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4"/>
    <sheet state="visible" name="Sorted RPV" sheetId="2" r:id="rId5"/>
    <sheet state="hidden" name="Sheet10" sheetId="3" r:id="rId6"/>
    <sheet state="visible" name="Aggregate RPV" sheetId="4" r:id="rId7"/>
    <sheet state="hidden" name="Sorted Playoff RPV" sheetId="5" r:id="rId8"/>
    <sheet state="visible" name="IDR Import" sheetId="6" r:id="rId9"/>
    <sheet state="visible" name="Variables" sheetId="7" r:id="rId10"/>
    <sheet state="hidden" name="Aggregate Playoff RPV" sheetId="8" r:id="rId11"/>
    <sheet state="hidden" name="Playoff IDR Import" sheetId="9" r:id="rId12"/>
    <sheet state="visible" name="Stats" sheetId="10" r:id="rId13"/>
    <sheet state="visible" name="Raw_Stats" sheetId="11" r:id="rId14"/>
    <sheet state="hidden" name="Playoff_Stats" sheetId="12" r:id="rId15"/>
    <sheet state="hidden" name="Contracts" sheetId="13" r:id="rId16"/>
    <sheet state="hidden" name="Members" sheetId="14" r:id="rId17"/>
    <sheet state="visible" name="Teams Info" sheetId="15" r:id="rId18"/>
  </sheets>
  <definedNames>
    <definedName name="VeteranMVPTeams">#REF!</definedName>
    <definedName name="ProspectGPMin">Variables!$D$15</definedName>
    <definedName name="ProspectMVPTeams">#REF!</definedName>
    <definedName name="RivalGPMin">Variables!$D$13</definedName>
    <definedName name="ContenderGPMin">Variables!$D$16</definedName>
    <definedName name="VeteranGPMin">Variables!$D$12</definedName>
    <definedName name="AmateurMVPTeams">#REF!</definedName>
    <definedName name="ChallengerGPMin">Variables!$D$14</definedName>
    <definedName name="PremierMVPTeams">#REF!</definedName>
    <definedName name="EliteGPMin">Variables!$D$11</definedName>
    <definedName name="AmateurGPMin">Variables!$D$17</definedName>
    <definedName name="PremierGPMin">Variables!$D$9</definedName>
    <definedName name="MasterMVPTeams">#REF!</definedName>
    <definedName name="MasterGPMin">Variables!$D$10</definedName>
    <definedName name="ChallengerMVPTeams">#REF!</definedName>
    <definedName name="ContenderMVPTeams">#REF!</definedName>
    <definedName name="EliteMVPTeams">#REF!</definedName>
    <definedName name="RivalMVPTeams">#REF!</definedName>
    <definedName hidden="1" localSheetId="14" name="_xlnm._FilterDatabase">'Teams Info'!$A$1:$D$197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Total number of minimum games to be eligible for All-Star and MVP</t>
      </text>
    </comment>
    <comment authorId="0" ref="C8">
      <text>
        <t xml:space="preserve">Total Number of Matches for the entire season</t>
      </text>
    </comment>
    <comment authorId="0" ref="D8">
      <text>
        <t xml:space="preserve">Current Games Played requirement based off of the current amount of matches played to date</t>
      </text>
    </comment>
    <comment authorId="0" ref="E8">
      <text>
        <t xml:space="preserve">Current Total number of Matches played to date</t>
      </text>
    </comment>
  </commentList>
</comments>
</file>

<file path=xl/sharedStrings.xml><?xml version="1.0" encoding="utf-8"?>
<sst xmlns="http://schemas.openxmlformats.org/spreadsheetml/2006/main" count="5143" uniqueCount="2236">
  <si>
    <t>Abbreviation</t>
  </si>
  <si>
    <t>Name</t>
  </si>
  <si>
    <t>Formula/Explanation</t>
  </si>
  <si>
    <t>Link</t>
  </si>
  <si>
    <t>Player</t>
  </si>
  <si>
    <t>Tier</t>
  </si>
  <si>
    <t>Team(s)</t>
  </si>
  <si>
    <t>All teams the player has played for in the tier (ordered from most recent (at the top) to least recent (at the bottom)).</t>
  </si>
  <si>
    <t>Franchise(s)</t>
  </si>
  <si>
    <t>All franchises the player has played for in the tier (ordered from most recent (at the top) to least recent (at the bottom)).</t>
  </si>
  <si>
    <t>Conference</t>
  </si>
  <si>
    <t>The conference the player has played the most in.</t>
  </si>
  <si>
    <t>RPV</t>
  </si>
  <si>
    <t>RSC Performance Value</t>
  </si>
  <si>
    <t>Average of SBV and IDR. Equal weight is given to both values</t>
  </si>
  <si>
    <t>SBV</t>
  </si>
  <si>
    <t>Stats-Based Value</t>
  </si>
  <si>
    <t>Standardize (Z-Score) NP/A, G/A, A/A, Sv/A, and S/A, then weighted-average them together, with their correlation to PWE serving as the weights.</t>
  </si>
  <si>
    <t>S23 RSC SBV</t>
  </si>
  <si>
    <t>IDR</t>
  </si>
  <si>
    <t>Index Derived Rating</t>
  </si>
  <si>
    <t>Take the player's Indexes (defined below), and their raw per game stats, and multiply them by the average of their correlation to win% and PWE, sum the weighted indexes, then find what standard deviation the player's value is at. Multiply that value by 25 and add 50, to make the scale more intuitive.
An average player will have an IDR of around 50, and each standard deviation the player's score falls further away from average will be a 25 point increase or decrease.
IDR was designed to factor in stats against, as well as strength of schedule. By also measuring your performance as ratios instead of just as raw per game stats you are not freely rewarded for getting 400 points against a team that normally gives up 400 points, and you aren't hurt for getting 150 points against a team that normally only gives up that many. It keeps track of both offensive and defensive stats, so what you let your opponents do is now also an important factor. you can't just ball chase your way to a high IDR in the same way that you can a high SBV.</t>
  </si>
  <si>
    <t>RSC S23 IDR</t>
  </si>
  <si>
    <t>GP</t>
  </si>
  <si>
    <t>Games Played</t>
  </si>
  <si>
    <t>W + L</t>
  </si>
  <si>
    <t>W</t>
  </si>
  <si>
    <t>Wins</t>
  </si>
  <si>
    <t>L</t>
  </si>
  <si>
    <t>Losses</t>
  </si>
  <si>
    <t>Win %</t>
  </si>
  <si>
    <t>Win Percentage</t>
  </si>
  <si>
    <t>W / GP</t>
  </si>
  <si>
    <t>MVPs</t>
  </si>
  <si>
    <t>Most Valuable Players</t>
  </si>
  <si>
    <t>Amount of times game MVP</t>
  </si>
  <si>
    <t>Pts</t>
  </si>
  <si>
    <t>Points</t>
  </si>
  <si>
    <t>PPG</t>
  </si>
  <si>
    <t>Points per Game</t>
  </si>
  <si>
    <t>Goals</t>
  </si>
  <si>
    <t>GPG</t>
  </si>
  <si>
    <t>Goals per Game</t>
  </si>
  <si>
    <t>Assists</t>
  </si>
  <si>
    <t>APG</t>
  </si>
  <si>
    <t>Assists per Game</t>
  </si>
  <si>
    <t>Saves</t>
  </si>
  <si>
    <t>SvPG</t>
  </si>
  <si>
    <t>Saves per Game</t>
  </si>
  <si>
    <t>Shots</t>
  </si>
  <si>
    <t>Shot %</t>
  </si>
  <si>
    <t>Shot Percentage</t>
  </si>
  <si>
    <t>DI</t>
  </si>
  <si>
    <t>Demos Inflicted</t>
  </si>
  <si>
    <t>Number of times you murder an oppponent</t>
  </si>
  <si>
    <t>DT</t>
  </si>
  <si>
    <t>Demos Taken</t>
  </si>
  <si>
    <t>Number of times you are slain by the opposition</t>
  </si>
  <si>
    <t>Sort By</t>
  </si>
  <si>
    <t>All</t>
  </si>
  <si>
    <t>Smaller = Better?</t>
  </si>
  <si>
    <t>RSC ID</t>
  </si>
  <si>
    <t>Team</t>
  </si>
  <si>
    <t>Win%</t>
  </si>
  <si>
    <t>ShPG</t>
  </si>
  <si>
    <t>Cycles</t>
  </si>
  <si>
    <t>Hat Tricks</t>
  </si>
  <si>
    <t>Playmakers</t>
  </si>
  <si>
    <t>Saviors</t>
  </si>
  <si>
    <t>RSC008541</t>
  </si>
  <si>
    <t>RSC008178</t>
  </si>
  <si>
    <t>RSC007468</t>
  </si>
  <si>
    <t>RSC007621</t>
  </si>
  <si>
    <t>RSC007571</t>
  </si>
  <si>
    <t>RSC000086</t>
  </si>
  <si>
    <t>RSC008441</t>
  </si>
  <si>
    <t>RSC000963</t>
  </si>
  <si>
    <t>RSC008227</t>
  </si>
  <si>
    <t>RSC008136</t>
  </si>
  <si>
    <t>RSC008092</t>
  </si>
  <si>
    <t>RSC007270</t>
  </si>
  <si>
    <t>RSC008193</t>
  </si>
  <si>
    <t>RSC007852</t>
  </si>
  <si>
    <t>RSC002713</t>
  </si>
  <si>
    <t>RSC007581</t>
  </si>
  <si>
    <t>RSC006375</t>
  </si>
  <si>
    <t>RSC007161</t>
  </si>
  <si>
    <t>RSC000654</t>
  </si>
  <si>
    <t>RSC008327</t>
  </si>
  <si>
    <t>RSC008130</t>
  </si>
  <si>
    <t>RSC004462</t>
  </si>
  <si>
    <t>RSC007573</t>
  </si>
  <si>
    <t>RSC008131</t>
  </si>
  <si>
    <t>RSC008419</t>
  </si>
  <si>
    <t>RSC008083</t>
  </si>
  <si>
    <t>RSC007216</t>
  </si>
  <si>
    <t>RSC006137</t>
  </si>
  <si>
    <t>RSC007921</t>
  </si>
  <si>
    <t>RSC007462</t>
  </si>
  <si>
    <t>RSC000323</t>
  </si>
  <si>
    <t>RSC005472</t>
  </si>
  <si>
    <t>RSC008213</t>
  </si>
  <si>
    <t>RSC008402</t>
  </si>
  <si>
    <t>RSC008151</t>
  </si>
  <si>
    <t>RSC007678</t>
  </si>
  <si>
    <t>RSC006364</t>
  </si>
  <si>
    <t>RSC008489</t>
  </si>
  <si>
    <t>RSC002412</t>
  </si>
  <si>
    <t>RSC008288</t>
  </si>
  <si>
    <t>RSC006477</t>
  </si>
  <si>
    <t>RSC008454</t>
  </si>
  <si>
    <t>RSC006240</t>
  </si>
  <si>
    <t>RSC000014</t>
  </si>
  <si>
    <t>RSC008426</t>
  </si>
  <si>
    <t>RSC006067</t>
  </si>
  <si>
    <t>RSC007153</t>
  </si>
  <si>
    <t>RSC005570</t>
  </si>
  <si>
    <t>RSC007370</t>
  </si>
  <si>
    <t>RSC006177</t>
  </si>
  <si>
    <t>RSC008260</t>
  </si>
  <si>
    <t>RSC008078</t>
  </si>
  <si>
    <t>RSC008393</t>
  </si>
  <si>
    <t>RSC007190</t>
  </si>
  <si>
    <t>RSC005603</t>
  </si>
  <si>
    <t>RSC006923</t>
  </si>
  <si>
    <t>RSC004618</t>
  </si>
  <si>
    <t>RSC008251</t>
  </si>
  <si>
    <t>RSC007911</t>
  </si>
  <si>
    <t>RSC008026</t>
  </si>
  <si>
    <t>RSC008415</t>
  </si>
  <si>
    <t>RSC006642</t>
  </si>
  <si>
    <t>RSC006187</t>
  </si>
  <si>
    <t>RSC007885</t>
  </si>
  <si>
    <t>RSC000233</t>
  </si>
  <si>
    <t>RSC007865</t>
  </si>
  <si>
    <t>RSC008466</t>
  </si>
  <si>
    <t>RSC000922</t>
  </si>
  <si>
    <t>RSC003331</t>
  </si>
  <si>
    <t>RSC003897</t>
  </si>
  <si>
    <t>RSC002040</t>
  </si>
  <si>
    <t>RSC006416</t>
  </si>
  <si>
    <t>RSC000967</t>
  </si>
  <si>
    <t>RSC008340</t>
  </si>
  <si>
    <t>RSC008216</t>
  </si>
  <si>
    <t>RSC003109</t>
  </si>
  <si>
    <t>RSC005859</t>
  </si>
  <si>
    <t>RSC006092</t>
  </si>
  <si>
    <t>RSC008556</t>
  </si>
  <si>
    <t>RSC002897</t>
  </si>
  <si>
    <t>RSC005663</t>
  </si>
  <si>
    <t>RSC006344</t>
  </si>
  <si>
    <t>RSC002877</t>
  </si>
  <si>
    <t>RSC008390</t>
  </si>
  <si>
    <t>RSC006669</t>
  </si>
  <si>
    <t>RSC007262</t>
  </si>
  <si>
    <t>RSC000347</t>
  </si>
  <si>
    <t>RSC008158</t>
  </si>
  <si>
    <t>RSC006769</t>
  </si>
  <si>
    <t>RSC000499</t>
  </si>
  <si>
    <t>RSC007284</t>
  </si>
  <si>
    <t>RSC007045</t>
  </si>
  <si>
    <t>RSC003694</t>
  </si>
  <si>
    <t>RSC005909</t>
  </si>
  <si>
    <t>RSC008103</t>
  </si>
  <si>
    <t>RSC008010</t>
  </si>
  <si>
    <t>RSC008044</t>
  </si>
  <si>
    <t>RSC006346</t>
  </si>
  <si>
    <t>RSC006908</t>
  </si>
  <si>
    <t>RSC008111</t>
  </si>
  <si>
    <t>RSC007092</t>
  </si>
  <si>
    <t>RSC000357</t>
  </si>
  <si>
    <t>RSC007297</t>
  </si>
  <si>
    <t>RSC007518</t>
  </si>
  <si>
    <t>RSC008357</t>
  </si>
  <si>
    <t>RSC004303</t>
  </si>
  <si>
    <t>RSC008540</t>
  </si>
  <si>
    <t>RSC003498</t>
  </si>
  <si>
    <t>RSC006659</t>
  </si>
  <si>
    <t>RSC008335</t>
  </si>
  <si>
    <t>RSC008121</t>
  </si>
  <si>
    <t>RSC006495</t>
  </si>
  <si>
    <t>RSC008195</t>
  </si>
  <si>
    <t>RSC006322</t>
  </si>
  <si>
    <t>RSC007502</t>
  </si>
  <si>
    <t>RSC006308</t>
  </si>
  <si>
    <t>RSC007816</t>
  </si>
  <si>
    <t>RSC001066</t>
  </si>
  <si>
    <t>RSC008162</t>
  </si>
  <si>
    <t>RSC007568</t>
  </si>
  <si>
    <t>RSC007866</t>
  </si>
  <si>
    <t>RSC005219</t>
  </si>
  <si>
    <t>RSC004498</t>
  </si>
  <si>
    <t>RSC003900</t>
  </si>
  <si>
    <t>RSC000426</t>
  </si>
  <si>
    <t>RSC007692</t>
  </si>
  <si>
    <t>RSC000221</t>
  </si>
  <si>
    <t>RSC003387</t>
  </si>
  <si>
    <t>RSC007525</t>
  </si>
  <si>
    <t>RSC007537</t>
  </si>
  <si>
    <t>RSC007141</t>
  </si>
  <si>
    <t>RSC000053</t>
  </si>
  <si>
    <t>RSC005608</t>
  </si>
  <si>
    <t>RSC008222</t>
  </si>
  <si>
    <t>RSC005397</t>
  </si>
  <si>
    <t>RSC000812</t>
  </si>
  <si>
    <t>RSC006369</t>
  </si>
  <si>
    <t>RSC007423</t>
  </si>
  <si>
    <t>RSC007969</t>
  </si>
  <si>
    <t>RSC004565</t>
  </si>
  <si>
    <t>RSC008031</t>
  </si>
  <si>
    <t>RSC005884</t>
  </si>
  <si>
    <t>RSC006569</t>
  </si>
  <si>
    <t>RSC006966</t>
  </si>
  <si>
    <t>RSC008120</t>
  </si>
  <si>
    <t>RSC005136</t>
  </si>
  <si>
    <t>RSC003737</t>
  </si>
  <si>
    <t>RSC006784</t>
  </si>
  <si>
    <t>RSC008218</t>
  </si>
  <si>
    <t>RSC006586</t>
  </si>
  <si>
    <t>RSC008188</t>
  </si>
  <si>
    <t>RSC006755</t>
  </si>
  <si>
    <t>RSC006587</t>
  </si>
  <si>
    <t>RSC006758</t>
  </si>
  <si>
    <t>RSC007431</t>
  </si>
  <si>
    <t>RSC006667</t>
  </si>
  <si>
    <t>RSC008552</t>
  </si>
  <si>
    <t>RSC006822</t>
  </si>
  <si>
    <t>RSC003193</t>
  </si>
  <si>
    <t>RSC008014</t>
  </si>
  <si>
    <t>RSC008492</t>
  </si>
  <si>
    <t>RSC000351</t>
  </si>
  <si>
    <t>RSC003836</t>
  </si>
  <si>
    <t>RSC003335</t>
  </si>
  <si>
    <t>RSC005139</t>
  </si>
  <si>
    <t>RSC006353</t>
  </si>
  <si>
    <t>RSC006262</t>
  </si>
  <si>
    <t>RSC005018</t>
  </si>
  <si>
    <t>RSC005131</t>
  </si>
  <si>
    <t>RSC008365</t>
  </si>
  <si>
    <t>RSC002796</t>
  </si>
  <si>
    <t>RSC003223</t>
  </si>
  <si>
    <t>RSC001820</t>
  </si>
  <si>
    <t>RSC007179</t>
  </si>
  <si>
    <t>RSC007442</t>
  </si>
  <si>
    <t>RSC008348</t>
  </si>
  <si>
    <t>RSC008237</t>
  </si>
  <si>
    <t>RSC007178</t>
  </si>
  <si>
    <t>RSC008473</t>
  </si>
  <si>
    <t>RSC003697</t>
  </si>
  <si>
    <t>RSC007165</t>
  </si>
  <si>
    <t>RSC002511</t>
  </si>
  <si>
    <t>RSC007955</t>
  </si>
  <si>
    <t>RSC008176</t>
  </si>
  <si>
    <t>RSC002911</t>
  </si>
  <si>
    <t>RSC002633</t>
  </si>
  <si>
    <t>RSC007271</t>
  </si>
  <si>
    <t>RSC008271</t>
  </si>
  <si>
    <t>RSC007260</t>
  </si>
  <si>
    <t>RSC006409</t>
  </si>
  <si>
    <t>RSC006985</t>
  </si>
  <si>
    <t>RSC000009</t>
  </si>
  <si>
    <t>RSC008362</t>
  </si>
  <si>
    <t>RSC006424</t>
  </si>
  <si>
    <t>RSC007954</t>
  </si>
  <si>
    <t>RSC006581</t>
  </si>
  <si>
    <t>RSC005709</t>
  </si>
  <si>
    <t>RSC008155</t>
  </si>
  <si>
    <t>RSC006783</t>
  </si>
  <si>
    <t>RSC004966</t>
  </si>
  <si>
    <t>RSC005524</t>
  </si>
  <si>
    <t>RSC008493</t>
  </si>
  <si>
    <t>RSC005516</t>
  </si>
  <si>
    <t>RSC008255</t>
  </si>
  <si>
    <t>RSC005236</t>
  </si>
  <si>
    <t>RSC003412</t>
  </si>
  <si>
    <t>RSC004863</t>
  </si>
  <si>
    <t>RSC003178</t>
  </si>
  <si>
    <t>RSC000344</t>
  </si>
  <si>
    <t>RSC006193</t>
  </si>
  <si>
    <t>RSC000623</t>
  </si>
  <si>
    <t>RSC007280</t>
  </si>
  <si>
    <t>RSC004107</t>
  </si>
  <si>
    <t>RSC007642</t>
  </si>
  <si>
    <t>RSC007514</t>
  </si>
  <si>
    <t>RSC008221</t>
  </si>
  <si>
    <t>RSC003360</t>
  </si>
  <si>
    <t>RSC007908</t>
  </si>
  <si>
    <t>RSC008503</t>
  </si>
  <si>
    <t>RSC008420</t>
  </si>
  <si>
    <t>RSC007907</t>
  </si>
  <si>
    <t>RSC008448</t>
  </si>
  <si>
    <t>RSC003831</t>
  </si>
  <si>
    <t>RSC004917</t>
  </si>
  <si>
    <t>RSC007269</t>
  </si>
  <si>
    <t>RSC003250</t>
  </si>
  <si>
    <t>RSC002498</t>
  </si>
  <si>
    <t>RSC005274</t>
  </si>
  <si>
    <t>RSC005872</t>
  </si>
  <si>
    <t>RSC007354</t>
  </si>
  <si>
    <t>RSC006877</t>
  </si>
  <si>
    <t>RSC005374</t>
  </si>
  <si>
    <t>RSC007846</t>
  </si>
  <si>
    <t>RSC002246</t>
  </si>
  <si>
    <t>RSC005515</t>
  </si>
  <si>
    <t>RSC008169</t>
  </si>
  <si>
    <t>RSC008488</t>
  </si>
  <si>
    <t>RSC006259</t>
  </si>
  <si>
    <t>RSC003709</t>
  </si>
  <si>
    <t>RSC000016</t>
  </si>
  <si>
    <t>RSC005287</t>
  </si>
  <si>
    <t>RSC006273</t>
  </si>
  <si>
    <t>RSC006278</t>
  </si>
  <si>
    <t>RSC008198</t>
  </si>
  <si>
    <t>RSC007811</t>
  </si>
  <si>
    <t>RSC003082</t>
  </si>
  <si>
    <t>RSC000666</t>
  </si>
  <si>
    <t>RSC007383</t>
  </si>
  <si>
    <t>RSC001889</t>
  </si>
  <si>
    <t>RSC008490</t>
  </si>
  <si>
    <t>RSC007386</t>
  </si>
  <si>
    <t>RSC008382</t>
  </si>
  <si>
    <t>RSC001292</t>
  </si>
  <si>
    <t>RSC004131</t>
  </si>
  <si>
    <t>RSC007610</t>
  </si>
  <si>
    <t>RSC003427</t>
  </si>
  <si>
    <t>RSC008417</t>
  </si>
  <si>
    <t>RSC005824</t>
  </si>
  <si>
    <t>RSC004889</t>
  </si>
  <si>
    <t>RSC006869</t>
  </si>
  <si>
    <t>RSC002892</t>
  </si>
  <si>
    <t>RSC002579</t>
  </si>
  <si>
    <t>RSC002729</t>
  </si>
  <si>
    <t>RSC005491</t>
  </si>
  <si>
    <t>RSC007855</t>
  </si>
  <si>
    <t>RSC007486</t>
  </si>
  <si>
    <t>RSC008479</t>
  </si>
  <si>
    <t>RSC006218</t>
  </si>
  <si>
    <t>RSC006947</t>
  </si>
  <si>
    <t>RSC002862</t>
  </si>
  <si>
    <t>RSC006417</t>
  </si>
  <si>
    <t>RSC004214</t>
  </si>
  <si>
    <t>RSC006713</t>
  </si>
  <si>
    <t>RSC005508</t>
  </si>
  <si>
    <t>RSC002559</t>
  </si>
  <si>
    <t>RSC007655</t>
  </si>
  <si>
    <t>RSC006378</t>
  </si>
  <si>
    <t>RSC006723</t>
  </si>
  <si>
    <t>RSC008363</t>
  </si>
  <si>
    <t>RSC008200</t>
  </si>
  <si>
    <t>RSC007470</t>
  </si>
  <si>
    <t>RSC008399</t>
  </si>
  <si>
    <t>RSC008102</t>
  </si>
  <si>
    <t>RSC008461</t>
  </si>
  <si>
    <t>RSC002164</t>
  </si>
  <si>
    <t>RSC000021</t>
  </si>
  <si>
    <t>RSC003143</t>
  </si>
  <si>
    <t>RSC007129</t>
  </si>
  <si>
    <t>RSC008089</t>
  </si>
  <si>
    <t>RSC005373</t>
  </si>
  <si>
    <t>RSC008128</t>
  </si>
  <si>
    <t>RSC000787</t>
  </si>
  <si>
    <t>RSC000767</t>
  </si>
  <si>
    <t>RSC005469</t>
  </si>
  <si>
    <t>RSC004767</t>
  </si>
  <si>
    <t>RSC003830</t>
  </si>
  <si>
    <t>RSC006448</t>
  </si>
  <si>
    <t>RSC005308</t>
  </si>
  <si>
    <t>RSC008391</t>
  </si>
  <si>
    <t>RSC001986</t>
  </si>
  <si>
    <t>RSC008354</t>
  </si>
  <si>
    <t>RSC007629</t>
  </si>
  <si>
    <t>RSC007688</t>
  </si>
  <si>
    <t>RSC006668</t>
  </si>
  <si>
    <t>RSC008554</t>
  </si>
  <si>
    <t>RSC005464</t>
  </si>
  <si>
    <t>RSC005754</t>
  </si>
  <si>
    <t>RSC007288</t>
  </si>
  <si>
    <t>RSC008408</t>
  </si>
  <si>
    <t>RSC008531</t>
  </si>
  <si>
    <t>RSC007936</t>
  </si>
  <si>
    <t>RSC003561</t>
  </si>
  <si>
    <t>RSC001098</t>
  </si>
  <si>
    <t>RSC006484</t>
  </si>
  <si>
    <t>RSC003272</t>
  </si>
  <si>
    <t>RSC007187</t>
  </si>
  <si>
    <t>RSC003055</t>
  </si>
  <si>
    <t>RSC006490</t>
  </si>
  <si>
    <t>RSC007115</t>
  </si>
  <si>
    <t>RSC000203</t>
  </si>
  <si>
    <t>RSC002425</t>
  </si>
  <si>
    <t>RSC000183</t>
  </si>
  <si>
    <t>RSC006169</t>
  </si>
  <si>
    <t>RSC004109</t>
  </si>
  <si>
    <t>RSC000690</t>
  </si>
  <si>
    <t>RSC008446</t>
  </si>
  <si>
    <t>RSC007877</t>
  </si>
  <si>
    <t>RSC000626</t>
  </si>
  <si>
    <t>RSC008525</t>
  </si>
  <si>
    <t>RSC007327</t>
  </si>
  <si>
    <t>RSC007341</t>
  </si>
  <si>
    <t>RSC008403</t>
  </si>
  <si>
    <t>RSC007607</t>
  </si>
  <si>
    <t>RSC003953</t>
  </si>
  <si>
    <t>RSC002544</t>
  </si>
  <si>
    <t>RSC008478</t>
  </si>
  <si>
    <t>RSC007930</t>
  </si>
  <si>
    <t>RSC002902</t>
  </si>
  <si>
    <t>RSC006613</t>
  </si>
  <si>
    <t>RSC008353</t>
  </si>
  <si>
    <t>RSC006700</t>
  </si>
  <si>
    <t>RSC006018</t>
  </si>
  <si>
    <t>RSC005959</t>
  </si>
  <si>
    <t>RSC007920</t>
  </si>
  <si>
    <t>RSC008355</t>
  </si>
  <si>
    <t>RSC008519</t>
  </si>
  <si>
    <t>RSC008109</t>
  </si>
  <si>
    <t>RSC000923</t>
  </si>
  <si>
    <t>RSC004580</t>
  </si>
  <si>
    <t>RSC008285</t>
  </si>
  <si>
    <t>RSC002888</t>
  </si>
  <si>
    <t>RSC007282</t>
  </si>
  <si>
    <t>RSC007893</t>
  </si>
  <si>
    <t>RSC007876</t>
  </si>
  <si>
    <t>RSC004132</t>
  </si>
  <si>
    <t>RSC005653</t>
  </si>
  <si>
    <t>RSC007412</t>
  </si>
  <si>
    <t>RSC005290</t>
  </si>
  <si>
    <t>RSC003008</t>
  </si>
  <si>
    <t>RSC007565</t>
  </si>
  <si>
    <t>RSC005690</t>
  </si>
  <si>
    <t>RSC005499</t>
  </si>
  <si>
    <t>RSC006534</t>
  </si>
  <si>
    <t>RSC004208</t>
  </si>
  <si>
    <t>RSC000799</t>
  </si>
  <si>
    <t>RSC006903</t>
  </si>
  <si>
    <t>RSC005349</t>
  </si>
  <si>
    <t>RSC004717</t>
  </si>
  <si>
    <t>RSC001243</t>
  </si>
  <si>
    <t>RSC008171</t>
  </si>
  <si>
    <t>RSC000739</t>
  </si>
  <si>
    <t>RSC007558</t>
  </si>
  <si>
    <t>RSC001935</t>
  </si>
  <si>
    <t>RSC005024</t>
  </si>
  <si>
    <t>RSC003728</t>
  </si>
  <si>
    <t>RSC002490</t>
  </si>
  <si>
    <t>RSC008242</t>
  </si>
  <si>
    <t>RSC005705</t>
  </si>
  <si>
    <t>RSC006087</t>
  </si>
  <si>
    <t>RSC000714</t>
  </si>
  <si>
    <t>RSC005899</t>
  </si>
  <si>
    <t>RSC001357</t>
  </si>
  <si>
    <t>RSC000657</t>
  </si>
  <si>
    <t>RSC004698</t>
  </si>
  <si>
    <t>RSC007099</t>
  </si>
  <si>
    <t>RSC007166</t>
  </si>
  <si>
    <t>RSC001927</t>
  </si>
  <si>
    <t>RSC005298</t>
  </si>
  <si>
    <t>RSC000330</t>
  </si>
  <si>
    <t>RSC007295</t>
  </si>
  <si>
    <t>RSC003445</t>
  </si>
  <si>
    <t>RSC005234</t>
  </si>
  <si>
    <t>RSC007941</t>
  </si>
  <si>
    <t>RSC007868</t>
  </si>
  <si>
    <t>RSC007494</t>
  </si>
  <si>
    <t>RSC003323</t>
  </si>
  <si>
    <t>RSC003125</t>
  </si>
  <si>
    <t>RSC001055</t>
  </si>
  <si>
    <t>RSC008539</t>
  </si>
  <si>
    <t>RSC000200</t>
  </si>
  <si>
    <t>RSC002620</t>
  </si>
  <si>
    <t>RSC005220</t>
  </si>
  <si>
    <t>RSC008330</t>
  </si>
  <si>
    <t>RSC003986</t>
  </si>
  <si>
    <t>RSC008368</t>
  </si>
  <si>
    <t>RSC008500</t>
  </si>
  <si>
    <t>RSC003792</t>
  </si>
  <si>
    <t>RSC007071</t>
  </si>
  <si>
    <t>RSC007460</t>
  </si>
  <si>
    <t>RSC008343</t>
  </si>
  <si>
    <t>RSC007845</t>
  </si>
  <si>
    <t>RSC004215</t>
  </si>
  <si>
    <t>RSC000381</t>
  </si>
  <si>
    <t>RSC005920</t>
  </si>
  <si>
    <t>RSC007174</t>
  </si>
  <si>
    <t>RSC004090</t>
  </si>
  <si>
    <t>RSC000181</t>
  </si>
  <si>
    <t>RSC008244</t>
  </si>
  <si>
    <t>RSC003780</t>
  </si>
  <si>
    <t>RSC002714</t>
  </si>
  <si>
    <t>RSC003749</t>
  </si>
  <si>
    <t>RSC002062</t>
  </si>
  <si>
    <t>RSC007718</t>
  </si>
  <si>
    <t>RSC008139</t>
  </si>
  <si>
    <t>RSC005170</t>
  </si>
  <si>
    <t>RSC000579</t>
  </si>
  <si>
    <t>RSC006889</t>
  </si>
  <si>
    <t>RSC007330</t>
  </si>
  <si>
    <t>RSC004138</t>
  </si>
  <si>
    <t>RSC004149</t>
  </si>
  <si>
    <t>RSC008424</t>
  </si>
  <si>
    <t>RSC001114</t>
  </si>
  <si>
    <t>RSC000618</t>
  </si>
  <si>
    <t>RSC006952</t>
  </si>
  <si>
    <t>RSC002050</t>
  </si>
  <si>
    <t>RSC006677</t>
  </si>
  <si>
    <t>RSC008413</t>
  </si>
  <si>
    <t>RSC005320</t>
  </si>
  <si>
    <t>RSC008604</t>
  </si>
  <si>
    <t>RSC005340</t>
  </si>
  <si>
    <t>RSC001903</t>
  </si>
  <si>
    <t>RSC003804</t>
  </si>
  <si>
    <t>RSC001977</t>
  </si>
  <si>
    <t>RSC008347</t>
  </si>
  <si>
    <t>RSC008094</t>
  </si>
  <si>
    <t>RSC005187</t>
  </si>
  <si>
    <t>RSC000996</t>
  </si>
  <si>
    <t>RSC007924</t>
  </si>
  <si>
    <t>RSC000379</t>
  </si>
  <si>
    <t>RSC002494</t>
  </si>
  <si>
    <t>RSC008257</t>
  </si>
  <si>
    <t>RSC001619</t>
  </si>
  <si>
    <t>RSC006919</t>
  </si>
  <si>
    <t>RSC008431</t>
  </si>
  <si>
    <t>RSC007520</t>
  </si>
  <si>
    <t>RSC008187</t>
  </si>
  <si>
    <t>RSC003429</t>
  </si>
  <si>
    <t>RSC008106</t>
  </si>
  <si>
    <t>RSC008418</t>
  </si>
  <si>
    <t>RSC008323</t>
  </si>
  <si>
    <t>RSC008147</t>
  </si>
  <si>
    <t>RSC007372</t>
  </si>
  <si>
    <t>RSC005335</t>
  </si>
  <si>
    <t>RSC008245</t>
  </si>
  <si>
    <t>RSC007515</t>
  </si>
  <si>
    <t>RSC000686</t>
  </si>
  <si>
    <t>RSC007958</t>
  </si>
  <si>
    <t>RSC004012</t>
  </si>
  <si>
    <t>RSC007886</t>
  </si>
  <si>
    <t>RSC002408</t>
  </si>
  <si>
    <t>RSC008470</t>
  </si>
  <si>
    <t>RSC008278</t>
  </si>
  <si>
    <t>RSC007899</t>
  </si>
  <si>
    <t>RSC006251</t>
  </si>
  <si>
    <t>RSC008337</t>
  </si>
  <si>
    <t>RSC008110</t>
  </si>
  <si>
    <t>RSC005252</t>
  </si>
  <si>
    <t>RSC008447</t>
  </si>
  <si>
    <t>RSC008370</t>
  </si>
  <si>
    <t>RSC008451</t>
  </si>
  <si>
    <t>RSC004509</t>
  </si>
  <si>
    <t>RSC006256</t>
  </si>
  <si>
    <t>RSC008471</t>
  </si>
  <si>
    <t>RSC008153</t>
  </si>
  <si>
    <t>RSC006880</t>
  </si>
  <si>
    <t>RSC005550</t>
  </si>
  <si>
    <t>RSC006439</t>
  </si>
  <si>
    <t>RSC007464</t>
  </si>
  <si>
    <t>RSC005974</t>
  </si>
  <si>
    <t>RSC004879</t>
  </si>
  <si>
    <t>RSC005870</t>
  </si>
  <si>
    <t>RSC000989</t>
  </si>
  <si>
    <t>RSC006404</t>
  </si>
  <si>
    <t>RSC006461</t>
  </si>
  <si>
    <t>RSC008379</t>
  </si>
  <si>
    <t>RSC005714</t>
  </si>
  <si>
    <t>RSC007874</t>
  </si>
  <si>
    <t>RSC007918</t>
  </si>
  <si>
    <t>RSC006422</t>
  </si>
  <si>
    <t>RSC008435</t>
  </si>
  <si>
    <t>RSC006381</t>
  </si>
  <si>
    <t>RSC005527</t>
  </si>
  <si>
    <t>RSC007513</t>
  </si>
  <si>
    <t>RSC008126</t>
  </si>
  <si>
    <t>RSC007035</t>
  </si>
  <si>
    <t>RSC006733</t>
  </si>
  <si>
    <t>RSC008249</t>
  </si>
  <si>
    <t>RSC007093</t>
  </si>
  <si>
    <t>RSC008440</t>
  </si>
  <si>
    <t>RSC000156</t>
  </si>
  <si>
    <t>RSC007317</t>
  </si>
  <si>
    <t>RSC005703</t>
  </si>
  <si>
    <t>RSC007625</t>
  </si>
  <si>
    <t>RSC008582</t>
  </si>
  <si>
    <t>RSC008603</t>
  </si>
  <si>
    <t>RSC004536</t>
  </si>
  <si>
    <t>RSC008557</t>
  </si>
  <si>
    <t>RSC005265</t>
  </si>
  <si>
    <t>RSC003411</t>
  </si>
  <si>
    <t>RSC007831</t>
  </si>
  <si>
    <t>RSC005873</t>
  </si>
  <si>
    <t>RSC005150</t>
  </si>
  <si>
    <t>RSC000367</t>
  </si>
  <si>
    <t>RSC006678</t>
  </si>
  <si>
    <t>RSC008405</t>
  </si>
  <si>
    <t>RSC008360</t>
  </si>
  <si>
    <t>RSC005834</t>
  </si>
  <si>
    <t>RSC008234</t>
  </si>
  <si>
    <t>RSC006770</t>
  </si>
  <si>
    <t>RSC000441</t>
  </si>
  <si>
    <t>RSC008290</t>
  </si>
  <si>
    <t>RSC007487</t>
  </si>
  <si>
    <t>RSC007604</t>
  </si>
  <si>
    <t>RSC006625</t>
  </si>
  <si>
    <t>RSC001330</t>
  </si>
  <si>
    <t>RSC004452</t>
  </si>
  <si>
    <t>RSC006209</t>
  </si>
  <si>
    <t>RSC006464</t>
  </si>
  <si>
    <t>RSC007144</t>
  </si>
  <si>
    <t>RSC006774</t>
  </si>
  <si>
    <t>RSC005885</t>
  </si>
  <si>
    <t>RSC008173</t>
  </si>
  <si>
    <t>RSC002267</t>
  </si>
  <si>
    <t>RSC000136</t>
  </si>
  <si>
    <t>RSC007613</t>
  </si>
  <si>
    <t>RSC006935</t>
  </si>
  <si>
    <t>RSC002841</t>
  </si>
  <si>
    <t>RSC000519</t>
  </si>
  <si>
    <t>RSC007960</t>
  </si>
  <si>
    <t>RSC008507</t>
  </si>
  <si>
    <t>RSC001720</t>
  </si>
  <si>
    <t>RSC005300</t>
  </si>
  <si>
    <t>RSC008217</t>
  </si>
  <si>
    <t>RSC008487</t>
  </si>
  <si>
    <t>RSC008484</t>
  </si>
  <si>
    <t>RSC005059</t>
  </si>
  <si>
    <t>RSC006832</t>
  </si>
  <si>
    <t>RSC005523</t>
  </si>
  <si>
    <t>RSC004844</t>
  </si>
  <si>
    <t>RSC007549</t>
  </si>
  <si>
    <t>RSC005386</t>
  </si>
  <si>
    <t>RSC008138</t>
  </si>
  <si>
    <t>RSC008191</t>
  </si>
  <si>
    <t>RSC007624</t>
  </si>
  <si>
    <t>RSC006072</t>
  </si>
  <si>
    <t>RSC005978</t>
  </si>
  <si>
    <t>RSC008119</t>
  </si>
  <si>
    <t>RSC005827</t>
  </si>
  <si>
    <t>RSC002809</t>
  </si>
  <si>
    <t>RSC006489</t>
  </si>
  <si>
    <t>RSC008465</t>
  </si>
  <si>
    <t>RSC002960</t>
  </si>
  <si>
    <t>RSC007256</t>
  </si>
  <si>
    <t>RSC008259</t>
  </si>
  <si>
    <t>RSC005752</t>
  </si>
  <si>
    <t>RSC007600</t>
  </si>
  <si>
    <t>RSC007307</t>
  </si>
  <si>
    <t>RSC008000</t>
  </si>
  <si>
    <t>RSC006212</t>
  </si>
  <si>
    <t>RSC007453</t>
  </si>
  <si>
    <t>RSC006543</t>
  </si>
  <si>
    <t>RSC008331</t>
  </si>
  <si>
    <t>RSC005507</t>
  </si>
  <si>
    <t>RSC006748</t>
  </si>
  <si>
    <t>RSC007897</t>
  </si>
  <si>
    <t>RSC004888</t>
  </si>
  <si>
    <t>RSC006069</t>
  </si>
  <si>
    <t>RSC002415</t>
  </si>
  <si>
    <t>RSC007590</t>
  </si>
  <si>
    <t>RSC002427</t>
  </si>
  <si>
    <t>RSC002931</t>
  </si>
  <si>
    <t>RSC008293</t>
  </si>
  <si>
    <t>RSC000331</t>
  </si>
  <si>
    <t>RSC001893</t>
  </si>
  <si>
    <t>RSC004665</t>
  </si>
  <si>
    <t>RSC002413</t>
  </si>
  <si>
    <t>RSC008442</t>
  </si>
  <si>
    <t>RSC000025</t>
  </si>
  <si>
    <t>RSC003017</t>
  </si>
  <si>
    <t>RSC008226</t>
  </si>
  <si>
    <t>RSC007222</t>
  </si>
  <si>
    <t>RSC004188</t>
  </si>
  <si>
    <t>RSC000796</t>
  </si>
  <si>
    <t>RSC002982</t>
  </si>
  <si>
    <t>RSC007904</t>
  </si>
  <si>
    <t>RSC001082</t>
  </si>
  <si>
    <t>RSC001358</t>
  </si>
  <si>
    <t>RSC003536</t>
  </si>
  <si>
    <t>RSC008533</t>
  </si>
  <si>
    <t>RSC006017</t>
  </si>
  <si>
    <t>RSC007546</t>
  </si>
  <si>
    <t>RSC007961</t>
  </si>
  <si>
    <t>RSC006753</t>
  </si>
  <si>
    <t>RSC008502</t>
  </si>
  <si>
    <t>RSC000813</t>
  </si>
  <si>
    <t>RSC008154</t>
  </si>
  <si>
    <t>RSC007560</t>
  </si>
  <si>
    <t>RSC008517</t>
  </si>
  <si>
    <t>RSC008341</t>
  </si>
  <si>
    <t>RSC006910</t>
  </si>
  <si>
    <t>RSC006691</t>
  </si>
  <si>
    <t>RSC005289</t>
  </si>
  <si>
    <t>RSC006777</t>
  </si>
  <si>
    <t>RSC007065</t>
  </si>
  <si>
    <t>RSC004177</t>
  </si>
  <si>
    <t>RSC006883</t>
  </si>
  <si>
    <t>RSC007753</t>
  </si>
  <si>
    <t>RSC000828</t>
  </si>
  <si>
    <t>RSC008537</t>
  </si>
  <si>
    <t>RSC003118</t>
  </si>
  <si>
    <t>RSC005475</t>
  </si>
  <si>
    <t>RSC008192</t>
  </si>
  <si>
    <t>RSC006928</t>
  </si>
  <si>
    <t>RSC002128</t>
  </si>
  <si>
    <t>RSC007294</t>
  </si>
  <si>
    <t>RSC005526</t>
  </si>
  <si>
    <t>RSC006643</t>
  </si>
  <si>
    <t>RSC005521</t>
  </si>
  <si>
    <t>RSC007824</t>
  </si>
  <si>
    <t>RSC008045</t>
  </si>
  <si>
    <t>RSC002320</t>
  </si>
  <si>
    <t>RSC005253</t>
  </si>
  <si>
    <t>RSC000335</t>
  </si>
  <si>
    <t>RSC004670</t>
  </si>
  <si>
    <t>RSC008443</t>
  </si>
  <si>
    <t>RSC006225</t>
  </si>
  <si>
    <t>RSC007201</t>
  </si>
  <si>
    <t>RSC000111</t>
  </si>
  <si>
    <t>RSC005154</t>
  </si>
  <si>
    <t>RSC006159</t>
  </si>
  <si>
    <t>RSC002177</t>
  </si>
  <si>
    <t>RSC000938</t>
  </si>
  <si>
    <t>RSC006747</t>
  </si>
  <si>
    <t>RSC007406</t>
  </si>
  <si>
    <t>RSC001202</t>
  </si>
  <si>
    <t>RSC008135</t>
  </si>
  <si>
    <t>RSC008543</t>
  </si>
  <si>
    <t>RSC008599</t>
  </si>
  <si>
    <t>RSC004035</t>
  </si>
  <si>
    <t>RSC008428</t>
  </si>
  <si>
    <t>RSC008369</t>
  </si>
  <si>
    <t>RSC007501</t>
  </si>
  <si>
    <t>RSC005210</t>
  </si>
  <si>
    <t>RSC006945</t>
  </si>
  <si>
    <t>RSC007856</t>
  </si>
  <si>
    <t>RSC006060</t>
  </si>
  <si>
    <t>RSC007131</t>
  </si>
  <si>
    <t>RSC002706</t>
  </si>
  <si>
    <t>RSC001199</t>
  </si>
  <si>
    <t>RSC008351</t>
  </si>
  <si>
    <t>RSC007594</t>
  </si>
  <si>
    <t>RSC008452</t>
  </si>
  <si>
    <t>RSC007660</t>
  </si>
  <si>
    <t>RSC003113</t>
  </si>
  <si>
    <t>RSC005682</t>
  </si>
  <si>
    <t>RSC008494</t>
  </si>
  <si>
    <t>RSC002780</t>
  </si>
  <si>
    <t>RSC002906</t>
  </si>
  <si>
    <t>RSC004165</t>
  </si>
  <si>
    <t>RSC006290</t>
  </si>
  <si>
    <t>RSC005655</t>
  </si>
  <si>
    <t>RSC008433</t>
  </si>
  <si>
    <t>RSC008432</t>
  </si>
  <si>
    <t>RSC003238</t>
  </si>
  <si>
    <t>RSC002209</t>
  </si>
  <si>
    <t>RSC000320</t>
  </si>
  <si>
    <t>RSC008422</t>
  </si>
  <si>
    <t>RSC006140</t>
  </si>
  <si>
    <t>RSC008553</t>
  </si>
  <si>
    <t>RSC008376</t>
  </si>
  <si>
    <t>RSC008165</t>
  </si>
  <si>
    <t>RSC005482</t>
  </si>
  <si>
    <t>RSC007582</t>
  </si>
  <si>
    <t>RSC000550</t>
  </si>
  <si>
    <t>RSC008170</t>
  </si>
  <si>
    <t>RSC005577</t>
  </si>
  <si>
    <t>RSC002330</t>
  </si>
  <si>
    <t>RSC008384</t>
  </si>
  <si>
    <t>RSC005934</t>
  </si>
  <si>
    <t>RSC007756</t>
  </si>
  <si>
    <t>RSC006320</t>
  </si>
  <si>
    <t>RSC007482</t>
  </si>
  <si>
    <t>RSC002937</t>
  </si>
  <si>
    <t>RSC002453</t>
  </si>
  <si>
    <t>RSC008535</t>
  </si>
  <si>
    <t>RSC007331</t>
  </si>
  <si>
    <t>RSC002668</t>
  </si>
  <si>
    <t>RSC008508</t>
  </si>
  <si>
    <t>RSC008104</t>
  </si>
  <si>
    <t>RSC001487</t>
  </si>
  <si>
    <t>RSC004239</t>
  </si>
  <si>
    <t>RSC000314</t>
  </si>
  <si>
    <t>RSC002295</t>
  </si>
  <si>
    <t>RSC005165</t>
  </si>
  <si>
    <t>RSC008320</t>
  </si>
  <si>
    <t>RSC007512</t>
  </si>
  <si>
    <t>RSC008231</t>
  </si>
  <si>
    <t>RSC008325</t>
  </si>
  <si>
    <t>RSC006314</t>
  </si>
  <si>
    <t>RSC008455</t>
  </si>
  <si>
    <t>RSC004220</t>
  </si>
  <si>
    <t>RSC005257</t>
  </si>
  <si>
    <t>RSC003416</t>
  </si>
  <si>
    <t>RSC004367</t>
  </si>
  <si>
    <t>RSC006401</t>
  </si>
  <si>
    <t>RSC008172</t>
  </si>
  <si>
    <t>RSC007202</t>
  </si>
  <si>
    <t>RSC007358</t>
  </si>
  <si>
    <t>RSC000774</t>
  </si>
  <si>
    <t>RSC007720</t>
  </si>
  <si>
    <t>RSC004872</t>
  </si>
  <si>
    <t>RSC007293</t>
  </si>
  <si>
    <t>RSC007850</t>
  </si>
  <si>
    <t>RSC008400</t>
  </si>
  <si>
    <t>RSC000731</t>
  </si>
  <si>
    <t>RSC002930</t>
  </si>
  <si>
    <t>RSC000724</t>
  </si>
  <si>
    <t>RSC004394</t>
  </si>
  <si>
    <t>RSC003333</t>
  </si>
  <si>
    <t>RSC008373</t>
  </si>
  <si>
    <t>RSC003815</t>
  </si>
  <si>
    <t>RSC006312</t>
  </si>
  <si>
    <t>RSC003904</t>
  </si>
  <si>
    <t>RSC003104</t>
  </si>
  <si>
    <t>RSC007173</t>
  </si>
  <si>
    <t>RSC007906</t>
  </si>
  <si>
    <t>RSC007475</t>
  </si>
  <si>
    <t>RSC008115</t>
  </si>
  <si>
    <t>RSC000926</t>
  </si>
  <si>
    <t>RSC003945</t>
  </si>
  <si>
    <t>RSC008527</t>
  </si>
  <si>
    <t>RSC008116</t>
  </si>
  <si>
    <t>RSC006823</t>
  </si>
  <si>
    <t>RSC006000</t>
  </si>
  <si>
    <t>RSC002730</t>
  </si>
  <si>
    <t>RSC008052</t>
  </si>
  <si>
    <t>RSC006938</t>
  </si>
  <si>
    <t>RSC000851</t>
  </si>
  <si>
    <t>RSC006174</t>
  </si>
  <si>
    <t>RSC008463</t>
  </si>
  <si>
    <t>RSC006654</t>
  </si>
  <si>
    <t>RSC005505</t>
  </si>
  <si>
    <t>RSC008536</t>
  </si>
  <si>
    <t>RSC008460</t>
  </si>
  <si>
    <t>RSC006315</t>
  </si>
  <si>
    <t>RSC008524</t>
  </si>
  <si>
    <t>RSC006199</t>
  </si>
  <si>
    <t>RSC007213</t>
  </si>
  <si>
    <t>RSC000182</t>
  </si>
  <si>
    <t>RSC007373</t>
  </si>
  <si>
    <t>RSC007186</t>
  </si>
  <si>
    <t>RSC008211</t>
  </si>
  <si>
    <t>RSC007062</t>
  </si>
  <si>
    <t>RSC000981</t>
  </si>
  <si>
    <t>RSC007861</t>
  </si>
  <si>
    <t>RSC007555</t>
  </si>
  <si>
    <t>RSC008364</t>
  </si>
  <si>
    <t>RSC007143</t>
  </si>
  <si>
    <t>RSC006089</t>
  </si>
  <si>
    <t>RSC008344</t>
  </si>
  <si>
    <t>RSC005314</t>
  </si>
  <si>
    <t>RSC004997</t>
  </si>
  <si>
    <t>RSC007618</t>
  </si>
  <si>
    <t>RSC005689</t>
  </si>
  <si>
    <t>RSC005355</t>
  </si>
  <si>
    <t>RSC005294</t>
  </si>
  <si>
    <t>RSC006639</t>
  </si>
  <si>
    <t>RSC007070</t>
  </si>
  <si>
    <t>RSC003122</t>
  </si>
  <si>
    <t>RSC003255</t>
  </si>
  <si>
    <t>RSC006976</t>
  </si>
  <si>
    <t>RSC005438</t>
  </si>
  <si>
    <t>RSC008592</t>
  </si>
  <si>
    <t>RSC004385</t>
  </si>
  <si>
    <t>RSC001091</t>
  </si>
  <si>
    <t>RSC004970</t>
  </si>
  <si>
    <t>RSC006428</t>
  </si>
  <si>
    <t>RSC006949</t>
  </si>
  <si>
    <t>RSC008548</t>
  </si>
  <si>
    <t>RSC000848</t>
  </si>
  <si>
    <t>RSC008562</t>
  </si>
  <si>
    <t>RSC008411</t>
  </si>
  <si>
    <t>RSC007576</t>
  </si>
  <si>
    <t>RSC005246</t>
  </si>
  <si>
    <t>RSC006794</t>
  </si>
  <si>
    <t>RSC008505</t>
  </si>
  <si>
    <t>RSC003456</t>
  </si>
  <si>
    <t xml:space="preserve"> </t>
  </si>
  <si>
    <t>Player Name</t>
  </si>
  <si>
    <t>Stats</t>
  </si>
  <si>
    <t>1SzZbrOP82HEMpikOOMEU8t9RSC1YQ3v8qmbKb1ynflE</t>
  </si>
  <si>
    <t>Today</t>
  </si>
  <si>
    <t>Member Sheet</t>
  </si>
  <si>
    <t>135E24RWpTJqBdFqwoD4dOU0O_hb0KALtsv_gBVBYNlo</t>
  </si>
  <si>
    <t>IDR Sheet</t>
  </si>
  <si>
    <t>1T7dhnG7--7vjeLwPEGPtC6DfhzLamhubZWjBw3eJQWk</t>
  </si>
  <si>
    <t>SBV Sheet</t>
  </si>
  <si>
    <t>14-P7VKMn_KnrNL5dUkFY5nK-bsS8xD0qaTWl9ToRl1g</t>
  </si>
  <si>
    <t>Standings Sheet</t>
  </si>
  <si>
    <t>1iZdJocskBkjZwRcb2FrYzWm7FsMyLbUzt4GAI8LN_l8</t>
  </si>
  <si>
    <t>Contracts</t>
  </si>
  <si>
    <t>1pVedtea8FIRjc-YoW45KT1Pr7M6Y3oibPppb71Z12hc</t>
  </si>
  <si>
    <t>Minimum Games Required (60% of total games)</t>
  </si>
  <si>
    <t># of Match Days</t>
  </si>
  <si>
    <t>Rolling GPR 60%</t>
  </si>
  <si>
    <t>Match Days Played</t>
  </si>
  <si>
    <t>Match Day</t>
  </si>
  <si>
    <t>Date</t>
  </si>
  <si>
    <t>Premier</t>
  </si>
  <si>
    <t>14</t>
  </si>
  <si>
    <t>Master</t>
  </si>
  <si>
    <t>15</t>
  </si>
  <si>
    <t>Elite</t>
  </si>
  <si>
    <t>Veteran</t>
  </si>
  <si>
    <t>16</t>
  </si>
  <si>
    <t>Rival</t>
  </si>
  <si>
    <t>Challenger</t>
  </si>
  <si>
    <t>Prospect</t>
  </si>
  <si>
    <t>Contender</t>
  </si>
  <si>
    <t>13</t>
  </si>
  <si>
    <t>Amateur</t>
  </si>
  <si>
    <t>Timbo</t>
  </si>
  <si>
    <t>Menthol</t>
  </si>
  <si>
    <t>Queue</t>
  </si>
  <si>
    <t>Manticore</t>
  </si>
  <si>
    <t>Beans</t>
  </si>
  <si>
    <t>Embezzlers</t>
  </si>
  <si>
    <t>TyTy</t>
  </si>
  <si>
    <t>Hellhounds
Afterburners
Commanders</t>
  </si>
  <si>
    <t>Slayerof666</t>
  </si>
  <si>
    <t>Purrgatory</t>
  </si>
  <si>
    <t>its_lost</t>
  </si>
  <si>
    <t>Meat Lovers</t>
  </si>
  <si>
    <t>Stale Popcorn</t>
  </si>
  <si>
    <t>Winter Fresh
HR Violation</t>
  </si>
  <si>
    <t>Wheelchair {LFLegs}</t>
  </si>
  <si>
    <t>Primo
Liars
Ocelots</t>
  </si>
  <si>
    <t>Blun</t>
  </si>
  <si>
    <t>Hue Heroes</t>
  </si>
  <si>
    <t>Drupenson</t>
  </si>
  <si>
    <t>Eclipse</t>
  </si>
  <si>
    <t>Gummy Bears</t>
  </si>
  <si>
    <t>Goose</t>
  </si>
  <si>
    <t>Banshees</t>
  </si>
  <si>
    <t>Rex</t>
  </si>
  <si>
    <t>Demons</t>
  </si>
  <si>
    <t>Jonezy</t>
  </si>
  <si>
    <t>Oblivion</t>
  </si>
  <si>
    <t>Singularity</t>
  </si>
  <si>
    <t>FrostyBrew</t>
  </si>
  <si>
    <t>Treefrog</t>
  </si>
  <si>
    <t>Scribes</t>
  </si>
  <si>
    <t>LilPrsnWithAnger</t>
  </si>
  <si>
    <t>Corals</t>
  </si>
  <si>
    <t>Yoza</t>
  </si>
  <si>
    <t>Kirin
Gouda Gangsters</t>
  </si>
  <si>
    <t>ryanawesome_</t>
  </si>
  <si>
    <t>Nighthawks</t>
  </si>
  <si>
    <t>Styk75</t>
  </si>
  <si>
    <t>Legionaries</t>
  </si>
  <si>
    <t>Infinite</t>
  </si>
  <si>
    <t>Turtle_Supreme</t>
  </si>
  <si>
    <t>Gaboons</t>
  </si>
  <si>
    <t>PostMstrGeneral</t>
  </si>
  <si>
    <t>Lightning
Tax Evaders
Liars
Mining Legion</t>
  </si>
  <si>
    <t>Mezmer</t>
  </si>
  <si>
    <t>Chris.</t>
  </si>
  <si>
    <t>Polar Ice
Mining Legion</t>
  </si>
  <si>
    <t>Meat Lovers
Decuriones</t>
  </si>
  <si>
    <t>Mitzi</t>
  </si>
  <si>
    <t>Porch Pirates</t>
  </si>
  <si>
    <t>Primed</t>
  </si>
  <si>
    <t>Decuriones</t>
  </si>
  <si>
    <t>Pana</t>
  </si>
  <si>
    <t>Scramjets</t>
  </si>
  <si>
    <t>DrizzyJ</t>
  </si>
  <si>
    <t>Hostile Takeover</t>
  </si>
  <si>
    <t>Noriko</t>
  </si>
  <si>
    <t>struttrl</t>
  </si>
  <si>
    <t>Scribes
Warbirds
Toucans
Glaciers
Warthogs</t>
  </si>
  <si>
    <t>Wolfocus</t>
  </si>
  <si>
    <t>Black Ice</t>
  </si>
  <si>
    <t>johkev</t>
  </si>
  <si>
    <t>bovi</t>
  </si>
  <si>
    <t>Dracos</t>
  </si>
  <si>
    <t>ARJ</t>
  </si>
  <si>
    <t>Giraffes</t>
  </si>
  <si>
    <t>Cryptt.</t>
  </si>
  <si>
    <t>Capybaras</t>
  </si>
  <si>
    <t>Taelo</t>
  </si>
  <si>
    <t>Interstellar
Super Clusters</t>
  </si>
  <si>
    <t>wall2wall3</t>
  </si>
  <si>
    <t>Great Whites</t>
  </si>
  <si>
    <t>Canadian Things</t>
  </si>
  <si>
    <t>Desolation
Gelato</t>
  </si>
  <si>
    <t>Rocci</t>
  </si>
  <si>
    <t>Electric Eels</t>
  </si>
  <si>
    <t>Saucey</t>
  </si>
  <si>
    <t>Feta Forgers</t>
  </si>
  <si>
    <t>Fromunda Frauds</t>
  </si>
  <si>
    <t>AEB311</t>
  </si>
  <si>
    <t>Despair</t>
  </si>
  <si>
    <t>mom jeans xl</t>
  </si>
  <si>
    <t>Blacktips</t>
  </si>
  <si>
    <t>paco</t>
  </si>
  <si>
    <t>Drive-by</t>
  </si>
  <si>
    <t>duffy</t>
  </si>
  <si>
    <t>Kawaii</t>
  </si>
  <si>
    <t>dunnie14</t>
  </si>
  <si>
    <t>White Collars
Folks</t>
  </si>
  <si>
    <t>mm2</t>
  </si>
  <si>
    <t>Navigators</t>
  </si>
  <si>
    <t>Salty</t>
  </si>
  <si>
    <t>Battle Masters
Lemurs</t>
  </si>
  <si>
    <t>Tragic</t>
  </si>
  <si>
    <t>Cotija Cartel</t>
  </si>
  <si>
    <t>Earth</t>
  </si>
  <si>
    <t>Merciless Mob</t>
  </si>
  <si>
    <t>buckle</t>
  </si>
  <si>
    <t>Fire</t>
  </si>
  <si>
    <t>hoyci</t>
  </si>
  <si>
    <t>Dracos
Nightfall</t>
  </si>
  <si>
    <t>Foam</t>
  </si>
  <si>
    <t>Reapers</t>
  </si>
  <si>
    <t>LustLizard</t>
  </si>
  <si>
    <t>Chromatic Chaos</t>
  </si>
  <si>
    <t>Ziggy.</t>
  </si>
  <si>
    <t>MattViaAirwaves</t>
  </si>
  <si>
    <t>Polar Ice</t>
  </si>
  <si>
    <t>WittingHalo64</t>
  </si>
  <si>
    <t>Water</t>
  </si>
  <si>
    <t>JoeZ</t>
  </si>
  <si>
    <t>Street Rats</t>
  </si>
  <si>
    <t>D_e_r_k</t>
  </si>
  <si>
    <t>Shade</t>
  </si>
  <si>
    <t>Stemantics</t>
  </si>
  <si>
    <t>SlmRnchr</t>
  </si>
  <si>
    <t>Nukem_IV</t>
  </si>
  <si>
    <t>Ruthless Racket
Liars</t>
  </si>
  <si>
    <t>Sup3rm4n</t>
  </si>
  <si>
    <t>Bombers</t>
  </si>
  <si>
    <t>birds aren't real</t>
  </si>
  <si>
    <t>Warthogs</t>
  </si>
  <si>
    <t>Crimson</t>
  </si>
  <si>
    <t>Legati
Folks</t>
  </si>
  <si>
    <t>Piky Life88</t>
  </si>
  <si>
    <t>GreenSleeves</t>
  </si>
  <si>
    <t>Scotti</t>
  </si>
  <si>
    <t>Battle Masters</t>
  </si>
  <si>
    <t>risu</t>
  </si>
  <si>
    <t>Toucans
Corals</t>
  </si>
  <si>
    <t>Tuxedo Marx</t>
  </si>
  <si>
    <t>Asiago Arsonists</t>
  </si>
  <si>
    <t>stealthman777</t>
  </si>
  <si>
    <t>Kirin</t>
  </si>
  <si>
    <t>Wafe</t>
  </si>
  <si>
    <t>Thrashers
Hellhounds</t>
  </si>
  <si>
    <t>ASHES.</t>
  </si>
  <si>
    <t>Interstellar</t>
  </si>
  <si>
    <t>Classy</t>
  </si>
  <si>
    <t>Clown Sandwich</t>
  </si>
  <si>
    <t>Destin</t>
  </si>
  <si>
    <t>Permafrost
Lemurs</t>
  </si>
  <si>
    <t>flamethrowr</t>
  </si>
  <si>
    <t>Blissful Beluga</t>
  </si>
  <si>
    <t>Howlers</t>
  </si>
  <si>
    <t>bubblebuddy47</t>
  </si>
  <si>
    <t>Lemurs</t>
  </si>
  <si>
    <t>Cob</t>
  </si>
  <si>
    <t>Phoenix
Dracos</t>
  </si>
  <si>
    <t>M1ke1sMy1ke</t>
  </si>
  <si>
    <t>Rob</t>
  </si>
  <si>
    <t>Griffin</t>
  </si>
  <si>
    <t>SUPERDUPERBAM</t>
  </si>
  <si>
    <t>Lightning
Gaboons
Centuriones
Tax Evaders
Heavy Metal
Guards</t>
  </si>
  <si>
    <t>YourEvilTwin</t>
  </si>
  <si>
    <t>Spearmint</t>
  </si>
  <si>
    <t>Phelpsy</t>
  </si>
  <si>
    <t>Teddy Bears</t>
  </si>
  <si>
    <t>cjax</t>
  </si>
  <si>
    <t>Hammerheads
Samurai</t>
  </si>
  <si>
    <t>Plasma</t>
  </si>
  <si>
    <t>Crooked Capos</t>
  </si>
  <si>
    <t>Ghxst</t>
  </si>
  <si>
    <t>Permafrost</t>
  </si>
  <si>
    <t>Kenobs</t>
  </si>
  <si>
    <t>Oblivion
Lemurs</t>
  </si>
  <si>
    <t>T.</t>
  </si>
  <si>
    <t>Colinn</t>
  </si>
  <si>
    <t>Dik-diks</t>
  </si>
  <si>
    <t>Scomps</t>
  </si>
  <si>
    <t>Warbirds
Decuriones</t>
  </si>
  <si>
    <t>Goobz</t>
  </si>
  <si>
    <t>Punks
Capybaras</t>
  </si>
  <si>
    <t>Qundar al-Din</t>
  </si>
  <si>
    <t>Punks</t>
  </si>
  <si>
    <t>Velo</t>
  </si>
  <si>
    <t>Lightning</t>
  </si>
  <si>
    <t>Dosia</t>
  </si>
  <si>
    <t>Drive-by
Hellhounds</t>
  </si>
  <si>
    <t>Slygo21</t>
  </si>
  <si>
    <t>Panick</t>
  </si>
  <si>
    <t>Makos</t>
  </si>
  <si>
    <t>Dread</t>
  </si>
  <si>
    <t>Gelato</t>
  </si>
  <si>
    <t>Dooqal</t>
  </si>
  <si>
    <t>Heavy Metal</t>
  </si>
  <si>
    <t>DEMOralize</t>
  </si>
  <si>
    <t>Legati</t>
  </si>
  <si>
    <t>JoeExotic</t>
  </si>
  <si>
    <t>JesterGG</t>
  </si>
  <si>
    <t>Grizzly Bears</t>
  </si>
  <si>
    <t>Gmoney</t>
  </si>
  <si>
    <t>Tic Tacs
Earth</t>
  </si>
  <si>
    <t>Rosefanatic3615</t>
  </si>
  <si>
    <t>dafiya711</t>
  </si>
  <si>
    <t>Liars
Barracudas</t>
  </si>
  <si>
    <t>Goum</t>
  </si>
  <si>
    <t>Lacuna
Gaboons</t>
  </si>
  <si>
    <t>Kourses</t>
  </si>
  <si>
    <t>Hydras</t>
  </si>
  <si>
    <t>Free.</t>
  </si>
  <si>
    <t>Samurai
Hammerheads</t>
  </si>
  <si>
    <t>Ghostie</t>
  </si>
  <si>
    <t>Mages</t>
  </si>
  <si>
    <t>6-7!</t>
  </si>
  <si>
    <t>lone wolf</t>
  </si>
  <si>
    <t>Hawaiian Pizza</t>
  </si>
  <si>
    <t>Justin</t>
  </si>
  <si>
    <t>Raptors
Frostbite
Gelato</t>
  </si>
  <si>
    <t>Moist_Games</t>
  </si>
  <si>
    <t>Gold Hoarders</t>
  </si>
  <si>
    <t>ItsJusstJ.</t>
  </si>
  <si>
    <t>Sloths</t>
  </si>
  <si>
    <t>CommanderBoy</t>
  </si>
  <si>
    <t>Drive-by
Thrashers</t>
  </si>
  <si>
    <t>saltybikini</t>
  </si>
  <si>
    <t>Sloths
Afterburners</t>
  </si>
  <si>
    <t>Instnt</t>
  </si>
  <si>
    <t>Gaboon</t>
  </si>
  <si>
    <t>Azorh &lt;3</t>
  </si>
  <si>
    <t>Fer-de-Lance</t>
  </si>
  <si>
    <t>Zarthon77</t>
  </si>
  <si>
    <t>Sons of Ares</t>
  </si>
  <si>
    <t>TimmyIU20</t>
  </si>
  <si>
    <t>Winter Fresh
Electric Eels</t>
  </si>
  <si>
    <t>Andy</t>
  </si>
  <si>
    <t>snugcore</t>
  </si>
  <si>
    <t>Thrashers</t>
  </si>
  <si>
    <t>Aquap</t>
  </si>
  <si>
    <t>Lickadoss77</t>
  </si>
  <si>
    <t>Carno</t>
  </si>
  <si>
    <t>Zombies</t>
  </si>
  <si>
    <t>bubles</t>
  </si>
  <si>
    <t>Quasars
Liars</t>
  </si>
  <si>
    <t>dyl</t>
  </si>
  <si>
    <t>Barracudas</t>
  </si>
  <si>
    <t>Doodle!</t>
  </si>
  <si>
    <t>Drive-by
Ghastly Goombahs
Commanders</t>
  </si>
  <si>
    <t>robophant</t>
  </si>
  <si>
    <t>kri0s</t>
  </si>
  <si>
    <t>Heinous Henchmen</t>
  </si>
  <si>
    <t>nickm</t>
  </si>
  <si>
    <t>Pixel Picassos</t>
  </si>
  <si>
    <t>VickyViksta</t>
  </si>
  <si>
    <t>Panda Bears</t>
  </si>
  <si>
    <t>Stone-Dog Millionaire</t>
  </si>
  <si>
    <t>Praetorian Guard</t>
  </si>
  <si>
    <t>PackRL</t>
  </si>
  <si>
    <t>Avalanche</t>
  </si>
  <si>
    <t>Alextross</t>
  </si>
  <si>
    <t>voakes</t>
  </si>
  <si>
    <t>Shadow Tails
Peppermint
Avalanche</t>
  </si>
  <si>
    <t>Reeky</t>
  </si>
  <si>
    <t>Mining Legion
Tax Evaders</t>
  </si>
  <si>
    <t>SirTommyNoble</t>
  </si>
  <si>
    <t>Peppermint
Shadow Tails</t>
  </si>
  <si>
    <t>Shrek Is The Best Anime</t>
  </si>
  <si>
    <t>Centuriones</t>
  </si>
  <si>
    <t>AyoChil1</t>
  </si>
  <si>
    <t>GeneralZippy</t>
  </si>
  <si>
    <t>Andromeda</t>
  </si>
  <si>
    <t>AlanShoreEsq</t>
  </si>
  <si>
    <t>Heavy Metal
Samurai</t>
  </si>
  <si>
    <t>Lad</t>
  </si>
  <si>
    <t>Ghastly Goombahs
Immortals</t>
  </si>
  <si>
    <t>Skulzy9</t>
  </si>
  <si>
    <t>nizz</t>
  </si>
  <si>
    <t>Folks</t>
  </si>
  <si>
    <t>Kflip11</t>
  </si>
  <si>
    <t>Stingrays</t>
  </si>
  <si>
    <t>Nebulade</t>
  </si>
  <si>
    <t>Berserkers</t>
  </si>
  <si>
    <t>Mysty</t>
  </si>
  <si>
    <t>Polar Ice
Wind
Lacuna</t>
  </si>
  <si>
    <t>Kovalchuk</t>
  </si>
  <si>
    <t>Supernova
Fer-de-Lance
Folks</t>
  </si>
  <si>
    <t>GrandPlat</t>
  </si>
  <si>
    <t>Dank._.</t>
  </si>
  <si>
    <t>Hellhounds
Drive-by</t>
  </si>
  <si>
    <t>Snack Time!</t>
  </si>
  <si>
    <t>Commanders
Ghastly Goombahs</t>
  </si>
  <si>
    <t>ShiftDrink</t>
  </si>
  <si>
    <t>AZoroARK</t>
  </si>
  <si>
    <t>Kanye_West_ 2028</t>
  </si>
  <si>
    <t>Supernova</t>
  </si>
  <si>
    <t>Chefty</t>
  </si>
  <si>
    <t>Thrashers
Gelato
Hydras</t>
  </si>
  <si>
    <t>cozyboy</t>
  </si>
  <si>
    <t>jknop2</t>
  </si>
  <si>
    <t>Desolation</t>
  </si>
  <si>
    <t>Boog McCroog</t>
  </si>
  <si>
    <t>Spectres</t>
  </si>
  <si>
    <t>Frostii</t>
  </si>
  <si>
    <t>Mike The Ox</t>
  </si>
  <si>
    <t>Gargoyle</t>
  </si>
  <si>
    <t>xEaglex20x</t>
  </si>
  <si>
    <t>Metal</t>
  </si>
  <si>
    <t>flossy</t>
  </si>
  <si>
    <t>Dragon</t>
  </si>
  <si>
    <t>Redline</t>
  </si>
  <si>
    <t>Havarti Hustlers</t>
  </si>
  <si>
    <t>levibullrush</t>
  </si>
  <si>
    <t>Quasars</t>
  </si>
  <si>
    <t>Python</t>
  </si>
  <si>
    <t>Krakens
Immortals
Forest Cobra
Teddy Bears
Black-Holes
Forge Defenders</t>
  </si>
  <si>
    <t>DrSkimMilk</t>
  </si>
  <si>
    <t>(P|F)ineapple</t>
  </si>
  <si>
    <t>Orochi</t>
  </si>
  <si>
    <t>Gambit</t>
  </si>
  <si>
    <t>Tanuki</t>
  </si>
  <si>
    <t>bosco</t>
  </si>
  <si>
    <t>Lemurs
Kawaii
Helicoprions</t>
  </si>
  <si>
    <t>Brainman_18</t>
  </si>
  <si>
    <t>Merioch</t>
  </si>
  <si>
    <t>Insider Traders</t>
  </si>
  <si>
    <t>Charlemagne</t>
  </si>
  <si>
    <t>Tax Evaders</t>
  </si>
  <si>
    <t>Dooober</t>
  </si>
  <si>
    <t>Raptors</t>
  </si>
  <si>
    <t>TheCroctopus</t>
  </si>
  <si>
    <t>Jinyiwei</t>
  </si>
  <si>
    <t>IBRN_Death</t>
  </si>
  <si>
    <t>Blitzars</t>
  </si>
  <si>
    <t>donald.</t>
  </si>
  <si>
    <t>yillow</t>
  </si>
  <si>
    <t>Lemurs
Permafrost</t>
  </si>
  <si>
    <t>MeOnDisplay</t>
  </si>
  <si>
    <t>Happy B-day Jess</t>
  </si>
  <si>
    <t>Rule</t>
  </si>
  <si>
    <t>Fayzan ibn Balish</t>
  </si>
  <si>
    <t>Gummy Bears
Punks</t>
  </si>
  <si>
    <t>Calcifiree</t>
  </si>
  <si>
    <t>ayylo</t>
  </si>
  <si>
    <t>Feta Forgers
Super Clusters
Crooked Capos</t>
  </si>
  <si>
    <t>WashedDonk</t>
  </si>
  <si>
    <t>Grizzly Bears
Nighthawks</t>
  </si>
  <si>
    <t>bradyK-</t>
  </si>
  <si>
    <t>Aki</t>
  </si>
  <si>
    <t>Ghastly Goombahs</t>
  </si>
  <si>
    <t>Chronicle</t>
  </si>
  <si>
    <t>Warbirds
Toucans</t>
  </si>
  <si>
    <t>HalfieHour</t>
  </si>
  <si>
    <t>Jinyiwei
Insider Traders</t>
  </si>
  <si>
    <t>Tryhard goblin</t>
  </si>
  <si>
    <t>Tyyphoon454</t>
  </si>
  <si>
    <t>Dogfight</t>
  </si>
  <si>
    <t>Gaw1f3d</t>
  </si>
  <si>
    <t>JustHere4SalCap</t>
  </si>
  <si>
    <t>Hellhounds</t>
  </si>
  <si>
    <t>✪ Reprise</t>
  </si>
  <si>
    <t>Helicoprions</t>
  </si>
  <si>
    <t>kgfan3</t>
  </si>
  <si>
    <t>Timmy_-_</t>
  </si>
  <si>
    <t>LikeWisse</t>
  </si>
  <si>
    <t>Super Clusters</t>
  </si>
  <si>
    <t>FlyFyre.</t>
  </si>
  <si>
    <t>Hawkish</t>
  </si>
  <si>
    <t>Poptart Pounder</t>
  </si>
  <si>
    <t>RobFromCSA</t>
  </si>
  <si>
    <t>ghoosstyyyyyyy</t>
  </si>
  <si>
    <t>Super Clusters
Feta Forgers</t>
  </si>
  <si>
    <t>insanity</t>
  </si>
  <si>
    <t>Absolutely TOR</t>
  </si>
  <si>
    <t>Cannoli</t>
  </si>
  <si>
    <t>Abeillonnaise</t>
  </si>
  <si>
    <t>Black Ice
Dracos</t>
  </si>
  <si>
    <t>wntr/x</t>
  </si>
  <si>
    <t>Super</t>
  </si>
  <si>
    <t>Care Bears</t>
  </si>
  <si>
    <t>Miserable</t>
  </si>
  <si>
    <t>Tsheg</t>
  </si>
  <si>
    <t>Logixaal</t>
  </si>
  <si>
    <t>Nitro</t>
  </si>
  <si>
    <t>Gouda Gangsters
Kirin</t>
  </si>
  <si>
    <t>Shogun</t>
  </si>
  <si>
    <t>pr.c</t>
  </si>
  <si>
    <t>Shadow Tails
Peppermint
White Collars</t>
  </si>
  <si>
    <t>Braybaum02</t>
  </si>
  <si>
    <t>Peppermint</t>
  </si>
  <si>
    <t>chis</t>
  </si>
  <si>
    <t>Gouda Gangsters</t>
  </si>
  <si>
    <t>sleepzey</t>
  </si>
  <si>
    <t>Bbcomedian</t>
  </si>
  <si>
    <t>Kappa</t>
  </si>
  <si>
    <t>S1r Duck</t>
  </si>
  <si>
    <t>Threshers</t>
  </si>
  <si>
    <t>tazlien</t>
  </si>
  <si>
    <t>Turbulence
Piranhas</t>
  </si>
  <si>
    <t>Grim</t>
  </si>
  <si>
    <t>Ole.Mr.Bison.</t>
  </si>
  <si>
    <t>Static</t>
  </si>
  <si>
    <t>Squirrel</t>
  </si>
  <si>
    <t>xPrism</t>
  </si>
  <si>
    <t>Hot Wings</t>
  </si>
  <si>
    <t>CarnageWolfBite</t>
  </si>
  <si>
    <t>Samurai</t>
  </si>
  <si>
    <t>Slvr.</t>
  </si>
  <si>
    <t>grip reaper</t>
  </si>
  <si>
    <t>NFURY8</t>
  </si>
  <si>
    <t>Praetorian Guard
Black-Holes</t>
  </si>
  <si>
    <t>Calicat01</t>
  </si>
  <si>
    <t>wicked</t>
  </si>
  <si>
    <t>JustLaben</t>
  </si>
  <si>
    <t>DefNotMongo.</t>
  </si>
  <si>
    <t>Skeletons
Turbulence</t>
  </si>
  <si>
    <t>AgentAnime07</t>
  </si>
  <si>
    <t>Polar Bears</t>
  </si>
  <si>
    <t>Steeltoehammer</t>
  </si>
  <si>
    <t>Commanders</t>
  </si>
  <si>
    <t>Nahzey</t>
  </si>
  <si>
    <t>Immortals
Afterburners</t>
  </si>
  <si>
    <t>Buck</t>
  </si>
  <si>
    <t>Tgunn05</t>
  </si>
  <si>
    <t>Folks
Peppermint</t>
  </si>
  <si>
    <t>Evelynnx</t>
  </si>
  <si>
    <t>Peppermint
Avalanche
Giraffes</t>
  </si>
  <si>
    <t>Smitty</t>
  </si>
  <si>
    <t>SSpekky</t>
  </si>
  <si>
    <t>t4</t>
  </si>
  <si>
    <t>Hippos</t>
  </si>
  <si>
    <t>Loko Deputy</t>
  </si>
  <si>
    <t>Ryujin</t>
  </si>
  <si>
    <t>tdogplayz</t>
  </si>
  <si>
    <t>Glams</t>
  </si>
  <si>
    <t>brillo_padd</t>
  </si>
  <si>
    <t>Toucans
Thunder Pups</t>
  </si>
  <si>
    <t>Galatiq</t>
  </si>
  <si>
    <t>TacoBae</t>
  </si>
  <si>
    <t>Guards</t>
  </si>
  <si>
    <t>Lucas</t>
  </si>
  <si>
    <t>FrenchyNF</t>
  </si>
  <si>
    <t>Interstellar
Crooked Capos
Feta Forgers</t>
  </si>
  <si>
    <t>Karistafir al-nadim</t>
  </si>
  <si>
    <t>baldmanstreamer</t>
  </si>
  <si>
    <t>Mosaic Maestros
Legati</t>
  </si>
  <si>
    <t>iargue</t>
  </si>
  <si>
    <t>Swax</t>
  </si>
  <si>
    <t>Hirsch</t>
  </si>
  <si>
    <t>Rozi-</t>
  </si>
  <si>
    <t>Forest Cobra</t>
  </si>
  <si>
    <t>Irishhhh</t>
  </si>
  <si>
    <t>Mosaic Maestros</t>
  </si>
  <si>
    <t>MysticMax07</t>
  </si>
  <si>
    <t>dinnindu</t>
  </si>
  <si>
    <t>Wind</t>
  </si>
  <si>
    <t>P0pfgf</t>
  </si>
  <si>
    <t>doctorprofessor_</t>
  </si>
  <si>
    <t>KING.</t>
  </si>
  <si>
    <t>Sakuta</t>
  </si>
  <si>
    <t>Forge Defenders</t>
  </si>
  <si>
    <t>Gilly-_</t>
  </si>
  <si>
    <t>IMOLDGREG67</t>
  </si>
  <si>
    <t>mogulmaniac5480</t>
  </si>
  <si>
    <t>Gorillas</t>
  </si>
  <si>
    <t>Kaisaroh</t>
  </si>
  <si>
    <t>Riko</t>
  </si>
  <si>
    <t>Hammerheads
Barracudas</t>
  </si>
  <si>
    <t>6 lbs of Yeet</t>
  </si>
  <si>
    <t>daggumbigfeet</t>
  </si>
  <si>
    <t>MaggieZerua</t>
  </si>
  <si>
    <t>Leviathans</t>
  </si>
  <si>
    <t>R4p</t>
  </si>
  <si>
    <t>Turbulence</t>
  </si>
  <si>
    <t>Mystikal</t>
  </si>
  <si>
    <t>Rzemb1e</t>
  </si>
  <si>
    <t>Armando</t>
  </si>
  <si>
    <t>dvorl.ttv</t>
  </si>
  <si>
    <t>A Yapping Panda</t>
  </si>
  <si>
    <t>Danub</t>
  </si>
  <si>
    <t>Phantoms</t>
  </si>
  <si>
    <t>PridedBird3406</t>
  </si>
  <si>
    <t>ForestmanChubs</t>
  </si>
  <si>
    <t>Kirin
Avalanche</t>
  </si>
  <si>
    <t>taz.rm</t>
  </si>
  <si>
    <t>Axlos (Goofy and Silly)</t>
  </si>
  <si>
    <t>Frostbite</t>
  </si>
  <si>
    <t>EngynGameOver</t>
  </si>
  <si>
    <t>Envy</t>
  </si>
  <si>
    <t>Liars</t>
  </si>
  <si>
    <t>Benny!</t>
  </si>
  <si>
    <t>Jackowanou</t>
  </si>
  <si>
    <t>The Red R0cket</t>
  </si>
  <si>
    <t>The_Wheelman_95</t>
  </si>
  <si>
    <t>T Sant</t>
  </si>
  <si>
    <t>Primo</t>
  </si>
  <si>
    <t>Lil Windex</t>
  </si>
  <si>
    <t>BaronTac0</t>
  </si>
  <si>
    <t>Pirate Princess Local!</t>
  </si>
  <si>
    <t>Mr. MeOnDisplay</t>
  </si>
  <si>
    <t>Heavy Metal
Lacuna
Dracos
Black Ice
Barracudas</t>
  </si>
  <si>
    <t>Laguna</t>
  </si>
  <si>
    <t>RaunchyRomanian</t>
  </si>
  <si>
    <t>Vortex3524</t>
  </si>
  <si>
    <t>Colossus4203316</t>
  </si>
  <si>
    <t>Skeletons
Tic Tacs</t>
  </si>
  <si>
    <t>Shraggaholic</t>
  </si>
  <si>
    <t>Lupo</t>
  </si>
  <si>
    <t>Cooks</t>
  </si>
  <si>
    <t>Ryan.</t>
  </si>
  <si>
    <t>Navigators
Lycans</t>
  </si>
  <si>
    <t>Meta.Rl-</t>
  </si>
  <si>
    <t>wolverine36535</t>
  </si>
  <si>
    <t>Gold Hoarders
Cooks</t>
  </si>
  <si>
    <t>xim</t>
  </si>
  <si>
    <t>Oneplayamaker</t>
  </si>
  <si>
    <t>Pure_Pusher</t>
  </si>
  <si>
    <t>S_ckz</t>
  </si>
  <si>
    <t>Wntr</t>
  </si>
  <si>
    <t>DQ.</t>
  </si>
  <si>
    <t>ShoddyWolfman</t>
  </si>
  <si>
    <t>Rapidz (Goofy and Silly)</t>
  </si>
  <si>
    <t>Oblivion
Lemurs
Andromeda</t>
  </si>
  <si>
    <t>ZavaRL</t>
  </si>
  <si>
    <t>Black-Holes
Praetorian Guard
Teddy Bears</t>
  </si>
  <si>
    <t>T_i_m_o_g</t>
  </si>
  <si>
    <t>Principales</t>
  </si>
  <si>
    <t>Surge85</t>
  </si>
  <si>
    <t>Asiago Arsonists
Tax Evaders
Nightfall</t>
  </si>
  <si>
    <t>Monty.</t>
  </si>
  <si>
    <t>Bolts</t>
  </si>
  <si>
    <t>Machi</t>
  </si>
  <si>
    <t>Ocelots</t>
  </si>
  <si>
    <t>IIIYummyIII</t>
  </si>
  <si>
    <t>LedTasso</t>
  </si>
  <si>
    <t>Apple Associates</t>
  </si>
  <si>
    <t>Evil twin</t>
  </si>
  <si>
    <t>Ditto</t>
  </si>
  <si>
    <t>Gama The Dwarf</t>
  </si>
  <si>
    <t>Mining Legion</t>
  </si>
  <si>
    <t>Zachthebull36</t>
  </si>
  <si>
    <t>noot</t>
  </si>
  <si>
    <t>DJDancingDuckGif</t>
  </si>
  <si>
    <t>Battle Masters
Kawaii</t>
  </si>
  <si>
    <t>YadiCraft</t>
  </si>
  <si>
    <t>Olympic Knights</t>
  </si>
  <si>
    <t>Roxy</t>
  </si>
  <si>
    <t>TheodoreThe2</t>
  </si>
  <si>
    <t>Shadow Tails
White Collars</t>
  </si>
  <si>
    <t>Yurrbo?</t>
  </si>
  <si>
    <t>Angry-Hermit</t>
  </si>
  <si>
    <t>Xdraco0</t>
  </si>
  <si>
    <t>janixity.</t>
  </si>
  <si>
    <t>Grizzly Bears
Singularity</t>
  </si>
  <si>
    <t>Dondo RF</t>
  </si>
  <si>
    <t>Kitsune</t>
  </si>
  <si>
    <t>Braamse</t>
  </si>
  <si>
    <t>WP_Merciless</t>
  </si>
  <si>
    <t>Lycans</t>
  </si>
  <si>
    <t>ShinxX403</t>
  </si>
  <si>
    <t>PoupSoup</t>
  </si>
  <si>
    <t>AveX InceptionZ</t>
  </si>
  <si>
    <t>DoorTK</t>
  </si>
  <si>
    <t>ZeroPop11</t>
  </si>
  <si>
    <t>Mick</t>
  </si>
  <si>
    <t>FULLBL00DN8V</t>
  </si>
  <si>
    <t>Jay_Kay99</t>
  </si>
  <si>
    <t>Blacksmiths</t>
  </si>
  <si>
    <t>courtesan</t>
  </si>
  <si>
    <t>ExyRL.</t>
  </si>
  <si>
    <t>Drive-by
Krakens</t>
  </si>
  <si>
    <t>I like bananas</t>
  </si>
  <si>
    <t>Mages
Legati</t>
  </si>
  <si>
    <t>Flyerrr85</t>
  </si>
  <si>
    <t>Corals
Warbirds</t>
  </si>
  <si>
    <t>1999 Toyota Camry</t>
  </si>
  <si>
    <t>Saucy Rexy</t>
  </si>
  <si>
    <t>Irozuh-</t>
  </si>
  <si>
    <t>Giant Squids</t>
  </si>
  <si>
    <t>Celiscy</t>
  </si>
  <si>
    <t>Nightfall
Tax Evaders</t>
  </si>
  <si>
    <t>Kingtutt97</t>
  </si>
  <si>
    <t>Stingray</t>
  </si>
  <si>
    <t>Afterburners
Hellhounds
Praetorian Guard</t>
  </si>
  <si>
    <t>renightly</t>
  </si>
  <si>
    <t>Canadian Gamer</t>
  </si>
  <si>
    <t>MiniTechniks</t>
  </si>
  <si>
    <t>Piranhas
Hawaiian Pizza</t>
  </si>
  <si>
    <t>Casca .</t>
  </si>
  <si>
    <t>mojomo (Goofy and Silly)</t>
  </si>
  <si>
    <t>Illusionchaos</t>
  </si>
  <si>
    <t>chawes.</t>
  </si>
  <si>
    <t>Peerless Scarred</t>
  </si>
  <si>
    <t>DribblingPenguin</t>
  </si>
  <si>
    <t>Teddy Bears
Afterburners</t>
  </si>
  <si>
    <t>Dirt D Dan</t>
  </si>
  <si>
    <t>SqueezySponge.</t>
  </si>
  <si>
    <t>Decuriones
Havarti Hustlers
Spearmint</t>
  </si>
  <si>
    <t>Cognitixn</t>
  </si>
  <si>
    <t>White Collars</t>
  </si>
  <si>
    <t>Mimetic</t>
  </si>
  <si>
    <t>Avalanche
Peppermint</t>
  </si>
  <si>
    <t>BIGbadBULLMAN13</t>
  </si>
  <si>
    <t>Escape_Plan1</t>
  </si>
  <si>
    <t>Lorak</t>
  </si>
  <si>
    <t>FerrisCrueller</t>
  </si>
  <si>
    <t>MobBossCitrus</t>
  </si>
  <si>
    <t>Novarchite</t>
  </si>
  <si>
    <t>Toucans</t>
  </si>
  <si>
    <t>YT_rocketbrah</t>
  </si>
  <si>
    <t>nate</t>
  </si>
  <si>
    <t>Rich-Rollin6060</t>
  </si>
  <si>
    <t>Garlic Knots</t>
  </si>
  <si>
    <t>depressed vibez</t>
  </si>
  <si>
    <t>YERP_YERP02</t>
  </si>
  <si>
    <t>Piranhas
Honey Badgers</t>
  </si>
  <si>
    <t>SHAdohwj_</t>
  </si>
  <si>
    <t>Protocol</t>
  </si>
  <si>
    <t>Turbulence
Skeletons</t>
  </si>
  <si>
    <t>Reported.</t>
  </si>
  <si>
    <t>StaRazor</t>
  </si>
  <si>
    <t>Thunder Pups
Warthogs</t>
  </si>
  <si>
    <t>TangentOgive</t>
  </si>
  <si>
    <t>HuggingThor</t>
  </si>
  <si>
    <t>Blacktips
Tic Tacs</t>
  </si>
  <si>
    <t>RSC Raven</t>
  </si>
  <si>
    <t>SniperWarrior007</t>
  </si>
  <si>
    <t>S E L.</t>
  </si>
  <si>
    <t>M1TNS</t>
  </si>
  <si>
    <t>Cynical89</t>
  </si>
  <si>
    <t>vAirwick</t>
  </si>
  <si>
    <t>Hammerheads</t>
  </si>
  <si>
    <t>XtraCrispyRL</t>
  </si>
  <si>
    <t>Void</t>
  </si>
  <si>
    <t>AhmedSa-</t>
  </si>
  <si>
    <t>Immortals</t>
  </si>
  <si>
    <t>bayylock</t>
  </si>
  <si>
    <t>Dayz</t>
  </si>
  <si>
    <t>Shadow Tails</t>
  </si>
  <si>
    <t>Hype.56</t>
  </si>
  <si>
    <t>Blitzars
Gold Hoarders</t>
  </si>
  <si>
    <t>FIN0oo</t>
  </si>
  <si>
    <t>MasonJar</t>
  </si>
  <si>
    <t>mulliganisoup</t>
  </si>
  <si>
    <t>Gold Hoarders
Porch Pirates</t>
  </si>
  <si>
    <t>Light_Wigglebean</t>
  </si>
  <si>
    <t>Black-Holes</t>
  </si>
  <si>
    <t>dino_chick3n</t>
  </si>
  <si>
    <t>Enterprise15</t>
  </si>
  <si>
    <t>cartman_-_</t>
  </si>
  <si>
    <t>Afterburners</t>
  </si>
  <si>
    <t>FrogDrivesCar</t>
  </si>
  <si>
    <t>Zxphyr</t>
  </si>
  <si>
    <t>Zone Killa</t>
  </si>
  <si>
    <t>Napkhan</t>
  </si>
  <si>
    <t>Ruthless Racket</t>
  </si>
  <si>
    <t>Chicken</t>
  </si>
  <si>
    <t>ImZalama</t>
  </si>
  <si>
    <t>GET2DACHOPPA5</t>
  </si>
  <si>
    <t>kamui</t>
  </si>
  <si>
    <t>Commanders
Teddy Bears</t>
  </si>
  <si>
    <t>xypheron</t>
  </si>
  <si>
    <t>Luigi</t>
  </si>
  <si>
    <t>EyeSucka</t>
  </si>
  <si>
    <t>Jixer</t>
  </si>
  <si>
    <t>Terx</t>
  </si>
  <si>
    <t>Krakens</t>
  </si>
  <si>
    <t>SGE Nemesis</t>
  </si>
  <si>
    <t>ROCK_Sause</t>
  </si>
  <si>
    <t>Thrashers
Afterburners
Immortals</t>
  </si>
  <si>
    <t>RL Rust</t>
  </si>
  <si>
    <t>Panda</t>
  </si>
  <si>
    <t>Llamaboy101</t>
  </si>
  <si>
    <t>wakinguptomoney.</t>
  </si>
  <si>
    <t>Fox_gt_400</t>
  </si>
  <si>
    <t>Spearmint
Corals
Jinyiwei</t>
  </si>
  <si>
    <t>El Booger Sugar</t>
  </si>
  <si>
    <t>Havarti Hustlers
Decuriones</t>
  </si>
  <si>
    <t>baltostorm</t>
  </si>
  <si>
    <t>ExecutivePowers</t>
  </si>
  <si>
    <t>JazzMagic.</t>
  </si>
  <si>
    <t>AlteredSp4rky</t>
  </si>
  <si>
    <t>ImSouperGreat</t>
  </si>
  <si>
    <t>KittyMeowMeow360</t>
  </si>
  <si>
    <t>HI7MAN305</t>
  </si>
  <si>
    <t>Peppermint
Fer-de-Lance</t>
  </si>
  <si>
    <t>itsu_desu</t>
  </si>
  <si>
    <t>Onirltv</t>
  </si>
  <si>
    <t>Pandaliciously</t>
  </si>
  <si>
    <t>Phoenix</t>
  </si>
  <si>
    <t>Flurry ^-^</t>
  </si>
  <si>
    <t>Jolt</t>
  </si>
  <si>
    <t>Afterburners
Thrashers</t>
  </si>
  <si>
    <t>Kenjicat17</t>
  </si>
  <si>
    <t>Kit</t>
  </si>
  <si>
    <t>Jay</t>
  </si>
  <si>
    <t>BobbyWitDatT00L</t>
  </si>
  <si>
    <t>OvrSizedFrog</t>
  </si>
  <si>
    <t>Swanny2.0</t>
  </si>
  <si>
    <t>rinny_b0y</t>
  </si>
  <si>
    <t>LostZealous</t>
  </si>
  <si>
    <t>Thunderbolt</t>
  </si>
  <si>
    <t>Bazzinga</t>
  </si>
  <si>
    <t>Lacuna</t>
  </si>
  <si>
    <t>Soda. .</t>
  </si>
  <si>
    <t>nuummite</t>
  </si>
  <si>
    <t>HaZard</t>
  </si>
  <si>
    <t>Black-Holes
Hydras
Commanders</t>
  </si>
  <si>
    <t>oiNio</t>
  </si>
  <si>
    <t>end of navegelion</t>
  </si>
  <si>
    <t>Pivot97</t>
  </si>
  <si>
    <t>Slendda</t>
  </si>
  <si>
    <t>not so jucy skep</t>
  </si>
  <si>
    <t>swah-</t>
  </si>
  <si>
    <t>fetty_steve98</t>
  </si>
  <si>
    <t>Ice Phoenix</t>
  </si>
  <si>
    <t>Rampage</t>
  </si>
  <si>
    <t>demha.</t>
  </si>
  <si>
    <t>Ankur</t>
  </si>
  <si>
    <t>Minjaaa</t>
  </si>
  <si>
    <t>Mangy</t>
  </si>
  <si>
    <t>clankerh8er49</t>
  </si>
  <si>
    <t>Zoomin</t>
  </si>
  <si>
    <t>EKA Luminous</t>
  </si>
  <si>
    <t>BankShark</t>
  </si>
  <si>
    <t>Cuddlingus</t>
  </si>
  <si>
    <t>OmniMurders</t>
  </si>
  <si>
    <t>Folks
Banshees
Peppermint</t>
  </si>
  <si>
    <t>The_Killerwon</t>
  </si>
  <si>
    <t>Washyymann</t>
  </si>
  <si>
    <t>MrAnderpants</t>
  </si>
  <si>
    <t>Winter Fresh
Electric Eels
Garlic Knots</t>
  </si>
  <si>
    <t>BRG</t>
  </si>
  <si>
    <t>Corals
Havarti Hustlers</t>
  </si>
  <si>
    <t>nelz</t>
  </si>
  <si>
    <t>mr_marino_</t>
  </si>
  <si>
    <t>LMNS</t>
  </si>
  <si>
    <t>littygriddy65</t>
  </si>
  <si>
    <t>B0A._.</t>
  </si>
  <si>
    <t>Bushier Brow</t>
  </si>
  <si>
    <t>Evil Gooby</t>
  </si>
  <si>
    <t>Swordsman</t>
  </si>
  <si>
    <t>Cagiestsafe6</t>
  </si>
  <si>
    <t>Thunder Pups</t>
  </si>
  <si>
    <t>FallenAngel</t>
  </si>
  <si>
    <t>GreatHonda</t>
  </si>
  <si>
    <t>Pythronex</t>
  </si>
  <si>
    <t>Mosaic Maestros
Makos
Shadow Tails</t>
  </si>
  <si>
    <t>ASAPxLEG</t>
  </si>
  <si>
    <t>S3EZ</t>
  </si>
  <si>
    <t>Destined Odst666</t>
  </si>
  <si>
    <t>Hot Wings
Lacuna</t>
  </si>
  <si>
    <t>FlopMode.</t>
  </si>
  <si>
    <t>Vvreze</t>
  </si>
  <si>
    <t>Navik</t>
  </si>
  <si>
    <t>D0pey killer</t>
  </si>
  <si>
    <t>Unc Darth</t>
  </si>
  <si>
    <t>Warthogs
Gold Hoarders</t>
  </si>
  <si>
    <t>BallChasinq</t>
  </si>
  <si>
    <t>kRs^^</t>
  </si>
  <si>
    <t>7aco104</t>
  </si>
  <si>
    <t>vTheTankMan</t>
  </si>
  <si>
    <t>Krakens
Sloths</t>
  </si>
  <si>
    <t>YtExplixiit</t>
  </si>
  <si>
    <t>CF0UR_</t>
  </si>
  <si>
    <t>TheLegendaryChance</t>
  </si>
  <si>
    <t>St-_-Marc</t>
  </si>
  <si>
    <t>Jmh187-</t>
  </si>
  <si>
    <t>Nightfall</t>
  </si>
  <si>
    <t>TheDarkHero77</t>
  </si>
  <si>
    <t>Tax Evaders
Asiago Arsonists</t>
  </si>
  <si>
    <t>User-0ca0854f3f</t>
  </si>
  <si>
    <t>Spooky</t>
  </si>
  <si>
    <t>Ikigai</t>
  </si>
  <si>
    <t>Squashy</t>
  </si>
  <si>
    <t>Fanatic</t>
  </si>
  <si>
    <t>Tropicalshortsba</t>
  </si>
  <si>
    <t>Jarrod81535</t>
  </si>
  <si>
    <t>Zirr_Grzzlr_onTT</t>
  </si>
  <si>
    <t>Tic Tacs
Piranhas</t>
  </si>
  <si>
    <t>pug</t>
  </si>
  <si>
    <t>ttv. blestbb</t>
  </si>
  <si>
    <t>Black-Holes
Orochi
Ghastly Goombahs</t>
  </si>
  <si>
    <t>oddtrip</t>
  </si>
  <si>
    <t>junior1000gsxr</t>
  </si>
  <si>
    <t>Kitsune
Quasars</t>
  </si>
  <si>
    <t>spuf.</t>
  </si>
  <si>
    <t>Valuedsquash465</t>
  </si>
  <si>
    <t>Porch Pirates
Decuriones
Warthogs</t>
  </si>
  <si>
    <t>xPotatodactylx</t>
  </si>
  <si>
    <t>willbong</t>
  </si>
  <si>
    <t>Sirens
Spearmint
Toucans</t>
  </si>
  <si>
    <t>TheDoy420</t>
  </si>
  <si>
    <t>Gaboons
Polar Ice</t>
  </si>
  <si>
    <t>mogiiuh</t>
  </si>
  <si>
    <t>Lil DizNick</t>
  </si>
  <si>
    <t>Winter Fresh</t>
  </si>
  <si>
    <t>MoonKnight2</t>
  </si>
  <si>
    <t>Honey Badgers</t>
  </si>
  <si>
    <t>im_link42</t>
  </si>
  <si>
    <t>Fused Gavin</t>
  </si>
  <si>
    <t>spposse</t>
  </si>
  <si>
    <t>MyTyranosaur</t>
  </si>
  <si>
    <t>kj</t>
  </si>
  <si>
    <t>YoloOnTinder</t>
  </si>
  <si>
    <t>C-Loupe</t>
  </si>
  <si>
    <t>RAW MUSHROOMS</t>
  </si>
  <si>
    <t>Cr1m5on_RL</t>
  </si>
  <si>
    <t>BigGreenRL</t>
  </si>
  <si>
    <t>Russ</t>
  </si>
  <si>
    <t>Sauce_Boss_36</t>
  </si>
  <si>
    <t>superstrikzz</t>
  </si>
  <si>
    <t>LoneDrifter.</t>
  </si>
  <si>
    <t>Blitzzzzz.</t>
  </si>
  <si>
    <t>Honey Badgers
Hostile Takeover</t>
  </si>
  <si>
    <t>BulletNote</t>
  </si>
  <si>
    <t>yoshawatt</t>
  </si>
  <si>
    <t>Stingrays
Metal</t>
  </si>
  <si>
    <t>N0TTopmarx</t>
  </si>
  <si>
    <t>Wind
Black Ice</t>
  </si>
  <si>
    <t>Whiffy_RL</t>
  </si>
  <si>
    <t>cjastr0-</t>
  </si>
  <si>
    <t>Frijole</t>
  </si>
  <si>
    <t>ObiWan_Can_O_Bee</t>
  </si>
  <si>
    <t>AcX</t>
  </si>
  <si>
    <t>Chills1912</t>
  </si>
  <si>
    <t>StephM2_</t>
  </si>
  <si>
    <t>zag_42</t>
  </si>
  <si>
    <t>CxldHeartedJess</t>
  </si>
  <si>
    <t>Wrecklessjay02</t>
  </si>
  <si>
    <t>Wavy</t>
  </si>
  <si>
    <t>DonkeyPancakes2</t>
  </si>
  <si>
    <t>Notbeanrl</t>
  </si>
  <si>
    <t>CN Tyson</t>
  </si>
  <si>
    <t>RiisenJT</t>
  </si>
  <si>
    <t>Ocelots
Wind</t>
  </si>
  <si>
    <t>GameGang</t>
  </si>
  <si>
    <t>Raptors
Sloths</t>
  </si>
  <si>
    <t>Halibut907</t>
  </si>
  <si>
    <t>Sloths
Ghastly Goombahs</t>
  </si>
  <si>
    <t>Squatch70</t>
  </si>
  <si>
    <t>Robbie</t>
  </si>
  <si>
    <t>Classy-God57</t>
  </si>
  <si>
    <t>Extended</t>
  </si>
  <si>
    <t>Heavy Metal
Primo</t>
  </si>
  <si>
    <t>assassin_funny.</t>
  </si>
  <si>
    <t>Mochi</t>
  </si>
  <si>
    <t>Immortals
Krakens</t>
  </si>
  <si>
    <t>Luminati7</t>
  </si>
  <si>
    <t>Geo</t>
  </si>
  <si>
    <t>Shraxl</t>
  </si>
  <si>
    <t>SavedHawk</t>
  </si>
  <si>
    <t>Yami ^^</t>
  </si>
  <si>
    <t>Unc_DyLon</t>
  </si>
  <si>
    <t>Gold Hoarders
Meat Lovers</t>
  </si>
  <si>
    <t>dxge</t>
  </si>
  <si>
    <t>Gummy Bears
Capybaras</t>
  </si>
  <si>
    <t>trock</t>
  </si>
  <si>
    <t>Chromebook</t>
  </si>
  <si>
    <t>Taunt</t>
  </si>
  <si>
    <t>Gray</t>
  </si>
  <si>
    <t>Sloths
Cotija Cartel</t>
  </si>
  <si>
    <t>Auty RL</t>
  </si>
  <si>
    <t>Akki402</t>
  </si>
  <si>
    <t>Quasars
Lacuna
Wind
Samurai
Phoenix</t>
  </si>
  <si>
    <t>Havox.RL</t>
  </si>
  <si>
    <t>Enchanted</t>
  </si>
  <si>
    <t>Lovegreyhounds</t>
  </si>
  <si>
    <t>harp NO boost</t>
  </si>
  <si>
    <t>Medicmac121</t>
  </si>
  <si>
    <t>Dub_Dill</t>
  </si>
  <si>
    <t>Praetorian Guard
Afterburners</t>
  </si>
  <si>
    <t>Captain Daddy</t>
  </si>
  <si>
    <t>xmanyaknow</t>
  </si>
  <si>
    <t>StoveMessiah</t>
  </si>
  <si>
    <t>Swzyy GN</t>
  </si>
  <si>
    <t>(Jay)</t>
  </si>
  <si>
    <t>Andromeda
Reapers
Battle Masters</t>
  </si>
  <si>
    <t>Salty Num Num</t>
  </si>
  <si>
    <t>Skeletons</t>
  </si>
  <si>
    <t>dwsn.</t>
  </si>
  <si>
    <t>Torro</t>
  </si>
  <si>
    <t>Larkspur</t>
  </si>
  <si>
    <t>Dino incarnate</t>
  </si>
  <si>
    <t>Hostile Takeover
Skeletons</t>
  </si>
  <si>
    <t>solar722</t>
  </si>
  <si>
    <t>Synnicall</t>
  </si>
  <si>
    <t>SeaSpay182009</t>
  </si>
  <si>
    <t>branthedan</t>
  </si>
  <si>
    <t>Vaz1fy.</t>
  </si>
  <si>
    <t>chazie.</t>
  </si>
  <si>
    <t>C01E01</t>
  </si>
  <si>
    <t>Redhood913011</t>
  </si>
  <si>
    <t>Gold Hoarders
Sirens</t>
  </si>
  <si>
    <t>TheBLKBoy</t>
  </si>
  <si>
    <t>Tic Tacs
Skeletons</t>
  </si>
  <si>
    <t>Ocular8</t>
  </si>
  <si>
    <t>Krakens
Cotija Cartel</t>
  </si>
  <si>
    <t>sXCyBeast</t>
  </si>
  <si>
    <t>HR Violation</t>
  </si>
  <si>
    <t>Kaorix</t>
  </si>
  <si>
    <t>Ziffy</t>
  </si>
  <si>
    <t>Forest Cobra
Thrashers</t>
  </si>
  <si>
    <t>Crazics</t>
  </si>
  <si>
    <t>Shepherd</t>
  </si>
  <si>
    <t>Killer</t>
  </si>
  <si>
    <t>JonathanVanDyk</t>
  </si>
  <si>
    <t>SE AT WORK</t>
  </si>
  <si>
    <t>Tic Tacs</t>
  </si>
  <si>
    <t>Kayo</t>
  </si>
  <si>
    <t>Skrilpp</t>
  </si>
  <si>
    <t>Lacuna
Black Ice
Scramjets</t>
  </si>
  <si>
    <t>EcHo.rll</t>
  </si>
  <si>
    <t>Sirens
Gold Hoarders</t>
  </si>
  <si>
    <t>ChefHoffy</t>
  </si>
  <si>
    <t>WamBamTYMan-</t>
  </si>
  <si>
    <t>Warbirds</t>
  </si>
  <si>
    <t>TweakingOut</t>
  </si>
  <si>
    <t>Kanashìmi</t>
  </si>
  <si>
    <t>timthebigone</t>
  </si>
  <si>
    <t>fender_bender2</t>
  </si>
  <si>
    <t>Uncaringfool230</t>
  </si>
  <si>
    <t>CrypticTide.</t>
  </si>
  <si>
    <t>ADV3RSE.</t>
  </si>
  <si>
    <t>Rocketgirl_32</t>
  </si>
  <si>
    <t>SyrupBloodz</t>
  </si>
  <si>
    <t>ImPodz</t>
  </si>
  <si>
    <t>JoshuaNaoki</t>
  </si>
  <si>
    <t>Punks
Gummy Bears</t>
  </si>
  <si>
    <t>Talent?</t>
  </si>
  <si>
    <t>AkTION</t>
  </si>
  <si>
    <t>M0NKEE .</t>
  </si>
  <si>
    <t>M0USE_1</t>
  </si>
  <si>
    <t>Tbrock</t>
  </si>
  <si>
    <t>IrishHawk27</t>
  </si>
  <si>
    <t>Skeletons
Honey Badgers
Hostile Takeover</t>
  </si>
  <si>
    <t>Shadow_11Bravo</t>
  </si>
  <si>
    <t>Glint</t>
  </si>
  <si>
    <t>Jake</t>
  </si>
  <si>
    <t>SlimmySlimReaper</t>
  </si>
  <si>
    <t>Tax Evaders
Black Ice
Barracudas
Liars</t>
  </si>
  <si>
    <t>spul4k</t>
  </si>
  <si>
    <t>Glaciers</t>
  </si>
  <si>
    <t>FlyDRCar</t>
  </si>
  <si>
    <t>Jinyiwei
Meat Lovers
Warbirds
Corals</t>
  </si>
  <si>
    <t>Zuuhan</t>
  </si>
  <si>
    <t>ThruStyler</t>
  </si>
  <si>
    <t>BeardedFrodo1</t>
  </si>
  <si>
    <t>chrisofspades</t>
  </si>
  <si>
    <t>Ezio_256</t>
  </si>
  <si>
    <t>GeneralLeigh91</t>
  </si>
  <si>
    <t>Winter Fresh
Chimera</t>
  </si>
  <si>
    <t>Skillz Issue</t>
  </si>
  <si>
    <t>Samurai
Quasars</t>
  </si>
  <si>
    <t>Oibu</t>
  </si>
  <si>
    <t>Capybaras
Interstellar
Feta Forgers</t>
  </si>
  <si>
    <t>CrucialUrchin</t>
  </si>
  <si>
    <t>Extrakrispybecky</t>
  </si>
  <si>
    <t>Tyson_WA</t>
  </si>
  <si>
    <t>Skeletons
Tic Tacs
Earth</t>
  </si>
  <si>
    <t>Blurrryy.</t>
  </si>
  <si>
    <t>WinterMajorChamp</t>
  </si>
  <si>
    <t>Twixxle_</t>
  </si>
  <si>
    <t>ThatHomieGageTTV</t>
  </si>
  <si>
    <t>JoJo-sepy</t>
  </si>
  <si>
    <t>Trickter02</t>
  </si>
  <si>
    <t>Hypernova</t>
  </si>
  <si>
    <t>Shxde</t>
  </si>
  <si>
    <t>Vera</t>
  </si>
  <si>
    <t>Giant Squids
Lycans</t>
  </si>
  <si>
    <t>Wild Thing</t>
  </si>
  <si>
    <t>xLunarWolfx</t>
  </si>
  <si>
    <t>Bigwigglystylezz</t>
  </si>
  <si>
    <t>Tonini08</t>
  </si>
  <si>
    <t>SludgeMixFuzz</t>
  </si>
  <si>
    <t>Sirens</t>
  </si>
  <si>
    <t>Crowbar7570</t>
  </si>
  <si>
    <t>Alpha Dingo</t>
  </si>
  <si>
    <t>RL Camaro</t>
  </si>
  <si>
    <t>Chimera</t>
  </si>
  <si>
    <t>Preaux.</t>
  </si>
  <si>
    <t>Taiyo</t>
  </si>
  <si>
    <t>Cloudburst</t>
  </si>
  <si>
    <t>RSC008201</t>
  </si>
  <si>
    <t>CatalystNEMO</t>
  </si>
  <si>
    <t>Astro-HxIIFire</t>
  </si>
  <si>
    <t>SeargD</t>
  </si>
  <si>
    <t>oBlueyRL</t>
  </si>
  <si>
    <t>Legitmrmouse</t>
  </si>
  <si>
    <t>Korrello</t>
  </si>
  <si>
    <t>KamdenRL</t>
  </si>
  <si>
    <t>Thrashers
Black-Holes
Hellhounds
Forest Cobra</t>
  </si>
  <si>
    <t>Alfredo</t>
  </si>
  <si>
    <t>OurStevie</t>
  </si>
  <si>
    <t>batman</t>
  </si>
  <si>
    <t>Afino</t>
  </si>
  <si>
    <t>Nighthawks
Grizzly Bears</t>
  </si>
  <si>
    <t>Its_Bran</t>
  </si>
  <si>
    <t>SardonicOx</t>
  </si>
  <si>
    <t>Snipes</t>
  </si>
  <si>
    <t>Oghma</t>
  </si>
  <si>
    <t>j_durv</t>
  </si>
  <si>
    <t>imtobad00</t>
  </si>
  <si>
    <t>Honey x Badger3</t>
  </si>
  <si>
    <t>Happy B-day Jess
Corals</t>
  </si>
  <si>
    <t>Knabit</t>
  </si>
  <si>
    <t>Arana6059</t>
  </si>
  <si>
    <t>Piranhas
Turbulence</t>
  </si>
  <si>
    <t>Puma</t>
  </si>
  <si>
    <t>Crucified6856</t>
  </si>
  <si>
    <t>Zenitramx-_-</t>
  </si>
  <si>
    <t>tacosbruh1299</t>
  </si>
  <si>
    <t>ChiRho_-</t>
  </si>
  <si>
    <t>WifiWFB</t>
  </si>
  <si>
    <t>Thunder Pups
Blitzars</t>
  </si>
  <si>
    <t>KrsOneTwoThree1</t>
  </si>
  <si>
    <t>Tall_28</t>
  </si>
  <si>
    <t>Jhammy.</t>
  </si>
  <si>
    <t>Fireburner.</t>
  </si>
  <si>
    <t>Piranhas</t>
  </si>
  <si>
    <t>Jxc1zz</t>
  </si>
  <si>
    <t>tempo_rl_ttv</t>
  </si>
  <si>
    <t>Jammin</t>
  </si>
  <si>
    <t>Hanz Simmer</t>
  </si>
  <si>
    <t>DLG_ToxicRatTrap</t>
  </si>
  <si>
    <t>Bblaazee.</t>
  </si>
  <si>
    <t>Slowsociety</t>
  </si>
  <si>
    <t>haileyset</t>
  </si>
  <si>
    <t>surreal</t>
  </si>
  <si>
    <t>RealRoice_IsGetz</t>
  </si>
  <si>
    <t>kor</t>
  </si>
  <si>
    <t>Shadows_ss</t>
  </si>
  <si>
    <t>trendy &lt;3</t>
  </si>
  <si>
    <t>IcyWrenTTV</t>
  </si>
  <si>
    <t>S3 TEK</t>
  </si>
  <si>
    <t>SmyrnaRL</t>
  </si>
  <si>
    <t>tiagosan _</t>
  </si>
  <si>
    <t>Merk890</t>
  </si>
  <si>
    <t>flash!</t>
  </si>
  <si>
    <t>Teddy Bears
Sloths</t>
  </si>
  <si>
    <t>Jarrtsu</t>
  </si>
  <si>
    <t>Ken Whiffey Jr.</t>
  </si>
  <si>
    <t>ZonaHOMI</t>
  </si>
  <si>
    <t>Toucans
Sirens
Decuriones</t>
  </si>
  <si>
    <t>taLz.</t>
  </si>
  <si>
    <t>EternalJinx</t>
  </si>
  <si>
    <t>Precision</t>
  </si>
  <si>
    <t>Hawaiian Pizza
Piranhas
Tic Tacs</t>
  </si>
  <si>
    <t>jhonko</t>
  </si>
  <si>
    <t>Storytime</t>
  </si>
  <si>
    <t>Caiman</t>
  </si>
  <si>
    <t>KiLo</t>
  </si>
  <si>
    <t>NotLuke9</t>
  </si>
  <si>
    <t>Cully</t>
  </si>
  <si>
    <t>SirPeakzIV</t>
  </si>
  <si>
    <t>Cotija Cartel
Afterburners
Immortals</t>
  </si>
  <si>
    <t>zerajule</t>
  </si>
  <si>
    <t>Tiz Samu</t>
  </si>
  <si>
    <t>Itzmoose</t>
  </si>
  <si>
    <t>Peppermint
Merciless Mob</t>
  </si>
  <si>
    <t>TTV/DucksNotKeys</t>
  </si>
  <si>
    <t>mightie31</t>
  </si>
  <si>
    <t>Immortals
Raptors</t>
  </si>
  <si>
    <t>gxcid</t>
  </si>
  <si>
    <t>LoonaKami</t>
  </si>
  <si>
    <t>cosmo6430</t>
  </si>
  <si>
    <t>Dread
Singularity</t>
  </si>
  <si>
    <t>Duck</t>
  </si>
  <si>
    <t>StorchBurn</t>
  </si>
  <si>
    <t>LC Spirit</t>
  </si>
  <si>
    <t>I _amDan</t>
  </si>
  <si>
    <t>iSilently</t>
  </si>
  <si>
    <t>Volkner</t>
  </si>
  <si>
    <t>carszin</t>
  </si>
  <si>
    <t>Gouda Gangsters
Berserkers</t>
  </si>
  <si>
    <t>Kev.</t>
  </si>
  <si>
    <t>Leviathans
Feta Forgers</t>
  </si>
  <si>
    <t>Midnight</t>
  </si>
  <si>
    <t>PG_THE3RD</t>
  </si>
  <si>
    <t>Wildragon112</t>
  </si>
  <si>
    <t>Doinkers.</t>
  </si>
  <si>
    <t>Headshotn</t>
  </si>
  <si>
    <t>Shadow Tails
Dread</t>
  </si>
  <si>
    <t>ReformedMike</t>
  </si>
  <si>
    <t>Keriel_Cereal</t>
  </si>
  <si>
    <t>Izumi._._.</t>
  </si>
  <si>
    <t>Billionninja</t>
  </si>
  <si>
    <t>cow</t>
  </si>
  <si>
    <t>Mining Legion
Gaboons
Liars</t>
  </si>
  <si>
    <t>Rose_Havoc97</t>
  </si>
  <si>
    <t>jim2jam</t>
  </si>
  <si>
    <t>haz</t>
  </si>
  <si>
    <t>RyGuy2flie</t>
  </si>
  <si>
    <t>pxiruu</t>
  </si>
  <si>
    <t>Worma</t>
  </si>
  <si>
    <t>Craque</t>
  </si>
  <si>
    <t>Murleaux</t>
  </si>
  <si>
    <t>Kos</t>
  </si>
  <si>
    <t>KryptWard</t>
  </si>
  <si>
    <t>IncorrectTerror</t>
  </si>
  <si>
    <t>Cwuzzy</t>
  </si>
  <si>
    <t>ReaperXD97</t>
  </si>
  <si>
    <t>TrytonsShadow95</t>
  </si>
  <si>
    <t>korndoguwu</t>
  </si>
  <si>
    <t>Scribes
Gold Hoarders</t>
  </si>
  <si>
    <t>Inflict</t>
  </si>
  <si>
    <t>Yaki</t>
  </si>
  <si>
    <t>PshycoNot</t>
  </si>
  <si>
    <t>S3 UniQ</t>
  </si>
  <si>
    <t>Samurai
Tax Evaders
Phantoms
Ruthless Racket</t>
  </si>
  <si>
    <t>J.Boosted</t>
  </si>
  <si>
    <t>Forge Defenders
Black-Holes</t>
  </si>
  <si>
    <t>nacho_nachos2</t>
  </si>
  <si>
    <t>FrostBeard</t>
  </si>
  <si>
    <t>Unc_Rez</t>
  </si>
  <si>
    <t>wntr.</t>
  </si>
  <si>
    <t>//Ronx</t>
  </si>
  <si>
    <t>Alejandro55</t>
  </si>
  <si>
    <t>Lemurs
Battle Masters</t>
  </si>
  <si>
    <t>Jetwind17</t>
  </si>
  <si>
    <t>Rick0810</t>
  </si>
  <si>
    <t>Ghastly Goombahs
Commanders
Drive-by</t>
  </si>
  <si>
    <t>SpicyShinobi</t>
  </si>
  <si>
    <t>Unc Jeebs</t>
  </si>
  <si>
    <t>Lacuna
Scramjets</t>
  </si>
  <si>
    <t>Flame_RL10</t>
  </si>
  <si>
    <t>MOX jori</t>
  </si>
  <si>
    <t>Juice_loffi</t>
  </si>
  <si>
    <t>Praetorian Guard
Teddy Bears</t>
  </si>
  <si>
    <t>ṽex</t>
  </si>
  <si>
    <t>tjdubya21</t>
  </si>
  <si>
    <t>HouseHoldNugg</t>
  </si>
  <si>
    <t>drkmist</t>
  </si>
  <si>
    <t>Malik_P4</t>
  </si>
  <si>
    <t>recon21savege</t>
  </si>
  <si>
    <t>Synbad-</t>
  </si>
  <si>
    <t>White Collars
Peppermint</t>
  </si>
  <si>
    <t>SirSqwilly</t>
  </si>
  <si>
    <t>Heavy Metal
Ocelots</t>
  </si>
  <si>
    <t>Shune.</t>
  </si>
  <si>
    <t>GG K-9</t>
  </si>
  <si>
    <t>Jito1017</t>
  </si>
  <si>
    <t>Electric Eels
Winter Fresh
Garlic Knots</t>
  </si>
  <si>
    <t>T1Ta</t>
  </si>
  <si>
    <t>Slinkxyz</t>
  </si>
  <si>
    <t>Peppermint
Makos
Shadow Tails</t>
  </si>
  <si>
    <t>S0UL09</t>
  </si>
  <si>
    <t>Choco</t>
  </si>
  <si>
    <t>Avalanche
Nighthawks
Gouda Gangsters
Mosaic Maestros
Merciless Mob</t>
  </si>
  <si>
    <t>golden4789</t>
  </si>
  <si>
    <t>jizko</t>
  </si>
  <si>
    <t>lurx bad at rl</t>
  </si>
  <si>
    <t>Dracos
Phoenix</t>
  </si>
  <si>
    <t>lul za za</t>
  </si>
  <si>
    <t>Supernova
Peppermint</t>
  </si>
  <si>
    <t>ZeXeR-_-</t>
  </si>
  <si>
    <t>Rezcoh</t>
  </si>
  <si>
    <t>p4rka.</t>
  </si>
  <si>
    <t>garrydacarry</t>
  </si>
  <si>
    <t>grogǃ</t>
  </si>
  <si>
    <t>RSC Id</t>
  </si>
  <si>
    <t>Played</t>
  </si>
  <si>
    <t>Franchise</t>
  </si>
  <si>
    <t>Cheese Guild</t>
  </si>
  <si>
    <t>N/A</t>
  </si>
  <si>
    <t>Solar</t>
  </si>
  <si>
    <t>Swiss Swindlers</t>
  </si>
  <si>
    <t>Muenster Misfits</t>
  </si>
  <si>
    <t>Summoned</t>
  </si>
  <si>
    <t>Destined</t>
  </si>
  <si>
    <t>Possessed</t>
  </si>
  <si>
    <t>Cursed</t>
  </si>
  <si>
    <t>Deceased</t>
  </si>
  <si>
    <t>Undead</t>
  </si>
  <si>
    <t>Devoured</t>
  </si>
  <si>
    <t>Sacrificed</t>
  </si>
  <si>
    <t>Bek</t>
  </si>
  <si>
    <t>Ox Gaming</t>
  </si>
  <si>
    <t>Stampede</t>
  </si>
  <si>
    <t>Anjou</t>
  </si>
  <si>
    <t>Matadors</t>
  </si>
  <si>
    <t>Longhorns</t>
  </si>
  <si>
    <t>Montbeliarde</t>
  </si>
  <si>
    <t>Widows</t>
  </si>
  <si>
    <t>Eight Legged Freaks</t>
  </si>
  <si>
    <t>Lunar</t>
  </si>
  <si>
    <t>Banana Spiders</t>
  </si>
  <si>
    <t>Wolf Spiders</t>
  </si>
  <si>
    <t>Tarantulas</t>
  </si>
  <si>
    <t>Funnel-Webs</t>
  </si>
  <si>
    <t>Hobo Spiders</t>
  </si>
  <si>
    <t>Flic-Flacs</t>
  </si>
  <si>
    <t>Chargers</t>
  </si>
  <si>
    <t>Electric Mayhem</t>
  </si>
  <si>
    <t>Blackout</t>
  </si>
  <si>
    <t>Thunder</t>
  </si>
  <si>
    <t>Surge</t>
  </si>
  <si>
    <t>Shock</t>
  </si>
  <si>
    <t>Mechanical</t>
  </si>
  <si>
    <t>Energy</t>
  </si>
  <si>
    <t>Atomic</t>
  </si>
  <si>
    <t>Radiant</t>
  </si>
  <si>
    <t>Fusion</t>
  </si>
  <si>
    <t>Pulse</t>
  </si>
  <si>
    <t>Ionic</t>
  </si>
  <si>
    <t>Elastic</t>
  </si>
  <si>
    <t>Fifty-Fifty Pizzeria</t>
  </si>
  <si>
    <t>Calzones</t>
  </si>
  <si>
    <t>Breadsticks</t>
  </si>
  <si>
    <t>Pepperoni Pizza</t>
  </si>
  <si>
    <t>Fettuccine Force</t>
  </si>
  <si>
    <t>Italian Battalion</t>
  </si>
  <si>
    <t>Lasagna Legion</t>
  </si>
  <si>
    <t>Ravioli Rangers</t>
  </si>
  <si>
    <t>Linguini Lancers</t>
  </si>
  <si>
    <t>Mozza Marauders</t>
  </si>
  <si>
    <t>Penne Patrol</t>
  </si>
  <si>
    <t>Vibranium</t>
  </si>
  <si>
    <t>Titanium</t>
  </si>
  <si>
    <t>Chromium</t>
  </si>
  <si>
    <t>Steel</t>
  </si>
  <si>
    <t>Iron</t>
  </si>
  <si>
    <t>Aluminum</t>
  </si>
  <si>
    <t>Glacier Mint</t>
  </si>
  <si>
    <t>Minty Fresh</t>
  </si>
  <si>
    <t>Azathoth</t>
  </si>
  <si>
    <t>The Mythos</t>
  </si>
  <si>
    <t>Cthulhu</t>
  </si>
  <si>
    <t>Lu-Kthu</t>
  </si>
  <si>
    <t>Yig</t>
  </si>
  <si>
    <t>Bokrug</t>
  </si>
  <si>
    <t>Dagon</t>
  </si>
  <si>
    <t>Cthylla</t>
  </si>
  <si>
    <t>Rottweilers</t>
  </si>
  <si>
    <t>Puppy Paradise</t>
  </si>
  <si>
    <t>Dobermans</t>
  </si>
  <si>
    <t>Dalmatians</t>
  </si>
  <si>
    <t>Bulldogs</t>
  </si>
  <si>
    <t>Beagles</t>
  </si>
  <si>
    <t>Draconem</t>
  </si>
  <si>
    <t>Jaculus</t>
  </si>
  <si>
    <t>Wyrm</t>
  </si>
  <si>
    <t>Coatyl</t>
  </si>
  <si>
    <t>Pyrausta</t>
  </si>
  <si>
    <t>Megalodons</t>
  </si>
  <si>
    <t>Shark Attack</t>
  </si>
  <si>
    <t>The Syndicate</t>
  </si>
  <si>
    <t>Hurricanes</t>
  </si>
  <si>
    <t>Storm</t>
  </si>
  <si>
    <t>Tempests</t>
  </si>
  <si>
    <t>Cyclones</t>
  </si>
  <si>
    <t>Typhoons</t>
  </si>
  <si>
    <t>Blizzards</t>
  </si>
  <si>
    <t>Squalls</t>
  </si>
  <si>
    <t>Chimaeras</t>
  </si>
  <si>
    <t>The Abyss</t>
  </si>
  <si>
    <t>Anglers</t>
  </si>
  <si>
    <t>Seadevils</t>
  </si>
  <si>
    <t>Fangtooths</t>
  </si>
  <si>
    <t>Isopods</t>
  </si>
  <si>
    <t>Blobfish</t>
  </si>
  <si>
    <t>Dab Brulee</t>
  </si>
  <si>
    <t>The Bakery</t>
  </si>
  <si>
    <t>Rollin Cannolis</t>
  </si>
  <si>
    <t>Snicker Doobles</t>
  </si>
  <si>
    <t>Puffin Pastries</t>
  </si>
  <si>
    <t>Cherried Crepes</t>
  </si>
  <si>
    <t>Packed Eclairs</t>
  </si>
  <si>
    <t>The Bear Den</t>
  </si>
  <si>
    <t>The Cosmos</t>
  </si>
  <si>
    <t>Polaris</t>
  </si>
  <si>
    <t>Nebulae</t>
  </si>
  <si>
    <t>Dark Matter</t>
  </si>
  <si>
    <t>Antimatter</t>
  </si>
  <si>
    <t>Subatomic</t>
  </si>
  <si>
    <t>The Elements</t>
  </si>
  <si>
    <t>Ice</t>
  </si>
  <si>
    <t>Surprise</t>
  </si>
  <si>
    <t>Fairies</t>
  </si>
  <si>
    <t>The Forest</t>
  </si>
  <si>
    <t>Basilisks</t>
  </si>
  <si>
    <t>Wendigos</t>
  </si>
  <si>
    <t>Wyverns</t>
  </si>
  <si>
    <t>Werewolves</t>
  </si>
  <si>
    <t>Griffins</t>
  </si>
  <si>
    <t>Onions</t>
  </si>
  <si>
    <t>The Garden</t>
  </si>
  <si>
    <t>Peppers</t>
  </si>
  <si>
    <t>Carrots</t>
  </si>
  <si>
    <t>Strawberries</t>
  </si>
  <si>
    <t>Green Beans</t>
  </si>
  <si>
    <t>Pumpkins</t>
  </si>
  <si>
    <t>Potatoes</t>
  </si>
  <si>
    <t>Hel</t>
  </si>
  <si>
    <t>The Gods</t>
  </si>
  <si>
    <t>Santa Muerte</t>
  </si>
  <si>
    <t>Hades</t>
  </si>
  <si>
    <t>Anubis</t>
  </si>
  <si>
    <t>Shinigami</t>
  </si>
  <si>
    <t>Kali</t>
  </si>
  <si>
    <t>The Jungle</t>
  </si>
  <si>
    <t>The Monster Mash</t>
  </si>
  <si>
    <t>Orion</t>
  </si>
  <si>
    <t>The Nexus</t>
  </si>
  <si>
    <t>Aquarius</t>
  </si>
  <si>
    <t>Cepheus</t>
  </si>
  <si>
    <t>Scorpius</t>
  </si>
  <si>
    <t>Arcturus</t>
  </si>
  <si>
    <t>Gemini</t>
  </si>
  <si>
    <t>Flailers</t>
  </si>
  <si>
    <t>The Quad Dynasty</t>
  </si>
  <si>
    <t>Spastics</t>
  </si>
  <si>
    <t>Quads</t>
  </si>
  <si>
    <t>Wheelchairs</t>
  </si>
  <si>
    <t>Pushwalkers</t>
  </si>
  <si>
    <t>Knights</t>
  </si>
  <si>
    <t>The Sovereign</t>
  </si>
  <si>
    <t>Gladiators</t>
  </si>
  <si>
    <t>Vikings</t>
  </si>
  <si>
    <t>Spartans</t>
  </si>
  <si>
    <t>Barbarians</t>
  </si>
  <si>
    <t>Event Horizon</t>
  </si>
  <si>
    <t>Isolation</t>
  </si>
  <si>
    <t>Geeky Ghouls</t>
  </si>
  <si>
    <t>Ghoul School</t>
  </si>
  <si>
    <t>Rockin Revenants</t>
  </si>
  <si>
    <t>Necrotic Nerds</t>
  </si>
  <si>
    <t>Jock O Lanterns</t>
  </si>
  <si>
    <t>Detention Demons</t>
  </si>
  <si>
    <t>Hippie Haunters</t>
  </si>
  <si>
    <t>Orcas</t>
  </si>
  <si>
    <t>Whale Defense</t>
  </si>
  <si>
    <t>Blues</t>
  </si>
  <si>
    <t>Finbacks</t>
  </si>
  <si>
    <t>Humpbacks</t>
  </si>
  <si>
    <t>Bowheads</t>
  </si>
  <si>
    <t>Belugas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</si>
</sst>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
    <numFmt numFmtId="166" formatCode="h:mm:ss am/pm"/>
    <numFmt numFmtId="167" formatCode="0.0%"/>
  </numFmts>
  <fonts count="19">
    <font>
      <sz val="10.0"/>
      <color rgb="FF000000"/>
      <name val="Arial"/>
      <scheme val="minor"/>
    </font>
    <font>
      <b/>
      <color rgb="FFFFFFFF"/>
      <name val="Arial"/>
      <scheme val="minor"/>
    </font>
    <font>
      <color theme="1"/>
      <name val="Arial"/>
      <scheme val="minor"/>
    </font>
    <font>
      <u/>
      <color theme="1"/>
      <name val="Arial"/>
      <scheme val="minor"/>
    </font>
    <font>
      <b/>
      <color rgb="FFF3F3F3"/>
      <name val="Arial"/>
    </font>
    <font>
      <color rgb="FFEFEFEF"/>
      <name val="Arial"/>
    </font>
    <font>
      <color theme="1"/>
      <name val="Arial"/>
    </font>
    <font>
      <b/>
      <color rgb="FFFFFFFF"/>
      <name val="Arial"/>
    </font>
    <font>
      <color rgb="FFFFFFFF"/>
      <name val="Arial"/>
    </font>
    <font>
      <color rgb="FF000000"/>
      <name val="Arial"/>
    </font>
    <font>
      <b/>
      <color theme="1"/>
      <name val="Arial"/>
    </font>
    <font>
      <b/>
      <color theme="1"/>
      <name val="Arial"/>
      <scheme val="minor"/>
    </font>
    <font>
      <sz val="10.0"/>
      <color theme="1"/>
      <name val="Arial"/>
      <scheme val="minor"/>
    </font>
    <font>
      <b/>
      <color rgb="FF000000"/>
      <name val="Arial"/>
    </font>
    <font>
      <b/>
      <color rgb="FF000000"/>
      <name val="Arial"/>
      <scheme val="minor"/>
    </font>
    <font>
      <color rgb="FF000000"/>
      <name val="Arial"/>
      <scheme val="minor"/>
    </font>
    <font>
      <color rgb="FFFFFFFF"/>
      <name val="Arial"/>
      <scheme val="minor"/>
    </font>
    <font>
      <sz val="10.0"/>
      <color rgb="FFFFFFFF"/>
      <name val="Arial"/>
    </font>
    <font>
      <u/>
      <color rgb="FF0000FF"/>
    </font>
  </fonts>
  <fills count="17">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999999"/>
        <bgColor rgb="FF999999"/>
      </patternFill>
    </fill>
    <fill>
      <patternFill patternType="solid">
        <fgColor rgb="FFD600D6"/>
        <bgColor rgb="FFD600D6"/>
      </patternFill>
    </fill>
    <fill>
      <patternFill patternType="solid">
        <fgColor rgb="FF8E7CC3"/>
        <bgColor rgb="FF8E7CC3"/>
      </patternFill>
    </fill>
    <fill>
      <patternFill patternType="solid">
        <fgColor rgb="FF6D9EEB"/>
        <bgColor rgb="FF6D9EEB"/>
      </patternFill>
    </fill>
    <fill>
      <patternFill patternType="solid">
        <fgColor rgb="FF33FFDA"/>
        <bgColor rgb="FF33FFDA"/>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
      <patternFill patternType="solid">
        <fgColor rgb="FFCC4125"/>
        <bgColor rgb="FFCC4125"/>
      </patternFill>
    </fill>
    <fill>
      <patternFill patternType="solid">
        <fgColor rgb="FFC27BA0"/>
        <bgColor rgb="FFC27BA0"/>
      </patternFill>
    </fill>
  </fills>
  <borders count="3">
    <border/>
    <border>
      <left style="thin">
        <color rgb="FF000000"/>
      </left>
    </border>
    <border>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vertical="center"/>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3" fontId="4" numFmtId="0" xfId="0" applyAlignment="1" applyFill="1" applyFont="1">
      <alignment readingOrder="0" vertical="bottom"/>
    </xf>
    <xf borderId="0" fillId="3" fontId="5" numFmtId="0" xfId="0" applyAlignment="1" applyFont="1">
      <alignment readingOrder="0" vertical="bottom"/>
    </xf>
    <xf borderId="0" fillId="0" fontId="2" numFmtId="0" xfId="0" applyAlignment="1" applyFont="1">
      <alignment readingOrder="0"/>
    </xf>
    <xf borderId="0" fillId="0" fontId="2"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1" xfId="0" applyAlignment="1" applyFont="1" applyNumberFormat="1">
      <alignment horizontal="center"/>
    </xf>
    <xf borderId="0" fillId="0" fontId="2" numFmtId="1" xfId="0" applyAlignment="1" applyFont="1" applyNumberFormat="1">
      <alignment horizontal="center"/>
    </xf>
    <xf borderId="0" fillId="0" fontId="2" numFmtId="10" xfId="0" applyAlignment="1" applyFont="1" applyNumberFormat="1">
      <alignment horizontal="center"/>
    </xf>
    <xf borderId="0" fillId="0" fontId="2" numFmtId="2" xfId="0" applyAlignment="1" applyFont="1" applyNumberFormat="1">
      <alignment horizontal="center"/>
    </xf>
    <xf borderId="0" fillId="3" fontId="4" numFmtId="0" xfId="0" applyAlignment="1" applyFont="1">
      <alignment vertical="bottom"/>
    </xf>
    <xf borderId="0" fillId="3" fontId="6" numFmtId="0" xfId="0" applyAlignment="1" applyFont="1">
      <alignment readingOrder="0"/>
    </xf>
    <xf borderId="0" fillId="3" fontId="1" numFmtId="49" xfId="0" applyAlignment="1" applyFont="1" applyNumberFormat="1">
      <alignment horizontal="left"/>
    </xf>
    <xf borderId="0" fillId="3" fontId="7" numFmtId="2" xfId="0" applyAlignment="1" applyFont="1" applyNumberFormat="1">
      <alignment vertical="bottom"/>
    </xf>
    <xf borderId="0" fillId="3" fontId="7" numFmtId="49" xfId="0" applyAlignment="1" applyFont="1" applyNumberFormat="1">
      <alignment horizontal="center" vertical="bottom"/>
    </xf>
    <xf borderId="0" fillId="3" fontId="7" numFmtId="49" xfId="0" applyAlignment="1" applyFont="1" applyNumberFormat="1">
      <alignment horizontal="center" vertical="bottom"/>
    </xf>
    <xf borderId="1" fillId="3" fontId="7" numFmtId="165" xfId="0" applyAlignment="1" applyBorder="1" applyFont="1" applyNumberFormat="1">
      <alignment horizontal="center" vertical="bottom"/>
    </xf>
    <xf borderId="1" fillId="3" fontId="7" numFmtId="165" xfId="0" applyAlignment="1" applyBorder="1" applyFont="1" applyNumberFormat="1">
      <alignment horizontal="center" readingOrder="0" vertical="bottom"/>
    </xf>
    <xf borderId="1" fillId="3" fontId="1" numFmtId="1" xfId="0" applyAlignment="1" applyBorder="1" applyFont="1" applyNumberFormat="1">
      <alignment horizontal="center" readingOrder="0"/>
    </xf>
    <xf borderId="0" fillId="3" fontId="7" numFmtId="0" xfId="0" applyAlignment="1" applyFont="1">
      <alignment horizontal="center" readingOrder="0" vertical="bottom"/>
    </xf>
    <xf borderId="0" fillId="3" fontId="7" numFmtId="164" xfId="0" applyAlignment="1" applyFont="1" applyNumberFormat="1">
      <alignment horizontal="center" readingOrder="0" vertical="bottom"/>
    </xf>
    <xf borderId="0" fillId="3" fontId="8" numFmtId="0" xfId="0" applyAlignment="1" applyFont="1">
      <alignment horizontal="center" vertical="bottom"/>
    </xf>
    <xf borderId="0" fillId="3" fontId="8" numFmtId="1" xfId="0" applyAlignment="1" applyFont="1" applyNumberFormat="1">
      <alignment horizontal="center" vertical="bottom"/>
    </xf>
    <xf borderId="0" fillId="3" fontId="8" numFmtId="10" xfId="0" applyAlignment="1" applyFont="1" applyNumberFormat="1">
      <alignment horizontal="center" readingOrder="0" vertical="bottom"/>
    </xf>
    <xf borderId="0" fillId="3" fontId="8" numFmtId="2" xfId="0" applyAlignment="1" applyFont="1" applyNumberFormat="1">
      <alignment horizontal="center" readingOrder="0" vertical="bottom"/>
    </xf>
    <xf borderId="0" fillId="3" fontId="8" numFmtId="2" xfId="0" applyAlignment="1" applyFont="1" applyNumberFormat="1">
      <alignment horizontal="center" readingOrder="0" vertical="bottom"/>
    </xf>
    <xf borderId="0" fillId="3" fontId="8" numFmtId="2" xfId="0" applyAlignment="1" applyFont="1" applyNumberFormat="1">
      <alignment horizontal="center" readingOrder="0" vertical="bottom"/>
    </xf>
    <xf borderId="0" fillId="3" fontId="8" numFmtId="0" xfId="0" applyAlignment="1" applyFont="1">
      <alignment horizontal="center" vertical="bottom"/>
    </xf>
    <xf borderId="0" fillId="3" fontId="8" numFmtId="0" xfId="0" applyAlignment="1" applyFont="1">
      <alignment horizontal="center" readingOrder="0" vertical="bottom"/>
    </xf>
    <xf borderId="0" fillId="0" fontId="2" numFmtId="165" xfId="0" applyFont="1" applyNumberFormat="1"/>
    <xf borderId="0" fillId="0" fontId="2" numFmtId="2"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readingOrder="0"/>
    </xf>
    <xf borderId="0" fillId="0" fontId="2" numFmtId="2" xfId="0" applyFont="1" applyNumberFormat="1"/>
    <xf borderId="0" fillId="0" fontId="2" numFmtId="0" xfId="0" applyFont="1"/>
    <xf borderId="0" fillId="2" fontId="7" numFmtId="49" xfId="0" applyAlignment="1" applyFont="1" applyNumberFormat="1">
      <alignment horizontal="center" vertical="bottom"/>
    </xf>
    <xf borderId="0" fillId="2" fontId="7" numFmtId="0" xfId="0" applyAlignment="1" applyFont="1">
      <alignment horizontal="center" readingOrder="0" vertical="bottom"/>
    </xf>
    <xf borderId="0" fillId="2" fontId="7" numFmtId="49" xfId="0" applyAlignment="1" applyFont="1" applyNumberFormat="1">
      <alignment vertical="bottom"/>
    </xf>
    <xf borderId="0" fillId="2" fontId="7" numFmtId="165" xfId="0" applyAlignment="1" applyFont="1" applyNumberFormat="1">
      <alignment horizontal="center" vertical="bottom"/>
    </xf>
    <xf borderId="0" fillId="2" fontId="7" numFmtId="49" xfId="0" applyAlignment="1" applyFont="1" applyNumberFormat="1">
      <alignment horizontal="center" vertical="bottom"/>
    </xf>
    <xf borderId="0" fillId="2" fontId="7" numFmtId="1" xfId="0" applyAlignment="1" applyFont="1" applyNumberFormat="1">
      <alignment horizontal="center" vertical="bottom"/>
    </xf>
    <xf borderId="1" fillId="2" fontId="7" numFmtId="165" xfId="0" applyAlignment="1" applyBorder="1" applyFont="1" applyNumberFormat="1">
      <alignment horizontal="center" vertical="bottom"/>
    </xf>
    <xf borderId="1" fillId="2" fontId="7" numFmtId="165" xfId="0" applyAlignment="1" applyBorder="1" applyFont="1" applyNumberFormat="1">
      <alignment horizontal="center" readingOrder="0" vertical="bottom"/>
    </xf>
    <xf borderId="1" fillId="2" fontId="1" numFmtId="1" xfId="0" applyAlignment="1" applyBorder="1" applyFont="1" applyNumberFormat="1">
      <alignment horizontal="center" readingOrder="0"/>
    </xf>
    <xf borderId="0" fillId="4" fontId="9" numFmtId="0" xfId="0" applyAlignment="1" applyFill="1" applyFont="1">
      <alignment horizontal="center" vertical="bottom"/>
    </xf>
    <xf borderId="0" fillId="5" fontId="6" numFmtId="0" xfId="0" applyAlignment="1" applyFill="1" applyFont="1">
      <alignment horizontal="center" vertical="bottom"/>
    </xf>
    <xf borderId="0" fillId="4" fontId="9" numFmtId="0" xfId="0" applyAlignment="1" applyFont="1">
      <alignment vertical="bottom"/>
    </xf>
    <xf borderId="0" fillId="0" fontId="6" numFmtId="165" xfId="0" applyAlignment="1" applyFont="1" applyNumberFormat="1">
      <alignment horizontal="left" vertical="bottom"/>
    </xf>
    <xf borderId="0" fillId="0" fontId="6" numFmtId="0" xfId="0" applyAlignment="1" applyFont="1">
      <alignment horizontal="center" vertical="bottom"/>
    </xf>
    <xf borderId="0" fillId="0" fontId="6" numFmtId="2" xfId="0" applyAlignment="1" applyFont="1" applyNumberFormat="1">
      <alignment horizontal="center" vertical="bottom"/>
    </xf>
    <xf borderId="0" fillId="0" fontId="6" numFmtId="1" xfId="0" applyAlignment="1" applyFont="1" applyNumberFormat="1">
      <alignment horizontal="center" vertical="bottom"/>
    </xf>
    <xf borderId="1" fillId="0" fontId="6" numFmtId="165" xfId="0" applyAlignment="1" applyBorder="1" applyFont="1" applyNumberFormat="1">
      <alignment horizontal="center" vertical="bottom"/>
    </xf>
    <xf borderId="1" fillId="0" fontId="2" numFmtId="1" xfId="0" applyAlignment="1" applyBorder="1" applyFont="1" applyNumberFormat="1">
      <alignment horizontal="center"/>
    </xf>
    <xf borderId="0" fillId="0" fontId="6" numFmtId="0" xfId="0" applyAlignment="1" applyFont="1">
      <alignment vertical="bottom"/>
    </xf>
    <xf borderId="0" fillId="0" fontId="6" numFmtId="165" xfId="0" applyAlignment="1" applyFont="1" applyNumberFormat="1">
      <alignment horizontal="center" vertical="bottom"/>
    </xf>
    <xf borderId="0" fillId="0" fontId="6" numFmtId="0" xfId="0" applyAlignment="1" applyFont="1">
      <alignment horizontal="center" vertical="bottom"/>
    </xf>
    <xf borderId="0" fillId="0" fontId="2" numFmtId="1" xfId="0" applyAlignment="1" applyFont="1" applyNumberFormat="1">
      <alignment horizontal="center" readingOrder="0"/>
    </xf>
    <xf borderId="0" fillId="2" fontId="7" numFmtId="0" xfId="0" applyAlignment="1" applyFont="1">
      <alignment horizontal="center" vertical="bottom"/>
    </xf>
    <xf borderId="0" fillId="0" fontId="6" numFmtId="165" xfId="0" applyAlignment="1" applyFont="1" applyNumberFormat="1">
      <alignment horizontal="center" vertical="bottom"/>
    </xf>
    <xf borderId="0" fillId="0" fontId="6" numFmtId="3" xfId="0" applyAlignment="1" applyFont="1" applyNumberFormat="1">
      <alignment horizontal="center" vertical="bottom"/>
    </xf>
    <xf borderId="0" fillId="3" fontId="5" numFmtId="0" xfId="0" applyAlignment="1" applyFont="1">
      <alignment readingOrder="0"/>
    </xf>
    <xf borderId="0" fillId="0" fontId="2" numFmtId="0" xfId="0" applyAlignment="1" applyFont="1">
      <alignment horizontal="left" readingOrder="0" vertical="center"/>
    </xf>
    <xf borderId="0" fillId="0" fontId="6" numFmtId="0" xfId="0" applyAlignment="1" applyFont="1">
      <alignment horizontal="center"/>
    </xf>
    <xf borderId="0" fillId="6" fontId="10" numFmtId="0" xfId="0" applyAlignment="1" applyFill="1" applyFont="1">
      <alignment horizontal="center" readingOrder="0"/>
    </xf>
    <xf borderId="0" fillId="6" fontId="6" numFmtId="14" xfId="0" applyAlignment="1" applyFont="1" applyNumberFormat="1">
      <alignment horizontal="center"/>
    </xf>
    <xf borderId="0" fillId="4" fontId="2" numFmtId="0" xfId="0" applyAlignment="1" applyFont="1">
      <alignment horizontal="left" readingOrder="0" vertical="bottom"/>
    </xf>
    <xf borderId="0" fillId="0" fontId="11" numFmtId="0" xfId="0" applyAlignment="1" applyFont="1">
      <alignment horizontal="center" readingOrder="0"/>
    </xf>
    <xf borderId="0" fillId="0" fontId="6" numFmtId="166" xfId="0" applyAlignment="1" applyFont="1" applyNumberFormat="1">
      <alignment horizontal="center"/>
    </xf>
    <xf borderId="0" fillId="0" fontId="12" numFmtId="0" xfId="0" applyAlignment="1" applyFont="1">
      <alignment horizontal="left" readingOrder="0"/>
    </xf>
    <xf borderId="0" fillId="0" fontId="2" numFmtId="0" xfId="0" applyAlignment="1" applyFont="1">
      <alignment horizontal="left" readingOrder="0"/>
    </xf>
    <xf borderId="0" fillId="4" fontId="2" numFmtId="0" xfId="0" applyAlignment="1" applyFont="1">
      <alignment horizontal="left" readingOrder="0"/>
    </xf>
    <xf borderId="0" fillId="0" fontId="10" numFmtId="0" xfId="0" applyAlignment="1" applyFont="1">
      <alignment horizontal="center"/>
    </xf>
    <xf borderId="0" fillId="0" fontId="10" numFmtId="0" xfId="0" applyAlignment="1" applyFont="1">
      <alignment horizontal="center" readingOrder="0"/>
    </xf>
    <xf borderId="0" fillId="4" fontId="10" numFmtId="0" xfId="0" applyAlignment="1" applyFont="1">
      <alignment horizontal="center" vertical="bottom"/>
    </xf>
    <xf borderId="0" fillId="3" fontId="5" numFmtId="0" xfId="0" applyFont="1"/>
    <xf borderId="0" fillId="0" fontId="11" numFmtId="0" xfId="0" applyAlignment="1" applyFont="1">
      <alignment horizontal="center"/>
    </xf>
    <xf borderId="2" fillId="7" fontId="13" numFmtId="0" xfId="0" applyAlignment="1" applyBorder="1" applyFill="1" applyFont="1">
      <alignment horizontal="center"/>
    </xf>
    <xf borderId="2" fillId="7" fontId="14" numFmtId="0" xfId="0" applyAlignment="1" applyBorder="1" applyFont="1">
      <alignment horizontal="center" readingOrder="0"/>
    </xf>
    <xf borderId="2" fillId="7" fontId="13" numFmtId="0" xfId="0" applyAlignment="1" applyBorder="1" applyFont="1">
      <alignment horizontal="center" readingOrder="0"/>
    </xf>
    <xf borderId="2" fillId="7" fontId="13" numFmtId="0" xfId="0" applyAlignment="1" applyBorder="1" applyFont="1">
      <alignment horizontal="center" vertical="bottom"/>
    </xf>
    <xf borderId="0" fillId="8" fontId="6" numFmtId="2" xfId="0" applyAlignment="1" applyFill="1" applyFont="1" applyNumberFormat="1">
      <alignment horizontal="center"/>
    </xf>
    <xf borderId="0" fillId="6" fontId="2" numFmtId="49" xfId="0" applyAlignment="1" applyFont="1" applyNumberFormat="1">
      <alignment horizontal="center"/>
    </xf>
    <xf borderId="0" fillId="0" fontId="6" numFmtId="49" xfId="0" applyAlignment="1" applyFont="1" applyNumberFormat="1">
      <alignment horizontal="center" readingOrder="0"/>
    </xf>
    <xf borderId="0" fillId="6" fontId="6" numFmtId="49" xfId="0" applyAlignment="1" applyFont="1" applyNumberFormat="1">
      <alignment horizontal="center"/>
    </xf>
    <xf borderId="0" fillId="6" fontId="6" numFmtId="49" xfId="0" applyAlignment="1" applyFont="1" applyNumberFormat="1">
      <alignment horizontal="center" vertical="bottom"/>
    </xf>
    <xf borderId="0" fillId="6" fontId="6" numFmtId="0" xfId="0" applyAlignment="1" applyFont="1">
      <alignment horizontal="center" vertical="bottom"/>
    </xf>
    <xf borderId="0" fillId="0" fontId="6" numFmtId="14" xfId="0" applyAlignment="1" applyFont="1" applyNumberFormat="1">
      <alignment horizontal="center" vertical="bottom"/>
    </xf>
    <xf borderId="0" fillId="9" fontId="6" numFmtId="2" xfId="0" applyAlignment="1" applyFill="1" applyFont="1" applyNumberFormat="1">
      <alignment horizontal="center"/>
    </xf>
    <xf borderId="0" fillId="10" fontId="6" numFmtId="2" xfId="0" applyAlignment="1" applyFill="1" applyFont="1" applyNumberFormat="1">
      <alignment horizontal="center"/>
    </xf>
    <xf borderId="0" fillId="11" fontId="6" numFmtId="2" xfId="0" applyAlignment="1" applyFill="1" applyFont="1" applyNumberFormat="1">
      <alignment horizontal="center"/>
    </xf>
    <xf borderId="0" fillId="12" fontId="6" numFmtId="2" xfId="0" applyAlignment="1" applyFill="1" applyFont="1" applyNumberFormat="1">
      <alignment horizontal="center"/>
    </xf>
    <xf borderId="0" fillId="13" fontId="6" numFmtId="2" xfId="0" applyAlignment="1" applyFill="1" applyFont="1" applyNumberFormat="1">
      <alignment horizontal="center"/>
    </xf>
    <xf borderId="0" fillId="14" fontId="6" numFmtId="2" xfId="0" applyAlignment="1" applyFill="1" applyFont="1" applyNumberFormat="1">
      <alignment horizontal="center"/>
    </xf>
    <xf borderId="0" fillId="15" fontId="6" numFmtId="2" xfId="0" applyAlignment="1" applyFill="1" applyFont="1" applyNumberFormat="1">
      <alignment horizontal="center"/>
    </xf>
    <xf borderId="0" fillId="16" fontId="6" numFmtId="2" xfId="0" applyAlignment="1" applyFill="1" applyFont="1" applyNumberFormat="1">
      <alignment horizontal="center"/>
    </xf>
    <xf borderId="0" fillId="2" fontId="2" numFmtId="0" xfId="0" applyFont="1"/>
    <xf borderId="0" fillId="2" fontId="7" numFmtId="0" xfId="0" applyAlignment="1" applyFont="1">
      <alignment horizontal="center"/>
    </xf>
    <xf borderId="0" fillId="2" fontId="13" numFmtId="0" xfId="0" applyAlignment="1" applyFont="1">
      <alignment horizontal="center" readingOrder="0"/>
    </xf>
    <xf borderId="0" fillId="2" fontId="6" numFmtId="2" xfId="0" applyAlignment="1" applyFont="1" applyNumberFormat="1">
      <alignment horizontal="center"/>
    </xf>
    <xf borderId="0" fillId="2" fontId="6" numFmtId="49" xfId="0" applyAlignment="1" applyFont="1" applyNumberFormat="1">
      <alignment horizontal="center"/>
    </xf>
    <xf borderId="0" fillId="3" fontId="1" numFmtId="0" xfId="0" applyAlignment="1" applyFont="1">
      <alignment horizontal="left" readingOrder="0"/>
    </xf>
    <xf borderId="0" fillId="3" fontId="7" numFmtId="0" xfId="0" applyAlignment="1" applyFont="1">
      <alignment horizontal="center" vertical="bottom"/>
    </xf>
    <xf borderId="0" fillId="3" fontId="7" numFmtId="1" xfId="0" applyAlignment="1" applyFont="1" applyNumberFormat="1">
      <alignment horizontal="center" vertical="bottom"/>
    </xf>
    <xf borderId="0" fillId="3" fontId="7" numFmtId="2" xfId="0" applyAlignment="1" applyFont="1" applyNumberFormat="1">
      <alignment horizontal="center" readingOrder="0" vertical="bottom"/>
    </xf>
    <xf borderId="0" fillId="3" fontId="7" numFmtId="2" xfId="0" applyAlignment="1" applyFont="1" applyNumberFormat="1">
      <alignment horizontal="center" readingOrder="0" vertical="bottom"/>
    </xf>
    <xf borderId="0" fillId="3" fontId="7" numFmtId="2" xfId="0" applyAlignment="1" applyFont="1" applyNumberFormat="1">
      <alignment horizontal="center" readingOrder="0" vertical="bottom"/>
    </xf>
    <xf borderId="0" fillId="3" fontId="7" numFmtId="2" xfId="0" applyAlignment="1" applyFont="1" applyNumberFormat="1">
      <alignment horizontal="center" readingOrder="0" vertical="bottom"/>
    </xf>
    <xf borderId="0" fillId="3" fontId="7" numFmtId="0" xfId="0" applyAlignment="1" applyFont="1">
      <alignment horizontal="center" vertical="bottom"/>
    </xf>
    <xf borderId="0" fillId="3" fontId="7" numFmtId="0" xfId="0" applyAlignment="1" applyFont="1">
      <alignment horizontal="center" readingOrder="0" vertical="bottom"/>
    </xf>
    <xf borderId="0" fillId="3" fontId="15" numFmtId="0" xfId="0" applyAlignment="1" applyFont="1">
      <alignment horizontal="left" readingOrder="0"/>
    </xf>
    <xf borderId="0" fillId="3" fontId="9" numFmtId="0" xfId="0" applyAlignment="1" applyFont="1">
      <alignment horizontal="left" vertical="bottom"/>
    </xf>
    <xf borderId="0" fillId="3" fontId="15" numFmtId="0" xfId="0" applyAlignment="1" applyFont="1">
      <alignment horizontal="right" readingOrder="0"/>
    </xf>
    <xf borderId="0" fillId="3" fontId="9" numFmtId="0" xfId="0" applyAlignment="1" applyFont="1">
      <alignment horizontal="right" readingOrder="0" vertical="bottom"/>
    </xf>
    <xf borderId="0" fillId="3" fontId="9" numFmtId="164" xfId="0" applyAlignment="1" applyFont="1" applyNumberFormat="1">
      <alignment horizontal="right" readingOrder="0" vertical="bottom"/>
    </xf>
    <xf borderId="0" fillId="3" fontId="9" numFmtId="0" xfId="0" applyAlignment="1" applyFont="1">
      <alignment horizontal="right" vertical="bottom"/>
    </xf>
    <xf borderId="0" fillId="4" fontId="9" numFmtId="2" xfId="0" applyAlignment="1" applyFont="1" applyNumberFormat="1">
      <alignment horizontal="right" readingOrder="0" vertical="bottom"/>
    </xf>
    <xf borderId="0" fillId="4" fontId="9" numFmtId="2" xfId="0" applyAlignment="1" applyFont="1" applyNumberFormat="1">
      <alignment horizontal="right" readingOrder="0" vertical="bottom"/>
    </xf>
    <xf borderId="0" fillId="0" fontId="15" numFmtId="0" xfId="0" applyAlignment="1" applyFont="1">
      <alignment horizontal="right"/>
    </xf>
    <xf borderId="0" fillId="0" fontId="2" numFmtId="164" xfId="0" applyFont="1" applyNumberFormat="1"/>
    <xf borderId="0" fillId="4" fontId="2" numFmtId="2" xfId="0" applyFont="1" applyNumberFormat="1"/>
    <xf borderId="0" fillId="0" fontId="2" numFmtId="167" xfId="0" applyFont="1" applyNumberFormat="1"/>
    <xf borderId="0" fillId="2" fontId="8" numFmtId="0" xfId="0" applyAlignment="1" applyFont="1">
      <alignment horizontal="center" vertical="bottom"/>
    </xf>
    <xf borderId="0" fillId="2" fontId="8" numFmtId="0" xfId="0" applyAlignment="1" applyFont="1">
      <alignment horizontal="center" readingOrder="0" vertical="bottom"/>
    </xf>
    <xf borderId="0" fillId="2" fontId="8" numFmtId="0" xfId="0" applyAlignment="1" applyFont="1">
      <alignment horizontal="center" readingOrder="0" vertical="bottom"/>
    </xf>
    <xf borderId="0" fillId="2" fontId="8" numFmtId="164" xfId="0" applyAlignment="1" applyFont="1" applyNumberFormat="1">
      <alignment horizontal="center" readingOrder="0" vertical="bottom"/>
    </xf>
    <xf borderId="0" fillId="2" fontId="8" numFmtId="167" xfId="0" applyAlignment="1" applyFont="1" applyNumberFormat="1">
      <alignment horizontal="center" readingOrder="0" vertical="bottom"/>
    </xf>
    <xf borderId="0" fillId="2" fontId="8" numFmtId="2" xfId="0" applyAlignment="1" applyFont="1" applyNumberFormat="1">
      <alignment horizontal="center" readingOrder="0" vertical="bottom"/>
    </xf>
    <xf borderId="0" fillId="2" fontId="8" numFmtId="0" xfId="0" applyAlignment="1" applyFont="1">
      <alignment horizontal="center" vertical="bottom"/>
    </xf>
    <xf borderId="0" fillId="2" fontId="16" numFmtId="0" xfId="0" applyAlignment="1" applyFont="1">
      <alignment readingOrder="0"/>
    </xf>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horizontal="center"/>
    </xf>
    <xf borderId="0" fillId="0" fontId="2" numFmtId="2" xfId="0" applyAlignment="1" applyFont="1" applyNumberFormat="1">
      <alignment horizontal="center"/>
    </xf>
    <xf borderId="0" fillId="0" fontId="2" numFmtId="2" xfId="0" applyAlignment="1" applyFont="1" applyNumberFormat="1">
      <alignment horizontal="center"/>
    </xf>
    <xf borderId="0" fillId="0" fontId="2" numFmtId="2" xfId="0" applyFont="1" applyNumberFormat="1"/>
    <xf borderId="0" fillId="0" fontId="2" numFmtId="167" xfId="0" applyAlignment="1" applyFont="1" applyNumberFormat="1">
      <alignment horizontal="center"/>
    </xf>
    <xf borderId="0" fillId="2" fontId="8" numFmtId="2" xfId="0" applyAlignment="1" applyFont="1" applyNumberFormat="1">
      <alignment horizontal="center" readingOrder="0" vertical="bottom"/>
    </xf>
    <xf borderId="0" fillId="2" fontId="8" numFmtId="2" xfId="0" applyAlignment="1" applyFont="1" applyNumberFormat="1">
      <alignment horizontal="center" readingOrder="0" vertical="bottom"/>
    </xf>
    <xf borderId="0" fillId="0" fontId="2" numFmtId="0" xfId="0" applyFont="1"/>
    <xf borderId="0" fillId="2" fontId="16" numFmtId="0" xfId="0" applyAlignment="1" applyFont="1">
      <alignment horizontal="center"/>
    </xf>
    <xf borderId="0" fillId="2" fontId="17" numFmtId="49" xfId="0" applyAlignment="1" applyFont="1" applyNumberFormat="1">
      <alignment horizontal="left"/>
    </xf>
    <xf borderId="0" fillId="2" fontId="16" numFmtId="49" xfId="0" applyAlignment="1" applyFont="1" applyNumberFormat="1">
      <alignment horizontal="center"/>
    </xf>
    <xf borderId="0" fillId="0" fontId="18" numFmtId="0" xfId="0" applyFont="1"/>
    <xf borderId="0" fillId="0" fontId="2" numFmtId="0" xfId="0" applyAlignment="1" applyFont="1">
      <alignment readingOrder="0" vertical="center"/>
    </xf>
    <xf borderId="0" fillId="0" fontId="2" numFmtId="0" xfId="0" applyAlignment="1" applyFont="1">
      <alignment readingOrder="0"/>
    </xf>
  </cellXfs>
  <cellStyles count="1">
    <cellStyle xfId="0" name="Normal" builtinId="0"/>
  </cellStyles>
  <dxfs count="15">
    <dxf>
      <font/>
      <fill>
        <patternFill patternType="none"/>
      </fill>
      <border/>
    </dxf>
    <dxf>
      <font/>
      <fill>
        <patternFill patternType="solid">
          <fgColor rgb="FFFFFFFF"/>
          <bgColor rgb="FFFFFFFF"/>
        </patternFill>
      </fill>
      <border/>
    </dxf>
    <dxf>
      <font/>
      <fill>
        <patternFill patternType="solid">
          <fgColor rgb="FFEFEFEF"/>
          <bgColor rgb="FFEFEFEF"/>
        </patternFill>
      </fill>
      <border/>
    </dxf>
    <dxf>
      <font/>
      <fill>
        <patternFill patternType="solid">
          <fgColor rgb="FFC27BA0"/>
          <bgColor rgb="FFC27BA0"/>
        </patternFill>
      </fill>
      <border/>
    </dxf>
    <dxf>
      <font/>
      <fill>
        <patternFill patternType="solid">
          <fgColor rgb="FFCC4125"/>
          <bgColor rgb="FFCC4125"/>
        </patternFill>
      </fill>
      <border/>
    </dxf>
    <dxf>
      <font/>
      <fill>
        <patternFill patternType="solid">
          <fgColor rgb="FFF6B26B"/>
          <bgColor rgb="FFF6B26B"/>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33FFDA"/>
          <bgColor rgb="FF33FFDA"/>
        </patternFill>
      </fill>
      <border/>
    </dxf>
    <dxf>
      <font/>
      <fill>
        <patternFill patternType="solid">
          <fgColor rgb="FF6FA8DC"/>
          <bgColor rgb="FF6FA8DC"/>
        </patternFill>
      </fill>
      <border/>
    </dxf>
    <dxf>
      <font/>
      <fill>
        <patternFill patternType="solid">
          <fgColor rgb="FF8E7CC3"/>
          <bgColor rgb="FF8E7CC3"/>
        </patternFill>
      </fill>
      <border/>
    </dxf>
    <dxf>
      <font/>
      <fill>
        <patternFill patternType="solid">
          <fgColor rgb="FFD600D6"/>
          <bgColor rgb="FFD600D6"/>
        </patternFill>
      </fill>
      <border/>
    </dxf>
    <dxf>
      <font/>
      <fill>
        <patternFill patternType="solid">
          <fgColor rgb="FF000000"/>
          <bgColor rgb="FF000000"/>
        </patternFill>
      </fill>
      <border/>
    </dxf>
    <dxf>
      <font/>
      <fill>
        <patternFill patternType="solid">
          <fgColor rgb="FFF3F3F3"/>
          <bgColor rgb="FFF3F3F3"/>
        </patternFill>
      </fill>
      <border/>
    </dxf>
    <dxf>
      <font/>
      <fill>
        <patternFill patternType="solid">
          <fgColor rgb="FFCCCCCC"/>
          <bgColor rgb="FFCCCCCC"/>
        </patternFill>
      </fill>
      <border/>
    </dxf>
  </dxfs>
  <tableStyles count="8">
    <tableStyle count="2" pivot="0" name="Glossary-style">
      <tableStyleElement dxfId="1" type="firstRowStripe"/>
      <tableStyleElement dxfId="2" type="secondRowStripe"/>
    </tableStyle>
    <tableStyle count="2" pivot="0" name="Sorted RPV-style">
      <tableStyleElement dxfId="1" type="firstRowStripe"/>
      <tableStyleElement dxfId="13" type="secondRowStripe"/>
    </tableStyle>
    <tableStyle count="2" pivot="0" name="Aggregate RPV-style">
      <tableStyleElement dxfId="1" type="firstRowStripe"/>
      <tableStyleElement dxfId="13" type="secondRowStripe"/>
    </tableStyle>
    <tableStyle count="2" pivot="0" name="Sorted Playoff RPV-style">
      <tableStyleElement dxfId="1" type="firstRowStripe"/>
      <tableStyleElement dxfId="13" type="secondRowStripe"/>
    </tableStyle>
    <tableStyle count="2" pivot="0" name="IDR Import-style">
      <tableStyleElement dxfId="1" type="firstRowStripe"/>
      <tableStyleElement dxfId="13" type="secondRowStripe"/>
    </tableStyle>
    <tableStyle count="2" pivot="0" name="Aggregate Playoff RPV-style">
      <tableStyleElement dxfId="1" type="firstRowStripe"/>
      <tableStyleElement dxfId="13" type="secondRowStripe"/>
    </tableStyle>
    <tableStyle count="2" pivot="0" name="Playoff IDR Import-style">
      <tableStyleElement dxfId="1" type="firstRowStripe"/>
      <tableStyleElement dxfId="13" type="secondRowStripe"/>
    </tableStyle>
    <tableStyle count="2" pivot="0" name="Stats-style">
      <tableStyleElement dxfId="1" type="firstRowStripe"/>
      <tableStyleElement dxfId="1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D26" displayName="Table_1" name="Table_1" id="1">
  <tableColumns count="4">
    <tableColumn name="Column1" id="1"/>
    <tableColumn name="Column2" id="2"/>
    <tableColumn name="Column3" id="3"/>
    <tableColumn name="Column4" id="4"/>
  </tableColumns>
  <tableStyleInfo name="Glossary-style" showColumnStripes="0" showFirstColumn="1" showLastColumn="1" showRowStripes="1"/>
</table>
</file>

<file path=xl/tables/table2.xml><?xml version="1.0" encoding="utf-8"?>
<table xmlns="http://schemas.openxmlformats.org/spreadsheetml/2006/main" headerRowCount="0" ref="A1:AD3286" displayName="Table_2" name="Table_2"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orted RPV-style" showColumnStripes="0" showFirstColumn="1" showLastColumn="1" showRowStripes="1"/>
</table>
</file>

<file path=xl/tables/table3.xml><?xml version="1.0" encoding="utf-8"?>
<table xmlns="http://schemas.openxmlformats.org/spreadsheetml/2006/main" headerRowCount="0" ref="A2:J1501"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ggregate RPV-style" showColumnStripes="0" showFirstColumn="1" showLastColumn="1" showRowStripes="1"/>
</table>
</file>

<file path=xl/tables/table4.xml><?xml version="1.0" encoding="utf-8"?>
<table xmlns="http://schemas.openxmlformats.org/spreadsheetml/2006/main" headerRowCount="0" ref="A1:AD2001" displayName="Table_4" name="Table_4" id="4">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orted Playoff RPV-style" showColumnStripes="0" showFirstColumn="1" showLastColumn="1" showRowStripes="1"/>
</table>
</file>

<file path=xl/tables/table5.xml><?xml version="1.0" encoding="utf-8"?>
<table xmlns="http://schemas.openxmlformats.org/spreadsheetml/2006/main" headerRowCount="0" ref="A2:E1501" displayName="Table_5" name="Table_5" id="5">
  <tableColumns count="5">
    <tableColumn name="Column1" id="1"/>
    <tableColumn name="Column2" id="2"/>
    <tableColumn name="Column3" id="3"/>
    <tableColumn name="Column4" id="4"/>
    <tableColumn name="Column5" id="5"/>
  </tableColumns>
  <tableStyleInfo name="IDR Import-style" showColumnStripes="0" showFirstColumn="1" showLastColumn="1" showRowStripes="1"/>
</table>
</file>

<file path=xl/tables/table6.xml><?xml version="1.0" encoding="utf-8"?>
<table xmlns="http://schemas.openxmlformats.org/spreadsheetml/2006/main" headerRowCount="0" ref="A2:J1501" displayName="Table_6" name="Table_6"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ggregate Playoff RPV-style" showColumnStripes="0" showFirstColumn="1" showLastColumn="1" showRowStripes="1"/>
</table>
</file>

<file path=xl/tables/table7.xml><?xml version="1.0" encoding="utf-8"?>
<table xmlns="http://schemas.openxmlformats.org/spreadsheetml/2006/main" headerRowCount="0" ref="A2:E1501" displayName="Table_7" name="Table_7" id="7">
  <tableColumns count="5">
    <tableColumn name="Column1" id="1"/>
    <tableColumn name="Column2" id="2"/>
    <tableColumn name="Column3" id="3"/>
    <tableColumn name="Column4" id="4"/>
    <tableColumn name="Column5" id="5"/>
  </tableColumns>
  <tableStyleInfo name="Playoff IDR Import-style" showColumnStripes="0" showFirstColumn="1" showLastColumn="1" showRowStripes="1"/>
</table>
</file>

<file path=xl/tables/table8.xml><?xml version="1.0" encoding="utf-8"?>
<table xmlns="http://schemas.openxmlformats.org/spreadsheetml/2006/main" headerRowCount="0" ref="A1:R2" displayName="Table_8" name="Table_8" id="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ta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AdeoVtBbJDbERc9RA39CZ-O_ldEwPtD8hikvlXaUNIA/edit?usp=sharing" TargetMode="External"/><Relationship Id="rId2" Type="http://schemas.openxmlformats.org/officeDocument/2006/relationships/hyperlink" Target="https://docs.google.com/spreadsheets/d/1Bz3TdA_yJNlbBBG7OaQcOXRhyYAOcfRo5MqkZ40zb6A/edit?usp=sharing"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twitch.tv/Verdxtv" TargetMode="External"/><Relationship Id="rId2" Type="http://schemas.openxmlformats.org/officeDocument/2006/relationships/hyperlink" Target="http://zora.g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25.38"/>
    <col customWidth="1" min="3" max="3" width="64.63"/>
    <col customWidth="1" min="4" max="4" width="20.0"/>
  </cols>
  <sheetData>
    <row r="1">
      <c r="A1" s="1" t="s">
        <v>0</v>
      </c>
      <c r="B1" s="1" t="s">
        <v>1</v>
      </c>
      <c r="C1" s="1" t="s">
        <v>2</v>
      </c>
      <c r="D1" s="1" t="s">
        <v>3</v>
      </c>
    </row>
    <row r="2">
      <c r="A2" s="2" t="s">
        <v>4</v>
      </c>
      <c r="B2" s="2" t="s">
        <v>4</v>
      </c>
      <c r="C2" s="3"/>
      <c r="D2" s="3"/>
    </row>
    <row r="3">
      <c r="A3" s="2" t="s">
        <v>5</v>
      </c>
      <c r="B3" s="2" t="s">
        <v>5</v>
      </c>
      <c r="C3" s="3"/>
      <c r="D3" s="3"/>
    </row>
    <row r="4">
      <c r="A4" s="2" t="s">
        <v>6</v>
      </c>
      <c r="B4" s="2" t="s">
        <v>6</v>
      </c>
      <c r="C4" s="3" t="s">
        <v>7</v>
      </c>
      <c r="D4" s="3"/>
    </row>
    <row r="5">
      <c r="A5" s="2" t="s">
        <v>8</v>
      </c>
      <c r="B5" s="2" t="s">
        <v>8</v>
      </c>
      <c r="C5" s="3" t="s">
        <v>9</v>
      </c>
      <c r="D5" s="3"/>
    </row>
    <row r="6">
      <c r="A6" s="2" t="s">
        <v>10</v>
      </c>
      <c r="B6" s="2" t="s">
        <v>10</v>
      </c>
      <c r="C6" s="3" t="s">
        <v>11</v>
      </c>
      <c r="D6" s="3"/>
    </row>
    <row r="7">
      <c r="A7" s="2" t="s">
        <v>12</v>
      </c>
      <c r="B7" s="2" t="s">
        <v>13</v>
      </c>
      <c r="C7" s="3" t="s">
        <v>14</v>
      </c>
      <c r="D7" s="3"/>
    </row>
    <row r="8">
      <c r="A8" s="2" t="s">
        <v>15</v>
      </c>
      <c r="B8" s="2" t="s">
        <v>16</v>
      </c>
      <c r="C8" s="3" t="s">
        <v>17</v>
      </c>
      <c r="D8" s="4" t="s">
        <v>18</v>
      </c>
    </row>
    <row r="9">
      <c r="A9" s="2" t="s">
        <v>19</v>
      </c>
      <c r="B9" s="2" t="s">
        <v>20</v>
      </c>
      <c r="C9" s="3" t="s">
        <v>21</v>
      </c>
      <c r="D9" s="4" t="s">
        <v>22</v>
      </c>
    </row>
    <row r="10">
      <c r="A10" s="2" t="s">
        <v>23</v>
      </c>
      <c r="B10" s="2" t="s">
        <v>24</v>
      </c>
      <c r="C10" s="3" t="s">
        <v>25</v>
      </c>
      <c r="D10" s="3"/>
    </row>
    <row r="11">
      <c r="A11" s="2" t="s">
        <v>26</v>
      </c>
      <c r="B11" s="2" t="s">
        <v>27</v>
      </c>
      <c r="C11" s="3"/>
      <c r="D11" s="3"/>
    </row>
    <row r="12">
      <c r="A12" s="2" t="s">
        <v>28</v>
      </c>
      <c r="B12" s="2" t="s">
        <v>29</v>
      </c>
      <c r="C12" s="3"/>
      <c r="D12" s="3"/>
    </row>
    <row r="13">
      <c r="A13" s="2" t="s">
        <v>30</v>
      </c>
      <c r="B13" s="2" t="s">
        <v>31</v>
      </c>
      <c r="C13" s="3" t="s">
        <v>32</v>
      </c>
      <c r="D13" s="3"/>
    </row>
    <row r="14">
      <c r="A14" s="2" t="s">
        <v>33</v>
      </c>
      <c r="B14" s="2" t="s">
        <v>34</v>
      </c>
      <c r="C14" s="3" t="s">
        <v>35</v>
      </c>
      <c r="D14" s="3"/>
    </row>
    <row r="15">
      <c r="A15" s="2" t="s">
        <v>36</v>
      </c>
      <c r="B15" s="2" t="s">
        <v>37</v>
      </c>
      <c r="C15" s="3"/>
      <c r="D15" s="3"/>
    </row>
    <row r="16">
      <c r="A16" s="2" t="s">
        <v>38</v>
      </c>
      <c r="B16" s="2" t="s">
        <v>39</v>
      </c>
      <c r="C16" s="3"/>
      <c r="D16" s="3"/>
    </row>
    <row r="17">
      <c r="A17" s="2" t="s">
        <v>40</v>
      </c>
      <c r="B17" s="2" t="s">
        <v>40</v>
      </c>
      <c r="C17" s="3"/>
      <c r="D17" s="3"/>
    </row>
    <row r="18">
      <c r="A18" s="2" t="s">
        <v>41</v>
      </c>
      <c r="B18" s="2" t="s">
        <v>42</v>
      </c>
      <c r="C18" s="3"/>
      <c r="D18" s="3"/>
    </row>
    <row r="19">
      <c r="A19" s="2" t="s">
        <v>43</v>
      </c>
      <c r="B19" s="2" t="s">
        <v>43</v>
      </c>
      <c r="C19" s="3"/>
      <c r="D19" s="3"/>
    </row>
    <row r="20">
      <c r="A20" s="2" t="s">
        <v>44</v>
      </c>
      <c r="B20" s="2" t="s">
        <v>45</v>
      </c>
      <c r="C20" s="3"/>
      <c r="D20" s="3"/>
    </row>
    <row r="21">
      <c r="A21" s="2" t="s">
        <v>46</v>
      </c>
      <c r="B21" s="2" t="s">
        <v>46</v>
      </c>
      <c r="C21" s="3"/>
      <c r="D21" s="3"/>
    </row>
    <row r="22">
      <c r="A22" s="2" t="s">
        <v>47</v>
      </c>
      <c r="B22" s="2" t="s">
        <v>48</v>
      </c>
      <c r="C22" s="3"/>
      <c r="D22" s="3"/>
    </row>
    <row r="23">
      <c r="A23" s="2" t="s">
        <v>49</v>
      </c>
      <c r="B23" s="2" t="s">
        <v>49</v>
      </c>
      <c r="C23" s="3"/>
      <c r="D23" s="3"/>
    </row>
    <row r="24">
      <c r="A24" s="2" t="s">
        <v>50</v>
      </c>
      <c r="B24" s="2" t="s">
        <v>51</v>
      </c>
      <c r="C24" s="3" t="s">
        <v>51</v>
      </c>
      <c r="D24" s="3"/>
    </row>
    <row r="25">
      <c r="A25" s="5" t="s">
        <v>52</v>
      </c>
      <c r="B25" s="5" t="s">
        <v>53</v>
      </c>
      <c r="C25" s="6" t="s">
        <v>54</v>
      </c>
      <c r="D25" s="3"/>
    </row>
    <row r="26">
      <c r="A26" s="5" t="s">
        <v>55</v>
      </c>
      <c r="B26" s="5" t="s">
        <v>56</v>
      </c>
      <c r="C26" s="6" t="s">
        <v>57</v>
      </c>
      <c r="D26" s="3"/>
    </row>
  </sheetData>
  <hyperlinks>
    <hyperlink r:id="rId1" ref="D8"/>
    <hyperlink r:id="rId2" ref="D9"/>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14.75"/>
    <col customWidth="1" min="2" max="2" width="10.13"/>
    <col customWidth="1" min="3" max="3" width="19.38"/>
    <col customWidth="1" min="4" max="4" width="15.63"/>
    <col customWidth="1" min="5" max="5" width="10.13"/>
    <col customWidth="1" min="6" max="25" width="7.0"/>
    <col customWidth="1" min="26" max="26" width="8.38"/>
    <col customWidth="1" min="27" max="27" width="9.75"/>
    <col customWidth="1" min="28" max="30" width="7.0"/>
  </cols>
  <sheetData>
    <row r="1">
      <c r="A1" s="7" t="s">
        <v>58</v>
      </c>
      <c r="B1" s="8" t="s">
        <v>59</v>
      </c>
      <c r="C1" s="9"/>
      <c r="D1" s="9"/>
      <c r="E1" s="10"/>
      <c r="F1" s="11"/>
      <c r="G1" s="11"/>
      <c r="H1" s="11"/>
      <c r="I1" s="11"/>
      <c r="J1" s="11"/>
      <c r="K1" s="11"/>
      <c r="L1" s="12"/>
      <c r="M1" s="11"/>
      <c r="N1" s="11"/>
      <c r="O1" s="13"/>
      <c r="P1" s="14"/>
      <c r="Q1" s="13"/>
      <c r="R1" s="13"/>
      <c r="S1" s="15"/>
      <c r="T1" s="16"/>
      <c r="U1" s="16"/>
      <c r="V1" s="16"/>
      <c r="W1" s="16"/>
      <c r="X1" s="16"/>
      <c r="Y1" s="11"/>
      <c r="Z1" s="11"/>
      <c r="AA1" s="11"/>
      <c r="AB1" s="11"/>
      <c r="AC1" s="11"/>
      <c r="AD1" s="11"/>
    </row>
    <row r="2">
      <c r="A2" s="17" t="s">
        <v>58</v>
      </c>
      <c r="B2" s="8" t="s">
        <v>12</v>
      </c>
      <c r="C2" s="10"/>
      <c r="D2" s="10"/>
      <c r="E2" s="10"/>
      <c r="F2" s="11"/>
      <c r="G2" s="11"/>
      <c r="H2" s="11"/>
      <c r="I2" s="11"/>
      <c r="J2" s="11"/>
      <c r="K2" s="11"/>
      <c r="L2" s="12"/>
      <c r="M2" s="11"/>
      <c r="N2" s="11"/>
      <c r="O2" s="13"/>
      <c r="P2" s="14"/>
      <c r="Q2" s="13"/>
      <c r="R2" s="13"/>
      <c r="S2" s="15"/>
      <c r="T2" s="16"/>
      <c r="U2" s="16"/>
      <c r="V2" s="16"/>
      <c r="W2" s="16"/>
      <c r="X2" s="16"/>
      <c r="Y2" s="11"/>
      <c r="Z2" s="11"/>
      <c r="AA2" s="11"/>
      <c r="AB2" s="11"/>
      <c r="AC2" s="11"/>
      <c r="AD2" s="11"/>
    </row>
    <row r="3">
      <c r="A3" s="17" t="s">
        <v>60</v>
      </c>
      <c r="B3" s="18" t="b">
        <v>0</v>
      </c>
      <c r="C3" s="10"/>
      <c r="D3" s="10"/>
      <c r="E3" s="10"/>
      <c r="F3" s="11"/>
      <c r="G3" s="11"/>
      <c r="H3" s="11"/>
      <c r="I3" s="11"/>
      <c r="J3" s="11"/>
      <c r="K3" s="11"/>
      <c r="L3" s="12"/>
      <c r="M3" s="11"/>
      <c r="N3" s="11"/>
      <c r="O3" s="13"/>
      <c r="P3" s="14"/>
      <c r="Q3" s="13"/>
      <c r="R3" s="13"/>
      <c r="S3" s="15"/>
      <c r="T3" s="16"/>
      <c r="U3" s="16"/>
      <c r="V3" s="16"/>
      <c r="W3" s="16"/>
      <c r="X3" s="16"/>
      <c r="Y3" s="11"/>
      <c r="Z3" s="11"/>
      <c r="AA3" s="11"/>
      <c r="AB3" s="11"/>
      <c r="AC3" s="11"/>
      <c r="AD3" s="11"/>
    </row>
    <row r="4">
      <c r="A4" s="10"/>
      <c r="B4" s="10"/>
      <c r="C4" s="10"/>
      <c r="D4" s="10"/>
      <c r="E4" s="10"/>
      <c r="F4" s="11"/>
      <c r="G4" s="11"/>
      <c r="H4" s="11"/>
      <c r="I4" s="11"/>
      <c r="J4" s="11"/>
      <c r="K4" s="11"/>
      <c r="L4" s="12"/>
      <c r="M4" s="11"/>
      <c r="N4" s="11"/>
      <c r="O4" s="13"/>
      <c r="P4" s="14"/>
      <c r="Q4" s="13"/>
      <c r="R4" s="13"/>
      <c r="S4" s="15"/>
      <c r="T4" s="16"/>
      <c r="U4" s="16"/>
      <c r="V4" s="16"/>
      <c r="W4" s="16"/>
      <c r="X4" s="16"/>
      <c r="Y4" s="11"/>
      <c r="Z4" s="11"/>
      <c r="AA4" s="11"/>
      <c r="AB4" s="11"/>
      <c r="AC4" s="11"/>
      <c r="AD4" s="11"/>
    </row>
    <row r="5">
      <c r="A5" s="19" t="str">
        <f t="array" ref="A5">'Aggregate RPV'!A1</f>
        <v>Tier</v>
      </c>
      <c r="B5" s="17" t="s">
        <v>61</v>
      </c>
      <c r="C5" s="17" t="s">
        <v>1</v>
      </c>
      <c r="D5" s="20" t="s">
        <v>62</v>
      </c>
      <c r="E5" s="21" t="s">
        <v>10</v>
      </c>
      <c r="F5" s="22" t="s">
        <v>15</v>
      </c>
      <c r="G5" s="23" t="s">
        <v>19</v>
      </c>
      <c r="H5" s="24" t="s">
        <v>12</v>
      </c>
      <c r="I5" s="25" t="s">
        <v>23</v>
      </c>
      <c r="J5" s="26" t="s">
        <v>26</v>
      </c>
      <c r="K5" s="26" t="s">
        <v>28</v>
      </c>
      <c r="L5" s="27" t="s">
        <v>63</v>
      </c>
      <c r="M5" s="28" t="s">
        <v>33</v>
      </c>
      <c r="N5" s="28" t="s">
        <v>36</v>
      </c>
      <c r="O5" s="29" t="s">
        <v>40</v>
      </c>
      <c r="P5" s="28" t="s">
        <v>43</v>
      </c>
      <c r="Q5" s="29" t="s">
        <v>46</v>
      </c>
      <c r="R5" s="28" t="s">
        <v>49</v>
      </c>
      <c r="S5" s="30" t="s">
        <v>50</v>
      </c>
      <c r="T5" s="31" t="s">
        <v>38</v>
      </c>
      <c r="U5" s="32" t="s">
        <v>41</v>
      </c>
      <c r="V5" s="31" t="s">
        <v>44</v>
      </c>
      <c r="W5" s="31" t="s">
        <v>47</v>
      </c>
      <c r="X5" s="33" t="s">
        <v>64</v>
      </c>
      <c r="Y5" s="34" t="s">
        <v>65</v>
      </c>
      <c r="Z5" s="34" t="s">
        <v>66</v>
      </c>
      <c r="AA5" s="34" t="s">
        <v>67</v>
      </c>
      <c r="AB5" s="34" t="s">
        <v>68</v>
      </c>
      <c r="AC5" s="35" t="s">
        <v>52</v>
      </c>
      <c r="AD5" s="35" t="s">
        <v>55</v>
      </c>
    </row>
    <row r="6">
      <c r="A6" s="10" t="str">
        <f>IFERROR(__xludf.DUMMYFUNCTION("SORT(FILTER({'Aggregate RPV'!A2:A3286,'Aggregate RPV'!B2:C3286,'Aggregate RPV'!D2:F3286,'Aggregate RPV'!H2:J3286},IF(B1=""All"",'Aggregate RPV'!B2:B3286&lt;&gt;"""",'Aggregate RPV'!A2:A3286=B1)),1,1,MATCH(B2,5:5,0),B3)"),"Amateur")</f>
        <v>Amateur</v>
      </c>
      <c r="B6" s="10" t="str">
        <f>IFERROR(__xludf.DUMMYFUNCTION("""COMPUTED_VALUE"""),"RSC008201")</f>
        <v>RSC008201</v>
      </c>
      <c r="C6" s="10" t="str">
        <f>IFERROR(__xludf.DUMMYFUNCTION("""COMPUTED_VALUE"""),"CatalystNEMO")</f>
        <v>CatalystNEMO</v>
      </c>
      <c r="D6" s="36" t="str">
        <f>IFERROR(__xludf.DUMMYFUNCTION("""COMPUTED_VALUE"""),"Bombers")</f>
        <v>Bombers</v>
      </c>
      <c r="E6" s="10" t="str">
        <f>IFERROR(__xludf.DUMMYFUNCTION("""COMPUTED_VALUE"""),"N/A")</f>
        <v>N/A</v>
      </c>
      <c r="F6" s="37">
        <f>IFERROR(__xludf.DUMMYFUNCTION("""COMPUTED_VALUE"""),152.0636508596478)</f>
        <v>152.0636509</v>
      </c>
      <c r="G6" s="38">
        <f>IFERROR(__xludf.DUMMYFUNCTION("""COMPUTED_VALUE"""),126.93443064018042)</f>
        <v>126.9344306</v>
      </c>
      <c r="H6" s="38">
        <f>IFERROR(__xludf.DUMMYFUNCTION("""COMPUTED_VALUE"""),139.49904074991412)</f>
        <v>139.4990407</v>
      </c>
      <c r="I6" s="14">
        <f>IFERROR(__xludf.DUMMYFUNCTION("""COMPUTED_VALUE"""),4.0)</f>
        <v>4</v>
      </c>
      <c r="J6" s="11">
        <f>IFERROR(__xludf.DUMMYFUNCTION("IFERROR(FILTER(Stats!$F:$Z,(Stats!$A:$A=$A6)*(Stats!$B:$B=$B6)))"),3.0)</f>
        <v>3</v>
      </c>
      <c r="K6" s="11">
        <f>IFERROR(__xludf.DUMMYFUNCTION("""COMPUTED_VALUE"""),1.0)</f>
        <v>1</v>
      </c>
      <c r="L6" s="12">
        <f>IFERROR(__xludf.DUMMYFUNCTION("""COMPUTED_VALUE"""),0.75)</f>
        <v>0.75</v>
      </c>
      <c r="M6" s="11">
        <f>IFERROR(__xludf.DUMMYFUNCTION("""COMPUTED_VALUE"""),2.0)</f>
        <v>2</v>
      </c>
      <c r="N6" s="11">
        <f>IFERROR(__xludf.DUMMYFUNCTION("""COMPUTED_VALUE"""),1760.0)</f>
        <v>1760</v>
      </c>
      <c r="O6" s="13">
        <f>IFERROR(__xludf.DUMMYFUNCTION("""COMPUTED_VALUE"""),6.0)</f>
        <v>6</v>
      </c>
      <c r="P6" s="14">
        <f>IFERROR(__xludf.DUMMYFUNCTION("""COMPUTED_VALUE"""),5.0)</f>
        <v>5</v>
      </c>
      <c r="Q6" s="13">
        <f>IFERROR(__xludf.DUMMYFUNCTION("""COMPUTED_VALUE"""),3.0)</f>
        <v>3</v>
      </c>
      <c r="R6" s="13">
        <f>IFERROR(__xludf.DUMMYFUNCTION("""COMPUTED_VALUE"""),16.0)</f>
        <v>16</v>
      </c>
      <c r="S6" s="15">
        <f>IFERROR(__xludf.DUMMYFUNCTION("""COMPUTED_VALUE"""),0.375)</f>
        <v>0.375</v>
      </c>
      <c r="T6" s="16">
        <f>IFERROR(__xludf.DUMMYFUNCTION("""COMPUTED_VALUE"""),440.0)</f>
        <v>440</v>
      </c>
      <c r="U6" s="16">
        <f>IFERROR(__xludf.DUMMYFUNCTION("""COMPUTED_VALUE"""),1.5)</f>
        <v>1.5</v>
      </c>
      <c r="V6" s="16">
        <f>IFERROR(__xludf.DUMMYFUNCTION("""COMPUTED_VALUE"""),1.25)</f>
        <v>1.25</v>
      </c>
      <c r="W6" s="16">
        <f>IFERROR(__xludf.DUMMYFUNCTION("""COMPUTED_VALUE"""),0.75)</f>
        <v>0.75</v>
      </c>
      <c r="X6" s="16">
        <f>IFERROR(__xludf.DUMMYFUNCTION("""COMPUTED_VALUE"""),4.0)</f>
        <v>4</v>
      </c>
      <c r="Y6" s="11">
        <f>IFERROR(__xludf.DUMMYFUNCTION("""COMPUTED_VALUE"""),2.0)</f>
        <v>2</v>
      </c>
      <c r="Z6" s="11">
        <f>IFERROR(__xludf.DUMMYFUNCTION("""COMPUTED_VALUE"""),0.0)</f>
        <v>0</v>
      </c>
      <c r="AA6" s="11">
        <f>IFERROR(__xludf.DUMMYFUNCTION("""COMPUTED_VALUE"""),0.0)</f>
        <v>0</v>
      </c>
      <c r="AB6" s="39">
        <f>IFERROR(__xludf.DUMMYFUNCTION("""COMPUTED_VALUE"""),0.0)</f>
        <v>0</v>
      </c>
      <c r="AC6" s="39">
        <f>IFERROR(__xludf.DUMMYFUNCTION("""COMPUTED_VALUE"""),2.0)</f>
        <v>2</v>
      </c>
      <c r="AD6" s="39">
        <f>IFERROR(__xludf.DUMMYFUNCTION("""COMPUTED_VALUE"""),5.0)</f>
        <v>5</v>
      </c>
    </row>
    <row r="7">
      <c r="A7" s="10" t="str">
        <f>IFERROR(__xludf.DUMMYFUNCTION("""COMPUTED_VALUE"""),"Amateur")</f>
        <v>Amateur</v>
      </c>
      <c r="B7" s="10" t="str">
        <f>IFERROR(__xludf.DUMMYFUNCTION("""COMPUTED_VALUE"""),"RSC008541")</f>
        <v>RSC008541</v>
      </c>
      <c r="C7" s="10" t="str">
        <f>IFERROR(__xludf.DUMMYFUNCTION("""COMPUTED_VALUE"""),"Jito1017")</f>
        <v>Jito1017</v>
      </c>
      <c r="D7" s="36" t="str">
        <f>IFERROR(__xludf.DUMMYFUNCTION("""COMPUTED_VALUE"""),"Electric Eels
Winter Fresh
Garlic Knots")</f>
        <v>Electric Eels
Winter Fresh
Garlic Knots</v>
      </c>
      <c r="E7" s="10" t="str">
        <f>IFERROR(__xludf.DUMMYFUNCTION("""COMPUTED_VALUE"""),"N/A
N/A
N/A")</f>
        <v>N/A
N/A
N/A</v>
      </c>
      <c r="F7" s="37">
        <f>IFERROR(__xludf.DUMMYFUNCTION("""COMPUTED_VALUE"""),131.21159464877658)</f>
        <v>131.2115946</v>
      </c>
      <c r="G7" s="38">
        <f>IFERROR(__xludf.DUMMYFUNCTION("""COMPUTED_VALUE"""),98.55238766449756)</f>
        <v>98.55238766</v>
      </c>
      <c r="H7" s="38">
        <f>IFERROR(__xludf.DUMMYFUNCTION("""COMPUTED_VALUE"""),114.88199115663707)</f>
        <v>114.8819912</v>
      </c>
      <c r="I7" s="14">
        <f>IFERROR(__xludf.DUMMYFUNCTION("""COMPUTED_VALUE"""),16.0)</f>
        <v>16</v>
      </c>
      <c r="J7" s="11">
        <f>IFERROR(__xludf.DUMMYFUNCTION("IFERROR(FILTER(Stats!$F:$Z,(Stats!$A:$A=$A7)*(Stats!$B:$B=$B7)))"),12.0)</f>
        <v>12</v>
      </c>
      <c r="K7" s="11">
        <f>IFERROR(__xludf.DUMMYFUNCTION("""COMPUTED_VALUE"""),4.0)</f>
        <v>4</v>
      </c>
      <c r="L7" s="12">
        <f>IFERROR(__xludf.DUMMYFUNCTION("""COMPUTED_VALUE"""),0.75)</f>
        <v>0.75</v>
      </c>
      <c r="M7" s="11">
        <f>IFERROR(__xludf.DUMMYFUNCTION("""COMPUTED_VALUE"""),8.0)</f>
        <v>8</v>
      </c>
      <c r="N7" s="11">
        <f>IFERROR(__xludf.DUMMYFUNCTION("""COMPUTED_VALUE"""),7003.0)</f>
        <v>7003</v>
      </c>
      <c r="O7" s="13">
        <f>IFERROR(__xludf.DUMMYFUNCTION("""COMPUTED_VALUE"""),23.0)</f>
        <v>23</v>
      </c>
      <c r="P7" s="14">
        <f>IFERROR(__xludf.DUMMYFUNCTION("""COMPUTED_VALUE"""),14.0)</f>
        <v>14</v>
      </c>
      <c r="Q7" s="13">
        <f>IFERROR(__xludf.DUMMYFUNCTION("""COMPUTED_VALUE"""),13.0)</f>
        <v>13</v>
      </c>
      <c r="R7" s="13">
        <f>IFERROR(__xludf.DUMMYFUNCTION("""COMPUTED_VALUE"""),51.0)</f>
        <v>51</v>
      </c>
      <c r="S7" s="15">
        <f>IFERROR(__xludf.DUMMYFUNCTION("""COMPUTED_VALUE"""),0.45098039215686275)</f>
        <v>0.4509803922</v>
      </c>
      <c r="T7" s="16">
        <f>IFERROR(__xludf.DUMMYFUNCTION("""COMPUTED_VALUE"""),437.6875)</f>
        <v>437.6875</v>
      </c>
      <c r="U7" s="16">
        <f>IFERROR(__xludf.DUMMYFUNCTION("""COMPUTED_VALUE"""),1.4375)</f>
        <v>1.4375</v>
      </c>
      <c r="V7" s="16">
        <f>IFERROR(__xludf.DUMMYFUNCTION("""COMPUTED_VALUE"""),0.875)</f>
        <v>0.875</v>
      </c>
      <c r="W7" s="16">
        <f>IFERROR(__xludf.DUMMYFUNCTION("""COMPUTED_VALUE"""),0.8125)</f>
        <v>0.8125</v>
      </c>
      <c r="X7" s="16">
        <f>IFERROR(__xludf.DUMMYFUNCTION("""COMPUTED_VALUE"""),3.1875)</f>
        <v>3.1875</v>
      </c>
      <c r="Y7" s="11">
        <f>IFERROR(__xludf.DUMMYFUNCTION("""COMPUTED_VALUE"""),6.0)</f>
        <v>6</v>
      </c>
      <c r="Z7" s="11">
        <f>IFERROR(__xludf.DUMMYFUNCTION("""COMPUTED_VALUE"""),3.0)</f>
        <v>3</v>
      </c>
      <c r="AA7" s="11">
        <f>IFERROR(__xludf.DUMMYFUNCTION("""COMPUTED_VALUE"""),0.0)</f>
        <v>0</v>
      </c>
      <c r="AB7" s="11">
        <f>IFERROR(__xludf.DUMMYFUNCTION("""COMPUTED_VALUE"""),0.0)</f>
        <v>0</v>
      </c>
      <c r="AC7" s="11">
        <f>IFERROR(__xludf.DUMMYFUNCTION("""COMPUTED_VALUE"""),14.0)</f>
        <v>14</v>
      </c>
      <c r="AD7" s="11">
        <f>IFERROR(__xludf.DUMMYFUNCTION("""COMPUTED_VALUE"""),15.0)</f>
        <v>15</v>
      </c>
    </row>
    <row r="8">
      <c r="A8" s="10" t="str">
        <f>IFERROR(__xludf.DUMMYFUNCTION("""COMPUTED_VALUE"""),"Amateur")</f>
        <v>Amateur</v>
      </c>
      <c r="B8" s="10" t="str">
        <f>IFERROR(__xludf.DUMMYFUNCTION("""COMPUTED_VALUE"""),"RSC008178")</f>
        <v>RSC008178</v>
      </c>
      <c r="C8" s="10" t="str">
        <f>IFERROR(__xludf.DUMMYFUNCTION("""COMPUTED_VALUE"""),"Bigwigglystylezz")</f>
        <v>Bigwigglystylezz</v>
      </c>
      <c r="D8" s="36" t="str">
        <f>IFERROR(__xludf.DUMMYFUNCTION("""COMPUTED_VALUE"""),"Winter Fresh")</f>
        <v>Winter Fresh</v>
      </c>
      <c r="E8" s="10" t="str">
        <f>IFERROR(__xludf.DUMMYFUNCTION("""COMPUTED_VALUE"""),"N/A")</f>
        <v>N/A</v>
      </c>
      <c r="F8" s="37">
        <f>IFERROR(__xludf.DUMMYFUNCTION("""COMPUTED_VALUE"""),81.69571187198164)</f>
        <v>81.69571187</v>
      </c>
      <c r="G8" s="38">
        <f>IFERROR(__xludf.DUMMYFUNCTION("""COMPUTED_VALUE"""),73.67911949155078)</f>
        <v>73.67911949</v>
      </c>
      <c r="H8" s="38">
        <f>IFERROR(__xludf.DUMMYFUNCTION("""COMPUTED_VALUE"""),77.68741568176621)</f>
        <v>77.68741568</v>
      </c>
      <c r="I8" s="14">
        <f>IFERROR(__xludf.DUMMYFUNCTION("""COMPUTED_VALUE"""),43.0)</f>
        <v>43</v>
      </c>
      <c r="J8" s="11">
        <f>IFERROR(__xludf.DUMMYFUNCTION("IFERROR(FILTER(Stats!$F:$Z,(Stats!$A:$A=$A8)*(Stats!$B:$B=$B8)))"),26.0)</f>
        <v>26</v>
      </c>
      <c r="K8" s="11">
        <f>IFERROR(__xludf.DUMMYFUNCTION("""COMPUTED_VALUE"""),17.0)</f>
        <v>17</v>
      </c>
      <c r="L8" s="12">
        <f>IFERROR(__xludf.DUMMYFUNCTION("""COMPUTED_VALUE"""),0.6046511627906976)</f>
        <v>0.6046511628</v>
      </c>
      <c r="M8" s="11">
        <f>IFERROR(__xludf.DUMMYFUNCTION("""COMPUTED_VALUE"""),13.0)</f>
        <v>13</v>
      </c>
      <c r="N8" s="11">
        <f>IFERROR(__xludf.DUMMYFUNCTION("""COMPUTED_VALUE"""),15291.0)</f>
        <v>15291</v>
      </c>
      <c r="O8" s="13">
        <f>IFERROR(__xludf.DUMMYFUNCTION("""COMPUTED_VALUE"""),48.0)</f>
        <v>48</v>
      </c>
      <c r="P8" s="14">
        <f>IFERROR(__xludf.DUMMYFUNCTION("""COMPUTED_VALUE"""),23.0)</f>
        <v>23</v>
      </c>
      <c r="Q8" s="13">
        <f>IFERROR(__xludf.DUMMYFUNCTION("""COMPUTED_VALUE"""),37.0)</f>
        <v>37</v>
      </c>
      <c r="R8" s="13">
        <f>IFERROR(__xludf.DUMMYFUNCTION("""COMPUTED_VALUE"""),112.0)</f>
        <v>112</v>
      </c>
      <c r="S8" s="15">
        <f>IFERROR(__xludf.DUMMYFUNCTION("""COMPUTED_VALUE"""),0.42857142857142855)</f>
        <v>0.4285714286</v>
      </c>
      <c r="T8" s="16">
        <f>IFERROR(__xludf.DUMMYFUNCTION("""COMPUTED_VALUE"""),355.6046511627907)</f>
        <v>355.6046512</v>
      </c>
      <c r="U8" s="16">
        <f>IFERROR(__xludf.DUMMYFUNCTION("""COMPUTED_VALUE"""),1.1162790697674418)</f>
        <v>1.11627907</v>
      </c>
      <c r="V8" s="16">
        <f>IFERROR(__xludf.DUMMYFUNCTION("""COMPUTED_VALUE"""),0.5348837209302325)</f>
        <v>0.5348837209</v>
      </c>
      <c r="W8" s="16">
        <f>IFERROR(__xludf.DUMMYFUNCTION("""COMPUTED_VALUE"""),0.8604651162790697)</f>
        <v>0.8604651163</v>
      </c>
      <c r="X8" s="16">
        <f>IFERROR(__xludf.DUMMYFUNCTION("""COMPUTED_VALUE"""),2.604651162790698)</f>
        <v>2.604651163</v>
      </c>
      <c r="Y8" s="11">
        <f>IFERROR(__xludf.DUMMYFUNCTION("""COMPUTED_VALUE"""),6.0)</f>
        <v>6</v>
      </c>
      <c r="Z8" s="11">
        <f>IFERROR(__xludf.DUMMYFUNCTION("""COMPUTED_VALUE"""),4.0)</f>
        <v>4</v>
      </c>
      <c r="AA8" s="11">
        <f>IFERROR(__xludf.DUMMYFUNCTION("""COMPUTED_VALUE"""),3.0)</f>
        <v>3</v>
      </c>
      <c r="AB8" s="11">
        <f>IFERROR(__xludf.DUMMYFUNCTION("""COMPUTED_VALUE"""),0.0)</f>
        <v>0</v>
      </c>
      <c r="AC8" s="11">
        <f>IFERROR(__xludf.DUMMYFUNCTION("""COMPUTED_VALUE"""),30.0)</f>
        <v>30</v>
      </c>
      <c r="AD8" s="11">
        <f>IFERROR(__xludf.DUMMYFUNCTION("""COMPUTED_VALUE"""),24.0)</f>
        <v>24</v>
      </c>
    </row>
    <row r="9">
      <c r="A9" s="10" t="str">
        <f>IFERROR(__xludf.DUMMYFUNCTION("""COMPUTED_VALUE"""),"Amateur")</f>
        <v>Amateur</v>
      </c>
      <c r="B9" s="10" t="str">
        <f>IFERROR(__xludf.DUMMYFUNCTION("""COMPUTED_VALUE"""),"RSC007468")</f>
        <v>RSC007468</v>
      </c>
      <c r="C9" s="10" t="str">
        <f>IFERROR(__xludf.DUMMYFUNCTION("""COMPUTED_VALUE"""),"im_link42")</f>
        <v>im_link42</v>
      </c>
      <c r="D9" s="36" t="str">
        <f>IFERROR(__xludf.DUMMYFUNCTION("""COMPUTED_VALUE"""),"Kappa")</f>
        <v>Kappa</v>
      </c>
      <c r="E9" s="10" t="str">
        <f>IFERROR(__xludf.DUMMYFUNCTION("""COMPUTED_VALUE"""),"N/A")</f>
        <v>N/A</v>
      </c>
      <c r="F9" s="37">
        <f>IFERROR(__xludf.DUMMYFUNCTION("""COMPUTED_VALUE"""),80.84796465516943)</f>
        <v>80.84796466</v>
      </c>
      <c r="G9" s="38">
        <f>IFERROR(__xludf.DUMMYFUNCTION("""COMPUTED_VALUE"""),67.6451175197777)</f>
        <v>67.64511752</v>
      </c>
      <c r="H9" s="38">
        <f>IFERROR(__xludf.DUMMYFUNCTION("""COMPUTED_VALUE"""),74.24654108747356)</f>
        <v>74.24654109</v>
      </c>
      <c r="I9" s="14">
        <f>IFERROR(__xludf.DUMMYFUNCTION("""COMPUTED_VALUE"""),46.0)</f>
        <v>46</v>
      </c>
      <c r="J9" s="11">
        <f>IFERROR(__xludf.DUMMYFUNCTION("IFERROR(FILTER(Stats!$F:$Z,(Stats!$A:$A=$A9)*(Stats!$B:$B=$B9)))"),20.0)</f>
        <v>20</v>
      </c>
      <c r="K9" s="11">
        <f>IFERROR(__xludf.DUMMYFUNCTION("""COMPUTED_VALUE"""),26.0)</f>
        <v>26</v>
      </c>
      <c r="L9" s="12">
        <f>IFERROR(__xludf.DUMMYFUNCTION("""COMPUTED_VALUE"""),0.43478260869565216)</f>
        <v>0.4347826087</v>
      </c>
      <c r="M9" s="11">
        <f>IFERROR(__xludf.DUMMYFUNCTION("""COMPUTED_VALUE"""),14.0)</f>
        <v>14</v>
      </c>
      <c r="N9" s="11">
        <f>IFERROR(__xludf.DUMMYFUNCTION("""COMPUTED_VALUE"""),17796.0)</f>
        <v>17796</v>
      </c>
      <c r="O9" s="13">
        <f>IFERROR(__xludf.DUMMYFUNCTION("""COMPUTED_VALUE"""),46.0)</f>
        <v>46</v>
      </c>
      <c r="P9" s="14">
        <f>IFERROR(__xludf.DUMMYFUNCTION("""COMPUTED_VALUE"""),20.0)</f>
        <v>20</v>
      </c>
      <c r="Q9" s="13">
        <f>IFERROR(__xludf.DUMMYFUNCTION("""COMPUTED_VALUE"""),74.0)</f>
        <v>74</v>
      </c>
      <c r="R9" s="13">
        <f>IFERROR(__xludf.DUMMYFUNCTION("""COMPUTED_VALUE"""),126.0)</f>
        <v>126</v>
      </c>
      <c r="S9" s="15">
        <f>IFERROR(__xludf.DUMMYFUNCTION("""COMPUTED_VALUE"""),0.36507936507936506)</f>
        <v>0.3650793651</v>
      </c>
      <c r="T9" s="16">
        <f>IFERROR(__xludf.DUMMYFUNCTION("""COMPUTED_VALUE"""),386.8695652173913)</f>
        <v>386.8695652</v>
      </c>
      <c r="U9" s="16">
        <f>IFERROR(__xludf.DUMMYFUNCTION("""COMPUTED_VALUE"""),1.0)</f>
        <v>1</v>
      </c>
      <c r="V9" s="16">
        <f>IFERROR(__xludf.DUMMYFUNCTION("""COMPUTED_VALUE"""),0.43478260869565216)</f>
        <v>0.4347826087</v>
      </c>
      <c r="W9" s="16">
        <f>IFERROR(__xludf.DUMMYFUNCTION("""COMPUTED_VALUE"""),1.608695652173913)</f>
        <v>1.608695652</v>
      </c>
      <c r="X9" s="16">
        <f>IFERROR(__xludf.DUMMYFUNCTION("""COMPUTED_VALUE"""),2.739130434782609)</f>
        <v>2.739130435</v>
      </c>
      <c r="Y9" s="11">
        <f>IFERROR(__xludf.DUMMYFUNCTION("""COMPUTED_VALUE"""),12.0)</f>
        <v>12</v>
      </c>
      <c r="Z9" s="11">
        <f>IFERROR(__xludf.DUMMYFUNCTION("""COMPUTED_VALUE"""),2.0)</f>
        <v>2</v>
      </c>
      <c r="AA9" s="11">
        <f>IFERROR(__xludf.DUMMYFUNCTION("""COMPUTED_VALUE"""),0.0)</f>
        <v>0</v>
      </c>
      <c r="AB9" s="11">
        <f>IFERROR(__xludf.DUMMYFUNCTION("""COMPUTED_VALUE"""),7.0)</f>
        <v>7</v>
      </c>
      <c r="AC9" s="11">
        <f>IFERROR(__xludf.DUMMYFUNCTION("""COMPUTED_VALUE"""),25.0)</f>
        <v>25</v>
      </c>
      <c r="AD9" s="11">
        <f>IFERROR(__xludf.DUMMYFUNCTION("""COMPUTED_VALUE"""),34.0)</f>
        <v>34</v>
      </c>
    </row>
    <row r="10">
      <c r="A10" s="10" t="str">
        <f>IFERROR(__xludf.DUMMYFUNCTION("""COMPUTED_VALUE"""),"Amateur")</f>
        <v>Amateur</v>
      </c>
      <c r="B10" s="10" t="str">
        <f>IFERROR(__xludf.DUMMYFUNCTION("""COMPUTED_VALUE"""),"RSC007621")</f>
        <v>RSC007621</v>
      </c>
      <c r="C10" s="10" t="str">
        <f>IFERROR(__xludf.DUMMYFUNCTION("""COMPUTED_VALUE"""),"Classy-God57")</f>
        <v>Classy-God57</v>
      </c>
      <c r="D10" s="36" t="str">
        <f>IFERROR(__xludf.DUMMYFUNCTION("""COMPUTED_VALUE"""),"Winter Fresh")</f>
        <v>Winter Fresh</v>
      </c>
      <c r="E10" s="10" t="str">
        <f>IFERROR(__xludf.DUMMYFUNCTION("""COMPUTED_VALUE"""),"N/A")</f>
        <v>N/A</v>
      </c>
      <c r="F10" s="37">
        <f>IFERROR(__xludf.DUMMYFUNCTION("""COMPUTED_VALUE"""),75.87398555719933)</f>
        <v>75.87398556</v>
      </c>
      <c r="G10" s="38">
        <f>IFERROR(__xludf.DUMMYFUNCTION("""COMPUTED_VALUE"""),71.38544653711753)</f>
        <v>71.38544654</v>
      </c>
      <c r="H10" s="38">
        <f>IFERROR(__xludf.DUMMYFUNCTION("""COMPUTED_VALUE"""),73.62971604715844)</f>
        <v>73.62971605</v>
      </c>
      <c r="I10" s="14">
        <f>IFERROR(__xludf.DUMMYFUNCTION("""COMPUTED_VALUE"""),47.0)</f>
        <v>47</v>
      </c>
      <c r="J10" s="11">
        <f>IFERROR(__xludf.DUMMYFUNCTION("IFERROR(FILTER(Stats!$F:$Z,(Stats!$A:$A=$A10)*(Stats!$B:$B=$B10)))"),30.0)</f>
        <v>30</v>
      </c>
      <c r="K10" s="11">
        <f>IFERROR(__xludf.DUMMYFUNCTION("""COMPUTED_VALUE"""),17.0)</f>
        <v>17</v>
      </c>
      <c r="L10" s="12">
        <f>IFERROR(__xludf.DUMMYFUNCTION("""COMPUTED_VALUE"""),0.6382978723404256)</f>
        <v>0.6382978723</v>
      </c>
      <c r="M10" s="11">
        <f>IFERROR(__xludf.DUMMYFUNCTION("""COMPUTED_VALUE"""),6.0)</f>
        <v>6</v>
      </c>
      <c r="N10" s="11">
        <f>IFERROR(__xludf.DUMMYFUNCTION("""COMPUTED_VALUE"""),15486.0)</f>
        <v>15486</v>
      </c>
      <c r="O10" s="13">
        <f>IFERROR(__xludf.DUMMYFUNCTION("""COMPUTED_VALUE"""),43.0)</f>
        <v>43</v>
      </c>
      <c r="P10" s="14">
        <f>IFERROR(__xludf.DUMMYFUNCTION("""COMPUTED_VALUE"""),27.0)</f>
        <v>27</v>
      </c>
      <c r="Q10" s="13">
        <f>IFERROR(__xludf.DUMMYFUNCTION("""COMPUTED_VALUE"""),41.0)</f>
        <v>41</v>
      </c>
      <c r="R10" s="13">
        <f>IFERROR(__xludf.DUMMYFUNCTION("""COMPUTED_VALUE"""),139.0)</f>
        <v>139</v>
      </c>
      <c r="S10" s="15">
        <f>IFERROR(__xludf.DUMMYFUNCTION("""COMPUTED_VALUE"""),0.30935251798561153)</f>
        <v>0.309352518</v>
      </c>
      <c r="T10" s="16">
        <f>IFERROR(__xludf.DUMMYFUNCTION("""COMPUTED_VALUE"""),329.48936170212767)</f>
        <v>329.4893617</v>
      </c>
      <c r="U10" s="16">
        <f>IFERROR(__xludf.DUMMYFUNCTION("""COMPUTED_VALUE"""),0.9148936170212766)</f>
        <v>0.914893617</v>
      </c>
      <c r="V10" s="16">
        <f>IFERROR(__xludf.DUMMYFUNCTION("""COMPUTED_VALUE"""),0.574468085106383)</f>
        <v>0.5744680851</v>
      </c>
      <c r="W10" s="16">
        <f>IFERROR(__xludf.DUMMYFUNCTION("""COMPUTED_VALUE"""),0.8723404255319149)</f>
        <v>0.8723404255</v>
      </c>
      <c r="X10" s="16">
        <f>IFERROR(__xludf.DUMMYFUNCTION("""COMPUTED_VALUE"""),2.9574468085106385)</f>
        <v>2.957446809</v>
      </c>
      <c r="Y10" s="11">
        <f>IFERROR(__xludf.DUMMYFUNCTION("""COMPUTED_VALUE"""),6.0)</f>
        <v>6</v>
      </c>
      <c r="Z10" s="11">
        <f>IFERROR(__xludf.DUMMYFUNCTION("""COMPUTED_VALUE"""),2.0)</f>
        <v>2</v>
      </c>
      <c r="AA10" s="11">
        <f>IFERROR(__xludf.DUMMYFUNCTION("""COMPUTED_VALUE"""),0.0)</f>
        <v>0</v>
      </c>
      <c r="AB10" s="11">
        <f>IFERROR(__xludf.DUMMYFUNCTION("""COMPUTED_VALUE"""),3.0)</f>
        <v>3</v>
      </c>
      <c r="AC10" s="11">
        <f>IFERROR(__xludf.DUMMYFUNCTION("""COMPUTED_VALUE"""),20.0)</f>
        <v>20</v>
      </c>
      <c r="AD10" s="11">
        <f>IFERROR(__xludf.DUMMYFUNCTION("""COMPUTED_VALUE"""),45.0)</f>
        <v>45</v>
      </c>
    </row>
    <row r="11">
      <c r="A11" s="10" t="str">
        <f>IFERROR(__xludf.DUMMYFUNCTION("""COMPUTED_VALUE"""),"Amateur")</f>
        <v>Amateur</v>
      </c>
      <c r="B11" s="10" t="str">
        <f>IFERROR(__xludf.DUMMYFUNCTION("""COMPUTED_VALUE"""),"RSC007571")</f>
        <v>RSC007571</v>
      </c>
      <c r="C11" s="10" t="str">
        <f>IFERROR(__xludf.DUMMYFUNCTION("""COMPUTED_VALUE"""),"StephM2_")</f>
        <v>StephM2_</v>
      </c>
      <c r="D11" s="36" t="str">
        <f>IFERROR(__xludf.DUMMYFUNCTION("""COMPUTED_VALUE"""),"Garlic Knots")</f>
        <v>Garlic Knots</v>
      </c>
      <c r="E11" s="10" t="str">
        <f>IFERROR(__xludf.DUMMYFUNCTION("""COMPUTED_VALUE"""),"N/A")</f>
        <v>N/A</v>
      </c>
      <c r="F11" s="37">
        <f>IFERROR(__xludf.DUMMYFUNCTION("""COMPUTED_VALUE"""),76.58843761915671)</f>
        <v>76.58843762</v>
      </c>
      <c r="G11" s="38">
        <f>IFERROR(__xludf.DUMMYFUNCTION("""COMPUTED_VALUE"""),67.59713632398024)</f>
        <v>67.59713632</v>
      </c>
      <c r="H11" s="38">
        <f>IFERROR(__xludf.DUMMYFUNCTION("""COMPUTED_VALUE"""),72.09278697156847)</f>
        <v>72.09278697</v>
      </c>
      <c r="I11" s="14">
        <f>IFERROR(__xludf.DUMMYFUNCTION("""COMPUTED_VALUE"""),47.0)</f>
        <v>47</v>
      </c>
      <c r="J11" s="11">
        <f>IFERROR(__xludf.DUMMYFUNCTION("IFERROR(FILTER(Stats!$F:$Z,(Stats!$A:$A=$A11)*(Stats!$B:$B=$B11)))"),21.0)</f>
        <v>21</v>
      </c>
      <c r="K11" s="11">
        <f>IFERROR(__xludf.DUMMYFUNCTION("""COMPUTED_VALUE"""),26.0)</f>
        <v>26</v>
      </c>
      <c r="L11" s="12">
        <f>IFERROR(__xludf.DUMMYFUNCTION("""COMPUTED_VALUE"""),0.44680851063829785)</f>
        <v>0.4468085106</v>
      </c>
      <c r="M11" s="11">
        <f>IFERROR(__xludf.DUMMYFUNCTION("""COMPUTED_VALUE"""),13.0)</f>
        <v>13</v>
      </c>
      <c r="N11" s="11">
        <f>IFERROR(__xludf.DUMMYFUNCTION("""COMPUTED_VALUE"""),17651.0)</f>
        <v>17651</v>
      </c>
      <c r="O11" s="13">
        <f>IFERROR(__xludf.DUMMYFUNCTION("""COMPUTED_VALUE"""),42.0)</f>
        <v>42</v>
      </c>
      <c r="P11" s="14">
        <f>IFERROR(__xludf.DUMMYFUNCTION("""COMPUTED_VALUE"""),22.0)</f>
        <v>22</v>
      </c>
      <c r="Q11" s="13">
        <f>IFERROR(__xludf.DUMMYFUNCTION("""COMPUTED_VALUE"""),65.0)</f>
        <v>65</v>
      </c>
      <c r="R11" s="13">
        <f>IFERROR(__xludf.DUMMYFUNCTION("""COMPUTED_VALUE"""),133.0)</f>
        <v>133</v>
      </c>
      <c r="S11" s="15">
        <f>IFERROR(__xludf.DUMMYFUNCTION("""COMPUTED_VALUE"""),0.3157894736842105)</f>
        <v>0.3157894737</v>
      </c>
      <c r="T11" s="16">
        <f>IFERROR(__xludf.DUMMYFUNCTION("""COMPUTED_VALUE"""),375.5531914893617)</f>
        <v>375.5531915</v>
      </c>
      <c r="U11" s="16">
        <f>IFERROR(__xludf.DUMMYFUNCTION("""COMPUTED_VALUE"""),0.8936170212765957)</f>
        <v>0.8936170213</v>
      </c>
      <c r="V11" s="16">
        <f>IFERROR(__xludf.DUMMYFUNCTION("""COMPUTED_VALUE"""),0.46808510638297873)</f>
        <v>0.4680851064</v>
      </c>
      <c r="W11" s="16">
        <f>IFERROR(__xludf.DUMMYFUNCTION("""COMPUTED_VALUE"""),1.3829787234042554)</f>
        <v>1.382978723</v>
      </c>
      <c r="X11" s="16">
        <f>IFERROR(__xludf.DUMMYFUNCTION("""COMPUTED_VALUE"""),2.8297872340425534)</f>
        <v>2.829787234</v>
      </c>
      <c r="Y11" s="11">
        <f>IFERROR(__xludf.DUMMYFUNCTION("""COMPUTED_VALUE"""),10.0)</f>
        <v>10</v>
      </c>
      <c r="Z11" s="11">
        <f>IFERROR(__xludf.DUMMYFUNCTION("""COMPUTED_VALUE"""),4.0)</f>
        <v>4</v>
      </c>
      <c r="AA11" s="11">
        <f>IFERROR(__xludf.DUMMYFUNCTION("""COMPUTED_VALUE"""),0.0)</f>
        <v>0</v>
      </c>
      <c r="AB11" s="11">
        <f>IFERROR(__xludf.DUMMYFUNCTION("""COMPUTED_VALUE"""),9.0)</f>
        <v>9</v>
      </c>
      <c r="AC11" s="11">
        <f>IFERROR(__xludf.DUMMYFUNCTION("""COMPUTED_VALUE"""),61.0)</f>
        <v>61</v>
      </c>
      <c r="AD11" s="11">
        <f>IFERROR(__xludf.DUMMYFUNCTION("""COMPUTED_VALUE"""),24.0)</f>
        <v>24</v>
      </c>
    </row>
    <row r="12">
      <c r="A12" s="10" t="str">
        <f>IFERROR(__xludf.DUMMYFUNCTION("""COMPUTED_VALUE"""),"Amateur")</f>
        <v>Amateur</v>
      </c>
      <c r="B12" s="10" t="str">
        <f>IFERROR(__xludf.DUMMYFUNCTION("""COMPUTED_VALUE"""),"RSC000086")</f>
        <v>RSC000086</v>
      </c>
      <c r="C12" s="10" t="str">
        <f>IFERROR(__xludf.DUMMYFUNCTION("""COMPUTED_VALUE"""),"Stale Popcorn")</f>
        <v>Stale Popcorn</v>
      </c>
      <c r="D12" s="36" t="str">
        <f>IFERROR(__xludf.DUMMYFUNCTION("""COMPUTED_VALUE"""),"Winter Fresh
HR Violation")</f>
        <v>Winter Fresh
HR Violation</v>
      </c>
      <c r="E12" s="10" t="str">
        <f>IFERROR(__xludf.DUMMYFUNCTION("""COMPUTED_VALUE"""),"N/A
N/A")</f>
        <v>N/A
N/A</v>
      </c>
      <c r="F12" s="37">
        <f>IFERROR(__xludf.DUMMYFUNCTION("""COMPUTED_VALUE"""),70.94856001035916)</f>
        <v>70.94856001</v>
      </c>
      <c r="G12" s="38">
        <f>IFERROR(__xludf.DUMMYFUNCTION("""COMPUTED_VALUE"""),66.9422663409696)</f>
        <v>66.94226634</v>
      </c>
      <c r="H12" s="38">
        <f>IFERROR(__xludf.DUMMYFUNCTION("""COMPUTED_VALUE"""),68.94541317566438)</f>
        <v>68.94541318</v>
      </c>
      <c r="I12" s="14">
        <f>IFERROR(__xludf.DUMMYFUNCTION("""COMPUTED_VALUE"""),32.0)</f>
        <v>32</v>
      </c>
      <c r="J12" s="11">
        <f>IFERROR(__xludf.DUMMYFUNCTION("IFERROR(FILTER(Stats!$F:$Z,(Stats!$A:$A=$A12)*(Stats!$B:$B=$B12)))"),15.0)</f>
        <v>15</v>
      </c>
      <c r="K12" s="11">
        <f>IFERROR(__xludf.DUMMYFUNCTION("""COMPUTED_VALUE"""),17.0)</f>
        <v>17</v>
      </c>
      <c r="L12" s="12">
        <f>IFERROR(__xludf.DUMMYFUNCTION("""COMPUTED_VALUE"""),0.46875)</f>
        <v>0.46875</v>
      </c>
      <c r="M12" s="11">
        <f>IFERROR(__xludf.DUMMYFUNCTION("""COMPUTED_VALUE"""),7.0)</f>
        <v>7</v>
      </c>
      <c r="N12" s="39">
        <f>IFERROR(__xludf.DUMMYFUNCTION("""COMPUTED_VALUE"""),10264.0)</f>
        <v>10264</v>
      </c>
      <c r="O12" s="13">
        <f>IFERROR(__xludf.DUMMYFUNCTION("""COMPUTED_VALUE"""),30.0)</f>
        <v>30</v>
      </c>
      <c r="P12" s="14">
        <f>IFERROR(__xludf.DUMMYFUNCTION("""COMPUTED_VALUE"""),15.0)</f>
        <v>15</v>
      </c>
      <c r="Q12" s="13">
        <f>IFERROR(__xludf.DUMMYFUNCTION("""COMPUTED_VALUE"""),21.0)</f>
        <v>21</v>
      </c>
      <c r="R12" s="13">
        <f>IFERROR(__xludf.DUMMYFUNCTION("""COMPUTED_VALUE"""),103.0)</f>
        <v>103</v>
      </c>
      <c r="S12" s="15">
        <f>IFERROR(__xludf.DUMMYFUNCTION("""COMPUTED_VALUE"""),0.2912621359223301)</f>
        <v>0.2912621359</v>
      </c>
      <c r="T12" s="16">
        <f>IFERROR(__xludf.DUMMYFUNCTION("""COMPUTED_VALUE"""),320.75)</f>
        <v>320.75</v>
      </c>
      <c r="U12" s="16">
        <f>IFERROR(__xludf.DUMMYFUNCTION("""COMPUTED_VALUE"""),0.9375)</f>
        <v>0.9375</v>
      </c>
      <c r="V12" s="16">
        <f>IFERROR(__xludf.DUMMYFUNCTION("""COMPUTED_VALUE"""),0.46875)</f>
        <v>0.46875</v>
      </c>
      <c r="W12" s="16">
        <f>IFERROR(__xludf.DUMMYFUNCTION("""COMPUTED_VALUE"""),0.65625)</f>
        <v>0.65625</v>
      </c>
      <c r="X12" s="16">
        <f>IFERROR(__xludf.DUMMYFUNCTION("""COMPUTED_VALUE"""),3.21875)</f>
        <v>3.21875</v>
      </c>
      <c r="Y12" s="11">
        <f>IFERROR(__xludf.DUMMYFUNCTION("""COMPUTED_VALUE"""),3.0)</f>
        <v>3</v>
      </c>
      <c r="Z12" s="11">
        <f>IFERROR(__xludf.DUMMYFUNCTION("""COMPUTED_VALUE"""),3.0)</f>
        <v>3</v>
      </c>
      <c r="AA12" s="11">
        <f>IFERROR(__xludf.DUMMYFUNCTION("""COMPUTED_VALUE"""),0.0)</f>
        <v>0</v>
      </c>
      <c r="AB12" s="11">
        <f>IFERROR(__xludf.DUMMYFUNCTION("""COMPUTED_VALUE"""),1.0)</f>
        <v>1</v>
      </c>
      <c r="AC12" s="11">
        <f>IFERROR(__xludf.DUMMYFUNCTION("""COMPUTED_VALUE"""),50.0)</f>
        <v>50</v>
      </c>
      <c r="AD12" s="11">
        <f>IFERROR(__xludf.DUMMYFUNCTION("""COMPUTED_VALUE"""),20.0)</f>
        <v>20</v>
      </c>
    </row>
    <row r="13">
      <c r="A13" s="10" t="str">
        <f>IFERROR(__xludf.DUMMYFUNCTION("""COMPUTED_VALUE"""),"Amateur")</f>
        <v>Amateur</v>
      </c>
      <c r="B13" s="10" t="str">
        <f>IFERROR(__xludf.DUMMYFUNCTION("""COMPUTED_VALUE"""),"RSC008441")</f>
        <v>RSC008441</v>
      </c>
      <c r="C13" s="9" t="str">
        <f>IFERROR(__xludf.DUMMYFUNCTION("""COMPUTED_VALUE"""),"Izumi._._.")</f>
        <v>Izumi._._.</v>
      </c>
      <c r="D13" s="36" t="str">
        <f>IFERROR(__xludf.DUMMYFUNCTION("""COMPUTED_VALUE"""),"HR Violation")</f>
        <v>HR Violation</v>
      </c>
      <c r="E13" s="10" t="str">
        <f>IFERROR(__xludf.DUMMYFUNCTION("""COMPUTED_VALUE"""),"N/A")</f>
        <v>N/A</v>
      </c>
      <c r="F13" s="37">
        <f>IFERROR(__xludf.DUMMYFUNCTION("""COMPUTED_VALUE"""),73.11410936672084)</f>
        <v>73.11410937</v>
      </c>
      <c r="G13" s="38">
        <f>IFERROR(__xludf.DUMMYFUNCTION("""COMPUTED_VALUE"""),64.08128424845688)</f>
        <v>64.08128425</v>
      </c>
      <c r="H13" s="38">
        <f>IFERROR(__xludf.DUMMYFUNCTION("""COMPUTED_VALUE"""),68.59769680758886)</f>
        <v>68.59769681</v>
      </c>
      <c r="I13" s="14">
        <f>IFERROR(__xludf.DUMMYFUNCTION("""COMPUTED_VALUE"""),56.0)</f>
        <v>56</v>
      </c>
      <c r="J13" s="11">
        <f>IFERROR(__xludf.DUMMYFUNCTION("IFERROR(FILTER(Stats!$F:$Z,(Stats!$A:$A=$A13)*(Stats!$B:$B=$B13)))"),27.0)</f>
        <v>27</v>
      </c>
      <c r="K13" s="11">
        <f>IFERROR(__xludf.DUMMYFUNCTION("""COMPUTED_VALUE"""),29.0)</f>
        <v>29</v>
      </c>
      <c r="L13" s="12">
        <f>IFERROR(__xludf.DUMMYFUNCTION("""COMPUTED_VALUE"""),0.48214285714285715)</f>
        <v>0.4821428571</v>
      </c>
      <c r="M13" s="11">
        <f>IFERROR(__xludf.DUMMYFUNCTION("""COMPUTED_VALUE"""),13.0)</f>
        <v>13</v>
      </c>
      <c r="N13" s="11">
        <f>IFERROR(__xludf.DUMMYFUNCTION("""COMPUTED_VALUE"""),19855.0)</f>
        <v>19855</v>
      </c>
      <c r="O13" s="13">
        <f>IFERROR(__xludf.DUMMYFUNCTION("""COMPUTED_VALUE"""),52.0)</f>
        <v>52</v>
      </c>
      <c r="P13" s="14">
        <f>IFERROR(__xludf.DUMMYFUNCTION("""COMPUTED_VALUE"""),25.0)</f>
        <v>25</v>
      </c>
      <c r="Q13" s="13">
        <f>IFERROR(__xludf.DUMMYFUNCTION("""COMPUTED_VALUE"""),71.0)</f>
        <v>71</v>
      </c>
      <c r="R13" s="13">
        <f>IFERROR(__xludf.DUMMYFUNCTION("""COMPUTED_VALUE"""),146.0)</f>
        <v>146</v>
      </c>
      <c r="S13" s="15">
        <f>IFERROR(__xludf.DUMMYFUNCTION("""COMPUTED_VALUE"""),0.3561643835616438)</f>
        <v>0.3561643836</v>
      </c>
      <c r="T13" s="16">
        <f>IFERROR(__xludf.DUMMYFUNCTION("""COMPUTED_VALUE"""),354.55357142857144)</f>
        <v>354.5535714</v>
      </c>
      <c r="U13" s="16">
        <f>IFERROR(__xludf.DUMMYFUNCTION("""COMPUTED_VALUE"""),0.9285714285714286)</f>
        <v>0.9285714286</v>
      </c>
      <c r="V13" s="16">
        <f>IFERROR(__xludf.DUMMYFUNCTION("""COMPUTED_VALUE"""),0.44642857142857145)</f>
        <v>0.4464285714</v>
      </c>
      <c r="W13" s="16">
        <f>IFERROR(__xludf.DUMMYFUNCTION("""COMPUTED_VALUE"""),1.2678571428571428)</f>
        <v>1.267857143</v>
      </c>
      <c r="X13" s="16">
        <f>IFERROR(__xludf.DUMMYFUNCTION("""COMPUTED_VALUE"""),2.607142857142857)</f>
        <v>2.607142857</v>
      </c>
      <c r="Y13" s="11">
        <f>IFERROR(__xludf.DUMMYFUNCTION("""COMPUTED_VALUE"""),7.0)</f>
        <v>7</v>
      </c>
      <c r="Z13" s="11">
        <f>IFERROR(__xludf.DUMMYFUNCTION("""COMPUTED_VALUE"""),0.0)</f>
        <v>0</v>
      </c>
      <c r="AA13" s="11">
        <f>IFERROR(__xludf.DUMMYFUNCTION("""COMPUTED_VALUE"""),0.0)</f>
        <v>0</v>
      </c>
      <c r="AB13" s="11">
        <f>IFERROR(__xludf.DUMMYFUNCTION("""COMPUTED_VALUE"""),9.0)</f>
        <v>9</v>
      </c>
      <c r="AC13" s="11">
        <f>IFERROR(__xludf.DUMMYFUNCTION("""COMPUTED_VALUE"""),17.0)</f>
        <v>17</v>
      </c>
      <c r="AD13" s="11">
        <f>IFERROR(__xludf.DUMMYFUNCTION("""COMPUTED_VALUE"""),42.0)</f>
        <v>42</v>
      </c>
    </row>
    <row r="14">
      <c r="A14" s="10" t="str">
        <f>IFERROR(__xludf.DUMMYFUNCTION("""COMPUTED_VALUE"""),"Amateur")</f>
        <v>Amateur</v>
      </c>
      <c r="B14" s="10" t="str">
        <f>IFERROR(__xludf.DUMMYFUNCTION("""COMPUTED_VALUE"""),"RSC000963")</f>
        <v>RSC000963</v>
      </c>
      <c r="C14" s="10" t="str">
        <f>IFERROR(__xludf.DUMMYFUNCTION("""COMPUTED_VALUE"""),"Sup3rm4n")</f>
        <v>Sup3rm4n</v>
      </c>
      <c r="D14" s="36" t="str">
        <f>IFERROR(__xludf.DUMMYFUNCTION("""COMPUTED_VALUE"""),"Bombers")</f>
        <v>Bombers</v>
      </c>
      <c r="E14" s="10" t="str">
        <f>IFERROR(__xludf.DUMMYFUNCTION("""COMPUTED_VALUE"""),"N/A")</f>
        <v>N/A</v>
      </c>
      <c r="F14" s="37">
        <f>IFERROR(__xludf.DUMMYFUNCTION("""COMPUTED_VALUE"""),69.69412017105158)</f>
        <v>69.69412017</v>
      </c>
      <c r="G14" s="38">
        <f>IFERROR(__xludf.DUMMYFUNCTION("""COMPUTED_VALUE"""),67.41423923974222)</f>
        <v>67.41423924</v>
      </c>
      <c r="H14" s="38">
        <f>IFERROR(__xludf.DUMMYFUNCTION("""COMPUTED_VALUE"""),68.5541797053969)</f>
        <v>68.55417971</v>
      </c>
      <c r="I14" s="14">
        <f>IFERROR(__xludf.DUMMYFUNCTION("""COMPUTED_VALUE"""),55.0)</f>
        <v>55</v>
      </c>
      <c r="J14" s="11">
        <f>IFERROR(__xludf.DUMMYFUNCTION("IFERROR(FILTER(Stats!$F:$Z,(Stats!$A:$A=$A14)*(Stats!$B:$B=$B14)))"),38.0)</f>
        <v>38</v>
      </c>
      <c r="K14" s="11">
        <f>IFERROR(__xludf.DUMMYFUNCTION("""COMPUTED_VALUE"""),17.0)</f>
        <v>17</v>
      </c>
      <c r="L14" s="12">
        <f>IFERROR(__xludf.DUMMYFUNCTION("""COMPUTED_VALUE"""),0.6909090909090909)</f>
        <v>0.6909090909</v>
      </c>
      <c r="M14" s="11">
        <f>IFERROR(__xludf.DUMMYFUNCTION("""COMPUTED_VALUE"""),16.0)</f>
        <v>16</v>
      </c>
      <c r="N14" s="11">
        <f>IFERROR(__xludf.DUMMYFUNCTION("""COMPUTED_VALUE"""),18891.0)</f>
        <v>18891</v>
      </c>
      <c r="O14" s="13">
        <f>IFERROR(__xludf.DUMMYFUNCTION("""COMPUTED_VALUE"""),54.0)</f>
        <v>54</v>
      </c>
      <c r="P14" s="14">
        <f>IFERROR(__xludf.DUMMYFUNCTION("""COMPUTED_VALUE"""),24.0)</f>
        <v>24</v>
      </c>
      <c r="Q14" s="13">
        <f>IFERROR(__xludf.DUMMYFUNCTION("""COMPUTED_VALUE"""),49.0)</f>
        <v>49</v>
      </c>
      <c r="R14" s="13">
        <f>IFERROR(__xludf.DUMMYFUNCTION("""COMPUTED_VALUE"""),159.0)</f>
        <v>159</v>
      </c>
      <c r="S14" s="15">
        <f>IFERROR(__xludf.DUMMYFUNCTION("""COMPUTED_VALUE"""),0.33962264150943394)</f>
        <v>0.3396226415</v>
      </c>
      <c r="T14" s="16">
        <f>IFERROR(__xludf.DUMMYFUNCTION("""COMPUTED_VALUE"""),343.4727272727273)</f>
        <v>343.4727273</v>
      </c>
      <c r="U14" s="16">
        <f>IFERROR(__xludf.DUMMYFUNCTION("""COMPUTED_VALUE"""),0.9818181818181818)</f>
        <v>0.9818181818</v>
      </c>
      <c r="V14" s="16">
        <f>IFERROR(__xludf.DUMMYFUNCTION("""COMPUTED_VALUE"""),0.43636363636363634)</f>
        <v>0.4363636364</v>
      </c>
      <c r="W14" s="16">
        <f>IFERROR(__xludf.DUMMYFUNCTION("""COMPUTED_VALUE"""),0.8909090909090909)</f>
        <v>0.8909090909</v>
      </c>
      <c r="X14" s="16">
        <f>IFERROR(__xludf.DUMMYFUNCTION("""COMPUTED_VALUE"""),2.890909090909091)</f>
        <v>2.890909091</v>
      </c>
      <c r="Y14" s="11">
        <f>IFERROR(__xludf.DUMMYFUNCTION("""COMPUTED_VALUE"""),10.0)</f>
        <v>10</v>
      </c>
      <c r="Z14" s="11">
        <f>IFERROR(__xludf.DUMMYFUNCTION("""COMPUTED_VALUE"""),5.0)</f>
        <v>5</v>
      </c>
      <c r="AA14" s="11">
        <f>IFERROR(__xludf.DUMMYFUNCTION("""COMPUTED_VALUE"""),0.0)</f>
        <v>0</v>
      </c>
      <c r="AB14" s="11">
        <f>IFERROR(__xludf.DUMMYFUNCTION("""COMPUTED_VALUE"""),4.0)</f>
        <v>4</v>
      </c>
      <c r="AC14" s="11">
        <f>IFERROR(__xludf.DUMMYFUNCTION("""COMPUTED_VALUE"""),45.0)</f>
        <v>45</v>
      </c>
      <c r="AD14" s="11">
        <f>IFERROR(__xludf.DUMMYFUNCTION("""COMPUTED_VALUE"""),43.0)</f>
        <v>43</v>
      </c>
    </row>
    <row r="15">
      <c r="A15" s="10" t="str">
        <f>IFERROR(__xludf.DUMMYFUNCTION("""COMPUTED_VALUE"""),"Amateur")</f>
        <v>Amateur</v>
      </c>
      <c r="B15" s="10" t="str">
        <f>IFERROR(__xludf.DUMMYFUNCTION("""COMPUTED_VALUE"""),"RSC008227")</f>
        <v>RSC008227</v>
      </c>
      <c r="C15" s="10" t="str">
        <f>IFERROR(__xludf.DUMMYFUNCTION("""COMPUTED_VALUE"""),"batman")</f>
        <v>batman</v>
      </c>
      <c r="D15" s="36" t="str">
        <f>IFERROR(__xludf.DUMMYFUNCTION("""COMPUTED_VALUE"""),"Electric Eels")</f>
        <v>Electric Eels</v>
      </c>
      <c r="E15" s="10" t="str">
        <f>IFERROR(__xludf.DUMMYFUNCTION("""COMPUTED_VALUE"""),"N/A")</f>
        <v>N/A</v>
      </c>
      <c r="F15" s="37">
        <f>IFERROR(__xludf.DUMMYFUNCTION("""COMPUTED_VALUE"""),71.51301738215024)</f>
        <v>71.51301738</v>
      </c>
      <c r="G15" s="38">
        <f>IFERROR(__xludf.DUMMYFUNCTION("""COMPUTED_VALUE"""),62.75653641242059)</f>
        <v>62.75653641</v>
      </c>
      <c r="H15" s="38">
        <f>IFERROR(__xludf.DUMMYFUNCTION("""COMPUTED_VALUE"""),67.1347768972854)</f>
        <v>67.1347769</v>
      </c>
      <c r="I15" s="14">
        <f>IFERROR(__xludf.DUMMYFUNCTION("""COMPUTED_VALUE"""),12.0)</f>
        <v>12</v>
      </c>
      <c r="J15" s="11">
        <f>IFERROR(__xludf.DUMMYFUNCTION("IFERROR(FILTER(Stats!$F:$Z,(Stats!$A:$A=$A15)*(Stats!$B:$B=$B15)))"),8.0)</f>
        <v>8</v>
      </c>
      <c r="K15" s="11">
        <f>IFERROR(__xludf.DUMMYFUNCTION("""COMPUTED_VALUE"""),4.0)</f>
        <v>4</v>
      </c>
      <c r="L15" s="12">
        <f>IFERROR(__xludf.DUMMYFUNCTION("""COMPUTED_VALUE"""),0.6666666666666666)</f>
        <v>0.6666666667</v>
      </c>
      <c r="M15" s="11">
        <f>IFERROR(__xludf.DUMMYFUNCTION("""COMPUTED_VALUE"""),1.0)</f>
        <v>1</v>
      </c>
      <c r="N15" s="11">
        <f>IFERROR(__xludf.DUMMYFUNCTION("""COMPUTED_VALUE"""),4076.0)</f>
        <v>4076</v>
      </c>
      <c r="O15" s="13">
        <f>IFERROR(__xludf.DUMMYFUNCTION("""COMPUTED_VALUE"""),8.0)</f>
        <v>8</v>
      </c>
      <c r="P15" s="14">
        <f>IFERROR(__xludf.DUMMYFUNCTION("""COMPUTED_VALUE"""),9.0)</f>
        <v>9</v>
      </c>
      <c r="Q15" s="13">
        <f>IFERROR(__xludf.DUMMYFUNCTION("""COMPUTED_VALUE"""),15.0)</f>
        <v>15</v>
      </c>
      <c r="R15" s="13">
        <f>IFERROR(__xludf.DUMMYFUNCTION("""COMPUTED_VALUE"""),26.0)</f>
        <v>26</v>
      </c>
      <c r="S15" s="15">
        <f>IFERROR(__xludf.DUMMYFUNCTION("""COMPUTED_VALUE"""),0.3076923076923077)</f>
        <v>0.3076923077</v>
      </c>
      <c r="T15" s="16">
        <f>IFERROR(__xludf.DUMMYFUNCTION("""COMPUTED_VALUE"""),339.6666666666667)</f>
        <v>339.6666667</v>
      </c>
      <c r="U15" s="16">
        <f>IFERROR(__xludf.DUMMYFUNCTION("""COMPUTED_VALUE"""),0.6666666666666666)</f>
        <v>0.6666666667</v>
      </c>
      <c r="V15" s="16">
        <f>IFERROR(__xludf.DUMMYFUNCTION("""COMPUTED_VALUE"""),0.75)</f>
        <v>0.75</v>
      </c>
      <c r="W15" s="16">
        <f>IFERROR(__xludf.DUMMYFUNCTION("""COMPUTED_VALUE"""),1.25)</f>
        <v>1.25</v>
      </c>
      <c r="X15" s="16">
        <f>IFERROR(__xludf.DUMMYFUNCTION("""COMPUTED_VALUE"""),2.1666666666666665)</f>
        <v>2.166666667</v>
      </c>
      <c r="Y15" s="11">
        <f>IFERROR(__xludf.DUMMYFUNCTION("""COMPUTED_VALUE"""),2.0)</f>
        <v>2</v>
      </c>
      <c r="Z15" s="11">
        <f>IFERROR(__xludf.DUMMYFUNCTION("""COMPUTED_VALUE"""),1.0)</f>
        <v>1</v>
      </c>
      <c r="AA15" s="11">
        <f>IFERROR(__xludf.DUMMYFUNCTION("""COMPUTED_VALUE"""),0.0)</f>
        <v>0</v>
      </c>
      <c r="AB15" s="11">
        <f>IFERROR(__xludf.DUMMYFUNCTION("""COMPUTED_VALUE"""),2.0)</f>
        <v>2</v>
      </c>
      <c r="AC15" s="11">
        <f>IFERROR(__xludf.DUMMYFUNCTION("""COMPUTED_VALUE"""),9.0)</f>
        <v>9</v>
      </c>
      <c r="AD15" s="11">
        <f>IFERROR(__xludf.DUMMYFUNCTION("""COMPUTED_VALUE"""),14.0)</f>
        <v>14</v>
      </c>
    </row>
    <row r="16">
      <c r="A16" s="10" t="str">
        <f>IFERROR(__xludf.DUMMYFUNCTION("""COMPUTED_VALUE"""),"Amateur")</f>
        <v>Amateur</v>
      </c>
      <c r="B16" s="10" t="str">
        <f>IFERROR(__xludf.DUMMYFUNCTION("""COMPUTED_VALUE"""),"RSC008136")</f>
        <v>RSC008136</v>
      </c>
      <c r="C16" s="10" t="str">
        <f>IFERROR(__xludf.DUMMYFUNCTION("""COMPUTED_VALUE"""),"GeneralLeigh91")</f>
        <v>GeneralLeigh91</v>
      </c>
      <c r="D16" s="36" t="str">
        <f>IFERROR(__xludf.DUMMYFUNCTION("""COMPUTED_VALUE"""),"Winter Fresh
Chimera")</f>
        <v>Winter Fresh
Chimera</v>
      </c>
      <c r="E16" s="10" t="str">
        <f>IFERROR(__xludf.DUMMYFUNCTION("""COMPUTED_VALUE"""),"N/A
N/A")</f>
        <v>N/A
N/A</v>
      </c>
      <c r="F16" s="37">
        <f>IFERROR(__xludf.DUMMYFUNCTION("""COMPUTED_VALUE"""),62.23499587117157)</f>
        <v>62.23499587</v>
      </c>
      <c r="G16" s="38">
        <f>IFERROR(__xludf.DUMMYFUNCTION("""COMPUTED_VALUE"""),66.60528714472376)</f>
        <v>66.60528714</v>
      </c>
      <c r="H16" s="38">
        <f>IFERROR(__xludf.DUMMYFUNCTION("""COMPUTED_VALUE"""),64.42014150794766)</f>
        <v>64.42014151</v>
      </c>
      <c r="I16" s="14">
        <f>IFERROR(__xludf.DUMMYFUNCTION("""COMPUTED_VALUE"""),50.0)</f>
        <v>50</v>
      </c>
      <c r="J16" s="11">
        <f>IFERROR(__xludf.DUMMYFUNCTION("IFERROR(FILTER(Stats!$F:$Z,(Stats!$A:$A=$A16)*(Stats!$B:$B=$B16)))"),31.0)</f>
        <v>31</v>
      </c>
      <c r="K16" s="11">
        <f>IFERROR(__xludf.DUMMYFUNCTION("""COMPUTED_VALUE"""),19.0)</f>
        <v>19</v>
      </c>
      <c r="L16" s="12">
        <f>IFERROR(__xludf.DUMMYFUNCTION("""COMPUTED_VALUE"""),0.62)</f>
        <v>0.62</v>
      </c>
      <c r="M16" s="11">
        <f>IFERROR(__xludf.DUMMYFUNCTION("""COMPUTED_VALUE"""),11.0)</f>
        <v>11</v>
      </c>
      <c r="N16" s="11">
        <f>IFERROR(__xludf.DUMMYFUNCTION("""COMPUTED_VALUE"""),17383.0)</f>
        <v>17383</v>
      </c>
      <c r="O16" s="13">
        <f>IFERROR(__xludf.DUMMYFUNCTION("""COMPUTED_VALUE"""),48.0)</f>
        <v>48</v>
      </c>
      <c r="P16" s="14">
        <f>IFERROR(__xludf.DUMMYFUNCTION("""COMPUTED_VALUE"""),29.0)</f>
        <v>29</v>
      </c>
      <c r="Q16" s="13">
        <f>IFERROR(__xludf.DUMMYFUNCTION("""COMPUTED_VALUE"""),63.0)</f>
        <v>63</v>
      </c>
      <c r="R16" s="13">
        <f>IFERROR(__xludf.DUMMYFUNCTION("""COMPUTED_VALUE"""),121.0)</f>
        <v>121</v>
      </c>
      <c r="S16" s="15">
        <f>IFERROR(__xludf.DUMMYFUNCTION("""COMPUTED_VALUE"""),0.39669421487603307)</f>
        <v>0.3966942149</v>
      </c>
      <c r="T16" s="16">
        <f>IFERROR(__xludf.DUMMYFUNCTION("""COMPUTED_VALUE"""),347.66)</f>
        <v>347.66</v>
      </c>
      <c r="U16" s="16">
        <f>IFERROR(__xludf.DUMMYFUNCTION("""COMPUTED_VALUE"""),0.96)</f>
        <v>0.96</v>
      </c>
      <c r="V16" s="16">
        <f>IFERROR(__xludf.DUMMYFUNCTION("""COMPUTED_VALUE"""),0.58)</f>
        <v>0.58</v>
      </c>
      <c r="W16" s="16">
        <f>IFERROR(__xludf.DUMMYFUNCTION("""COMPUTED_VALUE"""),1.26)</f>
        <v>1.26</v>
      </c>
      <c r="X16" s="16">
        <f>IFERROR(__xludf.DUMMYFUNCTION("""COMPUTED_VALUE"""),2.42)</f>
        <v>2.42</v>
      </c>
      <c r="Y16" s="11">
        <f>IFERROR(__xludf.DUMMYFUNCTION("""COMPUTED_VALUE"""),7.0)</f>
        <v>7</v>
      </c>
      <c r="Z16" s="11">
        <f>IFERROR(__xludf.DUMMYFUNCTION("""COMPUTED_VALUE"""),4.0)</f>
        <v>4</v>
      </c>
      <c r="AA16" s="11">
        <f>IFERROR(__xludf.DUMMYFUNCTION("""COMPUTED_VALUE"""),2.0)</f>
        <v>2</v>
      </c>
      <c r="AB16" s="11">
        <f>IFERROR(__xludf.DUMMYFUNCTION("""COMPUTED_VALUE"""),7.0)</f>
        <v>7</v>
      </c>
      <c r="AC16" s="11">
        <f>IFERROR(__xludf.DUMMYFUNCTION("""COMPUTED_VALUE"""),32.0)</f>
        <v>32</v>
      </c>
      <c r="AD16" s="11">
        <f>IFERROR(__xludf.DUMMYFUNCTION("""COMPUTED_VALUE"""),33.0)</f>
        <v>33</v>
      </c>
    </row>
    <row r="17">
      <c r="A17" s="10" t="str">
        <f>IFERROR(__xludf.DUMMYFUNCTION("""COMPUTED_VALUE"""),"Amateur")</f>
        <v>Amateur</v>
      </c>
      <c r="B17" s="10" t="str">
        <f>IFERROR(__xludf.DUMMYFUNCTION("""COMPUTED_VALUE"""),"RSC008092")</f>
        <v>RSC008092</v>
      </c>
      <c r="C17" s="10" t="str">
        <f>IFERROR(__xludf.DUMMYFUNCTION("""COMPUTED_VALUE"""),"ImPodz")</f>
        <v>ImPodz</v>
      </c>
      <c r="D17" s="36" t="str">
        <f>IFERROR(__xludf.DUMMYFUNCTION("""COMPUTED_VALUE"""),"Electric Eels")</f>
        <v>Electric Eels</v>
      </c>
      <c r="E17" s="10" t="str">
        <f>IFERROR(__xludf.DUMMYFUNCTION("""COMPUTED_VALUE"""),"N/A")</f>
        <v>N/A</v>
      </c>
      <c r="F17" s="37">
        <f>IFERROR(__xludf.DUMMYFUNCTION("""COMPUTED_VALUE"""),64.13553882675204)</f>
        <v>64.13553883</v>
      </c>
      <c r="G17" s="38">
        <f>IFERROR(__xludf.DUMMYFUNCTION("""COMPUTED_VALUE"""),59.7024205811802)</f>
        <v>59.70242058</v>
      </c>
      <c r="H17" s="38">
        <f>IFERROR(__xludf.DUMMYFUNCTION("""COMPUTED_VALUE"""),61.918979703966116)</f>
        <v>61.9189797</v>
      </c>
      <c r="I17" s="14">
        <f>IFERROR(__xludf.DUMMYFUNCTION("""COMPUTED_VALUE"""),28.0)</f>
        <v>28</v>
      </c>
      <c r="J17" s="11">
        <f>IFERROR(__xludf.DUMMYFUNCTION("IFERROR(FILTER(Stats!$F:$Z,(Stats!$A:$A=$A17)*(Stats!$B:$B=$B17)))"),13.0)</f>
        <v>13</v>
      </c>
      <c r="K17" s="11">
        <f>IFERROR(__xludf.DUMMYFUNCTION("""COMPUTED_VALUE"""),15.0)</f>
        <v>15</v>
      </c>
      <c r="L17" s="12">
        <f>IFERROR(__xludf.DUMMYFUNCTION("""COMPUTED_VALUE"""),0.4642857142857143)</f>
        <v>0.4642857143</v>
      </c>
      <c r="M17" s="11">
        <f>IFERROR(__xludf.DUMMYFUNCTION("""COMPUTED_VALUE"""),6.0)</f>
        <v>6</v>
      </c>
      <c r="N17" s="11">
        <f>IFERROR(__xludf.DUMMYFUNCTION("""COMPUTED_VALUE"""),10042.0)</f>
        <v>10042</v>
      </c>
      <c r="O17" s="13">
        <f>IFERROR(__xludf.DUMMYFUNCTION("""COMPUTED_VALUE"""),24.0)</f>
        <v>24</v>
      </c>
      <c r="P17" s="14">
        <f>IFERROR(__xludf.DUMMYFUNCTION("""COMPUTED_VALUE"""),11.0)</f>
        <v>11</v>
      </c>
      <c r="Q17" s="13">
        <f>IFERROR(__xludf.DUMMYFUNCTION("""COMPUTED_VALUE"""),36.0)</f>
        <v>36</v>
      </c>
      <c r="R17" s="13">
        <f>IFERROR(__xludf.DUMMYFUNCTION("""COMPUTED_VALUE"""),66.0)</f>
        <v>66</v>
      </c>
      <c r="S17" s="15">
        <f>IFERROR(__xludf.DUMMYFUNCTION("""COMPUTED_VALUE"""),0.36363636363636365)</f>
        <v>0.3636363636</v>
      </c>
      <c r="T17" s="16">
        <f>IFERROR(__xludf.DUMMYFUNCTION("""COMPUTED_VALUE"""),358.64285714285717)</f>
        <v>358.6428571</v>
      </c>
      <c r="U17" s="16">
        <f>IFERROR(__xludf.DUMMYFUNCTION("""COMPUTED_VALUE"""),0.8571428571428571)</f>
        <v>0.8571428571</v>
      </c>
      <c r="V17" s="16">
        <f>IFERROR(__xludf.DUMMYFUNCTION("""COMPUTED_VALUE"""),0.39285714285714285)</f>
        <v>0.3928571429</v>
      </c>
      <c r="W17" s="16">
        <f>IFERROR(__xludf.DUMMYFUNCTION("""COMPUTED_VALUE"""),1.2857142857142858)</f>
        <v>1.285714286</v>
      </c>
      <c r="X17" s="16">
        <f>IFERROR(__xludf.DUMMYFUNCTION("""COMPUTED_VALUE"""),2.357142857142857)</f>
        <v>2.357142857</v>
      </c>
      <c r="Y17" s="11">
        <f>IFERROR(__xludf.DUMMYFUNCTION("""COMPUTED_VALUE"""),2.0)</f>
        <v>2</v>
      </c>
      <c r="Z17" s="11">
        <f>IFERROR(__xludf.DUMMYFUNCTION("""COMPUTED_VALUE"""),3.0)</f>
        <v>3</v>
      </c>
      <c r="AA17" s="11">
        <f>IFERROR(__xludf.DUMMYFUNCTION("""COMPUTED_VALUE"""),0.0)</f>
        <v>0</v>
      </c>
      <c r="AB17" s="11">
        <f>IFERROR(__xludf.DUMMYFUNCTION("""COMPUTED_VALUE"""),4.0)</f>
        <v>4</v>
      </c>
      <c r="AC17" s="11">
        <f>IFERROR(__xludf.DUMMYFUNCTION("""COMPUTED_VALUE"""),21.0)</f>
        <v>21</v>
      </c>
      <c r="AD17" s="11">
        <f>IFERROR(__xludf.DUMMYFUNCTION("""COMPUTED_VALUE"""),14.0)</f>
        <v>14</v>
      </c>
    </row>
    <row r="18">
      <c r="A18" s="10" t="str">
        <f>IFERROR(__xludf.DUMMYFUNCTION("""COMPUTED_VALUE"""),"Amateur")</f>
        <v>Amateur</v>
      </c>
      <c r="B18" s="10" t="str">
        <f>IFERROR(__xludf.DUMMYFUNCTION("""COMPUTED_VALUE"""),"RSC007270")</f>
        <v>RSC007270</v>
      </c>
      <c r="C18" s="10" t="str">
        <f>IFERROR(__xludf.DUMMYFUNCTION("""COMPUTED_VALUE"""),"D0pey killer")</f>
        <v>D0pey killer</v>
      </c>
      <c r="D18" s="36" t="str">
        <f>IFERROR(__xludf.DUMMYFUNCTION("""COMPUTED_VALUE"""),"Electric Eels")</f>
        <v>Electric Eels</v>
      </c>
      <c r="E18" s="10" t="str">
        <f>IFERROR(__xludf.DUMMYFUNCTION("""COMPUTED_VALUE"""),"N/A")</f>
        <v>N/A</v>
      </c>
      <c r="F18" s="37">
        <f>IFERROR(__xludf.DUMMYFUNCTION("""COMPUTED_VALUE"""),64.03248701807968)</f>
        <v>64.03248702</v>
      </c>
      <c r="G18" s="38">
        <f>IFERROR(__xludf.DUMMYFUNCTION("""COMPUTED_VALUE"""),59.51264956267918)</f>
        <v>59.51264956</v>
      </c>
      <c r="H18" s="38">
        <f>IFERROR(__xludf.DUMMYFUNCTION("""COMPUTED_VALUE"""),61.772568290379425)</f>
        <v>61.77256829</v>
      </c>
      <c r="I18" s="14">
        <f>IFERROR(__xludf.DUMMYFUNCTION("""COMPUTED_VALUE"""),48.0)</f>
        <v>48</v>
      </c>
      <c r="J18" s="11">
        <f>IFERROR(__xludf.DUMMYFUNCTION("IFERROR(FILTER(Stats!$F:$Z,(Stats!$A:$A=$A18)*(Stats!$B:$B=$B18)))"),24.0)</f>
        <v>24</v>
      </c>
      <c r="K18" s="11">
        <f>IFERROR(__xludf.DUMMYFUNCTION("""COMPUTED_VALUE"""),24.0)</f>
        <v>24</v>
      </c>
      <c r="L18" s="12">
        <f>IFERROR(__xludf.DUMMYFUNCTION("""COMPUTED_VALUE"""),0.5)</f>
        <v>0.5</v>
      </c>
      <c r="M18" s="11">
        <f>IFERROR(__xludf.DUMMYFUNCTION("""COMPUTED_VALUE"""),4.0)</f>
        <v>4</v>
      </c>
      <c r="N18" s="11">
        <f>IFERROR(__xludf.DUMMYFUNCTION("""COMPUTED_VALUE"""),15443.0)</f>
        <v>15443</v>
      </c>
      <c r="O18" s="13">
        <f>IFERROR(__xludf.DUMMYFUNCTION("""COMPUTED_VALUE"""),35.0)</f>
        <v>35</v>
      </c>
      <c r="P18" s="14">
        <f>IFERROR(__xludf.DUMMYFUNCTION("""COMPUTED_VALUE"""),24.0)</f>
        <v>24</v>
      </c>
      <c r="Q18" s="13">
        <f>IFERROR(__xludf.DUMMYFUNCTION("""COMPUTED_VALUE"""),49.0)</f>
        <v>49</v>
      </c>
      <c r="R18" s="13">
        <f>IFERROR(__xludf.DUMMYFUNCTION("""COMPUTED_VALUE"""),118.0)</f>
        <v>118</v>
      </c>
      <c r="S18" s="15">
        <f>IFERROR(__xludf.DUMMYFUNCTION("""COMPUTED_VALUE"""),0.2966101694915254)</f>
        <v>0.2966101695</v>
      </c>
      <c r="T18" s="16">
        <f>IFERROR(__xludf.DUMMYFUNCTION("""COMPUTED_VALUE"""),321.7291666666667)</f>
        <v>321.7291667</v>
      </c>
      <c r="U18" s="16">
        <f>IFERROR(__xludf.DUMMYFUNCTION("""COMPUTED_VALUE"""),0.7291666666666666)</f>
        <v>0.7291666667</v>
      </c>
      <c r="V18" s="16">
        <f>IFERROR(__xludf.DUMMYFUNCTION("""COMPUTED_VALUE"""),0.5)</f>
        <v>0.5</v>
      </c>
      <c r="W18" s="16">
        <f>IFERROR(__xludf.DUMMYFUNCTION("""COMPUTED_VALUE"""),1.0208333333333333)</f>
        <v>1.020833333</v>
      </c>
      <c r="X18" s="16">
        <f>IFERROR(__xludf.DUMMYFUNCTION("""COMPUTED_VALUE"""),2.4583333333333335)</f>
        <v>2.458333333</v>
      </c>
      <c r="Y18" s="11">
        <f>IFERROR(__xludf.DUMMYFUNCTION("""COMPUTED_VALUE"""),7.0)</f>
        <v>7</v>
      </c>
      <c r="Z18" s="11">
        <f>IFERROR(__xludf.DUMMYFUNCTION("""COMPUTED_VALUE"""),2.0)</f>
        <v>2</v>
      </c>
      <c r="AA18" s="11">
        <f>IFERROR(__xludf.DUMMYFUNCTION("""COMPUTED_VALUE"""),2.0)</f>
        <v>2</v>
      </c>
      <c r="AB18" s="11">
        <f>IFERROR(__xludf.DUMMYFUNCTION("""COMPUTED_VALUE"""),7.0)</f>
        <v>7</v>
      </c>
      <c r="AC18" s="11">
        <f>IFERROR(__xludf.DUMMYFUNCTION("""COMPUTED_VALUE"""),43.0)</f>
        <v>43</v>
      </c>
      <c r="AD18" s="11">
        <f>IFERROR(__xludf.DUMMYFUNCTION("""COMPUTED_VALUE"""),33.0)</f>
        <v>33</v>
      </c>
    </row>
    <row r="19">
      <c r="A19" s="10" t="str">
        <f>IFERROR(__xludf.DUMMYFUNCTION("""COMPUTED_VALUE"""),"Amateur")</f>
        <v>Amateur</v>
      </c>
      <c r="B19" s="10" t="str">
        <f>IFERROR(__xludf.DUMMYFUNCTION("""COMPUTED_VALUE"""),"RSC008193")</f>
        <v>RSC008193</v>
      </c>
      <c r="C19" s="10" t="str">
        <f>IFERROR(__xludf.DUMMYFUNCTION("""COMPUTED_VALUE"""),"RL Camaro")</f>
        <v>RL Camaro</v>
      </c>
      <c r="D19" s="36" t="str">
        <f>IFERROR(__xludf.DUMMYFUNCTION("""COMPUTED_VALUE"""),"Chimera")</f>
        <v>Chimera</v>
      </c>
      <c r="E19" s="10" t="str">
        <f>IFERROR(__xludf.DUMMYFUNCTION("""COMPUTED_VALUE"""),"N/A")</f>
        <v>N/A</v>
      </c>
      <c r="F19" s="37">
        <f>IFERROR(__xludf.DUMMYFUNCTION("""COMPUTED_VALUE"""),58.53108837612528)</f>
        <v>58.53108838</v>
      </c>
      <c r="G19" s="38">
        <f>IFERROR(__xludf.DUMMYFUNCTION("""COMPUTED_VALUE"""),59.46436549120326)</f>
        <v>59.46436549</v>
      </c>
      <c r="H19" s="38">
        <f>IFERROR(__xludf.DUMMYFUNCTION("""COMPUTED_VALUE"""),58.99772693366427)</f>
        <v>58.99772693</v>
      </c>
      <c r="I19" s="14">
        <f>IFERROR(__xludf.DUMMYFUNCTION("""COMPUTED_VALUE"""),51.0)</f>
        <v>51</v>
      </c>
      <c r="J19" s="11">
        <f>IFERROR(__xludf.DUMMYFUNCTION("IFERROR(FILTER(Stats!$F:$Z,(Stats!$A:$A=$A19)*(Stats!$B:$B=$B19)))"),27.0)</f>
        <v>27</v>
      </c>
      <c r="K19" s="11">
        <f>IFERROR(__xludf.DUMMYFUNCTION("""COMPUTED_VALUE"""),24.0)</f>
        <v>24</v>
      </c>
      <c r="L19" s="12">
        <f>IFERROR(__xludf.DUMMYFUNCTION("""COMPUTED_VALUE"""),0.5294117647058824)</f>
        <v>0.5294117647</v>
      </c>
      <c r="M19" s="11">
        <f>IFERROR(__xludf.DUMMYFUNCTION("""COMPUTED_VALUE"""),10.0)</f>
        <v>10</v>
      </c>
      <c r="N19" s="11">
        <f>IFERROR(__xludf.DUMMYFUNCTION("""COMPUTED_VALUE"""),16903.0)</f>
        <v>16903</v>
      </c>
      <c r="O19" s="13">
        <f>IFERROR(__xludf.DUMMYFUNCTION("""COMPUTED_VALUE"""),46.0)</f>
        <v>46</v>
      </c>
      <c r="P19" s="14">
        <f>IFERROR(__xludf.DUMMYFUNCTION("""COMPUTED_VALUE"""),24.0)</f>
        <v>24</v>
      </c>
      <c r="Q19" s="13">
        <f>IFERROR(__xludf.DUMMYFUNCTION("""COMPUTED_VALUE"""),40.0)</f>
        <v>40</v>
      </c>
      <c r="R19" s="13">
        <f>IFERROR(__xludf.DUMMYFUNCTION("""COMPUTED_VALUE"""),117.0)</f>
        <v>117</v>
      </c>
      <c r="S19" s="15">
        <f>IFERROR(__xludf.DUMMYFUNCTION("""COMPUTED_VALUE"""),0.39316239316239315)</f>
        <v>0.3931623932</v>
      </c>
      <c r="T19" s="16">
        <f>IFERROR(__xludf.DUMMYFUNCTION("""COMPUTED_VALUE"""),331.4313725490196)</f>
        <v>331.4313725</v>
      </c>
      <c r="U19" s="16">
        <f>IFERROR(__xludf.DUMMYFUNCTION("""COMPUTED_VALUE"""),0.9019607843137255)</f>
        <v>0.9019607843</v>
      </c>
      <c r="V19" s="16">
        <f>IFERROR(__xludf.DUMMYFUNCTION("""COMPUTED_VALUE"""),0.47058823529411764)</f>
        <v>0.4705882353</v>
      </c>
      <c r="W19" s="16">
        <f>IFERROR(__xludf.DUMMYFUNCTION("""COMPUTED_VALUE"""),0.7843137254901961)</f>
        <v>0.7843137255</v>
      </c>
      <c r="X19" s="16">
        <f>IFERROR(__xludf.DUMMYFUNCTION("""COMPUTED_VALUE"""),2.2941176470588234)</f>
        <v>2.294117647</v>
      </c>
      <c r="Y19" s="11">
        <f>IFERROR(__xludf.DUMMYFUNCTION("""COMPUTED_VALUE"""),4.0)</f>
        <v>4</v>
      </c>
      <c r="Z19" s="11">
        <f>IFERROR(__xludf.DUMMYFUNCTION("""COMPUTED_VALUE"""),3.0)</f>
        <v>3</v>
      </c>
      <c r="AA19" s="11">
        <f>IFERROR(__xludf.DUMMYFUNCTION("""COMPUTED_VALUE"""),0.0)</f>
        <v>0</v>
      </c>
      <c r="AB19" s="11">
        <f>IFERROR(__xludf.DUMMYFUNCTION("""COMPUTED_VALUE"""),3.0)</f>
        <v>3</v>
      </c>
      <c r="AC19" s="11">
        <f>IFERROR(__xludf.DUMMYFUNCTION("""COMPUTED_VALUE"""),23.0)</f>
        <v>23</v>
      </c>
      <c r="AD19" s="11">
        <f>IFERROR(__xludf.DUMMYFUNCTION("""COMPUTED_VALUE"""),34.0)</f>
        <v>34</v>
      </c>
    </row>
    <row r="20">
      <c r="A20" s="10" t="str">
        <f>IFERROR(__xludf.DUMMYFUNCTION("""COMPUTED_VALUE"""),"Amateur")</f>
        <v>Amateur</v>
      </c>
      <c r="B20" s="10" t="str">
        <f>IFERROR(__xludf.DUMMYFUNCTION("""COMPUTED_VALUE"""),"RSC007852")</f>
        <v>RSC007852</v>
      </c>
      <c r="C20" s="10" t="str">
        <f>IFERROR(__xludf.DUMMYFUNCTION("""COMPUTED_VALUE"""),"Medicmac121")</f>
        <v>Medicmac121</v>
      </c>
      <c r="D20" s="36" t="str">
        <f>IFERROR(__xludf.DUMMYFUNCTION("""COMPUTED_VALUE"""),"Garlic Knots")</f>
        <v>Garlic Knots</v>
      </c>
      <c r="E20" s="10" t="str">
        <f>IFERROR(__xludf.DUMMYFUNCTION("""COMPUTED_VALUE"""),"N/A")</f>
        <v>N/A</v>
      </c>
      <c r="F20" s="37">
        <f>IFERROR(__xludf.DUMMYFUNCTION("""COMPUTED_VALUE"""),55.6750799410066)</f>
        <v>55.67507994</v>
      </c>
      <c r="G20" s="38">
        <f>IFERROR(__xludf.DUMMYFUNCTION("""COMPUTED_VALUE"""),59.29091412043735)</f>
        <v>59.29091412</v>
      </c>
      <c r="H20" s="38">
        <f>IFERROR(__xludf.DUMMYFUNCTION("""COMPUTED_VALUE"""),57.482997030721975)</f>
        <v>57.48299703</v>
      </c>
      <c r="I20" s="14">
        <f>IFERROR(__xludf.DUMMYFUNCTION("""COMPUTED_VALUE"""),44.0)</f>
        <v>44</v>
      </c>
      <c r="J20" s="11">
        <f>IFERROR(__xludf.DUMMYFUNCTION("IFERROR(FILTER(Stats!$F:$Z,(Stats!$A:$A=$A20)*(Stats!$B:$B=$B20)))"),20.0)</f>
        <v>20</v>
      </c>
      <c r="K20" s="11">
        <f>IFERROR(__xludf.DUMMYFUNCTION("""COMPUTED_VALUE"""),24.0)</f>
        <v>24</v>
      </c>
      <c r="L20" s="12">
        <f>IFERROR(__xludf.DUMMYFUNCTION("""COMPUTED_VALUE"""),0.45454545454545453)</f>
        <v>0.4545454545</v>
      </c>
      <c r="M20" s="11">
        <f>IFERROR(__xludf.DUMMYFUNCTION("""COMPUTED_VALUE"""),5.0)</f>
        <v>5</v>
      </c>
      <c r="N20" s="11">
        <f>IFERROR(__xludf.DUMMYFUNCTION("""COMPUTED_VALUE"""),13777.0)</f>
        <v>13777</v>
      </c>
      <c r="O20" s="13">
        <f>IFERROR(__xludf.DUMMYFUNCTION("""COMPUTED_VALUE"""),37.0)</f>
        <v>37</v>
      </c>
      <c r="P20" s="14">
        <f>IFERROR(__xludf.DUMMYFUNCTION("""COMPUTED_VALUE"""),19.0)</f>
        <v>19</v>
      </c>
      <c r="Q20" s="13">
        <f>IFERROR(__xludf.DUMMYFUNCTION("""COMPUTED_VALUE"""),32.0)</f>
        <v>32</v>
      </c>
      <c r="R20" s="13">
        <f>IFERROR(__xludf.DUMMYFUNCTION("""COMPUTED_VALUE"""),120.0)</f>
        <v>120</v>
      </c>
      <c r="S20" s="15">
        <f>IFERROR(__xludf.DUMMYFUNCTION("""COMPUTED_VALUE"""),0.30833333333333335)</f>
        <v>0.3083333333</v>
      </c>
      <c r="T20" s="16">
        <f>IFERROR(__xludf.DUMMYFUNCTION("""COMPUTED_VALUE"""),313.1136363636364)</f>
        <v>313.1136364</v>
      </c>
      <c r="U20" s="16">
        <f>IFERROR(__xludf.DUMMYFUNCTION("""COMPUTED_VALUE"""),0.8409090909090909)</f>
        <v>0.8409090909</v>
      </c>
      <c r="V20" s="16">
        <f>IFERROR(__xludf.DUMMYFUNCTION("""COMPUTED_VALUE"""),0.4318181818181818)</f>
        <v>0.4318181818</v>
      </c>
      <c r="W20" s="16">
        <f>IFERROR(__xludf.DUMMYFUNCTION("""COMPUTED_VALUE"""),0.7272727272727273)</f>
        <v>0.7272727273</v>
      </c>
      <c r="X20" s="16">
        <f>IFERROR(__xludf.DUMMYFUNCTION("""COMPUTED_VALUE"""),2.727272727272727)</f>
        <v>2.727272727</v>
      </c>
      <c r="Y20" s="11">
        <f>IFERROR(__xludf.DUMMYFUNCTION("""COMPUTED_VALUE"""),5.0)</f>
        <v>5</v>
      </c>
      <c r="Z20" s="11">
        <f>IFERROR(__xludf.DUMMYFUNCTION("""COMPUTED_VALUE"""),3.0)</f>
        <v>3</v>
      </c>
      <c r="AA20" s="11">
        <f>IFERROR(__xludf.DUMMYFUNCTION("""COMPUTED_VALUE"""),0.0)</f>
        <v>0</v>
      </c>
      <c r="AB20" s="11">
        <f>IFERROR(__xludf.DUMMYFUNCTION("""COMPUTED_VALUE"""),3.0)</f>
        <v>3</v>
      </c>
      <c r="AC20" s="11">
        <f>IFERROR(__xludf.DUMMYFUNCTION("""COMPUTED_VALUE"""),59.0)</f>
        <v>59</v>
      </c>
      <c r="AD20" s="11">
        <f>IFERROR(__xludf.DUMMYFUNCTION("""COMPUTED_VALUE"""),26.0)</f>
        <v>26</v>
      </c>
    </row>
    <row r="21">
      <c r="A21" s="10" t="str">
        <f>IFERROR(__xludf.DUMMYFUNCTION("""COMPUTED_VALUE"""),"Amateur")</f>
        <v>Amateur</v>
      </c>
      <c r="B21" s="10" t="str">
        <f>IFERROR(__xludf.DUMMYFUNCTION("""COMPUTED_VALUE"""),"RSC002713")</f>
        <v>RSC002713</v>
      </c>
      <c r="C21" s="10" t="str">
        <f>IFERROR(__xludf.DUMMYFUNCTION("""COMPUTED_VALUE"""),"TimmyIU20")</f>
        <v>TimmyIU20</v>
      </c>
      <c r="D21" s="36" t="str">
        <f>IFERROR(__xludf.DUMMYFUNCTION("""COMPUTED_VALUE"""),"Winter Fresh
Electric Eels")</f>
        <v>Winter Fresh
Electric Eels</v>
      </c>
      <c r="E21" s="10" t="str">
        <f>IFERROR(__xludf.DUMMYFUNCTION("""COMPUTED_VALUE"""),"N/A
N/A")</f>
        <v>N/A
N/A</v>
      </c>
      <c r="F21" s="37">
        <f>IFERROR(__xludf.DUMMYFUNCTION("""COMPUTED_VALUE"""),53.93122557704734)</f>
        <v>53.93122558</v>
      </c>
      <c r="G21" s="38">
        <f>IFERROR(__xludf.DUMMYFUNCTION("""COMPUTED_VALUE"""),57.864552560707395)</f>
        <v>57.86455256</v>
      </c>
      <c r="H21" s="38">
        <f>IFERROR(__xludf.DUMMYFUNCTION("""COMPUTED_VALUE"""),55.89788906887737)</f>
        <v>55.89788907</v>
      </c>
      <c r="I21" s="14">
        <f>IFERROR(__xludf.DUMMYFUNCTION("""COMPUTED_VALUE"""),32.0)</f>
        <v>32</v>
      </c>
      <c r="J21" s="11">
        <f>IFERROR(__xludf.DUMMYFUNCTION("IFERROR(FILTER(Stats!$F:$Z,(Stats!$A:$A=$A21)*(Stats!$B:$B=$B21)))"),22.0)</f>
        <v>22</v>
      </c>
      <c r="K21" s="11">
        <f>IFERROR(__xludf.DUMMYFUNCTION("""COMPUTED_VALUE"""),10.0)</f>
        <v>10</v>
      </c>
      <c r="L21" s="12">
        <f>IFERROR(__xludf.DUMMYFUNCTION("""COMPUTED_VALUE"""),0.6875)</f>
        <v>0.6875</v>
      </c>
      <c r="M21" s="11">
        <f>IFERROR(__xludf.DUMMYFUNCTION("""COMPUTED_VALUE"""),7.0)</f>
        <v>7</v>
      </c>
      <c r="N21" s="11">
        <f>IFERROR(__xludf.DUMMYFUNCTION("""COMPUTED_VALUE"""),10408.0)</f>
        <v>10408</v>
      </c>
      <c r="O21" s="13">
        <f>IFERROR(__xludf.DUMMYFUNCTION("""COMPUTED_VALUE"""),30.0)</f>
        <v>30</v>
      </c>
      <c r="P21" s="14">
        <f>IFERROR(__xludf.DUMMYFUNCTION("""COMPUTED_VALUE"""),11.0)</f>
        <v>11</v>
      </c>
      <c r="Q21" s="13">
        <f>IFERROR(__xludf.DUMMYFUNCTION("""COMPUTED_VALUE"""),30.0)</f>
        <v>30</v>
      </c>
      <c r="R21" s="13">
        <f>IFERROR(__xludf.DUMMYFUNCTION("""COMPUTED_VALUE"""),79.0)</f>
        <v>79</v>
      </c>
      <c r="S21" s="15">
        <f>IFERROR(__xludf.DUMMYFUNCTION("""COMPUTED_VALUE"""),0.379746835443038)</f>
        <v>0.3797468354</v>
      </c>
      <c r="T21" s="16">
        <f>IFERROR(__xludf.DUMMYFUNCTION("""COMPUTED_VALUE"""),325.25)</f>
        <v>325.25</v>
      </c>
      <c r="U21" s="16">
        <f>IFERROR(__xludf.DUMMYFUNCTION("""COMPUTED_VALUE"""),0.9375)</f>
        <v>0.9375</v>
      </c>
      <c r="V21" s="16">
        <f>IFERROR(__xludf.DUMMYFUNCTION("""COMPUTED_VALUE"""),0.34375)</f>
        <v>0.34375</v>
      </c>
      <c r="W21" s="16">
        <f>IFERROR(__xludf.DUMMYFUNCTION("""COMPUTED_VALUE"""),0.9375)</f>
        <v>0.9375</v>
      </c>
      <c r="X21" s="16">
        <f>IFERROR(__xludf.DUMMYFUNCTION("""COMPUTED_VALUE"""),2.46875)</f>
        <v>2.46875</v>
      </c>
      <c r="Y21" s="11">
        <f>IFERROR(__xludf.DUMMYFUNCTION("""COMPUTED_VALUE"""),3.0)</f>
        <v>3</v>
      </c>
      <c r="Z21" s="11">
        <f>IFERROR(__xludf.DUMMYFUNCTION("""COMPUTED_VALUE"""),1.0)</f>
        <v>1</v>
      </c>
      <c r="AA21" s="11">
        <f>IFERROR(__xludf.DUMMYFUNCTION("""COMPUTED_VALUE"""),0.0)</f>
        <v>0</v>
      </c>
      <c r="AB21" s="11">
        <f>IFERROR(__xludf.DUMMYFUNCTION("""COMPUTED_VALUE"""),2.0)</f>
        <v>2</v>
      </c>
      <c r="AC21" s="11">
        <f>IFERROR(__xludf.DUMMYFUNCTION("""COMPUTED_VALUE"""),15.0)</f>
        <v>15</v>
      </c>
      <c r="AD21" s="11">
        <f>IFERROR(__xludf.DUMMYFUNCTION("""COMPUTED_VALUE"""),33.0)</f>
        <v>33</v>
      </c>
    </row>
    <row r="22">
      <c r="A22" s="10" t="str">
        <f>IFERROR(__xludf.DUMMYFUNCTION("""COMPUTED_VALUE"""),"Amateur")</f>
        <v>Amateur</v>
      </c>
      <c r="B22" s="10" t="str">
        <f>IFERROR(__xludf.DUMMYFUNCTION("""COMPUTED_VALUE"""),"RSC007581")</f>
        <v>RSC007581</v>
      </c>
      <c r="C22" s="10" t="str">
        <f>IFERROR(__xludf.DUMMYFUNCTION("""COMPUTED_VALUE"""),"Wrecklessjay02")</f>
        <v>Wrecklessjay02</v>
      </c>
      <c r="D22" s="36" t="str">
        <f>IFERROR(__xludf.DUMMYFUNCTION("""COMPUTED_VALUE"""),"Bombers")</f>
        <v>Bombers</v>
      </c>
      <c r="E22" s="10" t="str">
        <f>IFERROR(__xludf.DUMMYFUNCTION("""COMPUTED_VALUE"""),"N/A")</f>
        <v>N/A</v>
      </c>
      <c r="F22" s="37">
        <f>IFERROR(__xludf.DUMMYFUNCTION("""COMPUTED_VALUE"""),54.2014102094929)</f>
        <v>54.20141021</v>
      </c>
      <c r="G22" s="38">
        <f>IFERROR(__xludf.DUMMYFUNCTION("""COMPUTED_VALUE"""),56.90245359791163)</f>
        <v>56.9024536</v>
      </c>
      <c r="H22" s="38">
        <f>IFERROR(__xludf.DUMMYFUNCTION("""COMPUTED_VALUE"""),55.55193190370227)</f>
        <v>55.5519319</v>
      </c>
      <c r="I22" s="14">
        <f>IFERROR(__xludf.DUMMYFUNCTION("""COMPUTED_VALUE"""),47.0)</f>
        <v>47</v>
      </c>
      <c r="J22" s="11">
        <f>IFERROR(__xludf.DUMMYFUNCTION("IFERROR(FILTER(Stats!$F:$Z,(Stats!$A:$A=$A22)*(Stats!$B:$B=$B22)))"),34.0)</f>
        <v>34</v>
      </c>
      <c r="K22" s="11">
        <f>IFERROR(__xludf.DUMMYFUNCTION("""COMPUTED_VALUE"""),13.0)</f>
        <v>13</v>
      </c>
      <c r="L22" s="12">
        <f>IFERROR(__xludf.DUMMYFUNCTION("""COMPUTED_VALUE"""),0.723404255319149)</f>
        <v>0.7234042553</v>
      </c>
      <c r="M22" s="11">
        <f>IFERROR(__xludf.DUMMYFUNCTION("""COMPUTED_VALUE"""),7.0)</f>
        <v>7</v>
      </c>
      <c r="N22" s="11">
        <f>IFERROR(__xludf.DUMMYFUNCTION("""COMPUTED_VALUE"""),13812.0)</f>
        <v>13812</v>
      </c>
      <c r="O22" s="13">
        <f>IFERROR(__xludf.DUMMYFUNCTION("""COMPUTED_VALUE"""),29.0)</f>
        <v>29</v>
      </c>
      <c r="P22" s="14">
        <f>IFERROR(__xludf.DUMMYFUNCTION("""COMPUTED_VALUE"""),27.0)</f>
        <v>27</v>
      </c>
      <c r="Q22" s="13">
        <f>IFERROR(__xludf.DUMMYFUNCTION("""COMPUTED_VALUE"""),40.0)</f>
        <v>40</v>
      </c>
      <c r="R22" s="13">
        <f>IFERROR(__xludf.DUMMYFUNCTION("""COMPUTED_VALUE"""),106.0)</f>
        <v>106</v>
      </c>
      <c r="S22" s="15">
        <f>IFERROR(__xludf.DUMMYFUNCTION("""COMPUTED_VALUE"""),0.27358490566037735)</f>
        <v>0.2735849057</v>
      </c>
      <c r="T22" s="16">
        <f>IFERROR(__xludf.DUMMYFUNCTION("""COMPUTED_VALUE"""),293.8723404255319)</f>
        <v>293.8723404</v>
      </c>
      <c r="U22" s="16">
        <f>IFERROR(__xludf.DUMMYFUNCTION("""COMPUTED_VALUE"""),0.6170212765957447)</f>
        <v>0.6170212766</v>
      </c>
      <c r="V22" s="16">
        <f>IFERROR(__xludf.DUMMYFUNCTION("""COMPUTED_VALUE"""),0.574468085106383)</f>
        <v>0.5744680851</v>
      </c>
      <c r="W22" s="16">
        <f>IFERROR(__xludf.DUMMYFUNCTION("""COMPUTED_VALUE"""),0.851063829787234)</f>
        <v>0.8510638298</v>
      </c>
      <c r="X22" s="16">
        <f>IFERROR(__xludf.DUMMYFUNCTION("""COMPUTED_VALUE"""),2.25531914893617)</f>
        <v>2.255319149</v>
      </c>
      <c r="Y22" s="11">
        <f>IFERROR(__xludf.DUMMYFUNCTION("""COMPUTED_VALUE"""),2.0)</f>
        <v>2</v>
      </c>
      <c r="Z22" s="11">
        <f>IFERROR(__xludf.DUMMYFUNCTION("""COMPUTED_VALUE"""),2.0)</f>
        <v>2</v>
      </c>
      <c r="AA22" s="11">
        <f>IFERROR(__xludf.DUMMYFUNCTION("""COMPUTED_VALUE"""),1.0)</f>
        <v>1</v>
      </c>
      <c r="AB22" s="11">
        <f>IFERROR(__xludf.DUMMYFUNCTION("""COMPUTED_VALUE"""),2.0)</f>
        <v>2</v>
      </c>
      <c r="AC22" s="11">
        <f>IFERROR(__xludf.DUMMYFUNCTION("""COMPUTED_VALUE"""),39.0)</f>
        <v>39</v>
      </c>
      <c r="AD22" s="11">
        <f>IFERROR(__xludf.DUMMYFUNCTION("""COMPUTED_VALUE"""),30.0)</f>
        <v>30</v>
      </c>
    </row>
    <row r="23">
      <c r="A23" s="10" t="str">
        <f>IFERROR(__xludf.DUMMYFUNCTION("""COMPUTED_VALUE"""),"Amateur")</f>
        <v>Amateur</v>
      </c>
      <c r="B23" s="10" t="str">
        <f>IFERROR(__xludf.DUMMYFUNCTION("""COMPUTED_VALUE"""),"RSC006375")</f>
        <v>RSC006375</v>
      </c>
      <c r="C23" s="10" t="str">
        <f>IFERROR(__xludf.DUMMYFUNCTION("""COMPUTED_VALUE"""),"Rich-Rollin6060")</f>
        <v>Rich-Rollin6060</v>
      </c>
      <c r="D23" s="36" t="str">
        <f>IFERROR(__xludf.DUMMYFUNCTION("""COMPUTED_VALUE"""),"Garlic Knots")</f>
        <v>Garlic Knots</v>
      </c>
      <c r="E23" s="10" t="str">
        <f>IFERROR(__xludf.DUMMYFUNCTION("""COMPUTED_VALUE"""),"N/A")</f>
        <v>N/A</v>
      </c>
      <c r="F23" s="37">
        <f>IFERROR(__xludf.DUMMYFUNCTION("""COMPUTED_VALUE"""),54.59217446996295)</f>
        <v>54.59217447</v>
      </c>
      <c r="G23" s="38">
        <f>IFERROR(__xludf.DUMMYFUNCTION("""COMPUTED_VALUE"""),55.72317975002479)</f>
        <v>55.72317975</v>
      </c>
      <c r="H23" s="38">
        <f>IFERROR(__xludf.DUMMYFUNCTION("""COMPUTED_VALUE"""),55.15767710999387)</f>
        <v>55.15767711</v>
      </c>
      <c r="I23" s="14">
        <f>IFERROR(__xludf.DUMMYFUNCTION("""COMPUTED_VALUE"""),42.0)</f>
        <v>42</v>
      </c>
      <c r="J23" s="11">
        <f>IFERROR(__xludf.DUMMYFUNCTION("IFERROR(FILTER(Stats!$F:$Z,(Stats!$A:$A=$A23)*(Stats!$B:$B=$B23)))"),23.0)</f>
        <v>23</v>
      </c>
      <c r="K23" s="11">
        <f>IFERROR(__xludf.DUMMYFUNCTION("""COMPUTED_VALUE"""),19.0)</f>
        <v>19</v>
      </c>
      <c r="L23" s="12">
        <f>IFERROR(__xludf.DUMMYFUNCTION("""COMPUTED_VALUE"""),0.5476190476190477)</f>
        <v>0.5476190476</v>
      </c>
      <c r="M23" s="11">
        <f>IFERROR(__xludf.DUMMYFUNCTION("""COMPUTED_VALUE"""),4.0)</f>
        <v>4</v>
      </c>
      <c r="N23" s="11">
        <f>IFERROR(__xludf.DUMMYFUNCTION("""COMPUTED_VALUE"""),11869.0)</f>
        <v>11869</v>
      </c>
      <c r="O23" s="13">
        <f>IFERROR(__xludf.DUMMYFUNCTION("""COMPUTED_VALUE"""),33.0)</f>
        <v>33</v>
      </c>
      <c r="P23" s="14">
        <f>IFERROR(__xludf.DUMMYFUNCTION("""COMPUTED_VALUE"""),22.0)</f>
        <v>22</v>
      </c>
      <c r="Q23" s="13">
        <f>IFERROR(__xludf.DUMMYFUNCTION("""COMPUTED_VALUE"""),17.0)</f>
        <v>17</v>
      </c>
      <c r="R23" s="13">
        <f>IFERROR(__xludf.DUMMYFUNCTION("""COMPUTED_VALUE"""),101.0)</f>
        <v>101</v>
      </c>
      <c r="S23" s="15">
        <f>IFERROR(__xludf.DUMMYFUNCTION("""COMPUTED_VALUE"""),0.32673267326732675)</f>
        <v>0.3267326733</v>
      </c>
      <c r="T23" s="16">
        <f>IFERROR(__xludf.DUMMYFUNCTION("""COMPUTED_VALUE"""),282.5952380952381)</f>
        <v>282.5952381</v>
      </c>
      <c r="U23" s="16">
        <f>IFERROR(__xludf.DUMMYFUNCTION("""COMPUTED_VALUE"""),0.7857142857142857)</f>
        <v>0.7857142857</v>
      </c>
      <c r="V23" s="16">
        <f>IFERROR(__xludf.DUMMYFUNCTION("""COMPUTED_VALUE"""),0.5238095238095238)</f>
        <v>0.5238095238</v>
      </c>
      <c r="W23" s="16">
        <f>IFERROR(__xludf.DUMMYFUNCTION("""COMPUTED_VALUE"""),0.40476190476190477)</f>
        <v>0.4047619048</v>
      </c>
      <c r="X23" s="16">
        <f>IFERROR(__xludf.DUMMYFUNCTION("""COMPUTED_VALUE"""),2.4047619047619047)</f>
        <v>2.404761905</v>
      </c>
      <c r="Y23" s="11">
        <f>IFERROR(__xludf.DUMMYFUNCTION("""COMPUTED_VALUE"""),4.0)</f>
        <v>4</v>
      </c>
      <c r="Z23" s="11">
        <f>IFERROR(__xludf.DUMMYFUNCTION("""COMPUTED_VALUE"""),2.0)</f>
        <v>2</v>
      </c>
      <c r="AA23" s="11">
        <f>IFERROR(__xludf.DUMMYFUNCTION("""COMPUTED_VALUE"""),0.0)</f>
        <v>0</v>
      </c>
      <c r="AB23" s="11">
        <f>IFERROR(__xludf.DUMMYFUNCTION("""COMPUTED_VALUE"""),0.0)</f>
        <v>0</v>
      </c>
      <c r="AC23" s="11">
        <f>IFERROR(__xludf.DUMMYFUNCTION("""COMPUTED_VALUE"""),54.0)</f>
        <v>54</v>
      </c>
      <c r="AD23" s="11">
        <f>IFERROR(__xludf.DUMMYFUNCTION("""COMPUTED_VALUE"""),41.0)</f>
        <v>41</v>
      </c>
    </row>
    <row r="24">
      <c r="A24" s="10" t="str">
        <f>IFERROR(__xludf.DUMMYFUNCTION("""COMPUTED_VALUE"""),"Amateur")</f>
        <v>Amateur</v>
      </c>
      <c r="B24" s="10" t="str">
        <f>IFERROR(__xludf.DUMMYFUNCTION("""COMPUTED_VALUE"""),"RSC007161")</f>
        <v>RSC007161</v>
      </c>
      <c r="C24" s="10" t="str">
        <f>IFERROR(__xludf.DUMMYFUNCTION("""COMPUTED_VALUE"""),"MrAnderpants")</f>
        <v>MrAnderpants</v>
      </c>
      <c r="D24" s="36" t="str">
        <f>IFERROR(__xludf.DUMMYFUNCTION("""COMPUTED_VALUE"""),"Winter Fresh
Electric Eels
Garlic Knots")</f>
        <v>Winter Fresh
Electric Eels
Garlic Knots</v>
      </c>
      <c r="E24" s="10" t="str">
        <f>IFERROR(__xludf.DUMMYFUNCTION("""COMPUTED_VALUE"""),"N/A
N/A
N/A")</f>
        <v>N/A
N/A
N/A</v>
      </c>
      <c r="F24" s="37">
        <f>IFERROR(__xludf.DUMMYFUNCTION("""COMPUTED_VALUE"""),58.43703465921884)</f>
        <v>58.43703466</v>
      </c>
      <c r="G24" s="38">
        <f>IFERROR(__xludf.DUMMYFUNCTION("""COMPUTED_VALUE"""),48.72013659312971)</f>
        <v>48.72013659</v>
      </c>
      <c r="H24" s="38">
        <f>IFERROR(__xludf.DUMMYFUNCTION("""COMPUTED_VALUE"""),53.578585626174274)</f>
        <v>53.57858563</v>
      </c>
      <c r="I24" s="14">
        <f>IFERROR(__xludf.DUMMYFUNCTION("""COMPUTED_VALUE"""),11.0)</f>
        <v>11</v>
      </c>
      <c r="J24" s="11">
        <f>IFERROR(__xludf.DUMMYFUNCTION("IFERROR(FILTER(Stats!$F:$Z,(Stats!$A:$A=$A24)*(Stats!$B:$B=$B24)))"),5.0)</f>
        <v>5</v>
      </c>
      <c r="K24" s="11">
        <f>IFERROR(__xludf.DUMMYFUNCTION("""COMPUTED_VALUE"""),6.0)</f>
        <v>6</v>
      </c>
      <c r="L24" s="12">
        <f>IFERROR(__xludf.DUMMYFUNCTION("""COMPUTED_VALUE"""),0.45454545454545453)</f>
        <v>0.4545454545</v>
      </c>
      <c r="M24" s="11">
        <f>IFERROR(__xludf.DUMMYFUNCTION("""COMPUTED_VALUE"""),2.0)</f>
        <v>2</v>
      </c>
      <c r="N24" s="11">
        <f>IFERROR(__xludf.DUMMYFUNCTION("""COMPUTED_VALUE"""),3510.0)</f>
        <v>3510</v>
      </c>
      <c r="O24" s="13">
        <f>IFERROR(__xludf.DUMMYFUNCTION("""COMPUTED_VALUE"""),11.0)</f>
        <v>11</v>
      </c>
      <c r="P24" s="14">
        <f>IFERROR(__xludf.DUMMYFUNCTION("""COMPUTED_VALUE"""),4.0)</f>
        <v>4</v>
      </c>
      <c r="Q24" s="13">
        <f>IFERROR(__xludf.DUMMYFUNCTION("""COMPUTED_VALUE"""),11.0)</f>
        <v>11</v>
      </c>
      <c r="R24" s="13">
        <f>IFERROR(__xludf.DUMMYFUNCTION("""COMPUTED_VALUE"""),22.0)</f>
        <v>22</v>
      </c>
      <c r="S24" s="15">
        <f>IFERROR(__xludf.DUMMYFUNCTION("""COMPUTED_VALUE"""),0.5)</f>
        <v>0.5</v>
      </c>
      <c r="T24" s="16">
        <f>IFERROR(__xludf.DUMMYFUNCTION("""COMPUTED_VALUE"""),319.09090909090907)</f>
        <v>319.0909091</v>
      </c>
      <c r="U24" s="16">
        <f>IFERROR(__xludf.DUMMYFUNCTION("""COMPUTED_VALUE"""),1.0)</f>
        <v>1</v>
      </c>
      <c r="V24" s="16">
        <f>IFERROR(__xludf.DUMMYFUNCTION("""COMPUTED_VALUE"""),0.36363636363636365)</f>
        <v>0.3636363636</v>
      </c>
      <c r="W24" s="16">
        <f>IFERROR(__xludf.DUMMYFUNCTION("""COMPUTED_VALUE"""),1.0)</f>
        <v>1</v>
      </c>
      <c r="X24" s="16">
        <f>IFERROR(__xludf.DUMMYFUNCTION("""COMPUTED_VALUE"""),2.0)</f>
        <v>2</v>
      </c>
      <c r="Y24" s="11">
        <f>IFERROR(__xludf.DUMMYFUNCTION("""COMPUTED_VALUE"""),0.0)</f>
        <v>0</v>
      </c>
      <c r="Z24" s="11">
        <f>IFERROR(__xludf.DUMMYFUNCTION("""COMPUTED_VALUE"""),0.0)</f>
        <v>0</v>
      </c>
      <c r="AA24" s="11">
        <f>IFERROR(__xludf.DUMMYFUNCTION("""COMPUTED_VALUE"""),0.0)</f>
        <v>0</v>
      </c>
      <c r="AB24" s="11">
        <f>IFERROR(__xludf.DUMMYFUNCTION("""COMPUTED_VALUE"""),0.0)</f>
        <v>0</v>
      </c>
      <c r="AC24" s="11">
        <f>IFERROR(__xludf.DUMMYFUNCTION("""COMPUTED_VALUE"""),14.0)</f>
        <v>14</v>
      </c>
      <c r="AD24" s="11">
        <f>IFERROR(__xludf.DUMMYFUNCTION("""COMPUTED_VALUE"""),9.0)</f>
        <v>9</v>
      </c>
    </row>
    <row r="25">
      <c r="A25" s="10" t="str">
        <f>IFERROR(__xludf.DUMMYFUNCTION("""COMPUTED_VALUE"""),"Amateur")</f>
        <v>Amateur</v>
      </c>
      <c r="B25" s="10" t="str">
        <f>IFERROR(__xludf.DUMMYFUNCTION("""COMPUTED_VALUE"""),"RSC000654")</f>
        <v>RSC000654</v>
      </c>
      <c r="C25" s="10" t="str">
        <f>IFERROR(__xludf.DUMMYFUNCTION("""COMPUTED_VALUE"""),"Rocci")</f>
        <v>Rocci</v>
      </c>
      <c r="D25" s="36" t="str">
        <f>IFERROR(__xludf.DUMMYFUNCTION("""COMPUTED_VALUE"""),"Electric Eels")</f>
        <v>Electric Eels</v>
      </c>
      <c r="E25" s="10" t="str">
        <f>IFERROR(__xludf.DUMMYFUNCTION("""COMPUTED_VALUE"""),"N/A")</f>
        <v>N/A</v>
      </c>
      <c r="F25" s="37">
        <f>IFERROR(__xludf.DUMMYFUNCTION("""COMPUTED_VALUE"""),67.97782190763397)</f>
        <v>67.97782191</v>
      </c>
      <c r="G25" s="38">
        <f>IFERROR(__xludf.DUMMYFUNCTION("""COMPUTED_VALUE"""),38.4757798476672)</f>
        <v>38.47577985</v>
      </c>
      <c r="H25" s="38">
        <f>IFERROR(__xludf.DUMMYFUNCTION("""COMPUTED_VALUE"""),53.22680087765058)</f>
        <v>53.22680088</v>
      </c>
      <c r="I25" s="14">
        <f>IFERROR(__xludf.DUMMYFUNCTION("""COMPUTED_VALUE"""),4.0)</f>
        <v>4</v>
      </c>
      <c r="J25" s="11">
        <f>IFERROR(__xludf.DUMMYFUNCTION("IFERROR(FILTER(Stats!$F:$Z,(Stats!$A:$A=$A25)*(Stats!$B:$B=$B25)))"),2.0)</f>
        <v>2</v>
      </c>
      <c r="K25" s="11">
        <f>IFERROR(__xludf.DUMMYFUNCTION("""COMPUTED_VALUE"""),2.0)</f>
        <v>2</v>
      </c>
      <c r="L25" s="12">
        <f>IFERROR(__xludf.DUMMYFUNCTION("""COMPUTED_VALUE"""),0.5)</f>
        <v>0.5</v>
      </c>
      <c r="M25" s="11">
        <f>IFERROR(__xludf.DUMMYFUNCTION("""COMPUTED_VALUE"""),2.0)</f>
        <v>2</v>
      </c>
      <c r="N25" s="11">
        <f>IFERROR(__xludf.DUMMYFUNCTION("""COMPUTED_VALUE"""),1118.0)</f>
        <v>1118</v>
      </c>
      <c r="O25" s="13">
        <f>IFERROR(__xludf.DUMMYFUNCTION("""COMPUTED_VALUE"""),2.0)</f>
        <v>2</v>
      </c>
      <c r="P25" s="14">
        <f>IFERROR(__xludf.DUMMYFUNCTION("""COMPUTED_VALUE"""),1.0)</f>
        <v>1</v>
      </c>
      <c r="Q25" s="13">
        <f>IFERROR(__xludf.DUMMYFUNCTION("""COMPUTED_VALUE"""),6.0)</f>
        <v>6</v>
      </c>
      <c r="R25" s="13">
        <f>IFERROR(__xludf.DUMMYFUNCTION("""COMPUTED_VALUE"""),5.0)</f>
        <v>5</v>
      </c>
      <c r="S25" s="15">
        <f>IFERROR(__xludf.DUMMYFUNCTION("""COMPUTED_VALUE"""),0.4)</f>
        <v>0.4</v>
      </c>
      <c r="T25" s="16">
        <f>IFERROR(__xludf.DUMMYFUNCTION("""COMPUTED_VALUE"""),279.5)</f>
        <v>279.5</v>
      </c>
      <c r="U25" s="16">
        <f>IFERROR(__xludf.DUMMYFUNCTION("""COMPUTED_VALUE"""),0.5)</f>
        <v>0.5</v>
      </c>
      <c r="V25" s="16">
        <f>IFERROR(__xludf.DUMMYFUNCTION("""COMPUTED_VALUE"""),0.25)</f>
        <v>0.25</v>
      </c>
      <c r="W25" s="16">
        <f>IFERROR(__xludf.DUMMYFUNCTION("""COMPUTED_VALUE"""),1.5)</f>
        <v>1.5</v>
      </c>
      <c r="X25" s="16">
        <f>IFERROR(__xludf.DUMMYFUNCTION("""COMPUTED_VALUE"""),1.25)</f>
        <v>1.25</v>
      </c>
      <c r="Y25" s="11">
        <f>IFERROR(__xludf.DUMMYFUNCTION("""COMPUTED_VALUE"""),1.0)</f>
        <v>1</v>
      </c>
      <c r="Z25" s="11">
        <f>IFERROR(__xludf.DUMMYFUNCTION("""COMPUTED_VALUE"""),0.0)</f>
        <v>0</v>
      </c>
      <c r="AA25" s="11">
        <f>IFERROR(__xludf.DUMMYFUNCTION("""COMPUTED_VALUE"""),0.0)</f>
        <v>0</v>
      </c>
      <c r="AB25" s="11">
        <f>IFERROR(__xludf.DUMMYFUNCTION("""COMPUTED_VALUE"""),1.0)</f>
        <v>1</v>
      </c>
      <c r="AC25" s="11">
        <f>IFERROR(__xludf.DUMMYFUNCTION("""COMPUTED_VALUE"""),1.0)</f>
        <v>1</v>
      </c>
      <c r="AD25" s="11">
        <f>IFERROR(__xludf.DUMMYFUNCTION("""COMPUTED_VALUE"""),0.0)</f>
        <v>0</v>
      </c>
    </row>
    <row r="26">
      <c r="A26" s="10" t="str">
        <f>IFERROR(__xludf.DUMMYFUNCTION("""COMPUTED_VALUE"""),"Amateur")</f>
        <v>Amateur</v>
      </c>
      <c r="B26" s="10" t="str">
        <f>IFERROR(__xludf.DUMMYFUNCTION("""COMPUTED_VALUE"""),"RSC008327")</f>
        <v>RSC008327</v>
      </c>
      <c r="C26" s="10" t="str">
        <f>IFERROR(__xludf.DUMMYFUNCTION("""COMPUTED_VALUE"""),"tempo_rl_ttv")</f>
        <v>tempo_rl_ttv</v>
      </c>
      <c r="D26" s="36" t="str">
        <f>IFERROR(__xludf.DUMMYFUNCTION("""COMPUTED_VALUE"""),"Winter Fresh")</f>
        <v>Winter Fresh</v>
      </c>
      <c r="E26" s="10" t="str">
        <f>IFERROR(__xludf.DUMMYFUNCTION("""COMPUTED_VALUE"""),"N/A")</f>
        <v>N/A</v>
      </c>
      <c r="F26" s="37">
        <f>IFERROR(__xludf.DUMMYFUNCTION("""COMPUTED_VALUE"""),52.18672684751736)</f>
        <v>52.18672685</v>
      </c>
      <c r="G26" s="38">
        <f>IFERROR(__xludf.DUMMYFUNCTION("""COMPUTED_VALUE"""),52.56746177606754)</f>
        <v>52.56746178</v>
      </c>
      <c r="H26" s="38">
        <f>IFERROR(__xludf.DUMMYFUNCTION("""COMPUTED_VALUE"""),52.37709431179245)</f>
        <v>52.37709431</v>
      </c>
      <c r="I26" s="14">
        <f>IFERROR(__xludf.DUMMYFUNCTION("""COMPUTED_VALUE"""),36.0)</f>
        <v>36</v>
      </c>
      <c r="J26" s="11">
        <f>IFERROR(__xludf.DUMMYFUNCTION("IFERROR(FILTER(Stats!$F:$Z,(Stats!$A:$A=$A26)*(Stats!$B:$B=$B26)))"),22.0)</f>
        <v>22</v>
      </c>
      <c r="K26" s="11">
        <f>IFERROR(__xludf.DUMMYFUNCTION("""COMPUTED_VALUE"""),14.0)</f>
        <v>14</v>
      </c>
      <c r="L26" s="12">
        <f>IFERROR(__xludf.DUMMYFUNCTION("""COMPUTED_VALUE"""),0.6111111111111112)</f>
        <v>0.6111111111</v>
      </c>
      <c r="M26" s="11">
        <f>IFERROR(__xludf.DUMMYFUNCTION("""COMPUTED_VALUE"""),9.0)</f>
        <v>9</v>
      </c>
      <c r="N26" s="11">
        <f>IFERROR(__xludf.DUMMYFUNCTION("""COMPUTED_VALUE"""),10858.0)</f>
        <v>10858</v>
      </c>
      <c r="O26" s="13">
        <f>IFERROR(__xludf.DUMMYFUNCTION("""COMPUTED_VALUE"""),28.0)</f>
        <v>28</v>
      </c>
      <c r="P26" s="14">
        <f>IFERROR(__xludf.DUMMYFUNCTION("""COMPUTED_VALUE"""),14.0)</f>
        <v>14</v>
      </c>
      <c r="Q26" s="13">
        <f>IFERROR(__xludf.DUMMYFUNCTION("""COMPUTED_VALUE"""),32.0)</f>
        <v>32</v>
      </c>
      <c r="R26" s="13">
        <f>IFERROR(__xludf.DUMMYFUNCTION("""COMPUTED_VALUE"""),75.0)</f>
        <v>75</v>
      </c>
      <c r="S26" s="15">
        <f>IFERROR(__xludf.DUMMYFUNCTION("""COMPUTED_VALUE"""),0.37333333333333335)</f>
        <v>0.3733333333</v>
      </c>
      <c r="T26" s="16">
        <f>IFERROR(__xludf.DUMMYFUNCTION("""COMPUTED_VALUE"""),301.6111111111111)</f>
        <v>301.6111111</v>
      </c>
      <c r="U26" s="16">
        <f>IFERROR(__xludf.DUMMYFUNCTION("""COMPUTED_VALUE"""),0.7777777777777778)</f>
        <v>0.7777777778</v>
      </c>
      <c r="V26" s="16">
        <f>IFERROR(__xludf.DUMMYFUNCTION("""COMPUTED_VALUE"""),0.3888888888888889)</f>
        <v>0.3888888889</v>
      </c>
      <c r="W26" s="16">
        <f>IFERROR(__xludf.DUMMYFUNCTION("""COMPUTED_VALUE"""),0.8888888888888888)</f>
        <v>0.8888888889</v>
      </c>
      <c r="X26" s="16">
        <f>IFERROR(__xludf.DUMMYFUNCTION("""COMPUTED_VALUE"""),2.0833333333333335)</f>
        <v>2.083333333</v>
      </c>
      <c r="Y26" s="11">
        <f>IFERROR(__xludf.DUMMYFUNCTION("""COMPUTED_VALUE"""),5.0)</f>
        <v>5</v>
      </c>
      <c r="Z26" s="11">
        <f>IFERROR(__xludf.DUMMYFUNCTION("""COMPUTED_VALUE"""),2.0)</f>
        <v>2</v>
      </c>
      <c r="AA26" s="11">
        <f>IFERROR(__xludf.DUMMYFUNCTION("""COMPUTED_VALUE"""),0.0)</f>
        <v>0</v>
      </c>
      <c r="AB26" s="11">
        <f>IFERROR(__xludf.DUMMYFUNCTION("""COMPUTED_VALUE"""),4.0)</f>
        <v>4</v>
      </c>
      <c r="AC26" s="11">
        <f>IFERROR(__xludf.DUMMYFUNCTION("""COMPUTED_VALUE"""),51.0)</f>
        <v>51</v>
      </c>
      <c r="AD26" s="11">
        <f>IFERROR(__xludf.DUMMYFUNCTION("""COMPUTED_VALUE"""),24.0)</f>
        <v>24</v>
      </c>
    </row>
    <row r="27">
      <c r="A27" s="10" t="str">
        <f>IFERROR(__xludf.DUMMYFUNCTION("""COMPUTED_VALUE"""),"Amateur")</f>
        <v>Amateur</v>
      </c>
      <c r="B27" s="10" t="str">
        <f>IFERROR(__xludf.DUMMYFUNCTION("""COMPUTED_VALUE"""),"RSC008130")</f>
        <v>RSC008130</v>
      </c>
      <c r="C27" s="10" t="str">
        <f>IFERROR(__xludf.DUMMYFUNCTION("""COMPUTED_VALUE"""),"BeardedFrodo1")</f>
        <v>BeardedFrodo1</v>
      </c>
      <c r="D27" s="36" t="str">
        <f>IFERROR(__xludf.DUMMYFUNCTION("""COMPUTED_VALUE"""),"Bombers")</f>
        <v>Bombers</v>
      </c>
      <c r="E27" s="10" t="str">
        <f>IFERROR(__xludf.DUMMYFUNCTION("""COMPUTED_VALUE"""),"N/A")</f>
        <v>N/A</v>
      </c>
      <c r="F27" s="37">
        <f>IFERROR(__xludf.DUMMYFUNCTION("""COMPUTED_VALUE"""),48.96800980931988)</f>
        <v>48.96800981</v>
      </c>
      <c r="G27" s="38">
        <f>IFERROR(__xludf.DUMMYFUNCTION("""COMPUTED_VALUE"""),55.56976004363583)</f>
        <v>55.56976004</v>
      </c>
      <c r="H27" s="38">
        <f>IFERROR(__xludf.DUMMYFUNCTION("""COMPUTED_VALUE"""),52.26888492647785)</f>
        <v>52.26888493</v>
      </c>
      <c r="I27" s="14">
        <f>IFERROR(__xludf.DUMMYFUNCTION("""COMPUTED_VALUE"""),55.0)</f>
        <v>55</v>
      </c>
      <c r="J27" s="11">
        <f>IFERROR(__xludf.DUMMYFUNCTION("IFERROR(FILTER(Stats!$F:$Z,(Stats!$A:$A=$A27)*(Stats!$B:$B=$B27)))"),38.0)</f>
        <v>38</v>
      </c>
      <c r="K27" s="11">
        <f>IFERROR(__xludf.DUMMYFUNCTION("""COMPUTED_VALUE"""),17.0)</f>
        <v>17</v>
      </c>
      <c r="L27" s="12">
        <f>IFERROR(__xludf.DUMMYFUNCTION("""COMPUTED_VALUE"""),0.6909090909090909)</f>
        <v>0.6909090909</v>
      </c>
      <c r="M27" s="11">
        <f>IFERROR(__xludf.DUMMYFUNCTION("""COMPUTED_VALUE"""),13.0)</f>
        <v>13</v>
      </c>
      <c r="N27" s="11">
        <f>IFERROR(__xludf.DUMMYFUNCTION("""COMPUTED_VALUE"""),16424.0)</f>
        <v>16424</v>
      </c>
      <c r="O27" s="13">
        <f>IFERROR(__xludf.DUMMYFUNCTION("""COMPUTED_VALUE"""),44.0)</f>
        <v>44</v>
      </c>
      <c r="P27" s="14">
        <f>IFERROR(__xludf.DUMMYFUNCTION("""COMPUTED_VALUE"""),23.0)</f>
        <v>23</v>
      </c>
      <c r="Q27" s="13">
        <f>IFERROR(__xludf.DUMMYFUNCTION("""COMPUTED_VALUE"""),51.0)</f>
        <v>51</v>
      </c>
      <c r="R27" s="13">
        <f>IFERROR(__xludf.DUMMYFUNCTION("""COMPUTED_VALUE"""),124.0)</f>
        <v>124</v>
      </c>
      <c r="S27" s="15">
        <f>IFERROR(__xludf.DUMMYFUNCTION("""COMPUTED_VALUE"""),0.3548387096774194)</f>
        <v>0.3548387097</v>
      </c>
      <c r="T27" s="16">
        <f>IFERROR(__xludf.DUMMYFUNCTION("""COMPUTED_VALUE"""),298.6181818181818)</f>
        <v>298.6181818</v>
      </c>
      <c r="U27" s="16">
        <f>IFERROR(__xludf.DUMMYFUNCTION("""COMPUTED_VALUE"""),0.8)</f>
        <v>0.8</v>
      </c>
      <c r="V27" s="16">
        <f>IFERROR(__xludf.DUMMYFUNCTION("""COMPUTED_VALUE"""),0.41818181818181815)</f>
        <v>0.4181818182</v>
      </c>
      <c r="W27" s="16">
        <f>IFERROR(__xludf.DUMMYFUNCTION("""COMPUTED_VALUE"""),0.9272727272727272)</f>
        <v>0.9272727273</v>
      </c>
      <c r="X27" s="16">
        <f>IFERROR(__xludf.DUMMYFUNCTION("""COMPUTED_VALUE"""),2.2545454545454544)</f>
        <v>2.254545455</v>
      </c>
      <c r="Y27" s="11">
        <f>IFERROR(__xludf.DUMMYFUNCTION("""COMPUTED_VALUE"""),5.0)</f>
        <v>5</v>
      </c>
      <c r="Z27" s="11">
        <f>IFERROR(__xludf.DUMMYFUNCTION("""COMPUTED_VALUE"""),2.0)</f>
        <v>2</v>
      </c>
      <c r="AA27" s="11">
        <f>IFERROR(__xludf.DUMMYFUNCTION("""COMPUTED_VALUE"""),1.0)</f>
        <v>1</v>
      </c>
      <c r="AB27" s="11">
        <f>IFERROR(__xludf.DUMMYFUNCTION("""COMPUTED_VALUE"""),1.0)</f>
        <v>1</v>
      </c>
      <c r="AC27" s="11">
        <f>IFERROR(__xludf.DUMMYFUNCTION("""COMPUTED_VALUE"""),27.0)</f>
        <v>27</v>
      </c>
      <c r="AD27" s="11">
        <f>IFERROR(__xludf.DUMMYFUNCTION("""COMPUTED_VALUE"""),36.0)</f>
        <v>36</v>
      </c>
    </row>
    <row r="28">
      <c r="A28" s="10" t="str">
        <f>IFERROR(__xludf.DUMMYFUNCTION("""COMPUTED_VALUE"""),"Amateur")</f>
        <v>Amateur</v>
      </c>
      <c r="B28" s="10" t="str">
        <f>IFERROR(__xludf.DUMMYFUNCTION("""COMPUTED_VALUE"""),"RSC004462")</f>
        <v>RSC004462</v>
      </c>
      <c r="C28" s="10" t="str">
        <f>IFERROR(__xludf.DUMMYFUNCTION("""COMPUTED_VALUE"""),"Bbcomedian")</f>
        <v>Bbcomedian</v>
      </c>
      <c r="D28" s="36" t="str">
        <f>IFERROR(__xludf.DUMMYFUNCTION("""COMPUTED_VALUE"""),"Kappa")</f>
        <v>Kappa</v>
      </c>
      <c r="E28" s="10" t="str">
        <f>IFERROR(__xludf.DUMMYFUNCTION("""COMPUTED_VALUE"""),"N/A")</f>
        <v>N/A</v>
      </c>
      <c r="F28" s="37">
        <f>IFERROR(__xludf.DUMMYFUNCTION("""COMPUTED_VALUE"""),46.804496438714466)</f>
        <v>46.80449644</v>
      </c>
      <c r="G28" s="38">
        <f>IFERROR(__xludf.DUMMYFUNCTION("""COMPUTED_VALUE"""),49.05231144007971)</f>
        <v>49.05231144</v>
      </c>
      <c r="H28" s="38">
        <f>IFERROR(__xludf.DUMMYFUNCTION("""COMPUTED_VALUE"""),47.928403939397086)</f>
        <v>47.92840394</v>
      </c>
      <c r="I28" s="14">
        <f>IFERROR(__xludf.DUMMYFUNCTION("""COMPUTED_VALUE"""),55.0)</f>
        <v>55</v>
      </c>
      <c r="J28" s="11">
        <f>IFERROR(__xludf.DUMMYFUNCTION("IFERROR(FILTER(Stats!$F:$Z,(Stats!$A:$A=$A28)*(Stats!$B:$B=$B28)))"),24.0)</f>
        <v>24</v>
      </c>
      <c r="K28" s="11">
        <f>IFERROR(__xludf.DUMMYFUNCTION("""COMPUTED_VALUE"""),31.0)</f>
        <v>31</v>
      </c>
      <c r="L28" s="12">
        <f>IFERROR(__xludf.DUMMYFUNCTION("""COMPUTED_VALUE"""),0.43636363636363634)</f>
        <v>0.4363636364</v>
      </c>
      <c r="M28" s="11">
        <f>IFERROR(__xludf.DUMMYFUNCTION("""COMPUTED_VALUE"""),6.0)</f>
        <v>6</v>
      </c>
      <c r="N28" s="11">
        <f>IFERROR(__xludf.DUMMYFUNCTION("""COMPUTED_VALUE"""),16188.0)</f>
        <v>16188</v>
      </c>
      <c r="O28" s="13">
        <f>IFERROR(__xludf.DUMMYFUNCTION("""COMPUTED_VALUE"""),43.0)</f>
        <v>43</v>
      </c>
      <c r="P28" s="14">
        <f>IFERROR(__xludf.DUMMYFUNCTION("""COMPUTED_VALUE"""),25.0)</f>
        <v>25</v>
      </c>
      <c r="Q28" s="13">
        <f>IFERROR(__xludf.DUMMYFUNCTION("""COMPUTED_VALUE"""),61.0)</f>
        <v>61</v>
      </c>
      <c r="R28" s="13">
        <f>IFERROR(__xludf.DUMMYFUNCTION("""COMPUTED_VALUE"""),89.0)</f>
        <v>89</v>
      </c>
      <c r="S28" s="15">
        <f>IFERROR(__xludf.DUMMYFUNCTION("""COMPUTED_VALUE"""),0.48314606741573035)</f>
        <v>0.4831460674</v>
      </c>
      <c r="T28" s="16">
        <f>IFERROR(__xludf.DUMMYFUNCTION("""COMPUTED_VALUE"""),294.3272727272727)</f>
        <v>294.3272727</v>
      </c>
      <c r="U28" s="16">
        <f>IFERROR(__xludf.DUMMYFUNCTION("""COMPUTED_VALUE"""),0.7818181818181819)</f>
        <v>0.7818181818</v>
      </c>
      <c r="V28" s="16">
        <f>IFERROR(__xludf.DUMMYFUNCTION("""COMPUTED_VALUE"""),0.45454545454545453)</f>
        <v>0.4545454545</v>
      </c>
      <c r="W28" s="16">
        <f>IFERROR(__xludf.DUMMYFUNCTION("""COMPUTED_VALUE"""),1.1090909090909091)</f>
        <v>1.109090909</v>
      </c>
      <c r="X28" s="16">
        <f>IFERROR(__xludf.DUMMYFUNCTION("""COMPUTED_VALUE"""),1.6181818181818182)</f>
        <v>1.618181818</v>
      </c>
      <c r="Y28" s="11">
        <f>IFERROR(__xludf.DUMMYFUNCTION("""COMPUTED_VALUE"""),6.0)</f>
        <v>6</v>
      </c>
      <c r="Z28" s="11">
        <f>IFERROR(__xludf.DUMMYFUNCTION("""COMPUTED_VALUE"""),1.0)</f>
        <v>1</v>
      </c>
      <c r="AA28" s="11">
        <f>IFERROR(__xludf.DUMMYFUNCTION("""COMPUTED_VALUE"""),1.0)</f>
        <v>1</v>
      </c>
      <c r="AB28" s="11">
        <f>IFERROR(__xludf.DUMMYFUNCTION("""COMPUTED_VALUE"""),8.0)</f>
        <v>8</v>
      </c>
      <c r="AC28" s="11">
        <f>IFERROR(__xludf.DUMMYFUNCTION("""COMPUTED_VALUE"""),16.0)</f>
        <v>16</v>
      </c>
      <c r="AD28" s="11">
        <f>IFERROR(__xludf.DUMMYFUNCTION("""COMPUTED_VALUE"""),41.0)</f>
        <v>41</v>
      </c>
    </row>
    <row r="29">
      <c r="A29" s="10" t="str">
        <f>IFERROR(__xludf.DUMMYFUNCTION("""COMPUTED_VALUE"""),"Amateur")</f>
        <v>Amateur</v>
      </c>
      <c r="B29" s="10" t="str">
        <f>IFERROR(__xludf.DUMMYFUNCTION("""COMPUTED_VALUE"""),"RSC007573")</f>
        <v>RSC007573</v>
      </c>
      <c r="C29" s="10" t="str">
        <f>IFERROR(__xludf.DUMMYFUNCTION("""COMPUTED_VALUE"""),"zag_42")</f>
        <v>zag_42</v>
      </c>
      <c r="D29" s="36" t="str">
        <f>IFERROR(__xludf.DUMMYFUNCTION("""COMPUTED_VALUE"""),"Garlic Knots")</f>
        <v>Garlic Knots</v>
      </c>
      <c r="E29" s="10" t="str">
        <f>IFERROR(__xludf.DUMMYFUNCTION("""COMPUTED_VALUE"""),"N/A")</f>
        <v>N/A</v>
      </c>
      <c r="F29" s="37">
        <f>IFERROR(__xludf.DUMMYFUNCTION("""COMPUTED_VALUE"""),44.616689583932)</f>
        <v>44.61668958</v>
      </c>
      <c r="G29" s="38">
        <f>IFERROR(__xludf.DUMMYFUNCTION("""COMPUTED_VALUE"""),49.252886413310996)</f>
        <v>49.25288641</v>
      </c>
      <c r="H29" s="38">
        <f>IFERROR(__xludf.DUMMYFUNCTION("""COMPUTED_VALUE"""),46.9347879986215)</f>
        <v>46.934788</v>
      </c>
      <c r="I29" s="14">
        <f>IFERROR(__xludf.DUMMYFUNCTION("""COMPUTED_VALUE"""),27.0)</f>
        <v>27</v>
      </c>
      <c r="J29" s="11">
        <f>IFERROR(__xludf.DUMMYFUNCTION("IFERROR(FILTER(Stats!$F:$Z,(Stats!$A:$A=$A29)*(Stats!$B:$B=$B29)))"),12.0)</f>
        <v>12</v>
      </c>
      <c r="K29" s="11">
        <f>IFERROR(__xludf.DUMMYFUNCTION("""COMPUTED_VALUE"""),15.0)</f>
        <v>15</v>
      </c>
      <c r="L29" s="12">
        <f>IFERROR(__xludf.DUMMYFUNCTION("""COMPUTED_VALUE"""),0.4444444444444444)</f>
        <v>0.4444444444</v>
      </c>
      <c r="M29" s="11">
        <f>IFERROR(__xludf.DUMMYFUNCTION("""COMPUTED_VALUE"""),0.0)</f>
        <v>0</v>
      </c>
      <c r="N29" s="11">
        <f>IFERROR(__xludf.DUMMYFUNCTION("""COMPUTED_VALUE"""),6727.0)</f>
        <v>6727</v>
      </c>
      <c r="O29" s="13">
        <f>IFERROR(__xludf.DUMMYFUNCTION("""COMPUTED_VALUE"""),15.0)</f>
        <v>15</v>
      </c>
      <c r="P29" s="14">
        <f>IFERROR(__xludf.DUMMYFUNCTION("""COMPUTED_VALUE"""),18.0)</f>
        <v>18</v>
      </c>
      <c r="Q29" s="13">
        <f>IFERROR(__xludf.DUMMYFUNCTION("""COMPUTED_VALUE"""),18.0)</f>
        <v>18</v>
      </c>
      <c r="R29" s="13">
        <f>IFERROR(__xludf.DUMMYFUNCTION("""COMPUTED_VALUE"""),38.0)</f>
        <v>38</v>
      </c>
      <c r="S29" s="15">
        <f>IFERROR(__xludf.DUMMYFUNCTION("""COMPUTED_VALUE"""),0.39473684210526316)</f>
        <v>0.3947368421</v>
      </c>
      <c r="T29" s="16">
        <f>IFERROR(__xludf.DUMMYFUNCTION("""COMPUTED_VALUE"""),249.14814814814815)</f>
        <v>249.1481481</v>
      </c>
      <c r="U29" s="16">
        <f>IFERROR(__xludf.DUMMYFUNCTION("""COMPUTED_VALUE"""),0.5555555555555556)</f>
        <v>0.5555555556</v>
      </c>
      <c r="V29" s="16">
        <f>IFERROR(__xludf.DUMMYFUNCTION("""COMPUTED_VALUE"""),0.6666666666666666)</f>
        <v>0.6666666667</v>
      </c>
      <c r="W29" s="16">
        <f>IFERROR(__xludf.DUMMYFUNCTION("""COMPUTED_VALUE"""),0.6666666666666666)</f>
        <v>0.6666666667</v>
      </c>
      <c r="X29" s="16">
        <f>IFERROR(__xludf.DUMMYFUNCTION("""COMPUTED_VALUE"""),1.4074074074074074)</f>
        <v>1.407407407</v>
      </c>
      <c r="Y29" s="11">
        <f>IFERROR(__xludf.DUMMYFUNCTION("""COMPUTED_VALUE"""),1.0)</f>
        <v>1</v>
      </c>
      <c r="Z29" s="11">
        <f>IFERROR(__xludf.DUMMYFUNCTION("""COMPUTED_VALUE"""),0.0)</f>
        <v>0</v>
      </c>
      <c r="AA29" s="11">
        <f>IFERROR(__xludf.DUMMYFUNCTION("""COMPUTED_VALUE"""),1.0)</f>
        <v>1</v>
      </c>
      <c r="AB29" s="11">
        <f>IFERROR(__xludf.DUMMYFUNCTION("""COMPUTED_VALUE"""),0.0)</f>
        <v>0</v>
      </c>
      <c r="AC29" s="11">
        <f>IFERROR(__xludf.DUMMYFUNCTION("""COMPUTED_VALUE"""),9.0)</f>
        <v>9</v>
      </c>
      <c r="AD29" s="11">
        <f>IFERROR(__xludf.DUMMYFUNCTION("""COMPUTED_VALUE"""),25.0)</f>
        <v>25</v>
      </c>
    </row>
    <row r="30">
      <c r="A30" s="10" t="str">
        <f>IFERROR(__xludf.DUMMYFUNCTION("""COMPUTED_VALUE"""),"Amateur")</f>
        <v>Amateur</v>
      </c>
      <c r="B30" s="10" t="str">
        <f>IFERROR(__xludf.DUMMYFUNCTION("""COMPUTED_VALUE"""),"RSC008131")</f>
        <v>RSC008131</v>
      </c>
      <c r="C30" s="10" t="str">
        <f>IFERROR(__xludf.DUMMYFUNCTION("""COMPUTED_VALUE"""),"chrisofspades")</f>
        <v>chrisofspades</v>
      </c>
      <c r="D30" s="36" t="str">
        <f>IFERROR(__xludf.DUMMYFUNCTION("""COMPUTED_VALUE"""),"HR Violation")</f>
        <v>HR Violation</v>
      </c>
      <c r="E30" s="10" t="str">
        <f>IFERROR(__xludf.DUMMYFUNCTION("""COMPUTED_VALUE"""),"N/A")</f>
        <v>N/A</v>
      </c>
      <c r="F30" s="37">
        <f>IFERROR(__xludf.DUMMYFUNCTION("""COMPUTED_VALUE"""),44.15908093947458)</f>
        <v>44.15908094</v>
      </c>
      <c r="G30" s="38">
        <f>IFERROR(__xludf.DUMMYFUNCTION("""COMPUTED_VALUE"""),45.22767462395146)</f>
        <v>45.22767462</v>
      </c>
      <c r="H30" s="38">
        <f>IFERROR(__xludf.DUMMYFUNCTION("""COMPUTED_VALUE"""),44.69337778171302)</f>
        <v>44.69337778</v>
      </c>
      <c r="I30" s="14">
        <f>IFERROR(__xludf.DUMMYFUNCTION("""COMPUTED_VALUE"""),36.0)</f>
        <v>36</v>
      </c>
      <c r="J30" s="11">
        <f>IFERROR(__xludf.DUMMYFUNCTION("IFERROR(FILTER(Stats!$F:$Z,(Stats!$A:$A=$A30)*(Stats!$B:$B=$B30)))"),19.0)</f>
        <v>19</v>
      </c>
      <c r="K30" s="11">
        <f>IFERROR(__xludf.DUMMYFUNCTION("""COMPUTED_VALUE"""),17.0)</f>
        <v>17</v>
      </c>
      <c r="L30" s="12">
        <f>IFERROR(__xludf.DUMMYFUNCTION("""COMPUTED_VALUE"""),0.5277777777777778)</f>
        <v>0.5277777778</v>
      </c>
      <c r="M30" s="11">
        <f>IFERROR(__xludf.DUMMYFUNCTION("""COMPUTED_VALUE"""),2.0)</f>
        <v>2</v>
      </c>
      <c r="N30" s="11">
        <f>IFERROR(__xludf.DUMMYFUNCTION("""COMPUTED_VALUE"""),9944.0)</f>
        <v>9944</v>
      </c>
      <c r="O30" s="13">
        <f>IFERROR(__xludf.DUMMYFUNCTION("""COMPUTED_VALUE"""),19.0)</f>
        <v>19</v>
      </c>
      <c r="P30" s="14">
        <f>IFERROR(__xludf.DUMMYFUNCTION("""COMPUTED_VALUE"""),18.0)</f>
        <v>18</v>
      </c>
      <c r="Q30" s="13">
        <f>IFERROR(__xludf.DUMMYFUNCTION("""COMPUTED_VALUE"""),36.0)</f>
        <v>36</v>
      </c>
      <c r="R30" s="13">
        <f>IFERROR(__xludf.DUMMYFUNCTION("""COMPUTED_VALUE"""),58.0)</f>
        <v>58</v>
      </c>
      <c r="S30" s="15">
        <f>IFERROR(__xludf.DUMMYFUNCTION("""COMPUTED_VALUE"""),0.3275862068965517)</f>
        <v>0.3275862069</v>
      </c>
      <c r="T30" s="16">
        <f>IFERROR(__xludf.DUMMYFUNCTION("""COMPUTED_VALUE"""),276.22222222222223)</f>
        <v>276.2222222</v>
      </c>
      <c r="U30" s="16">
        <f>IFERROR(__xludf.DUMMYFUNCTION("""COMPUTED_VALUE"""),0.5277777777777778)</f>
        <v>0.5277777778</v>
      </c>
      <c r="V30" s="16">
        <f>IFERROR(__xludf.DUMMYFUNCTION("""COMPUTED_VALUE"""),0.5)</f>
        <v>0.5</v>
      </c>
      <c r="W30" s="16">
        <f>IFERROR(__xludf.DUMMYFUNCTION("""COMPUTED_VALUE"""),1.0)</f>
        <v>1</v>
      </c>
      <c r="X30" s="16">
        <f>IFERROR(__xludf.DUMMYFUNCTION("""COMPUTED_VALUE"""),1.6111111111111112)</f>
        <v>1.611111111</v>
      </c>
      <c r="Y30" s="11">
        <f>IFERROR(__xludf.DUMMYFUNCTION("""COMPUTED_VALUE"""),4.0)</f>
        <v>4</v>
      </c>
      <c r="Z30" s="11">
        <f>IFERROR(__xludf.DUMMYFUNCTION("""COMPUTED_VALUE"""),1.0)</f>
        <v>1</v>
      </c>
      <c r="AA30" s="11">
        <f>IFERROR(__xludf.DUMMYFUNCTION("""COMPUTED_VALUE"""),0.0)</f>
        <v>0</v>
      </c>
      <c r="AB30" s="11">
        <f>IFERROR(__xludf.DUMMYFUNCTION("""COMPUTED_VALUE"""),3.0)</f>
        <v>3</v>
      </c>
      <c r="AC30" s="11">
        <f>IFERROR(__xludf.DUMMYFUNCTION("""COMPUTED_VALUE"""),17.0)</f>
        <v>17</v>
      </c>
      <c r="AD30" s="11">
        <f>IFERROR(__xludf.DUMMYFUNCTION("""COMPUTED_VALUE"""),23.0)</f>
        <v>23</v>
      </c>
    </row>
    <row r="31">
      <c r="A31" s="10" t="str">
        <f>IFERROR(__xludf.DUMMYFUNCTION("""COMPUTED_VALUE"""),"Amateur")</f>
        <v>Amateur</v>
      </c>
      <c r="B31" s="10" t="str">
        <f>IFERROR(__xludf.DUMMYFUNCTION("""COMPUTED_VALUE"""),"RSC008419")</f>
        <v>RSC008419</v>
      </c>
      <c r="C31" s="10" t="str">
        <f>IFERROR(__xludf.DUMMYFUNCTION("""COMPUTED_VALUE"""),"iSilently")</f>
        <v>iSilently</v>
      </c>
      <c r="D31" s="36" t="str">
        <f>IFERROR(__xludf.DUMMYFUNCTION("""COMPUTED_VALUE"""),"Chimera")</f>
        <v>Chimera</v>
      </c>
      <c r="E31" s="10" t="str">
        <f>IFERROR(__xludf.DUMMYFUNCTION("""COMPUTED_VALUE"""),"N/A")</f>
        <v>N/A</v>
      </c>
      <c r="F31" s="37">
        <f>IFERROR(__xludf.DUMMYFUNCTION("""COMPUTED_VALUE"""),43.17651051169967)</f>
        <v>43.17651051</v>
      </c>
      <c r="G31" s="38">
        <f>IFERROR(__xludf.DUMMYFUNCTION("""COMPUTED_VALUE"""),46.117868291511904)</f>
        <v>46.11786829</v>
      </c>
      <c r="H31" s="38">
        <f>IFERROR(__xludf.DUMMYFUNCTION("""COMPUTED_VALUE"""),44.647189401605786)</f>
        <v>44.6471894</v>
      </c>
      <c r="I31" s="14">
        <f>IFERROR(__xludf.DUMMYFUNCTION("""COMPUTED_VALUE"""),45.0)</f>
        <v>45</v>
      </c>
      <c r="J31" s="11">
        <f>IFERROR(__xludf.DUMMYFUNCTION("IFERROR(FILTER(Stats!$F:$Z,(Stats!$A:$A=$A31)*(Stats!$B:$B=$B31)))"),26.0)</f>
        <v>26</v>
      </c>
      <c r="K31" s="11">
        <f>IFERROR(__xludf.DUMMYFUNCTION("""COMPUTED_VALUE"""),19.0)</f>
        <v>19</v>
      </c>
      <c r="L31" s="12">
        <f>IFERROR(__xludf.DUMMYFUNCTION("""COMPUTED_VALUE"""),0.5777777777777777)</f>
        <v>0.5777777778</v>
      </c>
      <c r="M31" s="11">
        <f>IFERROR(__xludf.DUMMYFUNCTION("""COMPUTED_VALUE"""),7.0)</f>
        <v>7</v>
      </c>
      <c r="N31" s="11">
        <f>IFERROR(__xludf.DUMMYFUNCTION("""COMPUTED_VALUE"""),14892.0)</f>
        <v>14892</v>
      </c>
      <c r="O31" s="13">
        <f>IFERROR(__xludf.DUMMYFUNCTION("""COMPUTED_VALUE"""),31.0)</f>
        <v>31</v>
      </c>
      <c r="P31" s="14">
        <f>IFERROR(__xludf.DUMMYFUNCTION("""COMPUTED_VALUE"""),12.0)</f>
        <v>12</v>
      </c>
      <c r="Q31" s="13">
        <f>IFERROR(__xludf.DUMMYFUNCTION("""COMPUTED_VALUE"""),77.0)</f>
        <v>77</v>
      </c>
      <c r="R31" s="13">
        <f>IFERROR(__xludf.DUMMYFUNCTION("""COMPUTED_VALUE"""),93.0)</f>
        <v>93</v>
      </c>
      <c r="S31" s="15">
        <f>IFERROR(__xludf.DUMMYFUNCTION("""COMPUTED_VALUE"""),0.3333333333333333)</f>
        <v>0.3333333333</v>
      </c>
      <c r="T31" s="16">
        <f>IFERROR(__xludf.DUMMYFUNCTION("""COMPUTED_VALUE"""),330.93333333333334)</f>
        <v>330.9333333</v>
      </c>
      <c r="U31" s="16">
        <f>IFERROR(__xludf.DUMMYFUNCTION("""COMPUTED_VALUE"""),0.6888888888888889)</f>
        <v>0.6888888889</v>
      </c>
      <c r="V31" s="16">
        <f>IFERROR(__xludf.DUMMYFUNCTION("""COMPUTED_VALUE"""),0.26666666666666666)</f>
        <v>0.2666666667</v>
      </c>
      <c r="W31" s="16">
        <f>IFERROR(__xludf.DUMMYFUNCTION("""COMPUTED_VALUE"""),1.711111111111111)</f>
        <v>1.711111111</v>
      </c>
      <c r="X31" s="16">
        <f>IFERROR(__xludf.DUMMYFUNCTION("""COMPUTED_VALUE"""),2.066666666666667)</f>
        <v>2.066666667</v>
      </c>
      <c r="Y31" s="11">
        <f>IFERROR(__xludf.DUMMYFUNCTION("""COMPUTED_VALUE"""),3.0)</f>
        <v>3</v>
      </c>
      <c r="Z31" s="11">
        <f>IFERROR(__xludf.DUMMYFUNCTION("""COMPUTED_VALUE"""),1.0)</f>
        <v>1</v>
      </c>
      <c r="AA31" s="11">
        <f>IFERROR(__xludf.DUMMYFUNCTION("""COMPUTED_VALUE"""),0.0)</f>
        <v>0</v>
      </c>
      <c r="AB31" s="11">
        <f>IFERROR(__xludf.DUMMYFUNCTION("""COMPUTED_VALUE"""),10.0)</f>
        <v>10</v>
      </c>
      <c r="AC31" s="11">
        <f>IFERROR(__xludf.DUMMYFUNCTION("""COMPUTED_VALUE"""),44.0)</f>
        <v>44</v>
      </c>
      <c r="AD31" s="11">
        <f>IFERROR(__xludf.DUMMYFUNCTION("""COMPUTED_VALUE"""),24.0)</f>
        <v>24</v>
      </c>
    </row>
    <row r="32">
      <c r="A32" s="10" t="str">
        <f>IFERROR(__xludf.DUMMYFUNCTION("""COMPUTED_VALUE"""),"Amateur")</f>
        <v>Amateur</v>
      </c>
      <c r="B32" s="10" t="str">
        <f>IFERROR(__xludf.DUMMYFUNCTION("""COMPUTED_VALUE"""),"RSC008083")</f>
        <v>RSC008083</v>
      </c>
      <c r="C32" s="10" t="str">
        <f>IFERROR(__xludf.DUMMYFUNCTION("""COMPUTED_VALUE"""),"Rocketgirl_32")</f>
        <v>Rocketgirl_32</v>
      </c>
      <c r="D32" s="36" t="str">
        <f>IFERROR(__xludf.DUMMYFUNCTION("""COMPUTED_VALUE"""),"Legionaries")</f>
        <v>Legionaries</v>
      </c>
      <c r="E32" s="10" t="str">
        <f>IFERROR(__xludf.DUMMYFUNCTION("""COMPUTED_VALUE"""),"N/A")</f>
        <v>N/A</v>
      </c>
      <c r="F32" s="37">
        <f>IFERROR(__xludf.DUMMYFUNCTION("""COMPUTED_VALUE"""),44.453903579860835)</f>
        <v>44.45390358</v>
      </c>
      <c r="G32" s="38">
        <f>IFERROR(__xludf.DUMMYFUNCTION("""COMPUTED_VALUE"""),39.203007185875975)</f>
        <v>39.20300719</v>
      </c>
      <c r="H32" s="38">
        <f>IFERROR(__xludf.DUMMYFUNCTION("""COMPUTED_VALUE"""),41.828455382868405)</f>
        <v>41.82845538</v>
      </c>
      <c r="I32" s="14">
        <f>IFERROR(__xludf.DUMMYFUNCTION("""COMPUTED_VALUE"""),55.0)</f>
        <v>55</v>
      </c>
      <c r="J32" s="11">
        <f>IFERROR(__xludf.DUMMYFUNCTION("IFERROR(FILTER(Stats!$F:$Z,(Stats!$A:$A=$A32)*(Stats!$B:$B=$B32)))"),13.0)</f>
        <v>13</v>
      </c>
      <c r="K32" s="11">
        <f>IFERROR(__xludf.DUMMYFUNCTION("""COMPUTED_VALUE"""),42.0)</f>
        <v>42</v>
      </c>
      <c r="L32" s="12">
        <f>IFERROR(__xludf.DUMMYFUNCTION("""COMPUTED_VALUE"""),0.23636363636363636)</f>
        <v>0.2363636364</v>
      </c>
      <c r="M32" s="11">
        <f>IFERROR(__xludf.DUMMYFUNCTION("""COMPUTED_VALUE"""),8.0)</f>
        <v>8</v>
      </c>
      <c r="N32" s="11">
        <f>IFERROR(__xludf.DUMMYFUNCTION("""COMPUTED_VALUE"""),17476.0)</f>
        <v>17476</v>
      </c>
      <c r="O32" s="13">
        <f>IFERROR(__xludf.DUMMYFUNCTION("""COMPUTED_VALUE"""),36.0)</f>
        <v>36</v>
      </c>
      <c r="P32" s="14">
        <f>IFERROR(__xludf.DUMMYFUNCTION("""COMPUTED_VALUE"""),10.0)</f>
        <v>10</v>
      </c>
      <c r="Q32" s="13">
        <f>IFERROR(__xludf.DUMMYFUNCTION("""COMPUTED_VALUE"""),84.0)</f>
        <v>84</v>
      </c>
      <c r="R32" s="13">
        <f>IFERROR(__xludf.DUMMYFUNCTION("""COMPUTED_VALUE"""),121.0)</f>
        <v>121</v>
      </c>
      <c r="S32" s="15">
        <f>IFERROR(__xludf.DUMMYFUNCTION("""COMPUTED_VALUE"""),0.2975206611570248)</f>
        <v>0.2975206612</v>
      </c>
      <c r="T32" s="16">
        <f>IFERROR(__xludf.DUMMYFUNCTION("""COMPUTED_VALUE"""),317.74545454545455)</f>
        <v>317.7454545</v>
      </c>
      <c r="U32" s="16">
        <f>IFERROR(__xludf.DUMMYFUNCTION("""COMPUTED_VALUE"""),0.6545454545454545)</f>
        <v>0.6545454545</v>
      </c>
      <c r="V32" s="16">
        <f>IFERROR(__xludf.DUMMYFUNCTION("""COMPUTED_VALUE"""),0.18181818181818182)</f>
        <v>0.1818181818</v>
      </c>
      <c r="W32" s="16">
        <f>IFERROR(__xludf.DUMMYFUNCTION("""COMPUTED_VALUE"""),1.5272727272727273)</f>
        <v>1.527272727</v>
      </c>
      <c r="X32" s="16">
        <f>IFERROR(__xludf.DUMMYFUNCTION("""COMPUTED_VALUE"""),2.2)</f>
        <v>2.2</v>
      </c>
      <c r="Y32" s="11">
        <f>IFERROR(__xludf.DUMMYFUNCTION("""COMPUTED_VALUE"""),3.0)</f>
        <v>3</v>
      </c>
      <c r="Z32" s="11">
        <f>IFERROR(__xludf.DUMMYFUNCTION("""COMPUTED_VALUE"""),1.0)</f>
        <v>1</v>
      </c>
      <c r="AA32" s="11">
        <f>IFERROR(__xludf.DUMMYFUNCTION("""COMPUTED_VALUE"""),0.0)</f>
        <v>0</v>
      </c>
      <c r="AB32" s="11">
        <f>IFERROR(__xludf.DUMMYFUNCTION("""COMPUTED_VALUE"""),11.0)</f>
        <v>11</v>
      </c>
      <c r="AC32" s="11">
        <f>IFERROR(__xludf.DUMMYFUNCTION("""COMPUTED_VALUE"""),27.0)</f>
        <v>27</v>
      </c>
      <c r="AD32" s="11">
        <f>IFERROR(__xludf.DUMMYFUNCTION("""COMPUTED_VALUE"""),47.0)</f>
        <v>47</v>
      </c>
    </row>
    <row r="33">
      <c r="A33" s="10" t="str">
        <f>IFERROR(__xludf.DUMMYFUNCTION("""COMPUTED_VALUE"""),"Amateur")</f>
        <v>Amateur</v>
      </c>
      <c r="B33" s="10" t="str">
        <f>IFERROR(__xludf.DUMMYFUNCTION("""COMPUTED_VALUE"""),"RSC007216")</f>
        <v>RSC007216</v>
      </c>
      <c r="C33" s="10" t="str">
        <f>IFERROR(__xludf.DUMMYFUNCTION("""COMPUTED_VALUE"""),"ASAPxLEG")</f>
        <v>ASAPxLEG</v>
      </c>
      <c r="D33" s="36" t="str">
        <f>IFERROR(__xludf.DUMMYFUNCTION("""COMPUTED_VALUE"""),"Kappa")</f>
        <v>Kappa</v>
      </c>
      <c r="E33" s="10" t="str">
        <f>IFERROR(__xludf.DUMMYFUNCTION("""COMPUTED_VALUE"""),"N/A")</f>
        <v>N/A</v>
      </c>
      <c r="F33" s="37">
        <f>IFERROR(__xludf.DUMMYFUNCTION("""COMPUTED_VALUE"""),40.18903633607552)</f>
        <v>40.18903634</v>
      </c>
      <c r="G33" s="38">
        <f>IFERROR(__xludf.DUMMYFUNCTION("""COMPUTED_VALUE"""),41.58982015505339)</f>
        <v>41.58982016</v>
      </c>
      <c r="H33" s="38">
        <f>IFERROR(__xludf.DUMMYFUNCTION("""COMPUTED_VALUE"""),40.88942824556445)</f>
        <v>40.88942825</v>
      </c>
      <c r="I33" s="14">
        <f>IFERROR(__xludf.DUMMYFUNCTION("""COMPUTED_VALUE"""),51.0)</f>
        <v>51</v>
      </c>
      <c r="J33" s="11">
        <f>IFERROR(__xludf.DUMMYFUNCTION("IFERROR(FILTER(Stats!$F:$Z,(Stats!$A:$A=$A33)*(Stats!$B:$B=$B33)))"),23.0)</f>
        <v>23</v>
      </c>
      <c r="K33" s="11">
        <f>IFERROR(__xludf.DUMMYFUNCTION("""COMPUTED_VALUE"""),28.0)</f>
        <v>28</v>
      </c>
      <c r="L33" s="12">
        <f>IFERROR(__xludf.DUMMYFUNCTION("""COMPUTED_VALUE"""),0.45098039215686275)</f>
        <v>0.4509803922</v>
      </c>
      <c r="M33" s="11">
        <f>IFERROR(__xludf.DUMMYFUNCTION("""COMPUTED_VALUE"""),4.0)</f>
        <v>4</v>
      </c>
      <c r="N33" s="11">
        <f>IFERROR(__xludf.DUMMYFUNCTION("""COMPUTED_VALUE"""),13363.0)</f>
        <v>13363</v>
      </c>
      <c r="O33" s="13">
        <f>IFERROR(__xludf.DUMMYFUNCTION("""COMPUTED_VALUE"""),25.0)</f>
        <v>25</v>
      </c>
      <c r="P33" s="14">
        <f>IFERROR(__xludf.DUMMYFUNCTION("""COMPUTED_VALUE"""),27.0)</f>
        <v>27</v>
      </c>
      <c r="Q33" s="13">
        <f>IFERROR(__xludf.DUMMYFUNCTION("""COMPUTED_VALUE"""),45.0)</f>
        <v>45</v>
      </c>
      <c r="R33" s="13">
        <f>IFERROR(__xludf.DUMMYFUNCTION("""COMPUTED_VALUE"""),69.0)</f>
        <v>69</v>
      </c>
      <c r="S33" s="15">
        <f>IFERROR(__xludf.DUMMYFUNCTION("""COMPUTED_VALUE"""),0.36231884057971014)</f>
        <v>0.3623188406</v>
      </c>
      <c r="T33" s="16">
        <f>IFERROR(__xludf.DUMMYFUNCTION("""COMPUTED_VALUE"""),262.01960784313724)</f>
        <v>262.0196078</v>
      </c>
      <c r="U33" s="16">
        <f>IFERROR(__xludf.DUMMYFUNCTION("""COMPUTED_VALUE"""),0.49019607843137253)</f>
        <v>0.4901960784</v>
      </c>
      <c r="V33" s="16">
        <f>IFERROR(__xludf.DUMMYFUNCTION("""COMPUTED_VALUE"""),0.5294117647058824)</f>
        <v>0.5294117647</v>
      </c>
      <c r="W33" s="16">
        <f>IFERROR(__xludf.DUMMYFUNCTION("""COMPUTED_VALUE"""),0.8823529411764706)</f>
        <v>0.8823529412</v>
      </c>
      <c r="X33" s="16">
        <f>IFERROR(__xludf.DUMMYFUNCTION("""COMPUTED_VALUE"""),1.3529411764705883)</f>
        <v>1.352941176</v>
      </c>
      <c r="Y33" s="11">
        <f>IFERROR(__xludf.DUMMYFUNCTION("""COMPUTED_VALUE"""),3.0)</f>
        <v>3</v>
      </c>
      <c r="Z33" s="11">
        <f>IFERROR(__xludf.DUMMYFUNCTION("""COMPUTED_VALUE"""),1.0)</f>
        <v>1</v>
      </c>
      <c r="AA33" s="11">
        <f>IFERROR(__xludf.DUMMYFUNCTION("""COMPUTED_VALUE"""),1.0)</f>
        <v>1</v>
      </c>
      <c r="AB33" s="11">
        <f>IFERROR(__xludf.DUMMYFUNCTION("""COMPUTED_VALUE"""),1.0)</f>
        <v>1</v>
      </c>
      <c r="AC33" s="11">
        <f>IFERROR(__xludf.DUMMYFUNCTION("""COMPUTED_VALUE"""),26.0)</f>
        <v>26</v>
      </c>
      <c r="AD33" s="11">
        <f>IFERROR(__xludf.DUMMYFUNCTION("""COMPUTED_VALUE"""),35.0)</f>
        <v>35</v>
      </c>
    </row>
    <row r="34">
      <c r="A34" s="10" t="str">
        <f>IFERROR(__xludf.DUMMYFUNCTION("""COMPUTED_VALUE"""),"Amateur")</f>
        <v>Amateur</v>
      </c>
      <c r="B34" s="10" t="str">
        <f>IFERROR(__xludf.DUMMYFUNCTION("""COMPUTED_VALUE"""),"RSC006137")</f>
        <v>RSC006137</v>
      </c>
      <c r="C34" s="10" t="str">
        <f>IFERROR(__xludf.DUMMYFUNCTION("""COMPUTED_VALUE"""),"FULLBL00DN8V")</f>
        <v>FULLBL00DN8V</v>
      </c>
      <c r="D34" s="36" t="str">
        <f>IFERROR(__xludf.DUMMYFUNCTION("""COMPUTED_VALUE"""),"Electric Eels")</f>
        <v>Electric Eels</v>
      </c>
      <c r="E34" s="10" t="str">
        <f>IFERROR(__xludf.DUMMYFUNCTION("""COMPUTED_VALUE"""),"N/A")</f>
        <v>N/A</v>
      </c>
      <c r="F34" s="37">
        <f>IFERROR(__xludf.DUMMYFUNCTION("""COMPUTED_VALUE"""),33.883042535929505)</f>
        <v>33.88304254</v>
      </c>
      <c r="G34" s="38">
        <f>IFERROR(__xludf.DUMMYFUNCTION("""COMPUTED_VALUE"""),41.43308901386139)</f>
        <v>41.43308901</v>
      </c>
      <c r="H34" s="38">
        <f>IFERROR(__xludf.DUMMYFUNCTION("""COMPUTED_VALUE"""),37.65806577489545)</f>
        <v>37.65806577</v>
      </c>
      <c r="I34" s="14">
        <f>IFERROR(__xludf.DUMMYFUNCTION("""COMPUTED_VALUE"""),28.0)</f>
        <v>28</v>
      </c>
      <c r="J34" s="11">
        <f>IFERROR(__xludf.DUMMYFUNCTION("IFERROR(FILTER(Stats!$F:$Z,(Stats!$A:$A=$A34)*(Stats!$B:$B=$B34)))"),13.0)</f>
        <v>13</v>
      </c>
      <c r="K34" s="11">
        <f>IFERROR(__xludf.DUMMYFUNCTION("""COMPUTED_VALUE"""),15.0)</f>
        <v>15</v>
      </c>
      <c r="L34" s="12">
        <f>IFERROR(__xludf.DUMMYFUNCTION("""COMPUTED_VALUE"""),0.4642857142857143)</f>
        <v>0.4642857143</v>
      </c>
      <c r="M34" s="11">
        <f>IFERROR(__xludf.DUMMYFUNCTION("""COMPUTED_VALUE"""),5.0)</f>
        <v>5</v>
      </c>
      <c r="N34" s="11">
        <f>IFERROR(__xludf.DUMMYFUNCTION("""COMPUTED_VALUE"""),7237.0)</f>
        <v>7237</v>
      </c>
      <c r="O34" s="13">
        <f>IFERROR(__xludf.DUMMYFUNCTION("""COMPUTED_VALUE"""),15.0)</f>
        <v>15</v>
      </c>
      <c r="P34" s="14">
        <f>IFERROR(__xludf.DUMMYFUNCTION("""COMPUTED_VALUE"""),11.0)</f>
        <v>11</v>
      </c>
      <c r="Q34" s="13">
        <f>IFERROR(__xludf.DUMMYFUNCTION("""COMPUTED_VALUE"""),30.0)</f>
        <v>30</v>
      </c>
      <c r="R34" s="13">
        <f>IFERROR(__xludf.DUMMYFUNCTION("""COMPUTED_VALUE"""),49.0)</f>
        <v>49</v>
      </c>
      <c r="S34" s="15">
        <f>IFERROR(__xludf.DUMMYFUNCTION("""COMPUTED_VALUE"""),0.30612244897959184)</f>
        <v>0.306122449</v>
      </c>
      <c r="T34" s="16">
        <f>IFERROR(__xludf.DUMMYFUNCTION("""COMPUTED_VALUE"""),258.4642857142857)</f>
        <v>258.4642857</v>
      </c>
      <c r="U34" s="16">
        <f>IFERROR(__xludf.DUMMYFUNCTION("""COMPUTED_VALUE"""),0.5357142857142857)</f>
        <v>0.5357142857</v>
      </c>
      <c r="V34" s="16">
        <f>IFERROR(__xludf.DUMMYFUNCTION("""COMPUTED_VALUE"""),0.39285714285714285)</f>
        <v>0.3928571429</v>
      </c>
      <c r="W34" s="16">
        <f>IFERROR(__xludf.DUMMYFUNCTION("""COMPUTED_VALUE"""),1.0714285714285714)</f>
        <v>1.071428571</v>
      </c>
      <c r="X34" s="16">
        <f>IFERROR(__xludf.DUMMYFUNCTION("""COMPUTED_VALUE"""),1.75)</f>
        <v>1.75</v>
      </c>
      <c r="Y34" s="11">
        <f>IFERROR(__xludf.DUMMYFUNCTION("""COMPUTED_VALUE"""),3.0)</f>
        <v>3</v>
      </c>
      <c r="Z34" s="11">
        <f>IFERROR(__xludf.DUMMYFUNCTION("""COMPUTED_VALUE"""),2.0)</f>
        <v>2</v>
      </c>
      <c r="AA34" s="11">
        <f>IFERROR(__xludf.DUMMYFUNCTION("""COMPUTED_VALUE"""),0.0)</f>
        <v>0</v>
      </c>
      <c r="AB34" s="11">
        <f>IFERROR(__xludf.DUMMYFUNCTION("""COMPUTED_VALUE"""),3.0)</f>
        <v>3</v>
      </c>
      <c r="AC34" s="11">
        <f>IFERROR(__xludf.DUMMYFUNCTION("""COMPUTED_VALUE"""),19.0)</f>
        <v>19</v>
      </c>
      <c r="AD34" s="11">
        <f>IFERROR(__xludf.DUMMYFUNCTION("""COMPUTED_VALUE"""),10.0)</f>
        <v>10</v>
      </c>
    </row>
    <row r="35">
      <c r="A35" s="10" t="str">
        <f>IFERROR(__xludf.DUMMYFUNCTION("""COMPUTED_VALUE"""),"Amateur")</f>
        <v>Amateur</v>
      </c>
      <c r="B35" s="10" t="str">
        <f>IFERROR(__xludf.DUMMYFUNCTION("""COMPUTED_VALUE"""),"RSC007921")</f>
        <v>RSC007921</v>
      </c>
      <c r="C35" s="10" t="str">
        <f>IFERROR(__xludf.DUMMYFUNCTION("""COMPUTED_VALUE"""),"sXCyBeast")</f>
        <v>sXCyBeast</v>
      </c>
      <c r="D35" s="36" t="str">
        <f>IFERROR(__xludf.DUMMYFUNCTION("""COMPUTED_VALUE"""),"HR Violation")</f>
        <v>HR Violation</v>
      </c>
      <c r="E35" s="10" t="str">
        <f>IFERROR(__xludf.DUMMYFUNCTION("""COMPUTED_VALUE"""),"N/A")</f>
        <v>N/A</v>
      </c>
      <c r="F35" s="37">
        <f>IFERROR(__xludf.DUMMYFUNCTION("""COMPUTED_VALUE"""),30.355736398311503)</f>
        <v>30.3557364</v>
      </c>
      <c r="G35" s="38">
        <f>IFERROR(__xludf.DUMMYFUNCTION("""COMPUTED_VALUE"""),40.44978159359282)</f>
        <v>40.44978159</v>
      </c>
      <c r="H35" s="38">
        <f>IFERROR(__xludf.DUMMYFUNCTION("""COMPUTED_VALUE"""),35.40275899595216)</f>
        <v>35.402759</v>
      </c>
      <c r="I35" s="14">
        <f>IFERROR(__xludf.DUMMYFUNCTION("""COMPUTED_VALUE"""),56.0)</f>
        <v>56</v>
      </c>
      <c r="J35" s="11">
        <f>IFERROR(__xludf.DUMMYFUNCTION("IFERROR(FILTER(Stats!$F:$Z,(Stats!$A:$A=$A35)*(Stats!$B:$B=$B35)))"),27.0)</f>
        <v>27</v>
      </c>
      <c r="K35" s="11">
        <f>IFERROR(__xludf.DUMMYFUNCTION("""COMPUTED_VALUE"""),29.0)</f>
        <v>29</v>
      </c>
      <c r="L35" s="12">
        <f>IFERROR(__xludf.DUMMYFUNCTION("""COMPUTED_VALUE"""),0.48214285714285715)</f>
        <v>0.4821428571</v>
      </c>
      <c r="M35" s="11">
        <f>IFERROR(__xludf.DUMMYFUNCTION("""COMPUTED_VALUE"""),7.0)</f>
        <v>7</v>
      </c>
      <c r="N35" s="11">
        <f>IFERROR(__xludf.DUMMYFUNCTION("""COMPUTED_VALUE"""),14400.0)</f>
        <v>14400</v>
      </c>
      <c r="O35" s="13">
        <f>IFERROR(__xludf.DUMMYFUNCTION("""COMPUTED_VALUE"""),31.0)</f>
        <v>31</v>
      </c>
      <c r="P35" s="14">
        <f>IFERROR(__xludf.DUMMYFUNCTION("""COMPUTED_VALUE"""),21.0)</f>
        <v>21</v>
      </c>
      <c r="Q35" s="13">
        <f>IFERROR(__xludf.DUMMYFUNCTION("""COMPUTED_VALUE"""),66.0)</f>
        <v>66</v>
      </c>
      <c r="R35" s="13">
        <f>IFERROR(__xludf.DUMMYFUNCTION("""COMPUTED_VALUE"""),93.0)</f>
        <v>93</v>
      </c>
      <c r="S35" s="15">
        <f>IFERROR(__xludf.DUMMYFUNCTION("""COMPUTED_VALUE"""),0.3333333333333333)</f>
        <v>0.3333333333</v>
      </c>
      <c r="T35" s="16">
        <f>IFERROR(__xludf.DUMMYFUNCTION("""COMPUTED_VALUE"""),257.14285714285717)</f>
        <v>257.1428571</v>
      </c>
      <c r="U35" s="16">
        <f>IFERROR(__xludf.DUMMYFUNCTION("""COMPUTED_VALUE"""),0.5535714285714286)</f>
        <v>0.5535714286</v>
      </c>
      <c r="V35" s="16">
        <f>IFERROR(__xludf.DUMMYFUNCTION("""COMPUTED_VALUE"""),0.375)</f>
        <v>0.375</v>
      </c>
      <c r="W35" s="16">
        <f>IFERROR(__xludf.DUMMYFUNCTION("""COMPUTED_VALUE"""),1.1785714285714286)</f>
        <v>1.178571429</v>
      </c>
      <c r="X35" s="16">
        <f>IFERROR(__xludf.DUMMYFUNCTION("""COMPUTED_VALUE"""),1.6607142857142858)</f>
        <v>1.660714286</v>
      </c>
      <c r="Y35" s="11">
        <f>IFERROR(__xludf.DUMMYFUNCTION("""COMPUTED_VALUE"""),8.0)</f>
        <v>8</v>
      </c>
      <c r="Z35" s="11">
        <f>IFERROR(__xludf.DUMMYFUNCTION("""COMPUTED_VALUE"""),1.0)</f>
        <v>1</v>
      </c>
      <c r="AA35" s="11">
        <f>IFERROR(__xludf.DUMMYFUNCTION("""COMPUTED_VALUE"""),1.0)</f>
        <v>1</v>
      </c>
      <c r="AB35" s="11">
        <f>IFERROR(__xludf.DUMMYFUNCTION("""COMPUTED_VALUE"""),5.0)</f>
        <v>5</v>
      </c>
      <c r="AC35" s="11">
        <f>IFERROR(__xludf.DUMMYFUNCTION("""COMPUTED_VALUE"""),61.0)</f>
        <v>61</v>
      </c>
      <c r="AD35" s="11">
        <f>IFERROR(__xludf.DUMMYFUNCTION("""COMPUTED_VALUE"""),36.0)</f>
        <v>36</v>
      </c>
    </row>
    <row r="36">
      <c r="A36" s="10" t="str">
        <f>IFERROR(__xludf.DUMMYFUNCTION("""COMPUTED_VALUE"""),"Amateur")</f>
        <v>Amateur</v>
      </c>
      <c r="B36" s="10" t="str">
        <f>IFERROR(__xludf.DUMMYFUNCTION("""COMPUTED_VALUE"""),"RSC007462")</f>
        <v>RSC007462</v>
      </c>
      <c r="C36" s="10" t="str">
        <f>IFERROR(__xludf.DUMMYFUNCTION("""COMPUTED_VALUE"""),"Lil DizNick")</f>
        <v>Lil DizNick</v>
      </c>
      <c r="D36" s="36" t="str">
        <f>IFERROR(__xludf.DUMMYFUNCTION("""COMPUTED_VALUE"""),"Winter Fresh")</f>
        <v>Winter Fresh</v>
      </c>
      <c r="E36" s="10" t="str">
        <f>IFERROR(__xludf.DUMMYFUNCTION("""COMPUTED_VALUE"""),"N/A")</f>
        <v>N/A</v>
      </c>
      <c r="F36" s="37">
        <f>IFERROR(__xludf.DUMMYFUNCTION("""COMPUTED_VALUE"""),35.230219589530975)</f>
        <v>35.23021959</v>
      </c>
      <c r="G36" s="38">
        <f>IFERROR(__xludf.DUMMYFUNCTION("""COMPUTED_VALUE"""),30.15896447794128)</f>
        <v>30.15896448</v>
      </c>
      <c r="H36" s="38">
        <f>IFERROR(__xludf.DUMMYFUNCTION("""COMPUTED_VALUE"""),32.69459203373613)</f>
        <v>32.69459203</v>
      </c>
      <c r="I36" s="14">
        <f>IFERROR(__xludf.DUMMYFUNCTION("""COMPUTED_VALUE"""),4.0)</f>
        <v>4</v>
      </c>
      <c r="J36" s="11">
        <f>IFERROR(__xludf.DUMMYFUNCTION("IFERROR(FILTER(Stats!$F:$Z,(Stats!$A:$A=$A36)*(Stats!$B:$B=$B36)))"),0.0)</f>
        <v>0</v>
      </c>
      <c r="K36" s="11">
        <f>IFERROR(__xludf.DUMMYFUNCTION("""COMPUTED_VALUE"""),4.0)</f>
        <v>4</v>
      </c>
      <c r="L36" s="12">
        <f>IFERROR(__xludf.DUMMYFUNCTION("""COMPUTED_VALUE"""),0.0)</f>
        <v>0</v>
      </c>
      <c r="M36" s="11">
        <f>IFERROR(__xludf.DUMMYFUNCTION("""COMPUTED_VALUE"""),0.0)</f>
        <v>0</v>
      </c>
      <c r="N36" s="11">
        <f>IFERROR(__xludf.DUMMYFUNCTION("""COMPUTED_VALUE"""),1077.0)</f>
        <v>1077</v>
      </c>
      <c r="O36" s="13">
        <f>IFERROR(__xludf.DUMMYFUNCTION("""COMPUTED_VALUE"""),2.0)</f>
        <v>2</v>
      </c>
      <c r="P36" s="14">
        <f>IFERROR(__xludf.DUMMYFUNCTION("""COMPUTED_VALUE"""),1.0)</f>
        <v>1</v>
      </c>
      <c r="Q36" s="13">
        <f>IFERROR(__xludf.DUMMYFUNCTION("""COMPUTED_VALUE"""),4.0)</f>
        <v>4</v>
      </c>
      <c r="R36" s="13">
        <f>IFERROR(__xludf.DUMMYFUNCTION("""COMPUTED_VALUE"""),7.0)</f>
        <v>7</v>
      </c>
      <c r="S36" s="15">
        <f>IFERROR(__xludf.DUMMYFUNCTION("""COMPUTED_VALUE"""),0.2857142857142857)</f>
        <v>0.2857142857</v>
      </c>
      <c r="T36" s="16">
        <f>IFERROR(__xludf.DUMMYFUNCTION("""COMPUTED_VALUE"""),269.25)</f>
        <v>269.25</v>
      </c>
      <c r="U36" s="16">
        <f>IFERROR(__xludf.DUMMYFUNCTION("""COMPUTED_VALUE"""),0.5)</f>
        <v>0.5</v>
      </c>
      <c r="V36" s="16">
        <f>IFERROR(__xludf.DUMMYFUNCTION("""COMPUTED_VALUE"""),0.25)</f>
        <v>0.25</v>
      </c>
      <c r="W36" s="16">
        <f>IFERROR(__xludf.DUMMYFUNCTION("""COMPUTED_VALUE"""),1.0)</f>
        <v>1</v>
      </c>
      <c r="X36" s="16">
        <f>IFERROR(__xludf.DUMMYFUNCTION("""COMPUTED_VALUE"""),1.75)</f>
        <v>1.75</v>
      </c>
      <c r="Y36" s="11">
        <f>IFERROR(__xludf.DUMMYFUNCTION("""COMPUTED_VALUE"""),0.0)</f>
        <v>0</v>
      </c>
      <c r="Z36" s="11">
        <f>IFERROR(__xludf.DUMMYFUNCTION("""COMPUTED_VALUE"""),0.0)</f>
        <v>0</v>
      </c>
      <c r="AA36" s="11">
        <f>IFERROR(__xludf.DUMMYFUNCTION("""COMPUTED_VALUE"""),0.0)</f>
        <v>0</v>
      </c>
      <c r="AB36" s="11">
        <f>IFERROR(__xludf.DUMMYFUNCTION("""COMPUTED_VALUE"""),0.0)</f>
        <v>0</v>
      </c>
      <c r="AC36" s="11">
        <f>IFERROR(__xludf.DUMMYFUNCTION("""COMPUTED_VALUE"""),5.0)</f>
        <v>5</v>
      </c>
      <c r="AD36" s="11">
        <f>IFERROR(__xludf.DUMMYFUNCTION("""COMPUTED_VALUE"""),8.0)</f>
        <v>8</v>
      </c>
    </row>
    <row r="37">
      <c r="A37" s="10" t="str">
        <f>IFERROR(__xludf.DUMMYFUNCTION("""COMPUTED_VALUE"""),"Amateur")</f>
        <v>Amateur</v>
      </c>
      <c r="B37" s="10" t="str">
        <f>IFERROR(__xludf.DUMMYFUNCTION("""COMPUTED_VALUE"""),"RSC000323")</f>
        <v>RSC000323</v>
      </c>
      <c r="C37" s="10" t="str">
        <f>IFERROR(__xludf.DUMMYFUNCTION("""COMPUTED_VALUE"""),"Styk75")</f>
        <v>Styk75</v>
      </c>
      <c r="D37" s="36" t="str">
        <f>IFERROR(__xludf.DUMMYFUNCTION("""COMPUTED_VALUE"""),"Legionaries")</f>
        <v>Legionaries</v>
      </c>
      <c r="E37" s="10" t="str">
        <f>IFERROR(__xludf.DUMMYFUNCTION("""COMPUTED_VALUE"""),"N/A")</f>
        <v>N/A</v>
      </c>
      <c r="F37" s="37">
        <f>IFERROR(__xludf.DUMMYFUNCTION("""COMPUTED_VALUE"""),24.570478544163738)</f>
        <v>24.57047854</v>
      </c>
      <c r="G37" s="38">
        <f>IFERROR(__xludf.DUMMYFUNCTION("""COMPUTED_VALUE"""),29.31093525791619)</f>
        <v>29.31093526</v>
      </c>
      <c r="H37" s="38">
        <f>IFERROR(__xludf.DUMMYFUNCTION("""COMPUTED_VALUE"""),26.940706901039963)</f>
        <v>26.9407069</v>
      </c>
      <c r="I37" s="14">
        <f>IFERROR(__xludf.DUMMYFUNCTION("""COMPUTED_VALUE"""),49.0)</f>
        <v>49</v>
      </c>
      <c r="J37" s="11">
        <f>IFERROR(__xludf.DUMMYFUNCTION("IFERROR(FILTER(Stats!$F:$Z,(Stats!$A:$A=$A37)*(Stats!$B:$B=$B37)))"),13.0)</f>
        <v>13</v>
      </c>
      <c r="K37" s="11">
        <f>IFERROR(__xludf.DUMMYFUNCTION("""COMPUTED_VALUE"""),36.0)</f>
        <v>36</v>
      </c>
      <c r="L37" s="12">
        <f>IFERROR(__xludf.DUMMYFUNCTION("""COMPUTED_VALUE"""),0.2653061224489796)</f>
        <v>0.2653061224</v>
      </c>
      <c r="M37" s="11">
        <f>IFERROR(__xludf.DUMMYFUNCTION("""COMPUTED_VALUE"""),4.0)</f>
        <v>4</v>
      </c>
      <c r="N37" s="11">
        <f>IFERROR(__xludf.DUMMYFUNCTION("""COMPUTED_VALUE"""),12519.0)</f>
        <v>12519</v>
      </c>
      <c r="O37" s="13">
        <f>IFERROR(__xludf.DUMMYFUNCTION("""COMPUTED_VALUE"""),19.0)</f>
        <v>19</v>
      </c>
      <c r="P37" s="14">
        <f>IFERROR(__xludf.DUMMYFUNCTION("""COMPUTED_VALUE"""),14.0)</f>
        <v>14</v>
      </c>
      <c r="Q37" s="13">
        <f>IFERROR(__xludf.DUMMYFUNCTION("""COMPUTED_VALUE"""),54.0)</f>
        <v>54</v>
      </c>
      <c r="R37" s="13">
        <f>IFERROR(__xludf.DUMMYFUNCTION("""COMPUTED_VALUE"""),81.0)</f>
        <v>81</v>
      </c>
      <c r="S37" s="15">
        <f>IFERROR(__xludf.DUMMYFUNCTION("""COMPUTED_VALUE"""),0.2345679012345679)</f>
        <v>0.2345679012</v>
      </c>
      <c r="T37" s="16">
        <f>IFERROR(__xludf.DUMMYFUNCTION("""COMPUTED_VALUE"""),255.48979591836735)</f>
        <v>255.4897959</v>
      </c>
      <c r="U37" s="16">
        <f>IFERROR(__xludf.DUMMYFUNCTION("""COMPUTED_VALUE"""),0.3877551020408163)</f>
        <v>0.387755102</v>
      </c>
      <c r="V37" s="16">
        <f>IFERROR(__xludf.DUMMYFUNCTION("""COMPUTED_VALUE"""),0.2857142857142857)</f>
        <v>0.2857142857</v>
      </c>
      <c r="W37" s="16">
        <f>IFERROR(__xludf.DUMMYFUNCTION("""COMPUTED_VALUE"""),1.1020408163265305)</f>
        <v>1.102040816</v>
      </c>
      <c r="X37" s="16">
        <f>IFERROR(__xludf.DUMMYFUNCTION("""COMPUTED_VALUE"""),1.653061224489796)</f>
        <v>1.653061224</v>
      </c>
      <c r="Y37" s="11">
        <f>IFERROR(__xludf.DUMMYFUNCTION("""COMPUTED_VALUE"""),2.0)</f>
        <v>2</v>
      </c>
      <c r="Z37" s="11">
        <f>IFERROR(__xludf.DUMMYFUNCTION("""COMPUTED_VALUE"""),2.0)</f>
        <v>2</v>
      </c>
      <c r="AA37" s="11">
        <f>IFERROR(__xludf.DUMMYFUNCTION("""COMPUTED_VALUE"""),0.0)</f>
        <v>0</v>
      </c>
      <c r="AB37" s="11">
        <f>IFERROR(__xludf.DUMMYFUNCTION("""COMPUTED_VALUE"""),5.0)</f>
        <v>5</v>
      </c>
      <c r="AC37" s="11">
        <f>IFERROR(__xludf.DUMMYFUNCTION("""COMPUTED_VALUE"""),20.0)</f>
        <v>20</v>
      </c>
      <c r="AD37" s="11">
        <f>IFERROR(__xludf.DUMMYFUNCTION("""COMPUTED_VALUE"""),45.0)</f>
        <v>45</v>
      </c>
    </row>
    <row r="38">
      <c r="A38" s="10" t="str">
        <f>IFERROR(__xludf.DUMMYFUNCTION("""COMPUTED_VALUE"""),"Amateur")</f>
        <v>Amateur</v>
      </c>
      <c r="B38" s="10" t="str">
        <f>IFERROR(__xludf.DUMMYFUNCTION("""COMPUTED_VALUE"""),"RSC005472")</f>
        <v>RSC005472</v>
      </c>
      <c r="C38" s="10" t="str">
        <f>IFERROR(__xludf.DUMMYFUNCTION("""COMPUTED_VALUE"""),"EngynGameOver")</f>
        <v>EngynGameOver</v>
      </c>
      <c r="D38" s="36" t="str">
        <f>IFERROR(__xludf.DUMMYFUNCTION("""COMPUTED_VALUE"""),"Legionaries")</f>
        <v>Legionaries</v>
      </c>
      <c r="E38" s="10" t="str">
        <f>IFERROR(__xludf.DUMMYFUNCTION("""COMPUTED_VALUE"""),"N/A")</f>
        <v>N/A</v>
      </c>
      <c r="F38" s="37">
        <f>IFERROR(__xludf.DUMMYFUNCTION("""COMPUTED_VALUE"""),21.199162832317825)</f>
        <v>21.19916283</v>
      </c>
      <c r="G38" s="38">
        <f>IFERROR(__xludf.DUMMYFUNCTION("""COMPUTED_VALUE"""),31.413022189205922)</f>
        <v>31.41302219</v>
      </c>
      <c r="H38" s="38">
        <f>IFERROR(__xludf.DUMMYFUNCTION("""COMPUTED_VALUE"""),26.30609251076187)</f>
        <v>26.30609251</v>
      </c>
      <c r="I38" s="14">
        <f>IFERROR(__xludf.DUMMYFUNCTION("""COMPUTED_VALUE"""),21.0)</f>
        <v>21</v>
      </c>
      <c r="J38" s="11">
        <f>IFERROR(__xludf.DUMMYFUNCTION("IFERROR(FILTER(Stats!$F:$Z,(Stats!$A:$A=$A38)*(Stats!$B:$B=$B38)))"),7.0)</f>
        <v>7</v>
      </c>
      <c r="K38" s="11">
        <f>IFERROR(__xludf.DUMMYFUNCTION("""COMPUTED_VALUE"""),14.0)</f>
        <v>14</v>
      </c>
      <c r="L38" s="12">
        <f>IFERROR(__xludf.DUMMYFUNCTION("""COMPUTED_VALUE"""),0.3333333333333333)</f>
        <v>0.3333333333</v>
      </c>
      <c r="M38" s="11">
        <f>IFERROR(__xludf.DUMMYFUNCTION("""COMPUTED_VALUE"""),0.0)</f>
        <v>0</v>
      </c>
      <c r="N38" s="11">
        <f>IFERROR(__xludf.DUMMYFUNCTION("""COMPUTED_VALUE"""),5105.0)</f>
        <v>5105</v>
      </c>
      <c r="O38" s="13">
        <f>IFERROR(__xludf.DUMMYFUNCTION("""COMPUTED_VALUE"""),8.0)</f>
        <v>8</v>
      </c>
      <c r="P38" s="14">
        <f>IFERROR(__xludf.DUMMYFUNCTION("""COMPUTED_VALUE"""),8.0)</f>
        <v>8</v>
      </c>
      <c r="Q38" s="13">
        <f>IFERROR(__xludf.DUMMYFUNCTION("""COMPUTED_VALUE"""),27.0)</f>
        <v>27</v>
      </c>
      <c r="R38" s="13">
        <f>IFERROR(__xludf.DUMMYFUNCTION("""COMPUTED_VALUE"""),20.0)</f>
        <v>20</v>
      </c>
      <c r="S38" s="15">
        <f>IFERROR(__xludf.DUMMYFUNCTION("""COMPUTED_VALUE"""),0.4)</f>
        <v>0.4</v>
      </c>
      <c r="T38" s="16">
        <f>IFERROR(__xludf.DUMMYFUNCTION("""COMPUTED_VALUE"""),243.0952380952381)</f>
        <v>243.0952381</v>
      </c>
      <c r="U38" s="16">
        <f>IFERROR(__xludf.DUMMYFUNCTION("""COMPUTED_VALUE"""),0.38095238095238093)</f>
        <v>0.380952381</v>
      </c>
      <c r="V38" s="16">
        <f>IFERROR(__xludf.DUMMYFUNCTION("""COMPUTED_VALUE"""),0.38095238095238093)</f>
        <v>0.380952381</v>
      </c>
      <c r="W38" s="16">
        <f>IFERROR(__xludf.DUMMYFUNCTION("""COMPUTED_VALUE"""),1.2857142857142858)</f>
        <v>1.285714286</v>
      </c>
      <c r="X38" s="16">
        <f>IFERROR(__xludf.DUMMYFUNCTION("""COMPUTED_VALUE"""),0.9523809523809523)</f>
        <v>0.9523809524</v>
      </c>
      <c r="Y38" s="11">
        <f>IFERROR(__xludf.DUMMYFUNCTION("""COMPUTED_VALUE"""),0.0)</f>
        <v>0</v>
      </c>
      <c r="Z38" s="11">
        <f>IFERROR(__xludf.DUMMYFUNCTION("""COMPUTED_VALUE"""),0.0)</f>
        <v>0</v>
      </c>
      <c r="AA38" s="11">
        <f>IFERROR(__xludf.DUMMYFUNCTION("""COMPUTED_VALUE"""),0.0)</f>
        <v>0</v>
      </c>
      <c r="AB38" s="11">
        <f>IFERROR(__xludf.DUMMYFUNCTION("""COMPUTED_VALUE"""),4.0)</f>
        <v>4</v>
      </c>
      <c r="AC38" s="11">
        <f>IFERROR(__xludf.DUMMYFUNCTION("""COMPUTED_VALUE"""),14.0)</f>
        <v>14</v>
      </c>
      <c r="AD38" s="11">
        <f>IFERROR(__xludf.DUMMYFUNCTION("""COMPUTED_VALUE"""),25.0)</f>
        <v>25</v>
      </c>
    </row>
    <row r="39">
      <c r="A39" s="10" t="str">
        <f>IFERROR(__xludf.DUMMYFUNCTION("""COMPUTED_VALUE"""),"Amateur")</f>
        <v>Amateur</v>
      </c>
      <c r="B39" s="10" t="str">
        <f>IFERROR(__xludf.DUMMYFUNCTION("""COMPUTED_VALUE"""),"RSC008213")</f>
        <v>RSC008213</v>
      </c>
      <c r="C39" s="10" t="str">
        <f>IFERROR(__xludf.DUMMYFUNCTION("""COMPUTED_VALUE"""),"SeargD")</f>
        <v>SeargD</v>
      </c>
      <c r="D39" s="36" t="str">
        <f>IFERROR(__xludf.DUMMYFUNCTION("""COMPUTED_VALUE"""),"Legionaries")</f>
        <v>Legionaries</v>
      </c>
      <c r="E39" s="10" t="str">
        <f>IFERROR(__xludf.DUMMYFUNCTION("""COMPUTED_VALUE"""),"N/A")</f>
        <v>N/A</v>
      </c>
      <c r="F39" s="37">
        <f>IFERROR(__xludf.DUMMYFUNCTION("""COMPUTED_VALUE"""),22.820213277870728)</f>
        <v>22.82021328</v>
      </c>
      <c r="G39" s="38">
        <f>IFERROR(__xludf.DUMMYFUNCTION("""COMPUTED_VALUE"""),28.723774346762678)</f>
        <v>28.72377435</v>
      </c>
      <c r="H39" s="38">
        <f>IFERROR(__xludf.DUMMYFUNCTION("""COMPUTED_VALUE"""),25.7719938123167)</f>
        <v>25.77199381</v>
      </c>
      <c r="I39" s="14">
        <f>IFERROR(__xludf.DUMMYFUNCTION("""COMPUTED_VALUE"""),40.0)</f>
        <v>40</v>
      </c>
      <c r="J39" s="11">
        <f>IFERROR(__xludf.DUMMYFUNCTION("IFERROR(FILTER(Stats!$F:$Z,(Stats!$A:$A=$A39)*(Stats!$B:$B=$B39)))"),9.0)</f>
        <v>9</v>
      </c>
      <c r="K39" s="11">
        <f>IFERROR(__xludf.DUMMYFUNCTION("""COMPUTED_VALUE"""),31.0)</f>
        <v>31</v>
      </c>
      <c r="L39" s="12">
        <f>IFERROR(__xludf.DUMMYFUNCTION("""COMPUTED_VALUE"""),0.225)</f>
        <v>0.225</v>
      </c>
      <c r="M39" s="11">
        <f>IFERROR(__xludf.DUMMYFUNCTION("""COMPUTED_VALUE"""),2.0)</f>
        <v>2</v>
      </c>
      <c r="N39" s="11">
        <f>IFERROR(__xludf.DUMMYFUNCTION("""COMPUTED_VALUE"""),9586.0)</f>
        <v>9586</v>
      </c>
      <c r="O39" s="13">
        <f>IFERROR(__xludf.DUMMYFUNCTION("""COMPUTED_VALUE"""),18.0)</f>
        <v>18</v>
      </c>
      <c r="P39" s="14">
        <f>IFERROR(__xludf.DUMMYFUNCTION("""COMPUTED_VALUE"""),12.0)</f>
        <v>12</v>
      </c>
      <c r="Q39" s="13">
        <f>IFERROR(__xludf.DUMMYFUNCTION("""COMPUTED_VALUE"""),35.0)</f>
        <v>35</v>
      </c>
      <c r="R39" s="13">
        <f>IFERROR(__xludf.DUMMYFUNCTION("""COMPUTED_VALUE"""),59.0)</f>
        <v>59</v>
      </c>
      <c r="S39" s="15">
        <f>IFERROR(__xludf.DUMMYFUNCTION("""COMPUTED_VALUE"""),0.3050847457627119)</f>
        <v>0.3050847458</v>
      </c>
      <c r="T39" s="16">
        <f>IFERROR(__xludf.DUMMYFUNCTION("""COMPUTED_VALUE"""),239.65)</f>
        <v>239.65</v>
      </c>
      <c r="U39" s="16">
        <f>IFERROR(__xludf.DUMMYFUNCTION("""COMPUTED_VALUE"""),0.45)</f>
        <v>0.45</v>
      </c>
      <c r="V39" s="16">
        <f>IFERROR(__xludf.DUMMYFUNCTION("""COMPUTED_VALUE"""),0.3)</f>
        <v>0.3</v>
      </c>
      <c r="W39" s="16">
        <f>IFERROR(__xludf.DUMMYFUNCTION("""COMPUTED_VALUE"""),0.875)</f>
        <v>0.875</v>
      </c>
      <c r="X39" s="16">
        <f>IFERROR(__xludf.DUMMYFUNCTION("""COMPUTED_VALUE"""),1.475)</f>
        <v>1.475</v>
      </c>
      <c r="Y39" s="11">
        <f>IFERROR(__xludf.DUMMYFUNCTION("""COMPUTED_VALUE"""),2.0)</f>
        <v>2</v>
      </c>
      <c r="Z39" s="11">
        <f>IFERROR(__xludf.DUMMYFUNCTION("""COMPUTED_VALUE"""),0.0)</f>
        <v>0</v>
      </c>
      <c r="AA39" s="11">
        <f>IFERROR(__xludf.DUMMYFUNCTION("""COMPUTED_VALUE"""),0.0)</f>
        <v>0</v>
      </c>
      <c r="AB39" s="11">
        <f>IFERROR(__xludf.DUMMYFUNCTION("""COMPUTED_VALUE"""),3.0)</f>
        <v>3</v>
      </c>
      <c r="AC39" s="11">
        <f>IFERROR(__xludf.DUMMYFUNCTION("""COMPUTED_VALUE"""),17.0)</f>
        <v>17</v>
      </c>
      <c r="AD39" s="11">
        <f>IFERROR(__xludf.DUMMYFUNCTION("""COMPUTED_VALUE"""),34.0)</f>
        <v>34</v>
      </c>
    </row>
    <row r="40">
      <c r="A40" s="10" t="str">
        <f>IFERROR(__xludf.DUMMYFUNCTION("""COMPUTED_VALUE"""),"Amateur")</f>
        <v>Amateur</v>
      </c>
      <c r="B40" s="10" t="str">
        <f>IFERROR(__xludf.DUMMYFUNCTION("""COMPUTED_VALUE"""),"RSC008402")</f>
        <v>RSC008402</v>
      </c>
      <c r="C40" s="10" t="str">
        <f>IFERROR(__xludf.DUMMYFUNCTION("""COMPUTED_VALUE"""),"TTV/DucksNotKeys")</f>
        <v>TTV/DucksNotKeys</v>
      </c>
      <c r="D40" s="36" t="str">
        <f>IFERROR(__xludf.DUMMYFUNCTION("""COMPUTED_VALUE"""),"Chimera")</f>
        <v>Chimera</v>
      </c>
      <c r="E40" s="10" t="str">
        <f>IFERROR(__xludf.DUMMYFUNCTION("""COMPUTED_VALUE"""),"N/A")</f>
        <v>N/A</v>
      </c>
      <c r="F40" s="37">
        <f>IFERROR(__xludf.DUMMYFUNCTION("""COMPUTED_VALUE"""),18.788859598271056)</f>
        <v>18.7888596</v>
      </c>
      <c r="G40" s="38">
        <f>IFERROR(__xludf.DUMMYFUNCTION("""COMPUTED_VALUE"""),27.646460537045737)</f>
        <v>27.64646054</v>
      </c>
      <c r="H40" s="38">
        <f>IFERROR(__xludf.DUMMYFUNCTION("""COMPUTED_VALUE"""),23.217660067658397)</f>
        <v>23.21766007</v>
      </c>
      <c r="I40" s="14">
        <f>IFERROR(__xludf.DUMMYFUNCTION("""COMPUTED_VALUE"""),14.0)</f>
        <v>14</v>
      </c>
      <c r="J40" s="11">
        <f>IFERROR(__xludf.DUMMYFUNCTION("IFERROR(FILTER(Stats!$F:$Z,(Stats!$A:$A=$A40)*(Stats!$B:$B=$B40)))"),4.0)</f>
        <v>4</v>
      </c>
      <c r="K40" s="11">
        <f>IFERROR(__xludf.DUMMYFUNCTION("""COMPUTED_VALUE"""),10.0)</f>
        <v>10</v>
      </c>
      <c r="L40" s="12">
        <f>IFERROR(__xludf.DUMMYFUNCTION("""COMPUTED_VALUE"""),0.2857142857142857)</f>
        <v>0.2857142857</v>
      </c>
      <c r="M40" s="11">
        <f>IFERROR(__xludf.DUMMYFUNCTION("""COMPUTED_VALUE"""),1.0)</f>
        <v>1</v>
      </c>
      <c r="N40" s="11">
        <f>IFERROR(__xludf.DUMMYFUNCTION("""COMPUTED_VALUE"""),3008.0)</f>
        <v>3008</v>
      </c>
      <c r="O40" s="13">
        <f>IFERROR(__xludf.DUMMYFUNCTION("""COMPUTED_VALUE"""),4.0)</f>
        <v>4</v>
      </c>
      <c r="P40" s="14">
        <f>IFERROR(__xludf.DUMMYFUNCTION("""COMPUTED_VALUE"""),5.0)</f>
        <v>5</v>
      </c>
      <c r="Q40" s="13">
        <f>IFERROR(__xludf.DUMMYFUNCTION("""COMPUTED_VALUE"""),11.0)</f>
        <v>11</v>
      </c>
      <c r="R40" s="13">
        <f>IFERROR(__xludf.DUMMYFUNCTION("""COMPUTED_VALUE"""),25.0)</f>
        <v>25</v>
      </c>
      <c r="S40" s="15">
        <f>IFERROR(__xludf.DUMMYFUNCTION("""COMPUTED_VALUE"""),0.16)</f>
        <v>0.16</v>
      </c>
      <c r="T40" s="16">
        <f>IFERROR(__xludf.DUMMYFUNCTION("""COMPUTED_VALUE"""),214.85714285714286)</f>
        <v>214.8571429</v>
      </c>
      <c r="U40" s="16">
        <f>IFERROR(__xludf.DUMMYFUNCTION("""COMPUTED_VALUE"""),0.2857142857142857)</f>
        <v>0.2857142857</v>
      </c>
      <c r="V40" s="16">
        <f>IFERROR(__xludf.DUMMYFUNCTION("""COMPUTED_VALUE"""),0.35714285714285715)</f>
        <v>0.3571428571</v>
      </c>
      <c r="W40" s="16">
        <f>IFERROR(__xludf.DUMMYFUNCTION("""COMPUTED_VALUE"""),0.7857142857142857)</f>
        <v>0.7857142857</v>
      </c>
      <c r="X40" s="16">
        <f>IFERROR(__xludf.DUMMYFUNCTION("""COMPUTED_VALUE"""),1.7857142857142858)</f>
        <v>1.785714286</v>
      </c>
      <c r="Y40" s="11">
        <f>IFERROR(__xludf.DUMMYFUNCTION("""COMPUTED_VALUE"""),1.0)</f>
        <v>1</v>
      </c>
      <c r="Z40" s="11">
        <f>IFERROR(__xludf.DUMMYFUNCTION("""COMPUTED_VALUE"""),0.0)</f>
        <v>0</v>
      </c>
      <c r="AA40" s="11">
        <f>IFERROR(__xludf.DUMMYFUNCTION("""COMPUTED_VALUE"""),1.0)</f>
        <v>1</v>
      </c>
      <c r="AB40" s="11">
        <f>IFERROR(__xludf.DUMMYFUNCTION("""COMPUTED_VALUE"""),0.0)</f>
        <v>0</v>
      </c>
      <c r="AC40" s="11">
        <f>IFERROR(__xludf.DUMMYFUNCTION("""COMPUTED_VALUE"""),11.0)</f>
        <v>11</v>
      </c>
      <c r="AD40" s="11">
        <f>IFERROR(__xludf.DUMMYFUNCTION("""COMPUTED_VALUE"""),7.0)</f>
        <v>7</v>
      </c>
    </row>
    <row r="41">
      <c r="A41" s="10" t="str">
        <f>IFERROR(__xludf.DUMMYFUNCTION("""COMPUTED_VALUE"""),"Amateur")</f>
        <v>Amateur</v>
      </c>
      <c r="B41" s="10" t="str">
        <f>IFERROR(__xludf.DUMMYFUNCTION("""COMPUTED_VALUE"""),"RSC008151")</f>
        <v>RSC008151</v>
      </c>
      <c r="C41" s="10" t="str">
        <f>IFERROR(__xludf.DUMMYFUNCTION("""COMPUTED_VALUE"""),"Extrakrispybecky")</f>
        <v>Extrakrispybecky</v>
      </c>
      <c r="D41" s="36" t="str">
        <f>IFERROR(__xludf.DUMMYFUNCTION("""COMPUTED_VALUE"""),"Kappa")</f>
        <v>Kappa</v>
      </c>
      <c r="E41" s="10" t="str">
        <f>IFERROR(__xludf.DUMMYFUNCTION("""COMPUTED_VALUE"""),"N/A")</f>
        <v>N/A</v>
      </c>
      <c r="F41" s="37">
        <f>IFERROR(__xludf.DUMMYFUNCTION("""COMPUTED_VALUE"""),15.265513534116828)</f>
        <v>15.26551353</v>
      </c>
      <c r="G41" s="38">
        <f>IFERROR(__xludf.DUMMYFUNCTION("""COMPUTED_VALUE"""),25.547063768002943)</f>
        <v>25.54706377</v>
      </c>
      <c r="H41" s="38">
        <f>IFERROR(__xludf.DUMMYFUNCTION("""COMPUTED_VALUE"""),20.406288651059885)</f>
        <v>20.40628865</v>
      </c>
      <c r="I41" s="14">
        <f>IFERROR(__xludf.DUMMYFUNCTION("""COMPUTED_VALUE"""),16.0)</f>
        <v>16</v>
      </c>
      <c r="J41" s="11">
        <f>IFERROR(__xludf.DUMMYFUNCTION("IFERROR(FILTER(Stats!$F:$Z,(Stats!$A:$A=$A41)*(Stats!$B:$B=$B41)))"),5.0)</f>
        <v>5</v>
      </c>
      <c r="K41" s="11">
        <f>IFERROR(__xludf.DUMMYFUNCTION("""COMPUTED_VALUE"""),11.0)</f>
        <v>11</v>
      </c>
      <c r="L41" s="12">
        <f>IFERROR(__xludf.DUMMYFUNCTION("""COMPUTED_VALUE"""),0.3125)</f>
        <v>0.3125</v>
      </c>
      <c r="M41" s="11">
        <f>IFERROR(__xludf.DUMMYFUNCTION("""COMPUTED_VALUE"""),0.0)</f>
        <v>0</v>
      </c>
      <c r="N41" s="11">
        <f>IFERROR(__xludf.DUMMYFUNCTION("""COMPUTED_VALUE"""),3739.0)</f>
        <v>3739</v>
      </c>
      <c r="O41" s="13">
        <f>IFERROR(__xludf.DUMMYFUNCTION("""COMPUTED_VALUE"""),8.0)</f>
        <v>8</v>
      </c>
      <c r="P41" s="14">
        <f>IFERROR(__xludf.DUMMYFUNCTION("""COMPUTED_VALUE"""),5.0)</f>
        <v>5</v>
      </c>
      <c r="Q41" s="13">
        <f>IFERROR(__xludf.DUMMYFUNCTION("""COMPUTED_VALUE"""),20.0)</f>
        <v>20</v>
      </c>
      <c r="R41" s="13">
        <f>IFERROR(__xludf.DUMMYFUNCTION("""COMPUTED_VALUE"""),19.0)</f>
        <v>19</v>
      </c>
      <c r="S41" s="15">
        <f>IFERROR(__xludf.DUMMYFUNCTION("""COMPUTED_VALUE"""),0.42105263157894735)</f>
        <v>0.4210526316</v>
      </c>
      <c r="T41" s="16">
        <f>IFERROR(__xludf.DUMMYFUNCTION("""COMPUTED_VALUE"""),233.6875)</f>
        <v>233.6875</v>
      </c>
      <c r="U41" s="16">
        <f>IFERROR(__xludf.DUMMYFUNCTION("""COMPUTED_VALUE"""),0.5)</f>
        <v>0.5</v>
      </c>
      <c r="V41" s="16">
        <f>IFERROR(__xludf.DUMMYFUNCTION("""COMPUTED_VALUE"""),0.3125)</f>
        <v>0.3125</v>
      </c>
      <c r="W41" s="16">
        <f>IFERROR(__xludf.DUMMYFUNCTION("""COMPUTED_VALUE"""),1.25)</f>
        <v>1.25</v>
      </c>
      <c r="X41" s="16">
        <f>IFERROR(__xludf.DUMMYFUNCTION("""COMPUTED_VALUE"""),1.1875)</f>
        <v>1.1875</v>
      </c>
      <c r="Y41" s="11">
        <f>IFERROR(__xludf.DUMMYFUNCTION("""COMPUTED_VALUE"""),1.0)</f>
        <v>1</v>
      </c>
      <c r="Z41" s="11">
        <f>IFERROR(__xludf.DUMMYFUNCTION("""COMPUTED_VALUE"""),0.0)</f>
        <v>0</v>
      </c>
      <c r="AA41" s="11">
        <f>IFERROR(__xludf.DUMMYFUNCTION("""COMPUTED_VALUE"""),0.0)</f>
        <v>0</v>
      </c>
      <c r="AB41" s="11">
        <f>IFERROR(__xludf.DUMMYFUNCTION("""COMPUTED_VALUE"""),1.0)</f>
        <v>1</v>
      </c>
      <c r="AC41" s="11">
        <f>IFERROR(__xludf.DUMMYFUNCTION("""COMPUTED_VALUE"""),21.0)</f>
        <v>21</v>
      </c>
      <c r="AD41" s="11">
        <f>IFERROR(__xludf.DUMMYFUNCTION("""COMPUTED_VALUE"""),14.0)</f>
        <v>14</v>
      </c>
    </row>
    <row r="42">
      <c r="A42" s="10" t="str">
        <f>IFERROR(__xludf.DUMMYFUNCTION("""COMPUTED_VALUE"""),"Amateur")</f>
        <v>Amateur</v>
      </c>
      <c r="B42" s="10" t="str">
        <f>IFERROR(__xludf.DUMMYFUNCTION("""COMPUTED_VALUE"""),"RSC007678")</f>
        <v>RSC007678</v>
      </c>
      <c r="C42" s="10" t="str">
        <f>IFERROR(__xludf.DUMMYFUNCTION("""COMPUTED_VALUE"""),"SavedHawk")</f>
        <v>SavedHawk</v>
      </c>
      <c r="D42" s="36" t="str">
        <f>IFERROR(__xludf.DUMMYFUNCTION("""COMPUTED_VALUE"""),"Winter Fresh")</f>
        <v>Winter Fresh</v>
      </c>
      <c r="E42" s="10" t="str">
        <f>IFERROR(__xludf.DUMMYFUNCTION("""COMPUTED_VALUE"""),"N/A")</f>
        <v>N/A</v>
      </c>
      <c r="F42" s="37">
        <f>IFERROR(__xludf.DUMMYFUNCTION("""COMPUTED_VALUE"""),-17.678656323291804)</f>
        <v>-17.67865632</v>
      </c>
      <c r="G42" s="38">
        <f>IFERROR(__xludf.DUMMYFUNCTION("""COMPUTED_VALUE"""),-0.5509846670849612)</f>
        <v>-0.5509846671</v>
      </c>
      <c r="H42" s="38">
        <f>IFERROR(__xludf.DUMMYFUNCTION("""COMPUTED_VALUE"""),-9.114820495188383)</f>
        <v>-9.114820495</v>
      </c>
      <c r="I42" s="14">
        <f>IFERROR(__xludf.DUMMYFUNCTION("""COMPUTED_VALUE"""),4.0)</f>
        <v>4</v>
      </c>
      <c r="J42" s="11">
        <f>IFERROR(__xludf.DUMMYFUNCTION("IFERROR(FILTER(Stats!$F:$Z,(Stats!$A:$A=$A42)*(Stats!$B:$B=$B42)))"),0.0)</f>
        <v>0</v>
      </c>
      <c r="K42" s="11">
        <f>IFERROR(__xludf.DUMMYFUNCTION("""COMPUTED_VALUE"""),4.0)</f>
        <v>4</v>
      </c>
      <c r="L42" s="12">
        <f>IFERROR(__xludf.DUMMYFUNCTION("""COMPUTED_VALUE"""),0.0)</f>
        <v>0</v>
      </c>
      <c r="M42" s="11">
        <f>IFERROR(__xludf.DUMMYFUNCTION("""COMPUTED_VALUE"""),0.0)</f>
        <v>0</v>
      </c>
      <c r="N42" s="11">
        <f>IFERROR(__xludf.DUMMYFUNCTION("""COMPUTED_VALUE"""),704.0)</f>
        <v>704</v>
      </c>
      <c r="O42" s="13">
        <f>IFERROR(__xludf.DUMMYFUNCTION("""COMPUTED_VALUE"""),1.0)</f>
        <v>1</v>
      </c>
      <c r="P42" s="14">
        <f>IFERROR(__xludf.DUMMYFUNCTION("""COMPUTED_VALUE"""),0.0)</f>
        <v>0</v>
      </c>
      <c r="Q42" s="13">
        <f>IFERROR(__xludf.DUMMYFUNCTION("""COMPUTED_VALUE"""),3.0)</f>
        <v>3</v>
      </c>
      <c r="R42" s="13">
        <f>IFERROR(__xludf.DUMMYFUNCTION("""COMPUTED_VALUE"""),2.0)</f>
        <v>2</v>
      </c>
      <c r="S42" s="15">
        <f>IFERROR(__xludf.DUMMYFUNCTION("""COMPUTED_VALUE"""),0.5)</f>
        <v>0.5</v>
      </c>
      <c r="T42" s="16">
        <f>IFERROR(__xludf.DUMMYFUNCTION("""COMPUTED_VALUE"""),176.0)</f>
        <v>176</v>
      </c>
      <c r="U42" s="16">
        <f>IFERROR(__xludf.DUMMYFUNCTION("""COMPUTED_VALUE"""),0.25)</f>
        <v>0.25</v>
      </c>
      <c r="V42" s="16">
        <f>IFERROR(__xludf.DUMMYFUNCTION("""COMPUTED_VALUE"""),0.0)</f>
        <v>0</v>
      </c>
      <c r="W42" s="16">
        <f>IFERROR(__xludf.DUMMYFUNCTION("""COMPUTED_VALUE"""),0.75)</f>
        <v>0.75</v>
      </c>
      <c r="X42" s="16">
        <f>IFERROR(__xludf.DUMMYFUNCTION("""COMPUTED_VALUE"""),0.5)</f>
        <v>0.5</v>
      </c>
      <c r="Y42" s="11">
        <f>IFERROR(__xludf.DUMMYFUNCTION("""COMPUTED_VALUE"""),0.0)</f>
        <v>0</v>
      </c>
      <c r="Z42" s="11">
        <f>IFERROR(__xludf.DUMMYFUNCTION("""COMPUTED_VALUE"""),0.0)</f>
        <v>0</v>
      </c>
      <c r="AA42" s="11">
        <f>IFERROR(__xludf.DUMMYFUNCTION("""COMPUTED_VALUE"""),0.0)</f>
        <v>0</v>
      </c>
      <c r="AB42" s="11">
        <f>IFERROR(__xludf.DUMMYFUNCTION("""COMPUTED_VALUE"""),0.0)</f>
        <v>0</v>
      </c>
      <c r="AC42" s="11">
        <f>IFERROR(__xludf.DUMMYFUNCTION("""COMPUTED_VALUE"""),3.0)</f>
        <v>3</v>
      </c>
      <c r="AD42" s="11">
        <f>IFERROR(__xludf.DUMMYFUNCTION("""COMPUTED_VALUE"""),6.0)</f>
        <v>6</v>
      </c>
    </row>
    <row r="43">
      <c r="A43" s="10" t="str">
        <f>IFERROR(__xludf.DUMMYFUNCTION("""COMPUTED_VALUE"""),"Amateur")</f>
        <v>Amateur</v>
      </c>
      <c r="B43" s="10" t="str">
        <f>IFERROR(__xludf.DUMMYFUNCTION("""COMPUTED_VALUE"""),"RSC006364")</f>
        <v>RSC006364</v>
      </c>
      <c r="C43" s="10" t="str">
        <f>IFERROR(__xludf.DUMMYFUNCTION("""COMPUTED_VALUE"""),"YT_rocketbrah")</f>
        <v>YT_rocketbrah</v>
      </c>
      <c r="D43" s="36" t="str">
        <f>IFERROR(__xludf.DUMMYFUNCTION("""COMPUTED_VALUE"""),"Legionaries")</f>
        <v>Legionaries</v>
      </c>
      <c r="E43" s="10" t="str">
        <f>IFERROR(__xludf.DUMMYFUNCTION("""COMPUTED_VALUE"""),"N/A")</f>
        <v>N/A</v>
      </c>
      <c r="F43" s="37">
        <f>IFERROR(__xludf.DUMMYFUNCTION("""COMPUTED_VALUE"""),-31.188058387739204)</f>
        <v>-31.18805839</v>
      </c>
      <c r="G43" s="38">
        <f>IFERROR(__xludf.DUMMYFUNCTION("""COMPUTED_VALUE"""),-5.299303725534173)</f>
        <v>-5.299303726</v>
      </c>
      <c r="H43" s="38">
        <f>IFERROR(__xludf.DUMMYFUNCTION("""COMPUTED_VALUE"""),-18.24368105663669)</f>
        <v>-18.24368106</v>
      </c>
      <c r="I43" s="14">
        <f>IFERROR(__xludf.DUMMYFUNCTION("""COMPUTED_VALUE"""),3.0)</f>
        <v>3</v>
      </c>
      <c r="J43" s="11">
        <f>IFERROR(__xludf.DUMMYFUNCTION("IFERROR(FILTER(Stats!$F:$Z,(Stats!$A:$A=$A43)*(Stats!$B:$B=$B43)))"),0.0)</f>
        <v>0</v>
      </c>
      <c r="K43" s="11">
        <f>IFERROR(__xludf.DUMMYFUNCTION("""COMPUTED_VALUE"""),3.0)</f>
        <v>3</v>
      </c>
      <c r="L43" s="12">
        <f>IFERROR(__xludf.DUMMYFUNCTION("""COMPUTED_VALUE"""),0.0)</f>
        <v>0</v>
      </c>
      <c r="M43" s="11">
        <f>IFERROR(__xludf.DUMMYFUNCTION("""COMPUTED_VALUE"""),0.0)</f>
        <v>0</v>
      </c>
      <c r="N43" s="11">
        <f>IFERROR(__xludf.DUMMYFUNCTION("""COMPUTED_VALUE"""),467.0)</f>
        <v>467</v>
      </c>
      <c r="O43" s="13">
        <f>IFERROR(__xludf.DUMMYFUNCTION("""COMPUTED_VALUE"""),0.0)</f>
        <v>0</v>
      </c>
      <c r="P43" s="14">
        <f>IFERROR(__xludf.DUMMYFUNCTION("""COMPUTED_VALUE"""),0.0)</f>
        <v>0</v>
      </c>
      <c r="Q43" s="13">
        <f>IFERROR(__xludf.DUMMYFUNCTION("""COMPUTED_VALUE"""),4.0)</f>
        <v>4</v>
      </c>
      <c r="R43" s="13">
        <f>IFERROR(__xludf.DUMMYFUNCTION("""COMPUTED_VALUE"""),3.0)</f>
        <v>3</v>
      </c>
      <c r="S43" s="15">
        <f>IFERROR(__xludf.DUMMYFUNCTION("""COMPUTED_VALUE"""),0.0)</f>
        <v>0</v>
      </c>
      <c r="T43" s="16">
        <f>IFERROR(__xludf.DUMMYFUNCTION("""COMPUTED_VALUE"""),155.66666666666666)</f>
        <v>155.6666667</v>
      </c>
      <c r="U43" s="16">
        <f>IFERROR(__xludf.DUMMYFUNCTION("""COMPUTED_VALUE"""),0.0)</f>
        <v>0</v>
      </c>
      <c r="V43" s="16">
        <f>IFERROR(__xludf.DUMMYFUNCTION("""COMPUTED_VALUE"""),0.0)</f>
        <v>0</v>
      </c>
      <c r="W43" s="16">
        <f>IFERROR(__xludf.DUMMYFUNCTION("""COMPUTED_VALUE"""),1.3333333333333333)</f>
        <v>1.333333333</v>
      </c>
      <c r="X43" s="16">
        <f>IFERROR(__xludf.DUMMYFUNCTION("""COMPUTED_VALUE"""),1.0)</f>
        <v>1</v>
      </c>
      <c r="Y43" s="11">
        <f>IFERROR(__xludf.DUMMYFUNCTION("""COMPUTED_VALUE"""),0.0)</f>
        <v>0</v>
      </c>
      <c r="Z43" s="11">
        <f>IFERROR(__xludf.DUMMYFUNCTION("""COMPUTED_VALUE"""),0.0)</f>
        <v>0</v>
      </c>
      <c r="AA43" s="11">
        <f>IFERROR(__xludf.DUMMYFUNCTION("""COMPUTED_VALUE"""),0.0)</f>
        <v>0</v>
      </c>
      <c r="AB43" s="11">
        <f>IFERROR(__xludf.DUMMYFUNCTION("""COMPUTED_VALUE"""),0.0)</f>
        <v>0</v>
      </c>
      <c r="AC43" s="11">
        <f>IFERROR(__xludf.DUMMYFUNCTION("""COMPUTED_VALUE"""),1.0)</f>
        <v>1</v>
      </c>
      <c r="AD43" s="11">
        <f>IFERROR(__xludf.DUMMYFUNCTION("""COMPUTED_VALUE"""),2.0)</f>
        <v>2</v>
      </c>
    </row>
    <row r="44">
      <c r="A44" s="10" t="str">
        <f>IFERROR(__xludf.DUMMYFUNCTION("""COMPUTED_VALUE"""),"Amateur")</f>
        <v>Amateur</v>
      </c>
      <c r="B44" s="10" t="str">
        <f>IFERROR(__xludf.DUMMYFUNCTION("""COMPUTED_VALUE"""),"RSC008489")</f>
        <v>RSC008489</v>
      </c>
      <c r="C44" s="10" t="str">
        <f>IFERROR(__xludf.DUMMYFUNCTION("""COMPUTED_VALUE"""),"nacho_nachos2")</f>
        <v>nacho_nachos2</v>
      </c>
      <c r="D44" s="36" t="str">
        <f>IFERROR(__xludf.DUMMYFUNCTION("""COMPUTED_VALUE"""),"Bombers")</f>
        <v>Bombers</v>
      </c>
      <c r="E44" s="10" t="str">
        <f>IFERROR(__xludf.DUMMYFUNCTION("""COMPUTED_VALUE"""),"N/A")</f>
        <v>N/A</v>
      </c>
      <c r="F44" s="37">
        <f>IFERROR(__xludf.DUMMYFUNCTION("""COMPUTED_VALUE"""),-45.10097464478005)</f>
        <v>-45.10097464</v>
      </c>
      <c r="G44" s="38">
        <f>IFERROR(__xludf.DUMMYFUNCTION("""COMPUTED_VALUE"""),-6.663296389554475)</f>
        <v>-6.66329639</v>
      </c>
      <c r="H44" s="38">
        <f>IFERROR(__xludf.DUMMYFUNCTION("""COMPUTED_VALUE"""),-25.882135517167264)</f>
        <v>-25.88213552</v>
      </c>
      <c r="I44" s="14">
        <f>IFERROR(__xludf.DUMMYFUNCTION("""COMPUTED_VALUE"""),4.0)</f>
        <v>4</v>
      </c>
      <c r="J44" s="11">
        <f>IFERROR(__xludf.DUMMYFUNCTION("IFERROR(FILTER(Stats!$F:$Z,(Stats!$A:$A=$A44)*(Stats!$B:$B=$B44)))"),1.0)</f>
        <v>1</v>
      </c>
      <c r="K44" s="11">
        <f>IFERROR(__xludf.DUMMYFUNCTION("""COMPUTED_VALUE"""),3.0)</f>
        <v>3</v>
      </c>
      <c r="L44" s="12">
        <f>IFERROR(__xludf.DUMMYFUNCTION("""COMPUTED_VALUE"""),0.25)</f>
        <v>0.25</v>
      </c>
      <c r="M44" s="11">
        <f>IFERROR(__xludf.DUMMYFUNCTION("""COMPUTED_VALUE"""),0.0)</f>
        <v>0</v>
      </c>
      <c r="N44" s="11">
        <f>IFERROR(__xludf.DUMMYFUNCTION("""COMPUTED_VALUE"""),361.0)</f>
        <v>361</v>
      </c>
      <c r="O44" s="13">
        <f>IFERROR(__xludf.DUMMYFUNCTION("""COMPUTED_VALUE"""),0.0)</f>
        <v>0</v>
      </c>
      <c r="P44" s="14">
        <f>IFERROR(__xludf.DUMMYFUNCTION("""COMPUTED_VALUE"""),0.0)</f>
        <v>0</v>
      </c>
      <c r="Q44" s="13">
        <f>IFERROR(__xludf.DUMMYFUNCTION("""COMPUTED_VALUE"""),2.0)</f>
        <v>2</v>
      </c>
      <c r="R44" s="13">
        <f>IFERROR(__xludf.DUMMYFUNCTION("""COMPUTED_VALUE"""),2.0)</f>
        <v>2</v>
      </c>
      <c r="S44" s="15">
        <f>IFERROR(__xludf.DUMMYFUNCTION("""COMPUTED_VALUE"""),0.0)</f>
        <v>0</v>
      </c>
      <c r="T44" s="16">
        <f>IFERROR(__xludf.DUMMYFUNCTION("""COMPUTED_VALUE"""),90.25)</f>
        <v>90.25</v>
      </c>
      <c r="U44" s="16">
        <f>IFERROR(__xludf.DUMMYFUNCTION("""COMPUTED_VALUE"""),0.0)</f>
        <v>0</v>
      </c>
      <c r="V44" s="16">
        <f>IFERROR(__xludf.DUMMYFUNCTION("""COMPUTED_VALUE"""),0.0)</f>
        <v>0</v>
      </c>
      <c r="W44" s="16">
        <f>IFERROR(__xludf.DUMMYFUNCTION("""COMPUTED_VALUE"""),0.5)</f>
        <v>0.5</v>
      </c>
      <c r="X44" s="16">
        <f>IFERROR(__xludf.DUMMYFUNCTION("""COMPUTED_VALUE"""),0.5)</f>
        <v>0.5</v>
      </c>
      <c r="Y44" s="11">
        <f>IFERROR(__xludf.DUMMYFUNCTION("""COMPUTED_VALUE"""),0.0)</f>
        <v>0</v>
      </c>
      <c r="Z44" s="11">
        <f>IFERROR(__xludf.DUMMYFUNCTION("""COMPUTED_VALUE"""),0.0)</f>
        <v>0</v>
      </c>
      <c r="AA44" s="11">
        <f>IFERROR(__xludf.DUMMYFUNCTION("""COMPUTED_VALUE"""),0.0)</f>
        <v>0</v>
      </c>
      <c r="AB44" s="11">
        <f>IFERROR(__xludf.DUMMYFUNCTION("""COMPUTED_VALUE"""),0.0)</f>
        <v>0</v>
      </c>
      <c r="AC44" s="11">
        <f>IFERROR(__xludf.DUMMYFUNCTION("""COMPUTED_VALUE"""),0.0)</f>
        <v>0</v>
      </c>
      <c r="AD44" s="11">
        <f>IFERROR(__xludf.DUMMYFUNCTION("""COMPUTED_VALUE"""),2.0)</f>
        <v>2</v>
      </c>
    </row>
    <row r="45">
      <c r="A45" s="10" t="str">
        <f>IFERROR(__xludf.DUMMYFUNCTION("""COMPUTED_VALUE"""),"Challenger")</f>
        <v>Challenger</v>
      </c>
      <c r="B45" s="10" t="str">
        <f>IFERROR(__xludf.DUMMYFUNCTION("""COMPUTED_VALUE"""),"RSC002412")</f>
        <v>RSC002412</v>
      </c>
      <c r="C45" s="10" t="str">
        <f>IFERROR(__xludf.DUMMYFUNCTION("""COMPUTED_VALUE"""),"Rosefanatic3615")</f>
        <v>Rosefanatic3615</v>
      </c>
      <c r="D45" s="36" t="str">
        <f>IFERROR(__xludf.DUMMYFUNCTION("""COMPUTED_VALUE"""),"Manticore")</f>
        <v>Manticore</v>
      </c>
      <c r="E45" s="10" t="str">
        <f>IFERROR(__xludf.DUMMYFUNCTION("""COMPUTED_VALUE"""),"Solar")</f>
        <v>Solar</v>
      </c>
      <c r="F45" s="37">
        <f>IFERROR(__xludf.DUMMYFUNCTION("""COMPUTED_VALUE"""),88.10121453576465)</f>
        <v>88.10121454</v>
      </c>
      <c r="G45" s="38">
        <f>IFERROR(__xludf.DUMMYFUNCTION("""COMPUTED_VALUE"""),121.25973872794016)</f>
        <v>121.2597387</v>
      </c>
      <c r="H45" s="38">
        <f>IFERROR(__xludf.DUMMYFUNCTION("""COMPUTED_VALUE"""),104.6804766318524)</f>
        <v>104.6804766</v>
      </c>
      <c r="I45" s="14">
        <f>IFERROR(__xludf.DUMMYFUNCTION("""COMPUTED_VALUE"""),56.0)</f>
        <v>56</v>
      </c>
      <c r="J45" s="11">
        <f>IFERROR(__xludf.DUMMYFUNCTION("IFERROR(FILTER(Stats!$F:$Z,(Stats!$A:$A=$A45)*(Stats!$B:$B=$B45)))"),40.0)</f>
        <v>40</v>
      </c>
      <c r="K45" s="11">
        <f>IFERROR(__xludf.DUMMYFUNCTION("""COMPUTED_VALUE"""),16.0)</f>
        <v>16</v>
      </c>
      <c r="L45" s="12">
        <f>IFERROR(__xludf.DUMMYFUNCTION("""COMPUTED_VALUE"""),0.7142857142857143)</f>
        <v>0.7142857143</v>
      </c>
      <c r="M45" s="11">
        <f>IFERROR(__xludf.DUMMYFUNCTION("""COMPUTED_VALUE"""),14.0)</f>
        <v>14</v>
      </c>
      <c r="N45" s="11">
        <f>IFERROR(__xludf.DUMMYFUNCTION("""COMPUTED_VALUE"""),22611.0)</f>
        <v>22611</v>
      </c>
      <c r="O45" s="13">
        <f>IFERROR(__xludf.DUMMYFUNCTION("""COMPUTED_VALUE"""),73.0)</f>
        <v>73</v>
      </c>
      <c r="P45" s="14">
        <f>IFERROR(__xludf.DUMMYFUNCTION("""COMPUTED_VALUE"""),48.0)</f>
        <v>48</v>
      </c>
      <c r="Q45" s="13">
        <f>IFERROR(__xludf.DUMMYFUNCTION("""COMPUTED_VALUE"""),47.0)</f>
        <v>47</v>
      </c>
      <c r="R45" s="13">
        <f>IFERROR(__xludf.DUMMYFUNCTION("""COMPUTED_VALUE"""),208.0)</f>
        <v>208</v>
      </c>
      <c r="S45" s="15">
        <f>IFERROR(__xludf.DUMMYFUNCTION("""COMPUTED_VALUE"""),0.35096153846153844)</f>
        <v>0.3509615385</v>
      </c>
      <c r="T45" s="16">
        <f>IFERROR(__xludf.DUMMYFUNCTION("""COMPUTED_VALUE"""),403.76785714285717)</f>
        <v>403.7678571</v>
      </c>
      <c r="U45" s="16">
        <f>IFERROR(__xludf.DUMMYFUNCTION("""COMPUTED_VALUE"""),1.3035714285714286)</f>
        <v>1.303571429</v>
      </c>
      <c r="V45" s="16">
        <f>IFERROR(__xludf.DUMMYFUNCTION("""COMPUTED_VALUE"""),0.8571428571428571)</f>
        <v>0.8571428571</v>
      </c>
      <c r="W45" s="16">
        <f>IFERROR(__xludf.DUMMYFUNCTION("""COMPUTED_VALUE"""),0.8392857142857143)</f>
        <v>0.8392857143</v>
      </c>
      <c r="X45" s="16">
        <f>IFERROR(__xludf.DUMMYFUNCTION("""COMPUTED_VALUE"""),3.7142857142857144)</f>
        <v>3.714285714</v>
      </c>
      <c r="Y45" s="11">
        <f>IFERROR(__xludf.DUMMYFUNCTION("""COMPUTED_VALUE"""),18.0)</f>
        <v>18</v>
      </c>
      <c r="Z45" s="11">
        <f>IFERROR(__xludf.DUMMYFUNCTION("""COMPUTED_VALUE"""),6.0)</f>
        <v>6</v>
      </c>
      <c r="AA45" s="11">
        <f>IFERROR(__xludf.DUMMYFUNCTION("""COMPUTED_VALUE"""),1.0)</f>
        <v>1</v>
      </c>
      <c r="AB45" s="11">
        <f>IFERROR(__xludf.DUMMYFUNCTION("""COMPUTED_VALUE"""),2.0)</f>
        <v>2</v>
      </c>
      <c r="AC45" s="11">
        <f>IFERROR(__xludf.DUMMYFUNCTION("""COMPUTED_VALUE"""),35.0)</f>
        <v>35</v>
      </c>
      <c r="AD45" s="11">
        <f>IFERROR(__xludf.DUMMYFUNCTION("""COMPUTED_VALUE"""),58.0)</f>
        <v>58</v>
      </c>
    </row>
    <row r="46">
      <c r="A46" s="10" t="str">
        <f>IFERROR(__xludf.DUMMYFUNCTION("""COMPUTED_VALUE"""),"Challenger")</f>
        <v>Challenger</v>
      </c>
      <c r="B46" s="10" t="str">
        <f>IFERROR(__xludf.DUMMYFUNCTION("""COMPUTED_VALUE"""),"RSC008288")</f>
        <v>RSC008288</v>
      </c>
      <c r="C46" s="10" t="str">
        <f>IFERROR(__xludf.DUMMYFUNCTION("""COMPUTED_VALUE"""),"WifiWFB")</f>
        <v>WifiWFB</v>
      </c>
      <c r="D46" s="36" t="str">
        <f>IFERROR(__xludf.DUMMYFUNCTION("""COMPUTED_VALUE"""),"Thunder Pups
Blitzars")</f>
        <v>Thunder Pups
Blitzars</v>
      </c>
      <c r="E46" s="10" t="str">
        <f>IFERROR(__xludf.DUMMYFUNCTION("""COMPUTED_VALUE"""),"Solar
Lunar")</f>
        <v>Solar
Lunar</v>
      </c>
      <c r="F46" s="37">
        <f>IFERROR(__xludf.DUMMYFUNCTION("""COMPUTED_VALUE"""),93.24830031633488)</f>
        <v>93.24830032</v>
      </c>
      <c r="G46" s="38">
        <f>IFERROR(__xludf.DUMMYFUNCTION("""COMPUTED_VALUE"""),102.63537436929053)</f>
        <v>102.6353744</v>
      </c>
      <c r="H46" s="38">
        <f>IFERROR(__xludf.DUMMYFUNCTION("""COMPUTED_VALUE"""),97.9418373428127)</f>
        <v>97.94183734</v>
      </c>
      <c r="I46" s="14">
        <f>IFERROR(__xludf.DUMMYFUNCTION("""COMPUTED_VALUE"""),36.0)</f>
        <v>36</v>
      </c>
      <c r="J46" s="11">
        <f>IFERROR(__xludf.DUMMYFUNCTION("IFERROR(FILTER(Stats!$F:$Z,(Stats!$A:$A=$A46)*(Stats!$B:$B=$B46)))"),27.0)</f>
        <v>27</v>
      </c>
      <c r="K46" s="11">
        <f>IFERROR(__xludf.DUMMYFUNCTION("""COMPUTED_VALUE"""),9.0)</f>
        <v>9</v>
      </c>
      <c r="L46" s="12">
        <f>IFERROR(__xludf.DUMMYFUNCTION("""COMPUTED_VALUE"""),0.75)</f>
        <v>0.75</v>
      </c>
      <c r="M46" s="11">
        <f>IFERROR(__xludf.DUMMYFUNCTION("""COMPUTED_VALUE"""),13.0)</f>
        <v>13</v>
      </c>
      <c r="N46" s="11">
        <f>IFERROR(__xludf.DUMMYFUNCTION("""COMPUTED_VALUE"""),14832.0)</f>
        <v>14832</v>
      </c>
      <c r="O46" s="13">
        <f>IFERROR(__xludf.DUMMYFUNCTION("""COMPUTED_VALUE"""),44.0)</f>
        <v>44</v>
      </c>
      <c r="P46" s="14">
        <f>IFERROR(__xludf.DUMMYFUNCTION("""COMPUTED_VALUE"""),25.0)</f>
        <v>25</v>
      </c>
      <c r="Q46" s="13">
        <f>IFERROR(__xludf.DUMMYFUNCTION("""COMPUTED_VALUE"""),48.0)</f>
        <v>48</v>
      </c>
      <c r="R46" s="13">
        <f>IFERROR(__xludf.DUMMYFUNCTION("""COMPUTED_VALUE"""),115.0)</f>
        <v>115</v>
      </c>
      <c r="S46" s="15">
        <f>IFERROR(__xludf.DUMMYFUNCTION("""COMPUTED_VALUE"""),0.3826086956521739)</f>
        <v>0.3826086957</v>
      </c>
      <c r="T46" s="16">
        <f>IFERROR(__xludf.DUMMYFUNCTION("""COMPUTED_VALUE"""),412.0)</f>
        <v>412</v>
      </c>
      <c r="U46" s="16">
        <f>IFERROR(__xludf.DUMMYFUNCTION("""COMPUTED_VALUE"""),1.2222222222222223)</f>
        <v>1.222222222</v>
      </c>
      <c r="V46" s="16">
        <f>IFERROR(__xludf.DUMMYFUNCTION("""COMPUTED_VALUE"""),0.6944444444444444)</f>
        <v>0.6944444444</v>
      </c>
      <c r="W46" s="16">
        <f>IFERROR(__xludf.DUMMYFUNCTION("""COMPUTED_VALUE"""),1.3333333333333333)</f>
        <v>1.333333333</v>
      </c>
      <c r="X46" s="16">
        <f>IFERROR(__xludf.DUMMYFUNCTION("""COMPUTED_VALUE"""),3.1944444444444446)</f>
        <v>3.194444444</v>
      </c>
      <c r="Y46" s="11">
        <f>IFERROR(__xludf.DUMMYFUNCTION("""COMPUTED_VALUE"""),9.0)</f>
        <v>9</v>
      </c>
      <c r="Z46" s="11">
        <f>IFERROR(__xludf.DUMMYFUNCTION("""COMPUTED_VALUE"""),3.0)</f>
        <v>3</v>
      </c>
      <c r="AA46" s="11">
        <f>IFERROR(__xludf.DUMMYFUNCTION("""COMPUTED_VALUE"""),1.0)</f>
        <v>1</v>
      </c>
      <c r="AB46" s="11">
        <f>IFERROR(__xludf.DUMMYFUNCTION("""COMPUTED_VALUE"""),7.0)</f>
        <v>7</v>
      </c>
      <c r="AC46" s="11">
        <f>IFERROR(__xludf.DUMMYFUNCTION("""COMPUTED_VALUE"""),89.0)</f>
        <v>89</v>
      </c>
      <c r="AD46" s="11">
        <f>IFERROR(__xludf.DUMMYFUNCTION("""COMPUTED_VALUE"""),22.0)</f>
        <v>22</v>
      </c>
    </row>
    <row r="47">
      <c r="A47" s="10" t="str">
        <f>IFERROR(__xludf.DUMMYFUNCTION("""COMPUTED_VALUE"""),"Challenger")</f>
        <v>Challenger</v>
      </c>
      <c r="B47" s="10" t="str">
        <f>IFERROR(__xludf.DUMMYFUNCTION("""COMPUTED_VALUE"""),"RSC006477")</f>
        <v>RSC006477</v>
      </c>
      <c r="C47" s="10" t="str">
        <f>IFERROR(__xludf.DUMMYFUNCTION("""COMPUTED_VALUE"""),"XtraCrispyRL")</f>
        <v>XtraCrispyRL</v>
      </c>
      <c r="D47" s="36" t="str">
        <f>IFERROR(__xludf.DUMMYFUNCTION("""COMPUTED_VALUE"""),"Void")</f>
        <v>Void</v>
      </c>
      <c r="E47" s="10" t="str">
        <f>IFERROR(__xludf.DUMMYFUNCTION("""COMPUTED_VALUE"""),"Solar")</f>
        <v>Solar</v>
      </c>
      <c r="F47" s="37">
        <f>IFERROR(__xludf.DUMMYFUNCTION("""COMPUTED_VALUE"""),93.6553865551164)</f>
        <v>93.65538656</v>
      </c>
      <c r="G47" s="38">
        <f>IFERROR(__xludf.DUMMYFUNCTION("""COMPUTED_VALUE"""),99.00857746509288)</f>
        <v>99.00857747</v>
      </c>
      <c r="H47" s="38">
        <f>IFERROR(__xludf.DUMMYFUNCTION("""COMPUTED_VALUE"""),96.33198201010464)</f>
        <v>96.33198201</v>
      </c>
      <c r="I47" s="14">
        <f>IFERROR(__xludf.DUMMYFUNCTION("""COMPUTED_VALUE"""),46.0)</f>
        <v>46</v>
      </c>
      <c r="J47" s="11">
        <f>IFERROR(__xludf.DUMMYFUNCTION("IFERROR(FILTER(Stats!$F:$Z,(Stats!$A:$A=$A47)*(Stats!$B:$B=$B47)))"),21.0)</f>
        <v>21</v>
      </c>
      <c r="K47" s="11">
        <f>IFERROR(__xludf.DUMMYFUNCTION("""COMPUTED_VALUE"""),25.0)</f>
        <v>25</v>
      </c>
      <c r="L47" s="12">
        <f>IFERROR(__xludf.DUMMYFUNCTION("""COMPUTED_VALUE"""),0.45652173913043476)</f>
        <v>0.4565217391</v>
      </c>
      <c r="M47" s="11">
        <f>IFERROR(__xludf.DUMMYFUNCTION("""COMPUTED_VALUE"""),12.0)</f>
        <v>12</v>
      </c>
      <c r="N47" s="11">
        <f>IFERROR(__xludf.DUMMYFUNCTION("""COMPUTED_VALUE"""),20379.0)</f>
        <v>20379</v>
      </c>
      <c r="O47" s="13">
        <f>IFERROR(__xludf.DUMMYFUNCTION("""COMPUTED_VALUE"""),57.0)</f>
        <v>57</v>
      </c>
      <c r="P47" s="14">
        <f>IFERROR(__xludf.DUMMYFUNCTION("""COMPUTED_VALUE"""),29.0)</f>
        <v>29</v>
      </c>
      <c r="Q47" s="13">
        <f>IFERROR(__xludf.DUMMYFUNCTION("""COMPUTED_VALUE"""),70.0)</f>
        <v>70</v>
      </c>
      <c r="R47" s="13">
        <f>IFERROR(__xludf.DUMMYFUNCTION("""COMPUTED_VALUE"""),171.0)</f>
        <v>171</v>
      </c>
      <c r="S47" s="15">
        <f>IFERROR(__xludf.DUMMYFUNCTION("""COMPUTED_VALUE"""),0.3333333333333333)</f>
        <v>0.3333333333</v>
      </c>
      <c r="T47" s="16">
        <f>IFERROR(__xludf.DUMMYFUNCTION("""COMPUTED_VALUE"""),443.0217391304348)</f>
        <v>443.0217391</v>
      </c>
      <c r="U47" s="16">
        <f>IFERROR(__xludf.DUMMYFUNCTION("""COMPUTED_VALUE"""),1.2391304347826086)</f>
        <v>1.239130435</v>
      </c>
      <c r="V47" s="16">
        <f>IFERROR(__xludf.DUMMYFUNCTION("""COMPUTED_VALUE"""),0.6304347826086957)</f>
        <v>0.6304347826</v>
      </c>
      <c r="W47" s="16">
        <f>IFERROR(__xludf.DUMMYFUNCTION("""COMPUTED_VALUE"""),1.5217391304347827)</f>
        <v>1.52173913</v>
      </c>
      <c r="X47" s="16">
        <f>IFERROR(__xludf.DUMMYFUNCTION("""COMPUTED_VALUE"""),3.717391304347826)</f>
        <v>3.717391304</v>
      </c>
      <c r="Y47" s="11">
        <f>IFERROR(__xludf.DUMMYFUNCTION("""COMPUTED_VALUE"""),14.0)</f>
        <v>14</v>
      </c>
      <c r="Z47" s="11">
        <f>IFERROR(__xludf.DUMMYFUNCTION("""COMPUTED_VALUE"""),8.0)</f>
        <v>8</v>
      </c>
      <c r="AA47" s="11">
        <f>IFERROR(__xludf.DUMMYFUNCTION("""COMPUTED_VALUE"""),3.0)</f>
        <v>3</v>
      </c>
      <c r="AB47" s="11">
        <f>IFERROR(__xludf.DUMMYFUNCTION("""COMPUTED_VALUE"""),10.0)</f>
        <v>10</v>
      </c>
      <c r="AC47" s="11">
        <f>IFERROR(__xludf.DUMMYFUNCTION("""COMPUTED_VALUE"""),28.0)</f>
        <v>28</v>
      </c>
      <c r="AD47" s="11">
        <f>IFERROR(__xludf.DUMMYFUNCTION("""COMPUTED_VALUE"""),44.0)</f>
        <v>44</v>
      </c>
    </row>
    <row r="48">
      <c r="A48" s="10" t="str">
        <f>IFERROR(__xludf.DUMMYFUNCTION("""COMPUTED_VALUE"""),"Challenger")</f>
        <v>Challenger</v>
      </c>
      <c r="B48" s="10" t="str">
        <f>IFERROR(__xludf.DUMMYFUNCTION("""COMPUTED_VALUE"""),"RSC008454")</f>
        <v>RSC008454</v>
      </c>
      <c r="C48" s="10" t="str">
        <f>IFERROR(__xludf.DUMMYFUNCTION("""COMPUTED_VALUE"""),"Worma")</f>
        <v>Worma</v>
      </c>
      <c r="D48" s="36" t="str">
        <f>IFERROR(__xludf.DUMMYFUNCTION("""COMPUTED_VALUE"""),"Blitzars")</f>
        <v>Blitzars</v>
      </c>
      <c r="E48" s="10" t="str">
        <f>IFERROR(__xludf.DUMMYFUNCTION("""COMPUTED_VALUE"""),"Lunar")</f>
        <v>Lunar</v>
      </c>
      <c r="F48" s="37">
        <f>IFERROR(__xludf.DUMMYFUNCTION("""COMPUTED_VALUE"""),88.74814519888562)</f>
        <v>88.7481452</v>
      </c>
      <c r="G48" s="38">
        <f>IFERROR(__xludf.DUMMYFUNCTION("""COMPUTED_VALUE"""),90.26671848285659)</f>
        <v>90.26671848</v>
      </c>
      <c r="H48" s="38">
        <f>IFERROR(__xludf.DUMMYFUNCTION("""COMPUTED_VALUE"""),89.5074318408711)</f>
        <v>89.50743184</v>
      </c>
      <c r="I48" s="14">
        <f>IFERROR(__xludf.DUMMYFUNCTION("""COMPUTED_VALUE"""),49.0)</f>
        <v>49</v>
      </c>
      <c r="J48" s="11">
        <f>IFERROR(__xludf.DUMMYFUNCTION("IFERROR(FILTER(Stats!$F:$Z,(Stats!$A:$A=$A48)*(Stats!$B:$B=$B48)))"),28.0)</f>
        <v>28</v>
      </c>
      <c r="K48" s="11">
        <f>IFERROR(__xludf.DUMMYFUNCTION("""COMPUTED_VALUE"""),21.0)</f>
        <v>21</v>
      </c>
      <c r="L48" s="12">
        <f>IFERROR(__xludf.DUMMYFUNCTION("""COMPUTED_VALUE"""),0.5714285714285714)</f>
        <v>0.5714285714</v>
      </c>
      <c r="M48" s="11">
        <f>IFERROR(__xludf.DUMMYFUNCTION("""COMPUTED_VALUE"""),16.0)</f>
        <v>16</v>
      </c>
      <c r="N48" s="11">
        <f>IFERROR(__xludf.DUMMYFUNCTION("""COMPUTED_VALUE"""),20088.0)</f>
        <v>20088</v>
      </c>
      <c r="O48" s="13">
        <f>IFERROR(__xludf.DUMMYFUNCTION("""COMPUTED_VALUE"""),54.0)</f>
        <v>54</v>
      </c>
      <c r="P48" s="14">
        <f>IFERROR(__xludf.DUMMYFUNCTION("""COMPUTED_VALUE"""),29.0)</f>
        <v>29</v>
      </c>
      <c r="Q48" s="13">
        <f>IFERROR(__xludf.DUMMYFUNCTION("""COMPUTED_VALUE"""),65.0)</f>
        <v>65</v>
      </c>
      <c r="R48" s="13">
        <f>IFERROR(__xludf.DUMMYFUNCTION("""COMPUTED_VALUE"""),158.0)</f>
        <v>158</v>
      </c>
      <c r="S48" s="15">
        <f>IFERROR(__xludf.DUMMYFUNCTION("""COMPUTED_VALUE"""),0.34177215189873417)</f>
        <v>0.3417721519</v>
      </c>
      <c r="T48" s="16">
        <f>IFERROR(__xludf.DUMMYFUNCTION("""COMPUTED_VALUE"""),409.9591836734694)</f>
        <v>409.9591837</v>
      </c>
      <c r="U48" s="16">
        <f>IFERROR(__xludf.DUMMYFUNCTION("""COMPUTED_VALUE"""),1.1020408163265305)</f>
        <v>1.102040816</v>
      </c>
      <c r="V48" s="16">
        <f>IFERROR(__xludf.DUMMYFUNCTION("""COMPUTED_VALUE"""),0.5918367346938775)</f>
        <v>0.5918367347</v>
      </c>
      <c r="W48" s="16">
        <f>IFERROR(__xludf.DUMMYFUNCTION("""COMPUTED_VALUE"""),1.3265306122448979)</f>
        <v>1.326530612</v>
      </c>
      <c r="X48" s="16">
        <f>IFERROR(__xludf.DUMMYFUNCTION("""COMPUTED_VALUE"""),3.2244897959183674)</f>
        <v>3.224489796</v>
      </c>
      <c r="Y48" s="11">
        <f>IFERROR(__xludf.DUMMYFUNCTION("""COMPUTED_VALUE"""),12.0)</f>
        <v>12</v>
      </c>
      <c r="Z48" s="11">
        <f>IFERROR(__xludf.DUMMYFUNCTION("""COMPUTED_VALUE"""),6.0)</f>
        <v>6</v>
      </c>
      <c r="AA48" s="11">
        <f>IFERROR(__xludf.DUMMYFUNCTION("""COMPUTED_VALUE"""),2.0)</f>
        <v>2</v>
      </c>
      <c r="AB48" s="11">
        <f>IFERROR(__xludf.DUMMYFUNCTION("""COMPUTED_VALUE"""),9.0)</f>
        <v>9</v>
      </c>
      <c r="AC48" s="11">
        <f>IFERROR(__xludf.DUMMYFUNCTION("""COMPUTED_VALUE"""),25.0)</f>
        <v>25</v>
      </c>
      <c r="AD48" s="11">
        <f>IFERROR(__xludf.DUMMYFUNCTION("""COMPUTED_VALUE"""),38.0)</f>
        <v>38</v>
      </c>
    </row>
    <row r="49">
      <c r="A49" s="10" t="str">
        <f>IFERROR(__xludf.DUMMYFUNCTION("""COMPUTED_VALUE"""),"Challenger")</f>
        <v>Challenger</v>
      </c>
      <c r="B49" s="10" t="str">
        <f>IFERROR(__xludf.DUMMYFUNCTION("""COMPUTED_VALUE"""),"RSC006240")</f>
        <v>RSC006240</v>
      </c>
      <c r="C49" s="10" t="str">
        <f>IFERROR(__xludf.DUMMYFUNCTION("""COMPUTED_VALUE"""),"Canadian Gamer")</f>
        <v>Canadian Gamer</v>
      </c>
      <c r="D49" s="36" t="str">
        <f>IFERROR(__xludf.DUMMYFUNCTION("""COMPUTED_VALUE"""),"Manticore")</f>
        <v>Manticore</v>
      </c>
      <c r="E49" s="10" t="str">
        <f>IFERROR(__xludf.DUMMYFUNCTION("""COMPUTED_VALUE"""),"Solar")</f>
        <v>Solar</v>
      </c>
      <c r="F49" s="37">
        <f>IFERROR(__xludf.DUMMYFUNCTION("""COMPUTED_VALUE"""),73.70759829650235)</f>
        <v>73.7075983</v>
      </c>
      <c r="G49" s="38">
        <f>IFERROR(__xludf.DUMMYFUNCTION("""COMPUTED_VALUE"""),103.16323194465882)</f>
        <v>103.1632319</v>
      </c>
      <c r="H49" s="38">
        <f>IFERROR(__xludf.DUMMYFUNCTION("""COMPUTED_VALUE"""),88.43541512058059)</f>
        <v>88.43541512</v>
      </c>
      <c r="I49" s="14">
        <f>IFERROR(__xludf.DUMMYFUNCTION("""COMPUTED_VALUE"""),52.0)</f>
        <v>52</v>
      </c>
      <c r="J49" s="11">
        <f>IFERROR(__xludf.DUMMYFUNCTION("IFERROR(FILTER(Stats!$F:$Z,(Stats!$A:$A=$A49)*(Stats!$B:$B=$B49)))"),39.0)</f>
        <v>39</v>
      </c>
      <c r="K49" s="11">
        <f>IFERROR(__xludf.DUMMYFUNCTION("""COMPUTED_VALUE"""),13.0)</f>
        <v>13</v>
      </c>
      <c r="L49" s="12">
        <f>IFERROR(__xludf.DUMMYFUNCTION("""COMPUTED_VALUE"""),0.75)</f>
        <v>0.75</v>
      </c>
      <c r="M49" s="11">
        <f>IFERROR(__xludf.DUMMYFUNCTION("""COMPUTED_VALUE"""),14.0)</f>
        <v>14</v>
      </c>
      <c r="N49" s="11">
        <f>IFERROR(__xludf.DUMMYFUNCTION("""COMPUTED_VALUE"""),20440.0)</f>
        <v>20440</v>
      </c>
      <c r="O49" s="13">
        <f>IFERROR(__xludf.DUMMYFUNCTION("""COMPUTED_VALUE"""),65.0)</f>
        <v>65</v>
      </c>
      <c r="P49" s="14">
        <f>IFERROR(__xludf.DUMMYFUNCTION("""COMPUTED_VALUE"""),38.0)</f>
        <v>38</v>
      </c>
      <c r="Q49" s="13">
        <f>IFERROR(__xludf.DUMMYFUNCTION("""COMPUTED_VALUE"""),60.0)</f>
        <v>60</v>
      </c>
      <c r="R49" s="13">
        <f>IFERROR(__xludf.DUMMYFUNCTION("""COMPUTED_VALUE"""),157.0)</f>
        <v>157</v>
      </c>
      <c r="S49" s="15">
        <f>IFERROR(__xludf.DUMMYFUNCTION("""COMPUTED_VALUE"""),0.4140127388535032)</f>
        <v>0.4140127389</v>
      </c>
      <c r="T49" s="16">
        <f>IFERROR(__xludf.DUMMYFUNCTION("""COMPUTED_VALUE"""),393.0769230769231)</f>
        <v>393.0769231</v>
      </c>
      <c r="U49" s="16">
        <f>IFERROR(__xludf.DUMMYFUNCTION("""COMPUTED_VALUE"""),1.25)</f>
        <v>1.25</v>
      </c>
      <c r="V49" s="16">
        <f>IFERROR(__xludf.DUMMYFUNCTION("""COMPUTED_VALUE"""),0.7307692307692307)</f>
        <v>0.7307692308</v>
      </c>
      <c r="W49" s="16">
        <f>IFERROR(__xludf.DUMMYFUNCTION("""COMPUTED_VALUE"""),1.1538461538461537)</f>
        <v>1.153846154</v>
      </c>
      <c r="X49" s="16">
        <f>IFERROR(__xludf.DUMMYFUNCTION("""COMPUTED_VALUE"""),3.019230769230769)</f>
        <v>3.019230769</v>
      </c>
      <c r="Y49" s="11">
        <f>IFERROR(__xludf.DUMMYFUNCTION("""COMPUTED_VALUE"""),13.0)</f>
        <v>13</v>
      </c>
      <c r="Z49" s="11">
        <f>IFERROR(__xludf.DUMMYFUNCTION("""COMPUTED_VALUE"""),6.0)</f>
        <v>6</v>
      </c>
      <c r="AA49" s="11">
        <f>IFERROR(__xludf.DUMMYFUNCTION("""COMPUTED_VALUE"""),3.0)</f>
        <v>3</v>
      </c>
      <c r="AB49" s="11">
        <f>IFERROR(__xludf.DUMMYFUNCTION("""COMPUTED_VALUE"""),8.0)</f>
        <v>8</v>
      </c>
      <c r="AC49" s="11">
        <f>IFERROR(__xludf.DUMMYFUNCTION("""COMPUTED_VALUE"""),46.0)</f>
        <v>46</v>
      </c>
      <c r="AD49" s="11">
        <f>IFERROR(__xludf.DUMMYFUNCTION("""COMPUTED_VALUE"""),42.0)</f>
        <v>42</v>
      </c>
    </row>
    <row r="50">
      <c r="A50" s="10" t="str">
        <f>IFERROR(__xludf.DUMMYFUNCTION("""COMPUTED_VALUE"""),"Challenger")</f>
        <v>Challenger</v>
      </c>
      <c r="B50" s="10" t="str">
        <f>IFERROR(__xludf.DUMMYFUNCTION("""COMPUTED_VALUE"""),"RSC000014")</f>
        <v>RSC000014</v>
      </c>
      <c r="C50" s="10" t="str">
        <f>IFERROR(__xludf.DUMMYFUNCTION("""COMPUTED_VALUE"""),"Queue")</f>
        <v>Queue</v>
      </c>
      <c r="D50" s="36" t="str">
        <f>IFERROR(__xludf.DUMMYFUNCTION("""COMPUTED_VALUE"""),"Manticore")</f>
        <v>Manticore</v>
      </c>
      <c r="E50" s="10" t="str">
        <f>IFERROR(__xludf.DUMMYFUNCTION("""COMPUTED_VALUE"""),"Solar")</f>
        <v>Solar</v>
      </c>
      <c r="F50" s="37">
        <f>IFERROR(__xludf.DUMMYFUNCTION("""COMPUTED_VALUE"""),76.35887811433051)</f>
        <v>76.35887811</v>
      </c>
      <c r="G50" s="38">
        <f>IFERROR(__xludf.DUMMYFUNCTION("""COMPUTED_VALUE"""),99.3637756685939)</f>
        <v>99.36377567</v>
      </c>
      <c r="H50" s="38">
        <f>IFERROR(__xludf.DUMMYFUNCTION("""COMPUTED_VALUE"""),87.8613268914622)</f>
        <v>87.86132689</v>
      </c>
      <c r="I50" s="14">
        <f>IFERROR(__xludf.DUMMYFUNCTION("""COMPUTED_VALUE"""),56.0)</f>
        <v>56</v>
      </c>
      <c r="J50" s="11">
        <f>IFERROR(__xludf.DUMMYFUNCTION("IFERROR(FILTER(Stats!$F:$Z,(Stats!$A:$A=$A50)*(Stats!$B:$B=$B50)))"),40.0)</f>
        <v>40</v>
      </c>
      <c r="K50" s="11">
        <f>IFERROR(__xludf.DUMMYFUNCTION("""COMPUTED_VALUE"""),16.0)</f>
        <v>16</v>
      </c>
      <c r="L50" s="12">
        <f>IFERROR(__xludf.DUMMYFUNCTION("""COMPUTED_VALUE"""),0.7142857142857143)</f>
        <v>0.7142857143</v>
      </c>
      <c r="M50" s="11">
        <f>IFERROR(__xludf.DUMMYFUNCTION("""COMPUTED_VALUE"""),11.0)</f>
        <v>11</v>
      </c>
      <c r="N50" s="11">
        <f>IFERROR(__xludf.DUMMYFUNCTION("""COMPUTED_VALUE"""),20958.0)</f>
        <v>20958</v>
      </c>
      <c r="O50" s="13">
        <f>IFERROR(__xludf.DUMMYFUNCTION("""COMPUTED_VALUE"""),47.0)</f>
        <v>47</v>
      </c>
      <c r="P50" s="14">
        <f>IFERROR(__xludf.DUMMYFUNCTION("""COMPUTED_VALUE"""),50.0)</f>
        <v>50</v>
      </c>
      <c r="Q50" s="13">
        <f>IFERROR(__xludf.DUMMYFUNCTION("""COMPUTED_VALUE"""),55.0)</f>
        <v>55</v>
      </c>
      <c r="R50" s="13">
        <f>IFERROR(__xludf.DUMMYFUNCTION("""COMPUTED_VALUE"""),179.0)</f>
        <v>179</v>
      </c>
      <c r="S50" s="15">
        <f>IFERROR(__xludf.DUMMYFUNCTION("""COMPUTED_VALUE"""),0.26256983240223464)</f>
        <v>0.2625698324</v>
      </c>
      <c r="T50" s="16">
        <f>IFERROR(__xludf.DUMMYFUNCTION("""COMPUTED_VALUE"""),374.25)</f>
        <v>374.25</v>
      </c>
      <c r="U50" s="16">
        <f>IFERROR(__xludf.DUMMYFUNCTION("""COMPUTED_VALUE"""),0.8392857142857143)</f>
        <v>0.8392857143</v>
      </c>
      <c r="V50" s="16">
        <f>IFERROR(__xludf.DUMMYFUNCTION("""COMPUTED_VALUE"""),0.8928571428571429)</f>
        <v>0.8928571429</v>
      </c>
      <c r="W50" s="16">
        <f>IFERROR(__xludf.DUMMYFUNCTION("""COMPUTED_VALUE"""),0.9821428571428571)</f>
        <v>0.9821428571</v>
      </c>
      <c r="X50" s="16">
        <f>IFERROR(__xludf.DUMMYFUNCTION("""COMPUTED_VALUE"""),3.1964285714285716)</f>
        <v>3.196428571</v>
      </c>
      <c r="Y50" s="11">
        <f>IFERROR(__xludf.DUMMYFUNCTION("""COMPUTED_VALUE"""),10.0)</f>
        <v>10</v>
      </c>
      <c r="Z50" s="11">
        <f>IFERROR(__xludf.DUMMYFUNCTION("""COMPUTED_VALUE"""),3.0)</f>
        <v>3</v>
      </c>
      <c r="AA50" s="11">
        <f>IFERROR(__xludf.DUMMYFUNCTION("""COMPUTED_VALUE"""),4.0)</f>
        <v>4</v>
      </c>
      <c r="AB50" s="11">
        <f>IFERROR(__xludf.DUMMYFUNCTION("""COMPUTED_VALUE"""),4.0)</f>
        <v>4</v>
      </c>
      <c r="AC50" s="11">
        <f>IFERROR(__xludf.DUMMYFUNCTION("""COMPUTED_VALUE"""),62.0)</f>
        <v>62</v>
      </c>
      <c r="AD50" s="11">
        <f>IFERROR(__xludf.DUMMYFUNCTION("""COMPUTED_VALUE"""),58.0)</f>
        <v>58</v>
      </c>
    </row>
    <row r="51">
      <c r="A51" s="10" t="str">
        <f>IFERROR(__xludf.DUMMYFUNCTION("""COMPUTED_VALUE"""),"Challenger")</f>
        <v>Challenger</v>
      </c>
      <c r="B51" s="10" t="str">
        <f>IFERROR(__xludf.DUMMYFUNCTION("""COMPUTED_VALUE"""),"RSC008426")</f>
        <v>RSC008426</v>
      </c>
      <c r="C51" s="10" t="str">
        <f>IFERROR(__xludf.DUMMYFUNCTION("""COMPUTED_VALUE"""),"Midnight")</f>
        <v>Midnight</v>
      </c>
      <c r="D51" s="36" t="str">
        <f>IFERROR(__xludf.DUMMYFUNCTION("""COMPUTED_VALUE"""),"Warbirds")</f>
        <v>Warbirds</v>
      </c>
      <c r="E51" s="10" t="str">
        <f>IFERROR(__xludf.DUMMYFUNCTION("""COMPUTED_VALUE"""),"Lunar")</f>
        <v>Lunar</v>
      </c>
      <c r="F51" s="37">
        <f>IFERROR(__xludf.DUMMYFUNCTION("""COMPUTED_VALUE"""),81.92090532566553)</f>
        <v>81.92090533</v>
      </c>
      <c r="G51" s="38">
        <f>IFERROR(__xludf.DUMMYFUNCTION("""COMPUTED_VALUE"""),90.77928271363535)</f>
        <v>90.77928271</v>
      </c>
      <c r="H51" s="38">
        <f>IFERROR(__xludf.DUMMYFUNCTION("""COMPUTED_VALUE"""),86.35009401965044)</f>
        <v>86.35009402</v>
      </c>
      <c r="I51" s="14">
        <f>IFERROR(__xludf.DUMMYFUNCTION("""COMPUTED_VALUE"""),52.0)</f>
        <v>52</v>
      </c>
      <c r="J51" s="11">
        <f>IFERROR(__xludf.DUMMYFUNCTION("IFERROR(FILTER(Stats!$F:$Z,(Stats!$A:$A=$A51)*(Stats!$B:$B=$B51)))"),32.0)</f>
        <v>32</v>
      </c>
      <c r="K51" s="11">
        <f>IFERROR(__xludf.DUMMYFUNCTION("""COMPUTED_VALUE"""),20.0)</f>
        <v>20</v>
      </c>
      <c r="L51" s="12">
        <f>IFERROR(__xludf.DUMMYFUNCTION("""COMPUTED_VALUE"""),0.6153846153846154)</f>
        <v>0.6153846154</v>
      </c>
      <c r="M51" s="11">
        <f>IFERROR(__xludf.DUMMYFUNCTION("""COMPUTED_VALUE"""),18.0)</f>
        <v>18</v>
      </c>
      <c r="N51" s="11">
        <f>IFERROR(__xludf.DUMMYFUNCTION("""COMPUTED_VALUE"""),22495.0)</f>
        <v>22495</v>
      </c>
      <c r="O51" s="13">
        <f>IFERROR(__xludf.DUMMYFUNCTION("""COMPUTED_VALUE"""),66.0)</f>
        <v>66</v>
      </c>
      <c r="P51" s="14">
        <f>IFERROR(__xludf.DUMMYFUNCTION("""COMPUTED_VALUE"""),27.0)</f>
        <v>27</v>
      </c>
      <c r="Q51" s="13">
        <f>IFERROR(__xludf.DUMMYFUNCTION("""COMPUTED_VALUE"""),68.0)</f>
        <v>68</v>
      </c>
      <c r="R51" s="13">
        <f>IFERROR(__xludf.DUMMYFUNCTION("""COMPUTED_VALUE"""),162.0)</f>
        <v>162</v>
      </c>
      <c r="S51" s="15">
        <f>IFERROR(__xludf.DUMMYFUNCTION("""COMPUTED_VALUE"""),0.4074074074074074)</f>
        <v>0.4074074074</v>
      </c>
      <c r="T51" s="16">
        <f>IFERROR(__xludf.DUMMYFUNCTION("""COMPUTED_VALUE"""),432.59615384615387)</f>
        <v>432.5961538</v>
      </c>
      <c r="U51" s="16">
        <f>IFERROR(__xludf.DUMMYFUNCTION("""COMPUTED_VALUE"""),1.2692307692307692)</f>
        <v>1.269230769</v>
      </c>
      <c r="V51" s="16">
        <f>IFERROR(__xludf.DUMMYFUNCTION("""COMPUTED_VALUE"""),0.5192307692307693)</f>
        <v>0.5192307692</v>
      </c>
      <c r="W51" s="16">
        <f>IFERROR(__xludf.DUMMYFUNCTION("""COMPUTED_VALUE"""),1.3076923076923077)</f>
        <v>1.307692308</v>
      </c>
      <c r="X51" s="16">
        <f>IFERROR(__xludf.DUMMYFUNCTION("""COMPUTED_VALUE"""),3.1153846153846154)</f>
        <v>3.115384615</v>
      </c>
      <c r="Y51" s="11">
        <f>IFERROR(__xludf.DUMMYFUNCTION("""COMPUTED_VALUE"""),13.0)</f>
        <v>13</v>
      </c>
      <c r="Z51" s="11">
        <f>IFERROR(__xludf.DUMMYFUNCTION("""COMPUTED_VALUE"""),5.0)</f>
        <v>5</v>
      </c>
      <c r="AA51" s="11">
        <f>IFERROR(__xludf.DUMMYFUNCTION("""COMPUTED_VALUE"""),0.0)</f>
        <v>0</v>
      </c>
      <c r="AB51" s="11">
        <f>IFERROR(__xludf.DUMMYFUNCTION("""COMPUTED_VALUE"""),10.0)</f>
        <v>10</v>
      </c>
      <c r="AC51" s="11">
        <f>IFERROR(__xludf.DUMMYFUNCTION("""COMPUTED_VALUE"""),49.0)</f>
        <v>49</v>
      </c>
      <c r="AD51" s="11">
        <f>IFERROR(__xludf.DUMMYFUNCTION("""COMPUTED_VALUE"""),41.0)</f>
        <v>41</v>
      </c>
    </row>
    <row r="52">
      <c r="A52" s="10" t="str">
        <f>IFERROR(__xludf.DUMMYFUNCTION("""COMPUTED_VALUE"""),"Challenger")</f>
        <v>Challenger</v>
      </c>
      <c r="B52" s="10" t="str">
        <f>IFERROR(__xludf.DUMMYFUNCTION("""COMPUTED_VALUE"""),"RSC006067")</f>
        <v>RSC006067</v>
      </c>
      <c r="C52" s="10" t="str">
        <f>IFERROR(__xludf.DUMMYFUNCTION("""COMPUTED_VALUE"""),"ShinxX403")</f>
        <v>ShinxX403</v>
      </c>
      <c r="D52" s="36" t="str">
        <f>IFERROR(__xludf.DUMMYFUNCTION("""COMPUTED_VALUE"""),"Panda Bears")</f>
        <v>Panda Bears</v>
      </c>
      <c r="E52" s="10" t="str">
        <f>IFERROR(__xludf.DUMMYFUNCTION("""COMPUTED_VALUE"""),"Solar")</f>
        <v>Solar</v>
      </c>
      <c r="F52" s="37">
        <f>IFERROR(__xludf.DUMMYFUNCTION("""COMPUTED_VALUE"""),80.29185194136352)</f>
        <v>80.29185194</v>
      </c>
      <c r="G52" s="38">
        <f>IFERROR(__xludf.DUMMYFUNCTION("""COMPUTED_VALUE"""),92.23189699110125)</f>
        <v>92.23189699</v>
      </c>
      <c r="H52" s="38">
        <f>IFERROR(__xludf.DUMMYFUNCTION("""COMPUTED_VALUE"""),86.26187446623238)</f>
        <v>86.26187447</v>
      </c>
      <c r="I52" s="14">
        <f>IFERROR(__xludf.DUMMYFUNCTION("""COMPUTED_VALUE"""),56.0)</f>
        <v>56</v>
      </c>
      <c r="J52" s="11">
        <f>IFERROR(__xludf.DUMMYFUNCTION("IFERROR(FILTER(Stats!$F:$Z,(Stats!$A:$A=$A52)*(Stats!$B:$B=$B52)))"),32.0)</f>
        <v>32</v>
      </c>
      <c r="K52" s="11">
        <f>IFERROR(__xludf.DUMMYFUNCTION("""COMPUTED_VALUE"""),24.0)</f>
        <v>24</v>
      </c>
      <c r="L52" s="12">
        <f>IFERROR(__xludf.DUMMYFUNCTION("""COMPUTED_VALUE"""),0.5714285714285714)</f>
        <v>0.5714285714</v>
      </c>
      <c r="M52" s="11">
        <f>IFERROR(__xludf.DUMMYFUNCTION("""COMPUTED_VALUE"""),14.0)</f>
        <v>14</v>
      </c>
      <c r="N52" s="11">
        <f>IFERROR(__xludf.DUMMYFUNCTION("""COMPUTED_VALUE"""),22246.0)</f>
        <v>22246</v>
      </c>
      <c r="O52" s="13">
        <f>IFERROR(__xludf.DUMMYFUNCTION("""COMPUTED_VALUE"""),52.0)</f>
        <v>52</v>
      </c>
      <c r="P52" s="14">
        <f>IFERROR(__xludf.DUMMYFUNCTION("""COMPUTED_VALUE"""),48.0)</f>
        <v>48</v>
      </c>
      <c r="Q52" s="13">
        <f>IFERROR(__xludf.DUMMYFUNCTION("""COMPUTED_VALUE"""),78.0)</f>
        <v>78</v>
      </c>
      <c r="R52" s="13">
        <f>IFERROR(__xludf.DUMMYFUNCTION("""COMPUTED_VALUE"""),153.0)</f>
        <v>153</v>
      </c>
      <c r="S52" s="15">
        <f>IFERROR(__xludf.DUMMYFUNCTION("""COMPUTED_VALUE"""),0.33986928104575165)</f>
        <v>0.339869281</v>
      </c>
      <c r="T52" s="16">
        <f>IFERROR(__xludf.DUMMYFUNCTION("""COMPUTED_VALUE"""),397.25)</f>
        <v>397.25</v>
      </c>
      <c r="U52" s="16">
        <f>IFERROR(__xludf.DUMMYFUNCTION("""COMPUTED_VALUE"""),0.9285714285714286)</f>
        <v>0.9285714286</v>
      </c>
      <c r="V52" s="16">
        <f>IFERROR(__xludf.DUMMYFUNCTION("""COMPUTED_VALUE"""),0.8571428571428571)</f>
        <v>0.8571428571</v>
      </c>
      <c r="W52" s="16">
        <f>IFERROR(__xludf.DUMMYFUNCTION("""COMPUTED_VALUE"""),1.3928571428571428)</f>
        <v>1.392857143</v>
      </c>
      <c r="X52" s="16">
        <f>IFERROR(__xludf.DUMMYFUNCTION("""COMPUTED_VALUE"""),2.732142857142857)</f>
        <v>2.732142857</v>
      </c>
      <c r="Y52" s="11">
        <f>IFERROR(__xludf.DUMMYFUNCTION("""COMPUTED_VALUE"""),18.0)</f>
        <v>18</v>
      </c>
      <c r="Z52" s="11">
        <f>IFERROR(__xludf.DUMMYFUNCTION("""COMPUTED_VALUE"""),4.0)</f>
        <v>4</v>
      </c>
      <c r="AA52" s="11">
        <f>IFERROR(__xludf.DUMMYFUNCTION("""COMPUTED_VALUE"""),1.0)</f>
        <v>1</v>
      </c>
      <c r="AB52" s="11">
        <f>IFERROR(__xludf.DUMMYFUNCTION("""COMPUTED_VALUE"""),8.0)</f>
        <v>8</v>
      </c>
      <c r="AC52" s="11">
        <f>IFERROR(__xludf.DUMMYFUNCTION("""COMPUTED_VALUE"""),47.0)</f>
        <v>47</v>
      </c>
      <c r="AD52" s="11">
        <f>IFERROR(__xludf.DUMMYFUNCTION("""COMPUTED_VALUE"""),60.0)</f>
        <v>60</v>
      </c>
    </row>
    <row r="53">
      <c r="A53" s="10" t="str">
        <f>IFERROR(__xludf.DUMMYFUNCTION("""COMPUTED_VALUE"""),"Challenger")</f>
        <v>Challenger</v>
      </c>
      <c r="B53" s="10" t="str">
        <f>IFERROR(__xludf.DUMMYFUNCTION("""COMPUTED_VALUE"""),"RSC007153")</f>
        <v>RSC007153</v>
      </c>
      <c r="C53" s="10" t="str">
        <f>IFERROR(__xludf.DUMMYFUNCTION("""COMPUTED_VALUE"""),"Washyymann")</f>
        <v>Washyymann</v>
      </c>
      <c r="D53" s="36" t="str">
        <f>IFERROR(__xludf.DUMMYFUNCTION("""COMPUTED_VALUE"""),"Apple Associates")</f>
        <v>Apple Associates</v>
      </c>
      <c r="E53" s="10" t="str">
        <f>IFERROR(__xludf.DUMMYFUNCTION("""COMPUTED_VALUE"""),"Lunar")</f>
        <v>Lunar</v>
      </c>
      <c r="F53" s="37">
        <f>IFERROR(__xludf.DUMMYFUNCTION("""COMPUTED_VALUE"""),79.21995281086133)</f>
        <v>79.21995281</v>
      </c>
      <c r="G53" s="38">
        <f>IFERROR(__xludf.DUMMYFUNCTION("""COMPUTED_VALUE"""),93.10883914764779)</f>
        <v>93.10883915</v>
      </c>
      <c r="H53" s="38">
        <f>IFERROR(__xludf.DUMMYFUNCTION("""COMPUTED_VALUE"""),86.16439597925455)</f>
        <v>86.16439598</v>
      </c>
      <c r="I53" s="14">
        <f>IFERROR(__xludf.DUMMYFUNCTION("""COMPUTED_VALUE"""),23.0)</f>
        <v>23</v>
      </c>
      <c r="J53" s="11">
        <f>IFERROR(__xludf.DUMMYFUNCTION("IFERROR(FILTER(Stats!$F:$Z,(Stats!$A:$A=$A53)*(Stats!$B:$B=$B53)))"),13.0)</f>
        <v>13</v>
      </c>
      <c r="K53" s="11">
        <f>IFERROR(__xludf.DUMMYFUNCTION("""COMPUTED_VALUE"""),10.0)</f>
        <v>10</v>
      </c>
      <c r="L53" s="12">
        <f>IFERROR(__xludf.DUMMYFUNCTION("""COMPUTED_VALUE"""),0.5652173913043478)</f>
        <v>0.5652173913</v>
      </c>
      <c r="M53" s="11">
        <f>IFERROR(__xludf.DUMMYFUNCTION("""COMPUTED_VALUE"""),6.0)</f>
        <v>6</v>
      </c>
      <c r="N53" s="11">
        <f>IFERROR(__xludf.DUMMYFUNCTION("""COMPUTED_VALUE"""),8438.0)</f>
        <v>8438</v>
      </c>
      <c r="O53" s="13">
        <f>IFERROR(__xludf.DUMMYFUNCTION("""COMPUTED_VALUE"""),23.0)</f>
        <v>23</v>
      </c>
      <c r="P53" s="14">
        <f>IFERROR(__xludf.DUMMYFUNCTION("""COMPUTED_VALUE"""),21.0)</f>
        <v>21</v>
      </c>
      <c r="Q53" s="13">
        <f>IFERROR(__xludf.DUMMYFUNCTION("""COMPUTED_VALUE"""),21.0)</f>
        <v>21</v>
      </c>
      <c r="R53" s="13">
        <f>IFERROR(__xludf.DUMMYFUNCTION("""COMPUTED_VALUE"""),64.0)</f>
        <v>64</v>
      </c>
      <c r="S53" s="15">
        <f>IFERROR(__xludf.DUMMYFUNCTION("""COMPUTED_VALUE"""),0.359375)</f>
        <v>0.359375</v>
      </c>
      <c r="T53" s="16">
        <f>IFERROR(__xludf.DUMMYFUNCTION("""COMPUTED_VALUE"""),366.8695652173913)</f>
        <v>366.8695652</v>
      </c>
      <c r="U53" s="16">
        <f>IFERROR(__xludf.DUMMYFUNCTION("""COMPUTED_VALUE"""),1.0)</f>
        <v>1</v>
      </c>
      <c r="V53" s="16">
        <f>IFERROR(__xludf.DUMMYFUNCTION("""COMPUTED_VALUE"""),0.9130434782608695)</f>
        <v>0.9130434783</v>
      </c>
      <c r="W53" s="16">
        <f>IFERROR(__xludf.DUMMYFUNCTION("""COMPUTED_VALUE"""),0.9130434782608695)</f>
        <v>0.9130434783</v>
      </c>
      <c r="X53" s="16">
        <f>IFERROR(__xludf.DUMMYFUNCTION("""COMPUTED_VALUE"""),2.782608695652174)</f>
        <v>2.782608696</v>
      </c>
      <c r="Y53" s="11">
        <f>IFERROR(__xludf.DUMMYFUNCTION("""COMPUTED_VALUE"""),7.0)</f>
        <v>7</v>
      </c>
      <c r="Z53" s="11">
        <f>IFERROR(__xludf.DUMMYFUNCTION("""COMPUTED_VALUE"""),2.0)</f>
        <v>2</v>
      </c>
      <c r="AA53" s="11">
        <f>IFERROR(__xludf.DUMMYFUNCTION("""COMPUTED_VALUE"""),1.0)</f>
        <v>1</v>
      </c>
      <c r="AB53" s="11">
        <f>IFERROR(__xludf.DUMMYFUNCTION("""COMPUTED_VALUE"""),2.0)</f>
        <v>2</v>
      </c>
      <c r="AC53" s="11">
        <f>IFERROR(__xludf.DUMMYFUNCTION("""COMPUTED_VALUE"""),32.0)</f>
        <v>32</v>
      </c>
      <c r="AD53" s="11">
        <f>IFERROR(__xludf.DUMMYFUNCTION("""COMPUTED_VALUE"""),18.0)</f>
        <v>18</v>
      </c>
    </row>
    <row r="54">
      <c r="A54" s="10" t="str">
        <f>IFERROR(__xludf.DUMMYFUNCTION("""COMPUTED_VALUE"""),"Challenger")</f>
        <v>Challenger</v>
      </c>
      <c r="B54" s="10" t="str">
        <f>IFERROR(__xludf.DUMMYFUNCTION("""COMPUTED_VALUE"""),"RSC005570")</f>
        <v>RSC005570</v>
      </c>
      <c r="C54" s="10" t="str">
        <f>IFERROR(__xludf.DUMMYFUNCTION("""COMPUTED_VALUE"""),"Lupo")</f>
        <v>Lupo</v>
      </c>
      <c r="D54" s="36" t="str">
        <f>IFERROR(__xludf.DUMMYFUNCTION("""COMPUTED_VALUE"""),"Cooks")</f>
        <v>Cooks</v>
      </c>
      <c r="E54" s="10" t="str">
        <f>IFERROR(__xludf.DUMMYFUNCTION("""COMPUTED_VALUE"""),"Solar")</f>
        <v>Solar</v>
      </c>
      <c r="F54" s="37">
        <f>IFERROR(__xludf.DUMMYFUNCTION("""COMPUTED_VALUE"""),71.94851499555823)</f>
        <v>71.948515</v>
      </c>
      <c r="G54" s="38">
        <f>IFERROR(__xludf.DUMMYFUNCTION("""COMPUTED_VALUE"""),99.17743400179151)</f>
        <v>99.177434</v>
      </c>
      <c r="H54" s="38">
        <f>IFERROR(__xludf.DUMMYFUNCTION("""COMPUTED_VALUE"""),85.56297449867486)</f>
        <v>85.5629745</v>
      </c>
      <c r="I54" s="14">
        <f>IFERROR(__xludf.DUMMYFUNCTION("""COMPUTED_VALUE"""),2.0)</f>
        <v>2</v>
      </c>
      <c r="J54" s="11">
        <f>IFERROR(__xludf.DUMMYFUNCTION("IFERROR(FILTER(Stats!$F:$Z,(Stats!$A:$A=$A54)*(Stats!$B:$B=$B54)))"),1.0)</f>
        <v>1</v>
      </c>
      <c r="K54" s="11">
        <f>IFERROR(__xludf.DUMMYFUNCTION("""COMPUTED_VALUE"""),1.0)</f>
        <v>1</v>
      </c>
      <c r="L54" s="12">
        <f>IFERROR(__xludf.DUMMYFUNCTION("""COMPUTED_VALUE"""),0.5)</f>
        <v>0.5</v>
      </c>
      <c r="M54" s="11">
        <f>IFERROR(__xludf.DUMMYFUNCTION("""COMPUTED_VALUE"""),0.0)</f>
        <v>0</v>
      </c>
      <c r="N54" s="11">
        <f>IFERROR(__xludf.DUMMYFUNCTION("""COMPUTED_VALUE"""),709.0)</f>
        <v>709</v>
      </c>
      <c r="O54" s="13">
        <f>IFERROR(__xludf.DUMMYFUNCTION("""COMPUTED_VALUE"""),3.0)</f>
        <v>3</v>
      </c>
      <c r="P54" s="14">
        <f>IFERROR(__xludf.DUMMYFUNCTION("""COMPUTED_VALUE"""),1.0)</f>
        <v>1</v>
      </c>
      <c r="Q54" s="13">
        <f>IFERROR(__xludf.DUMMYFUNCTION("""COMPUTED_VALUE"""),1.0)</f>
        <v>1</v>
      </c>
      <c r="R54" s="13">
        <f>IFERROR(__xludf.DUMMYFUNCTION("""COMPUTED_VALUE"""),6.0)</f>
        <v>6</v>
      </c>
      <c r="S54" s="15">
        <f>IFERROR(__xludf.DUMMYFUNCTION("""COMPUTED_VALUE"""),0.5)</f>
        <v>0.5</v>
      </c>
      <c r="T54" s="16">
        <f>IFERROR(__xludf.DUMMYFUNCTION("""COMPUTED_VALUE"""),354.5)</f>
        <v>354.5</v>
      </c>
      <c r="U54" s="16">
        <f>IFERROR(__xludf.DUMMYFUNCTION("""COMPUTED_VALUE"""),1.5)</f>
        <v>1.5</v>
      </c>
      <c r="V54" s="16">
        <f>IFERROR(__xludf.DUMMYFUNCTION("""COMPUTED_VALUE"""),0.5)</f>
        <v>0.5</v>
      </c>
      <c r="W54" s="16">
        <f>IFERROR(__xludf.DUMMYFUNCTION("""COMPUTED_VALUE"""),0.5)</f>
        <v>0.5</v>
      </c>
      <c r="X54" s="16">
        <f>IFERROR(__xludf.DUMMYFUNCTION("""COMPUTED_VALUE"""),3.0)</f>
        <v>3</v>
      </c>
      <c r="Y54" s="11">
        <f>IFERROR(__xludf.DUMMYFUNCTION("""COMPUTED_VALUE"""),0.0)</f>
        <v>0</v>
      </c>
      <c r="Z54" s="11">
        <f>IFERROR(__xludf.DUMMYFUNCTION("""COMPUTED_VALUE"""),0.0)</f>
        <v>0</v>
      </c>
      <c r="AA54" s="11">
        <f>IFERROR(__xludf.DUMMYFUNCTION("""COMPUTED_VALUE"""),0.0)</f>
        <v>0</v>
      </c>
      <c r="AB54" s="11">
        <f>IFERROR(__xludf.DUMMYFUNCTION("""COMPUTED_VALUE"""),0.0)</f>
        <v>0</v>
      </c>
      <c r="AC54" s="11">
        <f>IFERROR(__xludf.DUMMYFUNCTION("""COMPUTED_VALUE"""),1.0)</f>
        <v>1</v>
      </c>
      <c r="AD54" s="11">
        <f>IFERROR(__xludf.DUMMYFUNCTION("""COMPUTED_VALUE"""),3.0)</f>
        <v>3</v>
      </c>
    </row>
    <row r="55">
      <c r="A55" s="10" t="str">
        <f>IFERROR(__xludf.DUMMYFUNCTION("""COMPUTED_VALUE"""),"Challenger")</f>
        <v>Challenger</v>
      </c>
      <c r="B55" s="10" t="str">
        <f>IFERROR(__xludf.DUMMYFUNCTION("""COMPUTED_VALUE"""),"RSC007370")</f>
        <v>RSC007370</v>
      </c>
      <c r="C55" s="10" t="str">
        <f>IFERROR(__xludf.DUMMYFUNCTION("""COMPUTED_VALUE"""),"Jarrod81535")</f>
        <v>Jarrod81535</v>
      </c>
      <c r="D55" s="36" t="str">
        <f>IFERROR(__xludf.DUMMYFUNCTION("""COMPUTED_VALUE"""),"Happy B-day Jess")</f>
        <v>Happy B-day Jess</v>
      </c>
      <c r="E55" s="10" t="str">
        <f>IFERROR(__xludf.DUMMYFUNCTION("""COMPUTED_VALUE"""),"Lunar")</f>
        <v>Lunar</v>
      </c>
      <c r="F55" s="37">
        <f>IFERROR(__xludf.DUMMYFUNCTION("""COMPUTED_VALUE"""),81.74498240728855)</f>
        <v>81.74498241</v>
      </c>
      <c r="G55" s="38">
        <f>IFERROR(__xludf.DUMMYFUNCTION("""COMPUTED_VALUE"""),88.54498075690128)</f>
        <v>88.54498076</v>
      </c>
      <c r="H55" s="38">
        <f>IFERROR(__xludf.DUMMYFUNCTION("""COMPUTED_VALUE"""),85.14498158209491)</f>
        <v>85.14498158</v>
      </c>
      <c r="I55" s="14">
        <f>IFERROR(__xludf.DUMMYFUNCTION("""COMPUTED_VALUE"""),54.0)</f>
        <v>54</v>
      </c>
      <c r="J55" s="11">
        <f>IFERROR(__xludf.DUMMYFUNCTION("IFERROR(FILTER(Stats!$F:$Z,(Stats!$A:$A=$A55)*(Stats!$B:$B=$B55)))"),33.0)</f>
        <v>33</v>
      </c>
      <c r="K55" s="11">
        <f>IFERROR(__xludf.DUMMYFUNCTION("""COMPUTED_VALUE"""),21.0)</f>
        <v>21</v>
      </c>
      <c r="L55" s="12">
        <f>IFERROR(__xludf.DUMMYFUNCTION("""COMPUTED_VALUE"""),0.6111111111111112)</f>
        <v>0.6111111111</v>
      </c>
      <c r="M55" s="11">
        <f>IFERROR(__xludf.DUMMYFUNCTION("""COMPUTED_VALUE"""),20.0)</f>
        <v>20</v>
      </c>
      <c r="N55" s="11">
        <f>IFERROR(__xludf.DUMMYFUNCTION("""COMPUTED_VALUE"""),21156.0)</f>
        <v>21156</v>
      </c>
      <c r="O55" s="13">
        <f>IFERROR(__xludf.DUMMYFUNCTION("""COMPUTED_VALUE"""),57.0)</f>
        <v>57</v>
      </c>
      <c r="P55" s="14">
        <f>IFERROR(__xludf.DUMMYFUNCTION("""COMPUTED_VALUE"""),35.0)</f>
        <v>35</v>
      </c>
      <c r="Q55" s="13">
        <f>IFERROR(__xludf.DUMMYFUNCTION("""COMPUTED_VALUE"""),71.0)</f>
        <v>71</v>
      </c>
      <c r="R55" s="13">
        <f>IFERROR(__xludf.DUMMYFUNCTION("""COMPUTED_VALUE"""),182.0)</f>
        <v>182</v>
      </c>
      <c r="S55" s="15">
        <f>IFERROR(__xludf.DUMMYFUNCTION("""COMPUTED_VALUE"""),0.3131868131868132)</f>
        <v>0.3131868132</v>
      </c>
      <c r="T55" s="16">
        <f>IFERROR(__xludf.DUMMYFUNCTION("""COMPUTED_VALUE"""),391.77777777777777)</f>
        <v>391.7777778</v>
      </c>
      <c r="U55" s="16">
        <f>IFERROR(__xludf.DUMMYFUNCTION("""COMPUTED_VALUE"""),1.0555555555555556)</f>
        <v>1.055555556</v>
      </c>
      <c r="V55" s="16">
        <f>IFERROR(__xludf.DUMMYFUNCTION("""COMPUTED_VALUE"""),0.6481481481481481)</f>
        <v>0.6481481481</v>
      </c>
      <c r="W55" s="16">
        <f>IFERROR(__xludf.DUMMYFUNCTION("""COMPUTED_VALUE"""),1.3148148148148149)</f>
        <v>1.314814815</v>
      </c>
      <c r="X55" s="16">
        <f>IFERROR(__xludf.DUMMYFUNCTION("""COMPUTED_VALUE"""),3.3703703703703702)</f>
        <v>3.37037037</v>
      </c>
      <c r="Y55" s="11">
        <f>IFERROR(__xludf.DUMMYFUNCTION("""COMPUTED_VALUE"""),14.0)</f>
        <v>14</v>
      </c>
      <c r="Z55" s="11">
        <f>IFERROR(__xludf.DUMMYFUNCTION("""COMPUTED_VALUE"""),5.0)</f>
        <v>5</v>
      </c>
      <c r="AA55" s="11">
        <f>IFERROR(__xludf.DUMMYFUNCTION("""COMPUTED_VALUE"""),4.0)</f>
        <v>4</v>
      </c>
      <c r="AB55" s="11">
        <f>IFERROR(__xludf.DUMMYFUNCTION("""COMPUTED_VALUE"""),8.0)</f>
        <v>8</v>
      </c>
      <c r="AC55" s="11">
        <f>IFERROR(__xludf.DUMMYFUNCTION("""COMPUTED_VALUE"""),59.0)</f>
        <v>59</v>
      </c>
      <c r="AD55" s="11">
        <f>IFERROR(__xludf.DUMMYFUNCTION("""COMPUTED_VALUE"""),44.0)</f>
        <v>44</v>
      </c>
    </row>
    <row r="56">
      <c r="A56" s="10" t="str">
        <f>IFERROR(__xludf.DUMMYFUNCTION("""COMPUTED_VALUE"""),"Challenger")</f>
        <v>Challenger</v>
      </c>
      <c r="B56" s="10" t="str">
        <f>IFERROR(__xludf.DUMMYFUNCTION("""COMPUTED_VALUE"""),"RSC006177")</f>
        <v>RSC006177</v>
      </c>
      <c r="C56" s="10" t="str">
        <f>IFERROR(__xludf.DUMMYFUNCTION("""COMPUTED_VALUE"""),"Flyerrr85")</f>
        <v>Flyerrr85</v>
      </c>
      <c r="D56" s="36" t="str">
        <f>IFERROR(__xludf.DUMMYFUNCTION("""COMPUTED_VALUE"""),"Corals
Warbirds")</f>
        <v>Corals
Warbirds</v>
      </c>
      <c r="E56" s="10" t="str">
        <f>IFERROR(__xludf.DUMMYFUNCTION("""COMPUTED_VALUE"""),"Lunar
Lunar")</f>
        <v>Lunar
Lunar</v>
      </c>
      <c r="F56" s="37">
        <f>IFERROR(__xludf.DUMMYFUNCTION("""COMPUTED_VALUE"""),78.36765099638839)</f>
        <v>78.367651</v>
      </c>
      <c r="G56" s="38">
        <f>IFERROR(__xludf.DUMMYFUNCTION("""COMPUTED_VALUE"""),90.70248655901648)</f>
        <v>90.70248656</v>
      </c>
      <c r="H56" s="38">
        <f>IFERROR(__xludf.DUMMYFUNCTION("""COMPUTED_VALUE"""),84.53506877770243)</f>
        <v>84.53506878</v>
      </c>
      <c r="I56" s="14">
        <f>IFERROR(__xludf.DUMMYFUNCTION("""COMPUTED_VALUE"""),56.0)</f>
        <v>56</v>
      </c>
      <c r="J56" s="11">
        <f>IFERROR(__xludf.DUMMYFUNCTION("IFERROR(FILTER(Stats!$F:$Z,(Stats!$A:$A=$A56)*(Stats!$B:$B=$B56)))"),29.0)</f>
        <v>29</v>
      </c>
      <c r="K56" s="11">
        <f>IFERROR(__xludf.DUMMYFUNCTION("""COMPUTED_VALUE"""),27.0)</f>
        <v>27</v>
      </c>
      <c r="L56" s="12">
        <f>IFERROR(__xludf.DUMMYFUNCTION("""COMPUTED_VALUE"""),0.5178571428571429)</f>
        <v>0.5178571429</v>
      </c>
      <c r="M56" s="11">
        <f>IFERROR(__xludf.DUMMYFUNCTION("""COMPUTED_VALUE"""),16.0)</f>
        <v>16</v>
      </c>
      <c r="N56" s="11">
        <f>IFERROR(__xludf.DUMMYFUNCTION("""COMPUTED_VALUE"""),22575.0)</f>
        <v>22575</v>
      </c>
      <c r="O56" s="13">
        <f>IFERROR(__xludf.DUMMYFUNCTION("""COMPUTED_VALUE"""),52.0)</f>
        <v>52</v>
      </c>
      <c r="P56" s="14">
        <f>IFERROR(__xludf.DUMMYFUNCTION("""COMPUTED_VALUE"""),41.0)</f>
        <v>41</v>
      </c>
      <c r="Q56" s="13">
        <f>IFERROR(__xludf.DUMMYFUNCTION("""COMPUTED_VALUE"""),72.0)</f>
        <v>72</v>
      </c>
      <c r="R56" s="13">
        <f>IFERROR(__xludf.DUMMYFUNCTION("""COMPUTED_VALUE"""),194.0)</f>
        <v>194</v>
      </c>
      <c r="S56" s="15">
        <f>IFERROR(__xludf.DUMMYFUNCTION("""COMPUTED_VALUE"""),0.26804123711340205)</f>
        <v>0.2680412371</v>
      </c>
      <c r="T56" s="16">
        <f>IFERROR(__xludf.DUMMYFUNCTION("""COMPUTED_VALUE"""),403.125)</f>
        <v>403.125</v>
      </c>
      <c r="U56" s="16">
        <f>IFERROR(__xludf.DUMMYFUNCTION("""COMPUTED_VALUE"""),0.9285714285714286)</f>
        <v>0.9285714286</v>
      </c>
      <c r="V56" s="16">
        <f>IFERROR(__xludf.DUMMYFUNCTION("""COMPUTED_VALUE"""),0.7321428571428571)</f>
        <v>0.7321428571</v>
      </c>
      <c r="W56" s="16">
        <f>IFERROR(__xludf.DUMMYFUNCTION("""COMPUTED_VALUE"""),1.2857142857142858)</f>
        <v>1.285714286</v>
      </c>
      <c r="X56" s="16">
        <f>IFERROR(__xludf.DUMMYFUNCTION("""COMPUTED_VALUE"""),3.4642857142857144)</f>
        <v>3.464285714</v>
      </c>
      <c r="Y56" s="11">
        <f>IFERROR(__xludf.DUMMYFUNCTION("""COMPUTED_VALUE"""),16.0)</f>
        <v>16</v>
      </c>
      <c r="Z56" s="11">
        <f>IFERROR(__xludf.DUMMYFUNCTION("""COMPUTED_VALUE"""),6.0)</f>
        <v>6</v>
      </c>
      <c r="AA56" s="11">
        <f>IFERROR(__xludf.DUMMYFUNCTION("""COMPUTED_VALUE"""),0.0)</f>
        <v>0</v>
      </c>
      <c r="AB56" s="11">
        <f>IFERROR(__xludf.DUMMYFUNCTION("""COMPUTED_VALUE"""),8.0)</f>
        <v>8</v>
      </c>
      <c r="AC56" s="11">
        <f>IFERROR(__xludf.DUMMYFUNCTION("""COMPUTED_VALUE"""),38.0)</f>
        <v>38</v>
      </c>
      <c r="AD56" s="11">
        <f>IFERROR(__xludf.DUMMYFUNCTION("""COMPUTED_VALUE"""),64.0)</f>
        <v>64</v>
      </c>
    </row>
    <row r="57">
      <c r="A57" s="10" t="str">
        <f>IFERROR(__xludf.DUMMYFUNCTION("""COMPUTED_VALUE"""),"Challenger")</f>
        <v>Challenger</v>
      </c>
      <c r="B57" s="10" t="str">
        <f>IFERROR(__xludf.DUMMYFUNCTION("""COMPUTED_VALUE"""),"RSC008260")</f>
        <v>RSC008260</v>
      </c>
      <c r="C57" s="10" t="str">
        <f>IFERROR(__xludf.DUMMYFUNCTION("""COMPUTED_VALUE"""),"Crucified6856")</f>
        <v>Crucified6856</v>
      </c>
      <c r="D57" s="36" t="str">
        <f>IFERROR(__xludf.DUMMYFUNCTION("""COMPUTED_VALUE"""),"Glaciers")</f>
        <v>Glaciers</v>
      </c>
      <c r="E57" s="10" t="str">
        <f>IFERROR(__xludf.DUMMYFUNCTION("""COMPUTED_VALUE"""),"Solar")</f>
        <v>Solar</v>
      </c>
      <c r="F57" s="37">
        <f>IFERROR(__xludf.DUMMYFUNCTION("""COMPUTED_VALUE"""),85.79605027519656)</f>
        <v>85.79605028</v>
      </c>
      <c r="G57" s="38">
        <f>IFERROR(__xludf.DUMMYFUNCTION("""COMPUTED_VALUE"""),79.26065397857461)</f>
        <v>79.26065398</v>
      </c>
      <c r="H57" s="38">
        <f>IFERROR(__xludf.DUMMYFUNCTION("""COMPUTED_VALUE"""),82.52835212688558)</f>
        <v>82.52835213</v>
      </c>
      <c r="I57" s="14">
        <f>IFERROR(__xludf.DUMMYFUNCTION("""COMPUTED_VALUE"""),49.0)</f>
        <v>49</v>
      </c>
      <c r="J57" s="11">
        <f>IFERROR(__xludf.DUMMYFUNCTION("IFERROR(FILTER(Stats!$F:$Z,(Stats!$A:$A=$A57)*(Stats!$B:$B=$B57)))"),27.0)</f>
        <v>27</v>
      </c>
      <c r="K57" s="11">
        <f>IFERROR(__xludf.DUMMYFUNCTION("""COMPUTED_VALUE"""),22.0)</f>
        <v>22</v>
      </c>
      <c r="L57" s="12">
        <f>IFERROR(__xludf.DUMMYFUNCTION("""COMPUTED_VALUE"""),0.5510204081632653)</f>
        <v>0.5510204082</v>
      </c>
      <c r="M57" s="11">
        <f>IFERROR(__xludf.DUMMYFUNCTION("""COMPUTED_VALUE"""),15.0)</f>
        <v>15</v>
      </c>
      <c r="N57" s="11">
        <f>IFERROR(__xludf.DUMMYFUNCTION("""COMPUTED_VALUE"""),19944.0)</f>
        <v>19944</v>
      </c>
      <c r="O57" s="13">
        <f>IFERROR(__xludf.DUMMYFUNCTION("""COMPUTED_VALUE"""),50.0)</f>
        <v>50</v>
      </c>
      <c r="P57" s="14">
        <f>IFERROR(__xludf.DUMMYFUNCTION("""COMPUTED_VALUE"""),27.0)</f>
        <v>27</v>
      </c>
      <c r="Q57" s="13">
        <f>IFERROR(__xludf.DUMMYFUNCTION("""COMPUTED_VALUE"""),65.0)</f>
        <v>65</v>
      </c>
      <c r="R57" s="13">
        <f>IFERROR(__xludf.DUMMYFUNCTION("""COMPUTED_VALUE"""),162.0)</f>
        <v>162</v>
      </c>
      <c r="S57" s="15">
        <f>IFERROR(__xludf.DUMMYFUNCTION("""COMPUTED_VALUE"""),0.30864197530864196)</f>
        <v>0.3086419753</v>
      </c>
      <c r="T57" s="16">
        <f>IFERROR(__xludf.DUMMYFUNCTION("""COMPUTED_VALUE"""),407.0204081632653)</f>
        <v>407.0204082</v>
      </c>
      <c r="U57" s="16">
        <f>IFERROR(__xludf.DUMMYFUNCTION("""COMPUTED_VALUE"""),1.0204081632653061)</f>
        <v>1.020408163</v>
      </c>
      <c r="V57" s="16">
        <f>IFERROR(__xludf.DUMMYFUNCTION("""COMPUTED_VALUE"""),0.5510204081632653)</f>
        <v>0.5510204082</v>
      </c>
      <c r="W57" s="16">
        <f>IFERROR(__xludf.DUMMYFUNCTION("""COMPUTED_VALUE"""),1.3265306122448979)</f>
        <v>1.326530612</v>
      </c>
      <c r="X57" s="16">
        <f>IFERROR(__xludf.DUMMYFUNCTION("""COMPUTED_VALUE"""),3.306122448979592)</f>
        <v>3.306122449</v>
      </c>
      <c r="Y57" s="11">
        <f>IFERROR(__xludf.DUMMYFUNCTION("""COMPUTED_VALUE"""),8.0)</f>
        <v>8</v>
      </c>
      <c r="Z57" s="11">
        <f>IFERROR(__xludf.DUMMYFUNCTION("""COMPUTED_VALUE"""),6.0)</f>
        <v>6</v>
      </c>
      <c r="AA57" s="11">
        <f>IFERROR(__xludf.DUMMYFUNCTION("""COMPUTED_VALUE"""),0.0)</f>
        <v>0</v>
      </c>
      <c r="AB57" s="11">
        <f>IFERROR(__xludf.DUMMYFUNCTION("""COMPUTED_VALUE"""),4.0)</f>
        <v>4</v>
      </c>
      <c r="AC57" s="11">
        <f>IFERROR(__xludf.DUMMYFUNCTION("""COMPUTED_VALUE"""),36.0)</f>
        <v>36</v>
      </c>
      <c r="AD57" s="11">
        <f>IFERROR(__xludf.DUMMYFUNCTION("""COMPUTED_VALUE"""),65.0)</f>
        <v>65</v>
      </c>
    </row>
    <row r="58">
      <c r="A58" s="10" t="str">
        <f>IFERROR(__xludf.DUMMYFUNCTION("""COMPUTED_VALUE"""),"Challenger")</f>
        <v>Challenger</v>
      </c>
      <c r="B58" s="10" t="str">
        <f>IFERROR(__xludf.DUMMYFUNCTION("""COMPUTED_VALUE"""),"RSC008078")</f>
        <v>RSC008078</v>
      </c>
      <c r="C58" s="10" t="str">
        <f>IFERROR(__xludf.DUMMYFUNCTION("""COMPUTED_VALUE"""),"ADV3RSE.")</f>
        <v>ADV3RSE.</v>
      </c>
      <c r="D58" s="36" t="str">
        <f>IFERROR(__xludf.DUMMYFUNCTION("""COMPUTED_VALUE"""),"Cooks")</f>
        <v>Cooks</v>
      </c>
      <c r="E58" s="10" t="str">
        <f>IFERROR(__xludf.DUMMYFUNCTION("""COMPUTED_VALUE"""),"Solar")</f>
        <v>Solar</v>
      </c>
      <c r="F58" s="37">
        <f>IFERROR(__xludf.DUMMYFUNCTION("""COMPUTED_VALUE"""),77.70065524177859)</f>
        <v>77.70065524</v>
      </c>
      <c r="G58" s="38">
        <f>IFERROR(__xludf.DUMMYFUNCTION("""COMPUTED_VALUE"""),82.29311794363326)</f>
        <v>82.29311794</v>
      </c>
      <c r="H58" s="38">
        <f>IFERROR(__xludf.DUMMYFUNCTION("""COMPUTED_VALUE"""),79.99688659270592)</f>
        <v>79.99688659</v>
      </c>
      <c r="I58" s="14">
        <f>IFERROR(__xludf.DUMMYFUNCTION("""COMPUTED_VALUE"""),54.0)</f>
        <v>54</v>
      </c>
      <c r="J58" s="11">
        <f>IFERROR(__xludf.DUMMYFUNCTION("IFERROR(FILTER(Stats!$F:$Z,(Stats!$A:$A=$A58)*(Stats!$B:$B=$B58)))"),35.0)</f>
        <v>35</v>
      </c>
      <c r="K58" s="11">
        <f>IFERROR(__xludf.DUMMYFUNCTION("""COMPUTED_VALUE"""),19.0)</f>
        <v>19</v>
      </c>
      <c r="L58" s="12">
        <f>IFERROR(__xludf.DUMMYFUNCTION("""COMPUTED_VALUE"""),0.6481481481481481)</f>
        <v>0.6481481481</v>
      </c>
      <c r="M58" s="11">
        <f>IFERROR(__xludf.DUMMYFUNCTION("""COMPUTED_VALUE"""),14.0)</f>
        <v>14</v>
      </c>
      <c r="N58" s="11">
        <f>IFERROR(__xludf.DUMMYFUNCTION("""COMPUTED_VALUE"""),20118.0)</f>
        <v>20118</v>
      </c>
      <c r="O58" s="13">
        <f>IFERROR(__xludf.DUMMYFUNCTION("""COMPUTED_VALUE"""),52.0)</f>
        <v>52</v>
      </c>
      <c r="P58" s="14">
        <f>IFERROR(__xludf.DUMMYFUNCTION("""COMPUTED_VALUE"""),33.0)</f>
        <v>33</v>
      </c>
      <c r="Q58" s="13">
        <f>IFERROR(__xludf.DUMMYFUNCTION("""COMPUTED_VALUE"""),65.0)</f>
        <v>65</v>
      </c>
      <c r="R58" s="13">
        <f>IFERROR(__xludf.DUMMYFUNCTION("""COMPUTED_VALUE"""),175.0)</f>
        <v>175</v>
      </c>
      <c r="S58" s="15">
        <f>IFERROR(__xludf.DUMMYFUNCTION("""COMPUTED_VALUE"""),0.29714285714285715)</f>
        <v>0.2971428571</v>
      </c>
      <c r="T58" s="16">
        <f>IFERROR(__xludf.DUMMYFUNCTION("""COMPUTED_VALUE"""),372.55555555555554)</f>
        <v>372.5555556</v>
      </c>
      <c r="U58" s="16">
        <f>IFERROR(__xludf.DUMMYFUNCTION("""COMPUTED_VALUE"""),0.9629629629629629)</f>
        <v>0.962962963</v>
      </c>
      <c r="V58" s="16">
        <f>IFERROR(__xludf.DUMMYFUNCTION("""COMPUTED_VALUE"""),0.6111111111111112)</f>
        <v>0.6111111111</v>
      </c>
      <c r="W58" s="16">
        <f>IFERROR(__xludf.DUMMYFUNCTION("""COMPUTED_VALUE"""),1.2037037037037037)</f>
        <v>1.203703704</v>
      </c>
      <c r="X58" s="16">
        <f>IFERROR(__xludf.DUMMYFUNCTION("""COMPUTED_VALUE"""),3.240740740740741)</f>
        <v>3.240740741</v>
      </c>
      <c r="Y58" s="11">
        <f>IFERROR(__xludf.DUMMYFUNCTION("""COMPUTED_VALUE"""),8.0)</f>
        <v>8</v>
      </c>
      <c r="Z58" s="11">
        <f>IFERROR(__xludf.DUMMYFUNCTION("""COMPUTED_VALUE"""),5.0)</f>
        <v>5</v>
      </c>
      <c r="AA58" s="11">
        <f>IFERROR(__xludf.DUMMYFUNCTION("""COMPUTED_VALUE"""),1.0)</f>
        <v>1</v>
      </c>
      <c r="AB58" s="11">
        <f>IFERROR(__xludf.DUMMYFUNCTION("""COMPUTED_VALUE"""),5.0)</f>
        <v>5</v>
      </c>
      <c r="AC58" s="11">
        <f>IFERROR(__xludf.DUMMYFUNCTION("""COMPUTED_VALUE"""),44.0)</f>
        <v>44</v>
      </c>
      <c r="AD58" s="11">
        <f>IFERROR(__xludf.DUMMYFUNCTION("""COMPUTED_VALUE"""),28.0)</f>
        <v>28</v>
      </c>
    </row>
    <row r="59">
      <c r="A59" s="10" t="str">
        <f>IFERROR(__xludf.DUMMYFUNCTION("""COMPUTED_VALUE"""),"Challenger")</f>
        <v>Challenger</v>
      </c>
      <c r="B59" s="10" t="str">
        <f>IFERROR(__xludf.DUMMYFUNCTION("""COMPUTED_VALUE"""),"RSC008393")</f>
        <v>RSC008393</v>
      </c>
      <c r="C59" s="10" t="str">
        <f>IFERROR(__xludf.DUMMYFUNCTION("""COMPUTED_VALUE"""),"zerajule")</f>
        <v>zerajule</v>
      </c>
      <c r="D59" s="36" t="str">
        <f>IFERROR(__xludf.DUMMYFUNCTION("""COMPUTED_VALUE"""),"Olympic Knights")</f>
        <v>Olympic Knights</v>
      </c>
      <c r="E59" s="10" t="str">
        <f>IFERROR(__xludf.DUMMYFUNCTION("""COMPUTED_VALUE"""),"Solar")</f>
        <v>Solar</v>
      </c>
      <c r="F59" s="37">
        <f>IFERROR(__xludf.DUMMYFUNCTION("""COMPUTED_VALUE"""),75.79785460495914)</f>
        <v>75.7978546</v>
      </c>
      <c r="G59" s="38">
        <f>IFERROR(__xludf.DUMMYFUNCTION("""COMPUTED_VALUE"""),83.09658587889813)</f>
        <v>83.09658588</v>
      </c>
      <c r="H59" s="38">
        <f>IFERROR(__xludf.DUMMYFUNCTION("""COMPUTED_VALUE"""),79.44722024192863)</f>
        <v>79.44722024</v>
      </c>
      <c r="I59" s="14">
        <f>IFERROR(__xludf.DUMMYFUNCTION("""COMPUTED_VALUE"""),51.0)</f>
        <v>51</v>
      </c>
      <c r="J59" s="11">
        <f>IFERROR(__xludf.DUMMYFUNCTION("IFERROR(FILTER(Stats!$F:$Z,(Stats!$A:$A=$A59)*(Stats!$B:$B=$B59)))"),36.0)</f>
        <v>36</v>
      </c>
      <c r="K59" s="11">
        <f>IFERROR(__xludf.DUMMYFUNCTION("""COMPUTED_VALUE"""),15.0)</f>
        <v>15</v>
      </c>
      <c r="L59" s="12">
        <f>IFERROR(__xludf.DUMMYFUNCTION("""COMPUTED_VALUE"""),0.7058823529411765)</f>
        <v>0.7058823529</v>
      </c>
      <c r="M59" s="11">
        <f>IFERROR(__xludf.DUMMYFUNCTION("""COMPUTED_VALUE"""),17.0)</f>
        <v>17</v>
      </c>
      <c r="N59" s="11">
        <f>IFERROR(__xludf.DUMMYFUNCTION("""COMPUTED_VALUE"""),18820.0)</f>
        <v>18820</v>
      </c>
      <c r="O59" s="13">
        <f>IFERROR(__xludf.DUMMYFUNCTION("""COMPUTED_VALUE"""),55.0)</f>
        <v>55</v>
      </c>
      <c r="P59" s="14">
        <f>IFERROR(__xludf.DUMMYFUNCTION("""COMPUTED_VALUE"""),22.0)</f>
        <v>22</v>
      </c>
      <c r="Q59" s="13">
        <f>IFERROR(__xludf.DUMMYFUNCTION("""COMPUTED_VALUE"""),48.0)</f>
        <v>48</v>
      </c>
      <c r="R59" s="13">
        <f>IFERROR(__xludf.DUMMYFUNCTION("""COMPUTED_VALUE"""),160.0)</f>
        <v>160</v>
      </c>
      <c r="S59" s="15">
        <f>IFERROR(__xludf.DUMMYFUNCTION("""COMPUTED_VALUE"""),0.34375)</f>
        <v>0.34375</v>
      </c>
      <c r="T59" s="16">
        <f>IFERROR(__xludf.DUMMYFUNCTION("""COMPUTED_VALUE"""),369.01960784313724)</f>
        <v>369.0196078</v>
      </c>
      <c r="U59" s="16">
        <f>IFERROR(__xludf.DUMMYFUNCTION("""COMPUTED_VALUE"""),1.0784313725490196)</f>
        <v>1.078431373</v>
      </c>
      <c r="V59" s="16">
        <f>IFERROR(__xludf.DUMMYFUNCTION("""COMPUTED_VALUE"""),0.43137254901960786)</f>
        <v>0.431372549</v>
      </c>
      <c r="W59" s="16">
        <f>IFERROR(__xludf.DUMMYFUNCTION("""COMPUTED_VALUE"""),0.9411764705882353)</f>
        <v>0.9411764706</v>
      </c>
      <c r="X59" s="16">
        <f>IFERROR(__xludf.DUMMYFUNCTION("""COMPUTED_VALUE"""),3.1372549019607843)</f>
        <v>3.137254902</v>
      </c>
      <c r="Y59" s="11">
        <f>IFERROR(__xludf.DUMMYFUNCTION("""COMPUTED_VALUE"""),7.0)</f>
        <v>7</v>
      </c>
      <c r="Z59" s="11">
        <f>IFERROR(__xludf.DUMMYFUNCTION("""COMPUTED_VALUE"""),3.0)</f>
        <v>3</v>
      </c>
      <c r="AA59" s="11">
        <f>IFERROR(__xludf.DUMMYFUNCTION("""COMPUTED_VALUE"""),0.0)</f>
        <v>0</v>
      </c>
      <c r="AB59" s="11">
        <f>IFERROR(__xludf.DUMMYFUNCTION("""COMPUTED_VALUE"""),3.0)</f>
        <v>3</v>
      </c>
      <c r="AC59" s="11">
        <f>IFERROR(__xludf.DUMMYFUNCTION("""COMPUTED_VALUE"""),40.0)</f>
        <v>40</v>
      </c>
      <c r="AD59" s="11">
        <f>IFERROR(__xludf.DUMMYFUNCTION("""COMPUTED_VALUE"""),44.0)</f>
        <v>44</v>
      </c>
    </row>
    <row r="60">
      <c r="A60" s="10" t="str">
        <f>IFERROR(__xludf.DUMMYFUNCTION("""COMPUTED_VALUE"""),"Challenger")</f>
        <v>Challenger</v>
      </c>
      <c r="B60" s="10" t="str">
        <f>IFERROR(__xludf.DUMMYFUNCTION("""COMPUTED_VALUE"""),"RSC007190")</f>
        <v>RSC007190</v>
      </c>
      <c r="C60" s="10" t="str">
        <f>IFERROR(__xludf.DUMMYFUNCTION("""COMPUTED_VALUE"""),"Cagiestsafe6")</f>
        <v>Cagiestsafe6</v>
      </c>
      <c r="D60" s="36" t="str">
        <f>IFERROR(__xludf.DUMMYFUNCTION("""COMPUTED_VALUE"""),"Thunder Pups")</f>
        <v>Thunder Pups</v>
      </c>
      <c r="E60" s="10" t="str">
        <f>IFERROR(__xludf.DUMMYFUNCTION("""COMPUTED_VALUE"""),"Solar")</f>
        <v>Solar</v>
      </c>
      <c r="F60" s="37">
        <f>IFERROR(__xludf.DUMMYFUNCTION("""COMPUTED_VALUE"""),74.28403222595922)</f>
        <v>74.28403223</v>
      </c>
      <c r="G60" s="38">
        <f>IFERROR(__xludf.DUMMYFUNCTION("""COMPUTED_VALUE"""),78.35616460051017)</f>
        <v>78.3561646</v>
      </c>
      <c r="H60" s="38">
        <f>IFERROR(__xludf.DUMMYFUNCTION("""COMPUTED_VALUE"""),76.32009841323469)</f>
        <v>76.32009841</v>
      </c>
      <c r="I60" s="14">
        <f>IFERROR(__xludf.DUMMYFUNCTION("""COMPUTED_VALUE"""),51.0)</f>
        <v>51</v>
      </c>
      <c r="J60" s="11">
        <f>IFERROR(__xludf.DUMMYFUNCTION("IFERROR(FILTER(Stats!$F:$Z,(Stats!$A:$A=$A60)*(Stats!$B:$B=$B60)))"),28.0)</f>
        <v>28</v>
      </c>
      <c r="K60" s="11">
        <f>IFERROR(__xludf.DUMMYFUNCTION("""COMPUTED_VALUE"""),23.0)</f>
        <v>23</v>
      </c>
      <c r="L60" s="12">
        <f>IFERROR(__xludf.DUMMYFUNCTION("""COMPUTED_VALUE"""),0.5490196078431373)</f>
        <v>0.5490196078</v>
      </c>
      <c r="M60" s="11">
        <f>IFERROR(__xludf.DUMMYFUNCTION("""COMPUTED_VALUE"""),12.0)</f>
        <v>12</v>
      </c>
      <c r="N60" s="11">
        <f>IFERROR(__xludf.DUMMYFUNCTION("""COMPUTED_VALUE"""),21159.0)</f>
        <v>21159</v>
      </c>
      <c r="O60" s="13">
        <f>IFERROR(__xludf.DUMMYFUNCTION("""COMPUTED_VALUE"""),58.0)</f>
        <v>58</v>
      </c>
      <c r="P60" s="14">
        <f>IFERROR(__xludf.DUMMYFUNCTION("""COMPUTED_VALUE"""),28.0)</f>
        <v>28</v>
      </c>
      <c r="Q60" s="13">
        <f>IFERROR(__xludf.DUMMYFUNCTION("""COMPUTED_VALUE"""),76.0)</f>
        <v>76</v>
      </c>
      <c r="R60" s="13">
        <f>IFERROR(__xludf.DUMMYFUNCTION("""COMPUTED_VALUE"""),146.0)</f>
        <v>146</v>
      </c>
      <c r="S60" s="15">
        <f>IFERROR(__xludf.DUMMYFUNCTION("""COMPUTED_VALUE"""),0.3972602739726027)</f>
        <v>0.397260274</v>
      </c>
      <c r="T60" s="16">
        <f>IFERROR(__xludf.DUMMYFUNCTION("""COMPUTED_VALUE"""),414.88235294117646)</f>
        <v>414.8823529</v>
      </c>
      <c r="U60" s="16">
        <f>IFERROR(__xludf.DUMMYFUNCTION("""COMPUTED_VALUE"""),1.1372549019607843)</f>
        <v>1.137254902</v>
      </c>
      <c r="V60" s="16">
        <f>IFERROR(__xludf.DUMMYFUNCTION("""COMPUTED_VALUE"""),0.5490196078431373)</f>
        <v>0.5490196078</v>
      </c>
      <c r="W60" s="16">
        <f>IFERROR(__xludf.DUMMYFUNCTION("""COMPUTED_VALUE"""),1.4901960784313726)</f>
        <v>1.490196078</v>
      </c>
      <c r="X60" s="16">
        <f>IFERROR(__xludf.DUMMYFUNCTION("""COMPUTED_VALUE"""),2.8627450980392157)</f>
        <v>2.862745098</v>
      </c>
      <c r="Y60" s="11">
        <f>IFERROR(__xludf.DUMMYFUNCTION("""COMPUTED_VALUE"""),10.0)</f>
        <v>10</v>
      </c>
      <c r="Z60" s="11">
        <f>IFERROR(__xludf.DUMMYFUNCTION("""COMPUTED_VALUE"""),3.0)</f>
        <v>3</v>
      </c>
      <c r="AA60" s="11">
        <f>IFERROR(__xludf.DUMMYFUNCTION("""COMPUTED_VALUE"""),0.0)</f>
        <v>0</v>
      </c>
      <c r="AB60" s="11">
        <f>IFERROR(__xludf.DUMMYFUNCTION("""COMPUTED_VALUE"""),12.0)</f>
        <v>12</v>
      </c>
      <c r="AC60" s="11">
        <f>IFERROR(__xludf.DUMMYFUNCTION("""COMPUTED_VALUE"""),34.0)</f>
        <v>34</v>
      </c>
      <c r="AD60" s="11">
        <f>IFERROR(__xludf.DUMMYFUNCTION("""COMPUTED_VALUE"""),58.0)</f>
        <v>58</v>
      </c>
    </row>
    <row r="61">
      <c r="A61" s="10" t="str">
        <f>IFERROR(__xludf.DUMMYFUNCTION("""COMPUTED_VALUE"""),"Challenger")</f>
        <v>Challenger</v>
      </c>
      <c r="B61" s="10" t="str">
        <f>IFERROR(__xludf.DUMMYFUNCTION("""COMPUTED_VALUE"""),"RSC005603")</f>
        <v>RSC005603</v>
      </c>
      <c r="C61" s="10" t="str">
        <f>IFERROR(__xludf.DUMMYFUNCTION("""COMPUTED_VALUE"""),"Meta.Rl-")</f>
        <v>Meta.Rl-</v>
      </c>
      <c r="D61" s="36" t="str">
        <f>IFERROR(__xludf.DUMMYFUNCTION("""COMPUTED_VALUE"""),"Insider Traders")</f>
        <v>Insider Traders</v>
      </c>
      <c r="E61" s="10" t="str">
        <f>IFERROR(__xludf.DUMMYFUNCTION("""COMPUTED_VALUE"""),"Lunar")</f>
        <v>Lunar</v>
      </c>
      <c r="F61" s="37">
        <f>IFERROR(__xludf.DUMMYFUNCTION("""COMPUTED_VALUE"""),74.9795526971508)</f>
        <v>74.9795527</v>
      </c>
      <c r="G61" s="38">
        <f>IFERROR(__xludf.DUMMYFUNCTION("""COMPUTED_VALUE"""),75.63058155835999)</f>
        <v>75.63058156</v>
      </c>
      <c r="H61" s="38">
        <f>IFERROR(__xludf.DUMMYFUNCTION("""COMPUTED_VALUE"""),75.3050671277554)</f>
        <v>75.30506713</v>
      </c>
      <c r="I61" s="14">
        <f>IFERROR(__xludf.DUMMYFUNCTION("""COMPUTED_VALUE"""),49.0)</f>
        <v>49</v>
      </c>
      <c r="J61" s="11">
        <f>IFERROR(__xludf.DUMMYFUNCTION("IFERROR(FILTER(Stats!$F:$Z,(Stats!$A:$A=$A61)*(Stats!$B:$B=$B61)))"),27.0)</f>
        <v>27</v>
      </c>
      <c r="K61" s="11">
        <f>IFERROR(__xludf.DUMMYFUNCTION("""COMPUTED_VALUE"""),22.0)</f>
        <v>22</v>
      </c>
      <c r="L61" s="12">
        <f>IFERROR(__xludf.DUMMYFUNCTION("""COMPUTED_VALUE"""),0.5510204081632653)</f>
        <v>0.5510204082</v>
      </c>
      <c r="M61" s="11">
        <f>IFERROR(__xludf.DUMMYFUNCTION("""COMPUTED_VALUE"""),14.0)</f>
        <v>14</v>
      </c>
      <c r="N61" s="11">
        <f>IFERROR(__xludf.DUMMYFUNCTION("""COMPUTED_VALUE"""),18183.0)</f>
        <v>18183</v>
      </c>
      <c r="O61" s="13">
        <f>IFERROR(__xludf.DUMMYFUNCTION("""COMPUTED_VALUE"""),53.0)</f>
        <v>53</v>
      </c>
      <c r="P61" s="14">
        <f>IFERROR(__xludf.DUMMYFUNCTION("""COMPUTED_VALUE"""),26.0)</f>
        <v>26</v>
      </c>
      <c r="Q61" s="13">
        <f>IFERROR(__xludf.DUMMYFUNCTION("""COMPUTED_VALUE"""),54.0)</f>
        <v>54</v>
      </c>
      <c r="R61" s="13">
        <f>IFERROR(__xludf.DUMMYFUNCTION("""COMPUTED_VALUE"""),134.0)</f>
        <v>134</v>
      </c>
      <c r="S61" s="15">
        <f>IFERROR(__xludf.DUMMYFUNCTION("""COMPUTED_VALUE"""),0.39552238805970147)</f>
        <v>0.3955223881</v>
      </c>
      <c r="T61" s="16">
        <f>IFERROR(__xludf.DUMMYFUNCTION("""COMPUTED_VALUE"""),371.0816326530612)</f>
        <v>371.0816327</v>
      </c>
      <c r="U61" s="16">
        <f>IFERROR(__xludf.DUMMYFUNCTION("""COMPUTED_VALUE"""),1.0816326530612246)</f>
        <v>1.081632653</v>
      </c>
      <c r="V61" s="16">
        <f>IFERROR(__xludf.DUMMYFUNCTION("""COMPUTED_VALUE"""),0.5306122448979592)</f>
        <v>0.5306122449</v>
      </c>
      <c r="W61" s="16">
        <f>IFERROR(__xludf.DUMMYFUNCTION("""COMPUTED_VALUE"""),1.1020408163265305)</f>
        <v>1.102040816</v>
      </c>
      <c r="X61" s="16">
        <f>IFERROR(__xludf.DUMMYFUNCTION("""COMPUTED_VALUE"""),2.7346938775510203)</f>
        <v>2.734693878</v>
      </c>
      <c r="Y61" s="11">
        <f>IFERROR(__xludf.DUMMYFUNCTION("""COMPUTED_VALUE"""),7.0)</f>
        <v>7</v>
      </c>
      <c r="Z61" s="11">
        <f>IFERROR(__xludf.DUMMYFUNCTION("""COMPUTED_VALUE"""),6.0)</f>
        <v>6</v>
      </c>
      <c r="AA61" s="11">
        <f>IFERROR(__xludf.DUMMYFUNCTION("""COMPUTED_VALUE"""),0.0)</f>
        <v>0</v>
      </c>
      <c r="AB61" s="11">
        <f>IFERROR(__xludf.DUMMYFUNCTION("""COMPUTED_VALUE"""),5.0)</f>
        <v>5</v>
      </c>
      <c r="AC61" s="11">
        <f>IFERROR(__xludf.DUMMYFUNCTION("""COMPUTED_VALUE"""),54.0)</f>
        <v>54</v>
      </c>
      <c r="AD61" s="11">
        <f>IFERROR(__xludf.DUMMYFUNCTION("""COMPUTED_VALUE"""),36.0)</f>
        <v>36</v>
      </c>
    </row>
    <row r="62">
      <c r="A62" s="10" t="str">
        <f>IFERROR(__xludf.DUMMYFUNCTION("""COMPUTED_VALUE"""),"Challenger")</f>
        <v>Challenger</v>
      </c>
      <c r="B62" s="10" t="str">
        <f>IFERROR(__xludf.DUMMYFUNCTION("""COMPUTED_VALUE"""),"RSC006923")</f>
        <v>RSC006923</v>
      </c>
      <c r="C62" s="10" t="str">
        <f>IFERROR(__xludf.DUMMYFUNCTION("""COMPUTED_VALUE"""),"LostZealous")</f>
        <v>LostZealous</v>
      </c>
      <c r="D62" s="36" t="str">
        <f>IFERROR(__xludf.DUMMYFUNCTION("""COMPUTED_VALUE"""),"Zombies")</f>
        <v>Zombies</v>
      </c>
      <c r="E62" s="10" t="str">
        <f>IFERROR(__xludf.DUMMYFUNCTION("""COMPUTED_VALUE"""),"Lunar")</f>
        <v>Lunar</v>
      </c>
      <c r="F62" s="37">
        <f>IFERROR(__xludf.DUMMYFUNCTION("""COMPUTED_VALUE"""),77.79969488157144)</f>
        <v>77.79969488</v>
      </c>
      <c r="G62" s="38">
        <f>IFERROR(__xludf.DUMMYFUNCTION("""COMPUTED_VALUE"""),71.3942844460365)</f>
        <v>71.39428445</v>
      </c>
      <c r="H62" s="38">
        <f>IFERROR(__xludf.DUMMYFUNCTION("""COMPUTED_VALUE"""),74.59698966380397)</f>
        <v>74.59698966</v>
      </c>
      <c r="I62" s="14">
        <f>IFERROR(__xludf.DUMMYFUNCTION("""COMPUTED_VALUE"""),52.0)</f>
        <v>52</v>
      </c>
      <c r="J62" s="11">
        <f>IFERROR(__xludf.DUMMYFUNCTION("IFERROR(FILTER(Stats!$F:$Z,(Stats!$A:$A=$A62)*(Stats!$B:$B=$B62)))"),29.0)</f>
        <v>29</v>
      </c>
      <c r="K62" s="11">
        <f>IFERROR(__xludf.DUMMYFUNCTION("""COMPUTED_VALUE"""),23.0)</f>
        <v>23</v>
      </c>
      <c r="L62" s="12">
        <f>IFERROR(__xludf.DUMMYFUNCTION("""COMPUTED_VALUE"""),0.5576923076923077)</f>
        <v>0.5576923077</v>
      </c>
      <c r="M62" s="11">
        <f>IFERROR(__xludf.DUMMYFUNCTION("""COMPUTED_VALUE"""),15.0)</f>
        <v>15</v>
      </c>
      <c r="N62" s="11">
        <f>IFERROR(__xludf.DUMMYFUNCTION("""COMPUTED_VALUE"""),20145.0)</f>
        <v>20145</v>
      </c>
      <c r="O62" s="13">
        <f>IFERROR(__xludf.DUMMYFUNCTION("""COMPUTED_VALUE"""),48.0)</f>
        <v>48</v>
      </c>
      <c r="P62" s="14">
        <f>IFERROR(__xludf.DUMMYFUNCTION("""COMPUTED_VALUE"""),28.0)</f>
        <v>28</v>
      </c>
      <c r="Q62" s="13">
        <f>IFERROR(__xludf.DUMMYFUNCTION("""COMPUTED_VALUE"""),63.0)</f>
        <v>63</v>
      </c>
      <c r="R62" s="13">
        <f>IFERROR(__xludf.DUMMYFUNCTION("""COMPUTED_VALUE"""),154.0)</f>
        <v>154</v>
      </c>
      <c r="S62" s="15">
        <f>IFERROR(__xludf.DUMMYFUNCTION("""COMPUTED_VALUE"""),0.3116883116883117)</f>
        <v>0.3116883117</v>
      </c>
      <c r="T62" s="16">
        <f>IFERROR(__xludf.DUMMYFUNCTION("""COMPUTED_VALUE"""),387.40384615384613)</f>
        <v>387.4038462</v>
      </c>
      <c r="U62" s="16">
        <f>IFERROR(__xludf.DUMMYFUNCTION("""COMPUTED_VALUE"""),0.9230769230769231)</f>
        <v>0.9230769231</v>
      </c>
      <c r="V62" s="16">
        <f>IFERROR(__xludf.DUMMYFUNCTION("""COMPUTED_VALUE"""),0.5384615384615384)</f>
        <v>0.5384615385</v>
      </c>
      <c r="W62" s="16">
        <f>IFERROR(__xludf.DUMMYFUNCTION("""COMPUTED_VALUE"""),1.2115384615384615)</f>
        <v>1.211538462</v>
      </c>
      <c r="X62" s="16">
        <f>IFERROR(__xludf.DUMMYFUNCTION("""COMPUTED_VALUE"""),2.9615384615384617)</f>
        <v>2.961538462</v>
      </c>
      <c r="Y62" s="11">
        <f>IFERROR(__xludf.DUMMYFUNCTION("""COMPUTED_VALUE"""),9.0)</f>
        <v>9</v>
      </c>
      <c r="Z62" s="11">
        <f>IFERROR(__xludf.DUMMYFUNCTION("""COMPUTED_VALUE"""),3.0)</f>
        <v>3</v>
      </c>
      <c r="AA62" s="11">
        <f>IFERROR(__xludf.DUMMYFUNCTION("""COMPUTED_VALUE"""),1.0)</f>
        <v>1</v>
      </c>
      <c r="AB62" s="11">
        <f>IFERROR(__xludf.DUMMYFUNCTION("""COMPUTED_VALUE"""),8.0)</f>
        <v>8</v>
      </c>
      <c r="AC62" s="11">
        <f>IFERROR(__xludf.DUMMYFUNCTION("""COMPUTED_VALUE"""),80.0)</f>
        <v>80</v>
      </c>
      <c r="AD62" s="11">
        <f>IFERROR(__xludf.DUMMYFUNCTION("""COMPUTED_VALUE"""),55.0)</f>
        <v>55</v>
      </c>
    </row>
    <row r="63">
      <c r="A63" s="10" t="str">
        <f>IFERROR(__xludf.DUMMYFUNCTION("""COMPUTED_VALUE"""),"Challenger")</f>
        <v>Challenger</v>
      </c>
      <c r="B63" s="10" t="str">
        <f>IFERROR(__xludf.DUMMYFUNCTION("""COMPUTED_VALUE"""),"RSC004618")</f>
        <v>RSC004618</v>
      </c>
      <c r="C63" s="10" t="str">
        <f>IFERROR(__xludf.DUMMYFUNCTION("""COMPUTED_VALUE"""),"Squirrel")</f>
        <v>Squirrel</v>
      </c>
      <c r="D63" s="36" t="str">
        <f>IFERROR(__xludf.DUMMYFUNCTION("""COMPUTED_VALUE"""),"Spearmint")</f>
        <v>Spearmint</v>
      </c>
      <c r="E63" s="10" t="str">
        <f>IFERROR(__xludf.DUMMYFUNCTION("""COMPUTED_VALUE"""),"Solar")</f>
        <v>Solar</v>
      </c>
      <c r="F63" s="37">
        <f>IFERROR(__xludf.DUMMYFUNCTION("""COMPUTED_VALUE"""),74.73891703429949)</f>
        <v>74.73891703</v>
      </c>
      <c r="G63" s="38">
        <f>IFERROR(__xludf.DUMMYFUNCTION("""COMPUTED_VALUE"""),74.42172204519919)</f>
        <v>74.42172205</v>
      </c>
      <c r="H63" s="38">
        <f>IFERROR(__xludf.DUMMYFUNCTION("""COMPUTED_VALUE"""),74.58031953974934)</f>
        <v>74.58031954</v>
      </c>
      <c r="I63" s="14">
        <f>IFERROR(__xludf.DUMMYFUNCTION("""COMPUTED_VALUE"""),38.0)</f>
        <v>38</v>
      </c>
      <c r="J63" s="11">
        <f>IFERROR(__xludf.DUMMYFUNCTION("IFERROR(FILTER(Stats!$F:$Z,(Stats!$A:$A=$A63)*(Stats!$B:$B=$B63)))"),22.0)</f>
        <v>22</v>
      </c>
      <c r="K63" s="11">
        <f>IFERROR(__xludf.DUMMYFUNCTION("""COMPUTED_VALUE"""),16.0)</f>
        <v>16</v>
      </c>
      <c r="L63" s="12">
        <f>IFERROR(__xludf.DUMMYFUNCTION("""COMPUTED_VALUE"""),0.5789473684210527)</f>
        <v>0.5789473684</v>
      </c>
      <c r="M63" s="11">
        <f>IFERROR(__xludf.DUMMYFUNCTION("""COMPUTED_VALUE"""),9.0)</f>
        <v>9</v>
      </c>
      <c r="N63" s="11">
        <f>IFERROR(__xludf.DUMMYFUNCTION("""COMPUTED_VALUE"""),14377.0)</f>
        <v>14377</v>
      </c>
      <c r="O63" s="13">
        <f>IFERROR(__xludf.DUMMYFUNCTION("""COMPUTED_VALUE"""),31.0)</f>
        <v>31</v>
      </c>
      <c r="P63" s="14">
        <f>IFERROR(__xludf.DUMMYFUNCTION("""COMPUTED_VALUE"""),27.0)</f>
        <v>27</v>
      </c>
      <c r="Q63" s="13">
        <f>IFERROR(__xludf.DUMMYFUNCTION("""COMPUTED_VALUE"""),51.0)</f>
        <v>51</v>
      </c>
      <c r="R63" s="13">
        <f>IFERROR(__xludf.DUMMYFUNCTION("""COMPUTED_VALUE"""),103.0)</f>
        <v>103</v>
      </c>
      <c r="S63" s="15">
        <f>IFERROR(__xludf.DUMMYFUNCTION("""COMPUTED_VALUE"""),0.30097087378640774)</f>
        <v>0.3009708738</v>
      </c>
      <c r="T63" s="16">
        <f>IFERROR(__xludf.DUMMYFUNCTION("""COMPUTED_VALUE"""),378.3421052631579)</f>
        <v>378.3421053</v>
      </c>
      <c r="U63" s="16">
        <f>IFERROR(__xludf.DUMMYFUNCTION("""COMPUTED_VALUE"""),0.8157894736842105)</f>
        <v>0.8157894737</v>
      </c>
      <c r="V63" s="16">
        <f>IFERROR(__xludf.DUMMYFUNCTION("""COMPUTED_VALUE"""),0.7105263157894737)</f>
        <v>0.7105263158</v>
      </c>
      <c r="W63" s="16">
        <f>IFERROR(__xludf.DUMMYFUNCTION("""COMPUTED_VALUE"""),1.3421052631578947)</f>
        <v>1.342105263</v>
      </c>
      <c r="X63" s="16">
        <f>IFERROR(__xludf.DUMMYFUNCTION("""COMPUTED_VALUE"""),2.710526315789474)</f>
        <v>2.710526316</v>
      </c>
      <c r="Y63" s="11">
        <f>IFERROR(__xludf.DUMMYFUNCTION("""COMPUTED_VALUE"""),13.0)</f>
        <v>13</v>
      </c>
      <c r="Z63" s="11">
        <f>IFERROR(__xludf.DUMMYFUNCTION("""COMPUTED_VALUE"""),2.0)</f>
        <v>2</v>
      </c>
      <c r="AA63" s="11">
        <f>IFERROR(__xludf.DUMMYFUNCTION("""COMPUTED_VALUE"""),1.0)</f>
        <v>1</v>
      </c>
      <c r="AB63" s="11">
        <f>IFERROR(__xludf.DUMMYFUNCTION("""COMPUTED_VALUE"""),4.0)</f>
        <v>4</v>
      </c>
      <c r="AC63" s="11">
        <f>IFERROR(__xludf.DUMMYFUNCTION("""COMPUTED_VALUE"""),62.0)</f>
        <v>62</v>
      </c>
      <c r="AD63" s="11">
        <f>IFERROR(__xludf.DUMMYFUNCTION("""COMPUTED_VALUE"""),28.0)</f>
        <v>28</v>
      </c>
    </row>
    <row r="64">
      <c r="A64" s="10" t="str">
        <f>IFERROR(__xludf.DUMMYFUNCTION("""COMPUTED_VALUE"""),"Challenger")</f>
        <v>Challenger</v>
      </c>
      <c r="B64" s="10" t="str">
        <f>IFERROR(__xludf.DUMMYFUNCTION("""COMPUTED_VALUE"""),"RSC008251")</f>
        <v>RSC008251</v>
      </c>
      <c r="C64" s="10" t="str">
        <f>IFERROR(__xludf.DUMMYFUNCTION("""COMPUTED_VALUE"""),"Honey x Badger3")</f>
        <v>Honey x Badger3</v>
      </c>
      <c r="D64" s="36" t="str">
        <f>IFERROR(__xludf.DUMMYFUNCTION("""COMPUTED_VALUE"""),"Happy B-day Jess
Corals")</f>
        <v>Happy B-day Jess
Corals</v>
      </c>
      <c r="E64" s="10" t="str">
        <f>IFERROR(__xludf.DUMMYFUNCTION("""COMPUTED_VALUE"""),"Lunar
Lunar")</f>
        <v>Lunar
Lunar</v>
      </c>
      <c r="F64" s="37">
        <f>IFERROR(__xludf.DUMMYFUNCTION("""COMPUTED_VALUE"""),69.69736582525388)</f>
        <v>69.69736583</v>
      </c>
      <c r="G64" s="38">
        <f>IFERROR(__xludf.DUMMYFUNCTION("""COMPUTED_VALUE"""),75.94619083331041)</f>
        <v>75.94619083</v>
      </c>
      <c r="H64" s="38">
        <f>IFERROR(__xludf.DUMMYFUNCTION("""COMPUTED_VALUE"""),72.82177832928215)</f>
        <v>72.82177833</v>
      </c>
      <c r="I64" s="14">
        <f>IFERROR(__xludf.DUMMYFUNCTION("""COMPUTED_VALUE"""),40.0)</f>
        <v>40</v>
      </c>
      <c r="J64" s="11">
        <f>IFERROR(__xludf.DUMMYFUNCTION("IFERROR(FILTER(Stats!$F:$Z,(Stats!$A:$A=$A64)*(Stats!$B:$B=$B64)))"),23.0)</f>
        <v>23</v>
      </c>
      <c r="K64" s="11">
        <f>IFERROR(__xludf.DUMMYFUNCTION("""COMPUTED_VALUE"""),17.0)</f>
        <v>17</v>
      </c>
      <c r="L64" s="12">
        <f>IFERROR(__xludf.DUMMYFUNCTION("""COMPUTED_VALUE"""),0.575)</f>
        <v>0.575</v>
      </c>
      <c r="M64" s="11">
        <f>IFERROR(__xludf.DUMMYFUNCTION("""COMPUTED_VALUE"""),7.0)</f>
        <v>7</v>
      </c>
      <c r="N64" s="11">
        <f>IFERROR(__xludf.DUMMYFUNCTION("""COMPUTED_VALUE"""),14191.0)</f>
        <v>14191</v>
      </c>
      <c r="O64" s="13">
        <f>IFERROR(__xludf.DUMMYFUNCTION("""COMPUTED_VALUE"""),34.0)</f>
        <v>34</v>
      </c>
      <c r="P64" s="14">
        <f>IFERROR(__xludf.DUMMYFUNCTION("""COMPUTED_VALUE"""),29.0)</f>
        <v>29</v>
      </c>
      <c r="Q64" s="13">
        <f>IFERROR(__xludf.DUMMYFUNCTION("""COMPUTED_VALUE"""),41.0)</f>
        <v>41</v>
      </c>
      <c r="R64" s="13">
        <f>IFERROR(__xludf.DUMMYFUNCTION("""COMPUTED_VALUE"""),124.0)</f>
        <v>124</v>
      </c>
      <c r="S64" s="15">
        <f>IFERROR(__xludf.DUMMYFUNCTION("""COMPUTED_VALUE"""),0.27419354838709675)</f>
        <v>0.2741935484</v>
      </c>
      <c r="T64" s="16">
        <f>IFERROR(__xludf.DUMMYFUNCTION("""COMPUTED_VALUE"""),354.775)</f>
        <v>354.775</v>
      </c>
      <c r="U64" s="16">
        <f>IFERROR(__xludf.DUMMYFUNCTION("""COMPUTED_VALUE"""),0.85)</f>
        <v>0.85</v>
      </c>
      <c r="V64" s="16">
        <f>IFERROR(__xludf.DUMMYFUNCTION("""COMPUTED_VALUE"""),0.725)</f>
        <v>0.725</v>
      </c>
      <c r="W64" s="16">
        <f>IFERROR(__xludf.DUMMYFUNCTION("""COMPUTED_VALUE"""),1.025)</f>
        <v>1.025</v>
      </c>
      <c r="X64" s="16">
        <f>IFERROR(__xludf.DUMMYFUNCTION("""COMPUTED_VALUE"""),3.1)</f>
        <v>3.1</v>
      </c>
      <c r="Y64" s="11">
        <f>IFERROR(__xludf.DUMMYFUNCTION("""COMPUTED_VALUE"""),10.0)</f>
        <v>10</v>
      </c>
      <c r="Z64" s="11">
        <f>IFERROR(__xludf.DUMMYFUNCTION("""COMPUTED_VALUE"""),2.0)</f>
        <v>2</v>
      </c>
      <c r="AA64" s="11">
        <f>IFERROR(__xludf.DUMMYFUNCTION("""COMPUTED_VALUE"""),1.0)</f>
        <v>1</v>
      </c>
      <c r="AB64" s="11">
        <f>IFERROR(__xludf.DUMMYFUNCTION("""COMPUTED_VALUE"""),2.0)</f>
        <v>2</v>
      </c>
      <c r="AC64" s="11">
        <f>IFERROR(__xludf.DUMMYFUNCTION("""COMPUTED_VALUE"""),54.0)</f>
        <v>54</v>
      </c>
      <c r="AD64" s="11">
        <f>IFERROR(__xludf.DUMMYFUNCTION("""COMPUTED_VALUE"""),30.0)</f>
        <v>30</v>
      </c>
    </row>
    <row r="65">
      <c r="A65" s="10" t="str">
        <f>IFERROR(__xludf.DUMMYFUNCTION("""COMPUTED_VALUE"""),"Challenger")</f>
        <v>Challenger</v>
      </c>
      <c r="B65" s="10" t="str">
        <f>IFERROR(__xludf.DUMMYFUNCTION("""COMPUTED_VALUE"""),"RSC007911")</f>
        <v>RSC007911</v>
      </c>
      <c r="C65" s="10" t="str">
        <f>IFERROR(__xludf.DUMMYFUNCTION("""COMPUTED_VALUE"""),"Redhood913011")</f>
        <v>Redhood913011</v>
      </c>
      <c r="D65" s="36" t="str">
        <f>IFERROR(__xludf.DUMMYFUNCTION("""COMPUTED_VALUE"""),"Gold Hoarders
Sirens")</f>
        <v>Gold Hoarders
Sirens</v>
      </c>
      <c r="E65" s="10" t="str">
        <f>IFERROR(__xludf.DUMMYFUNCTION("""COMPUTED_VALUE"""),"Lunar
Solar")</f>
        <v>Lunar
Solar</v>
      </c>
      <c r="F65" s="37">
        <f>IFERROR(__xludf.DUMMYFUNCTION("""COMPUTED_VALUE"""),77.44378719091824)</f>
        <v>77.44378719</v>
      </c>
      <c r="G65" s="38">
        <f>IFERROR(__xludf.DUMMYFUNCTION("""COMPUTED_VALUE"""),68.18594118558426)</f>
        <v>68.18594119</v>
      </c>
      <c r="H65" s="38">
        <f>IFERROR(__xludf.DUMMYFUNCTION("""COMPUTED_VALUE"""),72.81486418825125)</f>
        <v>72.81486419</v>
      </c>
      <c r="I65" s="14">
        <f>IFERROR(__xludf.DUMMYFUNCTION("""COMPUTED_VALUE"""),51.0)</f>
        <v>51</v>
      </c>
      <c r="J65" s="11">
        <f>IFERROR(__xludf.DUMMYFUNCTION("IFERROR(FILTER(Stats!$F:$Z,(Stats!$A:$A=$A65)*(Stats!$B:$B=$B65)))"),25.0)</f>
        <v>25</v>
      </c>
      <c r="K65" s="11">
        <f>IFERROR(__xludf.DUMMYFUNCTION("""COMPUTED_VALUE"""),26.0)</f>
        <v>26</v>
      </c>
      <c r="L65" s="12">
        <f>IFERROR(__xludf.DUMMYFUNCTION("""COMPUTED_VALUE"""),0.49019607843137253)</f>
        <v>0.4901960784</v>
      </c>
      <c r="M65" s="11">
        <f>IFERROR(__xludf.DUMMYFUNCTION("""COMPUTED_VALUE"""),11.0)</f>
        <v>11</v>
      </c>
      <c r="N65" s="11">
        <f>IFERROR(__xludf.DUMMYFUNCTION("""COMPUTED_VALUE"""),21626.0)</f>
        <v>21626</v>
      </c>
      <c r="O65" s="13">
        <f>IFERROR(__xludf.DUMMYFUNCTION("""COMPUTED_VALUE"""),53.0)</f>
        <v>53</v>
      </c>
      <c r="P65" s="14">
        <f>IFERROR(__xludf.DUMMYFUNCTION("""COMPUTED_VALUE"""),21.0)</f>
        <v>21</v>
      </c>
      <c r="Q65" s="13">
        <f>IFERROR(__xludf.DUMMYFUNCTION("""COMPUTED_VALUE"""),80.0)</f>
        <v>80</v>
      </c>
      <c r="R65" s="13">
        <f>IFERROR(__xludf.DUMMYFUNCTION("""COMPUTED_VALUE"""),171.0)</f>
        <v>171</v>
      </c>
      <c r="S65" s="15">
        <f>IFERROR(__xludf.DUMMYFUNCTION("""COMPUTED_VALUE"""),0.30994152046783624)</f>
        <v>0.3099415205</v>
      </c>
      <c r="T65" s="16">
        <f>IFERROR(__xludf.DUMMYFUNCTION("""COMPUTED_VALUE"""),424.03921568627453)</f>
        <v>424.0392157</v>
      </c>
      <c r="U65" s="16">
        <f>IFERROR(__xludf.DUMMYFUNCTION("""COMPUTED_VALUE"""),1.0392156862745099)</f>
        <v>1.039215686</v>
      </c>
      <c r="V65" s="16">
        <f>IFERROR(__xludf.DUMMYFUNCTION("""COMPUTED_VALUE"""),0.4117647058823529)</f>
        <v>0.4117647059</v>
      </c>
      <c r="W65" s="16">
        <f>IFERROR(__xludf.DUMMYFUNCTION("""COMPUTED_VALUE"""),1.5686274509803921)</f>
        <v>1.568627451</v>
      </c>
      <c r="X65" s="16">
        <f>IFERROR(__xludf.DUMMYFUNCTION("""COMPUTED_VALUE"""),3.3529411764705883)</f>
        <v>3.352941176</v>
      </c>
      <c r="Y65" s="11">
        <f>IFERROR(__xludf.DUMMYFUNCTION("""COMPUTED_VALUE"""),8.0)</f>
        <v>8</v>
      </c>
      <c r="Z65" s="11">
        <f>IFERROR(__xludf.DUMMYFUNCTION("""COMPUTED_VALUE"""),5.0)</f>
        <v>5</v>
      </c>
      <c r="AA65" s="11">
        <f>IFERROR(__xludf.DUMMYFUNCTION("""COMPUTED_VALUE"""),1.0)</f>
        <v>1</v>
      </c>
      <c r="AB65" s="11">
        <f>IFERROR(__xludf.DUMMYFUNCTION("""COMPUTED_VALUE"""),10.0)</f>
        <v>10</v>
      </c>
      <c r="AC65" s="11">
        <f>IFERROR(__xludf.DUMMYFUNCTION("""COMPUTED_VALUE"""),32.0)</f>
        <v>32</v>
      </c>
      <c r="AD65" s="11">
        <f>IFERROR(__xludf.DUMMYFUNCTION("""COMPUTED_VALUE"""),35.0)</f>
        <v>35</v>
      </c>
    </row>
    <row r="66">
      <c r="A66" s="10" t="str">
        <f>IFERROR(__xludf.DUMMYFUNCTION("""COMPUTED_VALUE"""),"Challenger")</f>
        <v>Challenger</v>
      </c>
      <c r="B66" s="10" t="str">
        <f>IFERROR(__xludf.DUMMYFUNCTION("""COMPUTED_VALUE"""),"RSC008026")</f>
        <v>RSC008026</v>
      </c>
      <c r="C66" s="10" t="str">
        <f>IFERROR(__xludf.DUMMYFUNCTION("""COMPUTED_VALUE"""),"Kanashìmi")</f>
        <v>Kanashìmi</v>
      </c>
      <c r="D66" s="36" t="str">
        <f>IFERROR(__xludf.DUMMYFUNCTION("""COMPUTED_VALUE"""),"Havarti Hustlers")</f>
        <v>Havarti Hustlers</v>
      </c>
      <c r="E66" s="10" t="str">
        <f>IFERROR(__xludf.DUMMYFUNCTION("""COMPUTED_VALUE"""),"Lunar")</f>
        <v>Lunar</v>
      </c>
      <c r="F66" s="37">
        <f>IFERROR(__xludf.DUMMYFUNCTION("""COMPUTED_VALUE"""),85.35127583604574)</f>
        <v>85.35127584</v>
      </c>
      <c r="G66" s="38">
        <f>IFERROR(__xludf.DUMMYFUNCTION("""COMPUTED_VALUE"""),58.811696482268076)</f>
        <v>58.81169648</v>
      </c>
      <c r="H66" s="38">
        <f>IFERROR(__xludf.DUMMYFUNCTION("""COMPUTED_VALUE"""),72.08148615915691)</f>
        <v>72.08148616</v>
      </c>
      <c r="I66" s="14">
        <f>IFERROR(__xludf.DUMMYFUNCTION("""COMPUTED_VALUE"""),4.0)</f>
        <v>4</v>
      </c>
      <c r="J66" s="11">
        <f>IFERROR(__xludf.DUMMYFUNCTION("IFERROR(FILTER(Stats!$F:$Z,(Stats!$A:$A=$A66)*(Stats!$B:$B=$B66)))"),1.0)</f>
        <v>1</v>
      </c>
      <c r="K66" s="11">
        <f>IFERROR(__xludf.DUMMYFUNCTION("""COMPUTED_VALUE"""),3.0)</f>
        <v>3</v>
      </c>
      <c r="L66" s="12">
        <f>IFERROR(__xludf.DUMMYFUNCTION("""COMPUTED_VALUE"""),0.25)</f>
        <v>0.25</v>
      </c>
      <c r="M66" s="11">
        <f>IFERROR(__xludf.DUMMYFUNCTION("""COMPUTED_VALUE"""),0.0)</f>
        <v>0</v>
      </c>
      <c r="N66" s="11">
        <f>IFERROR(__xludf.DUMMYFUNCTION("""COMPUTED_VALUE"""),1577.0)</f>
        <v>1577</v>
      </c>
      <c r="O66" s="13">
        <f>IFERROR(__xludf.DUMMYFUNCTION("""COMPUTED_VALUE"""),4.0)</f>
        <v>4</v>
      </c>
      <c r="P66" s="14">
        <f>IFERROR(__xludf.DUMMYFUNCTION("""COMPUTED_VALUE"""),2.0)</f>
        <v>2</v>
      </c>
      <c r="Q66" s="13">
        <f>IFERROR(__xludf.DUMMYFUNCTION("""COMPUTED_VALUE"""),4.0)</f>
        <v>4</v>
      </c>
      <c r="R66" s="13">
        <f>IFERROR(__xludf.DUMMYFUNCTION("""COMPUTED_VALUE"""),10.0)</f>
        <v>10</v>
      </c>
      <c r="S66" s="15">
        <f>IFERROR(__xludf.DUMMYFUNCTION("""COMPUTED_VALUE"""),0.4)</f>
        <v>0.4</v>
      </c>
      <c r="T66" s="16">
        <f>IFERROR(__xludf.DUMMYFUNCTION("""COMPUTED_VALUE"""),394.25)</f>
        <v>394.25</v>
      </c>
      <c r="U66" s="16">
        <f>IFERROR(__xludf.DUMMYFUNCTION("""COMPUTED_VALUE"""),1.0)</f>
        <v>1</v>
      </c>
      <c r="V66" s="16">
        <f>IFERROR(__xludf.DUMMYFUNCTION("""COMPUTED_VALUE"""),0.5)</f>
        <v>0.5</v>
      </c>
      <c r="W66" s="16">
        <f>IFERROR(__xludf.DUMMYFUNCTION("""COMPUTED_VALUE"""),1.0)</f>
        <v>1</v>
      </c>
      <c r="X66" s="16">
        <f>IFERROR(__xludf.DUMMYFUNCTION("""COMPUTED_VALUE"""),2.5)</f>
        <v>2.5</v>
      </c>
      <c r="Y66" s="11">
        <f>IFERROR(__xludf.DUMMYFUNCTION("""COMPUTED_VALUE"""),0.0)</f>
        <v>0</v>
      </c>
      <c r="Z66" s="11">
        <f>IFERROR(__xludf.DUMMYFUNCTION("""COMPUTED_VALUE"""),0.0)</f>
        <v>0</v>
      </c>
      <c r="AA66" s="11">
        <f>IFERROR(__xludf.DUMMYFUNCTION("""COMPUTED_VALUE"""),0.0)</f>
        <v>0</v>
      </c>
      <c r="AB66" s="11">
        <f>IFERROR(__xludf.DUMMYFUNCTION("""COMPUTED_VALUE"""),1.0)</f>
        <v>1</v>
      </c>
      <c r="AC66" s="11">
        <f>IFERROR(__xludf.DUMMYFUNCTION("""COMPUTED_VALUE"""),5.0)</f>
        <v>5</v>
      </c>
      <c r="AD66" s="11">
        <f>IFERROR(__xludf.DUMMYFUNCTION("""COMPUTED_VALUE"""),4.0)</f>
        <v>4</v>
      </c>
    </row>
    <row r="67">
      <c r="A67" s="10" t="str">
        <f>IFERROR(__xludf.DUMMYFUNCTION("""COMPUTED_VALUE"""),"Challenger")</f>
        <v>Challenger</v>
      </c>
      <c r="B67" s="10" t="str">
        <f>IFERROR(__xludf.DUMMYFUNCTION("""COMPUTED_VALUE"""),"RSC008415")</f>
        <v>RSC008415</v>
      </c>
      <c r="C67" s="10" t="str">
        <f>IFERROR(__xludf.DUMMYFUNCTION("""COMPUTED_VALUE"""),"StorchBurn")</f>
        <v>StorchBurn</v>
      </c>
      <c r="D67" s="36" t="str">
        <f>IFERROR(__xludf.DUMMYFUNCTION("""COMPUTED_VALUE"""),"Threshers")</f>
        <v>Threshers</v>
      </c>
      <c r="E67" s="10" t="str">
        <f>IFERROR(__xludf.DUMMYFUNCTION("""COMPUTED_VALUE"""),"Solar")</f>
        <v>Solar</v>
      </c>
      <c r="F67" s="37">
        <f>IFERROR(__xludf.DUMMYFUNCTION("""COMPUTED_VALUE"""),75.1123004508204)</f>
        <v>75.11230045</v>
      </c>
      <c r="G67" s="38">
        <f>IFERROR(__xludf.DUMMYFUNCTION("""COMPUTED_VALUE"""),67.38582437982232)</f>
        <v>67.38582438</v>
      </c>
      <c r="H67" s="38">
        <f>IFERROR(__xludf.DUMMYFUNCTION("""COMPUTED_VALUE"""),71.24906241532136)</f>
        <v>71.24906242</v>
      </c>
      <c r="I67" s="14">
        <f>IFERROR(__xludf.DUMMYFUNCTION("""COMPUTED_VALUE"""),56.0)</f>
        <v>56</v>
      </c>
      <c r="J67" s="11">
        <f>IFERROR(__xludf.DUMMYFUNCTION("IFERROR(FILTER(Stats!$F:$Z,(Stats!$A:$A=$A67)*(Stats!$B:$B=$B67)))"),32.0)</f>
        <v>32</v>
      </c>
      <c r="K67" s="11">
        <f>IFERROR(__xludf.DUMMYFUNCTION("""COMPUTED_VALUE"""),24.0)</f>
        <v>24</v>
      </c>
      <c r="L67" s="12">
        <f>IFERROR(__xludf.DUMMYFUNCTION("""COMPUTED_VALUE"""),0.5714285714285714)</f>
        <v>0.5714285714</v>
      </c>
      <c r="M67" s="11">
        <f>IFERROR(__xludf.DUMMYFUNCTION("""COMPUTED_VALUE"""),15.0)</f>
        <v>15</v>
      </c>
      <c r="N67" s="11">
        <f>IFERROR(__xludf.DUMMYFUNCTION("""COMPUTED_VALUE"""),21110.0)</f>
        <v>21110</v>
      </c>
      <c r="O67" s="13">
        <f>IFERROR(__xludf.DUMMYFUNCTION("""COMPUTED_VALUE"""),45.0)</f>
        <v>45</v>
      </c>
      <c r="P67" s="14">
        <f>IFERROR(__xludf.DUMMYFUNCTION("""COMPUTED_VALUE"""),33.0)</f>
        <v>33</v>
      </c>
      <c r="Q67" s="13">
        <f>IFERROR(__xludf.DUMMYFUNCTION("""COMPUTED_VALUE"""),90.0)</f>
        <v>90</v>
      </c>
      <c r="R67" s="13">
        <f>IFERROR(__xludf.DUMMYFUNCTION("""COMPUTED_VALUE"""),138.0)</f>
        <v>138</v>
      </c>
      <c r="S67" s="15">
        <f>IFERROR(__xludf.DUMMYFUNCTION("""COMPUTED_VALUE"""),0.32608695652173914)</f>
        <v>0.3260869565</v>
      </c>
      <c r="T67" s="16">
        <f>IFERROR(__xludf.DUMMYFUNCTION("""COMPUTED_VALUE"""),376.9642857142857)</f>
        <v>376.9642857</v>
      </c>
      <c r="U67" s="16">
        <f>IFERROR(__xludf.DUMMYFUNCTION("""COMPUTED_VALUE"""),0.8035714285714286)</f>
        <v>0.8035714286</v>
      </c>
      <c r="V67" s="16">
        <f>IFERROR(__xludf.DUMMYFUNCTION("""COMPUTED_VALUE"""),0.5892857142857143)</f>
        <v>0.5892857143</v>
      </c>
      <c r="W67" s="16">
        <f>IFERROR(__xludf.DUMMYFUNCTION("""COMPUTED_VALUE"""),1.6071428571428572)</f>
        <v>1.607142857</v>
      </c>
      <c r="X67" s="16">
        <f>IFERROR(__xludf.DUMMYFUNCTION("""COMPUTED_VALUE"""),2.4642857142857144)</f>
        <v>2.464285714</v>
      </c>
      <c r="Y67" s="11">
        <f>IFERROR(__xludf.DUMMYFUNCTION("""COMPUTED_VALUE"""),9.0)</f>
        <v>9</v>
      </c>
      <c r="Z67" s="11">
        <f>IFERROR(__xludf.DUMMYFUNCTION("""COMPUTED_VALUE"""),3.0)</f>
        <v>3</v>
      </c>
      <c r="AA67" s="11">
        <f>IFERROR(__xludf.DUMMYFUNCTION("""COMPUTED_VALUE"""),0.0)</f>
        <v>0</v>
      </c>
      <c r="AB67" s="11">
        <f>IFERROR(__xludf.DUMMYFUNCTION("""COMPUTED_VALUE"""),9.0)</f>
        <v>9</v>
      </c>
      <c r="AC67" s="11">
        <f>IFERROR(__xludf.DUMMYFUNCTION("""COMPUTED_VALUE"""),79.0)</f>
        <v>79</v>
      </c>
      <c r="AD67" s="11">
        <f>IFERROR(__xludf.DUMMYFUNCTION("""COMPUTED_VALUE"""),53.0)</f>
        <v>53</v>
      </c>
    </row>
    <row r="68">
      <c r="A68" s="10" t="str">
        <f>IFERROR(__xludf.DUMMYFUNCTION("""COMPUTED_VALUE"""),"Challenger")</f>
        <v>Challenger</v>
      </c>
      <c r="B68" s="10" t="str">
        <f>IFERROR(__xludf.DUMMYFUNCTION("""COMPUTED_VALUE"""),"RSC006642")</f>
        <v>RSC006642</v>
      </c>
      <c r="C68" s="10" t="str">
        <f>IFERROR(__xludf.DUMMYFUNCTION("""COMPUTED_VALUE"""),"Zone Killa")</f>
        <v>Zone Killa</v>
      </c>
      <c r="D68" s="36" t="str">
        <f>IFERROR(__xludf.DUMMYFUNCTION("""COMPUTED_VALUE"""),"Apple Associates")</f>
        <v>Apple Associates</v>
      </c>
      <c r="E68" s="10" t="str">
        <f>IFERROR(__xludf.DUMMYFUNCTION("""COMPUTED_VALUE"""),"Lunar")</f>
        <v>Lunar</v>
      </c>
      <c r="F68" s="37">
        <f>IFERROR(__xludf.DUMMYFUNCTION("""COMPUTED_VALUE"""),72.18604082037102)</f>
        <v>72.18604082</v>
      </c>
      <c r="G68" s="38">
        <f>IFERROR(__xludf.DUMMYFUNCTION("""COMPUTED_VALUE"""),66.8266253842831)</f>
        <v>66.82662538</v>
      </c>
      <c r="H68" s="38">
        <f>IFERROR(__xludf.DUMMYFUNCTION("""COMPUTED_VALUE"""),69.50633310232706)</f>
        <v>69.5063331</v>
      </c>
      <c r="I68" s="14">
        <f>IFERROR(__xludf.DUMMYFUNCTION("""COMPUTED_VALUE"""),43.0)</f>
        <v>43</v>
      </c>
      <c r="J68" s="11">
        <f>IFERROR(__xludf.DUMMYFUNCTION("IFERROR(FILTER(Stats!$F:$Z,(Stats!$A:$A=$A68)*(Stats!$B:$B=$B68)))"),28.0)</f>
        <v>28</v>
      </c>
      <c r="K68" s="11">
        <f>IFERROR(__xludf.DUMMYFUNCTION("""COMPUTED_VALUE"""),15.0)</f>
        <v>15</v>
      </c>
      <c r="L68" s="12">
        <f>IFERROR(__xludf.DUMMYFUNCTION("""COMPUTED_VALUE"""),0.6511627906976745)</f>
        <v>0.6511627907</v>
      </c>
      <c r="M68" s="11">
        <f>IFERROR(__xludf.DUMMYFUNCTION("""COMPUTED_VALUE"""),14.0)</f>
        <v>14</v>
      </c>
      <c r="N68" s="11">
        <f>IFERROR(__xludf.DUMMYFUNCTION("""COMPUTED_VALUE"""),16647.0)</f>
        <v>16647</v>
      </c>
      <c r="O68" s="13">
        <f>IFERROR(__xludf.DUMMYFUNCTION("""COMPUTED_VALUE"""),42.0)</f>
        <v>42</v>
      </c>
      <c r="P68" s="14">
        <f>IFERROR(__xludf.DUMMYFUNCTION("""COMPUTED_VALUE"""),24.0)</f>
        <v>24</v>
      </c>
      <c r="Q68" s="13">
        <f>IFERROR(__xludf.DUMMYFUNCTION("""COMPUTED_VALUE"""),66.0)</f>
        <v>66</v>
      </c>
      <c r="R68" s="13">
        <f>IFERROR(__xludf.DUMMYFUNCTION("""COMPUTED_VALUE"""),94.0)</f>
        <v>94</v>
      </c>
      <c r="S68" s="15">
        <f>IFERROR(__xludf.DUMMYFUNCTION("""COMPUTED_VALUE"""),0.44680851063829785)</f>
        <v>0.4468085106</v>
      </c>
      <c r="T68" s="16">
        <f>IFERROR(__xludf.DUMMYFUNCTION("""COMPUTED_VALUE"""),387.13953488372096)</f>
        <v>387.1395349</v>
      </c>
      <c r="U68" s="16">
        <f>IFERROR(__xludf.DUMMYFUNCTION("""COMPUTED_VALUE"""),0.9767441860465116)</f>
        <v>0.976744186</v>
      </c>
      <c r="V68" s="16">
        <f>IFERROR(__xludf.DUMMYFUNCTION("""COMPUTED_VALUE"""),0.5581395348837209)</f>
        <v>0.5581395349</v>
      </c>
      <c r="W68" s="16">
        <f>IFERROR(__xludf.DUMMYFUNCTION("""COMPUTED_VALUE"""),1.5348837209302326)</f>
        <v>1.534883721</v>
      </c>
      <c r="X68" s="16">
        <f>IFERROR(__xludf.DUMMYFUNCTION("""COMPUTED_VALUE"""),2.186046511627907)</f>
        <v>2.186046512</v>
      </c>
      <c r="Y68" s="11">
        <f>IFERROR(__xludf.DUMMYFUNCTION("""COMPUTED_VALUE"""),11.0)</f>
        <v>11</v>
      </c>
      <c r="Z68" s="11">
        <f>IFERROR(__xludf.DUMMYFUNCTION("""COMPUTED_VALUE"""),3.0)</f>
        <v>3</v>
      </c>
      <c r="AA68" s="11">
        <f>IFERROR(__xludf.DUMMYFUNCTION("""COMPUTED_VALUE"""),1.0)</f>
        <v>1</v>
      </c>
      <c r="AB68" s="11">
        <f>IFERROR(__xludf.DUMMYFUNCTION("""COMPUTED_VALUE"""),11.0)</f>
        <v>11</v>
      </c>
      <c r="AC68" s="11">
        <f>IFERROR(__xludf.DUMMYFUNCTION("""COMPUTED_VALUE"""),38.0)</f>
        <v>38</v>
      </c>
      <c r="AD68" s="11">
        <f>IFERROR(__xludf.DUMMYFUNCTION("""COMPUTED_VALUE"""),38.0)</f>
        <v>38</v>
      </c>
    </row>
    <row r="69">
      <c r="A69" s="10" t="str">
        <f>IFERROR(__xludf.DUMMYFUNCTION("""COMPUTED_VALUE"""),"Challenger")</f>
        <v>Challenger</v>
      </c>
      <c r="B69" s="10" t="str">
        <f>IFERROR(__xludf.DUMMYFUNCTION("""COMPUTED_VALUE"""),"RSC006187")</f>
        <v>RSC006187</v>
      </c>
      <c r="C69" s="10" t="str">
        <f>IFERROR(__xludf.DUMMYFUNCTION("""COMPUTED_VALUE"""),"1999 Toyota Camry")</f>
        <v>1999 Toyota Camry</v>
      </c>
      <c r="D69" s="36" t="str">
        <f>IFERROR(__xludf.DUMMYFUNCTION("""COMPUTED_VALUE"""),"Corals")</f>
        <v>Corals</v>
      </c>
      <c r="E69" s="10" t="str">
        <f>IFERROR(__xludf.DUMMYFUNCTION("""COMPUTED_VALUE"""),"Lunar")</f>
        <v>Lunar</v>
      </c>
      <c r="F69" s="37">
        <f>IFERROR(__xludf.DUMMYFUNCTION("""COMPUTED_VALUE"""),55.41350556425243)</f>
        <v>55.41350556</v>
      </c>
      <c r="G69" s="38">
        <f>IFERROR(__xludf.DUMMYFUNCTION("""COMPUTED_VALUE"""),83.12324117907116)</f>
        <v>83.12324118</v>
      </c>
      <c r="H69" s="38">
        <f>IFERROR(__xludf.DUMMYFUNCTION("""COMPUTED_VALUE"""),69.2683733716618)</f>
        <v>69.26837337</v>
      </c>
      <c r="I69" s="14">
        <f>IFERROR(__xludf.DUMMYFUNCTION("""COMPUTED_VALUE"""),11.0)</f>
        <v>11</v>
      </c>
      <c r="J69" s="11">
        <f>IFERROR(__xludf.DUMMYFUNCTION("IFERROR(FILTER(Stats!$F:$Z,(Stats!$A:$A=$A69)*(Stats!$B:$B=$B69)))"),4.0)</f>
        <v>4</v>
      </c>
      <c r="K69" s="11">
        <f>IFERROR(__xludf.DUMMYFUNCTION("""COMPUTED_VALUE"""),7.0)</f>
        <v>7</v>
      </c>
      <c r="L69" s="12">
        <f>IFERROR(__xludf.DUMMYFUNCTION("""COMPUTED_VALUE"""),0.36363636363636365)</f>
        <v>0.3636363636</v>
      </c>
      <c r="M69" s="11">
        <f>IFERROR(__xludf.DUMMYFUNCTION("""COMPUTED_VALUE"""),0.0)</f>
        <v>0</v>
      </c>
      <c r="N69" s="11">
        <f>IFERROR(__xludf.DUMMYFUNCTION("""COMPUTED_VALUE"""),4058.0)</f>
        <v>4058</v>
      </c>
      <c r="O69" s="13">
        <f>IFERROR(__xludf.DUMMYFUNCTION("""COMPUTED_VALUE"""),13.0)</f>
        <v>13</v>
      </c>
      <c r="P69" s="14">
        <f>IFERROR(__xludf.DUMMYFUNCTION("""COMPUTED_VALUE"""),6.0)</f>
        <v>6</v>
      </c>
      <c r="Q69" s="13">
        <f>IFERROR(__xludf.DUMMYFUNCTION("""COMPUTED_VALUE"""),11.0)</f>
        <v>11</v>
      </c>
      <c r="R69" s="13">
        <f>IFERROR(__xludf.DUMMYFUNCTION("""COMPUTED_VALUE"""),32.0)</f>
        <v>32</v>
      </c>
      <c r="S69" s="15">
        <f>IFERROR(__xludf.DUMMYFUNCTION("""COMPUTED_VALUE"""),0.40625)</f>
        <v>0.40625</v>
      </c>
      <c r="T69" s="16">
        <f>IFERROR(__xludf.DUMMYFUNCTION("""COMPUTED_VALUE"""),368.90909090909093)</f>
        <v>368.9090909</v>
      </c>
      <c r="U69" s="16">
        <f>IFERROR(__xludf.DUMMYFUNCTION("""COMPUTED_VALUE"""),1.1818181818181819)</f>
        <v>1.181818182</v>
      </c>
      <c r="V69" s="16">
        <f>IFERROR(__xludf.DUMMYFUNCTION("""COMPUTED_VALUE"""),0.5454545454545454)</f>
        <v>0.5454545455</v>
      </c>
      <c r="W69" s="16">
        <f>IFERROR(__xludf.DUMMYFUNCTION("""COMPUTED_VALUE"""),1.0)</f>
        <v>1</v>
      </c>
      <c r="X69" s="16">
        <f>IFERROR(__xludf.DUMMYFUNCTION("""COMPUTED_VALUE"""),2.909090909090909)</f>
        <v>2.909090909</v>
      </c>
      <c r="Y69" s="11">
        <f>IFERROR(__xludf.DUMMYFUNCTION("""COMPUTED_VALUE"""),5.0)</f>
        <v>5</v>
      </c>
      <c r="Z69" s="11">
        <f>IFERROR(__xludf.DUMMYFUNCTION("""COMPUTED_VALUE"""),1.0)</f>
        <v>1</v>
      </c>
      <c r="AA69" s="11">
        <f>IFERROR(__xludf.DUMMYFUNCTION("""COMPUTED_VALUE"""),0.0)</f>
        <v>0</v>
      </c>
      <c r="AB69" s="11">
        <f>IFERROR(__xludf.DUMMYFUNCTION("""COMPUTED_VALUE"""),1.0)</f>
        <v>1</v>
      </c>
      <c r="AC69" s="11">
        <f>IFERROR(__xludf.DUMMYFUNCTION("""COMPUTED_VALUE"""),11.0)</f>
        <v>11</v>
      </c>
      <c r="AD69" s="11">
        <f>IFERROR(__xludf.DUMMYFUNCTION("""COMPUTED_VALUE"""),4.0)</f>
        <v>4</v>
      </c>
    </row>
    <row r="70">
      <c r="A70" s="10" t="str">
        <f>IFERROR(__xludf.DUMMYFUNCTION("""COMPUTED_VALUE"""),"Challenger")</f>
        <v>Challenger</v>
      </c>
      <c r="B70" s="10" t="str">
        <f>IFERROR(__xludf.DUMMYFUNCTION("""COMPUTED_VALUE"""),"RSC007885")</f>
        <v>RSC007885</v>
      </c>
      <c r="C70" s="10" t="str">
        <f>IFERROR(__xludf.DUMMYFUNCTION("""COMPUTED_VALUE"""),"Larkspur")</f>
        <v>Larkspur</v>
      </c>
      <c r="D70" s="36" t="str">
        <f>IFERROR(__xludf.DUMMYFUNCTION("""COMPUTED_VALUE"""),"Stingrays")</f>
        <v>Stingrays</v>
      </c>
      <c r="E70" s="10" t="str">
        <f>IFERROR(__xludf.DUMMYFUNCTION("""COMPUTED_VALUE"""),"Lunar")</f>
        <v>Lunar</v>
      </c>
      <c r="F70" s="37">
        <f>IFERROR(__xludf.DUMMYFUNCTION("""COMPUTED_VALUE"""),60.46931745814024)</f>
        <v>60.46931746</v>
      </c>
      <c r="G70" s="38">
        <f>IFERROR(__xludf.DUMMYFUNCTION("""COMPUTED_VALUE"""),76.98777531613933)</f>
        <v>76.98777532</v>
      </c>
      <c r="H70" s="38">
        <f>IFERROR(__xludf.DUMMYFUNCTION("""COMPUTED_VALUE"""),68.72854638713979)</f>
        <v>68.72854639</v>
      </c>
      <c r="I70" s="14">
        <f>IFERROR(__xludf.DUMMYFUNCTION("""COMPUTED_VALUE"""),54.0)</f>
        <v>54</v>
      </c>
      <c r="J70" s="11">
        <f>IFERROR(__xludf.DUMMYFUNCTION("IFERROR(FILTER(Stats!$F:$Z,(Stats!$A:$A=$A70)*(Stats!$B:$B=$B70)))"),28.0)</f>
        <v>28</v>
      </c>
      <c r="K70" s="11">
        <f>IFERROR(__xludf.DUMMYFUNCTION("""COMPUTED_VALUE"""),26.0)</f>
        <v>26</v>
      </c>
      <c r="L70" s="12">
        <f>IFERROR(__xludf.DUMMYFUNCTION("""COMPUTED_VALUE"""),0.5185185185185185)</f>
        <v>0.5185185185</v>
      </c>
      <c r="M70" s="11">
        <f>IFERROR(__xludf.DUMMYFUNCTION("""COMPUTED_VALUE"""),8.0)</f>
        <v>8</v>
      </c>
      <c r="N70" s="11">
        <f>IFERROR(__xludf.DUMMYFUNCTION("""COMPUTED_VALUE"""),19386.0)</f>
        <v>19386</v>
      </c>
      <c r="O70" s="13">
        <f>IFERROR(__xludf.DUMMYFUNCTION("""COMPUTED_VALUE"""),52.0)</f>
        <v>52</v>
      </c>
      <c r="P70" s="14">
        <f>IFERROR(__xludf.DUMMYFUNCTION("""COMPUTED_VALUE"""),39.0)</f>
        <v>39</v>
      </c>
      <c r="Q70" s="13">
        <f>IFERROR(__xludf.DUMMYFUNCTION("""COMPUTED_VALUE"""),61.0)</f>
        <v>61</v>
      </c>
      <c r="R70" s="13">
        <f>IFERROR(__xludf.DUMMYFUNCTION("""COMPUTED_VALUE"""),146.0)</f>
        <v>146</v>
      </c>
      <c r="S70" s="15">
        <f>IFERROR(__xludf.DUMMYFUNCTION("""COMPUTED_VALUE"""),0.3561643835616438)</f>
        <v>0.3561643836</v>
      </c>
      <c r="T70" s="16">
        <f>IFERROR(__xludf.DUMMYFUNCTION("""COMPUTED_VALUE"""),359.0)</f>
        <v>359</v>
      </c>
      <c r="U70" s="16">
        <f>IFERROR(__xludf.DUMMYFUNCTION("""COMPUTED_VALUE"""),0.9629629629629629)</f>
        <v>0.962962963</v>
      </c>
      <c r="V70" s="16">
        <f>IFERROR(__xludf.DUMMYFUNCTION("""COMPUTED_VALUE"""),0.7222222222222222)</f>
        <v>0.7222222222</v>
      </c>
      <c r="W70" s="16">
        <f>IFERROR(__xludf.DUMMYFUNCTION("""COMPUTED_VALUE"""),1.1296296296296295)</f>
        <v>1.12962963</v>
      </c>
      <c r="X70" s="16">
        <f>IFERROR(__xludf.DUMMYFUNCTION("""COMPUTED_VALUE"""),2.7037037037037037)</f>
        <v>2.703703704</v>
      </c>
      <c r="Y70" s="11">
        <f>IFERROR(__xludf.DUMMYFUNCTION("""COMPUTED_VALUE"""),9.0)</f>
        <v>9</v>
      </c>
      <c r="Z70" s="11">
        <f>IFERROR(__xludf.DUMMYFUNCTION("""COMPUTED_VALUE"""),2.0)</f>
        <v>2</v>
      </c>
      <c r="AA70" s="11">
        <f>IFERROR(__xludf.DUMMYFUNCTION("""COMPUTED_VALUE"""),3.0)</f>
        <v>3</v>
      </c>
      <c r="AB70" s="11">
        <f>IFERROR(__xludf.DUMMYFUNCTION("""COMPUTED_VALUE"""),6.0)</f>
        <v>6</v>
      </c>
      <c r="AC70" s="11">
        <f>IFERROR(__xludf.DUMMYFUNCTION("""COMPUTED_VALUE"""),54.0)</f>
        <v>54</v>
      </c>
      <c r="AD70" s="11">
        <f>IFERROR(__xludf.DUMMYFUNCTION("""COMPUTED_VALUE"""),63.0)</f>
        <v>63</v>
      </c>
    </row>
    <row r="71">
      <c r="A71" s="10" t="str">
        <f>IFERROR(__xludf.DUMMYFUNCTION("""COMPUTED_VALUE"""),"Challenger")</f>
        <v>Challenger</v>
      </c>
      <c r="B71" s="10" t="str">
        <f>IFERROR(__xludf.DUMMYFUNCTION("""COMPUTED_VALUE"""),"RSC000233")</f>
        <v>RSC000233</v>
      </c>
      <c r="C71" s="10" t="str">
        <f>IFERROR(__xludf.DUMMYFUNCTION("""COMPUTED_VALUE"""),"LilPrsnWithAnger")</f>
        <v>LilPrsnWithAnger</v>
      </c>
      <c r="D71" s="36" t="str">
        <f>IFERROR(__xludf.DUMMYFUNCTION("""COMPUTED_VALUE"""),"Corals")</f>
        <v>Corals</v>
      </c>
      <c r="E71" s="10" t="str">
        <f>IFERROR(__xludf.DUMMYFUNCTION("""COMPUTED_VALUE"""),"Lunar")</f>
        <v>Lunar</v>
      </c>
      <c r="F71" s="37">
        <f>IFERROR(__xludf.DUMMYFUNCTION("""COMPUTED_VALUE"""),61.840317208197796)</f>
        <v>61.84031721</v>
      </c>
      <c r="G71" s="38">
        <f>IFERROR(__xludf.DUMMYFUNCTION("""COMPUTED_VALUE"""),75.05653990117439)</f>
        <v>75.0565399</v>
      </c>
      <c r="H71" s="38">
        <f>IFERROR(__xludf.DUMMYFUNCTION("""COMPUTED_VALUE"""),68.44842855468609)</f>
        <v>68.44842855</v>
      </c>
      <c r="I71" s="14">
        <f>IFERROR(__xludf.DUMMYFUNCTION("""COMPUTED_VALUE"""),20.0)</f>
        <v>20</v>
      </c>
      <c r="J71" s="11">
        <f>IFERROR(__xludf.DUMMYFUNCTION("IFERROR(FILTER(Stats!$F:$Z,(Stats!$A:$A=$A71)*(Stats!$B:$B=$B71)))"),16.0)</f>
        <v>16</v>
      </c>
      <c r="K71" s="11">
        <f>IFERROR(__xludf.DUMMYFUNCTION("""COMPUTED_VALUE"""),4.0)</f>
        <v>4</v>
      </c>
      <c r="L71" s="12">
        <f>IFERROR(__xludf.DUMMYFUNCTION("""COMPUTED_VALUE"""),0.8)</f>
        <v>0.8</v>
      </c>
      <c r="M71" s="11">
        <f>IFERROR(__xludf.DUMMYFUNCTION("""COMPUTED_VALUE"""),3.0)</f>
        <v>3</v>
      </c>
      <c r="N71" s="11">
        <f>IFERROR(__xludf.DUMMYFUNCTION("""COMPUTED_VALUE"""),6833.0)</f>
        <v>6833</v>
      </c>
      <c r="O71" s="13">
        <f>IFERROR(__xludf.DUMMYFUNCTION("""COMPUTED_VALUE"""),16.0)</f>
        <v>16</v>
      </c>
      <c r="P71" s="14">
        <f>IFERROR(__xludf.DUMMYFUNCTION("""COMPUTED_VALUE"""),16.0)</f>
        <v>16</v>
      </c>
      <c r="Q71" s="13">
        <f>IFERROR(__xludf.DUMMYFUNCTION("""COMPUTED_VALUE"""),21.0)</f>
        <v>21</v>
      </c>
      <c r="R71" s="13">
        <f>IFERROR(__xludf.DUMMYFUNCTION("""COMPUTED_VALUE"""),49.0)</f>
        <v>49</v>
      </c>
      <c r="S71" s="15">
        <f>IFERROR(__xludf.DUMMYFUNCTION("""COMPUTED_VALUE"""),0.32653061224489793)</f>
        <v>0.3265306122</v>
      </c>
      <c r="T71" s="16">
        <f>IFERROR(__xludf.DUMMYFUNCTION("""COMPUTED_VALUE"""),341.65)</f>
        <v>341.65</v>
      </c>
      <c r="U71" s="16">
        <f>IFERROR(__xludf.DUMMYFUNCTION("""COMPUTED_VALUE"""),0.8)</f>
        <v>0.8</v>
      </c>
      <c r="V71" s="16">
        <f>IFERROR(__xludf.DUMMYFUNCTION("""COMPUTED_VALUE"""),0.8)</f>
        <v>0.8</v>
      </c>
      <c r="W71" s="16">
        <f>IFERROR(__xludf.DUMMYFUNCTION("""COMPUTED_VALUE"""),1.05)</f>
        <v>1.05</v>
      </c>
      <c r="X71" s="16">
        <f>IFERROR(__xludf.DUMMYFUNCTION("""COMPUTED_VALUE"""),2.45)</f>
        <v>2.45</v>
      </c>
      <c r="Y71" s="11">
        <f>IFERROR(__xludf.DUMMYFUNCTION("""COMPUTED_VALUE"""),2.0)</f>
        <v>2</v>
      </c>
      <c r="Z71" s="11">
        <f>IFERROR(__xludf.DUMMYFUNCTION("""COMPUTED_VALUE"""),2.0)</f>
        <v>2</v>
      </c>
      <c r="AA71" s="11">
        <f>IFERROR(__xludf.DUMMYFUNCTION("""COMPUTED_VALUE"""),0.0)</f>
        <v>0</v>
      </c>
      <c r="AB71" s="11">
        <f>IFERROR(__xludf.DUMMYFUNCTION("""COMPUTED_VALUE"""),1.0)</f>
        <v>1</v>
      </c>
      <c r="AC71" s="11">
        <f>IFERROR(__xludf.DUMMYFUNCTION("""COMPUTED_VALUE"""),29.0)</f>
        <v>29</v>
      </c>
      <c r="AD71" s="11">
        <f>IFERROR(__xludf.DUMMYFUNCTION("""COMPUTED_VALUE"""),29.0)</f>
        <v>29</v>
      </c>
    </row>
    <row r="72">
      <c r="A72" s="10" t="str">
        <f>IFERROR(__xludf.DUMMYFUNCTION("""COMPUTED_VALUE"""),"Challenger")</f>
        <v>Challenger</v>
      </c>
      <c r="B72" s="10" t="str">
        <f>IFERROR(__xludf.DUMMYFUNCTION("""COMPUTED_VALUE"""),"RSC007865")</f>
        <v>RSC007865</v>
      </c>
      <c r="C72" s="10" t="str">
        <f>IFERROR(__xludf.DUMMYFUNCTION("""COMPUTED_VALUE"""),"StoveMessiah")</f>
        <v>StoveMessiah</v>
      </c>
      <c r="D72" s="36" t="str">
        <f>IFERROR(__xludf.DUMMYFUNCTION("""COMPUTED_VALUE"""),"Stingrays")</f>
        <v>Stingrays</v>
      </c>
      <c r="E72" s="10" t="str">
        <f>IFERROR(__xludf.DUMMYFUNCTION("""COMPUTED_VALUE"""),"Lunar")</f>
        <v>Lunar</v>
      </c>
      <c r="F72" s="37">
        <f>IFERROR(__xludf.DUMMYFUNCTION("""COMPUTED_VALUE"""),60.77497387125234)</f>
        <v>60.77497387</v>
      </c>
      <c r="G72" s="38">
        <f>IFERROR(__xludf.DUMMYFUNCTION("""COMPUTED_VALUE"""),75.31937367127131)</f>
        <v>75.31937367</v>
      </c>
      <c r="H72" s="38">
        <f>IFERROR(__xludf.DUMMYFUNCTION("""COMPUTED_VALUE"""),68.04717377126182)</f>
        <v>68.04717377</v>
      </c>
      <c r="I72" s="14">
        <f>IFERROR(__xludf.DUMMYFUNCTION("""COMPUTED_VALUE"""),54.0)</f>
        <v>54</v>
      </c>
      <c r="J72" s="11">
        <f>IFERROR(__xludf.DUMMYFUNCTION("IFERROR(FILTER(Stats!$F:$Z,(Stats!$A:$A=$A72)*(Stats!$B:$B=$B72)))"),29.0)</f>
        <v>29</v>
      </c>
      <c r="K72" s="11">
        <f>IFERROR(__xludf.DUMMYFUNCTION("""COMPUTED_VALUE"""),25.0)</f>
        <v>25</v>
      </c>
      <c r="L72" s="12">
        <f>IFERROR(__xludf.DUMMYFUNCTION("""COMPUTED_VALUE"""),0.5370370370370371)</f>
        <v>0.537037037</v>
      </c>
      <c r="M72" s="11">
        <f>IFERROR(__xludf.DUMMYFUNCTION("""COMPUTED_VALUE"""),9.0)</f>
        <v>9</v>
      </c>
      <c r="N72" s="11">
        <f>IFERROR(__xludf.DUMMYFUNCTION("""COMPUTED_VALUE"""),19976.0)</f>
        <v>19976</v>
      </c>
      <c r="O72" s="13">
        <f>IFERROR(__xludf.DUMMYFUNCTION("""COMPUTED_VALUE"""),54.0)</f>
        <v>54</v>
      </c>
      <c r="P72" s="14">
        <f>IFERROR(__xludf.DUMMYFUNCTION("""COMPUTED_VALUE"""),37.0)</f>
        <v>37</v>
      </c>
      <c r="Q72" s="13">
        <f>IFERROR(__xludf.DUMMYFUNCTION("""COMPUTED_VALUE"""),65.0)</f>
        <v>65</v>
      </c>
      <c r="R72" s="13">
        <f>IFERROR(__xludf.DUMMYFUNCTION("""COMPUTED_VALUE"""),142.0)</f>
        <v>142</v>
      </c>
      <c r="S72" s="15">
        <f>IFERROR(__xludf.DUMMYFUNCTION("""COMPUTED_VALUE"""),0.38028169014084506)</f>
        <v>0.3802816901</v>
      </c>
      <c r="T72" s="16">
        <f>IFERROR(__xludf.DUMMYFUNCTION("""COMPUTED_VALUE"""),369.9259259259259)</f>
        <v>369.9259259</v>
      </c>
      <c r="U72" s="16">
        <f>IFERROR(__xludf.DUMMYFUNCTION("""COMPUTED_VALUE"""),1.0)</f>
        <v>1</v>
      </c>
      <c r="V72" s="16">
        <f>IFERROR(__xludf.DUMMYFUNCTION("""COMPUTED_VALUE"""),0.6851851851851852)</f>
        <v>0.6851851852</v>
      </c>
      <c r="W72" s="16">
        <f>IFERROR(__xludf.DUMMYFUNCTION("""COMPUTED_VALUE"""),1.2037037037037037)</f>
        <v>1.203703704</v>
      </c>
      <c r="X72" s="16">
        <f>IFERROR(__xludf.DUMMYFUNCTION("""COMPUTED_VALUE"""),2.6296296296296298)</f>
        <v>2.62962963</v>
      </c>
      <c r="Y72" s="11">
        <f>IFERROR(__xludf.DUMMYFUNCTION("""COMPUTED_VALUE"""),11.0)</f>
        <v>11</v>
      </c>
      <c r="Z72" s="11">
        <f>IFERROR(__xludf.DUMMYFUNCTION("""COMPUTED_VALUE"""),5.0)</f>
        <v>5</v>
      </c>
      <c r="AA72" s="11">
        <f>IFERROR(__xludf.DUMMYFUNCTION("""COMPUTED_VALUE"""),0.0)</f>
        <v>0</v>
      </c>
      <c r="AB72" s="11">
        <f>IFERROR(__xludf.DUMMYFUNCTION("""COMPUTED_VALUE"""),6.0)</f>
        <v>6</v>
      </c>
      <c r="AC72" s="11">
        <f>IFERROR(__xludf.DUMMYFUNCTION("""COMPUTED_VALUE"""),35.0)</f>
        <v>35</v>
      </c>
      <c r="AD72" s="11">
        <f>IFERROR(__xludf.DUMMYFUNCTION("""COMPUTED_VALUE"""),43.0)</f>
        <v>43</v>
      </c>
    </row>
    <row r="73">
      <c r="A73" s="10" t="str">
        <f>IFERROR(__xludf.DUMMYFUNCTION("""COMPUTED_VALUE"""),"Challenger")</f>
        <v>Challenger</v>
      </c>
      <c r="B73" s="10" t="str">
        <f>IFERROR(__xludf.DUMMYFUNCTION("""COMPUTED_VALUE"""),"RSC008466")</f>
        <v>RSC008466</v>
      </c>
      <c r="C73" s="10" t="str">
        <f>IFERROR(__xludf.DUMMYFUNCTION("""COMPUTED_VALUE"""),"Cwuzzy")</f>
        <v>Cwuzzy</v>
      </c>
      <c r="D73" s="36" t="str">
        <f>IFERROR(__xludf.DUMMYFUNCTION("""COMPUTED_VALUE"""),"Warbirds")</f>
        <v>Warbirds</v>
      </c>
      <c r="E73" s="10" t="str">
        <f>IFERROR(__xludf.DUMMYFUNCTION("""COMPUTED_VALUE"""),"Lunar")</f>
        <v>Lunar</v>
      </c>
      <c r="F73" s="37">
        <f>IFERROR(__xludf.DUMMYFUNCTION("""COMPUTED_VALUE"""),66.8132506883471)</f>
        <v>66.81325069</v>
      </c>
      <c r="G73" s="38">
        <f>IFERROR(__xludf.DUMMYFUNCTION("""COMPUTED_VALUE"""),68.5131881293581)</f>
        <v>68.51318813</v>
      </c>
      <c r="H73" s="38">
        <f>IFERROR(__xludf.DUMMYFUNCTION("""COMPUTED_VALUE"""),67.6632194088526)</f>
        <v>67.66321941</v>
      </c>
      <c r="I73" s="14">
        <f>IFERROR(__xludf.DUMMYFUNCTION("""COMPUTED_VALUE"""),8.0)</f>
        <v>8</v>
      </c>
      <c r="J73" s="11">
        <f>IFERROR(__xludf.DUMMYFUNCTION("IFERROR(FILTER(Stats!$F:$Z,(Stats!$A:$A=$A73)*(Stats!$B:$B=$B73)))"),6.0)</f>
        <v>6</v>
      </c>
      <c r="K73" s="11">
        <f>IFERROR(__xludf.DUMMYFUNCTION("""COMPUTED_VALUE"""),2.0)</f>
        <v>2</v>
      </c>
      <c r="L73" s="12">
        <f>IFERROR(__xludf.DUMMYFUNCTION("""COMPUTED_VALUE"""),0.75)</f>
        <v>0.75</v>
      </c>
      <c r="M73" s="11">
        <f>IFERROR(__xludf.DUMMYFUNCTION("""COMPUTED_VALUE"""),1.0)</f>
        <v>1</v>
      </c>
      <c r="N73" s="11">
        <f>IFERROR(__xludf.DUMMYFUNCTION("""COMPUTED_VALUE"""),3081.0)</f>
        <v>3081</v>
      </c>
      <c r="O73" s="13">
        <f>IFERROR(__xludf.DUMMYFUNCTION("""COMPUTED_VALUE"""),7.0)</f>
        <v>7</v>
      </c>
      <c r="P73" s="14">
        <f>IFERROR(__xludf.DUMMYFUNCTION("""COMPUTED_VALUE"""),4.0)</f>
        <v>4</v>
      </c>
      <c r="Q73" s="13">
        <f>IFERROR(__xludf.DUMMYFUNCTION("""COMPUTED_VALUE"""),12.0)</f>
        <v>12</v>
      </c>
      <c r="R73" s="13">
        <f>IFERROR(__xludf.DUMMYFUNCTION("""COMPUTED_VALUE"""),20.0)</f>
        <v>20</v>
      </c>
      <c r="S73" s="15">
        <f>IFERROR(__xludf.DUMMYFUNCTION("""COMPUTED_VALUE"""),0.35)</f>
        <v>0.35</v>
      </c>
      <c r="T73" s="16">
        <f>IFERROR(__xludf.DUMMYFUNCTION("""COMPUTED_VALUE"""),385.125)</f>
        <v>385.125</v>
      </c>
      <c r="U73" s="16">
        <f>IFERROR(__xludf.DUMMYFUNCTION("""COMPUTED_VALUE"""),0.875)</f>
        <v>0.875</v>
      </c>
      <c r="V73" s="16">
        <f>IFERROR(__xludf.DUMMYFUNCTION("""COMPUTED_VALUE"""),0.5)</f>
        <v>0.5</v>
      </c>
      <c r="W73" s="16">
        <f>IFERROR(__xludf.DUMMYFUNCTION("""COMPUTED_VALUE"""),1.5)</f>
        <v>1.5</v>
      </c>
      <c r="X73" s="16">
        <f>IFERROR(__xludf.DUMMYFUNCTION("""COMPUTED_VALUE"""),2.5)</f>
        <v>2.5</v>
      </c>
      <c r="Y73" s="11">
        <f>IFERROR(__xludf.DUMMYFUNCTION("""COMPUTED_VALUE"""),1.0)</f>
        <v>1</v>
      </c>
      <c r="Z73" s="11">
        <f>IFERROR(__xludf.DUMMYFUNCTION("""COMPUTED_VALUE"""),0.0)</f>
        <v>0</v>
      </c>
      <c r="AA73" s="11">
        <f>IFERROR(__xludf.DUMMYFUNCTION("""COMPUTED_VALUE"""),0.0)</f>
        <v>0</v>
      </c>
      <c r="AB73" s="11">
        <f>IFERROR(__xludf.DUMMYFUNCTION("""COMPUTED_VALUE"""),1.0)</f>
        <v>1</v>
      </c>
      <c r="AC73" s="11">
        <f>IFERROR(__xludf.DUMMYFUNCTION("""COMPUTED_VALUE"""),10.0)</f>
        <v>10</v>
      </c>
      <c r="AD73" s="11">
        <f>IFERROR(__xludf.DUMMYFUNCTION("""COMPUTED_VALUE"""),6.0)</f>
        <v>6</v>
      </c>
    </row>
    <row r="74">
      <c r="A74" s="10" t="str">
        <f>IFERROR(__xludf.DUMMYFUNCTION("""COMPUTED_VALUE"""),"Challenger")</f>
        <v>Challenger</v>
      </c>
      <c r="B74" s="10" t="str">
        <f>IFERROR(__xludf.DUMMYFUNCTION("""COMPUTED_VALUE"""),"RSC000922")</f>
        <v>RSC000922</v>
      </c>
      <c r="C74" s="10" t="str">
        <f>IFERROR(__xludf.DUMMYFUNCTION("""COMPUTED_VALUE"""),"D_e_r_k")</f>
        <v>D_e_r_k</v>
      </c>
      <c r="D74" s="36" t="str">
        <f>IFERROR(__xludf.DUMMYFUNCTION("""COMPUTED_VALUE"""),"Shade")</f>
        <v>Shade</v>
      </c>
      <c r="E74" s="10" t="str">
        <f>IFERROR(__xludf.DUMMYFUNCTION("""COMPUTED_VALUE"""),"Lunar")</f>
        <v>Lunar</v>
      </c>
      <c r="F74" s="37">
        <f>IFERROR(__xludf.DUMMYFUNCTION("""COMPUTED_VALUE"""),70.40614967116852)</f>
        <v>70.40614967</v>
      </c>
      <c r="G74" s="38">
        <f>IFERROR(__xludf.DUMMYFUNCTION("""COMPUTED_VALUE"""),64.90913868954459)</f>
        <v>64.90913869</v>
      </c>
      <c r="H74" s="38">
        <f>IFERROR(__xludf.DUMMYFUNCTION("""COMPUTED_VALUE"""),67.65764418035656)</f>
        <v>67.65764418</v>
      </c>
      <c r="I74" s="14">
        <f>IFERROR(__xludf.DUMMYFUNCTION("""COMPUTED_VALUE"""),53.0)</f>
        <v>53</v>
      </c>
      <c r="J74" s="11">
        <f>IFERROR(__xludf.DUMMYFUNCTION("IFERROR(FILTER(Stats!$F:$Z,(Stats!$A:$A=$A74)*(Stats!$B:$B=$B74)))"),34.0)</f>
        <v>34</v>
      </c>
      <c r="K74" s="11">
        <f>IFERROR(__xludf.DUMMYFUNCTION("""COMPUTED_VALUE"""),19.0)</f>
        <v>19</v>
      </c>
      <c r="L74" s="12">
        <f>IFERROR(__xludf.DUMMYFUNCTION("""COMPUTED_VALUE"""),0.6415094339622641)</f>
        <v>0.641509434</v>
      </c>
      <c r="M74" s="11">
        <f>IFERROR(__xludf.DUMMYFUNCTION("""COMPUTED_VALUE"""),19.0)</f>
        <v>19</v>
      </c>
      <c r="N74" s="11">
        <f>IFERROR(__xludf.DUMMYFUNCTION("""COMPUTED_VALUE"""),18527.0)</f>
        <v>18527</v>
      </c>
      <c r="O74" s="13">
        <f>IFERROR(__xludf.DUMMYFUNCTION("""COMPUTED_VALUE"""),45.0)</f>
        <v>45</v>
      </c>
      <c r="P74" s="14">
        <f>IFERROR(__xludf.DUMMYFUNCTION("""COMPUTED_VALUE"""),26.0)</f>
        <v>26</v>
      </c>
      <c r="Q74" s="13">
        <f>IFERROR(__xludf.DUMMYFUNCTION("""COMPUTED_VALUE"""),60.0)</f>
        <v>60</v>
      </c>
      <c r="R74" s="13">
        <f>IFERROR(__xludf.DUMMYFUNCTION("""COMPUTED_VALUE"""),144.0)</f>
        <v>144</v>
      </c>
      <c r="S74" s="15">
        <f>IFERROR(__xludf.DUMMYFUNCTION("""COMPUTED_VALUE"""),0.3125)</f>
        <v>0.3125</v>
      </c>
      <c r="T74" s="16">
        <f>IFERROR(__xludf.DUMMYFUNCTION("""COMPUTED_VALUE"""),349.5660377358491)</f>
        <v>349.5660377</v>
      </c>
      <c r="U74" s="16">
        <f>IFERROR(__xludf.DUMMYFUNCTION("""COMPUTED_VALUE"""),0.8490566037735849)</f>
        <v>0.8490566038</v>
      </c>
      <c r="V74" s="16">
        <f>IFERROR(__xludf.DUMMYFUNCTION("""COMPUTED_VALUE"""),0.49056603773584906)</f>
        <v>0.4905660377</v>
      </c>
      <c r="W74" s="16">
        <f>IFERROR(__xludf.DUMMYFUNCTION("""COMPUTED_VALUE"""),1.1320754716981132)</f>
        <v>1.132075472</v>
      </c>
      <c r="X74" s="16">
        <f>IFERROR(__xludf.DUMMYFUNCTION("""COMPUTED_VALUE"""),2.7169811320754715)</f>
        <v>2.716981132</v>
      </c>
      <c r="Y74" s="11">
        <f>IFERROR(__xludf.DUMMYFUNCTION("""COMPUTED_VALUE"""),14.0)</f>
        <v>14</v>
      </c>
      <c r="Z74" s="11">
        <f>IFERROR(__xludf.DUMMYFUNCTION("""COMPUTED_VALUE"""),3.0)</f>
        <v>3</v>
      </c>
      <c r="AA74" s="11">
        <f>IFERROR(__xludf.DUMMYFUNCTION("""COMPUTED_VALUE"""),1.0)</f>
        <v>1</v>
      </c>
      <c r="AB74" s="11">
        <f>IFERROR(__xludf.DUMMYFUNCTION("""COMPUTED_VALUE"""),6.0)</f>
        <v>6</v>
      </c>
      <c r="AC74" s="11">
        <f>IFERROR(__xludf.DUMMYFUNCTION("""COMPUTED_VALUE"""),39.0)</f>
        <v>39</v>
      </c>
      <c r="AD74" s="11">
        <f>IFERROR(__xludf.DUMMYFUNCTION("""COMPUTED_VALUE"""),45.0)</f>
        <v>45</v>
      </c>
    </row>
    <row r="75">
      <c r="A75" s="10" t="str">
        <f>IFERROR(__xludf.DUMMYFUNCTION("""COMPUTED_VALUE"""),"Challenger")</f>
        <v>Challenger</v>
      </c>
      <c r="B75" s="10" t="str">
        <f>IFERROR(__xludf.DUMMYFUNCTION("""COMPUTED_VALUE"""),"RSC003331")</f>
        <v>RSC003331</v>
      </c>
      <c r="C75" s="10" t="str">
        <f>IFERROR(__xludf.DUMMYFUNCTION("""COMPUTED_VALUE"""),"Frostii")</f>
        <v>Frostii</v>
      </c>
      <c r="D75" s="36" t="str">
        <f>IFERROR(__xludf.DUMMYFUNCTION("""COMPUTED_VALUE"""),"Chromatic Chaos")</f>
        <v>Chromatic Chaos</v>
      </c>
      <c r="E75" s="10" t="str">
        <f>IFERROR(__xludf.DUMMYFUNCTION("""COMPUTED_VALUE"""),"Solar")</f>
        <v>Solar</v>
      </c>
      <c r="F75" s="37">
        <f>IFERROR(__xludf.DUMMYFUNCTION("""COMPUTED_VALUE"""),69.86929546364675)</f>
        <v>69.86929546</v>
      </c>
      <c r="G75" s="38">
        <f>IFERROR(__xludf.DUMMYFUNCTION("""COMPUTED_VALUE"""),64.66857904700012)</f>
        <v>64.66857905</v>
      </c>
      <c r="H75" s="38">
        <f>IFERROR(__xludf.DUMMYFUNCTION("""COMPUTED_VALUE"""),67.26893725532344)</f>
        <v>67.26893726</v>
      </c>
      <c r="I75" s="14">
        <f>IFERROR(__xludf.DUMMYFUNCTION("""COMPUTED_VALUE"""),52.0)</f>
        <v>52</v>
      </c>
      <c r="J75" s="11">
        <f>IFERROR(__xludf.DUMMYFUNCTION("IFERROR(FILTER(Stats!$F:$Z,(Stats!$A:$A=$A75)*(Stats!$B:$B=$B75)))"),26.0)</f>
        <v>26</v>
      </c>
      <c r="K75" s="11">
        <f>IFERROR(__xludf.DUMMYFUNCTION("""COMPUTED_VALUE"""),26.0)</f>
        <v>26</v>
      </c>
      <c r="L75" s="12">
        <f>IFERROR(__xludf.DUMMYFUNCTION("""COMPUTED_VALUE"""),0.5)</f>
        <v>0.5</v>
      </c>
      <c r="M75" s="11">
        <f>IFERROR(__xludf.DUMMYFUNCTION("""COMPUTED_VALUE"""),20.0)</f>
        <v>20</v>
      </c>
      <c r="N75" s="11">
        <f>IFERROR(__xludf.DUMMYFUNCTION("""COMPUTED_VALUE"""),19986.0)</f>
        <v>19986</v>
      </c>
      <c r="O75" s="13">
        <f>IFERROR(__xludf.DUMMYFUNCTION("""COMPUTED_VALUE"""),51.0)</f>
        <v>51</v>
      </c>
      <c r="P75" s="14">
        <f>IFERROR(__xludf.DUMMYFUNCTION("""COMPUTED_VALUE"""),25.0)</f>
        <v>25</v>
      </c>
      <c r="Q75" s="13">
        <f>IFERROR(__xludf.DUMMYFUNCTION("""COMPUTED_VALUE"""),67.0)</f>
        <v>67</v>
      </c>
      <c r="R75" s="13">
        <f>IFERROR(__xludf.DUMMYFUNCTION("""COMPUTED_VALUE"""),139.0)</f>
        <v>139</v>
      </c>
      <c r="S75" s="15">
        <f>IFERROR(__xludf.DUMMYFUNCTION("""COMPUTED_VALUE"""),0.3669064748201439)</f>
        <v>0.3669064748</v>
      </c>
      <c r="T75" s="16">
        <f>IFERROR(__xludf.DUMMYFUNCTION("""COMPUTED_VALUE"""),384.34615384615387)</f>
        <v>384.3461538</v>
      </c>
      <c r="U75" s="16">
        <f>IFERROR(__xludf.DUMMYFUNCTION("""COMPUTED_VALUE"""),0.9807692307692307)</f>
        <v>0.9807692308</v>
      </c>
      <c r="V75" s="16">
        <f>IFERROR(__xludf.DUMMYFUNCTION("""COMPUTED_VALUE"""),0.4807692307692308)</f>
        <v>0.4807692308</v>
      </c>
      <c r="W75" s="16">
        <f>IFERROR(__xludf.DUMMYFUNCTION("""COMPUTED_VALUE"""),1.2884615384615385)</f>
        <v>1.288461538</v>
      </c>
      <c r="X75" s="16">
        <f>IFERROR(__xludf.DUMMYFUNCTION("""COMPUTED_VALUE"""),2.673076923076923)</f>
        <v>2.673076923</v>
      </c>
      <c r="Y75" s="11">
        <f>IFERROR(__xludf.DUMMYFUNCTION("""COMPUTED_VALUE"""),9.0)</f>
        <v>9</v>
      </c>
      <c r="Z75" s="11">
        <f>IFERROR(__xludf.DUMMYFUNCTION("""COMPUTED_VALUE"""),5.0)</f>
        <v>5</v>
      </c>
      <c r="AA75" s="11">
        <f>IFERROR(__xludf.DUMMYFUNCTION("""COMPUTED_VALUE"""),0.0)</f>
        <v>0</v>
      </c>
      <c r="AB75" s="11">
        <f>IFERROR(__xludf.DUMMYFUNCTION("""COMPUTED_VALUE"""),7.0)</f>
        <v>7</v>
      </c>
      <c r="AC75" s="11">
        <f>IFERROR(__xludf.DUMMYFUNCTION("""COMPUTED_VALUE"""),63.0)</f>
        <v>63</v>
      </c>
      <c r="AD75" s="11">
        <f>IFERROR(__xludf.DUMMYFUNCTION("""COMPUTED_VALUE"""),48.0)</f>
        <v>48</v>
      </c>
    </row>
    <row r="76">
      <c r="A76" s="10" t="str">
        <f>IFERROR(__xludf.DUMMYFUNCTION("""COMPUTED_VALUE"""),"Challenger")</f>
        <v>Challenger</v>
      </c>
      <c r="B76" s="10" t="str">
        <f>IFERROR(__xludf.DUMMYFUNCTION("""COMPUTED_VALUE"""),"RSC003897")</f>
        <v>RSC003897</v>
      </c>
      <c r="C76" s="10" t="str">
        <f>IFERROR(__xludf.DUMMYFUNCTION("""COMPUTED_VALUE"""),"HalfieHour")</f>
        <v>HalfieHour</v>
      </c>
      <c r="D76" s="36" t="str">
        <f>IFERROR(__xludf.DUMMYFUNCTION("""COMPUTED_VALUE"""),"Jinyiwei
Insider Traders")</f>
        <v>Jinyiwei
Insider Traders</v>
      </c>
      <c r="E76" s="10" t="str">
        <f>IFERROR(__xludf.DUMMYFUNCTION("""COMPUTED_VALUE"""),"Lunar
Lunar")</f>
        <v>Lunar
Lunar</v>
      </c>
      <c r="F76" s="37">
        <f>IFERROR(__xludf.DUMMYFUNCTION("""COMPUTED_VALUE"""),68.28146996903791)</f>
        <v>68.28146997</v>
      </c>
      <c r="G76" s="38">
        <f>IFERROR(__xludf.DUMMYFUNCTION("""COMPUTED_VALUE"""),64.42110741878615)</f>
        <v>64.42110742</v>
      </c>
      <c r="H76" s="38">
        <f>IFERROR(__xludf.DUMMYFUNCTION("""COMPUTED_VALUE"""),66.35128869391204)</f>
        <v>66.35128869</v>
      </c>
      <c r="I76" s="14">
        <f>IFERROR(__xludf.DUMMYFUNCTION("""COMPUTED_VALUE"""),48.0)</f>
        <v>48</v>
      </c>
      <c r="J76" s="11">
        <f>IFERROR(__xludf.DUMMYFUNCTION("IFERROR(FILTER(Stats!$F:$Z,(Stats!$A:$A=$A76)*(Stats!$B:$B=$B76)))"),21.0)</f>
        <v>21</v>
      </c>
      <c r="K76" s="11">
        <f>IFERROR(__xludf.DUMMYFUNCTION("""COMPUTED_VALUE"""),27.0)</f>
        <v>27</v>
      </c>
      <c r="L76" s="12">
        <f>IFERROR(__xludf.DUMMYFUNCTION("""COMPUTED_VALUE"""),0.4375)</f>
        <v>0.4375</v>
      </c>
      <c r="M76" s="11">
        <f>IFERROR(__xludf.DUMMYFUNCTION("""COMPUTED_VALUE"""),8.0)</f>
        <v>8</v>
      </c>
      <c r="N76" s="11">
        <f>IFERROR(__xludf.DUMMYFUNCTION("""COMPUTED_VALUE"""),19036.0)</f>
        <v>19036</v>
      </c>
      <c r="O76" s="13">
        <f>IFERROR(__xludf.DUMMYFUNCTION("""COMPUTED_VALUE"""),49.0)</f>
        <v>49</v>
      </c>
      <c r="P76" s="14">
        <f>IFERROR(__xludf.DUMMYFUNCTION("""COMPUTED_VALUE"""),23.0)</f>
        <v>23</v>
      </c>
      <c r="Q76" s="13">
        <f>IFERROR(__xludf.DUMMYFUNCTION("""COMPUTED_VALUE"""),74.0)</f>
        <v>74</v>
      </c>
      <c r="R76" s="13">
        <f>IFERROR(__xludf.DUMMYFUNCTION("""COMPUTED_VALUE"""),135.0)</f>
        <v>135</v>
      </c>
      <c r="S76" s="15">
        <f>IFERROR(__xludf.DUMMYFUNCTION("""COMPUTED_VALUE"""),0.362962962962963)</f>
        <v>0.362962963</v>
      </c>
      <c r="T76" s="16">
        <f>IFERROR(__xludf.DUMMYFUNCTION("""COMPUTED_VALUE"""),396.5833333333333)</f>
        <v>396.5833333</v>
      </c>
      <c r="U76" s="16">
        <f>IFERROR(__xludf.DUMMYFUNCTION("""COMPUTED_VALUE"""),1.0208333333333333)</f>
        <v>1.020833333</v>
      </c>
      <c r="V76" s="16">
        <f>IFERROR(__xludf.DUMMYFUNCTION("""COMPUTED_VALUE"""),0.4791666666666667)</f>
        <v>0.4791666667</v>
      </c>
      <c r="W76" s="16">
        <f>IFERROR(__xludf.DUMMYFUNCTION("""COMPUTED_VALUE"""),1.5416666666666667)</f>
        <v>1.541666667</v>
      </c>
      <c r="X76" s="16">
        <f>IFERROR(__xludf.DUMMYFUNCTION("""COMPUTED_VALUE"""),2.8125)</f>
        <v>2.8125</v>
      </c>
      <c r="Y76" s="11">
        <f>IFERROR(__xludf.DUMMYFUNCTION("""COMPUTED_VALUE"""),7.0)</f>
        <v>7</v>
      </c>
      <c r="Z76" s="11">
        <f>IFERROR(__xludf.DUMMYFUNCTION("""COMPUTED_VALUE"""),3.0)</f>
        <v>3</v>
      </c>
      <c r="AA76" s="11">
        <f>IFERROR(__xludf.DUMMYFUNCTION("""COMPUTED_VALUE"""),2.0)</f>
        <v>2</v>
      </c>
      <c r="AB76" s="11">
        <f>IFERROR(__xludf.DUMMYFUNCTION("""COMPUTED_VALUE"""),10.0)</f>
        <v>10</v>
      </c>
      <c r="AC76" s="11">
        <f>IFERROR(__xludf.DUMMYFUNCTION("""COMPUTED_VALUE"""),37.0)</f>
        <v>37</v>
      </c>
      <c r="AD76" s="11">
        <f>IFERROR(__xludf.DUMMYFUNCTION("""COMPUTED_VALUE"""),51.0)</f>
        <v>51</v>
      </c>
    </row>
    <row r="77">
      <c r="A77" s="10" t="str">
        <f>IFERROR(__xludf.DUMMYFUNCTION("""COMPUTED_VALUE"""),"Challenger")</f>
        <v>Challenger</v>
      </c>
      <c r="B77" s="10" t="str">
        <f>IFERROR(__xludf.DUMMYFUNCTION("""COMPUTED_VALUE"""),"RSC002040")</f>
        <v>RSC002040</v>
      </c>
      <c r="C77" s="10" t="str">
        <f>IFERROR(__xludf.DUMMYFUNCTION("""COMPUTED_VALUE"""),"Scomps")</f>
        <v>Scomps</v>
      </c>
      <c r="D77" s="36" t="str">
        <f>IFERROR(__xludf.DUMMYFUNCTION("""COMPUTED_VALUE"""),"Warbirds
Decuriones")</f>
        <v>Warbirds
Decuriones</v>
      </c>
      <c r="E77" s="10" t="str">
        <f>IFERROR(__xludf.DUMMYFUNCTION("""COMPUTED_VALUE"""),"Lunar
Solar")</f>
        <v>Lunar
Solar</v>
      </c>
      <c r="F77" s="37">
        <f>IFERROR(__xludf.DUMMYFUNCTION("""COMPUTED_VALUE"""),65.69472706726299)</f>
        <v>65.69472707</v>
      </c>
      <c r="G77" s="38">
        <f>IFERROR(__xludf.DUMMYFUNCTION("""COMPUTED_VALUE"""),65.26307773193)</f>
        <v>65.26307773</v>
      </c>
      <c r="H77" s="38">
        <f>IFERROR(__xludf.DUMMYFUNCTION("""COMPUTED_VALUE"""),65.47890239959649)</f>
        <v>65.4789024</v>
      </c>
      <c r="I77" s="14">
        <f>IFERROR(__xludf.DUMMYFUNCTION("""COMPUTED_VALUE"""),36.0)</f>
        <v>36</v>
      </c>
      <c r="J77" s="11">
        <f>IFERROR(__xludf.DUMMYFUNCTION("IFERROR(FILTER(Stats!$F:$Z,(Stats!$A:$A=$A77)*(Stats!$B:$B=$B77)))"),18.0)</f>
        <v>18</v>
      </c>
      <c r="K77" s="11">
        <f>IFERROR(__xludf.DUMMYFUNCTION("""COMPUTED_VALUE"""),18.0)</f>
        <v>18</v>
      </c>
      <c r="L77" s="12">
        <f>IFERROR(__xludf.DUMMYFUNCTION("""COMPUTED_VALUE"""),0.5)</f>
        <v>0.5</v>
      </c>
      <c r="M77" s="11">
        <f>IFERROR(__xludf.DUMMYFUNCTION("""COMPUTED_VALUE"""),10.0)</f>
        <v>10</v>
      </c>
      <c r="N77" s="11">
        <f>IFERROR(__xludf.DUMMYFUNCTION("""COMPUTED_VALUE"""),13661.0)</f>
        <v>13661</v>
      </c>
      <c r="O77" s="13">
        <f>IFERROR(__xludf.DUMMYFUNCTION("""COMPUTED_VALUE"""),30.0)</f>
        <v>30</v>
      </c>
      <c r="P77" s="14">
        <f>IFERROR(__xludf.DUMMYFUNCTION("""COMPUTED_VALUE"""),18.0)</f>
        <v>18</v>
      </c>
      <c r="Q77" s="13">
        <f>IFERROR(__xludf.DUMMYFUNCTION("""COMPUTED_VALUE"""),54.0)</f>
        <v>54</v>
      </c>
      <c r="R77" s="13">
        <f>IFERROR(__xludf.DUMMYFUNCTION("""COMPUTED_VALUE"""),102.0)</f>
        <v>102</v>
      </c>
      <c r="S77" s="15">
        <f>IFERROR(__xludf.DUMMYFUNCTION("""COMPUTED_VALUE"""),0.29411764705882354)</f>
        <v>0.2941176471</v>
      </c>
      <c r="T77" s="16">
        <f>IFERROR(__xludf.DUMMYFUNCTION("""COMPUTED_VALUE"""),379.47222222222223)</f>
        <v>379.4722222</v>
      </c>
      <c r="U77" s="16">
        <f>IFERROR(__xludf.DUMMYFUNCTION("""COMPUTED_VALUE"""),0.8333333333333334)</f>
        <v>0.8333333333</v>
      </c>
      <c r="V77" s="16">
        <f>IFERROR(__xludf.DUMMYFUNCTION("""COMPUTED_VALUE"""),0.5)</f>
        <v>0.5</v>
      </c>
      <c r="W77" s="16">
        <f>IFERROR(__xludf.DUMMYFUNCTION("""COMPUTED_VALUE"""),1.5)</f>
        <v>1.5</v>
      </c>
      <c r="X77" s="16">
        <f>IFERROR(__xludf.DUMMYFUNCTION("""COMPUTED_VALUE"""),2.8333333333333335)</f>
        <v>2.833333333</v>
      </c>
      <c r="Y77" s="11">
        <f>IFERROR(__xludf.DUMMYFUNCTION("""COMPUTED_VALUE"""),4.0)</f>
        <v>4</v>
      </c>
      <c r="Z77" s="11">
        <f>IFERROR(__xludf.DUMMYFUNCTION("""COMPUTED_VALUE"""),1.0)</f>
        <v>1</v>
      </c>
      <c r="AA77" s="11">
        <f>IFERROR(__xludf.DUMMYFUNCTION("""COMPUTED_VALUE"""),1.0)</f>
        <v>1</v>
      </c>
      <c r="AB77" s="11">
        <f>IFERROR(__xludf.DUMMYFUNCTION("""COMPUTED_VALUE"""),8.0)</f>
        <v>8</v>
      </c>
      <c r="AC77" s="11">
        <f>IFERROR(__xludf.DUMMYFUNCTION("""COMPUTED_VALUE"""),9.0)</f>
        <v>9</v>
      </c>
      <c r="AD77" s="11">
        <f>IFERROR(__xludf.DUMMYFUNCTION("""COMPUTED_VALUE"""),51.0)</f>
        <v>51</v>
      </c>
    </row>
    <row r="78">
      <c r="A78" s="10" t="str">
        <f>IFERROR(__xludf.DUMMYFUNCTION("""COMPUTED_VALUE"""),"Challenger")</f>
        <v>Challenger</v>
      </c>
      <c r="B78" s="10" t="str">
        <f>IFERROR(__xludf.DUMMYFUNCTION("""COMPUTED_VALUE"""),"RSC006416")</f>
        <v>RSC006416</v>
      </c>
      <c r="C78" s="10" t="str">
        <f>IFERROR(__xludf.DUMMYFUNCTION("""COMPUTED_VALUE"""),"StaRazor")</f>
        <v>StaRazor</v>
      </c>
      <c r="D78" s="36" t="str">
        <f>IFERROR(__xludf.DUMMYFUNCTION("""COMPUTED_VALUE"""),"Thunder Pups
Warthogs")</f>
        <v>Thunder Pups
Warthogs</v>
      </c>
      <c r="E78" s="10" t="str">
        <f>IFERROR(__xludf.DUMMYFUNCTION("""COMPUTED_VALUE"""),"Solar
Lunar")</f>
        <v>Solar
Lunar</v>
      </c>
      <c r="F78" s="37">
        <f>IFERROR(__xludf.DUMMYFUNCTION("""COMPUTED_VALUE"""),61.26450736500315)</f>
        <v>61.26450737</v>
      </c>
      <c r="G78" s="38">
        <f>IFERROR(__xludf.DUMMYFUNCTION("""COMPUTED_VALUE"""),69.15093525953216)</f>
        <v>69.15093526</v>
      </c>
      <c r="H78" s="38">
        <f>IFERROR(__xludf.DUMMYFUNCTION("""COMPUTED_VALUE"""),65.20772131226765)</f>
        <v>65.20772131</v>
      </c>
      <c r="I78" s="14">
        <f>IFERROR(__xludf.DUMMYFUNCTION("""COMPUTED_VALUE"""),32.0)</f>
        <v>32</v>
      </c>
      <c r="J78" s="11">
        <f>IFERROR(__xludf.DUMMYFUNCTION("IFERROR(FILTER(Stats!$F:$Z,(Stats!$A:$A=$A78)*(Stats!$B:$B=$B78)))"),17.0)</f>
        <v>17</v>
      </c>
      <c r="K78" s="11">
        <f>IFERROR(__xludf.DUMMYFUNCTION("""COMPUTED_VALUE"""),15.0)</f>
        <v>15</v>
      </c>
      <c r="L78" s="12">
        <f>IFERROR(__xludf.DUMMYFUNCTION("""COMPUTED_VALUE"""),0.53125)</f>
        <v>0.53125</v>
      </c>
      <c r="M78" s="11">
        <f>IFERROR(__xludf.DUMMYFUNCTION("""COMPUTED_VALUE"""),4.0)</f>
        <v>4</v>
      </c>
      <c r="N78" s="11">
        <f>IFERROR(__xludf.DUMMYFUNCTION("""COMPUTED_VALUE"""),12035.0)</f>
        <v>12035</v>
      </c>
      <c r="O78" s="13">
        <f>IFERROR(__xludf.DUMMYFUNCTION("""COMPUTED_VALUE"""),23.0)</f>
        <v>23</v>
      </c>
      <c r="P78" s="14">
        <f>IFERROR(__xludf.DUMMYFUNCTION("""COMPUTED_VALUE"""),26.0)</f>
        <v>26</v>
      </c>
      <c r="Q78" s="13">
        <f>IFERROR(__xludf.DUMMYFUNCTION("""COMPUTED_VALUE"""),55.0)</f>
        <v>55</v>
      </c>
      <c r="R78" s="13">
        <f>IFERROR(__xludf.DUMMYFUNCTION("""COMPUTED_VALUE"""),78.0)</f>
        <v>78</v>
      </c>
      <c r="S78" s="15">
        <f>IFERROR(__xludf.DUMMYFUNCTION("""COMPUTED_VALUE"""),0.2948717948717949)</f>
        <v>0.2948717949</v>
      </c>
      <c r="T78" s="16">
        <f>IFERROR(__xludf.DUMMYFUNCTION("""COMPUTED_VALUE"""),376.09375)</f>
        <v>376.09375</v>
      </c>
      <c r="U78" s="16">
        <f>IFERROR(__xludf.DUMMYFUNCTION("""COMPUTED_VALUE"""),0.71875)</f>
        <v>0.71875</v>
      </c>
      <c r="V78" s="16">
        <f>IFERROR(__xludf.DUMMYFUNCTION("""COMPUTED_VALUE"""),0.8125)</f>
        <v>0.8125</v>
      </c>
      <c r="W78" s="16">
        <f>IFERROR(__xludf.DUMMYFUNCTION("""COMPUTED_VALUE"""),1.71875)</f>
        <v>1.71875</v>
      </c>
      <c r="X78" s="16">
        <f>IFERROR(__xludf.DUMMYFUNCTION("""COMPUTED_VALUE"""),2.4375)</f>
        <v>2.4375</v>
      </c>
      <c r="Y78" s="11">
        <f>IFERROR(__xludf.DUMMYFUNCTION("""COMPUTED_VALUE"""),6.0)</f>
        <v>6</v>
      </c>
      <c r="Z78" s="11">
        <f>IFERROR(__xludf.DUMMYFUNCTION("""COMPUTED_VALUE"""),1.0)</f>
        <v>1</v>
      </c>
      <c r="AA78" s="11">
        <f>IFERROR(__xludf.DUMMYFUNCTION("""COMPUTED_VALUE"""),1.0)</f>
        <v>1</v>
      </c>
      <c r="AB78" s="11">
        <f>IFERROR(__xludf.DUMMYFUNCTION("""COMPUTED_VALUE"""),9.0)</f>
        <v>9</v>
      </c>
      <c r="AC78" s="11">
        <f>IFERROR(__xludf.DUMMYFUNCTION("""COMPUTED_VALUE"""),22.0)</f>
        <v>22</v>
      </c>
      <c r="AD78" s="11">
        <f>IFERROR(__xludf.DUMMYFUNCTION("""COMPUTED_VALUE"""),39.0)</f>
        <v>39</v>
      </c>
    </row>
    <row r="79">
      <c r="A79" s="10" t="str">
        <f>IFERROR(__xludf.DUMMYFUNCTION("""COMPUTED_VALUE"""),"Challenger")</f>
        <v>Challenger</v>
      </c>
      <c r="B79" s="10" t="str">
        <f>IFERROR(__xludf.DUMMYFUNCTION("""COMPUTED_VALUE"""),"RSC000967")</f>
        <v>RSC000967</v>
      </c>
      <c r="C79" s="10" t="str">
        <f>IFERROR(__xludf.DUMMYFUNCTION("""COMPUTED_VALUE"""),"birds aren't real")</f>
        <v>birds aren't real</v>
      </c>
      <c r="D79" s="36" t="str">
        <f>IFERROR(__xludf.DUMMYFUNCTION("""COMPUTED_VALUE"""),"Warthogs")</f>
        <v>Warthogs</v>
      </c>
      <c r="E79" s="10" t="str">
        <f>IFERROR(__xludf.DUMMYFUNCTION("""COMPUTED_VALUE"""),"Lunar")</f>
        <v>Lunar</v>
      </c>
      <c r="F79" s="37">
        <f>IFERROR(__xludf.DUMMYFUNCTION("""COMPUTED_VALUE"""),61.894204014989555)</f>
        <v>61.89420401</v>
      </c>
      <c r="G79" s="38">
        <f>IFERROR(__xludf.DUMMYFUNCTION("""COMPUTED_VALUE"""),68.21061634226848)</f>
        <v>68.21061634</v>
      </c>
      <c r="H79" s="38">
        <f>IFERROR(__xludf.DUMMYFUNCTION("""COMPUTED_VALUE"""),65.05241017862902)</f>
        <v>65.05241018</v>
      </c>
      <c r="I79" s="14">
        <f>IFERROR(__xludf.DUMMYFUNCTION("""COMPUTED_VALUE"""),24.0)</f>
        <v>24</v>
      </c>
      <c r="J79" s="11">
        <f>IFERROR(__xludf.DUMMYFUNCTION("IFERROR(FILTER(Stats!$F:$Z,(Stats!$A:$A=$A79)*(Stats!$B:$B=$B79)))"),12.0)</f>
        <v>12</v>
      </c>
      <c r="K79" s="11">
        <f>IFERROR(__xludf.DUMMYFUNCTION("""COMPUTED_VALUE"""),12.0)</f>
        <v>12</v>
      </c>
      <c r="L79" s="12">
        <f>IFERROR(__xludf.DUMMYFUNCTION("""COMPUTED_VALUE"""),0.5)</f>
        <v>0.5</v>
      </c>
      <c r="M79" s="11">
        <f>IFERROR(__xludf.DUMMYFUNCTION("""COMPUTED_VALUE"""),3.0)</f>
        <v>3</v>
      </c>
      <c r="N79" s="11">
        <f>IFERROR(__xludf.DUMMYFUNCTION("""COMPUTED_VALUE"""),8342.0)</f>
        <v>8342</v>
      </c>
      <c r="O79" s="13">
        <f>IFERROR(__xludf.DUMMYFUNCTION("""COMPUTED_VALUE"""),22.0)</f>
        <v>22</v>
      </c>
      <c r="P79" s="14">
        <f>IFERROR(__xludf.DUMMYFUNCTION("""COMPUTED_VALUE"""),14.0)</f>
        <v>14</v>
      </c>
      <c r="Q79" s="13">
        <f>IFERROR(__xludf.DUMMYFUNCTION("""COMPUTED_VALUE"""),28.0)</f>
        <v>28</v>
      </c>
      <c r="R79" s="13">
        <f>IFERROR(__xludf.DUMMYFUNCTION("""COMPUTED_VALUE"""),68.0)</f>
        <v>68</v>
      </c>
      <c r="S79" s="15">
        <f>IFERROR(__xludf.DUMMYFUNCTION("""COMPUTED_VALUE"""),0.3235294117647059)</f>
        <v>0.3235294118</v>
      </c>
      <c r="T79" s="16">
        <f>IFERROR(__xludf.DUMMYFUNCTION("""COMPUTED_VALUE"""),347.5833333333333)</f>
        <v>347.5833333</v>
      </c>
      <c r="U79" s="16">
        <f>IFERROR(__xludf.DUMMYFUNCTION("""COMPUTED_VALUE"""),0.9166666666666666)</f>
        <v>0.9166666667</v>
      </c>
      <c r="V79" s="16">
        <f>IFERROR(__xludf.DUMMYFUNCTION("""COMPUTED_VALUE"""),0.5833333333333334)</f>
        <v>0.5833333333</v>
      </c>
      <c r="W79" s="16">
        <f>IFERROR(__xludf.DUMMYFUNCTION("""COMPUTED_VALUE"""),1.1666666666666667)</f>
        <v>1.166666667</v>
      </c>
      <c r="X79" s="16">
        <f>IFERROR(__xludf.DUMMYFUNCTION("""COMPUTED_VALUE"""),2.8333333333333335)</f>
        <v>2.833333333</v>
      </c>
      <c r="Y79" s="11">
        <f>IFERROR(__xludf.DUMMYFUNCTION("""COMPUTED_VALUE"""),6.0)</f>
        <v>6</v>
      </c>
      <c r="Z79" s="11">
        <f>IFERROR(__xludf.DUMMYFUNCTION("""COMPUTED_VALUE"""),1.0)</f>
        <v>1</v>
      </c>
      <c r="AA79" s="11">
        <f>IFERROR(__xludf.DUMMYFUNCTION("""COMPUTED_VALUE"""),0.0)</f>
        <v>0</v>
      </c>
      <c r="AB79" s="11">
        <f>IFERROR(__xludf.DUMMYFUNCTION("""COMPUTED_VALUE"""),3.0)</f>
        <v>3</v>
      </c>
      <c r="AC79" s="11">
        <f>IFERROR(__xludf.DUMMYFUNCTION("""COMPUTED_VALUE"""),19.0)</f>
        <v>19</v>
      </c>
      <c r="AD79" s="11">
        <f>IFERROR(__xludf.DUMMYFUNCTION("""COMPUTED_VALUE"""),32.0)</f>
        <v>32</v>
      </c>
    </row>
    <row r="80">
      <c r="A80" s="10" t="str">
        <f>IFERROR(__xludf.DUMMYFUNCTION("""COMPUTED_VALUE"""),"Challenger")</f>
        <v>Challenger</v>
      </c>
      <c r="B80" s="10" t="str">
        <f>IFERROR(__xludf.DUMMYFUNCTION("""COMPUTED_VALUE"""),"RSC008340")</f>
        <v>RSC008340</v>
      </c>
      <c r="C80" s="10" t="str">
        <f>IFERROR(__xludf.DUMMYFUNCTION("""COMPUTED_VALUE"""),"Slowsociety")</f>
        <v>Slowsociety</v>
      </c>
      <c r="D80" s="36" t="str">
        <f>IFERROR(__xludf.DUMMYFUNCTION("""COMPUTED_VALUE"""),"Void")</f>
        <v>Void</v>
      </c>
      <c r="E80" s="10" t="str">
        <f>IFERROR(__xludf.DUMMYFUNCTION("""COMPUTED_VALUE"""),"Solar")</f>
        <v>Solar</v>
      </c>
      <c r="F80" s="37">
        <f>IFERROR(__xludf.DUMMYFUNCTION("""COMPUTED_VALUE"""),58.456781725834134)</f>
        <v>58.45678173</v>
      </c>
      <c r="G80" s="38">
        <f>IFERROR(__xludf.DUMMYFUNCTION("""COMPUTED_VALUE"""),69.30853915403655)</f>
        <v>69.30853915</v>
      </c>
      <c r="H80" s="38">
        <f>IFERROR(__xludf.DUMMYFUNCTION("""COMPUTED_VALUE"""),63.88266043993534)</f>
        <v>63.88266044</v>
      </c>
      <c r="I80" s="14">
        <f>IFERROR(__xludf.DUMMYFUNCTION("""COMPUTED_VALUE"""),40.0)</f>
        <v>40</v>
      </c>
      <c r="J80" s="11">
        <f>IFERROR(__xludf.DUMMYFUNCTION("IFERROR(FILTER(Stats!$F:$Z,(Stats!$A:$A=$A80)*(Stats!$B:$B=$B80)))"),22.0)</f>
        <v>22</v>
      </c>
      <c r="K80" s="11">
        <f>IFERROR(__xludf.DUMMYFUNCTION("""COMPUTED_VALUE"""),18.0)</f>
        <v>18</v>
      </c>
      <c r="L80" s="12">
        <f>IFERROR(__xludf.DUMMYFUNCTION("""COMPUTED_VALUE"""),0.55)</f>
        <v>0.55</v>
      </c>
      <c r="M80" s="11">
        <f>IFERROR(__xludf.DUMMYFUNCTION("""COMPUTED_VALUE"""),6.0)</f>
        <v>6</v>
      </c>
      <c r="N80" s="11">
        <f>IFERROR(__xludf.DUMMYFUNCTION("""COMPUTED_VALUE"""),14311.0)</f>
        <v>14311</v>
      </c>
      <c r="O80" s="13">
        <f>IFERROR(__xludf.DUMMYFUNCTION("""COMPUTED_VALUE"""),38.0)</f>
        <v>38</v>
      </c>
      <c r="P80" s="14">
        <f>IFERROR(__xludf.DUMMYFUNCTION("""COMPUTED_VALUE"""),23.0)</f>
        <v>23</v>
      </c>
      <c r="Q80" s="13">
        <f>IFERROR(__xludf.DUMMYFUNCTION("""COMPUTED_VALUE"""),55.0)</f>
        <v>55</v>
      </c>
      <c r="R80" s="13">
        <f>IFERROR(__xludf.DUMMYFUNCTION("""COMPUTED_VALUE"""),108.0)</f>
        <v>108</v>
      </c>
      <c r="S80" s="15">
        <f>IFERROR(__xludf.DUMMYFUNCTION("""COMPUTED_VALUE"""),0.35185185185185186)</f>
        <v>0.3518518519</v>
      </c>
      <c r="T80" s="16">
        <f>IFERROR(__xludf.DUMMYFUNCTION("""COMPUTED_VALUE"""),357.775)</f>
        <v>357.775</v>
      </c>
      <c r="U80" s="16">
        <f>IFERROR(__xludf.DUMMYFUNCTION("""COMPUTED_VALUE"""),0.95)</f>
        <v>0.95</v>
      </c>
      <c r="V80" s="16">
        <f>IFERROR(__xludf.DUMMYFUNCTION("""COMPUTED_VALUE"""),0.575)</f>
        <v>0.575</v>
      </c>
      <c r="W80" s="16">
        <f>IFERROR(__xludf.DUMMYFUNCTION("""COMPUTED_VALUE"""),1.375)</f>
        <v>1.375</v>
      </c>
      <c r="X80" s="16">
        <f>IFERROR(__xludf.DUMMYFUNCTION("""COMPUTED_VALUE"""),2.7)</f>
        <v>2.7</v>
      </c>
      <c r="Y80" s="11">
        <f>IFERROR(__xludf.DUMMYFUNCTION("""COMPUTED_VALUE"""),7.0)</f>
        <v>7</v>
      </c>
      <c r="Z80" s="11">
        <f>IFERROR(__xludf.DUMMYFUNCTION("""COMPUTED_VALUE"""),3.0)</f>
        <v>3</v>
      </c>
      <c r="AA80" s="11">
        <f>IFERROR(__xludf.DUMMYFUNCTION("""COMPUTED_VALUE"""),1.0)</f>
        <v>1</v>
      </c>
      <c r="AB80" s="11">
        <f>IFERROR(__xludf.DUMMYFUNCTION("""COMPUTED_VALUE"""),6.0)</f>
        <v>6</v>
      </c>
      <c r="AC80" s="11">
        <f>IFERROR(__xludf.DUMMYFUNCTION("""COMPUTED_VALUE"""),62.0)</f>
        <v>62</v>
      </c>
      <c r="AD80" s="11">
        <f>IFERROR(__xludf.DUMMYFUNCTION("""COMPUTED_VALUE"""),37.0)</f>
        <v>37</v>
      </c>
    </row>
    <row r="81">
      <c r="A81" s="10" t="str">
        <f>IFERROR(__xludf.DUMMYFUNCTION("""COMPUTED_VALUE"""),"Challenger")</f>
        <v>Challenger</v>
      </c>
      <c r="B81" s="10" t="str">
        <f>IFERROR(__xludf.DUMMYFUNCTION("""COMPUTED_VALUE"""),"RSC008216")</f>
        <v>RSC008216</v>
      </c>
      <c r="C81" s="10" t="str">
        <f>IFERROR(__xludf.DUMMYFUNCTION("""COMPUTED_VALUE"""),"oBlueyRL")</f>
        <v>oBlueyRL</v>
      </c>
      <c r="D81" s="36" t="str">
        <f>IFERROR(__xludf.DUMMYFUNCTION("""COMPUTED_VALUE"""),"Warbirds")</f>
        <v>Warbirds</v>
      </c>
      <c r="E81" s="10" t="str">
        <f>IFERROR(__xludf.DUMMYFUNCTION("""COMPUTED_VALUE"""),"Lunar")</f>
        <v>Lunar</v>
      </c>
      <c r="F81" s="37">
        <f>IFERROR(__xludf.DUMMYFUNCTION("""COMPUTED_VALUE"""),55.05261290593055)</f>
        <v>55.05261291</v>
      </c>
      <c r="G81" s="38">
        <f>IFERROR(__xludf.DUMMYFUNCTION("""COMPUTED_VALUE"""),72.69726775491077)</f>
        <v>72.69726775</v>
      </c>
      <c r="H81" s="38">
        <f>IFERROR(__xludf.DUMMYFUNCTION("""COMPUTED_VALUE"""),63.87494033042066)</f>
        <v>63.87494033</v>
      </c>
      <c r="I81" s="14">
        <f>IFERROR(__xludf.DUMMYFUNCTION("""COMPUTED_VALUE"""),19.0)</f>
        <v>19</v>
      </c>
      <c r="J81" s="11">
        <f>IFERROR(__xludf.DUMMYFUNCTION("IFERROR(FILTER(Stats!$F:$Z,(Stats!$A:$A=$A81)*(Stats!$B:$B=$B81)))"),10.0)</f>
        <v>10</v>
      </c>
      <c r="K81" s="11">
        <f>IFERROR(__xludf.DUMMYFUNCTION("""COMPUTED_VALUE"""),9.0)</f>
        <v>9</v>
      </c>
      <c r="L81" s="12">
        <f>IFERROR(__xludf.DUMMYFUNCTION("""COMPUTED_VALUE"""),0.5263157894736842)</f>
        <v>0.5263157895</v>
      </c>
      <c r="M81" s="11">
        <f>IFERROR(__xludf.DUMMYFUNCTION("""COMPUTED_VALUE"""),0.0)</f>
        <v>0</v>
      </c>
      <c r="N81" s="11">
        <f>IFERROR(__xludf.DUMMYFUNCTION("""COMPUTED_VALUE"""),6255.0)</f>
        <v>6255</v>
      </c>
      <c r="O81" s="13">
        <f>IFERROR(__xludf.DUMMYFUNCTION("""COMPUTED_VALUE"""),13.0)</f>
        <v>13</v>
      </c>
      <c r="P81" s="14">
        <f>IFERROR(__xludf.DUMMYFUNCTION("""COMPUTED_VALUE"""),16.0)</f>
        <v>16</v>
      </c>
      <c r="Q81" s="13">
        <f>IFERROR(__xludf.DUMMYFUNCTION("""COMPUTED_VALUE"""),19.0)</f>
        <v>19</v>
      </c>
      <c r="R81" s="13">
        <f>IFERROR(__xludf.DUMMYFUNCTION("""COMPUTED_VALUE"""),52.0)</f>
        <v>52</v>
      </c>
      <c r="S81" s="15">
        <f>IFERROR(__xludf.DUMMYFUNCTION("""COMPUTED_VALUE"""),0.25)</f>
        <v>0.25</v>
      </c>
      <c r="T81" s="16">
        <f>IFERROR(__xludf.DUMMYFUNCTION("""COMPUTED_VALUE"""),329.2105263157895)</f>
        <v>329.2105263</v>
      </c>
      <c r="U81" s="16">
        <f>IFERROR(__xludf.DUMMYFUNCTION("""COMPUTED_VALUE"""),0.6842105263157895)</f>
        <v>0.6842105263</v>
      </c>
      <c r="V81" s="16">
        <f>IFERROR(__xludf.DUMMYFUNCTION("""COMPUTED_VALUE"""),0.8421052631578947)</f>
        <v>0.8421052632</v>
      </c>
      <c r="W81" s="16">
        <f>IFERROR(__xludf.DUMMYFUNCTION("""COMPUTED_VALUE"""),1.0)</f>
        <v>1</v>
      </c>
      <c r="X81" s="16">
        <f>IFERROR(__xludf.DUMMYFUNCTION("""COMPUTED_VALUE"""),2.736842105263158)</f>
        <v>2.736842105</v>
      </c>
      <c r="Y81" s="11">
        <f>IFERROR(__xludf.DUMMYFUNCTION("""COMPUTED_VALUE"""),2.0)</f>
        <v>2</v>
      </c>
      <c r="Z81" s="11">
        <f>IFERROR(__xludf.DUMMYFUNCTION("""COMPUTED_VALUE"""),0.0)</f>
        <v>0</v>
      </c>
      <c r="AA81" s="11">
        <f>IFERROR(__xludf.DUMMYFUNCTION("""COMPUTED_VALUE"""),0.0)</f>
        <v>0</v>
      </c>
      <c r="AB81" s="11">
        <f>IFERROR(__xludf.DUMMYFUNCTION("""COMPUTED_VALUE"""),1.0)</f>
        <v>1</v>
      </c>
      <c r="AC81" s="11">
        <f>IFERROR(__xludf.DUMMYFUNCTION("""COMPUTED_VALUE"""),12.0)</f>
        <v>12</v>
      </c>
      <c r="AD81" s="11">
        <f>IFERROR(__xludf.DUMMYFUNCTION("""COMPUTED_VALUE"""),24.0)</f>
        <v>24</v>
      </c>
    </row>
    <row r="82">
      <c r="A82" s="10" t="str">
        <f>IFERROR(__xludf.DUMMYFUNCTION("""COMPUTED_VALUE"""),"Challenger")</f>
        <v>Challenger</v>
      </c>
      <c r="B82" s="10" t="str">
        <f>IFERROR(__xludf.DUMMYFUNCTION("""COMPUTED_VALUE"""),"RSC003109")</f>
        <v>RSC003109</v>
      </c>
      <c r="C82" s="10" t="str">
        <f>IFERROR(__xludf.DUMMYFUNCTION("""COMPUTED_VALUE"""),"Kflip11")</f>
        <v>Kflip11</v>
      </c>
      <c r="D82" s="36" t="str">
        <f>IFERROR(__xludf.DUMMYFUNCTION("""COMPUTED_VALUE"""),"Stingrays")</f>
        <v>Stingrays</v>
      </c>
      <c r="E82" s="10" t="str">
        <f>IFERROR(__xludf.DUMMYFUNCTION("""COMPUTED_VALUE"""),"Lunar")</f>
        <v>Lunar</v>
      </c>
      <c r="F82" s="37">
        <f>IFERROR(__xludf.DUMMYFUNCTION("""COMPUTED_VALUE"""),56.73000694422143)</f>
        <v>56.73000694</v>
      </c>
      <c r="G82" s="38">
        <f>IFERROR(__xludf.DUMMYFUNCTION("""COMPUTED_VALUE"""),70.64278830781464)</f>
        <v>70.64278831</v>
      </c>
      <c r="H82" s="38">
        <f>IFERROR(__xludf.DUMMYFUNCTION("""COMPUTED_VALUE"""),63.686397626018035)</f>
        <v>63.68639763</v>
      </c>
      <c r="I82" s="14">
        <f>IFERROR(__xludf.DUMMYFUNCTION("""COMPUTED_VALUE"""),55.0)</f>
        <v>55</v>
      </c>
      <c r="J82" s="11">
        <f>IFERROR(__xludf.DUMMYFUNCTION("IFERROR(FILTER(Stats!$F:$Z,(Stats!$A:$A=$A82)*(Stats!$B:$B=$B82)))"),29.0)</f>
        <v>29</v>
      </c>
      <c r="K82" s="11">
        <f>IFERROR(__xludf.DUMMYFUNCTION("""COMPUTED_VALUE"""),26.0)</f>
        <v>26</v>
      </c>
      <c r="L82" s="12">
        <f>IFERROR(__xludf.DUMMYFUNCTION("""COMPUTED_VALUE"""),0.5272727272727272)</f>
        <v>0.5272727273</v>
      </c>
      <c r="M82" s="11">
        <f>IFERROR(__xludf.DUMMYFUNCTION("""COMPUTED_VALUE"""),12.0)</f>
        <v>12</v>
      </c>
      <c r="N82" s="11">
        <f>IFERROR(__xludf.DUMMYFUNCTION("""COMPUTED_VALUE"""),18940.0)</f>
        <v>18940</v>
      </c>
      <c r="O82" s="13">
        <f>IFERROR(__xludf.DUMMYFUNCTION("""COMPUTED_VALUE"""),42.0)</f>
        <v>42</v>
      </c>
      <c r="P82" s="14">
        <f>IFERROR(__xludf.DUMMYFUNCTION("""COMPUTED_VALUE"""),40.0)</f>
        <v>40</v>
      </c>
      <c r="Q82" s="13">
        <f>IFERROR(__xludf.DUMMYFUNCTION("""COMPUTED_VALUE"""),64.0)</f>
        <v>64</v>
      </c>
      <c r="R82" s="13">
        <f>IFERROR(__xludf.DUMMYFUNCTION("""COMPUTED_VALUE"""),156.0)</f>
        <v>156</v>
      </c>
      <c r="S82" s="15">
        <f>IFERROR(__xludf.DUMMYFUNCTION("""COMPUTED_VALUE"""),0.2692307692307692)</f>
        <v>0.2692307692</v>
      </c>
      <c r="T82" s="16">
        <f>IFERROR(__xludf.DUMMYFUNCTION("""COMPUTED_VALUE"""),344.3636363636364)</f>
        <v>344.3636364</v>
      </c>
      <c r="U82" s="16">
        <f>IFERROR(__xludf.DUMMYFUNCTION("""COMPUTED_VALUE"""),0.7636363636363637)</f>
        <v>0.7636363636</v>
      </c>
      <c r="V82" s="16">
        <f>IFERROR(__xludf.DUMMYFUNCTION("""COMPUTED_VALUE"""),0.7272727272727273)</f>
        <v>0.7272727273</v>
      </c>
      <c r="W82" s="16">
        <f>IFERROR(__xludf.DUMMYFUNCTION("""COMPUTED_VALUE"""),1.1636363636363636)</f>
        <v>1.163636364</v>
      </c>
      <c r="X82" s="16">
        <f>IFERROR(__xludf.DUMMYFUNCTION("""COMPUTED_VALUE"""),2.8363636363636364)</f>
        <v>2.836363636</v>
      </c>
      <c r="Y82" s="11">
        <f>IFERROR(__xludf.DUMMYFUNCTION("""COMPUTED_VALUE"""),9.0)</f>
        <v>9</v>
      </c>
      <c r="Z82" s="11">
        <f>IFERROR(__xludf.DUMMYFUNCTION("""COMPUTED_VALUE"""),4.0)</f>
        <v>4</v>
      </c>
      <c r="AA82" s="11">
        <f>IFERROR(__xludf.DUMMYFUNCTION("""COMPUTED_VALUE"""),2.0)</f>
        <v>2</v>
      </c>
      <c r="AB82" s="11">
        <f>IFERROR(__xludf.DUMMYFUNCTION("""COMPUTED_VALUE"""),6.0)</f>
        <v>6</v>
      </c>
      <c r="AC82" s="11">
        <f>IFERROR(__xludf.DUMMYFUNCTION("""COMPUTED_VALUE"""),42.0)</f>
        <v>42</v>
      </c>
      <c r="AD82" s="11">
        <f>IFERROR(__xludf.DUMMYFUNCTION("""COMPUTED_VALUE"""),60.0)</f>
        <v>60</v>
      </c>
    </row>
    <row r="83">
      <c r="A83" s="10" t="str">
        <f>IFERROR(__xludf.DUMMYFUNCTION("""COMPUTED_VALUE"""),"Challenger")</f>
        <v>Challenger</v>
      </c>
      <c r="B83" s="10" t="str">
        <f>IFERROR(__xludf.DUMMYFUNCTION("""COMPUTED_VALUE"""),"RSC005859")</f>
        <v>RSC005859</v>
      </c>
      <c r="C83" s="10" t="str">
        <f>IFERROR(__xludf.DUMMYFUNCTION("""COMPUTED_VALUE"""),"LedTasso")</f>
        <v>LedTasso</v>
      </c>
      <c r="D83" s="36" t="str">
        <f>IFERROR(__xludf.DUMMYFUNCTION("""COMPUTED_VALUE"""),"Apple Associates")</f>
        <v>Apple Associates</v>
      </c>
      <c r="E83" s="10" t="str">
        <f>IFERROR(__xludf.DUMMYFUNCTION("""COMPUTED_VALUE"""),"Lunar")</f>
        <v>Lunar</v>
      </c>
      <c r="F83" s="37">
        <f>IFERROR(__xludf.DUMMYFUNCTION("""COMPUTED_VALUE"""),59.87717894906284)</f>
        <v>59.87717895</v>
      </c>
      <c r="G83" s="38">
        <f>IFERROR(__xludf.DUMMYFUNCTION("""COMPUTED_VALUE"""),66.86209442210983)</f>
        <v>66.86209442</v>
      </c>
      <c r="H83" s="38">
        <f>IFERROR(__xludf.DUMMYFUNCTION("""COMPUTED_VALUE"""),63.369636685586336)</f>
        <v>63.36963669</v>
      </c>
      <c r="I83" s="14">
        <f>IFERROR(__xludf.DUMMYFUNCTION("""COMPUTED_VALUE"""),56.0)</f>
        <v>56</v>
      </c>
      <c r="J83" s="11">
        <f>IFERROR(__xludf.DUMMYFUNCTION("IFERROR(FILTER(Stats!$F:$Z,(Stats!$A:$A=$A83)*(Stats!$B:$B=$B83)))"),33.0)</f>
        <v>33</v>
      </c>
      <c r="K83" s="11">
        <f>IFERROR(__xludf.DUMMYFUNCTION("""COMPUTED_VALUE"""),23.0)</f>
        <v>23</v>
      </c>
      <c r="L83" s="12">
        <f>IFERROR(__xludf.DUMMYFUNCTION("""COMPUTED_VALUE"""),0.5892857142857143)</f>
        <v>0.5892857143</v>
      </c>
      <c r="M83" s="11">
        <f>IFERROR(__xludf.DUMMYFUNCTION("""COMPUTED_VALUE"""),5.0)</f>
        <v>5</v>
      </c>
      <c r="N83" s="11">
        <f>IFERROR(__xludf.DUMMYFUNCTION("""COMPUTED_VALUE"""),18707.0)</f>
        <v>18707</v>
      </c>
      <c r="O83" s="13">
        <f>IFERROR(__xludf.DUMMYFUNCTION("""COMPUTED_VALUE"""),47.0)</f>
        <v>47</v>
      </c>
      <c r="P83" s="14">
        <f>IFERROR(__xludf.DUMMYFUNCTION("""COMPUTED_VALUE"""),36.0)</f>
        <v>36</v>
      </c>
      <c r="Q83" s="13">
        <f>IFERROR(__xludf.DUMMYFUNCTION("""COMPUTED_VALUE"""),55.0)</f>
        <v>55</v>
      </c>
      <c r="R83" s="13">
        <f>IFERROR(__xludf.DUMMYFUNCTION("""COMPUTED_VALUE"""),139.0)</f>
        <v>139</v>
      </c>
      <c r="S83" s="15">
        <f>IFERROR(__xludf.DUMMYFUNCTION("""COMPUTED_VALUE"""),0.3381294964028777)</f>
        <v>0.3381294964</v>
      </c>
      <c r="T83" s="16">
        <f>IFERROR(__xludf.DUMMYFUNCTION("""COMPUTED_VALUE"""),334.05357142857144)</f>
        <v>334.0535714</v>
      </c>
      <c r="U83" s="16">
        <f>IFERROR(__xludf.DUMMYFUNCTION("""COMPUTED_VALUE"""),0.8392857142857143)</f>
        <v>0.8392857143</v>
      </c>
      <c r="V83" s="16">
        <f>IFERROR(__xludf.DUMMYFUNCTION("""COMPUTED_VALUE"""),0.6428571428571429)</f>
        <v>0.6428571429</v>
      </c>
      <c r="W83" s="16">
        <f>IFERROR(__xludf.DUMMYFUNCTION("""COMPUTED_VALUE"""),0.9821428571428571)</f>
        <v>0.9821428571</v>
      </c>
      <c r="X83" s="16">
        <f>IFERROR(__xludf.DUMMYFUNCTION("""COMPUTED_VALUE"""),2.482142857142857)</f>
        <v>2.482142857</v>
      </c>
      <c r="Y83" s="11">
        <f>IFERROR(__xludf.DUMMYFUNCTION("""COMPUTED_VALUE"""),13.0)</f>
        <v>13</v>
      </c>
      <c r="Z83" s="11">
        <f>IFERROR(__xludf.DUMMYFUNCTION("""COMPUTED_VALUE"""),4.0)</f>
        <v>4</v>
      </c>
      <c r="AA83" s="11">
        <f>IFERROR(__xludf.DUMMYFUNCTION("""COMPUTED_VALUE"""),1.0)</f>
        <v>1</v>
      </c>
      <c r="AB83" s="11">
        <f>IFERROR(__xludf.DUMMYFUNCTION("""COMPUTED_VALUE"""),2.0)</f>
        <v>2</v>
      </c>
      <c r="AC83" s="11">
        <f>IFERROR(__xludf.DUMMYFUNCTION("""COMPUTED_VALUE"""),78.0)</f>
        <v>78</v>
      </c>
      <c r="AD83" s="11">
        <f>IFERROR(__xludf.DUMMYFUNCTION("""COMPUTED_VALUE"""),48.0)</f>
        <v>48</v>
      </c>
    </row>
    <row r="84">
      <c r="A84" s="10" t="str">
        <f>IFERROR(__xludf.DUMMYFUNCTION("""COMPUTED_VALUE"""),"Challenger")</f>
        <v>Challenger</v>
      </c>
      <c r="B84" s="10" t="str">
        <f>IFERROR(__xludf.DUMMYFUNCTION("""COMPUTED_VALUE"""),"RSC006092")</f>
        <v>RSC006092</v>
      </c>
      <c r="C84" s="10" t="str">
        <f>IFERROR(__xludf.DUMMYFUNCTION("""COMPUTED_VALUE"""),"Mick")</f>
        <v>Mick</v>
      </c>
      <c r="D84" s="36" t="str">
        <f>IFERROR(__xludf.DUMMYFUNCTION("""COMPUTED_VALUE"""),"Cooks")</f>
        <v>Cooks</v>
      </c>
      <c r="E84" s="10" t="str">
        <f>IFERROR(__xludf.DUMMYFUNCTION("""COMPUTED_VALUE"""),"Solar")</f>
        <v>Solar</v>
      </c>
      <c r="F84" s="37">
        <f>IFERROR(__xludf.DUMMYFUNCTION("""COMPUTED_VALUE"""),58.33092619122969)</f>
        <v>58.33092619</v>
      </c>
      <c r="G84" s="38">
        <f>IFERROR(__xludf.DUMMYFUNCTION("""COMPUTED_VALUE"""),68.33318473995313)</f>
        <v>68.33318474</v>
      </c>
      <c r="H84" s="38">
        <f>IFERROR(__xludf.DUMMYFUNCTION("""COMPUTED_VALUE"""),63.33205546559141)</f>
        <v>63.33205547</v>
      </c>
      <c r="I84" s="14">
        <f>IFERROR(__xludf.DUMMYFUNCTION("""COMPUTED_VALUE"""),52.0)</f>
        <v>52</v>
      </c>
      <c r="J84" s="11">
        <f>IFERROR(__xludf.DUMMYFUNCTION("IFERROR(FILTER(Stats!$F:$Z,(Stats!$A:$A=$A84)*(Stats!$B:$B=$B84)))"),33.0)</f>
        <v>33</v>
      </c>
      <c r="K84" s="11">
        <f>IFERROR(__xludf.DUMMYFUNCTION("""COMPUTED_VALUE"""),19.0)</f>
        <v>19</v>
      </c>
      <c r="L84" s="12">
        <f>IFERROR(__xludf.DUMMYFUNCTION("""COMPUTED_VALUE"""),0.6346153846153846)</f>
        <v>0.6346153846</v>
      </c>
      <c r="M84" s="11">
        <f>IFERROR(__xludf.DUMMYFUNCTION("""COMPUTED_VALUE"""),12.0)</f>
        <v>12</v>
      </c>
      <c r="N84" s="11">
        <f>IFERROR(__xludf.DUMMYFUNCTION("""COMPUTED_VALUE"""),17438.0)</f>
        <v>17438</v>
      </c>
      <c r="O84" s="13">
        <f>IFERROR(__xludf.DUMMYFUNCTION("""COMPUTED_VALUE"""),50.0)</f>
        <v>50</v>
      </c>
      <c r="P84" s="14">
        <f>IFERROR(__xludf.DUMMYFUNCTION("""COMPUTED_VALUE"""),28.0)</f>
        <v>28</v>
      </c>
      <c r="Q84" s="13">
        <f>IFERROR(__xludf.DUMMYFUNCTION("""COMPUTED_VALUE"""),47.0)</f>
        <v>47</v>
      </c>
      <c r="R84" s="13">
        <f>IFERROR(__xludf.DUMMYFUNCTION("""COMPUTED_VALUE"""),134.0)</f>
        <v>134</v>
      </c>
      <c r="S84" s="15">
        <f>IFERROR(__xludf.DUMMYFUNCTION("""COMPUTED_VALUE"""),0.373134328358209)</f>
        <v>0.3731343284</v>
      </c>
      <c r="T84" s="16">
        <f>IFERROR(__xludf.DUMMYFUNCTION("""COMPUTED_VALUE"""),335.34615384615387)</f>
        <v>335.3461538</v>
      </c>
      <c r="U84" s="16">
        <f>IFERROR(__xludf.DUMMYFUNCTION("""COMPUTED_VALUE"""),0.9615384615384616)</f>
        <v>0.9615384615</v>
      </c>
      <c r="V84" s="16">
        <f>IFERROR(__xludf.DUMMYFUNCTION("""COMPUTED_VALUE"""),0.5384615384615384)</f>
        <v>0.5384615385</v>
      </c>
      <c r="W84" s="16">
        <f>IFERROR(__xludf.DUMMYFUNCTION("""COMPUTED_VALUE"""),0.9038461538461539)</f>
        <v>0.9038461538</v>
      </c>
      <c r="X84" s="16">
        <f>IFERROR(__xludf.DUMMYFUNCTION("""COMPUTED_VALUE"""),2.576923076923077)</f>
        <v>2.576923077</v>
      </c>
      <c r="Y84" s="11">
        <f>IFERROR(__xludf.DUMMYFUNCTION("""COMPUTED_VALUE"""),7.0)</f>
        <v>7</v>
      </c>
      <c r="Z84" s="11">
        <f>IFERROR(__xludf.DUMMYFUNCTION("""COMPUTED_VALUE"""),3.0)</f>
        <v>3</v>
      </c>
      <c r="AA84" s="11">
        <f>IFERROR(__xludf.DUMMYFUNCTION("""COMPUTED_VALUE"""),0.0)</f>
        <v>0</v>
      </c>
      <c r="AB84" s="11">
        <f>IFERROR(__xludf.DUMMYFUNCTION("""COMPUTED_VALUE"""),2.0)</f>
        <v>2</v>
      </c>
      <c r="AC84" s="11">
        <f>IFERROR(__xludf.DUMMYFUNCTION("""COMPUTED_VALUE"""),53.0)</f>
        <v>53</v>
      </c>
      <c r="AD84" s="11">
        <f>IFERROR(__xludf.DUMMYFUNCTION("""COMPUTED_VALUE"""),40.0)</f>
        <v>40</v>
      </c>
    </row>
    <row r="85">
      <c r="A85" s="10" t="str">
        <f>IFERROR(__xludf.DUMMYFUNCTION("""COMPUTED_VALUE"""),"Challenger")</f>
        <v>Challenger</v>
      </c>
      <c r="B85" s="10" t="str">
        <f>IFERROR(__xludf.DUMMYFUNCTION("""COMPUTED_VALUE"""),"RSC008556")</f>
        <v>RSC008556</v>
      </c>
      <c r="C85" s="10" t="str">
        <f>IFERROR(__xludf.DUMMYFUNCTION("""COMPUTED_VALUE"""),"jizko")</f>
        <v>jizko</v>
      </c>
      <c r="D85" s="36" t="str">
        <f>IFERROR(__xludf.DUMMYFUNCTION("""COMPUTED_VALUE"""),"Scribes")</f>
        <v>Scribes</v>
      </c>
      <c r="E85" s="10" t="str">
        <f>IFERROR(__xludf.DUMMYFUNCTION("""COMPUTED_VALUE"""),"Lunar")</f>
        <v>Lunar</v>
      </c>
      <c r="F85" s="37">
        <f>IFERROR(__xludf.DUMMYFUNCTION("""COMPUTED_VALUE"""),71.03229317555906)</f>
        <v>71.03229318</v>
      </c>
      <c r="G85" s="38">
        <f>IFERROR(__xludf.DUMMYFUNCTION("""COMPUTED_VALUE"""),53.886765811691575)</f>
        <v>53.88676581</v>
      </c>
      <c r="H85" s="38">
        <f>IFERROR(__xludf.DUMMYFUNCTION("""COMPUTED_VALUE"""),62.45952949362532)</f>
        <v>62.45952949</v>
      </c>
      <c r="I85" s="14">
        <f>IFERROR(__xludf.DUMMYFUNCTION("""COMPUTED_VALUE"""),14.0)</f>
        <v>14</v>
      </c>
      <c r="J85" s="11">
        <f>IFERROR(__xludf.DUMMYFUNCTION("IFERROR(FILTER(Stats!$F:$Z,(Stats!$A:$A=$A85)*(Stats!$B:$B=$B85)))"),6.0)</f>
        <v>6</v>
      </c>
      <c r="K85" s="11">
        <f>IFERROR(__xludf.DUMMYFUNCTION("""COMPUTED_VALUE"""),8.0)</f>
        <v>8</v>
      </c>
      <c r="L85" s="12">
        <f>IFERROR(__xludf.DUMMYFUNCTION("""COMPUTED_VALUE"""),0.42857142857142855)</f>
        <v>0.4285714286</v>
      </c>
      <c r="M85" s="11">
        <f>IFERROR(__xludf.DUMMYFUNCTION("""COMPUTED_VALUE"""),6.0)</f>
        <v>6</v>
      </c>
      <c r="N85" s="11">
        <f>IFERROR(__xludf.DUMMYFUNCTION("""COMPUTED_VALUE"""),5033.0)</f>
        <v>5033</v>
      </c>
      <c r="O85" s="13">
        <f>IFERROR(__xludf.DUMMYFUNCTION("""COMPUTED_VALUE"""),12.0)</f>
        <v>12</v>
      </c>
      <c r="P85" s="14">
        <f>IFERROR(__xludf.DUMMYFUNCTION("""COMPUTED_VALUE"""),6.0)</f>
        <v>6</v>
      </c>
      <c r="Q85" s="13">
        <f>IFERROR(__xludf.DUMMYFUNCTION("""COMPUTED_VALUE"""),20.0)</f>
        <v>20</v>
      </c>
      <c r="R85" s="13">
        <f>IFERROR(__xludf.DUMMYFUNCTION("""COMPUTED_VALUE"""),41.0)</f>
        <v>41</v>
      </c>
      <c r="S85" s="15">
        <f>IFERROR(__xludf.DUMMYFUNCTION("""COMPUTED_VALUE"""),0.2926829268292683)</f>
        <v>0.2926829268</v>
      </c>
      <c r="T85" s="16">
        <f>IFERROR(__xludf.DUMMYFUNCTION("""COMPUTED_VALUE"""),359.5)</f>
        <v>359.5</v>
      </c>
      <c r="U85" s="16">
        <f>IFERROR(__xludf.DUMMYFUNCTION("""COMPUTED_VALUE"""),0.8571428571428571)</f>
        <v>0.8571428571</v>
      </c>
      <c r="V85" s="16">
        <f>IFERROR(__xludf.DUMMYFUNCTION("""COMPUTED_VALUE"""),0.42857142857142855)</f>
        <v>0.4285714286</v>
      </c>
      <c r="W85" s="16">
        <f>IFERROR(__xludf.DUMMYFUNCTION("""COMPUTED_VALUE"""),1.4285714285714286)</f>
        <v>1.428571429</v>
      </c>
      <c r="X85" s="16">
        <f>IFERROR(__xludf.DUMMYFUNCTION("""COMPUTED_VALUE"""),2.9285714285714284)</f>
        <v>2.928571429</v>
      </c>
      <c r="Y85" s="11">
        <f>IFERROR(__xludf.DUMMYFUNCTION("""COMPUTED_VALUE"""),3.0)</f>
        <v>3</v>
      </c>
      <c r="Z85" s="11">
        <f>IFERROR(__xludf.DUMMYFUNCTION("""COMPUTED_VALUE"""),0.0)</f>
        <v>0</v>
      </c>
      <c r="AA85" s="11">
        <f>IFERROR(__xludf.DUMMYFUNCTION("""COMPUTED_VALUE"""),0.0)</f>
        <v>0</v>
      </c>
      <c r="AB85" s="11">
        <f>IFERROR(__xludf.DUMMYFUNCTION("""COMPUTED_VALUE"""),4.0)</f>
        <v>4</v>
      </c>
      <c r="AC85" s="11">
        <f>IFERROR(__xludf.DUMMYFUNCTION("""COMPUTED_VALUE"""),13.0)</f>
        <v>13</v>
      </c>
      <c r="AD85" s="11">
        <f>IFERROR(__xludf.DUMMYFUNCTION("""COMPUTED_VALUE"""),7.0)</f>
        <v>7</v>
      </c>
    </row>
    <row r="86">
      <c r="A86" s="10" t="str">
        <f>IFERROR(__xludf.DUMMYFUNCTION("""COMPUTED_VALUE"""),"Challenger")</f>
        <v>Challenger</v>
      </c>
      <c r="B86" s="10" t="str">
        <f>IFERROR(__xludf.DUMMYFUNCTION("""COMPUTED_VALUE"""),"RSC002897")</f>
        <v>RSC002897</v>
      </c>
      <c r="C86" s="10" t="str">
        <f>IFERROR(__xludf.DUMMYFUNCTION("""COMPUTED_VALUE"""),"VickyViksta")</f>
        <v>VickyViksta</v>
      </c>
      <c r="D86" s="36" t="str">
        <f>IFERROR(__xludf.DUMMYFUNCTION("""COMPUTED_VALUE"""),"Panda Bears")</f>
        <v>Panda Bears</v>
      </c>
      <c r="E86" s="10" t="str">
        <f>IFERROR(__xludf.DUMMYFUNCTION("""COMPUTED_VALUE"""),"Solar")</f>
        <v>Solar</v>
      </c>
      <c r="F86" s="37">
        <f>IFERROR(__xludf.DUMMYFUNCTION("""COMPUTED_VALUE"""),60.42741382356769)</f>
        <v>60.42741382</v>
      </c>
      <c r="G86" s="38">
        <f>IFERROR(__xludf.DUMMYFUNCTION("""COMPUTED_VALUE"""),64.24281344496916)</f>
        <v>64.24281344</v>
      </c>
      <c r="H86" s="38">
        <f>IFERROR(__xludf.DUMMYFUNCTION("""COMPUTED_VALUE"""),62.335113634268424)</f>
        <v>62.33511363</v>
      </c>
      <c r="I86" s="14">
        <f>IFERROR(__xludf.DUMMYFUNCTION("""COMPUTED_VALUE"""),55.0)</f>
        <v>55</v>
      </c>
      <c r="J86" s="11">
        <f>IFERROR(__xludf.DUMMYFUNCTION("IFERROR(FILTER(Stats!$F:$Z,(Stats!$A:$A=$A86)*(Stats!$B:$B=$B86)))"),32.0)</f>
        <v>32</v>
      </c>
      <c r="K86" s="11">
        <f>IFERROR(__xludf.DUMMYFUNCTION("""COMPUTED_VALUE"""),23.0)</f>
        <v>23</v>
      </c>
      <c r="L86" s="12">
        <f>IFERROR(__xludf.DUMMYFUNCTION("""COMPUTED_VALUE"""),0.5818181818181818)</f>
        <v>0.5818181818</v>
      </c>
      <c r="M86" s="11">
        <f>IFERROR(__xludf.DUMMYFUNCTION("""COMPUTED_VALUE"""),13.0)</f>
        <v>13</v>
      </c>
      <c r="N86" s="11">
        <f>IFERROR(__xludf.DUMMYFUNCTION("""COMPUTED_VALUE"""),20458.0)</f>
        <v>20458</v>
      </c>
      <c r="O86" s="13">
        <f>IFERROR(__xludf.DUMMYFUNCTION("""COMPUTED_VALUE"""),56.0)</f>
        <v>56</v>
      </c>
      <c r="P86" s="14">
        <f>IFERROR(__xludf.DUMMYFUNCTION("""COMPUTED_VALUE"""),23.0)</f>
        <v>23</v>
      </c>
      <c r="Q86" s="13">
        <f>IFERROR(__xludf.DUMMYFUNCTION("""COMPUTED_VALUE"""),78.0)</f>
        <v>78</v>
      </c>
      <c r="R86" s="13">
        <f>IFERROR(__xludf.DUMMYFUNCTION("""COMPUTED_VALUE"""),149.0)</f>
        <v>149</v>
      </c>
      <c r="S86" s="15">
        <f>IFERROR(__xludf.DUMMYFUNCTION("""COMPUTED_VALUE"""),0.37583892617449666)</f>
        <v>0.3758389262</v>
      </c>
      <c r="T86" s="16">
        <f>IFERROR(__xludf.DUMMYFUNCTION("""COMPUTED_VALUE"""),371.96363636363634)</f>
        <v>371.9636364</v>
      </c>
      <c r="U86" s="16">
        <f>IFERROR(__xludf.DUMMYFUNCTION("""COMPUTED_VALUE"""),1.018181818181818)</f>
        <v>1.018181818</v>
      </c>
      <c r="V86" s="16">
        <f>IFERROR(__xludf.DUMMYFUNCTION("""COMPUTED_VALUE"""),0.41818181818181815)</f>
        <v>0.4181818182</v>
      </c>
      <c r="W86" s="16">
        <f>IFERROR(__xludf.DUMMYFUNCTION("""COMPUTED_VALUE"""),1.4181818181818182)</f>
        <v>1.418181818</v>
      </c>
      <c r="X86" s="16">
        <f>IFERROR(__xludf.DUMMYFUNCTION("""COMPUTED_VALUE"""),2.709090909090909)</f>
        <v>2.709090909</v>
      </c>
      <c r="Y86" s="11">
        <f>IFERROR(__xludf.DUMMYFUNCTION("""COMPUTED_VALUE"""),12.0)</f>
        <v>12</v>
      </c>
      <c r="Z86" s="11">
        <f>IFERROR(__xludf.DUMMYFUNCTION("""COMPUTED_VALUE"""),3.0)</f>
        <v>3</v>
      </c>
      <c r="AA86" s="11">
        <f>IFERROR(__xludf.DUMMYFUNCTION("""COMPUTED_VALUE"""),0.0)</f>
        <v>0</v>
      </c>
      <c r="AB86" s="11">
        <f>IFERROR(__xludf.DUMMYFUNCTION("""COMPUTED_VALUE"""),7.0)</f>
        <v>7</v>
      </c>
      <c r="AC86" s="11">
        <f>IFERROR(__xludf.DUMMYFUNCTION("""COMPUTED_VALUE"""),32.0)</f>
        <v>32</v>
      </c>
      <c r="AD86" s="11">
        <f>IFERROR(__xludf.DUMMYFUNCTION("""COMPUTED_VALUE"""),47.0)</f>
        <v>47</v>
      </c>
    </row>
    <row r="87">
      <c r="A87" s="10" t="str">
        <f>IFERROR(__xludf.DUMMYFUNCTION("""COMPUTED_VALUE"""),"Challenger")</f>
        <v>Challenger</v>
      </c>
      <c r="B87" s="10" t="str">
        <f>IFERROR(__xludf.DUMMYFUNCTION("""COMPUTED_VALUE"""),"RSC005663")</f>
        <v>RSC005663</v>
      </c>
      <c r="C87" s="10" t="str">
        <f>IFERROR(__xludf.DUMMYFUNCTION("""COMPUTED_VALUE"""),"Pure_Pusher")</f>
        <v>Pure_Pusher</v>
      </c>
      <c r="D87" s="36" t="str">
        <f>IFERROR(__xludf.DUMMYFUNCTION("""COMPUTED_VALUE"""),"Cooks")</f>
        <v>Cooks</v>
      </c>
      <c r="E87" s="10" t="str">
        <f>IFERROR(__xludf.DUMMYFUNCTION("""COMPUTED_VALUE"""),"Solar")</f>
        <v>Solar</v>
      </c>
      <c r="F87" s="37">
        <f>IFERROR(__xludf.DUMMYFUNCTION("""COMPUTED_VALUE"""),57.766460604709906)</f>
        <v>57.7664606</v>
      </c>
      <c r="G87" s="38">
        <f>IFERROR(__xludf.DUMMYFUNCTION("""COMPUTED_VALUE"""),66.45765877892538)</f>
        <v>66.45765878</v>
      </c>
      <c r="H87" s="38">
        <f>IFERROR(__xludf.DUMMYFUNCTION("""COMPUTED_VALUE"""),62.11205969181764)</f>
        <v>62.11205969</v>
      </c>
      <c r="I87" s="14">
        <f>IFERROR(__xludf.DUMMYFUNCTION("""COMPUTED_VALUE"""),55.0)</f>
        <v>55</v>
      </c>
      <c r="J87" s="11">
        <f>IFERROR(__xludf.DUMMYFUNCTION("IFERROR(FILTER(Stats!$F:$Z,(Stats!$A:$A=$A87)*(Stats!$B:$B=$B87)))"),35.0)</f>
        <v>35</v>
      </c>
      <c r="K87" s="11">
        <f>IFERROR(__xludf.DUMMYFUNCTION("""COMPUTED_VALUE"""),20.0)</f>
        <v>20</v>
      </c>
      <c r="L87" s="12">
        <f>IFERROR(__xludf.DUMMYFUNCTION("""COMPUTED_VALUE"""),0.6363636363636364)</f>
        <v>0.6363636364</v>
      </c>
      <c r="M87" s="11">
        <f>IFERROR(__xludf.DUMMYFUNCTION("""COMPUTED_VALUE"""),10.0)</f>
        <v>10</v>
      </c>
      <c r="N87" s="11">
        <f>IFERROR(__xludf.DUMMYFUNCTION("""COMPUTED_VALUE"""),18098.0)</f>
        <v>18098</v>
      </c>
      <c r="O87" s="13">
        <f>IFERROR(__xludf.DUMMYFUNCTION("""COMPUTED_VALUE"""),48.0)</f>
        <v>48</v>
      </c>
      <c r="P87" s="14">
        <f>IFERROR(__xludf.DUMMYFUNCTION("""COMPUTED_VALUE"""),32.0)</f>
        <v>32</v>
      </c>
      <c r="Q87" s="13">
        <f>IFERROR(__xludf.DUMMYFUNCTION("""COMPUTED_VALUE"""),48.0)</f>
        <v>48</v>
      </c>
      <c r="R87" s="13">
        <f>IFERROR(__xludf.DUMMYFUNCTION("""COMPUTED_VALUE"""),138.0)</f>
        <v>138</v>
      </c>
      <c r="S87" s="15">
        <f>IFERROR(__xludf.DUMMYFUNCTION("""COMPUTED_VALUE"""),0.34782608695652173)</f>
        <v>0.347826087</v>
      </c>
      <c r="T87" s="16">
        <f>IFERROR(__xludf.DUMMYFUNCTION("""COMPUTED_VALUE"""),329.05454545454546)</f>
        <v>329.0545455</v>
      </c>
      <c r="U87" s="16">
        <f>IFERROR(__xludf.DUMMYFUNCTION("""COMPUTED_VALUE"""),0.8727272727272727)</f>
        <v>0.8727272727</v>
      </c>
      <c r="V87" s="16">
        <f>IFERROR(__xludf.DUMMYFUNCTION("""COMPUTED_VALUE"""),0.5818181818181818)</f>
        <v>0.5818181818</v>
      </c>
      <c r="W87" s="16">
        <f>IFERROR(__xludf.DUMMYFUNCTION("""COMPUTED_VALUE"""),0.8727272727272727)</f>
        <v>0.8727272727</v>
      </c>
      <c r="X87" s="16">
        <f>IFERROR(__xludf.DUMMYFUNCTION("""COMPUTED_VALUE"""),2.5090909090909093)</f>
        <v>2.509090909</v>
      </c>
      <c r="Y87" s="11">
        <f>IFERROR(__xludf.DUMMYFUNCTION("""COMPUTED_VALUE"""),10.0)</f>
        <v>10</v>
      </c>
      <c r="Z87" s="11">
        <f>IFERROR(__xludf.DUMMYFUNCTION("""COMPUTED_VALUE"""),3.0)</f>
        <v>3</v>
      </c>
      <c r="AA87" s="11">
        <f>IFERROR(__xludf.DUMMYFUNCTION("""COMPUTED_VALUE"""),1.0)</f>
        <v>1</v>
      </c>
      <c r="AB87" s="11">
        <f>IFERROR(__xludf.DUMMYFUNCTION("""COMPUTED_VALUE"""),3.0)</f>
        <v>3</v>
      </c>
      <c r="AC87" s="11">
        <f>IFERROR(__xludf.DUMMYFUNCTION("""COMPUTED_VALUE"""),53.0)</f>
        <v>53</v>
      </c>
      <c r="AD87" s="11">
        <f>IFERROR(__xludf.DUMMYFUNCTION("""COMPUTED_VALUE"""),41.0)</f>
        <v>41</v>
      </c>
    </row>
    <row r="88">
      <c r="A88" s="10" t="str">
        <f>IFERROR(__xludf.DUMMYFUNCTION("""COMPUTED_VALUE"""),"Challenger")</f>
        <v>Challenger</v>
      </c>
      <c r="B88" s="10" t="str">
        <f>IFERROR(__xludf.DUMMYFUNCTION("""COMPUTED_VALUE"""),"RSC006344")</f>
        <v>RSC006344</v>
      </c>
      <c r="C88" s="10" t="str">
        <f>IFERROR(__xludf.DUMMYFUNCTION("""COMPUTED_VALUE"""),"FerrisCrueller")</f>
        <v>FerrisCrueller</v>
      </c>
      <c r="D88" s="36" t="str">
        <f>IFERROR(__xludf.DUMMYFUNCTION("""COMPUTED_VALUE"""),"Insider Traders")</f>
        <v>Insider Traders</v>
      </c>
      <c r="E88" s="10" t="str">
        <f>IFERROR(__xludf.DUMMYFUNCTION("""COMPUTED_VALUE"""),"Lunar")</f>
        <v>Lunar</v>
      </c>
      <c r="F88" s="37">
        <f>IFERROR(__xludf.DUMMYFUNCTION("""COMPUTED_VALUE"""),57.628110680371584)</f>
        <v>57.62811068</v>
      </c>
      <c r="G88" s="38">
        <f>IFERROR(__xludf.DUMMYFUNCTION("""COMPUTED_VALUE"""),66.10968276998908)</f>
        <v>66.10968277</v>
      </c>
      <c r="H88" s="38">
        <f>IFERROR(__xludf.DUMMYFUNCTION("""COMPUTED_VALUE"""),61.868896725180335)</f>
        <v>61.86889673</v>
      </c>
      <c r="I88" s="14">
        <f>IFERROR(__xludf.DUMMYFUNCTION("""COMPUTED_VALUE"""),47.0)</f>
        <v>47</v>
      </c>
      <c r="J88" s="11">
        <f>IFERROR(__xludf.DUMMYFUNCTION("IFERROR(FILTER(Stats!$F:$Z,(Stats!$A:$A=$A88)*(Stats!$B:$B=$B88)))"),30.0)</f>
        <v>30</v>
      </c>
      <c r="K88" s="11">
        <f>IFERROR(__xludf.DUMMYFUNCTION("""COMPUTED_VALUE"""),17.0)</f>
        <v>17</v>
      </c>
      <c r="L88" s="12">
        <f>IFERROR(__xludf.DUMMYFUNCTION("""COMPUTED_VALUE"""),0.6382978723404256)</f>
        <v>0.6382978723</v>
      </c>
      <c r="M88" s="11">
        <f>IFERROR(__xludf.DUMMYFUNCTION("""COMPUTED_VALUE"""),9.0)</f>
        <v>9</v>
      </c>
      <c r="N88" s="11">
        <f>IFERROR(__xludf.DUMMYFUNCTION("""COMPUTED_VALUE"""),15360.0)</f>
        <v>15360</v>
      </c>
      <c r="O88" s="13">
        <f>IFERROR(__xludf.DUMMYFUNCTION("""COMPUTED_VALUE"""),38.0)</f>
        <v>38</v>
      </c>
      <c r="P88" s="14">
        <f>IFERROR(__xludf.DUMMYFUNCTION("""COMPUTED_VALUE"""),33.0)</f>
        <v>33</v>
      </c>
      <c r="Q88" s="13">
        <f>IFERROR(__xludf.DUMMYFUNCTION("""COMPUTED_VALUE"""),49.0)</f>
        <v>49</v>
      </c>
      <c r="R88" s="13">
        <f>IFERROR(__xludf.DUMMYFUNCTION("""COMPUTED_VALUE"""),97.0)</f>
        <v>97</v>
      </c>
      <c r="S88" s="15">
        <f>IFERROR(__xludf.DUMMYFUNCTION("""COMPUTED_VALUE"""),0.3917525773195876)</f>
        <v>0.3917525773</v>
      </c>
      <c r="T88" s="16">
        <f>IFERROR(__xludf.DUMMYFUNCTION("""COMPUTED_VALUE"""),326.8085106382979)</f>
        <v>326.8085106</v>
      </c>
      <c r="U88" s="16">
        <f>IFERROR(__xludf.DUMMYFUNCTION("""COMPUTED_VALUE"""),0.8085106382978723)</f>
        <v>0.8085106383</v>
      </c>
      <c r="V88" s="16">
        <f>IFERROR(__xludf.DUMMYFUNCTION("""COMPUTED_VALUE"""),0.7021276595744681)</f>
        <v>0.7021276596</v>
      </c>
      <c r="W88" s="16">
        <f>IFERROR(__xludf.DUMMYFUNCTION("""COMPUTED_VALUE"""),1.0425531914893618)</f>
        <v>1.042553191</v>
      </c>
      <c r="X88" s="16">
        <f>IFERROR(__xludf.DUMMYFUNCTION("""COMPUTED_VALUE"""),2.0638297872340425)</f>
        <v>2.063829787</v>
      </c>
      <c r="Y88" s="11">
        <f>IFERROR(__xludf.DUMMYFUNCTION("""COMPUTED_VALUE"""),5.0)</f>
        <v>5</v>
      </c>
      <c r="Z88" s="11">
        <f>IFERROR(__xludf.DUMMYFUNCTION("""COMPUTED_VALUE"""),1.0)</f>
        <v>1</v>
      </c>
      <c r="AA88" s="11">
        <f>IFERROR(__xludf.DUMMYFUNCTION("""COMPUTED_VALUE"""),1.0)</f>
        <v>1</v>
      </c>
      <c r="AB88" s="11">
        <f>IFERROR(__xludf.DUMMYFUNCTION("""COMPUTED_VALUE"""),6.0)</f>
        <v>6</v>
      </c>
      <c r="AC88" s="11">
        <f>IFERROR(__xludf.DUMMYFUNCTION("""COMPUTED_VALUE"""),34.0)</f>
        <v>34</v>
      </c>
      <c r="AD88" s="11">
        <f>IFERROR(__xludf.DUMMYFUNCTION("""COMPUTED_VALUE"""),37.0)</f>
        <v>37</v>
      </c>
    </row>
    <row r="89">
      <c r="A89" s="10" t="str">
        <f>IFERROR(__xludf.DUMMYFUNCTION("""COMPUTED_VALUE"""),"Challenger")</f>
        <v>Challenger</v>
      </c>
      <c r="B89" s="10" t="str">
        <f>IFERROR(__xludf.DUMMYFUNCTION("""COMPUTED_VALUE"""),"RSC002877")</f>
        <v>RSC002877</v>
      </c>
      <c r="C89" s="10" t="str">
        <f>IFERROR(__xludf.DUMMYFUNCTION("""COMPUTED_VALUE"""),"robophant")</f>
        <v>robophant</v>
      </c>
      <c r="D89" s="36" t="str">
        <f>IFERROR(__xludf.DUMMYFUNCTION("""COMPUTED_VALUE"""),"Decuriones")</f>
        <v>Decuriones</v>
      </c>
      <c r="E89" s="10" t="str">
        <f>IFERROR(__xludf.DUMMYFUNCTION("""COMPUTED_VALUE"""),"Solar")</f>
        <v>Solar</v>
      </c>
      <c r="F89" s="37">
        <f>IFERROR(__xludf.DUMMYFUNCTION("""COMPUTED_VALUE"""),64.56905905881939)</f>
        <v>64.56905906</v>
      </c>
      <c r="G89" s="38">
        <f>IFERROR(__xludf.DUMMYFUNCTION("""COMPUTED_VALUE"""),59.14085087726892)</f>
        <v>59.14085088</v>
      </c>
      <c r="H89" s="38">
        <f>IFERROR(__xludf.DUMMYFUNCTION("""COMPUTED_VALUE"""),61.854954968044154)</f>
        <v>61.85495497</v>
      </c>
      <c r="I89" s="14">
        <f>IFERROR(__xludf.DUMMYFUNCTION("""COMPUTED_VALUE"""),17.0)</f>
        <v>17</v>
      </c>
      <c r="J89" s="11">
        <f>IFERROR(__xludf.DUMMYFUNCTION("IFERROR(FILTER(Stats!$F:$Z,(Stats!$A:$A=$A89)*(Stats!$B:$B=$B89)))"),7.0)</f>
        <v>7</v>
      </c>
      <c r="K89" s="11">
        <f>IFERROR(__xludf.DUMMYFUNCTION("""COMPUTED_VALUE"""),10.0)</f>
        <v>10</v>
      </c>
      <c r="L89" s="12">
        <f>IFERROR(__xludf.DUMMYFUNCTION("""COMPUTED_VALUE"""),0.4117647058823529)</f>
        <v>0.4117647059</v>
      </c>
      <c r="M89" s="11">
        <f>IFERROR(__xludf.DUMMYFUNCTION("""COMPUTED_VALUE"""),2.0)</f>
        <v>2</v>
      </c>
      <c r="N89" s="11">
        <f>IFERROR(__xludf.DUMMYFUNCTION("""COMPUTED_VALUE"""),6019.0)</f>
        <v>6019</v>
      </c>
      <c r="O89" s="13">
        <f>IFERROR(__xludf.DUMMYFUNCTION("""COMPUTED_VALUE"""),12.0)</f>
        <v>12</v>
      </c>
      <c r="P89" s="14">
        <f>IFERROR(__xludf.DUMMYFUNCTION("""COMPUTED_VALUE"""),14.0)</f>
        <v>14</v>
      </c>
      <c r="Q89" s="13">
        <f>IFERROR(__xludf.DUMMYFUNCTION("""COMPUTED_VALUE"""),22.0)</f>
        <v>22</v>
      </c>
      <c r="R89" s="13">
        <f>IFERROR(__xludf.DUMMYFUNCTION("""COMPUTED_VALUE"""),35.0)</f>
        <v>35</v>
      </c>
      <c r="S89" s="15">
        <f>IFERROR(__xludf.DUMMYFUNCTION("""COMPUTED_VALUE"""),0.34285714285714286)</f>
        <v>0.3428571429</v>
      </c>
      <c r="T89" s="16">
        <f>IFERROR(__xludf.DUMMYFUNCTION("""COMPUTED_VALUE"""),354.05882352941177)</f>
        <v>354.0588235</v>
      </c>
      <c r="U89" s="16">
        <f>IFERROR(__xludf.DUMMYFUNCTION("""COMPUTED_VALUE"""),0.7058823529411765)</f>
        <v>0.7058823529</v>
      </c>
      <c r="V89" s="16">
        <f>IFERROR(__xludf.DUMMYFUNCTION("""COMPUTED_VALUE"""),0.8235294117647058)</f>
        <v>0.8235294118</v>
      </c>
      <c r="W89" s="16">
        <f>IFERROR(__xludf.DUMMYFUNCTION("""COMPUTED_VALUE"""),1.2941176470588236)</f>
        <v>1.294117647</v>
      </c>
      <c r="X89" s="16">
        <f>IFERROR(__xludf.DUMMYFUNCTION("""COMPUTED_VALUE"""),2.0588235294117645)</f>
        <v>2.058823529</v>
      </c>
      <c r="Y89" s="11">
        <f>IFERROR(__xludf.DUMMYFUNCTION("""COMPUTED_VALUE"""),4.0)</f>
        <v>4</v>
      </c>
      <c r="Z89" s="11">
        <f>IFERROR(__xludf.DUMMYFUNCTION("""COMPUTED_VALUE"""),0.0)</f>
        <v>0</v>
      </c>
      <c r="AA89" s="11">
        <f>IFERROR(__xludf.DUMMYFUNCTION("""COMPUTED_VALUE"""),0.0)</f>
        <v>0</v>
      </c>
      <c r="AB89" s="11">
        <f>IFERROR(__xludf.DUMMYFUNCTION("""COMPUTED_VALUE"""),1.0)</f>
        <v>1</v>
      </c>
      <c r="AC89" s="11">
        <f>IFERROR(__xludf.DUMMYFUNCTION("""COMPUTED_VALUE"""),16.0)</f>
        <v>16</v>
      </c>
      <c r="AD89" s="11">
        <f>IFERROR(__xludf.DUMMYFUNCTION("""COMPUTED_VALUE"""),20.0)</f>
        <v>20</v>
      </c>
    </row>
    <row r="90">
      <c r="A90" s="10" t="str">
        <f>IFERROR(__xludf.DUMMYFUNCTION("""COMPUTED_VALUE"""),"Challenger")</f>
        <v>Challenger</v>
      </c>
      <c r="B90" s="10" t="str">
        <f>IFERROR(__xludf.DUMMYFUNCTION("""COMPUTED_VALUE"""),"RSC008390")</f>
        <v>RSC008390</v>
      </c>
      <c r="C90" s="10" t="str">
        <f>IFERROR(__xludf.DUMMYFUNCTION("""COMPUTED_VALUE"""),"Cully")</f>
        <v>Cully</v>
      </c>
      <c r="D90" s="36" t="str">
        <f>IFERROR(__xludf.DUMMYFUNCTION("""COMPUTED_VALUE"""),"Olympic Knights")</f>
        <v>Olympic Knights</v>
      </c>
      <c r="E90" s="10" t="str">
        <f>IFERROR(__xludf.DUMMYFUNCTION("""COMPUTED_VALUE"""),"Solar")</f>
        <v>Solar</v>
      </c>
      <c r="F90" s="37">
        <f>IFERROR(__xludf.DUMMYFUNCTION("""COMPUTED_VALUE"""),59.65400205727964)</f>
        <v>59.65400206</v>
      </c>
      <c r="G90" s="38">
        <f>IFERROR(__xludf.DUMMYFUNCTION("""COMPUTED_VALUE"""),64.01275461913451)</f>
        <v>64.01275462</v>
      </c>
      <c r="H90" s="38">
        <f>IFERROR(__xludf.DUMMYFUNCTION("""COMPUTED_VALUE"""),61.833378338207076)</f>
        <v>61.83337834</v>
      </c>
      <c r="I90" s="14">
        <f>IFERROR(__xludf.DUMMYFUNCTION("""COMPUTED_VALUE"""),50.0)</f>
        <v>50</v>
      </c>
      <c r="J90" s="11">
        <f>IFERROR(__xludf.DUMMYFUNCTION("IFERROR(FILTER(Stats!$F:$Z,(Stats!$A:$A=$A90)*(Stats!$B:$B=$B90)))"),35.0)</f>
        <v>35</v>
      </c>
      <c r="K90" s="11">
        <f>IFERROR(__xludf.DUMMYFUNCTION("""COMPUTED_VALUE"""),15.0)</f>
        <v>15</v>
      </c>
      <c r="L90" s="12">
        <f>IFERROR(__xludf.DUMMYFUNCTION("""COMPUTED_VALUE"""),0.7)</f>
        <v>0.7</v>
      </c>
      <c r="M90" s="11">
        <f>IFERROR(__xludf.DUMMYFUNCTION("""COMPUTED_VALUE"""),11.0)</f>
        <v>11</v>
      </c>
      <c r="N90" s="11">
        <f>IFERROR(__xludf.DUMMYFUNCTION("""COMPUTED_VALUE"""),16757.0)</f>
        <v>16757</v>
      </c>
      <c r="O90" s="13">
        <f>IFERROR(__xludf.DUMMYFUNCTION("""COMPUTED_VALUE"""),36.0)</f>
        <v>36</v>
      </c>
      <c r="P90" s="14">
        <f>IFERROR(__xludf.DUMMYFUNCTION("""COMPUTED_VALUE"""),25.0)</f>
        <v>25</v>
      </c>
      <c r="Q90" s="13">
        <f>IFERROR(__xludf.DUMMYFUNCTION("""COMPUTED_VALUE"""),63.0)</f>
        <v>63</v>
      </c>
      <c r="R90" s="13">
        <f>IFERROR(__xludf.DUMMYFUNCTION("""COMPUTED_VALUE"""),121.0)</f>
        <v>121</v>
      </c>
      <c r="S90" s="15">
        <f>IFERROR(__xludf.DUMMYFUNCTION("""COMPUTED_VALUE"""),0.2975206611570248)</f>
        <v>0.2975206612</v>
      </c>
      <c r="T90" s="16">
        <f>IFERROR(__xludf.DUMMYFUNCTION("""COMPUTED_VALUE"""),335.14)</f>
        <v>335.14</v>
      </c>
      <c r="U90" s="16">
        <f>IFERROR(__xludf.DUMMYFUNCTION("""COMPUTED_VALUE"""),0.72)</f>
        <v>0.72</v>
      </c>
      <c r="V90" s="16">
        <f>IFERROR(__xludf.DUMMYFUNCTION("""COMPUTED_VALUE"""),0.5)</f>
        <v>0.5</v>
      </c>
      <c r="W90" s="16">
        <f>IFERROR(__xludf.DUMMYFUNCTION("""COMPUTED_VALUE"""),1.26)</f>
        <v>1.26</v>
      </c>
      <c r="X90" s="16">
        <f>IFERROR(__xludf.DUMMYFUNCTION("""COMPUTED_VALUE"""),2.42)</f>
        <v>2.42</v>
      </c>
      <c r="Y90" s="11">
        <f>IFERROR(__xludf.DUMMYFUNCTION("""COMPUTED_VALUE"""),8.0)</f>
        <v>8</v>
      </c>
      <c r="Z90" s="11">
        <f>IFERROR(__xludf.DUMMYFUNCTION("""COMPUTED_VALUE"""),2.0)</f>
        <v>2</v>
      </c>
      <c r="AA90" s="11">
        <f>IFERROR(__xludf.DUMMYFUNCTION("""COMPUTED_VALUE"""),0.0)</f>
        <v>0</v>
      </c>
      <c r="AB90" s="11">
        <f>IFERROR(__xludf.DUMMYFUNCTION("""COMPUTED_VALUE"""),5.0)</f>
        <v>5</v>
      </c>
      <c r="AC90" s="11">
        <f>IFERROR(__xludf.DUMMYFUNCTION("""COMPUTED_VALUE"""),85.0)</f>
        <v>85</v>
      </c>
      <c r="AD90" s="11">
        <f>IFERROR(__xludf.DUMMYFUNCTION("""COMPUTED_VALUE"""),32.0)</f>
        <v>32</v>
      </c>
    </row>
    <row r="91">
      <c r="A91" s="10" t="str">
        <f>IFERROR(__xludf.DUMMYFUNCTION("""COMPUTED_VALUE"""),"Challenger")</f>
        <v>Challenger</v>
      </c>
      <c r="B91" s="10" t="str">
        <f>IFERROR(__xludf.DUMMYFUNCTION("""COMPUTED_VALUE"""),"RSC006669")</f>
        <v>RSC006669</v>
      </c>
      <c r="C91" s="10" t="str">
        <f>IFERROR(__xludf.DUMMYFUNCTION("""COMPUTED_VALUE"""),"xypheron")</f>
        <v>xypheron</v>
      </c>
      <c r="D91" s="36" t="str">
        <f>IFERROR(__xludf.DUMMYFUNCTION("""COMPUTED_VALUE"""),"Meat Lovers")</f>
        <v>Meat Lovers</v>
      </c>
      <c r="E91" s="10" t="str">
        <f>IFERROR(__xludf.DUMMYFUNCTION("""COMPUTED_VALUE"""),"Lunar")</f>
        <v>Lunar</v>
      </c>
      <c r="F91" s="37">
        <f>IFERROR(__xludf.DUMMYFUNCTION("""COMPUTED_VALUE"""),59.09742497518439)</f>
        <v>59.09742498</v>
      </c>
      <c r="G91" s="38">
        <f>IFERROR(__xludf.DUMMYFUNCTION("""COMPUTED_VALUE"""),64.26866133150942)</f>
        <v>64.26866133</v>
      </c>
      <c r="H91" s="38">
        <f>IFERROR(__xludf.DUMMYFUNCTION("""COMPUTED_VALUE"""),61.6830431533469)</f>
        <v>61.68304315</v>
      </c>
      <c r="I91" s="14">
        <f>IFERROR(__xludf.DUMMYFUNCTION("""COMPUTED_VALUE"""),28.0)</f>
        <v>28</v>
      </c>
      <c r="J91" s="11">
        <f>IFERROR(__xludf.DUMMYFUNCTION("IFERROR(FILTER(Stats!$F:$Z,(Stats!$A:$A=$A91)*(Stats!$B:$B=$B91)))"),16.0)</f>
        <v>16</v>
      </c>
      <c r="K91" s="11">
        <f>IFERROR(__xludf.DUMMYFUNCTION("""COMPUTED_VALUE"""),12.0)</f>
        <v>12</v>
      </c>
      <c r="L91" s="12">
        <f>IFERROR(__xludf.DUMMYFUNCTION("""COMPUTED_VALUE"""),0.5714285714285714)</f>
        <v>0.5714285714</v>
      </c>
      <c r="M91" s="11">
        <f>IFERROR(__xludf.DUMMYFUNCTION("""COMPUTED_VALUE"""),2.0)</f>
        <v>2</v>
      </c>
      <c r="N91" s="11">
        <f>IFERROR(__xludf.DUMMYFUNCTION("""COMPUTED_VALUE"""),9222.0)</f>
        <v>9222</v>
      </c>
      <c r="O91" s="13">
        <f>IFERROR(__xludf.DUMMYFUNCTION("""COMPUTED_VALUE"""),18.0)</f>
        <v>18</v>
      </c>
      <c r="P91" s="14">
        <f>IFERROR(__xludf.DUMMYFUNCTION("""COMPUTED_VALUE"""),17.0)</f>
        <v>17</v>
      </c>
      <c r="Q91" s="13">
        <f>IFERROR(__xludf.DUMMYFUNCTION("""COMPUTED_VALUE"""),33.0)</f>
        <v>33</v>
      </c>
      <c r="R91" s="13">
        <f>IFERROR(__xludf.DUMMYFUNCTION("""COMPUTED_VALUE"""),82.0)</f>
        <v>82</v>
      </c>
      <c r="S91" s="15">
        <f>IFERROR(__xludf.DUMMYFUNCTION("""COMPUTED_VALUE"""),0.21951219512195122)</f>
        <v>0.2195121951</v>
      </c>
      <c r="T91" s="16">
        <f>IFERROR(__xludf.DUMMYFUNCTION("""COMPUTED_VALUE"""),329.35714285714283)</f>
        <v>329.3571429</v>
      </c>
      <c r="U91" s="16">
        <f>IFERROR(__xludf.DUMMYFUNCTION("""COMPUTED_VALUE"""),0.6428571428571429)</f>
        <v>0.6428571429</v>
      </c>
      <c r="V91" s="16">
        <f>IFERROR(__xludf.DUMMYFUNCTION("""COMPUTED_VALUE"""),0.6071428571428571)</f>
        <v>0.6071428571</v>
      </c>
      <c r="W91" s="16">
        <f>IFERROR(__xludf.DUMMYFUNCTION("""COMPUTED_VALUE"""),1.1785714285714286)</f>
        <v>1.178571429</v>
      </c>
      <c r="X91" s="16">
        <f>IFERROR(__xludf.DUMMYFUNCTION("""COMPUTED_VALUE"""),2.9285714285714284)</f>
        <v>2.928571429</v>
      </c>
      <c r="Y91" s="11">
        <f>IFERROR(__xludf.DUMMYFUNCTION("""COMPUTED_VALUE"""),5.0)</f>
        <v>5</v>
      </c>
      <c r="Z91" s="11">
        <f>IFERROR(__xludf.DUMMYFUNCTION("""COMPUTED_VALUE"""),1.0)</f>
        <v>1</v>
      </c>
      <c r="AA91" s="11">
        <f>IFERROR(__xludf.DUMMYFUNCTION("""COMPUTED_VALUE"""),0.0)</f>
        <v>0</v>
      </c>
      <c r="AB91" s="11">
        <f>IFERROR(__xludf.DUMMYFUNCTION("""COMPUTED_VALUE"""),4.0)</f>
        <v>4</v>
      </c>
      <c r="AC91" s="11">
        <f>IFERROR(__xludf.DUMMYFUNCTION("""COMPUTED_VALUE"""),16.0)</f>
        <v>16</v>
      </c>
      <c r="AD91" s="11">
        <f>IFERROR(__xludf.DUMMYFUNCTION("""COMPUTED_VALUE"""),29.0)</f>
        <v>29</v>
      </c>
    </row>
    <row r="92">
      <c r="A92" s="10" t="str">
        <f>IFERROR(__xludf.DUMMYFUNCTION("""COMPUTED_VALUE"""),"Challenger")</f>
        <v>Challenger</v>
      </c>
      <c r="B92" s="10" t="str">
        <f>IFERROR(__xludf.DUMMYFUNCTION("""COMPUTED_VALUE"""),"RSC007262")</f>
        <v>RSC007262</v>
      </c>
      <c r="C92" s="10" t="str">
        <f>IFERROR(__xludf.DUMMYFUNCTION("""COMPUTED_VALUE"""),"Vvreze")</f>
        <v>Vvreze</v>
      </c>
      <c r="D92" s="36" t="str">
        <f>IFERROR(__xludf.DUMMYFUNCTION("""COMPUTED_VALUE"""),"Thunder Pups")</f>
        <v>Thunder Pups</v>
      </c>
      <c r="E92" s="10" t="str">
        <f>IFERROR(__xludf.DUMMYFUNCTION("""COMPUTED_VALUE"""),"Solar")</f>
        <v>Solar</v>
      </c>
      <c r="F92" s="37">
        <f>IFERROR(__xludf.DUMMYFUNCTION("""COMPUTED_VALUE"""),57.85676825200813)</f>
        <v>57.85676825</v>
      </c>
      <c r="G92" s="38">
        <f>IFERROR(__xludf.DUMMYFUNCTION("""COMPUTED_VALUE"""),65.17559776523186)</f>
        <v>65.17559777</v>
      </c>
      <c r="H92" s="38">
        <f>IFERROR(__xludf.DUMMYFUNCTION("""COMPUTED_VALUE"""),61.51618300861999)</f>
        <v>61.51618301</v>
      </c>
      <c r="I92" s="14">
        <f>IFERROR(__xludf.DUMMYFUNCTION("""COMPUTED_VALUE"""),53.0)</f>
        <v>53</v>
      </c>
      <c r="J92" s="11">
        <f>IFERROR(__xludf.DUMMYFUNCTION("IFERROR(FILTER(Stats!$F:$Z,(Stats!$A:$A=$A92)*(Stats!$B:$B=$B92)))"),30.0)</f>
        <v>30</v>
      </c>
      <c r="K92" s="11">
        <f>IFERROR(__xludf.DUMMYFUNCTION("""COMPUTED_VALUE"""),23.0)</f>
        <v>23</v>
      </c>
      <c r="L92" s="12">
        <f>IFERROR(__xludf.DUMMYFUNCTION("""COMPUTED_VALUE"""),0.5660377358490566)</f>
        <v>0.5660377358</v>
      </c>
      <c r="M92" s="11">
        <f>IFERROR(__xludf.DUMMYFUNCTION("""COMPUTED_VALUE"""),11.0)</f>
        <v>11</v>
      </c>
      <c r="N92" s="11">
        <f>IFERROR(__xludf.DUMMYFUNCTION("""COMPUTED_VALUE"""),18853.0)</f>
        <v>18853</v>
      </c>
      <c r="O92" s="13">
        <f>IFERROR(__xludf.DUMMYFUNCTION("""COMPUTED_VALUE"""),48.0)</f>
        <v>48</v>
      </c>
      <c r="P92" s="14">
        <f>IFERROR(__xludf.DUMMYFUNCTION("""COMPUTED_VALUE"""),31.0)</f>
        <v>31</v>
      </c>
      <c r="Q92" s="13">
        <f>IFERROR(__xludf.DUMMYFUNCTION("""COMPUTED_VALUE"""),58.0)</f>
        <v>58</v>
      </c>
      <c r="R92" s="13">
        <f>IFERROR(__xludf.DUMMYFUNCTION("""COMPUTED_VALUE"""),140.0)</f>
        <v>140</v>
      </c>
      <c r="S92" s="15">
        <f>IFERROR(__xludf.DUMMYFUNCTION("""COMPUTED_VALUE"""),0.34285714285714286)</f>
        <v>0.3428571429</v>
      </c>
      <c r="T92" s="16">
        <f>IFERROR(__xludf.DUMMYFUNCTION("""COMPUTED_VALUE"""),355.7169811320755)</f>
        <v>355.7169811</v>
      </c>
      <c r="U92" s="16">
        <f>IFERROR(__xludf.DUMMYFUNCTION("""COMPUTED_VALUE"""),0.9056603773584906)</f>
        <v>0.9056603774</v>
      </c>
      <c r="V92" s="16">
        <f>IFERROR(__xludf.DUMMYFUNCTION("""COMPUTED_VALUE"""),0.5849056603773585)</f>
        <v>0.5849056604</v>
      </c>
      <c r="W92" s="16">
        <f>IFERROR(__xludf.DUMMYFUNCTION("""COMPUTED_VALUE"""),1.0943396226415094)</f>
        <v>1.094339623</v>
      </c>
      <c r="X92" s="16">
        <f>IFERROR(__xludf.DUMMYFUNCTION("""COMPUTED_VALUE"""),2.641509433962264)</f>
        <v>2.641509434</v>
      </c>
      <c r="Y92" s="11">
        <f>IFERROR(__xludf.DUMMYFUNCTION("""COMPUTED_VALUE"""),7.0)</f>
        <v>7</v>
      </c>
      <c r="Z92" s="11">
        <f>IFERROR(__xludf.DUMMYFUNCTION("""COMPUTED_VALUE"""),3.0)</f>
        <v>3</v>
      </c>
      <c r="AA92" s="11">
        <f>IFERROR(__xludf.DUMMYFUNCTION("""COMPUTED_VALUE"""),1.0)</f>
        <v>1</v>
      </c>
      <c r="AB92" s="11">
        <f>IFERROR(__xludf.DUMMYFUNCTION("""COMPUTED_VALUE"""),7.0)</f>
        <v>7</v>
      </c>
      <c r="AC92" s="11">
        <f>IFERROR(__xludf.DUMMYFUNCTION("""COMPUTED_VALUE"""),57.0)</f>
        <v>57</v>
      </c>
      <c r="AD92" s="11">
        <f>IFERROR(__xludf.DUMMYFUNCTION("""COMPUTED_VALUE"""),66.0)</f>
        <v>66</v>
      </c>
    </row>
    <row r="93">
      <c r="A93" s="10" t="str">
        <f>IFERROR(__xludf.DUMMYFUNCTION("""COMPUTED_VALUE"""),"Challenger")</f>
        <v>Challenger</v>
      </c>
      <c r="B93" s="10" t="str">
        <f>IFERROR(__xludf.DUMMYFUNCTION("""COMPUTED_VALUE"""),"RSC000347")</f>
        <v>RSC000347</v>
      </c>
      <c r="C93" s="10" t="str">
        <f>IFERROR(__xludf.DUMMYFUNCTION("""COMPUTED_VALUE"""),"Chris.")</f>
        <v>Chris.</v>
      </c>
      <c r="D93" s="36" t="str">
        <f>IFERROR(__xludf.DUMMYFUNCTION("""COMPUTED_VALUE"""),"Meat Lovers
Decuriones")</f>
        <v>Meat Lovers
Decuriones</v>
      </c>
      <c r="E93" s="10" t="str">
        <f>IFERROR(__xludf.DUMMYFUNCTION("""COMPUTED_VALUE"""),"Lunar
Solar")</f>
        <v>Lunar
Solar</v>
      </c>
      <c r="F93" s="37">
        <f>IFERROR(__xludf.DUMMYFUNCTION("""COMPUTED_VALUE"""),50.95919101279917)</f>
        <v>50.95919101</v>
      </c>
      <c r="G93" s="38">
        <f>IFERROR(__xludf.DUMMYFUNCTION("""COMPUTED_VALUE"""),71.73118816835357)</f>
        <v>71.73118817</v>
      </c>
      <c r="H93" s="38">
        <f>IFERROR(__xludf.DUMMYFUNCTION("""COMPUTED_VALUE"""),61.34518959057637)</f>
        <v>61.34518959</v>
      </c>
      <c r="I93" s="14">
        <f>IFERROR(__xludf.DUMMYFUNCTION("""COMPUTED_VALUE"""),5.0)</f>
        <v>5</v>
      </c>
      <c r="J93" s="11">
        <f>IFERROR(__xludf.DUMMYFUNCTION("IFERROR(FILTER(Stats!$F:$Z,(Stats!$A:$A=$A93)*(Stats!$B:$B=$B93)))"),3.0)</f>
        <v>3</v>
      </c>
      <c r="K93" s="11">
        <f>IFERROR(__xludf.DUMMYFUNCTION("""COMPUTED_VALUE"""),2.0)</f>
        <v>2</v>
      </c>
      <c r="L93" s="12">
        <f>IFERROR(__xludf.DUMMYFUNCTION("""COMPUTED_VALUE"""),0.6)</f>
        <v>0.6</v>
      </c>
      <c r="M93" s="11">
        <f>IFERROR(__xludf.DUMMYFUNCTION("""COMPUTED_VALUE"""),0.0)</f>
        <v>0</v>
      </c>
      <c r="N93" s="11">
        <f>IFERROR(__xludf.DUMMYFUNCTION("""COMPUTED_VALUE"""),1630.0)</f>
        <v>1630</v>
      </c>
      <c r="O93" s="13">
        <f>IFERROR(__xludf.DUMMYFUNCTION("""COMPUTED_VALUE"""),4.0)</f>
        <v>4</v>
      </c>
      <c r="P93" s="14">
        <f>IFERROR(__xludf.DUMMYFUNCTION("""COMPUTED_VALUE"""),4.0)</f>
        <v>4</v>
      </c>
      <c r="Q93" s="13">
        <f>IFERROR(__xludf.DUMMYFUNCTION("""COMPUTED_VALUE"""),5.0)</f>
        <v>5</v>
      </c>
      <c r="R93" s="13">
        <f>IFERROR(__xludf.DUMMYFUNCTION("""COMPUTED_VALUE"""),12.0)</f>
        <v>12</v>
      </c>
      <c r="S93" s="15">
        <f>IFERROR(__xludf.DUMMYFUNCTION("""COMPUTED_VALUE"""),0.3333333333333333)</f>
        <v>0.3333333333</v>
      </c>
      <c r="T93" s="16">
        <f>IFERROR(__xludf.DUMMYFUNCTION("""COMPUTED_VALUE"""),326.0)</f>
        <v>326</v>
      </c>
      <c r="U93" s="16">
        <f>IFERROR(__xludf.DUMMYFUNCTION("""COMPUTED_VALUE"""),0.8)</f>
        <v>0.8</v>
      </c>
      <c r="V93" s="16">
        <f>IFERROR(__xludf.DUMMYFUNCTION("""COMPUTED_VALUE"""),0.8)</f>
        <v>0.8</v>
      </c>
      <c r="W93" s="16">
        <f>IFERROR(__xludf.DUMMYFUNCTION("""COMPUTED_VALUE"""),1.0)</f>
        <v>1</v>
      </c>
      <c r="X93" s="16">
        <f>IFERROR(__xludf.DUMMYFUNCTION("""COMPUTED_VALUE"""),2.4)</f>
        <v>2.4</v>
      </c>
      <c r="Y93" s="11">
        <f>IFERROR(__xludf.DUMMYFUNCTION("""COMPUTED_VALUE"""),1.0)</f>
        <v>1</v>
      </c>
      <c r="Z93" s="11">
        <f>IFERROR(__xludf.DUMMYFUNCTION("""COMPUTED_VALUE"""),1.0)</f>
        <v>1</v>
      </c>
      <c r="AA93" s="11">
        <f>IFERROR(__xludf.DUMMYFUNCTION("""COMPUTED_VALUE"""),0.0)</f>
        <v>0</v>
      </c>
      <c r="AB93" s="11">
        <f>IFERROR(__xludf.DUMMYFUNCTION("""COMPUTED_VALUE"""),0.0)</f>
        <v>0</v>
      </c>
      <c r="AC93" s="11">
        <f>IFERROR(__xludf.DUMMYFUNCTION("""COMPUTED_VALUE"""),4.0)</f>
        <v>4</v>
      </c>
      <c r="AD93" s="11">
        <f>IFERROR(__xludf.DUMMYFUNCTION("""COMPUTED_VALUE"""),7.0)</f>
        <v>7</v>
      </c>
    </row>
    <row r="94">
      <c r="A94" s="10" t="str">
        <f>IFERROR(__xludf.DUMMYFUNCTION("""COMPUTED_VALUE"""),"Challenger")</f>
        <v>Challenger</v>
      </c>
      <c r="B94" s="10" t="str">
        <f>IFERROR(__xludf.DUMMYFUNCTION("""COMPUTED_VALUE"""),"RSC008158")</f>
        <v>RSC008158</v>
      </c>
      <c r="C94" s="10" t="str">
        <f>IFERROR(__xludf.DUMMYFUNCTION("""COMPUTED_VALUE"""),"Twixxle_")</f>
        <v>Twixxle_</v>
      </c>
      <c r="D94" s="36" t="str">
        <f>IFERROR(__xludf.DUMMYFUNCTION("""COMPUTED_VALUE"""),"Shade")</f>
        <v>Shade</v>
      </c>
      <c r="E94" s="10" t="str">
        <f>IFERROR(__xludf.DUMMYFUNCTION("""COMPUTED_VALUE"""),"Lunar")</f>
        <v>Lunar</v>
      </c>
      <c r="F94" s="37">
        <f>IFERROR(__xludf.DUMMYFUNCTION("""COMPUTED_VALUE"""),59.29243588753477)</f>
        <v>59.29243589</v>
      </c>
      <c r="G94" s="38">
        <f>IFERROR(__xludf.DUMMYFUNCTION("""COMPUTED_VALUE"""),63.022819826924554)</f>
        <v>63.02281983</v>
      </c>
      <c r="H94" s="38">
        <f>IFERROR(__xludf.DUMMYFUNCTION("""COMPUTED_VALUE"""),61.15762785722966)</f>
        <v>61.15762786</v>
      </c>
      <c r="I94" s="14">
        <f>IFERROR(__xludf.DUMMYFUNCTION("""COMPUTED_VALUE"""),55.0)</f>
        <v>55</v>
      </c>
      <c r="J94" s="11">
        <f>IFERROR(__xludf.DUMMYFUNCTION("IFERROR(FILTER(Stats!$F:$Z,(Stats!$A:$A=$A94)*(Stats!$B:$B=$B94)))"),35.0)</f>
        <v>35</v>
      </c>
      <c r="K94" s="11">
        <f>IFERROR(__xludf.DUMMYFUNCTION("""COMPUTED_VALUE"""),20.0)</f>
        <v>20</v>
      </c>
      <c r="L94" s="12">
        <f>IFERROR(__xludf.DUMMYFUNCTION("""COMPUTED_VALUE"""),0.6363636363636364)</f>
        <v>0.6363636364</v>
      </c>
      <c r="M94" s="11">
        <f>IFERROR(__xludf.DUMMYFUNCTION("""COMPUTED_VALUE"""),8.0)</f>
        <v>8</v>
      </c>
      <c r="N94" s="11">
        <f>IFERROR(__xludf.DUMMYFUNCTION("""COMPUTED_VALUE"""),17125.0)</f>
        <v>17125</v>
      </c>
      <c r="O94" s="13">
        <f>IFERROR(__xludf.DUMMYFUNCTION("""COMPUTED_VALUE"""),43.0)</f>
        <v>43</v>
      </c>
      <c r="P94" s="14">
        <f>IFERROR(__xludf.DUMMYFUNCTION("""COMPUTED_VALUE"""),30.0)</f>
        <v>30</v>
      </c>
      <c r="Q94" s="13">
        <f>IFERROR(__xludf.DUMMYFUNCTION("""COMPUTED_VALUE"""),45.0)</f>
        <v>45</v>
      </c>
      <c r="R94" s="13">
        <f>IFERROR(__xludf.DUMMYFUNCTION("""COMPUTED_VALUE"""),144.0)</f>
        <v>144</v>
      </c>
      <c r="S94" s="15">
        <f>IFERROR(__xludf.DUMMYFUNCTION("""COMPUTED_VALUE"""),0.2986111111111111)</f>
        <v>0.2986111111</v>
      </c>
      <c r="T94" s="16">
        <f>IFERROR(__xludf.DUMMYFUNCTION("""COMPUTED_VALUE"""),311.3636363636364)</f>
        <v>311.3636364</v>
      </c>
      <c r="U94" s="16">
        <f>IFERROR(__xludf.DUMMYFUNCTION("""COMPUTED_VALUE"""),0.7818181818181819)</f>
        <v>0.7818181818</v>
      </c>
      <c r="V94" s="16">
        <f>IFERROR(__xludf.DUMMYFUNCTION("""COMPUTED_VALUE"""),0.5454545454545454)</f>
        <v>0.5454545455</v>
      </c>
      <c r="W94" s="16">
        <f>IFERROR(__xludf.DUMMYFUNCTION("""COMPUTED_VALUE"""),0.8181818181818182)</f>
        <v>0.8181818182</v>
      </c>
      <c r="X94" s="16">
        <f>IFERROR(__xludf.DUMMYFUNCTION("""COMPUTED_VALUE"""),2.618181818181818)</f>
        <v>2.618181818</v>
      </c>
      <c r="Y94" s="11">
        <f>IFERROR(__xludf.DUMMYFUNCTION("""COMPUTED_VALUE"""),10.0)</f>
        <v>10</v>
      </c>
      <c r="Z94" s="11">
        <f>IFERROR(__xludf.DUMMYFUNCTION("""COMPUTED_VALUE"""),0.0)</f>
        <v>0</v>
      </c>
      <c r="AA94" s="11">
        <f>IFERROR(__xludf.DUMMYFUNCTION("""COMPUTED_VALUE"""),2.0)</f>
        <v>2</v>
      </c>
      <c r="AB94" s="11">
        <f>IFERROR(__xludf.DUMMYFUNCTION("""COMPUTED_VALUE"""),1.0)</f>
        <v>1</v>
      </c>
      <c r="AC94" s="11">
        <f>IFERROR(__xludf.DUMMYFUNCTION("""COMPUTED_VALUE"""),27.0)</f>
        <v>27</v>
      </c>
      <c r="AD94" s="11">
        <f>IFERROR(__xludf.DUMMYFUNCTION("""COMPUTED_VALUE"""),58.0)</f>
        <v>58</v>
      </c>
    </row>
    <row r="95">
      <c r="A95" s="10" t="str">
        <f>IFERROR(__xludf.DUMMYFUNCTION("""COMPUTED_VALUE"""),"Challenger")</f>
        <v>Challenger</v>
      </c>
      <c r="B95" s="10" t="str">
        <f>IFERROR(__xludf.DUMMYFUNCTION("""COMPUTED_VALUE"""),"RSC006769")</f>
        <v>RSC006769</v>
      </c>
      <c r="C95" s="10" t="str">
        <f>IFERROR(__xludf.DUMMYFUNCTION("""COMPUTED_VALUE"""),"baltostorm")</f>
        <v>baltostorm</v>
      </c>
      <c r="D95" s="36" t="str">
        <f>IFERROR(__xludf.DUMMYFUNCTION("""COMPUTED_VALUE"""),"Zombies")</f>
        <v>Zombies</v>
      </c>
      <c r="E95" s="10" t="str">
        <f>IFERROR(__xludf.DUMMYFUNCTION("""COMPUTED_VALUE"""),"Lunar")</f>
        <v>Lunar</v>
      </c>
      <c r="F95" s="37">
        <f>IFERROR(__xludf.DUMMYFUNCTION("""COMPUTED_VALUE"""),61.42739372663508)</f>
        <v>61.42739373</v>
      </c>
      <c r="G95" s="38">
        <f>IFERROR(__xludf.DUMMYFUNCTION("""COMPUTED_VALUE"""),60.308098391887064)</f>
        <v>60.30809839</v>
      </c>
      <c r="H95" s="38">
        <f>IFERROR(__xludf.DUMMYFUNCTION("""COMPUTED_VALUE"""),60.86774605926107)</f>
        <v>60.86774606</v>
      </c>
      <c r="I95" s="14">
        <f>IFERROR(__xludf.DUMMYFUNCTION("""COMPUTED_VALUE"""),32.0)</f>
        <v>32</v>
      </c>
      <c r="J95" s="11">
        <f>IFERROR(__xludf.DUMMYFUNCTION("IFERROR(FILTER(Stats!$F:$Z,(Stats!$A:$A=$A95)*(Stats!$B:$B=$B95)))"),15.0)</f>
        <v>15</v>
      </c>
      <c r="K95" s="11">
        <f>IFERROR(__xludf.DUMMYFUNCTION("""COMPUTED_VALUE"""),17.0)</f>
        <v>17</v>
      </c>
      <c r="L95" s="12">
        <f>IFERROR(__xludf.DUMMYFUNCTION("""COMPUTED_VALUE"""),0.46875)</f>
        <v>0.46875</v>
      </c>
      <c r="M95" s="11">
        <f>IFERROR(__xludf.DUMMYFUNCTION("""COMPUTED_VALUE"""),6.0)</f>
        <v>6</v>
      </c>
      <c r="N95" s="11">
        <f>IFERROR(__xludf.DUMMYFUNCTION("""COMPUTED_VALUE"""),11503.0)</f>
        <v>11503</v>
      </c>
      <c r="O95" s="13">
        <f>IFERROR(__xludf.DUMMYFUNCTION("""COMPUTED_VALUE"""),25.0)</f>
        <v>25</v>
      </c>
      <c r="P95" s="14">
        <f>IFERROR(__xludf.DUMMYFUNCTION("""COMPUTED_VALUE"""),17.0)</f>
        <v>17</v>
      </c>
      <c r="Q95" s="13">
        <f>IFERROR(__xludf.DUMMYFUNCTION("""COMPUTED_VALUE"""),39.0)</f>
        <v>39</v>
      </c>
      <c r="R95" s="13">
        <f>IFERROR(__xludf.DUMMYFUNCTION("""COMPUTED_VALUE"""),90.0)</f>
        <v>90</v>
      </c>
      <c r="S95" s="15">
        <f>IFERROR(__xludf.DUMMYFUNCTION("""COMPUTED_VALUE"""),0.2777777777777778)</f>
        <v>0.2777777778</v>
      </c>
      <c r="T95" s="16">
        <f>IFERROR(__xludf.DUMMYFUNCTION("""COMPUTED_VALUE"""),359.46875)</f>
        <v>359.46875</v>
      </c>
      <c r="U95" s="16">
        <f>IFERROR(__xludf.DUMMYFUNCTION("""COMPUTED_VALUE"""),0.78125)</f>
        <v>0.78125</v>
      </c>
      <c r="V95" s="16">
        <f>IFERROR(__xludf.DUMMYFUNCTION("""COMPUTED_VALUE"""),0.53125)</f>
        <v>0.53125</v>
      </c>
      <c r="W95" s="16">
        <f>IFERROR(__xludf.DUMMYFUNCTION("""COMPUTED_VALUE"""),1.21875)</f>
        <v>1.21875</v>
      </c>
      <c r="X95" s="16">
        <f>IFERROR(__xludf.DUMMYFUNCTION("""COMPUTED_VALUE"""),2.8125)</f>
        <v>2.8125</v>
      </c>
      <c r="Y95" s="11">
        <f>IFERROR(__xludf.DUMMYFUNCTION("""COMPUTED_VALUE"""),6.0)</f>
        <v>6</v>
      </c>
      <c r="Z95" s="11">
        <f>IFERROR(__xludf.DUMMYFUNCTION("""COMPUTED_VALUE"""),2.0)</f>
        <v>2</v>
      </c>
      <c r="AA95" s="11">
        <f>IFERROR(__xludf.DUMMYFUNCTION("""COMPUTED_VALUE"""),0.0)</f>
        <v>0</v>
      </c>
      <c r="AB95" s="11">
        <f>IFERROR(__xludf.DUMMYFUNCTION("""COMPUTED_VALUE"""),5.0)</f>
        <v>5</v>
      </c>
      <c r="AC95" s="11">
        <f>IFERROR(__xludf.DUMMYFUNCTION("""COMPUTED_VALUE"""),26.0)</f>
        <v>26</v>
      </c>
      <c r="AD95" s="11">
        <f>IFERROR(__xludf.DUMMYFUNCTION("""COMPUTED_VALUE"""),27.0)</f>
        <v>27</v>
      </c>
    </row>
    <row r="96">
      <c r="A96" s="10" t="str">
        <f>IFERROR(__xludf.DUMMYFUNCTION("""COMPUTED_VALUE"""),"Challenger")</f>
        <v>Challenger</v>
      </c>
      <c r="B96" s="10" t="str">
        <f>IFERROR(__xludf.DUMMYFUNCTION("""COMPUTED_VALUE"""),"RSC000499")</f>
        <v>RSC000499</v>
      </c>
      <c r="C96" s="10" t="str">
        <f>IFERROR(__xludf.DUMMYFUNCTION("""COMPUTED_VALUE"""),"johkev")</f>
        <v>johkev</v>
      </c>
      <c r="D96" s="36" t="str">
        <f>IFERROR(__xludf.DUMMYFUNCTION("""COMPUTED_VALUE"""),"Decuriones")</f>
        <v>Decuriones</v>
      </c>
      <c r="E96" s="10" t="str">
        <f>IFERROR(__xludf.DUMMYFUNCTION("""COMPUTED_VALUE"""),"Solar")</f>
        <v>Solar</v>
      </c>
      <c r="F96" s="37">
        <f>IFERROR(__xludf.DUMMYFUNCTION("""COMPUTED_VALUE"""),61.08690110037133)</f>
        <v>61.0869011</v>
      </c>
      <c r="G96" s="38">
        <f>IFERROR(__xludf.DUMMYFUNCTION("""COMPUTED_VALUE"""),59.99673161788962)</f>
        <v>59.99673162</v>
      </c>
      <c r="H96" s="38">
        <f>IFERROR(__xludf.DUMMYFUNCTION("""COMPUTED_VALUE"""),60.54181635913048)</f>
        <v>60.54181636</v>
      </c>
      <c r="I96" s="14">
        <f>IFERROR(__xludf.DUMMYFUNCTION("""COMPUTED_VALUE"""),43.0)</f>
        <v>43</v>
      </c>
      <c r="J96" s="11">
        <f>IFERROR(__xludf.DUMMYFUNCTION("IFERROR(FILTER(Stats!$F:$Z,(Stats!$A:$A=$A96)*(Stats!$B:$B=$B96)))"),19.0)</f>
        <v>19</v>
      </c>
      <c r="K96" s="11">
        <f>IFERROR(__xludf.DUMMYFUNCTION("""COMPUTED_VALUE"""),24.0)</f>
        <v>24</v>
      </c>
      <c r="L96" s="12">
        <f>IFERROR(__xludf.DUMMYFUNCTION("""COMPUTED_VALUE"""),0.4418604651162791)</f>
        <v>0.4418604651</v>
      </c>
      <c r="M96" s="11">
        <f>IFERROR(__xludf.DUMMYFUNCTION("""COMPUTED_VALUE"""),7.0)</f>
        <v>7</v>
      </c>
      <c r="N96" s="11">
        <f>IFERROR(__xludf.DUMMYFUNCTION("""COMPUTED_VALUE"""),15429.0)</f>
        <v>15429</v>
      </c>
      <c r="O96" s="13">
        <f>IFERROR(__xludf.DUMMYFUNCTION("""COMPUTED_VALUE"""),36.0)</f>
        <v>36</v>
      </c>
      <c r="P96" s="14">
        <f>IFERROR(__xludf.DUMMYFUNCTION("""COMPUTED_VALUE"""),24.0)</f>
        <v>24</v>
      </c>
      <c r="Q96" s="13">
        <f>IFERROR(__xludf.DUMMYFUNCTION("""COMPUTED_VALUE"""),64.0)</f>
        <v>64</v>
      </c>
      <c r="R96" s="13">
        <f>IFERROR(__xludf.DUMMYFUNCTION("""COMPUTED_VALUE"""),101.0)</f>
        <v>101</v>
      </c>
      <c r="S96" s="15">
        <f>IFERROR(__xludf.DUMMYFUNCTION("""COMPUTED_VALUE"""),0.3564356435643564)</f>
        <v>0.3564356436</v>
      </c>
      <c r="T96" s="16">
        <f>IFERROR(__xludf.DUMMYFUNCTION("""COMPUTED_VALUE"""),358.8139534883721)</f>
        <v>358.8139535</v>
      </c>
      <c r="U96" s="16">
        <f>IFERROR(__xludf.DUMMYFUNCTION("""COMPUTED_VALUE"""),0.8372093023255814)</f>
        <v>0.8372093023</v>
      </c>
      <c r="V96" s="16">
        <f>IFERROR(__xludf.DUMMYFUNCTION("""COMPUTED_VALUE"""),0.5581395348837209)</f>
        <v>0.5581395349</v>
      </c>
      <c r="W96" s="16">
        <f>IFERROR(__xludf.DUMMYFUNCTION("""COMPUTED_VALUE"""),1.4883720930232558)</f>
        <v>1.488372093</v>
      </c>
      <c r="X96" s="16">
        <f>IFERROR(__xludf.DUMMYFUNCTION("""COMPUTED_VALUE"""),2.3488372093023258)</f>
        <v>2.348837209</v>
      </c>
      <c r="Y96" s="11">
        <f>IFERROR(__xludf.DUMMYFUNCTION("""COMPUTED_VALUE"""),9.0)</f>
        <v>9</v>
      </c>
      <c r="Z96" s="11">
        <f>IFERROR(__xludf.DUMMYFUNCTION("""COMPUTED_VALUE"""),3.0)</f>
        <v>3</v>
      </c>
      <c r="AA96" s="11">
        <f>IFERROR(__xludf.DUMMYFUNCTION("""COMPUTED_VALUE"""),1.0)</f>
        <v>1</v>
      </c>
      <c r="AB96" s="11">
        <f>IFERROR(__xludf.DUMMYFUNCTION("""COMPUTED_VALUE"""),7.0)</f>
        <v>7</v>
      </c>
      <c r="AC96" s="11">
        <f>IFERROR(__xludf.DUMMYFUNCTION("""COMPUTED_VALUE"""),60.0)</f>
        <v>60</v>
      </c>
      <c r="AD96" s="11">
        <f>IFERROR(__xludf.DUMMYFUNCTION("""COMPUTED_VALUE"""),38.0)</f>
        <v>38</v>
      </c>
    </row>
    <row r="97">
      <c r="A97" s="10" t="str">
        <f>IFERROR(__xludf.DUMMYFUNCTION("""COMPUTED_VALUE"""),"Challenger")</f>
        <v>Challenger</v>
      </c>
      <c r="B97" s="10" t="str">
        <f>IFERROR(__xludf.DUMMYFUNCTION("""COMPUTED_VALUE"""),"RSC007284")</f>
        <v>RSC007284</v>
      </c>
      <c r="C97" s="10" t="str">
        <f>IFERROR(__xludf.DUMMYFUNCTION("""COMPUTED_VALUE"""),"7aco104")</f>
        <v>7aco104</v>
      </c>
      <c r="D97" s="36" t="str">
        <f>IFERROR(__xludf.DUMMYFUNCTION("""COMPUTED_VALUE"""),"Meat Lovers")</f>
        <v>Meat Lovers</v>
      </c>
      <c r="E97" s="10" t="str">
        <f>IFERROR(__xludf.DUMMYFUNCTION("""COMPUTED_VALUE"""),"Lunar")</f>
        <v>Lunar</v>
      </c>
      <c r="F97" s="37">
        <f>IFERROR(__xludf.DUMMYFUNCTION("""COMPUTED_VALUE"""),56.56195882468253)</f>
        <v>56.56195882</v>
      </c>
      <c r="G97" s="38">
        <f>IFERROR(__xludf.DUMMYFUNCTION("""COMPUTED_VALUE"""),62.42532390202286)</f>
        <v>62.4253239</v>
      </c>
      <c r="H97" s="38">
        <f>IFERROR(__xludf.DUMMYFUNCTION("""COMPUTED_VALUE"""),59.493641363352694)</f>
        <v>59.49364136</v>
      </c>
      <c r="I97" s="14">
        <f>IFERROR(__xludf.DUMMYFUNCTION("""COMPUTED_VALUE"""),52.0)</f>
        <v>52</v>
      </c>
      <c r="J97" s="11">
        <f>IFERROR(__xludf.DUMMYFUNCTION("IFERROR(FILTER(Stats!$F:$Z,(Stats!$A:$A=$A97)*(Stats!$B:$B=$B97)))"),23.0)</f>
        <v>23</v>
      </c>
      <c r="K97" s="11">
        <f>IFERROR(__xludf.DUMMYFUNCTION("""COMPUTED_VALUE"""),29.0)</f>
        <v>29</v>
      </c>
      <c r="L97" s="12">
        <f>IFERROR(__xludf.DUMMYFUNCTION("""COMPUTED_VALUE"""),0.4423076923076923)</f>
        <v>0.4423076923</v>
      </c>
      <c r="M97" s="11">
        <f>IFERROR(__xludf.DUMMYFUNCTION("""COMPUTED_VALUE"""),13.0)</f>
        <v>13</v>
      </c>
      <c r="N97" s="11">
        <f>IFERROR(__xludf.DUMMYFUNCTION("""COMPUTED_VALUE"""),18245.0)</f>
        <v>18245</v>
      </c>
      <c r="O97" s="13">
        <f>IFERROR(__xludf.DUMMYFUNCTION("""COMPUTED_VALUE"""),51.0)</f>
        <v>51</v>
      </c>
      <c r="P97" s="14">
        <f>IFERROR(__xludf.DUMMYFUNCTION("""COMPUTED_VALUE"""),24.0)</f>
        <v>24</v>
      </c>
      <c r="Q97" s="13">
        <f>IFERROR(__xludf.DUMMYFUNCTION("""COMPUTED_VALUE"""),53.0)</f>
        <v>53</v>
      </c>
      <c r="R97" s="13">
        <f>IFERROR(__xludf.DUMMYFUNCTION("""COMPUTED_VALUE"""),149.0)</f>
        <v>149</v>
      </c>
      <c r="S97" s="15">
        <f>IFERROR(__xludf.DUMMYFUNCTION("""COMPUTED_VALUE"""),0.3422818791946309)</f>
        <v>0.3422818792</v>
      </c>
      <c r="T97" s="16">
        <f>IFERROR(__xludf.DUMMYFUNCTION("""COMPUTED_VALUE"""),350.86538461538464)</f>
        <v>350.8653846</v>
      </c>
      <c r="U97" s="16">
        <f>IFERROR(__xludf.DUMMYFUNCTION("""COMPUTED_VALUE"""),0.9807692307692307)</f>
        <v>0.9807692308</v>
      </c>
      <c r="V97" s="16">
        <f>IFERROR(__xludf.DUMMYFUNCTION("""COMPUTED_VALUE"""),0.46153846153846156)</f>
        <v>0.4615384615</v>
      </c>
      <c r="W97" s="16">
        <f>IFERROR(__xludf.DUMMYFUNCTION("""COMPUTED_VALUE"""),1.0192307692307692)</f>
        <v>1.019230769</v>
      </c>
      <c r="X97" s="16">
        <f>IFERROR(__xludf.DUMMYFUNCTION("""COMPUTED_VALUE"""),2.8653846153846154)</f>
        <v>2.865384615</v>
      </c>
      <c r="Y97" s="11">
        <f>IFERROR(__xludf.DUMMYFUNCTION("""COMPUTED_VALUE"""),5.0)</f>
        <v>5</v>
      </c>
      <c r="Z97" s="11">
        <f>IFERROR(__xludf.DUMMYFUNCTION("""COMPUTED_VALUE"""),4.0)</f>
        <v>4</v>
      </c>
      <c r="AA97" s="11">
        <f>IFERROR(__xludf.DUMMYFUNCTION("""COMPUTED_VALUE"""),0.0)</f>
        <v>0</v>
      </c>
      <c r="AB97" s="11">
        <f>IFERROR(__xludf.DUMMYFUNCTION("""COMPUTED_VALUE"""),5.0)</f>
        <v>5</v>
      </c>
      <c r="AC97" s="11">
        <f>IFERROR(__xludf.DUMMYFUNCTION("""COMPUTED_VALUE"""),52.0)</f>
        <v>52</v>
      </c>
      <c r="AD97" s="11">
        <f>IFERROR(__xludf.DUMMYFUNCTION("""COMPUTED_VALUE"""),54.0)</f>
        <v>54</v>
      </c>
    </row>
    <row r="98">
      <c r="A98" s="10" t="str">
        <f>IFERROR(__xludf.DUMMYFUNCTION("""COMPUTED_VALUE"""),"Challenger")</f>
        <v>Challenger</v>
      </c>
      <c r="B98" s="10" t="str">
        <f>IFERROR(__xludf.DUMMYFUNCTION("""COMPUTED_VALUE"""),"RSC007045")</f>
        <v>RSC007045</v>
      </c>
      <c r="C98" s="10" t="str">
        <f>IFERROR(__xludf.DUMMYFUNCTION("""COMPUTED_VALUE"""),"fetty_steve98")</f>
        <v>fetty_steve98</v>
      </c>
      <c r="D98" s="36" t="str">
        <f>IFERROR(__xludf.DUMMYFUNCTION("""COMPUTED_VALUE"""),"Threshers")</f>
        <v>Threshers</v>
      </c>
      <c r="E98" s="10" t="str">
        <f>IFERROR(__xludf.DUMMYFUNCTION("""COMPUTED_VALUE"""),"Solar")</f>
        <v>Solar</v>
      </c>
      <c r="F98" s="37">
        <f>IFERROR(__xludf.DUMMYFUNCTION("""COMPUTED_VALUE"""),59.961973015807196)</f>
        <v>59.96197302</v>
      </c>
      <c r="G98" s="38">
        <f>IFERROR(__xludf.DUMMYFUNCTION("""COMPUTED_VALUE"""),58.90326579057535)</f>
        <v>58.90326579</v>
      </c>
      <c r="H98" s="38">
        <f>IFERROR(__xludf.DUMMYFUNCTION("""COMPUTED_VALUE"""),59.43261940319127)</f>
        <v>59.4326194</v>
      </c>
      <c r="I98" s="14">
        <f>IFERROR(__xludf.DUMMYFUNCTION("""COMPUTED_VALUE"""),40.0)</f>
        <v>40</v>
      </c>
      <c r="J98" s="11">
        <f>IFERROR(__xludf.DUMMYFUNCTION("IFERROR(FILTER(Stats!$F:$Z,(Stats!$A:$A=$A98)*(Stats!$B:$B=$B98)))"),24.0)</f>
        <v>24</v>
      </c>
      <c r="K98" s="11">
        <f>IFERROR(__xludf.DUMMYFUNCTION("""COMPUTED_VALUE"""),16.0)</f>
        <v>16</v>
      </c>
      <c r="L98" s="12">
        <f>IFERROR(__xludf.DUMMYFUNCTION("""COMPUTED_VALUE"""),0.6)</f>
        <v>0.6</v>
      </c>
      <c r="M98" s="11">
        <f>IFERROR(__xludf.DUMMYFUNCTION("""COMPUTED_VALUE"""),11.0)</f>
        <v>11</v>
      </c>
      <c r="N98" s="11">
        <f>IFERROR(__xludf.DUMMYFUNCTION("""COMPUTED_VALUE"""),13828.0)</f>
        <v>13828</v>
      </c>
      <c r="O98" s="13">
        <f>IFERROR(__xludf.DUMMYFUNCTION("""COMPUTED_VALUE"""),30.0)</f>
        <v>30</v>
      </c>
      <c r="P98" s="14">
        <f>IFERROR(__xludf.DUMMYFUNCTION("""COMPUTED_VALUE"""),22.0)</f>
        <v>22</v>
      </c>
      <c r="Q98" s="13">
        <f>IFERROR(__xludf.DUMMYFUNCTION("""COMPUTED_VALUE"""),54.0)</f>
        <v>54</v>
      </c>
      <c r="R98" s="13">
        <f>IFERROR(__xludf.DUMMYFUNCTION("""COMPUTED_VALUE"""),93.0)</f>
        <v>93</v>
      </c>
      <c r="S98" s="15">
        <f>IFERROR(__xludf.DUMMYFUNCTION("""COMPUTED_VALUE"""),0.3225806451612903)</f>
        <v>0.3225806452</v>
      </c>
      <c r="T98" s="16">
        <f>IFERROR(__xludf.DUMMYFUNCTION("""COMPUTED_VALUE"""),345.7)</f>
        <v>345.7</v>
      </c>
      <c r="U98" s="16">
        <f>IFERROR(__xludf.DUMMYFUNCTION("""COMPUTED_VALUE"""),0.75)</f>
        <v>0.75</v>
      </c>
      <c r="V98" s="16">
        <f>IFERROR(__xludf.DUMMYFUNCTION("""COMPUTED_VALUE"""),0.55)</f>
        <v>0.55</v>
      </c>
      <c r="W98" s="16">
        <f>IFERROR(__xludf.DUMMYFUNCTION("""COMPUTED_VALUE"""),1.35)</f>
        <v>1.35</v>
      </c>
      <c r="X98" s="16">
        <f>IFERROR(__xludf.DUMMYFUNCTION("""COMPUTED_VALUE"""),2.325)</f>
        <v>2.325</v>
      </c>
      <c r="Y98" s="11">
        <f>IFERROR(__xludf.DUMMYFUNCTION("""COMPUTED_VALUE"""),5.0)</f>
        <v>5</v>
      </c>
      <c r="Z98" s="11">
        <f>IFERROR(__xludf.DUMMYFUNCTION("""COMPUTED_VALUE"""),1.0)</f>
        <v>1</v>
      </c>
      <c r="AA98" s="11">
        <f>IFERROR(__xludf.DUMMYFUNCTION("""COMPUTED_VALUE"""),0.0)</f>
        <v>0</v>
      </c>
      <c r="AB98" s="11">
        <f>IFERROR(__xludf.DUMMYFUNCTION("""COMPUTED_VALUE"""),6.0)</f>
        <v>6</v>
      </c>
      <c r="AC98" s="11">
        <f>IFERROR(__xludf.DUMMYFUNCTION("""COMPUTED_VALUE"""),26.0)</f>
        <v>26</v>
      </c>
      <c r="AD98" s="11">
        <f>IFERROR(__xludf.DUMMYFUNCTION("""COMPUTED_VALUE"""),49.0)</f>
        <v>49</v>
      </c>
    </row>
    <row r="99">
      <c r="A99" s="10" t="str">
        <f>IFERROR(__xludf.DUMMYFUNCTION("""COMPUTED_VALUE"""),"Challenger")</f>
        <v>Challenger</v>
      </c>
      <c r="B99" s="10" t="str">
        <f>IFERROR(__xludf.DUMMYFUNCTION("""COMPUTED_VALUE"""),"RSC003694")</f>
        <v>RSC003694</v>
      </c>
      <c r="C99" s="10" t="str">
        <f>IFERROR(__xludf.DUMMYFUNCTION("""COMPUTED_VALUE"""),"TheCroctopus")</f>
        <v>TheCroctopus</v>
      </c>
      <c r="D99" s="36" t="str">
        <f>IFERROR(__xludf.DUMMYFUNCTION("""COMPUTED_VALUE"""),"Jinyiwei")</f>
        <v>Jinyiwei</v>
      </c>
      <c r="E99" s="10" t="str">
        <f>IFERROR(__xludf.DUMMYFUNCTION("""COMPUTED_VALUE"""),"Lunar")</f>
        <v>Lunar</v>
      </c>
      <c r="F99" s="37">
        <f>IFERROR(__xludf.DUMMYFUNCTION("""COMPUTED_VALUE"""),60.600675956112234)</f>
        <v>60.60067596</v>
      </c>
      <c r="G99" s="38">
        <f>IFERROR(__xludf.DUMMYFUNCTION("""COMPUTED_VALUE"""),57.78739260297843)</f>
        <v>57.7873926</v>
      </c>
      <c r="H99" s="38">
        <f>IFERROR(__xludf.DUMMYFUNCTION("""COMPUTED_VALUE"""),59.194034279545335)</f>
        <v>59.19403428</v>
      </c>
      <c r="I99" s="14">
        <f>IFERROR(__xludf.DUMMYFUNCTION("""COMPUTED_VALUE"""),34.0)</f>
        <v>34</v>
      </c>
      <c r="J99" s="11">
        <f>IFERROR(__xludf.DUMMYFUNCTION("IFERROR(FILTER(Stats!$F:$Z,(Stats!$A:$A=$A99)*(Stats!$B:$B=$B99)))"),17.0)</f>
        <v>17</v>
      </c>
      <c r="K99" s="11">
        <f>IFERROR(__xludf.DUMMYFUNCTION("""COMPUTED_VALUE"""),17.0)</f>
        <v>17</v>
      </c>
      <c r="L99" s="12">
        <f>IFERROR(__xludf.DUMMYFUNCTION("""COMPUTED_VALUE"""),0.5)</f>
        <v>0.5</v>
      </c>
      <c r="M99" s="11">
        <f>IFERROR(__xludf.DUMMYFUNCTION("""COMPUTED_VALUE"""),5.0)</f>
        <v>5</v>
      </c>
      <c r="N99" s="11">
        <f>IFERROR(__xludf.DUMMYFUNCTION("""COMPUTED_VALUE"""),12585.0)</f>
        <v>12585</v>
      </c>
      <c r="O99" s="13">
        <f>IFERROR(__xludf.DUMMYFUNCTION("""COMPUTED_VALUE"""),31.0)</f>
        <v>31</v>
      </c>
      <c r="P99" s="14">
        <f>IFERROR(__xludf.DUMMYFUNCTION("""COMPUTED_VALUE"""),17.0)</f>
        <v>17</v>
      </c>
      <c r="Q99" s="13">
        <f>IFERROR(__xludf.DUMMYFUNCTION("""COMPUTED_VALUE"""),47.0)</f>
        <v>47</v>
      </c>
      <c r="R99" s="13">
        <f>IFERROR(__xludf.DUMMYFUNCTION("""COMPUTED_VALUE"""),71.0)</f>
        <v>71</v>
      </c>
      <c r="S99" s="15">
        <f>IFERROR(__xludf.DUMMYFUNCTION("""COMPUTED_VALUE"""),0.43661971830985913)</f>
        <v>0.4366197183</v>
      </c>
      <c r="T99" s="16">
        <f>IFERROR(__xludf.DUMMYFUNCTION("""COMPUTED_VALUE"""),370.1470588235294)</f>
        <v>370.1470588</v>
      </c>
      <c r="U99" s="16">
        <f>IFERROR(__xludf.DUMMYFUNCTION("""COMPUTED_VALUE"""),0.9117647058823529)</f>
        <v>0.9117647059</v>
      </c>
      <c r="V99" s="16">
        <f>IFERROR(__xludf.DUMMYFUNCTION("""COMPUTED_VALUE"""),0.5)</f>
        <v>0.5</v>
      </c>
      <c r="W99" s="16">
        <f>IFERROR(__xludf.DUMMYFUNCTION("""COMPUTED_VALUE"""),1.3823529411764706)</f>
        <v>1.382352941</v>
      </c>
      <c r="X99" s="16">
        <f>IFERROR(__xludf.DUMMYFUNCTION("""COMPUTED_VALUE"""),2.088235294117647)</f>
        <v>2.088235294</v>
      </c>
      <c r="Y99" s="11">
        <f>IFERROR(__xludf.DUMMYFUNCTION("""COMPUTED_VALUE"""),6.0)</f>
        <v>6</v>
      </c>
      <c r="Z99" s="11">
        <f>IFERROR(__xludf.DUMMYFUNCTION("""COMPUTED_VALUE"""),2.0)</f>
        <v>2</v>
      </c>
      <c r="AA99" s="11">
        <f>IFERROR(__xludf.DUMMYFUNCTION("""COMPUTED_VALUE"""),0.0)</f>
        <v>0</v>
      </c>
      <c r="AB99" s="11">
        <f>IFERROR(__xludf.DUMMYFUNCTION("""COMPUTED_VALUE"""),6.0)</f>
        <v>6</v>
      </c>
      <c r="AC99" s="11">
        <f>IFERROR(__xludf.DUMMYFUNCTION("""COMPUTED_VALUE"""),33.0)</f>
        <v>33</v>
      </c>
      <c r="AD99" s="11">
        <f>IFERROR(__xludf.DUMMYFUNCTION("""COMPUTED_VALUE"""),36.0)</f>
        <v>36</v>
      </c>
    </row>
    <row r="100">
      <c r="A100" s="10" t="str">
        <f>IFERROR(__xludf.DUMMYFUNCTION("""COMPUTED_VALUE"""),"Challenger")</f>
        <v>Challenger</v>
      </c>
      <c r="B100" s="10" t="str">
        <f>IFERROR(__xludf.DUMMYFUNCTION("""COMPUTED_VALUE"""),"RSC005909")</f>
        <v>RSC005909</v>
      </c>
      <c r="C100" s="10" t="str">
        <f>IFERROR(__xludf.DUMMYFUNCTION("""COMPUTED_VALUE"""),"YadiCraft")</f>
        <v>YadiCraft</v>
      </c>
      <c r="D100" s="36" t="str">
        <f>IFERROR(__xludf.DUMMYFUNCTION("""COMPUTED_VALUE"""),"Olympic Knights")</f>
        <v>Olympic Knights</v>
      </c>
      <c r="E100" s="10" t="str">
        <f>IFERROR(__xludf.DUMMYFUNCTION("""COMPUTED_VALUE"""),"Solar")</f>
        <v>Solar</v>
      </c>
      <c r="F100" s="37">
        <f>IFERROR(__xludf.DUMMYFUNCTION("""COMPUTED_VALUE"""),51.812361900992265)</f>
        <v>51.8123619</v>
      </c>
      <c r="G100" s="38">
        <f>IFERROR(__xludf.DUMMYFUNCTION("""COMPUTED_VALUE"""),66.16863367299591)</f>
        <v>66.16863367</v>
      </c>
      <c r="H100" s="38">
        <f>IFERROR(__xludf.DUMMYFUNCTION("""COMPUTED_VALUE"""),58.990497786994084)</f>
        <v>58.99049779</v>
      </c>
      <c r="I100" s="14">
        <f>IFERROR(__xludf.DUMMYFUNCTION("""COMPUTED_VALUE"""),36.0)</f>
        <v>36</v>
      </c>
      <c r="J100" s="11">
        <f>IFERROR(__xludf.DUMMYFUNCTION("IFERROR(FILTER(Stats!$F:$Z,(Stats!$A:$A=$A100)*(Stats!$B:$B=$B100)))"),24.0)</f>
        <v>24</v>
      </c>
      <c r="K100" s="11">
        <f>IFERROR(__xludf.DUMMYFUNCTION("""COMPUTED_VALUE"""),12.0)</f>
        <v>12</v>
      </c>
      <c r="L100" s="12">
        <f>IFERROR(__xludf.DUMMYFUNCTION("""COMPUTED_VALUE"""),0.6666666666666666)</f>
        <v>0.6666666667</v>
      </c>
      <c r="M100" s="11">
        <f>IFERROR(__xludf.DUMMYFUNCTION("""COMPUTED_VALUE"""),3.0)</f>
        <v>3</v>
      </c>
      <c r="N100" s="11">
        <f>IFERROR(__xludf.DUMMYFUNCTION("""COMPUTED_VALUE"""),10945.0)</f>
        <v>10945</v>
      </c>
      <c r="O100" s="13">
        <f>IFERROR(__xludf.DUMMYFUNCTION("""COMPUTED_VALUE"""),16.0)</f>
        <v>16</v>
      </c>
      <c r="P100" s="14">
        <f>IFERROR(__xludf.DUMMYFUNCTION("""COMPUTED_VALUE"""),28.0)</f>
        <v>28</v>
      </c>
      <c r="Q100" s="13">
        <f>IFERROR(__xludf.DUMMYFUNCTION("""COMPUTED_VALUE"""),42.0)</f>
        <v>42</v>
      </c>
      <c r="R100" s="13">
        <f>IFERROR(__xludf.DUMMYFUNCTION("""COMPUTED_VALUE"""),74.0)</f>
        <v>74</v>
      </c>
      <c r="S100" s="15">
        <f>IFERROR(__xludf.DUMMYFUNCTION("""COMPUTED_VALUE"""),0.21621621621621623)</f>
        <v>0.2162162162</v>
      </c>
      <c r="T100" s="16">
        <f>IFERROR(__xludf.DUMMYFUNCTION("""COMPUTED_VALUE"""),304.02777777777777)</f>
        <v>304.0277778</v>
      </c>
      <c r="U100" s="16">
        <f>IFERROR(__xludf.DUMMYFUNCTION("""COMPUTED_VALUE"""),0.4444444444444444)</f>
        <v>0.4444444444</v>
      </c>
      <c r="V100" s="16">
        <f>IFERROR(__xludf.DUMMYFUNCTION("""COMPUTED_VALUE"""),0.7777777777777778)</f>
        <v>0.7777777778</v>
      </c>
      <c r="W100" s="16">
        <f>IFERROR(__xludf.DUMMYFUNCTION("""COMPUTED_VALUE"""),1.1666666666666667)</f>
        <v>1.166666667</v>
      </c>
      <c r="X100" s="16">
        <f>IFERROR(__xludf.DUMMYFUNCTION("""COMPUTED_VALUE"""),2.0555555555555554)</f>
        <v>2.055555556</v>
      </c>
      <c r="Y100" s="11">
        <f>IFERROR(__xludf.DUMMYFUNCTION("""COMPUTED_VALUE"""),6.0)</f>
        <v>6</v>
      </c>
      <c r="Z100" s="11">
        <f>IFERROR(__xludf.DUMMYFUNCTION("""COMPUTED_VALUE"""),0.0)</f>
        <v>0</v>
      </c>
      <c r="AA100" s="11">
        <f>IFERROR(__xludf.DUMMYFUNCTION("""COMPUTED_VALUE"""),2.0)</f>
        <v>2</v>
      </c>
      <c r="AB100" s="11">
        <f>IFERROR(__xludf.DUMMYFUNCTION("""COMPUTED_VALUE"""),3.0)</f>
        <v>3</v>
      </c>
      <c r="AC100" s="11">
        <f>IFERROR(__xludf.DUMMYFUNCTION("""COMPUTED_VALUE"""),49.0)</f>
        <v>49</v>
      </c>
      <c r="AD100" s="11">
        <f>IFERROR(__xludf.DUMMYFUNCTION("""COMPUTED_VALUE"""),22.0)</f>
        <v>22</v>
      </c>
    </row>
    <row r="101">
      <c r="A101" s="10" t="str">
        <f>IFERROR(__xludf.DUMMYFUNCTION("""COMPUTED_VALUE"""),"Challenger")</f>
        <v>Challenger</v>
      </c>
      <c r="B101" s="10" t="str">
        <f>IFERROR(__xludf.DUMMYFUNCTION("""COMPUTED_VALUE"""),"RSC008103")</f>
        <v>RSC008103</v>
      </c>
      <c r="C101" s="10" t="str">
        <f>IFERROR(__xludf.DUMMYFUNCTION("""COMPUTED_VALUE"""),"AkTION")</f>
        <v>AkTION</v>
      </c>
      <c r="D101" s="36" t="str">
        <f>IFERROR(__xludf.DUMMYFUNCTION("""COMPUTED_VALUE"""),"Chromatic Chaos")</f>
        <v>Chromatic Chaos</v>
      </c>
      <c r="E101" s="10" t="str">
        <f>IFERROR(__xludf.DUMMYFUNCTION("""COMPUTED_VALUE"""),"Solar")</f>
        <v>Solar</v>
      </c>
      <c r="F101" s="37">
        <f>IFERROR(__xludf.DUMMYFUNCTION("""COMPUTED_VALUE"""),59.47543448419951)</f>
        <v>59.47543448</v>
      </c>
      <c r="G101" s="38">
        <f>IFERROR(__xludf.DUMMYFUNCTION("""COMPUTED_VALUE"""),58.46615130677842)</f>
        <v>58.46615131</v>
      </c>
      <c r="H101" s="38">
        <f>IFERROR(__xludf.DUMMYFUNCTION("""COMPUTED_VALUE"""),58.97079289548897)</f>
        <v>58.9707929</v>
      </c>
      <c r="I101" s="14">
        <f>IFERROR(__xludf.DUMMYFUNCTION("""COMPUTED_VALUE"""),53.0)</f>
        <v>53</v>
      </c>
      <c r="J101" s="11">
        <f>IFERROR(__xludf.DUMMYFUNCTION("IFERROR(FILTER(Stats!$F:$Z,(Stats!$A:$A=$A101)*(Stats!$B:$B=$B101)))"),28.0)</f>
        <v>28</v>
      </c>
      <c r="K101" s="11">
        <f>IFERROR(__xludf.DUMMYFUNCTION("""COMPUTED_VALUE"""),25.0)</f>
        <v>25</v>
      </c>
      <c r="L101" s="12">
        <f>IFERROR(__xludf.DUMMYFUNCTION("""COMPUTED_VALUE"""),0.5283018867924528)</f>
        <v>0.5283018868</v>
      </c>
      <c r="M101" s="11">
        <f>IFERROR(__xludf.DUMMYFUNCTION("""COMPUTED_VALUE"""),5.0)</f>
        <v>5</v>
      </c>
      <c r="N101" s="11">
        <f>IFERROR(__xludf.DUMMYFUNCTION("""COMPUTED_VALUE"""),18218.0)</f>
        <v>18218</v>
      </c>
      <c r="O101" s="13">
        <f>IFERROR(__xludf.DUMMYFUNCTION("""COMPUTED_VALUE"""),36.0)</f>
        <v>36</v>
      </c>
      <c r="P101" s="14">
        <f>IFERROR(__xludf.DUMMYFUNCTION("""COMPUTED_VALUE"""),34.0)</f>
        <v>34</v>
      </c>
      <c r="Q101" s="13">
        <f>IFERROR(__xludf.DUMMYFUNCTION("""COMPUTED_VALUE"""),71.0)</f>
        <v>71</v>
      </c>
      <c r="R101" s="13">
        <f>IFERROR(__xludf.DUMMYFUNCTION("""COMPUTED_VALUE"""),122.0)</f>
        <v>122</v>
      </c>
      <c r="S101" s="15">
        <f>IFERROR(__xludf.DUMMYFUNCTION("""COMPUTED_VALUE"""),0.29508196721311475)</f>
        <v>0.2950819672</v>
      </c>
      <c r="T101" s="16">
        <f>IFERROR(__xludf.DUMMYFUNCTION("""COMPUTED_VALUE"""),343.7358490566038)</f>
        <v>343.7358491</v>
      </c>
      <c r="U101" s="16">
        <f>IFERROR(__xludf.DUMMYFUNCTION("""COMPUTED_VALUE"""),0.6792452830188679)</f>
        <v>0.679245283</v>
      </c>
      <c r="V101" s="16">
        <f>IFERROR(__xludf.DUMMYFUNCTION("""COMPUTED_VALUE"""),0.6415094339622641)</f>
        <v>0.641509434</v>
      </c>
      <c r="W101" s="16">
        <f>IFERROR(__xludf.DUMMYFUNCTION("""COMPUTED_VALUE"""),1.3396226415094339)</f>
        <v>1.339622642</v>
      </c>
      <c r="X101" s="16">
        <f>IFERROR(__xludf.DUMMYFUNCTION("""COMPUTED_VALUE"""),2.30188679245283)</f>
        <v>2.301886792</v>
      </c>
      <c r="Y101" s="11">
        <f>IFERROR(__xludf.DUMMYFUNCTION("""COMPUTED_VALUE"""),11.0)</f>
        <v>11</v>
      </c>
      <c r="Z101" s="11">
        <f>IFERROR(__xludf.DUMMYFUNCTION("""COMPUTED_VALUE"""),1.0)</f>
        <v>1</v>
      </c>
      <c r="AA101" s="11">
        <f>IFERROR(__xludf.DUMMYFUNCTION("""COMPUTED_VALUE"""),2.0)</f>
        <v>2</v>
      </c>
      <c r="AB101" s="11">
        <f>IFERROR(__xludf.DUMMYFUNCTION("""COMPUTED_VALUE"""),6.0)</f>
        <v>6</v>
      </c>
      <c r="AC101" s="11">
        <f>IFERROR(__xludf.DUMMYFUNCTION("""COMPUTED_VALUE"""),45.0)</f>
        <v>45</v>
      </c>
      <c r="AD101" s="11">
        <f>IFERROR(__xludf.DUMMYFUNCTION("""COMPUTED_VALUE"""),47.0)</f>
        <v>47</v>
      </c>
    </row>
    <row r="102">
      <c r="A102" s="10" t="str">
        <f>IFERROR(__xludf.DUMMYFUNCTION("""COMPUTED_VALUE"""),"Challenger")</f>
        <v>Challenger</v>
      </c>
      <c r="B102" s="10" t="str">
        <f>IFERROR(__xludf.DUMMYFUNCTION("""COMPUTED_VALUE"""),"RSC008010")</f>
        <v>RSC008010</v>
      </c>
      <c r="C102" s="10" t="str">
        <f>IFERROR(__xludf.DUMMYFUNCTION("""COMPUTED_VALUE"""),"WamBamTYMan-")</f>
        <v>WamBamTYMan-</v>
      </c>
      <c r="D102" s="36" t="str">
        <f>IFERROR(__xludf.DUMMYFUNCTION("""COMPUTED_VALUE"""),"Warbirds")</f>
        <v>Warbirds</v>
      </c>
      <c r="E102" s="10" t="str">
        <f>IFERROR(__xludf.DUMMYFUNCTION("""COMPUTED_VALUE"""),"Lunar")</f>
        <v>Lunar</v>
      </c>
      <c r="F102" s="37">
        <f>IFERROR(__xludf.DUMMYFUNCTION("""COMPUTED_VALUE"""),46.93427179259437)</f>
        <v>46.93427179</v>
      </c>
      <c r="G102" s="38">
        <f>IFERROR(__xludf.DUMMYFUNCTION("""COMPUTED_VALUE"""),67.896651191411)</f>
        <v>67.89665119</v>
      </c>
      <c r="H102" s="38">
        <f>IFERROR(__xludf.DUMMYFUNCTION("""COMPUTED_VALUE"""),57.415461492002684)</f>
        <v>57.41546149</v>
      </c>
      <c r="I102" s="14">
        <f>IFERROR(__xludf.DUMMYFUNCTION("""COMPUTED_VALUE"""),52.0)</f>
        <v>52</v>
      </c>
      <c r="J102" s="11">
        <f>IFERROR(__xludf.DUMMYFUNCTION("IFERROR(FILTER(Stats!$F:$Z,(Stats!$A:$A=$A102)*(Stats!$B:$B=$B102)))"),32.0)</f>
        <v>32</v>
      </c>
      <c r="K102" s="11">
        <f>IFERROR(__xludf.DUMMYFUNCTION("""COMPUTED_VALUE"""),20.0)</f>
        <v>20</v>
      </c>
      <c r="L102" s="12">
        <f>IFERROR(__xludf.DUMMYFUNCTION("""COMPUTED_VALUE"""),0.6153846153846154)</f>
        <v>0.6153846154</v>
      </c>
      <c r="M102" s="11">
        <f>IFERROR(__xludf.DUMMYFUNCTION("""COMPUTED_VALUE"""),7.0)</f>
        <v>7</v>
      </c>
      <c r="N102" s="11">
        <f>IFERROR(__xludf.DUMMYFUNCTION("""COMPUTED_VALUE"""),16620.0)</f>
        <v>16620</v>
      </c>
      <c r="O102" s="13">
        <f>IFERROR(__xludf.DUMMYFUNCTION("""COMPUTED_VALUE"""),40.0)</f>
        <v>40</v>
      </c>
      <c r="P102" s="14">
        <f>IFERROR(__xludf.DUMMYFUNCTION("""COMPUTED_VALUE"""),37.0)</f>
        <v>37</v>
      </c>
      <c r="Q102" s="13">
        <f>IFERROR(__xludf.DUMMYFUNCTION("""COMPUTED_VALUE"""),62.0)</f>
        <v>62</v>
      </c>
      <c r="R102" s="13">
        <f>IFERROR(__xludf.DUMMYFUNCTION("""COMPUTED_VALUE"""),113.0)</f>
        <v>113</v>
      </c>
      <c r="S102" s="15">
        <f>IFERROR(__xludf.DUMMYFUNCTION("""COMPUTED_VALUE"""),0.35398230088495575)</f>
        <v>0.3539823009</v>
      </c>
      <c r="T102" s="16">
        <f>IFERROR(__xludf.DUMMYFUNCTION("""COMPUTED_VALUE"""),319.61538461538464)</f>
        <v>319.6153846</v>
      </c>
      <c r="U102" s="16">
        <f>IFERROR(__xludf.DUMMYFUNCTION("""COMPUTED_VALUE"""),0.7692307692307693)</f>
        <v>0.7692307692</v>
      </c>
      <c r="V102" s="16">
        <f>IFERROR(__xludf.DUMMYFUNCTION("""COMPUTED_VALUE"""),0.7115384615384616)</f>
        <v>0.7115384615</v>
      </c>
      <c r="W102" s="16">
        <f>IFERROR(__xludf.DUMMYFUNCTION("""COMPUTED_VALUE"""),1.1923076923076923)</f>
        <v>1.192307692</v>
      </c>
      <c r="X102" s="16">
        <f>IFERROR(__xludf.DUMMYFUNCTION("""COMPUTED_VALUE"""),2.173076923076923)</f>
        <v>2.173076923</v>
      </c>
      <c r="Y102" s="11">
        <f>IFERROR(__xludf.DUMMYFUNCTION("""COMPUTED_VALUE"""),13.0)</f>
        <v>13</v>
      </c>
      <c r="Z102" s="11">
        <f>IFERROR(__xludf.DUMMYFUNCTION("""COMPUTED_VALUE"""),1.0)</f>
        <v>1</v>
      </c>
      <c r="AA102" s="11">
        <f>IFERROR(__xludf.DUMMYFUNCTION("""COMPUTED_VALUE"""),3.0)</f>
        <v>3</v>
      </c>
      <c r="AB102" s="11">
        <f>IFERROR(__xludf.DUMMYFUNCTION("""COMPUTED_VALUE"""),5.0)</f>
        <v>5</v>
      </c>
      <c r="AC102" s="11">
        <f>IFERROR(__xludf.DUMMYFUNCTION("""COMPUTED_VALUE"""),77.0)</f>
        <v>77</v>
      </c>
      <c r="AD102" s="11">
        <f>IFERROR(__xludf.DUMMYFUNCTION("""COMPUTED_VALUE"""),59.0)</f>
        <v>59</v>
      </c>
    </row>
    <row r="103">
      <c r="A103" s="10" t="str">
        <f>IFERROR(__xludf.DUMMYFUNCTION("""COMPUTED_VALUE"""),"Challenger")</f>
        <v>Challenger</v>
      </c>
      <c r="B103" s="10" t="str">
        <f>IFERROR(__xludf.DUMMYFUNCTION("""COMPUTED_VALUE"""),"RSC008044")</f>
        <v>RSC008044</v>
      </c>
      <c r="C103" s="10" t="str">
        <f>IFERROR(__xludf.DUMMYFUNCTION("""COMPUTED_VALUE"""),"fender_bender2")</f>
        <v>fender_bender2</v>
      </c>
      <c r="D103" s="36" t="str">
        <f>IFERROR(__xludf.DUMMYFUNCTION("""COMPUTED_VALUE"""),"Olympic Knights")</f>
        <v>Olympic Knights</v>
      </c>
      <c r="E103" s="10" t="str">
        <f>IFERROR(__xludf.DUMMYFUNCTION("""COMPUTED_VALUE"""),"Solar")</f>
        <v>Solar</v>
      </c>
      <c r="F103" s="37">
        <f>IFERROR(__xludf.DUMMYFUNCTION("""COMPUTED_VALUE"""),54.34660432983185)</f>
        <v>54.34660433</v>
      </c>
      <c r="G103" s="38">
        <f>IFERROR(__xludf.DUMMYFUNCTION("""COMPUTED_VALUE"""),60.43661834283129)</f>
        <v>60.43661834</v>
      </c>
      <c r="H103" s="38">
        <f>IFERROR(__xludf.DUMMYFUNCTION("""COMPUTED_VALUE"""),57.391611336331565)</f>
        <v>57.39161134</v>
      </c>
      <c r="I103" s="14">
        <f>IFERROR(__xludf.DUMMYFUNCTION("""COMPUTED_VALUE"""),19.0)</f>
        <v>19</v>
      </c>
      <c r="J103" s="11">
        <f>IFERROR(__xludf.DUMMYFUNCTION("IFERROR(FILTER(Stats!$F:$Z,(Stats!$A:$A=$A103)*(Stats!$B:$B=$B103)))"),13.0)</f>
        <v>13</v>
      </c>
      <c r="K103" s="11">
        <f>IFERROR(__xludf.DUMMYFUNCTION("""COMPUTED_VALUE"""),6.0)</f>
        <v>6</v>
      </c>
      <c r="L103" s="12">
        <f>IFERROR(__xludf.DUMMYFUNCTION("""COMPUTED_VALUE"""),0.6842105263157895)</f>
        <v>0.6842105263</v>
      </c>
      <c r="M103" s="11">
        <f>IFERROR(__xludf.DUMMYFUNCTION("""COMPUTED_VALUE"""),6.0)</f>
        <v>6</v>
      </c>
      <c r="N103" s="11">
        <f>IFERROR(__xludf.DUMMYFUNCTION("""COMPUTED_VALUE"""),5644.0)</f>
        <v>5644</v>
      </c>
      <c r="O103" s="13">
        <f>IFERROR(__xludf.DUMMYFUNCTION("""COMPUTED_VALUE"""),14.0)</f>
        <v>14</v>
      </c>
      <c r="P103" s="14">
        <f>IFERROR(__xludf.DUMMYFUNCTION("""COMPUTED_VALUE"""),7.0)</f>
        <v>7</v>
      </c>
      <c r="Q103" s="13">
        <f>IFERROR(__xludf.DUMMYFUNCTION("""COMPUTED_VALUE"""),18.0)</f>
        <v>18</v>
      </c>
      <c r="R103" s="13">
        <f>IFERROR(__xludf.DUMMYFUNCTION("""COMPUTED_VALUE"""),51.0)</f>
        <v>51</v>
      </c>
      <c r="S103" s="15">
        <f>IFERROR(__xludf.DUMMYFUNCTION("""COMPUTED_VALUE"""),0.27450980392156865)</f>
        <v>0.2745098039</v>
      </c>
      <c r="T103" s="16">
        <f>IFERROR(__xludf.DUMMYFUNCTION("""COMPUTED_VALUE"""),297.05263157894734)</f>
        <v>297.0526316</v>
      </c>
      <c r="U103" s="16">
        <f>IFERROR(__xludf.DUMMYFUNCTION("""COMPUTED_VALUE"""),0.7368421052631579)</f>
        <v>0.7368421053</v>
      </c>
      <c r="V103" s="16">
        <f>IFERROR(__xludf.DUMMYFUNCTION("""COMPUTED_VALUE"""),0.3684210526315789)</f>
        <v>0.3684210526</v>
      </c>
      <c r="W103" s="16">
        <f>IFERROR(__xludf.DUMMYFUNCTION("""COMPUTED_VALUE"""),0.9473684210526315)</f>
        <v>0.9473684211</v>
      </c>
      <c r="X103" s="16">
        <f>IFERROR(__xludf.DUMMYFUNCTION("""COMPUTED_VALUE"""),2.6842105263157894)</f>
        <v>2.684210526</v>
      </c>
      <c r="Y103" s="11">
        <f>IFERROR(__xludf.DUMMYFUNCTION("""COMPUTED_VALUE"""),2.0)</f>
        <v>2</v>
      </c>
      <c r="Z103" s="11">
        <f>IFERROR(__xludf.DUMMYFUNCTION("""COMPUTED_VALUE"""),0.0)</f>
        <v>0</v>
      </c>
      <c r="AA103" s="11">
        <f>IFERROR(__xludf.DUMMYFUNCTION("""COMPUTED_VALUE"""),0.0)</f>
        <v>0</v>
      </c>
      <c r="AB103" s="11">
        <f>IFERROR(__xludf.DUMMYFUNCTION("""COMPUTED_VALUE"""),1.0)</f>
        <v>1</v>
      </c>
      <c r="AC103" s="11">
        <f>IFERROR(__xludf.DUMMYFUNCTION("""COMPUTED_VALUE"""),4.0)</f>
        <v>4</v>
      </c>
      <c r="AD103" s="11">
        <f>IFERROR(__xludf.DUMMYFUNCTION("""COMPUTED_VALUE"""),19.0)</f>
        <v>19</v>
      </c>
    </row>
    <row r="104">
      <c r="A104" s="10" t="str">
        <f>IFERROR(__xludf.DUMMYFUNCTION("""COMPUTED_VALUE"""),"Challenger")</f>
        <v>Challenger</v>
      </c>
      <c r="B104" s="10" t="str">
        <f>IFERROR(__xludf.DUMMYFUNCTION("""COMPUTED_VALUE"""),"RSC006346")</f>
        <v>RSC006346</v>
      </c>
      <c r="C104" s="10" t="str">
        <f>IFERROR(__xludf.DUMMYFUNCTION("""COMPUTED_VALUE"""),"MobBossCitrus")</f>
        <v>MobBossCitrus</v>
      </c>
      <c r="D104" s="36" t="str">
        <f>IFERROR(__xludf.DUMMYFUNCTION("""COMPUTED_VALUE"""),"Apple Associates")</f>
        <v>Apple Associates</v>
      </c>
      <c r="E104" s="10" t="str">
        <f>IFERROR(__xludf.DUMMYFUNCTION("""COMPUTED_VALUE"""),"Lunar")</f>
        <v>Lunar</v>
      </c>
      <c r="F104" s="37">
        <f>IFERROR(__xludf.DUMMYFUNCTION("""COMPUTED_VALUE"""),53.5432000314681)</f>
        <v>53.54320003</v>
      </c>
      <c r="G104" s="38">
        <f>IFERROR(__xludf.DUMMYFUNCTION("""COMPUTED_VALUE"""),60.78820763688893)</f>
        <v>60.78820764</v>
      </c>
      <c r="H104" s="38">
        <f>IFERROR(__xludf.DUMMYFUNCTION("""COMPUTED_VALUE"""),57.165703834178515)</f>
        <v>57.16570383</v>
      </c>
      <c r="I104" s="14">
        <f>IFERROR(__xludf.DUMMYFUNCTION("""COMPUTED_VALUE"""),46.0)</f>
        <v>46</v>
      </c>
      <c r="J104" s="11">
        <f>IFERROR(__xludf.DUMMYFUNCTION("IFERROR(FILTER(Stats!$F:$Z,(Stats!$A:$A=$A104)*(Stats!$B:$B=$B104)))"),25.0)</f>
        <v>25</v>
      </c>
      <c r="K104" s="11">
        <f>IFERROR(__xludf.DUMMYFUNCTION("""COMPUTED_VALUE"""),21.0)</f>
        <v>21</v>
      </c>
      <c r="L104" s="12">
        <f>IFERROR(__xludf.DUMMYFUNCTION("""COMPUTED_VALUE"""),0.5434782608695652)</f>
        <v>0.5434782609</v>
      </c>
      <c r="M104" s="11">
        <f>IFERROR(__xludf.DUMMYFUNCTION("""COMPUTED_VALUE"""),8.0)</f>
        <v>8</v>
      </c>
      <c r="N104" s="11">
        <f>IFERROR(__xludf.DUMMYFUNCTION("""COMPUTED_VALUE"""),15539.0)</f>
        <v>15539</v>
      </c>
      <c r="O104" s="13">
        <f>IFERROR(__xludf.DUMMYFUNCTION("""COMPUTED_VALUE"""),44.0)</f>
        <v>44</v>
      </c>
      <c r="P104" s="14">
        <f>IFERROR(__xludf.DUMMYFUNCTION("""COMPUTED_VALUE"""),22.0)</f>
        <v>22</v>
      </c>
      <c r="Q104" s="13">
        <f>IFERROR(__xludf.DUMMYFUNCTION("""COMPUTED_VALUE"""),44.0)</f>
        <v>44</v>
      </c>
      <c r="R104" s="13">
        <f>IFERROR(__xludf.DUMMYFUNCTION("""COMPUTED_VALUE"""),112.0)</f>
        <v>112</v>
      </c>
      <c r="S104" s="15">
        <f>IFERROR(__xludf.DUMMYFUNCTION("""COMPUTED_VALUE"""),0.39285714285714285)</f>
        <v>0.3928571429</v>
      </c>
      <c r="T104" s="16">
        <f>IFERROR(__xludf.DUMMYFUNCTION("""COMPUTED_VALUE"""),337.80434782608694)</f>
        <v>337.8043478</v>
      </c>
      <c r="U104" s="16">
        <f>IFERROR(__xludf.DUMMYFUNCTION("""COMPUTED_VALUE"""),0.9565217391304348)</f>
        <v>0.9565217391</v>
      </c>
      <c r="V104" s="16">
        <f>IFERROR(__xludf.DUMMYFUNCTION("""COMPUTED_VALUE"""),0.4782608695652174)</f>
        <v>0.4782608696</v>
      </c>
      <c r="W104" s="16">
        <f>IFERROR(__xludf.DUMMYFUNCTION("""COMPUTED_VALUE"""),0.9565217391304348)</f>
        <v>0.9565217391</v>
      </c>
      <c r="X104" s="16">
        <f>IFERROR(__xludf.DUMMYFUNCTION("""COMPUTED_VALUE"""),2.4347826086956523)</f>
        <v>2.434782609</v>
      </c>
      <c r="Y104" s="11">
        <f>IFERROR(__xludf.DUMMYFUNCTION("""COMPUTED_VALUE"""),5.0)</f>
        <v>5</v>
      </c>
      <c r="Z104" s="11">
        <f>IFERROR(__xludf.DUMMYFUNCTION("""COMPUTED_VALUE"""),4.0)</f>
        <v>4</v>
      </c>
      <c r="AA104" s="11">
        <f>IFERROR(__xludf.DUMMYFUNCTION("""COMPUTED_VALUE"""),1.0)</f>
        <v>1</v>
      </c>
      <c r="AB104" s="11">
        <f>IFERROR(__xludf.DUMMYFUNCTION("""COMPUTED_VALUE"""),3.0)</f>
        <v>3</v>
      </c>
      <c r="AC104" s="11">
        <f>IFERROR(__xludf.DUMMYFUNCTION("""COMPUTED_VALUE"""),24.0)</f>
        <v>24</v>
      </c>
      <c r="AD104" s="11">
        <f>IFERROR(__xludf.DUMMYFUNCTION("""COMPUTED_VALUE"""),51.0)</f>
        <v>51</v>
      </c>
    </row>
    <row r="105">
      <c r="A105" s="10" t="str">
        <f>IFERROR(__xludf.DUMMYFUNCTION("""COMPUTED_VALUE"""),"Challenger")</f>
        <v>Challenger</v>
      </c>
      <c r="B105" s="10" t="str">
        <f>IFERROR(__xludf.DUMMYFUNCTION("""COMPUTED_VALUE"""),"RSC006908")</f>
        <v>RSC006908</v>
      </c>
      <c r="C105" s="10" t="str">
        <f>IFERROR(__xludf.DUMMYFUNCTION("""COMPUTED_VALUE"""),"OvrSizedFrog")</f>
        <v>OvrSizedFrog</v>
      </c>
      <c r="D105" s="36" t="str">
        <f>IFERROR(__xludf.DUMMYFUNCTION("""COMPUTED_VALUE"""),"Ryujin")</f>
        <v>Ryujin</v>
      </c>
      <c r="E105" s="10" t="str">
        <f>IFERROR(__xludf.DUMMYFUNCTION("""COMPUTED_VALUE"""),"Solar")</f>
        <v>Solar</v>
      </c>
      <c r="F105" s="37">
        <f>IFERROR(__xludf.DUMMYFUNCTION("""COMPUTED_VALUE"""),57.31736512404333)</f>
        <v>57.31736512</v>
      </c>
      <c r="G105" s="38">
        <f>IFERROR(__xludf.DUMMYFUNCTION("""COMPUTED_VALUE"""),54.998771007749774)</f>
        <v>54.99877101</v>
      </c>
      <c r="H105" s="38">
        <f>IFERROR(__xludf.DUMMYFUNCTION("""COMPUTED_VALUE"""),56.15806806589655)</f>
        <v>56.15806807</v>
      </c>
      <c r="I105" s="14">
        <f>IFERROR(__xludf.DUMMYFUNCTION("""COMPUTED_VALUE"""),40.0)</f>
        <v>40</v>
      </c>
      <c r="J105" s="11">
        <f>IFERROR(__xludf.DUMMYFUNCTION("IFERROR(FILTER(Stats!$F:$Z,(Stats!$A:$A=$A105)*(Stats!$B:$B=$B105)))"),19.0)</f>
        <v>19</v>
      </c>
      <c r="K105" s="11">
        <f>IFERROR(__xludf.DUMMYFUNCTION("""COMPUTED_VALUE"""),21.0)</f>
        <v>21</v>
      </c>
      <c r="L105" s="12">
        <f>IFERROR(__xludf.DUMMYFUNCTION("""COMPUTED_VALUE"""),0.475)</f>
        <v>0.475</v>
      </c>
      <c r="M105" s="11">
        <f>IFERROR(__xludf.DUMMYFUNCTION("""COMPUTED_VALUE"""),10.0)</f>
        <v>10</v>
      </c>
      <c r="N105" s="11">
        <f>IFERROR(__xludf.DUMMYFUNCTION("""COMPUTED_VALUE"""),13412.0)</f>
        <v>13412</v>
      </c>
      <c r="O105" s="13">
        <f>IFERROR(__xludf.DUMMYFUNCTION("""COMPUTED_VALUE"""),30.0)</f>
        <v>30</v>
      </c>
      <c r="P105" s="14">
        <f>IFERROR(__xludf.DUMMYFUNCTION("""COMPUTED_VALUE"""),20.0)</f>
        <v>20</v>
      </c>
      <c r="Q105" s="13">
        <f>IFERROR(__xludf.DUMMYFUNCTION("""COMPUTED_VALUE"""),47.0)</f>
        <v>47</v>
      </c>
      <c r="R105" s="13">
        <f>IFERROR(__xludf.DUMMYFUNCTION("""COMPUTED_VALUE"""),103.0)</f>
        <v>103</v>
      </c>
      <c r="S105" s="15">
        <f>IFERROR(__xludf.DUMMYFUNCTION("""COMPUTED_VALUE"""),0.2912621359223301)</f>
        <v>0.2912621359</v>
      </c>
      <c r="T105" s="16">
        <f>IFERROR(__xludf.DUMMYFUNCTION("""COMPUTED_VALUE"""),335.3)</f>
        <v>335.3</v>
      </c>
      <c r="U105" s="16">
        <f>IFERROR(__xludf.DUMMYFUNCTION("""COMPUTED_VALUE"""),0.75)</f>
        <v>0.75</v>
      </c>
      <c r="V105" s="16">
        <f>IFERROR(__xludf.DUMMYFUNCTION("""COMPUTED_VALUE"""),0.5)</f>
        <v>0.5</v>
      </c>
      <c r="W105" s="16">
        <f>IFERROR(__xludf.DUMMYFUNCTION("""COMPUTED_VALUE"""),1.175)</f>
        <v>1.175</v>
      </c>
      <c r="X105" s="16">
        <f>IFERROR(__xludf.DUMMYFUNCTION("""COMPUTED_VALUE"""),2.575)</f>
        <v>2.575</v>
      </c>
      <c r="Y105" s="11">
        <f>IFERROR(__xludf.DUMMYFUNCTION("""COMPUTED_VALUE"""),6.0)</f>
        <v>6</v>
      </c>
      <c r="Z105" s="11">
        <f>IFERROR(__xludf.DUMMYFUNCTION("""COMPUTED_VALUE"""),2.0)</f>
        <v>2</v>
      </c>
      <c r="AA105" s="11">
        <f>IFERROR(__xludf.DUMMYFUNCTION("""COMPUTED_VALUE"""),2.0)</f>
        <v>2</v>
      </c>
      <c r="AB105" s="11">
        <f>IFERROR(__xludf.DUMMYFUNCTION("""COMPUTED_VALUE"""),7.0)</f>
        <v>7</v>
      </c>
      <c r="AC105" s="11">
        <f>IFERROR(__xludf.DUMMYFUNCTION("""COMPUTED_VALUE"""),20.0)</f>
        <v>20</v>
      </c>
      <c r="AD105" s="11">
        <f>IFERROR(__xludf.DUMMYFUNCTION("""COMPUTED_VALUE"""),36.0)</f>
        <v>36</v>
      </c>
    </row>
    <row r="106">
      <c r="A106" s="10" t="str">
        <f>IFERROR(__xludf.DUMMYFUNCTION("""COMPUTED_VALUE"""),"Challenger")</f>
        <v>Challenger</v>
      </c>
      <c r="B106" s="10" t="str">
        <f>IFERROR(__xludf.DUMMYFUNCTION("""COMPUTED_VALUE"""),"RSC008111")</f>
        <v>RSC008111</v>
      </c>
      <c r="C106" s="10" t="str">
        <f>IFERROR(__xludf.DUMMYFUNCTION("""COMPUTED_VALUE"""),"Shadow_11Bravo")</f>
        <v>Shadow_11Bravo</v>
      </c>
      <c r="D106" s="36" t="str">
        <f>IFERROR(__xludf.DUMMYFUNCTION("""COMPUTED_VALUE"""),"Happy B-day Jess")</f>
        <v>Happy B-day Jess</v>
      </c>
      <c r="E106" s="10" t="str">
        <f>IFERROR(__xludf.DUMMYFUNCTION("""COMPUTED_VALUE"""),"Lunar")</f>
        <v>Lunar</v>
      </c>
      <c r="F106" s="37">
        <f>IFERROR(__xludf.DUMMYFUNCTION("""COMPUTED_VALUE"""),50.638750259253364)</f>
        <v>50.63875026</v>
      </c>
      <c r="G106" s="38">
        <f>IFERROR(__xludf.DUMMYFUNCTION("""COMPUTED_VALUE"""),60.60008490016108)</f>
        <v>60.6000849</v>
      </c>
      <c r="H106" s="38">
        <f>IFERROR(__xludf.DUMMYFUNCTION("""COMPUTED_VALUE"""),55.61941757970722)</f>
        <v>55.61941758</v>
      </c>
      <c r="I106" s="14">
        <f>IFERROR(__xludf.DUMMYFUNCTION("""COMPUTED_VALUE"""),30.0)</f>
        <v>30</v>
      </c>
      <c r="J106" s="11">
        <f>IFERROR(__xludf.DUMMYFUNCTION("IFERROR(FILTER(Stats!$F:$Z,(Stats!$A:$A=$A106)*(Stats!$B:$B=$B106)))"),22.0)</f>
        <v>22</v>
      </c>
      <c r="K106" s="11">
        <f>IFERROR(__xludf.DUMMYFUNCTION("""COMPUTED_VALUE"""),8.0)</f>
        <v>8</v>
      </c>
      <c r="L106" s="12">
        <f>IFERROR(__xludf.DUMMYFUNCTION("""COMPUTED_VALUE"""),0.7333333333333333)</f>
        <v>0.7333333333</v>
      </c>
      <c r="M106" s="11">
        <f>IFERROR(__xludf.DUMMYFUNCTION("""COMPUTED_VALUE"""),7.0)</f>
        <v>7</v>
      </c>
      <c r="N106" s="11">
        <f>IFERROR(__xludf.DUMMYFUNCTION("""COMPUTED_VALUE"""),9543.0)</f>
        <v>9543</v>
      </c>
      <c r="O106" s="13">
        <f>IFERROR(__xludf.DUMMYFUNCTION("""COMPUTED_VALUE"""),19.0)</f>
        <v>19</v>
      </c>
      <c r="P106" s="14">
        <f>IFERROR(__xludf.DUMMYFUNCTION("""COMPUTED_VALUE"""),22.0)</f>
        <v>22</v>
      </c>
      <c r="Q106" s="13">
        <f>IFERROR(__xludf.DUMMYFUNCTION("""COMPUTED_VALUE"""),36.0)</f>
        <v>36</v>
      </c>
      <c r="R106" s="13">
        <f>IFERROR(__xludf.DUMMYFUNCTION("""COMPUTED_VALUE"""),52.0)</f>
        <v>52</v>
      </c>
      <c r="S106" s="15">
        <f>IFERROR(__xludf.DUMMYFUNCTION("""COMPUTED_VALUE"""),0.36538461538461536)</f>
        <v>0.3653846154</v>
      </c>
      <c r="T106" s="16">
        <f>IFERROR(__xludf.DUMMYFUNCTION("""COMPUTED_VALUE"""),318.1)</f>
        <v>318.1</v>
      </c>
      <c r="U106" s="16">
        <f>IFERROR(__xludf.DUMMYFUNCTION("""COMPUTED_VALUE"""),0.6333333333333333)</f>
        <v>0.6333333333</v>
      </c>
      <c r="V106" s="16">
        <f>IFERROR(__xludf.DUMMYFUNCTION("""COMPUTED_VALUE"""),0.7333333333333333)</f>
        <v>0.7333333333</v>
      </c>
      <c r="W106" s="16">
        <f>IFERROR(__xludf.DUMMYFUNCTION("""COMPUTED_VALUE"""),1.2)</f>
        <v>1.2</v>
      </c>
      <c r="X106" s="16">
        <f>IFERROR(__xludf.DUMMYFUNCTION("""COMPUTED_VALUE"""),1.7333333333333334)</f>
        <v>1.733333333</v>
      </c>
      <c r="Y106" s="11">
        <f>IFERROR(__xludf.DUMMYFUNCTION("""COMPUTED_VALUE"""),7.0)</f>
        <v>7</v>
      </c>
      <c r="Z106" s="11">
        <f>IFERROR(__xludf.DUMMYFUNCTION("""COMPUTED_VALUE"""),1.0)</f>
        <v>1</v>
      </c>
      <c r="AA106" s="11">
        <f>IFERROR(__xludf.DUMMYFUNCTION("""COMPUTED_VALUE"""),2.0)</f>
        <v>2</v>
      </c>
      <c r="AB106" s="11">
        <f>IFERROR(__xludf.DUMMYFUNCTION("""COMPUTED_VALUE"""),4.0)</f>
        <v>4</v>
      </c>
      <c r="AC106" s="11">
        <f>IFERROR(__xludf.DUMMYFUNCTION("""COMPUTED_VALUE"""),10.0)</f>
        <v>10</v>
      </c>
      <c r="AD106" s="11">
        <f>IFERROR(__xludf.DUMMYFUNCTION("""COMPUTED_VALUE"""),14.0)</f>
        <v>14</v>
      </c>
    </row>
    <row r="107">
      <c r="A107" s="10" t="str">
        <f>IFERROR(__xludf.DUMMYFUNCTION("""COMPUTED_VALUE"""),"Challenger")</f>
        <v>Challenger</v>
      </c>
      <c r="B107" s="10" t="str">
        <f>IFERROR(__xludf.DUMMYFUNCTION("""COMPUTED_VALUE"""),"RSC007092")</f>
        <v>RSC007092</v>
      </c>
      <c r="C107" s="10" t="str">
        <f>IFERROR(__xludf.DUMMYFUNCTION("""COMPUTED_VALUE"""),"Minjaaa")</f>
        <v>Minjaaa</v>
      </c>
      <c r="D107" s="36" t="str">
        <f>IFERROR(__xludf.DUMMYFUNCTION("""COMPUTED_VALUE"""),"Ryujin")</f>
        <v>Ryujin</v>
      </c>
      <c r="E107" s="10" t="str">
        <f>IFERROR(__xludf.DUMMYFUNCTION("""COMPUTED_VALUE"""),"Solar")</f>
        <v>Solar</v>
      </c>
      <c r="F107" s="37">
        <f>IFERROR(__xludf.DUMMYFUNCTION("""COMPUTED_VALUE"""),56.51090948287133)</f>
        <v>56.51090948</v>
      </c>
      <c r="G107" s="38">
        <f>IFERROR(__xludf.DUMMYFUNCTION("""COMPUTED_VALUE"""),54.12231199830326)</f>
        <v>54.122312</v>
      </c>
      <c r="H107" s="38">
        <f>IFERROR(__xludf.DUMMYFUNCTION("""COMPUTED_VALUE"""),55.31661074058729)</f>
        <v>55.31661074</v>
      </c>
      <c r="I107" s="14">
        <f>IFERROR(__xludf.DUMMYFUNCTION("""COMPUTED_VALUE"""),52.0)</f>
        <v>52</v>
      </c>
      <c r="J107" s="11">
        <f>IFERROR(__xludf.DUMMYFUNCTION("IFERROR(FILTER(Stats!$F:$Z,(Stats!$A:$A=$A107)*(Stats!$B:$B=$B107)))"),25.0)</f>
        <v>25</v>
      </c>
      <c r="K107" s="11">
        <f>IFERROR(__xludf.DUMMYFUNCTION("""COMPUTED_VALUE"""),27.0)</f>
        <v>27</v>
      </c>
      <c r="L107" s="12">
        <f>IFERROR(__xludf.DUMMYFUNCTION("""COMPUTED_VALUE"""),0.4807692307692308)</f>
        <v>0.4807692308</v>
      </c>
      <c r="M107" s="11">
        <f>IFERROR(__xludf.DUMMYFUNCTION("""COMPUTED_VALUE"""),9.0)</f>
        <v>9</v>
      </c>
      <c r="N107" s="11">
        <f>IFERROR(__xludf.DUMMYFUNCTION("""COMPUTED_VALUE"""),18295.0)</f>
        <v>18295</v>
      </c>
      <c r="O107" s="13">
        <f>IFERROR(__xludf.DUMMYFUNCTION("""COMPUTED_VALUE"""),49.0)</f>
        <v>49</v>
      </c>
      <c r="P107" s="14">
        <f>IFERROR(__xludf.DUMMYFUNCTION("""COMPUTED_VALUE"""),18.0)</f>
        <v>18</v>
      </c>
      <c r="Q107" s="13">
        <f>IFERROR(__xludf.DUMMYFUNCTION("""COMPUTED_VALUE"""),65.0)</f>
        <v>65</v>
      </c>
      <c r="R107" s="13">
        <f>IFERROR(__xludf.DUMMYFUNCTION("""COMPUTED_VALUE"""),139.0)</f>
        <v>139</v>
      </c>
      <c r="S107" s="15">
        <f>IFERROR(__xludf.DUMMYFUNCTION("""COMPUTED_VALUE"""),0.35251798561151076)</f>
        <v>0.3525179856</v>
      </c>
      <c r="T107" s="16">
        <f>IFERROR(__xludf.DUMMYFUNCTION("""COMPUTED_VALUE"""),351.8269230769231)</f>
        <v>351.8269231</v>
      </c>
      <c r="U107" s="16">
        <f>IFERROR(__xludf.DUMMYFUNCTION("""COMPUTED_VALUE"""),0.9423076923076923)</f>
        <v>0.9423076923</v>
      </c>
      <c r="V107" s="16">
        <f>IFERROR(__xludf.DUMMYFUNCTION("""COMPUTED_VALUE"""),0.34615384615384615)</f>
        <v>0.3461538462</v>
      </c>
      <c r="W107" s="16">
        <f>IFERROR(__xludf.DUMMYFUNCTION("""COMPUTED_VALUE"""),1.25)</f>
        <v>1.25</v>
      </c>
      <c r="X107" s="16">
        <f>IFERROR(__xludf.DUMMYFUNCTION("""COMPUTED_VALUE"""),2.673076923076923)</f>
        <v>2.673076923</v>
      </c>
      <c r="Y107" s="11">
        <f>IFERROR(__xludf.DUMMYFUNCTION("""COMPUTED_VALUE"""),6.0)</f>
        <v>6</v>
      </c>
      <c r="Z107" s="11">
        <f>IFERROR(__xludf.DUMMYFUNCTION("""COMPUTED_VALUE"""),4.0)</f>
        <v>4</v>
      </c>
      <c r="AA107" s="11">
        <f>IFERROR(__xludf.DUMMYFUNCTION("""COMPUTED_VALUE"""),0.0)</f>
        <v>0</v>
      </c>
      <c r="AB107" s="11">
        <f>IFERROR(__xludf.DUMMYFUNCTION("""COMPUTED_VALUE"""),8.0)</f>
        <v>8</v>
      </c>
      <c r="AC107" s="11">
        <f>IFERROR(__xludf.DUMMYFUNCTION("""COMPUTED_VALUE"""),74.0)</f>
        <v>74</v>
      </c>
      <c r="AD107" s="11">
        <f>IFERROR(__xludf.DUMMYFUNCTION("""COMPUTED_VALUE"""),45.0)</f>
        <v>45</v>
      </c>
    </row>
    <row r="108">
      <c r="A108" s="10" t="str">
        <f>IFERROR(__xludf.DUMMYFUNCTION("""COMPUTED_VALUE"""),"Challenger")</f>
        <v>Challenger</v>
      </c>
      <c r="B108" s="10" t="str">
        <f>IFERROR(__xludf.DUMMYFUNCTION("""COMPUTED_VALUE"""),"RSC000357")</f>
        <v>RSC000357</v>
      </c>
      <c r="C108" s="10" t="str">
        <f>IFERROR(__xludf.DUMMYFUNCTION("""COMPUTED_VALUE"""),"Primed")</f>
        <v>Primed</v>
      </c>
      <c r="D108" s="36" t="str">
        <f>IFERROR(__xludf.DUMMYFUNCTION("""COMPUTED_VALUE"""),"Decuriones")</f>
        <v>Decuriones</v>
      </c>
      <c r="E108" s="10" t="str">
        <f>IFERROR(__xludf.DUMMYFUNCTION("""COMPUTED_VALUE"""),"Solar")</f>
        <v>Solar</v>
      </c>
      <c r="F108" s="37">
        <f>IFERROR(__xludf.DUMMYFUNCTION("""COMPUTED_VALUE"""),54.41838283907894)</f>
        <v>54.41838284</v>
      </c>
      <c r="G108" s="38">
        <f>IFERROR(__xludf.DUMMYFUNCTION("""COMPUTED_VALUE"""),54.21354755792679)</f>
        <v>54.21354756</v>
      </c>
      <c r="H108" s="38">
        <f>IFERROR(__xludf.DUMMYFUNCTION("""COMPUTED_VALUE"""),54.315965198502866)</f>
        <v>54.3159652</v>
      </c>
      <c r="I108" s="14">
        <f>IFERROR(__xludf.DUMMYFUNCTION("""COMPUTED_VALUE"""),45.0)</f>
        <v>45</v>
      </c>
      <c r="J108" s="11">
        <f>IFERROR(__xludf.DUMMYFUNCTION("IFERROR(FILTER(Stats!$F:$Z,(Stats!$A:$A=$A108)*(Stats!$B:$B=$B108)))"),21.0)</f>
        <v>21</v>
      </c>
      <c r="K108" s="11">
        <f>IFERROR(__xludf.DUMMYFUNCTION("""COMPUTED_VALUE"""),24.0)</f>
        <v>24</v>
      </c>
      <c r="L108" s="12">
        <f>IFERROR(__xludf.DUMMYFUNCTION("""COMPUTED_VALUE"""),0.4666666666666667)</f>
        <v>0.4666666667</v>
      </c>
      <c r="M108" s="11">
        <f>IFERROR(__xludf.DUMMYFUNCTION("""COMPUTED_VALUE"""),5.0)</f>
        <v>5</v>
      </c>
      <c r="N108" s="11">
        <f>IFERROR(__xludf.DUMMYFUNCTION("""COMPUTED_VALUE"""),15111.0)</f>
        <v>15111</v>
      </c>
      <c r="O108" s="13">
        <f>IFERROR(__xludf.DUMMYFUNCTION("""COMPUTED_VALUE"""),37.0)</f>
        <v>37</v>
      </c>
      <c r="P108" s="14">
        <f>IFERROR(__xludf.DUMMYFUNCTION("""COMPUTED_VALUE"""),22.0)</f>
        <v>22</v>
      </c>
      <c r="Q108" s="13">
        <f>IFERROR(__xludf.DUMMYFUNCTION("""COMPUTED_VALUE"""),56.0)</f>
        <v>56</v>
      </c>
      <c r="R108" s="13">
        <f>IFERROR(__xludf.DUMMYFUNCTION("""COMPUTED_VALUE"""),98.0)</f>
        <v>98</v>
      </c>
      <c r="S108" s="15">
        <f>IFERROR(__xludf.DUMMYFUNCTION("""COMPUTED_VALUE"""),0.37755102040816324)</f>
        <v>0.3775510204</v>
      </c>
      <c r="T108" s="16">
        <f>IFERROR(__xludf.DUMMYFUNCTION("""COMPUTED_VALUE"""),335.8)</f>
        <v>335.8</v>
      </c>
      <c r="U108" s="16">
        <f>IFERROR(__xludf.DUMMYFUNCTION("""COMPUTED_VALUE"""),0.8222222222222222)</f>
        <v>0.8222222222</v>
      </c>
      <c r="V108" s="16">
        <f>IFERROR(__xludf.DUMMYFUNCTION("""COMPUTED_VALUE"""),0.4888888888888889)</f>
        <v>0.4888888889</v>
      </c>
      <c r="W108" s="16">
        <f>IFERROR(__xludf.DUMMYFUNCTION("""COMPUTED_VALUE"""),1.2444444444444445)</f>
        <v>1.244444444</v>
      </c>
      <c r="X108" s="16">
        <f>IFERROR(__xludf.DUMMYFUNCTION("""COMPUTED_VALUE"""),2.1777777777777776)</f>
        <v>2.177777778</v>
      </c>
      <c r="Y108" s="11">
        <f>IFERROR(__xludf.DUMMYFUNCTION("""COMPUTED_VALUE"""),10.0)</f>
        <v>10</v>
      </c>
      <c r="Z108" s="11">
        <f>IFERROR(__xludf.DUMMYFUNCTION("""COMPUTED_VALUE"""),1.0)</f>
        <v>1</v>
      </c>
      <c r="AA108" s="11">
        <f>IFERROR(__xludf.DUMMYFUNCTION("""COMPUTED_VALUE"""),0.0)</f>
        <v>0</v>
      </c>
      <c r="AB108" s="11">
        <f>IFERROR(__xludf.DUMMYFUNCTION("""COMPUTED_VALUE"""),6.0)</f>
        <v>6</v>
      </c>
      <c r="AC108" s="11">
        <f>IFERROR(__xludf.DUMMYFUNCTION("""COMPUTED_VALUE"""),34.0)</f>
        <v>34</v>
      </c>
      <c r="AD108" s="11">
        <f>IFERROR(__xludf.DUMMYFUNCTION("""COMPUTED_VALUE"""),38.0)</f>
        <v>38</v>
      </c>
    </row>
    <row r="109">
      <c r="A109" s="10" t="str">
        <f>IFERROR(__xludf.DUMMYFUNCTION("""COMPUTED_VALUE"""),"Challenger")</f>
        <v>Challenger</v>
      </c>
      <c r="B109" s="10" t="str">
        <f>IFERROR(__xludf.DUMMYFUNCTION("""COMPUTED_VALUE"""),"RSC007297")</f>
        <v>RSC007297</v>
      </c>
      <c r="C109" s="10" t="str">
        <f>IFERROR(__xludf.DUMMYFUNCTION("""COMPUTED_VALUE"""),"St-_-Marc")</f>
        <v>St-_-Marc</v>
      </c>
      <c r="D109" s="36" t="str">
        <f>IFERROR(__xludf.DUMMYFUNCTION("""COMPUTED_VALUE"""),"Warthogs")</f>
        <v>Warthogs</v>
      </c>
      <c r="E109" s="10" t="str">
        <f>IFERROR(__xludf.DUMMYFUNCTION("""COMPUTED_VALUE"""),"Lunar")</f>
        <v>Lunar</v>
      </c>
      <c r="F109" s="37">
        <f>IFERROR(__xludf.DUMMYFUNCTION("""COMPUTED_VALUE"""),55.5292478514039)</f>
        <v>55.52924785</v>
      </c>
      <c r="G109" s="38">
        <f>IFERROR(__xludf.DUMMYFUNCTION("""COMPUTED_VALUE"""),52.88819703474076)</f>
        <v>52.88819703</v>
      </c>
      <c r="H109" s="38">
        <f>IFERROR(__xludf.DUMMYFUNCTION("""COMPUTED_VALUE"""),54.20872244307233)</f>
        <v>54.20872244</v>
      </c>
      <c r="I109" s="14">
        <f>IFERROR(__xludf.DUMMYFUNCTION("""COMPUTED_VALUE"""),53.0)</f>
        <v>53</v>
      </c>
      <c r="J109" s="11">
        <f>IFERROR(__xludf.DUMMYFUNCTION("IFERROR(FILTER(Stats!$F:$Z,(Stats!$A:$A=$A109)*(Stats!$B:$B=$B109)))"),26.0)</f>
        <v>26</v>
      </c>
      <c r="K109" s="11">
        <f>IFERROR(__xludf.DUMMYFUNCTION("""COMPUTED_VALUE"""),27.0)</f>
        <v>27</v>
      </c>
      <c r="L109" s="12">
        <f>IFERROR(__xludf.DUMMYFUNCTION("""COMPUTED_VALUE"""),0.49056603773584906)</f>
        <v>0.4905660377</v>
      </c>
      <c r="M109" s="11">
        <f>IFERROR(__xludf.DUMMYFUNCTION("""COMPUTED_VALUE"""),10.0)</f>
        <v>10</v>
      </c>
      <c r="N109" s="11">
        <f>IFERROR(__xludf.DUMMYFUNCTION("""COMPUTED_VALUE"""),18640.0)</f>
        <v>18640</v>
      </c>
      <c r="O109" s="13">
        <f>IFERROR(__xludf.DUMMYFUNCTION("""COMPUTED_VALUE"""),47.0)</f>
        <v>47</v>
      </c>
      <c r="P109" s="14">
        <f>IFERROR(__xludf.DUMMYFUNCTION("""COMPUTED_VALUE"""),23.0)</f>
        <v>23</v>
      </c>
      <c r="Q109" s="13">
        <f>IFERROR(__xludf.DUMMYFUNCTION("""COMPUTED_VALUE"""),57.0)</f>
        <v>57</v>
      </c>
      <c r="R109" s="13">
        <f>IFERROR(__xludf.DUMMYFUNCTION("""COMPUTED_VALUE"""),148.0)</f>
        <v>148</v>
      </c>
      <c r="S109" s="15">
        <f>IFERROR(__xludf.DUMMYFUNCTION("""COMPUTED_VALUE"""),0.31756756756756754)</f>
        <v>0.3175675676</v>
      </c>
      <c r="T109" s="16">
        <f>IFERROR(__xludf.DUMMYFUNCTION("""COMPUTED_VALUE"""),351.6981132075472)</f>
        <v>351.6981132</v>
      </c>
      <c r="U109" s="16">
        <f>IFERROR(__xludf.DUMMYFUNCTION("""COMPUTED_VALUE"""),0.8867924528301887)</f>
        <v>0.8867924528</v>
      </c>
      <c r="V109" s="16">
        <f>IFERROR(__xludf.DUMMYFUNCTION("""COMPUTED_VALUE"""),0.4339622641509434)</f>
        <v>0.4339622642</v>
      </c>
      <c r="W109" s="16">
        <f>IFERROR(__xludf.DUMMYFUNCTION("""COMPUTED_VALUE"""),1.0754716981132075)</f>
        <v>1.075471698</v>
      </c>
      <c r="X109" s="16">
        <f>IFERROR(__xludf.DUMMYFUNCTION("""COMPUTED_VALUE"""),2.792452830188679)</f>
        <v>2.79245283</v>
      </c>
      <c r="Y109" s="11">
        <f>IFERROR(__xludf.DUMMYFUNCTION("""COMPUTED_VALUE"""),7.0)</f>
        <v>7</v>
      </c>
      <c r="Z109" s="11">
        <f>IFERROR(__xludf.DUMMYFUNCTION("""COMPUTED_VALUE"""),5.0)</f>
        <v>5</v>
      </c>
      <c r="AA109" s="11">
        <f>IFERROR(__xludf.DUMMYFUNCTION("""COMPUTED_VALUE"""),1.0)</f>
        <v>1</v>
      </c>
      <c r="AB109" s="11">
        <f>IFERROR(__xludf.DUMMYFUNCTION("""COMPUTED_VALUE"""),4.0)</f>
        <v>4</v>
      </c>
      <c r="AC109" s="11">
        <f>IFERROR(__xludf.DUMMYFUNCTION("""COMPUTED_VALUE"""),39.0)</f>
        <v>39</v>
      </c>
      <c r="AD109" s="11">
        <f>IFERROR(__xludf.DUMMYFUNCTION("""COMPUTED_VALUE"""),61.0)</f>
        <v>61</v>
      </c>
    </row>
    <row r="110">
      <c r="A110" s="10" t="str">
        <f>IFERROR(__xludf.DUMMYFUNCTION("""COMPUTED_VALUE"""),"Challenger")</f>
        <v>Challenger</v>
      </c>
      <c r="B110" s="10" t="str">
        <f>IFERROR(__xludf.DUMMYFUNCTION("""COMPUTED_VALUE"""),"RSC007518")</f>
        <v>RSC007518</v>
      </c>
      <c r="C110" s="10" t="str">
        <f>IFERROR(__xludf.DUMMYFUNCTION("""COMPUTED_VALUE"""),"LoneDrifter.")</f>
        <v>LoneDrifter.</v>
      </c>
      <c r="D110" s="36" t="str">
        <f>IFERROR(__xludf.DUMMYFUNCTION("""COMPUTED_VALUE"""),"Scribes")</f>
        <v>Scribes</v>
      </c>
      <c r="E110" s="10" t="str">
        <f>IFERROR(__xludf.DUMMYFUNCTION("""COMPUTED_VALUE"""),"Lunar")</f>
        <v>Lunar</v>
      </c>
      <c r="F110" s="37">
        <f>IFERROR(__xludf.DUMMYFUNCTION("""COMPUTED_VALUE"""),56.45091081343713)</f>
        <v>56.45091081</v>
      </c>
      <c r="G110" s="38">
        <f>IFERROR(__xludf.DUMMYFUNCTION("""COMPUTED_VALUE"""),51.59007410530532)</f>
        <v>51.59007411</v>
      </c>
      <c r="H110" s="38">
        <f>IFERROR(__xludf.DUMMYFUNCTION("""COMPUTED_VALUE"""),54.020492459371226)</f>
        <v>54.02049246</v>
      </c>
      <c r="I110" s="14">
        <f>IFERROR(__xludf.DUMMYFUNCTION("""COMPUTED_VALUE"""),56.0)</f>
        <v>56</v>
      </c>
      <c r="J110" s="11">
        <f>IFERROR(__xludf.DUMMYFUNCTION("IFERROR(FILTER(Stats!$F:$Z,(Stats!$A:$A=$A110)*(Stats!$B:$B=$B110)))"),23.0)</f>
        <v>23</v>
      </c>
      <c r="K110" s="11">
        <f>IFERROR(__xludf.DUMMYFUNCTION("""COMPUTED_VALUE"""),33.0)</f>
        <v>33</v>
      </c>
      <c r="L110" s="12">
        <f>IFERROR(__xludf.DUMMYFUNCTION("""COMPUTED_VALUE"""),0.4107142857142857)</f>
        <v>0.4107142857</v>
      </c>
      <c r="M110" s="11">
        <f>IFERROR(__xludf.DUMMYFUNCTION("""COMPUTED_VALUE"""),8.0)</f>
        <v>8</v>
      </c>
      <c r="N110" s="11">
        <f>IFERROR(__xludf.DUMMYFUNCTION("""COMPUTED_VALUE"""),19075.0)</f>
        <v>19075</v>
      </c>
      <c r="O110" s="13">
        <f>IFERROR(__xludf.DUMMYFUNCTION("""COMPUTED_VALUE"""),42.0)</f>
        <v>42</v>
      </c>
      <c r="P110" s="14">
        <f>IFERROR(__xludf.DUMMYFUNCTION("""COMPUTED_VALUE"""),35.0)</f>
        <v>35</v>
      </c>
      <c r="Q110" s="13">
        <f>IFERROR(__xludf.DUMMYFUNCTION("""COMPUTED_VALUE"""),69.0)</f>
        <v>69</v>
      </c>
      <c r="R110" s="13">
        <f>IFERROR(__xludf.DUMMYFUNCTION("""COMPUTED_VALUE"""),129.0)</f>
        <v>129</v>
      </c>
      <c r="S110" s="15">
        <f>IFERROR(__xludf.DUMMYFUNCTION("""COMPUTED_VALUE"""),0.32558139534883723)</f>
        <v>0.3255813953</v>
      </c>
      <c r="T110" s="16">
        <f>IFERROR(__xludf.DUMMYFUNCTION("""COMPUTED_VALUE"""),340.625)</f>
        <v>340.625</v>
      </c>
      <c r="U110" s="16">
        <f>IFERROR(__xludf.DUMMYFUNCTION("""COMPUTED_VALUE"""),0.75)</f>
        <v>0.75</v>
      </c>
      <c r="V110" s="16">
        <f>IFERROR(__xludf.DUMMYFUNCTION("""COMPUTED_VALUE"""),0.625)</f>
        <v>0.625</v>
      </c>
      <c r="W110" s="16">
        <f>IFERROR(__xludf.DUMMYFUNCTION("""COMPUTED_VALUE"""),1.2321428571428572)</f>
        <v>1.232142857</v>
      </c>
      <c r="X110" s="16">
        <f>IFERROR(__xludf.DUMMYFUNCTION("""COMPUTED_VALUE"""),2.3035714285714284)</f>
        <v>2.303571429</v>
      </c>
      <c r="Y110" s="11">
        <f>IFERROR(__xludf.DUMMYFUNCTION("""COMPUTED_VALUE"""),11.0)</f>
        <v>11</v>
      </c>
      <c r="Z110" s="11">
        <f>IFERROR(__xludf.DUMMYFUNCTION("""COMPUTED_VALUE"""),3.0)</f>
        <v>3</v>
      </c>
      <c r="AA110" s="11">
        <f>IFERROR(__xludf.DUMMYFUNCTION("""COMPUTED_VALUE"""),0.0)</f>
        <v>0</v>
      </c>
      <c r="AB110" s="11">
        <f>IFERROR(__xludf.DUMMYFUNCTION("""COMPUTED_VALUE"""),7.0)</f>
        <v>7</v>
      </c>
      <c r="AC110" s="11">
        <f>IFERROR(__xludf.DUMMYFUNCTION("""COMPUTED_VALUE"""),35.0)</f>
        <v>35</v>
      </c>
      <c r="AD110" s="11">
        <f>IFERROR(__xludf.DUMMYFUNCTION("""COMPUTED_VALUE"""),51.0)</f>
        <v>51</v>
      </c>
    </row>
    <row r="111">
      <c r="A111" s="10" t="str">
        <f>IFERROR(__xludf.DUMMYFUNCTION("""COMPUTED_VALUE"""),"Challenger")</f>
        <v>Challenger</v>
      </c>
      <c r="B111" s="10" t="str">
        <f>IFERROR(__xludf.DUMMYFUNCTION("""COMPUTED_VALUE"""),"RSC008357")</f>
        <v>RSC008357</v>
      </c>
      <c r="C111" s="10" t="str">
        <f>IFERROR(__xludf.DUMMYFUNCTION("""COMPUTED_VALUE"""),"tiagosan _")</f>
        <v>tiagosan _</v>
      </c>
      <c r="D111" s="36" t="str">
        <f>IFERROR(__xludf.DUMMYFUNCTION("""COMPUTED_VALUE"""),"Shade")</f>
        <v>Shade</v>
      </c>
      <c r="E111" s="10" t="str">
        <f>IFERROR(__xludf.DUMMYFUNCTION("""COMPUTED_VALUE"""),"Lunar")</f>
        <v>Lunar</v>
      </c>
      <c r="F111" s="37">
        <f>IFERROR(__xludf.DUMMYFUNCTION("""COMPUTED_VALUE"""),51.66445786951456)</f>
        <v>51.66445787</v>
      </c>
      <c r="G111" s="38">
        <f>IFERROR(__xludf.DUMMYFUNCTION("""COMPUTED_VALUE"""),56.14825337138859)</f>
        <v>56.14825337</v>
      </c>
      <c r="H111" s="38">
        <f>IFERROR(__xludf.DUMMYFUNCTION("""COMPUTED_VALUE"""),53.90635562045158)</f>
        <v>53.90635562</v>
      </c>
      <c r="I111" s="14">
        <f>IFERROR(__xludf.DUMMYFUNCTION("""COMPUTED_VALUE"""),43.0)</f>
        <v>43</v>
      </c>
      <c r="J111" s="11">
        <f>IFERROR(__xludf.DUMMYFUNCTION("IFERROR(FILTER(Stats!$F:$Z,(Stats!$A:$A=$A111)*(Stats!$B:$B=$B111)))"),29.0)</f>
        <v>29</v>
      </c>
      <c r="K111" s="11">
        <f>IFERROR(__xludf.DUMMYFUNCTION("""COMPUTED_VALUE"""),14.0)</f>
        <v>14</v>
      </c>
      <c r="L111" s="12">
        <f>IFERROR(__xludf.DUMMYFUNCTION("""COMPUTED_VALUE"""),0.6744186046511628)</f>
        <v>0.6744186047</v>
      </c>
      <c r="M111" s="11">
        <f>IFERROR(__xludf.DUMMYFUNCTION("""COMPUTED_VALUE"""),6.0)</f>
        <v>6</v>
      </c>
      <c r="N111" s="11">
        <f>IFERROR(__xludf.DUMMYFUNCTION("""COMPUTED_VALUE"""),13370.0)</f>
        <v>13370</v>
      </c>
      <c r="O111" s="13">
        <f>IFERROR(__xludf.DUMMYFUNCTION("""COMPUTED_VALUE"""),32.0)</f>
        <v>32</v>
      </c>
      <c r="P111" s="14">
        <f>IFERROR(__xludf.DUMMYFUNCTION("""COMPUTED_VALUE"""),19.0)</f>
        <v>19</v>
      </c>
      <c r="Q111" s="13">
        <f>IFERROR(__xludf.DUMMYFUNCTION("""COMPUTED_VALUE"""),44.0)</f>
        <v>44</v>
      </c>
      <c r="R111" s="13">
        <f>IFERROR(__xludf.DUMMYFUNCTION("""COMPUTED_VALUE"""),115.0)</f>
        <v>115</v>
      </c>
      <c r="S111" s="15">
        <f>IFERROR(__xludf.DUMMYFUNCTION("""COMPUTED_VALUE"""),0.2782608695652174)</f>
        <v>0.2782608696</v>
      </c>
      <c r="T111" s="16">
        <f>IFERROR(__xludf.DUMMYFUNCTION("""COMPUTED_VALUE"""),310.93023255813955)</f>
        <v>310.9302326</v>
      </c>
      <c r="U111" s="16">
        <f>IFERROR(__xludf.DUMMYFUNCTION("""COMPUTED_VALUE"""),0.7441860465116279)</f>
        <v>0.7441860465</v>
      </c>
      <c r="V111" s="16">
        <f>IFERROR(__xludf.DUMMYFUNCTION("""COMPUTED_VALUE"""),0.4418604651162791)</f>
        <v>0.4418604651</v>
      </c>
      <c r="W111" s="16">
        <f>IFERROR(__xludf.DUMMYFUNCTION("""COMPUTED_VALUE"""),1.0232558139534884)</f>
        <v>1.023255814</v>
      </c>
      <c r="X111" s="16">
        <f>IFERROR(__xludf.DUMMYFUNCTION("""COMPUTED_VALUE"""),2.6744186046511627)</f>
        <v>2.674418605</v>
      </c>
      <c r="Y111" s="11">
        <f>IFERROR(__xludf.DUMMYFUNCTION("""COMPUTED_VALUE"""),6.0)</f>
        <v>6</v>
      </c>
      <c r="Z111" s="11">
        <f>IFERROR(__xludf.DUMMYFUNCTION("""COMPUTED_VALUE"""),2.0)</f>
        <v>2</v>
      </c>
      <c r="AA111" s="11">
        <f>IFERROR(__xludf.DUMMYFUNCTION("""COMPUTED_VALUE"""),1.0)</f>
        <v>1</v>
      </c>
      <c r="AB111" s="11">
        <f>IFERROR(__xludf.DUMMYFUNCTION("""COMPUTED_VALUE"""),2.0)</f>
        <v>2</v>
      </c>
      <c r="AC111" s="11">
        <f>IFERROR(__xludf.DUMMYFUNCTION("""COMPUTED_VALUE"""),30.0)</f>
        <v>30</v>
      </c>
      <c r="AD111" s="11">
        <f>IFERROR(__xludf.DUMMYFUNCTION("""COMPUTED_VALUE"""),37.0)</f>
        <v>37</v>
      </c>
    </row>
    <row r="112">
      <c r="A112" s="10" t="str">
        <f>IFERROR(__xludf.DUMMYFUNCTION("""COMPUTED_VALUE"""),"Challenger")</f>
        <v>Challenger</v>
      </c>
      <c r="B112" s="10" t="str">
        <f>IFERROR(__xludf.DUMMYFUNCTION("""COMPUTED_VALUE"""),"RSC004303")</f>
        <v>RSC004303</v>
      </c>
      <c r="C112" s="10" t="str">
        <f>IFERROR(__xludf.DUMMYFUNCTION("""COMPUTED_VALUE"""),"Shogun")</f>
        <v>Shogun</v>
      </c>
      <c r="D112" s="36" t="str">
        <f>IFERROR(__xludf.DUMMYFUNCTION("""COMPUTED_VALUE"""),"Happy B-day Jess")</f>
        <v>Happy B-day Jess</v>
      </c>
      <c r="E112" s="10" t="str">
        <f>IFERROR(__xludf.DUMMYFUNCTION("""COMPUTED_VALUE"""),"Lunar")</f>
        <v>Lunar</v>
      </c>
      <c r="F112" s="37">
        <f>IFERROR(__xludf.DUMMYFUNCTION("""COMPUTED_VALUE"""),49.64895587367024)</f>
        <v>49.64895587</v>
      </c>
      <c r="G112" s="38">
        <f>IFERROR(__xludf.DUMMYFUNCTION("""COMPUTED_VALUE"""),56.253009397848345)</f>
        <v>56.2530094</v>
      </c>
      <c r="H112" s="38">
        <f>IFERROR(__xludf.DUMMYFUNCTION("""COMPUTED_VALUE"""),52.95098263575929)</f>
        <v>52.95098264</v>
      </c>
      <c r="I112" s="14">
        <f>IFERROR(__xludf.DUMMYFUNCTION("""COMPUTED_VALUE"""),53.0)</f>
        <v>53</v>
      </c>
      <c r="J112" s="11">
        <f>IFERROR(__xludf.DUMMYFUNCTION("IFERROR(FILTER(Stats!$F:$Z,(Stats!$A:$A=$A112)*(Stats!$B:$B=$B112)))"),32.0)</f>
        <v>32</v>
      </c>
      <c r="K112" s="11">
        <f>IFERROR(__xludf.DUMMYFUNCTION("""COMPUTED_VALUE"""),21.0)</f>
        <v>21</v>
      </c>
      <c r="L112" s="12">
        <f>IFERROR(__xludf.DUMMYFUNCTION("""COMPUTED_VALUE"""),0.6037735849056604)</f>
        <v>0.6037735849</v>
      </c>
      <c r="M112" s="11">
        <f>IFERROR(__xludf.DUMMYFUNCTION("""COMPUTED_VALUE"""),4.0)</f>
        <v>4</v>
      </c>
      <c r="N112" s="11">
        <f>IFERROR(__xludf.DUMMYFUNCTION("""COMPUTED_VALUE"""),17460.0)</f>
        <v>17460</v>
      </c>
      <c r="O112" s="13">
        <f>IFERROR(__xludf.DUMMYFUNCTION("""COMPUTED_VALUE"""),48.0)</f>
        <v>48</v>
      </c>
      <c r="P112" s="14">
        <f>IFERROR(__xludf.DUMMYFUNCTION("""COMPUTED_VALUE"""),21.0)</f>
        <v>21</v>
      </c>
      <c r="Q112" s="13">
        <f>IFERROR(__xludf.DUMMYFUNCTION("""COMPUTED_VALUE"""),57.0)</f>
        <v>57</v>
      </c>
      <c r="R112" s="13">
        <f>IFERROR(__xludf.DUMMYFUNCTION("""COMPUTED_VALUE"""),150.0)</f>
        <v>150</v>
      </c>
      <c r="S112" s="15">
        <f>IFERROR(__xludf.DUMMYFUNCTION("""COMPUTED_VALUE"""),0.32)</f>
        <v>0.32</v>
      </c>
      <c r="T112" s="16">
        <f>IFERROR(__xludf.DUMMYFUNCTION("""COMPUTED_VALUE"""),329.4339622641509)</f>
        <v>329.4339623</v>
      </c>
      <c r="U112" s="16">
        <f>IFERROR(__xludf.DUMMYFUNCTION("""COMPUTED_VALUE"""),0.9056603773584906)</f>
        <v>0.9056603774</v>
      </c>
      <c r="V112" s="16">
        <f>IFERROR(__xludf.DUMMYFUNCTION("""COMPUTED_VALUE"""),0.39622641509433965)</f>
        <v>0.3962264151</v>
      </c>
      <c r="W112" s="16">
        <f>IFERROR(__xludf.DUMMYFUNCTION("""COMPUTED_VALUE"""),1.0754716981132075)</f>
        <v>1.075471698</v>
      </c>
      <c r="X112" s="16">
        <f>IFERROR(__xludf.DUMMYFUNCTION("""COMPUTED_VALUE"""),2.830188679245283)</f>
        <v>2.830188679</v>
      </c>
      <c r="Y112" s="11">
        <f>IFERROR(__xludf.DUMMYFUNCTION("""COMPUTED_VALUE"""),5.0)</f>
        <v>5</v>
      </c>
      <c r="Z112" s="11">
        <f>IFERROR(__xludf.DUMMYFUNCTION("""COMPUTED_VALUE"""),3.0)</f>
        <v>3</v>
      </c>
      <c r="AA112" s="11">
        <f>IFERROR(__xludf.DUMMYFUNCTION("""COMPUTED_VALUE"""),0.0)</f>
        <v>0</v>
      </c>
      <c r="AB112" s="11">
        <f>IFERROR(__xludf.DUMMYFUNCTION("""COMPUTED_VALUE"""),5.0)</f>
        <v>5</v>
      </c>
      <c r="AC112" s="11">
        <f>IFERROR(__xludf.DUMMYFUNCTION("""COMPUTED_VALUE"""),52.0)</f>
        <v>52</v>
      </c>
      <c r="AD112" s="11">
        <f>IFERROR(__xludf.DUMMYFUNCTION("""COMPUTED_VALUE"""),27.0)</f>
        <v>27</v>
      </c>
    </row>
    <row r="113">
      <c r="A113" s="10" t="str">
        <f>IFERROR(__xludf.DUMMYFUNCTION("""COMPUTED_VALUE"""),"Challenger")</f>
        <v>Challenger</v>
      </c>
      <c r="B113" s="10" t="str">
        <f>IFERROR(__xludf.DUMMYFUNCTION("""COMPUTED_VALUE"""),"RSC008540")</f>
        <v>RSC008540</v>
      </c>
      <c r="C113" s="10" t="str">
        <f>IFERROR(__xludf.DUMMYFUNCTION("""COMPUTED_VALUE"""),"GG K-9")</f>
        <v>GG K-9</v>
      </c>
      <c r="D113" s="36" t="str">
        <f>IFERROR(__xludf.DUMMYFUNCTION("""COMPUTED_VALUE"""),"Havarti Hustlers")</f>
        <v>Havarti Hustlers</v>
      </c>
      <c r="E113" s="10" t="str">
        <f>IFERROR(__xludf.DUMMYFUNCTION("""COMPUTED_VALUE"""),"Lunar")</f>
        <v>Lunar</v>
      </c>
      <c r="F113" s="37">
        <f>IFERROR(__xludf.DUMMYFUNCTION("""COMPUTED_VALUE"""),55.841024215372464)</f>
        <v>55.84102422</v>
      </c>
      <c r="G113" s="38">
        <f>IFERROR(__xludf.DUMMYFUNCTION("""COMPUTED_VALUE"""),49.48848895682039)</f>
        <v>49.48848896</v>
      </c>
      <c r="H113" s="38">
        <f>IFERROR(__xludf.DUMMYFUNCTION("""COMPUTED_VALUE"""),52.66475658609643)</f>
        <v>52.66475659</v>
      </c>
      <c r="I113" s="14">
        <f>IFERROR(__xludf.DUMMYFUNCTION("""COMPUTED_VALUE"""),16.0)</f>
        <v>16</v>
      </c>
      <c r="J113" s="11">
        <f>IFERROR(__xludf.DUMMYFUNCTION("IFERROR(FILTER(Stats!$F:$Z,(Stats!$A:$A=$A113)*(Stats!$B:$B=$B113)))"),3.0)</f>
        <v>3</v>
      </c>
      <c r="K113" s="11">
        <f>IFERROR(__xludf.DUMMYFUNCTION("""COMPUTED_VALUE"""),13.0)</f>
        <v>13</v>
      </c>
      <c r="L113" s="12">
        <f>IFERROR(__xludf.DUMMYFUNCTION("""COMPUTED_VALUE"""),0.1875)</f>
        <v>0.1875</v>
      </c>
      <c r="M113" s="11">
        <f>IFERROR(__xludf.DUMMYFUNCTION("""COMPUTED_VALUE"""),1.0)</f>
        <v>1</v>
      </c>
      <c r="N113" s="11">
        <f>IFERROR(__xludf.DUMMYFUNCTION("""COMPUTED_VALUE"""),5574.0)</f>
        <v>5574</v>
      </c>
      <c r="O113" s="13">
        <f>IFERROR(__xludf.DUMMYFUNCTION("""COMPUTED_VALUE"""),15.0)</f>
        <v>15</v>
      </c>
      <c r="P113" s="14">
        <f>IFERROR(__xludf.DUMMYFUNCTION("""COMPUTED_VALUE"""),6.0)</f>
        <v>6</v>
      </c>
      <c r="Q113" s="13">
        <f>IFERROR(__xludf.DUMMYFUNCTION("""COMPUTED_VALUE"""),17.0)</f>
        <v>17</v>
      </c>
      <c r="R113" s="13">
        <f>IFERROR(__xludf.DUMMYFUNCTION("""COMPUTED_VALUE"""),48.0)</f>
        <v>48</v>
      </c>
      <c r="S113" s="15">
        <f>IFERROR(__xludf.DUMMYFUNCTION("""COMPUTED_VALUE"""),0.3125)</f>
        <v>0.3125</v>
      </c>
      <c r="T113" s="16">
        <f>IFERROR(__xludf.DUMMYFUNCTION("""COMPUTED_VALUE"""),348.375)</f>
        <v>348.375</v>
      </c>
      <c r="U113" s="16">
        <f>IFERROR(__xludf.DUMMYFUNCTION("""COMPUTED_VALUE"""),0.9375)</f>
        <v>0.9375</v>
      </c>
      <c r="V113" s="16">
        <f>IFERROR(__xludf.DUMMYFUNCTION("""COMPUTED_VALUE"""),0.375)</f>
        <v>0.375</v>
      </c>
      <c r="W113" s="16">
        <f>IFERROR(__xludf.DUMMYFUNCTION("""COMPUTED_VALUE"""),1.0625)</f>
        <v>1.0625</v>
      </c>
      <c r="X113" s="16">
        <f>IFERROR(__xludf.DUMMYFUNCTION("""COMPUTED_VALUE"""),3.0)</f>
        <v>3</v>
      </c>
      <c r="Y113" s="11">
        <f>IFERROR(__xludf.DUMMYFUNCTION("""COMPUTED_VALUE"""),2.0)</f>
        <v>2</v>
      </c>
      <c r="Z113" s="11">
        <f>IFERROR(__xludf.DUMMYFUNCTION("""COMPUTED_VALUE"""),1.0)</f>
        <v>1</v>
      </c>
      <c r="AA113" s="11">
        <f>IFERROR(__xludf.DUMMYFUNCTION("""COMPUTED_VALUE"""),0.0)</f>
        <v>0</v>
      </c>
      <c r="AB113" s="11">
        <f>IFERROR(__xludf.DUMMYFUNCTION("""COMPUTED_VALUE"""),0.0)</f>
        <v>0</v>
      </c>
      <c r="AC113" s="11">
        <f>IFERROR(__xludf.DUMMYFUNCTION("""COMPUTED_VALUE"""),18.0)</f>
        <v>18</v>
      </c>
      <c r="AD113" s="11">
        <f>IFERROR(__xludf.DUMMYFUNCTION("""COMPUTED_VALUE"""),11.0)</f>
        <v>11</v>
      </c>
    </row>
    <row r="114">
      <c r="A114" s="10" t="str">
        <f>IFERROR(__xludf.DUMMYFUNCTION("""COMPUTED_VALUE"""),"Challenger")</f>
        <v>Challenger</v>
      </c>
      <c r="B114" s="10" t="str">
        <f>IFERROR(__xludf.DUMMYFUNCTION("""COMPUTED_VALUE"""),"RSC003498")</f>
        <v>RSC003498</v>
      </c>
      <c r="C114" s="10" t="str">
        <f>IFERROR(__xludf.DUMMYFUNCTION("""COMPUTED_VALUE"""),"Merioch")</f>
        <v>Merioch</v>
      </c>
      <c r="D114" s="36" t="str">
        <f>IFERROR(__xludf.DUMMYFUNCTION("""COMPUTED_VALUE"""),"Insider Traders")</f>
        <v>Insider Traders</v>
      </c>
      <c r="E114" s="10" t="str">
        <f>IFERROR(__xludf.DUMMYFUNCTION("""COMPUTED_VALUE"""),"Lunar")</f>
        <v>Lunar</v>
      </c>
      <c r="F114" s="37">
        <f>IFERROR(__xludf.DUMMYFUNCTION("""COMPUTED_VALUE"""),53.538388729911325)</f>
        <v>53.53838873</v>
      </c>
      <c r="G114" s="38">
        <f>IFERROR(__xludf.DUMMYFUNCTION("""COMPUTED_VALUE"""),51.69944223483955)</f>
        <v>51.69944223</v>
      </c>
      <c r="H114" s="38">
        <f>IFERROR(__xludf.DUMMYFUNCTION("""COMPUTED_VALUE"""),52.61891548237544)</f>
        <v>52.61891548</v>
      </c>
      <c r="I114" s="14">
        <f>IFERROR(__xludf.DUMMYFUNCTION("""COMPUTED_VALUE"""),55.0)</f>
        <v>55</v>
      </c>
      <c r="J114" s="11">
        <f>IFERROR(__xludf.DUMMYFUNCTION("IFERROR(FILTER(Stats!$F:$Z,(Stats!$A:$A=$A114)*(Stats!$B:$B=$B114)))"),31.0)</f>
        <v>31</v>
      </c>
      <c r="K114" s="11">
        <f>IFERROR(__xludf.DUMMYFUNCTION("""COMPUTED_VALUE"""),24.0)</f>
        <v>24</v>
      </c>
      <c r="L114" s="12">
        <f>IFERROR(__xludf.DUMMYFUNCTION("""COMPUTED_VALUE"""),0.5636363636363636)</f>
        <v>0.5636363636</v>
      </c>
      <c r="M114" s="11">
        <f>IFERROR(__xludf.DUMMYFUNCTION("""COMPUTED_VALUE"""),8.0)</f>
        <v>8</v>
      </c>
      <c r="N114" s="11">
        <f>IFERROR(__xludf.DUMMYFUNCTION("""COMPUTED_VALUE"""),18278.0)</f>
        <v>18278</v>
      </c>
      <c r="O114" s="13">
        <f>IFERROR(__xludf.DUMMYFUNCTION("""COMPUTED_VALUE"""),34.0)</f>
        <v>34</v>
      </c>
      <c r="P114" s="14">
        <f>IFERROR(__xludf.DUMMYFUNCTION("""COMPUTED_VALUE"""),31.0)</f>
        <v>31</v>
      </c>
      <c r="Q114" s="13">
        <f>IFERROR(__xludf.DUMMYFUNCTION("""COMPUTED_VALUE"""),82.0)</f>
        <v>82</v>
      </c>
      <c r="R114" s="13">
        <f>IFERROR(__xludf.DUMMYFUNCTION("""COMPUTED_VALUE"""),121.0)</f>
        <v>121</v>
      </c>
      <c r="S114" s="15">
        <f>IFERROR(__xludf.DUMMYFUNCTION("""COMPUTED_VALUE"""),0.2809917355371901)</f>
        <v>0.2809917355</v>
      </c>
      <c r="T114" s="16">
        <f>IFERROR(__xludf.DUMMYFUNCTION("""COMPUTED_VALUE"""),332.3272727272727)</f>
        <v>332.3272727</v>
      </c>
      <c r="U114" s="16">
        <f>IFERROR(__xludf.DUMMYFUNCTION("""COMPUTED_VALUE"""),0.6181818181818182)</f>
        <v>0.6181818182</v>
      </c>
      <c r="V114" s="16">
        <f>IFERROR(__xludf.DUMMYFUNCTION("""COMPUTED_VALUE"""),0.5636363636363636)</f>
        <v>0.5636363636</v>
      </c>
      <c r="W114" s="16">
        <f>IFERROR(__xludf.DUMMYFUNCTION("""COMPUTED_VALUE"""),1.490909090909091)</f>
        <v>1.490909091</v>
      </c>
      <c r="X114" s="16">
        <f>IFERROR(__xludf.DUMMYFUNCTION("""COMPUTED_VALUE"""),2.2)</f>
        <v>2.2</v>
      </c>
      <c r="Y114" s="11">
        <f>IFERROR(__xludf.DUMMYFUNCTION("""COMPUTED_VALUE"""),8.0)</f>
        <v>8</v>
      </c>
      <c r="Z114" s="11">
        <f>IFERROR(__xludf.DUMMYFUNCTION("""COMPUTED_VALUE"""),1.0)</f>
        <v>1</v>
      </c>
      <c r="AA114" s="11">
        <f>IFERROR(__xludf.DUMMYFUNCTION("""COMPUTED_VALUE"""),1.0)</f>
        <v>1</v>
      </c>
      <c r="AB114" s="11">
        <f>IFERROR(__xludf.DUMMYFUNCTION("""COMPUTED_VALUE"""),8.0)</f>
        <v>8</v>
      </c>
      <c r="AC114" s="11">
        <f>IFERROR(__xludf.DUMMYFUNCTION("""COMPUTED_VALUE"""),57.0)</f>
        <v>57</v>
      </c>
      <c r="AD114" s="11">
        <f>IFERROR(__xludf.DUMMYFUNCTION("""COMPUTED_VALUE"""),49.0)</f>
        <v>49</v>
      </c>
    </row>
    <row r="115">
      <c r="A115" s="10" t="str">
        <f>IFERROR(__xludf.DUMMYFUNCTION("""COMPUTED_VALUE"""),"Challenger")</f>
        <v>Challenger</v>
      </c>
      <c r="B115" s="10" t="str">
        <f>IFERROR(__xludf.DUMMYFUNCTION("""COMPUTED_VALUE"""),"RSC006659")</f>
        <v>RSC006659</v>
      </c>
      <c r="C115" s="10" t="str">
        <f>IFERROR(__xludf.DUMMYFUNCTION("""COMPUTED_VALUE"""),"ImZalama")</f>
        <v>ImZalama</v>
      </c>
      <c r="D115" s="36" t="str">
        <f>IFERROR(__xludf.DUMMYFUNCTION("""COMPUTED_VALUE"""),"Metal")</f>
        <v>Metal</v>
      </c>
      <c r="E115" s="10" t="str">
        <f>IFERROR(__xludf.DUMMYFUNCTION("""COMPUTED_VALUE"""),"Solar")</f>
        <v>Solar</v>
      </c>
      <c r="F115" s="37">
        <f>IFERROR(__xludf.DUMMYFUNCTION("""COMPUTED_VALUE"""),50.75439590904944)</f>
        <v>50.75439591</v>
      </c>
      <c r="G115" s="38">
        <f>IFERROR(__xludf.DUMMYFUNCTION("""COMPUTED_VALUE"""),53.66601435055965)</f>
        <v>53.66601435</v>
      </c>
      <c r="H115" s="38">
        <f>IFERROR(__xludf.DUMMYFUNCTION("""COMPUTED_VALUE"""),52.21020512980455)</f>
        <v>52.21020513</v>
      </c>
      <c r="I115" s="14">
        <f>IFERROR(__xludf.DUMMYFUNCTION("""COMPUTED_VALUE"""),50.0)</f>
        <v>50</v>
      </c>
      <c r="J115" s="11">
        <f>IFERROR(__xludf.DUMMYFUNCTION("IFERROR(FILTER(Stats!$F:$Z,(Stats!$A:$A=$A115)*(Stats!$B:$B=$B115)))"),24.0)</f>
        <v>24</v>
      </c>
      <c r="K115" s="11">
        <f>IFERROR(__xludf.DUMMYFUNCTION("""COMPUTED_VALUE"""),26.0)</f>
        <v>26</v>
      </c>
      <c r="L115" s="12">
        <f>IFERROR(__xludf.DUMMYFUNCTION("""COMPUTED_VALUE"""),0.48)</f>
        <v>0.48</v>
      </c>
      <c r="M115" s="11">
        <f>IFERROR(__xludf.DUMMYFUNCTION("""COMPUTED_VALUE"""),7.0)</f>
        <v>7</v>
      </c>
      <c r="N115" s="11">
        <f>IFERROR(__xludf.DUMMYFUNCTION("""COMPUTED_VALUE"""),16397.0)</f>
        <v>16397</v>
      </c>
      <c r="O115" s="13">
        <f>IFERROR(__xludf.DUMMYFUNCTION("""COMPUTED_VALUE"""),42.0)</f>
        <v>42</v>
      </c>
      <c r="P115" s="14">
        <f>IFERROR(__xludf.DUMMYFUNCTION("""COMPUTED_VALUE"""),23.0)</f>
        <v>23</v>
      </c>
      <c r="Q115" s="13">
        <f>IFERROR(__xludf.DUMMYFUNCTION("""COMPUTED_VALUE"""),58.0)</f>
        <v>58</v>
      </c>
      <c r="R115" s="13">
        <f>IFERROR(__xludf.DUMMYFUNCTION("""COMPUTED_VALUE"""),136.0)</f>
        <v>136</v>
      </c>
      <c r="S115" s="15">
        <f>IFERROR(__xludf.DUMMYFUNCTION("""COMPUTED_VALUE"""),0.3088235294117647)</f>
        <v>0.3088235294</v>
      </c>
      <c r="T115" s="16">
        <f>IFERROR(__xludf.DUMMYFUNCTION("""COMPUTED_VALUE"""),327.94)</f>
        <v>327.94</v>
      </c>
      <c r="U115" s="16">
        <f>IFERROR(__xludf.DUMMYFUNCTION("""COMPUTED_VALUE"""),0.84)</f>
        <v>0.84</v>
      </c>
      <c r="V115" s="16">
        <f>IFERROR(__xludf.DUMMYFUNCTION("""COMPUTED_VALUE"""),0.46)</f>
        <v>0.46</v>
      </c>
      <c r="W115" s="16">
        <f>IFERROR(__xludf.DUMMYFUNCTION("""COMPUTED_VALUE"""),1.16)</f>
        <v>1.16</v>
      </c>
      <c r="X115" s="16">
        <f>IFERROR(__xludf.DUMMYFUNCTION("""COMPUTED_VALUE"""),2.72)</f>
        <v>2.72</v>
      </c>
      <c r="Y115" s="11">
        <f>IFERROR(__xludf.DUMMYFUNCTION("""COMPUTED_VALUE"""),7.0)</f>
        <v>7</v>
      </c>
      <c r="Z115" s="11">
        <f>IFERROR(__xludf.DUMMYFUNCTION("""COMPUTED_VALUE"""),3.0)</f>
        <v>3</v>
      </c>
      <c r="AA115" s="11">
        <f>IFERROR(__xludf.DUMMYFUNCTION("""COMPUTED_VALUE"""),1.0)</f>
        <v>1</v>
      </c>
      <c r="AB115" s="11">
        <f>IFERROR(__xludf.DUMMYFUNCTION("""COMPUTED_VALUE"""),5.0)</f>
        <v>5</v>
      </c>
      <c r="AC115" s="11">
        <f>IFERROR(__xludf.DUMMYFUNCTION("""COMPUTED_VALUE"""),44.0)</f>
        <v>44</v>
      </c>
      <c r="AD115" s="11">
        <f>IFERROR(__xludf.DUMMYFUNCTION("""COMPUTED_VALUE"""),42.0)</f>
        <v>42</v>
      </c>
    </row>
    <row r="116">
      <c r="A116" s="10" t="str">
        <f>IFERROR(__xludf.DUMMYFUNCTION("""COMPUTED_VALUE"""),"Challenger")</f>
        <v>Challenger</v>
      </c>
      <c r="B116" s="10" t="str">
        <f>IFERROR(__xludf.DUMMYFUNCTION("""COMPUTED_VALUE"""),"RSC008335")</f>
        <v>RSC008335</v>
      </c>
      <c r="C116" s="10" t="str">
        <f>IFERROR(__xludf.DUMMYFUNCTION("""COMPUTED_VALUE"""),"DLG_ToxicRatTrap")</f>
        <v>DLG_ToxicRatTrap</v>
      </c>
      <c r="D116" s="36" t="str">
        <f>IFERROR(__xludf.DUMMYFUNCTION("""COMPUTED_VALUE"""),"Glaciers")</f>
        <v>Glaciers</v>
      </c>
      <c r="E116" s="10" t="str">
        <f>IFERROR(__xludf.DUMMYFUNCTION("""COMPUTED_VALUE"""),"Solar")</f>
        <v>Solar</v>
      </c>
      <c r="F116" s="37">
        <f>IFERROR(__xludf.DUMMYFUNCTION("""COMPUTED_VALUE"""),50.66807912090937)</f>
        <v>50.66807912</v>
      </c>
      <c r="G116" s="38">
        <f>IFERROR(__xludf.DUMMYFUNCTION("""COMPUTED_VALUE"""),53.34272673930913)</f>
        <v>53.34272674</v>
      </c>
      <c r="H116" s="38">
        <f>IFERROR(__xludf.DUMMYFUNCTION("""COMPUTED_VALUE"""),52.00540293010925)</f>
        <v>52.00540293</v>
      </c>
      <c r="I116" s="14">
        <f>IFERROR(__xludf.DUMMYFUNCTION("""COMPUTED_VALUE"""),41.0)</f>
        <v>41</v>
      </c>
      <c r="J116" s="11">
        <f>IFERROR(__xludf.DUMMYFUNCTION("IFERROR(FILTER(Stats!$F:$Z,(Stats!$A:$A=$A116)*(Stats!$B:$B=$B116)))"),22.0)</f>
        <v>22</v>
      </c>
      <c r="K116" s="11">
        <f>IFERROR(__xludf.DUMMYFUNCTION("""COMPUTED_VALUE"""),19.0)</f>
        <v>19</v>
      </c>
      <c r="L116" s="12">
        <f>IFERROR(__xludf.DUMMYFUNCTION("""COMPUTED_VALUE"""),0.5365853658536586)</f>
        <v>0.5365853659</v>
      </c>
      <c r="M116" s="11">
        <f>IFERROR(__xludf.DUMMYFUNCTION("""COMPUTED_VALUE"""),4.0)</f>
        <v>4</v>
      </c>
      <c r="N116" s="11">
        <f>IFERROR(__xludf.DUMMYFUNCTION("""COMPUTED_VALUE"""),12672.0)</f>
        <v>12672</v>
      </c>
      <c r="O116" s="13">
        <f>IFERROR(__xludf.DUMMYFUNCTION("""COMPUTED_VALUE"""),19.0)</f>
        <v>19</v>
      </c>
      <c r="P116" s="14">
        <f>IFERROR(__xludf.DUMMYFUNCTION("""COMPUTED_VALUE"""),30.0)</f>
        <v>30</v>
      </c>
      <c r="Q116" s="13">
        <f>IFERROR(__xludf.DUMMYFUNCTION("""COMPUTED_VALUE"""),35.0)</f>
        <v>35</v>
      </c>
      <c r="R116" s="13">
        <f>IFERROR(__xludf.DUMMYFUNCTION("""COMPUTED_VALUE"""),98.0)</f>
        <v>98</v>
      </c>
      <c r="S116" s="15">
        <f>IFERROR(__xludf.DUMMYFUNCTION("""COMPUTED_VALUE"""),0.19387755102040816)</f>
        <v>0.193877551</v>
      </c>
      <c r="T116" s="16">
        <f>IFERROR(__xludf.DUMMYFUNCTION("""COMPUTED_VALUE"""),309.0731707317073)</f>
        <v>309.0731707</v>
      </c>
      <c r="U116" s="16">
        <f>IFERROR(__xludf.DUMMYFUNCTION("""COMPUTED_VALUE"""),0.4634146341463415)</f>
        <v>0.4634146341</v>
      </c>
      <c r="V116" s="16">
        <f>IFERROR(__xludf.DUMMYFUNCTION("""COMPUTED_VALUE"""),0.7317073170731707)</f>
        <v>0.7317073171</v>
      </c>
      <c r="W116" s="16">
        <f>IFERROR(__xludf.DUMMYFUNCTION("""COMPUTED_VALUE"""),0.8536585365853658)</f>
        <v>0.8536585366</v>
      </c>
      <c r="X116" s="16">
        <f>IFERROR(__xludf.DUMMYFUNCTION("""COMPUTED_VALUE"""),2.3902439024390243)</f>
        <v>2.390243902</v>
      </c>
      <c r="Y116" s="11">
        <f>IFERROR(__xludf.DUMMYFUNCTION("""COMPUTED_VALUE"""),4.0)</f>
        <v>4</v>
      </c>
      <c r="Z116" s="11">
        <f>IFERROR(__xludf.DUMMYFUNCTION("""COMPUTED_VALUE"""),0.0)</f>
        <v>0</v>
      </c>
      <c r="AA116" s="11">
        <f>IFERROR(__xludf.DUMMYFUNCTION("""COMPUTED_VALUE"""),1.0)</f>
        <v>1</v>
      </c>
      <c r="AB116" s="11">
        <f>IFERROR(__xludf.DUMMYFUNCTION("""COMPUTED_VALUE"""),2.0)</f>
        <v>2</v>
      </c>
      <c r="AC116" s="11">
        <f>IFERROR(__xludf.DUMMYFUNCTION("""COMPUTED_VALUE"""),24.0)</f>
        <v>24</v>
      </c>
      <c r="AD116" s="11">
        <f>IFERROR(__xludf.DUMMYFUNCTION("""COMPUTED_VALUE"""),42.0)</f>
        <v>42</v>
      </c>
    </row>
    <row r="117">
      <c r="A117" s="10" t="str">
        <f>IFERROR(__xludf.DUMMYFUNCTION("""COMPUTED_VALUE"""),"Challenger")</f>
        <v>Challenger</v>
      </c>
      <c r="B117" s="10" t="str">
        <f>IFERROR(__xludf.DUMMYFUNCTION("""COMPUTED_VALUE"""),"RSC008121")</f>
        <v>RSC008121</v>
      </c>
      <c r="C117" s="10" t="str">
        <f>IFERROR(__xludf.DUMMYFUNCTION("""COMPUTED_VALUE"""),"FlyDRCar")</f>
        <v>FlyDRCar</v>
      </c>
      <c r="D117" s="36" t="str">
        <f>IFERROR(__xludf.DUMMYFUNCTION("""COMPUTED_VALUE"""),"Jinyiwei
Meat Lovers
Warbirds
Corals")</f>
        <v>Jinyiwei
Meat Lovers
Warbirds
Corals</v>
      </c>
      <c r="E117" s="10" t="str">
        <f>IFERROR(__xludf.DUMMYFUNCTION("""COMPUTED_VALUE"""),"Lunar
Lunar
Lunar
Lunar")</f>
        <v>Lunar
Lunar
Lunar
Lunar</v>
      </c>
      <c r="F117" s="37">
        <f>IFERROR(__xludf.DUMMYFUNCTION("""COMPUTED_VALUE"""),48.78795931767366)</f>
        <v>48.78795932</v>
      </c>
      <c r="G117" s="38">
        <f>IFERROR(__xludf.DUMMYFUNCTION("""COMPUTED_VALUE"""),54.65457858711305)</f>
        <v>54.65457859</v>
      </c>
      <c r="H117" s="38">
        <f>IFERROR(__xludf.DUMMYFUNCTION("""COMPUTED_VALUE"""),51.72126895239336)</f>
        <v>51.72126895</v>
      </c>
      <c r="I117" s="14">
        <f>IFERROR(__xludf.DUMMYFUNCTION("""COMPUTED_VALUE"""),30.0)</f>
        <v>30</v>
      </c>
      <c r="J117" s="11">
        <f>IFERROR(__xludf.DUMMYFUNCTION("IFERROR(FILTER(Stats!$F:$Z,(Stats!$A:$A=$A117)*(Stats!$B:$B=$B117)))"),14.0)</f>
        <v>14</v>
      </c>
      <c r="K117" s="11">
        <f>IFERROR(__xludf.DUMMYFUNCTION("""COMPUTED_VALUE"""),16.0)</f>
        <v>16</v>
      </c>
      <c r="L117" s="12">
        <f>IFERROR(__xludf.DUMMYFUNCTION("""COMPUTED_VALUE"""),0.4666666666666667)</f>
        <v>0.4666666667</v>
      </c>
      <c r="M117" s="11">
        <f>IFERROR(__xludf.DUMMYFUNCTION("""COMPUTED_VALUE"""),8.0)</f>
        <v>8</v>
      </c>
      <c r="N117" s="11">
        <f>IFERROR(__xludf.DUMMYFUNCTION("""COMPUTED_VALUE"""),10240.0)</f>
        <v>10240</v>
      </c>
      <c r="O117" s="13">
        <f>IFERROR(__xludf.DUMMYFUNCTION("""COMPUTED_VALUE"""),29.0)</f>
        <v>29</v>
      </c>
      <c r="P117" s="14">
        <f>IFERROR(__xludf.DUMMYFUNCTION("""COMPUTED_VALUE"""),12.0)</f>
        <v>12</v>
      </c>
      <c r="Q117" s="13">
        <f>IFERROR(__xludf.DUMMYFUNCTION("""COMPUTED_VALUE"""),29.0)</f>
        <v>29</v>
      </c>
      <c r="R117" s="13">
        <f>IFERROR(__xludf.DUMMYFUNCTION("""COMPUTED_VALUE"""),81.0)</f>
        <v>81</v>
      </c>
      <c r="S117" s="15">
        <f>IFERROR(__xludf.DUMMYFUNCTION("""COMPUTED_VALUE"""),0.35802469135802467)</f>
        <v>0.3580246914</v>
      </c>
      <c r="T117" s="16">
        <f>IFERROR(__xludf.DUMMYFUNCTION("""COMPUTED_VALUE"""),341.3333333333333)</f>
        <v>341.3333333</v>
      </c>
      <c r="U117" s="16">
        <f>IFERROR(__xludf.DUMMYFUNCTION("""COMPUTED_VALUE"""),0.9666666666666667)</f>
        <v>0.9666666667</v>
      </c>
      <c r="V117" s="16">
        <f>IFERROR(__xludf.DUMMYFUNCTION("""COMPUTED_VALUE"""),0.4)</f>
        <v>0.4</v>
      </c>
      <c r="W117" s="16">
        <f>IFERROR(__xludf.DUMMYFUNCTION("""COMPUTED_VALUE"""),0.9666666666666667)</f>
        <v>0.9666666667</v>
      </c>
      <c r="X117" s="16">
        <f>IFERROR(__xludf.DUMMYFUNCTION("""COMPUTED_VALUE"""),2.7)</f>
        <v>2.7</v>
      </c>
      <c r="Y117" s="11">
        <f>IFERROR(__xludf.DUMMYFUNCTION("""COMPUTED_VALUE"""),3.0)</f>
        <v>3</v>
      </c>
      <c r="Z117" s="11">
        <f>IFERROR(__xludf.DUMMYFUNCTION("""COMPUTED_VALUE"""),5.0)</f>
        <v>5</v>
      </c>
      <c r="AA117" s="11">
        <f>IFERROR(__xludf.DUMMYFUNCTION("""COMPUTED_VALUE"""),0.0)</f>
        <v>0</v>
      </c>
      <c r="AB117" s="11">
        <f>IFERROR(__xludf.DUMMYFUNCTION("""COMPUTED_VALUE"""),1.0)</f>
        <v>1</v>
      </c>
      <c r="AC117" s="11">
        <f>IFERROR(__xludf.DUMMYFUNCTION("""COMPUTED_VALUE"""),35.0)</f>
        <v>35</v>
      </c>
      <c r="AD117" s="11">
        <f>IFERROR(__xludf.DUMMYFUNCTION("""COMPUTED_VALUE"""),30.0)</f>
        <v>30</v>
      </c>
    </row>
    <row r="118">
      <c r="A118" s="10" t="str">
        <f>IFERROR(__xludf.DUMMYFUNCTION("""COMPUTED_VALUE"""),"Challenger")</f>
        <v>Challenger</v>
      </c>
      <c r="B118" s="10" t="str">
        <f>IFERROR(__xludf.DUMMYFUNCTION("""COMPUTED_VALUE"""),"RSC006495")</f>
        <v>RSC006495</v>
      </c>
      <c r="C118" s="10" t="str">
        <f>IFERROR(__xludf.DUMMYFUNCTION("""COMPUTED_VALUE"""),"Hype.56")</f>
        <v>Hype.56</v>
      </c>
      <c r="D118" s="36" t="str">
        <f>IFERROR(__xludf.DUMMYFUNCTION("""COMPUTED_VALUE"""),"Blitzars
Gold Hoarders")</f>
        <v>Blitzars
Gold Hoarders</v>
      </c>
      <c r="E118" s="10" t="str">
        <f>IFERROR(__xludf.DUMMYFUNCTION("""COMPUTED_VALUE"""),"Lunar
Lunar")</f>
        <v>Lunar
Lunar</v>
      </c>
      <c r="F118" s="37">
        <f>IFERROR(__xludf.DUMMYFUNCTION("""COMPUTED_VALUE"""),55.72520878107913)</f>
        <v>55.72520878</v>
      </c>
      <c r="G118" s="38">
        <f>IFERROR(__xludf.DUMMYFUNCTION("""COMPUTED_VALUE"""),47.51783654549505)</f>
        <v>47.51783655</v>
      </c>
      <c r="H118" s="38">
        <f>IFERROR(__xludf.DUMMYFUNCTION("""COMPUTED_VALUE"""),51.621522663287095)</f>
        <v>51.62152266</v>
      </c>
      <c r="I118" s="14">
        <f>IFERROR(__xludf.DUMMYFUNCTION("""COMPUTED_VALUE"""),38.0)</f>
        <v>38</v>
      </c>
      <c r="J118" s="11">
        <f>IFERROR(__xludf.DUMMYFUNCTION("IFERROR(FILTER(Stats!$F:$Z,(Stats!$A:$A=$A118)*(Stats!$B:$B=$B118)))"),11.0)</f>
        <v>11</v>
      </c>
      <c r="K118" s="11">
        <f>IFERROR(__xludf.DUMMYFUNCTION("""COMPUTED_VALUE"""),27.0)</f>
        <v>27</v>
      </c>
      <c r="L118" s="12">
        <f>IFERROR(__xludf.DUMMYFUNCTION("""COMPUTED_VALUE"""),0.2894736842105263)</f>
        <v>0.2894736842</v>
      </c>
      <c r="M118" s="11">
        <f>IFERROR(__xludf.DUMMYFUNCTION("""COMPUTED_VALUE"""),4.0)</f>
        <v>4</v>
      </c>
      <c r="N118" s="11">
        <f>IFERROR(__xludf.DUMMYFUNCTION("""COMPUTED_VALUE"""),12976.0)</f>
        <v>12976</v>
      </c>
      <c r="O118" s="13">
        <f>IFERROR(__xludf.DUMMYFUNCTION("""COMPUTED_VALUE"""),25.0)</f>
        <v>25</v>
      </c>
      <c r="P118" s="14">
        <f>IFERROR(__xludf.DUMMYFUNCTION("""COMPUTED_VALUE"""),17.0)</f>
        <v>17</v>
      </c>
      <c r="Q118" s="13">
        <f>IFERROR(__xludf.DUMMYFUNCTION("""COMPUTED_VALUE"""),55.0)</f>
        <v>55</v>
      </c>
      <c r="R118" s="13">
        <f>IFERROR(__xludf.DUMMYFUNCTION("""COMPUTED_VALUE"""),95.0)</f>
        <v>95</v>
      </c>
      <c r="S118" s="15">
        <f>IFERROR(__xludf.DUMMYFUNCTION("""COMPUTED_VALUE"""),0.2631578947368421)</f>
        <v>0.2631578947</v>
      </c>
      <c r="T118" s="16">
        <f>IFERROR(__xludf.DUMMYFUNCTION("""COMPUTED_VALUE"""),341.4736842105263)</f>
        <v>341.4736842</v>
      </c>
      <c r="U118" s="16">
        <f>IFERROR(__xludf.DUMMYFUNCTION("""COMPUTED_VALUE"""),0.6578947368421053)</f>
        <v>0.6578947368</v>
      </c>
      <c r="V118" s="16">
        <f>IFERROR(__xludf.DUMMYFUNCTION("""COMPUTED_VALUE"""),0.4473684210526316)</f>
        <v>0.4473684211</v>
      </c>
      <c r="W118" s="16">
        <f>IFERROR(__xludf.DUMMYFUNCTION("""COMPUTED_VALUE"""),1.4473684210526316)</f>
        <v>1.447368421</v>
      </c>
      <c r="X118" s="16">
        <f>IFERROR(__xludf.DUMMYFUNCTION("""COMPUTED_VALUE"""),2.5)</f>
        <v>2.5</v>
      </c>
      <c r="Y118" s="11">
        <f>IFERROR(__xludf.DUMMYFUNCTION("""COMPUTED_VALUE"""),5.0)</f>
        <v>5</v>
      </c>
      <c r="Z118" s="11">
        <f>IFERROR(__xludf.DUMMYFUNCTION("""COMPUTED_VALUE"""),1.0)</f>
        <v>1</v>
      </c>
      <c r="AA118" s="11">
        <f>IFERROR(__xludf.DUMMYFUNCTION("""COMPUTED_VALUE"""),1.0)</f>
        <v>1</v>
      </c>
      <c r="AB118" s="11">
        <f>IFERROR(__xludf.DUMMYFUNCTION("""COMPUTED_VALUE"""),7.0)</f>
        <v>7</v>
      </c>
      <c r="AC118" s="11">
        <f>IFERROR(__xludf.DUMMYFUNCTION("""COMPUTED_VALUE"""),45.0)</f>
        <v>45</v>
      </c>
      <c r="AD118" s="11">
        <f>IFERROR(__xludf.DUMMYFUNCTION("""COMPUTED_VALUE"""),37.0)</f>
        <v>37</v>
      </c>
    </row>
    <row r="119">
      <c r="A119" s="10" t="str">
        <f>IFERROR(__xludf.DUMMYFUNCTION("""COMPUTED_VALUE"""),"Challenger")</f>
        <v>Challenger</v>
      </c>
      <c r="B119" s="10" t="str">
        <f>IFERROR(__xludf.DUMMYFUNCTION("""COMPUTED_VALUE"""),"RSC008195")</f>
        <v>RSC008195</v>
      </c>
      <c r="C119" s="10" t="str">
        <f>IFERROR(__xludf.DUMMYFUNCTION("""COMPUTED_VALUE"""),"Preaux.")</f>
        <v>Preaux.</v>
      </c>
      <c r="D119" s="36" t="str">
        <f>IFERROR(__xludf.DUMMYFUNCTION("""COMPUTED_VALUE"""),"Sirens")</f>
        <v>Sirens</v>
      </c>
      <c r="E119" s="10" t="str">
        <f>IFERROR(__xludf.DUMMYFUNCTION("""COMPUTED_VALUE"""),"Solar")</f>
        <v>Solar</v>
      </c>
      <c r="F119" s="37">
        <f>IFERROR(__xludf.DUMMYFUNCTION("""COMPUTED_VALUE"""),56.49989766166472)</f>
        <v>56.49989766</v>
      </c>
      <c r="G119" s="38">
        <f>IFERROR(__xludf.DUMMYFUNCTION("""COMPUTED_VALUE"""),45.21609751551068)</f>
        <v>45.21609752</v>
      </c>
      <c r="H119" s="38">
        <f>IFERROR(__xludf.DUMMYFUNCTION("""COMPUTED_VALUE"""),50.8579975885877)</f>
        <v>50.85799759</v>
      </c>
      <c r="I119" s="14">
        <f>IFERROR(__xludf.DUMMYFUNCTION("""COMPUTED_VALUE"""),49.0)</f>
        <v>49</v>
      </c>
      <c r="J119" s="11">
        <f>IFERROR(__xludf.DUMMYFUNCTION("IFERROR(FILTER(Stats!$F:$Z,(Stats!$A:$A=$A119)*(Stats!$B:$B=$B119)))"),20.0)</f>
        <v>20</v>
      </c>
      <c r="K119" s="11">
        <f>IFERROR(__xludf.DUMMYFUNCTION("""COMPUTED_VALUE"""),29.0)</f>
        <v>29</v>
      </c>
      <c r="L119" s="12">
        <f>IFERROR(__xludf.DUMMYFUNCTION("""COMPUTED_VALUE"""),0.40816326530612246)</f>
        <v>0.4081632653</v>
      </c>
      <c r="M119" s="11">
        <f>IFERROR(__xludf.DUMMYFUNCTION("""COMPUTED_VALUE"""),9.0)</f>
        <v>9</v>
      </c>
      <c r="N119" s="11">
        <f>IFERROR(__xludf.DUMMYFUNCTION("""COMPUTED_VALUE"""),17270.0)</f>
        <v>17270</v>
      </c>
      <c r="O119" s="13">
        <f>IFERROR(__xludf.DUMMYFUNCTION("""COMPUTED_VALUE"""),43.0)</f>
        <v>43</v>
      </c>
      <c r="P119" s="14">
        <f>IFERROR(__xludf.DUMMYFUNCTION("""COMPUTED_VALUE"""),21.0)</f>
        <v>21</v>
      </c>
      <c r="Q119" s="13">
        <f>IFERROR(__xludf.DUMMYFUNCTION("""COMPUTED_VALUE"""),67.0)</f>
        <v>67</v>
      </c>
      <c r="R119" s="13">
        <f>IFERROR(__xludf.DUMMYFUNCTION("""COMPUTED_VALUE"""),106.0)</f>
        <v>106</v>
      </c>
      <c r="S119" s="15">
        <f>IFERROR(__xludf.DUMMYFUNCTION("""COMPUTED_VALUE"""),0.4056603773584906)</f>
        <v>0.4056603774</v>
      </c>
      <c r="T119" s="16">
        <f>IFERROR(__xludf.DUMMYFUNCTION("""COMPUTED_VALUE"""),352.44897959183675)</f>
        <v>352.4489796</v>
      </c>
      <c r="U119" s="16">
        <f>IFERROR(__xludf.DUMMYFUNCTION("""COMPUTED_VALUE"""),0.8775510204081632)</f>
        <v>0.8775510204</v>
      </c>
      <c r="V119" s="16">
        <f>IFERROR(__xludf.DUMMYFUNCTION("""COMPUTED_VALUE"""),0.42857142857142855)</f>
        <v>0.4285714286</v>
      </c>
      <c r="W119" s="16">
        <f>IFERROR(__xludf.DUMMYFUNCTION("""COMPUTED_VALUE"""),1.3673469387755102)</f>
        <v>1.367346939</v>
      </c>
      <c r="X119" s="16">
        <f>IFERROR(__xludf.DUMMYFUNCTION("""COMPUTED_VALUE"""),2.163265306122449)</f>
        <v>2.163265306</v>
      </c>
      <c r="Y119" s="11">
        <f>IFERROR(__xludf.DUMMYFUNCTION("""COMPUTED_VALUE"""),5.0)</f>
        <v>5</v>
      </c>
      <c r="Z119" s="11">
        <f>IFERROR(__xludf.DUMMYFUNCTION("""COMPUTED_VALUE"""),5.0)</f>
        <v>5</v>
      </c>
      <c r="AA119" s="11">
        <f>IFERROR(__xludf.DUMMYFUNCTION("""COMPUTED_VALUE"""),0.0)</f>
        <v>0</v>
      </c>
      <c r="AB119" s="11">
        <f>IFERROR(__xludf.DUMMYFUNCTION("""COMPUTED_VALUE"""),9.0)</f>
        <v>9</v>
      </c>
      <c r="AC119" s="11">
        <f>IFERROR(__xludf.DUMMYFUNCTION("""COMPUTED_VALUE"""),93.0)</f>
        <v>93</v>
      </c>
      <c r="AD119" s="11">
        <f>IFERROR(__xludf.DUMMYFUNCTION("""COMPUTED_VALUE"""),46.0)</f>
        <v>46</v>
      </c>
    </row>
    <row r="120">
      <c r="A120" s="10" t="str">
        <f>IFERROR(__xludf.DUMMYFUNCTION("""COMPUTED_VALUE"""),"Challenger")</f>
        <v>Challenger</v>
      </c>
      <c r="B120" s="10" t="str">
        <f>IFERROR(__xludf.DUMMYFUNCTION("""COMPUTED_VALUE"""),"RSC006322")</f>
        <v>RSC006322</v>
      </c>
      <c r="C120" s="10" t="str">
        <f>IFERROR(__xludf.DUMMYFUNCTION("""COMPUTED_VALUE"""),"Lorak")</f>
        <v>Lorak</v>
      </c>
      <c r="D120" s="36" t="str">
        <f>IFERROR(__xludf.DUMMYFUNCTION("""COMPUTED_VALUE"""),"Spearmint")</f>
        <v>Spearmint</v>
      </c>
      <c r="E120" s="10" t="str">
        <f>IFERROR(__xludf.DUMMYFUNCTION("""COMPUTED_VALUE"""),"Solar")</f>
        <v>Solar</v>
      </c>
      <c r="F120" s="37">
        <f>IFERROR(__xludf.DUMMYFUNCTION("""COMPUTED_VALUE"""),53.5068092383908)</f>
        <v>53.50680924</v>
      </c>
      <c r="G120" s="38">
        <f>IFERROR(__xludf.DUMMYFUNCTION("""COMPUTED_VALUE"""),48.076947791022924)</f>
        <v>48.07694779</v>
      </c>
      <c r="H120" s="38">
        <f>IFERROR(__xludf.DUMMYFUNCTION("""COMPUTED_VALUE"""),50.791878514706866)</f>
        <v>50.79187851</v>
      </c>
      <c r="I120" s="14">
        <f>IFERROR(__xludf.DUMMYFUNCTION("""COMPUTED_VALUE"""),56.0)</f>
        <v>56</v>
      </c>
      <c r="J120" s="11">
        <f>IFERROR(__xludf.DUMMYFUNCTION("IFERROR(FILTER(Stats!$F:$Z,(Stats!$A:$A=$A120)*(Stats!$B:$B=$B120)))"),27.0)</f>
        <v>27</v>
      </c>
      <c r="K120" s="11">
        <f>IFERROR(__xludf.DUMMYFUNCTION("""COMPUTED_VALUE"""),29.0)</f>
        <v>29</v>
      </c>
      <c r="L120" s="12">
        <f>IFERROR(__xludf.DUMMYFUNCTION("""COMPUTED_VALUE"""),0.48214285714285715)</f>
        <v>0.4821428571</v>
      </c>
      <c r="M120" s="11">
        <f>IFERROR(__xludf.DUMMYFUNCTION("""COMPUTED_VALUE"""),8.0)</f>
        <v>8</v>
      </c>
      <c r="N120" s="11">
        <f>IFERROR(__xludf.DUMMYFUNCTION("""COMPUTED_VALUE"""),19970.0)</f>
        <v>19970</v>
      </c>
      <c r="O120" s="13">
        <f>IFERROR(__xludf.DUMMYFUNCTION("""COMPUTED_VALUE"""),46.0)</f>
        <v>46</v>
      </c>
      <c r="P120" s="14">
        <f>IFERROR(__xludf.DUMMYFUNCTION("""COMPUTED_VALUE"""),18.0)</f>
        <v>18</v>
      </c>
      <c r="Q120" s="13">
        <f>IFERROR(__xludf.DUMMYFUNCTION("""COMPUTED_VALUE"""),92.0)</f>
        <v>92</v>
      </c>
      <c r="R120" s="13">
        <f>IFERROR(__xludf.DUMMYFUNCTION("""COMPUTED_VALUE"""),144.0)</f>
        <v>144</v>
      </c>
      <c r="S120" s="15">
        <f>IFERROR(__xludf.DUMMYFUNCTION("""COMPUTED_VALUE"""),0.3194444444444444)</f>
        <v>0.3194444444</v>
      </c>
      <c r="T120" s="16">
        <f>IFERROR(__xludf.DUMMYFUNCTION("""COMPUTED_VALUE"""),356.60714285714283)</f>
        <v>356.6071429</v>
      </c>
      <c r="U120" s="16">
        <f>IFERROR(__xludf.DUMMYFUNCTION("""COMPUTED_VALUE"""),0.8214285714285714)</f>
        <v>0.8214285714</v>
      </c>
      <c r="V120" s="16">
        <f>IFERROR(__xludf.DUMMYFUNCTION("""COMPUTED_VALUE"""),0.32142857142857145)</f>
        <v>0.3214285714</v>
      </c>
      <c r="W120" s="16">
        <f>IFERROR(__xludf.DUMMYFUNCTION("""COMPUTED_VALUE"""),1.6428571428571428)</f>
        <v>1.642857143</v>
      </c>
      <c r="X120" s="16">
        <f>IFERROR(__xludf.DUMMYFUNCTION("""COMPUTED_VALUE"""),2.5714285714285716)</f>
        <v>2.571428571</v>
      </c>
      <c r="Y120" s="11">
        <f>IFERROR(__xludf.DUMMYFUNCTION("""COMPUTED_VALUE"""),11.0)</f>
        <v>11</v>
      </c>
      <c r="Z120" s="11">
        <f>IFERROR(__xludf.DUMMYFUNCTION("""COMPUTED_VALUE"""),1.0)</f>
        <v>1</v>
      </c>
      <c r="AA120" s="11">
        <f>IFERROR(__xludf.DUMMYFUNCTION("""COMPUTED_VALUE"""),0.0)</f>
        <v>0</v>
      </c>
      <c r="AB120" s="11">
        <f>IFERROR(__xludf.DUMMYFUNCTION("""COMPUTED_VALUE"""),14.0)</f>
        <v>14</v>
      </c>
      <c r="AC120" s="11">
        <f>IFERROR(__xludf.DUMMYFUNCTION("""COMPUTED_VALUE"""),114.0)</f>
        <v>114</v>
      </c>
      <c r="AD120" s="11">
        <f>IFERROR(__xludf.DUMMYFUNCTION("""COMPUTED_VALUE"""),50.0)</f>
        <v>50</v>
      </c>
    </row>
    <row r="121">
      <c r="A121" s="10" t="str">
        <f>IFERROR(__xludf.DUMMYFUNCTION("""COMPUTED_VALUE"""),"Challenger")</f>
        <v>Challenger</v>
      </c>
      <c r="B121" s="10" t="str">
        <f>IFERROR(__xludf.DUMMYFUNCTION("""COMPUTED_VALUE"""),"RSC007502")</f>
        <v>RSC007502</v>
      </c>
      <c r="C121" s="10" t="str">
        <f>IFERROR(__xludf.DUMMYFUNCTION("""COMPUTED_VALUE"""),"Cr1m5on_RL")</f>
        <v>Cr1m5on_RL</v>
      </c>
      <c r="D121" s="36" t="str">
        <f>IFERROR(__xludf.DUMMYFUNCTION("""COMPUTED_VALUE"""),"Metal")</f>
        <v>Metal</v>
      </c>
      <c r="E121" s="10" t="str">
        <f>IFERROR(__xludf.DUMMYFUNCTION("""COMPUTED_VALUE"""),"Solar")</f>
        <v>Solar</v>
      </c>
      <c r="F121" s="37">
        <f>IFERROR(__xludf.DUMMYFUNCTION("""COMPUTED_VALUE"""),47.77880343232341)</f>
        <v>47.77880343</v>
      </c>
      <c r="G121" s="38">
        <f>IFERROR(__xludf.DUMMYFUNCTION("""COMPUTED_VALUE"""),51.619888729321694)</f>
        <v>51.61988873</v>
      </c>
      <c r="H121" s="38">
        <f>IFERROR(__xludf.DUMMYFUNCTION("""COMPUTED_VALUE"""),49.69934608082255)</f>
        <v>49.69934608</v>
      </c>
      <c r="I121" s="14">
        <f>IFERROR(__xludf.DUMMYFUNCTION("""COMPUTED_VALUE"""),45.0)</f>
        <v>45</v>
      </c>
      <c r="J121" s="11">
        <f>IFERROR(__xludf.DUMMYFUNCTION("IFERROR(FILTER(Stats!$F:$Z,(Stats!$A:$A=$A121)*(Stats!$B:$B=$B121)))"),21.0)</f>
        <v>21</v>
      </c>
      <c r="K121" s="11">
        <f>IFERROR(__xludf.DUMMYFUNCTION("""COMPUTED_VALUE"""),24.0)</f>
        <v>24</v>
      </c>
      <c r="L121" s="12">
        <f>IFERROR(__xludf.DUMMYFUNCTION("""COMPUTED_VALUE"""),0.4666666666666667)</f>
        <v>0.4666666667</v>
      </c>
      <c r="M121" s="11">
        <f>IFERROR(__xludf.DUMMYFUNCTION("""COMPUTED_VALUE"""),7.0)</f>
        <v>7</v>
      </c>
      <c r="N121" s="11">
        <f>IFERROR(__xludf.DUMMYFUNCTION("""COMPUTED_VALUE"""),14074.0)</f>
        <v>14074</v>
      </c>
      <c r="O121" s="13">
        <f>IFERROR(__xludf.DUMMYFUNCTION("""COMPUTED_VALUE"""),33.0)</f>
        <v>33</v>
      </c>
      <c r="P121" s="14">
        <f>IFERROR(__xludf.DUMMYFUNCTION("""COMPUTED_VALUE"""),26.0)</f>
        <v>26</v>
      </c>
      <c r="Q121" s="13">
        <f>IFERROR(__xludf.DUMMYFUNCTION("""COMPUTED_VALUE"""),39.0)</f>
        <v>39</v>
      </c>
      <c r="R121" s="13">
        <f>IFERROR(__xludf.DUMMYFUNCTION("""COMPUTED_VALUE"""),110.0)</f>
        <v>110</v>
      </c>
      <c r="S121" s="15">
        <f>IFERROR(__xludf.DUMMYFUNCTION("""COMPUTED_VALUE"""),0.3)</f>
        <v>0.3</v>
      </c>
      <c r="T121" s="16">
        <f>IFERROR(__xludf.DUMMYFUNCTION("""COMPUTED_VALUE"""),312.75555555555553)</f>
        <v>312.7555556</v>
      </c>
      <c r="U121" s="16">
        <f>IFERROR(__xludf.DUMMYFUNCTION("""COMPUTED_VALUE"""),0.7333333333333333)</f>
        <v>0.7333333333</v>
      </c>
      <c r="V121" s="16">
        <f>IFERROR(__xludf.DUMMYFUNCTION("""COMPUTED_VALUE"""),0.5777777777777777)</f>
        <v>0.5777777778</v>
      </c>
      <c r="W121" s="16">
        <f>IFERROR(__xludf.DUMMYFUNCTION("""COMPUTED_VALUE"""),0.8666666666666667)</f>
        <v>0.8666666667</v>
      </c>
      <c r="X121" s="16">
        <f>IFERROR(__xludf.DUMMYFUNCTION("""COMPUTED_VALUE"""),2.4444444444444446)</f>
        <v>2.444444444</v>
      </c>
      <c r="Y121" s="11">
        <f>IFERROR(__xludf.DUMMYFUNCTION("""COMPUTED_VALUE"""),6.0)</f>
        <v>6</v>
      </c>
      <c r="Z121" s="11">
        <f>IFERROR(__xludf.DUMMYFUNCTION("""COMPUTED_VALUE"""),2.0)</f>
        <v>2</v>
      </c>
      <c r="AA121" s="11">
        <f>IFERROR(__xludf.DUMMYFUNCTION("""COMPUTED_VALUE"""),2.0)</f>
        <v>2</v>
      </c>
      <c r="AB121" s="11">
        <f>IFERROR(__xludf.DUMMYFUNCTION("""COMPUTED_VALUE"""),2.0)</f>
        <v>2</v>
      </c>
      <c r="AC121" s="11">
        <f>IFERROR(__xludf.DUMMYFUNCTION("""COMPUTED_VALUE"""),41.0)</f>
        <v>41</v>
      </c>
      <c r="AD121" s="11">
        <f>IFERROR(__xludf.DUMMYFUNCTION("""COMPUTED_VALUE"""),53.0)</f>
        <v>53</v>
      </c>
    </row>
    <row r="122">
      <c r="A122" s="10" t="str">
        <f>IFERROR(__xludf.DUMMYFUNCTION("""COMPUTED_VALUE"""),"Challenger")</f>
        <v>Challenger</v>
      </c>
      <c r="B122" s="10" t="str">
        <f>IFERROR(__xludf.DUMMYFUNCTION("""COMPUTED_VALUE"""),"RSC006308")</f>
        <v>RSC006308</v>
      </c>
      <c r="C122" s="10" t="str">
        <f>IFERROR(__xludf.DUMMYFUNCTION("""COMPUTED_VALUE"""),"SqueezySponge.")</f>
        <v>SqueezySponge.</v>
      </c>
      <c r="D122" s="36" t="str">
        <f>IFERROR(__xludf.DUMMYFUNCTION("""COMPUTED_VALUE"""),"Decuriones
Havarti Hustlers
Spearmint")</f>
        <v>Decuriones
Havarti Hustlers
Spearmint</v>
      </c>
      <c r="E122" s="10" t="str">
        <f>IFERROR(__xludf.DUMMYFUNCTION("""COMPUTED_VALUE"""),"Solar
Lunar
Solar")</f>
        <v>Solar
Lunar
Solar</v>
      </c>
      <c r="F122" s="37">
        <f>IFERROR(__xludf.DUMMYFUNCTION("""COMPUTED_VALUE"""),48.97707406712168)</f>
        <v>48.97707407</v>
      </c>
      <c r="G122" s="38">
        <f>IFERROR(__xludf.DUMMYFUNCTION("""COMPUTED_VALUE"""),50.01815509211098)</f>
        <v>50.01815509</v>
      </c>
      <c r="H122" s="38">
        <f>IFERROR(__xludf.DUMMYFUNCTION("""COMPUTED_VALUE"""),49.497614579616325)</f>
        <v>49.49761458</v>
      </c>
      <c r="I122" s="14">
        <f>IFERROR(__xludf.DUMMYFUNCTION("""COMPUTED_VALUE"""),53.0)</f>
        <v>53</v>
      </c>
      <c r="J122" s="11">
        <f>IFERROR(__xludf.DUMMYFUNCTION("IFERROR(FILTER(Stats!$F:$Z,(Stats!$A:$A=$A122)*(Stats!$B:$B=$B122)))"),22.0)</f>
        <v>22</v>
      </c>
      <c r="K122" s="11">
        <f>IFERROR(__xludf.DUMMYFUNCTION("""COMPUTED_VALUE"""),31.0)</f>
        <v>31</v>
      </c>
      <c r="L122" s="12">
        <f>IFERROR(__xludf.DUMMYFUNCTION("""COMPUTED_VALUE"""),0.41509433962264153)</f>
        <v>0.4150943396</v>
      </c>
      <c r="M122" s="11">
        <f>IFERROR(__xludf.DUMMYFUNCTION("""COMPUTED_VALUE"""),6.0)</f>
        <v>6</v>
      </c>
      <c r="N122" s="11">
        <f>IFERROR(__xludf.DUMMYFUNCTION("""COMPUTED_VALUE"""),15871.0)</f>
        <v>15871</v>
      </c>
      <c r="O122" s="13">
        <f>IFERROR(__xludf.DUMMYFUNCTION("""COMPUTED_VALUE"""),29.0)</f>
        <v>29</v>
      </c>
      <c r="P122" s="14">
        <f>IFERROR(__xludf.DUMMYFUNCTION("""COMPUTED_VALUE"""),30.0)</f>
        <v>30</v>
      </c>
      <c r="Q122" s="13">
        <f>IFERROR(__xludf.DUMMYFUNCTION("""COMPUTED_VALUE"""),52.0)</f>
        <v>52</v>
      </c>
      <c r="R122" s="13">
        <f>IFERROR(__xludf.DUMMYFUNCTION("""COMPUTED_VALUE"""),135.0)</f>
        <v>135</v>
      </c>
      <c r="S122" s="15">
        <f>IFERROR(__xludf.DUMMYFUNCTION("""COMPUTED_VALUE"""),0.21481481481481482)</f>
        <v>0.2148148148</v>
      </c>
      <c r="T122" s="16">
        <f>IFERROR(__xludf.DUMMYFUNCTION("""COMPUTED_VALUE"""),299.45283018867923)</f>
        <v>299.4528302</v>
      </c>
      <c r="U122" s="16">
        <f>IFERROR(__xludf.DUMMYFUNCTION("""COMPUTED_VALUE"""),0.5471698113207547)</f>
        <v>0.5471698113</v>
      </c>
      <c r="V122" s="16">
        <f>IFERROR(__xludf.DUMMYFUNCTION("""COMPUTED_VALUE"""),0.5660377358490566)</f>
        <v>0.5660377358</v>
      </c>
      <c r="W122" s="16">
        <f>IFERROR(__xludf.DUMMYFUNCTION("""COMPUTED_VALUE"""),0.9811320754716981)</f>
        <v>0.9811320755</v>
      </c>
      <c r="X122" s="16">
        <f>IFERROR(__xludf.DUMMYFUNCTION("""COMPUTED_VALUE"""),2.547169811320755)</f>
        <v>2.547169811</v>
      </c>
      <c r="Y122" s="11">
        <f>IFERROR(__xludf.DUMMYFUNCTION("""COMPUTED_VALUE"""),9.0)</f>
        <v>9</v>
      </c>
      <c r="Z122" s="11">
        <f>IFERROR(__xludf.DUMMYFUNCTION("""COMPUTED_VALUE"""),0.0)</f>
        <v>0</v>
      </c>
      <c r="AA122" s="11">
        <f>IFERROR(__xludf.DUMMYFUNCTION("""COMPUTED_VALUE"""),1.0)</f>
        <v>1</v>
      </c>
      <c r="AB122" s="11">
        <f>IFERROR(__xludf.DUMMYFUNCTION("""COMPUTED_VALUE"""),4.0)</f>
        <v>4</v>
      </c>
      <c r="AC122" s="11">
        <f>IFERROR(__xludf.DUMMYFUNCTION("""COMPUTED_VALUE"""),50.0)</f>
        <v>50</v>
      </c>
      <c r="AD122" s="11">
        <f>IFERROR(__xludf.DUMMYFUNCTION("""COMPUTED_VALUE"""),49.0)</f>
        <v>49</v>
      </c>
    </row>
    <row r="123">
      <c r="A123" s="10" t="str">
        <f>IFERROR(__xludf.DUMMYFUNCTION("""COMPUTED_VALUE"""),"Challenger")</f>
        <v>Challenger</v>
      </c>
      <c r="B123" s="10" t="str">
        <f>IFERROR(__xludf.DUMMYFUNCTION("""COMPUTED_VALUE"""),"RSC007816")</f>
        <v>RSC007816</v>
      </c>
      <c r="C123" s="10" t="str">
        <f>IFERROR(__xludf.DUMMYFUNCTION("""COMPUTED_VALUE"""),"Auty RL")</f>
        <v>Auty RL</v>
      </c>
      <c r="D123" s="36" t="str">
        <f>IFERROR(__xludf.DUMMYFUNCTION("""COMPUTED_VALUE"""),"Threshers")</f>
        <v>Threshers</v>
      </c>
      <c r="E123" s="10" t="str">
        <f>IFERROR(__xludf.DUMMYFUNCTION("""COMPUTED_VALUE"""),"Solar")</f>
        <v>Solar</v>
      </c>
      <c r="F123" s="37">
        <f>IFERROR(__xludf.DUMMYFUNCTION("""COMPUTED_VALUE"""),49.27457500345151)</f>
        <v>49.274575</v>
      </c>
      <c r="G123" s="38">
        <f>IFERROR(__xludf.DUMMYFUNCTION("""COMPUTED_VALUE"""),49.21925758402669)</f>
        <v>49.21925758</v>
      </c>
      <c r="H123" s="38">
        <f>IFERROR(__xludf.DUMMYFUNCTION("""COMPUTED_VALUE"""),49.246916293739105)</f>
        <v>49.24691629</v>
      </c>
      <c r="I123" s="14">
        <f>IFERROR(__xludf.DUMMYFUNCTION("""COMPUTED_VALUE"""),52.0)</f>
        <v>52</v>
      </c>
      <c r="J123" s="11">
        <f>IFERROR(__xludf.DUMMYFUNCTION("IFERROR(FILTER(Stats!$F:$Z,(Stats!$A:$A=$A123)*(Stats!$B:$B=$B123)))"),32.0)</f>
        <v>32</v>
      </c>
      <c r="K123" s="11">
        <f>IFERROR(__xludf.DUMMYFUNCTION("""COMPUTED_VALUE"""),20.0)</f>
        <v>20</v>
      </c>
      <c r="L123" s="12">
        <f>IFERROR(__xludf.DUMMYFUNCTION("""COMPUTED_VALUE"""),0.6153846153846154)</f>
        <v>0.6153846154</v>
      </c>
      <c r="M123" s="11">
        <f>IFERROR(__xludf.DUMMYFUNCTION("""COMPUTED_VALUE"""),5.0)</f>
        <v>5</v>
      </c>
      <c r="N123" s="11">
        <f>IFERROR(__xludf.DUMMYFUNCTION("""COMPUTED_VALUE"""),16517.0)</f>
        <v>16517</v>
      </c>
      <c r="O123" s="13">
        <f>IFERROR(__xludf.DUMMYFUNCTION("""COMPUTED_VALUE"""),43.0)</f>
        <v>43</v>
      </c>
      <c r="P123" s="14">
        <f>IFERROR(__xludf.DUMMYFUNCTION("""COMPUTED_VALUE"""),19.0)</f>
        <v>19</v>
      </c>
      <c r="Q123" s="13">
        <f>IFERROR(__xludf.DUMMYFUNCTION("""COMPUTED_VALUE"""),53.0)</f>
        <v>53</v>
      </c>
      <c r="R123" s="13">
        <f>IFERROR(__xludf.DUMMYFUNCTION("""COMPUTED_VALUE"""),117.0)</f>
        <v>117</v>
      </c>
      <c r="S123" s="15">
        <f>IFERROR(__xludf.DUMMYFUNCTION("""COMPUTED_VALUE"""),0.36752136752136755)</f>
        <v>0.3675213675</v>
      </c>
      <c r="T123" s="16">
        <f>IFERROR(__xludf.DUMMYFUNCTION("""COMPUTED_VALUE"""),317.63461538461536)</f>
        <v>317.6346154</v>
      </c>
      <c r="U123" s="16">
        <f>IFERROR(__xludf.DUMMYFUNCTION("""COMPUTED_VALUE"""),0.8269230769230769)</f>
        <v>0.8269230769</v>
      </c>
      <c r="V123" s="16">
        <f>IFERROR(__xludf.DUMMYFUNCTION("""COMPUTED_VALUE"""),0.36538461538461536)</f>
        <v>0.3653846154</v>
      </c>
      <c r="W123" s="16">
        <f>IFERROR(__xludf.DUMMYFUNCTION("""COMPUTED_VALUE"""),1.0192307692307692)</f>
        <v>1.019230769</v>
      </c>
      <c r="X123" s="16">
        <f>IFERROR(__xludf.DUMMYFUNCTION("""COMPUTED_VALUE"""),2.25)</f>
        <v>2.25</v>
      </c>
      <c r="Y123" s="11">
        <f>IFERROR(__xludf.DUMMYFUNCTION("""COMPUTED_VALUE"""),5.0)</f>
        <v>5</v>
      </c>
      <c r="Z123" s="11">
        <f>IFERROR(__xludf.DUMMYFUNCTION("""COMPUTED_VALUE"""),1.0)</f>
        <v>1</v>
      </c>
      <c r="AA123" s="11">
        <f>IFERROR(__xludf.DUMMYFUNCTION("""COMPUTED_VALUE"""),0.0)</f>
        <v>0</v>
      </c>
      <c r="AB123" s="11">
        <f>IFERROR(__xludf.DUMMYFUNCTION("""COMPUTED_VALUE"""),6.0)</f>
        <v>6</v>
      </c>
      <c r="AC123" s="11">
        <f>IFERROR(__xludf.DUMMYFUNCTION("""COMPUTED_VALUE"""),24.0)</f>
        <v>24</v>
      </c>
      <c r="AD123" s="11">
        <f>IFERROR(__xludf.DUMMYFUNCTION("""COMPUTED_VALUE"""),39.0)</f>
        <v>39</v>
      </c>
    </row>
    <row r="124">
      <c r="A124" s="10" t="str">
        <f>IFERROR(__xludf.DUMMYFUNCTION("""COMPUTED_VALUE"""),"Challenger")</f>
        <v>Challenger</v>
      </c>
      <c r="B124" s="10" t="str">
        <f>IFERROR(__xludf.DUMMYFUNCTION("""COMPUTED_VALUE"""),"RSC001066")</f>
        <v>RSC001066</v>
      </c>
      <c r="C124" s="10" t="str">
        <f>IFERROR(__xludf.DUMMYFUNCTION("""COMPUTED_VALUE"""),"risu")</f>
        <v>risu</v>
      </c>
      <c r="D124" s="36" t="str">
        <f>IFERROR(__xludf.DUMMYFUNCTION("""COMPUTED_VALUE"""),"Toucans
Corals")</f>
        <v>Toucans
Corals</v>
      </c>
      <c r="E124" s="10" t="str">
        <f>IFERROR(__xludf.DUMMYFUNCTION("""COMPUTED_VALUE"""),"Solar
Lunar")</f>
        <v>Solar
Lunar</v>
      </c>
      <c r="F124" s="37">
        <f>IFERROR(__xludf.DUMMYFUNCTION("""COMPUTED_VALUE"""),50.844162847866606)</f>
        <v>50.84416285</v>
      </c>
      <c r="G124" s="38">
        <f>IFERROR(__xludf.DUMMYFUNCTION("""COMPUTED_VALUE"""),45.65379329860244)</f>
        <v>45.6537933</v>
      </c>
      <c r="H124" s="38">
        <f>IFERROR(__xludf.DUMMYFUNCTION("""COMPUTED_VALUE"""),48.248978073234525)</f>
        <v>48.24897807</v>
      </c>
      <c r="I124" s="14">
        <f>IFERROR(__xludf.DUMMYFUNCTION("""COMPUTED_VALUE"""),26.0)</f>
        <v>26</v>
      </c>
      <c r="J124" s="11">
        <f>IFERROR(__xludf.DUMMYFUNCTION("IFERROR(FILTER(Stats!$F:$Z,(Stats!$A:$A=$A124)*(Stats!$B:$B=$B124)))"),12.0)</f>
        <v>12</v>
      </c>
      <c r="K124" s="11">
        <f>IFERROR(__xludf.DUMMYFUNCTION("""COMPUTED_VALUE"""),14.0)</f>
        <v>14</v>
      </c>
      <c r="L124" s="12">
        <f>IFERROR(__xludf.DUMMYFUNCTION("""COMPUTED_VALUE"""),0.46153846153846156)</f>
        <v>0.4615384615</v>
      </c>
      <c r="M124" s="11">
        <f>IFERROR(__xludf.DUMMYFUNCTION("""COMPUTED_VALUE"""),6.0)</f>
        <v>6</v>
      </c>
      <c r="N124" s="11">
        <f>IFERROR(__xludf.DUMMYFUNCTION("""COMPUTED_VALUE"""),9070.0)</f>
        <v>9070</v>
      </c>
      <c r="O124" s="13">
        <f>IFERROR(__xludf.DUMMYFUNCTION("""COMPUTED_VALUE"""),24.0)</f>
        <v>24</v>
      </c>
      <c r="P124" s="14">
        <f>IFERROR(__xludf.DUMMYFUNCTION("""COMPUTED_VALUE"""),8.0)</f>
        <v>8</v>
      </c>
      <c r="Q124" s="13">
        <f>IFERROR(__xludf.DUMMYFUNCTION("""COMPUTED_VALUE"""),34.0)</f>
        <v>34</v>
      </c>
      <c r="R124" s="13">
        <f>IFERROR(__xludf.DUMMYFUNCTION("""COMPUTED_VALUE"""),70.0)</f>
        <v>70</v>
      </c>
      <c r="S124" s="15">
        <f>IFERROR(__xludf.DUMMYFUNCTION("""COMPUTED_VALUE"""),0.34285714285714286)</f>
        <v>0.3428571429</v>
      </c>
      <c r="T124" s="16">
        <f>IFERROR(__xludf.DUMMYFUNCTION("""COMPUTED_VALUE"""),348.84615384615387)</f>
        <v>348.8461538</v>
      </c>
      <c r="U124" s="16">
        <f>IFERROR(__xludf.DUMMYFUNCTION("""COMPUTED_VALUE"""),0.9230769230769231)</f>
        <v>0.9230769231</v>
      </c>
      <c r="V124" s="16">
        <f>IFERROR(__xludf.DUMMYFUNCTION("""COMPUTED_VALUE"""),0.3076923076923077)</f>
        <v>0.3076923077</v>
      </c>
      <c r="W124" s="16">
        <f>IFERROR(__xludf.DUMMYFUNCTION("""COMPUTED_VALUE"""),1.3076923076923077)</f>
        <v>1.307692308</v>
      </c>
      <c r="X124" s="16">
        <f>IFERROR(__xludf.DUMMYFUNCTION("""COMPUTED_VALUE"""),2.6923076923076925)</f>
        <v>2.692307692</v>
      </c>
      <c r="Y124" s="11">
        <f>IFERROR(__xludf.DUMMYFUNCTION("""COMPUTED_VALUE"""),2.0)</f>
        <v>2</v>
      </c>
      <c r="Z124" s="11">
        <f>IFERROR(__xludf.DUMMYFUNCTION("""COMPUTED_VALUE"""),3.0)</f>
        <v>3</v>
      </c>
      <c r="AA124" s="11">
        <f>IFERROR(__xludf.DUMMYFUNCTION("""COMPUTED_VALUE"""),1.0)</f>
        <v>1</v>
      </c>
      <c r="AB124" s="11">
        <f>IFERROR(__xludf.DUMMYFUNCTION("""COMPUTED_VALUE"""),2.0)</f>
        <v>2</v>
      </c>
      <c r="AC124" s="11">
        <f>IFERROR(__xludf.DUMMYFUNCTION("""COMPUTED_VALUE"""),10.0)</f>
        <v>10</v>
      </c>
      <c r="AD124" s="11">
        <f>IFERROR(__xludf.DUMMYFUNCTION("""COMPUTED_VALUE"""),21.0)</f>
        <v>21</v>
      </c>
    </row>
    <row r="125">
      <c r="A125" s="10" t="str">
        <f>IFERROR(__xludf.DUMMYFUNCTION("""COMPUTED_VALUE"""),"Challenger")</f>
        <v>Challenger</v>
      </c>
      <c r="B125" s="10" t="str">
        <f>IFERROR(__xludf.DUMMYFUNCTION("""COMPUTED_VALUE"""),"RSC008162")</f>
        <v>RSC008162</v>
      </c>
      <c r="C125" s="10" t="str">
        <f>IFERROR(__xludf.DUMMYFUNCTION("""COMPUTED_VALUE"""),"ThatHomieGageTTV")</f>
        <v>ThatHomieGageTTV</v>
      </c>
      <c r="D125" s="36" t="str">
        <f>IFERROR(__xludf.DUMMYFUNCTION("""COMPUTED_VALUE"""),"Spearmint")</f>
        <v>Spearmint</v>
      </c>
      <c r="E125" s="10" t="str">
        <f>IFERROR(__xludf.DUMMYFUNCTION("""COMPUTED_VALUE"""),"Solar")</f>
        <v>Solar</v>
      </c>
      <c r="F125" s="37">
        <f>IFERROR(__xludf.DUMMYFUNCTION("""COMPUTED_VALUE"""),47.560484084057364)</f>
        <v>47.56048408</v>
      </c>
      <c r="G125" s="38">
        <f>IFERROR(__xludf.DUMMYFUNCTION("""COMPUTED_VALUE"""),48.62026959871864)</f>
        <v>48.6202696</v>
      </c>
      <c r="H125" s="38">
        <f>IFERROR(__xludf.DUMMYFUNCTION("""COMPUTED_VALUE"""),48.09037684138801)</f>
        <v>48.09037684</v>
      </c>
      <c r="I125" s="14">
        <f>IFERROR(__xludf.DUMMYFUNCTION("""COMPUTED_VALUE"""),38.0)</f>
        <v>38</v>
      </c>
      <c r="J125" s="11">
        <f>IFERROR(__xludf.DUMMYFUNCTION("IFERROR(FILTER(Stats!$F:$Z,(Stats!$A:$A=$A125)*(Stats!$B:$B=$B125)))"),20.0)</f>
        <v>20</v>
      </c>
      <c r="K125" s="11">
        <f>IFERROR(__xludf.DUMMYFUNCTION("""COMPUTED_VALUE"""),18.0)</f>
        <v>18</v>
      </c>
      <c r="L125" s="12">
        <f>IFERROR(__xludf.DUMMYFUNCTION("""COMPUTED_VALUE"""),0.5263157894736842)</f>
        <v>0.5263157895</v>
      </c>
      <c r="M125" s="11">
        <f>IFERROR(__xludf.DUMMYFUNCTION("""COMPUTED_VALUE"""),7.0)</f>
        <v>7</v>
      </c>
      <c r="N125" s="11">
        <f>IFERROR(__xludf.DUMMYFUNCTION("""COMPUTED_VALUE"""),13238.0)</f>
        <v>13238</v>
      </c>
      <c r="O125" s="13">
        <f>IFERROR(__xludf.DUMMYFUNCTION("""COMPUTED_VALUE"""),26.0)</f>
        <v>26</v>
      </c>
      <c r="P125" s="14">
        <f>IFERROR(__xludf.DUMMYFUNCTION("""COMPUTED_VALUE"""),23.0)</f>
        <v>23</v>
      </c>
      <c r="Q125" s="13">
        <f>IFERROR(__xludf.DUMMYFUNCTION("""COMPUTED_VALUE"""),60.0)</f>
        <v>60</v>
      </c>
      <c r="R125" s="13">
        <f>IFERROR(__xludf.DUMMYFUNCTION("""COMPUTED_VALUE"""),73.0)</f>
        <v>73</v>
      </c>
      <c r="S125" s="15">
        <f>IFERROR(__xludf.DUMMYFUNCTION("""COMPUTED_VALUE"""),0.3561643835616438)</f>
        <v>0.3561643836</v>
      </c>
      <c r="T125" s="16">
        <f>IFERROR(__xludf.DUMMYFUNCTION("""COMPUTED_VALUE"""),348.36842105263156)</f>
        <v>348.3684211</v>
      </c>
      <c r="U125" s="16">
        <f>IFERROR(__xludf.DUMMYFUNCTION("""COMPUTED_VALUE"""),0.6842105263157895)</f>
        <v>0.6842105263</v>
      </c>
      <c r="V125" s="16">
        <f>IFERROR(__xludf.DUMMYFUNCTION("""COMPUTED_VALUE"""),0.6052631578947368)</f>
        <v>0.6052631579</v>
      </c>
      <c r="W125" s="16">
        <f>IFERROR(__xludf.DUMMYFUNCTION("""COMPUTED_VALUE"""),1.5789473684210527)</f>
        <v>1.578947368</v>
      </c>
      <c r="X125" s="16">
        <f>IFERROR(__xludf.DUMMYFUNCTION("""COMPUTED_VALUE"""),1.9210526315789473)</f>
        <v>1.921052632</v>
      </c>
      <c r="Y125" s="11">
        <f>IFERROR(__xludf.DUMMYFUNCTION("""COMPUTED_VALUE"""),7.0)</f>
        <v>7</v>
      </c>
      <c r="Z125" s="11">
        <f>IFERROR(__xludf.DUMMYFUNCTION("""COMPUTED_VALUE"""),0.0)</f>
        <v>0</v>
      </c>
      <c r="AA125" s="11">
        <f>IFERROR(__xludf.DUMMYFUNCTION("""COMPUTED_VALUE"""),1.0)</f>
        <v>1</v>
      </c>
      <c r="AB125" s="11">
        <f>IFERROR(__xludf.DUMMYFUNCTION("""COMPUTED_VALUE"""),9.0)</f>
        <v>9</v>
      </c>
      <c r="AC125" s="11">
        <f>IFERROR(__xludf.DUMMYFUNCTION("""COMPUTED_VALUE"""),53.0)</f>
        <v>53</v>
      </c>
      <c r="AD125" s="11">
        <f>IFERROR(__xludf.DUMMYFUNCTION("""COMPUTED_VALUE"""),33.0)</f>
        <v>33</v>
      </c>
    </row>
    <row r="126">
      <c r="A126" s="10" t="str">
        <f>IFERROR(__xludf.DUMMYFUNCTION("""COMPUTED_VALUE"""),"Challenger")</f>
        <v>Challenger</v>
      </c>
      <c r="B126" s="10" t="str">
        <f>IFERROR(__xludf.DUMMYFUNCTION("""COMPUTED_VALUE"""),"RSC007568")</f>
        <v>RSC007568</v>
      </c>
      <c r="C126" s="10" t="str">
        <f>IFERROR(__xludf.DUMMYFUNCTION("""COMPUTED_VALUE"""),"Chills1912")</f>
        <v>Chills1912</v>
      </c>
      <c r="D126" s="36" t="str">
        <f>IFERROR(__xludf.DUMMYFUNCTION("""COMPUTED_VALUE"""),"Void")</f>
        <v>Void</v>
      </c>
      <c r="E126" s="10" t="str">
        <f>IFERROR(__xludf.DUMMYFUNCTION("""COMPUTED_VALUE"""),"Solar")</f>
        <v>Solar</v>
      </c>
      <c r="F126" s="37">
        <f>IFERROR(__xludf.DUMMYFUNCTION("""COMPUTED_VALUE"""),43.57002548606513)</f>
        <v>43.57002549</v>
      </c>
      <c r="G126" s="38">
        <f>IFERROR(__xludf.DUMMYFUNCTION("""COMPUTED_VALUE"""),50.35642044541177)</f>
        <v>50.35642045</v>
      </c>
      <c r="H126" s="38">
        <f>IFERROR(__xludf.DUMMYFUNCTION("""COMPUTED_VALUE"""),46.96322296573845)</f>
        <v>46.96322297</v>
      </c>
      <c r="I126" s="14">
        <f>IFERROR(__xludf.DUMMYFUNCTION("""COMPUTED_VALUE"""),47.0)</f>
        <v>47</v>
      </c>
      <c r="J126" s="11">
        <f>IFERROR(__xludf.DUMMYFUNCTION("IFERROR(FILTER(Stats!$F:$Z,(Stats!$A:$A=$A126)*(Stats!$B:$B=$B126)))"),24.0)</f>
        <v>24</v>
      </c>
      <c r="K126" s="11">
        <f>IFERROR(__xludf.DUMMYFUNCTION("""COMPUTED_VALUE"""),23.0)</f>
        <v>23</v>
      </c>
      <c r="L126" s="12">
        <f>IFERROR(__xludf.DUMMYFUNCTION("""COMPUTED_VALUE"""),0.5106382978723404)</f>
        <v>0.5106382979</v>
      </c>
      <c r="M126" s="11">
        <f>IFERROR(__xludf.DUMMYFUNCTION("""COMPUTED_VALUE"""),4.0)</f>
        <v>4</v>
      </c>
      <c r="N126" s="11">
        <f>IFERROR(__xludf.DUMMYFUNCTION("""COMPUTED_VALUE"""),14902.0)</f>
        <v>14902</v>
      </c>
      <c r="O126" s="13">
        <f>IFERROR(__xludf.DUMMYFUNCTION("""COMPUTED_VALUE"""),28.0)</f>
        <v>28</v>
      </c>
      <c r="P126" s="14">
        <f>IFERROR(__xludf.DUMMYFUNCTION("""COMPUTED_VALUE"""),30.0)</f>
        <v>30</v>
      </c>
      <c r="Q126" s="13">
        <f>IFERROR(__xludf.DUMMYFUNCTION("""COMPUTED_VALUE"""),56.0)</f>
        <v>56</v>
      </c>
      <c r="R126" s="13">
        <f>IFERROR(__xludf.DUMMYFUNCTION("""COMPUTED_VALUE"""),101.0)</f>
        <v>101</v>
      </c>
      <c r="S126" s="15">
        <f>IFERROR(__xludf.DUMMYFUNCTION("""COMPUTED_VALUE"""),0.27722772277227725)</f>
        <v>0.2772277228</v>
      </c>
      <c r="T126" s="16">
        <f>IFERROR(__xludf.DUMMYFUNCTION("""COMPUTED_VALUE"""),317.06382978723406)</f>
        <v>317.0638298</v>
      </c>
      <c r="U126" s="16">
        <f>IFERROR(__xludf.DUMMYFUNCTION("""COMPUTED_VALUE"""),0.5957446808510638)</f>
        <v>0.5957446809</v>
      </c>
      <c r="V126" s="16">
        <f>IFERROR(__xludf.DUMMYFUNCTION("""COMPUTED_VALUE"""),0.6382978723404256)</f>
        <v>0.6382978723</v>
      </c>
      <c r="W126" s="16">
        <f>IFERROR(__xludf.DUMMYFUNCTION("""COMPUTED_VALUE"""),1.1914893617021276)</f>
        <v>1.191489362</v>
      </c>
      <c r="X126" s="16">
        <f>IFERROR(__xludf.DUMMYFUNCTION("""COMPUTED_VALUE"""),2.148936170212766)</f>
        <v>2.14893617</v>
      </c>
      <c r="Y126" s="11">
        <f>IFERROR(__xludf.DUMMYFUNCTION("""COMPUTED_VALUE"""),5.0)</f>
        <v>5</v>
      </c>
      <c r="Z126" s="11">
        <f>IFERROR(__xludf.DUMMYFUNCTION("""COMPUTED_VALUE"""),1.0)</f>
        <v>1</v>
      </c>
      <c r="AA126" s="11">
        <f>IFERROR(__xludf.DUMMYFUNCTION("""COMPUTED_VALUE"""),0.0)</f>
        <v>0</v>
      </c>
      <c r="AB126" s="11">
        <f>IFERROR(__xludf.DUMMYFUNCTION("""COMPUTED_VALUE"""),8.0)</f>
        <v>8</v>
      </c>
      <c r="AC126" s="11">
        <f>IFERROR(__xludf.DUMMYFUNCTION("""COMPUTED_VALUE"""),26.0)</f>
        <v>26</v>
      </c>
      <c r="AD126" s="11">
        <f>IFERROR(__xludf.DUMMYFUNCTION("""COMPUTED_VALUE"""),51.0)</f>
        <v>51</v>
      </c>
    </row>
    <row r="127">
      <c r="A127" s="10" t="str">
        <f>IFERROR(__xludf.DUMMYFUNCTION("""COMPUTED_VALUE"""),"Challenger")</f>
        <v>Challenger</v>
      </c>
      <c r="B127" s="10" t="str">
        <f>IFERROR(__xludf.DUMMYFUNCTION("""COMPUTED_VALUE"""),"RSC007866")</f>
        <v>RSC007866</v>
      </c>
      <c r="C127" s="10" t="str">
        <f>IFERROR(__xludf.DUMMYFUNCTION("""COMPUTED_VALUE"""),"Swzyy GN")</f>
        <v>Swzyy GN</v>
      </c>
      <c r="D127" s="36" t="str">
        <f>IFERROR(__xludf.DUMMYFUNCTION("""COMPUTED_VALUE"""),"Metal")</f>
        <v>Metal</v>
      </c>
      <c r="E127" s="10" t="str">
        <f>IFERROR(__xludf.DUMMYFUNCTION("""COMPUTED_VALUE"""),"Solar")</f>
        <v>Solar</v>
      </c>
      <c r="F127" s="37">
        <f>IFERROR(__xludf.DUMMYFUNCTION("""COMPUTED_VALUE"""),51.90756173303922)</f>
        <v>51.90756173</v>
      </c>
      <c r="G127" s="38">
        <f>IFERROR(__xludf.DUMMYFUNCTION("""COMPUTED_VALUE"""),41.94467873609261)</f>
        <v>41.94467874</v>
      </c>
      <c r="H127" s="38">
        <f>IFERROR(__xludf.DUMMYFUNCTION("""COMPUTED_VALUE"""),46.926120234565914)</f>
        <v>46.92612023</v>
      </c>
      <c r="I127" s="14">
        <f>IFERROR(__xludf.DUMMYFUNCTION("""COMPUTED_VALUE"""),45.0)</f>
        <v>45</v>
      </c>
      <c r="J127" s="11">
        <f>IFERROR(__xludf.DUMMYFUNCTION("IFERROR(FILTER(Stats!$F:$Z,(Stats!$A:$A=$A127)*(Stats!$B:$B=$B127)))"),18.0)</f>
        <v>18</v>
      </c>
      <c r="K127" s="11">
        <f>IFERROR(__xludf.DUMMYFUNCTION("""COMPUTED_VALUE"""),27.0)</f>
        <v>27</v>
      </c>
      <c r="L127" s="12">
        <f>IFERROR(__xludf.DUMMYFUNCTION("""COMPUTED_VALUE"""),0.4)</f>
        <v>0.4</v>
      </c>
      <c r="M127" s="11">
        <f>IFERROR(__xludf.DUMMYFUNCTION("""COMPUTED_VALUE"""),6.0)</f>
        <v>6</v>
      </c>
      <c r="N127" s="11">
        <f>IFERROR(__xludf.DUMMYFUNCTION("""COMPUTED_VALUE"""),15255.0)</f>
        <v>15255</v>
      </c>
      <c r="O127" s="13">
        <f>IFERROR(__xludf.DUMMYFUNCTION("""COMPUTED_VALUE"""),24.0)</f>
        <v>24</v>
      </c>
      <c r="P127" s="14">
        <f>IFERROR(__xludf.DUMMYFUNCTION("""COMPUTED_VALUE"""),22.0)</f>
        <v>22</v>
      </c>
      <c r="Q127" s="13">
        <f>IFERROR(__xludf.DUMMYFUNCTION("""COMPUTED_VALUE"""),66.0)</f>
        <v>66</v>
      </c>
      <c r="R127" s="13">
        <f>IFERROR(__xludf.DUMMYFUNCTION("""COMPUTED_VALUE"""),112.0)</f>
        <v>112</v>
      </c>
      <c r="S127" s="15">
        <f>IFERROR(__xludf.DUMMYFUNCTION("""COMPUTED_VALUE"""),0.21428571428571427)</f>
        <v>0.2142857143</v>
      </c>
      <c r="T127" s="16">
        <f>IFERROR(__xludf.DUMMYFUNCTION("""COMPUTED_VALUE"""),339.0)</f>
        <v>339</v>
      </c>
      <c r="U127" s="16">
        <f>IFERROR(__xludf.DUMMYFUNCTION("""COMPUTED_VALUE"""),0.5333333333333333)</f>
        <v>0.5333333333</v>
      </c>
      <c r="V127" s="16">
        <f>IFERROR(__xludf.DUMMYFUNCTION("""COMPUTED_VALUE"""),0.4888888888888889)</f>
        <v>0.4888888889</v>
      </c>
      <c r="W127" s="16">
        <f>IFERROR(__xludf.DUMMYFUNCTION("""COMPUTED_VALUE"""),1.4666666666666666)</f>
        <v>1.466666667</v>
      </c>
      <c r="X127" s="16">
        <f>IFERROR(__xludf.DUMMYFUNCTION("""COMPUTED_VALUE"""),2.488888888888889)</f>
        <v>2.488888889</v>
      </c>
      <c r="Y127" s="11">
        <f>IFERROR(__xludf.DUMMYFUNCTION("""COMPUTED_VALUE"""),8.0)</f>
        <v>8</v>
      </c>
      <c r="Z127" s="11">
        <f>IFERROR(__xludf.DUMMYFUNCTION("""COMPUTED_VALUE"""),1.0)</f>
        <v>1</v>
      </c>
      <c r="AA127" s="11">
        <f>IFERROR(__xludf.DUMMYFUNCTION("""COMPUTED_VALUE"""),2.0)</f>
        <v>2</v>
      </c>
      <c r="AB127" s="11">
        <f>IFERROR(__xludf.DUMMYFUNCTION("""COMPUTED_VALUE"""),10.0)</f>
        <v>10</v>
      </c>
      <c r="AC127" s="11">
        <f>IFERROR(__xludf.DUMMYFUNCTION("""COMPUTED_VALUE"""),24.0)</f>
        <v>24</v>
      </c>
      <c r="AD127" s="11">
        <f>IFERROR(__xludf.DUMMYFUNCTION("""COMPUTED_VALUE"""),26.0)</f>
        <v>26</v>
      </c>
    </row>
    <row r="128">
      <c r="A128" s="10" t="str">
        <f>IFERROR(__xludf.DUMMYFUNCTION("""COMPUTED_VALUE"""),"Challenger")</f>
        <v>Challenger</v>
      </c>
      <c r="B128" s="10" t="str">
        <f>IFERROR(__xludf.DUMMYFUNCTION("""COMPUTED_VALUE"""),"RSC005219")</f>
        <v>RSC005219</v>
      </c>
      <c r="C128" s="10" t="str">
        <f>IFERROR(__xludf.DUMMYFUNCTION("""COMPUTED_VALUE"""),"iargue")</f>
        <v>iargue</v>
      </c>
      <c r="D128" s="36" t="str">
        <f>IFERROR(__xludf.DUMMYFUNCTION("""COMPUTED_VALUE"""),"Shade")</f>
        <v>Shade</v>
      </c>
      <c r="E128" s="10" t="str">
        <f>IFERROR(__xludf.DUMMYFUNCTION("""COMPUTED_VALUE"""),"Lunar")</f>
        <v>Lunar</v>
      </c>
      <c r="F128" s="37">
        <f>IFERROR(__xludf.DUMMYFUNCTION("""COMPUTED_VALUE"""),50.27463057473527)</f>
        <v>50.27463057</v>
      </c>
      <c r="G128" s="38">
        <f>IFERROR(__xludf.DUMMYFUNCTION("""COMPUTED_VALUE"""),41.70863496733148)</f>
        <v>41.70863497</v>
      </c>
      <c r="H128" s="38">
        <f>IFERROR(__xludf.DUMMYFUNCTION("""COMPUTED_VALUE"""),45.99163277103337)</f>
        <v>45.99163277</v>
      </c>
      <c r="I128" s="14">
        <f>IFERROR(__xludf.DUMMYFUNCTION("""COMPUTED_VALUE"""),17.0)</f>
        <v>17</v>
      </c>
      <c r="J128" s="11">
        <f>IFERROR(__xludf.DUMMYFUNCTION("IFERROR(FILTER(Stats!$F:$Z,(Stats!$A:$A=$A128)*(Stats!$B:$B=$B128)))"),7.0)</f>
        <v>7</v>
      </c>
      <c r="K128" s="11">
        <f>IFERROR(__xludf.DUMMYFUNCTION("""COMPUTED_VALUE"""),10.0)</f>
        <v>10</v>
      </c>
      <c r="L128" s="12">
        <f>IFERROR(__xludf.DUMMYFUNCTION("""COMPUTED_VALUE"""),0.4117647058823529)</f>
        <v>0.4117647059</v>
      </c>
      <c r="M128" s="11">
        <f>IFERROR(__xludf.DUMMYFUNCTION("""COMPUTED_VALUE"""),2.0)</f>
        <v>2</v>
      </c>
      <c r="N128" s="11">
        <f>IFERROR(__xludf.DUMMYFUNCTION("""COMPUTED_VALUE"""),4538.0)</f>
        <v>4538</v>
      </c>
      <c r="O128" s="13">
        <f>IFERROR(__xludf.DUMMYFUNCTION("""COMPUTED_VALUE"""),7.0)</f>
        <v>7</v>
      </c>
      <c r="P128" s="14">
        <f>IFERROR(__xludf.DUMMYFUNCTION("""COMPUTED_VALUE"""),11.0)</f>
        <v>11</v>
      </c>
      <c r="Q128" s="13">
        <f>IFERROR(__xludf.DUMMYFUNCTION("""COMPUTED_VALUE"""),15.0)</f>
        <v>15</v>
      </c>
      <c r="R128" s="13">
        <f>IFERROR(__xludf.DUMMYFUNCTION("""COMPUTED_VALUE"""),37.0)</f>
        <v>37</v>
      </c>
      <c r="S128" s="15">
        <f>IFERROR(__xludf.DUMMYFUNCTION("""COMPUTED_VALUE"""),0.1891891891891892)</f>
        <v>0.1891891892</v>
      </c>
      <c r="T128" s="16">
        <f>IFERROR(__xludf.DUMMYFUNCTION("""COMPUTED_VALUE"""),266.94117647058823)</f>
        <v>266.9411765</v>
      </c>
      <c r="U128" s="16">
        <f>IFERROR(__xludf.DUMMYFUNCTION("""COMPUTED_VALUE"""),0.4117647058823529)</f>
        <v>0.4117647059</v>
      </c>
      <c r="V128" s="16">
        <f>IFERROR(__xludf.DUMMYFUNCTION("""COMPUTED_VALUE"""),0.6470588235294118)</f>
        <v>0.6470588235</v>
      </c>
      <c r="W128" s="16">
        <f>IFERROR(__xludf.DUMMYFUNCTION("""COMPUTED_VALUE"""),0.8823529411764706)</f>
        <v>0.8823529412</v>
      </c>
      <c r="X128" s="16">
        <f>IFERROR(__xludf.DUMMYFUNCTION("""COMPUTED_VALUE"""),2.176470588235294)</f>
        <v>2.176470588</v>
      </c>
      <c r="Y128" s="11">
        <f>IFERROR(__xludf.DUMMYFUNCTION("""COMPUTED_VALUE"""),1.0)</f>
        <v>1</v>
      </c>
      <c r="Z128" s="11">
        <f>IFERROR(__xludf.DUMMYFUNCTION("""COMPUTED_VALUE"""),0.0)</f>
        <v>0</v>
      </c>
      <c r="AA128" s="11">
        <f>IFERROR(__xludf.DUMMYFUNCTION("""COMPUTED_VALUE"""),0.0)</f>
        <v>0</v>
      </c>
      <c r="AB128" s="11">
        <f>IFERROR(__xludf.DUMMYFUNCTION("""COMPUTED_VALUE"""),2.0)</f>
        <v>2</v>
      </c>
      <c r="AC128" s="11">
        <f>IFERROR(__xludf.DUMMYFUNCTION("""COMPUTED_VALUE"""),11.0)</f>
        <v>11</v>
      </c>
      <c r="AD128" s="11">
        <f>IFERROR(__xludf.DUMMYFUNCTION("""COMPUTED_VALUE"""),14.0)</f>
        <v>14</v>
      </c>
    </row>
    <row r="129">
      <c r="A129" s="10" t="str">
        <f>IFERROR(__xludf.DUMMYFUNCTION("""COMPUTED_VALUE"""),"Challenger")</f>
        <v>Challenger</v>
      </c>
      <c r="B129" s="10" t="str">
        <f>IFERROR(__xludf.DUMMYFUNCTION("""COMPUTED_VALUE"""),"RSC004498")</f>
        <v>RSC004498</v>
      </c>
      <c r="C129" s="10" t="str">
        <f>IFERROR(__xludf.DUMMYFUNCTION("""COMPUTED_VALUE"""),"S1r Duck")</f>
        <v>S1r Duck</v>
      </c>
      <c r="D129" s="36" t="str">
        <f>IFERROR(__xludf.DUMMYFUNCTION("""COMPUTED_VALUE"""),"Threshers")</f>
        <v>Threshers</v>
      </c>
      <c r="E129" s="10" t="str">
        <f>IFERROR(__xludf.DUMMYFUNCTION("""COMPUTED_VALUE"""),"Solar")</f>
        <v>Solar</v>
      </c>
      <c r="F129" s="37">
        <f>IFERROR(__xludf.DUMMYFUNCTION("""COMPUTED_VALUE"""),50.111667088098635)</f>
        <v>50.11166709</v>
      </c>
      <c r="G129" s="38">
        <f>IFERROR(__xludf.DUMMYFUNCTION("""COMPUTED_VALUE"""),41.4240059697796)</f>
        <v>41.42400597</v>
      </c>
      <c r="H129" s="38">
        <f>IFERROR(__xludf.DUMMYFUNCTION("""COMPUTED_VALUE"""),45.767836528939114)</f>
        <v>45.76783653</v>
      </c>
      <c r="I129" s="14">
        <f>IFERROR(__xludf.DUMMYFUNCTION("""COMPUTED_VALUE"""),4.0)</f>
        <v>4</v>
      </c>
      <c r="J129" s="11">
        <f>IFERROR(__xludf.DUMMYFUNCTION("IFERROR(FILTER(Stats!$F:$Z,(Stats!$A:$A=$A129)*(Stats!$B:$B=$B129)))"),1.0)</f>
        <v>1</v>
      </c>
      <c r="K129" s="11">
        <f>IFERROR(__xludf.DUMMYFUNCTION("""COMPUTED_VALUE"""),3.0)</f>
        <v>3</v>
      </c>
      <c r="L129" s="12">
        <f>IFERROR(__xludf.DUMMYFUNCTION("""COMPUTED_VALUE"""),0.25)</f>
        <v>0.25</v>
      </c>
      <c r="M129" s="11">
        <f>IFERROR(__xludf.DUMMYFUNCTION("""COMPUTED_VALUE"""),0.0)</f>
        <v>0</v>
      </c>
      <c r="N129" s="11">
        <f>IFERROR(__xludf.DUMMYFUNCTION("""COMPUTED_VALUE"""),1165.0)</f>
        <v>1165</v>
      </c>
      <c r="O129" s="13">
        <f>IFERROR(__xludf.DUMMYFUNCTION("""COMPUTED_VALUE"""),2.0)</f>
        <v>2</v>
      </c>
      <c r="P129" s="14">
        <f>IFERROR(__xludf.DUMMYFUNCTION("""COMPUTED_VALUE"""),3.0)</f>
        <v>3</v>
      </c>
      <c r="Q129" s="13">
        <f>IFERROR(__xludf.DUMMYFUNCTION("""COMPUTED_VALUE"""),4.0)</f>
        <v>4</v>
      </c>
      <c r="R129" s="13">
        <f>IFERROR(__xludf.DUMMYFUNCTION("""COMPUTED_VALUE"""),6.0)</f>
        <v>6</v>
      </c>
      <c r="S129" s="15">
        <f>IFERROR(__xludf.DUMMYFUNCTION("""COMPUTED_VALUE"""),0.3333333333333333)</f>
        <v>0.3333333333</v>
      </c>
      <c r="T129" s="16">
        <f>IFERROR(__xludf.DUMMYFUNCTION("""COMPUTED_VALUE"""),291.25)</f>
        <v>291.25</v>
      </c>
      <c r="U129" s="16">
        <f>IFERROR(__xludf.DUMMYFUNCTION("""COMPUTED_VALUE"""),0.5)</f>
        <v>0.5</v>
      </c>
      <c r="V129" s="16">
        <f>IFERROR(__xludf.DUMMYFUNCTION("""COMPUTED_VALUE"""),0.75)</f>
        <v>0.75</v>
      </c>
      <c r="W129" s="16">
        <f>IFERROR(__xludf.DUMMYFUNCTION("""COMPUTED_VALUE"""),1.0)</f>
        <v>1</v>
      </c>
      <c r="X129" s="16">
        <f>IFERROR(__xludf.DUMMYFUNCTION("""COMPUTED_VALUE"""),1.5)</f>
        <v>1.5</v>
      </c>
      <c r="Y129" s="11">
        <f>IFERROR(__xludf.DUMMYFUNCTION("""COMPUTED_VALUE"""),1.0)</f>
        <v>1</v>
      </c>
      <c r="Z129" s="11">
        <f>IFERROR(__xludf.DUMMYFUNCTION("""COMPUTED_VALUE"""),0.0)</f>
        <v>0</v>
      </c>
      <c r="AA129" s="11">
        <f>IFERROR(__xludf.DUMMYFUNCTION("""COMPUTED_VALUE"""),0.0)</f>
        <v>0</v>
      </c>
      <c r="AB129" s="11">
        <f>IFERROR(__xludf.DUMMYFUNCTION("""COMPUTED_VALUE"""),0.0)</f>
        <v>0</v>
      </c>
      <c r="AC129" s="11">
        <f>IFERROR(__xludf.DUMMYFUNCTION("""COMPUTED_VALUE"""),2.0)</f>
        <v>2</v>
      </c>
      <c r="AD129" s="11">
        <f>IFERROR(__xludf.DUMMYFUNCTION("""COMPUTED_VALUE"""),5.0)</f>
        <v>5</v>
      </c>
    </row>
    <row r="130">
      <c r="A130" s="10" t="str">
        <f>IFERROR(__xludf.DUMMYFUNCTION("""COMPUTED_VALUE"""),"Challenger")</f>
        <v>Challenger</v>
      </c>
      <c r="B130" s="10" t="str">
        <f>IFERROR(__xludf.DUMMYFUNCTION("""COMPUTED_VALUE"""),"RSC003900")</f>
        <v>RSC003900</v>
      </c>
      <c r="C130" s="10" t="str">
        <f>IFERROR(__xludf.DUMMYFUNCTION("""COMPUTED_VALUE"""),"Tryhard goblin")</f>
        <v>Tryhard goblin</v>
      </c>
      <c r="D130" s="36" t="str">
        <f>IFERROR(__xludf.DUMMYFUNCTION("""COMPUTED_VALUE"""),"Porch Pirates")</f>
        <v>Porch Pirates</v>
      </c>
      <c r="E130" s="10" t="str">
        <f>IFERROR(__xludf.DUMMYFUNCTION("""COMPUTED_VALUE"""),"Solar")</f>
        <v>Solar</v>
      </c>
      <c r="F130" s="37">
        <f>IFERROR(__xludf.DUMMYFUNCTION("""COMPUTED_VALUE"""),50.13842548789805)</f>
        <v>50.13842549</v>
      </c>
      <c r="G130" s="38">
        <f>IFERROR(__xludf.DUMMYFUNCTION("""COMPUTED_VALUE"""),40.354535010715)</f>
        <v>40.35453501</v>
      </c>
      <c r="H130" s="38">
        <f>IFERROR(__xludf.DUMMYFUNCTION("""COMPUTED_VALUE"""),45.24648024930652)</f>
        <v>45.24648025</v>
      </c>
      <c r="I130" s="14">
        <f>IFERROR(__xludf.DUMMYFUNCTION("""COMPUTED_VALUE"""),52.0)</f>
        <v>52</v>
      </c>
      <c r="J130" s="11">
        <f>IFERROR(__xludf.DUMMYFUNCTION("IFERROR(FILTER(Stats!$F:$Z,(Stats!$A:$A=$A130)*(Stats!$B:$B=$B130)))"),16.0)</f>
        <v>16</v>
      </c>
      <c r="K130" s="11">
        <f>IFERROR(__xludf.DUMMYFUNCTION("""COMPUTED_VALUE"""),36.0)</f>
        <v>36</v>
      </c>
      <c r="L130" s="12">
        <f>IFERROR(__xludf.DUMMYFUNCTION("""COMPUTED_VALUE"""),0.3076923076923077)</f>
        <v>0.3076923077</v>
      </c>
      <c r="M130" s="11">
        <f>IFERROR(__xludf.DUMMYFUNCTION("""COMPUTED_VALUE"""),6.0)</f>
        <v>6</v>
      </c>
      <c r="N130" s="11">
        <f>IFERROR(__xludf.DUMMYFUNCTION("""COMPUTED_VALUE"""),17781.0)</f>
        <v>17781</v>
      </c>
      <c r="O130" s="13">
        <f>IFERROR(__xludf.DUMMYFUNCTION("""COMPUTED_VALUE"""),28.0)</f>
        <v>28</v>
      </c>
      <c r="P130" s="14">
        <f>IFERROR(__xludf.DUMMYFUNCTION("""COMPUTED_VALUE"""),28.0)</f>
        <v>28</v>
      </c>
      <c r="Q130" s="13">
        <f>IFERROR(__xludf.DUMMYFUNCTION("""COMPUTED_VALUE"""),75.0)</f>
        <v>75</v>
      </c>
      <c r="R130" s="13">
        <f>IFERROR(__xludf.DUMMYFUNCTION("""COMPUTED_VALUE"""),114.0)</f>
        <v>114</v>
      </c>
      <c r="S130" s="15">
        <f>IFERROR(__xludf.DUMMYFUNCTION("""COMPUTED_VALUE"""),0.24561403508771928)</f>
        <v>0.2456140351</v>
      </c>
      <c r="T130" s="16">
        <f>IFERROR(__xludf.DUMMYFUNCTION("""COMPUTED_VALUE"""),341.9423076923077)</f>
        <v>341.9423077</v>
      </c>
      <c r="U130" s="16">
        <f>IFERROR(__xludf.DUMMYFUNCTION("""COMPUTED_VALUE"""),0.5384615384615384)</f>
        <v>0.5384615385</v>
      </c>
      <c r="V130" s="16">
        <f>IFERROR(__xludf.DUMMYFUNCTION("""COMPUTED_VALUE"""),0.5384615384615384)</f>
        <v>0.5384615385</v>
      </c>
      <c r="W130" s="16">
        <f>IFERROR(__xludf.DUMMYFUNCTION("""COMPUTED_VALUE"""),1.4423076923076923)</f>
        <v>1.442307692</v>
      </c>
      <c r="X130" s="16">
        <f>IFERROR(__xludf.DUMMYFUNCTION("""COMPUTED_VALUE"""),2.1923076923076925)</f>
        <v>2.192307692</v>
      </c>
      <c r="Y130" s="11">
        <f>IFERROR(__xludf.DUMMYFUNCTION("""COMPUTED_VALUE"""),5.0)</f>
        <v>5</v>
      </c>
      <c r="Z130" s="11">
        <f>IFERROR(__xludf.DUMMYFUNCTION("""COMPUTED_VALUE"""),2.0)</f>
        <v>2</v>
      </c>
      <c r="AA130" s="11">
        <f>IFERROR(__xludf.DUMMYFUNCTION("""COMPUTED_VALUE"""),1.0)</f>
        <v>1</v>
      </c>
      <c r="AB130" s="11">
        <f>IFERROR(__xludf.DUMMYFUNCTION("""COMPUTED_VALUE"""),6.0)</f>
        <v>6</v>
      </c>
      <c r="AC130" s="11">
        <f>IFERROR(__xludf.DUMMYFUNCTION("""COMPUTED_VALUE"""),41.0)</f>
        <v>41</v>
      </c>
      <c r="AD130" s="11">
        <f>IFERROR(__xludf.DUMMYFUNCTION("""COMPUTED_VALUE"""),47.0)</f>
        <v>47</v>
      </c>
    </row>
    <row r="131">
      <c r="A131" s="10" t="str">
        <f>IFERROR(__xludf.DUMMYFUNCTION("""COMPUTED_VALUE"""),"Challenger")</f>
        <v>Challenger</v>
      </c>
      <c r="B131" s="10" t="str">
        <f>IFERROR(__xludf.DUMMYFUNCTION("""COMPUTED_VALUE"""),"RSC000426")</f>
        <v>RSC000426</v>
      </c>
      <c r="C131" s="10" t="str">
        <f>IFERROR(__xludf.DUMMYFUNCTION("""COMPUTED_VALUE"""),"struttrl")</f>
        <v>struttrl</v>
      </c>
      <c r="D131" s="36" t="str">
        <f>IFERROR(__xludf.DUMMYFUNCTION("""COMPUTED_VALUE"""),"Scribes
Warbirds
Toucans
Glaciers
Warthogs")</f>
        <v>Scribes
Warbirds
Toucans
Glaciers
Warthogs</v>
      </c>
      <c r="E131" s="10" t="str">
        <f>IFERROR(__xludf.DUMMYFUNCTION("""COMPUTED_VALUE"""),"Lunar
Lunar
Solar
Solar
Lunar")</f>
        <v>Lunar
Lunar
Solar
Solar
Lunar</v>
      </c>
      <c r="F131" s="37">
        <f>IFERROR(__xludf.DUMMYFUNCTION("""COMPUTED_VALUE"""),51.03879406069503)</f>
        <v>51.03879406</v>
      </c>
      <c r="G131" s="38">
        <f>IFERROR(__xludf.DUMMYFUNCTION("""COMPUTED_VALUE"""),38.52233093654476)</f>
        <v>38.52233094</v>
      </c>
      <c r="H131" s="38">
        <f>IFERROR(__xludf.DUMMYFUNCTION("""COMPUTED_VALUE"""),44.7805624986199)</f>
        <v>44.7805625</v>
      </c>
      <c r="I131" s="14">
        <f>IFERROR(__xludf.DUMMYFUNCTION("""COMPUTED_VALUE"""),26.0)</f>
        <v>26</v>
      </c>
      <c r="J131" s="11">
        <f>IFERROR(__xludf.DUMMYFUNCTION("IFERROR(FILTER(Stats!$F:$Z,(Stats!$A:$A=$A131)*(Stats!$B:$B=$B131)))"),9.0)</f>
        <v>9</v>
      </c>
      <c r="K131" s="11">
        <f>IFERROR(__xludf.DUMMYFUNCTION("""COMPUTED_VALUE"""),17.0)</f>
        <v>17</v>
      </c>
      <c r="L131" s="12">
        <f>IFERROR(__xludf.DUMMYFUNCTION("""COMPUTED_VALUE"""),0.34615384615384615)</f>
        <v>0.3461538462</v>
      </c>
      <c r="M131" s="11">
        <f>IFERROR(__xludf.DUMMYFUNCTION("""COMPUTED_VALUE"""),3.0)</f>
        <v>3</v>
      </c>
      <c r="N131" s="11">
        <f>IFERROR(__xludf.DUMMYFUNCTION("""COMPUTED_VALUE"""),8678.0)</f>
        <v>8678</v>
      </c>
      <c r="O131" s="13">
        <f>IFERROR(__xludf.DUMMYFUNCTION("""COMPUTED_VALUE"""),14.0)</f>
        <v>14</v>
      </c>
      <c r="P131" s="14">
        <f>IFERROR(__xludf.DUMMYFUNCTION("""COMPUTED_VALUE"""),13.0)</f>
        <v>13</v>
      </c>
      <c r="Q131" s="13">
        <f>IFERROR(__xludf.DUMMYFUNCTION("""COMPUTED_VALUE"""),40.0)</f>
        <v>40</v>
      </c>
      <c r="R131" s="13">
        <f>IFERROR(__xludf.DUMMYFUNCTION("""COMPUTED_VALUE"""),69.0)</f>
        <v>69</v>
      </c>
      <c r="S131" s="15">
        <f>IFERROR(__xludf.DUMMYFUNCTION("""COMPUTED_VALUE"""),0.2028985507246377)</f>
        <v>0.2028985507</v>
      </c>
      <c r="T131" s="16">
        <f>IFERROR(__xludf.DUMMYFUNCTION("""COMPUTED_VALUE"""),333.7692307692308)</f>
        <v>333.7692308</v>
      </c>
      <c r="U131" s="16">
        <f>IFERROR(__xludf.DUMMYFUNCTION("""COMPUTED_VALUE"""),0.5384615384615384)</f>
        <v>0.5384615385</v>
      </c>
      <c r="V131" s="16">
        <f>IFERROR(__xludf.DUMMYFUNCTION("""COMPUTED_VALUE"""),0.5)</f>
        <v>0.5</v>
      </c>
      <c r="W131" s="16">
        <f>IFERROR(__xludf.DUMMYFUNCTION("""COMPUTED_VALUE"""),1.5384615384615385)</f>
        <v>1.538461538</v>
      </c>
      <c r="X131" s="16">
        <f>IFERROR(__xludf.DUMMYFUNCTION("""COMPUTED_VALUE"""),2.6538461538461537)</f>
        <v>2.653846154</v>
      </c>
      <c r="Y131" s="11">
        <f>IFERROR(__xludf.DUMMYFUNCTION("""COMPUTED_VALUE"""),3.0)</f>
        <v>3</v>
      </c>
      <c r="Z131" s="11">
        <f>IFERROR(__xludf.DUMMYFUNCTION("""COMPUTED_VALUE"""),0.0)</f>
        <v>0</v>
      </c>
      <c r="AA131" s="11">
        <f>IFERROR(__xludf.DUMMYFUNCTION("""COMPUTED_VALUE"""),1.0)</f>
        <v>1</v>
      </c>
      <c r="AB131" s="11">
        <f>IFERROR(__xludf.DUMMYFUNCTION("""COMPUTED_VALUE"""),4.0)</f>
        <v>4</v>
      </c>
      <c r="AC131" s="11">
        <f>IFERROR(__xludf.DUMMYFUNCTION("""COMPUTED_VALUE"""),17.0)</f>
        <v>17</v>
      </c>
      <c r="AD131" s="11">
        <f>IFERROR(__xludf.DUMMYFUNCTION("""COMPUTED_VALUE"""),28.0)</f>
        <v>28</v>
      </c>
    </row>
    <row r="132">
      <c r="A132" s="10" t="str">
        <f>IFERROR(__xludf.DUMMYFUNCTION("""COMPUTED_VALUE"""),"Challenger")</f>
        <v>Challenger</v>
      </c>
      <c r="B132" s="10" t="str">
        <f>IFERROR(__xludf.DUMMYFUNCTION("""COMPUTED_VALUE"""),"RSC007692")</f>
        <v>RSC007692</v>
      </c>
      <c r="C132" s="10" t="str">
        <f>IFERROR(__xludf.DUMMYFUNCTION("""COMPUTED_VALUE"""),"Unc_DyLon")</f>
        <v>Unc_DyLon</v>
      </c>
      <c r="D132" s="36" t="str">
        <f>IFERROR(__xludf.DUMMYFUNCTION("""COMPUTED_VALUE"""),"Gold Hoarders
Meat Lovers")</f>
        <v>Gold Hoarders
Meat Lovers</v>
      </c>
      <c r="E132" s="10" t="str">
        <f>IFERROR(__xludf.DUMMYFUNCTION("""COMPUTED_VALUE"""),"Lunar
Lunar")</f>
        <v>Lunar
Lunar</v>
      </c>
      <c r="F132" s="37">
        <f>IFERROR(__xludf.DUMMYFUNCTION("""COMPUTED_VALUE"""),47.20532654450533)</f>
        <v>47.20532654</v>
      </c>
      <c r="G132" s="38">
        <f>IFERROR(__xludf.DUMMYFUNCTION("""COMPUTED_VALUE"""),40.902480529228946)</f>
        <v>40.90248053</v>
      </c>
      <c r="H132" s="38">
        <f>IFERROR(__xludf.DUMMYFUNCTION("""COMPUTED_VALUE"""),44.05390353686714)</f>
        <v>44.05390354</v>
      </c>
      <c r="I132" s="14">
        <f>IFERROR(__xludf.DUMMYFUNCTION("""COMPUTED_VALUE"""),51.0)</f>
        <v>51</v>
      </c>
      <c r="J132" s="11">
        <f>IFERROR(__xludf.DUMMYFUNCTION("IFERROR(FILTER(Stats!$F:$Z,(Stats!$A:$A=$A132)*(Stats!$B:$B=$B132)))"),18.0)</f>
        <v>18</v>
      </c>
      <c r="K132" s="11">
        <f>IFERROR(__xludf.DUMMYFUNCTION("""COMPUTED_VALUE"""),33.0)</f>
        <v>33</v>
      </c>
      <c r="L132" s="12">
        <f>IFERROR(__xludf.DUMMYFUNCTION("""COMPUTED_VALUE"""),0.35294117647058826)</f>
        <v>0.3529411765</v>
      </c>
      <c r="M132" s="11">
        <f>IFERROR(__xludf.DUMMYFUNCTION("""COMPUTED_VALUE"""),8.0)</f>
        <v>8</v>
      </c>
      <c r="N132" s="11">
        <f>IFERROR(__xludf.DUMMYFUNCTION("""COMPUTED_VALUE"""),16758.0)</f>
        <v>16758</v>
      </c>
      <c r="O132" s="13">
        <f>IFERROR(__xludf.DUMMYFUNCTION("""COMPUTED_VALUE"""),35.0)</f>
        <v>35</v>
      </c>
      <c r="P132" s="14">
        <f>IFERROR(__xludf.DUMMYFUNCTION("""COMPUTED_VALUE"""),20.0)</f>
        <v>20</v>
      </c>
      <c r="Q132" s="13">
        <f>IFERROR(__xludf.DUMMYFUNCTION("""COMPUTED_VALUE"""),68.0)</f>
        <v>68</v>
      </c>
      <c r="R132" s="13">
        <f>IFERROR(__xludf.DUMMYFUNCTION("""COMPUTED_VALUE"""),132.0)</f>
        <v>132</v>
      </c>
      <c r="S132" s="15">
        <f>IFERROR(__xludf.DUMMYFUNCTION("""COMPUTED_VALUE"""),0.26515151515151514)</f>
        <v>0.2651515152</v>
      </c>
      <c r="T132" s="16">
        <f>IFERROR(__xludf.DUMMYFUNCTION("""COMPUTED_VALUE"""),328.5882352941176)</f>
        <v>328.5882353</v>
      </c>
      <c r="U132" s="16">
        <f>IFERROR(__xludf.DUMMYFUNCTION("""COMPUTED_VALUE"""),0.6862745098039216)</f>
        <v>0.6862745098</v>
      </c>
      <c r="V132" s="16">
        <f>IFERROR(__xludf.DUMMYFUNCTION("""COMPUTED_VALUE"""),0.39215686274509803)</f>
        <v>0.3921568627</v>
      </c>
      <c r="W132" s="16">
        <f>IFERROR(__xludf.DUMMYFUNCTION("""COMPUTED_VALUE"""),1.3333333333333333)</f>
        <v>1.333333333</v>
      </c>
      <c r="X132" s="16">
        <f>IFERROR(__xludf.DUMMYFUNCTION("""COMPUTED_VALUE"""),2.588235294117647)</f>
        <v>2.588235294</v>
      </c>
      <c r="Y132" s="11">
        <f>IFERROR(__xludf.DUMMYFUNCTION("""COMPUTED_VALUE"""),5.0)</f>
        <v>5</v>
      </c>
      <c r="Z132" s="11">
        <f>IFERROR(__xludf.DUMMYFUNCTION("""COMPUTED_VALUE"""),2.0)</f>
        <v>2</v>
      </c>
      <c r="AA132" s="11">
        <f>IFERROR(__xludf.DUMMYFUNCTION("""COMPUTED_VALUE"""),0.0)</f>
        <v>0</v>
      </c>
      <c r="AB132" s="11">
        <f>IFERROR(__xludf.DUMMYFUNCTION("""COMPUTED_VALUE"""),10.0)</f>
        <v>10</v>
      </c>
      <c r="AC132" s="11">
        <f>IFERROR(__xludf.DUMMYFUNCTION("""COMPUTED_VALUE"""),37.0)</f>
        <v>37</v>
      </c>
      <c r="AD132" s="11">
        <f>IFERROR(__xludf.DUMMYFUNCTION("""COMPUTED_VALUE"""),46.0)</f>
        <v>46</v>
      </c>
    </row>
    <row r="133">
      <c r="A133" s="10" t="str">
        <f>IFERROR(__xludf.DUMMYFUNCTION("""COMPUTED_VALUE"""),"Challenger")</f>
        <v>Challenger</v>
      </c>
      <c r="B133" s="10" t="str">
        <f>IFERROR(__xludf.DUMMYFUNCTION("""COMPUTED_VALUE"""),"RSC000221")</f>
        <v>RSC000221</v>
      </c>
      <c r="C133" s="10" t="str">
        <f>IFERROR(__xludf.DUMMYFUNCTION("""COMPUTED_VALUE"""),"Treefrog")</f>
        <v>Treefrog</v>
      </c>
      <c r="D133" s="36" t="str">
        <f>IFERROR(__xludf.DUMMYFUNCTION("""COMPUTED_VALUE"""),"Scribes")</f>
        <v>Scribes</v>
      </c>
      <c r="E133" s="10" t="str">
        <f>IFERROR(__xludf.DUMMYFUNCTION("""COMPUTED_VALUE"""),"Lunar")</f>
        <v>Lunar</v>
      </c>
      <c r="F133" s="37">
        <f>IFERROR(__xludf.DUMMYFUNCTION("""COMPUTED_VALUE"""),45.48675589896014)</f>
        <v>45.4867559</v>
      </c>
      <c r="G133" s="38">
        <f>IFERROR(__xludf.DUMMYFUNCTION("""COMPUTED_VALUE"""),42.252027161176734)</f>
        <v>42.25202716</v>
      </c>
      <c r="H133" s="38">
        <f>IFERROR(__xludf.DUMMYFUNCTION("""COMPUTED_VALUE"""),43.86939153006844)</f>
        <v>43.86939153</v>
      </c>
      <c r="I133" s="14">
        <f>IFERROR(__xludf.DUMMYFUNCTION("""COMPUTED_VALUE"""),44.0)</f>
        <v>44</v>
      </c>
      <c r="J133" s="11">
        <f>IFERROR(__xludf.DUMMYFUNCTION("IFERROR(FILTER(Stats!$F:$Z,(Stats!$A:$A=$A133)*(Stats!$B:$B=$B133)))"),17.0)</f>
        <v>17</v>
      </c>
      <c r="K133" s="11">
        <f>IFERROR(__xludf.DUMMYFUNCTION("""COMPUTED_VALUE"""),27.0)</f>
        <v>27</v>
      </c>
      <c r="L133" s="12">
        <f>IFERROR(__xludf.DUMMYFUNCTION("""COMPUTED_VALUE"""),0.38636363636363635)</f>
        <v>0.3863636364</v>
      </c>
      <c r="M133" s="11">
        <f>IFERROR(__xludf.DUMMYFUNCTION("""COMPUTED_VALUE"""),6.0)</f>
        <v>6</v>
      </c>
      <c r="N133" s="11">
        <f>IFERROR(__xludf.DUMMYFUNCTION("""COMPUTED_VALUE"""),14285.0)</f>
        <v>14285</v>
      </c>
      <c r="O133" s="13">
        <f>IFERROR(__xludf.DUMMYFUNCTION("""COMPUTED_VALUE"""),36.0)</f>
        <v>36</v>
      </c>
      <c r="P133" s="14">
        <f>IFERROR(__xludf.DUMMYFUNCTION("""COMPUTED_VALUE"""),22.0)</f>
        <v>22</v>
      </c>
      <c r="Q133" s="13">
        <f>IFERROR(__xludf.DUMMYFUNCTION("""COMPUTED_VALUE"""),47.0)</f>
        <v>47</v>
      </c>
      <c r="R133" s="13">
        <f>IFERROR(__xludf.DUMMYFUNCTION("""COMPUTED_VALUE"""),100.0)</f>
        <v>100</v>
      </c>
      <c r="S133" s="15">
        <f>IFERROR(__xludf.DUMMYFUNCTION("""COMPUTED_VALUE"""),0.36)</f>
        <v>0.36</v>
      </c>
      <c r="T133" s="16">
        <f>IFERROR(__xludf.DUMMYFUNCTION("""COMPUTED_VALUE"""),324.65909090909093)</f>
        <v>324.6590909</v>
      </c>
      <c r="U133" s="16">
        <f>IFERROR(__xludf.DUMMYFUNCTION("""COMPUTED_VALUE"""),0.8181818181818182)</f>
        <v>0.8181818182</v>
      </c>
      <c r="V133" s="16">
        <f>IFERROR(__xludf.DUMMYFUNCTION("""COMPUTED_VALUE"""),0.5)</f>
        <v>0.5</v>
      </c>
      <c r="W133" s="16">
        <f>IFERROR(__xludf.DUMMYFUNCTION("""COMPUTED_VALUE"""),1.0681818181818181)</f>
        <v>1.068181818</v>
      </c>
      <c r="X133" s="16">
        <f>IFERROR(__xludf.DUMMYFUNCTION("""COMPUTED_VALUE"""),2.272727272727273)</f>
        <v>2.272727273</v>
      </c>
      <c r="Y133" s="11">
        <f>IFERROR(__xludf.DUMMYFUNCTION("""COMPUTED_VALUE"""),6.0)</f>
        <v>6</v>
      </c>
      <c r="Z133" s="11">
        <f>IFERROR(__xludf.DUMMYFUNCTION("""COMPUTED_VALUE"""),2.0)</f>
        <v>2</v>
      </c>
      <c r="AA133" s="11">
        <f>IFERROR(__xludf.DUMMYFUNCTION("""COMPUTED_VALUE"""),2.0)</f>
        <v>2</v>
      </c>
      <c r="AB133" s="11">
        <f>IFERROR(__xludf.DUMMYFUNCTION("""COMPUTED_VALUE"""),3.0)</f>
        <v>3</v>
      </c>
      <c r="AC133" s="11">
        <f>IFERROR(__xludf.DUMMYFUNCTION("""COMPUTED_VALUE"""),46.0)</f>
        <v>46</v>
      </c>
      <c r="AD133" s="11">
        <f>IFERROR(__xludf.DUMMYFUNCTION("""COMPUTED_VALUE"""),53.0)</f>
        <v>53</v>
      </c>
    </row>
    <row r="134">
      <c r="A134" s="10" t="str">
        <f>IFERROR(__xludf.DUMMYFUNCTION("""COMPUTED_VALUE"""),"Challenger")</f>
        <v>Challenger</v>
      </c>
      <c r="B134" s="10" t="str">
        <f>IFERROR(__xludf.DUMMYFUNCTION("""COMPUTED_VALUE"""),"RSC003387")</f>
        <v>RSC003387</v>
      </c>
      <c r="C134" s="10" t="str">
        <f>IFERROR(__xludf.DUMMYFUNCTION("""COMPUTED_VALUE"""),"Redline")</f>
        <v>Redline</v>
      </c>
      <c r="D134" s="36" t="str">
        <f>IFERROR(__xludf.DUMMYFUNCTION("""COMPUTED_VALUE"""),"Havarti Hustlers")</f>
        <v>Havarti Hustlers</v>
      </c>
      <c r="E134" s="10" t="str">
        <f>IFERROR(__xludf.DUMMYFUNCTION("""COMPUTED_VALUE"""),"Lunar")</f>
        <v>Lunar</v>
      </c>
      <c r="F134" s="37">
        <f>IFERROR(__xludf.DUMMYFUNCTION("""COMPUTED_VALUE"""),44.6395774230147)</f>
        <v>44.63957742</v>
      </c>
      <c r="G134" s="38">
        <f>IFERROR(__xludf.DUMMYFUNCTION("""COMPUTED_VALUE"""),42.8678594063104)</f>
        <v>42.86785941</v>
      </c>
      <c r="H134" s="38">
        <f>IFERROR(__xludf.DUMMYFUNCTION("""COMPUTED_VALUE"""),43.75371841466255)</f>
        <v>43.75371841</v>
      </c>
      <c r="I134" s="14">
        <f>IFERROR(__xludf.DUMMYFUNCTION("""COMPUTED_VALUE"""),30.0)</f>
        <v>30</v>
      </c>
      <c r="J134" s="11">
        <f>IFERROR(__xludf.DUMMYFUNCTION("IFERROR(FILTER(Stats!$F:$Z,(Stats!$A:$A=$A134)*(Stats!$B:$B=$B134)))"),12.0)</f>
        <v>12</v>
      </c>
      <c r="K134" s="11">
        <f>IFERROR(__xludf.DUMMYFUNCTION("""COMPUTED_VALUE"""),18.0)</f>
        <v>18</v>
      </c>
      <c r="L134" s="12">
        <f>IFERROR(__xludf.DUMMYFUNCTION("""COMPUTED_VALUE"""),0.4)</f>
        <v>0.4</v>
      </c>
      <c r="M134" s="11">
        <f>IFERROR(__xludf.DUMMYFUNCTION("""COMPUTED_VALUE"""),3.0)</f>
        <v>3</v>
      </c>
      <c r="N134" s="11">
        <f>IFERROR(__xludf.DUMMYFUNCTION("""COMPUTED_VALUE"""),10336.0)</f>
        <v>10336</v>
      </c>
      <c r="O134" s="13">
        <f>IFERROR(__xludf.DUMMYFUNCTION("""COMPUTED_VALUE"""),22.0)</f>
        <v>22</v>
      </c>
      <c r="P134" s="14">
        <f>IFERROR(__xludf.DUMMYFUNCTION("""COMPUTED_VALUE"""),13.0)</f>
        <v>13</v>
      </c>
      <c r="Q134" s="13">
        <f>IFERROR(__xludf.DUMMYFUNCTION("""COMPUTED_VALUE"""),45.0)</f>
        <v>45</v>
      </c>
      <c r="R134" s="13">
        <f>IFERROR(__xludf.DUMMYFUNCTION("""COMPUTED_VALUE"""),60.0)</f>
        <v>60</v>
      </c>
      <c r="S134" s="15">
        <f>IFERROR(__xludf.DUMMYFUNCTION("""COMPUTED_VALUE"""),0.36666666666666664)</f>
        <v>0.3666666667</v>
      </c>
      <c r="T134" s="16">
        <f>IFERROR(__xludf.DUMMYFUNCTION("""COMPUTED_VALUE"""),344.53333333333336)</f>
        <v>344.5333333</v>
      </c>
      <c r="U134" s="16">
        <f>IFERROR(__xludf.DUMMYFUNCTION("""COMPUTED_VALUE"""),0.7333333333333333)</f>
        <v>0.7333333333</v>
      </c>
      <c r="V134" s="16">
        <f>IFERROR(__xludf.DUMMYFUNCTION("""COMPUTED_VALUE"""),0.43333333333333335)</f>
        <v>0.4333333333</v>
      </c>
      <c r="W134" s="16">
        <f>IFERROR(__xludf.DUMMYFUNCTION("""COMPUTED_VALUE"""),1.5)</f>
        <v>1.5</v>
      </c>
      <c r="X134" s="16">
        <f>IFERROR(__xludf.DUMMYFUNCTION("""COMPUTED_VALUE"""),2.0)</f>
        <v>2</v>
      </c>
      <c r="Y134" s="11">
        <f>IFERROR(__xludf.DUMMYFUNCTION("""COMPUTED_VALUE"""),3.0)</f>
        <v>3</v>
      </c>
      <c r="Z134" s="11">
        <f>IFERROR(__xludf.DUMMYFUNCTION("""COMPUTED_VALUE"""),1.0)</f>
        <v>1</v>
      </c>
      <c r="AA134" s="11">
        <f>IFERROR(__xludf.DUMMYFUNCTION("""COMPUTED_VALUE"""),0.0)</f>
        <v>0</v>
      </c>
      <c r="AB134" s="11">
        <f>IFERROR(__xludf.DUMMYFUNCTION("""COMPUTED_VALUE"""),3.0)</f>
        <v>3</v>
      </c>
      <c r="AC134" s="11">
        <f>IFERROR(__xludf.DUMMYFUNCTION("""COMPUTED_VALUE"""),9.0)</f>
        <v>9</v>
      </c>
      <c r="AD134" s="11">
        <f>IFERROR(__xludf.DUMMYFUNCTION("""COMPUTED_VALUE"""),36.0)</f>
        <v>36</v>
      </c>
    </row>
    <row r="135">
      <c r="A135" s="10" t="str">
        <f>IFERROR(__xludf.DUMMYFUNCTION("""COMPUTED_VALUE"""),"Challenger")</f>
        <v>Challenger</v>
      </c>
      <c r="B135" s="10" t="str">
        <f>IFERROR(__xludf.DUMMYFUNCTION("""COMPUTED_VALUE"""),"RSC007525")</f>
        <v>RSC007525</v>
      </c>
      <c r="C135" s="10" t="str">
        <f>IFERROR(__xludf.DUMMYFUNCTION("""COMPUTED_VALUE"""),"BulletNote")</f>
        <v>BulletNote</v>
      </c>
      <c r="D135" s="36" t="str">
        <f>IFERROR(__xludf.DUMMYFUNCTION("""COMPUTED_VALUE"""),"Thunder Pups")</f>
        <v>Thunder Pups</v>
      </c>
      <c r="E135" s="10" t="str">
        <f>IFERROR(__xludf.DUMMYFUNCTION("""COMPUTED_VALUE"""),"Solar")</f>
        <v>Solar</v>
      </c>
      <c r="F135" s="37">
        <f>IFERROR(__xludf.DUMMYFUNCTION("""COMPUTED_VALUE"""),43.59732599729899)</f>
        <v>43.597326</v>
      </c>
      <c r="G135" s="38">
        <f>IFERROR(__xludf.DUMMYFUNCTION("""COMPUTED_VALUE"""),41.61425561939143)</f>
        <v>41.61425562</v>
      </c>
      <c r="H135" s="38">
        <f>IFERROR(__xludf.DUMMYFUNCTION("""COMPUTED_VALUE"""),42.605790808345205)</f>
        <v>42.60579081</v>
      </c>
      <c r="I135" s="14">
        <f>IFERROR(__xludf.DUMMYFUNCTION("""COMPUTED_VALUE"""),34.0)</f>
        <v>34</v>
      </c>
      <c r="J135" s="11">
        <f>IFERROR(__xludf.DUMMYFUNCTION("IFERROR(FILTER(Stats!$F:$Z,(Stats!$A:$A=$A135)*(Stats!$B:$B=$B135)))"),17.0)</f>
        <v>17</v>
      </c>
      <c r="K135" s="11">
        <f>IFERROR(__xludf.DUMMYFUNCTION("""COMPUTED_VALUE"""),17.0)</f>
        <v>17</v>
      </c>
      <c r="L135" s="12">
        <f>IFERROR(__xludf.DUMMYFUNCTION("""COMPUTED_VALUE"""),0.5)</f>
        <v>0.5</v>
      </c>
      <c r="M135" s="11">
        <f>IFERROR(__xludf.DUMMYFUNCTION("""COMPUTED_VALUE"""),4.0)</f>
        <v>4</v>
      </c>
      <c r="N135" s="11">
        <f>IFERROR(__xludf.DUMMYFUNCTION("""COMPUTED_VALUE"""),10880.0)</f>
        <v>10880</v>
      </c>
      <c r="O135" s="13">
        <f>IFERROR(__xludf.DUMMYFUNCTION("""COMPUTED_VALUE"""),24.0)</f>
        <v>24</v>
      </c>
      <c r="P135" s="14">
        <f>IFERROR(__xludf.DUMMYFUNCTION("""COMPUTED_VALUE"""),18.0)</f>
        <v>18</v>
      </c>
      <c r="Q135" s="13">
        <f>IFERROR(__xludf.DUMMYFUNCTION("""COMPUTED_VALUE"""),45.0)</f>
        <v>45</v>
      </c>
      <c r="R135" s="13">
        <f>IFERROR(__xludf.DUMMYFUNCTION("""COMPUTED_VALUE"""),67.0)</f>
        <v>67</v>
      </c>
      <c r="S135" s="15">
        <f>IFERROR(__xludf.DUMMYFUNCTION("""COMPUTED_VALUE"""),0.3582089552238806)</f>
        <v>0.3582089552</v>
      </c>
      <c r="T135" s="16">
        <f>IFERROR(__xludf.DUMMYFUNCTION("""COMPUTED_VALUE"""),320.0)</f>
        <v>320</v>
      </c>
      <c r="U135" s="16">
        <f>IFERROR(__xludf.DUMMYFUNCTION("""COMPUTED_VALUE"""),0.7058823529411765)</f>
        <v>0.7058823529</v>
      </c>
      <c r="V135" s="16">
        <f>IFERROR(__xludf.DUMMYFUNCTION("""COMPUTED_VALUE"""),0.5294117647058824)</f>
        <v>0.5294117647</v>
      </c>
      <c r="W135" s="16">
        <f>IFERROR(__xludf.DUMMYFUNCTION("""COMPUTED_VALUE"""),1.3235294117647058)</f>
        <v>1.323529412</v>
      </c>
      <c r="X135" s="16">
        <f>IFERROR(__xludf.DUMMYFUNCTION("""COMPUTED_VALUE"""),1.9705882352941178)</f>
        <v>1.970588235</v>
      </c>
      <c r="Y135" s="11">
        <f>IFERROR(__xludf.DUMMYFUNCTION("""COMPUTED_VALUE"""),4.0)</f>
        <v>4</v>
      </c>
      <c r="Z135" s="11">
        <f>IFERROR(__xludf.DUMMYFUNCTION("""COMPUTED_VALUE"""),2.0)</f>
        <v>2</v>
      </c>
      <c r="AA135" s="11">
        <f>IFERROR(__xludf.DUMMYFUNCTION("""COMPUTED_VALUE"""),0.0)</f>
        <v>0</v>
      </c>
      <c r="AB135" s="11">
        <f>IFERROR(__xludf.DUMMYFUNCTION("""COMPUTED_VALUE"""),6.0)</f>
        <v>6</v>
      </c>
      <c r="AC135" s="11">
        <f>IFERROR(__xludf.DUMMYFUNCTION("""COMPUTED_VALUE"""),15.0)</f>
        <v>15</v>
      </c>
      <c r="AD135" s="11">
        <f>IFERROR(__xludf.DUMMYFUNCTION("""COMPUTED_VALUE"""),40.0)</f>
        <v>40</v>
      </c>
    </row>
    <row r="136">
      <c r="A136" s="10" t="str">
        <f>IFERROR(__xludf.DUMMYFUNCTION("""COMPUTED_VALUE"""),"Challenger")</f>
        <v>Challenger</v>
      </c>
      <c r="B136" s="10" t="str">
        <f>IFERROR(__xludf.DUMMYFUNCTION("""COMPUTED_VALUE"""),"RSC007537")</f>
        <v>RSC007537</v>
      </c>
      <c r="C136" s="10" t="str">
        <f>IFERROR(__xludf.DUMMYFUNCTION("""COMPUTED_VALUE"""),"yoshawatt")</f>
        <v>yoshawatt</v>
      </c>
      <c r="D136" s="36" t="str">
        <f>IFERROR(__xludf.DUMMYFUNCTION("""COMPUTED_VALUE"""),"Stingrays
Metal")</f>
        <v>Stingrays
Metal</v>
      </c>
      <c r="E136" s="10" t="str">
        <f>IFERROR(__xludf.DUMMYFUNCTION("""COMPUTED_VALUE"""),"Lunar
Solar")</f>
        <v>Lunar
Solar</v>
      </c>
      <c r="F136" s="37">
        <f>IFERROR(__xludf.DUMMYFUNCTION("""COMPUTED_VALUE"""),40.12940655614058)</f>
        <v>40.12940656</v>
      </c>
      <c r="G136" s="38">
        <f>IFERROR(__xludf.DUMMYFUNCTION("""COMPUTED_VALUE"""),44.18001806085016)</f>
        <v>44.18001806</v>
      </c>
      <c r="H136" s="38">
        <f>IFERROR(__xludf.DUMMYFUNCTION("""COMPUTED_VALUE"""),42.15471230849537)</f>
        <v>42.15471231</v>
      </c>
      <c r="I136" s="14">
        <f>IFERROR(__xludf.DUMMYFUNCTION("""COMPUTED_VALUE"""),29.0)</f>
        <v>29</v>
      </c>
      <c r="J136" s="11">
        <f>IFERROR(__xludf.DUMMYFUNCTION("IFERROR(FILTER(Stats!$F:$Z,(Stats!$A:$A=$A136)*(Stats!$B:$B=$B136)))"),12.0)</f>
        <v>12</v>
      </c>
      <c r="K136" s="11">
        <f>IFERROR(__xludf.DUMMYFUNCTION("""COMPUTED_VALUE"""),17.0)</f>
        <v>17</v>
      </c>
      <c r="L136" s="12">
        <f>IFERROR(__xludf.DUMMYFUNCTION("""COMPUTED_VALUE"""),0.41379310344827586)</f>
        <v>0.4137931034</v>
      </c>
      <c r="M136" s="11">
        <f>IFERROR(__xludf.DUMMYFUNCTION("""COMPUTED_VALUE"""),5.0)</f>
        <v>5</v>
      </c>
      <c r="N136" s="11">
        <f>IFERROR(__xludf.DUMMYFUNCTION("""COMPUTED_VALUE"""),8973.0)</f>
        <v>8973</v>
      </c>
      <c r="O136" s="13">
        <f>IFERROR(__xludf.DUMMYFUNCTION("""COMPUTED_VALUE"""),27.0)</f>
        <v>27</v>
      </c>
      <c r="P136" s="14">
        <f>IFERROR(__xludf.DUMMYFUNCTION("""COMPUTED_VALUE"""),9.0)</f>
        <v>9</v>
      </c>
      <c r="Q136" s="13">
        <f>IFERROR(__xludf.DUMMYFUNCTION("""COMPUTED_VALUE"""),21.0)</f>
        <v>21</v>
      </c>
      <c r="R136" s="13">
        <f>IFERROR(__xludf.DUMMYFUNCTION("""COMPUTED_VALUE"""),78.0)</f>
        <v>78</v>
      </c>
      <c r="S136" s="15">
        <f>IFERROR(__xludf.DUMMYFUNCTION("""COMPUTED_VALUE"""),0.34615384615384615)</f>
        <v>0.3461538462</v>
      </c>
      <c r="T136" s="16">
        <f>IFERROR(__xludf.DUMMYFUNCTION("""COMPUTED_VALUE"""),309.41379310344826)</f>
        <v>309.4137931</v>
      </c>
      <c r="U136" s="16">
        <f>IFERROR(__xludf.DUMMYFUNCTION("""COMPUTED_VALUE"""),0.9310344827586207)</f>
        <v>0.9310344828</v>
      </c>
      <c r="V136" s="16">
        <f>IFERROR(__xludf.DUMMYFUNCTION("""COMPUTED_VALUE"""),0.3103448275862069)</f>
        <v>0.3103448276</v>
      </c>
      <c r="W136" s="16">
        <f>IFERROR(__xludf.DUMMYFUNCTION("""COMPUTED_VALUE"""),0.7241379310344828)</f>
        <v>0.724137931</v>
      </c>
      <c r="X136" s="16">
        <f>IFERROR(__xludf.DUMMYFUNCTION("""COMPUTED_VALUE"""),2.689655172413793)</f>
        <v>2.689655172</v>
      </c>
      <c r="Y136" s="11">
        <f>IFERROR(__xludf.DUMMYFUNCTION("""COMPUTED_VALUE"""),2.0)</f>
        <v>2</v>
      </c>
      <c r="Z136" s="11">
        <f>IFERROR(__xludf.DUMMYFUNCTION("""COMPUTED_VALUE"""),1.0)</f>
        <v>1</v>
      </c>
      <c r="AA136" s="11">
        <f>IFERROR(__xludf.DUMMYFUNCTION("""COMPUTED_VALUE"""),0.0)</f>
        <v>0</v>
      </c>
      <c r="AB136" s="11">
        <f>IFERROR(__xludf.DUMMYFUNCTION("""COMPUTED_VALUE"""),1.0)</f>
        <v>1</v>
      </c>
      <c r="AC136" s="11">
        <f>IFERROR(__xludf.DUMMYFUNCTION("""COMPUTED_VALUE"""),15.0)</f>
        <v>15</v>
      </c>
      <c r="AD136" s="11">
        <f>IFERROR(__xludf.DUMMYFUNCTION("""COMPUTED_VALUE"""),28.0)</f>
        <v>28</v>
      </c>
    </row>
    <row r="137">
      <c r="A137" s="10" t="str">
        <f>IFERROR(__xludf.DUMMYFUNCTION("""COMPUTED_VALUE"""),"Challenger")</f>
        <v>Challenger</v>
      </c>
      <c r="B137" s="10" t="str">
        <f>IFERROR(__xludf.DUMMYFUNCTION("""COMPUTED_VALUE"""),"RSC007141")</f>
        <v>RSC007141</v>
      </c>
      <c r="C137" s="10" t="str">
        <f>IFERROR(__xludf.DUMMYFUNCTION("""COMPUTED_VALUE"""),"Cuddlingus")</f>
        <v>Cuddlingus</v>
      </c>
      <c r="D137" s="36" t="str">
        <f>IFERROR(__xludf.DUMMYFUNCTION("""COMPUTED_VALUE"""),"Zombies")</f>
        <v>Zombies</v>
      </c>
      <c r="E137" s="10" t="str">
        <f>IFERROR(__xludf.DUMMYFUNCTION("""COMPUTED_VALUE"""),"Lunar")</f>
        <v>Lunar</v>
      </c>
      <c r="F137" s="37">
        <f>IFERROR(__xludf.DUMMYFUNCTION("""COMPUTED_VALUE"""),41.88466561074607)</f>
        <v>41.88466561</v>
      </c>
      <c r="G137" s="38">
        <f>IFERROR(__xludf.DUMMYFUNCTION("""COMPUTED_VALUE"""),42.06323464773869)</f>
        <v>42.06323465</v>
      </c>
      <c r="H137" s="38">
        <f>IFERROR(__xludf.DUMMYFUNCTION("""COMPUTED_VALUE"""),41.97395012924238)</f>
        <v>41.97395013</v>
      </c>
      <c r="I137" s="14">
        <f>IFERROR(__xludf.DUMMYFUNCTION("""COMPUTED_VALUE"""),40.0)</f>
        <v>40</v>
      </c>
      <c r="J137" s="11">
        <f>IFERROR(__xludf.DUMMYFUNCTION("IFERROR(FILTER(Stats!$F:$Z,(Stats!$A:$A=$A137)*(Stats!$B:$B=$B137)))"),23.0)</f>
        <v>23</v>
      </c>
      <c r="K137" s="11">
        <f>IFERROR(__xludf.DUMMYFUNCTION("""COMPUTED_VALUE"""),17.0)</f>
        <v>17</v>
      </c>
      <c r="L137" s="12">
        <f>IFERROR(__xludf.DUMMYFUNCTION("""COMPUTED_VALUE"""),0.575)</f>
        <v>0.575</v>
      </c>
      <c r="M137" s="11">
        <f>IFERROR(__xludf.DUMMYFUNCTION("""COMPUTED_VALUE"""),5.0)</f>
        <v>5</v>
      </c>
      <c r="N137" s="11">
        <f>IFERROR(__xludf.DUMMYFUNCTION("""COMPUTED_VALUE"""),11688.0)</f>
        <v>11688</v>
      </c>
      <c r="O137" s="13">
        <f>IFERROR(__xludf.DUMMYFUNCTION("""COMPUTED_VALUE"""),27.0)</f>
        <v>27</v>
      </c>
      <c r="P137" s="14">
        <f>IFERROR(__xludf.DUMMYFUNCTION("""COMPUTED_VALUE"""),17.0)</f>
        <v>17</v>
      </c>
      <c r="Q137" s="13">
        <f>IFERROR(__xludf.DUMMYFUNCTION("""COMPUTED_VALUE"""),37.0)</f>
        <v>37</v>
      </c>
      <c r="R137" s="13">
        <f>IFERROR(__xludf.DUMMYFUNCTION("""COMPUTED_VALUE"""),78.0)</f>
        <v>78</v>
      </c>
      <c r="S137" s="15">
        <f>IFERROR(__xludf.DUMMYFUNCTION("""COMPUTED_VALUE"""),0.34615384615384615)</f>
        <v>0.3461538462</v>
      </c>
      <c r="T137" s="16">
        <f>IFERROR(__xludf.DUMMYFUNCTION("""COMPUTED_VALUE"""),292.2)</f>
        <v>292.2</v>
      </c>
      <c r="U137" s="16">
        <f>IFERROR(__xludf.DUMMYFUNCTION("""COMPUTED_VALUE"""),0.675)</f>
        <v>0.675</v>
      </c>
      <c r="V137" s="16">
        <f>IFERROR(__xludf.DUMMYFUNCTION("""COMPUTED_VALUE"""),0.425)</f>
        <v>0.425</v>
      </c>
      <c r="W137" s="16">
        <f>IFERROR(__xludf.DUMMYFUNCTION("""COMPUTED_VALUE"""),0.925)</f>
        <v>0.925</v>
      </c>
      <c r="X137" s="16">
        <f>IFERROR(__xludf.DUMMYFUNCTION("""COMPUTED_VALUE"""),1.95)</f>
        <v>1.95</v>
      </c>
      <c r="Y137" s="11">
        <f>IFERROR(__xludf.DUMMYFUNCTION("""COMPUTED_VALUE"""),3.0)</f>
        <v>3</v>
      </c>
      <c r="Z137" s="11">
        <f>IFERROR(__xludf.DUMMYFUNCTION("""COMPUTED_VALUE"""),2.0)</f>
        <v>2</v>
      </c>
      <c r="AA137" s="11">
        <f>IFERROR(__xludf.DUMMYFUNCTION("""COMPUTED_VALUE"""),0.0)</f>
        <v>0</v>
      </c>
      <c r="AB137" s="11">
        <f>IFERROR(__xludf.DUMMYFUNCTION("""COMPUTED_VALUE"""),7.0)</f>
        <v>7</v>
      </c>
      <c r="AC137" s="11">
        <f>IFERROR(__xludf.DUMMYFUNCTION("""COMPUTED_VALUE"""),61.0)</f>
        <v>61</v>
      </c>
      <c r="AD137" s="11">
        <f>IFERROR(__xludf.DUMMYFUNCTION("""COMPUTED_VALUE"""),37.0)</f>
        <v>37</v>
      </c>
    </row>
    <row r="138">
      <c r="A138" s="10" t="str">
        <f>IFERROR(__xludf.DUMMYFUNCTION("""COMPUTED_VALUE"""),"Challenger")</f>
        <v>Challenger</v>
      </c>
      <c r="B138" s="10" t="str">
        <f>IFERROR(__xludf.DUMMYFUNCTION("""COMPUTED_VALUE"""),"RSC000053")</f>
        <v>RSC000053</v>
      </c>
      <c r="C138" s="10" t="str">
        <f>IFERROR(__xludf.DUMMYFUNCTION("""COMPUTED_VALUE"""),"its_lost")</f>
        <v>its_lost</v>
      </c>
      <c r="D138" s="36" t="str">
        <f>IFERROR(__xludf.DUMMYFUNCTION("""COMPUTED_VALUE"""),"Meat Lovers")</f>
        <v>Meat Lovers</v>
      </c>
      <c r="E138" s="10" t="str">
        <f>IFERROR(__xludf.DUMMYFUNCTION("""COMPUTED_VALUE"""),"Lunar")</f>
        <v>Lunar</v>
      </c>
      <c r="F138" s="37">
        <f>IFERROR(__xludf.DUMMYFUNCTION("""COMPUTED_VALUE"""),40.36025834154887)</f>
        <v>40.36025834</v>
      </c>
      <c r="G138" s="38">
        <f>IFERROR(__xludf.DUMMYFUNCTION("""COMPUTED_VALUE"""),43.32951723310988)</f>
        <v>43.32951723</v>
      </c>
      <c r="H138" s="38">
        <f>IFERROR(__xludf.DUMMYFUNCTION("""COMPUTED_VALUE"""),41.84488778732938)</f>
        <v>41.84488779</v>
      </c>
      <c r="I138" s="14">
        <f>IFERROR(__xludf.DUMMYFUNCTION("""COMPUTED_VALUE"""),47.0)</f>
        <v>47</v>
      </c>
      <c r="J138" s="11">
        <f>IFERROR(__xludf.DUMMYFUNCTION("IFERROR(FILTER(Stats!$F:$Z,(Stats!$A:$A=$A138)*(Stats!$B:$B=$B138)))"),22.0)</f>
        <v>22</v>
      </c>
      <c r="K138" s="11">
        <f>IFERROR(__xludf.DUMMYFUNCTION("""COMPUTED_VALUE"""),25.0)</f>
        <v>25</v>
      </c>
      <c r="L138" s="12">
        <f>IFERROR(__xludf.DUMMYFUNCTION("""COMPUTED_VALUE"""),0.46808510638297873)</f>
        <v>0.4680851064</v>
      </c>
      <c r="M138" s="11">
        <f>IFERROR(__xludf.DUMMYFUNCTION("""COMPUTED_VALUE"""),5.0)</f>
        <v>5</v>
      </c>
      <c r="N138" s="11">
        <f>IFERROR(__xludf.DUMMYFUNCTION("""COMPUTED_VALUE"""),14501.0)</f>
        <v>14501</v>
      </c>
      <c r="O138" s="13">
        <f>IFERROR(__xludf.DUMMYFUNCTION("""COMPUTED_VALUE"""),29.0)</f>
        <v>29</v>
      </c>
      <c r="P138" s="14">
        <f>IFERROR(__xludf.DUMMYFUNCTION("""COMPUTED_VALUE"""),25.0)</f>
        <v>25</v>
      </c>
      <c r="Q138" s="13">
        <f>IFERROR(__xludf.DUMMYFUNCTION("""COMPUTED_VALUE"""),49.0)</f>
        <v>49</v>
      </c>
      <c r="R138" s="13">
        <f>IFERROR(__xludf.DUMMYFUNCTION("""COMPUTED_VALUE"""),98.0)</f>
        <v>98</v>
      </c>
      <c r="S138" s="15">
        <f>IFERROR(__xludf.DUMMYFUNCTION("""COMPUTED_VALUE"""),0.29591836734693877)</f>
        <v>0.2959183673</v>
      </c>
      <c r="T138" s="16">
        <f>IFERROR(__xludf.DUMMYFUNCTION("""COMPUTED_VALUE"""),308.531914893617)</f>
        <v>308.5319149</v>
      </c>
      <c r="U138" s="16">
        <f>IFERROR(__xludf.DUMMYFUNCTION("""COMPUTED_VALUE"""),0.6170212765957447)</f>
        <v>0.6170212766</v>
      </c>
      <c r="V138" s="16">
        <f>IFERROR(__xludf.DUMMYFUNCTION("""COMPUTED_VALUE"""),0.5319148936170213)</f>
        <v>0.5319148936</v>
      </c>
      <c r="W138" s="16">
        <f>IFERROR(__xludf.DUMMYFUNCTION("""COMPUTED_VALUE"""),1.0425531914893618)</f>
        <v>1.042553191</v>
      </c>
      <c r="X138" s="16">
        <f>IFERROR(__xludf.DUMMYFUNCTION("""COMPUTED_VALUE"""),2.0851063829787235)</f>
        <v>2.085106383</v>
      </c>
      <c r="Y138" s="11">
        <f>IFERROR(__xludf.DUMMYFUNCTION("""COMPUTED_VALUE"""),5.0)</f>
        <v>5</v>
      </c>
      <c r="Z138" s="11">
        <f>IFERROR(__xludf.DUMMYFUNCTION("""COMPUTED_VALUE"""),0.0)</f>
        <v>0</v>
      </c>
      <c r="AA138" s="11">
        <f>IFERROR(__xludf.DUMMYFUNCTION("""COMPUTED_VALUE"""),1.0)</f>
        <v>1</v>
      </c>
      <c r="AB138" s="11">
        <f>IFERROR(__xludf.DUMMYFUNCTION("""COMPUTED_VALUE"""),3.0)</f>
        <v>3</v>
      </c>
      <c r="AC138" s="11">
        <f>IFERROR(__xludf.DUMMYFUNCTION("""COMPUTED_VALUE"""),42.0)</f>
        <v>42</v>
      </c>
      <c r="AD138" s="11">
        <f>IFERROR(__xludf.DUMMYFUNCTION("""COMPUTED_VALUE"""),42.0)</f>
        <v>42</v>
      </c>
    </row>
    <row r="139">
      <c r="A139" s="10" t="str">
        <f>IFERROR(__xludf.DUMMYFUNCTION("""COMPUTED_VALUE"""),"Challenger")</f>
        <v>Challenger</v>
      </c>
      <c r="B139" s="10" t="str">
        <f>IFERROR(__xludf.DUMMYFUNCTION("""COMPUTED_VALUE"""),"RSC005608")</f>
        <v>RSC005608</v>
      </c>
      <c r="C139" s="10" t="str">
        <f>IFERROR(__xludf.DUMMYFUNCTION("""COMPUTED_VALUE"""),"wolverine36535")</f>
        <v>wolverine36535</v>
      </c>
      <c r="D139" s="36" t="str">
        <f>IFERROR(__xludf.DUMMYFUNCTION("""COMPUTED_VALUE"""),"Gold Hoarders
Cooks")</f>
        <v>Gold Hoarders
Cooks</v>
      </c>
      <c r="E139" s="10" t="str">
        <f>IFERROR(__xludf.DUMMYFUNCTION("""COMPUTED_VALUE"""),"Lunar
Solar")</f>
        <v>Lunar
Solar</v>
      </c>
      <c r="F139" s="37">
        <f>IFERROR(__xludf.DUMMYFUNCTION("""COMPUTED_VALUE"""),34.2926414495031)</f>
        <v>34.29264145</v>
      </c>
      <c r="G139" s="38">
        <f>IFERROR(__xludf.DUMMYFUNCTION("""COMPUTED_VALUE"""),48.75913341331452)</f>
        <v>48.75913341</v>
      </c>
      <c r="H139" s="38">
        <f>IFERROR(__xludf.DUMMYFUNCTION("""COMPUTED_VALUE"""),41.52588743140881)</f>
        <v>41.52588743</v>
      </c>
      <c r="I139" s="14">
        <f>IFERROR(__xludf.DUMMYFUNCTION("""COMPUTED_VALUE"""),40.0)</f>
        <v>40</v>
      </c>
      <c r="J139" s="11">
        <f>IFERROR(__xludf.DUMMYFUNCTION("IFERROR(FILTER(Stats!$F:$Z,(Stats!$A:$A=$A139)*(Stats!$B:$B=$B139)))"),18.0)</f>
        <v>18</v>
      </c>
      <c r="K139" s="11">
        <f>IFERROR(__xludf.DUMMYFUNCTION("""COMPUTED_VALUE"""),22.0)</f>
        <v>22</v>
      </c>
      <c r="L139" s="12">
        <f>IFERROR(__xludf.DUMMYFUNCTION("""COMPUTED_VALUE"""),0.45)</f>
        <v>0.45</v>
      </c>
      <c r="M139" s="11">
        <f>IFERROR(__xludf.DUMMYFUNCTION("""COMPUTED_VALUE"""),2.0)</f>
        <v>2</v>
      </c>
      <c r="N139" s="11">
        <f>IFERROR(__xludf.DUMMYFUNCTION("""COMPUTED_VALUE"""),11001.0)</f>
        <v>11001</v>
      </c>
      <c r="O139" s="13">
        <f>IFERROR(__xludf.DUMMYFUNCTION("""COMPUTED_VALUE"""),25.0)</f>
        <v>25</v>
      </c>
      <c r="P139" s="14">
        <f>IFERROR(__xludf.DUMMYFUNCTION("""COMPUTED_VALUE"""),28.0)</f>
        <v>28</v>
      </c>
      <c r="Q139" s="13">
        <f>IFERROR(__xludf.DUMMYFUNCTION("""COMPUTED_VALUE"""),37.0)</f>
        <v>37</v>
      </c>
      <c r="R139" s="13">
        <f>IFERROR(__xludf.DUMMYFUNCTION("""COMPUTED_VALUE"""),74.0)</f>
        <v>74</v>
      </c>
      <c r="S139" s="15">
        <f>IFERROR(__xludf.DUMMYFUNCTION("""COMPUTED_VALUE"""),0.33783783783783783)</f>
        <v>0.3378378378</v>
      </c>
      <c r="T139" s="16">
        <f>IFERROR(__xludf.DUMMYFUNCTION("""COMPUTED_VALUE"""),275.025)</f>
        <v>275.025</v>
      </c>
      <c r="U139" s="16">
        <f>IFERROR(__xludf.DUMMYFUNCTION("""COMPUTED_VALUE"""),0.625)</f>
        <v>0.625</v>
      </c>
      <c r="V139" s="16">
        <f>IFERROR(__xludf.DUMMYFUNCTION("""COMPUTED_VALUE"""),0.7)</f>
        <v>0.7</v>
      </c>
      <c r="W139" s="16">
        <f>IFERROR(__xludf.DUMMYFUNCTION("""COMPUTED_VALUE"""),0.925)</f>
        <v>0.925</v>
      </c>
      <c r="X139" s="16">
        <f>IFERROR(__xludf.DUMMYFUNCTION("""COMPUTED_VALUE"""),1.85)</f>
        <v>1.85</v>
      </c>
      <c r="Y139" s="11">
        <f>IFERROR(__xludf.DUMMYFUNCTION("""COMPUTED_VALUE"""),8.0)</f>
        <v>8</v>
      </c>
      <c r="Z139" s="11">
        <f>IFERROR(__xludf.DUMMYFUNCTION("""COMPUTED_VALUE"""),0.0)</f>
        <v>0</v>
      </c>
      <c r="AA139" s="11">
        <f>IFERROR(__xludf.DUMMYFUNCTION("""COMPUTED_VALUE"""),0.0)</f>
        <v>0</v>
      </c>
      <c r="AB139" s="11">
        <f>IFERROR(__xludf.DUMMYFUNCTION("""COMPUTED_VALUE"""),2.0)</f>
        <v>2</v>
      </c>
      <c r="AC139" s="11">
        <f>IFERROR(__xludf.DUMMYFUNCTION("""COMPUTED_VALUE"""),40.0)</f>
        <v>40</v>
      </c>
      <c r="AD139" s="11">
        <f>IFERROR(__xludf.DUMMYFUNCTION("""COMPUTED_VALUE"""),36.0)</f>
        <v>36</v>
      </c>
    </row>
    <row r="140">
      <c r="A140" s="10" t="str">
        <f>IFERROR(__xludf.DUMMYFUNCTION("""COMPUTED_VALUE"""),"Challenger")</f>
        <v>Challenger</v>
      </c>
      <c r="B140" s="10" t="str">
        <f>IFERROR(__xludf.DUMMYFUNCTION("""COMPUTED_VALUE"""),"RSC008222")</f>
        <v>RSC008222</v>
      </c>
      <c r="C140" s="10" t="str">
        <f>IFERROR(__xludf.DUMMYFUNCTION("""COMPUTED_VALUE"""),"Alfredo")</f>
        <v>Alfredo</v>
      </c>
      <c r="D140" s="36" t="str">
        <f>IFERROR(__xludf.DUMMYFUNCTION("""COMPUTED_VALUE"""),"Jinyiwei")</f>
        <v>Jinyiwei</v>
      </c>
      <c r="E140" s="10" t="str">
        <f>IFERROR(__xludf.DUMMYFUNCTION("""COMPUTED_VALUE"""),"Lunar")</f>
        <v>Lunar</v>
      </c>
      <c r="F140" s="37">
        <f>IFERROR(__xludf.DUMMYFUNCTION("""COMPUTED_VALUE"""),41.07054595134364)</f>
        <v>41.07054595</v>
      </c>
      <c r="G140" s="38">
        <f>IFERROR(__xludf.DUMMYFUNCTION("""COMPUTED_VALUE"""),41.890981918779886)</f>
        <v>41.89098192</v>
      </c>
      <c r="H140" s="38">
        <f>IFERROR(__xludf.DUMMYFUNCTION("""COMPUTED_VALUE"""),41.48076393506176)</f>
        <v>41.48076394</v>
      </c>
      <c r="I140" s="14">
        <f>IFERROR(__xludf.DUMMYFUNCTION("""COMPUTED_VALUE"""),30.0)</f>
        <v>30</v>
      </c>
      <c r="J140" s="11">
        <f>IFERROR(__xludf.DUMMYFUNCTION("IFERROR(FILTER(Stats!$F:$Z,(Stats!$A:$A=$A140)*(Stats!$B:$B=$B140)))"),13.0)</f>
        <v>13</v>
      </c>
      <c r="K140" s="11">
        <f>IFERROR(__xludf.DUMMYFUNCTION("""COMPUTED_VALUE"""),17.0)</f>
        <v>17</v>
      </c>
      <c r="L140" s="12">
        <f>IFERROR(__xludf.DUMMYFUNCTION("""COMPUTED_VALUE"""),0.43333333333333335)</f>
        <v>0.4333333333</v>
      </c>
      <c r="M140" s="11">
        <f>IFERROR(__xludf.DUMMYFUNCTION("""COMPUTED_VALUE"""),4.0)</f>
        <v>4</v>
      </c>
      <c r="N140" s="11">
        <f>IFERROR(__xludf.DUMMYFUNCTION("""COMPUTED_VALUE"""),9715.0)</f>
        <v>9715</v>
      </c>
      <c r="O140" s="13">
        <f>IFERROR(__xludf.DUMMYFUNCTION("""COMPUTED_VALUE"""),21.0)</f>
        <v>21</v>
      </c>
      <c r="P140" s="14">
        <f>IFERROR(__xludf.DUMMYFUNCTION("""COMPUTED_VALUE"""),11.0)</f>
        <v>11</v>
      </c>
      <c r="Q140" s="13">
        <f>IFERROR(__xludf.DUMMYFUNCTION("""COMPUTED_VALUE"""),41.0)</f>
        <v>41</v>
      </c>
      <c r="R140" s="13">
        <f>IFERROR(__xludf.DUMMYFUNCTION("""COMPUTED_VALUE"""),72.0)</f>
        <v>72</v>
      </c>
      <c r="S140" s="15">
        <f>IFERROR(__xludf.DUMMYFUNCTION("""COMPUTED_VALUE"""),0.2916666666666667)</f>
        <v>0.2916666667</v>
      </c>
      <c r="T140" s="16">
        <f>IFERROR(__xludf.DUMMYFUNCTION("""COMPUTED_VALUE"""),323.8333333333333)</f>
        <v>323.8333333</v>
      </c>
      <c r="U140" s="16">
        <f>IFERROR(__xludf.DUMMYFUNCTION("""COMPUTED_VALUE"""),0.7)</f>
        <v>0.7</v>
      </c>
      <c r="V140" s="16">
        <f>IFERROR(__xludf.DUMMYFUNCTION("""COMPUTED_VALUE"""),0.36666666666666664)</f>
        <v>0.3666666667</v>
      </c>
      <c r="W140" s="16">
        <f>IFERROR(__xludf.DUMMYFUNCTION("""COMPUTED_VALUE"""),1.3666666666666667)</f>
        <v>1.366666667</v>
      </c>
      <c r="X140" s="16">
        <f>IFERROR(__xludf.DUMMYFUNCTION("""COMPUTED_VALUE"""),2.4)</f>
        <v>2.4</v>
      </c>
      <c r="Y140" s="11">
        <f>IFERROR(__xludf.DUMMYFUNCTION("""COMPUTED_VALUE"""),2.0)</f>
        <v>2</v>
      </c>
      <c r="Z140" s="11">
        <f>IFERROR(__xludf.DUMMYFUNCTION("""COMPUTED_VALUE"""),1.0)</f>
        <v>1</v>
      </c>
      <c r="AA140" s="11">
        <f>IFERROR(__xludf.DUMMYFUNCTION("""COMPUTED_VALUE"""),0.0)</f>
        <v>0</v>
      </c>
      <c r="AB140" s="11">
        <f>IFERROR(__xludf.DUMMYFUNCTION("""COMPUTED_VALUE"""),6.0)</f>
        <v>6</v>
      </c>
      <c r="AC140" s="11">
        <f>IFERROR(__xludf.DUMMYFUNCTION("""COMPUTED_VALUE"""),15.0)</f>
        <v>15</v>
      </c>
      <c r="AD140" s="11">
        <f>IFERROR(__xludf.DUMMYFUNCTION("""COMPUTED_VALUE"""),28.0)</f>
        <v>28</v>
      </c>
    </row>
    <row r="141">
      <c r="A141" s="10" t="str">
        <f>IFERROR(__xludf.DUMMYFUNCTION("""COMPUTED_VALUE"""),"Challenger")</f>
        <v>Challenger</v>
      </c>
      <c r="B141" s="10" t="str">
        <f>IFERROR(__xludf.DUMMYFUNCTION("""COMPUTED_VALUE"""),"RSC005397")</f>
        <v>RSC005397</v>
      </c>
      <c r="C141" s="10" t="str">
        <f>IFERROR(__xludf.DUMMYFUNCTION("""COMPUTED_VALUE"""),"PridedBird3406")</f>
        <v>PridedBird3406</v>
      </c>
      <c r="D141" s="36" t="str">
        <f>IFERROR(__xludf.DUMMYFUNCTION("""COMPUTED_VALUE"""),"Glams")</f>
        <v>Glams</v>
      </c>
      <c r="E141" s="10" t="str">
        <f>IFERROR(__xludf.DUMMYFUNCTION("""COMPUTED_VALUE"""),"Lunar")</f>
        <v>Lunar</v>
      </c>
      <c r="F141" s="37">
        <f>IFERROR(__xludf.DUMMYFUNCTION("""COMPUTED_VALUE"""),45.90814304566256)</f>
        <v>45.90814305</v>
      </c>
      <c r="G141" s="38">
        <f>IFERROR(__xludf.DUMMYFUNCTION("""COMPUTED_VALUE"""),36.991978553518926)</f>
        <v>36.99197855</v>
      </c>
      <c r="H141" s="38">
        <f>IFERROR(__xludf.DUMMYFUNCTION("""COMPUTED_VALUE"""),41.450060799590744)</f>
        <v>41.4500608</v>
      </c>
      <c r="I141" s="14">
        <f>IFERROR(__xludf.DUMMYFUNCTION("""COMPUTED_VALUE"""),44.0)</f>
        <v>44</v>
      </c>
      <c r="J141" s="11">
        <f>IFERROR(__xludf.DUMMYFUNCTION("IFERROR(FILTER(Stats!$F:$Z,(Stats!$A:$A=$A141)*(Stats!$B:$B=$B141)))"),17.0)</f>
        <v>17</v>
      </c>
      <c r="K141" s="11">
        <f>IFERROR(__xludf.DUMMYFUNCTION("""COMPUTED_VALUE"""),27.0)</f>
        <v>27</v>
      </c>
      <c r="L141" s="12">
        <f>IFERROR(__xludf.DUMMYFUNCTION("""COMPUTED_VALUE"""),0.38636363636363635)</f>
        <v>0.3863636364</v>
      </c>
      <c r="M141" s="11">
        <f>IFERROR(__xludf.DUMMYFUNCTION("""COMPUTED_VALUE"""),6.0)</f>
        <v>6</v>
      </c>
      <c r="N141" s="11">
        <f>IFERROR(__xludf.DUMMYFUNCTION("""COMPUTED_VALUE"""),13904.0)</f>
        <v>13904</v>
      </c>
      <c r="O141" s="13">
        <f>IFERROR(__xludf.DUMMYFUNCTION("""COMPUTED_VALUE"""),22.0)</f>
        <v>22</v>
      </c>
      <c r="P141" s="14">
        <f>IFERROR(__xludf.DUMMYFUNCTION("""COMPUTED_VALUE"""),20.0)</f>
        <v>20</v>
      </c>
      <c r="Q141" s="13">
        <f>IFERROR(__xludf.DUMMYFUNCTION("""COMPUTED_VALUE"""),65.0)</f>
        <v>65</v>
      </c>
      <c r="R141" s="13">
        <f>IFERROR(__xludf.DUMMYFUNCTION("""COMPUTED_VALUE"""),104.0)</f>
        <v>104</v>
      </c>
      <c r="S141" s="15">
        <f>IFERROR(__xludf.DUMMYFUNCTION("""COMPUTED_VALUE"""),0.21153846153846154)</f>
        <v>0.2115384615</v>
      </c>
      <c r="T141" s="16">
        <f>IFERROR(__xludf.DUMMYFUNCTION("""COMPUTED_VALUE"""),316.0)</f>
        <v>316</v>
      </c>
      <c r="U141" s="16">
        <f>IFERROR(__xludf.DUMMYFUNCTION("""COMPUTED_VALUE"""),0.5)</f>
        <v>0.5</v>
      </c>
      <c r="V141" s="16">
        <f>IFERROR(__xludf.DUMMYFUNCTION("""COMPUTED_VALUE"""),0.45454545454545453)</f>
        <v>0.4545454545</v>
      </c>
      <c r="W141" s="16">
        <f>IFERROR(__xludf.DUMMYFUNCTION("""COMPUTED_VALUE"""),1.4772727272727273)</f>
        <v>1.477272727</v>
      </c>
      <c r="X141" s="16">
        <f>IFERROR(__xludf.DUMMYFUNCTION("""COMPUTED_VALUE"""),2.3636363636363638)</f>
        <v>2.363636364</v>
      </c>
      <c r="Y141" s="11">
        <f>IFERROR(__xludf.DUMMYFUNCTION("""COMPUTED_VALUE"""),8.0)</f>
        <v>8</v>
      </c>
      <c r="Z141" s="11">
        <f>IFERROR(__xludf.DUMMYFUNCTION("""COMPUTED_VALUE"""),1.0)</f>
        <v>1</v>
      </c>
      <c r="AA141" s="11">
        <f>IFERROR(__xludf.DUMMYFUNCTION("""COMPUTED_VALUE"""),1.0)</f>
        <v>1</v>
      </c>
      <c r="AB141" s="11">
        <f>IFERROR(__xludf.DUMMYFUNCTION("""COMPUTED_VALUE"""),8.0)</f>
        <v>8</v>
      </c>
      <c r="AC141" s="11">
        <f>IFERROR(__xludf.DUMMYFUNCTION("""COMPUTED_VALUE"""),34.0)</f>
        <v>34</v>
      </c>
      <c r="AD141" s="11">
        <f>IFERROR(__xludf.DUMMYFUNCTION("""COMPUTED_VALUE"""),49.0)</f>
        <v>49</v>
      </c>
    </row>
    <row r="142">
      <c r="A142" s="10" t="str">
        <f>IFERROR(__xludf.DUMMYFUNCTION("""COMPUTED_VALUE"""),"Challenger")</f>
        <v>Challenger</v>
      </c>
      <c r="B142" s="10" t="str">
        <f>IFERROR(__xludf.DUMMYFUNCTION("""COMPUTED_VALUE"""),"RSC000812")</f>
        <v>RSC000812</v>
      </c>
      <c r="C142" s="10" t="str">
        <f>IFERROR(__xludf.DUMMYFUNCTION("""COMPUTED_VALUE"""),"LustLizard")</f>
        <v>LustLizard</v>
      </c>
      <c r="D142" s="36" t="str">
        <f>IFERROR(__xludf.DUMMYFUNCTION("""COMPUTED_VALUE"""),"Chromatic Chaos")</f>
        <v>Chromatic Chaos</v>
      </c>
      <c r="E142" s="10" t="str">
        <f>IFERROR(__xludf.DUMMYFUNCTION("""COMPUTED_VALUE"""),"Solar")</f>
        <v>Solar</v>
      </c>
      <c r="F142" s="37">
        <f>IFERROR(__xludf.DUMMYFUNCTION("""COMPUTED_VALUE"""),39.650481794843536)</f>
        <v>39.65048179</v>
      </c>
      <c r="G142" s="38">
        <f>IFERROR(__xludf.DUMMYFUNCTION("""COMPUTED_VALUE"""),43.117021974806555)</f>
        <v>43.11702197</v>
      </c>
      <c r="H142" s="38">
        <f>IFERROR(__xludf.DUMMYFUNCTION("""COMPUTED_VALUE"""),41.383751884825045)</f>
        <v>41.38375188</v>
      </c>
      <c r="I142" s="14">
        <f>IFERROR(__xludf.DUMMYFUNCTION("""COMPUTED_VALUE"""),38.0)</f>
        <v>38</v>
      </c>
      <c r="J142" s="11">
        <f>IFERROR(__xludf.DUMMYFUNCTION("IFERROR(FILTER(Stats!$F:$Z,(Stats!$A:$A=$A142)*(Stats!$B:$B=$B142)))"),20.0)</f>
        <v>20</v>
      </c>
      <c r="K142" s="11">
        <f>IFERROR(__xludf.DUMMYFUNCTION("""COMPUTED_VALUE"""),18.0)</f>
        <v>18</v>
      </c>
      <c r="L142" s="12">
        <f>IFERROR(__xludf.DUMMYFUNCTION("""COMPUTED_VALUE"""),0.5263157894736842)</f>
        <v>0.5263157895</v>
      </c>
      <c r="M142" s="11">
        <f>IFERROR(__xludf.DUMMYFUNCTION("""COMPUTED_VALUE"""),4.0)</f>
        <v>4</v>
      </c>
      <c r="N142" s="11">
        <f>IFERROR(__xludf.DUMMYFUNCTION("""COMPUTED_VALUE"""),11946.0)</f>
        <v>11946</v>
      </c>
      <c r="O142" s="13">
        <f>IFERROR(__xludf.DUMMYFUNCTION("""COMPUTED_VALUE"""),29.0)</f>
        <v>29</v>
      </c>
      <c r="P142" s="14">
        <f>IFERROR(__xludf.DUMMYFUNCTION("""COMPUTED_VALUE"""),16.0)</f>
        <v>16</v>
      </c>
      <c r="Q142" s="13">
        <f>IFERROR(__xludf.DUMMYFUNCTION("""COMPUTED_VALUE"""),47.0)</f>
        <v>47</v>
      </c>
      <c r="R142" s="13">
        <f>IFERROR(__xludf.DUMMYFUNCTION("""COMPUTED_VALUE"""),85.0)</f>
        <v>85</v>
      </c>
      <c r="S142" s="15">
        <f>IFERROR(__xludf.DUMMYFUNCTION("""COMPUTED_VALUE"""),0.3411764705882353)</f>
        <v>0.3411764706</v>
      </c>
      <c r="T142" s="16">
        <f>IFERROR(__xludf.DUMMYFUNCTION("""COMPUTED_VALUE"""),314.36842105263156)</f>
        <v>314.3684211</v>
      </c>
      <c r="U142" s="16">
        <f>IFERROR(__xludf.DUMMYFUNCTION("""COMPUTED_VALUE"""),0.7631578947368421)</f>
        <v>0.7631578947</v>
      </c>
      <c r="V142" s="16">
        <f>IFERROR(__xludf.DUMMYFUNCTION("""COMPUTED_VALUE"""),0.42105263157894735)</f>
        <v>0.4210526316</v>
      </c>
      <c r="W142" s="16">
        <f>IFERROR(__xludf.DUMMYFUNCTION("""COMPUTED_VALUE"""),1.236842105263158)</f>
        <v>1.236842105</v>
      </c>
      <c r="X142" s="16">
        <f>IFERROR(__xludf.DUMMYFUNCTION("""COMPUTED_VALUE"""),2.236842105263158)</f>
        <v>2.236842105</v>
      </c>
      <c r="Y142" s="11">
        <f>IFERROR(__xludf.DUMMYFUNCTION("""COMPUTED_VALUE"""),1.0)</f>
        <v>1</v>
      </c>
      <c r="Z142" s="11">
        <f>IFERROR(__xludf.DUMMYFUNCTION("""COMPUTED_VALUE"""),2.0)</f>
        <v>2</v>
      </c>
      <c r="AA142" s="11">
        <f>IFERROR(__xludf.DUMMYFUNCTION("""COMPUTED_VALUE"""),1.0)</f>
        <v>1</v>
      </c>
      <c r="AB142" s="11">
        <f>IFERROR(__xludf.DUMMYFUNCTION("""COMPUTED_VALUE"""),4.0)</f>
        <v>4</v>
      </c>
      <c r="AC142" s="11">
        <f>IFERROR(__xludf.DUMMYFUNCTION("""COMPUTED_VALUE"""),23.0)</f>
        <v>23</v>
      </c>
      <c r="AD142" s="11">
        <f>IFERROR(__xludf.DUMMYFUNCTION("""COMPUTED_VALUE"""),39.0)</f>
        <v>39</v>
      </c>
    </row>
    <row r="143">
      <c r="A143" s="10" t="str">
        <f>IFERROR(__xludf.DUMMYFUNCTION("""COMPUTED_VALUE"""),"Challenger")</f>
        <v>Challenger</v>
      </c>
      <c r="B143" s="10" t="str">
        <f>IFERROR(__xludf.DUMMYFUNCTION("""COMPUTED_VALUE"""),"RSC006369")</f>
        <v>RSC006369</v>
      </c>
      <c r="C143" s="10" t="str">
        <f>IFERROR(__xludf.DUMMYFUNCTION("""COMPUTED_VALUE"""),"nate")</f>
        <v>nate</v>
      </c>
      <c r="D143" s="36" t="str">
        <f>IFERROR(__xludf.DUMMYFUNCTION("""COMPUTED_VALUE"""),"Spearmint")</f>
        <v>Spearmint</v>
      </c>
      <c r="E143" s="10" t="str">
        <f>IFERROR(__xludf.DUMMYFUNCTION("""COMPUTED_VALUE"""),"Solar")</f>
        <v>Solar</v>
      </c>
      <c r="F143" s="37">
        <f>IFERROR(__xludf.DUMMYFUNCTION("""COMPUTED_VALUE"""),39.20361522765789)</f>
        <v>39.20361523</v>
      </c>
      <c r="G143" s="38">
        <f>IFERROR(__xludf.DUMMYFUNCTION("""COMPUTED_VALUE"""),42.89912647441512)</f>
        <v>42.89912647</v>
      </c>
      <c r="H143" s="38">
        <f>IFERROR(__xludf.DUMMYFUNCTION("""COMPUTED_VALUE"""),41.05137085103651)</f>
        <v>41.05137085</v>
      </c>
      <c r="I143" s="14">
        <f>IFERROR(__xludf.DUMMYFUNCTION("""COMPUTED_VALUE"""),4.0)</f>
        <v>4</v>
      </c>
      <c r="J143" s="11">
        <f>IFERROR(__xludf.DUMMYFUNCTION("IFERROR(FILTER(Stats!$F:$Z,(Stats!$A:$A=$A143)*(Stats!$B:$B=$B143)))"),1.0)</f>
        <v>1</v>
      </c>
      <c r="K143" s="11">
        <f>IFERROR(__xludf.DUMMYFUNCTION("""COMPUTED_VALUE"""),3.0)</f>
        <v>3</v>
      </c>
      <c r="L143" s="12">
        <f>IFERROR(__xludf.DUMMYFUNCTION("""COMPUTED_VALUE"""),0.25)</f>
        <v>0.25</v>
      </c>
      <c r="M143" s="11">
        <f>IFERROR(__xludf.DUMMYFUNCTION("""COMPUTED_VALUE"""),0.0)</f>
        <v>0</v>
      </c>
      <c r="N143" s="11">
        <f>IFERROR(__xludf.DUMMYFUNCTION("""COMPUTED_VALUE"""),1500.0)</f>
        <v>1500</v>
      </c>
      <c r="O143" s="13">
        <f>IFERROR(__xludf.DUMMYFUNCTION("""COMPUTED_VALUE"""),3.0)</f>
        <v>3</v>
      </c>
      <c r="P143" s="14">
        <f>IFERROR(__xludf.DUMMYFUNCTION("""COMPUTED_VALUE"""),2.0)</f>
        <v>2</v>
      </c>
      <c r="Q143" s="13">
        <f>IFERROR(__xludf.DUMMYFUNCTION("""COMPUTED_VALUE"""),8.0)</f>
        <v>8</v>
      </c>
      <c r="R143" s="13">
        <f>IFERROR(__xludf.DUMMYFUNCTION("""COMPUTED_VALUE"""),9.0)</f>
        <v>9</v>
      </c>
      <c r="S143" s="15">
        <f>IFERROR(__xludf.DUMMYFUNCTION("""COMPUTED_VALUE"""),0.3333333333333333)</f>
        <v>0.3333333333</v>
      </c>
      <c r="T143" s="16">
        <f>IFERROR(__xludf.DUMMYFUNCTION("""COMPUTED_VALUE"""),375.0)</f>
        <v>375</v>
      </c>
      <c r="U143" s="16">
        <f>IFERROR(__xludf.DUMMYFUNCTION("""COMPUTED_VALUE"""),0.75)</f>
        <v>0.75</v>
      </c>
      <c r="V143" s="16">
        <f>IFERROR(__xludf.DUMMYFUNCTION("""COMPUTED_VALUE"""),0.5)</f>
        <v>0.5</v>
      </c>
      <c r="W143" s="16">
        <f>IFERROR(__xludf.DUMMYFUNCTION("""COMPUTED_VALUE"""),2.0)</f>
        <v>2</v>
      </c>
      <c r="X143" s="16">
        <f>IFERROR(__xludf.DUMMYFUNCTION("""COMPUTED_VALUE"""),2.25)</f>
        <v>2.25</v>
      </c>
      <c r="Y143" s="11">
        <f>IFERROR(__xludf.DUMMYFUNCTION("""COMPUTED_VALUE"""),2.0)</f>
        <v>2</v>
      </c>
      <c r="Z143" s="11">
        <f>IFERROR(__xludf.DUMMYFUNCTION("""COMPUTED_VALUE"""),0.0)</f>
        <v>0</v>
      </c>
      <c r="AA143" s="11">
        <f>IFERROR(__xludf.DUMMYFUNCTION("""COMPUTED_VALUE"""),0.0)</f>
        <v>0</v>
      </c>
      <c r="AB143" s="11">
        <f>IFERROR(__xludf.DUMMYFUNCTION("""COMPUTED_VALUE"""),1.0)</f>
        <v>1</v>
      </c>
      <c r="AC143" s="11">
        <f>IFERROR(__xludf.DUMMYFUNCTION("""COMPUTED_VALUE"""),5.0)</f>
        <v>5</v>
      </c>
      <c r="AD143" s="11">
        <f>IFERROR(__xludf.DUMMYFUNCTION("""COMPUTED_VALUE"""),3.0)</f>
        <v>3</v>
      </c>
    </row>
    <row r="144">
      <c r="A144" s="10" t="str">
        <f>IFERROR(__xludf.DUMMYFUNCTION("""COMPUTED_VALUE"""),"Challenger")</f>
        <v>Challenger</v>
      </c>
      <c r="B144" s="10" t="str">
        <f>IFERROR(__xludf.DUMMYFUNCTION("""COMPUTED_VALUE"""),"RSC007423")</f>
        <v>RSC007423</v>
      </c>
      <c r="C144" s="10" t="str">
        <f>IFERROR(__xludf.DUMMYFUNCTION("""COMPUTED_VALUE"""),"Valuedsquash465")</f>
        <v>Valuedsquash465</v>
      </c>
      <c r="D144" s="36" t="str">
        <f>IFERROR(__xludf.DUMMYFUNCTION("""COMPUTED_VALUE"""),"Porch Pirates
Decuriones
Warthogs")</f>
        <v>Porch Pirates
Decuriones
Warthogs</v>
      </c>
      <c r="E144" s="10" t="str">
        <f>IFERROR(__xludf.DUMMYFUNCTION("""COMPUTED_VALUE"""),"Solar
Solar
Lunar")</f>
        <v>Solar
Solar
Lunar</v>
      </c>
      <c r="F144" s="37">
        <f>IFERROR(__xludf.DUMMYFUNCTION("""COMPUTED_VALUE"""),38.06776137349543)</f>
        <v>38.06776137</v>
      </c>
      <c r="G144" s="38">
        <f>IFERROR(__xludf.DUMMYFUNCTION("""COMPUTED_VALUE"""),43.362106249270035)</f>
        <v>43.36210625</v>
      </c>
      <c r="H144" s="38">
        <f>IFERROR(__xludf.DUMMYFUNCTION("""COMPUTED_VALUE"""),40.714933811382735)</f>
        <v>40.71493381</v>
      </c>
      <c r="I144" s="14">
        <f>IFERROR(__xludf.DUMMYFUNCTION("""COMPUTED_VALUE"""),13.0)</f>
        <v>13</v>
      </c>
      <c r="J144" s="11">
        <f>IFERROR(__xludf.DUMMYFUNCTION("IFERROR(FILTER(Stats!$F:$Z,(Stats!$A:$A=$A144)*(Stats!$B:$B=$B144)))"),4.0)</f>
        <v>4</v>
      </c>
      <c r="K144" s="11">
        <f>IFERROR(__xludf.DUMMYFUNCTION("""COMPUTED_VALUE"""),9.0)</f>
        <v>9</v>
      </c>
      <c r="L144" s="12">
        <f>IFERROR(__xludf.DUMMYFUNCTION("""COMPUTED_VALUE"""),0.3076923076923077)</f>
        <v>0.3076923077</v>
      </c>
      <c r="M144" s="11">
        <f>IFERROR(__xludf.DUMMYFUNCTION("""COMPUTED_VALUE"""),1.0)</f>
        <v>1</v>
      </c>
      <c r="N144" s="11">
        <f>IFERROR(__xludf.DUMMYFUNCTION("""COMPUTED_VALUE"""),4163.0)</f>
        <v>4163</v>
      </c>
      <c r="O144" s="13">
        <f>IFERROR(__xludf.DUMMYFUNCTION("""COMPUTED_VALUE"""),6.0)</f>
        <v>6</v>
      </c>
      <c r="P144" s="14">
        <f>IFERROR(__xludf.DUMMYFUNCTION("""COMPUTED_VALUE"""),10.0)</f>
        <v>10</v>
      </c>
      <c r="Q144" s="13">
        <f>IFERROR(__xludf.DUMMYFUNCTION("""COMPUTED_VALUE"""),15.0)</f>
        <v>15</v>
      </c>
      <c r="R144" s="13">
        <f>IFERROR(__xludf.DUMMYFUNCTION("""COMPUTED_VALUE"""),30.0)</f>
        <v>30</v>
      </c>
      <c r="S144" s="15">
        <f>IFERROR(__xludf.DUMMYFUNCTION("""COMPUTED_VALUE"""),0.2)</f>
        <v>0.2</v>
      </c>
      <c r="T144" s="16">
        <f>IFERROR(__xludf.DUMMYFUNCTION("""COMPUTED_VALUE"""),320.2307692307692)</f>
        <v>320.2307692</v>
      </c>
      <c r="U144" s="16">
        <f>IFERROR(__xludf.DUMMYFUNCTION("""COMPUTED_VALUE"""),0.46153846153846156)</f>
        <v>0.4615384615</v>
      </c>
      <c r="V144" s="16">
        <f>IFERROR(__xludf.DUMMYFUNCTION("""COMPUTED_VALUE"""),0.7692307692307693)</f>
        <v>0.7692307692</v>
      </c>
      <c r="W144" s="16">
        <f>IFERROR(__xludf.DUMMYFUNCTION("""COMPUTED_VALUE"""),1.1538461538461537)</f>
        <v>1.153846154</v>
      </c>
      <c r="X144" s="16">
        <f>IFERROR(__xludf.DUMMYFUNCTION("""COMPUTED_VALUE"""),2.3076923076923075)</f>
        <v>2.307692308</v>
      </c>
      <c r="Y144" s="11">
        <f>IFERROR(__xludf.DUMMYFUNCTION("""COMPUTED_VALUE"""),3.0)</f>
        <v>3</v>
      </c>
      <c r="Z144" s="11">
        <f>IFERROR(__xludf.DUMMYFUNCTION("""COMPUTED_VALUE"""),0.0)</f>
        <v>0</v>
      </c>
      <c r="AA144" s="11">
        <f>IFERROR(__xludf.DUMMYFUNCTION("""COMPUTED_VALUE"""),0.0)</f>
        <v>0</v>
      </c>
      <c r="AB144" s="11">
        <f>IFERROR(__xludf.DUMMYFUNCTION("""COMPUTED_VALUE"""),1.0)</f>
        <v>1</v>
      </c>
      <c r="AC144" s="11">
        <f>IFERROR(__xludf.DUMMYFUNCTION("""COMPUTED_VALUE"""),7.0)</f>
        <v>7</v>
      </c>
      <c r="AD144" s="11">
        <f>IFERROR(__xludf.DUMMYFUNCTION("""COMPUTED_VALUE"""),16.0)</f>
        <v>16</v>
      </c>
    </row>
    <row r="145">
      <c r="A145" s="10" t="str">
        <f>IFERROR(__xludf.DUMMYFUNCTION("""COMPUTED_VALUE"""),"Challenger")</f>
        <v>Challenger</v>
      </c>
      <c r="B145" s="10" t="str">
        <f>IFERROR(__xludf.DUMMYFUNCTION("""COMPUTED_VALUE"""),"RSC007969")</f>
        <v>RSC007969</v>
      </c>
      <c r="C145" s="10" t="str">
        <f>IFERROR(__xludf.DUMMYFUNCTION("""COMPUTED_VALUE"""),"EcHo.rll")</f>
        <v>EcHo.rll</v>
      </c>
      <c r="D145" s="36" t="str">
        <f>IFERROR(__xludf.DUMMYFUNCTION("""COMPUTED_VALUE"""),"Sirens
Gold Hoarders")</f>
        <v>Sirens
Gold Hoarders</v>
      </c>
      <c r="E145" s="10" t="str">
        <f>IFERROR(__xludf.DUMMYFUNCTION("""COMPUTED_VALUE"""),"Solar
Lunar")</f>
        <v>Solar
Lunar</v>
      </c>
      <c r="F145" s="37">
        <f>IFERROR(__xludf.DUMMYFUNCTION("""COMPUTED_VALUE"""),51.69282916964779)</f>
        <v>51.69282917</v>
      </c>
      <c r="G145" s="38">
        <f>IFERROR(__xludf.DUMMYFUNCTION("""COMPUTED_VALUE"""),29.106679079796997)</f>
        <v>29.10667908</v>
      </c>
      <c r="H145" s="38">
        <f>IFERROR(__xludf.DUMMYFUNCTION("""COMPUTED_VALUE"""),40.39975412472239)</f>
        <v>40.39975412</v>
      </c>
      <c r="I145" s="14">
        <f>IFERROR(__xludf.DUMMYFUNCTION("""COMPUTED_VALUE"""),15.0)</f>
        <v>15</v>
      </c>
      <c r="J145" s="11">
        <f>IFERROR(__xludf.DUMMYFUNCTION("IFERROR(FILTER(Stats!$F:$Z,(Stats!$A:$A=$A145)*(Stats!$B:$B=$B145)))"),4.0)</f>
        <v>4</v>
      </c>
      <c r="K145" s="11">
        <f>IFERROR(__xludf.DUMMYFUNCTION("""COMPUTED_VALUE"""),11.0)</f>
        <v>11</v>
      </c>
      <c r="L145" s="12">
        <f>IFERROR(__xludf.DUMMYFUNCTION("""COMPUTED_VALUE"""),0.26666666666666666)</f>
        <v>0.2666666667</v>
      </c>
      <c r="M145" s="11">
        <f>IFERROR(__xludf.DUMMYFUNCTION("""COMPUTED_VALUE"""),2.0)</f>
        <v>2</v>
      </c>
      <c r="N145" s="11">
        <f>IFERROR(__xludf.DUMMYFUNCTION("""COMPUTED_VALUE"""),5100.0)</f>
        <v>5100</v>
      </c>
      <c r="O145" s="13">
        <f>IFERROR(__xludf.DUMMYFUNCTION("""COMPUTED_VALUE"""),9.0)</f>
        <v>9</v>
      </c>
      <c r="P145" s="14">
        <f>IFERROR(__xludf.DUMMYFUNCTION("""COMPUTED_VALUE"""),5.0)</f>
        <v>5</v>
      </c>
      <c r="Q145" s="13">
        <f>IFERROR(__xludf.DUMMYFUNCTION("""COMPUTED_VALUE"""),26.0)</f>
        <v>26</v>
      </c>
      <c r="R145" s="13">
        <f>IFERROR(__xludf.DUMMYFUNCTION("""COMPUTED_VALUE"""),33.0)</f>
        <v>33</v>
      </c>
      <c r="S145" s="15">
        <f>IFERROR(__xludf.DUMMYFUNCTION("""COMPUTED_VALUE"""),0.2727272727272727)</f>
        <v>0.2727272727</v>
      </c>
      <c r="T145" s="16">
        <f>IFERROR(__xludf.DUMMYFUNCTION("""COMPUTED_VALUE"""),340.0)</f>
        <v>340</v>
      </c>
      <c r="U145" s="16">
        <f>IFERROR(__xludf.DUMMYFUNCTION("""COMPUTED_VALUE"""),0.6)</f>
        <v>0.6</v>
      </c>
      <c r="V145" s="16">
        <f>IFERROR(__xludf.DUMMYFUNCTION("""COMPUTED_VALUE"""),0.3333333333333333)</f>
        <v>0.3333333333</v>
      </c>
      <c r="W145" s="16">
        <f>IFERROR(__xludf.DUMMYFUNCTION("""COMPUTED_VALUE"""),1.7333333333333334)</f>
        <v>1.733333333</v>
      </c>
      <c r="X145" s="16">
        <f>IFERROR(__xludf.DUMMYFUNCTION("""COMPUTED_VALUE"""),2.2)</f>
        <v>2.2</v>
      </c>
      <c r="Y145" s="11">
        <f>IFERROR(__xludf.DUMMYFUNCTION("""COMPUTED_VALUE"""),1.0)</f>
        <v>1</v>
      </c>
      <c r="Z145" s="11">
        <f>IFERROR(__xludf.DUMMYFUNCTION("""COMPUTED_VALUE"""),0.0)</f>
        <v>0</v>
      </c>
      <c r="AA145" s="11">
        <f>IFERROR(__xludf.DUMMYFUNCTION("""COMPUTED_VALUE"""),0.0)</f>
        <v>0</v>
      </c>
      <c r="AB145" s="11">
        <f>IFERROR(__xludf.DUMMYFUNCTION("""COMPUTED_VALUE"""),4.0)</f>
        <v>4</v>
      </c>
      <c r="AC145" s="11">
        <f>IFERROR(__xludf.DUMMYFUNCTION("""COMPUTED_VALUE"""),11.0)</f>
        <v>11</v>
      </c>
      <c r="AD145" s="11">
        <f>IFERROR(__xludf.DUMMYFUNCTION("""COMPUTED_VALUE"""),19.0)</f>
        <v>19</v>
      </c>
    </row>
    <row r="146">
      <c r="A146" s="10" t="str">
        <f>IFERROR(__xludf.DUMMYFUNCTION("""COMPUTED_VALUE"""),"Challenger")</f>
        <v>Challenger</v>
      </c>
      <c r="B146" s="10" t="str">
        <f>IFERROR(__xludf.DUMMYFUNCTION("""COMPUTED_VALUE"""),"RSC004565")</f>
        <v>RSC004565</v>
      </c>
      <c r="C146" s="10" t="str">
        <f>IFERROR(__xludf.DUMMYFUNCTION("""COMPUTED_VALUE"""),"Ole.Mr.Bison.")</f>
        <v>Ole.Mr.Bison.</v>
      </c>
      <c r="D146" s="36" t="str">
        <f>IFERROR(__xludf.DUMMYFUNCTION("""COMPUTED_VALUE"""),"Panda Bears")</f>
        <v>Panda Bears</v>
      </c>
      <c r="E146" s="10" t="str">
        <f>IFERROR(__xludf.DUMMYFUNCTION("""COMPUTED_VALUE"""),"Solar")</f>
        <v>Solar</v>
      </c>
      <c r="F146" s="37">
        <f>IFERROR(__xludf.DUMMYFUNCTION("""COMPUTED_VALUE"""),34.14563563776398)</f>
        <v>34.14563564</v>
      </c>
      <c r="G146" s="38">
        <f>IFERROR(__xludf.DUMMYFUNCTION("""COMPUTED_VALUE"""),46.47672858632427)</f>
        <v>46.47672859</v>
      </c>
      <c r="H146" s="38">
        <f>IFERROR(__xludf.DUMMYFUNCTION("""COMPUTED_VALUE"""),40.31118211204412)</f>
        <v>40.31118211</v>
      </c>
      <c r="I146" s="14">
        <f>IFERROR(__xludf.DUMMYFUNCTION("""COMPUTED_VALUE"""),29.0)</f>
        <v>29</v>
      </c>
      <c r="J146" s="11">
        <f>IFERROR(__xludf.DUMMYFUNCTION("IFERROR(FILTER(Stats!$F:$Z,(Stats!$A:$A=$A146)*(Stats!$B:$B=$B146)))"),18.0)</f>
        <v>18</v>
      </c>
      <c r="K146" s="11">
        <f>IFERROR(__xludf.DUMMYFUNCTION("""COMPUTED_VALUE"""),11.0)</f>
        <v>11</v>
      </c>
      <c r="L146" s="12">
        <f>IFERROR(__xludf.DUMMYFUNCTION("""COMPUTED_VALUE"""),0.6206896551724138)</f>
        <v>0.6206896552</v>
      </c>
      <c r="M146" s="11">
        <f>IFERROR(__xludf.DUMMYFUNCTION("""COMPUTED_VALUE"""),3.0)</f>
        <v>3</v>
      </c>
      <c r="N146" s="11">
        <f>IFERROR(__xludf.DUMMYFUNCTION("""COMPUTED_VALUE"""),8373.0)</f>
        <v>8373</v>
      </c>
      <c r="O146" s="13">
        <f>IFERROR(__xludf.DUMMYFUNCTION("""COMPUTED_VALUE"""),16.0)</f>
        <v>16</v>
      </c>
      <c r="P146" s="14">
        <f>IFERROR(__xludf.DUMMYFUNCTION("""COMPUTED_VALUE"""),17.0)</f>
        <v>17</v>
      </c>
      <c r="Q146" s="13">
        <f>IFERROR(__xludf.DUMMYFUNCTION("""COMPUTED_VALUE"""),29.0)</f>
        <v>29</v>
      </c>
      <c r="R146" s="13">
        <f>IFERROR(__xludf.DUMMYFUNCTION("""COMPUTED_VALUE"""),58.0)</f>
        <v>58</v>
      </c>
      <c r="S146" s="15">
        <f>IFERROR(__xludf.DUMMYFUNCTION("""COMPUTED_VALUE"""),0.27586206896551724)</f>
        <v>0.275862069</v>
      </c>
      <c r="T146" s="16">
        <f>IFERROR(__xludf.DUMMYFUNCTION("""COMPUTED_VALUE"""),288.7241379310345)</f>
        <v>288.7241379</v>
      </c>
      <c r="U146" s="16">
        <f>IFERROR(__xludf.DUMMYFUNCTION("""COMPUTED_VALUE"""),0.5517241379310345)</f>
        <v>0.5517241379</v>
      </c>
      <c r="V146" s="16">
        <f>IFERROR(__xludf.DUMMYFUNCTION("""COMPUTED_VALUE"""),0.5862068965517241)</f>
        <v>0.5862068966</v>
      </c>
      <c r="W146" s="16">
        <f>IFERROR(__xludf.DUMMYFUNCTION("""COMPUTED_VALUE"""),1.0)</f>
        <v>1</v>
      </c>
      <c r="X146" s="16">
        <f>IFERROR(__xludf.DUMMYFUNCTION("""COMPUTED_VALUE"""),2.0)</f>
        <v>2</v>
      </c>
      <c r="Y146" s="11">
        <f>IFERROR(__xludf.DUMMYFUNCTION("""COMPUTED_VALUE"""),7.0)</f>
        <v>7</v>
      </c>
      <c r="Z146" s="11">
        <f>IFERROR(__xludf.DUMMYFUNCTION("""COMPUTED_VALUE"""),1.0)</f>
        <v>1</v>
      </c>
      <c r="AA146" s="11">
        <f>IFERROR(__xludf.DUMMYFUNCTION("""COMPUTED_VALUE"""),0.0)</f>
        <v>0</v>
      </c>
      <c r="AB146" s="11">
        <f>IFERROR(__xludf.DUMMYFUNCTION("""COMPUTED_VALUE"""),2.0)</f>
        <v>2</v>
      </c>
      <c r="AC146" s="11">
        <f>IFERROR(__xludf.DUMMYFUNCTION("""COMPUTED_VALUE"""),23.0)</f>
        <v>23</v>
      </c>
      <c r="AD146" s="11">
        <f>IFERROR(__xludf.DUMMYFUNCTION("""COMPUTED_VALUE"""),33.0)</f>
        <v>33</v>
      </c>
    </row>
    <row r="147">
      <c r="A147" s="10" t="str">
        <f>IFERROR(__xludf.DUMMYFUNCTION("""COMPUTED_VALUE"""),"Challenger")</f>
        <v>Challenger</v>
      </c>
      <c r="B147" s="10" t="str">
        <f>IFERROR(__xludf.DUMMYFUNCTION("""COMPUTED_VALUE"""),"RSC008031")</f>
        <v>RSC008031</v>
      </c>
      <c r="C147" s="10" t="str">
        <f>IFERROR(__xludf.DUMMYFUNCTION("""COMPUTED_VALUE"""),"timthebigone")</f>
        <v>timthebigone</v>
      </c>
      <c r="D147" s="36" t="str">
        <f>IFERROR(__xludf.DUMMYFUNCTION("""COMPUTED_VALUE"""),"Corals")</f>
        <v>Corals</v>
      </c>
      <c r="E147" s="10" t="str">
        <f>IFERROR(__xludf.DUMMYFUNCTION("""COMPUTED_VALUE"""),"Lunar")</f>
        <v>Lunar</v>
      </c>
      <c r="F147" s="37">
        <f>IFERROR(__xludf.DUMMYFUNCTION("""COMPUTED_VALUE"""),30.27045770846748)</f>
        <v>30.27045771</v>
      </c>
      <c r="G147" s="38">
        <f>IFERROR(__xludf.DUMMYFUNCTION("""COMPUTED_VALUE"""),49.65540026366781)</f>
        <v>49.65540026</v>
      </c>
      <c r="H147" s="38">
        <f>IFERROR(__xludf.DUMMYFUNCTION("""COMPUTED_VALUE"""),39.962928986067645)</f>
        <v>39.96292899</v>
      </c>
      <c r="I147" s="14">
        <f>IFERROR(__xludf.DUMMYFUNCTION("""COMPUTED_VALUE"""),11.0)</f>
        <v>11</v>
      </c>
      <c r="J147" s="11">
        <f>IFERROR(__xludf.DUMMYFUNCTION("IFERROR(FILTER(Stats!$F:$Z,(Stats!$A:$A=$A147)*(Stats!$B:$B=$B147)))"),3.0)</f>
        <v>3</v>
      </c>
      <c r="K147" s="11">
        <f>IFERROR(__xludf.DUMMYFUNCTION("""COMPUTED_VALUE"""),8.0)</f>
        <v>8</v>
      </c>
      <c r="L147" s="12">
        <f>IFERROR(__xludf.DUMMYFUNCTION("""COMPUTED_VALUE"""),0.2727272727272727)</f>
        <v>0.2727272727</v>
      </c>
      <c r="M147" s="11">
        <f>IFERROR(__xludf.DUMMYFUNCTION("""COMPUTED_VALUE"""),0.0)</f>
        <v>0</v>
      </c>
      <c r="N147" s="11">
        <f>IFERROR(__xludf.DUMMYFUNCTION("""COMPUTED_VALUE"""),3161.0)</f>
        <v>3161</v>
      </c>
      <c r="O147" s="13">
        <f>IFERROR(__xludf.DUMMYFUNCTION("""COMPUTED_VALUE"""),6.0)</f>
        <v>6</v>
      </c>
      <c r="P147" s="14">
        <f>IFERROR(__xludf.DUMMYFUNCTION("""COMPUTED_VALUE"""),7.0)</f>
        <v>7</v>
      </c>
      <c r="Q147" s="13">
        <f>IFERROR(__xludf.DUMMYFUNCTION("""COMPUTED_VALUE"""),10.0)</f>
        <v>10</v>
      </c>
      <c r="R147" s="13">
        <f>IFERROR(__xludf.DUMMYFUNCTION("""COMPUTED_VALUE"""),29.0)</f>
        <v>29</v>
      </c>
      <c r="S147" s="15">
        <f>IFERROR(__xludf.DUMMYFUNCTION("""COMPUTED_VALUE"""),0.20689655172413793)</f>
        <v>0.2068965517</v>
      </c>
      <c r="T147" s="16">
        <f>IFERROR(__xludf.DUMMYFUNCTION("""COMPUTED_VALUE"""),287.3636363636364)</f>
        <v>287.3636364</v>
      </c>
      <c r="U147" s="16">
        <f>IFERROR(__xludf.DUMMYFUNCTION("""COMPUTED_VALUE"""),0.5454545454545454)</f>
        <v>0.5454545455</v>
      </c>
      <c r="V147" s="16">
        <f>IFERROR(__xludf.DUMMYFUNCTION("""COMPUTED_VALUE"""),0.6363636363636364)</f>
        <v>0.6363636364</v>
      </c>
      <c r="W147" s="16">
        <f>IFERROR(__xludf.DUMMYFUNCTION("""COMPUTED_VALUE"""),0.9090909090909091)</f>
        <v>0.9090909091</v>
      </c>
      <c r="X147" s="16">
        <f>IFERROR(__xludf.DUMMYFUNCTION("""COMPUTED_VALUE"""),2.6363636363636362)</f>
        <v>2.636363636</v>
      </c>
      <c r="Y147" s="11">
        <f>IFERROR(__xludf.DUMMYFUNCTION("""COMPUTED_VALUE"""),1.0)</f>
        <v>1</v>
      </c>
      <c r="Z147" s="11">
        <f>IFERROR(__xludf.DUMMYFUNCTION("""COMPUTED_VALUE"""),0.0)</f>
        <v>0</v>
      </c>
      <c r="AA147" s="11">
        <f>IFERROR(__xludf.DUMMYFUNCTION("""COMPUTED_VALUE"""),1.0)</f>
        <v>1</v>
      </c>
      <c r="AB147" s="11">
        <f>IFERROR(__xludf.DUMMYFUNCTION("""COMPUTED_VALUE"""),2.0)</f>
        <v>2</v>
      </c>
      <c r="AC147" s="11">
        <f>IFERROR(__xludf.DUMMYFUNCTION("""COMPUTED_VALUE"""),9.0)</f>
        <v>9</v>
      </c>
      <c r="AD147" s="11">
        <f>IFERROR(__xludf.DUMMYFUNCTION("""COMPUTED_VALUE"""),8.0)</f>
        <v>8</v>
      </c>
    </row>
    <row r="148">
      <c r="A148" s="10" t="str">
        <f>IFERROR(__xludf.DUMMYFUNCTION("""COMPUTED_VALUE"""),"Challenger")</f>
        <v>Challenger</v>
      </c>
      <c r="B148" s="10" t="str">
        <f>IFERROR(__xludf.DUMMYFUNCTION("""COMPUTED_VALUE"""),"RSC005884")</f>
        <v>RSC005884</v>
      </c>
      <c r="C148" s="10" t="str">
        <f>IFERROR(__xludf.DUMMYFUNCTION("""COMPUTED_VALUE"""),"Zachthebull36")</f>
        <v>Zachthebull36</v>
      </c>
      <c r="D148" s="36" t="str">
        <f>IFERROR(__xludf.DUMMYFUNCTION("""COMPUTED_VALUE"""),"Scribes")</f>
        <v>Scribes</v>
      </c>
      <c r="E148" s="10" t="str">
        <f>IFERROR(__xludf.DUMMYFUNCTION("""COMPUTED_VALUE"""),"Lunar")</f>
        <v>Lunar</v>
      </c>
      <c r="F148" s="37">
        <f>IFERROR(__xludf.DUMMYFUNCTION("""COMPUTED_VALUE"""),42.821980513395715)</f>
        <v>42.82198051</v>
      </c>
      <c r="G148" s="38">
        <f>IFERROR(__xludf.DUMMYFUNCTION("""COMPUTED_VALUE"""),36.72623724783451)</f>
        <v>36.72623725</v>
      </c>
      <c r="H148" s="38">
        <f>IFERROR(__xludf.DUMMYFUNCTION("""COMPUTED_VALUE"""),39.77410888061512)</f>
        <v>39.77410888</v>
      </c>
      <c r="I148" s="14">
        <f>IFERROR(__xludf.DUMMYFUNCTION("""COMPUTED_VALUE"""),40.0)</f>
        <v>40</v>
      </c>
      <c r="J148" s="11">
        <f>IFERROR(__xludf.DUMMYFUNCTION("IFERROR(FILTER(Stats!$F:$Z,(Stats!$A:$A=$A148)*(Stats!$B:$B=$B148)))"),19.0)</f>
        <v>19</v>
      </c>
      <c r="K148" s="11">
        <f>IFERROR(__xludf.DUMMYFUNCTION("""COMPUTED_VALUE"""),21.0)</f>
        <v>21</v>
      </c>
      <c r="L148" s="12">
        <f>IFERROR(__xludf.DUMMYFUNCTION("""COMPUTED_VALUE"""),0.475)</f>
        <v>0.475</v>
      </c>
      <c r="M148" s="11">
        <f>IFERROR(__xludf.DUMMYFUNCTION("""COMPUTED_VALUE"""),3.0)</f>
        <v>3</v>
      </c>
      <c r="N148" s="11">
        <f>IFERROR(__xludf.DUMMYFUNCTION("""COMPUTED_VALUE"""),12455.0)</f>
        <v>12455</v>
      </c>
      <c r="O148" s="13">
        <f>IFERROR(__xludf.DUMMYFUNCTION("""COMPUTED_VALUE"""),25.0)</f>
        <v>25</v>
      </c>
      <c r="P148" s="14">
        <f>IFERROR(__xludf.DUMMYFUNCTION("""COMPUTED_VALUE"""),19.0)</f>
        <v>19</v>
      </c>
      <c r="Q148" s="13">
        <f>IFERROR(__xludf.DUMMYFUNCTION("""COMPUTED_VALUE"""),47.0)</f>
        <v>47</v>
      </c>
      <c r="R148" s="13">
        <f>IFERROR(__xludf.DUMMYFUNCTION("""COMPUTED_VALUE"""),88.0)</f>
        <v>88</v>
      </c>
      <c r="S148" s="15">
        <f>IFERROR(__xludf.DUMMYFUNCTION("""COMPUTED_VALUE"""),0.2840909090909091)</f>
        <v>0.2840909091</v>
      </c>
      <c r="T148" s="16">
        <f>IFERROR(__xludf.DUMMYFUNCTION("""COMPUTED_VALUE"""),311.375)</f>
        <v>311.375</v>
      </c>
      <c r="U148" s="16">
        <f>IFERROR(__xludf.DUMMYFUNCTION("""COMPUTED_VALUE"""),0.625)</f>
        <v>0.625</v>
      </c>
      <c r="V148" s="16">
        <f>IFERROR(__xludf.DUMMYFUNCTION("""COMPUTED_VALUE"""),0.475)</f>
        <v>0.475</v>
      </c>
      <c r="W148" s="16">
        <f>IFERROR(__xludf.DUMMYFUNCTION("""COMPUTED_VALUE"""),1.175)</f>
        <v>1.175</v>
      </c>
      <c r="X148" s="16">
        <f>IFERROR(__xludf.DUMMYFUNCTION("""COMPUTED_VALUE"""),2.2)</f>
        <v>2.2</v>
      </c>
      <c r="Y148" s="11">
        <f>IFERROR(__xludf.DUMMYFUNCTION("""COMPUTED_VALUE"""),3.0)</f>
        <v>3</v>
      </c>
      <c r="Z148" s="11">
        <f>IFERROR(__xludf.DUMMYFUNCTION("""COMPUTED_VALUE"""),0.0)</f>
        <v>0</v>
      </c>
      <c r="AA148" s="11">
        <f>IFERROR(__xludf.DUMMYFUNCTION("""COMPUTED_VALUE"""),1.0)</f>
        <v>1</v>
      </c>
      <c r="AB148" s="11">
        <f>IFERROR(__xludf.DUMMYFUNCTION("""COMPUTED_VALUE"""),5.0)</f>
        <v>5</v>
      </c>
      <c r="AC148" s="11">
        <f>IFERROR(__xludf.DUMMYFUNCTION("""COMPUTED_VALUE"""),29.0)</f>
        <v>29</v>
      </c>
      <c r="AD148" s="11">
        <f>IFERROR(__xludf.DUMMYFUNCTION("""COMPUTED_VALUE"""),28.0)</f>
        <v>28</v>
      </c>
    </row>
    <row r="149">
      <c r="A149" s="10" t="str">
        <f>IFERROR(__xludf.DUMMYFUNCTION("""COMPUTED_VALUE"""),"Challenger")</f>
        <v>Challenger</v>
      </c>
      <c r="B149" s="10" t="str">
        <f>IFERROR(__xludf.DUMMYFUNCTION("""COMPUTED_VALUE"""),"RSC006569")</f>
        <v>RSC006569</v>
      </c>
      <c r="C149" s="10" t="str">
        <f>IFERROR(__xludf.DUMMYFUNCTION("""COMPUTED_VALUE"""),"mulliganisoup")</f>
        <v>mulliganisoup</v>
      </c>
      <c r="D149" s="36" t="str">
        <f>IFERROR(__xludf.DUMMYFUNCTION("""COMPUTED_VALUE"""),"Gold Hoarders
Porch Pirates")</f>
        <v>Gold Hoarders
Porch Pirates</v>
      </c>
      <c r="E149" s="10" t="str">
        <f>IFERROR(__xludf.DUMMYFUNCTION("""COMPUTED_VALUE"""),"Lunar
Solar")</f>
        <v>Lunar
Solar</v>
      </c>
      <c r="F149" s="37">
        <f>IFERROR(__xludf.DUMMYFUNCTION("""COMPUTED_VALUE"""),44.00959846466458)</f>
        <v>44.00959846</v>
      </c>
      <c r="G149" s="38">
        <f>IFERROR(__xludf.DUMMYFUNCTION("""COMPUTED_VALUE"""),32.807253240907826)</f>
        <v>32.80725324</v>
      </c>
      <c r="H149" s="38">
        <f>IFERROR(__xludf.DUMMYFUNCTION("""COMPUTED_VALUE"""),38.4084258527862)</f>
        <v>38.40842585</v>
      </c>
      <c r="I149" s="14">
        <f>IFERROR(__xludf.DUMMYFUNCTION("""COMPUTED_VALUE"""),24.0)</f>
        <v>24</v>
      </c>
      <c r="J149" s="11">
        <f>IFERROR(__xludf.DUMMYFUNCTION("IFERROR(FILTER(Stats!$F:$Z,(Stats!$A:$A=$A149)*(Stats!$B:$B=$B149)))"),9.0)</f>
        <v>9</v>
      </c>
      <c r="K149" s="11">
        <f>IFERROR(__xludf.DUMMYFUNCTION("""COMPUTED_VALUE"""),15.0)</f>
        <v>15</v>
      </c>
      <c r="L149" s="12">
        <f>IFERROR(__xludf.DUMMYFUNCTION("""COMPUTED_VALUE"""),0.375)</f>
        <v>0.375</v>
      </c>
      <c r="M149" s="11">
        <f>IFERROR(__xludf.DUMMYFUNCTION("""COMPUTED_VALUE"""),4.0)</f>
        <v>4</v>
      </c>
      <c r="N149" s="11">
        <f>IFERROR(__xludf.DUMMYFUNCTION("""COMPUTED_VALUE"""),7604.0)</f>
        <v>7604</v>
      </c>
      <c r="O149" s="13">
        <f>IFERROR(__xludf.DUMMYFUNCTION("""COMPUTED_VALUE"""),13.0)</f>
        <v>13</v>
      </c>
      <c r="P149" s="14">
        <f>IFERROR(__xludf.DUMMYFUNCTION("""COMPUTED_VALUE"""),9.0)</f>
        <v>9</v>
      </c>
      <c r="Q149" s="13">
        <f>IFERROR(__xludf.DUMMYFUNCTION("""COMPUTED_VALUE"""),37.0)</f>
        <v>37</v>
      </c>
      <c r="R149" s="13">
        <f>IFERROR(__xludf.DUMMYFUNCTION("""COMPUTED_VALUE"""),48.0)</f>
        <v>48</v>
      </c>
      <c r="S149" s="15">
        <f>IFERROR(__xludf.DUMMYFUNCTION("""COMPUTED_VALUE"""),0.2708333333333333)</f>
        <v>0.2708333333</v>
      </c>
      <c r="T149" s="16">
        <f>IFERROR(__xludf.DUMMYFUNCTION("""COMPUTED_VALUE"""),316.8333333333333)</f>
        <v>316.8333333</v>
      </c>
      <c r="U149" s="16">
        <f>IFERROR(__xludf.DUMMYFUNCTION("""COMPUTED_VALUE"""),0.5416666666666666)</f>
        <v>0.5416666667</v>
      </c>
      <c r="V149" s="16">
        <f>IFERROR(__xludf.DUMMYFUNCTION("""COMPUTED_VALUE"""),0.375)</f>
        <v>0.375</v>
      </c>
      <c r="W149" s="16">
        <f>IFERROR(__xludf.DUMMYFUNCTION("""COMPUTED_VALUE"""),1.5416666666666667)</f>
        <v>1.541666667</v>
      </c>
      <c r="X149" s="16">
        <f>IFERROR(__xludf.DUMMYFUNCTION("""COMPUTED_VALUE"""),2.0)</f>
        <v>2</v>
      </c>
      <c r="Y149" s="11">
        <f>IFERROR(__xludf.DUMMYFUNCTION("""COMPUTED_VALUE"""),4.0)</f>
        <v>4</v>
      </c>
      <c r="Z149" s="11">
        <f>IFERROR(__xludf.DUMMYFUNCTION("""COMPUTED_VALUE"""),0.0)</f>
        <v>0</v>
      </c>
      <c r="AA149" s="11">
        <f>IFERROR(__xludf.DUMMYFUNCTION("""COMPUTED_VALUE"""),0.0)</f>
        <v>0</v>
      </c>
      <c r="AB149" s="11">
        <f>IFERROR(__xludf.DUMMYFUNCTION("""COMPUTED_VALUE"""),5.0)</f>
        <v>5</v>
      </c>
      <c r="AC149" s="11">
        <f>IFERROR(__xludf.DUMMYFUNCTION("""COMPUTED_VALUE"""),18.0)</f>
        <v>18</v>
      </c>
      <c r="AD149" s="11">
        <f>IFERROR(__xludf.DUMMYFUNCTION("""COMPUTED_VALUE"""),14.0)</f>
        <v>14</v>
      </c>
    </row>
    <row r="150">
      <c r="A150" s="10" t="str">
        <f>IFERROR(__xludf.DUMMYFUNCTION("""COMPUTED_VALUE"""),"Challenger")</f>
        <v>Challenger</v>
      </c>
      <c r="B150" s="10" t="str">
        <f>IFERROR(__xludf.DUMMYFUNCTION("""COMPUTED_VALUE"""),"RSC006966")</f>
        <v>RSC006966</v>
      </c>
      <c r="C150" s="10" t="str">
        <f>IFERROR(__xludf.DUMMYFUNCTION("""COMPUTED_VALUE"""),"Pivot97")</f>
        <v>Pivot97</v>
      </c>
      <c r="D150" s="36" t="str">
        <f>IFERROR(__xludf.DUMMYFUNCTION("""COMPUTED_VALUE"""),"Havarti Hustlers")</f>
        <v>Havarti Hustlers</v>
      </c>
      <c r="E150" s="10" t="str">
        <f>IFERROR(__xludf.DUMMYFUNCTION("""COMPUTED_VALUE"""),"Lunar")</f>
        <v>Lunar</v>
      </c>
      <c r="F150" s="37">
        <f>IFERROR(__xludf.DUMMYFUNCTION("""COMPUTED_VALUE"""),43.27363510687596)</f>
        <v>43.27363511</v>
      </c>
      <c r="G150" s="38">
        <f>IFERROR(__xludf.DUMMYFUNCTION("""COMPUTED_VALUE"""),33.38770265157977)</f>
        <v>33.38770265</v>
      </c>
      <c r="H150" s="38">
        <f>IFERROR(__xludf.DUMMYFUNCTION("""COMPUTED_VALUE"""),38.330668879227865)</f>
        <v>38.33066888</v>
      </c>
      <c r="I150" s="14">
        <f>IFERROR(__xludf.DUMMYFUNCTION("""COMPUTED_VALUE"""),21.0)</f>
        <v>21</v>
      </c>
      <c r="J150" s="11">
        <f>IFERROR(__xludf.DUMMYFUNCTION("IFERROR(FILTER(Stats!$F:$Z,(Stats!$A:$A=$A150)*(Stats!$B:$B=$B150)))"),10.0)</f>
        <v>10</v>
      </c>
      <c r="K150" s="11">
        <f>IFERROR(__xludf.DUMMYFUNCTION("""COMPUTED_VALUE"""),11.0)</f>
        <v>11</v>
      </c>
      <c r="L150" s="12">
        <f>IFERROR(__xludf.DUMMYFUNCTION("""COMPUTED_VALUE"""),0.47619047619047616)</f>
        <v>0.4761904762</v>
      </c>
      <c r="M150" s="11">
        <f>IFERROR(__xludf.DUMMYFUNCTION("""COMPUTED_VALUE"""),4.0)</f>
        <v>4</v>
      </c>
      <c r="N150" s="11">
        <f>IFERROR(__xludf.DUMMYFUNCTION("""COMPUTED_VALUE"""),6314.0)</f>
        <v>6314</v>
      </c>
      <c r="O150" s="13">
        <f>IFERROR(__xludf.DUMMYFUNCTION("""COMPUTED_VALUE"""),17.0)</f>
        <v>17</v>
      </c>
      <c r="P150" s="14">
        <f>IFERROR(__xludf.DUMMYFUNCTION("""COMPUTED_VALUE"""),9.0)</f>
        <v>9</v>
      </c>
      <c r="Q150" s="13">
        <f>IFERROR(__xludf.DUMMYFUNCTION("""COMPUTED_VALUE"""),20.0)</f>
        <v>20</v>
      </c>
      <c r="R150" s="13">
        <f>IFERROR(__xludf.DUMMYFUNCTION("""COMPUTED_VALUE"""),43.0)</f>
        <v>43</v>
      </c>
      <c r="S150" s="15">
        <f>IFERROR(__xludf.DUMMYFUNCTION("""COMPUTED_VALUE"""),0.3953488372093023)</f>
        <v>0.3953488372</v>
      </c>
      <c r="T150" s="16">
        <f>IFERROR(__xludf.DUMMYFUNCTION("""COMPUTED_VALUE"""),300.6666666666667)</f>
        <v>300.6666667</v>
      </c>
      <c r="U150" s="16">
        <f>IFERROR(__xludf.DUMMYFUNCTION("""COMPUTED_VALUE"""),0.8095238095238095)</f>
        <v>0.8095238095</v>
      </c>
      <c r="V150" s="16">
        <f>IFERROR(__xludf.DUMMYFUNCTION("""COMPUTED_VALUE"""),0.42857142857142855)</f>
        <v>0.4285714286</v>
      </c>
      <c r="W150" s="16">
        <f>IFERROR(__xludf.DUMMYFUNCTION("""COMPUTED_VALUE"""),0.9523809523809523)</f>
        <v>0.9523809524</v>
      </c>
      <c r="X150" s="16">
        <f>IFERROR(__xludf.DUMMYFUNCTION("""COMPUTED_VALUE"""),2.0476190476190474)</f>
        <v>2.047619048</v>
      </c>
      <c r="Y150" s="11">
        <f>IFERROR(__xludf.DUMMYFUNCTION("""COMPUTED_VALUE"""),5.0)</f>
        <v>5</v>
      </c>
      <c r="Z150" s="11">
        <f>IFERROR(__xludf.DUMMYFUNCTION("""COMPUTED_VALUE"""),2.0)</f>
        <v>2</v>
      </c>
      <c r="AA150" s="11">
        <f>IFERROR(__xludf.DUMMYFUNCTION("""COMPUTED_VALUE"""),0.0)</f>
        <v>0</v>
      </c>
      <c r="AB150" s="11">
        <f>IFERROR(__xludf.DUMMYFUNCTION("""COMPUTED_VALUE"""),2.0)</f>
        <v>2</v>
      </c>
      <c r="AC150" s="11">
        <f>IFERROR(__xludf.DUMMYFUNCTION("""COMPUTED_VALUE"""),14.0)</f>
        <v>14</v>
      </c>
      <c r="AD150" s="11">
        <f>IFERROR(__xludf.DUMMYFUNCTION("""COMPUTED_VALUE"""),12.0)</f>
        <v>12</v>
      </c>
    </row>
    <row r="151">
      <c r="A151" s="10" t="str">
        <f>IFERROR(__xludf.DUMMYFUNCTION("""COMPUTED_VALUE"""),"Challenger")</f>
        <v>Challenger</v>
      </c>
      <c r="B151" s="10" t="str">
        <f>IFERROR(__xludf.DUMMYFUNCTION("""COMPUTED_VALUE"""),"RSC008120")</f>
        <v>RSC008120</v>
      </c>
      <c r="C151" s="10" t="str">
        <f>IFERROR(__xludf.DUMMYFUNCTION("""COMPUTED_VALUE"""),"spul4k")</f>
        <v>spul4k</v>
      </c>
      <c r="D151" s="36" t="str">
        <f>IFERROR(__xludf.DUMMYFUNCTION("""COMPUTED_VALUE"""),"Glaciers")</f>
        <v>Glaciers</v>
      </c>
      <c r="E151" s="10" t="str">
        <f>IFERROR(__xludf.DUMMYFUNCTION("""COMPUTED_VALUE"""),"Solar")</f>
        <v>Solar</v>
      </c>
      <c r="F151" s="37">
        <f>IFERROR(__xludf.DUMMYFUNCTION("""COMPUTED_VALUE"""),37.44603291758901)</f>
        <v>37.44603292</v>
      </c>
      <c r="G151" s="38">
        <f>IFERROR(__xludf.DUMMYFUNCTION("""COMPUTED_VALUE"""),38.923793788397916)</f>
        <v>38.92379379</v>
      </c>
      <c r="H151" s="38">
        <f>IFERROR(__xludf.DUMMYFUNCTION("""COMPUTED_VALUE"""),38.18491335299346)</f>
        <v>38.18491335</v>
      </c>
      <c r="I151" s="14">
        <f>IFERROR(__xludf.DUMMYFUNCTION("""COMPUTED_VALUE"""),40.0)</f>
        <v>40</v>
      </c>
      <c r="J151" s="11">
        <f>IFERROR(__xludf.DUMMYFUNCTION("IFERROR(FILTER(Stats!$F:$Z,(Stats!$A:$A=$A151)*(Stats!$B:$B=$B151)))"),22.0)</f>
        <v>22</v>
      </c>
      <c r="K151" s="11">
        <f>IFERROR(__xludf.DUMMYFUNCTION("""COMPUTED_VALUE"""),18.0)</f>
        <v>18</v>
      </c>
      <c r="L151" s="12">
        <f>IFERROR(__xludf.DUMMYFUNCTION("""COMPUTED_VALUE"""),0.55)</f>
        <v>0.55</v>
      </c>
      <c r="M151" s="11">
        <f>IFERROR(__xludf.DUMMYFUNCTION("""COMPUTED_VALUE"""),5.0)</f>
        <v>5</v>
      </c>
      <c r="N151" s="11">
        <f>IFERROR(__xludf.DUMMYFUNCTION("""COMPUTED_VALUE"""),12530.0)</f>
        <v>12530</v>
      </c>
      <c r="O151" s="13">
        <f>IFERROR(__xludf.DUMMYFUNCTION("""COMPUTED_VALUE"""),30.0)</f>
        <v>30</v>
      </c>
      <c r="P151" s="14">
        <f>IFERROR(__xludf.DUMMYFUNCTION("""COMPUTED_VALUE"""),16.0)</f>
        <v>16</v>
      </c>
      <c r="Q151" s="13">
        <f>IFERROR(__xludf.DUMMYFUNCTION("""COMPUTED_VALUE"""),53.0)</f>
        <v>53</v>
      </c>
      <c r="R151" s="13">
        <f>IFERROR(__xludf.DUMMYFUNCTION("""COMPUTED_VALUE"""),88.0)</f>
        <v>88</v>
      </c>
      <c r="S151" s="15">
        <f>IFERROR(__xludf.DUMMYFUNCTION("""COMPUTED_VALUE"""),0.3409090909090909)</f>
        <v>0.3409090909</v>
      </c>
      <c r="T151" s="16">
        <f>IFERROR(__xludf.DUMMYFUNCTION("""COMPUTED_VALUE"""),313.25)</f>
        <v>313.25</v>
      </c>
      <c r="U151" s="16">
        <f>IFERROR(__xludf.DUMMYFUNCTION("""COMPUTED_VALUE"""),0.75)</f>
        <v>0.75</v>
      </c>
      <c r="V151" s="16">
        <f>IFERROR(__xludf.DUMMYFUNCTION("""COMPUTED_VALUE"""),0.4)</f>
        <v>0.4</v>
      </c>
      <c r="W151" s="16">
        <f>IFERROR(__xludf.DUMMYFUNCTION("""COMPUTED_VALUE"""),1.325)</f>
        <v>1.325</v>
      </c>
      <c r="X151" s="16">
        <f>IFERROR(__xludf.DUMMYFUNCTION("""COMPUTED_VALUE"""),2.2)</f>
        <v>2.2</v>
      </c>
      <c r="Y151" s="11">
        <f>IFERROR(__xludf.DUMMYFUNCTION("""COMPUTED_VALUE"""),7.0)</f>
        <v>7</v>
      </c>
      <c r="Z151" s="11">
        <f>IFERROR(__xludf.DUMMYFUNCTION("""COMPUTED_VALUE"""),1.0)</f>
        <v>1</v>
      </c>
      <c r="AA151" s="11">
        <f>IFERROR(__xludf.DUMMYFUNCTION("""COMPUTED_VALUE"""),0.0)</f>
        <v>0</v>
      </c>
      <c r="AB151" s="11">
        <f>IFERROR(__xludf.DUMMYFUNCTION("""COMPUTED_VALUE"""),7.0)</f>
        <v>7</v>
      </c>
      <c r="AC151" s="11">
        <f>IFERROR(__xludf.DUMMYFUNCTION("""COMPUTED_VALUE"""),46.0)</f>
        <v>46</v>
      </c>
      <c r="AD151" s="11">
        <f>IFERROR(__xludf.DUMMYFUNCTION("""COMPUTED_VALUE"""),51.0)</f>
        <v>51</v>
      </c>
    </row>
    <row r="152">
      <c r="A152" s="10" t="str">
        <f>IFERROR(__xludf.DUMMYFUNCTION("""COMPUTED_VALUE"""),"Challenger")</f>
        <v>Challenger</v>
      </c>
      <c r="B152" s="10" t="str">
        <f>IFERROR(__xludf.DUMMYFUNCTION("""COMPUTED_VALUE"""),"RSC005136")</f>
        <v>RSC005136</v>
      </c>
      <c r="C152" s="10" t="str">
        <f>IFERROR(__xludf.DUMMYFUNCTION("""COMPUTED_VALUE"""),"tdogplayz")</f>
        <v>tdogplayz</v>
      </c>
      <c r="D152" s="36" t="str">
        <f>IFERROR(__xludf.DUMMYFUNCTION("""COMPUTED_VALUE"""),"Glams")</f>
        <v>Glams</v>
      </c>
      <c r="E152" s="10" t="str">
        <f>IFERROR(__xludf.DUMMYFUNCTION("""COMPUTED_VALUE"""),"Lunar")</f>
        <v>Lunar</v>
      </c>
      <c r="F152" s="37">
        <f>IFERROR(__xludf.DUMMYFUNCTION("""COMPUTED_VALUE"""),44.57427082418858)</f>
        <v>44.57427082</v>
      </c>
      <c r="G152" s="38">
        <f>IFERROR(__xludf.DUMMYFUNCTION("""COMPUTED_VALUE"""),30.313055994341145)</f>
        <v>30.31305599</v>
      </c>
      <c r="H152" s="38">
        <f>IFERROR(__xludf.DUMMYFUNCTION("""COMPUTED_VALUE"""),37.443663409264865)</f>
        <v>37.44366341</v>
      </c>
      <c r="I152" s="14">
        <f>IFERROR(__xludf.DUMMYFUNCTION("""COMPUTED_VALUE"""),50.0)</f>
        <v>50</v>
      </c>
      <c r="J152" s="11">
        <f>IFERROR(__xludf.DUMMYFUNCTION("IFERROR(FILTER(Stats!$F:$Z,(Stats!$A:$A=$A152)*(Stats!$B:$B=$B152)))"),16.0)</f>
        <v>16</v>
      </c>
      <c r="K152" s="11">
        <f>IFERROR(__xludf.DUMMYFUNCTION("""COMPUTED_VALUE"""),34.0)</f>
        <v>34</v>
      </c>
      <c r="L152" s="12">
        <f>IFERROR(__xludf.DUMMYFUNCTION("""COMPUTED_VALUE"""),0.32)</f>
        <v>0.32</v>
      </c>
      <c r="M152" s="11">
        <f>IFERROR(__xludf.DUMMYFUNCTION("""COMPUTED_VALUE"""),7.0)</f>
        <v>7</v>
      </c>
      <c r="N152" s="11">
        <f>IFERROR(__xludf.DUMMYFUNCTION("""COMPUTED_VALUE"""),16783.0)</f>
        <v>16783</v>
      </c>
      <c r="O152" s="13">
        <f>IFERROR(__xludf.DUMMYFUNCTION("""COMPUTED_VALUE"""),37.0)</f>
        <v>37</v>
      </c>
      <c r="P152" s="14">
        <f>IFERROR(__xludf.DUMMYFUNCTION("""COMPUTED_VALUE"""),16.0)</f>
        <v>16</v>
      </c>
      <c r="Q152" s="13">
        <f>IFERROR(__xludf.DUMMYFUNCTION("""COMPUTED_VALUE"""),80.0)</f>
        <v>80</v>
      </c>
      <c r="R152" s="13">
        <f>IFERROR(__xludf.DUMMYFUNCTION("""COMPUTED_VALUE"""),96.0)</f>
        <v>96</v>
      </c>
      <c r="S152" s="15">
        <f>IFERROR(__xludf.DUMMYFUNCTION("""COMPUTED_VALUE"""),0.3854166666666667)</f>
        <v>0.3854166667</v>
      </c>
      <c r="T152" s="16">
        <f>IFERROR(__xludf.DUMMYFUNCTION("""COMPUTED_VALUE"""),335.66)</f>
        <v>335.66</v>
      </c>
      <c r="U152" s="16">
        <f>IFERROR(__xludf.DUMMYFUNCTION("""COMPUTED_VALUE"""),0.74)</f>
        <v>0.74</v>
      </c>
      <c r="V152" s="16">
        <f>IFERROR(__xludf.DUMMYFUNCTION("""COMPUTED_VALUE"""),0.32)</f>
        <v>0.32</v>
      </c>
      <c r="W152" s="16">
        <f>IFERROR(__xludf.DUMMYFUNCTION("""COMPUTED_VALUE"""),1.6)</f>
        <v>1.6</v>
      </c>
      <c r="X152" s="16">
        <f>IFERROR(__xludf.DUMMYFUNCTION("""COMPUTED_VALUE"""),1.92)</f>
        <v>1.92</v>
      </c>
      <c r="Y152" s="11">
        <f>IFERROR(__xludf.DUMMYFUNCTION("""COMPUTED_VALUE"""),6.0)</f>
        <v>6</v>
      </c>
      <c r="Z152" s="11">
        <f>IFERROR(__xludf.DUMMYFUNCTION("""COMPUTED_VALUE"""),1.0)</f>
        <v>1</v>
      </c>
      <c r="AA152" s="11">
        <f>IFERROR(__xludf.DUMMYFUNCTION("""COMPUTED_VALUE"""),0.0)</f>
        <v>0</v>
      </c>
      <c r="AB152" s="11">
        <f>IFERROR(__xludf.DUMMYFUNCTION("""COMPUTED_VALUE"""),9.0)</f>
        <v>9</v>
      </c>
      <c r="AC152" s="11">
        <f>IFERROR(__xludf.DUMMYFUNCTION("""COMPUTED_VALUE"""),65.0)</f>
        <v>65</v>
      </c>
      <c r="AD152" s="11">
        <f>IFERROR(__xludf.DUMMYFUNCTION("""COMPUTED_VALUE"""),54.0)</f>
        <v>54</v>
      </c>
    </row>
    <row r="153">
      <c r="A153" s="10" t="str">
        <f>IFERROR(__xludf.DUMMYFUNCTION("""COMPUTED_VALUE"""),"Challenger")</f>
        <v>Challenger</v>
      </c>
      <c r="B153" s="10" t="str">
        <f>IFERROR(__xludf.DUMMYFUNCTION("""COMPUTED_VALUE"""),"RSC003737")</f>
        <v>RSC003737</v>
      </c>
      <c r="C153" s="10" t="str">
        <f>IFERROR(__xludf.DUMMYFUNCTION("""COMPUTED_VALUE"""),"MeOnDisplay")</f>
        <v>MeOnDisplay</v>
      </c>
      <c r="D153" s="36" t="str">
        <f>IFERROR(__xludf.DUMMYFUNCTION("""COMPUTED_VALUE"""),"Happy B-day Jess")</f>
        <v>Happy B-day Jess</v>
      </c>
      <c r="E153" s="10" t="str">
        <f>IFERROR(__xludf.DUMMYFUNCTION("""COMPUTED_VALUE"""),"Lunar")</f>
        <v>Lunar</v>
      </c>
      <c r="F153" s="37">
        <f>IFERROR(__xludf.DUMMYFUNCTION("""COMPUTED_VALUE"""),29.947814100005274)</f>
        <v>29.9478141</v>
      </c>
      <c r="G153" s="38">
        <f>IFERROR(__xludf.DUMMYFUNCTION("""COMPUTED_VALUE"""),44.65373464888235)</f>
        <v>44.65373465</v>
      </c>
      <c r="H153" s="38">
        <f>IFERROR(__xludf.DUMMYFUNCTION("""COMPUTED_VALUE"""),37.30077437444381)</f>
        <v>37.30077437</v>
      </c>
      <c r="I153" s="14">
        <f>IFERROR(__xludf.DUMMYFUNCTION("""COMPUTED_VALUE"""),11.0)</f>
        <v>11</v>
      </c>
      <c r="J153" s="11">
        <f>IFERROR(__xludf.DUMMYFUNCTION("IFERROR(FILTER(Stats!$F:$Z,(Stats!$A:$A=$A153)*(Stats!$B:$B=$B153)))"),8.0)</f>
        <v>8</v>
      </c>
      <c r="K153" s="11">
        <f>IFERROR(__xludf.DUMMYFUNCTION("""COMPUTED_VALUE"""),3.0)</f>
        <v>3</v>
      </c>
      <c r="L153" s="12">
        <f>IFERROR(__xludf.DUMMYFUNCTION("""COMPUTED_VALUE"""),0.7272727272727273)</f>
        <v>0.7272727273</v>
      </c>
      <c r="M153" s="11">
        <f>IFERROR(__xludf.DUMMYFUNCTION("""COMPUTED_VALUE"""),1.0)</f>
        <v>1</v>
      </c>
      <c r="N153" s="11">
        <f>IFERROR(__xludf.DUMMYFUNCTION("""COMPUTED_VALUE"""),2771.0)</f>
        <v>2771</v>
      </c>
      <c r="O153" s="13">
        <f>IFERROR(__xludf.DUMMYFUNCTION("""COMPUTED_VALUE"""),6.0)</f>
        <v>6</v>
      </c>
      <c r="P153" s="14">
        <f>IFERROR(__xludf.DUMMYFUNCTION("""COMPUTED_VALUE"""),5.0)</f>
        <v>5</v>
      </c>
      <c r="Q153" s="13">
        <f>IFERROR(__xludf.DUMMYFUNCTION("""COMPUTED_VALUE"""),8.0)</f>
        <v>8</v>
      </c>
      <c r="R153" s="13">
        <f>IFERROR(__xludf.DUMMYFUNCTION("""COMPUTED_VALUE"""),20.0)</f>
        <v>20</v>
      </c>
      <c r="S153" s="15">
        <f>IFERROR(__xludf.DUMMYFUNCTION("""COMPUTED_VALUE"""),0.3)</f>
        <v>0.3</v>
      </c>
      <c r="T153" s="16">
        <f>IFERROR(__xludf.DUMMYFUNCTION("""COMPUTED_VALUE"""),251.9090909090909)</f>
        <v>251.9090909</v>
      </c>
      <c r="U153" s="16">
        <f>IFERROR(__xludf.DUMMYFUNCTION("""COMPUTED_VALUE"""),0.5454545454545454)</f>
        <v>0.5454545455</v>
      </c>
      <c r="V153" s="16">
        <f>IFERROR(__xludf.DUMMYFUNCTION("""COMPUTED_VALUE"""),0.45454545454545453)</f>
        <v>0.4545454545</v>
      </c>
      <c r="W153" s="16">
        <f>IFERROR(__xludf.DUMMYFUNCTION("""COMPUTED_VALUE"""),0.7272727272727273)</f>
        <v>0.7272727273</v>
      </c>
      <c r="X153" s="16">
        <f>IFERROR(__xludf.DUMMYFUNCTION("""COMPUTED_VALUE"""),1.8181818181818181)</f>
        <v>1.818181818</v>
      </c>
      <c r="Y153" s="11">
        <f>IFERROR(__xludf.DUMMYFUNCTION("""COMPUTED_VALUE"""),2.0)</f>
        <v>2</v>
      </c>
      <c r="Z153" s="11">
        <f>IFERROR(__xludf.DUMMYFUNCTION("""COMPUTED_VALUE"""),0.0)</f>
        <v>0</v>
      </c>
      <c r="AA153" s="11">
        <f>IFERROR(__xludf.DUMMYFUNCTION("""COMPUTED_VALUE"""),0.0)</f>
        <v>0</v>
      </c>
      <c r="AB153" s="11">
        <f>IFERROR(__xludf.DUMMYFUNCTION("""COMPUTED_VALUE"""),1.0)</f>
        <v>1</v>
      </c>
      <c r="AC153" s="11">
        <f>IFERROR(__xludf.DUMMYFUNCTION("""COMPUTED_VALUE"""),8.0)</f>
        <v>8</v>
      </c>
      <c r="AD153" s="11">
        <f>IFERROR(__xludf.DUMMYFUNCTION("""COMPUTED_VALUE"""),9.0)</f>
        <v>9</v>
      </c>
    </row>
    <row r="154">
      <c r="A154" s="10" t="str">
        <f>IFERROR(__xludf.DUMMYFUNCTION("""COMPUTED_VALUE"""),"Challenger")</f>
        <v>Challenger</v>
      </c>
      <c r="B154" s="10" t="str">
        <f>IFERROR(__xludf.DUMMYFUNCTION("""COMPUTED_VALUE"""),"RSC006784")</f>
        <v>RSC006784</v>
      </c>
      <c r="C154" s="10" t="str">
        <f>IFERROR(__xludf.DUMMYFUNCTION("""COMPUTED_VALUE"""),"KittyMeowMeow360")</f>
        <v>KittyMeowMeow360</v>
      </c>
      <c r="D154" s="36" t="str">
        <f>IFERROR(__xludf.DUMMYFUNCTION("""COMPUTED_VALUE"""),"Blitzars")</f>
        <v>Blitzars</v>
      </c>
      <c r="E154" s="10" t="str">
        <f>IFERROR(__xludf.DUMMYFUNCTION("""COMPUTED_VALUE"""),"Lunar")</f>
        <v>Lunar</v>
      </c>
      <c r="F154" s="37">
        <f>IFERROR(__xludf.DUMMYFUNCTION("""COMPUTED_VALUE"""),33.537123577051894)</f>
        <v>33.53712358</v>
      </c>
      <c r="G154" s="38">
        <f>IFERROR(__xludf.DUMMYFUNCTION("""COMPUTED_VALUE"""),39.7817527914409)</f>
        <v>39.78175279</v>
      </c>
      <c r="H154" s="38">
        <f>IFERROR(__xludf.DUMMYFUNCTION("""COMPUTED_VALUE"""),36.6594381842464)</f>
        <v>36.65943818</v>
      </c>
      <c r="I154" s="14">
        <f>IFERROR(__xludf.DUMMYFUNCTION("""COMPUTED_VALUE"""),47.0)</f>
        <v>47</v>
      </c>
      <c r="J154" s="11">
        <f>IFERROR(__xludf.DUMMYFUNCTION("IFERROR(FILTER(Stats!$F:$Z,(Stats!$A:$A=$A154)*(Stats!$B:$B=$B154)))"),28.0)</f>
        <v>28</v>
      </c>
      <c r="K154" s="11">
        <f>IFERROR(__xludf.DUMMYFUNCTION("""COMPUTED_VALUE"""),19.0)</f>
        <v>19</v>
      </c>
      <c r="L154" s="12">
        <f>IFERROR(__xludf.DUMMYFUNCTION("""COMPUTED_VALUE"""),0.5957446808510638)</f>
        <v>0.5957446809</v>
      </c>
      <c r="M154" s="11">
        <f>IFERROR(__xludf.DUMMYFUNCTION("""COMPUTED_VALUE"""),0.0)</f>
        <v>0</v>
      </c>
      <c r="N154" s="11">
        <f>IFERROR(__xludf.DUMMYFUNCTION("""COMPUTED_VALUE"""),13120.0)</f>
        <v>13120</v>
      </c>
      <c r="O154" s="13">
        <f>IFERROR(__xludf.DUMMYFUNCTION("""COMPUTED_VALUE"""),24.0)</f>
        <v>24</v>
      </c>
      <c r="P154" s="14">
        <f>IFERROR(__xludf.DUMMYFUNCTION("""COMPUTED_VALUE"""),26.0)</f>
        <v>26</v>
      </c>
      <c r="Q154" s="13">
        <f>IFERROR(__xludf.DUMMYFUNCTION("""COMPUTED_VALUE"""),60.0)</f>
        <v>60</v>
      </c>
      <c r="R154" s="13">
        <f>IFERROR(__xludf.DUMMYFUNCTION("""COMPUTED_VALUE"""),80.0)</f>
        <v>80</v>
      </c>
      <c r="S154" s="15">
        <f>IFERROR(__xludf.DUMMYFUNCTION("""COMPUTED_VALUE"""),0.3)</f>
        <v>0.3</v>
      </c>
      <c r="T154" s="16">
        <f>IFERROR(__xludf.DUMMYFUNCTION("""COMPUTED_VALUE"""),279.1489361702128)</f>
        <v>279.1489362</v>
      </c>
      <c r="U154" s="16">
        <f>IFERROR(__xludf.DUMMYFUNCTION("""COMPUTED_VALUE"""),0.5106382978723404)</f>
        <v>0.5106382979</v>
      </c>
      <c r="V154" s="16">
        <f>IFERROR(__xludf.DUMMYFUNCTION("""COMPUTED_VALUE"""),0.5531914893617021)</f>
        <v>0.5531914894</v>
      </c>
      <c r="W154" s="16">
        <f>IFERROR(__xludf.DUMMYFUNCTION("""COMPUTED_VALUE"""),1.2765957446808511)</f>
        <v>1.276595745</v>
      </c>
      <c r="X154" s="16">
        <f>IFERROR(__xludf.DUMMYFUNCTION("""COMPUTED_VALUE"""),1.702127659574468)</f>
        <v>1.70212766</v>
      </c>
      <c r="Y154" s="11">
        <f>IFERROR(__xludf.DUMMYFUNCTION("""COMPUTED_VALUE"""),6.0)</f>
        <v>6</v>
      </c>
      <c r="Z154" s="11">
        <f>IFERROR(__xludf.DUMMYFUNCTION("""COMPUTED_VALUE"""),0.0)</f>
        <v>0</v>
      </c>
      <c r="AA154" s="11">
        <f>IFERROR(__xludf.DUMMYFUNCTION("""COMPUTED_VALUE"""),0.0)</f>
        <v>0</v>
      </c>
      <c r="AB154" s="11">
        <f>IFERROR(__xludf.DUMMYFUNCTION("""COMPUTED_VALUE"""),7.0)</f>
        <v>7</v>
      </c>
      <c r="AC154" s="11">
        <f>IFERROR(__xludf.DUMMYFUNCTION("""COMPUTED_VALUE"""),38.0)</f>
        <v>38</v>
      </c>
      <c r="AD154" s="11">
        <f>IFERROR(__xludf.DUMMYFUNCTION("""COMPUTED_VALUE"""),41.0)</f>
        <v>41</v>
      </c>
    </row>
    <row r="155">
      <c r="A155" s="10" t="str">
        <f>IFERROR(__xludf.DUMMYFUNCTION("""COMPUTED_VALUE"""),"Challenger")</f>
        <v>Challenger</v>
      </c>
      <c r="B155" s="10" t="str">
        <f>IFERROR(__xludf.DUMMYFUNCTION("""COMPUTED_VALUE"""),"RSC008218")</f>
        <v>RSC008218</v>
      </c>
      <c r="C155" s="10" t="str">
        <f>IFERROR(__xludf.DUMMYFUNCTION("""COMPUTED_VALUE"""),"Korrello")</f>
        <v>Korrello</v>
      </c>
      <c r="D155" s="36" t="str">
        <f>IFERROR(__xludf.DUMMYFUNCTION("""COMPUTED_VALUE"""),"Glaciers")</f>
        <v>Glaciers</v>
      </c>
      <c r="E155" s="10" t="str">
        <f>IFERROR(__xludf.DUMMYFUNCTION("""COMPUTED_VALUE"""),"Solar")</f>
        <v>Solar</v>
      </c>
      <c r="F155" s="37">
        <f>IFERROR(__xludf.DUMMYFUNCTION("""COMPUTED_VALUE"""),28.739393255637772)</f>
        <v>28.73939326</v>
      </c>
      <c r="G155" s="38">
        <f>IFERROR(__xludf.DUMMYFUNCTION("""COMPUTED_VALUE"""),42.8401184392747)</f>
        <v>42.84011844</v>
      </c>
      <c r="H155" s="38">
        <f>IFERROR(__xludf.DUMMYFUNCTION("""COMPUTED_VALUE"""),35.789755847456235)</f>
        <v>35.78975585</v>
      </c>
      <c r="I155" s="14">
        <f>IFERROR(__xludf.DUMMYFUNCTION("""COMPUTED_VALUE"""),30.0)</f>
        <v>30</v>
      </c>
      <c r="J155" s="11">
        <f>IFERROR(__xludf.DUMMYFUNCTION("IFERROR(FILTER(Stats!$F:$Z,(Stats!$A:$A=$A155)*(Stats!$B:$B=$B155)))"),17.0)</f>
        <v>17</v>
      </c>
      <c r="K155" s="11">
        <f>IFERROR(__xludf.DUMMYFUNCTION("""COMPUTED_VALUE"""),13.0)</f>
        <v>13</v>
      </c>
      <c r="L155" s="12">
        <f>IFERROR(__xludf.DUMMYFUNCTION("""COMPUTED_VALUE"""),0.5666666666666667)</f>
        <v>0.5666666667</v>
      </c>
      <c r="M155" s="11">
        <f>IFERROR(__xludf.DUMMYFUNCTION("""COMPUTED_VALUE"""),4.0)</f>
        <v>4</v>
      </c>
      <c r="N155" s="11">
        <f>IFERROR(__xludf.DUMMYFUNCTION("""COMPUTED_VALUE"""),8473.0)</f>
        <v>8473</v>
      </c>
      <c r="O155" s="13">
        <f>IFERROR(__xludf.DUMMYFUNCTION("""COMPUTED_VALUE"""),24.0)</f>
        <v>24</v>
      </c>
      <c r="P155" s="14">
        <f>IFERROR(__xludf.DUMMYFUNCTION("""COMPUTED_VALUE"""),14.0)</f>
        <v>14</v>
      </c>
      <c r="Q155" s="13">
        <f>IFERROR(__xludf.DUMMYFUNCTION("""COMPUTED_VALUE"""),34.0)</f>
        <v>34</v>
      </c>
      <c r="R155" s="13">
        <f>IFERROR(__xludf.DUMMYFUNCTION("""COMPUTED_VALUE"""),59.0)</f>
        <v>59</v>
      </c>
      <c r="S155" s="15">
        <f>IFERROR(__xludf.DUMMYFUNCTION("""COMPUTED_VALUE"""),0.4067796610169492)</f>
        <v>0.406779661</v>
      </c>
      <c r="T155" s="16">
        <f>IFERROR(__xludf.DUMMYFUNCTION("""COMPUTED_VALUE"""),282.43333333333334)</f>
        <v>282.4333333</v>
      </c>
      <c r="U155" s="16">
        <f>IFERROR(__xludf.DUMMYFUNCTION("""COMPUTED_VALUE"""),0.8)</f>
        <v>0.8</v>
      </c>
      <c r="V155" s="16">
        <f>IFERROR(__xludf.DUMMYFUNCTION("""COMPUTED_VALUE"""),0.4666666666666667)</f>
        <v>0.4666666667</v>
      </c>
      <c r="W155" s="16">
        <f>IFERROR(__xludf.DUMMYFUNCTION("""COMPUTED_VALUE"""),1.1333333333333333)</f>
        <v>1.133333333</v>
      </c>
      <c r="X155" s="16">
        <f>IFERROR(__xludf.DUMMYFUNCTION("""COMPUTED_VALUE"""),1.9666666666666666)</f>
        <v>1.966666667</v>
      </c>
      <c r="Y155" s="11">
        <f>IFERROR(__xludf.DUMMYFUNCTION("""COMPUTED_VALUE"""),4.0)</f>
        <v>4</v>
      </c>
      <c r="Z155" s="11">
        <f>IFERROR(__xludf.DUMMYFUNCTION("""COMPUTED_VALUE"""),1.0)</f>
        <v>1</v>
      </c>
      <c r="AA155" s="11">
        <f>IFERROR(__xludf.DUMMYFUNCTION("""COMPUTED_VALUE"""),0.0)</f>
        <v>0</v>
      </c>
      <c r="AB155" s="11">
        <f>IFERROR(__xludf.DUMMYFUNCTION("""COMPUTED_VALUE"""),5.0)</f>
        <v>5</v>
      </c>
      <c r="AC155" s="11">
        <f>IFERROR(__xludf.DUMMYFUNCTION("""COMPUTED_VALUE"""),23.0)</f>
        <v>23</v>
      </c>
      <c r="AD155" s="11">
        <f>IFERROR(__xludf.DUMMYFUNCTION("""COMPUTED_VALUE"""),32.0)</f>
        <v>32</v>
      </c>
    </row>
    <row r="156">
      <c r="A156" s="10" t="str">
        <f>IFERROR(__xludf.DUMMYFUNCTION("""COMPUTED_VALUE"""),"Challenger")</f>
        <v>Challenger</v>
      </c>
      <c r="B156" s="10" t="str">
        <f>IFERROR(__xludf.DUMMYFUNCTION("""COMPUTED_VALUE"""),"RSC006586")</f>
        <v>RSC006586</v>
      </c>
      <c r="C156" s="10" t="str">
        <f>IFERROR(__xludf.DUMMYFUNCTION("""COMPUTED_VALUE"""),"dino_chick3n")</f>
        <v>dino_chick3n</v>
      </c>
      <c r="D156" s="36" t="str">
        <f>IFERROR(__xludf.DUMMYFUNCTION("""COMPUTED_VALUE"""),"Glams")</f>
        <v>Glams</v>
      </c>
      <c r="E156" s="10" t="str">
        <f>IFERROR(__xludf.DUMMYFUNCTION("""COMPUTED_VALUE"""),"Lunar")</f>
        <v>Lunar</v>
      </c>
      <c r="F156" s="37">
        <f>IFERROR(__xludf.DUMMYFUNCTION("""COMPUTED_VALUE"""),37.89446885393479)</f>
        <v>37.89446885</v>
      </c>
      <c r="G156" s="38">
        <f>IFERROR(__xludf.DUMMYFUNCTION("""COMPUTED_VALUE"""),33.540073338286994)</f>
        <v>33.54007334</v>
      </c>
      <c r="H156" s="38">
        <f>IFERROR(__xludf.DUMMYFUNCTION("""COMPUTED_VALUE"""),35.71727109611089)</f>
        <v>35.7172711</v>
      </c>
      <c r="I156" s="14">
        <f>IFERROR(__xludf.DUMMYFUNCTION("""COMPUTED_VALUE"""),36.0)</f>
        <v>36</v>
      </c>
      <c r="J156" s="11">
        <f>IFERROR(__xludf.DUMMYFUNCTION("IFERROR(FILTER(Stats!$F:$Z,(Stats!$A:$A=$A156)*(Stats!$B:$B=$B156)))"),12.0)</f>
        <v>12</v>
      </c>
      <c r="K156" s="11">
        <f>IFERROR(__xludf.DUMMYFUNCTION("""COMPUTED_VALUE"""),24.0)</f>
        <v>24</v>
      </c>
      <c r="L156" s="12">
        <f>IFERROR(__xludf.DUMMYFUNCTION("""COMPUTED_VALUE"""),0.3333333333333333)</f>
        <v>0.3333333333</v>
      </c>
      <c r="M156" s="11">
        <f>IFERROR(__xludf.DUMMYFUNCTION("""COMPUTED_VALUE"""),4.0)</f>
        <v>4</v>
      </c>
      <c r="N156" s="11">
        <f>IFERROR(__xludf.DUMMYFUNCTION("""COMPUTED_VALUE"""),10969.0)</f>
        <v>10969</v>
      </c>
      <c r="O156" s="13">
        <f>IFERROR(__xludf.DUMMYFUNCTION("""COMPUTED_VALUE"""),24.0)</f>
        <v>24</v>
      </c>
      <c r="P156" s="14">
        <f>IFERROR(__xludf.DUMMYFUNCTION("""COMPUTED_VALUE"""),12.0)</f>
        <v>12</v>
      </c>
      <c r="Q156" s="13">
        <f>IFERROR(__xludf.DUMMYFUNCTION("""COMPUTED_VALUE"""),43.0)</f>
        <v>43</v>
      </c>
      <c r="R156" s="13">
        <f>IFERROR(__xludf.DUMMYFUNCTION("""COMPUTED_VALUE"""),80.0)</f>
        <v>80</v>
      </c>
      <c r="S156" s="15">
        <f>IFERROR(__xludf.DUMMYFUNCTION("""COMPUTED_VALUE"""),0.3)</f>
        <v>0.3</v>
      </c>
      <c r="T156" s="16">
        <f>IFERROR(__xludf.DUMMYFUNCTION("""COMPUTED_VALUE"""),304.69444444444446)</f>
        <v>304.6944444</v>
      </c>
      <c r="U156" s="16">
        <f>IFERROR(__xludf.DUMMYFUNCTION("""COMPUTED_VALUE"""),0.6666666666666666)</f>
        <v>0.6666666667</v>
      </c>
      <c r="V156" s="16">
        <f>IFERROR(__xludf.DUMMYFUNCTION("""COMPUTED_VALUE"""),0.3333333333333333)</f>
        <v>0.3333333333</v>
      </c>
      <c r="W156" s="16">
        <f>IFERROR(__xludf.DUMMYFUNCTION("""COMPUTED_VALUE"""),1.1944444444444444)</f>
        <v>1.194444444</v>
      </c>
      <c r="X156" s="16">
        <f>IFERROR(__xludf.DUMMYFUNCTION("""COMPUTED_VALUE"""),2.2222222222222223)</f>
        <v>2.222222222</v>
      </c>
      <c r="Y156" s="11">
        <f>IFERROR(__xludf.DUMMYFUNCTION("""COMPUTED_VALUE"""),8.0)</f>
        <v>8</v>
      </c>
      <c r="Z156" s="11">
        <f>IFERROR(__xludf.DUMMYFUNCTION("""COMPUTED_VALUE"""),2.0)</f>
        <v>2</v>
      </c>
      <c r="AA156" s="11">
        <f>IFERROR(__xludf.DUMMYFUNCTION("""COMPUTED_VALUE"""),0.0)</f>
        <v>0</v>
      </c>
      <c r="AB156" s="11">
        <f>IFERROR(__xludf.DUMMYFUNCTION("""COMPUTED_VALUE"""),2.0)</f>
        <v>2</v>
      </c>
      <c r="AC156" s="11">
        <f>IFERROR(__xludf.DUMMYFUNCTION("""COMPUTED_VALUE"""),14.0)</f>
        <v>14</v>
      </c>
      <c r="AD156" s="11">
        <f>IFERROR(__xludf.DUMMYFUNCTION("""COMPUTED_VALUE"""),30.0)</f>
        <v>30</v>
      </c>
    </row>
    <row r="157">
      <c r="A157" s="10" t="str">
        <f>IFERROR(__xludf.DUMMYFUNCTION("""COMPUTED_VALUE"""),"Challenger")</f>
        <v>Challenger</v>
      </c>
      <c r="B157" s="10" t="str">
        <f>IFERROR(__xludf.DUMMYFUNCTION("""COMPUTED_VALUE"""),"RSC008188")</f>
        <v>RSC008188</v>
      </c>
      <c r="C157" s="10" t="str">
        <f>IFERROR(__xludf.DUMMYFUNCTION("""COMPUTED_VALUE"""),"SludgeMixFuzz")</f>
        <v>SludgeMixFuzz</v>
      </c>
      <c r="D157" s="36" t="str">
        <f>IFERROR(__xludf.DUMMYFUNCTION("""COMPUTED_VALUE"""),"Sirens")</f>
        <v>Sirens</v>
      </c>
      <c r="E157" s="10" t="str">
        <f>IFERROR(__xludf.DUMMYFUNCTION("""COMPUTED_VALUE"""),"Solar")</f>
        <v>Solar</v>
      </c>
      <c r="F157" s="37">
        <f>IFERROR(__xludf.DUMMYFUNCTION("""COMPUTED_VALUE"""),39.305706336351946)</f>
        <v>39.30570634</v>
      </c>
      <c r="G157" s="38">
        <f>IFERROR(__xludf.DUMMYFUNCTION("""COMPUTED_VALUE"""),32.0194701806562)</f>
        <v>32.01947018</v>
      </c>
      <c r="H157" s="38">
        <f>IFERROR(__xludf.DUMMYFUNCTION("""COMPUTED_VALUE"""),35.66258825850407)</f>
        <v>35.66258826</v>
      </c>
      <c r="I157" s="14">
        <f>IFERROR(__xludf.DUMMYFUNCTION("""COMPUTED_VALUE"""),45.0)</f>
        <v>45</v>
      </c>
      <c r="J157" s="11">
        <f>IFERROR(__xludf.DUMMYFUNCTION("IFERROR(FILTER(Stats!$F:$Z,(Stats!$A:$A=$A157)*(Stats!$B:$B=$B157)))"),21.0)</f>
        <v>21</v>
      </c>
      <c r="K157" s="11">
        <f>IFERROR(__xludf.DUMMYFUNCTION("""COMPUTED_VALUE"""),24.0)</f>
        <v>24</v>
      </c>
      <c r="L157" s="12">
        <f>IFERROR(__xludf.DUMMYFUNCTION("""COMPUTED_VALUE"""),0.4666666666666667)</f>
        <v>0.4666666667</v>
      </c>
      <c r="M157" s="11">
        <f>IFERROR(__xludf.DUMMYFUNCTION("""COMPUTED_VALUE"""),6.0)</f>
        <v>6</v>
      </c>
      <c r="N157" s="11">
        <f>IFERROR(__xludf.DUMMYFUNCTION("""COMPUTED_VALUE"""),13682.0)</f>
        <v>13682</v>
      </c>
      <c r="O157" s="13">
        <f>IFERROR(__xludf.DUMMYFUNCTION("""COMPUTED_VALUE"""),24.0)</f>
        <v>24</v>
      </c>
      <c r="P157" s="14">
        <f>IFERROR(__xludf.DUMMYFUNCTION("""COMPUTED_VALUE"""),25.0)</f>
        <v>25</v>
      </c>
      <c r="Q157" s="13">
        <f>IFERROR(__xludf.DUMMYFUNCTION("""COMPUTED_VALUE"""),63.0)</f>
        <v>63</v>
      </c>
      <c r="R157" s="13">
        <f>IFERROR(__xludf.DUMMYFUNCTION("""COMPUTED_VALUE"""),77.0)</f>
        <v>77</v>
      </c>
      <c r="S157" s="15">
        <f>IFERROR(__xludf.DUMMYFUNCTION("""COMPUTED_VALUE"""),0.3116883116883117)</f>
        <v>0.3116883117</v>
      </c>
      <c r="T157" s="16">
        <f>IFERROR(__xludf.DUMMYFUNCTION("""COMPUTED_VALUE"""),304.0444444444444)</f>
        <v>304.0444444</v>
      </c>
      <c r="U157" s="16">
        <f>IFERROR(__xludf.DUMMYFUNCTION("""COMPUTED_VALUE"""),0.5333333333333333)</f>
        <v>0.5333333333</v>
      </c>
      <c r="V157" s="16">
        <f>IFERROR(__xludf.DUMMYFUNCTION("""COMPUTED_VALUE"""),0.5555555555555556)</f>
        <v>0.5555555556</v>
      </c>
      <c r="W157" s="16">
        <f>IFERROR(__xludf.DUMMYFUNCTION("""COMPUTED_VALUE"""),1.4)</f>
        <v>1.4</v>
      </c>
      <c r="X157" s="16">
        <f>IFERROR(__xludf.DUMMYFUNCTION("""COMPUTED_VALUE"""),1.711111111111111)</f>
        <v>1.711111111</v>
      </c>
      <c r="Y157" s="11">
        <f>IFERROR(__xludf.DUMMYFUNCTION("""COMPUTED_VALUE"""),6.0)</f>
        <v>6</v>
      </c>
      <c r="Z157" s="11">
        <f>IFERROR(__xludf.DUMMYFUNCTION("""COMPUTED_VALUE"""),0.0)</f>
        <v>0</v>
      </c>
      <c r="AA157" s="11">
        <f>IFERROR(__xludf.DUMMYFUNCTION("""COMPUTED_VALUE"""),2.0)</f>
        <v>2</v>
      </c>
      <c r="AB157" s="11">
        <f>IFERROR(__xludf.DUMMYFUNCTION("""COMPUTED_VALUE"""),8.0)</f>
        <v>8</v>
      </c>
      <c r="AC157" s="11">
        <f>IFERROR(__xludf.DUMMYFUNCTION("""COMPUTED_VALUE"""),102.0)</f>
        <v>102</v>
      </c>
      <c r="AD157" s="11">
        <f>IFERROR(__xludf.DUMMYFUNCTION("""COMPUTED_VALUE"""),48.0)</f>
        <v>48</v>
      </c>
    </row>
    <row r="158">
      <c r="A158" s="10" t="str">
        <f>IFERROR(__xludf.DUMMYFUNCTION("""COMPUTED_VALUE"""),"Challenger")</f>
        <v>Challenger</v>
      </c>
      <c r="B158" s="10" t="str">
        <f>IFERROR(__xludf.DUMMYFUNCTION("""COMPUTED_VALUE"""),"RSC006755")</f>
        <v>RSC006755</v>
      </c>
      <c r="C158" s="10" t="str">
        <f>IFERROR(__xludf.DUMMYFUNCTION("""COMPUTED_VALUE"""),"Fox_gt_400")</f>
        <v>Fox_gt_400</v>
      </c>
      <c r="D158" s="36" t="str">
        <f>IFERROR(__xludf.DUMMYFUNCTION("""COMPUTED_VALUE"""),"Spearmint
Corals
Jinyiwei")</f>
        <v>Spearmint
Corals
Jinyiwei</v>
      </c>
      <c r="E158" s="10" t="str">
        <f>IFERROR(__xludf.DUMMYFUNCTION("""COMPUTED_VALUE"""),"Solar
Lunar
Lunar")</f>
        <v>Solar
Lunar
Lunar</v>
      </c>
      <c r="F158" s="37">
        <f>IFERROR(__xludf.DUMMYFUNCTION("""COMPUTED_VALUE"""),36.02019221438982)</f>
        <v>36.02019221</v>
      </c>
      <c r="G158" s="38">
        <f>IFERROR(__xludf.DUMMYFUNCTION("""COMPUTED_VALUE"""),34.92655346080305)</f>
        <v>34.92655346</v>
      </c>
      <c r="H158" s="38">
        <f>IFERROR(__xludf.DUMMYFUNCTION("""COMPUTED_VALUE"""),35.473372837596436)</f>
        <v>35.47337284</v>
      </c>
      <c r="I158" s="14">
        <f>IFERROR(__xludf.DUMMYFUNCTION("""COMPUTED_VALUE"""),29.0)</f>
        <v>29</v>
      </c>
      <c r="J158" s="11">
        <f>IFERROR(__xludf.DUMMYFUNCTION("IFERROR(FILTER(Stats!$F:$Z,(Stats!$A:$A=$A158)*(Stats!$B:$B=$B158)))"),11.0)</f>
        <v>11</v>
      </c>
      <c r="K158" s="11">
        <f>IFERROR(__xludf.DUMMYFUNCTION("""COMPUTED_VALUE"""),18.0)</f>
        <v>18</v>
      </c>
      <c r="L158" s="12">
        <f>IFERROR(__xludf.DUMMYFUNCTION("""COMPUTED_VALUE"""),0.3793103448275862)</f>
        <v>0.3793103448</v>
      </c>
      <c r="M158" s="11">
        <f>IFERROR(__xludf.DUMMYFUNCTION("""COMPUTED_VALUE"""),1.0)</f>
        <v>1</v>
      </c>
      <c r="N158" s="11">
        <f>IFERROR(__xludf.DUMMYFUNCTION("""COMPUTED_VALUE"""),8604.0)</f>
        <v>8604</v>
      </c>
      <c r="O158" s="13">
        <f>IFERROR(__xludf.DUMMYFUNCTION("""COMPUTED_VALUE"""),21.0)</f>
        <v>21</v>
      </c>
      <c r="P158" s="14">
        <f>IFERROR(__xludf.DUMMYFUNCTION("""COMPUTED_VALUE"""),10.0)</f>
        <v>10</v>
      </c>
      <c r="Q158" s="13">
        <f>IFERROR(__xludf.DUMMYFUNCTION("""COMPUTED_VALUE"""),33.0)</f>
        <v>33</v>
      </c>
      <c r="R158" s="13">
        <f>IFERROR(__xludf.DUMMYFUNCTION("""COMPUTED_VALUE"""),62.0)</f>
        <v>62</v>
      </c>
      <c r="S158" s="15">
        <f>IFERROR(__xludf.DUMMYFUNCTION("""COMPUTED_VALUE"""),0.3387096774193548)</f>
        <v>0.3387096774</v>
      </c>
      <c r="T158" s="16">
        <f>IFERROR(__xludf.DUMMYFUNCTION("""COMPUTED_VALUE"""),296.6896551724138)</f>
        <v>296.6896552</v>
      </c>
      <c r="U158" s="16">
        <f>IFERROR(__xludf.DUMMYFUNCTION("""COMPUTED_VALUE"""),0.7241379310344828)</f>
        <v>0.724137931</v>
      </c>
      <c r="V158" s="16">
        <f>IFERROR(__xludf.DUMMYFUNCTION("""COMPUTED_VALUE"""),0.3448275862068966)</f>
        <v>0.3448275862</v>
      </c>
      <c r="W158" s="16">
        <f>IFERROR(__xludf.DUMMYFUNCTION("""COMPUTED_VALUE"""),1.1379310344827587)</f>
        <v>1.137931034</v>
      </c>
      <c r="X158" s="16">
        <f>IFERROR(__xludf.DUMMYFUNCTION("""COMPUTED_VALUE"""),2.1379310344827585)</f>
        <v>2.137931034</v>
      </c>
      <c r="Y158" s="11">
        <f>IFERROR(__xludf.DUMMYFUNCTION("""COMPUTED_VALUE"""),7.0)</f>
        <v>7</v>
      </c>
      <c r="Z158" s="11">
        <f>IFERROR(__xludf.DUMMYFUNCTION("""COMPUTED_VALUE"""),0.0)</f>
        <v>0</v>
      </c>
      <c r="AA158" s="11">
        <f>IFERROR(__xludf.DUMMYFUNCTION("""COMPUTED_VALUE"""),0.0)</f>
        <v>0</v>
      </c>
      <c r="AB158" s="11">
        <f>IFERROR(__xludf.DUMMYFUNCTION("""COMPUTED_VALUE"""),2.0)</f>
        <v>2</v>
      </c>
      <c r="AC158" s="11">
        <f>IFERROR(__xludf.DUMMYFUNCTION("""COMPUTED_VALUE"""),5.0)</f>
        <v>5</v>
      </c>
      <c r="AD158" s="11">
        <f>IFERROR(__xludf.DUMMYFUNCTION("""COMPUTED_VALUE"""),32.0)</f>
        <v>32</v>
      </c>
    </row>
    <row r="159">
      <c r="A159" s="10" t="str">
        <f>IFERROR(__xludf.DUMMYFUNCTION("""COMPUTED_VALUE"""),"Challenger")</f>
        <v>Challenger</v>
      </c>
      <c r="B159" s="10" t="str">
        <f>IFERROR(__xludf.DUMMYFUNCTION("""COMPUTED_VALUE"""),"RSC006587")</f>
        <v>RSC006587</v>
      </c>
      <c r="C159" s="10" t="str">
        <f>IFERROR(__xludf.DUMMYFUNCTION("""COMPUTED_VALUE"""),"Enterprise15")</f>
        <v>Enterprise15</v>
      </c>
      <c r="D159" s="36" t="str">
        <f>IFERROR(__xludf.DUMMYFUNCTION("""COMPUTED_VALUE"""),"Warthogs")</f>
        <v>Warthogs</v>
      </c>
      <c r="E159" s="10" t="str">
        <f>IFERROR(__xludf.DUMMYFUNCTION("""COMPUTED_VALUE"""),"Lunar")</f>
        <v>Lunar</v>
      </c>
      <c r="F159" s="37">
        <f>IFERROR(__xludf.DUMMYFUNCTION("""COMPUTED_VALUE"""),40.16804306757865)</f>
        <v>40.16804307</v>
      </c>
      <c r="G159" s="38">
        <f>IFERROR(__xludf.DUMMYFUNCTION("""COMPUTED_VALUE"""),28.84044476894479)</f>
        <v>28.84044477</v>
      </c>
      <c r="H159" s="38">
        <f>IFERROR(__xludf.DUMMYFUNCTION("""COMPUTED_VALUE"""),34.50424391826172)</f>
        <v>34.50424392</v>
      </c>
      <c r="I159" s="14">
        <f>IFERROR(__xludf.DUMMYFUNCTION("""COMPUTED_VALUE"""),46.0)</f>
        <v>46</v>
      </c>
      <c r="J159" s="11">
        <f>IFERROR(__xludf.DUMMYFUNCTION("IFERROR(FILTER(Stats!$F:$Z,(Stats!$A:$A=$A159)*(Stats!$B:$B=$B159)))"),21.0)</f>
        <v>21</v>
      </c>
      <c r="K159" s="11">
        <f>IFERROR(__xludf.DUMMYFUNCTION("""COMPUTED_VALUE"""),25.0)</f>
        <v>25</v>
      </c>
      <c r="L159" s="12">
        <f>IFERROR(__xludf.DUMMYFUNCTION("""COMPUTED_VALUE"""),0.45652173913043476)</f>
        <v>0.4565217391</v>
      </c>
      <c r="M159" s="11">
        <f>IFERROR(__xludf.DUMMYFUNCTION("""COMPUTED_VALUE"""),6.0)</f>
        <v>6</v>
      </c>
      <c r="N159" s="11">
        <f>IFERROR(__xludf.DUMMYFUNCTION("""COMPUTED_VALUE"""),15505.0)</f>
        <v>15505</v>
      </c>
      <c r="O159" s="13">
        <f>IFERROR(__xludf.DUMMYFUNCTION("""COMPUTED_VALUE"""),30.0)</f>
        <v>30</v>
      </c>
      <c r="P159" s="14">
        <f>IFERROR(__xludf.DUMMYFUNCTION("""COMPUTED_VALUE"""),17.0)</f>
        <v>17</v>
      </c>
      <c r="Q159" s="13">
        <f>IFERROR(__xludf.DUMMYFUNCTION("""COMPUTED_VALUE"""),74.0)</f>
        <v>74</v>
      </c>
      <c r="R159" s="13">
        <f>IFERROR(__xludf.DUMMYFUNCTION("""COMPUTED_VALUE"""),83.0)</f>
        <v>83</v>
      </c>
      <c r="S159" s="15">
        <f>IFERROR(__xludf.DUMMYFUNCTION("""COMPUTED_VALUE"""),0.3614457831325301)</f>
        <v>0.3614457831</v>
      </c>
      <c r="T159" s="16">
        <f>IFERROR(__xludf.DUMMYFUNCTION("""COMPUTED_VALUE"""),337.0652173913044)</f>
        <v>337.0652174</v>
      </c>
      <c r="U159" s="16">
        <f>IFERROR(__xludf.DUMMYFUNCTION("""COMPUTED_VALUE"""),0.6521739130434783)</f>
        <v>0.652173913</v>
      </c>
      <c r="V159" s="16">
        <f>IFERROR(__xludf.DUMMYFUNCTION("""COMPUTED_VALUE"""),0.3695652173913043)</f>
        <v>0.3695652174</v>
      </c>
      <c r="W159" s="16">
        <f>IFERROR(__xludf.DUMMYFUNCTION("""COMPUTED_VALUE"""),1.608695652173913)</f>
        <v>1.608695652</v>
      </c>
      <c r="X159" s="16">
        <f>IFERROR(__xludf.DUMMYFUNCTION("""COMPUTED_VALUE"""),1.8043478260869565)</f>
        <v>1.804347826</v>
      </c>
      <c r="Y159" s="11">
        <f>IFERROR(__xludf.DUMMYFUNCTION("""COMPUTED_VALUE"""),4.0)</f>
        <v>4</v>
      </c>
      <c r="Z159" s="11">
        <f>IFERROR(__xludf.DUMMYFUNCTION("""COMPUTED_VALUE"""),2.0)</f>
        <v>2</v>
      </c>
      <c r="AA159" s="11">
        <f>IFERROR(__xludf.DUMMYFUNCTION("""COMPUTED_VALUE"""),1.0)</f>
        <v>1</v>
      </c>
      <c r="AB159" s="11">
        <f>IFERROR(__xludf.DUMMYFUNCTION("""COMPUTED_VALUE"""),12.0)</f>
        <v>12</v>
      </c>
      <c r="AC159" s="11">
        <f>IFERROR(__xludf.DUMMYFUNCTION("""COMPUTED_VALUE"""),64.0)</f>
        <v>64</v>
      </c>
      <c r="AD159" s="11">
        <f>IFERROR(__xludf.DUMMYFUNCTION("""COMPUTED_VALUE"""),40.0)</f>
        <v>40</v>
      </c>
    </row>
    <row r="160">
      <c r="A160" s="10" t="str">
        <f>IFERROR(__xludf.DUMMYFUNCTION("""COMPUTED_VALUE"""),"Challenger")</f>
        <v>Challenger</v>
      </c>
      <c r="B160" s="10" t="str">
        <f>IFERROR(__xludf.DUMMYFUNCTION("""COMPUTED_VALUE"""),"RSC006758")</f>
        <v>RSC006758</v>
      </c>
      <c r="C160" s="10" t="str">
        <f>IFERROR(__xludf.DUMMYFUNCTION("""COMPUTED_VALUE"""),"El Booger Sugar")</f>
        <v>El Booger Sugar</v>
      </c>
      <c r="D160" s="36" t="str">
        <f>IFERROR(__xludf.DUMMYFUNCTION("""COMPUTED_VALUE"""),"Havarti Hustlers
Decuriones")</f>
        <v>Havarti Hustlers
Decuriones</v>
      </c>
      <c r="E160" s="10" t="str">
        <f>IFERROR(__xludf.DUMMYFUNCTION("""COMPUTED_VALUE"""),"Lunar
Solar")</f>
        <v>Lunar
Solar</v>
      </c>
      <c r="F160" s="37">
        <f>IFERROR(__xludf.DUMMYFUNCTION("""COMPUTED_VALUE"""),37.385281723093286)</f>
        <v>37.38528172</v>
      </c>
      <c r="G160" s="38">
        <f>IFERROR(__xludf.DUMMYFUNCTION("""COMPUTED_VALUE"""),31.1059221349037)</f>
        <v>31.10592213</v>
      </c>
      <c r="H160" s="38">
        <f>IFERROR(__xludf.DUMMYFUNCTION("""COMPUTED_VALUE"""),34.2456019289985)</f>
        <v>34.24560193</v>
      </c>
      <c r="I160" s="14">
        <f>IFERROR(__xludf.DUMMYFUNCTION("""COMPUTED_VALUE"""),15.0)</f>
        <v>15</v>
      </c>
      <c r="J160" s="11">
        <f>IFERROR(__xludf.DUMMYFUNCTION("IFERROR(FILTER(Stats!$F:$Z,(Stats!$A:$A=$A160)*(Stats!$B:$B=$B160)))"),6.0)</f>
        <v>6</v>
      </c>
      <c r="K160" s="11">
        <f>IFERROR(__xludf.DUMMYFUNCTION("""COMPUTED_VALUE"""),9.0)</f>
        <v>9</v>
      </c>
      <c r="L160" s="12">
        <f>IFERROR(__xludf.DUMMYFUNCTION("""COMPUTED_VALUE"""),0.4)</f>
        <v>0.4</v>
      </c>
      <c r="M160" s="11">
        <f>IFERROR(__xludf.DUMMYFUNCTION("""COMPUTED_VALUE"""),2.0)</f>
        <v>2</v>
      </c>
      <c r="N160" s="11">
        <f>IFERROR(__xludf.DUMMYFUNCTION("""COMPUTED_VALUE"""),3925.0)</f>
        <v>3925</v>
      </c>
      <c r="O160" s="13">
        <f>IFERROR(__xludf.DUMMYFUNCTION("""COMPUTED_VALUE"""),7.0)</f>
        <v>7</v>
      </c>
      <c r="P160" s="14">
        <f>IFERROR(__xludf.DUMMYFUNCTION("""COMPUTED_VALUE"""),9.0)</f>
        <v>9</v>
      </c>
      <c r="Q160" s="13">
        <f>IFERROR(__xludf.DUMMYFUNCTION("""COMPUTED_VALUE"""),19.0)</f>
        <v>19</v>
      </c>
      <c r="R160" s="13">
        <f>IFERROR(__xludf.DUMMYFUNCTION("""COMPUTED_VALUE"""),25.0)</f>
        <v>25</v>
      </c>
      <c r="S160" s="15">
        <f>IFERROR(__xludf.DUMMYFUNCTION("""COMPUTED_VALUE"""),0.28)</f>
        <v>0.28</v>
      </c>
      <c r="T160" s="16">
        <f>IFERROR(__xludf.DUMMYFUNCTION("""COMPUTED_VALUE"""),261.6666666666667)</f>
        <v>261.6666667</v>
      </c>
      <c r="U160" s="16">
        <f>IFERROR(__xludf.DUMMYFUNCTION("""COMPUTED_VALUE"""),0.4666666666666667)</f>
        <v>0.4666666667</v>
      </c>
      <c r="V160" s="16">
        <f>IFERROR(__xludf.DUMMYFUNCTION("""COMPUTED_VALUE"""),0.6)</f>
        <v>0.6</v>
      </c>
      <c r="W160" s="16">
        <f>IFERROR(__xludf.DUMMYFUNCTION("""COMPUTED_VALUE"""),1.2666666666666666)</f>
        <v>1.266666667</v>
      </c>
      <c r="X160" s="16">
        <f>IFERROR(__xludf.DUMMYFUNCTION("""COMPUTED_VALUE"""),1.6666666666666667)</f>
        <v>1.666666667</v>
      </c>
      <c r="Y160" s="11">
        <f>IFERROR(__xludf.DUMMYFUNCTION("""COMPUTED_VALUE"""),3.0)</f>
        <v>3</v>
      </c>
      <c r="Z160" s="11">
        <f>IFERROR(__xludf.DUMMYFUNCTION("""COMPUTED_VALUE"""),0.0)</f>
        <v>0</v>
      </c>
      <c r="AA160" s="11">
        <f>IFERROR(__xludf.DUMMYFUNCTION("""COMPUTED_VALUE"""),1.0)</f>
        <v>1</v>
      </c>
      <c r="AB160" s="11">
        <f>IFERROR(__xludf.DUMMYFUNCTION("""COMPUTED_VALUE"""),0.0)</f>
        <v>0</v>
      </c>
      <c r="AC160" s="11">
        <f>IFERROR(__xludf.DUMMYFUNCTION("""COMPUTED_VALUE"""),11.0)</f>
        <v>11</v>
      </c>
      <c r="AD160" s="11">
        <f>IFERROR(__xludf.DUMMYFUNCTION("""COMPUTED_VALUE"""),25.0)</f>
        <v>25</v>
      </c>
    </row>
    <row r="161">
      <c r="A161" s="10" t="str">
        <f>IFERROR(__xludf.DUMMYFUNCTION("""COMPUTED_VALUE"""),"Challenger")</f>
        <v>Challenger</v>
      </c>
      <c r="B161" s="10" t="str">
        <f>IFERROR(__xludf.DUMMYFUNCTION("""COMPUTED_VALUE"""),"RSC007431")</f>
        <v>RSC007431</v>
      </c>
      <c r="C161" s="10" t="str">
        <f>IFERROR(__xludf.DUMMYFUNCTION("""COMPUTED_VALUE"""),"xPotatodactylx")</f>
        <v>xPotatodactylx</v>
      </c>
      <c r="D161" s="36" t="str">
        <f>IFERROR(__xludf.DUMMYFUNCTION("""COMPUTED_VALUE"""),"Ryujin")</f>
        <v>Ryujin</v>
      </c>
      <c r="E161" s="10" t="str">
        <f>IFERROR(__xludf.DUMMYFUNCTION("""COMPUTED_VALUE"""),"Solar")</f>
        <v>Solar</v>
      </c>
      <c r="F161" s="37">
        <f>IFERROR(__xludf.DUMMYFUNCTION("""COMPUTED_VALUE"""),38.602329384401614)</f>
        <v>38.60232938</v>
      </c>
      <c r="G161" s="38">
        <f>IFERROR(__xludf.DUMMYFUNCTION("""COMPUTED_VALUE"""),29.469151231074324)</f>
        <v>29.46915123</v>
      </c>
      <c r="H161" s="38">
        <f>IFERROR(__xludf.DUMMYFUNCTION("""COMPUTED_VALUE"""),34.03574030773797)</f>
        <v>34.03574031</v>
      </c>
      <c r="I161" s="14">
        <f>IFERROR(__xludf.DUMMYFUNCTION("""COMPUTED_VALUE"""),46.0)</f>
        <v>46</v>
      </c>
      <c r="J161" s="11">
        <f>IFERROR(__xludf.DUMMYFUNCTION("IFERROR(FILTER(Stats!$F:$Z,(Stats!$A:$A=$A161)*(Stats!$B:$B=$B161)))"),22.0)</f>
        <v>22</v>
      </c>
      <c r="K161" s="11">
        <f>IFERROR(__xludf.DUMMYFUNCTION("""COMPUTED_VALUE"""),24.0)</f>
        <v>24</v>
      </c>
      <c r="L161" s="12">
        <f>IFERROR(__xludf.DUMMYFUNCTION("""COMPUTED_VALUE"""),0.4782608695652174)</f>
        <v>0.4782608696</v>
      </c>
      <c r="M161" s="11">
        <f>IFERROR(__xludf.DUMMYFUNCTION("""COMPUTED_VALUE"""),3.0)</f>
        <v>3</v>
      </c>
      <c r="N161" s="11">
        <f>IFERROR(__xludf.DUMMYFUNCTION("""COMPUTED_VALUE"""),13882.0)</f>
        <v>13882</v>
      </c>
      <c r="O161" s="13">
        <f>IFERROR(__xludf.DUMMYFUNCTION("""COMPUTED_VALUE"""),24.0)</f>
        <v>24</v>
      </c>
      <c r="P161" s="14">
        <f>IFERROR(__xludf.DUMMYFUNCTION("""COMPUTED_VALUE"""),19.0)</f>
        <v>19</v>
      </c>
      <c r="Q161" s="13">
        <f>IFERROR(__xludf.DUMMYFUNCTION("""COMPUTED_VALUE"""),72.0)</f>
        <v>72</v>
      </c>
      <c r="R161" s="13">
        <f>IFERROR(__xludf.DUMMYFUNCTION("""COMPUTED_VALUE"""),83.0)</f>
        <v>83</v>
      </c>
      <c r="S161" s="15">
        <f>IFERROR(__xludf.DUMMYFUNCTION("""COMPUTED_VALUE"""),0.2891566265060241)</f>
        <v>0.2891566265</v>
      </c>
      <c r="T161" s="16">
        <f>IFERROR(__xludf.DUMMYFUNCTION("""COMPUTED_VALUE"""),301.7826086956522)</f>
        <v>301.7826087</v>
      </c>
      <c r="U161" s="16">
        <f>IFERROR(__xludf.DUMMYFUNCTION("""COMPUTED_VALUE"""),0.5217391304347826)</f>
        <v>0.5217391304</v>
      </c>
      <c r="V161" s="16">
        <f>IFERROR(__xludf.DUMMYFUNCTION("""COMPUTED_VALUE"""),0.41304347826086957)</f>
        <v>0.4130434783</v>
      </c>
      <c r="W161" s="16">
        <f>IFERROR(__xludf.DUMMYFUNCTION("""COMPUTED_VALUE"""),1.565217391304348)</f>
        <v>1.565217391</v>
      </c>
      <c r="X161" s="16">
        <f>IFERROR(__xludf.DUMMYFUNCTION("""COMPUTED_VALUE"""),1.8043478260869565)</f>
        <v>1.804347826</v>
      </c>
      <c r="Y161" s="11">
        <f>IFERROR(__xludf.DUMMYFUNCTION("""COMPUTED_VALUE"""),5.0)</f>
        <v>5</v>
      </c>
      <c r="Z161" s="11">
        <f>IFERROR(__xludf.DUMMYFUNCTION("""COMPUTED_VALUE"""),0.0)</f>
        <v>0</v>
      </c>
      <c r="AA161" s="11">
        <f>IFERROR(__xludf.DUMMYFUNCTION("""COMPUTED_VALUE"""),2.0)</f>
        <v>2</v>
      </c>
      <c r="AB161" s="11">
        <f>IFERROR(__xludf.DUMMYFUNCTION("""COMPUTED_VALUE"""),8.0)</f>
        <v>8</v>
      </c>
      <c r="AC161" s="11">
        <f>IFERROR(__xludf.DUMMYFUNCTION("""COMPUTED_VALUE"""),32.0)</f>
        <v>32</v>
      </c>
      <c r="AD161" s="11">
        <f>IFERROR(__xludf.DUMMYFUNCTION("""COMPUTED_VALUE"""),37.0)</f>
        <v>37</v>
      </c>
    </row>
    <row r="162">
      <c r="A162" s="10" t="str">
        <f>IFERROR(__xludf.DUMMYFUNCTION("""COMPUTED_VALUE"""),"Challenger")</f>
        <v>Challenger</v>
      </c>
      <c r="B162" s="10" t="str">
        <f>IFERROR(__xludf.DUMMYFUNCTION("""COMPUTED_VALUE"""),"RSC006667")</f>
        <v>RSC006667</v>
      </c>
      <c r="C162" s="10" t="str">
        <f>IFERROR(__xludf.DUMMYFUNCTION("""COMPUTED_VALUE"""),"GET2DACHOPPA5")</f>
        <v>GET2DACHOPPA5</v>
      </c>
      <c r="D162" s="36" t="str">
        <f>IFERROR(__xludf.DUMMYFUNCTION("""COMPUTED_VALUE"""),"Porch Pirates")</f>
        <v>Porch Pirates</v>
      </c>
      <c r="E162" s="10" t="str">
        <f>IFERROR(__xludf.DUMMYFUNCTION("""COMPUTED_VALUE"""),"Solar")</f>
        <v>Solar</v>
      </c>
      <c r="F162" s="37">
        <f>IFERROR(__xludf.DUMMYFUNCTION("""COMPUTED_VALUE"""),35.01391449428266)</f>
        <v>35.01391449</v>
      </c>
      <c r="G162" s="38">
        <f>IFERROR(__xludf.DUMMYFUNCTION("""COMPUTED_VALUE"""),32.01719019651448)</f>
        <v>32.0171902</v>
      </c>
      <c r="H162" s="38">
        <f>IFERROR(__xludf.DUMMYFUNCTION("""COMPUTED_VALUE"""),33.51555234539857)</f>
        <v>33.51555235</v>
      </c>
      <c r="I162" s="14">
        <f>IFERROR(__xludf.DUMMYFUNCTION("""COMPUTED_VALUE"""),23.0)</f>
        <v>23</v>
      </c>
      <c r="J162" s="11">
        <f>IFERROR(__xludf.DUMMYFUNCTION("IFERROR(FILTER(Stats!$F:$Z,(Stats!$A:$A=$A162)*(Stats!$B:$B=$B162)))"),6.0)</f>
        <v>6</v>
      </c>
      <c r="K162" s="11">
        <f>IFERROR(__xludf.DUMMYFUNCTION("""COMPUTED_VALUE"""),17.0)</f>
        <v>17</v>
      </c>
      <c r="L162" s="12">
        <f>IFERROR(__xludf.DUMMYFUNCTION("""COMPUTED_VALUE"""),0.2608695652173913)</f>
        <v>0.2608695652</v>
      </c>
      <c r="M162" s="11">
        <f>IFERROR(__xludf.DUMMYFUNCTION("""COMPUTED_VALUE"""),3.0)</f>
        <v>3</v>
      </c>
      <c r="N162" s="11">
        <f>IFERROR(__xludf.DUMMYFUNCTION("""COMPUTED_VALUE"""),7572.0)</f>
        <v>7572</v>
      </c>
      <c r="O162" s="13">
        <f>IFERROR(__xludf.DUMMYFUNCTION("""COMPUTED_VALUE"""),16.0)</f>
        <v>16</v>
      </c>
      <c r="P162" s="14">
        <f>IFERROR(__xludf.DUMMYFUNCTION("""COMPUTED_VALUE"""),7.0)</f>
        <v>7</v>
      </c>
      <c r="Q162" s="13">
        <f>IFERROR(__xludf.DUMMYFUNCTION("""COMPUTED_VALUE"""),33.0)</f>
        <v>33</v>
      </c>
      <c r="R162" s="13">
        <f>IFERROR(__xludf.DUMMYFUNCTION("""COMPUTED_VALUE"""),57.0)</f>
        <v>57</v>
      </c>
      <c r="S162" s="15">
        <f>IFERROR(__xludf.DUMMYFUNCTION("""COMPUTED_VALUE"""),0.2807017543859649)</f>
        <v>0.2807017544</v>
      </c>
      <c r="T162" s="16">
        <f>IFERROR(__xludf.DUMMYFUNCTION("""COMPUTED_VALUE"""),329.2173913043478)</f>
        <v>329.2173913</v>
      </c>
      <c r="U162" s="16">
        <f>IFERROR(__xludf.DUMMYFUNCTION("""COMPUTED_VALUE"""),0.6956521739130435)</f>
        <v>0.6956521739</v>
      </c>
      <c r="V162" s="16">
        <f>IFERROR(__xludf.DUMMYFUNCTION("""COMPUTED_VALUE"""),0.30434782608695654)</f>
        <v>0.3043478261</v>
      </c>
      <c r="W162" s="16">
        <f>IFERROR(__xludf.DUMMYFUNCTION("""COMPUTED_VALUE"""),1.434782608695652)</f>
        <v>1.434782609</v>
      </c>
      <c r="X162" s="16">
        <f>IFERROR(__xludf.DUMMYFUNCTION("""COMPUTED_VALUE"""),2.4782608695652173)</f>
        <v>2.47826087</v>
      </c>
      <c r="Y162" s="11">
        <f>IFERROR(__xludf.DUMMYFUNCTION("""COMPUTED_VALUE"""),3.0)</f>
        <v>3</v>
      </c>
      <c r="Z162" s="11">
        <f>IFERROR(__xludf.DUMMYFUNCTION("""COMPUTED_VALUE"""),2.0)</f>
        <v>2</v>
      </c>
      <c r="AA162" s="11">
        <f>IFERROR(__xludf.DUMMYFUNCTION("""COMPUTED_VALUE"""),0.0)</f>
        <v>0</v>
      </c>
      <c r="AB162" s="11">
        <f>IFERROR(__xludf.DUMMYFUNCTION("""COMPUTED_VALUE"""),4.0)</f>
        <v>4</v>
      </c>
      <c r="AC162" s="11">
        <f>IFERROR(__xludf.DUMMYFUNCTION("""COMPUTED_VALUE"""),34.0)</f>
        <v>34</v>
      </c>
      <c r="AD162" s="11">
        <f>IFERROR(__xludf.DUMMYFUNCTION("""COMPUTED_VALUE"""),33.0)</f>
        <v>33</v>
      </c>
    </row>
    <row r="163">
      <c r="A163" s="10" t="str">
        <f>IFERROR(__xludf.DUMMYFUNCTION("""COMPUTED_VALUE"""),"Challenger")</f>
        <v>Challenger</v>
      </c>
      <c r="B163" s="10" t="str">
        <f>IFERROR(__xludf.DUMMYFUNCTION("""COMPUTED_VALUE"""),"RSC008552")</f>
        <v>RSC008552</v>
      </c>
      <c r="C163" s="10" t="str">
        <f>IFERROR(__xludf.DUMMYFUNCTION("""COMPUTED_VALUE"""),"S0UL09")</f>
        <v>S0UL09</v>
      </c>
      <c r="D163" s="36" t="str">
        <f>IFERROR(__xludf.DUMMYFUNCTION("""COMPUTED_VALUE"""),"Glaciers")</f>
        <v>Glaciers</v>
      </c>
      <c r="E163" s="10" t="str">
        <f>IFERROR(__xludf.DUMMYFUNCTION("""COMPUTED_VALUE"""),"Solar")</f>
        <v>Solar</v>
      </c>
      <c r="F163" s="37">
        <f>IFERROR(__xludf.DUMMYFUNCTION("""COMPUTED_VALUE"""),34.99620944982006)</f>
        <v>34.99620945</v>
      </c>
      <c r="G163" s="38">
        <f>IFERROR(__xludf.DUMMYFUNCTION("""COMPUTED_VALUE"""),30.78682531284864)</f>
        <v>30.78682531</v>
      </c>
      <c r="H163" s="38">
        <f>IFERROR(__xludf.DUMMYFUNCTION("""COMPUTED_VALUE"""),32.89151738133435)</f>
        <v>32.89151738</v>
      </c>
      <c r="I163" s="14">
        <f>IFERROR(__xludf.DUMMYFUNCTION("""COMPUTED_VALUE"""),4.0)</f>
        <v>4</v>
      </c>
      <c r="J163" s="11">
        <f>IFERROR(__xludf.DUMMYFUNCTION("IFERROR(FILTER(Stats!$F:$Z,(Stats!$A:$A=$A163)*(Stats!$B:$B=$B163)))"),2.0)</f>
        <v>2</v>
      </c>
      <c r="K163" s="11">
        <f>IFERROR(__xludf.DUMMYFUNCTION("""COMPUTED_VALUE"""),2.0)</f>
        <v>2</v>
      </c>
      <c r="L163" s="12">
        <f>IFERROR(__xludf.DUMMYFUNCTION("""COMPUTED_VALUE"""),0.5)</f>
        <v>0.5</v>
      </c>
      <c r="M163" s="11">
        <f>IFERROR(__xludf.DUMMYFUNCTION("""COMPUTED_VALUE"""),1.0)</f>
        <v>1</v>
      </c>
      <c r="N163" s="11">
        <f>IFERROR(__xludf.DUMMYFUNCTION("""COMPUTED_VALUE"""),1057.0)</f>
        <v>1057</v>
      </c>
      <c r="O163" s="13">
        <f>IFERROR(__xludf.DUMMYFUNCTION("""COMPUTED_VALUE"""),3.0)</f>
        <v>3</v>
      </c>
      <c r="P163" s="14">
        <f>IFERROR(__xludf.DUMMYFUNCTION("""COMPUTED_VALUE"""),1.0)</f>
        <v>1</v>
      </c>
      <c r="Q163" s="13">
        <f>IFERROR(__xludf.DUMMYFUNCTION("""COMPUTED_VALUE"""),2.0)</f>
        <v>2</v>
      </c>
      <c r="R163" s="13">
        <f>IFERROR(__xludf.DUMMYFUNCTION("""COMPUTED_VALUE"""),8.0)</f>
        <v>8</v>
      </c>
      <c r="S163" s="15">
        <f>IFERROR(__xludf.DUMMYFUNCTION("""COMPUTED_VALUE"""),0.375)</f>
        <v>0.375</v>
      </c>
      <c r="T163" s="16">
        <f>IFERROR(__xludf.DUMMYFUNCTION("""COMPUTED_VALUE"""),264.25)</f>
        <v>264.25</v>
      </c>
      <c r="U163" s="16">
        <f>IFERROR(__xludf.DUMMYFUNCTION("""COMPUTED_VALUE"""),0.75)</f>
        <v>0.75</v>
      </c>
      <c r="V163" s="16">
        <f>IFERROR(__xludf.DUMMYFUNCTION("""COMPUTED_VALUE"""),0.25)</f>
        <v>0.25</v>
      </c>
      <c r="W163" s="16">
        <f>IFERROR(__xludf.DUMMYFUNCTION("""COMPUTED_VALUE"""),0.5)</f>
        <v>0.5</v>
      </c>
      <c r="X163" s="16">
        <f>IFERROR(__xludf.DUMMYFUNCTION("""COMPUTED_VALUE"""),2.0)</f>
        <v>2</v>
      </c>
      <c r="Y163" s="11">
        <f>IFERROR(__xludf.DUMMYFUNCTION("""COMPUTED_VALUE"""),0.0)</f>
        <v>0</v>
      </c>
      <c r="Z163" s="11">
        <f>IFERROR(__xludf.DUMMYFUNCTION("""COMPUTED_VALUE"""),1.0)</f>
        <v>1</v>
      </c>
      <c r="AA163" s="11">
        <f>IFERROR(__xludf.DUMMYFUNCTION("""COMPUTED_VALUE"""),0.0)</f>
        <v>0</v>
      </c>
      <c r="AB163" s="11">
        <f>IFERROR(__xludf.DUMMYFUNCTION("""COMPUTED_VALUE"""),0.0)</f>
        <v>0</v>
      </c>
      <c r="AC163" s="11">
        <f>IFERROR(__xludf.DUMMYFUNCTION("""COMPUTED_VALUE"""),2.0)</f>
        <v>2</v>
      </c>
      <c r="AD163" s="11">
        <f>IFERROR(__xludf.DUMMYFUNCTION("""COMPUTED_VALUE"""),6.0)</f>
        <v>6</v>
      </c>
    </row>
    <row r="164">
      <c r="A164" s="10" t="str">
        <f>IFERROR(__xludf.DUMMYFUNCTION("""COMPUTED_VALUE"""),"Challenger")</f>
        <v>Challenger</v>
      </c>
      <c r="B164" s="10" t="str">
        <f>IFERROR(__xludf.DUMMYFUNCTION("""COMPUTED_VALUE"""),"RSC006822")</f>
        <v>RSC006822</v>
      </c>
      <c r="C164" s="10" t="str">
        <f>IFERROR(__xludf.DUMMYFUNCTION("""COMPUTED_VALUE"""),"itsu_desu")</f>
        <v>itsu_desu</v>
      </c>
      <c r="D164" s="36" t="str">
        <f>IFERROR(__xludf.DUMMYFUNCTION("""COMPUTED_VALUE"""),"Void")</f>
        <v>Void</v>
      </c>
      <c r="E164" s="10" t="str">
        <f>IFERROR(__xludf.DUMMYFUNCTION("""COMPUTED_VALUE"""),"Solar")</f>
        <v>Solar</v>
      </c>
      <c r="F164" s="37">
        <f>IFERROR(__xludf.DUMMYFUNCTION("""COMPUTED_VALUE"""),24.21219005178384)</f>
        <v>24.21219005</v>
      </c>
      <c r="G164" s="38">
        <f>IFERROR(__xludf.DUMMYFUNCTION("""COMPUTED_VALUE"""),40.082523971552284)</f>
        <v>40.08252397</v>
      </c>
      <c r="H164" s="38">
        <f>IFERROR(__xludf.DUMMYFUNCTION("""COMPUTED_VALUE"""),32.14735701166806)</f>
        <v>32.14735701</v>
      </c>
      <c r="I164" s="14">
        <f>IFERROR(__xludf.DUMMYFUNCTION("""COMPUTED_VALUE"""),35.0)</f>
        <v>35</v>
      </c>
      <c r="J164" s="11">
        <f>IFERROR(__xludf.DUMMYFUNCTION("IFERROR(FILTER(Stats!$F:$Z,(Stats!$A:$A=$A164)*(Stats!$B:$B=$B164)))"),11.0)</f>
        <v>11</v>
      </c>
      <c r="K164" s="11">
        <f>IFERROR(__xludf.DUMMYFUNCTION("""COMPUTED_VALUE"""),24.0)</f>
        <v>24</v>
      </c>
      <c r="L164" s="12">
        <f>IFERROR(__xludf.DUMMYFUNCTION("""COMPUTED_VALUE"""),0.3142857142857143)</f>
        <v>0.3142857143</v>
      </c>
      <c r="M164" s="11">
        <f>IFERROR(__xludf.DUMMYFUNCTION("""COMPUTED_VALUE"""),4.0)</f>
        <v>4</v>
      </c>
      <c r="N164" s="11">
        <f>IFERROR(__xludf.DUMMYFUNCTION("""COMPUTED_VALUE"""),9459.0)</f>
        <v>9459</v>
      </c>
      <c r="O164" s="13">
        <f>IFERROR(__xludf.DUMMYFUNCTION("""COMPUTED_VALUE"""),27.0)</f>
        <v>27</v>
      </c>
      <c r="P164" s="14">
        <f>IFERROR(__xludf.DUMMYFUNCTION("""COMPUTED_VALUE"""),16.0)</f>
        <v>16</v>
      </c>
      <c r="Q164" s="13">
        <f>IFERROR(__xludf.DUMMYFUNCTION("""COMPUTED_VALUE"""),24.0)</f>
        <v>24</v>
      </c>
      <c r="R164" s="13">
        <f>IFERROR(__xludf.DUMMYFUNCTION("""COMPUTED_VALUE"""),71.0)</f>
        <v>71</v>
      </c>
      <c r="S164" s="15">
        <f>IFERROR(__xludf.DUMMYFUNCTION("""COMPUTED_VALUE"""),0.38028169014084506)</f>
        <v>0.3802816901</v>
      </c>
      <c r="T164" s="16">
        <f>IFERROR(__xludf.DUMMYFUNCTION("""COMPUTED_VALUE"""),270.25714285714287)</f>
        <v>270.2571429</v>
      </c>
      <c r="U164" s="16">
        <f>IFERROR(__xludf.DUMMYFUNCTION("""COMPUTED_VALUE"""),0.7714285714285715)</f>
        <v>0.7714285714</v>
      </c>
      <c r="V164" s="16">
        <f>IFERROR(__xludf.DUMMYFUNCTION("""COMPUTED_VALUE"""),0.45714285714285713)</f>
        <v>0.4571428571</v>
      </c>
      <c r="W164" s="16">
        <f>IFERROR(__xludf.DUMMYFUNCTION("""COMPUTED_VALUE"""),0.6857142857142857)</f>
        <v>0.6857142857</v>
      </c>
      <c r="X164" s="16">
        <f>IFERROR(__xludf.DUMMYFUNCTION("""COMPUTED_VALUE"""),2.0285714285714285)</f>
        <v>2.028571429</v>
      </c>
      <c r="Y164" s="11">
        <f>IFERROR(__xludf.DUMMYFUNCTION("""COMPUTED_VALUE"""),3.0)</f>
        <v>3</v>
      </c>
      <c r="Z164" s="11">
        <f>IFERROR(__xludf.DUMMYFUNCTION("""COMPUTED_VALUE"""),1.0)</f>
        <v>1</v>
      </c>
      <c r="AA164" s="11">
        <f>IFERROR(__xludf.DUMMYFUNCTION("""COMPUTED_VALUE"""),0.0)</f>
        <v>0</v>
      </c>
      <c r="AB164" s="11">
        <f>IFERROR(__xludf.DUMMYFUNCTION("""COMPUTED_VALUE"""),2.0)</f>
        <v>2</v>
      </c>
      <c r="AC164" s="11">
        <f>IFERROR(__xludf.DUMMYFUNCTION("""COMPUTED_VALUE"""),25.0)</f>
        <v>25</v>
      </c>
      <c r="AD164" s="11">
        <f>IFERROR(__xludf.DUMMYFUNCTION("""COMPUTED_VALUE"""),39.0)</f>
        <v>39</v>
      </c>
    </row>
    <row r="165">
      <c r="A165" s="10" t="str">
        <f>IFERROR(__xludf.DUMMYFUNCTION("""COMPUTED_VALUE"""),"Challenger")</f>
        <v>Challenger</v>
      </c>
      <c r="B165" s="10" t="str">
        <f>IFERROR(__xludf.DUMMYFUNCTION("""COMPUTED_VALUE"""),"RSC003193")</f>
        <v>RSC003193</v>
      </c>
      <c r="C165" s="10" t="str">
        <f>IFERROR(__xludf.DUMMYFUNCTION("""COMPUTED_VALUE"""),"ShiftDrink")</f>
        <v>ShiftDrink</v>
      </c>
      <c r="D165" s="36" t="str">
        <f>IFERROR(__xludf.DUMMYFUNCTION("""COMPUTED_VALUE"""),"Porch Pirates")</f>
        <v>Porch Pirates</v>
      </c>
      <c r="E165" s="10" t="str">
        <f>IFERROR(__xludf.DUMMYFUNCTION("""COMPUTED_VALUE"""),"Solar")</f>
        <v>Solar</v>
      </c>
      <c r="F165" s="37">
        <f>IFERROR(__xludf.DUMMYFUNCTION("""COMPUTED_VALUE"""),37.00051734587403)</f>
        <v>37.00051735</v>
      </c>
      <c r="G165" s="38">
        <f>IFERROR(__xludf.DUMMYFUNCTION("""COMPUTED_VALUE"""),27.22484997204542)</f>
        <v>27.22484997</v>
      </c>
      <c r="H165" s="38">
        <f>IFERROR(__xludf.DUMMYFUNCTION("""COMPUTED_VALUE"""),32.112683658959725)</f>
        <v>32.11268366</v>
      </c>
      <c r="I165" s="14">
        <f>IFERROR(__xludf.DUMMYFUNCTION("""COMPUTED_VALUE"""),39.0)</f>
        <v>39</v>
      </c>
      <c r="J165" s="11">
        <f>IFERROR(__xludf.DUMMYFUNCTION("IFERROR(FILTER(Stats!$F:$Z,(Stats!$A:$A=$A165)*(Stats!$B:$B=$B165)))"),12.0)</f>
        <v>12</v>
      </c>
      <c r="K165" s="11">
        <f>IFERROR(__xludf.DUMMYFUNCTION("""COMPUTED_VALUE"""),27.0)</f>
        <v>27</v>
      </c>
      <c r="L165" s="12">
        <f>IFERROR(__xludf.DUMMYFUNCTION("""COMPUTED_VALUE"""),0.3076923076923077)</f>
        <v>0.3076923077</v>
      </c>
      <c r="M165" s="11">
        <f>IFERROR(__xludf.DUMMYFUNCTION("""COMPUTED_VALUE"""),5.0)</f>
        <v>5</v>
      </c>
      <c r="N165" s="11">
        <f>IFERROR(__xludf.DUMMYFUNCTION("""COMPUTED_VALUE"""),12480.0)</f>
        <v>12480</v>
      </c>
      <c r="O165" s="13">
        <f>IFERROR(__xludf.DUMMYFUNCTION("""COMPUTED_VALUE"""),32.0)</f>
        <v>32</v>
      </c>
      <c r="P165" s="14">
        <f>IFERROR(__xludf.DUMMYFUNCTION("""COMPUTED_VALUE"""),5.0)</f>
        <v>5</v>
      </c>
      <c r="Q165" s="13">
        <f>IFERROR(__xludf.DUMMYFUNCTION("""COMPUTED_VALUE"""),52.0)</f>
        <v>52</v>
      </c>
      <c r="R165" s="13">
        <f>IFERROR(__xludf.DUMMYFUNCTION("""COMPUTED_VALUE"""),96.0)</f>
        <v>96</v>
      </c>
      <c r="S165" s="15">
        <f>IFERROR(__xludf.DUMMYFUNCTION("""COMPUTED_VALUE"""),0.3333333333333333)</f>
        <v>0.3333333333</v>
      </c>
      <c r="T165" s="16">
        <f>IFERROR(__xludf.DUMMYFUNCTION("""COMPUTED_VALUE"""),320.0)</f>
        <v>320</v>
      </c>
      <c r="U165" s="16">
        <f>IFERROR(__xludf.DUMMYFUNCTION("""COMPUTED_VALUE"""),0.8205128205128205)</f>
        <v>0.8205128205</v>
      </c>
      <c r="V165" s="16">
        <f>IFERROR(__xludf.DUMMYFUNCTION("""COMPUTED_VALUE"""),0.1282051282051282)</f>
        <v>0.1282051282</v>
      </c>
      <c r="W165" s="16">
        <f>IFERROR(__xludf.DUMMYFUNCTION("""COMPUTED_VALUE"""),1.3333333333333333)</f>
        <v>1.333333333</v>
      </c>
      <c r="X165" s="16">
        <f>IFERROR(__xludf.DUMMYFUNCTION("""COMPUTED_VALUE"""),2.4615384615384617)</f>
        <v>2.461538462</v>
      </c>
      <c r="Y165" s="11">
        <f>IFERROR(__xludf.DUMMYFUNCTION("""COMPUTED_VALUE"""),0.0)</f>
        <v>0</v>
      </c>
      <c r="Z165" s="11">
        <f>IFERROR(__xludf.DUMMYFUNCTION("""COMPUTED_VALUE"""),1.0)</f>
        <v>1</v>
      </c>
      <c r="AA165" s="11">
        <f>IFERROR(__xludf.DUMMYFUNCTION("""COMPUTED_VALUE"""),0.0)</f>
        <v>0</v>
      </c>
      <c r="AB165" s="11">
        <f>IFERROR(__xludf.DUMMYFUNCTION("""COMPUTED_VALUE"""),6.0)</f>
        <v>6</v>
      </c>
      <c r="AC165" s="11">
        <f>IFERROR(__xludf.DUMMYFUNCTION("""COMPUTED_VALUE"""),25.0)</f>
        <v>25</v>
      </c>
      <c r="AD165" s="11">
        <f>IFERROR(__xludf.DUMMYFUNCTION("""COMPUTED_VALUE"""),50.0)</f>
        <v>50</v>
      </c>
    </row>
    <row r="166">
      <c r="A166" s="10" t="str">
        <f>IFERROR(__xludf.DUMMYFUNCTION("""COMPUTED_VALUE"""),"Challenger")</f>
        <v>Challenger</v>
      </c>
      <c r="B166" s="10" t="str">
        <f>IFERROR(__xludf.DUMMYFUNCTION("""COMPUTED_VALUE"""),"RSC008014")</f>
        <v>RSC008014</v>
      </c>
      <c r="C166" s="10" t="str">
        <f>IFERROR(__xludf.DUMMYFUNCTION("""COMPUTED_VALUE"""),"TweakingOut")</f>
        <v>TweakingOut</v>
      </c>
      <c r="D166" s="36" t="str">
        <f>IFERROR(__xludf.DUMMYFUNCTION("""COMPUTED_VALUE"""),"Havarti Hustlers")</f>
        <v>Havarti Hustlers</v>
      </c>
      <c r="E166" s="10" t="str">
        <f>IFERROR(__xludf.DUMMYFUNCTION("""COMPUTED_VALUE"""),"Lunar")</f>
        <v>Lunar</v>
      </c>
      <c r="F166" s="37">
        <f>IFERROR(__xludf.DUMMYFUNCTION("""COMPUTED_VALUE"""),37.600567969820496)</f>
        <v>37.60056797</v>
      </c>
      <c r="G166" s="38">
        <f>IFERROR(__xludf.DUMMYFUNCTION("""COMPUTED_VALUE"""),26.621896896786115)</f>
        <v>26.6218969</v>
      </c>
      <c r="H166" s="38">
        <f>IFERROR(__xludf.DUMMYFUNCTION("""COMPUTED_VALUE"""),32.11123243330331)</f>
        <v>32.11123243</v>
      </c>
      <c r="I166" s="14">
        <f>IFERROR(__xludf.DUMMYFUNCTION("""COMPUTED_VALUE"""),56.0)</f>
        <v>56</v>
      </c>
      <c r="J166" s="11">
        <f>IFERROR(__xludf.DUMMYFUNCTION("IFERROR(FILTER(Stats!$F:$Z,(Stats!$A:$A=$A166)*(Stats!$B:$B=$B166)))"),19.0)</f>
        <v>19</v>
      </c>
      <c r="K166" s="11">
        <f>IFERROR(__xludf.DUMMYFUNCTION("""COMPUTED_VALUE"""),37.0)</f>
        <v>37</v>
      </c>
      <c r="L166" s="12">
        <f>IFERROR(__xludf.DUMMYFUNCTION("""COMPUTED_VALUE"""),0.3392857142857143)</f>
        <v>0.3392857143</v>
      </c>
      <c r="M166" s="11">
        <f>IFERROR(__xludf.DUMMYFUNCTION("""COMPUTED_VALUE"""),7.0)</f>
        <v>7</v>
      </c>
      <c r="N166" s="11">
        <f>IFERROR(__xludf.DUMMYFUNCTION("""COMPUTED_VALUE"""),17617.0)</f>
        <v>17617</v>
      </c>
      <c r="O166" s="13">
        <f>IFERROR(__xludf.DUMMYFUNCTION("""COMPUTED_VALUE"""),35.0)</f>
        <v>35</v>
      </c>
      <c r="P166" s="14">
        <f>IFERROR(__xludf.DUMMYFUNCTION("""COMPUTED_VALUE"""),20.0)</f>
        <v>20</v>
      </c>
      <c r="Q166" s="13">
        <f>IFERROR(__xludf.DUMMYFUNCTION("""COMPUTED_VALUE"""),67.0)</f>
        <v>67</v>
      </c>
      <c r="R166" s="13">
        <f>IFERROR(__xludf.DUMMYFUNCTION("""COMPUTED_VALUE"""),117.0)</f>
        <v>117</v>
      </c>
      <c r="S166" s="15">
        <f>IFERROR(__xludf.DUMMYFUNCTION("""COMPUTED_VALUE"""),0.29914529914529914)</f>
        <v>0.2991452991</v>
      </c>
      <c r="T166" s="16">
        <f>IFERROR(__xludf.DUMMYFUNCTION("""COMPUTED_VALUE"""),314.5892857142857)</f>
        <v>314.5892857</v>
      </c>
      <c r="U166" s="16">
        <f>IFERROR(__xludf.DUMMYFUNCTION("""COMPUTED_VALUE"""),0.625)</f>
        <v>0.625</v>
      </c>
      <c r="V166" s="16">
        <f>IFERROR(__xludf.DUMMYFUNCTION("""COMPUTED_VALUE"""),0.35714285714285715)</f>
        <v>0.3571428571</v>
      </c>
      <c r="W166" s="16">
        <f>IFERROR(__xludf.DUMMYFUNCTION("""COMPUTED_VALUE"""),1.1964285714285714)</f>
        <v>1.196428571</v>
      </c>
      <c r="X166" s="16">
        <f>IFERROR(__xludf.DUMMYFUNCTION("""COMPUTED_VALUE"""),2.0892857142857144)</f>
        <v>2.089285714</v>
      </c>
      <c r="Y166" s="11">
        <f>IFERROR(__xludf.DUMMYFUNCTION("""COMPUTED_VALUE"""),5.0)</f>
        <v>5</v>
      </c>
      <c r="Z166" s="11">
        <f>IFERROR(__xludf.DUMMYFUNCTION("""COMPUTED_VALUE"""),2.0)</f>
        <v>2</v>
      </c>
      <c r="AA166" s="11">
        <f>IFERROR(__xludf.DUMMYFUNCTION("""COMPUTED_VALUE"""),0.0)</f>
        <v>0</v>
      </c>
      <c r="AB166" s="11">
        <f>IFERROR(__xludf.DUMMYFUNCTION("""COMPUTED_VALUE"""),8.0)</f>
        <v>8</v>
      </c>
      <c r="AC166" s="11">
        <f>IFERROR(__xludf.DUMMYFUNCTION("""COMPUTED_VALUE"""),124.0)</f>
        <v>124</v>
      </c>
      <c r="AD166" s="11">
        <f>IFERROR(__xludf.DUMMYFUNCTION("""COMPUTED_VALUE"""),59.0)</f>
        <v>59</v>
      </c>
    </row>
    <row r="167">
      <c r="A167" s="10" t="str">
        <f>IFERROR(__xludf.DUMMYFUNCTION("""COMPUTED_VALUE"""),"Challenger")</f>
        <v>Challenger</v>
      </c>
      <c r="B167" s="10" t="str">
        <f>IFERROR(__xludf.DUMMYFUNCTION("""COMPUTED_VALUE"""),"RSC008492")</f>
        <v>RSC008492</v>
      </c>
      <c r="C167" s="10" t="str">
        <f>IFERROR(__xludf.DUMMYFUNCTION("""COMPUTED_VALUE"""),"Unc_Rez")</f>
        <v>Unc_Rez</v>
      </c>
      <c r="D167" s="36" t="str">
        <f>IFERROR(__xludf.DUMMYFUNCTION("""COMPUTED_VALUE"""),"Panda Bears")</f>
        <v>Panda Bears</v>
      </c>
      <c r="E167" s="10" t="str">
        <f>IFERROR(__xludf.DUMMYFUNCTION("""COMPUTED_VALUE"""),"Solar")</f>
        <v>Solar</v>
      </c>
      <c r="F167" s="37">
        <f>IFERROR(__xludf.DUMMYFUNCTION("""COMPUTED_VALUE"""),29.765852627853803)</f>
        <v>29.76585263</v>
      </c>
      <c r="G167" s="38">
        <f>IFERROR(__xludf.DUMMYFUNCTION("""COMPUTED_VALUE"""),32.71139008106822)</f>
        <v>32.71139008</v>
      </c>
      <c r="H167" s="38">
        <f>IFERROR(__xludf.DUMMYFUNCTION("""COMPUTED_VALUE"""),31.23862135446101)</f>
        <v>31.23862135</v>
      </c>
      <c r="I167" s="14">
        <f>IFERROR(__xludf.DUMMYFUNCTION("""COMPUTED_VALUE"""),28.0)</f>
        <v>28</v>
      </c>
      <c r="J167" s="11">
        <f>IFERROR(__xludf.DUMMYFUNCTION("IFERROR(FILTER(Stats!$F:$Z,(Stats!$A:$A=$A167)*(Stats!$B:$B=$B167)))"),14.0)</f>
        <v>14</v>
      </c>
      <c r="K167" s="11">
        <f>IFERROR(__xludf.DUMMYFUNCTION("""COMPUTED_VALUE"""),14.0)</f>
        <v>14</v>
      </c>
      <c r="L167" s="12">
        <f>IFERROR(__xludf.DUMMYFUNCTION("""COMPUTED_VALUE"""),0.5)</f>
        <v>0.5</v>
      </c>
      <c r="M167" s="11">
        <f>IFERROR(__xludf.DUMMYFUNCTION("""COMPUTED_VALUE"""),2.0)</f>
        <v>2</v>
      </c>
      <c r="N167" s="11">
        <f>IFERROR(__xludf.DUMMYFUNCTION("""COMPUTED_VALUE"""),8313.0)</f>
        <v>8313</v>
      </c>
      <c r="O167" s="13">
        <f>IFERROR(__xludf.DUMMYFUNCTION("""COMPUTED_VALUE"""),16.0)</f>
        <v>16</v>
      </c>
      <c r="P167" s="14">
        <f>IFERROR(__xludf.DUMMYFUNCTION("""COMPUTED_VALUE"""),13.0)</f>
        <v>13</v>
      </c>
      <c r="Q167" s="13">
        <f>IFERROR(__xludf.DUMMYFUNCTION("""COMPUTED_VALUE"""),31.0)</f>
        <v>31</v>
      </c>
      <c r="R167" s="13">
        <f>IFERROR(__xludf.DUMMYFUNCTION("""COMPUTED_VALUE"""),49.0)</f>
        <v>49</v>
      </c>
      <c r="S167" s="15">
        <f>IFERROR(__xludf.DUMMYFUNCTION("""COMPUTED_VALUE"""),0.32653061224489793)</f>
        <v>0.3265306122</v>
      </c>
      <c r="T167" s="16">
        <f>IFERROR(__xludf.DUMMYFUNCTION("""COMPUTED_VALUE"""),296.89285714285717)</f>
        <v>296.8928571</v>
      </c>
      <c r="U167" s="16">
        <f>IFERROR(__xludf.DUMMYFUNCTION("""COMPUTED_VALUE"""),0.5714285714285714)</f>
        <v>0.5714285714</v>
      </c>
      <c r="V167" s="16">
        <f>IFERROR(__xludf.DUMMYFUNCTION("""COMPUTED_VALUE"""),0.4642857142857143)</f>
        <v>0.4642857143</v>
      </c>
      <c r="W167" s="16">
        <f>IFERROR(__xludf.DUMMYFUNCTION("""COMPUTED_VALUE"""),1.1071428571428572)</f>
        <v>1.107142857</v>
      </c>
      <c r="X167" s="16">
        <f>IFERROR(__xludf.DUMMYFUNCTION("""COMPUTED_VALUE"""),1.75)</f>
        <v>1.75</v>
      </c>
      <c r="Y167" s="11">
        <f>IFERROR(__xludf.DUMMYFUNCTION("""COMPUTED_VALUE"""),4.0)</f>
        <v>4</v>
      </c>
      <c r="Z167" s="11">
        <f>IFERROR(__xludf.DUMMYFUNCTION("""COMPUTED_VALUE"""),0.0)</f>
        <v>0</v>
      </c>
      <c r="AA167" s="11">
        <f>IFERROR(__xludf.DUMMYFUNCTION("""COMPUTED_VALUE"""),1.0)</f>
        <v>1</v>
      </c>
      <c r="AB167" s="11">
        <f>IFERROR(__xludf.DUMMYFUNCTION("""COMPUTED_VALUE"""),4.0)</f>
        <v>4</v>
      </c>
      <c r="AC167" s="11">
        <f>IFERROR(__xludf.DUMMYFUNCTION("""COMPUTED_VALUE"""),29.0)</f>
        <v>29</v>
      </c>
      <c r="AD167" s="11">
        <f>IFERROR(__xludf.DUMMYFUNCTION("""COMPUTED_VALUE"""),29.0)</f>
        <v>29</v>
      </c>
    </row>
    <row r="168">
      <c r="A168" s="10" t="str">
        <f>IFERROR(__xludf.DUMMYFUNCTION("""COMPUTED_VALUE"""),"Challenger")</f>
        <v>Challenger</v>
      </c>
      <c r="B168" s="10" t="str">
        <f>IFERROR(__xludf.DUMMYFUNCTION("""COMPUTED_VALUE"""),"RSC000351")</f>
        <v>RSC000351</v>
      </c>
      <c r="C168" s="10" t="str">
        <f>IFERROR(__xludf.DUMMYFUNCTION("""COMPUTED_VALUE"""),"Mitzi")</f>
        <v>Mitzi</v>
      </c>
      <c r="D168" s="36" t="str">
        <f>IFERROR(__xludf.DUMMYFUNCTION("""COMPUTED_VALUE"""),"Porch Pirates")</f>
        <v>Porch Pirates</v>
      </c>
      <c r="E168" s="10" t="str">
        <f>IFERROR(__xludf.DUMMYFUNCTION("""COMPUTED_VALUE"""),"Solar")</f>
        <v>Solar</v>
      </c>
      <c r="F168" s="37">
        <f>IFERROR(__xludf.DUMMYFUNCTION("""COMPUTED_VALUE"""),31.23035478502666)</f>
        <v>31.23035479</v>
      </c>
      <c r="G168" s="38">
        <f>IFERROR(__xludf.DUMMYFUNCTION("""COMPUTED_VALUE"""),29.5956631826782)</f>
        <v>29.59566318</v>
      </c>
      <c r="H168" s="38">
        <f>IFERROR(__xludf.DUMMYFUNCTION("""COMPUTED_VALUE"""),30.41300898385243)</f>
        <v>30.41300898</v>
      </c>
      <c r="I168" s="14">
        <f>IFERROR(__xludf.DUMMYFUNCTION("""COMPUTED_VALUE"""),32.0)</f>
        <v>32</v>
      </c>
      <c r="J168" s="11">
        <f>IFERROR(__xludf.DUMMYFUNCTION("IFERROR(FILTER(Stats!$F:$Z,(Stats!$A:$A=$A168)*(Stats!$B:$B=$B168)))"),12.0)</f>
        <v>12</v>
      </c>
      <c r="K168" s="11">
        <f>IFERROR(__xludf.DUMMYFUNCTION("""COMPUTED_VALUE"""),20.0)</f>
        <v>20</v>
      </c>
      <c r="L168" s="12">
        <f>IFERROR(__xludf.DUMMYFUNCTION("""COMPUTED_VALUE"""),0.375)</f>
        <v>0.375</v>
      </c>
      <c r="M168" s="11">
        <f>IFERROR(__xludf.DUMMYFUNCTION("""COMPUTED_VALUE"""),2.0)</f>
        <v>2</v>
      </c>
      <c r="N168" s="11">
        <f>IFERROR(__xludf.DUMMYFUNCTION("""COMPUTED_VALUE"""),8830.0)</f>
        <v>8830</v>
      </c>
      <c r="O168" s="13">
        <f>IFERROR(__xludf.DUMMYFUNCTION("""COMPUTED_VALUE"""),16.0)</f>
        <v>16</v>
      </c>
      <c r="P168" s="14">
        <f>IFERROR(__xludf.DUMMYFUNCTION("""COMPUTED_VALUE"""),15.0)</f>
        <v>15</v>
      </c>
      <c r="Q168" s="13">
        <f>IFERROR(__xludf.DUMMYFUNCTION("""COMPUTED_VALUE"""),32.0)</f>
        <v>32</v>
      </c>
      <c r="R168" s="13">
        <f>IFERROR(__xludf.DUMMYFUNCTION("""COMPUTED_VALUE"""),68.0)</f>
        <v>68</v>
      </c>
      <c r="S168" s="15">
        <f>IFERROR(__xludf.DUMMYFUNCTION("""COMPUTED_VALUE"""),0.23529411764705882)</f>
        <v>0.2352941176</v>
      </c>
      <c r="T168" s="16">
        <f>IFERROR(__xludf.DUMMYFUNCTION("""COMPUTED_VALUE"""),275.9375)</f>
        <v>275.9375</v>
      </c>
      <c r="U168" s="16">
        <f>IFERROR(__xludf.DUMMYFUNCTION("""COMPUTED_VALUE"""),0.5)</f>
        <v>0.5</v>
      </c>
      <c r="V168" s="16">
        <f>IFERROR(__xludf.DUMMYFUNCTION("""COMPUTED_VALUE"""),0.46875)</f>
        <v>0.46875</v>
      </c>
      <c r="W168" s="16">
        <f>IFERROR(__xludf.DUMMYFUNCTION("""COMPUTED_VALUE"""),1.0)</f>
        <v>1</v>
      </c>
      <c r="X168" s="16">
        <f>IFERROR(__xludf.DUMMYFUNCTION("""COMPUTED_VALUE"""),2.125)</f>
        <v>2.125</v>
      </c>
      <c r="Y168" s="11">
        <f>IFERROR(__xludf.DUMMYFUNCTION("""COMPUTED_VALUE"""),1.0)</f>
        <v>1</v>
      </c>
      <c r="Z168" s="11">
        <f>IFERROR(__xludf.DUMMYFUNCTION("""COMPUTED_VALUE"""),1.0)</f>
        <v>1</v>
      </c>
      <c r="AA168" s="11">
        <f>IFERROR(__xludf.DUMMYFUNCTION("""COMPUTED_VALUE"""),1.0)</f>
        <v>1</v>
      </c>
      <c r="AB168" s="11">
        <f>IFERROR(__xludf.DUMMYFUNCTION("""COMPUTED_VALUE"""),4.0)</f>
        <v>4</v>
      </c>
      <c r="AC168" s="11">
        <f>IFERROR(__xludf.DUMMYFUNCTION("""COMPUTED_VALUE"""),9.0)</f>
        <v>9</v>
      </c>
      <c r="AD168" s="11">
        <f>IFERROR(__xludf.DUMMYFUNCTION("""COMPUTED_VALUE"""),34.0)</f>
        <v>34</v>
      </c>
    </row>
    <row r="169">
      <c r="A169" s="10" t="str">
        <f>IFERROR(__xludf.DUMMYFUNCTION("""COMPUTED_VALUE"""),"Challenger")</f>
        <v>Challenger</v>
      </c>
      <c r="B169" s="10" t="str">
        <f>IFERROR(__xludf.DUMMYFUNCTION("""COMPUTED_VALUE"""),"RSC003836")</f>
        <v>RSC003836</v>
      </c>
      <c r="C169" s="10" t="str">
        <f>IFERROR(__xludf.DUMMYFUNCTION("""COMPUTED_VALUE"""),"Chronicle")</f>
        <v>Chronicle</v>
      </c>
      <c r="D169" s="36" t="str">
        <f>IFERROR(__xludf.DUMMYFUNCTION("""COMPUTED_VALUE"""),"Warbirds
Toucans")</f>
        <v>Warbirds
Toucans</v>
      </c>
      <c r="E169" s="10" t="str">
        <f>IFERROR(__xludf.DUMMYFUNCTION("""COMPUTED_VALUE"""),"Lunar
Solar")</f>
        <v>Lunar
Solar</v>
      </c>
      <c r="F169" s="37">
        <f>IFERROR(__xludf.DUMMYFUNCTION("""COMPUTED_VALUE"""),42.610113445511566)</f>
        <v>42.61011345</v>
      </c>
      <c r="G169" s="38">
        <f>IFERROR(__xludf.DUMMYFUNCTION("""COMPUTED_VALUE"""),17.47619431920669)</f>
        <v>17.47619432</v>
      </c>
      <c r="H169" s="38">
        <f>IFERROR(__xludf.DUMMYFUNCTION("""COMPUTED_VALUE"""),30.043153882359128)</f>
        <v>30.04315388</v>
      </c>
      <c r="I169" s="14">
        <f>IFERROR(__xludf.DUMMYFUNCTION("""COMPUTED_VALUE"""),24.0)</f>
        <v>24</v>
      </c>
      <c r="J169" s="11">
        <f>IFERROR(__xludf.DUMMYFUNCTION("IFERROR(FILTER(Stats!$F:$Z,(Stats!$A:$A=$A169)*(Stats!$B:$B=$B169)))"),6.0)</f>
        <v>6</v>
      </c>
      <c r="K169" s="11">
        <f>IFERROR(__xludf.DUMMYFUNCTION("""COMPUTED_VALUE"""),18.0)</f>
        <v>18</v>
      </c>
      <c r="L169" s="12">
        <f>IFERROR(__xludf.DUMMYFUNCTION("""COMPUTED_VALUE"""),0.25)</f>
        <v>0.25</v>
      </c>
      <c r="M169" s="11">
        <f>IFERROR(__xludf.DUMMYFUNCTION("""COMPUTED_VALUE"""),2.0)</f>
        <v>2</v>
      </c>
      <c r="N169" s="11">
        <f>IFERROR(__xludf.DUMMYFUNCTION("""COMPUTED_VALUE"""),8004.0)</f>
        <v>8004</v>
      </c>
      <c r="O169" s="13">
        <f>IFERROR(__xludf.DUMMYFUNCTION("""COMPUTED_VALUE"""),11.0)</f>
        <v>11</v>
      </c>
      <c r="P169" s="14">
        <f>IFERROR(__xludf.DUMMYFUNCTION("""COMPUTED_VALUE"""),10.0)</f>
        <v>10</v>
      </c>
      <c r="Q169" s="13">
        <f>IFERROR(__xludf.DUMMYFUNCTION("""COMPUTED_VALUE"""),40.0)</f>
        <v>40</v>
      </c>
      <c r="R169" s="13">
        <f>IFERROR(__xludf.DUMMYFUNCTION("""COMPUTED_VALUE"""),47.0)</f>
        <v>47</v>
      </c>
      <c r="S169" s="15">
        <f>IFERROR(__xludf.DUMMYFUNCTION("""COMPUTED_VALUE"""),0.23404255319148937)</f>
        <v>0.2340425532</v>
      </c>
      <c r="T169" s="16">
        <f>IFERROR(__xludf.DUMMYFUNCTION("""COMPUTED_VALUE"""),333.5)</f>
        <v>333.5</v>
      </c>
      <c r="U169" s="16">
        <f>IFERROR(__xludf.DUMMYFUNCTION("""COMPUTED_VALUE"""),0.4583333333333333)</f>
        <v>0.4583333333</v>
      </c>
      <c r="V169" s="16">
        <f>IFERROR(__xludf.DUMMYFUNCTION("""COMPUTED_VALUE"""),0.4166666666666667)</f>
        <v>0.4166666667</v>
      </c>
      <c r="W169" s="16">
        <f>IFERROR(__xludf.DUMMYFUNCTION("""COMPUTED_VALUE"""),1.6666666666666667)</f>
        <v>1.666666667</v>
      </c>
      <c r="X169" s="16">
        <f>IFERROR(__xludf.DUMMYFUNCTION("""COMPUTED_VALUE"""),1.9583333333333333)</f>
        <v>1.958333333</v>
      </c>
      <c r="Y169" s="11">
        <f>IFERROR(__xludf.DUMMYFUNCTION("""COMPUTED_VALUE"""),3.0)</f>
        <v>3</v>
      </c>
      <c r="Z169" s="11">
        <f>IFERROR(__xludf.DUMMYFUNCTION("""COMPUTED_VALUE"""),0.0)</f>
        <v>0</v>
      </c>
      <c r="AA169" s="11">
        <f>IFERROR(__xludf.DUMMYFUNCTION("""COMPUTED_VALUE"""),0.0)</f>
        <v>0</v>
      </c>
      <c r="AB169" s="11">
        <f>IFERROR(__xludf.DUMMYFUNCTION("""COMPUTED_VALUE"""),6.0)</f>
        <v>6</v>
      </c>
      <c r="AC169" s="11">
        <f>IFERROR(__xludf.DUMMYFUNCTION("""COMPUTED_VALUE"""),19.0)</f>
        <v>19</v>
      </c>
      <c r="AD169" s="11">
        <f>IFERROR(__xludf.DUMMYFUNCTION("""COMPUTED_VALUE"""),27.0)</f>
        <v>27</v>
      </c>
    </row>
    <row r="170">
      <c r="A170" s="10" t="str">
        <f>IFERROR(__xludf.DUMMYFUNCTION("""COMPUTED_VALUE"""),"Challenger")</f>
        <v>Challenger</v>
      </c>
      <c r="B170" s="10" t="str">
        <f>IFERROR(__xludf.DUMMYFUNCTION("""COMPUTED_VALUE"""),"RSC003335")</f>
        <v>RSC003335</v>
      </c>
      <c r="C170" s="10" t="str">
        <f>IFERROR(__xludf.DUMMYFUNCTION("""COMPUTED_VALUE"""),"xEaglex20x")</f>
        <v>xEaglex20x</v>
      </c>
      <c r="D170" s="36" t="str">
        <f>IFERROR(__xludf.DUMMYFUNCTION("""COMPUTED_VALUE"""),"Metal")</f>
        <v>Metal</v>
      </c>
      <c r="E170" s="10" t="str">
        <f>IFERROR(__xludf.DUMMYFUNCTION("""COMPUTED_VALUE"""),"Solar")</f>
        <v>Solar</v>
      </c>
      <c r="F170" s="37">
        <f>IFERROR(__xludf.DUMMYFUNCTION("""COMPUTED_VALUE"""),36.362738624050365)</f>
        <v>36.36273862</v>
      </c>
      <c r="G170" s="38">
        <f>IFERROR(__xludf.DUMMYFUNCTION("""COMPUTED_VALUE"""),21.4961682923885)</f>
        <v>21.49616829</v>
      </c>
      <c r="H170" s="38">
        <f>IFERROR(__xludf.DUMMYFUNCTION("""COMPUTED_VALUE"""),28.929453458219434)</f>
        <v>28.92945346</v>
      </c>
      <c r="I170" s="14">
        <f>IFERROR(__xludf.DUMMYFUNCTION("""COMPUTED_VALUE"""),4.0)</f>
        <v>4</v>
      </c>
      <c r="J170" s="11">
        <f>IFERROR(__xludf.DUMMYFUNCTION("IFERROR(FILTER(Stats!$F:$Z,(Stats!$A:$A=$A170)*(Stats!$B:$B=$B170)))"),1.0)</f>
        <v>1</v>
      </c>
      <c r="K170" s="11">
        <f>IFERROR(__xludf.DUMMYFUNCTION("""COMPUTED_VALUE"""),3.0)</f>
        <v>3</v>
      </c>
      <c r="L170" s="12">
        <f>IFERROR(__xludf.DUMMYFUNCTION("""COMPUTED_VALUE"""),0.25)</f>
        <v>0.25</v>
      </c>
      <c r="M170" s="11">
        <f>IFERROR(__xludf.DUMMYFUNCTION("""COMPUTED_VALUE"""),0.0)</f>
        <v>0</v>
      </c>
      <c r="N170" s="11">
        <f>IFERROR(__xludf.DUMMYFUNCTION("""COMPUTED_VALUE"""),1181.0)</f>
        <v>1181</v>
      </c>
      <c r="O170" s="13">
        <f>IFERROR(__xludf.DUMMYFUNCTION("""COMPUTED_VALUE"""),1.0)</f>
        <v>1</v>
      </c>
      <c r="P170" s="14">
        <f>IFERROR(__xludf.DUMMYFUNCTION("""COMPUTED_VALUE"""),3.0)</f>
        <v>3</v>
      </c>
      <c r="Q170" s="13">
        <f>IFERROR(__xludf.DUMMYFUNCTION("""COMPUTED_VALUE"""),8.0)</f>
        <v>8</v>
      </c>
      <c r="R170" s="13">
        <f>IFERROR(__xludf.DUMMYFUNCTION("""COMPUTED_VALUE"""),3.0)</f>
        <v>3</v>
      </c>
      <c r="S170" s="15">
        <f>IFERROR(__xludf.DUMMYFUNCTION("""COMPUTED_VALUE"""),0.3333333333333333)</f>
        <v>0.3333333333</v>
      </c>
      <c r="T170" s="16">
        <f>IFERROR(__xludf.DUMMYFUNCTION("""COMPUTED_VALUE"""),295.25)</f>
        <v>295.25</v>
      </c>
      <c r="U170" s="16">
        <f>IFERROR(__xludf.DUMMYFUNCTION("""COMPUTED_VALUE"""),0.25)</f>
        <v>0.25</v>
      </c>
      <c r="V170" s="16">
        <f>IFERROR(__xludf.DUMMYFUNCTION("""COMPUTED_VALUE"""),0.75)</f>
        <v>0.75</v>
      </c>
      <c r="W170" s="16">
        <f>IFERROR(__xludf.DUMMYFUNCTION("""COMPUTED_VALUE"""),2.0)</f>
        <v>2</v>
      </c>
      <c r="X170" s="16">
        <f>IFERROR(__xludf.DUMMYFUNCTION("""COMPUTED_VALUE"""),0.75)</f>
        <v>0.75</v>
      </c>
      <c r="Y170" s="11">
        <f>IFERROR(__xludf.DUMMYFUNCTION("""COMPUTED_VALUE"""),1.0)</f>
        <v>1</v>
      </c>
      <c r="Z170" s="11">
        <f>IFERROR(__xludf.DUMMYFUNCTION("""COMPUTED_VALUE"""),0.0)</f>
        <v>0</v>
      </c>
      <c r="AA170" s="11">
        <f>IFERROR(__xludf.DUMMYFUNCTION("""COMPUTED_VALUE"""),0.0)</f>
        <v>0</v>
      </c>
      <c r="AB170" s="11">
        <f>IFERROR(__xludf.DUMMYFUNCTION("""COMPUTED_VALUE"""),2.0)</f>
        <v>2</v>
      </c>
      <c r="AC170" s="11">
        <f>IFERROR(__xludf.DUMMYFUNCTION("""COMPUTED_VALUE"""),4.0)</f>
        <v>4</v>
      </c>
      <c r="AD170" s="11">
        <f>IFERROR(__xludf.DUMMYFUNCTION("""COMPUTED_VALUE"""),4.0)</f>
        <v>4</v>
      </c>
    </row>
    <row r="171">
      <c r="A171" s="10" t="str">
        <f>IFERROR(__xludf.DUMMYFUNCTION("""COMPUTED_VALUE"""),"Challenger")</f>
        <v>Challenger</v>
      </c>
      <c r="B171" s="10" t="str">
        <f>IFERROR(__xludf.DUMMYFUNCTION("""COMPUTED_VALUE"""),"RSC005139")</f>
        <v>RSC005139</v>
      </c>
      <c r="C171" s="10" t="str">
        <f>IFERROR(__xludf.DUMMYFUNCTION("""COMPUTED_VALUE"""),"brillo_padd")</f>
        <v>brillo_padd</v>
      </c>
      <c r="D171" s="36" t="str">
        <f>IFERROR(__xludf.DUMMYFUNCTION("""COMPUTED_VALUE"""),"Toucans
Thunder Pups")</f>
        <v>Toucans
Thunder Pups</v>
      </c>
      <c r="E171" s="10" t="str">
        <f>IFERROR(__xludf.DUMMYFUNCTION("""COMPUTED_VALUE"""),"Solar
Solar")</f>
        <v>Solar
Solar</v>
      </c>
      <c r="F171" s="37">
        <f>IFERROR(__xludf.DUMMYFUNCTION("""COMPUTED_VALUE"""),25.920472352498265)</f>
        <v>25.92047235</v>
      </c>
      <c r="G171" s="38">
        <f>IFERROR(__xludf.DUMMYFUNCTION("""COMPUTED_VALUE"""),31.766530506845257)</f>
        <v>31.76653051</v>
      </c>
      <c r="H171" s="38">
        <f>IFERROR(__xludf.DUMMYFUNCTION("""COMPUTED_VALUE"""),28.84350142967176)</f>
        <v>28.84350143</v>
      </c>
      <c r="I171" s="14">
        <f>IFERROR(__xludf.DUMMYFUNCTION("""COMPUTED_VALUE"""),32.0)</f>
        <v>32</v>
      </c>
      <c r="J171" s="11">
        <f>IFERROR(__xludf.DUMMYFUNCTION("IFERROR(FILTER(Stats!$F:$Z,(Stats!$A:$A=$A171)*(Stats!$B:$B=$B171)))"),9.0)</f>
        <v>9</v>
      </c>
      <c r="K171" s="11">
        <f>IFERROR(__xludf.DUMMYFUNCTION("""COMPUTED_VALUE"""),23.0)</f>
        <v>23</v>
      </c>
      <c r="L171" s="12">
        <f>IFERROR(__xludf.DUMMYFUNCTION("""COMPUTED_VALUE"""),0.28125)</f>
        <v>0.28125</v>
      </c>
      <c r="M171" s="11">
        <f>IFERROR(__xludf.DUMMYFUNCTION("""COMPUTED_VALUE"""),2.0)</f>
        <v>2</v>
      </c>
      <c r="N171" s="11">
        <f>IFERROR(__xludf.DUMMYFUNCTION("""COMPUTED_VALUE"""),8886.0)</f>
        <v>8886</v>
      </c>
      <c r="O171" s="13">
        <f>IFERROR(__xludf.DUMMYFUNCTION("""COMPUTED_VALUE"""),24.0)</f>
        <v>24</v>
      </c>
      <c r="P171" s="14">
        <f>IFERROR(__xludf.DUMMYFUNCTION("""COMPUTED_VALUE"""),12.0)</f>
        <v>12</v>
      </c>
      <c r="Q171" s="13">
        <f>IFERROR(__xludf.DUMMYFUNCTION("""COMPUTED_VALUE"""),24.0)</f>
        <v>24</v>
      </c>
      <c r="R171" s="13">
        <f>IFERROR(__xludf.DUMMYFUNCTION("""COMPUTED_VALUE"""),75.0)</f>
        <v>75</v>
      </c>
      <c r="S171" s="15">
        <f>IFERROR(__xludf.DUMMYFUNCTION("""COMPUTED_VALUE"""),0.32)</f>
        <v>0.32</v>
      </c>
      <c r="T171" s="16">
        <f>IFERROR(__xludf.DUMMYFUNCTION("""COMPUTED_VALUE"""),277.6875)</f>
        <v>277.6875</v>
      </c>
      <c r="U171" s="16">
        <f>IFERROR(__xludf.DUMMYFUNCTION("""COMPUTED_VALUE"""),0.75)</f>
        <v>0.75</v>
      </c>
      <c r="V171" s="16">
        <f>IFERROR(__xludf.DUMMYFUNCTION("""COMPUTED_VALUE"""),0.375)</f>
        <v>0.375</v>
      </c>
      <c r="W171" s="16">
        <f>IFERROR(__xludf.DUMMYFUNCTION("""COMPUTED_VALUE"""),0.75)</f>
        <v>0.75</v>
      </c>
      <c r="X171" s="16">
        <f>IFERROR(__xludf.DUMMYFUNCTION("""COMPUTED_VALUE"""),2.34375)</f>
        <v>2.34375</v>
      </c>
      <c r="Y171" s="11">
        <f>IFERROR(__xludf.DUMMYFUNCTION("""COMPUTED_VALUE"""),2.0)</f>
        <v>2</v>
      </c>
      <c r="Z171" s="11">
        <f>IFERROR(__xludf.DUMMYFUNCTION("""COMPUTED_VALUE"""),2.0)</f>
        <v>2</v>
      </c>
      <c r="AA171" s="11">
        <f>IFERROR(__xludf.DUMMYFUNCTION("""COMPUTED_VALUE"""),0.0)</f>
        <v>0</v>
      </c>
      <c r="AB171" s="11">
        <f>IFERROR(__xludf.DUMMYFUNCTION("""COMPUTED_VALUE"""),3.0)</f>
        <v>3</v>
      </c>
      <c r="AC171" s="11">
        <f>IFERROR(__xludf.DUMMYFUNCTION("""COMPUTED_VALUE"""),18.0)</f>
        <v>18</v>
      </c>
      <c r="AD171" s="11">
        <f>IFERROR(__xludf.DUMMYFUNCTION("""COMPUTED_VALUE"""),28.0)</f>
        <v>28</v>
      </c>
    </row>
    <row r="172">
      <c r="A172" s="10" t="str">
        <f>IFERROR(__xludf.DUMMYFUNCTION("""COMPUTED_VALUE"""),"Challenger")</f>
        <v>Challenger</v>
      </c>
      <c r="B172" s="10" t="str">
        <f>IFERROR(__xludf.DUMMYFUNCTION("""COMPUTED_VALUE"""),"RSC006353")</f>
        <v>RSC006353</v>
      </c>
      <c r="C172" s="10" t="str">
        <f>IFERROR(__xludf.DUMMYFUNCTION("""COMPUTED_VALUE"""),"Novarchite")</f>
        <v>Novarchite</v>
      </c>
      <c r="D172" s="36" t="str">
        <f>IFERROR(__xludf.DUMMYFUNCTION("""COMPUTED_VALUE"""),"Toucans")</f>
        <v>Toucans</v>
      </c>
      <c r="E172" s="10" t="str">
        <f>IFERROR(__xludf.DUMMYFUNCTION("""COMPUTED_VALUE"""),"Solar")</f>
        <v>Solar</v>
      </c>
      <c r="F172" s="37">
        <f>IFERROR(__xludf.DUMMYFUNCTION("""COMPUTED_VALUE"""),37.088121058232005)</f>
        <v>37.08812106</v>
      </c>
      <c r="G172" s="38">
        <f>IFERROR(__xludf.DUMMYFUNCTION("""COMPUTED_VALUE"""),20.096585879582374)</f>
        <v>20.09658588</v>
      </c>
      <c r="H172" s="38">
        <f>IFERROR(__xludf.DUMMYFUNCTION("""COMPUTED_VALUE"""),28.59235346890719)</f>
        <v>28.59235347</v>
      </c>
      <c r="I172" s="14">
        <f>IFERROR(__xludf.DUMMYFUNCTION("""COMPUTED_VALUE"""),41.0)</f>
        <v>41</v>
      </c>
      <c r="J172" s="11">
        <f>IFERROR(__xludf.DUMMYFUNCTION("IFERROR(FILTER(Stats!$F:$Z,(Stats!$A:$A=$A172)*(Stats!$B:$B=$B172)))"),10.0)</f>
        <v>10</v>
      </c>
      <c r="K172" s="11">
        <f>IFERROR(__xludf.DUMMYFUNCTION("""COMPUTED_VALUE"""),31.0)</f>
        <v>31</v>
      </c>
      <c r="L172" s="12">
        <f>IFERROR(__xludf.DUMMYFUNCTION("""COMPUTED_VALUE"""),0.24390243902439024)</f>
        <v>0.243902439</v>
      </c>
      <c r="M172" s="11">
        <f>IFERROR(__xludf.DUMMYFUNCTION("""COMPUTED_VALUE"""),3.0)</f>
        <v>3</v>
      </c>
      <c r="N172" s="11">
        <f>IFERROR(__xludf.DUMMYFUNCTION("""COMPUTED_VALUE"""),13309.0)</f>
        <v>13309</v>
      </c>
      <c r="O172" s="13">
        <f>IFERROR(__xludf.DUMMYFUNCTION("""COMPUTED_VALUE"""),28.0)</f>
        <v>28</v>
      </c>
      <c r="P172" s="14">
        <f>IFERROR(__xludf.DUMMYFUNCTION("""COMPUTED_VALUE"""),11.0)</f>
        <v>11</v>
      </c>
      <c r="Q172" s="13">
        <f>IFERROR(__xludf.DUMMYFUNCTION("""COMPUTED_VALUE"""),68.0)</f>
        <v>68</v>
      </c>
      <c r="R172" s="13">
        <f>IFERROR(__xludf.DUMMYFUNCTION("""COMPUTED_VALUE"""),82.0)</f>
        <v>82</v>
      </c>
      <c r="S172" s="15">
        <f>IFERROR(__xludf.DUMMYFUNCTION("""COMPUTED_VALUE"""),0.34146341463414637)</f>
        <v>0.3414634146</v>
      </c>
      <c r="T172" s="16">
        <f>IFERROR(__xludf.DUMMYFUNCTION("""COMPUTED_VALUE"""),324.609756097561)</f>
        <v>324.6097561</v>
      </c>
      <c r="U172" s="16">
        <f>IFERROR(__xludf.DUMMYFUNCTION("""COMPUTED_VALUE"""),0.6829268292682927)</f>
        <v>0.6829268293</v>
      </c>
      <c r="V172" s="16">
        <f>IFERROR(__xludf.DUMMYFUNCTION("""COMPUTED_VALUE"""),0.2682926829268293)</f>
        <v>0.2682926829</v>
      </c>
      <c r="W172" s="16">
        <f>IFERROR(__xludf.DUMMYFUNCTION("""COMPUTED_VALUE"""),1.6585365853658536)</f>
        <v>1.658536585</v>
      </c>
      <c r="X172" s="16">
        <f>IFERROR(__xludf.DUMMYFUNCTION("""COMPUTED_VALUE"""),2.0)</f>
        <v>2</v>
      </c>
      <c r="Y172" s="11">
        <f>IFERROR(__xludf.DUMMYFUNCTION("""COMPUTED_VALUE"""),3.0)</f>
        <v>3</v>
      </c>
      <c r="Z172" s="11">
        <f>IFERROR(__xludf.DUMMYFUNCTION("""COMPUTED_VALUE"""),2.0)</f>
        <v>2</v>
      </c>
      <c r="AA172" s="11">
        <f>IFERROR(__xludf.DUMMYFUNCTION("""COMPUTED_VALUE"""),0.0)</f>
        <v>0</v>
      </c>
      <c r="AB172" s="11">
        <f>IFERROR(__xludf.DUMMYFUNCTION("""COMPUTED_VALUE"""),11.0)</f>
        <v>11</v>
      </c>
      <c r="AC172" s="11">
        <f>IFERROR(__xludf.DUMMYFUNCTION("""COMPUTED_VALUE"""),35.0)</f>
        <v>35</v>
      </c>
      <c r="AD172" s="11">
        <f>IFERROR(__xludf.DUMMYFUNCTION("""COMPUTED_VALUE"""),42.0)</f>
        <v>42</v>
      </c>
    </row>
    <row r="173">
      <c r="A173" s="10" t="str">
        <f>IFERROR(__xludf.DUMMYFUNCTION("""COMPUTED_VALUE"""),"Challenger")</f>
        <v>Challenger</v>
      </c>
      <c r="B173" s="10" t="str">
        <f>IFERROR(__xludf.DUMMYFUNCTION("""COMPUTED_VALUE"""),"RSC006262")</f>
        <v>RSC006262</v>
      </c>
      <c r="C173" s="10" t="str">
        <f>IFERROR(__xludf.DUMMYFUNCTION("""COMPUTED_VALUE"""),"Illusionchaos")</f>
        <v>Illusionchaos</v>
      </c>
      <c r="D173" s="36" t="str">
        <f>IFERROR(__xludf.DUMMYFUNCTION("""COMPUTED_VALUE"""),"Glams")</f>
        <v>Glams</v>
      </c>
      <c r="E173" s="10" t="str">
        <f>IFERROR(__xludf.DUMMYFUNCTION("""COMPUTED_VALUE"""),"Lunar")</f>
        <v>Lunar</v>
      </c>
      <c r="F173" s="37">
        <f>IFERROR(__xludf.DUMMYFUNCTION("""COMPUTED_VALUE"""),35.248421999604375)</f>
        <v>35.248422</v>
      </c>
      <c r="G173" s="38">
        <f>IFERROR(__xludf.DUMMYFUNCTION("""COMPUTED_VALUE"""),20.703824970527684)</f>
        <v>20.70382497</v>
      </c>
      <c r="H173" s="38">
        <f>IFERROR(__xludf.DUMMYFUNCTION("""COMPUTED_VALUE"""),27.97612348506603)</f>
        <v>27.97612349</v>
      </c>
      <c r="I173" s="14">
        <f>IFERROR(__xludf.DUMMYFUNCTION("""COMPUTED_VALUE"""),34.0)</f>
        <v>34</v>
      </c>
      <c r="J173" s="11">
        <f>IFERROR(__xludf.DUMMYFUNCTION("IFERROR(FILTER(Stats!$F:$Z,(Stats!$A:$A=$A173)*(Stats!$B:$B=$B173)))"),10.0)</f>
        <v>10</v>
      </c>
      <c r="K173" s="11">
        <f>IFERROR(__xludf.DUMMYFUNCTION("""COMPUTED_VALUE"""),24.0)</f>
        <v>24</v>
      </c>
      <c r="L173" s="12">
        <f>IFERROR(__xludf.DUMMYFUNCTION("""COMPUTED_VALUE"""),0.29411764705882354)</f>
        <v>0.2941176471</v>
      </c>
      <c r="M173" s="11">
        <f>IFERROR(__xludf.DUMMYFUNCTION("""COMPUTED_VALUE"""),2.0)</f>
        <v>2</v>
      </c>
      <c r="N173" s="11">
        <f>IFERROR(__xludf.DUMMYFUNCTION("""COMPUTED_VALUE"""),10327.0)</f>
        <v>10327</v>
      </c>
      <c r="O173" s="13">
        <f>IFERROR(__xludf.DUMMYFUNCTION("""COMPUTED_VALUE"""),19.0)</f>
        <v>19</v>
      </c>
      <c r="P173" s="14">
        <f>IFERROR(__xludf.DUMMYFUNCTION("""COMPUTED_VALUE"""),13.0)</f>
        <v>13</v>
      </c>
      <c r="Q173" s="13">
        <f>IFERROR(__xludf.DUMMYFUNCTION("""COMPUTED_VALUE"""),47.0)</f>
        <v>47</v>
      </c>
      <c r="R173" s="13">
        <f>IFERROR(__xludf.DUMMYFUNCTION("""COMPUTED_VALUE"""),70.0)</f>
        <v>70</v>
      </c>
      <c r="S173" s="15">
        <f>IFERROR(__xludf.DUMMYFUNCTION("""COMPUTED_VALUE"""),0.2714285714285714)</f>
        <v>0.2714285714</v>
      </c>
      <c r="T173" s="16">
        <f>IFERROR(__xludf.DUMMYFUNCTION("""COMPUTED_VALUE"""),303.7352941176471)</f>
        <v>303.7352941</v>
      </c>
      <c r="U173" s="16">
        <f>IFERROR(__xludf.DUMMYFUNCTION("""COMPUTED_VALUE"""),0.5588235294117647)</f>
        <v>0.5588235294</v>
      </c>
      <c r="V173" s="16">
        <f>IFERROR(__xludf.DUMMYFUNCTION("""COMPUTED_VALUE"""),0.38235294117647056)</f>
        <v>0.3823529412</v>
      </c>
      <c r="W173" s="16">
        <f>IFERROR(__xludf.DUMMYFUNCTION("""COMPUTED_VALUE"""),1.3823529411764706)</f>
        <v>1.382352941</v>
      </c>
      <c r="X173" s="16">
        <f>IFERROR(__xludf.DUMMYFUNCTION("""COMPUTED_VALUE"""),2.0588235294117645)</f>
        <v>2.058823529</v>
      </c>
      <c r="Y173" s="11">
        <f>IFERROR(__xludf.DUMMYFUNCTION("""COMPUTED_VALUE"""),5.0)</f>
        <v>5</v>
      </c>
      <c r="Z173" s="11">
        <f>IFERROR(__xludf.DUMMYFUNCTION("""COMPUTED_VALUE"""),0.0)</f>
        <v>0</v>
      </c>
      <c r="AA173" s="11">
        <f>IFERROR(__xludf.DUMMYFUNCTION("""COMPUTED_VALUE"""),0.0)</f>
        <v>0</v>
      </c>
      <c r="AB173" s="11">
        <f>IFERROR(__xludf.DUMMYFUNCTION("""COMPUTED_VALUE"""),6.0)</f>
        <v>6</v>
      </c>
      <c r="AC173" s="11">
        <f>IFERROR(__xludf.DUMMYFUNCTION("""COMPUTED_VALUE"""),21.0)</f>
        <v>21</v>
      </c>
      <c r="AD173" s="11">
        <f>IFERROR(__xludf.DUMMYFUNCTION("""COMPUTED_VALUE"""),16.0)</f>
        <v>16</v>
      </c>
    </row>
    <row r="174">
      <c r="A174" s="10" t="str">
        <f>IFERROR(__xludf.DUMMYFUNCTION("""COMPUTED_VALUE"""),"Challenger")</f>
        <v>Challenger</v>
      </c>
      <c r="B174" s="10" t="str">
        <f>IFERROR(__xludf.DUMMYFUNCTION("""COMPUTED_VALUE"""),"RSC005018")</f>
        <v>RSC005018</v>
      </c>
      <c r="C174" s="10" t="str">
        <f>IFERROR(__xludf.DUMMYFUNCTION("""COMPUTED_VALUE"""),"Smitty")</f>
        <v>Smitty</v>
      </c>
      <c r="D174" s="36" t="str">
        <f>IFERROR(__xludf.DUMMYFUNCTION("""COMPUTED_VALUE"""),"Chromatic Chaos")</f>
        <v>Chromatic Chaos</v>
      </c>
      <c r="E174" s="10" t="str">
        <f>IFERROR(__xludf.DUMMYFUNCTION("""COMPUTED_VALUE"""),"Solar")</f>
        <v>Solar</v>
      </c>
      <c r="F174" s="37">
        <f>IFERROR(__xludf.DUMMYFUNCTION("""COMPUTED_VALUE"""),31.808756885616106)</f>
        <v>31.80875689</v>
      </c>
      <c r="G174" s="38">
        <f>IFERROR(__xludf.DUMMYFUNCTION("""COMPUTED_VALUE"""),22.60265146593931)</f>
        <v>22.60265147</v>
      </c>
      <c r="H174" s="38">
        <f>IFERROR(__xludf.DUMMYFUNCTION("""COMPUTED_VALUE"""),27.205704175777708)</f>
        <v>27.20570418</v>
      </c>
      <c r="I174" s="14">
        <f>IFERROR(__xludf.DUMMYFUNCTION("""COMPUTED_VALUE"""),25.0)</f>
        <v>25</v>
      </c>
      <c r="J174" s="11">
        <f>IFERROR(__xludf.DUMMYFUNCTION("IFERROR(FILTER(Stats!$F:$Z,(Stats!$A:$A=$A174)*(Stats!$B:$B=$B174)))"),13.0)</f>
        <v>13</v>
      </c>
      <c r="K174" s="11">
        <f>IFERROR(__xludf.DUMMYFUNCTION("""COMPUTED_VALUE"""),12.0)</f>
        <v>12</v>
      </c>
      <c r="L174" s="12">
        <f>IFERROR(__xludf.DUMMYFUNCTION("""COMPUTED_VALUE"""),0.52)</f>
        <v>0.52</v>
      </c>
      <c r="M174" s="11">
        <f>IFERROR(__xludf.DUMMYFUNCTION("""COMPUTED_VALUE"""),0.0)</f>
        <v>0</v>
      </c>
      <c r="N174" s="11">
        <f>IFERROR(__xludf.DUMMYFUNCTION("""COMPUTED_VALUE"""),6805.0)</f>
        <v>6805</v>
      </c>
      <c r="O174" s="13">
        <f>IFERROR(__xludf.DUMMYFUNCTION("""COMPUTED_VALUE"""),14.0)</f>
        <v>14</v>
      </c>
      <c r="P174" s="14">
        <f>IFERROR(__xludf.DUMMYFUNCTION("""COMPUTED_VALUE"""),7.0)</f>
        <v>7</v>
      </c>
      <c r="Q174" s="13">
        <f>IFERROR(__xludf.DUMMYFUNCTION("""COMPUTED_VALUE"""),29.0)</f>
        <v>29</v>
      </c>
      <c r="R174" s="13">
        <f>IFERROR(__xludf.DUMMYFUNCTION("""COMPUTED_VALUE"""),45.0)</f>
        <v>45</v>
      </c>
      <c r="S174" s="15">
        <f>IFERROR(__xludf.DUMMYFUNCTION("""COMPUTED_VALUE"""),0.3111111111111111)</f>
        <v>0.3111111111</v>
      </c>
      <c r="T174" s="16">
        <f>IFERROR(__xludf.DUMMYFUNCTION("""COMPUTED_VALUE"""),272.2)</f>
        <v>272.2</v>
      </c>
      <c r="U174" s="16">
        <f>IFERROR(__xludf.DUMMYFUNCTION("""COMPUTED_VALUE"""),0.56)</f>
        <v>0.56</v>
      </c>
      <c r="V174" s="16">
        <f>IFERROR(__xludf.DUMMYFUNCTION("""COMPUTED_VALUE"""),0.28)</f>
        <v>0.28</v>
      </c>
      <c r="W174" s="16">
        <f>IFERROR(__xludf.DUMMYFUNCTION("""COMPUTED_VALUE"""),1.16)</f>
        <v>1.16</v>
      </c>
      <c r="X174" s="16">
        <f>IFERROR(__xludf.DUMMYFUNCTION("""COMPUTED_VALUE"""),1.8)</f>
        <v>1.8</v>
      </c>
      <c r="Y174" s="11">
        <f>IFERROR(__xludf.DUMMYFUNCTION("""COMPUTED_VALUE"""),1.0)</f>
        <v>1</v>
      </c>
      <c r="Z174" s="11">
        <f>IFERROR(__xludf.DUMMYFUNCTION("""COMPUTED_VALUE"""),0.0)</f>
        <v>0</v>
      </c>
      <c r="AA174" s="11">
        <f>IFERROR(__xludf.DUMMYFUNCTION("""COMPUTED_VALUE"""),0.0)</f>
        <v>0</v>
      </c>
      <c r="AB174" s="11">
        <f>IFERROR(__xludf.DUMMYFUNCTION("""COMPUTED_VALUE"""),4.0)</f>
        <v>4</v>
      </c>
      <c r="AC174" s="11">
        <f>IFERROR(__xludf.DUMMYFUNCTION("""COMPUTED_VALUE"""),29.0)</f>
        <v>29</v>
      </c>
      <c r="AD174" s="11">
        <f>IFERROR(__xludf.DUMMYFUNCTION("""COMPUTED_VALUE"""),21.0)</f>
        <v>21</v>
      </c>
    </row>
    <row r="175">
      <c r="A175" s="10" t="str">
        <f>IFERROR(__xludf.DUMMYFUNCTION("""COMPUTED_VALUE"""),"Challenger")</f>
        <v>Challenger</v>
      </c>
      <c r="B175" s="10" t="str">
        <f>IFERROR(__xludf.DUMMYFUNCTION("""COMPUTED_VALUE"""),"RSC005131")</f>
        <v>RSC005131</v>
      </c>
      <c r="C175" s="10" t="str">
        <f>IFERROR(__xludf.DUMMYFUNCTION("""COMPUTED_VALUE"""),"Loko Deputy")</f>
        <v>Loko Deputy</v>
      </c>
      <c r="D175" s="36" t="str">
        <f>IFERROR(__xludf.DUMMYFUNCTION("""COMPUTED_VALUE"""),"Ryujin")</f>
        <v>Ryujin</v>
      </c>
      <c r="E175" s="10" t="str">
        <f>IFERROR(__xludf.DUMMYFUNCTION("""COMPUTED_VALUE"""),"Solar")</f>
        <v>Solar</v>
      </c>
      <c r="F175" s="37">
        <f>IFERROR(__xludf.DUMMYFUNCTION("""COMPUTED_VALUE"""),32.06872198015813)</f>
        <v>32.06872198</v>
      </c>
      <c r="G175" s="38">
        <f>IFERROR(__xludf.DUMMYFUNCTION("""COMPUTED_VALUE"""),21.725425160041507)</f>
        <v>21.72542516</v>
      </c>
      <c r="H175" s="38">
        <f>IFERROR(__xludf.DUMMYFUNCTION("""COMPUTED_VALUE"""),26.89707357009982)</f>
        <v>26.89707357</v>
      </c>
      <c r="I175" s="14">
        <f>IFERROR(__xludf.DUMMYFUNCTION("""COMPUTED_VALUE"""),30.0)</f>
        <v>30</v>
      </c>
      <c r="J175" s="11">
        <f>IFERROR(__xludf.DUMMYFUNCTION("IFERROR(FILTER(Stats!$F:$Z,(Stats!$A:$A=$A175)*(Stats!$B:$B=$B175)))"),9.0)</f>
        <v>9</v>
      </c>
      <c r="K175" s="11">
        <f>IFERROR(__xludf.DUMMYFUNCTION("""COMPUTED_VALUE"""),21.0)</f>
        <v>21</v>
      </c>
      <c r="L175" s="12">
        <f>IFERROR(__xludf.DUMMYFUNCTION("""COMPUTED_VALUE"""),0.3)</f>
        <v>0.3</v>
      </c>
      <c r="M175" s="11">
        <f>IFERROR(__xludf.DUMMYFUNCTION("""COMPUTED_VALUE"""),3.0)</f>
        <v>3</v>
      </c>
      <c r="N175" s="11">
        <f>IFERROR(__xludf.DUMMYFUNCTION("""COMPUTED_VALUE"""),9308.0)</f>
        <v>9308</v>
      </c>
      <c r="O175" s="13">
        <f>IFERROR(__xludf.DUMMYFUNCTION("""COMPUTED_VALUE"""),12.0)</f>
        <v>12</v>
      </c>
      <c r="P175" s="14">
        <f>IFERROR(__xludf.DUMMYFUNCTION("""COMPUTED_VALUE"""),14.0)</f>
        <v>14</v>
      </c>
      <c r="Q175" s="13">
        <f>IFERROR(__xludf.DUMMYFUNCTION("""COMPUTED_VALUE"""),54.0)</f>
        <v>54</v>
      </c>
      <c r="R175" s="13">
        <f>IFERROR(__xludf.DUMMYFUNCTION("""COMPUTED_VALUE"""),45.0)</f>
        <v>45</v>
      </c>
      <c r="S175" s="15">
        <f>IFERROR(__xludf.DUMMYFUNCTION("""COMPUTED_VALUE"""),0.26666666666666666)</f>
        <v>0.2666666667</v>
      </c>
      <c r="T175" s="16">
        <f>IFERROR(__xludf.DUMMYFUNCTION("""COMPUTED_VALUE"""),310.26666666666665)</f>
        <v>310.2666667</v>
      </c>
      <c r="U175" s="16">
        <f>IFERROR(__xludf.DUMMYFUNCTION("""COMPUTED_VALUE"""),0.4)</f>
        <v>0.4</v>
      </c>
      <c r="V175" s="16">
        <f>IFERROR(__xludf.DUMMYFUNCTION("""COMPUTED_VALUE"""),0.4666666666666667)</f>
        <v>0.4666666667</v>
      </c>
      <c r="W175" s="16">
        <f>IFERROR(__xludf.DUMMYFUNCTION("""COMPUTED_VALUE"""),1.8)</f>
        <v>1.8</v>
      </c>
      <c r="X175" s="16">
        <f>IFERROR(__xludf.DUMMYFUNCTION("""COMPUTED_VALUE"""),1.5)</f>
        <v>1.5</v>
      </c>
      <c r="Y175" s="11">
        <f>IFERROR(__xludf.DUMMYFUNCTION("""COMPUTED_VALUE"""),5.0)</f>
        <v>5</v>
      </c>
      <c r="Z175" s="11">
        <f>IFERROR(__xludf.DUMMYFUNCTION("""COMPUTED_VALUE"""),1.0)</f>
        <v>1</v>
      </c>
      <c r="AA175" s="11">
        <f>IFERROR(__xludf.DUMMYFUNCTION("""COMPUTED_VALUE"""),0.0)</f>
        <v>0</v>
      </c>
      <c r="AB175" s="11">
        <f>IFERROR(__xludf.DUMMYFUNCTION("""COMPUTED_VALUE"""),9.0)</f>
        <v>9</v>
      </c>
      <c r="AC175" s="11">
        <f>IFERROR(__xludf.DUMMYFUNCTION("""COMPUTED_VALUE"""),33.0)</f>
        <v>33</v>
      </c>
      <c r="AD175" s="11">
        <f>IFERROR(__xludf.DUMMYFUNCTION("""COMPUTED_VALUE"""),26.0)</f>
        <v>26</v>
      </c>
    </row>
    <row r="176">
      <c r="A176" s="10" t="str">
        <f>IFERROR(__xludf.DUMMYFUNCTION("""COMPUTED_VALUE"""),"Challenger")</f>
        <v>Challenger</v>
      </c>
      <c r="B176" s="10" t="str">
        <f>IFERROR(__xludf.DUMMYFUNCTION("""COMPUTED_VALUE"""),"RSC008365")</f>
        <v>RSC008365</v>
      </c>
      <c r="C176" s="10" t="str">
        <f>IFERROR(__xludf.DUMMYFUNCTION("""COMPUTED_VALUE"""),"ZonaHOMI")</f>
        <v>ZonaHOMI</v>
      </c>
      <c r="D176" s="36" t="str">
        <f>IFERROR(__xludf.DUMMYFUNCTION("""COMPUTED_VALUE"""),"Toucans
Sirens
Decuriones")</f>
        <v>Toucans
Sirens
Decuriones</v>
      </c>
      <c r="E176" s="10" t="str">
        <f>IFERROR(__xludf.DUMMYFUNCTION("""COMPUTED_VALUE"""),"Solar
Solar
Solar")</f>
        <v>Solar
Solar
Solar</v>
      </c>
      <c r="F176" s="37">
        <f>IFERROR(__xludf.DUMMYFUNCTION("""COMPUTED_VALUE"""),36.66168899564322)</f>
        <v>36.661689</v>
      </c>
      <c r="G176" s="38">
        <f>IFERROR(__xludf.DUMMYFUNCTION("""COMPUTED_VALUE"""),15.988943884803255)</f>
        <v>15.98894388</v>
      </c>
      <c r="H176" s="38">
        <f>IFERROR(__xludf.DUMMYFUNCTION("""COMPUTED_VALUE"""),26.325316440223236)</f>
        <v>26.32531644</v>
      </c>
      <c r="I176" s="14">
        <f>IFERROR(__xludf.DUMMYFUNCTION("""COMPUTED_VALUE"""),10.0)</f>
        <v>10</v>
      </c>
      <c r="J176" s="11">
        <f>IFERROR(__xludf.DUMMYFUNCTION("IFERROR(FILTER(Stats!$F:$Z,(Stats!$A:$A=$A176)*(Stats!$B:$B=$B176)))"),4.0)</f>
        <v>4</v>
      </c>
      <c r="K176" s="11">
        <f>IFERROR(__xludf.DUMMYFUNCTION("""COMPUTED_VALUE"""),6.0)</f>
        <v>6</v>
      </c>
      <c r="L176" s="12">
        <f>IFERROR(__xludf.DUMMYFUNCTION("""COMPUTED_VALUE"""),0.4)</f>
        <v>0.4</v>
      </c>
      <c r="M176" s="11">
        <f>IFERROR(__xludf.DUMMYFUNCTION("""COMPUTED_VALUE"""),2.0)</f>
        <v>2</v>
      </c>
      <c r="N176" s="11">
        <f>IFERROR(__xludf.DUMMYFUNCTION("""COMPUTED_VALUE"""),3508.0)</f>
        <v>3508</v>
      </c>
      <c r="O176" s="13">
        <f>IFERROR(__xludf.DUMMYFUNCTION("""COMPUTED_VALUE"""),9.0)</f>
        <v>9</v>
      </c>
      <c r="P176" s="14">
        <f>IFERROR(__xludf.DUMMYFUNCTION("""COMPUTED_VALUE"""),2.0)</f>
        <v>2</v>
      </c>
      <c r="Q176" s="13">
        <f>IFERROR(__xludf.DUMMYFUNCTION("""COMPUTED_VALUE"""),17.0)</f>
        <v>17</v>
      </c>
      <c r="R176" s="13">
        <f>IFERROR(__xludf.DUMMYFUNCTION("""COMPUTED_VALUE"""),22.0)</f>
        <v>22</v>
      </c>
      <c r="S176" s="15">
        <f>IFERROR(__xludf.DUMMYFUNCTION("""COMPUTED_VALUE"""),0.4090909090909091)</f>
        <v>0.4090909091</v>
      </c>
      <c r="T176" s="16">
        <f>IFERROR(__xludf.DUMMYFUNCTION("""COMPUTED_VALUE"""),350.8)</f>
        <v>350.8</v>
      </c>
      <c r="U176" s="16">
        <f>IFERROR(__xludf.DUMMYFUNCTION("""COMPUTED_VALUE"""),0.9)</f>
        <v>0.9</v>
      </c>
      <c r="V176" s="16">
        <f>IFERROR(__xludf.DUMMYFUNCTION("""COMPUTED_VALUE"""),0.2)</f>
        <v>0.2</v>
      </c>
      <c r="W176" s="16">
        <f>IFERROR(__xludf.DUMMYFUNCTION("""COMPUTED_VALUE"""),1.7)</f>
        <v>1.7</v>
      </c>
      <c r="X176" s="16">
        <f>IFERROR(__xludf.DUMMYFUNCTION("""COMPUTED_VALUE"""),2.2)</f>
        <v>2.2</v>
      </c>
      <c r="Y176" s="11">
        <f>IFERROR(__xludf.DUMMYFUNCTION("""COMPUTED_VALUE"""),1.0)</f>
        <v>1</v>
      </c>
      <c r="Z176" s="11">
        <f>IFERROR(__xludf.DUMMYFUNCTION("""COMPUTED_VALUE"""),1.0)</f>
        <v>1</v>
      </c>
      <c r="AA176" s="11">
        <f>IFERROR(__xludf.DUMMYFUNCTION("""COMPUTED_VALUE"""),0.0)</f>
        <v>0</v>
      </c>
      <c r="AB176" s="11">
        <f>IFERROR(__xludf.DUMMYFUNCTION("""COMPUTED_VALUE"""),3.0)</f>
        <v>3</v>
      </c>
      <c r="AC176" s="11">
        <f>IFERROR(__xludf.DUMMYFUNCTION("""COMPUTED_VALUE"""),7.0)</f>
        <v>7</v>
      </c>
      <c r="AD176" s="11">
        <f>IFERROR(__xludf.DUMMYFUNCTION("""COMPUTED_VALUE"""),5.0)</f>
        <v>5</v>
      </c>
    </row>
    <row r="177">
      <c r="A177" s="10" t="str">
        <f>IFERROR(__xludf.DUMMYFUNCTION("""COMPUTED_VALUE"""),"Challenger")</f>
        <v>Challenger</v>
      </c>
      <c r="B177" s="10" t="str">
        <f>IFERROR(__xludf.DUMMYFUNCTION("""COMPUTED_VALUE"""),"RSC002796")</f>
        <v>RSC002796</v>
      </c>
      <c r="C177" s="10" t="str">
        <f>IFERROR(__xludf.DUMMYFUNCTION("""COMPUTED_VALUE"""),"Carno")</f>
        <v>Carno</v>
      </c>
      <c r="D177" s="36" t="str">
        <f>IFERROR(__xludf.DUMMYFUNCTION("""COMPUTED_VALUE"""),"Zombies")</f>
        <v>Zombies</v>
      </c>
      <c r="E177" s="10" t="str">
        <f>IFERROR(__xludf.DUMMYFUNCTION("""COMPUTED_VALUE"""),"Lunar")</f>
        <v>Lunar</v>
      </c>
      <c r="F177" s="37">
        <f>IFERROR(__xludf.DUMMYFUNCTION("""COMPUTED_VALUE"""),30.016012262529213)</f>
        <v>30.01601226</v>
      </c>
      <c r="G177" s="38">
        <f>IFERROR(__xludf.DUMMYFUNCTION("""COMPUTED_VALUE"""),22.2201720693804)</f>
        <v>22.22017207</v>
      </c>
      <c r="H177" s="38">
        <f>IFERROR(__xludf.DUMMYFUNCTION("""COMPUTED_VALUE"""),26.118092165954806)</f>
        <v>26.11809217</v>
      </c>
      <c r="I177" s="14">
        <f>IFERROR(__xludf.DUMMYFUNCTION("""COMPUTED_VALUE"""),44.0)</f>
        <v>44</v>
      </c>
      <c r="J177" s="11">
        <f>IFERROR(__xludf.DUMMYFUNCTION("IFERROR(FILTER(Stats!$F:$Z,(Stats!$A:$A=$A177)*(Stats!$B:$B=$B177)))"),20.0)</f>
        <v>20</v>
      </c>
      <c r="K177" s="11">
        <f>IFERROR(__xludf.DUMMYFUNCTION("""COMPUTED_VALUE"""),24.0)</f>
        <v>24</v>
      </c>
      <c r="L177" s="12">
        <f>IFERROR(__xludf.DUMMYFUNCTION("""COMPUTED_VALUE"""),0.45454545454545453)</f>
        <v>0.4545454545</v>
      </c>
      <c r="M177" s="11">
        <f>IFERROR(__xludf.DUMMYFUNCTION("""COMPUTED_VALUE"""),3.0)</f>
        <v>3</v>
      </c>
      <c r="N177" s="11">
        <f>IFERROR(__xludf.DUMMYFUNCTION("""COMPUTED_VALUE"""),12198.0)</f>
        <v>12198</v>
      </c>
      <c r="O177" s="13">
        <f>IFERROR(__xludf.DUMMYFUNCTION("""COMPUTED_VALUE"""),20.0)</f>
        <v>20</v>
      </c>
      <c r="P177" s="14">
        <f>IFERROR(__xludf.DUMMYFUNCTION("""COMPUTED_VALUE"""),19.0)</f>
        <v>19</v>
      </c>
      <c r="Q177" s="13">
        <f>IFERROR(__xludf.DUMMYFUNCTION("""COMPUTED_VALUE"""),48.0)</f>
        <v>48</v>
      </c>
      <c r="R177" s="13">
        <f>IFERROR(__xludf.DUMMYFUNCTION("""COMPUTED_VALUE"""),78.0)</f>
        <v>78</v>
      </c>
      <c r="S177" s="15">
        <f>IFERROR(__xludf.DUMMYFUNCTION("""COMPUTED_VALUE"""),0.2564102564102564)</f>
        <v>0.2564102564</v>
      </c>
      <c r="T177" s="16">
        <f>IFERROR(__xludf.DUMMYFUNCTION("""COMPUTED_VALUE"""),277.22727272727275)</f>
        <v>277.2272727</v>
      </c>
      <c r="U177" s="16">
        <f>IFERROR(__xludf.DUMMYFUNCTION("""COMPUTED_VALUE"""),0.45454545454545453)</f>
        <v>0.4545454545</v>
      </c>
      <c r="V177" s="16">
        <f>IFERROR(__xludf.DUMMYFUNCTION("""COMPUTED_VALUE"""),0.4318181818181818)</f>
        <v>0.4318181818</v>
      </c>
      <c r="W177" s="16">
        <f>IFERROR(__xludf.DUMMYFUNCTION("""COMPUTED_VALUE"""),1.0909090909090908)</f>
        <v>1.090909091</v>
      </c>
      <c r="X177" s="16">
        <f>IFERROR(__xludf.DUMMYFUNCTION("""COMPUTED_VALUE"""),1.7727272727272727)</f>
        <v>1.772727273</v>
      </c>
      <c r="Y177" s="11">
        <f>IFERROR(__xludf.DUMMYFUNCTION("""COMPUTED_VALUE"""),5.0)</f>
        <v>5</v>
      </c>
      <c r="Z177" s="11">
        <f>IFERROR(__xludf.DUMMYFUNCTION("""COMPUTED_VALUE"""),1.0)</f>
        <v>1</v>
      </c>
      <c r="AA177" s="11">
        <f>IFERROR(__xludf.DUMMYFUNCTION("""COMPUTED_VALUE"""),0.0)</f>
        <v>0</v>
      </c>
      <c r="AB177" s="11">
        <f>IFERROR(__xludf.DUMMYFUNCTION("""COMPUTED_VALUE"""),4.0)</f>
        <v>4</v>
      </c>
      <c r="AC177" s="11">
        <f>IFERROR(__xludf.DUMMYFUNCTION("""COMPUTED_VALUE"""),37.0)</f>
        <v>37</v>
      </c>
      <c r="AD177" s="11">
        <f>IFERROR(__xludf.DUMMYFUNCTION("""COMPUTED_VALUE"""),35.0)</f>
        <v>35</v>
      </c>
    </row>
    <row r="178">
      <c r="A178" s="10" t="str">
        <f>IFERROR(__xludf.DUMMYFUNCTION("""COMPUTED_VALUE"""),"Challenger")</f>
        <v>Challenger</v>
      </c>
      <c r="B178" s="10" t="str">
        <f>IFERROR(__xludf.DUMMYFUNCTION("""COMPUTED_VALUE"""),"RSC003223")</f>
        <v>RSC003223</v>
      </c>
      <c r="C178" s="10" t="str">
        <f>IFERROR(__xludf.DUMMYFUNCTION("""COMPUTED_VALUE"""),"AZoroARK")</f>
        <v>AZoroARK</v>
      </c>
      <c r="D178" s="36" t="str">
        <f>IFERROR(__xludf.DUMMYFUNCTION("""COMPUTED_VALUE"""),"Meat Lovers")</f>
        <v>Meat Lovers</v>
      </c>
      <c r="E178" s="10" t="str">
        <f>IFERROR(__xludf.DUMMYFUNCTION("""COMPUTED_VALUE"""),"Lunar")</f>
        <v>Lunar</v>
      </c>
      <c r="F178" s="37">
        <f>IFERROR(__xludf.DUMMYFUNCTION("""COMPUTED_VALUE"""),23.12292238266701)</f>
        <v>23.12292238</v>
      </c>
      <c r="G178" s="38">
        <f>IFERROR(__xludf.DUMMYFUNCTION("""COMPUTED_VALUE"""),28.926693378721314)</f>
        <v>28.92669338</v>
      </c>
      <c r="H178" s="38">
        <f>IFERROR(__xludf.DUMMYFUNCTION("""COMPUTED_VALUE"""),26.024807880694162)</f>
        <v>26.02480788</v>
      </c>
      <c r="I178" s="14">
        <f>IFERROR(__xludf.DUMMYFUNCTION("""COMPUTED_VALUE"""),22.0)</f>
        <v>22</v>
      </c>
      <c r="J178" s="11">
        <f>IFERROR(__xludf.DUMMYFUNCTION("IFERROR(FILTER(Stats!$F:$Z,(Stats!$A:$A=$A178)*(Stats!$B:$B=$B178)))"),8.0)</f>
        <v>8</v>
      </c>
      <c r="K178" s="11">
        <f>IFERROR(__xludf.DUMMYFUNCTION("""COMPUTED_VALUE"""),14.0)</f>
        <v>14</v>
      </c>
      <c r="L178" s="12">
        <f>IFERROR(__xludf.DUMMYFUNCTION("""COMPUTED_VALUE"""),0.36363636363636365)</f>
        <v>0.3636363636</v>
      </c>
      <c r="M178" s="11">
        <f>IFERROR(__xludf.DUMMYFUNCTION("""COMPUTED_VALUE"""),2.0)</f>
        <v>2</v>
      </c>
      <c r="N178" s="11">
        <f>IFERROR(__xludf.DUMMYFUNCTION("""COMPUTED_VALUE"""),6526.0)</f>
        <v>6526</v>
      </c>
      <c r="O178" s="13">
        <f>IFERROR(__xludf.DUMMYFUNCTION("""COMPUTED_VALUE"""),13.0)</f>
        <v>13</v>
      </c>
      <c r="P178" s="14">
        <f>IFERROR(__xludf.DUMMYFUNCTION("""COMPUTED_VALUE"""),11.0)</f>
        <v>11</v>
      </c>
      <c r="Q178" s="13">
        <f>IFERROR(__xludf.DUMMYFUNCTION("""COMPUTED_VALUE"""),27.0)</f>
        <v>27</v>
      </c>
      <c r="R178" s="13">
        <f>IFERROR(__xludf.DUMMYFUNCTION("""COMPUTED_VALUE"""),47.0)</f>
        <v>47</v>
      </c>
      <c r="S178" s="15">
        <f>IFERROR(__xludf.DUMMYFUNCTION("""COMPUTED_VALUE"""),0.2765957446808511)</f>
        <v>0.2765957447</v>
      </c>
      <c r="T178" s="16">
        <f>IFERROR(__xludf.DUMMYFUNCTION("""COMPUTED_VALUE"""),296.6363636363636)</f>
        <v>296.6363636</v>
      </c>
      <c r="U178" s="16">
        <f>IFERROR(__xludf.DUMMYFUNCTION("""COMPUTED_VALUE"""),0.5909090909090909)</f>
        <v>0.5909090909</v>
      </c>
      <c r="V178" s="16">
        <f>IFERROR(__xludf.DUMMYFUNCTION("""COMPUTED_VALUE"""),0.5)</f>
        <v>0.5</v>
      </c>
      <c r="W178" s="16">
        <f>IFERROR(__xludf.DUMMYFUNCTION("""COMPUTED_VALUE"""),1.2272727272727273)</f>
        <v>1.227272727</v>
      </c>
      <c r="X178" s="16">
        <f>IFERROR(__xludf.DUMMYFUNCTION("""COMPUTED_VALUE"""),2.1363636363636362)</f>
        <v>2.136363636</v>
      </c>
      <c r="Y178" s="11">
        <f>IFERROR(__xludf.DUMMYFUNCTION("""COMPUTED_VALUE"""),2.0)</f>
        <v>2</v>
      </c>
      <c r="Z178" s="11">
        <f>IFERROR(__xludf.DUMMYFUNCTION("""COMPUTED_VALUE"""),0.0)</f>
        <v>0</v>
      </c>
      <c r="AA178" s="11">
        <f>IFERROR(__xludf.DUMMYFUNCTION("""COMPUTED_VALUE"""),0.0)</f>
        <v>0</v>
      </c>
      <c r="AB178" s="11">
        <f>IFERROR(__xludf.DUMMYFUNCTION("""COMPUTED_VALUE"""),3.0)</f>
        <v>3</v>
      </c>
      <c r="AC178" s="11">
        <f>IFERROR(__xludf.DUMMYFUNCTION("""COMPUTED_VALUE"""),17.0)</f>
        <v>17</v>
      </c>
      <c r="AD178" s="11">
        <f>IFERROR(__xludf.DUMMYFUNCTION("""COMPUTED_VALUE"""),27.0)</f>
        <v>27</v>
      </c>
    </row>
    <row r="179">
      <c r="A179" s="10" t="str">
        <f>IFERROR(__xludf.DUMMYFUNCTION("""COMPUTED_VALUE"""),"Challenger")</f>
        <v>Challenger</v>
      </c>
      <c r="B179" s="10" t="str">
        <f>IFERROR(__xludf.DUMMYFUNCTION("""COMPUTED_VALUE"""),"RSC001820")</f>
        <v>RSC001820</v>
      </c>
      <c r="C179" s="10" t="str">
        <f>IFERROR(__xludf.DUMMYFUNCTION("""COMPUTED_VALUE"""),"YourEvilTwin")</f>
        <v>YourEvilTwin</v>
      </c>
      <c r="D179" s="36" t="str">
        <f>IFERROR(__xludf.DUMMYFUNCTION("""COMPUTED_VALUE"""),"Spearmint")</f>
        <v>Spearmint</v>
      </c>
      <c r="E179" s="10" t="str">
        <f>IFERROR(__xludf.DUMMYFUNCTION("""COMPUTED_VALUE"""),"Solar")</f>
        <v>Solar</v>
      </c>
      <c r="F179" s="37">
        <f>IFERROR(__xludf.DUMMYFUNCTION("""COMPUTED_VALUE"""),22.108303411946256)</f>
        <v>22.10830341</v>
      </c>
      <c r="G179" s="38">
        <f>IFERROR(__xludf.DUMMYFUNCTION("""COMPUTED_VALUE"""),28.90818333392346)</f>
        <v>28.90818333</v>
      </c>
      <c r="H179" s="38">
        <f>IFERROR(__xludf.DUMMYFUNCTION("""COMPUTED_VALUE"""),25.508243372934857)</f>
        <v>25.50824337</v>
      </c>
      <c r="I179" s="14">
        <f>IFERROR(__xludf.DUMMYFUNCTION("""COMPUTED_VALUE"""),10.0)</f>
        <v>10</v>
      </c>
      <c r="J179" s="11">
        <f>IFERROR(__xludf.DUMMYFUNCTION("IFERROR(FILTER(Stats!$F:$Z,(Stats!$A:$A=$A179)*(Stats!$B:$B=$B179)))"),3.0)</f>
        <v>3</v>
      </c>
      <c r="K179" s="11">
        <f>IFERROR(__xludf.DUMMYFUNCTION("""COMPUTED_VALUE"""),7.0)</f>
        <v>7</v>
      </c>
      <c r="L179" s="12">
        <f>IFERROR(__xludf.DUMMYFUNCTION("""COMPUTED_VALUE"""),0.3)</f>
        <v>0.3</v>
      </c>
      <c r="M179" s="11">
        <f>IFERROR(__xludf.DUMMYFUNCTION("""COMPUTED_VALUE"""),0.0)</f>
        <v>0</v>
      </c>
      <c r="N179" s="11">
        <f>IFERROR(__xludf.DUMMYFUNCTION("""COMPUTED_VALUE"""),2637.0)</f>
        <v>2637</v>
      </c>
      <c r="O179" s="13">
        <f>IFERROR(__xludf.DUMMYFUNCTION("""COMPUTED_VALUE"""),8.0)</f>
        <v>8</v>
      </c>
      <c r="P179" s="14">
        <f>IFERROR(__xludf.DUMMYFUNCTION("""COMPUTED_VALUE"""),2.0)</f>
        <v>2</v>
      </c>
      <c r="Q179" s="13">
        <f>IFERROR(__xludf.DUMMYFUNCTION("""COMPUTED_VALUE"""),7.0)</f>
        <v>7</v>
      </c>
      <c r="R179" s="13">
        <f>IFERROR(__xludf.DUMMYFUNCTION("""COMPUTED_VALUE"""),22.0)</f>
        <v>22</v>
      </c>
      <c r="S179" s="15">
        <f>IFERROR(__xludf.DUMMYFUNCTION("""COMPUTED_VALUE"""),0.36363636363636365)</f>
        <v>0.3636363636</v>
      </c>
      <c r="T179" s="16">
        <f>IFERROR(__xludf.DUMMYFUNCTION("""COMPUTED_VALUE"""),263.7)</f>
        <v>263.7</v>
      </c>
      <c r="U179" s="16">
        <f>IFERROR(__xludf.DUMMYFUNCTION("""COMPUTED_VALUE"""),0.8)</f>
        <v>0.8</v>
      </c>
      <c r="V179" s="16">
        <f>IFERROR(__xludf.DUMMYFUNCTION("""COMPUTED_VALUE"""),0.2)</f>
        <v>0.2</v>
      </c>
      <c r="W179" s="16">
        <f>IFERROR(__xludf.DUMMYFUNCTION("""COMPUTED_VALUE"""),0.7)</f>
        <v>0.7</v>
      </c>
      <c r="X179" s="16">
        <f>IFERROR(__xludf.DUMMYFUNCTION("""COMPUTED_VALUE"""),2.2)</f>
        <v>2.2</v>
      </c>
      <c r="Y179" s="11">
        <f>IFERROR(__xludf.DUMMYFUNCTION("""COMPUTED_VALUE"""),1.0)</f>
        <v>1</v>
      </c>
      <c r="Z179" s="11">
        <f>IFERROR(__xludf.DUMMYFUNCTION("""COMPUTED_VALUE"""),0.0)</f>
        <v>0</v>
      </c>
      <c r="AA179" s="11">
        <f>IFERROR(__xludf.DUMMYFUNCTION("""COMPUTED_VALUE"""),0.0)</f>
        <v>0</v>
      </c>
      <c r="AB179" s="11">
        <f>IFERROR(__xludf.DUMMYFUNCTION("""COMPUTED_VALUE"""),0.0)</f>
        <v>0</v>
      </c>
      <c r="AC179" s="11">
        <f>IFERROR(__xludf.DUMMYFUNCTION("""COMPUTED_VALUE"""),26.0)</f>
        <v>26</v>
      </c>
      <c r="AD179" s="11">
        <f>IFERROR(__xludf.DUMMYFUNCTION("""COMPUTED_VALUE"""),0.0)</f>
        <v>0</v>
      </c>
    </row>
    <row r="180">
      <c r="A180" s="10" t="str">
        <f>IFERROR(__xludf.DUMMYFUNCTION("""COMPUTED_VALUE"""),"Challenger")</f>
        <v>Challenger</v>
      </c>
      <c r="B180" s="10" t="str">
        <f>IFERROR(__xludf.DUMMYFUNCTION("""COMPUTED_VALUE"""),"RSC007179")</f>
        <v>RSC007179</v>
      </c>
      <c r="C180" s="10" t="str">
        <f>IFERROR(__xludf.DUMMYFUNCTION("""COMPUTED_VALUE"""),"B0A._.")</f>
        <v>B0A._.</v>
      </c>
      <c r="D180" s="36" t="str">
        <f>IFERROR(__xludf.DUMMYFUNCTION("""COMPUTED_VALUE"""),"Jinyiwei")</f>
        <v>Jinyiwei</v>
      </c>
      <c r="E180" s="10" t="str">
        <f>IFERROR(__xludf.DUMMYFUNCTION("""COMPUTED_VALUE"""),"Lunar")</f>
        <v>Lunar</v>
      </c>
      <c r="F180" s="37">
        <f>IFERROR(__xludf.DUMMYFUNCTION("""COMPUTED_VALUE"""),24.937614532007903)</f>
        <v>24.93761453</v>
      </c>
      <c r="G180" s="38">
        <f>IFERROR(__xludf.DUMMYFUNCTION("""COMPUTED_VALUE"""),20.467118329217506)</f>
        <v>20.46711833</v>
      </c>
      <c r="H180" s="38">
        <f>IFERROR(__xludf.DUMMYFUNCTION("""COMPUTED_VALUE"""),22.702366430612706)</f>
        <v>22.70236643</v>
      </c>
      <c r="I180" s="14">
        <f>IFERROR(__xludf.DUMMYFUNCTION("""COMPUTED_VALUE"""),46.0)</f>
        <v>46</v>
      </c>
      <c r="J180" s="11">
        <f>IFERROR(__xludf.DUMMYFUNCTION("IFERROR(FILTER(Stats!$F:$Z,(Stats!$A:$A=$A180)*(Stats!$B:$B=$B180)))"),17.0)</f>
        <v>17</v>
      </c>
      <c r="K180" s="11">
        <f>IFERROR(__xludf.DUMMYFUNCTION("""COMPUTED_VALUE"""),29.0)</f>
        <v>29</v>
      </c>
      <c r="L180" s="12">
        <f>IFERROR(__xludf.DUMMYFUNCTION("""COMPUTED_VALUE"""),0.3695652173913043)</f>
        <v>0.3695652174</v>
      </c>
      <c r="M180" s="11">
        <f>IFERROR(__xludf.DUMMYFUNCTION("""COMPUTED_VALUE"""),3.0)</f>
        <v>3</v>
      </c>
      <c r="N180" s="11">
        <f>IFERROR(__xludf.DUMMYFUNCTION("""COMPUTED_VALUE"""),12195.0)</f>
        <v>12195</v>
      </c>
      <c r="O180" s="13">
        <f>IFERROR(__xludf.DUMMYFUNCTION("""COMPUTED_VALUE"""),22.0)</f>
        <v>22</v>
      </c>
      <c r="P180" s="14">
        <f>IFERROR(__xludf.DUMMYFUNCTION("""COMPUTED_VALUE"""),20.0)</f>
        <v>20</v>
      </c>
      <c r="Q180" s="13">
        <f>IFERROR(__xludf.DUMMYFUNCTION("""COMPUTED_VALUE"""),44.0)</f>
        <v>44</v>
      </c>
      <c r="R180" s="13">
        <f>IFERROR(__xludf.DUMMYFUNCTION("""COMPUTED_VALUE"""),82.0)</f>
        <v>82</v>
      </c>
      <c r="S180" s="15">
        <f>IFERROR(__xludf.DUMMYFUNCTION("""COMPUTED_VALUE"""),0.2682926829268293)</f>
        <v>0.2682926829</v>
      </c>
      <c r="T180" s="16">
        <f>IFERROR(__xludf.DUMMYFUNCTION("""COMPUTED_VALUE"""),265.10869565217394)</f>
        <v>265.1086957</v>
      </c>
      <c r="U180" s="16">
        <f>IFERROR(__xludf.DUMMYFUNCTION("""COMPUTED_VALUE"""),0.4782608695652174)</f>
        <v>0.4782608696</v>
      </c>
      <c r="V180" s="16">
        <f>IFERROR(__xludf.DUMMYFUNCTION("""COMPUTED_VALUE"""),0.43478260869565216)</f>
        <v>0.4347826087</v>
      </c>
      <c r="W180" s="16">
        <f>IFERROR(__xludf.DUMMYFUNCTION("""COMPUTED_VALUE"""),0.9565217391304348)</f>
        <v>0.9565217391</v>
      </c>
      <c r="X180" s="16">
        <f>IFERROR(__xludf.DUMMYFUNCTION("""COMPUTED_VALUE"""),1.7826086956521738)</f>
        <v>1.782608696</v>
      </c>
      <c r="Y180" s="11">
        <f>IFERROR(__xludf.DUMMYFUNCTION("""COMPUTED_VALUE"""),2.0)</f>
        <v>2</v>
      </c>
      <c r="Z180" s="11">
        <f>IFERROR(__xludf.DUMMYFUNCTION("""COMPUTED_VALUE"""),0.0)</f>
        <v>0</v>
      </c>
      <c r="AA180" s="11">
        <f>IFERROR(__xludf.DUMMYFUNCTION("""COMPUTED_VALUE"""),0.0)</f>
        <v>0</v>
      </c>
      <c r="AB180" s="11">
        <f>IFERROR(__xludf.DUMMYFUNCTION("""COMPUTED_VALUE"""),2.0)</f>
        <v>2</v>
      </c>
      <c r="AC180" s="11">
        <f>IFERROR(__xludf.DUMMYFUNCTION("""COMPUTED_VALUE"""),40.0)</f>
        <v>40</v>
      </c>
      <c r="AD180" s="11">
        <f>IFERROR(__xludf.DUMMYFUNCTION("""COMPUTED_VALUE"""),54.0)</f>
        <v>54</v>
      </c>
    </row>
    <row r="181">
      <c r="A181" s="10" t="str">
        <f>IFERROR(__xludf.DUMMYFUNCTION("""COMPUTED_VALUE"""),"Challenger")</f>
        <v>Challenger</v>
      </c>
      <c r="B181" s="10" t="str">
        <f>IFERROR(__xludf.DUMMYFUNCTION("""COMPUTED_VALUE"""),"RSC007442")</f>
        <v>RSC007442</v>
      </c>
      <c r="C181" s="10" t="str">
        <f>IFERROR(__xludf.DUMMYFUNCTION("""COMPUTED_VALUE"""),"willbong")</f>
        <v>willbong</v>
      </c>
      <c r="D181" s="36" t="str">
        <f>IFERROR(__xludf.DUMMYFUNCTION("""COMPUTED_VALUE"""),"Sirens
Spearmint
Toucans")</f>
        <v>Sirens
Spearmint
Toucans</v>
      </c>
      <c r="E181" s="10" t="str">
        <f>IFERROR(__xludf.DUMMYFUNCTION("""COMPUTED_VALUE"""),"Solar
Solar
Solar")</f>
        <v>Solar
Solar
Solar</v>
      </c>
      <c r="F181" s="37">
        <f>IFERROR(__xludf.DUMMYFUNCTION("""COMPUTED_VALUE"""),25.791393390159257)</f>
        <v>25.79139339</v>
      </c>
      <c r="G181" s="38">
        <f>IFERROR(__xludf.DUMMYFUNCTION("""COMPUTED_VALUE"""),17.15633947163984)</f>
        <v>17.15633947</v>
      </c>
      <c r="H181" s="38">
        <f>IFERROR(__xludf.DUMMYFUNCTION("""COMPUTED_VALUE"""),21.473866430899548)</f>
        <v>21.47386643</v>
      </c>
      <c r="I181" s="14">
        <f>IFERROR(__xludf.DUMMYFUNCTION("""COMPUTED_VALUE"""),31.0)</f>
        <v>31</v>
      </c>
      <c r="J181" s="11">
        <f>IFERROR(__xludf.DUMMYFUNCTION("IFERROR(FILTER(Stats!$F:$Z,(Stats!$A:$A=$A181)*(Stats!$B:$B=$B181)))"),12.0)</f>
        <v>12</v>
      </c>
      <c r="K181" s="11">
        <f>IFERROR(__xludf.DUMMYFUNCTION("""COMPUTED_VALUE"""),19.0)</f>
        <v>19</v>
      </c>
      <c r="L181" s="12">
        <f>IFERROR(__xludf.DUMMYFUNCTION("""COMPUTED_VALUE"""),0.3870967741935484)</f>
        <v>0.3870967742</v>
      </c>
      <c r="M181" s="11">
        <f>IFERROR(__xludf.DUMMYFUNCTION("""COMPUTED_VALUE"""),4.0)</f>
        <v>4</v>
      </c>
      <c r="N181" s="11">
        <f>IFERROR(__xludf.DUMMYFUNCTION("""COMPUTED_VALUE"""),8747.0)</f>
        <v>8747</v>
      </c>
      <c r="O181" s="13">
        <f>IFERROR(__xludf.DUMMYFUNCTION("""COMPUTED_VALUE"""),15.0)</f>
        <v>15</v>
      </c>
      <c r="P181" s="14">
        <f>IFERROR(__xludf.DUMMYFUNCTION("""COMPUTED_VALUE"""),14.0)</f>
        <v>14</v>
      </c>
      <c r="Q181" s="13">
        <f>IFERROR(__xludf.DUMMYFUNCTION("""COMPUTED_VALUE"""),35.0)</f>
        <v>35</v>
      </c>
      <c r="R181" s="13">
        <f>IFERROR(__xludf.DUMMYFUNCTION("""COMPUTED_VALUE"""),48.0)</f>
        <v>48</v>
      </c>
      <c r="S181" s="15">
        <f>IFERROR(__xludf.DUMMYFUNCTION("""COMPUTED_VALUE"""),0.3125)</f>
        <v>0.3125</v>
      </c>
      <c r="T181" s="16">
        <f>IFERROR(__xludf.DUMMYFUNCTION("""COMPUTED_VALUE"""),282.16129032258067)</f>
        <v>282.1612903</v>
      </c>
      <c r="U181" s="16">
        <f>IFERROR(__xludf.DUMMYFUNCTION("""COMPUTED_VALUE"""),0.4838709677419355)</f>
        <v>0.4838709677</v>
      </c>
      <c r="V181" s="16">
        <f>IFERROR(__xludf.DUMMYFUNCTION("""COMPUTED_VALUE"""),0.45161290322580644)</f>
        <v>0.4516129032</v>
      </c>
      <c r="W181" s="16">
        <f>IFERROR(__xludf.DUMMYFUNCTION("""COMPUTED_VALUE"""),1.1290322580645162)</f>
        <v>1.129032258</v>
      </c>
      <c r="X181" s="16">
        <f>IFERROR(__xludf.DUMMYFUNCTION("""COMPUTED_VALUE"""),1.5483870967741935)</f>
        <v>1.548387097</v>
      </c>
      <c r="Y181" s="11">
        <f>IFERROR(__xludf.DUMMYFUNCTION("""COMPUTED_VALUE"""),3.0)</f>
        <v>3</v>
      </c>
      <c r="Z181" s="11">
        <f>IFERROR(__xludf.DUMMYFUNCTION("""COMPUTED_VALUE"""),0.0)</f>
        <v>0</v>
      </c>
      <c r="AA181" s="11">
        <f>IFERROR(__xludf.DUMMYFUNCTION("""COMPUTED_VALUE"""),0.0)</f>
        <v>0</v>
      </c>
      <c r="AB181" s="11">
        <f>IFERROR(__xludf.DUMMYFUNCTION("""COMPUTED_VALUE"""),3.0)</f>
        <v>3</v>
      </c>
      <c r="AC181" s="11">
        <f>IFERROR(__xludf.DUMMYFUNCTION("""COMPUTED_VALUE"""),45.0)</f>
        <v>45</v>
      </c>
      <c r="AD181" s="11">
        <f>IFERROR(__xludf.DUMMYFUNCTION("""COMPUTED_VALUE"""),27.0)</f>
        <v>27</v>
      </c>
    </row>
    <row r="182">
      <c r="A182" s="10" t="str">
        <f>IFERROR(__xludf.DUMMYFUNCTION("""COMPUTED_VALUE"""),"Challenger")</f>
        <v>Challenger</v>
      </c>
      <c r="B182" s="10" t="str">
        <f>IFERROR(__xludf.DUMMYFUNCTION("""COMPUTED_VALUE"""),"RSC008348")</f>
        <v>RSC008348</v>
      </c>
      <c r="C182" s="10" t="str">
        <f>IFERROR(__xludf.DUMMYFUNCTION("""COMPUTED_VALUE"""),"Shadows_ss")</f>
        <v>Shadows_ss</v>
      </c>
      <c r="D182" s="36" t="str">
        <f>IFERROR(__xludf.DUMMYFUNCTION("""COMPUTED_VALUE"""),"Sirens")</f>
        <v>Sirens</v>
      </c>
      <c r="E182" s="10" t="str">
        <f>IFERROR(__xludf.DUMMYFUNCTION("""COMPUTED_VALUE"""),"Solar")</f>
        <v>Solar</v>
      </c>
      <c r="F182" s="37">
        <f>IFERROR(__xludf.DUMMYFUNCTION("""COMPUTED_VALUE"""),21.09929527195958)</f>
        <v>21.09929527</v>
      </c>
      <c r="G182" s="38">
        <f>IFERROR(__xludf.DUMMYFUNCTION("""COMPUTED_VALUE"""),20.137934283572616)</f>
        <v>20.13793428</v>
      </c>
      <c r="H182" s="38">
        <f>IFERROR(__xludf.DUMMYFUNCTION("""COMPUTED_VALUE"""),20.618614777766098)</f>
        <v>20.61861478</v>
      </c>
      <c r="I182" s="14">
        <f>IFERROR(__xludf.DUMMYFUNCTION("""COMPUTED_VALUE"""),33.0)</f>
        <v>33</v>
      </c>
      <c r="J182" s="11">
        <f>IFERROR(__xludf.DUMMYFUNCTION("IFERROR(FILTER(Stats!$F:$Z,(Stats!$A:$A=$A182)*(Stats!$B:$B=$B182)))"),14.0)</f>
        <v>14</v>
      </c>
      <c r="K182" s="11">
        <f>IFERROR(__xludf.DUMMYFUNCTION("""COMPUTED_VALUE"""),19.0)</f>
        <v>19</v>
      </c>
      <c r="L182" s="12">
        <f>IFERROR(__xludf.DUMMYFUNCTION("""COMPUTED_VALUE"""),0.42424242424242425)</f>
        <v>0.4242424242</v>
      </c>
      <c r="M182" s="11">
        <f>IFERROR(__xludf.DUMMYFUNCTION("""COMPUTED_VALUE"""),1.0)</f>
        <v>1</v>
      </c>
      <c r="N182" s="11">
        <f>IFERROR(__xludf.DUMMYFUNCTION("""COMPUTED_VALUE"""),8865.0)</f>
        <v>8865</v>
      </c>
      <c r="O182" s="13">
        <f>IFERROR(__xludf.DUMMYFUNCTION("""COMPUTED_VALUE"""),23.0)</f>
        <v>23</v>
      </c>
      <c r="P182" s="14">
        <f>IFERROR(__xludf.DUMMYFUNCTION("""COMPUTED_VALUE"""),12.0)</f>
        <v>12</v>
      </c>
      <c r="Q182" s="13">
        <f>IFERROR(__xludf.DUMMYFUNCTION("""COMPUTED_VALUE"""),30.0)</f>
        <v>30</v>
      </c>
      <c r="R182" s="13">
        <f>IFERROR(__xludf.DUMMYFUNCTION("""COMPUTED_VALUE"""),57.0)</f>
        <v>57</v>
      </c>
      <c r="S182" s="15">
        <f>IFERROR(__xludf.DUMMYFUNCTION("""COMPUTED_VALUE"""),0.40350877192982454)</f>
        <v>0.4035087719</v>
      </c>
      <c r="T182" s="16">
        <f>IFERROR(__xludf.DUMMYFUNCTION("""COMPUTED_VALUE"""),268.6363636363636)</f>
        <v>268.6363636</v>
      </c>
      <c r="U182" s="16">
        <f>IFERROR(__xludf.DUMMYFUNCTION("""COMPUTED_VALUE"""),0.696969696969697)</f>
        <v>0.696969697</v>
      </c>
      <c r="V182" s="16">
        <f>IFERROR(__xludf.DUMMYFUNCTION("""COMPUTED_VALUE"""),0.36363636363636365)</f>
        <v>0.3636363636</v>
      </c>
      <c r="W182" s="16">
        <f>IFERROR(__xludf.DUMMYFUNCTION("""COMPUTED_VALUE"""),0.9090909090909091)</f>
        <v>0.9090909091</v>
      </c>
      <c r="X182" s="16">
        <f>IFERROR(__xludf.DUMMYFUNCTION("""COMPUTED_VALUE"""),1.7272727272727273)</f>
        <v>1.727272727</v>
      </c>
      <c r="Y182" s="11">
        <f>IFERROR(__xludf.DUMMYFUNCTION("""COMPUTED_VALUE"""),3.0)</f>
        <v>3</v>
      </c>
      <c r="Z182" s="11">
        <f>IFERROR(__xludf.DUMMYFUNCTION("""COMPUTED_VALUE"""),1.0)</f>
        <v>1</v>
      </c>
      <c r="AA182" s="11">
        <f>IFERROR(__xludf.DUMMYFUNCTION("""COMPUTED_VALUE"""),0.0)</f>
        <v>0</v>
      </c>
      <c r="AB182" s="11">
        <f>IFERROR(__xludf.DUMMYFUNCTION("""COMPUTED_VALUE"""),3.0)</f>
        <v>3</v>
      </c>
      <c r="AC182" s="11">
        <f>IFERROR(__xludf.DUMMYFUNCTION("""COMPUTED_VALUE"""),85.0)</f>
        <v>85</v>
      </c>
      <c r="AD182" s="11">
        <f>IFERROR(__xludf.DUMMYFUNCTION("""COMPUTED_VALUE"""),24.0)</f>
        <v>24</v>
      </c>
    </row>
    <row r="183">
      <c r="A183" s="10" t="str">
        <f>IFERROR(__xludf.DUMMYFUNCTION("""COMPUTED_VALUE"""),"Challenger")</f>
        <v>Challenger</v>
      </c>
      <c r="B183" s="10" t="str">
        <f>IFERROR(__xludf.DUMMYFUNCTION("""COMPUTED_VALUE"""),"RSC008237")</f>
        <v>RSC008237</v>
      </c>
      <c r="C183" s="10" t="str">
        <f>IFERROR(__xludf.DUMMYFUNCTION("""COMPUTED_VALUE"""),"SardonicOx")</f>
        <v>SardonicOx</v>
      </c>
      <c r="D183" s="36" t="str">
        <f>IFERROR(__xludf.DUMMYFUNCTION("""COMPUTED_VALUE"""),"Insider Traders")</f>
        <v>Insider Traders</v>
      </c>
      <c r="E183" s="10" t="str">
        <f>IFERROR(__xludf.DUMMYFUNCTION("""COMPUTED_VALUE"""),"Lunar")</f>
        <v>Lunar</v>
      </c>
      <c r="F183" s="37">
        <f>IFERROR(__xludf.DUMMYFUNCTION("""COMPUTED_VALUE"""),24.089141860985187)</f>
        <v>24.08914186</v>
      </c>
      <c r="G183" s="38">
        <f>IFERROR(__xludf.DUMMYFUNCTION("""COMPUTED_VALUE"""),17.00599163103727)</f>
        <v>17.00599163</v>
      </c>
      <c r="H183" s="38">
        <f>IFERROR(__xludf.DUMMYFUNCTION("""COMPUTED_VALUE"""),20.547566746011228)</f>
        <v>20.54756675</v>
      </c>
      <c r="I183" s="14">
        <f>IFERROR(__xludf.DUMMYFUNCTION("""COMPUTED_VALUE"""),13.0)</f>
        <v>13</v>
      </c>
      <c r="J183" s="11">
        <f>IFERROR(__xludf.DUMMYFUNCTION("IFERROR(FILTER(Stats!$F:$Z,(Stats!$A:$A=$A183)*(Stats!$B:$B=$B183)))"),1.0)</f>
        <v>1</v>
      </c>
      <c r="K183" s="11">
        <f>IFERROR(__xludf.DUMMYFUNCTION("""COMPUTED_VALUE"""),12.0)</f>
        <v>12</v>
      </c>
      <c r="L183" s="12">
        <f>IFERROR(__xludf.DUMMYFUNCTION("""COMPUTED_VALUE"""),0.07692307692307693)</f>
        <v>0.07692307692</v>
      </c>
      <c r="M183" s="11">
        <f>IFERROR(__xludf.DUMMYFUNCTION("""COMPUTED_VALUE"""),0.0)</f>
        <v>0</v>
      </c>
      <c r="N183" s="11">
        <f>IFERROR(__xludf.DUMMYFUNCTION("""COMPUTED_VALUE"""),3299.0)</f>
        <v>3299</v>
      </c>
      <c r="O183" s="13">
        <f>IFERROR(__xludf.DUMMYFUNCTION("""COMPUTED_VALUE"""),6.0)</f>
        <v>6</v>
      </c>
      <c r="P183" s="14">
        <f>IFERROR(__xludf.DUMMYFUNCTION("""COMPUTED_VALUE"""),4.0)</f>
        <v>4</v>
      </c>
      <c r="Q183" s="13">
        <f>IFERROR(__xludf.DUMMYFUNCTION("""COMPUTED_VALUE"""),18.0)</f>
        <v>18</v>
      </c>
      <c r="R183" s="13">
        <f>IFERROR(__xludf.DUMMYFUNCTION("""COMPUTED_VALUE"""),25.0)</f>
        <v>25</v>
      </c>
      <c r="S183" s="15">
        <f>IFERROR(__xludf.DUMMYFUNCTION("""COMPUTED_VALUE"""),0.24)</f>
        <v>0.24</v>
      </c>
      <c r="T183" s="16">
        <f>IFERROR(__xludf.DUMMYFUNCTION("""COMPUTED_VALUE"""),253.76923076923077)</f>
        <v>253.7692308</v>
      </c>
      <c r="U183" s="16">
        <f>IFERROR(__xludf.DUMMYFUNCTION("""COMPUTED_VALUE"""),0.46153846153846156)</f>
        <v>0.4615384615</v>
      </c>
      <c r="V183" s="16">
        <f>IFERROR(__xludf.DUMMYFUNCTION("""COMPUTED_VALUE"""),0.3076923076923077)</f>
        <v>0.3076923077</v>
      </c>
      <c r="W183" s="16">
        <f>IFERROR(__xludf.DUMMYFUNCTION("""COMPUTED_VALUE"""),1.3846153846153846)</f>
        <v>1.384615385</v>
      </c>
      <c r="X183" s="16">
        <f>IFERROR(__xludf.DUMMYFUNCTION("""COMPUTED_VALUE"""),1.9230769230769231)</f>
        <v>1.923076923</v>
      </c>
      <c r="Y183" s="11">
        <f>IFERROR(__xludf.DUMMYFUNCTION("""COMPUTED_VALUE"""),0.0)</f>
        <v>0</v>
      </c>
      <c r="Z183" s="11">
        <f>IFERROR(__xludf.DUMMYFUNCTION("""COMPUTED_VALUE"""),1.0)</f>
        <v>1</v>
      </c>
      <c r="AA183" s="11">
        <f>IFERROR(__xludf.DUMMYFUNCTION("""COMPUTED_VALUE"""),0.0)</f>
        <v>0</v>
      </c>
      <c r="AB183" s="11">
        <f>IFERROR(__xludf.DUMMYFUNCTION("""COMPUTED_VALUE"""),2.0)</f>
        <v>2</v>
      </c>
      <c r="AC183" s="11">
        <f>IFERROR(__xludf.DUMMYFUNCTION("""COMPUTED_VALUE"""),6.0)</f>
        <v>6</v>
      </c>
      <c r="AD183" s="11">
        <f>IFERROR(__xludf.DUMMYFUNCTION("""COMPUTED_VALUE"""),12.0)</f>
        <v>12</v>
      </c>
    </row>
    <row r="184">
      <c r="A184" s="10" t="str">
        <f>IFERROR(__xludf.DUMMYFUNCTION("""COMPUTED_VALUE"""),"Challenger")</f>
        <v>Challenger</v>
      </c>
      <c r="B184" s="10" t="str">
        <f>IFERROR(__xludf.DUMMYFUNCTION("""COMPUTED_VALUE"""),"RSC007178")</f>
        <v>RSC007178</v>
      </c>
      <c r="C184" s="10" t="str">
        <f>IFERROR(__xludf.DUMMYFUNCTION("""COMPUTED_VALUE"""),"littygriddy65")</f>
        <v>littygriddy65</v>
      </c>
      <c r="D184" s="36" t="str">
        <f>IFERROR(__xludf.DUMMYFUNCTION("""COMPUTED_VALUE"""),"Warthogs")</f>
        <v>Warthogs</v>
      </c>
      <c r="E184" s="10" t="str">
        <f>IFERROR(__xludf.DUMMYFUNCTION("""COMPUTED_VALUE"""),"Lunar")</f>
        <v>Lunar</v>
      </c>
      <c r="F184" s="37">
        <f>IFERROR(__xludf.DUMMYFUNCTION("""COMPUTED_VALUE"""),24.275987675767404)</f>
        <v>24.27598768</v>
      </c>
      <c r="G184" s="38">
        <f>IFERROR(__xludf.DUMMYFUNCTION("""COMPUTED_VALUE"""),15.982208204957779)</f>
        <v>15.9822082</v>
      </c>
      <c r="H184" s="38">
        <f>IFERROR(__xludf.DUMMYFUNCTION("""COMPUTED_VALUE"""),20.12909794036259)</f>
        <v>20.12909794</v>
      </c>
      <c r="I184" s="14">
        <f>IFERROR(__xludf.DUMMYFUNCTION("""COMPUTED_VALUE"""),8.0)</f>
        <v>8</v>
      </c>
      <c r="J184" s="11">
        <f>IFERROR(__xludf.DUMMYFUNCTION("IFERROR(FILTER(Stats!$F:$Z,(Stats!$A:$A=$A184)*(Stats!$B:$B=$B184)))"),5.0)</f>
        <v>5</v>
      </c>
      <c r="K184" s="11">
        <f>IFERROR(__xludf.DUMMYFUNCTION("""COMPUTED_VALUE"""),3.0)</f>
        <v>3</v>
      </c>
      <c r="L184" s="12">
        <f>IFERROR(__xludf.DUMMYFUNCTION("""COMPUTED_VALUE"""),0.625)</f>
        <v>0.625</v>
      </c>
      <c r="M184" s="11">
        <f>IFERROR(__xludf.DUMMYFUNCTION("""COMPUTED_VALUE"""),2.0)</f>
        <v>2</v>
      </c>
      <c r="N184" s="11">
        <f>IFERROR(__xludf.DUMMYFUNCTION("""COMPUTED_VALUE"""),2165.0)</f>
        <v>2165</v>
      </c>
      <c r="O184" s="13">
        <f>IFERROR(__xludf.DUMMYFUNCTION("""COMPUTED_VALUE"""),5.0)</f>
        <v>5</v>
      </c>
      <c r="P184" s="14">
        <f>IFERROR(__xludf.DUMMYFUNCTION("""COMPUTED_VALUE"""),1.0)</f>
        <v>1</v>
      </c>
      <c r="Q184" s="13">
        <f>IFERROR(__xludf.DUMMYFUNCTION("""COMPUTED_VALUE"""),7.0)</f>
        <v>7</v>
      </c>
      <c r="R184" s="13">
        <f>IFERROR(__xludf.DUMMYFUNCTION("""COMPUTED_VALUE"""),19.0)</f>
        <v>19</v>
      </c>
      <c r="S184" s="15">
        <f>IFERROR(__xludf.DUMMYFUNCTION("""COMPUTED_VALUE"""),0.2631578947368421)</f>
        <v>0.2631578947</v>
      </c>
      <c r="T184" s="16">
        <f>IFERROR(__xludf.DUMMYFUNCTION("""COMPUTED_VALUE"""),270.625)</f>
        <v>270.625</v>
      </c>
      <c r="U184" s="16">
        <f>IFERROR(__xludf.DUMMYFUNCTION("""COMPUTED_VALUE"""),0.625)</f>
        <v>0.625</v>
      </c>
      <c r="V184" s="16">
        <f>IFERROR(__xludf.DUMMYFUNCTION("""COMPUTED_VALUE"""),0.125)</f>
        <v>0.125</v>
      </c>
      <c r="W184" s="16">
        <f>IFERROR(__xludf.DUMMYFUNCTION("""COMPUTED_VALUE"""),0.875)</f>
        <v>0.875</v>
      </c>
      <c r="X184" s="16">
        <f>IFERROR(__xludf.DUMMYFUNCTION("""COMPUTED_VALUE"""),2.375)</f>
        <v>2.375</v>
      </c>
      <c r="Y184" s="11">
        <f>IFERROR(__xludf.DUMMYFUNCTION("""COMPUTED_VALUE"""),1.0)</f>
        <v>1</v>
      </c>
      <c r="Z184" s="11">
        <f>IFERROR(__xludf.DUMMYFUNCTION("""COMPUTED_VALUE"""),0.0)</f>
        <v>0</v>
      </c>
      <c r="AA184" s="11">
        <f>IFERROR(__xludf.DUMMYFUNCTION("""COMPUTED_VALUE"""),0.0)</f>
        <v>0</v>
      </c>
      <c r="AB184" s="11">
        <f>IFERROR(__xludf.DUMMYFUNCTION("""COMPUTED_VALUE"""),1.0)</f>
        <v>1</v>
      </c>
      <c r="AC184" s="11">
        <f>IFERROR(__xludf.DUMMYFUNCTION("""COMPUTED_VALUE"""),1.0)</f>
        <v>1</v>
      </c>
      <c r="AD184" s="11">
        <f>IFERROR(__xludf.DUMMYFUNCTION("""COMPUTED_VALUE"""),8.0)</f>
        <v>8</v>
      </c>
    </row>
    <row r="185">
      <c r="A185" s="10" t="str">
        <f>IFERROR(__xludf.DUMMYFUNCTION("""COMPUTED_VALUE"""),"Challenger")</f>
        <v>Challenger</v>
      </c>
      <c r="B185" s="10" t="str">
        <f>IFERROR(__xludf.DUMMYFUNCTION("""COMPUTED_VALUE"""),"RSC008473")</f>
        <v>RSC008473</v>
      </c>
      <c r="C185" s="10" t="str">
        <f>IFERROR(__xludf.DUMMYFUNCTION("""COMPUTED_VALUE"""),"korndoguwu")</f>
        <v>korndoguwu</v>
      </c>
      <c r="D185" s="36" t="str">
        <f>IFERROR(__xludf.DUMMYFUNCTION("""COMPUTED_VALUE"""),"Scribes
Gold Hoarders")</f>
        <v>Scribes
Gold Hoarders</v>
      </c>
      <c r="E185" s="10" t="str">
        <f>IFERROR(__xludf.DUMMYFUNCTION("""COMPUTED_VALUE"""),"Lunar
Lunar")</f>
        <v>Lunar
Lunar</v>
      </c>
      <c r="F185" s="37">
        <f>IFERROR(__xludf.DUMMYFUNCTION("""COMPUTED_VALUE"""),27.60725405348695)</f>
        <v>27.60725405</v>
      </c>
      <c r="G185" s="38">
        <f>IFERROR(__xludf.DUMMYFUNCTION("""COMPUTED_VALUE"""),8.773182306872627)</f>
        <v>8.773182307</v>
      </c>
      <c r="H185" s="38">
        <f>IFERROR(__xludf.DUMMYFUNCTION("""COMPUTED_VALUE"""),18.19021818017979)</f>
        <v>18.19021818</v>
      </c>
      <c r="I185" s="14">
        <f>IFERROR(__xludf.DUMMYFUNCTION("""COMPUTED_VALUE"""),10.0)</f>
        <v>10</v>
      </c>
      <c r="J185" s="11">
        <f>IFERROR(__xludf.DUMMYFUNCTION("IFERROR(FILTER(Stats!$F:$Z,(Stats!$A:$A=$A185)*(Stats!$B:$B=$B185)))"),3.0)</f>
        <v>3</v>
      </c>
      <c r="K185" s="11">
        <f>IFERROR(__xludf.DUMMYFUNCTION("""COMPUTED_VALUE"""),7.0)</f>
        <v>7</v>
      </c>
      <c r="L185" s="12">
        <f>IFERROR(__xludf.DUMMYFUNCTION("""COMPUTED_VALUE"""),0.3)</f>
        <v>0.3</v>
      </c>
      <c r="M185" s="11">
        <f>IFERROR(__xludf.DUMMYFUNCTION("""COMPUTED_VALUE"""),2.0)</f>
        <v>2</v>
      </c>
      <c r="N185" s="11">
        <f>IFERROR(__xludf.DUMMYFUNCTION("""COMPUTED_VALUE"""),2677.0)</f>
        <v>2677</v>
      </c>
      <c r="O185" s="13">
        <f>IFERROR(__xludf.DUMMYFUNCTION("""COMPUTED_VALUE"""),6.0)</f>
        <v>6</v>
      </c>
      <c r="P185" s="14">
        <f>IFERROR(__xludf.DUMMYFUNCTION("""COMPUTED_VALUE"""),4.0)</f>
        <v>4</v>
      </c>
      <c r="Q185" s="13">
        <f>IFERROR(__xludf.DUMMYFUNCTION("""COMPUTED_VALUE"""),11.0)</f>
        <v>11</v>
      </c>
      <c r="R185" s="13">
        <f>IFERROR(__xludf.DUMMYFUNCTION("""COMPUTED_VALUE"""),16.0)</f>
        <v>16</v>
      </c>
      <c r="S185" s="15">
        <f>IFERROR(__xludf.DUMMYFUNCTION("""COMPUTED_VALUE"""),0.375)</f>
        <v>0.375</v>
      </c>
      <c r="T185" s="16">
        <f>IFERROR(__xludf.DUMMYFUNCTION("""COMPUTED_VALUE"""),267.7)</f>
        <v>267.7</v>
      </c>
      <c r="U185" s="16">
        <f>IFERROR(__xludf.DUMMYFUNCTION("""COMPUTED_VALUE"""),0.6)</f>
        <v>0.6</v>
      </c>
      <c r="V185" s="16">
        <f>IFERROR(__xludf.DUMMYFUNCTION("""COMPUTED_VALUE"""),0.4)</f>
        <v>0.4</v>
      </c>
      <c r="W185" s="16">
        <f>IFERROR(__xludf.DUMMYFUNCTION("""COMPUTED_VALUE"""),1.1)</f>
        <v>1.1</v>
      </c>
      <c r="X185" s="16">
        <f>IFERROR(__xludf.DUMMYFUNCTION("""COMPUTED_VALUE"""),1.6)</f>
        <v>1.6</v>
      </c>
      <c r="Y185" s="11">
        <f>IFERROR(__xludf.DUMMYFUNCTION("""COMPUTED_VALUE"""),2.0)</f>
        <v>2</v>
      </c>
      <c r="Z185" s="11">
        <f>IFERROR(__xludf.DUMMYFUNCTION("""COMPUTED_VALUE"""),0.0)</f>
        <v>0</v>
      </c>
      <c r="AA185" s="11">
        <f>IFERROR(__xludf.DUMMYFUNCTION("""COMPUTED_VALUE"""),0.0)</f>
        <v>0</v>
      </c>
      <c r="AB185" s="11">
        <f>IFERROR(__xludf.DUMMYFUNCTION("""COMPUTED_VALUE"""),1.0)</f>
        <v>1</v>
      </c>
      <c r="AC185" s="11">
        <f>IFERROR(__xludf.DUMMYFUNCTION("""COMPUTED_VALUE"""),8.0)</f>
        <v>8</v>
      </c>
      <c r="AD185" s="11">
        <f>IFERROR(__xludf.DUMMYFUNCTION("""COMPUTED_VALUE"""),17.0)</f>
        <v>17</v>
      </c>
    </row>
    <row r="186">
      <c r="A186" s="10" t="str">
        <f>IFERROR(__xludf.DUMMYFUNCTION("""COMPUTED_VALUE"""),"Challenger")</f>
        <v>Challenger</v>
      </c>
      <c r="B186" s="10" t="str">
        <f>IFERROR(__xludf.DUMMYFUNCTION("""COMPUTED_VALUE"""),"RSC003697")</f>
        <v>RSC003697</v>
      </c>
      <c r="C186" s="10" t="str">
        <f>IFERROR(__xludf.DUMMYFUNCTION("""COMPUTED_VALUE"""),"IBRN_Death")</f>
        <v>IBRN_Death</v>
      </c>
      <c r="D186" s="36" t="str">
        <f>IFERROR(__xludf.DUMMYFUNCTION("""COMPUTED_VALUE"""),"Blitzars")</f>
        <v>Blitzars</v>
      </c>
      <c r="E186" s="10" t="str">
        <f>IFERROR(__xludf.DUMMYFUNCTION("""COMPUTED_VALUE"""),"Lunar")</f>
        <v>Lunar</v>
      </c>
      <c r="F186" s="37">
        <f>IFERROR(__xludf.DUMMYFUNCTION("""COMPUTED_VALUE"""),20.2132865015075)</f>
        <v>20.2132865</v>
      </c>
      <c r="G186" s="38">
        <f>IFERROR(__xludf.DUMMYFUNCTION("""COMPUTED_VALUE"""),13.112186831039239)</f>
        <v>13.11218683</v>
      </c>
      <c r="H186" s="38">
        <f>IFERROR(__xludf.DUMMYFUNCTION("""COMPUTED_VALUE"""),16.662736666273368)</f>
        <v>16.66273667</v>
      </c>
      <c r="I186" s="14">
        <f>IFERROR(__xludf.DUMMYFUNCTION("""COMPUTED_VALUE"""),21.0)</f>
        <v>21</v>
      </c>
      <c r="J186" s="11">
        <f>IFERROR(__xludf.DUMMYFUNCTION("IFERROR(FILTER(Stats!$F:$Z,(Stats!$A:$A=$A186)*(Stats!$B:$B=$B186)))"),5.0)</f>
        <v>5</v>
      </c>
      <c r="K186" s="11">
        <f>IFERROR(__xludf.DUMMYFUNCTION("""COMPUTED_VALUE"""),16.0)</f>
        <v>16</v>
      </c>
      <c r="L186" s="12">
        <f>IFERROR(__xludf.DUMMYFUNCTION("""COMPUTED_VALUE"""),0.23809523809523808)</f>
        <v>0.2380952381</v>
      </c>
      <c r="M186" s="11">
        <f>IFERROR(__xludf.DUMMYFUNCTION("""COMPUTED_VALUE"""),1.0)</f>
        <v>1</v>
      </c>
      <c r="N186" s="11">
        <f>IFERROR(__xludf.DUMMYFUNCTION("""COMPUTED_VALUE"""),5946.0)</f>
        <v>5946</v>
      </c>
      <c r="O186" s="13">
        <f>IFERROR(__xludf.DUMMYFUNCTION("""COMPUTED_VALUE"""),10.0)</f>
        <v>10</v>
      </c>
      <c r="P186" s="14">
        <f>IFERROR(__xludf.DUMMYFUNCTION("""COMPUTED_VALUE"""),7.0)</f>
        <v>7</v>
      </c>
      <c r="Q186" s="13">
        <f>IFERROR(__xludf.DUMMYFUNCTION("""COMPUTED_VALUE"""),25.0)</f>
        <v>25</v>
      </c>
      <c r="R186" s="13">
        <f>IFERROR(__xludf.DUMMYFUNCTION("""COMPUTED_VALUE"""),46.0)</f>
        <v>46</v>
      </c>
      <c r="S186" s="15">
        <f>IFERROR(__xludf.DUMMYFUNCTION("""COMPUTED_VALUE"""),0.21739130434782608)</f>
        <v>0.2173913043</v>
      </c>
      <c r="T186" s="16">
        <f>IFERROR(__xludf.DUMMYFUNCTION("""COMPUTED_VALUE"""),283.14285714285717)</f>
        <v>283.1428571</v>
      </c>
      <c r="U186" s="16">
        <f>IFERROR(__xludf.DUMMYFUNCTION("""COMPUTED_VALUE"""),0.47619047619047616)</f>
        <v>0.4761904762</v>
      </c>
      <c r="V186" s="16">
        <f>IFERROR(__xludf.DUMMYFUNCTION("""COMPUTED_VALUE"""),0.3333333333333333)</f>
        <v>0.3333333333</v>
      </c>
      <c r="W186" s="16">
        <f>IFERROR(__xludf.DUMMYFUNCTION("""COMPUTED_VALUE"""),1.1904761904761905)</f>
        <v>1.19047619</v>
      </c>
      <c r="X186" s="16">
        <f>IFERROR(__xludf.DUMMYFUNCTION("""COMPUTED_VALUE"""),2.1904761904761907)</f>
        <v>2.19047619</v>
      </c>
      <c r="Y186" s="11">
        <f>IFERROR(__xludf.DUMMYFUNCTION("""COMPUTED_VALUE"""),2.0)</f>
        <v>2</v>
      </c>
      <c r="Z186" s="11">
        <f>IFERROR(__xludf.DUMMYFUNCTION("""COMPUTED_VALUE"""),1.0)</f>
        <v>1</v>
      </c>
      <c r="AA186" s="11">
        <f>IFERROR(__xludf.DUMMYFUNCTION("""COMPUTED_VALUE"""),1.0)</f>
        <v>1</v>
      </c>
      <c r="AB186" s="11">
        <f>IFERROR(__xludf.DUMMYFUNCTION("""COMPUTED_VALUE"""),2.0)</f>
        <v>2</v>
      </c>
      <c r="AC186" s="11">
        <f>IFERROR(__xludf.DUMMYFUNCTION("""COMPUTED_VALUE"""),24.0)</f>
        <v>24</v>
      </c>
      <c r="AD186" s="11">
        <f>IFERROR(__xludf.DUMMYFUNCTION("""COMPUTED_VALUE"""),21.0)</f>
        <v>21</v>
      </c>
    </row>
    <row r="187">
      <c r="A187" s="10" t="str">
        <f>IFERROR(__xludf.DUMMYFUNCTION("""COMPUTED_VALUE"""),"Challenger")</f>
        <v>Challenger</v>
      </c>
      <c r="B187" s="10" t="str">
        <f>IFERROR(__xludf.DUMMYFUNCTION("""COMPUTED_VALUE"""),"RSC007165")</f>
        <v>RSC007165</v>
      </c>
      <c r="C187" s="10" t="str">
        <f>IFERROR(__xludf.DUMMYFUNCTION("""COMPUTED_VALUE"""),"BRG")</f>
        <v>BRG</v>
      </c>
      <c r="D187" s="36" t="str">
        <f>IFERROR(__xludf.DUMMYFUNCTION("""COMPUTED_VALUE"""),"Corals
Havarti Hustlers")</f>
        <v>Corals
Havarti Hustlers</v>
      </c>
      <c r="E187" s="10" t="str">
        <f>IFERROR(__xludf.DUMMYFUNCTION("""COMPUTED_VALUE"""),"Lunar
Lunar")</f>
        <v>Lunar
Lunar</v>
      </c>
      <c r="F187" s="37">
        <f>IFERROR(__xludf.DUMMYFUNCTION("""COMPUTED_VALUE"""),19.647583719396344)</f>
        <v>19.64758372</v>
      </c>
      <c r="G187" s="38">
        <f>IFERROR(__xludf.DUMMYFUNCTION("""COMPUTED_VALUE"""),12.255793167189836)</f>
        <v>12.25579317</v>
      </c>
      <c r="H187" s="38">
        <f>IFERROR(__xludf.DUMMYFUNCTION("""COMPUTED_VALUE"""),15.95168844329309)</f>
        <v>15.95168844</v>
      </c>
      <c r="I187" s="14">
        <f>IFERROR(__xludf.DUMMYFUNCTION("""COMPUTED_VALUE"""),40.0)</f>
        <v>40</v>
      </c>
      <c r="J187" s="11">
        <f>IFERROR(__xludf.DUMMYFUNCTION("IFERROR(FILTER(Stats!$F:$Z,(Stats!$A:$A=$A187)*(Stats!$B:$B=$B187)))"),12.0)</f>
        <v>12</v>
      </c>
      <c r="K187" s="11">
        <f>IFERROR(__xludf.DUMMYFUNCTION("""COMPUTED_VALUE"""),28.0)</f>
        <v>28</v>
      </c>
      <c r="L187" s="12">
        <f>IFERROR(__xludf.DUMMYFUNCTION("""COMPUTED_VALUE"""),0.3)</f>
        <v>0.3</v>
      </c>
      <c r="M187" s="11">
        <f>IFERROR(__xludf.DUMMYFUNCTION("""COMPUTED_VALUE"""),3.0)</f>
        <v>3</v>
      </c>
      <c r="N187" s="11">
        <f>IFERROR(__xludf.DUMMYFUNCTION("""COMPUTED_VALUE"""),11074.0)</f>
        <v>11074</v>
      </c>
      <c r="O187" s="13">
        <f>IFERROR(__xludf.DUMMYFUNCTION("""COMPUTED_VALUE"""),17.0)</f>
        <v>17</v>
      </c>
      <c r="P187" s="14">
        <f>IFERROR(__xludf.DUMMYFUNCTION("""COMPUTED_VALUE"""),13.0)</f>
        <v>13</v>
      </c>
      <c r="Q187" s="13">
        <f>IFERROR(__xludf.DUMMYFUNCTION("""COMPUTED_VALUE"""),62.0)</f>
        <v>62</v>
      </c>
      <c r="R187" s="13">
        <f>IFERROR(__xludf.DUMMYFUNCTION("""COMPUTED_VALUE"""),66.0)</f>
        <v>66</v>
      </c>
      <c r="S187" s="15">
        <f>IFERROR(__xludf.DUMMYFUNCTION("""COMPUTED_VALUE"""),0.25757575757575757)</f>
        <v>0.2575757576</v>
      </c>
      <c r="T187" s="16">
        <f>IFERROR(__xludf.DUMMYFUNCTION("""COMPUTED_VALUE"""),276.85)</f>
        <v>276.85</v>
      </c>
      <c r="U187" s="16">
        <f>IFERROR(__xludf.DUMMYFUNCTION("""COMPUTED_VALUE"""),0.425)</f>
        <v>0.425</v>
      </c>
      <c r="V187" s="16">
        <f>IFERROR(__xludf.DUMMYFUNCTION("""COMPUTED_VALUE"""),0.325)</f>
        <v>0.325</v>
      </c>
      <c r="W187" s="16">
        <f>IFERROR(__xludf.DUMMYFUNCTION("""COMPUTED_VALUE"""),1.55)</f>
        <v>1.55</v>
      </c>
      <c r="X187" s="16">
        <f>IFERROR(__xludf.DUMMYFUNCTION("""COMPUTED_VALUE"""),1.65)</f>
        <v>1.65</v>
      </c>
      <c r="Y187" s="11">
        <f>IFERROR(__xludf.DUMMYFUNCTION("""COMPUTED_VALUE"""),2.0)</f>
        <v>2</v>
      </c>
      <c r="Z187" s="11">
        <f>IFERROR(__xludf.DUMMYFUNCTION("""COMPUTED_VALUE"""),0.0)</f>
        <v>0</v>
      </c>
      <c r="AA187" s="11">
        <f>IFERROR(__xludf.DUMMYFUNCTION("""COMPUTED_VALUE"""),1.0)</f>
        <v>1</v>
      </c>
      <c r="AB187" s="11">
        <f>IFERROR(__xludf.DUMMYFUNCTION("""COMPUTED_VALUE"""),7.0)</f>
        <v>7</v>
      </c>
      <c r="AC187" s="11">
        <f>IFERROR(__xludf.DUMMYFUNCTION("""COMPUTED_VALUE"""),20.0)</f>
        <v>20</v>
      </c>
      <c r="AD187" s="11">
        <f>IFERROR(__xludf.DUMMYFUNCTION("""COMPUTED_VALUE"""),42.0)</f>
        <v>42</v>
      </c>
    </row>
    <row r="188">
      <c r="A188" s="10" t="str">
        <f>IFERROR(__xludf.DUMMYFUNCTION("""COMPUTED_VALUE"""),"Challenger")</f>
        <v>Challenger</v>
      </c>
      <c r="B188" s="10" t="str">
        <f>IFERROR(__xludf.DUMMYFUNCTION("""COMPUTED_VALUE"""),"RSC002511")</f>
        <v>RSC002511</v>
      </c>
      <c r="C188" s="10" t="str">
        <f>IFERROR(__xludf.DUMMYFUNCTION("""COMPUTED_VALUE"""),"Moist_Games")</f>
        <v>Moist_Games</v>
      </c>
      <c r="D188" s="36" t="str">
        <f>IFERROR(__xludf.DUMMYFUNCTION("""COMPUTED_VALUE"""),"Gold Hoarders")</f>
        <v>Gold Hoarders</v>
      </c>
      <c r="E188" s="10" t="str">
        <f>IFERROR(__xludf.DUMMYFUNCTION("""COMPUTED_VALUE"""),"Lunar")</f>
        <v>Lunar</v>
      </c>
      <c r="F188" s="37">
        <f>IFERROR(__xludf.DUMMYFUNCTION("""COMPUTED_VALUE"""),28.493291152882904)</f>
        <v>28.49329115</v>
      </c>
      <c r="G188" s="38">
        <f>IFERROR(__xludf.DUMMYFUNCTION("""COMPUTED_VALUE"""),-0.9295675685467089)</f>
        <v>-0.9295675685</v>
      </c>
      <c r="H188" s="38">
        <f>IFERROR(__xludf.DUMMYFUNCTION("""COMPUTED_VALUE"""),13.781861792168097)</f>
        <v>13.78186179</v>
      </c>
      <c r="I188" s="14">
        <f>IFERROR(__xludf.DUMMYFUNCTION("""COMPUTED_VALUE"""),10.0)</f>
        <v>10</v>
      </c>
      <c r="J188" s="11">
        <f>IFERROR(__xludf.DUMMYFUNCTION("IFERROR(FILTER(Stats!$F:$Z,(Stats!$A:$A=$A188)*(Stats!$B:$B=$B188)))"),4.0)</f>
        <v>4</v>
      </c>
      <c r="K188" s="11">
        <f>IFERROR(__xludf.DUMMYFUNCTION("""COMPUTED_VALUE"""),6.0)</f>
        <v>6</v>
      </c>
      <c r="L188" s="12">
        <f>IFERROR(__xludf.DUMMYFUNCTION("""COMPUTED_VALUE"""),0.4)</f>
        <v>0.4</v>
      </c>
      <c r="M188" s="11">
        <f>IFERROR(__xludf.DUMMYFUNCTION("""COMPUTED_VALUE"""),1.0)</f>
        <v>1</v>
      </c>
      <c r="N188" s="11">
        <f>IFERROR(__xludf.DUMMYFUNCTION("""COMPUTED_VALUE"""),2655.0)</f>
        <v>2655</v>
      </c>
      <c r="O188" s="13">
        <f>IFERROR(__xludf.DUMMYFUNCTION("""COMPUTED_VALUE"""),4.0)</f>
        <v>4</v>
      </c>
      <c r="P188" s="14">
        <f>IFERROR(__xludf.DUMMYFUNCTION("""COMPUTED_VALUE"""),0.0)</f>
        <v>0</v>
      </c>
      <c r="Q188" s="13">
        <f>IFERROR(__xludf.DUMMYFUNCTION("""COMPUTED_VALUE"""),13.0)</f>
        <v>13</v>
      </c>
      <c r="R188" s="13">
        <f>IFERROR(__xludf.DUMMYFUNCTION("""COMPUTED_VALUE"""),23.0)</f>
        <v>23</v>
      </c>
      <c r="S188" s="15">
        <f>IFERROR(__xludf.DUMMYFUNCTION("""COMPUTED_VALUE"""),0.17391304347826086)</f>
        <v>0.1739130435</v>
      </c>
      <c r="T188" s="16">
        <f>IFERROR(__xludf.DUMMYFUNCTION("""COMPUTED_VALUE"""),265.5)</f>
        <v>265.5</v>
      </c>
      <c r="U188" s="16">
        <f>IFERROR(__xludf.DUMMYFUNCTION("""COMPUTED_VALUE"""),0.4)</f>
        <v>0.4</v>
      </c>
      <c r="V188" s="16">
        <f>IFERROR(__xludf.DUMMYFUNCTION("""COMPUTED_VALUE"""),0.0)</f>
        <v>0</v>
      </c>
      <c r="W188" s="16">
        <f>IFERROR(__xludf.DUMMYFUNCTION("""COMPUTED_VALUE"""),1.3)</f>
        <v>1.3</v>
      </c>
      <c r="X188" s="16">
        <f>IFERROR(__xludf.DUMMYFUNCTION("""COMPUTED_VALUE"""),2.3)</f>
        <v>2.3</v>
      </c>
      <c r="Y188" s="11">
        <f>IFERROR(__xludf.DUMMYFUNCTION("""COMPUTED_VALUE"""),0.0)</f>
        <v>0</v>
      </c>
      <c r="Z188" s="11">
        <f>IFERROR(__xludf.DUMMYFUNCTION("""COMPUTED_VALUE"""),0.0)</f>
        <v>0</v>
      </c>
      <c r="AA188" s="11">
        <f>IFERROR(__xludf.DUMMYFUNCTION("""COMPUTED_VALUE"""),0.0)</f>
        <v>0</v>
      </c>
      <c r="AB188" s="11">
        <f>IFERROR(__xludf.DUMMYFUNCTION("""COMPUTED_VALUE"""),1.0)</f>
        <v>1</v>
      </c>
      <c r="AC188" s="11">
        <f>IFERROR(__xludf.DUMMYFUNCTION("""COMPUTED_VALUE"""),15.0)</f>
        <v>15</v>
      </c>
      <c r="AD188" s="11">
        <f>IFERROR(__xludf.DUMMYFUNCTION("""COMPUTED_VALUE"""),13.0)</f>
        <v>13</v>
      </c>
    </row>
    <row r="189">
      <c r="A189" s="10" t="str">
        <f>IFERROR(__xludf.DUMMYFUNCTION("""COMPUTED_VALUE"""),"Challenger")</f>
        <v>Challenger</v>
      </c>
      <c r="B189" s="10" t="str">
        <f>IFERROR(__xludf.DUMMYFUNCTION("""COMPUTED_VALUE"""),"RSC007955")</f>
        <v>RSC007955</v>
      </c>
      <c r="C189" s="10" t="str">
        <f>IFERROR(__xludf.DUMMYFUNCTION("""COMPUTED_VALUE"""),"JonathanVanDyk")</f>
        <v>JonathanVanDyk</v>
      </c>
      <c r="D189" s="36" t="str">
        <f>IFERROR(__xludf.DUMMYFUNCTION("""COMPUTED_VALUE"""),"Threshers")</f>
        <v>Threshers</v>
      </c>
      <c r="E189" s="10" t="str">
        <f>IFERROR(__xludf.DUMMYFUNCTION("""COMPUTED_VALUE"""),"Solar")</f>
        <v>Solar</v>
      </c>
      <c r="F189" s="37">
        <f>IFERROR(__xludf.DUMMYFUNCTION("""COMPUTED_VALUE"""),12.927939831007365)</f>
        <v>12.92793983</v>
      </c>
      <c r="G189" s="38">
        <f>IFERROR(__xludf.DUMMYFUNCTION("""COMPUTED_VALUE"""),1.4705455561205696)</f>
        <v>1.470545556</v>
      </c>
      <c r="H189" s="38">
        <f>IFERROR(__xludf.DUMMYFUNCTION("""COMPUTED_VALUE"""),7.199242693563967)</f>
        <v>7.199242694</v>
      </c>
      <c r="I189" s="14">
        <f>IFERROR(__xludf.DUMMYFUNCTION("""COMPUTED_VALUE"""),16.0)</f>
        <v>16</v>
      </c>
      <c r="J189" s="11">
        <f>IFERROR(__xludf.DUMMYFUNCTION("IFERROR(FILTER(Stats!$F:$Z,(Stats!$A:$A=$A189)*(Stats!$B:$B=$B189)))"),7.0)</f>
        <v>7</v>
      </c>
      <c r="K189" s="11">
        <f>IFERROR(__xludf.DUMMYFUNCTION("""COMPUTED_VALUE"""),9.0)</f>
        <v>9</v>
      </c>
      <c r="L189" s="12">
        <f>IFERROR(__xludf.DUMMYFUNCTION("""COMPUTED_VALUE"""),0.4375)</f>
        <v>0.4375</v>
      </c>
      <c r="M189" s="11">
        <f>IFERROR(__xludf.DUMMYFUNCTION("""COMPUTED_VALUE"""),1.0)</f>
        <v>1</v>
      </c>
      <c r="N189" s="11">
        <f>IFERROR(__xludf.DUMMYFUNCTION("""COMPUTED_VALUE"""),3882.0)</f>
        <v>3882</v>
      </c>
      <c r="O189" s="13">
        <f>IFERROR(__xludf.DUMMYFUNCTION("""COMPUTED_VALUE"""),7.0)</f>
        <v>7</v>
      </c>
      <c r="P189" s="14">
        <f>IFERROR(__xludf.DUMMYFUNCTION("""COMPUTED_VALUE"""),2.0)</f>
        <v>2</v>
      </c>
      <c r="Q189" s="13">
        <f>IFERROR(__xludf.DUMMYFUNCTION("""COMPUTED_VALUE"""),19.0)</f>
        <v>19</v>
      </c>
      <c r="R189" s="13">
        <f>IFERROR(__xludf.DUMMYFUNCTION("""COMPUTED_VALUE"""),25.0)</f>
        <v>25</v>
      </c>
      <c r="S189" s="15">
        <f>IFERROR(__xludf.DUMMYFUNCTION("""COMPUTED_VALUE"""),0.28)</f>
        <v>0.28</v>
      </c>
      <c r="T189" s="16">
        <f>IFERROR(__xludf.DUMMYFUNCTION("""COMPUTED_VALUE"""),242.625)</f>
        <v>242.625</v>
      </c>
      <c r="U189" s="16">
        <f>IFERROR(__xludf.DUMMYFUNCTION("""COMPUTED_VALUE"""),0.4375)</f>
        <v>0.4375</v>
      </c>
      <c r="V189" s="16">
        <f>IFERROR(__xludf.DUMMYFUNCTION("""COMPUTED_VALUE"""),0.125)</f>
        <v>0.125</v>
      </c>
      <c r="W189" s="16">
        <f>IFERROR(__xludf.DUMMYFUNCTION("""COMPUTED_VALUE"""),1.1875)</f>
        <v>1.1875</v>
      </c>
      <c r="X189" s="16">
        <f>IFERROR(__xludf.DUMMYFUNCTION("""COMPUTED_VALUE"""),1.5625)</f>
        <v>1.5625</v>
      </c>
      <c r="Y189" s="11">
        <f>IFERROR(__xludf.DUMMYFUNCTION("""COMPUTED_VALUE"""),0.0)</f>
        <v>0</v>
      </c>
      <c r="Z189" s="11">
        <f>IFERROR(__xludf.DUMMYFUNCTION("""COMPUTED_VALUE"""),0.0)</f>
        <v>0</v>
      </c>
      <c r="AA189" s="11">
        <f>IFERROR(__xludf.DUMMYFUNCTION("""COMPUTED_VALUE"""),0.0)</f>
        <v>0</v>
      </c>
      <c r="AB189" s="11">
        <f>IFERROR(__xludf.DUMMYFUNCTION("""COMPUTED_VALUE"""),3.0)</f>
        <v>3</v>
      </c>
      <c r="AC189" s="11">
        <f>IFERROR(__xludf.DUMMYFUNCTION("""COMPUTED_VALUE"""),8.0)</f>
        <v>8</v>
      </c>
      <c r="AD189" s="11">
        <f>IFERROR(__xludf.DUMMYFUNCTION("""COMPUTED_VALUE"""),11.0)</f>
        <v>11</v>
      </c>
    </row>
    <row r="190">
      <c r="A190" s="10" t="str">
        <f>IFERROR(__xludf.DUMMYFUNCTION("""COMPUTED_VALUE"""),"Challenger")</f>
        <v>Challenger</v>
      </c>
      <c r="B190" s="10" t="str">
        <f>IFERROR(__xludf.DUMMYFUNCTION("""COMPUTED_VALUE"""),"RSC008176")</f>
        <v>RSC008176</v>
      </c>
      <c r="C190" s="10" t="str">
        <f>IFERROR(__xludf.DUMMYFUNCTION("""COMPUTED_VALUE"""),"xLunarWolfx")</f>
        <v>xLunarWolfx</v>
      </c>
      <c r="D190" s="36" t="str">
        <f>IFERROR(__xludf.DUMMYFUNCTION("""COMPUTED_VALUE"""),"Toucans")</f>
        <v>Toucans</v>
      </c>
      <c r="E190" s="10" t="str">
        <f>IFERROR(__xludf.DUMMYFUNCTION("""COMPUTED_VALUE"""),"Solar")</f>
        <v>Solar</v>
      </c>
      <c r="F190" s="37">
        <f>IFERROR(__xludf.DUMMYFUNCTION("""COMPUTED_VALUE"""),16.51761695690761)</f>
        <v>16.51761696</v>
      </c>
      <c r="G190" s="38">
        <f>IFERROR(__xludf.DUMMYFUNCTION("""COMPUTED_VALUE"""),-4.249197383262093)</f>
        <v>-4.249197383</v>
      </c>
      <c r="H190" s="38">
        <f>IFERROR(__xludf.DUMMYFUNCTION("""COMPUTED_VALUE"""),6.134209786822758)</f>
        <v>6.134209787</v>
      </c>
      <c r="I190" s="14">
        <f>IFERROR(__xludf.DUMMYFUNCTION("""COMPUTED_VALUE"""),37.0)</f>
        <v>37</v>
      </c>
      <c r="J190" s="11">
        <f>IFERROR(__xludf.DUMMYFUNCTION("IFERROR(FILTER(Stats!$F:$Z,(Stats!$A:$A=$A190)*(Stats!$B:$B=$B190)))"),9.0)</f>
        <v>9</v>
      </c>
      <c r="K190" s="11">
        <f>IFERROR(__xludf.DUMMYFUNCTION("""COMPUTED_VALUE"""),28.0)</f>
        <v>28</v>
      </c>
      <c r="L190" s="12">
        <f>IFERROR(__xludf.DUMMYFUNCTION("""COMPUTED_VALUE"""),0.24324324324324326)</f>
        <v>0.2432432432</v>
      </c>
      <c r="M190" s="11">
        <f>IFERROR(__xludf.DUMMYFUNCTION("""COMPUTED_VALUE"""),2.0)</f>
        <v>2</v>
      </c>
      <c r="N190" s="11">
        <f>IFERROR(__xludf.DUMMYFUNCTION("""COMPUTED_VALUE"""),10024.0)</f>
        <v>10024</v>
      </c>
      <c r="O190" s="13">
        <f>IFERROR(__xludf.DUMMYFUNCTION("""COMPUTED_VALUE"""),14.0)</f>
        <v>14</v>
      </c>
      <c r="P190" s="14">
        <f>IFERROR(__xludf.DUMMYFUNCTION("""COMPUTED_VALUE"""),11.0)</f>
        <v>11</v>
      </c>
      <c r="Q190" s="13">
        <f>IFERROR(__xludf.DUMMYFUNCTION("""COMPUTED_VALUE"""),54.0)</f>
        <v>54</v>
      </c>
      <c r="R190" s="13">
        <f>IFERROR(__xludf.DUMMYFUNCTION("""COMPUTED_VALUE"""),47.0)</f>
        <v>47</v>
      </c>
      <c r="S190" s="15">
        <f>IFERROR(__xludf.DUMMYFUNCTION("""COMPUTED_VALUE"""),0.2978723404255319)</f>
        <v>0.2978723404</v>
      </c>
      <c r="T190" s="16">
        <f>IFERROR(__xludf.DUMMYFUNCTION("""COMPUTED_VALUE"""),270.9189189189189)</f>
        <v>270.9189189</v>
      </c>
      <c r="U190" s="16">
        <f>IFERROR(__xludf.DUMMYFUNCTION("""COMPUTED_VALUE"""),0.3783783783783784)</f>
        <v>0.3783783784</v>
      </c>
      <c r="V190" s="16">
        <f>IFERROR(__xludf.DUMMYFUNCTION("""COMPUTED_VALUE"""),0.2972972972972973)</f>
        <v>0.2972972973</v>
      </c>
      <c r="W190" s="16">
        <f>IFERROR(__xludf.DUMMYFUNCTION("""COMPUTED_VALUE"""),1.4594594594594594)</f>
        <v>1.459459459</v>
      </c>
      <c r="X190" s="16">
        <f>IFERROR(__xludf.DUMMYFUNCTION("""COMPUTED_VALUE"""),1.2702702702702702)</f>
        <v>1.27027027</v>
      </c>
      <c r="Y190" s="11">
        <f>IFERROR(__xludf.DUMMYFUNCTION("""COMPUTED_VALUE"""),3.0)</f>
        <v>3</v>
      </c>
      <c r="Z190" s="11">
        <f>IFERROR(__xludf.DUMMYFUNCTION("""COMPUTED_VALUE"""),1.0)</f>
        <v>1</v>
      </c>
      <c r="AA190" s="11">
        <f>IFERROR(__xludf.DUMMYFUNCTION("""COMPUTED_VALUE"""),0.0)</f>
        <v>0</v>
      </c>
      <c r="AB190" s="11">
        <f>IFERROR(__xludf.DUMMYFUNCTION("""COMPUTED_VALUE"""),7.0)</f>
        <v>7</v>
      </c>
      <c r="AC190" s="11">
        <f>IFERROR(__xludf.DUMMYFUNCTION("""COMPUTED_VALUE"""),20.0)</f>
        <v>20</v>
      </c>
      <c r="AD190" s="11">
        <f>IFERROR(__xludf.DUMMYFUNCTION("""COMPUTED_VALUE"""),44.0)</f>
        <v>44</v>
      </c>
    </row>
    <row r="191">
      <c r="A191" s="10" t="str">
        <f>IFERROR(__xludf.DUMMYFUNCTION("""COMPUTED_VALUE"""),"Challenger")</f>
        <v>Challenger</v>
      </c>
      <c r="B191" s="10" t="str">
        <f>IFERROR(__xludf.DUMMYFUNCTION("""COMPUTED_VALUE"""),"RSC002911")</f>
        <v>RSC002911</v>
      </c>
      <c r="C191" s="10" t="str">
        <f>IFERROR(__xludf.DUMMYFUNCTION("""COMPUTED_VALUE"""),"Alextross")</f>
        <v>Alextross</v>
      </c>
      <c r="D191" s="36" t="str">
        <f>IFERROR(__xludf.DUMMYFUNCTION("""COMPUTED_VALUE"""),"Meat Lovers")</f>
        <v>Meat Lovers</v>
      </c>
      <c r="E191" s="10" t="str">
        <f>IFERROR(__xludf.DUMMYFUNCTION("""COMPUTED_VALUE"""),"Lunar")</f>
        <v>Lunar</v>
      </c>
      <c r="F191" s="37">
        <f>IFERROR(__xludf.DUMMYFUNCTION("""COMPUTED_VALUE"""),20.53105190288803)</f>
        <v>20.5310519</v>
      </c>
      <c r="G191" s="38">
        <f>IFERROR(__xludf.DUMMYFUNCTION("""COMPUTED_VALUE"""),-15.764148760880005)</f>
        <v>-15.76414876</v>
      </c>
      <c r="H191" s="38">
        <f>IFERROR(__xludf.DUMMYFUNCTION("""COMPUTED_VALUE"""),2.383451571004013)</f>
        <v>2.383451571</v>
      </c>
      <c r="I191" s="14">
        <f>IFERROR(__xludf.DUMMYFUNCTION("""COMPUTED_VALUE"""),1.0)</f>
        <v>1</v>
      </c>
      <c r="J191" s="11">
        <f>IFERROR(__xludf.DUMMYFUNCTION("IFERROR(FILTER(Stats!$F:$Z,(Stats!$A:$A=$A191)*(Stats!$B:$B=$B191)))"),0.0)</f>
        <v>0</v>
      </c>
      <c r="K191" s="11">
        <f>IFERROR(__xludf.DUMMYFUNCTION("""COMPUTED_VALUE"""),1.0)</f>
        <v>1</v>
      </c>
      <c r="L191" s="12">
        <f>IFERROR(__xludf.DUMMYFUNCTION("""COMPUTED_VALUE"""),0.0)</f>
        <v>0</v>
      </c>
      <c r="M191" s="11">
        <f>IFERROR(__xludf.DUMMYFUNCTION("""COMPUTED_VALUE"""),0.0)</f>
        <v>0</v>
      </c>
      <c r="N191" s="11">
        <f>IFERROR(__xludf.DUMMYFUNCTION("""COMPUTED_VALUE"""),532.0)</f>
        <v>532</v>
      </c>
      <c r="O191" s="13">
        <f>IFERROR(__xludf.DUMMYFUNCTION("""COMPUTED_VALUE"""),1.0)</f>
        <v>1</v>
      </c>
      <c r="P191" s="14">
        <f>IFERROR(__xludf.DUMMYFUNCTION("""COMPUTED_VALUE"""),0.0)</f>
        <v>0</v>
      </c>
      <c r="Q191" s="13">
        <f>IFERROR(__xludf.DUMMYFUNCTION("""COMPUTED_VALUE"""),4.0)</f>
        <v>4</v>
      </c>
      <c r="R191" s="13">
        <f>IFERROR(__xludf.DUMMYFUNCTION("""COMPUTED_VALUE"""),3.0)</f>
        <v>3</v>
      </c>
      <c r="S191" s="15">
        <f>IFERROR(__xludf.DUMMYFUNCTION("""COMPUTED_VALUE"""),0.3333333333333333)</f>
        <v>0.3333333333</v>
      </c>
      <c r="T191" s="16">
        <f>IFERROR(__xludf.DUMMYFUNCTION("""COMPUTED_VALUE"""),532.0)</f>
        <v>532</v>
      </c>
      <c r="U191" s="16">
        <f>IFERROR(__xludf.DUMMYFUNCTION("""COMPUTED_VALUE"""),1.0)</f>
        <v>1</v>
      </c>
      <c r="V191" s="16">
        <f>IFERROR(__xludf.DUMMYFUNCTION("""COMPUTED_VALUE"""),0.0)</f>
        <v>0</v>
      </c>
      <c r="W191" s="16">
        <f>IFERROR(__xludf.DUMMYFUNCTION("""COMPUTED_VALUE"""),4.0)</f>
        <v>4</v>
      </c>
      <c r="X191" s="16">
        <f>IFERROR(__xludf.DUMMYFUNCTION("""COMPUTED_VALUE"""),3.0)</f>
        <v>3</v>
      </c>
      <c r="Y191" s="11">
        <f>IFERROR(__xludf.DUMMYFUNCTION("""COMPUTED_VALUE"""),0.0)</f>
        <v>0</v>
      </c>
      <c r="Z191" s="11">
        <f>IFERROR(__xludf.DUMMYFUNCTION("""COMPUTED_VALUE"""),0.0)</f>
        <v>0</v>
      </c>
      <c r="AA191" s="11">
        <f>IFERROR(__xludf.DUMMYFUNCTION("""COMPUTED_VALUE"""),0.0)</f>
        <v>0</v>
      </c>
      <c r="AB191" s="11">
        <f>IFERROR(__xludf.DUMMYFUNCTION("""COMPUTED_VALUE"""),1.0)</f>
        <v>1</v>
      </c>
      <c r="AC191" s="11">
        <f>IFERROR(__xludf.DUMMYFUNCTION("""COMPUTED_VALUE"""),0.0)</f>
        <v>0</v>
      </c>
      <c r="AD191" s="11">
        <f>IFERROR(__xludf.DUMMYFUNCTION("""COMPUTED_VALUE"""),1.0)</f>
        <v>1</v>
      </c>
    </row>
    <row r="192">
      <c r="A192" s="10" t="str">
        <f>IFERROR(__xludf.DUMMYFUNCTION("""COMPUTED_VALUE"""),"Challenger")</f>
        <v>Challenger</v>
      </c>
      <c r="B192" s="10" t="str">
        <f>IFERROR(__xludf.DUMMYFUNCTION("""COMPUTED_VALUE"""),"RSC002633")</f>
        <v>RSC002633</v>
      </c>
      <c r="C192" s="10" t="str">
        <f>IFERROR(__xludf.DUMMYFUNCTION("""COMPUTED_VALUE"""),"Gaboon")</f>
        <v>Gaboon</v>
      </c>
      <c r="D192" s="36" t="str">
        <f>IFERROR(__xludf.DUMMYFUNCTION("""COMPUTED_VALUE"""),"Manticore")</f>
        <v>Manticore</v>
      </c>
      <c r="E192" s="10" t="str">
        <f>IFERROR(__xludf.DUMMYFUNCTION("""COMPUTED_VALUE"""),"Solar")</f>
        <v>Solar</v>
      </c>
      <c r="F192" s="37">
        <f>IFERROR(__xludf.DUMMYFUNCTION("""COMPUTED_VALUE"""),-4.29994855522029)</f>
        <v>-4.299948555</v>
      </c>
      <c r="G192" s="38">
        <f>IFERROR(__xludf.DUMMYFUNCTION("""COMPUTED_VALUE"""),5.264479656244653)</f>
        <v>5.264479656</v>
      </c>
      <c r="H192" s="38">
        <f>IFERROR(__xludf.DUMMYFUNCTION("""COMPUTED_VALUE"""),0.48226555051218156)</f>
        <v>0.4822655505</v>
      </c>
      <c r="I192" s="14">
        <f>IFERROR(__xludf.DUMMYFUNCTION("""COMPUTED_VALUE"""),4.0)</f>
        <v>4</v>
      </c>
      <c r="J192" s="11">
        <f>IFERROR(__xludf.DUMMYFUNCTION("IFERROR(FILTER(Stats!$F:$Z,(Stats!$A:$A=$A192)*(Stats!$B:$B=$B192)))"),1.0)</f>
        <v>1</v>
      </c>
      <c r="K192" s="11">
        <f>IFERROR(__xludf.DUMMYFUNCTION("""COMPUTED_VALUE"""),3.0)</f>
        <v>3</v>
      </c>
      <c r="L192" s="12">
        <f>IFERROR(__xludf.DUMMYFUNCTION("""COMPUTED_VALUE"""),0.25)</f>
        <v>0.25</v>
      </c>
      <c r="M192" s="11">
        <f>IFERROR(__xludf.DUMMYFUNCTION("""COMPUTED_VALUE"""),1.0)</f>
        <v>1</v>
      </c>
      <c r="N192" s="11">
        <f>IFERROR(__xludf.DUMMYFUNCTION("""COMPUTED_VALUE"""),782.0)</f>
        <v>782</v>
      </c>
      <c r="O192" s="13">
        <f>IFERROR(__xludf.DUMMYFUNCTION("""COMPUTED_VALUE"""),2.0)</f>
        <v>2</v>
      </c>
      <c r="P192" s="14">
        <f>IFERROR(__xludf.DUMMYFUNCTION("""COMPUTED_VALUE"""),1.0)</f>
        <v>1</v>
      </c>
      <c r="Q192" s="13">
        <f>IFERROR(__xludf.DUMMYFUNCTION("""COMPUTED_VALUE"""),2.0)</f>
        <v>2</v>
      </c>
      <c r="R192" s="13">
        <f>IFERROR(__xludf.DUMMYFUNCTION("""COMPUTED_VALUE"""),6.0)</f>
        <v>6</v>
      </c>
      <c r="S192" s="15">
        <f>IFERROR(__xludf.DUMMYFUNCTION("""COMPUTED_VALUE"""),0.3333333333333333)</f>
        <v>0.3333333333</v>
      </c>
      <c r="T192" s="16">
        <f>IFERROR(__xludf.DUMMYFUNCTION("""COMPUTED_VALUE"""),195.5)</f>
        <v>195.5</v>
      </c>
      <c r="U192" s="16">
        <f>IFERROR(__xludf.DUMMYFUNCTION("""COMPUTED_VALUE"""),0.5)</f>
        <v>0.5</v>
      </c>
      <c r="V192" s="16">
        <f>IFERROR(__xludf.DUMMYFUNCTION("""COMPUTED_VALUE"""),0.25)</f>
        <v>0.25</v>
      </c>
      <c r="W192" s="16">
        <f>IFERROR(__xludf.DUMMYFUNCTION("""COMPUTED_VALUE"""),0.5)</f>
        <v>0.5</v>
      </c>
      <c r="X192" s="16">
        <f>IFERROR(__xludf.DUMMYFUNCTION("""COMPUTED_VALUE"""),1.5)</f>
        <v>1.5</v>
      </c>
      <c r="Y192" s="11">
        <f>IFERROR(__xludf.DUMMYFUNCTION("""COMPUTED_VALUE"""),1.0)</f>
        <v>1</v>
      </c>
      <c r="Z192" s="11">
        <f>IFERROR(__xludf.DUMMYFUNCTION("""COMPUTED_VALUE"""),0.0)</f>
        <v>0</v>
      </c>
      <c r="AA192" s="11">
        <f>IFERROR(__xludf.DUMMYFUNCTION("""COMPUTED_VALUE"""),0.0)</f>
        <v>0</v>
      </c>
      <c r="AB192" s="11">
        <f>IFERROR(__xludf.DUMMYFUNCTION("""COMPUTED_VALUE"""),0.0)</f>
        <v>0</v>
      </c>
      <c r="AC192" s="11">
        <f>IFERROR(__xludf.DUMMYFUNCTION("""COMPUTED_VALUE"""),3.0)</f>
        <v>3</v>
      </c>
      <c r="AD192" s="11">
        <f>IFERROR(__xludf.DUMMYFUNCTION("""COMPUTED_VALUE"""),4.0)</f>
        <v>4</v>
      </c>
    </row>
    <row r="193">
      <c r="A193" s="10" t="str">
        <f>IFERROR(__xludf.DUMMYFUNCTION("""COMPUTED_VALUE"""),"Challenger")</f>
        <v>Challenger</v>
      </c>
      <c r="B193" s="10" t="str">
        <f>IFERROR(__xludf.DUMMYFUNCTION("""COMPUTED_VALUE"""),"RSC007271")</f>
        <v>RSC007271</v>
      </c>
      <c r="C193" s="10" t="str">
        <f>IFERROR(__xludf.DUMMYFUNCTION("""COMPUTED_VALUE"""),"Unc Darth")</f>
        <v>Unc Darth</v>
      </c>
      <c r="D193" s="36" t="str">
        <f>IFERROR(__xludf.DUMMYFUNCTION("""COMPUTED_VALUE"""),"Warthogs
Gold Hoarders")</f>
        <v>Warthogs
Gold Hoarders</v>
      </c>
      <c r="E193" s="10" t="str">
        <f>IFERROR(__xludf.DUMMYFUNCTION("""COMPUTED_VALUE"""),"Lunar
Lunar")</f>
        <v>Lunar
Lunar</v>
      </c>
      <c r="F193" s="37">
        <f>IFERROR(__xludf.DUMMYFUNCTION("""COMPUTED_VALUE"""),7.073437410730968)</f>
        <v>7.073437411</v>
      </c>
      <c r="G193" s="38">
        <f>IFERROR(__xludf.DUMMYFUNCTION("""COMPUTED_VALUE"""),-11.26100020555588)</f>
        <v>-11.26100021</v>
      </c>
      <c r="H193" s="38">
        <f>IFERROR(__xludf.DUMMYFUNCTION("""COMPUTED_VALUE"""),-2.0937813974124566)</f>
        <v>-2.093781397</v>
      </c>
      <c r="I193" s="14">
        <f>IFERROR(__xludf.DUMMYFUNCTION("""COMPUTED_VALUE"""),18.0)</f>
        <v>18</v>
      </c>
      <c r="J193" s="11">
        <f>IFERROR(__xludf.DUMMYFUNCTION("IFERROR(FILTER(Stats!$F:$Z,(Stats!$A:$A=$A193)*(Stats!$B:$B=$B193)))"),5.0)</f>
        <v>5</v>
      </c>
      <c r="K193" s="11">
        <f>IFERROR(__xludf.DUMMYFUNCTION("""COMPUTED_VALUE"""),13.0)</f>
        <v>13</v>
      </c>
      <c r="L193" s="12">
        <f>IFERROR(__xludf.DUMMYFUNCTION("""COMPUTED_VALUE"""),0.2777777777777778)</f>
        <v>0.2777777778</v>
      </c>
      <c r="M193" s="11">
        <f>IFERROR(__xludf.DUMMYFUNCTION("""COMPUTED_VALUE"""),0.0)</f>
        <v>0</v>
      </c>
      <c r="N193" s="11">
        <f>IFERROR(__xludf.DUMMYFUNCTION("""COMPUTED_VALUE"""),3945.0)</f>
        <v>3945</v>
      </c>
      <c r="O193" s="13">
        <f>IFERROR(__xludf.DUMMYFUNCTION("""COMPUTED_VALUE"""),5.0)</f>
        <v>5</v>
      </c>
      <c r="P193" s="14">
        <f>IFERROR(__xludf.DUMMYFUNCTION("""COMPUTED_VALUE"""),4.0)</f>
        <v>4</v>
      </c>
      <c r="Q193" s="13">
        <f>IFERROR(__xludf.DUMMYFUNCTION("""COMPUTED_VALUE"""),16.0)</f>
        <v>16</v>
      </c>
      <c r="R193" s="13">
        <f>IFERROR(__xludf.DUMMYFUNCTION("""COMPUTED_VALUE"""),26.0)</f>
        <v>26</v>
      </c>
      <c r="S193" s="15">
        <f>IFERROR(__xludf.DUMMYFUNCTION("""COMPUTED_VALUE"""),0.19230769230769232)</f>
        <v>0.1923076923</v>
      </c>
      <c r="T193" s="16">
        <f>IFERROR(__xludf.DUMMYFUNCTION("""COMPUTED_VALUE"""),219.16666666666666)</f>
        <v>219.1666667</v>
      </c>
      <c r="U193" s="16">
        <f>IFERROR(__xludf.DUMMYFUNCTION("""COMPUTED_VALUE"""),0.2777777777777778)</f>
        <v>0.2777777778</v>
      </c>
      <c r="V193" s="16">
        <f>IFERROR(__xludf.DUMMYFUNCTION("""COMPUTED_VALUE"""),0.2222222222222222)</f>
        <v>0.2222222222</v>
      </c>
      <c r="W193" s="16">
        <f>IFERROR(__xludf.DUMMYFUNCTION("""COMPUTED_VALUE"""),0.8888888888888888)</f>
        <v>0.8888888889</v>
      </c>
      <c r="X193" s="16">
        <f>IFERROR(__xludf.DUMMYFUNCTION("""COMPUTED_VALUE"""),1.4444444444444444)</f>
        <v>1.444444444</v>
      </c>
      <c r="Y193" s="11">
        <f>IFERROR(__xludf.DUMMYFUNCTION("""COMPUTED_VALUE"""),0.0)</f>
        <v>0</v>
      </c>
      <c r="Z193" s="11">
        <f>IFERROR(__xludf.DUMMYFUNCTION("""COMPUTED_VALUE"""),0.0)</f>
        <v>0</v>
      </c>
      <c r="AA193" s="11">
        <f>IFERROR(__xludf.DUMMYFUNCTION("""COMPUTED_VALUE"""),0.0)</f>
        <v>0</v>
      </c>
      <c r="AB193" s="11">
        <f>IFERROR(__xludf.DUMMYFUNCTION("""COMPUTED_VALUE"""),1.0)</f>
        <v>1</v>
      </c>
      <c r="AC193" s="11">
        <f>IFERROR(__xludf.DUMMYFUNCTION("""COMPUTED_VALUE"""),23.0)</f>
        <v>23</v>
      </c>
      <c r="AD193" s="11">
        <f>IFERROR(__xludf.DUMMYFUNCTION("""COMPUTED_VALUE"""),15.0)</f>
        <v>15</v>
      </c>
    </row>
    <row r="194">
      <c r="A194" s="10" t="str">
        <f>IFERROR(__xludf.DUMMYFUNCTION("""COMPUTED_VALUE"""),"Challenger")</f>
        <v>Challenger</v>
      </c>
      <c r="B194" s="10" t="str">
        <f>IFERROR(__xludf.DUMMYFUNCTION("""COMPUTED_VALUE"""),"RSC008271")</f>
        <v>RSC008271</v>
      </c>
      <c r="C194" s="10" t="str">
        <f>IFERROR(__xludf.DUMMYFUNCTION("""COMPUTED_VALUE"""),"Zenitramx-_-")</f>
        <v>Zenitramx-_-</v>
      </c>
      <c r="D194" s="36" t="str">
        <f>IFERROR(__xludf.DUMMYFUNCTION("""COMPUTED_VALUE"""),"Glams")</f>
        <v>Glams</v>
      </c>
      <c r="E194" s="10" t="str">
        <f>IFERROR(__xludf.DUMMYFUNCTION("""COMPUTED_VALUE"""),"Lunar")</f>
        <v>Lunar</v>
      </c>
      <c r="F194" s="37">
        <f>IFERROR(__xludf.DUMMYFUNCTION("""COMPUTED_VALUE"""),-5.453139176310863)</f>
        <v>-5.453139176</v>
      </c>
      <c r="G194" s="38">
        <f>IFERROR(__xludf.DUMMYFUNCTION("""COMPUTED_VALUE"""),-9.640784406444617)</f>
        <v>-9.640784406</v>
      </c>
      <c r="H194" s="38">
        <f>IFERROR(__xludf.DUMMYFUNCTION("""COMPUTED_VALUE"""),-7.54696179137774)</f>
        <v>-7.546961791</v>
      </c>
      <c r="I194" s="14">
        <f>IFERROR(__xludf.DUMMYFUNCTION("""COMPUTED_VALUE"""),4.0)</f>
        <v>4</v>
      </c>
      <c r="J194" s="11">
        <f>IFERROR(__xludf.DUMMYFUNCTION("IFERROR(FILTER(Stats!$F:$Z,(Stats!$A:$A=$A194)*(Stats!$B:$B=$B194)))"),2.0)</f>
        <v>2</v>
      </c>
      <c r="K194" s="11">
        <f>IFERROR(__xludf.DUMMYFUNCTION("""COMPUTED_VALUE"""),2.0)</f>
        <v>2</v>
      </c>
      <c r="L194" s="12">
        <f>IFERROR(__xludf.DUMMYFUNCTION("""COMPUTED_VALUE"""),0.5)</f>
        <v>0.5</v>
      </c>
      <c r="M194" s="11">
        <f>IFERROR(__xludf.DUMMYFUNCTION("""COMPUTED_VALUE"""),0.0)</f>
        <v>0</v>
      </c>
      <c r="N194" s="11">
        <f>IFERROR(__xludf.DUMMYFUNCTION("""COMPUTED_VALUE"""),859.0)</f>
        <v>859</v>
      </c>
      <c r="O194" s="13">
        <f>IFERROR(__xludf.DUMMYFUNCTION("""COMPUTED_VALUE"""),1.0)</f>
        <v>1</v>
      </c>
      <c r="P194" s="14">
        <f>IFERROR(__xludf.DUMMYFUNCTION("""COMPUTED_VALUE"""),1.0)</f>
        <v>1</v>
      </c>
      <c r="Q194" s="13">
        <f>IFERROR(__xludf.DUMMYFUNCTION("""COMPUTED_VALUE"""),4.0)</f>
        <v>4</v>
      </c>
      <c r="R194" s="13">
        <f>IFERROR(__xludf.DUMMYFUNCTION("""COMPUTED_VALUE"""),4.0)</f>
        <v>4</v>
      </c>
      <c r="S194" s="15">
        <f>IFERROR(__xludf.DUMMYFUNCTION("""COMPUTED_VALUE"""),0.25)</f>
        <v>0.25</v>
      </c>
      <c r="T194" s="16">
        <f>IFERROR(__xludf.DUMMYFUNCTION("""COMPUTED_VALUE"""),214.75)</f>
        <v>214.75</v>
      </c>
      <c r="U194" s="16">
        <f>IFERROR(__xludf.DUMMYFUNCTION("""COMPUTED_VALUE"""),0.25)</f>
        <v>0.25</v>
      </c>
      <c r="V194" s="16">
        <f>IFERROR(__xludf.DUMMYFUNCTION("""COMPUTED_VALUE"""),0.25)</f>
        <v>0.25</v>
      </c>
      <c r="W194" s="16">
        <f>IFERROR(__xludf.DUMMYFUNCTION("""COMPUTED_VALUE"""),1.0)</f>
        <v>1</v>
      </c>
      <c r="X194" s="16">
        <f>IFERROR(__xludf.DUMMYFUNCTION("""COMPUTED_VALUE"""),1.0)</f>
        <v>1</v>
      </c>
      <c r="Y194" s="11">
        <f>IFERROR(__xludf.DUMMYFUNCTION("""COMPUTED_VALUE"""),0.0)</f>
        <v>0</v>
      </c>
      <c r="Z194" s="11">
        <f>IFERROR(__xludf.DUMMYFUNCTION("""COMPUTED_VALUE"""),0.0)</f>
        <v>0</v>
      </c>
      <c r="AA194" s="11">
        <f>IFERROR(__xludf.DUMMYFUNCTION("""COMPUTED_VALUE"""),0.0)</f>
        <v>0</v>
      </c>
      <c r="AB194" s="11">
        <f>IFERROR(__xludf.DUMMYFUNCTION("""COMPUTED_VALUE"""),0.0)</f>
        <v>0</v>
      </c>
      <c r="AC194" s="11">
        <f>IFERROR(__xludf.DUMMYFUNCTION("""COMPUTED_VALUE"""),3.0)</f>
        <v>3</v>
      </c>
      <c r="AD194" s="11">
        <f>IFERROR(__xludf.DUMMYFUNCTION("""COMPUTED_VALUE"""),2.0)</f>
        <v>2</v>
      </c>
    </row>
    <row r="195">
      <c r="A195" s="10" t="str">
        <f>IFERROR(__xludf.DUMMYFUNCTION("""COMPUTED_VALUE"""),"Elite")</f>
        <v>Elite</v>
      </c>
      <c r="B195" s="10" t="str">
        <f>IFERROR(__xludf.DUMMYFUNCTION("""COMPUTED_VALUE"""),"RSC007260")</f>
        <v>RSC007260</v>
      </c>
      <c r="C195" s="10" t="str">
        <f>IFERROR(__xludf.DUMMYFUNCTION("""COMPUTED_VALUE"""),"FlopMode.")</f>
        <v>FlopMode.</v>
      </c>
      <c r="D195" s="36" t="str">
        <f>IFERROR(__xludf.DUMMYFUNCTION("""COMPUTED_VALUE"""),"Afterburners")</f>
        <v>Afterburners</v>
      </c>
      <c r="E195" s="10" t="str">
        <f>IFERROR(__xludf.DUMMYFUNCTION("""COMPUTED_VALUE"""),"Lunar")</f>
        <v>Lunar</v>
      </c>
      <c r="F195" s="37">
        <f>IFERROR(__xludf.DUMMYFUNCTION("""COMPUTED_VALUE"""),96.82121190594107)</f>
        <v>96.82121191</v>
      </c>
      <c r="G195" s="38">
        <f>IFERROR(__xludf.DUMMYFUNCTION("""COMPUTED_VALUE"""),114.10009001711452)</f>
        <v>114.10009</v>
      </c>
      <c r="H195" s="38">
        <f>IFERROR(__xludf.DUMMYFUNCTION("""COMPUTED_VALUE"""),105.46065096152779)</f>
        <v>105.460651</v>
      </c>
      <c r="I195" s="14">
        <f>IFERROR(__xludf.DUMMYFUNCTION("""COMPUTED_VALUE"""),4.0)</f>
        <v>4</v>
      </c>
      <c r="J195" s="11">
        <f>IFERROR(__xludf.DUMMYFUNCTION("IFERROR(FILTER(Stats!$F:$Z,(Stats!$A:$A=$A195)*(Stats!$B:$B=$B195)))"),4.0)</f>
        <v>4</v>
      </c>
      <c r="K195" s="11">
        <f>IFERROR(__xludf.DUMMYFUNCTION("""COMPUTED_VALUE"""),0.0)</f>
        <v>0</v>
      </c>
      <c r="L195" s="12">
        <f>IFERROR(__xludf.DUMMYFUNCTION("""COMPUTED_VALUE"""),1.0)</f>
        <v>1</v>
      </c>
      <c r="M195" s="11">
        <f>IFERROR(__xludf.DUMMYFUNCTION("""COMPUTED_VALUE"""),3.0)</f>
        <v>3</v>
      </c>
      <c r="N195" s="11">
        <f>IFERROR(__xludf.DUMMYFUNCTION("""COMPUTED_VALUE"""),2118.0)</f>
        <v>2118</v>
      </c>
      <c r="O195" s="13">
        <f>IFERROR(__xludf.DUMMYFUNCTION("""COMPUTED_VALUE"""),7.0)</f>
        <v>7</v>
      </c>
      <c r="P195" s="14">
        <f>IFERROR(__xludf.DUMMYFUNCTION("""COMPUTED_VALUE"""),1.0)</f>
        <v>1</v>
      </c>
      <c r="Q195" s="13">
        <f>IFERROR(__xludf.DUMMYFUNCTION("""COMPUTED_VALUE"""),10.0)</f>
        <v>10</v>
      </c>
      <c r="R195" s="13">
        <f>IFERROR(__xludf.DUMMYFUNCTION("""COMPUTED_VALUE"""),13.0)</f>
        <v>13</v>
      </c>
      <c r="S195" s="15">
        <f>IFERROR(__xludf.DUMMYFUNCTION("""COMPUTED_VALUE"""),0.5384615384615384)</f>
        <v>0.5384615385</v>
      </c>
      <c r="T195" s="16">
        <f>IFERROR(__xludf.DUMMYFUNCTION("""COMPUTED_VALUE"""),529.5)</f>
        <v>529.5</v>
      </c>
      <c r="U195" s="16">
        <f>IFERROR(__xludf.DUMMYFUNCTION("""COMPUTED_VALUE"""),1.75)</f>
        <v>1.75</v>
      </c>
      <c r="V195" s="16">
        <f>IFERROR(__xludf.DUMMYFUNCTION("""COMPUTED_VALUE"""),0.25)</f>
        <v>0.25</v>
      </c>
      <c r="W195" s="16">
        <f>IFERROR(__xludf.DUMMYFUNCTION("""COMPUTED_VALUE"""),2.5)</f>
        <v>2.5</v>
      </c>
      <c r="X195" s="16">
        <f>IFERROR(__xludf.DUMMYFUNCTION("""COMPUTED_VALUE"""),3.25)</f>
        <v>3.25</v>
      </c>
      <c r="Y195" s="11">
        <f>IFERROR(__xludf.DUMMYFUNCTION("""COMPUTED_VALUE"""),1.0)</f>
        <v>1</v>
      </c>
      <c r="Z195" s="11">
        <f>IFERROR(__xludf.DUMMYFUNCTION("""COMPUTED_VALUE"""),1.0)</f>
        <v>1</v>
      </c>
      <c r="AA195" s="11">
        <f>IFERROR(__xludf.DUMMYFUNCTION("""COMPUTED_VALUE"""),0.0)</f>
        <v>0</v>
      </c>
      <c r="AB195" s="11">
        <f>IFERROR(__xludf.DUMMYFUNCTION("""COMPUTED_VALUE"""),2.0)</f>
        <v>2</v>
      </c>
      <c r="AC195" s="11">
        <f>IFERROR(__xludf.DUMMYFUNCTION("""COMPUTED_VALUE"""),8.0)</f>
        <v>8</v>
      </c>
      <c r="AD195" s="11">
        <f>IFERROR(__xludf.DUMMYFUNCTION("""COMPUTED_VALUE"""),7.0)</f>
        <v>7</v>
      </c>
    </row>
    <row r="196">
      <c r="A196" s="10" t="str">
        <f>IFERROR(__xludf.DUMMYFUNCTION("""COMPUTED_VALUE"""),"Elite")</f>
        <v>Elite</v>
      </c>
      <c r="B196" s="10" t="str">
        <f>IFERROR(__xludf.DUMMYFUNCTION("""COMPUTED_VALUE"""),"RSC006409")</f>
        <v>RSC006409</v>
      </c>
      <c r="C196" s="10" t="str">
        <f>IFERROR(__xludf.DUMMYFUNCTION("""COMPUTED_VALUE"""),"Reported.")</f>
        <v>Reported.</v>
      </c>
      <c r="D196" s="36" t="str">
        <f>IFERROR(__xludf.DUMMYFUNCTION("""COMPUTED_VALUE"""),"Great Whites")</f>
        <v>Great Whites</v>
      </c>
      <c r="E196" s="10" t="str">
        <f>IFERROR(__xludf.DUMMYFUNCTION("""COMPUTED_VALUE"""),"Solar")</f>
        <v>Solar</v>
      </c>
      <c r="F196" s="37">
        <f>IFERROR(__xludf.DUMMYFUNCTION("""COMPUTED_VALUE"""),93.35024295927946)</f>
        <v>93.35024296</v>
      </c>
      <c r="G196" s="38">
        <f>IFERROR(__xludf.DUMMYFUNCTION("""COMPUTED_VALUE"""),89.55040849264208)</f>
        <v>89.55040849</v>
      </c>
      <c r="H196" s="38">
        <f>IFERROR(__xludf.DUMMYFUNCTION("""COMPUTED_VALUE"""),91.45032572596077)</f>
        <v>91.45032573</v>
      </c>
      <c r="I196" s="14">
        <f>IFERROR(__xludf.DUMMYFUNCTION("""COMPUTED_VALUE"""),50.0)</f>
        <v>50</v>
      </c>
      <c r="J196" s="11">
        <f>IFERROR(__xludf.DUMMYFUNCTION("IFERROR(FILTER(Stats!$F:$Z,(Stats!$A:$A=$A196)*(Stats!$B:$B=$B196)))"),34.0)</f>
        <v>34</v>
      </c>
      <c r="K196" s="11">
        <f>IFERROR(__xludf.DUMMYFUNCTION("""COMPUTED_VALUE"""),16.0)</f>
        <v>16</v>
      </c>
      <c r="L196" s="12">
        <f>IFERROR(__xludf.DUMMYFUNCTION("""COMPUTED_VALUE"""),0.68)</f>
        <v>0.68</v>
      </c>
      <c r="M196" s="11">
        <f>IFERROR(__xludf.DUMMYFUNCTION("""COMPUTED_VALUE"""),19.0)</f>
        <v>19</v>
      </c>
      <c r="N196" s="11">
        <f>IFERROR(__xludf.DUMMYFUNCTION("""COMPUTED_VALUE"""),21888.0)</f>
        <v>21888</v>
      </c>
      <c r="O196" s="13">
        <f>IFERROR(__xludf.DUMMYFUNCTION("""COMPUTED_VALUE"""),50.0)</f>
        <v>50</v>
      </c>
      <c r="P196" s="14">
        <f>IFERROR(__xludf.DUMMYFUNCTION("""COMPUTED_VALUE"""),46.0)</f>
        <v>46</v>
      </c>
      <c r="Q196" s="13">
        <f>IFERROR(__xludf.DUMMYFUNCTION("""COMPUTED_VALUE"""),87.0)</f>
        <v>87</v>
      </c>
      <c r="R196" s="13">
        <f>IFERROR(__xludf.DUMMYFUNCTION("""COMPUTED_VALUE"""),135.0)</f>
        <v>135</v>
      </c>
      <c r="S196" s="15">
        <f>IFERROR(__xludf.DUMMYFUNCTION("""COMPUTED_VALUE"""),0.37037037037037035)</f>
        <v>0.3703703704</v>
      </c>
      <c r="T196" s="16">
        <f>IFERROR(__xludf.DUMMYFUNCTION("""COMPUTED_VALUE"""),437.76)</f>
        <v>437.76</v>
      </c>
      <c r="U196" s="16">
        <f>IFERROR(__xludf.DUMMYFUNCTION("""COMPUTED_VALUE"""),1.0)</f>
        <v>1</v>
      </c>
      <c r="V196" s="16">
        <f>IFERROR(__xludf.DUMMYFUNCTION("""COMPUTED_VALUE"""),0.92)</f>
        <v>0.92</v>
      </c>
      <c r="W196" s="16">
        <f>IFERROR(__xludf.DUMMYFUNCTION("""COMPUTED_VALUE"""),1.74)</f>
        <v>1.74</v>
      </c>
      <c r="X196" s="16">
        <f>IFERROR(__xludf.DUMMYFUNCTION("""COMPUTED_VALUE"""),2.7)</f>
        <v>2.7</v>
      </c>
      <c r="Y196" s="11">
        <f>IFERROR(__xludf.DUMMYFUNCTION("""COMPUTED_VALUE"""),21.0)</f>
        <v>21</v>
      </c>
      <c r="Z196" s="11">
        <f>IFERROR(__xludf.DUMMYFUNCTION("""COMPUTED_VALUE"""),5.0)</f>
        <v>5</v>
      </c>
      <c r="AA196" s="11">
        <f>IFERROR(__xludf.DUMMYFUNCTION("""COMPUTED_VALUE"""),2.0)</f>
        <v>2</v>
      </c>
      <c r="AB196" s="11">
        <f>IFERROR(__xludf.DUMMYFUNCTION("""COMPUTED_VALUE"""),17.0)</f>
        <v>17</v>
      </c>
      <c r="AC196" s="11">
        <f>IFERROR(__xludf.DUMMYFUNCTION("""COMPUTED_VALUE"""),55.0)</f>
        <v>55</v>
      </c>
      <c r="AD196" s="11">
        <f>IFERROR(__xludf.DUMMYFUNCTION("""COMPUTED_VALUE"""),67.0)</f>
        <v>67</v>
      </c>
    </row>
    <row r="197">
      <c r="A197" s="10" t="str">
        <f>IFERROR(__xludf.DUMMYFUNCTION("""COMPUTED_VALUE"""),"Elite")</f>
        <v>Elite</v>
      </c>
      <c r="B197" s="10" t="str">
        <f>IFERROR(__xludf.DUMMYFUNCTION("""COMPUTED_VALUE"""),"RSC006985")</f>
        <v>RSC006985</v>
      </c>
      <c r="C197" s="10" t="str">
        <f>IFERROR(__xludf.DUMMYFUNCTION("""COMPUTED_VALUE"""),"not so jucy skep")</f>
        <v>not so jucy skep</v>
      </c>
      <c r="D197" s="36" t="str">
        <f>IFERROR(__xludf.DUMMYFUNCTION("""COMPUTED_VALUE"""),"Dragon")</f>
        <v>Dragon</v>
      </c>
      <c r="E197" s="10" t="str">
        <f>IFERROR(__xludf.DUMMYFUNCTION("""COMPUTED_VALUE"""),"Solar")</f>
        <v>Solar</v>
      </c>
      <c r="F197" s="37">
        <f>IFERROR(__xludf.DUMMYFUNCTION("""COMPUTED_VALUE"""),88.79533765720046)</f>
        <v>88.79533766</v>
      </c>
      <c r="G197" s="38">
        <f>IFERROR(__xludf.DUMMYFUNCTION("""COMPUTED_VALUE"""),90.9665729538068)</f>
        <v>90.96657295</v>
      </c>
      <c r="H197" s="38">
        <f>IFERROR(__xludf.DUMMYFUNCTION("""COMPUTED_VALUE"""),89.88095530550363)</f>
        <v>89.88095531</v>
      </c>
      <c r="I197" s="14">
        <f>IFERROR(__xludf.DUMMYFUNCTION("""COMPUTED_VALUE"""),48.0)</f>
        <v>48</v>
      </c>
      <c r="J197" s="11">
        <f>IFERROR(__xludf.DUMMYFUNCTION("IFERROR(FILTER(Stats!$F:$Z,(Stats!$A:$A=$A197)*(Stats!$B:$B=$B197)))"),36.0)</f>
        <v>36</v>
      </c>
      <c r="K197" s="11">
        <f>IFERROR(__xludf.DUMMYFUNCTION("""COMPUTED_VALUE"""),12.0)</f>
        <v>12</v>
      </c>
      <c r="L197" s="12">
        <f>IFERROR(__xludf.DUMMYFUNCTION("""COMPUTED_VALUE"""),0.75)</f>
        <v>0.75</v>
      </c>
      <c r="M197" s="11">
        <f>IFERROR(__xludf.DUMMYFUNCTION("""COMPUTED_VALUE"""),13.0)</f>
        <v>13</v>
      </c>
      <c r="N197" s="11">
        <f>IFERROR(__xludf.DUMMYFUNCTION("""COMPUTED_VALUE"""),20250.0)</f>
        <v>20250</v>
      </c>
      <c r="O197" s="13">
        <f>IFERROR(__xludf.DUMMYFUNCTION("""COMPUTED_VALUE"""),45.0)</f>
        <v>45</v>
      </c>
      <c r="P197" s="14">
        <f>IFERROR(__xludf.DUMMYFUNCTION("""COMPUTED_VALUE"""),45.0)</f>
        <v>45</v>
      </c>
      <c r="Q197" s="13">
        <f>IFERROR(__xludf.DUMMYFUNCTION("""COMPUTED_VALUE"""),66.0)</f>
        <v>66</v>
      </c>
      <c r="R197" s="13">
        <f>IFERROR(__xludf.DUMMYFUNCTION("""COMPUTED_VALUE"""),161.0)</f>
        <v>161</v>
      </c>
      <c r="S197" s="15">
        <f>IFERROR(__xludf.DUMMYFUNCTION("""COMPUTED_VALUE"""),0.2795031055900621)</f>
        <v>0.2795031056</v>
      </c>
      <c r="T197" s="16">
        <f>IFERROR(__xludf.DUMMYFUNCTION("""COMPUTED_VALUE"""),421.875)</f>
        <v>421.875</v>
      </c>
      <c r="U197" s="16">
        <f>IFERROR(__xludf.DUMMYFUNCTION("""COMPUTED_VALUE"""),0.9375)</f>
        <v>0.9375</v>
      </c>
      <c r="V197" s="16">
        <f>IFERROR(__xludf.DUMMYFUNCTION("""COMPUTED_VALUE"""),0.9375)</f>
        <v>0.9375</v>
      </c>
      <c r="W197" s="16">
        <f>IFERROR(__xludf.DUMMYFUNCTION("""COMPUTED_VALUE"""),1.375)</f>
        <v>1.375</v>
      </c>
      <c r="X197" s="16">
        <f>IFERROR(__xludf.DUMMYFUNCTION("""COMPUTED_VALUE"""),3.3541666666666665)</f>
        <v>3.354166667</v>
      </c>
      <c r="Y197" s="11">
        <f>IFERROR(__xludf.DUMMYFUNCTION("""COMPUTED_VALUE"""),14.0)</f>
        <v>14</v>
      </c>
      <c r="Z197" s="11">
        <f>IFERROR(__xludf.DUMMYFUNCTION("""COMPUTED_VALUE"""),2.0)</f>
        <v>2</v>
      </c>
      <c r="AA197" s="11">
        <f>IFERROR(__xludf.DUMMYFUNCTION("""COMPUTED_VALUE"""),2.0)</f>
        <v>2</v>
      </c>
      <c r="AB197" s="11">
        <f>IFERROR(__xludf.DUMMYFUNCTION("""COMPUTED_VALUE"""),9.0)</f>
        <v>9</v>
      </c>
      <c r="AC197" s="11">
        <f>IFERROR(__xludf.DUMMYFUNCTION("""COMPUTED_VALUE"""),51.0)</f>
        <v>51</v>
      </c>
      <c r="AD197" s="11">
        <f>IFERROR(__xludf.DUMMYFUNCTION("""COMPUTED_VALUE"""),49.0)</f>
        <v>49</v>
      </c>
    </row>
    <row r="198">
      <c r="A198" s="10" t="str">
        <f>IFERROR(__xludf.DUMMYFUNCTION("""COMPUTED_VALUE"""),"Elite")</f>
        <v>Elite</v>
      </c>
      <c r="B198" s="10" t="str">
        <f>IFERROR(__xludf.DUMMYFUNCTION("""COMPUTED_VALUE"""),"RSC000009")</f>
        <v>RSC000009</v>
      </c>
      <c r="C198" s="10" t="str">
        <f>IFERROR(__xludf.DUMMYFUNCTION("""COMPUTED_VALUE"""),"Timbo")</f>
        <v>Timbo</v>
      </c>
      <c r="D198" s="36" t="str">
        <f>IFERROR(__xludf.DUMMYFUNCTION("""COMPUTED_VALUE"""),"Menthol")</f>
        <v>Menthol</v>
      </c>
      <c r="E198" s="10" t="str">
        <f>IFERROR(__xludf.DUMMYFUNCTION("""COMPUTED_VALUE"""),"Solar")</f>
        <v>Solar</v>
      </c>
      <c r="F198" s="37">
        <f>IFERROR(__xludf.DUMMYFUNCTION("""COMPUTED_VALUE"""),87.20638390568658)</f>
        <v>87.20638391</v>
      </c>
      <c r="G198" s="38">
        <f>IFERROR(__xludf.DUMMYFUNCTION("""COMPUTED_VALUE"""),91.40256609869482)</f>
        <v>91.4025661</v>
      </c>
      <c r="H198" s="38">
        <f>IFERROR(__xludf.DUMMYFUNCTION("""COMPUTED_VALUE"""),89.3044750021907)</f>
        <v>89.304475</v>
      </c>
      <c r="I198" s="14">
        <f>IFERROR(__xludf.DUMMYFUNCTION("""COMPUTED_VALUE"""),56.0)</f>
        <v>56</v>
      </c>
      <c r="J198" s="11">
        <f>IFERROR(__xludf.DUMMYFUNCTION("IFERROR(FILTER(Stats!$F:$Z,(Stats!$A:$A=$A198)*(Stats!$B:$B=$B198)))"),39.0)</f>
        <v>39</v>
      </c>
      <c r="K198" s="11">
        <f>IFERROR(__xludf.DUMMYFUNCTION("""COMPUTED_VALUE"""),17.0)</f>
        <v>17</v>
      </c>
      <c r="L198" s="12">
        <f>IFERROR(__xludf.DUMMYFUNCTION("""COMPUTED_VALUE"""),0.6964285714285714)</f>
        <v>0.6964285714</v>
      </c>
      <c r="M198" s="11">
        <f>IFERROR(__xludf.DUMMYFUNCTION("""COMPUTED_VALUE"""),21.0)</f>
        <v>21</v>
      </c>
      <c r="N198" s="11">
        <f>IFERROR(__xludf.DUMMYFUNCTION("""COMPUTED_VALUE"""),22878.0)</f>
        <v>22878</v>
      </c>
      <c r="O198" s="13">
        <f>IFERROR(__xludf.DUMMYFUNCTION("""COMPUTED_VALUE"""),68.0)</f>
        <v>68</v>
      </c>
      <c r="P198" s="14">
        <f>IFERROR(__xludf.DUMMYFUNCTION("""COMPUTED_VALUE"""),42.0)</f>
        <v>42</v>
      </c>
      <c r="Q198" s="13">
        <f>IFERROR(__xludf.DUMMYFUNCTION("""COMPUTED_VALUE"""),62.0)</f>
        <v>62</v>
      </c>
      <c r="R198" s="13">
        <f>IFERROR(__xludf.DUMMYFUNCTION("""COMPUTED_VALUE"""),178.0)</f>
        <v>178</v>
      </c>
      <c r="S198" s="15">
        <f>IFERROR(__xludf.DUMMYFUNCTION("""COMPUTED_VALUE"""),0.38202247191011235)</f>
        <v>0.3820224719</v>
      </c>
      <c r="T198" s="16">
        <f>IFERROR(__xludf.DUMMYFUNCTION("""COMPUTED_VALUE"""),408.5357142857143)</f>
        <v>408.5357143</v>
      </c>
      <c r="U198" s="16">
        <f>IFERROR(__xludf.DUMMYFUNCTION("""COMPUTED_VALUE"""),1.2142857142857142)</f>
        <v>1.214285714</v>
      </c>
      <c r="V198" s="16">
        <f>IFERROR(__xludf.DUMMYFUNCTION("""COMPUTED_VALUE"""),0.75)</f>
        <v>0.75</v>
      </c>
      <c r="W198" s="16">
        <f>IFERROR(__xludf.DUMMYFUNCTION("""COMPUTED_VALUE"""),1.1071428571428572)</f>
        <v>1.107142857</v>
      </c>
      <c r="X198" s="16">
        <f>IFERROR(__xludf.DUMMYFUNCTION("""COMPUTED_VALUE"""),3.1785714285714284)</f>
        <v>3.178571429</v>
      </c>
      <c r="Y198" s="11">
        <f>IFERROR(__xludf.DUMMYFUNCTION("""COMPUTED_VALUE"""),25.0)</f>
        <v>25</v>
      </c>
      <c r="Z198" s="11">
        <f>IFERROR(__xludf.DUMMYFUNCTION("""COMPUTED_VALUE"""),5.0)</f>
        <v>5</v>
      </c>
      <c r="AA198" s="11">
        <f>IFERROR(__xludf.DUMMYFUNCTION("""COMPUTED_VALUE"""),1.0)</f>
        <v>1</v>
      </c>
      <c r="AB198" s="11">
        <f>IFERROR(__xludf.DUMMYFUNCTION("""COMPUTED_VALUE"""),3.0)</f>
        <v>3</v>
      </c>
      <c r="AC198" s="11">
        <f>IFERROR(__xludf.DUMMYFUNCTION("""COMPUTED_VALUE"""),34.0)</f>
        <v>34</v>
      </c>
      <c r="AD198" s="11">
        <f>IFERROR(__xludf.DUMMYFUNCTION("""COMPUTED_VALUE"""),62.0)</f>
        <v>62</v>
      </c>
    </row>
    <row r="199">
      <c r="A199" s="10" t="str">
        <f>IFERROR(__xludf.DUMMYFUNCTION("""COMPUTED_VALUE"""),"Elite")</f>
        <v>Elite</v>
      </c>
      <c r="B199" s="10" t="str">
        <f>IFERROR(__xludf.DUMMYFUNCTION("""COMPUTED_VALUE"""),"RSC008362")</f>
        <v>RSC008362</v>
      </c>
      <c r="C199" s="10" t="str">
        <f>IFERROR(__xludf.DUMMYFUNCTION("""COMPUTED_VALUE"""),"flash!")</f>
        <v>flash!</v>
      </c>
      <c r="D199" s="36" t="str">
        <f>IFERROR(__xludf.DUMMYFUNCTION("""COMPUTED_VALUE"""),"Teddy Bears
Sloths")</f>
        <v>Teddy Bears
Sloths</v>
      </c>
      <c r="E199" s="10" t="str">
        <f>IFERROR(__xludf.DUMMYFUNCTION("""COMPUTED_VALUE"""),"Solar
Solar")</f>
        <v>Solar
Solar</v>
      </c>
      <c r="F199" s="37">
        <f>IFERROR(__xludf.DUMMYFUNCTION("""COMPUTED_VALUE"""),92.10187546443483)</f>
        <v>92.10187546</v>
      </c>
      <c r="G199" s="38">
        <f>IFERROR(__xludf.DUMMYFUNCTION("""COMPUTED_VALUE"""),86.0042621255865)</f>
        <v>86.00426213</v>
      </c>
      <c r="H199" s="38">
        <f>IFERROR(__xludf.DUMMYFUNCTION("""COMPUTED_VALUE"""),89.05306879501066)</f>
        <v>89.0530688</v>
      </c>
      <c r="I199" s="14">
        <f>IFERROR(__xludf.DUMMYFUNCTION("""COMPUTED_VALUE"""),40.0)</f>
        <v>40</v>
      </c>
      <c r="J199" s="11">
        <f>IFERROR(__xludf.DUMMYFUNCTION("IFERROR(FILTER(Stats!$F:$Z,(Stats!$A:$A=$A199)*(Stats!$B:$B=$B199)))"),25.0)</f>
        <v>25</v>
      </c>
      <c r="K199" s="11">
        <f>IFERROR(__xludf.DUMMYFUNCTION("""COMPUTED_VALUE"""),15.0)</f>
        <v>15</v>
      </c>
      <c r="L199" s="12">
        <f>IFERROR(__xludf.DUMMYFUNCTION("""COMPUTED_VALUE"""),0.625)</f>
        <v>0.625</v>
      </c>
      <c r="M199" s="11">
        <f>IFERROR(__xludf.DUMMYFUNCTION("""COMPUTED_VALUE"""),12.0)</f>
        <v>12</v>
      </c>
      <c r="N199" s="11">
        <f>IFERROR(__xludf.DUMMYFUNCTION("""COMPUTED_VALUE"""),17266.0)</f>
        <v>17266</v>
      </c>
      <c r="O199" s="13">
        <f>IFERROR(__xludf.DUMMYFUNCTION("""COMPUTED_VALUE"""),41.0)</f>
        <v>41</v>
      </c>
      <c r="P199" s="14">
        <f>IFERROR(__xludf.DUMMYFUNCTION("""COMPUTED_VALUE"""),34.0)</f>
        <v>34</v>
      </c>
      <c r="Q199" s="13">
        <f>IFERROR(__xludf.DUMMYFUNCTION("""COMPUTED_VALUE"""),60.0)</f>
        <v>60</v>
      </c>
      <c r="R199" s="13">
        <f>IFERROR(__xludf.DUMMYFUNCTION("""COMPUTED_VALUE"""),115.0)</f>
        <v>115</v>
      </c>
      <c r="S199" s="15">
        <f>IFERROR(__xludf.DUMMYFUNCTION("""COMPUTED_VALUE"""),0.3565217391304348)</f>
        <v>0.3565217391</v>
      </c>
      <c r="T199" s="16">
        <f>IFERROR(__xludf.DUMMYFUNCTION("""COMPUTED_VALUE"""),431.65)</f>
        <v>431.65</v>
      </c>
      <c r="U199" s="16">
        <f>IFERROR(__xludf.DUMMYFUNCTION("""COMPUTED_VALUE"""),1.025)</f>
        <v>1.025</v>
      </c>
      <c r="V199" s="16">
        <f>IFERROR(__xludf.DUMMYFUNCTION("""COMPUTED_VALUE"""),0.85)</f>
        <v>0.85</v>
      </c>
      <c r="W199" s="16">
        <f>IFERROR(__xludf.DUMMYFUNCTION("""COMPUTED_VALUE"""),1.5)</f>
        <v>1.5</v>
      </c>
      <c r="X199" s="16">
        <f>IFERROR(__xludf.DUMMYFUNCTION("""COMPUTED_VALUE"""),2.875)</f>
        <v>2.875</v>
      </c>
      <c r="Y199" s="11">
        <f>IFERROR(__xludf.DUMMYFUNCTION("""COMPUTED_VALUE"""),14.0)</f>
        <v>14</v>
      </c>
      <c r="Z199" s="11">
        <f>IFERROR(__xludf.DUMMYFUNCTION("""COMPUTED_VALUE"""),3.0)</f>
        <v>3</v>
      </c>
      <c r="AA199" s="11">
        <f>IFERROR(__xludf.DUMMYFUNCTION("""COMPUTED_VALUE"""),1.0)</f>
        <v>1</v>
      </c>
      <c r="AB199" s="11">
        <f>IFERROR(__xludf.DUMMYFUNCTION("""COMPUTED_VALUE"""),8.0)</f>
        <v>8</v>
      </c>
      <c r="AC199" s="11">
        <f>IFERROR(__xludf.DUMMYFUNCTION("""COMPUTED_VALUE"""),58.0)</f>
        <v>58</v>
      </c>
      <c r="AD199" s="11">
        <f>IFERROR(__xludf.DUMMYFUNCTION("""COMPUTED_VALUE"""),28.0)</f>
        <v>28</v>
      </c>
    </row>
    <row r="200">
      <c r="A200" s="10" t="str">
        <f>IFERROR(__xludf.DUMMYFUNCTION("""COMPUTED_VALUE"""),"Elite")</f>
        <v>Elite</v>
      </c>
      <c r="B200" s="10" t="str">
        <f>IFERROR(__xludf.DUMMYFUNCTION("""COMPUTED_VALUE"""),"RSC006424")</f>
        <v>RSC006424</v>
      </c>
      <c r="C200" s="10" t="str">
        <f>IFERROR(__xludf.DUMMYFUNCTION("""COMPUTED_VALUE"""),"RSC Raven")</f>
        <v>RSC Raven</v>
      </c>
      <c r="D200" s="36" t="str">
        <f>IFERROR(__xludf.DUMMYFUNCTION("""COMPUTED_VALUE"""),"Peerless Scarred")</f>
        <v>Peerless Scarred</v>
      </c>
      <c r="E200" s="10" t="str">
        <f>IFERROR(__xludf.DUMMYFUNCTION("""COMPUTED_VALUE"""),"Solar")</f>
        <v>Solar</v>
      </c>
      <c r="F200" s="37">
        <f>IFERROR(__xludf.DUMMYFUNCTION("""COMPUTED_VALUE"""),90.23506353236303)</f>
        <v>90.23506353</v>
      </c>
      <c r="G200" s="38">
        <f>IFERROR(__xludf.DUMMYFUNCTION("""COMPUTED_VALUE"""),86.64560235563991)</f>
        <v>86.64560236</v>
      </c>
      <c r="H200" s="38">
        <f>IFERROR(__xludf.DUMMYFUNCTION("""COMPUTED_VALUE"""),88.44033294400147)</f>
        <v>88.44033294</v>
      </c>
      <c r="I200" s="14">
        <f>IFERROR(__xludf.DUMMYFUNCTION("""COMPUTED_VALUE"""),55.0)</f>
        <v>55</v>
      </c>
      <c r="J200" s="11">
        <f>IFERROR(__xludf.DUMMYFUNCTION("IFERROR(FILTER(Stats!$F:$Z,(Stats!$A:$A=$A200)*(Stats!$B:$B=$B200)))"),33.0)</f>
        <v>33</v>
      </c>
      <c r="K200" s="11">
        <f>IFERROR(__xludf.DUMMYFUNCTION("""COMPUTED_VALUE"""),22.0)</f>
        <v>22</v>
      </c>
      <c r="L200" s="12">
        <f>IFERROR(__xludf.DUMMYFUNCTION("""COMPUTED_VALUE"""),0.6)</f>
        <v>0.6</v>
      </c>
      <c r="M200" s="11">
        <f>IFERROR(__xludf.DUMMYFUNCTION("""COMPUTED_VALUE"""),15.0)</f>
        <v>15</v>
      </c>
      <c r="N200" s="11">
        <f>IFERROR(__xludf.DUMMYFUNCTION("""COMPUTED_VALUE"""),24097.0)</f>
        <v>24097</v>
      </c>
      <c r="O200" s="13">
        <f>IFERROR(__xludf.DUMMYFUNCTION("""COMPUTED_VALUE"""),63.0)</f>
        <v>63</v>
      </c>
      <c r="P200" s="14">
        <f>IFERROR(__xludf.DUMMYFUNCTION("""COMPUTED_VALUE"""),33.0)</f>
        <v>33</v>
      </c>
      <c r="Q200" s="13">
        <f>IFERROR(__xludf.DUMMYFUNCTION("""COMPUTED_VALUE"""),94.0)</f>
        <v>94</v>
      </c>
      <c r="R200" s="13">
        <f>IFERROR(__xludf.DUMMYFUNCTION("""COMPUTED_VALUE"""),203.0)</f>
        <v>203</v>
      </c>
      <c r="S200" s="15">
        <f>IFERROR(__xludf.DUMMYFUNCTION("""COMPUTED_VALUE"""),0.3103448275862069)</f>
        <v>0.3103448276</v>
      </c>
      <c r="T200" s="16">
        <f>IFERROR(__xludf.DUMMYFUNCTION("""COMPUTED_VALUE"""),438.1272727272727)</f>
        <v>438.1272727</v>
      </c>
      <c r="U200" s="16">
        <f>IFERROR(__xludf.DUMMYFUNCTION("""COMPUTED_VALUE"""),1.1454545454545455)</f>
        <v>1.145454545</v>
      </c>
      <c r="V200" s="16">
        <f>IFERROR(__xludf.DUMMYFUNCTION("""COMPUTED_VALUE"""),0.6)</f>
        <v>0.6</v>
      </c>
      <c r="W200" s="16">
        <f>IFERROR(__xludf.DUMMYFUNCTION("""COMPUTED_VALUE"""),1.709090909090909)</f>
        <v>1.709090909</v>
      </c>
      <c r="X200" s="16">
        <f>IFERROR(__xludf.DUMMYFUNCTION("""COMPUTED_VALUE"""),3.690909090909091)</f>
        <v>3.690909091</v>
      </c>
      <c r="Y200" s="11">
        <f>IFERROR(__xludf.DUMMYFUNCTION("""COMPUTED_VALUE"""),16.0)</f>
        <v>16</v>
      </c>
      <c r="Z200" s="11">
        <f>IFERROR(__xludf.DUMMYFUNCTION("""COMPUTED_VALUE"""),6.0)</f>
        <v>6</v>
      </c>
      <c r="AA200" s="11">
        <f>IFERROR(__xludf.DUMMYFUNCTION("""COMPUTED_VALUE"""),0.0)</f>
        <v>0</v>
      </c>
      <c r="AB200" s="11">
        <f>IFERROR(__xludf.DUMMYFUNCTION("""COMPUTED_VALUE"""),14.0)</f>
        <v>14</v>
      </c>
      <c r="AC200" s="11">
        <f>IFERROR(__xludf.DUMMYFUNCTION("""COMPUTED_VALUE"""),41.0)</f>
        <v>41</v>
      </c>
      <c r="AD200" s="11">
        <f>IFERROR(__xludf.DUMMYFUNCTION("""COMPUTED_VALUE"""),70.0)</f>
        <v>70</v>
      </c>
    </row>
    <row r="201">
      <c r="A201" s="10" t="str">
        <f>IFERROR(__xludf.DUMMYFUNCTION("""COMPUTED_VALUE"""),"Elite")</f>
        <v>Elite</v>
      </c>
      <c r="B201" s="10" t="str">
        <f>IFERROR(__xludf.DUMMYFUNCTION("""COMPUTED_VALUE"""),"RSC007954")</f>
        <v>RSC007954</v>
      </c>
      <c r="C201" s="10" t="str">
        <f>IFERROR(__xludf.DUMMYFUNCTION("""COMPUTED_VALUE"""),"Killer")</f>
        <v>Killer</v>
      </c>
      <c r="D201" s="36" t="str">
        <f>IFERROR(__xludf.DUMMYFUNCTION("""COMPUTED_VALUE"""),"Gelato")</f>
        <v>Gelato</v>
      </c>
      <c r="E201" s="10" t="str">
        <f>IFERROR(__xludf.DUMMYFUNCTION("""COMPUTED_VALUE"""),"Lunar")</f>
        <v>Lunar</v>
      </c>
      <c r="F201" s="37">
        <f>IFERROR(__xludf.DUMMYFUNCTION("""COMPUTED_VALUE"""),86.53392610018435)</f>
        <v>86.5339261</v>
      </c>
      <c r="G201" s="38">
        <f>IFERROR(__xludf.DUMMYFUNCTION("""COMPUTED_VALUE"""),88.4349199899153)</f>
        <v>88.43491999</v>
      </c>
      <c r="H201" s="38">
        <f>IFERROR(__xludf.DUMMYFUNCTION("""COMPUTED_VALUE"""),87.48442304504982)</f>
        <v>87.48442305</v>
      </c>
      <c r="I201" s="14">
        <f>IFERROR(__xludf.DUMMYFUNCTION("""COMPUTED_VALUE"""),32.0)</f>
        <v>32</v>
      </c>
      <c r="J201" s="11">
        <f>IFERROR(__xludf.DUMMYFUNCTION("IFERROR(FILTER(Stats!$F:$Z,(Stats!$A:$A=$A201)*(Stats!$B:$B=$B201)))"),20.0)</f>
        <v>20</v>
      </c>
      <c r="K201" s="11">
        <f>IFERROR(__xludf.DUMMYFUNCTION("""COMPUTED_VALUE"""),12.0)</f>
        <v>12</v>
      </c>
      <c r="L201" s="12">
        <f>IFERROR(__xludf.DUMMYFUNCTION("""COMPUTED_VALUE"""),0.625)</f>
        <v>0.625</v>
      </c>
      <c r="M201" s="11">
        <f>IFERROR(__xludf.DUMMYFUNCTION("""COMPUTED_VALUE"""),11.0)</f>
        <v>11</v>
      </c>
      <c r="N201" s="11">
        <f>IFERROR(__xludf.DUMMYFUNCTION("""COMPUTED_VALUE"""),13648.0)</f>
        <v>13648</v>
      </c>
      <c r="O201" s="13">
        <f>IFERROR(__xludf.DUMMYFUNCTION("""COMPUTED_VALUE"""),35.0)</f>
        <v>35</v>
      </c>
      <c r="P201" s="14">
        <f>IFERROR(__xludf.DUMMYFUNCTION("""COMPUTED_VALUE"""),29.0)</f>
        <v>29</v>
      </c>
      <c r="Q201" s="13">
        <f>IFERROR(__xludf.DUMMYFUNCTION("""COMPUTED_VALUE"""),50.0)</f>
        <v>50</v>
      </c>
      <c r="R201" s="13">
        <f>IFERROR(__xludf.DUMMYFUNCTION("""COMPUTED_VALUE"""),97.0)</f>
        <v>97</v>
      </c>
      <c r="S201" s="15">
        <f>IFERROR(__xludf.DUMMYFUNCTION("""COMPUTED_VALUE"""),0.36082474226804123)</f>
        <v>0.3608247423</v>
      </c>
      <c r="T201" s="16">
        <f>IFERROR(__xludf.DUMMYFUNCTION("""COMPUTED_VALUE"""),426.5)</f>
        <v>426.5</v>
      </c>
      <c r="U201" s="16">
        <f>IFERROR(__xludf.DUMMYFUNCTION("""COMPUTED_VALUE"""),1.09375)</f>
        <v>1.09375</v>
      </c>
      <c r="V201" s="16">
        <f>IFERROR(__xludf.DUMMYFUNCTION("""COMPUTED_VALUE"""),0.90625)</f>
        <v>0.90625</v>
      </c>
      <c r="W201" s="16">
        <f>IFERROR(__xludf.DUMMYFUNCTION("""COMPUTED_VALUE"""),1.5625)</f>
        <v>1.5625</v>
      </c>
      <c r="X201" s="16">
        <f>IFERROR(__xludf.DUMMYFUNCTION("""COMPUTED_VALUE"""),3.03125)</f>
        <v>3.03125</v>
      </c>
      <c r="Y201" s="11">
        <f>IFERROR(__xludf.DUMMYFUNCTION("""COMPUTED_VALUE"""),12.0)</f>
        <v>12</v>
      </c>
      <c r="Z201" s="11">
        <f>IFERROR(__xludf.DUMMYFUNCTION("""COMPUTED_VALUE"""),4.0)</f>
        <v>4</v>
      </c>
      <c r="AA201" s="11">
        <f>IFERROR(__xludf.DUMMYFUNCTION("""COMPUTED_VALUE"""),1.0)</f>
        <v>1</v>
      </c>
      <c r="AB201" s="11">
        <f>IFERROR(__xludf.DUMMYFUNCTION("""COMPUTED_VALUE"""),7.0)</f>
        <v>7</v>
      </c>
      <c r="AC201" s="11">
        <f>IFERROR(__xludf.DUMMYFUNCTION("""COMPUTED_VALUE"""),36.0)</f>
        <v>36</v>
      </c>
      <c r="AD201" s="11">
        <f>IFERROR(__xludf.DUMMYFUNCTION("""COMPUTED_VALUE"""),41.0)</f>
        <v>41</v>
      </c>
    </row>
    <row r="202">
      <c r="A202" s="10" t="str">
        <f>IFERROR(__xludf.DUMMYFUNCTION("""COMPUTED_VALUE"""),"Elite")</f>
        <v>Elite</v>
      </c>
      <c r="B202" s="10" t="str">
        <f>IFERROR(__xludf.DUMMYFUNCTION("""COMPUTED_VALUE"""),"RSC006581")</f>
        <v>RSC006581</v>
      </c>
      <c r="C202" s="10" t="str">
        <f>IFERROR(__xludf.DUMMYFUNCTION("""COMPUTED_VALUE"""),"Light_Wigglebean")</f>
        <v>Light_Wigglebean</v>
      </c>
      <c r="D202" s="36" t="str">
        <f>IFERROR(__xludf.DUMMYFUNCTION("""COMPUTED_VALUE"""),"Black-Holes")</f>
        <v>Black-Holes</v>
      </c>
      <c r="E202" s="10" t="str">
        <f>IFERROR(__xludf.DUMMYFUNCTION("""COMPUTED_VALUE"""),"Lunar")</f>
        <v>Lunar</v>
      </c>
      <c r="F202" s="37">
        <f>IFERROR(__xludf.DUMMYFUNCTION("""COMPUTED_VALUE"""),83.91220470729564)</f>
        <v>83.91220471</v>
      </c>
      <c r="G202" s="38">
        <f>IFERROR(__xludf.DUMMYFUNCTION("""COMPUTED_VALUE"""),84.04907088757025)</f>
        <v>84.04907089</v>
      </c>
      <c r="H202" s="38">
        <f>IFERROR(__xludf.DUMMYFUNCTION("""COMPUTED_VALUE"""),83.98063779743295)</f>
        <v>83.9806378</v>
      </c>
      <c r="I202" s="14">
        <f>IFERROR(__xludf.DUMMYFUNCTION("""COMPUTED_VALUE"""),44.0)</f>
        <v>44</v>
      </c>
      <c r="J202" s="11">
        <f>IFERROR(__xludf.DUMMYFUNCTION("IFERROR(FILTER(Stats!$F:$Z,(Stats!$A:$A=$A202)*(Stats!$B:$B=$B202)))"),27.0)</f>
        <v>27</v>
      </c>
      <c r="K202" s="11">
        <f>IFERROR(__xludf.DUMMYFUNCTION("""COMPUTED_VALUE"""),17.0)</f>
        <v>17</v>
      </c>
      <c r="L202" s="12">
        <f>IFERROR(__xludf.DUMMYFUNCTION("""COMPUTED_VALUE"""),0.6136363636363636)</f>
        <v>0.6136363636</v>
      </c>
      <c r="M202" s="11">
        <f>IFERROR(__xludf.DUMMYFUNCTION("""COMPUTED_VALUE"""),10.0)</f>
        <v>10</v>
      </c>
      <c r="N202" s="11">
        <f>IFERROR(__xludf.DUMMYFUNCTION("""COMPUTED_VALUE"""),18840.0)</f>
        <v>18840</v>
      </c>
      <c r="O202" s="13">
        <f>IFERROR(__xludf.DUMMYFUNCTION("""COMPUTED_VALUE"""),48.0)</f>
        <v>48</v>
      </c>
      <c r="P202" s="14">
        <f>IFERROR(__xludf.DUMMYFUNCTION("""COMPUTED_VALUE"""),40.0)</f>
        <v>40</v>
      </c>
      <c r="Q202" s="13">
        <f>IFERROR(__xludf.DUMMYFUNCTION("""COMPUTED_VALUE"""),59.0)</f>
        <v>59</v>
      </c>
      <c r="R202" s="13">
        <f>IFERROR(__xludf.DUMMYFUNCTION("""COMPUTED_VALUE"""),150.0)</f>
        <v>150</v>
      </c>
      <c r="S202" s="15">
        <f>IFERROR(__xludf.DUMMYFUNCTION("""COMPUTED_VALUE"""),0.32)</f>
        <v>0.32</v>
      </c>
      <c r="T202" s="16">
        <f>IFERROR(__xludf.DUMMYFUNCTION("""COMPUTED_VALUE"""),428.1818181818182)</f>
        <v>428.1818182</v>
      </c>
      <c r="U202" s="16">
        <f>IFERROR(__xludf.DUMMYFUNCTION("""COMPUTED_VALUE"""),1.0909090909090908)</f>
        <v>1.090909091</v>
      </c>
      <c r="V202" s="16">
        <f>IFERROR(__xludf.DUMMYFUNCTION("""COMPUTED_VALUE"""),0.9090909090909091)</f>
        <v>0.9090909091</v>
      </c>
      <c r="W202" s="16">
        <f>IFERROR(__xludf.DUMMYFUNCTION("""COMPUTED_VALUE"""),1.3409090909090908)</f>
        <v>1.340909091</v>
      </c>
      <c r="X202" s="16">
        <f>IFERROR(__xludf.DUMMYFUNCTION("""COMPUTED_VALUE"""),3.409090909090909)</f>
        <v>3.409090909</v>
      </c>
      <c r="Y202" s="11">
        <f>IFERROR(__xludf.DUMMYFUNCTION("""COMPUTED_VALUE"""),15.0)</f>
        <v>15</v>
      </c>
      <c r="Z202" s="11">
        <f>IFERROR(__xludf.DUMMYFUNCTION("""COMPUTED_VALUE"""),5.0)</f>
        <v>5</v>
      </c>
      <c r="AA202" s="11">
        <f>IFERROR(__xludf.DUMMYFUNCTION("""COMPUTED_VALUE"""),2.0)</f>
        <v>2</v>
      </c>
      <c r="AB202" s="11">
        <f>IFERROR(__xludf.DUMMYFUNCTION("""COMPUTED_VALUE"""),7.0)</f>
        <v>7</v>
      </c>
      <c r="AC202" s="11">
        <f>IFERROR(__xludf.DUMMYFUNCTION("""COMPUTED_VALUE"""),76.0)</f>
        <v>76</v>
      </c>
      <c r="AD202" s="11">
        <f>IFERROR(__xludf.DUMMYFUNCTION("""COMPUTED_VALUE"""),58.0)</f>
        <v>58</v>
      </c>
    </row>
    <row r="203">
      <c r="A203" s="10" t="str">
        <f>IFERROR(__xludf.DUMMYFUNCTION("""COMPUTED_VALUE"""),"Elite")</f>
        <v>Elite</v>
      </c>
      <c r="B203" s="10" t="str">
        <f>IFERROR(__xludf.DUMMYFUNCTION("""COMPUTED_VALUE"""),"RSC005709")</f>
        <v>RSC005709</v>
      </c>
      <c r="C203" s="10" t="str">
        <f>IFERROR(__xludf.DUMMYFUNCTION("""COMPUTED_VALUE"""),"ZavaRL")</f>
        <v>ZavaRL</v>
      </c>
      <c r="D203" s="36" t="str">
        <f>IFERROR(__xludf.DUMMYFUNCTION("""COMPUTED_VALUE"""),"Black-Holes
Praetorian Guard
Teddy Bears")</f>
        <v>Black-Holes
Praetorian Guard
Teddy Bears</v>
      </c>
      <c r="E203" s="10" t="str">
        <f>IFERROR(__xludf.DUMMYFUNCTION("""COMPUTED_VALUE"""),"Lunar
Solar
Solar")</f>
        <v>Lunar
Solar
Solar</v>
      </c>
      <c r="F203" s="37">
        <f>IFERROR(__xludf.DUMMYFUNCTION("""COMPUTED_VALUE"""),86.12680671850474)</f>
        <v>86.12680672</v>
      </c>
      <c r="G203" s="38">
        <f>IFERROR(__xludf.DUMMYFUNCTION("""COMPUTED_VALUE"""),76.97497615350468)</f>
        <v>76.97497615</v>
      </c>
      <c r="H203" s="38">
        <f>IFERROR(__xludf.DUMMYFUNCTION("""COMPUTED_VALUE"""),81.55089143600472)</f>
        <v>81.55089144</v>
      </c>
      <c r="I203" s="14">
        <f>IFERROR(__xludf.DUMMYFUNCTION("""COMPUTED_VALUE"""),21.0)</f>
        <v>21</v>
      </c>
      <c r="J203" s="11">
        <f>IFERROR(__xludf.DUMMYFUNCTION("IFERROR(FILTER(Stats!$F:$Z,(Stats!$A:$A=$A203)*(Stats!$B:$B=$B203)))"),15.0)</f>
        <v>15</v>
      </c>
      <c r="K203" s="11">
        <f>IFERROR(__xludf.DUMMYFUNCTION("""COMPUTED_VALUE"""),6.0)</f>
        <v>6</v>
      </c>
      <c r="L203" s="12">
        <f>IFERROR(__xludf.DUMMYFUNCTION("""COMPUTED_VALUE"""),0.7142857142857143)</f>
        <v>0.7142857143</v>
      </c>
      <c r="M203" s="11">
        <f>IFERROR(__xludf.DUMMYFUNCTION("""COMPUTED_VALUE"""),7.0)</f>
        <v>7</v>
      </c>
      <c r="N203" s="11">
        <f>IFERROR(__xludf.DUMMYFUNCTION("""COMPUTED_VALUE"""),8858.0)</f>
        <v>8858</v>
      </c>
      <c r="O203" s="13">
        <f>IFERROR(__xludf.DUMMYFUNCTION("""COMPUTED_VALUE"""),21.0)</f>
        <v>21</v>
      </c>
      <c r="P203" s="14">
        <f>IFERROR(__xludf.DUMMYFUNCTION("""COMPUTED_VALUE"""),23.0)</f>
        <v>23</v>
      </c>
      <c r="Q203" s="13">
        <f>IFERROR(__xludf.DUMMYFUNCTION("""COMPUTED_VALUE"""),28.0)</f>
        <v>28</v>
      </c>
      <c r="R203" s="13">
        <f>IFERROR(__xludf.DUMMYFUNCTION("""COMPUTED_VALUE"""),55.0)</f>
        <v>55</v>
      </c>
      <c r="S203" s="15">
        <f>IFERROR(__xludf.DUMMYFUNCTION("""COMPUTED_VALUE"""),0.38181818181818183)</f>
        <v>0.3818181818</v>
      </c>
      <c r="T203" s="16">
        <f>IFERROR(__xludf.DUMMYFUNCTION("""COMPUTED_VALUE"""),421.8095238095238)</f>
        <v>421.8095238</v>
      </c>
      <c r="U203" s="16">
        <f>IFERROR(__xludf.DUMMYFUNCTION("""COMPUTED_VALUE"""),1.0)</f>
        <v>1</v>
      </c>
      <c r="V203" s="16">
        <f>IFERROR(__xludf.DUMMYFUNCTION("""COMPUTED_VALUE"""),1.0952380952380953)</f>
        <v>1.095238095</v>
      </c>
      <c r="W203" s="16">
        <f>IFERROR(__xludf.DUMMYFUNCTION("""COMPUTED_VALUE"""),1.3333333333333333)</f>
        <v>1.333333333</v>
      </c>
      <c r="X203" s="16">
        <f>IFERROR(__xludf.DUMMYFUNCTION("""COMPUTED_VALUE"""),2.619047619047619)</f>
        <v>2.619047619</v>
      </c>
      <c r="Y203" s="11">
        <f>IFERROR(__xludf.DUMMYFUNCTION("""COMPUTED_VALUE"""),9.0)</f>
        <v>9</v>
      </c>
      <c r="Z203" s="11">
        <f>IFERROR(__xludf.DUMMYFUNCTION("""COMPUTED_VALUE"""),1.0)</f>
        <v>1</v>
      </c>
      <c r="AA203" s="11">
        <f>IFERROR(__xludf.DUMMYFUNCTION("""COMPUTED_VALUE"""),4.0)</f>
        <v>4</v>
      </c>
      <c r="AB203" s="11">
        <f>IFERROR(__xludf.DUMMYFUNCTION("""COMPUTED_VALUE"""),2.0)</f>
        <v>2</v>
      </c>
      <c r="AC203" s="11">
        <f>IFERROR(__xludf.DUMMYFUNCTION("""COMPUTED_VALUE"""),17.0)</f>
        <v>17</v>
      </c>
      <c r="AD203" s="11">
        <f>IFERROR(__xludf.DUMMYFUNCTION("""COMPUTED_VALUE"""),39.0)</f>
        <v>39</v>
      </c>
    </row>
    <row r="204">
      <c r="A204" s="10" t="str">
        <f>IFERROR(__xludf.DUMMYFUNCTION("""COMPUTED_VALUE"""),"Elite")</f>
        <v>Elite</v>
      </c>
      <c r="B204" s="10" t="str">
        <f>IFERROR(__xludf.DUMMYFUNCTION("""COMPUTED_VALUE"""),"RSC008155")</f>
        <v>RSC008155</v>
      </c>
      <c r="C204" s="10" t="str">
        <f>IFERROR(__xludf.DUMMYFUNCTION("""COMPUTED_VALUE"""),"WinterMajorChamp")</f>
        <v>WinterMajorChamp</v>
      </c>
      <c r="D204" s="36" t="str">
        <f>IFERROR(__xludf.DUMMYFUNCTION("""COMPUTED_VALUE"""),"Sloths")</f>
        <v>Sloths</v>
      </c>
      <c r="E204" s="10" t="str">
        <f>IFERROR(__xludf.DUMMYFUNCTION("""COMPUTED_VALUE"""),"Solar")</f>
        <v>Solar</v>
      </c>
      <c r="F204" s="37">
        <f>IFERROR(__xludf.DUMMYFUNCTION("""COMPUTED_VALUE"""),79.11839797547873)</f>
        <v>79.11839798</v>
      </c>
      <c r="G204" s="38">
        <f>IFERROR(__xludf.DUMMYFUNCTION("""COMPUTED_VALUE"""),82.51001188460776)</f>
        <v>82.51001188</v>
      </c>
      <c r="H204" s="38">
        <f>IFERROR(__xludf.DUMMYFUNCTION("""COMPUTED_VALUE"""),80.81420493004325)</f>
        <v>80.81420493</v>
      </c>
      <c r="I204" s="14">
        <f>IFERROR(__xludf.DUMMYFUNCTION("""COMPUTED_VALUE"""),52.0)</f>
        <v>52</v>
      </c>
      <c r="J204" s="11">
        <f>IFERROR(__xludf.DUMMYFUNCTION("IFERROR(FILTER(Stats!$F:$Z,(Stats!$A:$A=$A204)*(Stats!$B:$B=$B204)))"),26.0)</f>
        <v>26</v>
      </c>
      <c r="K204" s="11">
        <f>IFERROR(__xludf.DUMMYFUNCTION("""COMPUTED_VALUE"""),26.0)</f>
        <v>26</v>
      </c>
      <c r="L204" s="12">
        <f>IFERROR(__xludf.DUMMYFUNCTION("""COMPUTED_VALUE"""),0.5)</f>
        <v>0.5</v>
      </c>
      <c r="M204" s="11">
        <f>IFERROR(__xludf.DUMMYFUNCTION("""COMPUTED_VALUE"""),10.0)</f>
        <v>10</v>
      </c>
      <c r="N204" s="11">
        <f>IFERROR(__xludf.DUMMYFUNCTION("""COMPUTED_VALUE"""),21687.0)</f>
        <v>21687</v>
      </c>
      <c r="O204" s="13">
        <f>IFERROR(__xludf.DUMMYFUNCTION("""COMPUTED_VALUE"""),58.0)</f>
        <v>58</v>
      </c>
      <c r="P204" s="14">
        <f>IFERROR(__xludf.DUMMYFUNCTION("""COMPUTED_VALUE"""),37.0)</f>
        <v>37</v>
      </c>
      <c r="Q204" s="13">
        <f>IFERROR(__xludf.DUMMYFUNCTION("""COMPUTED_VALUE"""),67.0)</f>
        <v>67</v>
      </c>
      <c r="R204" s="13">
        <f>IFERROR(__xludf.DUMMYFUNCTION("""COMPUTED_VALUE"""),169.0)</f>
        <v>169</v>
      </c>
      <c r="S204" s="15">
        <f>IFERROR(__xludf.DUMMYFUNCTION("""COMPUTED_VALUE"""),0.3431952662721893)</f>
        <v>0.3431952663</v>
      </c>
      <c r="T204" s="16">
        <f>IFERROR(__xludf.DUMMYFUNCTION("""COMPUTED_VALUE"""),417.0576923076923)</f>
        <v>417.0576923</v>
      </c>
      <c r="U204" s="16">
        <f>IFERROR(__xludf.DUMMYFUNCTION("""COMPUTED_VALUE"""),1.1153846153846154)</f>
        <v>1.115384615</v>
      </c>
      <c r="V204" s="16">
        <f>IFERROR(__xludf.DUMMYFUNCTION("""COMPUTED_VALUE"""),0.7115384615384616)</f>
        <v>0.7115384615</v>
      </c>
      <c r="W204" s="16">
        <f>IFERROR(__xludf.DUMMYFUNCTION("""COMPUTED_VALUE"""),1.2884615384615385)</f>
        <v>1.288461538</v>
      </c>
      <c r="X204" s="16">
        <f>IFERROR(__xludf.DUMMYFUNCTION("""COMPUTED_VALUE"""),3.25)</f>
        <v>3.25</v>
      </c>
      <c r="Y204" s="11">
        <f>IFERROR(__xludf.DUMMYFUNCTION("""COMPUTED_VALUE"""),18.0)</f>
        <v>18</v>
      </c>
      <c r="Z204" s="11">
        <f>IFERROR(__xludf.DUMMYFUNCTION("""COMPUTED_VALUE"""),4.0)</f>
        <v>4</v>
      </c>
      <c r="AA204" s="11">
        <f>IFERROR(__xludf.DUMMYFUNCTION("""COMPUTED_VALUE"""),1.0)</f>
        <v>1</v>
      </c>
      <c r="AB204" s="11">
        <f>IFERROR(__xludf.DUMMYFUNCTION("""COMPUTED_VALUE"""),8.0)</f>
        <v>8</v>
      </c>
      <c r="AC204" s="11">
        <f>IFERROR(__xludf.DUMMYFUNCTION("""COMPUTED_VALUE"""),83.0)</f>
        <v>83</v>
      </c>
      <c r="AD204" s="11">
        <f>IFERROR(__xludf.DUMMYFUNCTION("""COMPUTED_VALUE"""),31.0)</f>
        <v>31</v>
      </c>
    </row>
    <row r="205">
      <c r="A205" s="10" t="str">
        <f>IFERROR(__xludf.DUMMYFUNCTION("""COMPUTED_VALUE"""),"Elite")</f>
        <v>Elite</v>
      </c>
      <c r="B205" s="10" t="str">
        <f>IFERROR(__xludf.DUMMYFUNCTION("""COMPUTED_VALUE"""),"RSC006783")</f>
        <v>RSC006783</v>
      </c>
      <c r="C205" s="10" t="str">
        <f>IFERROR(__xludf.DUMMYFUNCTION("""COMPUTED_VALUE"""),"ImSouperGreat")</f>
        <v>ImSouperGreat</v>
      </c>
      <c r="D205" s="36" t="str">
        <f>IFERROR(__xludf.DUMMYFUNCTION("""COMPUTED_VALUE"""),"Great Whites")</f>
        <v>Great Whites</v>
      </c>
      <c r="E205" s="10" t="str">
        <f>IFERROR(__xludf.DUMMYFUNCTION("""COMPUTED_VALUE"""),"Solar")</f>
        <v>Solar</v>
      </c>
      <c r="F205" s="37">
        <f>IFERROR(__xludf.DUMMYFUNCTION("""COMPUTED_VALUE"""),80.30564625684544)</f>
        <v>80.30564626</v>
      </c>
      <c r="G205" s="38">
        <f>IFERROR(__xludf.DUMMYFUNCTION("""COMPUTED_VALUE"""),80.9785910084896)</f>
        <v>80.97859101</v>
      </c>
      <c r="H205" s="38">
        <f>IFERROR(__xludf.DUMMYFUNCTION("""COMPUTED_VALUE"""),80.64211863266752)</f>
        <v>80.64211863</v>
      </c>
      <c r="I205" s="14">
        <f>IFERROR(__xludf.DUMMYFUNCTION("""COMPUTED_VALUE"""),56.0)</f>
        <v>56</v>
      </c>
      <c r="J205" s="11">
        <f>IFERROR(__xludf.DUMMYFUNCTION("IFERROR(FILTER(Stats!$F:$Z,(Stats!$A:$A=$A205)*(Stats!$B:$B=$B205)))"),38.0)</f>
        <v>38</v>
      </c>
      <c r="K205" s="11">
        <f>IFERROR(__xludf.DUMMYFUNCTION("""COMPUTED_VALUE"""),18.0)</f>
        <v>18</v>
      </c>
      <c r="L205" s="12">
        <f>IFERROR(__xludf.DUMMYFUNCTION("""COMPUTED_VALUE"""),0.6785714285714286)</f>
        <v>0.6785714286</v>
      </c>
      <c r="M205" s="11">
        <f>IFERROR(__xludf.DUMMYFUNCTION("""COMPUTED_VALUE"""),15.0)</f>
        <v>15</v>
      </c>
      <c r="N205" s="11">
        <f>IFERROR(__xludf.DUMMYFUNCTION("""COMPUTED_VALUE"""),23080.0)</f>
        <v>23080</v>
      </c>
      <c r="O205" s="13">
        <f>IFERROR(__xludf.DUMMYFUNCTION("""COMPUTED_VALUE"""),57.0)</f>
        <v>57</v>
      </c>
      <c r="P205" s="14">
        <f>IFERROR(__xludf.DUMMYFUNCTION("""COMPUTED_VALUE"""),36.0)</f>
        <v>36</v>
      </c>
      <c r="Q205" s="13">
        <f>IFERROR(__xludf.DUMMYFUNCTION("""COMPUTED_VALUE"""),76.0)</f>
        <v>76</v>
      </c>
      <c r="R205" s="13">
        <f>IFERROR(__xludf.DUMMYFUNCTION("""COMPUTED_VALUE"""),155.0)</f>
        <v>155</v>
      </c>
      <c r="S205" s="15">
        <f>IFERROR(__xludf.DUMMYFUNCTION("""COMPUTED_VALUE"""),0.36774193548387096)</f>
        <v>0.3677419355</v>
      </c>
      <c r="T205" s="16">
        <f>IFERROR(__xludf.DUMMYFUNCTION("""COMPUTED_VALUE"""),412.14285714285717)</f>
        <v>412.1428571</v>
      </c>
      <c r="U205" s="16">
        <f>IFERROR(__xludf.DUMMYFUNCTION("""COMPUTED_VALUE"""),1.0178571428571428)</f>
        <v>1.017857143</v>
      </c>
      <c r="V205" s="16">
        <f>IFERROR(__xludf.DUMMYFUNCTION("""COMPUTED_VALUE"""),0.6428571428571429)</f>
        <v>0.6428571429</v>
      </c>
      <c r="W205" s="16">
        <f>IFERROR(__xludf.DUMMYFUNCTION("""COMPUTED_VALUE"""),1.3571428571428572)</f>
        <v>1.357142857</v>
      </c>
      <c r="X205" s="16">
        <f>IFERROR(__xludf.DUMMYFUNCTION("""COMPUTED_VALUE"""),2.767857142857143)</f>
        <v>2.767857143</v>
      </c>
      <c r="Y205" s="11">
        <f>IFERROR(__xludf.DUMMYFUNCTION("""COMPUTED_VALUE"""),18.0)</f>
        <v>18</v>
      </c>
      <c r="Z205" s="11">
        <f>IFERROR(__xludf.DUMMYFUNCTION("""COMPUTED_VALUE"""),5.0)</f>
        <v>5</v>
      </c>
      <c r="AA205" s="11">
        <f>IFERROR(__xludf.DUMMYFUNCTION("""COMPUTED_VALUE"""),1.0)</f>
        <v>1</v>
      </c>
      <c r="AB205" s="11">
        <f>IFERROR(__xludf.DUMMYFUNCTION("""COMPUTED_VALUE"""),8.0)</f>
        <v>8</v>
      </c>
      <c r="AC205" s="11">
        <f>IFERROR(__xludf.DUMMYFUNCTION("""COMPUTED_VALUE"""),68.0)</f>
        <v>68</v>
      </c>
      <c r="AD205" s="11">
        <f>IFERROR(__xludf.DUMMYFUNCTION("""COMPUTED_VALUE"""),60.0)</f>
        <v>60</v>
      </c>
    </row>
    <row r="206">
      <c r="A206" s="10" t="str">
        <f>IFERROR(__xludf.DUMMYFUNCTION("""COMPUTED_VALUE"""),"Elite")</f>
        <v>Elite</v>
      </c>
      <c r="B206" s="10" t="str">
        <f>IFERROR(__xludf.DUMMYFUNCTION("""COMPUTED_VALUE"""),"RSC004966")</f>
        <v>RSC004966</v>
      </c>
      <c r="C206" s="10" t="str">
        <f>IFERROR(__xludf.DUMMYFUNCTION("""COMPUTED_VALUE"""),"Buck")</f>
        <v>Buck</v>
      </c>
      <c r="D206" s="36" t="str">
        <f>IFERROR(__xludf.DUMMYFUNCTION("""COMPUTED_VALUE"""),"Embezzlers")</f>
        <v>Embezzlers</v>
      </c>
      <c r="E206" s="10" t="str">
        <f>IFERROR(__xludf.DUMMYFUNCTION("""COMPUTED_VALUE"""),"Lunar")</f>
        <v>Lunar</v>
      </c>
      <c r="F206" s="37">
        <f>IFERROR(__xludf.DUMMYFUNCTION("""COMPUTED_VALUE"""),79.95980268473878)</f>
        <v>79.95980268</v>
      </c>
      <c r="G206" s="38">
        <f>IFERROR(__xludf.DUMMYFUNCTION("""COMPUTED_VALUE"""),80.12296859673636)</f>
        <v>80.1229686</v>
      </c>
      <c r="H206" s="38">
        <f>IFERROR(__xludf.DUMMYFUNCTION("""COMPUTED_VALUE"""),80.04138564073756)</f>
        <v>80.04138564</v>
      </c>
      <c r="I206" s="14">
        <f>IFERROR(__xludf.DUMMYFUNCTION("""COMPUTED_VALUE"""),34.0)</f>
        <v>34</v>
      </c>
      <c r="J206" s="11">
        <f>IFERROR(__xludf.DUMMYFUNCTION("IFERROR(FILTER(Stats!$F:$Z,(Stats!$A:$A=$A206)*(Stats!$B:$B=$B206)))"),25.0)</f>
        <v>25</v>
      </c>
      <c r="K206" s="11">
        <f>IFERROR(__xludf.DUMMYFUNCTION("""COMPUTED_VALUE"""),9.0)</f>
        <v>9</v>
      </c>
      <c r="L206" s="12">
        <f>IFERROR(__xludf.DUMMYFUNCTION("""COMPUTED_VALUE"""),0.7352941176470589)</f>
        <v>0.7352941176</v>
      </c>
      <c r="M206" s="11">
        <f>IFERROR(__xludf.DUMMYFUNCTION("""COMPUTED_VALUE"""),10.0)</f>
        <v>10</v>
      </c>
      <c r="N206" s="11">
        <f>IFERROR(__xludf.DUMMYFUNCTION("""COMPUTED_VALUE"""),12698.0)</f>
        <v>12698</v>
      </c>
      <c r="O206" s="13">
        <f>IFERROR(__xludf.DUMMYFUNCTION("""COMPUTED_VALUE"""),38.0)</f>
        <v>38</v>
      </c>
      <c r="P206" s="14">
        <f>IFERROR(__xludf.DUMMYFUNCTION("""COMPUTED_VALUE"""),29.0)</f>
        <v>29</v>
      </c>
      <c r="Q206" s="13">
        <f>IFERROR(__xludf.DUMMYFUNCTION("""COMPUTED_VALUE"""),38.0)</f>
        <v>38</v>
      </c>
      <c r="R206" s="13">
        <f>IFERROR(__xludf.DUMMYFUNCTION("""COMPUTED_VALUE"""),96.0)</f>
        <v>96</v>
      </c>
      <c r="S206" s="15">
        <f>IFERROR(__xludf.DUMMYFUNCTION("""COMPUTED_VALUE"""),0.3958333333333333)</f>
        <v>0.3958333333</v>
      </c>
      <c r="T206" s="16">
        <f>IFERROR(__xludf.DUMMYFUNCTION("""COMPUTED_VALUE"""),373.47058823529414)</f>
        <v>373.4705882</v>
      </c>
      <c r="U206" s="16">
        <f>IFERROR(__xludf.DUMMYFUNCTION("""COMPUTED_VALUE"""),1.1176470588235294)</f>
        <v>1.117647059</v>
      </c>
      <c r="V206" s="16">
        <f>IFERROR(__xludf.DUMMYFUNCTION("""COMPUTED_VALUE"""),0.8529411764705882)</f>
        <v>0.8529411765</v>
      </c>
      <c r="W206" s="16">
        <f>IFERROR(__xludf.DUMMYFUNCTION("""COMPUTED_VALUE"""),1.1176470588235294)</f>
        <v>1.117647059</v>
      </c>
      <c r="X206" s="16">
        <f>IFERROR(__xludf.DUMMYFUNCTION("""COMPUTED_VALUE"""),2.823529411764706)</f>
        <v>2.823529412</v>
      </c>
      <c r="Y206" s="11">
        <f>IFERROR(__xludf.DUMMYFUNCTION("""COMPUTED_VALUE"""),12.0)</f>
        <v>12</v>
      </c>
      <c r="Z206" s="11">
        <f>IFERROR(__xludf.DUMMYFUNCTION("""COMPUTED_VALUE"""),3.0)</f>
        <v>3</v>
      </c>
      <c r="AA206" s="11">
        <f>IFERROR(__xludf.DUMMYFUNCTION("""COMPUTED_VALUE"""),3.0)</f>
        <v>3</v>
      </c>
      <c r="AB206" s="11">
        <f>IFERROR(__xludf.DUMMYFUNCTION("""COMPUTED_VALUE"""),3.0)</f>
        <v>3</v>
      </c>
      <c r="AC206" s="11">
        <f>IFERROR(__xludf.DUMMYFUNCTION("""COMPUTED_VALUE"""),32.0)</f>
        <v>32</v>
      </c>
      <c r="AD206" s="11">
        <f>IFERROR(__xludf.DUMMYFUNCTION("""COMPUTED_VALUE"""),35.0)</f>
        <v>35</v>
      </c>
    </row>
    <row r="207">
      <c r="A207" s="10" t="str">
        <f>IFERROR(__xludf.DUMMYFUNCTION("""COMPUTED_VALUE"""),"Elite")</f>
        <v>Elite</v>
      </c>
      <c r="B207" s="10" t="str">
        <f>IFERROR(__xludf.DUMMYFUNCTION("""COMPUTED_VALUE"""),"RSC005524")</f>
        <v>RSC005524</v>
      </c>
      <c r="C207" s="10" t="str">
        <f>IFERROR(__xludf.DUMMYFUNCTION("""COMPUTED_VALUE"""),"RaunchyRomanian")</f>
        <v>RaunchyRomanian</v>
      </c>
      <c r="D207" s="36" t="str">
        <f>IFERROR(__xludf.DUMMYFUNCTION("""COMPUTED_VALUE"""),"Hydras")</f>
        <v>Hydras</v>
      </c>
      <c r="E207" s="10" t="str">
        <f>IFERROR(__xludf.DUMMYFUNCTION("""COMPUTED_VALUE"""),"Solar")</f>
        <v>Solar</v>
      </c>
      <c r="F207" s="37">
        <f>IFERROR(__xludf.DUMMYFUNCTION("""COMPUTED_VALUE"""),86.92611662891062)</f>
        <v>86.92611663</v>
      </c>
      <c r="G207" s="38">
        <f>IFERROR(__xludf.DUMMYFUNCTION("""COMPUTED_VALUE"""),72.05839933199707)</f>
        <v>72.05839933</v>
      </c>
      <c r="H207" s="38">
        <f>IFERROR(__xludf.DUMMYFUNCTION("""COMPUTED_VALUE"""),79.49225798045384)</f>
        <v>79.49225798</v>
      </c>
      <c r="I207" s="14">
        <f>IFERROR(__xludf.DUMMYFUNCTION("""COMPUTED_VALUE"""),56.0)</f>
        <v>56</v>
      </c>
      <c r="J207" s="11">
        <f>IFERROR(__xludf.DUMMYFUNCTION("IFERROR(FILTER(Stats!$F:$Z,(Stats!$A:$A=$A207)*(Stats!$B:$B=$B207)))"),31.0)</f>
        <v>31</v>
      </c>
      <c r="K207" s="11">
        <f>IFERROR(__xludf.DUMMYFUNCTION("""COMPUTED_VALUE"""),25.0)</f>
        <v>25</v>
      </c>
      <c r="L207" s="12">
        <f>IFERROR(__xludf.DUMMYFUNCTION("""COMPUTED_VALUE"""),0.5535714285714286)</f>
        <v>0.5535714286</v>
      </c>
      <c r="M207" s="11">
        <f>IFERROR(__xludf.DUMMYFUNCTION("""COMPUTED_VALUE"""),17.0)</f>
        <v>17</v>
      </c>
      <c r="N207" s="11">
        <f>IFERROR(__xludf.DUMMYFUNCTION("""COMPUTED_VALUE"""),23227.0)</f>
        <v>23227</v>
      </c>
      <c r="O207" s="13">
        <f>IFERROR(__xludf.DUMMYFUNCTION("""COMPUTED_VALUE"""),47.0)</f>
        <v>47</v>
      </c>
      <c r="P207" s="14">
        <f>IFERROR(__xludf.DUMMYFUNCTION("""COMPUTED_VALUE"""),49.0)</f>
        <v>49</v>
      </c>
      <c r="Q207" s="13">
        <f>IFERROR(__xludf.DUMMYFUNCTION("""COMPUTED_VALUE"""),84.0)</f>
        <v>84</v>
      </c>
      <c r="R207" s="13">
        <f>IFERROR(__xludf.DUMMYFUNCTION("""COMPUTED_VALUE"""),164.0)</f>
        <v>164</v>
      </c>
      <c r="S207" s="15">
        <f>IFERROR(__xludf.DUMMYFUNCTION("""COMPUTED_VALUE"""),0.2865853658536585)</f>
        <v>0.2865853659</v>
      </c>
      <c r="T207" s="16">
        <f>IFERROR(__xludf.DUMMYFUNCTION("""COMPUTED_VALUE"""),414.76785714285717)</f>
        <v>414.7678571</v>
      </c>
      <c r="U207" s="16">
        <f>IFERROR(__xludf.DUMMYFUNCTION("""COMPUTED_VALUE"""),0.8392857142857143)</f>
        <v>0.8392857143</v>
      </c>
      <c r="V207" s="16">
        <f>IFERROR(__xludf.DUMMYFUNCTION("""COMPUTED_VALUE"""),0.875)</f>
        <v>0.875</v>
      </c>
      <c r="W207" s="16">
        <f>IFERROR(__xludf.DUMMYFUNCTION("""COMPUTED_VALUE"""),1.5)</f>
        <v>1.5</v>
      </c>
      <c r="X207" s="16">
        <f>IFERROR(__xludf.DUMMYFUNCTION("""COMPUTED_VALUE"""),2.9285714285714284)</f>
        <v>2.928571429</v>
      </c>
      <c r="Y207" s="11">
        <f>IFERROR(__xludf.DUMMYFUNCTION("""COMPUTED_VALUE"""),14.0)</f>
        <v>14</v>
      </c>
      <c r="Z207" s="11">
        <f>IFERROR(__xludf.DUMMYFUNCTION("""COMPUTED_VALUE"""),4.0)</f>
        <v>4</v>
      </c>
      <c r="AA207" s="11">
        <f>IFERROR(__xludf.DUMMYFUNCTION("""COMPUTED_VALUE"""),3.0)</f>
        <v>3</v>
      </c>
      <c r="AB207" s="11">
        <f>IFERROR(__xludf.DUMMYFUNCTION("""COMPUTED_VALUE"""),13.0)</f>
        <v>13</v>
      </c>
      <c r="AC207" s="11">
        <f>IFERROR(__xludf.DUMMYFUNCTION("""COMPUTED_VALUE"""),20.0)</f>
        <v>20</v>
      </c>
      <c r="AD207" s="11">
        <f>IFERROR(__xludf.DUMMYFUNCTION("""COMPUTED_VALUE"""),68.0)</f>
        <v>68</v>
      </c>
    </row>
    <row r="208">
      <c r="A208" s="10" t="str">
        <f>IFERROR(__xludf.DUMMYFUNCTION("""COMPUTED_VALUE"""),"Elite")</f>
        <v>Elite</v>
      </c>
      <c r="B208" s="10" t="str">
        <f>IFERROR(__xludf.DUMMYFUNCTION("""COMPUTED_VALUE"""),"RSC008493")</f>
        <v>RSC008493</v>
      </c>
      <c r="C208" s="10" t="str">
        <f>IFERROR(__xludf.DUMMYFUNCTION("""COMPUTED_VALUE"""),"wntr.")</f>
        <v>wntr.</v>
      </c>
      <c r="D208" s="36" t="str">
        <f>IFERROR(__xludf.DUMMYFUNCTION("""COMPUTED_VALUE"""),"Ghastly Goombahs")</f>
        <v>Ghastly Goombahs</v>
      </c>
      <c r="E208" s="10" t="str">
        <f>IFERROR(__xludf.DUMMYFUNCTION("""COMPUTED_VALUE"""),"Lunar")</f>
        <v>Lunar</v>
      </c>
      <c r="F208" s="37">
        <f>IFERROR(__xludf.DUMMYFUNCTION("""COMPUTED_VALUE"""),77.57144704572671)</f>
        <v>77.57144705</v>
      </c>
      <c r="G208" s="38">
        <f>IFERROR(__xludf.DUMMYFUNCTION("""COMPUTED_VALUE"""),78.80143940409101)</f>
        <v>78.8014394</v>
      </c>
      <c r="H208" s="38">
        <f>IFERROR(__xludf.DUMMYFUNCTION("""COMPUTED_VALUE"""),78.18644322490886)</f>
        <v>78.18644322</v>
      </c>
      <c r="I208" s="14">
        <f>IFERROR(__xludf.DUMMYFUNCTION("""COMPUTED_VALUE"""),36.0)</f>
        <v>36</v>
      </c>
      <c r="J208" s="11">
        <f>IFERROR(__xludf.DUMMYFUNCTION("IFERROR(FILTER(Stats!$F:$Z,(Stats!$A:$A=$A208)*(Stats!$B:$B=$B208)))"),16.0)</f>
        <v>16</v>
      </c>
      <c r="K208" s="11">
        <f>IFERROR(__xludf.DUMMYFUNCTION("""COMPUTED_VALUE"""),20.0)</f>
        <v>20</v>
      </c>
      <c r="L208" s="12">
        <f>IFERROR(__xludf.DUMMYFUNCTION("""COMPUTED_VALUE"""),0.4444444444444444)</f>
        <v>0.4444444444</v>
      </c>
      <c r="M208" s="11">
        <f>IFERROR(__xludf.DUMMYFUNCTION("""COMPUTED_VALUE"""),8.0)</f>
        <v>8</v>
      </c>
      <c r="N208" s="11">
        <f>IFERROR(__xludf.DUMMYFUNCTION("""COMPUTED_VALUE"""),15742.0)</f>
        <v>15742</v>
      </c>
      <c r="O208" s="13">
        <f>IFERROR(__xludf.DUMMYFUNCTION("""COMPUTED_VALUE"""),37.0)</f>
        <v>37</v>
      </c>
      <c r="P208" s="14">
        <f>IFERROR(__xludf.DUMMYFUNCTION("""COMPUTED_VALUE"""),26.0)</f>
        <v>26</v>
      </c>
      <c r="Q208" s="13">
        <f>IFERROR(__xludf.DUMMYFUNCTION("""COMPUTED_VALUE"""),66.0)</f>
        <v>66</v>
      </c>
      <c r="R208" s="13">
        <f>IFERROR(__xludf.DUMMYFUNCTION("""COMPUTED_VALUE"""),105.0)</f>
        <v>105</v>
      </c>
      <c r="S208" s="15">
        <f>IFERROR(__xludf.DUMMYFUNCTION("""COMPUTED_VALUE"""),0.3523809523809524)</f>
        <v>0.3523809524</v>
      </c>
      <c r="T208" s="16">
        <f>IFERROR(__xludf.DUMMYFUNCTION("""COMPUTED_VALUE"""),437.27777777777777)</f>
        <v>437.2777778</v>
      </c>
      <c r="U208" s="16">
        <f>IFERROR(__xludf.DUMMYFUNCTION("""COMPUTED_VALUE"""),1.0277777777777777)</f>
        <v>1.027777778</v>
      </c>
      <c r="V208" s="16">
        <f>IFERROR(__xludf.DUMMYFUNCTION("""COMPUTED_VALUE"""),0.7222222222222222)</f>
        <v>0.7222222222</v>
      </c>
      <c r="W208" s="16">
        <f>IFERROR(__xludf.DUMMYFUNCTION("""COMPUTED_VALUE"""),1.8333333333333333)</f>
        <v>1.833333333</v>
      </c>
      <c r="X208" s="16">
        <f>IFERROR(__xludf.DUMMYFUNCTION("""COMPUTED_VALUE"""),2.9166666666666665)</f>
        <v>2.916666667</v>
      </c>
      <c r="Y208" s="11">
        <f>IFERROR(__xludf.DUMMYFUNCTION("""COMPUTED_VALUE"""),12.0)</f>
        <v>12</v>
      </c>
      <c r="Z208" s="11">
        <f>IFERROR(__xludf.DUMMYFUNCTION("""COMPUTED_VALUE"""),4.0)</f>
        <v>4</v>
      </c>
      <c r="AA208" s="11">
        <f>IFERROR(__xludf.DUMMYFUNCTION("""COMPUTED_VALUE"""),1.0)</f>
        <v>1</v>
      </c>
      <c r="AB208" s="11">
        <f>IFERROR(__xludf.DUMMYFUNCTION("""COMPUTED_VALUE"""),7.0)</f>
        <v>7</v>
      </c>
      <c r="AC208" s="11">
        <f>IFERROR(__xludf.DUMMYFUNCTION("""COMPUTED_VALUE"""),27.0)</f>
        <v>27</v>
      </c>
      <c r="AD208" s="11">
        <f>IFERROR(__xludf.DUMMYFUNCTION("""COMPUTED_VALUE"""),42.0)</f>
        <v>42</v>
      </c>
    </row>
    <row r="209">
      <c r="A209" s="10" t="str">
        <f>IFERROR(__xludf.DUMMYFUNCTION("""COMPUTED_VALUE"""),"Elite")</f>
        <v>Elite</v>
      </c>
      <c r="B209" s="10" t="str">
        <f>IFERROR(__xludf.DUMMYFUNCTION("""COMPUTED_VALUE"""),"RSC005516")</f>
        <v>RSC005516</v>
      </c>
      <c r="C209" s="10" t="str">
        <f>IFERROR(__xludf.DUMMYFUNCTION("""COMPUTED_VALUE"""),"Pirate Princess Local!")</f>
        <v>Pirate Princess Local!</v>
      </c>
      <c r="D209" s="36" t="str">
        <f>IFERROR(__xludf.DUMMYFUNCTION("""COMPUTED_VALUE"""),"Praetorian Guard")</f>
        <v>Praetorian Guard</v>
      </c>
      <c r="E209" s="10" t="str">
        <f>IFERROR(__xludf.DUMMYFUNCTION("""COMPUTED_VALUE"""),"Solar")</f>
        <v>Solar</v>
      </c>
      <c r="F209" s="37">
        <f>IFERROR(__xludf.DUMMYFUNCTION("""COMPUTED_VALUE"""),79.3797694166827)</f>
        <v>79.37976942</v>
      </c>
      <c r="G209" s="38">
        <f>IFERROR(__xludf.DUMMYFUNCTION("""COMPUTED_VALUE"""),76.48288443129175)</f>
        <v>76.48288443</v>
      </c>
      <c r="H209" s="38">
        <f>IFERROR(__xludf.DUMMYFUNCTION("""COMPUTED_VALUE"""),77.93132692398723)</f>
        <v>77.93132692</v>
      </c>
      <c r="I209" s="14">
        <f>IFERROR(__xludf.DUMMYFUNCTION("""COMPUTED_VALUE"""),36.0)</f>
        <v>36</v>
      </c>
      <c r="J209" s="11">
        <f>IFERROR(__xludf.DUMMYFUNCTION("IFERROR(FILTER(Stats!$F:$Z,(Stats!$A:$A=$A209)*(Stats!$B:$B=$B209)))"),20.0)</f>
        <v>20</v>
      </c>
      <c r="K209" s="11">
        <f>IFERROR(__xludf.DUMMYFUNCTION("""COMPUTED_VALUE"""),16.0)</f>
        <v>16</v>
      </c>
      <c r="L209" s="12">
        <f>IFERROR(__xludf.DUMMYFUNCTION("""COMPUTED_VALUE"""),0.5555555555555556)</f>
        <v>0.5555555556</v>
      </c>
      <c r="M209" s="11">
        <f>IFERROR(__xludf.DUMMYFUNCTION("""COMPUTED_VALUE"""),11.0)</f>
        <v>11</v>
      </c>
      <c r="N209" s="11">
        <f>IFERROR(__xludf.DUMMYFUNCTION("""COMPUTED_VALUE"""),15962.0)</f>
        <v>15962</v>
      </c>
      <c r="O209" s="13">
        <f>IFERROR(__xludf.DUMMYFUNCTION("""COMPUTED_VALUE"""),37.0)</f>
        <v>37</v>
      </c>
      <c r="P209" s="14">
        <f>IFERROR(__xludf.DUMMYFUNCTION("""COMPUTED_VALUE"""),24.0)</f>
        <v>24</v>
      </c>
      <c r="Q209" s="13">
        <f>IFERROR(__xludf.DUMMYFUNCTION("""COMPUTED_VALUE"""),71.0)</f>
        <v>71</v>
      </c>
      <c r="R209" s="13">
        <f>IFERROR(__xludf.DUMMYFUNCTION("""COMPUTED_VALUE"""),110.0)</f>
        <v>110</v>
      </c>
      <c r="S209" s="15">
        <f>IFERROR(__xludf.DUMMYFUNCTION("""COMPUTED_VALUE"""),0.33636363636363636)</f>
        <v>0.3363636364</v>
      </c>
      <c r="T209" s="16">
        <f>IFERROR(__xludf.DUMMYFUNCTION("""COMPUTED_VALUE"""),443.3888888888889)</f>
        <v>443.3888889</v>
      </c>
      <c r="U209" s="16">
        <f>IFERROR(__xludf.DUMMYFUNCTION("""COMPUTED_VALUE"""),1.0277777777777777)</f>
        <v>1.027777778</v>
      </c>
      <c r="V209" s="16">
        <f>IFERROR(__xludf.DUMMYFUNCTION("""COMPUTED_VALUE"""),0.6666666666666666)</f>
        <v>0.6666666667</v>
      </c>
      <c r="W209" s="16">
        <f>IFERROR(__xludf.DUMMYFUNCTION("""COMPUTED_VALUE"""),1.9722222222222223)</f>
        <v>1.972222222</v>
      </c>
      <c r="X209" s="16">
        <f>IFERROR(__xludf.DUMMYFUNCTION("""COMPUTED_VALUE"""),3.0555555555555554)</f>
        <v>3.055555556</v>
      </c>
      <c r="Y209" s="11">
        <f>IFERROR(__xludf.DUMMYFUNCTION("""COMPUTED_VALUE"""),9.0)</f>
        <v>9</v>
      </c>
      <c r="Z209" s="11">
        <f>IFERROR(__xludf.DUMMYFUNCTION("""COMPUTED_VALUE"""),4.0)</f>
        <v>4</v>
      </c>
      <c r="AA209" s="11">
        <f>IFERROR(__xludf.DUMMYFUNCTION("""COMPUTED_VALUE"""),2.0)</f>
        <v>2</v>
      </c>
      <c r="AB209" s="11">
        <f>IFERROR(__xludf.DUMMYFUNCTION("""COMPUTED_VALUE"""),11.0)</f>
        <v>11</v>
      </c>
      <c r="AC209" s="11">
        <f>IFERROR(__xludf.DUMMYFUNCTION("""COMPUTED_VALUE"""),38.0)</f>
        <v>38</v>
      </c>
      <c r="AD209" s="11">
        <f>IFERROR(__xludf.DUMMYFUNCTION("""COMPUTED_VALUE"""),36.0)</f>
        <v>36</v>
      </c>
    </row>
    <row r="210">
      <c r="A210" s="10" t="str">
        <f>IFERROR(__xludf.DUMMYFUNCTION("""COMPUTED_VALUE"""),"Elite")</f>
        <v>Elite</v>
      </c>
      <c r="B210" s="10" t="str">
        <f>IFERROR(__xludf.DUMMYFUNCTION("""COMPUTED_VALUE"""),"RSC008255")</f>
        <v>RSC008255</v>
      </c>
      <c r="C210" s="10" t="str">
        <f>IFERROR(__xludf.DUMMYFUNCTION("""COMPUTED_VALUE"""),"Knabit")</f>
        <v>Knabit</v>
      </c>
      <c r="D210" s="36" t="str">
        <f>IFERROR(__xludf.DUMMYFUNCTION("""COMPUTED_VALUE"""),"Embezzlers")</f>
        <v>Embezzlers</v>
      </c>
      <c r="E210" s="10" t="str">
        <f>IFERROR(__xludf.DUMMYFUNCTION("""COMPUTED_VALUE"""),"Lunar")</f>
        <v>Lunar</v>
      </c>
      <c r="F210" s="37">
        <f>IFERROR(__xludf.DUMMYFUNCTION("""COMPUTED_VALUE"""),82.90325177831511)</f>
        <v>82.90325178</v>
      </c>
      <c r="G210" s="38">
        <f>IFERROR(__xludf.DUMMYFUNCTION("""COMPUTED_VALUE"""),71.90445468175267)</f>
        <v>71.90445468</v>
      </c>
      <c r="H210" s="38">
        <f>IFERROR(__xludf.DUMMYFUNCTION("""COMPUTED_VALUE"""),77.40385323003389)</f>
        <v>77.40385323</v>
      </c>
      <c r="I210" s="14">
        <f>IFERROR(__xludf.DUMMYFUNCTION("""COMPUTED_VALUE"""),52.0)</f>
        <v>52</v>
      </c>
      <c r="J210" s="11">
        <f>IFERROR(__xludf.DUMMYFUNCTION("IFERROR(FILTER(Stats!$F:$Z,(Stats!$A:$A=$A210)*(Stats!$B:$B=$B210)))"),36.0)</f>
        <v>36</v>
      </c>
      <c r="K210" s="11">
        <f>IFERROR(__xludf.DUMMYFUNCTION("""COMPUTED_VALUE"""),16.0)</f>
        <v>16</v>
      </c>
      <c r="L210" s="12">
        <f>IFERROR(__xludf.DUMMYFUNCTION("""COMPUTED_VALUE"""),0.6923076923076923)</f>
        <v>0.6923076923</v>
      </c>
      <c r="M210" s="11">
        <f>IFERROR(__xludf.DUMMYFUNCTION("""COMPUTED_VALUE"""),10.0)</f>
        <v>10</v>
      </c>
      <c r="N210" s="11">
        <f>IFERROR(__xludf.DUMMYFUNCTION("""COMPUTED_VALUE"""),20641.0)</f>
        <v>20641</v>
      </c>
      <c r="O210" s="13">
        <f>IFERROR(__xludf.DUMMYFUNCTION("""COMPUTED_VALUE"""),47.0)</f>
        <v>47</v>
      </c>
      <c r="P210" s="14">
        <f>IFERROR(__xludf.DUMMYFUNCTION("""COMPUTED_VALUE"""),43.0)</f>
        <v>43</v>
      </c>
      <c r="Q210" s="13">
        <f>IFERROR(__xludf.DUMMYFUNCTION("""COMPUTED_VALUE"""),80.0)</f>
        <v>80</v>
      </c>
      <c r="R210" s="13">
        <f>IFERROR(__xludf.DUMMYFUNCTION("""COMPUTED_VALUE"""),139.0)</f>
        <v>139</v>
      </c>
      <c r="S210" s="15">
        <f>IFERROR(__xludf.DUMMYFUNCTION("""COMPUTED_VALUE"""),0.3381294964028777)</f>
        <v>0.3381294964</v>
      </c>
      <c r="T210" s="16">
        <f>IFERROR(__xludf.DUMMYFUNCTION("""COMPUTED_VALUE"""),396.9423076923077)</f>
        <v>396.9423077</v>
      </c>
      <c r="U210" s="16">
        <f>IFERROR(__xludf.DUMMYFUNCTION("""COMPUTED_VALUE"""),0.9038461538461539)</f>
        <v>0.9038461538</v>
      </c>
      <c r="V210" s="16">
        <f>IFERROR(__xludf.DUMMYFUNCTION("""COMPUTED_VALUE"""),0.8269230769230769)</f>
        <v>0.8269230769</v>
      </c>
      <c r="W210" s="16">
        <f>IFERROR(__xludf.DUMMYFUNCTION("""COMPUTED_VALUE"""),1.5384615384615385)</f>
        <v>1.538461538</v>
      </c>
      <c r="X210" s="16">
        <f>IFERROR(__xludf.DUMMYFUNCTION("""COMPUTED_VALUE"""),2.673076923076923)</f>
        <v>2.673076923</v>
      </c>
      <c r="Y210" s="11">
        <f>IFERROR(__xludf.DUMMYFUNCTION("""COMPUTED_VALUE"""),16.0)</f>
        <v>16</v>
      </c>
      <c r="Z210" s="11">
        <f>IFERROR(__xludf.DUMMYFUNCTION("""COMPUTED_VALUE"""),2.0)</f>
        <v>2</v>
      </c>
      <c r="AA210" s="11">
        <f>IFERROR(__xludf.DUMMYFUNCTION("""COMPUTED_VALUE"""),1.0)</f>
        <v>1</v>
      </c>
      <c r="AB210" s="11">
        <f>IFERROR(__xludf.DUMMYFUNCTION("""COMPUTED_VALUE"""),7.0)</f>
        <v>7</v>
      </c>
      <c r="AC210" s="11">
        <f>IFERROR(__xludf.DUMMYFUNCTION("""COMPUTED_VALUE"""),60.0)</f>
        <v>60</v>
      </c>
      <c r="AD210" s="11">
        <f>IFERROR(__xludf.DUMMYFUNCTION("""COMPUTED_VALUE"""),55.0)</f>
        <v>55</v>
      </c>
    </row>
    <row r="211">
      <c r="A211" s="10" t="str">
        <f>IFERROR(__xludf.DUMMYFUNCTION("""COMPUTED_VALUE"""),"Elite")</f>
        <v>Elite</v>
      </c>
      <c r="B211" s="10" t="str">
        <f>IFERROR(__xludf.DUMMYFUNCTION("""COMPUTED_VALUE"""),"RSC005236")</f>
        <v>RSC005236</v>
      </c>
      <c r="C211" s="10" t="str">
        <f>IFERROR(__xludf.DUMMYFUNCTION("""COMPUTED_VALUE"""),"Rozi-")</f>
        <v>Rozi-</v>
      </c>
      <c r="D211" s="36" t="str">
        <f>IFERROR(__xludf.DUMMYFUNCTION("""COMPUTED_VALUE"""),"Forest Cobra")</f>
        <v>Forest Cobra</v>
      </c>
      <c r="E211" s="10" t="str">
        <f>IFERROR(__xludf.DUMMYFUNCTION("""COMPUTED_VALUE"""),"Lunar")</f>
        <v>Lunar</v>
      </c>
      <c r="F211" s="37">
        <f>IFERROR(__xludf.DUMMYFUNCTION("""COMPUTED_VALUE"""),76.8306635551667)</f>
        <v>76.83066356</v>
      </c>
      <c r="G211" s="38">
        <f>IFERROR(__xludf.DUMMYFUNCTION("""COMPUTED_VALUE"""),76.93333719637708)</f>
        <v>76.9333372</v>
      </c>
      <c r="H211" s="38">
        <f>IFERROR(__xludf.DUMMYFUNCTION("""COMPUTED_VALUE"""),76.8820003757719)</f>
        <v>76.88200038</v>
      </c>
      <c r="I211" s="14">
        <f>IFERROR(__xludf.DUMMYFUNCTION("""COMPUTED_VALUE"""),49.0)</f>
        <v>49</v>
      </c>
      <c r="J211" s="11">
        <f>IFERROR(__xludf.DUMMYFUNCTION("IFERROR(FILTER(Stats!$F:$Z,(Stats!$A:$A=$A211)*(Stats!$B:$B=$B211)))"),34.0)</f>
        <v>34</v>
      </c>
      <c r="K211" s="11">
        <f>IFERROR(__xludf.DUMMYFUNCTION("""COMPUTED_VALUE"""),15.0)</f>
        <v>15</v>
      </c>
      <c r="L211" s="12">
        <f>IFERROR(__xludf.DUMMYFUNCTION("""COMPUTED_VALUE"""),0.6938775510204082)</f>
        <v>0.693877551</v>
      </c>
      <c r="M211" s="11">
        <f>IFERROR(__xludf.DUMMYFUNCTION("""COMPUTED_VALUE"""),11.0)</f>
        <v>11</v>
      </c>
      <c r="N211" s="11">
        <f>IFERROR(__xludf.DUMMYFUNCTION("""COMPUTED_VALUE"""),20373.0)</f>
        <v>20373</v>
      </c>
      <c r="O211" s="13">
        <f>IFERROR(__xludf.DUMMYFUNCTION("""COMPUTED_VALUE"""),46.0)</f>
        <v>46</v>
      </c>
      <c r="P211" s="14">
        <f>IFERROR(__xludf.DUMMYFUNCTION("""COMPUTED_VALUE"""),39.0)</f>
        <v>39</v>
      </c>
      <c r="Q211" s="13">
        <f>IFERROR(__xludf.DUMMYFUNCTION("""COMPUTED_VALUE"""),78.0)</f>
        <v>78</v>
      </c>
      <c r="R211" s="13">
        <f>IFERROR(__xludf.DUMMYFUNCTION("""COMPUTED_VALUE"""),144.0)</f>
        <v>144</v>
      </c>
      <c r="S211" s="15">
        <f>IFERROR(__xludf.DUMMYFUNCTION("""COMPUTED_VALUE"""),0.3194444444444444)</f>
        <v>0.3194444444</v>
      </c>
      <c r="T211" s="16">
        <f>IFERROR(__xludf.DUMMYFUNCTION("""COMPUTED_VALUE"""),415.7755102040816)</f>
        <v>415.7755102</v>
      </c>
      <c r="U211" s="16">
        <f>IFERROR(__xludf.DUMMYFUNCTION("""COMPUTED_VALUE"""),0.9387755102040817)</f>
        <v>0.9387755102</v>
      </c>
      <c r="V211" s="16">
        <f>IFERROR(__xludf.DUMMYFUNCTION("""COMPUTED_VALUE"""),0.7959183673469388)</f>
        <v>0.7959183673</v>
      </c>
      <c r="W211" s="16">
        <f>IFERROR(__xludf.DUMMYFUNCTION("""COMPUTED_VALUE"""),1.5918367346938775)</f>
        <v>1.591836735</v>
      </c>
      <c r="X211" s="16">
        <f>IFERROR(__xludf.DUMMYFUNCTION("""COMPUTED_VALUE"""),2.938775510204082)</f>
        <v>2.93877551</v>
      </c>
      <c r="Y211" s="11">
        <f>IFERROR(__xludf.DUMMYFUNCTION("""COMPUTED_VALUE"""),13.0)</f>
        <v>13</v>
      </c>
      <c r="Z211" s="11">
        <f>IFERROR(__xludf.DUMMYFUNCTION("""COMPUTED_VALUE"""),4.0)</f>
        <v>4</v>
      </c>
      <c r="AA211" s="11">
        <f>IFERROR(__xludf.DUMMYFUNCTION("""COMPUTED_VALUE"""),2.0)</f>
        <v>2</v>
      </c>
      <c r="AB211" s="11">
        <f>IFERROR(__xludf.DUMMYFUNCTION("""COMPUTED_VALUE"""),10.0)</f>
        <v>10</v>
      </c>
      <c r="AC211" s="11">
        <f>IFERROR(__xludf.DUMMYFUNCTION("""COMPUTED_VALUE"""),75.0)</f>
        <v>75</v>
      </c>
      <c r="AD211" s="11">
        <f>IFERROR(__xludf.DUMMYFUNCTION("""COMPUTED_VALUE"""),53.0)</f>
        <v>53</v>
      </c>
    </row>
    <row r="212">
      <c r="A212" s="10" t="str">
        <f>IFERROR(__xludf.DUMMYFUNCTION("""COMPUTED_VALUE"""),"Elite")</f>
        <v>Elite</v>
      </c>
      <c r="B212" s="10" t="str">
        <f>IFERROR(__xludf.DUMMYFUNCTION("""COMPUTED_VALUE"""),"RSC003412")</f>
        <v>RSC003412</v>
      </c>
      <c r="C212" s="10" t="str">
        <f>IFERROR(__xludf.DUMMYFUNCTION("""COMPUTED_VALUE"""),"Python")</f>
        <v>Python</v>
      </c>
      <c r="D212" s="36" t="str">
        <f>IFERROR(__xludf.DUMMYFUNCTION("""COMPUTED_VALUE"""),"Krakens
Immortals
Forest Cobra
Teddy Bears
Black-Holes
Forge Defenders")</f>
        <v>Krakens
Immortals
Forest Cobra
Teddy Bears
Black-Holes
Forge Defenders</v>
      </c>
      <c r="E212" s="10" t="str">
        <f>IFERROR(__xludf.DUMMYFUNCTION("""COMPUTED_VALUE"""),"Lunar
Lunar
Lunar
Solar
Lunar
Lunar")</f>
        <v>Lunar
Lunar
Lunar
Solar
Lunar
Lunar</v>
      </c>
      <c r="F212" s="37">
        <f>IFERROR(__xludf.DUMMYFUNCTION("""COMPUTED_VALUE"""),76.72910389866635)</f>
        <v>76.7291039</v>
      </c>
      <c r="G212" s="38">
        <f>IFERROR(__xludf.DUMMYFUNCTION("""COMPUTED_VALUE"""),73.68547583607176)</f>
        <v>73.68547584</v>
      </c>
      <c r="H212" s="38">
        <f>IFERROR(__xludf.DUMMYFUNCTION("""COMPUTED_VALUE"""),75.20728986736906)</f>
        <v>75.20728987</v>
      </c>
      <c r="I212" s="14">
        <f>IFERROR(__xludf.DUMMYFUNCTION("""COMPUTED_VALUE"""),41.0)</f>
        <v>41</v>
      </c>
      <c r="J212" s="11">
        <f>IFERROR(__xludf.DUMMYFUNCTION("IFERROR(FILTER(Stats!$F:$Z,(Stats!$A:$A=$A212)*(Stats!$B:$B=$B212)))"),24.0)</f>
        <v>24</v>
      </c>
      <c r="K212" s="11">
        <f>IFERROR(__xludf.DUMMYFUNCTION("""COMPUTED_VALUE"""),17.0)</f>
        <v>17</v>
      </c>
      <c r="L212" s="12">
        <f>IFERROR(__xludf.DUMMYFUNCTION("""COMPUTED_VALUE"""),0.5853658536585366)</f>
        <v>0.5853658537</v>
      </c>
      <c r="M212" s="11">
        <f>IFERROR(__xludf.DUMMYFUNCTION("""COMPUTED_VALUE"""),12.0)</f>
        <v>12</v>
      </c>
      <c r="N212" s="11">
        <f>IFERROR(__xludf.DUMMYFUNCTION("""COMPUTED_VALUE"""),16753.0)</f>
        <v>16753</v>
      </c>
      <c r="O212" s="13">
        <f>IFERROR(__xludf.DUMMYFUNCTION("""COMPUTED_VALUE"""),43.0)</f>
        <v>43</v>
      </c>
      <c r="P212" s="14">
        <f>IFERROR(__xludf.DUMMYFUNCTION("""COMPUTED_VALUE"""),27.0)</f>
        <v>27</v>
      </c>
      <c r="Q212" s="13">
        <f>IFERROR(__xludf.DUMMYFUNCTION("""COMPUTED_VALUE"""),57.0)</f>
        <v>57</v>
      </c>
      <c r="R212" s="13">
        <f>IFERROR(__xludf.DUMMYFUNCTION("""COMPUTED_VALUE"""),140.0)</f>
        <v>140</v>
      </c>
      <c r="S212" s="15">
        <f>IFERROR(__xludf.DUMMYFUNCTION("""COMPUTED_VALUE"""),0.30714285714285716)</f>
        <v>0.3071428571</v>
      </c>
      <c r="T212" s="16">
        <f>IFERROR(__xludf.DUMMYFUNCTION("""COMPUTED_VALUE"""),408.609756097561)</f>
        <v>408.6097561</v>
      </c>
      <c r="U212" s="16">
        <f>IFERROR(__xludf.DUMMYFUNCTION("""COMPUTED_VALUE"""),1.048780487804878)</f>
        <v>1.048780488</v>
      </c>
      <c r="V212" s="16">
        <f>IFERROR(__xludf.DUMMYFUNCTION("""COMPUTED_VALUE"""),0.6585365853658537)</f>
        <v>0.6585365854</v>
      </c>
      <c r="W212" s="16">
        <f>IFERROR(__xludf.DUMMYFUNCTION("""COMPUTED_VALUE"""),1.3902439024390243)</f>
        <v>1.390243902</v>
      </c>
      <c r="X212" s="16">
        <f>IFERROR(__xludf.DUMMYFUNCTION("""COMPUTED_VALUE"""),3.4146341463414633)</f>
        <v>3.414634146</v>
      </c>
      <c r="Y212" s="11">
        <f>IFERROR(__xludf.DUMMYFUNCTION("""COMPUTED_VALUE"""),12.0)</f>
        <v>12</v>
      </c>
      <c r="Z212" s="11">
        <f>IFERROR(__xludf.DUMMYFUNCTION("""COMPUTED_VALUE"""),4.0)</f>
        <v>4</v>
      </c>
      <c r="AA212" s="11">
        <f>IFERROR(__xludf.DUMMYFUNCTION("""COMPUTED_VALUE"""),0.0)</f>
        <v>0</v>
      </c>
      <c r="AB212" s="11">
        <f>IFERROR(__xludf.DUMMYFUNCTION("""COMPUTED_VALUE"""),11.0)</f>
        <v>11</v>
      </c>
      <c r="AC212" s="11">
        <f>IFERROR(__xludf.DUMMYFUNCTION("""COMPUTED_VALUE"""),29.0)</f>
        <v>29</v>
      </c>
      <c r="AD212" s="11">
        <f>IFERROR(__xludf.DUMMYFUNCTION("""COMPUTED_VALUE"""),38.0)</f>
        <v>38</v>
      </c>
    </row>
    <row r="213">
      <c r="A213" s="10" t="str">
        <f>IFERROR(__xludf.DUMMYFUNCTION("""COMPUTED_VALUE"""),"Elite")</f>
        <v>Elite</v>
      </c>
      <c r="B213" s="10" t="str">
        <f>IFERROR(__xludf.DUMMYFUNCTION("""COMPUTED_VALUE"""),"RSC004863")</f>
        <v>RSC004863</v>
      </c>
      <c r="C213" s="10" t="str">
        <f>IFERROR(__xludf.DUMMYFUNCTION("""COMPUTED_VALUE"""),"wicked")</f>
        <v>wicked</v>
      </c>
      <c r="D213" s="36" t="str">
        <f>IFERROR(__xludf.DUMMYFUNCTION("""COMPUTED_VALUE"""),"Despair")</f>
        <v>Despair</v>
      </c>
      <c r="E213" s="10" t="str">
        <f>IFERROR(__xludf.DUMMYFUNCTION("""COMPUTED_VALUE"""),"Lunar")</f>
        <v>Lunar</v>
      </c>
      <c r="F213" s="37">
        <f>IFERROR(__xludf.DUMMYFUNCTION("""COMPUTED_VALUE"""),72.47076271126792)</f>
        <v>72.47076271</v>
      </c>
      <c r="G213" s="38">
        <f>IFERROR(__xludf.DUMMYFUNCTION("""COMPUTED_VALUE"""),76.7535750907579)</f>
        <v>76.75357509</v>
      </c>
      <c r="H213" s="38">
        <f>IFERROR(__xludf.DUMMYFUNCTION("""COMPUTED_VALUE"""),74.61216890101292)</f>
        <v>74.6121689</v>
      </c>
      <c r="I213" s="14">
        <f>IFERROR(__xludf.DUMMYFUNCTION("""COMPUTED_VALUE"""),55.0)</f>
        <v>55</v>
      </c>
      <c r="J213" s="11">
        <f>IFERROR(__xludf.DUMMYFUNCTION("IFERROR(FILTER(Stats!$F:$Z,(Stats!$A:$A=$A213)*(Stats!$B:$B=$B213)))"),33.0)</f>
        <v>33</v>
      </c>
      <c r="K213" s="11">
        <f>IFERROR(__xludf.DUMMYFUNCTION("""COMPUTED_VALUE"""),22.0)</f>
        <v>22</v>
      </c>
      <c r="L213" s="12">
        <f>IFERROR(__xludf.DUMMYFUNCTION("""COMPUTED_VALUE"""),0.6)</f>
        <v>0.6</v>
      </c>
      <c r="M213" s="11">
        <f>IFERROR(__xludf.DUMMYFUNCTION("""COMPUTED_VALUE"""),16.0)</f>
        <v>16</v>
      </c>
      <c r="N213" s="11">
        <f>IFERROR(__xludf.DUMMYFUNCTION("""COMPUTED_VALUE"""),21333.0)</f>
        <v>21333</v>
      </c>
      <c r="O213" s="13">
        <f>IFERROR(__xludf.DUMMYFUNCTION("""COMPUTED_VALUE"""),60.0)</f>
        <v>60</v>
      </c>
      <c r="P213" s="14">
        <f>IFERROR(__xludf.DUMMYFUNCTION("""COMPUTED_VALUE"""),27.0)</f>
        <v>27</v>
      </c>
      <c r="Q213" s="13">
        <f>IFERROR(__xludf.DUMMYFUNCTION("""COMPUTED_VALUE"""),71.0)</f>
        <v>71</v>
      </c>
      <c r="R213" s="13">
        <f>IFERROR(__xludf.DUMMYFUNCTION("""COMPUTED_VALUE"""),200.0)</f>
        <v>200</v>
      </c>
      <c r="S213" s="15">
        <f>IFERROR(__xludf.DUMMYFUNCTION("""COMPUTED_VALUE"""),0.3)</f>
        <v>0.3</v>
      </c>
      <c r="T213" s="16">
        <f>IFERROR(__xludf.DUMMYFUNCTION("""COMPUTED_VALUE"""),387.8727272727273)</f>
        <v>387.8727273</v>
      </c>
      <c r="U213" s="16">
        <f>IFERROR(__xludf.DUMMYFUNCTION("""COMPUTED_VALUE"""),1.0909090909090908)</f>
        <v>1.090909091</v>
      </c>
      <c r="V213" s="16">
        <f>IFERROR(__xludf.DUMMYFUNCTION("""COMPUTED_VALUE"""),0.4909090909090909)</f>
        <v>0.4909090909</v>
      </c>
      <c r="W213" s="16">
        <f>IFERROR(__xludf.DUMMYFUNCTION("""COMPUTED_VALUE"""),1.290909090909091)</f>
        <v>1.290909091</v>
      </c>
      <c r="X213" s="16">
        <f>IFERROR(__xludf.DUMMYFUNCTION("""COMPUTED_VALUE"""),3.6363636363636362)</f>
        <v>3.636363636</v>
      </c>
      <c r="Y213" s="11">
        <f>IFERROR(__xludf.DUMMYFUNCTION("""COMPUTED_VALUE"""),13.0)</f>
        <v>13</v>
      </c>
      <c r="Z213" s="11">
        <f>IFERROR(__xludf.DUMMYFUNCTION("""COMPUTED_VALUE"""),6.0)</f>
        <v>6</v>
      </c>
      <c r="AA213" s="11">
        <f>IFERROR(__xludf.DUMMYFUNCTION("""COMPUTED_VALUE"""),0.0)</f>
        <v>0</v>
      </c>
      <c r="AB213" s="11">
        <f>IFERROR(__xludf.DUMMYFUNCTION("""COMPUTED_VALUE"""),6.0)</f>
        <v>6</v>
      </c>
      <c r="AC213" s="11">
        <f>IFERROR(__xludf.DUMMYFUNCTION("""COMPUTED_VALUE"""),82.0)</f>
        <v>82</v>
      </c>
      <c r="AD213" s="11">
        <f>IFERROR(__xludf.DUMMYFUNCTION("""COMPUTED_VALUE"""),55.0)</f>
        <v>55</v>
      </c>
    </row>
    <row r="214">
      <c r="A214" s="10" t="str">
        <f>IFERROR(__xludf.DUMMYFUNCTION("""COMPUTED_VALUE"""),"Elite")</f>
        <v>Elite</v>
      </c>
      <c r="B214" s="10" t="str">
        <f>IFERROR(__xludf.DUMMYFUNCTION("""COMPUTED_VALUE"""),"RSC003178")</f>
        <v>RSC003178</v>
      </c>
      <c r="C214" s="10" t="str">
        <f>IFERROR(__xludf.DUMMYFUNCTION("""COMPUTED_VALUE"""),"Snack Time!")</f>
        <v>Snack Time!</v>
      </c>
      <c r="D214" s="36" t="str">
        <f>IFERROR(__xludf.DUMMYFUNCTION("""COMPUTED_VALUE"""),"Commanders
Ghastly Goombahs")</f>
        <v>Commanders
Ghastly Goombahs</v>
      </c>
      <c r="E214" s="10" t="str">
        <f>IFERROR(__xludf.DUMMYFUNCTION("""COMPUTED_VALUE"""),"Lunar
Lunar")</f>
        <v>Lunar
Lunar</v>
      </c>
      <c r="F214" s="37">
        <f>IFERROR(__xludf.DUMMYFUNCTION("""COMPUTED_VALUE"""),71.50142103086192)</f>
        <v>71.50142103</v>
      </c>
      <c r="G214" s="38">
        <f>IFERROR(__xludf.DUMMYFUNCTION("""COMPUTED_VALUE"""),76.70467575164616)</f>
        <v>76.70467575</v>
      </c>
      <c r="H214" s="38">
        <f>IFERROR(__xludf.DUMMYFUNCTION("""COMPUTED_VALUE"""),74.10304839125405)</f>
        <v>74.10304839</v>
      </c>
      <c r="I214" s="14">
        <f>IFERROR(__xludf.DUMMYFUNCTION("""COMPUTED_VALUE"""),56.0)</f>
        <v>56</v>
      </c>
      <c r="J214" s="11">
        <f>IFERROR(__xludf.DUMMYFUNCTION("IFERROR(FILTER(Stats!$F:$Z,(Stats!$A:$A=$A214)*(Stats!$B:$B=$B214)))"),27.0)</f>
        <v>27</v>
      </c>
      <c r="K214" s="11">
        <f>IFERROR(__xludf.DUMMYFUNCTION("""COMPUTED_VALUE"""),29.0)</f>
        <v>29</v>
      </c>
      <c r="L214" s="12">
        <f>IFERROR(__xludf.DUMMYFUNCTION("""COMPUTED_VALUE"""),0.48214285714285715)</f>
        <v>0.4821428571</v>
      </c>
      <c r="M214" s="11">
        <f>IFERROR(__xludf.DUMMYFUNCTION("""COMPUTED_VALUE"""),16.0)</f>
        <v>16</v>
      </c>
      <c r="N214" s="11">
        <f>IFERROR(__xludf.DUMMYFUNCTION("""COMPUTED_VALUE"""),21828.0)</f>
        <v>21828</v>
      </c>
      <c r="O214" s="13">
        <f>IFERROR(__xludf.DUMMYFUNCTION("""COMPUTED_VALUE"""),63.0)</f>
        <v>63</v>
      </c>
      <c r="P214" s="14">
        <f>IFERROR(__xludf.DUMMYFUNCTION("""COMPUTED_VALUE"""),38.0)</f>
        <v>38</v>
      </c>
      <c r="Q214" s="13">
        <f>IFERROR(__xludf.DUMMYFUNCTION("""COMPUTED_VALUE"""),71.0)</f>
        <v>71</v>
      </c>
      <c r="R214" s="13">
        <f>IFERROR(__xludf.DUMMYFUNCTION("""COMPUTED_VALUE"""),183.0)</f>
        <v>183</v>
      </c>
      <c r="S214" s="15">
        <f>IFERROR(__xludf.DUMMYFUNCTION("""COMPUTED_VALUE"""),0.3442622950819672)</f>
        <v>0.3442622951</v>
      </c>
      <c r="T214" s="16">
        <f>IFERROR(__xludf.DUMMYFUNCTION("""COMPUTED_VALUE"""),389.7857142857143)</f>
        <v>389.7857143</v>
      </c>
      <c r="U214" s="16">
        <f>IFERROR(__xludf.DUMMYFUNCTION("""COMPUTED_VALUE"""),1.125)</f>
        <v>1.125</v>
      </c>
      <c r="V214" s="16">
        <f>IFERROR(__xludf.DUMMYFUNCTION("""COMPUTED_VALUE"""),0.6785714285714286)</f>
        <v>0.6785714286</v>
      </c>
      <c r="W214" s="16">
        <f>IFERROR(__xludf.DUMMYFUNCTION("""COMPUTED_VALUE"""),1.2678571428571428)</f>
        <v>1.267857143</v>
      </c>
      <c r="X214" s="16">
        <f>IFERROR(__xludf.DUMMYFUNCTION("""COMPUTED_VALUE"""),3.267857142857143)</f>
        <v>3.267857143</v>
      </c>
      <c r="Y214" s="11">
        <f>IFERROR(__xludf.DUMMYFUNCTION("""COMPUTED_VALUE"""),14.0)</f>
        <v>14</v>
      </c>
      <c r="Z214" s="11">
        <f>IFERROR(__xludf.DUMMYFUNCTION("""COMPUTED_VALUE"""),5.0)</f>
        <v>5</v>
      </c>
      <c r="AA214" s="11">
        <f>IFERROR(__xludf.DUMMYFUNCTION("""COMPUTED_VALUE"""),2.0)</f>
        <v>2</v>
      </c>
      <c r="AB214" s="11">
        <f>IFERROR(__xludf.DUMMYFUNCTION("""COMPUTED_VALUE"""),4.0)</f>
        <v>4</v>
      </c>
      <c r="AC214" s="11">
        <f>IFERROR(__xludf.DUMMYFUNCTION("""COMPUTED_VALUE"""),62.0)</f>
        <v>62</v>
      </c>
      <c r="AD214" s="11">
        <f>IFERROR(__xludf.DUMMYFUNCTION("""COMPUTED_VALUE"""),53.0)</f>
        <v>53</v>
      </c>
    </row>
    <row r="215">
      <c r="A215" s="10" t="str">
        <f>IFERROR(__xludf.DUMMYFUNCTION("""COMPUTED_VALUE"""),"Elite")</f>
        <v>Elite</v>
      </c>
      <c r="B215" s="10" t="str">
        <f>IFERROR(__xludf.DUMMYFUNCTION("""COMPUTED_VALUE"""),"RSC000344")</f>
        <v>RSC000344</v>
      </c>
      <c r="C215" s="10" t="str">
        <f>IFERROR(__xludf.DUMMYFUNCTION("""COMPUTED_VALUE"""),"Mezmer")</f>
        <v>Mezmer</v>
      </c>
      <c r="D215" s="36" t="str">
        <f>IFERROR(__xludf.DUMMYFUNCTION("""COMPUTED_VALUE"""),"Menthol")</f>
        <v>Menthol</v>
      </c>
      <c r="E215" s="10" t="str">
        <f>IFERROR(__xludf.DUMMYFUNCTION("""COMPUTED_VALUE"""),"Solar")</f>
        <v>Solar</v>
      </c>
      <c r="F215" s="37">
        <f>IFERROR(__xludf.DUMMYFUNCTION("""COMPUTED_VALUE"""),73.66967553110423)</f>
        <v>73.66967553</v>
      </c>
      <c r="G215" s="38">
        <f>IFERROR(__xludf.DUMMYFUNCTION("""COMPUTED_VALUE"""),73.90493721058851)</f>
        <v>73.90493721</v>
      </c>
      <c r="H215" s="38">
        <f>IFERROR(__xludf.DUMMYFUNCTION("""COMPUTED_VALUE"""),73.78730637084638)</f>
        <v>73.78730637</v>
      </c>
      <c r="I215" s="14">
        <f>IFERROR(__xludf.DUMMYFUNCTION("""COMPUTED_VALUE"""),56.0)</f>
        <v>56</v>
      </c>
      <c r="J215" s="11">
        <f>IFERROR(__xludf.DUMMYFUNCTION("IFERROR(FILTER(Stats!$F:$Z,(Stats!$A:$A=$A215)*(Stats!$B:$B=$B215)))"),39.0)</f>
        <v>39</v>
      </c>
      <c r="K215" s="11">
        <f>IFERROR(__xludf.DUMMYFUNCTION("""COMPUTED_VALUE"""),17.0)</f>
        <v>17</v>
      </c>
      <c r="L215" s="12">
        <f>IFERROR(__xludf.DUMMYFUNCTION("""COMPUTED_VALUE"""),0.6964285714285714)</f>
        <v>0.6964285714</v>
      </c>
      <c r="M215" s="11">
        <f>IFERROR(__xludf.DUMMYFUNCTION("""COMPUTED_VALUE"""),11.0)</f>
        <v>11</v>
      </c>
      <c r="N215" s="11">
        <f>IFERROR(__xludf.DUMMYFUNCTION("""COMPUTED_VALUE"""),21630.0)</f>
        <v>21630</v>
      </c>
      <c r="O215" s="13">
        <f>IFERROR(__xludf.DUMMYFUNCTION("""COMPUTED_VALUE"""),51.0)</f>
        <v>51</v>
      </c>
      <c r="P215" s="14">
        <f>IFERROR(__xludf.DUMMYFUNCTION("""COMPUTED_VALUE"""),43.0)</f>
        <v>43</v>
      </c>
      <c r="Q215" s="13">
        <f>IFERROR(__xludf.DUMMYFUNCTION("""COMPUTED_VALUE"""),75.0)</f>
        <v>75</v>
      </c>
      <c r="R215" s="13">
        <f>IFERROR(__xludf.DUMMYFUNCTION("""COMPUTED_VALUE"""),161.0)</f>
        <v>161</v>
      </c>
      <c r="S215" s="15">
        <f>IFERROR(__xludf.DUMMYFUNCTION("""COMPUTED_VALUE"""),0.3167701863354037)</f>
        <v>0.3167701863</v>
      </c>
      <c r="T215" s="16">
        <f>IFERROR(__xludf.DUMMYFUNCTION("""COMPUTED_VALUE"""),386.25)</f>
        <v>386.25</v>
      </c>
      <c r="U215" s="16">
        <f>IFERROR(__xludf.DUMMYFUNCTION("""COMPUTED_VALUE"""),0.9107142857142857)</f>
        <v>0.9107142857</v>
      </c>
      <c r="V215" s="16">
        <f>IFERROR(__xludf.DUMMYFUNCTION("""COMPUTED_VALUE"""),0.7678571428571429)</f>
        <v>0.7678571429</v>
      </c>
      <c r="W215" s="16">
        <f>IFERROR(__xludf.DUMMYFUNCTION("""COMPUTED_VALUE"""),1.3392857142857142)</f>
        <v>1.339285714</v>
      </c>
      <c r="X215" s="16">
        <f>IFERROR(__xludf.DUMMYFUNCTION("""COMPUTED_VALUE"""),2.875)</f>
        <v>2.875</v>
      </c>
      <c r="Y215" s="11">
        <f>IFERROR(__xludf.DUMMYFUNCTION("""COMPUTED_VALUE"""),14.0)</f>
        <v>14</v>
      </c>
      <c r="Z215" s="11">
        <f>IFERROR(__xludf.DUMMYFUNCTION("""COMPUTED_VALUE"""),3.0)</f>
        <v>3</v>
      </c>
      <c r="AA215" s="11">
        <f>IFERROR(__xludf.DUMMYFUNCTION("""COMPUTED_VALUE"""),1.0)</f>
        <v>1</v>
      </c>
      <c r="AB215" s="11">
        <f>IFERROR(__xludf.DUMMYFUNCTION("""COMPUTED_VALUE"""),10.0)</f>
        <v>10</v>
      </c>
      <c r="AC215" s="11">
        <f>IFERROR(__xludf.DUMMYFUNCTION("""COMPUTED_VALUE"""),31.0)</f>
        <v>31</v>
      </c>
      <c r="AD215" s="11">
        <f>IFERROR(__xludf.DUMMYFUNCTION("""COMPUTED_VALUE"""),76.0)</f>
        <v>76</v>
      </c>
    </row>
    <row r="216">
      <c r="A216" s="10" t="str">
        <f>IFERROR(__xludf.DUMMYFUNCTION("""COMPUTED_VALUE"""),"Elite")</f>
        <v>Elite</v>
      </c>
      <c r="B216" s="10" t="str">
        <f>IFERROR(__xludf.DUMMYFUNCTION("""COMPUTED_VALUE"""),"RSC006193")</f>
        <v>RSC006193</v>
      </c>
      <c r="C216" s="10" t="str">
        <f>IFERROR(__xludf.DUMMYFUNCTION("""COMPUTED_VALUE"""),"Saucy Rexy")</f>
        <v>Saucy Rexy</v>
      </c>
      <c r="D216" s="36" t="str">
        <f>IFERROR(__xludf.DUMMYFUNCTION("""COMPUTED_VALUE"""),"Forest Cobra")</f>
        <v>Forest Cobra</v>
      </c>
      <c r="E216" s="10" t="str">
        <f>IFERROR(__xludf.DUMMYFUNCTION("""COMPUTED_VALUE"""),"Lunar")</f>
        <v>Lunar</v>
      </c>
      <c r="F216" s="37">
        <f>IFERROR(__xludf.DUMMYFUNCTION("""COMPUTED_VALUE"""),69.12949207555295)</f>
        <v>69.12949208</v>
      </c>
      <c r="G216" s="38">
        <f>IFERROR(__xludf.DUMMYFUNCTION("""COMPUTED_VALUE"""),78.21033818752898)</f>
        <v>78.21033819</v>
      </c>
      <c r="H216" s="38">
        <f>IFERROR(__xludf.DUMMYFUNCTION("""COMPUTED_VALUE"""),73.66991513154096)</f>
        <v>73.66991513</v>
      </c>
      <c r="I216" s="14">
        <f>IFERROR(__xludf.DUMMYFUNCTION("""COMPUTED_VALUE"""),51.0)</f>
        <v>51</v>
      </c>
      <c r="J216" s="11">
        <f>IFERROR(__xludf.DUMMYFUNCTION("IFERROR(FILTER(Stats!$F:$Z,(Stats!$A:$A=$A216)*(Stats!$B:$B=$B216)))"),34.0)</f>
        <v>34</v>
      </c>
      <c r="K216" s="11">
        <f>IFERROR(__xludf.DUMMYFUNCTION("""COMPUTED_VALUE"""),17.0)</f>
        <v>17</v>
      </c>
      <c r="L216" s="12">
        <f>IFERROR(__xludf.DUMMYFUNCTION("""COMPUTED_VALUE"""),0.6666666666666666)</f>
        <v>0.6666666667</v>
      </c>
      <c r="M216" s="11">
        <f>IFERROR(__xludf.DUMMYFUNCTION("""COMPUTED_VALUE"""),9.0)</f>
        <v>9</v>
      </c>
      <c r="N216" s="11">
        <f>IFERROR(__xludf.DUMMYFUNCTION("""COMPUTED_VALUE"""),18239.0)</f>
        <v>18239</v>
      </c>
      <c r="O216" s="13">
        <f>IFERROR(__xludf.DUMMYFUNCTION("""COMPUTED_VALUE"""),51.0)</f>
        <v>51</v>
      </c>
      <c r="P216" s="14">
        <f>IFERROR(__xludf.DUMMYFUNCTION("""COMPUTED_VALUE"""),42.0)</f>
        <v>42</v>
      </c>
      <c r="Q216" s="13">
        <f>IFERROR(__xludf.DUMMYFUNCTION("""COMPUTED_VALUE"""),49.0)</f>
        <v>49</v>
      </c>
      <c r="R216" s="13">
        <f>IFERROR(__xludf.DUMMYFUNCTION("""COMPUTED_VALUE"""),156.0)</f>
        <v>156</v>
      </c>
      <c r="S216" s="15">
        <f>IFERROR(__xludf.DUMMYFUNCTION("""COMPUTED_VALUE"""),0.3269230769230769)</f>
        <v>0.3269230769</v>
      </c>
      <c r="T216" s="16">
        <f>IFERROR(__xludf.DUMMYFUNCTION("""COMPUTED_VALUE"""),357.62745098039215)</f>
        <v>357.627451</v>
      </c>
      <c r="U216" s="16">
        <f>IFERROR(__xludf.DUMMYFUNCTION("""COMPUTED_VALUE"""),1.0)</f>
        <v>1</v>
      </c>
      <c r="V216" s="16">
        <f>IFERROR(__xludf.DUMMYFUNCTION("""COMPUTED_VALUE"""),0.8235294117647058)</f>
        <v>0.8235294118</v>
      </c>
      <c r="W216" s="16">
        <f>IFERROR(__xludf.DUMMYFUNCTION("""COMPUTED_VALUE"""),0.9607843137254902)</f>
        <v>0.9607843137</v>
      </c>
      <c r="X216" s="16">
        <f>IFERROR(__xludf.DUMMYFUNCTION("""COMPUTED_VALUE"""),3.0588235294117645)</f>
        <v>3.058823529</v>
      </c>
      <c r="Y216" s="11">
        <f>IFERROR(__xludf.DUMMYFUNCTION("""COMPUTED_VALUE"""),10.0)</f>
        <v>10</v>
      </c>
      <c r="Z216" s="11">
        <f>IFERROR(__xludf.DUMMYFUNCTION("""COMPUTED_VALUE"""),5.0)</f>
        <v>5</v>
      </c>
      <c r="AA216" s="11">
        <f>IFERROR(__xludf.DUMMYFUNCTION("""COMPUTED_VALUE"""),2.0)</f>
        <v>2</v>
      </c>
      <c r="AB216" s="11">
        <f>IFERROR(__xludf.DUMMYFUNCTION("""COMPUTED_VALUE"""),4.0)</f>
        <v>4</v>
      </c>
      <c r="AC216" s="11">
        <f>IFERROR(__xludf.DUMMYFUNCTION("""COMPUTED_VALUE"""),35.0)</f>
        <v>35</v>
      </c>
      <c r="AD216" s="11">
        <f>IFERROR(__xludf.DUMMYFUNCTION("""COMPUTED_VALUE"""),70.0)</f>
        <v>70</v>
      </c>
    </row>
    <row r="217">
      <c r="A217" s="10" t="str">
        <f>IFERROR(__xludf.DUMMYFUNCTION("""COMPUTED_VALUE"""),"Elite")</f>
        <v>Elite</v>
      </c>
      <c r="B217" s="10" t="str">
        <f>IFERROR(__xludf.DUMMYFUNCTION("""COMPUTED_VALUE"""),"RSC000623")</f>
        <v>RSC000623</v>
      </c>
      <c r="C217" s="10" t="str">
        <f>IFERROR(__xludf.DUMMYFUNCTION("""COMPUTED_VALUE"""),"wall2wall3")</f>
        <v>wall2wall3</v>
      </c>
      <c r="D217" s="36" t="str">
        <f>IFERROR(__xludf.DUMMYFUNCTION("""COMPUTED_VALUE"""),"Great Whites")</f>
        <v>Great Whites</v>
      </c>
      <c r="E217" s="10" t="str">
        <f>IFERROR(__xludf.DUMMYFUNCTION("""COMPUTED_VALUE"""),"Solar")</f>
        <v>Solar</v>
      </c>
      <c r="F217" s="37">
        <f>IFERROR(__xludf.DUMMYFUNCTION("""COMPUTED_VALUE"""),71.47475753366035)</f>
        <v>71.47475753</v>
      </c>
      <c r="G217" s="38">
        <f>IFERROR(__xludf.DUMMYFUNCTION("""COMPUTED_VALUE"""),75.52313676906587)</f>
        <v>75.52313677</v>
      </c>
      <c r="H217" s="38">
        <f>IFERROR(__xludf.DUMMYFUNCTION("""COMPUTED_VALUE"""),73.49894715136311)</f>
        <v>73.49894715</v>
      </c>
      <c r="I217" s="14">
        <f>IFERROR(__xludf.DUMMYFUNCTION("""COMPUTED_VALUE"""),52.0)</f>
        <v>52</v>
      </c>
      <c r="J217" s="11">
        <f>IFERROR(__xludf.DUMMYFUNCTION("IFERROR(FILTER(Stats!$F:$Z,(Stats!$A:$A=$A217)*(Stats!$B:$B=$B217)))"),34.0)</f>
        <v>34</v>
      </c>
      <c r="K217" s="11">
        <f>IFERROR(__xludf.DUMMYFUNCTION("""COMPUTED_VALUE"""),18.0)</f>
        <v>18</v>
      </c>
      <c r="L217" s="12">
        <f>IFERROR(__xludf.DUMMYFUNCTION("""COMPUTED_VALUE"""),0.6538461538461539)</f>
        <v>0.6538461538</v>
      </c>
      <c r="M217" s="11">
        <f>IFERROR(__xludf.DUMMYFUNCTION("""COMPUTED_VALUE"""),3.0)</f>
        <v>3</v>
      </c>
      <c r="N217" s="11">
        <f>IFERROR(__xludf.DUMMYFUNCTION("""COMPUTED_VALUE"""),18571.0)</f>
        <v>18571</v>
      </c>
      <c r="O217" s="13">
        <f>IFERROR(__xludf.DUMMYFUNCTION("""COMPUTED_VALUE"""),49.0)</f>
        <v>49</v>
      </c>
      <c r="P217" s="14">
        <f>IFERROR(__xludf.DUMMYFUNCTION("""COMPUTED_VALUE"""),36.0)</f>
        <v>36</v>
      </c>
      <c r="Q217" s="13">
        <f>IFERROR(__xludf.DUMMYFUNCTION("""COMPUTED_VALUE"""),63.0)</f>
        <v>63</v>
      </c>
      <c r="R217" s="13">
        <f>IFERROR(__xludf.DUMMYFUNCTION("""COMPUTED_VALUE"""),145.0)</f>
        <v>145</v>
      </c>
      <c r="S217" s="15">
        <f>IFERROR(__xludf.DUMMYFUNCTION("""COMPUTED_VALUE"""),0.33793103448275863)</f>
        <v>0.3379310345</v>
      </c>
      <c r="T217" s="16">
        <f>IFERROR(__xludf.DUMMYFUNCTION("""COMPUTED_VALUE"""),357.13461538461536)</f>
        <v>357.1346154</v>
      </c>
      <c r="U217" s="16">
        <f>IFERROR(__xludf.DUMMYFUNCTION("""COMPUTED_VALUE"""),0.9423076923076923)</f>
        <v>0.9423076923</v>
      </c>
      <c r="V217" s="16">
        <f>IFERROR(__xludf.DUMMYFUNCTION("""COMPUTED_VALUE"""),0.6923076923076923)</f>
        <v>0.6923076923</v>
      </c>
      <c r="W217" s="16">
        <f>IFERROR(__xludf.DUMMYFUNCTION("""COMPUTED_VALUE"""),1.2115384615384615)</f>
        <v>1.211538462</v>
      </c>
      <c r="X217" s="16">
        <f>IFERROR(__xludf.DUMMYFUNCTION("""COMPUTED_VALUE"""),2.7884615384615383)</f>
        <v>2.788461538</v>
      </c>
      <c r="Y217" s="11">
        <f>IFERROR(__xludf.DUMMYFUNCTION("""COMPUTED_VALUE"""),13.0)</f>
        <v>13</v>
      </c>
      <c r="Z217" s="11">
        <f>IFERROR(__xludf.DUMMYFUNCTION("""COMPUTED_VALUE"""),2.0)</f>
        <v>2</v>
      </c>
      <c r="AA217" s="11">
        <f>IFERROR(__xludf.DUMMYFUNCTION("""COMPUTED_VALUE"""),1.0)</f>
        <v>1</v>
      </c>
      <c r="AB217" s="11">
        <f>IFERROR(__xludf.DUMMYFUNCTION("""COMPUTED_VALUE"""),6.0)</f>
        <v>6</v>
      </c>
      <c r="AC217" s="11">
        <f>IFERROR(__xludf.DUMMYFUNCTION("""COMPUTED_VALUE"""),66.0)</f>
        <v>66</v>
      </c>
      <c r="AD217" s="11">
        <f>IFERROR(__xludf.DUMMYFUNCTION("""COMPUTED_VALUE"""),48.0)</f>
        <v>48</v>
      </c>
    </row>
    <row r="218">
      <c r="A218" s="10" t="str">
        <f>IFERROR(__xludf.DUMMYFUNCTION("""COMPUTED_VALUE"""),"Elite")</f>
        <v>Elite</v>
      </c>
      <c r="B218" s="10" t="str">
        <f>IFERROR(__xludf.DUMMYFUNCTION("""COMPUTED_VALUE"""),"RSC007280")</f>
        <v>RSC007280</v>
      </c>
      <c r="C218" s="10" t="str">
        <f>IFERROR(__xludf.DUMMYFUNCTION("""COMPUTED_VALUE"""),"BallChasinq")</f>
        <v>BallChasinq</v>
      </c>
      <c r="D218" s="36" t="str">
        <f>IFERROR(__xludf.DUMMYFUNCTION("""COMPUTED_VALUE"""),"Dik-diks")</f>
        <v>Dik-diks</v>
      </c>
      <c r="E218" s="10" t="str">
        <f>IFERROR(__xludf.DUMMYFUNCTION("""COMPUTED_VALUE"""),"Lunar")</f>
        <v>Lunar</v>
      </c>
      <c r="F218" s="37">
        <f>IFERROR(__xludf.DUMMYFUNCTION("""COMPUTED_VALUE"""),76.74579007960455)</f>
        <v>76.74579008</v>
      </c>
      <c r="G218" s="38">
        <f>IFERROR(__xludf.DUMMYFUNCTION("""COMPUTED_VALUE"""),67.70835886927424)</f>
        <v>67.70835887</v>
      </c>
      <c r="H218" s="38">
        <f>IFERROR(__xludf.DUMMYFUNCTION("""COMPUTED_VALUE"""),72.22707447443939)</f>
        <v>72.22707447</v>
      </c>
      <c r="I218" s="14">
        <f>IFERROR(__xludf.DUMMYFUNCTION("""COMPUTED_VALUE"""),48.0)</f>
        <v>48</v>
      </c>
      <c r="J218" s="11">
        <f>IFERROR(__xludf.DUMMYFUNCTION("IFERROR(FILTER(Stats!$F:$Z,(Stats!$A:$A=$A218)*(Stats!$B:$B=$B218)))"),22.0)</f>
        <v>22</v>
      </c>
      <c r="K218" s="11">
        <f>IFERROR(__xludf.DUMMYFUNCTION("""COMPUTED_VALUE"""),26.0)</f>
        <v>26</v>
      </c>
      <c r="L218" s="12">
        <f>IFERROR(__xludf.DUMMYFUNCTION("""COMPUTED_VALUE"""),0.4583333333333333)</f>
        <v>0.4583333333</v>
      </c>
      <c r="M218" s="11">
        <f>IFERROR(__xludf.DUMMYFUNCTION("""COMPUTED_VALUE"""),9.0)</f>
        <v>9</v>
      </c>
      <c r="N218" s="11">
        <f>IFERROR(__xludf.DUMMYFUNCTION("""COMPUTED_VALUE"""),20562.0)</f>
        <v>20562</v>
      </c>
      <c r="O218" s="13">
        <f>IFERROR(__xludf.DUMMYFUNCTION("""COMPUTED_VALUE"""),41.0)</f>
        <v>41</v>
      </c>
      <c r="P218" s="14">
        <f>IFERROR(__xludf.DUMMYFUNCTION("""COMPUTED_VALUE"""),40.0)</f>
        <v>40</v>
      </c>
      <c r="Q218" s="13">
        <f>IFERROR(__xludf.DUMMYFUNCTION("""COMPUTED_VALUE"""),90.0)</f>
        <v>90</v>
      </c>
      <c r="R218" s="13">
        <f>IFERROR(__xludf.DUMMYFUNCTION("""COMPUTED_VALUE"""),135.0)</f>
        <v>135</v>
      </c>
      <c r="S218" s="15">
        <f>IFERROR(__xludf.DUMMYFUNCTION("""COMPUTED_VALUE"""),0.3037037037037037)</f>
        <v>0.3037037037</v>
      </c>
      <c r="T218" s="16">
        <f>IFERROR(__xludf.DUMMYFUNCTION("""COMPUTED_VALUE"""),428.375)</f>
        <v>428.375</v>
      </c>
      <c r="U218" s="16">
        <f>IFERROR(__xludf.DUMMYFUNCTION("""COMPUTED_VALUE"""),0.8541666666666666)</f>
        <v>0.8541666667</v>
      </c>
      <c r="V218" s="16">
        <f>IFERROR(__xludf.DUMMYFUNCTION("""COMPUTED_VALUE"""),0.8333333333333334)</f>
        <v>0.8333333333</v>
      </c>
      <c r="W218" s="16">
        <f>IFERROR(__xludf.DUMMYFUNCTION("""COMPUTED_VALUE"""),1.875)</f>
        <v>1.875</v>
      </c>
      <c r="X218" s="16">
        <f>IFERROR(__xludf.DUMMYFUNCTION("""COMPUTED_VALUE"""),2.8125)</f>
        <v>2.8125</v>
      </c>
      <c r="Y218" s="11">
        <f>IFERROR(__xludf.DUMMYFUNCTION("""COMPUTED_VALUE"""),18.0)</f>
        <v>18</v>
      </c>
      <c r="Z218" s="11">
        <f>IFERROR(__xludf.DUMMYFUNCTION("""COMPUTED_VALUE"""),3.0)</f>
        <v>3</v>
      </c>
      <c r="AA218" s="11">
        <f>IFERROR(__xludf.DUMMYFUNCTION("""COMPUTED_VALUE"""),2.0)</f>
        <v>2</v>
      </c>
      <c r="AB218" s="11">
        <f>IFERROR(__xludf.DUMMYFUNCTION("""COMPUTED_VALUE"""),13.0)</f>
        <v>13</v>
      </c>
      <c r="AC218" s="11">
        <f>IFERROR(__xludf.DUMMYFUNCTION("""COMPUTED_VALUE"""),28.0)</f>
        <v>28</v>
      </c>
      <c r="AD218" s="11">
        <f>IFERROR(__xludf.DUMMYFUNCTION("""COMPUTED_VALUE"""),50.0)</f>
        <v>50</v>
      </c>
    </row>
    <row r="219">
      <c r="A219" s="10" t="str">
        <f>IFERROR(__xludf.DUMMYFUNCTION("""COMPUTED_VALUE"""),"Elite")</f>
        <v>Elite</v>
      </c>
      <c r="B219" s="10" t="str">
        <f>IFERROR(__xludf.DUMMYFUNCTION("""COMPUTED_VALUE"""),"RSC004107")</f>
        <v>RSC004107</v>
      </c>
      <c r="C219" s="10" t="str">
        <f>IFERROR(__xludf.DUMMYFUNCTION("""COMPUTED_VALUE"""),"FlyFyre.")</f>
        <v>FlyFyre.</v>
      </c>
      <c r="D219" s="36" t="str">
        <f>IFERROR(__xludf.DUMMYFUNCTION("""COMPUTED_VALUE"""),"Praetorian Guard")</f>
        <v>Praetorian Guard</v>
      </c>
      <c r="E219" s="10" t="str">
        <f>IFERROR(__xludf.DUMMYFUNCTION("""COMPUTED_VALUE"""),"Solar")</f>
        <v>Solar</v>
      </c>
      <c r="F219" s="37">
        <f>IFERROR(__xludf.DUMMYFUNCTION("""COMPUTED_VALUE"""),70.18039494824731)</f>
        <v>70.18039495</v>
      </c>
      <c r="G219" s="38">
        <f>IFERROR(__xludf.DUMMYFUNCTION("""COMPUTED_VALUE"""),73.05454431390207)</f>
        <v>73.05454431</v>
      </c>
      <c r="H219" s="38">
        <f>IFERROR(__xludf.DUMMYFUNCTION("""COMPUTED_VALUE"""),71.6174696310747)</f>
        <v>71.61746963</v>
      </c>
      <c r="I219" s="14">
        <f>IFERROR(__xludf.DUMMYFUNCTION("""COMPUTED_VALUE"""),16.0)</f>
        <v>16</v>
      </c>
      <c r="J219" s="11">
        <f>IFERROR(__xludf.DUMMYFUNCTION("IFERROR(FILTER(Stats!$F:$Z,(Stats!$A:$A=$A219)*(Stats!$B:$B=$B219)))"),9.0)</f>
        <v>9</v>
      </c>
      <c r="K219" s="11">
        <f>IFERROR(__xludf.DUMMYFUNCTION("""COMPUTED_VALUE"""),7.0)</f>
        <v>7</v>
      </c>
      <c r="L219" s="12">
        <f>IFERROR(__xludf.DUMMYFUNCTION("""COMPUTED_VALUE"""),0.5625)</f>
        <v>0.5625</v>
      </c>
      <c r="M219" s="11">
        <f>IFERROR(__xludf.DUMMYFUNCTION("""COMPUTED_VALUE"""),2.0)</f>
        <v>2</v>
      </c>
      <c r="N219" s="11">
        <f>IFERROR(__xludf.DUMMYFUNCTION("""COMPUTED_VALUE"""),6544.0)</f>
        <v>6544</v>
      </c>
      <c r="O219" s="13">
        <f>IFERROR(__xludf.DUMMYFUNCTION("""COMPUTED_VALUE"""),17.0)</f>
        <v>17</v>
      </c>
      <c r="P219" s="14">
        <f>IFERROR(__xludf.DUMMYFUNCTION("""COMPUTED_VALUE"""),10.0)</f>
        <v>10</v>
      </c>
      <c r="Q219" s="13">
        <f>IFERROR(__xludf.DUMMYFUNCTION("""COMPUTED_VALUE"""),22.0)</f>
        <v>22</v>
      </c>
      <c r="R219" s="13">
        <f>IFERROR(__xludf.DUMMYFUNCTION("""COMPUTED_VALUE"""),52.0)</f>
        <v>52</v>
      </c>
      <c r="S219" s="15">
        <f>IFERROR(__xludf.DUMMYFUNCTION("""COMPUTED_VALUE"""),0.3269230769230769)</f>
        <v>0.3269230769</v>
      </c>
      <c r="T219" s="16">
        <f>IFERROR(__xludf.DUMMYFUNCTION("""COMPUTED_VALUE"""),409.0)</f>
        <v>409</v>
      </c>
      <c r="U219" s="16">
        <f>IFERROR(__xludf.DUMMYFUNCTION("""COMPUTED_VALUE"""),1.0625)</f>
        <v>1.0625</v>
      </c>
      <c r="V219" s="16">
        <f>IFERROR(__xludf.DUMMYFUNCTION("""COMPUTED_VALUE"""),0.625)</f>
        <v>0.625</v>
      </c>
      <c r="W219" s="16">
        <f>IFERROR(__xludf.DUMMYFUNCTION("""COMPUTED_VALUE"""),1.375)</f>
        <v>1.375</v>
      </c>
      <c r="X219" s="16">
        <f>IFERROR(__xludf.DUMMYFUNCTION("""COMPUTED_VALUE"""),3.25)</f>
        <v>3.25</v>
      </c>
      <c r="Y219" s="11">
        <f>IFERROR(__xludf.DUMMYFUNCTION("""COMPUTED_VALUE"""),6.0)</f>
        <v>6</v>
      </c>
      <c r="Z219" s="11">
        <f>IFERROR(__xludf.DUMMYFUNCTION("""COMPUTED_VALUE"""),2.0)</f>
        <v>2</v>
      </c>
      <c r="AA219" s="11">
        <f>IFERROR(__xludf.DUMMYFUNCTION("""COMPUTED_VALUE"""),0.0)</f>
        <v>0</v>
      </c>
      <c r="AB219" s="11">
        <f>IFERROR(__xludf.DUMMYFUNCTION("""COMPUTED_VALUE"""),2.0)</f>
        <v>2</v>
      </c>
      <c r="AC219" s="11">
        <f>IFERROR(__xludf.DUMMYFUNCTION("""COMPUTED_VALUE"""),15.0)</f>
        <v>15</v>
      </c>
      <c r="AD219" s="11">
        <f>IFERROR(__xludf.DUMMYFUNCTION("""COMPUTED_VALUE"""),12.0)</f>
        <v>12</v>
      </c>
    </row>
    <row r="220">
      <c r="A220" s="10" t="str">
        <f>IFERROR(__xludf.DUMMYFUNCTION("""COMPUTED_VALUE"""),"Elite")</f>
        <v>Elite</v>
      </c>
      <c r="B220" s="10" t="str">
        <f>IFERROR(__xludf.DUMMYFUNCTION("""COMPUTED_VALUE"""),"RSC007642")</f>
        <v>RSC007642</v>
      </c>
      <c r="C220" s="10" t="str">
        <f>IFERROR(__xludf.DUMMYFUNCTION("""COMPUTED_VALUE"""),"Luminati7")</f>
        <v>Luminati7</v>
      </c>
      <c r="D220" s="36" t="str">
        <f>IFERROR(__xludf.DUMMYFUNCTION("""COMPUTED_VALUE"""),"Forest Cobra")</f>
        <v>Forest Cobra</v>
      </c>
      <c r="E220" s="10" t="str">
        <f>IFERROR(__xludf.DUMMYFUNCTION("""COMPUTED_VALUE"""),"Lunar")</f>
        <v>Lunar</v>
      </c>
      <c r="F220" s="37">
        <f>IFERROR(__xludf.DUMMYFUNCTION("""COMPUTED_VALUE"""),70.3504709125589)</f>
        <v>70.35047091</v>
      </c>
      <c r="G220" s="38">
        <f>IFERROR(__xludf.DUMMYFUNCTION("""COMPUTED_VALUE"""),72.64033850957571)</f>
        <v>72.64033851</v>
      </c>
      <c r="H220" s="38">
        <f>IFERROR(__xludf.DUMMYFUNCTION("""COMPUTED_VALUE"""),71.49540471106731)</f>
        <v>71.49540471</v>
      </c>
      <c r="I220" s="14">
        <f>IFERROR(__xludf.DUMMYFUNCTION("""COMPUTED_VALUE"""),55.0)</f>
        <v>55</v>
      </c>
      <c r="J220" s="11">
        <f>IFERROR(__xludf.DUMMYFUNCTION("IFERROR(FILTER(Stats!$F:$Z,(Stats!$A:$A=$A220)*(Stats!$B:$B=$B220)))"),39.0)</f>
        <v>39</v>
      </c>
      <c r="K220" s="11">
        <f>IFERROR(__xludf.DUMMYFUNCTION("""COMPUTED_VALUE"""),16.0)</f>
        <v>16</v>
      </c>
      <c r="L220" s="12">
        <f>IFERROR(__xludf.DUMMYFUNCTION("""COMPUTED_VALUE"""),0.7090909090909091)</f>
        <v>0.7090909091</v>
      </c>
      <c r="M220" s="11">
        <f>IFERROR(__xludf.DUMMYFUNCTION("""COMPUTED_VALUE"""),13.0)</f>
        <v>13</v>
      </c>
      <c r="N220" s="11">
        <f>IFERROR(__xludf.DUMMYFUNCTION("""COMPUTED_VALUE"""),22125.0)</f>
        <v>22125</v>
      </c>
      <c r="O220" s="13">
        <f>IFERROR(__xludf.DUMMYFUNCTION("""COMPUTED_VALUE"""),50.0)</f>
        <v>50</v>
      </c>
      <c r="P220" s="14">
        <f>IFERROR(__xludf.DUMMYFUNCTION("""COMPUTED_VALUE"""),41.0)</f>
        <v>41</v>
      </c>
      <c r="Q220" s="13">
        <f>IFERROR(__xludf.DUMMYFUNCTION("""COMPUTED_VALUE"""),88.0)</f>
        <v>88</v>
      </c>
      <c r="R220" s="13">
        <f>IFERROR(__xludf.DUMMYFUNCTION("""COMPUTED_VALUE"""),152.0)</f>
        <v>152</v>
      </c>
      <c r="S220" s="15">
        <f>IFERROR(__xludf.DUMMYFUNCTION("""COMPUTED_VALUE"""),0.32894736842105265)</f>
        <v>0.3289473684</v>
      </c>
      <c r="T220" s="16">
        <f>IFERROR(__xludf.DUMMYFUNCTION("""COMPUTED_VALUE"""),402.27272727272725)</f>
        <v>402.2727273</v>
      </c>
      <c r="U220" s="16">
        <f>IFERROR(__xludf.DUMMYFUNCTION("""COMPUTED_VALUE"""),0.9090909090909091)</f>
        <v>0.9090909091</v>
      </c>
      <c r="V220" s="16">
        <f>IFERROR(__xludf.DUMMYFUNCTION("""COMPUTED_VALUE"""),0.7454545454545455)</f>
        <v>0.7454545455</v>
      </c>
      <c r="W220" s="16">
        <f>IFERROR(__xludf.DUMMYFUNCTION("""COMPUTED_VALUE"""),1.6)</f>
        <v>1.6</v>
      </c>
      <c r="X220" s="16">
        <f>IFERROR(__xludf.DUMMYFUNCTION("""COMPUTED_VALUE"""),2.7636363636363637)</f>
        <v>2.763636364</v>
      </c>
      <c r="Y220" s="11">
        <f>IFERROR(__xludf.DUMMYFUNCTION("""COMPUTED_VALUE"""),18.0)</f>
        <v>18</v>
      </c>
      <c r="Z220" s="11">
        <f>IFERROR(__xludf.DUMMYFUNCTION("""COMPUTED_VALUE"""),1.0)</f>
        <v>1</v>
      </c>
      <c r="AA220" s="11">
        <f>IFERROR(__xludf.DUMMYFUNCTION("""COMPUTED_VALUE"""),1.0)</f>
        <v>1</v>
      </c>
      <c r="AB220" s="11">
        <f>IFERROR(__xludf.DUMMYFUNCTION("""COMPUTED_VALUE"""),8.0)</f>
        <v>8</v>
      </c>
      <c r="AC220" s="11">
        <f>IFERROR(__xludf.DUMMYFUNCTION("""COMPUTED_VALUE"""),140.0)</f>
        <v>140</v>
      </c>
      <c r="AD220" s="11">
        <f>IFERROR(__xludf.DUMMYFUNCTION("""COMPUTED_VALUE"""),50.0)</f>
        <v>50</v>
      </c>
    </row>
    <row r="221">
      <c r="A221" s="10" t="str">
        <f>IFERROR(__xludf.DUMMYFUNCTION("""COMPUTED_VALUE"""),"Elite")</f>
        <v>Elite</v>
      </c>
      <c r="B221" s="10" t="str">
        <f>IFERROR(__xludf.DUMMYFUNCTION("""COMPUTED_VALUE"""),"RSC007514")</f>
        <v>RSC007514</v>
      </c>
      <c r="C221" s="10" t="str">
        <f>IFERROR(__xludf.DUMMYFUNCTION("""COMPUTED_VALUE"""),"Sauce_Boss_36")</f>
        <v>Sauce_Boss_36</v>
      </c>
      <c r="D221" s="36" t="str">
        <f>IFERROR(__xludf.DUMMYFUNCTION("""COMPUTED_VALUE"""),"Dragon")</f>
        <v>Dragon</v>
      </c>
      <c r="E221" s="10" t="str">
        <f>IFERROR(__xludf.DUMMYFUNCTION("""COMPUTED_VALUE"""),"Solar")</f>
        <v>Solar</v>
      </c>
      <c r="F221" s="37">
        <f>IFERROR(__xludf.DUMMYFUNCTION("""COMPUTED_VALUE"""),66.33185336904626)</f>
        <v>66.33185337</v>
      </c>
      <c r="G221" s="38">
        <f>IFERROR(__xludf.DUMMYFUNCTION("""COMPUTED_VALUE"""),76.38923407792444)</f>
        <v>76.38923408</v>
      </c>
      <c r="H221" s="38">
        <f>IFERROR(__xludf.DUMMYFUNCTION("""COMPUTED_VALUE"""),71.36054372348535)</f>
        <v>71.36054372</v>
      </c>
      <c r="I221" s="14">
        <f>IFERROR(__xludf.DUMMYFUNCTION("""COMPUTED_VALUE"""),41.0)</f>
        <v>41</v>
      </c>
      <c r="J221" s="11">
        <f>IFERROR(__xludf.DUMMYFUNCTION("IFERROR(FILTER(Stats!$F:$Z,(Stats!$A:$A=$A221)*(Stats!$B:$B=$B221)))"),29.0)</f>
        <v>29</v>
      </c>
      <c r="K221" s="11">
        <f>IFERROR(__xludf.DUMMYFUNCTION("""COMPUTED_VALUE"""),12.0)</f>
        <v>12</v>
      </c>
      <c r="L221" s="12">
        <f>IFERROR(__xludf.DUMMYFUNCTION("""COMPUTED_VALUE"""),0.7073170731707317)</f>
        <v>0.7073170732</v>
      </c>
      <c r="M221" s="11">
        <f>IFERROR(__xludf.DUMMYFUNCTION("""COMPUTED_VALUE"""),8.0)</f>
        <v>8</v>
      </c>
      <c r="N221" s="11">
        <f>IFERROR(__xludf.DUMMYFUNCTION("""COMPUTED_VALUE"""),15095.0)</f>
        <v>15095</v>
      </c>
      <c r="O221" s="13">
        <f>IFERROR(__xludf.DUMMYFUNCTION("""COMPUTED_VALUE"""),36.0)</f>
        <v>36</v>
      </c>
      <c r="P221" s="14">
        <f>IFERROR(__xludf.DUMMYFUNCTION("""COMPUTED_VALUE"""),33.0)</f>
        <v>33</v>
      </c>
      <c r="Q221" s="13">
        <f>IFERROR(__xludf.DUMMYFUNCTION("""COMPUTED_VALUE"""),55.0)</f>
        <v>55</v>
      </c>
      <c r="R221" s="13">
        <f>IFERROR(__xludf.DUMMYFUNCTION("""COMPUTED_VALUE"""),120.0)</f>
        <v>120</v>
      </c>
      <c r="S221" s="15">
        <f>IFERROR(__xludf.DUMMYFUNCTION("""COMPUTED_VALUE"""),0.3)</f>
        <v>0.3</v>
      </c>
      <c r="T221" s="16">
        <f>IFERROR(__xludf.DUMMYFUNCTION("""COMPUTED_VALUE"""),368.1707317073171)</f>
        <v>368.1707317</v>
      </c>
      <c r="U221" s="16">
        <f>IFERROR(__xludf.DUMMYFUNCTION("""COMPUTED_VALUE"""),0.8780487804878049)</f>
        <v>0.8780487805</v>
      </c>
      <c r="V221" s="16">
        <f>IFERROR(__xludf.DUMMYFUNCTION("""COMPUTED_VALUE"""),0.8048780487804879)</f>
        <v>0.8048780488</v>
      </c>
      <c r="W221" s="16">
        <f>IFERROR(__xludf.DUMMYFUNCTION("""COMPUTED_VALUE"""),1.3414634146341464)</f>
        <v>1.341463415</v>
      </c>
      <c r="X221" s="16">
        <f>IFERROR(__xludf.DUMMYFUNCTION("""COMPUTED_VALUE"""),2.926829268292683)</f>
        <v>2.926829268</v>
      </c>
      <c r="Y221" s="11">
        <f>IFERROR(__xludf.DUMMYFUNCTION("""COMPUTED_VALUE"""),8.0)</f>
        <v>8</v>
      </c>
      <c r="Z221" s="11">
        <f>IFERROR(__xludf.DUMMYFUNCTION("""COMPUTED_VALUE"""),3.0)</f>
        <v>3</v>
      </c>
      <c r="AA221" s="11">
        <f>IFERROR(__xludf.DUMMYFUNCTION("""COMPUTED_VALUE"""),4.0)</f>
        <v>4</v>
      </c>
      <c r="AB221" s="11">
        <f>IFERROR(__xludf.DUMMYFUNCTION("""COMPUTED_VALUE"""),8.0)</f>
        <v>8</v>
      </c>
      <c r="AC221" s="11">
        <f>IFERROR(__xludf.DUMMYFUNCTION("""COMPUTED_VALUE"""),47.0)</f>
        <v>47</v>
      </c>
      <c r="AD221" s="11">
        <f>IFERROR(__xludf.DUMMYFUNCTION("""COMPUTED_VALUE"""),45.0)</f>
        <v>45</v>
      </c>
    </row>
    <row r="222">
      <c r="A222" s="10" t="str">
        <f>IFERROR(__xludf.DUMMYFUNCTION("""COMPUTED_VALUE"""),"Elite")</f>
        <v>Elite</v>
      </c>
      <c r="B222" s="10" t="str">
        <f>IFERROR(__xludf.DUMMYFUNCTION("""COMPUTED_VALUE"""),"RSC008221")</f>
        <v>RSC008221</v>
      </c>
      <c r="C222" s="10" t="str">
        <f>IFERROR(__xludf.DUMMYFUNCTION("""COMPUTED_VALUE"""),"KamdenRL")</f>
        <v>KamdenRL</v>
      </c>
      <c r="D222" s="36" t="str">
        <f>IFERROR(__xludf.DUMMYFUNCTION("""COMPUTED_VALUE"""),"Thrashers
Black-Holes
Hellhounds
Forest Cobra")</f>
        <v>Thrashers
Black-Holes
Hellhounds
Forest Cobra</v>
      </c>
      <c r="E222" s="10" t="str">
        <f>IFERROR(__xludf.DUMMYFUNCTION("""COMPUTED_VALUE"""),"Lunar
Lunar
Solar
Lunar")</f>
        <v>Lunar
Lunar
Solar
Lunar</v>
      </c>
      <c r="F222" s="37">
        <f>IFERROR(__xludf.DUMMYFUNCTION("""COMPUTED_VALUE"""),72.7819889463792)</f>
        <v>72.78198895</v>
      </c>
      <c r="G222" s="38">
        <f>IFERROR(__xludf.DUMMYFUNCTION("""COMPUTED_VALUE"""),69.34320282210652)</f>
        <v>69.34320282</v>
      </c>
      <c r="H222" s="38">
        <f>IFERROR(__xludf.DUMMYFUNCTION("""COMPUTED_VALUE"""),71.06259588424285)</f>
        <v>71.06259588</v>
      </c>
      <c r="I222" s="14">
        <f>IFERROR(__xludf.DUMMYFUNCTION("""COMPUTED_VALUE"""),18.0)</f>
        <v>18</v>
      </c>
      <c r="J222" s="11">
        <f>IFERROR(__xludf.DUMMYFUNCTION("IFERROR(FILTER(Stats!$F:$Z,(Stats!$A:$A=$A222)*(Stats!$B:$B=$B222)))"),12.0)</f>
        <v>12</v>
      </c>
      <c r="K222" s="11">
        <f>IFERROR(__xludf.DUMMYFUNCTION("""COMPUTED_VALUE"""),6.0)</f>
        <v>6</v>
      </c>
      <c r="L222" s="12">
        <f>IFERROR(__xludf.DUMMYFUNCTION("""COMPUTED_VALUE"""),0.6666666666666666)</f>
        <v>0.6666666667</v>
      </c>
      <c r="M222" s="11">
        <f>IFERROR(__xludf.DUMMYFUNCTION("""COMPUTED_VALUE"""),6.0)</f>
        <v>6</v>
      </c>
      <c r="N222" s="11">
        <f>IFERROR(__xludf.DUMMYFUNCTION("""COMPUTED_VALUE"""),7083.0)</f>
        <v>7083</v>
      </c>
      <c r="O222" s="13">
        <f>IFERROR(__xludf.DUMMYFUNCTION("""COMPUTED_VALUE"""),19.0)</f>
        <v>19</v>
      </c>
      <c r="P222" s="14">
        <f>IFERROR(__xludf.DUMMYFUNCTION("""COMPUTED_VALUE"""),10.0)</f>
        <v>10</v>
      </c>
      <c r="Q222" s="13">
        <f>IFERROR(__xludf.DUMMYFUNCTION("""COMPUTED_VALUE"""),25.0)</f>
        <v>25</v>
      </c>
      <c r="R222" s="13">
        <f>IFERROR(__xludf.DUMMYFUNCTION("""COMPUTED_VALUE"""),57.0)</f>
        <v>57</v>
      </c>
      <c r="S222" s="15">
        <f>IFERROR(__xludf.DUMMYFUNCTION("""COMPUTED_VALUE"""),0.3333333333333333)</f>
        <v>0.3333333333</v>
      </c>
      <c r="T222" s="16">
        <f>IFERROR(__xludf.DUMMYFUNCTION("""COMPUTED_VALUE"""),393.5)</f>
        <v>393.5</v>
      </c>
      <c r="U222" s="16">
        <f>IFERROR(__xludf.DUMMYFUNCTION("""COMPUTED_VALUE"""),1.0555555555555556)</f>
        <v>1.055555556</v>
      </c>
      <c r="V222" s="16">
        <f>IFERROR(__xludf.DUMMYFUNCTION("""COMPUTED_VALUE"""),0.5555555555555556)</f>
        <v>0.5555555556</v>
      </c>
      <c r="W222" s="16">
        <f>IFERROR(__xludf.DUMMYFUNCTION("""COMPUTED_VALUE"""),1.3888888888888888)</f>
        <v>1.388888889</v>
      </c>
      <c r="X222" s="16">
        <f>IFERROR(__xludf.DUMMYFUNCTION("""COMPUTED_VALUE"""),3.1666666666666665)</f>
        <v>3.166666667</v>
      </c>
      <c r="Y222" s="11">
        <f>IFERROR(__xludf.DUMMYFUNCTION("""COMPUTED_VALUE"""),4.0)</f>
        <v>4</v>
      </c>
      <c r="Z222" s="11">
        <f>IFERROR(__xludf.DUMMYFUNCTION("""COMPUTED_VALUE"""),1.0)</f>
        <v>1</v>
      </c>
      <c r="AA222" s="11">
        <f>IFERROR(__xludf.DUMMYFUNCTION("""COMPUTED_VALUE"""),1.0)</f>
        <v>1</v>
      </c>
      <c r="AB222" s="11">
        <f>IFERROR(__xludf.DUMMYFUNCTION("""COMPUTED_VALUE"""),5.0)</f>
        <v>5</v>
      </c>
      <c r="AC222" s="11">
        <f>IFERROR(__xludf.DUMMYFUNCTION("""COMPUTED_VALUE"""),17.0)</f>
        <v>17</v>
      </c>
      <c r="AD222" s="11">
        <f>IFERROR(__xludf.DUMMYFUNCTION("""COMPUTED_VALUE"""),20.0)</f>
        <v>20</v>
      </c>
    </row>
    <row r="223">
      <c r="A223" s="10" t="str">
        <f>IFERROR(__xludf.DUMMYFUNCTION("""COMPUTED_VALUE"""),"Elite")</f>
        <v>Elite</v>
      </c>
      <c r="B223" s="10" t="str">
        <f>IFERROR(__xludf.DUMMYFUNCTION("""COMPUTED_VALUE"""),"RSC003360")</f>
        <v>RSC003360</v>
      </c>
      <c r="C223" s="10" t="str">
        <f>IFERROR(__xludf.DUMMYFUNCTION("""COMPUTED_VALUE"""),"flossy")</f>
        <v>flossy</v>
      </c>
      <c r="D223" s="36" t="str">
        <f>IFERROR(__xludf.DUMMYFUNCTION("""COMPUTED_VALUE"""),"Dragon")</f>
        <v>Dragon</v>
      </c>
      <c r="E223" s="10" t="str">
        <f>IFERROR(__xludf.DUMMYFUNCTION("""COMPUTED_VALUE"""),"Solar")</f>
        <v>Solar</v>
      </c>
      <c r="F223" s="37">
        <f>IFERROR(__xludf.DUMMYFUNCTION("""COMPUTED_VALUE"""),62.84761727090523)</f>
        <v>62.84761727</v>
      </c>
      <c r="G223" s="38">
        <f>IFERROR(__xludf.DUMMYFUNCTION("""COMPUTED_VALUE"""),78.53554134668691)</f>
        <v>78.53554135</v>
      </c>
      <c r="H223" s="38">
        <f>IFERROR(__xludf.DUMMYFUNCTION("""COMPUTED_VALUE"""),70.69157930879607)</f>
        <v>70.69157931</v>
      </c>
      <c r="I223" s="14">
        <f>IFERROR(__xludf.DUMMYFUNCTION("""COMPUTED_VALUE"""),56.0)</f>
        <v>56</v>
      </c>
      <c r="J223" s="11">
        <f>IFERROR(__xludf.DUMMYFUNCTION("IFERROR(FILTER(Stats!$F:$Z,(Stats!$A:$A=$A223)*(Stats!$B:$B=$B223)))"),40.0)</f>
        <v>40</v>
      </c>
      <c r="K223" s="11">
        <f>IFERROR(__xludf.DUMMYFUNCTION("""COMPUTED_VALUE"""),16.0)</f>
        <v>16</v>
      </c>
      <c r="L223" s="12">
        <f>IFERROR(__xludf.DUMMYFUNCTION("""COMPUTED_VALUE"""),0.7142857142857143)</f>
        <v>0.7142857143</v>
      </c>
      <c r="M223" s="11">
        <f>IFERROR(__xludf.DUMMYFUNCTION("""COMPUTED_VALUE"""),16.0)</f>
        <v>16</v>
      </c>
      <c r="N223" s="11">
        <f>IFERROR(__xludf.DUMMYFUNCTION("""COMPUTED_VALUE"""),21199.0)</f>
        <v>21199</v>
      </c>
      <c r="O223" s="13">
        <f>IFERROR(__xludf.DUMMYFUNCTION("""COMPUTED_VALUE"""),65.0)</f>
        <v>65</v>
      </c>
      <c r="P223" s="14">
        <f>IFERROR(__xludf.DUMMYFUNCTION("""COMPUTED_VALUE"""),27.0)</f>
        <v>27</v>
      </c>
      <c r="Q223" s="13">
        <f>IFERROR(__xludf.DUMMYFUNCTION("""COMPUTED_VALUE"""),76.0)</f>
        <v>76</v>
      </c>
      <c r="R223" s="13">
        <f>IFERROR(__xludf.DUMMYFUNCTION("""COMPUTED_VALUE"""),164.0)</f>
        <v>164</v>
      </c>
      <c r="S223" s="15">
        <f>IFERROR(__xludf.DUMMYFUNCTION("""COMPUTED_VALUE"""),0.39634146341463417)</f>
        <v>0.3963414634</v>
      </c>
      <c r="T223" s="16">
        <f>IFERROR(__xludf.DUMMYFUNCTION("""COMPUTED_VALUE"""),378.55357142857144)</f>
        <v>378.5535714</v>
      </c>
      <c r="U223" s="16">
        <f>IFERROR(__xludf.DUMMYFUNCTION("""COMPUTED_VALUE"""),1.1607142857142858)</f>
        <v>1.160714286</v>
      </c>
      <c r="V223" s="16">
        <f>IFERROR(__xludf.DUMMYFUNCTION("""COMPUTED_VALUE"""),0.48214285714285715)</f>
        <v>0.4821428571</v>
      </c>
      <c r="W223" s="16">
        <f>IFERROR(__xludf.DUMMYFUNCTION("""COMPUTED_VALUE"""),1.3571428571428572)</f>
        <v>1.357142857</v>
      </c>
      <c r="X223" s="16">
        <f>IFERROR(__xludf.DUMMYFUNCTION("""COMPUTED_VALUE"""),2.9285714285714284)</f>
        <v>2.928571429</v>
      </c>
      <c r="Y223" s="11">
        <f>IFERROR(__xludf.DUMMYFUNCTION("""COMPUTED_VALUE"""),9.0)</f>
        <v>9</v>
      </c>
      <c r="Z223" s="11">
        <f>IFERROR(__xludf.DUMMYFUNCTION("""COMPUTED_VALUE"""),6.0)</f>
        <v>6</v>
      </c>
      <c r="AA223" s="11">
        <f>IFERROR(__xludf.DUMMYFUNCTION("""COMPUTED_VALUE"""),1.0)</f>
        <v>1</v>
      </c>
      <c r="AB223" s="11">
        <f>IFERROR(__xludf.DUMMYFUNCTION("""COMPUTED_VALUE"""),6.0)</f>
        <v>6</v>
      </c>
      <c r="AC223" s="11">
        <f>IFERROR(__xludf.DUMMYFUNCTION("""COMPUTED_VALUE"""),61.0)</f>
        <v>61</v>
      </c>
      <c r="AD223" s="11">
        <f>IFERROR(__xludf.DUMMYFUNCTION("""COMPUTED_VALUE"""),61.0)</f>
        <v>61</v>
      </c>
    </row>
    <row r="224">
      <c r="A224" s="10" t="str">
        <f>IFERROR(__xludf.DUMMYFUNCTION("""COMPUTED_VALUE"""),"Elite")</f>
        <v>Elite</v>
      </c>
      <c r="B224" s="10" t="str">
        <f>IFERROR(__xludf.DUMMYFUNCTION("""COMPUTED_VALUE"""),"RSC007908")</f>
        <v>RSC007908</v>
      </c>
      <c r="C224" s="10" t="str">
        <f>IFERROR(__xludf.DUMMYFUNCTION("""COMPUTED_VALUE"""),"C01E01")</f>
        <v>C01E01</v>
      </c>
      <c r="D224" s="36" t="str">
        <f>IFERROR(__xludf.DUMMYFUNCTION("""COMPUTED_VALUE"""),"Hydras")</f>
        <v>Hydras</v>
      </c>
      <c r="E224" s="10" t="str">
        <f>IFERROR(__xludf.DUMMYFUNCTION("""COMPUTED_VALUE"""),"Solar")</f>
        <v>Solar</v>
      </c>
      <c r="F224" s="37">
        <f>IFERROR(__xludf.DUMMYFUNCTION("""COMPUTED_VALUE"""),71.93637812483476)</f>
        <v>71.93637812</v>
      </c>
      <c r="G224" s="38">
        <f>IFERROR(__xludf.DUMMYFUNCTION("""COMPUTED_VALUE"""),69.33256853986595)</f>
        <v>69.33256854</v>
      </c>
      <c r="H224" s="38">
        <f>IFERROR(__xludf.DUMMYFUNCTION("""COMPUTED_VALUE"""),70.63447333235035)</f>
        <v>70.63447333</v>
      </c>
      <c r="I224" s="14">
        <f>IFERROR(__xludf.DUMMYFUNCTION("""COMPUTED_VALUE"""),56.0)</f>
        <v>56</v>
      </c>
      <c r="J224" s="11">
        <f>IFERROR(__xludf.DUMMYFUNCTION("IFERROR(FILTER(Stats!$F:$Z,(Stats!$A:$A=$A224)*(Stats!$B:$B=$B224)))"),31.0)</f>
        <v>31</v>
      </c>
      <c r="K224" s="11">
        <f>IFERROR(__xludf.DUMMYFUNCTION("""COMPUTED_VALUE"""),25.0)</f>
        <v>25</v>
      </c>
      <c r="L224" s="12">
        <f>IFERROR(__xludf.DUMMYFUNCTION("""COMPUTED_VALUE"""),0.5535714285714286)</f>
        <v>0.5535714286</v>
      </c>
      <c r="M224" s="11">
        <f>IFERROR(__xludf.DUMMYFUNCTION("""COMPUTED_VALUE"""),13.0)</f>
        <v>13</v>
      </c>
      <c r="N224" s="11">
        <f>IFERROR(__xludf.DUMMYFUNCTION("""COMPUTED_VALUE"""),22084.0)</f>
        <v>22084</v>
      </c>
      <c r="O224" s="13">
        <f>IFERROR(__xludf.DUMMYFUNCTION("""COMPUTED_VALUE"""),60.0)</f>
        <v>60</v>
      </c>
      <c r="P224" s="14">
        <f>IFERROR(__xludf.DUMMYFUNCTION("""COMPUTED_VALUE"""),29.0)</f>
        <v>29</v>
      </c>
      <c r="Q224" s="13">
        <f>IFERROR(__xludf.DUMMYFUNCTION("""COMPUTED_VALUE"""),82.0)</f>
        <v>82</v>
      </c>
      <c r="R224" s="13">
        <f>IFERROR(__xludf.DUMMYFUNCTION("""COMPUTED_VALUE"""),161.0)</f>
        <v>161</v>
      </c>
      <c r="S224" s="15">
        <f>IFERROR(__xludf.DUMMYFUNCTION("""COMPUTED_VALUE"""),0.37267080745341613)</f>
        <v>0.3726708075</v>
      </c>
      <c r="T224" s="16">
        <f>IFERROR(__xludf.DUMMYFUNCTION("""COMPUTED_VALUE"""),394.35714285714283)</f>
        <v>394.3571429</v>
      </c>
      <c r="U224" s="16">
        <f>IFERROR(__xludf.DUMMYFUNCTION("""COMPUTED_VALUE"""),1.0714285714285714)</f>
        <v>1.071428571</v>
      </c>
      <c r="V224" s="16">
        <f>IFERROR(__xludf.DUMMYFUNCTION("""COMPUTED_VALUE"""),0.5178571428571429)</f>
        <v>0.5178571429</v>
      </c>
      <c r="W224" s="16">
        <f>IFERROR(__xludf.DUMMYFUNCTION("""COMPUTED_VALUE"""),1.4642857142857142)</f>
        <v>1.464285714</v>
      </c>
      <c r="X224" s="16">
        <f>IFERROR(__xludf.DUMMYFUNCTION("""COMPUTED_VALUE"""),2.875)</f>
        <v>2.875</v>
      </c>
      <c r="Y224" s="11">
        <f>IFERROR(__xludf.DUMMYFUNCTION("""COMPUTED_VALUE"""),14.0)</f>
        <v>14</v>
      </c>
      <c r="Z224" s="11">
        <f>IFERROR(__xludf.DUMMYFUNCTION("""COMPUTED_VALUE"""),5.0)</f>
        <v>5</v>
      </c>
      <c r="AA224" s="11">
        <f>IFERROR(__xludf.DUMMYFUNCTION("""COMPUTED_VALUE"""),1.0)</f>
        <v>1</v>
      </c>
      <c r="AB224" s="11">
        <f>IFERROR(__xludf.DUMMYFUNCTION("""COMPUTED_VALUE"""),12.0)</f>
        <v>12</v>
      </c>
      <c r="AC224" s="11">
        <f>IFERROR(__xludf.DUMMYFUNCTION("""COMPUTED_VALUE"""),44.0)</f>
        <v>44</v>
      </c>
      <c r="AD224" s="11">
        <f>IFERROR(__xludf.DUMMYFUNCTION("""COMPUTED_VALUE"""),58.0)</f>
        <v>58</v>
      </c>
    </row>
    <row r="225">
      <c r="A225" s="10" t="str">
        <f>IFERROR(__xludf.DUMMYFUNCTION("""COMPUTED_VALUE"""),"Elite")</f>
        <v>Elite</v>
      </c>
      <c r="B225" s="10" t="str">
        <f>IFERROR(__xludf.DUMMYFUNCTION("""COMPUTED_VALUE"""),"RSC008503")</f>
        <v>RSC008503</v>
      </c>
      <c r="C225" s="10" t="str">
        <f>IFERROR(__xludf.DUMMYFUNCTION("""COMPUTED_VALUE"""),"Rick0810")</f>
        <v>Rick0810</v>
      </c>
      <c r="D225" s="36" t="str">
        <f>IFERROR(__xludf.DUMMYFUNCTION("""COMPUTED_VALUE"""),"Ghastly Goombahs
Commanders
Drive-by")</f>
        <v>Ghastly Goombahs
Commanders
Drive-by</v>
      </c>
      <c r="E225" s="10" t="str">
        <f>IFERROR(__xludf.DUMMYFUNCTION("""COMPUTED_VALUE"""),"Lunar
Lunar
Solar")</f>
        <v>Lunar
Lunar
Solar</v>
      </c>
      <c r="F225" s="37">
        <f>IFERROR(__xludf.DUMMYFUNCTION("""COMPUTED_VALUE"""),63.238061094936576)</f>
        <v>63.23806109</v>
      </c>
      <c r="G225" s="38">
        <f>IFERROR(__xludf.DUMMYFUNCTION("""COMPUTED_VALUE"""),77.75034317086971)</f>
        <v>77.75034317</v>
      </c>
      <c r="H225" s="38">
        <f>IFERROR(__xludf.DUMMYFUNCTION("""COMPUTED_VALUE"""),70.49420213290314)</f>
        <v>70.49420213</v>
      </c>
      <c r="I225" s="14">
        <f>IFERROR(__xludf.DUMMYFUNCTION("""COMPUTED_VALUE"""),10.0)</f>
        <v>10</v>
      </c>
      <c r="J225" s="11">
        <f>IFERROR(__xludf.DUMMYFUNCTION("IFERROR(FILTER(Stats!$F:$Z,(Stats!$A:$A=$A225)*(Stats!$B:$B=$B225)))"),5.0)</f>
        <v>5</v>
      </c>
      <c r="K225" s="11">
        <f>IFERROR(__xludf.DUMMYFUNCTION("""COMPUTED_VALUE"""),5.0)</f>
        <v>5</v>
      </c>
      <c r="L225" s="12">
        <f>IFERROR(__xludf.DUMMYFUNCTION("""COMPUTED_VALUE"""),0.5)</f>
        <v>0.5</v>
      </c>
      <c r="M225" s="11">
        <f>IFERROR(__xludf.DUMMYFUNCTION("""COMPUTED_VALUE"""),2.0)</f>
        <v>2</v>
      </c>
      <c r="N225" s="11">
        <f>IFERROR(__xludf.DUMMYFUNCTION("""COMPUTED_VALUE"""),4173.0)</f>
        <v>4173</v>
      </c>
      <c r="O225" s="13">
        <f>IFERROR(__xludf.DUMMYFUNCTION("""COMPUTED_VALUE"""),9.0)</f>
        <v>9</v>
      </c>
      <c r="P225" s="14">
        <f>IFERROR(__xludf.DUMMYFUNCTION("""COMPUTED_VALUE"""),9.0)</f>
        <v>9</v>
      </c>
      <c r="Q225" s="13">
        <f>IFERROR(__xludf.DUMMYFUNCTION("""COMPUTED_VALUE"""),18.0)</f>
        <v>18</v>
      </c>
      <c r="R225" s="13">
        <f>IFERROR(__xludf.DUMMYFUNCTION("""COMPUTED_VALUE"""),33.0)</f>
        <v>33</v>
      </c>
      <c r="S225" s="15">
        <f>IFERROR(__xludf.DUMMYFUNCTION("""COMPUTED_VALUE"""),0.2727272727272727)</f>
        <v>0.2727272727</v>
      </c>
      <c r="T225" s="16">
        <f>IFERROR(__xludf.DUMMYFUNCTION("""COMPUTED_VALUE"""),417.3)</f>
        <v>417.3</v>
      </c>
      <c r="U225" s="16">
        <f>IFERROR(__xludf.DUMMYFUNCTION("""COMPUTED_VALUE"""),0.9)</f>
        <v>0.9</v>
      </c>
      <c r="V225" s="16">
        <f>IFERROR(__xludf.DUMMYFUNCTION("""COMPUTED_VALUE"""),0.9)</f>
        <v>0.9</v>
      </c>
      <c r="W225" s="16">
        <f>IFERROR(__xludf.DUMMYFUNCTION("""COMPUTED_VALUE"""),1.8)</f>
        <v>1.8</v>
      </c>
      <c r="X225" s="16">
        <f>IFERROR(__xludf.DUMMYFUNCTION("""COMPUTED_VALUE"""),3.3)</f>
        <v>3.3</v>
      </c>
      <c r="Y225" s="11">
        <f>IFERROR(__xludf.DUMMYFUNCTION("""COMPUTED_VALUE"""),4.0)</f>
        <v>4</v>
      </c>
      <c r="Z225" s="11">
        <f>IFERROR(__xludf.DUMMYFUNCTION("""COMPUTED_VALUE"""),0.0)</f>
        <v>0</v>
      </c>
      <c r="AA225" s="11">
        <f>IFERROR(__xludf.DUMMYFUNCTION("""COMPUTED_VALUE"""),0.0)</f>
        <v>0</v>
      </c>
      <c r="AB225" s="11">
        <f>IFERROR(__xludf.DUMMYFUNCTION("""COMPUTED_VALUE"""),2.0)</f>
        <v>2</v>
      </c>
      <c r="AC225" s="11">
        <f>IFERROR(__xludf.DUMMYFUNCTION("""COMPUTED_VALUE"""),16.0)</f>
        <v>16</v>
      </c>
      <c r="AD225" s="11">
        <f>IFERROR(__xludf.DUMMYFUNCTION("""COMPUTED_VALUE"""),13.0)</f>
        <v>13</v>
      </c>
    </row>
    <row r="226">
      <c r="A226" s="10" t="str">
        <f>IFERROR(__xludf.DUMMYFUNCTION("""COMPUTED_VALUE"""),"Elite")</f>
        <v>Elite</v>
      </c>
      <c r="B226" s="10" t="str">
        <f>IFERROR(__xludf.DUMMYFUNCTION("""COMPUTED_VALUE"""),"RSC008420")</f>
        <v>RSC008420</v>
      </c>
      <c r="C226" s="10" t="str">
        <f>IFERROR(__xludf.DUMMYFUNCTION("""COMPUTED_VALUE"""),"Volkner")</f>
        <v>Volkner</v>
      </c>
      <c r="D226" s="36" t="str">
        <f>IFERROR(__xludf.DUMMYFUNCTION("""COMPUTED_VALUE"""),"Swordsman")</f>
        <v>Swordsman</v>
      </c>
      <c r="E226" s="10" t="str">
        <f>IFERROR(__xludf.DUMMYFUNCTION("""COMPUTED_VALUE"""),"Solar")</f>
        <v>Solar</v>
      </c>
      <c r="F226" s="37">
        <f>IFERROR(__xludf.DUMMYFUNCTION("""COMPUTED_VALUE"""),72.24305390633559)</f>
        <v>72.24305391</v>
      </c>
      <c r="G226" s="38">
        <f>IFERROR(__xludf.DUMMYFUNCTION("""COMPUTED_VALUE"""),68.40637235045895)</f>
        <v>68.40637235</v>
      </c>
      <c r="H226" s="38">
        <f>IFERROR(__xludf.DUMMYFUNCTION("""COMPUTED_VALUE"""),70.32471312839726)</f>
        <v>70.32471313</v>
      </c>
      <c r="I226" s="14">
        <f>IFERROR(__xludf.DUMMYFUNCTION("""COMPUTED_VALUE"""),56.0)</f>
        <v>56</v>
      </c>
      <c r="J226" s="11">
        <f>IFERROR(__xludf.DUMMYFUNCTION("IFERROR(FILTER(Stats!$F:$Z,(Stats!$A:$A=$A226)*(Stats!$B:$B=$B226)))"),30.0)</f>
        <v>30</v>
      </c>
      <c r="K226" s="11">
        <f>IFERROR(__xludf.DUMMYFUNCTION("""COMPUTED_VALUE"""),26.0)</f>
        <v>26</v>
      </c>
      <c r="L226" s="12">
        <f>IFERROR(__xludf.DUMMYFUNCTION("""COMPUTED_VALUE"""),0.5357142857142857)</f>
        <v>0.5357142857</v>
      </c>
      <c r="M226" s="11">
        <f>IFERROR(__xludf.DUMMYFUNCTION("""COMPUTED_VALUE"""),13.0)</f>
        <v>13</v>
      </c>
      <c r="N226" s="11">
        <f>IFERROR(__xludf.DUMMYFUNCTION("""COMPUTED_VALUE"""),23863.0)</f>
        <v>23863</v>
      </c>
      <c r="O226" s="13">
        <f>IFERROR(__xludf.DUMMYFUNCTION("""COMPUTED_VALUE"""),54.0)</f>
        <v>54</v>
      </c>
      <c r="P226" s="14">
        <f>IFERROR(__xludf.DUMMYFUNCTION("""COMPUTED_VALUE"""),29.0)</f>
        <v>29</v>
      </c>
      <c r="Q226" s="13">
        <f>IFERROR(__xludf.DUMMYFUNCTION("""COMPUTED_VALUE"""),105.0)</f>
        <v>105</v>
      </c>
      <c r="R226" s="13">
        <f>IFERROR(__xludf.DUMMYFUNCTION("""COMPUTED_VALUE"""),183.0)</f>
        <v>183</v>
      </c>
      <c r="S226" s="15">
        <f>IFERROR(__xludf.DUMMYFUNCTION("""COMPUTED_VALUE"""),0.29508196721311475)</f>
        <v>0.2950819672</v>
      </c>
      <c r="T226" s="16">
        <f>IFERROR(__xludf.DUMMYFUNCTION("""COMPUTED_VALUE"""),426.125)</f>
        <v>426.125</v>
      </c>
      <c r="U226" s="16">
        <f>IFERROR(__xludf.DUMMYFUNCTION("""COMPUTED_VALUE"""),0.9642857142857143)</f>
        <v>0.9642857143</v>
      </c>
      <c r="V226" s="16">
        <f>IFERROR(__xludf.DUMMYFUNCTION("""COMPUTED_VALUE"""),0.5178571428571429)</f>
        <v>0.5178571429</v>
      </c>
      <c r="W226" s="16">
        <f>IFERROR(__xludf.DUMMYFUNCTION("""COMPUTED_VALUE"""),1.875)</f>
        <v>1.875</v>
      </c>
      <c r="X226" s="16">
        <f>IFERROR(__xludf.DUMMYFUNCTION("""COMPUTED_VALUE"""),3.267857142857143)</f>
        <v>3.267857143</v>
      </c>
      <c r="Y226" s="11">
        <f>IFERROR(__xludf.DUMMYFUNCTION("""COMPUTED_VALUE"""),13.0)</f>
        <v>13</v>
      </c>
      <c r="Z226" s="11">
        <f>IFERROR(__xludf.DUMMYFUNCTION("""COMPUTED_VALUE"""),4.0)</f>
        <v>4</v>
      </c>
      <c r="AA226" s="11">
        <f>IFERROR(__xludf.DUMMYFUNCTION("""COMPUTED_VALUE"""),0.0)</f>
        <v>0</v>
      </c>
      <c r="AB226" s="11">
        <f>IFERROR(__xludf.DUMMYFUNCTION("""COMPUTED_VALUE"""),20.0)</f>
        <v>20</v>
      </c>
      <c r="AC226" s="11">
        <f>IFERROR(__xludf.DUMMYFUNCTION("""COMPUTED_VALUE"""),115.0)</f>
        <v>115</v>
      </c>
      <c r="AD226" s="11">
        <f>IFERROR(__xludf.DUMMYFUNCTION("""COMPUTED_VALUE"""),53.0)</f>
        <v>53</v>
      </c>
    </row>
    <row r="227">
      <c r="A227" s="10" t="str">
        <f>IFERROR(__xludf.DUMMYFUNCTION("""COMPUTED_VALUE"""),"Elite")</f>
        <v>Elite</v>
      </c>
      <c r="B227" s="10" t="str">
        <f>IFERROR(__xludf.DUMMYFUNCTION("""COMPUTED_VALUE"""),"RSC007907")</f>
        <v>RSC007907</v>
      </c>
      <c r="C227" s="10" t="str">
        <f>IFERROR(__xludf.DUMMYFUNCTION("""COMPUTED_VALUE"""),"chazie.")</f>
        <v>chazie.</v>
      </c>
      <c r="D227" s="36" t="str">
        <f>IFERROR(__xludf.DUMMYFUNCTION("""COMPUTED_VALUE"""),"Praetorian Guard")</f>
        <v>Praetorian Guard</v>
      </c>
      <c r="E227" s="10" t="str">
        <f>IFERROR(__xludf.DUMMYFUNCTION("""COMPUTED_VALUE"""),"Solar")</f>
        <v>Solar</v>
      </c>
      <c r="F227" s="37">
        <f>IFERROR(__xludf.DUMMYFUNCTION("""COMPUTED_VALUE"""),73.93392468160769)</f>
        <v>73.93392468</v>
      </c>
      <c r="G227" s="38">
        <f>IFERROR(__xludf.DUMMYFUNCTION("""COMPUTED_VALUE"""),66.5232953947395)</f>
        <v>66.52329539</v>
      </c>
      <c r="H227" s="38">
        <f>IFERROR(__xludf.DUMMYFUNCTION("""COMPUTED_VALUE"""),70.2286100381736)</f>
        <v>70.22861004</v>
      </c>
      <c r="I227" s="14">
        <f>IFERROR(__xludf.DUMMYFUNCTION("""COMPUTED_VALUE"""),36.0)</f>
        <v>36</v>
      </c>
      <c r="J227" s="11">
        <f>IFERROR(__xludf.DUMMYFUNCTION("IFERROR(FILTER(Stats!$F:$Z,(Stats!$A:$A=$A227)*(Stats!$B:$B=$B227)))"),25.0)</f>
        <v>25</v>
      </c>
      <c r="K227" s="11">
        <f>IFERROR(__xludf.DUMMYFUNCTION("""COMPUTED_VALUE"""),11.0)</f>
        <v>11</v>
      </c>
      <c r="L227" s="12">
        <f>IFERROR(__xludf.DUMMYFUNCTION("""COMPUTED_VALUE"""),0.6944444444444444)</f>
        <v>0.6944444444</v>
      </c>
      <c r="M227" s="11">
        <f>IFERROR(__xludf.DUMMYFUNCTION("""COMPUTED_VALUE"""),8.0)</f>
        <v>8</v>
      </c>
      <c r="N227" s="11">
        <f>IFERROR(__xludf.DUMMYFUNCTION("""COMPUTED_VALUE"""),13841.0)</f>
        <v>13841</v>
      </c>
      <c r="O227" s="13">
        <f>IFERROR(__xludf.DUMMYFUNCTION("""COMPUTED_VALUE"""),31.0)</f>
        <v>31</v>
      </c>
      <c r="P227" s="14">
        <f>IFERROR(__xludf.DUMMYFUNCTION("""COMPUTED_VALUE"""),27.0)</f>
        <v>27</v>
      </c>
      <c r="Q227" s="13">
        <f>IFERROR(__xludf.DUMMYFUNCTION("""COMPUTED_VALUE"""),48.0)</f>
        <v>48</v>
      </c>
      <c r="R227" s="13">
        <f>IFERROR(__xludf.DUMMYFUNCTION("""COMPUTED_VALUE"""),105.0)</f>
        <v>105</v>
      </c>
      <c r="S227" s="15">
        <f>IFERROR(__xludf.DUMMYFUNCTION("""COMPUTED_VALUE"""),0.29523809523809524)</f>
        <v>0.2952380952</v>
      </c>
      <c r="T227" s="16">
        <f>IFERROR(__xludf.DUMMYFUNCTION("""COMPUTED_VALUE"""),384.47222222222223)</f>
        <v>384.4722222</v>
      </c>
      <c r="U227" s="16">
        <f>IFERROR(__xludf.DUMMYFUNCTION("""COMPUTED_VALUE"""),0.8611111111111112)</f>
        <v>0.8611111111</v>
      </c>
      <c r="V227" s="16">
        <f>IFERROR(__xludf.DUMMYFUNCTION("""COMPUTED_VALUE"""),0.75)</f>
        <v>0.75</v>
      </c>
      <c r="W227" s="16">
        <f>IFERROR(__xludf.DUMMYFUNCTION("""COMPUTED_VALUE"""),1.3333333333333333)</f>
        <v>1.333333333</v>
      </c>
      <c r="X227" s="16">
        <f>IFERROR(__xludf.DUMMYFUNCTION("""COMPUTED_VALUE"""),2.9166666666666665)</f>
        <v>2.916666667</v>
      </c>
      <c r="Y227" s="11">
        <f>IFERROR(__xludf.DUMMYFUNCTION("""COMPUTED_VALUE"""),8.0)</f>
        <v>8</v>
      </c>
      <c r="Z227" s="11">
        <f>IFERROR(__xludf.DUMMYFUNCTION("""COMPUTED_VALUE"""),3.0)</f>
        <v>3</v>
      </c>
      <c r="AA227" s="11">
        <f>IFERROR(__xludf.DUMMYFUNCTION("""COMPUTED_VALUE"""),2.0)</f>
        <v>2</v>
      </c>
      <c r="AB227" s="11">
        <f>IFERROR(__xludf.DUMMYFUNCTION("""COMPUTED_VALUE"""),8.0)</f>
        <v>8</v>
      </c>
      <c r="AC227" s="11">
        <f>IFERROR(__xludf.DUMMYFUNCTION("""COMPUTED_VALUE"""),58.0)</f>
        <v>58</v>
      </c>
      <c r="AD227" s="11">
        <f>IFERROR(__xludf.DUMMYFUNCTION("""COMPUTED_VALUE"""),37.0)</f>
        <v>37</v>
      </c>
    </row>
    <row r="228">
      <c r="A228" s="10" t="str">
        <f>IFERROR(__xludf.DUMMYFUNCTION("""COMPUTED_VALUE"""),"Elite")</f>
        <v>Elite</v>
      </c>
      <c r="B228" s="10" t="str">
        <f>IFERROR(__xludf.DUMMYFUNCTION("""COMPUTED_VALUE"""),"RSC008448")</f>
        <v>RSC008448</v>
      </c>
      <c r="C228" s="10" t="str">
        <f>IFERROR(__xludf.DUMMYFUNCTION("""COMPUTED_VALUE"""),"haz")</f>
        <v>haz</v>
      </c>
      <c r="D228" s="36" t="str">
        <f>IFERROR(__xludf.DUMMYFUNCTION("""COMPUTED_VALUE"""),"Black-Holes")</f>
        <v>Black-Holes</v>
      </c>
      <c r="E228" s="10" t="str">
        <f>IFERROR(__xludf.DUMMYFUNCTION("""COMPUTED_VALUE"""),"Lunar")</f>
        <v>Lunar</v>
      </c>
      <c r="F228" s="37">
        <f>IFERROR(__xludf.DUMMYFUNCTION("""COMPUTED_VALUE"""),73.33008258947129)</f>
        <v>73.33008259</v>
      </c>
      <c r="G228" s="38">
        <f>IFERROR(__xludf.DUMMYFUNCTION("""COMPUTED_VALUE"""),65.45787083703601)</f>
        <v>65.45787084</v>
      </c>
      <c r="H228" s="38">
        <f>IFERROR(__xludf.DUMMYFUNCTION("""COMPUTED_VALUE"""),69.39397671325365)</f>
        <v>69.39397671</v>
      </c>
      <c r="I228" s="14">
        <f>IFERROR(__xludf.DUMMYFUNCTION("""COMPUTED_VALUE"""),20.0)</f>
        <v>20</v>
      </c>
      <c r="J228" s="11">
        <f>IFERROR(__xludf.DUMMYFUNCTION("IFERROR(FILTER(Stats!$F:$Z,(Stats!$A:$A=$A228)*(Stats!$B:$B=$B228)))"),11.0)</f>
        <v>11</v>
      </c>
      <c r="K228" s="11">
        <f>IFERROR(__xludf.DUMMYFUNCTION("""COMPUTED_VALUE"""),9.0)</f>
        <v>9</v>
      </c>
      <c r="L228" s="12">
        <f>IFERROR(__xludf.DUMMYFUNCTION("""COMPUTED_VALUE"""),0.55)</f>
        <v>0.55</v>
      </c>
      <c r="M228" s="11">
        <f>IFERROR(__xludf.DUMMYFUNCTION("""COMPUTED_VALUE"""),4.0)</f>
        <v>4</v>
      </c>
      <c r="N228" s="11">
        <f>IFERROR(__xludf.DUMMYFUNCTION("""COMPUTED_VALUE"""),7339.0)</f>
        <v>7339</v>
      </c>
      <c r="O228" s="13">
        <f>IFERROR(__xludf.DUMMYFUNCTION("""COMPUTED_VALUE"""),15.0)</f>
        <v>15</v>
      </c>
      <c r="P228" s="14">
        <f>IFERROR(__xludf.DUMMYFUNCTION("""COMPUTED_VALUE"""),17.0)</f>
        <v>17</v>
      </c>
      <c r="Q228" s="13">
        <f>IFERROR(__xludf.DUMMYFUNCTION("""COMPUTED_VALUE"""),25.0)</f>
        <v>25</v>
      </c>
      <c r="R228" s="13">
        <f>IFERROR(__xludf.DUMMYFUNCTION("""COMPUTED_VALUE"""),59.0)</f>
        <v>59</v>
      </c>
      <c r="S228" s="15">
        <f>IFERROR(__xludf.DUMMYFUNCTION("""COMPUTED_VALUE"""),0.2542372881355932)</f>
        <v>0.2542372881</v>
      </c>
      <c r="T228" s="16">
        <f>IFERROR(__xludf.DUMMYFUNCTION("""COMPUTED_VALUE"""),366.95)</f>
        <v>366.95</v>
      </c>
      <c r="U228" s="16">
        <f>IFERROR(__xludf.DUMMYFUNCTION("""COMPUTED_VALUE"""),0.75)</f>
        <v>0.75</v>
      </c>
      <c r="V228" s="16">
        <f>IFERROR(__xludf.DUMMYFUNCTION("""COMPUTED_VALUE"""),0.85)</f>
        <v>0.85</v>
      </c>
      <c r="W228" s="16">
        <f>IFERROR(__xludf.DUMMYFUNCTION("""COMPUTED_VALUE"""),1.25)</f>
        <v>1.25</v>
      </c>
      <c r="X228" s="16">
        <f>IFERROR(__xludf.DUMMYFUNCTION("""COMPUTED_VALUE"""),2.95)</f>
        <v>2.95</v>
      </c>
      <c r="Y228" s="11">
        <f>IFERROR(__xludf.DUMMYFUNCTION("""COMPUTED_VALUE"""),4.0)</f>
        <v>4</v>
      </c>
      <c r="Z228" s="11">
        <f>IFERROR(__xludf.DUMMYFUNCTION("""COMPUTED_VALUE"""),2.0)</f>
        <v>2</v>
      </c>
      <c r="AA228" s="11">
        <f>IFERROR(__xludf.DUMMYFUNCTION("""COMPUTED_VALUE"""),1.0)</f>
        <v>1</v>
      </c>
      <c r="AB228" s="11">
        <f>IFERROR(__xludf.DUMMYFUNCTION("""COMPUTED_VALUE"""),4.0)</f>
        <v>4</v>
      </c>
      <c r="AC228" s="11">
        <f>IFERROR(__xludf.DUMMYFUNCTION("""COMPUTED_VALUE"""),24.0)</f>
        <v>24</v>
      </c>
      <c r="AD228" s="11">
        <f>IFERROR(__xludf.DUMMYFUNCTION("""COMPUTED_VALUE"""),23.0)</f>
        <v>23</v>
      </c>
    </row>
    <row r="229">
      <c r="A229" s="10" t="str">
        <f>IFERROR(__xludf.DUMMYFUNCTION("""COMPUTED_VALUE"""),"Elite")</f>
        <v>Elite</v>
      </c>
      <c r="B229" s="10" t="str">
        <f>IFERROR(__xludf.DUMMYFUNCTION("""COMPUTED_VALUE"""),"RSC003831")</f>
        <v>RSC003831</v>
      </c>
      <c r="C229" s="10" t="str">
        <f>IFERROR(__xludf.DUMMYFUNCTION("""COMPUTED_VALUE"""),"Aki")</f>
        <v>Aki</v>
      </c>
      <c r="D229" s="36" t="str">
        <f>IFERROR(__xludf.DUMMYFUNCTION("""COMPUTED_VALUE"""),"Ghastly Goombahs")</f>
        <v>Ghastly Goombahs</v>
      </c>
      <c r="E229" s="10" t="str">
        <f>IFERROR(__xludf.DUMMYFUNCTION("""COMPUTED_VALUE"""),"Lunar")</f>
        <v>Lunar</v>
      </c>
      <c r="F229" s="37">
        <f>IFERROR(__xludf.DUMMYFUNCTION("""COMPUTED_VALUE"""),67.96590140867816)</f>
        <v>67.96590141</v>
      </c>
      <c r="G229" s="38">
        <f>IFERROR(__xludf.DUMMYFUNCTION("""COMPUTED_VALUE"""),70.71087643549971)</f>
        <v>70.71087644</v>
      </c>
      <c r="H229" s="38">
        <f>IFERROR(__xludf.DUMMYFUNCTION("""COMPUTED_VALUE"""),69.33838892208894)</f>
        <v>69.33838892</v>
      </c>
      <c r="I229" s="14">
        <f>IFERROR(__xludf.DUMMYFUNCTION("""COMPUTED_VALUE"""),38.0)</f>
        <v>38</v>
      </c>
      <c r="J229" s="11">
        <f>IFERROR(__xludf.DUMMYFUNCTION("IFERROR(FILTER(Stats!$F:$Z,(Stats!$A:$A=$A229)*(Stats!$B:$B=$B229)))"),17.0)</f>
        <v>17</v>
      </c>
      <c r="K229" s="11">
        <f>IFERROR(__xludf.DUMMYFUNCTION("""COMPUTED_VALUE"""),21.0)</f>
        <v>21</v>
      </c>
      <c r="L229" s="12">
        <f>IFERROR(__xludf.DUMMYFUNCTION("""COMPUTED_VALUE"""),0.4473684210526316)</f>
        <v>0.4473684211</v>
      </c>
      <c r="M229" s="11">
        <f>IFERROR(__xludf.DUMMYFUNCTION("""COMPUTED_VALUE"""),5.0)</f>
        <v>5</v>
      </c>
      <c r="N229" s="11">
        <f>IFERROR(__xludf.DUMMYFUNCTION("""COMPUTED_VALUE"""),15086.0)</f>
        <v>15086</v>
      </c>
      <c r="O229" s="13">
        <f>IFERROR(__xludf.DUMMYFUNCTION("""COMPUTED_VALUE"""),33.0)</f>
        <v>33</v>
      </c>
      <c r="P229" s="14">
        <f>IFERROR(__xludf.DUMMYFUNCTION("""COMPUTED_VALUE"""),28.0)</f>
        <v>28</v>
      </c>
      <c r="Q229" s="13">
        <f>IFERROR(__xludf.DUMMYFUNCTION("""COMPUTED_VALUE"""),55.0)</f>
        <v>55</v>
      </c>
      <c r="R229" s="13">
        <f>IFERROR(__xludf.DUMMYFUNCTION("""COMPUTED_VALUE"""),112.0)</f>
        <v>112</v>
      </c>
      <c r="S229" s="15">
        <f>IFERROR(__xludf.DUMMYFUNCTION("""COMPUTED_VALUE"""),0.29464285714285715)</f>
        <v>0.2946428571</v>
      </c>
      <c r="T229" s="16">
        <f>IFERROR(__xludf.DUMMYFUNCTION("""COMPUTED_VALUE"""),397.0)</f>
        <v>397</v>
      </c>
      <c r="U229" s="16">
        <f>IFERROR(__xludf.DUMMYFUNCTION("""COMPUTED_VALUE"""),0.868421052631579)</f>
        <v>0.8684210526</v>
      </c>
      <c r="V229" s="16">
        <f>IFERROR(__xludf.DUMMYFUNCTION("""COMPUTED_VALUE"""),0.7368421052631579)</f>
        <v>0.7368421053</v>
      </c>
      <c r="W229" s="16">
        <f>IFERROR(__xludf.DUMMYFUNCTION("""COMPUTED_VALUE"""),1.4473684210526316)</f>
        <v>1.447368421</v>
      </c>
      <c r="X229" s="16">
        <f>IFERROR(__xludf.DUMMYFUNCTION("""COMPUTED_VALUE"""),2.9473684210526314)</f>
        <v>2.947368421</v>
      </c>
      <c r="Y229" s="11">
        <f>IFERROR(__xludf.DUMMYFUNCTION("""COMPUTED_VALUE"""),8.0)</f>
        <v>8</v>
      </c>
      <c r="Z229" s="11">
        <f>IFERROR(__xludf.DUMMYFUNCTION("""COMPUTED_VALUE"""),2.0)</f>
        <v>2</v>
      </c>
      <c r="AA229" s="11">
        <f>IFERROR(__xludf.DUMMYFUNCTION("""COMPUTED_VALUE"""),2.0)</f>
        <v>2</v>
      </c>
      <c r="AB229" s="11">
        <f>IFERROR(__xludf.DUMMYFUNCTION("""COMPUTED_VALUE"""),9.0)</f>
        <v>9</v>
      </c>
      <c r="AC229" s="11">
        <f>IFERROR(__xludf.DUMMYFUNCTION("""COMPUTED_VALUE"""),34.0)</f>
        <v>34</v>
      </c>
      <c r="AD229" s="11">
        <f>IFERROR(__xludf.DUMMYFUNCTION("""COMPUTED_VALUE"""),25.0)</f>
        <v>25</v>
      </c>
    </row>
    <row r="230">
      <c r="A230" s="10" t="str">
        <f>IFERROR(__xludf.DUMMYFUNCTION("""COMPUTED_VALUE"""),"Elite")</f>
        <v>Elite</v>
      </c>
      <c r="B230" s="10" t="str">
        <f>IFERROR(__xludf.DUMMYFUNCTION("""COMPUTED_VALUE"""),"RSC004917")</f>
        <v>RSC004917</v>
      </c>
      <c r="C230" s="10" t="str">
        <f>IFERROR(__xludf.DUMMYFUNCTION("""COMPUTED_VALUE"""),"Nahzey")</f>
        <v>Nahzey</v>
      </c>
      <c r="D230" s="36" t="str">
        <f>IFERROR(__xludf.DUMMYFUNCTION("""COMPUTED_VALUE"""),"Immortals
Afterburners")</f>
        <v>Immortals
Afterburners</v>
      </c>
      <c r="E230" s="10" t="str">
        <f>IFERROR(__xludf.DUMMYFUNCTION("""COMPUTED_VALUE"""),"Lunar
Lunar")</f>
        <v>Lunar
Lunar</v>
      </c>
      <c r="F230" s="37">
        <f>IFERROR(__xludf.DUMMYFUNCTION("""COMPUTED_VALUE"""),65.62069612552675)</f>
        <v>65.62069613</v>
      </c>
      <c r="G230" s="38">
        <f>IFERROR(__xludf.DUMMYFUNCTION("""COMPUTED_VALUE"""),72.62057706987842)</f>
        <v>72.62057707</v>
      </c>
      <c r="H230" s="38">
        <f>IFERROR(__xludf.DUMMYFUNCTION("""COMPUTED_VALUE"""),69.12063659770259)</f>
        <v>69.1206366</v>
      </c>
      <c r="I230" s="14">
        <f>IFERROR(__xludf.DUMMYFUNCTION("""COMPUTED_VALUE"""),54.0)</f>
        <v>54</v>
      </c>
      <c r="J230" s="11">
        <f>IFERROR(__xludf.DUMMYFUNCTION("IFERROR(FILTER(Stats!$F:$Z,(Stats!$A:$A=$A230)*(Stats!$B:$B=$B230)))"),30.0)</f>
        <v>30</v>
      </c>
      <c r="K230" s="11">
        <f>IFERROR(__xludf.DUMMYFUNCTION("""COMPUTED_VALUE"""),24.0)</f>
        <v>24</v>
      </c>
      <c r="L230" s="12">
        <f>IFERROR(__xludf.DUMMYFUNCTION("""COMPUTED_VALUE"""),0.5555555555555556)</f>
        <v>0.5555555556</v>
      </c>
      <c r="M230" s="11">
        <f>IFERROR(__xludf.DUMMYFUNCTION("""COMPUTED_VALUE"""),13.0)</f>
        <v>13</v>
      </c>
      <c r="N230" s="11">
        <f>IFERROR(__xludf.DUMMYFUNCTION("""COMPUTED_VALUE"""),20957.0)</f>
        <v>20957</v>
      </c>
      <c r="O230" s="13">
        <f>IFERROR(__xludf.DUMMYFUNCTION("""COMPUTED_VALUE"""),55.0)</f>
        <v>55</v>
      </c>
      <c r="P230" s="14">
        <f>IFERROR(__xludf.DUMMYFUNCTION("""COMPUTED_VALUE"""),35.0)</f>
        <v>35</v>
      </c>
      <c r="Q230" s="13">
        <f>IFERROR(__xludf.DUMMYFUNCTION("""COMPUTED_VALUE"""),80.0)</f>
        <v>80</v>
      </c>
      <c r="R230" s="13">
        <f>IFERROR(__xludf.DUMMYFUNCTION("""COMPUTED_VALUE"""),157.0)</f>
        <v>157</v>
      </c>
      <c r="S230" s="15">
        <f>IFERROR(__xludf.DUMMYFUNCTION("""COMPUTED_VALUE"""),0.3503184713375796)</f>
        <v>0.3503184713</v>
      </c>
      <c r="T230" s="16">
        <f>IFERROR(__xludf.DUMMYFUNCTION("""COMPUTED_VALUE"""),388.0925925925926)</f>
        <v>388.0925926</v>
      </c>
      <c r="U230" s="16">
        <f>IFERROR(__xludf.DUMMYFUNCTION("""COMPUTED_VALUE"""),1.0185185185185186)</f>
        <v>1.018518519</v>
      </c>
      <c r="V230" s="16">
        <f>IFERROR(__xludf.DUMMYFUNCTION("""COMPUTED_VALUE"""),0.6481481481481481)</f>
        <v>0.6481481481</v>
      </c>
      <c r="W230" s="16">
        <f>IFERROR(__xludf.DUMMYFUNCTION("""COMPUTED_VALUE"""),1.4814814814814814)</f>
        <v>1.481481481</v>
      </c>
      <c r="X230" s="16">
        <f>IFERROR(__xludf.DUMMYFUNCTION("""COMPUTED_VALUE"""),2.9074074074074074)</f>
        <v>2.907407407</v>
      </c>
      <c r="Y230" s="11">
        <f>IFERROR(__xludf.DUMMYFUNCTION("""COMPUTED_VALUE"""),12.0)</f>
        <v>12</v>
      </c>
      <c r="Z230" s="11">
        <f>IFERROR(__xludf.DUMMYFUNCTION("""COMPUTED_VALUE"""),4.0)</f>
        <v>4</v>
      </c>
      <c r="AA230" s="11">
        <f>IFERROR(__xludf.DUMMYFUNCTION("""COMPUTED_VALUE"""),2.0)</f>
        <v>2</v>
      </c>
      <c r="AB230" s="11">
        <f>IFERROR(__xludf.DUMMYFUNCTION("""COMPUTED_VALUE"""),12.0)</f>
        <v>12</v>
      </c>
      <c r="AC230" s="11">
        <f>IFERROR(__xludf.DUMMYFUNCTION("""COMPUTED_VALUE"""),74.0)</f>
        <v>74</v>
      </c>
      <c r="AD230" s="11">
        <f>IFERROR(__xludf.DUMMYFUNCTION("""COMPUTED_VALUE"""),60.0)</f>
        <v>60</v>
      </c>
    </row>
    <row r="231">
      <c r="A231" s="10" t="str">
        <f>IFERROR(__xludf.DUMMYFUNCTION("""COMPUTED_VALUE"""),"Elite")</f>
        <v>Elite</v>
      </c>
      <c r="B231" s="10" t="str">
        <f>IFERROR(__xludf.DUMMYFUNCTION("""COMPUTED_VALUE"""),"RSC007269")</f>
        <v>RSC007269</v>
      </c>
      <c r="C231" s="10" t="str">
        <f>IFERROR(__xludf.DUMMYFUNCTION("""COMPUTED_VALUE"""),"Navik")</f>
        <v>Navik</v>
      </c>
      <c r="D231" s="36" t="str">
        <f>IFERROR(__xludf.DUMMYFUNCTION("""COMPUTED_VALUE"""),"Commanders")</f>
        <v>Commanders</v>
      </c>
      <c r="E231" s="10" t="str">
        <f>IFERROR(__xludf.DUMMYFUNCTION("""COMPUTED_VALUE"""),"Lunar")</f>
        <v>Lunar</v>
      </c>
      <c r="F231" s="37">
        <f>IFERROR(__xludf.DUMMYFUNCTION("""COMPUTED_VALUE"""),67.2563716534037)</f>
        <v>67.25637165</v>
      </c>
      <c r="G231" s="38">
        <f>IFERROR(__xludf.DUMMYFUNCTION("""COMPUTED_VALUE"""),70.49504847514788)</f>
        <v>70.49504848</v>
      </c>
      <c r="H231" s="38">
        <f>IFERROR(__xludf.DUMMYFUNCTION("""COMPUTED_VALUE"""),68.8757100642758)</f>
        <v>68.87571006</v>
      </c>
      <c r="I231" s="14">
        <f>IFERROR(__xludf.DUMMYFUNCTION("""COMPUTED_VALUE"""),56.0)</f>
        <v>56</v>
      </c>
      <c r="J231" s="11">
        <f>IFERROR(__xludf.DUMMYFUNCTION("IFERROR(FILTER(Stats!$F:$Z,(Stats!$A:$A=$A231)*(Stats!$B:$B=$B231)))"),29.0)</f>
        <v>29</v>
      </c>
      <c r="K231" s="11">
        <f>IFERROR(__xludf.DUMMYFUNCTION("""COMPUTED_VALUE"""),27.0)</f>
        <v>27</v>
      </c>
      <c r="L231" s="12">
        <f>IFERROR(__xludf.DUMMYFUNCTION("""COMPUTED_VALUE"""),0.5178571428571429)</f>
        <v>0.5178571429</v>
      </c>
      <c r="M231" s="11">
        <f>IFERROR(__xludf.DUMMYFUNCTION("""COMPUTED_VALUE"""),7.0)</f>
        <v>7</v>
      </c>
      <c r="N231" s="11">
        <f>IFERROR(__xludf.DUMMYFUNCTION("""COMPUTED_VALUE"""),22428.0)</f>
        <v>22428</v>
      </c>
      <c r="O231" s="13">
        <f>IFERROR(__xludf.DUMMYFUNCTION("""COMPUTED_VALUE"""),56.0)</f>
        <v>56</v>
      </c>
      <c r="P231" s="14">
        <f>IFERROR(__xludf.DUMMYFUNCTION("""COMPUTED_VALUE"""),41.0)</f>
        <v>41</v>
      </c>
      <c r="Q231" s="13">
        <f>IFERROR(__xludf.DUMMYFUNCTION("""COMPUTED_VALUE"""),88.0)</f>
        <v>88</v>
      </c>
      <c r="R231" s="13">
        <f>IFERROR(__xludf.DUMMYFUNCTION("""COMPUTED_VALUE"""),175.0)</f>
        <v>175</v>
      </c>
      <c r="S231" s="15">
        <f>IFERROR(__xludf.DUMMYFUNCTION("""COMPUTED_VALUE"""),0.32)</f>
        <v>0.32</v>
      </c>
      <c r="T231" s="16">
        <f>IFERROR(__xludf.DUMMYFUNCTION("""COMPUTED_VALUE"""),400.5)</f>
        <v>400.5</v>
      </c>
      <c r="U231" s="16">
        <f>IFERROR(__xludf.DUMMYFUNCTION("""COMPUTED_VALUE"""),1.0)</f>
        <v>1</v>
      </c>
      <c r="V231" s="16">
        <f>IFERROR(__xludf.DUMMYFUNCTION("""COMPUTED_VALUE"""),0.7321428571428571)</f>
        <v>0.7321428571</v>
      </c>
      <c r="W231" s="16">
        <f>IFERROR(__xludf.DUMMYFUNCTION("""COMPUTED_VALUE"""),1.5714285714285714)</f>
        <v>1.571428571</v>
      </c>
      <c r="X231" s="16">
        <f>IFERROR(__xludf.DUMMYFUNCTION("""COMPUTED_VALUE"""),3.125)</f>
        <v>3.125</v>
      </c>
      <c r="Y231" s="11">
        <f>IFERROR(__xludf.DUMMYFUNCTION("""COMPUTED_VALUE"""),14.0)</f>
        <v>14</v>
      </c>
      <c r="Z231" s="11">
        <f>IFERROR(__xludf.DUMMYFUNCTION("""COMPUTED_VALUE"""),6.0)</f>
        <v>6</v>
      </c>
      <c r="AA231" s="11">
        <f>IFERROR(__xludf.DUMMYFUNCTION("""COMPUTED_VALUE"""),2.0)</f>
        <v>2</v>
      </c>
      <c r="AB231" s="11">
        <f>IFERROR(__xludf.DUMMYFUNCTION("""COMPUTED_VALUE"""),11.0)</f>
        <v>11</v>
      </c>
      <c r="AC231" s="11">
        <f>IFERROR(__xludf.DUMMYFUNCTION("""COMPUTED_VALUE"""),64.0)</f>
        <v>64</v>
      </c>
      <c r="AD231" s="11">
        <f>IFERROR(__xludf.DUMMYFUNCTION("""COMPUTED_VALUE"""),58.0)</f>
        <v>58</v>
      </c>
    </row>
    <row r="232">
      <c r="A232" s="10" t="str">
        <f>IFERROR(__xludf.DUMMYFUNCTION("""COMPUTED_VALUE"""),"Elite")</f>
        <v>Elite</v>
      </c>
      <c r="B232" s="10" t="str">
        <f>IFERROR(__xludf.DUMMYFUNCTION("""COMPUTED_VALUE"""),"RSC003250")</f>
        <v>RSC003250</v>
      </c>
      <c r="C232" s="10" t="str">
        <f>IFERROR(__xludf.DUMMYFUNCTION("""COMPUTED_VALUE"""),"Chefty")</f>
        <v>Chefty</v>
      </c>
      <c r="D232" s="36" t="str">
        <f>IFERROR(__xludf.DUMMYFUNCTION("""COMPUTED_VALUE"""),"Thrashers
Gelato
Hydras")</f>
        <v>Thrashers
Gelato
Hydras</v>
      </c>
      <c r="E232" s="10" t="str">
        <f>IFERROR(__xludf.DUMMYFUNCTION("""COMPUTED_VALUE"""),"Lunar
Lunar
Solar")</f>
        <v>Lunar
Lunar
Solar</v>
      </c>
      <c r="F232" s="37">
        <f>IFERROR(__xludf.DUMMYFUNCTION("""COMPUTED_VALUE"""),66.66296897946076)</f>
        <v>66.66296898</v>
      </c>
      <c r="G232" s="38">
        <f>IFERROR(__xludf.DUMMYFUNCTION("""COMPUTED_VALUE"""),69.18182614620486)</f>
        <v>69.18182615</v>
      </c>
      <c r="H232" s="38">
        <f>IFERROR(__xludf.DUMMYFUNCTION("""COMPUTED_VALUE"""),67.9223975628328)</f>
        <v>67.92239756</v>
      </c>
      <c r="I232" s="14">
        <f>IFERROR(__xludf.DUMMYFUNCTION("""COMPUTED_VALUE"""),7.0)</f>
        <v>7</v>
      </c>
      <c r="J232" s="11">
        <f>IFERROR(__xludf.DUMMYFUNCTION("IFERROR(FILTER(Stats!$F:$Z,(Stats!$A:$A=$A232)*(Stats!$B:$B=$B232)))"),3.0)</f>
        <v>3</v>
      </c>
      <c r="K232" s="11">
        <f>IFERROR(__xludf.DUMMYFUNCTION("""COMPUTED_VALUE"""),4.0)</f>
        <v>4</v>
      </c>
      <c r="L232" s="12">
        <f>IFERROR(__xludf.DUMMYFUNCTION("""COMPUTED_VALUE"""),0.42857142857142855)</f>
        <v>0.4285714286</v>
      </c>
      <c r="M232" s="11">
        <f>IFERROR(__xludf.DUMMYFUNCTION("""COMPUTED_VALUE"""),0.0)</f>
        <v>0</v>
      </c>
      <c r="N232" s="11">
        <f>IFERROR(__xludf.DUMMYFUNCTION("""COMPUTED_VALUE"""),2635.0)</f>
        <v>2635</v>
      </c>
      <c r="O232" s="13">
        <f>IFERROR(__xludf.DUMMYFUNCTION("""COMPUTED_VALUE"""),8.0)</f>
        <v>8</v>
      </c>
      <c r="P232" s="14">
        <f>IFERROR(__xludf.DUMMYFUNCTION("""COMPUTED_VALUE"""),4.0)</f>
        <v>4</v>
      </c>
      <c r="Q232" s="13">
        <f>IFERROR(__xludf.DUMMYFUNCTION("""COMPUTED_VALUE"""),8.0)</f>
        <v>8</v>
      </c>
      <c r="R232" s="13">
        <f>IFERROR(__xludf.DUMMYFUNCTION("""COMPUTED_VALUE"""),15.0)</f>
        <v>15</v>
      </c>
      <c r="S232" s="15">
        <f>IFERROR(__xludf.DUMMYFUNCTION("""COMPUTED_VALUE"""),0.5333333333333333)</f>
        <v>0.5333333333</v>
      </c>
      <c r="T232" s="16">
        <f>IFERROR(__xludf.DUMMYFUNCTION("""COMPUTED_VALUE"""),376.42857142857144)</f>
        <v>376.4285714</v>
      </c>
      <c r="U232" s="16">
        <f>IFERROR(__xludf.DUMMYFUNCTION("""COMPUTED_VALUE"""),1.1428571428571428)</f>
        <v>1.142857143</v>
      </c>
      <c r="V232" s="16">
        <f>IFERROR(__xludf.DUMMYFUNCTION("""COMPUTED_VALUE"""),0.5714285714285714)</f>
        <v>0.5714285714</v>
      </c>
      <c r="W232" s="16">
        <f>IFERROR(__xludf.DUMMYFUNCTION("""COMPUTED_VALUE"""),1.1428571428571428)</f>
        <v>1.142857143</v>
      </c>
      <c r="X232" s="16">
        <f>IFERROR(__xludf.DUMMYFUNCTION("""COMPUTED_VALUE"""),2.142857142857143)</f>
        <v>2.142857143</v>
      </c>
      <c r="Y232" s="11">
        <f>IFERROR(__xludf.DUMMYFUNCTION("""COMPUTED_VALUE"""),2.0)</f>
        <v>2</v>
      </c>
      <c r="Z232" s="11">
        <f>IFERROR(__xludf.DUMMYFUNCTION("""COMPUTED_VALUE"""),0.0)</f>
        <v>0</v>
      </c>
      <c r="AA232" s="11">
        <f>IFERROR(__xludf.DUMMYFUNCTION("""COMPUTED_VALUE"""),0.0)</f>
        <v>0</v>
      </c>
      <c r="AB232" s="11">
        <f>IFERROR(__xludf.DUMMYFUNCTION("""COMPUTED_VALUE"""),1.0)</f>
        <v>1</v>
      </c>
      <c r="AC232" s="11">
        <f>IFERROR(__xludf.DUMMYFUNCTION("""COMPUTED_VALUE"""),3.0)</f>
        <v>3</v>
      </c>
      <c r="AD232" s="11">
        <f>IFERROR(__xludf.DUMMYFUNCTION("""COMPUTED_VALUE"""),6.0)</f>
        <v>6</v>
      </c>
    </row>
    <row r="233">
      <c r="A233" s="10" t="str">
        <f>IFERROR(__xludf.DUMMYFUNCTION("""COMPUTED_VALUE"""),"Elite")</f>
        <v>Elite</v>
      </c>
      <c r="B233" s="10" t="str">
        <f>IFERROR(__xludf.DUMMYFUNCTION("""COMPUTED_VALUE"""),"RSC002498")</f>
        <v>RSC002498</v>
      </c>
      <c r="C233" s="10" t="str">
        <f>IFERROR(__xludf.DUMMYFUNCTION("""COMPUTED_VALUE"""),"Justin")</f>
        <v>Justin</v>
      </c>
      <c r="D233" s="36" t="str">
        <f>IFERROR(__xludf.DUMMYFUNCTION("""COMPUTED_VALUE"""),"Raptors
Frostbite
Gelato")</f>
        <v>Raptors
Frostbite
Gelato</v>
      </c>
      <c r="E233" s="10" t="str">
        <f>IFERROR(__xludf.DUMMYFUNCTION("""COMPUTED_VALUE"""),"Lunar
Solar
Lunar")</f>
        <v>Lunar
Solar
Lunar</v>
      </c>
      <c r="F233" s="37">
        <f>IFERROR(__xludf.DUMMYFUNCTION("""COMPUTED_VALUE"""),68.1487060682824)</f>
        <v>68.14870607</v>
      </c>
      <c r="G233" s="38">
        <f>IFERROR(__xludf.DUMMYFUNCTION("""COMPUTED_VALUE"""),65.38722265949659)</f>
        <v>65.38722266</v>
      </c>
      <c r="H233" s="38">
        <f>IFERROR(__xludf.DUMMYFUNCTION("""COMPUTED_VALUE"""),66.76796436388949)</f>
        <v>66.76796436</v>
      </c>
      <c r="I233" s="14">
        <f>IFERROR(__xludf.DUMMYFUNCTION("""COMPUTED_VALUE"""),28.0)</f>
        <v>28</v>
      </c>
      <c r="J233" s="11">
        <f>IFERROR(__xludf.DUMMYFUNCTION("IFERROR(FILTER(Stats!$F:$Z,(Stats!$A:$A=$A233)*(Stats!$B:$B=$B233)))"),11.0)</f>
        <v>11</v>
      </c>
      <c r="K233" s="11">
        <f>IFERROR(__xludf.DUMMYFUNCTION("""COMPUTED_VALUE"""),17.0)</f>
        <v>17</v>
      </c>
      <c r="L233" s="12">
        <f>IFERROR(__xludf.DUMMYFUNCTION("""COMPUTED_VALUE"""),0.39285714285714285)</f>
        <v>0.3928571429</v>
      </c>
      <c r="M233" s="11">
        <f>IFERROR(__xludf.DUMMYFUNCTION("""COMPUTED_VALUE"""),4.0)</f>
        <v>4</v>
      </c>
      <c r="N233" s="11">
        <f>IFERROR(__xludf.DUMMYFUNCTION("""COMPUTED_VALUE"""),11263.0)</f>
        <v>11263</v>
      </c>
      <c r="O233" s="13">
        <f>IFERROR(__xludf.DUMMYFUNCTION("""COMPUTED_VALUE"""),24.0)</f>
        <v>24</v>
      </c>
      <c r="P233" s="14">
        <f>IFERROR(__xludf.DUMMYFUNCTION("""COMPUTED_VALUE"""),24.0)</f>
        <v>24</v>
      </c>
      <c r="Q233" s="13">
        <f>IFERROR(__xludf.DUMMYFUNCTION("""COMPUTED_VALUE"""),37.0)</f>
        <v>37</v>
      </c>
      <c r="R233" s="13">
        <f>IFERROR(__xludf.DUMMYFUNCTION("""COMPUTED_VALUE"""),92.0)</f>
        <v>92</v>
      </c>
      <c r="S233" s="15">
        <f>IFERROR(__xludf.DUMMYFUNCTION("""COMPUTED_VALUE"""),0.2608695652173913)</f>
        <v>0.2608695652</v>
      </c>
      <c r="T233" s="16">
        <f>IFERROR(__xludf.DUMMYFUNCTION("""COMPUTED_VALUE"""),402.25)</f>
        <v>402.25</v>
      </c>
      <c r="U233" s="16">
        <f>IFERROR(__xludf.DUMMYFUNCTION("""COMPUTED_VALUE"""),0.8571428571428571)</f>
        <v>0.8571428571</v>
      </c>
      <c r="V233" s="16">
        <f>IFERROR(__xludf.DUMMYFUNCTION("""COMPUTED_VALUE"""),0.8571428571428571)</f>
        <v>0.8571428571</v>
      </c>
      <c r="W233" s="16">
        <f>IFERROR(__xludf.DUMMYFUNCTION("""COMPUTED_VALUE"""),1.3214285714285714)</f>
        <v>1.321428571</v>
      </c>
      <c r="X233" s="16">
        <f>IFERROR(__xludf.DUMMYFUNCTION("""COMPUTED_VALUE"""),3.2857142857142856)</f>
        <v>3.285714286</v>
      </c>
      <c r="Y233" s="11">
        <f>IFERROR(__xludf.DUMMYFUNCTION("""COMPUTED_VALUE"""),5.0)</f>
        <v>5</v>
      </c>
      <c r="Z233" s="11">
        <f>IFERROR(__xludf.DUMMYFUNCTION("""COMPUTED_VALUE"""),1.0)</f>
        <v>1</v>
      </c>
      <c r="AA233" s="11">
        <f>IFERROR(__xludf.DUMMYFUNCTION("""COMPUTED_VALUE"""),1.0)</f>
        <v>1</v>
      </c>
      <c r="AB233" s="11">
        <f>IFERROR(__xludf.DUMMYFUNCTION("""COMPUTED_VALUE"""),6.0)</f>
        <v>6</v>
      </c>
      <c r="AC233" s="11">
        <f>IFERROR(__xludf.DUMMYFUNCTION("""COMPUTED_VALUE"""),25.0)</f>
        <v>25</v>
      </c>
      <c r="AD233" s="11">
        <f>IFERROR(__xludf.DUMMYFUNCTION("""COMPUTED_VALUE"""),27.0)</f>
        <v>27</v>
      </c>
    </row>
    <row r="234">
      <c r="A234" s="10" t="str">
        <f>IFERROR(__xludf.DUMMYFUNCTION("""COMPUTED_VALUE"""),"Elite")</f>
        <v>Elite</v>
      </c>
      <c r="B234" s="10" t="str">
        <f>IFERROR(__xludf.DUMMYFUNCTION("""COMPUTED_VALUE"""),"RSC005274")</f>
        <v>RSC005274</v>
      </c>
      <c r="C234" s="10" t="str">
        <f>IFERROR(__xludf.DUMMYFUNCTION("""COMPUTED_VALUE"""),"KING.")</f>
        <v>KING.</v>
      </c>
      <c r="D234" s="36" t="str">
        <f>IFERROR(__xludf.DUMMYFUNCTION("""COMPUTED_VALUE"""),"Pixel Picassos")</f>
        <v>Pixel Picassos</v>
      </c>
      <c r="E234" s="10" t="str">
        <f>IFERROR(__xludf.DUMMYFUNCTION("""COMPUTED_VALUE"""),"Solar")</f>
        <v>Solar</v>
      </c>
      <c r="F234" s="37">
        <f>IFERROR(__xludf.DUMMYFUNCTION("""COMPUTED_VALUE"""),68.6957725458679)</f>
        <v>68.69577255</v>
      </c>
      <c r="G234" s="38">
        <f>IFERROR(__xludf.DUMMYFUNCTION("""COMPUTED_VALUE"""),64.67726271688852)</f>
        <v>64.67726272</v>
      </c>
      <c r="H234" s="38">
        <f>IFERROR(__xludf.DUMMYFUNCTION("""COMPUTED_VALUE"""),66.68651763137821)</f>
        <v>66.68651763</v>
      </c>
      <c r="I234" s="14">
        <f>IFERROR(__xludf.DUMMYFUNCTION("""COMPUTED_VALUE"""),56.0)</f>
        <v>56</v>
      </c>
      <c r="J234" s="11">
        <f>IFERROR(__xludf.DUMMYFUNCTION("IFERROR(FILTER(Stats!$F:$Z,(Stats!$A:$A=$A234)*(Stats!$B:$B=$B234)))"),23.0)</f>
        <v>23</v>
      </c>
      <c r="K234" s="11">
        <f>IFERROR(__xludf.DUMMYFUNCTION("""COMPUTED_VALUE"""),33.0)</f>
        <v>33</v>
      </c>
      <c r="L234" s="12">
        <f>IFERROR(__xludf.DUMMYFUNCTION("""COMPUTED_VALUE"""),0.4107142857142857)</f>
        <v>0.4107142857</v>
      </c>
      <c r="M234" s="11">
        <f>IFERROR(__xludf.DUMMYFUNCTION("""COMPUTED_VALUE"""),12.0)</f>
        <v>12</v>
      </c>
      <c r="N234" s="11">
        <f>IFERROR(__xludf.DUMMYFUNCTION("""COMPUTED_VALUE"""),21948.0)</f>
        <v>21948</v>
      </c>
      <c r="O234" s="13">
        <f>IFERROR(__xludf.DUMMYFUNCTION("""COMPUTED_VALUE"""),47.0)</f>
        <v>47</v>
      </c>
      <c r="P234" s="14">
        <f>IFERROR(__xludf.DUMMYFUNCTION("""COMPUTED_VALUE"""),39.0)</f>
        <v>39</v>
      </c>
      <c r="Q234" s="13">
        <f>IFERROR(__xludf.DUMMYFUNCTION("""COMPUTED_VALUE"""),77.0)</f>
        <v>77</v>
      </c>
      <c r="R234" s="13">
        <f>IFERROR(__xludf.DUMMYFUNCTION("""COMPUTED_VALUE"""),161.0)</f>
        <v>161</v>
      </c>
      <c r="S234" s="15">
        <f>IFERROR(__xludf.DUMMYFUNCTION("""COMPUTED_VALUE"""),0.2919254658385093)</f>
        <v>0.2919254658</v>
      </c>
      <c r="T234" s="16">
        <f>IFERROR(__xludf.DUMMYFUNCTION("""COMPUTED_VALUE"""),391.92857142857144)</f>
        <v>391.9285714</v>
      </c>
      <c r="U234" s="16">
        <f>IFERROR(__xludf.DUMMYFUNCTION("""COMPUTED_VALUE"""),0.8392857142857143)</f>
        <v>0.8392857143</v>
      </c>
      <c r="V234" s="16">
        <f>IFERROR(__xludf.DUMMYFUNCTION("""COMPUTED_VALUE"""),0.6964285714285714)</f>
        <v>0.6964285714</v>
      </c>
      <c r="W234" s="16">
        <f>IFERROR(__xludf.DUMMYFUNCTION("""COMPUTED_VALUE"""),1.375)</f>
        <v>1.375</v>
      </c>
      <c r="X234" s="16">
        <f>IFERROR(__xludf.DUMMYFUNCTION("""COMPUTED_VALUE"""),2.875)</f>
        <v>2.875</v>
      </c>
      <c r="Y234" s="11">
        <f>IFERROR(__xludf.DUMMYFUNCTION("""COMPUTED_VALUE"""),12.0)</f>
        <v>12</v>
      </c>
      <c r="Z234" s="11">
        <f>IFERROR(__xludf.DUMMYFUNCTION("""COMPUTED_VALUE"""),2.0)</f>
        <v>2</v>
      </c>
      <c r="AA234" s="11">
        <f>IFERROR(__xludf.DUMMYFUNCTION("""COMPUTED_VALUE"""),2.0)</f>
        <v>2</v>
      </c>
      <c r="AB234" s="11">
        <f>IFERROR(__xludf.DUMMYFUNCTION("""COMPUTED_VALUE"""),10.0)</f>
        <v>10</v>
      </c>
      <c r="AC234" s="11">
        <f>IFERROR(__xludf.DUMMYFUNCTION("""COMPUTED_VALUE"""),63.0)</f>
        <v>63</v>
      </c>
      <c r="AD234" s="11">
        <f>IFERROR(__xludf.DUMMYFUNCTION("""COMPUTED_VALUE"""),51.0)</f>
        <v>51</v>
      </c>
    </row>
    <row r="235">
      <c r="A235" s="10" t="str">
        <f>IFERROR(__xludf.DUMMYFUNCTION("""COMPUTED_VALUE"""),"Elite")</f>
        <v>Elite</v>
      </c>
      <c r="B235" s="10" t="str">
        <f>IFERROR(__xludf.DUMMYFUNCTION("""COMPUTED_VALUE"""),"RSC005872")</f>
        <v>RSC005872</v>
      </c>
      <c r="C235" s="10" t="str">
        <f>IFERROR(__xludf.DUMMYFUNCTION("""COMPUTED_VALUE"""),"Ditto")</f>
        <v>Ditto</v>
      </c>
      <c r="D235" s="36" t="str">
        <f>IFERROR(__xludf.DUMMYFUNCTION("""COMPUTED_VALUE"""),"Dik-diks")</f>
        <v>Dik-diks</v>
      </c>
      <c r="E235" s="10" t="str">
        <f>IFERROR(__xludf.DUMMYFUNCTION("""COMPUTED_VALUE"""),"Lunar")</f>
        <v>Lunar</v>
      </c>
      <c r="F235" s="37">
        <f>IFERROR(__xludf.DUMMYFUNCTION("""COMPUTED_VALUE"""),65.28818430365669)</f>
        <v>65.2881843</v>
      </c>
      <c r="G235" s="38">
        <f>IFERROR(__xludf.DUMMYFUNCTION("""COMPUTED_VALUE"""),68.03835571470756)</f>
        <v>68.03835571</v>
      </c>
      <c r="H235" s="38">
        <f>IFERROR(__xludf.DUMMYFUNCTION("""COMPUTED_VALUE"""),66.66327000918213)</f>
        <v>66.66327001</v>
      </c>
      <c r="I235" s="14">
        <f>IFERROR(__xludf.DUMMYFUNCTION("""COMPUTED_VALUE"""),51.0)</f>
        <v>51</v>
      </c>
      <c r="J235" s="11">
        <f>IFERROR(__xludf.DUMMYFUNCTION("IFERROR(FILTER(Stats!$F:$Z,(Stats!$A:$A=$A235)*(Stats!$B:$B=$B235)))"),23.0)</f>
        <v>23</v>
      </c>
      <c r="K235" s="11">
        <f>IFERROR(__xludf.DUMMYFUNCTION("""COMPUTED_VALUE"""),28.0)</f>
        <v>28</v>
      </c>
      <c r="L235" s="12">
        <f>IFERROR(__xludf.DUMMYFUNCTION("""COMPUTED_VALUE"""),0.45098039215686275)</f>
        <v>0.4509803922</v>
      </c>
      <c r="M235" s="11">
        <f>IFERROR(__xludf.DUMMYFUNCTION("""COMPUTED_VALUE"""),8.0)</f>
        <v>8</v>
      </c>
      <c r="N235" s="11">
        <f>IFERROR(__xludf.DUMMYFUNCTION("""COMPUTED_VALUE"""),20834.0)</f>
        <v>20834</v>
      </c>
      <c r="O235" s="13">
        <f>IFERROR(__xludf.DUMMYFUNCTION("""COMPUTED_VALUE"""),55.0)</f>
        <v>55</v>
      </c>
      <c r="P235" s="14">
        <f>IFERROR(__xludf.DUMMYFUNCTION("""COMPUTED_VALUE"""),29.0)</f>
        <v>29</v>
      </c>
      <c r="Q235" s="13">
        <f>IFERROR(__xludf.DUMMYFUNCTION("""COMPUTED_VALUE"""),79.0)</f>
        <v>79</v>
      </c>
      <c r="R235" s="13">
        <f>IFERROR(__xludf.DUMMYFUNCTION("""COMPUTED_VALUE"""),148.0)</f>
        <v>148</v>
      </c>
      <c r="S235" s="15">
        <f>IFERROR(__xludf.DUMMYFUNCTION("""COMPUTED_VALUE"""),0.3716216216216216)</f>
        <v>0.3716216216</v>
      </c>
      <c r="T235" s="16">
        <f>IFERROR(__xludf.DUMMYFUNCTION("""COMPUTED_VALUE"""),408.5098039215686)</f>
        <v>408.5098039</v>
      </c>
      <c r="U235" s="16">
        <f>IFERROR(__xludf.DUMMYFUNCTION("""COMPUTED_VALUE"""),1.0784313725490196)</f>
        <v>1.078431373</v>
      </c>
      <c r="V235" s="16">
        <f>IFERROR(__xludf.DUMMYFUNCTION("""COMPUTED_VALUE"""),0.5686274509803921)</f>
        <v>0.568627451</v>
      </c>
      <c r="W235" s="16">
        <f>IFERROR(__xludf.DUMMYFUNCTION("""COMPUTED_VALUE"""),1.5490196078431373)</f>
        <v>1.549019608</v>
      </c>
      <c r="X235" s="16">
        <f>IFERROR(__xludf.DUMMYFUNCTION("""COMPUTED_VALUE"""),2.9019607843137254)</f>
        <v>2.901960784</v>
      </c>
      <c r="Y235" s="11">
        <f>IFERROR(__xludf.DUMMYFUNCTION("""COMPUTED_VALUE"""),12.0)</f>
        <v>12</v>
      </c>
      <c r="Z235" s="11">
        <f>IFERROR(__xludf.DUMMYFUNCTION("""COMPUTED_VALUE"""),3.0)</f>
        <v>3</v>
      </c>
      <c r="AA235" s="11">
        <f>IFERROR(__xludf.DUMMYFUNCTION("""COMPUTED_VALUE"""),1.0)</f>
        <v>1</v>
      </c>
      <c r="AB235" s="11">
        <f>IFERROR(__xludf.DUMMYFUNCTION("""COMPUTED_VALUE"""),13.0)</f>
        <v>13</v>
      </c>
      <c r="AC235" s="11">
        <f>IFERROR(__xludf.DUMMYFUNCTION("""COMPUTED_VALUE"""),47.0)</f>
        <v>47</v>
      </c>
      <c r="AD235" s="11">
        <f>IFERROR(__xludf.DUMMYFUNCTION("""COMPUTED_VALUE"""),50.0)</f>
        <v>50</v>
      </c>
    </row>
    <row r="236">
      <c r="A236" s="10" t="str">
        <f>IFERROR(__xludf.DUMMYFUNCTION("""COMPUTED_VALUE"""),"Elite")</f>
        <v>Elite</v>
      </c>
      <c r="B236" s="10" t="str">
        <f>IFERROR(__xludf.DUMMYFUNCTION("""COMPUTED_VALUE"""),"RSC007354")</f>
        <v>RSC007354</v>
      </c>
      <c r="C236" s="10" t="str">
        <f>IFERROR(__xludf.DUMMYFUNCTION("""COMPUTED_VALUE"""),"Fanatic")</f>
        <v>Fanatic</v>
      </c>
      <c r="D236" s="36" t="str">
        <f>IFERROR(__xludf.DUMMYFUNCTION("""COMPUTED_VALUE"""),"Hellhounds")</f>
        <v>Hellhounds</v>
      </c>
      <c r="E236" s="10" t="str">
        <f>IFERROR(__xludf.DUMMYFUNCTION("""COMPUTED_VALUE"""),"Solar")</f>
        <v>Solar</v>
      </c>
      <c r="F236" s="37">
        <f>IFERROR(__xludf.DUMMYFUNCTION("""COMPUTED_VALUE"""),68.54384614962947)</f>
        <v>68.54384615</v>
      </c>
      <c r="G236" s="38">
        <f>IFERROR(__xludf.DUMMYFUNCTION("""COMPUTED_VALUE"""),64.46933330672867)</f>
        <v>64.46933331</v>
      </c>
      <c r="H236" s="38">
        <f>IFERROR(__xludf.DUMMYFUNCTION("""COMPUTED_VALUE"""),66.50658972817908)</f>
        <v>66.50658973</v>
      </c>
      <c r="I236" s="14">
        <f>IFERROR(__xludf.DUMMYFUNCTION("""COMPUTED_VALUE"""),47.0)</f>
        <v>47</v>
      </c>
      <c r="J236" s="11">
        <f>IFERROR(__xludf.DUMMYFUNCTION("IFERROR(FILTER(Stats!$F:$Z,(Stats!$A:$A=$A236)*(Stats!$B:$B=$B236)))"),18.0)</f>
        <v>18</v>
      </c>
      <c r="K236" s="11">
        <f>IFERROR(__xludf.DUMMYFUNCTION("""COMPUTED_VALUE"""),29.0)</f>
        <v>29</v>
      </c>
      <c r="L236" s="12">
        <f>IFERROR(__xludf.DUMMYFUNCTION("""COMPUTED_VALUE"""),0.3829787234042553)</f>
        <v>0.3829787234</v>
      </c>
      <c r="M236" s="11">
        <f>IFERROR(__xludf.DUMMYFUNCTION("""COMPUTED_VALUE"""),8.0)</f>
        <v>8</v>
      </c>
      <c r="N236" s="11">
        <f>IFERROR(__xludf.DUMMYFUNCTION("""COMPUTED_VALUE"""),19632.0)</f>
        <v>19632</v>
      </c>
      <c r="O236" s="13">
        <f>IFERROR(__xludf.DUMMYFUNCTION("""COMPUTED_VALUE"""),48.0)</f>
        <v>48</v>
      </c>
      <c r="P236" s="14">
        <f>IFERROR(__xludf.DUMMYFUNCTION("""COMPUTED_VALUE"""),19.0)</f>
        <v>19</v>
      </c>
      <c r="Q236" s="13">
        <f>IFERROR(__xludf.DUMMYFUNCTION("""COMPUTED_VALUE"""),82.0)</f>
        <v>82</v>
      </c>
      <c r="R236" s="13">
        <f>IFERROR(__xludf.DUMMYFUNCTION("""COMPUTED_VALUE"""),142.0)</f>
        <v>142</v>
      </c>
      <c r="S236" s="15">
        <f>IFERROR(__xludf.DUMMYFUNCTION("""COMPUTED_VALUE"""),0.3380281690140845)</f>
        <v>0.338028169</v>
      </c>
      <c r="T236" s="16">
        <f>IFERROR(__xludf.DUMMYFUNCTION("""COMPUTED_VALUE"""),417.70212765957444)</f>
        <v>417.7021277</v>
      </c>
      <c r="U236" s="16">
        <f>IFERROR(__xludf.DUMMYFUNCTION("""COMPUTED_VALUE"""),1.0212765957446808)</f>
        <v>1.021276596</v>
      </c>
      <c r="V236" s="16">
        <f>IFERROR(__xludf.DUMMYFUNCTION("""COMPUTED_VALUE"""),0.40425531914893614)</f>
        <v>0.4042553191</v>
      </c>
      <c r="W236" s="16">
        <f>IFERROR(__xludf.DUMMYFUNCTION("""COMPUTED_VALUE"""),1.7446808510638299)</f>
        <v>1.744680851</v>
      </c>
      <c r="X236" s="16">
        <f>IFERROR(__xludf.DUMMYFUNCTION("""COMPUTED_VALUE"""),3.021276595744681)</f>
        <v>3.021276596</v>
      </c>
      <c r="Y236" s="11">
        <f>IFERROR(__xludf.DUMMYFUNCTION("""COMPUTED_VALUE"""),7.0)</f>
        <v>7</v>
      </c>
      <c r="Z236" s="11">
        <f>IFERROR(__xludf.DUMMYFUNCTION("""COMPUTED_VALUE"""),4.0)</f>
        <v>4</v>
      </c>
      <c r="AA236" s="11">
        <f>IFERROR(__xludf.DUMMYFUNCTION("""COMPUTED_VALUE"""),0.0)</f>
        <v>0</v>
      </c>
      <c r="AB236" s="11">
        <f>IFERROR(__xludf.DUMMYFUNCTION("""COMPUTED_VALUE"""),10.0)</f>
        <v>10</v>
      </c>
      <c r="AC236" s="11">
        <f>IFERROR(__xludf.DUMMYFUNCTION("""COMPUTED_VALUE"""),50.0)</f>
        <v>50</v>
      </c>
      <c r="AD236" s="11">
        <f>IFERROR(__xludf.DUMMYFUNCTION("""COMPUTED_VALUE"""),49.0)</f>
        <v>49</v>
      </c>
    </row>
    <row r="237">
      <c r="A237" s="10" t="str">
        <f>IFERROR(__xludf.DUMMYFUNCTION("""COMPUTED_VALUE"""),"Elite")</f>
        <v>Elite</v>
      </c>
      <c r="B237" s="10" t="str">
        <f>IFERROR(__xludf.DUMMYFUNCTION("""COMPUTED_VALUE"""),"RSC006877")</f>
        <v>RSC006877</v>
      </c>
      <c r="C237" s="10" t="str">
        <f>IFERROR(__xludf.DUMMYFUNCTION("""COMPUTED_VALUE"""),"Jolt")</f>
        <v>Jolt</v>
      </c>
      <c r="D237" s="36" t="str">
        <f>IFERROR(__xludf.DUMMYFUNCTION("""COMPUTED_VALUE"""),"Afterburners
Thrashers")</f>
        <v>Afterburners
Thrashers</v>
      </c>
      <c r="E237" s="10" t="str">
        <f>IFERROR(__xludf.DUMMYFUNCTION("""COMPUTED_VALUE"""),"Lunar
Lunar")</f>
        <v>Lunar
Lunar</v>
      </c>
      <c r="F237" s="37">
        <f>IFERROR(__xludf.DUMMYFUNCTION("""COMPUTED_VALUE"""),65.59180324167696)</f>
        <v>65.59180324</v>
      </c>
      <c r="G237" s="38">
        <f>IFERROR(__xludf.DUMMYFUNCTION("""COMPUTED_VALUE"""),65.71718759387448)</f>
        <v>65.71718759</v>
      </c>
      <c r="H237" s="38">
        <f>IFERROR(__xludf.DUMMYFUNCTION("""COMPUTED_VALUE"""),65.65449541777572)</f>
        <v>65.65449542</v>
      </c>
      <c r="I237" s="14">
        <f>IFERROR(__xludf.DUMMYFUNCTION("""COMPUTED_VALUE"""),48.0)</f>
        <v>48</v>
      </c>
      <c r="J237" s="11">
        <f>IFERROR(__xludf.DUMMYFUNCTION("IFERROR(FILTER(Stats!$F:$Z,(Stats!$A:$A=$A237)*(Stats!$B:$B=$B237)))"),21.0)</f>
        <v>21</v>
      </c>
      <c r="K237" s="11">
        <f>IFERROR(__xludf.DUMMYFUNCTION("""COMPUTED_VALUE"""),27.0)</f>
        <v>27</v>
      </c>
      <c r="L237" s="12">
        <f>IFERROR(__xludf.DUMMYFUNCTION("""COMPUTED_VALUE"""),0.4375)</f>
        <v>0.4375</v>
      </c>
      <c r="M237" s="11">
        <f>IFERROR(__xludf.DUMMYFUNCTION("""COMPUTED_VALUE"""),10.0)</f>
        <v>10</v>
      </c>
      <c r="N237" s="11">
        <f>IFERROR(__xludf.DUMMYFUNCTION("""COMPUTED_VALUE"""),19550.0)</f>
        <v>19550</v>
      </c>
      <c r="O237" s="13">
        <f>IFERROR(__xludf.DUMMYFUNCTION("""COMPUTED_VALUE"""),43.0)</f>
        <v>43</v>
      </c>
      <c r="P237" s="14">
        <f>IFERROR(__xludf.DUMMYFUNCTION("""COMPUTED_VALUE"""),39.0)</f>
        <v>39</v>
      </c>
      <c r="Q237" s="13">
        <f>IFERROR(__xludf.DUMMYFUNCTION("""COMPUTED_VALUE"""),80.0)</f>
        <v>80</v>
      </c>
      <c r="R237" s="13">
        <f>IFERROR(__xludf.DUMMYFUNCTION("""COMPUTED_VALUE"""),130.0)</f>
        <v>130</v>
      </c>
      <c r="S237" s="15">
        <f>IFERROR(__xludf.DUMMYFUNCTION("""COMPUTED_VALUE"""),0.33076923076923076)</f>
        <v>0.3307692308</v>
      </c>
      <c r="T237" s="16">
        <f>IFERROR(__xludf.DUMMYFUNCTION("""COMPUTED_VALUE"""),407.2916666666667)</f>
        <v>407.2916667</v>
      </c>
      <c r="U237" s="16">
        <f>IFERROR(__xludf.DUMMYFUNCTION("""COMPUTED_VALUE"""),0.8958333333333334)</f>
        <v>0.8958333333</v>
      </c>
      <c r="V237" s="16">
        <f>IFERROR(__xludf.DUMMYFUNCTION("""COMPUTED_VALUE"""),0.8125)</f>
        <v>0.8125</v>
      </c>
      <c r="W237" s="16">
        <f>IFERROR(__xludf.DUMMYFUNCTION("""COMPUTED_VALUE"""),1.6666666666666667)</f>
        <v>1.666666667</v>
      </c>
      <c r="X237" s="16">
        <f>IFERROR(__xludf.DUMMYFUNCTION("""COMPUTED_VALUE"""),2.7083333333333335)</f>
        <v>2.708333333</v>
      </c>
      <c r="Y237" s="11">
        <f>IFERROR(__xludf.DUMMYFUNCTION("""COMPUTED_VALUE"""),8.0)</f>
        <v>8</v>
      </c>
      <c r="Z237" s="11">
        <f>IFERROR(__xludf.DUMMYFUNCTION("""COMPUTED_VALUE"""),3.0)</f>
        <v>3</v>
      </c>
      <c r="AA237" s="11">
        <f>IFERROR(__xludf.DUMMYFUNCTION("""COMPUTED_VALUE"""),2.0)</f>
        <v>2</v>
      </c>
      <c r="AB237" s="11">
        <f>IFERROR(__xludf.DUMMYFUNCTION("""COMPUTED_VALUE"""),12.0)</f>
        <v>12</v>
      </c>
      <c r="AC237" s="11">
        <f>IFERROR(__xludf.DUMMYFUNCTION("""COMPUTED_VALUE"""),84.0)</f>
        <v>84</v>
      </c>
      <c r="AD237" s="11">
        <f>IFERROR(__xludf.DUMMYFUNCTION("""COMPUTED_VALUE"""),55.0)</f>
        <v>55</v>
      </c>
    </row>
    <row r="238">
      <c r="A238" s="10" t="str">
        <f>IFERROR(__xludf.DUMMYFUNCTION("""COMPUTED_VALUE"""),"Elite")</f>
        <v>Elite</v>
      </c>
      <c r="B238" s="10" t="str">
        <f>IFERROR(__xludf.DUMMYFUNCTION("""COMPUTED_VALUE"""),"RSC005374")</f>
        <v>RSC005374</v>
      </c>
      <c r="C238" s="10" t="str">
        <f>IFERROR(__xludf.DUMMYFUNCTION("""COMPUTED_VALUE"""),"A Yapping Panda")</f>
        <v>A Yapping Panda</v>
      </c>
      <c r="D238" s="36" t="str">
        <f>IFERROR(__xludf.DUMMYFUNCTION("""COMPUTED_VALUE"""),"Orochi")</f>
        <v>Orochi</v>
      </c>
      <c r="E238" s="10" t="str">
        <f>IFERROR(__xludf.DUMMYFUNCTION("""COMPUTED_VALUE"""),"Solar")</f>
        <v>Solar</v>
      </c>
      <c r="F238" s="37">
        <f>IFERROR(__xludf.DUMMYFUNCTION("""COMPUTED_VALUE"""),65.18080328975563)</f>
        <v>65.18080329</v>
      </c>
      <c r="G238" s="38">
        <f>IFERROR(__xludf.DUMMYFUNCTION("""COMPUTED_VALUE"""),64.83328266393961)</f>
        <v>64.83328266</v>
      </c>
      <c r="H238" s="38">
        <f>IFERROR(__xludf.DUMMYFUNCTION("""COMPUTED_VALUE"""),65.00704297684763)</f>
        <v>65.00704298</v>
      </c>
      <c r="I238" s="14">
        <f>IFERROR(__xludf.DUMMYFUNCTION("""COMPUTED_VALUE"""),42.0)</f>
        <v>42</v>
      </c>
      <c r="J238" s="11">
        <f>IFERROR(__xludf.DUMMYFUNCTION("IFERROR(FILTER(Stats!$F:$Z,(Stats!$A:$A=$A238)*(Stats!$B:$B=$B238)))"),21.0)</f>
        <v>21</v>
      </c>
      <c r="K238" s="11">
        <f>IFERROR(__xludf.DUMMYFUNCTION("""COMPUTED_VALUE"""),21.0)</f>
        <v>21</v>
      </c>
      <c r="L238" s="12">
        <f>IFERROR(__xludf.DUMMYFUNCTION("""COMPUTED_VALUE"""),0.5)</f>
        <v>0.5</v>
      </c>
      <c r="M238" s="11">
        <f>IFERROR(__xludf.DUMMYFUNCTION("""COMPUTED_VALUE"""),7.0)</f>
        <v>7</v>
      </c>
      <c r="N238" s="11">
        <f>IFERROR(__xludf.DUMMYFUNCTION("""COMPUTED_VALUE"""),15759.0)</f>
        <v>15759</v>
      </c>
      <c r="O238" s="13">
        <f>IFERROR(__xludf.DUMMYFUNCTION("""COMPUTED_VALUE"""),38.0)</f>
        <v>38</v>
      </c>
      <c r="P238" s="14">
        <f>IFERROR(__xludf.DUMMYFUNCTION("""COMPUTED_VALUE"""),19.0)</f>
        <v>19</v>
      </c>
      <c r="Q238" s="13">
        <f>IFERROR(__xludf.DUMMYFUNCTION("""COMPUTED_VALUE"""),60.0)</f>
        <v>60</v>
      </c>
      <c r="R238" s="13">
        <f>IFERROR(__xludf.DUMMYFUNCTION("""COMPUTED_VALUE"""),124.0)</f>
        <v>124</v>
      </c>
      <c r="S238" s="15">
        <f>IFERROR(__xludf.DUMMYFUNCTION("""COMPUTED_VALUE"""),0.3064516129032258)</f>
        <v>0.3064516129</v>
      </c>
      <c r="T238" s="16">
        <f>IFERROR(__xludf.DUMMYFUNCTION("""COMPUTED_VALUE"""),375.2142857142857)</f>
        <v>375.2142857</v>
      </c>
      <c r="U238" s="16">
        <f>IFERROR(__xludf.DUMMYFUNCTION("""COMPUTED_VALUE"""),0.9047619047619048)</f>
        <v>0.9047619048</v>
      </c>
      <c r="V238" s="16">
        <f>IFERROR(__xludf.DUMMYFUNCTION("""COMPUTED_VALUE"""),0.4523809523809524)</f>
        <v>0.4523809524</v>
      </c>
      <c r="W238" s="16">
        <f>IFERROR(__xludf.DUMMYFUNCTION("""COMPUTED_VALUE"""),1.4285714285714286)</f>
        <v>1.428571429</v>
      </c>
      <c r="X238" s="16">
        <f>IFERROR(__xludf.DUMMYFUNCTION("""COMPUTED_VALUE"""),2.9523809523809526)</f>
        <v>2.952380952</v>
      </c>
      <c r="Y238" s="11">
        <f>IFERROR(__xludf.DUMMYFUNCTION("""COMPUTED_VALUE"""),7.0)</f>
        <v>7</v>
      </c>
      <c r="Z238" s="11">
        <f>IFERROR(__xludf.DUMMYFUNCTION("""COMPUTED_VALUE"""),3.0)</f>
        <v>3</v>
      </c>
      <c r="AA238" s="11">
        <f>IFERROR(__xludf.DUMMYFUNCTION("""COMPUTED_VALUE"""),1.0)</f>
        <v>1</v>
      </c>
      <c r="AB238" s="11">
        <f>IFERROR(__xludf.DUMMYFUNCTION("""COMPUTED_VALUE"""),9.0)</f>
        <v>9</v>
      </c>
      <c r="AC238" s="11">
        <f>IFERROR(__xludf.DUMMYFUNCTION("""COMPUTED_VALUE"""),78.0)</f>
        <v>78</v>
      </c>
      <c r="AD238" s="11">
        <f>IFERROR(__xludf.DUMMYFUNCTION("""COMPUTED_VALUE"""),41.0)</f>
        <v>41</v>
      </c>
    </row>
    <row r="239">
      <c r="A239" s="10" t="str">
        <f>IFERROR(__xludf.DUMMYFUNCTION("""COMPUTED_VALUE"""),"Elite")</f>
        <v>Elite</v>
      </c>
      <c r="B239" s="10" t="str">
        <f>IFERROR(__xludf.DUMMYFUNCTION("""COMPUTED_VALUE"""),"RSC007846")</f>
        <v>RSC007846</v>
      </c>
      <c r="C239" s="10" t="str">
        <f>IFERROR(__xludf.DUMMYFUNCTION("""COMPUTED_VALUE"""),"Lovegreyhounds")</f>
        <v>Lovegreyhounds</v>
      </c>
      <c r="D239" s="36" t="str">
        <f>IFERROR(__xludf.DUMMYFUNCTION("""COMPUTED_VALUE"""),"Black-Holes")</f>
        <v>Black-Holes</v>
      </c>
      <c r="E239" s="10" t="str">
        <f>IFERROR(__xludf.DUMMYFUNCTION("""COMPUTED_VALUE"""),"Lunar")</f>
        <v>Lunar</v>
      </c>
      <c r="F239" s="37">
        <f>IFERROR(__xludf.DUMMYFUNCTION("""COMPUTED_VALUE"""),59.76536245787957)</f>
        <v>59.76536246</v>
      </c>
      <c r="G239" s="38">
        <f>IFERROR(__xludf.DUMMYFUNCTION("""COMPUTED_VALUE"""),68.86863602638718)</f>
        <v>68.86863603</v>
      </c>
      <c r="H239" s="38">
        <f>IFERROR(__xludf.DUMMYFUNCTION("""COMPUTED_VALUE"""),64.31699924213338)</f>
        <v>64.31699924</v>
      </c>
      <c r="I239" s="14">
        <f>IFERROR(__xludf.DUMMYFUNCTION("""COMPUTED_VALUE"""),46.0)</f>
        <v>46</v>
      </c>
      <c r="J239" s="11">
        <f>IFERROR(__xludf.DUMMYFUNCTION("IFERROR(FILTER(Stats!$F:$Z,(Stats!$A:$A=$A239)*(Stats!$B:$B=$B239)))"),28.0)</f>
        <v>28</v>
      </c>
      <c r="K239" s="11">
        <f>IFERROR(__xludf.DUMMYFUNCTION("""COMPUTED_VALUE"""),18.0)</f>
        <v>18</v>
      </c>
      <c r="L239" s="12">
        <f>IFERROR(__xludf.DUMMYFUNCTION("""COMPUTED_VALUE"""),0.6086956521739131)</f>
        <v>0.6086956522</v>
      </c>
      <c r="M239" s="11">
        <f>IFERROR(__xludf.DUMMYFUNCTION("""COMPUTED_VALUE"""),12.0)</f>
        <v>12</v>
      </c>
      <c r="N239" s="11">
        <f>IFERROR(__xludf.DUMMYFUNCTION("""COMPUTED_VALUE"""),18513.0)</f>
        <v>18513</v>
      </c>
      <c r="O239" s="13">
        <f>IFERROR(__xludf.DUMMYFUNCTION("""COMPUTED_VALUE"""),54.0)</f>
        <v>54</v>
      </c>
      <c r="P239" s="14">
        <f>IFERROR(__xludf.DUMMYFUNCTION("""COMPUTED_VALUE"""),21.0)</f>
        <v>21</v>
      </c>
      <c r="Q239" s="13">
        <f>IFERROR(__xludf.DUMMYFUNCTION("""COMPUTED_VALUE"""),77.0)</f>
        <v>77</v>
      </c>
      <c r="R239" s="13">
        <f>IFERROR(__xludf.DUMMYFUNCTION("""COMPUTED_VALUE"""),139.0)</f>
        <v>139</v>
      </c>
      <c r="S239" s="15">
        <f>IFERROR(__xludf.DUMMYFUNCTION("""COMPUTED_VALUE"""),0.38848920863309355)</f>
        <v>0.3884892086</v>
      </c>
      <c r="T239" s="16">
        <f>IFERROR(__xludf.DUMMYFUNCTION("""COMPUTED_VALUE"""),402.45652173913044)</f>
        <v>402.4565217</v>
      </c>
      <c r="U239" s="16">
        <f>IFERROR(__xludf.DUMMYFUNCTION("""COMPUTED_VALUE"""),1.173913043478261)</f>
        <v>1.173913043</v>
      </c>
      <c r="V239" s="16">
        <f>IFERROR(__xludf.DUMMYFUNCTION("""COMPUTED_VALUE"""),0.45652173913043476)</f>
        <v>0.4565217391</v>
      </c>
      <c r="W239" s="16">
        <f>IFERROR(__xludf.DUMMYFUNCTION("""COMPUTED_VALUE"""),1.673913043478261)</f>
        <v>1.673913043</v>
      </c>
      <c r="X239" s="16">
        <f>IFERROR(__xludf.DUMMYFUNCTION("""COMPUTED_VALUE"""),3.0217391304347827)</f>
        <v>3.02173913</v>
      </c>
      <c r="Y239" s="11">
        <f>IFERROR(__xludf.DUMMYFUNCTION("""COMPUTED_VALUE"""),9.0)</f>
        <v>9</v>
      </c>
      <c r="Z239" s="11">
        <f>IFERROR(__xludf.DUMMYFUNCTION("""COMPUTED_VALUE"""),7.0)</f>
        <v>7</v>
      </c>
      <c r="AA239" s="11">
        <f>IFERROR(__xludf.DUMMYFUNCTION("""COMPUTED_VALUE"""),1.0)</f>
        <v>1</v>
      </c>
      <c r="AB239" s="11">
        <f>IFERROR(__xludf.DUMMYFUNCTION("""COMPUTED_VALUE"""),11.0)</f>
        <v>11</v>
      </c>
      <c r="AC239" s="11">
        <f>IFERROR(__xludf.DUMMYFUNCTION("""COMPUTED_VALUE"""),71.0)</f>
        <v>71</v>
      </c>
      <c r="AD239" s="11">
        <f>IFERROR(__xludf.DUMMYFUNCTION("""COMPUTED_VALUE"""),53.0)</f>
        <v>53</v>
      </c>
    </row>
    <row r="240">
      <c r="A240" s="10" t="str">
        <f>IFERROR(__xludf.DUMMYFUNCTION("""COMPUTED_VALUE"""),"Elite")</f>
        <v>Elite</v>
      </c>
      <c r="B240" s="10" t="str">
        <f>IFERROR(__xludf.DUMMYFUNCTION("""COMPUTED_VALUE"""),"RSC002246")</f>
        <v>RSC002246</v>
      </c>
      <c r="C240" s="10" t="str">
        <f>IFERROR(__xludf.DUMMYFUNCTION("""COMPUTED_VALUE"""),"Dread")</f>
        <v>Dread</v>
      </c>
      <c r="D240" s="36" t="str">
        <f>IFERROR(__xludf.DUMMYFUNCTION("""COMPUTED_VALUE"""),"Gelato")</f>
        <v>Gelato</v>
      </c>
      <c r="E240" s="10" t="str">
        <f>IFERROR(__xludf.DUMMYFUNCTION("""COMPUTED_VALUE"""),"Lunar")</f>
        <v>Lunar</v>
      </c>
      <c r="F240" s="37">
        <f>IFERROR(__xludf.DUMMYFUNCTION("""COMPUTED_VALUE"""),61.38153977273825)</f>
        <v>61.38153977</v>
      </c>
      <c r="G240" s="38">
        <f>IFERROR(__xludf.DUMMYFUNCTION("""COMPUTED_VALUE"""),66.53647203220505)</f>
        <v>66.53647203</v>
      </c>
      <c r="H240" s="38">
        <f>IFERROR(__xludf.DUMMYFUNCTION("""COMPUTED_VALUE"""),63.95900590247165)</f>
        <v>63.9590059</v>
      </c>
      <c r="I240" s="14">
        <f>IFERROR(__xludf.DUMMYFUNCTION("""COMPUTED_VALUE"""),55.0)</f>
        <v>55</v>
      </c>
      <c r="J240" s="11">
        <f>IFERROR(__xludf.DUMMYFUNCTION("IFERROR(FILTER(Stats!$F:$Z,(Stats!$A:$A=$A240)*(Stats!$B:$B=$B240)))"),28.0)</f>
        <v>28</v>
      </c>
      <c r="K240" s="11">
        <f>IFERROR(__xludf.DUMMYFUNCTION("""COMPUTED_VALUE"""),27.0)</f>
        <v>27</v>
      </c>
      <c r="L240" s="12">
        <f>IFERROR(__xludf.DUMMYFUNCTION("""COMPUTED_VALUE"""),0.509090909090909)</f>
        <v>0.5090909091</v>
      </c>
      <c r="M240" s="11">
        <f>IFERROR(__xludf.DUMMYFUNCTION("""COMPUTED_VALUE"""),8.0)</f>
        <v>8</v>
      </c>
      <c r="N240" s="11">
        <f>IFERROR(__xludf.DUMMYFUNCTION("""COMPUTED_VALUE"""),21992.0)</f>
        <v>21992</v>
      </c>
      <c r="O240" s="13">
        <f>IFERROR(__xludf.DUMMYFUNCTION("""COMPUTED_VALUE"""),56.0)</f>
        <v>56</v>
      </c>
      <c r="P240" s="14">
        <f>IFERROR(__xludf.DUMMYFUNCTION("""COMPUTED_VALUE"""),32.0)</f>
        <v>32</v>
      </c>
      <c r="Q240" s="13">
        <f>IFERROR(__xludf.DUMMYFUNCTION("""COMPUTED_VALUE"""),81.0)</f>
        <v>81</v>
      </c>
      <c r="R240" s="13">
        <f>IFERROR(__xludf.DUMMYFUNCTION("""COMPUTED_VALUE"""),150.0)</f>
        <v>150</v>
      </c>
      <c r="S240" s="15">
        <f>IFERROR(__xludf.DUMMYFUNCTION("""COMPUTED_VALUE"""),0.37333333333333335)</f>
        <v>0.3733333333</v>
      </c>
      <c r="T240" s="16">
        <f>IFERROR(__xludf.DUMMYFUNCTION("""COMPUTED_VALUE"""),399.8545454545455)</f>
        <v>399.8545455</v>
      </c>
      <c r="U240" s="16">
        <f>IFERROR(__xludf.DUMMYFUNCTION("""COMPUTED_VALUE"""),1.018181818181818)</f>
        <v>1.018181818</v>
      </c>
      <c r="V240" s="16">
        <f>IFERROR(__xludf.DUMMYFUNCTION("""COMPUTED_VALUE"""),0.5818181818181818)</f>
        <v>0.5818181818</v>
      </c>
      <c r="W240" s="16">
        <f>IFERROR(__xludf.DUMMYFUNCTION("""COMPUTED_VALUE"""),1.4727272727272727)</f>
        <v>1.472727273</v>
      </c>
      <c r="X240" s="16">
        <f>IFERROR(__xludf.DUMMYFUNCTION("""COMPUTED_VALUE"""),2.727272727272727)</f>
        <v>2.727272727</v>
      </c>
      <c r="Y240" s="11">
        <f>IFERROR(__xludf.DUMMYFUNCTION("""COMPUTED_VALUE"""),16.0)</f>
        <v>16</v>
      </c>
      <c r="Z240" s="11">
        <f>IFERROR(__xludf.DUMMYFUNCTION("""COMPUTED_VALUE"""),2.0)</f>
        <v>2</v>
      </c>
      <c r="AA240" s="11">
        <f>IFERROR(__xludf.DUMMYFUNCTION("""COMPUTED_VALUE"""),0.0)</f>
        <v>0</v>
      </c>
      <c r="AB240" s="11">
        <f>IFERROR(__xludf.DUMMYFUNCTION("""COMPUTED_VALUE"""),10.0)</f>
        <v>10</v>
      </c>
      <c r="AC240" s="11">
        <f>IFERROR(__xludf.DUMMYFUNCTION("""COMPUTED_VALUE"""),62.0)</f>
        <v>62</v>
      </c>
      <c r="AD240" s="11">
        <f>IFERROR(__xludf.DUMMYFUNCTION("""COMPUTED_VALUE"""),47.0)</f>
        <v>47</v>
      </c>
    </row>
    <row r="241">
      <c r="A241" s="10" t="str">
        <f>IFERROR(__xludf.DUMMYFUNCTION("""COMPUTED_VALUE"""),"Elite")</f>
        <v>Elite</v>
      </c>
      <c r="B241" s="10" t="str">
        <f>IFERROR(__xludf.DUMMYFUNCTION("""COMPUTED_VALUE"""),"RSC005515")</f>
        <v>RSC005515</v>
      </c>
      <c r="C241" s="10" t="str">
        <f>IFERROR(__xludf.DUMMYFUNCTION("""COMPUTED_VALUE"""),"BaronTac0")</f>
        <v>BaronTac0</v>
      </c>
      <c r="D241" s="36" t="str">
        <f>IFERROR(__xludf.DUMMYFUNCTION("""COMPUTED_VALUE"""),"Embezzlers")</f>
        <v>Embezzlers</v>
      </c>
      <c r="E241" s="10" t="str">
        <f>IFERROR(__xludf.DUMMYFUNCTION("""COMPUTED_VALUE"""),"Lunar")</f>
        <v>Lunar</v>
      </c>
      <c r="F241" s="37">
        <f>IFERROR(__xludf.DUMMYFUNCTION("""COMPUTED_VALUE"""),68.99341049479804)</f>
        <v>68.99341049</v>
      </c>
      <c r="G241" s="38">
        <f>IFERROR(__xludf.DUMMYFUNCTION("""COMPUTED_VALUE"""),58.88748666216341)</f>
        <v>58.88748666</v>
      </c>
      <c r="H241" s="38">
        <f>IFERROR(__xludf.DUMMYFUNCTION("""COMPUTED_VALUE"""),63.940448578480726)</f>
        <v>63.94044858</v>
      </c>
      <c r="I241" s="14">
        <f>IFERROR(__xludf.DUMMYFUNCTION("""COMPUTED_VALUE"""),45.0)</f>
        <v>45</v>
      </c>
      <c r="J241" s="11">
        <f>IFERROR(__xludf.DUMMYFUNCTION("IFERROR(FILTER(Stats!$F:$Z,(Stats!$A:$A=$A241)*(Stats!$B:$B=$B241)))"),28.0)</f>
        <v>28</v>
      </c>
      <c r="K241" s="11">
        <f>IFERROR(__xludf.DUMMYFUNCTION("""COMPUTED_VALUE"""),17.0)</f>
        <v>17</v>
      </c>
      <c r="L241" s="12">
        <f>IFERROR(__xludf.DUMMYFUNCTION("""COMPUTED_VALUE"""),0.6222222222222222)</f>
        <v>0.6222222222</v>
      </c>
      <c r="M241" s="11">
        <f>IFERROR(__xludf.DUMMYFUNCTION("""COMPUTED_VALUE"""),11.0)</f>
        <v>11</v>
      </c>
      <c r="N241" s="11">
        <f>IFERROR(__xludf.DUMMYFUNCTION("""COMPUTED_VALUE"""),17024.0)</f>
        <v>17024</v>
      </c>
      <c r="O241" s="13">
        <f>IFERROR(__xludf.DUMMYFUNCTION("""COMPUTED_VALUE"""),39.0)</f>
        <v>39</v>
      </c>
      <c r="P241" s="14">
        <f>IFERROR(__xludf.DUMMYFUNCTION("""COMPUTED_VALUE"""),27.0)</f>
        <v>27</v>
      </c>
      <c r="Q241" s="13">
        <f>IFERROR(__xludf.DUMMYFUNCTION("""COMPUTED_VALUE"""),69.0)</f>
        <v>69</v>
      </c>
      <c r="R241" s="13">
        <f>IFERROR(__xludf.DUMMYFUNCTION("""COMPUTED_VALUE"""),105.0)</f>
        <v>105</v>
      </c>
      <c r="S241" s="15">
        <f>IFERROR(__xludf.DUMMYFUNCTION("""COMPUTED_VALUE"""),0.37142857142857144)</f>
        <v>0.3714285714</v>
      </c>
      <c r="T241" s="16">
        <f>IFERROR(__xludf.DUMMYFUNCTION("""COMPUTED_VALUE"""),378.31111111111113)</f>
        <v>378.3111111</v>
      </c>
      <c r="U241" s="16">
        <f>IFERROR(__xludf.DUMMYFUNCTION("""COMPUTED_VALUE"""),0.8666666666666667)</f>
        <v>0.8666666667</v>
      </c>
      <c r="V241" s="16">
        <f>IFERROR(__xludf.DUMMYFUNCTION("""COMPUTED_VALUE"""),0.6)</f>
        <v>0.6</v>
      </c>
      <c r="W241" s="16">
        <f>IFERROR(__xludf.DUMMYFUNCTION("""COMPUTED_VALUE"""),1.5333333333333334)</f>
        <v>1.533333333</v>
      </c>
      <c r="X241" s="16">
        <f>IFERROR(__xludf.DUMMYFUNCTION("""COMPUTED_VALUE"""),2.3333333333333335)</f>
        <v>2.333333333</v>
      </c>
      <c r="Y241" s="11">
        <f>IFERROR(__xludf.DUMMYFUNCTION("""COMPUTED_VALUE"""),15.0)</f>
        <v>15</v>
      </c>
      <c r="Z241" s="11">
        <f>IFERROR(__xludf.DUMMYFUNCTION("""COMPUTED_VALUE"""),2.0)</f>
        <v>2</v>
      </c>
      <c r="AA241" s="11">
        <f>IFERROR(__xludf.DUMMYFUNCTION("""COMPUTED_VALUE"""),0.0)</f>
        <v>0</v>
      </c>
      <c r="AB241" s="11">
        <f>IFERROR(__xludf.DUMMYFUNCTION("""COMPUTED_VALUE"""),8.0)</f>
        <v>8</v>
      </c>
      <c r="AC241" s="11">
        <f>IFERROR(__xludf.DUMMYFUNCTION("""COMPUTED_VALUE"""),76.0)</f>
        <v>76</v>
      </c>
      <c r="AD241" s="11">
        <f>IFERROR(__xludf.DUMMYFUNCTION("""COMPUTED_VALUE"""),37.0)</f>
        <v>37</v>
      </c>
    </row>
    <row r="242">
      <c r="A242" s="10" t="str">
        <f>IFERROR(__xludf.DUMMYFUNCTION("""COMPUTED_VALUE"""),"Elite")</f>
        <v>Elite</v>
      </c>
      <c r="B242" s="10" t="str">
        <f>IFERROR(__xludf.DUMMYFUNCTION("""COMPUTED_VALUE"""),"RSC008169")</f>
        <v>RSC008169</v>
      </c>
      <c r="C242" s="10" t="str">
        <f>IFERROR(__xludf.DUMMYFUNCTION("""COMPUTED_VALUE"""),"Trickter02")</f>
        <v>Trickter02</v>
      </c>
      <c r="D242" s="36" t="str">
        <f>IFERROR(__xludf.DUMMYFUNCTION("""COMPUTED_VALUE"""),"Swordsman")</f>
        <v>Swordsman</v>
      </c>
      <c r="E242" s="10" t="str">
        <f>IFERROR(__xludf.DUMMYFUNCTION("""COMPUTED_VALUE"""),"Solar")</f>
        <v>Solar</v>
      </c>
      <c r="F242" s="37">
        <f>IFERROR(__xludf.DUMMYFUNCTION("""COMPUTED_VALUE"""),57.84734216262795)</f>
        <v>57.84734216</v>
      </c>
      <c r="G242" s="38">
        <f>IFERROR(__xludf.DUMMYFUNCTION("""COMPUTED_VALUE"""),68.69841346367934)</f>
        <v>68.69841346</v>
      </c>
      <c r="H242" s="38">
        <f>IFERROR(__xludf.DUMMYFUNCTION("""COMPUTED_VALUE"""),63.27287781315365)</f>
        <v>63.27287781</v>
      </c>
      <c r="I242" s="14">
        <f>IFERROR(__xludf.DUMMYFUNCTION("""COMPUTED_VALUE"""),38.0)</f>
        <v>38</v>
      </c>
      <c r="J242" s="11">
        <f>IFERROR(__xludf.DUMMYFUNCTION("IFERROR(FILTER(Stats!$F:$Z,(Stats!$A:$A=$A242)*(Stats!$B:$B=$B242)))"),21.0)</f>
        <v>21</v>
      </c>
      <c r="K242" s="11">
        <f>IFERROR(__xludf.DUMMYFUNCTION("""COMPUTED_VALUE"""),17.0)</f>
        <v>17</v>
      </c>
      <c r="L242" s="12">
        <f>IFERROR(__xludf.DUMMYFUNCTION("""COMPUTED_VALUE"""),0.5526315789473685)</f>
        <v>0.5526315789</v>
      </c>
      <c r="M242" s="11">
        <f>IFERROR(__xludf.DUMMYFUNCTION("""COMPUTED_VALUE"""),4.0)</f>
        <v>4</v>
      </c>
      <c r="N242" s="11">
        <f>IFERROR(__xludf.DUMMYFUNCTION("""COMPUTED_VALUE"""),12747.0)</f>
        <v>12747</v>
      </c>
      <c r="O242" s="13">
        <f>IFERROR(__xludf.DUMMYFUNCTION("""COMPUTED_VALUE"""),36.0)</f>
        <v>36</v>
      </c>
      <c r="P242" s="14">
        <f>IFERROR(__xludf.DUMMYFUNCTION("""COMPUTED_VALUE"""),23.0)</f>
        <v>23</v>
      </c>
      <c r="Q242" s="13">
        <f>IFERROR(__xludf.DUMMYFUNCTION("""COMPUTED_VALUE"""),21.0)</f>
        <v>21</v>
      </c>
      <c r="R242" s="13">
        <f>IFERROR(__xludf.DUMMYFUNCTION("""COMPUTED_VALUE"""),144.0)</f>
        <v>144</v>
      </c>
      <c r="S242" s="15">
        <f>IFERROR(__xludf.DUMMYFUNCTION("""COMPUTED_VALUE"""),0.25)</f>
        <v>0.25</v>
      </c>
      <c r="T242" s="16">
        <f>IFERROR(__xludf.DUMMYFUNCTION("""COMPUTED_VALUE"""),335.44736842105266)</f>
        <v>335.4473684</v>
      </c>
      <c r="U242" s="16">
        <f>IFERROR(__xludf.DUMMYFUNCTION("""COMPUTED_VALUE"""),0.9473684210526315)</f>
        <v>0.9473684211</v>
      </c>
      <c r="V242" s="16">
        <f>IFERROR(__xludf.DUMMYFUNCTION("""COMPUTED_VALUE"""),0.6052631578947368)</f>
        <v>0.6052631579</v>
      </c>
      <c r="W242" s="16">
        <f>IFERROR(__xludf.DUMMYFUNCTION("""COMPUTED_VALUE"""),0.5526315789473685)</f>
        <v>0.5526315789</v>
      </c>
      <c r="X242" s="16">
        <f>IFERROR(__xludf.DUMMYFUNCTION("""COMPUTED_VALUE"""),3.789473684210526)</f>
        <v>3.789473684</v>
      </c>
      <c r="Y242" s="11">
        <f>IFERROR(__xludf.DUMMYFUNCTION("""COMPUTED_VALUE"""),3.0)</f>
        <v>3</v>
      </c>
      <c r="Z242" s="11">
        <f>IFERROR(__xludf.DUMMYFUNCTION("""COMPUTED_VALUE"""),3.0)</f>
        <v>3</v>
      </c>
      <c r="AA242" s="11">
        <f>IFERROR(__xludf.DUMMYFUNCTION("""COMPUTED_VALUE"""),1.0)</f>
        <v>1</v>
      </c>
      <c r="AB242" s="11">
        <f>IFERROR(__xludf.DUMMYFUNCTION("""COMPUTED_VALUE"""),0.0)</f>
        <v>0</v>
      </c>
      <c r="AC242" s="11">
        <f>IFERROR(__xludf.DUMMYFUNCTION("""COMPUTED_VALUE"""),65.0)</f>
        <v>65</v>
      </c>
      <c r="AD242" s="11">
        <f>IFERROR(__xludf.DUMMYFUNCTION("""COMPUTED_VALUE"""),56.0)</f>
        <v>56</v>
      </c>
    </row>
    <row r="243">
      <c r="A243" s="10" t="str">
        <f>IFERROR(__xludf.DUMMYFUNCTION("""COMPUTED_VALUE"""),"Elite")</f>
        <v>Elite</v>
      </c>
      <c r="B243" s="10" t="str">
        <f>IFERROR(__xludf.DUMMYFUNCTION("""COMPUTED_VALUE"""),"RSC008488")</f>
        <v>RSC008488</v>
      </c>
      <c r="C243" s="10" t="str">
        <f>IFERROR(__xludf.DUMMYFUNCTION("""COMPUTED_VALUE"""),"J.Boosted")</f>
        <v>J.Boosted</v>
      </c>
      <c r="D243" s="36" t="str">
        <f>IFERROR(__xludf.DUMMYFUNCTION("""COMPUTED_VALUE"""),"Forge Defenders
Black-Holes")</f>
        <v>Forge Defenders
Black-Holes</v>
      </c>
      <c r="E243" s="10" t="str">
        <f>IFERROR(__xludf.DUMMYFUNCTION("""COMPUTED_VALUE"""),"Lunar
Lunar")</f>
        <v>Lunar
Lunar</v>
      </c>
      <c r="F243" s="37">
        <f>IFERROR(__xludf.DUMMYFUNCTION("""COMPUTED_VALUE"""),62.422822273584224)</f>
        <v>62.42282227</v>
      </c>
      <c r="G243" s="38">
        <f>IFERROR(__xludf.DUMMYFUNCTION("""COMPUTED_VALUE"""),62.04963108599023)</f>
        <v>62.04963109</v>
      </c>
      <c r="H243" s="38">
        <f>IFERROR(__xludf.DUMMYFUNCTION("""COMPUTED_VALUE"""),62.23622667978722)</f>
        <v>62.23622668</v>
      </c>
      <c r="I243" s="14">
        <f>IFERROR(__xludf.DUMMYFUNCTION("""COMPUTED_VALUE"""),49.0)</f>
        <v>49</v>
      </c>
      <c r="J243" s="11">
        <f>IFERROR(__xludf.DUMMYFUNCTION("IFERROR(FILTER(Stats!$F:$Z,(Stats!$A:$A=$A243)*(Stats!$B:$B=$B243)))"),29.0)</f>
        <v>29</v>
      </c>
      <c r="K243" s="11">
        <f>IFERROR(__xludf.DUMMYFUNCTION("""COMPUTED_VALUE"""),20.0)</f>
        <v>20</v>
      </c>
      <c r="L243" s="12">
        <f>IFERROR(__xludf.DUMMYFUNCTION("""COMPUTED_VALUE"""),0.5918367346938775)</f>
        <v>0.5918367347</v>
      </c>
      <c r="M243" s="11">
        <f>IFERROR(__xludf.DUMMYFUNCTION("""COMPUTED_VALUE"""),8.0)</f>
        <v>8</v>
      </c>
      <c r="N243" s="11">
        <f>IFERROR(__xludf.DUMMYFUNCTION("""COMPUTED_VALUE"""),19258.0)</f>
        <v>19258</v>
      </c>
      <c r="O243" s="13">
        <f>IFERROR(__xludf.DUMMYFUNCTION("""COMPUTED_VALUE"""),41.0)</f>
        <v>41</v>
      </c>
      <c r="P243" s="14">
        <f>IFERROR(__xludf.DUMMYFUNCTION("""COMPUTED_VALUE"""),33.0)</f>
        <v>33</v>
      </c>
      <c r="Q243" s="13">
        <f>IFERROR(__xludf.DUMMYFUNCTION("""COMPUTED_VALUE"""),70.0)</f>
        <v>70</v>
      </c>
      <c r="R243" s="13">
        <f>IFERROR(__xludf.DUMMYFUNCTION("""COMPUTED_VALUE"""),130.0)</f>
        <v>130</v>
      </c>
      <c r="S243" s="15">
        <f>IFERROR(__xludf.DUMMYFUNCTION("""COMPUTED_VALUE"""),0.3153846153846154)</f>
        <v>0.3153846154</v>
      </c>
      <c r="T243" s="16">
        <f>IFERROR(__xludf.DUMMYFUNCTION("""COMPUTED_VALUE"""),393.0204081632653)</f>
        <v>393.0204082</v>
      </c>
      <c r="U243" s="16">
        <f>IFERROR(__xludf.DUMMYFUNCTION("""COMPUTED_VALUE"""),0.8367346938775511)</f>
        <v>0.8367346939</v>
      </c>
      <c r="V243" s="16">
        <f>IFERROR(__xludf.DUMMYFUNCTION("""COMPUTED_VALUE"""),0.673469387755102)</f>
        <v>0.6734693878</v>
      </c>
      <c r="W243" s="16">
        <f>IFERROR(__xludf.DUMMYFUNCTION("""COMPUTED_VALUE"""),1.4285714285714286)</f>
        <v>1.428571429</v>
      </c>
      <c r="X243" s="16">
        <f>IFERROR(__xludf.DUMMYFUNCTION("""COMPUTED_VALUE"""),2.6530612244897958)</f>
        <v>2.653061224</v>
      </c>
      <c r="Y243" s="11">
        <f>IFERROR(__xludf.DUMMYFUNCTION("""COMPUTED_VALUE"""),7.0)</f>
        <v>7</v>
      </c>
      <c r="Z243" s="11">
        <f>IFERROR(__xludf.DUMMYFUNCTION("""COMPUTED_VALUE"""),2.0)</f>
        <v>2</v>
      </c>
      <c r="AA243" s="11">
        <f>IFERROR(__xludf.DUMMYFUNCTION("""COMPUTED_VALUE"""),3.0)</f>
        <v>3</v>
      </c>
      <c r="AB243" s="11">
        <f>IFERROR(__xludf.DUMMYFUNCTION("""COMPUTED_VALUE"""),6.0)</f>
        <v>6</v>
      </c>
      <c r="AC243" s="11">
        <f>IFERROR(__xludf.DUMMYFUNCTION("""COMPUTED_VALUE"""),45.0)</f>
        <v>45</v>
      </c>
      <c r="AD243" s="11">
        <f>IFERROR(__xludf.DUMMYFUNCTION("""COMPUTED_VALUE"""),61.0)</f>
        <v>61</v>
      </c>
    </row>
    <row r="244">
      <c r="A244" s="10" t="str">
        <f>IFERROR(__xludf.DUMMYFUNCTION("""COMPUTED_VALUE"""),"Elite")</f>
        <v>Elite</v>
      </c>
      <c r="B244" s="10" t="str">
        <f>IFERROR(__xludf.DUMMYFUNCTION("""COMPUTED_VALUE"""),"RSC006259")</f>
        <v>RSC006259</v>
      </c>
      <c r="C244" s="10" t="str">
        <f>IFERROR(__xludf.DUMMYFUNCTION("""COMPUTED_VALUE"""),"mojomo (Goofy and Silly)")</f>
        <v>mojomo (Goofy and Silly)</v>
      </c>
      <c r="D244" s="36" t="str">
        <f>IFERROR(__xludf.DUMMYFUNCTION("""COMPUTED_VALUE"""),"Frostbite")</f>
        <v>Frostbite</v>
      </c>
      <c r="E244" s="10" t="str">
        <f>IFERROR(__xludf.DUMMYFUNCTION("""COMPUTED_VALUE"""),"Solar")</f>
        <v>Solar</v>
      </c>
      <c r="F244" s="37">
        <f>IFERROR(__xludf.DUMMYFUNCTION("""COMPUTED_VALUE"""),65.73790937564303)</f>
        <v>65.73790938</v>
      </c>
      <c r="G244" s="38">
        <f>IFERROR(__xludf.DUMMYFUNCTION("""COMPUTED_VALUE"""),58.38721731510397)</f>
        <v>58.38721732</v>
      </c>
      <c r="H244" s="38">
        <f>IFERROR(__xludf.DUMMYFUNCTION("""COMPUTED_VALUE"""),62.0625633453735)</f>
        <v>62.06256335</v>
      </c>
      <c r="I244" s="14">
        <f>IFERROR(__xludf.DUMMYFUNCTION("""COMPUTED_VALUE"""),52.0)</f>
        <v>52</v>
      </c>
      <c r="J244" s="11">
        <f>IFERROR(__xludf.DUMMYFUNCTION("IFERROR(FILTER(Stats!$F:$Z,(Stats!$A:$A=$A244)*(Stats!$B:$B=$B244)))"),24.0)</f>
        <v>24</v>
      </c>
      <c r="K244" s="11">
        <f>IFERROR(__xludf.DUMMYFUNCTION("""COMPUTED_VALUE"""),28.0)</f>
        <v>28</v>
      </c>
      <c r="L244" s="12">
        <f>IFERROR(__xludf.DUMMYFUNCTION("""COMPUTED_VALUE"""),0.46153846153846156)</f>
        <v>0.4615384615</v>
      </c>
      <c r="M244" s="11">
        <f>IFERROR(__xludf.DUMMYFUNCTION("""COMPUTED_VALUE"""),8.0)</f>
        <v>8</v>
      </c>
      <c r="N244" s="11">
        <f>IFERROR(__xludf.DUMMYFUNCTION("""COMPUTED_VALUE"""),19434.0)</f>
        <v>19434</v>
      </c>
      <c r="O244" s="13">
        <f>IFERROR(__xludf.DUMMYFUNCTION("""COMPUTED_VALUE"""),40.0)</f>
        <v>40</v>
      </c>
      <c r="P244" s="14">
        <f>IFERROR(__xludf.DUMMYFUNCTION("""COMPUTED_VALUE"""),31.0)</f>
        <v>31</v>
      </c>
      <c r="Q244" s="13">
        <f>IFERROR(__xludf.DUMMYFUNCTION("""COMPUTED_VALUE"""),83.0)</f>
        <v>83</v>
      </c>
      <c r="R244" s="13">
        <f>IFERROR(__xludf.DUMMYFUNCTION("""COMPUTED_VALUE"""),135.0)</f>
        <v>135</v>
      </c>
      <c r="S244" s="15">
        <f>IFERROR(__xludf.DUMMYFUNCTION("""COMPUTED_VALUE"""),0.2962962962962963)</f>
        <v>0.2962962963</v>
      </c>
      <c r="T244" s="16">
        <f>IFERROR(__xludf.DUMMYFUNCTION("""COMPUTED_VALUE"""),373.7307692307692)</f>
        <v>373.7307692</v>
      </c>
      <c r="U244" s="16">
        <f>IFERROR(__xludf.DUMMYFUNCTION("""COMPUTED_VALUE"""),0.7692307692307693)</f>
        <v>0.7692307692</v>
      </c>
      <c r="V244" s="16">
        <f>IFERROR(__xludf.DUMMYFUNCTION("""COMPUTED_VALUE"""),0.5961538461538461)</f>
        <v>0.5961538462</v>
      </c>
      <c r="W244" s="16">
        <f>IFERROR(__xludf.DUMMYFUNCTION("""COMPUTED_VALUE"""),1.5961538461538463)</f>
        <v>1.596153846</v>
      </c>
      <c r="X244" s="16">
        <f>IFERROR(__xludf.DUMMYFUNCTION("""COMPUTED_VALUE"""),2.5961538461538463)</f>
        <v>2.596153846</v>
      </c>
      <c r="Y244" s="11">
        <f>IFERROR(__xludf.DUMMYFUNCTION("""COMPUTED_VALUE"""),12.0)</f>
        <v>12</v>
      </c>
      <c r="Z244" s="11">
        <f>IFERROR(__xludf.DUMMYFUNCTION("""COMPUTED_VALUE"""),2.0)</f>
        <v>2</v>
      </c>
      <c r="AA244" s="11">
        <f>IFERROR(__xludf.DUMMYFUNCTION("""COMPUTED_VALUE"""),1.0)</f>
        <v>1</v>
      </c>
      <c r="AB244" s="11">
        <f>IFERROR(__xludf.DUMMYFUNCTION("""COMPUTED_VALUE"""),13.0)</f>
        <v>13</v>
      </c>
      <c r="AC244" s="11">
        <f>IFERROR(__xludf.DUMMYFUNCTION("""COMPUTED_VALUE"""),37.0)</f>
        <v>37</v>
      </c>
      <c r="AD244" s="11">
        <f>IFERROR(__xludf.DUMMYFUNCTION("""COMPUTED_VALUE"""),60.0)</f>
        <v>60</v>
      </c>
    </row>
    <row r="245">
      <c r="A245" s="10" t="str">
        <f>IFERROR(__xludf.DUMMYFUNCTION("""COMPUTED_VALUE"""),"Elite")</f>
        <v>Elite</v>
      </c>
      <c r="B245" s="10" t="str">
        <f>IFERROR(__xludf.DUMMYFUNCTION("""COMPUTED_VALUE"""),"RSC003709")</f>
        <v>RSC003709</v>
      </c>
      <c r="C245" s="10" t="str">
        <f>IFERROR(__xludf.DUMMYFUNCTION("""COMPUTED_VALUE"""),"donald.")</f>
        <v>donald.</v>
      </c>
      <c r="D245" s="36" t="str">
        <f>IFERROR(__xludf.DUMMYFUNCTION("""COMPUTED_VALUE"""),"Sloths")</f>
        <v>Sloths</v>
      </c>
      <c r="E245" s="10" t="str">
        <f>IFERROR(__xludf.DUMMYFUNCTION("""COMPUTED_VALUE"""),"Solar")</f>
        <v>Solar</v>
      </c>
      <c r="F245" s="37">
        <f>IFERROR(__xludf.DUMMYFUNCTION("""COMPUTED_VALUE"""),61.60074019301403)</f>
        <v>61.60074019</v>
      </c>
      <c r="G245" s="38">
        <f>IFERROR(__xludf.DUMMYFUNCTION("""COMPUTED_VALUE"""),62.01581066067098)</f>
        <v>62.01581066</v>
      </c>
      <c r="H245" s="38">
        <f>IFERROR(__xludf.DUMMYFUNCTION("""COMPUTED_VALUE"""),61.808275426842506)</f>
        <v>61.80827543</v>
      </c>
      <c r="I245" s="14">
        <f>IFERROR(__xludf.DUMMYFUNCTION("""COMPUTED_VALUE"""),48.0)</f>
        <v>48</v>
      </c>
      <c r="J245" s="11">
        <f>IFERROR(__xludf.DUMMYFUNCTION("IFERROR(FILTER(Stats!$F:$Z,(Stats!$A:$A=$A245)*(Stats!$B:$B=$B245)))"),24.0)</f>
        <v>24</v>
      </c>
      <c r="K245" s="11">
        <f>IFERROR(__xludf.DUMMYFUNCTION("""COMPUTED_VALUE"""),24.0)</f>
        <v>24</v>
      </c>
      <c r="L245" s="12">
        <f>IFERROR(__xludf.DUMMYFUNCTION("""COMPUTED_VALUE"""),0.5)</f>
        <v>0.5</v>
      </c>
      <c r="M245" s="11">
        <f>IFERROR(__xludf.DUMMYFUNCTION("""COMPUTED_VALUE"""),9.0)</f>
        <v>9</v>
      </c>
      <c r="N245" s="11">
        <f>IFERROR(__xludf.DUMMYFUNCTION("""COMPUTED_VALUE"""),18411.0)</f>
        <v>18411</v>
      </c>
      <c r="O245" s="13">
        <f>IFERROR(__xludf.DUMMYFUNCTION("""COMPUTED_VALUE"""),41.0)</f>
        <v>41</v>
      </c>
      <c r="P245" s="14">
        <f>IFERROR(__xludf.DUMMYFUNCTION("""COMPUTED_VALUE"""),29.0)</f>
        <v>29</v>
      </c>
      <c r="Q245" s="13">
        <f>IFERROR(__xludf.DUMMYFUNCTION("""COMPUTED_VALUE"""),77.0)</f>
        <v>77</v>
      </c>
      <c r="R245" s="13">
        <f>IFERROR(__xludf.DUMMYFUNCTION("""COMPUTED_VALUE"""),142.0)</f>
        <v>142</v>
      </c>
      <c r="S245" s="15">
        <f>IFERROR(__xludf.DUMMYFUNCTION("""COMPUTED_VALUE"""),0.2887323943661972)</f>
        <v>0.2887323944</v>
      </c>
      <c r="T245" s="16">
        <f>IFERROR(__xludf.DUMMYFUNCTION("""COMPUTED_VALUE"""),383.5625)</f>
        <v>383.5625</v>
      </c>
      <c r="U245" s="16">
        <f>IFERROR(__xludf.DUMMYFUNCTION("""COMPUTED_VALUE"""),0.8541666666666666)</f>
        <v>0.8541666667</v>
      </c>
      <c r="V245" s="16">
        <f>IFERROR(__xludf.DUMMYFUNCTION("""COMPUTED_VALUE"""),0.6041666666666666)</f>
        <v>0.6041666667</v>
      </c>
      <c r="W245" s="16">
        <f>IFERROR(__xludf.DUMMYFUNCTION("""COMPUTED_VALUE"""),1.6041666666666667)</f>
        <v>1.604166667</v>
      </c>
      <c r="X245" s="16">
        <f>IFERROR(__xludf.DUMMYFUNCTION("""COMPUTED_VALUE"""),2.9583333333333335)</f>
        <v>2.958333333</v>
      </c>
      <c r="Y245" s="11">
        <f>IFERROR(__xludf.DUMMYFUNCTION("""COMPUTED_VALUE"""),10.0)</f>
        <v>10</v>
      </c>
      <c r="Z245" s="11">
        <f>IFERROR(__xludf.DUMMYFUNCTION("""COMPUTED_VALUE"""),1.0)</f>
        <v>1</v>
      </c>
      <c r="AA245" s="11">
        <f>IFERROR(__xludf.DUMMYFUNCTION("""COMPUTED_VALUE"""),2.0)</f>
        <v>2</v>
      </c>
      <c r="AB245" s="11">
        <f>IFERROR(__xludf.DUMMYFUNCTION("""COMPUTED_VALUE"""),12.0)</f>
        <v>12</v>
      </c>
      <c r="AC245" s="11">
        <f>IFERROR(__xludf.DUMMYFUNCTION("""COMPUTED_VALUE"""),65.0)</f>
        <v>65</v>
      </c>
      <c r="AD245" s="11">
        <f>IFERROR(__xludf.DUMMYFUNCTION("""COMPUTED_VALUE"""),52.0)</f>
        <v>52</v>
      </c>
    </row>
    <row r="246">
      <c r="A246" s="10" t="str">
        <f>IFERROR(__xludf.DUMMYFUNCTION("""COMPUTED_VALUE"""),"Elite")</f>
        <v>Elite</v>
      </c>
      <c r="B246" s="10" t="str">
        <f>IFERROR(__xludf.DUMMYFUNCTION("""COMPUTED_VALUE"""),"RSC000016")</f>
        <v>RSC000016</v>
      </c>
      <c r="C246" s="10" t="str">
        <f>IFERROR(__xludf.DUMMYFUNCTION("""COMPUTED_VALUE"""),"Beans")</f>
        <v>Beans</v>
      </c>
      <c r="D246" s="36" t="str">
        <f>IFERROR(__xludf.DUMMYFUNCTION("""COMPUTED_VALUE"""),"Embezzlers")</f>
        <v>Embezzlers</v>
      </c>
      <c r="E246" s="10" t="str">
        <f>IFERROR(__xludf.DUMMYFUNCTION("""COMPUTED_VALUE"""),"Lunar")</f>
        <v>Lunar</v>
      </c>
      <c r="F246" s="37">
        <f>IFERROR(__xludf.DUMMYFUNCTION("""COMPUTED_VALUE"""),61.83446437615501)</f>
        <v>61.83446438</v>
      </c>
      <c r="G246" s="38">
        <f>IFERROR(__xludf.DUMMYFUNCTION("""COMPUTED_VALUE"""),60.05155213578971)</f>
        <v>60.05155214</v>
      </c>
      <c r="H246" s="38">
        <f>IFERROR(__xludf.DUMMYFUNCTION("""COMPUTED_VALUE"""),60.94300825597236)</f>
        <v>60.94300826</v>
      </c>
      <c r="I246" s="14">
        <f>IFERROR(__xludf.DUMMYFUNCTION("""COMPUTED_VALUE"""),37.0)</f>
        <v>37</v>
      </c>
      <c r="J246" s="11">
        <f>IFERROR(__xludf.DUMMYFUNCTION("IFERROR(FILTER(Stats!$F:$Z,(Stats!$A:$A=$A246)*(Stats!$B:$B=$B246)))"),22.0)</f>
        <v>22</v>
      </c>
      <c r="K246" s="11">
        <f>IFERROR(__xludf.DUMMYFUNCTION("""COMPUTED_VALUE"""),15.0)</f>
        <v>15</v>
      </c>
      <c r="L246" s="12">
        <f>IFERROR(__xludf.DUMMYFUNCTION("""COMPUTED_VALUE"""),0.5945945945945946)</f>
        <v>0.5945945946</v>
      </c>
      <c r="M246" s="11">
        <f>IFERROR(__xludf.DUMMYFUNCTION("""COMPUTED_VALUE"""),6.0)</f>
        <v>6</v>
      </c>
      <c r="N246" s="11">
        <f>IFERROR(__xludf.DUMMYFUNCTION("""COMPUTED_VALUE"""),13278.0)</f>
        <v>13278</v>
      </c>
      <c r="O246" s="13">
        <f>IFERROR(__xludf.DUMMYFUNCTION("""COMPUTED_VALUE"""),33.0)</f>
        <v>33</v>
      </c>
      <c r="P246" s="14">
        <f>IFERROR(__xludf.DUMMYFUNCTION("""COMPUTED_VALUE"""),23.0)</f>
        <v>23</v>
      </c>
      <c r="Q246" s="13">
        <f>IFERROR(__xludf.DUMMYFUNCTION("""COMPUTED_VALUE"""),63.0)</f>
        <v>63</v>
      </c>
      <c r="R246" s="13">
        <f>IFERROR(__xludf.DUMMYFUNCTION("""COMPUTED_VALUE"""),80.0)</f>
        <v>80</v>
      </c>
      <c r="S246" s="15">
        <f>IFERROR(__xludf.DUMMYFUNCTION("""COMPUTED_VALUE"""),0.4125)</f>
        <v>0.4125</v>
      </c>
      <c r="T246" s="16">
        <f>IFERROR(__xludf.DUMMYFUNCTION("""COMPUTED_VALUE"""),358.86486486486484)</f>
        <v>358.8648649</v>
      </c>
      <c r="U246" s="16">
        <f>IFERROR(__xludf.DUMMYFUNCTION("""COMPUTED_VALUE"""),0.8918918918918919)</f>
        <v>0.8918918919</v>
      </c>
      <c r="V246" s="16">
        <f>IFERROR(__xludf.DUMMYFUNCTION("""COMPUTED_VALUE"""),0.6216216216216216)</f>
        <v>0.6216216216</v>
      </c>
      <c r="W246" s="16">
        <f>IFERROR(__xludf.DUMMYFUNCTION("""COMPUTED_VALUE"""),1.7027027027027026)</f>
        <v>1.702702703</v>
      </c>
      <c r="X246" s="16">
        <f>IFERROR(__xludf.DUMMYFUNCTION("""COMPUTED_VALUE"""),2.1621621621621623)</f>
        <v>2.162162162</v>
      </c>
      <c r="Y246" s="11">
        <f>IFERROR(__xludf.DUMMYFUNCTION("""COMPUTED_VALUE"""),8.0)</f>
        <v>8</v>
      </c>
      <c r="Z246" s="11">
        <f>IFERROR(__xludf.DUMMYFUNCTION("""COMPUTED_VALUE"""),2.0)</f>
        <v>2</v>
      </c>
      <c r="AA246" s="11">
        <f>IFERROR(__xludf.DUMMYFUNCTION("""COMPUTED_VALUE"""),2.0)</f>
        <v>2</v>
      </c>
      <c r="AB246" s="11">
        <f>IFERROR(__xludf.DUMMYFUNCTION("""COMPUTED_VALUE"""),9.0)</f>
        <v>9</v>
      </c>
      <c r="AC246" s="11">
        <f>IFERROR(__xludf.DUMMYFUNCTION("""COMPUTED_VALUE"""),38.0)</f>
        <v>38</v>
      </c>
      <c r="AD246" s="11">
        <f>IFERROR(__xludf.DUMMYFUNCTION("""COMPUTED_VALUE"""),43.0)</f>
        <v>43</v>
      </c>
    </row>
    <row r="247">
      <c r="A247" s="10" t="str">
        <f>IFERROR(__xludf.DUMMYFUNCTION("""COMPUTED_VALUE"""),"Elite")</f>
        <v>Elite</v>
      </c>
      <c r="B247" s="10" t="str">
        <f>IFERROR(__xludf.DUMMYFUNCTION("""COMPUTED_VALUE"""),"RSC005287")</f>
        <v>RSC005287</v>
      </c>
      <c r="C247" s="10" t="str">
        <f>IFERROR(__xludf.DUMMYFUNCTION("""COMPUTED_VALUE"""),"Sakuta")</f>
        <v>Sakuta</v>
      </c>
      <c r="D247" s="36" t="str">
        <f>IFERROR(__xludf.DUMMYFUNCTION("""COMPUTED_VALUE"""),"Forge Defenders")</f>
        <v>Forge Defenders</v>
      </c>
      <c r="E247" s="10" t="str">
        <f>IFERROR(__xludf.DUMMYFUNCTION("""COMPUTED_VALUE"""),"Lunar")</f>
        <v>Lunar</v>
      </c>
      <c r="F247" s="37">
        <f>IFERROR(__xludf.DUMMYFUNCTION("""COMPUTED_VALUE"""),65.91012652739364)</f>
        <v>65.91012653</v>
      </c>
      <c r="G247" s="38">
        <f>IFERROR(__xludf.DUMMYFUNCTION("""COMPUTED_VALUE"""),54.65431354256486)</f>
        <v>54.65431354</v>
      </c>
      <c r="H247" s="38">
        <f>IFERROR(__xludf.DUMMYFUNCTION("""COMPUTED_VALUE"""),60.28222003497925)</f>
        <v>60.28222003</v>
      </c>
      <c r="I247" s="14">
        <f>IFERROR(__xludf.DUMMYFUNCTION("""COMPUTED_VALUE"""),56.0)</f>
        <v>56</v>
      </c>
      <c r="J247" s="11">
        <f>IFERROR(__xludf.DUMMYFUNCTION("IFERROR(FILTER(Stats!$F:$Z,(Stats!$A:$A=$A247)*(Stats!$B:$B=$B247)))"),29.0)</f>
        <v>29</v>
      </c>
      <c r="K247" s="11">
        <f>IFERROR(__xludf.DUMMYFUNCTION("""COMPUTED_VALUE"""),27.0)</f>
        <v>27</v>
      </c>
      <c r="L247" s="12">
        <f>IFERROR(__xludf.DUMMYFUNCTION("""COMPUTED_VALUE"""),0.5178571428571429)</f>
        <v>0.5178571429</v>
      </c>
      <c r="M247" s="11">
        <f>IFERROR(__xludf.DUMMYFUNCTION("""COMPUTED_VALUE"""),12.0)</f>
        <v>12</v>
      </c>
      <c r="N247" s="11">
        <f>IFERROR(__xludf.DUMMYFUNCTION("""COMPUTED_VALUE"""),23121.0)</f>
        <v>23121</v>
      </c>
      <c r="O247" s="13">
        <f>IFERROR(__xludf.DUMMYFUNCTION("""COMPUTED_VALUE"""),43.0)</f>
        <v>43</v>
      </c>
      <c r="P247" s="14">
        <f>IFERROR(__xludf.DUMMYFUNCTION("""COMPUTED_VALUE"""),34.0)</f>
        <v>34</v>
      </c>
      <c r="Q247" s="13">
        <f>IFERROR(__xludf.DUMMYFUNCTION("""COMPUTED_VALUE"""),109.0)</f>
        <v>109</v>
      </c>
      <c r="R247" s="13">
        <f>IFERROR(__xludf.DUMMYFUNCTION("""COMPUTED_VALUE"""),147.0)</f>
        <v>147</v>
      </c>
      <c r="S247" s="15">
        <f>IFERROR(__xludf.DUMMYFUNCTION("""COMPUTED_VALUE"""),0.2925170068027211)</f>
        <v>0.2925170068</v>
      </c>
      <c r="T247" s="16">
        <f>IFERROR(__xludf.DUMMYFUNCTION("""COMPUTED_VALUE"""),412.875)</f>
        <v>412.875</v>
      </c>
      <c r="U247" s="16">
        <f>IFERROR(__xludf.DUMMYFUNCTION("""COMPUTED_VALUE"""),0.7678571428571429)</f>
        <v>0.7678571429</v>
      </c>
      <c r="V247" s="16">
        <f>IFERROR(__xludf.DUMMYFUNCTION("""COMPUTED_VALUE"""),0.6071428571428571)</f>
        <v>0.6071428571</v>
      </c>
      <c r="W247" s="16">
        <f>IFERROR(__xludf.DUMMYFUNCTION("""COMPUTED_VALUE"""),1.9464285714285714)</f>
        <v>1.946428571</v>
      </c>
      <c r="X247" s="16">
        <f>IFERROR(__xludf.DUMMYFUNCTION("""COMPUTED_VALUE"""),2.625)</f>
        <v>2.625</v>
      </c>
      <c r="Y247" s="11">
        <f>IFERROR(__xludf.DUMMYFUNCTION("""COMPUTED_VALUE"""),11.0)</f>
        <v>11</v>
      </c>
      <c r="Z247" s="11">
        <f>IFERROR(__xludf.DUMMYFUNCTION("""COMPUTED_VALUE"""),2.0)</f>
        <v>2</v>
      </c>
      <c r="AA247" s="11">
        <f>IFERROR(__xludf.DUMMYFUNCTION("""COMPUTED_VALUE"""),4.0)</f>
        <v>4</v>
      </c>
      <c r="AB247" s="11">
        <f>IFERROR(__xludf.DUMMYFUNCTION("""COMPUTED_VALUE"""),15.0)</f>
        <v>15</v>
      </c>
      <c r="AC247" s="11">
        <f>IFERROR(__xludf.DUMMYFUNCTION("""COMPUTED_VALUE"""),70.0)</f>
        <v>70</v>
      </c>
      <c r="AD247" s="11">
        <f>IFERROR(__xludf.DUMMYFUNCTION("""COMPUTED_VALUE"""),55.0)</f>
        <v>55</v>
      </c>
    </row>
    <row r="248">
      <c r="A248" s="10" t="str">
        <f>IFERROR(__xludf.DUMMYFUNCTION("""COMPUTED_VALUE"""),"Elite")</f>
        <v>Elite</v>
      </c>
      <c r="B248" s="10" t="str">
        <f>IFERROR(__xludf.DUMMYFUNCTION("""COMPUTED_VALUE"""),"RSC006273")</f>
        <v>RSC006273</v>
      </c>
      <c r="C248" s="10" t="str">
        <f>IFERROR(__xludf.DUMMYFUNCTION("""COMPUTED_VALUE"""),"chawes.")</f>
        <v>chawes.</v>
      </c>
      <c r="D248" s="36" t="str">
        <f>IFERROR(__xludf.DUMMYFUNCTION("""COMPUTED_VALUE"""),"Peerless Scarred")</f>
        <v>Peerless Scarred</v>
      </c>
      <c r="E248" s="10" t="str">
        <f>IFERROR(__xludf.DUMMYFUNCTION("""COMPUTED_VALUE"""),"Solar")</f>
        <v>Solar</v>
      </c>
      <c r="F248" s="37">
        <f>IFERROR(__xludf.DUMMYFUNCTION("""COMPUTED_VALUE"""),54.4115561295517)</f>
        <v>54.41155613</v>
      </c>
      <c r="G248" s="38">
        <f>IFERROR(__xludf.DUMMYFUNCTION("""COMPUTED_VALUE"""),65.42347867618476)</f>
        <v>65.42347868</v>
      </c>
      <c r="H248" s="38">
        <f>IFERROR(__xludf.DUMMYFUNCTION("""COMPUTED_VALUE"""),59.91751740286823)</f>
        <v>59.9175174</v>
      </c>
      <c r="I248" s="14">
        <f>IFERROR(__xludf.DUMMYFUNCTION("""COMPUTED_VALUE"""),34.0)</f>
        <v>34</v>
      </c>
      <c r="J248" s="11">
        <f>IFERROR(__xludf.DUMMYFUNCTION("IFERROR(FILTER(Stats!$F:$Z,(Stats!$A:$A=$A248)*(Stats!$B:$B=$B248)))"),25.0)</f>
        <v>25</v>
      </c>
      <c r="K248" s="11">
        <f>IFERROR(__xludf.DUMMYFUNCTION("""COMPUTED_VALUE"""),9.0)</f>
        <v>9</v>
      </c>
      <c r="L248" s="12">
        <f>IFERROR(__xludf.DUMMYFUNCTION("""COMPUTED_VALUE"""),0.7352941176470589)</f>
        <v>0.7352941176</v>
      </c>
      <c r="M248" s="11">
        <f>IFERROR(__xludf.DUMMYFUNCTION("""COMPUTED_VALUE"""),5.0)</f>
        <v>5</v>
      </c>
      <c r="N248" s="11">
        <f>IFERROR(__xludf.DUMMYFUNCTION("""COMPUTED_VALUE"""),11935.0)</f>
        <v>11935</v>
      </c>
      <c r="O248" s="13">
        <f>IFERROR(__xludf.DUMMYFUNCTION("""COMPUTED_VALUE"""),30.0)</f>
        <v>30</v>
      </c>
      <c r="P248" s="14">
        <f>IFERROR(__xludf.DUMMYFUNCTION("""COMPUTED_VALUE"""),25.0)</f>
        <v>25</v>
      </c>
      <c r="Q248" s="13">
        <f>IFERROR(__xludf.DUMMYFUNCTION("""COMPUTED_VALUE"""),34.0)</f>
        <v>34</v>
      </c>
      <c r="R248" s="13">
        <f>IFERROR(__xludf.DUMMYFUNCTION("""COMPUTED_VALUE"""),100.0)</f>
        <v>100</v>
      </c>
      <c r="S248" s="15">
        <f>IFERROR(__xludf.DUMMYFUNCTION("""COMPUTED_VALUE"""),0.3)</f>
        <v>0.3</v>
      </c>
      <c r="T248" s="16">
        <f>IFERROR(__xludf.DUMMYFUNCTION("""COMPUTED_VALUE"""),351.02941176470586)</f>
        <v>351.0294118</v>
      </c>
      <c r="U248" s="16">
        <f>IFERROR(__xludf.DUMMYFUNCTION("""COMPUTED_VALUE"""),0.8823529411764706)</f>
        <v>0.8823529412</v>
      </c>
      <c r="V248" s="16">
        <f>IFERROR(__xludf.DUMMYFUNCTION("""COMPUTED_VALUE"""),0.7352941176470589)</f>
        <v>0.7352941176</v>
      </c>
      <c r="W248" s="16">
        <f>IFERROR(__xludf.DUMMYFUNCTION("""COMPUTED_VALUE"""),1.0)</f>
        <v>1</v>
      </c>
      <c r="X248" s="16">
        <f>IFERROR(__xludf.DUMMYFUNCTION("""COMPUTED_VALUE"""),2.9411764705882355)</f>
        <v>2.941176471</v>
      </c>
      <c r="Y248" s="11">
        <f>IFERROR(__xludf.DUMMYFUNCTION("""COMPUTED_VALUE"""),8.0)</f>
        <v>8</v>
      </c>
      <c r="Z248" s="11">
        <f>IFERROR(__xludf.DUMMYFUNCTION("""COMPUTED_VALUE"""),3.0)</f>
        <v>3</v>
      </c>
      <c r="AA248" s="11">
        <f>IFERROR(__xludf.DUMMYFUNCTION("""COMPUTED_VALUE"""),1.0)</f>
        <v>1</v>
      </c>
      <c r="AB248" s="11">
        <f>IFERROR(__xludf.DUMMYFUNCTION("""COMPUTED_VALUE"""),2.0)</f>
        <v>2</v>
      </c>
      <c r="AC248" s="11">
        <f>IFERROR(__xludf.DUMMYFUNCTION("""COMPUTED_VALUE"""),41.0)</f>
        <v>41</v>
      </c>
      <c r="AD248" s="11">
        <f>IFERROR(__xludf.DUMMYFUNCTION("""COMPUTED_VALUE"""),41.0)</f>
        <v>41</v>
      </c>
    </row>
    <row r="249">
      <c r="A249" s="10" t="str">
        <f>IFERROR(__xludf.DUMMYFUNCTION("""COMPUTED_VALUE"""),"Elite")</f>
        <v>Elite</v>
      </c>
      <c r="B249" s="10" t="str">
        <f>IFERROR(__xludf.DUMMYFUNCTION("""COMPUTED_VALUE"""),"RSC006278")</f>
        <v>RSC006278</v>
      </c>
      <c r="C249" s="10" t="str">
        <f>IFERROR(__xludf.DUMMYFUNCTION("""COMPUTED_VALUE"""),"DribblingPenguin")</f>
        <v>DribblingPenguin</v>
      </c>
      <c r="D249" s="36" t="str">
        <f>IFERROR(__xludf.DUMMYFUNCTION("""COMPUTED_VALUE"""),"Teddy Bears
Afterburners")</f>
        <v>Teddy Bears
Afterburners</v>
      </c>
      <c r="E249" s="10" t="str">
        <f>IFERROR(__xludf.DUMMYFUNCTION("""COMPUTED_VALUE"""),"Solar
Lunar")</f>
        <v>Solar
Lunar</v>
      </c>
      <c r="F249" s="37">
        <f>IFERROR(__xludf.DUMMYFUNCTION("""COMPUTED_VALUE"""),57.31590738947206)</f>
        <v>57.31590739</v>
      </c>
      <c r="G249" s="38">
        <f>IFERROR(__xludf.DUMMYFUNCTION("""COMPUTED_VALUE"""),62.25771833184652)</f>
        <v>62.25771833</v>
      </c>
      <c r="H249" s="38">
        <f>IFERROR(__xludf.DUMMYFUNCTION("""COMPUTED_VALUE"""),59.78681286065929)</f>
        <v>59.78681286</v>
      </c>
      <c r="I249" s="14">
        <f>IFERROR(__xludf.DUMMYFUNCTION("""COMPUTED_VALUE"""),10.0)</f>
        <v>10</v>
      </c>
      <c r="J249" s="11">
        <f>IFERROR(__xludf.DUMMYFUNCTION("IFERROR(FILTER(Stats!$F:$Z,(Stats!$A:$A=$A249)*(Stats!$B:$B=$B249)))"),8.0)</f>
        <v>8</v>
      </c>
      <c r="K249" s="11">
        <f>IFERROR(__xludf.DUMMYFUNCTION("""COMPUTED_VALUE"""),2.0)</f>
        <v>2</v>
      </c>
      <c r="L249" s="12">
        <f>IFERROR(__xludf.DUMMYFUNCTION("""COMPUTED_VALUE"""),0.8)</f>
        <v>0.8</v>
      </c>
      <c r="M249" s="11">
        <f>IFERROR(__xludf.DUMMYFUNCTION("""COMPUTED_VALUE"""),3.0)</f>
        <v>3</v>
      </c>
      <c r="N249" s="11">
        <f>IFERROR(__xludf.DUMMYFUNCTION("""COMPUTED_VALUE"""),3916.0)</f>
        <v>3916</v>
      </c>
      <c r="O249" s="13">
        <f>IFERROR(__xludf.DUMMYFUNCTION("""COMPUTED_VALUE"""),6.0)</f>
        <v>6</v>
      </c>
      <c r="P249" s="14">
        <f>IFERROR(__xludf.DUMMYFUNCTION("""COMPUTED_VALUE"""),9.0)</f>
        <v>9</v>
      </c>
      <c r="Q249" s="13">
        <f>IFERROR(__xludf.DUMMYFUNCTION("""COMPUTED_VALUE"""),17.0)</f>
        <v>17</v>
      </c>
      <c r="R249" s="13">
        <f>IFERROR(__xludf.DUMMYFUNCTION("""COMPUTED_VALUE"""),31.0)</f>
        <v>31</v>
      </c>
      <c r="S249" s="15">
        <f>IFERROR(__xludf.DUMMYFUNCTION("""COMPUTED_VALUE"""),0.1935483870967742)</f>
        <v>0.1935483871</v>
      </c>
      <c r="T249" s="16">
        <f>IFERROR(__xludf.DUMMYFUNCTION("""COMPUTED_VALUE"""),391.6)</f>
        <v>391.6</v>
      </c>
      <c r="U249" s="16">
        <f>IFERROR(__xludf.DUMMYFUNCTION("""COMPUTED_VALUE"""),0.6)</f>
        <v>0.6</v>
      </c>
      <c r="V249" s="16">
        <f>IFERROR(__xludf.DUMMYFUNCTION("""COMPUTED_VALUE"""),0.9)</f>
        <v>0.9</v>
      </c>
      <c r="W249" s="16">
        <f>IFERROR(__xludf.DUMMYFUNCTION("""COMPUTED_VALUE"""),1.7)</f>
        <v>1.7</v>
      </c>
      <c r="X249" s="16">
        <f>IFERROR(__xludf.DUMMYFUNCTION("""COMPUTED_VALUE"""),3.1)</f>
        <v>3.1</v>
      </c>
      <c r="Y249" s="11">
        <f>IFERROR(__xludf.DUMMYFUNCTION("""COMPUTED_VALUE"""),1.0)</f>
        <v>1</v>
      </c>
      <c r="Z249" s="11">
        <f>IFERROR(__xludf.DUMMYFUNCTION("""COMPUTED_VALUE"""),0.0)</f>
        <v>0</v>
      </c>
      <c r="AA249" s="11">
        <f>IFERROR(__xludf.DUMMYFUNCTION("""COMPUTED_VALUE"""),2.0)</f>
        <v>2</v>
      </c>
      <c r="AB249" s="11">
        <f>IFERROR(__xludf.DUMMYFUNCTION("""COMPUTED_VALUE"""),3.0)</f>
        <v>3</v>
      </c>
      <c r="AC249" s="11">
        <f>IFERROR(__xludf.DUMMYFUNCTION("""COMPUTED_VALUE"""),5.0)</f>
        <v>5</v>
      </c>
      <c r="AD249" s="11">
        <f>IFERROR(__xludf.DUMMYFUNCTION("""COMPUTED_VALUE"""),13.0)</f>
        <v>13</v>
      </c>
    </row>
    <row r="250">
      <c r="A250" s="10" t="str">
        <f>IFERROR(__xludf.DUMMYFUNCTION("""COMPUTED_VALUE"""),"Elite")</f>
        <v>Elite</v>
      </c>
      <c r="B250" s="10" t="str">
        <f>IFERROR(__xludf.DUMMYFUNCTION("""COMPUTED_VALUE"""),"RSC008198")</f>
        <v>RSC008198</v>
      </c>
      <c r="C250" s="10" t="str">
        <f>IFERROR(__xludf.DUMMYFUNCTION("""COMPUTED_VALUE"""),"Taiyo")</f>
        <v>Taiyo</v>
      </c>
      <c r="D250" s="36" t="str">
        <f>IFERROR(__xludf.DUMMYFUNCTION("""COMPUTED_VALUE"""),"Fire")</f>
        <v>Fire</v>
      </c>
      <c r="E250" s="10" t="str">
        <f>IFERROR(__xludf.DUMMYFUNCTION("""COMPUTED_VALUE"""),"Solar")</f>
        <v>Solar</v>
      </c>
      <c r="F250" s="37">
        <f>IFERROR(__xludf.DUMMYFUNCTION("""COMPUTED_VALUE"""),56.8427727189195)</f>
        <v>56.84277272</v>
      </c>
      <c r="G250" s="38">
        <f>IFERROR(__xludf.DUMMYFUNCTION("""COMPUTED_VALUE"""),62.09101464130663)</f>
        <v>62.09101464</v>
      </c>
      <c r="H250" s="38">
        <f>IFERROR(__xludf.DUMMYFUNCTION("""COMPUTED_VALUE"""),59.46689368011306)</f>
        <v>59.46689368</v>
      </c>
      <c r="I250" s="14">
        <f>IFERROR(__xludf.DUMMYFUNCTION("""COMPUTED_VALUE"""),52.0)</f>
        <v>52</v>
      </c>
      <c r="J250" s="11">
        <f>IFERROR(__xludf.DUMMYFUNCTION("IFERROR(FILTER(Stats!$F:$Z,(Stats!$A:$A=$A250)*(Stats!$B:$B=$B250)))"),28.0)</f>
        <v>28</v>
      </c>
      <c r="K250" s="11">
        <f>IFERROR(__xludf.DUMMYFUNCTION("""COMPUTED_VALUE"""),24.0)</f>
        <v>24</v>
      </c>
      <c r="L250" s="12">
        <f>IFERROR(__xludf.DUMMYFUNCTION("""COMPUTED_VALUE"""),0.5384615384615384)</f>
        <v>0.5384615385</v>
      </c>
      <c r="M250" s="11">
        <f>IFERROR(__xludf.DUMMYFUNCTION("""COMPUTED_VALUE"""),9.0)</f>
        <v>9</v>
      </c>
      <c r="N250" s="11">
        <f>IFERROR(__xludf.DUMMYFUNCTION("""COMPUTED_VALUE"""),19120.0)</f>
        <v>19120</v>
      </c>
      <c r="O250" s="13">
        <f>IFERROR(__xludf.DUMMYFUNCTION("""COMPUTED_VALUE"""),46.0)</f>
        <v>46</v>
      </c>
      <c r="P250" s="14">
        <f>IFERROR(__xludf.DUMMYFUNCTION("""COMPUTED_VALUE"""),27.0)</f>
        <v>27</v>
      </c>
      <c r="Q250" s="13">
        <f>IFERROR(__xludf.DUMMYFUNCTION("""COMPUTED_VALUE"""),68.0)</f>
        <v>68</v>
      </c>
      <c r="R250" s="13">
        <f>IFERROR(__xludf.DUMMYFUNCTION("""COMPUTED_VALUE"""),146.0)</f>
        <v>146</v>
      </c>
      <c r="S250" s="15">
        <f>IFERROR(__xludf.DUMMYFUNCTION("""COMPUTED_VALUE"""),0.3150684931506849)</f>
        <v>0.3150684932</v>
      </c>
      <c r="T250" s="16">
        <f>IFERROR(__xludf.DUMMYFUNCTION("""COMPUTED_VALUE"""),367.6923076923077)</f>
        <v>367.6923077</v>
      </c>
      <c r="U250" s="16">
        <f>IFERROR(__xludf.DUMMYFUNCTION("""COMPUTED_VALUE"""),0.8846153846153846)</f>
        <v>0.8846153846</v>
      </c>
      <c r="V250" s="16">
        <f>IFERROR(__xludf.DUMMYFUNCTION("""COMPUTED_VALUE"""),0.5192307692307693)</f>
        <v>0.5192307692</v>
      </c>
      <c r="W250" s="16">
        <f>IFERROR(__xludf.DUMMYFUNCTION("""COMPUTED_VALUE"""),1.3076923076923077)</f>
        <v>1.307692308</v>
      </c>
      <c r="X250" s="16">
        <f>IFERROR(__xludf.DUMMYFUNCTION("""COMPUTED_VALUE"""),2.8076923076923075)</f>
        <v>2.807692308</v>
      </c>
      <c r="Y250" s="11">
        <f>IFERROR(__xludf.DUMMYFUNCTION("""COMPUTED_VALUE"""),12.0)</f>
        <v>12</v>
      </c>
      <c r="Z250" s="11">
        <f>IFERROR(__xludf.DUMMYFUNCTION("""COMPUTED_VALUE"""),4.0)</f>
        <v>4</v>
      </c>
      <c r="AA250" s="11">
        <f>IFERROR(__xludf.DUMMYFUNCTION("""COMPUTED_VALUE"""),0.0)</f>
        <v>0</v>
      </c>
      <c r="AB250" s="11">
        <f>IFERROR(__xludf.DUMMYFUNCTION("""COMPUTED_VALUE"""),5.0)</f>
        <v>5</v>
      </c>
      <c r="AC250" s="11">
        <f>IFERROR(__xludf.DUMMYFUNCTION("""COMPUTED_VALUE"""),54.0)</f>
        <v>54</v>
      </c>
      <c r="AD250" s="11">
        <f>IFERROR(__xludf.DUMMYFUNCTION("""COMPUTED_VALUE"""),68.0)</f>
        <v>68</v>
      </c>
    </row>
    <row r="251">
      <c r="A251" s="10" t="str">
        <f>IFERROR(__xludf.DUMMYFUNCTION("""COMPUTED_VALUE"""),"Elite")</f>
        <v>Elite</v>
      </c>
      <c r="B251" s="10" t="str">
        <f>IFERROR(__xludf.DUMMYFUNCTION("""COMPUTED_VALUE"""),"RSC007811")</f>
        <v>RSC007811</v>
      </c>
      <c r="C251" s="10" t="str">
        <f>IFERROR(__xludf.DUMMYFUNCTION("""COMPUTED_VALUE"""),"Gray")</f>
        <v>Gray</v>
      </c>
      <c r="D251" s="36" t="str">
        <f>IFERROR(__xludf.DUMMYFUNCTION("""COMPUTED_VALUE"""),"Sloths
Cotija Cartel")</f>
        <v>Sloths
Cotija Cartel</v>
      </c>
      <c r="E251" s="10" t="str">
        <f>IFERROR(__xludf.DUMMYFUNCTION("""COMPUTED_VALUE"""),"Solar
Lunar")</f>
        <v>Solar
Lunar</v>
      </c>
      <c r="F251" s="40">
        <f>IFERROR(__xludf.DUMMYFUNCTION("""COMPUTED_VALUE"""),58.319455543219156)</f>
        <v>58.31945554</v>
      </c>
      <c r="G251" s="38">
        <f>IFERROR(__xludf.DUMMYFUNCTION("""COMPUTED_VALUE"""),60.096476166248024)</f>
        <v>60.09647617</v>
      </c>
      <c r="H251" s="38">
        <f>IFERROR(__xludf.DUMMYFUNCTION("""COMPUTED_VALUE"""),59.20796585473359)</f>
        <v>59.20796585</v>
      </c>
      <c r="I251" s="14">
        <f>IFERROR(__xludf.DUMMYFUNCTION("""COMPUTED_VALUE"""),47.0)</f>
        <v>47</v>
      </c>
      <c r="J251" s="11">
        <f>IFERROR(__xludf.DUMMYFUNCTION("IFERROR(FILTER(Stats!$F:$Z,(Stats!$A:$A=$A251)*(Stats!$B:$B=$B251)))"),18.0)</f>
        <v>18</v>
      </c>
      <c r="K251" s="11">
        <f>IFERROR(__xludf.DUMMYFUNCTION("""COMPUTED_VALUE"""),29.0)</f>
        <v>29</v>
      </c>
      <c r="L251" s="12">
        <f>IFERROR(__xludf.DUMMYFUNCTION("""COMPUTED_VALUE"""),0.3829787234042553)</f>
        <v>0.3829787234</v>
      </c>
      <c r="M251" s="11">
        <f>IFERROR(__xludf.DUMMYFUNCTION("""COMPUTED_VALUE"""),8.0)</f>
        <v>8</v>
      </c>
      <c r="N251" s="11">
        <f>IFERROR(__xludf.DUMMYFUNCTION("""COMPUTED_VALUE"""),17622.0)</f>
        <v>17622</v>
      </c>
      <c r="O251" s="13">
        <f>IFERROR(__xludf.DUMMYFUNCTION("""COMPUTED_VALUE"""),43.0)</f>
        <v>43</v>
      </c>
      <c r="P251" s="14">
        <f>IFERROR(__xludf.DUMMYFUNCTION("""COMPUTED_VALUE"""),27.0)</f>
        <v>27</v>
      </c>
      <c r="Q251" s="13">
        <f>IFERROR(__xludf.DUMMYFUNCTION("""COMPUTED_VALUE"""),70.0)</f>
        <v>70</v>
      </c>
      <c r="R251" s="13">
        <f>IFERROR(__xludf.DUMMYFUNCTION("""COMPUTED_VALUE"""),133.0)</f>
        <v>133</v>
      </c>
      <c r="S251" s="15">
        <f>IFERROR(__xludf.DUMMYFUNCTION("""COMPUTED_VALUE"""),0.3233082706766917)</f>
        <v>0.3233082707</v>
      </c>
      <c r="T251" s="16">
        <f>IFERROR(__xludf.DUMMYFUNCTION("""COMPUTED_VALUE"""),374.93617021276594)</f>
        <v>374.9361702</v>
      </c>
      <c r="U251" s="16">
        <f>IFERROR(__xludf.DUMMYFUNCTION("""COMPUTED_VALUE"""),0.9148936170212766)</f>
        <v>0.914893617</v>
      </c>
      <c r="V251" s="16">
        <f>IFERROR(__xludf.DUMMYFUNCTION("""COMPUTED_VALUE"""),0.574468085106383)</f>
        <v>0.5744680851</v>
      </c>
      <c r="W251" s="16">
        <f>IFERROR(__xludf.DUMMYFUNCTION("""COMPUTED_VALUE"""),1.4893617021276595)</f>
        <v>1.489361702</v>
      </c>
      <c r="X251" s="16">
        <f>IFERROR(__xludf.DUMMYFUNCTION("""COMPUTED_VALUE"""),2.8297872340425534)</f>
        <v>2.829787234</v>
      </c>
      <c r="Y251" s="11">
        <f>IFERROR(__xludf.DUMMYFUNCTION("""COMPUTED_VALUE"""),13.0)</f>
        <v>13</v>
      </c>
      <c r="Z251" s="11">
        <f>IFERROR(__xludf.DUMMYFUNCTION("""COMPUTED_VALUE"""),3.0)</f>
        <v>3</v>
      </c>
      <c r="AA251" s="11">
        <f>IFERROR(__xludf.DUMMYFUNCTION("""COMPUTED_VALUE"""),0.0)</f>
        <v>0</v>
      </c>
      <c r="AB251" s="11">
        <f>IFERROR(__xludf.DUMMYFUNCTION("""COMPUTED_VALUE"""),9.0)</f>
        <v>9</v>
      </c>
      <c r="AC251" s="11">
        <f>IFERROR(__xludf.DUMMYFUNCTION("""COMPUTED_VALUE"""),50.0)</f>
        <v>50</v>
      </c>
      <c r="AD251" s="11">
        <f>IFERROR(__xludf.DUMMYFUNCTION("""COMPUTED_VALUE"""),46.0)</f>
        <v>46</v>
      </c>
    </row>
    <row r="252">
      <c r="A252" s="10" t="str">
        <f>IFERROR(__xludf.DUMMYFUNCTION("""COMPUTED_VALUE"""),"Elite")</f>
        <v>Elite</v>
      </c>
      <c r="B252" s="10" t="str">
        <f>IFERROR(__xludf.DUMMYFUNCTION("""COMPUTED_VALUE"""),"RSC003082")</f>
        <v>RSC003082</v>
      </c>
      <c r="C252" s="10" t="str">
        <f>IFERROR(__xludf.DUMMYFUNCTION("""COMPUTED_VALUE"""),"Skulzy9")</f>
        <v>Skulzy9</v>
      </c>
      <c r="D252" s="36" t="str">
        <f>IFERROR(__xludf.DUMMYFUNCTION("""COMPUTED_VALUE"""),"Demons")</f>
        <v>Demons</v>
      </c>
      <c r="E252" s="10" t="str">
        <f>IFERROR(__xludf.DUMMYFUNCTION("""COMPUTED_VALUE"""),"Lunar")</f>
        <v>Lunar</v>
      </c>
      <c r="F252" s="37">
        <f>IFERROR(__xludf.DUMMYFUNCTION("""COMPUTED_VALUE"""),65.19852860950553)</f>
        <v>65.19852861</v>
      </c>
      <c r="G252" s="38">
        <f>IFERROR(__xludf.DUMMYFUNCTION("""COMPUTED_VALUE"""),53.05634195449318)</f>
        <v>53.05634195</v>
      </c>
      <c r="H252" s="38">
        <f>IFERROR(__xludf.DUMMYFUNCTION("""COMPUTED_VALUE"""),59.127435281999354)</f>
        <v>59.12743528</v>
      </c>
      <c r="I252" s="14">
        <f>IFERROR(__xludf.DUMMYFUNCTION("""COMPUTED_VALUE"""),39.0)</f>
        <v>39</v>
      </c>
      <c r="J252" s="11">
        <f>IFERROR(__xludf.DUMMYFUNCTION("IFERROR(FILTER(Stats!$F:$Z,(Stats!$A:$A=$A252)*(Stats!$B:$B=$B252)))"),19.0)</f>
        <v>19</v>
      </c>
      <c r="K252" s="11">
        <f>IFERROR(__xludf.DUMMYFUNCTION("""COMPUTED_VALUE"""),20.0)</f>
        <v>20</v>
      </c>
      <c r="L252" s="12">
        <f>IFERROR(__xludf.DUMMYFUNCTION("""COMPUTED_VALUE"""),0.48717948717948717)</f>
        <v>0.4871794872</v>
      </c>
      <c r="M252" s="11">
        <f>IFERROR(__xludf.DUMMYFUNCTION("""COMPUTED_VALUE"""),10.0)</f>
        <v>10</v>
      </c>
      <c r="N252" s="11">
        <f>IFERROR(__xludf.DUMMYFUNCTION("""COMPUTED_VALUE"""),15364.0)</f>
        <v>15364</v>
      </c>
      <c r="O252" s="13">
        <f>IFERROR(__xludf.DUMMYFUNCTION("""COMPUTED_VALUE"""),33.0)</f>
        <v>33</v>
      </c>
      <c r="P252" s="14">
        <f>IFERROR(__xludf.DUMMYFUNCTION("""COMPUTED_VALUE"""),24.0)</f>
        <v>24</v>
      </c>
      <c r="Q252" s="13">
        <f>IFERROR(__xludf.DUMMYFUNCTION("""COMPUTED_VALUE"""),61.0)</f>
        <v>61</v>
      </c>
      <c r="R252" s="13">
        <f>IFERROR(__xludf.DUMMYFUNCTION("""COMPUTED_VALUE"""),96.0)</f>
        <v>96</v>
      </c>
      <c r="S252" s="15">
        <f>IFERROR(__xludf.DUMMYFUNCTION("""COMPUTED_VALUE"""),0.34375)</f>
        <v>0.34375</v>
      </c>
      <c r="T252" s="16">
        <f>IFERROR(__xludf.DUMMYFUNCTION("""COMPUTED_VALUE"""),393.94871794871796)</f>
        <v>393.9487179</v>
      </c>
      <c r="U252" s="16">
        <f>IFERROR(__xludf.DUMMYFUNCTION("""COMPUTED_VALUE"""),0.8461538461538461)</f>
        <v>0.8461538462</v>
      </c>
      <c r="V252" s="16">
        <f>IFERROR(__xludf.DUMMYFUNCTION("""COMPUTED_VALUE"""),0.6153846153846154)</f>
        <v>0.6153846154</v>
      </c>
      <c r="W252" s="16">
        <f>IFERROR(__xludf.DUMMYFUNCTION("""COMPUTED_VALUE"""),1.564102564102564)</f>
        <v>1.564102564</v>
      </c>
      <c r="X252" s="16">
        <f>IFERROR(__xludf.DUMMYFUNCTION("""COMPUTED_VALUE"""),2.4615384615384617)</f>
        <v>2.461538462</v>
      </c>
      <c r="Y252" s="11">
        <f>IFERROR(__xludf.DUMMYFUNCTION("""COMPUTED_VALUE"""),5.0)</f>
        <v>5</v>
      </c>
      <c r="Z252" s="11">
        <f>IFERROR(__xludf.DUMMYFUNCTION("""COMPUTED_VALUE"""),3.0)</f>
        <v>3</v>
      </c>
      <c r="AA252" s="11">
        <f>IFERROR(__xludf.DUMMYFUNCTION("""COMPUTED_VALUE"""),1.0)</f>
        <v>1</v>
      </c>
      <c r="AB252" s="11">
        <f>IFERROR(__xludf.DUMMYFUNCTION("""COMPUTED_VALUE"""),8.0)</f>
        <v>8</v>
      </c>
      <c r="AC252" s="11">
        <f>IFERROR(__xludf.DUMMYFUNCTION("""COMPUTED_VALUE"""),46.0)</f>
        <v>46</v>
      </c>
      <c r="AD252" s="11">
        <f>IFERROR(__xludf.DUMMYFUNCTION("""COMPUTED_VALUE"""),43.0)</f>
        <v>43</v>
      </c>
    </row>
    <row r="253">
      <c r="A253" s="10" t="str">
        <f>IFERROR(__xludf.DUMMYFUNCTION("""COMPUTED_VALUE"""),"Elite")</f>
        <v>Elite</v>
      </c>
      <c r="B253" s="10" t="str">
        <f>IFERROR(__xludf.DUMMYFUNCTION("""COMPUTED_VALUE"""),"RSC000666")</f>
        <v>RSC000666</v>
      </c>
      <c r="C253" s="10" t="str">
        <f>IFERROR(__xludf.DUMMYFUNCTION("""COMPUTED_VALUE"""),"AEB311")</f>
        <v>AEB311</v>
      </c>
      <c r="D253" s="36" t="str">
        <f>IFERROR(__xludf.DUMMYFUNCTION("""COMPUTED_VALUE"""),"Despair")</f>
        <v>Despair</v>
      </c>
      <c r="E253" s="10" t="str">
        <f>IFERROR(__xludf.DUMMYFUNCTION("""COMPUTED_VALUE"""),"Lunar")</f>
        <v>Lunar</v>
      </c>
      <c r="F253" s="37">
        <f>IFERROR(__xludf.DUMMYFUNCTION("""COMPUTED_VALUE"""),55.1554666608268)</f>
        <v>55.15546666</v>
      </c>
      <c r="G253" s="38">
        <f>IFERROR(__xludf.DUMMYFUNCTION("""COMPUTED_VALUE"""),61.74730807080689)</f>
        <v>61.74730807</v>
      </c>
      <c r="H253" s="38">
        <f>IFERROR(__xludf.DUMMYFUNCTION("""COMPUTED_VALUE"""),58.45138736581684)</f>
        <v>58.45138737</v>
      </c>
      <c r="I253" s="14">
        <f>IFERROR(__xludf.DUMMYFUNCTION("""COMPUTED_VALUE"""),52.0)</f>
        <v>52</v>
      </c>
      <c r="J253" s="11">
        <f>IFERROR(__xludf.DUMMYFUNCTION("IFERROR(FILTER(Stats!$F:$Z,(Stats!$A:$A=$A253)*(Stats!$B:$B=$B253)))"),32.0)</f>
        <v>32</v>
      </c>
      <c r="K253" s="11">
        <f>IFERROR(__xludf.DUMMYFUNCTION("""COMPUTED_VALUE"""),20.0)</f>
        <v>20</v>
      </c>
      <c r="L253" s="12">
        <f>IFERROR(__xludf.DUMMYFUNCTION("""COMPUTED_VALUE"""),0.6153846153846154)</f>
        <v>0.6153846154</v>
      </c>
      <c r="M253" s="11">
        <f>IFERROR(__xludf.DUMMYFUNCTION("""COMPUTED_VALUE"""),5.0)</f>
        <v>5</v>
      </c>
      <c r="N253" s="11">
        <f>IFERROR(__xludf.DUMMYFUNCTION("""COMPUTED_VALUE"""),17909.0)</f>
        <v>17909</v>
      </c>
      <c r="O253" s="13">
        <f>IFERROR(__xludf.DUMMYFUNCTION("""COMPUTED_VALUE"""),42.0)</f>
        <v>42</v>
      </c>
      <c r="P253" s="14">
        <f>IFERROR(__xludf.DUMMYFUNCTION("""COMPUTED_VALUE"""),39.0)</f>
        <v>39</v>
      </c>
      <c r="Q253" s="13">
        <f>IFERROR(__xludf.DUMMYFUNCTION("""COMPUTED_VALUE"""),54.0)</f>
        <v>54</v>
      </c>
      <c r="R253" s="13">
        <f>IFERROR(__xludf.DUMMYFUNCTION("""COMPUTED_VALUE"""),146.0)</f>
        <v>146</v>
      </c>
      <c r="S253" s="15">
        <f>IFERROR(__xludf.DUMMYFUNCTION("""COMPUTED_VALUE"""),0.2876712328767123)</f>
        <v>0.2876712329</v>
      </c>
      <c r="T253" s="16">
        <f>IFERROR(__xludf.DUMMYFUNCTION("""COMPUTED_VALUE"""),344.40384615384613)</f>
        <v>344.4038462</v>
      </c>
      <c r="U253" s="16">
        <f>IFERROR(__xludf.DUMMYFUNCTION("""COMPUTED_VALUE"""),0.8076923076923077)</f>
        <v>0.8076923077</v>
      </c>
      <c r="V253" s="16">
        <f>IFERROR(__xludf.DUMMYFUNCTION("""COMPUTED_VALUE"""),0.75)</f>
        <v>0.75</v>
      </c>
      <c r="W253" s="16">
        <f>IFERROR(__xludf.DUMMYFUNCTION("""COMPUTED_VALUE"""),1.0384615384615385)</f>
        <v>1.038461538</v>
      </c>
      <c r="X253" s="16">
        <f>IFERROR(__xludf.DUMMYFUNCTION("""COMPUTED_VALUE"""),2.8076923076923075)</f>
        <v>2.807692308</v>
      </c>
      <c r="Y253" s="11">
        <f>IFERROR(__xludf.DUMMYFUNCTION("""COMPUTED_VALUE"""),15.0)</f>
        <v>15</v>
      </c>
      <c r="Z253" s="11">
        <f>IFERROR(__xludf.DUMMYFUNCTION("""COMPUTED_VALUE"""),3.0)</f>
        <v>3</v>
      </c>
      <c r="AA253" s="11">
        <f>IFERROR(__xludf.DUMMYFUNCTION("""COMPUTED_VALUE"""),0.0)</f>
        <v>0</v>
      </c>
      <c r="AB253" s="11">
        <f>IFERROR(__xludf.DUMMYFUNCTION("""COMPUTED_VALUE"""),6.0)</f>
        <v>6</v>
      </c>
      <c r="AC253" s="11">
        <f>IFERROR(__xludf.DUMMYFUNCTION("""COMPUTED_VALUE"""),21.0)</f>
        <v>21</v>
      </c>
      <c r="AD253" s="11">
        <f>IFERROR(__xludf.DUMMYFUNCTION("""COMPUTED_VALUE"""),63.0)</f>
        <v>63</v>
      </c>
    </row>
    <row r="254">
      <c r="A254" s="10" t="str">
        <f>IFERROR(__xludf.DUMMYFUNCTION("""COMPUTED_VALUE"""),"Elite")</f>
        <v>Elite</v>
      </c>
      <c r="B254" s="10" t="str">
        <f>IFERROR(__xludf.DUMMYFUNCTION("""COMPUTED_VALUE"""),"RSC007383")</f>
        <v>RSC007383</v>
      </c>
      <c r="C254" s="10" t="str">
        <f>IFERROR(__xludf.DUMMYFUNCTION("""COMPUTED_VALUE"""),"ttv. blestbb")</f>
        <v>ttv. blestbb</v>
      </c>
      <c r="D254" s="36" t="str">
        <f>IFERROR(__xludf.DUMMYFUNCTION("""COMPUTED_VALUE"""),"Black-Holes
Orochi
Ghastly Goombahs")</f>
        <v>Black-Holes
Orochi
Ghastly Goombahs</v>
      </c>
      <c r="E254" s="10" t="str">
        <f>IFERROR(__xludf.DUMMYFUNCTION("""COMPUTED_VALUE"""),"Lunar
Solar
Lunar")</f>
        <v>Lunar
Solar
Lunar</v>
      </c>
      <c r="F254" s="37">
        <f>IFERROR(__xludf.DUMMYFUNCTION("""COMPUTED_VALUE"""),57.65893772260739)</f>
        <v>57.65893772</v>
      </c>
      <c r="G254" s="38">
        <f>IFERROR(__xludf.DUMMYFUNCTION("""COMPUTED_VALUE"""),59.2045265297387)</f>
        <v>59.20452653</v>
      </c>
      <c r="H254" s="38">
        <f>IFERROR(__xludf.DUMMYFUNCTION("""COMPUTED_VALUE"""),58.431732126173046)</f>
        <v>58.43173213</v>
      </c>
      <c r="I254" s="14">
        <f>IFERROR(__xludf.DUMMYFUNCTION("""COMPUTED_VALUE"""),23.0)</f>
        <v>23</v>
      </c>
      <c r="J254" s="11">
        <f>IFERROR(__xludf.DUMMYFUNCTION("IFERROR(FILTER(Stats!$F:$Z,(Stats!$A:$A=$A254)*(Stats!$B:$B=$B254)))"),12.0)</f>
        <v>12</v>
      </c>
      <c r="K254" s="11">
        <f>IFERROR(__xludf.DUMMYFUNCTION("""COMPUTED_VALUE"""),11.0)</f>
        <v>11</v>
      </c>
      <c r="L254" s="12">
        <f>IFERROR(__xludf.DUMMYFUNCTION("""COMPUTED_VALUE"""),0.5217391304347826)</f>
        <v>0.5217391304</v>
      </c>
      <c r="M254" s="11">
        <f>IFERROR(__xludf.DUMMYFUNCTION("""COMPUTED_VALUE"""),2.0)</f>
        <v>2</v>
      </c>
      <c r="N254" s="11">
        <f>IFERROR(__xludf.DUMMYFUNCTION("""COMPUTED_VALUE"""),8095.0)</f>
        <v>8095</v>
      </c>
      <c r="O254" s="13">
        <f>IFERROR(__xludf.DUMMYFUNCTION("""COMPUTED_VALUE"""),19.0)</f>
        <v>19</v>
      </c>
      <c r="P254" s="14">
        <f>IFERROR(__xludf.DUMMYFUNCTION("""COMPUTED_VALUE"""),10.0)</f>
        <v>10</v>
      </c>
      <c r="Q254" s="13">
        <f>IFERROR(__xludf.DUMMYFUNCTION("""COMPUTED_VALUE"""),25.0)</f>
        <v>25</v>
      </c>
      <c r="R254" s="13">
        <f>IFERROR(__xludf.DUMMYFUNCTION("""COMPUTED_VALUE"""),71.0)</f>
        <v>71</v>
      </c>
      <c r="S254" s="15">
        <f>IFERROR(__xludf.DUMMYFUNCTION("""COMPUTED_VALUE"""),0.2676056338028169)</f>
        <v>0.2676056338</v>
      </c>
      <c r="T254" s="16">
        <f>IFERROR(__xludf.DUMMYFUNCTION("""COMPUTED_VALUE"""),351.95652173913044)</f>
        <v>351.9565217</v>
      </c>
      <c r="U254" s="16">
        <f>IFERROR(__xludf.DUMMYFUNCTION("""COMPUTED_VALUE"""),0.8260869565217391)</f>
        <v>0.8260869565</v>
      </c>
      <c r="V254" s="16">
        <f>IFERROR(__xludf.DUMMYFUNCTION("""COMPUTED_VALUE"""),0.43478260869565216)</f>
        <v>0.4347826087</v>
      </c>
      <c r="W254" s="16">
        <f>IFERROR(__xludf.DUMMYFUNCTION("""COMPUTED_VALUE"""),1.0869565217391304)</f>
        <v>1.086956522</v>
      </c>
      <c r="X254" s="16">
        <f>IFERROR(__xludf.DUMMYFUNCTION("""COMPUTED_VALUE"""),3.0869565217391304)</f>
        <v>3.086956522</v>
      </c>
      <c r="Y254" s="11">
        <f>IFERROR(__xludf.DUMMYFUNCTION("""COMPUTED_VALUE"""),4.0)</f>
        <v>4</v>
      </c>
      <c r="Z254" s="11">
        <f>IFERROR(__xludf.DUMMYFUNCTION("""COMPUTED_VALUE"""),3.0)</f>
        <v>3</v>
      </c>
      <c r="AA254" s="11">
        <f>IFERROR(__xludf.DUMMYFUNCTION("""COMPUTED_VALUE"""),0.0)</f>
        <v>0</v>
      </c>
      <c r="AB254" s="11">
        <f>IFERROR(__xludf.DUMMYFUNCTION("""COMPUTED_VALUE"""),1.0)</f>
        <v>1</v>
      </c>
      <c r="AC254" s="11">
        <f>IFERROR(__xludf.DUMMYFUNCTION("""COMPUTED_VALUE"""),9.0)</f>
        <v>9</v>
      </c>
      <c r="AD254" s="11">
        <f>IFERROR(__xludf.DUMMYFUNCTION("""COMPUTED_VALUE"""),29.0)</f>
        <v>29</v>
      </c>
    </row>
    <row r="255">
      <c r="A255" s="10" t="str">
        <f>IFERROR(__xludf.DUMMYFUNCTION("""COMPUTED_VALUE"""),"Elite")</f>
        <v>Elite</v>
      </c>
      <c r="B255" s="10" t="str">
        <f>IFERROR(__xludf.DUMMYFUNCTION("""COMPUTED_VALUE"""),"RSC001889")</f>
        <v>RSC001889</v>
      </c>
      <c r="C255" s="10" t="str">
        <f>IFERROR(__xludf.DUMMYFUNCTION("""COMPUTED_VALUE"""),"Phelpsy")</f>
        <v>Phelpsy</v>
      </c>
      <c r="D255" s="36" t="str">
        <f>IFERROR(__xludf.DUMMYFUNCTION("""COMPUTED_VALUE"""),"Teddy Bears")</f>
        <v>Teddy Bears</v>
      </c>
      <c r="E255" s="10" t="str">
        <f>IFERROR(__xludf.DUMMYFUNCTION("""COMPUTED_VALUE"""),"Solar")</f>
        <v>Solar</v>
      </c>
      <c r="F255" s="37">
        <f>IFERROR(__xludf.DUMMYFUNCTION("""COMPUTED_VALUE"""),57.990160471035885)</f>
        <v>57.99016047</v>
      </c>
      <c r="G255" s="38">
        <f>IFERROR(__xludf.DUMMYFUNCTION("""COMPUTED_VALUE"""),56.83798783382235)</f>
        <v>56.83798783</v>
      </c>
      <c r="H255" s="38">
        <f>IFERROR(__xludf.DUMMYFUNCTION("""COMPUTED_VALUE"""),57.41407415242912)</f>
        <v>57.41407415</v>
      </c>
      <c r="I255" s="14">
        <f>IFERROR(__xludf.DUMMYFUNCTION("""COMPUTED_VALUE"""),54.0)</f>
        <v>54</v>
      </c>
      <c r="J255" s="11">
        <f>IFERROR(__xludf.DUMMYFUNCTION("IFERROR(FILTER(Stats!$F:$Z,(Stats!$A:$A=$A255)*(Stats!$B:$B=$B255)))"),27.0)</f>
        <v>27</v>
      </c>
      <c r="K255" s="11">
        <f>IFERROR(__xludf.DUMMYFUNCTION("""COMPUTED_VALUE"""),27.0)</f>
        <v>27</v>
      </c>
      <c r="L255" s="12">
        <f>IFERROR(__xludf.DUMMYFUNCTION("""COMPUTED_VALUE"""),0.5)</f>
        <v>0.5</v>
      </c>
      <c r="M255" s="11">
        <f>IFERROR(__xludf.DUMMYFUNCTION("""COMPUTED_VALUE"""),9.0)</f>
        <v>9</v>
      </c>
      <c r="N255" s="11">
        <f>IFERROR(__xludf.DUMMYFUNCTION("""COMPUTED_VALUE"""),18729.0)</f>
        <v>18729</v>
      </c>
      <c r="O255" s="13">
        <f>IFERROR(__xludf.DUMMYFUNCTION("""COMPUTED_VALUE"""),45.0)</f>
        <v>45</v>
      </c>
      <c r="P255" s="14">
        <f>IFERROR(__xludf.DUMMYFUNCTION("""COMPUTED_VALUE"""),30.0)</f>
        <v>30</v>
      </c>
      <c r="Q255" s="13">
        <f>IFERROR(__xludf.DUMMYFUNCTION("""COMPUTED_VALUE"""),77.0)</f>
        <v>77</v>
      </c>
      <c r="R255" s="13">
        <f>IFERROR(__xludf.DUMMYFUNCTION("""COMPUTED_VALUE"""),153.0)</f>
        <v>153</v>
      </c>
      <c r="S255" s="15">
        <f>IFERROR(__xludf.DUMMYFUNCTION("""COMPUTED_VALUE"""),0.29411764705882354)</f>
        <v>0.2941176471</v>
      </c>
      <c r="T255" s="16">
        <f>IFERROR(__xludf.DUMMYFUNCTION("""COMPUTED_VALUE"""),346.8333333333333)</f>
        <v>346.8333333</v>
      </c>
      <c r="U255" s="16">
        <f>IFERROR(__xludf.DUMMYFUNCTION("""COMPUTED_VALUE"""),0.8333333333333334)</f>
        <v>0.8333333333</v>
      </c>
      <c r="V255" s="16">
        <f>IFERROR(__xludf.DUMMYFUNCTION("""COMPUTED_VALUE"""),0.5555555555555556)</f>
        <v>0.5555555556</v>
      </c>
      <c r="W255" s="16">
        <f>IFERROR(__xludf.DUMMYFUNCTION("""COMPUTED_VALUE"""),1.4259259259259258)</f>
        <v>1.425925926</v>
      </c>
      <c r="X255" s="16">
        <f>IFERROR(__xludf.DUMMYFUNCTION("""COMPUTED_VALUE"""),2.8333333333333335)</f>
        <v>2.833333333</v>
      </c>
      <c r="Y255" s="11">
        <f>IFERROR(__xludf.DUMMYFUNCTION("""COMPUTED_VALUE"""),8.0)</f>
        <v>8</v>
      </c>
      <c r="Z255" s="11">
        <f>IFERROR(__xludf.DUMMYFUNCTION("""COMPUTED_VALUE"""),5.0)</f>
        <v>5</v>
      </c>
      <c r="AA255" s="11">
        <f>IFERROR(__xludf.DUMMYFUNCTION("""COMPUTED_VALUE"""),1.0)</f>
        <v>1</v>
      </c>
      <c r="AB255" s="11">
        <f>IFERROR(__xludf.DUMMYFUNCTION("""COMPUTED_VALUE"""),7.0)</f>
        <v>7</v>
      </c>
      <c r="AC255" s="11">
        <f>IFERROR(__xludf.DUMMYFUNCTION("""COMPUTED_VALUE"""),66.0)</f>
        <v>66</v>
      </c>
      <c r="AD255" s="11">
        <f>IFERROR(__xludf.DUMMYFUNCTION("""COMPUTED_VALUE"""),61.0)</f>
        <v>61</v>
      </c>
    </row>
    <row r="256">
      <c r="A256" s="10" t="str">
        <f>IFERROR(__xludf.DUMMYFUNCTION("""COMPUTED_VALUE"""),"Elite")</f>
        <v>Elite</v>
      </c>
      <c r="B256" s="10" t="str">
        <f>IFERROR(__xludf.DUMMYFUNCTION("""COMPUTED_VALUE"""),"RSC008490")</f>
        <v>RSC008490</v>
      </c>
      <c r="C256" s="10" t="str">
        <f>IFERROR(__xludf.DUMMYFUNCTION("""COMPUTED_VALUE"""),"FrostBeard")</f>
        <v>FrostBeard</v>
      </c>
      <c r="D256" s="36" t="str">
        <f>IFERROR(__xludf.DUMMYFUNCTION("""COMPUTED_VALUE"""),"Desolation")</f>
        <v>Desolation</v>
      </c>
      <c r="E256" s="10" t="str">
        <f>IFERROR(__xludf.DUMMYFUNCTION("""COMPUTED_VALUE"""),"Solar")</f>
        <v>Solar</v>
      </c>
      <c r="F256" s="37">
        <f>IFERROR(__xludf.DUMMYFUNCTION("""COMPUTED_VALUE"""),53.800706990319554)</f>
        <v>53.80070699</v>
      </c>
      <c r="G256" s="38">
        <f>IFERROR(__xludf.DUMMYFUNCTION("""COMPUTED_VALUE"""),60.857309161539916)</f>
        <v>60.85730916</v>
      </c>
      <c r="H256" s="38">
        <f>IFERROR(__xludf.DUMMYFUNCTION("""COMPUTED_VALUE"""),57.329008075929735)</f>
        <v>57.32900808</v>
      </c>
      <c r="I256" s="14">
        <f>IFERROR(__xludf.DUMMYFUNCTION("""COMPUTED_VALUE"""),45.0)</f>
        <v>45</v>
      </c>
      <c r="J256" s="11">
        <f>IFERROR(__xludf.DUMMYFUNCTION("IFERROR(FILTER(Stats!$F:$Z,(Stats!$A:$A=$A256)*(Stats!$B:$B=$B256)))"),23.0)</f>
        <v>23</v>
      </c>
      <c r="K256" s="11">
        <f>IFERROR(__xludf.DUMMYFUNCTION("""COMPUTED_VALUE"""),22.0)</f>
        <v>22</v>
      </c>
      <c r="L256" s="12">
        <f>IFERROR(__xludf.DUMMYFUNCTION("""COMPUTED_VALUE"""),0.5111111111111111)</f>
        <v>0.5111111111</v>
      </c>
      <c r="M256" s="11">
        <f>IFERROR(__xludf.DUMMYFUNCTION("""COMPUTED_VALUE"""),10.0)</f>
        <v>10</v>
      </c>
      <c r="N256" s="11">
        <f>IFERROR(__xludf.DUMMYFUNCTION("""COMPUTED_VALUE"""),14687.0)</f>
        <v>14687</v>
      </c>
      <c r="O256" s="13">
        <f>IFERROR(__xludf.DUMMYFUNCTION("""COMPUTED_VALUE"""),42.0)</f>
        <v>42</v>
      </c>
      <c r="P256" s="14">
        <f>IFERROR(__xludf.DUMMYFUNCTION("""COMPUTED_VALUE"""),26.0)</f>
        <v>26</v>
      </c>
      <c r="Q256" s="13">
        <f>IFERROR(__xludf.DUMMYFUNCTION("""COMPUTED_VALUE"""),34.0)</f>
        <v>34</v>
      </c>
      <c r="R256" s="13">
        <f>IFERROR(__xludf.DUMMYFUNCTION("""COMPUTED_VALUE"""),139.0)</f>
        <v>139</v>
      </c>
      <c r="S256" s="15">
        <f>IFERROR(__xludf.DUMMYFUNCTION("""COMPUTED_VALUE"""),0.302158273381295)</f>
        <v>0.3021582734</v>
      </c>
      <c r="T256" s="16">
        <f>IFERROR(__xludf.DUMMYFUNCTION("""COMPUTED_VALUE"""),326.3777777777778)</f>
        <v>326.3777778</v>
      </c>
      <c r="U256" s="16">
        <f>IFERROR(__xludf.DUMMYFUNCTION("""COMPUTED_VALUE"""),0.9333333333333333)</f>
        <v>0.9333333333</v>
      </c>
      <c r="V256" s="16">
        <f>IFERROR(__xludf.DUMMYFUNCTION("""COMPUTED_VALUE"""),0.5777777777777777)</f>
        <v>0.5777777778</v>
      </c>
      <c r="W256" s="16">
        <f>IFERROR(__xludf.DUMMYFUNCTION("""COMPUTED_VALUE"""),0.7555555555555555)</f>
        <v>0.7555555556</v>
      </c>
      <c r="X256" s="16">
        <f>IFERROR(__xludf.DUMMYFUNCTION("""COMPUTED_VALUE"""),3.088888888888889)</f>
        <v>3.088888889</v>
      </c>
      <c r="Y256" s="11">
        <f>IFERROR(__xludf.DUMMYFUNCTION("""COMPUTED_VALUE"""),9.0)</f>
        <v>9</v>
      </c>
      <c r="Z256" s="11">
        <f>IFERROR(__xludf.DUMMYFUNCTION("""COMPUTED_VALUE"""),2.0)</f>
        <v>2</v>
      </c>
      <c r="AA256" s="11">
        <f>IFERROR(__xludf.DUMMYFUNCTION("""COMPUTED_VALUE"""),0.0)</f>
        <v>0</v>
      </c>
      <c r="AB256" s="11">
        <f>IFERROR(__xludf.DUMMYFUNCTION("""COMPUTED_VALUE"""),2.0)</f>
        <v>2</v>
      </c>
      <c r="AC256" s="11">
        <f>IFERROR(__xludf.DUMMYFUNCTION("""COMPUTED_VALUE"""),67.0)</f>
        <v>67</v>
      </c>
      <c r="AD256" s="11">
        <f>IFERROR(__xludf.DUMMYFUNCTION("""COMPUTED_VALUE"""),56.0)</f>
        <v>56</v>
      </c>
    </row>
    <row r="257">
      <c r="A257" s="10" t="str">
        <f>IFERROR(__xludf.DUMMYFUNCTION("""COMPUTED_VALUE"""),"Elite")</f>
        <v>Elite</v>
      </c>
      <c r="B257" s="10" t="str">
        <f>IFERROR(__xludf.DUMMYFUNCTION("""COMPUTED_VALUE"""),"RSC007386")</f>
        <v>RSC007386</v>
      </c>
      <c r="C257" s="10" t="str">
        <f>IFERROR(__xludf.DUMMYFUNCTION("""COMPUTED_VALUE"""),"oddtrip")</f>
        <v>oddtrip</v>
      </c>
      <c r="D257" s="36" t="str">
        <f>IFERROR(__xludf.DUMMYFUNCTION("""COMPUTED_VALUE"""),"Despair")</f>
        <v>Despair</v>
      </c>
      <c r="E257" s="10" t="str">
        <f>IFERROR(__xludf.DUMMYFUNCTION("""COMPUTED_VALUE"""),"Lunar")</f>
        <v>Lunar</v>
      </c>
      <c r="F257" s="37">
        <f>IFERROR(__xludf.DUMMYFUNCTION("""COMPUTED_VALUE"""),53.48311231094986)</f>
        <v>53.48311231</v>
      </c>
      <c r="G257" s="38">
        <f>IFERROR(__xludf.DUMMYFUNCTION("""COMPUTED_VALUE"""),60.90370141934021)</f>
        <v>60.90370142</v>
      </c>
      <c r="H257" s="38">
        <f>IFERROR(__xludf.DUMMYFUNCTION("""COMPUTED_VALUE"""),57.193406865145036)</f>
        <v>57.19340687</v>
      </c>
      <c r="I257" s="14">
        <f>IFERROR(__xludf.DUMMYFUNCTION("""COMPUTED_VALUE"""),31.0)</f>
        <v>31</v>
      </c>
      <c r="J257" s="11">
        <f>IFERROR(__xludf.DUMMYFUNCTION("IFERROR(FILTER(Stats!$F:$Z,(Stats!$A:$A=$A257)*(Stats!$B:$B=$B257)))"),18.0)</f>
        <v>18</v>
      </c>
      <c r="K257" s="11">
        <f>IFERROR(__xludf.DUMMYFUNCTION("""COMPUTED_VALUE"""),13.0)</f>
        <v>13</v>
      </c>
      <c r="L257" s="12">
        <f>IFERROR(__xludf.DUMMYFUNCTION("""COMPUTED_VALUE"""),0.5806451612903226)</f>
        <v>0.5806451613</v>
      </c>
      <c r="M257" s="11">
        <f>IFERROR(__xludf.DUMMYFUNCTION("""COMPUTED_VALUE"""),6.0)</f>
        <v>6</v>
      </c>
      <c r="N257" s="11">
        <f>IFERROR(__xludf.DUMMYFUNCTION("""COMPUTED_VALUE"""),10554.0)</f>
        <v>10554</v>
      </c>
      <c r="O257" s="13">
        <f>IFERROR(__xludf.DUMMYFUNCTION("""COMPUTED_VALUE"""),24.0)</f>
        <v>24</v>
      </c>
      <c r="P257" s="14">
        <f>IFERROR(__xludf.DUMMYFUNCTION("""COMPUTED_VALUE"""),24.0)</f>
        <v>24</v>
      </c>
      <c r="Q257" s="13">
        <f>IFERROR(__xludf.DUMMYFUNCTION("""COMPUTED_VALUE"""),33.0)</f>
        <v>33</v>
      </c>
      <c r="R257" s="13">
        <f>IFERROR(__xludf.DUMMYFUNCTION("""COMPUTED_VALUE"""),87.0)</f>
        <v>87</v>
      </c>
      <c r="S257" s="15">
        <f>IFERROR(__xludf.DUMMYFUNCTION("""COMPUTED_VALUE"""),0.27586206896551724)</f>
        <v>0.275862069</v>
      </c>
      <c r="T257" s="16">
        <f>IFERROR(__xludf.DUMMYFUNCTION("""COMPUTED_VALUE"""),340.4516129032258)</f>
        <v>340.4516129</v>
      </c>
      <c r="U257" s="16">
        <f>IFERROR(__xludf.DUMMYFUNCTION("""COMPUTED_VALUE"""),0.7741935483870968)</f>
        <v>0.7741935484</v>
      </c>
      <c r="V257" s="16">
        <f>IFERROR(__xludf.DUMMYFUNCTION("""COMPUTED_VALUE"""),0.7741935483870968)</f>
        <v>0.7741935484</v>
      </c>
      <c r="W257" s="16">
        <f>IFERROR(__xludf.DUMMYFUNCTION("""COMPUTED_VALUE"""),1.064516129032258)</f>
        <v>1.064516129</v>
      </c>
      <c r="X257" s="16">
        <f>IFERROR(__xludf.DUMMYFUNCTION("""COMPUTED_VALUE"""),2.806451612903226)</f>
        <v>2.806451613</v>
      </c>
      <c r="Y257" s="11">
        <f>IFERROR(__xludf.DUMMYFUNCTION("""COMPUTED_VALUE"""),11.0)</f>
        <v>11</v>
      </c>
      <c r="Z257" s="11">
        <f>IFERROR(__xludf.DUMMYFUNCTION("""COMPUTED_VALUE"""),1.0)</f>
        <v>1</v>
      </c>
      <c r="AA257" s="11">
        <f>IFERROR(__xludf.DUMMYFUNCTION("""COMPUTED_VALUE"""),1.0)</f>
        <v>1</v>
      </c>
      <c r="AB257" s="11">
        <f>IFERROR(__xludf.DUMMYFUNCTION("""COMPUTED_VALUE"""),4.0)</f>
        <v>4</v>
      </c>
      <c r="AC257" s="11">
        <f>IFERROR(__xludf.DUMMYFUNCTION("""COMPUTED_VALUE"""),26.0)</f>
        <v>26</v>
      </c>
      <c r="AD257" s="11">
        <f>IFERROR(__xludf.DUMMYFUNCTION("""COMPUTED_VALUE"""),33.0)</f>
        <v>33</v>
      </c>
    </row>
    <row r="258">
      <c r="A258" s="10" t="str">
        <f>IFERROR(__xludf.DUMMYFUNCTION("""COMPUTED_VALUE"""),"Elite")</f>
        <v>Elite</v>
      </c>
      <c r="B258" s="10" t="str">
        <f>IFERROR(__xludf.DUMMYFUNCTION("""COMPUTED_VALUE"""),"RSC008382")</f>
        <v>RSC008382</v>
      </c>
      <c r="C258" s="10" t="str">
        <f>IFERROR(__xludf.DUMMYFUNCTION("""COMPUTED_VALUE"""),"KiLo")</f>
        <v>KiLo</v>
      </c>
      <c r="D258" s="36" t="str">
        <f>IFERROR(__xludf.DUMMYFUNCTION("""COMPUTED_VALUE"""),"Dragon")</f>
        <v>Dragon</v>
      </c>
      <c r="E258" s="10" t="str">
        <f>IFERROR(__xludf.DUMMYFUNCTION("""COMPUTED_VALUE"""),"Solar")</f>
        <v>Solar</v>
      </c>
      <c r="F258" s="37">
        <f>IFERROR(__xludf.DUMMYFUNCTION("""COMPUTED_VALUE"""),56.03219114891404)</f>
        <v>56.03219115</v>
      </c>
      <c r="G258" s="38">
        <f>IFERROR(__xludf.DUMMYFUNCTION("""COMPUTED_VALUE"""),56.753286440464294)</f>
        <v>56.75328644</v>
      </c>
      <c r="H258" s="38">
        <f>IFERROR(__xludf.DUMMYFUNCTION("""COMPUTED_VALUE"""),56.392738794689166)</f>
        <v>56.39273879</v>
      </c>
      <c r="I258" s="14">
        <f>IFERROR(__xludf.DUMMYFUNCTION("""COMPUTED_VALUE"""),23.0)</f>
        <v>23</v>
      </c>
      <c r="J258" s="11">
        <f>IFERROR(__xludf.DUMMYFUNCTION("IFERROR(FILTER(Stats!$F:$Z,(Stats!$A:$A=$A258)*(Stats!$B:$B=$B258)))"),15.0)</f>
        <v>15</v>
      </c>
      <c r="K258" s="11">
        <f>IFERROR(__xludf.DUMMYFUNCTION("""COMPUTED_VALUE"""),8.0)</f>
        <v>8</v>
      </c>
      <c r="L258" s="12">
        <f>IFERROR(__xludf.DUMMYFUNCTION("""COMPUTED_VALUE"""),0.6521739130434783)</f>
        <v>0.652173913</v>
      </c>
      <c r="M258" s="11">
        <f>IFERROR(__xludf.DUMMYFUNCTION("""COMPUTED_VALUE"""),3.0)</f>
        <v>3</v>
      </c>
      <c r="N258" s="11">
        <f>IFERROR(__xludf.DUMMYFUNCTION("""COMPUTED_VALUE"""),8014.0)</f>
        <v>8014</v>
      </c>
      <c r="O258" s="13">
        <f>IFERROR(__xludf.DUMMYFUNCTION("""COMPUTED_VALUE"""),17.0)</f>
        <v>17</v>
      </c>
      <c r="P258" s="14">
        <f>IFERROR(__xludf.DUMMYFUNCTION("""COMPUTED_VALUE"""),19.0)</f>
        <v>19</v>
      </c>
      <c r="Q258" s="13">
        <f>IFERROR(__xludf.DUMMYFUNCTION("""COMPUTED_VALUE"""),33.0)</f>
        <v>33</v>
      </c>
      <c r="R258" s="13">
        <f>IFERROR(__xludf.DUMMYFUNCTION("""COMPUTED_VALUE"""),49.0)</f>
        <v>49</v>
      </c>
      <c r="S258" s="15">
        <f>IFERROR(__xludf.DUMMYFUNCTION("""COMPUTED_VALUE"""),0.3469387755102041)</f>
        <v>0.3469387755</v>
      </c>
      <c r="T258" s="16">
        <f>IFERROR(__xludf.DUMMYFUNCTION("""COMPUTED_VALUE"""),348.4347826086956)</f>
        <v>348.4347826</v>
      </c>
      <c r="U258" s="16">
        <f>IFERROR(__xludf.DUMMYFUNCTION("""COMPUTED_VALUE"""),0.7391304347826086)</f>
        <v>0.7391304348</v>
      </c>
      <c r="V258" s="16">
        <f>IFERROR(__xludf.DUMMYFUNCTION("""COMPUTED_VALUE"""),0.8260869565217391)</f>
        <v>0.8260869565</v>
      </c>
      <c r="W258" s="16">
        <f>IFERROR(__xludf.DUMMYFUNCTION("""COMPUTED_VALUE"""),1.434782608695652)</f>
        <v>1.434782609</v>
      </c>
      <c r="X258" s="16">
        <f>IFERROR(__xludf.DUMMYFUNCTION("""COMPUTED_VALUE"""),2.130434782608696)</f>
        <v>2.130434783</v>
      </c>
      <c r="Y258" s="11">
        <f>IFERROR(__xludf.DUMMYFUNCTION("""COMPUTED_VALUE"""),6.0)</f>
        <v>6</v>
      </c>
      <c r="Z258" s="11">
        <f>IFERROR(__xludf.DUMMYFUNCTION("""COMPUTED_VALUE"""),0.0)</f>
        <v>0</v>
      </c>
      <c r="AA258" s="11">
        <f>IFERROR(__xludf.DUMMYFUNCTION("""COMPUTED_VALUE"""),0.0)</f>
        <v>0</v>
      </c>
      <c r="AB258" s="11">
        <f>IFERROR(__xludf.DUMMYFUNCTION("""COMPUTED_VALUE"""),2.0)</f>
        <v>2</v>
      </c>
      <c r="AC258" s="11">
        <f>IFERROR(__xludf.DUMMYFUNCTION("""COMPUTED_VALUE"""),21.0)</f>
        <v>21</v>
      </c>
      <c r="AD258" s="11">
        <f>IFERROR(__xludf.DUMMYFUNCTION("""COMPUTED_VALUE"""),19.0)</f>
        <v>19</v>
      </c>
    </row>
    <row r="259">
      <c r="A259" s="10" t="str">
        <f>IFERROR(__xludf.DUMMYFUNCTION("""COMPUTED_VALUE"""),"Elite")</f>
        <v>Elite</v>
      </c>
      <c r="B259" s="10" t="str">
        <f>IFERROR(__xludf.DUMMYFUNCTION("""COMPUTED_VALUE"""),"RSC001292")</f>
        <v>RSC001292</v>
      </c>
      <c r="C259" s="10" t="str">
        <f>IFERROR(__xludf.DUMMYFUNCTION("""COMPUTED_VALUE"""),"flamethrowr")</f>
        <v>flamethrowr</v>
      </c>
      <c r="D259" s="36" t="str">
        <f>IFERROR(__xludf.DUMMYFUNCTION("""COMPUTED_VALUE"""),"Menthol")</f>
        <v>Menthol</v>
      </c>
      <c r="E259" s="10" t="str">
        <f>IFERROR(__xludf.DUMMYFUNCTION("""COMPUTED_VALUE"""),"Solar")</f>
        <v>Solar</v>
      </c>
      <c r="F259" s="37">
        <f>IFERROR(__xludf.DUMMYFUNCTION("""COMPUTED_VALUE"""),54.22140864299043)</f>
        <v>54.22140864</v>
      </c>
      <c r="G259" s="38">
        <f>IFERROR(__xludf.DUMMYFUNCTION("""COMPUTED_VALUE"""),57.67336265523857)</f>
        <v>57.67336266</v>
      </c>
      <c r="H259" s="38">
        <f>IFERROR(__xludf.DUMMYFUNCTION("""COMPUTED_VALUE"""),55.9473856491145)</f>
        <v>55.94738565</v>
      </c>
      <c r="I259" s="14">
        <f>IFERROR(__xludf.DUMMYFUNCTION("""COMPUTED_VALUE"""),56.0)</f>
        <v>56</v>
      </c>
      <c r="J259" s="11">
        <f>IFERROR(__xludf.DUMMYFUNCTION("IFERROR(FILTER(Stats!$F:$Z,(Stats!$A:$A=$A259)*(Stats!$B:$B=$B259)))"),39.0)</f>
        <v>39</v>
      </c>
      <c r="K259" s="11">
        <f>IFERROR(__xludf.DUMMYFUNCTION("""COMPUTED_VALUE"""),17.0)</f>
        <v>17</v>
      </c>
      <c r="L259" s="12">
        <f>IFERROR(__xludf.DUMMYFUNCTION("""COMPUTED_VALUE"""),0.6964285714285714)</f>
        <v>0.6964285714</v>
      </c>
      <c r="M259" s="11">
        <f>IFERROR(__xludf.DUMMYFUNCTION("""COMPUTED_VALUE"""),7.0)</f>
        <v>7</v>
      </c>
      <c r="N259" s="11">
        <f>IFERROR(__xludf.DUMMYFUNCTION("""COMPUTED_VALUE"""),18508.0)</f>
        <v>18508</v>
      </c>
      <c r="O259" s="13">
        <f>IFERROR(__xludf.DUMMYFUNCTION("""COMPUTED_VALUE"""),39.0)</f>
        <v>39</v>
      </c>
      <c r="P259" s="14">
        <f>IFERROR(__xludf.DUMMYFUNCTION("""COMPUTED_VALUE"""),40.0)</f>
        <v>40</v>
      </c>
      <c r="Q259" s="13">
        <f>IFERROR(__xludf.DUMMYFUNCTION("""COMPUTED_VALUE"""),57.0)</f>
        <v>57</v>
      </c>
      <c r="R259" s="13">
        <f>IFERROR(__xludf.DUMMYFUNCTION("""COMPUTED_VALUE"""),156.0)</f>
        <v>156</v>
      </c>
      <c r="S259" s="15">
        <f>IFERROR(__xludf.DUMMYFUNCTION("""COMPUTED_VALUE"""),0.25)</f>
        <v>0.25</v>
      </c>
      <c r="T259" s="16">
        <f>IFERROR(__xludf.DUMMYFUNCTION("""COMPUTED_VALUE"""),330.5)</f>
        <v>330.5</v>
      </c>
      <c r="U259" s="16">
        <f>IFERROR(__xludf.DUMMYFUNCTION("""COMPUTED_VALUE"""),0.6964285714285714)</f>
        <v>0.6964285714</v>
      </c>
      <c r="V259" s="16">
        <f>IFERROR(__xludf.DUMMYFUNCTION("""COMPUTED_VALUE"""),0.7142857142857143)</f>
        <v>0.7142857143</v>
      </c>
      <c r="W259" s="16">
        <f>IFERROR(__xludf.DUMMYFUNCTION("""COMPUTED_VALUE"""),1.0178571428571428)</f>
        <v>1.017857143</v>
      </c>
      <c r="X259" s="16">
        <f>IFERROR(__xludf.DUMMYFUNCTION("""COMPUTED_VALUE"""),2.7857142857142856)</f>
        <v>2.785714286</v>
      </c>
      <c r="Y259" s="11">
        <f>IFERROR(__xludf.DUMMYFUNCTION("""COMPUTED_VALUE"""),11.0)</f>
        <v>11</v>
      </c>
      <c r="Z259" s="11">
        <f>IFERROR(__xludf.DUMMYFUNCTION("""COMPUTED_VALUE"""),1.0)</f>
        <v>1</v>
      </c>
      <c r="AA259" s="11">
        <f>IFERROR(__xludf.DUMMYFUNCTION("""COMPUTED_VALUE"""),3.0)</f>
        <v>3</v>
      </c>
      <c r="AB259" s="11">
        <f>IFERROR(__xludf.DUMMYFUNCTION("""COMPUTED_VALUE"""),4.0)</f>
        <v>4</v>
      </c>
      <c r="AC259" s="11">
        <f>IFERROR(__xludf.DUMMYFUNCTION("""COMPUTED_VALUE"""),26.0)</f>
        <v>26</v>
      </c>
      <c r="AD259" s="11">
        <f>IFERROR(__xludf.DUMMYFUNCTION("""COMPUTED_VALUE"""),64.0)</f>
        <v>64</v>
      </c>
    </row>
    <row r="260">
      <c r="A260" s="10" t="str">
        <f>IFERROR(__xludf.DUMMYFUNCTION("""COMPUTED_VALUE"""),"Elite")</f>
        <v>Elite</v>
      </c>
      <c r="B260" s="10" t="str">
        <f>IFERROR(__xludf.DUMMYFUNCTION("""COMPUTED_VALUE"""),"RSC004131")</f>
        <v>RSC004131</v>
      </c>
      <c r="C260" s="10" t="str">
        <f>IFERROR(__xludf.DUMMYFUNCTION("""COMPUTED_VALUE"""),"Poptart Pounder")</f>
        <v>Poptart Pounder</v>
      </c>
      <c r="D260" s="36" t="str">
        <f>IFERROR(__xludf.DUMMYFUNCTION("""COMPUTED_VALUE"""),"Ghastly Goombahs")</f>
        <v>Ghastly Goombahs</v>
      </c>
      <c r="E260" s="10" t="str">
        <f>IFERROR(__xludf.DUMMYFUNCTION("""COMPUTED_VALUE"""),"Lunar")</f>
        <v>Lunar</v>
      </c>
      <c r="F260" s="37">
        <f>IFERROR(__xludf.DUMMYFUNCTION("""COMPUTED_VALUE"""),47.85986154049588)</f>
        <v>47.85986154</v>
      </c>
      <c r="G260" s="38">
        <f>IFERROR(__xludf.DUMMYFUNCTION("""COMPUTED_VALUE"""),61.60212039916478)</f>
        <v>61.6021204</v>
      </c>
      <c r="H260" s="38">
        <f>IFERROR(__xludf.DUMMYFUNCTION("""COMPUTED_VALUE"""),54.73099096983033)</f>
        <v>54.73099097</v>
      </c>
      <c r="I260" s="14">
        <f>IFERROR(__xludf.DUMMYFUNCTION("""COMPUTED_VALUE"""),19.0)</f>
        <v>19</v>
      </c>
      <c r="J260" s="11">
        <f>IFERROR(__xludf.DUMMYFUNCTION("IFERROR(FILTER(Stats!$F:$Z,(Stats!$A:$A=$A260)*(Stats!$B:$B=$B260)))"),9.0)</f>
        <v>9</v>
      </c>
      <c r="K260" s="11">
        <f>IFERROR(__xludf.DUMMYFUNCTION("""COMPUTED_VALUE"""),10.0)</f>
        <v>10</v>
      </c>
      <c r="L260" s="12">
        <f>IFERROR(__xludf.DUMMYFUNCTION("""COMPUTED_VALUE"""),0.47368421052631576)</f>
        <v>0.4736842105</v>
      </c>
      <c r="M260" s="11">
        <f>IFERROR(__xludf.DUMMYFUNCTION("""COMPUTED_VALUE"""),4.0)</f>
        <v>4</v>
      </c>
      <c r="N260" s="11">
        <f>IFERROR(__xludf.DUMMYFUNCTION("""COMPUTED_VALUE"""),6329.0)</f>
        <v>6329</v>
      </c>
      <c r="O260" s="13">
        <f>IFERROR(__xludf.DUMMYFUNCTION("""COMPUTED_VALUE"""),18.0)</f>
        <v>18</v>
      </c>
      <c r="P260" s="14">
        <f>IFERROR(__xludf.DUMMYFUNCTION("""COMPUTED_VALUE"""),13.0)</f>
        <v>13</v>
      </c>
      <c r="Q260" s="13">
        <f>IFERROR(__xludf.DUMMYFUNCTION("""COMPUTED_VALUE"""),16.0)</f>
        <v>16</v>
      </c>
      <c r="R260" s="13">
        <f>IFERROR(__xludf.DUMMYFUNCTION("""COMPUTED_VALUE"""),55.0)</f>
        <v>55</v>
      </c>
      <c r="S260" s="15">
        <f>IFERROR(__xludf.DUMMYFUNCTION("""COMPUTED_VALUE"""),0.32727272727272727)</f>
        <v>0.3272727273</v>
      </c>
      <c r="T260" s="16">
        <f>IFERROR(__xludf.DUMMYFUNCTION("""COMPUTED_VALUE"""),333.10526315789474)</f>
        <v>333.1052632</v>
      </c>
      <c r="U260" s="16">
        <f>IFERROR(__xludf.DUMMYFUNCTION("""COMPUTED_VALUE"""),0.9473684210526315)</f>
        <v>0.9473684211</v>
      </c>
      <c r="V260" s="16">
        <f>IFERROR(__xludf.DUMMYFUNCTION("""COMPUTED_VALUE"""),0.6842105263157895)</f>
        <v>0.6842105263</v>
      </c>
      <c r="W260" s="16">
        <f>IFERROR(__xludf.DUMMYFUNCTION("""COMPUTED_VALUE"""),0.8421052631578947)</f>
        <v>0.8421052632</v>
      </c>
      <c r="X260" s="16">
        <f>IFERROR(__xludf.DUMMYFUNCTION("""COMPUTED_VALUE"""),2.8947368421052633)</f>
        <v>2.894736842</v>
      </c>
      <c r="Y260" s="11">
        <f>IFERROR(__xludf.DUMMYFUNCTION("""COMPUTED_VALUE"""),4.0)</f>
        <v>4</v>
      </c>
      <c r="Z260" s="11">
        <f>IFERROR(__xludf.DUMMYFUNCTION("""COMPUTED_VALUE"""),3.0)</f>
        <v>3</v>
      </c>
      <c r="AA260" s="11">
        <f>IFERROR(__xludf.DUMMYFUNCTION("""COMPUTED_VALUE"""),1.0)</f>
        <v>1</v>
      </c>
      <c r="AB260" s="11">
        <f>IFERROR(__xludf.DUMMYFUNCTION("""COMPUTED_VALUE"""),1.0)</f>
        <v>1</v>
      </c>
      <c r="AC260" s="11">
        <f>IFERROR(__xludf.DUMMYFUNCTION("""COMPUTED_VALUE"""),29.0)</f>
        <v>29</v>
      </c>
      <c r="AD260" s="11">
        <f>IFERROR(__xludf.DUMMYFUNCTION("""COMPUTED_VALUE"""),28.0)</f>
        <v>28</v>
      </c>
    </row>
    <row r="261">
      <c r="A261" s="10" t="str">
        <f>IFERROR(__xludf.DUMMYFUNCTION("""COMPUTED_VALUE"""),"Elite")</f>
        <v>Elite</v>
      </c>
      <c r="B261" s="10" t="str">
        <f>IFERROR(__xludf.DUMMYFUNCTION("""COMPUTED_VALUE"""),"RSC007610")</f>
        <v>RSC007610</v>
      </c>
      <c r="C261" s="10" t="str">
        <f>IFERROR(__xludf.DUMMYFUNCTION("""COMPUTED_VALUE"""),"Halibut907")</f>
        <v>Halibut907</v>
      </c>
      <c r="D261" s="36" t="str">
        <f>IFERROR(__xludf.DUMMYFUNCTION("""COMPUTED_VALUE"""),"Sloths
Ghastly Goombahs")</f>
        <v>Sloths
Ghastly Goombahs</v>
      </c>
      <c r="E261" s="10" t="str">
        <f>IFERROR(__xludf.DUMMYFUNCTION("""COMPUTED_VALUE"""),"Solar
Lunar")</f>
        <v>Solar
Lunar</v>
      </c>
      <c r="F261" s="37">
        <f>IFERROR(__xludf.DUMMYFUNCTION("""COMPUTED_VALUE"""),57.33938257289275)</f>
        <v>57.33938257</v>
      </c>
      <c r="G261" s="38">
        <f>IFERROR(__xludf.DUMMYFUNCTION("""COMPUTED_VALUE"""),51.67745952172635)</f>
        <v>51.67745952</v>
      </c>
      <c r="H261" s="38">
        <f>IFERROR(__xludf.DUMMYFUNCTION("""COMPUTED_VALUE"""),54.508421047309554)</f>
        <v>54.50842105</v>
      </c>
      <c r="I261" s="14">
        <f>IFERROR(__xludf.DUMMYFUNCTION("""COMPUTED_VALUE"""),25.0)</f>
        <v>25</v>
      </c>
      <c r="J261" s="11">
        <f>IFERROR(__xludf.DUMMYFUNCTION("IFERROR(FILTER(Stats!$F:$Z,(Stats!$A:$A=$A261)*(Stats!$B:$B=$B261)))"),13.0)</f>
        <v>13</v>
      </c>
      <c r="K261" s="11">
        <f>IFERROR(__xludf.DUMMYFUNCTION("""COMPUTED_VALUE"""),12.0)</f>
        <v>12</v>
      </c>
      <c r="L261" s="12">
        <f>IFERROR(__xludf.DUMMYFUNCTION("""COMPUTED_VALUE"""),0.52)</f>
        <v>0.52</v>
      </c>
      <c r="M261" s="11">
        <f>IFERROR(__xludf.DUMMYFUNCTION("""COMPUTED_VALUE"""),3.0)</f>
        <v>3</v>
      </c>
      <c r="N261" s="11">
        <f>IFERROR(__xludf.DUMMYFUNCTION("""COMPUTED_VALUE"""),8975.0)</f>
        <v>8975</v>
      </c>
      <c r="O261" s="13">
        <f>IFERROR(__xludf.DUMMYFUNCTION("""COMPUTED_VALUE"""),14.0)</f>
        <v>14</v>
      </c>
      <c r="P261" s="14">
        <f>IFERROR(__xludf.DUMMYFUNCTION("""COMPUTED_VALUE"""),20.0)</f>
        <v>20</v>
      </c>
      <c r="Q261" s="13">
        <f>IFERROR(__xludf.DUMMYFUNCTION("""COMPUTED_VALUE"""),41.0)</f>
        <v>41</v>
      </c>
      <c r="R261" s="13">
        <f>IFERROR(__xludf.DUMMYFUNCTION("""COMPUTED_VALUE"""),57.0)</f>
        <v>57</v>
      </c>
      <c r="S261" s="15">
        <f>IFERROR(__xludf.DUMMYFUNCTION("""COMPUTED_VALUE"""),0.24561403508771928)</f>
        <v>0.2456140351</v>
      </c>
      <c r="T261" s="16">
        <f>IFERROR(__xludf.DUMMYFUNCTION("""COMPUTED_VALUE"""),359.0)</f>
        <v>359</v>
      </c>
      <c r="U261" s="16">
        <f>IFERROR(__xludf.DUMMYFUNCTION("""COMPUTED_VALUE"""),0.56)</f>
        <v>0.56</v>
      </c>
      <c r="V261" s="16">
        <f>IFERROR(__xludf.DUMMYFUNCTION("""COMPUTED_VALUE"""),0.8)</f>
        <v>0.8</v>
      </c>
      <c r="W261" s="16">
        <f>IFERROR(__xludf.DUMMYFUNCTION("""COMPUTED_VALUE"""),1.64)</f>
        <v>1.64</v>
      </c>
      <c r="X261" s="16">
        <f>IFERROR(__xludf.DUMMYFUNCTION("""COMPUTED_VALUE"""),2.28)</f>
        <v>2.28</v>
      </c>
      <c r="Y261" s="11">
        <f>IFERROR(__xludf.DUMMYFUNCTION("""COMPUTED_VALUE"""),7.0)</f>
        <v>7</v>
      </c>
      <c r="Z261" s="11">
        <f>IFERROR(__xludf.DUMMYFUNCTION("""COMPUTED_VALUE"""),0.0)</f>
        <v>0</v>
      </c>
      <c r="AA261" s="11">
        <f>IFERROR(__xludf.DUMMYFUNCTION("""COMPUTED_VALUE"""),1.0)</f>
        <v>1</v>
      </c>
      <c r="AB261" s="11">
        <f>IFERROR(__xludf.DUMMYFUNCTION("""COMPUTED_VALUE"""),7.0)</f>
        <v>7</v>
      </c>
      <c r="AC261" s="11">
        <f>IFERROR(__xludf.DUMMYFUNCTION("""COMPUTED_VALUE"""),9.0)</f>
        <v>9</v>
      </c>
      <c r="AD261" s="11">
        <f>IFERROR(__xludf.DUMMYFUNCTION("""COMPUTED_VALUE"""),18.0)</f>
        <v>18</v>
      </c>
    </row>
    <row r="262">
      <c r="A262" s="10" t="str">
        <f>IFERROR(__xludf.DUMMYFUNCTION("""COMPUTED_VALUE"""),"Elite")</f>
        <v>Elite</v>
      </c>
      <c r="B262" s="10" t="str">
        <f>IFERROR(__xludf.DUMMYFUNCTION("""COMPUTED_VALUE"""),"RSC003427")</f>
        <v>RSC003427</v>
      </c>
      <c r="C262" s="10" t="str">
        <f>IFERROR(__xludf.DUMMYFUNCTION("""COMPUTED_VALUE"""),"(P|F)ineapple")</f>
        <v>(P|F)ineapple</v>
      </c>
      <c r="D262" s="36" t="str">
        <f>IFERROR(__xludf.DUMMYFUNCTION("""COMPUTED_VALUE"""),"Orochi")</f>
        <v>Orochi</v>
      </c>
      <c r="E262" s="10" t="str">
        <f>IFERROR(__xludf.DUMMYFUNCTION("""COMPUTED_VALUE"""),"Solar")</f>
        <v>Solar</v>
      </c>
      <c r="F262" s="37">
        <f>IFERROR(__xludf.DUMMYFUNCTION("""COMPUTED_VALUE"""),55.41503581148782)</f>
        <v>55.41503581</v>
      </c>
      <c r="G262" s="38">
        <f>IFERROR(__xludf.DUMMYFUNCTION("""COMPUTED_VALUE"""),53.43159438378957)</f>
        <v>53.43159438</v>
      </c>
      <c r="H262" s="38">
        <f>IFERROR(__xludf.DUMMYFUNCTION("""COMPUTED_VALUE"""),54.42331509763869)</f>
        <v>54.4233151</v>
      </c>
      <c r="I262" s="14">
        <f>IFERROR(__xludf.DUMMYFUNCTION("""COMPUTED_VALUE"""),50.0)</f>
        <v>50</v>
      </c>
      <c r="J262" s="11">
        <f>IFERROR(__xludf.DUMMYFUNCTION("IFERROR(FILTER(Stats!$F:$Z,(Stats!$A:$A=$A262)*(Stats!$B:$B=$B262)))"),23.0)</f>
        <v>23</v>
      </c>
      <c r="K262" s="11">
        <f>IFERROR(__xludf.DUMMYFUNCTION("""COMPUTED_VALUE"""),27.0)</f>
        <v>27</v>
      </c>
      <c r="L262" s="12">
        <f>IFERROR(__xludf.DUMMYFUNCTION("""COMPUTED_VALUE"""),0.46)</f>
        <v>0.46</v>
      </c>
      <c r="M262" s="11">
        <f>IFERROR(__xludf.DUMMYFUNCTION("""COMPUTED_VALUE"""),6.0)</f>
        <v>6</v>
      </c>
      <c r="N262" s="11">
        <f>IFERROR(__xludf.DUMMYFUNCTION("""COMPUTED_VALUE"""),17146.0)</f>
        <v>17146</v>
      </c>
      <c r="O262" s="13">
        <f>IFERROR(__xludf.DUMMYFUNCTION("""COMPUTED_VALUE"""),34.0)</f>
        <v>34</v>
      </c>
      <c r="P262" s="14">
        <f>IFERROR(__xludf.DUMMYFUNCTION("""COMPUTED_VALUE"""),34.0)</f>
        <v>34</v>
      </c>
      <c r="Q262" s="13">
        <f>IFERROR(__xludf.DUMMYFUNCTION("""COMPUTED_VALUE"""),66.0)</f>
        <v>66</v>
      </c>
      <c r="R262" s="13">
        <f>IFERROR(__xludf.DUMMYFUNCTION("""COMPUTED_VALUE"""),119.0)</f>
        <v>119</v>
      </c>
      <c r="S262" s="15">
        <f>IFERROR(__xludf.DUMMYFUNCTION("""COMPUTED_VALUE"""),0.2857142857142857)</f>
        <v>0.2857142857</v>
      </c>
      <c r="T262" s="16">
        <f>IFERROR(__xludf.DUMMYFUNCTION("""COMPUTED_VALUE"""),342.92)</f>
        <v>342.92</v>
      </c>
      <c r="U262" s="16">
        <f>IFERROR(__xludf.DUMMYFUNCTION("""COMPUTED_VALUE"""),0.68)</f>
        <v>0.68</v>
      </c>
      <c r="V262" s="16">
        <f>IFERROR(__xludf.DUMMYFUNCTION("""COMPUTED_VALUE"""),0.68)</f>
        <v>0.68</v>
      </c>
      <c r="W262" s="16">
        <f>IFERROR(__xludf.DUMMYFUNCTION("""COMPUTED_VALUE"""),1.32)</f>
        <v>1.32</v>
      </c>
      <c r="X262" s="16">
        <f>IFERROR(__xludf.DUMMYFUNCTION("""COMPUTED_VALUE"""),2.38)</f>
        <v>2.38</v>
      </c>
      <c r="Y262" s="11">
        <f>IFERROR(__xludf.DUMMYFUNCTION("""COMPUTED_VALUE"""),9.0)</f>
        <v>9</v>
      </c>
      <c r="Z262" s="11">
        <f>IFERROR(__xludf.DUMMYFUNCTION("""COMPUTED_VALUE"""),2.0)</f>
        <v>2</v>
      </c>
      <c r="AA262" s="11">
        <f>IFERROR(__xludf.DUMMYFUNCTION("""COMPUTED_VALUE"""),0.0)</f>
        <v>0</v>
      </c>
      <c r="AB262" s="11">
        <f>IFERROR(__xludf.DUMMYFUNCTION("""COMPUTED_VALUE"""),6.0)</f>
        <v>6</v>
      </c>
      <c r="AC262" s="11">
        <f>IFERROR(__xludf.DUMMYFUNCTION("""COMPUTED_VALUE"""),46.0)</f>
        <v>46</v>
      </c>
      <c r="AD262" s="11">
        <f>IFERROR(__xludf.DUMMYFUNCTION("""COMPUTED_VALUE"""),55.0)</f>
        <v>55</v>
      </c>
    </row>
    <row r="263">
      <c r="A263" s="10" t="str">
        <f>IFERROR(__xludf.DUMMYFUNCTION("""COMPUTED_VALUE"""),"Elite")</f>
        <v>Elite</v>
      </c>
      <c r="B263" s="10" t="str">
        <f>IFERROR(__xludf.DUMMYFUNCTION("""COMPUTED_VALUE"""),"RSC008417")</f>
        <v>RSC008417</v>
      </c>
      <c r="C263" s="10" t="str">
        <f>IFERROR(__xludf.DUMMYFUNCTION("""COMPUTED_VALUE"""),"LC Spirit")</f>
        <v>LC Spirit</v>
      </c>
      <c r="D263" s="36" t="str">
        <f>IFERROR(__xludf.DUMMYFUNCTION("""COMPUTED_VALUE"""),"Fire")</f>
        <v>Fire</v>
      </c>
      <c r="E263" s="10" t="str">
        <f>IFERROR(__xludf.DUMMYFUNCTION("""COMPUTED_VALUE"""),"Solar")</f>
        <v>Solar</v>
      </c>
      <c r="F263" s="37">
        <f>IFERROR(__xludf.DUMMYFUNCTION("""COMPUTED_VALUE"""),57.22700421944183)</f>
        <v>57.22700422</v>
      </c>
      <c r="G263" s="38">
        <f>IFERROR(__xludf.DUMMYFUNCTION("""COMPUTED_VALUE"""),51.17763931068594)</f>
        <v>51.17763931</v>
      </c>
      <c r="H263" s="38">
        <f>IFERROR(__xludf.DUMMYFUNCTION("""COMPUTED_VALUE"""),54.202321765063886)</f>
        <v>54.20232177</v>
      </c>
      <c r="I263" s="14">
        <f>IFERROR(__xludf.DUMMYFUNCTION("""COMPUTED_VALUE"""),54.0)</f>
        <v>54</v>
      </c>
      <c r="J263" s="11">
        <f>IFERROR(__xludf.DUMMYFUNCTION("IFERROR(FILTER(Stats!$F:$Z,(Stats!$A:$A=$A263)*(Stats!$B:$B=$B263)))"),30.0)</f>
        <v>30</v>
      </c>
      <c r="K263" s="11">
        <f>IFERROR(__xludf.DUMMYFUNCTION("""COMPUTED_VALUE"""),24.0)</f>
        <v>24</v>
      </c>
      <c r="L263" s="12">
        <f>IFERROR(__xludf.DUMMYFUNCTION("""COMPUTED_VALUE"""),0.5555555555555556)</f>
        <v>0.5555555556</v>
      </c>
      <c r="M263" s="11">
        <f>IFERROR(__xludf.DUMMYFUNCTION("""COMPUTED_VALUE"""),13.0)</f>
        <v>13</v>
      </c>
      <c r="N263" s="11">
        <f>IFERROR(__xludf.DUMMYFUNCTION("""COMPUTED_VALUE"""),21273.0)</f>
        <v>21273</v>
      </c>
      <c r="O263" s="13">
        <f>IFERROR(__xludf.DUMMYFUNCTION("""COMPUTED_VALUE"""),39.0)</f>
        <v>39</v>
      </c>
      <c r="P263" s="14">
        <f>IFERROR(__xludf.DUMMYFUNCTION("""COMPUTED_VALUE"""),26.0)</f>
        <v>26</v>
      </c>
      <c r="Q263" s="13">
        <f>IFERROR(__xludf.DUMMYFUNCTION("""COMPUTED_VALUE"""),104.0)</f>
        <v>104</v>
      </c>
      <c r="R263" s="13">
        <f>IFERROR(__xludf.DUMMYFUNCTION("""COMPUTED_VALUE"""),136.0)</f>
        <v>136</v>
      </c>
      <c r="S263" s="15">
        <f>IFERROR(__xludf.DUMMYFUNCTION("""COMPUTED_VALUE"""),0.2867647058823529)</f>
        <v>0.2867647059</v>
      </c>
      <c r="T263" s="16">
        <f>IFERROR(__xludf.DUMMYFUNCTION("""COMPUTED_VALUE"""),393.94444444444446)</f>
        <v>393.9444444</v>
      </c>
      <c r="U263" s="16">
        <f>IFERROR(__xludf.DUMMYFUNCTION("""COMPUTED_VALUE"""),0.7222222222222222)</f>
        <v>0.7222222222</v>
      </c>
      <c r="V263" s="16">
        <f>IFERROR(__xludf.DUMMYFUNCTION("""COMPUTED_VALUE"""),0.48148148148148145)</f>
        <v>0.4814814815</v>
      </c>
      <c r="W263" s="16">
        <f>IFERROR(__xludf.DUMMYFUNCTION("""COMPUTED_VALUE"""),1.9259259259259258)</f>
        <v>1.925925926</v>
      </c>
      <c r="X263" s="16">
        <f>IFERROR(__xludf.DUMMYFUNCTION("""COMPUTED_VALUE"""),2.5185185185185186)</f>
        <v>2.518518519</v>
      </c>
      <c r="Y263" s="11">
        <f>IFERROR(__xludf.DUMMYFUNCTION("""COMPUTED_VALUE"""),7.0)</f>
        <v>7</v>
      </c>
      <c r="Z263" s="11">
        <f>IFERROR(__xludf.DUMMYFUNCTION("""COMPUTED_VALUE"""),4.0)</f>
        <v>4</v>
      </c>
      <c r="AA263" s="11">
        <f>IFERROR(__xludf.DUMMYFUNCTION("""COMPUTED_VALUE"""),1.0)</f>
        <v>1</v>
      </c>
      <c r="AB263" s="11">
        <f>IFERROR(__xludf.DUMMYFUNCTION("""COMPUTED_VALUE"""),18.0)</f>
        <v>18</v>
      </c>
      <c r="AC263" s="11">
        <f>IFERROR(__xludf.DUMMYFUNCTION("""COMPUTED_VALUE"""),63.0)</f>
        <v>63</v>
      </c>
      <c r="AD263" s="11">
        <f>IFERROR(__xludf.DUMMYFUNCTION("""COMPUTED_VALUE"""),54.0)</f>
        <v>54</v>
      </c>
    </row>
    <row r="264">
      <c r="A264" s="10" t="str">
        <f>IFERROR(__xludf.DUMMYFUNCTION("""COMPUTED_VALUE"""),"Elite")</f>
        <v>Elite</v>
      </c>
      <c r="B264" s="10" t="str">
        <f>IFERROR(__xludf.DUMMYFUNCTION("""COMPUTED_VALUE"""),"RSC005824")</f>
        <v>RSC005824</v>
      </c>
      <c r="C264" s="10" t="str">
        <f>IFERROR(__xludf.DUMMYFUNCTION("""COMPUTED_VALUE"""),"Bolts")</f>
        <v>Bolts</v>
      </c>
      <c r="D264" s="36" t="str">
        <f>IFERROR(__xludf.DUMMYFUNCTION("""COMPUTED_VALUE"""),"Sloths")</f>
        <v>Sloths</v>
      </c>
      <c r="E264" s="10" t="str">
        <f>IFERROR(__xludf.DUMMYFUNCTION("""COMPUTED_VALUE"""),"Solar")</f>
        <v>Solar</v>
      </c>
      <c r="F264" s="37">
        <f>IFERROR(__xludf.DUMMYFUNCTION("""COMPUTED_VALUE"""),51.00880505538225)</f>
        <v>51.00880506</v>
      </c>
      <c r="G264" s="38">
        <f>IFERROR(__xludf.DUMMYFUNCTION("""COMPUTED_VALUE"""),57.16332860240138)</f>
        <v>57.1633286</v>
      </c>
      <c r="H264" s="38">
        <f>IFERROR(__xludf.DUMMYFUNCTION("""COMPUTED_VALUE"""),54.086066828891816)</f>
        <v>54.08606683</v>
      </c>
      <c r="I264" s="14">
        <f>IFERROR(__xludf.DUMMYFUNCTION("""COMPUTED_VALUE"""),3.0)</f>
        <v>3</v>
      </c>
      <c r="J264" s="11">
        <f>IFERROR(__xludf.DUMMYFUNCTION("IFERROR(FILTER(Stats!$F:$Z,(Stats!$A:$A=$A264)*(Stats!$B:$B=$B264)))"),1.0)</f>
        <v>1</v>
      </c>
      <c r="K264" s="11">
        <f>IFERROR(__xludf.DUMMYFUNCTION("""COMPUTED_VALUE"""),2.0)</f>
        <v>2</v>
      </c>
      <c r="L264" s="12">
        <f>IFERROR(__xludf.DUMMYFUNCTION("""COMPUTED_VALUE"""),0.3333333333333333)</f>
        <v>0.3333333333</v>
      </c>
      <c r="M264" s="11">
        <f>IFERROR(__xludf.DUMMYFUNCTION("""COMPUTED_VALUE"""),0.0)</f>
        <v>0</v>
      </c>
      <c r="N264" s="11">
        <f>IFERROR(__xludf.DUMMYFUNCTION("""COMPUTED_VALUE"""),990.0)</f>
        <v>990</v>
      </c>
      <c r="O264" s="13">
        <f>IFERROR(__xludf.DUMMYFUNCTION("""COMPUTED_VALUE"""),1.0)</f>
        <v>1</v>
      </c>
      <c r="P264" s="14">
        <f>IFERROR(__xludf.DUMMYFUNCTION("""COMPUTED_VALUE"""),4.0)</f>
        <v>4</v>
      </c>
      <c r="Q264" s="13">
        <f>IFERROR(__xludf.DUMMYFUNCTION("""COMPUTED_VALUE"""),6.0)</f>
        <v>6</v>
      </c>
      <c r="R264" s="13">
        <f>IFERROR(__xludf.DUMMYFUNCTION("""COMPUTED_VALUE"""),7.0)</f>
        <v>7</v>
      </c>
      <c r="S264" s="15">
        <f>IFERROR(__xludf.DUMMYFUNCTION("""COMPUTED_VALUE"""),0.14285714285714285)</f>
        <v>0.1428571429</v>
      </c>
      <c r="T264" s="16">
        <f>IFERROR(__xludf.DUMMYFUNCTION("""COMPUTED_VALUE"""),330.0)</f>
        <v>330</v>
      </c>
      <c r="U264" s="16">
        <f>IFERROR(__xludf.DUMMYFUNCTION("""COMPUTED_VALUE"""),0.3333333333333333)</f>
        <v>0.3333333333</v>
      </c>
      <c r="V264" s="16">
        <f>IFERROR(__xludf.DUMMYFUNCTION("""COMPUTED_VALUE"""),1.3333333333333333)</f>
        <v>1.333333333</v>
      </c>
      <c r="W264" s="16">
        <f>IFERROR(__xludf.DUMMYFUNCTION("""COMPUTED_VALUE"""),2.0)</f>
        <v>2</v>
      </c>
      <c r="X264" s="16">
        <f>IFERROR(__xludf.DUMMYFUNCTION("""COMPUTED_VALUE"""),2.3333333333333335)</f>
        <v>2.333333333</v>
      </c>
      <c r="Y264" s="11">
        <f>IFERROR(__xludf.DUMMYFUNCTION("""COMPUTED_VALUE"""),1.0)</f>
        <v>1</v>
      </c>
      <c r="Z264" s="11">
        <f>IFERROR(__xludf.DUMMYFUNCTION("""COMPUTED_VALUE"""),0.0)</f>
        <v>0</v>
      </c>
      <c r="AA264" s="11">
        <f>IFERROR(__xludf.DUMMYFUNCTION("""COMPUTED_VALUE"""),0.0)</f>
        <v>0</v>
      </c>
      <c r="AB264" s="11">
        <f>IFERROR(__xludf.DUMMYFUNCTION("""COMPUTED_VALUE"""),1.0)</f>
        <v>1</v>
      </c>
      <c r="AC264" s="11">
        <f>IFERROR(__xludf.DUMMYFUNCTION("""COMPUTED_VALUE"""),7.0)</f>
        <v>7</v>
      </c>
      <c r="AD264" s="11">
        <f>IFERROR(__xludf.DUMMYFUNCTION("""COMPUTED_VALUE"""),2.0)</f>
        <v>2</v>
      </c>
    </row>
    <row r="265">
      <c r="A265" s="10" t="str">
        <f>IFERROR(__xludf.DUMMYFUNCTION("""COMPUTED_VALUE"""),"Elite")</f>
        <v>Elite</v>
      </c>
      <c r="B265" s="10" t="str">
        <f>IFERROR(__xludf.DUMMYFUNCTION("""COMPUTED_VALUE"""),"RSC004889")</f>
        <v>RSC004889</v>
      </c>
      <c r="C265" s="10" t="str">
        <f>IFERROR(__xludf.DUMMYFUNCTION("""COMPUTED_VALUE"""),"Steeltoehammer")</f>
        <v>Steeltoehammer</v>
      </c>
      <c r="D265" s="36" t="str">
        <f>IFERROR(__xludf.DUMMYFUNCTION("""COMPUTED_VALUE"""),"Commanders")</f>
        <v>Commanders</v>
      </c>
      <c r="E265" s="10" t="str">
        <f>IFERROR(__xludf.DUMMYFUNCTION("""COMPUTED_VALUE"""),"Lunar")</f>
        <v>Lunar</v>
      </c>
      <c r="F265" s="37">
        <f>IFERROR(__xludf.DUMMYFUNCTION("""COMPUTED_VALUE"""),50.4814183650933)</f>
        <v>50.48141837</v>
      </c>
      <c r="G265" s="38">
        <f>IFERROR(__xludf.DUMMYFUNCTION("""COMPUTED_VALUE"""),57.49711730219151)</f>
        <v>57.4971173</v>
      </c>
      <c r="H265" s="38">
        <f>IFERROR(__xludf.DUMMYFUNCTION("""COMPUTED_VALUE"""),53.9892678336424)</f>
        <v>53.98926783</v>
      </c>
      <c r="I265" s="14">
        <f>IFERROR(__xludf.DUMMYFUNCTION("""COMPUTED_VALUE"""),8.0)</f>
        <v>8</v>
      </c>
      <c r="J265" s="11">
        <f>IFERROR(__xludf.DUMMYFUNCTION("IFERROR(FILTER(Stats!$F:$Z,(Stats!$A:$A=$A265)*(Stats!$B:$B=$B265)))"),4.0)</f>
        <v>4</v>
      </c>
      <c r="K265" s="11">
        <f>IFERROR(__xludf.DUMMYFUNCTION("""COMPUTED_VALUE"""),4.0)</f>
        <v>4</v>
      </c>
      <c r="L265" s="12">
        <f>IFERROR(__xludf.DUMMYFUNCTION("""COMPUTED_VALUE"""),0.5)</f>
        <v>0.5</v>
      </c>
      <c r="M265" s="11">
        <f>IFERROR(__xludf.DUMMYFUNCTION("""COMPUTED_VALUE"""),1.0)</f>
        <v>1</v>
      </c>
      <c r="N265" s="11">
        <f>IFERROR(__xludf.DUMMYFUNCTION("""COMPUTED_VALUE"""),3101.0)</f>
        <v>3101</v>
      </c>
      <c r="O265" s="13">
        <f>IFERROR(__xludf.DUMMYFUNCTION("""COMPUTED_VALUE"""),8.0)</f>
        <v>8</v>
      </c>
      <c r="P265" s="14">
        <f>IFERROR(__xludf.DUMMYFUNCTION("""COMPUTED_VALUE"""),6.0)</f>
        <v>6</v>
      </c>
      <c r="Q265" s="13">
        <f>IFERROR(__xludf.DUMMYFUNCTION("""COMPUTED_VALUE"""),9.0)</f>
        <v>9</v>
      </c>
      <c r="R265" s="13">
        <f>IFERROR(__xludf.DUMMYFUNCTION("""COMPUTED_VALUE"""),20.0)</f>
        <v>20</v>
      </c>
      <c r="S265" s="15">
        <f>IFERROR(__xludf.DUMMYFUNCTION("""COMPUTED_VALUE"""),0.4)</f>
        <v>0.4</v>
      </c>
      <c r="T265" s="16">
        <f>IFERROR(__xludf.DUMMYFUNCTION("""COMPUTED_VALUE"""),387.625)</f>
        <v>387.625</v>
      </c>
      <c r="U265" s="16">
        <f>IFERROR(__xludf.DUMMYFUNCTION("""COMPUTED_VALUE"""),1.0)</f>
        <v>1</v>
      </c>
      <c r="V265" s="16">
        <f>IFERROR(__xludf.DUMMYFUNCTION("""COMPUTED_VALUE"""),0.75)</f>
        <v>0.75</v>
      </c>
      <c r="W265" s="16">
        <f>IFERROR(__xludf.DUMMYFUNCTION("""COMPUTED_VALUE"""),1.125)</f>
        <v>1.125</v>
      </c>
      <c r="X265" s="16">
        <f>IFERROR(__xludf.DUMMYFUNCTION("""COMPUTED_VALUE"""),2.5)</f>
        <v>2.5</v>
      </c>
      <c r="Y265" s="11">
        <f>IFERROR(__xludf.DUMMYFUNCTION("""COMPUTED_VALUE"""),3.0)</f>
        <v>3</v>
      </c>
      <c r="Z265" s="11">
        <f>IFERROR(__xludf.DUMMYFUNCTION("""COMPUTED_VALUE"""),1.0)</f>
        <v>1</v>
      </c>
      <c r="AA265" s="11">
        <f>IFERROR(__xludf.DUMMYFUNCTION("""COMPUTED_VALUE"""),0.0)</f>
        <v>0</v>
      </c>
      <c r="AB265" s="11">
        <f>IFERROR(__xludf.DUMMYFUNCTION("""COMPUTED_VALUE"""),1.0)</f>
        <v>1</v>
      </c>
      <c r="AC265" s="11">
        <f>IFERROR(__xludf.DUMMYFUNCTION("""COMPUTED_VALUE"""),7.0)</f>
        <v>7</v>
      </c>
      <c r="AD265" s="11">
        <f>IFERROR(__xludf.DUMMYFUNCTION("""COMPUTED_VALUE"""),7.0)</f>
        <v>7</v>
      </c>
    </row>
    <row r="266">
      <c r="A266" s="10" t="str">
        <f>IFERROR(__xludf.DUMMYFUNCTION("""COMPUTED_VALUE"""),"Elite")</f>
        <v>Elite</v>
      </c>
      <c r="B266" s="10" t="str">
        <f>IFERROR(__xludf.DUMMYFUNCTION("""COMPUTED_VALUE"""),"RSC006869")</f>
        <v>RSC006869</v>
      </c>
      <c r="C266" s="10" t="str">
        <f>IFERROR(__xludf.DUMMYFUNCTION("""COMPUTED_VALUE"""),"Flurry ^-^")</f>
        <v>Flurry ^-^</v>
      </c>
      <c r="D266" s="36" t="str">
        <f>IFERROR(__xludf.DUMMYFUNCTION("""COMPUTED_VALUE"""),"Dik-diks")</f>
        <v>Dik-diks</v>
      </c>
      <c r="E266" s="10" t="str">
        <f>IFERROR(__xludf.DUMMYFUNCTION("""COMPUTED_VALUE"""),"Lunar")</f>
        <v>Lunar</v>
      </c>
      <c r="F266" s="37">
        <f>IFERROR(__xludf.DUMMYFUNCTION("""COMPUTED_VALUE"""),49.230576969332745)</f>
        <v>49.23057697</v>
      </c>
      <c r="G266" s="38">
        <f>IFERROR(__xludf.DUMMYFUNCTION("""COMPUTED_VALUE"""),58.67586489605795)</f>
        <v>58.6758649</v>
      </c>
      <c r="H266" s="38">
        <f>IFERROR(__xludf.DUMMYFUNCTION("""COMPUTED_VALUE"""),53.953220932695345)</f>
        <v>53.95322093</v>
      </c>
      <c r="I266" s="14">
        <f>IFERROR(__xludf.DUMMYFUNCTION("""COMPUTED_VALUE"""),42.0)</f>
        <v>42</v>
      </c>
      <c r="J266" s="11">
        <f>IFERROR(__xludf.DUMMYFUNCTION("IFERROR(FILTER(Stats!$F:$Z,(Stats!$A:$A=$A266)*(Stats!$B:$B=$B266)))"),20.0)</f>
        <v>20</v>
      </c>
      <c r="K266" s="11">
        <f>IFERROR(__xludf.DUMMYFUNCTION("""COMPUTED_VALUE"""),22.0)</f>
        <v>22</v>
      </c>
      <c r="L266" s="12">
        <f>IFERROR(__xludf.DUMMYFUNCTION("""COMPUTED_VALUE"""),0.47619047619047616)</f>
        <v>0.4761904762</v>
      </c>
      <c r="M266" s="11">
        <f>IFERROR(__xludf.DUMMYFUNCTION("""COMPUTED_VALUE"""),5.0)</f>
        <v>5</v>
      </c>
      <c r="N266" s="11">
        <f>IFERROR(__xludf.DUMMYFUNCTION("""COMPUTED_VALUE"""),14399.0)</f>
        <v>14399</v>
      </c>
      <c r="O266" s="13">
        <f>IFERROR(__xludf.DUMMYFUNCTION("""COMPUTED_VALUE"""),41.0)</f>
        <v>41</v>
      </c>
      <c r="P266" s="14">
        <f>IFERROR(__xludf.DUMMYFUNCTION("""COMPUTED_VALUE"""),26.0)</f>
        <v>26</v>
      </c>
      <c r="Q266" s="13">
        <f>IFERROR(__xludf.DUMMYFUNCTION("""COMPUTED_VALUE"""),51.0)</f>
        <v>51</v>
      </c>
      <c r="R266" s="13">
        <f>IFERROR(__xludf.DUMMYFUNCTION("""COMPUTED_VALUE"""),105.0)</f>
        <v>105</v>
      </c>
      <c r="S266" s="15">
        <f>IFERROR(__xludf.DUMMYFUNCTION("""COMPUTED_VALUE"""),0.3904761904761905)</f>
        <v>0.3904761905</v>
      </c>
      <c r="T266" s="16">
        <f>IFERROR(__xludf.DUMMYFUNCTION("""COMPUTED_VALUE"""),342.8333333333333)</f>
        <v>342.8333333</v>
      </c>
      <c r="U266" s="16">
        <f>IFERROR(__xludf.DUMMYFUNCTION("""COMPUTED_VALUE"""),0.9761904761904762)</f>
        <v>0.9761904762</v>
      </c>
      <c r="V266" s="16">
        <f>IFERROR(__xludf.DUMMYFUNCTION("""COMPUTED_VALUE"""),0.6190476190476191)</f>
        <v>0.619047619</v>
      </c>
      <c r="W266" s="16">
        <f>IFERROR(__xludf.DUMMYFUNCTION("""COMPUTED_VALUE"""),1.2142857142857142)</f>
        <v>1.214285714</v>
      </c>
      <c r="X266" s="16">
        <f>IFERROR(__xludf.DUMMYFUNCTION("""COMPUTED_VALUE"""),2.5)</f>
        <v>2.5</v>
      </c>
      <c r="Y266" s="11">
        <f>IFERROR(__xludf.DUMMYFUNCTION("""COMPUTED_VALUE"""),8.0)</f>
        <v>8</v>
      </c>
      <c r="Z266" s="11">
        <f>IFERROR(__xludf.DUMMYFUNCTION("""COMPUTED_VALUE"""),4.0)</f>
        <v>4</v>
      </c>
      <c r="AA266" s="11">
        <f>IFERROR(__xludf.DUMMYFUNCTION("""COMPUTED_VALUE"""),1.0)</f>
        <v>1</v>
      </c>
      <c r="AB266" s="11">
        <f>IFERROR(__xludf.DUMMYFUNCTION("""COMPUTED_VALUE"""),7.0)</f>
        <v>7</v>
      </c>
      <c r="AC266" s="11">
        <f>IFERROR(__xludf.DUMMYFUNCTION("""COMPUTED_VALUE"""),17.0)</f>
        <v>17</v>
      </c>
      <c r="AD266" s="11">
        <f>IFERROR(__xludf.DUMMYFUNCTION("""COMPUTED_VALUE"""),30.0)</f>
        <v>30</v>
      </c>
    </row>
    <row r="267">
      <c r="A267" s="10" t="str">
        <f>IFERROR(__xludf.DUMMYFUNCTION("""COMPUTED_VALUE"""),"Elite")</f>
        <v>Elite</v>
      </c>
      <c r="B267" s="10" t="str">
        <f>IFERROR(__xludf.DUMMYFUNCTION("""COMPUTED_VALUE"""),"RSC002892")</f>
        <v>RSC002892</v>
      </c>
      <c r="C267" s="10" t="str">
        <f>IFERROR(__xludf.DUMMYFUNCTION("""COMPUTED_VALUE"""),"nickm")</f>
        <v>nickm</v>
      </c>
      <c r="D267" s="36" t="str">
        <f>IFERROR(__xludf.DUMMYFUNCTION("""COMPUTED_VALUE"""),"Pixel Picassos")</f>
        <v>Pixel Picassos</v>
      </c>
      <c r="E267" s="10" t="str">
        <f>IFERROR(__xludf.DUMMYFUNCTION("""COMPUTED_VALUE"""),"Solar")</f>
        <v>Solar</v>
      </c>
      <c r="F267" s="37">
        <f>IFERROR(__xludf.DUMMYFUNCTION("""COMPUTED_VALUE"""),51.22553311334431)</f>
        <v>51.22553311</v>
      </c>
      <c r="G267" s="38">
        <f>IFERROR(__xludf.DUMMYFUNCTION("""COMPUTED_VALUE"""),56.32978263899199)</f>
        <v>56.32978264</v>
      </c>
      <c r="H267" s="38">
        <f>IFERROR(__xludf.DUMMYFUNCTION("""COMPUTED_VALUE"""),53.77765787616815)</f>
        <v>53.77765788</v>
      </c>
      <c r="I267" s="14">
        <f>IFERROR(__xludf.DUMMYFUNCTION("""COMPUTED_VALUE"""),48.0)</f>
        <v>48</v>
      </c>
      <c r="J267" s="11">
        <f>IFERROR(__xludf.DUMMYFUNCTION("IFERROR(FILTER(Stats!$F:$Z,(Stats!$A:$A=$A267)*(Stats!$B:$B=$B267)))"),20.0)</f>
        <v>20</v>
      </c>
      <c r="K267" s="11">
        <f>IFERROR(__xludf.DUMMYFUNCTION("""COMPUTED_VALUE"""),28.0)</f>
        <v>28</v>
      </c>
      <c r="L267" s="12">
        <f>IFERROR(__xludf.DUMMYFUNCTION("""COMPUTED_VALUE"""),0.4166666666666667)</f>
        <v>0.4166666667</v>
      </c>
      <c r="M267" s="11">
        <f>IFERROR(__xludf.DUMMYFUNCTION("""COMPUTED_VALUE"""),6.0)</f>
        <v>6</v>
      </c>
      <c r="N267" s="11">
        <f>IFERROR(__xludf.DUMMYFUNCTION("""COMPUTED_VALUE"""),16081.0)</f>
        <v>16081</v>
      </c>
      <c r="O267" s="13">
        <f>IFERROR(__xludf.DUMMYFUNCTION("""COMPUTED_VALUE"""),38.0)</f>
        <v>38</v>
      </c>
      <c r="P267" s="14">
        <f>IFERROR(__xludf.DUMMYFUNCTION("""COMPUTED_VALUE"""),30.0)</f>
        <v>30</v>
      </c>
      <c r="Q267" s="13">
        <f>IFERROR(__xludf.DUMMYFUNCTION("""COMPUTED_VALUE"""),54.0)</f>
        <v>54</v>
      </c>
      <c r="R267" s="13">
        <f>IFERROR(__xludf.DUMMYFUNCTION("""COMPUTED_VALUE"""),135.0)</f>
        <v>135</v>
      </c>
      <c r="S267" s="15">
        <f>IFERROR(__xludf.DUMMYFUNCTION("""COMPUTED_VALUE"""),0.2814814814814815)</f>
        <v>0.2814814815</v>
      </c>
      <c r="T267" s="16">
        <f>IFERROR(__xludf.DUMMYFUNCTION("""COMPUTED_VALUE"""),335.0208333333333)</f>
        <v>335.0208333</v>
      </c>
      <c r="U267" s="16">
        <f>IFERROR(__xludf.DUMMYFUNCTION("""COMPUTED_VALUE"""),0.7916666666666666)</f>
        <v>0.7916666667</v>
      </c>
      <c r="V267" s="16">
        <f>IFERROR(__xludf.DUMMYFUNCTION("""COMPUTED_VALUE"""),0.625)</f>
        <v>0.625</v>
      </c>
      <c r="W267" s="16">
        <f>IFERROR(__xludf.DUMMYFUNCTION("""COMPUTED_VALUE"""),1.125)</f>
        <v>1.125</v>
      </c>
      <c r="X267" s="16">
        <f>IFERROR(__xludf.DUMMYFUNCTION("""COMPUTED_VALUE"""),2.8125)</f>
        <v>2.8125</v>
      </c>
      <c r="Y267" s="11">
        <f>IFERROR(__xludf.DUMMYFUNCTION("""COMPUTED_VALUE"""),7.0)</f>
        <v>7</v>
      </c>
      <c r="Z267" s="11">
        <f>IFERROR(__xludf.DUMMYFUNCTION("""COMPUTED_VALUE"""),3.0)</f>
        <v>3</v>
      </c>
      <c r="AA267" s="11">
        <f>IFERROR(__xludf.DUMMYFUNCTION("""COMPUTED_VALUE"""),0.0)</f>
        <v>0</v>
      </c>
      <c r="AB267" s="11">
        <f>IFERROR(__xludf.DUMMYFUNCTION("""COMPUTED_VALUE"""),5.0)</f>
        <v>5</v>
      </c>
      <c r="AC267" s="11">
        <f>IFERROR(__xludf.DUMMYFUNCTION("""COMPUTED_VALUE"""),24.0)</f>
        <v>24</v>
      </c>
      <c r="AD267" s="11">
        <f>IFERROR(__xludf.DUMMYFUNCTION("""COMPUTED_VALUE"""),48.0)</f>
        <v>48</v>
      </c>
    </row>
    <row r="268">
      <c r="A268" s="10" t="str">
        <f>IFERROR(__xludf.DUMMYFUNCTION("""COMPUTED_VALUE"""),"Elite")</f>
        <v>Elite</v>
      </c>
      <c r="B268" s="10" t="str">
        <f>IFERROR(__xludf.DUMMYFUNCTION("""COMPUTED_VALUE"""),"RSC002579")</f>
        <v>RSC002579</v>
      </c>
      <c r="C268" s="10" t="str">
        <f>IFERROR(__xludf.DUMMYFUNCTION("""COMPUTED_VALUE"""),"saltybikini")</f>
        <v>saltybikini</v>
      </c>
      <c r="D268" s="36" t="str">
        <f>IFERROR(__xludf.DUMMYFUNCTION("""COMPUTED_VALUE"""),"Sloths
Afterburners")</f>
        <v>Sloths
Afterburners</v>
      </c>
      <c r="E268" s="10" t="str">
        <f>IFERROR(__xludf.DUMMYFUNCTION("""COMPUTED_VALUE"""),"Solar
Lunar")</f>
        <v>Solar
Lunar</v>
      </c>
      <c r="F268" s="37">
        <f>IFERROR(__xludf.DUMMYFUNCTION("""COMPUTED_VALUE"""),54.32989273697051)</f>
        <v>54.32989274</v>
      </c>
      <c r="G268" s="38">
        <f>IFERROR(__xludf.DUMMYFUNCTION("""COMPUTED_VALUE"""),52.886609024584224)</f>
        <v>52.88660902</v>
      </c>
      <c r="H268" s="38">
        <f>IFERROR(__xludf.DUMMYFUNCTION("""COMPUTED_VALUE"""),53.60825088077736)</f>
        <v>53.60825088</v>
      </c>
      <c r="I268" s="14">
        <f>IFERROR(__xludf.DUMMYFUNCTION("""COMPUTED_VALUE"""),25.0)</f>
        <v>25</v>
      </c>
      <c r="J268" s="11">
        <f>IFERROR(__xludf.DUMMYFUNCTION("IFERROR(FILTER(Stats!$F:$Z,(Stats!$A:$A=$A268)*(Stats!$B:$B=$B268)))"),17.0)</f>
        <v>17</v>
      </c>
      <c r="K268" s="11">
        <f>IFERROR(__xludf.DUMMYFUNCTION("""COMPUTED_VALUE"""),8.0)</f>
        <v>8</v>
      </c>
      <c r="L268" s="12">
        <f>IFERROR(__xludf.DUMMYFUNCTION("""COMPUTED_VALUE"""),0.68)</f>
        <v>0.68</v>
      </c>
      <c r="M268" s="11">
        <f>IFERROR(__xludf.DUMMYFUNCTION("""COMPUTED_VALUE"""),6.0)</f>
        <v>6</v>
      </c>
      <c r="N268" s="11">
        <f>IFERROR(__xludf.DUMMYFUNCTION("""COMPUTED_VALUE"""),8308.0)</f>
        <v>8308</v>
      </c>
      <c r="O268" s="13">
        <f>IFERROR(__xludf.DUMMYFUNCTION("""COMPUTED_VALUE"""),16.0)</f>
        <v>16</v>
      </c>
      <c r="P268" s="14">
        <f>IFERROR(__xludf.DUMMYFUNCTION("""COMPUTED_VALUE"""),15.0)</f>
        <v>15</v>
      </c>
      <c r="Q268" s="13">
        <f>IFERROR(__xludf.DUMMYFUNCTION("""COMPUTED_VALUE"""),33.0)</f>
        <v>33</v>
      </c>
      <c r="R268" s="13">
        <f>IFERROR(__xludf.DUMMYFUNCTION("""COMPUTED_VALUE"""),67.0)</f>
        <v>67</v>
      </c>
      <c r="S268" s="15">
        <f>IFERROR(__xludf.DUMMYFUNCTION("""COMPUTED_VALUE"""),0.23880597014925373)</f>
        <v>0.2388059701</v>
      </c>
      <c r="T268" s="16">
        <f>IFERROR(__xludf.DUMMYFUNCTION("""COMPUTED_VALUE"""),332.32)</f>
        <v>332.32</v>
      </c>
      <c r="U268" s="16">
        <f>IFERROR(__xludf.DUMMYFUNCTION("""COMPUTED_VALUE"""),0.64)</f>
        <v>0.64</v>
      </c>
      <c r="V268" s="16">
        <f>IFERROR(__xludf.DUMMYFUNCTION("""COMPUTED_VALUE"""),0.6)</f>
        <v>0.6</v>
      </c>
      <c r="W268" s="16">
        <f>IFERROR(__xludf.DUMMYFUNCTION("""COMPUTED_VALUE"""),1.32)</f>
        <v>1.32</v>
      </c>
      <c r="X268" s="16">
        <f>IFERROR(__xludf.DUMMYFUNCTION("""COMPUTED_VALUE"""),2.68)</f>
        <v>2.68</v>
      </c>
      <c r="Y268" s="11">
        <f>IFERROR(__xludf.DUMMYFUNCTION("""COMPUTED_VALUE"""),7.0)</f>
        <v>7</v>
      </c>
      <c r="Z268" s="11">
        <f>IFERROR(__xludf.DUMMYFUNCTION("""COMPUTED_VALUE"""),1.0)</f>
        <v>1</v>
      </c>
      <c r="AA268" s="11">
        <f>IFERROR(__xludf.DUMMYFUNCTION("""COMPUTED_VALUE"""),1.0)</f>
        <v>1</v>
      </c>
      <c r="AB268" s="11">
        <f>IFERROR(__xludf.DUMMYFUNCTION("""COMPUTED_VALUE"""),3.0)</f>
        <v>3</v>
      </c>
      <c r="AC268" s="11">
        <f>IFERROR(__xludf.DUMMYFUNCTION("""COMPUTED_VALUE"""),28.0)</f>
        <v>28</v>
      </c>
      <c r="AD268" s="11">
        <f>IFERROR(__xludf.DUMMYFUNCTION("""COMPUTED_VALUE"""),31.0)</f>
        <v>31</v>
      </c>
    </row>
    <row r="269">
      <c r="A269" s="10" t="str">
        <f>IFERROR(__xludf.DUMMYFUNCTION("""COMPUTED_VALUE"""),"Elite")</f>
        <v>Elite</v>
      </c>
      <c r="B269" s="10" t="str">
        <f>IFERROR(__xludf.DUMMYFUNCTION("""COMPUTED_VALUE"""),"RSC002729")</f>
        <v>RSC002729</v>
      </c>
      <c r="C269" s="10" t="str">
        <f>IFERROR(__xludf.DUMMYFUNCTION("""COMPUTED_VALUE"""),"snugcore")</f>
        <v>snugcore</v>
      </c>
      <c r="D269" s="36" t="str">
        <f>IFERROR(__xludf.DUMMYFUNCTION("""COMPUTED_VALUE"""),"Thrashers")</f>
        <v>Thrashers</v>
      </c>
      <c r="E269" s="10" t="str">
        <f>IFERROR(__xludf.DUMMYFUNCTION("""COMPUTED_VALUE"""),"Lunar")</f>
        <v>Lunar</v>
      </c>
      <c r="F269" s="37">
        <f>IFERROR(__xludf.DUMMYFUNCTION("""COMPUTED_VALUE"""),54.096083000743924)</f>
        <v>54.096083</v>
      </c>
      <c r="G269" s="38">
        <f>IFERROR(__xludf.DUMMYFUNCTION("""COMPUTED_VALUE"""),52.558542722941695)</f>
        <v>52.55854272</v>
      </c>
      <c r="H269" s="38">
        <f>IFERROR(__xludf.DUMMYFUNCTION("""COMPUTED_VALUE"""),53.32731286184281)</f>
        <v>53.32731286</v>
      </c>
      <c r="I269" s="14">
        <f>IFERROR(__xludf.DUMMYFUNCTION("""COMPUTED_VALUE"""),56.0)</f>
        <v>56</v>
      </c>
      <c r="J269" s="11">
        <f>IFERROR(__xludf.DUMMYFUNCTION("IFERROR(FILTER(Stats!$F:$Z,(Stats!$A:$A=$A269)*(Stats!$B:$B=$B269)))"),24.0)</f>
        <v>24</v>
      </c>
      <c r="K269" s="11">
        <f>IFERROR(__xludf.DUMMYFUNCTION("""COMPUTED_VALUE"""),32.0)</f>
        <v>32</v>
      </c>
      <c r="L269" s="12">
        <f>IFERROR(__xludf.DUMMYFUNCTION("""COMPUTED_VALUE"""),0.42857142857142855)</f>
        <v>0.4285714286</v>
      </c>
      <c r="M269" s="11">
        <f>IFERROR(__xludf.DUMMYFUNCTION("""COMPUTED_VALUE"""),10.0)</f>
        <v>10</v>
      </c>
      <c r="N269" s="11">
        <f>IFERROR(__xludf.DUMMYFUNCTION("""COMPUTED_VALUE"""),19153.0)</f>
        <v>19153</v>
      </c>
      <c r="O269" s="13">
        <f>IFERROR(__xludf.DUMMYFUNCTION("""COMPUTED_VALUE"""),40.0)</f>
        <v>40</v>
      </c>
      <c r="P269" s="14">
        <f>IFERROR(__xludf.DUMMYFUNCTION("""COMPUTED_VALUE"""),36.0)</f>
        <v>36</v>
      </c>
      <c r="Q269" s="13">
        <f>IFERROR(__xludf.DUMMYFUNCTION("""COMPUTED_VALUE"""),61.0)</f>
        <v>61</v>
      </c>
      <c r="R269" s="13">
        <f>IFERROR(__xludf.DUMMYFUNCTION("""COMPUTED_VALUE"""),166.0)</f>
        <v>166</v>
      </c>
      <c r="S269" s="15">
        <f>IFERROR(__xludf.DUMMYFUNCTION("""COMPUTED_VALUE"""),0.24096385542168675)</f>
        <v>0.2409638554</v>
      </c>
      <c r="T269" s="16">
        <f>IFERROR(__xludf.DUMMYFUNCTION("""COMPUTED_VALUE"""),342.01785714285717)</f>
        <v>342.0178571</v>
      </c>
      <c r="U269" s="16">
        <f>IFERROR(__xludf.DUMMYFUNCTION("""COMPUTED_VALUE"""),0.7142857142857143)</f>
        <v>0.7142857143</v>
      </c>
      <c r="V269" s="16">
        <f>IFERROR(__xludf.DUMMYFUNCTION("""COMPUTED_VALUE"""),0.6428571428571429)</f>
        <v>0.6428571429</v>
      </c>
      <c r="W269" s="16">
        <f>IFERROR(__xludf.DUMMYFUNCTION("""COMPUTED_VALUE"""),1.0892857142857142)</f>
        <v>1.089285714</v>
      </c>
      <c r="X269" s="16">
        <f>IFERROR(__xludf.DUMMYFUNCTION("""COMPUTED_VALUE"""),2.9642857142857144)</f>
        <v>2.964285714</v>
      </c>
      <c r="Y269" s="11">
        <f>IFERROR(__xludf.DUMMYFUNCTION("""COMPUTED_VALUE"""),7.0)</f>
        <v>7</v>
      </c>
      <c r="Z269" s="11">
        <f>IFERROR(__xludf.DUMMYFUNCTION("""COMPUTED_VALUE"""),2.0)</f>
        <v>2</v>
      </c>
      <c r="AA269" s="11">
        <f>IFERROR(__xludf.DUMMYFUNCTION("""COMPUTED_VALUE"""),4.0)</f>
        <v>4</v>
      </c>
      <c r="AB269" s="11">
        <f>IFERROR(__xludf.DUMMYFUNCTION("""COMPUTED_VALUE"""),7.0)</f>
        <v>7</v>
      </c>
      <c r="AC269" s="11">
        <f>IFERROR(__xludf.DUMMYFUNCTION("""COMPUTED_VALUE"""),54.0)</f>
        <v>54</v>
      </c>
      <c r="AD269" s="11">
        <f>IFERROR(__xludf.DUMMYFUNCTION("""COMPUTED_VALUE"""),73.0)</f>
        <v>73</v>
      </c>
    </row>
    <row r="270">
      <c r="A270" s="10" t="str">
        <f>IFERROR(__xludf.DUMMYFUNCTION("""COMPUTED_VALUE"""),"Elite")</f>
        <v>Elite</v>
      </c>
      <c r="B270" s="10" t="str">
        <f>IFERROR(__xludf.DUMMYFUNCTION("""COMPUTED_VALUE"""),"RSC005491")</f>
        <v>RSC005491</v>
      </c>
      <c r="C270" s="10" t="str">
        <f>IFERROR(__xludf.DUMMYFUNCTION("""COMPUTED_VALUE"""),"Jackowanou")</f>
        <v>Jackowanou</v>
      </c>
      <c r="D270" s="36" t="str">
        <f>IFERROR(__xludf.DUMMYFUNCTION("""COMPUTED_VALUE"""),"Teddy Bears")</f>
        <v>Teddy Bears</v>
      </c>
      <c r="E270" s="10" t="str">
        <f>IFERROR(__xludf.DUMMYFUNCTION("""COMPUTED_VALUE"""),"Solar")</f>
        <v>Solar</v>
      </c>
      <c r="F270" s="37">
        <f>IFERROR(__xludf.DUMMYFUNCTION("""COMPUTED_VALUE"""),52.135609650620765)</f>
        <v>52.13560965</v>
      </c>
      <c r="G270" s="38">
        <f>IFERROR(__xludf.DUMMYFUNCTION("""COMPUTED_VALUE"""),53.62465931250395)</f>
        <v>53.62465931</v>
      </c>
      <c r="H270" s="38">
        <f>IFERROR(__xludf.DUMMYFUNCTION("""COMPUTED_VALUE"""),52.88013448156236)</f>
        <v>52.88013448</v>
      </c>
      <c r="I270" s="14">
        <f>IFERROR(__xludf.DUMMYFUNCTION("""COMPUTED_VALUE"""),52.0)</f>
        <v>52</v>
      </c>
      <c r="J270" s="11">
        <f>IFERROR(__xludf.DUMMYFUNCTION("IFERROR(FILTER(Stats!$F:$Z,(Stats!$A:$A=$A270)*(Stats!$B:$B=$B270)))"),27.0)</f>
        <v>27</v>
      </c>
      <c r="K270" s="11">
        <f>IFERROR(__xludf.DUMMYFUNCTION("""COMPUTED_VALUE"""),25.0)</f>
        <v>25</v>
      </c>
      <c r="L270" s="12">
        <f>IFERROR(__xludf.DUMMYFUNCTION("""COMPUTED_VALUE"""),0.5192307692307693)</f>
        <v>0.5192307692</v>
      </c>
      <c r="M270" s="11">
        <f>IFERROR(__xludf.DUMMYFUNCTION("""COMPUTED_VALUE"""),5.0)</f>
        <v>5</v>
      </c>
      <c r="N270" s="11">
        <f>IFERROR(__xludf.DUMMYFUNCTION("""COMPUTED_VALUE"""),18165.0)</f>
        <v>18165</v>
      </c>
      <c r="O270" s="13">
        <f>IFERROR(__xludf.DUMMYFUNCTION("""COMPUTED_VALUE"""),43.0)</f>
        <v>43</v>
      </c>
      <c r="P270" s="14">
        <f>IFERROR(__xludf.DUMMYFUNCTION("""COMPUTED_VALUE"""),29.0)</f>
        <v>29</v>
      </c>
      <c r="Q270" s="13">
        <f>IFERROR(__xludf.DUMMYFUNCTION("""COMPUTED_VALUE"""),69.0)</f>
        <v>69</v>
      </c>
      <c r="R270" s="13">
        <f>IFERROR(__xludf.DUMMYFUNCTION("""COMPUTED_VALUE"""),126.0)</f>
        <v>126</v>
      </c>
      <c r="S270" s="15">
        <f>IFERROR(__xludf.DUMMYFUNCTION("""COMPUTED_VALUE"""),0.3412698412698413)</f>
        <v>0.3412698413</v>
      </c>
      <c r="T270" s="16">
        <f>IFERROR(__xludf.DUMMYFUNCTION("""COMPUTED_VALUE"""),349.3269230769231)</f>
        <v>349.3269231</v>
      </c>
      <c r="U270" s="16">
        <f>IFERROR(__xludf.DUMMYFUNCTION("""COMPUTED_VALUE"""),0.8269230769230769)</f>
        <v>0.8269230769</v>
      </c>
      <c r="V270" s="16">
        <f>IFERROR(__xludf.DUMMYFUNCTION("""COMPUTED_VALUE"""),0.5576923076923077)</f>
        <v>0.5576923077</v>
      </c>
      <c r="W270" s="16">
        <f>IFERROR(__xludf.DUMMYFUNCTION("""COMPUTED_VALUE"""),1.3269230769230769)</f>
        <v>1.326923077</v>
      </c>
      <c r="X270" s="16">
        <f>IFERROR(__xludf.DUMMYFUNCTION("""COMPUTED_VALUE"""),2.423076923076923)</f>
        <v>2.423076923</v>
      </c>
      <c r="Y270" s="11">
        <f>IFERROR(__xludf.DUMMYFUNCTION("""COMPUTED_VALUE"""),10.0)</f>
        <v>10</v>
      </c>
      <c r="Z270" s="11">
        <f>IFERROR(__xludf.DUMMYFUNCTION("""COMPUTED_VALUE"""),4.0)</f>
        <v>4</v>
      </c>
      <c r="AA270" s="11">
        <f>IFERROR(__xludf.DUMMYFUNCTION("""COMPUTED_VALUE"""),1.0)</f>
        <v>1</v>
      </c>
      <c r="AB270" s="11">
        <f>IFERROR(__xludf.DUMMYFUNCTION("""COMPUTED_VALUE"""),8.0)</f>
        <v>8</v>
      </c>
      <c r="AC270" s="11">
        <f>IFERROR(__xludf.DUMMYFUNCTION("""COMPUTED_VALUE"""),40.0)</f>
        <v>40</v>
      </c>
      <c r="AD270" s="11">
        <f>IFERROR(__xludf.DUMMYFUNCTION("""COMPUTED_VALUE"""),61.0)</f>
        <v>61</v>
      </c>
    </row>
    <row r="271">
      <c r="A271" s="10" t="str">
        <f>IFERROR(__xludf.DUMMYFUNCTION("""COMPUTED_VALUE"""),"Elite")</f>
        <v>Elite</v>
      </c>
      <c r="B271" s="10" t="str">
        <f>IFERROR(__xludf.DUMMYFUNCTION("""COMPUTED_VALUE"""),"RSC007855")</f>
        <v>RSC007855</v>
      </c>
      <c r="C271" s="10" t="str">
        <f>IFERROR(__xludf.DUMMYFUNCTION("""COMPUTED_VALUE"""),"Dub_Dill")</f>
        <v>Dub_Dill</v>
      </c>
      <c r="D271" s="36" t="str">
        <f>IFERROR(__xludf.DUMMYFUNCTION("""COMPUTED_VALUE"""),"Praetorian Guard
Afterburners")</f>
        <v>Praetorian Guard
Afterburners</v>
      </c>
      <c r="E271" s="10" t="str">
        <f>IFERROR(__xludf.DUMMYFUNCTION("""COMPUTED_VALUE"""),"Solar
Lunar")</f>
        <v>Solar
Lunar</v>
      </c>
      <c r="F271" s="37">
        <f>IFERROR(__xludf.DUMMYFUNCTION("""COMPUTED_VALUE"""),52.08595583585588)</f>
        <v>52.08595584</v>
      </c>
      <c r="G271" s="38">
        <f>IFERROR(__xludf.DUMMYFUNCTION("""COMPUTED_VALUE"""),53.2750983792078)</f>
        <v>53.27509838</v>
      </c>
      <c r="H271" s="38">
        <f>IFERROR(__xludf.DUMMYFUNCTION("""COMPUTED_VALUE"""),52.68052710753184)</f>
        <v>52.68052711</v>
      </c>
      <c r="I271" s="14">
        <f>IFERROR(__xludf.DUMMYFUNCTION("""COMPUTED_VALUE"""),37.0)</f>
        <v>37</v>
      </c>
      <c r="J271" s="11">
        <f>IFERROR(__xludf.DUMMYFUNCTION("IFERROR(FILTER(Stats!$F:$Z,(Stats!$A:$A=$A271)*(Stats!$B:$B=$B271)))"),17.0)</f>
        <v>17</v>
      </c>
      <c r="K271" s="11">
        <f>IFERROR(__xludf.DUMMYFUNCTION("""COMPUTED_VALUE"""),20.0)</f>
        <v>20</v>
      </c>
      <c r="L271" s="12">
        <f>IFERROR(__xludf.DUMMYFUNCTION("""COMPUTED_VALUE"""),0.4594594594594595)</f>
        <v>0.4594594595</v>
      </c>
      <c r="M271" s="11">
        <f>IFERROR(__xludf.DUMMYFUNCTION("""COMPUTED_VALUE"""),6.0)</f>
        <v>6</v>
      </c>
      <c r="N271" s="11">
        <f>IFERROR(__xludf.DUMMYFUNCTION("""COMPUTED_VALUE"""),12681.0)</f>
        <v>12681</v>
      </c>
      <c r="O271" s="13">
        <f>IFERROR(__xludf.DUMMYFUNCTION("""COMPUTED_VALUE"""),29.0)</f>
        <v>29</v>
      </c>
      <c r="P271" s="14">
        <f>IFERROR(__xludf.DUMMYFUNCTION("""COMPUTED_VALUE"""),21.0)</f>
        <v>21</v>
      </c>
      <c r="Q271" s="13">
        <f>IFERROR(__xludf.DUMMYFUNCTION("""COMPUTED_VALUE"""),44.0)</f>
        <v>44</v>
      </c>
      <c r="R271" s="13">
        <f>IFERROR(__xludf.DUMMYFUNCTION("""COMPUTED_VALUE"""),97.0)</f>
        <v>97</v>
      </c>
      <c r="S271" s="15">
        <f>IFERROR(__xludf.DUMMYFUNCTION("""COMPUTED_VALUE"""),0.29896907216494845)</f>
        <v>0.2989690722</v>
      </c>
      <c r="T271" s="16">
        <f>IFERROR(__xludf.DUMMYFUNCTION("""COMPUTED_VALUE"""),342.72972972972974)</f>
        <v>342.7297297</v>
      </c>
      <c r="U271" s="16">
        <f>IFERROR(__xludf.DUMMYFUNCTION("""COMPUTED_VALUE"""),0.7837837837837838)</f>
        <v>0.7837837838</v>
      </c>
      <c r="V271" s="16">
        <f>IFERROR(__xludf.DUMMYFUNCTION("""COMPUTED_VALUE"""),0.5675675675675675)</f>
        <v>0.5675675676</v>
      </c>
      <c r="W271" s="16">
        <f>IFERROR(__xludf.DUMMYFUNCTION("""COMPUTED_VALUE"""),1.1891891891891893)</f>
        <v>1.189189189</v>
      </c>
      <c r="X271" s="16">
        <f>IFERROR(__xludf.DUMMYFUNCTION("""COMPUTED_VALUE"""),2.6216216216216215)</f>
        <v>2.621621622</v>
      </c>
      <c r="Y271" s="11">
        <f>IFERROR(__xludf.DUMMYFUNCTION("""COMPUTED_VALUE"""),6.0)</f>
        <v>6</v>
      </c>
      <c r="Z271" s="11">
        <f>IFERROR(__xludf.DUMMYFUNCTION("""COMPUTED_VALUE"""),2.0)</f>
        <v>2</v>
      </c>
      <c r="AA271" s="11">
        <f>IFERROR(__xludf.DUMMYFUNCTION("""COMPUTED_VALUE"""),2.0)</f>
        <v>2</v>
      </c>
      <c r="AB271" s="11">
        <f>IFERROR(__xludf.DUMMYFUNCTION("""COMPUTED_VALUE"""),6.0)</f>
        <v>6</v>
      </c>
      <c r="AC271" s="11">
        <f>IFERROR(__xludf.DUMMYFUNCTION("""COMPUTED_VALUE"""),36.0)</f>
        <v>36</v>
      </c>
      <c r="AD271" s="11">
        <f>IFERROR(__xludf.DUMMYFUNCTION("""COMPUTED_VALUE"""),53.0)</f>
        <v>53</v>
      </c>
    </row>
    <row r="272">
      <c r="A272" s="10" t="str">
        <f>IFERROR(__xludf.DUMMYFUNCTION("""COMPUTED_VALUE"""),"Elite")</f>
        <v>Elite</v>
      </c>
      <c r="B272" s="10" t="str">
        <f>IFERROR(__xludf.DUMMYFUNCTION("""COMPUTED_VALUE"""),"RSC007486")</f>
        <v>RSC007486</v>
      </c>
      <c r="C272" s="10" t="str">
        <f>IFERROR(__xludf.DUMMYFUNCTION("""COMPUTED_VALUE"""),"kj")</f>
        <v>kj</v>
      </c>
      <c r="D272" s="36" t="str">
        <f>IFERROR(__xludf.DUMMYFUNCTION("""COMPUTED_VALUE"""),"Cotija Cartel")</f>
        <v>Cotija Cartel</v>
      </c>
      <c r="E272" s="10" t="str">
        <f>IFERROR(__xludf.DUMMYFUNCTION("""COMPUTED_VALUE"""),"Lunar")</f>
        <v>Lunar</v>
      </c>
      <c r="F272" s="37">
        <f>IFERROR(__xludf.DUMMYFUNCTION("""COMPUTED_VALUE"""),53.65196722057305)</f>
        <v>53.65196722</v>
      </c>
      <c r="G272" s="38">
        <f>IFERROR(__xludf.DUMMYFUNCTION("""COMPUTED_VALUE"""),51.28631871500595)</f>
        <v>51.28631872</v>
      </c>
      <c r="H272" s="38">
        <f>IFERROR(__xludf.DUMMYFUNCTION("""COMPUTED_VALUE"""),52.469142967789494)</f>
        <v>52.46914297</v>
      </c>
      <c r="I272" s="14">
        <f>IFERROR(__xludf.DUMMYFUNCTION("""COMPUTED_VALUE"""),4.0)</f>
        <v>4</v>
      </c>
      <c r="J272" s="11">
        <f>IFERROR(__xludf.DUMMYFUNCTION("IFERROR(FILTER(Stats!$F:$Z,(Stats!$A:$A=$A272)*(Stats!$B:$B=$B272)))"),2.0)</f>
        <v>2</v>
      </c>
      <c r="K272" s="11">
        <f>IFERROR(__xludf.DUMMYFUNCTION("""COMPUTED_VALUE"""),2.0)</f>
        <v>2</v>
      </c>
      <c r="L272" s="12">
        <f>IFERROR(__xludf.DUMMYFUNCTION("""COMPUTED_VALUE"""),0.5)</f>
        <v>0.5</v>
      </c>
      <c r="M272" s="11">
        <f>IFERROR(__xludf.DUMMYFUNCTION("""COMPUTED_VALUE"""),1.0)</f>
        <v>1</v>
      </c>
      <c r="N272" s="11">
        <f>IFERROR(__xludf.DUMMYFUNCTION("""COMPUTED_VALUE"""),1386.0)</f>
        <v>1386</v>
      </c>
      <c r="O272" s="13">
        <f>IFERROR(__xludf.DUMMYFUNCTION("""COMPUTED_VALUE"""),4.0)</f>
        <v>4</v>
      </c>
      <c r="P272" s="14">
        <f>IFERROR(__xludf.DUMMYFUNCTION("""COMPUTED_VALUE"""),0.0)</f>
        <v>0</v>
      </c>
      <c r="Q272" s="13">
        <f>IFERROR(__xludf.DUMMYFUNCTION("""COMPUTED_VALUE"""),6.0)</f>
        <v>6</v>
      </c>
      <c r="R272" s="13">
        <f>IFERROR(__xludf.DUMMYFUNCTION("""COMPUTED_VALUE"""),11.0)</f>
        <v>11</v>
      </c>
      <c r="S272" s="15">
        <f>IFERROR(__xludf.DUMMYFUNCTION("""COMPUTED_VALUE"""),0.36363636363636365)</f>
        <v>0.3636363636</v>
      </c>
      <c r="T272" s="16">
        <f>IFERROR(__xludf.DUMMYFUNCTION("""COMPUTED_VALUE"""),346.5)</f>
        <v>346.5</v>
      </c>
      <c r="U272" s="16">
        <f>IFERROR(__xludf.DUMMYFUNCTION("""COMPUTED_VALUE"""),1.0)</f>
        <v>1</v>
      </c>
      <c r="V272" s="16">
        <f>IFERROR(__xludf.DUMMYFUNCTION("""COMPUTED_VALUE"""),0.0)</f>
        <v>0</v>
      </c>
      <c r="W272" s="16">
        <f>IFERROR(__xludf.DUMMYFUNCTION("""COMPUTED_VALUE"""),1.5)</f>
        <v>1.5</v>
      </c>
      <c r="X272" s="16">
        <f>IFERROR(__xludf.DUMMYFUNCTION("""COMPUTED_VALUE"""),2.75)</f>
        <v>2.75</v>
      </c>
      <c r="Y272" s="11">
        <f>IFERROR(__xludf.DUMMYFUNCTION("""COMPUTED_VALUE"""),0.0)</f>
        <v>0</v>
      </c>
      <c r="Z272" s="11">
        <f>IFERROR(__xludf.DUMMYFUNCTION("""COMPUTED_VALUE"""),0.0)</f>
        <v>0</v>
      </c>
      <c r="AA272" s="11">
        <f>IFERROR(__xludf.DUMMYFUNCTION("""COMPUTED_VALUE"""),0.0)</f>
        <v>0</v>
      </c>
      <c r="AB272" s="11">
        <f>IFERROR(__xludf.DUMMYFUNCTION("""COMPUTED_VALUE"""),1.0)</f>
        <v>1</v>
      </c>
      <c r="AC272" s="11">
        <f>IFERROR(__xludf.DUMMYFUNCTION("""COMPUTED_VALUE"""),6.0)</f>
        <v>6</v>
      </c>
      <c r="AD272" s="11">
        <f>IFERROR(__xludf.DUMMYFUNCTION("""COMPUTED_VALUE"""),5.0)</f>
        <v>5</v>
      </c>
    </row>
    <row r="273">
      <c r="A273" s="10" t="str">
        <f>IFERROR(__xludf.DUMMYFUNCTION("""COMPUTED_VALUE"""),"Elite")</f>
        <v>Elite</v>
      </c>
      <c r="B273" s="10" t="str">
        <f>IFERROR(__xludf.DUMMYFUNCTION("""COMPUTED_VALUE"""),"RSC008479")</f>
        <v>RSC008479</v>
      </c>
      <c r="C273" s="10" t="str">
        <f>IFERROR(__xludf.DUMMYFUNCTION("""COMPUTED_VALUE"""),"Yaki")</f>
        <v>Yaki</v>
      </c>
      <c r="D273" s="36" t="str">
        <f>IFERROR(__xludf.DUMMYFUNCTION("""COMPUTED_VALUE"""),"Frostbite")</f>
        <v>Frostbite</v>
      </c>
      <c r="E273" s="10" t="str">
        <f>IFERROR(__xludf.DUMMYFUNCTION("""COMPUTED_VALUE"""),"Solar")</f>
        <v>Solar</v>
      </c>
      <c r="F273" s="37">
        <f>IFERROR(__xludf.DUMMYFUNCTION("""COMPUTED_VALUE"""),50.762495528210756)</f>
        <v>50.76249553</v>
      </c>
      <c r="G273" s="38">
        <f>IFERROR(__xludf.DUMMYFUNCTION("""COMPUTED_VALUE"""),54.10758123611046)</f>
        <v>54.10758124</v>
      </c>
      <c r="H273" s="38">
        <f>IFERROR(__xludf.DUMMYFUNCTION("""COMPUTED_VALUE"""),52.43503838216061)</f>
        <v>52.43503838</v>
      </c>
      <c r="I273" s="14">
        <f>IFERROR(__xludf.DUMMYFUNCTION("""COMPUTED_VALUE"""),52.0)</f>
        <v>52</v>
      </c>
      <c r="J273" s="11">
        <f>IFERROR(__xludf.DUMMYFUNCTION("IFERROR(FILTER(Stats!$F:$Z,(Stats!$A:$A=$A273)*(Stats!$B:$B=$B273)))"),24.0)</f>
        <v>24</v>
      </c>
      <c r="K273" s="11">
        <f>IFERROR(__xludf.DUMMYFUNCTION("""COMPUTED_VALUE"""),28.0)</f>
        <v>28</v>
      </c>
      <c r="L273" s="12">
        <f>IFERROR(__xludf.DUMMYFUNCTION("""COMPUTED_VALUE"""),0.46153846153846156)</f>
        <v>0.4615384615</v>
      </c>
      <c r="M273" s="11">
        <f>IFERROR(__xludf.DUMMYFUNCTION("""COMPUTED_VALUE"""),8.0)</f>
        <v>8</v>
      </c>
      <c r="N273" s="11">
        <f>IFERROR(__xludf.DUMMYFUNCTION("""COMPUTED_VALUE"""),16899.0)</f>
        <v>16899</v>
      </c>
      <c r="O273" s="13">
        <f>IFERROR(__xludf.DUMMYFUNCTION("""COMPUTED_VALUE"""),43.0)</f>
        <v>43</v>
      </c>
      <c r="P273" s="14">
        <f>IFERROR(__xludf.DUMMYFUNCTION("""COMPUTED_VALUE"""),25.0)</f>
        <v>25</v>
      </c>
      <c r="Q273" s="13">
        <f>IFERROR(__xludf.DUMMYFUNCTION("""COMPUTED_VALUE"""),59.0)</f>
        <v>59</v>
      </c>
      <c r="R273" s="13">
        <f>IFERROR(__xludf.DUMMYFUNCTION("""COMPUTED_VALUE"""),137.0)</f>
        <v>137</v>
      </c>
      <c r="S273" s="15">
        <f>IFERROR(__xludf.DUMMYFUNCTION("""COMPUTED_VALUE"""),0.31386861313868614)</f>
        <v>0.3138686131</v>
      </c>
      <c r="T273" s="16">
        <f>IFERROR(__xludf.DUMMYFUNCTION("""COMPUTED_VALUE"""),324.9807692307692)</f>
        <v>324.9807692</v>
      </c>
      <c r="U273" s="16">
        <f>IFERROR(__xludf.DUMMYFUNCTION("""COMPUTED_VALUE"""),0.8269230769230769)</f>
        <v>0.8269230769</v>
      </c>
      <c r="V273" s="16">
        <f>IFERROR(__xludf.DUMMYFUNCTION("""COMPUTED_VALUE"""),0.4807692307692308)</f>
        <v>0.4807692308</v>
      </c>
      <c r="W273" s="16">
        <f>IFERROR(__xludf.DUMMYFUNCTION("""COMPUTED_VALUE"""),1.1346153846153846)</f>
        <v>1.134615385</v>
      </c>
      <c r="X273" s="16">
        <f>IFERROR(__xludf.DUMMYFUNCTION("""COMPUTED_VALUE"""),2.6346153846153846)</f>
        <v>2.634615385</v>
      </c>
      <c r="Y273" s="11">
        <f>IFERROR(__xludf.DUMMYFUNCTION("""COMPUTED_VALUE"""),10.0)</f>
        <v>10</v>
      </c>
      <c r="Z273" s="11">
        <f>IFERROR(__xludf.DUMMYFUNCTION("""COMPUTED_VALUE"""),2.0)</f>
        <v>2</v>
      </c>
      <c r="AA273" s="11">
        <f>IFERROR(__xludf.DUMMYFUNCTION("""COMPUTED_VALUE"""),0.0)</f>
        <v>0</v>
      </c>
      <c r="AB273" s="11">
        <f>IFERROR(__xludf.DUMMYFUNCTION("""COMPUTED_VALUE"""),6.0)</f>
        <v>6</v>
      </c>
      <c r="AC273" s="11">
        <f>IFERROR(__xludf.DUMMYFUNCTION("""COMPUTED_VALUE"""),43.0)</f>
        <v>43</v>
      </c>
      <c r="AD273" s="11">
        <f>IFERROR(__xludf.DUMMYFUNCTION("""COMPUTED_VALUE"""),62.0)</f>
        <v>62</v>
      </c>
    </row>
    <row r="274">
      <c r="A274" s="10" t="str">
        <f>IFERROR(__xludf.DUMMYFUNCTION("""COMPUTED_VALUE"""),"Elite")</f>
        <v>Elite</v>
      </c>
      <c r="B274" s="10" t="str">
        <f>IFERROR(__xludf.DUMMYFUNCTION("""COMPUTED_VALUE"""),"RSC006218")</f>
        <v>RSC006218</v>
      </c>
      <c r="C274" s="10" t="str">
        <f>IFERROR(__xludf.DUMMYFUNCTION("""COMPUTED_VALUE"""),"Stingray")</f>
        <v>Stingray</v>
      </c>
      <c r="D274" s="36" t="str">
        <f>IFERROR(__xludf.DUMMYFUNCTION("""COMPUTED_VALUE"""),"Afterburners
Hellhounds
Praetorian Guard")</f>
        <v>Afterburners
Hellhounds
Praetorian Guard</v>
      </c>
      <c r="E274" s="10" t="str">
        <f>IFERROR(__xludf.DUMMYFUNCTION("""COMPUTED_VALUE"""),"Lunar
Solar
Solar")</f>
        <v>Lunar
Solar
Solar</v>
      </c>
      <c r="F274" s="37">
        <f>IFERROR(__xludf.DUMMYFUNCTION("""COMPUTED_VALUE"""),56.480759985550364)</f>
        <v>56.48075999</v>
      </c>
      <c r="G274" s="38">
        <f>IFERROR(__xludf.DUMMYFUNCTION("""COMPUTED_VALUE"""),48.130723270993904)</f>
        <v>48.13072327</v>
      </c>
      <c r="H274" s="38">
        <f>IFERROR(__xludf.DUMMYFUNCTION("""COMPUTED_VALUE"""),52.30574162827213)</f>
        <v>52.30574163</v>
      </c>
      <c r="I274" s="14">
        <f>IFERROR(__xludf.DUMMYFUNCTION("""COMPUTED_VALUE"""),34.0)</f>
        <v>34</v>
      </c>
      <c r="J274" s="11">
        <f>IFERROR(__xludf.DUMMYFUNCTION("IFERROR(FILTER(Stats!$F:$Z,(Stats!$A:$A=$A274)*(Stats!$B:$B=$B274)))"),11.0)</f>
        <v>11</v>
      </c>
      <c r="K274" s="11">
        <f>IFERROR(__xludf.DUMMYFUNCTION("""COMPUTED_VALUE"""),23.0)</f>
        <v>23</v>
      </c>
      <c r="L274" s="12">
        <f>IFERROR(__xludf.DUMMYFUNCTION("""COMPUTED_VALUE"""),0.3235294117647059)</f>
        <v>0.3235294118</v>
      </c>
      <c r="M274" s="11">
        <f>IFERROR(__xludf.DUMMYFUNCTION("""COMPUTED_VALUE"""),2.0)</f>
        <v>2</v>
      </c>
      <c r="N274" s="11">
        <f>IFERROR(__xludf.DUMMYFUNCTION("""COMPUTED_VALUE"""),14234.0)</f>
        <v>14234</v>
      </c>
      <c r="O274" s="13">
        <f>IFERROR(__xludf.DUMMYFUNCTION("""COMPUTED_VALUE"""),27.0)</f>
        <v>27</v>
      </c>
      <c r="P274" s="14">
        <f>IFERROR(__xludf.DUMMYFUNCTION("""COMPUTED_VALUE"""),18.0)</f>
        <v>18</v>
      </c>
      <c r="Q274" s="13">
        <f>IFERROR(__xludf.DUMMYFUNCTION("""COMPUTED_VALUE"""),68.0)</f>
        <v>68</v>
      </c>
      <c r="R274" s="13">
        <f>IFERROR(__xludf.DUMMYFUNCTION("""COMPUTED_VALUE"""),90.0)</f>
        <v>90</v>
      </c>
      <c r="S274" s="15">
        <f>IFERROR(__xludf.DUMMYFUNCTION("""COMPUTED_VALUE"""),0.3)</f>
        <v>0.3</v>
      </c>
      <c r="T274" s="16">
        <f>IFERROR(__xludf.DUMMYFUNCTION("""COMPUTED_VALUE"""),418.6470588235294)</f>
        <v>418.6470588</v>
      </c>
      <c r="U274" s="16">
        <f>IFERROR(__xludf.DUMMYFUNCTION("""COMPUTED_VALUE"""),0.7941176470588235)</f>
        <v>0.7941176471</v>
      </c>
      <c r="V274" s="16">
        <f>IFERROR(__xludf.DUMMYFUNCTION("""COMPUTED_VALUE"""),0.5294117647058824)</f>
        <v>0.5294117647</v>
      </c>
      <c r="W274" s="16">
        <f>IFERROR(__xludf.DUMMYFUNCTION("""COMPUTED_VALUE"""),2.0)</f>
        <v>2</v>
      </c>
      <c r="X274" s="16">
        <f>IFERROR(__xludf.DUMMYFUNCTION("""COMPUTED_VALUE"""),2.6470588235294117)</f>
        <v>2.647058824</v>
      </c>
      <c r="Y274" s="11">
        <f>IFERROR(__xludf.DUMMYFUNCTION("""COMPUTED_VALUE"""),8.0)</f>
        <v>8</v>
      </c>
      <c r="Z274" s="11">
        <f>IFERROR(__xludf.DUMMYFUNCTION("""COMPUTED_VALUE"""),1.0)</f>
        <v>1</v>
      </c>
      <c r="AA274" s="11">
        <f>IFERROR(__xludf.DUMMYFUNCTION("""COMPUTED_VALUE"""),2.0)</f>
        <v>2</v>
      </c>
      <c r="AB274" s="11">
        <f>IFERROR(__xludf.DUMMYFUNCTION("""COMPUTED_VALUE"""),9.0)</f>
        <v>9</v>
      </c>
      <c r="AC274" s="11">
        <f>IFERROR(__xludf.DUMMYFUNCTION("""COMPUTED_VALUE"""),27.0)</f>
        <v>27</v>
      </c>
      <c r="AD274" s="11">
        <f>IFERROR(__xludf.DUMMYFUNCTION("""COMPUTED_VALUE"""),37.0)</f>
        <v>37</v>
      </c>
    </row>
    <row r="275">
      <c r="A275" s="10" t="str">
        <f>IFERROR(__xludf.DUMMYFUNCTION("""COMPUTED_VALUE"""),"Elite")</f>
        <v>Elite</v>
      </c>
      <c r="B275" s="10" t="str">
        <f>IFERROR(__xludf.DUMMYFUNCTION("""COMPUTED_VALUE"""),"RSC006947")</f>
        <v>RSC006947</v>
      </c>
      <c r="C275" s="10" t="str">
        <f>IFERROR(__xludf.DUMMYFUNCTION("""COMPUTED_VALUE"""),"HaZard")</f>
        <v>HaZard</v>
      </c>
      <c r="D275" s="36" t="str">
        <f>IFERROR(__xludf.DUMMYFUNCTION("""COMPUTED_VALUE"""),"Black-Holes
Hydras
Commanders")</f>
        <v>Black-Holes
Hydras
Commanders</v>
      </c>
      <c r="E275" s="10" t="str">
        <f>IFERROR(__xludf.DUMMYFUNCTION("""COMPUTED_VALUE"""),"Lunar
Solar
Lunar")</f>
        <v>Lunar
Solar
Lunar</v>
      </c>
      <c r="F275" s="37">
        <f>IFERROR(__xludf.DUMMYFUNCTION("""COMPUTED_VALUE"""),47.054274511529165)</f>
        <v>47.05427451</v>
      </c>
      <c r="G275" s="38">
        <f>IFERROR(__xludf.DUMMYFUNCTION("""COMPUTED_VALUE"""),57.12880769593083)</f>
        <v>57.1288077</v>
      </c>
      <c r="H275" s="38">
        <f>IFERROR(__xludf.DUMMYFUNCTION("""COMPUTED_VALUE"""),52.091541103729995)</f>
        <v>52.0915411</v>
      </c>
      <c r="I275" s="14">
        <f>IFERROR(__xludf.DUMMYFUNCTION("""COMPUTED_VALUE"""),43.0)</f>
        <v>43</v>
      </c>
      <c r="J275" s="11">
        <f>IFERROR(__xludf.DUMMYFUNCTION("IFERROR(FILTER(Stats!$F:$Z,(Stats!$A:$A=$A275)*(Stats!$B:$B=$B275)))"),28.0)</f>
        <v>28</v>
      </c>
      <c r="K275" s="11">
        <f>IFERROR(__xludf.DUMMYFUNCTION("""COMPUTED_VALUE"""),15.0)</f>
        <v>15</v>
      </c>
      <c r="L275" s="12">
        <f>IFERROR(__xludf.DUMMYFUNCTION("""COMPUTED_VALUE"""),0.6511627906976745)</f>
        <v>0.6511627907</v>
      </c>
      <c r="M275" s="11">
        <f>IFERROR(__xludf.DUMMYFUNCTION("""COMPUTED_VALUE"""),4.0)</f>
        <v>4</v>
      </c>
      <c r="N275" s="11">
        <f>IFERROR(__xludf.DUMMYFUNCTION("""COMPUTED_VALUE"""),13602.0)</f>
        <v>13602</v>
      </c>
      <c r="O275" s="13">
        <f>IFERROR(__xludf.DUMMYFUNCTION("""COMPUTED_VALUE"""),36.0)</f>
        <v>36</v>
      </c>
      <c r="P275" s="14">
        <f>IFERROR(__xludf.DUMMYFUNCTION("""COMPUTED_VALUE"""),30.0)</f>
        <v>30</v>
      </c>
      <c r="Q275" s="13">
        <f>IFERROR(__xludf.DUMMYFUNCTION("""COMPUTED_VALUE"""),40.0)</f>
        <v>40</v>
      </c>
      <c r="R275" s="13">
        <f>IFERROR(__xludf.DUMMYFUNCTION("""COMPUTED_VALUE"""),117.0)</f>
        <v>117</v>
      </c>
      <c r="S275" s="15">
        <f>IFERROR(__xludf.DUMMYFUNCTION("""COMPUTED_VALUE"""),0.3076923076923077)</f>
        <v>0.3076923077</v>
      </c>
      <c r="T275" s="16">
        <f>IFERROR(__xludf.DUMMYFUNCTION("""COMPUTED_VALUE"""),316.3255813953488)</f>
        <v>316.3255814</v>
      </c>
      <c r="U275" s="16">
        <f>IFERROR(__xludf.DUMMYFUNCTION("""COMPUTED_VALUE"""),0.8372093023255814)</f>
        <v>0.8372093023</v>
      </c>
      <c r="V275" s="16">
        <f>IFERROR(__xludf.DUMMYFUNCTION("""COMPUTED_VALUE"""),0.6976744186046512)</f>
        <v>0.6976744186</v>
      </c>
      <c r="W275" s="16">
        <f>IFERROR(__xludf.DUMMYFUNCTION("""COMPUTED_VALUE"""),0.9302325581395349)</f>
        <v>0.9302325581</v>
      </c>
      <c r="X275" s="16">
        <f>IFERROR(__xludf.DUMMYFUNCTION("""COMPUTED_VALUE"""),2.7209302325581395)</f>
        <v>2.720930233</v>
      </c>
      <c r="Y275" s="11">
        <f>IFERROR(__xludf.DUMMYFUNCTION("""COMPUTED_VALUE"""),11.0)</f>
        <v>11</v>
      </c>
      <c r="Z275" s="11">
        <f>IFERROR(__xludf.DUMMYFUNCTION("""COMPUTED_VALUE"""),2.0)</f>
        <v>2</v>
      </c>
      <c r="AA275" s="11">
        <f>IFERROR(__xludf.DUMMYFUNCTION("""COMPUTED_VALUE"""),1.0)</f>
        <v>1</v>
      </c>
      <c r="AB275" s="11">
        <f>IFERROR(__xludf.DUMMYFUNCTION("""COMPUTED_VALUE"""),1.0)</f>
        <v>1</v>
      </c>
      <c r="AC275" s="11">
        <f>IFERROR(__xludf.DUMMYFUNCTION("""COMPUTED_VALUE"""),63.0)</f>
        <v>63</v>
      </c>
      <c r="AD275" s="11">
        <f>IFERROR(__xludf.DUMMYFUNCTION("""COMPUTED_VALUE"""),40.0)</f>
        <v>40</v>
      </c>
    </row>
    <row r="276">
      <c r="A276" s="10" t="str">
        <f>IFERROR(__xludf.DUMMYFUNCTION("""COMPUTED_VALUE"""),"Elite")</f>
        <v>Elite</v>
      </c>
      <c r="B276" s="10" t="str">
        <f>IFERROR(__xludf.DUMMYFUNCTION("""COMPUTED_VALUE"""),"RSC002862")</f>
        <v>RSC002862</v>
      </c>
      <c r="C276" s="10" t="str">
        <f>IFERROR(__xludf.DUMMYFUNCTION("""COMPUTED_VALUE"""),"Doodle!")</f>
        <v>Doodle!</v>
      </c>
      <c r="D276" s="36" t="str">
        <f>IFERROR(__xludf.DUMMYFUNCTION("""COMPUTED_VALUE"""),"Drive-by
Ghastly Goombahs
Commanders")</f>
        <v>Drive-by
Ghastly Goombahs
Commanders</v>
      </c>
      <c r="E276" s="10" t="str">
        <f>IFERROR(__xludf.DUMMYFUNCTION("""COMPUTED_VALUE"""),"Solar
Lunar
Lunar")</f>
        <v>Solar
Lunar
Lunar</v>
      </c>
      <c r="F276" s="37">
        <f>IFERROR(__xludf.DUMMYFUNCTION("""COMPUTED_VALUE"""),50.615909418735036)</f>
        <v>50.61590942</v>
      </c>
      <c r="G276" s="38">
        <f>IFERROR(__xludf.DUMMYFUNCTION("""COMPUTED_VALUE"""),53.28119788658184)</f>
        <v>53.28119789</v>
      </c>
      <c r="H276" s="38">
        <f>IFERROR(__xludf.DUMMYFUNCTION("""COMPUTED_VALUE"""),51.94855365265844)</f>
        <v>51.94855365</v>
      </c>
      <c r="I276" s="14">
        <f>IFERROR(__xludf.DUMMYFUNCTION("""COMPUTED_VALUE"""),45.0)</f>
        <v>45</v>
      </c>
      <c r="J276" s="11">
        <f>IFERROR(__xludf.DUMMYFUNCTION("IFERROR(FILTER(Stats!$F:$Z,(Stats!$A:$A=$A276)*(Stats!$B:$B=$B276)))"),10.0)</f>
        <v>10</v>
      </c>
      <c r="K276" s="11">
        <f>IFERROR(__xludf.DUMMYFUNCTION("""COMPUTED_VALUE"""),35.0)</f>
        <v>35</v>
      </c>
      <c r="L276" s="12">
        <f>IFERROR(__xludf.DUMMYFUNCTION("""COMPUTED_VALUE"""),0.2222222222222222)</f>
        <v>0.2222222222</v>
      </c>
      <c r="M276" s="11">
        <f>IFERROR(__xludf.DUMMYFUNCTION("""COMPUTED_VALUE"""),3.0)</f>
        <v>3</v>
      </c>
      <c r="N276" s="11">
        <f>IFERROR(__xludf.DUMMYFUNCTION("""COMPUTED_VALUE"""),17511.0)</f>
        <v>17511</v>
      </c>
      <c r="O276" s="13">
        <f>IFERROR(__xludf.DUMMYFUNCTION("""COMPUTED_VALUE"""),33.0)</f>
        <v>33</v>
      </c>
      <c r="P276" s="14">
        <f>IFERROR(__xludf.DUMMYFUNCTION("""COMPUTED_VALUE"""),29.0)</f>
        <v>29</v>
      </c>
      <c r="Q276" s="13">
        <f>IFERROR(__xludf.DUMMYFUNCTION("""COMPUTED_VALUE"""),70.0)</f>
        <v>70</v>
      </c>
      <c r="R276" s="13">
        <f>IFERROR(__xludf.DUMMYFUNCTION("""COMPUTED_VALUE"""),128.0)</f>
        <v>128</v>
      </c>
      <c r="S276" s="15">
        <f>IFERROR(__xludf.DUMMYFUNCTION("""COMPUTED_VALUE"""),0.2578125)</f>
        <v>0.2578125</v>
      </c>
      <c r="T276" s="16">
        <f>IFERROR(__xludf.DUMMYFUNCTION("""COMPUTED_VALUE"""),389.1333333333333)</f>
        <v>389.1333333</v>
      </c>
      <c r="U276" s="16">
        <f>IFERROR(__xludf.DUMMYFUNCTION("""COMPUTED_VALUE"""),0.7333333333333333)</f>
        <v>0.7333333333</v>
      </c>
      <c r="V276" s="16">
        <f>IFERROR(__xludf.DUMMYFUNCTION("""COMPUTED_VALUE"""),0.6444444444444445)</f>
        <v>0.6444444444</v>
      </c>
      <c r="W276" s="16">
        <f>IFERROR(__xludf.DUMMYFUNCTION("""COMPUTED_VALUE"""),1.5555555555555556)</f>
        <v>1.555555556</v>
      </c>
      <c r="X276" s="16">
        <f>IFERROR(__xludf.DUMMYFUNCTION("""COMPUTED_VALUE"""),2.8444444444444446)</f>
        <v>2.844444444</v>
      </c>
      <c r="Y276" s="11">
        <f>IFERROR(__xludf.DUMMYFUNCTION("""COMPUTED_VALUE"""),8.0)</f>
        <v>8</v>
      </c>
      <c r="Z276" s="11">
        <f>IFERROR(__xludf.DUMMYFUNCTION("""COMPUTED_VALUE"""),5.0)</f>
        <v>5</v>
      </c>
      <c r="AA276" s="11">
        <f>IFERROR(__xludf.DUMMYFUNCTION("""COMPUTED_VALUE"""),2.0)</f>
        <v>2</v>
      </c>
      <c r="AB276" s="11">
        <f>IFERROR(__xludf.DUMMYFUNCTION("""COMPUTED_VALUE"""),10.0)</f>
        <v>10</v>
      </c>
      <c r="AC276" s="11">
        <f>IFERROR(__xludf.DUMMYFUNCTION("""COMPUTED_VALUE"""),47.0)</f>
        <v>47</v>
      </c>
      <c r="AD276" s="11">
        <f>IFERROR(__xludf.DUMMYFUNCTION("""COMPUTED_VALUE"""),57.0)</f>
        <v>57</v>
      </c>
    </row>
    <row r="277">
      <c r="A277" s="10" t="str">
        <f>IFERROR(__xludf.DUMMYFUNCTION("""COMPUTED_VALUE"""),"Elite")</f>
        <v>Elite</v>
      </c>
      <c r="B277" s="10" t="str">
        <f>IFERROR(__xludf.DUMMYFUNCTION("""COMPUTED_VALUE"""),"RSC006417")</f>
        <v>RSC006417</v>
      </c>
      <c r="C277" s="10" t="str">
        <f>IFERROR(__xludf.DUMMYFUNCTION("""COMPUTED_VALUE"""),"TangentOgive")</f>
        <v>TangentOgive</v>
      </c>
      <c r="D277" s="36" t="str">
        <f>IFERROR(__xludf.DUMMYFUNCTION("""COMPUTED_VALUE"""),"Gelato")</f>
        <v>Gelato</v>
      </c>
      <c r="E277" s="10" t="str">
        <f>IFERROR(__xludf.DUMMYFUNCTION("""COMPUTED_VALUE"""),"Lunar")</f>
        <v>Lunar</v>
      </c>
      <c r="F277" s="37">
        <f>IFERROR(__xludf.DUMMYFUNCTION("""COMPUTED_VALUE"""),52.23505342216179)</f>
        <v>52.23505342</v>
      </c>
      <c r="G277" s="38">
        <f>IFERROR(__xludf.DUMMYFUNCTION("""COMPUTED_VALUE"""),50.98752891519355)</f>
        <v>50.98752892</v>
      </c>
      <c r="H277" s="38">
        <f>IFERROR(__xludf.DUMMYFUNCTION("""COMPUTED_VALUE"""),51.61129116867767)</f>
        <v>51.61129117</v>
      </c>
      <c r="I277" s="14">
        <f>IFERROR(__xludf.DUMMYFUNCTION("""COMPUTED_VALUE"""),6.0)</f>
        <v>6</v>
      </c>
      <c r="J277" s="11">
        <f>IFERROR(__xludf.DUMMYFUNCTION("IFERROR(FILTER(Stats!$F:$Z,(Stats!$A:$A=$A277)*(Stats!$B:$B=$B277)))"),2.0)</f>
        <v>2</v>
      </c>
      <c r="K277" s="11">
        <f>IFERROR(__xludf.DUMMYFUNCTION("""COMPUTED_VALUE"""),4.0)</f>
        <v>4</v>
      </c>
      <c r="L277" s="12">
        <f>IFERROR(__xludf.DUMMYFUNCTION("""COMPUTED_VALUE"""),0.3333333333333333)</f>
        <v>0.3333333333</v>
      </c>
      <c r="M277" s="11">
        <f>IFERROR(__xludf.DUMMYFUNCTION("""COMPUTED_VALUE"""),0.0)</f>
        <v>0</v>
      </c>
      <c r="N277" s="11">
        <f>IFERROR(__xludf.DUMMYFUNCTION("""COMPUTED_VALUE"""),2058.0)</f>
        <v>2058</v>
      </c>
      <c r="O277" s="13">
        <f>IFERROR(__xludf.DUMMYFUNCTION("""COMPUTED_VALUE"""),3.0)</f>
        <v>3</v>
      </c>
      <c r="P277" s="14">
        <f>IFERROR(__xludf.DUMMYFUNCTION("""COMPUTED_VALUE"""),6.0)</f>
        <v>6</v>
      </c>
      <c r="Q277" s="13">
        <f>IFERROR(__xludf.DUMMYFUNCTION("""COMPUTED_VALUE"""),5.0)</f>
        <v>5</v>
      </c>
      <c r="R277" s="13">
        <f>IFERROR(__xludf.DUMMYFUNCTION("""COMPUTED_VALUE"""),20.0)</f>
        <v>20</v>
      </c>
      <c r="S277" s="15">
        <f>IFERROR(__xludf.DUMMYFUNCTION("""COMPUTED_VALUE"""),0.15)</f>
        <v>0.15</v>
      </c>
      <c r="T277" s="16">
        <f>IFERROR(__xludf.DUMMYFUNCTION("""COMPUTED_VALUE"""),343.0)</f>
        <v>343</v>
      </c>
      <c r="U277" s="16">
        <f>IFERROR(__xludf.DUMMYFUNCTION("""COMPUTED_VALUE"""),0.5)</f>
        <v>0.5</v>
      </c>
      <c r="V277" s="16">
        <f>IFERROR(__xludf.DUMMYFUNCTION("""COMPUTED_VALUE"""),1.0)</f>
        <v>1</v>
      </c>
      <c r="W277" s="16">
        <f>IFERROR(__xludf.DUMMYFUNCTION("""COMPUTED_VALUE"""),0.8333333333333334)</f>
        <v>0.8333333333</v>
      </c>
      <c r="X277" s="16">
        <f>IFERROR(__xludf.DUMMYFUNCTION("""COMPUTED_VALUE"""),3.3333333333333335)</f>
        <v>3.333333333</v>
      </c>
      <c r="Y277" s="11">
        <f>IFERROR(__xludf.DUMMYFUNCTION("""COMPUTED_VALUE"""),1.0)</f>
        <v>1</v>
      </c>
      <c r="Z277" s="11">
        <f>IFERROR(__xludf.DUMMYFUNCTION("""COMPUTED_VALUE"""),0.0)</f>
        <v>0</v>
      </c>
      <c r="AA277" s="11">
        <f>IFERROR(__xludf.DUMMYFUNCTION("""COMPUTED_VALUE"""),1.0)</f>
        <v>1</v>
      </c>
      <c r="AB277" s="11">
        <f>IFERROR(__xludf.DUMMYFUNCTION("""COMPUTED_VALUE"""),0.0)</f>
        <v>0</v>
      </c>
      <c r="AC277" s="11">
        <f>IFERROR(__xludf.DUMMYFUNCTION("""COMPUTED_VALUE"""),3.0)</f>
        <v>3</v>
      </c>
      <c r="AD277" s="11">
        <f>IFERROR(__xludf.DUMMYFUNCTION("""COMPUTED_VALUE"""),6.0)</f>
        <v>6</v>
      </c>
    </row>
    <row r="278">
      <c r="A278" s="10" t="str">
        <f>IFERROR(__xludf.DUMMYFUNCTION("""COMPUTED_VALUE"""),"Elite")</f>
        <v>Elite</v>
      </c>
      <c r="B278" s="10" t="str">
        <f>IFERROR(__xludf.DUMMYFUNCTION("""COMPUTED_VALUE"""),"RSC004214")</f>
        <v>RSC004214</v>
      </c>
      <c r="C278" s="10" t="str">
        <f>IFERROR(__xludf.DUMMYFUNCTION("""COMPUTED_VALUE"""),"Miserable")</f>
        <v>Miserable</v>
      </c>
      <c r="D278" s="36" t="str">
        <f>IFERROR(__xludf.DUMMYFUNCTION("""COMPUTED_VALUE"""),"Demons")</f>
        <v>Demons</v>
      </c>
      <c r="E278" s="10" t="str">
        <f>IFERROR(__xludf.DUMMYFUNCTION("""COMPUTED_VALUE"""),"Lunar")</f>
        <v>Lunar</v>
      </c>
      <c r="F278" s="37">
        <f>IFERROR(__xludf.DUMMYFUNCTION("""COMPUTED_VALUE"""),56.20629990063496)</f>
        <v>56.2062999</v>
      </c>
      <c r="G278" s="38">
        <f>IFERROR(__xludf.DUMMYFUNCTION("""COMPUTED_VALUE"""),45.89310703494941)</f>
        <v>45.89310703</v>
      </c>
      <c r="H278" s="38">
        <f>IFERROR(__xludf.DUMMYFUNCTION("""COMPUTED_VALUE"""),51.049703467792185)</f>
        <v>51.04970347</v>
      </c>
      <c r="I278" s="14">
        <f>IFERROR(__xludf.DUMMYFUNCTION("""COMPUTED_VALUE"""),51.0)</f>
        <v>51</v>
      </c>
      <c r="J278" s="11">
        <f>IFERROR(__xludf.DUMMYFUNCTION("IFERROR(FILTER(Stats!$F:$Z,(Stats!$A:$A=$A278)*(Stats!$B:$B=$B278)))"),19.0)</f>
        <v>19</v>
      </c>
      <c r="K278" s="11">
        <f>IFERROR(__xludf.DUMMYFUNCTION("""COMPUTED_VALUE"""),32.0)</f>
        <v>32</v>
      </c>
      <c r="L278" s="12">
        <f>IFERROR(__xludf.DUMMYFUNCTION("""COMPUTED_VALUE"""),0.37254901960784315)</f>
        <v>0.3725490196</v>
      </c>
      <c r="M278" s="11">
        <f>IFERROR(__xludf.DUMMYFUNCTION("""COMPUTED_VALUE"""),7.0)</f>
        <v>7</v>
      </c>
      <c r="N278" s="11">
        <f>IFERROR(__xludf.DUMMYFUNCTION("""COMPUTED_VALUE"""),18365.0)</f>
        <v>18365</v>
      </c>
      <c r="O278" s="13">
        <f>IFERROR(__xludf.DUMMYFUNCTION("""COMPUTED_VALUE"""),40.0)</f>
        <v>40</v>
      </c>
      <c r="P278" s="14">
        <f>IFERROR(__xludf.DUMMYFUNCTION("""COMPUTED_VALUE"""),28.0)</f>
        <v>28</v>
      </c>
      <c r="Q278" s="13">
        <f>IFERROR(__xludf.DUMMYFUNCTION("""COMPUTED_VALUE"""),77.0)</f>
        <v>77</v>
      </c>
      <c r="R278" s="13">
        <f>IFERROR(__xludf.DUMMYFUNCTION("""COMPUTED_VALUE"""),128.0)</f>
        <v>128</v>
      </c>
      <c r="S278" s="15">
        <f>IFERROR(__xludf.DUMMYFUNCTION("""COMPUTED_VALUE"""),0.3125)</f>
        <v>0.3125</v>
      </c>
      <c r="T278" s="16">
        <f>IFERROR(__xludf.DUMMYFUNCTION("""COMPUTED_VALUE"""),360.0980392156863)</f>
        <v>360.0980392</v>
      </c>
      <c r="U278" s="16">
        <f>IFERROR(__xludf.DUMMYFUNCTION("""COMPUTED_VALUE"""),0.7843137254901961)</f>
        <v>0.7843137255</v>
      </c>
      <c r="V278" s="16">
        <f>IFERROR(__xludf.DUMMYFUNCTION("""COMPUTED_VALUE"""),0.5490196078431373)</f>
        <v>0.5490196078</v>
      </c>
      <c r="W278" s="16">
        <f>IFERROR(__xludf.DUMMYFUNCTION("""COMPUTED_VALUE"""),1.5098039215686274)</f>
        <v>1.509803922</v>
      </c>
      <c r="X278" s="16">
        <f>IFERROR(__xludf.DUMMYFUNCTION("""COMPUTED_VALUE"""),2.5098039215686274)</f>
        <v>2.509803922</v>
      </c>
      <c r="Y278" s="11">
        <f>IFERROR(__xludf.DUMMYFUNCTION("""COMPUTED_VALUE"""),11.0)</f>
        <v>11</v>
      </c>
      <c r="Z278" s="11">
        <f>IFERROR(__xludf.DUMMYFUNCTION("""COMPUTED_VALUE"""),2.0)</f>
        <v>2</v>
      </c>
      <c r="AA278" s="11">
        <f>IFERROR(__xludf.DUMMYFUNCTION("""COMPUTED_VALUE"""),1.0)</f>
        <v>1</v>
      </c>
      <c r="AB278" s="11">
        <f>IFERROR(__xludf.DUMMYFUNCTION("""COMPUTED_VALUE"""),12.0)</f>
        <v>12</v>
      </c>
      <c r="AC278" s="11">
        <f>IFERROR(__xludf.DUMMYFUNCTION("""COMPUTED_VALUE"""),24.0)</f>
        <v>24</v>
      </c>
      <c r="AD278" s="11">
        <f>IFERROR(__xludf.DUMMYFUNCTION("""COMPUTED_VALUE"""),53.0)</f>
        <v>53</v>
      </c>
    </row>
    <row r="279">
      <c r="A279" s="10" t="str">
        <f>IFERROR(__xludf.DUMMYFUNCTION("""COMPUTED_VALUE"""),"Elite")</f>
        <v>Elite</v>
      </c>
      <c r="B279" s="10" t="str">
        <f>IFERROR(__xludf.DUMMYFUNCTION("""COMPUTED_VALUE"""),"RSC006713")</f>
        <v>RSC006713</v>
      </c>
      <c r="C279" s="10" t="str">
        <f>IFERROR(__xludf.DUMMYFUNCTION("""COMPUTED_VALUE"""),"SGE Nemesis")</f>
        <v>SGE Nemesis</v>
      </c>
      <c r="D279" s="36" t="str">
        <f>IFERROR(__xludf.DUMMYFUNCTION("""COMPUTED_VALUE"""),"Peerless Scarred")</f>
        <v>Peerless Scarred</v>
      </c>
      <c r="E279" s="10" t="str">
        <f>IFERROR(__xludf.DUMMYFUNCTION("""COMPUTED_VALUE"""),"Solar")</f>
        <v>Solar</v>
      </c>
      <c r="F279" s="37">
        <f>IFERROR(__xludf.DUMMYFUNCTION("""COMPUTED_VALUE"""),46.26140484358703)</f>
        <v>46.26140484</v>
      </c>
      <c r="G279" s="38">
        <f>IFERROR(__xludf.DUMMYFUNCTION("""COMPUTED_VALUE"""),55.2195668044813)</f>
        <v>55.2195668</v>
      </c>
      <c r="H279" s="38">
        <f>IFERROR(__xludf.DUMMYFUNCTION("""COMPUTED_VALUE"""),50.74048582403417)</f>
        <v>50.74048582</v>
      </c>
      <c r="I279" s="14">
        <f>IFERROR(__xludf.DUMMYFUNCTION("""COMPUTED_VALUE"""),53.0)</f>
        <v>53</v>
      </c>
      <c r="J279" s="11">
        <f>IFERROR(__xludf.DUMMYFUNCTION("IFERROR(FILTER(Stats!$F:$Z,(Stats!$A:$A=$A279)*(Stats!$B:$B=$B279)))"),32.0)</f>
        <v>32</v>
      </c>
      <c r="K279" s="11">
        <f>IFERROR(__xludf.DUMMYFUNCTION("""COMPUTED_VALUE"""),21.0)</f>
        <v>21</v>
      </c>
      <c r="L279" s="12">
        <f>IFERROR(__xludf.DUMMYFUNCTION("""COMPUTED_VALUE"""),0.6037735849056604)</f>
        <v>0.6037735849</v>
      </c>
      <c r="M279" s="11">
        <f>IFERROR(__xludf.DUMMYFUNCTION("""COMPUTED_VALUE"""),9.0)</f>
        <v>9</v>
      </c>
      <c r="N279" s="11">
        <f>IFERROR(__xludf.DUMMYFUNCTION("""COMPUTED_VALUE"""),18398.0)</f>
        <v>18398</v>
      </c>
      <c r="O279" s="13">
        <f>IFERROR(__xludf.DUMMYFUNCTION("""COMPUTED_VALUE"""),43.0)</f>
        <v>43</v>
      </c>
      <c r="P279" s="14">
        <f>IFERROR(__xludf.DUMMYFUNCTION("""COMPUTED_VALUE"""),34.0)</f>
        <v>34</v>
      </c>
      <c r="Q279" s="13">
        <f>IFERROR(__xludf.DUMMYFUNCTION("""COMPUTED_VALUE"""),73.0)</f>
        <v>73</v>
      </c>
      <c r="R279" s="13">
        <f>IFERROR(__xludf.DUMMYFUNCTION("""COMPUTED_VALUE"""),125.0)</f>
        <v>125</v>
      </c>
      <c r="S279" s="15">
        <f>IFERROR(__xludf.DUMMYFUNCTION("""COMPUTED_VALUE"""),0.344)</f>
        <v>0.344</v>
      </c>
      <c r="T279" s="16">
        <f>IFERROR(__xludf.DUMMYFUNCTION("""COMPUTED_VALUE"""),347.1320754716981)</f>
        <v>347.1320755</v>
      </c>
      <c r="U279" s="16">
        <f>IFERROR(__xludf.DUMMYFUNCTION("""COMPUTED_VALUE"""),0.8113207547169812)</f>
        <v>0.8113207547</v>
      </c>
      <c r="V279" s="16">
        <f>IFERROR(__xludf.DUMMYFUNCTION("""COMPUTED_VALUE"""),0.6415094339622641)</f>
        <v>0.641509434</v>
      </c>
      <c r="W279" s="16">
        <f>IFERROR(__xludf.DUMMYFUNCTION("""COMPUTED_VALUE"""),1.3773584905660377)</f>
        <v>1.377358491</v>
      </c>
      <c r="X279" s="16">
        <f>IFERROR(__xludf.DUMMYFUNCTION("""COMPUTED_VALUE"""),2.358490566037736)</f>
        <v>2.358490566</v>
      </c>
      <c r="Y279" s="11">
        <f>IFERROR(__xludf.DUMMYFUNCTION("""COMPUTED_VALUE"""),12.0)</f>
        <v>12</v>
      </c>
      <c r="Z279" s="11">
        <f>IFERROR(__xludf.DUMMYFUNCTION("""COMPUTED_VALUE"""),3.0)</f>
        <v>3</v>
      </c>
      <c r="AA279" s="11">
        <f>IFERROR(__xludf.DUMMYFUNCTION("""COMPUTED_VALUE"""),1.0)</f>
        <v>1</v>
      </c>
      <c r="AB279" s="11">
        <f>IFERROR(__xludf.DUMMYFUNCTION("""COMPUTED_VALUE"""),10.0)</f>
        <v>10</v>
      </c>
      <c r="AC279" s="11">
        <f>IFERROR(__xludf.DUMMYFUNCTION("""COMPUTED_VALUE"""),83.0)</f>
        <v>83</v>
      </c>
      <c r="AD279" s="11">
        <f>IFERROR(__xludf.DUMMYFUNCTION("""COMPUTED_VALUE"""),58.0)</f>
        <v>58</v>
      </c>
    </row>
    <row r="280">
      <c r="A280" s="10" t="str">
        <f>IFERROR(__xludf.DUMMYFUNCTION("""COMPUTED_VALUE"""),"Elite")</f>
        <v>Elite</v>
      </c>
      <c r="B280" s="10" t="str">
        <f>IFERROR(__xludf.DUMMYFUNCTION("""COMPUTED_VALUE"""),"RSC005508")</f>
        <v>RSC005508</v>
      </c>
      <c r="C280" s="10" t="str">
        <f>IFERROR(__xludf.DUMMYFUNCTION("""COMPUTED_VALUE"""),"Lil Windex")</f>
        <v>Lil Windex</v>
      </c>
      <c r="D280" s="36" t="str">
        <f>IFERROR(__xludf.DUMMYFUNCTION("""COMPUTED_VALUE"""),"Pixel Picassos")</f>
        <v>Pixel Picassos</v>
      </c>
      <c r="E280" s="10" t="str">
        <f>IFERROR(__xludf.DUMMYFUNCTION("""COMPUTED_VALUE"""),"Solar")</f>
        <v>Solar</v>
      </c>
      <c r="F280" s="37">
        <f>IFERROR(__xludf.DUMMYFUNCTION("""COMPUTED_VALUE"""),50.282809366500324)</f>
        <v>50.28280937</v>
      </c>
      <c r="G280" s="38">
        <f>IFERROR(__xludf.DUMMYFUNCTION("""COMPUTED_VALUE"""),51.072573222612355)</f>
        <v>51.07257322</v>
      </c>
      <c r="H280" s="38">
        <f>IFERROR(__xludf.DUMMYFUNCTION("""COMPUTED_VALUE"""),50.67769129455634)</f>
        <v>50.67769129</v>
      </c>
      <c r="I280" s="14">
        <f>IFERROR(__xludf.DUMMYFUNCTION("""COMPUTED_VALUE"""),39.0)</f>
        <v>39</v>
      </c>
      <c r="J280" s="11">
        <f>IFERROR(__xludf.DUMMYFUNCTION("IFERROR(FILTER(Stats!$F:$Z,(Stats!$A:$A=$A280)*(Stats!$B:$B=$B280)))"),13.0)</f>
        <v>13</v>
      </c>
      <c r="K280" s="11">
        <f>IFERROR(__xludf.DUMMYFUNCTION("""COMPUTED_VALUE"""),26.0)</f>
        <v>26</v>
      </c>
      <c r="L280" s="12">
        <f>IFERROR(__xludf.DUMMYFUNCTION("""COMPUTED_VALUE"""),0.3333333333333333)</f>
        <v>0.3333333333</v>
      </c>
      <c r="M280" s="11">
        <f>IFERROR(__xludf.DUMMYFUNCTION("""COMPUTED_VALUE"""),4.0)</f>
        <v>4</v>
      </c>
      <c r="N280" s="11">
        <f>IFERROR(__xludf.DUMMYFUNCTION("""COMPUTED_VALUE"""),13674.0)</f>
        <v>13674</v>
      </c>
      <c r="O280" s="13">
        <f>IFERROR(__xludf.DUMMYFUNCTION("""COMPUTED_VALUE"""),33.0)</f>
        <v>33</v>
      </c>
      <c r="P280" s="14">
        <f>IFERROR(__xludf.DUMMYFUNCTION("""COMPUTED_VALUE"""),18.0)</f>
        <v>18</v>
      </c>
      <c r="Q280" s="13">
        <f>IFERROR(__xludf.DUMMYFUNCTION("""COMPUTED_VALUE"""),53.0)</f>
        <v>53</v>
      </c>
      <c r="R280" s="13">
        <f>IFERROR(__xludf.DUMMYFUNCTION("""COMPUTED_VALUE"""),112.0)</f>
        <v>112</v>
      </c>
      <c r="S280" s="15">
        <f>IFERROR(__xludf.DUMMYFUNCTION("""COMPUTED_VALUE"""),0.29464285714285715)</f>
        <v>0.2946428571</v>
      </c>
      <c r="T280" s="16">
        <f>IFERROR(__xludf.DUMMYFUNCTION("""COMPUTED_VALUE"""),350.61538461538464)</f>
        <v>350.6153846</v>
      </c>
      <c r="U280" s="16">
        <f>IFERROR(__xludf.DUMMYFUNCTION("""COMPUTED_VALUE"""),0.8461538461538461)</f>
        <v>0.8461538462</v>
      </c>
      <c r="V280" s="16">
        <f>IFERROR(__xludf.DUMMYFUNCTION("""COMPUTED_VALUE"""),0.46153846153846156)</f>
        <v>0.4615384615</v>
      </c>
      <c r="W280" s="16">
        <f>IFERROR(__xludf.DUMMYFUNCTION("""COMPUTED_VALUE"""),1.358974358974359)</f>
        <v>1.358974359</v>
      </c>
      <c r="X280" s="16">
        <f>IFERROR(__xludf.DUMMYFUNCTION("""COMPUTED_VALUE"""),2.871794871794872)</f>
        <v>2.871794872</v>
      </c>
      <c r="Y280" s="11">
        <f>IFERROR(__xludf.DUMMYFUNCTION("""COMPUTED_VALUE"""),8.0)</f>
        <v>8</v>
      </c>
      <c r="Z280" s="11">
        <f>IFERROR(__xludf.DUMMYFUNCTION("""COMPUTED_VALUE"""),1.0)</f>
        <v>1</v>
      </c>
      <c r="AA280" s="11">
        <f>IFERROR(__xludf.DUMMYFUNCTION("""COMPUTED_VALUE"""),0.0)</f>
        <v>0</v>
      </c>
      <c r="AB280" s="11">
        <f>IFERROR(__xludf.DUMMYFUNCTION("""COMPUTED_VALUE"""),6.0)</f>
        <v>6</v>
      </c>
      <c r="AC280" s="11">
        <f>IFERROR(__xludf.DUMMYFUNCTION("""COMPUTED_VALUE"""),83.0)</f>
        <v>83</v>
      </c>
      <c r="AD280" s="11">
        <f>IFERROR(__xludf.DUMMYFUNCTION("""COMPUTED_VALUE"""),41.0)</f>
        <v>41</v>
      </c>
    </row>
    <row r="281">
      <c r="A281" s="10" t="str">
        <f>IFERROR(__xludf.DUMMYFUNCTION("""COMPUTED_VALUE"""),"Elite")</f>
        <v>Elite</v>
      </c>
      <c r="B281" s="10" t="str">
        <f>IFERROR(__xludf.DUMMYFUNCTION("""COMPUTED_VALUE"""),"RSC002559")</f>
        <v>RSC002559</v>
      </c>
      <c r="C281" s="10" t="str">
        <f>IFERROR(__xludf.DUMMYFUNCTION("""COMPUTED_VALUE"""),"CommanderBoy")</f>
        <v>CommanderBoy</v>
      </c>
      <c r="D281" s="36" t="str">
        <f>IFERROR(__xludf.DUMMYFUNCTION("""COMPUTED_VALUE"""),"Drive-by
Thrashers")</f>
        <v>Drive-by
Thrashers</v>
      </c>
      <c r="E281" s="10" t="str">
        <f>IFERROR(__xludf.DUMMYFUNCTION("""COMPUTED_VALUE"""),"Solar
Lunar")</f>
        <v>Solar
Lunar</v>
      </c>
      <c r="F281" s="37">
        <f>IFERROR(__xludf.DUMMYFUNCTION("""COMPUTED_VALUE"""),49.951896819471514)</f>
        <v>49.95189682</v>
      </c>
      <c r="G281" s="38">
        <f>IFERROR(__xludf.DUMMYFUNCTION("""COMPUTED_VALUE"""),51.09912317359691)</f>
        <v>51.09912317</v>
      </c>
      <c r="H281" s="38">
        <f>IFERROR(__xludf.DUMMYFUNCTION("""COMPUTED_VALUE"""),50.52550999653421)</f>
        <v>50.52551</v>
      </c>
      <c r="I281" s="14">
        <f>IFERROR(__xludf.DUMMYFUNCTION("""COMPUTED_VALUE"""),39.0)</f>
        <v>39</v>
      </c>
      <c r="J281" s="11">
        <f>IFERROR(__xludf.DUMMYFUNCTION("IFERROR(FILTER(Stats!$F:$Z,(Stats!$A:$A=$A281)*(Stats!$B:$B=$B281)))"),20.0)</f>
        <v>20</v>
      </c>
      <c r="K281" s="11">
        <f>IFERROR(__xludf.DUMMYFUNCTION("""COMPUTED_VALUE"""),19.0)</f>
        <v>19</v>
      </c>
      <c r="L281" s="12">
        <f>IFERROR(__xludf.DUMMYFUNCTION("""COMPUTED_VALUE"""),0.5128205128205128)</f>
        <v>0.5128205128</v>
      </c>
      <c r="M281" s="11">
        <f>IFERROR(__xludf.DUMMYFUNCTION("""COMPUTED_VALUE"""),3.0)</f>
        <v>3</v>
      </c>
      <c r="N281" s="11">
        <f>IFERROR(__xludf.DUMMYFUNCTION("""COMPUTED_VALUE"""),14255.0)</f>
        <v>14255</v>
      </c>
      <c r="O281" s="13">
        <f>IFERROR(__xludf.DUMMYFUNCTION("""COMPUTED_VALUE"""),32.0)</f>
        <v>32</v>
      </c>
      <c r="P281" s="14">
        <f>IFERROR(__xludf.DUMMYFUNCTION("""COMPUTED_VALUE"""),17.0)</f>
        <v>17</v>
      </c>
      <c r="Q281" s="13">
        <f>IFERROR(__xludf.DUMMYFUNCTION("""COMPUTED_VALUE"""),62.0)</f>
        <v>62</v>
      </c>
      <c r="R281" s="13">
        <f>IFERROR(__xludf.DUMMYFUNCTION("""COMPUTED_VALUE"""),110.0)</f>
        <v>110</v>
      </c>
      <c r="S281" s="15">
        <f>IFERROR(__xludf.DUMMYFUNCTION("""COMPUTED_VALUE"""),0.2909090909090909)</f>
        <v>0.2909090909</v>
      </c>
      <c r="T281" s="16">
        <f>IFERROR(__xludf.DUMMYFUNCTION("""COMPUTED_VALUE"""),365.5128205128205)</f>
        <v>365.5128205</v>
      </c>
      <c r="U281" s="16">
        <f>IFERROR(__xludf.DUMMYFUNCTION("""COMPUTED_VALUE"""),0.8205128205128205)</f>
        <v>0.8205128205</v>
      </c>
      <c r="V281" s="16">
        <f>IFERROR(__xludf.DUMMYFUNCTION("""COMPUTED_VALUE"""),0.4358974358974359)</f>
        <v>0.4358974359</v>
      </c>
      <c r="W281" s="16">
        <f>IFERROR(__xludf.DUMMYFUNCTION("""COMPUTED_VALUE"""),1.5897435897435896)</f>
        <v>1.58974359</v>
      </c>
      <c r="X281" s="16">
        <f>IFERROR(__xludf.DUMMYFUNCTION("""COMPUTED_VALUE"""),2.8205128205128207)</f>
        <v>2.820512821</v>
      </c>
      <c r="Y281" s="11">
        <f>IFERROR(__xludf.DUMMYFUNCTION("""COMPUTED_VALUE"""),7.0)</f>
        <v>7</v>
      </c>
      <c r="Z281" s="11">
        <f>IFERROR(__xludf.DUMMYFUNCTION("""COMPUTED_VALUE"""),1.0)</f>
        <v>1</v>
      </c>
      <c r="AA281" s="11">
        <f>IFERROR(__xludf.DUMMYFUNCTION("""COMPUTED_VALUE"""),1.0)</f>
        <v>1</v>
      </c>
      <c r="AB281" s="11">
        <f>IFERROR(__xludf.DUMMYFUNCTION("""COMPUTED_VALUE"""),8.0)</f>
        <v>8</v>
      </c>
      <c r="AC281" s="11">
        <f>IFERROR(__xludf.DUMMYFUNCTION("""COMPUTED_VALUE"""),66.0)</f>
        <v>66</v>
      </c>
      <c r="AD281" s="11">
        <f>IFERROR(__xludf.DUMMYFUNCTION("""COMPUTED_VALUE"""),47.0)</f>
        <v>47</v>
      </c>
    </row>
    <row r="282">
      <c r="A282" s="10" t="str">
        <f>IFERROR(__xludf.DUMMYFUNCTION("""COMPUTED_VALUE"""),"Elite")</f>
        <v>Elite</v>
      </c>
      <c r="B282" s="10" t="str">
        <f>IFERROR(__xludf.DUMMYFUNCTION("""COMPUTED_VALUE"""),"RSC007655")</f>
        <v>RSC007655</v>
      </c>
      <c r="C282" s="10" t="str">
        <f>IFERROR(__xludf.DUMMYFUNCTION("""COMPUTED_VALUE"""),"Geo")</f>
        <v>Geo</v>
      </c>
      <c r="D282" s="36" t="str">
        <f>IFERROR(__xludf.DUMMYFUNCTION("""COMPUTED_VALUE"""),"Orochi")</f>
        <v>Orochi</v>
      </c>
      <c r="E282" s="10" t="str">
        <f>IFERROR(__xludf.DUMMYFUNCTION("""COMPUTED_VALUE"""),"Solar")</f>
        <v>Solar</v>
      </c>
      <c r="F282" s="37">
        <f>IFERROR(__xludf.DUMMYFUNCTION("""COMPUTED_VALUE"""),51.625393737044604)</f>
        <v>51.62539374</v>
      </c>
      <c r="G282" s="38">
        <f>IFERROR(__xludf.DUMMYFUNCTION("""COMPUTED_VALUE"""),49.13284716531875)</f>
        <v>49.13284717</v>
      </c>
      <c r="H282" s="38">
        <f>IFERROR(__xludf.DUMMYFUNCTION("""COMPUTED_VALUE"""),50.37912045118168)</f>
        <v>50.37912045</v>
      </c>
      <c r="I282" s="14">
        <f>IFERROR(__xludf.DUMMYFUNCTION("""COMPUTED_VALUE"""),34.0)</f>
        <v>34</v>
      </c>
      <c r="J282" s="11">
        <f>IFERROR(__xludf.DUMMYFUNCTION("IFERROR(FILTER(Stats!$F:$Z,(Stats!$A:$A=$A282)*(Stats!$B:$B=$B282)))"),12.0)</f>
        <v>12</v>
      </c>
      <c r="K282" s="11">
        <f>IFERROR(__xludf.DUMMYFUNCTION("""COMPUTED_VALUE"""),22.0)</f>
        <v>22</v>
      </c>
      <c r="L282" s="12">
        <f>IFERROR(__xludf.DUMMYFUNCTION("""COMPUTED_VALUE"""),0.35294117647058826)</f>
        <v>0.3529411765</v>
      </c>
      <c r="M282" s="11">
        <f>IFERROR(__xludf.DUMMYFUNCTION("""COMPUTED_VALUE"""),6.0)</f>
        <v>6</v>
      </c>
      <c r="N282" s="11">
        <f>IFERROR(__xludf.DUMMYFUNCTION("""COMPUTED_VALUE"""),11803.0)</f>
        <v>11803</v>
      </c>
      <c r="O282" s="13">
        <f>IFERROR(__xludf.DUMMYFUNCTION("""COMPUTED_VALUE"""),22.0)</f>
        <v>22</v>
      </c>
      <c r="P282" s="14">
        <f>IFERROR(__xludf.DUMMYFUNCTION("""COMPUTED_VALUE"""),20.0)</f>
        <v>20</v>
      </c>
      <c r="Q282" s="13">
        <f>IFERROR(__xludf.DUMMYFUNCTION("""COMPUTED_VALUE"""),48.0)</f>
        <v>48</v>
      </c>
      <c r="R282" s="13">
        <f>IFERROR(__xludf.DUMMYFUNCTION("""COMPUTED_VALUE"""),88.0)</f>
        <v>88</v>
      </c>
      <c r="S282" s="15">
        <f>IFERROR(__xludf.DUMMYFUNCTION("""COMPUTED_VALUE"""),0.25)</f>
        <v>0.25</v>
      </c>
      <c r="T282" s="16">
        <f>IFERROR(__xludf.DUMMYFUNCTION("""COMPUTED_VALUE"""),347.1470588235294)</f>
        <v>347.1470588</v>
      </c>
      <c r="U282" s="16">
        <f>IFERROR(__xludf.DUMMYFUNCTION("""COMPUTED_VALUE"""),0.6470588235294118)</f>
        <v>0.6470588235</v>
      </c>
      <c r="V282" s="16">
        <f>IFERROR(__xludf.DUMMYFUNCTION("""COMPUTED_VALUE"""),0.5882352941176471)</f>
        <v>0.5882352941</v>
      </c>
      <c r="W282" s="16">
        <f>IFERROR(__xludf.DUMMYFUNCTION("""COMPUTED_VALUE"""),1.411764705882353)</f>
        <v>1.411764706</v>
      </c>
      <c r="X282" s="16">
        <f>IFERROR(__xludf.DUMMYFUNCTION("""COMPUTED_VALUE"""),2.588235294117647)</f>
        <v>2.588235294</v>
      </c>
      <c r="Y282" s="11">
        <f>IFERROR(__xludf.DUMMYFUNCTION("""COMPUTED_VALUE"""),3.0)</f>
        <v>3</v>
      </c>
      <c r="Z282" s="11">
        <f>IFERROR(__xludf.DUMMYFUNCTION("""COMPUTED_VALUE"""),2.0)</f>
        <v>2</v>
      </c>
      <c r="AA282" s="11">
        <f>IFERROR(__xludf.DUMMYFUNCTION("""COMPUTED_VALUE"""),1.0)</f>
        <v>1</v>
      </c>
      <c r="AB282" s="11">
        <f>IFERROR(__xludf.DUMMYFUNCTION("""COMPUTED_VALUE"""),7.0)</f>
        <v>7</v>
      </c>
      <c r="AC282" s="11">
        <f>IFERROR(__xludf.DUMMYFUNCTION("""COMPUTED_VALUE"""),36.0)</f>
        <v>36</v>
      </c>
      <c r="AD282" s="11">
        <f>IFERROR(__xludf.DUMMYFUNCTION("""COMPUTED_VALUE"""),35.0)</f>
        <v>35</v>
      </c>
    </row>
    <row r="283">
      <c r="A283" s="10" t="str">
        <f>IFERROR(__xludf.DUMMYFUNCTION("""COMPUTED_VALUE"""),"Elite")</f>
        <v>Elite</v>
      </c>
      <c r="B283" s="10" t="str">
        <f>IFERROR(__xludf.DUMMYFUNCTION("""COMPUTED_VALUE"""),"RSC006378")</f>
        <v>RSC006378</v>
      </c>
      <c r="C283" s="10" t="str">
        <f>IFERROR(__xludf.DUMMYFUNCTION("""COMPUTED_VALUE"""),"depressed vibez")</f>
        <v>depressed vibez</v>
      </c>
      <c r="D283" s="36" t="str">
        <f>IFERROR(__xludf.DUMMYFUNCTION("""COMPUTED_VALUE"""),"Hellhounds
Drive-by")</f>
        <v>Hellhounds
Drive-by</v>
      </c>
      <c r="E283" s="10" t="str">
        <f>IFERROR(__xludf.DUMMYFUNCTION("""COMPUTED_VALUE"""),"Solar
Solar")</f>
        <v>Solar
Solar</v>
      </c>
      <c r="F283" s="37">
        <f>IFERROR(__xludf.DUMMYFUNCTION("""COMPUTED_VALUE"""),52.170931813763275)</f>
        <v>52.17093181</v>
      </c>
      <c r="G283" s="38">
        <f>IFERROR(__xludf.DUMMYFUNCTION("""COMPUTED_VALUE"""),48.17689496298482)</f>
        <v>48.17689496</v>
      </c>
      <c r="H283" s="38">
        <f>IFERROR(__xludf.DUMMYFUNCTION("""COMPUTED_VALUE"""),50.17391338837405)</f>
        <v>50.17391339</v>
      </c>
      <c r="I283" s="14">
        <f>IFERROR(__xludf.DUMMYFUNCTION("""COMPUTED_VALUE"""),23.0)</f>
        <v>23</v>
      </c>
      <c r="J283" s="11">
        <f>IFERROR(__xludf.DUMMYFUNCTION("IFERROR(FILTER(Stats!$F:$Z,(Stats!$A:$A=$A283)*(Stats!$B:$B=$B283)))"),7.0)</f>
        <v>7</v>
      </c>
      <c r="K283" s="11">
        <f>IFERROR(__xludf.DUMMYFUNCTION("""COMPUTED_VALUE"""),16.0)</f>
        <v>16</v>
      </c>
      <c r="L283" s="12">
        <f>IFERROR(__xludf.DUMMYFUNCTION("""COMPUTED_VALUE"""),0.30434782608695654)</f>
        <v>0.3043478261</v>
      </c>
      <c r="M283" s="11">
        <f>IFERROR(__xludf.DUMMYFUNCTION("""COMPUTED_VALUE"""),1.0)</f>
        <v>1</v>
      </c>
      <c r="N283" s="11">
        <f>IFERROR(__xludf.DUMMYFUNCTION("""COMPUTED_VALUE"""),8262.0)</f>
        <v>8262</v>
      </c>
      <c r="O283" s="13">
        <f>IFERROR(__xludf.DUMMYFUNCTION("""COMPUTED_VALUE"""),17.0)</f>
        <v>17</v>
      </c>
      <c r="P283" s="14">
        <f>IFERROR(__xludf.DUMMYFUNCTION("""COMPUTED_VALUE"""),12.0)</f>
        <v>12</v>
      </c>
      <c r="Q283" s="13">
        <f>IFERROR(__xludf.DUMMYFUNCTION("""COMPUTED_VALUE"""),38.0)</f>
        <v>38</v>
      </c>
      <c r="R283" s="13">
        <f>IFERROR(__xludf.DUMMYFUNCTION("""COMPUTED_VALUE"""),58.0)</f>
        <v>58</v>
      </c>
      <c r="S283" s="15">
        <f>IFERROR(__xludf.DUMMYFUNCTION("""COMPUTED_VALUE"""),0.29310344827586204)</f>
        <v>0.2931034483</v>
      </c>
      <c r="T283" s="16">
        <f>IFERROR(__xludf.DUMMYFUNCTION("""COMPUTED_VALUE"""),359.2173913043478)</f>
        <v>359.2173913</v>
      </c>
      <c r="U283" s="16">
        <f>IFERROR(__xludf.DUMMYFUNCTION("""COMPUTED_VALUE"""),0.7391304347826086)</f>
        <v>0.7391304348</v>
      </c>
      <c r="V283" s="16">
        <f>IFERROR(__xludf.DUMMYFUNCTION("""COMPUTED_VALUE"""),0.5217391304347826)</f>
        <v>0.5217391304</v>
      </c>
      <c r="W283" s="16">
        <f>IFERROR(__xludf.DUMMYFUNCTION("""COMPUTED_VALUE"""),1.6521739130434783)</f>
        <v>1.652173913</v>
      </c>
      <c r="X283" s="16">
        <f>IFERROR(__xludf.DUMMYFUNCTION("""COMPUTED_VALUE"""),2.5217391304347827)</f>
        <v>2.52173913</v>
      </c>
      <c r="Y283" s="11">
        <f>IFERROR(__xludf.DUMMYFUNCTION("""COMPUTED_VALUE"""),5.0)</f>
        <v>5</v>
      </c>
      <c r="Z283" s="11">
        <f>IFERROR(__xludf.DUMMYFUNCTION("""COMPUTED_VALUE"""),1.0)</f>
        <v>1</v>
      </c>
      <c r="AA283" s="11">
        <f>IFERROR(__xludf.DUMMYFUNCTION("""COMPUTED_VALUE"""),0.0)</f>
        <v>0</v>
      </c>
      <c r="AB283" s="11">
        <f>IFERROR(__xludf.DUMMYFUNCTION("""COMPUTED_VALUE"""),7.0)</f>
        <v>7</v>
      </c>
      <c r="AC283" s="11">
        <f>IFERROR(__xludf.DUMMYFUNCTION("""COMPUTED_VALUE"""),11.0)</f>
        <v>11</v>
      </c>
      <c r="AD283" s="11">
        <f>IFERROR(__xludf.DUMMYFUNCTION("""COMPUTED_VALUE"""),34.0)</f>
        <v>34</v>
      </c>
    </row>
    <row r="284">
      <c r="A284" s="10" t="str">
        <f>IFERROR(__xludf.DUMMYFUNCTION("""COMPUTED_VALUE"""),"Elite")</f>
        <v>Elite</v>
      </c>
      <c r="B284" s="10" t="str">
        <f>IFERROR(__xludf.DUMMYFUNCTION("""COMPUTED_VALUE"""),"RSC006723")</f>
        <v>RSC006723</v>
      </c>
      <c r="C284" s="10" t="str">
        <f>IFERROR(__xludf.DUMMYFUNCTION("""COMPUTED_VALUE"""),"ROCK_Sause")</f>
        <v>ROCK_Sause</v>
      </c>
      <c r="D284" s="36" t="str">
        <f>IFERROR(__xludf.DUMMYFUNCTION("""COMPUTED_VALUE"""),"Thrashers
Afterburners
Immortals")</f>
        <v>Thrashers
Afterburners
Immortals</v>
      </c>
      <c r="E284" s="10" t="str">
        <f>IFERROR(__xludf.DUMMYFUNCTION("""COMPUTED_VALUE"""),"Lunar
Lunar
Lunar")</f>
        <v>Lunar
Lunar
Lunar</v>
      </c>
      <c r="F284" s="37">
        <f>IFERROR(__xludf.DUMMYFUNCTION("""COMPUTED_VALUE"""),49.4680643588086)</f>
        <v>49.46806436</v>
      </c>
      <c r="G284" s="38">
        <f>IFERROR(__xludf.DUMMYFUNCTION("""COMPUTED_VALUE"""),49.985905785166906)</f>
        <v>49.98590579</v>
      </c>
      <c r="H284" s="38">
        <f>IFERROR(__xludf.DUMMYFUNCTION("""COMPUTED_VALUE"""),49.726985071987755)</f>
        <v>49.72698507</v>
      </c>
      <c r="I284" s="14">
        <f>IFERROR(__xludf.DUMMYFUNCTION("""COMPUTED_VALUE"""),48.0)</f>
        <v>48</v>
      </c>
      <c r="J284" s="11">
        <f>IFERROR(__xludf.DUMMYFUNCTION("IFERROR(FILTER(Stats!$F:$Z,(Stats!$A:$A=$A284)*(Stats!$B:$B=$B284)))"),16.0)</f>
        <v>16</v>
      </c>
      <c r="K284" s="11">
        <f>IFERROR(__xludf.DUMMYFUNCTION("""COMPUTED_VALUE"""),32.0)</f>
        <v>32</v>
      </c>
      <c r="L284" s="12">
        <f>IFERROR(__xludf.DUMMYFUNCTION("""COMPUTED_VALUE"""),0.3333333333333333)</f>
        <v>0.3333333333</v>
      </c>
      <c r="M284" s="11">
        <f>IFERROR(__xludf.DUMMYFUNCTION("""COMPUTED_VALUE"""),5.0)</f>
        <v>5</v>
      </c>
      <c r="N284" s="11">
        <f>IFERROR(__xludf.DUMMYFUNCTION("""COMPUTED_VALUE"""),17925.0)</f>
        <v>17925</v>
      </c>
      <c r="O284" s="13">
        <f>IFERROR(__xludf.DUMMYFUNCTION("""COMPUTED_VALUE"""),37.0)</f>
        <v>37</v>
      </c>
      <c r="P284" s="14">
        <f>IFERROR(__xludf.DUMMYFUNCTION("""COMPUTED_VALUE"""),21.0)</f>
        <v>21</v>
      </c>
      <c r="Q284" s="13">
        <f>IFERROR(__xludf.DUMMYFUNCTION("""COMPUTED_VALUE"""),74.0)</f>
        <v>74</v>
      </c>
      <c r="R284" s="13">
        <f>IFERROR(__xludf.DUMMYFUNCTION("""COMPUTED_VALUE"""),146.0)</f>
        <v>146</v>
      </c>
      <c r="S284" s="15">
        <f>IFERROR(__xludf.DUMMYFUNCTION("""COMPUTED_VALUE"""),0.2534246575342466)</f>
        <v>0.2534246575</v>
      </c>
      <c r="T284" s="16">
        <f>IFERROR(__xludf.DUMMYFUNCTION("""COMPUTED_VALUE"""),373.4375)</f>
        <v>373.4375</v>
      </c>
      <c r="U284" s="16">
        <f>IFERROR(__xludf.DUMMYFUNCTION("""COMPUTED_VALUE"""),0.7708333333333334)</f>
        <v>0.7708333333</v>
      </c>
      <c r="V284" s="16">
        <f>IFERROR(__xludf.DUMMYFUNCTION("""COMPUTED_VALUE"""),0.4375)</f>
        <v>0.4375</v>
      </c>
      <c r="W284" s="16">
        <f>IFERROR(__xludf.DUMMYFUNCTION("""COMPUTED_VALUE"""),1.5416666666666667)</f>
        <v>1.541666667</v>
      </c>
      <c r="X284" s="16">
        <f>IFERROR(__xludf.DUMMYFUNCTION("""COMPUTED_VALUE"""),3.0416666666666665)</f>
        <v>3.041666667</v>
      </c>
      <c r="Y284" s="11">
        <f>IFERROR(__xludf.DUMMYFUNCTION("""COMPUTED_VALUE"""),6.0)</f>
        <v>6</v>
      </c>
      <c r="Z284" s="11">
        <f>IFERROR(__xludf.DUMMYFUNCTION("""COMPUTED_VALUE"""),4.0)</f>
        <v>4</v>
      </c>
      <c r="AA284" s="11">
        <f>IFERROR(__xludf.DUMMYFUNCTION("""COMPUTED_VALUE"""),0.0)</f>
        <v>0</v>
      </c>
      <c r="AB284" s="11">
        <f>IFERROR(__xludf.DUMMYFUNCTION("""COMPUTED_VALUE"""),10.0)</f>
        <v>10</v>
      </c>
      <c r="AC284" s="11">
        <f>IFERROR(__xludf.DUMMYFUNCTION("""COMPUTED_VALUE"""),58.0)</f>
        <v>58</v>
      </c>
      <c r="AD284" s="11">
        <f>IFERROR(__xludf.DUMMYFUNCTION("""COMPUTED_VALUE"""),55.0)</f>
        <v>55</v>
      </c>
    </row>
    <row r="285">
      <c r="A285" s="10" t="str">
        <f>IFERROR(__xludf.DUMMYFUNCTION("""COMPUTED_VALUE"""),"Elite")</f>
        <v>Elite</v>
      </c>
      <c r="B285" s="10" t="str">
        <f>IFERROR(__xludf.DUMMYFUNCTION("""COMPUTED_VALUE"""),"RSC008363")</f>
        <v>RSC008363</v>
      </c>
      <c r="C285" s="10" t="str">
        <f>IFERROR(__xludf.DUMMYFUNCTION("""COMPUTED_VALUE"""),"Jarrtsu")</f>
        <v>Jarrtsu</v>
      </c>
      <c r="D285" s="36" t="str">
        <f>IFERROR(__xludf.DUMMYFUNCTION("""COMPUTED_VALUE"""),"Krakens")</f>
        <v>Krakens</v>
      </c>
      <c r="E285" s="10" t="str">
        <f>IFERROR(__xludf.DUMMYFUNCTION("""COMPUTED_VALUE"""),"Lunar")</f>
        <v>Lunar</v>
      </c>
      <c r="F285" s="37">
        <f>IFERROR(__xludf.DUMMYFUNCTION("""COMPUTED_VALUE"""),52.185390028885756)</f>
        <v>52.18539003</v>
      </c>
      <c r="G285" s="38">
        <f>IFERROR(__xludf.DUMMYFUNCTION("""COMPUTED_VALUE"""),46.531698112096365)</f>
        <v>46.53169811</v>
      </c>
      <c r="H285" s="38">
        <f>IFERROR(__xludf.DUMMYFUNCTION("""COMPUTED_VALUE"""),49.358544070491064)</f>
        <v>49.35854407</v>
      </c>
      <c r="I285" s="14">
        <f>IFERROR(__xludf.DUMMYFUNCTION("""COMPUTED_VALUE"""),52.0)</f>
        <v>52</v>
      </c>
      <c r="J285" s="11">
        <f>IFERROR(__xludf.DUMMYFUNCTION("IFERROR(FILTER(Stats!$F:$Z,(Stats!$A:$A=$A285)*(Stats!$B:$B=$B285)))"),16.0)</f>
        <v>16</v>
      </c>
      <c r="K285" s="11">
        <f>IFERROR(__xludf.DUMMYFUNCTION("""COMPUTED_VALUE"""),36.0)</f>
        <v>36</v>
      </c>
      <c r="L285" s="12">
        <f>IFERROR(__xludf.DUMMYFUNCTION("""COMPUTED_VALUE"""),0.3076923076923077)</f>
        <v>0.3076923077</v>
      </c>
      <c r="M285" s="11">
        <f>IFERROR(__xludf.DUMMYFUNCTION("""COMPUTED_VALUE"""),5.0)</f>
        <v>5</v>
      </c>
      <c r="N285" s="11">
        <f>IFERROR(__xludf.DUMMYFUNCTION("""COMPUTED_VALUE"""),19364.0)</f>
        <v>19364</v>
      </c>
      <c r="O285" s="13">
        <f>IFERROR(__xludf.DUMMYFUNCTION("""COMPUTED_VALUE"""),39.0)</f>
        <v>39</v>
      </c>
      <c r="P285" s="14">
        <f>IFERROR(__xludf.DUMMYFUNCTION("""COMPUTED_VALUE"""),28.0)</f>
        <v>28</v>
      </c>
      <c r="Q285" s="13">
        <f>IFERROR(__xludf.DUMMYFUNCTION("""COMPUTED_VALUE"""),79.0)</f>
        <v>79</v>
      </c>
      <c r="R285" s="13">
        <f>IFERROR(__xludf.DUMMYFUNCTION("""COMPUTED_VALUE"""),126.0)</f>
        <v>126</v>
      </c>
      <c r="S285" s="15">
        <f>IFERROR(__xludf.DUMMYFUNCTION("""COMPUTED_VALUE"""),0.30952380952380953)</f>
        <v>0.3095238095</v>
      </c>
      <c r="T285" s="16">
        <f>IFERROR(__xludf.DUMMYFUNCTION("""COMPUTED_VALUE"""),372.38461538461536)</f>
        <v>372.3846154</v>
      </c>
      <c r="U285" s="16">
        <f>IFERROR(__xludf.DUMMYFUNCTION("""COMPUTED_VALUE"""),0.75)</f>
        <v>0.75</v>
      </c>
      <c r="V285" s="16">
        <f>IFERROR(__xludf.DUMMYFUNCTION("""COMPUTED_VALUE"""),0.5384615384615384)</f>
        <v>0.5384615385</v>
      </c>
      <c r="W285" s="16">
        <f>IFERROR(__xludf.DUMMYFUNCTION("""COMPUTED_VALUE"""),1.5192307692307692)</f>
        <v>1.519230769</v>
      </c>
      <c r="X285" s="16">
        <f>IFERROR(__xludf.DUMMYFUNCTION("""COMPUTED_VALUE"""),2.423076923076923)</f>
        <v>2.423076923</v>
      </c>
      <c r="Y285" s="11">
        <f>IFERROR(__xludf.DUMMYFUNCTION("""COMPUTED_VALUE"""),11.0)</f>
        <v>11</v>
      </c>
      <c r="Z285" s="11">
        <f>IFERROR(__xludf.DUMMYFUNCTION("""COMPUTED_VALUE"""),1.0)</f>
        <v>1</v>
      </c>
      <c r="AA285" s="11">
        <f>IFERROR(__xludf.DUMMYFUNCTION("""COMPUTED_VALUE"""),2.0)</f>
        <v>2</v>
      </c>
      <c r="AB285" s="11">
        <f>IFERROR(__xludf.DUMMYFUNCTION("""COMPUTED_VALUE"""),10.0)</f>
        <v>10</v>
      </c>
      <c r="AC285" s="11">
        <f>IFERROR(__xludf.DUMMYFUNCTION("""COMPUTED_VALUE"""),51.0)</f>
        <v>51</v>
      </c>
      <c r="AD285" s="11">
        <f>IFERROR(__xludf.DUMMYFUNCTION("""COMPUTED_VALUE"""),63.0)</f>
        <v>63</v>
      </c>
    </row>
    <row r="286">
      <c r="A286" s="10" t="str">
        <f>IFERROR(__xludf.DUMMYFUNCTION("""COMPUTED_VALUE"""),"Elite")</f>
        <v>Elite</v>
      </c>
      <c r="B286" s="10" t="str">
        <f>IFERROR(__xludf.DUMMYFUNCTION("""COMPUTED_VALUE"""),"RSC008200")</f>
        <v>RSC008200</v>
      </c>
      <c r="C286" s="10" t="str">
        <f>IFERROR(__xludf.DUMMYFUNCTION("""COMPUTED_VALUE"""),"Cloudburst")</f>
        <v>Cloudburst</v>
      </c>
      <c r="D286" s="36" t="str">
        <f>IFERROR(__xludf.DUMMYFUNCTION("""COMPUTED_VALUE"""),"Krakens")</f>
        <v>Krakens</v>
      </c>
      <c r="E286" s="10" t="str">
        <f>IFERROR(__xludf.DUMMYFUNCTION("""COMPUTED_VALUE"""),"Lunar")</f>
        <v>Lunar</v>
      </c>
      <c r="F286" s="37">
        <f>IFERROR(__xludf.DUMMYFUNCTION("""COMPUTED_VALUE"""),49.98692051909426)</f>
        <v>49.98692052</v>
      </c>
      <c r="G286" s="38">
        <f>IFERROR(__xludf.DUMMYFUNCTION("""COMPUTED_VALUE"""),48.382251206357395)</f>
        <v>48.38225121</v>
      </c>
      <c r="H286" s="38">
        <f>IFERROR(__xludf.DUMMYFUNCTION("""COMPUTED_VALUE"""),49.184585862725825)</f>
        <v>49.18458586</v>
      </c>
      <c r="I286" s="14">
        <f>IFERROR(__xludf.DUMMYFUNCTION("""COMPUTED_VALUE"""),47.0)</f>
        <v>47</v>
      </c>
      <c r="J286" s="11">
        <f>IFERROR(__xludf.DUMMYFUNCTION("IFERROR(FILTER(Stats!$F:$Z,(Stats!$A:$A=$A286)*(Stats!$B:$B=$B286)))"),15.0)</f>
        <v>15</v>
      </c>
      <c r="K286" s="11">
        <f>IFERROR(__xludf.DUMMYFUNCTION("""COMPUTED_VALUE"""),32.0)</f>
        <v>32</v>
      </c>
      <c r="L286" s="12">
        <f>IFERROR(__xludf.DUMMYFUNCTION("""COMPUTED_VALUE"""),0.3191489361702128)</f>
        <v>0.3191489362</v>
      </c>
      <c r="M286" s="11">
        <f>IFERROR(__xludf.DUMMYFUNCTION("""COMPUTED_VALUE"""),6.0)</f>
        <v>6</v>
      </c>
      <c r="N286" s="11">
        <f>IFERROR(__xludf.DUMMYFUNCTION("""COMPUTED_VALUE"""),17211.0)</f>
        <v>17211</v>
      </c>
      <c r="O286" s="13">
        <f>IFERROR(__xludf.DUMMYFUNCTION("""COMPUTED_VALUE"""),38.0)</f>
        <v>38</v>
      </c>
      <c r="P286" s="14">
        <f>IFERROR(__xludf.DUMMYFUNCTION("""COMPUTED_VALUE"""),21.0)</f>
        <v>21</v>
      </c>
      <c r="Q286" s="13">
        <f>IFERROR(__xludf.DUMMYFUNCTION("""COMPUTED_VALUE"""),69.0)</f>
        <v>69</v>
      </c>
      <c r="R286" s="13">
        <f>IFERROR(__xludf.DUMMYFUNCTION("""COMPUTED_VALUE"""),131.0)</f>
        <v>131</v>
      </c>
      <c r="S286" s="15">
        <f>IFERROR(__xludf.DUMMYFUNCTION("""COMPUTED_VALUE"""),0.2900763358778626)</f>
        <v>0.2900763359</v>
      </c>
      <c r="T286" s="16">
        <f>IFERROR(__xludf.DUMMYFUNCTION("""COMPUTED_VALUE"""),366.1914893617021)</f>
        <v>366.1914894</v>
      </c>
      <c r="U286" s="16">
        <f>IFERROR(__xludf.DUMMYFUNCTION("""COMPUTED_VALUE"""),0.8085106382978723)</f>
        <v>0.8085106383</v>
      </c>
      <c r="V286" s="16">
        <f>IFERROR(__xludf.DUMMYFUNCTION("""COMPUTED_VALUE"""),0.44680851063829785)</f>
        <v>0.4468085106</v>
      </c>
      <c r="W286" s="16">
        <f>IFERROR(__xludf.DUMMYFUNCTION("""COMPUTED_VALUE"""),1.4680851063829787)</f>
        <v>1.468085106</v>
      </c>
      <c r="X286" s="16">
        <f>IFERROR(__xludf.DUMMYFUNCTION("""COMPUTED_VALUE"""),2.7872340425531914)</f>
        <v>2.787234043</v>
      </c>
      <c r="Y286" s="11">
        <f>IFERROR(__xludf.DUMMYFUNCTION("""COMPUTED_VALUE"""),12.0)</f>
        <v>12</v>
      </c>
      <c r="Z286" s="11">
        <f>IFERROR(__xludf.DUMMYFUNCTION("""COMPUTED_VALUE"""),0.0)</f>
        <v>0</v>
      </c>
      <c r="AA286" s="11">
        <f>IFERROR(__xludf.DUMMYFUNCTION("""COMPUTED_VALUE"""),0.0)</f>
        <v>0</v>
      </c>
      <c r="AB286" s="11">
        <f>IFERROR(__xludf.DUMMYFUNCTION("""COMPUTED_VALUE"""),8.0)</f>
        <v>8</v>
      </c>
      <c r="AC286" s="11">
        <f>IFERROR(__xludf.DUMMYFUNCTION("""COMPUTED_VALUE"""),49.0)</f>
        <v>49</v>
      </c>
      <c r="AD286" s="11">
        <f>IFERROR(__xludf.DUMMYFUNCTION("""COMPUTED_VALUE"""),55.0)</f>
        <v>55</v>
      </c>
    </row>
    <row r="287">
      <c r="A287" s="10" t="str">
        <f>IFERROR(__xludf.DUMMYFUNCTION("""COMPUTED_VALUE"""),"Elite")</f>
        <v>Elite</v>
      </c>
      <c r="B287" s="10" t="str">
        <f>IFERROR(__xludf.DUMMYFUNCTION("""COMPUTED_VALUE"""),"RSC007470")</f>
        <v>RSC007470</v>
      </c>
      <c r="C287" s="10" t="str">
        <f>IFERROR(__xludf.DUMMYFUNCTION("""COMPUTED_VALUE"""),"Fused Gavin")</f>
        <v>Fused Gavin</v>
      </c>
      <c r="D287" s="36" t="str">
        <f>IFERROR(__xludf.DUMMYFUNCTION("""COMPUTED_VALUE"""),"Swordsman")</f>
        <v>Swordsman</v>
      </c>
      <c r="E287" s="10" t="str">
        <f>IFERROR(__xludf.DUMMYFUNCTION("""COMPUTED_VALUE"""),"Solar")</f>
        <v>Solar</v>
      </c>
      <c r="F287" s="37">
        <f>IFERROR(__xludf.DUMMYFUNCTION("""COMPUTED_VALUE"""),48.21198162532327)</f>
        <v>48.21198163</v>
      </c>
      <c r="G287" s="38">
        <f>IFERROR(__xludf.DUMMYFUNCTION("""COMPUTED_VALUE"""),50.015892037478615)</f>
        <v>50.01589204</v>
      </c>
      <c r="H287" s="38">
        <f>IFERROR(__xludf.DUMMYFUNCTION("""COMPUTED_VALUE"""),49.11393683140094)</f>
        <v>49.11393683</v>
      </c>
      <c r="I287" s="14">
        <f>IFERROR(__xludf.DUMMYFUNCTION("""COMPUTED_VALUE"""),23.0)</f>
        <v>23</v>
      </c>
      <c r="J287" s="11">
        <f>IFERROR(__xludf.DUMMYFUNCTION("IFERROR(FILTER(Stats!$F:$Z,(Stats!$A:$A=$A287)*(Stats!$B:$B=$B287)))"),13.0)</f>
        <v>13</v>
      </c>
      <c r="K287" s="11">
        <f>IFERROR(__xludf.DUMMYFUNCTION("""COMPUTED_VALUE"""),10.0)</f>
        <v>10</v>
      </c>
      <c r="L287" s="12">
        <f>IFERROR(__xludf.DUMMYFUNCTION("""COMPUTED_VALUE"""),0.5652173913043478)</f>
        <v>0.5652173913</v>
      </c>
      <c r="M287" s="11">
        <f>IFERROR(__xludf.DUMMYFUNCTION("""COMPUTED_VALUE"""),6.0)</f>
        <v>6</v>
      </c>
      <c r="N287" s="11">
        <f>IFERROR(__xludf.DUMMYFUNCTION("""COMPUTED_VALUE"""),8270.0)</f>
        <v>8270</v>
      </c>
      <c r="O287" s="13">
        <f>IFERROR(__xludf.DUMMYFUNCTION("""COMPUTED_VALUE"""),18.0)</f>
        <v>18</v>
      </c>
      <c r="P287" s="14">
        <f>IFERROR(__xludf.DUMMYFUNCTION("""COMPUTED_VALUE"""),13.0)</f>
        <v>13</v>
      </c>
      <c r="Q287" s="13">
        <f>IFERROR(__xludf.DUMMYFUNCTION("""COMPUTED_VALUE"""),39.0)</f>
        <v>39</v>
      </c>
      <c r="R287" s="13">
        <f>IFERROR(__xludf.DUMMYFUNCTION("""COMPUTED_VALUE"""),50.0)</f>
        <v>50</v>
      </c>
      <c r="S287" s="15">
        <f>IFERROR(__xludf.DUMMYFUNCTION("""COMPUTED_VALUE"""),0.36)</f>
        <v>0.36</v>
      </c>
      <c r="T287" s="16">
        <f>IFERROR(__xludf.DUMMYFUNCTION("""COMPUTED_VALUE"""),359.5652173913044)</f>
        <v>359.5652174</v>
      </c>
      <c r="U287" s="16">
        <f>IFERROR(__xludf.DUMMYFUNCTION("""COMPUTED_VALUE"""),0.782608695652174)</f>
        <v>0.7826086957</v>
      </c>
      <c r="V287" s="16">
        <f>IFERROR(__xludf.DUMMYFUNCTION("""COMPUTED_VALUE"""),0.5652173913043478)</f>
        <v>0.5652173913</v>
      </c>
      <c r="W287" s="16">
        <f>IFERROR(__xludf.DUMMYFUNCTION("""COMPUTED_VALUE"""),1.6956521739130435)</f>
        <v>1.695652174</v>
      </c>
      <c r="X287" s="16">
        <f>IFERROR(__xludf.DUMMYFUNCTION("""COMPUTED_VALUE"""),2.1739130434782608)</f>
        <v>2.173913043</v>
      </c>
      <c r="Y287" s="11">
        <f>IFERROR(__xludf.DUMMYFUNCTION("""COMPUTED_VALUE"""),4.0)</f>
        <v>4</v>
      </c>
      <c r="Z287" s="11">
        <f>IFERROR(__xludf.DUMMYFUNCTION("""COMPUTED_VALUE"""),1.0)</f>
        <v>1</v>
      </c>
      <c r="AA287" s="11">
        <f>IFERROR(__xludf.DUMMYFUNCTION("""COMPUTED_VALUE"""),0.0)</f>
        <v>0</v>
      </c>
      <c r="AB287" s="11">
        <f>IFERROR(__xludf.DUMMYFUNCTION("""COMPUTED_VALUE"""),6.0)</f>
        <v>6</v>
      </c>
      <c r="AC287" s="11">
        <f>IFERROR(__xludf.DUMMYFUNCTION("""COMPUTED_VALUE"""),15.0)</f>
        <v>15</v>
      </c>
      <c r="AD287" s="11">
        <f>IFERROR(__xludf.DUMMYFUNCTION("""COMPUTED_VALUE"""),21.0)</f>
        <v>21</v>
      </c>
    </row>
    <row r="288">
      <c r="A288" s="10" t="str">
        <f>IFERROR(__xludf.DUMMYFUNCTION("""COMPUTED_VALUE"""),"Elite")</f>
        <v>Elite</v>
      </c>
      <c r="B288" s="10" t="str">
        <f>IFERROR(__xludf.DUMMYFUNCTION("""COMPUTED_VALUE"""),"RSC008399")</f>
        <v>RSC008399</v>
      </c>
      <c r="C288" s="10" t="str">
        <f>IFERROR(__xludf.DUMMYFUNCTION("""COMPUTED_VALUE"""),"Tiz Samu")</f>
        <v>Tiz Samu</v>
      </c>
      <c r="D288" s="36" t="str">
        <f>IFERROR(__xludf.DUMMYFUNCTION("""COMPUTED_VALUE"""),"Praetorian Guard")</f>
        <v>Praetorian Guard</v>
      </c>
      <c r="E288" s="10" t="str">
        <f>IFERROR(__xludf.DUMMYFUNCTION("""COMPUTED_VALUE"""),"Solar")</f>
        <v>Solar</v>
      </c>
      <c r="F288" s="37">
        <f>IFERROR(__xludf.DUMMYFUNCTION("""COMPUTED_VALUE"""),46.85862196496623)</f>
        <v>46.85862196</v>
      </c>
      <c r="G288" s="38">
        <f>IFERROR(__xludf.DUMMYFUNCTION("""COMPUTED_VALUE"""),51.00947583668227)</f>
        <v>51.00947584</v>
      </c>
      <c r="H288" s="38">
        <f>IFERROR(__xludf.DUMMYFUNCTION("""COMPUTED_VALUE"""),48.93404890082425)</f>
        <v>48.9340489</v>
      </c>
      <c r="I288" s="14">
        <f>IFERROR(__xludf.DUMMYFUNCTION("""COMPUTED_VALUE"""),42.0)</f>
        <v>42</v>
      </c>
      <c r="J288" s="11">
        <f>IFERROR(__xludf.DUMMYFUNCTION("IFERROR(FILTER(Stats!$F:$Z,(Stats!$A:$A=$A288)*(Stats!$B:$B=$B288)))"),25.0)</f>
        <v>25</v>
      </c>
      <c r="K288" s="11">
        <f>IFERROR(__xludf.DUMMYFUNCTION("""COMPUTED_VALUE"""),17.0)</f>
        <v>17</v>
      </c>
      <c r="L288" s="12">
        <f>IFERROR(__xludf.DUMMYFUNCTION("""COMPUTED_VALUE"""),0.5952380952380952)</f>
        <v>0.5952380952</v>
      </c>
      <c r="M288" s="11">
        <f>IFERROR(__xludf.DUMMYFUNCTION("""COMPUTED_VALUE"""),7.0)</f>
        <v>7</v>
      </c>
      <c r="N288" s="11">
        <f>IFERROR(__xludf.DUMMYFUNCTION("""COMPUTED_VALUE"""),14250.0)</f>
        <v>14250</v>
      </c>
      <c r="O288" s="13">
        <f>IFERROR(__xludf.DUMMYFUNCTION("""COMPUTED_VALUE"""),30.0)</f>
        <v>30</v>
      </c>
      <c r="P288" s="14">
        <f>IFERROR(__xludf.DUMMYFUNCTION("""COMPUTED_VALUE"""),30.0)</f>
        <v>30</v>
      </c>
      <c r="Q288" s="13">
        <f>IFERROR(__xludf.DUMMYFUNCTION("""COMPUTED_VALUE"""),49.0)</f>
        <v>49</v>
      </c>
      <c r="R288" s="13">
        <f>IFERROR(__xludf.DUMMYFUNCTION("""COMPUTED_VALUE"""),94.0)</f>
        <v>94</v>
      </c>
      <c r="S288" s="15">
        <f>IFERROR(__xludf.DUMMYFUNCTION("""COMPUTED_VALUE"""),0.3191489361702128)</f>
        <v>0.3191489362</v>
      </c>
      <c r="T288" s="16">
        <f>IFERROR(__xludf.DUMMYFUNCTION("""COMPUTED_VALUE"""),339.2857142857143)</f>
        <v>339.2857143</v>
      </c>
      <c r="U288" s="16">
        <f>IFERROR(__xludf.DUMMYFUNCTION("""COMPUTED_VALUE"""),0.7142857142857143)</f>
        <v>0.7142857143</v>
      </c>
      <c r="V288" s="16">
        <f>IFERROR(__xludf.DUMMYFUNCTION("""COMPUTED_VALUE"""),0.7142857142857143)</f>
        <v>0.7142857143</v>
      </c>
      <c r="W288" s="16">
        <f>IFERROR(__xludf.DUMMYFUNCTION("""COMPUTED_VALUE"""),1.1666666666666667)</f>
        <v>1.166666667</v>
      </c>
      <c r="X288" s="16">
        <f>IFERROR(__xludf.DUMMYFUNCTION("""COMPUTED_VALUE"""),2.238095238095238)</f>
        <v>2.238095238</v>
      </c>
      <c r="Y288" s="11">
        <f>IFERROR(__xludf.DUMMYFUNCTION("""COMPUTED_VALUE"""),9.0)</f>
        <v>9</v>
      </c>
      <c r="Z288" s="11">
        <f>IFERROR(__xludf.DUMMYFUNCTION("""COMPUTED_VALUE"""),2.0)</f>
        <v>2</v>
      </c>
      <c r="AA288" s="11">
        <f>IFERROR(__xludf.DUMMYFUNCTION("""COMPUTED_VALUE"""),1.0)</f>
        <v>1</v>
      </c>
      <c r="AB288" s="11">
        <f>IFERROR(__xludf.DUMMYFUNCTION("""COMPUTED_VALUE"""),4.0)</f>
        <v>4</v>
      </c>
      <c r="AC288" s="11">
        <f>IFERROR(__xludf.DUMMYFUNCTION("""COMPUTED_VALUE"""),33.0)</f>
        <v>33</v>
      </c>
      <c r="AD288" s="11">
        <f>IFERROR(__xludf.DUMMYFUNCTION("""COMPUTED_VALUE"""),49.0)</f>
        <v>49</v>
      </c>
    </row>
    <row r="289">
      <c r="A289" s="10" t="str">
        <f>IFERROR(__xludf.DUMMYFUNCTION("""COMPUTED_VALUE"""),"Elite")</f>
        <v>Elite</v>
      </c>
      <c r="B289" s="10" t="str">
        <f>IFERROR(__xludf.DUMMYFUNCTION("""COMPUTED_VALUE"""),"RSC008102")</f>
        <v>RSC008102</v>
      </c>
      <c r="C289" s="10" t="str">
        <f>IFERROR(__xludf.DUMMYFUNCTION("""COMPUTED_VALUE"""),"Talent?")</f>
        <v>Talent?</v>
      </c>
      <c r="D289" s="36" t="str">
        <f>IFERROR(__xludf.DUMMYFUNCTION("""COMPUTED_VALUE"""),"Cotija Cartel")</f>
        <v>Cotija Cartel</v>
      </c>
      <c r="E289" s="10" t="str">
        <f>IFERROR(__xludf.DUMMYFUNCTION("""COMPUTED_VALUE"""),"Lunar")</f>
        <v>Lunar</v>
      </c>
      <c r="F289" s="37">
        <f>IFERROR(__xludf.DUMMYFUNCTION("""COMPUTED_VALUE"""),47.235023636334745)</f>
        <v>47.23502364</v>
      </c>
      <c r="G289" s="38">
        <f>IFERROR(__xludf.DUMMYFUNCTION("""COMPUTED_VALUE"""),47.10017125928332)</f>
        <v>47.10017126</v>
      </c>
      <c r="H289" s="38">
        <f>IFERROR(__xludf.DUMMYFUNCTION("""COMPUTED_VALUE"""),47.16759744780903)</f>
        <v>47.16759745</v>
      </c>
      <c r="I289" s="14">
        <f>IFERROR(__xludf.DUMMYFUNCTION("""COMPUTED_VALUE"""),50.0)</f>
        <v>50</v>
      </c>
      <c r="J289" s="11">
        <f>IFERROR(__xludf.DUMMYFUNCTION("IFERROR(FILTER(Stats!$F:$Z,(Stats!$A:$A=$A289)*(Stats!$B:$B=$B289)))"),22.0)</f>
        <v>22</v>
      </c>
      <c r="K289" s="11">
        <f>IFERROR(__xludf.DUMMYFUNCTION("""COMPUTED_VALUE"""),28.0)</f>
        <v>28</v>
      </c>
      <c r="L289" s="12">
        <f>IFERROR(__xludf.DUMMYFUNCTION("""COMPUTED_VALUE"""),0.44)</f>
        <v>0.44</v>
      </c>
      <c r="M289" s="11">
        <f>IFERROR(__xludf.DUMMYFUNCTION("""COMPUTED_VALUE"""),8.0)</f>
        <v>8</v>
      </c>
      <c r="N289" s="11">
        <f>IFERROR(__xludf.DUMMYFUNCTION("""COMPUTED_VALUE"""),18219.0)</f>
        <v>18219</v>
      </c>
      <c r="O289" s="13">
        <f>IFERROR(__xludf.DUMMYFUNCTION("""COMPUTED_VALUE"""),38.0)</f>
        <v>38</v>
      </c>
      <c r="P289" s="14">
        <f>IFERROR(__xludf.DUMMYFUNCTION("""COMPUTED_VALUE"""),29.0)</f>
        <v>29</v>
      </c>
      <c r="Q289" s="13">
        <f>IFERROR(__xludf.DUMMYFUNCTION("""COMPUTED_VALUE"""),72.0)</f>
        <v>72</v>
      </c>
      <c r="R289" s="13">
        <f>IFERROR(__xludf.DUMMYFUNCTION("""COMPUTED_VALUE"""),125.0)</f>
        <v>125</v>
      </c>
      <c r="S289" s="15">
        <f>IFERROR(__xludf.DUMMYFUNCTION("""COMPUTED_VALUE"""),0.304)</f>
        <v>0.304</v>
      </c>
      <c r="T289" s="16">
        <f>IFERROR(__xludf.DUMMYFUNCTION("""COMPUTED_VALUE"""),364.38)</f>
        <v>364.38</v>
      </c>
      <c r="U289" s="16">
        <f>IFERROR(__xludf.DUMMYFUNCTION("""COMPUTED_VALUE"""),0.76)</f>
        <v>0.76</v>
      </c>
      <c r="V289" s="16">
        <f>IFERROR(__xludf.DUMMYFUNCTION("""COMPUTED_VALUE"""),0.58)</f>
        <v>0.58</v>
      </c>
      <c r="W289" s="16">
        <f>IFERROR(__xludf.DUMMYFUNCTION("""COMPUTED_VALUE"""),1.44)</f>
        <v>1.44</v>
      </c>
      <c r="X289" s="16">
        <f>IFERROR(__xludf.DUMMYFUNCTION("""COMPUTED_VALUE"""),2.5)</f>
        <v>2.5</v>
      </c>
      <c r="Y289" s="11">
        <f>IFERROR(__xludf.DUMMYFUNCTION("""COMPUTED_VALUE"""),4.0)</f>
        <v>4</v>
      </c>
      <c r="Z289" s="11">
        <f>IFERROR(__xludf.DUMMYFUNCTION("""COMPUTED_VALUE"""),2.0)</f>
        <v>2</v>
      </c>
      <c r="AA289" s="11">
        <f>IFERROR(__xludf.DUMMYFUNCTION("""COMPUTED_VALUE"""),1.0)</f>
        <v>1</v>
      </c>
      <c r="AB289" s="11">
        <f>IFERROR(__xludf.DUMMYFUNCTION("""COMPUTED_VALUE"""),8.0)</f>
        <v>8</v>
      </c>
      <c r="AC289" s="11">
        <f>IFERROR(__xludf.DUMMYFUNCTION("""COMPUTED_VALUE"""),56.0)</f>
        <v>56</v>
      </c>
      <c r="AD289" s="11">
        <f>IFERROR(__xludf.DUMMYFUNCTION("""COMPUTED_VALUE"""),40.0)</f>
        <v>40</v>
      </c>
    </row>
    <row r="290">
      <c r="A290" s="10" t="str">
        <f>IFERROR(__xludf.DUMMYFUNCTION("""COMPUTED_VALUE"""),"Elite")</f>
        <v>Elite</v>
      </c>
      <c r="B290" s="10" t="str">
        <f>IFERROR(__xludf.DUMMYFUNCTION("""COMPUTED_VALUE"""),"RSC008461")</f>
        <v>RSC008461</v>
      </c>
      <c r="C290" s="10" t="str">
        <f>IFERROR(__xludf.DUMMYFUNCTION("""COMPUTED_VALUE"""),"Kos")</f>
        <v>Kos</v>
      </c>
      <c r="D290" s="36" t="str">
        <f>IFERROR(__xludf.DUMMYFUNCTION("""COMPUTED_VALUE"""),"Desolation")</f>
        <v>Desolation</v>
      </c>
      <c r="E290" s="10" t="str">
        <f>IFERROR(__xludf.DUMMYFUNCTION("""COMPUTED_VALUE"""),"Solar")</f>
        <v>Solar</v>
      </c>
      <c r="F290" s="37">
        <f>IFERROR(__xludf.DUMMYFUNCTION("""COMPUTED_VALUE"""),46.59470907104244)</f>
        <v>46.59470907</v>
      </c>
      <c r="G290" s="38">
        <f>IFERROR(__xludf.DUMMYFUNCTION("""COMPUTED_VALUE"""),47.21356819015195)</f>
        <v>47.21356819</v>
      </c>
      <c r="H290" s="38">
        <f>IFERROR(__xludf.DUMMYFUNCTION("""COMPUTED_VALUE"""),46.904138630597195)</f>
        <v>46.90413863</v>
      </c>
      <c r="I290" s="14">
        <f>IFERROR(__xludf.DUMMYFUNCTION("""COMPUTED_VALUE"""),55.0)</f>
        <v>55</v>
      </c>
      <c r="J290" s="11">
        <f>IFERROR(__xludf.DUMMYFUNCTION("IFERROR(FILTER(Stats!$F:$Z,(Stats!$A:$A=$A290)*(Stats!$B:$B=$B290)))"),29.0)</f>
        <v>29</v>
      </c>
      <c r="K290" s="11">
        <f>IFERROR(__xludf.DUMMYFUNCTION("""COMPUTED_VALUE"""),26.0)</f>
        <v>26</v>
      </c>
      <c r="L290" s="12">
        <f>IFERROR(__xludf.DUMMYFUNCTION("""COMPUTED_VALUE"""),0.5272727272727272)</f>
        <v>0.5272727273</v>
      </c>
      <c r="M290" s="11">
        <f>IFERROR(__xludf.DUMMYFUNCTION("""COMPUTED_VALUE"""),9.0)</f>
        <v>9</v>
      </c>
      <c r="N290" s="11">
        <f>IFERROR(__xludf.DUMMYFUNCTION("""COMPUTED_VALUE"""),18343.0)</f>
        <v>18343</v>
      </c>
      <c r="O290" s="13">
        <f>IFERROR(__xludf.DUMMYFUNCTION("""COMPUTED_VALUE"""),40.0)</f>
        <v>40</v>
      </c>
      <c r="P290" s="14">
        <f>IFERROR(__xludf.DUMMYFUNCTION("""COMPUTED_VALUE"""),27.0)</f>
        <v>27</v>
      </c>
      <c r="Q290" s="13">
        <f>IFERROR(__xludf.DUMMYFUNCTION("""COMPUTED_VALUE"""),72.0)</f>
        <v>72</v>
      </c>
      <c r="R290" s="13">
        <f>IFERROR(__xludf.DUMMYFUNCTION("""COMPUTED_VALUE"""),156.0)</f>
        <v>156</v>
      </c>
      <c r="S290" s="15">
        <f>IFERROR(__xludf.DUMMYFUNCTION("""COMPUTED_VALUE"""),0.2564102564102564)</f>
        <v>0.2564102564</v>
      </c>
      <c r="T290" s="16">
        <f>IFERROR(__xludf.DUMMYFUNCTION("""COMPUTED_VALUE"""),333.5090909090909)</f>
        <v>333.5090909</v>
      </c>
      <c r="U290" s="16">
        <f>IFERROR(__xludf.DUMMYFUNCTION("""COMPUTED_VALUE"""),0.7272727272727273)</f>
        <v>0.7272727273</v>
      </c>
      <c r="V290" s="16">
        <f>IFERROR(__xludf.DUMMYFUNCTION("""COMPUTED_VALUE"""),0.4909090909090909)</f>
        <v>0.4909090909</v>
      </c>
      <c r="W290" s="16">
        <f>IFERROR(__xludf.DUMMYFUNCTION("""COMPUTED_VALUE"""),1.309090909090909)</f>
        <v>1.309090909</v>
      </c>
      <c r="X290" s="16">
        <f>IFERROR(__xludf.DUMMYFUNCTION("""COMPUTED_VALUE"""),2.8363636363636364)</f>
        <v>2.836363636</v>
      </c>
      <c r="Y290" s="11">
        <f>IFERROR(__xludf.DUMMYFUNCTION("""COMPUTED_VALUE"""),10.0)</f>
        <v>10</v>
      </c>
      <c r="Z290" s="11">
        <f>IFERROR(__xludf.DUMMYFUNCTION("""COMPUTED_VALUE"""),2.0)</f>
        <v>2</v>
      </c>
      <c r="AA290" s="11">
        <f>IFERROR(__xludf.DUMMYFUNCTION("""COMPUTED_VALUE"""),1.0)</f>
        <v>1</v>
      </c>
      <c r="AB290" s="11">
        <f>IFERROR(__xludf.DUMMYFUNCTION("""COMPUTED_VALUE"""),7.0)</f>
        <v>7</v>
      </c>
      <c r="AC290" s="11">
        <f>IFERROR(__xludf.DUMMYFUNCTION("""COMPUTED_VALUE"""),71.0)</f>
        <v>71</v>
      </c>
      <c r="AD290" s="11">
        <f>IFERROR(__xludf.DUMMYFUNCTION("""COMPUTED_VALUE"""),83.0)</f>
        <v>83</v>
      </c>
    </row>
    <row r="291">
      <c r="A291" s="10" t="str">
        <f>IFERROR(__xludf.DUMMYFUNCTION("""COMPUTED_VALUE"""),"Elite")</f>
        <v>Elite</v>
      </c>
      <c r="B291" s="10" t="str">
        <f>IFERROR(__xludf.DUMMYFUNCTION("""COMPUTED_VALUE"""),"RSC002164")</f>
        <v>RSC002164</v>
      </c>
      <c r="C291" s="10" t="str">
        <f>IFERROR(__xludf.DUMMYFUNCTION("""COMPUTED_VALUE"""),"Dosia")</f>
        <v>Dosia</v>
      </c>
      <c r="D291" s="36" t="str">
        <f>IFERROR(__xludf.DUMMYFUNCTION("""COMPUTED_VALUE"""),"Drive-by
Hellhounds")</f>
        <v>Drive-by
Hellhounds</v>
      </c>
      <c r="E291" s="10" t="str">
        <f>IFERROR(__xludf.DUMMYFUNCTION("""COMPUTED_VALUE"""),"Solar
Solar")</f>
        <v>Solar
Solar</v>
      </c>
      <c r="F291" s="37">
        <f>IFERROR(__xludf.DUMMYFUNCTION("""COMPUTED_VALUE"""),43.386900444245015)</f>
        <v>43.38690044</v>
      </c>
      <c r="G291" s="38">
        <f>IFERROR(__xludf.DUMMYFUNCTION("""COMPUTED_VALUE"""),49.35139201238814)</f>
        <v>49.35139201</v>
      </c>
      <c r="H291" s="38">
        <f>IFERROR(__xludf.DUMMYFUNCTION("""COMPUTED_VALUE"""),46.36914622831658)</f>
        <v>46.36914623</v>
      </c>
      <c r="I291" s="14">
        <f>IFERROR(__xludf.DUMMYFUNCTION("""COMPUTED_VALUE"""),50.0)</f>
        <v>50</v>
      </c>
      <c r="J291" s="11">
        <f>IFERROR(__xludf.DUMMYFUNCTION("IFERROR(FILTER(Stats!$F:$Z,(Stats!$A:$A=$A291)*(Stats!$B:$B=$B291)))"),18.0)</f>
        <v>18</v>
      </c>
      <c r="K291" s="11">
        <f>IFERROR(__xludf.DUMMYFUNCTION("""COMPUTED_VALUE"""),32.0)</f>
        <v>32</v>
      </c>
      <c r="L291" s="12">
        <f>IFERROR(__xludf.DUMMYFUNCTION("""COMPUTED_VALUE"""),0.36)</f>
        <v>0.36</v>
      </c>
      <c r="M291" s="11">
        <f>IFERROR(__xludf.DUMMYFUNCTION("""COMPUTED_VALUE"""),6.0)</f>
        <v>6</v>
      </c>
      <c r="N291" s="11">
        <f>IFERROR(__xludf.DUMMYFUNCTION("""COMPUTED_VALUE"""),18046.0)</f>
        <v>18046</v>
      </c>
      <c r="O291" s="13">
        <f>IFERROR(__xludf.DUMMYFUNCTION("""COMPUTED_VALUE"""),39.0)</f>
        <v>39</v>
      </c>
      <c r="P291" s="14">
        <f>IFERROR(__xludf.DUMMYFUNCTION("""COMPUTED_VALUE"""),28.0)</f>
        <v>28</v>
      </c>
      <c r="Q291" s="13">
        <f>IFERROR(__xludf.DUMMYFUNCTION("""COMPUTED_VALUE"""),67.0)</f>
        <v>67</v>
      </c>
      <c r="R291" s="13">
        <f>IFERROR(__xludf.DUMMYFUNCTION("""COMPUTED_VALUE"""),142.0)</f>
        <v>142</v>
      </c>
      <c r="S291" s="15">
        <f>IFERROR(__xludf.DUMMYFUNCTION("""COMPUTED_VALUE"""),0.2746478873239437)</f>
        <v>0.2746478873</v>
      </c>
      <c r="T291" s="16">
        <f>IFERROR(__xludf.DUMMYFUNCTION("""COMPUTED_VALUE"""),360.92)</f>
        <v>360.92</v>
      </c>
      <c r="U291" s="16">
        <f>IFERROR(__xludf.DUMMYFUNCTION("""COMPUTED_VALUE"""),0.78)</f>
        <v>0.78</v>
      </c>
      <c r="V291" s="16">
        <f>IFERROR(__xludf.DUMMYFUNCTION("""COMPUTED_VALUE"""),0.56)</f>
        <v>0.56</v>
      </c>
      <c r="W291" s="16">
        <f>IFERROR(__xludf.DUMMYFUNCTION("""COMPUTED_VALUE"""),1.34)</f>
        <v>1.34</v>
      </c>
      <c r="X291" s="16">
        <f>IFERROR(__xludf.DUMMYFUNCTION("""COMPUTED_VALUE"""),2.84)</f>
        <v>2.84</v>
      </c>
      <c r="Y291" s="11">
        <f>IFERROR(__xludf.DUMMYFUNCTION("""COMPUTED_VALUE"""),7.0)</f>
        <v>7</v>
      </c>
      <c r="Z291" s="11">
        <f>IFERROR(__xludf.DUMMYFUNCTION("""COMPUTED_VALUE"""),3.0)</f>
        <v>3</v>
      </c>
      <c r="AA291" s="11">
        <f>IFERROR(__xludf.DUMMYFUNCTION("""COMPUTED_VALUE"""),3.0)</f>
        <v>3</v>
      </c>
      <c r="AB291" s="11">
        <f>IFERROR(__xludf.DUMMYFUNCTION("""COMPUTED_VALUE"""),9.0)</f>
        <v>9</v>
      </c>
      <c r="AC291" s="11">
        <f>IFERROR(__xludf.DUMMYFUNCTION("""COMPUTED_VALUE"""),64.0)</f>
        <v>64</v>
      </c>
      <c r="AD291" s="11">
        <f>IFERROR(__xludf.DUMMYFUNCTION("""COMPUTED_VALUE"""),66.0)</f>
        <v>66</v>
      </c>
    </row>
    <row r="292">
      <c r="A292" s="10" t="str">
        <f>IFERROR(__xludf.DUMMYFUNCTION("""COMPUTED_VALUE"""),"Elite")</f>
        <v>Elite</v>
      </c>
      <c r="B292" s="10" t="str">
        <f>IFERROR(__xludf.DUMMYFUNCTION("""COMPUTED_VALUE"""),"RSC000021")</f>
        <v>RSC000021</v>
      </c>
      <c r="C292" s="10" t="str">
        <f>IFERROR(__xludf.DUMMYFUNCTION("""COMPUTED_VALUE"""),"TyTy")</f>
        <v>TyTy</v>
      </c>
      <c r="D292" s="36" t="str">
        <f>IFERROR(__xludf.DUMMYFUNCTION("""COMPUTED_VALUE"""),"Hellhounds
Afterburners
Commanders")</f>
        <v>Hellhounds
Afterburners
Commanders</v>
      </c>
      <c r="E292" s="10" t="str">
        <f>IFERROR(__xludf.DUMMYFUNCTION("""COMPUTED_VALUE"""),"Solar
Lunar
Lunar")</f>
        <v>Solar
Lunar
Lunar</v>
      </c>
      <c r="F292" s="37">
        <f>IFERROR(__xludf.DUMMYFUNCTION("""COMPUTED_VALUE"""),46.641124917213844)</f>
        <v>46.64112492</v>
      </c>
      <c r="G292" s="38">
        <f>IFERROR(__xludf.DUMMYFUNCTION("""COMPUTED_VALUE"""),44.21215692377628)</f>
        <v>44.21215692</v>
      </c>
      <c r="H292" s="38">
        <f>IFERROR(__xludf.DUMMYFUNCTION("""COMPUTED_VALUE"""),45.42664092049506)</f>
        <v>45.42664092</v>
      </c>
      <c r="I292" s="14">
        <f>IFERROR(__xludf.DUMMYFUNCTION("""COMPUTED_VALUE"""),31.0)</f>
        <v>31</v>
      </c>
      <c r="J292" s="11">
        <f>IFERROR(__xludf.DUMMYFUNCTION("IFERROR(FILTER(Stats!$F:$Z,(Stats!$A:$A=$A292)*(Stats!$B:$B=$B292)))"),16.0)</f>
        <v>16</v>
      </c>
      <c r="K292" s="11">
        <f>IFERROR(__xludf.DUMMYFUNCTION("""COMPUTED_VALUE"""),15.0)</f>
        <v>15</v>
      </c>
      <c r="L292" s="12">
        <f>IFERROR(__xludf.DUMMYFUNCTION("""COMPUTED_VALUE"""),0.5161290322580645)</f>
        <v>0.5161290323</v>
      </c>
      <c r="M292" s="11">
        <f>IFERROR(__xludf.DUMMYFUNCTION("""COMPUTED_VALUE"""),5.0)</f>
        <v>5</v>
      </c>
      <c r="N292" s="11">
        <f>IFERROR(__xludf.DUMMYFUNCTION("""COMPUTED_VALUE"""),10296.0)</f>
        <v>10296</v>
      </c>
      <c r="O292" s="13">
        <f>IFERROR(__xludf.DUMMYFUNCTION("""COMPUTED_VALUE"""),20.0)</f>
        <v>20</v>
      </c>
      <c r="P292" s="14">
        <f>IFERROR(__xludf.DUMMYFUNCTION("""COMPUTED_VALUE"""),20.0)</f>
        <v>20</v>
      </c>
      <c r="Q292" s="13">
        <f>IFERROR(__xludf.DUMMYFUNCTION("""COMPUTED_VALUE"""),43.0)</f>
        <v>43</v>
      </c>
      <c r="R292" s="13">
        <f>IFERROR(__xludf.DUMMYFUNCTION("""COMPUTED_VALUE"""),71.0)</f>
        <v>71</v>
      </c>
      <c r="S292" s="15">
        <f>IFERROR(__xludf.DUMMYFUNCTION("""COMPUTED_VALUE"""),0.28169014084507044)</f>
        <v>0.2816901408</v>
      </c>
      <c r="T292" s="16">
        <f>IFERROR(__xludf.DUMMYFUNCTION("""COMPUTED_VALUE"""),332.1290322580645)</f>
        <v>332.1290323</v>
      </c>
      <c r="U292" s="16">
        <f>IFERROR(__xludf.DUMMYFUNCTION("""COMPUTED_VALUE"""),0.6451612903225806)</f>
        <v>0.6451612903</v>
      </c>
      <c r="V292" s="16">
        <f>IFERROR(__xludf.DUMMYFUNCTION("""COMPUTED_VALUE"""),0.6451612903225806)</f>
        <v>0.6451612903</v>
      </c>
      <c r="W292" s="16">
        <f>IFERROR(__xludf.DUMMYFUNCTION("""COMPUTED_VALUE"""),1.3870967741935485)</f>
        <v>1.387096774</v>
      </c>
      <c r="X292" s="16">
        <f>IFERROR(__xludf.DUMMYFUNCTION("""COMPUTED_VALUE"""),2.2903225806451615)</f>
        <v>2.290322581</v>
      </c>
      <c r="Y292" s="11">
        <f>IFERROR(__xludf.DUMMYFUNCTION("""COMPUTED_VALUE"""),4.0)</f>
        <v>4</v>
      </c>
      <c r="Z292" s="11">
        <f>IFERROR(__xludf.DUMMYFUNCTION("""COMPUTED_VALUE"""),0.0)</f>
        <v>0</v>
      </c>
      <c r="AA292" s="11">
        <f>IFERROR(__xludf.DUMMYFUNCTION("""COMPUTED_VALUE"""),1.0)</f>
        <v>1</v>
      </c>
      <c r="AB292" s="11">
        <f>IFERROR(__xludf.DUMMYFUNCTION("""COMPUTED_VALUE"""),6.0)</f>
        <v>6</v>
      </c>
      <c r="AC292" s="11">
        <f>IFERROR(__xludf.DUMMYFUNCTION("""COMPUTED_VALUE"""),12.0)</f>
        <v>12</v>
      </c>
      <c r="AD292" s="11">
        <f>IFERROR(__xludf.DUMMYFUNCTION("""COMPUTED_VALUE"""),31.0)</f>
        <v>31</v>
      </c>
    </row>
    <row r="293">
      <c r="A293" s="10" t="str">
        <f>IFERROR(__xludf.DUMMYFUNCTION("""COMPUTED_VALUE"""),"Elite")</f>
        <v>Elite</v>
      </c>
      <c r="B293" s="10" t="str">
        <f>IFERROR(__xludf.DUMMYFUNCTION("""COMPUTED_VALUE"""),"RSC003143")</f>
        <v>RSC003143</v>
      </c>
      <c r="C293" s="10" t="str">
        <f>IFERROR(__xludf.DUMMYFUNCTION("""COMPUTED_VALUE"""),"Dank._.")</f>
        <v>Dank._.</v>
      </c>
      <c r="D293" s="36" t="str">
        <f>IFERROR(__xludf.DUMMYFUNCTION("""COMPUTED_VALUE"""),"Hellhounds
Drive-by")</f>
        <v>Hellhounds
Drive-by</v>
      </c>
      <c r="E293" s="10" t="str">
        <f>IFERROR(__xludf.DUMMYFUNCTION("""COMPUTED_VALUE"""),"Solar
Solar")</f>
        <v>Solar
Solar</v>
      </c>
      <c r="F293" s="37">
        <f>IFERROR(__xludf.DUMMYFUNCTION("""COMPUTED_VALUE"""),49.475039723814966)</f>
        <v>49.47503972</v>
      </c>
      <c r="G293" s="38">
        <f>IFERROR(__xludf.DUMMYFUNCTION("""COMPUTED_VALUE"""),40.566830853095595)</f>
        <v>40.56683085</v>
      </c>
      <c r="H293" s="38">
        <f>IFERROR(__xludf.DUMMYFUNCTION("""COMPUTED_VALUE"""),45.02093528845528)</f>
        <v>45.02093529</v>
      </c>
      <c r="I293" s="14">
        <f>IFERROR(__xludf.DUMMYFUNCTION("""COMPUTED_VALUE"""),40.0)</f>
        <v>40</v>
      </c>
      <c r="J293" s="11">
        <f>IFERROR(__xludf.DUMMYFUNCTION("IFERROR(FILTER(Stats!$F:$Z,(Stats!$A:$A=$A293)*(Stats!$B:$B=$B293)))"),13.0)</f>
        <v>13</v>
      </c>
      <c r="K293" s="11">
        <f>IFERROR(__xludf.DUMMYFUNCTION("""COMPUTED_VALUE"""),27.0)</f>
        <v>27</v>
      </c>
      <c r="L293" s="12">
        <f>IFERROR(__xludf.DUMMYFUNCTION("""COMPUTED_VALUE"""),0.325)</f>
        <v>0.325</v>
      </c>
      <c r="M293" s="11">
        <f>IFERROR(__xludf.DUMMYFUNCTION("""COMPUTED_VALUE"""),7.0)</f>
        <v>7</v>
      </c>
      <c r="N293" s="11">
        <f>IFERROR(__xludf.DUMMYFUNCTION("""COMPUTED_VALUE"""),16383.0)</f>
        <v>16383</v>
      </c>
      <c r="O293" s="13">
        <f>IFERROR(__xludf.DUMMYFUNCTION("""COMPUTED_VALUE"""),27.0)</f>
        <v>27</v>
      </c>
      <c r="P293" s="14">
        <f>IFERROR(__xludf.DUMMYFUNCTION("""COMPUTED_VALUE"""),21.0)</f>
        <v>21</v>
      </c>
      <c r="Q293" s="13">
        <f>IFERROR(__xludf.DUMMYFUNCTION("""COMPUTED_VALUE"""),95.0)</f>
        <v>95</v>
      </c>
      <c r="R293" s="13">
        <f>IFERROR(__xludf.DUMMYFUNCTION("""COMPUTED_VALUE"""),80.0)</f>
        <v>80</v>
      </c>
      <c r="S293" s="15">
        <f>IFERROR(__xludf.DUMMYFUNCTION("""COMPUTED_VALUE"""),0.3375)</f>
        <v>0.3375</v>
      </c>
      <c r="T293" s="16">
        <f>IFERROR(__xludf.DUMMYFUNCTION("""COMPUTED_VALUE"""),409.575)</f>
        <v>409.575</v>
      </c>
      <c r="U293" s="16">
        <f>IFERROR(__xludf.DUMMYFUNCTION("""COMPUTED_VALUE"""),0.675)</f>
        <v>0.675</v>
      </c>
      <c r="V293" s="16">
        <f>IFERROR(__xludf.DUMMYFUNCTION("""COMPUTED_VALUE"""),0.525)</f>
        <v>0.525</v>
      </c>
      <c r="W293" s="16">
        <f>IFERROR(__xludf.DUMMYFUNCTION("""COMPUTED_VALUE"""),2.375)</f>
        <v>2.375</v>
      </c>
      <c r="X293" s="16">
        <f>IFERROR(__xludf.DUMMYFUNCTION("""COMPUTED_VALUE"""),2.0)</f>
        <v>2</v>
      </c>
      <c r="Y293" s="11">
        <f>IFERROR(__xludf.DUMMYFUNCTION("""COMPUTED_VALUE"""),7.0)</f>
        <v>7</v>
      </c>
      <c r="Z293" s="11">
        <f>IFERROR(__xludf.DUMMYFUNCTION("""COMPUTED_VALUE"""),0.0)</f>
        <v>0</v>
      </c>
      <c r="AA293" s="11">
        <f>IFERROR(__xludf.DUMMYFUNCTION("""COMPUTED_VALUE"""),0.0)</f>
        <v>0</v>
      </c>
      <c r="AB293" s="11">
        <f>IFERROR(__xludf.DUMMYFUNCTION("""COMPUTED_VALUE"""),18.0)</f>
        <v>18</v>
      </c>
      <c r="AC293" s="11">
        <f>IFERROR(__xludf.DUMMYFUNCTION("""COMPUTED_VALUE"""),63.0)</f>
        <v>63</v>
      </c>
      <c r="AD293" s="11">
        <f>IFERROR(__xludf.DUMMYFUNCTION("""COMPUTED_VALUE"""),33.0)</f>
        <v>33</v>
      </c>
    </row>
    <row r="294">
      <c r="A294" s="10" t="str">
        <f>IFERROR(__xludf.DUMMYFUNCTION("""COMPUTED_VALUE"""),"Elite")</f>
        <v>Elite</v>
      </c>
      <c r="B294" s="10" t="str">
        <f>IFERROR(__xludf.DUMMYFUNCTION("""COMPUTED_VALUE"""),"RSC007129")</f>
        <v>RSC007129</v>
      </c>
      <c r="C294" s="10" t="str">
        <f>IFERROR(__xludf.DUMMYFUNCTION("""COMPUTED_VALUE"""),"EKA Luminous")</f>
        <v>EKA Luminous</v>
      </c>
      <c r="D294" s="36" t="str">
        <f>IFERROR(__xludf.DUMMYFUNCTION("""COMPUTED_VALUE"""),"Forge Defenders")</f>
        <v>Forge Defenders</v>
      </c>
      <c r="E294" s="10" t="str">
        <f>IFERROR(__xludf.DUMMYFUNCTION("""COMPUTED_VALUE"""),"Lunar")</f>
        <v>Lunar</v>
      </c>
      <c r="F294" s="37">
        <f>IFERROR(__xludf.DUMMYFUNCTION("""COMPUTED_VALUE"""),45.33388421231944)</f>
        <v>45.33388421</v>
      </c>
      <c r="G294" s="38">
        <f>IFERROR(__xludf.DUMMYFUNCTION("""COMPUTED_VALUE"""),44.56866044707415)</f>
        <v>44.56866045</v>
      </c>
      <c r="H294" s="38">
        <f>IFERROR(__xludf.DUMMYFUNCTION("""COMPUTED_VALUE"""),44.95127232969679)</f>
        <v>44.95127233</v>
      </c>
      <c r="I294" s="14">
        <f>IFERROR(__xludf.DUMMYFUNCTION("""COMPUTED_VALUE"""),29.0)</f>
        <v>29</v>
      </c>
      <c r="J294" s="11">
        <f>IFERROR(__xludf.DUMMYFUNCTION("IFERROR(FILTER(Stats!$F:$Z,(Stats!$A:$A=$A294)*(Stats!$B:$B=$B294)))"),13.0)</f>
        <v>13</v>
      </c>
      <c r="K294" s="11">
        <f>IFERROR(__xludf.DUMMYFUNCTION("""COMPUTED_VALUE"""),16.0)</f>
        <v>16</v>
      </c>
      <c r="L294" s="12">
        <f>IFERROR(__xludf.DUMMYFUNCTION("""COMPUTED_VALUE"""),0.4482758620689655)</f>
        <v>0.4482758621</v>
      </c>
      <c r="M294" s="11">
        <f>IFERROR(__xludf.DUMMYFUNCTION("""COMPUTED_VALUE"""),2.0)</f>
        <v>2</v>
      </c>
      <c r="N294" s="11">
        <f>IFERROR(__xludf.DUMMYFUNCTION("""COMPUTED_VALUE"""),9687.0)</f>
        <v>9687</v>
      </c>
      <c r="O294" s="13">
        <f>IFERROR(__xludf.DUMMYFUNCTION("""COMPUTED_VALUE"""),23.0)</f>
        <v>23</v>
      </c>
      <c r="P294" s="14">
        <f>IFERROR(__xludf.DUMMYFUNCTION("""COMPUTED_VALUE"""),16.0)</f>
        <v>16</v>
      </c>
      <c r="Q294" s="13">
        <f>IFERROR(__xludf.DUMMYFUNCTION("""COMPUTED_VALUE"""),37.0)</f>
        <v>37</v>
      </c>
      <c r="R294" s="13">
        <f>IFERROR(__xludf.DUMMYFUNCTION("""COMPUTED_VALUE"""),76.0)</f>
        <v>76</v>
      </c>
      <c r="S294" s="15">
        <f>IFERROR(__xludf.DUMMYFUNCTION("""COMPUTED_VALUE"""),0.3026315789473684)</f>
        <v>0.3026315789</v>
      </c>
      <c r="T294" s="16">
        <f>IFERROR(__xludf.DUMMYFUNCTION("""COMPUTED_VALUE"""),334.0344827586207)</f>
        <v>334.0344828</v>
      </c>
      <c r="U294" s="16">
        <f>IFERROR(__xludf.DUMMYFUNCTION("""COMPUTED_VALUE"""),0.7931034482758621)</f>
        <v>0.7931034483</v>
      </c>
      <c r="V294" s="16">
        <f>IFERROR(__xludf.DUMMYFUNCTION("""COMPUTED_VALUE"""),0.5517241379310345)</f>
        <v>0.5517241379</v>
      </c>
      <c r="W294" s="16">
        <f>IFERROR(__xludf.DUMMYFUNCTION("""COMPUTED_VALUE"""),1.2758620689655173)</f>
        <v>1.275862069</v>
      </c>
      <c r="X294" s="16">
        <f>IFERROR(__xludf.DUMMYFUNCTION("""COMPUTED_VALUE"""),2.6206896551724137)</f>
        <v>2.620689655</v>
      </c>
      <c r="Y294" s="11">
        <f>IFERROR(__xludf.DUMMYFUNCTION("""COMPUTED_VALUE"""),5.0)</f>
        <v>5</v>
      </c>
      <c r="Z294" s="11">
        <f>IFERROR(__xludf.DUMMYFUNCTION("""COMPUTED_VALUE"""),3.0)</f>
        <v>3</v>
      </c>
      <c r="AA294" s="11">
        <f>IFERROR(__xludf.DUMMYFUNCTION("""COMPUTED_VALUE"""),1.0)</f>
        <v>1</v>
      </c>
      <c r="AB294" s="11">
        <f>IFERROR(__xludf.DUMMYFUNCTION("""COMPUTED_VALUE"""),2.0)</f>
        <v>2</v>
      </c>
      <c r="AC294" s="11">
        <f>IFERROR(__xludf.DUMMYFUNCTION("""COMPUTED_VALUE"""),23.0)</f>
        <v>23</v>
      </c>
      <c r="AD294" s="11">
        <f>IFERROR(__xludf.DUMMYFUNCTION("""COMPUTED_VALUE"""),46.0)</f>
        <v>46</v>
      </c>
    </row>
    <row r="295">
      <c r="A295" s="10" t="str">
        <f>IFERROR(__xludf.DUMMYFUNCTION("""COMPUTED_VALUE"""),"Elite")</f>
        <v>Elite</v>
      </c>
      <c r="B295" s="10" t="str">
        <f>IFERROR(__xludf.DUMMYFUNCTION("""COMPUTED_VALUE"""),"RSC008089")</f>
        <v>RSC008089</v>
      </c>
      <c r="C295" s="10" t="str">
        <f>IFERROR(__xludf.DUMMYFUNCTION("""COMPUTED_VALUE"""),"SyrupBloodz")</f>
        <v>SyrupBloodz</v>
      </c>
      <c r="D295" s="36" t="str">
        <f>IFERROR(__xludf.DUMMYFUNCTION("""COMPUTED_VALUE"""),"Fire")</f>
        <v>Fire</v>
      </c>
      <c r="E295" s="10" t="str">
        <f>IFERROR(__xludf.DUMMYFUNCTION("""COMPUTED_VALUE"""),"Solar")</f>
        <v>Solar</v>
      </c>
      <c r="F295" s="37">
        <f>IFERROR(__xludf.DUMMYFUNCTION("""COMPUTED_VALUE"""),49.67883928020482)</f>
        <v>49.67883928</v>
      </c>
      <c r="G295" s="38">
        <f>IFERROR(__xludf.DUMMYFUNCTION("""COMPUTED_VALUE"""),40.10187480331597)</f>
        <v>40.1018748</v>
      </c>
      <c r="H295" s="38">
        <f>IFERROR(__xludf.DUMMYFUNCTION("""COMPUTED_VALUE"""),44.890357041760396)</f>
        <v>44.89035704</v>
      </c>
      <c r="I295" s="14">
        <f>IFERROR(__xludf.DUMMYFUNCTION("""COMPUTED_VALUE"""),10.0)</f>
        <v>10</v>
      </c>
      <c r="J295" s="11">
        <f>IFERROR(__xludf.DUMMYFUNCTION("IFERROR(FILTER(Stats!$F:$Z,(Stats!$A:$A=$A295)*(Stats!$B:$B=$B295)))"),3.0)</f>
        <v>3</v>
      </c>
      <c r="K295" s="11">
        <f>IFERROR(__xludf.DUMMYFUNCTION("""COMPUTED_VALUE"""),7.0)</f>
        <v>7</v>
      </c>
      <c r="L295" s="12">
        <f>IFERROR(__xludf.DUMMYFUNCTION("""COMPUTED_VALUE"""),0.3)</f>
        <v>0.3</v>
      </c>
      <c r="M295" s="11">
        <f>IFERROR(__xludf.DUMMYFUNCTION("""COMPUTED_VALUE"""),1.0)</f>
        <v>1</v>
      </c>
      <c r="N295" s="11">
        <f>IFERROR(__xludf.DUMMYFUNCTION("""COMPUTED_VALUE"""),3688.0)</f>
        <v>3688</v>
      </c>
      <c r="O295" s="13">
        <f>IFERROR(__xludf.DUMMYFUNCTION("""COMPUTED_VALUE"""),4.0)</f>
        <v>4</v>
      </c>
      <c r="P295" s="14">
        <f>IFERROR(__xludf.DUMMYFUNCTION("""COMPUTED_VALUE"""),8.0)</f>
        <v>8</v>
      </c>
      <c r="Q295" s="13">
        <f>IFERROR(__xludf.DUMMYFUNCTION("""COMPUTED_VALUE"""),19.0)</f>
        <v>19</v>
      </c>
      <c r="R295" s="13">
        <f>IFERROR(__xludf.DUMMYFUNCTION("""COMPUTED_VALUE"""),24.0)</f>
        <v>24</v>
      </c>
      <c r="S295" s="15">
        <f>IFERROR(__xludf.DUMMYFUNCTION("""COMPUTED_VALUE"""),0.16666666666666666)</f>
        <v>0.1666666667</v>
      </c>
      <c r="T295" s="16">
        <f>IFERROR(__xludf.DUMMYFUNCTION("""COMPUTED_VALUE"""),368.8)</f>
        <v>368.8</v>
      </c>
      <c r="U295" s="16">
        <f>IFERROR(__xludf.DUMMYFUNCTION("""COMPUTED_VALUE"""),0.4)</f>
        <v>0.4</v>
      </c>
      <c r="V295" s="16">
        <f>IFERROR(__xludf.DUMMYFUNCTION("""COMPUTED_VALUE"""),0.8)</f>
        <v>0.8</v>
      </c>
      <c r="W295" s="16">
        <f>IFERROR(__xludf.DUMMYFUNCTION("""COMPUTED_VALUE"""),1.9)</f>
        <v>1.9</v>
      </c>
      <c r="X295" s="16">
        <f>IFERROR(__xludf.DUMMYFUNCTION("""COMPUTED_VALUE"""),2.4)</f>
        <v>2.4</v>
      </c>
      <c r="Y295" s="11">
        <f>IFERROR(__xludf.DUMMYFUNCTION("""COMPUTED_VALUE"""),2.0)</f>
        <v>2</v>
      </c>
      <c r="Z295" s="11">
        <f>IFERROR(__xludf.DUMMYFUNCTION("""COMPUTED_VALUE"""),0.0)</f>
        <v>0</v>
      </c>
      <c r="AA295" s="11">
        <f>IFERROR(__xludf.DUMMYFUNCTION("""COMPUTED_VALUE"""),1.0)</f>
        <v>1</v>
      </c>
      <c r="AB295" s="11">
        <f>IFERROR(__xludf.DUMMYFUNCTION("""COMPUTED_VALUE"""),3.0)</f>
        <v>3</v>
      </c>
      <c r="AC295" s="11">
        <f>IFERROR(__xludf.DUMMYFUNCTION("""COMPUTED_VALUE"""),7.0)</f>
        <v>7</v>
      </c>
      <c r="AD295" s="11">
        <f>IFERROR(__xludf.DUMMYFUNCTION("""COMPUTED_VALUE"""),13.0)</f>
        <v>13</v>
      </c>
    </row>
    <row r="296">
      <c r="A296" s="10" t="str">
        <f>IFERROR(__xludf.DUMMYFUNCTION("""COMPUTED_VALUE"""),"Elite")</f>
        <v>Elite</v>
      </c>
      <c r="B296" s="10" t="str">
        <f>IFERROR(__xludf.DUMMYFUNCTION("""COMPUTED_VALUE"""),"RSC005373")</f>
        <v>RSC005373</v>
      </c>
      <c r="C296" s="10" t="str">
        <f>IFERROR(__xludf.DUMMYFUNCTION("""COMPUTED_VALUE"""),"dvorl.ttv")</f>
        <v>dvorl.ttv</v>
      </c>
      <c r="D296" s="36" t="str">
        <f>IFERROR(__xludf.DUMMYFUNCTION("""COMPUTED_VALUE"""),"Despair")</f>
        <v>Despair</v>
      </c>
      <c r="E296" s="10" t="str">
        <f>IFERROR(__xludf.DUMMYFUNCTION("""COMPUTED_VALUE"""),"Lunar")</f>
        <v>Lunar</v>
      </c>
      <c r="F296" s="37">
        <f>IFERROR(__xludf.DUMMYFUNCTION("""COMPUTED_VALUE"""),46.64867978484023)</f>
        <v>46.64867978</v>
      </c>
      <c r="G296" s="38">
        <f>IFERROR(__xludf.DUMMYFUNCTION("""COMPUTED_VALUE"""),42.85230738305002)</f>
        <v>42.85230738</v>
      </c>
      <c r="H296" s="38">
        <f>IFERROR(__xludf.DUMMYFUNCTION("""COMPUTED_VALUE"""),44.75049358394513)</f>
        <v>44.75049358</v>
      </c>
      <c r="I296" s="14">
        <f>IFERROR(__xludf.DUMMYFUNCTION("""COMPUTED_VALUE"""),30.0)</f>
        <v>30</v>
      </c>
      <c r="J296" s="11">
        <f>IFERROR(__xludf.DUMMYFUNCTION("IFERROR(FILTER(Stats!$F:$Z,(Stats!$A:$A=$A296)*(Stats!$B:$B=$B296)))"),16.0)</f>
        <v>16</v>
      </c>
      <c r="K296" s="11">
        <f>IFERROR(__xludf.DUMMYFUNCTION("""COMPUTED_VALUE"""),14.0)</f>
        <v>14</v>
      </c>
      <c r="L296" s="12">
        <f>IFERROR(__xludf.DUMMYFUNCTION("""COMPUTED_VALUE"""),0.5333333333333333)</f>
        <v>0.5333333333</v>
      </c>
      <c r="M296" s="11">
        <f>IFERROR(__xludf.DUMMYFUNCTION("""COMPUTED_VALUE"""),6.0)</f>
        <v>6</v>
      </c>
      <c r="N296" s="11">
        <f>IFERROR(__xludf.DUMMYFUNCTION("""COMPUTED_VALUE"""),9591.0)</f>
        <v>9591</v>
      </c>
      <c r="O296" s="13">
        <f>IFERROR(__xludf.DUMMYFUNCTION("""COMPUTED_VALUE"""),17.0)</f>
        <v>17</v>
      </c>
      <c r="P296" s="14">
        <f>IFERROR(__xludf.DUMMYFUNCTION("""COMPUTED_VALUE"""),19.0)</f>
        <v>19</v>
      </c>
      <c r="Q296" s="13">
        <f>IFERROR(__xludf.DUMMYFUNCTION("""COMPUTED_VALUE"""),35.0)</f>
        <v>35</v>
      </c>
      <c r="R296" s="13">
        <f>IFERROR(__xludf.DUMMYFUNCTION("""COMPUTED_VALUE"""),88.0)</f>
        <v>88</v>
      </c>
      <c r="S296" s="15">
        <f>IFERROR(__xludf.DUMMYFUNCTION("""COMPUTED_VALUE"""),0.19318181818181818)</f>
        <v>0.1931818182</v>
      </c>
      <c r="T296" s="16">
        <f>IFERROR(__xludf.DUMMYFUNCTION("""COMPUTED_VALUE"""),319.7)</f>
        <v>319.7</v>
      </c>
      <c r="U296" s="16">
        <f>IFERROR(__xludf.DUMMYFUNCTION("""COMPUTED_VALUE"""),0.5666666666666667)</f>
        <v>0.5666666667</v>
      </c>
      <c r="V296" s="16">
        <f>IFERROR(__xludf.DUMMYFUNCTION("""COMPUTED_VALUE"""),0.6333333333333333)</f>
        <v>0.6333333333</v>
      </c>
      <c r="W296" s="16">
        <f>IFERROR(__xludf.DUMMYFUNCTION("""COMPUTED_VALUE"""),1.1666666666666667)</f>
        <v>1.166666667</v>
      </c>
      <c r="X296" s="16">
        <f>IFERROR(__xludf.DUMMYFUNCTION("""COMPUTED_VALUE"""),2.933333333333333)</f>
        <v>2.933333333</v>
      </c>
      <c r="Y296" s="11">
        <f>IFERROR(__xludf.DUMMYFUNCTION("""COMPUTED_VALUE"""),7.0)</f>
        <v>7</v>
      </c>
      <c r="Z296" s="11">
        <f>IFERROR(__xludf.DUMMYFUNCTION("""COMPUTED_VALUE"""),0.0)</f>
        <v>0</v>
      </c>
      <c r="AA296" s="11">
        <f>IFERROR(__xludf.DUMMYFUNCTION("""COMPUTED_VALUE"""),1.0)</f>
        <v>1</v>
      </c>
      <c r="AB296" s="11">
        <f>IFERROR(__xludf.DUMMYFUNCTION("""COMPUTED_VALUE"""),3.0)</f>
        <v>3</v>
      </c>
      <c r="AC296" s="11">
        <f>IFERROR(__xludf.DUMMYFUNCTION("""COMPUTED_VALUE"""),22.0)</f>
        <v>22</v>
      </c>
      <c r="AD296" s="11">
        <f>IFERROR(__xludf.DUMMYFUNCTION("""COMPUTED_VALUE"""),28.0)</f>
        <v>28</v>
      </c>
    </row>
    <row r="297">
      <c r="A297" s="10" t="str">
        <f>IFERROR(__xludf.DUMMYFUNCTION("""COMPUTED_VALUE"""),"Elite")</f>
        <v>Elite</v>
      </c>
      <c r="B297" s="10" t="str">
        <f>IFERROR(__xludf.DUMMYFUNCTION("""COMPUTED_VALUE"""),"RSC008128")</f>
        <v>RSC008128</v>
      </c>
      <c r="C297" s="10" t="str">
        <f>IFERROR(__xludf.DUMMYFUNCTION("""COMPUTED_VALUE"""),"ThruStyler")</f>
        <v>ThruStyler</v>
      </c>
      <c r="D297" s="36" t="str">
        <f>IFERROR(__xludf.DUMMYFUNCTION("""COMPUTED_VALUE"""),"Orochi")</f>
        <v>Orochi</v>
      </c>
      <c r="E297" s="10" t="str">
        <f>IFERROR(__xludf.DUMMYFUNCTION("""COMPUTED_VALUE"""),"Solar")</f>
        <v>Solar</v>
      </c>
      <c r="F297" s="37">
        <f>IFERROR(__xludf.DUMMYFUNCTION("""COMPUTED_VALUE"""),44.9370899151542)</f>
        <v>44.93708992</v>
      </c>
      <c r="G297" s="38">
        <f>IFERROR(__xludf.DUMMYFUNCTION("""COMPUTED_VALUE"""),43.60119198726391)</f>
        <v>43.60119199</v>
      </c>
      <c r="H297" s="38">
        <f>IFERROR(__xludf.DUMMYFUNCTION("""COMPUTED_VALUE"""),44.26914095120905)</f>
        <v>44.26914095</v>
      </c>
      <c r="I297" s="14">
        <f>IFERROR(__xludf.DUMMYFUNCTION("""COMPUTED_VALUE"""),38.0)</f>
        <v>38</v>
      </c>
      <c r="J297" s="11">
        <f>IFERROR(__xludf.DUMMYFUNCTION("IFERROR(FILTER(Stats!$F:$Z,(Stats!$A:$A=$A297)*(Stats!$B:$B=$B297)))"),17.0)</f>
        <v>17</v>
      </c>
      <c r="K297" s="11">
        <f>IFERROR(__xludf.DUMMYFUNCTION("""COMPUTED_VALUE"""),21.0)</f>
        <v>21</v>
      </c>
      <c r="L297" s="12">
        <f>IFERROR(__xludf.DUMMYFUNCTION("""COMPUTED_VALUE"""),0.4473684210526316)</f>
        <v>0.4473684211</v>
      </c>
      <c r="M297" s="11">
        <f>IFERROR(__xludf.DUMMYFUNCTION("""COMPUTED_VALUE"""),6.0)</f>
        <v>6</v>
      </c>
      <c r="N297" s="11">
        <f>IFERROR(__xludf.DUMMYFUNCTION("""COMPUTED_VALUE"""),12970.0)</f>
        <v>12970</v>
      </c>
      <c r="O297" s="13">
        <f>IFERROR(__xludf.DUMMYFUNCTION("""COMPUTED_VALUE"""),30.0)</f>
        <v>30</v>
      </c>
      <c r="P297" s="14">
        <f>IFERROR(__xludf.DUMMYFUNCTION("""COMPUTED_VALUE"""),10.0)</f>
        <v>10</v>
      </c>
      <c r="Q297" s="13">
        <f>IFERROR(__xludf.DUMMYFUNCTION("""COMPUTED_VALUE"""),57.0)</f>
        <v>57</v>
      </c>
      <c r="R297" s="13">
        <f>IFERROR(__xludf.DUMMYFUNCTION("""COMPUTED_VALUE"""),88.0)</f>
        <v>88</v>
      </c>
      <c r="S297" s="15">
        <f>IFERROR(__xludf.DUMMYFUNCTION("""COMPUTED_VALUE"""),0.3409090909090909)</f>
        <v>0.3409090909</v>
      </c>
      <c r="T297" s="16">
        <f>IFERROR(__xludf.DUMMYFUNCTION("""COMPUTED_VALUE"""),341.3157894736842)</f>
        <v>341.3157895</v>
      </c>
      <c r="U297" s="16">
        <f>IFERROR(__xludf.DUMMYFUNCTION("""COMPUTED_VALUE"""),0.7894736842105263)</f>
        <v>0.7894736842</v>
      </c>
      <c r="V297" s="16">
        <f>IFERROR(__xludf.DUMMYFUNCTION("""COMPUTED_VALUE"""),0.2631578947368421)</f>
        <v>0.2631578947</v>
      </c>
      <c r="W297" s="16">
        <f>IFERROR(__xludf.DUMMYFUNCTION("""COMPUTED_VALUE"""),1.5)</f>
        <v>1.5</v>
      </c>
      <c r="X297" s="16">
        <f>IFERROR(__xludf.DUMMYFUNCTION("""COMPUTED_VALUE"""),2.3157894736842106)</f>
        <v>2.315789474</v>
      </c>
      <c r="Y297" s="11">
        <f>IFERROR(__xludf.DUMMYFUNCTION("""COMPUTED_VALUE"""),4.0)</f>
        <v>4</v>
      </c>
      <c r="Z297" s="11">
        <f>IFERROR(__xludf.DUMMYFUNCTION("""COMPUTED_VALUE"""),1.0)</f>
        <v>1</v>
      </c>
      <c r="AA297" s="11">
        <f>IFERROR(__xludf.DUMMYFUNCTION("""COMPUTED_VALUE"""),0.0)</f>
        <v>0</v>
      </c>
      <c r="AB297" s="11">
        <f>IFERROR(__xludf.DUMMYFUNCTION("""COMPUTED_VALUE"""),6.0)</f>
        <v>6</v>
      </c>
      <c r="AC297" s="11">
        <f>IFERROR(__xludf.DUMMYFUNCTION("""COMPUTED_VALUE"""),29.0)</f>
        <v>29</v>
      </c>
      <c r="AD297" s="11">
        <f>IFERROR(__xludf.DUMMYFUNCTION("""COMPUTED_VALUE"""),47.0)</f>
        <v>47</v>
      </c>
    </row>
    <row r="298">
      <c r="A298" s="10" t="str">
        <f>IFERROR(__xludf.DUMMYFUNCTION("""COMPUTED_VALUE"""),"Elite")</f>
        <v>Elite</v>
      </c>
      <c r="B298" s="10" t="str">
        <f>IFERROR(__xludf.DUMMYFUNCTION("""COMPUTED_VALUE"""),"RSC000787")</f>
        <v>RSC000787</v>
      </c>
      <c r="C298" s="10" t="str">
        <f>IFERROR(__xludf.DUMMYFUNCTION("""COMPUTED_VALUE"""),"buckle")</f>
        <v>buckle</v>
      </c>
      <c r="D298" s="36" t="str">
        <f>IFERROR(__xludf.DUMMYFUNCTION("""COMPUTED_VALUE"""),"Fire")</f>
        <v>Fire</v>
      </c>
      <c r="E298" s="10" t="str">
        <f>IFERROR(__xludf.DUMMYFUNCTION("""COMPUTED_VALUE"""),"Solar")</f>
        <v>Solar</v>
      </c>
      <c r="F298" s="37">
        <f>IFERROR(__xludf.DUMMYFUNCTION("""COMPUTED_VALUE"""),43.210542600437115)</f>
        <v>43.2105426</v>
      </c>
      <c r="G298" s="38">
        <f>IFERROR(__xludf.DUMMYFUNCTION("""COMPUTED_VALUE"""),44.695281576010196)</f>
        <v>44.69528158</v>
      </c>
      <c r="H298" s="38">
        <f>IFERROR(__xludf.DUMMYFUNCTION("""COMPUTED_VALUE"""),43.952912088223655)</f>
        <v>43.95291209</v>
      </c>
      <c r="I298" s="14">
        <f>IFERROR(__xludf.DUMMYFUNCTION("""COMPUTED_VALUE"""),52.0)</f>
        <v>52</v>
      </c>
      <c r="J298" s="11">
        <f>IFERROR(__xludf.DUMMYFUNCTION("IFERROR(FILTER(Stats!$F:$Z,(Stats!$A:$A=$A298)*(Stats!$B:$B=$B298)))"),29.0)</f>
        <v>29</v>
      </c>
      <c r="K298" s="11">
        <f>IFERROR(__xludf.DUMMYFUNCTION("""COMPUTED_VALUE"""),23.0)</f>
        <v>23</v>
      </c>
      <c r="L298" s="12">
        <f>IFERROR(__xludf.DUMMYFUNCTION("""COMPUTED_VALUE"""),0.5576923076923077)</f>
        <v>0.5576923077</v>
      </c>
      <c r="M298" s="11">
        <f>IFERROR(__xludf.DUMMYFUNCTION("""COMPUTED_VALUE"""),7.0)</f>
        <v>7</v>
      </c>
      <c r="N298" s="11">
        <f>IFERROR(__xludf.DUMMYFUNCTION("""COMPUTED_VALUE"""),18358.0)</f>
        <v>18358</v>
      </c>
      <c r="O298" s="13">
        <f>IFERROR(__xludf.DUMMYFUNCTION("""COMPUTED_VALUE"""),31.0)</f>
        <v>31</v>
      </c>
      <c r="P298" s="14">
        <f>IFERROR(__xludf.DUMMYFUNCTION("""COMPUTED_VALUE"""),32.0)</f>
        <v>32</v>
      </c>
      <c r="Q298" s="13">
        <f>IFERROR(__xludf.DUMMYFUNCTION("""COMPUTED_VALUE"""),88.0)</f>
        <v>88</v>
      </c>
      <c r="R298" s="13">
        <f>IFERROR(__xludf.DUMMYFUNCTION("""COMPUTED_VALUE"""),110.0)</f>
        <v>110</v>
      </c>
      <c r="S298" s="15">
        <f>IFERROR(__xludf.DUMMYFUNCTION("""COMPUTED_VALUE"""),0.2818181818181818)</f>
        <v>0.2818181818</v>
      </c>
      <c r="T298" s="16">
        <f>IFERROR(__xludf.DUMMYFUNCTION("""COMPUTED_VALUE"""),353.03846153846155)</f>
        <v>353.0384615</v>
      </c>
      <c r="U298" s="16">
        <f>IFERROR(__xludf.DUMMYFUNCTION("""COMPUTED_VALUE"""),0.5961538461538461)</f>
        <v>0.5961538462</v>
      </c>
      <c r="V298" s="16">
        <f>IFERROR(__xludf.DUMMYFUNCTION("""COMPUTED_VALUE"""),0.6153846153846154)</f>
        <v>0.6153846154</v>
      </c>
      <c r="W298" s="16">
        <f>IFERROR(__xludf.DUMMYFUNCTION("""COMPUTED_VALUE"""),1.6923076923076923)</f>
        <v>1.692307692</v>
      </c>
      <c r="X298" s="16">
        <f>IFERROR(__xludf.DUMMYFUNCTION("""COMPUTED_VALUE"""),2.1153846153846154)</f>
        <v>2.115384615</v>
      </c>
      <c r="Y298" s="11">
        <f>IFERROR(__xludf.DUMMYFUNCTION("""COMPUTED_VALUE"""),11.0)</f>
        <v>11</v>
      </c>
      <c r="Z298" s="11">
        <f>IFERROR(__xludf.DUMMYFUNCTION("""COMPUTED_VALUE"""),1.0)</f>
        <v>1</v>
      </c>
      <c r="AA298" s="11">
        <f>IFERROR(__xludf.DUMMYFUNCTION("""COMPUTED_VALUE"""),0.0)</f>
        <v>0</v>
      </c>
      <c r="AB298" s="11">
        <f>IFERROR(__xludf.DUMMYFUNCTION("""COMPUTED_VALUE"""),17.0)</f>
        <v>17</v>
      </c>
      <c r="AC298" s="11">
        <f>IFERROR(__xludf.DUMMYFUNCTION("""COMPUTED_VALUE"""),48.0)</f>
        <v>48</v>
      </c>
      <c r="AD298" s="11">
        <f>IFERROR(__xludf.DUMMYFUNCTION("""COMPUTED_VALUE"""),49.0)</f>
        <v>49</v>
      </c>
    </row>
    <row r="299">
      <c r="A299" s="10" t="str">
        <f>IFERROR(__xludf.DUMMYFUNCTION("""COMPUTED_VALUE"""),"Elite")</f>
        <v>Elite</v>
      </c>
      <c r="B299" s="10" t="str">
        <f>IFERROR(__xludf.DUMMYFUNCTION("""COMPUTED_VALUE"""),"RSC000767")</f>
        <v>RSC000767</v>
      </c>
      <c r="C299" s="10" t="str">
        <f>IFERROR(__xludf.DUMMYFUNCTION("""COMPUTED_VALUE"""),"Tragic")</f>
        <v>Tragic</v>
      </c>
      <c r="D299" s="36" t="str">
        <f>IFERROR(__xludf.DUMMYFUNCTION("""COMPUTED_VALUE"""),"Cotija Cartel")</f>
        <v>Cotija Cartel</v>
      </c>
      <c r="E299" s="10" t="str">
        <f>IFERROR(__xludf.DUMMYFUNCTION("""COMPUTED_VALUE"""),"Lunar")</f>
        <v>Lunar</v>
      </c>
      <c r="F299" s="37">
        <f>IFERROR(__xludf.DUMMYFUNCTION("""COMPUTED_VALUE"""),45.11357583356772)</f>
        <v>45.11357583</v>
      </c>
      <c r="G299" s="38">
        <f>IFERROR(__xludf.DUMMYFUNCTION("""COMPUTED_VALUE"""),41.43642380247449)</f>
        <v>41.4364238</v>
      </c>
      <c r="H299" s="38">
        <f>IFERROR(__xludf.DUMMYFUNCTION("""COMPUTED_VALUE"""),43.27499981802111)</f>
        <v>43.27499982</v>
      </c>
      <c r="I299" s="14">
        <f>IFERROR(__xludf.DUMMYFUNCTION("""COMPUTED_VALUE"""),31.0)</f>
        <v>31</v>
      </c>
      <c r="J299" s="11">
        <f>IFERROR(__xludf.DUMMYFUNCTION("IFERROR(FILTER(Stats!$F:$Z,(Stats!$A:$A=$A299)*(Stats!$B:$B=$B299)))"),11.0)</f>
        <v>11</v>
      </c>
      <c r="K299" s="11">
        <f>IFERROR(__xludf.DUMMYFUNCTION("""COMPUTED_VALUE"""),20.0)</f>
        <v>20</v>
      </c>
      <c r="L299" s="12">
        <f>IFERROR(__xludf.DUMMYFUNCTION("""COMPUTED_VALUE"""),0.3548387096774194)</f>
        <v>0.3548387097</v>
      </c>
      <c r="M299" s="11">
        <f>IFERROR(__xludf.DUMMYFUNCTION("""COMPUTED_VALUE"""),3.0)</f>
        <v>3</v>
      </c>
      <c r="N299" s="11">
        <f>IFERROR(__xludf.DUMMYFUNCTION("""COMPUTED_VALUE"""),11546.0)</f>
        <v>11546</v>
      </c>
      <c r="O299" s="13">
        <f>IFERROR(__xludf.DUMMYFUNCTION("""COMPUTED_VALUE"""),25.0)</f>
        <v>25</v>
      </c>
      <c r="P299" s="14">
        <f>IFERROR(__xludf.DUMMYFUNCTION("""COMPUTED_VALUE"""),14.0)</f>
        <v>14</v>
      </c>
      <c r="Q299" s="13">
        <f>IFERROR(__xludf.DUMMYFUNCTION("""COMPUTED_VALUE"""),40.0)</f>
        <v>40</v>
      </c>
      <c r="R299" s="13">
        <f>IFERROR(__xludf.DUMMYFUNCTION("""COMPUTED_VALUE"""),83.0)</f>
        <v>83</v>
      </c>
      <c r="S299" s="15">
        <f>IFERROR(__xludf.DUMMYFUNCTION("""COMPUTED_VALUE"""),0.30120481927710846)</f>
        <v>0.3012048193</v>
      </c>
      <c r="T299" s="16">
        <f>IFERROR(__xludf.DUMMYFUNCTION("""COMPUTED_VALUE"""),372.4516129032258)</f>
        <v>372.4516129</v>
      </c>
      <c r="U299" s="16">
        <f>IFERROR(__xludf.DUMMYFUNCTION("""COMPUTED_VALUE"""),0.8064516129032258)</f>
        <v>0.8064516129</v>
      </c>
      <c r="V299" s="16">
        <f>IFERROR(__xludf.DUMMYFUNCTION("""COMPUTED_VALUE"""),0.45161290322580644)</f>
        <v>0.4516129032</v>
      </c>
      <c r="W299" s="16">
        <f>IFERROR(__xludf.DUMMYFUNCTION("""COMPUTED_VALUE"""),1.2903225806451613)</f>
        <v>1.290322581</v>
      </c>
      <c r="X299" s="16">
        <f>IFERROR(__xludf.DUMMYFUNCTION("""COMPUTED_VALUE"""),2.6774193548387095)</f>
        <v>2.677419355</v>
      </c>
      <c r="Y299" s="11">
        <f>IFERROR(__xludf.DUMMYFUNCTION("""COMPUTED_VALUE"""),4.0)</f>
        <v>4</v>
      </c>
      <c r="Z299" s="11">
        <f>IFERROR(__xludf.DUMMYFUNCTION("""COMPUTED_VALUE"""),3.0)</f>
        <v>3</v>
      </c>
      <c r="AA299" s="11">
        <f>IFERROR(__xludf.DUMMYFUNCTION("""COMPUTED_VALUE"""),0.0)</f>
        <v>0</v>
      </c>
      <c r="AB299" s="11">
        <f>IFERROR(__xludf.DUMMYFUNCTION("""COMPUTED_VALUE"""),3.0)</f>
        <v>3</v>
      </c>
      <c r="AC299" s="11">
        <f>IFERROR(__xludf.DUMMYFUNCTION("""COMPUTED_VALUE"""),36.0)</f>
        <v>36</v>
      </c>
      <c r="AD299" s="11">
        <f>IFERROR(__xludf.DUMMYFUNCTION("""COMPUTED_VALUE"""),30.0)</f>
        <v>30</v>
      </c>
    </row>
    <row r="300">
      <c r="A300" s="10" t="str">
        <f>IFERROR(__xludf.DUMMYFUNCTION("""COMPUTED_VALUE"""),"Elite")</f>
        <v>Elite</v>
      </c>
      <c r="B300" s="10" t="str">
        <f>IFERROR(__xludf.DUMMYFUNCTION("""COMPUTED_VALUE"""),"RSC005469")</f>
        <v>RSC005469</v>
      </c>
      <c r="C300" s="10" t="str">
        <f>IFERROR(__xludf.DUMMYFUNCTION("""COMPUTED_VALUE"""),"Axlos (Goofy and Silly)")</f>
        <v>Axlos (Goofy and Silly)</v>
      </c>
      <c r="D300" s="36" t="str">
        <f>IFERROR(__xludf.DUMMYFUNCTION("""COMPUTED_VALUE"""),"Frostbite")</f>
        <v>Frostbite</v>
      </c>
      <c r="E300" s="10" t="str">
        <f>IFERROR(__xludf.DUMMYFUNCTION("""COMPUTED_VALUE"""),"Solar")</f>
        <v>Solar</v>
      </c>
      <c r="F300" s="37">
        <f>IFERROR(__xludf.DUMMYFUNCTION("""COMPUTED_VALUE"""),44.653442170617375)</f>
        <v>44.65344217</v>
      </c>
      <c r="G300" s="38">
        <f>IFERROR(__xludf.DUMMYFUNCTION("""COMPUTED_VALUE"""),41.736120505674336)</f>
        <v>41.73612051</v>
      </c>
      <c r="H300" s="38">
        <f>IFERROR(__xludf.DUMMYFUNCTION("""COMPUTED_VALUE"""),43.19478133814586)</f>
        <v>43.19478134</v>
      </c>
      <c r="I300" s="14">
        <f>IFERROR(__xludf.DUMMYFUNCTION("""COMPUTED_VALUE"""),39.0)</f>
        <v>39</v>
      </c>
      <c r="J300" s="11">
        <f>IFERROR(__xludf.DUMMYFUNCTION("IFERROR(FILTER(Stats!$F:$Z,(Stats!$A:$A=$A300)*(Stats!$B:$B=$B300)))"),17.0)</f>
        <v>17</v>
      </c>
      <c r="K300" s="11">
        <f>IFERROR(__xludf.DUMMYFUNCTION("""COMPUTED_VALUE"""),22.0)</f>
        <v>22</v>
      </c>
      <c r="L300" s="12">
        <f>IFERROR(__xludf.DUMMYFUNCTION("""COMPUTED_VALUE"""),0.4358974358974359)</f>
        <v>0.4358974359</v>
      </c>
      <c r="M300" s="11">
        <f>IFERROR(__xludf.DUMMYFUNCTION("""COMPUTED_VALUE"""),7.0)</f>
        <v>7</v>
      </c>
      <c r="N300" s="11">
        <f>IFERROR(__xludf.DUMMYFUNCTION("""COMPUTED_VALUE"""),12591.0)</f>
        <v>12591</v>
      </c>
      <c r="O300" s="13">
        <f>IFERROR(__xludf.DUMMYFUNCTION("""COMPUTED_VALUE"""),25.0)</f>
        <v>25</v>
      </c>
      <c r="P300" s="14">
        <f>IFERROR(__xludf.DUMMYFUNCTION("""COMPUTED_VALUE"""),18.0)</f>
        <v>18</v>
      </c>
      <c r="Q300" s="13">
        <f>IFERROR(__xludf.DUMMYFUNCTION("""COMPUTED_VALUE"""),58.0)</f>
        <v>58</v>
      </c>
      <c r="R300" s="13">
        <f>IFERROR(__xludf.DUMMYFUNCTION("""COMPUTED_VALUE"""),83.0)</f>
        <v>83</v>
      </c>
      <c r="S300" s="15">
        <f>IFERROR(__xludf.DUMMYFUNCTION("""COMPUTED_VALUE"""),0.30120481927710846)</f>
        <v>0.3012048193</v>
      </c>
      <c r="T300" s="16">
        <f>IFERROR(__xludf.DUMMYFUNCTION("""COMPUTED_VALUE"""),322.84615384615387)</f>
        <v>322.8461538</v>
      </c>
      <c r="U300" s="16">
        <f>IFERROR(__xludf.DUMMYFUNCTION("""COMPUTED_VALUE"""),0.6410256410256411)</f>
        <v>0.641025641</v>
      </c>
      <c r="V300" s="16">
        <f>IFERROR(__xludf.DUMMYFUNCTION("""COMPUTED_VALUE"""),0.46153846153846156)</f>
        <v>0.4615384615</v>
      </c>
      <c r="W300" s="16">
        <f>IFERROR(__xludf.DUMMYFUNCTION("""COMPUTED_VALUE"""),1.4871794871794872)</f>
        <v>1.487179487</v>
      </c>
      <c r="X300" s="16">
        <f>IFERROR(__xludf.DUMMYFUNCTION("""COMPUTED_VALUE"""),2.128205128205128)</f>
        <v>2.128205128</v>
      </c>
      <c r="Y300" s="11">
        <f>IFERROR(__xludf.DUMMYFUNCTION("""COMPUTED_VALUE"""),7.0)</f>
        <v>7</v>
      </c>
      <c r="Z300" s="11">
        <f>IFERROR(__xludf.DUMMYFUNCTION("""COMPUTED_VALUE"""),1.0)</f>
        <v>1</v>
      </c>
      <c r="AA300" s="11">
        <f>IFERROR(__xludf.DUMMYFUNCTION("""COMPUTED_VALUE"""),0.0)</f>
        <v>0</v>
      </c>
      <c r="AB300" s="11">
        <f>IFERROR(__xludf.DUMMYFUNCTION("""COMPUTED_VALUE"""),6.0)</f>
        <v>6</v>
      </c>
      <c r="AC300" s="11">
        <f>IFERROR(__xludf.DUMMYFUNCTION("""COMPUTED_VALUE"""),29.0)</f>
        <v>29</v>
      </c>
      <c r="AD300" s="11">
        <f>IFERROR(__xludf.DUMMYFUNCTION("""COMPUTED_VALUE"""),38.0)</f>
        <v>38</v>
      </c>
    </row>
    <row r="301">
      <c r="A301" s="10" t="str">
        <f>IFERROR(__xludf.DUMMYFUNCTION("""COMPUTED_VALUE"""),"Elite")</f>
        <v>Elite</v>
      </c>
      <c r="B301" s="10" t="str">
        <f>IFERROR(__xludf.DUMMYFUNCTION("""COMPUTED_VALUE"""),"RSC004767")</f>
        <v>RSC004767</v>
      </c>
      <c r="C301" s="10" t="str">
        <f>IFERROR(__xludf.DUMMYFUNCTION("""COMPUTED_VALUE"""),"NFURY8")</f>
        <v>NFURY8</v>
      </c>
      <c r="D301" s="36" t="str">
        <f>IFERROR(__xludf.DUMMYFUNCTION("""COMPUTED_VALUE"""),"Praetorian Guard
Black-Holes")</f>
        <v>Praetorian Guard
Black-Holes</v>
      </c>
      <c r="E301" s="10" t="str">
        <f>IFERROR(__xludf.DUMMYFUNCTION("""COMPUTED_VALUE"""),"Solar
Lunar")</f>
        <v>Solar
Lunar</v>
      </c>
      <c r="F301" s="37">
        <f>IFERROR(__xludf.DUMMYFUNCTION("""COMPUTED_VALUE"""),38.71885060202296)</f>
        <v>38.7188506</v>
      </c>
      <c r="G301" s="38">
        <f>IFERROR(__xludf.DUMMYFUNCTION("""COMPUTED_VALUE"""),47.409476933218365)</f>
        <v>47.40947693</v>
      </c>
      <c r="H301" s="38">
        <f>IFERROR(__xludf.DUMMYFUNCTION("""COMPUTED_VALUE"""),43.06416376762066)</f>
        <v>43.06416377</v>
      </c>
      <c r="I301" s="14">
        <f>IFERROR(__xludf.DUMMYFUNCTION("""COMPUTED_VALUE"""),12.0)</f>
        <v>12</v>
      </c>
      <c r="J301" s="11">
        <f>IFERROR(__xludf.DUMMYFUNCTION("IFERROR(FILTER(Stats!$F:$Z,(Stats!$A:$A=$A301)*(Stats!$B:$B=$B301)))"),9.0)</f>
        <v>9</v>
      </c>
      <c r="K301" s="11">
        <f>IFERROR(__xludf.DUMMYFUNCTION("""COMPUTED_VALUE"""),3.0)</f>
        <v>3</v>
      </c>
      <c r="L301" s="12">
        <f>IFERROR(__xludf.DUMMYFUNCTION("""COMPUTED_VALUE"""),0.75)</f>
        <v>0.75</v>
      </c>
      <c r="M301" s="11">
        <f>IFERROR(__xludf.DUMMYFUNCTION("""COMPUTED_VALUE"""),1.0)</f>
        <v>1</v>
      </c>
      <c r="N301" s="11">
        <f>IFERROR(__xludf.DUMMYFUNCTION("""COMPUTED_VALUE"""),3655.0)</f>
        <v>3655</v>
      </c>
      <c r="O301" s="13">
        <f>IFERROR(__xludf.DUMMYFUNCTION("""COMPUTED_VALUE"""),9.0)</f>
        <v>9</v>
      </c>
      <c r="P301" s="14">
        <f>IFERROR(__xludf.DUMMYFUNCTION("""COMPUTED_VALUE"""),7.0)</f>
        <v>7</v>
      </c>
      <c r="Q301" s="13">
        <f>IFERROR(__xludf.DUMMYFUNCTION("""COMPUTED_VALUE"""),17.0)</f>
        <v>17</v>
      </c>
      <c r="R301" s="13">
        <f>IFERROR(__xludf.DUMMYFUNCTION("""COMPUTED_VALUE"""),28.0)</f>
        <v>28</v>
      </c>
      <c r="S301" s="15">
        <f>IFERROR(__xludf.DUMMYFUNCTION("""COMPUTED_VALUE"""),0.32142857142857145)</f>
        <v>0.3214285714</v>
      </c>
      <c r="T301" s="16">
        <f>IFERROR(__xludf.DUMMYFUNCTION("""COMPUTED_VALUE"""),304.5833333333333)</f>
        <v>304.5833333</v>
      </c>
      <c r="U301" s="16">
        <f>IFERROR(__xludf.DUMMYFUNCTION("""COMPUTED_VALUE"""),0.75)</f>
        <v>0.75</v>
      </c>
      <c r="V301" s="16">
        <f>IFERROR(__xludf.DUMMYFUNCTION("""COMPUTED_VALUE"""),0.5833333333333334)</f>
        <v>0.5833333333</v>
      </c>
      <c r="W301" s="16">
        <f>IFERROR(__xludf.DUMMYFUNCTION("""COMPUTED_VALUE"""),1.4166666666666667)</f>
        <v>1.416666667</v>
      </c>
      <c r="X301" s="16">
        <f>IFERROR(__xludf.DUMMYFUNCTION("""COMPUTED_VALUE"""),2.3333333333333335)</f>
        <v>2.333333333</v>
      </c>
      <c r="Y301" s="11">
        <f>IFERROR(__xludf.DUMMYFUNCTION("""COMPUTED_VALUE"""),2.0)</f>
        <v>2</v>
      </c>
      <c r="Z301" s="11">
        <f>IFERROR(__xludf.DUMMYFUNCTION("""COMPUTED_VALUE"""),0.0)</f>
        <v>0</v>
      </c>
      <c r="AA301" s="11">
        <f>IFERROR(__xludf.DUMMYFUNCTION("""COMPUTED_VALUE"""),0.0)</f>
        <v>0</v>
      </c>
      <c r="AB301" s="11">
        <f>IFERROR(__xludf.DUMMYFUNCTION("""COMPUTED_VALUE"""),2.0)</f>
        <v>2</v>
      </c>
      <c r="AC301" s="11">
        <f>IFERROR(__xludf.DUMMYFUNCTION("""COMPUTED_VALUE"""),8.0)</f>
        <v>8</v>
      </c>
      <c r="AD301" s="11">
        <f>IFERROR(__xludf.DUMMYFUNCTION("""COMPUTED_VALUE"""),12.0)</f>
        <v>12</v>
      </c>
    </row>
    <row r="302">
      <c r="A302" s="10" t="str">
        <f>IFERROR(__xludf.DUMMYFUNCTION("""COMPUTED_VALUE"""),"Elite")</f>
        <v>Elite</v>
      </c>
      <c r="B302" s="10" t="str">
        <f>IFERROR(__xludf.DUMMYFUNCTION("""COMPUTED_VALUE"""),"RSC003830")</f>
        <v>RSC003830</v>
      </c>
      <c r="C302" s="10" t="str">
        <f>IFERROR(__xludf.DUMMYFUNCTION("""COMPUTED_VALUE"""),"bradyK-")</f>
        <v>bradyK-</v>
      </c>
      <c r="D302" s="36" t="str">
        <f>IFERROR(__xludf.DUMMYFUNCTION("""COMPUTED_VALUE"""),"Great Whites")</f>
        <v>Great Whites</v>
      </c>
      <c r="E302" s="10" t="str">
        <f>IFERROR(__xludf.DUMMYFUNCTION("""COMPUTED_VALUE"""),"Solar")</f>
        <v>Solar</v>
      </c>
      <c r="F302" s="37">
        <f>IFERROR(__xludf.DUMMYFUNCTION("""COMPUTED_VALUE"""),33.370542557961045)</f>
        <v>33.37054256</v>
      </c>
      <c r="G302" s="38">
        <f>IFERROR(__xludf.DUMMYFUNCTION("""COMPUTED_VALUE"""),52.61672076210705)</f>
        <v>52.61672076</v>
      </c>
      <c r="H302" s="38">
        <f>IFERROR(__xludf.DUMMYFUNCTION("""COMPUTED_VALUE"""),42.99363166003405)</f>
        <v>42.99363166</v>
      </c>
      <c r="I302" s="14">
        <f>IFERROR(__xludf.DUMMYFUNCTION("""COMPUTED_VALUE"""),10.0)</f>
        <v>10</v>
      </c>
      <c r="J302" s="11">
        <f>IFERROR(__xludf.DUMMYFUNCTION("IFERROR(FILTER(Stats!$F:$Z,(Stats!$A:$A=$A302)*(Stats!$B:$B=$B302)))"),8.0)</f>
        <v>8</v>
      </c>
      <c r="K302" s="11">
        <f>IFERROR(__xludf.DUMMYFUNCTION("""COMPUTED_VALUE"""),2.0)</f>
        <v>2</v>
      </c>
      <c r="L302" s="12">
        <f>IFERROR(__xludf.DUMMYFUNCTION("""COMPUTED_VALUE"""),0.8)</f>
        <v>0.8</v>
      </c>
      <c r="M302" s="11">
        <f>IFERROR(__xludf.DUMMYFUNCTION("""COMPUTED_VALUE"""),1.0)</f>
        <v>1</v>
      </c>
      <c r="N302" s="11">
        <f>IFERROR(__xludf.DUMMYFUNCTION("""COMPUTED_VALUE"""),3490.0)</f>
        <v>3490</v>
      </c>
      <c r="O302" s="13">
        <f>IFERROR(__xludf.DUMMYFUNCTION("""COMPUTED_VALUE"""),6.0)</f>
        <v>6</v>
      </c>
      <c r="P302" s="14">
        <f>IFERROR(__xludf.DUMMYFUNCTION("""COMPUTED_VALUE"""),6.0)</f>
        <v>6</v>
      </c>
      <c r="Q302" s="13">
        <f>IFERROR(__xludf.DUMMYFUNCTION("""COMPUTED_VALUE"""),18.0)</f>
        <v>18</v>
      </c>
      <c r="R302" s="13">
        <f>IFERROR(__xludf.DUMMYFUNCTION("""COMPUTED_VALUE"""),22.0)</f>
        <v>22</v>
      </c>
      <c r="S302" s="15">
        <f>IFERROR(__xludf.DUMMYFUNCTION("""COMPUTED_VALUE"""),0.2727272727272727)</f>
        <v>0.2727272727</v>
      </c>
      <c r="T302" s="16">
        <f>IFERROR(__xludf.DUMMYFUNCTION("""COMPUTED_VALUE"""),349.0)</f>
        <v>349</v>
      </c>
      <c r="U302" s="16">
        <f>IFERROR(__xludf.DUMMYFUNCTION("""COMPUTED_VALUE"""),0.6)</f>
        <v>0.6</v>
      </c>
      <c r="V302" s="16">
        <f>IFERROR(__xludf.DUMMYFUNCTION("""COMPUTED_VALUE"""),0.6)</f>
        <v>0.6</v>
      </c>
      <c r="W302" s="16">
        <f>IFERROR(__xludf.DUMMYFUNCTION("""COMPUTED_VALUE"""),1.8)</f>
        <v>1.8</v>
      </c>
      <c r="X302" s="16">
        <f>IFERROR(__xludf.DUMMYFUNCTION("""COMPUTED_VALUE"""),2.2)</f>
        <v>2.2</v>
      </c>
      <c r="Y302" s="11">
        <f>IFERROR(__xludf.DUMMYFUNCTION("""COMPUTED_VALUE"""),4.0)</f>
        <v>4</v>
      </c>
      <c r="Z302" s="11">
        <f>IFERROR(__xludf.DUMMYFUNCTION("""COMPUTED_VALUE"""),0.0)</f>
        <v>0</v>
      </c>
      <c r="AA302" s="11">
        <f>IFERROR(__xludf.DUMMYFUNCTION("""COMPUTED_VALUE"""),0.0)</f>
        <v>0</v>
      </c>
      <c r="AB302" s="11">
        <f>IFERROR(__xludf.DUMMYFUNCTION("""COMPUTED_VALUE"""),2.0)</f>
        <v>2</v>
      </c>
      <c r="AC302" s="11">
        <f>IFERROR(__xludf.DUMMYFUNCTION("""COMPUTED_VALUE"""),6.0)</f>
        <v>6</v>
      </c>
      <c r="AD302" s="11">
        <f>IFERROR(__xludf.DUMMYFUNCTION("""COMPUTED_VALUE"""),14.0)</f>
        <v>14</v>
      </c>
    </row>
    <row r="303">
      <c r="A303" s="10" t="str">
        <f>IFERROR(__xludf.DUMMYFUNCTION("""COMPUTED_VALUE"""),"Elite")</f>
        <v>Elite</v>
      </c>
      <c r="B303" s="10" t="str">
        <f>IFERROR(__xludf.DUMMYFUNCTION("""COMPUTED_VALUE"""),"RSC006448")</f>
        <v>RSC006448</v>
      </c>
      <c r="C303" s="10" t="str">
        <f>IFERROR(__xludf.DUMMYFUNCTION("""COMPUTED_VALUE"""),"M1TNS")</f>
        <v>M1TNS</v>
      </c>
      <c r="D303" s="36" t="str">
        <f>IFERROR(__xludf.DUMMYFUNCTION("""COMPUTED_VALUE"""),"Forge Defenders")</f>
        <v>Forge Defenders</v>
      </c>
      <c r="E303" s="10" t="str">
        <f>IFERROR(__xludf.DUMMYFUNCTION("""COMPUTED_VALUE"""),"Lunar")</f>
        <v>Lunar</v>
      </c>
      <c r="F303" s="37">
        <f>IFERROR(__xludf.DUMMYFUNCTION("""COMPUTED_VALUE"""),38.33874116430715)</f>
        <v>38.33874116</v>
      </c>
      <c r="G303" s="38">
        <f>IFERROR(__xludf.DUMMYFUNCTION("""COMPUTED_VALUE"""),47.47436053495297)</f>
        <v>47.47436053</v>
      </c>
      <c r="H303" s="38">
        <f>IFERROR(__xludf.DUMMYFUNCTION("""COMPUTED_VALUE"""),42.906550849630065)</f>
        <v>42.90655085</v>
      </c>
      <c r="I303" s="14">
        <f>IFERROR(__xludf.DUMMYFUNCTION("""COMPUTED_VALUE"""),28.0)</f>
        <v>28</v>
      </c>
      <c r="J303" s="11">
        <f>IFERROR(__xludf.DUMMYFUNCTION("IFERROR(FILTER(Stats!$F:$Z,(Stats!$A:$A=$A303)*(Stats!$B:$B=$B303)))"),16.0)</f>
        <v>16</v>
      </c>
      <c r="K303" s="11">
        <f>IFERROR(__xludf.DUMMYFUNCTION("""COMPUTED_VALUE"""),12.0)</f>
        <v>12</v>
      </c>
      <c r="L303" s="12">
        <f>IFERROR(__xludf.DUMMYFUNCTION("""COMPUTED_VALUE"""),0.5714285714285714)</f>
        <v>0.5714285714</v>
      </c>
      <c r="M303" s="11">
        <f>IFERROR(__xludf.DUMMYFUNCTION("""COMPUTED_VALUE"""),4.0)</f>
        <v>4</v>
      </c>
      <c r="N303" s="11">
        <f>IFERROR(__xludf.DUMMYFUNCTION("""COMPUTED_VALUE"""),8928.0)</f>
        <v>8928</v>
      </c>
      <c r="O303" s="13">
        <f>IFERROR(__xludf.DUMMYFUNCTION("""COMPUTED_VALUE"""),22.0)</f>
        <v>22</v>
      </c>
      <c r="P303" s="14">
        <f>IFERROR(__xludf.DUMMYFUNCTION("""COMPUTED_VALUE"""),13.0)</f>
        <v>13</v>
      </c>
      <c r="Q303" s="13">
        <f>IFERROR(__xludf.DUMMYFUNCTION("""COMPUTED_VALUE"""),31.0)</f>
        <v>31</v>
      </c>
      <c r="R303" s="13">
        <f>IFERROR(__xludf.DUMMYFUNCTION("""COMPUTED_VALUE"""),73.0)</f>
        <v>73</v>
      </c>
      <c r="S303" s="15">
        <f>IFERROR(__xludf.DUMMYFUNCTION("""COMPUTED_VALUE"""),0.3013698630136986)</f>
        <v>0.301369863</v>
      </c>
      <c r="T303" s="16">
        <f>IFERROR(__xludf.DUMMYFUNCTION("""COMPUTED_VALUE"""),318.85714285714283)</f>
        <v>318.8571429</v>
      </c>
      <c r="U303" s="16">
        <f>IFERROR(__xludf.DUMMYFUNCTION("""COMPUTED_VALUE"""),0.7857142857142857)</f>
        <v>0.7857142857</v>
      </c>
      <c r="V303" s="16">
        <f>IFERROR(__xludf.DUMMYFUNCTION("""COMPUTED_VALUE"""),0.4642857142857143)</f>
        <v>0.4642857143</v>
      </c>
      <c r="W303" s="16">
        <f>IFERROR(__xludf.DUMMYFUNCTION("""COMPUTED_VALUE"""),1.1071428571428572)</f>
        <v>1.107142857</v>
      </c>
      <c r="X303" s="16">
        <f>IFERROR(__xludf.DUMMYFUNCTION("""COMPUTED_VALUE"""),2.607142857142857)</f>
        <v>2.607142857</v>
      </c>
      <c r="Y303" s="11">
        <f>IFERROR(__xludf.DUMMYFUNCTION("""COMPUTED_VALUE"""),3.0)</f>
        <v>3</v>
      </c>
      <c r="Z303" s="11">
        <f>IFERROR(__xludf.DUMMYFUNCTION("""COMPUTED_VALUE"""),2.0)</f>
        <v>2</v>
      </c>
      <c r="AA303" s="11">
        <f>IFERROR(__xludf.DUMMYFUNCTION("""COMPUTED_VALUE"""),0.0)</f>
        <v>0</v>
      </c>
      <c r="AB303" s="11">
        <f>IFERROR(__xludf.DUMMYFUNCTION("""COMPUTED_VALUE"""),5.0)</f>
        <v>5</v>
      </c>
      <c r="AC303" s="11">
        <f>IFERROR(__xludf.DUMMYFUNCTION("""COMPUTED_VALUE"""),17.0)</f>
        <v>17</v>
      </c>
      <c r="AD303" s="11">
        <f>IFERROR(__xludf.DUMMYFUNCTION("""COMPUTED_VALUE"""),35.0)</f>
        <v>35</v>
      </c>
    </row>
    <row r="304">
      <c r="A304" s="10" t="str">
        <f>IFERROR(__xludf.DUMMYFUNCTION("""COMPUTED_VALUE"""),"Elite")</f>
        <v>Elite</v>
      </c>
      <c r="B304" s="10" t="str">
        <f>IFERROR(__xludf.DUMMYFUNCTION("""COMPUTED_VALUE"""),"RSC005308")</f>
        <v>RSC005308</v>
      </c>
      <c r="C304" s="10" t="str">
        <f>IFERROR(__xludf.DUMMYFUNCTION("""COMPUTED_VALUE"""),"6 lbs of Yeet")</f>
        <v>6 lbs of Yeet</v>
      </c>
      <c r="D304" s="36" t="str">
        <f>IFERROR(__xludf.DUMMYFUNCTION("""COMPUTED_VALUE"""),"Pixel Picassos")</f>
        <v>Pixel Picassos</v>
      </c>
      <c r="E304" s="10" t="str">
        <f>IFERROR(__xludf.DUMMYFUNCTION("""COMPUTED_VALUE"""),"Solar")</f>
        <v>Solar</v>
      </c>
      <c r="F304" s="37">
        <f>IFERROR(__xludf.DUMMYFUNCTION("""COMPUTED_VALUE"""),40.10134146004668)</f>
        <v>40.10134146</v>
      </c>
      <c r="G304" s="38">
        <f>IFERROR(__xludf.DUMMYFUNCTION("""COMPUTED_VALUE"""),45.695574045174624)</f>
        <v>45.69557405</v>
      </c>
      <c r="H304" s="38">
        <f>IFERROR(__xludf.DUMMYFUNCTION("""COMPUTED_VALUE"""),42.89845775261065)</f>
        <v>42.89845775</v>
      </c>
      <c r="I304" s="14">
        <f>IFERROR(__xludf.DUMMYFUNCTION("""COMPUTED_VALUE"""),25.0)</f>
        <v>25</v>
      </c>
      <c r="J304" s="11">
        <f>IFERROR(__xludf.DUMMYFUNCTION("IFERROR(FILTER(Stats!$F:$Z,(Stats!$A:$A=$A304)*(Stats!$B:$B=$B304)))"),13.0)</f>
        <v>13</v>
      </c>
      <c r="K304" s="11">
        <f>IFERROR(__xludf.DUMMYFUNCTION("""COMPUTED_VALUE"""),12.0)</f>
        <v>12</v>
      </c>
      <c r="L304" s="12">
        <f>IFERROR(__xludf.DUMMYFUNCTION("""COMPUTED_VALUE"""),0.52)</f>
        <v>0.52</v>
      </c>
      <c r="M304" s="11">
        <f>IFERROR(__xludf.DUMMYFUNCTION("""COMPUTED_VALUE"""),1.0)</f>
        <v>1</v>
      </c>
      <c r="N304" s="11">
        <f>IFERROR(__xludf.DUMMYFUNCTION("""COMPUTED_VALUE"""),8693.0)</f>
        <v>8693</v>
      </c>
      <c r="O304" s="13">
        <f>IFERROR(__xludf.DUMMYFUNCTION("""COMPUTED_VALUE"""),17.0)</f>
        <v>17</v>
      </c>
      <c r="P304" s="14">
        <f>IFERROR(__xludf.DUMMYFUNCTION("""COMPUTED_VALUE"""),12.0)</f>
        <v>12</v>
      </c>
      <c r="Q304" s="13">
        <f>IFERROR(__xludf.DUMMYFUNCTION("""COMPUTED_VALUE"""),43.0)</f>
        <v>43</v>
      </c>
      <c r="R304" s="13">
        <f>IFERROR(__xludf.DUMMYFUNCTION("""COMPUTED_VALUE"""),57.0)</f>
        <v>57</v>
      </c>
      <c r="S304" s="15">
        <f>IFERROR(__xludf.DUMMYFUNCTION("""COMPUTED_VALUE"""),0.2982456140350877)</f>
        <v>0.298245614</v>
      </c>
      <c r="T304" s="16">
        <f>IFERROR(__xludf.DUMMYFUNCTION("""COMPUTED_VALUE"""),347.72)</f>
        <v>347.72</v>
      </c>
      <c r="U304" s="16">
        <f>IFERROR(__xludf.DUMMYFUNCTION("""COMPUTED_VALUE"""),0.68)</f>
        <v>0.68</v>
      </c>
      <c r="V304" s="16">
        <f>IFERROR(__xludf.DUMMYFUNCTION("""COMPUTED_VALUE"""),0.48)</f>
        <v>0.48</v>
      </c>
      <c r="W304" s="16">
        <f>IFERROR(__xludf.DUMMYFUNCTION("""COMPUTED_VALUE"""),1.72)</f>
        <v>1.72</v>
      </c>
      <c r="X304" s="16">
        <f>IFERROR(__xludf.DUMMYFUNCTION("""COMPUTED_VALUE"""),2.28)</f>
        <v>2.28</v>
      </c>
      <c r="Y304" s="11">
        <f>IFERROR(__xludf.DUMMYFUNCTION("""COMPUTED_VALUE"""),5.0)</f>
        <v>5</v>
      </c>
      <c r="Z304" s="11">
        <f>IFERROR(__xludf.DUMMYFUNCTION("""COMPUTED_VALUE"""),0.0)</f>
        <v>0</v>
      </c>
      <c r="AA304" s="11">
        <f>IFERROR(__xludf.DUMMYFUNCTION("""COMPUTED_VALUE"""),0.0)</f>
        <v>0</v>
      </c>
      <c r="AB304" s="11">
        <f>IFERROR(__xludf.DUMMYFUNCTION("""COMPUTED_VALUE"""),7.0)</f>
        <v>7</v>
      </c>
      <c r="AC304" s="11">
        <f>IFERROR(__xludf.DUMMYFUNCTION("""COMPUTED_VALUE"""),27.0)</f>
        <v>27</v>
      </c>
      <c r="AD304" s="11">
        <f>IFERROR(__xludf.DUMMYFUNCTION("""COMPUTED_VALUE"""),25.0)</f>
        <v>25</v>
      </c>
    </row>
    <row r="305">
      <c r="A305" s="10" t="str">
        <f>IFERROR(__xludf.DUMMYFUNCTION("""COMPUTED_VALUE"""),"Elite")</f>
        <v>Elite</v>
      </c>
      <c r="B305" s="10" t="str">
        <f>IFERROR(__xludf.DUMMYFUNCTION("""COMPUTED_VALUE"""),"RSC008391")</f>
        <v>RSC008391</v>
      </c>
      <c r="C305" s="10" t="str">
        <f>IFERROR(__xludf.DUMMYFUNCTION("""COMPUTED_VALUE"""),"SirPeakzIV")</f>
        <v>SirPeakzIV</v>
      </c>
      <c r="D305" s="36" t="str">
        <f>IFERROR(__xludf.DUMMYFUNCTION("""COMPUTED_VALUE"""),"Cotija Cartel
Afterburners
Immortals")</f>
        <v>Cotija Cartel
Afterburners
Immortals</v>
      </c>
      <c r="E305" s="10" t="str">
        <f>IFERROR(__xludf.DUMMYFUNCTION("""COMPUTED_VALUE"""),"Lunar
Lunar
Lunar")</f>
        <v>Lunar
Lunar
Lunar</v>
      </c>
      <c r="F305" s="37">
        <f>IFERROR(__xludf.DUMMYFUNCTION("""COMPUTED_VALUE"""),40.09086760876977)</f>
        <v>40.09086761</v>
      </c>
      <c r="G305" s="38">
        <f>IFERROR(__xludf.DUMMYFUNCTION("""COMPUTED_VALUE"""),45.4974430595832)</f>
        <v>45.49744306</v>
      </c>
      <c r="H305" s="38">
        <f>IFERROR(__xludf.DUMMYFUNCTION("""COMPUTED_VALUE"""),42.79415533417648)</f>
        <v>42.79415533</v>
      </c>
      <c r="I305" s="14">
        <f>IFERROR(__xludf.DUMMYFUNCTION("""COMPUTED_VALUE"""),44.0)</f>
        <v>44</v>
      </c>
      <c r="J305" s="11">
        <f>IFERROR(__xludf.DUMMYFUNCTION("IFERROR(FILTER(Stats!$F:$Z,(Stats!$A:$A=$A305)*(Stats!$B:$B=$B305)))"),20.0)</f>
        <v>20</v>
      </c>
      <c r="K305" s="11">
        <f>IFERROR(__xludf.DUMMYFUNCTION("""COMPUTED_VALUE"""),24.0)</f>
        <v>24</v>
      </c>
      <c r="L305" s="12">
        <f>IFERROR(__xludf.DUMMYFUNCTION("""COMPUTED_VALUE"""),0.45454545454545453)</f>
        <v>0.4545454545</v>
      </c>
      <c r="M305" s="11">
        <f>IFERROR(__xludf.DUMMYFUNCTION("""COMPUTED_VALUE"""),5.0)</f>
        <v>5</v>
      </c>
      <c r="N305" s="11">
        <f>IFERROR(__xludf.DUMMYFUNCTION("""COMPUTED_VALUE"""),15782.0)</f>
        <v>15782</v>
      </c>
      <c r="O305" s="13">
        <f>IFERROR(__xludf.DUMMYFUNCTION("""COMPUTED_VALUE"""),33.0)</f>
        <v>33</v>
      </c>
      <c r="P305" s="14">
        <f>IFERROR(__xludf.DUMMYFUNCTION("""COMPUTED_VALUE"""),23.0)</f>
        <v>23</v>
      </c>
      <c r="Q305" s="13">
        <f>IFERROR(__xludf.DUMMYFUNCTION("""COMPUTED_VALUE"""),73.0)</f>
        <v>73</v>
      </c>
      <c r="R305" s="13">
        <f>IFERROR(__xludf.DUMMYFUNCTION("""COMPUTED_VALUE"""),127.0)</f>
        <v>127</v>
      </c>
      <c r="S305" s="15">
        <f>IFERROR(__xludf.DUMMYFUNCTION("""COMPUTED_VALUE"""),0.25984251968503935)</f>
        <v>0.2598425197</v>
      </c>
      <c r="T305" s="16">
        <f>IFERROR(__xludf.DUMMYFUNCTION("""COMPUTED_VALUE"""),358.6818181818182)</f>
        <v>358.6818182</v>
      </c>
      <c r="U305" s="16">
        <f>IFERROR(__xludf.DUMMYFUNCTION("""COMPUTED_VALUE"""),0.75)</f>
        <v>0.75</v>
      </c>
      <c r="V305" s="16">
        <f>IFERROR(__xludf.DUMMYFUNCTION("""COMPUTED_VALUE"""),0.5227272727272727)</f>
        <v>0.5227272727</v>
      </c>
      <c r="W305" s="16">
        <f>IFERROR(__xludf.DUMMYFUNCTION("""COMPUTED_VALUE"""),1.6590909090909092)</f>
        <v>1.659090909</v>
      </c>
      <c r="X305" s="16">
        <f>IFERROR(__xludf.DUMMYFUNCTION("""COMPUTED_VALUE"""),2.8863636363636362)</f>
        <v>2.886363636</v>
      </c>
      <c r="Y305" s="11">
        <f>IFERROR(__xludf.DUMMYFUNCTION("""COMPUTED_VALUE"""),8.0)</f>
        <v>8</v>
      </c>
      <c r="Z305" s="11">
        <f>IFERROR(__xludf.DUMMYFUNCTION("""COMPUTED_VALUE"""),2.0)</f>
        <v>2</v>
      </c>
      <c r="AA305" s="11">
        <f>IFERROR(__xludf.DUMMYFUNCTION("""COMPUTED_VALUE"""),0.0)</f>
        <v>0</v>
      </c>
      <c r="AB305" s="11">
        <f>IFERROR(__xludf.DUMMYFUNCTION("""COMPUTED_VALUE"""),10.0)</f>
        <v>10</v>
      </c>
      <c r="AC305" s="11">
        <f>IFERROR(__xludf.DUMMYFUNCTION("""COMPUTED_VALUE"""),92.0)</f>
        <v>92</v>
      </c>
      <c r="AD305" s="11">
        <f>IFERROR(__xludf.DUMMYFUNCTION("""COMPUTED_VALUE"""),39.0)</f>
        <v>39</v>
      </c>
    </row>
    <row r="306">
      <c r="A306" s="10" t="str">
        <f>IFERROR(__xludf.DUMMYFUNCTION("""COMPUTED_VALUE"""),"Elite")</f>
        <v>Elite</v>
      </c>
      <c r="B306" s="10" t="str">
        <f>IFERROR(__xludf.DUMMYFUNCTION("""COMPUTED_VALUE"""),"RSC001986")</f>
        <v>RSC001986</v>
      </c>
      <c r="C306" s="10" t="str">
        <f>IFERROR(__xludf.DUMMYFUNCTION("""COMPUTED_VALUE"""),"Colinn")</f>
        <v>Colinn</v>
      </c>
      <c r="D306" s="36" t="str">
        <f>IFERROR(__xludf.DUMMYFUNCTION("""COMPUTED_VALUE"""),"Dik-diks")</f>
        <v>Dik-diks</v>
      </c>
      <c r="E306" s="10" t="str">
        <f>IFERROR(__xludf.DUMMYFUNCTION("""COMPUTED_VALUE"""),"Lunar")</f>
        <v>Lunar</v>
      </c>
      <c r="F306" s="37">
        <f>IFERROR(__xludf.DUMMYFUNCTION("""COMPUTED_VALUE"""),41.415738065717775)</f>
        <v>41.41573807</v>
      </c>
      <c r="G306" s="38">
        <f>IFERROR(__xludf.DUMMYFUNCTION("""COMPUTED_VALUE"""),43.7223320334951)</f>
        <v>43.72233203</v>
      </c>
      <c r="H306" s="38">
        <f>IFERROR(__xludf.DUMMYFUNCTION("""COMPUTED_VALUE"""),42.56903504960644)</f>
        <v>42.56903505</v>
      </c>
      <c r="I306" s="14">
        <f>IFERROR(__xludf.DUMMYFUNCTION("""COMPUTED_VALUE"""),14.0)</f>
        <v>14</v>
      </c>
      <c r="J306" s="11">
        <f>IFERROR(__xludf.DUMMYFUNCTION("IFERROR(FILTER(Stats!$F:$Z,(Stats!$A:$A=$A306)*(Stats!$B:$B=$B306)))"),4.0)</f>
        <v>4</v>
      </c>
      <c r="K306" s="11">
        <f>IFERROR(__xludf.DUMMYFUNCTION("""COMPUTED_VALUE"""),10.0)</f>
        <v>10</v>
      </c>
      <c r="L306" s="12">
        <f>IFERROR(__xludf.DUMMYFUNCTION("""COMPUTED_VALUE"""),0.2857142857142857)</f>
        <v>0.2857142857</v>
      </c>
      <c r="M306" s="11">
        <f>IFERROR(__xludf.DUMMYFUNCTION("""COMPUTED_VALUE"""),2.0)</f>
        <v>2</v>
      </c>
      <c r="N306" s="11">
        <f>IFERROR(__xludf.DUMMYFUNCTION("""COMPUTED_VALUE"""),5279.0)</f>
        <v>5279</v>
      </c>
      <c r="O306" s="13">
        <f>IFERROR(__xludf.DUMMYFUNCTION("""COMPUTED_VALUE"""),10.0)</f>
        <v>10</v>
      </c>
      <c r="P306" s="14">
        <f>IFERROR(__xludf.DUMMYFUNCTION("""COMPUTED_VALUE"""),10.0)</f>
        <v>10</v>
      </c>
      <c r="Q306" s="13">
        <f>IFERROR(__xludf.DUMMYFUNCTION("""COMPUTED_VALUE"""),24.0)</f>
        <v>24</v>
      </c>
      <c r="R306" s="13">
        <f>IFERROR(__xludf.DUMMYFUNCTION("""COMPUTED_VALUE"""),36.0)</f>
        <v>36</v>
      </c>
      <c r="S306" s="15">
        <f>IFERROR(__xludf.DUMMYFUNCTION("""COMPUTED_VALUE"""),0.2777777777777778)</f>
        <v>0.2777777778</v>
      </c>
      <c r="T306" s="16">
        <f>IFERROR(__xludf.DUMMYFUNCTION("""COMPUTED_VALUE"""),377.07142857142856)</f>
        <v>377.0714286</v>
      </c>
      <c r="U306" s="16">
        <f>IFERROR(__xludf.DUMMYFUNCTION("""COMPUTED_VALUE"""),0.7142857142857143)</f>
        <v>0.7142857143</v>
      </c>
      <c r="V306" s="16">
        <f>IFERROR(__xludf.DUMMYFUNCTION("""COMPUTED_VALUE"""),0.7142857142857143)</f>
        <v>0.7142857143</v>
      </c>
      <c r="W306" s="16">
        <f>IFERROR(__xludf.DUMMYFUNCTION("""COMPUTED_VALUE"""),1.7142857142857142)</f>
        <v>1.714285714</v>
      </c>
      <c r="X306" s="16">
        <f>IFERROR(__xludf.DUMMYFUNCTION("""COMPUTED_VALUE"""),2.5714285714285716)</f>
        <v>2.571428571</v>
      </c>
      <c r="Y306" s="11">
        <f>IFERROR(__xludf.DUMMYFUNCTION("""COMPUTED_VALUE"""),2.0)</f>
        <v>2</v>
      </c>
      <c r="Z306" s="11">
        <f>IFERROR(__xludf.DUMMYFUNCTION("""COMPUTED_VALUE"""),2.0)</f>
        <v>2</v>
      </c>
      <c r="AA306" s="11">
        <f>IFERROR(__xludf.DUMMYFUNCTION("""COMPUTED_VALUE"""),1.0)</f>
        <v>1</v>
      </c>
      <c r="AB306" s="11">
        <f>IFERROR(__xludf.DUMMYFUNCTION("""COMPUTED_VALUE"""),5.0)</f>
        <v>5</v>
      </c>
      <c r="AC306" s="11">
        <f>IFERROR(__xludf.DUMMYFUNCTION("""COMPUTED_VALUE"""),14.0)</f>
        <v>14</v>
      </c>
      <c r="AD306" s="11">
        <f>IFERROR(__xludf.DUMMYFUNCTION("""COMPUTED_VALUE"""),18.0)</f>
        <v>18</v>
      </c>
    </row>
    <row r="307">
      <c r="A307" s="10" t="str">
        <f>IFERROR(__xludf.DUMMYFUNCTION("""COMPUTED_VALUE"""),"Elite")</f>
        <v>Elite</v>
      </c>
      <c r="B307" s="10" t="str">
        <f>IFERROR(__xludf.DUMMYFUNCTION("""COMPUTED_VALUE"""),"RSC008354")</f>
        <v>RSC008354</v>
      </c>
      <c r="C307" s="10" t="str">
        <f>IFERROR(__xludf.DUMMYFUNCTION("""COMPUTED_VALUE"""),"S3 TEK")</f>
        <v>S3 TEK</v>
      </c>
      <c r="D307" s="36" t="str">
        <f>IFERROR(__xludf.DUMMYFUNCTION("""COMPUTED_VALUE"""),"Afterburners")</f>
        <v>Afterburners</v>
      </c>
      <c r="E307" s="10" t="str">
        <f>IFERROR(__xludf.DUMMYFUNCTION("""COMPUTED_VALUE"""),"Lunar")</f>
        <v>Lunar</v>
      </c>
      <c r="F307" s="37">
        <f>IFERROR(__xludf.DUMMYFUNCTION("""COMPUTED_VALUE"""),42.66028856028193)</f>
        <v>42.66028856</v>
      </c>
      <c r="G307" s="38">
        <f>IFERROR(__xludf.DUMMYFUNCTION("""COMPUTED_VALUE"""),42.12555738262381)</f>
        <v>42.12555738</v>
      </c>
      <c r="H307" s="38">
        <f>IFERROR(__xludf.DUMMYFUNCTION("""COMPUTED_VALUE"""),42.39292297145287)</f>
        <v>42.39292297</v>
      </c>
      <c r="I307" s="14">
        <f>IFERROR(__xludf.DUMMYFUNCTION("""COMPUTED_VALUE"""),16.0)</f>
        <v>16</v>
      </c>
      <c r="J307" s="11">
        <f>IFERROR(__xludf.DUMMYFUNCTION("IFERROR(FILTER(Stats!$F:$Z,(Stats!$A:$A=$A307)*(Stats!$B:$B=$B307)))"),3.0)</f>
        <v>3</v>
      </c>
      <c r="K307" s="11">
        <f>IFERROR(__xludf.DUMMYFUNCTION("""COMPUTED_VALUE"""),13.0)</f>
        <v>13</v>
      </c>
      <c r="L307" s="12">
        <f>IFERROR(__xludf.DUMMYFUNCTION("""COMPUTED_VALUE"""),0.1875)</f>
        <v>0.1875</v>
      </c>
      <c r="M307" s="11">
        <f>IFERROR(__xludf.DUMMYFUNCTION("""COMPUTED_VALUE"""),1.0)</f>
        <v>1</v>
      </c>
      <c r="N307" s="11">
        <f>IFERROR(__xludf.DUMMYFUNCTION("""COMPUTED_VALUE"""),5725.0)</f>
        <v>5725</v>
      </c>
      <c r="O307" s="13">
        <f>IFERROR(__xludf.DUMMYFUNCTION("""COMPUTED_VALUE"""),16.0)</f>
        <v>16</v>
      </c>
      <c r="P307" s="14">
        <f>IFERROR(__xludf.DUMMYFUNCTION("""COMPUTED_VALUE"""),7.0)</f>
        <v>7</v>
      </c>
      <c r="Q307" s="13">
        <f>IFERROR(__xludf.DUMMYFUNCTION("""COMPUTED_VALUE"""),21.0)</f>
        <v>21</v>
      </c>
      <c r="R307" s="13">
        <f>IFERROR(__xludf.DUMMYFUNCTION("""COMPUTED_VALUE"""),39.0)</f>
        <v>39</v>
      </c>
      <c r="S307" s="15">
        <f>IFERROR(__xludf.DUMMYFUNCTION("""COMPUTED_VALUE"""),0.41025641025641024)</f>
        <v>0.4102564103</v>
      </c>
      <c r="T307" s="16">
        <f>IFERROR(__xludf.DUMMYFUNCTION("""COMPUTED_VALUE"""),357.8125)</f>
        <v>357.8125</v>
      </c>
      <c r="U307" s="16">
        <f>IFERROR(__xludf.DUMMYFUNCTION("""COMPUTED_VALUE"""),1.0)</f>
        <v>1</v>
      </c>
      <c r="V307" s="16">
        <f>IFERROR(__xludf.DUMMYFUNCTION("""COMPUTED_VALUE"""),0.4375)</f>
        <v>0.4375</v>
      </c>
      <c r="W307" s="16">
        <f>IFERROR(__xludf.DUMMYFUNCTION("""COMPUTED_VALUE"""),1.3125)</f>
        <v>1.3125</v>
      </c>
      <c r="X307" s="16">
        <f>IFERROR(__xludf.DUMMYFUNCTION("""COMPUTED_VALUE"""),2.4375)</f>
        <v>2.4375</v>
      </c>
      <c r="Y307" s="11">
        <f>IFERROR(__xludf.DUMMYFUNCTION("""COMPUTED_VALUE"""),3.0)</f>
        <v>3</v>
      </c>
      <c r="Z307" s="11">
        <f>IFERROR(__xludf.DUMMYFUNCTION("""COMPUTED_VALUE"""),0.0)</f>
        <v>0</v>
      </c>
      <c r="AA307" s="11">
        <f>IFERROR(__xludf.DUMMYFUNCTION("""COMPUTED_VALUE"""),0.0)</f>
        <v>0</v>
      </c>
      <c r="AB307" s="11">
        <f>IFERROR(__xludf.DUMMYFUNCTION("""COMPUTED_VALUE"""),2.0)</f>
        <v>2</v>
      </c>
      <c r="AC307" s="11">
        <f>IFERROR(__xludf.DUMMYFUNCTION("""COMPUTED_VALUE"""),10.0)</f>
        <v>10</v>
      </c>
      <c r="AD307" s="11">
        <f>IFERROR(__xludf.DUMMYFUNCTION("""COMPUTED_VALUE"""),14.0)</f>
        <v>14</v>
      </c>
    </row>
    <row r="308">
      <c r="A308" s="10" t="str">
        <f>IFERROR(__xludf.DUMMYFUNCTION("""COMPUTED_VALUE"""),"Elite")</f>
        <v>Elite</v>
      </c>
      <c r="B308" s="10" t="str">
        <f>IFERROR(__xludf.DUMMYFUNCTION("""COMPUTED_VALUE"""),"RSC007629")</f>
        <v>RSC007629</v>
      </c>
      <c r="C308" s="10" t="str">
        <f>IFERROR(__xludf.DUMMYFUNCTION("""COMPUTED_VALUE"""),"Mochi")</f>
        <v>Mochi</v>
      </c>
      <c r="D308" s="36" t="str">
        <f>IFERROR(__xludf.DUMMYFUNCTION("""COMPUTED_VALUE"""),"Immortals
Krakens")</f>
        <v>Immortals
Krakens</v>
      </c>
      <c r="E308" s="10" t="str">
        <f>IFERROR(__xludf.DUMMYFUNCTION("""COMPUTED_VALUE"""),"Lunar
Lunar")</f>
        <v>Lunar
Lunar</v>
      </c>
      <c r="F308" s="37">
        <f>IFERROR(__xludf.DUMMYFUNCTION("""COMPUTED_VALUE"""),47.36686514934511)</f>
        <v>47.36686515</v>
      </c>
      <c r="G308" s="38">
        <f>IFERROR(__xludf.DUMMYFUNCTION("""COMPUTED_VALUE"""),36.44198343118776)</f>
        <v>36.44198343</v>
      </c>
      <c r="H308" s="38">
        <f>IFERROR(__xludf.DUMMYFUNCTION("""COMPUTED_VALUE"""),41.904424290266434)</f>
        <v>41.90442429</v>
      </c>
      <c r="I308" s="14">
        <f>IFERROR(__xludf.DUMMYFUNCTION("""COMPUTED_VALUE"""),23.0)</f>
        <v>23</v>
      </c>
      <c r="J308" s="11">
        <f>IFERROR(__xludf.DUMMYFUNCTION("IFERROR(FILTER(Stats!$F:$Z,(Stats!$A:$A=$A308)*(Stats!$B:$B=$B308)))"),5.0)</f>
        <v>5</v>
      </c>
      <c r="K308" s="11">
        <f>IFERROR(__xludf.DUMMYFUNCTION("""COMPUTED_VALUE"""),18.0)</f>
        <v>18</v>
      </c>
      <c r="L308" s="12">
        <f>IFERROR(__xludf.DUMMYFUNCTION("""COMPUTED_VALUE"""),0.21739130434782608)</f>
        <v>0.2173913043</v>
      </c>
      <c r="M308" s="11">
        <f>IFERROR(__xludf.DUMMYFUNCTION("""COMPUTED_VALUE"""),2.0)</f>
        <v>2</v>
      </c>
      <c r="N308" s="11">
        <f>IFERROR(__xludf.DUMMYFUNCTION("""COMPUTED_VALUE"""),7838.0)</f>
        <v>7838</v>
      </c>
      <c r="O308" s="13">
        <f>IFERROR(__xludf.DUMMYFUNCTION("""COMPUTED_VALUE"""),11.0)</f>
        <v>11</v>
      </c>
      <c r="P308" s="14">
        <f>IFERROR(__xludf.DUMMYFUNCTION("""COMPUTED_VALUE"""),13.0)</f>
        <v>13</v>
      </c>
      <c r="Q308" s="13">
        <f>IFERROR(__xludf.DUMMYFUNCTION("""COMPUTED_VALUE"""),36.0)</f>
        <v>36</v>
      </c>
      <c r="R308" s="13">
        <f>IFERROR(__xludf.DUMMYFUNCTION("""COMPUTED_VALUE"""),63.0)</f>
        <v>63</v>
      </c>
      <c r="S308" s="15">
        <f>IFERROR(__xludf.DUMMYFUNCTION("""COMPUTED_VALUE"""),0.1746031746031746)</f>
        <v>0.1746031746</v>
      </c>
      <c r="T308" s="16">
        <f>IFERROR(__xludf.DUMMYFUNCTION("""COMPUTED_VALUE"""),340.7826086956522)</f>
        <v>340.7826087</v>
      </c>
      <c r="U308" s="16">
        <f>IFERROR(__xludf.DUMMYFUNCTION("""COMPUTED_VALUE"""),0.4782608695652174)</f>
        <v>0.4782608696</v>
      </c>
      <c r="V308" s="16">
        <f>IFERROR(__xludf.DUMMYFUNCTION("""COMPUTED_VALUE"""),0.5652173913043478)</f>
        <v>0.5652173913</v>
      </c>
      <c r="W308" s="16">
        <f>IFERROR(__xludf.DUMMYFUNCTION("""COMPUTED_VALUE"""),1.565217391304348)</f>
        <v>1.565217391</v>
      </c>
      <c r="X308" s="16">
        <f>IFERROR(__xludf.DUMMYFUNCTION("""COMPUTED_VALUE"""),2.739130434782609)</f>
        <v>2.739130435</v>
      </c>
      <c r="Y308" s="11">
        <f>IFERROR(__xludf.DUMMYFUNCTION("""COMPUTED_VALUE"""),2.0)</f>
        <v>2</v>
      </c>
      <c r="Z308" s="11">
        <f>IFERROR(__xludf.DUMMYFUNCTION("""COMPUTED_VALUE"""),0.0)</f>
        <v>0</v>
      </c>
      <c r="AA308" s="11">
        <f>IFERROR(__xludf.DUMMYFUNCTION("""COMPUTED_VALUE"""),2.0)</f>
        <v>2</v>
      </c>
      <c r="AB308" s="11">
        <f>IFERROR(__xludf.DUMMYFUNCTION("""COMPUTED_VALUE"""),5.0)</f>
        <v>5</v>
      </c>
      <c r="AC308" s="11">
        <f>IFERROR(__xludf.DUMMYFUNCTION("""COMPUTED_VALUE"""),25.0)</f>
        <v>25</v>
      </c>
      <c r="AD308" s="11">
        <f>IFERROR(__xludf.DUMMYFUNCTION("""COMPUTED_VALUE"""),25.0)</f>
        <v>25</v>
      </c>
    </row>
    <row r="309">
      <c r="A309" s="10" t="str">
        <f>IFERROR(__xludf.DUMMYFUNCTION("""COMPUTED_VALUE"""),"Elite")</f>
        <v>Elite</v>
      </c>
      <c r="B309" s="10" t="str">
        <f>IFERROR(__xludf.DUMMYFUNCTION("""COMPUTED_VALUE"""),"RSC007688")</f>
        <v>RSC007688</v>
      </c>
      <c r="C309" s="10" t="str">
        <f>IFERROR(__xludf.DUMMYFUNCTION("""COMPUTED_VALUE"""),"Yami ^^")</f>
        <v>Yami ^^</v>
      </c>
      <c r="D309" s="36" t="str">
        <f>IFERROR(__xludf.DUMMYFUNCTION("""COMPUTED_VALUE"""),"Gelato")</f>
        <v>Gelato</v>
      </c>
      <c r="E309" s="10" t="str">
        <f>IFERROR(__xludf.DUMMYFUNCTION("""COMPUTED_VALUE"""),"Lunar")</f>
        <v>Lunar</v>
      </c>
      <c r="F309" s="37">
        <f>IFERROR(__xludf.DUMMYFUNCTION("""COMPUTED_VALUE"""),38.85049308846983)</f>
        <v>38.85049309</v>
      </c>
      <c r="G309" s="38">
        <f>IFERROR(__xludf.DUMMYFUNCTION("""COMPUTED_VALUE"""),43.20385666813083)</f>
        <v>43.20385667</v>
      </c>
      <c r="H309" s="38">
        <f>IFERROR(__xludf.DUMMYFUNCTION("""COMPUTED_VALUE"""),41.02717487830033)</f>
        <v>41.02717488</v>
      </c>
      <c r="I309" s="14">
        <f>IFERROR(__xludf.DUMMYFUNCTION("""COMPUTED_VALUE"""),56.0)</f>
        <v>56</v>
      </c>
      <c r="J309" s="11">
        <f>IFERROR(__xludf.DUMMYFUNCTION("IFERROR(FILTER(Stats!$F:$Z,(Stats!$A:$A=$A309)*(Stats!$B:$B=$B309)))"),28.0)</f>
        <v>28</v>
      </c>
      <c r="K309" s="11">
        <f>IFERROR(__xludf.DUMMYFUNCTION("""COMPUTED_VALUE"""),28.0)</f>
        <v>28</v>
      </c>
      <c r="L309" s="12">
        <f>IFERROR(__xludf.DUMMYFUNCTION("""COMPUTED_VALUE"""),0.5)</f>
        <v>0.5</v>
      </c>
      <c r="M309" s="11">
        <f>IFERROR(__xludf.DUMMYFUNCTION("""COMPUTED_VALUE"""),6.0)</f>
        <v>6</v>
      </c>
      <c r="N309" s="11">
        <f>IFERROR(__xludf.DUMMYFUNCTION("""COMPUTED_VALUE"""),19511.0)</f>
        <v>19511</v>
      </c>
      <c r="O309" s="13">
        <f>IFERROR(__xludf.DUMMYFUNCTION("""COMPUTED_VALUE"""),36.0)</f>
        <v>36</v>
      </c>
      <c r="P309" s="14">
        <f>IFERROR(__xludf.DUMMYFUNCTION("""COMPUTED_VALUE"""),38.0)</f>
        <v>38</v>
      </c>
      <c r="Q309" s="13">
        <f>IFERROR(__xludf.DUMMYFUNCTION("""COMPUTED_VALUE"""),100.0)</f>
        <v>100</v>
      </c>
      <c r="R309" s="13">
        <f>IFERROR(__xludf.DUMMYFUNCTION("""COMPUTED_VALUE"""),122.0)</f>
        <v>122</v>
      </c>
      <c r="S309" s="15">
        <f>IFERROR(__xludf.DUMMYFUNCTION("""COMPUTED_VALUE"""),0.29508196721311475)</f>
        <v>0.2950819672</v>
      </c>
      <c r="T309" s="16">
        <f>IFERROR(__xludf.DUMMYFUNCTION("""COMPUTED_VALUE"""),348.4107142857143)</f>
        <v>348.4107143</v>
      </c>
      <c r="U309" s="16">
        <f>IFERROR(__xludf.DUMMYFUNCTION("""COMPUTED_VALUE"""),0.6428571428571429)</f>
        <v>0.6428571429</v>
      </c>
      <c r="V309" s="16">
        <f>IFERROR(__xludf.DUMMYFUNCTION("""COMPUTED_VALUE"""),0.6785714285714286)</f>
        <v>0.6785714286</v>
      </c>
      <c r="W309" s="16">
        <f>IFERROR(__xludf.DUMMYFUNCTION("""COMPUTED_VALUE"""),1.7857142857142858)</f>
        <v>1.785714286</v>
      </c>
      <c r="X309" s="16">
        <f>IFERROR(__xludf.DUMMYFUNCTION("""COMPUTED_VALUE"""),2.1785714285714284)</f>
        <v>2.178571429</v>
      </c>
      <c r="Y309" s="11">
        <f>IFERROR(__xludf.DUMMYFUNCTION("""COMPUTED_VALUE"""),9.0)</f>
        <v>9</v>
      </c>
      <c r="Z309" s="11">
        <f>IFERROR(__xludf.DUMMYFUNCTION("""COMPUTED_VALUE"""),1.0)</f>
        <v>1</v>
      </c>
      <c r="AA309" s="11">
        <f>IFERROR(__xludf.DUMMYFUNCTION("""COMPUTED_VALUE"""),2.0)</f>
        <v>2</v>
      </c>
      <c r="AB309" s="11">
        <f>IFERROR(__xludf.DUMMYFUNCTION("""COMPUTED_VALUE"""),14.0)</f>
        <v>14</v>
      </c>
      <c r="AC309" s="11">
        <f>IFERROR(__xludf.DUMMYFUNCTION("""COMPUTED_VALUE"""),89.0)</f>
        <v>89</v>
      </c>
      <c r="AD309" s="11">
        <f>IFERROR(__xludf.DUMMYFUNCTION("""COMPUTED_VALUE"""),50.0)</f>
        <v>50</v>
      </c>
    </row>
    <row r="310">
      <c r="A310" s="10" t="str">
        <f>IFERROR(__xludf.DUMMYFUNCTION("""COMPUTED_VALUE"""),"Elite")</f>
        <v>Elite</v>
      </c>
      <c r="B310" s="10" t="str">
        <f>IFERROR(__xludf.DUMMYFUNCTION("""COMPUTED_VALUE"""),"RSC006668")</f>
        <v>RSC006668</v>
      </c>
      <c r="C310" s="10" t="str">
        <f>IFERROR(__xludf.DUMMYFUNCTION("""COMPUTED_VALUE"""),"kamui")</f>
        <v>kamui</v>
      </c>
      <c r="D310" s="36" t="str">
        <f>IFERROR(__xludf.DUMMYFUNCTION("""COMPUTED_VALUE"""),"Commanders
Teddy Bears")</f>
        <v>Commanders
Teddy Bears</v>
      </c>
      <c r="E310" s="10" t="str">
        <f>IFERROR(__xludf.DUMMYFUNCTION("""COMPUTED_VALUE"""),"Lunar
Solar")</f>
        <v>Lunar
Solar</v>
      </c>
      <c r="F310" s="37">
        <f>IFERROR(__xludf.DUMMYFUNCTION("""COMPUTED_VALUE"""),38.68528703149394)</f>
        <v>38.68528703</v>
      </c>
      <c r="G310" s="38">
        <f>IFERROR(__xludf.DUMMYFUNCTION("""COMPUTED_VALUE"""),42.06356162967474)</f>
        <v>42.06356163</v>
      </c>
      <c r="H310" s="38">
        <f>IFERROR(__xludf.DUMMYFUNCTION("""COMPUTED_VALUE"""),40.37442433058434)</f>
        <v>40.37442433</v>
      </c>
      <c r="I310" s="14">
        <f>IFERROR(__xludf.DUMMYFUNCTION("""COMPUTED_VALUE"""),44.0)</f>
        <v>44</v>
      </c>
      <c r="J310" s="11">
        <f>IFERROR(__xludf.DUMMYFUNCTION("IFERROR(FILTER(Stats!$F:$Z,(Stats!$A:$A=$A310)*(Stats!$B:$B=$B310)))"),19.0)</f>
        <v>19</v>
      </c>
      <c r="K310" s="11">
        <f>IFERROR(__xludf.DUMMYFUNCTION("""COMPUTED_VALUE"""),25.0)</f>
        <v>25</v>
      </c>
      <c r="L310" s="12">
        <f>IFERROR(__xludf.DUMMYFUNCTION("""COMPUTED_VALUE"""),0.4318181818181818)</f>
        <v>0.4318181818</v>
      </c>
      <c r="M310" s="11">
        <f>IFERROR(__xludf.DUMMYFUNCTION("""COMPUTED_VALUE"""),4.0)</f>
        <v>4</v>
      </c>
      <c r="N310" s="11">
        <f>IFERROR(__xludf.DUMMYFUNCTION("""COMPUTED_VALUE"""),14383.0)</f>
        <v>14383</v>
      </c>
      <c r="O310" s="13">
        <f>IFERROR(__xludf.DUMMYFUNCTION("""COMPUTED_VALUE"""),27.0)</f>
        <v>27</v>
      </c>
      <c r="P310" s="14">
        <f>IFERROR(__xludf.DUMMYFUNCTION("""COMPUTED_VALUE"""),31.0)</f>
        <v>31</v>
      </c>
      <c r="Q310" s="13">
        <f>IFERROR(__xludf.DUMMYFUNCTION("""COMPUTED_VALUE"""),47.0)</f>
        <v>47</v>
      </c>
      <c r="R310" s="13">
        <f>IFERROR(__xludf.DUMMYFUNCTION("""COMPUTED_VALUE"""),112.0)</f>
        <v>112</v>
      </c>
      <c r="S310" s="15">
        <f>IFERROR(__xludf.DUMMYFUNCTION("""COMPUTED_VALUE"""),0.24107142857142858)</f>
        <v>0.2410714286</v>
      </c>
      <c r="T310" s="16">
        <f>IFERROR(__xludf.DUMMYFUNCTION("""COMPUTED_VALUE"""),326.8863636363636)</f>
        <v>326.8863636</v>
      </c>
      <c r="U310" s="16">
        <f>IFERROR(__xludf.DUMMYFUNCTION("""COMPUTED_VALUE"""),0.6136363636363636)</f>
        <v>0.6136363636</v>
      </c>
      <c r="V310" s="16">
        <f>IFERROR(__xludf.DUMMYFUNCTION("""COMPUTED_VALUE"""),0.7045454545454546)</f>
        <v>0.7045454545</v>
      </c>
      <c r="W310" s="16">
        <f>IFERROR(__xludf.DUMMYFUNCTION("""COMPUTED_VALUE"""),1.0681818181818181)</f>
        <v>1.068181818</v>
      </c>
      <c r="X310" s="16">
        <f>IFERROR(__xludf.DUMMYFUNCTION("""COMPUTED_VALUE"""),2.5454545454545454)</f>
        <v>2.545454545</v>
      </c>
      <c r="Y310" s="11">
        <f>IFERROR(__xludf.DUMMYFUNCTION("""COMPUTED_VALUE"""),12.0)</f>
        <v>12</v>
      </c>
      <c r="Z310" s="11">
        <f>IFERROR(__xludf.DUMMYFUNCTION("""COMPUTED_VALUE"""),1.0)</f>
        <v>1</v>
      </c>
      <c r="AA310" s="11">
        <f>IFERROR(__xludf.DUMMYFUNCTION("""COMPUTED_VALUE"""),1.0)</f>
        <v>1</v>
      </c>
      <c r="AB310" s="11">
        <f>IFERROR(__xludf.DUMMYFUNCTION("""COMPUTED_VALUE"""),3.0)</f>
        <v>3</v>
      </c>
      <c r="AC310" s="11">
        <f>IFERROR(__xludf.DUMMYFUNCTION("""COMPUTED_VALUE"""),32.0)</f>
        <v>32</v>
      </c>
      <c r="AD310" s="11">
        <f>IFERROR(__xludf.DUMMYFUNCTION("""COMPUTED_VALUE"""),43.0)</f>
        <v>43</v>
      </c>
    </row>
    <row r="311">
      <c r="A311" s="10" t="str">
        <f>IFERROR(__xludf.DUMMYFUNCTION("""COMPUTED_VALUE"""),"Elite")</f>
        <v>Elite</v>
      </c>
      <c r="B311" s="10" t="str">
        <f>IFERROR(__xludf.DUMMYFUNCTION("""COMPUTED_VALUE"""),"RSC008554")</f>
        <v>RSC008554</v>
      </c>
      <c r="C311" s="10" t="str">
        <f>IFERROR(__xludf.DUMMYFUNCTION("""COMPUTED_VALUE"""),"golden4789")</f>
        <v>golden4789</v>
      </c>
      <c r="D311" s="36" t="str">
        <f>IFERROR(__xludf.DUMMYFUNCTION("""COMPUTED_VALUE"""),"Desolation")</f>
        <v>Desolation</v>
      </c>
      <c r="E311" s="10" t="str">
        <f>IFERROR(__xludf.DUMMYFUNCTION("""COMPUTED_VALUE"""),"Solar")</f>
        <v>Solar</v>
      </c>
      <c r="F311" s="37">
        <f>IFERROR(__xludf.DUMMYFUNCTION("""COMPUTED_VALUE"""),41.06937384315305)</f>
        <v>41.06937384</v>
      </c>
      <c r="G311" s="38">
        <f>IFERROR(__xludf.DUMMYFUNCTION("""COMPUTED_VALUE"""),38.126100761864166)</f>
        <v>38.12610076</v>
      </c>
      <c r="H311" s="38">
        <f>IFERROR(__xludf.DUMMYFUNCTION("""COMPUTED_VALUE"""),39.597737302508605)</f>
        <v>39.5977373</v>
      </c>
      <c r="I311" s="14">
        <f>IFERROR(__xludf.DUMMYFUNCTION("""COMPUTED_VALUE"""),4.0)</f>
        <v>4</v>
      </c>
      <c r="J311" s="11">
        <f>IFERROR(__xludf.DUMMYFUNCTION("IFERROR(FILTER(Stats!$F:$Z,(Stats!$A:$A=$A311)*(Stats!$B:$B=$B311)))"),3.0)</f>
        <v>3</v>
      </c>
      <c r="K311" s="11">
        <f>IFERROR(__xludf.DUMMYFUNCTION("""COMPUTED_VALUE"""),1.0)</f>
        <v>1</v>
      </c>
      <c r="L311" s="12">
        <f>IFERROR(__xludf.DUMMYFUNCTION("""COMPUTED_VALUE"""),0.75)</f>
        <v>0.75</v>
      </c>
      <c r="M311" s="11">
        <f>IFERROR(__xludf.DUMMYFUNCTION("""COMPUTED_VALUE"""),0.0)</f>
        <v>0</v>
      </c>
      <c r="N311" s="11">
        <f>IFERROR(__xludf.DUMMYFUNCTION("""COMPUTED_VALUE"""),1251.0)</f>
        <v>1251</v>
      </c>
      <c r="O311" s="13">
        <f>IFERROR(__xludf.DUMMYFUNCTION("""COMPUTED_VALUE"""),2.0)</f>
        <v>2</v>
      </c>
      <c r="P311" s="14">
        <f>IFERROR(__xludf.DUMMYFUNCTION("""COMPUTED_VALUE"""),3.0)</f>
        <v>3</v>
      </c>
      <c r="Q311" s="13">
        <f>IFERROR(__xludf.DUMMYFUNCTION("""COMPUTED_VALUE"""),5.0)</f>
        <v>5</v>
      </c>
      <c r="R311" s="13">
        <f>IFERROR(__xludf.DUMMYFUNCTION("""COMPUTED_VALUE"""),7.0)</f>
        <v>7</v>
      </c>
      <c r="S311" s="15">
        <f>IFERROR(__xludf.DUMMYFUNCTION("""COMPUTED_VALUE"""),0.2857142857142857)</f>
        <v>0.2857142857</v>
      </c>
      <c r="T311" s="16">
        <f>IFERROR(__xludf.DUMMYFUNCTION("""COMPUTED_VALUE"""),312.75)</f>
        <v>312.75</v>
      </c>
      <c r="U311" s="16">
        <f>IFERROR(__xludf.DUMMYFUNCTION("""COMPUTED_VALUE"""),0.5)</f>
        <v>0.5</v>
      </c>
      <c r="V311" s="16">
        <f>IFERROR(__xludf.DUMMYFUNCTION("""COMPUTED_VALUE"""),0.75)</f>
        <v>0.75</v>
      </c>
      <c r="W311" s="16">
        <f>IFERROR(__xludf.DUMMYFUNCTION("""COMPUTED_VALUE"""),1.25)</f>
        <v>1.25</v>
      </c>
      <c r="X311" s="16">
        <f>IFERROR(__xludf.DUMMYFUNCTION("""COMPUTED_VALUE"""),1.75)</f>
        <v>1.75</v>
      </c>
      <c r="Y311" s="11">
        <f>IFERROR(__xludf.DUMMYFUNCTION("""COMPUTED_VALUE"""),1.0)</f>
        <v>1</v>
      </c>
      <c r="Z311" s="11">
        <f>IFERROR(__xludf.DUMMYFUNCTION("""COMPUTED_VALUE"""),0.0)</f>
        <v>0</v>
      </c>
      <c r="AA311" s="11">
        <f>IFERROR(__xludf.DUMMYFUNCTION("""COMPUTED_VALUE"""),0.0)</f>
        <v>0</v>
      </c>
      <c r="AB311" s="11">
        <f>IFERROR(__xludf.DUMMYFUNCTION("""COMPUTED_VALUE"""),0.0)</f>
        <v>0</v>
      </c>
      <c r="AC311" s="11">
        <f>IFERROR(__xludf.DUMMYFUNCTION("""COMPUTED_VALUE"""),2.0)</f>
        <v>2</v>
      </c>
      <c r="AD311" s="11">
        <f>IFERROR(__xludf.DUMMYFUNCTION("""COMPUTED_VALUE"""),6.0)</f>
        <v>6</v>
      </c>
    </row>
    <row r="312">
      <c r="A312" s="10" t="str">
        <f>IFERROR(__xludf.DUMMYFUNCTION("""COMPUTED_VALUE"""),"Elite")</f>
        <v>Elite</v>
      </c>
      <c r="B312" s="10" t="str">
        <f>IFERROR(__xludf.DUMMYFUNCTION("""COMPUTED_VALUE"""),"RSC005464")</f>
        <v>RSC005464</v>
      </c>
      <c r="C312" s="10" t="str">
        <f>IFERROR(__xludf.DUMMYFUNCTION("""COMPUTED_VALUE"""),"taz.rm")</f>
        <v>taz.rm</v>
      </c>
      <c r="D312" s="36" t="str">
        <f>IFERROR(__xludf.DUMMYFUNCTION("""COMPUTED_VALUE"""),"Desolation")</f>
        <v>Desolation</v>
      </c>
      <c r="E312" s="10" t="str">
        <f>IFERROR(__xludf.DUMMYFUNCTION("""COMPUTED_VALUE"""),"Solar")</f>
        <v>Solar</v>
      </c>
      <c r="F312" s="37">
        <f>IFERROR(__xludf.DUMMYFUNCTION("""COMPUTED_VALUE"""),40.435947008633235)</f>
        <v>40.43594701</v>
      </c>
      <c r="G312" s="38">
        <f>IFERROR(__xludf.DUMMYFUNCTION("""COMPUTED_VALUE"""),38.61328564396977)</f>
        <v>38.61328564</v>
      </c>
      <c r="H312" s="38">
        <f>IFERROR(__xludf.DUMMYFUNCTION("""COMPUTED_VALUE"""),39.5246163263015)</f>
        <v>39.52461633</v>
      </c>
      <c r="I312" s="14">
        <f>IFERROR(__xludf.DUMMYFUNCTION("""COMPUTED_VALUE"""),27.0)</f>
        <v>27</v>
      </c>
      <c r="J312" s="11">
        <f>IFERROR(__xludf.DUMMYFUNCTION("IFERROR(FILTER(Stats!$F:$Z,(Stats!$A:$A=$A312)*(Stats!$B:$B=$B312)))"),15.0)</f>
        <v>15</v>
      </c>
      <c r="K312" s="11">
        <f>IFERROR(__xludf.DUMMYFUNCTION("""COMPUTED_VALUE"""),12.0)</f>
        <v>12</v>
      </c>
      <c r="L312" s="12">
        <f>IFERROR(__xludf.DUMMYFUNCTION("""COMPUTED_VALUE"""),0.5555555555555556)</f>
        <v>0.5555555556</v>
      </c>
      <c r="M312" s="11">
        <f>IFERROR(__xludf.DUMMYFUNCTION("""COMPUTED_VALUE"""),2.0)</f>
        <v>2</v>
      </c>
      <c r="N312" s="11">
        <f>IFERROR(__xludf.DUMMYFUNCTION("""COMPUTED_VALUE"""),8921.0)</f>
        <v>8921</v>
      </c>
      <c r="O312" s="13">
        <f>IFERROR(__xludf.DUMMYFUNCTION("""COMPUTED_VALUE"""),15.0)</f>
        <v>15</v>
      </c>
      <c r="P312" s="14">
        <f>IFERROR(__xludf.DUMMYFUNCTION("""COMPUTED_VALUE"""),16.0)</f>
        <v>16</v>
      </c>
      <c r="Q312" s="13">
        <f>IFERROR(__xludf.DUMMYFUNCTION("""COMPUTED_VALUE"""),38.0)</f>
        <v>38</v>
      </c>
      <c r="R312" s="13">
        <f>IFERROR(__xludf.DUMMYFUNCTION("""COMPUTED_VALUE"""),58.0)</f>
        <v>58</v>
      </c>
      <c r="S312" s="15">
        <f>IFERROR(__xludf.DUMMYFUNCTION("""COMPUTED_VALUE"""),0.25862068965517243)</f>
        <v>0.2586206897</v>
      </c>
      <c r="T312" s="16">
        <f>IFERROR(__xludf.DUMMYFUNCTION("""COMPUTED_VALUE"""),330.4074074074074)</f>
        <v>330.4074074</v>
      </c>
      <c r="U312" s="16">
        <f>IFERROR(__xludf.DUMMYFUNCTION("""COMPUTED_VALUE"""),0.5555555555555556)</f>
        <v>0.5555555556</v>
      </c>
      <c r="V312" s="16">
        <f>IFERROR(__xludf.DUMMYFUNCTION("""COMPUTED_VALUE"""),0.5925925925925926)</f>
        <v>0.5925925926</v>
      </c>
      <c r="W312" s="16">
        <f>IFERROR(__xludf.DUMMYFUNCTION("""COMPUTED_VALUE"""),1.4074074074074074)</f>
        <v>1.407407407</v>
      </c>
      <c r="X312" s="16">
        <f>IFERROR(__xludf.DUMMYFUNCTION("""COMPUTED_VALUE"""),2.1481481481481484)</f>
        <v>2.148148148</v>
      </c>
      <c r="Y312" s="11">
        <f>IFERROR(__xludf.DUMMYFUNCTION("""COMPUTED_VALUE"""),7.0)</f>
        <v>7</v>
      </c>
      <c r="Z312" s="11">
        <f>IFERROR(__xludf.DUMMYFUNCTION("""COMPUTED_VALUE"""),0.0)</f>
        <v>0</v>
      </c>
      <c r="AA312" s="11">
        <f>IFERROR(__xludf.DUMMYFUNCTION("""COMPUTED_VALUE"""),0.0)</f>
        <v>0</v>
      </c>
      <c r="AB312" s="11">
        <f>IFERROR(__xludf.DUMMYFUNCTION("""COMPUTED_VALUE"""),5.0)</f>
        <v>5</v>
      </c>
      <c r="AC312" s="11">
        <f>IFERROR(__xludf.DUMMYFUNCTION("""COMPUTED_VALUE"""),24.0)</f>
        <v>24</v>
      </c>
      <c r="AD312" s="11">
        <f>IFERROR(__xludf.DUMMYFUNCTION("""COMPUTED_VALUE"""),36.0)</f>
        <v>36</v>
      </c>
    </row>
    <row r="313">
      <c r="A313" s="10" t="str">
        <f>IFERROR(__xludf.DUMMYFUNCTION("""COMPUTED_VALUE"""),"Elite")</f>
        <v>Elite</v>
      </c>
      <c r="B313" s="10" t="str">
        <f>IFERROR(__xludf.DUMMYFUNCTION("""COMPUTED_VALUE"""),"RSC005754")</f>
        <v>RSC005754</v>
      </c>
      <c r="C313" s="10" t="str">
        <f>IFERROR(__xludf.DUMMYFUNCTION("""COMPUTED_VALUE"""),"Monty.")</f>
        <v>Monty.</v>
      </c>
      <c r="D313" s="36" t="str">
        <f>IFERROR(__xludf.DUMMYFUNCTION("""COMPUTED_VALUE"""),"Ghastly Goombahs")</f>
        <v>Ghastly Goombahs</v>
      </c>
      <c r="E313" s="10" t="str">
        <f>IFERROR(__xludf.DUMMYFUNCTION("""COMPUTED_VALUE"""),"Lunar")</f>
        <v>Lunar</v>
      </c>
      <c r="F313" s="37">
        <f>IFERROR(__xludf.DUMMYFUNCTION("""COMPUTED_VALUE"""),37.63961765436994)</f>
        <v>37.63961765</v>
      </c>
      <c r="G313" s="38">
        <f>IFERROR(__xludf.DUMMYFUNCTION("""COMPUTED_VALUE"""),41.34721481530608)</f>
        <v>41.34721482</v>
      </c>
      <c r="H313" s="38">
        <f>IFERROR(__xludf.DUMMYFUNCTION("""COMPUTED_VALUE"""),39.49341623483801)</f>
        <v>39.49341623</v>
      </c>
      <c r="I313" s="14">
        <f>IFERROR(__xludf.DUMMYFUNCTION("""COMPUTED_VALUE"""),11.0)</f>
        <v>11</v>
      </c>
      <c r="J313" s="11">
        <f>IFERROR(__xludf.DUMMYFUNCTION("IFERROR(FILTER(Stats!$F:$Z,(Stats!$A:$A=$A313)*(Stats!$B:$B=$B313)))"),5.0)</f>
        <v>5</v>
      </c>
      <c r="K313" s="11">
        <f>IFERROR(__xludf.DUMMYFUNCTION("""COMPUTED_VALUE"""),6.0)</f>
        <v>6</v>
      </c>
      <c r="L313" s="12">
        <f>IFERROR(__xludf.DUMMYFUNCTION("""COMPUTED_VALUE"""),0.45454545454545453)</f>
        <v>0.4545454545</v>
      </c>
      <c r="M313" s="11">
        <f>IFERROR(__xludf.DUMMYFUNCTION("""COMPUTED_VALUE"""),0.0)</f>
        <v>0</v>
      </c>
      <c r="N313" s="11">
        <f>IFERROR(__xludf.DUMMYFUNCTION("""COMPUTED_VALUE"""),3544.0)</f>
        <v>3544</v>
      </c>
      <c r="O313" s="13">
        <f>IFERROR(__xludf.DUMMYFUNCTION("""COMPUTED_VALUE"""),4.0)</f>
        <v>4</v>
      </c>
      <c r="P313" s="14">
        <f>IFERROR(__xludf.DUMMYFUNCTION("""COMPUTED_VALUE"""),9.0)</f>
        <v>9</v>
      </c>
      <c r="Q313" s="13">
        <f>IFERROR(__xludf.DUMMYFUNCTION("""COMPUTED_VALUE"""),16.0)</f>
        <v>16</v>
      </c>
      <c r="R313" s="13">
        <f>IFERROR(__xludf.DUMMYFUNCTION("""COMPUTED_VALUE"""),28.0)</f>
        <v>28</v>
      </c>
      <c r="S313" s="15">
        <f>IFERROR(__xludf.DUMMYFUNCTION("""COMPUTED_VALUE"""),0.14285714285714285)</f>
        <v>0.1428571429</v>
      </c>
      <c r="T313" s="16">
        <f>IFERROR(__xludf.DUMMYFUNCTION("""COMPUTED_VALUE"""),322.1818181818182)</f>
        <v>322.1818182</v>
      </c>
      <c r="U313" s="16">
        <f>IFERROR(__xludf.DUMMYFUNCTION("""COMPUTED_VALUE"""),0.36363636363636365)</f>
        <v>0.3636363636</v>
      </c>
      <c r="V313" s="16">
        <f>IFERROR(__xludf.DUMMYFUNCTION("""COMPUTED_VALUE"""),0.8181818181818182)</f>
        <v>0.8181818182</v>
      </c>
      <c r="W313" s="16">
        <f>IFERROR(__xludf.DUMMYFUNCTION("""COMPUTED_VALUE"""),1.4545454545454546)</f>
        <v>1.454545455</v>
      </c>
      <c r="X313" s="16">
        <f>IFERROR(__xludf.DUMMYFUNCTION("""COMPUTED_VALUE"""),2.5454545454545454)</f>
        <v>2.545454545</v>
      </c>
      <c r="Y313" s="11">
        <f>IFERROR(__xludf.DUMMYFUNCTION("""COMPUTED_VALUE"""),1.0)</f>
        <v>1</v>
      </c>
      <c r="Z313" s="11">
        <f>IFERROR(__xludf.DUMMYFUNCTION("""COMPUTED_VALUE"""),0.0)</f>
        <v>0</v>
      </c>
      <c r="AA313" s="11">
        <f>IFERROR(__xludf.DUMMYFUNCTION("""COMPUTED_VALUE"""),1.0)</f>
        <v>1</v>
      </c>
      <c r="AB313" s="11">
        <f>IFERROR(__xludf.DUMMYFUNCTION("""COMPUTED_VALUE"""),2.0)</f>
        <v>2</v>
      </c>
      <c r="AC313" s="11">
        <f>IFERROR(__xludf.DUMMYFUNCTION("""COMPUTED_VALUE"""),21.0)</f>
        <v>21</v>
      </c>
      <c r="AD313" s="11">
        <f>IFERROR(__xludf.DUMMYFUNCTION("""COMPUTED_VALUE"""),7.0)</f>
        <v>7</v>
      </c>
    </row>
    <row r="314">
      <c r="A314" s="10" t="str">
        <f>IFERROR(__xludf.DUMMYFUNCTION("""COMPUTED_VALUE"""),"Elite")</f>
        <v>Elite</v>
      </c>
      <c r="B314" s="10" t="str">
        <f>IFERROR(__xludf.DUMMYFUNCTION("""COMPUTED_VALUE"""),"RSC007288")</f>
        <v>RSC007288</v>
      </c>
      <c r="C314" s="10" t="str">
        <f>IFERROR(__xludf.DUMMYFUNCTION("""COMPUTED_VALUE"""),"vTheTankMan")</f>
        <v>vTheTankMan</v>
      </c>
      <c r="D314" s="36" t="str">
        <f>IFERROR(__xludf.DUMMYFUNCTION("""COMPUTED_VALUE"""),"Krakens
Sloths")</f>
        <v>Krakens
Sloths</v>
      </c>
      <c r="E314" s="10" t="str">
        <f>IFERROR(__xludf.DUMMYFUNCTION("""COMPUTED_VALUE"""),"Lunar
Solar")</f>
        <v>Lunar
Solar</v>
      </c>
      <c r="F314" s="37">
        <f>IFERROR(__xludf.DUMMYFUNCTION("""COMPUTED_VALUE"""),40.171779101695265)</f>
        <v>40.1717791</v>
      </c>
      <c r="G314" s="38">
        <f>IFERROR(__xludf.DUMMYFUNCTION("""COMPUTED_VALUE"""),37.81541230221014)</f>
        <v>37.8154123</v>
      </c>
      <c r="H314" s="38">
        <f>IFERROR(__xludf.DUMMYFUNCTION("""COMPUTED_VALUE"""),38.9935957019527)</f>
        <v>38.9935957</v>
      </c>
      <c r="I314" s="14">
        <f>IFERROR(__xludf.DUMMYFUNCTION("""COMPUTED_VALUE"""),20.0)</f>
        <v>20</v>
      </c>
      <c r="J314" s="11">
        <f>IFERROR(__xludf.DUMMYFUNCTION("IFERROR(FILTER(Stats!$F:$Z,(Stats!$A:$A=$A314)*(Stats!$B:$B=$B314)))"),7.0)</f>
        <v>7</v>
      </c>
      <c r="K314" s="11">
        <f>IFERROR(__xludf.DUMMYFUNCTION("""COMPUTED_VALUE"""),13.0)</f>
        <v>13</v>
      </c>
      <c r="L314" s="12">
        <f>IFERROR(__xludf.DUMMYFUNCTION("""COMPUTED_VALUE"""),0.35)</f>
        <v>0.35</v>
      </c>
      <c r="M314" s="11">
        <f>IFERROR(__xludf.DUMMYFUNCTION("""COMPUTED_VALUE"""),1.0)</f>
        <v>1</v>
      </c>
      <c r="N314" s="11">
        <f>IFERROR(__xludf.DUMMYFUNCTION("""COMPUTED_VALUE"""),6369.0)</f>
        <v>6369</v>
      </c>
      <c r="O314" s="13">
        <f>IFERROR(__xludf.DUMMYFUNCTION("""COMPUTED_VALUE"""),13.0)</f>
        <v>13</v>
      </c>
      <c r="P314" s="14">
        <f>IFERROR(__xludf.DUMMYFUNCTION("""COMPUTED_VALUE"""),11.0)</f>
        <v>11</v>
      </c>
      <c r="Q314" s="13">
        <f>IFERROR(__xludf.DUMMYFUNCTION("""COMPUTED_VALUE"""),23.0)</f>
        <v>23</v>
      </c>
      <c r="R314" s="13">
        <f>IFERROR(__xludf.DUMMYFUNCTION("""COMPUTED_VALUE"""),46.0)</f>
        <v>46</v>
      </c>
      <c r="S314" s="15">
        <f>IFERROR(__xludf.DUMMYFUNCTION("""COMPUTED_VALUE"""),0.2826086956521739)</f>
        <v>0.2826086957</v>
      </c>
      <c r="T314" s="16">
        <f>IFERROR(__xludf.DUMMYFUNCTION("""COMPUTED_VALUE"""),318.45)</f>
        <v>318.45</v>
      </c>
      <c r="U314" s="16">
        <f>IFERROR(__xludf.DUMMYFUNCTION("""COMPUTED_VALUE"""),0.65)</f>
        <v>0.65</v>
      </c>
      <c r="V314" s="16">
        <f>IFERROR(__xludf.DUMMYFUNCTION("""COMPUTED_VALUE"""),0.55)</f>
        <v>0.55</v>
      </c>
      <c r="W314" s="16">
        <f>IFERROR(__xludf.DUMMYFUNCTION("""COMPUTED_VALUE"""),1.15)</f>
        <v>1.15</v>
      </c>
      <c r="X314" s="16">
        <f>IFERROR(__xludf.DUMMYFUNCTION("""COMPUTED_VALUE"""),2.3)</f>
        <v>2.3</v>
      </c>
      <c r="Y314" s="11">
        <f>IFERROR(__xludf.DUMMYFUNCTION("""COMPUTED_VALUE"""),5.0)</f>
        <v>5</v>
      </c>
      <c r="Z314" s="11">
        <f>IFERROR(__xludf.DUMMYFUNCTION("""COMPUTED_VALUE"""),0.0)</f>
        <v>0</v>
      </c>
      <c r="AA314" s="11">
        <f>IFERROR(__xludf.DUMMYFUNCTION("""COMPUTED_VALUE"""),0.0)</f>
        <v>0</v>
      </c>
      <c r="AB314" s="11">
        <f>IFERROR(__xludf.DUMMYFUNCTION("""COMPUTED_VALUE"""),1.0)</f>
        <v>1</v>
      </c>
      <c r="AC314" s="11">
        <f>IFERROR(__xludf.DUMMYFUNCTION("""COMPUTED_VALUE"""),22.0)</f>
        <v>22</v>
      </c>
      <c r="AD314" s="11">
        <f>IFERROR(__xludf.DUMMYFUNCTION("""COMPUTED_VALUE"""),32.0)</f>
        <v>32</v>
      </c>
    </row>
    <row r="315">
      <c r="A315" s="10" t="str">
        <f>IFERROR(__xludf.DUMMYFUNCTION("""COMPUTED_VALUE"""),"Elite")</f>
        <v>Elite</v>
      </c>
      <c r="B315" s="10" t="str">
        <f>IFERROR(__xludf.DUMMYFUNCTION("""COMPUTED_VALUE"""),"RSC008408")</f>
        <v>RSC008408</v>
      </c>
      <c r="C315" s="10" t="str">
        <f>IFERROR(__xludf.DUMMYFUNCTION("""COMPUTED_VALUE"""),"LoonaKami")</f>
        <v>LoonaKami</v>
      </c>
      <c r="D315" s="36" t="str">
        <f>IFERROR(__xludf.DUMMYFUNCTION("""COMPUTED_VALUE"""),"Peerless Scarred")</f>
        <v>Peerless Scarred</v>
      </c>
      <c r="E315" s="10" t="str">
        <f>IFERROR(__xludf.DUMMYFUNCTION("""COMPUTED_VALUE"""),"Solar")</f>
        <v>Solar</v>
      </c>
      <c r="F315" s="37">
        <f>IFERROR(__xludf.DUMMYFUNCTION("""COMPUTED_VALUE"""),38.84603261441252)</f>
        <v>38.84603261</v>
      </c>
      <c r="G315" s="38">
        <f>IFERROR(__xludf.DUMMYFUNCTION("""COMPUTED_VALUE"""),38.7416898176944)</f>
        <v>38.74168982</v>
      </c>
      <c r="H315" s="38">
        <f>IFERROR(__xludf.DUMMYFUNCTION("""COMPUTED_VALUE"""),38.79386121605346)</f>
        <v>38.79386122</v>
      </c>
      <c r="I315" s="14">
        <f>IFERROR(__xludf.DUMMYFUNCTION("""COMPUTED_VALUE"""),23.0)</f>
        <v>23</v>
      </c>
      <c r="J315" s="11">
        <f>IFERROR(__xludf.DUMMYFUNCTION("IFERROR(FILTER(Stats!$F:$Z,(Stats!$A:$A=$A315)*(Stats!$B:$B=$B315)))"),9.0)</f>
        <v>9</v>
      </c>
      <c r="K315" s="11">
        <f>IFERROR(__xludf.DUMMYFUNCTION("""COMPUTED_VALUE"""),14.0)</f>
        <v>14</v>
      </c>
      <c r="L315" s="12">
        <f>IFERROR(__xludf.DUMMYFUNCTION("""COMPUTED_VALUE"""),0.391304347826087)</f>
        <v>0.3913043478</v>
      </c>
      <c r="M315" s="11">
        <f>IFERROR(__xludf.DUMMYFUNCTION("""COMPUTED_VALUE"""),4.0)</f>
        <v>4</v>
      </c>
      <c r="N315" s="11">
        <f>IFERROR(__xludf.DUMMYFUNCTION("""COMPUTED_VALUE"""),7742.0)</f>
        <v>7742</v>
      </c>
      <c r="O315" s="13">
        <f>IFERROR(__xludf.DUMMYFUNCTION("""COMPUTED_VALUE"""),15.0)</f>
        <v>15</v>
      </c>
      <c r="P315" s="14">
        <f>IFERROR(__xludf.DUMMYFUNCTION("""COMPUTED_VALUE"""),11.0)</f>
        <v>11</v>
      </c>
      <c r="Q315" s="13">
        <f>IFERROR(__xludf.DUMMYFUNCTION("""COMPUTED_VALUE"""),32.0)</f>
        <v>32</v>
      </c>
      <c r="R315" s="13">
        <f>IFERROR(__xludf.DUMMYFUNCTION("""COMPUTED_VALUE"""),44.0)</f>
        <v>44</v>
      </c>
      <c r="S315" s="15">
        <f>IFERROR(__xludf.DUMMYFUNCTION("""COMPUTED_VALUE"""),0.3409090909090909)</f>
        <v>0.3409090909</v>
      </c>
      <c r="T315" s="16">
        <f>IFERROR(__xludf.DUMMYFUNCTION("""COMPUTED_VALUE"""),336.60869565217394)</f>
        <v>336.6086957</v>
      </c>
      <c r="U315" s="16">
        <f>IFERROR(__xludf.DUMMYFUNCTION("""COMPUTED_VALUE"""),0.6521739130434783)</f>
        <v>0.652173913</v>
      </c>
      <c r="V315" s="16">
        <f>IFERROR(__xludf.DUMMYFUNCTION("""COMPUTED_VALUE"""),0.4782608695652174)</f>
        <v>0.4782608696</v>
      </c>
      <c r="W315" s="16">
        <f>IFERROR(__xludf.DUMMYFUNCTION("""COMPUTED_VALUE"""),1.391304347826087)</f>
        <v>1.391304348</v>
      </c>
      <c r="X315" s="16">
        <f>IFERROR(__xludf.DUMMYFUNCTION("""COMPUTED_VALUE"""),1.9130434782608696)</f>
        <v>1.913043478</v>
      </c>
      <c r="Y315" s="11">
        <f>IFERROR(__xludf.DUMMYFUNCTION("""COMPUTED_VALUE"""),4.0)</f>
        <v>4</v>
      </c>
      <c r="Z315" s="11">
        <f>IFERROR(__xludf.DUMMYFUNCTION("""COMPUTED_VALUE"""),0.0)</f>
        <v>0</v>
      </c>
      <c r="AA315" s="11">
        <f>IFERROR(__xludf.DUMMYFUNCTION("""COMPUTED_VALUE"""),0.0)</f>
        <v>0</v>
      </c>
      <c r="AB315" s="11">
        <f>IFERROR(__xludf.DUMMYFUNCTION("""COMPUTED_VALUE"""),3.0)</f>
        <v>3</v>
      </c>
      <c r="AC315" s="11">
        <f>IFERROR(__xludf.DUMMYFUNCTION("""COMPUTED_VALUE"""),42.0)</f>
        <v>42</v>
      </c>
      <c r="AD315" s="11">
        <f>IFERROR(__xludf.DUMMYFUNCTION("""COMPUTED_VALUE"""),27.0)</f>
        <v>27</v>
      </c>
    </row>
    <row r="316">
      <c r="A316" s="10" t="str">
        <f>IFERROR(__xludf.DUMMYFUNCTION("""COMPUTED_VALUE"""),"Elite")</f>
        <v>Elite</v>
      </c>
      <c r="B316" s="10" t="str">
        <f>IFERROR(__xludf.DUMMYFUNCTION("""COMPUTED_VALUE"""),"RSC008531")</f>
        <v>RSC008531</v>
      </c>
      <c r="C316" s="10" t="str">
        <f>IFERROR(__xludf.DUMMYFUNCTION("""COMPUTED_VALUE"""),"drkmist")</f>
        <v>drkmist</v>
      </c>
      <c r="D316" s="36" t="str">
        <f>IFERROR(__xludf.DUMMYFUNCTION("""COMPUTED_VALUE"""),"Sloths")</f>
        <v>Sloths</v>
      </c>
      <c r="E316" s="10" t="str">
        <f>IFERROR(__xludf.DUMMYFUNCTION("""COMPUTED_VALUE"""),"Solar")</f>
        <v>Solar</v>
      </c>
      <c r="F316" s="37">
        <f>IFERROR(__xludf.DUMMYFUNCTION("""COMPUTED_VALUE"""),25.74850375418848)</f>
        <v>25.74850375</v>
      </c>
      <c r="G316" s="38">
        <f>IFERROR(__xludf.DUMMYFUNCTION("""COMPUTED_VALUE"""),51.446568721329)</f>
        <v>51.44656872</v>
      </c>
      <c r="H316" s="38">
        <f>IFERROR(__xludf.DUMMYFUNCTION("""COMPUTED_VALUE"""),38.59753623775874)</f>
        <v>38.59753624</v>
      </c>
      <c r="I316" s="14">
        <f>IFERROR(__xludf.DUMMYFUNCTION("""COMPUTED_VALUE"""),3.0)</f>
        <v>3</v>
      </c>
      <c r="J316" s="11">
        <f>IFERROR(__xludf.DUMMYFUNCTION("IFERROR(FILTER(Stats!$F:$Z,(Stats!$A:$A=$A316)*(Stats!$B:$B=$B316)))"),2.0)</f>
        <v>2</v>
      </c>
      <c r="K316" s="11">
        <f>IFERROR(__xludf.DUMMYFUNCTION("""COMPUTED_VALUE"""),1.0)</f>
        <v>1</v>
      </c>
      <c r="L316" s="12">
        <f>IFERROR(__xludf.DUMMYFUNCTION("""COMPUTED_VALUE"""),0.6666666666666666)</f>
        <v>0.6666666667</v>
      </c>
      <c r="M316" s="11">
        <f>IFERROR(__xludf.DUMMYFUNCTION("""COMPUTED_VALUE"""),1.0)</f>
        <v>1</v>
      </c>
      <c r="N316" s="11">
        <f>IFERROR(__xludf.DUMMYFUNCTION("""COMPUTED_VALUE"""),1343.0)</f>
        <v>1343</v>
      </c>
      <c r="O316" s="13">
        <f>IFERROR(__xludf.DUMMYFUNCTION("""COMPUTED_VALUE"""),2.0)</f>
        <v>2</v>
      </c>
      <c r="P316" s="14">
        <f>IFERROR(__xludf.DUMMYFUNCTION("""COMPUTED_VALUE"""),3.0)</f>
        <v>3</v>
      </c>
      <c r="Q316" s="13">
        <f>IFERROR(__xludf.DUMMYFUNCTION("""COMPUTED_VALUE"""),7.0)</f>
        <v>7</v>
      </c>
      <c r="R316" s="13">
        <f>IFERROR(__xludf.DUMMYFUNCTION("""COMPUTED_VALUE"""),6.0)</f>
        <v>6</v>
      </c>
      <c r="S316" s="15">
        <f>IFERROR(__xludf.DUMMYFUNCTION("""COMPUTED_VALUE"""),0.3333333333333333)</f>
        <v>0.3333333333</v>
      </c>
      <c r="T316" s="16">
        <f>IFERROR(__xludf.DUMMYFUNCTION("""COMPUTED_VALUE"""),447.6666666666667)</f>
        <v>447.6666667</v>
      </c>
      <c r="U316" s="16">
        <f>IFERROR(__xludf.DUMMYFUNCTION("""COMPUTED_VALUE"""),0.6666666666666666)</f>
        <v>0.6666666667</v>
      </c>
      <c r="V316" s="16">
        <f>IFERROR(__xludf.DUMMYFUNCTION("""COMPUTED_VALUE"""),1.0)</f>
        <v>1</v>
      </c>
      <c r="W316" s="16">
        <f>IFERROR(__xludf.DUMMYFUNCTION("""COMPUTED_VALUE"""),2.3333333333333335)</f>
        <v>2.333333333</v>
      </c>
      <c r="X316" s="16">
        <f>IFERROR(__xludf.DUMMYFUNCTION("""COMPUTED_VALUE"""),2.0)</f>
        <v>2</v>
      </c>
      <c r="Y316" s="11">
        <f>IFERROR(__xludf.DUMMYFUNCTION("""COMPUTED_VALUE"""),1.0)</f>
        <v>1</v>
      </c>
      <c r="Z316" s="11">
        <f>IFERROR(__xludf.DUMMYFUNCTION("""COMPUTED_VALUE"""),0.0)</f>
        <v>0</v>
      </c>
      <c r="AA316" s="11">
        <f>IFERROR(__xludf.DUMMYFUNCTION("""COMPUTED_VALUE"""),0.0)</f>
        <v>0</v>
      </c>
      <c r="AB316" s="11">
        <f>IFERROR(__xludf.DUMMYFUNCTION("""COMPUTED_VALUE"""),1.0)</f>
        <v>1</v>
      </c>
      <c r="AC316" s="11">
        <f>IFERROR(__xludf.DUMMYFUNCTION("""COMPUTED_VALUE"""),1.0)</f>
        <v>1</v>
      </c>
      <c r="AD316" s="11">
        <f>IFERROR(__xludf.DUMMYFUNCTION("""COMPUTED_VALUE"""),5.0)</f>
        <v>5</v>
      </c>
    </row>
    <row r="317">
      <c r="A317" s="10" t="str">
        <f>IFERROR(__xludf.DUMMYFUNCTION("""COMPUTED_VALUE"""),"Elite")</f>
        <v>Elite</v>
      </c>
      <c r="B317" s="10" t="str">
        <f>IFERROR(__xludf.DUMMYFUNCTION("""COMPUTED_VALUE"""),"RSC007936")</f>
        <v>RSC007936</v>
      </c>
      <c r="C317" s="10" t="str">
        <f>IFERROR(__xludf.DUMMYFUNCTION("""COMPUTED_VALUE"""),"Crazics")</f>
        <v>Crazics</v>
      </c>
      <c r="D317" s="36" t="str">
        <f>IFERROR(__xludf.DUMMYFUNCTION("""COMPUTED_VALUE"""),"Cotija Cartel")</f>
        <v>Cotija Cartel</v>
      </c>
      <c r="E317" s="10" t="str">
        <f>IFERROR(__xludf.DUMMYFUNCTION("""COMPUTED_VALUE"""),"Lunar")</f>
        <v>Lunar</v>
      </c>
      <c r="F317" s="37">
        <f>IFERROR(__xludf.DUMMYFUNCTION("""COMPUTED_VALUE"""),38.66447779651033)</f>
        <v>38.6644778</v>
      </c>
      <c r="G317" s="38">
        <f>IFERROR(__xludf.DUMMYFUNCTION("""COMPUTED_VALUE"""),38.12661154637689)</f>
        <v>38.12661155</v>
      </c>
      <c r="H317" s="38">
        <f>IFERROR(__xludf.DUMMYFUNCTION("""COMPUTED_VALUE"""),38.395544671443616)</f>
        <v>38.39554467</v>
      </c>
      <c r="I317" s="14">
        <f>IFERROR(__xludf.DUMMYFUNCTION("""COMPUTED_VALUE"""),39.0)</f>
        <v>39</v>
      </c>
      <c r="J317" s="11">
        <f>IFERROR(__xludf.DUMMYFUNCTION("IFERROR(FILTER(Stats!$F:$Z,(Stats!$A:$A=$A317)*(Stats!$B:$B=$B317)))"),16.0)</f>
        <v>16</v>
      </c>
      <c r="K317" s="11">
        <f>IFERROR(__xludf.DUMMYFUNCTION("""COMPUTED_VALUE"""),23.0)</f>
        <v>23</v>
      </c>
      <c r="L317" s="12">
        <f>IFERROR(__xludf.DUMMYFUNCTION("""COMPUTED_VALUE"""),0.41025641025641024)</f>
        <v>0.4102564103</v>
      </c>
      <c r="M317" s="11">
        <f>IFERROR(__xludf.DUMMYFUNCTION("""COMPUTED_VALUE"""),3.0)</f>
        <v>3</v>
      </c>
      <c r="N317" s="11">
        <f>IFERROR(__xludf.DUMMYFUNCTION("""COMPUTED_VALUE"""),13137.0)</f>
        <v>13137</v>
      </c>
      <c r="O317" s="13">
        <f>IFERROR(__xludf.DUMMYFUNCTION("""COMPUTED_VALUE"""),24.0)</f>
        <v>24</v>
      </c>
      <c r="P317" s="14">
        <f>IFERROR(__xludf.DUMMYFUNCTION("""COMPUTED_VALUE"""),23.0)</f>
        <v>23</v>
      </c>
      <c r="Q317" s="13">
        <f>IFERROR(__xludf.DUMMYFUNCTION("""COMPUTED_VALUE"""),64.0)</f>
        <v>64</v>
      </c>
      <c r="R317" s="13">
        <f>IFERROR(__xludf.DUMMYFUNCTION("""COMPUTED_VALUE"""),101.0)</f>
        <v>101</v>
      </c>
      <c r="S317" s="15">
        <f>IFERROR(__xludf.DUMMYFUNCTION("""COMPUTED_VALUE"""),0.2376237623762376)</f>
        <v>0.2376237624</v>
      </c>
      <c r="T317" s="16">
        <f>IFERROR(__xludf.DUMMYFUNCTION("""COMPUTED_VALUE"""),336.84615384615387)</f>
        <v>336.8461538</v>
      </c>
      <c r="U317" s="16">
        <f>IFERROR(__xludf.DUMMYFUNCTION("""COMPUTED_VALUE"""),0.6153846153846154)</f>
        <v>0.6153846154</v>
      </c>
      <c r="V317" s="16">
        <f>IFERROR(__xludf.DUMMYFUNCTION("""COMPUTED_VALUE"""),0.5897435897435898)</f>
        <v>0.5897435897</v>
      </c>
      <c r="W317" s="16">
        <f>IFERROR(__xludf.DUMMYFUNCTION("""COMPUTED_VALUE"""),1.641025641025641)</f>
        <v>1.641025641</v>
      </c>
      <c r="X317" s="16">
        <f>IFERROR(__xludf.DUMMYFUNCTION("""COMPUTED_VALUE"""),2.58974358974359)</f>
        <v>2.58974359</v>
      </c>
      <c r="Y317" s="11">
        <f>IFERROR(__xludf.DUMMYFUNCTION("""COMPUTED_VALUE"""),3.0)</f>
        <v>3</v>
      </c>
      <c r="Z317" s="11">
        <f>IFERROR(__xludf.DUMMYFUNCTION("""COMPUTED_VALUE"""),0.0)</f>
        <v>0</v>
      </c>
      <c r="AA317" s="11">
        <f>IFERROR(__xludf.DUMMYFUNCTION("""COMPUTED_VALUE"""),0.0)</f>
        <v>0</v>
      </c>
      <c r="AB317" s="11">
        <f>IFERROR(__xludf.DUMMYFUNCTION("""COMPUTED_VALUE"""),9.0)</f>
        <v>9</v>
      </c>
      <c r="AC317" s="11">
        <f>IFERROR(__xludf.DUMMYFUNCTION("""COMPUTED_VALUE"""),25.0)</f>
        <v>25</v>
      </c>
      <c r="AD317" s="11">
        <f>IFERROR(__xludf.DUMMYFUNCTION("""COMPUTED_VALUE"""),40.0)</f>
        <v>40</v>
      </c>
    </row>
    <row r="318">
      <c r="A318" s="10" t="str">
        <f>IFERROR(__xludf.DUMMYFUNCTION("""COMPUTED_VALUE"""),"Elite")</f>
        <v>Elite</v>
      </c>
      <c r="B318" s="10" t="str">
        <f>IFERROR(__xludf.DUMMYFUNCTION("""COMPUTED_VALUE"""),"RSC003561")</f>
        <v>RSC003561</v>
      </c>
      <c r="C318" s="10" t="str">
        <f>IFERROR(__xludf.DUMMYFUNCTION("""COMPUTED_VALUE"""),"Dooober")</f>
        <v>Dooober</v>
      </c>
      <c r="D318" s="36" t="str">
        <f>IFERROR(__xludf.DUMMYFUNCTION("""COMPUTED_VALUE"""),"Raptors")</f>
        <v>Raptors</v>
      </c>
      <c r="E318" s="10" t="str">
        <f>IFERROR(__xludf.DUMMYFUNCTION("""COMPUTED_VALUE"""),"Lunar")</f>
        <v>Lunar</v>
      </c>
      <c r="F318" s="37">
        <f>IFERROR(__xludf.DUMMYFUNCTION("""COMPUTED_VALUE"""),40.90593548103233)</f>
        <v>40.90593548</v>
      </c>
      <c r="G318" s="38">
        <f>IFERROR(__xludf.DUMMYFUNCTION("""COMPUTED_VALUE"""),34.384977966846094)</f>
        <v>34.38497797</v>
      </c>
      <c r="H318" s="38">
        <f>IFERROR(__xludf.DUMMYFUNCTION("""COMPUTED_VALUE"""),37.64545672393921)</f>
        <v>37.64545672</v>
      </c>
      <c r="I318" s="14">
        <f>IFERROR(__xludf.DUMMYFUNCTION("""COMPUTED_VALUE"""),33.0)</f>
        <v>33</v>
      </c>
      <c r="J318" s="11">
        <f>IFERROR(__xludf.DUMMYFUNCTION("IFERROR(FILTER(Stats!$F:$Z,(Stats!$A:$A=$A318)*(Stats!$B:$B=$B318)))"),7.0)</f>
        <v>7</v>
      </c>
      <c r="K318" s="11">
        <f>IFERROR(__xludf.DUMMYFUNCTION("""COMPUTED_VALUE"""),26.0)</f>
        <v>26</v>
      </c>
      <c r="L318" s="12">
        <f>IFERROR(__xludf.DUMMYFUNCTION("""COMPUTED_VALUE"""),0.21212121212121213)</f>
        <v>0.2121212121</v>
      </c>
      <c r="M318" s="11">
        <f>IFERROR(__xludf.DUMMYFUNCTION("""COMPUTED_VALUE"""),4.0)</f>
        <v>4</v>
      </c>
      <c r="N318" s="11">
        <f>IFERROR(__xludf.DUMMYFUNCTION("""COMPUTED_VALUE"""),10636.0)</f>
        <v>10636</v>
      </c>
      <c r="O318" s="13">
        <f>IFERROR(__xludf.DUMMYFUNCTION("""COMPUTED_VALUE"""),19.0)</f>
        <v>19</v>
      </c>
      <c r="P318" s="14">
        <f>IFERROR(__xludf.DUMMYFUNCTION("""COMPUTED_VALUE"""),18.0)</f>
        <v>18</v>
      </c>
      <c r="Q318" s="13">
        <f>IFERROR(__xludf.DUMMYFUNCTION("""COMPUTED_VALUE"""),42.0)</f>
        <v>42</v>
      </c>
      <c r="R318" s="13">
        <f>IFERROR(__xludf.DUMMYFUNCTION("""COMPUTED_VALUE"""),79.0)</f>
        <v>79</v>
      </c>
      <c r="S318" s="15">
        <f>IFERROR(__xludf.DUMMYFUNCTION("""COMPUTED_VALUE"""),0.24050632911392406)</f>
        <v>0.2405063291</v>
      </c>
      <c r="T318" s="16">
        <f>IFERROR(__xludf.DUMMYFUNCTION("""COMPUTED_VALUE"""),322.3030303030303)</f>
        <v>322.3030303</v>
      </c>
      <c r="U318" s="16">
        <f>IFERROR(__xludf.DUMMYFUNCTION("""COMPUTED_VALUE"""),0.5757575757575758)</f>
        <v>0.5757575758</v>
      </c>
      <c r="V318" s="16">
        <f>IFERROR(__xludf.DUMMYFUNCTION("""COMPUTED_VALUE"""),0.5454545454545454)</f>
        <v>0.5454545455</v>
      </c>
      <c r="W318" s="16">
        <f>IFERROR(__xludf.DUMMYFUNCTION("""COMPUTED_VALUE"""),1.2727272727272727)</f>
        <v>1.272727273</v>
      </c>
      <c r="X318" s="16">
        <f>IFERROR(__xludf.DUMMYFUNCTION("""COMPUTED_VALUE"""),2.393939393939394)</f>
        <v>2.393939394</v>
      </c>
      <c r="Y318" s="11">
        <f>IFERROR(__xludf.DUMMYFUNCTION("""COMPUTED_VALUE"""),2.0)</f>
        <v>2</v>
      </c>
      <c r="Z318" s="11">
        <f>IFERROR(__xludf.DUMMYFUNCTION("""COMPUTED_VALUE"""),1.0)</f>
        <v>1</v>
      </c>
      <c r="AA318" s="11">
        <f>IFERROR(__xludf.DUMMYFUNCTION("""COMPUTED_VALUE"""),1.0)</f>
        <v>1</v>
      </c>
      <c r="AB318" s="11">
        <f>IFERROR(__xludf.DUMMYFUNCTION("""COMPUTED_VALUE"""),4.0)</f>
        <v>4</v>
      </c>
      <c r="AC318" s="11">
        <f>IFERROR(__xludf.DUMMYFUNCTION("""COMPUTED_VALUE"""),41.0)</f>
        <v>41</v>
      </c>
      <c r="AD318" s="11">
        <f>IFERROR(__xludf.DUMMYFUNCTION("""COMPUTED_VALUE"""),43.0)</f>
        <v>43</v>
      </c>
    </row>
    <row r="319">
      <c r="A319" s="10" t="str">
        <f>IFERROR(__xludf.DUMMYFUNCTION("""COMPUTED_VALUE"""),"Elite")</f>
        <v>Elite</v>
      </c>
      <c r="B319" s="10" t="str">
        <f>IFERROR(__xludf.DUMMYFUNCTION("""COMPUTED_VALUE"""),"RSC001098")</f>
        <v>RSC001098</v>
      </c>
      <c r="C319" s="10" t="str">
        <f>IFERROR(__xludf.DUMMYFUNCTION("""COMPUTED_VALUE"""),"Wafe")</f>
        <v>Wafe</v>
      </c>
      <c r="D319" s="36" t="str">
        <f>IFERROR(__xludf.DUMMYFUNCTION("""COMPUTED_VALUE"""),"Thrashers
Hellhounds")</f>
        <v>Thrashers
Hellhounds</v>
      </c>
      <c r="E319" s="10" t="str">
        <f>IFERROR(__xludf.DUMMYFUNCTION("""COMPUTED_VALUE"""),"Lunar
Solar")</f>
        <v>Lunar
Solar</v>
      </c>
      <c r="F319" s="37">
        <f>IFERROR(__xludf.DUMMYFUNCTION("""COMPUTED_VALUE"""),37.53308091753335)</f>
        <v>37.53308092</v>
      </c>
      <c r="G319" s="38">
        <f>IFERROR(__xludf.DUMMYFUNCTION("""COMPUTED_VALUE"""),34.486714702601425)</f>
        <v>34.4867147</v>
      </c>
      <c r="H319" s="38">
        <f>IFERROR(__xludf.DUMMYFUNCTION("""COMPUTED_VALUE"""),36.009897810067386)</f>
        <v>36.00989781</v>
      </c>
      <c r="I319" s="14">
        <f>IFERROR(__xludf.DUMMYFUNCTION("""COMPUTED_VALUE"""),34.0)</f>
        <v>34</v>
      </c>
      <c r="J319" s="11">
        <f>IFERROR(__xludf.DUMMYFUNCTION("IFERROR(FILTER(Stats!$F:$Z,(Stats!$A:$A=$A319)*(Stats!$B:$B=$B319)))"),13.0)</f>
        <v>13</v>
      </c>
      <c r="K319" s="11">
        <f>IFERROR(__xludf.DUMMYFUNCTION("""COMPUTED_VALUE"""),21.0)</f>
        <v>21</v>
      </c>
      <c r="L319" s="12">
        <f>IFERROR(__xludf.DUMMYFUNCTION("""COMPUTED_VALUE"""),0.38235294117647056)</f>
        <v>0.3823529412</v>
      </c>
      <c r="M319" s="11">
        <f>IFERROR(__xludf.DUMMYFUNCTION("""COMPUTED_VALUE"""),4.0)</f>
        <v>4</v>
      </c>
      <c r="N319" s="11">
        <f>IFERROR(__xludf.DUMMYFUNCTION("""COMPUTED_VALUE"""),10717.0)</f>
        <v>10717</v>
      </c>
      <c r="O319" s="13">
        <f>IFERROR(__xludf.DUMMYFUNCTION("""COMPUTED_VALUE"""),21.0)</f>
        <v>21</v>
      </c>
      <c r="P319" s="14">
        <f>IFERROR(__xludf.DUMMYFUNCTION("""COMPUTED_VALUE"""),15.0)</f>
        <v>15</v>
      </c>
      <c r="Q319" s="13">
        <f>IFERROR(__xludf.DUMMYFUNCTION("""COMPUTED_VALUE"""),38.0)</f>
        <v>38</v>
      </c>
      <c r="R319" s="13">
        <f>IFERROR(__xludf.DUMMYFUNCTION("""COMPUTED_VALUE"""),83.0)</f>
        <v>83</v>
      </c>
      <c r="S319" s="15">
        <f>IFERROR(__xludf.DUMMYFUNCTION("""COMPUTED_VALUE"""),0.25301204819277107)</f>
        <v>0.2530120482</v>
      </c>
      <c r="T319" s="16">
        <f>IFERROR(__xludf.DUMMYFUNCTION("""COMPUTED_VALUE"""),315.20588235294116)</f>
        <v>315.2058824</v>
      </c>
      <c r="U319" s="16">
        <f>IFERROR(__xludf.DUMMYFUNCTION("""COMPUTED_VALUE"""),0.6176470588235294)</f>
        <v>0.6176470588</v>
      </c>
      <c r="V319" s="16">
        <f>IFERROR(__xludf.DUMMYFUNCTION("""COMPUTED_VALUE"""),0.4411764705882353)</f>
        <v>0.4411764706</v>
      </c>
      <c r="W319" s="16">
        <f>IFERROR(__xludf.DUMMYFUNCTION("""COMPUTED_VALUE"""),1.1176470588235294)</f>
        <v>1.117647059</v>
      </c>
      <c r="X319" s="16">
        <f>IFERROR(__xludf.DUMMYFUNCTION("""COMPUTED_VALUE"""),2.4411764705882355)</f>
        <v>2.441176471</v>
      </c>
      <c r="Y319" s="11">
        <f>IFERROR(__xludf.DUMMYFUNCTION("""COMPUTED_VALUE"""),4.0)</f>
        <v>4</v>
      </c>
      <c r="Z319" s="11">
        <f>IFERROR(__xludf.DUMMYFUNCTION("""COMPUTED_VALUE"""),0.0)</f>
        <v>0</v>
      </c>
      <c r="AA319" s="11">
        <f>IFERROR(__xludf.DUMMYFUNCTION("""COMPUTED_VALUE"""),0.0)</f>
        <v>0</v>
      </c>
      <c r="AB319" s="11">
        <f>IFERROR(__xludf.DUMMYFUNCTION("""COMPUTED_VALUE"""),5.0)</f>
        <v>5</v>
      </c>
      <c r="AC319" s="11">
        <f>IFERROR(__xludf.DUMMYFUNCTION("""COMPUTED_VALUE"""),47.0)</f>
        <v>47</v>
      </c>
      <c r="AD319" s="11">
        <f>IFERROR(__xludf.DUMMYFUNCTION("""COMPUTED_VALUE"""),31.0)</f>
        <v>31</v>
      </c>
    </row>
    <row r="320">
      <c r="A320" s="10" t="str">
        <f>IFERROR(__xludf.DUMMYFUNCTION("""COMPUTED_VALUE"""),"Elite")</f>
        <v>Elite</v>
      </c>
      <c r="B320" s="10" t="str">
        <f>IFERROR(__xludf.DUMMYFUNCTION("""COMPUTED_VALUE"""),"RSC006484")</f>
        <v>RSC006484</v>
      </c>
      <c r="C320" s="10" t="str">
        <f>IFERROR(__xludf.DUMMYFUNCTION("""COMPUTED_VALUE"""),"AhmedSa-")</f>
        <v>AhmedSa-</v>
      </c>
      <c r="D320" s="36" t="str">
        <f>IFERROR(__xludf.DUMMYFUNCTION("""COMPUTED_VALUE"""),"Immortals")</f>
        <v>Immortals</v>
      </c>
      <c r="E320" s="10" t="str">
        <f>IFERROR(__xludf.DUMMYFUNCTION("""COMPUTED_VALUE"""),"Lunar")</f>
        <v>Lunar</v>
      </c>
      <c r="F320" s="37">
        <f>IFERROR(__xludf.DUMMYFUNCTION("""COMPUTED_VALUE"""),31.43003791237695)</f>
        <v>31.43003791</v>
      </c>
      <c r="G320" s="38">
        <f>IFERROR(__xludf.DUMMYFUNCTION("""COMPUTED_VALUE"""),39.864924671120995)</f>
        <v>39.86492467</v>
      </c>
      <c r="H320" s="38">
        <f>IFERROR(__xludf.DUMMYFUNCTION("""COMPUTED_VALUE"""),35.647481291748974)</f>
        <v>35.64748129</v>
      </c>
      <c r="I320" s="14">
        <f>IFERROR(__xludf.DUMMYFUNCTION("""COMPUTED_VALUE"""),48.0)</f>
        <v>48</v>
      </c>
      <c r="J320" s="11">
        <f>IFERROR(__xludf.DUMMYFUNCTION("IFERROR(FILTER(Stats!$F:$Z,(Stats!$A:$A=$A320)*(Stats!$B:$B=$B320)))"),18.0)</f>
        <v>18</v>
      </c>
      <c r="K320" s="11">
        <f>IFERROR(__xludf.DUMMYFUNCTION("""COMPUTED_VALUE"""),30.0)</f>
        <v>30</v>
      </c>
      <c r="L320" s="12">
        <f>IFERROR(__xludf.DUMMYFUNCTION("""COMPUTED_VALUE"""),0.375)</f>
        <v>0.375</v>
      </c>
      <c r="M320" s="11">
        <f>IFERROR(__xludf.DUMMYFUNCTION("""COMPUTED_VALUE"""),5.0)</f>
        <v>5</v>
      </c>
      <c r="N320" s="11">
        <f>IFERROR(__xludf.DUMMYFUNCTION("""COMPUTED_VALUE"""),15459.0)</f>
        <v>15459</v>
      </c>
      <c r="O320" s="13">
        <f>IFERROR(__xludf.DUMMYFUNCTION("""COMPUTED_VALUE"""),28.0)</f>
        <v>28</v>
      </c>
      <c r="P320" s="14">
        <f>IFERROR(__xludf.DUMMYFUNCTION("""COMPUTED_VALUE"""),28.0)</f>
        <v>28</v>
      </c>
      <c r="Q320" s="13">
        <f>IFERROR(__xludf.DUMMYFUNCTION("""COMPUTED_VALUE"""),62.0)</f>
        <v>62</v>
      </c>
      <c r="R320" s="13">
        <f>IFERROR(__xludf.DUMMYFUNCTION("""COMPUTED_VALUE"""),128.0)</f>
        <v>128</v>
      </c>
      <c r="S320" s="15">
        <f>IFERROR(__xludf.DUMMYFUNCTION("""COMPUTED_VALUE"""),0.21875)</f>
        <v>0.21875</v>
      </c>
      <c r="T320" s="16">
        <f>IFERROR(__xludf.DUMMYFUNCTION("""COMPUTED_VALUE"""),322.0625)</f>
        <v>322.0625</v>
      </c>
      <c r="U320" s="16">
        <f>IFERROR(__xludf.DUMMYFUNCTION("""COMPUTED_VALUE"""),0.5833333333333334)</f>
        <v>0.5833333333</v>
      </c>
      <c r="V320" s="16">
        <f>IFERROR(__xludf.DUMMYFUNCTION("""COMPUTED_VALUE"""),0.5833333333333334)</f>
        <v>0.5833333333</v>
      </c>
      <c r="W320" s="16">
        <f>IFERROR(__xludf.DUMMYFUNCTION("""COMPUTED_VALUE"""),1.2916666666666667)</f>
        <v>1.291666667</v>
      </c>
      <c r="X320" s="16">
        <f>IFERROR(__xludf.DUMMYFUNCTION("""COMPUTED_VALUE"""),2.6666666666666665)</f>
        <v>2.666666667</v>
      </c>
      <c r="Y320" s="11">
        <f>IFERROR(__xludf.DUMMYFUNCTION("""COMPUTED_VALUE"""),6.0)</f>
        <v>6</v>
      </c>
      <c r="Z320" s="11">
        <f>IFERROR(__xludf.DUMMYFUNCTION("""COMPUTED_VALUE"""),0.0)</f>
        <v>0</v>
      </c>
      <c r="AA320" s="11">
        <f>IFERROR(__xludf.DUMMYFUNCTION("""COMPUTED_VALUE"""),3.0)</f>
        <v>3</v>
      </c>
      <c r="AB320" s="11">
        <f>IFERROR(__xludf.DUMMYFUNCTION("""COMPUTED_VALUE"""),7.0)</f>
        <v>7</v>
      </c>
      <c r="AC320" s="11">
        <f>IFERROR(__xludf.DUMMYFUNCTION("""COMPUTED_VALUE"""),94.0)</f>
        <v>94</v>
      </c>
      <c r="AD320" s="11">
        <f>IFERROR(__xludf.DUMMYFUNCTION("""COMPUTED_VALUE"""),56.0)</f>
        <v>56</v>
      </c>
    </row>
    <row r="321">
      <c r="A321" s="10" t="str">
        <f>IFERROR(__xludf.DUMMYFUNCTION("""COMPUTED_VALUE"""),"Elite")</f>
        <v>Elite</v>
      </c>
      <c r="B321" s="10" t="str">
        <f>IFERROR(__xludf.DUMMYFUNCTION("""COMPUTED_VALUE"""),"RSC003272")</f>
        <v>RSC003272</v>
      </c>
      <c r="C321" s="10" t="str">
        <f>IFERROR(__xludf.DUMMYFUNCTION("""COMPUTED_VALUE"""),"jknop2")</f>
        <v>jknop2</v>
      </c>
      <c r="D321" s="36" t="str">
        <f>IFERROR(__xludf.DUMMYFUNCTION("""COMPUTED_VALUE"""),"Desolation")</f>
        <v>Desolation</v>
      </c>
      <c r="E321" s="10" t="str">
        <f>IFERROR(__xludf.DUMMYFUNCTION("""COMPUTED_VALUE"""),"Solar")</f>
        <v>Solar</v>
      </c>
      <c r="F321" s="37">
        <f>IFERROR(__xludf.DUMMYFUNCTION("""COMPUTED_VALUE"""),38.67377015152361)</f>
        <v>38.67377015</v>
      </c>
      <c r="G321" s="38">
        <f>IFERROR(__xludf.DUMMYFUNCTION("""COMPUTED_VALUE"""),32.165819008899796)</f>
        <v>32.16581901</v>
      </c>
      <c r="H321" s="38">
        <f>IFERROR(__xludf.DUMMYFUNCTION("""COMPUTED_VALUE"""),35.4197945802117)</f>
        <v>35.41979458</v>
      </c>
      <c r="I321" s="14">
        <f>IFERROR(__xludf.DUMMYFUNCTION("""COMPUTED_VALUE"""),33.0)</f>
        <v>33</v>
      </c>
      <c r="J321" s="11">
        <f>IFERROR(__xludf.DUMMYFUNCTION("IFERROR(FILTER(Stats!$F:$Z,(Stats!$A:$A=$A321)*(Stats!$B:$B=$B321)))"),15.0)</f>
        <v>15</v>
      </c>
      <c r="K321" s="11">
        <f>IFERROR(__xludf.DUMMYFUNCTION("""COMPUTED_VALUE"""),18.0)</f>
        <v>18</v>
      </c>
      <c r="L321" s="12">
        <f>IFERROR(__xludf.DUMMYFUNCTION("""COMPUTED_VALUE"""),0.45454545454545453)</f>
        <v>0.4545454545</v>
      </c>
      <c r="M321" s="11">
        <f>IFERROR(__xludf.DUMMYFUNCTION("""COMPUTED_VALUE"""),8.0)</f>
        <v>8</v>
      </c>
      <c r="N321" s="11">
        <f>IFERROR(__xludf.DUMMYFUNCTION("""COMPUTED_VALUE"""),12152.0)</f>
        <v>12152</v>
      </c>
      <c r="O321" s="13">
        <f>IFERROR(__xludf.DUMMYFUNCTION("""COMPUTED_VALUE"""),18.0)</f>
        <v>18</v>
      </c>
      <c r="P321" s="14">
        <f>IFERROR(__xludf.DUMMYFUNCTION("""COMPUTED_VALUE"""),14.0)</f>
        <v>14</v>
      </c>
      <c r="Q321" s="13">
        <f>IFERROR(__xludf.DUMMYFUNCTION("""COMPUTED_VALUE"""),66.0)</f>
        <v>66</v>
      </c>
      <c r="R321" s="13">
        <f>IFERROR(__xludf.DUMMYFUNCTION("""COMPUTED_VALUE"""),69.0)</f>
        <v>69</v>
      </c>
      <c r="S321" s="15">
        <f>IFERROR(__xludf.DUMMYFUNCTION("""COMPUTED_VALUE"""),0.2608695652173913)</f>
        <v>0.2608695652</v>
      </c>
      <c r="T321" s="16">
        <f>IFERROR(__xludf.DUMMYFUNCTION("""COMPUTED_VALUE"""),368.24242424242425)</f>
        <v>368.2424242</v>
      </c>
      <c r="U321" s="16">
        <f>IFERROR(__xludf.DUMMYFUNCTION("""COMPUTED_VALUE"""),0.5454545454545454)</f>
        <v>0.5454545455</v>
      </c>
      <c r="V321" s="16">
        <f>IFERROR(__xludf.DUMMYFUNCTION("""COMPUTED_VALUE"""),0.42424242424242425)</f>
        <v>0.4242424242</v>
      </c>
      <c r="W321" s="16">
        <f>IFERROR(__xludf.DUMMYFUNCTION("""COMPUTED_VALUE"""),2.0)</f>
        <v>2</v>
      </c>
      <c r="X321" s="16">
        <f>IFERROR(__xludf.DUMMYFUNCTION("""COMPUTED_VALUE"""),2.090909090909091)</f>
        <v>2.090909091</v>
      </c>
      <c r="Y321" s="11">
        <f>IFERROR(__xludf.DUMMYFUNCTION("""COMPUTED_VALUE"""),4.0)</f>
        <v>4</v>
      </c>
      <c r="Z321" s="11">
        <f>IFERROR(__xludf.DUMMYFUNCTION("""COMPUTED_VALUE"""),0.0)</f>
        <v>0</v>
      </c>
      <c r="AA321" s="11">
        <f>IFERROR(__xludf.DUMMYFUNCTION("""COMPUTED_VALUE"""),1.0)</f>
        <v>1</v>
      </c>
      <c r="AB321" s="11">
        <f>IFERROR(__xludf.DUMMYFUNCTION("""COMPUTED_VALUE"""),11.0)</f>
        <v>11</v>
      </c>
      <c r="AC321" s="11">
        <f>IFERROR(__xludf.DUMMYFUNCTION("""COMPUTED_VALUE"""),39.0)</f>
        <v>39</v>
      </c>
      <c r="AD321" s="11">
        <f>IFERROR(__xludf.DUMMYFUNCTION("""COMPUTED_VALUE"""),39.0)</f>
        <v>39</v>
      </c>
    </row>
    <row r="322">
      <c r="A322" s="10" t="str">
        <f>IFERROR(__xludf.DUMMYFUNCTION("""COMPUTED_VALUE"""),"Elite")</f>
        <v>Elite</v>
      </c>
      <c r="B322" s="10" t="str">
        <f>IFERROR(__xludf.DUMMYFUNCTION("""COMPUTED_VALUE"""),"RSC007187")</f>
        <v>RSC007187</v>
      </c>
      <c r="C322" s="10" t="str">
        <f>IFERROR(__xludf.DUMMYFUNCTION("""COMPUTED_VALUE"""),"Evil Gooby")</f>
        <v>Evil Gooby</v>
      </c>
      <c r="D322" s="36" t="str">
        <f>IFERROR(__xludf.DUMMYFUNCTION("""COMPUTED_VALUE"""),"Swordsman")</f>
        <v>Swordsman</v>
      </c>
      <c r="E322" s="10" t="str">
        <f>IFERROR(__xludf.DUMMYFUNCTION("""COMPUTED_VALUE"""),"Solar")</f>
        <v>Solar</v>
      </c>
      <c r="F322" s="37">
        <f>IFERROR(__xludf.DUMMYFUNCTION("""COMPUTED_VALUE"""),33.271186943403876)</f>
        <v>33.27118694</v>
      </c>
      <c r="G322" s="38">
        <f>IFERROR(__xludf.DUMMYFUNCTION("""COMPUTED_VALUE"""),37.24678342589799)</f>
        <v>37.24678343</v>
      </c>
      <c r="H322" s="38">
        <f>IFERROR(__xludf.DUMMYFUNCTION("""COMPUTED_VALUE"""),35.25898518465093)</f>
        <v>35.25898518</v>
      </c>
      <c r="I322" s="14">
        <f>IFERROR(__xludf.DUMMYFUNCTION("""COMPUTED_VALUE"""),51.0)</f>
        <v>51</v>
      </c>
      <c r="J322" s="11">
        <f>IFERROR(__xludf.DUMMYFUNCTION("IFERROR(FILTER(Stats!$F:$Z,(Stats!$A:$A=$A322)*(Stats!$B:$B=$B322)))"),26.0)</f>
        <v>26</v>
      </c>
      <c r="K322" s="11">
        <f>IFERROR(__xludf.DUMMYFUNCTION("""COMPUTED_VALUE"""),25.0)</f>
        <v>25</v>
      </c>
      <c r="L322" s="12">
        <f>IFERROR(__xludf.DUMMYFUNCTION("""COMPUTED_VALUE"""),0.5098039215686274)</f>
        <v>0.5098039216</v>
      </c>
      <c r="M322" s="11">
        <f>IFERROR(__xludf.DUMMYFUNCTION("""COMPUTED_VALUE"""),7.0)</f>
        <v>7</v>
      </c>
      <c r="N322" s="11">
        <f>IFERROR(__xludf.DUMMYFUNCTION("""COMPUTED_VALUE"""),16484.0)</f>
        <v>16484</v>
      </c>
      <c r="O322" s="13">
        <f>IFERROR(__xludf.DUMMYFUNCTION("""COMPUTED_VALUE"""),28.0)</f>
        <v>28</v>
      </c>
      <c r="P322" s="14">
        <f>IFERROR(__xludf.DUMMYFUNCTION("""COMPUTED_VALUE"""),34.0)</f>
        <v>34</v>
      </c>
      <c r="Q322" s="13">
        <f>IFERROR(__xludf.DUMMYFUNCTION("""COMPUTED_VALUE"""),68.0)</f>
        <v>68</v>
      </c>
      <c r="R322" s="13">
        <f>IFERROR(__xludf.DUMMYFUNCTION("""COMPUTED_VALUE"""),116.0)</f>
        <v>116</v>
      </c>
      <c r="S322" s="15">
        <f>IFERROR(__xludf.DUMMYFUNCTION("""COMPUTED_VALUE"""),0.2413793103448276)</f>
        <v>0.2413793103</v>
      </c>
      <c r="T322" s="16">
        <f>IFERROR(__xludf.DUMMYFUNCTION("""COMPUTED_VALUE"""),323.2156862745098)</f>
        <v>323.2156863</v>
      </c>
      <c r="U322" s="16">
        <f>IFERROR(__xludf.DUMMYFUNCTION("""COMPUTED_VALUE"""),0.5490196078431373)</f>
        <v>0.5490196078</v>
      </c>
      <c r="V322" s="16">
        <f>IFERROR(__xludf.DUMMYFUNCTION("""COMPUTED_VALUE"""),0.6666666666666666)</f>
        <v>0.6666666667</v>
      </c>
      <c r="W322" s="16">
        <f>IFERROR(__xludf.DUMMYFUNCTION("""COMPUTED_VALUE"""),1.3333333333333333)</f>
        <v>1.333333333</v>
      </c>
      <c r="X322" s="16">
        <f>IFERROR(__xludf.DUMMYFUNCTION("""COMPUTED_VALUE"""),2.2745098039215685)</f>
        <v>2.274509804</v>
      </c>
      <c r="Y322" s="11">
        <f>IFERROR(__xludf.DUMMYFUNCTION("""COMPUTED_VALUE"""),9.0)</f>
        <v>9</v>
      </c>
      <c r="Z322" s="11">
        <f>IFERROR(__xludf.DUMMYFUNCTION("""COMPUTED_VALUE"""),1.0)</f>
        <v>1</v>
      </c>
      <c r="AA322" s="11">
        <f>IFERROR(__xludf.DUMMYFUNCTION("""COMPUTED_VALUE"""),1.0)</f>
        <v>1</v>
      </c>
      <c r="AB322" s="11">
        <f>IFERROR(__xludf.DUMMYFUNCTION("""COMPUTED_VALUE"""),7.0)</f>
        <v>7</v>
      </c>
      <c r="AC322" s="11">
        <f>IFERROR(__xludf.DUMMYFUNCTION("""COMPUTED_VALUE"""),86.0)</f>
        <v>86</v>
      </c>
      <c r="AD322" s="11">
        <f>IFERROR(__xludf.DUMMYFUNCTION("""COMPUTED_VALUE"""),62.0)</f>
        <v>62</v>
      </c>
    </row>
    <row r="323">
      <c r="A323" s="10" t="str">
        <f>IFERROR(__xludf.DUMMYFUNCTION("""COMPUTED_VALUE"""),"Elite")</f>
        <v>Elite</v>
      </c>
      <c r="B323" s="10" t="str">
        <f>IFERROR(__xludf.DUMMYFUNCTION("""COMPUTED_VALUE"""),"RSC003055")</f>
        <v>RSC003055</v>
      </c>
      <c r="C323" s="10" t="str">
        <f>IFERROR(__xludf.DUMMYFUNCTION("""COMPUTED_VALUE"""),"Lad")</f>
        <v>Lad</v>
      </c>
      <c r="D323" s="36" t="str">
        <f>IFERROR(__xludf.DUMMYFUNCTION("""COMPUTED_VALUE"""),"Ghastly Goombahs
Immortals")</f>
        <v>Ghastly Goombahs
Immortals</v>
      </c>
      <c r="E323" s="10" t="str">
        <f>IFERROR(__xludf.DUMMYFUNCTION("""COMPUTED_VALUE"""),"Lunar
Lunar")</f>
        <v>Lunar
Lunar</v>
      </c>
      <c r="F323" s="37">
        <f>IFERROR(__xludf.DUMMYFUNCTION("""COMPUTED_VALUE"""),27.526814010956148)</f>
        <v>27.52681401</v>
      </c>
      <c r="G323" s="38">
        <f>IFERROR(__xludf.DUMMYFUNCTION("""COMPUTED_VALUE"""),42.34873865753004)</f>
        <v>42.34873866</v>
      </c>
      <c r="H323" s="38">
        <f>IFERROR(__xludf.DUMMYFUNCTION("""COMPUTED_VALUE"""),34.9377763342431)</f>
        <v>34.93777633</v>
      </c>
      <c r="I323" s="14">
        <f>IFERROR(__xludf.DUMMYFUNCTION("""COMPUTED_VALUE"""),12.0)</f>
        <v>12</v>
      </c>
      <c r="J323" s="11">
        <f>IFERROR(__xludf.DUMMYFUNCTION("IFERROR(FILTER(Stats!$F:$Z,(Stats!$A:$A=$A323)*(Stats!$B:$B=$B323)))"),6.0)</f>
        <v>6</v>
      </c>
      <c r="K323" s="11">
        <f>IFERROR(__xludf.DUMMYFUNCTION("""COMPUTED_VALUE"""),6.0)</f>
        <v>6</v>
      </c>
      <c r="L323" s="12">
        <f>IFERROR(__xludf.DUMMYFUNCTION("""COMPUTED_VALUE"""),0.5)</f>
        <v>0.5</v>
      </c>
      <c r="M323" s="11">
        <f>IFERROR(__xludf.DUMMYFUNCTION("""COMPUTED_VALUE"""),1.0)</f>
        <v>1</v>
      </c>
      <c r="N323" s="11">
        <f>IFERROR(__xludf.DUMMYFUNCTION("""COMPUTED_VALUE"""),3646.0)</f>
        <v>3646</v>
      </c>
      <c r="O323" s="13">
        <f>IFERROR(__xludf.DUMMYFUNCTION("""COMPUTED_VALUE"""),8.0)</f>
        <v>8</v>
      </c>
      <c r="P323" s="14">
        <f>IFERROR(__xludf.DUMMYFUNCTION("""COMPUTED_VALUE"""),6.0)</f>
        <v>6</v>
      </c>
      <c r="Q323" s="13">
        <f>IFERROR(__xludf.DUMMYFUNCTION("""COMPUTED_VALUE"""),13.0)</f>
        <v>13</v>
      </c>
      <c r="R323" s="13">
        <f>IFERROR(__xludf.DUMMYFUNCTION("""COMPUTED_VALUE"""),30.0)</f>
        <v>30</v>
      </c>
      <c r="S323" s="15">
        <f>IFERROR(__xludf.DUMMYFUNCTION("""COMPUTED_VALUE"""),0.26666666666666666)</f>
        <v>0.2666666667</v>
      </c>
      <c r="T323" s="16">
        <f>IFERROR(__xludf.DUMMYFUNCTION("""COMPUTED_VALUE"""),303.8333333333333)</f>
        <v>303.8333333</v>
      </c>
      <c r="U323" s="16">
        <f>IFERROR(__xludf.DUMMYFUNCTION("""COMPUTED_VALUE"""),0.6666666666666666)</f>
        <v>0.6666666667</v>
      </c>
      <c r="V323" s="16">
        <f>IFERROR(__xludf.DUMMYFUNCTION("""COMPUTED_VALUE"""),0.5)</f>
        <v>0.5</v>
      </c>
      <c r="W323" s="16">
        <f>IFERROR(__xludf.DUMMYFUNCTION("""COMPUTED_VALUE"""),1.0833333333333333)</f>
        <v>1.083333333</v>
      </c>
      <c r="X323" s="16">
        <f>IFERROR(__xludf.DUMMYFUNCTION("""COMPUTED_VALUE"""),2.5)</f>
        <v>2.5</v>
      </c>
      <c r="Y323" s="11">
        <f>IFERROR(__xludf.DUMMYFUNCTION("""COMPUTED_VALUE"""),1.0)</f>
        <v>1</v>
      </c>
      <c r="Z323" s="11">
        <f>IFERROR(__xludf.DUMMYFUNCTION("""COMPUTED_VALUE"""),1.0)</f>
        <v>1</v>
      </c>
      <c r="AA323" s="11">
        <f>IFERROR(__xludf.DUMMYFUNCTION("""COMPUTED_VALUE"""),0.0)</f>
        <v>0</v>
      </c>
      <c r="AB323" s="11">
        <f>IFERROR(__xludf.DUMMYFUNCTION("""COMPUTED_VALUE"""),1.0)</f>
        <v>1</v>
      </c>
      <c r="AC323" s="11">
        <f>IFERROR(__xludf.DUMMYFUNCTION("""COMPUTED_VALUE"""),14.0)</f>
        <v>14</v>
      </c>
      <c r="AD323" s="11">
        <f>IFERROR(__xludf.DUMMYFUNCTION("""COMPUTED_VALUE"""),19.0)</f>
        <v>19</v>
      </c>
    </row>
    <row r="324">
      <c r="A324" s="10" t="str">
        <f>IFERROR(__xludf.DUMMYFUNCTION("""COMPUTED_VALUE"""),"Elite")</f>
        <v>Elite</v>
      </c>
      <c r="B324" s="10" t="str">
        <f>IFERROR(__xludf.DUMMYFUNCTION("""COMPUTED_VALUE"""),"RSC006490")</f>
        <v>RSC006490</v>
      </c>
      <c r="C324" s="10" t="str">
        <f>IFERROR(__xludf.DUMMYFUNCTION("""COMPUTED_VALUE"""),"Dayz")</f>
        <v>Dayz</v>
      </c>
      <c r="D324" s="36" t="str">
        <f>IFERROR(__xludf.DUMMYFUNCTION("""COMPUTED_VALUE"""),"Hellhounds")</f>
        <v>Hellhounds</v>
      </c>
      <c r="E324" s="10" t="str">
        <f>IFERROR(__xludf.DUMMYFUNCTION("""COMPUTED_VALUE"""),"Solar")</f>
        <v>Solar</v>
      </c>
      <c r="F324" s="37">
        <f>IFERROR(__xludf.DUMMYFUNCTION("""COMPUTED_VALUE"""),46.01725307690993)</f>
        <v>46.01725308</v>
      </c>
      <c r="G324" s="38">
        <f>IFERROR(__xludf.DUMMYFUNCTION("""COMPUTED_VALUE"""),23.465017505671256)</f>
        <v>23.46501751</v>
      </c>
      <c r="H324" s="38">
        <f>IFERROR(__xludf.DUMMYFUNCTION("""COMPUTED_VALUE"""),34.74113529129059)</f>
        <v>34.74113529</v>
      </c>
      <c r="I324" s="14">
        <f>IFERROR(__xludf.DUMMYFUNCTION("""COMPUTED_VALUE"""),4.0)</f>
        <v>4</v>
      </c>
      <c r="J324" s="11">
        <f>IFERROR(__xludf.DUMMYFUNCTION("IFERROR(FILTER(Stats!$F:$Z,(Stats!$A:$A=$A324)*(Stats!$B:$B=$B324)))"),2.0)</f>
        <v>2</v>
      </c>
      <c r="K324" s="11">
        <f>IFERROR(__xludf.DUMMYFUNCTION("""COMPUTED_VALUE"""),2.0)</f>
        <v>2</v>
      </c>
      <c r="L324" s="12">
        <f>IFERROR(__xludf.DUMMYFUNCTION("""COMPUTED_VALUE"""),0.5)</f>
        <v>0.5</v>
      </c>
      <c r="M324" s="11">
        <f>IFERROR(__xludf.DUMMYFUNCTION("""COMPUTED_VALUE"""),1.0)</f>
        <v>1</v>
      </c>
      <c r="N324" s="11">
        <f>IFERROR(__xludf.DUMMYFUNCTION("""COMPUTED_VALUE"""),1270.0)</f>
        <v>1270</v>
      </c>
      <c r="O324" s="13">
        <f>IFERROR(__xludf.DUMMYFUNCTION("""COMPUTED_VALUE"""),2.0)</f>
        <v>2</v>
      </c>
      <c r="P324" s="14">
        <f>IFERROR(__xludf.DUMMYFUNCTION("""COMPUTED_VALUE"""),1.0)</f>
        <v>1</v>
      </c>
      <c r="Q324" s="13">
        <f>IFERROR(__xludf.DUMMYFUNCTION("""COMPUTED_VALUE"""),5.0)</f>
        <v>5</v>
      </c>
      <c r="R324" s="13">
        <f>IFERROR(__xludf.DUMMYFUNCTION("""COMPUTED_VALUE"""),6.0)</f>
        <v>6</v>
      </c>
      <c r="S324" s="15">
        <f>IFERROR(__xludf.DUMMYFUNCTION("""COMPUTED_VALUE"""),0.3333333333333333)</f>
        <v>0.3333333333</v>
      </c>
      <c r="T324" s="16">
        <f>IFERROR(__xludf.DUMMYFUNCTION("""COMPUTED_VALUE"""),317.5)</f>
        <v>317.5</v>
      </c>
      <c r="U324" s="16">
        <f>IFERROR(__xludf.DUMMYFUNCTION("""COMPUTED_VALUE"""),0.5)</f>
        <v>0.5</v>
      </c>
      <c r="V324" s="16">
        <f>IFERROR(__xludf.DUMMYFUNCTION("""COMPUTED_VALUE"""),0.25)</f>
        <v>0.25</v>
      </c>
      <c r="W324" s="16">
        <f>IFERROR(__xludf.DUMMYFUNCTION("""COMPUTED_VALUE"""),1.25)</f>
        <v>1.25</v>
      </c>
      <c r="X324" s="16">
        <f>IFERROR(__xludf.DUMMYFUNCTION("""COMPUTED_VALUE"""),1.5)</f>
        <v>1.5</v>
      </c>
      <c r="Y324" s="11">
        <f>IFERROR(__xludf.DUMMYFUNCTION("""COMPUTED_VALUE"""),1.0)</f>
        <v>1</v>
      </c>
      <c r="Z324" s="11">
        <f>IFERROR(__xludf.DUMMYFUNCTION("""COMPUTED_VALUE"""),0.0)</f>
        <v>0</v>
      </c>
      <c r="AA324" s="11">
        <f>IFERROR(__xludf.DUMMYFUNCTION("""COMPUTED_VALUE"""),0.0)</f>
        <v>0</v>
      </c>
      <c r="AB324" s="11">
        <f>IFERROR(__xludf.DUMMYFUNCTION("""COMPUTED_VALUE"""),1.0)</f>
        <v>1</v>
      </c>
      <c r="AC324" s="11">
        <f>IFERROR(__xludf.DUMMYFUNCTION("""COMPUTED_VALUE"""),3.0)</f>
        <v>3</v>
      </c>
      <c r="AD324" s="11">
        <f>IFERROR(__xludf.DUMMYFUNCTION("""COMPUTED_VALUE"""),3.0)</f>
        <v>3</v>
      </c>
    </row>
    <row r="325">
      <c r="A325" s="10" t="str">
        <f>IFERROR(__xludf.DUMMYFUNCTION("""COMPUTED_VALUE"""),"Elite")</f>
        <v>Elite</v>
      </c>
      <c r="B325" s="10" t="str">
        <f>IFERROR(__xludf.DUMMYFUNCTION("""COMPUTED_VALUE"""),"RSC007115")</f>
        <v>RSC007115</v>
      </c>
      <c r="C325" s="10" t="str">
        <f>IFERROR(__xludf.DUMMYFUNCTION("""COMPUTED_VALUE"""),"Zoomin")</f>
        <v>Zoomin</v>
      </c>
      <c r="D325" s="36" t="str">
        <f>IFERROR(__xludf.DUMMYFUNCTION("""COMPUTED_VALUE"""),"Raptors")</f>
        <v>Raptors</v>
      </c>
      <c r="E325" s="10" t="str">
        <f>IFERROR(__xludf.DUMMYFUNCTION("""COMPUTED_VALUE"""),"Lunar")</f>
        <v>Lunar</v>
      </c>
      <c r="F325" s="37">
        <f>IFERROR(__xludf.DUMMYFUNCTION("""COMPUTED_VALUE"""),40.53524281065464)</f>
        <v>40.53524281</v>
      </c>
      <c r="G325" s="38">
        <f>IFERROR(__xludf.DUMMYFUNCTION("""COMPUTED_VALUE"""),28.845141992881103)</f>
        <v>28.84514199</v>
      </c>
      <c r="H325" s="38">
        <f>IFERROR(__xludf.DUMMYFUNCTION("""COMPUTED_VALUE"""),34.690192401767874)</f>
        <v>34.6901924</v>
      </c>
      <c r="I325" s="14">
        <f>IFERROR(__xludf.DUMMYFUNCTION("""COMPUTED_VALUE"""),50.0)</f>
        <v>50</v>
      </c>
      <c r="J325" s="11">
        <f>IFERROR(__xludf.DUMMYFUNCTION("IFERROR(FILTER(Stats!$F:$Z,(Stats!$A:$A=$A325)*(Stats!$B:$B=$B325)))"),10.0)</f>
        <v>10</v>
      </c>
      <c r="K325" s="11">
        <f>IFERROR(__xludf.DUMMYFUNCTION("""COMPUTED_VALUE"""),40.0)</f>
        <v>40</v>
      </c>
      <c r="L325" s="12">
        <f>IFERROR(__xludf.DUMMYFUNCTION("""COMPUTED_VALUE"""),0.2)</f>
        <v>0.2</v>
      </c>
      <c r="M325" s="11">
        <f>IFERROR(__xludf.DUMMYFUNCTION("""COMPUTED_VALUE"""),4.0)</f>
        <v>4</v>
      </c>
      <c r="N325" s="11">
        <f>IFERROR(__xludf.DUMMYFUNCTION("""COMPUTED_VALUE"""),17916.0)</f>
        <v>17916</v>
      </c>
      <c r="O325" s="13">
        <f>IFERROR(__xludf.DUMMYFUNCTION("""COMPUTED_VALUE"""),33.0)</f>
        <v>33</v>
      </c>
      <c r="P325" s="14">
        <f>IFERROR(__xludf.DUMMYFUNCTION("""COMPUTED_VALUE"""),15.0)</f>
        <v>15</v>
      </c>
      <c r="Q325" s="13">
        <f>IFERROR(__xludf.DUMMYFUNCTION("""COMPUTED_VALUE"""),81.0)</f>
        <v>81</v>
      </c>
      <c r="R325" s="13">
        <f>IFERROR(__xludf.DUMMYFUNCTION("""COMPUTED_VALUE"""),114.0)</f>
        <v>114</v>
      </c>
      <c r="S325" s="15">
        <f>IFERROR(__xludf.DUMMYFUNCTION("""COMPUTED_VALUE"""),0.2894736842105263)</f>
        <v>0.2894736842</v>
      </c>
      <c r="T325" s="16">
        <f>IFERROR(__xludf.DUMMYFUNCTION("""COMPUTED_VALUE"""),358.32)</f>
        <v>358.32</v>
      </c>
      <c r="U325" s="16">
        <f>IFERROR(__xludf.DUMMYFUNCTION("""COMPUTED_VALUE"""),0.66)</f>
        <v>0.66</v>
      </c>
      <c r="V325" s="16">
        <f>IFERROR(__xludf.DUMMYFUNCTION("""COMPUTED_VALUE"""),0.3)</f>
        <v>0.3</v>
      </c>
      <c r="W325" s="16">
        <f>IFERROR(__xludf.DUMMYFUNCTION("""COMPUTED_VALUE"""),1.62)</f>
        <v>1.62</v>
      </c>
      <c r="X325" s="16">
        <f>IFERROR(__xludf.DUMMYFUNCTION("""COMPUTED_VALUE"""),2.28)</f>
        <v>2.28</v>
      </c>
      <c r="Y325" s="11">
        <f>IFERROR(__xludf.DUMMYFUNCTION("""COMPUTED_VALUE"""),2.0)</f>
        <v>2</v>
      </c>
      <c r="Z325" s="11">
        <f>IFERROR(__xludf.DUMMYFUNCTION("""COMPUTED_VALUE"""),1.0)</f>
        <v>1</v>
      </c>
      <c r="AA325" s="11">
        <f>IFERROR(__xludf.DUMMYFUNCTION("""COMPUTED_VALUE"""),0.0)</f>
        <v>0</v>
      </c>
      <c r="AB325" s="11">
        <f>IFERROR(__xludf.DUMMYFUNCTION("""COMPUTED_VALUE"""),11.0)</f>
        <v>11</v>
      </c>
      <c r="AC325" s="11">
        <f>IFERROR(__xludf.DUMMYFUNCTION("""COMPUTED_VALUE"""),46.0)</f>
        <v>46</v>
      </c>
      <c r="AD325" s="11">
        <f>IFERROR(__xludf.DUMMYFUNCTION("""COMPUTED_VALUE"""),48.0)</f>
        <v>48</v>
      </c>
    </row>
    <row r="326">
      <c r="A326" s="10" t="str">
        <f>IFERROR(__xludf.DUMMYFUNCTION("""COMPUTED_VALUE"""),"Elite")</f>
        <v>Elite</v>
      </c>
      <c r="B326" s="10" t="str">
        <f>IFERROR(__xludf.DUMMYFUNCTION("""COMPUTED_VALUE"""),"RSC000203")</f>
        <v>RSC000203</v>
      </c>
      <c r="C326" s="10" t="str">
        <f>IFERROR(__xludf.DUMMYFUNCTION("""COMPUTED_VALUE"""),"FrostyBrew")</f>
        <v>FrostyBrew</v>
      </c>
      <c r="D326" s="36" t="str">
        <f>IFERROR(__xludf.DUMMYFUNCTION("""COMPUTED_VALUE"""),"Demons")</f>
        <v>Demons</v>
      </c>
      <c r="E326" s="10" t="str">
        <f>IFERROR(__xludf.DUMMYFUNCTION("""COMPUTED_VALUE"""),"Lunar")</f>
        <v>Lunar</v>
      </c>
      <c r="F326" s="37">
        <f>IFERROR(__xludf.DUMMYFUNCTION("""COMPUTED_VALUE"""),38.249584368391595)</f>
        <v>38.24958437</v>
      </c>
      <c r="G326" s="38">
        <f>IFERROR(__xludf.DUMMYFUNCTION("""COMPUTED_VALUE"""),30.77925041359486)</f>
        <v>30.77925041</v>
      </c>
      <c r="H326" s="38">
        <f>IFERROR(__xludf.DUMMYFUNCTION("""COMPUTED_VALUE"""),34.51441739099323)</f>
        <v>34.51441739</v>
      </c>
      <c r="I326" s="14">
        <f>IFERROR(__xludf.DUMMYFUNCTION("""COMPUTED_VALUE"""),32.0)</f>
        <v>32</v>
      </c>
      <c r="J326" s="11">
        <f>IFERROR(__xludf.DUMMYFUNCTION("IFERROR(FILTER(Stats!$F:$Z,(Stats!$A:$A=$A326)*(Stats!$B:$B=$B326)))"),10.0)</f>
        <v>10</v>
      </c>
      <c r="K326" s="11">
        <f>IFERROR(__xludf.DUMMYFUNCTION("""COMPUTED_VALUE"""),22.0)</f>
        <v>22</v>
      </c>
      <c r="L326" s="12">
        <f>IFERROR(__xludf.DUMMYFUNCTION("""COMPUTED_VALUE"""),0.3125)</f>
        <v>0.3125</v>
      </c>
      <c r="M326" s="11">
        <f>IFERROR(__xludf.DUMMYFUNCTION("""COMPUTED_VALUE"""),2.0)</f>
        <v>2</v>
      </c>
      <c r="N326" s="11">
        <f>IFERROR(__xludf.DUMMYFUNCTION("""COMPUTED_VALUE"""),9428.0)</f>
        <v>9428</v>
      </c>
      <c r="O326" s="13">
        <f>IFERROR(__xludf.DUMMYFUNCTION("""COMPUTED_VALUE"""),18.0)</f>
        <v>18</v>
      </c>
      <c r="P326" s="14">
        <f>IFERROR(__xludf.DUMMYFUNCTION("""COMPUTED_VALUE"""),16.0)</f>
        <v>16</v>
      </c>
      <c r="Q326" s="13">
        <f>IFERROR(__xludf.DUMMYFUNCTION("""COMPUTED_VALUE"""),29.0)</f>
        <v>29</v>
      </c>
      <c r="R326" s="13">
        <f>IFERROR(__xludf.DUMMYFUNCTION("""COMPUTED_VALUE"""),76.0)</f>
        <v>76</v>
      </c>
      <c r="S326" s="15">
        <f>IFERROR(__xludf.DUMMYFUNCTION("""COMPUTED_VALUE"""),0.23684210526315788)</f>
        <v>0.2368421053</v>
      </c>
      <c r="T326" s="16">
        <f>IFERROR(__xludf.DUMMYFUNCTION("""COMPUTED_VALUE"""),294.625)</f>
        <v>294.625</v>
      </c>
      <c r="U326" s="16">
        <f>IFERROR(__xludf.DUMMYFUNCTION("""COMPUTED_VALUE"""),0.5625)</f>
        <v>0.5625</v>
      </c>
      <c r="V326" s="16">
        <f>IFERROR(__xludf.DUMMYFUNCTION("""COMPUTED_VALUE"""),0.5)</f>
        <v>0.5</v>
      </c>
      <c r="W326" s="16">
        <f>IFERROR(__xludf.DUMMYFUNCTION("""COMPUTED_VALUE"""),0.90625)</f>
        <v>0.90625</v>
      </c>
      <c r="X326" s="16">
        <f>IFERROR(__xludf.DUMMYFUNCTION("""COMPUTED_VALUE"""),2.375)</f>
        <v>2.375</v>
      </c>
      <c r="Y326" s="11">
        <f>IFERROR(__xludf.DUMMYFUNCTION("""COMPUTED_VALUE"""),4.0)</f>
        <v>4</v>
      </c>
      <c r="Z326" s="11">
        <f>IFERROR(__xludf.DUMMYFUNCTION("""COMPUTED_VALUE"""),0.0)</f>
        <v>0</v>
      </c>
      <c r="AA326" s="11">
        <f>IFERROR(__xludf.DUMMYFUNCTION("""COMPUTED_VALUE"""),0.0)</f>
        <v>0</v>
      </c>
      <c r="AB326" s="11">
        <f>IFERROR(__xludf.DUMMYFUNCTION("""COMPUTED_VALUE"""),2.0)</f>
        <v>2</v>
      </c>
      <c r="AC326" s="11">
        <f>IFERROR(__xludf.DUMMYFUNCTION("""COMPUTED_VALUE"""),36.0)</f>
        <v>36</v>
      </c>
      <c r="AD326" s="11">
        <f>IFERROR(__xludf.DUMMYFUNCTION("""COMPUTED_VALUE"""),31.0)</f>
        <v>31</v>
      </c>
    </row>
    <row r="327">
      <c r="A327" s="10" t="str">
        <f>IFERROR(__xludf.DUMMYFUNCTION("""COMPUTED_VALUE"""),"Elite")</f>
        <v>Elite</v>
      </c>
      <c r="B327" s="10" t="str">
        <f>IFERROR(__xludf.DUMMYFUNCTION("""COMPUTED_VALUE"""),"RSC002425")</f>
        <v>RSC002425</v>
      </c>
      <c r="C327" s="10" t="str">
        <f>IFERROR(__xludf.DUMMYFUNCTION("""COMPUTED_VALUE"""),"Kourses")</f>
        <v>Kourses</v>
      </c>
      <c r="D327" s="36" t="str">
        <f>IFERROR(__xludf.DUMMYFUNCTION("""COMPUTED_VALUE"""),"Hydras")</f>
        <v>Hydras</v>
      </c>
      <c r="E327" s="10" t="str">
        <f>IFERROR(__xludf.DUMMYFUNCTION("""COMPUTED_VALUE"""),"Solar")</f>
        <v>Solar</v>
      </c>
      <c r="F327" s="37">
        <f>IFERROR(__xludf.DUMMYFUNCTION("""COMPUTED_VALUE"""),35.856467030227144)</f>
        <v>35.85646703</v>
      </c>
      <c r="G327" s="38">
        <f>IFERROR(__xludf.DUMMYFUNCTION("""COMPUTED_VALUE"""),27.678292157978593)</f>
        <v>27.67829216</v>
      </c>
      <c r="H327" s="38">
        <f>IFERROR(__xludf.DUMMYFUNCTION("""COMPUTED_VALUE"""),31.76737959410287)</f>
        <v>31.76737959</v>
      </c>
      <c r="I327" s="14">
        <f>IFERROR(__xludf.DUMMYFUNCTION("""COMPUTED_VALUE"""),2.0)</f>
        <v>2</v>
      </c>
      <c r="J327" s="11">
        <f>IFERROR(__xludf.DUMMYFUNCTION("IFERROR(FILTER(Stats!$F:$Z,(Stats!$A:$A=$A327)*(Stats!$B:$B=$B327)))"),2.0)</f>
        <v>2</v>
      </c>
      <c r="K327" s="11">
        <f>IFERROR(__xludf.DUMMYFUNCTION("""COMPUTED_VALUE"""),0.0)</f>
        <v>0</v>
      </c>
      <c r="L327" s="12">
        <f>IFERROR(__xludf.DUMMYFUNCTION("""COMPUTED_VALUE"""),1.0)</f>
        <v>1</v>
      </c>
      <c r="M327" s="11">
        <f>IFERROR(__xludf.DUMMYFUNCTION("""COMPUTED_VALUE"""),0.0)</f>
        <v>0</v>
      </c>
      <c r="N327" s="11">
        <f>IFERROR(__xludf.DUMMYFUNCTION("""COMPUTED_VALUE"""),414.0)</f>
        <v>414</v>
      </c>
      <c r="O327" s="13">
        <f>IFERROR(__xludf.DUMMYFUNCTION("""COMPUTED_VALUE"""),1.0)</f>
        <v>1</v>
      </c>
      <c r="P327" s="14">
        <f>IFERROR(__xludf.DUMMYFUNCTION("""COMPUTED_VALUE"""),0.0)</f>
        <v>0</v>
      </c>
      <c r="Q327" s="13">
        <f>IFERROR(__xludf.DUMMYFUNCTION("""COMPUTED_VALUE"""),1.0)</f>
        <v>1</v>
      </c>
      <c r="R327" s="13">
        <f>IFERROR(__xludf.DUMMYFUNCTION("""COMPUTED_VALUE"""),5.0)</f>
        <v>5</v>
      </c>
      <c r="S327" s="15">
        <f>IFERROR(__xludf.DUMMYFUNCTION("""COMPUTED_VALUE"""),0.2)</f>
        <v>0.2</v>
      </c>
      <c r="T327" s="16">
        <f>IFERROR(__xludf.DUMMYFUNCTION("""COMPUTED_VALUE"""),207.0)</f>
        <v>207</v>
      </c>
      <c r="U327" s="16">
        <f>IFERROR(__xludf.DUMMYFUNCTION("""COMPUTED_VALUE"""),0.5)</f>
        <v>0.5</v>
      </c>
      <c r="V327" s="16">
        <f>IFERROR(__xludf.DUMMYFUNCTION("""COMPUTED_VALUE"""),0.0)</f>
        <v>0</v>
      </c>
      <c r="W327" s="16">
        <f>IFERROR(__xludf.DUMMYFUNCTION("""COMPUTED_VALUE"""),0.5)</f>
        <v>0.5</v>
      </c>
      <c r="X327" s="16">
        <f>IFERROR(__xludf.DUMMYFUNCTION("""COMPUTED_VALUE"""),2.5)</f>
        <v>2.5</v>
      </c>
      <c r="Y327" s="11">
        <f>IFERROR(__xludf.DUMMYFUNCTION("""COMPUTED_VALUE"""),0.0)</f>
        <v>0</v>
      </c>
      <c r="Z327" s="11">
        <f>IFERROR(__xludf.DUMMYFUNCTION("""COMPUTED_VALUE"""),0.0)</f>
        <v>0</v>
      </c>
      <c r="AA327" s="11">
        <f>IFERROR(__xludf.DUMMYFUNCTION("""COMPUTED_VALUE"""),0.0)</f>
        <v>0</v>
      </c>
      <c r="AB327" s="11">
        <f>IFERROR(__xludf.DUMMYFUNCTION("""COMPUTED_VALUE"""),0.0)</f>
        <v>0</v>
      </c>
      <c r="AC327" s="11">
        <f>IFERROR(__xludf.DUMMYFUNCTION("""COMPUTED_VALUE"""),1.0)</f>
        <v>1</v>
      </c>
      <c r="AD327" s="11">
        <f>IFERROR(__xludf.DUMMYFUNCTION("""COMPUTED_VALUE"""),1.0)</f>
        <v>1</v>
      </c>
    </row>
    <row r="328">
      <c r="A328" s="10" t="str">
        <f>IFERROR(__xludf.DUMMYFUNCTION("""COMPUTED_VALUE"""),"Elite")</f>
        <v>Elite</v>
      </c>
      <c r="B328" s="10" t="str">
        <f>IFERROR(__xludf.DUMMYFUNCTION("""COMPUTED_VALUE"""),"RSC000183")</f>
        <v>RSC000183</v>
      </c>
      <c r="C328" s="10" t="str">
        <f>IFERROR(__xludf.DUMMYFUNCTION("""COMPUTED_VALUE"""),"Rex")</f>
        <v>Rex</v>
      </c>
      <c r="D328" s="36" t="str">
        <f>IFERROR(__xludf.DUMMYFUNCTION("""COMPUTED_VALUE"""),"Demons")</f>
        <v>Demons</v>
      </c>
      <c r="E328" s="10" t="str">
        <f>IFERROR(__xludf.DUMMYFUNCTION("""COMPUTED_VALUE"""),"Lunar")</f>
        <v>Lunar</v>
      </c>
      <c r="F328" s="37">
        <f>IFERROR(__xludf.DUMMYFUNCTION("""COMPUTED_VALUE"""),33.92531812392655)</f>
        <v>33.92531812</v>
      </c>
      <c r="G328" s="38">
        <f>IFERROR(__xludf.DUMMYFUNCTION("""COMPUTED_VALUE"""),28.959013179613493)</f>
        <v>28.95901318</v>
      </c>
      <c r="H328" s="38">
        <f>IFERROR(__xludf.DUMMYFUNCTION("""COMPUTED_VALUE"""),31.442165651770022)</f>
        <v>31.44216565</v>
      </c>
      <c r="I328" s="14">
        <f>IFERROR(__xludf.DUMMYFUNCTION("""COMPUTED_VALUE"""),42.0)</f>
        <v>42</v>
      </c>
      <c r="J328" s="11">
        <f>IFERROR(__xludf.DUMMYFUNCTION("IFERROR(FILTER(Stats!$F:$Z,(Stats!$A:$A=$A328)*(Stats!$B:$B=$B328)))"),18.0)</f>
        <v>18</v>
      </c>
      <c r="K328" s="11">
        <f>IFERROR(__xludf.DUMMYFUNCTION("""COMPUTED_VALUE"""),24.0)</f>
        <v>24</v>
      </c>
      <c r="L328" s="12">
        <f>IFERROR(__xludf.DUMMYFUNCTION("""COMPUTED_VALUE"""),0.42857142857142855)</f>
        <v>0.4285714286</v>
      </c>
      <c r="M328" s="11">
        <f>IFERROR(__xludf.DUMMYFUNCTION("""COMPUTED_VALUE"""),3.0)</f>
        <v>3</v>
      </c>
      <c r="N328" s="11">
        <f>IFERROR(__xludf.DUMMYFUNCTION("""COMPUTED_VALUE"""),13419.0)</f>
        <v>13419</v>
      </c>
      <c r="O328" s="13">
        <f>IFERROR(__xludf.DUMMYFUNCTION("""COMPUTED_VALUE"""),25.0)</f>
        <v>25</v>
      </c>
      <c r="P328" s="14">
        <f>IFERROR(__xludf.DUMMYFUNCTION("""COMPUTED_VALUE"""),15.0)</f>
        <v>15</v>
      </c>
      <c r="Q328" s="13">
        <f>IFERROR(__xludf.DUMMYFUNCTION("""COMPUTED_VALUE"""),55.0)</f>
        <v>55</v>
      </c>
      <c r="R328" s="13">
        <f>IFERROR(__xludf.DUMMYFUNCTION("""COMPUTED_VALUE"""),99.0)</f>
        <v>99</v>
      </c>
      <c r="S328" s="15">
        <f>IFERROR(__xludf.DUMMYFUNCTION("""COMPUTED_VALUE"""),0.25252525252525254)</f>
        <v>0.2525252525</v>
      </c>
      <c r="T328" s="16">
        <f>IFERROR(__xludf.DUMMYFUNCTION("""COMPUTED_VALUE"""),319.5)</f>
        <v>319.5</v>
      </c>
      <c r="U328" s="16">
        <f>IFERROR(__xludf.DUMMYFUNCTION("""COMPUTED_VALUE"""),0.5952380952380952)</f>
        <v>0.5952380952</v>
      </c>
      <c r="V328" s="16">
        <f>IFERROR(__xludf.DUMMYFUNCTION("""COMPUTED_VALUE"""),0.35714285714285715)</f>
        <v>0.3571428571</v>
      </c>
      <c r="W328" s="16">
        <f>IFERROR(__xludf.DUMMYFUNCTION("""COMPUTED_VALUE"""),1.3095238095238095)</f>
        <v>1.30952381</v>
      </c>
      <c r="X328" s="16">
        <f>IFERROR(__xludf.DUMMYFUNCTION("""COMPUTED_VALUE"""),2.357142857142857)</f>
        <v>2.357142857</v>
      </c>
      <c r="Y328" s="11">
        <f>IFERROR(__xludf.DUMMYFUNCTION("""COMPUTED_VALUE"""),5.0)</f>
        <v>5</v>
      </c>
      <c r="Z328" s="11">
        <f>IFERROR(__xludf.DUMMYFUNCTION("""COMPUTED_VALUE"""),0.0)</f>
        <v>0</v>
      </c>
      <c r="AA328" s="11">
        <f>IFERROR(__xludf.DUMMYFUNCTION("""COMPUTED_VALUE"""),0.0)</f>
        <v>0</v>
      </c>
      <c r="AB328" s="11">
        <f>IFERROR(__xludf.DUMMYFUNCTION("""COMPUTED_VALUE"""),7.0)</f>
        <v>7</v>
      </c>
      <c r="AC328" s="11">
        <f>IFERROR(__xludf.DUMMYFUNCTION("""COMPUTED_VALUE"""),51.0)</f>
        <v>51</v>
      </c>
      <c r="AD328" s="11">
        <f>IFERROR(__xludf.DUMMYFUNCTION("""COMPUTED_VALUE"""),46.0)</f>
        <v>46</v>
      </c>
    </row>
    <row r="329">
      <c r="A329" s="10" t="str">
        <f>IFERROR(__xludf.DUMMYFUNCTION("""COMPUTED_VALUE"""),"Elite")</f>
        <v>Elite</v>
      </c>
      <c r="B329" s="10" t="str">
        <f>IFERROR(__xludf.DUMMYFUNCTION("""COMPUTED_VALUE"""),"RSC006169")</f>
        <v>RSC006169</v>
      </c>
      <c r="C329" s="10" t="str">
        <f>IFERROR(__xludf.DUMMYFUNCTION("""COMPUTED_VALUE"""),"ExyRL.")</f>
        <v>ExyRL.</v>
      </c>
      <c r="D329" s="36" t="str">
        <f>IFERROR(__xludf.DUMMYFUNCTION("""COMPUTED_VALUE"""),"Drive-by
Krakens")</f>
        <v>Drive-by
Krakens</v>
      </c>
      <c r="E329" s="10" t="str">
        <f>IFERROR(__xludf.DUMMYFUNCTION("""COMPUTED_VALUE"""),"Solar
Lunar")</f>
        <v>Solar
Lunar</v>
      </c>
      <c r="F329" s="37">
        <f>IFERROR(__xludf.DUMMYFUNCTION("""COMPUTED_VALUE"""),31.777711967696685)</f>
        <v>31.77771197</v>
      </c>
      <c r="G329" s="38">
        <f>IFERROR(__xludf.DUMMYFUNCTION("""COMPUTED_VALUE"""),30.553219326582315)</f>
        <v>30.55321933</v>
      </c>
      <c r="H329" s="38">
        <f>IFERROR(__xludf.DUMMYFUNCTION("""COMPUTED_VALUE"""),31.1654656471395)</f>
        <v>31.16546565</v>
      </c>
      <c r="I329" s="14">
        <f>IFERROR(__xludf.DUMMYFUNCTION("""COMPUTED_VALUE"""),37.0)</f>
        <v>37</v>
      </c>
      <c r="J329" s="11">
        <f>IFERROR(__xludf.DUMMYFUNCTION("IFERROR(FILTER(Stats!$F:$Z,(Stats!$A:$A=$A329)*(Stats!$B:$B=$B329)))"),12.0)</f>
        <v>12</v>
      </c>
      <c r="K329" s="11">
        <f>IFERROR(__xludf.DUMMYFUNCTION("""COMPUTED_VALUE"""),25.0)</f>
        <v>25</v>
      </c>
      <c r="L329" s="12">
        <f>IFERROR(__xludf.DUMMYFUNCTION("""COMPUTED_VALUE"""),0.32432432432432434)</f>
        <v>0.3243243243</v>
      </c>
      <c r="M329" s="11">
        <f>IFERROR(__xludf.DUMMYFUNCTION("""COMPUTED_VALUE"""),2.0)</f>
        <v>2</v>
      </c>
      <c r="N329" s="11">
        <f>IFERROR(__xludf.DUMMYFUNCTION("""COMPUTED_VALUE"""),11844.0)</f>
        <v>11844</v>
      </c>
      <c r="O329" s="13">
        <f>IFERROR(__xludf.DUMMYFUNCTION("""COMPUTED_VALUE"""),20.0)</f>
        <v>20</v>
      </c>
      <c r="P329" s="14">
        <f>IFERROR(__xludf.DUMMYFUNCTION("""COMPUTED_VALUE"""),21.0)</f>
        <v>21</v>
      </c>
      <c r="Q329" s="13">
        <f>IFERROR(__xludf.DUMMYFUNCTION("""COMPUTED_VALUE"""),55.0)</f>
        <v>55</v>
      </c>
      <c r="R329" s="13">
        <f>IFERROR(__xludf.DUMMYFUNCTION("""COMPUTED_VALUE"""),84.0)</f>
        <v>84</v>
      </c>
      <c r="S329" s="15">
        <f>IFERROR(__xludf.DUMMYFUNCTION("""COMPUTED_VALUE"""),0.23809523809523808)</f>
        <v>0.2380952381</v>
      </c>
      <c r="T329" s="16">
        <f>IFERROR(__xludf.DUMMYFUNCTION("""COMPUTED_VALUE"""),320.1081081081081)</f>
        <v>320.1081081</v>
      </c>
      <c r="U329" s="16">
        <f>IFERROR(__xludf.DUMMYFUNCTION("""COMPUTED_VALUE"""),0.5405405405405406)</f>
        <v>0.5405405405</v>
      </c>
      <c r="V329" s="16">
        <f>IFERROR(__xludf.DUMMYFUNCTION("""COMPUTED_VALUE"""),0.5675675675675675)</f>
        <v>0.5675675676</v>
      </c>
      <c r="W329" s="16">
        <f>IFERROR(__xludf.DUMMYFUNCTION("""COMPUTED_VALUE"""),1.4864864864864864)</f>
        <v>1.486486486</v>
      </c>
      <c r="X329" s="16">
        <f>IFERROR(__xludf.DUMMYFUNCTION("""COMPUTED_VALUE"""),2.27027027027027)</f>
        <v>2.27027027</v>
      </c>
      <c r="Y329" s="11">
        <f>IFERROR(__xludf.DUMMYFUNCTION("""COMPUTED_VALUE"""),5.0)</f>
        <v>5</v>
      </c>
      <c r="Z329" s="11">
        <f>IFERROR(__xludf.DUMMYFUNCTION("""COMPUTED_VALUE"""),1.0)</f>
        <v>1</v>
      </c>
      <c r="AA329" s="11">
        <f>IFERROR(__xludf.DUMMYFUNCTION("""COMPUTED_VALUE"""),1.0)</f>
        <v>1</v>
      </c>
      <c r="AB329" s="11">
        <f>IFERROR(__xludf.DUMMYFUNCTION("""COMPUTED_VALUE"""),7.0)</f>
        <v>7</v>
      </c>
      <c r="AC329" s="11">
        <f>IFERROR(__xludf.DUMMYFUNCTION("""COMPUTED_VALUE"""),32.0)</f>
        <v>32</v>
      </c>
      <c r="AD329" s="11">
        <f>IFERROR(__xludf.DUMMYFUNCTION("""COMPUTED_VALUE"""),49.0)</f>
        <v>49</v>
      </c>
    </row>
    <row r="330">
      <c r="A330" s="10" t="str">
        <f>IFERROR(__xludf.DUMMYFUNCTION("""COMPUTED_VALUE"""),"Elite")</f>
        <v>Elite</v>
      </c>
      <c r="B330" s="10" t="str">
        <f>IFERROR(__xludf.DUMMYFUNCTION("""COMPUTED_VALUE"""),"RSC004109")</f>
        <v>RSC004109</v>
      </c>
      <c r="C330" s="10" t="str">
        <f>IFERROR(__xludf.DUMMYFUNCTION("""COMPUTED_VALUE"""),"Hawkish")</f>
        <v>Hawkish</v>
      </c>
      <c r="D330" s="36" t="str">
        <f>IFERROR(__xludf.DUMMYFUNCTION("""COMPUTED_VALUE"""),"Hydras")</f>
        <v>Hydras</v>
      </c>
      <c r="E330" s="10" t="str">
        <f>IFERROR(__xludf.DUMMYFUNCTION("""COMPUTED_VALUE"""),"Solar")</f>
        <v>Solar</v>
      </c>
      <c r="F330" s="37">
        <f>IFERROR(__xludf.DUMMYFUNCTION("""COMPUTED_VALUE"""),27.25016229866861)</f>
        <v>27.2501623</v>
      </c>
      <c r="G330" s="38">
        <f>IFERROR(__xludf.DUMMYFUNCTION("""COMPUTED_VALUE"""),33.74109403403534)</f>
        <v>33.74109403</v>
      </c>
      <c r="H330" s="38">
        <f>IFERROR(__xludf.DUMMYFUNCTION("""COMPUTED_VALUE"""),30.495628166351977)</f>
        <v>30.49562817</v>
      </c>
      <c r="I330" s="14">
        <f>IFERROR(__xludf.DUMMYFUNCTION("""COMPUTED_VALUE"""),19.0)</f>
        <v>19</v>
      </c>
      <c r="J330" s="11">
        <f>IFERROR(__xludf.DUMMYFUNCTION("IFERROR(FILTER(Stats!$F:$Z,(Stats!$A:$A=$A330)*(Stats!$B:$B=$B330)))"),8.0)</f>
        <v>8</v>
      </c>
      <c r="K330" s="11">
        <f>IFERROR(__xludf.DUMMYFUNCTION("""COMPUTED_VALUE"""),11.0)</f>
        <v>11</v>
      </c>
      <c r="L330" s="12">
        <f>IFERROR(__xludf.DUMMYFUNCTION("""COMPUTED_VALUE"""),0.42105263157894735)</f>
        <v>0.4210526316</v>
      </c>
      <c r="M330" s="11">
        <f>IFERROR(__xludf.DUMMYFUNCTION("""COMPUTED_VALUE"""),1.0)</f>
        <v>1</v>
      </c>
      <c r="N330" s="11">
        <f>IFERROR(__xludf.DUMMYFUNCTION("""COMPUTED_VALUE"""),5924.0)</f>
        <v>5924</v>
      </c>
      <c r="O330" s="13">
        <f>IFERROR(__xludf.DUMMYFUNCTION("""COMPUTED_VALUE"""),14.0)</f>
        <v>14</v>
      </c>
      <c r="P330" s="14">
        <f>IFERROR(__xludf.DUMMYFUNCTION("""COMPUTED_VALUE"""),8.0)</f>
        <v>8</v>
      </c>
      <c r="Q330" s="13">
        <f>IFERROR(__xludf.DUMMYFUNCTION("""COMPUTED_VALUE"""),26.0)</f>
        <v>26</v>
      </c>
      <c r="R330" s="13">
        <f>IFERROR(__xludf.DUMMYFUNCTION("""COMPUTED_VALUE"""),37.0)</f>
        <v>37</v>
      </c>
      <c r="S330" s="15">
        <f>IFERROR(__xludf.DUMMYFUNCTION("""COMPUTED_VALUE"""),0.3783783783783784)</f>
        <v>0.3783783784</v>
      </c>
      <c r="T330" s="16">
        <f>IFERROR(__xludf.DUMMYFUNCTION("""COMPUTED_VALUE"""),311.7894736842105)</f>
        <v>311.7894737</v>
      </c>
      <c r="U330" s="16">
        <f>IFERROR(__xludf.DUMMYFUNCTION("""COMPUTED_VALUE"""),0.7368421052631579)</f>
        <v>0.7368421053</v>
      </c>
      <c r="V330" s="16">
        <f>IFERROR(__xludf.DUMMYFUNCTION("""COMPUTED_VALUE"""),0.42105263157894735)</f>
        <v>0.4210526316</v>
      </c>
      <c r="W330" s="16">
        <f>IFERROR(__xludf.DUMMYFUNCTION("""COMPUTED_VALUE"""),1.368421052631579)</f>
        <v>1.368421053</v>
      </c>
      <c r="X330" s="16">
        <f>IFERROR(__xludf.DUMMYFUNCTION("""COMPUTED_VALUE"""),1.9473684210526316)</f>
        <v>1.947368421</v>
      </c>
      <c r="Y330" s="11">
        <f>IFERROR(__xludf.DUMMYFUNCTION("""COMPUTED_VALUE"""),2.0)</f>
        <v>2</v>
      </c>
      <c r="Z330" s="11">
        <f>IFERROR(__xludf.DUMMYFUNCTION("""COMPUTED_VALUE"""),1.0)</f>
        <v>1</v>
      </c>
      <c r="AA330" s="11">
        <f>IFERROR(__xludf.DUMMYFUNCTION("""COMPUTED_VALUE"""),0.0)</f>
        <v>0</v>
      </c>
      <c r="AB330" s="11">
        <f>IFERROR(__xludf.DUMMYFUNCTION("""COMPUTED_VALUE"""),3.0)</f>
        <v>3</v>
      </c>
      <c r="AC330" s="11">
        <f>IFERROR(__xludf.DUMMYFUNCTION("""COMPUTED_VALUE"""),5.0)</f>
        <v>5</v>
      </c>
      <c r="AD330" s="11">
        <f>IFERROR(__xludf.DUMMYFUNCTION("""COMPUTED_VALUE"""),20.0)</f>
        <v>20</v>
      </c>
    </row>
    <row r="331">
      <c r="A331" s="10" t="str">
        <f>IFERROR(__xludf.DUMMYFUNCTION("""COMPUTED_VALUE"""),"Elite")</f>
        <v>Elite</v>
      </c>
      <c r="B331" s="10" t="str">
        <f>IFERROR(__xludf.DUMMYFUNCTION("""COMPUTED_VALUE"""),"RSC000690")</f>
        <v>RSC000690</v>
      </c>
      <c r="C331" s="10" t="str">
        <f>IFERROR(__xludf.DUMMYFUNCTION("""COMPUTED_VALUE"""),"paco")</f>
        <v>paco</v>
      </c>
      <c r="D331" s="36" t="str">
        <f>IFERROR(__xludf.DUMMYFUNCTION("""COMPUTED_VALUE"""),"Drive-by")</f>
        <v>Drive-by</v>
      </c>
      <c r="E331" s="10" t="str">
        <f>IFERROR(__xludf.DUMMYFUNCTION("""COMPUTED_VALUE"""),"Solar")</f>
        <v>Solar</v>
      </c>
      <c r="F331" s="37">
        <f>IFERROR(__xludf.DUMMYFUNCTION("""COMPUTED_VALUE"""),29.627683657476734)</f>
        <v>29.62768366</v>
      </c>
      <c r="G331" s="38">
        <f>IFERROR(__xludf.DUMMYFUNCTION("""COMPUTED_VALUE"""),29.312466803706283)</f>
        <v>29.3124668</v>
      </c>
      <c r="H331" s="38">
        <f>IFERROR(__xludf.DUMMYFUNCTION("""COMPUTED_VALUE"""),29.470075230591508)</f>
        <v>29.47007523</v>
      </c>
      <c r="I331" s="14">
        <f>IFERROR(__xludf.DUMMYFUNCTION("""COMPUTED_VALUE"""),11.0)</f>
        <v>11</v>
      </c>
      <c r="J331" s="11">
        <f>IFERROR(__xludf.DUMMYFUNCTION("IFERROR(FILTER(Stats!$F:$Z,(Stats!$A:$A=$A331)*(Stats!$B:$B=$B331)))"),3.0)</f>
        <v>3</v>
      </c>
      <c r="K331" s="11">
        <f>IFERROR(__xludf.DUMMYFUNCTION("""COMPUTED_VALUE"""),8.0)</f>
        <v>8</v>
      </c>
      <c r="L331" s="12">
        <f>IFERROR(__xludf.DUMMYFUNCTION("""COMPUTED_VALUE"""),0.2727272727272727)</f>
        <v>0.2727272727</v>
      </c>
      <c r="M331" s="11">
        <f>IFERROR(__xludf.DUMMYFUNCTION("""COMPUTED_VALUE"""),3.0)</f>
        <v>3</v>
      </c>
      <c r="N331" s="11">
        <f>IFERROR(__xludf.DUMMYFUNCTION("""COMPUTED_VALUE"""),3622.0)</f>
        <v>3622</v>
      </c>
      <c r="O331" s="13">
        <f>IFERROR(__xludf.DUMMYFUNCTION("""COMPUTED_VALUE"""),8.0)</f>
        <v>8</v>
      </c>
      <c r="P331" s="14">
        <f>IFERROR(__xludf.DUMMYFUNCTION("""COMPUTED_VALUE"""),2.0)</f>
        <v>2</v>
      </c>
      <c r="Q331" s="13">
        <f>IFERROR(__xludf.DUMMYFUNCTION("""COMPUTED_VALUE"""),17.0)</f>
        <v>17</v>
      </c>
      <c r="R331" s="13">
        <f>IFERROR(__xludf.DUMMYFUNCTION("""COMPUTED_VALUE"""),24.0)</f>
        <v>24</v>
      </c>
      <c r="S331" s="15">
        <f>IFERROR(__xludf.DUMMYFUNCTION("""COMPUTED_VALUE"""),0.3333333333333333)</f>
        <v>0.3333333333</v>
      </c>
      <c r="T331" s="16">
        <f>IFERROR(__xludf.DUMMYFUNCTION("""COMPUTED_VALUE"""),329.27272727272725)</f>
        <v>329.2727273</v>
      </c>
      <c r="U331" s="16">
        <f>IFERROR(__xludf.DUMMYFUNCTION("""COMPUTED_VALUE"""),0.7272727272727273)</f>
        <v>0.7272727273</v>
      </c>
      <c r="V331" s="16">
        <f>IFERROR(__xludf.DUMMYFUNCTION("""COMPUTED_VALUE"""),0.18181818181818182)</f>
        <v>0.1818181818</v>
      </c>
      <c r="W331" s="16">
        <f>IFERROR(__xludf.DUMMYFUNCTION("""COMPUTED_VALUE"""),1.5454545454545454)</f>
        <v>1.545454545</v>
      </c>
      <c r="X331" s="16">
        <f>IFERROR(__xludf.DUMMYFUNCTION("""COMPUTED_VALUE"""),2.1818181818181817)</f>
        <v>2.181818182</v>
      </c>
      <c r="Y331" s="11">
        <f>IFERROR(__xludf.DUMMYFUNCTION("""COMPUTED_VALUE"""),0.0)</f>
        <v>0</v>
      </c>
      <c r="Z331" s="11">
        <f>IFERROR(__xludf.DUMMYFUNCTION("""COMPUTED_VALUE"""),1.0)</f>
        <v>1</v>
      </c>
      <c r="AA331" s="11">
        <f>IFERROR(__xludf.DUMMYFUNCTION("""COMPUTED_VALUE"""),0.0)</f>
        <v>0</v>
      </c>
      <c r="AB331" s="11">
        <f>IFERROR(__xludf.DUMMYFUNCTION("""COMPUTED_VALUE"""),2.0)</f>
        <v>2</v>
      </c>
      <c r="AC331" s="11">
        <f>IFERROR(__xludf.DUMMYFUNCTION("""COMPUTED_VALUE"""),13.0)</f>
        <v>13</v>
      </c>
      <c r="AD331" s="11">
        <f>IFERROR(__xludf.DUMMYFUNCTION("""COMPUTED_VALUE"""),11.0)</f>
        <v>11</v>
      </c>
    </row>
    <row r="332">
      <c r="A332" s="10" t="str">
        <f>IFERROR(__xludf.DUMMYFUNCTION("""COMPUTED_VALUE"""),"Elite")</f>
        <v>Elite</v>
      </c>
      <c r="B332" s="10" t="str">
        <f>IFERROR(__xludf.DUMMYFUNCTION("""COMPUTED_VALUE"""),"RSC008446")</f>
        <v>RSC008446</v>
      </c>
      <c r="C332" s="10" t="str">
        <f>IFERROR(__xludf.DUMMYFUNCTION("""COMPUTED_VALUE"""),"Rose_Havoc97")</f>
        <v>Rose_Havoc97</v>
      </c>
      <c r="D332" s="36" t="str">
        <f>IFERROR(__xludf.DUMMYFUNCTION("""COMPUTED_VALUE"""),"Hellhounds")</f>
        <v>Hellhounds</v>
      </c>
      <c r="E332" s="10" t="str">
        <f>IFERROR(__xludf.DUMMYFUNCTION("""COMPUTED_VALUE"""),"Solar")</f>
        <v>Solar</v>
      </c>
      <c r="F332" s="37">
        <f>IFERROR(__xludf.DUMMYFUNCTION("""COMPUTED_VALUE"""),23.503778125913616)</f>
        <v>23.50377813</v>
      </c>
      <c r="G332" s="38">
        <f>IFERROR(__xludf.DUMMYFUNCTION("""COMPUTED_VALUE"""),34.30708454403388)</f>
        <v>34.30708454</v>
      </c>
      <c r="H332" s="38">
        <f>IFERROR(__xludf.DUMMYFUNCTION("""COMPUTED_VALUE"""),28.90543133497375)</f>
        <v>28.90543133</v>
      </c>
      <c r="I332" s="14">
        <f>IFERROR(__xludf.DUMMYFUNCTION("""COMPUTED_VALUE"""),28.0)</f>
        <v>28</v>
      </c>
      <c r="J332" s="11">
        <f>IFERROR(__xludf.DUMMYFUNCTION("IFERROR(FILTER(Stats!$F:$Z,(Stats!$A:$A=$A332)*(Stats!$B:$B=$B332)))"),9.0)</f>
        <v>9</v>
      </c>
      <c r="K332" s="11">
        <f>IFERROR(__xludf.DUMMYFUNCTION("""COMPUTED_VALUE"""),19.0)</f>
        <v>19</v>
      </c>
      <c r="L332" s="12">
        <f>IFERROR(__xludf.DUMMYFUNCTION("""COMPUTED_VALUE"""),0.32142857142857145)</f>
        <v>0.3214285714</v>
      </c>
      <c r="M332" s="11">
        <f>IFERROR(__xludf.DUMMYFUNCTION("""COMPUTED_VALUE"""),0.0)</f>
        <v>0</v>
      </c>
      <c r="N332" s="11">
        <f>IFERROR(__xludf.DUMMYFUNCTION("""COMPUTED_VALUE"""),8483.0)</f>
        <v>8483</v>
      </c>
      <c r="O332" s="13">
        <f>IFERROR(__xludf.DUMMYFUNCTION("""COMPUTED_VALUE"""),14.0)</f>
        <v>14</v>
      </c>
      <c r="P332" s="14">
        <f>IFERROR(__xludf.DUMMYFUNCTION("""COMPUTED_VALUE"""),18.0)</f>
        <v>18</v>
      </c>
      <c r="Q332" s="13">
        <f>IFERROR(__xludf.DUMMYFUNCTION("""COMPUTED_VALUE"""),27.0)</f>
        <v>27</v>
      </c>
      <c r="R332" s="13">
        <f>IFERROR(__xludf.DUMMYFUNCTION("""COMPUTED_VALUE"""),65.0)</f>
        <v>65</v>
      </c>
      <c r="S332" s="15">
        <f>IFERROR(__xludf.DUMMYFUNCTION("""COMPUTED_VALUE"""),0.2153846153846154)</f>
        <v>0.2153846154</v>
      </c>
      <c r="T332" s="16">
        <f>IFERROR(__xludf.DUMMYFUNCTION("""COMPUTED_VALUE"""),302.9642857142857)</f>
        <v>302.9642857</v>
      </c>
      <c r="U332" s="16">
        <f>IFERROR(__xludf.DUMMYFUNCTION("""COMPUTED_VALUE"""),0.5)</f>
        <v>0.5</v>
      </c>
      <c r="V332" s="16">
        <f>IFERROR(__xludf.DUMMYFUNCTION("""COMPUTED_VALUE"""),0.6428571428571429)</f>
        <v>0.6428571429</v>
      </c>
      <c r="W332" s="16">
        <f>IFERROR(__xludf.DUMMYFUNCTION("""COMPUTED_VALUE"""),0.9642857142857143)</f>
        <v>0.9642857143</v>
      </c>
      <c r="X332" s="16">
        <f>IFERROR(__xludf.DUMMYFUNCTION("""COMPUTED_VALUE"""),2.3214285714285716)</f>
        <v>2.321428571</v>
      </c>
      <c r="Y332" s="11">
        <f>IFERROR(__xludf.DUMMYFUNCTION("""COMPUTED_VALUE"""),3.0)</f>
        <v>3</v>
      </c>
      <c r="Z332" s="11">
        <f>IFERROR(__xludf.DUMMYFUNCTION("""COMPUTED_VALUE"""),0.0)</f>
        <v>0</v>
      </c>
      <c r="AA332" s="11">
        <f>IFERROR(__xludf.DUMMYFUNCTION("""COMPUTED_VALUE"""),1.0)</f>
        <v>1</v>
      </c>
      <c r="AB332" s="11">
        <f>IFERROR(__xludf.DUMMYFUNCTION("""COMPUTED_VALUE"""),3.0)</f>
        <v>3</v>
      </c>
      <c r="AC332" s="11">
        <f>IFERROR(__xludf.DUMMYFUNCTION("""COMPUTED_VALUE"""),26.0)</f>
        <v>26</v>
      </c>
      <c r="AD332" s="11">
        <f>IFERROR(__xludf.DUMMYFUNCTION("""COMPUTED_VALUE"""),25.0)</f>
        <v>25</v>
      </c>
    </row>
    <row r="333">
      <c r="A333" s="10" t="str">
        <f>IFERROR(__xludf.DUMMYFUNCTION("""COMPUTED_VALUE"""),"Elite")</f>
        <v>Elite</v>
      </c>
      <c r="B333" s="10" t="str">
        <f>IFERROR(__xludf.DUMMYFUNCTION("""COMPUTED_VALUE"""),"RSC007877")</f>
        <v>RSC007877</v>
      </c>
      <c r="C333" s="10" t="str">
        <f>IFERROR(__xludf.DUMMYFUNCTION("""COMPUTED_VALUE"""),"Torro")</f>
        <v>Torro</v>
      </c>
      <c r="D333" s="36" t="str">
        <f>IFERROR(__xludf.DUMMYFUNCTION("""COMPUTED_VALUE"""),"Dik-diks")</f>
        <v>Dik-diks</v>
      </c>
      <c r="E333" s="10" t="str">
        <f>IFERROR(__xludf.DUMMYFUNCTION("""COMPUTED_VALUE"""),"Lunar")</f>
        <v>Lunar</v>
      </c>
      <c r="F333" s="37">
        <f>IFERROR(__xludf.DUMMYFUNCTION("""COMPUTED_VALUE"""),34.26434650335487)</f>
        <v>34.2643465</v>
      </c>
      <c r="G333" s="38">
        <f>IFERROR(__xludf.DUMMYFUNCTION("""COMPUTED_VALUE"""),20.154054128512122)</f>
        <v>20.15405413</v>
      </c>
      <c r="H333" s="38">
        <f>IFERROR(__xludf.DUMMYFUNCTION("""COMPUTED_VALUE"""),27.209200315933497)</f>
        <v>27.20920032</v>
      </c>
      <c r="I333" s="14">
        <f>IFERROR(__xludf.DUMMYFUNCTION("""COMPUTED_VALUE"""),13.0)</f>
        <v>13</v>
      </c>
      <c r="J333" s="11">
        <f>IFERROR(__xludf.DUMMYFUNCTION("IFERROR(FILTER(Stats!$F:$Z,(Stats!$A:$A=$A333)*(Stats!$B:$B=$B333)))"),6.0)</f>
        <v>6</v>
      </c>
      <c r="K333" s="11">
        <f>IFERROR(__xludf.DUMMYFUNCTION("""COMPUTED_VALUE"""),7.0)</f>
        <v>7</v>
      </c>
      <c r="L333" s="12">
        <f>IFERROR(__xludf.DUMMYFUNCTION("""COMPUTED_VALUE"""),0.46153846153846156)</f>
        <v>0.4615384615</v>
      </c>
      <c r="M333" s="11">
        <f>IFERROR(__xludf.DUMMYFUNCTION("""COMPUTED_VALUE"""),1.0)</f>
        <v>1</v>
      </c>
      <c r="N333" s="11">
        <f>IFERROR(__xludf.DUMMYFUNCTION("""COMPUTED_VALUE"""),3675.0)</f>
        <v>3675</v>
      </c>
      <c r="O333" s="13">
        <f>IFERROR(__xludf.DUMMYFUNCTION("""COMPUTED_VALUE"""),2.0)</f>
        <v>2</v>
      </c>
      <c r="P333" s="14">
        <f>IFERROR(__xludf.DUMMYFUNCTION("""COMPUTED_VALUE"""),11.0)</f>
        <v>11</v>
      </c>
      <c r="Q333" s="13">
        <f>IFERROR(__xludf.DUMMYFUNCTION("""COMPUTED_VALUE"""),14.0)</f>
        <v>14</v>
      </c>
      <c r="R333" s="13">
        <f>IFERROR(__xludf.DUMMYFUNCTION("""COMPUTED_VALUE"""),24.0)</f>
        <v>24</v>
      </c>
      <c r="S333" s="15">
        <f>IFERROR(__xludf.DUMMYFUNCTION("""COMPUTED_VALUE"""),0.08333333333333333)</f>
        <v>0.08333333333</v>
      </c>
      <c r="T333" s="16">
        <f>IFERROR(__xludf.DUMMYFUNCTION("""COMPUTED_VALUE"""),282.6923076923077)</f>
        <v>282.6923077</v>
      </c>
      <c r="U333" s="16">
        <f>IFERROR(__xludf.DUMMYFUNCTION("""COMPUTED_VALUE"""),0.15384615384615385)</f>
        <v>0.1538461538</v>
      </c>
      <c r="V333" s="16">
        <f>IFERROR(__xludf.DUMMYFUNCTION("""COMPUTED_VALUE"""),0.8461538461538461)</f>
        <v>0.8461538462</v>
      </c>
      <c r="W333" s="16">
        <f>IFERROR(__xludf.DUMMYFUNCTION("""COMPUTED_VALUE"""),1.0769230769230769)</f>
        <v>1.076923077</v>
      </c>
      <c r="X333" s="16">
        <f>IFERROR(__xludf.DUMMYFUNCTION("""COMPUTED_VALUE"""),1.8461538461538463)</f>
        <v>1.846153846</v>
      </c>
      <c r="Y333" s="11">
        <f>IFERROR(__xludf.DUMMYFUNCTION("""COMPUTED_VALUE"""),2.0)</f>
        <v>2</v>
      </c>
      <c r="Z333" s="11">
        <f>IFERROR(__xludf.DUMMYFUNCTION("""COMPUTED_VALUE"""),0.0)</f>
        <v>0</v>
      </c>
      <c r="AA333" s="11">
        <f>IFERROR(__xludf.DUMMYFUNCTION("""COMPUTED_VALUE"""),0.0)</f>
        <v>0</v>
      </c>
      <c r="AB333" s="11">
        <f>IFERROR(__xludf.DUMMYFUNCTION("""COMPUTED_VALUE"""),1.0)</f>
        <v>1</v>
      </c>
      <c r="AC333" s="11">
        <f>IFERROR(__xludf.DUMMYFUNCTION("""COMPUTED_VALUE"""),25.0)</f>
        <v>25</v>
      </c>
      <c r="AD333" s="11">
        <f>IFERROR(__xludf.DUMMYFUNCTION("""COMPUTED_VALUE"""),9.0)</f>
        <v>9</v>
      </c>
    </row>
    <row r="334">
      <c r="A334" s="10" t="str">
        <f>IFERROR(__xludf.DUMMYFUNCTION("""COMPUTED_VALUE"""),"Elite")</f>
        <v>Elite</v>
      </c>
      <c r="B334" s="10" t="str">
        <f>IFERROR(__xludf.DUMMYFUNCTION("""COMPUTED_VALUE"""),"RSC000626")</f>
        <v>RSC000626</v>
      </c>
      <c r="C334" s="10" t="str">
        <f>IFERROR(__xludf.DUMMYFUNCTION("""COMPUTED_VALUE"""),"Canadian Things")</f>
        <v>Canadian Things</v>
      </c>
      <c r="D334" s="36" t="str">
        <f>IFERROR(__xludf.DUMMYFUNCTION("""COMPUTED_VALUE"""),"Desolation
Gelato")</f>
        <v>Desolation
Gelato</v>
      </c>
      <c r="E334" s="10" t="str">
        <f>IFERROR(__xludf.DUMMYFUNCTION("""COMPUTED_VALUE"""),"Solar
Lunar")</f>
        <v>Solar
Lunar</v>
      </c>
      <c r="F334" s="37">
        <f>IFERROR(__xludf.DUMMYFUNCTION("""COMPUTED_VALUE"""),27.725846043842413)</f>
        <v>27.72584604</v>
      </c>
      <c r="G334" s="38">
        <f>IFERROR(__xludf.DUMMYFUNCTION("""COMPUTED_VALUE"""),26.462103530614144)</f>
        <v>26.46210353</v>
      </c>
      <c r="H334" s="38">
        <f>IFERROR(__xludf.DUMMYFUNCTION("""COMPUTED_VALUE"""),27.093974787228277)</f>
        <v>27.09397479</v>
      </c>
      <c r="I334" s="14">
        <f>IFERROR(__xludf.DUMMYFUNCTION("""COMPUTED_VALUE"""),5.0)</f>
        <v>5</v>
      </c>
      <c r="J334" s="11">
        <f>IFERROR(__xludf.DUMMYFUNCTION("IFERROR(FILTER(Stats!$F:$Z,(Stats!$A:$A=$A334)*(Stats!$B:$B=$B334)))"),2.0)</f>
        <v>2</v>
      </c>
      <c r="K334" s="11">
        <f>IFERROR(__xludf.DUMMYFUNCTION("""COMPUTED_VALUE"""),3.0)</f>
        <v>3</v>
      </c>
      <c r="L334" s="12">
        <f>IFERROR(__xludf.DUMMYFUNCTION("""COMPUTED_VALUE"""),0.4)</f>
        <v>0.4</v>
      </c>
      <c r="M334" s="11">
        <f>IFERROR(__xludf.DUMMYFUNCTION("""COMPUTED_VALUE"""),0.0)</f>
        <v>0</v>
      </c>
      <c r="N334" s="11">
        <f>IFERROR(__xludf.DUMMYFUNCTION("""COMPUTED_VALUE"""),1671.0)</f>
        <v>1671</v>
      </c>
      <c r="O334" s="13">
        <f>IFERROR(__xludf.DUMMYFUNCTION("""COMPUTED_VALUE"""),2.0)</f>
        <v>2</v>
      </c>
      <c r="P334" s="14">
        <f>IFERROR(__xludf.DUMMYFUNCTION("""COMPUTED_VALUE"""),3.0)</f>
        <v>3</v>
      </c>
      <c r="Q334" s="13">
        <f>IFERROR(__xludf.DUMMYFUNCTION("""COMPUTED_VALUE"""),12.0)</f>
        <v>12</v>
      </c>
      <c r="R334" s="13">
        <f>IFERROR(__xludf.DUMMYFUNCTION("""COMPUTED_VALUE"""),8.0)</f>
        <v>8</v>
      </c>
      <c r="S334" s="15">
        <f>IFERROR(__xludf.DUMMYFUNCTION("""COMPUTED_VALUE"""),0.25)</f>
        <v>0.25</v>
      </c>
      <c r="T334" s="16">
        <f>IFERROR(__xludf.DUMMYFUNCTION("""COMPUTED_VALUE"""),334.2)</f>
        <v>334.2</v>
      </c>
      <c r="U334" s="16">
        <f>IFERROR(__xludf.DUMMYFUNCTION("""COMPUTED_VALUE"""),0.4)</f>
        <v>0.4</v>
      </c>
      <c r="V334" s="16">
        <f>IFERROR(__xludf.DUMMYFUNCTION("""COMPUTED_VALUE"""),0.6)</f>
        <v>0.6</v>
      </c>
      <c r="W334" s="16">
        <f>IFERROR(__xludf.DUMMYFUNCTION("""COMPUTED_VALUE"""),2.4)</f>
        <v>2.4</v>
      </c>
      <c r="X334" s="16">
        <f>IFERROR(__xludf.DUMMYFUNCTION("""COMPUTED_VALUE"""),1.6)</f>
        <v>1.6</v>
      </c>
      <c r="Y334" s="11">
        <f>IFERROR(__xludf.DUMMYFUNCTION("""COMPUTED_VALUE"""),0.0)</f>
        <v>0</v>
      </c>
      <c r="Z334" s="11">
        <f>IFERROR(__xludf.DUMMYFUNCTION("""COMPUTED_VALUE"""),0.0)</f>
        <v>0</v>
      </c>
      <c r="AA334" s="11">
        <f>IFERROR(__xludf.DUMMYFUNCTION("""COMPUTED_VALUE"""),0.0)</f>
        <v>0</v>
      </c>
      <c r="AB334" s="11">
        <f>IFERROR(__xludf.DUMMYFUNCTION("""COMPUTED_VALUE"""),2.0)</f>
        <v>2</v>
      </c>
      <c r="AC334" s="11">
        <f>IFERROR(__xludf.DUMMYFUNCTION("""COMPUTED_VALUE"""),2.0)</f>
        <v>2</v>
      </c>
      <c r="AD334" s="11">
        <f>IFERROR(__xludf.DUMMYFUNCTION("""COMPUTED_VALUE"""),2.0)</f>
        <v>2</v>
      </c>
    </row>
    <row r="335">
      <c r="A335" s="10" t="str">
        <f>IFERROR(__xludf.DUMMYFUNCTION("""COMPUTED_VALUE"""),"Elite")</f>
        <v>Elite</v>
      </c>
      <c r="B335" s="10" t="str">
        <f>IFERROR(__xludf.DUMMYFUNCTION("""COMPUTED_VALUE"""),"RSC008525")</f>
        <v>RSC008525</v>
      </c>
      <c r="C335" s="10" t="str">
        <f>IFERROR(__xludf.DUMMYFUNCTION("""COMPUTED_VALUE"""),"tjdubya21")</f>
        <v>tjdubya21</v>
      </c>
      <c r="D335" s="36" t="str">
        <f>IFERROR(__xludf.DUMMYFUNCTION("""COMPUTED_VALUE"""),"Praetorian Guard")</f>
        <v>Praetorian Guard</v>
      </c>
      <c r="E335" s="10" t="str">
        <f>IFERROR(__xludf.DUMMYFUNCTION("""COMPUTED_VALUE"""),"Solar")</f>
        <v>Solar</v>
      </c>
      <c r="F335" s="37">
        <f>IFERROR(__xludf.DUMMYFUNCTION("""COMPUTED_VALUE"""),14.360984616548663)</f>
        <v>14.36098462</v>
      </c>
      <c r="G335" s="38">
        <f>IFERROR(__xludf.DUMMYFUNCTION("""COMPUTED_VALUE"""),36.97127463124525)</f>
        <v>36.97127463</v>
      </c>
      <c r="H335" s="38">
        <f>IFERROR(__xludf.DUMMYFUNCTION("""COMPUTED_VALUE"""),25.666129623896957)</f>
        <v>25.66612962</v>
      </c>
      <c r="I335" s="14">
        <f>IFERROR(__xludf.DUMMYFUNCTION("""COMPUTED_VALUE"""),6.0)</f>
        <v>6</v>
      </c>
      <c r="J335" s="11">
        <f>IFERROR(__xludf.DUMMYFUNCTION("IFERROR(FILTER(Stats!$F:$Z,(Stats!$A:$A=$A335)*(Stats!$B:$B=$B335)))"),3.0)</f>
        <v>3</v>
      </c>
      <c r="K335" s="11">
        <f>IFERROR(__xludf.DUMMYFUNCTION("""COMPUTED_VALUE"""),3.0)</f>
        <v>3</v>
      </c>
      <c r="L335" s="12">
        <f>IFERROR(__xludf.DUMMYFUNCTION("""COMPUTED_VALUE"""),0.5)</f>
        <v>0.5</v>
      </c>
      <c r="M335" s="11">
        <f>IFERROR(__xludf.DUMMYFUNCTION("""COMPUTED_VALUE"""),0.0)</f>
        <v>0</v>
      </c>
      <c r="N335" s="11">
        <f>IFERROR(__xludf.DUMMYFUNCTION("""COMPUTED_VALUE"""),1477.0)</f>
        <v>1477</v>
      </c>
      <c r="O335" s="13">
        <f>IFERROR(__xludf.DUMMYFUNCTION("""COMPUTED_VALUE"""),4.0)</f>
        <v>4</v>
      </c>
      <c r="P335" s="14">
        <f>IFERROR(__xludf.DUMMYFUNCTION("""COMPUTED_VALUE"""),4.0)</f>
        <v>4</v>
      </c>
      <c r="Q335" s="13">
        <f>IFERROR(__xludf.DUMMYFUNCTION("""COMPUTED_VALUE"""),3.0)</f>
        <v>3</v>
      </c>
      <c r="R335" s="13">
        <f>IFERROR(__xludf.DUMMYFUNCTION("""COMPUTED_VALUE"""),7.0)</f>
        <v>7</v>
      </c>
      <c r="S335" s="15">
        <f>IFERROR(__xludf.DUMMYFUNCTION("""COMPUTED_VALUE"""),0.5714285714285714)</f>
        <v>0.5714285714</v>
      </c>
      <c r="T335" s="16">
        <f>IFERROR(__xludf.DUMMYFUNCTION("""COMPUTED_VALUE"""),246.16666666666666)</f>
        <v>246.1666667</v>
      </c>
      <c r="U335" s="16">
        <f>IFERROR(__xludf.DUMMYFUNCTION("""COMPUTED_VALUE"""),0.6666666666666666)</f>
        <v>0.6666666667</v>
      </c>
      <c r="V335" s="16">
        <f>IFERROR(__xludf.DUMMYFUNCTION("""COMPUTED_VALUE"""),0.6666666666666666)</f>
        <v>0.6666666667</v>
      </c>
      <c r="W335" s="16">
        <f>IFERROR(__xludf.DUMMYFUNCTION("""COMPUTED_VALUE"""),0.5)</f>
        <v>0.5</v>
      </c>
      <c r="X335" s="16">
        <f>IFERROR(__xludf.DUMMYFUNCTION("""COMPUTED_VALUE"""),1.1666666666666667)</f>
        <v>1.166666667</v>
      </c>
      <c r="Y335" s="11">
        <f>IFERROR(__xludf.DUMMYFUNCTION("""COMPUTED_VALUE"""),0.0)</f>
        <v>0</v>
      </c>
      <c r="Z335" s="11">
        <f>IFERROR(__xludf.DUMMYFUNCTION("""COMPUTED_VALUE"""),0.0)</f>
        <v>0</v>
      </c>
      <c r="AA335" s="11">
        <f>IFERROR(__xludf.DUMMYFUNCTION("""COMPUTED_VALUE"""),0.0)</f>
        <v>0</v>
      </c>
      <c r="AB335" s="11">
        <f>IFERROR(__xludf.DUMMYFUNCTION("""COMPUTED_VALUE"""),0.0)</f>
        <v>0</v>
      </c>
      <c r="AC335" s="11">
        <f>IFERROR(__xludf.DUMMYFUNCTION("""COMPUTED_VALUE"""),11.0)</f>
        <v>11</v>
      </c>
      <c r="AD335" s="11">
        <f>IFERROR(__xludf.DUMMYFUNCTION("""COMPUTED_VALUE"""),5.0)</f>
        <v>5</v>
      </c>
    </row>
    <row r="336">
      <c r="A336" s="10" t="str">
        <f>IFERROR(__xludf.DUMMYFUNCTION("""COMPUTED_VALUE"""),"Elite")</f>
        <v>Elite</v>
      </c>
      <c r="B336" s="10" t="str">
        <f>IFERROR(__xludf.DUMMYFUNCTION("""COMPUTED_VALUE"""),"RSC007327")</f>
        <v>RSC007327</v>
      </c>
      <c r="C336" s="10" t="str">
        <f>IFERROR(__xludf.DUMMYFUNCTION("""COMPUTED_VALUE"""),"User-0ca0854f3f")</f>
        <v>User-0ca0854f3f</v>
      </c>
      <c r="D336" s="36" t="str">
        <f>IFERROR(__xludf.DUMMYFUNCTION("""COMPUTED_VALUE"""),"Black-Holes")</f>
        <v>Black-Holes</v>
      </c>
      <c r="E336" s="10" t="str">
        <f>IFERROR(__xludf.DUMMYFUNCTION("""COMPUTED_VALUE"""),"Lunar")</f>
        <v>Lunar</v>
      </c>
      <c r="F336" s="37">
        <f>IFERROR(__xludf.DUMMYFUNCTION("""COMPUTED_VALUE"""),24.082355516715303)</f>
        <v>24.08235552</v>
      </c>
      <c r="G336" s="38">
        <f>IFERROR(__xludf.DUMMYFUNCTION("""COMPUTED_VALUE"""),22.039298326120328)</f>
        <v>22.03929833</v>
      </c>
      <c r="H336" s="38">
        <f>IFERROR(__xludf.DUMMYFUNCTION("""COMPUTED_VALUE"""),23.060826921417814)</f>
        <v>23.06082692</v>
      </c>
      <c r="I336" s="14">
        <f>IFERROR(__xludf.DUMMYFUNCTION("""COMPUTED_VALUE"""),4.0)</f>
        <v>4</v>
      </c>
      <c r="J336" s="11">
        <f>IFERROR(__xludf.DUMMYFUNCTION("IFERROR(FILTER(Stats!$F:$Z,(Stats!$A:$A=$A336)*(Stats!$B:$B=$B336)))"),3.0)</f>
        <v>3</v>
      </c>
      <c r="K336" s="11">
        <f>IFERROR(__xludf.DUMMYFUNCTION("""COMPUTED_VALUE"""),1.0)</f>
        <v>1</v>
      </c>
      <c r="L336" s="12">
        <f>IFERROR(__xludf.DUMMYFUNCTION("""COMPUTED_VALUE"""),0.75)</f>
        <v>0.75</v>
      </c>
      <c r="M336" s="11">
        <f>IFERROR(__xludf.DUMMYFUNCTION("""COMPUTED_VALUE"""),0.0)</f>
        <v>0</v>
      </c>
      <c r="N336" s="11">
        <f>IFERROR(__xludf.DUMMYFUNCTION("""COMPUTED_VALUE"""),1094.0)</f>
        <v>1094</v>
      </c>
      <c r="O336" s="13">
        <f>IFERROR(__xludf.DUMMYFUNCTION("""COMPUTED_VALUE"""),3.0)</f>
        <v>3</v>
      </c>
      <c r="P336" s="14">
        <f>IFERROR(__xludf.DUMMYFUNCTION("""COMPUTED_VALUE"""),2.0)</f>
        <v>2</v>
      </c>
      <c r="Q336" s="13">
        <f>IFERROR(__xludf.DUMMYFUNCTION("""COMPUTED_VALUE"""),2.0)</f>
        <v>2</v>
      </c>
      <c r="R336" s="13">
        <f>IFERROR(__xludf.DUMMYFUNCTION("""COMPUTED_VALUE"""),7.0)</f>
        <v>7</v>
      </c>
      <c r="S336" s="15">
        <f>IFERROR(__xludf.DUMMYFUNCTION("""COMPUTED_VALUE"""),0.42857142857142855)</f>
        <v>0.4285714286</v>
      </c>
      <c r="T336" s="16">
        <f>IFERROR(__xludf.DUMMYFUNCTION("""COMPUTED_VALUE"""),273.5)</f>
        <v>273.5</v>
      </c>
      <c r="U336" s="16">
        <f>IFERROR(__xludf.DUMMYFUNCTION("""COMPUTED_VALUE"""),0.75)</f>
        <v>0.75</v>
      </c>
      <c r="V336" s="16">
        <f>IFERROR(__xludf.DUMMYFUNCTION("""COMPUTED_VALUE"""),0.5)</f>
        <v>0.5</v>
      </c>
      <c r="W336" s="16">
        <f>IFERROR(__xludf.DUMMYFUNCTION("""COMPUTED_VALUE"""),0.5)</f>
        <v>0.5</v>
      </c>
      <c r="X336" s="16">
        <f>IFERROR(__xludf.DUMMYFUNCTION("""COMPUTED_VALUE"""),1.75)</f>
        <v>1.75</v>
      </c>
      <c r="Y336" s="11">
        <f>IFERROR(__xludf.DUMMYFUNCTION("""COMPUTED_VALUE"""),0.0)</f>
        <v>0</v>
      </c>
      <c r="Z336" s="11">
        <f>IFERROR(__xludf.DUMMYFUNCTION("""COMPUTED_VALUE"""),0.0)</f>
        <v>0</v>
      </c>
      <c r="AA336" s="11">
        <f>IFERROR(__xludf.DUMMYFUNCTION("""COMPUTED_VALUE"""),0.0)</f>
        <v>0</v>
      </c>
      <c r="AB336" s="11">
        <f>IFERROR(__xludf.DUMMYFUNCTION("""COMPUTED_VALUE"""),0.0)</f>
        <v>0</v>
      </c>
      <c r="AC336" s="11">
        <f>IFERROR(__xludf.DUMMYFUNCTION("""COMPUTED_VALUE"""),4.0)</f>
        <v>4</v>
      </c>
      <c r="AD336" s="11">
        <f>IFERROR(__xludf.DUMMYFUNCTION("""COMPUTED_VALUE"""),1.0)</f>
        <v>1</v>
      </c>
    </row>
    <row r="337">
      <c r="A337" s="10" t="str">
        <f>IFERROR(__xludf.DUMMYFUNCTION("""COMPUTED_VALUE"""),"Elite")</f>
        <v>Elite</v>
      </c>
      <c r="B337" s="10" t="str">
        <f>IFERROR(__xludf.DUMMYFUNCTION("""COMPUTED_VALUE"""),"RSC007341")</f>
        <v>RSC007341</v>
      </c>
      <c r="C337" s="10" t="str">
        <f>IFERROR(__xludf.DUMMYFUNCTION("""COMPUTED_VALUE"""),"Squashy")</f>
        <v>Squashy</v>
      </c>
      <c r="D337" s="36" t="str">
        <f>IFERROR(__xludf.DUMMYFUNCTION("""COMPUTED_VALUE"""),"Raptors")</f>
        <v>Raptors</v>
      </c>
      <c r="E337" s="10" t="str">
        <f>IFERROR(__xludf.DUMMYFUNCTION("""COMPUTED_VALUE"""),"Lunar")</f>
        <v>Lunar</v>
      </c>
      <c r="F337" s="37">
        <f>IFERROR(__xludf.DUMMYFUNCTION("""COMPUTED_VALUE"""),30.77973657623972)</f>
        <v>30.77973658</v>
      </c>
      <c r="G337" s="38">
        <f>IFERROR(__xludf.DUMMYFUNCTION("""COMPUTED_VALUE"""),15.245724129162305)</f>
        <v>15.24572413</v>
      </c>
      <c r="H337" s="38">
        <f>IFERROR(__xludf.DUMMYFUNCTION("""COMPUTED_VALUE"""),23.012730352701013)</f>
        <v>23.01273035</v>
      </c>
      <c r="I337" s="14">
        <f>IFERROR(__xludf.DUMMYFUNCTION("""COMPUTED_VALUE"""),34.0)</f>
        <v>34</v>
      </c>
      <c r="J337" s="11">
        <f>IFERROR(__xludf.DUMMYFUNCTION("IFERROR(FILTER(Stats!$F:$Z,(Stats!$A:$A=$A337)*(Stats!$B:$B=$B337)))"),3.0)</f>
        <v>3</v>
      </c>
      <c r="K337" s="11">
        <f>IFERROR(__xludf.DUMMYFUNCTION("""COMPUTED_VALUE"""),31.0)</f>
        <v>31</v>
      </c>
      <c r="L337" s="12">
        <f>IFERROR(__xludf.DUMMYFUNCTION("""COMPUTED_VALUE"""),0.08823529411764706)</f>
        <v>0.08823529412</v>
      </c>
      <c r="M337" s="11">
        <f>IFERROR(__xludf.DUMMYFUNCTION("""COMPUTED_VALUE"""),1.0)</f>
        <v>1</v>
      </c>
      <c r="N337" s="11">
        <f>IFERROR(__xludf.DUMMYFUNCTION("""COMPUTED_VALUE"""),11248.0)</f>
        <v>11248</v>
      </c>
      <c r="O337" s="13">
        <f>IFERROR(__xludf.DUMMYFUNCTION("""COMPUTED_VALUE"""),14.0)</f>
        <v>14</v>
      </c>
      <c r="P337" s="14">
        <f>IFERROR(__xludf.DUMMYFUNCTION("""COMPUTED_VALUE"""),14.0)</f>
        <v>14</v>
      </c>
      <c r="Q337" s="13">
        <f>IFERROR(__xludf.DUMMYFUNCTION("""COMPUTED_VALUE"""),60.0)</f>
        <v>60</v>
      </c>
      <c r="R337" s="13">
        <f>IFERROR(__xludf.DUMMYFUNCTION("""COMPUTED_VALUE"""),74.0)</f>
        <v>74</v>
      </c>
      <c r="S337" s="15">
        <f>IFERROR(__xludf.DUMMYFUNCTION("""COMPUTED_VALUE"""),0.1891891891891892)</f>
        <v>0.1891891892</v>
      </c>
      <c r="T337" s="16">
        <f>IFERROR(__xludf.DUMMYFUNCTION("""COMPUTED_VALUE"""),330.8235294117647)</f>
        <v>330.8235294</v>
      </c>
      <c r="U337" s="16">
        <f>IFERROR(__xludf.DUMMYFUNCTION("""COMPUTED_VALUE"""),0.4117647058823529)</f>
        <v>0.4117647059</v>
      </c>
      <c r="V337" s="16">
        <f>IFERROR(__xludf.DUMMYFUNCTION("""COMPUTED_VALUE"""),0.4117647058823529)</f>
        <v>0.4117647059</v>
      </c>
      <c r="W337" s="16">
        <f>IFERROR(__xludf.DUMMYFUNCTION("""COMPUTED_VALUE"""),1.7647058823529411)</f>
        <v>1.764705882</v>
      </c>
      <c r="X337" s="16">
        <f>IFERROR(__xludf.DUMMYFUNCTION("""COMPUTED_VALUE"""),2.176470588235294)</f>
        <v>2.176470588</v>
      </c>
      <c r="Y337" s="11">
        <f>IFERROR(__xludf.DUMMYFUNCTION("""COMPUTED_VALUE"""),4.0)</f>
        <v>4</v>
      </c>
      <c r="Z337" s="11">
        <f>IFERROR(__xludf.DUMMYFUNCTION("""COMPUTED_VALUE"""),0.0)</f>
        <v>0</v>
      </c>
      <c r="AA337" s="11">
        <f>IFERROR(__xludf.DUMMYFUNCTION("""COMPUTED_VALUE"""),0.0)</f>
        <v>0</v>
      </c>
      <c r="AB337" s="11">
        <f>IFERROR(__xludf.DUMMYFUNCTION("""COMPUTED_VALUE"""),8.0)</f>
        <v>8</v>
      </c>
      <c r="AC337" s="11">
        <f>IFERROR(__xludf.DUMMYFUNCTION("""COMPUTED_VALUE"""),24.0)</f>
        <v>24</v>
      </c>
      <c r="AD337" s="11">
        <f>IFERROR(__xludf.DUMMYFUNCTION("""COMPUTED_VALUE"""),35.0)</f>
        <v>35</v>
      </c>
    </row>
    <row r="338">
      <c r="A338" s="10" t="str">
        <f>IFERROR(__xludf.DUMMYFUNCTION("""COMPUTED_VALUE"""),"Elite")</f>
        <v>Elite</v>
      </c>
      <c r="B338" s="10" t="str">
        <f>IFERROR(__xludf.DUMMYFUNCTION("""COMPUTED_VALUE"""),"RSC008403")</f>
        <v>RSC008403</v>
      </c>
      <c r="C338" s="10" t="str">
        <f>IFERROR(__xludf.DUMMYFUNCTION("""COMPUTED_VALUE"""),"mightie31")</f>
        <v>mightie31</v>
      </c>
      <c r="D338" s="36" t="str">
        <f>IFERROR(__xludf.DUMMYFUNCTION("""COMPUTED_VALUE"""),"Immortals
Raptors")</f>
        <v>Immortals
Raptors</v>
      </c>
      <c r="E338" s="10" t="str">
        <f>IFERROR(__xludf.DUMMYFUNCTION("""COMPUTED_VALUE"""),"Lunar
Lunar")</f>
        <v>Lunar
Lunar</v>
      </c>
      <c r="F338" s="37">
        <f>IFERROR(__xludf.DUMMYFUNCTION("""COMPUTED_VALUE"""),23.599915965423325)</f>
        <v>23.59991597</v>
      </c>
      <c r="G338" s="38">
        <f>IFERROR(__xludf.DUMMYFUNCTION("""COMPUTED_VALUE"""),22.049227910084685)</f>
        <v>22.04922791</v>
      </c>
      <c r="H338" s="38">
        <f>IFERROR(__xludf.DUMMYFUNCTION("""COMPUTED_VALUE"""),22.824571937754005)</f>
        <v>22.82457194</v>
      </c>
      <c r="I338" s="14">
        <f>IFERROR(__xludf.DUMMYFUNCTION("""COMPUTED_VALUE"""),32.0)</f>
        <v>32</v>
      </c>
      <c r="J338" s="11">
        <f>IFERROR(__xludf.DUMMYFUNCTION("IFERROR(FILTER(Stats!$F:$Z,(Stats!$A:$A=$A338)*(Stats!$B:$B=$B338)))"),9.0)</f>
        <v>9</v>
      </c>
      <c r="K338" s="11">
        <f>IFERROR(__xludf.DUMMYFUNCTION("""COMPUTED_VALUE"""),23.0)</f>
        <v>23</v>
      </c>
      <c r="L338" s="12">
        <f>IFERROR(__xludf.DUMMYFUNCTION("""COMPUTED_VALUE"""),0.28125)</f>
        <v>0.28125</v>
      </c>
      <c r="M338" s="11">
        <f>IFERROR(__xludf.DUMMYFUNCTION("""COMPUTED_VALUE"""),1.0)</f>
        <v>1</v>
      </c>
      <c r="N338" s="11">
        <f>IFERROR(__xludf.DUMMYFUNCTION("""COMPUTED_VALUE"""),9347.0)</f>
        <v>9347</v>
      </c>
      <c r="O338" s="13">
        <f>IFERROR(__xludf.DUMMYFUNCTION("""COMPUTED_VALUE"""),13.0)</f>
        <v>13</v>
      </c>
      <c r="P338" s="14">
        <f>IFERROR(__xludf.DUMMYFUNCTION("""COMPUTED_VALUE"""),12.0)</f>
        <v>12</v>
      </c>
      <c r="Q338" s="13">
        <f>IFERROR(__xludf.DUMMYFUNCTION("""COMPUTED_VALUE"""),39.0)</f>
        <v>39</v>
      </c>
      <c r="R338" s="13">
        <f>IFERROR(__xludf.DUMMYFUNCTION("""COMPUTED_VALUE"""),62.0)</f>
        <v>62</v>
      </c>
      <c r="S338" s="15">
        <f>IFERROR(__xludf.DUMMYFUNCTION("""COMPUTED_VALUE"""),0.20967741935483872)</f>
        <v>0.2096774194</v>
      </c>
      <c r="T338" s="16">
        <f>IFERROR(__xludf.DUMMYFUNCTION("""COMPUTED_VALUE"""),292.09375)</f>
        <v>292.09375</v>
      </c>
      <c r="U338" s="16">
        <f>IFERROR(__xludf.DUMMYFUNCTION("""COMPUTED_VALUE"""),0.40625)</f>
        <v>0.40625</v>
      </c>
      <c r="V338" s="16">
        <f>IFERROR(__xludf.DUMMYFUNCTION("""COMPUTED_VALUE"""),0.375)</f>
        <v>0.375</v>
      </c>
      <c r="W338" s="16">
        <f>IFERROR(__xludf.DUMMYFUNCTION("""COMPUTED_VALUE"""),1.21875)</f>
        <v>1.21875</v>
      </c>
      <c r="X338" s="16">
        <f>IFERROR(__xludf.DUMMYFUNCTION("""COMPUTED_VALUE"""),1.9375)</f>
        <v>1.9375</v>
      </c>
      <c r="Y338" s="11">
        <f>IFERROR(__xludf.DUMMYFUNCTION("""COMPUTED_VALUE"""),3.0)</f>
        <v>3</v>
      </c>
      <c r="Z338" s="11">
        <f>IFERROR(__xludf.DUMMYFUNCTION("""COMPUTED_VALUE"""),0.0)</f>
        <v>0</v>
      </c>
      <c r="AA338" s="11">
        <f>IFERROR(__xludf.DUMMYFUNCTION("""COMPUTED_VALUE"""),0.0)</f>
        <v>0</v>
      </c>
      <c r="AB338" s="11">
        <f>IFERROR(__xludf.DUMMYFUNCTION("""COMPUTED_VALUE"""),3.0)</f>
        <v>3</v>
      </c>
      <c r="AC338" s="11">
        <f>IFERROR(__xludf.DUMMYFUNCTION("""COMPUTED_VALUE"""),22.0)</f>
        <v>22</v>
      </c>
      <c r="AD338" s="11">
        <f>IFERROR(__xludf.DUMMYFUNCTION("""COMPUTED_VALUE"""),31.0)</f>
        <v>31</v>
      </c>
    </row>
    <row r="339">
      <c r="A339" s="10" t="str">
        <f>IFERROR(__xludf.DUMMYFUNCTION("""COMPUTED_VALUE"""),"Elite")</f>
        <v>Elite</v>
      </c>
      <c r="B339" s="10" t="str">
        <f>IFERROR(__xludf.DUMMYFUNCTION("""COMPUTED_VALUE"""),"RSC007607")</f>
        <v>RSC007607</v>
      </c>
      <c r="C339" s="10" t="str">
        <f>IFERROR(__xludf.DUMMYFUNCTION("""COMPUTED_VALUE"""),"GameGang")</f>
        <v>GameGang</v>
      </c>
      <c r="D339" s="36" t="str">
        <f>IFERROR(__xludf.DUMMYFUNCTION("""COMPUTED_VALUE"""),"Raptors
Sloths")</f>
        <v>Raptors
Sloths</v>
      </c>
      <c r="E339" s="10" t="str">
        <f>IFERROR(__xludf.DUMMYFUNCTION("""COMPUTED_VALUE"""),"Lunar
Solar")</f>
        <v>Lunar
Solar</v>
      </c>
      <c r="F339" s="37">
        <f>IFERROR(__xludf.DUMMYFUNCTION("""COMPUTED_VALUE"""),20.51434885233588)</f>
        <v>20.51434885</v>
      </c>
      <c r="G339" s="38">
        <f>IFERROR(__xludf.DUMMYFUNCTION("""COMPUTED_VALUE"""),21.93434409926539)</f>
        <v>21.9343441</v>
      </c>
      <c r="H339" s="38">
        <f>IFERROR(__xludf.DUMMYFUNCTION("""COMPUTED_VALUE"""),21.224346475800637)</f>
        <v>21.22434648</v>
      </c>
      <c r="I339" s="14">
        <f>IFERROR(__xludf.DUMMYFUNCTION("""COMPUTED_VALUE"""),34.0)</f>
        <v>34</v>
      </c>
      <c r="J339" s="11">
        <f>IFERROR(__xludf.DUMMYFUNCTION("IFERROR(FILTER(Stats!$F:$Z,(Stats!$A:$A=$A339)*(Stats!$B:$B=$B339)))"),11.0)</f>
        <v>11</v>
      </c>
      <c r="K339" s="11">
        <f>IFERROR(__xludf.DUMMYFUNCTION("""COMPUTED_VALUE"""),23.0)</f>
        <v>23</v>
      </c>
      <c r="L339" s="12">
        <f>IFERROR(__xludf.DUMMYFUNCTION("""COMPUTED_VALUE"""),0.3235294117647059)</f>
        <v>0.3235294118</v>
      </c>
      <c r="M339" s="11">
        <f>IFERROR(__xludf.DUMMYFUNCTION("""COMPUTED_VALUE"""),1.0)</f>
        <v>1</v>
      </c>
      <c r="N339" s="11">
        <f>IFERROR(__xludf.DUMMYFUNCTION("""COMPUTED_VALUE"""),9687.0)</f>
        <v>9687</v>
      </c>
      <c r="O339" s="13">
        <f>IFERROR(__xludf.DUMMYFUNCTION("""COMPUTED_VALUE"""),20.0)</f>
        <v>20</v>
      </c>
      <c r="P339" s="14">
        <f>IFERROR(__xludf.DUMMYFUNCTION("""COMPUTED_VALUE"""),13.0)</f>
        <v>13</v>
      </c>
      <c r="Q339" s="13">
        <f>IFERROR(__xludf.DUMMYFUNCTION("""COMPUTED_VALUE"""),33.0)</f>
        <v>33</v>
      </c>
      <c r="R339" s="13">
        <f>IFERROR(__xludf.DUMMYFUNCTION("""COMPUTED_VALUE"""),80.0)</f>
        <v>80</v>
      </c>
      <c r="S339" s="15">
        <f>IFERROR(__xludf.DUMMYFUNCTION("""COMPUTED_VALUE"""),0.25)</f>
        <v>0.25</v>
      </c>
      <c r="T339" s="16">
        <f>IFERROR(__xludf.DUMMYFUNCTION("""COMPUTED_VALUE"""),284.9117647058824)</f>
        <v>284.9117647</v>
      </c>
      <c r="U339" s="16">
        <f>IFERROR(__xludf.DUMMYFUNCTION("""COMPUTED_VALUE"""),0.5882352941176471)</f>
        <v>0.5882352941</v>
      </c>
      <c r="V339" s="16">
        <f>IFERROR(__xludf.DUMMYFUNCTION("""COMPUTED_VALUE"""),0.38235294117647056)</f>
        <v>0.3823529412</v>
      </c>
      <c r="W339" s="16">
        <f>IFERROR(__xludf.DUMMYFUNCTION("""COMPUTED_VALUE"""),0.9705882352941176)</f>
        <v>0.9705882353</v>
      </c>
      <c r="X339" s="16">
        <f>IFERROR(__xludf.DUMMYFUNCTION("""COMPUTED_VALUE"""),2.3529411764705883)</f>
        <v>2.352941176</v>
      </c>
      <c r="Y339" s="11">
        <f>IFERROR(__xludf.DUMMYFUNCTION("""COMPUTED_VALUE"""),4.0)</f>
        <v>4</v>
      </c>
      <c r="Z339" s="11">
        <f>IFERROR(__xludf.DUMMYFUNCTION("""COMPUTED_VALUE"""),0.0)</f>
        <v>0</v>
      </c>
      <c r="AA339" s="11">
        <f>IFERROR(__xludf.DUMMYFUNCTION("""COMPUTED_VALUE"""),0.0)</f>
        <v>0</v>
      </c>
      <c r="AB339" s="11">
        <f>IFERROR(__xludf.DUMMYFUNCTION("""COMPUTED_VALUE"""),3.0)</f>
        <v>3</v>
      </c>
      <c r="AC339" s="11">
        <f>IFERROR(__xludf.DUMMYFUNCTION("""COMPUTED_VALUE"""),40.0)</f>
        <v>40</v>
      </c>
      <c r="AD339" s="11">
        <f>IFERROR(__xludf.DUMMYFUNCTION("""COMPUTED_VALUE"""),42.0)</f>
        <v>42</v>
      </c>
    </row>
    <row r="340">
      <c r="A340" s="10" t="str">
        <f>IFERROR(__xludf.DUMMYFUNCTION("""COMPUTED_VALUE"""),"Elite")</f>
        <v>Elite</v>
      </c>
      <c r="B340" s="10" t="str">
        <f>IFERROR(__xludf.DUMMYFUNCTION("""COMPUTED_VALUE"""),"RSC003953")</f>
        <v>RSC003953</v>
      </c>
      <c r="C340" s="10" t="str">
        <f>IFERROR(__xludf.DUMMYFUNCTION("""COMPUTED_VALUE"""),"JustHere4SalCap")</f>
        <v>JustHere4SalCap</v>
      </c>
      <c r="D340" s="36" t="str">
        <f>IFERROR(__xludf.DUMMYFUNCTION("""COMPUTED_VALUE"""),"Hellhounds")</f>
        <v>Hellhounds</v>
      </c>
      <c r="E340" s="10" t="str">
        <f>IFERROR(__xludf.DUMMYFUNCTION("""COMPUTED_VALUE"""),"Solar")</f>
        <v>Solar</v>
      </c>
      <c r="F340" s="37">
        <f>IFERROR(__xludf.DUMMYFUNCTION("""COMPUTED_VALUE"""),22.662609678077832)</f>
        <v>22.66260968</v>
      </c>
      <c r="G340" s="38">
        <f>IFERROR(__xludf.DUMMYFUNCTION("""COMPUTED_VALUE"""),18.263336649541035)</f>
        <v>18.26333665</v>
      </c>
      <c r="H340" s="38">
        <f>IFERROR(__xludf.DUMMYFUNCTION("""COMPUTED_VALUE"""),20.462973163809433)</f>
        <v>20.46297316</v>
      </c>
      <c r="I340" s="14">
        <f>IFERROR(__xludf.DUMMYFUNCTION("""COMPUTED_VALUE"""),14.0)</f>
        <v>14</v>
      </c>
      <c r="J340" s="11">
        <f>IFERROR(__xludf.DUMMYFUNCTION("IFERROR(FILTER(Stats!$F:$Z,(Stats!$A:$A=$A340)*(Stats!$B:$B=$B340)))"),7.0)</f>
        <v>7</v>
      </c>
      <c r="K340" s="11">
        <f>IFERROR(__xludf.DUMMYFUNCTION("""COMPUTED_VALUE"""),7.0)</f>
        <v>7</v>
      </c>
      <c r="L340" s="12">
        <f>IFERROR(__xludf.DUMMYFUNCTION("""COMPUTED_VALUE"""),0.5)</f>
        <v>0.5</v>
      </c>
      <c r="M340" s="11">
        <f>IFERROR(__xludf.DUMMYFUNCTION("""COMPUTED_VALUE"""),0.0)</f>
        <v>0</v>
      </c>
      <c r="N340" s="11">
        <f>IFERROR(__xludf.DUMMYFUNCTION("""COMPUTED_VALUE"""),4153.0)</f>
        <v>4153</v>
      </c>
      <c r="O340" s="13">
        <f>IFERROR(__xludf.DUMMYFUNCTION("""COMPUTED_VALUE"""),1.0)</f>
        <v>1</v>
      </c>
      <c r="P340" s="14">
        <f>IFERROR(__xludf.DUMMYFUNCTION("""COMPUTED_VALUE"""),12.0)</f>
        <v>12</v>
      </c>
      <c r="Q340" s="13">
        <f>IFERROR(__xludf.DUMMYFUNCTION("""COMPUTED_VALUE"""),22.0)</f>
        <v>22</v>
      </c>
      <c r="R340" s="13">
        <f>IFERROR(__xludf.DUMMYFUNCTION("""COMPUTED_VALUE"""),24.0)</f>
        <v>24</v>
      </c>
      <c r="S340" s="15">
        <f>IFERROR(__xludf.DUMMYFUNCTION("""COMPUTED_VALUE"""),0.041666666666666664)</f>
        <v>0.04166666667</v>
      </c>
      <c r="T340" s="16">
        <f>IFERROR(__xludf.DUMMYFUNCTION("""COMPUTED_VALUE"""),296.64285714285717)</f>
        <v>296.6428571</v>
      </c>
      <c r="U340" s="16">
        <f>IFERROR(__xludf.DUMMYFUNCTION("""COMPUTED_VALUE"""),0.07142857142857142)</f>
        <v>0.07142857143</v>
      </c>
      <c r="V340" s="16">
        <f>IFERROR(__xludf.DUMMYFUNCTION("""COMPUTED_VALUE"""),0.8571428571428571)</f>
        <v>0.8571428571</v>
      </c>
      <c r="W340" s="16">
        <f>IFERROR(__xludf.DUMMYFUNCTION("""COMPUTED_VALUE"""),1.5714285714285714)</f>
        <v>1.571428571</v>
      </c>
      <c r="X340" s="16">
        <f>IFERROR(__xludf.DUMMYFUNCTION("""COMPUTED_VALUE"""),1.7142857142857142)</f>
        <v>1.714285714</v>
      </c>
      <c r="Y340" s="11">
        <f>IFERROR(__xludf.DUMMYFUNCTION("""COMPUTED_VALUE"""),0.0)</f>
        <v>0</v>
      </c>
      <c r="Z340" s="11">
        <f>IFERROR(__xludf.DUMMYFUNCTION("""COMPUTED_VALUE"""),0.0)</f>
        <v>0</v>
      </c>
      <c r="AA340" s="11">
        <f>IFERROR(__xludf.DUMMYFUNCTION("""COMPUTED_VALUE"""),1.0)</f>
        <v>1</v>
      </c>
      <c r="AB340" s="11">
        <f>IFERROR(__xludf.DUMMYFUNCTION("""COMPUTED_VALUE"""),2.0)</f>
        <v>2</v>
      </c>
      <c r="AC340" s="11">
        <f>IFERROR(__xludf.DUMMYFUNCTION("""COMPUTED_VALUE"""),6.0)</f>
        <v>6</v>
      </c>
      <c r="AD340" s="11">
        <f>IFERROR(__xludf.DUMMYFUNCTION("""COMPUTED_VALUE"""),26.0)</f>
        <v>26</v>
      </c>
    </row>
    <row r="341">
      <c r="A341" s="10" t="str">
        <f>IFERROR(__xludf.DUMMYFUNCTION("""COMPUTED_VALUE"""),"Elite")</f>
        <v>Elite</v>
      </c>
      <c r="B341" s="10" t="str">
        <f>IFERROR(__xludf.DUMMYFUNCTION("""COMPUTED_VALUE"""),"RSC002544")</f>
        <v>RSC002544</v>
      </c>
      <c r="C341" s="10" t="str">
        <f>IFERROR(__xludf.DUMMYFUNCTION("""COMPUTED_VALUE"""),"ItsJusstJ.")</f>
        <v>ItsJusstJ.</v>
      </c>
      <c r="D341" s="36" t="str">
        <f>IFERROR(__xludf.DUMMYFUNCTION("""COMPUTED_VALUE"""),"Sloths")</f>
        <v>Sloths</v>
      </c>
      <c r="E341" s="10" t="str">
        <f>IFERROR(__xludf.DUMMYFUNCTION("""COMPUTED_VALUE"""),"Solar")</f>
        <v>Solar</v>
      </c>
      <c r="F341" s="37">
        <f>IFERROR(__xludf.DUMMYFUNCTION("""COMPUTED_VALUE"""),27.64170198410327)</f>
        <v>27.64170198</v>
      </c>
      <c r="G341" s="38">
        <f>IFERROR(__xludf.DUMMYFUNCTION("""COMPUTED_VALUE"""),10.668419398294382)</f>
        <v>10.6684194</v>
      </c>
      <c r="H341" s="38">
        <f>IFERROR(__xludf.DUMMYFUNCTION("""COMPUTED_VALUE"""),19.155060691198827)</f>
        <v>19.15506069</v>
      </c>
      <c r="I341" s="14">
        <f>IFERROR(__xludf.DUMMYFUNCTION("""COMPUTED_VALUE"""),1.0)</f>
        <v>1</v>
      </c>
      <c r="J341" s="11">
        <f>IFERROR(__xludf.DUMMYFUNCTION("IFERROR(FILTER(Stats!$F:$Z,(Stats!$A:$A=$A341)*(Stats!$B:$B=$B341)))"),0.0)</f>
        <v>0</v>
      </c>
      <c r="K341" s="11">
        <f>IFERROR(__xludf.DUMMYFUNCTION("""COMPUTED_VALUE"""),1.0)</f>
        <v>1</v>
      </c>
      <c r="L341" s="12">
        <f>IFERROR(__xludf.DUMMYFUNCTION("""COMPUTED_VALUE"""),0.0)</f>
        <v>0</v>
      </c>
      <c r="M341" s="11">
        <f>IFERROR(__xludf.DUMMYFUNCTION("""COMPUTED_VALUE"""),0.0)</f>
        <v>0</v>
      </c>
      <c r="N341" s="11">
        <f>IFERROR(__xludf.DUMMYFUNCTION("""COMPUTED_VALUE"""),284.0)</f>
        <v>284</v>
      </c>
      <c r="O341" s="13">
        <f>IFERROR(__xludf.DUMMYFUNCTION("""COMPUTED_VALUE"""),0.0)</f>
        <v>0</v>
      </c>
      <c r="P341" s="14">
        <f>IFERROR(__xludf.DUMMYFUNCTION("""COMPUTED_VALUE"""),1.0)</f>
        <v>1</v>
      </c>
      <c r="Q341" s="13">
        <f>IFERROR(__xludf.DUMMYFUNCTION("""COMPUTED_VALUE"""),2.0)</f>
        <v>2</v>
      </c>
      <c r="R341" s="13">
        <f>IFERROR(__xludf.DUMMYFUNCTION("""COMPUTED_VALUE"""),3.0)</f>
        <v>3</v>
      </c>
      <c r="S341" s="15">
        <f>IFERROR(__xludf.DUMMYFUNCTION("""COMPUTED_VALUE"""),0.0)</f>
        <v>0</v>
      </c>
      <c r="T341" s="16">
        <f>IFERROR(__xludf.DUMMYFUNCTION("""COMPUTED_VALUE"""),284.0)</f>
        <v>284</v>
      </c>
      <c r="U341" s="16">
        <f>IFERROR(__xludf.DUMMYFUNCTION("""COMPUTED_VALUE"""),0.0)</f>
        <v>0</v>
      </c>
      <c r="V341" s="16">
        <f>IFERROR(__xludf.DUMMYFUNCTION("""COMPUTED_VALUE"""),1.0)</f>
        <v>1</v>
      </c>
      <c r="W341" s="16">
        <f>IFERROR(__xludf.DUMMYFUNCTION("""COMPUTED_VALUE"""),2.0)</f>
        <v>2</v>
      </c>
      <c r="X341" s="16">
        <f>IFERROR(__xludf.DUMMYFUNCTION("""COMPUTED_VALUE"""),3.0)</f>
        <v>3</v>
      </c>
      <c r="Y341" s="11">
        <f>IFERROR(__xludf.DUMMYFUNCTION("""COMPUTED_VALUE"""),0.0)</f>
        <v>0</v>
      </c>
      <c r="Z341" s="11">
        <f>IFERROR(__xludf.DUMMYFUNCTION("""COMPUTED_VALUE"""),0.0)</f>
        <v>0</v>
      </c>
      <c r="AA341" s="11">
        <f>IFERROR(__xludf.DUMMYFUNCTION("""COMPUTED_VALUE"""),0.0)</f>
        <v>0</v>
      </c>
      <c r="AB341" s="11">
        <f>IFERROR(__xludf.DUMMYFUNCTION("""COMPUTED_VALUE"""),0.0)</f>
        <v>0</v>
      </c>
      <c r="AC341" s="11">
        <f>IFERROR(__xludf.DUMMYFUNCTION("""COMPUTED_VALUE"""),2.0)</f>
        <v>2</v>
      </c>
      <c r="AD341" s="11">
        <f>IFERROR(__xludf.DUMMYFUNCTION("""COMPUTED_VALUE"""),3.0)</f>
        <v>3</v>
      </c>
    </row>
    <row r="342">
      <c r="A342" s="10" t="str">
        <f>IFERROR(__xludf.DUMMYFUNCTION("""COMPUTED_VALUE"""),"Elite")</f>
        <v>Elite</v>
      </c>
      <c r="B342" s="10" t="str">
        <f>IFERROR(__xludf.DUMMYFUNCTION("""COMPUTED_VALUE"""),"RSC008478")</f>
        <v>RSC008478</v>
      </c>
      <c r="C342" s="10" t="str">
        <f>IFERROR(__xludf.DUMMYFUNCTION("""COMPUTED_VALUE"""),"Inflict")</f>
        <v>Inflict</v>
      </c>
      <c r="D342" s="36" t="str">
        <f>IFERROR(__xludf.DUMMYFUNCTION("""COMPUTED_VALUE"""),"Teddy Bears")</f>
        <v>Teddy Bears</v>
      </c>
      <c r="E342" s="10" t="str">
        <f>IFERROR(__xludf.DUMMYFUNCTION("""COMPUTED_VALUE"""),"Solar")</f>
        <v>Solar</v>
      </c>
      <c r="F342" s="37">
        <f>IFERROR(__xludf.DUMMYFUNCTION("""COMPUTED_VALUE"""),19.372437805835602)</f>
        <v>19.37243781</v>
      </c>
      <c r="G342" s="38">
        <f>IFERROR(__xludf.DUMMYFUNCTION("""COMPUTED_VALUE"""),14.619976036954277)</f>
        <v>14.61997604</v>
      </c>
      <c r="H342" s="38">
        <f>IFERROR(__xludf.DUMMYFUNCTION("""COMPUTED_VALUE"""),16.99620692139494)</f>
        <v>16.99620692</v>
      </c>
      <c r="I342" s="14">
        <f>IFERROR(__xludf.DUMMYFUNCTION("""COMPUTED_VALUE"""),12.0)</f>
        <v>12</v>
      </c>
      <c r="J342" s="11">
        <f>IFERROR(__xludf.DUMMYFUNCTION("IFERROR(FILTER(Stats!$F:$Z,(Stats!$A:$A=$A342)*(Stats!$B:$B=$B342)))"),1.0)</f>
        <v>1</v>
      </c>
      <c r="K342" s="11">
        <f>IFERROR(__xludf.DUMMYFUNCTION("""COMPUTED_VALUE"""),11.0)</f>
        <v>11</v>
      </c>
      <c r="L342" s="12">
        <f>IFERROR(__xludf.DUMMYFUNCTION("""COMPUTED_VALUE"""),0.08333333333333333)</f>
        <v>0.08333333333</v>
      </c>
      <c r="M342" s="11">
        <f>IFERROR(__xludf.DUMMYFUNCTION("""COMPUTED_VALUE"""),0.0)</f>
        <v>0</v>
      </c>
      <c r="N342" s="11">
        <f>IFERROR(__xludf.DUMMYFUNCTION("""COMPUTED_VALUE"""),3586.0)</f>
        <v>3586</v>
      </c>
      <c r="O342" s="13">
        <f>IFERROR(__xludf.DUMMYFUNCTION("""COMPUTED_VALUE"""),7.0)</f>
        <v>7</v>
      </c>
      <c r="P342" s="14">
        <f>IFERROR(__xludf.DUMMYFUNCTION("""COMPUTED_VALUE"""),3.0)</f>
        <v>3</v>
      </c>
      <c r="Q342" s="13">
        <f>IFERROR(__xludf.DUMMYFUNCTION("""COMPUTED_VALUE"""),17.0)</f>
        <v>17</v>
      </c>
      <c r="R342" s="13">
        <f>IFERROR(__xludf.DUMMYFUNCTION("""COMPUTED_VALUE"""),25.0)</f>
        <v>25</v>
      </c>
      <c r="S342" s="15">
        <f>IFERROR(__xludf.DUMMYFUNCTION("""COMPUTED_VALUE"""),0.28)</f>
        <v>0.28</v>
      </c>
      <c r="T342" s="16">
        <f>IFERROR(__xludf.DUMMYFUNCTION("""COMPUTED_VALUE"""),298.8333333333333)</f>
        <v>298.8333333</v>
      </c>
      <c r="U342" s="16">
        <f>IFERROR(__xludf.DUMMYFUNCTION("""COMPUTED_VALUE"""),0.5833333333333334)</f>
        <v>0.5833333333</v>
      </c>
      <c r="V342" s="16">
        <f>IFERROR(__xludf.DUMMYFUNCTION("""COMPUTED_VALUE"""),0.25)</f>
        <v>0.25</v>
      </c>
      <c r="W342" s="16">
        <f>IFERROR(__xludf.DUMMYFUNCTION("""COMPUTED_VALUE"""),1.4166666666666667)</f>
        <v>1.416666667</v>
      </c>
      <c r="X342" s="16">
        <f>IFERROR(__xludf.DUMMYFUNCTION("""COMPUTED_VALUE"""),2.0833333333333335)</f>
        <v>2.083333333</v>
      </c>
      <c r="Y342" s="11">
        <f>IFERROR(__xludf.DUMMYFUNCTION("""COMPUTED_VALUE"""),2.0)</f>
        <v>2</v>
      </c>
      <c r="Z342" s="11">
        <f>IFERROR(__xludf.DUMMYFUNCTION("""COMPUTED_VALUE"""),0.0)</f>
        <v>0</v>
      </c>
      <c r="AA342" s="11">
        <f>IFERROR(__xludf.DUMMYFUNCTION("""COMPUTED_VALUE"""),0.0)</f>
        <v>0</v>
      </c>
      <c r="AB342" s="11">
        <f>IFERROR(__xludf.DUMMYFUNCTION("""COMPUTED_VALUE"""),3.0)</f>
        <v>3</v>
      </c>
      <c r="AC342" s="11">
        <f>IFERROR(__xludf.DUMMYFUNCTION("""COMPUTED_VALUE"""),7.0)</f>
        <v>7</v>
      </c>
      <c r="AD342" s="11">
        <f>IFERROR(__xludf.DUMMYFUNCTION("""COMPUTED_VALUE"""),18.0)</f>
        <v>18</v>
      </c>
    </row>
    <row r="343">
      <c r="A343" s="10" t="str">
        <f>IFERROR(__xludf.DUMMYFUNCTION("""COMPUTED_VALUE"""),"Elite")</f>
        <v>Elite</v>
      </c>
      <c r="B343" s="10" t="str">
        <f>IFERROR(__xludf.DUMMYFUNCTION("""COMPUTED_VALUE"""),"RSC007930")</f>
        <v>RSC007930</v>
      </c>
      <c r="C343" s="10" t="str">
        <f>IFERROR(__xludf.DUMMYFUNCTION("""COMPUTED_VALUE"""),"Ziffy")</f>
        <v>Ziffy</v>
      </c>
      <c r="D343" s="36" t="str">
        <f>IFERROR(__xludf.DUMMYFUNCTION("""COMPUTED_VALUE"""),"Forest Cobra
Thrashers")</f>
        <v>Forest Cobra
Thrashers</v>
      </c>
      <c r="E343" s="10" t="str">
        <f>IFERROR(__xludf.DUMMYFUNCTION("""COMPUTED_VALUE"""),"Lunar
Lunar")</f>
        <v>Lunar
Lunar</v>
      </c>
      <c r="F343" s="37">
        <f>IFERROR(__xludf.DUMMYFUNCTION("""COMPUTED_VALUE"""),19.672573855118337)</f>
        <v>19.67257386</v>
      </c>
      <c r="G343" s="38">
        <f>IFERROR(__xludf.DUMMYFUNCTION("""COMPUTED_VALUE"""),13.066735184148548)</f>
        <v>13.06673518</v>
      </c>
      <c r="H343" s="38">
        <f>IFERROR(__xludf.DUMMYFUNCTION("""COMPUTED_VALUE"""),16.369654519633443)</f>
        <v>16.36965452</v>
      </c>
      <c r="I343" s="14">
        <f>IFERROR(__xludf.DUMMYFUNCTION("""COMPUTED_VALUE"""),7.0)</f>
        <v>7</v>
      </c>
      <c r="J343" s="11">
        <f>IFERROR(__xludf.DUMMYFUNCTION("IFERROR(FILTER(Stats!$F:$Z,(Stats!$A:$A=$A343)*(Stats!$B:$B=$B343)))"),0.0)</f>
        <v>0</v>
      </c>
      <c r="K343" s="11">
        <f>IFERROR(__xludf.DUMMYFUNCTION("""COMPUTED_VALUE"""),7.0)</f>
        <v>7</v>
      </c>
      <c r="L343" s="12">
        <f>IFERROR(__xludf.DUMMYFUNCTION("""COMPUTED_VALUE"""),0.0)</f>
        <v>0</v>
      </c>
      <c r="M343" s="11">
        <f>IFERROR(__xludf.DUMMYFUNCTION("""COMPUTED_VALUE"""),0.0)</f>
        <v>0</v>
      </c>
      <c r="N343" s="11">
        <f>IFERROR(__xludf.DUMMYFUNCTION("""COMPUTED_VALUE"""),2503.0)</f>
        <v>2503</v>
      </c>
      <c r="O343" s="13">
        <f>IFERROR(__xludf.DUMMYFUNCTION("""COMPUTED_VALUE"""),3.0)</f>
        <v>3</v>
      </c>
      <c r="P343" s="14">
        <f>IFERROR(__xludf.DUMMYFUNCTION("""COMPUTED_VALUE"""),1.0)</f>
        <v>1</v>
      </c>
      <c r="Q343" s="13">
        <f>IFERROR(__xludf.DUMMYFUNCTION("""COMPUTED_VALUE"""),14.0)</f>
        <v>14</v>
      </c>
      <c r="R343" s="13">
        <f>IFERROR(__xludf.DUMMYFUNCTION("""COMPUTED_VALUE"""),11.0)</f>
        <v>11</v>
      </c>
      <c r="S343" s="15">
        <f>IFERROR(__xludf.DUMMYFUNCTION("""COMPUTED_VALUE"""),0.2727272727272727)</f>
        <v>0.2727272727</v>
      </c>
      <c r="T343" s="16">
        <f>IFERROR(__xludf.DUMMYFUNCTION("""COMPUTED_VALUE"""),357.57142857142856)</f>
        <v>357.5714286</v>
      </c>
      <c r="U343" s="16">
        <f>IFERROR(__xludf.DUMMYFUNCTION("""COMPUTED_VALUE"""),0.42857142857142855)</f>
        <v>0.4285714286</v>
      </c>
      <c r="V343" s="16">
        <f>IFERROR(__xludf.DUMMYFUNCTION("""COMPUTED_VALUE"""),0.14285714285714285)</f>
        <v>0.1428571429</v>
      </c>
      <c r="W343" s="16">
        <f>IFERROR(__xludf.DUMMYFUNCTION("""COMPUTED_VALUE"""),2.0)</f>
        <v>2</v>
      </c>
      <c r="X343" s="16">
        <f>IFERROR(__xludf.DUMMYFUNCTION("""COMPUTED_VALUE"""),1.5714285714285714)</f>
        <v>1.571428571</v>
      </c>
      <c r="Y343" s="11">
        <f>IFERROR(__xludf.DUMMYFUNCTION("""COMPUTED_VALUE"""),0.0)</f>
        <v>0</v>
      </c>
      <c r="Z343" s="11">
        <f>IFERROR(__xludf.DUMMYFUNCTION("""COMPUTED_VALUE"""),0.0)</f>
        <v>0</v>
      </c>
      <c r="AA343" s="11">
        <f>IFERROR(__xludf.DUMMYFUNCTION("""COMPUTED_VALUE"""),0.0)</f>
        <v>0</v>
      </c>
      <c r="AB343" s="11">
        <f>IFERROR(__xludf.DUMMYFUNCTION("""COMPUTED_VALUE"""),3.0)</f>
        <v>3</v>
      </c>
      <c r="AC343" s="11">
        <f>IFERROR(__xludf.DUMMYFUNCTION("""COMPUTED_VALUE"""),1.0)</f>
        <v>1</v>
      </c>
      <c r="AD343" s="11">
        <f>IFERROR(__xludf.DUMMYFUNCTION("""COMPUTED_VALUE"""),8.0)</f>
        <v>8</v>
      </c>
    </row>
    <row r="344">
      <c r="A344" s="10" t="str">
        <f>IFERROR(__xludf.DUMMYFUNCTION("""COMPUTED_VALUE"""),"Elite")</f>
        <v>Elite</v>
      </c>
      <c r="B344" s="10" t="str">
        <f>IFERROR(__xludf.DUMMYFUNCTION("""COMPUTED_VALUE"""),"RSC002902")</f>
        <v>RSC002902</v>
      </c>
      <c r="C344" s="10" t="str">
        <f>IFERROR(__xludf.DUMMYFUNCTION("""COMPUTED_VALUE"""),"Stone-Dog Millionaire")</f>
        <v>Stone-Dog Millionaire</v>
      </c>
      <c r="D344" s="36" t="str">
        <f>IFERROR(__xludf.DUMMYFUNCTION("""COMPUTED_VALUE"""),"Praetorian Guard")</f>
        <v>Praetorian Guard</v>
      </c>
      <c r="E344" s="10" t="str">
        <f>IFERROR(__xludf.DUMMYFUNCTION("""COMPUTED_VALUE"""),"Solar")</f>
        <v>Solar</v>
      </c>
      <c r="F344" s="37">
        <f>IFERROR(__xludf.DUMMYFUNCTION("""COMPUTED_VALUE"""),11.82489754627764)</f>
        <v>11.82489755</v>
      </c>
      <c r="G344" s="38">
        <f>IFERROR(__xludf.DUMMYFUNCTION("""COMPUTED_VALUE"""),17.875071907115753)</f>
        <v>17.87507191</v>
      </c>
      <c r="H344" s="38">
        <f>IFERROR(__xludf.DUMMYFUNCTION("""COMPUTED_VALUE"""),14.849984726696697)</f>
        <v>14.84998473</v>
      </c>
      <c r="I344" s="14">
        <f>IFERROR(__xludf.DUMMYFUNCTION("""COMPUTED_VALUE"""),4.0)</f>
        <v>4</v>
      </c>
      <c r="J344" s="11">
        <f>IFERROR(__xludf.DUMMYFUNCTION("IFERROR(FILTER(Stats!$F:$Z,(Stats!$A:$A=$A344)*(Stats!$B:$B=$B344)))"),1.0)</f>
        <v>1</v>
      </c>
      <c r="K344" s="11">
        <f>IFERROR(__xludf.DUMMYFUNCTION("""COMPUTED_VALUE"""),3.0)</f>
        <v>3</v>
      </c>
      <c r="L344" s="12">
        <f>IFERROR(__xludf.DUMMYFUNCTION("""COMPUTED_VALUE"""),0.25)</f>
        <v>0.25</v>
      </c>
      <c r="M344" s="11">
        <f>IFERROR(__xludf.DUMMYFUNCTION("""COMPUTED_VALUE"""),0.0)</f>
        <v>0</v>
      </c>
      <c r="N344" s="11">
        <f>IFERROR(__xludf.DUMMYFUNCTION("""COMPUTED_VALUE"""),1239.0)</f>
        <v>1239</v>
      </c>
      <c r="O344" s="13">
        <f>IFERROR(__xludf.DUMMYFUNCTION("""COMPUTED_VALUE"""),1.0)</f>
        <v>1</v>
      </c>
      <c r="P344" s="14">
        <f>IFERROR(__xludf.DUMMYFUNCTION("""COMPUTED_VALUE"""),2.0)</f>
        <v>2</v>
      </c>
      <c r="Q344" s="13">
        <f>IFERROR(__xludf.DUMMYFUNCTION("""COMPUTED_VALUE"""),9.0)</f>
        <v>9</v>
      </c>
      <c r="R344" s="13">
        <f>IFERROR(__xludf.DUMMYFUNCTION("""COMPUTED_VALUE"""),7.0)</f>
        <v>7</v>
      </c>
      <c r="S344" s="15">
        <f>IFERROR(__xludf.DUMMYFUNCTION("""COMPUTED_VALUE"""),0.14285714285714285)</f>
        <v>0.1428571429</v>
      </c>
      <c r="T344" s="16">
        <f>IFERROR(__xludf.DUMMYFUNCTION("""COMPUTED_VALUE"""),309.75)</f>
        <v>309.75</v>
      </c>
      <c r="U344" s="16">
        <f>IFERROR(__xludf.DUMMYFUNCTION("""COMPUTED_VALUE"""),0.25)</f>
        <v>0.25</v>
      </c>
      <c r="V344" s="16">
        <f>IFERROR(__xludf.DUMMYFUNCTION("""COMPUTED_VALUE"""),0.5)</f>
        <v>0.5</v>
      </c>
      <c r="W344" s="16">
        <f>IFERROR(__xludf.DUMMYFUNCTION("""COMPUTED_VALUE"""),2.25)</f>
        <v>2.25</v>
      </c>
      <c r="X344" s="16">
        <f>IFERROR(__xludf.DUMMYFUNCTION("""COMPUTED_VALUE"""),1.75)</f>
        <v>1.75</v>
      </c>
      <c r="Y344" s="11">
        <f>IFERROR(__xludf.DUMMYFUNCTION("""COMPUTED_VALUE"""),0.0)</f>
        <v>0</v>
      </c>
      <c r="Z344" s="11">
        <f>IFERROR(__xludf.DUMMYFUNCTION("""COMPUTED_VALUE"""),0.0)</f>
        <v>0</v>
      </c>
      <c r="AA344" s="11">
        <f>IFERROR(__xludf.DUMMYFUNCTION("""COMPUTED_VALUE"""),0.0)</f>
        <v>0</v>
      </c>
      <c r="AB344" s="11">
        <f>IFERROR(__xludf.DUMMYFUNCTION("""COMPUTED_VALUE"""),2.0)</f>
        <v>2</v>
      </c>
      <c r="AC344" s="11">
        <f>IFERROR(__xludf.DUMMYFUNCTION("""COMPUTED_VALUE"""),3.0)</f>
        <v>3</v>
      </c>
      <c r="AD344" s="11">
        <f>IFERROR(__xludf.DUMMYFUNCTION("""COMPUTED_VALUE"""),8.0)</f>
        <v>8</v>
      </c>
    </row>
    <row r="345">
      <c r="A345" s="10" t="str">
        <f>IFERROR(__xludf.DUMMYFUNCTION("""COMPUTED_VALUE"""),"Elite")</f>
        <v>Elite</v>
      </c>
      <c r="B345" s="10" t="str">
        <f>IFERROR(__xludf.DUMMYFUNCTION("""COMPUTED_VALUE"""),"RSC006613")</f>
        <v>RSC006613</v>
      </c>
      <c r="C345" s="10" t="str">
        <f>IFERROR(__xludf.DUMMYFUNCTION("""COMPUTED_VALUE"""),"cartman_-_")</f>
        <v>cartman_-_</v>
      </c>
      <c r="D345" s="36" t="str">
        <f>IFERROR(__xludf.DUMMYFUNCTION("""COMPUTED_VALUE"""),"Afterburners")</f>
        <v>Afterburners</v>
      </c>
      <c r="E345" s="10" t="str">
        <f>IFERROR(__xludf.DUMMYFUNCTION("""COMPUTED_VALUE"""),"Lunar")</f>
        <v>Lunar</v>
      </c>
      <c r="F345" s="37">
        <f>IFERROR(__xludf.DUMMYFUNCTION("""COMPUTED_VALUE"""),0.3457488151686263)</f>
        <v>0.3457488152</v>
      </c>
      <c r="G345" s="38">
        <f>IFERROR(__xludf.DUMMYFUNCTION("""COMPUTED_VALUE"""),12.448858868557615)</f>
        <v>12.44885887</v>
      </c>
      <c r="H345" s="38">
        <f>IFERROR(__xludf.DUMMYFUNCTION("""COMPUTED_VALUE"""),6.3973038418631205)</f>
        <v>6.397303842</v>
      </c>
      <c r="I345" s="14">
        <f>IFERROR(__xludf.DUMMYFUNCTION("""COMPUTED_VALUE"""),4.0)</f>
        <v>4</v>
      </c>
      <c r="J345" s="11">
        <f>IFERROR(__xludf.DUMMYFUNCTION("IFERROR(FILTER(Stats!$F:$Z,(Stats!$A:$A=$A345)*(Stats!$B:$B=$B345)))"),1.0)</f>
        <v>1</v>
      </c>
      <c r="K345" s="11">
        <f>IFERROR(__xludf.DUMMYFUNCTION("""COMPUTED_VALUE"""),3.0)</f>
        <v>3</v>
      </c>
      <c r="L345" s="12">
        <f>IFERROR(__xludf.DUMMYFUNCTION("""COMPUTED_VALUE"""),0.25)</f>
        <v>0.25</v>
      </c>
      <c r="M345" s="11">
        <f>IFERROR(__xludf.DUMMYFUNCTION("""COMPUTED_VALUE"""),0.0)</f>
        <v>0</v>
      </c>
      <c r="N345" s="11">
        <f>IFERROR(__xludf.DUMMYFUNCTION("""COMPUTED_VALUE"""),1253.0)</f>
        <v>1253</v>
      </c>
      <c r="O345" s="13">
        <f>IFERROR(__xludf.DUMMYFUNCTION("""COMPUTED_VALUE"""),1.0)</f>
        <v>1</v>
      </c>
      <c r="P345" s="14">
        <f>IFERROR(__xludf.DUMMYFUNCTION("""COMPUTED_VALUE"""),3.0)</f>
        <v>3</v>
      </c>
      <c r="Q345" s="13">
        <f>IFERROR(__xludf.DUMMYFUNCTION("""COMPUTED_VALUE"""),8.0)</f>
        <v>8</v>
      </c>
      <c r="R345" s="13">
        <f>IFERROR(__xludf.DUMMYFUNCTION("""COMPUTED_VALUE"""),5.0)</f>
        <v>5</v>
      </c>
      <c r="S345" s="15">
        <f>IFERROR(__xludf.DUMMYFUNCTION("""COMPUTED_VALUE"""),0.2)</f>
        <v>0.2</v>
      </c>
      <c r="T345" s="16">
        <f>IFERROR(__xludf.DUMMYFUNCTION("""COMPUTED_VALUE"""),313.25)</f>
        <v>313.25</v>
      </c>
      <c r="U345" s="16">
        <f>IFERROR(__xludf.DUMMYFUNCTION("""COMPUTED_VALUE"""),0.25)</f>
        <v>0.25</v>
      </c>
      <c r="V345" s="16">
        <f>IFERROR(__xludf.DUMMYFUNCTION("""COMPUTED_VALUE"""),0.75)</f>
        <v>0.75</v>
      </c>
      <c r="W345" s="16">
        <f>IFERROR(__xludf.DUMMYFUNCTION("""COMPUTED_VALUE"""),2.0)</f>
        <v>2</v>
      </c>
      <c r="X345" s="16">
        <f>IFERROR(__xludf.DUMMYFUNCTION("""COMPUTED_VALUE"""),1.25)</f>
        <v>1.25</v>
      </c>
      <c r="Y345" s="11">
        <f>IFERROR(__xludf.DUMMYFUNCTION("""COMPUTED_VALUE"""),1.0)</f>
        <v>1</v>
      </c>
      <c r="Z345" s="11">
        <f>IFERROR(__xludf.DUMMYFUNCTION("""COMPUTED_VALUE"""),0.0)</f>
        <v>0</v>
      </c>
      <c r="AA345" s="11">
        <f>IFERROR(__xludf.DUMMYFUNCTION("""COMPUTED_VALUE"""),0.0)</f>
        <v>0</v>
      </c>
      <c r="AB345" s="11">
        <f>IFERROR(__xludf.DUMMYFUNCTION("""COMPUTED_VALUE"""),2.0)</f>
        <v>2</v>
      </c>
      <c r="AC345" s="11">
        <f>IFERROR(__xludf.DUMMYFUNCTION("""COMPUTED_VALUE"""),0.0)</f>
        <v>0</v>
      </c>
      <c r="AD345" s="11">
        <f>IFERROR(__xludf.DUMMYFUNCTION("""COMPUTED_VALUE"""),4.0)</f>
        <v>4</v>
      </c>
    </row>
    <row r="346">
      <c r="A346" s="10" t="str">
        <f>IFERROR(__xludf.DUMMYFUNCTION("""COMPUTED_VALUE"""),"Elite")</f>
        <v>Elite</v>
      </c>
      <c r="B346" s="10" t="str">
        <f>IFERROR(__xludf.DUMMYFUNCTION("""COMPUTED_VALUE"""),"RSC008353")</f>
        <v>RSC008353</v>
      </c>
      <c r="C346" s="10" t="str">
        <f>IFERROR(__xludf.DUMMYFUNCTION("""COMPUTED_VALUE"""),"IcyWrenTTV")</f>
        <v>IcyWrenTTV</v>
      </c>
      <c r="D346" s="36" t="str">
        <f>IFERROR(__xludf.DUMMYFUNCTION("""COMPUTED_VALUE"""),"Drive-by")</f>
        <v>Drive-by</v>
      </c>
      <c r="E346" s="10" t="str">
        <f>IFERROR(__xludf.DUMMYFUNCTION("""COMPUTED_VALUE"""),"Solar")</f>
        <v>Solar</v>
      </c>
      <c r="F346" s="37">
        <f>IFERROR(__xludf.DUMMYFUNCTION("""COMPUTED_VALUE"""),4.637164271922174)</f>
        <v>4.637164272</v>
      </c>
      <c r="G346" s="38">
        <f>IFERROR(__xludf.DUMMYFUNCTION("""COMPUTED_VALUE"""),6.78293398525274)</f>
        <v>6.782933985</v>
      </c>
      <c r="H346" s="38">
        <f>IFERROR(__xludf.DUMMYFUNCTION("""COMPUTED_VALUE"""),5.710049128587457)</f>
        <v>5.710049129</v>
      </c>
      <c r="I346" s="14">
        <f>IFERROR(__xludf.DUMMYFUNCTION("""COMPUTED_VALUE"""),27.0)</f>
        <v>27</v>
      </c>
      <c r="J346" s="11">
        <f>IFERROR(__xludf.DUMMYFUNCTION("IFERROR(FILTER(Stats!$F:$Z,(Stats!$A:$A=$A346)*(Stats!$B:$B=$B346)))"),5.0)</f>
        <v>5</v>
      </c>
      <c r="K346" s="11">
        <f>IFERROR(__xludf.DUMMYFUNCTION("""COMPUTED_VALUE"""),22.0)</f>
        <v>22</v>
      </c>
      <c r="L346" s="12">
        <f>IFERROR(__xludf.DUMMYFUNCTION("""COMPUTED_VALUE"""),0.18518518518518517)</f>
        <v>0.1851851852</v>
      </c>
      <c r="M346" s="11">
        <f>IFERROR(__xludf.DUMMYFUNCTION("""COMPUTED_VALUE"""),0.0)</f>
        <v>0</v>
      </c>
      <c r="N346" s="11">
        <f>IFERROR(__xludf.DUMMYFUNCTION("""COMPUTED_VALUE"""),7573.0)</f>
        <v>7573</v>
      </c>
      <c r="O346" s="13">
        <f>IFERROR(__xludf.DUMMYFUNCTION("""COMPUTED_VALUE"""),12.0)</f>
        <v>12</v>
      </c>
      <c r="P346" s="14">
        <f>IFERROR(__xludf.DUMMYFUNCTION("""COMPUTED_VALUE"""),10.0)</f>
        <v>10</v>
      </c>
      <c r="Q346" s="13">
        <f>IFERROR(__xludf.DUMMYFUNCTION("""COMPUTED_VALUE"""),37.0)</f>
        <v>37</v>
      </c>
      <c r="R346" s="13">
        <f>IFERROR(__xludf.DUMMYFUNCTION("""COMPUTED_VALUE"""),47.0)</f>
        <v>47</v>
      </c>
      <c r="S346" s="15">
        <f>IFERROR(__xludf.DUMMYFUNCTION("""COMPUTED_VALUE"""),0.2553191489361702)</f>
        <v>0.2553191489</v>
      </c>
      <c r="T346" s="16">
        <f>IFERROR(__xludf.DUMMYFUNCTION("""COMPUTED_VALUE"""),280.48148148148147)</f>
        <v>280.4814815</v>
      </c>
      <c r="U346" s="16">
        <f>IFERROR(__xludf.DUMMYFUNCTION("""COMPUTED_VALUE"""),0.4444444444444444)</f>
        <v>0.4444444444</v>
      </c>
      <c r="V346" s="16">
        <f>IFERROR(__xludf.DUMMYFUNCTION("""COMPUTED_VALUE"""),0.37037037037037035)</f>
        <v>0.3703703704</v>
      </c>
      <c r="W346" s="16">
        <f>IFERROR(__xludf.DUMMYFUNCTION("""COMPUTED_VALUE"""),1.3703703703703705)</f>
        <v>1.37037037</v>
      </c>
      <c r="X346" s="16">
        <f>IFERROR(__xludf.DUMMYFUNCTION("""COMPUTED_VALUE"""),1.7407407407407407)</f>
        <v>1.740740741</v>
      </c>
      <c r="Y346" s="11">
        <f>IFERROR(__xludf.DUMMYFUNCTION("""COMPUTED_VALUE"""),3.0)</f>
        <v>3</v>
      </c>
      <c r="Z346" s="11">
        <f>IFERROR(__xludf.DUMMYFUNCTION("""COMPUTED_VALUE"""),1.0)</f>
        <v>1</v>
      </c>
      <c r="AA346" s="11">
        <f>IFERROR(__xludf.DUMMYFUNCTION("""COMPUTED_VALUE"""),1.0)</f>
        <v>1</v>
      </c>
      <c r="AB346" s="11">
        <f>IFERROR(__xludf.DUMMYFUNCTION("""COMPUTED_VALUE"""),4.0)</f>
        <v>4</v>
      </c>
      <c r="AC346" s="11">
        <f>IFERROR(__xludf.DUMMYFUNCTION("""COMPUTED_VALUE"""),14.0)</f>
        <v>14</v>
      </c>
      <c r="AD346" s="11">
        <f>IFERROR(__xludf.DUMMYFUNCTION("""COMPUTED_VALUE"""),28.0)</f>
        <v>28</v>
      </c>
    </row>
    <row r="347">
      <c r="A347" s="10" t="str">
        <f>IFERROR(__xludf.DUMMYFUNCTION("""COMPUTED_VALUE"""),"Elite")</f>
        <v>Elite</v>
      </c>
      <c r="B347" s="10" t="str">
        <f>IFERROR(__xludf.DUMMYFUNCTION("""COMPUTED_VALUE"""),"RSC006700")</f>
        <v>RSC006700</v>
      </c>
      <c r="C347" s="10" t="str">
        <f>IFERROR(__xludf.DUMMYFUNCTION("""COMPUTED_VALUE"""),"Terx")</f>
        <v>Terx</v>
      </c>
      <c r="D347" s="36" t="str">
        <f>IFERROR(__xludf.DUMMYFUNCTION("""COMPUTED_VALUE"""),"Krakens")</f>
        <v>Krakens</v>
      </c>
      <c r="E347" s="10" t="str">
        <f>IFERROR(__xludf.DUMMYFUNCTION("""COMPUTED_VALUE"""),"Lunar")</f>
        <v>Lunar</v>
      </c>
      <c r="F347" s="37">
        <f>IFERROR(__xludf.DUMMYFUNCTION("""COMPUTED_VALUE"""),0.6351095732833727)</f>
        <v>0.6351095733</v>
      </c>
      <c r="G347" s="38">
        <f>IFERROR(__xludf.DUMMYFUNCTION("""COMPUTED_VALUE"""),5.604808190766732)</f>
        <v>5.604808191</v>
      </c>
      <c r="H347" s="38">
        <f>IFERROR(__xludf.DUMMYFUNCTION("""COMPUTED_VALUE"""),3.1199588820250526)</f>
        <v>3.119958882</v>
      </c>
      <c r="I347" s="14">
        <f>IFERROR(__xludf.DUMMYFUNCTION("""COMPUTED_VALUE"""),18.0)</f>
        <v>18</v>
      </c>
      <c r="J347" s="11">
        <f>IFERROR(__xludf.DUMMYFUNCTION("IFERROR(FILTER(Stats!$F:$Z,(Stats!$A:$A=$A347)*(Stats!$B:$B=$B347)))"),6.0)</f>
        <v>6</v>
      </c>
      <c r="K347" s="11">
        <f>IFERROR(__xludf.DUMMYFUNCTION("""COMPUTED_VALUE"""),12.0)</f>
        <v>12</v>
      </c>
      <c r="L347" s="12">
        <f>IFERROR(__xludf.DUMMYFUNCTION("""COMPUTED_VALUE"""),0.3333333333333333)</f>
        <v>0.3333333333</v>
      </c>
      <c r="M347" s="11">
        <f>IFERROR(__xludf.DUMMYFUNCTION("""COMPUTED_VALUE"""),2.0)</f>
        <v>2</v>
      </c>
      <c r="N347" s="11">
        <f>IFERROR(__xludf.DUMMYFUNCTION("""COMPUTED_VALUE"""),4471.0)</f>
        <v>4471</v>
      </c>
      <c r="O347" s="13">
        <f>IFERROR(__xludf.DUMMYFUNCTION("""COMPUTED_VALUE"""),6.0)</f>
        <v>6</v>
      </c>
      <c r="P347" s="14">
        <f>IFERROR(__xludf.DUMMYFUNCTION("""COMPUTED_VALUE"""),7.0)</f>
        <v>7</v>
      </c>
      <c r="Q347" s="13">
        <f>IFERROR(__xludf.DUMMYFUNCTION("""COMPUTED_VALUE"""),24.0)</f>
        <v>24</v>
      </c>
      <c r="R347" s="13">
        <f>IFERROR(__xludf.DUMMYFUNCTION("""COMPUTED_VALUE"""),32.0)</f>
        <v>32</v>
      </c>
      <c r="S347" s="15">
        <f>IFERROR(__xludf.DUMMYFUNCTION("""COMPUTED_VALUE"""),0.1875)</f>
        <v>0.1875</v>
      </c>
      <c r="T347" s="16">
        <f>IFERROR(__xludf.DUMMYFUNCTION("""COMPUTED_VALUE"""),248.38888888888889)</f>
        <v>248.3888889</v>
      </c>
      <c r="U347" s="16">
        <f>IFERROR(__xludf.DUMMYFUNCTION("""COMPUTED_VALUE"""),0.3333333333333333)</f>
        <v>0.3333333333</v>
      </c>
      <c r="V347" s="16">
        <f>IFERROR(__xludf.DUMMYFUNCTION("""COMPUTED_VALUE"""),0.3888888888888889)</f>
        <v>0.3888888889</v>
      </c>
      <c r="W347" s="16">
        <f>IFERROR(__xludf.DUMMYFUNCTION("""COMPUTED_VALUE"""),1.3333333333333333)</f>
        <v>1.333333333</v>
      </c>
      <c r="X347" s="16">
        <f>IFERROR(__xludf.DUMMYFUNCTION("""COMPUTED_VALUE"""),1.7777777777777777)</f>
        <v>1.777777778</v>
      </c>
      <c r="Y347" s="11">
        <f>IFERROR(__xludf.DUMMYFUNCTION("""COMPUTED_VALUE"""),3.0)</f>
        <v>3</v>
      </c>
      <c r="Z347" s="11">
        <f>IFERROR(__xludf.DUMMYFUNCTION("""COMPUTED_VALUE"""),0.0)</f>
        <v>0</v>
      </c>
      <c r="AA347" s="11">
        <f>IFERROR(__xludf.DUMMYFUNCTION("""COMPUTED_VALUE"""),0.0)</f>
        <v>0</v>
      </c>
      <c r="AB347" s="11">
        <f>IFERROR(__xludf.DUMMYFUNCTION("""COMPUTED_VALUE"""),2.0)</f>
        <v>2</v>
      </c>
      <c r="AC347" s="11">
        <f>IFERROR(__xludf.DUMMYFUNCTION("""COMPUTED_VALUE"""),15.0)</f>
        <v>15</v>
      </c>
      <c r="AD347" s="11">
        <f>IFERROR(__xludf.DUMMYFUNCTION("""COMPUTED_VALUE"""),19.0)</f>
        <v>19</v>
      </c>
    </row>
    <row r="348">
      <c r="A348" s="10" t="str">
        <f>IFERROR(__xludf.DUMMYFUNCTION("""COMPUTED_VALUE"""),"Elite")</f>
        <v>Elite</v>
      </c>
      <c r="B348" s="10" t="str">
        <f>IFERROR(__xludf.DUMMYFUNCTION("""COMPUTED_VALUE"""),"RSC006018")</f>
        <v>RSC006018</v>
      </c>
      <c r="C348" s="10" t="str">
        <f>IFERROR(__xludf.DUMMYFUNCTION("""COMPUTED_VALUE"""),"Braamse")</f>
        <v>Braamse</v>
      </c>
      <c r="D348" s="36" t="str">
        <f>IFERROR(__xludf.DUMMYFUNCTION("""COMPUTED_VALUE"""),"Demons")</f>
        <v>Demons</v>
      </c>
      <c r="E348" s="10" t="str">
        <f>IFERROR(__xludf.DUMMYFUNCTION("""COMPUTED_VALUE"""),"Lunar")</f>
        <v>Lunar</v>
      </c>
      <c r="F348" s="37">
        <f>IFERROR(__xludf.DUMMYFUNCTION("""COMPUTED_VALUE"""),11.68368945363435)</f>
        <v>11.68368945</v>
      </c>
      <c r="G348" s="38">
        <f>IFERROR(__xludf.DUMMYFUNCTION("""COMPUTED_VALUE"""),-7.128902374851485)</f>
        <v>-7.128902375</v>
      </c>
      <c r="H348" s="38">
        <f>IFERROR(__xludf.DUMMYFUNCTION("""COMPUTED_VALUE"""),2.277393539391433)</f>
        <v>2.277393539</v>
      </c>
      <c r="I348" s="14">
        <f>IFERROR(__xludf.DUMMYFUNCTION("""COMPUTED_VALUE"""),4.0)</f>
        <v>4</v>
      </c>
      <c r="J348" s="11">
        <f>IFERROR(__xludf.DUMMYFUNCTION("IFERROR(FILTER(Stats!$F:$Z,(Stats!$A:$A=$A348)*(Stats!$B:$B=$B348)))"),0.0)</f>
        <v>0</v>
      </c>
      <c r="K348" s="11">
        <f>IFERROR(__xludf.DUMMYFUNCTION("""COMPUTED_VALUE"""),4.0)</f>
        <v>4</v>
      </c>
      <c r="L348" s="12">
        <f>IFERROR(__xludf.DUMMYFUNCTION("""COMPUTED_VALUE"""),0.0)</f>
        <v>0</v>
      </c>
      <c r="M348" s="11">
        <f>IFERROR(__xludf.DUMMYFUNCTION("""COMPUTED_VALUE"""),0.0)</f>
        <v>0</v>
      </c>
      <c r="N348" s="11">
        <f>IFERROR(__xludf.DUMMYFUNCTION("""COMPUTED_VALUE"""),746.0)</f>
        <v>746</v>
      </c>
      <c r="O348" s="13">
        <f>IFERROR(__xludf.DUMMYFUNCTION("""COMPUTED_VALUE"""),0.0)</f>
        <v>0</v>
      </c>
      <c r="P348" s="14">
        <f>IFERROR(__xludf.DUMMYFUNCTION("""COMPUTED_VALUE"""),2.0)</f>
        <v>2</v>
      </c>
      <c r="Q348" s="13">
        <f>IFERROR(__xludf.DUMMYFUNCTION("""COMPUTED_VALUE"""),3.0)</f>
        <v>3</v>
      </c>
      <c r="R348" s="13">
        <f>IFERROR(__xludf.DUMMYFUNCTION("""COMPUTED_VALUE"""),11.0)</f>
        <v>11</v>
      </c>
      <c r="S348" s="15">
        <f>IFERROR(__xludf.DUMMYFUNCTION("""COMPUTED_VALUE"""),0.0)</f>
        <v>0</v>
      </c>
      <c r="T348" s="16">
        <f>IFERROR(__xludf.DUMMYFUNCTION("""COMPUTED_VALUE"""),186.5)</f>
        <v>186.5</v>
      </c>
      <c r="U348" s="16">
        <f>IFERROR(__xludf.DUMMYFUNCTION("""COMPUTED_VALUE"""),0.0)</f>
        <v>0</v>
      </c>
      <c r="V348" s="16">
        <f>IFERROR(__xludf.DUMMYFUNCTION("""COMPUTED_VALUE"""),0.5)</f>
        <v>0.5</v>
      </c>
      <c r="W348" s="16">
        <f>IFERROR(__xludf.DUMMYFUNCTION("""COMPUTED_VALUE"""),0.75)</f>
        <v>0.75</v>
      </c>
      <c r="X348" s="16">
        <f>IFERROR(__xludf.DUMMYFUNCTION("""COMPUTED_VALUE"""),2.75)</f>
        <v>2.75</v>
      </c>
      <c r="Y348" s="11">
        <f>IFERROR(__xludf.DUMMYFUNCTION("""COMPUTED_VALUE"""),0.0)</f>
        <v>0</v>
      </c>
      <c r="Z348" s="11">
        <f>IFERROR(__xludf.DUMMYFUNCTION("""COMPUTED_VALUE"""),0.0)</f>
        <v>0</v>
      </c>
      <c r="AA348" s="11">
        <f>IFERROR(__xludf.DUMMYFUNCTION("""COMPUTED_VALUE"""),0.0)</f>
        <v>0</v>
      </c>
      <c r="AB348" s="11">
        <f>IFERROR(__xludf.DUMMYFUNCTION("""COMPUTED_VALUE"""),0.0)</f>
        <v>0</v>
      </c>
      <c r="AC348" s="11">
        <f>IFERROR(__xludf.DUMMYFUNCTION("""COMPUTED_VALUE"""),5.0)</f>
        <v>5</v>
      </c>
      <c r="AD348" s="11">
        <f>IFERROR(__xludf.DUMMYFUNCTION("""COMPUTED_VALUE"""),7.0)</f>
        <v>7</v>
      </c>
    </row>
    <row r="349">
      <c r="A349" s="10" t="str">
        <f>IFERROR(__xludf.DUMMYFUNCTION("""COMPUTED_VALUE"""),"Elite")</f>
        <v>Elite</v>
      </c>
      <c r="B349" s="10" t="str">
        <f>IFERROR(__xludf.DUMMYFUNCTION("""COMPUTED_VALUE"""),"RSC005959")</f>
        <v>RSC005959</v>
      </c>
      <c r="C349" s="10" t="str">
        <f>IFERROR(__xludf.DUMMYFUNCTION("""COMPUTED_VALUE"""),"Yurrbo?")</f>
        <v>Yurrbo?</v>
      </c>
      <c r="D349" s="36" t="str">
        <f>IFERROR(__xludf.DUMMYFUNCTION("""COMPUTED_VALUE"""),"Frostbite")</f>
        <v>Frostbite</v>
      </c>
      <c r="E349" s="10" t="str">
        <f>IFERROR(__xludf.DUMMYFUNCTION("""COMPUTED_VALUE"""),"Solar")</f>
        <v>Solar</v>
      </c>
      <c r="F349" s="37">
        <f>IFERROR(__xludf.DUMMYFUNCTION("""COMPUTED_VALUE"""),-1.5631560833579101)</f>
        <v>-1.563156083</v>
      </c>
      <c r="G349" s="38">
        <f>IFERROR(__xludf.DUMMYFUNCTION("""COMPUTED_VALUE"""),-3.095747628478918)</f>
        <v>-3.095747628</v>
      </c>
      <c r="H349" s="38">
        <f>IFERROR(__xludf.DUMMYFUNCTION("""COMPUTED_VALUE"""),-2.329451855918414)</f>
        <v>-2.329451856</v>
      </c>
      <c r="I349" s="14">
        <f>IFERROR(__xludf.DUMMYFUNCTION("""COMPUTED_VALUE"""),5.0)</f>
        <v>5</v>
      </c>
      <c r="J349" s="11">
        <f>IFERROR(__xludf.DUMMYFUNCTION("IFERROR(FILTER(Stats!$F:$Z,(Stats!$A:$A=$A349)*(Stats!$B:$B=$B349)))"),1.0)</f>
        <v>1</v>
      </c>
      <c r="K349" s="11">
        <f>IFERROR(__xludf.DUMMYFUNCTION("""COMPUTED_VALUE"""),4.0)</f>
        <v>4</v>
      </c>
      <c r="L349" s="12">
        <f>IFERROR(__xludf.DUMMYFUNCTION("""COMPUTED_VALUE"""),0.2)</f>
        <v>0.2</v>
      </c>
      <c r="M349" s="11">
        <f>IFERROR(__xludf.DUMMYFUNCTION("""COMPUTED_VALUE"""),0.0)</f>
        <v>0</v>
      </c>
      <c r="N349" s="11">
        <f>IFERROR(__xludf.DUMMYFUNCTION("""COMPUTED_VALUE"""),1237.0)</f>
        <v>1237</v>
      </c>
      <c r="O349" s="13">
        <f>IFERROR(__xludf.DUMMYFUNCTION("""COMPUTED_VALUE"""),0.0)</f>
        <v>0</v>
      </c>
      <c r="P349" s="14">
        <f>IFERROR(__xludf.DUMMYFUNCTION("""COMPUTED_VALUE"""),2.0)</f>
        <v>2</v>
      </c>
      <c r="Q349" s="13">
        <f>IFERROR(__xludf.DUMMYFUNCTION("""COMPUTED_VALUE"""),7.0)</f>
        <v>7</v>
      </c>
      <c r="R349" s="13">
        <f>IFERROR(__xludf.DUMMYFUNCTION("""COMPUTED_VALUE"""),8.0)</f>
        <v>8</v>
      </c>
      <c r="S349" s="15">
        <f>IFERROR(__xludf.DUMMYFUNCTION("""COMPUTED_VALUE"""),0.0)</f>
        <v>0</v>
      </c>
      <c r="T349" s="16">
        <f>IFERROR(__xludf.DUMMYFUNCTION("""COMPUTED_VALUE"""),247.4)</f>
        <v>247.4</v>
      </c>
      <c r="U349" s="16">
        <f>IFERROR(__xludf.DUMMYFUNCTION("""COMPUTED_VALUE"""),0.0)</f>
        <v>0</v>
      </c>
      <c r="V349" s="16">
        <f>IFERROR(__xludf.DUMMYFUNCTION("""COMPUTED_VALUE"""),0.4)</f>
        <v>0.4</v>
      </c>
      <c r="W349" s="16">
        <f>IFERROR(__xludf.DUMMYFUNCTION("""COMPUTED_VALUE"""),1.4)</f>
        <v>1.4</v>
      </c>
      <c r="X349" s="16">
        <f>IFERROR(__xludf.DUMMYFUNCTION("""COMPUTED_VALUE"""),1.6)</f>
        <v>1.6</v>
      </c>
      <c r="Y349" s="11">
        <f>IFERROR(__xludf.DUMMYFUNCTION("""COMPUTED_VALUE"""),0.0)</f>
        <v>0</v>
      </c>
      <c r="Z349" s="11">
        <f>IFERROR(__xludf.DUMMYFUNCTION("""COMPUTED_VALUE"""),0.0)</f>
        <v>0</v>
      </c>
      <c r="AA349" s="11">
        <f>IFERROR(__xludf.DUMMYFUNCTION("""COMPUTED_VALUE"""),0.0)</f>
        <v>0</v>
      </c>
      <c r="AB349" s="11">
        <f>IFERROR(__xludf.DUMMYFUNCTION("""COMPUTED_VALUE"""),1.0)</f>
        <v>1</v>
      </c>
      <c r="AC349" s="11">
        <f>IFERROR(__xludf.DUMMYFUNCTION("""COMPUTED_VALUE"""),2.0)</f>
        <v>2</v>
      </c>
      <c r="AD349" s="11">
        <f>IFERROR(__xludf.DUMMYFUNCTION("""COMPUTED_VALUE"""),2.0)</f>
        <v>2</v>
      </c>
    </row>
    <row r="350">
      <c r="A350" s="10" t="str">
        <f>IFERROR(__xludf.DUMMYFUNCTION("""COMPUTED_VALUE"""),"Elite")</f>
        <v>Elite</v>
      </c>
      <c r="B350" s="10" t="str">
        <f>IFERROR(__xludf.DUMMYFUNCTION("""COMPUTED_VALUE"""),"RSC007920")</f>
        <v>RSC007920</v>
      </c>
      <c r="C350" s="10" t="str">
        <f>IFERROR(__xludf.DUMMYFUNCTION("""COMPUTED_VALUE"""),"Ocular8")</f>
        <v>Ocular8</v>
      </c>
      <c r="D350" s="36" t="str">
        <f>IFERROR(__xludf.DUMMYFUNCTION("""COMPUTED_VALUE"""),"Krakens
Cotija Cartel")</f>
        <v>Krakens
Cotija Cartel</v>
      </c>
      <c r="E350" s="10" t="str">
        <f>IFERROR(__xludf.DUMMYFUNCTION("""COMPUTED_VALUE"""),"Lunar
Lunar")</f>
        <v>Lunar
Lunar</v>
      </c>
      <c r="F350" s="37">
        <f>IFERROR(__xludf.DUMMYFUNCTION("""COMPUTED_VALUE"""),11.871230451592048)</f>
        <v>11.87123045</v>
      </c>
      <c r="G350" s="38">
        <f>IFERROR(__xludf.DUMMYFUNCTION("""COMPUTED_VALUE"""),-20.72514277066081)</f>
        <v>-20.72514277</v>
      </c>
      <c r="H350" s="38">
        <f>IFERROR(__xludf.DUMMYFUNCTION("""COMPUTED_VALUE"""),-4.426956159534381)</f>
        <v>-4.42695616</v>
      </c>
      <c r="I350" s="14">
        <f>IFERROR(__xludf.DUMMYFUNCTION("""COMPUTED_VALUE"""),2.0)</f>
        <v>2</v>
      </c>
      <c r="J350" s="11">
        <f>IFERROR(__xludf.DUMMYFUNCTION("IFERROR(FILTER(Stats!$F:$Z,(Stats!$A:$A=$A350)*(Stats!$B:$B=$B350)))"),0.0)</f>
        <v>0</v>
      </c>
      <c r="K350" s="11">
        <f>IFERROR(__xludf.DUMMYFUNCTION("""COMPUTED_VALUE"""),2.0)</f>
        <v>2</v>
      </c>
      <c r="L350" s="12">
        <f>IFERROR(__xludf.DUMMYFUNCTION("""COMPUTED_VALUE"""),0.0)</f>
        <v>0</v>
      </c>
      <c r="M350" s="11">
        <f>IFERROR(__xludf.DUMMYFUNCTION("""COMPUTED_VALUE"""),0.0)</f>
        <v>0</v>
      </c>
      <c r="N350" s="11">
        <f>IFERROR(__xludf.DUMMYFUNCTION("""COMPUTED_VALUE"""),585.0)</f>
        <v>585</v>
      </c>
      <c r="O350" s="13">
        <f>IFERROR(__xludf.DUMMYFUNCTION("""COMPUTED_VALUE"""),0.0)</f>
        <v>0</v>
      </c>
      <c r="P350" s="14">
        <f>IFERROR(__xludf.DUMMYFUNCTION("""COMPUTED_VALUE"""),1.0)</f>
        <v>1</v>
      </c>
      <c r="Q350" s="13">
        <f>IFERROR(__xludf.DUMMYFUNCTION("""COMPUTED_VALUE"""),4.0)</f>
        <v>4</v>
      </c>
      <c r="R350" s="13">
        <f>IFERROR(__xludf.DUMMYFUNCTION("""COMPUTED_VALUE"""),3.0)</f>
        <v>3</v>
      </c>
      <c r="S350" s="15">
        <f>IFERROR(__xludf.DUMMYFUNCTION("""COMPUTED_VALUE"""),0.0)</f>
        <v>0</v>
      </c>
      <c r="T350" s="16">
        <f>IFERROR(__xludf.DUMMYFUNCTION("""COMPUTED_VALUE"""),292.5)</f>
        <v>292.5</v>
      </c>
      <c r="U350" s="16">
        <f>IFERROR(__xludf.DUMMYFUNCTION("""COMPUTED_VALUE"""),0.0)</f>
        <v>0</v>
      </c>
      <c r="V350" s="16">
        <f>IFERROR(__xludf.DUMMYFUNCTION("""COMPUTED_VALUE"""),0.5)</f>
        <v>0.5</v>
      </c>
      <c r="W350" s="16">
        <f>IFERROR(__xludf.DUMMYFUNCTION("""COMPUTED_VALUE"""),2.0)</f>
        <v>2</v>
      </c>
      <c r="X350" s="16">
        <f>IFERROR(__xludf.DUMMYFUNCTION("""COMPUTED_VALUE"""),1.5)</f>
        <v>1.5</v>
      </c>
      <c r="Y350" s="11">
        <f>IFERROR(__xludf.DUMMYFUNCTION("""COMPUTED_VALUE"""),0.0)</f>
        <v>0</v>
      </c>
      <c r="Z350" s="11">
        <f>IFERROR(__xludf.DUMMYFUNCTION("""COMPUTED_VALUE"""),0.0)</f>
        <v>0</v>
      </c>
      <c r="AA350" s="11">
        <f>IFERROR(__xludf.DUMMYFUNCTION("""COMPUTED_VALUE"""),0.0)</f>
        <v>0</v>
      </c>
      <c r="AB350" s="11">
        <f>IFERROR(__xludf.DUMMYFUNCTION("""COMPUTED_VALUE"""),1.0)</f>
        <v>1</v>
      </c>
      <c r="AC350" s="11">
        <f>IFERROR(__xludf.DUMMYFUNCTION("""COMPUTED_VALUE"""),0.0)</f>
        <v>0</v>
      </c>
      <c r="AD350" s="11">
        <f>IFERROR(__xludf.DUMMYFUNCTION("""COMPUTED_VALUE"""),2.0)</f>
        <v>2</v>
      </c>
    </row>
    <row r="351">
      <c r="A351" s="10" t="str">
        <f>IFERROR(__xludf.DUMMYFUNCTION("""COMPUTED_VALUE"""),"Elite")</f>
        <v>Elite</v>
      </c>
      <c r="B351" s="10" t="str">
        <f>IFERROR(__xludf.DUMMYFUNCTION("""COMPUTED_VALUE"""),"RSC008355")</f>
        <v>RSC008355</v>
      </c>
      <c r="C351" s="10" t="str">
        <f>IFERROR(__xludf.DUMMYFUNCTION("""COMPUTED_VALUE"""),"SmyrnaRL")</f>
        <v>SmyrnaRL</v>
      </c>
      <c r="D351" s="36" t="str">
        <f>IFERROR(__xludf.DUMMYFUNCTION("""COMPUTED_VALUE"""),"Sloths")</f>
        <v>Sloths</v>
      </c>
      <c r="E351" s="10" t="str">
        <f>IFERROR(__xludf.DUMMYFUNCTION("""COMPUTED_VALUE"""),"Solar")</f>
        <v>Solar</v>
      </c>
      <c r="F351" s="37">
        <f>IFERROR(__xludf.DUMMYFUNCTION("""COMPUTED_VALUE"""),-3.4676796203058515)</f>
        <v>-3.46767962</v>
      </c>
      <c r="G351" s="38">
        <f>IFERROR(__xludf.DUMMYFUNCTION("""COMPUTED_VALUE"""),-5.549778087673317)</f>
        <v>-5.549778088</v>
      </c>
      <c r="H351" s="38">
        <f>IFERROR(__xludf.DUMMYFUNCTION("""COMPUTED_VALUE"""),-4.5087288539895845)</f>
        <v>-4.508728854</v>
      </c>
      <c r="I351" s="14">
        <f>IFERROR(__xludf.DUMMYFUNCTION("""COMPUTED_VALUE"""),4.0)</f>
        <v>4</v>
      </c>
      <c r="J351" s="11">
        <f>IFERROR(__xludf.DUMMYFUNCTION("IFERROR(FILTER(Stats!$F:$Z,(Stats!$A:$A=$A351)*(Stats!$B:$B=$B351)))"),2.0)</f>
        <v>2</v>
      </c>
      <c r="K351" s="11">
        <f>IFERROR(__xludf.DUMMYFUNCTION("""COMPUTED_VALUE"""),2.0)</f>
        <v>2</v>
      </c>
      <c r="L351" s="12">
        <f>IFERROR(__xludf.DUMMYFUNCTION("""COMPUTED_VALUE"""),0.5)</f>
        <v>0.5</v>
      </c>
      <c r="M351" s="11">
        <f>IFERROR(__xludf.DUMMYFUNCTION("""COMPUTED_VALUE"""),0.0)</f>
        <v>0</v>
      </c>
      <c r="N351" s="11">
        <f>IFERROR(__xludf.DUMMYFUNCTION("""COMPUTED_VALUE"""),1025.0)</f>
        <v>1025</v>
      </c>
      <c r="O351" s="13">
        <f>IFERROR(__xludf.DUMMYFUNCTION("""COMPUTED_VALUE"""),1.0)</f>
        <v>1</v>
      </c>
      <c r="P351" s="14">
        <f>IFERROR(__xludf.DUMMYFUNCTION("""COMPUTED_VALUE"""),0.0)</f>
        <v>0</v>
      </c>
      <c r="Q351" s="13">
        <f>IFERROR(__xludf.DUMMYFUNCTION("""COMPUTED_VALUE"""),5.0)</f>
        <v>5</v>
      </c>
      <c r="R351" s="13">
        <f>IFERROR(__xludf.DUMMYFUNCTION("""COMPUTED_VALUE"""),12.0)</f>
        <v>12</v>
      </c>
      <c r="S351" s="15">
        <f>IFERROR(__xludf.DUMMYFUNCTION("""COMPUTED_VALUE"""),0.08333333333333333)</f>
        <v>0.08333333333</v>
      </c>
      <c r="T351" s="16">
        <f>IFERROR(__xludf.DUMMYFUNCTION("""COMPUTED_VALUE"""),256.25)</f>
        <v>256.25</v>
      </c>
      <c r="U351" s="16">
        <f>IFERROR(__xludf.DUMMYFUNCTION("""COMPUTED_VALUE"""),0.25)</f>
        <v>0.25</v>
      </c>
      <c r="V351" s="16">
        <f>IFERROR(__xludf.DUMMYFUNCTION("""COMPUTED_VALUE"""),0.0)</f>
        <v>0</v>
      </c>
      <c r="W351" s="16">
        <f>IFERROR(__xludf.DUMMYFUNCTION("""COMPUTED_VALUE"""),1.25)</f>
        <v>1.25</v>
      </c>
      <c r="X351" s="16">
        <f>IFERROR(__xludf.DUMMYFUNCTION("""COMPUTED_VALUE"""),3.0)</f>
        <v>3</v>
      </c>
      <c r="Y351" s="11">
        <f>IFERROR(__xludf.DUMMYFUNCTION("""COMPUTED_VALUE"""),0.0)</f>
        <v>0</v>
      </c>
      <c r="Z351" s="11">
        <f>IFERROR(__xludf.DUMMYFUNCTION("""COMPUTED_VALUE"""),0.0)</f>
        <v>0</v>
      </c>
      <c r="AA351" s="11">
        <f>IFERROR(__xludf.DUMMYFUNCTION("""COMPUTED_VALUE"""),0.0)</f>
        <v>0</v>
      </c>
      <c r="AB351" s="11">
        <f>IFERROR(__xludf.DUMMYFUNCTION("""COMPUTED_VALUE"""),1.0)</f>
        <v>1</v>
      </c>
      <c r="AC351" s="11">
        <f>IFERROR(__xludf.DUMMYFUNCTION("""COMPUTED_VALUE"""),5.0)</f>
        <v>5</v>
      </c>
      <c r="AD351" s="11">
        <f>IFERROR(__xludf.DUMMYFUNCTION("""COMPUTED_VALUE"""),3.0)</f>
        <v>3</v>
      </c>
    </row>
    <row r="352">
      <c r="A352" s="10" t="str">
        <f>IFERROR(__xludf.DUMMYFUNCTION("""COMPUTED_VALUE"""),"Elite")</f>
        <v>Elite</v>
      </c>
      <c r="B352" s="10" t="str">
        <f>IFERROR(__xludf.DUMMYFUNCTION("""COMPUTED_VALUE"""),"RSC008519")</f>
        <v>RSC008519</v>
      </c>
      <c r="C352" s="10" t="str">
        <f>IFERROR(__xludf.DUMMYFUNCTION("""COMPUTED_VALUE"""),"Juice_loffi")</f>
        <v>Juice_loffi</v>
      </c>
      <c r="D352" s="36" t="str">
        <f>IFERROR(__xludf.DUMMYFUNCTION("""COMPUTED_VALUE"""),"Praetorian Guard
Teddy Bears")</f>
        <v>Praetorian Guard
Teddy Bears</v>
      </c>
      <c r="E352" s="10" t="str">
        <f>IFERROR(__xludf.DUMMYFUNCTION("""COMPUTED_VALUE"""),"Solar
Solar")</f>
        <v>Solar
Solar</v>
      </c>
      <c r="F352" s="37">
        <f>IFERROR(__xludf.DUMMYFUNCTION("""COMPUTED_VALUE"""),-8.390526703443093)</f>
        <v>-8.390526703</v>
      </c>
      <c r="G352" s="38">
        <f>IFERROR(__xludf.DUMMYFUNCTION("""COMPUTED_VALUE"""),-9.028045661726757)</f>
        <v>-9.028045662</v>
      </c>
      <c r="H352" s="38">
        <f>IFERROR(__xludf.DUMMYFUNCTION("""COMPUTED_VALUE"""),-8.709286182584925)</f>
        <v>-8.709286183</v>
      </c>
      <c r="I352" s="14">
        <f>IFERROR(__xludf.DUMMYFUNCTION("""COMPUTED_VALUE"""),6.0)</f>
        <v>6</v>
      </c>
      <c r="J352" s="11">
        <f>IFERROR(__xludf.DUMMYFUNCTION("IFERROR(FILTER(Stats!$F:$Z,(Stats!$A:$A=$A352)*(Stats!$B:$B=$B352)))"),1.0)</f>
        <v>1</v>
      </c>
      <c r="K352" s="11">
        <f>IFERROR(__xludf.DUMMYFUNCTION("""COMPUTED_VALUE"""),5.0)</f>
        <v>5</v>
      </c>
      <c r="L352" s="12">
        <f>IFERROR(__xludf.DUMMYFUNCTION("""COMPUTED_VALUE"""),0.16666666666666666)</f>
        <v>0.1666666667</v>
      </c>
      <c r="M352" s="11">
        <f>IFERROR(__xludf.DUMMYFUNCTION("""COMPUTED_VALUE"""),0.0)</f>
        <v>0</v>
      </c>
      <c r="N352" s="11">
        <f>IFERROR(__xludf.DUMMYFUNCTION("""COMPUTED_VALUE"""),1448.0)</f>
        <v>1448</v>
      </c>
      <c r="O352" s="13">
        <f>IFERROR(__xludf.DUMMYFUNCTION("""COMPUTED_VALUE"""),0.0)</f>
        <v>0</v>
      </c>
      <c r="P352" s="14">
        <f>IFERROR(__xludf.DUMMYFUNCTION("""COMPUTED_VALUE"""),4.0)</f>
        <v>4</v>
      </c>
      <c r="Q352" s="13">
        <f>IFERROR(__xludf.DUMMYFUNCTION("""COMPUTED_VALUE"""),11.0)</f>
        <v>11</v>
      </c>
      <c r="R352" s="13">
        <f>IFERROR(__xludf.DUMMYFUNCTION("""COMPUTED_VALUE"""),8.0)</f>
        <v>8</v>
      </c>
      <c r="S352" s="15">
        <f>IFERROR(__xludf.DUMMYFUNCTION("""COMPUTED_VALUE"""),0.0)</f>
        <v>0</v>
      </c>
      <c r="T352" s="16">
        <f>IFERROR(__xludf.DUMMYFUNCTION("""COMPUTED_VALUE"""),241.33333333333334)</f>
        <v>241.3333333</v>
      </c>
      <c r="U352" s="16">
        <f>IFERROR(__xludf.DUMMYFUNCTION("""COMPUTED_VALUE"""),0.0)</f>
        <v>0</v>
      </c>
      <c r="V352" s="16">
        <f>IFERROR(__xludf.DUMMYFUNCTION("""COMPUTED_VALUE"""),0.6666666666666666)</f>
        <v>0.6666666667</v>
      </c>
      <c r="W352" s="16">
        <f>IFERROR(__xludf.DUMMYFUNCTION("""COMPUTED_VALUE"""),1.8333333333333333)</f>
        <v>1.833333333</v>
      </c>
      <c r="X352" s="16">
        <f>IFERROR(__xludf.DUMMYFUNCTION("""COMPUTED_VALUE"""),1.3333333333333333)</f>
        <v>1.333333333</v>
      </c>
      <c r="Y352" s="11">
        <f>IFERROR(__xludf.DUMMYFUNCTION("""COMPUTED_VALUE"""),0.0)</f>
        <v>0</v>
      </c>
      <c r="Z352" s="11">
        <f>IFERROR(__xludf.DUMMYFUNCTION("""COMPUTED_VALUE"""),0.0)</f>
        <v>0</v>
      </c>
      <c r="AA352" s="11">
        <f>IFERROR(__xludf.DUMMYFUNCTION("""COMPUTED_VALUE"""),0.0)</f>
        <v>0</v>
      </c>
      <c r="AB352" s="11">
        <f>IFERROR(__xludf.DUMMYFUNCTION("""COMPUTED_VALUE"""),2.0)</f>
        <v>2</v>
      </c>
      <c r="AC352" s="11">
        <f>IFERROR(__xludf.DUMMYFUNCTION("""COMPUTED_VALUE"""),7.0)</f>
        <v>7</v>
      </c>
      <c r="AD352" s="11">
        <f>IFERROR(__xludf.DUMMYFUNCTION("""COMPUTED_VALUE"""),6.0)</f>
        <v>6</v>
      </c>
    </row>
    <row r="353">
      <c r="A353" s="10" t="str">
        <f>IFERROR(__xludf.DUMMYFUNCTION("""COMPUTED_VALUE"""),"Elite")</f>
        <v>Elite</v>
      </c>
      <c r="B353" s="10" t="str">
        <f>IFERROR(__xludf.DUMMYFUNCTION("""COMPUTED_VALUE"""),"RSC008109")</f>
        <v>RSC008109</v>
      </c>
      <c r="C353" s="10" t="str">
        <f>IFERROR(__xludf.DUMMYFUNCTION("""COMPUTED_VALUE"""),"Tbrock")</f>
        <v>Tbrock</v>
      </c>
      <c r="D353" s="36" t="str">
        <f>IFERROR(__xludf.DUMMYFUNCTION("""COMPUTED_VALUE"""),"Drive-by")</f>
        <v>Drive-by</v>
      </c>
      <c r="E353" s="10" t="str">
        <f>IFERROR(__xludf.DUMMYFUNCTION("""COMPUTED_VALUE"""),"Solar")</f>
        <v>Solar</v>
      </c>
      <c r="F353" s="37">
        <f>IFERROR(__xludf.DUMMYFUNCTION("""COMPUTED_VALUE"""),-31.09728540027909)</f>
        <v>-31.0972854</v>
      </c>
      <c r="G353" s="38">
        <f>IFERROR(__xludf.DUMMYFUNCTION("""COMPUTED_VALUE"""),-52.36381730041413)</f>
        <v>-52.3638173</v>
      </c>
      <c r="H353" s="38">
        <f>IFERROR(__xludf.DUMMYFUNCTION("""COMPUTED_VALUE"""),-41.73055135034661)</f>
        <v>-41.73055135</v>
      </c>
      <c r="I353" s="14">
        <f>IFERROR(__xludf.DUMMYFUNCTION("""COMPUTED_VALUE"""),2.0)</f>
        <v>2</v>
      </c>
      <c r="J353" s="11">
        <f>IFERROR(__xludf.DUMMYFUNCTION("IFERROR(FILTER(Stats!$F:$Z,(Stats!$A:$A=$A353)*(Stats!$B:$B=$B353)))"),0.0)</f>
        <v>0</v>
      </c>
      <c r="K353" s="11">
        <f>IFERROR(__xludf.DUMMYFUNCTION("""COMPUTED_VALUE"""),2.0)</f>
        <v>2</v>
      </c>
      <c r="L353" s="12">
        <f>IFERROR(__xludf.DUMMYFUNCTION("""COMPUTED_VALUE"""),0.0)</f>
        <v>0</v>
      </c>
      <c r="M353" s="11">
        <f>IFERROR(__xludf.DUMMYFUNCTION("""COMPUTED_VALUE"""),0.0)</f>
        <v>0</v>
      </c>
      <c r="N353" s="11">
        <f>IFERROR(__xludf.DUMMYFUNCTION("""COMPUTED_VALUE"""),629.0)</f>
        <v>629</v>
      </c>
      <c r="O353" s="13">
        <f>IFERROR(__xludf.DUMMYFUNCTION("""COMPUTED_VALUE"""),1.0)</f>
        <v>1</v>
      </c>
      <c r="P353" s="14">
        <f>IFERROR(__xludf.DUMMYFUNCTION("""COMPUTED_VALUE"""),0.0)</f>
        <v>0</v>
      </c>
      <c r="Q353" s="13">
        <f>IFERROR(__xludf.DUMMYFUNCTION("""COMPUTED_VALUE"""),5.0)</f>
        <v>5</v>
      </c>
      <c r="R353" s="13">
        <f>IFERROR(__xludf.DUMMYFUNCTION("""COMPUTED_VALUE"""),1.0)</f>
        <v>1</v>
      </c>
      <c r="S353" s="15">
        <f>IFERROR(__xludf.DUMMYFUNCTION("""COMPUTED_VALUE"""),1.0)</f>
        <v>1</v>
      </c>
      <c r="T353" s="16">
        <f>IFERROR(__xludf.DUMMYFUNCTION("""COMPUTED_VALUE"""),314.5)</f>
        <v>314.5</v>
      </c>
      <c r="U353" s="16">
        <f>IFERROR(__xludf.DUMMYFUNCTION("""COMPUTED_VALUE"""),0.5)</f>
        <v>0.5</v>
      </c>
      <c r="V353" s="16">
        <f>IFERROR(__xludf.DUMMYFUNCTION("""COMPUTED_VALUE"""),0.0)</f>
        <v>0</v>
      </c>
      <c r="W353" s="16">
        <f>IFERROR(__xludf.DUMMYFUNCTION("""COMPUTED_VALUE"""),2.5)</f>
        <v>2.5</v>
      </c>
      <c r="X353" s="16">
        <f>IFERROR(__xludf.DUMMYFUNCTION("""COMPUTED_VALUE"""),0.5)</f>
        <v>0.5</v>
      </c>
      <c r="Y353" s="11">
        <f>IFERROR(__xludf.DUMMYFUNCTION("""COMPUTED_VALUE"""),0.0)</f>
        <v>0</v>
      </c>
      <c r="Z353" s="11">
        <f>IFERROR(__xludf.DUMMYFUNCTION("""COMPUTED_VALUE"""),0.0)</f>
        <v>0</v>
      </c>
      <c r="AA353" s="11">
        <f>IFERROR(__xludf.DUMMYFUNCTION("""COMPUTED_VALUE"""),0.0)</f>
        <v>0</v>
      </c>
      <c r="AB353" s="11">
        <f>IFERROR(__xludf.DUMMYFUNCTION("""COMPUTED_VALUE"""),1.0)</f>
        <v>1</v>
      </c>
      <c r="AC353" s="11">
        <f>IFERROR(__xludf.DUMMYFUNCTION("""COMPUTED_VALUE"""),0.0)</f>
        <v>0</v>
      </c>
      <c r="AD353" s="11">
        <f>IFERROR(__xludf.DUMMYFUNCTION("""COMPUTED_VALUE"""),0.0)</f>
        <v>0</v>
      </c>
    </row>
    <row r="354">
      <c r="A354" s="10" t="str">
        <f>IFERROR(__xludf.DUMMYFUNCTION("""COMPUTED_VALUE"""),"Elite")</f>
        <v>Elite</v>
      </c>
      <c r="B354" s="10" t="str">
        <f>IFERROR(__xludf.DUMMYFUNCTION("""COMPUTED_VALUE"""),"RSC000923")</f>
        <v>RSC000923</v>
      </c>
      <c r="C354" s="10" t="str">
        <f>IFERROR(__xludf.DUMMYFUNCTION("""COMPUTED_VALUE"""),"Stemantics")</f>
        <v>Stemantics</v>
      </c>
      <c r="D354" s="36" t="str">
        <f>IFERROR(__xludf.DUMMYFUNCTION("""COMPUTED_VALUE"""),"Drive-by")</f>
        <v>Drive-by</v>
      </c>
      <c r="E354" s="10" t="str">
        <f>IFERROR(__xludf.DUMMYFUNCTION("""COMPUTED_VALUE"""),"Solar")</f>
        <v>Solar</v>
      </c>
      <c r="F354" s="37">
        <f>IFERROR(__xludf.DUMMYFUNCTION("""COMPUTED_VALUE"""),-60.620961902336916)</f>
        <v>-60.6209619</v>
      </c>
      <c r="G354" s="38">
        <f>IFERROR(__xludf.DUMMYFUNCTION("""COMPUTED_VALUE"""),-54.705693206943096)</f>
        <v>-54.70569321</v>
      </c>
      <c r="H354" s="38">
        <f>IFERROR(__xludf.DUMMYFUNCTION("""COMPUTED_VALUE"""),-57.663327554640006)</f>
        <v>-57.66332755</v>
      </c>
      <c r="I354" s="14">
        <f>IFERROR(__xludf.DUMMYFUNCTION("""COMPUTED_VALUE"""),1.0)</f>
        <v>1</v>
      </c>
      <c r="J354" s="11">
        <f>IFERROR(__xludf.DUMMYFUNCTION("IFERROR(FILTER(Stats!$F:$Z,(Stats!$A:$A=$A354)*(Stats!$B:$B=$B354)))"),0.0)</f>
        <v>0</v>
      </c>
      <c r="K354" s="11">
        <f>IFERROR(__xludf.DUMMYFUNCTION("""COMPUTED_VALUE"""),1.0)</f>
        <v>1</v>
      </c>
      <c r="L354" s="12">
        <f>IFERROR(__xludf.DUMMYFUNCTION("""COMPUTED_VALUE"""),0.0)</f>
        <v>0</v>
      </c>
      <c r="M354" s="11">
        <f>IFERROR(__xludf.DUMMYFUNCTION("""COMPUTED_VALUE"""),0.0)</f>
        <v>0</v>
      </c>
      <c r="N354" s="11">
        <f>IFERROR(__xludf.DUMMYFUNCTION("""COMPUTED_VALUE"""),128.0)</f>
        <v>128</v>
      </c>
      <c r="O354" s="13">
        <f>IFERROR(__xludf.DUMMYFUNCTION("""COMPUTED_VALUE"""),0.0)</f>
        <v>0</v>
      </c>
      <c r="P354" s="14">
        <f>IFERROR(__xludf.DUMMYFUNCTION("""COMPUTED_VALUE"""),0.0)</f>
        <v>0</v>
      </c>
      <c r="Q354" s="13">
        <f>IFERROR(__xludf.DUMMYFUNCTION("""COMPUTED_VALUE"""),1.0)</f>
        <v>1</v>
      </c>
      <c r="R354" s="13">
        <f>IFERROR(__xludf.DUMMYFUNCTION("""COMPUTED_VALUE"""),1.0)</f>
        <v>1</v>
      </c>
      <c r="S354" s="15">
        <f>IFERROR(__xludf.DUMMYFUNCTION("""COMPUTED_VALUE"""),0.0)</f>
        <v>0</v>
      </c>
      <c r="T354" s="16">
        <f>IFERROR(__xludf.DUMMYFUNCTION("""COMPUTED_VALUE"""),128.0)</f>
        <v>128</v>
      </c>
      <c r="U354" s="16">
        <f>IFERROR(__xludf.DUMMYFUNCTION("""COMPUTED_VALUE"""),0.0)</f>
        <v>0</v>
      </c>
      <c r="V354" s="16">
        <f>IFERROR(__xludf.DUMMYFUNCTION("""COMPUTED_VALUE"""),0.0)</f>
        <v>0</v>
      </c>
      <c r="W354" s="16">
        <f>IFERROR(__xludf.DUMMYFUNCTION("""COMPUTED_VALUE"""),1.0)</f>
        <v>1</v>
      </c>
      <c r="X354" s="16">
        <f>IFERROR(__xludf.DUMMYFUNCTION("""COMPUTED_VALUE"""),1.0)</f>
        <v>1</v>
      </c>
      <c r="Y354" s="11">
        <f>IFERROR(__xludf.DUMMYFUNCTION("""COMPUTED_VALUE"""),0.0)</f>
        <v>0</v>
      </c>
      <c r="Z354" s="11">
        <f>IFERROR(__xludf.DUMMYFUNCTION("""COMPUTED_VALUE"""),0.0)</f>
        <v>0</v>
      </c>
      <c r="AA354" s="11">
        <f>IFERROR(__xludf.DUMMYFUNCTION("""COMPUTED_VALUE"""),0.0)</f>
        <v>0</v>
      </c>
      <c r="AB354" s="11">
        <f>IFERROR(__xludf.DUMMYFUNCTION("""COMPUTED_VALUE"""),0.0)</f>
        <v>0</v>
      </c>
      <c r="AC354" s="11">
        <f>IFERROR(__xludf.DUMMYFUNCTION("""COMPUTED_VALUE"""),2.0)</f>
        <v>2</v>
      </c>
      <c r="AD354" s="11">
        <f>IFERROR(__xludf.DUMMYFUNCTION("""COMPUTED_VALUE"""),0.0)</f>
        <v>0</v>
      </c>
    </row>
    <row r="355">
      <c r="A355" s="10" t="str">
        <f>IFERROR(__xludf.DUMMYFUNCTION("""COMPUTED_VALUE"""),"Master")</f>
        <v>Master</v>
      </c>
      <c r="B355" s="10" t="str">
        <f>IFERROR(__xludf.DUMMYFUNCTION("""COMPUTED_VALUE"""),"RSC004580")</f>
        <v>RSC004580</v>
      </c>
      <c r="C355" s="10" t="str">
        <f>IFERROR(__xludf.DUMMYFUNCTION("""COMPUTED_VALUE"""),"Static")</f>
        <v>Static</v>
      </c>
      <c r="D355" s="36" t="str">
        <f>IFERROR(__xludf.DUMMYFUNCTION("""COMPUTED_VALUE"""),"Spectres")</f>
        <v>Spectres</v>
      </c>
      <c r="E355" s="10" t="str">
        <f>IFERROR(__xludf.DUMMYFUNCTION("""COMPUTED_VALUE"""),"N/A")</f>
        <v>N/A</v>
      </c>
      <c r="F355" s="37">
        <f>IFERROR(__xludf.DUMMYFUNCTION("""COMPUTED_VALUE"""),103.45406722736885)</f>
        <v>103.4540672</v>
      </c>
      <c r="G355" s="38">
        <f>IFERROR(__xludf.DUMMYFUNCTION("""COMPUTED_VALUE"""),106.03943825809502)</f>
        <v>106.0394383</v>
      </c>
      <c r="H355" s="38">
        <f>IFERROR(__xludf.DUMMYFUNCTION("""COMPUTED_VALUE"""),104.74675274273193)</f>
        <v>104.7467527</v>
      </c>
      <c r="I355" s="14">
        <f>IFERROR(__xludf.DUMMYFUNCTION("""COMPUTED_VALUE"""),8.0)</f>
        <v>8</v>
      </c>
      <c r="J355" s="11">
        <f>IFERROR(__xludf.DUMMYFUNCTION("IFERROR(FILTER(Stats!$F:$Z,(Stats!$A:$A=$A355)*(Stats!$B:$B=$B355)))"),5.0)</f>
        <v>5</v>
      </c>
      <c r="K355" s="11">
        <f>IFERROR(__xludf.DUMMYFUNCTION("""COMPUTED_VALUE"""),3.0)</f>
        <v>3</v>
      </c>
      <c r="L355" s="12">
        <f>IFERROR(__xludf.DUMMYFUNCTION("""COMPUTED_VALUE"""),0.625)</f>
        <v>0.625</v>
      </c>
      <c r="M355" s="11">
        <f>IFERROR(__xludf.DUMMYFUNCTION("""COMPUTED_VALUE"""),5.0)</f>
        <v>5</v>
      </c>
      <c r="N355" s="11">
        <f>IFERROR(__xludf.DUMMYFUNCTION("""COMPUTED_VALUE"""),4063.0)</f>
        <v>4063</v>
      </c>
      <c r="O355" s="13">
        <f>IFERROR(__xludf.DUMMYFUNCTION("""COMPUTED_VALUE"""),11.0)</f>
        <v>11</v>
      </c>
      <c r="P355" s="14">
        <f>IFERROR(__xludf.DUMMYFUNCTION("""COMPUTED_VALUE"""),3.0)</f>
        <v>3</v>
      </c>
      <c r="Q355" s="13">
        <f>IFERROR(__xludf.DUMMYFUNCTION("""COMPUTED_VALUE"""),16.0)</f>
        <v>16</v>
      </c>
      <c r="R355" s="13">
        <f>IFERROR(__xludf.DUMMYFUNCTION("""COMPUTED_VALUE"""),30.0)</f>
        <v>30</v>
      </c>
      <c r="S355" s="15">
        <f>IFERROR(__xludf.DUMMYFUNCTION("""COMPUTED_VALUE"""),0.36666666666666664)</f>
        <v>0.3666666667</v>
      </c>
      <c r="T355" s="16">
        <f>IFERROR(__xludf.DUMMYFUNCTION("""COMPUTED_VALUE"""),507.875)</f>
        <v>507.875</v>
      </c>
      <c r="U355" s="16">
        <f>IFERROR(__xludf.DUMMYFUNCTION("""COMPUTED_VALUE"""),1.375)</f>
        <v>1.375</v>
      </c>
      <c r="V355" s="16">
        <f>IFERROR(__xludf.DUMMYFUNCTION("""COMPUTED_VALUE"""),0.375)</f>
        <v>0.375</v>
      </c>
      <c r="W355" s="16">
        <f>IFERROR(__xludf.DUMMYFUNCTION("""COMPUTED_VALUE"""),2.0)</f>
        <v>2</v>
      </c>
      <c r="X355" s="16">
        <f>IFERROR(__xludf.DUMMYFUNCTION("""COMPUTED_VALUE"""),3.75)</f>
        <v>3.75</v>
      </c>
      <c r="Y355" s="11">
        <f>IFERROR(__xludf.DUMMYFUNCTION("""COMPUTED_VALUE"""),2.0)</f>
        <v>2</v>
      </c>
      <c r="Z355" s="11">
        <f>IFERROR(__xludf.DUMMYFUNCTION("""COMPUTED_VALUE"""),1.0)</f>
        <v>1</v>
      </c>
      <c r="AA355" s="11">
        <f>IFERROR(__xludf.DUMMYFUNCTION("""COMPUTED_VALUE"""),0.0)</f>
        <v>0</v>
      </c>
      <c r="AB355" s="11">
        <f>IFERROR(__xludf.DUMMYFUNCTION("""COMPUTED_VALUE"""),4.0)</f>
        <v>4</v>
      </c>
      <c r="AC355" s="11">
        <f>IFERROR(__xludf.DUMMYFUNCTION("""COMPUTED_VALUE"""),12.0)</f>
        <v>12</v>
      </c>
      <c r="AD355" s="11">
        <f>IFERROR(__xludf.DUMMYFUNCTION("""COMPUTED_VALUE"""),6.0)</f>
        <v>6</v>
      </c>
    </row>
    <row r="356">
      <c r="A356" s="10" t="str">
        <f>IFERROR(__xludf.DUMMYFUNCTION("""COMPUTED_VALUE"""),"Master")</f>
        <v>Master</v>
      </c>
      <c r="B356" s="10" t="str">
        <f>IFERROR(__xludf.DUMMYFUNCTION("""COMPUTED_VALUE"""),"RSC008285")</f>
        <v>RSC008285</v>
      </c>
      <c r="C356" s="10" t="str">
        <f>IFERROR(__xludf.DUMMYFUNCTION("""COMPUTED_VALUE"""),"ChiRho_-")</f>
        <v>ChiRho_-</v>
      </c>
      <c r="D356" s="36" t="str">
        <f>IFERROR(__xludf.DUMMYFUNCTION("""COMPUTED_VALUE"""),"Reapers")</f>
        <v>Reapers</v>
      </c>
      <c r="E356" s="10" t="str">
        <f>IFERROR(__xludf.DUMMYFUNCTION("""COMPUTED_VALUE"""),"N/A")</f>
        <v>N/A</v>
      </c>
      <c r="F356" s="37">
        <f>IFERROR(__xludf.DUMMYFUNCTION("""COMPUTED_VALUE"""),101.04645096304932)</f>
        <v>101.046451</v>
      </c>
      <c r="G356" s="38">
        <f>IFERROR(__xludf.DUMMYFUNCTION("""COMPUTED_VALUE"""),72.6368379612378)</f>
        <v>72.63683796</v>
      </c>
      <c r="H356" s="38">
        <f>IFERROR(__xludf.DUMMYFUNCTION("""COMPUTED_VALUE"""),86.84164446214356)</f>
        <v>86.84164446</v>
      </c>
      <c r="I356" s="14">
        <f>IFERROR(__xludf.DUMMYFUNCTION("""COMPUTED_VALUE"""),4.0)</f>
        <v>4</v>
      </c>
      <c r="J356" s="11">
        <f>IFERROR(__xludf.DUMMYFUNCTION("IFERROR(FILTER(Stats!$F:$Z,(Stats!$A:$A=$A356)*(Stats!$B:$B=$B356)))"),3.0)</f>
        <v>3</v>
      </c>
      <c r="K356" s="11">
        <f>IFERROR(__xludf.DUMMYFUNCTION("""COMPUTED_VALUE"""),1.0)</f>
        <v>1</v>
      </c>
      <c r="L356" s="12">
        <f>IFERROR(__xludf.DUMMYFUNCTION("""COMPUTED_VALUE"""),0.75)</f>
        <v>0.75</v>
      </c>
      <c r="M356" s="11">
        <f>IFERROR(__xludf.DUMMYFUNCTION("""COMPUTED_VALUE"""),2.0)</f>
        <v>2</v>
      </c>
      <c r="N356" s="11">
        <f>IFERROR(__xludf.DUMMYFUNCTION("""COMPUTED_VALUE"""),1691.0)</f>
        <v>1691</v>
      </c>
      <c r="O356" s="13">
        <f>IFERROR(__xludf.DUMMYFUNCTION("""COMPUTED_VALUE"""),5.0)</f>
        <v>5</v>
      </c>
      <c r="P356" s="14">
        <f>IFERROR(__xludf.DUMMYFUNCTION("""COMPUTED_VALUE"""),2.0)</f>
        <v>2</v>
      </c>
      <c r="Q356" s="13">
        <f>IFERROR(__xludf.DUMMYFUNCTION("""COMPUTED_VALUE"""),7.0)</f>
        <v>7</v>
      </c>
      <c r="R356" s="13">
        <f>IFERROR(__xludf.DUMMYFUNCTION("""COMPUTED_VALUE"""),6.0)</f>
        <v>6</v>
      </c>
      <c r="S356" s="15">
        <f>IFERROR(__xludf.DUMMYFUNCTION("""COMPUTED_VALUE"""),0.8333333333333334)</f>
        <v>0.8333333333</v>
      </c>
      <c r="T356" s="16">
        <f>IFERROR(__xludf.DUMMYFUNCTION("""COMPUTED_VALUE"""),422.75)</f>
        <v>422.75</v>
      </c>
      <c r="U356" s="16">
        <f>IFERROR(__xludf.DUMMYFUNCTION("""COMPUTED_VALUE"""),1.25)</f>
        <v>1.25</v>
      </c>
      <c r="V356" s="16">
        <f>IFERROR(__xludf.DUMMYFUNCTION("""COMPUTED_VALUE"""),0.5)</f>
        <v>0.5</v>
      </c>
      <c r="W356" s="16">
        <f>IFERROR(__xludf.DUMMYFUNCTION("""COMPUTED_VALUE"""),1.75)</f>
        <v>1.75</v>
      </c>
      <c r="X356" s="16">
        <f>IFERROR(__xludf.DUMMYFUNCTION("""COMPUTED_VALUE"""),1.5)</f>
        <v>1.5</v>
      </c>
      <c r="Y356" s="11">
        <f>IFERROR(__xludf.DUMMYFUNCTION("""COMPUTED_VALUE"""),1.0)</f>
        <v>1</v>
      </c>
      <c r="Z356" s="11">
        <f>IFERROR(__xludf.DUMMYFUNCTION("""COMPUTED_VALUE"""),0.0)</f>
        <v>0</v>
      </c>
      <c r="AA356" s="11">
        <f>IFERROR(__xludf.DUMMYFUNCTION("""COMPUTED_VALUE"""),0.0)</f>
        <v>0</v>
      </c>
      <c r="AB356" s="11">
        <f>IFERROR(__xludf.DUMMYFUNCTION("""COMPUTED_VALUE"""),0.0)</f>
        <v>0</v>
      </c>
      <c r="AC356" s="11">
        <f>IFERROR(__xludf.DUMMYFUNCTION("""COMPUTED_VALUE"""),1.0)</f>
        <v>1</v>
      </c>
      <c r="AD356" s="11">
        <f>IFERROR(__xludf.DUMMYFUNCTION("""COMPUTED_VALUE"""),5.0)</f>
        <v>5</v>
      </c>
    </row>
    <row r="357">
      <c r="A357" s="10" t="str">
        <f>IFERROR(__xludf.DUMMYFUNCTION("""COMPUTED_VALUE"""),"Master")</f>
        <v>Master</v>
      </c>
      <c r="B357" s="10" t="str">
        <f>IFERROR(__xludf.DUMMYFUNCTION("""COMPUTED_VALUE"""),"RSC002888")</f>
        <v>RSC002888</v>
      </c>
      <c r="C357" s="10" t="str">
        <f>IFERROR(__xludf.DUMMYFUNCTION("""COMPUTED_VALUE"""),"kri0s")</f>
        <v>kri0s</v>
      </c>
      <c r="D357" s="36" t="str">
        <f>IFERROR(__xludf.DUMMYFUNCTION("""COMPUTED_VALUE"""),"Heinous Henchmen")</f>
        <v>Heinous Henchmen</v>
      </c>
      <c r="E357" s="10" t="str">
        <f>IFERROR(__xludf.DUMMYFUNCTION("""COMPUTED_VALUE"""),"N/A")</f>
        <v>N/A</v>
      </c>
      <c r="F357" s="37">
        <f>IFERROR(__xludf.DUMMYFUNCTION("""COMPUTED_VALUE"""),75.75704361083812)</f>
        <v>75.75704361</v>
      </c>
      <c r="G357" s="38">
        <f>IFERROR(__xludf.DUMMYFUNCTION("""COMPUTED_VALUE"""),93.79965020863196)</f>
        <v>93.79965021</v>
      </c>
      <c r="H357" s="38">
        <f>IFERROR(__xludf.DUMMYFUNCTION("""COMPUTED_VALUE"""),84.77834690973503)</f>
        <v>84.77834691</v>
      </c>
      <c r="I357" s="14">
        <f>IFERROR(__xludf.DUMMYFUNCTION("""COMPUTED_VALUE"""),8.0)</f>
        <v>8</v>
      </c>
      <c r="J357" s="11">
        <f>IFERROR(__xludf.DUMMYFUNCTION("IFERROR(FILTER(Stats!$F:$Z,(Stats!$A:$A=$A357)*(Stats!$B:$B=$B357)))"),6.0)</f>
        <v>6</v>
      </c>
      <c r="K357" s="11">
        <f>IFERROR(__xludf.DUMMYFUNCTION("""COMPUTED_VALUE"""),2.0)</f>
        <v>2</v>
      </c>
      <c r="L357" s="12">
        <f>IFERROR(__xludf.DUMMYFUNCTION("""COMPUTED_VALUE"""),0.75)</f>
        <v>0.75</v>
      </c>
      <c r="M357" s="11">
        <f>IFERROR(__xludf.DUMMYFUNCTION("""COMPUTED_VALUE"""),1.0)</f>
        <v>1</v>
      </c>
      <c r="N357" s="11">
        <f>IFERROR(__xludf.DUMMYFUNCTION("""COMPUTED_VALUE"""),2734.0)</f>
        <v>2734</v>
      </c>
      <c r="O357" s="13">
        <f>IFERROR(__xludf.DUMMYFUNCTION("""COMPUTED_VALUE"""),8.0)</f>
        <v>8</v>
      </c>
      <c r="P357" s="14">
        <f>IFERROR(__xludf.DUMMYFUNCTION("""COMPUTED_VALUE"""),7.0)</f>
        <v>7</v>
      </c>
      <c r="Q357" s="13">
        <f>IFERROR(__xludf.DUMMYFUNCTION("""COMPUTED_VALUE"""),5.0)</f>
        <v>5</v>
      </c>
      <c r="R357" s="13">
        <f>IFERROR(__xludf.DUMMYFUNCTION("""COMPUTED_VALUE"""),24.0)</f>
        <v>24</v>
      </c>
      <c r="S357" s="15">
        <f>IFERROR(__xludf.DUMMYFUNCTION("""COMPUTED_VALUE"""),0.3333333333333333)</f>
        <v>0.3333333333</v>
      </c>
      <c r="T357" s="16">
        <f>IFERROR(__xludf.DUMMYFUNCTION("""COMPUTED_VALUE"""),341.75)</f>
        <v>341.75</v>
      </c>
      <c r="U357" s="16">
        <f>IFERROR(__xludf.DUMMYFUNCTION("""COMPUTED_VALUE"""),1.0)</f>
        <v>1</v>
      </c>
      <c r="V357" s="16">
        <f>IFERROR(__xludf.DUMMYFUNCTION("""COMPUTED_VALUE"""),0.875)</f>
        <v>0.875</v>
      </c>
      <c r="W357" s="16">
        <f>IFERROR(__xludf.DUMMYFUNCTION("""COMPUTED_VALUE"""),0.625)</f>
        <v>0.625</v>
      </c>
      <c r="X357" s="16">
        <f>IFERROR(__xludf.DUMMYFUNCTION("""COMPUTED_VALUE"""),3.0)</f>
        <v>3</v>
      </c>
      <c r="Y357" s="11">
        <f>IFERROR(__xludf.DUMMYFUNCTION("""COMPUTED_VALUE"""),2.0)</f>
        <v>2</v>
      </c>
      <c r="Z357" s="11">
        <f>IFERROR(__xludf.DUMMYFUNCTION("""COMPUTED_VALUE"""),1.0)</f>
        <v>1</v>
      </c>
      <c r="AA357" s="11">
        <f>IFERROR(__xludf.DUMMYFUNCTION("""COMPUTED_VALUE"""),0.0)</f>
        <v>0</v>
      </c>
      <c r="AB357" s="11">
        <f>IFERROR(__xludf.DUMMYFUNCTION("""COMPUTED_VALUE"""),0.0)</f>
        <v>0</v>
      </c>
      <c r="AC357" s="11">
        <f>IFERROR(__xludf.DUMMYFUNCTION("""COMPUTED_VALUE"""),10.0)</f>
        <v>10</v>
      </c>
      <c r="AD357" s="11">
        <f>IFERROR(__xludf.DUMMYFUNCTION("""COMPUTED_VALUE"""),6.0)</f>
        <v>6</v>
      </c>
    </row>
    <row r="358">
      <c r="A358" s="10" t="str">
        <f>IFERROR(__xludf.DUMMYFUNCTION("""COMPUTED_VALUE"""),"Master")</f>
        <v>Master</v>
      </c>
      <c r="B358" s="10" t="str">
        <f>IFERROR(__xludf.DUMMYFUNCTION("""COMPUTED_VALUE"""),"RSC007282")</f>
        <v>RSC007282</v>
      </c>
      <c r="C358" s="10" t="str">
        <f>IFERROR(__xludf.DUMMYFUNCTION("""COMPUTED_VALUE"""),"kRs^^")</f>
        <v>kRs^^</v>
      </c>
      <c r="D358" s="36" t="str">
        <f>IFERROR(__xludf.DUMMYFUNCTION("""COMPUTED_VALUE"""),"Helicoprions")</f>
        <v>Helicoprions</v>
      </c>
      <c r="E358" s="10" t="str">
        <f>IFERROR(__xludf.DUMMYFUNCTION("""COMPUTED_VALUE"""),"N/A")</f>
        <v>N/A</v>
      </c>
      <c r="F358" s="37">
        <f>IFERROR(__xludf.DUMMYFUNCTION("""COMPUTED_VALUE"""),81.26009088532389)</f>
        <v>81.26009089</v>
      </c>
      <c r="G358" s="38">
        <f>IFERROR(__xludf.DUMMYFUNCTION("""COMPUTED_VALUE"""),85.87898475019763)</f>
        <v>85.87898475</v>
      </c>
      <c r="H358" s="38">
        <f>IFERROR(__xludf.DUMMYFUNCTION("""COMPUTED_VALUE"""),83.56953781776076)</f>
        <v>83.56953782</v>
      </c>
      <c r="I358" s="14">
        <f>IFERROR(__xludf.DUMMYFUNCTION("""COMPUTED_VALUE"""),44.0)</f>
        <v>44</v>
      </c>
      <c r="J358" s="11">
        <f>IFERROR(__xludf.DUMMYFUNCTION("IFERROR(FILTER(Stats!$F:$Z,(Stats!$A:$A=$A358)*(Stats!$B:$B=$B358)))"),24.0)</f>
        <v>24</v>
      </c>
      <c r="K358" s="11">
        <f>IFERROR(__xludf.DUMMYFUNCTION("""COMPUTED_VALUE"""),20.0)</f>
        <v>20</v>
      </c>
      <c r="L358" s="12">
        <f>IFERROR(__xludf.DUMMYFUNCTION("""COMPUTED_VALUE"""),0.5454545454545454)</f>
        <v>0.5454545455</v>
      </c>
      <c r="M358" s="11">
        <f>IFERROR(__xludf.DUMMYFUNCTION("""COMPUTED_VALUE"""),10.0)</f>
        <v>10</v>
      </c>
      <c r="N358" s="11">
        <f>IFERROR(__xludf.DUMMYFUNCTION("""COMPUTED_VALUE"""),17859.0)</f>
        <v>17859</v>
      </c>
      <c r="O358" s="13">
        <f>IFERROR(__xludf.DUMMYFUNCTION("""COMPUTED_VALUE"""),45.0)</f>
        <v>45</v>
      </c>
      <c r="P358" s="14">
        <f>IFERROR(__xludf.DUMMYFUNCTION("""COMPUTED_VALUE"""),33.0)</f>
        <v>33</v>
      </c>
      <c r="Q358" s="13">
        <f>IFERROR(__xludf.DUMMYFUNCTION("""COMPUTED_VALUE"""),57.0)</f>
        <v>57</v>
      </c>
      <c r="R358" s="13">
        <f>IFERROR(__xludf.DUMMYFUNCTION("""COMPUTED_VALUE"""),146.0)</f>
        <v>146</v>
      </c>
      <c r="S358" s="15">
        <f>IFERROR(__xludf.DUMMYFUNCTION("""COMPUTED_VALUE"""),0.3082191780821918)</f>
        <v>0.3082191781</v>
      </c>
      <c r="T358" s="16">
        <f>IFERROR(__xludf.DUMMYFUNCTION("""COMPUTED_VALUE"""),405.8863636363636)</f>
        <v>405.8863636</v>
      </c>
      <c r="U358" s="16">
        <f>IFERROR(__xludf.DUMMYFUNCTION("""COMPUTED_VALUE"""),1.0227272727272727)</f>
        <v>1.022727273</v>
      </c>
      <c r="V358" s="16">
        <f>IFERROR(__xludf.DUMMYFUNCTION("""COMPUTED_VALUE"""),0.75)</f>
        <v>0.75</v>
      </c>
      <c r="W358" s="16">
        <f>IFERROR(__xludf.DUMMYFUNCTION("""COMPUTED_VALUE"""),1.2954545454545454)</f>
        <v>1.295454545</v>
      </c>
      <c r="X358" s="16">
        <f>IFERROR(__xludf.DUMMYFUNCTION("""COMPUTED_VALUE"""),3.3181818181818183)</f>
        <v>3.318181818</v>
      </c>
      <c r="Y358" s="11">
        <f>IFERROR(__xludf.DUMMYFUNCTION("""COMPUTED_VALUE"""),10.0)</f>
        <v>10</v>
      </c>
      <c r="Z358" s="11">
        <f>IFERROR(__xludf.DUMMYFUNCTION("""COMPUTED_VALUE"""),4.0)</f>
        <v>4</v>
      </c>
      <c r="AA358" s="11">
        <f>IFERROR(__xludf.DUMMYFUNCTION("""COMPUTED_VALUE"""),2.0)</f>
        <v>2</v>
      </c>
      <c r="AB358" s="11">
        <f>IFERROR(__xludf.DUMMYFUNCTION("""COMPUTED_VALUE"""),7.0)</f>
        <v>7</v>
      </c>
      <c r="AC358" s="11">
        <f>IFERROR(__xludf.DUMMYFUNCTION("""COMPUTED_VALUE"""),73.0)</f>
        <v>73</v>
      </c>
      <c r="AD358" s="11">
        <f>IFERROR(__xludf.DUMMYFUNCTION("""COMPUTED_VALUE"""),46.0)</f>
        <v>46</v>
      </c>
    </row>
    <row r="359">
      <c r="A359" s="10" t="str">
        <f>IFERROR(__xludf.DUMMYFUNCTION("""COMPUTED_VALUE"""),"Master")</f>
        <v>Master</v>
      </c>
      <c r="B359" s="10" t="str">
        <f>IFERROR(__xludf.DUMMYFUNCTION("""COMPUTED_VALUE"""),"RSC007893")</f>
        <v>RSC007893</v>
      </c>
      <c r="C359" s="10" t="str">
        <f>IFERROR(__xludf.DUMMYFUNCTION("""COMPUTED_VALUE"""),"solar722")</f>
        <v>solar722</v>
      </c>
      <c r="D359" s="36" t="str">
        <f>IFERROR(__xludf.DUMMYFUNCTION("""COMPUTED_VALUE"""),"Spectres")</f>
        <v>Spectres</v>
      </c>
      <c r="E359" s="10" t="str">
        <f>IFERROR(__xludf.DUMMYFUNCTION("""COMPUTED_VALUE"""),"N/A")</f>
        <v>N/A</v>
      </c>
      <c r="F359" s="37">
        <f>IFERROR(__xludf.DUMMYFUNCTION("""COMPUTED_VALUE"""),86.04982161117238)</f>
        <v>86.04982161</v>
      </c>
      <c r="G359" s="38">
        <f>IFERROR(__xludf.DUMMYFUNCTION("""COMPUTED_VALUE"""),78.37513190305926)</f>
        <v>78.3751319</v>
      </c>
      <c r="H359" s="38">
        <f>IFERROR(__xludf.DUMMYFUNCTION("""COMPUTED_VALUE"""),82.21247675711581)</f>
        <v>82.21247676</v>
      </c>
      <c r="I359" s="14">
        <f>IFERROR(__xludf.DUMMYFUNCTION("""COMPUTED_VALUE"""),48.0)</f>
        <v>48</v>
      </c>
      <c r="J359" s="11">
        <f>IFERROR(__xludf.DUMMYFUNCTION("IFERROR(FILTER(Stats!$F:$Z,(Stats!$A:$A=$A359)*(Stats!$B:$B=$B359)))"),24.0)</f>
        <v>24</v>
      </c>
      <c r="K359" s="11">
        <f>IFERROR(__xludf.DUMMYFUNCTION("""COMPUTED_VALUE"""),24.0)</f>
        <v>24</v>
      </c>
      <c r="L359" s="12">
        <f>IFERROR(__xludf.DUMMYFUNCTION("""COMPUTED_VALUE"""),0.5)</f>
        <v>0.5</v>
      </c>
      <c r="M359" s="11">
        <f>IFERROR(__xludf.DUMMYFUNCTION("""COMPUTED_VALUE"""),12.0)</f>
        <v>12</v>
      </c>
      <c r="N359" s="11">
        <f>IFERROR(__xludf.DUMMYFUNCTION("""COMPUTED_VALUE"""),18415.0)</f>
        <v>18415</v>
      </c>
      <c r="O359" s="13">
        <f>IFERROR(__xludf.DUMMYFUNCTION("""COMPUTED_VALUE"""),40.0)</f>
        <v>40</v>
      </c>
      <c r="P359" s="14">
        <f>IFERROR(__xludf.DUMMYFUNCTION("""COMPUTED_VALUE"""),21.0)</f>
        <v>21</v>
      </c>
      <c r="Q359" s="13">
        <f>IFERROR(__xludf.DUMMYFUNCTION("""COMPUTED_VALUE"""),71.0)</f>
        <v>71</v>
      </c>
      <c r="R359" s="13">
        <f>IFERROR(__xludf.DUMMYFUNCTION("""COMPUTED_VALUE"""),154.0)</f>
        <v>154</v>
      </c>
      <c r="S359" s="15">
        <f>IFERROR(__xludf.DUMMYFUNCTION("""COMPUTED_VALUE"""),0.2597402597402597)</f>
        <v>0.2597402597</v>
      </c>
      <c r="T359" s="16">
        <f>IFERROR(__xludf.DUMMYFUNCTION("""COMPUTED_VALUE"""),383.6458333333333)</f>
        <v>383.6458333</v>
      </c>
      <c r="U359" s="16">
        <f>IFERROR(__xludf.DUMMYFUNCTION("""COMPUTED_VALUE"""),0.8333333333333334)</f>
        <v>0.8333333333</v>
      </c>
      <c r="V359" s="16">
        <f>IFERROR(__xludf.DUMMYFUNCTION("""COMPUTED_VALUE"""),0.4375)</f>
        <v>0.4375</v>
      </c>
      <c r="W359" s="16">
        <f>IFERROR(__xludf.DUMMYFUNCTION("""COMPUTED_VALUE"""),1.4791666666666667)</f>
        <v>1.479166667</v>
      </c>
      <c r="X359" s="16">
        <f>IFERROR(__xludf.DUMMYFUNCTION("""COMPUTED_VALUE"""),3.2083333333333335)</f>
        <v>3.208333333</v>
      </c>
      <c r="Y359" s="11">
        <f>IFERROR(__xludf.DUMMYFUNCTION("""COMPUTED_VALUE"""),8.0)</f>
        <v>8</v>
      </c>
      <c r="Z359" s="11">
        <f>IFERROR(__xludf.DUMMYFUNCTION("""COMPUTED_VALUE"""),4.0)</f>
        <v>4</v>
      </c>
      <c r="AA359" s="11">
        <f>IFERROR(__xludf.DUMMYFUNCTION("""COMPUTED_VALUE"""),0.0)</f>
        <v>0</v>
      </c>
      <c r="AB359" s="11">
        <f>IFERROR(__xludf.DUMMYFUNCTION("""COMPUTED_VALUE"""),10.0)</f>
        <v>10</v>
      </c>
      <c r="AC359" s="11">
        <f>IFERROR(__xludf.DUMMYFUNCTION("""COMPUTED_VALUE"""),32.0)</f>
        <v>32</v>
      </c>
      <c r="AD359" s="11">
        <f>IFERROR(__xludf.DUMMYFUNCTION("""COMPUTED_VALUE"""),59.0)</f>
        <v>59</v>
      </c>
    </row>
    <row r="360">
      <c r="A360" s="10" t="str">
        <f>IFERROR(__xludf.DUMMYFUNCTION("""COMPUTED_VALUE"""),"Master")</f>
        <v>Master</v>
      </c>
      <c r="B360" s="10" t="str">
        <f>IFERROR(__xludf.DUMMYFUNCTION("""COMPUTED_VALUE"""),"RSC007876")</f>
        <v>RSC007876</v>
      </c>
      <c r="C360" s="10" t="str">
        <f>IFERROR(__xludf.DUMMYFUNCTION("""COMPUTED_VALUE"""),"dwsn.")</f>
        <v>dwsn.</v>
      </c>
      <c r="D360" s="36" t="str">
        <f>IFERROR(__xludf.DUMMYFUNCTION("""COMPUTED_VALUE"""),"Helicoprions")</f>
        <v>Helicoprions</v>
      </c>
      <c r="E360" s="10" t="str">
        <f>IFERROR(__xludf.DUMMYFUNCTION("""COMPUTED_VALUE"""),"N/A")</f>
        <v>N/A</v>
      </c>
      <c r="F360" s="37">
        <f>IFERROR(__xludf.DUMMYFUNCTION("""COMPUTED_VALUE"""),80.72529825677628)</f>
        <v>80.72529826</v>
      </c>
      <c r="G360" s="38">
        <f>IFERROR(__xludf.DUMMYFUNCTION("""COMPUTED_VALUE"""),74.78456187037229)</f>
        <v>74.78456187</v>
      </c>
      <c r="H360" s="38">
        <f>IFERROR(__xludf.DUMMYFUNCTION("""COMPUTED_VALUE"""),77.75493006357428)</f>
        <v>77.75493006</v>
      </c>
      <c r="I360" s="14">
        <f>IFERROR(__xludf.DUMMYFUNCTION("""COMPUTED_VALUE"""),48.0)</f>
        <v>48</v>
      </c>
      <c r="J360" s="11">
        <f>IFERROR(__xludf.DUMMYFUNCTION("IFERROR(FILTER(Stats!$F:$Z,(Stats!$A:$A=$A360)*(Stats!$B:$B=$B360)))"),25.0)</f>
        <v>25</v>
      </c>
      <c r="K360" s="11">
        <f>IFERROR(__xludf.DUMMYFUNCTION("""COMPUTED_VALUE"""),23.0)</f>
        <v>23</v>
      </c>
      <c r="L360" s="12">
        <f>IFERROR(__xludf.DUMMYFUNCTION("""COMPUTED_VALUE"""),0.5208333333333334)</f>
        <v>0.5208333333</v>
      </c>
      <c r="M360" s="11">
        <f>IFERROR(__xludf.DUMMYFUNCTION("""COMPUTED_VALUE"""),9.0)</f>
        <v>9</v>
      </c>
      <c r="N360" s="11">
        <f>IFERROR(__xludf.DUMMYFUNCTION("""COMPUTED_VALUE"""),19810.0)</f>
        <v>19810</v>
      </c>
      <c r="O360" s="13">
        <f>IFERROR(__xludf.DUMMYFUNCTION("""COMPUTED_VALUE"""),43.0)</f>
        <v>43</v>
      </c>
      <c r="P360" s="14">
        <f>IFERROR(__xludf.DUMMYFUNCTION("""COMPUTED_VALUE"""),40.0)</f>
        <v>40</v>
      </c>
      <c r="Q360" s="13">
        <f>IFERROR(__xludf.DUMMYFUNCTION("""COMPUTED_VALUE"""),66.0)</f>
        <v>66</v>
      </c>
      <c r="R360" s="13">
        <f>IFERROR(__xludf.DUMMYFUNCTION("""COMPUTED_VALUE"""),135.0)</f>
        <v>135</v>
      </c>
      <c r="S360" s="15">
        <f>IFERROR(__xludf.DUMMYFUNCTION("""COMPUTED_VALUE"""),0.31851851851851853)</f>
        <v>0.3185185185</v>
      </c>
      <c r="T360" s="16">
        <f>IFERROR(__xludf.DUMMYFUNCTION("""COMPUTED_VALUE"""),412.7083333333333)</f>
        <v>412.7083333</v>
      </c>
      <c r="U360" s="16">
        <f>IFERROR(__xludf.DUMMYFUNCTION("""COMPUTED_VALUE"""),0.8958333333333334)</f>
        <v>0.8958333333</v>
      </c>
      <c r="V360" s="16">
        <f>IFERROR(__xludf.DUMMYFUNCTION("""COMPUTED_VALUE"""),0.8333333333333334)</f>
        <v>0.8333333333</v>
      </c>
      <c r="W360" s="16">
        <f>IFERROR(__xludf.DUMMYFUNCTION("""COMPUTED_VALUE"""),1.375)</f>
        <v>1.375</v>
      </c>
      <c r="X360" s="16">
        <f>IFERROR(__xludf.DUMMYFUNCTION("""COMPUTED_VALUE"""),2.8125)</f>
        <v>2.8125</v>
      </c>
      <c r="Y360" s="11">
        <f>IFERROR(__xludf.DUMMYFUNCTION("""COMPUTED_VALUE"""),15.0)</f>
        <v>15</v>
      </c>
      <c r="Z360" s="11">
        <f>IFERROR(__xludf.DUMMYFUNCTION("""COMPUTED_VALUE"""),3.0)</f>
        <v>3</v>
      </c>
      <c r="AA360" s="11">
        <f>IFERROR(__xludf.DUMMYFUNCTION("""COMPUTED_VALUE"""),4.0)</f>
        <v>4</v>
      </c>
      <c r="AB360" s="11">
        <f>IFERROR(__xludf.DUMMYFUNCTION("""COMPUTED_VALUE"""),6.0)</f>
        <v>6</v>
      </c>
      <c r="AC360" s="11">
        <f>IFERROR(__xludf.DUMMYFUNCTION("""COMPUTED_VALUE"""),44.0)</f>
        <v>44</v>
      </c>
      <c r="AD360" s="11">
        <f>IFERROR(__xludf.DUMMYFUNCTION("""COMPUTED_VALUE"""),45.0)</f>
        <v>45</v>
      </c>
    </row>
    <row r="361">
      <c r="A361" s="10" t="str">
        <f>IFERROR(__xludf.DUMMYFUNCTION("""COMPUTED_VALUE"""),"Master")</f>
        <v>Master</v>
      </c>
      <c r="B361" s="10" t="str">
        <f>IFERROR(__xludf.DUMMYFUNCTION("""COMPUTED_VALUE"""),"RSC004132")</f>
        <v>RSC004132</v>
      </c>
      <c r="C361" s="10" t="str">
        <f>IFERROR(__xludf.DUMMYFUNCTION("""COMPUTED_VALUE"""),"RobFromCSA")</f>
        <v>RobFromCSA</v>
      </c>
      <c r="D361" s="36" t="str">
        <f>IFERROR(__xludf.DUMMYFUNCTION("""COMPUTED_VALUE"""),"Andromeda")</f>
        <v>Andromeda</v>
      </c>
      <c r="E361" s="10" t="str">
        <f>IFERROR(__xludf.DUMMYFUNCTION("""COMPUTED_VALUE"""),"N/A")</f>
        <v>N/A</v>
      </c>
      <c r="F361" s="37">
        <f>IFERROR(__xludf.DUMMYFUNCTION("""COMPUTED_VALUE"""),76.38883933334031)</f>
        <v>76.38883933</v>
      </c>
      <c r="G361" s="38">
        <f>IFERROR(__xludf.DUMMYFUNCTION("""COMPUTED_VALUE"""),79.05084636167012)</f>
        <v>79.05084636</v>
      </c>
      <c r="H361" s="38">
        <f>IFERROR(__xludf.DUMMYFUNCTION("""COMPUTED_VALUE"""),77.71984284750522)</f>
        <v>77.71984285</v>
      </c>
      <c r="I361" s="14">
        <f>IFERROR(__xludf.DUMMYFUNCTION("""COMPUTED_VALUE"""),56.0)</f>
        <v>56</v>
      </c>
      <c r="J361" s="11">
        <f>IFERROR(__xludf.DUMMYFUNCTION("IFERROR(FILTER(Stats!$F:$Z,(Stats!$A:$A=$A361)*(Stats!$B:$B=$B361)))"),35.0)</f>
        <v>35</v>
      </c>
      <c r="K361" s="11">
        <f>IFERROR(__xludf.DUMMYFUNCTION("""COMPUTED_VALUE"""),21.0)</f>
        <v>21</v>
      </c>
      <c r="L361" s="12">
        <f>IFERROR(__xludf.DUMMYFUNCTION("""COMPUTED_VALUE"""),0.625)</f>
        <v>0.625</v>
      </c>
      <c r="M361" s="11">
        <f>IFERROR(__xludf.DUMMYFUNCTION("""COMPUTED_VALUE"""),14.0)</f>
        <v>14</v>
      </c>
      <c r="N361" s="11">
        <f>IFERROR(__xludf.DUMMYFUNCTION("""COMPUTED_VALUE"""),21410.0)</f>
        <v>21410</v>
      </c>
      <c r="O361" s="13">
        <f>IFERROR(__xludf.DUMMYFUNCTION("""COMPUTED_VALUE"""),48.0)</f>
        <v>48</v>
      </c>
      <c r="P361" s="14">
        <f>IFERROR(__xludf.DUMMYFUNCTION("""COMPUTED_VALUE"""),35.0)</f>
        <v>35</v>
      </c>
      <c r="Q361" s="13">
        <f>IFERROR(__xludf.DUMMYFUNCTION("""COMPUTED_VALUE"""),89.0)</f>
        <v>89</v>
      </c>
      <c r="R361" s="13">
        <f>IFERROR(__xludf.DUMMYFUNCTION("""COMPUTED_VALUE"""),144.0)</f>
        <v>144</v>
      </c>
      <c r="S361" s="15">
        <f>IFERROR(__xludf.DUMMYFUNCTION("""COMPUTED_VALUE"""),0.3333333333333333)</f>
        <v>0.3333333333</v>
      </c>
      <c r="T361" s="16">
        <f>IFERROR(__xludf.DUMMYFUNCTION("""COMPUTED_VALUE"""),382.32142857142856)</f>
        <v>382.3214286</v>
      </c>
      <c r="U361" s="16">
        <f>IFERROR(__xludf.DUMMYFUNCTION("""COMPUTED_VALUE"""),0.8571428571428571)</f>
        <v>0.8571428571</v>
      </c>
      <c r="V361" s="16">
        <f>IFERROR(__xludf.DUMMYFUNCTION("""COMPUTED_VALUE"""),0.625)</f>
        <v>0.625</v>
      </c>
      <c r="W361" s="16">
        <f>IFERROR(__xludf.DUMMYFUNCTION("""COMPUTED_VALUE"""),1.5892857142857142)</f>
        <v>1.589285714</v>
      </c>
      <c r="X361" s="16">
        <f>IFERROR(__xludf.DUMMYFUNCTION("""COMPUTED_VALUE"""),2.5714285714285716)</f>
        <v>2.571428571</v>
      </c>
      <c r="Y361" s="11">
        <f>IFERROR(__xludf.DUMMYFUNCTION("""COMPUTED_VALUE"""),12.0)</f>
        <v>12</v>
      </c>
      <c r="Z361" s="11">
        <f>IFERROR(__xludf.DUMMYFUNCTION("""COMPUTED_VALUE"""),4.0)</f>
        <v>4</v>
      </c>
      <c r="AA361" s="11">
        <f>IFERROR(__xludf.DUMMYFUNCTION("""COMPUTED_VALUE"""),0.0)</f>
        <v>0</v>
      </c>
      <c r="AB361" s="11">
        <f>IFERROR(__xludf.DUMMYFUNCTION("""COMPUTED_VALUE"""),14.0)</f>
        <v>14</v>
      </c>
      <c r="AC361" s="11">
        <f>IFERROR(__xludf.DUMMYFUNCTION("""COMPUTED_VALUE"""),92.0)</f>
        <v>92</v>
      </c>
      <c r="AD361" s="11">
        <f>IFERROR(__xludf.DUMMYFUNCTION("""COMPUTED_VALUE"""),66.0)</f>
        <v>66</v>
      </c>
    </row>
    <row r="362">
      <c r="A362" s="10" t="str">
        <f>IFERROR(__xludf.DUMMYFUNCTION("""COMPUTED_VALUE"""),"Master")</f>
        <v>Master</v>
      </c>
      <c r="B362" s="10" t="str">
        <f>IFERROR(__xludf.DUMMYFUNCTION("""COMPUTED_VALUE"""),"RSC005653")</f>
        <v>RSC005653</v>
      </c>
      <c r="C362" s="10" t="str">
        <f>IFERROR(__xludf.DUMMYFUNCTION("""COMPUTED_VALUE"""),"xim")</f>
        <v>xim</v>
      </c>
      <c r="D362" s="36" t="str">
        <f>IFERROR(__xludf.DUMMYFUNCTION("""COMPUTED_VALUE"""),"Reapers")</f>
        <v>Reapers</v>
      </c>
      <c r="E362" s="10" t="str">
        <f>IFERROR(__xludf.DUMMYFUNCTION("""COMPUTED_VALUE"""),"N/A")</f>
        <v>N/A</v>
      </c>
      <c r="F362" s="37">
        <f>IFERROR(__xludf.DUMMYFUNCTION("""COMPUTED_VALUE"""),84.70885805689848)</f>
        <v>84.70885806</v>
      </c>
      <c r="G362" s="38">
        <f>IFERROR(__xludf.DUMMYFUNCTION("""COMPUTED_VALUE"""),66.01264469138798)</f>
        <v>66.01264469</v>
      </c>
      <c r="H362" s="38">
        <f>IFERROR(__xludf.DUMMYFUNCTION("""COMPUTED_VALUE"""),75.36075137414323)</f>
        <v>75.36075137</v>
      </c>
      <c r="I362" s="14">
        <f>IFERROR(__xludf.DUMMYFUNCTION("""COMPUTED_VALUE"""),20.0)</f>
        <v>20</v>
      </c>
      <c r="J362" s="11">
        <f>IFERROR(__xludf.DUMMYFUNCTION("IFERROR(FILTER(Stats!$F:$Z,(Stats!$A:$A=$A362)*(Stats!$B:$B=$B362)))"),11.0)</f>
        <v>11</v>
      </c>
      <c r="K362" s="11">
        <f>IFERROR(__xludf.DUMMYFUNCTION("""COMPUTED_VALUE"""),9.0)</f>
        <v>9</v>
      </c>
      <c r="L362" s="12">
        <f>IFERROR(__xludf.DUMMYFUNCTION("""COMPUTED_VALUE"""),0.55)</f>
        <v>0.55</v>
      </c>
      <c r="M362" s="11">
        <f>IFERROR(__xludf.DUMMYFUNCTION("""COMPUTED_VALUE"""),4.0)</f>
        <v>4</v>
      </c>
      <c r="N362" s="11">
        <f>IFERROR(__xludf.DUMMYFUNCTION("""COMPUTED_VALUE"""),5920.0)</f>
        <v>5920</v>
      </c>
      <c r="O362" s="13">
        <f>IFERROR(__xludf.DUMMYFUNCTION("""COMPUTED_VALUE"""),11.0)</f>
        <v>11</v>
      </c>
      <c r="P362" s="14">
        <f>IFERROR(__xludf.DUMMYFUNCTION("""COMPUTED_VALUE"""),8.0)</f>
        <v>8</v>
      </c>
      <c r="Q362" s="13">
        <f>IFERROR(__xludf.DUMMYFUNCTION("""COMPUTED_VALUE"""),24.0)</f>
        <v>24</v>
      </c>
      <c r="R362" s="13">
        <f>IFERROR(__xludf.DUMMYFUNCTION("""COMPUTED_VALUE"""),39.0)</f>
        <v>39</v>
      </c>
      <c r="S362" s="15">
        <f>IFERROR(__xludf.DUMMYFUNCTION("""COMPUTED_VALUE"""),0.28205128205128205)</f>
        <v>0.2820512821</v>
      </c>
      <c r="T362" s="16">
        <f>IFERROR(__xludf.DUMMYFUNCTION("""COMPUTED_VALUE"""),296.0)</f>
        <v>296</v>
      </c>
      <c r="U362" s="16">
        <f>IFERROR(__xludf.DUMMYFUNCTION("""COMPUTED_VALUE"""),0.55)</f>
        <v>0.55</v>
      </c>
      <c r="V362" s="16">
        <f>IFERROR(__xludf.DUMMYFUNCTION("""COMPUTED_VALUE"""),0.4)</f>
        <v>0.4</v>
      </c>
      <c r="W362" s="16">
        <f>IFERROR(__xludf.DUMMYFUNCTION("""COMPUTED_VALUE"""),1.2)</f>
        <v>1.2</v>
      </c>
      <c r="X362" s="16">
        <f>IFERROR(__xludf.DUMMYFUNCTION("""COMPUTED_VALUE"""),1.95)</f>
        <v>1.95</v>
      </c>
      <c r="Y362" s="11">
        <f>IFERROR(__xludf.DUMMYFUNCTION("""COMPUTED_VALUE"""),3.0)</f>
        <v>3</v>
      </c>
      <c r="Z362" s="11">
        <f>IFERROR(__xludf.DUMMYFUNCTION("""COMPUTED_VALUE"""),2.0)</f>
        <v>2</v>
      </c>
      <c r="AA362" s="11">
        <f>IFERROR(__xludf.DUMMYFUNCTION("""COMPUTED_VALUE"""),0.0)</f>
        <v>0</v>
      </c>
      <c r="AB362" s="11">
        <f>IFERROR(__xludf.DUMMYFUNCTION("""COMPUTED_VALUE"""),3.0)</f>
        <v>3</v>
      </c>
      <c r="AC362" s="11">
        <f>IFERROR(__xludf.DUMMYFUNCTION("""COMPUTED_VALUE"""),16.0)</f>
        <v>16</v>
      </c>
      <c r="AD362" s="11">
        <f>IFERROR(__xludf.DUMMYFUNCTION("""COMPUTED_VALUE"""),14.0)</f>
        <v>14</v>
      </c>
    </row>
    <row r="363">
      <c r="A363" s="10" t="str">
        <f>IFERROR(__xludf.DUMMYFUNCTION("""COMPUTED_VALUE"""),"Master")</f>
        <v>Master</v>
      </c>
      <c r="B363" s="10" t="str">
        <f>IFERROR(__xludf.DUMMYFUNCTION("""COMPUTED_VALUE"""),"RSC007412")</f>
        <v>RSC007412</v>
      </c>
      <c r="C363" s="10" t="str">
        <f>IFERROR(__xludf.DUMMYFUNCTION("""COMPUTED_VALUE"""),"spuf.")</f>
        <v>spuf.</v>
      </c>
      <c r="D363" s="36" t="str">
        <f>IFERROR(__xludf.DUMMYFUNCTION("""COMPUTED_VALUE"""),"Care Bears")</f>
        <v>Care Bears</v>
      </c>
      <c r="E363" s="10" t="str">
        <f>IFERROR(__xludf.DUMMYFUNCTION("""COMPUTED_VALUE"""),"N/A")</f>
        <v>N/A</v>
      </c>
      <c r="F363" s="37">
        <f>IFERROR(__xludf.DUMMYFUNCTION("""COMPUTED_VALUE"""),76.16058311691712)</f>
        <v>76.16058312</v>
      </c>
      <c r="G363" s="38">
        <f>IFERROR(__xludf.DUMMYFUNCTION("""COMPUTED_VALUE"""),69.70544563135371)</f>
        <v>69.70544563</v>
      </c>
      <c r="H363" s="38">
        <f>IFERROR(__xludf.DUMMYFUNCTION("""COMPUTED_VALUE"""),72.93301437413541)</f>
        <v>72.93301437</v>
      </c>
      <c r="I363" s="14">
        <f>IFERROR(__xludf.DUMMYFUNCTION("""COMPUTED_VALUE"""),52.0)</f>
        <v>52</v>
      </c>
      <c r="J363" s="11">
        <f>IFERROR(__xludf.DUMMYFUNCTION("IFERROR(FILTER(Stats!$F:$Z,(Stats!$A:$A=$A363)*(Stats!$B:$B=$B363)))"),33.0)</f>
        <v>33</v>
      </c>
      <c r="K363" s="11">
        <f>IFERROR(__xludf.DUMMYFUNCTION("""COMPUTED_VALUE"""),19.0)</f>
        <v>19</v>
      </c>
      <c r="L363" s="12">
        <f>IFERROR(__xludf.DUMMYFUNCTION("""COMPUTED_VALUE"""),0.6346153846153846)</f>
        <v>0.6346153846</v>
      </c>
      <c r="M363" s="11">
        <f>IFERROR(__xludf.DUMMYFUNCTION("""COMPUTED_VALUE"""),11.0)</f>
        <v>11</v>
      </c>
      <c r="N363" s="11">
        <f>IFERROR(__xludf.DUMMYFUNCTION("""COMPUTED_VALUE"""),18227.0)</f>
        <v>18227</v>
      </c>
      <c r="O363" s="13">
        <f>IFERROR(__xludf.DUMMYFUNCTION("""COMPUTED_VALUE"""),37.0)</f>
        <v>37</v>
      </c>
      <c r="P363" s="14">
        <f>IFERROR(__xludf.DUMMYFUNCTION("""COMPUTED_VALUE"""),28.0)</f>
        <v>28</v>
      </c>
      <c r="Q363" s="13">
        <f>IFERROR(__xludf.DUMMYFUNCTION("""COMPUTED_VALUE"""),69.0)</f>
        <v>69</v>
      </c>
      <c r="R363" s="13">
        <f>IFERROR(__xludf.DUMMYFUNCTION("""COMPUTED_VALUE"""),144.0)</f>
        <v>144</v>
      </c>
      <c r="S363" s="15">
        <f>IFERROR(__xludf.DUMMYFUNCTION("""COMPUTED_VALUE"""),0.2569444444444444)</f>
        <v>0.2569444444</v>
      </c>
      <c r="T363" s="16">
        <f>IFERROR(__xludf.DUMMYFUNCTION("""COMPUTED_VALUE"""),350.5192307692308)</f>
        <v>350.5192308</v>
      </c>
      <c r="U363" s="16">
        <f>IFERROR(__xludf.DUMMYFUNCTION("""COMPUTED_VALUE"""),0.7115384615384616)</f>
        <v>0.7115384615</v>
      </c>
      <c r="V363" s="16">
        <f>IFERROR(__xludf.DUMMYFUNCTION("""COMPUTED_VALUE"""),0.5384615384615384)</f>
        <v>0.5384615385</v>
      </c>
      <c r="W363" s="16">
        <f>IFERROR(__xludf.DUMMYFUNCTION("""COMPUTED_VALUE"""),1.3269230769230769)</f>
        <v>1.326923077</v>
      </c>
      <c r="X363" s="16">
        <f>IFERROR(__xludf.DUMMYFUNCTION("""COMPUTED_VALUE"""),2.769230769230769)</f>
        <v>2.769230769</v>
      </c>
      <c r="Y363" s="11">
        <f>IFERROR(__xludf.DUMMYFUNCTION("""COMPUTED_VALUE"""),5.0)</f>
        <v>5</v>
      </c>
      <c r="Z363" s="11">
        <f>IFERROR(__xludf.DUMMYFUNCTION("""COMPUTED_VALUE"""),2.0)</f>
        <v>2</v>
      </c>
      <c r="AA363" s="11">
        <f>IFERROR(__xludf.DUMMYFUNCTION("""COMPUTED_VALUE"""),1.0)</f>
        <v>1</v>
      </c>
      <c r="AB363" s="11">
        <f>IFERROR(__xludf.DUMMYFUNCTION("""COMPUTED_VALUE"""),9.0)</f>
        <v>9</v>
      </c>
      <c r="AC363" s="11">
        <f>IFERROR(__xludf.DUMMYFUNCTION("""COMPUTED_VALUE"""),78.0)</f>
        <v>78</v>
      </c>
      <c r="AD363" s="11">
        <f>IFERROR(__xludf.DUMMYFUNCTION("""COMPUTED_VALUE"""),64.0)</f>
        <v>64</v>
      </c>
    </row>
    <row r="364">
      <c r="A364" s="10" t="str">
        <f>IFERROR(__xludf.DUMMYFUNCTION("""COMPUTED_VALUE"""),"Master")</f>
        <v>Master</v>
      </c>
      <c r="B364" s="10" t="str">
        <f>IFERROR(__xludf.DUMMYFUNCTION("""COMPUTED_VALUE"""),"RSC005290")</f>
        <v>RSC005290</v>
      </c>
      <c r="C364" s="10" t="str">
        <f>IFERROR(__xludf.DUMMYFUNCTION("""COMPUTED_VALUE"""),"IMOLDGREG67")</f>
        <v>IMOLDGREG67</v>
      </c>
      <c r="D364" s="36" t="str">
        <f>IFERROR(__xludf.DUMMYFUNCTION("""COMPUTED_VALUE"""),"Kawaii")</f>
        <v>Kawaii</v>
      </c>
      <c r="E364" s="10" t="str">
        <f>IFERROR(__xludf.DUMMYFUNCTION("""COMPUTED_VALUE"""),"N/A")</f>
        <v>N/A</v>
      </c>
      <c r="F364" s="37">
        <f>IFERROR(__xludf.DUMMYFUNCTION("""COMPUTED_VALUE"""),59.87159602692533)</f>
        <v>59.87159603</v>
      </c>
      <c r="G364" s="38">
        <f>IFERROR(__xludf.DUMMYFUNCTION("""COMPUTED_VALUE"""),84.95496014259564)</f>
        <v>84.95496014</v>
      </c>
      <c r="H364" s="38">
        <f>IFERROR(__xludf.DUMMYFUNCTION("""COMPUTED_VALUE"""),72.41327808476049)</f>
        <v>72.41327808</v>
      </c>
      <c r="I364" s="14">
        <f>IFERROR(__xludf.DUMMYFUNCTION("""COMPUTED_VALUE"""),34.0)</f>
        <v>34</v>
      </c>
      <c r="J364" s="11">
        <f>IFERROR(__xludf.DUMMYFUNCTION("IFERROR(FILTER(Stats!$F:$Z,(Stats!$A:$A=$A364)*(Stats!$B:$B=$B364)))"),21.0)</f>
        <v>21</v>
      </c>
      <c r="K364" s="11">
        <f>IFERROR(__xludf.DUMMYFUNCTION("""COMPUTED_VALUE"""),13.0)</f>
        <v>13</v>
      </c>
      <c r="L364" s="12">
        <f>IFERROR(__xludf.DUMMYFUNCTION("""COMPUTED_VALUE"""),0.6176470588235294)</f>
        <v>0.6176470588</v>
      </c>
      <c r="M364" s="11">
        <f>IFERROR(__xludf.DUMMYFUNCTION("""COMPUTED_VALUE"""),4.0)</f>
        <v>4</v>
      </c>
      <c r="N364" s="11">
        <f>IFERROR(__xludf.DUMMYFUNCTION("""COMPUTED_VALUE"""),11603.0)</f>
        <v>11603</v>
      </c>
      <c r="O364" s="13">
        <f>IFERROR(__xludf.DUMMYFUNCTION("""COMPUTED_VALUE"""),31.0)</f>
        <v>31</v>
      </c>
      <c r="P364" s="14">
        <f>IFERROR(__xludf.DUMMYFUNCTION("""COMPUTED_VALUE"""),23.0)</f>
        <v>23</v>
      </c>
      <c r="Q364" s="13">
        <f>IFERROR(__xludf.DUMMYFUNCTION("""COMPUTED_VALUE"""),37.0)</f>
        <v>37</v>
      </c>
      <c r="R364" s="13">
        <f>IFERROR(__xludf.DUMMYFUNCTION("""COMPUTED_VALUE"""),90.0)</f>
        <v>90</v>
      </c>
      <c r="S364" s="15">
        <f>IFERROR(__xludf.DUMMYFUNCTION("""COMPUTED_VALUE"""),0.34444444444444444)</f>
        <v>0.3444444444</v>
      </c>
      <c r="T364" s="16">
        <f>IFERROR(__xludf.DUMMYFUNCTION("""COMPUTED_VALUE"""),341.2647058823529)</f>
        <v>341.2647059</v>
      </c>
      <c r="U364" s="16">
        <f>IFERROR(__xludf.DUMMYFUNCTION("""COMPUTED_VALUE"""),0.9117647058823529)</f>
        <v>0.9117647059</v>
      </c>
      <c r="V364" s="16">
        <f>IFERROR(__xludf.DUMMYFUNCTION("""COMPUTED_VALUE"""),0.6764705882352942)</f>
        <v>0.6764705882</v>
      </c>
      <c r="W364" s="16">
        <f>IFERROR(__xludf.DUMMYFUNCTION("""COMPUTED_VALUE"""),1.088235294117647)</f>
        <v>1.088235294</v>
      </c>
      <c r="X364" s="16">
        <f>IFERROR(__xludf.DUMMYFUNCTION("""COMPUTED_VALUE"""),2.6470588235294117)</f>
        <v>2.647058824</v>
      </c>
      <c r="Y364" s="11">
        <f>IFERROR(__xludf.DUMMYFUNCTION("""COMPUTED_VALUE"""),6.0)</f>
        <v>6</v>
      </c>
      <c r="Z364" s="11">
        <f>IFERROR(__xludf.DUMMYFUNCTION("""COMPUTED_VALUE"""),4.0)</f>
        <v>4</v>
      </c>
      <c r="AA364" s="11">
        <f>IFERROR(__xludf.DUMMYFUNCTION("""COMPUTED_VALUE"""),0.0)</f>
        <v>0</v>
      </c>
      <c r="AB364" s="11">
        <f>IFERROR(__xludf.DUMMYFUNCTION("""COMPUTED_VALUE"""),3.0)</f>
        <v>3</v>
      </c>
      <c r="AC364" s="11">
        <f>IFERROR(__xludf.DUMMYFUNCTION("""COMPUTED_VALUE"""),30.0)</f>
        <v>30</v>
      </c>
      <c r="AD364" s="11">
        <f>IFERROR(__xludf.DUMMYFUNCTION("""COMPUTED_VALUE"""),35.0)</f>
        <v>35</v>
      </c>
    </row>
    <row r="365">
      <c r="A365" s="10" t="str">
        <f>IFERROR(__xludf.DUMMYFUNCTION("""COMPUTED_VALUE"""),"Master")</f>
        <v>Master</v>
      </c>
      <c r="B365" s="10" t="str">
        <f>IFERROR(__xludf.DUMMYFUNCTION("""COMPUTED_VALUE"""),"RSC003008")</f>
        <v>RSC003008</v>
      </c>
      <c r="C365" s="10" t="str">
        <f>IFERROR(__xludf.DUMMYFUNCTION("""COMPUTED_VALUE"""),"GeneralZippy")</f>
        <v>GeneralZippy</v>
      </c>
      <c r="D365" s="36" t="str">
        <f>IFERROR(__xludf.DUMMYFUNCTION("""COMPUTED_VALUE"""),"Andromeda")</f>
        <v>Andromeda</v>
      </c>
      <c r="E365" s="10" t="str">
        <f>IFERROR(__xludf.DUMMYFUNCTION("""COMPUTED_VALUE"""),"N/A")</f>
        <v>N/A</v>
      </c>
      <c r="F365" s="37">
        <f>IFERROR(__xludf.DUMMYFUNCTION("""COMPUTED_VALUE"""),68.52242366836526)</f>
        <v>68.52242367</v>
      </c>
      <c r="G365" s="38">
        <f>IFERROR(__xludf.DUMMYFUNCTION("""COMPUTED_VALUE"""),75.92839225600324)</f>
        <v>75.92839226</v>
      </c>
      <c r="H365" s="38">
        <f>IFERROR(__xludf.DUMMYFUNCTION("""COMPUTED_VALUE"""),72.22540796218425)</f>
        <v>72.22540796</v>
      </c>
      <c r="I365" s="14">
        <f>IFERROR(__xludf.DUMMYFUNCTION("""COMPUTED_VALUE"""),56.0)</f>
        <v>56</v>
      </c>
      <c r="J365" s="11">
        <f>IFERROR(__xludf.DUMMYFUNCTION("IFERROR(FILTER(Stats!$F:$Z,(Stats!$A:$A=$A365)*(Stats!$B:$B=$B365)))"),35.0)</f>
        <v>35</v>
      </c>
      <c r="K365" s="11">
        <f>IFERROR(__xludf.DUMMYFUNCTION("""COMPUTED_VALUE"""),21.0)</f>
        <v>21</v>
      </c>
      <c r="L365" s="12">
        <f>IFERROR(__xludf.DUMMYFUNCTION("""COMPUTED_VALUE"""),0.625)</f>
        <v>0.625</v>
      </c>
      <c r="M365" s="11">
        <f>IFERROR(__xludf.DUMMYFUNCTION("""COMPUTED_VALUE"""),16.0)</f>
        <v>16</v>
      </c>
      <c r="N365" s="11">
        <f>IFERROR(__xludf.DUMMYFUNCTION("""COMPUTED_VALUE"""),20317.0)</f>
        <v>20317</v>
      </c>
      <c r="O365" s="13">
        <f>IFERROR(__xludf.DUMMYFUNCTION("""COMPUTED_VALUE"""),47.0)</f>
        <v>47</v>
      </c>
      <c r="P365" s="14">
        <f>IFERROR(__xludf.DUMMYFUNCTION("""COMPUTED_VALUE"""),28.0)</f>
        <v>28</v>
      </c>
      <c r="Q365" s="13">
        <f>IFERROR(__xludf.DUMMYFUNCTION("""COMPUTED_VALUE"""),71.0)</f>
        <v>71</v>
      </c>
      <c r="R365" s="13">
        <f>IFERROR(__xludf.DUMMYFUNCTION("""COMPUTED_VALUE"""),165.0)</f>
        <v>165</v>
      </c>
      <c r="S365" s="15">
        <f>IFERROR(__xludf.DUMMYFUNCTION("""COMPUTED_VALUE"""),0.28484848484848485)</f>
        <v>0.2848484848</v>
      </c>
      <c r="T365" s="16">
        <f>IFERROR(__xludf.DUMMYFUNCTION("""COMPUTED_VALUE"""),362.80357142857144)</f>
        <v>362.8035714</v>
      </c>
      <c r="U365" s="16">
        <f>IFERROR(__xludf.DUMMYFUNCTION("""COMPUTED_VALUE"""),0.8392857142857143)</f>
        <v>0.8392857143</v>
      </c>
      <c r="V365" s="16">
        <f>IFERROR(__xludf.DUMMYFUNCTION("""COMPUTED_VALUE"""),0.5)</f>
        <v>0.5</v>
      </c>
      <c r="W365" s="16">
        <f>IFERROR(__xludf.DUMMYFUNCTION("""COMPUTED_VALUE"""),1.2678571428571428)</f>
        <v>1.267857143</v>
      </c>
      <c r="X365" s="16">
        <f>IFERROR(__xludf.DUMMYFUNCTION("""COMPUTED_VALUE"""),2.9464285714285716)</f>
        <v>2.946428571</v>
      </c>
      <c r="Y365" s="11">
        <f>IFERROR(__xludf.DUMMYFUNCTION("""COMPUTED_VALUE"""),11.0)</f>
        <v>11</v>
      </c>
      <c r="Z365" s="11">
        <f>IFERROR(__xludf.DUMMYFUNCTION("""COMPUTED_VALUE"""),5.0)</f>
        <v>5</v>
      </c>
      <c r="AA365" s="11">
        <f>IFERROR(__xludf.DUMMYFUNCTION("""COMPUTED_VALUE"""),1.0)</f>
        <v>1</v>
      </c>
      <c r="AB365" s="11">
        <f>IFERROR(__xludf.DUMMYFUNCTION("""COMPUTED_VALUE"""),9.0)</f>
        <v>9</v>
      </c>
      <c r="AC365" s="11">
        <f>IFERROR(__xludf.DUMMYFUNCTION("""COMPUTED_VALUE"""),32.0)</f>
        <v>32</v>
      </c>
      <c r="AD365" s="11">
        <f>IFERROR(__xludf.DUMMYFUNCTION("""COMPUTED_VALUE"""),61.0)</f>
        <v>61</v>
      </c>
    </row>
    <row r="366">
      <c r="A366" s="10" t="str">
        <f>IFERROR(__xludf.DUMMYFUNCTION("""COMPUTED_VALUE"""),"Master")</f>
        <v>Master</v>
      </c>
      <c r="B366" s="10" t="str">
        <f>IFERROR(__xludf.DUMMYFUNCTION("""COMPUTED_VALUE"""),"RSC007565")</f>
        <v>RSC007565</v>
      </c>
      <c r="C366" s="10" t="str">
        <f>IFERROR(__xludf.DUMMYFUNCTION("""COMPUTED_VALUE"""),"AcX")</f>
        <v>AcX</v>
      </c>
      <c r="D366" s="36" t="str">
        <f>IFERROR(__xludf.DUMMYFUNCTION("""COMPUTED_VALUE"""),"Care Bears")</f>
        <v>Care Bears</v>
      </c>
      <c r="E366" s="10" t="str">
        <f>IFERROR(__xludf.DUMMYFUNCTION("""COMPUTED_VALUE"""),"N/A")</f>
        <v>N/A</v>
      </c>
      <c r="F366" s="37">
        <f>IFERROR(__xludf.DUMMYFUNCTION("""COMPUTED_VALUE"""),71.66333841322424)</f>
        <v>71.66333841</v>
      </c>
      <c r="G366" s="38">
        <f>IFERROR(__xludf.DUMMYFUNCTION("""COMPUTED_VALUE"""),69.55571642166458)</f>
        <v>69.55571642</v>
      </c>
      <c r="H366" s="38">
        <f>IFERROR(__xludf.DUMMYFUNCTION("""COMPUTED_VALUE"""),70.60952741744441)</f>
        <v>70.60952742</v>
      </c>
      <c r="I366" s="14">
        <f>IFERROR(__xludf.DUMMYFUNCTION("""COMPUTED_VALUE"""),51.0)</f>
        <v>51</v>
      </c>
      <c r="J366" s="11">
        <f>IFERROR(__xludf.DUMMYFUNCTION("IFERROR(FILTER(Stats!$F:$Z,(Stats!$A:$A=$A366)*(Stats!$B:$B=$B366)))"),32.0)</f>
        <v>32</v>
      </c>
      <c r="K366" s="11">
        <f>IFERROR(__xludf.DUMMYFUNCTION("""COMPUTED_VALUE"""),19.0)</f>
        <v>19</v>
      </c>
      <c r="L366" s="12">
        <f>IFERROR(__xludf.DUMMYFUNCTION("""COMPUTED_VALUE"""),0.6274509803921569)</f>
        <v>0.6274509804</v>
      </c>
      <c r="M366" s="11">
        <f>IFERROR(__xludf.DUMMYFUNCTION("""COMPUTED_VALUE"""),12.0)</f>
        <v>12</v>
      </c>
      <c r="N366" s="11">
        <f>IFERROR(__xludf.DUMMYFUNCTION("""COMPUTED_VALUE"""),16668.0)</f>
        <v>16668</v>
      </c>
      <c r="O366" s="13">
        <f>IFERROR(__xludf.DUMMYFUNCTION("""COMPUTED_VALUE"""),38.0)</f>
        <v>38</v>
      </c>
      <c r="P366" s="14">
        <f>IFERROR(__xludf.DUMMYFUNCTION("""COMPUTED_VALUE"""),32.0)</f>
        <v>32</v>
      </c>
      <c r="Q366" s="13">
        <f>IFERROR(__xludf.DUMMYFUNCTION("""COMPUTED_VALUE"""),58.0)</f>
        <v>58</v>
      </c>
      <c r="R366" s="13">
        <f>IFERROR(__xludf.DUMMYFUNCTION("""COMPUTED_VALUE"""),107.0)</f>
        <v>107</v>
      </c>
      <c r="S366" s="15">
        <f>IFERROR(__xludf.DUMMYFUNCTION("""COMPUTED_VALUE"""),0.35514018691588783)</f>
        <v>0.3551401869</v>
      </c>
      <c r="T366" s="16">
        <f>IFERROR(__xludf.DUMMYFUNCTION("""COMPUTED_VALUE"""),326.8235294117647)</f>
        <v>326.8235294</v>
      </c>
      <c r="U366" s="16">
        <f>IFERROR(__xludf.DUMMYFUNCTION("""COMPUTED_VALUE"""),0.7450980392156863)</f>
        <v>0.7450980392</v>
      </c>
      <c r="V366" s="16">
        <f>IFERROR(__xludf.DUMMYFUNCTION("""COMPUTED_VALUE"""),0.6274509803921569)</f>
        <v>0.6274509804</v>
      </c>
      <c r="W366" s="16">
        <f>IFERROR(__xludf.DUMMYFUNCTION("""COMPUTED_VALUE"""),1.1372549019607843)</f>
        <v>1.137254902</v>
      </c>
      <c r="X366" s="16">
        <f>IFERROR(__xludf.DUMMYFUNCTION("""COMPUTED_VALUE"""),2.0980392156862746)</f>
        <v>2.098039216</v>
      </c>
      <c r="Y366" s="11">
        <f>IFERROR(__xludf.DUMMYFUNCTION("""COMPUTED_VALUE"""),7.0)</f>
        <v>7</v>
      </c>
      <c r="Z366" s="11">
        <f>IFERROR(__xludf.DUMMYFUNCTION("""COMPUTED_VALUE"""),3.0)</f>
        <v>3</v>
      </c>
      <c r="AA366" s="11">
        <f>IFERROR(__xludf.DUMMYFUNCTION("""COMPUTED_VALUE"""),2.0)</f>
        <v>2</v>
      </c>
      <c r="AB366" s="11">
        <f>IFERROR(__xludf.DUMMYFUNCTION("""COMPUTED_VALUE"""),11.0)</f>
        <v>11</v>
      </c>
      <c r="AC366" s="11">
        <f>IFERROR(__xludf.DUMMYFUNCTION("""COMPUTED_VALUE"""),35.0)</f>
        <v>35</v>
      </c>
      <c r="AD366" s="11">
        <f>IFERROR(__xludf.DUMMYFUNCTION("""COMPUTED_VALUE"""),60.0)</f>
        <v>60</v>
      </c>
    </row>
    <row r="367">
      <c r="A367" s="10" t="str">
        <f>IFERROR(__xludf.DUMMYFUNCTION("""COMPUTED_VALUE"""),"Master")</f>
        <v>Master</v>
      </c>
      <c r="B367" s="10" t="str">
        <f>IFERROR(__xludf.DUMMYFUNCTION("""COMPUTED_VALUE"""),"RSC005690")</f>
        <v>RSC005690</v>
      </c>
      <c r="C367" s="10" t="str">
        <f>IFERROR(__xludf.DUMMYFUNCTION("""COMPUTED_VALUE"""),"DQ.")</f>
        <v>DQ.</v>
      </c>
      <c r="D367" s="36" t="str">
        <f>IFERROR(__xludf.DUMMYFUNCTION("""COMPUTED_VALUE"""),"Oblivion")</f>
        <v>Oblivion</v>
      </c>
      <c r="E367" s="10" t="str">
        <f>IFERROR(__xludf.DUMMYFUNCTION("""COMPUTED_VALUE"""),"N/A")</f>
        <v>N/A</v>
      </c>
      <c r="F367" s="37">
        <f>IFERROR(__xludf.DUMMYFUNCTION("""COMPUTED_VALUE"""),63.48430927826685)</f>
        <v>63.48430928</v>
      </c>
      <c r="G367" s="38">
        <f>IFERROR(__xludf.DUMMYFUNCTION("""COMPUTED_VALUE"""),73.23800878271108)</f>
        <v>73.23800878</v>
      </c>
      <c r="H367" s="38">
        <f>IFERROR(__xludf.DUMMYFUNCTION("""COMPUTED_VALUE"""),68.36115903048896)</f>
        <v>68.36115903</v>
      </c>
      <c r="I367" s="14">
        <f>IFERROR(__xludf.DUMMYFUNCTION("""COMPUTED_VALUE"""),42.0)</f>
        <v>42</v>
      </c>
      <c r="J367" s="11">
        <f>IFERROR(__xludf.DUMMYFUNCTION("IFERROR(FILTER(Stats!$F:$Z,(Stats!$A:$A=$A367)*(Stats!$B:$B=$B367)))"),20.0)</f>
        <v>20</v>
      </c>
      <c r="K367" s="11">
        <f>IFERROR(__xludf.DUMMYFUNCTION("""COMPUTED_VALUE"""),22.0)</f>
        <v>22</v>
      </c>
      <c r="L367" s="12">
        <f>IFERROR(__xludf.DUMMYFUNCTION("""COMPUTED_VALUE"""),0.47619047619047616)</f>
        <v>0.4761904762</v>
      </c>
      <c r="M367" s="11">
        <f>IFERROR(__xludf.DUMMYFUNCTION("""COMPUTED_VALUE"""),4.0)</f>
        <v>4</v>
      </c>
      <c r="N367" s="11">
        <f>IFERROR(__xludf.DUMMYFUNCTION("""COMPUTED_VALUE"""),14860.0)</f>
        <v>14860</v>
      </c>
      <c r="O367" s="13">
        <f>IFERROR(__xludf.DUMMYFUNCTION("""COMPUTED_VALUE"""),39.0)</f>
        <v>39</v>
      </c>
      <c r="P367" s="14">
        <f>IFERROR(__xludf.DUMMYFUNCTION("""COMPUTED_VALUE"""),27.0)</f>
        <v>27</v>
      </c>
      <c r="Q367" s="13">
        <f>IFERROR(__xludf.DUMMYFUNCTION("""COMPUTED_VALUE"""),52.0)</f>
        <v>52</v>
      </c>
      <c r="R367" s="13">
        <f>IFERROR(__xludf.DUMMYFUNCTION("""COMPUTED_VALUE"""),104.0)</f>
        <v>104</v>
      </c>
      <c r="S367" s="15">
        <f>IFERROR(__xludf.DUMMYFUNCTION("""COMPUTED_VALUE"""),0.375)</f>
        <v>0.375</v>
      </c>
      <c r="T367" s="16">
        <f>IFERROR(__xludf.DUMMYFUNCTION("""COMPUTED_VALUE"""),353.8095238095238)</f>
        <v>353.8095238</v>
      </c>
      <c r="U367" s="16">
        <f>IFERROR(__xludf.DUMMYFUNCTION("""COMPUTED_VALUE"""),0.9285714285714286)</f>
        <v>0.9285714286</v>
      </c>
      <c r="V367" s="16">
        <f>IFERROR(__xludf.DUMMYFUNCTION("""COMPUTED_VALUE"""),0.6428571428571429)</f>
        <v>0.6428571429</v>
      </c>
      <c r="W367" s="16">
        <f>IFERROR(__xludf.DUMMYFUNCTION("""COMPUTED_VALUE"""),1.2380952380952381)</f>
        <v>1.238095238</v>
      </c>
      <c r="X367" s="16">
        <f>IFERROR(__xludf.DUMMYFUNCTION("""COMPUTED_VALUE"""),2.4761904761904763)</f>
        <v>2.476190476</v>
      </c>
      <c r="Y367" s="11">
        <f>IFERROR(__xludf.DUMMYFUNCTION("""COMPUTED_VALUE"""),8.0)</f>
        <v>8</v>
      </c>
      <c r="Z367" s="11">
        <f>IFERROR(__xludf.DUMMYFUNCTION("""COMPUTED_VALUE"""),2.0)</f>
        <v>2</v>
      </c>
      <c r="AA367" s="11">
        <f>IFERROR(__xludf.DUMMYFUNCTION("""COMPUTED_VALUE"""),2.0)</f>
        <v>2</v>
      </c>
      <c r="AB367" s="11">
        <f>IFERROR(__xludf.DUMMYFUNCTION("""COMPUTED_VALUE"""),7.0)</f>
        <v>7</v>
      </c>
      <c r="AC367" s="11">
        <f>IFERROR(__xludf.DUMMYFUNCTION("""COMPUTED_VALUE"""),58.0)</f>
        <v>58</v>
      </c>
      <c r="AD367" s="11">
        <f>IFERROR(__xludf.DUMMYFUNCTION("""COMPUTED_VALUE"""),41.0)</f>
        <v>41</v>
      </c>
    </row>
    <row r="368">
      <c r="A368" s="10" t="str">
        <f>IFERROR(__xludf.DUMMYFUNCTION("""COMPUTED_VALUE"""),"Master")</f>
        <v>Master</v>
      </c>
      <c r="B368" s="10" t="str">
        <f>IFERROR(__xludf.DUMMYFUNCTION("""COMPUTED_VALUE"""),"RSC005499")</f>
        <v>RSC005499</v>
      </c>
      <c r="C368" s="10" t="str">
        <f>IFERROR(__xludf.DUMMYFUNCTION("""COMPUTED_VALUE"""),"The Red R0cket")</f>
        <v>The Red R0cket</v>
      </c>
      <c r="D368" s="36" t="str">
        <f>IFERROR(__xludf.DUMMYFUNCTION("""COMPUTED_VALUE"""),"Heinous Henchmen")</f>
        <v>Heinous Henchmen</v>
      </c>
      <c r="E368" s="10" t="str">
        <f>IFERROR(__xludf.DUMMYFUNCTION("""COMPUTED_VALUE"""),"N/A")</f>
        <v>N/A</v>
      </c>
      <c r="F368" s="37">
        <f>IFERROR(__xludf.DUMMYFUNCTION("""COMPUTED_VALUE"""),68.67771955155197)</f>
        <v>68.67771955</v>
      </c>
      <c r="G368" s="38">
        <f>IFERROR(__xludf.DUMMYFUNCTION("""COMPUTED_VALUE"""),68.04020549605886)</f>
        <v>68.0402055</v>
      </c>
      <c r="H368" s="38">
        <f>IFERROR(__xludf.DUMMYFUNCTION("""COMPUTED_VALUE"""),68.35896252380542)</f>
        <v>68.35896252</v>
      </c>
      <c r="I368" s="14">
        <f>IFERROR(__xludf.DUMMYFUNCTION("""COMPUTED_VALUE"""),55.0)</f>
        <v>55</v>
      </c>
      <c r="J368" s="11">
        <f>IFERROR(__xludf.DUMMYFUNCTION("IFERROR(FILTER(Stats!$F:$Z,(Stats!$A:$A=$A368)*(Stats!$B:$B=$B368)))"),28.0)</f>
        <v>28</v>
      </c>
      <c r="K368" s="11">
        <f>IFERROR(__xludf.DUMMYFUNCTION("""COMPUTED_VALUE"""),27.0)</f>
        <v>27</v>
      </c>
      <c r="L368" s="12">
        <f>IFERROR(__xludf.DUMMYFUNCTION("""COMPUTED_VALUE"""),0.509090909090909)</f>
        <v>0.5090909091</v>
      </c>
      <c r="M368" s="11">
        <f>IFERROR(__xludf.DUMMYFUNCTION("""COMPUTED_VALUE"""),10.0)</f>
        <v>10</v>
      </c>
      <c r="N368" s="11">
        <f>IFERROR(__xludf.DUMMYFUNCTION("""COMPUTED_VALUE"""),18599.0)</f>
        <v>18599</v>
      </c>
      <c r="O368" s="13">
        <f>IFERROR(__xludf.DUMMYFUNCTION("""COMPUTED_VALUE"""),48.0)</f>
        <v>48</v>
      </c>
      <c r="P368" s="14">
        <f>IFERROR(__xludf.DUMMYFUNCTION("""COMPUTED_VALUE"""),31.0)</f>
        <v>31</v>
      </c>
      <c r="Q368" s="13">
        <f>IFERROR(__xludf.DUMMYFUNCTION("""COMPUTED_VALUE"""),69.0)</f>
        <v>69</v>
      </c>
      <c r="R368" s="13">
        <f>IFERROR(__xludf.DUMMYFUNCTION("""COMPUTED_VALUE"""),112.0)</f>
        <v>112</v>
      </c>
      <c r="S368" s="15">
        <f>IFERROR(__xludf.DUMMYFUNCTION("""COMPUTED_VALUE"""),0.42857142857142855)</f>
        <v>0.4285714286</v>
      </c>
      <c r="T368" s="16">
        <f>IFERROR(__xludf.DUMMYFUNCTION("""COMPUTED_VALUE"""),338.1636363636364)</f>
        <v>338.1636364</v>
      </c>
      <c r="U368" s="16">
        <f>IFERROR(__xludf.DUMMYFUNCTION("""COMPUTED_VALUE"""),0.8727272727272727)</f>
        <v>0.8727272727</v>
      </c>
      <c r="V368" s="16">
        <f>IFERROR(__xludf.DUMMYFUNCTION("""COMPUTED_VALUE"""),0.5636363636363636)</f>
        <v>0.5636363636</v>
      </c>
      <c r="W368" s="16">
        <f>IFERROR(__xludf.DUMMYFUNCTION("""COMPUTED_VALUE"""),1.2545454545454546)</f>
        <v>1.254545455</v>
      </c>
      <c r="X368" s="16">
        <f>IFERROR(__xludf.DUMMYFUNCTION("""COMPUTED_VALUE"""),2.036363636363636)</f>
        <v>2.036363636</v>
      </c>
      <c r="Y368" s="11">
        <f>IFERROR(__xludf.DUMMYFUNCTION("""COMPUTED_VALUE"""),14.0)</f>
        <v>14</v>
      </c>
      <c r="Z368" s="11">
        <f>IFERROR(__xludf.DUMMYFUNCTION("""COMPUTED_VALUE"""),4.0)</f>
        <v>4</v>
      </c>
      <c r="AA368" s="11">
        <f>IFERROR(__xludf.DUMMYFUNCTION("""COMPUTED_VALUE"""),1.0)</f>
        <v>1</v>
      </c>
      <c r="AB368" s="11">
        <f>IFERROR(__xludf.DUMMYFUNCTION("""COMPUTED_VALUE"""),3.0)</f>
        <v>3</v>
      </c>
      <c r="AC368" s="11">
        <f>IFERROR(__xludf.DUMMYFUNCTION("""COMPUTED_VALUE"""),65.0)</f>
        <v>65</v>
      </c>
      <c r="AD368" s="11">
        <f>IFERROR(__xludf.DUMMYFUNCTION("""COMPUTED_VALUE"""),51.0)</f>
        <v>51</v>
      </c>
    </row>
    <row r="369">
      <c r="A369" s="10" t="str">
        <f>IFERROR(__xludf.DUMMYFUNCTION("""COMPUTED_VALUE"""),"Master")</f>
        <v>Master</v>
      </c>
      <c r="B369" s="10" t="str">
        <f>IFERROR(__xludf.DUMMYFUNCTION("""COMPUTED_VALUE"""),"RSC006534")</f>
        <v>RSC006534</v>
      </c>
      <c r="C369" s="10" t="str">
        <f>IFERROR(__xludf.DUMMYFUNCTION("""COMPUTED_VALUE"""),"FIN0oo")</f>
        <v>FIN0oo</v>
      </c>
      <c r="D369" s="36" t="str">
        <f>IFERROR(__xludf.DUMMYFUNCTION("""COMPUTED_VALUE"""),"Kawaii")</f>
        <v>Kawaii</v>
      </c>
      <c r="E369" s="10" t="str">
        <f>IFERROR(__xludf.DUMMYFUNCTION("""COMPUTED_VALUE"""),"N/A")</f>
        <v>N/A</v>
      </c>
      <c r="F369" s="37">
        <f>IFERROR(__xludf.DUMMYFUNCTION("""COMPUTED_VALUE"""),62.97821879286485)</f>
        <v>62.97821879</v>
      </c>
      <c r="G369" s="38">
        <f>IFERROR(__xludf.DUMMYFUNCTION("""COMPUTED_VALUE"""),73.47118139463615)</f>
        <v>73.47118139</v>
      </c>
      <c r="H369" s="38">
        <f>IFERROR(__xludf.DUMMYFUNCTION("""COMPUTED_VALUE"""),68.2247000937505)</f>
        <v>68.22470009</v>
      </c>
      <c r="I369" s="14">
        <f>IFERROR(__xludf.DUMMYFUNCTION("""COMPUTED_VALUE"""),45.0)</f>
        <v>45</v>
      </c>
      <c r="J369" s="11">
        <f>IFERROR(__xludf.DUMMYFUNCTION("IFERROR(FILTER(Stats!$F:$Z,(Stats!$A:$A=$A369)*(Stats!$B:$B=$B369)))"),24.0)</f>
        <v>24</v>
      </c>
      <c r="K369" s="11">
        <f>IFERROR(__xludf.DUMMYFUNCTION("""COMPUTED_VALUE"""),21.0)</f>
        <v>21</v>
      </c>
      <c r="L369" s="12">
        <f>IFERROR(__xludf.DUMMYFUNCTION("""COMPUTED_VALUE"""),0.5333333333333333)</f>
        <v>0.5333333333</v>
      </c>
      <c r="M369" s="11">
        <f>IFERROR(__xludf.DUMMYFUNCTION("""COMPUTED_VALUE"""),12.0)</f>
        <v>12</v>
      </c>
      <c r="N369" s="11">
        <f>IFERROR(__xludf.DUMMYFUNCTION("""COMPUTED_VALUE"""),17153.0)</f>
        <v>17153</v>
      </c>
      <c r="O369" s="13">
        <f>IFERROR(__xludf.DUMMYFUNCTION("""COMPUTED_VALUE"""),38.0)</f>
        <v>38</v>
      </c>
      <c r="P369" s="14">
        <f>IFERROR(__xludf.DUMMYFUNCTION("""COMPUTED_VALUE"""),25.0)</f>
        <v>25</v>
      </c>
      <c r="Q369" s="13">
        <f>IFERROR(__xludf.DUMMYFUNCTION("""COMPUTED_VALUE"""),62.0)</f>
        <v>62</v>
      </c>
      <c r="R369" s="13">
        <f>IFERROR(__xludf.DUMMYFUNCTION("""COMPUTED_VALUE"""),129.0)</f>
        <v>129</v>
      </c>
      <c r="S369" s="15">
        <f>IFERROR(__xludf.DUMMYFUNCTION("""COMPUTED_VALUE"""),0.29457364341085274)</f>
        <v>0.2945736434</v>
      </c>
      <c r="T369" s="16">
        <f>IFERROR(__xludf.DUMMYFUNCTION("""COMPUTED_VALUE"""),381.1777777777778)</f>
        <v>381.1777778</v>
      </c>
      <c r="U369" s="16">
        <f>IFERROR(__xludf.DUMMYFUNCTION("""COMPUTED_VALUE"""),0.8444444444444444)</f>
        <v>0.8444444444</v>
      </c>
      <c r="V369" s="16">
        <f>IFERROR(__xludf.DUMMYFUNCTION("""COMPUTED_VALUE"""),0.5555555555555556)</f>
        <v>0.5555555556</v>
      </c>
      <c r="W369" s="16">
        <f>IFERROR(__xludf.DUMMYFUNCTION("""COMPUTED_VALUE"""),1.3777777777777778)</f>
        <v>1.377777778</v>
      </c>
      <c r="X369" s="16">
        <f>IFERROR(__xludf.DUMMYFUNCTION("""COMPUTED_VALUE"""),2.8666666666666667)</f>
        <v>2.866666667</v>
      </c>
      <c r="Y369" s="11">
        <f>IFERROR(__xludf.DUMMYFUNCTION("""COMPUTED_VALUE"""),8.0)</f>
        <v>8</v>
      </c>
      <c r="Z369" s="11">
        <f>IFERROR(__xludf.DUMMYFUNCTION("""COMPUTED_VALUE"""),2.0)</f>
        <v>2</v>
      </c>
      <c r="AA369" s="11">
        <f>IFERROR(__xludf.DUMMYFUNCTION("""COMPUTED_VALUE"""),2.0)</f>
        <v>2</v>
      </c>
      <c r="AB369" s="11">
        <f>IFERROR(__xludf.DUMMYFUNCTION("""COMPUTED_VALUE"""),14.0)</f>
        <v>14</v>
      </c>
      <c r="AC369" s="11">
        <f>IFERROR(__xludf.DUMMYFUNCTION("""COMPUTED_VALUE"""),54.0)</f>
        <v>54</v>
      </c>
      <c r="AD369" s="11">
        <f>IFERROR(__xludf.DUMMYFUNCTION("""COMPUTED_VALUE"""),51.0)</f>
        <v>51</v>
      </c>
    </row>
    <row r="370">
      <c r="A370" s="10" t="str">
        <f>IFERROR(__xludf.DUMMYFUNCTION("""COMPUTED_VALUE"""),"Master")</f>
        <v>Master</v>
      </c>
      <c r="B370" s="10" t="str">
        <f>IFERROR(__xludf.DUMMYFUNCTION("""COMPUTED_VALUE"""),"RSC004208")</f>
        <v>RSC004208</v>
      </c>
      <c r="C370" s="10" t="str">
        <f>IFERROR(__xludf.DUMMYFUNCTION("""COMPUTED_VALUE"""),"Super")</f>
        <v>Super</v>
      </c>
      <c r="D370" s="36" t="str">
        <f>IFERROR(__xludf.DUMMYFUNCTION("""COMPUTED_VALUE"""),"Care Bears")</f>
        <v>Care Bears</v>
      </c>
      <c r="E370" s="10" t="str">
        <f>IFERROR(__xludf.DUMMYFUNCTION("""COMPUTED_VALUE"""),"N/A")</f>
        <v>N/A</v>
      </c>
      <c r="F370" s="37">
        <f>IFERROR(__xludf.DUMMYFUNCTION("""COMPUTED_VALUE"""),64.40209102692185)</f>
        <v>64.40209103</v>
      </c>
      <c r="G370" s="38">
        <f>IFERROR(__xludf.DUMMYFUNCTION("""COMPUTED_VALUE"""),67.49329720796362)</f>
        <v>67.49329721</v>
      </c>
      <c r="H370" s="38">
        <f>IFERROR(__xludf.DUMMYFUNCTION("""COMPUTED_VALUE"""),65.94769411744274)</f>
        <v>65.94769412</v>
      </c>
      <c r="I370" s="14">
        <f>IFERROR(__xludf.DUMMYFUNCTION("""COMPUTED_VALUE"""),56.0)</f>
        <v>56</v>
      </c>
      <c r="J370" s="11">
        <f>IFERROR(__xludf.DUMMYFUNCTION("IFERROR(FILTER(Stats!$F:$Z,(Stats!$A:$A=$A370)*(Stats!$B:$B=$B370)))"),36.0)</f>
        <v>36</v>
      </c>
      <c r="K370" s="11">
        <f>IFERROR(__xludf.DUMMYFUNCTION("""COMPUTED_VALUE"""),20.0)</f>
        <v>20</v>
      </c>
      <c r="L370" s="12">
        <f>IFERROR(__xludf.DUMMYFUNCTION("""COMPUTED_VALUE"""),0.6428571428571429)</f>
        <v>0.6428571429</v>
      </c>
      <c r="M370" s="11">
        <f>IFERROR(__xludf.DUMMYFUNCTION("""COMPUTED_VALUE"""),11.0)</f>
        <v>11</v>
      </c>
      <c r="N370" s="11">
        <f>IFERROR(__xludf.DUMMYFUNCTION("""COMPUTED_VALUE"""),18177.0)</f>
        <v>18177</v>
      </c>
      <c r="O370" s="13">
        <f>IFERROR(__xludf.DUMMYFUNCTION("""COMPUTED_VALUE"""),42.0)</f>
        <v>42</v>
      </c>
      <c r="P370" s="14">
        <f>IFERROR(__xludf.DUMMYFUNCTION("""COMPUTED_VALUE"""),34.0)</f>
        <v>34</v>
      </c>
      <c r="Q370" s="13">
        <f>IFERROR(__xludf.DUMMYFUNCTION("""COMPUTED_VALUE"""),66.0)</f>
        <v>66</v>
      </c>
      <c r="R370" s="13">
        <f>IFERROR(__xludf.DUMMYFUNCTION("""COMPUTED_VALUE"""),132.0)</f>
        <v>132</v>
      </c>
      <c r="S370" s="15">
        <f>IFERROR(__xludf.DUMMYFUNCTION("""COMPUTED_VALUE"""),0.3181818181818182)</f>
        <v>0.3181818182</v>
      </c>
      <c r="T370" s="16">
        <f>IFERROR(__xludf.DUMMYFUNCTION("""COMPUTED_VALUE"""),324.5892857142857)</f>
        <v>324.5892857</v>
      </c>
      <c r="U370" s="16">
        <f>IFERROR(__xludf.DUMMYFUNCTION("""COMPUTED_VALUE"""),0.75)</f>
        <v>0.75</v>
      </c>
      <c r="V370" s="16">
        <f>IFERROR(__xludf.DUMMYFUNCTION("""COMPUTED_VALUE"""),0.6071428571428571)</f>
        <v>0.6071428571</v>
      </c>
      <c r="W370" s="16">
        <f>IFERROR(__xludf.DUMMYFUNCTION("""COMPUTED_VALUE"""),1.1785714285714286)</f>
        <v>1.178571429</v>
      </c>
      <c r="X370" s="16">
        <f>IFERROR(__xludf.DUMMYFUNCTION("""COMPUTED_VALUE"""),2.357142857142857)</f>
        <v>2.357142857</v>
      </c>
      <c r="Y370" s="11">
        <f>IFERROR(__xludf.DUMMYFUNCTION("""COMPUTED_VALUE"""),5.0)</f>
        <v>5</v>
      </c>
      <c r="Z370" s="11">
        <f>IFERROR(__xludf.DUMMYFUNCTION("""COMPUTED_VALUE"""),5.0)</f>
        <v>5</v>
      </c>
      <c r="AA370" s="11">
        <f>IFERROR(__xludf.DUMMYFUNCTION("""COMPUTED_VALUE"""),1.0)</f>
        <v>1</v>
      </c>
      <c r="AB370" s="11">
        <f>IFERROR(__xludf.DUMMYFUNCTION("""COMPUTED_VALUE"""),7.0)</f>
        <v>7</v>
      </c>
      <c r="AC370" s="11">
        <f>IFERROR(__xludf.DUMMYFUNCTION("""COMPUTED_VALUE"""),88.0)</f>
        <v>88</v>
      </c>
      <c r="AD370" s="11">
        <f>IFERROR(__xludf.DUMMYFUNCTION("""COMPUTED_VALUE"""),36.0)</f>
        <v>36</v>
      </c>
    </row>
    <row r="371">
      <c r="A371" s="10" t="str">
        <f>IFERROR(__xludf.DUMMYFUNCTION("""COMPUTED_VALUE"""),"Master")</f>
        <v>Master</v>
      </c>
      <c r="B371" s="10" t="str">
        <f>IFERROR(__xludf.DUMMYFUNCTION("""COMPUTED_VALUE"""),"RSC000799")</f>
        <v>RSC000799</v>
      </c>
      <c r="C371" s="10" t="str">
        <f>IFERROR(__xludf.DUMMYFUNCTION("""COMPUTED_VALUE"""),"Foam")</f>
        <v>Foam</v>
      </c>
      <c r="D371" s="36" t="str">
        <f>IFERROR(__xludf.DUMMYFUNCTION("""COMPUTED_VALUE"""),"Reapers")</f>
        <v>Reapers</v>
      </c>
      <c r="E371" s="10" t="str">
        <f>IFERROR(__xludf.DUMMYFUNCTION("""COMPUTED_VALUE"""),"N/A")</f>
        <v>N/A</v>
      </c>
      <c r="F371" s="37">
        <f>IFERROR(__xludf.DUMMYFUNCTION("""COMPUTED_VALUE"""),66.14381561517092)</f>
        <v>66.14381562</v>
      </c>
      <c r="G371" s="38">
        <f>IFERROR(__xludf.DUMMYFUNCTION("""COMPUTED_VALUE"""),65.59595957460515)</f>
        <v>65.59595957</v>
      </c>
      <c r="H371" s="38">
        <f>IFERROR(__xludf.DUMMYFUNCTION("""COMPUTED_VALUE"""),65.86988759488804)</f>
        <v>65.86988759</v>
      </c>
      <c r="I371" s="14">
        <f>IFERROR(__xludf.DUMMYFUNCTION("""COMPUTED_VALUE"""),42.0)</f>
        <v>42</v>
      </c>
      <c r="J371" s="11">
        <f>IFERROR(__xludf.DUMMYFUNCTION("IFERROR(FILTER(Stats!$F:$Z,(Stats!$A:$A=$A371)*(Stats!$B:$B=$B371)))"),21.0)</f>
        <v>21</v>
      </c>
      <c r="K371" s="11">
        <f>IFERROR(__xludf.DUMMYFUNCTION("""COMPUTED_VALUE"""),21.0)</f>
        <v>21</v>
      </c>
      <c r="L371" s="12">
        <f>IFERROR(__xludf.DUMMYFUNCTION("""COMPUTED_VALUE"""),0.5)</f>
        <v>0.5</v>
      </c>
      <c r="M371" s="11">
        <f>IFERROR(__xludf.DUMMYFUNCTION("""COMPUTED_VALUE"""),9.0)</f>
        <v>9</v>
      </c>
      <c r="N371" s="11">
        <f>IFERROR(__xludf.DUMMYFUNCTION("""COMPUTED_VALUE"""),14675.0)</f>
        <v>14675</v>
      </c>
      <c r="O371" s="13">
        <f>IFERROR(__xludf.DUMMYFUNCTION("""COMPUTED_VALUE"""),32.0)</f>
        <v>32</v>
      </c>
      <c r="P371" s="14">
        <f>IFERROR(__xludf.DUMMYFUNCTION("""COMPUTED_VALUE"""),28.0)</f>
        <v>28</v>
      </c>
      <c r="Q371" s="13">
        <f>IFERROR(__xludf.DUMMYFUNCTION("""COMPUTED_VALUE"""),48.0)</f>
        <v>48</v>
      </c>
      <c r="R371" s="13">
        <f>IFERROR(__xludf.DUMMYFUNCTION("""COMPUTED_VALUE"""),112.0)</f>
        <v>112</v>
      </c>
      <c r="S371" s="15">
        <f>IFERROR(__xludf.DUMMYFUNCTION("""COMPUTED_VALUE"""),0.2857142857142857)</f>
        <v>0.2857142857</v>
      </c>
      <c r="T371" s="16">
        <f>IFERROR(__xludf.DUMMYFUNCTION("""COMPUTED_VALUE"""),349.4047619047619)</f>
        <v>349.4047619</v>
      </c>
      <c r="U371" s="16">
        <f>IFERROR(__xludf.DUMMYFUNCTION("""COMPUTED_VALUE"""),0.7619047619047619)</f>
        <v>0.7619047619</v>
      </c>
      <c r="V371" s="16">
        <f>IFERROR(__xludf.DUMMYFUNCTION("""COMPUTED_VALUE"""),0.6666666666666666)</f>
        <v>0.6666666667</v>
      </c>
      <c r="W371" s="16">
        <f>IFERROR(__xludf.DUMMYFUNCTION("""COMPUTED_VALUE"""),1.1428571428571428)</f>
        <v>1.142857143</v>
      </c>
      <c r="X371" s="16">
        <f>IFERROR(__xludf.DUMMYFUNCTION("""COMPUTED_VALUE"""),2.6666666666666665)</f>
        <v>2.666666667</v>
      </c>
      <c r="Y371" s="11">
        <f>IFERROR(__xludf.DUMMYFUNCTION("""COMPUTED_VALUE"""),13.0)</f>
        <v>13</v>
      </c>
      <c r="Z371" s="11">
        <f>IFERROR(__xludf.DUMMYFUNCTION("""COMPUTED_VALUE"""),0.0)</f>
        <v>0</v>
      </c>
      <c r="AA371" s="11">
        <f>IFERROR(__xludf.DUMMYFUNCTION("""COMPUTED_VALUE"""),1.0)</f>
        <v>1</v>
      </c>
      <c r="AB371" s="11">
        <f>IFERROR(__xludf.DUMMYFUNCTION("""COMPUTED_VALUE"""),3.0)</f>
        <v>3</v>
      </c>
      <c r="AC371" s="11">
        <f>IFERROR(__xludf.DUMMYFUNCTION("""COMPUTED_VALUE"""),43.0)</f>
        <v>43</v>
      </c>
      <c r="AD371" s="11">
        <f>IFERROR(__xludf.DUMMYFUNCTION("""COMPUTED_VALUE"""),59.0)</f>
        <v>59</v>
      </c>
    </row>
    <row r="372">
      <c r="A372" s="10" t="str">
        <f>IFERROR(__xludf.DUMMYFUNCTION("""COMPUTED_VALUE"""),"Master")</f>
        <v>Master</v>
      </c>
      <c r="B372" s="10" t="str">
        <f>IFERROR(__xludf.DUMMYFUNCTION("""COMPUTED_VALUE"""),"RSC006903")</f>
        <v>RSC006903</v>
      </c>
      <c r="C372" s="10" t="str">
        <f>IFERROR(__xludf.DUMMYFUNCTION("""COMPUTED_VALUE"""),"BobbyWitDatT00L")</f>
        <v>BobbyWitDatT00L</v>
      </c>
      <c r="D372" s="36" t="str">
        <f>IFERROR(__xludf.DUMMYFUNCTION("""COMPUTED_VALUE"""),"Heinous Henchmen")</f>
        <v>Heinous Henchmen</v>
      </c>
      <c r="E372" s="10" t="str">
        <f>IFERROR(__xludf.DUMMYFUNCTION("""COMPUTED_VALUE"""),"N/A")</f>
        <v>N/A</v>
      </c>
      <c r="F372" s="37">
        <f>IFERROR(__xludf.DUMMYFUNCTION("""COMPUTED_VALUE"""),68.21394416076879)</f>
        <v>68.21394416</v>
      </c>
      <c r="G372" s="38">
        <f>IFERROR(__xludf.DUMMYFUNCTION("""COMPUTED_VALUE"""),62.16942940204784)</f>
        <v>62.1694294</v>
      </c>
      <c r="H372" s="38">
        <f>IFERROR(__xludf.DUMMYFUNCTION("""COMPUTED_VALUE"""),65.19168678140832)</f>
        <v>65.19168678</v>
      </c>
      <c r="I372" s="14">
        <f>IFERROR(__xludf.DUMMYFUNCTION("""COMPUTED_VALUE"""),56.0)</f>
        <v>56</v>
      </c>
      <c r="J372" s="11">
        <f>IFERROR(__xludf.DUMMYFUNCTION("IFERROR(FILTER(Stats!$F:$Z,(Stats!$A:$A=$A372)*(Stats!$B:$B=$B372)))"),29.0)</f>
        <v>29</v>
      </c>
      <c r="K372" s="11">
        <f>IFERROR(__xludf.DUMMYFUNCTION("""COMPUTED_VALUE"""),27.0)</f>
        <v>27</v>
      </c>
      <c r="L372" s="12">
        <f>IFERROR(__xludf.DUMMYFUNCTION("""COMPUTED_VALUE"""),0.5178571428571429)</f>
        <v>0.5178571429</v>
      </c>
      <c r="M372" s="11">
        <f>IFERROR(__xludf.DUMMYFUNCTION("""COMPUTED_VALUE"""),11.0)</f>
        <v>11</v>
      </c>
      <c r="N372" s="11">
        <f>IFERROR(__xludf.DUMMYFUNCTION("""COMPUTED_VALUE"""),18888.0)</f>
        <v>18888</v>
      </c>
      <c r="O372" s="13">
        <f>IFERROR(__xludf.DUMMYFUNCTION("""COMPUTED_VALUE"""),43.0)</f>
        <v>43</v>
      </c>
      <c r="P372" s="14">
        <f>IFERROR(__xludf.DUMMYFUNCTION("""COMPUTED_VALUE"""),29.0)</f>
        <v>29</v>
      </c>
      <c r="Q372" s="13">
        <f>IFERROR(__xludf.DUMMYFUNCTION("""COMPUTED_VALUE"""),73.0)</f>
        <v>73</v>
      </c>
      <c r="R372" s="13">
        <f>IFERROR(__xludf.DUMMYFUNCTION("""COMPUTED_VALUE"""),126.0)</f>
        <v>126</v>
      </c>
      <c r="S372" s="15">
        <f>IFERROR(__xludf.DUMMYFUNCTION("""COMPUTED_VALUE"""),0.3412698412698413)</f>
        <v>0.3412698413</v>
      </c>
      <c r="T372" s="16">
        <f>IFERROR(__xludf.DUMMYFUNCTION("""COMPUTED_VALUE"""),337.2857142857143)</f>
        <v>337.2857143</v>
      </c>
      <c r="U372" s="16">
        <f>IFERROR(__xludf.DUMMYFUNCTION("""COMPUTED_VALUE"""),0.7678571428571429)</f>
        <v>0.7678571429</v>
      </c>
      <c r="V372" s="16">
        <f>IFERROR(__xludf.DUMMYFUNCTION("""COMPUTED_VALUE"""),0.5178571428571429)</f>
        <v>0.5178571429</v>
      </c>
      <c r="W372" s="16">
        <f>IFERROR(__xludf.DUMMYFUNCTION("""COMPUTED_VALUE"""),1.3035714285714286)</f>
        <v>1.303571429</v>
      </c>
      <c r="X372" s="16">
        <f>IFERROR(__xludf.DUMMYFUNCTION("""COMPUTED_VALUE"""),2.25)</f>
        <v>2.25</v>
      </c>
      <c r="Y372" s="11">
        <f>IFERROR(__xludf.DUMMYFUNCTION("""COMPUTED_VALUE"""),11.0)</f>
        <v>11</v>
      </c>
      <c r="Z372" s="11">
        <f>IFERROR(__xludf.DUMMYFUNCTION("""COMPUTED_VALUE"""),2.0)</f>
        <v>2</v>
      </c>
      <c r="AA372" s="11">
        <f>IFERROR(__xludf.DUMMYFUNCTION("""COMPUTED_VALUE"""),2.0)</f>
        <v>2</v>
      </c>
      <c r="AB372" s="11">
        <f>IFERROR(__xludf.DUMMYFUNCTION("""COMPUTED_VALUE"""),12.0)</f>
        <v>12</v>
      </c>
      <c r="AC372" s="11">
        <f>IFERROR(__xludf.DUMMYFUNCTION("""COMPUTED_VALUE"""),49.0)</f>
        <v>49</v>
      </c>
      <c r="AD372" s="11">
        <f>IFERROR(__xludf.DUMMYFUNCTION("""COMPUTED_VALUE"""),54.0)</f>
        <v>54</v>
      </c>
    </row>
    <row r="373">
      <c r="A373" s="10" t="str">
        <f>IFERROR(__xludf.DUMMYFUNCTION("""COMPUTED_VALUE"""),"Master")</f>
        <v>Master</v>
      </c>
      <c r="B373" s="10" t="str">
        <f>IFERROR(__xludf.DUMMYFUNCTION("""COMPUTED_VALUE"""),"RSC005349")</f>
        <v>RSC005349</v>
      </c>
      <c r="C373" s="10" t="str">
        <f>IFERROR(__xludf.DUMMYFUNCTION("""COMPUTED_VALUE"""),"Rzemb1e")</f>
        <v>Rzemb1e</v>
      </c>
      <c r="D373" s="36" t="str">
        <f>IFERROR(__xludf.DUMMYFUNCTION("""COMPUTED_VALUE"""),"Lemurs")</f>
        <v>Lemurs</v>
      </c>
      <c r="E373" s="10" t="str">
        <f>IFERROR(__xludf.DUMMYFUNCTION("""COMPUTED_VALUE"""),"N/A")</f>
        <v>N/A</v>
      </c>
      <c r="F373" s="37">
        <f>IFERROR(__xludf.DUMMYFUNCTION("""COMPUTED_VALUE"""),65.70062428273447)</f>
        <v>65.70062428</v>
      </c>
      <c r="G373" s="38">
        <f>IFERROR(__xludf.DUMMYFUNCTION("""COMPUTED_VALUE"""),64.22389239501396)</f>
        <v>64.2238924</v>
      </c>
      <c r="H373" s="38">
        <f>IFERROR(__xludf.DUMMYFUNCTION("""COMPUTED_VALUE"""),64.96225833887422)</f>
        <v>64.96225834</v>
      </c>
      <c r="I373" s="14">
        <f>IFERROR(__xludf.DUMMYFUNCTION("""COMPUTED_VALUE"""),27.0)</f>
        <v>27</v>
      </c>
      <c r="J373" s="11">
        <f>IFERROR(__xludf.DUMMYFUNCTION("IFERROR(FILTER(Stats!$F:$Z,(Stats!$A:$A=$A373)*(Stats!$B:$B=$B373)))"),11.0)</f>
        <v>11</v>
      </c>
      <c r="K373" s="11">
        <f>IFERROR(__xludf.DUMMYFUNCTION("""COMPUTED_VALUE"""),16.0)</f>
        <v>16</v>
      </c>
      <c r="L373" s="12">
        <f>IFERROR(__xludf.DUMMYFUNCTION("""COMPUTED_VALUE"""),0.4074074074074074)</f>
        <v>0.4074074074</v>
      </c>
      <c r="M373" s="11">
        <f>IFERROR(__xludf.DUMMYFUNCTION("""COMPUTED_VALUE"""),3.0)</f>
        <v>3</v>
      </c>
      <c r="N373" s="11">
        <f>IFERROR(__xludf.DUMMYFUNCTION("""COMPUTED_VALUE"""),8277.0)</f>
        <v>8277</v>
      </c>
      <c r="O373" s="13">
        <f>IFERROR(__xludf.DUMMYFUNCTION("""COMPUTED_VALUE"""),19.0)</f>
        <v>19</v>
      </c>
      <c r="P373" s="14">
        <f>IFERROR(__xludf.DUMMYFUNCTION("""COMPUTED_VALUE"""),16.0)</f>
        <v>16</v>
      </c>
      <c r="Q373" s="13">
        <f>IFERROR(__xludf.DUMMYFUNCTION("""COMPUTED_VALUE"""),27.0)</f>
        <v>27</v>
      </c>
      <c r="R373" s="13">
        <f>IFERROR(__xludf.DUMMYFUNCTION("""COMPUTED_VALUE"""),70.0)</f>
        <v>70</v>
      </c>
      <c r="S373" s="15">
        <f>IFERROR(__xludf.DUMMYFUNCTION("""COMPUTED_VALUE"""),0.2714285714285714)</f>
        <v>0.2714285714</v>
      </c>
      <c r="T373" s="16">
        <f>IFERROR(__xludf.DUMMYFUNCTION("""COMPUTED_VALUE"""),306.55555555555554)</f>
        <v>306.5555556</v>
      </c>
      <c r="U373" s="16">
        <f>IFERROR(__xludf.DUMMYFUNCTION("""COMPUTED_VALUE"""),0.7037037037037037)</f>
        <v>0.7037037037</v>
      </c>
      <c r="V373" s="16">
        <f>IFERROR(__xludf.DUMMYFUNCTION("""COMPUTED_VALUE"""),0.5925925925925926)</f>
        <v>0.5925925926</v>
      </c>
      <c r="W373" s="16">
        <f>IFERROR(__xludf.DUMMYFUNCTION("""COMPUTED_VALUE"""),1.0)</f>
        <v>1</v>
      </c>
      <c r="X373" s="16">
        <f>IFERROR(__xludf.DUMMYFUNCTION("""COMPUTED_VALUE"""),2.5925925925925926)</f>
        <v>2.592592593</v>
      </c>
      <c r="Y373" s="11">
        <f>IFERROR(__xludf.DUMMYFUNCTION("""COMPUTED_VALUE"""),3.0)</f>
        <v>3</v>
      </c>
      <c r="Z373" s="11">
        <f>IFERROR(__xludf.DUMMYFUNCTION("""COMPUTED_VALUE"""),1.0)</f>
        <v>1</v>
      </c>
      <c r="AA373" s="11">
        <f>IFERROR(__xludf.DUMMYFUNCTION("""COMPUTED_VALUE"""),1.0)</f>
        <v>1</v>
      </c>
      <c r="AB373" s="11">
        <f>IFERROR(__xludf.DUMMYFUNCTION("""COMPUTED_VALUE"""),2.0)</f>
        <v>2</v>
      </c>
      <c r="AC373" s="11">
        <f>IFERROR(__xludf.DUMMYFUNCTION("""COMPUTED_VALUE"""),30.0)</f>
        <v>30</v>
      </c>
      <c r="AD373" s="11">
        <f>IFERROR(__xludf.DUMMYFUNCTION("""COMPUTED_VALUE"""),19.0)</f>
        <v>19</v>
      </c>
    </row>
    <row r="374">
      <c r="A374" s="10" t="str">
        <f>IFERROR(__xludf.DUMMYFUNCTION("""COMPUTED_VALUE"""),"Master")</f>
        <v>Master</v>
      </c>
      <c r="B374" s="10" t="str">
        <f>IFERROR(__xludf.DUMMYFUNCTION("""COMPUTED_VALUE"""),"RSC004717")</f>
        <v>RSC004717</v>
      </c>
      <c r="C374" s="10" t="str">
        <f>IFERROR(__xludf.DUMMYFUNCTION("""COMPUTED_VALUE"""),"grip reaper")</f>
        <v>grip reaper</v>
      </c>
      <c r="D374" s="36" t="str">
        <f>IFERROR(__xludf.DUMMYFUNCTION("""COMPUTED_VALUE"""),"Heinous Henchmen")</f>
        <v>Heinous Henchmen</v>
      </c>
      <c r="E374" s="10" t="str">
        <f>IFERROR(__xludf.DUMMYFUNCTION("""COMPUTED_VALUE"""),"N/A")</f>
        <v>N/A</v>
      </c>
      <c r="F374" s="37">
        <f>IFERROR(__xludf.DUMMYFUNCTION("""COMPUTED_VALUE"""),74.64182998489883)</f>
        <v>74.64182998</v>
      </c>
      <c r="G374" s="38">
        <f>IFERROR(__xludf.DUMMYFUNCTION("""COMPUTED_VALUE"""),54.892420235618125)</f>
        <v>54.89242024</v>
      </c>
      <c r="H374" s="38">
        <f>IFERROR(__xludf.DUMMYFUNCTION("""COMPUTED_VALUE"""),64.76712511025848)</f>
        <v>64.76712511</v>
      </c>
      <c r="I374" s="14">
        <f>IFERROR(__xludf.DUMMYFUNCTION("""COMPUTED_VALUE"""),49.0)</f>
        <v>49</v>
      </c>
      <c r="J374" s="11">
        <f>IFERROR(__xludf.DUMMYFUNCTION("IFERROR(FILTER(Stats!$F:$Z,(Stats!$A:$A=$A374)*(Stats!$B:$B=$B374)))"),24.0)</f>
        <v>24</v>
      </c>
      <c r="K374" s="11">
        <f>IFERROR(__xludf.DUMMYFUNCTION("""COMPUTED_VALUE"""),25.0)</f>
        <v>25</v>
      </c>
      <c r="L374" s="12">
        <f>IFERROR(__xludf.DUMMYFUNCTION("""COMPUTED_VALUE"""),0.4897959183673469)</f>
        <v>0.4897959184</v>
      </c>
      <c r="M374" s="11">
        <f>IFERROR(__xludf.DUMMYFUNCTION("""COMPUTED_VALUE"""),7.0)</f>
        <v>7</v>
      </c>
      <c r="N374" s="11">
        <f>IFERROR(__xludf.DUMMYFUNCTION("""COMPUTED_VALUE"""),16891.0)</f>
        <v>16891</v>
      </c>
      <c r="O374" s="13">
        <f>IFERROR(__xludf.DUMMYFUNCTION("""COMPUTED_VALUE"""),31.0)</f>
        <v>31</v>
      </c>
      <c r="P374" s="14">
        <f>IFERROR(__xludf.DUMMYFUNCTION("""COMPUTED_VALUE"""),28.0)</f>
        <v>28</v>
      </c>
      <c r="Q374" s="13">
        <f>IFERROR(__xludf.DUMMYFUNCTION("""COMPUTED_VALUE"""),75.0)</f>
        <v>75</v>
      </c>
      <c r="R374" s="13">
        <f>IFERROR(__xludf.DUMMYFUNCTION("""COMPUTED_VALUE"""),103.0)</f>
        <v>103</v>
      </c>
      <c r="S374" s="15">
        <f>IFERROR(__xludf.DUMMYFUNCTION("""COMPUTED_VALUE"""),0.30097087378640774)</f>
        <v>0.3009708738</v>
      </c>
      <c r="T374" s="16">
        <f>IFERROR(__xludf.DUMMYFUNCTION("""COMPUTED_VALUE"""),344.7142857142857)</f>
        <v>344.7142857</v>
      </c>
      <c r="U374" s="16">
        <f>IFERROR(__xludf.DUMMYFUNCTION("""COMPUTED_VALUE"""),0.6326530612244898)</f>
        <v>0.6326530612</v>
      </c>
      <c r="V374" s="16">
        <f>IFERROR(__xludf.DUMMYFUNCTION("""COMPUTED_VALUE"""),0.5714285714285714)</f>
        <v>0.5714285714</v>
      </c>
      <c r="W374" s="16">
        <f>IFERROR(__xludf.DUMMYFUNCTION("""COMPUTED_VALUE"""),1.530612244897959)</f>
        <v>1.530612245</v>
      </c>
      <c r="X374" s="16">
        <f>IFERROR(__xludf.DUMMYFUNCTION("""COMPUTED_VALUE"""),2.1020408163265305)</f>
        <v>2.102040816</v>
      </c>
      <c r="Y374" s="11">
        <f>IFERROR(__xludf.DUMMYFUNCTION("""COMPUTED_VALUE"""),8.0)</f>
        <v>8</v>
      </c>
      <c r="Z374" s="11">
        <f>IFERROR(__xludf.DUMMYFUNCTION("""COMPUTED_VALUE"""),2.0)</f>
        <v>2</v>
      </c>
      <c r="AA374" s="11">
        <f>IFERROR(__xludf.DUMMYFUNCTION("""COMPUTED_VALUE"""),1.0)</f>
        <v>1</v>
      </c>
      <c r="AB374" s="11">
        <f>IFERROR(__xludf.DUMMYFUNCTION("""COMPUTED_VALUE"""),9.0)</f>
        <v>9</v>
      </c>
      <c r="AC374" s="11">
        <f>IFERROR(__xludf.DUMMYFUNCTION("""COMPUTED_VALUE"""),68.0)</f>
        <v>68</v>
      </c>
      <c r="AD374" s="11">
        <f>IFERROR(__xludf.DUMMYFUNCTION("""COMPUTED_VALUE"""),42.0)</f>
        <v>42</v>
      </c>
    </row>
    <row r="375">
      <c r="A375" s="10" t="str">
        <f>IFERROR(__xludf.DUMMYFUNCTION("""COMPUTED_VALUE"""),"Master")</f>
        <v>Master</v>
      </c>
      <c r="B375" s="10" t="str">
        <f>IFERROR(__xludf.DUMMYFUNCTION("""COMPUTED_VALUE"""),"RSC001243")</f>
        <v>RSC001243</v>
      </c>
      <c r="C375" s="10" t="str">
        <f>IFERROR(__xludf.DUMMYFUNCTION("""COMPUTED_VALUE"""),"Destin")</f>
        <v>Destin</v>
      </c>
      <c r="D375" s="36" t="str">
        <f>IFERROR(__xludf.DUMMYFUNCTION("""COMPUTED_VALUE"""),"Permafrost
Lemurs")</f>
        <v>Permafrost
Lemurs</v>
      </c>
      <c r="E375" s="10" t="str">
        <f>IFERROR(__xludf.DUMMYFUNCTION("""COMPUTED_VALUE"""),"N/A
N/A")</f>
        <v>N/A
N/A</v>
      </c>
      <c r="F375" s="37">
        <f>IFERROR(__xludf.DUMMYFUNCTION("""COMPUTED_VALUE"""),65.0403879880773)</f>
        <v>65.04038799</v>
      </c>
      <c r="G375" s="38">
        <f>IFERROR(__xludf.DUMMYFUNCTION("""COMPUTED_VALUE"""),62.002325899357764)</f>
        <v>62.0023259</v>
      </c>
      <c r="H375" s="38">
        <f>IFERROR(__xludf.DUMMYFUNCTION("""COMPUTED_VALUE"""),63.521356943717535)</f>
        <v>63.52135694</v>
      </c>
      <c r="I375" s="14">
        <f>IFERROR(__xludf.DUMMYFUNCTION("""COMPUTED_VALUE"""),32.0)</f>
        <v>32</v>
      </c>
      <c r="J375" s="11">
        <f>IFERROR(__xludf.DUMMYFUNCTION("IFERROR(FILTER(Stats!$F:$Z,(Stats!$A:$A=$A375)*(Stats!$B:$B=$B375)))"),11.0)</f>
        <v>11</v>
      </c>
      <c r="K375" s="11">
        <f>IFERROR(__xludf.DUMMYFUNCTION("""COMPUTED_VALUE"""),21.0)</f>
        <v>21</v>
      </c>
      <c r="L375" s="12">
        <f>IFERROR(__xludf.DUMMYFUNCTION("""COMPUTED_VALUE"""),0.34375)</f>
        <v>0.34375</v>
      </c>
      <c r="M375" s="11">
        <f>IFERROR(__xludf.DUMMYFUNCTION("""COMPUTED_VALUE"""),3.0)</f>
        <v>3</v>
      </c>
      <c r="N375" s="11">
        <f>IFERROR(__xludf.DUMMYFUNCTION("""COMPUTED_VALUE"""),12462.0)</f>
        <v>12462</v>
      </c>
      <c r="O375" s="13">
        <f>IFERROR(__xludf.DUMMYFUNCTION("""COMPUTED_VALUE"""),28.0)</f>
        <v>28</v>
      </c>
      <c r="P375" s="14">
        <f>IFERROR(__xludf.DUMMYFUNCTION("""COMPUTED_VALUE"""),17.0)</f>
        <v>17</v>
      </c>
      <c r="Q375" s="13">
        <f>IFERROR(__xludf.DUMMYFUNCTION("""COMPUTED_VALUE"""),42.0)</f>
        <v>42</v>
      </c>
      <c r="R375" s="13">
        <f>IFERROR(__xludf.DUMMYFUNCTION("""COMPUTED_VALUE"""),100.0)</f>
        <v>100</v>
      </c>
      <c r="S375" s="15">
        <f>IFERROR(__xludf.DUMMYFUNCTION("""COMPUTED_VALUE"""),0.28)</f>
        <v>0.28</v>
      </c>
      <c r="T375" s="16">
        <f>IFERROR(__xludf.DUMMYFUNCTION("""COMPUTED_VALUE"""),389.4375)</f>
        <v>389.4375</v>
      </c>
      <c r="U375" s="16">
        <f>IFERROR(__xludf.DUMMYFUNCTION("""COMPUTED_VALUE"""),0.875)</f>
        <v>0.875</v>
      </c>
      <c r="V375" s="16">
        <f>IFERROR(__xludf.DUMMYFUNCTION("""COMPUTED_VALUE"""),0.53125)</f>
        <v>0.53125</v>
      </c>
      <c r="W375" s="16">
        <f>IFERROR(__xludf.DUMMYFUNCTION("""COMPUTED_VALUE"""),1.3125)</f>
        <v>1.3125</v>
      </c>
      <c r="X375" s="16">
        <f>IFERROR(__xludf.DUMMYFUNCTION("""COMPUTED_VALUE"""),3.125)</f>
        <v>3.125</v>
      </c>
      <c r="Y375" s="11">
        <f>IFERROR(__xludf.DUMMYFUNCTION("""COMPUTED_VALUE"""),7.0)</f>
        <v>7</v>
      </c>
      <c r="Z375" s="11">
        <f>IFERROR(__xludf.DUMMYFUNCTION("""COMPUTED_VALUE"""),1.0)</f>
        <v>1</v>
      </c>
      <c r="AA375" s="11">
        <f>IFERROR(__xludf.DUMMYFUNCTION("""COMPUTED_VALUE"""),0.0)</f>
        <v>0</v>
      </c>
      <c r="AB375" s="11">
        <f>IFERROR(__xludf.DUMMYFUNCTION("""COMPUTED_VALUE"""),3.0)</f>
        <v>3</v>
      </c>
      <c r="AC375" s="11">
        <f>IFERROR(__xludf.DUMMYFUNCTION("""COMPUTED_VALUE"""),31.0)</f>
        <v>31</v>
      </c>
      <c r="AD375" s="11">
        <f>IFERROR(__xludf.DUMMYFUNCTION("""COMPUTED_VALUE"""),46.0)</f>
        <v>46</v>
      </c>
    </row>
    <row r="376">
      <c r="A376" s="10" t="str">
        <f>IFERROR(__xludf.DUMMYFUNCTION("""COMPUTED_VALUE"""),"Master")</f>
        <v>Master</v>
      </c>
      <c r="B376" s="10" t="str">
        <f>IFERROR(__xludf.DUMMYFUNCTION("""COMPUTED_VALUE"""),"RSC008171")</f>
        <v>RSC008171</v>
      </c>
      <c r="C376" s="10" t="str">
        <f>IFERROR(__xludf.DUMMYFUNCTION("""COMPUTED_VALUE"""),"Shxde")</f>
        <v>Shxde</v>
      </c>
      <c r="D376" s="36" t="str">
        <f>IFERROR(__xludf.DUMMYFUNCTION("""COMPUTED_VALUE"""),"Fromunda Frauds")</f>
        <v>Fromunda Frauds</v>
      </c>
      <c r="E376" s="10" t="str">
        <f>IFERROR(__xludf.DUMMYFUNCTION("""COMPUTED_VALUE"""),"N/A")</f>
        <v>N/A</v>
      </c>
      <c r="F376" s="37">
        <f>IFERROR(__xludf.DUMMYFUNCTION("""COMPUTED_VALUE"""),58.22249904160408)</f>
        <v>58.22249904</v>
      </c>
      <c r="G376" s="38">
        <f>IFERROR(__xludf.DUMMYFUNCTION("""COMPUTED_VALUE"""),62.62387632419092)</f>
        <v>62.62387632</v>
      </c>
      <c r="H376" s="38">
        <f>IFERROR(__xludf.DUMMYFUNCTION("""COMPUTED_VALUE"""),60.4231876828975)</f>
        <v>60.42318768</v>
      </c>
      <c r="I376" s="14">
        <f>IFERROR(__xludf.DUMMYFUNCTION("""COMPUTED_VALUE"""),56.0)</f>
        <v>56</v>
      </c>
      <c r="J376" s="11">
        <f>IFERROR(__xludf.DUMMYFUNCTION("IFERROR(FILTER(Stats!$F:$Z,(Stats!$A:$A=$A376)*(Stats!$B:$B=$B376)))"),33.0)</f>
        <v>33</v>
      </c>
      <c r="K376" s="11">
        <f>IFERROR(__xludf.DUMMYFUNCTION("""COMPUTED_VALUE"""),23.0)</f>
        <v>23</v>
      </c>
      <c r="L376" s="12">
        <f>IFERROR(__xludf.DUMMYFUNCTION("""COMPUTED_VALUE"""),0.5892857142857143)</f>
        <v>0.5892857143</v>
      </c>
      <c r="M376" s="11">
        <f>IFERROR(__xludf.DUMMYFUNCTION("""COMPUTED_VALUE"""),11.0)</f>
        <v>11</v>
      </c>
      <c r="N376" s="11">
        <f>IFERROR(__xludf.DUMMYFUNCTION("""COMPUTED_VALUE"""),19617.0)</f>
        <v>19617</v>
      </c>
      <c r="O376" s="13">
        <f>IFERROR(__xludf.DUMMYFUNCTION("""COMPUTED_VALUE"""),45.0)</f>
        <v>45</v>
      </c>
      <c r="P376" s="14">
        <f>IFERROR(__xludf.DUMMYFUNCTION("""COMPUTED_VALUE"""),20.0)</f>
        <v>20</v>
      </c>
      <c r="Q376" s="13">
        <f>IFERROR(__xludf.DUMMYFUNCTION("""COMPUTED_VALUE"""),81.0)</f>
        <v>81</v>
      </c>
      <c r="R376" s="13">
        <f>IFERROR(__xludf.DUMMYFUNCTION("""COMPUTED_VALUE"""),158.0)</f>
        <v>158</v>
      </c>
      <c r="S376" s="15">
        <f>IFERROR(__xludf.DUMMYFUNCTION("""COMPUTED_VALUE"""),0.2848101265822785)</f>
        <v>0.2848101266</v>
      </c>
      <c r="T376" s="16">
        <f>IFERROR(__xludf.DUMMYFUNCTION("""COMPUTED_VALUE"""),350.30357142857144)</f>
        <v>350.3035714</v>
      </c>
      <c r="U376" s="16">
        <f>IFERROR(__xludf.DUMMYFUNCTION("""COMPUTED_VALUE"""),0.8035714285714286)</f>
        <v>0.8035714286</v>
      </c>
      <c r="V376" s="16">
        <f>IFERROR(__xludf.DUMMYFUNCTION("""COMPUTED_VALUE"""),0.35714285714285715)</f>
        <v>0.3571428571</v>
      </c>
      <c r="W376" s="16">
        <f>IFERROR(__xludf.DUMMYFUNCTION("""COMPUTED_VALUE"""),1.4464285714285714)</f>
        <v>1.446428571</v>
      </c>
      <c r="X376" s="16">
        <f>IFERROR(__xludf.DUMMYFUNCTION("""COMPUTED_VALUE"""),2.8214285714285716)</f>
        <v>2.821428571</v>
      </c>
      <c r="Y376" s="11">
        <f>IFERROR(__xludf.DUMMYFUNCTION("""COMPUTED_VALUE"""),9.0)</f>
        <v>9</v>
      </c>
      <c r="Z376" s="11">
        <f>IFERROR(__xludf.DUMMYFUNCTION("""COMPUTED_VALUE"""),4.0)</f>
        <v>4</v>
      </c>
      <c r="AA376" s="11">
        <f>IFERROR(__xludf.DUMMYFUNCTION("""COMPUTED_VALUE"""),0.0)</f>
        <v>0</v>
      </c>
      <c r="AB376" s="11">
        <f>IFERROR(__xludf.DUMMYFUNCTION("""COMPUTED_VALUE"""),15.0)</f>
        <v>15</v>
      </c>
      <c r="AC376" s="11">
        <f>IFERROR(__xludf.DUMMYFUNCTION("""COMPUTED_VALUE"""),40.0)</f>
        <v>40</v>
      </c>
      <c r="AD376" s="11">
        <f>IFERROR(__xludf.DUMMYFUNCTION("""COMPUTED_VALUE"""),63.0)</f>
        <v>63</v>
      </c>
    </row>
    <row r="377">
      <c r="A377" s="10" t="str">
        <f>IFERROR(__xludf.DUMMYFUNCTION("""COMPUTED_VALUE"""),"Master")</f>
        <v>Master</v>
      </c>
      <c r="B377" s="10" t="str">
        <f>IFERROR(__xludf.DUMMYFUNCTION("""COMPUTED_VALUE"""),"RSC000739")</f>
        <v>RSC000739</v>
      </c>
      <c r="C377" s="10" t="str">
        <f>IFERROR(__xludf.DUMMYFUNCTION("""COMPUTED_VALUE"""),"Salty")</f>
        <v>Salty</v>
      </c>
      <c r="D377" s="36" t="str">
        <f>IFERROR(__xludf.DUMMYFUNCTION("""COMPUTED_VALUE"""),"Battle Masters
Lemurs")</f>
        <v>Battle Masters
Lemurs</v>
      </c>
      <c r="E377" s="10" t="str">
        <f>IFERROR(__xludf.DUMMYFUNCTION("""COMPUTED_VALUE"""),"N/A
N/A")</f>
        <v>N/A
N/A</v>
      </c>
      <c r="F377" s="37">
        <f>IFERROR(__xludf.DUMMYFUNCTION("""COMPUTED_VALUE"""),60.82837984808214)</f>
        <v>60.82837985</v>
      </c>
      <c r="G377" s="38">
        <f>IFERROR(__xludf.DUMMYFUNCTION("""COMPUTED_VALUE"""),58.31879799718024)</f>
        <v>58.318798</v>
      </c>
      <c r="H377" s="38">
        <f>IFERROR(__xludf.DUMMYFUNCTION("""COMPUTED_VALUE"""),59.57358892263119)</f>
        <v>59.57358892</v>
      </c>
      <c r="I377" s="14">
        <f>IFERROR(__xludf.DUMMYFUNCTION("""COMPUTED_VALUE"""),11.0)</f>
        <v>11</v>
      </c>
      <c r="J377" s="11">
        <f>IFERROR(__xludf.DUMMYFUNCTION("IFERROR(FILTER(Stats!$F:$Z,(Stats!$A:$A=$A377)*(Stats!$B:$B=$B377)))"),5.0)</f>
        <v>5</v>
      </c>
      <c r="K377" s="11">
        <f>IFERROR(__xludf.DUMMYFUNCTION("""COMPUTED_VALUE"""),6.0)</f>
        <v>6</v>
      </c>
      <c r="L377" s="12">
        <f>IFERROR(__xludf.DUMMYFUNCTION("""COMPUTED_VALUE"""),0.45454545454545453)</f>
        <v>0.4545454545</v>
      </c>
      <c r="M377" s="11">
        <f>IFERROR(__xludf.DUMMYFUNCTION("""COMPUTED_VALUE"""),3.0)</f>
        <v>3</v>
      </c>
      <c r="N377" s="11">
        <f>IFERROR(__xludf.DUMMYFUNCTION("""COMPUTED_VALUE"""),4348.0)</f>
        <v>4348</v>
      </c>
      <c r="O377" s="13">
        <f>IFERROR(__xludf.DUMMYFUNCTION("""COMPUTED_VALUE"""),10.0)</f>
        <v>10</v>
      </c>
      <c r="P377" s="14">
        <f>IFERROR(__xludf.DUMMYFUNCTION("""COMPUTED_VALUE"""),6.0)</f>
        <v>6</v>
      </c>
      <c r="Q377" s="13">
        <f>IFERROR(__xludf.DUMMYFUNCTION("""COMPUTED_VALUE"""),15.0)</f>
        <v>15</v>
      </c>
      <c r="R377" s="13">
        <f>IFERROR(__xludf.DUMMYFUNCTION("""COMPUTED_VALUE"""),36.0)</f>
        <v>36</v>
      </c>
      <c r="S377" s="15">
        <f>IFERROR(__xludf.DUMMYFUNCTION("""COMPUTED_VALUE"""),0.2777777777777778)</f>
        <v>0.2777777778</v>
      </c>
      <c r="T377" s="16">
        <f>IFERROR(__xludf.DUMMYFUNCTION("""COMPUTED_VALUE"""),395.27272727272725)</f>
        <v>395.2727273</v>
      </c>
      <c r="U377" s="16">
        <f>IFERROR(__xludf.DUMMYFUNCTION("""COMPUTED_VALUE"""),0.9090909090909091)</f>
        <v>0.9090909091</v>
      </c>
      <c r="V377" s="16">
        <f>IFERROR(__xludf.DUMMYFUNCTION("""COMPUTED_VALUE"""),0.5454545454545454)</f>
        <v>0.5454545455</v>
      </c>
      <c r="W377" s="16">
        <f>IFERROR(__xludf.DUMMYFUNCTION("""COMPUTED_VALUE"""),1.3636363636363635)</f>
        <v>1.363636364</v>
      </c>
      <c r="X377" s="16">
        <f>IFERROR(__xludf.DUMMYFUNCTION("""COMPUTED_VALUE"""),3.272727272727273)</f>
        <v>3.272727273</v>
      </c>
      <c r="Y377" s="11">
        <f>IFERROR(__xludf.DUMMYFUNCTION("""COMPUTED_VALUE"""),3.0)</f>
        <v>3</v>
      </c>
      <c r="Z377" s="11">
        <f>IFERROR(__xludf.DUMMYFUNCTION("""COMPUTED_VALUE"""),1.0)</f>
        <v>1</v>
      </c>
      <c r="AA377" s="11">
        <f>IFERROR(__xludf.DUMMYFUNCTION("""COMPUTED_VALUE"""),0.0)</f>
        <v>0</v>
      </c>
      <c r="AB377" s="11">
        <f>IFERROR(__xludf.DUMMYFUNCTION("""COMPUTED_VALUE"""),1.0)</f>
        <v>1</v>
      </c>
      <c r="AC377" s="11">
        <f>IFERROR(__xludf.DUMMYFUNCTION("""COMPUTED_VALUE"""),10.0)</f>
        <v>10</v>
      </c>
      <c r="AD377" s="11">
        <f>IFERROR(__xludf.DUMMYFUNCTION("""COMPUTED_VALUE"""),19.0)</f>
        <v>19</v>
      </c>
    </row>
    <row r="378">
      <c r="A378" s="10" t="str">
        <f>IFERROR(__xludf.DUMMYFUNCTION("""COMPUTED_VALUE"""),"Master")</f>
        <v>Master</v>
      </c>
      <c r="B378" s="10" t="str">
        <f>IFERROR(__xludf.DUMMYFUNCTION("""COMPUTED_VALUE"""),"RSC007558")</f>
        <v>RSC007558</v>
      </c>
      <c r="C378" s="10" t="str">
        <f>IFERROR(__xludf.DUMMYFUNCTION("""COMPUTED_VALUE"""),"Frijole")</f>
        <v>Frijole</v>
      </c>
      <c r="D378" s="36" t="str">
        <f>IFERROR(__xludf.DUMMYFUNCTION("""COMPUTED_VALUE"""),"Fromunda Frauds")</f>
        <v>Fromunda Frauds</v>
      </c>
      <c r="E378" s="10" t="str">
        <f>IFERROR(__xludf.DUMMYFUNCTION("""COMPUTED_VALUE"""),"N/A")</f>
        <v>N/A</v>
      </c>
      <c r="F378" s="37">
        <f>IFERROR(__xludf.DUMMYFUNCTION("""COMPUTED_VALUE"""),55.11052978401292)</f>
        <v>55.11052978</v>
      </c>
      <c r="G378" s="38">
        <f>IFERROR(__xludf.DUMMYFUNCTION("""COMPUTED_VALUE"""),61.63930258425907)</f>
        <v>61.63930258</v>
      </c>
      <c r="H378" s="38">
        <f>IFERROR(__xludf.DUMMYFUNCTION("""COMPUTED_VALUE"""),58.374916184136)</f>
        <v>58.37491618</v>
      </c>
      <c r="I378" s="14">
        <f>IFERROR(__xludf.DUMMYFUNCTION("""COMPUTED_VALUE"""),51.0)</f>
        <v>51</v>
      </c>
      <c r="J378" s="11">
        <f>IFERROR(__xludf.DUMMYFUNCTION("IFERROR(FILTER(Stats!$F:$Z,(Stats!$A:$A=$A378)*(Stats!$B:$B=$B378)))"),29.0)</f>
        <v>29</v>
      </c>
      <c r="K378" s="11">
        <f>IFERROR(__xludf.DUMMYFUNCTION("""COMPUTED_VALUE"""),22.0)</f>
        <v>22</v>
      </c>
      <c r="L378" s="12">
        <f>IFERROR(__xludf.DUMMYFUNCTION("""COMPUTED_VALUE"""),0.5686274509803921)</f>
        <v>0.568627451</v>
      </c>
      <c r="M378" s="11">
        <f>IFERROR(__xludf.DUMMYFUNCTION("""COMPUTED_VALUE"""),8.0)</f>
        <v>8</v>
      </c>
      <c r="N378" s="11">
        <f>IFERROR(__xludf.DUMMYFUNCTION("""COMPUTED_VALUE"""),18403.0)</f>
        <v>18403</v>
      </c>
      <c r="O378" s="13">
        <f>IFERROR(__xludf.DUMMYFUNCTION("""COMPUTED_VALUE"""),42.0)</f>
        <v>42</v>
      </c>
      <c r="P378" s="14">
        <f>IFERROR(__xludf.DUMMYFUNCTION("""COMPUTED_VALUE"""),26.0)</f>
        <v>26</v>
      </c>
      <c r="Q378" s="13">
        <f>IFERROR(__xludf.DUMMYFUNCTION("""COMPUTED_VALUE"""),70.0)</f>
        <v>70</v>
      </c>
      <c r="R378" s="13">
        <f>IFERROR(__xludf.DUMMYFUNCTION("""COMPUTED_VALUE"""),145.0)</f>
        <v>145</v>
      </c>
      <c r="S378" s="15">
        <f>IFERROR(__xludf.DUMMYFUNCTION("""COMPUTED_VALUE"""),0.2896551724137931)</f>
        <v>0.2896551724</v>
      </c>
      <c r="T378" s="16">
        <f>IFERROR(__xludf.DUMMYFUNCTION("""COMPUTED_VALUE"""),360.84313725490193)</f>
        <v>360.8431373</v>
      </c>
      <c r="U378" s="16">
        <f>IFERROR(__xludf.DUMMYFUNCTION("""COMPUTED_VALUE"""),0.8235294117647058)</f>
        <v>0.8235294118</v>
      </c>
      <c r="V378" s="16">
        <f>IFERROR(__xludf.DUMMYFUNCTION("""COMPUTED_VALUE"""),0.5098039215686274)</f>
        <v>0.5098039216</v>
      </c>
      <c r="W378" s="16">
        <f>IFERROR(__xludf.DUMMYFUNCTION("""COMPUTED_VALUE"""),1.3725490196078431)</f>
        <v>1.37254902</v>
      </c>
      <c r="X378" s="16">
        <f>IFERROR(__xludf.DUMMYFUNCTION("""COMPUTED_VALUE"""),2.843137254901961)</f>
        <v>2.843137255</v>
      </c>
      <c r="Y378" s="11">
        <f>IFERROR(__xludf.DUMMYFUNCTION("""COMPUTED_VALUE"""),12.0)</f>
        <v>12</v>
      </c>
      <c r="Z378" s="11">
        <f>IFERROR(__xludf.DUMMYFUNCTION("""COMPUTED_VALUE"""),2.0)</f>
        <v>2</v>
      </c>
      <c r="AA378" s="11">
        <f>IFERROR(__xludf.DUMMYFUNCTION("""COMPUTED_VALUE"""),1.0)</f>
        <v>1</v>
      </c>
      <c r="AB378" s="11">
        <f>IFERROR(__xludf.DUMMYFUNCTION("""COMPUTED_VALUE"""),9.0)</f>
        <v>9</v>
      </c>
      <c r="AC378" s="11">
        <f>IFERROR(__xludf.DUMMYFUNCTION("""COMPUTED_VALUE"""),29.0)</f>
        <v>29</v>
      </c>
      <c r="AD378" s="11">
        <f>IFERROR(__xludf.DUMMYFUNCTION("""COMPUTED_VALUE"""),60.0)</f>
        <v>60</v>
      </c>
    </row>
    <row r="379">
      <c r="A379" s="10" t="str">
        <f>IFERROR(__xludf.DUMMYFUNCTION("""COMPUTED_VALUE"""),"Master")</f>
        <v>Master</v>
      </c>
      <c r="B379" s="10" t="str">
        <f>IFERROR(__xludf.DUMMYFUNCTION("""COMPUTED_VALUE"""),"RSC001935")</f>
        <v>RSC001935</v>
      </c>
      <c r="C379" s="10" t="str">
        <f>IFERROR(__xludf.DUMMYFUNCTION("""COMPUTED_VALUE"""),"Kenobs")</f>
        <v>Kenobs</v>
      </c>
      <c r="D379" s="36" t="str">
        <f>IFERROR(__xludf.DUMMYFUNCTION("""COMPUTED_VALUE"""),"Oblivion
Lemurs")</f>
        <v>Oblivion
Lemurs</v>
      </c>
      <c r="E379" s="10" t="str">
        <f>IFERROR(__xludf.DUMMYFUNCTION("""COMPUTED_VALUE"""),"N/A
N/A")</f>
        <v>N/A
N/A</v>
      </c>
      <c r="F379" s="37">
        <f>IFERROR(__xludf.DUMMYFUNCTION("""COMPUTED_VALUE"""),61.141941092145075)</f>
        <v>61.14194109</v>
      </c>
      <c r="G379" s="38">
        <f>IFERROR(__xludf.DUMMYFUNCTION("""COMPUTED_VALUE"""),54.38414977536589)</f>
        <v>54.38414978</v>
      </c>
      <c r="H379" s="38">
        <f>IFERROR(__xludf.DUMMYFUNCTION("""COMPUTED_VALUE"""),57.76304543375548)</f>
        <v>57.76304543</v>
      </c>
      <c r="I379" s="14">
        <f>IFERROR(__xludf.DUMMYFUNCTION("""COMPUTED_VALUE"""),40.0)</f>
        <v>40</v>
      </c>
      <c r="J379" s="11">
        <f>IFERROR(__xludf.DUMMYFUNCTION("IFERROR(FILTER(Stats!$F:$Z,(Stats!$A:$A=$A379)*(Stats!$B:$B=$B379)))"),18.0)</f>
        <v>18</v>
      </c>
      <c r="K379" s="11">
        <f>IFERROR(__xludf.DUMMYFUNCTION("""COMPUTED_VALUE"""),22.0)</f>
        <v>22</v>
      </c>
      <c r="L379" s="12">
        <f>IFERROR(__xludf.DUMMYFUNCTION("""COMPUTED_VALUE"""),0.45)</f>
        <v>0.45</v>
      </c>
      <c r="M379" s="11">
        <f>IFERROR(__xludf.DUMMYFUNCTION("""COMPUTED_VALUE"""),8.0)</f>
        <v>8</v>
      </c>
      <c r="N379" s="11">
        <f>IFERROR(__xludf.DUMMYFUNCTION("""COMPUTED_VALUE"""),12223.0)</f>
        <v>12223</v>
      </c>
      <c r="O379" s="13">
        <f>IFERROR(__xludf.DUMMYFUNCTION("""COMPUTED_VALUE"""),24.0)</f>
        <v>24</v>
      </c>
      <c r="P379" s="14">
        <f>IFERROR(__xludf.DUMMYFUNCTION("""COMPUTED_VALUE"""),28.0)</f>
        <v>28</v>
      </c>
      <c r="Q379" s="13">
        <f>IFERROR(__xludf.DUMMYFUNCTION("""COMPUTED_VALUE"""),38.0)</f>
        <v>38</v>
      </c>
      <c r="R379" s="13">
        <f>IFERROR(__xludf.DUMMYFUNCTION("""COMPUTED_VALUE"""),96.0)</f>
        <v>96</v>
      </c>
      <c r="S379" s="15">
        <f>IFERROR(__xludf.DUMMYFUNCTION("""COMPUTED_VALUE"""),0.25)</f>
        <v>0.25</v>
      </c>
      <c r="T379" s="16">
        <f>IFERROR(__xludf.DUMMYFUNCTION("""COMPUTED_VALUE"""),305.575)</f>
        <v>305.575</v>
      </c>
      <c r="U379" s="16">
        <f>IFERROR(__xludf.DUMMYFUNCTION("""COMPUTED_VALUE"""),0.6)</f>
        <v>0.6</v>
      </c>
      <c r="V379" s="16">
        <f>IFERROR(__xludf.DUMMYFUNCTION("""COMPUTED_VALUE"""),0.7)</f>
        <v>0.7</v>
      </c>
      <c r="W379" s="16">
        <f>IFERROR(__xludf.DUMMYFUNCTION("""COMPUTED_VALUE"""),0.95)</f>
        <v>0.95</v>
      </c>
      <c r="X379" s="16">
        <f>IFERROR(__xludf.DUMMYFUNCTION("""COMPUTED_VALUE"""),2.4)</f>
        <v>2.4</v>
      </c>
      <c r="Y379" s="11">
        <f>IFERROR(__xludf.DUMMYFUNCTION("""COMPUTED_VALUE"""),6.0)</f>
        <v>6</v>
      </c>
      <c r="Z379" s="11">
        <f>IFERROR(__xludf.DUMMYFUNCTION("""COMPUTED_VALUE"""),2.0)</f>
        <v>2</v>
      </c>
      <c r="AA379" s="11">
        <f>IFERROR(__xludf.DUMMYFUNCTION("""COMPUTED_VALUE"""),1.0)</f>
        <v>1</v>
      </c>
      <c r="AB379" s="11">
        <f>IFERROR(__xludf.DUMMYFUNCTION("""COMPUTED_VALUE"""),4.0)</f>
        <v>4</v>
      </c>
      <c r="AC379" s="11">
        <f>IFERROR(__xludf.DUMMYFUNCTION("""COMPUTED_VALUE"""),29.0)</f>
        <v>29</v>
      </c>
      <c r="AD379" s="11">
        <f>IFERROR(__xludf.DUMMYFUNCTION("""COMPUTED_VALUE"""),43.0)</f>
        <v>43</v>
      </c>
    </row>
    <row r="380">
      <c r="A380" s="10" t="str">
        <f>IFERROR(__xludf.DUMMYFUNCTION("""COMPUTED_VALUE"""),"Master")</f>
        <v>Master</v>
      </c>
      <c r="B380" s="10" t="str">
        <f>IFERROR(__xludf.DUMMYFUNCTION("""COMPUTED_VALUE"""),"RSC005024")</f>
        <v>RSC005024</v>
      </c>
      <c r="C380" s="10" t="str">
        <f>IFERROR(__xludf.DUMMYFUNCTION("""COMPUTED_VALUE"""),"SSpekky")</f>
        <v>SSpekky</v>
      </c>
      <c r="D380" s="36" t="str">
        <f>IFERROR(__xludf.DUMMYFUNCTION("""COMPUTED_VALUE"""),"Reapers")</f>
        <v>Reapers</v>
      </c>
      <c r="E380" s="10" t="str">
        <f>IFERROR(__xludf.DUMMYFUNCTION("""COMPUTED_VALUE"""),"N/A")</f>
        <v>N/A</v>
      </c>
      <c r="F380" s="37">
        <f>IFERROR(__xludf.DUMMYFUNCTION("""COMPUTED_VALUE"""),55.26310835378887)</f>
        <v>55.26310835</v>
      </c>
      <c r="G380" s="38">
        <f>IFERROR(__xludf.DUMMYFUNCTION("""COMPUTED_VALUE"""),58.49059896040086)</f>
        <v>58.49059896</v>
      </c>
      <c r="H380" s="38">
        <f>IFERROR(__xludf.DUMMYFUNCTION("""COMPUTED_VALUE"""),56.87685365709487)</f>
        <v>56.87685366</v>
      </c>
      <c r="I380" s="14">
        <f>IFERROR(__xludf.DUMMYFUNCTION("""COMPUTED_VALUE"""),48.0)</f>
        <v>48</v>
      </c>
      <c r="J380" s="11">
        <f>IFERROR(__xludf.DUMMYFUNCTION("IFERROR(FILTER(Stats!$F:$Z,(Stats!$A:$A=$A380)*(Stats!$B:$B=$B380)))"),25.0)</f>
        <v>25</v>
      </c>
      <c r="K380" s="11">
        <f>IFERROR(__xludf.DUMMYFUNCTION("""COMPUTED_VALUE"""),23.0)</f>
        <v>23</v>
      </c>
      <c r="L380" s="12">
        <f>IFERROR(__xludf.DUMMYFUNCTION("""COMPUTED_VALUE"""),0.5208333333333334)</f>
        <v>0.5208333333</v>
      </c>
      <c r="M380" s="11">
        <f>IFERROR(__xludf.DUMMYFUNCTION("""COMPUTED_VALUE"""),10.0)</f>
        <v>10</v>
      </c>
      <c r="N380" s="11">
        <f>IFERROR(__xludf.DUMMYFUNCTION("""COMPUTED_VALUE"""),15021.0)</f>
        <v>15021</v>
      </c>
      <c r="O380" s="13">
        <f>IFERROR(__xludf.DUMMYFUNCTION("""COMPUTED_VALUE"""),35.0)</f>
        <v>35</v>
      </c>
      <c r="P380" s="14">
        <f>IFERROR(__xludf.DUMMYFUNCTION("""COMPUTED_VALUE"""),20.0)</f>
        <v>20</v>
      </c>
      <c r="Q380" s="13">
        <f>IFERROR(__xludf.DUMMYFUNCTION("""COMPUTED_VALUE"""),56.0)</f>
        <v>56</v>
      </c>
      <c r="R380" s="13">
        <f>IFERROR(__xludf.DUMMYFUNCTION("""COMPUTED_VALUE"""),117.0)</f>
        <v>117</v>
      </c>
      <c r="S380" s="15">
        <f>IFERROR(__xludf.DUMMYFUNCTION("""COMPUTED_VALUE"""),0.29914529914529914)</f>
        <v>0.2991452991</v>
      </c>
      <c r="T380" s="16">
        <f>IFERROR(__xludf.DUMMYFUNCTION("""COMPUTED_VALUE"""),312.9375)</f>
        <v>312.9375</v>
      </c>
      <c r="U380" s="16">
        <f>IFERROR(__xludf.DUMMYFUNCTION("""COMPUTED_VALUE"""),0.7291666666666666)</f>
        <v>0.7291666667</v>
      </c>
      <c r="V380" s="16">
        <f>IFERROR(__xludf.DUMMYFUNCTION("""COMPUTED_VALUE"""),0.4166666666666667)</f>
        <v>0.4166666667</v>
      </c>
      <c r="W380" s="16">
        <f>IFERROR(__xludf.DUMMYFUNCTION("""COMPUTED_VALUE"""),1.1666666666666667)</f>
        <v>1.166666667</v>
      </c>
      <c r="X380" s="16">
        <f>IFERROR(__xludf.DUMMYFUNCTION("""COMPUTED_VALUE"""),2.4375)</f>
        <v>2.4375</v>
      </c>
      <c r="Y380" s="11">
        <f>IFERROR(__xludf.DUMMYFUNCTION("""COMPUTED_VALUE"""),6.0)</f>
        <v>6</v>
      </c>
      <c r="Z380" s="11">
        <f>IFERROR(__xludf.DUMMYFUNCTION("""COMPUTED_VALUE"""),4.0)</f>
        <v>4</v>
      </c>
      <c r="AA380" s="11">
        <f>IFERROR(__xludf.DUMMYFUNCTION("""COMPUTED_VALUE"""),0.0)</f>
        <v>0</v>
      </c>
      <c r="AB380" s="11">
        <f>IFERROR(__xludf.DUMMYFUNCTION("""COMPUTED_VALUE"""),5.0)</f>
        <v>5</v>
      </c>
      <c r="AC380" s="11">
        <f>IFERROR(__xludf.DUMMYFUNCTION("""COMPUTED_VALUE"""),33.0)</f>
        <v>33</v>
      </c>
      <c r="AD380" s="11">
        <f>IFERROR(__xludf.DUMMYFUNCTION("""COMPUTED_VALUE"""),55.0)</f>
        <v>55</v>
      </c>
    </row>
    <row r="381">
      <c r="A381" s="10" t="str">
        <f>IFERROR(__xludf.DUMMYFUNCTION("""COMPUTED_VALUE"""),"Master")</f>
        <v>Master</v>
      </c>
      <c r="B381" s="10" t="str">
        <f>IFERROR(__xludf.DUMMYFUNCTION("""COMPUTED_VALUE"""),"RSC003728")</f>
        <v>RSC003728</v>
      </c>
      <c r="C381" s="10" t="str">
        <f>IFERROR(__xludf.DUMMYFUNCTION("""COMPUTED_VALUE"""),"yillow")</f>
        <v>yillow</v>
      </c>
      <c r="D381" s="36" t="str">
        <f>IFERROR(__xludf.DUMMYFUNCTION("""COMPUTED_VALUE"""),"Lemurs
Permafrost")</f>
        <v>Lemurs
Permafrost</v>
      </c>
      <c r="E381" s="10" t="str">
        <f>IFERROR(__xludf.DUMMYFUNCTION("""COMPUTED_VALUE"""),"N/A
N/A")</f>
        <v>N/A
N/A</v>
      </c>
      <c r="F381" s="37">
        <f>IFERROR(__xludf.DUMMYFUNCTION("""COMPUTED_VALUE"""),57.986778854678256)</f>
        <v>57.98677885</v>
      </c>
      <c r="G381" s="38">
        <f>IFERROR(__xludf.DUMMYFUNCTION("""COMPUTED_VALUE"""),48.93940998404988)</f>
        <v>48.93940998</v>
      </c>
      <c r="H381" s="38">
        <f>IFERROR(__xludf.DUMMYFUNCTION("""COMPUTED_VALUE"""),53.46309441936407)</f>
        <v>53.46309442</v>
      </c>
      <c r="I381" s="14">
        <f>IFERROR(__xludf.DUMMYFUNCTION("""COMPUTED_VALUE"""),40.0)</f>
        <v>40</v>
      </c>
      <c r="J381" s="11">
        <f>IFERROR(__xludf.DUMMYFUNCTION("IFERROR(FILTER(Stats!$F:$Z,(Stats!$A:$A=$A381)*(Stats!$B:$B=$B381)))"),17.0)</f>
        <v>17</v>
      </c>
      <c r="K381" s="11">
        <f>IFERROR(__xludf.DUMMYFUNCTION("""COMPUTED_VALUE"""),23.0)</f>
        <v>23</v>
      </c>
      <c r="L381" s="12">
        <f>IFERROR(__xludf.DUMMYFUNCTION("""COMPUTED_VALUE"""),0.425)</f>
        <v>0.425</v>
      </c>
      <c r="M381" s="11">
        <f>IFERROR(__xludf.DUMMYFUNCTION("""COMPUTED_VALUE"""),7.0)</f>
        <v>7</v>
      </c>
      <c r="N381" s="11">
        <f>IFERROR(__xludf.DUMMYFUNCTION("""COMPUTED_VALUE"""),13747.0)</f>
        <v>13747</v>
      </c>
      <c r="O381" s="13">
        <f>IFERROR(__xludf.DUMMYFUNCTION("""COMPUTED_VALUE"""),27.0)</f>
        <v>27</v>
      </c>
      <c r="P381" s="14">
        <f>IFERROR(__xludf.DUMMYFUNCTION("""COMPUTED_VALUE"""),18.0)</f>
        <v>18</v>
      </c>
      <c r="Q381" s="13">
        <f>IFERROR(__xludf.DUMMYFUNCTION("""COMPUTED_VALUE"""),61.0)</f>
        <v>61</v>
      </c>
      <c r="R381" s="13">
        <f>IFERROR(__xludf.DUMMYFUNCTION("""COMPUTED_VALUE"""),86.0)</f>
        <v>86</v>
      </c>
      <c r="S381" s="15">
        <f>IFERROR(__xludf.DUMMYFUNCTION("""COMPUTED_VALUE"""),0.313953488372093)</f>
        <v>0.3139534884</v>
      </c>
      <c r="T381" s="16">
        <f>IFERROR(__xludf.DUMMYFUNCTION("""COMPUTED_VALUE"""),343.675)</f>
        <v>343.675</v>
      </c>
      <c r="U381" s="16">
        <f>IFERROR(__xludf.DUMMYFUNCTION("""COMPUTED_VALUE"""),0.675)</f>
        <v>0.675</v>
      </c>
      <c r="V381" s="16">
        <f>IFERROR(__xludf.DUMMYFUNCTION("""COMPUTED_VALUE"""),0.45)</f>
        <v>0.45</v>
      </c>
      <c r="W381" s="16">
        <f>IFERROR(__xludf.DUMMYFUNCTION("""COMPUTED_VALUE"""),1.525)</f>
        <v>1.525</v>
      </c>
      <c r="X381" s="16">
        <f>IFERROR(__xludf.DUMMYFUNCTION("""COMPUTED_VALUE"""),2.15)</f>
        <v>2.15</v>
      </c>
      <c r="Y381" s="11">
        <f>IFERROR(__xludf.DUMMYFUNCTION("""COMPUTED_VALUE"""),8.0)</f>
        <v>8</v>
      </c>
      <c r="Z381" s="11">
        <f>IFERROR(__xludf.DUMMYFUNCTION("""COMPUTED_VALUE"""),1.0)</f>
        <v>1</v>
      </c>
      <c r="AA381" s="11">
        <f>IFERROR(__xludf.DUMMYFUNCTION("""COMPUTED_VALUE"""),0.0)</f>
        <v>0</v>
      </c>
      <c r="AB381" s="11">
        <f>IFERROR(__xludf.DUMMYFUNCTION("""COMPUTED_VALUE"""),13.0)</f>
        <v>13</v>
      </c>
      <c r="AC381" s="11">
        <f>IFERROR(__xludf.DUMMYFUNCTION("""COMPUTED_VALUE"""),69.0)</f>
        <v>69</v>
      </c>
      <c r="AD381" s="11">
        <f>IFERROR(__xludf.DUMMYFUNCTION("""COMPUTED_VALUE"""),54.0)</f>
        <v>54</v>
      </c>
    </row>
    <row r="382">
      <c r="A382" s="10" t="str">
        <f>IFERROR(__xludf.DUMMYFUNCTION("""COMPUTED_VALUE"""),"Master")</f>
        <v>Master</v>
      </c>
      <c r="B382" s="10" t="str">
        <f>IFERROR(__xludf.DUMMYFUNCTION("""COMPUTED_VALUE"""),"RSC002490")</f>
        <v>RSC002490</v>
      </c>
      <c r="C382" s="10" t="str">
        <f>IFERROR(__xludf.DUMMYFUNCTION("""COMPUTED_VALUE"""),"6-7!")</f>
        <v>6-7!</v>
      </c>
      <c r="D382" s="36" t="str">
        <f>IFERROR(__xludf.DUMMYFUNCTION("""COMPUTED_VALUE"""),"Permafrost")</f>
        <v>Permafrost</v>
      </c>
      <c r="E382" s="10" t="str">
        <f>IFERROR(__xludf.DUMMYFUNCTION("""COMPUTED_VALUE"""),"N/A")</f>
        <v>N/A</v>
      </c>
      <c r="F382" s="37">
        <f>IFERROR(__xludf.DUMMYFUNCTION("""COMPUTED_VALUE"""),52.6848471924953)</f>
        <v>52.68484719</v>
      </c>
      <c r="G382" s="38">
        <f>IFERROR(__xludf.DUMMYFUNCTION("""COMPUTED_VALUE"""),54.059280208025484)</f>
        <v>54.05928021</v>
      </c>
      <c r="H382" s="38">
        <f>IFERROR(__xludf.DUMMYFUNCTION("""COMPUTED_VALUE"""),53.37206370026039)</f>
        <v>53.3720637</v>
      </c>
      <c r="I382" s="14">
        <f>IFERROR(__xludf.DUMMYFUNCTION("""COMPUTED_VALUE"""),48.0)</f>
        <v>48</v>
      </c>
      <c r="J382" s="11">
        <f>IFERROR(__xludf.DUMMYFUNCTION("IFERROR(FILTER(Stats!$F:$Z,(Stats!$A:$A=$A382)*(Stats!$B:$B=$B382)))"),21.0)</f>
        <v>21</v>
      </c>
      <c r="K382" s="11">
        <f>IFERROR(__xludf.DUMMYFUNCTION("""COMPUTED_VALUE"""),27.0)</f>
        <v>27</v>
      </c>
      <c r="L382" s="12">
        <f>IFERROR(__xludf.DUMMYFUNCTION("""COMPUTED_VALUE"""),0.4375)</f>
        <v>0.4375</v>
      </c>
      <c r="M382" s="11">
        <f>IFERROR(__xludf.DUMMYFUNCTION("""COMPUTED_VALUE"""),8.0)</f>
        <v>8</v>
      </c>
      <c r="N382" s="11">
        <f>IFERROR(__xludf.DUMMYFUNCTION("""COMPUTED_VALUE"""),15818.0)</f>
        <v>15818</v>
      </c>
      <c r="O382" s="13">
        <f>IFERROR(__xludf.DUMMYFUNCTION("""COMPUTED_VALUE"""),37.0)</f>
        <v>37</v>
      </c>
      <c r="P382" s="14">
        <f>IFERROR(__xludf.DUMMYFUNCTION("""COMPUTED_VALUE"""),21.0)</f>
        <v>21</v>
      </c>
      <c r="Q382" s="13">
        <f>IFERROR(__xludf.DUMMYFUNCTION("""COMPUTED_VALUE"""),50.0)</f>
        <v>50</v>
      </c>
      <c r="R382" s="13">
        <f>IFERROR(__xludf.DUMMYFUNCTION("""COMPUTED_VALUE"""),119.0)</f>
        <v>119</v>
      </c>
      <c r="S382" s="15">
        <f>IFERROR(__xludf.DUMMYFUNCTION("""COMPUTED_VALUE"""),0.31092436974789917)</f>
        <v>0.3109243697</v>
      </c>
      <c r="T382" s="16">
        <f>IFERROR(__xludf.DUMMYFUNCTION("""COMPUTED_VALUE"""),329.5416666666667)</f>
        <v>329.5416667</v>
      </c>
      <c r="U382" s="16">
        <f>IFERROR(__xludf.DUMMYFUNCTION("""COMPUTED_VALUE"""),0.7708333333333334)</f>
        <v>0.7708333333</v>
      </c>
      <c r="V382" s="16">
        <f>IFERROR(__xludf.DUMMYFUNCTION("""COMPUTED_VALUE"""),0.4375)</f>
        <v>0.4375</v>
      </c>
      <c r="W382" s="16">
        <f>IFERROR(__xludf.DUMMYFUNCTION("""COMPUTED_VALUE"""),1.0416666666666667)</f>
        <v>1.041666667</v>
      </c>
      <c r="X382" s="16">
        <f>IFERROR(__xludf.DUMMYFUNCTION("""COMPUTED_VALUE"""),2.4791666666666665)</f>
        <v>2.479166667</v>
      </c>
      <c r="Y382" s="11">
        <f>IFERROR(__xludf.DUMMYFUNCTION("""COMPUTED_VALUE"""),6.0)</f>
        <v>6</v>
      </c>
      <c r="Z382" s="11">
        <f>IFERROR(__xludf.DUMMYFUNCTION("""COMPUTED_VALUE"""),4.0)</f>
        <v>4</v>
      </c>
      <c r="AA382" s="11">
        <f>IFERROR(__xludf.DUMMYFUNCTION("""COMPUTED_VALUE"""),1.0)</f>
        <v>1</v>
      </c>
      <c r="AB382" s="11">
        <f>IFERROR(__xludf.DUMMYFUNCTION("""COMPUTED_VALUE"""),4.0)</f>
        <v>4</v>
      </c>
      <c r="AC382" s="11">
        <f>IFERROR(__xludf.DUMMYFUNCTION("""COMPUTED_VALUE"""),40.0)</f>
        <v>40</v>
      </c>
      <c r="AD382" s="11">
        <f>IFERROR(__xludf.DUMMYFUNCTION("""COMPUTED_VALUE"""),58.0)</f>
        <v>58</v>
      </c>
    </row>
    <row r="383">
      <c r="A383" s="10" t="str">
        <f>IFERROR(__xludf.DUMMYFUNCTION("""COMPUTED_VALUE"""),"Master")</f>
        <v>Master</v>
      </c>
      <c r="B383" s="10" t="str">
        <f>IFERROR(__xludf.DUMMYFUNCTION("""COMPUTED_VALUE"""),"RSC008242")</f>
        <v>RSC008242</v>
      </c>
      <c r="C383" s="10" t="str">
        <f>IFERROR(__xludf.DUMMYFUNCTION("""COMPUTED_VALUE"""),"Snipes")</f>
        <v>Snipes</v>
      </c>
      <c r="D383" s="36" t="str">
        <f>IFERROR(__xludf.DUMMYFUNCTION("""COMPUTED_VALUE"""),"Reapers")</f>
        <v>Reapers</v>
      </c>
      <c r="E383" s="10" t="str">
        <f>IFERROR(__xludf.DUMMYFUNCTION("""COMPUTED_VALUE"""),"N/A")</f>
        <v>N/A</v>
      </c>
      <c r="F383" s="37">
        <f>IFERROR(__xludf.DUMMYFUNCTION("""COMPUTED_VALUE"""),55.905772108253714)</f>
        <v>55.90577211</v>
      </c>
      <c r="G383" s="38">
        <f>IFERROR(__xludf.DUMMYFUNCTION("""COMPUTED_VALUE"""),48.59985802722172)</f>
        <v>48.59985803</v>
      </c>
      <c r="H383" s="38">
        <f>IFERROR(__xludf.DUMMYFUNCTION("""COMPUTED_VALUE"""),52.252815067737714)</f>
        <v>52.25281507</v>
      </c>
      <c r="I383" s="14">
        <f>IFERROR(__xludf.DUMMYFUNCTION("""COMPUTED_VALUE"""),53.0)</f>
        <v>53</v>
      </c>
      <c r="J383" s="11">
        <f>IFERROR(__xludf.DUMMYFUNCTION("IFERROR(FILTER(Stats!$F:$Z,(Stats!$A:$A=$A383)*(Stats!$B:$B=$B383)))"),26.0)</f>
        <v>26</v>
      </c>
      <c r="K383" s="11">
        <f>IFERROR(__xludf.DUMMYFUNCTION("""COMPUTED_VALUE"""),27.0)</f>
        <v>27</v>
      </c>
      <c r="L383" s="12">
        <f>IFERROR(__xludf.DUMMYFUNCTION("""COMPUTED_VALUE"""),0.49056603773584906)</f>
        <v>0.4905660377</v>
      </c>
      <c r="M383" s="11">
        <f>IFERROR(__xludf.DUMMYFUNCTION("""COMPUTED_VALUE"""),4.0)</f>
        <v>4</v>
      </c>
      <c r="N383" s="11">
        <f>IFERROR(__xludf.DUMMYFUNCTION("""COMPUTED_VALUE"""),16539.0)</f>
        <v>16539</v>
      </c>
      <c r="O383" s="13">
        <f>IFERROR(__xludf.DUMMYFUNCTION("""COMPUTED_VALUE"""),32.0)</f>
        <v>32</v>
      </c>
      <c r="P383" s="14">
        <f>IFERROR(__xludf.DUMMYFUNCTION("""COMPUTED_VALUE"""),26.0)</f>
        <v>26</v>
      </c>
      <c r="Q383" s="13">
        <f>IFERROR(__xludf.DUMMYFUNCTION("""COMPUTED_VALUE"""),65.0)</f>
        <v>65</v>
      </c>
      <c r="R383" s="13">
        <f>IFERROR(__xludf.DUMMYFUNCTION("""COMPUTED_VALUE"""),109.0)</f>
        <v>109</v>
      </c>
      <c r="S383" s="15">
        <f>IFERROR(__xludf.DUMMYFUNCTION("""COMPUTED_VALUE"""),0.29357798165137616)</f>
        <v>0.2935779817</v>
      </c>
      <c r="T383" s="16">
        <f>IFERROR(__xludf.DUMMYFUNCTION("""COMPUTED_VALUE"""),312.0566037735849)</f>
        <v>312.0566038</v>
      </c>
      <c r="U383" s="16">
        <f>IFERROR(__xludf.DUMMYFUNCTION("""COMPUTED_VALUE"""),0.6037735849056604)</f>
        <v>0.6037735849</v>
      </c>
      <c r="V383" s="16">
        <f>IFERROR(__xludf.DUMMYFUNCTION("""COMPUTED_VALUE"""),0.49056603773584906)</f>
        <v>0.4905660377</v>
      </c>
      <c r="W383" s="16">
        <f>IFERROR(__xludf.DUMMYFUNCTION("""COMPUTED_VALUE"""),1.2264150943396226)</f>
        <v>1.226415094</v>
      </c>
      <c r="X383" s="16">
        <f>IFERROR(__xludf.DUMMYFUNCTION("""COMPUTED_VALUE"""),2.056603773584906)</f>
        <v>2.056603774</v>
      </c>
      <c r="Y383" s="11">
        <f>IFERROR(__xludf.DUMMYFUNCTION("""COMPUTED_VALUE"""),8.0)</f>
        <v>8</v>
      </c>
      <c r="Z383" s="11">
        <f>IFERROR(__xludf.DUMMYFUNCTION("""COMPUTED_VALUE"""),2.0)</f>
        <v>2</v>
      </c>
      <c r="AA383" s="11">
        <f>IFERROR(__xludf.DUMMYFUNCTION("""COMPUTED_VALUE"""),1.0)</f>
        <v>1</v>
      </c>
      <c r="AB383" s="11">
        <f>IFERROR(__xludf.DUMMYFUNCTION("""COMPUTED_VALUE"""),7.0)</f>
        <v>7</v>
      </c>
      <c r="AC383" s="11">
        <f>IFERROR(__xludf.DUMMYFUNCTION("""COMPUTED_VALUE"""),56.0)</f>
        <v>56</v>
      </c>
      <c r="AD383" s="11">
        <f>IFERROR(__xludf.DUMMYFUNCTION("""COMPUTED_VALUE"""),73.0)</f>
        <v>73</v>
      </c>
    </row>
    <row r="384">
      <c r="A384" s="10" t="str">
        <f>IFERROR(__xludf.DUMMYFUNCTION("""COMPUTED_VALUE"""),"Master")</f>
        <v>Master</v>
      </c>
      <c r="B384" s="10" t="str">
        <f>IFERROR(__xludf.DUMMYFUNCTION("""COMPUTED_VALUE"""),"RSC005705")</f>
        <v>RSC005705</v>
      </c>
      <c r="C384" s="10" t="str">
        <f>IFERROR(__xludf.DUMMYFUNCTION("""COMPUTED_VALUE"""),"Rapidz (Goofy and Silly)")</f>
        <v>Rapidz (Goofy and Silly)</v>
      </c>
      <c r="D384" s="36" t="str">
        <f>IFERROR(__xludf.DUMMYFUNCTION("""COMPUTED_VALUE"""),"Oblivion
Lemurs
Andromeda")</f>
        <v>Oblivion
Lemurs
Andromeda</v>
      </c>
      <c r="E384" s="10" t="str">
        <f>IFERROR(__xludf.DUMMYFUNCTION("""COMPUTED_VALUE"""),"N/A
N/A
N/A")</f>
        <v>N/A
N/A
N/A</v>
      </c>
      <c r="F384" s="37">
        <f>IFERROR(__xludf.DUMMYFUNCTION("""COMPUTED_VALUE"""),48.99478895657977)</f>
        <v>48.99478896</v>
      </c>
      <c r="G384" s="38">
        <f>IFERROR(__xludf.DUMMYFUNCTION("""COMPUTED_VALUE"""),54.85019815443443)</f>
        <v>54.85019815</v>
      </c>
      <c r="H384" s="38">
        <f>IFERROR(__xludf.DUMMYFUNCTION("""COMPUTED_VALUE"""),51.9224935555071)</f>
        <v>51.92249356</v>
      </c>
      <c r="I384" s="14">
        <f>IFERROR(__xludf.DUMMYFUNCTION("""COMPUTED_VALUE"""),32.0)</f>
        <v>32</v>
      </c>
      <c r="J384" s="11">
        <f>IFERROR(__xludf.DUMMYFUNCTION("IFERROR(FILTER(Stats!$F:$Z,(Stats!$A:$A=$A384)*(Stats!$B:$B=$B384)))"),21.0)</f>
        <v>21</v>
      </c>
      <c r="K384" s="11">
        <f>IFERROR(__xludf.DUMMYFUNCTION("""COMPUTED_VALUE"""),11.0)</f>
        <v>11</v>
      </c>
      <c r="L384" s="12">
        <f>IFERROR(__xludf.DUMMYFUNCTION("""COMPUTED_VALUE"""),0.65625)</f>
        <v>0.65625</v>
      </c>
      <c r="M384" s="11">
        <f>IFERROR(__xludf.DUMMYFUNCTION("""COMPUTED_VALUE"""),5.0)</f>
        <v>5</v>
      </c>
      <c r="N384" s="11">
        <f>IFERROR(__xludf.DUMMYFUNCTION("""COMPUTED_VALUE"""),10632.0)</f>
        <v>10632</v>
      </c>
      <c r="O384" s="13">
        <f>IFERROR(__xludf.DUMMYFUNCTION("""COMPUTED_VALUE"""),23.0)</f>
        <v>23</v>
      </c>
      <c r="P384" s="14">
        <f>IFERROR(__xludf.DUMMYFUNCTION("""COMPUTED_VALUE"""),22.0)</f>
        <v>22</v>
      </c>
      <c r="Q384" s="13">
        <f>IFERROR(__xludf.DUMMYFUNCTION("""COMPUTED_VALUE"""),33.0)</f>
        <v>33</v>
      </c>
      <c r="R384" s="13">
        <f>IFERROR(__xludf.DUMMYFUNCTION("""COMPUTED_VALUE"""),65.0)</f>
        <v>65</v>
      </c>
      <c r="S384" s="15">
        <f>IFERROR(__xludf.DUMMYFUNCTION("""COMPUTED_VALUE"""),0.35384615384615387)</f>
        <v>0.3538461538</v>
      </c>
      <c r="T384" s="16">
        <f>IFERROR(__xludf.DUMMYFUNCTION("""COMPUTED_VALUE"""),332.25)</f>
        <v>332.25</v>
      </c>
      <c r="U384" s="16">
        <f>IFERROR(__xludf.DUMMYFUNCTION("""COMPUTED_VALUE"""),0.71875)</f>
        <v>0.71875</v>
      </c>
      <c r="V384" s="16">
        <f>IFERROR(__xludf.DUMMYFUNCTION("""COMPUTED_VALUE"""),0.6875)</f>
        <v>0.6875</v>
      </c>
      <c r="W384" s="16">
        <f>IFERROR(__xludf.DUMMYFUNCTION("""COMPUTED_VALUE"""),1.03125)</f>
        <v>1.03125</v>
      </c>
      <c r="X384" s="16">
        <f>IFERROR(__xludf.DUMMYFUNCTION("""COMPUTED_VALUE"""),2.03125)</f>
        <v>2.03125</v>
      </c>
      <c r="Y384" s="11">
        <f>IFERROR(__xludf.DUMMYFUNCTION("""COMPUTED_VALUE"""),4.0)</f>
        <v>4</v>
      </c>
      <c r="Z384" s="11">
        <f>IFERROR(__xludf.DUMMYFUNCTION("""COMPUTED_VALUE"""),1.0)</f>
        <v>1</v>
      </c>
      <c r="AA384" s="11">
        <f>IFERROR(__xludf.DUMMYFUNCTION("""COMPUTED_VALUE"""),2.0)</f>
        <v>2</v>
      </c>
      <c r="AB384" s="11">
        <f>IFERROR(__xludf.DUMMYFUNCTION("""COMPUTED_VALUE"""),2.0)</f>
        <v>2</v>
      </c>
      <c r="AC384" s="11">
        <f>IFERROR(__xludf.DUMMYFUNCTION("""COMPUTED_VALUE"""),32.0)</f>
        <v>32</v>
      </c>
      <c r="AD384" s="11">
        <f>IFERROR(__xludf.DUMMYFUNCTION("""COMPUTED_VALUE"""),30.0)</f>
        <v>30</v>
      </c>
    </row>
    <row r="385">
      <c r="A385" s="10" t="str">
        <f>IFERROR(__xludf.DUMMYFUNCTION("""COMPUTED_VALUE"""),"Master")</f>
        <v>Master</v>
      </c>
      <c r="B385" s="10" t="str">
        <f>IFERROR(__xludf.DUMMYFUNCTION("""COMPUTED_VALUE"""),"RSC006087")</f>
        <v>RSC006087</v>
      </c>
      <c r="C385" s="10" t="str">
        <f>IFERROR(__xludf.DUMMYFUNCTION("""COMPUTED_VALUE"""),"DoorTK")</f>
        <v>DoorTK</v>
      </c>
      <c r="D385" s="36" t="str">
        <f>IFERROR(__xludf.DUMMYFUNCTION("""COMPUTED_VALUE"""),"Lemurs")</f>
        <v>Lemurs</v>
      </c>
      <c r="E385" s="10" t="str">
        <f>IFERROR(__xludf.DUMMYFUNCTION("""COMPUTED_VALUE"""),"N/A")</f>
        <v>N/A</v>
      </c>
      <c r="F385" s="37">
        <f>IFERROR(__xludf.DUMMYFUNCTION("""COMPUTED_VALUE"""),48.11536678380678)</f>
        <v>48.11536678</v>
      </c>
      <c r="G385" s="38">
        <f>IFERROR(__xludf.DUMMYFUNCTION("""COMPUTED_VALUE"""),55.297609959638095)</f>
        <v>55.29760996</v>
      </c>
      <c r="H385" s="38">
        <f>IFERROR(__xludf.DUMMYFUNCTION("""COMPUTED_VALUE"""),51.706488371722436)</f>
        <v>51.70648837</v>
      </c>
      <c r="I385" s="14">
        <f>IFERROR(__xludf.DUMMYFUNCTION("""COMPUTED_VALUE"""),49.0)</f>
        <v>49</v>
      </c>
      <c r="J385" s="11">
        <f>IFERROR(__xludf.DUMMYFUNCTION("IFERROR(FILTER(Stats!$F:$Z,(Stats!$A:$A=$A385)*(Stats!$B:$B=$B385)))"),20.0)</f>
        <v>20</v>
      </c>
      <c r="K385" s="11">
        <f>IFERROR(__xludf.DUMMYFUNCTION("""COMPUTED_VALUE"""),29.0)</f>
        <v>29</v>
      </c>
      <c r="L385" s="12">
        <f>IFERROR(__xludf.DUMMYFUNCTION("""COMPUTED_VALUE"""),0.40816326530612246)</f>
        <v>0.4081632653</v>
      </c>
      <c r="M385" s="11">
        <f>IFERROR(__xludf.DUMMYFUNCTION("""COMPUTED_VALUE"""),6.0)</f>
        <v>6</v>
      </c>
      <c r="N385" s="11">
        <f>IFERROR(__xludf.DUMMYFUNCTION("""COMPUTED_VALUE"""),15838.0)</f>
        <v>15838</v>
      </c>
      <c r="O385" s="13">
        <f>IFERROR(__xludf.DUMMYFUNCTION("""COMPUTED_VALUE"""),39.0)</f>
        <v>39</v>
      </c>
      <c r="P385" s="14">
        <f>IFERROR(__xludf.DUMMYFUNCTION("""COMPUTED_VALUE"""),25.0)</f>
        <v>25</v>
      </c>
      <c r="Q385" s="13">
        <f>IFERROR(__xludf.DUMMYFUNCTION("""COMPUTED_VALUE"""),60.0)</f>
        <v>60</v>
      </c>
      <c r="R385" s="13">
        <f>IFERROR(__xludf.DUMMYFUNCTION("""COMPUTED_VALUE"""),114.0)</f>
        <v>114</v>
      </c>
      <c r="S385" s="15">
        <f>IFERROR(__xludf.DUMMYFUNCTION("""COMPUTED_VALUE"""),0.34210526315789475)</f>
        <v>0.3421052632</v>
      </c>
      <c r="T385" s="16">
        <f>IFERROR(__xludf.DUMMYFUNCTION("""COMPUTED_VALUE"""),323.2244897959184)</f>
        <v>323.2244898</v>
      </c>
      <c r="U385" s="16">
        <f>IFERROR(__xludf.DUMMYFUNCTION("""COMPUTED_VALUE"""),0.7959183673469388)</f>
        <v>0.7959183673</v>
      </c>
      <c r="V385" s="16">
        <f>IFERROR(__xludf.DUMMYFUNCTION("""COMPUTED_VALUE"""),0.5102040816326531)</f>
        <v>0.5102040816</v>
      </c>
      <c r="W385" s="16">
        <f>IFERROR(__xludf.DUMMYFUNCTION("""COMPUTED_VALUE"""),1.2244897959183674)</f>
        <v>1.224489796</v>
      </c>
      <c r="X385" s="16">
        <f>IFERROR(__xludf.DUMMYFUNCTION("""COMPUTED_VALUE"""),2.326530612244898)</f>
        <v>2.326530612</v>
      </c>
      <c r="Y385" s="11">
        <f>IFERROR(__xludf.DUMMYFUNCTION("""COMPUTED_VALUE"""),9.0)</f>
        <v>9</v>
      </c>
      <c r="Z385" s="11">
        <f>IFERROR(__xludf.DUMMYFUNCTION("""COMPUTED_VALUE"""),4.0)</f>
        <v>4</v>
      </c>
      <c r="AA385" s="11">
        <f>IFERROR(__xludf.DUMMYFUNCTION("""COMPUTED_VALUE"""),0.0)</f>
        <v>0</v>
      </c>
      <c r="AB385" s="11">
        <f>IFERROR(__xludf.DUMMYFUNCTION("""COMPUTED_VALUE"""),6.0)</f>
        <v>6</v>
      </c>
      <c r="AC385" s="11">
        <f>IFERROR(__xludf.DUMMYFUNCTION("""COMPUTED_VALUE"""),55.0)</f>
        <v>55</v>
      </c>
      <c r="AD385" s="11">
        <f>IFERROR(__xludf.DUMMYFUNCTION("""COMPUTED_VALUE"""),54.0)</f>
        <v>54</v>
      </c>
    </row>
    <row r="386">
      <c r="A386" s="10" t="str">
        <f>IFERROR(__xludf.DUMMYFUNCTION("""COMPUTED_VALUE"""),"Master")</f>
        <v>Master</v>
      </c>
      <c r="B386" s="10" t="str">
        <f>IFERROR(__xludf.DUMMYFUNCTION("""COMPUTED_VALUE"""),"RSC000714")</f>
        <v>RSC000714</v>
      </c>
      <c r="C386" s="10" t="str">
        <f>IFERROR(__xludf.DUMMYFUNCTION("""COMPUTED_VALUE"""),"duffy")</f>
        <v>duffy</v>
      </c>
      <c r="D386" s="36" t="str">
        <f>IFERROR(__xludf.DUMMYFUNCTION("""COMPUTED_VALUE"""),"Kawaii")</f>
        <v>Kawaii</v>
      </c>
      <c r="E386" s="10" t="str">
        <f>IFERROR(__xludf.DUMMYFUNCTION("""COMPUTED_VALUE"""),"N/A")</f>
        <v>N/A</v>
      </c>
      <c r="F386" s="37">
        <f>IFERROR(__xludf.DUMMYFUNCTION("""COMPUTED_VALUE"""),46.336744018000594)</f>
        <v>46.33674402</v>
      </c>
      <c r="G386" s="38">
        <f>IFERROR(__xludf.DUMMYFUNCTION("""COMPUTED_VALUE"""),56.94187167118143)</f>
        <v>56.94187167</v>
      </c>
      <c r="H386" s="38">
        <f>IFERROR(__xludf.DUMMYFUNCTION("""COMPUTED_VALUE"""),51.639307844591016)</f>
        <v>51.63930784</v>
      </c>
      <c r="I386" s="14">
        <f>IFERROR(__xludf.DUMMYFUNCTION("""COMPUTED_VALUE"""),12.0)</f>
        <v>12</v>
      </c>
      <c r="J386" s="11">
        <f>IFERROR(__xludf.DUMMYFUNCTION("IFERROR(FILTER(Stats!$F:$Z,(Stats!$A:$A=$A386)*(Stats!$B:$B=$B386)))"),5.0)</f>
        <v>5</v>
      </c>
      <c r="K386" s="11">
        <f>IFERROR(__xludf.DUMMYFUNCTION("""COMPUTED_VALUE"""),7.0)</f>
        <v>7</v>
      </c>
      <c r="L386" s="12">
        <f>IFERROR(__xludf.DUMMYFUNCTION("""COMPUTED_VALUE"""),0.4166666666666667)</f>
        <v>0.4166666667</v>
      </c>
      <c r="M386" s="11">
        <f>IFERROR(__xludf.DUMMYFUNCTION("""COMPUTED_VALUE"""),2.0)</f>
        <v>2</v>
      </c>
      <c r="N386" s="11">
        <f>IFERROR(__xludf.DUMMYFUNCTION("""COMPUTED_VALUE"""),4325.0)</f>
        <v>4325</v>
      </c>
      <c r="O386" s="13">
        <f>IFERROR(__xludf.DUMMYFUNCTION("""COMPUTED_VALUE"""),10.0)</f>
        <v>10</v>
      </c>
      <c r="P386" s="14">
        <f>IFERROR(__xludf.DUMMYFUNCTION("""COMPUTED_VALUE"""),5.0)</f>
        <v>5</v>
      </c>
      <c r="Q386" s="13">
        <f>IFERROR(__xludf.DUMMYFUNCTION("""COMPUTED_VALUE"""),9.0)</f>
        <v>9</v>
      </c>
      <c r="R386" s="13">
        <f>IFERROR(__xludf.DUMMYFUNCTION("""COMPUTED_VALUE"""),44.0)</f>
        <v>44</v>
      </c>
      <c r="S386" s="15">
        <f>IFERROR(__xludf.DUMMYFUNCTION("""COMPUTED_VALUE"""),0.22727272727272727)</f>
        <v>0.2272727273</v>
      </c>
      <c r="T386" s="16">
        <f>IFERROR(__xludf.DUMMYFUNCTION("""COMPUTED_VALUE"""),360.4166666666667)</f>
        <v>360.4166667</v>
      </c>
      <c r="U386" s="16">
        <f>IFERROR(__xludf.DUMMYFUNCTION("""COMPUTED_VALUE"""),0.8333333333333334)</f>
        <v>0.8333333333</v>
      </c>
      <c r="V386" s="16">
        <f>IFERROR(__xludf.DUMMYFUNCTION("""COMPUTED_VALUE"""),0.4166666666666667)</f>
        <v>0.4166666667</v>
      </c>
      <c r="W386" s="16">
        <f>IFERROR(__xludf.DUMMYFUNCTION("""COMPUTED_VALUE"""),0.75)</f>
        <v>0.75</v>
      </c>
      <c r="X386" s="16">
        <f>IFERROR(__xludf.DUMMYFUNCTION("""COMPUTED_VALUE"""),3.6666666666666665)</f>
        <v>3.666666667</v>
      </c>
      <c r="Y386" s="11">
        <f>IFERROR(__xludf.DUMMYFUNCTION("""COMPUTED_VALUE"""),2.0)</f>
        <v>2</v>
      </c>
      <c r="Z386" s="11">
        <f>IFERROR(__xludf.DUMMYFUNCTION("""COMPUTED_VALUE"""),1.0)</f>
        <v>1</v>
      </c>
      <c r="AA386" s="11">
        <f>IFERROR(__xludf.DUMMYFUNCTION("""COMPUTED_VALUE"""),0.0)</f>
        <v>0</v>
      </c>
      <c r="AB386" s="11">
        <f>IFERROR(__xludf.DUMMYFUNCTION("""COMPUTED_VALUE"""),0.0)</f>
        <v>0</v>
      </c>
      <c r="AC386" s="11">
        <f>IFERROR(__xludf.DUMMYFUNCTION("""COMPUTED_VALUE"""),14.0)</f>
        <v>14</v>
      </c>
      <c r="AD386" s="11">
        <f>IFERROR(__xludf.DUMMYFUNCTION("""COMPUTED_VALUE"""),8.0)</f>
        <v>8</v>
      </c>
    </row>
    <row r="387">
      <c r="A387" s="10" t="str">
        <f>IFERROR(__xludf.DUMMYFUNCTION("""COMPUTED_VALUE"""),"Master")</f>
        <v>Master</v>
      </c>
      <c r="B387" s="10" t="str">
        <f>IFERROR(__xludf.DUMMYFUNCTION("""COMPUTED_VALUE"""),"RSC005899")</f>
        <v>RSC005899</v>
      </c>
      <c r="C387" s="10" t="str">
        <f>IFERROR(__xludf.DUMMYFUNCTION("""COMPUTED_VALUE"""),"DJDancingDuckGif")</f>
        <v>DJDancingDuckGif</v>
      </c>
      <c r="D387" s="36" t="str">
        <f>IFERROR(__xludf.DUMMYFUNCTION("""COMPUTED_VALUE"""),"Battle Masters
Kawaii")</f>
        <v>Battle Masters
Kawaii</v>
      </c>
      <c r="E387" s="10" t="str">
        <f>IFERROR(__xludf.DUMMYFUNCTION("""COMPUTED_VALUE"""),"N/A
N/A")</f>
        <v>N/A
N/A</v>
      </c>
      <c r="F387" s="37">
        <f>IFERROR(__xludf.DUMMYFUNCTION("""COMPUTED_VALUE"""),58.08096429529926)</f>
        <v>58.0809643</v>
      </c>
      <c r="G387" s="38">
        <f>IFERROR(__xludf.DUMMYFUNCTION("""COMPUTED_VALUE"""),43.38030364303292)</f>
        <v>43.38030364</v>
      </c>
      <c r="H387" s="38">
        <f>IFERROR(__xludf.DUMMYFUNCTION("""COMPUTED_VALUE"""),50.73063396916609)</f>
        <v>50.73063397</v>
      </c>
      <c r="I387" s="14">
        <f>IFERROR(__xludf.DUMMYFUNCTION("""COMPUTED_VALUE"""),44.0)</f>
        <v>44</v>
      </c>
      <c r="J387" s="11">
        <f>IFERROR(__xludf.DUMMYFUNCTION("IFERROR(FILTER(Stats!$F:$Z,(Stats!$A:$A=$A387)*(Stats!$B:$B=$B387)))"),21.0)</f>
        <v>21</v>
      </c>
      <c r="K387" s="11">
        <f>IFERROR(__xludf.DUMMYFUNCTION("""COMPUTED_VALUE"""),23.0)</f>
        <v>23</v>
      </c>
      <c r="L387" s="12">
        <f>IFERROR(__xludf.DUMMYFUNCTION("""COMPUTED_VALUE"""),0.4772727272727273)</f>
        <v>0.4772727273</v>
      </c>
      <c r="M387" s="11">
        <f>IFERROR(__xludf.DUMMYFUNCTION("""COMPUTED_VALUE"""),6.0)</f>
        <v>6</v>
      </c>
      <c r="N387" s="11">
        <f>IFERROR(__xludf.DUMMYFUNCTION("""COMPUTED_VALUE"""),15443.0)</f>
        <v>15443</v>
      </c>
      <c r="O387" s="13">
        <f>IFERROR(__xludf.DUMMYFUNCTION("""COMPUTED_VALUE"""),23.0)</f>
        <v>23</v>
      </c>
      <c r="P387" s="14">
        <f>IFERROR(__xludf.DUMMYFUNCTION("""COMPUTED_VALUE"""),27.0)</f>
        <v>27</v>
      </c>
      <c r="Q387" s="13">
        <f>IFERROR(__xludf.DUMMYFUNCTION("""COMPUTED_VALUE"""),74.0)</f>
        <v>74</v>
      </c>
      <c r="R387" s="13">
        <f>IFERROR(__xludf.DUMMYFUNCTION("""COMPUTED_VALUE"""),92.0)</f>
        <v>92</v>
      </c>
      <c r="S387" s="15">
        <f>IFERROR(__xludf.DUMMYFUNCTION("""COMPUTED_VALUE"""),0.25)</f>
        <v>0.25</v>
      </c>
      <c r="T387" s="16">
        <f>IFERROR(__xludf.DUMMYFUNCTION("""COMPUTED_VALUE"""),350.97727272727275)</f>
        <v>350.9772727</v>
      </c>
      <c r="U387" s="16">
        <f>IFERROR(__xludf.DUMMYFUNCTION("""COMPUTED_VALUE"""),0.5227272727272727)</f>
        <v>0.5227272727</v>
      </c>
      <c r="V387" s="16">
        <f>IFERROR(__xludf.DUMMYFUNCTION("""COMPUTED_VALUE"""),0.6136363636363636)</f>
        <v>0.6136363636</v>
      </c>
      <c r="W387" s="16">
        <f>IFERROR(__xludf.DUMMYFUNCTION("""COMPUTED_VALUE"""),1.6818181818181819)</f>
        <v>1.681818182</v>
      </c>
      <c r="X387" s="16">
        <f>IFERROR(__xludf.DUMMYFUNCTION("""COMPUTED_VALUE"""),2.090909090909091)</f>
        <v>2.090909091</v>
      </c>
      <c r="Y387" s="11">
        <f>IFERROR(__xludf.DUMMYFUNCTION("""COMPUTED_VALUE"""),10.0)</f>
        <v>10</v>
      </c>
      <c r="Z387" s="11">
        <f>IFERROR(__xludf.DUMMYFUNCTION("""COMPUTED_VALUE"""),1.0)</f>
        <v>1</v>
      </c>
      <c r="AA387" s="11">
        <f>IFERROR(__xludf.DUMMYFUNCTION("""COMPUTED_VALUE"""),0.0)</f>
        <v>0</v>
      </c>
      <c r="AB387" s="11">
        <f>IFERROR(__xludf.DUMMYFUNCTION("""COMPUTED_VALUE"""),14.0)</f>
        <v>14</v>
      </c>
      <c r="AC387" s="11">
        <f>IFERROR(__xludf.DUMMYFUNCTION("""COMPUTED_VALUE"""),46.0)</f>
        <v>46</v>
      </c>
      <c r="AD387" s="11">
        <f>IFERROR(__xludf.DUMMYFUNCTION("""COMPUTED_VALUE"""),45.0)</f>
        <v>45</v>
      </c>
    </row>
    <row r="388">
      <c r="A388" s="10" t="str">
        <f>IFERROR(__xludf.DUMMYFUNCTION("""COMPUTED_VALUE"""),"Master")</f>
        <v>Master</v>
      </c>
      <c r="B388" s="10" t="str">
        <f>IFERROR(__xludf.DUMMYFUNCTION("""COMPUTED_VALUE"""),"RSC001357")</f>
        <v>RSC001357</v>
      </c>
      <c r="C388" s="10" t="str">
        <f>IFERROR(__xludf.DUMMYFUNCTION("""COMPUTED_VALUE"""),"bubblebuddy47")</f>
        <v>bubblebuddy47</v>
      </c>
      <c r="D388" s="36" t="str">
        <f>IFERROR(__xludf.DUMMYFUNCTION("""COMPUTED_VALUE"""),"Lemurs")</f>
        <v>Lemurs</v>
      </c>
      <c r="E388" s="10" t="str">
        <f>IFERROR(__xludf.DUMMYFUNCTION("""COMPUTED_VALUE"""),"N/A")</f>
        <v>N/A</v>
      </c>
      <c r="F388" s="37">
        <f>IFERROR(__xludf.DUMMYFUNCTION("""COMPUTED_VALUE"""),62.43555826869701)</f>
        <v>62.43555827</v>
      </c>
      <c r="G388" s="38">
        <f>IFERROR(__xludf.DUMMYFUNCTION("""COMPUTED_VALUE"""),37.067914755970946)</f>
        <v>37.06791476</v>
      </c>
      <c r="H388" s="38">
        <f>IFERROR(__xludf.DUMMYFUNCTION("""COMPUTED_VALUE"""),49.75173651233398)</f>
        <v>49.75173651</v>
      </c>
      <c r="I388" s="14">
        <f>IFERROR(__xludf.DUMMYFUNCTION("""COMPUTED_VALUE"""),4.0)</f>
        <v>4</v>
      </c>
      <c r="J388" s="11">
        <f>IFERROR(__xludf.DUMMYFUNCTION("IFERROR(FILTER(Stats!$F:$Z,(Stats!$A:$A=$A388)*(Stats!$B:$B=$B388)))"),0.0)</f>
        <v>0</v>
      </c>
      <c r="K388" s="11">
        <f>IFERROR(__xludf.DUMMYFUNCTION("""COMPUTED_VALUE"""),4.0)</f>
        <v>4</v>
      </c>
      <c r="L388" s="12">
        <f>IFERROR(__xludf.DUMMYFUNCTION("""COMPUTED_VALUE"""),0.0)</f>
        <v>0</v>
      </c>
      <c r="M388" s="11">
        <f>IFERROR(__xludf.DUMMYFUNCTION("""COMPUTED_VALUE"""),0.0)</f>
        <v>0</v>
      </c>
      <c r="N388" s="11">
        <f>IFERROR(__xludf.DUMMYFUNCTION("""COMPUTED_VALUE"""),1858.0)</f>
        <v>1858</v>
      </c>
      <c r="O388" s="13">
        <f>IFERROR(__xludf.DUMMYFUNCTION("""COMPUTED_VALUE"""),2.0)</f>
        <v>2</v>
      </c>
      <c r="P388" s="14">
        <f>IFERROR(__xludf.DUMMYFUNCTION("""COMPUTED_VALUE"""),3.0)</f>
        <v>3</v>
      </c>
      <c r="Q388" s="13">
        <f>IFERROR(__xludf.DUMMYFUNCTION("""COMPUTED_VALUE"""),10.0)</f>
        <v>10</v>
      </c>
      <c r="R388" s="13">
        <f>IFERROR(__xludf.DUMMYFUNCTION("""COMPUTED_VALUE"""),10.0)</f>
        <v>10</v>
      </c>
      <c r="S388" s="15">
        <f>IFERROR(__xludf.DUMMYFUNCTION("""COMPUTED_VALUE"""),0.2)</f>
        <v>0.2</v>
      </c>
      <c r="T388" s="16">
        <f>IFERROR(__xludf.DUMMYFUNCTION("""COMPUTED_VALUE"""),464.5)</f>
        <v>464.5</v>
      </c>
      <c r="U388" s="16">
        <f>IFERROR(__xludf.DUMMYFUNCTION("""COMPUTED_VALUE"""),0.5)</f>
        <v>0.5</v>
      </c>
      <c r="V388" s="16">
        <f>IFERROR(__xludf.DUMMYFUNCTION("""COMPUTED_VALUE"""),0.75)</f>
        <v>0.75</v>
      </c>
      <c r="W388" s="16">
        <f>IFERROR(__xludf.DUMMYFUNCTION("""COMPUTED_VALUE"""),2.5)</f>
        <v>2.5</v>
      </c>
      <c r="X388" s="16">
        <f>IFERROR(__xludf.DUMMYFUNCTION("""COMPUTED_VALUE"""),2.5)</f>
        <v>2.5</v>
      </c>
      <c r="Y388" s="11">
        <f>IFERROR(__xludf.DUMMYFUNCTION("""COMPUTED_VALUE"""),0.0)</f>
        <v>0</v>
      </c>
      <c r="Z388" s="11">
        <f>IFERROR(__xludf.DUMMYFUNCTION("""COMPUTED_VALUE"""),0.0)</f>
        <v>0</v>
      </c>
      <c r="AA388" s="11">
        <f>IFERROR(__xludf.DUMMYFUNCTION("""COMPUTED_VALUE"""),0.0)</f>
        <v>0</v>
      </c>
      <c r="AB388" s="11">
        <f>IFERROR(__xludf.DUMMYFUNCTION("""COMPUTED_VALUE"""),2.0)</f>
        <v>2</v>
      </c>
      <c r="AC388" s="11">
        <f>IFERROR(__xludf.DUMMYFUNCTION("""COMPUTED_VALUE"""),1.0)</f>
        <v>1</v>
      </c>
      <c r="AD388" s="11">
        <f>IFERROR(__xludf.DUMMYFUNCTION("""COMPUTED_VALUE"""),2.0)</f>
        <v>2</v>
      </c>
    </row>
    <row r="389">
      <c r="A389" s="10" t="str">
        <f>IFERROR(__xludf.DUMMYFUNCTION("""COMPUTED_VALUE"""),"Master")</f>
        <v>Master</v>
      </c>
      <c r="B389" s="10" t="str">
        <f>IFERROR(__xludf.DUMMYFUNCTION("""COMPUTED_VALUE"""),"RSC000657")</f>
        <v>RSC000657</v>
      </c>
      <c r="C389" s="10" t="str">
        <f>IFERROR(__xludf.DUMMYFUNCTION("""COMPUTED_VALUE"""),"Saucey")</f>
        <v>Saucey</v>
      </c>
      <c r="D389" s="36" t="str">
        <f>IFERROR(__xludf.DUMMYFUNCTION("""COMPUTED_VALUE"""),"Fromunda Frauds")</f>
        <v>Fromunda Frauds</v>
      </c>
      <c r="E389" s="10" t="str">
        <f>IFERROR(__xludf.DUMMYFUNCTION("""COMPUTED_VALUE"""),"N/A")</f>
        <v>N/A</v>
      </c>
      <c r="F389" s="37">
        <f>IFERROR(__xludf.DUMMYFUNCTION("""COMPUTED_VALUE"""),48.15766722176771)</f>
        <v>48.15766722</v>
      </c>
      <c r="G389" s="38">
        <f>IFERROR(__xludf.DUMMYFUNCTION("""COMPUTED_VALUE"""),50.629858627339004)</f>
        <v>50.62985863</v>
      </c>
      <c r="H389" s="38">
        <f>IFERROR(__xludf.DUMMYFUNCTION("""COMPUTED_VALUE"""),49.39376292455336)</f>
        <v>49.39376292</v>
      </c>
      <c r="I389" s="14">
        <f>IFERROR(__xludf.DUMMYFUNCTION("""COMPUTED_VALUE"""),48.0)</f>
        <v>48</v>
      </c>
      <c r="J389" s="11">
        <f>IFERROR(__xludf.DUMMYFUNCTION("IFERROR(FILTER(Stats!$F:$Z,(Stats!$A:$A=$A389)*(Stats!$B:$B=$B389)))"),31.0)</f>
        <v>31</v>
      </c>
      <c r="K389" s="11">
        <f>IFERROR(__xludf.DUMMYFUNCTION("""COMPUTED_VALUE"""),17.0)</f>
        <v>17</v>
      </c>
      <c r="L389" s="12">
        <f>IFERROR(__xludf.DUMMYFUNCTION("""COMPUTED_VALUE"""),0.6458333333333334)</f>
        <v>0.6458333333</v>
      </c>
      <c r="M389" s="11">
        <f>IFERROR(__xludf.DUMMYFUNCTION("""COMPUTED_VALUE"""),11.0)</f>
        <v>11</v>
      </c>
      <c r="N389" s="11">
        <f>IFERROR(__xludf.DUMMYFUNCTION("""COMPUTED_VALUE"""),14457.0)</f>
        <v>14457</v>
      </c>
      <c r="O389" s="13">
        <f>IFERROR(__xludf.DUMMYFUNCTION("""COMPUTED_VALUE"""),24.0)</f>
        <v>24</v>
      </c>
      <c r="P389" s="14">
        <f>IFERROR(__xludf.DUMMYFUNCTION("""COMPUTED_VALUE"""),35.0)</f>
        <v>35</v>
      </c>
      <c r="Q389" s="13">
        <f>IFERROR(__xludf.DUMMYFUNCTION("""COMPUTED_VALUE"""),56.0)</f>
        <v>56</v>
      </c>
      <c r="R389" s="13">
        <f>IFERROR(__xludf.DUMMYFUNCTION("""COMPUTED_VALUE"""),113.0)</f>
        <v>113</v>
      </c>
      <c r="S389" s="15">
        <f>IFERROR(__xludf.DUMMYFUNCTION("""COMPUTED_VALUE"""),0.21238938053097345)</f>
        <v>0.2123893805</v>
      </c>
      <c r="T389" s="16">
        <f>IFERROR(__xludf.DUMMYFUNCTION("""COMPUTED_VALUE"""),301.1875)</f>
        <v>301.1875</v>
      </c>
      <c r="U389" s="16">
        <f>IFERROR(__xludf.DUMMYFUNCTION("""COMPUTED_VALUE"""),0.5)</f>
        <v>0.5</v>
      </c>
      <c r="V389" s="16">
        <f>IFERROR(__xludf.DUMMYFUNCTION("""COMPUTED_VALUE"""),0.7291666666666666)</f>
        <v>0.7291666667</v>
      </c>
      <c r="W389" s="16">
        <f>IFERROR(__xludf.DUMMYFUNCTION("""COMPUTED_VALUE"""),1.1666666666666667)</f>
        <v>1.166666667</v>
      </c>
      <c r="X389" s="16">
        <f>IFERROR(__xludf.DUMMYFUNCTION("""COMPUTED_VALUE"""),2.3541666666666665)</f>
        <v>2.354166667</v>
      </c>
      <c r="Y389" s="11">
        <f>IFERROR(__xludf.DUMMYFUNCTION("""COMPUTED_VALUE"""),8.0)</f>
        <v>8</v>
      </c>
      <c r="Z389" s="11">
        <f>IFERROR(__xludf.DUMMYFUNCTION("""COMPUTED_VALUE"""),0.0)</f>
        <v>0</v>
      </c>
      <c r="AA389" s="11">
        <f>IFERROR(__xludf.DUMMYFUNCTION("""COMPUTED_VALUE"""),4.0)</f>
        <v>4</v>
      </c>
      <c r="AB389" s="11">
        <f>IFERROR(__xludf.DUMMYFUNCTION("""COMPUTED_VALUE"""),8.0)</f>
        <v>8</v>
      </c>
      <c r="AC389" s="11">
        <f>IFERROR(__xludf.DUMMYFUNCTION("""COMPUTED_VALUE"""),57.0)</f>
        <v>57</v>
      </c>
      <c r="AD389" s="11">
        <f>IFERROR(__xludf.DUMMYFUNCTION("""COMPUTED_VALUE"""),45.0)</f>
        <v>45</v>
      </c>
    </row>
    <row r="390">
      <c r="A390" s="10" t="str">
        <f>IFERROR(__xludf.DUMMYFUNCTION("""COMPUTED_VALUE"""),"Master")</f>
        <v>Master</v>
      </c>
      <c r="B390" s="10" t="str">
        <f>IFERROR(__xludf.DUMMYFUNCTION("""COMPUTED_VALUE"""),"RSC004698")</f>
        <v>RSC004698</v>
      </c>
      <c r="C390" s="10" t="str">
        <f>IFERROR(__xludf.DUMMYFUNCTION("""COMPUTED_VALUE"""),"Slvr.")</f>
        <v>Slvr.</v>
      </c>
      <c r="D390" s="36" t="str">
        <f>IFERROR(__xludf.DUMMYFUNCTION("""COMPUTED_VALUE"""),"Oblivion")</f>
        <v>Oblivion</v>
      </c>
      <c r="E390" s="10" t="str">
        <f>IFERROR(__xludf.DUMMYFUNCTION("""COMPUTED_VALUE"""),"N/A")</f>
        <v>N/A</v>
      </c>
      <c r="F390" s="37">
        <f>IFERROR(__xludf.DUMMYFUNCTION("""COMPUTED_VALUE"""),48.92993579559455)</f>
        <v>48.9299358</v>
      </c>
      <c r="G390" s="38">
        <f>IFERROR(__xludf.DUMMYFUNCTION("""COMPUTED_VALUE"""),47.37242589207393)</f>
        <v>47.37242589</v>
      </c>
      <c r="H390" s="38">
        <f>IFERROR(__xludf.DUMMYFUNCTION("""COMPUTED_VALUE"""),48.15118084383424)</f>
        <v>48.15118084</v>
      </c>
      <c r="I390" s="14">
        <f>IFERROR(__xludf.DUMMYFUNCTION("""COMPUTED_VALUE"""),44.0)</f>
        <v>44</v>
      </c>
      <c r="J390" s="11">
        <f>IFERROR(__xludf.DUMMYFUNCTION("IFERROR(FILTER(Stats!$F:$Z,(Stats!$A:$A=$A390)*(Stats!$B:$B=$B390)))"),21.0)</f>
        <v>21</v>
      </c>
      <c r="K390" s="11">
        <f>IFERROR(__xludf.DUMMYFUNCTION("""COMPUTED_VALUE"""),23.0)</f>
        <v>23</v>
      </c>
      <c r="L390" s="12">
        <f>IFERROR(__xludf.DUMMYFUNCTION("""COMPUTED_VALUE"""),0.4772727272727273)</f>
        <v>0.4772727273</v>
      </c>
      <c r="M390" s="11">
        <f>IFERROR(__xludf.DUMMYFUNCTION("""COMPUTED_VALUE"""),9.0)</f>
        <v>9</v>
      </c>
      <c r="N390" s="11">
        <f>IFERROR(__xludf.DUMMYFUNCTION("""COMPUTED_VALUE"""),14357.0)</f>
        <v>14357</v>
      </c>
      <c r="O390" s="13">
        <f>IFERROR(__xludf.DUMMYFUNCTION("""COMPUTED_VALUE"""),28.0)</f>
        <v>28</v>
      </c>
      <c r="P390" s="14">
        <f>IFERROR(__xludf.DUMMYFUNCTION("""COMPUTED_VALUE"""),25.0)</f>
        <v>25</v>
      </c>
      <c r="Q390" s="13">
        <f>IFERROR(__xludf.DUMMYFUNCTION("""COMPUTED_VALUE"""),56.0)</f>
        <v>56</v>
      </c>
      <c r="R390" s="13">
        <f>IFERROR(__xludf.DUMMYFUNCTION("""COMPUTED_VALUE"""),104.0)</f>
        <v>104</v>
      </c>
      <c r="S390" s="15">
        <f>IFERROR(__xludf.DUMMYFUNCTION("""COMPUTED_VALUE"""),0.2692307692307692)</f>
        <v>0.2692307692</v>
      </c>
      <c r="T390" s="16">
        <f>IFERROR(__xludf.DUMMYFUNCTION("""COMPUTED_VALUE"""),326.29545454545456)</f>
        <v>326.2954545</v>
      </c>
      <c r="U390" s="16">
        <f>IFERROR(__xludf.DUMMYFUNCTION("""COMPUTED_VALUE"""),0.6363636363636364)</f>
        <v>0.6363636364</v>
      </c>
      <c r="V390" s="16">
        <f>IFERROR(__xludf.DUMMYFUNCTION("""COMPUTED_VALUE"""),0.5681818181818182)</f>
        <v>0.5681818182</v>
      </c>
      <c r="W390" s="16">
        <f>IFERROR(__xludf.DUMMYFUNCTION("""COMPUTED_VALUE"""),1.2727272727272727)</f>
        <v>1.272727273</v>
      </c>
      <c r="X390" s="16">
        <f>IFERROR(__xludf.DUMMYFUNCTION("""COMPUTED_VALUE"""),2.3636363636363638)</f>
        <v>2.363636364</v>
      </c>
      <c r="Y390" s="11">
        <f>IFERROR(__xludf.DUMMYFUNCTION("""COMPUTED_VALUE"""),13.0)</f>
        <v>13</v>
      </c>
      <c r="Z390" s="11">
        <f>IFERROR(__xludf.DUMMYFUNCTION("""COMPUTED_VALUE"""),1.0)</f>
        <v>1</v>
      </c>
      <c r="AA390" s="11">
        <f>IFERROR(__xludf.DUMMYFUNCTION("""COMPUTED_VALUE"""),0.0)</f>
        <v>0</v>
      </c>
      <c r="AB390" s="11">
        <f>IFERROR(__xludf.DUMMYFUNCTION("""COMPUTED_VALUE"""),8.0)</f>
        <v>8</v>
      </c>
      <c r="AC390" s="11">
        <f>IFERROR(__xludf.DUMMYFUNCTION("""COMPUTED_VALUE"""),59.0)</f>
        <v>59</v>
      </c>
      <c r="AD390" s="11">
        <f>IFERROR(__xludf.DUMMYFUNCTION("""COMPUTED_VALUE"""),48.0)</f>
        <v>48</v>
      </c>
    </row>
    <row r="391">
      <c r="A391" s="10" t="str">
        <f>IFERROR(__xludf.DUMMYFUNCTION("""COMPUTED_VALUE"""),"Master")</f>
        <v>Master</v>
      </c>
      <c r="B391" s="10" t="str">
        <f>IFERROR(__xludf.DUMMYFUNCTION("""COMPUTED_VALUE"""),"RSC007099")</f>
        <v>RSC007099</v>
      </c>
      <c r="C391" s="10" t="str">
        <f>IFERROR(__xludf.DUMMYFUNCTION("""COMPUTED_VALUE"""),"clankerh8er49")</f>
        <v>clankerh8er49</v>
      </c>
      <c r="D391" s="36" t="str">
        <f>IFERROR(__xludf.DUMMYFUNCTION("""COMPUTED_VALUE"""),"Battle Masters")</f>
        <v>Battle Masters</v>
      </c>
      <c r="E391" s="10" t="str">
        <f>IFERROR(__xludf.DUMMYFUNCTION("""COMPUTED_VALUE"""),"N/A")</f>
        <v>N/A</v>
      </c>
      <c r="F391" s="37">
        <f>IFERROR(__xludf.DUMMYFUNCTION("""COMPUTED_VALUE"""),46.081713636524924)</f>
        <v>46.08171364</v>
      </c>
      <c r="G391" s="38">
        <f>IFERROR(__xludf.DUMMYFUNCTION("""COMPUTED_VALUE"""),49.00697355288775)</f>
        <v>49.00697355</v>
      </c>
      <c r="H391" s="38">
        <f>IFERROR(__xludf.DUMMYFUNCTION("""COMPUTED_VALUE"""),47.54434359470633)</f>
        <v>47.54434359</v>
      </c>
      <c r="I391" s="14">
        <f>IFERROR(__xludf.DUMMYFUNCTION("""COMPUTED_VALUE"""),12.0)</f>
        <v>12</v>
      </c>
      <c r="J391" s="11">
        <f>IFERROR(__xludf.DUMMYFUNCTION("IFERROR(FILTER(Stats!$F:$Z,(Stats!$A:$A=$A391)*(Stats!$B:$B=$B391)))"),5.0)</f>
        <v>5</v>
      </c>
      <c r="K391" s="11">
        <f>IFERROR(__xludf.DUMMYFUNCTION("""COMPUTED_VALUE"""),7.0)</f>
        <v>7</v>
      </c>
      <c r="L391" s="12">
        <f>IFERROR(__xludf.DUMMYFUNCTION("""COMPUTED_VALUE"""),0.4166666666666667)</f>
        <v>0.4166666667</v>
      </c>
      <c r="M391" s="11">
        <f>IFERROR(__xludf.DUMMYFUNCTION("""COMPUTED_VALUE"""),3.0)</f>
        <v>3</v>
      </c>
      <c r="N391" s="11">
        <f>IFERROR(__xludf.DUMMYFUNCTION("""COMPUTED_VALUE"""),4310.0)</f>
        <v>4310</v>
      </c>
      <c r="O391" s="13">
        <f>IFERROR(__xludf.DUMMYFUNCTION("""COMPUTED_VALUE"""),12.0)</f>
        <v>12</v>
      </c>
      <c r="P391" s="14">
        <f>IFERROR(__xludf.DUMMYFUNCTION("""COMPUTED_VALUE"""),6.0)</f>
        <v>6</v>
      </c>
      <c r="Q391" s="13">
        <f>IFERROR(__xludf.DUMMYFUNCTION("""COMPUTED_VALUE"""),15.0)</f>
        <v>15</v>
      </c>
      <c r="R391" s="13">
        <f>IFERROR(__xludf.DUMMYFUNCTION("""COMPUTED_VALUE"""),24.0)</f>
        <v>24</v>
      </c>
      <c r="S391" s="15">
        <f>IFERROR(__xludf.DUMMYFUNCTION("""COMPUTED_VALUE"""),0.5)</f>
        <v>0.5</v>
      </c>
      <c r="T391" s="16">
        <f>IFERROR(__xludf.DUMMYFUNCTION("""COMPUTED_VALUE"""),359.1666666666667)</f>
        <v>359.1666667</v>
      </c>
      <c r="U391" s="16">
        <f>IFERROR(__xludf.DUMMYFUNCTION("""COMPUTED_VALUE"""),1.0)</f>
        <v>1</v>
      </c>
      <c r="V391" s="16">
        <f>IFERROR(__xludf.DUMMYFUNCTION("""COMPUTED_VALUE"""),0.5)</f>
        <v>0.5</v>
      </c>
      <c r="W391" s="16">
        <f>IFERROR(__xludf.DUMMYFUNCTION("""COMPUTED_VALUE"""),1.25)</f>
        <v>1.25</v>
      </c>
      <c r="X391" s="16">
        <f>IFERROR(__xludf.DUMMYFUNCTION("""COMPUTED_VALUE"""),2.0)</f>
        <v>2</v>
      </c>
      <c r="Y391" s="11">
        <f>IFERROR(__xludf.DUMMYFUNCTION("""COMPUTED_VALUE"""),3.0)</f>
        <v>3</v>
      </c>
      <c r="Z391" s="11">
        <f>IFERROR(__xludf.DUMMYFUNCTION("""COMPUTED_VALUE"""),1.0)</f>
        <v>1</v>
      </c>
      <c r="AA391" s="11">
        <f>IFERROR(__xludf.DUMMYFUNCTION("""COMPUTED_VALUE"""),0.0)</f>
        <v>0</v>
      </c>
      <c r="AB391" s="11">
        <f>IFERROR(__xludf.DUMMYFUNCTION("""COMPUTED_VALUE"""),1.0)</f>
        <v>1</v>
      </c>
      <c r="AC391" s="11">
        <f>IFERROR(__xludf.DUMMYFUNCTION("""COMPUTED_VALUE"""),17.0)</f>
        <v>17</v>
      </c>
      <c r="AD391" s="11">
        <f>IFERROR(__xludf.DUMMYFUNCTION("""COMPUTED_VALUE"""),11.0)</f>
        <v>11</v>
      </c>
    </row>
    <row r="392">
      <c r="A392" s="10" t="str">
        <f>IFERROR(__xludf.DUMMYFUNCTION("""COMPUTED_VALUE"""),"Master")</f>
        <v>Master</v>
      </c>
      <c r="B392" s="10" t="str">
        <f>IFERROR(__xludf.DUMMYFUNCTION("""COMPUTED_VALUE"""),"RSC007166")</f>
        <v>RSC007166</v>
      </c>
      <c r="C392" s="10" t="str">
        <f>IFERROR(__xludf.DUMMYFUNCTION("""COMPUTED_VALUE"""),"nelz")</f>
        <v>nelz</v>
      </c>
      <c r="D392" s="36" t="str">
        <f>IFERROR(__xludf.DUMMYFUNCTION("""COMPUTED_VALUE"""),"Helicoprions")</f>
        <v>Helicoprions</v>
      </c>
      <c r="E392" s="10" t="str">
        <f>IFERROR(__xludf.DUMMYFUNCTION("""COMPUTED_VALUE"""),"N/A")</f>
        <v>N/A</v>
      </c>
      <c r="F392" s="37">
        <f>IFERROR(__xludf.DUMMYFUNCTION("""COMPUTED_VALUE"""),48.06208047400098)</f>
        <v>48.06208047</v>
      </c>
      <c r="G392" s="38">
        <f>IFERROR(__xludf.DUMMYFUNCTION("""COMPUTED_VALUE"""),46.42187047125282)</f>
        <v>46.42187047</v>
      </c>
      <c r="H392" s="38">
        <f>IFERROR(__xludf.DUMMYFUNCTION("""COMPUTED_VALUE"""),47.2419754726269)</f>
        <v>47.24197547</v>
      </c>
      <c r="I392" s="14">
        <f>IFERROR(__xludf.DUMMYFUNCTION("""COMPUTED_VALUE"""),48.0)</f>
        <v>48</v>
      </c>
      <c r="J392" s="11">
        <f>IFERROR(__xludf.DUMMYFUNCTION("IFERROR(FILTER(Stats!$F:$Z,(Stats!$A:$A=$A392)*(Stats!$B:$B=$B392)))"),24.0)</f>
        <v>24</v>
      </c>
      <c r="K392" s="11">
        <f>IFERROR(__xludf.DUMMYFUNCTION("""COMPUTED_VALUE"""),24.0)</f>
        <v>24</v>
      </c>
      <c r="L392" s="12">
        <f>IFERROR(__xludf.DUMMYFUNCTION("""COMPUTED_VALUE"""),0.5)</f>
        <v>0.5</v>
      </c>
      <c r="M392" s="11">
        <f>IFERROR(__xludf.DUMMYFUNCTION("""COMPUTED_VALUE"""),4.0)</f>
        <v>4</v>
      </c>
      <c r="N392" s="11">
        <f>IFERROR(__xludf.DUMMYFUNCTION("""COMPUTED_VALUE"""),15492.0)</f>
        <v>15492</v>
      </c>
      <c r="O392" s="13">
        <f>IFERROR(__xludf.DUMMYFUNCTION("""COMPUTED_VALUE"""),28.0)</f>
        <v>28</v>
      </c>
      <c r="P392" s="14">
        <f>IFERROR(__xludf.DUMMYFUNCTION("""COMPUTED_VALUE"""),28.0)</f>
        <v>28</v>
      </c>
      <c r="Q392" s="13">
        <f>IFERROR(__xludf.DUMMYFUNCTION("""COMPUTED_VALUE"""),65.0)</f>
        <v>65</v>
      </c>
      <c r="R392" s="13">
        <f>IFERROR(__xludf.DUMMYFUNCTION("""COMPUTED_VALUE"""),99.0)</f>
        <v>99</v>
      </c>
      <c r="S392" s="15">
        <f>IFERROR(__xludf.DUMMYFUNCTION("""COMPUTED_VALUE"""),0.2828282828282828)</f>
        <v>0.2828282828</v>
      </c>
      <c r="T392" s="16">
        <f>IFERROR(__xludf.DUMMYFUNCTION("""COMPUTED_VALUE"""),322.75)</f>
        <v>322.75</v>
      </c>
      <c r="U392" s="16">
        <f>IFERROR(__xludf.DUMMYFUNCTION("""COMPUTED_VALUE"""),0.5833333333333334)</f>
        <v>0.5833333333</v>
      </c>
      <c r="V392" s="16">
        <f>IFERROR(__xludf.DUMMYFUNCTION("""COMPUTED_VALUE"""),0.5833333333333334)</f>
        <v>0.5833333333</v>
      </c>
      <c r="W392" s="16">
        <f>IFERROR(__xludf.DUMMYFUNCTION("""COMPUTED_VALUE"""),1.3541666666666667)</f>
        <v>1.354166667</v>
      </c>
      <c r="X392" s="16">
        <f>IFERROR(__xludf.DUMMYFUNCTION("""COMPUTED_VALUE"""),2.0625)</f>
        <v>2.0625</v>
      </c>
      <c r="Y392" s="11">
        <f>IFERROR(__xludf.DUMMYFUNCTION("""COMPUTED_VALUE"""),6.0)</f>
        <v>6</v>
      </c>
      <c r="Z392" s="11">
        <f>IFERROR(__xludf.DUMMYFUNCTION("""COMPUTED_VALUE"""),1.0)</f>
        <v>1</v>
      </c>
      <c r="AA392" s="11">
        <f>IFERROR(__xludf.DUMMYFUNCTION("""COMPUTED_VALUE"""),2.0)</f>
        <v>2</v>
      </c>
      <c r="AB392" s="11">
        <f>IFERROR(__xludf.DUMMYFUNCTION("""COMPUTED_VALUE"""),13.0)</f>
        <v>13</v>
      </c>
      <c r="AC392" s="11">
        <f>IFERROR(__xludf.DUMMYFUNCTION("""COMPUTED_VALUE"""),73.0)</f>
        <v>73</v>
      </c>
      <c r="AD392" s="11">
        <f>IFERROR(__xludf.DUMMYFUNCTION("""COMPUTED_VALUE"""),64.0)</f>
        <v>64</v>
      </c>
    </row>
    <row r="393">
      <c r="A393" s="10" t="str">
        <f>IFERROR(__xludf.DUMMYFUNCTION("""COMPUTED_VALUE"""),"Master")</f>
        <v>Master</v>
      </c>
      <c r="B393" s="10" t="str">
        <f>IFERROR(__xludf.DUMMYFUNCTION("""COMPUTED_VALUE"""),"RSC001927")</f>
        <v>RSC001927</v>
      </c>
      <c r="C393" s="10" t="str">
        <f>IFERROR(__xludf.DUMMYFUNCTION("""COMPUTED_VALUE"""),"Ghxst")</f>
        <v>Ghxst</v>
      </c>
      <c r="D393" s="36" t="str">
        <f>IFERROR(__xludf.DUMMYFUNCTION("""COMPUTED_VALUE"""),"Permafrost")</f>
        <v>Permafrost</v>
      </c>
      <c r="E393" s="10" t="str">
        <f>IFERROR(__xludf.DUMMYFUNCTION("""COMPUTED_VALUE"""),"N/A")</f>
        <v>N/A</v>
      </c>
      <c r="F393" s="37">
        <f>IFERROR(__xludf.DUMMYFUNCTION("""COMPUTED_VALUE"""),50.08729090771073)</f>
        <v>50.08729091</v>
      </c>
      <c r="G393" s="38">
        <f>IFERROR(__xludf.DUMMYFUNCTION("""COMPUTED_VALUE"""),42.54499402207633)</f>
        <v>42.54499402</v>
      </c>
      <c r="H393" s="38">
        <f>IFERROR(__xludf.DUMMYFUNCTION("""COMPUTED_VALUE"""),46.31614246489353)</f>
        <v>46.31614246</v>
      </c>
      <c r="I393" s="14">
        <f>IFERROR(__xludf.DUMMYFUNCTION("""COMPUTED_VALUE"""),44.0)</f>
        <v>44</v>
      </c>
      <c r="J393" s="11">
        <f>IFERROR(__xludf.DUMMYFUNCTION("IFERROR(FILTER(Stats!$F:$Z,(Stats!$A:$A=$A393)*(Stats!$B:$B=$B393)))"),21.0)</f>
        <v>21</v>
      </c>
      <c r="K393" s="11">
        <f>IFERROR(__xludf.DUMMYFUNCTION("""COMPUTED_VALUE"""),23.0)</f>
        <v>23</v>
      </c>
      <c r="L393" s="12">
        <f>IFERROR(__xludf.DUMMYFUNCTION("""COMPUTED_VALUE"""),0.4772727272727273)</f>
        <v>0.4772727273</v>
      </c>
      <c r="M393" s="11">
        <f>IFERROR(__xludf.DUMMYFUNCTION("""COMPUTED_VALUE"""),6.0)</f>
        <v>6</v>
      </c>
      <c r="N393" s="11">
        <f>IFERROR(__xludf.DUMMYFUNCTION("""COMPUTED_VALUE"""),14597.0)</f>
        <v>14597</v>
      </c>
      <c r="O393" s="13">
        <f>IFERROR(__xludf.DUMMYFUNCTION("""COMPUTED_VALUE"""),27.0)</f>
        <v>27</v>
      </c>
      <c r="P393" s="14">
        <f>IFERROR(__xludf.DUMMYFUNCTION("""COMPUTED_VALUE"""),25.0)</f>
        <v>25</v>
      </c>
      <c r="Q393" s="13">
        <f>IFERROR(__xludf.DUMMYFUNCTION("""COMPUTED_VALUE"""),74.0)</f>
        <v>74</v>
      </c>
      <c r="R393" s="13">
        <f>IFERROR(__xludf.DUMMYFUNCTION("""COMPUTED_VALUE"""),83.0)</f>
        <v>83</v>
      </c>
      <c r="S393" s="15">
        <f>IFERROR(__xludf.DUMMYFUNCTION("""COMPUTED_VALUE"""),0.3253012048192771)</f>
        <v>0.3253012048</v>
      </c>
      <c r="T393" s="16">
        <f>IFERROR(__xludf.DUMMYFUNCTION("""COMPUTED_VALUE"""),331.75)</f>
        <v>331.75</v>
      </c>
      <c r="U393" s="16">
        <f>IFERROR(__xludf.DUMMYFUNCTION("""COMPUTED_VALUE"""),0.6136363636363636)</f>
        <v>0.6136363636</v>
      </c>
      <c r="V393" s="16">
        <f>IFERROR(__xludf.DUMMYFUNCTION("""COMPUTED_VALUE"""),0.5681818181818182)</f>
        <v>0.5681818182</v>
      </c>
      <c r="W393" s="16">
        <f>IFERROR(__xludf.DUMMYFUNCTION("""COMPUTED_VALUE"""),1.6818181818181819)</f>
        <v>1.681818182</v>
      </c>
      <c r="X393" s="16">
        <f>IFERROR(__xludf.DUMMYFUNCTION("""COMPUTED_VALUE"""),1.8863636363636365)</f>
        <v>1.886363636</v>
      </c>
      <c r="Y393" s="11">
        <f>IFERROR(__xludf.DUMMYFUNCTION("""COMPUTED_VALUE"""),5.0)</f>
        <v>5</v>
      </c>
      <c r="Z393" s="11">
        <f>IFERROR(__xludf.DUMMYFUNCTION("""COMPUTED_VALUE"""),0.0)</f>
        <v>0</v>
      </c>
      <c r="AA393" s="11">
        <f>IFERROR(__xludf.DUMMYFUNCTION("""COMPUTED_VALUE"""),1.0)</f>
        <v>1</v>
      </c>
      <c r="AB393" s="11">
        <f>IFERROR(__xludf.DUMMYFUNCTION("""COMPUTED_VALUE"""),12.0)</f>
        <v>12</v>
      </c>
      <c r="AC393" s="11">
        <f>IFERROR(__xludf.DUMMYFUNCTION("""COMPUTED_VALUE"""),25.0)</f>
        <v>25</v>
      </c>
      <c r="AD393" s="11">
        <f>IFERROR(__xludf.DUMMYFUNCTION("""COMPUTED_VALUE"""),37.0)</f>
        <v>37</v>
      </c>
    </row>
    <row r="394">
      <c r="A394" s="10" t="str">
        <f>IFERROR(__xludf.DUMMYFUNCTION("""COMPUTED_VALUE"""),"Master")</f>
        <v>Master</v>
      </c>
      <c r="B394" s="10" t="str">
        <f>IFERROR(__xludf.DUMMYFUNCTION("""COMPUTED_VALUE"""),"RSC005298")</f>
        <v>RSC005298</v>
      </c>
      <c r="C394" s="10" t="str">
        <f>IFERROR(__xludf.DUMMYFUNCTION("""COMPUTED_VALUE"""),"Kaisaroh")</f>
        <v>Kaisaroh</v>
      </c>
      <c r="D394" s="36" t="str">
        <f>IFERROR(__xludf.DUMMYFUNCTION("""COMPUTED_VALUE"""),"Care Bears")</f>
        <v>Care Bears</v>
      </c>
      <c r="E394" s="10" t="str">
        <f>IFERROR(__xludf.DUMMYFUNCTION("""COMPUTED_VALUE"""),"N/A")</f>
        <v>N/A</v>
      </c>
      <c r="F394" s="37">
        <f>IFERROR(__xludf.DUMMYFUNCTION("""COMPUTED_VALUE"""),25.429615329068486)</f>
        <v>25.42961533</v>
      </c>
      <c r="G394" s="38">
        <f>IFERROR(__xludf.DUMMYFUNCTION("""COMPUTED_VALUE"""),64.62637997782846)</f>
        <v>64.62637998</v>
      </c>
      <c r="H394" s="38">
        <f>IFERROR(__xludf.DUMMYFUNCTION("""COMPUTED_VALUE"""),45.02799765344847)</f>
        <v>45.02799765</v>
      </c>
      <c r="I394" s="14">
        <f>IFERROR(__xludf.DUMMYFUNCTION("""COMPUTED_VALUE"""),9.0)</f>
        <v>9</v>
      </c>
      <c r="J394" s="11">
        <f>IFERROR(__xludf.DUMMYFUNCTION("IFERROR(FILTER(Stats!$F:$Z,(Stats!$A:$A=$A394)*(Stats!$B:$B=$B394)))"),7.0)</f>
        <v>7</v>
      </c>
      <c r="K394" s="11">
        <f>IFERROR(__xludf.DUMMYFUNCTION("""COMPUTED_VALUE"""),2.0)</f>
        <v>2</v>
      </c>
      <c r="L394" s="12">
        <f>IFERROR(__xludf.DUMMYFUNCTION("""COMPUTED_VALUE"""),0.7777777777777778)</f>
        <v>0.7777777778</v>
      </c>
      <c r="M394" s="11">
        <f>IFERROR(__xludf.DUMMYFUNCTION("""COMPUTED_VALUE"""),2.0)</f>
        <v>2</v>
      </c>
      <c r="N394" s="11">
        <f>IFERROR(__xludf.DUMMYFUNCTION("""COMPUTED_VALUE"""),3003.0)</f>
        <v>3003</v>
      </c>
      <c r="O394" s="13">
        <f>IFERROR(__xludf.DUMMYFUNCTION("""COMPUTED_VALUE"""),11.0)</f>
        <v>11</v>
      </c>
      <c r="P394" s="14">
        <f>IFERROR(__xludf.DUMMYFUNCTION("""COMPUTED_VALUE"""),3.0)</f>
        <v>3</v>
      </c>
      <c r="Q394" s="13">
        <f>IFERROR(__xludf.DUMMYFUNCTION("""COMPUTED_VALUE"""),8.0)</f>
        <v>8</v>
      </c>
      <c r="R394" s="13">
        <f>IFERROR(__xludf.DUMMYFUNCTION("""COMPUTED_VALUE"""),22.0)</f>
        <v>22</v>
      </c>
      <c r="S394" s="15">
        <f>IFERROR(__xludf.DUMMYFUNCTION("""COMPUTED_VALUE"""),0.5)</f>
        <v>0.5</v>
      </c>
      <c r="T394" s="16">
        <f>IFERROR(__xludf.DUMMYFUNCTION("""COMPUTED_VALUE"""),333.6666666666667)</f>
        <v>333.6666667</v>
      </c>
      <c r="U394" s="16">
        <f>IFERROR(__xludf.DUMMYFUNCTION("""COMPUTED_VALUE"""),1.2222222222222223)</f>
        <v>1.222222222</v>
      </c>
      <c r="V394" s="16">
        <f>IFERROR(__xludf.DUMMYFUNCTION("""COMPUTED_VALUE"""),0.3333333333333333)</f>
        <v>0.3333333333</v>
      </c>
      <c r="W394" s="16">
        <f>IFERROR(__xludf.DUMMYFUNCTION("""COMPUTED_VALUE"""),0.8888888888888888)</f>
        <v>0.8888888889</v>
      </c>
      <c r="X394" s="16">
        <f>IFERROR(__xludf.DUMMYFUNCTION("""COMPUTED_VALUE"""),2.4444444444444446)</f>
        <v>2.444444444</v>
      </c>
      <c r="Y394" s="11">
        <f>IFERROR(__xludf.DUMMYFUNCTION("""COMPUTED_VALUE"""),1.0)</f>
        <v>1</v>
      </c>
      <c r="Z394" s="11">
        <f>IFERROR(__xludf.DUMMYFUNCTION("""COMPUTED_VALUE"""),1.0)</f>
        <v>1</v>
      </c>
      <c r="AA394" s="11">
        <f>IFERROR(__xludf.DUMMYFUNCTION("""COMPUTED_VALUE"""),0.0)</f>
        <v>0</v>
      </c>
      <c r="AB394" s="11">
        <f>IFERROR(__xludf.DUMMYFUNCTION("""COMPUTED_VALUE"""),0.0)</f>
        <v>0</v>
      </c>
      <c r="AC394" s="11">
        <f>IFERROR(__xludf.DUMMYFUNCTION("""COMPUTED_VALUE"""),7.0)</f>
        <v>7</v>
      </c>
      <c r="AD394" s="11">
        <f>IFERROR(__xludf.DUMMYFUNCTION("""COMPUTED_VALUE"""),12.0)</f>
        <v>12</v>
      </c>
    </row>
    <row r="395">
      <c r="A395" s="10" t="str">
        <f>IFERROR(__xludf.DUMMYFUNCTION("""COMPUTED_VALUE"""),"Master")</f>
        <v>Master</v>
      </c>
      <c r="B395" s="10" t="str">
        <f>IFERROR(__xludf.DUMMYFUNCTION("""COMPUTED_VALUE"""),"RSC000330")</f>
        <v>RSC000330</v>
      </c>
      <c r="C395" s="10" t="str">
        <f>IFERROR(__xludf.DUMMYFUNCTION("""COMPUTED_VALUE"""),"Infinite")</f>
        <v>Infinite</v>
      </c>
      <c r="D395" s="36" t="str">
        <f>IFERROR(__xludf.DUMMYFUNCTION("""COMPUTED_VALUE"""),"Oblivion")</f>
        <v>Oblivion</v>
      </c>
      <c r="E395" s="10" t="str">
        <f>IFERROR(__xludf.DUMMYFUNCTION("""COMPUTED_VALUE"""),"N/A")</f>
        <v>N/A</v>
      </c>
      <c r="F395" s="37">
        <f>IFERROR(__xludf.DUMMYFUNCTION("""COMPUTED_VALUE"""),48.140285991594205)</f>
        <v>48.14028599</v>
      </c>
      <c r="G395" s="38">
        <f>IFERROR(__xludf.DUMMYFUNCTION("""COMPUTED_VALUE"""),41.082062353827766)</f>
        <v>41.08206235</v>
      </c>
      <c r="H395" s="38">
        <f>IFERROR(__xludf.DUMMYFUNCTION("""COMPUTED_VALUE"""),44.61117417271099)</f>
        <v>44.61117417</v>
      </c>
      <c r="I395" s="14">
        <f>IFERROR(__xludf.DUMMYFUNCTION("""COMPUTED_VALUE"""),42.0)</f>
        <v>42</v>
      </c>
      <c r="J395" s="11">
        <f>IFERROR(__xludf.DUMMYFUNCTION("IFERROR(FILTER(Stats!$F:$Z,(Stats!$A:$A=$A395)*(Stats!$B:$B=$B395)))"),21.0)</f>
        <v>21</v>
      </c>
      <c r="K395" s="11">
        <f>IFERROR(__xludf.DUMMYFUNCTION("""COMPUTED_VALUE"""),21.0)</f>
        <v>21</v>
      </c>
      <c r="L395" s="12">
        <f>IFERROR(__xludf.DUMMYFUNCTION("""COMPUTED_VALUE"""),0.5)</f>
        <v>0.5</v>
      </c>
      <c r="M395" s="11">
        <f>IFERROR(__xludf.DUMMYFUNCTION("""COMPUTED_VALUE"""),8.0)</f>
        <v>8</v>
      </c>
      <c r="N395" s="11">
        <f>IFERROR(__xludf.DUMMYFUNCTION("""COMPUTED_VALUE"""),14408.0)</f>
        <v>14408</v>
      </c>
      <c r="O395" s="13">
        <f>IFERROR(__xludf.DUMMYFUNCTION("""COMPUTED_VALUE"""),26.0)</f>
        <v>26</v>
      </c>
      <c r="P395" s="14">
        <f>IFERROR(__xludf.DUMMYFUNCTION("""COMPUTED_VALUE"""),21.0)</f>
        <v>21</v>
      </c>
      <c r="Q395" s="13">
        <f>IFERROR(__xludf.DUMMYFUNCTION("""COMPUTED_VALUE"""),66.0)</f>
        <v>66</v>
      </c>
      <c r="R395" s="13">
        <f>IFERROR(__xludf.DUMMYFUNCTION("""COMPUTED_VALUE"""),93.0)</f>
        <v>93</v>
      </c>
      <c r="S395" s="15">
        <f>IFERROR(__xludf.DUMMYFUNCTION("""COMPUTED_VALUE"""),0.27956989247311825)</f>
        <v>0.2795698925</v>
      </c>
      <c r="T395" s="16">
        <f>IFERROR(__xludf.DUMMYFUNCTION("""COMPUTED_VALUE"""),343.04761904761904)</f>
        <v>343.047619</v>
      </c>
      <c r="U395" s="16">
        <f>IFERROR(__xludf.DUMMYFUNCTION("""COMPUTED_VALUE"""),0.6190476190476191)</f>
        <v>0.619047619</v>
      </c>
      <c r="V395" s="16">
        <f>IFERROR(__xludf.DUMMYFUNCTION("""COMPUTED_VALUE"""),0.5)</f>
        <v>0.5</v>
      </c>
      <c r="W395" s="16">
        <f>IFERROR(__xludf.DUMMYFUNCTION("""COMPUTED_VALUE"""),1.5714285714285714)</f>
        <v>1.571428571</v>
      </c>
      <c r="X395" s="16">
        <f>IFERROR(__xludf.DUMMYFUNCTION("""COMPUTED_VALUE"""),2.2142857142857144)</f>
        <v>2.214285714</v>
      </c>
      <c r="Y395" s="11">
        <f>IFERROR(__xludf.DUMMYFUNCTION("""COMPUTED_VALUE"""),6.0)</f>
        <v>6</v>
      </c>
      <c r="Z395" s="11">
        <f>IFERROR(__xludf.DUMMYFUNCTION("""COMPUTED_VALUE"""),2.0)</f>
        <v>2</v>
      </c>
      <c r="AA395" s="11">
        <f>IFERROR(__xludf.DUMMYFUNCTION("""COMPUTED_VALUE"""),1.0)</f>
        <v>1</v>
      </c>
      <c r="AB395" s="11">
        <f>IFERROR(__xludf.DUMMYFUNCTION("""COMPUTED_VALUE"""),16.0)</f>
        <v>16</v>
      </c>
      <c r="AC395" s="11">
        <f>IFERROR(__xludf.DUMMYFUNCTION("""COMPUTED_VALUE"""),44.0)</f>
        <v>44</v>
      </c>
      <c r="AD395" s="11">
        <f>IFERROR(__xludf.DUMMYFUNCTION("""COMPUTED_VALUE"""),44.0)</f>
        <v>44</v>
      </c>
    </row>
    <row r="396">
      <c r="A396" s="10" t="str">
        <f>IFERROR(__xludf.DUMMYFUNCTION("""COMPUTED_VALUE"""),"Master")</f>
        <v>Master</v>
      </c>
      <c r="B396" s="10" t="str">
        <f>IFERROR(__xludf.DUMMYFUNCTION("""COMPUTED_VALUE"""),"RSC007295")</f>
        <v>RSC007295</v>
      </c>
      <c r="C396" s="10" t="str">
        <f>IFERROR(__xludf.DUMMYFUNCTION("""COMPUTED_VALUE"""),"TheLegendaryChance")</f>
        <v>TheLegendaryChance</v>
      </c>
      <c r="D396" s="36" t="str">
        <f>IFERROR(__xludf.DUMMYFUNCTION("""COMPUTED_VALUE"""),"Battle Masters")</f>
        <v>Battle Masters</v>
      </c>
      <c r="E396" s="10" t="str">
        <f>IFERROR(__xludf.DUMMYFUNCTION("""COMPUTED_VALUE"""),"N/A")</f>
        <v>N/A</v>
      </c>
      <c r="F396" s="37">
        <f>IFERROR(__xludf.DUMMYFUNCTION("""COMPUTED_VALUE"""),44.513038718180745)</f>
        <v>44.51303872</v>
      </c>
      <c r="G396" s="38">
        <f>IFERROR(__xludf.DUMMYFUNCTION("""COMPUTED_VALUE"""),44.13031725676522)</f>
        <v>44.13031726</v>
      </c>
      <c r="H396" s="38">
        <f>IFERROR(__xludf.DUMMYFUNCTION("""COMPUTED_VALUE"""),44.32167798747298)</f>
        <v>44.32167799</v>
      </c>
      <c r="I396" s="14">
        <f>IFERROR(__xludf.DUMMYFUNCTION("""COMPUTED_VALUE"""),38.0)</f>
        <v>38</v>
      </c>
      <c r="J396" s="11">
        <f>IFERROR(__xludf.DUMMYFUNCTION("IFERROR(FILTER(Stats!$F:$Z,(Stats!$A:$A=$A396)*(Stats!$B:$B=$B396)))"),10.0)</f>
        <v>10</v>
      </c>
      <c r="K396" s="11">
        <f>IFERROR(__xludf.DUMMYFUNCTION("""COMPUTED_VALUE"""),28.0)</f>
        <v>28</v>
      </c>
      <c r="L396" s="12">
        <f>IFERROR(__xludf.DUMMYFUNCTION("""COMPUTED_VALUE"""),0.2631578947368421)</f>
        <v>0.2631578947</v>
      </c>
      <c r="M396" s="11">
        <f>IFERROR(__xludf.DUMMYFUNCTION("""COMPUTED_VALUE"""),2.0)</f>
        <v>2</v>
      </c>
      <c r="N396" s="11">
        <f>IFERROR(__xludf.DUMMYFUNCTION("""COMPUTED_VALUE"""),12919.0)</f>
        <v>12919</v>
      </c>
      <c r="O396" s="13">
        <f>IFERROR(__xludf.DUMMYFUNCTION("""COMPUTED_VALUE"""),25.0)</f>
        <v>25</v>
      </c>
      <c r="P396" s="14">
        <f>IFERROR(__xludf.DUMMYFUNCTION("""COMPUTED_VALUE"""),17.0)</f>
        <v>17</v>
      </c>
      <c r="Q396" s="13">
        <f>IFERROR(__xludf.DUMMYFUNCTION("""COMPUTED_VALUE"""),63.0)</f>
        <v>63</v>
      </c>
      <c r="R396" s="13">
        <f>IFERROR(__xludf.DUMMYFUNCTION("""COMPUTED_VALUE"""),93.0)</f>
        <v>93</v>
      </c>
      <c r="S396" s="15">
        <f>IFERROR(__xludf.DUMMYFUNCTION("""COMPUTED_VALUE"""),0.26881720430107525)</f>
        <v>0.2688172043</v>
      </c>
      <c r="T396" s="16">
        <f>IFERROR(__xludf.DUMMYFUNCTION("""COMPUTED_VALUE"""),339.9736842105263)</f>
        <v>339.9736842</v>
      </c>
      <c r="U396" s="16">
        <f>IFERROR(__xludf.DUMMYFUNCTION("""COMPUTED_VALUE"""),0.6578947368421053)</f>
        <v>0.6578947368</v>
      </c>
      <c r="V396" s="16">
        <f>IFERROR(__xludf.DUMMYFUNCTION("""COMPUTED_VALUE"""),0.4473684210526316)</f>
        <v>0.4473684211</v>
      </c>
      <c r="W396" s="16">
        <f>IFERROR(__xludf.DUMMYFUNCTION("""COMPUTED_VALUE"""),1.6578947368421053)</f>
        <v>1.657894737</v>
      </c>
      <c r="X396" s="16">
        <f>IFERROR(__xludf.DUMMYFUNCTION("""COMPUTED_VALUE"""),2.4473684210526314)</f>
        <v>2.447368421</v>
      </c>
      <c r="Y396" s="11">
        <f>IFERROR(__xludf.DUMMYFUNCTION("""COMPUTED_VALUE"""),6.0)</f>
        <v>6</v>
      </c>
      <c r="Z396" s="11">
        <f>IFERROR(__xludf.DUMMYFUNCTION("""COMPUTED_VALUE"""),0.0)</f>
        <v>0</v>
      </c>
      <c r="AA396" s="11">
        <f>IFERROR(__xludf.DUMMYFUNCTION("""COMPUTED_VALUE"""),0.0)</f>
        <v>0</v>
      </c>
      <c r="AB396" s="11">
        <f>IFERROR(__xludf.DUMMYFUNCTION("""COMPUTED_VALUE"""),13.0)</f>
        <v>13</v>
      </c>
      <c r="AC396" s="11">
        <f>IFERROR(__xludf.DUMMYFUNCTION("""COMPUTED_VALUE"""),66.0)</f>
        <v>66</v>
      </c>
      <c r="AD396" s="11">
        <f>IFERROR(__xludf.DUMMYFUNCTION("""COMPUTED_VALUE"""),40.0)</f>
        <v>40</v>
      </c>
    </row>
    <row r="397">
      <c r="A397" s="10" t="str">
        <f>IFERROR(__xludf.DUMMYFUNCTION("""COMPUTED_VALUE"""),"Master")</f>
        <v>Master</v>
      </c>
      <c r="B397" s="10" t="str">
        <f>IFERROR(__xludf.DUMMYFUNCTION("""COMPUTED_VALUE"""),"RSC003445")</f>
        <v>RSC003445</v>
      </c>
      <c r="C397" s="10" t="str">
        <f>IFERROR(__xludf.DUMMYFUNCTION("""COMPUTED_VALUE"""),"bosco")</f>
        <v>bosco</v>
      </c>
      <c r="D397" s="36" t="str">
        <f>IFERROR(__xludf.DUMMYFUNCTION("""COMPUTED_VALUE"""),"Lemurs
Kawaii
Helicoprions")</f>
        <v>Lemurs
Kawaii
Helicoprions</v>
      </c>
      <c r="E397" s="10" t="str">
        <f>IFERROR(__xludf.DUMMYFUNCTION("""COMPUTED_VALUE"""),"N/A
N/A
N/A")</f>
        <v>N/A
N/A
N/A</v>
      </c>
      <c r="F397" s="37">
        <f>IFERROR(__xludf.DUMMYFUNCTION("""COMPUTED_VALUE"""),48.21795033269317)</f>
        <v>48.21795033</v>
      </c>
      <c r="G397" s="38">
        <f>IFERROR(__xludf.DUMMYFUNCTION("""COMPUTED_VALUE"""),37.53626040150368)</f>
        <v>37.5362604</v>
      </c>
      <c r="H397" s="38">
        <f>IFERROR(__xludf.DUMMYFUNCTION("""COMPUTED_VALUE"""),42.87710536709842)</f>
        <v>42.87710537</v>
      </c>
      <c r="I397" s="14">
        <f>IFERROR(__xludf.DUMMYFUNCTION("""COMPUTED_VALUE"""),12.0)</f>
        <v>12</v>
      </c>
      <c r="J397" s="11">
        <f>IFERROR(__xludf.DUMMYFUNCTION("IFERROR(FILTER(Stats!$F:$Z,(Stats!$A:$A=$A397)*(Stats!$B:$B=$B397)))"),5.0)</f>
        <v>5</v>
      </c>
      <c r="K397" s="11">
        <f>IFERROR(__xludf.DUMMYFUNCTION("""COMPUTED_VALUE"""),7.0)</f>
        <v>7</v>
      </c>
      <c r="L397" s="12">
        <f>IFERROR(__xludf.DUMMYFUNCTION("""COMPUTED_VALUE"""),0.4166666666666667)</f>
        <v>0.4166666667</v>
      </c>
      <c r="M397" s="11">
        <f>IFERROR(__xludf.DUMMYFUNCTION("""COMPUTED_VALUE"""),0.0)</f>
        <v>0</v>
      </c>
      <c r="N397" s="11">
        <f>IFERROR(__xludf.DUMMYFUNCTION("""COMPUTED_VALUE"""),2649.0)</f>
        <v>2649</v>
      </c>
      <c r="O397" s="13">
        <f>IFERROR(__xludf.DUMMYFUNCTION("""COMPUTED_VALUE"""),4.0)</f>
        <v>4</v>
      </c>
      <c r="P397" s="14">
        <f>IFERROR(__xludf.DUMMYFUNCTION("""COMPUTED_VALUE"""),7.0)</f>
        <v>7</v>
      </c>
      <c r="Q397" s="13">
        <f>IFERROR(__xludf.DUMMYFUNCTION("""COMPUTED_VALUE"""),9.0)</f>
        <v>9</v>
      </c>
      <c r="R397" s="13">
        <f>IFERROR(__xludf.DUMMYFUNCTION("""COMPUTED_VALUE"""),20.0)</f>
        <v>20</v>
      </c>
      <c r="S397" s="15">
        <f>IFERROR(__xludf.DUMMYFUNCTION("""COMPUTED_VALUE"""),0.2)</f>
        <v>0.2</v>
      </c>
      <c r="T397" s="16">
        <f>IFERROR(__xludf.DUMMYFUNCTION("""COMPUTED_VALUE"""),220.75)</f>
        <v>220.75</v>
      </c>
      <c r="U397" s="16">
        <f>IFERROR(__xludf.DUMMYFUNCTION("""COMPUTED_VALUE"""),0.3333333333333333)</f>
        <v>0.3333333333</v>
      </c>
      <c r="V397" s="16">
        <f>IFERROR(__xludf.DUMMYFUNCTION("""COMPUTED_VALUE"""),0.5833333333333334)</f>
        <v>0.5833333333</v>
      </c>
      <c r="W397" s="16">
        <f>IFERROR(__xludf.DUMMYFUNCTION("""COMPUTED_VALUE"""),0.75)</f>
        <v>0.75</v>
      </c>
      <c r="X397" s="16">
        <f>IFERROR(__xludf.DUMMYFUNCTION("""COMPUTED_VALUE"""),1.6666666666666667)</f>
        <v>1.666666667</v>
      </c>
      <c r="Y397" s="11">
        <f>IFERROR(__xludf.DUMMYFUNCTION("""COMPUTED_VALUE"""),1.0)</f>
        <v>1</v>
      </c>
      <c r="Z397" s="11">
        <f>IFERROR(__xludf.DUMMYFUNCTION("""COMPUTED_VALUE"""),0.0)</f>
        <v>0</v>
      </c>
      <c r="AA397" s="11">
        <f>IFERROR(__xludf.DUMMYFUNCTION("""COMPUTED_VALUE"""),0.0)</f>
        <v>0</v>
      </c>
      <c r="AB397" s="11">
        <f>IFERROR(__xludf.DUMMYFUNCTION("""COMPUTED_VALUE"""),2.0)</f>
        <v>2</v>
      </c>
      <c r="AC397" s="11">
        <f>IFERROR(__xludf.DUMMYFUNCTION("""COMPUTED_VALUE"""),10.0)</f>
        <v>10</v>
      </c>
      <c r="AD397" s="11">
        <f>IFERROR(__xludf.DUMMYFUNCTION("""COMPUTED_VALUE"""),5.0)</f>
        <v>5</v>
      </c>
    </row>
    <row r="398">
      <c r="A398" s="10" t="str">
        <f>IFERROR(__xludf.DUMMYFUNCTION("""COMPUTED_VALUE"""),"Master")</f>
        <v>Master</v>
      </c>
      <c r="B398" s="10" t="str">
        <f>IFERROR(__xludf.DUMMYFUNCTION("""COMPUTED_VALUE"""),"RSC005234")</f>
        <v>RSC005234</v>
      </c>
      <c r="C398" s="10" t="str">
        <f>IFERROR(__xludf.DUMMYFUNCTION("""COMPUTED_VALUE"""),"Hirsch")</f>
        <v>Hirsch</v>
      </c>
      <c r="D398" s="36" t="str">
        <f>IFERROR(__xludf.DUMMYFUNCTION("""COMPUTED_VALUE"""),"Oblivion")</f>
        <v>Oblivion</v>
      </c>
      <c r="E398" s="10" t="str">
        <f>IFERROR(__xludf.DUMMYFUNCTION("""COMPUTED_VALUE"""),"N/A")</f>
        <v>N/A</v>
      </c>
      <c r="F398" s="37">
        <f>IFERROR(__xludf.DUMMYFUNCTION("""COMPUTED_VALUE"""),47.93259132411976)</f>
        <v>47.93259132</v>
      </c>
      <c r="G398" s="38">
        <f>IFERROR(__xludf.DUMMYFUNCTION("""COMPUTED_VALUE"""),37.41723678945241)</f>
        <v>37.41723679</v>
      </c>
      <c r="H398" s="38">
        <f>IFERROR(__xludf.DUMMYFUNCTION("""COMPUTED_VALUE"""),42.674914056786086)</f>
        <v>42.67491406</v>
      </c>
      <c r="I398" s="14">
        <f>IFERROR(__xludf.DUMMYFUNCTION("""COMPUTED_VALUE"""),30.0)</f>
        <v>30</v>
      </c>
      <c r="J398" s="11">
        <f>IFERROR(__xludf.DUMMYFUNCTION("IFERROR(FILTER(Stats!$F:$Z,(Stats!$A:$A=$A398)*(Stats!$B:$B=$B398)))"),9.0)</f>
        <v>9</v>
      </c>
      <c r="K398" s="11">
        <f>IFERROR(__xludf.DUMMYFUNCTION("""COMPUTED_VALUE"""),21.0)</f>
        <v>21</v>
      </c>
      <c r="L398" s="12">
        <f>IFERROR(__xludf.DUMMYFUNCTION("""COMPUTED_VALUE"""),0.3)</f>
        <v>0.3</v>
      </c>
      <c r="M398" s="11">
        <f>IFERROR(__xludf.DUMMYFUNCTION("""COMPUTED_VALUE"""),3.0)</f>
        <v>3</v>
      </c>
      <c r="N398" s="11">
        <f>IFERROR(__xludf.DUMMYFUNCTION("""COMPUTED_VALUE"""),11029.0)</f>
        <v>11029</v>
      </c>
      <c r="O398" s="13">
        <f>IFERROR(__xludf.DUMMYFUNCTION("""COMPUTED_VALUE"""),17.0)</f>
        <v>17</v>
      </c>
      <c r="P398" s="14">
        <f>IFERROR(__xludf.DUMMYFUNCTION("""COMPUTED_VALUE"""),18.0)</f>
        <v>18</v>
      </c>
      <c r="Q398" s="13">
        <f>IFERROR(__xludf.DUMMYFUNCTION("""COMPUTED_VALUE"""),54.0)</f>
        <v>54</v>
      </c>
      <c r="R398" s="13">
        <f>IFERROR(__xludf.DUMMYFUNCTION("""COMPUTED_VALUE"""),80.0)</f>
        <v>80</v>
      </c>
      <c r="S398" s="15">
        <f>IFERROR(__xludf.DUMMYFUNCTION("""COMPUTED_VALUE"""),0.2125)</f>
        <v>0.2125</v>
      </c>
      <c r="T398" s="16">
        <f>IFERROR(__xludf.DUMMYFUNCTION("""COMPUTED_VALUE"""),367.6333333333333)</f>
        <v>367.6333333</v>
      </c>
      <c r="U398" s="16">
        <f>IFERROR(__xludf.DUMMYFUNCTION("""COMPUTED_VALUE"""),0.5666666666666667)</f>
        <v>0.5666666667</v>
      </c>
      <c r="V398" s="16">
        <f>IFERROR(__xludf.DUMMYFUNCTION("""COMPUTED_VALUE"""),0.6)</f>
        <v>0.6</v>
      </c>
      <c r="W398" s="16">
        <f>IFERROR(__xludf.DUMMYFUNCTION("""COMPUTED_VALUE"""),1.8)</f>
        <v>1.8</v>
      </c>
      <c r="X398" s="16">
        <f>IFERROR(__xludf.DUMMYFUNCTION("""COMPUTED_VALUE"""),2.6666666666666665)</f>
        <v>2.666666667</v>
      </c>
      <c r="Y398" s="11">
        <f>IFERROR(__xludf.DUMMYFUNCTION("""COMPUTED_VALUE"""),2.0)</f>
        <v>2</v>
      </c>
      <c r="Z398" s="11">
        <f>IFERROR(__xludf.DUMMYFUNCTION("""COMPUTED_VALUE"""),1.0)</f>
        <v>1</v>
      </c>
      <c r="AA398" s="11">
        <f>IFERROR(__xludf.DUMMYFUNCTION("""COMPUTED_VALUE"""),0.0)</f>
        <v>0</v>
      </c>
      <c r="AB398" s="11">
        <f>IFERROR(__xludf.DUMMYFUNCTION("""COMPUTED_VALUE"""),8.0)</f>
        <v>8</v>
      </c>
      <c r="AC398" s="11">
        <f>IFERROR(__xludf.DUMMYFUNCTION("""COMPUTED_VALUE"""),63.0)</f>
        <v>63</v>
      </c>
      <c r="AD398" s="11">
        <f>IFERROR(__xludf.DUMMYFUNCTION("""COMPUTED_VALUE"""),35.0)</f>
        <v>35</v>
      </c>
    </row>
    <row r="399">
      <c r="A399" s="10" t="str">
        <f>IFERROR(__xludf.DUMMYFUNCTION("""COMPUTED_VALUE"""),"Master")</f>
        <v>Master</v>
      </c>
      <c r="B399" s="10" t="str">
        <f>IFERROR(__xludf.DUMMYFUNCTION("""COMPUTED_VALUE"""),"RSC007941")</f>
        <v>RSC007941</v>
      </c>
      <c r="C399" s="10" t="str">
        <f>IFERROR(__xludf.DUMMYFUNCTION("""COMPUTED_VALUE"""),"Shepherd")</f>
        <v>Shepherd</v>
      </c>
      <c r="D399" s="36" t="str">
        <f>IFERROR(__xludf.DUMMYFUNCTION("""COMPUTED_VALUE"""),"Spectres")</f>
        <v>Spectres</v>
      </c>
      <c r="E399" s="10" t="str">
        <f>IFERROR(__xludf.DUMMYFUNCTION("""COMPUTED_VALUE"""),"N/A")</f>
        <v>N/A</v>
      </c>
      <c r="F399" s="37">
        <f>IFERROR(__xludf.DUMMYFUNCTION("""COMPUTED_VALUE"""),35.348226280092476)</f>
        <v>35.34822628</v>
      </c>
      <c r="G399" s="38">
        <f>IFERROR(__xludf.DUMMYFUNCTION("""COMPUTED_VALUE"""),37.94733355400686)</f>
        <v>37.94733355</v>
      </c>
      <c r="H399" s="38">
        <f>IFERROR(__xludf.DUMMYFUNCTION("""COMPUTED_VALUE"""),36.64777991704967)</f>
        <v>36.64777992</v>
      </c>
      <c r="I399" s="14">
        <f>IFERROR(__xludf.DUMMYFUNCTION("""COMPUTED_VALUE"""),36.0)</f>
        <v>36</v>
      </c>
      <c r="J399" s="11">
        <f>IFERROR(__xludf.DUMMYFUNCTION("IFERROR(FILTER(Stats!$F:$Z,(Stats!$A:$A=$A399)*(Stats!$B:$B=$B399)))"),21.0)</f>
        <v>21</v>
      </c>
      <c r="K399" s="11">
        <f>IFERROR(__xludf.DUMMYFUNCTION("""COMPUTED_VALUE"""),15.0)</f>
        <v>15</v>
      </c>
      <c r="L399" s="12">
        <f>IFERROR(__xludf.DUMMYFUNCTION("""COMPUTED_VALUE"""),0.5833333333333334)</f>
        <v>0.5833333333</v>
      </c>
      <c r="M399" s="11">
        <f>IFERROR(__xludf.DUMMYFUNCTION("""COMPUTED_VALUE"""),2.0)</f>
        <v>2</v>
      </c>
      <c r="N399" s="11">
        <f>IFERROR(__xludf.DUMMYFUNCTION("""COMPUTED_VALUE"""),9683.0)</f>
        <v>9683</v>
      </c>
      <c r="O399" s="13">
        <f>IFERROR(__xludf.DUMMYFUNCTION("""COMPUTED_VALUE"""),18.0)</f>
        <v>18</v>
      </c>
      <c r="P399" s="14">
        <f>IFERROR(__xludf.DUMMYFUNCTION("""COMPUTED_VALUE"""),18.0)</f>
        <v>18</v>
      </c>
      <c r="Q399" s="13">
        <f>IFERROR(__xludf.DUMMYFUNCTION("""COMPUTED_VALUE"""),39.0)</f>
        <v>39</v>
      </c>
      <c r="R399" s="13">
        <f>IFERROR(__xludf.DUMMYFUNCTION("""COMPUTED_VALUE"""),64.0)</f>
        <v>64</v>
      </c>
      <c r="S399" s="15">
        <f>IFERROR(__xludf.DUMMYFUNCTION("""COMPUTED_VALUE"""),0.28125)</f>
        <v>0.28125</v>
      </c>
      <c r="T399" s="16">
        <f>IFERROR(__xludf.DUMMYFUNCTION("""COMPUTED_VALUE"""),268.97222222222223)</f>
        <v>268.9722222</v>
      </c>
      <c r="U399" s="16">
        <f>IFERROR(__xludf.DUMMYFUNCTION("""COMPUTED_VALUE"""),0.5)</f>
        <v>0.5</v>
      </c>
      <c r="V399" s="16">
        <f>IFERROR(__xludf.DUMMYFUNCTION("""COMPUTED_VALUE"""),0.5)</f>
        <v>0.5</v>
      </c>
      <c r="W399" s="16">
        <f>IFERROR(__xludf.DUMMYFUNCTION("""COMPUTED_VALUE"""),1.0833333333333333)</f>
        <v>1.083333333</v>
      </c>
      <c r="X399" s="16">
        <f>IFERROR(__xludf.DUMMYFUNCTION("""COMPUTED_VALUE"""),1.7777777777777777)</f>
        <v>1.777777778</v>
      </c>
      <c r="Y399" s="11">
        <f>IFERROR(__xludf.DUMMYFUNCTION("""COMPUTED_VALUE"""),5.0)</f>
        <v>5</v>
      </c>
      <c r="Z399" s="11">
        <f>IFERROR(__xludf.DUMMYFUNCTION("""COMPUTED_VALUE"""),0.0)</f>
        <v>0</v>
      </c>
      <c r="AA399" s="11">
        <f>IFERROR(__xludf.DUMMYFUNCTION("""COMPUTED_VALUE"""),2.0)</f>
        <v>2</v>
      </c>
      <c r="AB399" s="11">
        <f>IFERROR(__xludf.DUMMYFUNCTION("""COMPUTED_VALUE"""),4.0)</f>
        <v>4</v>
      </c>
      <c r="AC399" s="11">
        <f>IFERROR(__xludf.DUMMYFUNCTION("""COMPUTED_VALUE"""),54.0)</f>
        <v>54</v>
      </c>
      <c r="AD399" s="11">
        <f>IFERROR(__xludf.DUMMYFUNCTION("""COMPUTED_VALUE"""),45.0)</f>
        <v>45</v>
      </c>
    </row>
    <row r="400">
      <c r="A400" s="10" t="str">
        <f>IFERROR(__xludf.DUMMYFUNCTION("""COMPUTED_VALUE"""),"Master")</f>
        <v>Master</v>
      </c>
      <c r="B400" s="10" t="str">
        <f>IFERROR(__xludf.DUMMYFUNCTION("""COMPUTED_VALUE"""),"RSC007868")</f>
        <v>RSC007868</v>
      </c>
      <c r="C400" s="10" t="str">
        <f>IFERROR(__xludf.DUMMYFUNCTION("""COMPUTED_VALUE"""),"(Jay)")</f>
        <v>(Jay)</v>
      </c>
      <c r="D400" s="36" t="str">
        <f>IFERROR(__xludf.DUMMYFUNCTION("""COMPUTED_VALUE"""),"Andromeda
Reapers
Battle Masters")</f>
        <v>Andromeda
Reapers
Battle Masters</v>
      </c>
      <c r="E400" s="10" t="str">
        <f>IFERROR(__xludf.DUMMYFUNCTION("""COMPUTED_VALUE"""),"N/A
N/A
N/A")</f>
        <v>N/A
N/A
N/A</v>
      </c>
      <c r="F400" s="37">
        <f>IFERROR(__xludf.DUMMYFUNCTION("""COMPUTED_VALUE"""),34.72724856461013)</f>
        <v>34.72724856</v>
      </c>
      <c r="G400" s="38">
        <f>IFERROR(__xludf.DUMMYFUNCTION("""COMPUTED_VALUE"""),37.36303116661342)</f>
        <v>37.36303117</v>
      </c>
      <c r="H400" s="38">
        <f>IFERROR(__xludf.DUMMYFUNCTION("""COMPUTED_VALUE"""),36.04513986561177)</f>
        <v>36.04513987</v>
      </c>
      <c r="I400" s="14">
        <f>IFERROR(__xludf.DUMMYFUNCTION("""COMPUTED_VALUE"""),28.0)</f>
        <v>28</v>
      </c>
      <c r="J400" s="11">
        <f>IFERROR(__xludf.DUMMYFUNCTION("IFERROR(FILTER(Stats!$F:$Z,(Stats!$A:$A=$A400)*(Stats!$B:$B=$B400)))"),13.0)</f>
        <v>13</v>
      </c>
      <c r="K400" s="11">
        <f>IFERROR(__xludf.DUMMYFUNCTION("""COMPUTED_VALUE"""),15.0)</f>
        <v>15</v>
      </c>
      <c r="L400" s="12">
        <f>IFERROR(__xludf.DUMMYFUNCTION("""COMPUTED_VALUE"""),0.4642857142857143)</f>
        <v>0.4642857143</v>
      </c>
      <c r="M400" s="11">
        <f>IFERROR(__xludf.DUMMYFUNCTION("""COMPUTED_VALUE"""),5.0)</f>
        <v>5</v>
      </c>
      <c r="N400" s="11">
        <f>IFERROR(__xludf.DUMMYFUNCTION("""COMPUTED_VALUE"""),9719.0)</f>
        <v>9719</v>
      </c>
      <c r="O400" s="13">
        <f>IFERROR(__xludf.DUMMYFUNCTION("""COMPUTED_VALUE"""),17.0)</f>
        <v>17</v>
      </c>
      <c r="P400" s="14">
        <f>IFERROR(__xludf.DUMMYFUNCTION("""COMPUTED_VALUE"""),15.0)</f>
        <v>15</v>
      </c>
      <c r="Q400" s="13">
        <f>IFERROR(__xludf.DUMMYFUNCTION("""COMPUTED_VALUE"""),47.0)</f>
        <v>47</v>
      </c>
      <c r="R400" s="13">
        <f>IFERROR(__xludf.DUMMYFUNCTION("""COMPUTED_VALUE"""),64.0)</f>
        <v>64</v>
      </c>
      <c r="S400" s="15">
        <f>IFERROR(__xludf.DUMMYFUNCTION("""COMPUTED_VALUE"""),0.265625)</f>
        <v>0.265625</v>
      </c>
      <c r="T400" s="16">
        <f>IFERROR(__xludf.DUMMYFUNCTION("""COMPUTED_VALUE"""),347.10714285714283)</f>
        <v>347.1071429</v>
      </c>
      <c r="U400" s="16">
        <f>IFERROR(__xludf.DUMMYFUNCTION("""COMPUTED_VALUE"""),0.6071428571428571)</f>
        <v>0.6071428571</v>
      </c>
      <c r="V400" s="16">
        <f>IFERROR(__xludf.DUMMYFUNCTION("""COMPUTED_VALUE"""),0.5357142857142857)</f>
        <v>0.5357142857</v>
      </c>
      <c r="W400" s="16">
        <f>IFERROR(__xludf.DUMMYFUNCTION("""COMPUTED_VALUE"""),1.6785714285714286)</f>
        <v>1.678571429</v>
      </c>
      <c r="X400" s="16">
        <f>IFERROR(__xludf.DUMMYFUNCTION("""COMPUTED_VALUE"""),2.2857142857142856)</f>
        <v>2.285714286</v>
      </c>
      <c r="Y400" s="11">
        <f>IFERROR(__xludf.DUMMYFUNCTION("""COMPUTED_VALUE"""),3.0)</f>
        <v>3</v>
      </c>
      <c r="Z400" s="11">
        <f>IFERROR(__xludf.DUMMYFUNCTION("""COMPUTED_VALUE"""),1.0)</f>
        <v>1</v>
      </c>
      <c r="AA400" s="11">
        <f>IFERROR(__xludf.DUMMYFUNCTION("""COMPUTED_VALUE"""),0.0)</f>
        <v>0</v>
      </c>
      <c r="AB400" s="11">
        <f>IFERROR(__xludf.DUMMYFUNCTION("""COMPUTED_VALUE"""),7.0)</f>
        <v>7</v>
      </c>
      <c r="AC400" s="11">
        <f>IFERROR(__xludf.DUMMYFUNCTION("""COMPUTED_VALUE"""),43.0)</f>
        <v>43</v>
      </c>
      <c r="AD400" s="11">
        <f>IFERROR(__xludf.DUMMYFUNCTION("""COMPUTED_VALUE"""),33.0)</f>
        <v>33</v>
      </c>
    </row>
    <row r="401">
      <c r="A401" s="10" t="str">
        <f>IFERROR(__xludf.DUMMYFUNCTION("""COMPUTED_VALUE"""),"Master")</f>
        <v>Master</v>
      </c>
      <c r="B401" s="10" t="str">
        <f>IFERROR(__xludf.DUMMYFUNCTION("""COMPUTED_VALUE"""),"RSC007494")</f>
        <v>RSC007494</v>
      </c>
      <c r="C401" s="10" t="str">
        <f>IFERROR(__xludf.DUMMYFUNCTION("""COMPUTED_VALUE"""),"C-Loupe")</f>
        <v>C-Loupe</v>
      </c>
      <c r="D401" s="36" t="str">
        <f>IFERROR(__xludf.DUMMYFUNCTION("""COMPUTED_VALUE"""),"Helicoprions")</f>
        <v>Helicoprions</v>
      </c>
      <c r="E401" s="10" t="str">
        <f>IFERROR(__xludf.DUMMYFUNCTION("""COMPUTED_VALUE"""),"N/A")</f>
        <v>N/A</v>
      </c>
      <c r="F401" s="37">
        <f>IFERROR(__xludf.DUMMYFUNCTION("""COMPUTED_VALUE"""),24.364754706795583)</f>
        <v>24.36475471</v>
      </c>
      <c r="G401" s="38">
        <f>IFERROR(__xludf.DUMMYFUNCTION("""COMPUTED_VALUE"""),35.62756819836507)</f>
        <v>35.6275682</v>
      </c>
      <c r="H401" s="38">
        <f>IFERROR(__xludf.DUMMYFUNCTION("""COMPUTED_VALUE"""),29.996161452580324)</f>
        <v>29.99616145</v>
      </c>
      <c r="I401" s="14">
        <f>IFERROR(__xludf.DUMMYFUNCTION("""COMPUTED_VALUE"""),20.0)</f>
        <v>20</v>
      </c>
      <c r="J401" s="11">
        <f>IFERROR(__xludf.DUMMYFUNCTION("IFERROR(FILTER(Stats!$F:$Z,(Stats!$A:$A=$A401)*(Stats!$B:$B=$B401)))"),6.0)</f>
        <v>6</v>
      </c>
      <c r="K401" s="11">
        <f>IFERROR(__xludf.DUMMYFUNCTION("""COMPUTED_VALUE"""),14.0)</f>
        <v>14</v>
      </c>
      <c r="L401" s="12">
        <f>IFERROR(__xludf.DUMMYFUNCTION("""COMPUTED_VALUE"""),0.3)</f>
        <v>0.3</v>
      </c>
      <c r="M401" s="11">
        <f>IFERROR(__xludf.DUMMYFUNCTION("""COMPUTED_VALUE"""),3.0)</f>
        <v>3</v>
      </c>
      <c r="N401" s="11">
        <f>IFERROR(__xludf.DUMMYFUNCTION("""COMPUTED_VALUE"""),5372.0)</f>
        <v>5372</v>
      </c>
      <c r="O401" s="13">
        <f>IFERROR(__xludf.DUMMYFUNCTION("""COMPUTED_VALUE"""),14.0)</f>
        <v>14</v>
      </c>
      <c r="P401" s="14">
        <f>IFERROR(__xludf.DUMMYFUNCTION("""COMPUTED_VALUE"""),2.0)</f>
        <v>2</v>
      </c>
      <c r="Q401" s="13">
        <f>IFERROR(__xludf.DUMMYFUNCTION("""COMPUTED_VALUE"""),30.0)</f>
        <v>30</v>
      </c>
      <c r="R401" s="13">
        <f>IFERROR(__xludf.DUMMYFUNCTION("""COMPUTED_VALUE"""),38.0)</f>
        <v>38</v>
      </c>
      <c r="S401" s="15">
        <f>IFERROR(__xludf.DUMMYFUNCTION("""COMPUTED_VALUE"""),0.3684210526315789)</f>
        <v>0.3684210526</v>
      </c>
      <c r="T401" s="16">
        <f>IFERROR(__xludf.DUMMYFUNCTION("""COMPUTED_VALUE"""),268.6)</f>
        <v>268.6</v>
      </c>
      <c r="U401" s="16">
        <f>IFERROR(__xludf.DUMMYFUNCTION("""COMPUTED_VALUE"""),0.7)</f>
        <v>0.7</v>
      </c>
      <c r="V401" s="16">
        <f>IFERROR(__xludf.DUMMYFUNCTION("""COMPUTED_VALUE"""),0.1)</f>
        <v>0.1</v>
      </c>
      <c r="W401" s="16">
        <f>IFERROR(__xludf.DUMMYFUNCTION("""COMPUTED_VALUE"""),1.5)</f>
        <v>1.5</v>
      </c>
      <c r="X401" s="16">
        <f>IFERROR(__xludf.DUMMYFUNCTION("""COMPUTED_VALUE"""),1.9)</f>
        <v>1.9</v>
      </c>
      <c r="Y401" s="11">
        <f>IFERROR(__xludf.DUMMYFUNCTION("""COMPUTED_VALUE"""),0.0)</f>
        <v>0</v>
      </c>
      <c r="Z401" s="11">
        <f>IFERROR(__xludf.DUMMYFUNCTION("""COMPUTED_VALUE"""),1.0)</f>
        <v>1</v>
      </c>
      <c r="AA401" s="11">
        <f>IFERROR(__xludf.DUMMYFUNCTION("""COMPUTED_VALUE"""),0.0)</f>
        <v>0</v>
      </c>
      <c r="AB401" s="11">
        <f>IFERROR(__xludf.DUMMYFUNCTION("""COMPUTED_VALUE"""),6.0)</f>
        <v>6</v>
      </c>
      <c r="AC401" s="11">
        <f>IFERROR(__xludf.DUMMYFUNCTION("""COMPUTED_VALUE"""),17.0)</f>
        <v>17</v>
      </c>
      <c r="AD401" s="11">
        <f>IFERROR(__xludf.DUMMYFUNCTION("""COMPUTED_VALUE"""),22.0)</f>
        <v>22</v>
      </c>
    </row>
    <row r="402">
      <c r="A402" s="10" t="str">
        <f>IFERROR(__xludf.DUMMYFUNCTION("""COMPUTED_VALUE"""),"Master")</f>
        <v>Master</v>
      </c>
      <c r="B402" s="10" t="str">
        <f>IFERROR(__xludf.DUMMYFUNCTION("""COMPUTED_VALUE"""),"RSC003323")</f>
        <v>RSC003323</v>
      </c>
      <c r="C402" s="10" t="str">
        <f>IFERROR(__xludf.DUMMYFUNCTION("""COMPUTED_VALUE"""),"Boog McCroog")</f>
        <v>Boog McCroog</v>
      </c>
      <c r="D402" s="36" t="str">
        <f>IFERROR(__xludf.DUMMYFUNCTION("""COMPUTED_VALUE"""),"Spectres")</f>
        <v>Spectres</v>
      </c>
      <c r="E402" s="10" t="str">
        <f>IFERROR(__xludf.DUMMYFUNCTION("""COMPUTED_VALUE"""),"N/A")</f>
        <v>N/A</v>
      </c>
      <c r="F402" s="37">
        <f>IFERROR(__xludf.DUMMYFUNCTION("""COMPUTED_VALUE"""),28.37945223433278)</f>
        <v>28.37945223</v>
      </c>
      <c r="G402" s="38">
        <f>IFERROR(__xludf.DUMMYFUNCTION("""COMPUTED_VALUE"""),26.304577750137337)</f>
        <v>26.30457775</v>
      </c>
      <c r="H402" s="38">
        <f>IFERROR(__xludf.DUMMYFUNCTION("""COMPUTED_VALUE"""),27.342014992235057)</f>
        <v>27.34201499</v>
      </c>
      <c r="I402" s="14">
        <f>IFERROR(__xludf.DUMMYFUNCTION("""COMPUTED_VALUE"""),50.0)</f>
        <v>50</v>
      </c>
      <c r="J402" s="11">
        <f>IFERROR(__xludf.DUMMYFUNCTION("IFERROR(FILTER(Stats!$F:$Z,(Stats!$A:$A=$A402)*(Stats!$B:$B=$B402)))"),27.0)</f>
        <v>27</v>
      </c>
      <c r="K402" s="11">
        <f>IFERROR(__xludf.DUMMYFUNCTION("""COMPUTED_VALUE"""),23.0)</f>
        <v>23</v>
      </c>
      <c r="L402" s="12">
        <f>IFERROR(__xludf.DUMMYFUNCTION("""COMPUTED_VALUE"""),0.54)</f>
        <v>0.54</v>
      </c>
      <c r="M402" s="11">
        <f>IFERROR(__xludf.DUMMYFUNCTION("""COMPUTED_VALUE"""),9.0)</f>
        <v>9</v>
      </c>
      <c r="N402" s="11">
        <f>IFERROR(__xludf.DUMMYFUNCTION("""COMPUTED_VALUE"""),13957.0)</f>
        <v>13957</v>
      </c>
      <c r="O402" s="13">
        <f>IFERROR(__xludf.DUMMYFUNCTION("""COMPUTED_VALUE"""),20.0)</f>
        <v>20</v>
      </c>
      <c r="P402" s="14">
        <f>IFERROR(__xludf.DUMMYFUNCTION("""COMPUTED_VALUE"""),26.0)</f>
        <v>26</v>
      </c>
      <c r="Q402" s="13">
        <f>IFERROR(__xludf.DUMMYFUNCTION("""COMPUTED_VALUE"""),55.0)</f>
        <v>55</v>
      </c>
      <c r="R402" s="13">
        <f>IFERROR(__xludf.DUMMYFUNCTION("""COMPUTED_VALUE"""),93.0)</f>
        <v>93</v>
      </c>
      <c r="S402" s="15">
        <f>IFERROR(__xludf.DUMMYFUNCTION("""COMPUTED_VALUE"""),0.21505376344086022)</f>
        <v>0.2150537634</v>
      </c>
      <c r="T402" s="16">
        <f>IFERROR(__xludf.DUMMYFUNCTION("""COMPUTED_VALUE"""),279.14)</f>
        <v>279.14</v>
      </c>
      <c r="U402" s="16">
        <f>IFERROR(__xludf.DUMMYFUNCTION("""COMPUTED_VALUE"""),0.4)</f>
        <v>0.4</v>
      </c>
      <c r="V402" s="16">
        <f>IFERROR(__xludf.DUMMYFUNCTION("""COMPUTED_VALUE"""),0.52)</f>
        <v>0.52</v>
      </c>
      <c r="W402" s="16">
        <f>IFERROR(__xludf.DUMMYFUNCTION("""COMPUTED_VALUE"""),1.1)</f>
        <v>1.1</v>
      </c>
      <c r="X402" s="16">
        <f>IFERROR(__xludf.DUMMYFUNCTION("""COMPUTED_VALUE"""),1.86)</f>
        <v>1.86</v>
      </c>
      <c r="Y402" s="11">
        <f>IFERROR(__xludf.DUMMYFUNCTION("""COMPUTED_VALUE"""),6.0)</f>
        <v>6</v>
      </c>
      <c r="Z402" s="11">
        <f>IFERROR(__xludf.DUMMYFUNCTION("""COMPUTED_VALUE"""),1.0)</f>
        <v>1</v>
      </c>
      <c r="AA402" s="11">
        <f>IFERROR(__xludf.DUMMYFUNCTION("""COMPUTED_VALUE"""),1.0)</f>
        <v>1</v>
      </c>
      <c r="AB402" s="11">
        <f>IFERROR(__xludf.DUMMYFUNCTION("""COMPUTED_VALUE"""),3.0)</f>
        <v>3</v>
      </c>
      <c r="AC402" s="11">
        <f>IFERROR(__xludf.DUMMYFUNCTION("""COMPUTED_VALUE"""),48.0)</f>
        <v>48</v>
      </c>
      <c r="AD402" s="11">
        <f>IFERROR(__xludf.DUMMYFUNCTION("""COMPUTED_VALUE"""),44.0)</f>
        <v>44</v>
      </c>
    </row>
    <row r="403">
      <c r="A403" s="10" t="str">
        <f>IFERROR(__xludf.DUMMYFUNCTION("""COMPUTED_VALUE"""),"Master")</f>
        <v>Master</v>
      </c>
      <c r="B403" s="10" t="str">
        <f>IFERROR(__xludf.DUMMYFUNCTION("""COMPUTED_VALUE"""),"RSC003125")</f>
        <v>RSC003125</v>
      </c>
      <c r="C403" s="10" t="str">
        <f>IFERROR(__xludf.DUMMYFUNCTION("""COMPUTED_VALUE"""),"GrandPlat")</f>
        <v>GrandPlat</v>
      </c>
      <c r="D403" s="36" t="str">
        <f>IFERROR(__xludf.DUMMYFUNCTION("""COMPUTED_VALUE"""),"Andromeda")</f>
        <v>Andromeda</v>
      </c>
      <c r="E403" s="10" t="str">
        <f>IFERROR(__xludf.DUMMYFUNCTION("""COMPUTED_VALUE"""),"N/A")</f>
        <v>N/A</v>
      </c>
      <c r="F403" s="37">
        <f>IFERROR(__xludf.DUMMYFUNCTION("""COMPUTED_VALUE"""),24.472950378932968)</f>
        <v>24.47295038</v>
      </c>
      <c r="G403" s="38">
        <f>IFERROR(__xludf.DUMMYFUNCTION("""COMPUTED_VALUE"""),30.022276940127934)</f>
        <v>30.02227694</v>
      </c>
      <c r="H403" s="38">
        <f>IFERROR(__xludf.DUMMYFUNCTION("""COMPUTED_VALUE"""),27.24761365953045)</f>
        <v>27.24761366</v>
      </c>
      <c r="I403" s="14">
        <f>IFERROR(__xludf.DUMMYFUNCTION("""COMPUTED_VALUE"""),22.0)</f>
        <v>22</v>
      </c>
      <c r="J403" s="11">
        <f>IFERROR(__xludf.DUMMYFUNCTION("IFERROR(FILTER(Stats!$F:$Z,(Stats!$A:$A=$A403)*(Stats!$B:$B=$B403)))"),11.0)</f>
        <v>11</v>
      </c>
      <c r="K403" s="11">
        <f>IFERROR(__xludf.DUMMYFUNCTION("""COMPUTED_VALUE"""),11.0)</f>
        <v>11</v>
      </c>
      <c r="L403" s="12">
        <f>IFERROR(__xludf.DUMMYFUNCTION("""COMPUTED_VALUE"""),0.5)</f>
        <v>0.5</v>
      </c>
      <c r="M403" s="11">
        <f>IFERROR(__xludf.DUMMYFUNCTION("""COMPUTED_VALUE"""),0.0)</f>
        <v>0</v>
      </c>
      <c r="N403" s="11">
        <f>IFERROR(__xludf.DUMMYFUNCTION("""COMPUTED_VALUE"""),5648.0)</f>
        <v>5648</v>
      </c>
      <c r="O403" s="13">
        <f>IFERROR(__xludf.DUMMYFUNCTION("""COMPUTED_VALUE"""),9.0)</f>
        <v>9</v>
      </c>
      <c r="P403" s="14">
        <f>IFERROR(__xludf.DUMMYFUNCTION("""COMPUTED_VALUE"""),9.0)</f>
        <v>9</v>
      </c>
      <c r="Q403" s="13">
        <f>IFERROR(__xludf.DUMMYFUNCTION("""COMPUTED_VALUE"""),26.0)</f>
        <v>26</v>
      </c>
      <c r="R403" s="13">
        <f>IFERROR(__xludf.DUMMYFUNCTION("""COMPUTED_VALUE"""),37.0)</f>
        <v>37</v>
      </c>
      <c r="S403" s="15">
        <f>IFERROR(__xludf.DUMMYFUNCTION("""COMPUTED_VALUE"""),0.24324324324324326)</f>
        <v>0.2432432432</v>
      </c>
      <c r="T403" s="16">
        <f>IFERROR(__xludf.DUMMYFUNCTION("""COMPUTED_VALUE"""),256.72727272727275)</f>
        <v>256.7272727</v>
      </c>
      <c r="U403" s="16">
        <f>IFERROR(__xludf.DUMMYFUNCTION("""COMPUTED_VALUE"""),0.4090909090909091)</f>
        <v>0.4090909091</v>
      </c>
      <c r="V403" s="16">
        <f>IFERROR(__xludf.DUMMYFUNCTION("""COMPUTED_VALUE"""),0.4090909090909091)</f>
        <v>0.4090909091</v>
      </c>
      <c r="W403" s="16">
        <f>IFERROR(__xludf.DUMMYFUNCTION("""COMPUTED_VALUE"""),1.1818181818181819)</f>
        <v>1.181818182</v>
      </c>
      <c r="X403" s="16">
        <f>IFERROR(__xludf.DUMMYFUNCTION("""COMPUTED_VALUE"""),1.6818181818181819)</f>
        <v>1.681818182</v>
      </c>
      <c r="Y403" s="11">
        <f>IFERROR(__xludf.DUMMYFUNCTION("""COMPUTED_VALUE"""),2.0)</f>
        <v>2</v>
      </c>
      <c r="Z403" s="11">
        <f>IFERROR(__xludf.DUMMYFUNCTION("""COMPUTED_VALUE"""),0.0)</f>
        <v>0</v>
      </c>
      <c r="AA403" s="11">
        <f>IFERROR(__xludf.DUMMYFUNCTION("""COMPUTED_VALUE"""),1.0)</f>
        <v>1</v>
      </c>
      <c r="AB403" s="11">
        <f>IFERROR(__xludf.DUMMYFUNCTION("""COMPUTED_VALUE"""),5.0)</f>
        <v>5</v>
      </c>
      <c r="AC403" s="11">
        <f>IFERROR(__xludf.DUMMYFUNCTION("""COMPUTED_VALUE"""),12.0)</f>
        <v>12</v>
      </c>
      <c r="AD403" s="11">
        <f>IFERROR(__xludf.DUMMYFUNCTION("""COMPUTED_VALUE"""),27.0)</f>
        <v>27</v>
      </c>
    </row>
    <row r="404">
      <c r="A404" s="10" t="str">
        <f>IFERROR(__xludf.DUMMYFUNCTION("""COMPUTED_VALUE"""),"Master")</f>
        <v>Master</v>
      </c>
      <c r="B404" s="10" t="str">
        <f>IFERROR(__xludf.DUMMYFUNCTION("""COMPUTED_VALUE"""),"RSC001055")</f>
        <v>RSC001055</v>
      </c>
      <c r="C404" s="10" t="str">
        <f>IFERROR(__xludf.DUMMYFUNCTION("""COMPUTED_VALUE"""),"Scotti")</f>
        <v>Scotti</v>
      </c>
      <c r="D404" s="36" t="str">
        <f>IFERROR(__xludf.DUMMYFUNCTION("""COMPUTED_VALUE"""),"Battle Masters")</f>
        <v>Battle Masters</v>
      </c>
      <c r="E404" s="10" t="str">
        <f>IFERROR(__xludf.DUMMYFUNCTION("""COMPUTED_VALUE"""),"N/A")</f>
        <v>N/A</v>
      </c>
      <c r="F404" s="37">
        <f>IFERROR(__xludf.DUMMYFUNCTION("""COMPUTED_VALUE"""),31.855462866504855)</f>
        <v>31.85546287</v>
      </c>
      <c r="G404" s="38">
        <f>IFERROR(__xludf.DUMMYFUNCTION("""COMPUTED_VALUE"""),21.35215748912781)</f>
        <v>21.35215749</v>
      </c>
      <c r="H404" s="38">
        <f>IFERROR(__xludf.DUMMYFUNCTION("""COMPUTED_VALUE"""),26.60381017781633)</f>
        <v>26.60381018</v>
      </c>
      <c r="I404" s="14">
        <f>IFERROR(__xludf.DUMMYFUNCTION("""COMPUTED_VALUE"""),26.0)</f>
        <v>26</v>
      </c>
      <c r="J404" s="11">
        <f>IFERROR(__xludf.DUMMYFUNCTION("IFERROR(FILTER(Stats!$F:$Z,(Stats!$A:$A=$A404)*(Stats!$B:$B=$B404)))"),6.0)</f>
        <v>6</v>
      </c>
      <c r="K404" s="11">
        <f>IFERROR(__xludf.DUMMYFUNCTION("""COMPUTED_VALUE"""),20.0)</f>
        <v>20</v>
      </c>
      <c r="L404" s="12">
        <f>IFERROR(__xludf.DUMMYFUNCTION("""COMPUTED_VALUE"""),0.23076923076923078)</f>
        <v>0.2307692308</v>
      </c>
      <c r="M404" s="11">
        <f>IFERROR(__xludf.DUMMYFUNCTION("""COMPUTED_VALUE"""),1.0)</f>
        <v>1</v>
      </c>
      <c r="N404" s="11">
        <f>IFERROR(__xludf.DUMMYFUNCTION("""COMPUTED_VALUE"""),7038.0)</f>
        <v>7038</v>
      </c>
      <c r="O404" s="13">
        <f>IFERROR(__xludf.DUMMYFUNCTION("""COMPUTED_VALUE"""),13.0)</f>
        <v>13</v>
      </c>
      <c r="P404" s="14">
        <f>IFERROR(__xludf.DUMMYFUNCTION("""COMPUTED_VALUE"""),9.0)</f>
        <v>9</v>
      </c>
      <c r="Q404" s="13">
        <f>IFERROR(__xludf.DUMMYFUNCTION("""COMPUTED_VALUE"""),31.0)</f>
        <v>31</v>
      </c>
      <c r="R404" s="13">
        <f>IFERROR(__xludf.DUMMYFUNCTION("""COMPUTED_VALUE"""),44.0)</f>
        <v>44</v>
      </c>
      <c r="S404" s="15">
        <f>IFERROR(__xludf.DUMMYFUNCTION("""COMPUTED_VALUE"""),0.29545454545454547)</f>
        <v>0.2954545455</v>
      </c>
      <c r="T404" s="16">
        <f>IFERROR(__xludf.DUMMYFUNCTION("""COMPUTED_VALUE"""),270.6923076923077)</f>
        <v>270.6923077</v>
      </c>
      <c r="U404" s="16">
        <f>IFERROR(__xludf.DUMMYFUNCTION("""COMPUTED_VALUE"""),0.5)</f>
        <v>0.5</v>
      </c>
      <c r="V404" s="16">
        <f>IFERROR(__xludf.DUMMYFUNCTION("""COMPUTED_VALUE"""),0.34615384615384615)</f>
        <v>0.3461538462</v>
      </c>
      <c r="W404" s="16">
        <f>IFERROR(__xludf.DUMMYFUNCTION("""COMPUTED_VALUE"""),1.1923076923076923)</f>
        <v>1.192307692</v>
      </c>
      <c r="X404" s="16">
        <f>IFERROR(__xludf.DUMMYFUNCTION("""COMPUTED_VALUE"""),1.6923076923076923)</f>
        <v>1.692307692</v>
      </c>
      <c r="Y404" s="11">
        <f>IFERROR(__xludf.DUMMYFUNCTION("""COMPUTED_VALUE"""),3.0)</f>
        <v>3</v>
      </c>
      <c r="Z404" s="11">
        <f>IFERROR(__xludf.DUMMYFUNCTION("""COMPUTED_VALUE"""),0.0)</f>
        <v>0</v>
      </c>
      <c r="AA404" s="11">
        <f>IFERROR(__xludf.DUMMYFUNCTION("""COMPUTED_VALUE"""),0.0)</f>
        <v>0</v>
      </c>
      <c r="AB404" s="11">
        <f>IFERROR(__xludf.DUMMYFUNCTION("""COMPUTED_VALUE"""),4.0)</f>
        <v>4</v>
      </c>
      <c r="AC404" s="11">
        <f>IFERROR(__xludf.DUMMYFUNCTION("""COMPUTED_VALUE"""),29.0)</f>
        <v>29</v>
      </c>
      <c r="AD404" s="11">
        <f>IFERROR(__xludf.DUMMYFUNCTION("""COMPUTED_VALUE"""),33.0)</f>
        <v>33</v>
      </c>
    </row>
    <row r="405">
      <c r="A405" s="10" t="str">
        <f>IFERROR(__xludf.DUMMYFUNCTION("""COMPUTED_VALUE"""),"Master")</f>
        <v>Master</v>
      </c>
      <c r="B405" s="10" t="str">
        <f>IFERROR(__xludf.DUMMYFUNCTION("""COMPUTED_VALUE"""),"RSC008539")</f>
        <v>RSC008539</v>
      </c>
      <c r="C405" s="10" t="str">
        <f>IFERROR(__xludf.DUMMYFUNCTION("""COMPUTED_VALUE"""),"Shune.")</f>
        <v>Shune.</v>
      </c>
      <c r="D405" s="36" t="str">
        <f>IFERROR(__xludf.DUMMYFUNCTION("""COMPUTED_VALUE"""),"Battle Masters")</f>
        <v>Battle Masters</v>
      </c>
      <c r="E405" s="10" t="str">
        <f>IFERROR(__xludf.DUMMYFUNCTION("""COMPUTED_VALUE"""),"N/A")</f>
        <v>N/A</v>
      </c>
      <c r="F405" s="37">
        <f>IFERROR(__xludf.DUMMYFUNCTION("""COMPUTED_VALUE"""),29.122706958908456)</f>
        <v>29.12270696</v>
      </c>
      <c r="G405" s="38">
        <f>IFERROR(__xludf.DUMMYFUNCTION("""COMPUTED_VALUE"""),23.80220740012222)</f>
        <v>23.8022074</v>
      </c>
      <c r="H405" s="38">
        <f>IFERROR(__xludf.DUMMYFUNCTION("""COMPUTED_VALUE"""),26.46245717951534)</f>
        <v>26.46245718</v>
      </c>
      <c r="I405" s="14">
        <f>IFERROR(__xludf.DUMMYFUNCTION("""COMPUTED_VALUE"""),23.0)</f>
        <v>23</v>
      </c>
      <c r="J405" s="11">
        <f>IFERROR(__xludf.DUMMYFUNCTION("IFERROR(FILTER(Stats!$F:$Z,(Stats!$A:$A=$A405)*(Stats!$B:$B=$B405)))"),5.0)</f>
        <v>5</v>
      </c>
      <c r="K405" s="11">
        <f>IFERROR(__xludf.DUMMYFUNCTION("""COMPUTED_VALUE"""),18.0)</f>
        <v>18</v>
      </c>
      <c r="L405" s="12">
        <f>IFERROR(__xludf.DUMMYFUNCTION("""COMPUTED_VALUE"""),0.21739130434782608)</f>
        <v>0.2173913043</v>
      </c>
      <c r="M405" s="11">
        <f>IFERROR(__xludf.DUMMYFUNCTION("""COMPUTED_VALUE"""),0.0)</f>
        <v>0</v>
      </c>
      <c r="N405" s="11">
        <f>IFERROR(__xludf.DUMMYFUNCTION("""COMPUTED_VALUE"""),7572.0)</f>
        <v>7572</v>
      </c>
      <c r="O405" s="13">
        <f>IFERROR(__xludf.DUMMYFUNCTION("""COMPUTED_VALUE"""),10.0)</f>
        <v>10</v>
      </c>
      <c r="P405" s="14">
        <f>IFERROR(__xludf.DUMMYFUNCTION("""COMPUTED_VALUE"""),16.0)</f>
        <v>16</v>
      </c>
      <c r="Q405" s="13">
        <f>IFERROR(__xludf.DUMMYFUNCTION("""COMPUTED_VALUE"""),30.0)</f>
        <v>30</v>
      </c>
      <c r="R405" s="13">
        <f>IFERROR(__xludf.DUMMYFUNCTION("""COMPUTED_VALUE"""),50.0)</f>
        <v>50</v>
      </c>
      <c r="S405" s="15">
        <f>IFERROR(__xludf.DUMMYFUNCTION("""COMPUTED_VALUE"""),0.2)</f>
        <v>0.2</v>
      </c>
      <c r="T405" s="16">
        <f>IFERROR(__xludf.DUMMYFUNCTION("""COMPUTED_VALUE"""),329.2173913043478)</f>
        <v>329.2173913</v>
      </c>
      <c r="U405" s="16">
        <f>IFERROR(__xludf.DUMMYFUNCTION("""COMPUTED_VALUE"""),0.43478260869565216)</f>
        <v>0.4347826087</v>
      </c>
      <c r="V405" s="16">
        <f>IFERROR(__xludf.DUMMYFUNCTION("""COMPUTED_VALUE"""),0.6956521739130435)</f>
        <v>0.6956521739</v>
      </c>
      <c r="W405" s="16">
        <f>IFERROR(__xludf.DUMMYFUNCTION("""COMPUTED_VALUE"""),1.3043478260869565)</f>
        <v>1.304347826</v>
      </c>
      <c r="X405" s="16">
        <f>IFERROR(__xludf.DUMMYFUNCTION("""COMPUTED_VALUE"""),2.1739130434782608)</f>
        <v>2.173913043</v>
      </c>
      <c r="Y405" s="11">
        <f>IFERROR(__xludf.DUMMYFUNCTION("""COMPUTED_VALUE"""),2.0)</f>
        <v>2</v>
      </c>
      <c r="Z405" s="11">
        <f>IFERROR(__xludf.DUMMYFUNCTION("""COMPUTED_VALUE"""),0.0)</f>
        <v>0</v>
      </c>
      <c r="AA405" s="11">
        <f>IFERROR(__xludf.DUMMYFUNCTION("""COMPUTED_VALUE"""),0.0)</f>
        <v>0</v>
      </c>
      <c r="AB405" s="11">
        <f>IFERROR(__xludf.DUMMYFUNCTION("""COMPUTED_VALUE"""),2.0)</f>
        <v>2</v>
      </c>
      <c r="AC405" s="11">
        <f>IFERROR(__xludf.DUMMYFUNCTION("""COMPUTED_VALUE"""),20.0)</f>
        <v>20</v>
      </c>
      <c r="AD405" s="11">
        <f>IFERROR(__xludf.DUMMYFUNCTION("""COMPUTED_VALUE"""),27.0)</f>
        <v>27</v>
      </c>
    </row>
    <row r="406">
      <c r="A406" s="10" t="str">
        <f>IFERROR(__xludf.DUMMYFUNCTION("""COMPUTED_VALUE"""),"Master")</f>
        <v>Master</v>
      </c>
      <c r="B406" s="10" t="str">
        <f>IFERROR(__xludf.DUMMYFUNCTION("""COMPUTED_VALUE"""),"RSC000200")</f>
        <v>RSC000200</v>
      </c>
      <c r="C406" s="10" t="str">
        <f>IFERROR(__xludf.DUMMYFUNCTION("""COMPUTED_VALUE"""),"Jonezy")</f>
        <v>Jonezy</v>
      </c>
      <c r="D406" s="36" t="str">
        <f>IFERROR(__xludf.DUMMYFUNCTION("""COMPUTED_VALUE"""),"Oblivion")</f>
        <v>Oblivion</v>
      </c>
      <c r="E406" s="10" t="str">
        <f>IFERROR(__xludf.DUMMYFUNCTION("""COMPUTED_VALUE"""),"N/A")</f>
        <v>N/A</v>
      </c>
      <c r="F406" s="37">
        <f>IFERROR(__xludf.DUMMYFUNCTION("""COMPUTED_VALUE"""),17.413697201118232)</f>
        <v>17.4136972</v>
      </c>
      <c r="G406" s="38">
        <f>IFERROR(__xludf.DUMMYFUNCTION("""COMPUTED_VALUE"""),33.77073854093527)</f>
        <v>33.77073854</v>
      </c>
      <c r="H406" s="38">
        <f>IFERROR(__xludf.DUMMYFUNCTION("""COMPUTED_VALUE"""),25.59221787102675)</f>
        <v>25.59221787</v>
      </c>
      <c r="I406" s="14">
        <f>IFERROR(__xludf.DUMMYFUNCTION("""COMPUTED_VALUE"""),2.0)</f>
        <v>2</v>
      </c>
      <c r="J406" s="11">
        <f>IFERROR(__xludf.DUMMYFUNCTION("IFERROR(FILTER(Stats!$F:$Z,(Stats!$A:$A=$A406)*(Stats!$B:$B=$B406)))"),1.0)</f>
        <v>1</v>
      </c>
      <c r="K406" s="11">
        <f>IFERROR(__xludf.DUMMYFUNCTION("""COMPUTED_VALUE"""),1.0)</f>
        <v>1</v>
      </c>
      <c r="L406" s="12">
        <f>IFERROR(__xludf.DUMMYFUNCTION("""COMPUTED_VALUE"""),0.5)</f>
        <v>0.5</v>
      </c>
      <c r="M406" s="11">
        <f>IFERROR(__xludf.DUMMYFUNCTION("""COMPUTED_VALUE"""),1.0)</f>
        <v>1</v>
      </c>
      <c r="N406" s="11">
        <f>IFERROR(__xludf.DUMMYFUNCTION("""COMPUTED_VALUE"""),757.0)</f>
        <v>757</v>
      </c>
      <c r="O406" s="13">
        <f>IFERROR(__xludf.DUMMYFUNCTION("""COMPUTED_VALUE"""),3.0)</f>
        <v>3</v>
      </c>
      <c r="P406" s="14">
        <f>IFERROR(__xludf.DUMMYFUNCTION("""COMPUTED_VALUE"""),0.0)</f>
        <v>0</v>
      </c>
      <c r="Q406" s="13">
        <f>IFERROR(__xludf.DUMMYFUNCTION("""COMPUTED_VALUE"""),4.0)</f>
        <v>4</v>
      </c>
      <c r="R406" s="13">
        <f>IFERROR(__xludf.DUMMYFUNCTION("""COMPUTED_VALUE"""),4.0)</f>
        <v>4</v>
      </c>
      <c r="S406" s="15">
        <f>IFERROR(__xludf.DUMMYFUNCTION("""COMPUTED_VALUE"""),0.75)</f>
        <v>0.75</v>
      </c>
      <c r="T406" s="16">
        <f>IFERROR(__xludf.DUMMYFUNCTION("""COMPUTED_VALUE"""),378.5)</f>
        <v>378.5</v>
      </c>
      <c r="U406" s="16">
        <f>IFERROR(__xludf.DUMMYFUNCTION("""COMPUTED_VALUE"""),1.5)</f>
        <v>1.5</v>
      </c>
      <c r="V406" s="16">
        <f>IFERROR(__xludf.DUMMYFUNCTION("""COMPUTED_VALUE"""),0.0)</f>
        <v>0</v>
      </c>
      <c r="W406" s="16">
        <f>IFERROR(__xludf.DUMMYFUNCTION("""COMPUTED_VALUE"""),2.0)</f>
        <v>2</v>
      </c>
      <c r="X406" s="16">
        <f>IFERROR(__xludf.DUMMYFUNCTION("""COMPUTED_VALUE"""),2.0)</f>
        <v>2</v>
      </c>
      <c r="Y406" s="11">
        <f>IFERROR(__xludf.DUMMYFUNCTION("""COMPUTED_VALUE"""),0.0)</f>
        <v>0</v>
      </c>
      <c r="Z406" s="11">
        <f>IFERROR(__xludf.DUMMYFUNCTION("""COMPUTED_VALUE"""),0.0)</f>
        <v>0</v>
      </c>
      <c r="AA406" s="11">
        <f>IFERROR(__xludf.DUMMYFUNCTION("""COMPUTED_VALUE"""),0.0)</f>
        <v>0</v>
      </c>
      <c r="AB406" s="11">
        <f>IFERROR(__xludf.DUMMYFUNCTION("""COMPUTED_VALUE"""),1.0)</f>
        <v>1</v>
      </c>
      <c r="AC406" s="11">
        <f>IFERROR(__xludf.DUMMYFUNCTION("""COMPUTED_VALUE"""),2.0)</f>
        <v>2</v>
      </c>
      <c r="AD406" s="11">
        <f>IFERROR(__xludf.DUMMYFUNCTION("""COMPUTED_VALUE"""),2.0)</f>
        <v>2</v>
      </c>
    </row>
    <row r="407">
      <c r="A407" s="10" t="str">
        <f>IFERROR(__xludf.DUMMYFUNCTION("""COMPUTED_VALUE"""),"Master")</f>
        <v>Master</v>
      </c>
      <c r="B407" s="10" t="str">
        <f>IFERROR(__xludf.DUMMYFUNCTION("""COMPUTED_VALUE"""),"RSC002620")</f>
        <v>RSC002620</v>
      </c>
      <c r="C407" s="10" t="str">
        <f>IFERROR(__xludf.DUMMYFUNCTION("""COMPUTED_VALUE"""),"Instnt")</f>
        <v>Instnt</v>
      </c>
      <c r="D407" s="36" t="str">
        <f>IFERROR(__xludf.DUMMYFUNCTION("""COMPUTED_VALUE"""),"Permafrost")</f>
        <v>Permafrost</v>
      </c>
      <c r="E407" s="10" t="str">
        <f>IFERROR(__xludf.DUMMYFUNCTION("""COMPUTED_VALUE"""),"N/A")</f>
        <v>N/A</v>
      </c>
      <c r="F407" s="37">
        <f>IFERROR(__xludf.DUMMYFUNCTION("""COMPUTED_VALUE"""),30.521354199002293)</f>
        <v>30.5213542</v>
      </c>
      <c r="G407" s="38">
        <f>IFERROR(__xludf.DUMMYFUNCTION("""COMPUTED_VALUE"""),17.211377773774203)</f>
        <v>17.21137777</v>
      </c>
      <c r="H407" s="38">
        <f>IFERROR(__xludf.DUMMYFUNCTION("""COMPUTED_VALUE"""),23.866365986388246)</f>
        <v>23.86636599</v>
      </c>
      <c r="I407" s="14">
        <f>IFERROR(__xludf.DUMMYFUNCTION("""COMPUTED_VALUE"""),8.0)</f>
        <v>8</v>
      </c>
      <c r="J407" s="11">
        <f>IFERROR(__xludf.DUMMYFUNCTION("IFERROR(FILTER(Stats!$F:$Z,(Stats!$A:$A=$A407)*(Stats!$B:$B=$B407)))"),2.0)</f>
        <v>2</v>
      </c>
      <c r="K407" s="11">
        <f>IFERROR(__xludf.DUMMYFUNCTION("""COMPUTED_VALUE"""),6.0)</f>
        <v>6</v>
      </c>
      <c r="L407" s="12">
        <f>IFERROR(__xludf.DUMMYFUNCTION("""COMPUTED_VALUE"""),0.25)</f>
        <v>0.25</v>
      </c>
      <c r="M407" s="11">
        <f>IFERROR(__xludf.DUMMYFUNCTION("""COMPUTED_VALUE"""),0.0)</f>
        <v>0</v>
      </c>
      <c r="N407" s="11">
        <f>IFERROR(__xludf.DUMMYFUNCTION("""COMPUTED_VALUE"""),2294.0)</f>
        <v>2294</v>
      </c>
      <c r="O407" s="13">
        <f>IFERROR(__xludf.DUMMYFUNCTION("""COMPUTED_VALUE"""),2.0)</f>
        <v>2</v>
      </c>
      <c r="P407" s="14">
        <f>IFERROR(__xludf.DUMMYFUNCTION("""COMPUTED_VALUE"""),5.0)</f>
        <v>5</v>
      </c>
      <c r="Q407" s="13">
        <f>IFERROR(__xludf.DUMMYFUNCTION("""COMPUTED_VALUE"""),9.0)</f>
        <v>9</v>
      </c>
      <c r="R407" s="13">
        <f>IFERROR(__xludf.DUMMYFUNCTION("""COMPUTED_VALUE"""),20.0)</f>
        <v>20</v>
      </c>
      <c r="S407" s="15">
        <f>IFERROR(__xludf.DUMMYFUNCTION("""COMPUTED_VALUE"""),0.1)</f>
        <v>0.1</v>
      </c>
      <c r="T407" s="16">
        <f>IFERROR(__xludf.DUMMYFUNCTION("""COMPUTED_VALUE"""),286.75)</f>
        <v>286.75</v>
      </c>
      <c r="U407" s="16">
        <f>IFERROR(__xludf.DUMMYFUNCTION("""COMPUTED_VALUE"""),0.25)</f>
        <v>0.25</v>
      </c>
      <c r="V407" s="16">
        <f>IFERROR(__xludf.DUMMYFUNCTION("""COMPUTED_VALUE"""),0.625)</f>
        <v>0.625</v>
      </c>
      <c r="W407" s="16">
        <f>IFERROR(__xludf.DUMMYFUNCTION("""COMPUTED_VALUE"""),1.125)</f>
        <v>1.125</v>
      </c>
      <c r="X407" s="16">
        <f>IFERROR(__xludf.DUMMYFUNCTION("""COMPUTED_VALUE"""),2.5)</f>
        <v>2.5</v>
      </c>
      <c r="Y407" s="11">
        <f>IFERROR(__xludf.DUMMYFUNCTION("""COMPUTED_VALUE"""),0.0)</f>
        <v>0</v>
      </c>
      <c r="Z407" s="11">
        <f>IFERROR(__xludf.DUMMYFUNCTION("""COMPUTED_VALUE"""),0.0)</f>
        <v>0</v>
      </c>
      <c r="AA407" s="11">
        <f>IFERROR(__xludf.DUMMYFUNCTION("""COMPUTED_VALUE"""),0.0)</f>
        <v>0</v>
      </c>
      <c r="AB407" s="11">
        <f>IFERROR(__xludf.DUMMYFUNCTION("""COMPUTED_VALUE"""),1.0)</f>
        <v>1</v>
      </c>
      <c r="AC407" s="11">
        <f>IFERROR(__xludf.DUMMYFUNCTION("""COMPUTED_VALUE"""),3.0)</f>
        <v>3</v>
      </c>
      <c r="AD407" s="11">
        <f>IFERROR(__xludf.DUMMYFUNCTION("""COMPUTED_VALUE"""),17.0)</f>
        <v>17</v>
      </c>
    </row>
    <row r="408">
      <c r="A408" s="10" t="str">
        <f>IFERROR(__xludf.DUMMYFUNCTION("""COMPUTED_VALUE"""),"Master")</f>
        <v>Master</v>
      </c>
      <c r="B408" s="10" t="str">
        <f>IFERROR(__xludf.DUMMYFUNCTION("""COMPUTED_VALUE"""),"RSC005220")</f>
        <v>RSC005220</v>
      </c>
      <c r="C408" s="10" t="str">
        <f>IFERROR(__xludf.DUMMYFUNCTION("""COMPUTED_VALUE"""),"Swax")</f>
        <v>Swax</v>
      </c>
      <c r="D408" s="36" t="str">
        <f>IFERROR(__xludf.DUMMYFUNCTION("""COMPUTED_VALUE"""),"Spectres")</f>
        <v>Spectres</v>
      </c>
      <c r="E408" s="10" t="str">
        <f>IFERROR(__xludf.DUMMYFUNCTION("""COMPUTED_VALUE"""),"N/A")</f>
        <v>N/A</v>
      </c>
      <c r="F408" s="37">
        <f>IFERROR(__xludf.DUMMYFUNCTION("""COMPUTED_VALUE"""),19.42423272030383)</f>
        <v>19.42423272</v>
      </c>
      <c r="G408" s="38">
        <f>IFERROR(__xludf.DUMMYFUNCTION("""COMPUTED_VALUE"""),27.1037662438394)</f>
        <v>27.10376624</v>
      </c>
      <c r="H408" s="38">
        <f>IFERROR(__xludf.DUMMYFUNCTION("""COMPUTED_VALUE"""),23.263999482071615)</f>
        <v>23.26399948</v>
      </c>
      <c r="I408" s="14">
        <f>IFERROR(__xludf.DUMMYFUNCTION("""COMPUTED_VALUE"""),26.0)</f>
        <v>26</v>
      </c>
      <c r="J408" s="11">
        <f>IFERROR(__xludf.DUMMYFUNCTION("IFERROR(FILTER(Stats!$F:$Z,(Stats!$A:$A=$A408)*(Stats!$B:$B=$B408)))"),10.0)</f>
        <v>10</v>
      </c>
      <c r="K408" s="11">
        <f>IFERROR(__xludf.DUMMYFUNCTION("""COMPUTED_VALUE"""),16.0)</f>
        <v>16</v>
      </c>
      <c r="L408" s="12">
        <f>IFERROR(__xludf.DUMMYFUNCTION("""COMPUTED_VALUE"""),0.38461538461538464)</f>
        <v>0.3846153846</v>
      </c>
      <c r="M408" s="11">
        <f>IFERROR(__xludf.DUMMYFUNCTION("""COMPUTED_VALUE"""),1.0)</f>
        <v>1</v>
      </c>
      <c r="N408" s="11">
        <f>IFERROR(__xludf.DUMMYFUNCTION("""COMPUTED_VALUE"""),7998.0)</f>
        <v>7998</v>
      </c>
      <c r="O408" s="13">
        <f>IFERROR(__xludf.DUMMYFUNCTION("""COMPUTED_VALUE"""),14.0)</f>
        <v>14</v>
      </c>
      <c r="P408" s="14">
        <f>IFERROR(__xludf.DUMMYFUNCTION("""COMPUTED_VALUE"""),14.0)</f>
        <v>14</v>
      </c>
      <c r="Q408" s="13">
        <f>IFERROR(__xludf.DUMMYFUNCTION("""COMPUTED_VALUE"""),36.0)</f>
        <v>36</v>
      </c>
      <c r="R408" s="13">
        <f>IFERROR(__xludf.DUMMYFUNCTION("""COMPUTED_VALUE"""),56.0)</f>
        <v>56</v>
      </c>
      <c r="S408" s="15">
        <f>IFERROR(__xludf.DUMMYFUNCTION("""COMPUTED_VALUE"""),0.25)</f>
        <v>0.25</v>
      </c>
      <c r="T408" s="16">
        <f>IFERROR(__xludf.DUMMYFUNCTION("""COMPUTED_VALUE"""),307.61538461538464)</f>
        <v>307.6153846</v>
      </c>
      <c r="U408" s="16">
        <f>IFERROR(__xludf.DUMMYFUNCTION("""COMPUTED_VALUE"""),0.5384615384615384)</f>
        <v>0.5384615385</v>
      </c>
      <c r="V408" s="16">
        <f>IFERROR(__xludf.DUMMYFUNCTION("""COMPUTED_VALUE"""),0.5384615384615384)</f>
        <v>0.5384615385</v>
      </c>
      <c r="W408" s="16">
        <f>IFERROR(__xludf.DUMMYFUNCTION("""COMPUTED_VALUE"""),1.3846153846153846)</f>
        <v>1.384615385</v>
      </c>
      <c r="X408" s="16">
        <f>IFERROR(__xludf.DUMMYFUNCTION("""COMPUTED_VALUE"""),2.1538461538461537)</f>
        <v>2.153846154</v>
      </c>
      <c r="Y408" s="11">
        <f>IFERROR(__xludf.DUMMYFUNCTION("""COMPUTED_VALUE"""),5.0)</f>
        <v>5</v>
      </c>
      <c r="Z408" s="11">
        <f>IFERROR(__xludf.DUMMYFUNCTION("""COMPUTED_VALUE"""),0.0)</f>
        <v>0</v>
      </c>
      <c r="AA408" s="11">
        <f>IFERROR(__xludf.DUMMYFUNCTION("""COMPUTED_VALUE"""),1.0)</f>
        <v>1</v>
      </c>
      <c r="AB408" s="11">
        <f>IFERROR(__xludf.DUMMYFUNCTION("""COMPUTED_VALUE"""),5.0)</f>
        <v>5</v>
      </c>
      <c r="AC408" s="11">
        <f>IFERROR(__xludf.DUMMYFUNCTION("""COMPUTED_VALUE"""),14.0)</f>
        <v>14</v>
      </c>
      <c r="AD408" s="11">
        <f>IFERROR(__xludf.DUMMYFUNCTION("""COMPUTED_VALUE"""),21.0)</f>
        <v>21</v>
      </c>
    </row>
    <row r="409">
      <c r="A409" s="10" t="str">
        <f>IFERROR(__xludf.DUMMYFUNCTION("""COMPUTED_VALUE"""),"Master")</f>
        <v>Master</v>
      </c>
      <c r="B409" s="10" t="str">
        <f>IFERROR(__xludf.DUMMYFUNCTION("""COMPUTED_VALUE"""),"RSC008330")</f>
        <v>RSC008330</v>
      </c>
      <c r="C409" s="10" t="str">
        <f>IFERROR(__xludf.DUMMYFUNCTION("""COMPUTED_VALUE"""),"Jammin")</f>
        <v>Jammin</v>
      </c>
      <c r="D409" s="36" t="str">
        <f>IFERROR(__xludf.DUMMYFUNCTION("""COMPUTED_VALUE"""),"Kawaii")</f>
        <v>Kawaii</v>
      </c>
      <c r="E409" s="10" t="str">
        <f>IFERROR(__xludf.DUMMYFUNCTION("""COMPUTED_VALUE"""),"N/A")</f>
        <v>N/A</v>
      </c>
      <c r="F409" s="37">
        <f>IFERROR(__xludf.DUMMYFUNCTION("""COMPUTED_VALUE"""),14.491420895252546)</f>
        <v>14.4914209</v>
      </c>
      <c r="G409" s="38">
        <f>IFERROR(__xludf.DUMMYFUNCTION("""COMPUTED_VALUE"""),26.099277324619496)</f>
        <v>26.09927732</v>
      </c>
      <c r="H409" s="38">
        <f>IFERROR(__xludf.DUMMYFUNCTION("""COMPUTED_VALUE"""),20.29534910993602)</f>
        <v>20.29534911</v>
      </c>
      <c r="I409" s="14">
        <f>IFERROR(__xludf.DUMMYFUNCTION("""COMPUTED_VALUE"""),25.0)</f>
        <v>25</v>
      </c>
      <c r="J409" s="11">
        <f>IFERROR(__xludf.DUMMYFUNCTION("IFERROR(FILTER(Stats!$F:$Z,(Stats!$A:$A=$A409)*(Stats!$B:$B=$B409)))"),8.0)</f>
        <v>8</v>
      </c>
      <c r="K409" s="11">
        <f>IFERROR(__xludf.DUMMYFUNCTION("""COMPUTED_VALUE"""),17.0)</f>
        <v>17</v>
      </c>
      <c r="L409" s="12">
        <f>IFERROR(__xludf.DUMMYFUNCTION("""COMPUTED_VALUE"""),0.32)</f>
        <v>0.32</v>
      </c>
      <c r="M409" s="11">
        <f>IFERROR(__xludf.DUMMYFUNCTION("""COMPUTED_VALUE"""),2.0)</f>
        <v>2</v>
      </c>
      <c r="N409" s="11">
        <f>IFERROR(__xludf.DUMMYFUNCTION("""COMPUTED_VALUE"""),6271.0)</f>
        <v>6271</v>
      </c>
      <c r="O409" s="13">
        <f>IFERROR(__xludf.DUMMYFUNCTION("""COMPUTED_VALUE"""),11.0)</f>
        <v>11</v>
      </c>
      <c r="P409" s="14">
        <f>IFERROR(__xludf.DUMMYFUNCTION("""COMPUTED_VALUE"""),8.0)</f>
        <v>8</v>
      </c>
      <c r="Q409" s="13">
        <f>IFERROR(__xludf.DUMMYFUNCTION("""COMPUTED_VALUE"""),29.0)</f>
        <v>29</v>
      </c>
      <c r="R409" s="13">
        <f>IFERROR(__xludf.DUMMYFUNCTION("""COMPUTED_VALUE"""),56.0)</f>
        <v>56</v>
      </c>
      <c r="S409" s="15">
        <f>IFERROR(__xludf.DUMMYFUNCTION("""COMPUTED_VALUE"""),0.19642857142857142)</f>
        <v>0.1964285714</v>
      </c>
      <c r="T409" s="16">
        <f>IFERROR(__xludf.DUMMYFUNCTION("""COMPUTED_VALUE"""),250.84)</f>
        <v>250.84</v>
      </c>
      <c r="U409" s="16">
        <f>IFERROR(__xludf.DUMMYFUNCTION("""COMPUTED_VALUE"""),0.44)</f>
        <v>0.44</v>
      </c>
      <c r="V409" s="16">
        <f>IFERROR(__xludf.DUMMYFUNCTION("""COMPUTED_VALUE"""),0.32)</f>
        <v>0.32</v>
      </c>
      <c r="W409" s="16">
        <f>IFERROR(__xludf.DUMMYFUNCTION("""COMPUTED_VALUE"""),1.16)</f>
        <v>1.16</v>
      </c>
      <c r="X409" s="16">
        <f>IFERROR(__xludf.DUMMYFUNCTION("""COMPUTED_VALUE"""),2.24)</f>
        <v>2.24</v>
      </c>
      <c r="Y409" s="11">
        <f>IFERROR(__xludf.DUMMYFUNCTION("""COMPUTED_VALUE"""),0.0)</f>
        <v>0</v>
      </c>
      <c r="Z409" s="11">
        <f>IFERROR(__xludf.DUMMYFUNCTION("""COMPUTED_VALUE"""),1.0)</f>
        <v>1</v>
      </c>
      <c r="AA409" s="11">
        <f>IFERROR(__xludf.DUMMYFUNCTION("""COMPUTED_VALUE"""),0.0)</f>
        <v>0</v>
      </c>
      <c r="AB409" s="11">
        <f>IFERROR(__xludf.DUMMYFUNCTION("""COMPUTED_VALUE"""),4.0)</f>
        <v>4</v>
      </c>
      <c r="AC409" s="11">
        <f>IFERROR(__xludf.DUMMYFUNCTION("""COMPUTED_VALUE"""),11.0)</f>
        <v>11</v>
      </c>
      <c r="AD409" s="11">
        <f>IFERROR(__xludf.DUMMYFUNCTION("""COMPUTED_VALUE"""),22.0)</f>
        <v>22</v>
      </c>
    </row>
    <row r="410">
      <c r="A410" s="10" t="str">
        <f>IFERROR(__xludf.DUMMYFUNCTION("""COMPUTED_VALUE"""),"Master")</f>
        <v>Master</v>
      </c>
      <c r="B410" s="10" t="str">
        <f>IFERROR(__xludf.DUMMYFUNCTION("""COMPUTED_VALUE"""),"RSC003986")</f>
        <v>RSC003986</v>
      </c>
      <c r="C410" s="10" t="str">
        <f>IFERROR(__xludf.DUMMYFUNCTION("""COMPUTED_VALUE"""),"✪ Reprise")</f>
        <v>✪ Reprise</v>
      </c>
      <c r="D410" s="36" t="str">
        <f>IFERROR(__xludf.DUMMYFUNCTION("""COMPUTED_VALUE"""),"Helicoprions")</f>
        <v>Helicoprions</v>
      </c>
      <c r="E410" s="10" t="str">
        <f>IFERROR(__xludf.DUMMYFUNCTION("""COMPUTED_VALUE"""),"N/A")</f>
        <v>N/A</v>
      </c>
      <c r="F410" s="37">
        <f>IFERROR(__xludf.DUMMYFUNCTION("""COMPUTED_VALUE"""),0.7605523080048826)</f>
        <v>0.760552308</v>
      </c>
      <c r="G410" s="38">
        <f>IFERROR(__xludf.DUMMYFUNCTION("""COMPUTED_VALUE"""),12.56512897448114)</f>
        <v>12.56512897</v>
      </c>
      <c r="H410" s="38">
        <f>IFERROR(__xludf.DUMMYFUNCTION("""COMPUTED_VALUE"""),6.662840641243012)</f>
        <v>6.662840641</v>
      </c>
      <c r="I410" s="14">
        <f>IFERROR(__xludf.DUMMYFUNCTION("""COMPUTED_VALUE"""),4.0)</f>
        <v>4</v>
      </c>
      <c r="J410" s="11">
        <f>IFERROR(__xludf.DUMMYFUNCTION("IFERROR(FILTER(Stats!$F:$Z,(Stats!$A:$A=$A410)*(Stats!$B:$B=$B410)))"),2.0)</f>
        <v>2</v>
      </c>
      <c r="K410" s="11">
        <f>IFERROR(__xludf.DUMMYFUNCTION("""COMPUTED_VALUE"""),2.0)</f>
        <v>2</v>
      </c>
      <c r="L410" s="12">
        <f>IFERROR(__xludf.DUMMYFUNCTION("""COMPUTED_VALUE"""),0.5)</f>
        <v>0.5</v>
      </c>
      <c r="M410" s="11">
        <f>IFERROR(__xludf.DUMMYFUNCTION("""COMPUTED_VALUE"""),1.0)</f>
        <v>1</v>
      </c>
      <c r="N410" s="11">
        <f>IFERROR(__xludf.DUMMYFUNCTION("""COMPUTED_VALUE"""),1063.0)</f>
        <v>1063</v>
      </c>
      <c r="O410" s="13">
        <f>IFERROR(__xludf.DUMMYFUNCTION("""COMPUTED_VALUE"""),2.0)</f>
        <v>2</v>
      </c>
      <c r="P410" s="14">
        <f>IFERROR(__xludf.DUMMYFUNCTION("""COMPUTED_VALUE"""),2.0)</f>
        <v>2</v>
      </c>
      <c r="Q410" s="13">
        <f>IFERROR(__xludf.DUMMYFUNCTION("""COMPUTED_VALUE"""),4.0)</f>
        <v>4</v>
      </c>
      <c r="R410" s="13">
        <f>IFERROR(__xludf.DUMMYFUNCTION("""COMPUTED_VALUE"""),6.0)</f>
        <v>6</v>
      </c>
      <c r="S410" s="15">
        <f>IFERROR(__xludf.DUMMYFUNCTION("""COMPUTED_VALUE"""),0.3333333333333333)</f>
        <v>0.3333333333</v>
      </c>
      <c r="T410" s="16">
        <f>IFERROR(__xludf.DUMMYFUNCTION("""COMPUTED_VALUE"""),265.75)</f>
        <v>265.75</v>
      </c>
      <c r="U410" s="16">
        <f>IFERROR(__xludf.DUMMYFUNCTION("""COMPUTED_VALUE"""),0.5)</f>
        <v>0.5</v>
      </c>
      <c r="V410" s="16">
        <f>IFERROR(__xludf.DUMMYFUNCTION("""COMPUTED_VALUE"""),0.5)</f>
        <v>0.5</v>
      </c>
      <c r="W410" s="16">
        <f>IFERROR(__xludf.DUMMYFUNCTION("""COMPUTED_VALUE"""),1.0)</f>
        <v>1</v>
      </c>
      <c r="X410" s="16">
        <f>IFERROR(__xludf.DUMMYFUNCTION("""COMPUTED_VALUE"""),1.5)</f>
        <v>1.5</v>
      </c>
      <c r="Y410" s="11">
        <f>IFERROR(__xludf.DUMMYFUNCTION("""COMPUTED_VALUE"""),1.0)</f>
        <v>1</v>
      </c>
      <c r="Z410" s="11">
        <f>IFERROR(__xludf.DUMMYFUNCTION("""COMPUTED_VALUE"""),0.0)</f>
        <v>0</v>
      </c>
      <c r="AA410" s="11">
        <f>IFERROR(__xludf.DUMMYFUNCTION("""COMPUTED_VALUE"""),0.0)</f>
        <v>0</v>
      </c>
      <c r="AB410" s="11">
        <f>IFERROR(__xludf.DUMMYFUNCTION("""COMPUTED_VALUE"""),0.0)</f>
        <v>0</v>
      </c>
      <c r="AC410" s="11">
        <f>IFERROR(__xludf.DUMMYFUNCTION("""COMPUTED_VALUE"""),1.0)</f>
        <v>1</v>
      </c>
      <c r="AD410" s="11">
        <f>IFERROR(__xludf.DUMMYFUNCTION("""COMPUTED_VALUE"""),4.0)</f>
        <v>4</v>
      </c>
    </row>
    <row r="411">
      <c r="A411" s="10" t="str">
        <f>IFERROR(__xludf.DUMMYFUNCTION("""COMPUTED_VALUE"""),"Master")</f>
        <v>Master</v>
      </c>
      <c r="B411" s="10" t="str">
        <f>IFERROR(__xludf.DUMMYFUNCTION("""COMPUTED_VALUE"""),"RSC008368")</f>
        <v>RSC008368</v>
      </c>
      <c r="C411" s="10" t="str">
        <f>IFERROR(__xludf.DUMMYFUNCTION("""COMPUTED_VALUE"""),"taLz.")</f>
        <v>taLz.</v>
      </c>
      <c r="D411" s="36" t="str">
        <f>IFERROR(__xludf.DUMMYFUNCTION("""COMPUTED_VALUE"""),"Fromunda Frauds")</f>
        <v>Fromunda Frauds</v>
      </c>
      <c r="E411" s="41" t="str">
        <f>IFERROR(__xludf.DUMMYFUNCTION("""COMPUTED_VALUE"""),"N/A")</f>
        <v>N/A</v>
      </c>
      <c r="F411" s="37">
        <f>IFERROR(__xludf.DUMMYFUNCTION("""COMPUTED_VALUE"""),13.366830232101243)</f>
        <v>13.36683023</v>
      </c>
      <c r="G411" s="38">
        <f>IFERROR(__xludf.DUMMYFUNCTION("""COMPUTED_VALUE"""),-16.58930899462706)</f>
        <v>-16.58930899</v>
      </c>
      <c r="H411" s="38">
        <f>IFERROR(__xludf.DUMMYFUNCTION("""COMPUTED_VALUE"""),-1.6112393812629087)</f>
        <v>-1.611239381</v>
      </c>
      <c r="I411" s="14">
        <f>IFERROR(__xludf.DUMMYFUNCTION("""COMPUTED_VALUE"""),13.0)</f>
        <v>13</v>
      </c>
      <c r="J411" s="11">
        <f>IFERROR(__xludf.DUMMYFUNCTION("IFERROR(FILTER(Stats!$F:$Z,(Stats!$A:$A=$A411)*(Stats!$B:$B=$B411)))"),6.0)</f>
        <v>6</v>
      </c>
      <c r="K411" s="11">
        <f>IFERROR(__xludf.DUMMYFUNCTION("""COMPUTED_VALUE"""),7.0)</f>
        <v>7</v>
      </c>
      <c r="L411" s="12">
        <f>IFERROR(__xludf.DUMMYFUNCTION("""COMPUTED_VALUE"""),0.46153846153846156)</f>
        <v>0.4615384615</v>
      </c>
      <c r="M411" s="11">
        <f>IFERROR(__xludf.DUMMYFUNCTION("""COMPUTED_VALUE"""),3.0)</f>
        <v>3</v>
      </c>
      <c r="N411" s="11">
        <f>IFERROR(__xludf.DUMMYFUNCTION("""COMPUTED_VALUE"""),2352.0)</f>
        <v>2352</v>
      </c>
      <c r="O411" s="13">
        <f>IFERROR(__xludf.DUMMYFUNCTION("""COMPUTED_VALUE"""),2.0)</f>
        <v>2</v>
      </c>
      <c r="P411" s="14">
        <f>IFERROR(__xludf.DUMMYFUNCTION("""COMPUTED_VALUE"""),5.0)</f>
        <v>5</v>
      </c>
      <c r="Q411" s="13">
        <f>IFERROR(__xludf.DUMMYFUNCTION("""COMPUTED_VALUE"""),9.0)</f>
        <v>9</v>
      </c>
      <c r="R411" s="13">
        <f>IFERROR(__xludf.DUMMYFUNCTION("""COMPUTED_VALUE"""),8.0)</f>
        <v>8</v>
      </c>
      <c r="S411" s="15">
        <f>IFERROR(__xludf.DUMMYFUNCTION("""COMPUTED_VALUE"""),0.25)</f>
        <v>0.25</v>
      </c>
      <c r="T411" s="16">
        <f>IFERROR(__xludf.DUMMYFUNCTION("""COMPUTED_VALUE"""),180.92307692307693)</f>
        <v>180.9230769</v>
      </c>
      <c r="U411" s="16">
        <f>IFERROR(__xludf.DUMMYFUNCTION("""COMPUTED_VALUE"""),0.15384615384615385)</f>
        <v>0.1538461538</v>
      </c>
      <c r="V411" s="16">
        <f>IFERROR(__xludf.DUMMYFUNCTION("""COMPUTED_VALUE"""),0.38461538461538464)</f>
        <v>0.3846153846</v>
      </c>
      <c r="W411" s="16">
        <f>IFERROR(__xludf.DUMMYFUNCTION("""COMPUTED_VALUE"""),0.6923076923076923)</f>
        <v>0.6923076923</v>
      </c>
      <c r="X411" s="16">
        <f>IFERROR(__xludf.DUMMYFUNCTION("""COMPUTED_VALUE"""),0.6153846153846154)</f>
        <v>0.6153846154</v>
      </c>
      <c r="Y411" s="11">
        <f>IFERROR(__xludf.DUMMYFUNCTION("""COMPUTED_VALUE"""),0.0)</f>
        <v>0</v>
      </c>
      <c r="Z411" s="11">
        <f>IFERROR(__xludf.DUMMYFUNCTION("""COMPUTED_VALUE"""),1.0)</f>
        <v>1</v>
      </c>
      <c r="AA411" s="11">
        <f>IFERROR(__xludf.DUMMYFUNCTION("""COMPUTED_VALUE"""),1.0)</f>
        <v>1</v>
      </c>
      <c r="AB411" s="11">
        <f>IFERROR(__xludf.DUMMYFUNCTION("""COMPUTED_VALUE"""),0.0)</f>
        <v>0</v>
      </c>
      <c r="AC411" s="11">
        <f>IFERROR(__xludf.DUMMYFUNCTION("""COMPUTED_VALUE"""),11.0)</f>
        <v>11</v>
      </c>
      <c r="AD411" s="11">
        <f>IFERROR(__xludf.DUMMYFUNCTION("""COMPUTED_VALUE"""),6.0)</f>
        <v>6</v>
      </c>
    </row>
    <row r="412">
      <c r="A412" s="10" t="str">
        <f>IFERROR(__xludf.DUMMYFUNCTION("""COMPUTED_VALUE"""),"Master")</f>
        <v>Master</v>
      </c>
      <c r="B412" s="10" t="str">
        <f>IFERROR(__xludf.DUMMYFUNCTION("""COMPUTED_VALUE"""),"RSC008500")</f>
        <v>RSC008500</v>
      </c>
      <c r="C412" s="10" t="str">
        <f>IFERROR(__xludf.DUMMYFUNCTION("""COMPUTED_VALUE"""),"Alejandro55")</f>
        <v>Alejandro55</v>
      </c>
      <c r="D412" s="36" t="str">
        <f>IFERROR(__xludf.DUMMYFUNCTION("""COMPUTED_VALUE"""),"Lemurs
Battle Masters")</f>
        <v>Lemurs
Battle Masters</v>
      </c>
      <c r="E412" s="10" t="str">
        <f>IFERROR(__xludf.DUMMYFUNCTION("""COMPUTED_VALUE"""),"N/A
N/A")</f>
        <v>N/A
N/A</v>
      </c>
      <c r="F412" s="37">
        <f>IFERROR(__xludf.DUMMYFUNCTION("""COMPUTED_VALUE"""),-2.018387281329346)</f>
        <v>-2.018387281</v>
      </c>
      <c r="G412" s="38">
        <f>IFERROR(__xludf.DUMMYFUNCTION("""COMPUTED_VALUE"""),-2.1580840414918896)</f>
        <v>-2.158084041</v>
      </c>
      <c r="H412" s="38">
        <f>IFERROR(__xludf.DUMMYFUNCTION("""COMPUTED_VALUE"""),-2.088235661410618)</f>
        <v>-2.088235661</v>
      </c>
      <c r="I412" s="14">
        <f>IFERROR(__xludf.DUMMYFUNCTION("""COMPUTED_VALUE"""),6.0)</f>
        <v>6</v>
      </c>
      <c r="J412" s="11">
        <f>IFERROR(__xludf.DUMMYFUNCTION("IFERROR(FILTER(Stats!$F:$Z,(Stats!$A:$A=$A412)*(Stats!$B:$B=$B412)))"),0.0)</f>
        <v>0</v>
      </c>
      <c r="K412" s="11">
        <f>IFERROR(__xludf.DUMMYFUNCTION("""COMPUTED_VALUE"""),6.0)</f>
        <v>6</v>
      </c>
      <c r="L412" s="12">
        <f>IFERROR(__xludf.DUMMYFUNCTION("""COMPUTED_VALUE"""),0.0)</f>
        <v>0</v>
      </c>
      <c r="M412" s="11">
        <f>IFERROR(__xludf.DUMMYFUNCTION("""COMPUTED_VALUE"""),0.0)</f>
        <v>0</v>
      </c>
      <c r="N412" s="11">
        <f>IFERROR(__xludf.DUMMYFUNCTION("""COMPUTED_VALUE"""),1749.0)</f>
        <v>1749</v>
      </c>
      <c r="O412" s="13">
        <f>IFERROR(__xludf.DUMMYFUNCTION("""COMPUTED_VALUE"""),3.0)</f>
        <v>3</v>
      </c>
      <c r="P412" s="14">
        <f>IFERROR(__xludf.DUMMYFUNCTION("""COMPUTED_VALUE"""),3.0)</f>
        <v>3</v>
      </c>
      <c r="Q412" s="13">
        <f>IFERROR(__xludf.DUMMYFUNCTION("""COMPUTED_VALUE"""),8.0)</f>
        <v>8</v>
      </c>
      <c r="R412" s="13">
        <f>IFERROR(__xludf.DUMMYFUNCTION("""COMPUTED_VALUE"""),11.0)</f>
        <v>11</v>
      </c>
      <c r="S412" s="15">
        <f>IFERROR(__xludf.DUMMYFUNCTION("""COMPUTED_VALUE"""),0.2727272727272727)</f>
        <v>0.2727272727</v>
      </c>
      <c r="T412" s="16">
        <f>IFERROR(__xludf.DUMMYFUNCTION("""COMPUTED_VALUE"""),291.5)</f>
        <v>291.5</v>
      </c>
      <c r="U412" s="16">
        <f>IFERROR(__xludf.DUMMYFUNCTION("""COMPUTED_VALUE"""),0.5)</f>
        <v>0.5</v>
      </c>
      <c r="V412" s="16">
        <f>IFERROR(__xludf.DUMMYFUNCTION("""COMPUTED_VALUE"""),0.5)</f>
        <v>0.5</v>
      </c>
      <c r="W412" s="16">
        <f>IFERROR(__xludf.DUMMYFUNCTION("""COMPUTED_VALUE"""),1.3333333333333333)</f>
        <v>1.333333333</v>
      </c>
      <c r="X412" s="16">
        <f>IFERROR(__xludf.DUMMYFUNCTION("""COMPUTED_VALUE"""),1.8333333333333333)</f>
        <v>1.833333333</v>
      </c>
      <c r="Y412" s="11">
        <f>IFERROR(__xludf.DUMMYFUNCTION("""COMPUTED_VALUE"""),1.0)</f>
        <v>1</v>
      </c>
      <c r="Z412" s="11">
        <f>IFERROR(__xludf.DUMMYFUNCTION("""COMPUTED_VALUE"""),0.0)</f>
        <v>0</v>
      </c>
      <c r="AA412" s="11">
        <f>IFERROR(__xludf.DUMMYFUNCTION("""COMPUTED_VALUE"""),0.0)</f>
        <v>0</v>
      </c>
      <c r="AB412" s="11">
        <f>IFERROR(__xludf.DUMMYFUNCTION("""COMPUTED_VALUE"""),1.0)</f>
        <v>1</v>
      </c>
      <c r="AC412" s="11">
        <f>IFERROR(__xludf.DUMMYFUNCTION("""COMPUTED_VALUE"""),6.0)</f>
        <v>6</v>
      </c>
      <c r="AD412" s="11">
        <f>IFERROR(__xludf.DUMMYFUNCTION("""COMPUTED_VALUE"""),10.0)</f>
        <v>10</v>
      </c>
    </row>
    <row r="413">
      <c r="A413" s="10" t="str">
        <f>IFERROR(__xludf.DUMMYFUNCTION("""COMPUTED_VALUE"""),"Master")</f>
        <v>Master</v>
      </c>
      <c r="B413" s="10" t="str">
        <f>IFERROR(__xludf.DUMMYFUNCTION("""COMPUTED_VALUE"""),"RSC003792")</f>
        <v>RSC003792</v>
      </c>
      <c r="C413" s="10" t="str">
        <f>IFERROR(__xludf.DUMMYFUNCTION("""COMPUTED_VALUE"""),"Calcifiree")</f>
        <v>Calcifiree</v>
      </c>
      <c r="D413" s="36" t="str">
        <f>IFERROR(__xludf.DUMMYFUNCTION("""COMPUTED_VALUE"""),"Lemurs")</f>
        <v>Lemurs</v>
      </c>
      <c r="E413" s="10" t="str">
        <f>IFERROR(__xludf.DUMMYFUNCTION("""COMPUTED_VALUE"""),"N/A")</f>
        <v>N/A</v>
      </c>
      <c r="F413" s="37">
        <f>IFERROR(__xludf.DUMMYFUNCTION("""COMPUTED_VALUE"""),-12.419611470419078)</f>
        <v>-12.41961147</v>
      </c>
      <c r="G413" s="38">
        <f>IFERROR(__xludf.DUMMYFUNCTION("""COMPUTED_VALUE"""),7.649125837045794)</f>
        <v>7.649125837</v>
      </c>
      <c r="H413" s="38">
        <f>IFERROR(__xludf.DUMMYFUNCTION("""COMPUTED_VALUE"""),-2.3852428166866417)</f>
        <v>-2.385242817</v>
      </c>
      <c r="I413" s="14">
        <f>IFERROR(__xludf.DUMMYFUNCTION("""COMPUTED_VALUE"""),3.0)</f>
        <v>3</v>
      </c>
      <c r="J413" s="11">
        <f>IFERROR(__xludf.DUMMYFUNCTION("IFERROR(FILTER(Stats!$F:$Z,(Stats!$A:$A=$A413)*(Stats!$B:$B=$B413)))"),0.0)</f>
        <v>0</v>
      </c>
      <c r="K413" s="11">
        <f>IFERROR(__xludf.DUMMYFUNCTION("""COMPUTED_VALUE"""),3.0)</f>
        <v>3</v>
      </c>
      <c r="L413" s="12">
        <f>IFERROR(__xludf.DUMMYFUNCTION("""COMPUTED_VALUE"""),0.0)</f>
        <v>0</v>
      </c>
      <c r="M413" s="11">
        <f>IFERROR(__xludf.DUMMYFUNCTION("""COMPUTED_VALUE"""),0.0)</f>
        <v>0</v>
      </c>
      <c r="N413" s="11">
        <f>IFERROR(__xludf.DUMMYFUNCTION("""COMPUTED_VALUE"""),825.0)</f>
        <v>825</v>
      </c>
      <c r="O413" s="13">
        <f>IFERROR(__xludf.DUMMYFUNCTION("""COMPUTED_VALUE"""),2.0)</f>
        <v>2</v>
      </c>
      <c r="P413" s="14">
        <f>IFERROR(__xludf.DUMMYFUNCTION("""COMPUTED_VALUE"""),2.0)</f>
        <v>2</v>
      </c>
      <c r="Q413" s="13">
        <f>IFERROR(__xludf.DUMMYFUNCTION("""COMPUTED_VALUE"""),3.0)</f>
        <v>3</v>
      </c>
      <c r="R413" s="13">
        <f>IFERROR(__xludf.DUMMYFUNCTION("""COMPUTED_VALUE"""),2.0)</f>
        <v>2</v>
      </c>
      <c r="S413" s="15">
        <f>IFERROR(__xludf.DUMMYFUNCTION("""COMPUTED_VALUE"""),1.0)</f>
        <v>1</v>
      </c>
      <c r="T413" s="16">
        <f>IFERROR(__xludf.DUMMYFUNCTION("""COMPUTED_VALUE"""),275.0)</f>
        <v>275</v>
      </c>
      <c r="U413" s="16">
        <f>IFERROR(__xludf.DUMMYFUNCTION("""COMPUTED_VALUE"""),0.6666666666666666)</f>
        <v>0.6666666667</v>
      </c>
      <c r="V413" s="16">
        <f>IFERROR(__xludf.DUMMYFUNCTION("""COMPUTED_VALUE"""),0.6666666666666666)</f>
        <v>0.6666666667</v>
      </c>
      <c r="W413" s="16">
        <f>IFERROR(__xludf.DUMMYFUNCTION("""COMPUTED_VALUE"""),1.0)</f>
        <v>1</v>
      </c>
      <c r="X413" s="16">
        <f>IFERROR(__xludf.DUMMYFUNCTION("""COMPUTED_VALUE"""),0.6666666666666666)</f>
        <v>0.6666666667</v>
      </c>
      <c r="Y413" s="11">
        <f>IFERROR(__xludf.DUMMYFUNCTION("""COMPUTED_VALUE"""),0.0)</f>
        <v>0</v>
      </c>
      <c r="Z413" s="11">
        <f>IFERROR(__xludf.DUMMYFUNCTION("""COMPUTED_VALUE"""),0.0)</f>
        <v>0</v>
      </c>
      <c r="AA413" s="11">
        <f>IFERROR(__xludf.DUMMYFUNCTION("""COMPUTED_VALUE"""),0.0)</f>
        <v>0</v>
      </c>
      <c r="AB413" s="11">
        <f>IFERROR(__xludf.DUMMYFUNCTION("""COMPUTED_VALUE"""),0.0)</f>
        <v>0</v>
      </c>
      <c r="AC413" s="11">
        <f>IFERROR(__xludf.DUMMYFUNCTION("""COMPUTED_VALUE"""),3.0)</f>
        <v>3</v>
      </c>
      <c r="AD413" s="11">
        <f>IFERROR(__xludf.DUMMYFUNCTION("""COMPUTED_VALUE"""),5.0)</f>
        <v>5</v>
      </c>
    </row>
    <row r="414">
      <c r="A414" s="10" t="str">
        <f>IFERROR(__xludf.DUMMYFUNCTION("""COMPUTED_VALUE"""),"Master")</f>
        <v>Master</v>
      </c>
      <c r="B414" s="10" t="str">
        <f>IFERROR(__xludf.DUMMYFUNCTION("""COMPUTED_VALUE"""),"RSC006569")</f>
        <v>RSC006569</v>
      </c>
      <c r="C414" s="10" t="str">
        <f>IFERROR(__xludf.DUMMYFUNCTION("""COMPUTED_VALUE"""),"mulliganisoup")</f>
        <v>mulliganisoup</v>
      </c>
      <c r="D414" s="36" t="str">
        <f>IFERROR(__xludf.DUMMYFUNCTION("""COMPUTED_VALUE"""),"Battle Masters")</f>
        <v>Battle Masters</v>
      </c>
      <c r="E414" s="10" t="str">
        <f>IFERROR(__xludf.DUMMYFUNCTION("""COMPUTED_VALUE"""),"N/A")</f>
        <v>N/A</v>
      </c>
      <c r="F414" s="37">
        <f>IFERROR(__xludf.DUMMYFUNCTION("""COMPUTED_VALUE"""),-31.36169097436718)</f>
        <v>-31.36169097</v>
      </c>
      <c r="G414" s="38">
        <f>IFERROR(__xludf.DUMMYFUNCTION("""COMPUTED_VALUE"""),-21.282056391317326)</f>
        <v>-21.28205639</v>
      </c>
      <c r="H414" s="38">
        <f>IFERROR(__xludf.DUMMYFUNCTION("""COMPUTED_VALUE"""),-26.321873682842252)</f>
        <v>-26.32187368</v>
      </c>
      <c r="I414" s="14">
        <f>IFERROR(__xludf.DUMMYFUNCTION("""COMPUTED_VALUE"""),4.0)</f>
        <v>4</v>
      </c>
      <c r="J414" s="11">
        <f>IFERROR(__xludf.DUMMYFUNCTION("IFERROR(FILTER(Stats!$F:$Z,(Stats!$A:$A=$A414)*(Stats!$B:$B=$B414)))"),1.0)</f>
        <v>1</v>
      </c>
      <c r="K414" s="11">
        <f>IFERROR(__xludf.DUMMYFUNCTION("""COMPUTED_VALUE"""),3.0)</f>
        <v>3</v>
      </c>
      <c r="L414" s="12">
        <f>IFERROR(__xludf.DUMMYFUNCTION("""COMPUTED_VALUE"""),0.25)</f>
        <v>0.25</v>
      </c>
      <c r="M414" s="11">
        <f>IFERROR(__xludf.DUMMYFUNCTION("""COMPUTED_VALUE"""),0.0)</f>
        <v>0</v>
      </c>
      <c r="N414" s="11">
        <f>IFERROR(__xludf.DUMMYFUNCTION("""COMPUTED_VALUE"""),851.0)</f>
        <v>851</v>
      </c>
      <c r="O414" s="13">
        <f>IFERROR(__xludf.DUMMYFUNCTION("""COMPUTED_VALUE"""),2.0)</f>
        <v>2</v>
      </c>
      <c r="P414" s="14">
        <f>IFERROR(__xludf.DUMMYFUNCTION("""COMPUTED_VALUE"""),1.0)</f>
        <v>1</v>
      </c>
      <c r="Q414" s="13">
        <f>IFERROR(__xludf.DUMMYFUNCTION("""COMPUTED_VALUE"""),3.0)</f>
        <v>3</v>
      </c>
      <c r="R414" s="13">
        <f>IFERROR(__xludf.DUMMYFUNCTION("""COMPUTED_VALUE"""),7.0)</f>
        <v>7</v>
      </c>
      <c r="S414" s="15">
        <f>IFERROR(__xludf.DUMMYFUNCTION("""COMPUTED_VALUE"""),0.2857142857142857)</f>
        <v>0.2857142857</v>
      </c>
      <c r="T414" s="16">
        <f>IFERROR(__xludf.DUMMYFUNCTION("""COMPUTED_VALUE"""),212.75)</f>
        <v>212.75</v>
      </c>
      <c r="U414" s="16">
        <f>IFERROR(__xludf.DUMMYFUNCTION("""COMPUTED_VALUE"""),0.5)</f>
        <v>0.5</v>
      </c>
      <c r="V414" s="16">
        <f>IFERROR(__xludf.DUMMYFUNCTION("""COMPUTED_VALUE"""),0.25)</f>
        <v>0.25</v>
      </c>
      <c r="W414" s="16">
        <f>IFERROR(__xludf.DUMMYFUNCTION("""COMPUTED_VALUE"""),0.75)</f>
        <v>0.75</v>
      </c>
      <c r="X414" s="16">
        <f>IFERROR(__xludf.DUMMYFUNCTION("""COMPUTED_VALUE"""),1.75)</f>
        <v>1.75</v>
      </c>
      <c r="Y414" s="11">
        <f>IFERROR(__xludf.DUMMYFUNCTION("""COMPUTED_VALUE"""),0.0)</f>
        <v>0</v>
      </c>
      <c r="Z414" s="11">
        <f>IFERROR(__xludf.DUMMYFUNCTION("""COMPUTED_VALUE"""),0.0)</f>
        <v>0</v>
      </c>
      <c r="AA414" s="11">
        <f>IFERROR(__xludf.DUMMYFUNCTION("""COMPUTED_VALUE"""),0.0)</f>
        <v>0</v>
      </c>
      <c r="AB414" s="11">
        <f>IFERROR(__xludf.DUMMYFUNCTION("""COMPUTED_VALUE"""),0.0)</f>
        <v>0</v>
      </c>
      <c r="AC414" s="11">
        <f>IFERROR(__xludf.DUMMYFUNCTION("""COMPUTED_VALUE"""),2.0)</f>
        <v>2</v>
      </c>
      <c r="AD414" s="11">
        <f>IFERROR(__xludf.DUMMYFUNCTION("""COMPUTED_VALUE"""),3.0)</f>
        <v>3</v>
      </c>
    </row>
    <row r="415">
      <c r="A415" s="10" t="str">
        <f>IFERROR(__xludf.DUMMYFUNCTION("""COMPUTED_VALUE"""),"Premier")</f>
        <v>Premier</v>
      </c>
      <c r="B415" s="10" t="str">
        <f>IFERROR(__xludf.DUMMYFUNCTION("""COMPUTED_VALUE"""),"RSC007071")</f>
        <v>RSC007071</v>
      </c>
      <c r="C415" s="10" t="str">
        <f>IFERROR(__xludf.DUMMYFUNCTION("""COMPUTED_VALUE"""),"Ankur")</f>
        <v>Ankur</v>
      </c>
      <c r="D415" s="36" t="str">
        <f>IFERROR(__xludf.DUMMYFUNCTION("""COMPUTED_VALUE"""),"Interstellar")</f>
        <v>Interstellar</v>
      </c>
      <c r="E415" s="10" t="str">
        <f>IFERROR(__xludf.DUMMYFUNCTION("""COMPUTED_VALUE"""),"N/A")</f>
        <v>N/A</v>
      </c>
      <c r="F415" s="37">
        <f>IFERROR(__xludf.DUMMYFUNCTION("""COMPUTED_VALUE"""),113.06088063975272)</f>
        <v>113.0608806</v>
      </c>
      <c r="G415" s="38">
        <f>IFERROR(__xludf.DUMMYFUNCTION("""COMPUTED_VALUE"""),141.11265138106162)</f>
        <v>141.1126514</v>
      </c>
      <c r="H415" s="38">
        <f>IFERROR(__xludf.DUMMYFUNCTION("""COMPUTED_VALUE"""),127.08676601040717)</f>
        <v>127.086766</v>
      </c>
      <c r="I415" s="14">
        <f>IFERROR(__xludf.DUMMYFUNCTION("""COMPUTED_VALUE"""),4.0)</f>
        <v>4</v>
      </c>
      <c r="J415" s="11">
        <f>IFERROR(__xludf.DUMMYFUNCTION("IFERROR(FILTER(Stats!$F:$Z,(Stats!$A:$A=$A415)*(Stats!$B:$B=$B415)))"),4.0)</f>
        <v>4</v>
      </c>
      <c r="K415" s="11">
        <f>IFERROR(__xludf.DUMMYFUNCTION("""COMPUTED_VALUE"""),0.0)</f>
        <v>0</v>
      </c>
      <c r="L415" s="12">
        <f>IFERROR(__xludf.DUMMYFUNCTION("""COMPUTED_VALUE"""),1.0)</f>
        <v>1</v>
      </c>
      <c r="M415" s="11">
        <f>IFERROR(__xludf.DUMMYFUNCTION("""COMPUTED_VALUE"""),2.0)</f>
        <v>2</v>
      </c>
      <c r="N415" s="11">
        <f>IFERROR(__xludf.DUMMYFUNCTION("""COMPUTED_VALUE"""),2304.0)</f>
        <v>2304</v>
      </c>
      <c r="O415" s="13">
        <f>IFERROR(__xludf.DUMMYFUNCTION("""COMPUTED_VALUE"""),7.0)</f>
        <v>7</v>
      </c>
      <c r="P415" s="14">
        <f>IFERROR(__xludf.DUMMYFUNCTION("""COMPUTED_VALUE"""),4.0)</f>
        <v>4</v>
      </c>
      <c r="Q415" s="13">
        <f>IFERROR(__xludf.DUMMYFUNCTION("""COMPUTED_VALUE"""),8.0)</f>
        <v>8</v>
      </c>
      <c r="R415" s="13">
        <f>IFERROR(__xludf.DUMMYFUNCTION("""COMPUTED_VALUE"""),14.0)</f>
        <v>14</v>
      </c>
      <c r="S415" s="15">
        <f>IFERROR(__xludf.DUMMYFUNCTION("""COMPUTED_VALUE"""),0.5)</f>
        <v>0.5</v>
      </c>
      <c r="T415" s="16">
        <f>IFERROR(__xludf.DUMMYFUNCTION("""COMPUTED_VALUE"""),576.0)</f>
        <v>576</v>
      </c>
      <c r="U415" s="16">
        <f>IFERROR(__xludf.DUMMYFUNCTION("""COMPUTED_VALUE"""),1.75)</f>
        <v>1.75</v>
      </c>
      <c r="V415" s="16">
        <f>IFERROR(__xludf.DUMMYFUNCTION("""COMPUTED_VALUE"""),1.0)</f>
        <v>1</v>
      </c>
      <c r="W415" s="16">
        <f>IFERROR(__xludf.DUMMYFUNCTION("""COMPUTED_VALUE"""),2.0)</f>
        <v>2</v>
      </c>
      <c r="X415" s="16">
        <f>IFERROR(__xludf.DUMMYFUNCTION("""COMPUTED_VALUE"""),3.5)</f>
        <v>3.5</v>
      </c>
      <c r="Y415" s="11">
        <f>IFERROR(__xludf.DUMMYFUNCTION("""COMPUTED_VALUE"""),3.0)</f>
        <v>3</v>
      </c>
      <c r="Z415" s="11">
        <f>IFERROR(__xludf.DUMMYFUNCTION("""COMPUTED_VALUE"""),1.0)</f>
        <v>1</v>
      </c>
      <c r="AA415" s="11">
        <f>IFERROR(__xludf.DUMMYFUNCTION("""COMPUTED_VALUE"""),0.0)</f>
        <v>0</v>
      </c>
      <c r="AB415" s="11">
        <f>IFERROR(__xludf.DUMMYFUNCTION("""COMPUTED_VALUE"""),2.0)</f>
        <v>2</v>
      </c>
      <c r="AC415" s="11">
        <f>IFERROR(__xludf.DUMMYFUNCTION("""COMPUTED_VALUE"""),2.0)</f>
        <v>2</v>
      </c>
      <c r="AD415" s="11">
        <f>IFERROR(__xludf.DUMMYFUNCTION("""COMPUTED_VALUE"""),4.0)</f>
        <v>4</v>
      </c>
    </row>
    <row r="416">
      <c r="A416" s="10" t="str">
        <f>IFERROR(__xludf.DUMMYFUNCTION("""COMPUTED_VALUE"""),"Premier")</f>
        <v>Premier</v>
      </c>
      <c r="B416" s="10" t="str">
        <f>IFERROR(__xludf.DUMMYFUNCTION("""COMPUTED_VALUE"""),"RSC007460")</f>
        <v>RSC007460</v>
      </c>
      <c r="C416" s="10" t="str">
        <f>IFERROR(__xludf.DUMMYFUNCTION("""COMPUTED_VALUE"""),"mogiiuh")</f>
        <v>mogiiuh</v>
      </c>
      <c r="D416" s="36" t="str">
        <f>IFERROR(__xludf.DUMMYFUNCTION("""COMPUTED_VALUE"""),"Punks")</f>
        <v>Punks</v>
      </c>
      <c r="E416" s="10" t="str">
        <f>IFERROR(__xludf.DUMMYFUNCTION("""COMPUTED_VALUE"""),"N/A")</f>
        <v>N/A</v>
      </c>
      <c r="F416" s="37">
        <f>IFERROR(__xludf.DUMMYFUNCTION("""COMPUTED_VALUE"""),92.30678728535236)</f>
        <v>92.30678729</v>
      </c>
      <c r="G416" s="38">
        <f>IFERROR(__xludf.DUMMYFUNCTION("""COMPUTED_VALUE"""),89.86532163775782)</f>
        <v>89.86532164</v>
      </c>
      <c r="H416" s="38">
        <f>IFERROR(__xludf.DUMMYFUNCTION("""COMPUTED_VALUE"""),91.08605446155508)</f>
        <v>91.08605446</v>
      </c>
      <c r="I416" s="14">
        <f>IFERROR(__xludf.DUMMYFUNCTION("""COMPUTED_VALUE"""),20.0)</f>
        <v>20</v>
      </c>
      <c r="J416" s="11">
        <f>IFERROR(__xludf.DUMMYFUNCTION("IFERROR(FILTER(Stats!$F:$Z,(Stats!$A:$A=$A416)*(Stats!$B:$B=$B416)))"),10.0)</f>
        <v>10</v>
      </c>
      <c r="K416" s="11">
        <f>IFERROR(__xludf.DUMMYFUNCTION("""COMPUTED_VALUE"""),10.0)</f>
        <v>10</v>
      </c>
      <c r="L416" s="12">
        <f>IFERROR(__xludf.DUMMYFUNCTION("""COMPUTED_VALUE"""),0.5)</f>
        <v>0.5</v>
      </c>
      <c r="M416" s="11">
        <f>IFERROR(__xludf.DUMMYFUNCTION("""COMPUTED_VALUE"""),6.0)</f>
        <v>6</v>
      </c>
      <c r="N416" s="11">
        <f>IFERROR(__xludf.DUMMYFUNCTION("""COMPUTED_VALUE"""),10005.0)</f>
        <v>10005</v>
      </c>
      <c r="O416" s="13">
        <f>IFERROR(__xludf.DUMMYFUNCTION("""COMPUTED_VALUE"""),22.0)</f>
        <v>22</v>
      </c>
      <c r="P416" s="14">
        <f>IFERROR(__xludf.DUMMYFUNCTION("""COMPUTED_VALUE"""),18.0)</f>
        <v>18</v>
      </c>
      <c r="Q416" s="13">
        <f>IFERROR(__xludf.DUMMYFUNCTION("""COMPUTED_VALUE"""),43.0)</f>
        <v>43</v>
      </c>
      <c r="R416" s="13">
        <f>IFERROR(__xludf.DUMMYFUNCTION("""COMPUTED_VALUE"""),72.0)</f>
        <v>72</v>
      </c>
      <c r="S416" s="15">
        <f>IFERROR(__xludf.DUMMYFUNCTION("""COMPUTED_VALUE"""),0.3055555555555556)</f>
        <v>0.3055555556</v>
      </c>
      <c r="T416" s="16">
        <f>IFERROR(__xludf.DUMMYFUNCTION("""COMPUTED_VALUE"""),500.25)</f>
        <v>500.25</v>
      </c>
      <c r="U416" s="16">
        <f>IFERROR(__xludf.DUMMYFUNCTION("""COMPUTED_VALUE"""),1.1)</f>
        <v>1.1</v>
      </c>
      <c r="V416" s="16">
        <f>IFERROR(__xludf.DUMMYFUNCTION("""COMPUTED_VALUE"""),0.9)</f>
        <v>0.9</v>
      </c>
      <c r="W416" s="16">
        <f>IFERROR(__xludf.DUMMYFUNCTION("""COMPUTED_VALUE"""),2.15)</f>
        <v>2.15</v>
      </c>
      <c r="X416" s="16">
        <f>IFERROR(__xludf.DUMMYFUNCTION("""COMPUTED_VALUE"""),3.6)</f>
        <v>3.6</v>
      </c>
      <c r="Y416" s="11">
        <f>IFERROR(__xludf.DUMMYFUNCTION("""COMPUTED_VALUE"""),10.0)</f>
        <v>10</v>
      </c>
      <c r="Z416" s="11">
        <f>IFERROR(__xludf.DUMMYFUNCTION("""COMPUTED_VALUE"""),2.0)</f>
        <v>2</v>
      </c>
      <c r="AA416" s="11">
        <f>IFERROR(__xludf.DUMMYFUNCTION("""COMPUTED_VALUE"""),0.0)</f>
        <v>0</v>
      </c>
      <c r="AB416" s="11">
        <f>IFERROR(__xludf.DUMMYFUNCTION("""COMPUTED_VALUE"""),8.0)</f>
        <v>8</v>
      </c>
      <c r="AC416" s="11">
        <f>IFERROR(__xludf.DUMMYFUNCTION("""COMPUTED_VALUE"""),25.0)</f>
        <v>25</v>
      </c>
      <c r="AD416" s="11">
        <f>IFERROR(__xludf.DUMMYFUNCTION("""COMPUTED_VALUE"""),24.0)</f>
        <v>24</v>
      </c>
    </row>
    <row r="417">
      <c r="A417" s="10" t="str">
        <f>IFERROR(__xludf.DUMMYFUNCTION("""COMPUTED_VALUE"""),"Premier")</f>
        <v>Premier</v>
      </c>
      <c r="B417" s="10" t="str">
        <f>IFERROR(__xludf.DUMMYFUNCTION("""COMPUTED_VALUE"""),"RSC008343")</f>
        <v>RSC008343</v>
      </c>
      <c r="C417" s="10" t="str">
        <f>IFERROR(__xludf.DUMMYFUNCTION("""COMPUTED_VALUE"""),"surreal")</f>
        <v>surreal</v>
      </c>
      <c r="D417" s="36" t="str">
        <f>IFERROR(__xludf.DUMMYFUNCTION("""COMPUTED_VALUE"""),"Capybaras")</f>
        <v>Capybaras</v>
      </c>
      <c r="E417" s="10" t="str">
        <f>IFERROR(__xludf.DUMMYFUNCTION("""COMPUTED_VALUE"""),"N/A")</f>
        <v>N/A</v>
      </c>
      <c r="F417" s="37">
        <f>IFERROR(__xludf.DUMMYFUNCTION("""COMPUTED_VALUE"""),89.74301269595509)</f>
        <v>89.7430127</v>
      </c>
      <c r="G417" s="38">
        <f>IFERROR(__xludf.DUMMYFUNCTION("""COMPUTED_VALUE"""),80.63641030723284)</f>
        <v>80.63641031</v>
      </c>
      <c r="H417" s="38">
        <f>IFERROR(__xludf.DUMMYFUNCTION("""COMPUTED_VALUE"""),85.18971150159396)</f>
        <v>85.1897115</v>
      </c>
      <c r="I417" s="14">
        <f>IFERROR(__xludf.DUMMYFUNCTION("""COMPUTED_VALUE"""),47.0)</f>
        <v>47</v>
      </c>
      <c r="J417" s="11">
        <f>IFERROR(__xludf.DUMMYFUNCTION("IFERROR(FILTER(Stats!$F:$Z,(Stats!$A:$A=$A417)*(Stats!$B:$B=$B417)))"),32.0)</f>
        <v>32</v>
      </c>
      <c r="K417" s="11">
        <f>IFERROR(__xludf.DUMMYFUNCTION("""COMPUTED_VALUE"""),15.0)</f>
        <v>15</v>
      </c>
      <c r="L417" s="12">
        <f>IFERROR(__xludf.DUMMYFUNCTION("""COMPUTED_VALUE"""),0.6808510638297872)</f>
        <v>0.6808510638</v>
      </c>
      <c r="M417" s="11">
        <f>IFERROR(__xludf.DUMMYFUNCTION("""COMPUTED_VALUE"""),14.0)</f>
        <v>14</v>
      </c>
      <c r="N417" s="11">
        <f>IFERROR(__xludf.DUMMYFUNCTION("""COMPUTED_VALUE"""),19698.0)</f>
        <v>19698</v>
      </c>
      <c r="O417" s="13">
        <f>IFERROR(__xludf.DUMMYFUNCTION("""COMPUTED_VALUE"""),48.0)</f>
        <v>48</v>
      </c>
      <c r="P417" s="14">
        <f>IFERROR(__xludf.DUMMYFUNCTION("""COMPUTED_VALUE"""),38.0)</f>
        <v>38</v>
      </c>
      <c r="Q417" s="13">
        <f>IFERROR(__xludf.DUMMYFUNCTION("""COMPUTED_VALUE"""),59.0)</f>
        <v>59</v>
      </c>
      <c r="R417" s="13">
        <f>IFERROR(__xludf.DUMMYFUNCTION("""COMPUTED_VALUE"""),145.0)</f>
        <v>145</v>
      </c>
      <c r="S417" s="15">
        <f>IFERROR(__xludf.DUMMYFUNCTION("""COMPUTED_VALUE"""),0.3310344827586207)</f>
        <v>0.3310344828</v>
      </c>
      <c r="T417" s="16">
        <f>IFERROR(__xludf.DUMMYFUNCTION("""COMPUTED_VALUE"""),419.1063829787234)</f>
        <v>419.106383</v>
      </c>
      <c r="U417" s="16">
        <f>IFERROR(__xludf.DUMMYFUNCTION("""COMPUTED_VALUE"""),1.0212765957446808)</f>
        <v>1.021276596</v>
      </c>
      <c r="V417" s="16">
        <f>IFERROR(__xludf.DUMMYFUNCTION("""COMPUTED_VALUE"""),0.8085106382978723)</f>
        <v>0.8085106383</v>
      </c>
      <c r="W417" s="16">
        <f>IFERROR(__xludf.DUMMYFUNCTION("""COMPUTED_VALUE"""),1.2553191489361701)</f>
        <v>1.255319149</v>
      </c>
      <c r="X417" s="16">
        <f>IFERROR(__xludf.DUMMYFUNCTION("""COMPUTED_VALUE"""),3.0851063829787235)</f>
        <v>3.085106383</v>
      </c>
      <c r="Y417" s="11">
        <f>IFERROR(__xludf.DUMMYFUNCTION("""COMPUTED_VALUE"""),9.0)</f>
        <v>9</v>
      </c>
      <c r="Z417" s="11">
        <f>IFERROR(__xludf.DUMMYFUNCTION("""COMPUTED_VALUE"""),3.0)</f>
        <v>3</v>
      </c>
      <c r="AA417" s="11">
        <f>IFERROR(__xludf.DUMMYFUNCTION("""COMPUTED_VALUE"""),4.0)</f>
        <v>4</v>
      </c>
      <c r="AB417" s="11">
        <f>IFERROR(__xludf.DUMMYFUNCTION("""COMPUTED_VALUE"""),5.0)</f>
        <v>5</v>
      </c>
      <c r="AC417" s="11">
        <f>IFERROR(__xludf.DUMMYFUNCTION("""COMPUTED_VALUE"""),36.0)</f>
        <v>36</v>
      </c>
      <c r="AD417" s="11">
        <f>IFERROR(__xludf.DUMMYFUNCTION("""COMPUTED_VALUE"""),34.0)</f>
        <v>34</v>
      </c>
    </row>
    <row r="418">
      <c r="A418" s="10" t="str">
        <f>IFERROR(__xludf.DUMMYFUNCTION("""COMPUTED_VALUE"""),"Premier")</f>
        <v>Premier</v>
      </c>
      <c r="B418" s="10" t="str">
        <f>IFERROR(__xludf.DUMMYFUNCTION("""COMPUTED_VALUE"""),"RSC007845")</f>
        <v>RSC007845</v>
      </c>
      <c r="C418" s="10" t="str">
        <f>IFERROR(__xludf.DUMMYFUNCTION("""COMPUTED_VALUE"""),"Enchanted")</f>
        <v>Enchanted</v>
      </c>
      <c r="D418" s="36" t="str">
        <f>IFERROR(__xludf.DUMMYFUNCTION("""COMPUTED_VALUE"""),"Leviathans")</f>
        <v>Leviathans</v>
      </c>
      <c r="E418" s="10" t="str">
        <f>IFERROR(__xludf.DUMMYFUNCTION("""COMPUTED_VALUE"""),"N/A")</f>
        <v>N/A</v>
      </c>
      <c r="F418" s="37">
        <f>IFERROR(__xludf.DUMMYFUNCTION("""COMPUTED_VALUE"""),72.9239549383627)</f>
        <v>72.92395494</v>
      </c>
      <c r="G418" s="38">
        <f>IFERROR(__xludf.DUMMYFUNCTION("""COMPUTED_VALUE"""),77.63506563666677)</f>
        <v>77.63506564</v>
      </c>
      <c r="H418" s="38">
        <f>IFERROR(__xludf.DUMMYFUNCTION("""COMPUTED_VALUE"""),75.27951028751474)</f>
        <v>75.27951029</v>
      </c>
      <c r="I418" s="14">
        <f>IFERROR(__xludf.DUMMYFUNCTION("""COMPUTED_VALUE"""),36.0)</f>
        <v>36</v>
      </c>
      <c r="J418" s="11">
        <f>IFERROR(__xludf.DUMMYFUNCTION("IFERROR(FILTER(Stats!$F:$Z,(Stats!$A:$A=$A418)*(Stats!$B:$B=$B418)))"),19.0)</f>
        <v>19</v>
      </c>
      <c r="K418" s="11">
        <f>IFERROR(__xludf.DUMMYFUNCTION("""COMPUTED_VALUE"""),17.0)</f>
        <v>17</v>
      </c>
      <c r="L418" s="12">
        <f>IFERROR(__xludf.DUMMYFUNCTION("""COMPUTED_VALUE"""),0.5277777777777778)</f>
        <v>0.5277777778</v>
      </c>
      <c r="M418" s="11">
        <f>IFERROR(__xludf.DUMMYFUNCTION("""COMPUTED_VALUE"""),9.0)</f>
        <v>9</v>
      </c>
      <c r="N418" s="11">
        <f>IFERROR(__xludf.DUMMYFUNCTION("""COMPUTED_VALUE"""),16579.0)</f>
        <v>16579</v>
      </c>
      <c r="O418" s="13">
        <f>IFERROR(__xludf.DUMMYFUNCTION("""COMPUTED_VALUE"""),34.0)</f>
        <v>34</v>
      </c>
      <c r="P418" s="14">
        <f>IFERROR(__xludf.DUMMYFUNCTION("""COMPUTED_VALUE"""),30.0)</f>
        <v>30</v>
      </c>
      <c r="Q418" s="13">
        <f>IFERROR(__xludf.DUMMYFUNCTION("""COMPUTED_VALUE"""),69.0)</f>
        <v>69</v>
      </c>
      <c r="R418" s="13">
        <f>IFERROR(__xludf.DUMMYFUNCTION("""COMPUTED_VALUE"""),111.0)</f>
        <v>111</v>
      </c>
      <c r="S418" s="15">
        <f>IFERROR(__xludf.DUMMYFUNCTION("""COMPUTED_VALUE"""),0.3063063063063063)</f>
        <v>0.3063063063</v>
      </c>
      <c r="T418" s="16">
        <f>IFERROR(__xludf.DUMMYFUNCTION("""COMPUTED_VALUE"""),460.52777777777777)</f>
        <v>460.5277778</v>
      </c>
      <c r="U418" s="16">
        <f>IFERROR(__xludf.DUMMYFUNCTION("""COMPUTED_VALUE"""),0.9444444444444444)</f>
        <v>0.9444444444</v>
      </c>
      <c r="V418" s="16">
        <f>IFERROR(__xludf.DUMMYFUNCTION("""COMPUTED_VALUE"""),0.8333333333333334)</f>
        <v>0.8333333333</v>
      </c>
      <c r="W418" s="16">
        <f>IFERROR(__xludf.DUMMYFUNCTION("""COMPUTED_VALUE"""),1.9166666666666667)</f>
        <v>1.916666667</v>
      </c>
      <c r="X418" s="16">
        <f>IFERROR(__xludf.DUMMYFUNCTION("""COMPUTED_VALUE"""),3.0833333333333335)</f>
        <v>3.083333333</v>
      </c>
      <c r="Y418" s="11">
        <f>IFERROR(__xludf.DUMMYFUNCTION("""COMPUTED_VALUE"""),9.0)</f>
        <v>9</v>
      </c>
      <c r="Z418" s="11">
        <f>IFERROR(__xludf.DUMMYFUNCTION("""COMPUTED_VALUE"""),1.0)</f>
        <v>1</v>
      </c>
      <c r="AA418" s="11">
        <f>IFERROR(__xludf.DUMMYFUNCTION("""COMPUTED_VALUE"""),4.0)</f>
        <v>4</v>
      </c>
      <c r="AB418" s="11">
        <f>IFERROR(__xludf.DUMMYFUNCTION("""COMPUTED_VALUE"""),11.0)</f>
        <v>11</v>
      </c>
      <c r="AC418" s="11">
        <f>IFERROR(__xludf.DUMMYFUNCTION("""COMPUTED_VALUE"""),40.0)</f>
        <v>40</v>
      </c>
      <c r="AD418" s="11">
        <f>IFERROR(__xludf.DUMMYFUNCTION("""COMPUTED_VALUE"""),35.0)</f>
        <v>35</v>
      </c>
    </row>
    <row r="419">
      <c r="A419" s="10" t="str">
        <f>IFERROR(__xludf.DUMMYFUNCTION("""COMPUTED_VALUE"""),"Premier")</f>
        <v>Premier</v>
      </c>
      <c r="B419" s="10" t="str">
        <f>IFERROR(__xludf.DUMMYFUNCTION("""COMPUTED_VALUE"""),"RSC004215")</f>
        <v>RSC004215</v>
      </c>
      <c r="C419" s="10" t="str">
        <f>IFERROR(__xludf.DUMMYFUNCTION("""COMPUTED_VALUE"""),"Tsheg")</f>
        <v>Tsheg</v>
      </c>
      <c r="D419" s="36" t="str">
        <f>IFERROR(__xludf.DUMMYFUNCTION("""COMPUTED_VALUE"""),"Capybaras")</f>
        <v>Capybaras</v>
      </c>
      <c r="E419" s="10" t="str">
        <f>IFERROR(__xludf.DUMMYFUNCTION("""COMPUTED_VALUE"""),"N/A")</f>
        <v>N/A</v>
      </c>
      <c r="F419" s="37">
        <f>IFERROR(__xludf.DUMMYFUNCTION("""COMPUTED_VALUE"""),67.59536186496804)</f>
        <v>67.59536186</v>
      </c>
      <c r="G419" s="38">
        <f>IFERROR(__xludf.DUMMYFUNCTION("""COMPUTED_VALUE"""),72.51833656982251)</f>
        <v>72.51833657</v>
      </c>
      <c r="H419" s="38">
        <f>IFERROR(__xludf.DUMMYFUNCTION("""COMPUTED_VALUE"""),70.05684921739527)</f>
        <v>70.05684922</v>
      </c>
      <c r="I419" s="14">
        <f>IFERROR(__xludf.DUMMYFUNCTION("""COMPUTED_VALUE"""),43.0)</f>
        <v>43</v>
      </c>
      <c r="J419" s="11">
        <f>IFERROR(__xludf.DUMMYFUNCTION("IFERROR(FILTER(Stats!$F:$Z,(Stats!$A:$A=$A419)*(Stats!$B:$B=$B419)))"),28.0)</f>
        <v>28</v>
      </c>
      <c r="K419" s="11">
        <f>IFERROR(__xludf.DUMMYFUNCTION("""COMPUTED_VALUE"""),15.0)</f>
        <v>15</v>
      </c>
      <c r="L419" s="12">
        <f>IFERROR(__xludf.DUMMYFUNCTION("""COMPUTED_VALUE"""),0.6511627906976745)</f>
        <v>0.6511627907</v>
      </c>
      <c r="M419" s="11">
        <f>IFERROR(__xludf.DUMMYFUNCTION("""COMPUTED_VALUE"""),9.0)</f>
        <v>9</v>
      </c>
      <c r="N419" s="11">
        <f>IFERROR(__xludf.DUMMYFUNCTION("""COMPUTED_VALUE"""),15884.0)</f>
        <v>15884</v>
      </c>
      <c r="O419" s="13">
        <f>IFERROR(__xludf.DUMMYFUNCTION("""COMPUTED_VALUE"""),42.0)</f>
        <v>42</v>
      </c>
      <c r="P419" s="14">
        <f>IFERROR(__xludf.DUMMYFUNCTION("""COMPUTED_VALUE"""),37.0)</f>
        <v>37</v>
      </c>
      <c r="Q419" s="13">
        <f>IFERROR(__xludf.DUMMYFUNCTION("""COMPUTED_VALUE"""),46.0)</f>
        <v>46</v>
      </c>
      <c r="R419" s="13">
        <f>IFERROR(__xludf.DUMMYFUNCTION("""COMPUTED_VALUE"""),133.0)</f>
        <v>133</v>
      </c>
      <c r="S419" s="15">
        <f>IFERROR(__xludf.DUMMYFUNCTION("""COMPUTED_VALUE"""),0.3157894736842105)</f>
        <v>0.3157894737</v>
      </c>
      <c r="T419" s="16">
        <f>IFERROR(__xludf.DUMMYFUNCTION("""COMPUTED_VALUE"""),369.3953488372093)</f>
        <v>369.3953488</v>
      </c>
      <c r="U419" s="16">
        <f>IFERROR(__xludf.DUMMYFUNCTION("""COMPUTED_VALUE"""),0.9767441860465116)</f>
        <v>0.976744186</v>
      </c>
      <c r="V419" s="16">
        <f>IFERROR(__xludf.DUMMYFUNCTION("""COMPUTED_VALUE"""),0.8604651162790697)</f>
        <v>0.8604651163</v>
      </c>
      <c r="W419" s="16">
        <f>IFERROR(__xludf.DUMMYFUNCTION("""COMPUTED_VALUE"""),1.069767441860465)</f>
        <v>1.069767442</v>
      </c>
      <c r="X419" s="16">
        <f>IFERROR(__xludf.DUMMYFUNCTION("""COMPUTED_VALUE"""),3.0930232558139537)</f>
        <v>3.093023256</v>
      </c>
      <c r="Y419" s="11">
        <f>IFERROR(__xludf.DUMMYFUNCTION("""COMPUTED_VALUE"""),10.0)</f>
        <v>10</v>
      </c>
      <c r="Z419" s="11">
        <f>IFERROR(__xludf.DUMMYFUNCTION("""COMPUTED_VALUE"""),2.0)</f>
        <v>2</v>
      </c>
      <c r="AA419" s="11">
        <f>IFERROR(__xludf.DUMMYFUNCTION("""COMPUTED_VALUE"""),3.0)</f>
        <v>3</v>
      </c>
      <c r="AB419" s="11">
        <f>IFERROR(__xludf.DUMMYFUNCTION("""COMPUTED_VALUE"""),5.0)</f>
        <v>5</v>
      </c>
      <c r="AC419" s="11">
        <f>IFERROR(__xludf.DUMMYFUNCTION("""COMPUTED_VALUE"""),102.0)</f>
        <v>102</v>
      </c>
      <c r="AD419" s="11">
        <f>IFERROR(__xludf.DUMMYFUNCTION("""COMPUTED_VALUE"""),46.0)</f>
        <v>46</v>
      </c>
    </row>
    <row r="420">
      <c r="A420" s="10" t="str">
        <f>IFERROR(__xludf.DUMMYFUNCTION("""COMPUTED_VALUE"""),"Premier")</f>
        <v>Premier</v>
      </c>
      <c r="B420" s="10" t="str">
        <f>IFERROR(__xludf.DUMMYFUNCTION("""COMPUTED_VALUE"""),"RSC000381")</f>
        <v>RSC000381</v>
      </c>
      <c r="C420" s="10" t="str">
        <f>IFERROR(__xludf.DUMMYFUNCTION("""COMPUTED_VALUE"""),"Noriko")</f>
        <v>Noriko</v>
      </c>
      <c r="D420" s="36" t="str">
        <f>IFERROR(__xludf.DUMMYFUNCTION("""COMPUTED_VALUE"""),"Gummy Bears")</f>
        <v>Gummy Bears</v>
      </c>
      <c r="E420" s="10" t="str">
        <f>IFERROR(__xludf.DUMMYFUNCTION("""COMPUTED_VALUE"""),"N/A")</f>
        <v>N/A</v>
      </c>
      <c r="F420" s="37">
        <f>IFERROR(__xludf.DUMMYFUNCTION("""COMPUTED_VALUE"""),72.94750489576663)</f>
        <v>72.9475049</v>
      </c>
      <c r="G420" s="38">
        <f>IFERROR(__xludf.DUMMYFUNCTION("""COMPUTED_VALUE"""),65.49788390606497)</f>
        <v>65.49788391</v>
      </c>
      <c r="H420" s="38">
        <f>IFERROR(__xludf.DUMMYFUNCTION("""COMPUTED_VALUE"""),69.2226944009158)</f>
        <v>69.2226944</v>
      </c>
      <c r="I420" s="14">
        <f>IFERROR(__xludf.DUMMYFUNCTION("""COMPUTED_VALUE"""),41.0)</f>
        <v>41</v>
      </c>
      <c r="J420" s="11">
        <f>IFERROR(__xludf.DUMMYFUNCTION("IFERROR(FILTER(Stats!$F:$Z,(Stats!$A:$A=$A420)*(Stats!$B:$B=$B420)))"),21.0)</f>
        <v>21</v>
      </c>
      <c r="K420" s="11">
        <f>IFERROR(__xludf.DUMMYFUNCTION("""COMPUTED_VALUE"""),20.0)</f>
        <v>20</v>
      </c>
      <c r="L420" s="12">
        <f>IFERROR(__xludf.DUMMYFUNCTION("""COMPUTED_VALUE"""),0.5121951219512195)</f>
        <v>0.512195122</v>
      </c>
      <c r="M420" s="11">
        <f>IFERROR(__xludf.DUMMYFUNCTION("""COMPUTED_VALUE"""),7.0)</f>
        <v>7</v>
      </c>
      <c r="N420" s="11">
        <f>IFERROR(__xludf.DUMMYFUNCTION("""COMPUTED_VALUE"""),15924.0)</f>
        <v>15924</v>
      </c>
      <c r="O420" s="13">
        <f>IFERROR(__xludf.DUMMYFUNCTION("""COMPUTED_VALUE"""),36.0)</f>
        <v>36</v>
      </c>
      <c r="P420" s="14">
        <f>IFERROR(__xludf.DUMMYFUNCTION("""COMPUTED_VALUE"""),34.0)</f>
        <v>34</v>
      </c>
      <c r="Q420" s="13">
        <f>IFERROR(__xludf.DUMMYFUNCTION("""COMPUTED_VALUE"""),63.0)</f>
        <v>63</v>
      </c>
      <c r="R420" s="13">
        <f>IFERROR(__xludf.DUMMYFUNCTION("""COMPUTED_VALUE"""),109.0)</f>
        <v>109</v>
      </c>
      <c r="S420" s="15">
        <f>IFERROR(__xludf.DUMMYFUNCTION("""COMPUTED_VALUE"""),0.3302752293577982)</f>
        <v>0.3302752294</v>
      </c>
      <c r="T420" s="16">
        <f>IFERROR(__xludf.DUMMYFUNCTION("""COMPUTED_VALUE"""),388.390243902439)</f>
        <v>388.3902439</v>
      </c>
      <c r="U420" s="16">
        <f>IFERROR(__xludf.DUMMYFUNCTION("""COMPUTED_VALUE"""),0.8780487804878049)</f>
        <v>0.8780487805</v>
      </c>
      <c r="V420" s="16">
        <f>IFERROR(__xludf.DUMMYFUNCTION("""COMPUTED_VALUE"""),0.8292682926829268)</f>
        <v>0.8292682927</v>
      </c>
      <c r="W420" s="16">
        <f>IFERROR(__xludf.DUMMYFUNCTION("""COMPUTED_VALUE"""),1.5365853658536586)</f>
        <v>1.536585366</v>
      </c>
      <c r="X420" s="16">
        <f>IFERROR(__xludf.DUMMYFUNCTION("""COMPUTED_VALUE"""),2.658536585365854)</f>
        <v>2.658536585</v>
      </c>
      <c r="Y420" s="11">
        <f>IFERROR(__xludf.DUMMYFUNCTION("""COMPUTED_VALUE"""),8.0)</f>
        <v>8</v>
      </c>
      <c r="Z420" s="11">
        <f>IFERROR(__xludf.DUMMYFUNCTION("""COMPUTED_VALUE"""),1.0)</f>
        <v>1</v>
      </c>
      <c r="AA420" s="11">
        <f>IFERROR(__xludf.DUMMYFUNCTION("""COMPUTED_VALUE"""),3.0)</f>
        <v>3</v>
      </c>
      <c r="AB420" s="11">
        <f>IFERROR(__xludf.DUMMYFUNCTION("""COMPUTED_VALUE"""),7.0)</f>
        <v>7</v>
      </c>
      <c r="AC420" s="11">
        <f>IFERROR(__xludf.DUMMYFUNCTION("""COMPUTED_VALUE"""),47.0)</f>
        <v>47</v>
      </c>
      <c r="AD420" s="11">
        <f>IFERROR(__xludf.DUMMYFUNCTION("""COMPUTED_VALUE"""),45.0)</f>
        <v>45</v>
      </c>
    </row>
    <row r="421">
      <c r="A421" s="10" t="str">
        <f>IFERROR(__xludf.DUMMYFUNCTION("""COMPUTED_VALUE"""),"Premier")</f>
        <v>Premier</v>
      </c>
      <c r="B421" s="10" t="str">
        <f>IFERROR(__xludf.DUMMYFUNCTION("""COMPUTED_VALUE"""),"RSC005920")</f>
        <v>RSC005920</v>
      </c>
      <c r="C421" s="10" t="str">
        <f>IFERROR(__xludf.DUMMYFUNCTION("""COMPUTED_VALUE"""),"Roxy")</f>
        <v>Roxy</v>
      </c>
      <c r="D421" s="36" t="str">
        <f>IFERROR(__xludf.DUMMYFUNCTION("""COMPUTED_VALUE"""),"Super Clusters")</f>
        <v>Super Clusters</v>
      </c>
      <c r="E421" s="10" t="str">
        <f>IFERROR(__xludf.DUMMYFUNCTION("""COMPUTED_VALUE"""),"N/A")</f>
        <v>N/A</v>
      </c>
      <c r="F421" s="37">
        <f>IFERROR(__xludf.DUMMYFUNCTION("""COMPUTED_VALUE"""),67.88411460207396)</f>
        <v>67.8841146</v>
      </c>
      <c r="G421" s="38">
        <f>IFERROR(__xludf.DUMMYFUNCTION("""COMPUTED_VALUE"""),70.3183506804065)</f>
        <v>70.31835068</v>
      </c>
      <c r="H421" s="38">
        <f>IFERROR(__xludf.DUMMYFUNCTION("""COMPUTED_VALUE"""),69.10123264124023)</f>
        <v>69.10123264</v>
      </c>
      <c r="I421" s="14">
        <f>IFERROR(__xludf.DUMMYFUNCTION("""COMPUTED_VALUE"""),28.0)</f>
        <v>28</v>
      </c>
      <c r="J421" s="11">
        <f>IFERROR(__xludf.DUMMYFUNCTION("IFERROR(FILTER(Stats!$F:$Z,(Stats!$A:$A=$A421)*(Stats!$B:$B=$B421)))"),17.0)</f>
        <v>17</v>
      </c>
      <c r="K421" s="11">
        <f>IFERROR(__xludf.DUMMYFUNCTION("""COMPUTED_VALUE"""),11.0)</f>
        <v>11</v>
      </c>
      <c r="L421" s="12">
        <f>IFERROR(__xludf.DUMMYFUNCTION("""COMPUTED_VALUE"""),0.6071428571428571)</f>
        <v>0.6071428571</v>
      </c>
      <c r="M421" s="11">
        <f>IFERROR(__xludf.DUMMYFUNCTION("""COMPUTED_VALUE"""),7.0)</f>
        <v>7</v>
      </c>
      <c r="N421" s="11">
        <f>IFERROR(__xludf.DUMMYFUNCTION("""COMPUTED_VALUE"""),13273.0)</f>
        <v>13273</v>
      </c>
      <c r="O421" s="13">
        <f>IFERROR(__xludf.DUMMYFUNCTION("""COMPUTED_VALUE"""),26.0)</f>
        <v>26</v>
      </c>
      <c r="P421" s="14">
        <f>IFERROR(__xludf.DUMMYFUNCTION("""COMPUTED_VALUE"""),17.0)</f>
        <v>17</v>
      </c>
      <c r="Q421" s="13">
        <f>IFERROR(__xludf.DUMMYFUNCTION("""COMPUTED_VALUE"""),67.0)</f>
        <v>67</v>
      </c>
      <c r="R421" s="13">
        <f>IFERROR(__xludf.DUMMYFUNCTION("""COMPUTED_VALUE"""),102.0)</f>
        <v>102</v>
      </c>
      <c r="S421" s="15">
        <f>IFERROR(__xludf.DUMMYFUNCTION("""COMPUTED_VALUE"""),0.2549019607843137)</f>
        <v>0.2549019608</v>
      </c>
      <c r="T421" s="16">
        <f>IFERROR(__xludf.DUMMYFUNCTION("""COMPUTED_VALUE"""),474.0357142857143)</f>
        <v>474.0357143</v>
      </c>
      <c r="U421" s="16">
        <f>IFERROR(__xludf.DUMMYFUNCTION("""COMPUTED_VALUE"""),0.9285714285714286)</f>
        <v>0.9285714286</v>
      </c>
      <c r="V421" s="16">
        <f>IFERROR(__xludf.DUMMYFUNCTION("""COMPUTED_VALUE"""),0.6071428571428571)</f>
        <v>0.6071428571</v>
      </c>
      <c r="W421" s="16">
        <f>IFERROR(__xludf.DUMMYFUNCTION("""COMPUTED_VALUE"""),2.392857142857143)</f>
        <v>2.392857143</v>
      </c>
      <c r="X421" s="16">
        <f>IFERROR(__xludf.DUMMYFUNCTION("""COMPUTED_VALUE"""),3.642857142857143)</f>
        <v>3.642857143</v>
      </c>
      <c r="Y421" s="11">
        <f>IFERROR(__xludf.DUMMYFUNCTION("""COMPUTED_VALUE"""),9.0)</f>
        <v>9</v>
      </c>
      <c r="Z421" s="11">
        <f>IFERROR(__xludf.DUMMYFUNCTION("""COMPUTED_VALUE"""),2.0)</f>
        <v>2</v>
      </c>
      <c r="AA421" s="11">
        <f>IFERROR(__xludf.DUMMYFUNCTION("""COMPUTED_VALUE"""),0.0)</f>
        <v>0</v>
      </c>
      <c r="AB421" s="11">
        <f>IFERROR(__xludf.DUMMYFUNCTION("""COMPUTED_VALUE"""),12.0)</f>
        <v>12</v>
      </c>
      <c r="AC421" s="11">
        <f>IFERROR(__xludf.DUMMYFUNCTION("""COMPUTED_VALUE"""),22.0)</f>
        <v>22</v>
      </c>
      <c r="AD421" s="11">
        <f>IFERROR(__xludf.DUMMYFUNCTION("""COMPUTED_VALUE"""),40.0)</f>
        <v>40</v>
      </c>
    </row>
    <row r="422">
      <c r="A422" s="10" t="str">
        <f>IFERROR(__xludf.DUMMYFUNCTION("""COMPUTED_VALUE"""),"Premier")</f>
        <v>Premier</v>
      </c>
      <c r="B422" s="10" t="str">
        <f>IFERROR(__xludf.DUMMYFUNCTION("""COMPUTED_VALUE"""),"RSC007174")</f>
        <v>RSC007174</v>
      </c>
      <c r="C422" s="10" t="str">
        <f>IFERROR(__xludf.DUMMYFUNCTION("""COMPUTED_VALUE"""),"LMNS")</f>
        <v>LMNS</v>
      </c>
      <c r="D422" s="36" t="str">
        <f>IFERROR(__xludf.DUMMYFUNCTION("""COMPUTED_VALUE"""),"Super Clusters")</f>
        <v>Super Clusters</v>
      </c>
      <c r="E422" s="10" t="str">
        <f>IFERROR(__xludf.DUMMYFUNCTION("""COMPUTED_VALUE"""),"N/A")</f>
        <v>N/A</v>
      </c>
      <c r="F422" s="37">
        <f>IFERROR(__xludf.DUMMYFUNCTION("""COMPUTED_VALUE"""),63.26301282048227)</f>
        <v>63.26301282</v>
      </c>
      <c r="G422" s="38">
        <f>IFERROR(__xludf.DUMMYFUNCTION("""COMPUTED_VALUE"""),74.1371861864523)</f>
        <v>74.13718619</v>
      </c>
      <c r="H422" s="38">
        <f>IFERROR(__xludf.DUMMYFUNCTION("""COMPUTED_VALUE"""),68.70009950346729)</f>
        <v>68.7000995</v>
      </c>
      <c r="I422" s="14">
        <f>IFERROR(__xludf.DUMMYFUNCTION("""COMPUTED_VALUE"""),16.0)</f>
        <v>16</v>
      </c>
      <c r="J422" s="11">
        <f>IFERROR(__xludf.DUMMYFUNCTION("IFERROR(FILTER(Stats!$F:$Z,(Stats!$A:$A=$A422)*(Stats!$B:$B=$B422)))"),11.0)</f>
        <v>11</v>
      </c>
      <c r="K422" s="11">
        <f>IFERROR(__xludf.DUMMYFUNCTION("""COMPUTED_VALUE"""),5.0)</f>
        <v>5</v>
      </c>
      <c r="L422" s="12">
        <f>IFERROR(__xludf.DUMMYFUNCTION("""COMPUTED_VALUE"""),0.6875)</f>
        <v>0.6875</v>
      </c>
      <c r="M422" s="11">
        <f>IFERROR(__xludf.DUMMYFUNCTION("""COMPUTED_VALUE"""),4.0)</f>
        <v>4</v>
      </c>
      <c r="N422" s="11">
        <f>IFERROR(__xludf.DUMMYFUNCTION("""COMPUTED_VALUE"""),6433.0)</f>
        <v>6433</v>
      </c>
      <c r="O422" s="13">
        <f>IFERROR(__xludf.DUMMYFUNCTION("""COMPUTED_VALUE"""),17.0)</f>
        <v>17</v>
      </c>
      <c r="P422" s="14">
        <f>IFERROR(__xludf.DUMMYFUNCTION("""COMPUTED_VALUE"""),13.0)</f>
        <v>13</v>
      </c>
      <c r="Q422" s="13">
        <f>IFERROR(__xludf.DUMMYFUNCTION("""COMPUTED_VALUE"""),22.0)</f>
        <v>22</v>
      </c>
      <c r="R422" s="13">
        <f>IFERROR(__xludf.DUMMYFUNCTION("""COMPUTED_VALUE"""),44.0)</f>
        <v>44</v>
      </c>
      <c r="S422" s="15">
        <f>IFERROR(__xludf.DUMMYFUNCTION("""COMPUTED_VALUE"""),0.38636363636363635)</f>
        <v>0.3863636364</v>
      </c>
      <c r="T422" s="16">
        <f>IFERROR(__xludf.DUMMYFUNCTION("""COMPUTED_VALUE"""),402.0625)</f>
        <v>402.0625</v>
      </c>
      <c r="U422" s="16">
        <f>IFERROR(__xludf.DUMMYFUNCTION("""COMPUTED_VALUE"""),1.0625)</f>
        <v>1.0625</v>
      </c>
      <c r="V422" s="16">
        <f>IFERROR(__xludf.DUMMYFUNCTION("""COMPUTED_VALUE"""),0.8125)</f>
        <v>0.8125</v>
      </c>
      <c r="W422" s="16">
        <f>IFERROR(__xludf.DUMMYFUNCTION("""COMPUTED_VALUE"""),1.375)</f>
        <v>1.375</v>
      </c>
      <c r="X422" s="16">
        <f>IFERROR(__xludf.DUMMYFUNCTION("""COMPUTED_VALUE"""),2.75)</f>
        <v>2.75</v>
      </c>
      <c r="Y422" s="11">
        <f>IFERROR(__xludf.DUMMYFUNCTION("""COMPUTED_VALUE"""),6.0)</f>
        <v>6</v>
      </c>
      <c r="Z422" s="11">
        <f>IFERROR(__xludf.DUMMYFUNCTION("""COMPUTED_VALUE"""),2.0)</f>
        <v>2</v>
      </c>
      <c r="AA422" s="11">
        <f>IFERROR(__xludf.DUMMYFUNCTION("""COMPUTED_VALUE"""),0.0)</f>
        <v>0</v>
      </c>
      <c r="AB422" s="11">
        <f>IFERROR(__xludf.DUMMYFUNCTION("""COMPUTED_VALUE"""),2.0)</f>
        <v>2</v>
      </c>
      <c r="AC422" s="11">
        <f>IFERROR(__xludf.DUMMYFUNCTION("""COMPUTED_VALUE"""),23.0)</f>
        <v>23</v>
      </c>
      <c r="AD422" s="11">
        <f>IFERROR(__xludf.DUMMYFUNCTION("""COMPUTED_VALUE"""),24.0)</f>
        <v>24</v>
      </c>
    </row>
    <row r="423">
      <c r="A423" s="10" t="str">
        <f>IFERROR(__xludf.DUMMYFUNCTION("""COMPUTED_VALUE"""),"Premier")</f>
        <v>Premier</v>
      </c>
      <c r="B423" s="10" t="str">
        <f>IFERROR(__xludf.DUMMYFUNCTION("""COMPUTED_VALUE"""),"RSC004090")</f>
        <v>RSC004090</v>
      </c>
      <c r="C423" s="10" t="str">
        <f>IFERROR(__xludf.DUMMYFUNCTION("""COMPUTED_VALUE"""),"LikeWisse")</f>
        <v>LikeWisse</v>
      </c>
      <c r="D423" s="36" t="str">
        <f>IFERROR(__xludf.DUMMYFUNCTION("""COMPUTED_VALUE"""),"Super Clusters")</f>
        <v>Super Clusters</v>
      </c>
      <c r="E423" s="10" t="str">
        <f>IFERROR(__xludf.DUMMYFUNCTION("""COMPUTED_VALUE"""),"N/A")</f>
        <v>N/A</v>
      </c>
      <c r="F423" s="37">
        <f>IFERROR(__xludf.DUMMYFUNCTION("""COMPUTED_VALUE"""),63.792540914794884)</f>
        <v>63.79254091</v>
      </c>
      <c r="G423" s="38">
        <f>IFERROR(__xludf.DUMMYFUNCTION("""COMPUTED_VALUE"""),73.47091994281436)</f>
        <v>73.47091994</v>
      </c>
      <c r="H423" s="38">
        <f>IFERROR(__xludf.DUMMYFUNCTION("""COMPUTED_VALUE"""),68.63173042880462)</f>
        <v>68.63173043</v>
      </c>
      <c r="I423" s="14">
        <f>IFERROR(__xludf.DUMMYFUNCTION("""COMPUTED_VALUE"""),56.0)</f>
        <v>56</v>
      </c>
      <c r="J423" s="11">
        <f>IFERROR(__xludf.DUMMYFUNCTION("IFERROR(FILTER(Stats!$F:$Z,(Stats!$A:$A=$A423)*(Stats!$B:$B=$B423)))"),32.0)</f>
        <v>32</v>
      </c>
      <c r="K423" s="11">
        <f>IFERROR(__xludf.DUMMYFUNCTION("""COMPUTED_VALUE"""),24.0)</f>
        <v>24</v>
      </c>
      <c r="L423" s="12">
        <f>IFERROR(__xludf.DUMMYFUNCTION("""COMPUTED_VALUE"""),0.5714285714285714)</f>
        <v>0.5714285714</v>
      </c>
      <c r="M423" s="11">
        <f>IFERROR(__xludf.DUMMYFUNCTION("""COMPUTED_VALUE"""),14.0)</f>
        <v>14</v>
      </c>
      <c r="N423" s="11">
        <f>IFERROR(__xludf.DUMMYFUNCTION("""COMPUTED_VALUE"""),24005.0)</f>
        <v>24005</v>
      </c>
      <c r="O423" s="13">
        <f>IFERROR(__xludf.DUMMYFUNCTION("""COMPUTED_VALUE"""),63.0)</f>
        <v>63</v>
      </c>
      <c r="P423" s="14">
        <f>IFERROR(__xludf.DUMMYFUNCTION("""COMPUTED_VALUE"""),37.0)</f>
        <v>37</v>
      </c>
      <c r="Q423" s="13">
        <f>IFERROR(__xludf.DUMMYFUNCTION("""COMPUTED_VALUE"""),78.0)</f>
        <v>78</v>
      </c>
      <c r="R423" s="13">
        <f>IFERROR(__xludf.DUMMYFUNCTION("""COMPUTED_VALUE"""),167.0)</f>
        <v>167</v>
      </c>
      <c r="S423" s="15">
        <f>IFERROR(__xludf.DUMMYFUNCTION("""COMPUTED_VALUE"""),0.3772455089820359)</f>
        <v>0.377245509</v>
      </c>
      <c r="T423" s="16">
        <f>IFERROR(__xludf.DUMMYFUNCTION("""COMPUTED_VALUE"""),428.6607142857143)</f>
        <v>428.6607143</v>
      </c>
      <c r="U423" s="16">
        <f>IFERROR(__xludf.DUMMYFUNCTION("""COMPUTED_VALUE"""),1.125)</f>
        <v>1.125</v>
      </c>
      <c r="V423" s="16">
        <f>IFERROR(__xludf.DUMMYFUNCTION("""COMPUTED_VALUE"""),0.6607142857142857)</f>
        <v>0.6607142857</v>
      </c>
      <c r="W423" s="16">
        <f>IFERROR(__xludf.DUMMYFUNCTION("""COMPUTED_VALUE"""),1.3928571428571428)</f>
        <v>1.392857143</v>
      </c>
      <c r="X423" s="16">
        <f>IFERROR(__xludf.DUMMYFUNCTION("""COMPUTED_VALUE"""),2.982142857142857)</f>
        <v>2.982142857</v>
      </c>
      <c r="Y423" s="11">
        <f>IFERROR(__xludf.DUMMYFUNCTION("""COMPUTED_VALUE"""),14.0)</f>
        <v>14</v>
      </c>
      <c r="Z423" s="11">
        <f>IFERROR(__xludf.DUMMYFUNCTION("""COMPUTED_VALUE"""),5.0)</f>
        <v>5</v>
      </c>
      <c r="AA423" s="11">
        <f>IFERROR(__xludf.DUMMYFUNCTION("""COMPUTED_VALUE"""),0.0)</f>
        <v>0</v>
      </c>
      <c r="AB423" s="11">
        <f>IFERROR(__xludf.DUMMYFUNCTION("""COMPUTED_VALUE"""),13.0)</f>
        <v>13</v>
      </c>
      <c r="AC423" s="11">
        <f>IFERROR(__xludf.DUMMYFUNCTION("""COMPUTED_VALUE"""),69.0)</f>
        <v>69</v>
      </c>
      <c r="AD423" s="11">
        <f>IFERROR(__xludf.DUMMYFUNCTION("""COMPUTED_VALUE"""),64.0)</f>
        <v>64</v>
      </c>
    </row>
    <row r="424">
      <c r="A424" s="10" t="str">
        <f>IFERROR(__xludf.DUMMYFUNCTION("""COMPUTED_VALUE"""),"Premier")</f>
        <v>Premier</v>
      </c>
      <c r="B424" s="10" t="str">
        <f>IFERROR(__xludf.DUMMYFUNCTION("""COMPUTED_VALUE"""),"RSC000181")</f>
        <v>RSC000181</v>
      </c>
      <c r="C424" s="10" t="str">
        <f>IFERROR(__xludf.DUMMYFUNCTION("""COMPUTED_VALUE"""),"Eclipse")</f>
        <v>Eclipse</v>
      </c>
      <c r="D424" s="36" t="str">
        <f>IFERROR(__xludf.DUMMYFUNCTION("""COMPUTED_VALUE"""),"Gummy Bears")</f>
        <v>Gummy Bears</v>
      </c>
      <c r="E424" s="10" t="str">
        <f>IFERROR(__xludf.DUMMYFUNCTION("""COMPUTED_VALUE"""),"N/A")</f>
        <v>N/A</v>
      </c>
      <c r="F424" s="37">
        <f>IFERROR(__xludf.DUMMYFUNCTION("""COMPUTED_VALUE"""),69.63540545549257)</f>
        <v>69.63540546</v>
      </c>
      <c r="G424" s="38">
        <f>IFERROR(__xludf.DUMMYFUNCTION("""COMPUTED_VALUE"""),65.35052468765922)</f>
        <v>65.35052469</v>
      </c>
      <c r="H424" s="38">
        <f>IFERROR(__xludf.DUMMYFUNCTION("""COMPUTED_VALUE"""),67.4929650715759)</f>
        <v>67.49296507</v>
      </c>
      <c r="I424" s="14">
        <f>IFERROR(__xludf.DUMMYFUNCTION("""COMPUTED_VALUE"""),50.0)</f>
        <v>50</v>
      </c>
      <c r="J424" s="11">
        <f>IFERROR(__xludf.DUMMYFUNCTION("IFERROR(FILTER(Stats!$F:$Z,(Stats!$A:$A=$A424)*(Stats!$B:$B=$B424)))"),27.0)</f>
        <v>27</v>
      </c>
      <c r="K424" s="11">
        <f>IFERROR(__xludf.DUMMYFUNCTION("""COMPUTED_VALUE"""),23.0)</f>
        <v>23</v>
      </c>
      <c r="L424" s="12">
        <f>IFERROR(__xludf.DUMMYFUNCTION("""COMPUTED_VALUE"""),0.54)</f>
        <v>0.54</v>
      </c>
      <c r="M424" s="11">
        <f>IFERROR(__xludf.DUMMYFUNCTION("""COMPUTED_VALUE"""),13.0)</f>
        <v>13</v>
      </c>
      <c r="N424" s="11">
        <f>IFERROR(__xludf.DUMMYFUNCTION("""COMPUTED_VALUE"""),18627.0)</f>
        <v>18627</v>
      </c>
      <c r="O424" s="13">
        <f>IFERROR(__xludf.DUMMYFUNCTION("""COMPUTED_VALUE"""),46.0)</f>
        <v>46</v>
      </c>
      <c r="P424" s="14">
        <f>IFERROR(__xludf.DUMMYFUNCTION("""COMPUTED_VALUE"""),36.0)</f>
        <v>36</v>
      </c>
      <c r="Q424" s="13">
        <f>IFERROR(__xludf.DUMMYFUNCTION("""COMPUTED_VALUE"""),58.0)</f>
        <v>58</v>
      </c>
      <c r="R424" s="13">
        <f>IFERROR(__xludf.DUMMYFUNCTION("""COMPUTED_VALUE"""),160.0)</f>
        <v>160</v>
      </c>
      <c r="S424" s="15">
        <f>IFERROR(__xludf.DUMMYFUNCTION("""COMPUTED_VALUE"""),0.2875)</f>
        <v>0.2875</v>
      </c>
      <c r="T424" s="16">
        <f>IFERROR(__xludf.DUMMYFUNCTION("""COMPUTED_VALUE"""),372.54)</f>
        <v>372.54</v>
      </c>
      <c r="U424" s="16">
        <f>IFERROR(__xludf.DUMMYFUNCTION("""COMPUTED_VALUE"""),0.92)</f>
        <v>0.92</v>
      </c>
      <c r="V424" s="16">
        <f>IFERROR(__xludf.DUMMYFUNCTION("""COMPUTED_VALUE"""),0.72)</f>
        <v>0.72</v>
      </c>
      <c r="W424" s="16">
        <f>IFERROR(__xludf.DUMMYFUNCTION("""COMPUTED_VALUE"""),1.16)</f>
        <v>1.16</v>
      </c>
      <c r="X424" s="16">
        <f>IFERROR(__xludf.DUMMYFUNCTION("""COMPUTED_VALUE"""),3.2)</f>
        <v>3.2</v>
      </c>
      <c r="Y424" s="11">
        <f>IFERROR(__xludf.DUMMYFUNCTION("""COMPUTED_VALUE"""),10.0)</f>
        <v>10</v>
      </c>
      <c r="Z424" s="11">
        <f>IFERROR(__xludf.DUMMYFUNCTION("""COMPUTED_VALUE"""),5.0)</f>
        <v>5</v>
      </c>
      <c r="AA424" s="11">
        <f>IFERROR(__xludf.DUMMYFUNCTION("""COMPUTED_VALUE"""),2.0)</f>
        <v>2</v>
      </c>
      <c r="AB424" s="11">
        <f>IFERROR(__xludf.DUMMYFUNCTION("""COMPUTED_VALUE"""),6.0)</f>
        <v>6</v>
      </c>
      <c r="AC424" s="11">
        <f>IFERROR(__xludf.DUMMYFUNCTION("""COMPUTED_VALUE"""),97.0)</f>
        <v>97</v>
      </c>
      <c r="AD424" s="11">
        <f>IFERROR(__xludf.DUMMYFUNCTION("""COMPUTED_VALUE"""),46.0)</f>
        <v>46</v>
      </c>
    </row>
    <row r="425">
      <c r="A425" s="10" t="str">
        <f>IFERROR(__xludf.DUMMYFUNCTION("""COMPUTED_VALUE"""),"Premier")</f>
        <v>Premier</v>
      </c>
      <c r="B425" s="10" t="str">
        <f>IFERROR(__xludf.DUMMYFUNCTION("""COMPUTED_VALUE"""),"RSC008244")</f>
        <v>RSC008244</v>
      </c>
      <c r="C425" s="10" t="str">
        <f>IFERROR(__xludf.DUMMYFUNCTION("""COMPUTED_VALUE"""),"Oghma")</f>
        <v>Oghma</v>
      </c>
      <c r="D425" s="36" t="str">
        <f>IFERROR(__xludf.DUMMYFUNCTION("""COMPUTED_VALUE"""),"Crooked Capos")</f>
        <v>Crooked Capos</v>
      </c>
      <c r="E425" s="10" t="str">
        <f>IFERROR(__xludf.DUMMYFUNCTION("""COMPUTED_VALUE"""),"N/A")</f>
        <v>N/A</v>
      </c>
      <c r="F425" s="37">
        <f>IFERROR(__xludf.DUMMYFUNCTION("""COMPUTED_VALUE"""),65.56338486734823)</f>
        <v>65.56338487</v>
      </c>
      <c r="G425" s="38">
        <f>IFERROR(__xludf.DUMMYFUNCTION("""COMPUTED_VALUE"""),63.71346681196809)</f>
        <v>63.71346681</v>
      </c>
      <c r="H425" s="38">
        <f>IFERROR(__xludf.DUMMYFUNCTION("""COMPUTED_VALUE"""),64.63842583965817)</f>
        <v>64.63842584</v>
      </c>
      <c r="I425" s="14">
        <f>IFERROR(__xludf.DUMMYFUNCTION("""COMPUTED_VALUE"""),42.0)</f>
        <v>42</v>
      </c>
      <c r="J425" s="11">
        <f>IFERROR(__xludf.DUMMYFUNCTION("IFERROR(FILTER(Stats!$F:$Z,(Stats!$A:$A=$A425)*(Stats!$B:$B=$B425)))"),23.0)</f>
        <v>23</v>
      </c>
      <c r="K425" s="11">
        <f>IFERROR(__xludf.DUMMYFUNCTION("""COMPUTED_VALUE"""),19.0)</f>
        <v>19</v>
      </c>
      <c r="L425" s="12">
        <f>IFERROR(__xludf.DUMMYFUNCTION("""COMPUTED_VALUE"""),0.5476190476190477)</f>
        <v>0.5476190476</v>
      </c>
      <c r="M425" s="11">
        <f>IFERROR(__xludf.DUMMYFUNCTION("""COMPUTED_VALUE"""),8.0)</f>
        <v>8</v>
      </c>
      <c r="N425" s="11">
        <f>IFERROR(__xludf.DUMMYFUNCTION("""COMPUTED_VALUE"""),17551.0)</f>
        <v>17551</v>
      </c>
      <c r="O425" s="13">
        <f>IFERROR(__xludf.DUMMYFUNCTION("""COMPUTED_VALUE"""),37.0)</f>
        <v>37</v>
      </c>
      <c r="P425" s="14">
        <f>IFERROR(__xludf.DUMMYFUNCTION("""COMPUTED_VALUE"""),29.0)</f>
        <v>29</v>
      </c>
      <c r="Q425" s="13">
        <f>IFERROR(__xludf.DUMMYFUNCTION("""COMPUTED_VALUE"""),83.0)</f>
        <v>83</v>
      </c>
      <c r="R425" s="13">
        <f>IFERROR(__xludf.DUMMYFUNCTION("""COMPUTED_VALUE"""),123.0)</f>
        <v>123</v>
      </c>
      <c r="S425" s="15">
        <f>IFERROR(__xludf.DUMMYFUNCTION("""COMPUTED_VALUE"""),0.3008130081300813)</f>
        <v>0.3008130081</v>
      </c>
      <c r="T425" s="16">
        <f>IFERROR(__xludf.DUMMYFUNCTION("""COMPUTED_VALUE"""),417.8809523809524)</f>
        <v>417.8809524</v>
      </c>
      <c r="U425" s="16">
        <f>IFERROR(__xludf.DUMMYFUNCTION("""COMPUTED_VALUE"""),0.8809523809523809)</f>
        <v>0.880952381</v>
      </c>
      <c r="V425" s="16">
        <f>IFERROR(__xludf.DUMMYFUNCTION("""COMPUTED_VALUE"""),0.6904761904761905)</f>
        <v>0.6904761905</v>
      </c>
      <c r="W425" s="16">
        <f>IFERROR(__xludf.DUMMYFUNCTION("""COMPUTED_VALUE"""),1.9761904761904763)</f>
        <v>1.976190476</v>
      </c>
      <c r="X425" s="16">
        <f>IFERROR(__xludf.DUMMYFUNCTION("""COMPUTED_VALUE"""),2.9285714285714284)</f>
        <v>2.928571429</v>
      </c>
      <c r="Y425" s="11">
        <f>IFERROR(__xludf.DUMMYFUNCTION("""COMPUTED_VALUE"""),10.0)</f>
        <v>10</v>
      </c>
      <c r="Z425" s="11">
        <f>IFERROR(__xludf.DUMMYFUNCTION("""COMPUTED_VALUE"""),4.0)</f>
        <v>4</v>
      </c>
      <c r="AA425" s="11">
        <f>IFERROR(__xludf.DUMMYFUNCTION("""COMPUTED_VALUE"""),2.0)</f>
        <v>2</v>
      </c>
      <c r="AB425" s="11">
        <f>IFERROR(__xludf.DUMMYFUNCTION("""COMPUTED_VALUE"""),10.0)</f>
        <v>10</v>
      </c>
      <c r="AC425" s="11">
        <f>IFERROR(__xludf.DUMMYFUNCTION("""COMPUTED_VALUE"""),37.0)</f>
        <v>37</v>
      </c>
      <c r="AD425" s="11">
        <f>IFERROR(__xludf.DUMMYFUNCTION("""COMPUTED_VALUE"""),43.0)</f>
        <v>43</v>
      </c>
    </row>
    <row r="426">
      <c r="A426" s="10" t="str">
        <f>IFERROR(__xludf.DUMMYFUNCTION("""COMPUTED_VALUE"""),"Premier")</f>
        <v>Premier</v>
      </c>
      <c r="B426" s="10" t="str">
        <f>IFERROR(__xludf.DUMMYFUNCTION("""COMPUTED_VALUE"""),"RSC004580")</f>
        <v>RSC004580</v>
      </c>
      <c r="C426" s="10" t="str">
        <f>IFERROR(__xludf.DUMMYFUNCTION("""COMPUTED_VALUE"""),"Static")</f>
        <v>Static</v>
      </c>
      <c r="D426" s="36" t="str">
        <f>IFERROR(__xludf.DUMMYFUNCTION("""COMPUTED_VALUE"""),"Feta Forgers")</f>
        <v>Feta Forgers</v>
      </c>
      <c r="E426" s="10" t="str">
        <f>IFERROR(__xludf.DUMMYFUNCTION("""COMPUTED_VALUE"""),"N/A")</f>
        <v>N/A</v>
      </c>
      <c r="F426" s="37">
        <f>IFERROR(__xludf.DUMMYFUNCTION("""COMPUTED_VALUE"""),59.58770107546289)</f>
        <v>59.58770108</v>
      </c>
      <c r="G426" s="38">
        <f>IFERROR(__xludf.DUMMYFUNCTION("""COMPUTED_VALUE"""),65.36416390273466)</f>
        <v>65.3641639</v>
      </c>
      <c r="H426" s="38">
        <f>IFERROR(__xludf.DUMMYFUNCTION("""COMPUTED_VALUE"""),62.475932489098774)</f>
        <v>62.47593249</v>
      </c>
      <c r="I426" s="14">
        <f>IFERROR(__xludf.DUMMYFUNCTION("""COMPUTED_VALUE"""),25.0)</f>
        <v>25</v>
      </c>
      <c r="J426" s="11">
        <f>IFERROR(__xludf.DUMMYFUNCTION("IFERROR(FILTER(Stats!$F:$Z,(Stats!$A:$A=$A426)*(Stats!$B:$B=$B426)))"),8.0)</f>
        <v>8</v>
      </c>
      <c r="K426" s="11">
        <f>IFERROR(__xludf.DUMMYFUNCTION("""COMPUTED_VALUE"""),17.0)</f>
        <v>17</v>
      </c>
      <c r="L426" s="12">
        <f>IFERROR(__xludf.DUMMYFUNCTION("""COMPUTED_VALUE"""),0.32)</f>
        <v>0.32</v>
      </c>
      <c r="M426" s="11">
        <f>IFERROR(__xludf.DUMMYFUNCTION("""COMPUTED_VALUE"""),4.0)</f>
        <v>4</v>
      </c>
      <c r="N426" s="11">
        <f>IFERROR(__xludf.DUMMYFUNCTION("""COMPUTED_VALUE"""),9909.0)</f>
        <v>9909</v>
      </c>
      <c r="O426" s="13">
        <f>IFERROR(__xludf.DUMMYFUNCTION("""COMPUTED_VALUE"""),28.0)</f>
        <v>28</v>
      </c>
      <c r="P426" s="14">
        <f>IFERROR(__xludf.DUMMYFUNCTION("""COMPUTED_VALUE"""),15.0)</f>
        <v>15</v>
      </c>
      <c r="Q426" s="13">
        <f>IFERROR(__xludf.DUMMYFUNCTION("""COMPUTED_VALUE"""),37.0)</f>
        <v>37</v>
      </c>
      <c r="R426" s="13">
        <f>IFERROR(__xludf.DUMMYFUNCTION("""COMPUTED_VALUE"""),84.0)</f>
        <v>84</v>
      </c>
      <c r="S426" s="15">
        <f>IFERROR(__xludf.DUMMYFUNCTION("""COMPUTED_VALUE"""),0.3333333333333333)</f>
        <v>0.3333333333</v>
      </c>
      <c r="T426" s="16">
        <f>IFERROR(__xludf.DUMMYFUNCTION("""COMPUTED_VALUE"""),396.36)</f>
        <v>396.36</v>
      </c>
      <c r="U426" s="16">
        <f>IFERROR(__xludf.DUMMYFUNCTION("""COMPUTED_VALUE"""),1.12)</f>
        <v>1.12</v>
      </c>
      <c r="V426" s="16">
        <f>IFERROR(__xludf.DUMMYFUNCTION("""COMPUTED_VALUE"""),0.6)</f>
        <v>0.6</v>
      </c>
      <c r="W426" s="16">
        <f>IFERROR(__xludf.DUMMYFUNCTION("""COMPUTED_VALUE"""),1.48)</f>
        <v>1.48</v>
      </c>
      <c r="X426" s="16">
        <f>IFERROR(__xludf.DUMMYFUNCTION("""COMPUTED_VALUE"""),3.36)</f>
        <v>3.36</v>
      </c>
      <c r="Y426" s="11">
        <f>IFERROR(__xludf.DUMMYFUNCTION("""COMPUTED_VALUE"""),10.0)</f>
        <v>10</v>
      </c>
      <c r="Z426" s="11">
        <f>IFERROR(__xludf.DUMMYFUNCTION("""COMPUTED_VALUE"""),2.0)</f>
        <v>2</v>
      </c>
      <c r="AA426" s="11">
        <f>IFERROR(__xludf.DUMMYFUNCTION("""COMPUTED_VALUE"""),0.0)</f>
        <v>0</v>
      </c>
      <c r="AB426" s="11">
        <f>IFERROR(__xludf.DUMMYFUNCTION("""COMPUTED_VALUE"""),4.0)</f>
        <v>4</v>
      </c>
      <c r="AC426" s="11">
        <f>IFERROR(__xludf.DUMMYFUNCTION("""COMPUTED_VALUE"""),33.0)</f>
        <v>33</v>
      </c>
      <c r="AD426" s="11">
        <f>IFERROR(__xludf.DUMMYFUNCTION("""COMPUTED_VALUE"""),25.0)</f>
        <v>25</v>
      </c>
    </row>
    <row r="427">
      <c r="A427" s="10" t="str">
        <f>IFERROR(__xludf.DUMMYFUNCTION("""COMPUTED_VALUE"""),"Premier")</f>
        <v>Premier</v>
      </c>
      <c r="B427" s="10" t="str">
        <f>IFERROR(__xludf.DUMMYFUNCTION("""COMPUTED_VALUE"""),"RSC003780")</f>
        <v>RSC003780</v>
      </c>
      <c r="C427" s="10" t="str">
        <f>IFERROR(__xludf.DUMMYFUNCTION("""COMPUTED_VALUE"""),"Fayzan ibn Balish")</f>
        <v>Fayzan ibn Balish</v>
      </c>
      <c r="D427" s="36" t="str">
        <f>IFERROR(__xludf.DUMMYFUNCTION("""COMPUTED_VALUE"""),"Gummy Bears
Punks")</f>
        <v>Gummy Bears
Punks</v>
      </c>
      <c r="E427" s="10" t="str">
        <f>IFERROR(__xludf.DUMMYFUNCTION("""COMPUTED_VALUE"""),"N/A
N/A")</f>
        <v>N/A
N/A</v>
      </c>
      <c r="F427" s="37">
        <f>IFERROR(__xludf.DUMMYFUNCTION("""COMPUTED_VALUE"""),64.65824395607649)</f>
        <v>64.65824396</v>
      </c>
      <c r="G427" s="38">
        <f>IFERROR(__xludf.DUMMYFUNCTION("""COMPUTED_VALUE"""),58.80743560661096)</f>
        <v>58.80743561</v>
      </c>
      <c r="H427" s="38">
        <f>IFERROR(__xludf.DUMMYFUNCTION("""COMPUTED_VALUE"""),61.73283978134373)</f>
        <v>61.73283978</v>
      </c>
      <c r="I427" s="14">
        <f>IFERROR(__xludf.DUMMYFUNCTION("""COMPUTED_VALUE"""),16.0)</f>
        <v>16</v>
      </c>
      <c r="J427" s="11">
        <f>IFERROR(__xludf.DUMMYFUNCTION("IFERROR(FILTER(Stats!$F:$Z,(Stats!$A:$A=$A427)*(Stats!$B:$B=$B427)))"),8.0)</f>
        <v>8</v>
      </c>
      <c r="K427" s="11">
        <f>IFERROR(__xludf.DUMMYFUNCTION("""COMPUTED_VALUE"""),8.0)</f>
        <v>8</v>
      </c>
      <c r="L427" s="12">
        <f>IFERROR(__xludf.DUMMYFUNCTION("""COMPUTED_VALUE"""),0.5)</f>
        <v>0.5</v>
      </c>
      <c r="M427" s="11">
        <f>IFERROR(__xludf.DUMMYFUNCTION("""COMPUTED_VALUE"""),4.0)</f>
        <v>4</v>
      </c>
      <c r="N427" s="11">
        <f>IFERROR(__xludf.DUMMYFUNCTION("""COMPUTED_VALUE"""),6606.0)</f>
        <v>6606</v>
      </c>
      <c r="O427" s="13">
        <f>IFERROR(__xludf.DUMMYFUNCTION("""COMPUTED_VALUE"""),12.0)</f>
        <v>12</v>
      </c>
      <c r="P427" s="14">
        <f>IFERROR(__xludf.DUMMYFUNCTION("""COMPUTED_VALUE"""),10.0)</f>
        <v>10</v>
      </c>
      <c r="Q427" s="13">
        <f>IFERROR(__xludf.DUMMYFUNCTION("""COMPUTED_VALUE"""),25.0)</f>
        <v>25</v>
      </c>
      <c r="R427" s="13">
        <f>IFERROR(__xludf.DUMMYFUNCTION("""COMPUTED_VALUE"""),58.0)</f>
        <v>58</v>
      </c>
      <c r="S427" s="15">
        <f>IFERROR(__xludf.DUMMYFUNCTION("""COMPUTED_VALUE"""),0.20689655172413793)</f>
        <v>0.2068965517</v>
      </c>
      <c r="T427" s="16">
        <f>IFERROR(__xludf.DUMMYFUNCTION("""COMPUTED_VALUE"""),412.875)</f>
        <v>412.875</v>
      </c>
      <c r="U427" s="16">
        <f>IFERROR(__xludf.DUMMYFUNCTION("""COMPUTED_VALUE"""),0.75)</f>
        <v>0.75</v>
      </c>
      <c r="V427" s="16">
        <f>IFERROR(__xludf.DUMMYFUNCTION("""COMPUTED_VALUE"""),0.625)</f>
        <v>0.625</v>
      </c>
      <c r="W427" s="16">
        <f>IFERROR(__xludf.DUMMYFUNCTION("""COMPUTED_VALUE"""),1.5625)</f>
        <v>1.5625</v>
      </c>
      <c r="X427" s="16">
        <f>IFERROR(__xludf.DUMMYFUNCTION("""COMPUTED_VALUE"""),3.625)</f>
        <v>3.625</v>
      </c>
      <c r="Y427" s="11">
        <f>IFERROR(__xludf.DUMMYFUNCTION("""COMPUTED_VALUE"""),6.0)</f>
        <v>6</v>
      </c>
      <c r="Z427" s="11">
        <f>IFERROR(__xludf.DUMMYFUNCTION("""COMPUTED_VALUE"""),1.0)</f>
        <v>1</v>
      </c>
      <c r="AA427" s="11">
        <f>IFERROR(__xludf.DUMMYFUNCTION("""COMPUTED_VALUE"""),0.0)</f>
        <v>0</v>
      </c>
      <c r="AB427" s="11">
        <f>IFERROR(__xludf.DUMMYFUNCTION("""COMPUTED_VALUE"""),4.0)</f>
        <v>4</v>
      </c>
      <c r="AC427" s="11">
        <f>IFERROR(__xludf.DUMMYFUNCTION("""COMPUTED_VALUE"""),15.0)</f>
        <v>15</v>
      </c>
      <c r="AD427" s="11">
        <f>IFERROR(__xludf.DUMMYFUNCTION("""COMPUTED_VALUE"""),16.0)</f>
        <v>16</v>
      </c>
    </row>
    <row r="428">
      <c r="A428" s="10" t="str">
        <f>IFERROR(__xludf.DUMMYFUNCTION("""COMPUTED_VALUE"""),"Premier")</f>
        <v>Premier</v>
      </c>
      <c r="B428" s="10" t="str">
        <f>IFERROR(__xludf.DUMMYFUNCTION("""COMPUTED_VALUE"""),"RSC002714")</f>
        <v>RSC002714</v>
      </c>
      <c r="C428" s="10" t="str">
        <f>IFERROR(__xludf.DUMMYFUNCTION("""COMPUTED_VALUE"""),"Andy")</f>
        <v>Andy</v>
      </c>
      <c r="D428" s="36" t="str">
        <f>IFERROR(__xludf.DUMMYFUNCTION("""COMPUTED_VALUE"""),"Crooked Capos")</f>
        <v>Crooked Capos</v>
      </c>
      <c r="E428" s="10" t="str">
        <f>IFERROR(__xludf.DUMMYFUNCTION("""COMPUTED_VALUE"""),"N/A")</f>
        <v>N/A</v>
      </c>
      <c r="F428" s="37">
        <f>IFERROR(__xludf.DUMMYFUNCTION("""COMPUTED_VALUE"""),61.121237678858336)</f>
        <v>61.12123768</v>
      </c>
      <c r="G428" s="38">
        <f>IFERROR(__xludf.DUMMYFUNCTION("""COMPUTED_VALUE"""),59.23450835382755)</f>
        <v>59.23450835</v>
      </c>
      <c r="H428" s="38">
        <f>IFERROR(__xludf.DUMMYFUNCTION("""COMPUTED_VALUE"""),60.17787301634294)</f>
        <v>60.17787302</v>
      </c>
      <c r="I428" s="14">
        <f>IFERROR(__xludf.DUMMYFUNCTION("""COMPUTED_VALUE"""),47.0)</f>
        <v>47</v>
      </c>
      <c r="J428" s="11">
        <f>IFERROR(__xludf.DUMMYFUNCTION("IFERROR(FILTER(Stats!$F:$Z,(Stats!$A:$A=$A428)*(Stats!$B:$B=$B428)))"),24.0)</f>
        <v>24</v>
      </c>
      <c r="K428" s="11">
        <f>IFERROR(__xludf.DUMMYFUNCTION("""COMPUTED_VALUE"""),23.0)</f>
        <v>23</v>
      </c>
      <c r="L428" s="12">
        <f>IFERROR(__xludf.DUMMYFUNCTION("""COMPUTED_VALUE"""),0.5106382978723404)</f>
        <v>0.5106382979</v>
      </c>
      <c r="M428" s="11">
        <f>IFERROR(__xludf.DUMMYFUNCTION("""COMPUTED_VALUE"""),9.0)</f>
        <v>9</v>
      </c>
      <c r="N428" s="11">
        <f>IFERROR(__xludf.DUMMYFUNCTION("""COMPUTED_VALUE"""),18509.0)</f>
        <v>18509</v>
      </c>
      <c r="O428" s="13">
        <f>IFERROR(__xludf.DUMMYFUNCTION("""COMPUTED_VALUE"""),44.0)</f>
        <v>44</v>
      </c>
      <c r="P428" s="14">
        <f>IFERROR(__xludf.DUMMYFUNCTION("""COMPUTED_VALUE"""),26.0)</f>
        <v>26</v>
      </c>
      <c r="Q428" s="13">
        <f>IFERROR(__xludf.DUMMYFUNCTION("""COMPUTED_VALUE"""),61.0)</f>
        <v>61</v>
      </c>
      <c r="R428" s="13">
        <f>IFERROR(__xludf.DUMMYFUNCTION("""COMPUTED_VALUE"""),149.0)</f>
        <v>149</v>
      </c>
      <c r="S428" s="15">
        <f>IFERROR(__xludf.DUMMYFUNCTION("""COMPUTED_VALUE"""),0.2953020134228188)</f>
        <v>0.2953020134</v>
      </c>
      <c r="T428" s="16">
        <f>IFERROR(__xludf.DUMMYFUNCTION("""COMPUTED_VALUE"""),393.8085106382979)</f>
        <v>393.8085106</v>
      </c>
      <c r="U428" s="16">
        <f>IFERROR(__xludf.DUMMYFUNCTION("""COMPUTED_VALUE"""),0.9361702127659575)</f>
        <v>0.9361702128</v>
      </c>
      <c r="V428" s="16">
        <f>IFERROR(__xludf.DUMMYFUNCTION("""COMPUTED_VALUE"""),0.5531914893617021)</f>
        <v>0.5531914894</v>
      </c>
      <c r="W428" s="16">
        <f>IFERROR(__xludf.DUMMYFUNCTION("""COMPUTED_VALUE"""),1.297872340425532)</f>
        <v>1.29787234</v>
      </c>
      <c r="X428" s="16">
        <f>IFERROR(__xludf.DUMMYFUNCTION("""COMPUTED_VALUE"""),3.1702127659574466)</f>
        <v>3.170212766</v>
      </c>
      <c r="Y428" s="11">
        <f>IFERROR(__xludf.DUMMYFUNCTION("""COMPUTED_VALUE"""),12.0)</f>
        <v>12</v>
      </c>
      <c r="Z428" s="11">
        <f>IFERROR(__xludf.DUMMYFUNCTION("""COMPUTED_VALUE"""),2.0)</f>
        <v>2</v>
      </c>
      <c r="AA428" s="11">
        <f>IFERROR(__xludf.DUMMYFUNCTION("""COMPUTED_VALUE"""),1.0)</f>
        <v>1</v>
      </c>
      <c r="AB428" s="11">
        <f>IFERROR(__xludf.DUMMYFUNCTION("""COMPUTED_VALUE"""),5.0)</f>
        <v>5</v>
      </c>
      <c r="AC428" s="11">
        <f>IFERROR(__xludf.DUMMYFUNCTION("""COMPUTED_VALUE"""),53.0)</f>
        <v>53</v>
      </c>
      <c r="AD428" s="11">
        <f>IFERROR(__xludf.DUMMYFUNCTION("""COMPUTED_VALUE"""),63.0)</f>
        <v>63</v>
      </c>
    </row>
    <row r="429">
      <c r="A429" s="10" t="str">
        <f>IFERROR(__xludf.DUMMYFUNCTION("""COMPUTED_VALUE"""),"Premier")</f>
        <v>Premier</v>
      </c>
      <c r="B429" s="10" t="str">
        <f>IFERROR(__xludf.DUMMYFUNCTION("""COMPUTED_VALUE"""),"RSC003749")</f>
        <v>RSC003749</v>
      </c>
      <c r="C429" s="10" t="str">
        <f>IFERROR(__xludf.DUMMYFUNCTION("""COMPUTED_VALUE"""),"Rule")</f>
        <v>Rule</v>
      </c>
      <c r="D429" s="36" t="str">
        <f>IFERROR(__xludf.DUMMYFUNCTION("""COMPUTED_VALUE"""),"Crooked Capos")</f>
        <v>Crooked Capos</v>
      </c>
      <c r="E429" s="10" t="str">
        <f>IFERROR(__xludf.DUMMYFUNCTION("""COMPUTED_VALUE"""),"N/A")</f>
        <v>N/A</v>
      </c>
      <c r="F429" s="37">
        <f>IFERROR(__xludf.DUMMYFUNCTION("""COMPUTED_VALUE"""),55.03428991619917)</f>
        <v>55.03428992</v>
      </c>
      <c r="G429" s="38">
        <f>IFERROR(__xludf.DUMMYFUNCTION("""COMPUTED_VALUE"""),64.29584224440089)</f>
        <v>64.29584224</v>
      </c>
      <c r="H429" s="38">
        <f>IFERROR(__xludf.DUMMYFUNCTION("""COMPUTED_VALUE"""),59.66506608030003)</f>
        <v>59.66506608</v>
      </c>
      <c r="I429" s="14">
        <f>IFERROR(__xludf.DUMMYFUNCTION("""COMPUTED_VALUE"""),33.0)</f>
        <v>33</v>
      </c>
      <c r="J429" s="11">
        <f>IFERROR(__xludf.DUMMYFUNCTION("IFERROR(FILTER(Stats!$F:$Z,(Stats!$A:$A=$A429)*(Stats!$B:$B=$B429)))"),18.0)</f>
        <v>18</v>
      </c>
      <c r="K429" s="11">
        <f>IFERROR(__xludf.DUMMYFUNCTION("""COMPUTED_VALUE"""),15.0)</f>
        <v>15</v>
      </c>
      <c r="L429" s="12">
        <f>IFERROR(__xludf.DUMMYFUNCTION("""COMPUTED_VALUE"""),0.5454545454545454)</f>
        <v>0.5454545455</v>
      </c>
      <c r="M429" s="11">
        <f>IFERROR(__xludf.DUMMYFUNCTION("""COMPUTED_VALUE"""),5.0)</f>
        <v>5</v>
      </c>
      <c r="N429" s="11">
        <f>IFERROR(__xludf.DUMMYFUNCTION("""COMPUTED_VALUE"""),13506.0)</f>
        <v>13506</v>
      </c>
      <c r="O429" s="13">
        <f>IFERROR(__xludf.DUMMYFUNCTION("""COMPUTED_VALUE"""),33.0)</f>
        <v>33</v>
      </c>
      <c r="P429" s="14">
        <f>IFERROR(__xludf.DUMMYFUNCTION("""COMPUTED_VALUE"""),24.0)</f>
        <v>24</v>
      </c>
      <c r="Q429" s="13">
        <f>IFERROR(__xludf.DUMMYFUNCTION("""COMPUTED_VALUE"""),56.0)</f>
        <v>56</v>
      </c>
      <c r="R429" s="13">
        <f>IFERROR(__xludf.DUMMYFUNCTION("""COMPUTED_VALUE"""),82.0)</f>
        <v>82</v>
      </c>
      <c r="S429" s="15">
        <f>IFERROR(__xludf.DUMMYFUNCTION("""COMPUTED_VALUE"""),0.4024390243902439)</f>
        <v>0.4024390244</v>
      </c>
      <c r="T429" s="16">
        <f>IFERROR(__xludf.DUMMYFUNCTION("""COMPUTED_VALUE"""),409.27272727272725)</f>
        <v>409.2727273</v>
      </c>
      <c r="U429" s="16">
        <f>IFERROR(__xludf.DUMMYFUNCTION("""COMPUTED_VALUE"""),1.0)</f>
        <v>1</v>
      </c>
      <c r="V429" s="16">
        <f>IFERROR(__xludf.DUMMYFUNCTION("""COMPUTED_VALUE"""),0.7272727272727273)</f>
        <v>0.7272727273</v>
      </c>
      <c r="W429" s="16">
        <f>IFERROR(__xludf.DUMMYFUNCTION("""COMPUTED_VALUE"""),1.696969696969697)</f>
        <v>1.696969697</v>
      </c>
      <c r="X429" s="16">
        <f>IFERROR(__xludf.DUMMYFUNCTION("""COMPUTED_VALUE"""),2.484848484848485)</f>
        <v>2.484848485</v>
      </c>
      <c r="Y429" s="11">
        <f>IFERROR(__xludf.DUMMYFUNCTION("""COMPUTED_VALUE"""),10.0)</f>
        <v>10</v>
      </c>
      <c r="Z429" s="11">
        <f>IFERROR(__xludf.DUMMYFUNCTION("""COMPUTED_VALUE"""),2.0)</f>
        <v>2</v>
      </c>
      <c r="AA429" s="11">
        <f>IFERROR(__xludf.DUMMYFUNCTION("""COMPUTED_VALUE"""),1.0)</f>
        <v>1</v>
      </c>
      <c r="AB429" s="11">
        <f>IFERROR(__xludf.DUMMYFUNCTION("""COMPUTED_VALUE"""),7.0)</f>
        <v>7</v>
      </c>
      <c r="AC429" s="11">
        <f>IFERROR(__xludf.DUMMYFUNCTION("""COMPUTED_VALUE"""),30.0)</f>
        <v>30</v>
      </c>
      <c r="AD429" s="11">
        <f>IFERROR(__xludf.DUMMYFUNCTION("""COMPUTED_VALUE"""),28.0)</f>
        <v>28</v>
      </c>
    </row>
    <row r="430">
      <c r="A430" s="10" t="str">
        <f>IFERROR(__xludf.DUMMYFUNCTION("""COMPUTED_VALUE"""),"Premier")</f>
        <v>Premier</v>
      </c>
      <c r="B430" s="10" t="str">
        <f>IFERROR(__xludf.DUMMYFUNCTION("""COMPUTED_VALUE"""),"RSC002062")</f>
        <v>RSC002062</v>
      </c>
      <c r="C430" s="10" t="str">
        <f>IFERROR(__xludf.DUMMYFUNCTION("""COMPUTED_VALUE"""),"Qundar al-Din")</f>
        <v>Qundar al-Din</v>
      </c>
      <c r="D430" s="36" t="str">
        <f>IFERROR(__xludf.DUMMYFUNCTION("""COMPUTED_VALUE"""),"Punks")</f>
        <v>Punks</v>
      </c>
      <c r="E430" s="10" t="str">
        <f>IFERROR(__xludf.DUMMYFUNCTION("""COMPUTED_VALUE"""),"N/A")</f>
        <v>N/A</v>
      </c>
      <c r="F430" s="37">
        <f>IFERROR(__xludf.DUMMYFUNCTION("""COMPUTED_VALUE"""),57.88737713995138)</f>
        <v>57.88737714</v>
      </c>
      <c r="G430" s="38">
        <f>IFERROR(__xludf.DUMMYFUNCTION("""COMPUTED_VALUE"""),61.20167634103461)</f>
        <v>61.20167634</v>
      </c>
      <c r="H430" s="38">
        <f>IFERROR(__xludf.DUMMYFUNCTION("""COMPUTED_VALUE"""),59.544526740493)</f>
        <v>59.54452674</v>
      </c>
      <c r="I430" s="14">
        <f>IFERROR(__xludf.DUMMYFUNCTION("""COMPUTED_VALUE"""),12.0)</f>
        <v>12</v>
      </c>
      <c r="J430" s="11">
        <f>IFERROR(__xludf.DUMMYFUNCTION("IFERROR(FILTER(Stats!$F:$Z,(Stats!$A:$A=$A430)*(Stats!$B:$B=$B430)))"),6.0)</f>
        <v>6</v>
      </c>
      <c r="K430" s="11">
        <f>IFERROR(__xludf.DUMMYFUNCTION("""COMPUTED_VALUE"""),6.0)</f>
        <v>6</v>
      </c>
      <c r="L430" s="12">
        <f>IFERROR(__xludf.DUMMYFUNCTION("""COMPUTED_VALUE"""),0.5)</f>
        <v>0.5</v>
      </c>
      <c r="M430" s="11">
        <f>IFERROR(__xludf.DUMMYFUNCTION("""COMPUTED_VALUE"""),2.0)</f>
        <v>2</v>
      </c>
      <c r="N430" s="11">
        <f>IFERROR(__xludf.DUMMYFUNCTION("""COMPUTED_VALUE"""),4773.0)</f>
        <v>4773</v>
      </c>
      <c r="O430" s="13">
        <f>IFERROR(__xludf.DUMMYFUNCTION("""COMPUTED_VALUE"""),11.0)</f>
        <v>11</v>
      </c>
      <c r="P430" s="14">
        <f>IFERROR(__xludf.DUMMYFUNCTION("""COMPUTED_VALUE"""),7.0)</f>
        <v>7</v>
      </c>
      <c r="Q430" s="13">
        <f>IFERROR(__xludf.DUMMYFUNCTION("""COMPUTED_VALUE"""),18.0)</f>
        <v>18</v>
      </c>
      <c r="R430" s="13">
        <f>IFERROR(__xludf.DUMMYFUNCTION("""COMPUTED_VALUE"""),40.0)</f>
        <v>40</v>
      </c>
      <c r="S430" s="15">
        <f>IFERROR(__xludf.DUMMYFUNCTION("""COMPUTED_VALUE"""),0.275)</f>
        <v>0.275</v>
      </c>
      <c r="T430" s="16">
        <f>IFERROR(__xludf.DUMMYFUNCTION("""COMPUTED_VALUE"""),397.75)</f>
        <v>397.75</v>
      </c>
      <c r="U430" s="16">
        <f>IFERROR(__xludf.DUMMYFUNCTION("""COMPUTED_VALUE"""),0.9166666666666666)</f>
        <v>0.9166666667</v>
      </c>
      <c r="V430" s="16">
        <f>IFERROR(__xludf.DUMMYFUNCTION("""COMPUTED_VALUE"""),0.5833333333333334)</f>
        <v>0.5833333333</v>
      </c>
      <c r="W430" s="16">
        <f>IFERROR(__xludf.DUMMYFUNCTION("""COMPUTED_VALUE"""),1.5)</f>
        <v>1.5</v>
      </c>
      <c r="X430" s="16">
        <f>IFERROR(__xludf.DUMMYFUNCTION("""COMPUTED_VALUE"""),3.3333333333333335)</f>
        <v>3.333333333</v>
      </c>
      <c r="Y430" s="11">
        <f>IFERROR(__xludf.DUMMYFUNCTION("""COMPUTED_VALUE"""),1.0)</f>
        <v>1</v>
      </c>
      <c r="Z430" s="11">
        <f>IFERROR(__xludf.DUMMYFUNCTION("""COMPUTED_VALUE"""),0.0)</f>
        <v>0</v>
      </c>
      <c r="AA430" s="11">
        <f>IFERROR(__xludf.DUMMYFUNCTION("""COMPUTED_VALUE"""),0.0)</f>
        <v>0</v>
      </c>
      <c r="AB430" s="11">
        <f>IFERROR(__xludf.DUMMYFUNCTION("""COMPUTED_VALUE"""),4.0)</f>
        <v>4</v>
      </c>
      <c r="AC430" s="11">
        <f>IFERROR(__xludf.DUMMYFUNCTION("""COMPUTED_VALUE"""),6.0)</f>
        <v>6</v>
      </c>
      <c r="AD430" s="11">
        <f>IFERROR(__xludf.DUMMYFUNCTION("""COMPUTED_VALUE"""),13.0)</f>
        <v>13</v>
      </c>
    </row>
    <row r="431">
      <c r="A431" s="10" t="str">
        <f>IFERROR(__xludf.DUMMYFUNCTION("""COMPUTED_VALUE"""),"Premier")</f>
        <v>Premier</v>
      </c>
      <c r="B431" s="10" t="str">
        <f>IFERROR(__xludf.DUMMYFUNCTION("""COMPUTED_VALUE"""),"RSC007718")</f>
        <v>RSC007718</v>
      </c>
      <c r="C431" s="10" t="str">
        <f>IFERROR(__xludf.DUMMYFUNCTION("""COMPUTED_VALUE"""),"dxge")</f>
        <v>dxge</v>
      </c>
      <c r="D431" s="36" t="str">
        <f>IFERROR(__xludf.DUMMYFUNCTION("""COMPUTED_VALUE"""),"Gummy Bears
Capybaras")</f>
        <v>Gummy Bears
Capybaras</v>
      </c>
      <c r="E431" s="10" t="str">
        <f>IFERROR(__xludf.DUMMYFUNCTION("""COMPUTED_VALUE"""),"N/A
N/A")</f>
        <v>N/A
N/A</v>
      </c>
      <c r="F431" s="37">
        <f>IFERROR(__xludf.DUMMYFUNCTION("""COMPUTED_VALUE"""),57.22185913681954)</f>
        <v>57.22185914</v>
      </c>
      <c r="G431" s="38">
        <f>IFERROR(__xludf.DUMMYFUNCTION("""COMPUTED_VALUE"""),56.524133670177605)</f>
        <v>56.52413367</v>
      </c>
      <c r="H431" s="38">
        <f>IFERROR(__xludf.DUMMYFUNCTION("""COMPUTED_VALUE"""),56.872996403498576)</f>
        <v>56.8729964</v>
      </c>
      <c r="I431" s="14">
        <f>IFERROR(__xludf.DUMMYFUNCTION("""COMPUTED_VALUE"""),8.0)</f>
        <v>8</v>
      </c>
      <c r="J431" s="11">
        <f>IFERROR(__xludf.DUMMYFUNCTION("IFERROR(FILTER(Stats!$F:$Z,(Stats!$A:$A=$A431)*(Stats!$B:$B=$B431)))"),5.0)</f>
        <v>5</v>
      </c>
      <c r="K431" s="11">
        <f>IFERROR(__xludf.DUMMYFUNCTION("""COMPUTED_VALUE"""),3.0)</f>
        <v>3</v>
      </c>
      <c r="L431" s="12">
        <f>IFERROR(__xludf.DUMMYFUNCTION("""COMPUTED_VALUE"""),0.625)</f>
        <v>0.625</v>
      </c>
      <c r="M431" s="11">
        <f>IFERROR(__xludf.DUMMYFUNCTION("""COMPUTED_VALUE"""),3.0)</f>
        <v>3</v>
      </c>
      <c r="N431" s="11">
        <f>IFERROR(__xludf.DUMMYFUNCTION("""COMPUTED_VALUE"""),3774.0)</f>
        <v>3774</v>
      </c>
      <c r="O431" s="13">
        <f>IFERROR(__xludf.DUMMYFUNCTION("""COMPUTED_VALUE"""),8.0)</f>
        <v>8</v>
      </c>
      <c r="P431" s="14">
        <f>IFERROR(__xludf.DUMMYFUNCTION("""COMPUTED_VALUE"""),2.0)</f>
        <v>2</v>
      </c>
      <c r="Q431" s="13">
        <f>IFERROR(__xludf.DUMMYFUNCTION("""COMPUTED_VALUE"""),20.0)</f>
        <v>20</v>
      </c>
      <c r="R431" s="13">
        <f>IFERROR(__xludf.DUMMYFUNCTION("""COMPUTED_VALUE"""),25.0)</f>
        <v>25</v>
      </c>
      <c r="S431" s="15">
        <f>IFERROR(__xludf.DUMMYFUNCTION("""COMPUTED_VALUE"""),0.32)</f>
        <v>0.32</v>
      </c>
      <c r="T431" s="16">
        <f>IFERROR(__xludf.DUMMYFUNCTION("""COMPUTED_VALUE"""),471.75)</f>
        <v>471.75</v>
      </c>
      <c r="U431" s="16">
        <f>IFERROR(__xludf.DUMMYFUNCTION("""COMPUTED_VALUE"""),1.0)</f>
        <v>1</v>
      </c>
      <c r="V431" s="16">
        <f>IFERROR(__xludf.DUMMYFUNCTION("""COMPUTED_VALUE"""),0.25)</f>
        <v>0.25</v>
      </c>
      <c r="W431" s="16">
        <f>IFERROR(__xludf.DUMMYFUNCTION("""COMPUTED_VALUE"""),2.5)</f>
        <v>2.5</v>
      </c>
      <c r="X431" s="16">
        <f>IFERROR(__xludf.DUMMYFUNCTION("""COMPUTED_VALUE"""),3.125)</f>
        <v>3.125</v>
      </c>
      <c r="Y431" s="11">
        <f>IFERROR(__xludf.DUMMYFUNCTION("""COMPUTED_VALUE"""),1.0)</f>
        <v>1</v>
      </c>
      <c r="Z431" s="11">
        <f>IFERROR(__xludf.DUMMYFUNCTION("""COMPUTED_VALUE"""),0.0)</f>
        <v>0</v>
      </c>
      <c r="AA431" s="11">
        <f>IFERROR(__xludf.DUMMYFUNCTION("""COMPUTED_VALUE"""),0.0)</f>
        <v>0</v>
      </c>
      <c r="AB431" s="11">
        <f>IFERROR(__xludf.DUMMYFUNCTION("""COMPUTED_VALUE"""),4.0)</f>
        <v>4</v>
      </c>
      <c r="AC431" s="11">
        <f>IFERROR(__xludf.DUMMYFUNCTION("""COMPUTED_VALUE"""),17.0)</f>
        <v>17</v>
      </c>
      <c r="AD431" s="11">
        <f>IFERROR(__xludf.DUMMYFUNCTION("""COMPUTED_VALUE"""),8.0)</f>
        <v>8</v>
      </c>
    </row>
    <row r="432">
      <c r="A432" s="10" t="str">
        <f>IFERROR(__xludf.DUMMYFUNCTION("""COMPUTED_VALUE"""),"Premier")</f>
        <v>Premier</v>
      </c>
      <c r="B432" s="10" t="str">
        <f>IFERROR(__xludf.DUMMYFUNCTION("""COMPUTED_VALUE"""),"RSC008139")</f>
        <v>RSC008139</v>
      </c>
      <c r="C432" s="10" t="str">
        <f>IFERROR(__xludf.DUMMYFUNCTION("""COMPUTED_VALUE"""),"Oibu")</f>
        <v>Oibu</v>
      </c>
      <c r="D432" s="36" t="str">
        <f>IFERROR(__xludf.DUMMYFUNCTION("""COMPUTED_VALUE"""),"Capybaras
Interstellar
Feta Forgers")</f>
        <v>Capybaras
Interstellar
Feta Forgers</v>
      </c>
      <c r="E432" s="10" t="str">
        <f>IFERROR(__xludf.DUMMYFUNCTION("""COMPUTED_VALUE"""),"N/A
N/A
N/A")</f>
        <v>N/A
N/A
N/A</v>
      </c>
      <c r="F432" s="37">
        <f>IFERROR(__xludf.DUMMYFUNCTION("""COMPUTED_VALUE"""),54.42642871198701)</f>
        <v>54.42642871</v>
      </c>
      <c r="G432" s="38">
        <f>IFERROR(__xludf.DUMMYFUNCTION("""COMPUTED_VALUE"""),55.620958410312504)</f>
        <v>55.62095841</v>
      </c>
      <c r="H432" s="38">
        <f>IFERROR(__xludf.DUMMYFUNCTION("""COMPUTED_VALUE"""),55.023693561149756)</f>
        <v>55.02369356</v>
      </c>
      <c r="I432" s="14">
        <f>IFERROR(__xludf.DUMMYFUNCTION("""COMPUTED_VALUE"""),35.0)</f>
        <v>35</v>
      </c>
      <c r="J432" s="11">
        <f>IFERROR(__xludf.DUMMYFUNCTION("IFERROR(FILTER(Stats!$F:$Z,(Stats!$A:$A=$A432)*(Stats!$B:$B=$B432)))"),20.0)</f>
        <v>20</v>
      </c>
      <c r="K432" s="11">
        <f>IFERROR(__xludf.DUMMYFUNCTION("""COMPUTED_VALUE"""),15.0)</f>
        <v>15</v>
      </c>
      <c r="L432" s="12">
        <f>IFERROR(__xludf.DUMMYFUNCTION("""COMPUTED_VALUE"""),0.5714285714285714)</f>
        <v>0.5714285714</v>
      </c>
      <c r="M432" s="11">
        <f>IFERROR(__xludf.DUMMYFUNCTION("""COMPUTED_VALUE"""),7.0)</f>
        <v>7</v>
      </c>
      <c r="N432" s="11">
        <f>IFERROR(__xludf.DUMMYFUNCTION("""COMPUTED_VALUE"""),14246.0)</f>
        <v>14246</v>
      </c>
      <c r="O432" s="13">
        <f>IFERROR(__xludf.DUMMYFUNCTION("""COMPUTED_VALUE"""),32.0)</f>
        <v>32</v>
      </c>
      <c r="P432" s="14">
        <f>IFERROR(__xludf.DUMMYFUNCTION("""COMPUTED_VALUE"""),21.0)</f>
        <v>21</v>
      </c>
      <c r="Q432" s="13">
        <f>IFERROR(__xludf.DUMMYFUNCTION("""COMPUTED_VALUE"""),66.0)</f>
        <v>66</v>
      </c>
      <c r="R432" s="13">
        <f>IFERROR(__xludf.DUMMYFUNCTION("""COMPUTED_VALUE"""),87.0)</f>
        <v>87</v>
      </c>
      <c r="S432" s="15">
        <f>IFERROR(__xludf.DUMMYFUNCTION("""COMPUTED_VALUE"""),0.367816091954023)</f>
        <v>0.367816092</v>
      </c>
      <c r="T432" s="16">
        <f>IFERROR(__xludf.DUMMYFUNCTION("""COMPUTED_VALUE"""),407.0285714285714)</f>
        <v>407.0285714</v>
      </c>
      <c r="U432" s="16">
        <f>IFERROR(__xludf.DUMMYFUNCTION("""COMPUTED_VALUE"""),0.9142857142857143)</f>
        <v>0.9142857143</v>
      </c>
      <c r="V432" s="16">
        <f>IFERROR(__xludf.DUMMYFUNCTION("""COMPUTED_VALUE"""),0.6)</f>
        <v>0.6</v>
      </c>
      <c r="W432" s="16">
        <f>IFERROR(__xludf.DUMMYFUNCTION("""COMPUTED_VALUE"""),1.8857142857142857)</f>
        <v>1.885714286</v>
      </c>
      <c r="X432" s="16">
        <f>IFERROR(__xludf.DUMMYFUNCTION("""COMPUTED_VALUE"""),2.4857142857142858)</f>
        <v>2.485714286</v>
      </c>
      <c r="Y432" s="11">
        <f>IFERROR(__xludf.DUMMYFUNCTION("""COMPUTED_VALUE"""),13.0)</f>
        <v>13</v>
      </c>
      <c r="Z432" s="11">
        <f>IFERROR(__xludf.DUMMYFUNCTION("""COMPUTED_VALUE"""),2.0)</f>
        <v>2</v>
      </c>
      <c r="AA432" s="11">
        <f>IFERROR(__xludf.DUMMYFUNCTION("""COMPUTED_VALUE"""),0.0)</f>
        <v>0</v>
      </c>
      <c r="AB432" s="11">
        <f>IFERROR(__xludf.DUMMYFUNCTION("""COMPUTED_VALUE"""),8.0)</f>
        <v>8</v>
      </c>
      <c r="AC432" s="11">
        <f>IFERROR(__xludf.DUMMYFUNCTION("""COMPUTED_VALUE"""),40.0)</f>
        <v>40</v>
      </c>
      <c r="AD432" s="11">
        <f>IFERROR(__xludf.DUMMYFUNCTION("""COMPUTED_VALUE"""),36.0)</f>
        <v>36</v>
      </c>
    </row>
    <row r="433">
      <c r="A433" s="10" t="str">
        <f>IFERROR(__xludf.DUMMYFUNCTION("""COMPUTED_VALUE"""),"Premier")</f>
        <v>Premier</v>
      </c>
      <c r="B433" s="10" t="str">
        <f>IFERROR(__xludf.DUMMYFUNCTION("""COMPUTED_VALUE"""),"RSC005170")</f>
        <v>RSC005170</v>
      </c>
      <c r="C433" s="10" t="str">
        <f>IFERROR(__xludf.DUMMYFUNCTION("""COMPUTED_VALUE"""),"FrenchyNF")</f>
        <v>FrenchyNF</v>
      </c>
      <c r="D433" s="36" t="str">
        <f>IFERROR(__xludf.DUMMYFUNCTION("""COMPUTED_VALUE"""),"Interstellar
Crooked Capos
Feta Forgers")</f>
        <v>Interstellar
Crooked Capos
Feta Forgers</v>
      </c>
      <c r="E433" s="10" t="str">
        <f>IFERROR(__xludf.DUMMYFUNCTION("""COMPUTED_VALUE"""),"N/A
N/A
N/A")</f>
        <v>N/A
N/A
N/A</v>
      </c>
      <c r="F433" s="37">
        <f>IFERROR(__xludf.DUMMYFUNCTION("""COMPUTED_VALUE"""),53.2663551890321)</f>
        <v>53.26635519</v>
      </c>
      <c r="G433" s="38">
        <f>IFERROR(__xludf.DUMMYFUNCTION("""COMPUTED_VALUE"""),56.10058176724049)</f>
        <v>56.10058177</v>
      </c>
      <c r="H433" s="38">
        <f>IFERROR(__xludf.DUMMYFUNCTION("""COMPUTED_VALUE"""),54.68346847813629)</f>
        <v>54.68346848</v>
      </c>
      <c r="I433" s="14">
        <f>IFERROR(__xludf.DUMMYFUNCTION("""COMPUTED_VALUE"""),25.0)</f>
        <v>25</v>
      </c>
      <c r="J433" s="11">
        <f>IFERROR(__xludf.DUMMYFUNCTION("IFERROR(FILTER(Stats!$F:$Z,(Stats!$A:$A=$A433)*(Stats!$B:$B=$B433)))"),14.0)</f>
        <v>14</v>
      </c>
      <c r="K433" s="11">
        <f>IFERROR(__xludf.DUMMYFUNCTION("""COMPUTED_VALUE"""),11.0)</f>
        <v>11</v>
      </c>
      <c r="L433" s="12">
        <f>IFERROR(__xludf.DUMMYFUNCTION("""COMPUTED_VALUE"""),0.56)</f>
        <v>0.56</v>
      </c>
      <c r="M433" s="11">
        <f>IFERROR(__xludf.DUMMYFUNCTION("""COMPUTED_VALUE"""),7.0)</f>
        <v>7</v>
      </c>
      <c r="N433" s="11">
        <f>IFERROR(__xludf.DUMMYFUNCTION("""COMPUTED_VALUE"""),9981.0)</f>
        <v>9981</v>
      </c>
      <c r="O433" s="13">
        <f>IFERROR(__xludf.DUMMYFUNCTION("""COMPUTED_VALUE"""),21.0)</f>
        <v>21</v>
      </c>
      <c r="P433" s="14">
        <f>IFERROR(__xludf.DUMMYFUNCTION("""COMPUTED_VALUE"""),18.0)</f>
        <v>18</v>
      </c>
      <c r="Q433" s="13">
        <f>IFERROR(__xludf.DUMMYFUNCTION("""COMPUTED_VALUE"""),39.0)</f>
        <v>39</v>
      </c>
      <c r="R433" s="13">
        <f>IFERROR(__xludf.DUMMYFUNCTION("""COMPUTED_VALUE"""),63.0)</f>
        <v>63</v>
      </c>
      <c r="S433" s="15">
        <f>IFERROR(__xludf.DUMMYFUNCTION("""COMPUTED_VALUE"""),0.3333333333333333)</f>
        <v>0.3333333333</v>
      </c>
      <c r="T433" s="16">
        <f>IFERROR(__xludf.DUMMYFUNCTION("""COMPUTED_VALUE"""),399.24)</f>
        <v>399.24</v>
      </c>
      <c r="U433" s="16">
        <f>IFERROR(__xludf.DUMMYFUNCTION("""COMPUTED_VALUE"""),0.84)</f>
        <v>0.84</v>
      </c>
      <c r="V433" s="16">
        <f>IFERROR(__xludf.DUMMYFUNCTION("""COMPUTED_VALUE"""),0.72)</f>
        <v>0.72</v>
      </c>
      <c r="W433" s="16">
        <f>IFERROR(__xludf.DUMMYFUNCTION("""COMPUTED_VALUE"""),1.56)</f>
        <v>1.56</v>
      </c>
      <c r="X433" s="16">
        <f>IFERROR(__xludf.DUMMYFUNCTION("""COMPUTED_VALUE"""),2.52)</f>
        <v>2.52</v>
      </c>
      <c r="Y433" s="11">
        <f>IFERROR(__xludf.DUMMYFUNCTION("""COMPUTED_VALUE"""),5.0)</f>
        <v>5</v>
      </c>
      <c r="Z433" s="11">
        <f>IFERROR(__xludf.DUMMYFUNCTION("""COMPUTED_VALUE"""),1.0)</f>
        <v>1</v>
      </c>
      <c r="AA433" s="11">
        <f>IFERROR(__xludf.DUMMYFUNCTION("""COMPUTED_VALUE"""),1.0)</f>
        <v>1</v>
      </c>
      <c r="AB433" s="11">
        <f>IFERROR(__xludf.DUMMYFUNCTION("""COMPUTED_VALUE"""),6.0)</f>
        <v>6</v>
      </c>
      <c r="AC433" s="11">
        <f>IFERROR(__xludf.DUMMYFUNCTION("""COMPUTED_VALUE"""),20.0)</f>
        <v>20</v>
      </c>
      <c r="AD433" s="11">
        <f>IFERROR(__xludf.DUMMYFUNCTION("""COMPUTED_VALUE"""),25.0)</f>
        <v>25</v>
      </c>
    </row>
    <row r="434">
      <c r="A434" s="10" t="str">
        <f>IFERROR(__xludf.DUMMYFUNCTION("""COMPUTED_VALUE"""),"Premier")</f>
        <v>Premier</v>
      </c>
      <c r="B434" s="10" t="str">
        <f>IFERROR(__xludf.DUMMYFUNCTION("""COMPUTED_VALUE"""),"RSC000579")</f>
        <v>RSC000579</v>
      </c>
      <c r="C434" s="10" t="str">
        <f>IFERROR(__xludf.DUMMYFUNCTION("""COMPUTED_VALUE"""),"Cryptt.")</f>
        <v>Cryptt.</v>
      </c>
      <c r="D434" s="36" t="str">
        <f>IFERROR(__xludf.DUMMYFUNCTION("""COMPUTED_VALUE"""),"Capybaras")</f>
        <v>Capybaras</v>
      </c>
      <c r="E434" s="10" t="str">
        <f>IFERROR(__xludf.DUMMYFUNCTION("""COMPUTED_VALUE"""),"N/A")</f>
        <v>N/A</v>
      </c>
      <c r="F434" s="37">
        <f>IFERROR(__xludf.DUMMYFUNCTION("""COMPUTED_VALUE"""),53.74813744130868)</f>
        <v>53.74813744</v>
      </c>
      <c r="G434" s="38">
        <f>IFERROR(__xludf.DUMMYFUNCTION("""COMPUTED_VALUE"""),55.39866497874509)</f>
        <v>55.39866498</v>
      </c>
      <c r="H434" s="38">
        <f>IFERROR(__xludf.DUMMYFUNCTION("""COMPUTED_VALUE"""),54.57340121002689)</f>
        <v>54.57340121</v>
      </c>
      <c r="I434" s="14">
        <f>IFERROR(__xludf.DUMMYFUNCTION("""COMPUTED_VALUE"""),51.0)</f>
        <v>51</v>
      </c>
      <c r="J434" s="11">
        <f>IFERROR(__xludf.DUMMYFUNCTION("IFERROR(FILTER(Stats!$F:$Z,(Stats!$A:$A=$A434)*(Stats!$B:$B=$B434)))"),35.0)</f>
        <v>35</v>
      </c>
      <c r="K434" s="11">
        <f>IFERROR(__xludf.DUMMYFUNCTION("""COMPUTED_VALUE"""),16.0)</f>
        <v>16</v>
      </c>
      <c r="L434" s="12">
        <f>IFERROR(__xludf.DUMMYFUNCTION("""COMPUTED_VALUE"""),0.6862745098039216)</f>
        <v>0.6862745098</v>
      </c>
      <c r="M434" s="11">
        <f>IFERROR(__xludf.DUMMYFUNCTION("""COMPUTED_VALUE"""),7.0)</f>
        <v>7</v>
      </c>
      <c r="N434" s="11">
        <f>IFERROR(__xludf.DUMMYFUNCTION("""COMPUTED_VALUE"""),18187.0)</f>
        <v>18187</v>
      </c>
      <c r="O434" s="13">
        <f>IFERROR(__xludf.DUMMYFUNCTION("""COMPUTED_VALUE"""),45.0)</f>
        <v>45</v>
      </c>
      <c r="P434" s="14">
        <f>IFERROR(__xludf.DUMMYFUNCTION("""COMPUTED_VALUE"""),32.0)</f>
        <v>32</v>
      </c>
      <c r="Q434" s="13">
        <f>IFERROR(__xludf.DUMMYFUNCTION("""COMPUTED_VALUE"""),52.0)</f>
        <v>52</v>
      </c>
      <c r="R434" s="13">
        <f>IFERROR(__xludf.DUMMYFUNCTION("""COMPUTED_VALUE"""),149.0)</f>
        <v>149</v>
      </c>
      <c r="S434" s="15">
        <f>IFERROR(__xludf.DUMMYFUNCTION("""COMPUTED_VALUE"""),0.30201342281879195)</f>
        <v>0.3020134228</v>
      </c>
      <c r="T434" s="16">
        <f>IFERROR(__xludf.DUMMYFUNCTION("""COMPUTED_VALUE"""),356.6078431372549)</f>
        <v>356.6078431</v>
      </c>
      <c r="U434" s="16">
        <f>IFERROR(__xludf.DUMMYFUNCTION("""COMPUTED_VALUE"""),0.8823529411764706)</f>
        <v>0.8823529412</v>
      </c>
      <c r="V434" s="16">
        <f>IFERROR(__xludf.DUMMYFUNCTION("""COMPUTED_VALUE"""),0.6274509803921569)</f>
        <v>0.6274509804</v>
      </c>
      <c r="W434" s="16">
        <f>IFERROR(__xludf.DUMMYFUNCTION("""COMPUTED_VALUE"""),1.0196078431372548)</f>
        <v>1.019607843</v>
      </c>
      <c r="X434" s="16">
        <f>IFERROR(__xludf.DUMMYFUNCTION("""COMPUTED_VALUE"""),2.9215686274509802)</f>
        <v>2.921568627</v>
      </c>
      <c r="Y434" s="11">
        <f>IFERROR(__xludf.DUMMYFUNCTION("""COMPUTED_VALUE"""),8.0)</f>
        <v>8</v>
      </c>
      <c r="Z434" s="11">
        <f>IFERROR(__xludf.DUMMYFUNCTION("""COMPUTED_VALUE"""),2.0)</f>
        <v>2</v>
      </c>
      <c r="AA434" s="11">
        <f>IFERROR(__xludf.DUMMYFUNCTION("""COMPUTED_VALUE"""),2.0)</f>
        <v>2</v>
      </c>
      <c r="AB434" s="11">
        <f>IFERROR(__xludf.DUMMYFUNCTION("""COMPUTED_VALUE"""),7.0)</f>
        <v>7</v>
      </c>
      <c r="AC434" s="11">
        <f>IFERROR(__xludf.DUMMYFUNCTION("""COMPUTED_VALUE"""),23.0)</f>
        <v>23</v>
      </c>
      <c r="AD434" s="11">
        <f>IFERROR(__xludf.DUMMYFUNCTION("""COMPUTED_VALUE"""),59.0)</f>
        <v>59</v>
      </c>
    </row>
    <row r="435">
      <c r="A435" s="10" t="str">
        <f>IFERROR(__xludf.DUMMYFUNCTION("""COMPUTED_VALUE"""),"Premier")</f>
        <v>Premier</v>
      </c>
      <c r="B435" s="10" t="str">
        <f>IFERROR(__xludf.DUMMYFUNCTION("""COMPUTED_VALUE"""),"RSC006889")</f>
        <v>RSC006889</v>
      </c>
      <c r="C435" s="10" t="str">
        <f>IFERROR(__xludf.DUMMYFUNCTION("""COMPUTED_VALUE"""),"Jay")</f>
        <v>Jay</v>
      </c>
      <c r="D435" s="36" t="str">
        <f>IFERROR(__xludf.DUMMYFUNCTION("""COMPUTED_VALUE"""),"Leviathans")</f>
        <v>Leviathans</v>
      </c>
      <c r="E435" s="10" t="str">
        <f>IFERROR(__xludf.DUMMYFUNCTION("""COMPUTED_VALUE"""),"N/A")</f>
        <v>N/A</v>
      </c>
      <c r="F435" s="37">
        <f>IFERROR(__xludf.DUMMYFUNCTION("""COMPUTED_VALUE"""),48.82473364804944)</f>
        <v>48.82473365</v>
      </c>
      <c r="G435" s="38">
        <f>IFERROR(__xludf.DUMMYFUNCTION("""COMPUTED_VALUE"""),58.48455773795622)</f>
        <v>58.48455774</v>
      </c>
      <c r="H435" s="38">
        <f>IFERROR(__xludf.DUMMYFUNCTION("""COMPUTED_VALUE"""),53.654645693002834)</f>
        <v>53.65464569</v>
      </c>
      <c r="I435" s="14">
        <f>IFERROR(__xludf.DUMMYFUNCTION("""COMPUTED_VALUE"""),24.0)</f>
        <v>24</v>
      </c>
      <c r="J435" s="11">
        <f>IFERROR(__xludf.DUMMYFUNCTION("IFERROR(FILTER(Stats!$F:$Z,(Stats!$A:$A=$A435)*(Stats!$B:$B=$B435)))"),13.0)</f>
        <v>13</v>
      </c>
      <c r="K435" s="11">
        <f>IFERROR(__xludf.DUMMYFUNCTION("""COMPUTED_VALUE"""),11.0)</f>
        <v>11</v>
      </c>
      <c r="L435" s="12">
        <f>IFERROR(__xludf.DUMMYFUNCTION("""COMPUTED_VALUE"""),0.5416666666666666)</f>
        <v>0.5416666667</v>
      </c>
      <c r="M435" s="11">
        <f>IFERROR(__xludf.DUMMYFUNCTION("""COMPUTED_VALUE"""),2.0)</f>
        <v>2</v>
      </c>
      <c r="N435" s="11">
        <f>IFERROR(__xludf.DUMMYFUNCTION("""COMPUTED_VALUE"""),9603.0)</f>
        <v>9603</v>
      </c>
      <c r="O435" s="13">
        <f>IFERROR(__xludf.DUMMYFUNCTION("""COMPUTED_VALUE"""),20.0)</f>
        <v>20</v>
      </c>
      <c r="P435" s="14">
        <f>IFERROR(__xludf.DUMMYFUNCTION("""COMPUTED_VALUE"""),16.0)</f>
        <v>16</v>
      </c>
      <c r="Q435" s="13">
        <f>IFERROR(__xludf.DUMMYFUNCTION("""COMPUTED_VALUE"""),41.0)</f>
        <v>41</v>
      </c>
      <c r="R435" s="13">
        <f>IFERROR(__xludf.DUMMYFUNCTION("""COMPUTED_VALUE"""),66.0)</f>
        <v>66</v>
      </c>
      <c r="S435" s="15">
        <f>IFERROR(__xludf.DUMMYFUNCTION("""COMPUTED_VALUE"""),0.30303030303030304)</f>
        <v>0.303030303</v>
      </c>
      <c r="T435" s="16">
        <f>IFERROR(__xludf.DUMMYFUNCTION("""COMPUTED_VALUE"""),400.125)</f>
        <v>400.125</v>
      </c>
      <c r="U435" s="16">
        <f>IFERROR(__xludf.DUMMYFUNCTION("""COMPUTED_VALUE"""),0.8333333333333334)</f>
        <v>0.8333333333</v>
      </c>
      <c r="V435" s="16">
        <f>IFERROR(__xludf.DUMMYFUNCTION("""COMPUTED_VALUE"""),0.6666666666666666)</f>
        <v>0.6666666667</v>
      </c>
      <c r="W435" s="16">
        <f>IFERROR(__xludf.DUMMYFUNCTION("""COMPUTED_VALUE"""),1.7083333333333333)</f>
        <v>1.708333333</v>
      </c>
      <c r="X435" s="16">
        <f>IFERROR(__xludf.DUMMYFUNCTION("""COMPUTED_VALUE"""),2.75)</f>
        <v>2.75</v>
      </c>
      <c r="Y435" s="11">
        <f>IFERROR(__xludf.DUMMYFUNCTION("""COMPUTED_VALUE"""),4.0)</f>
        <v>4</v>
      </c>
      <c r="Z435" s="11">
        <f>IFERROR(__xludf.DUMMYFUNCTION("""COMPUTED_VALUE"""),1.0)</f>
        <v>1</v>
      </c>
      <c r="AA435" s="11">
        <f>IFERROR(__xludf.DUMMYFUNCTION("""COMPUTED_VALUE"""),0.0)</f>
        <v>0</v>
      </c>
      <c r="AB435" s="11">
        <f>IFERROR(__xludf.DUMMYFUNCTION("""COMPUTED_VALUE"""),6.0)</f>
        <v>6</v>
      </c>
      <c r="AC435" s="11">
        <f>IFERROR(__xludf.DUMMYFUNCTION("""COMPUTED_VALUE"""),33.0)</f>
        <v>33</v>
      </c>
      <c r="AD435" s="11">
        <f>IFERROR(__xludf.DUMMYFUNCTION("""COMPUTED_VALUE"""),34.0)</f>
        <v>34</v>
      </c>
    </row>
    <row r="436">
      <c r="A436" s="10" t="str">
        <f>IFERROR(__xludf.DUMMYFUNCTION("""COMPUTED_VALUE"""),"Premier")</f>
        <v>Premier</v>
      </c>
      <c r="B436" s="10" t="str">
        <f>IFERROR(__xludf.DUMMYFUNCTION("""COMPUTED_VALUE"""),"RSC007330")</f>
        <v>RSC007330</v>
      </c>
      <c r="C436" s="10" t="str">
        <f>IFERROR(__xludf.DUMMYFUNCTION("""COMPUTED_VALUE"""),"Spooky")</f>
        <v>Spooky</v>
      </c>
      <c r="D436" s="36" t="str">
        <f>IFERROR(__xludf.DUMMYFUNCTION("""COMPUTED_VALUE"""),"Capybaras")</f>
        <v>Capybaras</v>
      </c>
      <c r="E436" s="10" t="str">
        <f>IFERROR(__xludf.DUMMYFUNCTION("""COMPUTED_VALUE"""),"N/A")</f>
        <v>N/A</v>
      </c>
      <c r="F436" s="37">
        <f>IFERROR(__xludf.DUMMYFUNCTION("""COMPUTED_VALUE"""),55.82845377543993)</f>
        <v>55.82845378</v>
      </c>
      <c r="G436" s="38">
        <f>IFERROR(__xludf.DUMMYFUNCTION("""COMPUTED_VALUE"""),50.499634058708814)</f>
        <v>50.49963406</v>
      </c>
      <c r="H436" s="38">
        <f>IFERROR(__xludf.DUMMYFUNCTION("""COMPUTED_VALUE"""),53.16404391707437)</f>
        <v>53.16404392</v>
      </c>
      <c r="I436" s="14">
        <f>IFERROR(__xludf.DUMMYFUNCTION("""COMPUTED_VALUE"""),10.0)</f>
        <v>10</v>
      </c>
      <c r="J436" s="11">
        <f>IFERROR(__xludf.DUMMYFUNCTION("IFERROR(FILTER(Stats!$F:$Z,(Stats!$A:$A=$A436)*(Stats!$B:$B=$B436)))"),6.0)</f>
        <v>6</v>
      </c>
      <c r="K436" s="11">
        <f>IFERROR(__xludf.DUMMYFUNCTION("""COMPUTED_VALUE"""),4.0)</f>
        <v>4</v>
      </c>
      <c r="L436" s="12">
        <f>IFERROR(__xludf.DUMMYFUNCTION("""COMPUTED_VALUE"""),0.6)</f>
        <v>0.6</v>
      </c>
      <c r="M436" s="11">
        <f>IFERROR(__xludf.DUMMYFUNCTION("""COMPUTED_VALUE"""),1.0)</f>
        <v>1</v>
      </c>
      <c r="N436" s="11">
        <f>IFERROR(__xludf.DUMMYFUNCTION("""COMPUTED_VALUE"""),3551.0)</f>
        <v>3551</v>
      </c>
      <c r="O436" s="13">
        <f>IFERROR(__xludf.DUMMYFUNCTION("""COMPUTED_VALUE"""),7.0)</f>
        <v>7</v>
      </c>
      <c r="P436" s="14">
        <f>IFERROR(__xludf.DUMMYFUNCTION("""COMPUTED_VALUE"""),8.0)</f>
        <v>8</v>
      </c>
      <c r="Q436" s="13">
        <f>IFERROR(__xludf.DUMMYFUNCTION("""COMPUTED_VALUE"""),15.0)</f>
        <v>15</v>
      </c>
      <c r="R436" s="13">
        <f>IFERROR(__xludf.DUMMYFUNCTION("""COMPUTED_VALUE"""),25.0)</f>
        <v>25</v>
      </c>
      <c r="S436" s="15">
        <f>IFERROR(__xludf.DUMMYFUNCTION("""COMPUTED_VALUE"""),0.28)</f>
        <v>0.28</v>
      </c>
      <c r="T436" s="16">
        <f>IFERROR(__xludf.DUMMYFUNCTION("""COMPUTED_VALUE"""),355.1)</f>
        <v>355.1</v>
      </c>
      <c r="U436" s="16">
        <f>IFERROR(__xludf.DUMMYFUNCTION("""COMPUTED_VALUE"""),0.7)</f>
        <v>0.7</v>
      </c>
      <c r="V436" s="16">
        <f>IFERROR(__xludf.DUMMYFUNCTION("""COMPUTED_VALUE"""),0.8)</f>
        <v>0.8</v>
      </c>
      <c r="W436" s="16">
        <f>IFERROR(__xludf.DUMMYFUNCTION("""COMPUTED_VALUE"""),1.5)</f>
        <v>1.5</v>
      </c>
      <c r="X436" s="16">
        <f>IFERROR(__xludf.DUMMYFUNCTION("""COMPUTED_VALUE"""),2.5)</f>
        <v>2.5</v>
      </c>
      <c r="Y436" s="11">
        <f>IFERROR(__xludf.DUMMYFUNCTION("""COMPUTED_VALUE"""),2.0)</f>
        <v>2</v>
      </c>
      <c r="Z436" s="11">
        <f>IFERROR(__xludf.DUMMYFUNCTION("""COMPUTED_VALUE"""),1.0)</f>
        <v>1</v>
      </c>
      <c r="AA436" s="11">
        <f>IFERROR(__xludf.DUMMYFUNCTION("""COMPUTED_VALUE"""),0.0)</f>
        <v>0</v>
      </c>
      <c r="AB436" s="11">
        <f>IFERROR(__xludf.DUMMYFUNCTION("""COMPUTED_VALUE"""),3.0)</f>
        <v>3</v>
      </c>
      <c r="AC436" s="11">
        <f>IFERROR(__xludf.DUMMYFUNCTION("""COMPUTED_VALUE"""),5.0)</f>
        <v>5</v>
      </c>
      <c r="AD436" s="11">
        <f>IFERROR(__xludf.DUMMYFUNCTION("""COMPUTED_VALUE"""),8.0)</f>
        <v>8</v>
      </c>
    </row>
    <row r="437">
      <c r="A437" s="10" t="str">
        <f>IFERROR(__xludf.DUMMYFUNCTION("""COMPUTED_VALUE"""),"Premier")</f>
        <v>Premier</v>
      </c>
      <c r="B437" s="10" t="str">
        <f>IFERROR(__xludf.DUMMYFUNCTION("""COMPUTED_VALUE"""),"RSC004138")</f>
        <v>RSC004138</v>
      </c>
      <c r="C437" s="10" t="str">
        <f>IFERROR(__xludf.DUMMYFUNCTION("""COMPUTED_VALUE"""),"ghoosstyyyyyyy")</f>
        <v>ghoosstyyyyyyy</v>
      </c>
      <c r="D437" s="36" t="str">
        <f>IFERROR(__xludf.DUMMYFUNCTION("""COMPUTED_VALUE"""),"Super Clusters
Feta Forgers")</f>
        <v>Super Clusters
Feta Forgers</v>
      </c>
      <c r="E437" s="10" t="str">
        <f>IFERROR(__xludf.DUMMYFUNCTION("""COMPUTED_VALUE"""),"N/A
N/A")</f>
        <v>N/A
N/A</v>
      </c>
      <c r="F437" s="37">
        <f>IFERROR(__xludf.DUMMYFUNCTION("""COMPUTED_VALUE"""),50.541192682882006)</f>
        <v>50.54119268</v>
      </c>
      <c r="G437" s="38">
        <f>IFERROR(__xludf.DUMMYFUNCTION("""COMPUTED_VALUE"""),53.15821115829646)</f>
        <v>53.15821116</v>
      </c>
      <c r="H437" s="38">
        <f>IFERROR(__xludf.DUMMYFUNCTION("""COMPUTED_VALUE"""),51.84970192058923)</f>
        <v>51.84970192</v>
      </c>
      <c r="I437" s="14">
        <f>IFERROR(__xludf.DUMMYFUNCTION("""COMPUTED_VALUE"""),21.0)</f>
        <v>21</v>
      </c>
      <c r="J437" s="11">
        <f>IFERROR(__xludf.DUMMYFUNCTION("IFERROR(FILTER(Stats!$F:$Z,(Stats!$A:$A=$A437)*(Stats!$B:$B=$B437)))"),12.0)</f>
        <v>12</v>
      </c>
      <c r="K437" s="11">
        <f>IFERROR(__xludf.DUMMYFUNCTION("""COMPUTED_VALUE"""),9.0)</f>
        <v>9</v>
      </c>
      <c r="L437" s="12">
        <f>IFERROR(__xludf.DUMMYFUNCTION("""COMPUTED_VALUE"""),0.5714285714285714)</f>
        <v>0.5714285714</v>
      </c>
      <c r="M437" s="11">
        <f>IFERROR(__xludf.DUMMYFUNCTION("""COMPUTED_VALUE"""),1.0)</f>
        <v>1</v>
      </c>
      <c r="N437" s="11">
        <f>IFERROR(__xludf.DUMMYFUNCTION("""COMPUTED_VALUE"""),7311.0)</f>
        <v>7311</v>
      </c>
      <c r="O437" s="13">
        <f>IFERROR(__xludf.DUMMYFUNCTION("""COMPUTED_VALUE"""),18.0)</f>
        <v>18</v>
      </c>
      <c r="P437" s="14">
        <f>IFERROR(__xludf.DUMMYFUNCTION("""COMPUTED_VALUE"""),13.0)</f>
        <v>13</v>
      </c>
      <c r="Q437" s="13">
        <f>IFERROR(__xludf.DUMMYFUNCTION("""COMPUTED_VALUE"""),22.0)</f>
        <v>22</v>
      </c>
      <c r="R437" s="13">
        <f>IFERROR(__xludf.DUMMYFUNCTION("""COMPUTED_VALUE"""),68.0)</f>
        <v>68</v>
      </c>
      <c r="S437" s="15">
        <f>IFERROR(__xludf.DUMMYFUNCTION("""COMPUTED_VALUE"""),0.2647058823529412)</f>
        <v>0.2647058824</v>
      </c>
      <c r="T437" s="16">
        <f>IFERROR(__xludf.DUMMYFUNCTION("""COMPUTED_VALUE"""),348.14285714285717)</f>
        <v>348.1428571</v>
      </c>
      <c r="U437" s="16">
        <f>IFERROR(__xludf.DUMMYFUNCTION("""COMPUTED_VALUE"""),0.8571428571428571)</f>
        <v>0.8571428571</v>
      </c>
      <c r="V437" s="16">
        <f>IFERROR(__xludf.DUMMYFUNCTION("""COMPUTED_VALUE"""),0.6190476190476191)</f>
        <v>0.619047619</v>
      </c>
      <c r="W437" s="16">
        <f>IFERROR(__xludf.DUMMYFUNCTION("""COMPUTED_VALUE"""),1.0476190476190477)</f>
        <v>1.047619048</v>
      </c>
      <c r="X437" s="16">
        <f>IFERROR(__xludf.DUMMYFUNCTION("""COMPUTED_VALUE"""),3.238095238095238)</f>
        <v>3.238095238</v>
      </c>
      <c r="Y437" s="11">
        <f>IFERROR(__xludf.DUMMYFUNCTION("""COMPUTED_VALUE"""),4.0)</f>
        <v>4</v>
      </c>
      <c r="Z437" s="11">
        <f>IFERROR(__xludf.DUMMYFUNCTION("""COMPUTED_VALUE"""),0.0)</f>
        <v>0</v>
      </c>
      <c r="AA437" s="11">
        <f>IFERROR(__xludf.DUMMYFUNCTION("""COMPUTED_VALUE"""),1.0)</f>
        <v>1</v>
      </c>
      <c r="AB437" s="11">
        <f>IFERROR(__xludf.DUMMYFUNCTION("""COMPUTED_VALUE"""),1.0)</f>
        <v>1</v>
      </c>
      <c r="AC437" s="11">
        <f>IFERROR(__xludf.DUMMYFUNCTION("""COMPUTED_VALUE"""),30.0)</f>
        <v>30</v>
      </c>
      <c r="AD437" s="11">
        <f>IFERROR(__xludf.DUMMYFUNCTION("""COMPUTED_VALUE"""),40.0)</f>
        <v>40</v>
      </c>
    </row>
    <row r="438">
      <c r="A438" s="10" t="str">
        <f>IFERROR(__xludf.DUMMYFUNCTION("""COMPUTED_VALUE"""),"Premier")</f>
        <v>Premier</v>
      </c>
      <c r="B438" s="10" t="str">
        <f>IFERROR(__xludf.DUMMYFUNCTION("""COMPUTED_VALUE"""),"RSC004149")</f>
        <v>RSC004149</v>
      </c>
      <c r="C438" s="10" t="str">
        <f>IFERROR(__xludf.DUMMYFUNCTION("""COMPUTED_VALUE"""),"insanity")</f>
        <v>insanity</v>
      </c>
      <c r="D438" s="36" t="str">
        <f>IFERROR(__xludf.DUMMYFUNCTION("""COMPUTED_VALUE"""),"Super Clusters")</f>
        <v>Super Clusters</v>
      </c>
      <c r="E438" s="10" t="str">
        <f>IFERROR(__xludf.DUMMYFUNCTION("""COMPUTED_VALUE"""),"N/A")</f>
        <v>N/A</v>
      </c>
      <c r="F438" s="37">
        <f>IFERROR(__xludf.DUMMYFUNCTION("""COMPUTED_VALUE"""),46.90204124272587)</f>
        <v>46.90204124</v>
      </c>
      <c r="G438" s="38">
        <f>IFERROR(__xludf.DUMMYFUNCTION("""COMPUTED_VALUE"""),49.667991258615494)</f>
        <v>49.66799126</v>
      </c>
      <c r="H438" s="38">
        <f>IFERROR(__xludf.DUMMYFUNCTION("""COMPUTED_VALUE"""),48.28501625067068)</f>
        <v>48.28501625</v>
      </c>
      <c r="I438" s="14">
        <f>IFERROR(__xludf.DUMMYFUNCTION("""COMPUTED_VALUE"""),52.0)</f>
        <v>52</v>
      </c>
      <c r="J438" s="11">
        <f>IFERROR(__xludf.DUMMYFUNCTION("IFERROR(FILTER(Stats!$F:$Z,(Stats!$A:$A=$A438)*(Stats!$B:$B=$B438)))"),30.0)</f>
        <v>30</v>
      </c>
      <c r="K438" s="11">
        <f>IFERROR(__xludf.DUMMYFUNCTION("""COMPUTED_VALUE"""),22.0)</f>
        <v>22</v>
      </c>
      <c r="L438" s="12">
        <f>IFERROR(__xludf.DUMMYFUNCTION("""COMPUTED_VALUE"""),0.5769230769230769)</f>
        <v>0.5769230769</v>
      </c>
      <c r="M438" s="11">
        <f>IFERROR(__xludf.DUMMYFUNCTION("""COMPUTED_VALUE"""),6.0)</f>
        <v>6</v>
      </c>
      <c r="N438" s="11">
        <f>IFERROR(__xludf.DUMMYFUNCTION("""COMPUTED_VALUE"""),20311.0)</f>
        <v>20311</v>
      </c>
      <c r="O438" s="13">
        <f>IFERROR(__xludf.DUMMYFUNCTION("""COMPUTED_VALUE"""),36.0)</f>
        <v>36</v>
      </c>
      <c r="P438" s="14">
        <f>IFERROR(__xludf.DUMMYFUNCTION("""COMPUTED_VALUE"""),40.0)</f>
        <v>40</v>
      </c>
      <c r="Q438" s="13">
        <f>IFERROR(__xludf.DUMMYFUNCTION("""COMPUTED_VALUE"""),84.0)</f>
        <v>84</v>
      </c>
      <c r="R438" s="13">
        <f>IFERROR(__xludf.DUMMYFUNCTION("""COMPUTED_VALUE"""),138.0)</f>
        <v>138</v>
      </c>
      <c r="S438" s="15">
        <f>IFERROR(__xludf.DUMMYFUNCTION("""COMPUTED_VALUE"""),0.2608695652173913)</f>
        <v>0.2608695652</v>
      </c>
      <c r="T438" s="16">
        <f>IFERROR(__xludf.DUMMYFUNCTION("""COMPUTED_VALUE"""),390.59615384615387)</f>
        <v>390.5961538</v>
      </c>
      <c r="U438" s="16">
        <f>IFERROR(__xludf.DUMMYFUNCTION("""COMPUTED_VALUE"""),0.6923076923076923)</f>
        <v>0.6923076923</v>
      </c>
      <c r="V438" s="16">
        <f>IFERROR(__xludf.DUMMYFUNCTION("""COMPUTED_VALUE"""),0.7692307692307693)</f>
        <v>0.7692307692</v>
      </c>
      <c r="W438" s="16">
        <f>IFERROR(__xludf.DUMMYFUNCTION("""COMPUTED_VALUE"""),1.6153846153846154)</f>
        <v>1.615384615</v>
      </c>
      <c r="X438" s="16">
        <f>IFERROR(__xludf.DUMMYFUNCTION("""COMPUTED_VALUE"""),2.6538461538461537)</f>
        <v>2.653846154</v>
      </c>
      <c r="Y438" s="11">
        <f>IFERROR(__xludf.DUMMYFUNCTION("""COMPUTED_VALUE"""),15.0)</f>
        <v>15</v>
      </c>
      <c r="Z438" s="11">
        <f>IFERROR(__xludf.DUMMYFUNCTION("""COMPUTED_VALUE"""),2.0)</f>
        <v>2</v>
      </c>
      <c r="AA438" s="11">
        <f>IFERROR(__xludf.DUMMYFUNCTION("""COMPUTED_VALUE"""),0.0)</f>
        <v>0</v>
      </c>
      <c r="AB438" s="11">
        <f>IFERROR(__xludf.DUMMYFUNCTION("""COMPUTED_VALUE"""),13.0)</f>
        <v>13</v>
      </c>
      <c r="AC438" s="11">
        <f>IFERROR(__xludf.DUMMYFUNCTION("""COMPUTED_VALUE"""),29.0)</f>
        <v>29</v>
      </c>
      <c r="AD438" s="11">
        <f>IFERROR(__xludf.DUMMYFUNCTION("""COMPUTED_VALUE"""),67.0)</f>
        <v>67</v>
      </c>
    </row>
    <row r="439">
      <c r="A439" s="10" t="str">
        <f>IFERROR(__xludf.DUMMYFUNCTION("""COMPUTED_VALUE"""),"Premier")</f>
        <v>Premier</v>
      </c>
      <c r="B439" s="10" t="str">
        <f>IFERROR(__xludf.DUMMYFUNCTION("""COMPUTED_VALUE"""),"RSC008424")</f>
        <v>RSC008424</v>
      </c>
      <c r="C439" s="10" t="str">
        <f>IFERROR(__xludf.DUMMYFUNCTION("""COMPUTED_VALUE"""),"Kev.")</f>
        <v>Kev.</v>
      </c>
      <c r="D439" s="36" t="str">
        <f>IFERROR(__xludf.DUMMYFUNCTION("""COMPUTED_VALUE"""),"Leviathans
Feta Forgers")</f>
        <v>Leviathans
Feta Forgers</v>
      </c>
      <c r="E439" s="10" t="str">
        <f>IFERROR(__xludf.DUMMYFUNCTION("""COMPUTED_VALUE"""),"N/A
N/A")</f>
        <v>N/A
N/A</v>
      </c>
      <c r="F439" s="37">
        <f>IFERROR(__xludf.DUMMYFUNCTION("""COMPUTED_VALUE"""),55.12206010179486)</f>
        <v>55.1220601</v>
      </c>
      <c r="G439" s="38">
        <f>IFERROR(__xludf.DUMMYFUNCTION("""COMPUTED_VALUE"""),32.22798123407678)</f>
        <v>32.22798123</v>
      </c>
      <c r="H439" s="38">
        <f>IFERROR(__xludf.DUMMYFUNCTION("""COMPUTED_VALUE"""),43.67502066793582)</f>
        <v>43.67502067</v>
      </c>
      <c r="I439" s="14">
        <f>IFERROR(__xludf.DUMMYFUNCTION("""COMPUTED_VALUE"""),5.0)</f>
        <v>5</v>
      </c>
      <c r="J439" s="11">
        <f>IFERROR(__xludf.DUMMYFUNCTION("IFERROR(FILTER(Stats!$F:$Z,(Stats!$A:$A=$A439)*(Stats!$B:$B=$B439)))"),3.0)</f>
        <v>3</v>
      </c>
      <c r="K439" s="11">
        <f>IFERROR(__xludf.DUMMYFUNCTION("""COMPUTED_VALUE"""),2.0)</f>
        <v>2</v>
      </c>
      <c r="L439" s="12">
        <f>IFERROR(__xludf.DUMMYFUNCTION("""COMPUTED_VALUE"""),0.6)</f>
        <v>0.6</v>
      </c>
      <c r="M439" s="11">
        <f>IFERROR(__xludf.DUMMYFUNCTION("""COMPUTED_VALUE"""),2.0)</f>
        <v>2</v>
      </c>
      <c r="N439" s="11">
        <f>IFERROR(__xludf.DUMMYFUNCTION("""COMPUTED_VALUE"""),1800.0)</f>
        <v>1800</v>
      </c>
      <c r="O439" s="13">
        <f>IFERROR(__xludf.DUMMYFUNCTION("""COMPUTED_VALUE"""),4.0)</f>
        <v>4</v>
      </c>
      <c r="P439" s="14">
        <f>IFERROR(__xludf.DUMMYFUNCTION("""COMPUTED_VALUE"""),2.0)</f>
        <v>2</v>
      </c>
      <c r="Q439" s="13">
        <f>IFERROR(__xludf.DUMMYFUNCTION("""COMPUTED_VALUE"""),7.0)</f>
        <v>7</v>
      </c>
      <c r="R439" s="13">
        <f>IFERROR(__xludf.DUMMYFUNCTION("""COMPUTED_VALUE"""),8.0)</f>
        <v>8</v>
      </c>
      <c r="S439" s="15">
        <f>IFERROR(__xludf.DUMMYFUNCTION("""COMPUTED_VALUE"""),0.5)</f>
        <v>0.5</v>
      </c>
      <c r="T439" s="16">
        <f>IFERROR(__xludf.DUMMYFUNCTION("""COMPUTED_VALUE"""),360.0)</f>
        <v>360</v>
      </c>
      <c r="U439" s="16">
        <f>IFERROR(__xludf.DUMMYFUNCTION("""COMPUTED_VALUE"""),0.8)</f>
        <v>0.8</v>
      </c>
      <c r="V439" s="16">
        <f>IFERROR(__xludf.DUMMYFUNCTION("""COMPUTED_VALUE"""),0.4)</f>
        <v>0.4</v>
      </c>
      <c r="W439" s="16">
        <f>IFERROR(__xludf.DUMMYFUNCTION("""COMPUTED_VALUE"""),1.4)</f>
        <v>1.4</v>
      </c>
      <c r="X439" s="16">
        <f>IFERROR(__xludf.DUMMYFUNCTION("""COMPUTED_VALUE"""),1.6)</f>
        <v>1.6</v>
      </c>
      <c r="Y439" s="11">
        <f>IFERROR(__xludf.DUMMYFUNCTION("""COMPUTED_VALUE"""),1.0)</f>
        <v>1</v>
      </c>
      <c r="Z439" s="11">
        <f>IFERROR(__xludf.DUMMYFUNCTION("""COMPUTED_VALUE"""),0.0)</f>
        <v>0</v>
      </c>
      <c r="AA439" s="11">
        <f>IFERROR(__xludf.DUMMYFUNCTION("""COMPUTED_VALUE"""),0.0)</f>
        <v>0</v>
      </c>
      <c r="AB439" s="11">
        <f>IFERROR(__xludf.DUMMYFUNCTION("""COMPUTED_VALUE"""),2.0)</f>
        <v>2</v>
      </c>
      <c r="AC439" s="11">
        <f>IFERROR(__xludf.DUMMYFUNCTION("""COMPUTED_VALUE"""),3.0)</f>
        <v>3</v>
      </c>
      <c r="AD439" s="11">
        <f>IFERROR(__xludf.DUMMYFUNCTION("""COMPUTED_VALUE"""),2.0)</f>
        <v>2</v>
      </c>
    </row>
    <row r="440">
      <c r="A440" s="10" t="str">
        <f>IFERROR(__xludf.DUMMYFUNCTION("""COMPUTED_VALUE"""),"Premier")</f>
        <v>Premier</v>
      </c>
      <c r="B440" s="10" t="str">
        <f>IFERROR(__xludf.DUMMYFUNCTION("""COMPUTED_VALUE"""),"RSC001114")</f>
        <v>RSC001114</v>
      </c>
      <c r="C440" s="10" t="str">
        <f>IFERROR(__xludf.DUMMYFUNCTION("""COMPUTED_VALUE"""),"ASHES.")</f>
        <v>ASHES.</v>
      </c>
      <c r="D440" s="36" t="str">
        <f>IFERROR(__xludf.DUMMYFUNCTION("""COMPUTED_VALUE"""),"Interstellar")</f>
        <v>Interstellar</v>
      </c>
      <c r="E440" s="10" t="str">
        <f>IFERROR(__xludf.DUMMYFUNCTION("""COMPUTED_VALUE"""),"N/A")</f>
        <v>N/A</v>
      </c>
      <c r="F440" s="37">
        <f>IFERROR(__xludf.DUMMYFUNCTION("""COMPUTED_VALUE"""),40.58473149216566)</f>
        <v>40.58473149</v>
      </c>
      <c r="G440" s="38">
        <f>IFERROR(__xludf.DUMMYFUNCTION("""COMPUTED_VALUE"""),43.695395787235114)</f>
        <v>43.69539579</v>
      </c>
      <c r="H440" s="38">
        <f>IFERROR(__xludf.DUMMYFUNCTION("""COMPUTED_VALUE"""),42.14006363970039)</f>
        <v>42.14006364</v>
      </c>
      <c r="I440" s="14">
        <f>IFERROR(__xludf.DUMMYFUNCTION("""COMPUTED_VALUE"""),48.0)</f>
        <v>48</v>
      </c>
      <c r="J440" s="11">
        <f>IFERROR(__xludf.DUMMYFUNCTION("IFERROR(FILTER(Stats!$F:$Z,(Stats!$A:$A=$A440)*(Stats!$B:$B=$B440)))"),20.0)</f>
        <v>20</v>
      </c>
      <c r="K440" s="11">
        <f>IFERROR(__xludf.DUMMYFUNCTION("""COMPUTED_VALUE"""),28.0)</f>
        <v>28</v>
      </c>
      <c r="L440" s="12">
        <f>IFERROR(__xludf.DUMMYFUNCTION("""COMPUTED_VALUE"""),0.4166666666666667)</f>
        <v>0.4166666667</v>
      </c>
      <c r="M440" s="11">
        <f>IFERROR(__xludf.DUMMYFUNCTION("""COMPUTED_VALUE"""),6.0)</f>
        <v>6</v>
      </c>
      <c r="N440" s="11">
        <f>IFERROR(__xludf.DUMMYFUNCTION("""COMPUTED_VALUE"""),16010.0)</f>
        <v>16010</v>
      </c>
      <c r="O440" s="13">
        <f>IFERROR(__xludf.DUMMYFUNCTION("""COMPUTED_VALUE"""),35.0)</f>
        <v>35</v>
      </c>
      <c r="P440" s="14">
        <f>IFERROR(__xludf.DUMMYFUNCTION("""COMPUTED_VALUE"""),34.0)</f>
        <v>34</v>
      </c>
      <c r="Q440" s="13">
        <f>IFERROR(__xludf.DUMMYFUNCTION("""COMPUTED_VALUE"""),47.0)</f>
        <v>47</v>
      </c>
      <c r="R440" s="13">
        <f>IFERROR(__xludf.DUMMYFUNCTION("""COMPUTED_VALUE"""),142.0)</f>
        <v>142</v>
      </c>
      <c r="S440" s="15">
        <f>IFERROR(__xludf.DUMMYFUNCTION("""COMPUTED_VALUE"""),0.24647887323943662)</f>
        <v>0.2464788732</v>
      </c>
      <c r="T440" s="16">
        <f>IFERROR(__xludf.DUMMYFUNCTION("""COMPUTED_VALUE"""),333.5416666666667)</f>
        <v>333.5416667</v>
      </c>
      <c r="U440" s="16">
        <f>IFERROR(__xludf.DUMMYFUNCTION("""COMPUTED_VALUE"""),0.7291666666666666)</f>
        <v>0.7291666667</v>
      </c>
      <c r="V440" s="16">
        <f>IFERROR(__xludf.DUMMYFUNCTION("""COMPUTED_VALUE"""),0.7083333333333334)</f>
        <v>0.7083333333</v>
      </c>
      <c r="W440" s="16">
        <f>IFERROR(__xludf.DUMMYFUNCTION("""COMPUTED_VALUE"""),0.9791666666666666)</f>
        <v>0.9791666667</v>
      </c>
      <c r="X440" s="16">
        <f>IFERROR(__xludf.DUMMYFUNCTION("""COMPUTED_VALUE"""),2.9583333333333335)</f>
        <v>2.958333333</v>
      </c>
      <c r="Y440" s="11">
        <f>IFERROR(__xludf.DUMMYFUNCTION("""COMPUTED_VALUE"""),7.0)</f>
        <v>7</v>
      </c>
      <c r="Z440" s="11">
        <f>IFERROR(__xludf.DUMMYFUNCTION("""COMPUTED_VALUE"""),4.0)</f>
        <v>4</v>
      </c>
      <c r="AA440" s="11">
        <f>IFERROR(__xludf.DUMMYFUNCTION("""COMPUTED_VALUE"""),1.0)</f>
        <v>1</v>
      </c>
      <c r="AB440" s="11">
        <f>IFERROR(__xludf.DUMMYFUNCTION("""COMPUTED_VALUE"""),4.0)</f>
        <v>4</v>
      </c>
      <c r="AC440" s="11">
        <f>IFERROR(__xludf.DUMMYFUNCTION("""COMPUTED_VALUE"""),74.0)</f>
        <v>74</v>
      </c>
      <c r="AD440" s="11">
        <f>IFERROR(__xludf.DUMMYFUNCTION("""COMPUTED_VALUE"""),39.0)</f>
        <v>39</v>
      </c>
    </row>
    <row r="441">
      <c r="A441" s="10" t="str">
        <f>IFERROR(__xludf.DUMMYFUNCTION("""COMPUTED_VALUE"""),"Premier")</f>
        <v>Premier</v>
      </c>
      <c r="B441" s="10" t="str">
        <f>IFERROR(__xludf.DUMMYFUNCTION("""COMPUTED_VALUE"""),"RSC000618")</f>
        <v>RSC000618</v>
      </c>
      <c r="C441" s="10" t="str">
        <f>IFERROR(__xludf.DUMMYFUNCTION("""COMPUTED_VALUE"""),"Taelo")</f>
        <v>Taelo</v>
      </c>
      <c r="D441" s="36" t="str">
        <f>IFERROR(__xludf.DUMMYFUNCTION("""COMPUTED_VALUE"""),"Interstellar
Super Clusters")</f>
        <v>Interstellar
Super Clusters</v>
      </c>
      <c r="E441" s="10" t="str">
        <f>IFERROR(__xludf.DUMMYFUNCTION("""COMPUTED_VALUE"""),"N/A
N/A")</f>
        <v>N/A
N/A</v>
      </c>
      <c r="F441" s="37">
        <f>IFERROR(__xludf.DUMMYFUNCTION("""COMPUTED_VALUE"""),41.35953705625866)</f>
        <v>41.35953706</v>
      </c>
      <c r="G441" s="38">
        <f>IFERROR(__xludf.DUMMYFUNCTION("""COMPUTED_VALUE"""),42.61881876358929)</f>
        <v>42.61881876</v>
      </c>
      <c r="H441" s="38">
        <f>IFERROR(__xludf.DUMMYFUNCTION("""COMPUTED_VALUE"""),41.989177909923974)</f>
        <v>41.98917791</v>
      </c>
      <c r="I441" s="14">
        <f>IFERROR(__xludf.DUMMYFUNCTION("""COMPUTED_VALUE"""),56.0)</f>
        <v>56</v>
      </c>
      <c r="J441" s="11">
        <f>IFERROR(__xludf.DUMMYFUNCTION("IFERROR(FILTER(Stats!$F:$Z,(Stats!$A:$A=$A441)*(Stats!$B:$B=$B441)))"),18.0)</f>
        <v>18</v>
      </c>
      <c r="K441" s="11">
        <f>IFERROR(__xludf.DUMMYFUNCTION("""COMPUTED_VALUE"""),38.0)</f>
        <v>38</v>
      </c>
      <c r="L441" s="12">
        <f>IFERROR(__xludf.DUMMYFUNCTION("""COMPUTED_VALUE"""),0.32142857142857145)</f>
        <v>0.3214285714</v>
      </c>
      <c r="M441" s="11">
        <f>IFERROR(__xludf.DUMMYFUNCTION("""COMPUTED_VALUE"""),5.0)</f>
        <v>5</v>
      </c>
      <c r="N441" s="11">
        <f>IFERROR(__xludf.DUMMYFUNCTION("""COMPUTED_VALUE"""),19206.0)</f>
        <v>19206</v>
      </c>
      <c r="O441" s="13">
        <f>IFERROR(__xludf.DUMMYFUNCTION("""COMPUTED_VALUE"""),45.0)</f>
        <v>45</v>
      </c>
      <c r="P441" s="14">
        <f>IFERROR(__xludf.DUMMYFUNCTION("""COMPUTED_VALUE"""),32.0)</f>
        <v>32</v>
      </c>
      <c r="Q441" s="13">
        <f>IFERROR(__xludf.DUMMYFUNCTION("""COMPUTED_VALUE"""),66.0)</f>
        <v>66</v>
      </c>
      <c r="R441" s="13">
        <f>IFERROR(__xludf.DUMMYFUNCTION("""COMPUTED_VALUE"""),171.0)</f>
        <v>171</v>
      </c>
      <c r="S441" s="15">
        <f>IFERROR(__xludf.DUMMYFUNCTION("""COMPUTED_VALUE"""),0.2631578947368421)</f>
        <v>0.2631578947</v>
      </c>
      <c r="T441" s="16">
        <f>IFERROR(__xludf.DUMMYFUNCTION("""COMPUTED_VALUE"""),342.9642857142857)</f>
        <v>342.9642857</v>
      </c>
      <c r="U441" s="16">
        <f>IFERROR(__xludf.DUMMYFUNCTION("""COMPUTED_VALUE"""),0.8035714285714286)</f>
        <v>0.8035714286</v>
      </c>
      <c r="V441" s="16">
        <f>IFERROR(__xludf.DUMMYFUNCTION("""COMPUTED_VALUE"""),0.5714285714285714)</f>
        <v>0.5714285714</v>
      </c>
      <c r="W441" s="16">
        <f>IFERROR(__xludf.DUMMYFUNCTION("""COMPUTED_VALUE"""),1.1785714285714286)</f>
        <v>1.178571429</v>
      </c>
      <c r="X441" s="16">
        <f>IFERROR(__xludf.DUMMYFUNCTION("""COMPUTED_VALUE"""),3.0535714285714284)</f>
        <v>3.053571429</v>
      </c>
      <c r="Y441" s="11">
        <f>IFERROR(__xludf.DUMMYFUNCTION("""COMPUTED_VALUE"""),12.0)</f>
        <v>12</v>
      </c>
      <c r="Z441" s="11">
        <f>IFERROR(__xludf.DUMMYFUNCTION("""COMPUTED_VALUE"""),3.0)</f>
        <v>3</v>
      </c>
      <c r="AA441" s="11">
        <f>IFERROR(__xludf.DUMMYFUNCTION("""COMPUTED_VALUE"""),1.0)</f>
        <v>1</v>
      </c>
      <c r="AB441" s="11">
        <f>IFERROR(__xludf.DUMMYFUNCTION("""COMPUTED_VALUE"""),2.0)</f>
        <v>2</v>
      </c>
      <c r="AC441" s="11">
        <f>IFERROR(__xludf.DUMMYFUNCTION("""COMPUTED_VALUE"""),55.0)</f>
        <v>55</v>
      </c>
      <c r="AD441" s="11">
        <f>IFERROR(__xludf.DUMMYFUNCTION("""COMPUTED_VALUE"""),63.0)</f>
        <v>63</v>
      </c>
    </row>
    <row r="442">
      <c r="A442" s="10" t="str">
        <f>IFERROR(__xludf.DUMMYFUNCTION("""COMPUTED_VALUE"""),"Premier")</f>
        <v>Premier</v>
      </c>
      <c r="B442" s="10" t="str">
        <f>IFERROR(__xludf.DUMMYFUNCTION("""COMPUTED_VALUE"""),"RSC006952")</f>
        <v>RSC006952</v>
      </c>
      <c r="C442" s="10" t="str">
        <f>IFERROR(__xludf.DUMMYFUNCTION("""COMPUTED_VALUE"""),"end of navegelion")</f>
        <v>end of navegelion</v>
      </c>
      <c r="D442" s="36" t="str">
        <f>IFERROR(__xludf.DUMMYFUNCTION("""COMPUTED_VALUE"""),"Punks")</f>
        <v>Punks</v>
      </c>
      <c r="E442" s="10" t="str">
        <f>IFERROR(__xludf.DUMMYFUNCTION("""COMPUTED_VALUE"""),"N/A")</f>
        <v>N/A</v>
      </c>
      <c r="F442" s="37">
        <f>IFERROR(__xludf.DUMMYFUNCTION("""COMPUTED_VALUE"""),42.04129289566968)</f>
        <v>42.0412929</v>
      </c>
      <c r="G442" s="38">
        <f>IFERROR(__xludf.DUMMYFUNCTION("""COMPUTED_VALUE"""),39.885763383664916)</f>
        <v>39.88576338</v>
      </c>
      <c r="H442" s="38">
        <f>IFERROR(__xludf.DUMMYFUNCTION("""COMPUTED_VALUE"""),40.9635281396673)</f>
        <v>40.96352814</v>
      </c>
      <c r="I442" s="14">
        <f>IFERROR(__xludf.DUMMYFUNCTION("""COMPUTED_VALUE"""),40.0)</f>
        <v>40</v>
      </c>
      <c r="J442" s="11">
        <f>IFERROR(__xludf.DUMMYFUNCTION("IFERROR(FILTER(Stats!$F:$Z,(Stats!$A:$A=$A442)*(Stats!$B:$B=$B442)))"),16.0)</f>
        <v>16</v>
      </c>
      <c r="K442" s="11">
        <f>IFERROR(__xludf.DUMMYFUNCTION("""COMPUTED_VALUE"""),24.0)</f>
        <v>24</v>
      </c>
      <c r="L442" s="12">
        <f>IFERROR(__xludf.DUMMYFUNCTION("""COMPUTED_VALUE"""),0.4)</f>
        <v>0.4</v>
      </c>
      <c r="M442" s="11">
        <f>IFERROR(__xludf.DUMMYFUNCTION("""COMPUTED_VALUE"""),5.0)</f>
        <v>5</v>
      </c>
      <c r="N442" s="11">
        <f>IFERROR(__xludf.DUMMYFUNCTION("""COMPUTED_VALUE"""),14601.0)</f>
        <v>14601</v>
      </c>
      <c r="O442" s="13">
        <f>IFERROR(__xludf.DUMMYFUNCTION("""COMPUTED_VALUE"""),27.0)</f>
        <v>27</v>
      </c>
      <c r="P442" s="14">
        <f>IFERROR(__xludf.DUMMYFUNCTION("""COMPUTED_VALUE"""),27.0)</f>
        <v>27</v>
      </c>
      <c r="Q442" s="13">
        <f>IFERROR(__xludf.DUMMYFUNCTION("""COMPUTED_VALUE"""),67.0)</f>
        <v>67</v>
      </c>
      <c r="R442" s="13">
        <f>IFERROR(__xludf.DUMMYFUNCTION("""COMPUTED_VALUE"""),96.0)</f>
        <v>96</v>
      </c>
      <c r="S442" s="15">
        <f>IFERROR(__xludf.DUMMYFUNCTION("""COMPUTED_VALUE"""),0.28125)</f>
        <v>0.28125</v>
      </c>
      <c r="T442" s="16">
        <f>IFERROR(__xludf.DUMMYFUNCTION("""COMPUTED_VALUE"""),365.025)</f>
        <v>365.025</v>
      </c>
      <c r="U442" s="16">
        <f>IFERROR(__xludf.DUMMYFUNCTION("""COMPUTED_VALUE"""),0.675)</f>
        <v>0.675</v>
      </c>
      <c r="V442" s="16">
        <f>IFERROR(__xludf.DUMMYFUNCTION("""COMPUTED_VALUE"""),0.675)</f>
        <v>0.675</v>
      </c>
      <c r="W442" s="16">
        <f>IFERROR(__xludf.DUMMYFUNCTION("""COMPUTED_VALUE"""),1.675)</f>
        <v>1.675</v>
      </c>
      <c r="X442" s="16">
        <f>IFERROR(__xludf.DUMMYFUNCTION("""COMPUTED_VALUE"""),2.4)</f>
        <v>2.4</v>
      </c>
      <c r="Y442" s="11">
        <f>IFERROR(__xludf.DUMMYFUNCTION("""COMPUTED_VALUE"""),12.0)</f>
        <v>12</v>
      </c>
      <c r="Z442" s="11">
        <f>IFERROR(__xludf.DUMMYFUNCTION("""COMPUTED_VALUE"""),0.0)</f>
        <v>0</v>
      </c>
      <c r="AA442" s="11">
        <f>IFERROR(__xludf.DUMMYFUNCTION("""COMPUTED_VALUE"""),0.0)</f>
        <v>0</v>
      </c>
      <c r="AB442" s="11">
        <f>IFERROR(__xludf.DUMMYFUNCTION("""COMPUTED_VALUE"""),9.0)</f>
        <v>9</v>
      </c>
      <c r="AC442" s="11">
        <f>IFERROR(__xludf.DUMMYFUNCTION("""COMPUTED_VALUE"""),25.0)</f>
        <v>25</v>
      </c>
      <c r="AD442" s="11">
        <f>IFERROR(__xludf.DUMMYFUNCTION("""COMPUTED_VALUE"""),43.0)</f>
        <v>43</v>
      </c>
    </row>
    <row r="443">
      <c r="A443" s="10" t="str">
        <f>IFERROR(__xludf.DUMMYFUNCTION("""COMPUTED_VALUE"""),"Premier")</f>
        <v>Premier</v>
      </c>
      <c r="B443" s="10" t="str">
        <f>IFERROR(__xludf.DUMMYFUNCTION("""COMPUTED_VALUE"""),"RSC002050")</f>
        <v>RSC002050</v>
      </c>
      <c r="C443" s="10" t="str">
        <f>IFERROR(__xludf.DUMMYFUNCTION("""COMPUTED_VALUE"""),"Goobz")</f>
        <v>Goobz</v>
      </c>
      <c r="D443" s="36" t="str">
        <f>IFERROR(__xludf.DUMMYFUNCTION("""COMPUTED_VALUE"""),"Punks
Capybaras")</f>
        <v>Punks
Capybaras</v>
      </c>
      <c r="E443" s="10" t="str">
        <f>IFERROR(__xludf.DUMMYFUNCTION("""COMPUTED_VALUE"""),"N/A
N/A")</f>
        <v>N/A
N/A</v>
      </c>
      <c r="F443" s="37">
        <f>IFERROR(__xludf.DUMMYFUNCTION("""COMPUTED_VALUE"""),43.571345505323436)</f>
        <v>43.57134551</v>
      </c>
      <c r="G443" s="38">
        <f>IFERROR(__xludf.DUMMYFUNCTION("""COMPUTED_VALUE"""),37.52572764523618)</f>
        <v>37.52572765</v>
      </c>
      <c r="H443" s="38">
        <f>IFERROR(__xludf.DUMMYFUNCTION("""COMPUTED_VALUE"""),40.54853657527981)</f>
        <v>40.54853658</v>
      </c>
      <c r="I443" s="14">
        <f>IFERROR(__xludf.DUMMYFUNCTION("""COMPUTED_VALUE"""),30.0)</f>
        <v>30</v>
      </c>
      <c r="J443" s="11">
        <f>IFERROR(__xludf.DUMMYFUNCTION("IFERROR(FILTER(Stats!$F:$Z,(Stats!$A:$A=$A443)*(Stats!$B:$B=$B443)))"),12.0)</f>
        <v>12</v>
      </c>
      <c r="K443" s="11">
        <f>IFERROR(__xludf.DUMMYFUNCTION("""COMPUTED_VALUE"""),18.0)</f>
        <v>18</v>
      </c>
      <c r="L443" s="12">
        <f>IFERROR(__xludf.DUMMYFUNCTION("""COMPUTED_VALUE"""),0.4)</f>
        <v>0.4</v>
      </c>
      <c r="M443" s="11">
        <f>IFERROR(__xludf.DUMMYFUNCTION("""COMPUTED_VALUE"""),6.0)</f>
        <v>6</v>
      </c>
      <c r="N443" s="11">
        <f>IFERROR(__xludf.DUMMYFUNCTION("""COMPUTED_VALUE"""),11158.0)</f>
        <v>11158</v>
      </c>
      <c r="O443" s="13">
        <f>IFERROR(__xludf.DUMMYFUNCTION("""COMPUTED_VALUE"""),23.0)</f>
        <v>23</v>
      </c>
      <c r="P443" s="14">
        <f>IFERROR(__xludf.DUMMYFUNCTION("""COMPUTED_VALUE"""),13.0)</f>
        <v>13</v>
      </c>
      <c r="Q443" s="13">
        <f>IFERROR(__xludf.DUMMYFUNCTION("""COMPUTED_VALUE"""),56.0)</f>
        <v>56</v>
      </c>
      <c r="R443" s="13">
        <f>IFERROR(__xludf.DUMMYFUNCTION("""COMPUTED_VALUE"""),74.0)</f>
        <v>74</v>
      </c>
      <c r="S443" s="15">
        <f>IFERROR(__xludf.DUMMYFUNCTION("""COMPUTED_VALUE"""),0.3108108108108108)</f>
        <v>0.3108108108</v>
      </c>
      <c r="T443" s="16">
        <f>IFERROR(__xludf.DUMMYFUNCTION("""COMPUTED_VALUE"""),371.93333333333334)</f>
        <v>371.9333333</v>
      </c>
      <c r="U443" s="16">
        <f>IFERROR(__xludf.DUMMYFUNCTION("""COMPUTED_VALUE"""),0.7666666666666667)</f>
        <v>0.7666666667</v>
      </c>
      <c r="V443" s="16">
        <f>IFERROR(__xludf.DUMMYFUNCTION("""COMPUTED_VALUE"""),0.43333333333333335)</f>
        <v>0.4333333333</v>
      </c>
      <c r="W443" s="16">
        <f>IFERROR(__xludf.DUMMYFUNCTION("""COMPUTED_VALUE"""),1.8666666666666667)</f>
        <v>1.866666667</v>
      </c>
      <c r="X443" s="16">
        <f>IFERROR(__xludf.DUMMYFUNCTION("""COMPUTED_VALUE"""),2.466666666666667)</f>
        <v>2.466666667</v>
      </c>
      <c r="Y443" s="11">
        <f>IFERROR(__xludf.DUMMYFUNCTION("""COMPUTED_VALUE"""),7.0)</f>
        <v>7</v>
      </c>
      <c r="Z443" s="11">
        <f>IFERROR(__xludf.DUMMYFUNCTION("""COMPUTED_VALUE"""),1.0)</f>
        <v>1</v>
      </c>
      <c r="AA443" s="11">
        <f>IFERROR(__xludf.DUMMYFUNCTION("""COMPUTED_VALUE"""),0.0)</f>
        <v>0</v>
      </c>
      <c r="AB443" s="11">
        <f>IFERROR(__xludf.DUMMYFUNCTION("""COMPUTED_VALUE"""),7.0)</f>
        <v>7</v>
      </c>
      <c r="AC443" s="11">
        <f>IFERROR(__xludf.DUMMYFUNCTION("""COMPUTED_VALUE"""),22.0)</f>
        <v>22</v>
      </c>
      <c r="AD443" s="11">
        <f>IFERROR(__xludf.DUMMYFUNCTION("""COMPUTED_VALUE"""),19.0)</f>
        <v>19</v>
      </c>
    </row>
    <row r="444">
      <c r="A444" s="10" t="str">
        <f>IFERROR(__xludf.DUMMYFUNCTION("""COMPUTED_VALUE"""),"Premier")</f>
        <v>Premier</v>
      </c>
      <c r="B444" s="10" t="str">
        <f>IFERROR(__xludf.DUMMYFUNCTION("""COMPUTED_VALUE"""),"RSC006677")</f>
        <v>RSC006677</v>
      </c>
      <c r="C444" s="10" t="str">
        <f>IFERROR(__xludf.DUMMYFUNCTION("""COMPUTED_VALUE"""),"Luigi")</f>
        <v>Luigi</v>
      </c>
      <c r="D444" s="36" t="str">
        <f>IFERROR(__xludf.DUMMYFUNCTION("""COMPUTED_VALUE"""),"Interstellar")</f>
        <v>Interstellar</v>
      </c>
      <c r="E444" s="10" t="str">
        <f>IFERROR(__xludf.DUMMYFUNCTION("""COMPUTED_VALUE"""),"N/A")</f>
        <v>N/A</v>
      </c>
      <c r="F444" s="37">
        <f>IFERROR(__xludf.DUMMYFUNCTION("""COMPUTED_VALUE"""),44.755908421071425)</f>
        <v>44.75590842</v>
      </c>
      <c r="G444" s="38">
        <f>IFERROR(__xludf.DUMMYFUNCTION("""COMPUTED_VALUE"""),36.232244345705766)</f>
        <v>36.23224435</v>
      </c>
      <c r="H444" s="38">
        <f>IFERROR(__xludf.DUMMYFUNCTION("""COMPUTED_VALUE"""),40.494076383388595)</f>
        <v>40.49407638</v>
      </c>
      <c r="I444" s="14">
        <f>IFERROR(__xludf.DUMMYFUNCTION("""COMPUTED_VALUE"""),48.0)</f>
        <v>48</v>
      </c>
      <c r="J444" s="11">
        <f>IFERROR(__xludf.DUMMYFUNCTION("IFERROR(FILTER(Stats!$F:$Z,(Stats!$A:$A=$A444)*(Stats!$B:$B=$B444)))"),15.0)</f>
        <v>15</v>
      </c>
      <c r="K444" s="11">
        <f>IFERROR(__xludf.DUMMYFUNCTION("""COMPUTED_VALUE"""),33.0)</f>
        <v>33</v>
      </c>
      <c r="L444" s="12">
        <f>IFERROR(__xludf.DUMMYFUNCTION("""COMPUTED_VALUE"""),0.3125)</f>
        <v>0.3125</v>
      </c>
      <c r="M444" s="11">
        <f>IFERROR(__xludf.DUMMYFUNCTION("""COMPUTED_VALUE"""),6.0)</f>
        <v>6</v>
      </c>
      <c r="N444" s="11">
        <f>IFERROR(__xludf.DUMMYFUNCTION("""COMPUTED_VALUE"""),17466.0)</f>
        <v>17466</v>
      </c>
      <c r="O444" s="13">
        <f>IFERROR(__xludf.DUMMYFUNCTION("""COMPUTED_VALUE"""),36.0)</f>
        <v>36</v>
      </c>
      <c r="P444" s="14">
        <f>IFERROR(__xludf.DUMMYFUNCTION("""COMPUTED_VALUE"""),22.0)</f>
        <v>22</v>
      </c>
      <c r="Q444" s="13">
        <f>IFERROR(__xludf.DUMMYFUNCTION("""COMPUTED_VALUE"""),71.0)</f>
        <v>71</v>
      </c>
      <c r="R444" s="13">
        <f>IFERROR(__xludf.DUMMYFUNCTION("""COMPUTED_VALUE"""),137.0)</f>
        <v>137</v>
      </c>
      <c r="S444" s="15">
        <f>IFERROR(__xludf.DUMMYFUNCTION("""COMPUTED_VALUE"""),0.26277372262773724)</f>
        <v>0.2627737226</v>
      </c>
      <c r="T444" s="16">
        <f>IFERROR(__xludf.DUMMYFUNCTION("""COMPUTED_VALUE"""),363.875)</f>
        <v>363.875</v>
      </c>
      <c r="U444" s="16">
        <f>IFERROR(__xludf.DUMMYFUNCTION("""COMPUTED_VALUE"""),0.75)</f>
        <v>0.75</v>
      </c>
      <c r="V444" s="16">
        <f>IFERROR(__xludf.DUMMYFUNCTION("""COMPUTED_VALUE"""),0.4583333333333333)</f>
        <v>0.4583333333</v>
      </c>
      <c r="W444" s="16">
        <f>IFERROR(__xludf.DUMMYFUNCTION("""COMPUTED_VALUE"""),1.4791666666666667)</f>
        <v>1.479166667</v>
      </c>
      <c r="X444" s="16">
        <f>IFERROR(__xludf.DUMMYFUNCTION("""COMPUTED_VALUE"""),2.8541666666666665)</f>
        <v>2.854166667</v>
      </c>
      <c r="Y444" s="11">
        <f>IFERROR(__xludf.DUMMYFUNCTION("""COMPUTED_VALUE"""),8.0)</f>
        <v>8</v>
      </c>
      <c r="Z444" s="11">
        <f>IFERROR(__xludf.DUMMYFUNCTION("""COMPUTED_VALUE"""),0.0)</f>
        <v>0</v>
      </c>
      <c r="AA444" s="11">
        <f>IFERROR(__xludf.DUMMYFUNCTION("""COMPUTED_VALUE"""),0.0)</f>
        <v>0</v>
      </c>
      <c r="AB444" s="11">
        <f>IFERROR(__xludf.DUMMYFUNCTION("""COMPUTED_VALUE"""),11.0)</f>
        <v>11</v>
      </c>
      <c r="AC444" s="11">
        <f>IFERROR(__xludf.DUMMYFUNCTION("""COMPUTED_VALUE"""),68.0)</f>
        <v>68</v>
      </c>
      <c r="AD444" s="11">
        <f>IFERROR(__xludf.DUMMYFUNCTION("""COMPUTED_VALUE"""),55.0)</f>
        <v>55</v>
      </c>
    </row>
    <row r="445">
      <c r="A445" s="10" t="str">
        <f>IFERROR(__xludf.DUMMYFUNCTION("""COMPUTED_VALUE"""),"Premier")</f>
        <v>Premier</v>
      </c>
      <c r="B445" s="10" t="str">
        <f>IFERROR(__xludf.DUMMYFUNCTION("""COMPUTED_VALUE"""),"RSC008413")</f>
        <v>RSC008413</v>
      </c>
      <c r="C445" s="10" t="str">
        <f>IFERROR(__xludf.DUMMYFUNCTION("""COMPUTED_VALUE"""),"Duck")</f>
        <v>Duck</v>
      </c>
      <c r="D445" s="36" t="str">
        <f>IFERROR(__xludf.DUMMYFUNCTION("""COMPUTED_VALUE"""),"Leviathans")</f>
        <v>Leviathans</v>
      </c>
      <c r="E445" s="10" t="str">
        <f>IFERROR(__xludf.DUMMYFUNCTION("""COMPUTED_VALUE"""),"N/A")</f>
        <v>N/A</v>
      </c>
      <c r="F445" s="37">
        <f>IFERROR(__xludf.DUMMYFUNCTION("""COMPUTED_VALUE"""),38.231242382207554)</f>
        <v>38.23124238</v>
      </c>
      <c r="G445" s="38">
        <f>IFERROR(__xludf.DUMMYFUNCTION("""COMPUTED_VALUE"""),40.331250319626285)</f>
        <v>40.33125032</v>
      </c>
      <c r="H445" s="38">
        <f>IFERROR(__xludf.DUMMYFUNCTION("""COMPUTED_VALUE"""),39.281246350916916)</f>
        <v>39.28124635</v>
      </c>
      <c r="I445" s="14">
        <f>IFERROR(__xludf.DUMMYFUNCTION("""COMPUTED_VALUE"""),48.0)</f>
        <v>48</v>
      </c>
      <c r="J445" s="11">
        <f>IFERROR(__xludf.DUMMYFUNCTION("IFERROR(FILTER(Stats!$F:$Z,(Stats!$A:$A=$A445)*(Stats!$B:$B=$B445)))"),23.0)</f>
        <v>23</v>
      </c>
      <c r="K445" s="11">
        <f>IFERROR(__xludf.DUMMYFUNCTION("""COMPUTED_VALUE"""),25.0)</f>
        <v>25</v>
      </c>
      <c r="L445" s="12">
        <f>IFERROR(__xludf.DUMMYFUNCTION("""COMPUTED_VALUE"""),0.4791666666666667)</f>
        <v>0.4791666667</v>
      </c>
      <c r="M445" s="11">
        <f>IFERROR(__xludf.DUMMYFUNCTION("""COMPUTED_VALUE"""),11.0)</f>
        <v>11</v>
      </c>
      <c r="N445" s="11">
        <f>IFERROR(__xludf.DUMMYFUNCTION("""COMPUTED_VALUE"""),19647.0)</f>
        <v>19647</v>
      </c>
      <c r="O445" s="13">
        <f>IFERROR(__xludf.DUMMYFUNCTION("""COMPUTED_VALUE"""),41.0)</f>
        <v>41</v>
      </c>
      <c r="P445" s="14">
        <f>IFERROR(__xludf.DUMMYFUNCTION("""COMPUTED_VALUE"""),17.0)</f>
        <v>17</v>
      </c>
      <c r="Q445" s="13">
        <f>IFERROR(__xludf.DUMMYFUNCTION("""COMPUTED_VALUE"""),96.0)</f>
        <v>96</v>
      </c>
      <c r="R445" s="13">
        <f>IFERROR(__xludf.DUMMYFUNCTION("""COMPUTED_VALUE"""),120.0)</f>
        <v>120</v>
      </c>
      <c r="S445" s="15">
        <f>IFERROR(__xludf.DUMMYFUNCTION("""COMPUTED_VALUE"""),0.3416666666666667)</f>
        <v>0.3416666667</v>
      </c>
      <c r="T445" s="16">
        <f>IFERROR(__xludf.DUMMYFUNCTION("""COMPUTED_VALUE"""),409.3125)</f>
        <v>409.3125</v>
      </c>
      <c r="U445" s="16">
        <f>IFERROR(__xludf.DUMMYFUNCTION("""COMPUTED_VALUE"""),0.8541666666666666)</f>
        <v>0.8541666667</v>
      </c>
      <c r="V445" s="16">
        <f>IFERROR(__xludf.DUMMYFUNCTION("""COMPUTED_VALUE"""),0.3541666666666667)</f>
        <v>0.3541666667</v>
      </c>
      <c r="W445" s="16">
        <f>IFERROR(__xludf.DUMMYFUNCTION("""COMPUTED_VALUE"""),2.0)</f>
        <v>2</v>
      </c>
      <c r="X445" s="16">
        <f>IFERROR(__xludf.DUMMYFUNCTION("""COMPUTED_VALUE"""),2.5)</f>
        <v>2.5</v>
      </c>
      <c r="Y445" s="11">
        <f>IFERROR(__xludf.DUMMYFUNCTION("""COMPUTED_VALUE"""),8.0)</f>
        <v>8</v>
      </c>
      <c r="Z445" s="11">
        <f>IFERROR(__xludf.DUMMYFUNCTION("""COMPUTED_VALUE"""),4.0)</f>
        <v>4</v>
      </c>
      <c r="AA445" s="11">
        <f>IFERROR(__xludf.DUMMYFUNCTION("""COMPUTED_VALUE"""),1.0)</f>
        <v>1</v>
      </c>
      <c r="AB445" s="11">
        <f>IFERROR(__xludf.DUMMYFUNCTION("""COMPUTED_VALUE"""),16.0)</f>
        <v>16</v>
      </c>
      <c r="AC445" s="11">
        <f>IFERROR(__xludf.DUMMYFUNCTION("""COMPUTED_VALUE"""),38.0)</f>
        <v>38</v>
      </c>
      <c r="AD445" s="11">
        <f>IFERROR(__xludf.DUMMYFUNCTION("""COMPUTED_VALUE"""),46.0)</f>
        <v>46</v>
      </c>
    </row>
    <row r="446">
      <c r="A446" s="10" t="str">
        <f>IFERROR(__xludf.DUMMYFUNCTION("""COMPUTED_VALUE"""),"Premier")</f>
        <v>Premier</v>
      </c>
      <c r="B446" s="10" t="str">
        <f>IFERROR(__xludf.DUMMYFUNCTION("""COMPUTED_VALUE"""),"RSC005320")</f>
        <v>RSC005320</v>
      </c>
      <c r="C446" s="10" t="str">
        <f>IFERROR(__xludf.DUMMYFUNCTION("""COMPUTED_VALUE"""),"MaggieZerua")</f>
        <v>MaggieZerua</v>
      </c>
      <c r="D446" s="36" t="str">
        <f>IFERROR(__xludf.DUMMYFUNCTION("""COMPUTED_VALUE"""),"Leviathans")</f>
        <v>Leviathans</v>
      </c>
      <c r="E446" s="10" t="str">
        <f>IFERROR(__xludf.DUMMYFUNCTION("""COMPUTED_VALUE"""),"N/A")</f>
        <v>N/A</v>
      </c>
      <c r="F446" s="37">
        <f>IFERROR(__xludf.DUMMYFUNCTION("""COMPUTED_VALUE"""),35.753285196502446)</f>
        <v>35.7532852</v>
      </c>
      <c r="G446" s="38">
        <f>IFERROR(__xludf.DUMMYFUNCTION("""COMPUTED_VALUE"""),40.819310189028755)</f>
        <v>40.81931019</v>
      </c>
      <c r="H446" s="38">
        <f>IFERROR(__xludf.DUMMYFUNCTION("""COMPUTED_VALUE"""),38.2862976927656)</f>
        <v>38.28629769</v>
      </c>
      <c r="I446" s="14">
        <f>IFERROR(__xludf.DUMMYFUNCTION("""COMPUTED_VALUE"""),35.0)</f>
        <v>35</v>
      </c>
      <c r="J446" s="11">
        <f>IFERROR(__xludf.DUMMYFUNCTION("IFERROR(FILTER(Stats!$F:$Z,(Stats!$A:$A=$A446)*(Stats!$B:$B=$B446)))"),16.0)</f>
        <v>16</v>
      </c>
      <c r="K446" s="11">
        <f>IFERROR(__xludf.DUMMYFUNCTION("""COMPUTED_VALUE"""),19.0)</f>
        <v>19</v>
      </c>
      <c r="L446" s="12">
        <f>IFERROR(__xludf.DUMMYFUNCTION("""COMPUTED_VALUE"""),0.45714285714285713)</f>
        <v>0.4571428571</v>
      </c>
      <c r="M446" s="11">
        <f>IFERROR(__xludf.DUMMYFUNCTION("""COMPUTED_VALUE"""),2.0)</f>
        <v>2</v>
      </c>
      <c r="N446" s="11">
        <f>IFERROR(__xludf.DUMMYFUNCTION("""COMPUTED_VALUE"""),13496.0)</f>
        <v>13496</v>
      </c>
      <c r="O446" s="13">
        <f>IFERROR(__xludf.DUMMYFUNCTION("""COMPUTED_VALUE"""),24.0)</f>
        <v>24</v>
      </c>
      <c r="P446" s="14">
        <f>IFERROR(__xludf.DUMMYFUNCTION("""COMPUTED_VALUE"""),22.0)</f>
        <v>22</v>
      </c>
      <c r="Q446" s="13">
        <f>IFERROR(__xludf.DUMMYFUNCTION("""COMPUTED_VALUE"""),67.0)</f>
        <v>67</v>
      </c>
      <c r="R446" s="13">
        <f>IFERROR(__xludf.DUMMYFUNCTION("""COMPUTED_VALUE"""),97.0)</f>
        <v>97</v>
      </c>
      <c r="S446" s="15">
        <f>IFERROR(__xludf.DUMMYFUNCTION("""COMPUTED_VALUE"""),0.24742268041237114)</f>
        <v>0.2474226804</v>
      </c>
      <c r="T446" s="16">
        <f>IFERROR(__xludf.DUMMYFUNCTION("""COMPUTED_VALUE"""),385.6)</f>
        <v>385.6</v>
      </c>
      <c r="U446" s="16">
        <f>IFERROR(__xludf.DUMMYFUNCTION("""COMPUTED_VALUE"""),0.6857142857142857)</f>
        <v>0.6857142857</v>
      </c>
      <c r="V446" s="16">
        <f>IFERROR(__xludf.DUMMYFUNCTION("""COMPUTED_VALUE"""),0.6285714285714286)</f>
        <v>0.6285714286</v>
      </c>
      <c r="W446" s="16">
        <f>IFERROR(__xludf.DUMMYFUNCTION("""COMPUTED_VALUE"""),1.9142857142857144)</f>
        <v>1.914285714</v>
      </c>
      <c r="X446" s="16">
        <f>IFERROR(__xludf.DUMMYFUNCTION("""COMPUTED_VALUE"""),2.7714285714285714)</f>
        <v>2.771428571</v>
      </c>
      <c r="Y446" s="11">
        <f>IFERROR(__xludf.DUMMYFUNCTION("""COMPUTED_VALUE"""),6.0)</f>
        <v>6</v>
      </c>
      <c r="Z446" s="11">
        <f>IFERROR(__xludf.DUMMYFUNCTION("""COMPUTED_VALUE"""),1.0)</f>
        <v>1</v>
      </c>
      <c r="AA446" s="11">
        <f>IFERROR(__xludf.DUMMYFUNCTION("""COMPUTED_VALUE"""),0.0)</f>
        <v>0</v>
      </c>
      <c r="AB446" s="11">
        <f>IFERROR(__xludf.DUMMYFUNCTION("""COMPUTED_VALUE"""),9.0)</f>
        <v>9</v>
      </c>
      <c r="AC446" s="11">
        <f>IFERROR(__xludf.DUMMYFUNCTION("""COMPUTED_VALUE"""),43.0)</f>
        <v>43</v>
      </c>
      <c r="AD446" s="11">
        <f>IFERROR(__xludf.DUMMYFUNCTION("""COMPUTED_VALUE"""),38.0)</f>
        <v>38</v>
      </c>
    </row>
    <row r="447">
      <c r="A447" s="10" t="str">
        <f>IFERROR(__xludf.DUMMYFUNCTION("""COMPUTED_VALUE"""),"Premier")</f>
        <v>Premier</v>
      </c>
      <c r="B447" s="10" t="str">
        <f>IFERROR(__xludf.DUMMYFUNCTION("""COMPUTED_VALUE"""),"RSC008604")</f>
        <v>RSC008604</v>
      </c>
      <c r="C447" s="10" t="str">
        <f>IFERROR(__xludf.DUMMYFUNCTION("""COMPUTED_VALUE"""),"grogǃ")</f>
        <v>grogǃ</v>
      </c>
      <c r="D447" s="36" t="str">
        <f>IFERROR(__xludf.DUMMYFUNCTION("""COMPUTED_VALUE"""),"Feta Forgers")</f>
        <v>Feta Forgers</v>
      </c>
      <c r="E447" s="10" t="str">
        <f>IFERROR(__xludf.DUMMYFUNCTION("""COMPUTED_VALUE"""),"N/A")</f>
        <v>N/A</v>
      </c>
      <c r="F447" s="37">
        <f>IFERROR(__xludf.DUMMYFUNCTION("""COMPUTED_VALUE"""),44.438493868779716)</f>
        <v>44.43849387</v>
      </c>
      <c r="G447" s="38">
        <f>IFERROR(__xludf.DUMMYFUNCTION("""COMPUTED_VALUE"""),31.15593944039609)</f>
        <v>31.15593944</v>
      </c>
      <c r="H447" s="38">
        <f>IFERROR(__xludf.DUMMYFUNCTION("""COMPUTED_VALUE"""),37.7972166545879)</f>
        <v>37.79721665</v>
      </c>
      <c r="I447" s="14">
        <f>IFERROR(__xludf.DUMMYFUNCTION("""COMPUTED_VALUE"""),4.0)</f>
        <v>4</v>
      </c>
      <c r="J447" s="11">
        <f>IFERROR(__xludf.DUMMYFUNCTION("IFERROR(FILTER(Stats!$F:$Z,(Stats!$A:$A=$A447)*(Stats!$B:$B=$B447)))"),2.0)</f>
        <v>2</v>
      </c>
      <c r="K447" s="11">
        <f>IFERROR(__xludf.DUMMYFUNCTION("""COMPUTED_VALUE"""),2.0)</f>
        <v>2</v>
      </c>
      <c r="L447" s="12">
        <f>IFERROR(__xludf.DUMMYFUNCTION("""COMPUTED_VALUE"""),0.5)</f>
        <v>0.5</v>
      </c>
      <c r="M447" s="11">
        <f>IFERROR(__xludf.DUMMYFUNCTION("""COMPUTED_VALUE"""),1.0)</f>
        <v>1</v>
      </c>
      <c r="N447" s="11">
        <f>IFERROR(__xludf.DUMMYFUNCTION("""COMPUTED_VALUE"""),1244.0)</f>
        <v>1244</v>
      </c>
      <c r="O447" s="13">
        <f>IFERROR(__xludf.DUMMYFUNCTION("""COMPUTED_VALUE"""),2.0)</f>
        <v>2</v>
      </c>
      <c r="P447" s="14">
        <f>IFERROR(__xludf.DUMMYFUNCTION("""COMPUTED_VALUE"""),2.0)</f>
        <v>2</v>
      </c>
      <c r="Q447" s="13">
        <f>IFERROR(__xludf.DUMMYFUNCTION("""COMPUTED_VALUE"""),5.0)</f>
        <v>5</v>
      </c>
      <c r="R447" s="13">
        <f>IFERROR(__xludf.DUMMYFUNCTION("""COMPUTED_VALUE"""),11.0)</f>
        <v>11</v>
      </c>
      <c r="S447" s="15">
        <f>IFERROR(__xludf.DUMMYFUNCTION("""COMPUTED_VALUE"""),0.18181818181818182)</f>
        <v>0.1818181818</v>
      </c>
      <c r="T447" s="16">
        <f>IFERROR(__xludf.DUMMYFUNCTION("""COMPUTED_VALUE"""),311.0)</f>
        <v>311</v>
      </c>
      <c r="U447" s="16">
        <f>IFERROR(__xludf.DUMMYFUNCTION("""COMPUTED_VALUE"""),0.5)</f>
        <v>0.5</v>
      </c>
      <c r="V447" s="16">
        <f>IFERROR(__xludf.DUMMYFUNCTION("""COMPUTED_VALUE"""),0.5)</f>
        <v>0.5</v>
      </c>
      <c r="W447" s="16">
        <f>IFERROR(__xludf.DUMMYFUNCTION("""COMPUTED_VALUE"""),1.25)</f>
        <v>1.25</v>
      </c>
      <c r="X447" s="16">
        <f>IFERROR(__xludf.DUMMYFUNCTION("""COMPUTED_VALUE"""),2.75)</f>
        <v>2.75</v>
      </c>
      <c r="Y447" s="11">
        <f>IFERROR(__xludf.DUMMYFUNCTION("""COMPUTED_VALUE"""),0.0)</f>
        <v>0</v>
      </c>
      <c r="Z447" s="11">
        <f>IFERROR(__xludf.DUMMYFUNCTION("""COMPUTED_VALUE"""),0.0)</f>
        <v>0</v>
      </c>
      <c r="AA447" s="11">
        <f>IFERROR(__xludf.DUMMYFUNCTION("""COMPUTED_VALUE"""),0.0)</f>
        <v>0</v>
      </c>
      <c r="AB447" s="11">
        <f>IFERROR(__xludf.DUMMYFUNCTION("""COMPUTED_VALUE"""),1.0)</f>
        <v>1</v>
      </c>
      <c r="AC447" s="11">
        <f>IFERROR(__xludf.DUMMYFUNCTION("""COMPUTED_VALUE"""),6.0)</f>
        <v>6</v>
      </c>
      <c r="AD447" s="11">
        <f>IFERROR(__xludf.DUMMYFUNCTION("""COMPUTED_VALUE"""),7.0)</f>
        <v>7</v>
      </c>
    </row>
    <row r="448">
      <c r="A448" s="10" t="str">
        <f>IFERROR(__xludf.DUMMYFUNCTION("""COMPUTED_VALUE"""),"Premier")</f>
        <v>Premier</v>
      </c>
      <c r="B448" s="10" t="str">
        <f>IFERROR(__xludf.DUMMYFUNCTION("""COMPUTED_VALUE"""),"RSC005340")</f>
        <v>RSC005340</v>
      </c>
      <c r="C448" s="10" t="str">
        <f>IFERROR(__xludf.DUMMYFUNCTION("""COMPUTED_VALUE"""),"Mystikal")</f>
        <v>Mystikal</v>
      </c>
      <c r="D448" s="36" t="str">
        <f>IFERROR(__xludf.DUMMYFUNCTION("""COMPUTED_VALUE"""),"Gummy Bears")</f>
        <v>Gummy Bears</v>
      </c>
      <c r="E448" s="10" t="str">
        <f>IFERROR(__xludf.DUMMYFUNCTION("""COMPUTED_VALUE"""),"N/A")</f>
        <v>N/A</v>
      </c>
      <c r="F448" s="37">
        <f>IFERROR(__xludf.DUMMYFUNCTION("""COMPUTED_VALUE"""),36.39261719793572)</f>
        <v>36.3926172</v>
      </c>
      <c r="G448" s="38">
        <f>IFERROR(__xludf.DUMMYFUNCTION("""COMPUTED_VALUE"""),39.02169839098516)</f>
        <v>39.02169839</v>
      </c>
      <c r="H448" s="38">
        <f>IFERROR(__xludf.DUMMYFUNCTION("""COMPUTED_VALUE"""),37.70715779446044)</f>
        <v>37.70715779</v>
      </c>
      <c r="I448" s="14">
        <f>IFERROR(__xludf.DUMMYFUNCTION("""COMPUTED_VALUE"""),44.0)</f>
        <v>44</v>
      </c>
      <c r="J448" s="11">
        <f>IFERROR(__xludf.DUMMYFUNCTION("IFERROR(FILTER(Stats!$F:$Z,(Stats!$A:$A=$A448)*(Stats!$B:$B=$B448)))"),22.0)</f>
        <v>22</v>
      </c>
      <c r="K448" s="11">
        <f>IFERROR(__xludf.DUMMYFUNCTION("""COMPUTED_VALUE"""),22.0)</f>
        <v>22</v>
      </c>
      <c r="L448" s="12">
        <f>IFERROR(__xludf.DUMMYFUNCTION("""COMPUTED_VALUE"""),0.5)</f>
        <v>0.5</v>
      </c>
      <c r="M448" s="11">
        <f>IFERROR(__xludf.DUMMYFUNCTION("""COMPUTED_VALUE"""),5.0)</f>
        <v>5</v>
      </c>
      <c r="N448" s="11">
        <f>IFERROR(__xludf.DUMMYFUNCTION("""COMPUTED_VALUE"""),13891.0)</f>
        <v>13891</v>
      </c>
      <c r="O448" s="13">
        <f>IFERROR(__xludf.DUMMYFUNCTION("""COMPUTED_VALUE"""),36.0)</f>
        <v>36</v>
      </c>
      <c r="P448" s="14">
        <f>IFERROR(__xludf.DUMMYFUNCTION("""COMPUTED_VALUE"""),22.0)</f>
        <v>22</v>
      </c>
      <c r="Q448" s="13">
        <f>IFERROR(__xludf.DUMMYFUNCTION("""COMPUTED_VALUE"""),46.0)</f>
        <v>46</v>
      </c>
      <c r="R448" s="13">
        <f>IFERROR(__xludf.DUMMYFUNCTION("""COMPUTED_VALUE"""),110.0)</f>
        <v>110</v>
      </c>
      <c r="S448" s="15">
        <f>IFERROR(__xludf.DUMMYFUNCTION("""COMPUTED_VALUE"""),0.32727272727272727)</f>
        <v>0.3272727273</v>
      </c>
      <c r="T448" s="16">
        <f>IFERROR(__xludf.DUMMYFUNCTION("""COMPUTED_VALUE"""),315.70454545454544)</f>
        <v>315.7045455</v>
      </c>
      <c r="U448" s="16">
        <f>IFERROR(__xludf.DUMMYFUNCTION("""COMPUTED_VALUE"""),0.8181818181818182)</f>
        <v>0.8181818182</v>
      </c>
      <c r="V448" s="16">
        <f>IFERROR(__xludf.DUMMYFUNCTION("""COMPUTED_VALUE"""),0.5)</f>
        <v>0.5</v>
      </c>
      <c r="W448" s="16">
        <f>IFERROR(__xludf.DUMMYFUNCTION("""COMPUTED_VALUE"""),1.0454545454545454)</f>
        <v>1.045454545</v>
      </c>
      <c r="X448" s="16">
        <f>IFERROR(__xludf.DUMMYFUNCTION("""COMPUTED_VALUE"""),2.5)</f>
        <v>2.5</v>
      </c>
      <c r="Y448" s="11">
        <f>IFERROR(__xludf.DUMMYFUNCTION("""COMPUTED_VALUE"""),4.0)</f>
        <v>4</v>
      </c>
      <c r="Z448" s="11">
        <f>IFERROR(__xludf.DUMMYFUNCTION("""COMPUTED_VALUE"""),1.0)</f>
        <v>1</v>
      </c>
      <c r="AA448" s="11">
        <f>IFERROR(__xludf.DUMMYFUNCTION("""COMPUTED_VALUE"""),0.0)</f>
        <v>0</v>
      </c>
      <c r="AB448" s="11">
        <f>IFERROR(__xludf.DUMMYFUNCTION("""COMPUTED_VALUE"""),4.0)</f>
        <v>4</v>
      </c>
      <c r="AC448" s="11">
        <f>IFERROR(__xludf.DUMMYFUNCTION("""COMPUTED_VALUE"""),49.0)</f>
        <v>49</v>
      </c>
      <c r="AD448" s="11">
        <f>IFERROR(__xludf.DUMMYFUNCTION("""COMPUTED_VALUE"""),45.0)</f>
        <v>45</v>
      </c>
    </row>
    <row r="449">
      <c r="A449" s="10" t="str">
        <f>IFERROR(__xludf.DUMMYFUNCTION("""COMPUTED_VALUE"""),"Premier")</f>
        <v>Premier</v>
      </c>
      <c r="B449" s="10" t="str">
        <f>IFERROR(__xludf.DUMMYFUNCTION("""COMPUTED_VALUE"""),"RSC001903")</f>
        <v>RSC001903</v>
      </c>
      <c r="C449" s="10" t="str">
        <f>IFERROR(__xludf.DUMMYFUNCTION("""COMPUTED_VALUE"""),"Plasma")</f>
        <v>Plasma</v>
      </c>
      <c r="D449" s="36" t="str">
        <f>IFERROR(__xludf.DUMMYFUNCTION("""COMPUTED_VALUE"""),"Crooked Capos")</f>
        <v>Crooked Capos</v>
      </c>
      <c r="E449" s="10" t="str">
        <f>IFERROR(__xludf.DUMMYFUNCTION("""COMPUTED_VALUE"""),"N/A")</f>
        <v>N/A</v>
      </c>
      <c r="F449" s="37">
        <f>IFERROR(__xludf.DUMMYFUNCTION("""COMPUTED_VALUE"""),40.40569622374351)</f>
        <v>40.40569622</v>
      </c>
      <c r="G449" s="38">
        <f>IFERROR(__xludf.DUMMYFUNCTION("""COMPUTED_VALUE"""),33.2533728574935)</f>
        <v>33.25337286</v>
      </c>
      <c r="H449" s="38">
        <f>IFERROR(__xludf.DUMMYFUNCTION("""COMPUTED_VALUE"""),36.82953454061851)</f>
        <v>36.82953454</v>
      </c>
      <c r="I449" s="14">
        <f>IFERROR(__xludf.DUMMYFUNCTION("""COMPUTED_VALUE"""),35.0)</f>
        <v>35</v>
      </c>
      <c r="J449" s="11">
        <f>IFERROR(__xludf.DUMMYFUNCTION("IFERROR(FILTER(Stats!$F:$Z,(Stats!$A:$A=$A449)*(Stats!$B:$B=$B449)))"),16.0)</f>
        <v>16</v>
      </c>
      <c r="K449" s="11">
        <f>IFERROR(__xludf.DUMMYFUNCTION("""COMPUTED_VALUE"""),19.0)</f>
        <v>19</v>
      </c>
      <c r="L449" s="12">
        <f>IFERROR(__xludf.DUMMYFUNCTION("""COMPUTED_VALUE"""),0.45714285714285713)</f>
        <v>0.4571428571</v>
      </c>
      <c r="M449" s="11">
        <f>IFERROR(__xludf.DUMMYFUNCTION("""COMPUTED_VALUE"""),5.0)</f>
        <v>5</v>
      </c>
      <c r="N449" s="11">
        <f>IFERROR(__xludf.DUMMYFUNCTION("""COMPUTED_VALUE"""),12508.0)</f>
        <v>12508</v>
      </c>
      <c r="O449" s="13">
        <f>IFERROR(__xludf.DUMMYFUNCTION("""COMPUTED_VALUE"""),22.0)</f>
        <v>22</v>
      </c>
      <c r="P449" s="14">
        <f>IFERROR(__xludf.DUMMYFUNCTION("""COMPUTED_VALUE"""),24.0)</f>
        <v>24</v>
      </c>
      <c r="Q449" s="13">
        <f>IFERROR(__xludf.DUMMYFUNCTION("""COMPUTED_VALUE"""),57.0)</f>
        <v>57</v>
      </c>
      <c r="R449" s="13">
        <f>IFERROR(__xludf.DUMMYFUNCTION("""COMPUTED_VALUE"""),77.0)</f>
        <v>77</v>
      </c>
      <c r="S449" s="15">
        <f>IFERROR(__xludf.DUMMYFUNCTION("""COMPUTED_VALUE"""),0.2857142857142857)</f>
        <v>0.2857142857</v>
      </c>
      <c r="T449" s="16">
        <f>IFERROR(__xludf.DUMMYFUNCTION("""COMPUTED_VALUE"""),357.37142857142857)</f>
        <v>357.3714286</v>
      </c>
      <c r="U449" s="16">
        <f>IFERROR(__xludf.DUMMYFUNCTION("""COMPUTED_VALUE"""),0.6285714285714286)</f>
        <v>0.6285714286</v>
      </c>
      <c r="V449" s="16">
        <f>IFERROR(__xludf.DUMMYFUNCTION("""COMPUTED_VALUE"""),0.6857142857142857)</f>
        <v>0.6857142857</v>
      </c>
      <c r="W449" s="16">
        <f>IFERROR(__xludf.DUMMYFUNCTION("""COMPUTED_VALUE"""),1.6285714285714286)</f>
        <v>1.628571429</v>
      </c>
      <c r="X449" s="16">
        <f>IFERROR(__xludf.DUMMYFUNCTION("""COMPUTED_VALUE"""),2.2)</f>
        <v>2.2</v>
      </c>
      <c r="Y449" s="11">
        <f>IFERROR(__xludf.DUMMYFUNCTION("""COMPUTED_VALUE"""),4.0)</f>
        <v>4</v>
      </c>
      <c r="Z449" s="11">
        <f>IFERROR(__xludf.DUMMYFUNCTION("""COMPUTED_VALUE"""),2.0)</f>
        <v>2</v>
      </c>
      <c r="AA449" s="11">
        <f>IFERROR(__xludf.DUMMYFUNCTION("""COMPUTED_VALUE"""),1.0)</f>
        <v>1</v>
      </c>
      <c r="AB449" s="11">
        <f>IFERROR(__xludf.DUMMYFUNCTION("""COMPUTED_VALUE"""),8.0)</f>
        <v>8</v>
      </c>
      <c r="AC449" s="11">
        <f>IFERROR(__xludf.DUMMYFUNCTION("""COMPUTED_VALUE"""),18.0)</f>
        <v>18</v>
      </c>
      <c r="AD449" s="11">
        <f>IFERROR(__xludf.DUMMYFUNCTION("""COMPUTED_VALUE"""),30.0)</f>
        <v>30</v>
      </c>
    </row>
    <row r="450">
      <c r="A450" s="10" t="str">
        <f>IFERROR(__xludf.DUMMYFUNCTION("""COMPUTED_VALUE"""),"Premier")</f>
        <v>Premier</v>
      </c>
      <c r="B450" s="10" t="str">
        <f>IFERROR(__xludf.DUMMYFUNCTION("""COMPUTED_VALUE"""),"RSC003804")</f>
        <v>RSC003804</v>
      </c>
      <c r="C450" s="10" t="str">
        <f>IFERROR(__xludf.DUMMYFUNCTION("""COMPUTED_VALUE"""),"ayylo")</f>
        <v>ayylo</v>
      </c>
      <c r="D450" s="36" t="str">
        <f>IFERROR(__xludf.DUMMYFUNCTION("""COMPUTED_VALUE"""),"Feta Forgers
Super Clusters
Crooked Capos")</f>
        <v>Feta Forgers
Super Clusters
Crooked Capos</v>
      </c>
      <c r="E450" s="10" t="str">
        <f>IFERROR(__xludf.DUMMYFUNCTION("""COMPUTED_VALUE"""),"N/A
N/A
N/A")</f>
        <v>N/A
N/A
N/A</v>
      </c>
      <c r="F450" s="37">
        <f>IFERROR(__xludf.DUMMYFUNCTION("""COMPUTED_VALUE"""),35.75522784897029)</f>
        <v>35.75522785</v>
      </c>
      <c r="G450" s="38">
        <f>IFERROR(__xludf.DUMMYFUNCTION("""COMPUTED_VALUE"""),34.528069140856)</f>
        <v>34.52806914</v>
      </c>
      <c r="H450" s="38">
        <f>IFERROR(__xludf.DUMMYFUNCTION("""COMPUTED_VALUE"""),35.14164849491314)</f>
        <v>35.14164849</v>
      </c>
      <c r="I450" s="14">
        <f>IFERROR(__xludf.DUMMYFUNCTION("""COMPUTED_VALUE"""),23.0)</f>
        <v>23</v>
      </c>
      <c r="J450" s="11">
        <f>IFERROR(__xludf.DUMMYFUNCTION("IFERROR(FILTER(Stats!$F:$Z,(Stats!$A:$A=$A450)*(Stats!$B:$B=$B450)))"),9.0)</f>
        <v>9</v>
      </c>
      <c r="K450" s="11">
        <f>IFERROR(__xludf.DUMMYFUNCTION("""COMPUTED_VALUE"""),14.0)</f>
        <v>14</v>
      </c>
      <c r="L450" s="12">
        <f>IFERROR(__xludf.DUMMYFUNCTION("""COMPUTED_VALUE"""),0.391304347826087)</f>
        <v>0.3913043478</v>
      </c>
      <c r="M450" s="11">
        <f>IFERROR(__xludf.DUMMYFUNCTION("""COMPUTED_VALUE"""),2.0)</f>
        <v>2</v>
      </c>
      <c r="N450" s="11">
        <f>IFERROR(__xludf.DUMMYFUNCTION("""COMPUTED_VALUE"""),7626.0)</f>
        <v>7626</v>
      </c>
      <c r="O450" s="13">
        <f>IFERROR(__xludf.DUMMYFUNCTION("""COMPUTED_VALUE"""),14.0)</f>
        <v>14</v>
      </c>
      <c r="P450" s="14">
        <f>IFERROR(__xludf.DUMMYFUNCTION("""COMPUTED_VALUE"""),20.0)</f>
        <v>20</v>
      </c>
      <c r="Q450" s="13">
        <f>IFERROR(__xludf.DUMMYFUNCTION("""COMPUTED_VALUE"""),22.0)</f>
        <v>22</v>
      </c>
      <c r="R450" s="13">
        <f>IFERROR(__xludf.DUMMYFUNCTION("""COMPUTED_VALUE"""),59.0)</f>
        <v>59</v>
      </c>
      <c r="S450" s="15">
        <f>IFERROR(__xludf.DUMMYFUNCTION("""COMPUTED_VALUE"""),0.23728813559322035)</f>
        <v>0.2372881356</v>
      </c>
      <c r="T450" s="16">
        <f>IFERROR(__xludf.DUMMYFUNCTION("""COMPUTED_VALUE"""),331.5652173913044)</f>
        <v>331.5652174</v>
      </c>
      <c r="U450" s="16">
        <f>IFERROR(__xludf.DUMMYFUNCTION("""COMPUTED_VALUE"""),0.6086956521739131)</f>
        <v>0.6086956522</v>
      </c>
      <c r="V450" s="16">
        <f>IFERROR(__xludf.DUMMYFUNCTION("""COMPUTED_VALUE"""),0.8695652173913043)</f>
        <v>0.8695652174</v>
      </c>
      <c r="W450" s="16">
        <f>IFERROR(__xludf.DUMMYFUNCTION("""COMPUTED_VALUE"""),0.9565217391304348)</f>
        <v>0.9565217391</v>
      </c>
      <c r="X450" s="16">
        <f>IFERROR(__xludf.DUMMYFUNCTION("""COMPUTED_VALUE"""),2.5652173913043477)</f>
        <v>2.565217391</v>
      </c>
      <c r="Y450" s="11">
        <f>IFERROR(__xludf.DUMMYFUNCTION("""COMPUTED_VALUE"""),4.0)</f>
        <v>4</v>
      </c>
      <c r="Z450" s="11">
        <f>IFERROR(__xludf.DUMMYFUNCTION("""COMPUTED_VALUE"""),0.0)</f>
        <v>0</v>
      </c>
      <c r="AA450" s="11">
        <f>IFERROR(__xludf.DUMMYFUNCTION("""COMPUTED_VALUE"""),0.0)</f>
        <v>0</v>
      </c>
      <c r="AB450" s="11">
        <f>IFERROR(__xludf.DUMMYFUNCTION("""COMPUTED_VALUE"""),1.0)</f>
        <v>1</v>
      </c>
      <c r="AC450" s="11">
        <f>IFERROR(__xludf.DUMMYFUNCTION("""COMPUTED_VALUE"""),16.0)</f>
        <v>16</v>
      </c>
      <c r="AD450" s="11">
        <f>IFERROR(__xludf.DUMMYFUNCTION("""COMPUTED_VALUE"""),32.0)</f>
        <v>32</v>
      </c>
    </row>
    <row r="451">
      <c r="A451" s="10" t="str">
        <f>IFERROR(__xludf.DUMMYFUNCTION("""COMPUTED_VALUE"""),"Premier")</f>
        <v>Premier</v>
      </c>
      <c r="B451" s="10" t="str">
        <f>IFERROR(__xludf.DUMMYFUNCTION("""COMPUTED_VALUE"""),"RSC001977")</f>
        <v>RSC001977</v>
      </c>
      <c r="C451" s="10" t="str">
        <f>IFERROR(__xludf.DUMMYFUNCTION("""COMPUTED_VALUE"""),"T.")</f>
        <v>T.</v>
      </c>
      <c r="D451" s="36" t="str">
        <f>IFERROR(__xludf.DUMMYFUNCTION("""COMPUTED_VALUE"""),"Feta Forgers")</f>
        <v>Feta Forgers</v>
      </c>
      <c r="E451" s="10" t="str">
        <f>IFERROR(__xludf.DUMMYFUNCTION("""COMPUTED_VALUE"""),"N/A")</f>
        <v>N/A</v>
      </c>
      <c r="F451" s="37">
        <f>IFERROR(__xludf.DUMMYFUNCTION("""COMPUTED_VALUE"""),39.71126798655992)</f>
        <v>39.71126799</v>
      </c>
      <c r="G451" s="38">
        <f>IFERROR(__xludf.DUMMYFUNCTION("""COMPUTED_VALUE"""),29.33959257291134)</f>
        <v>29.33959257</v>
      </c>
      <c r="H451" s="38">
        <f>IFERROR(__xludf.DUMMYFUNCTION("""COMPUTED_VALUE"""),34.52543027973563)</f>
        <v>34.52543028</v>
      </c>
      <c r="I451" s="14">
        <f>IFERROR(__xludf.DUMMYFUNCTION("""COMPUTED_VALUE"""),45.0)</f>
        <v>45</v>
      </c>
      <c r="J451" s="11">
        <f>IFERROR(__xludf.DUMMYFUNCTION("IFERROR(FILTER(Stats!$F:$Z,(Stats!$A:$A=$A451)*(Stats!$B:$B=$B451)))"),19.0)</f>
        <v>19</v>
      </c>
      <c r="K451" s="11">
        <f>IFERROR(__xludf.DUMMYFUNCTION("""COMPUTED_VALUE"""),26.0)</f>
        <v>26</v>
      </c>
      <c r="L451" s="12">
        <f>IFERROR(__xludf.DUMMYFUNCTION("""COMPUTED_VALUE"""),0.4222222222222222)</f>
        <v>0.4222222222</v>
      </c>
      <c r="M451" s="11">
        <f>IFERROR(__xludf.DUMMYFUNCTION("""COMPUTED_VALUE"""),5.0)</f>
        <v>5</v>
      </c>
      <c r="N451" s="11">
        <f>IFERROR(__xludf.DUMMYFUNCTION("""COMPUTED_VALUE"""),15652.0)</f>
        <v>15652</v>
      </c>
      <c r="O451" s="13">
        <f>IFERROR(__xludf.DUMMYFUNCTION("""COMPUTED_VALUE"""),32.0)</f>
        <v>32</v>
      </c>
      <c r="P451" s="14">
        <f>IFERROR(__xludf.DUMMYFUNCTION("""COMPUTED_VALUE"""),20.0)</f>
        <v>20</v>
      </c>
      <c r="Q451" s="13">
        <f>IFERROR(__xludf.DUMMYFUNCTION("""COMPUTED_VALUE"""),53.0)</f>
        <v>53</v>
      </c>
      <c r="R451" s="13">
        <f>IFERROR(__xludf.DUMMYFUNCTION("""COMPUTED_VALUE"""),117.0)</f>
        <v>117</v>
      </c>
      <c r="S451" s="15">
        <f>IFERROR(__xludf.DUMMYFUNCTION("""COMPUTED_VALUE"""),0.27350427350427353)</f>
        <v>0.2735042735</v>
      </c>
      <c r="T451" s="16">
        <f>IFERROR(__xludf.DUMMYFUNCTION("""COMPUTED_VALUE"""),347.8222222222222)</f>
        <v>347.8222222</v>
      </c>
      <c r="U451" s="16">
        <f>IFERROR(__xludf.DUMMYFUNCTION("""COMPUTED_VALUE"""),0.7111111111111111)</f>
        <v>0.7111111111</v>
      </c>
      <c r="V451" s="16">
        <f>IFERROR(__xludf.DUMMYFUNCTION("""COMPUTED_VALUE"""),0.4444444444444444)</f>
        <v>0.4444444444</v>
      </c>
      <c r="W451" s="16">
        <f>IFERROR(__xludf.DUMMYFUNCTION("""COMPUTED_VALUE"""),1.1777777777777778)</f>
        <v>1.177777778</v>
      </c>
      <c r="X451" s="16">
        <f>IFERROR(__xludf.DUMMYFUNCTION("""COMPUTED_VALUE"""),2.6)</f>
        <v>2.6</v>
      </c>
      <c r="Y451" s="11">
        <f>IFERROR(__xludf.DUMMYFUNCTION("""COMPUTED_VALUE"""),5.0)</f>
        <v>5</v>
      </c>
      <c r="Z451" s="11">
        <f>IFERROR(__xludf.DUMMYFUNCTION("""COMPUTED_VALUE"""),1.0)</f>
        <v>1</v>
      </c>
      <c r="AA451" s="11">
        <f>IFERROR(__xludf.DUMMYFUNCTION("""COMPUTED_VALUE"""),0.0)</f>
        <v>0</v>
      </c>
      <c r="AB451" s="11">
        <f>IFERROR(__xludf.DUMMYFUNCTION("""COMPUTED_VALUE"""),6.0)</f>
        <v>6</v>
      </c>
      <c r="AC451" s="11">
        <f>IFERROR(__xludf.DUMMYFUNCTION("""COMPUTED_VALUE"""),52.0)</f>
        <v>52</v>
      </c>
      <c r="AD451" s="11">
        <f>IFERROR(__xludf.DUMMYFUNCTION("""COMPUTED_VALUE"""),30.0)</f>
        <v>30</v>
      </c>
    </row>
    <row r="452">
      <c r="A452" s="10" t="str">
        <f>IFERROR(__xludf.DUMMYFUNCTION("""COMPUTED_VALUE"""),"Premier")</f>
        <v>Premier</v>
      </c>
      <c r="B452" s="10" t="str">
        <f>IFERROR(__xludf.DUMMYFUNCTION("""COMPUTED_VALUE"""),"RSC008347")</f>
        <v>RSC008347</v>
      </c>
      <c r="C452" s="10" t="str">
        <f>IFERROR(__xludf.DUMMYFUNCTION("""COMPUTED_VALUE"""),"kor")</f>
        <v>kor</v>
      </c>
      <c r="D452" s="36" t="str">
        <f>IFERROR(__xludf.DUMMYFUNCTION("""COMPUTED_VALUE"""),"Feta Forgers")</f>
        <v>Feta Forgers</v>
      </c>
      <c r="E452" s="10" t="str">
        <f>IFERROR(__xludf.DUMMYFUNCTION("""COMPUTED_VALUE"""),"N/A")</f>
        <v>N/A</v>
      </c>
      <c r="F452" s="37">
        <f>IFERROR(__xludf.DUMMYFUNCTION("""COMPUTED_VALUE"""),24.862290836316376)</f>
        <v>24.86229084</v>
      </c>
      <c r="G452" s="38">
        <f>IFERROR(__xludf.DUMMYFUNCTION("""COMPUTED_VALUE"""),21.222862892605924)</f>
        <v>21.22286289</v>
      </c>
      <c r="H452" s="38">
        <f>IFERROR(__xludf.DUMMYFUNCTION("""COMPUTED_VALUE"""),23.04257686446115)</f>
        <v>23.04257686</v>
      </c>
      <c r="I452" s="14">
        <f>IFERROR(__xludf.DUMMYFUNCTION("""COMPUTED_VALUE"""),4.0)</f>
        <v>4</v>
      </c>
      <c r="J452" s="11">
        <f>IFERROR(__xludf.DUMMYFUNCTION("IFERROR(FILTER(Stats!$F:$Z,(Stats!$A:$A=$A452)*(Stats!$B:$B=$B452)))"),2.0)</f>
        <v>2</v>
      </c>
      <c r="K452" s="11">
        <f>IFERROR(__xludf.DUMMYFUNCTION("""COMPUTED_VALUE"""),2.0)</f>
        <v>2</v>
      </c>
      <c r="L452" s="12">
        <f>IFERROR(__xludf.DUMMYFUNCTION("""COMPUTED_VALUE"""),0.5)</f>
        <v>0.5</v>
      </c>
      <c r="M452" s="11">
        <f>IFERROR(__xludf.DUMMYFUNCTION("""COMPUTED_VALUE"""),0.0)</f>
        <v>0</v>
      </c>
      <c r="N452" s="11">
        <f>IFERROR(__xludf.DUMMYFUNCTION("""COMPUTED_VALUE"""),1597.0)</f>
        <v>1597</v>
      </c>
      <c r="O452" s="13">
        <f>IFERROR(__xludf.DUMMYFUNCTION("""COMPUTED_VALUE"""),2.0)</f>
        <v>2</v>
      </c>
      <c r="P452" s="14">
        <f>IFERROR(__xludf.DUMMYFUNCTION("""COMPUTED_VALUE"""),2.0)</f>
        <v>2</v>
      </c>
      <c r="Q452" s="13">
        <f>IFERROR(__xludf.DUMMYFUNCTION("""COMPUTED_VALUE"""),10.0)</f>
        <v>10</v>
      </c>
      <c r="R452" s="13">
        <f>IFERROR(__xludf.DUMMYFUNCTION("""COMPUTED_VALUE"""),12.0)</f>
        <v>12</v>
      </c>
      <c r="S452" s="15">
        <f>IFERROR(__xludf.DUMMYFUNCTION("""COMPUTED_VALUE"""),0.16666666666666666)</f>
        <v>0.1666666667</v>
      </c>
      <c r="T452" s="16">
        <f>IFERROR(__xludf.DUMMYFUNCTION("""COMPUTED_VALUE"""),399.25)</f>
        <v>399.25</v>
      </c>
      <c r="U452" s="16">
        <f>IFERROR(__xludf.DUMMYFUNCTION("""COMPUTED_VALUE"""),0.5)</f>
        <v>0.5</v>
      </c>
      <c r="V452" s="16">
        <f>IFERROR(__xludf.DUMMYFUNCTION("""COMPUTED_VALUE"""),0.5)</f>
        <v>0.5</v>
      </c>
      <c r="W452" s="16">
        <f>IFERROR(__xludf.DUMMYFUNCTION("""COMPUTED_VALUE"""),2.5)</f>
        <v>2.5</v>
      </c>
      <c r="X452" s="16">
        <f>IFERROR(__xludf.DUMMYFUNCTION("""COMPUTED_VALUE"""),3.0)</f>
        <v>3</v>
      </c>
      <c r="Y452" s="11">
        <f>IFERROR(__xludf.DUMMYFUNCTION("""COMPUTED_VALUE"""),0.0)</f>
        <v>0</v>
      </c>
      <c r="Z452" s="11">
        <f>IFERROR(__xludf.DUMMYFUNCTION("""COMPUTED_VALUE"""),0.0)</f>
        <v>0</v>
      </c>
      <c r="AA452" s="11">
        <f>IFERROR(__xludf.DUMMYFUNCTION("""COMPUTED_VALUE"""),0.0)</f>
        <v>0</v>
      </c>
      <c r="AB452" s="11">
        <f>IFERROR(__xludf.DUMMYFUNCTION("""COMPUTED_VALUE"""),2.0)</f>
        <v>2</v>
      </c>
      <c r="AC452" s="11">
        <f>IFERROR(__xludf.DUMMYFUNCTION("""COMPUTED_VALUE"""),3.0)</f>
        <v>3</v>
      </c>
      <c r="AD452" s="11">
        <f>IFERROR(__xludf.DUMMYFUNCTION("""COMPUTED_VALUE"""),2.0)</f>
        <v>2</v>
      </c>
    </row>
    <row r="453">
      <c r="A453" s="10" t="str">
        <f>IFERROR(__xludf.DUMMYFUNCTION("""COMPUTED_VALUE"""),"Premier")</f>
        <v>Premier</v>
      </c>
      <c r="B453" s="10" t="str">
        <f>IFERROR(__xludf.DUMMYFUNCTION("""COMPUTED_VALUE"""),"RSC008285")</f>
        <v>RSC008285</v>
      </c>
      <c r="C453" s="10" t="str">
        <f>IFERROR(__xludf.DUMMYFUNCTION("""COMPUTED_VALUE"""),"ChiRho_-")</f>
        <v>ChiRho_-</v>
      </c>
      <c r="D453" s="36" t="str">
        <f>IFERROR(__xludf.DUMMYFUNCTION("""COMPUTED_VALUE"""),"Leviathans")</f>
        <v>Leviathans</v>
      </c>
      <c r="E453" s="10" t="str">
        <f>IFERROR(__xludf.DUMMYFUNCTION("""COMPUTED_VALUE"""),"N/A")</f>
        <v>N/A</v>
      </c>
      <c r="F453" s="37">
        <f>IFERROR(__xludf.DUMMYFUNCTION("""COMPUTED_VALUE"""),19.112760719084598)</f>
        <v>19.11276072</v>
      </c>
      <c r="G453" s="38">
        <f>IFERROR(__xludf.DUMMYFUNCTION("""COMPUTED_VALUE"""),17.3041148931364)</f>
        <v>17.30411489</v>
      </c>
      <c r="H453" s="38">
        <f>IFERROR(__xludf.DUMMYFUNCTION("""COMPUTED_VALUE"""),18.2084378061105)</f>
        <v>18.20843781</v>
      </c>
      <c r="I453" s="14">
        <f>IFERROR(__xludf.DUMMYFUNCTION("""COMPUTED_VALUE"""),12.0)</f>
        <v>12</v>
      </c>
      <c r="J453" s="11">
        <f>IFERROR(__xludf.DUMMYFUNCTION("IFERROR(FILTER(Stats!$F:$Z,(Stats!$A:$A=$A453)*(Stats!$B:$B=$B453)))"),4.0)</f>
        <v>4</v>
      </c>
      <c r="K453" s="11">
        <f>IFERROR(__xludf.DUMMYFUNCTION("""COMPUTED_VALUE"""),8.0)</f>
        <v>8</v>
      </c>
      <c r="L453" s="12">
        <f>IFERROR(__xludf.DUMMYFUNCTION("""COMPUTED_VALUE"""),0.3333333333333333)</f>
        <v>0.3333333333</v>
      </c>
      <c r="M453" s="11">
        <f>IFERROR(__xludf.DUMMYFUNCTION("""COMPUTED_VALUE"""),1.0)</f>
        <v>1</v>
      </c>
      <c r="N453" s="11">
        <f>IFERROR(__xludf.DUMMYFUNCTION("""COMPUTED_VALUE"""),3801.0)</f>
        <v>3801</v>
      </c>
      <c r="O453" s="13">
        <f>IFERROR(__xludf.DUMMYFUNCTION("""COMPUTED_VALUE"""),4.0)</f>
        <v>4</v>
      </c>
      <c r="P453" s="14">
        <f>IFERROR(__xludf.DUMMYFUNCTION("""COMPUTED_VALUE"""),10.0)</f>
        <v>10</v>
      </c>
      <c r="Q453" s="13">
        <f>IFERROR(__xludf.DUMMYFUNCTION("""COMPUTED_VALUE"""),19.0)</f>
        <v>19</v>
      </c>
      <c r="R453" s="13">
        <f>IFERROR(__xludf.DUMMYFUNCTION("""COMPUTED_VALUE"""),25.0)</f>
        <v>25</v>
      </c>
      <c r="S453" s="15">
        <f>IFERROR(__xludf.DUMMYFUNCTION("""COMPUTED_VALUE"""),0.16)</f>
        <v>0.16</v>
      </c>
      <c r="T453" s="16">
        <f>IFERROR(__xludf.DUMMYFUNCTION("""COMPUTED_VALUE"""),316.75)</f>
        <v>316.75</v>
      </c>
      <c r="U453" s="16">
        <f>IFERROR(__xludf.DUMMYFUNCTION("""COMPUTED_VALUE"""),0.3333333333333333)</f>
        <v>0.3333333333</v>
      </c>
      <c r="V453" s="16">
        <f>IFERROR(__xludf.DUMMYFUNCTION("""COMPUTED_VALUE"""),0.8333333333333334)</f>
        <v>0.8333333333</v>
      </c>
      <c r="W453" s="16">
        <f>IFERROR(__xludf.DUMMYFUNCTION("""COMPUTED_VALUE"""),1.5833333333333333)</f>
        <v>1.583333333</v>
      </c>
      <c r="X453" s="16">
        <f>IFERROR(__xludf.DUMMYFUNCTION("""COMPUTED_VALUE"""),2.0833333333333335)</f>
        <v>2.083333333</v>
      </c>
      <c r="Y453" s="11">
        <f>IFERROR(__xludf.DUMMYFUNCTION("""COMPUTED_VALUE"""),3.0)</f>
        <v>3</v>
      </c>
      <c r="Z453" s="11">
        <f>IFERROR(__xludf.DUMMYFUNCTION("""COMPUTED_VALUE"""),0.0)</f>
        <v>0</v>
      </c>
      <c r="AA453" s="11">
        <f>IFERROR(__xludf.DUMMYFUNCTION("""COMPUTED_VALUE"""),0.0)</f>
        <v>0</v>
      </c>
      <c r="AB453" s="11">
        <f>IFERROR(__xludf.DUMMYFUNCTION("""COMPUTED_VALUE"""),1.0)</f>
        <v>1</v>
      </c>
      <c r="AC453" s="11">
        <f>IFERROR(__xludf.DUMMYFUNCTION("""COMPUTED_VALUE"""),9.0)</f>
        <v>9</v>
      </c>
      <c r="AD453" s="11">
        <f>IFERROR(__xludf.DUMMYFUNCTION("""COMPUTED_VALUE"""),12.0)</f>
        <v>12</v>
      </c>
    </row>
    <row r="454">
      <c r="A454" s="10" t="str">
        <f>IFERROR(__xludf.DUMMYFUNCTION("""COMPUTED_VALUE"""),"Premier")</f>
        <v>Premier</v>
      </c>
      <c r="B454" s="10" t="str">
        <f>IFERROR(__xludf.DUMMYFUNCTION("""COMPUTED_VALUE"""),"RSC008094")</f>
        <v>RSC008094</v>
      </c>
      <c r="C454" s="10" t="str">
        <f>IFERROR(__xludf.DUMMYFUNCTION("""COMPUTED_VALUE"""),"JoshuaNaoki")</f>
        <v>JoshuaNaoki</v>
      </c>
      <c r="D454" s="36" t="str">
        <f>IFERROR(__xludf.DUMMYFUNCTION("""COMPUTED_VALUE"""),"Punks
Gummy Bears")</f>
        <v>Punks
Gummy Bears</v>
      </c>
      <c r="E454" s="10" t="str">
        <f>IFERROR(__xludf.DUMMYFUNCTION("""COMPUTED_VALUE"""),"N/A
N/A")</f>
        <v>N/A
N/A</v>
      </c>
      <c r="F454" s="37">
        <f>IFERROR(__xludf.DUMMYFUNCTION("""COMPUTED_VALUE"""),16.717677893026156)</f>
        <v>16.71767789</v>
      </c>
      <c r="G454" s="38">
        <f>IFERROR(__xludf.DUMMYFUNCTION("""COMPUTED_VALUE"""),19.36559219800348)</f>
        <v>19.3655922</v>
      </c>
      <c r="H454" s="38">
        <f>IFERROR(__xludf.DUMMYFUNCTION("""COMPUTED_VALUE"""),18.041635045514816)</f>
        <v>18.04163505</v>
      </c>
      <c r="I454" s="14">
        <f>IFERROR(__xludf.DUMMYFUNCTION("""COMPUTED_VALUE"""),49.0)</f>
        <v>49</v>
      </c>
      <c r="J454" s="11">
        <f>IFERROR(__xludf.DUMMYFUNCTION("IFERROR(FILTER(Stats!$F:$Z,(Stats!$A:$A=$A454)*(Stats!$B:$B=$B454)))"),21.0)</f>
        <v>21</v>
      </c>
      <c r="K454" s="11">
        <f>IFERROR(__xludf.DUMMYFUNCTION("""COMPUTED_VALUE"""),28.0)</f>
        <v>28</v>
      </c>
      <c r="L454" s="12">
        <f>IFERROR(__xludf.DUMMYFUNCTION("""COMPUTED_VALUE"""),0.42857142857142855)</f>
        <v>0.4285714286</v>
      </c>
      <c r="M454" s="11">
        <f>IFERROR(__xludf.DUMMYFUNCTION("""COMPUTED_VALUE"""),2.0)</f>
        <v>2</v>
      </c>
      <c r="N454" s="11">
        <f>IFERROR(__xludf.DUMMYFUNCTION("""COMPUTED_VALUE"""),14223.0)</f>
        <v>14223</v>
      </c>
      <c r="O454" s="13">
        <f>IFERROR(__xludf.DUMMYFUNCTION("""COMPUTED_VALUE"""),27.0)</f>
        <v>27</v>
      </c>
      <c r="P454" s="14">
        <f>IFERROR(__xludf.DUMMYFUNCTION("""COMPUTED_VALUE"""),26.0)</f>
        <v>26</v>
      </c>
      <c r="Q454" s="13">
        <f>IFERROR(__xludf.DUMMYFUNCTION("""COMPUTED_VALUE"""),57.0)</f>
        <v>57</v>
      </c>
      <c r="R454" s="13">
        <f>IFERROR(__xludf.DUMMYFUNCTION("""COMPUTED_VALUE"""),117.0)</f>
        <v>117</v>
      </c>
      <c r="S454" s="15">
        <f>IFERROR(__xludf.DUMMYFUNCTION("""COMPUTED_VALUE"""),0.23076923076923078)</f>
        <v>0.2307692308</v>
      </c>
      <c r="T454" s="16">
        <f>IFERROR(__xludf.DUMMYFUNCTION("""COMPUTED_VALUE"""),290.265306122449)</f>
        <v>290.2653061</v>
      </c>
      <c r="U454" s="16">
        <f>IFERROR(__xludf.DUMMYFUNCTION("""COMPUTED_VALUE"""),0.5510204081632653)</f>
        <v>0.5510204082</v>
      </c>
      <c r="V454" s="16">
        <f>IFERROR(__xludf.DUMMYFUNCTION("""COMPUTED_VALUE"""),0.5306122448979592)</f>
        <v>0.5306122449</v>
      </c>
      <c r="W454" s="16">
        <f>IFERROR(__xludf.DUMMYFUNCTION("""COMPUTED_VALUE"""),1.163265306122449)</f>
        <v>1.163265306</v>
      </c>
      <c r="X454" s="16">
        <f>IFERROR(__xludf.DUMMYFUNCTION("""COMPUTED_VALUE"""),2.3877551020408165)</f>
        <v>2.387755102</v>
      </c>
      <c r="Y454" s="11">
        <f>IFERROR(__xludf.DUMMYFUNCTION("""COMPUTED_VALUE"""),7.0)</f>
        <v>7</v>
      </c>
      <c r="Z454" s="11">
        <f>IFERROR(__xludf.DUMMYFUNCTION("""COMPUTED_VALUE"""),0.0)</f>
        <v>0</v>
      </c>
      <c r="AA454" s="11">
        <f>IFERROR(__xludf.DUMMYFUNCTION("""COMPUTED_VALUE"""),0.0)</f>
        <v>0</v>
      </c>
      <c r="AB454" s="11">
        <f>IFERROR(__xludf.DUMMYFUNCTION("""COMPUTED_VALUE"""),5.0)</f>
        <v>5</v>
      </c>
      <c r="AC454" s="11">
        <f>IFERROR(__xludf.DUMMYFUNCTION("""COMPUTED_VALUE"""),29.0)</f>
        <v>29</v>
      </c>
      <c r="AD454" s="11">
        <f>IFERROR(__xludf.DUMMYFUNCTION("""COMPUTED_VALUE"""),52.0)</f>
        <v>52</v>
      </c>
    </row>
    <row r="455">
      <c r="A455" s="10" t="str">
        <f>IFERROR(__xludf.DUMMYFUNCTION("""COMPUTED_VALUE"""),"Premier")</f>
        <v>Premier</v>
      </c>
      <c r="B455" s="10" t="str">
        <f>IFERROR(__xludf.DUMMYFUNCTION("""COMPUTED_VALUE"""),"RSC005187")</f>
        <v>RSC005187</v>
      </c>
      <c r="C455" s="10" t="str">
        <f>IFERROR(__xludf.DUMMYFUNCTION("""COMPUTED_VALUE"""),"Karistafir al-nadim")</f>
        <v>Karistafir al-nadim</v>
      </c>
      <c r="D455" s="36" t="str">
        <f>IFERROR(__xludf.DUMMYFUNCTION("""COMPUTED_VALUE"""),"Punks")</f>
        <v>Punks</v>
      </c>
      <c r="E455" s="10" t="str">
        <f>IFERROR(__xludf.DUMMYFUNCTION("""COMPUTED_VALUE"""),"N/A")</f>
        <v>N/A</v>
      </c>
      <c r="F455" s="37">
        <f>IFERROR(__xludf.DUMMYFUNCTION("""COMPUTED_VALUE"""),8.066476715109914)</f>
        <v>8.066476715</v>
      </c>
      <c r="G455" s="38">
        <f>IFERROR(__xludf.DUMMYFUNCTION("""COMPUTED_VALUE"""),19.64579718873419)</f>
        <v>19.64579719</v>
      </c>
      <c r="H455" s="38">
        <f>IFERROR(__xludf.DUMMYFUNCTION("""COMPUTED_VALUE"""),13.856136951922052)</f>
        <v>13.85613695</v>
      </c>
      <c r="I455" s="14">
        <f>IFERROR(__xludf.DUMMYFUNCTION("""COMPUTED_VALUE"""),12.0)</f>
        <v>12</v>
      </c>
      <c r="J455" s="11">
        <f>IFERROR(__xludf.DUMMYFUNCTION("IFERROR(FILTER(Stats!$F:$Z,(Stats!$A:$A=$A455)*(Stats!$B:$B=$B455)))"),6.0)</f>
        <v>6</v>
      </c>
      <c r="K455" s="11">
        <f>IFERROR(__xludf.DUMMYFUNCTION("""COMPUTED_VALUE"""),6.0)</f>
        <v>6</v>
      </c>
      <c r="L455" s="12">
        <f>IFERROR(__xludf.DUMMYFUNCTION("""COMPUTED_VALUE"""),0.5)</f>
        <v>0.5</v>
      </c>
      <c r="M455" s="11">
        <f>IFERROR(__xludf.DUMMYFUNCTION("""COMPUTED_VALUE"""),0.0)</f>
        <v>0</v>
      </c>
      <c r="N455" s="11">
        <f>IFERROR(__xludf.DUMMYFUNCTION("""COMPUTED_VALUE"""),3261.0)</f>
        <v>3261</v>
      </c>
      <c r="O455" s="13">
        <f>IFERROR(__xludf.DUMMYFUNCTION("""COMPUTED_VALUE"""),7.0)</f>
        <v>7</v>
      </c>
      <c r="P455" s="14">
        <f>IFERROR(__xludf.DUMMYFUNCTION("""COMPUTED_VALUE"""),5.0)</f>
        <v>5</v>
      </c>
      <c r="Q455" s="13">
        <f>IFERROR(__xludf.DUMMYFUNCTION("""COMPUTED_VALUE"""),9.0)</f>
        <v>9</v>
      </c>
      <c r="R455" s="13">
        <f>IFERROR(__xludf.DUMMYFUNCTION("""COMPUTED_VALUE"""),31.0)</f>
        <v>31</v>
      </c>
      <c r="S455" s="15">
        <f>IFERROR(__xludf.DUMMYFUNCTION("""COMPUTED_VALUE"""),0.22580645161290322)</f>
        <v>0.2258064516</v>
      </c>
      <c r="T455" s="16">
        <f>IFERROR(__xludf.DUMMYFUNCTION("""COMPUTED_VALUE"""),271.75)</f>
        <v>271.75</v>
      </c>
      <c r="U455" s="16">
        <f>IFERROR(__xludf.DUMMYFUNCTION("""COMPUTED_VALUE"""),0.5833333333333334)</f>
        <v>0.5833333333</v>
      </c>
      <c r="V455" s="16">
        <f>IFERROR(__xludf.DUMMYFUNCTION("""COMPUTED_VALUE"""),0.4166666666666667)</f>
        <v>0.4166666667</v>
      </c>
      <c r="W455" s="16">
        <f>IFERROR(__xludf.DUMMYFUNCTION("""COMPUTED_VALUE"""),0.75)</f>
        <v>0.75</v>
      </c>
      <c r="X455" s="16">
        <f>IFERROR(__xludf.DUMMYFUNCTION("""COMPUTED_VALUE"""),2.5833333333333335)</f>
        <v>2.583333333</v>
      </c>
      <c r="Y455" s="11">
        <f>IFERROR(__xludf.DUMMYFUNCTION("""COMPUTED_VALUE"""),1.0)</f>
        <v>1</v>
      </c>
      <c r="Z455" s="11">
        <f>IFERROR(__xludf.DUMMYFUNCTION("""COMPUTED_VALUE"""),0.0)</f>
        <v>0</v>
      </c>
      <c r="AA455" s="11">
        <f>IFERROR(__xludf.DUMMYFUNCTION("""COMPUTED_VALUE"""),0.0)</f>
        <v>0</v>
      </c>
      <c r="AB455" s="11">
        <f>IFERROR(__xludf.DUMMYFUNCTION("""COMPUTED_VALUE"""),0.0)</f>
        <v>0</v>
      </c>
      <c r="AC455" s="11">
        <f>IFERROR(__xludf.DUMMYFUNCTION("""COMPUTED_VALUE"""),17.0)</f>
        <v>17</v>
      </c>
      <c r="AD455" s="11">
        <f>IFERROR(__xludf.DUMMYFUNCTION("""COMPUTED_VALUE"""),18.0)</f>
        <v>18</v>
      </c>
    </row>
    <row r="456">
      <c r="A456" s="10" t="str">
        <f>IFERROR(__xludf.DUMMYFUNCTION("""COMPUTED_VALUE"""),"Premier")</f>
        <v>Premier</v>
      </c>
      <c r="B456" s="10" t="str">
        <f>IFERROR(__xludf.DUMMYFUNCTION("""COMPUTED_VALUE"""),"RSC000657")</f>
        <v>RSC000657</v>
      </c>
      <c r="C456" s="10" t="str">
        <f>IFERROR(__xludf.DUMMYFUNCTION("""COMPUTED_VALUE"""),"Saucey")</f>
        <v>Saucey</v>
      </c>
      <c r="D456" s="36" t="str">
        <f>IFERROR(__xludf.DUMMYFUNCTION("""COMPUTED_VALUE"""),"Feta Forgers")</f>
        <v>Feta Forgers</v>
      </c>
      <c r="E456" s="10" t="str">
        <f>IFERROR(__xludf.DUMMYFUNCTION("""COMPUTED_VALUE"""),"N/A")</f>
        <v>N/A</v>
      </c>
      <c r="F456" s="37">
        <f>IFERROR(__xludf.DUMMYFUNCTION("""COMPUTED_VALUE"""),7.508912633492571)</f>
        <v>7.508912633</v>
      </c>
      <c r="G456" s="38">
        <f>IFERROR(__xludf.DUMMYFUNCTION("""COMPUTED_VALUE"""),12.850663321194688)</f>
        <v>12.85066332</v>
      </c>
      <c r="H456" s="38">
        <f>IFERROR(__xludf.DUMMYFUNCTION("""COMPUTED_VALUE"""),10.17978797734363)</f>
        <v>10.17978798</v>
      </c>
      <c r="I456" s="14">
        <f>IFERROR(__xludf.DUMMYFUNCTION("""COMPUTED_VALUE"""),2.0)</f>
        <v>2</v>
      </c>
      <c r="J456" s="11">
        <f>IFERROR(__xludf.DUMMYFUNCTION("IFERROR(FILTER(Stats!$F:$Z,(Stats!$A:$A=$A456)*(Stats!$B:$B=$B456)))"),0.0)</f>
        <v>0</v>
      </c>
      <c r="K456" s="11">
        <f>IFERROR(__xludf.DUMMYFUNCTION("""COMPUTED_VALUE"""),2.0)</f>
        <v>2</v>
      </c>
      <c r="L456" s="12">
        <f>IFERROR(__xludf.DUMMYFUNCTION("""COMPUTED_VALUE"""),0.0)</f>
        <v>0</v>
      </c>
      <c r="M456" s="11">
        <f>IFERROR(__xludf.DUMMYFUNCTION("""COMPUTED_VALUE"""),0.0)</f>
        <v>0</v>
      </c>
      <c r="N456" s="11">
        <f>IFERROR(__xludf.DUMMYFUNCTION("""COMPUTED_VALUE"""),606.0)</f>
        <v>606</v>
      </c>
      <c r="O456" s="13">
        <f>IFERROR(__xludf.DUMMYFUNCTION("""COMPUTED_VALUE"""),1.0)</f>
        <v>1</v>
      </c>
      <c r="P456" s="14">
        <f>IFERROR(__xludf.DUMMYFUNCTION("""COMPUTED_VALUE"""),1.0)</f>
        <v>1</v>
      </c>
      <c r="Q456" s="13">
        <f>IFERROR(__xludf.DUMMYFUNCTION("""COMPUTED_VALUE"""),3.0)</f>
        <v>3</v>
      </c>
      <c r="R456" s="13">
        <f>IFERROR(__xludf.DUMMYFUNCTION("""COMPUTED_VALUE"""),4.0)</f>
        <v>4</v>
      </c>
      <c r="S456" s="15">
        <f>IFERROR(__xludf.DUMMYFUNCTION("""COMPUTED_VALUE"""),0.25)</f>
        <v>0.25</v>
      </c>
      <c r="T456" s="16">
        <f>IFERROR(__xludf.DUMMYFUNCTION("""COMPUTED_VALUE"""),303.0)</f>
        <v>303</v>
      </c>
      <c r="U456" s="16">
        <f>IFERROR(__xludf.DUMMYFUNCTION("""COMPUTED_VALUE"""),0.5)</f>
        <v>0.5</v>
      </c>
      <c r="V456" s="16">
        <f>IFERROR(__xludf.DUMMYFUNCTION("""COMPUTED_VALUE"""),0.5)</f>
        <v>0.5</v>
      </c>
      <c r="W456" s="16">
        <f>IFERROR(__xludf.DUMMYFUNCTION("""COMPUTED_VALUE"""),1.5)</f>
        <v>1.5</v>
      </c>
      <c r="X456" s="16">
        <f>IFERROR(__xludf.DUMMYFUNCTION("""COMPUTED_VALUE"""),2.0)</f>
        <v>2</v>
      </c>
      <c r="Y456" s="11">
        <f>IFERROR(__xludf.DUMMYFUNCTION("""COMPUTED_VALUE"""),0.0)</f>
        <v>0</v>
      </c>
      <c r="Z456" s="11">
        <f>IFERROR(__xludf.DUMMYFUNCTION("""COMPUTED_VALUE"""),0.0)</f>
        <v>0</v>
      </c>
      <c r="AA456" s="11">
        <f>IFERROR(__xludf.DUMMYFUNCTION("""COMPUTED_VALUE"""),0.0)</f>
        <v>0</v>
      </c>
      <c r="AB456" s="11">
        <f>IFERROR(__xludf.DUMMYFUNCTION("""COMPUTED_VALUE"""),1.0)</f>
        <v>1</v>
      </c>
      <c r="AC456" s="11">
        <f>IFERROR(__xludf.DUMMYFUNCTION("""COMPUTED_VALUE"""),1.0)</f>
        <v>1</v>
      </c>
      <c r="AD456" s="11">
        <f>IFERROR(__xludf.DUMMYFUNCTION("""COMPUTED_VALUE"""),5.0)</f>
        <v>5</v>
      </c>
    </row>
    <row r="457">
      <c r="A457" s="10" t="str">
        <f>IFERROR(__xludf.DUMMYFUNCTION("""COMPUTED_VALUE"""),"Premier")</f>
        <v>Premier</v>
      </c>
      <c r="B457" s="10" t="str">
        <f>IFERROR(__xludf.DUMMYFUNCTION("""COMPUTED_VALUE"""),"RSC000996")</f>
        <v>RSC000996</v>
      </c>
      <c r="C457" s="10" t="str">
        <f>IFERROR(__xludf.DUMMYFUNCTION("""COMPUTED_VALUE"""),"GreenSleeves")</f>
        <v>GreenSleeves</v>
      </c>
      <c r="D457" s="36" t="str">
        <f>IFERROR(__xludf.DUMMYFUNCTION("""COMPUTED_VALUE"""),"Gummy Bears")</f>
        <v>Gummy Bears</v>
      </c>
      <c r="E457" s="10" t="str">
        <f>IFERROR(__xludf.DUMMYFUNCTION("""COMPUTED_VALUE"""),"N/A")</f>
        <v>N/A</v>
      </c>
      <c r="F457" s="37">
        <f>IFERROR(__xludf.DUMMYFUNCTION("""COMPUTED_VALUE"""),13.998625223419367)</f>
        <v>13.99862522</v>
      </c>
      <c r="G457" s="38">
        <f>IFERROR(__xludf.DUMMYFUNCTION("""COMPUTED_VALUE"""),5.837616560378315)</f>
        <v>5.83761656</v>
      </c>
      <c r="H457" s="38">
        <f>IFERROR(__xludf.DUMMYFUNCTION("""COMPUTED_VALUE"""),9.918120891898841)</f>
        <v>9.918120892</v>
      </c>
      <c r="I457" s="14">
        <f>IFERROR(__xludf.DUMMYFUNCTION("""COMPUTED_VALUE"""),14.0)</f>
        <v>14</v>
      </c>
      <c r="J457" s="11">
        <f>IFERROR(__xludf.DUMMYFUNCTION("IFERROR(FILTER(Stats!$F:$Z,(Stats!$A:$A=$A457)*(Stats!$B:$B=$B457)))"),3.0)</f>
        <v>3</v>
      </c>
      <c r="K457" s="11">
        <f>IFERROR(__xludf.DUMMYFUNCTION("""COMPUTED_VALUE"""),11.0)</f>
        <v>11</v>
      </c>
      <c r="L457" s="12">
        <f>IFERROR(__xludf.DUMMYFUNCTION("""COMPUTED_VALUE"""),0.21428571428571427)</f>
        <v>0.2142857143</v>
      </c>
      <c r="M457" s="11">
        <f>IFERROR(__xludf.DUMMYFUNCTION("""COMPUTED_VALUE"""),1.0)</f>
        <v>1</v>
      </c>
      <c r="N457" s="11">
        <f>IFERROR(__xludf.DUMMYFUNCTION("""COMPUTED_VALUE"""),4290.0)</f>
        <v>4290</v>
      </c>
      <c r="O457" s="13">
        <f>IFERROR(__xludf.DUMMYFUNCTION("""COMPUTED_VALUE"""),6.0)</f>
        <v>6</v>
      </c>
      <c r="P457" s="14">
        <f>IFERROR(__xludf.DUMMYFUNCTION("""COMPUTED_VALUE"""),6.0)</f>
        <v>6</v>
      </c>
      <c r="Q457" s="13">
        <f>IFERROR(__xludf.DUMMYFUNCTION("""COMPUTED_VALUE"""),23.0)</f>
        <v>23</v>
      </c>
      <c r="R457" s="13">
        <f>IFERROR(__xludf.DUMMYFUNCTION("""COMPUTED_VALUE"""),36.0)</f>
        <v>36</v>
      </c>
      <c r="S457" s="15">
        <f>IFERROR(__xludf.DUMMYFUNCTION("""COMPUTED_VALUE"""),0.16666666666666666)</f>
        <v>0.1666666667</v>
      </c>
      <c r="T457" s="16">
        <f>IFERROR(__xludf.DUMMYFUNCTION("""COMPUTED_VALUE"""),306.42857142857144)</f>
        <v>306.4285714</v>
      </c>
      <c r="U457" s="16">
        <f>IFERROR(__xludf.DUMMYFUNCTION("""COMPUTED_VALUE"""),0.42857142857142855)</f>
        <v>0.4285714286</v>
      </c>
      <c r="V457" s="16">
        <f>IFERROR(__xludf.DUMMYFUNCTION("""COMPUTED_VALUE"""),0.42857142857142855)</f>
        <v>0.4285714286</v>
      </c>
      <c r="W457" s="16">
        <f>IFERROR(__xludf.DUMMYFUNCTION("""COMPUTED_VALUE"""),1.6428571428571428)</f>
        <v>1.642857143</v>
      </c>
      <c r="X457" s="16">
        <f>IFERROR(__xludf.DUMMYFUNCTION("""COMPUTED_VALUE"""),2.5714285714285716)</f>
        <v>2.571428571</v>
      </c>
      <c r="Y457" s="11">
        <f>IFERROR(__xludf.DUMMYFUNCTION("""COMPUTED_VALUE"""),0.0)</f>
        <v>0</v>
      </c>
      <c r="Z457" s="11">
        <f>IFERROR(__xludf.DUMMYFUNCTION("""COMPUTED_VALUE"""),0.0)</f>
        <v>0</v>
      </c>
      <c r="AA457" s="11">
        <f>IFERROR(__xludf.DUMMYFUNCTION("""COMPUTED_VALUE"""),0.0)</f>
        <v>0</v>
      </c>
      <c r="AB457" s="11">
        <f>IFERROR(__xludf.DUMMYFUNCTION("""COMPUTED_VALUE"""),4.0)</f>
        <v>4</v>
      </c>
      <c r="AC457" s="11">
        <f>IFERROR(__xludf.DUMMYFUNCTION("""COMPUTED_VALUE"""),17.0)</f>
        <v>17</v>
      </c>
      <c r="AD457" s="11">
        <f>IFERROR(__xludf.DUMMYFUNCTION("""COMPUTED_VALUE"""),19.0)</f>
        <v>19</v>
      </c>
    </row>
    <row r="458">
      <c r="A458" s="10" t="str">
        <f>IFERROR(__xludf.DUMMYFUNCTION("""COMPUTED_VALUE"""),"Premier")</f>
        <v>Premier</v>
      </c>
      <c r="B458" s="10" t="str">
        <f>IFERROR(__xludf.DUMMYFUNCTION("""COMPUTED_VALUE"""),"RSC007924")</f>
        <v>RSC007924</v>
      </c>
      <c r="C458" s="10" t="str">
        <f>IFERROR(__xludf.DUMMYFUNCTION("""COMPUTED_VALUE"""),"Kaorix")</f>
        <v>Kaorix</v>
      </c>
      <c r="D458" s="36" t="str">
        <f>IFERROR(__xludf.DUMMYFUNCTION("""COMPUTED_VALUE"""),"Interstellar")</f>
        <v>Interstellar</v>
      </c>
      <c r="E458" s="10" t="str">
        <f>IFERROR(__xludf.DUMMYFUNCTION("""COMPUTED_VALUE"""),"N/A")</f>
        <v>N/A</v>
      </c>
      <c r="F458" s="37">
        <f>IFERROR(__xludf.DUMMYFUNCTION("""COMPUTED_VALUE"""),13.846537227426225)</f>
        <v>13.84653723</v>
      </c>
      <c r="G458" s="38">
        <f>IFERROR(__xludf.DUMMYFUNCTION("""COMPUTED_VALUE"""),4.523711638573232)</f>
        <v>4.523711639</v>
      </c>
      <c r="H458" s="38">
        <f>IFERROR(__xludf.DUMMYFUNCTION("""COMPUTED_VALUE"""),9.185124432999729)</f>
        <v>9.185124433</v>
      </c>
      <c r="I458" s="14">
        <f>IFERROR(__xludf.DUMMYFUNCTION("""COMPUTED_VALUE"""),12.0)</f>
        <v>12</v>
      </c>
      <c r="J458" s="11">
        <f>IFERROR(__xludf.DUMMYFUNCTION("IFERROR(FILTER(Stats!$F:$Z,(Stats!$A:$A=$A458)*(Stats!$B:$B=$B458)))"),4.0)</f>
        <v>4</v>
      </c>
      <c r="K458" s="11">
        <f>IFERROR(__xludf.DUMMYFUNCTION("""COMPUTED_VALUE"""),8.0)</f>
        <v>8</v>
      </c>
      <c r="L458" s="12">
        <f>IFERROR(__xludf.DUMMYFUNCTION("""COMPUTED_VALUE"""),0.3333333333333333)</f>
        <v>0.3333333333</v>
      </c>
      <c r="M458" s="11">
        <f>IFERROR(__xludf.DUMMYFUNCTION("""COMPUTED_VALUE"""),2.0)</f>
        <v>2</v>
      </c>
      <c r="N458" s="11">
        <f>IFERROR(__xludf.DUMMYFUNCTION("""COMPUTED_VALUE"""),3737.0)</f>
        <v>3737</v>
      </c>
      <c r="O458" s="13">
        <f>IFERROR(__xludf.DUMMYFUNCTION("""COMPUTED_VALUE"""),6.0)</f>
        <v>6</v>
      </c>
      <c r="P458" s="14">
        <f>IFERROR(__xludf.DUMMYFUNCTION("""COMPUTED_VALUE"""),3.0)</f>
        <v>3</v>
      </c>
      <c r="Q458" s="13">
        <f>IFERROR(__xludf.DUMMYFUNCTION("""COMPUTED_VALUE"""),21.0)</f>
        <v>21</v>
      </c>
      <c r="R458" s="13">
        <f>IFERROR(__xludf.DUMMYFUNCTION("""COMPUTED_VALUE"""),23.0)</f>
        <v>23</v>
      </c>
      <c r="S458" s="15">
        <f>IFERROR(__xludf.DUMMYFUNCTION("""COMPUTED_VALUE"""),0.2608695652173913)</f>
        <v>0.2608695652</v>
      </c>
      <c r="T458" s="16">
        <f>IFERROR(__xludf.DUMMYFUNCTION("""COMPUTED_VALUE"""),311.4166666666667)</f>
        <v>311.4166667</v>
      </c>
      <c r="U458" s="16">
        <f>IFERROR(__xludf.DUMMYFUNCTION("""COMPUTED_VALUE"""),0.5)</f>
        <v>0.5</v>
      </c>
      <c r="V458" s="16">
        <f>IFERROR(__xludf.DUMMYFUNCTION("""COMPUTED_VALUE"""),0.25)</f>
        <v>0.25</v>
      </c>
      <c r="W458" s="16">
        <f>IFERROR(__xludf.DUMMYFUNCTION("""COMPUTED_VALUE"""),1.75)</f>
        <v>1.75</v>
      </c>
      <c r="X458" s="16">
        <f>IFERROR(__xludf.DUMMYFUNCTION("""COMPUTED_VALUE"""),1.9166666666666667)</f>
        <v>1.916666667</v>
      </c>
      <c r="Y458" s="11">
        <f>IFERROR(__xludf.DUMMYFUNCTION("""COMPUTED_VALUE"""),3.0)</f>
        <v>3</v>
      </c>
      <c r="Z458" s="11">
        <f>IFERROR(__xludf.DUMMYFUNCTION("""COMPUTED_VALUE"""),0.0)</f>
        <v>0</v>
      </c>
      <c r="AA458" s="11">
        <f>IFERROR(__xludf.DUMMYFUNCTION("""COMPUTED_VALUE"""),0.0)</f>
        <v>0</v>
      </c>
      <c r="AB458" s="11">
        <f>IFERROR(__xludf.DUMMYFUNCTION("""COMPUTED_VALUE"""),6.0)</f>
        <v>6</v>
      </c>
      <c r="AC458" s="11">
        <f>IFERROR(__xludf.DUMMYFUNCTION("""COMPUTED_VALUE"""),23.0)</f>
        <v>23</v>
      </c>
      <c r="AD458" s="11">
        <f>IFERROR(__xludf.DUMMYFUNCTION("""COMPUTED_VALUE"""),18.0)</f>
        <v>18</v>
      </c>
    </row>
    <row r="459">
      <c r="A459" s="10" t="str">
        <f>IFERROR(__xludf.DUMMYFUNCTION("""COMPUTED_VALUE"""),"Prospect")</f>
        <v>Prospect</v>
      </c>
      <c r="B459" s="10" t="str">
        <f>IFERROR(__xludf.DUMMYFUNCTION("""COMPUTED_VALUE"""),"RSC000379")</f>
        <v>RSC000379</v>
      </c>
      <c r="C459" s="10" t="str">
        <f>IFERROR(__xludf.DUMMYFUNCTION("""COMPUTED_VALUE"""),"DrizzyJ")</f>
        <v>DrizzyJ</v>
      </c>
      <c r="D459" s="36" t="str">
        <f>IFERROR(__xludf.DUMMYFUNCTION("""COMPUTED_VALUE"""),"Hostile Takeover")</f>
        <v>Hostile Takeover</v>
      </c>
      <c r="E459" s="10" t="str">
        <f>IFERROR(__xludf.DUMMYFUNCTION("""COMPUTED_VALUE"""),"N/A")</f>
        <v>N/A</v>
      </c>
      <c r="F459" s="37">
        <f>IFERROR(__xludf.DUMMYFUNCTION("""COMPUTED_VALUE"""),104.36252148415554)</f>
        <v>104.3625215</v>
      </c>
      <c r="G459" s="38">
        <f>IFERROR(__xludf.DUMMYFUNCTION("""COMPUTED_VALUE"""),119.23921706082918)</f>
        <v>119.2392171</v>
      </c>
      <c r="H459" s="38">
        <f>IFERROR(__xludf.DUMMYFUNCTION("""COMPUTED_VALUE"""),111.80086927249235)</f>
        <v>111.8008693</v>
      </c>
      <c r="I459" s="14">
        <f>IFERROR(__xludf.DUMMYFUNCTION("""COMPUTED_VALUE"""),52.0)</f>
        <v>52</v>
      </c>
      <c r="J459" s="11">
        <f>IFERROR(__xludf.DUMMYFUNCTION("IFERROR(FILTER(Stats!$F:$Z,(Stats!$A:$A=$A459)*(Stats!$B:$B=$B459)))"),40.0)</f>
        <v>40</v>
      </c>
      <c r="K459" s="11">
        <f>IFERROR(__xludf.DUMMYFUNCTION("""COMPUTED_VALUE"""),12.0)</f>
        <v>12</v>
      </c>
      <c r="L459" s="12">
        <f>IFERROR(__xludf.DUMMYFUNCTION("""COMPUTED_VALUE"""),0.7692307692307693)</f>
        <v>0.7692307692</v>
      </c>
      <c r="M459" s="11">
        <f>IFERROR(__xludf.DUMMYFUNCTION("""COMPUTED_VALUE"""),25.0)</f>
        <v>25</v>
      </c>
      <c r="N459" s="11">
        <f>IFERROR(__xludf.DUMMYFUNCTION("""COMPUTED_VALUE"""),23777.0)</f>
        <v>23777</v>
      </c>
      <c r="O459" s="13">
        <f>IFERROR(__xludf.DUMMYFUNCTION("""COMPUTED_VALUE"""),70.0)</f>
        <v>70</v>
      </c>
      <c r="P459" s="14">
        <f>IFERROR(__xludf.DUMMYFUNCTION("""COMPUTED_VALUE"""),45.0)</f>
        <v>45</v>
      </c>
      <c r="Q459" s="13">
        <f>IFERROR(__xludf.DUMMYFUNCTION("""COMPUTED_VALUE"""),71.0)</f>
        <v>71</v>
      </c>
      <c r="R459" s="13">
        <f>IFERROR(__xludf.DUMMYFUNCTION("""COMPUTED_VALUE"""),185.0)</f>
        <v>185</v>
      </c>
      <c r="S459" s="15">
        <f>IFERROR(__xludf.DUMMYFUNCTION("""COMPUTED_VALUE"""),0.3783783783783784)</f>
        <v>0.3783783784</v>
      </c>
      <c r="T459" s="16">
        <f>IFERROR(__xludf.DUMMYFUNCTION("""COMPUTED_VALUE"""),457.25)</f>
        <v>457.25</v>
      </c>
      <c r="U459" s="16">
        <f>IFERROR(__xludf.DUMMYFUNCTION("""COMPUTED_VALUE"""),1.3461538461538463)</f>
        <v>1.346153846</v>
      </c>
      <c r="V459" s="16">
        <f>IFERROR(__xludf.DUMMYFUNCTION("""COMPUTED_VALUE"""),0.8653846153846154)</f>
        <v>0.8653846154</v>
      </c>
      <c r="W459" s="16">
        <f>IFERROR(__xludf.DUMMYFUNCTION("""COMPUTED_VALUE"""),1.3653846153846154)</f>
        <v>1.365384615</v>
      </c>
      <c r="X459" s="16">
        <f>IFERROR(__xludf.DUMMYFUNCTION("""COMPUTED_VALUE"""),3.5576923076923075)</f>
        <v>3.557692308</v>
      </c>
      <c r="Y459" s="11">
        <f>IFERROR(__xludf.DUMMYFUNCTION("""COMPUTED_VALUE"""),14.0)</f>
        <v>14</v>
      </c>
      <c r="Z459" s="11">
        <f>IFERROR(__xludf.DUMMYFUNCTION("""COMPUTED_VALUE"""),9.0)</f>
        <v>9</v>
      </c>
      <c r="AA459" s="11">
        <f>IFERROR(__xludf.DUMMYFUNCTION("""COMPUTED_VALUE"""),5.0)</f>
        <v>5</v>
      </c>
      <c r="AB459" s="11">
        <f>IFERROR(__xludf.DUMMYFUNCTION("""COMPUTED_VALUE"""),8.0)</f>
        <v>8</v>
      </c>
      <c r="AC459" s="11">
        <f>IFERROR(__xludf.DUMMYFUNCTION("""COMPUTED_VALUE"""),21.0)</f>
        <v>21</v>
      </c>
      <c r="AD459" s="11">
        <f>IFERROR(__xludf.DUMMYFUNCTION("""COMPUTED_VALUE"""),51.0)</f>
        <v>51</v>
      </c>
    </row>
    <row r="460">
      <c r="A460" s="10" t="str">
        <f>IFERROR(__xludf.DUMMYFUNCTION("""COMPUTED_VALUE"""),"Prospect")</f>
        <v>Prospect</v>
      </c>
      <c r="B460" s="10" t="str">
        <f>IFERROR(__xludf.DUMMYFUNCTION("""COMPUTED_VALUE"""),"RSC002494")</f>
        <v>RSC002494</v>
      </c>
      <c r="C460" s="10" t="str">
        <f>IFERROR(__xludf.DUMMYFUNCTION("""COMPUTED_VALUE"""),"lone wolf")</f>
        <v>lone wolf</v>
      </c>
      <c r="D460" s="36" t="str">
        <f>IFERROR(__xludf.DUMMYFUNCTION("""COMPUTED_VALUE"""),"Hawaiian Pizza")</f>
        <v>Hawaiian Pizza</v>
      </c>
      <c r="E460" s="10" t="str">
        <f>IFERROR(__xludf.DUMMYFUNCTION("""COMPUTED_VALUE"""),"N/A")</f>
        <v>N/A</v>
      </c>
      <c r="F460" s="37">
        <f>IFERROR(__xludf.DUMMYFUNCTION("""COMPUTED_VALUE"""),72.90147234634703)</f>
        <v>72.90147235</v>
      </c>
      <c r="G460" s="38">
        <f>IFERROR(__xludf.DUMMYFUNCTION("""COMPUTED_VALUE"""),80.59772362117498)</f>
        <v>80.59772362</v>
      </c>
      <c r="H460" s="38">
        <f>IFERROR(__xludf.DUMMYFUNCTION("""COMPUTED_VALUE"""),76.749597983761)</f>
        <v>76.74959798</v>
      </c>
      <c r="I460" s="14">
        <f>IFERROR(__xludf.DUMMYFUNCTION("""COMPUTED_VALUE"""),39.0)</f>
        <v>39</v>
      </c>
      <c r="J460" s="11">
        <f>IFERROR(__xludf.DUMMYFUNCTION("IFERROR(FILTER(Stats!$F:$Z,(Stats!$A:$A=$A460)*(Stats!$B:$B=$B460)))"),21.0)</f>
        <v>21</v>
      </c>
      <c r="K460" s="11">
        <f>IFERROR(__xludf.DUMMYFUNCTION("""COMPUTED_VALUE"""),18.0)</f>
        <v>18</v>
      </c>
      <c r="L460" s="12">
        <f>IFERROR(__xludf.DUMMYFUNCTION("""COMPUTED_VALUE"""),0.5384615384615384)</f>
        <v>0.5384615385</v>
      </c>
      <c r="M460" s="11">
        <f>IFERROR(__xludf.DUMMYFUNCTION("""COMPUTED_VALUE"""),12.0)</f>
        <v>12</v>
      </c>
      <c r="N460" s="11">
        <f>IFERROR(__xludf.DUMMYFUNCTION("""COMPUTED_VALUE"""),14341.0)</f>
        <v>14341</v>
      </c>
      <c r="O460" s="13">
        <f>IFERROR(__xludf.DUMMYFUNCTION("""COMPUTED_VALUE"""),38.0)</f>
        <v>38</v>
      </c>
      <c r="P460" s="14">
        <f>IFERROR(__xludf.DUMMYFUNCTION("""COMPUTED_VALUE"""),14.0)</f>
        <v>14</v>
      </c>
      <c r="Q460" s="13">
        <f>IFERROR(__xludf.DUMMYFUNCTION("""COMPUTED_VALUE"""),44.0)</f>
        <v>44</v>
      </c>
      <c r="R460" s="13">
        <f>IFERROR(__xludf.DUMMYFUNCTION("""COMPUTED_VALUE"""),109.0)</f>
        <v>109</v>
      </c>
      <c r="S460" s="15">
        <f>IFERROR(__xludf.DUMMYFUNCTION("""COMPUTED_VALUE"""),0.3486238532110092)</f>
        <v>0.3486238532</v>
      </c>
      <c r="T460" s="16">
        <f>IFERROR(__xludf.DUMMYFUNCTION("""COMPUTED_VALUE"""),367.71794871794873)</f>
        <v>367.7179487</v>
      </c>
      <c r="U460" s="16">
        <f>IFERROR(__xludf.DUMMYFUNCTION("""COMPUTED_VALUE"""),0.9743589743589743)</f>
        <v>0.9743589744</v>
      </c>
      <c r="V460" s="16">
        <f>IFERROR(__xludf.DUMMYFUNCTION("""COMPUTED_VALUE"""),0.358974358974359)</f>
        <v>0.358974359</v>
      </c>
      <c r="W460" s="16">
        <f>IFERROR(__xludf.DUMMYFUNCTION("""COMPUTED_VALUE"""),1.1282051282051282)</f>
        <v>1.128205128</v>
      </c>
      <c r="X460" s="16">
        <f>IFERROR(__xludf.DUMMYFUNCTION("""COMPUTED_VALUE"""),2.7948717948717947)</f>
        <v>2.794871795</v>
      </c>
      <c r="Y460" s="11">
        <f>IFERROR(__xludf.DUMMYFUNCTION("""COMPUTED_VALUE"""),6.0)</f>
        <v>6</v>
      </c>
      <c r="Z460" s="11">
        <f>IFERROR(__xludf.DUMMYFUNCTION("""COMPUTED_VALUE"""),2.0)</f>
        <v>2</v>
      </c>
      <c r="AA460" s="11">
        <f>IFERROR(__xludf.DUMMYFUNCTION("""COMPUTED_VALUE"""),0.0)</f>
        <v>0</v>
      </c>
      <c r="AB460" s="11">
        <f>IFERROR(__xludf.DUMMYFUNCTION("""COMPUTED_VALUE"""),5.0)</f>
        <v>5</v>
      </c>
      <c r="AC460" s="11">
        <f>IFERROR(__xludf.DUMMYFUNCTION("""COMPUTED_VALUE"""),25.0)</f>
        <v>25</v>
      </c>
      <c r="AD460" s="11">
        <f>IFERROR(__xludf.DUMMYFUNCTION("""COMPUTED_VALUE"""),35.0)</f>
        <v>35</v>
      </c>
    </row>
    <row r="461">
      <c r="A461" s="10" t="str">
        <f>IFERROR(__xludf.DUMMYFUNCTION("""COMPUTED_VALUE"""),"Prospect")</f>
        <v>Prospect</v>
      </c>
      <c r="B461" s="10" t="str">
        <f>IFERROR(__xludf.DUMMYFUNCTION("""COMPUTED_VALUE"""),"RSC008257")</f>
        <v>RSC008257</v>
      </c>
      <c r="C461" s="10" t="str">
        <f>IFERROR(__xludf.DUMMYFUNCTION("""COMPUTED_VALUE"""),"Arana6059")</f>
        <v>Arana6059</v>
      </c>
      <c r="D461" s="36" t="str">
        <f>IFERROR(__xludf.DUMMYFUNCTION("""COMPUTED_VALUE"""),"Piranhas
Turbulence")</f>
        <v>Piranhas
Turbulence</v>
      </c>
      <c r="E461" s="10" t="str">
        <f>IFERROR(__xludf.DUMMYFUNCTION("""COMPUTED_VALUE"""),"N/A
N/A")</f>
        <v>N/A
N/A</v>
      </c>
      <c r="F461" s="37">
        <f>IFERROR(__xludf.DUMMYFUNCTION("""COMPUTED_VALUE"""),63.99182587045749)</f>
        <v>63.99182587</v>
      </c>
      <c r="G461" s="38">
        <f>IFERROR(__xludf.DUMMYFUNCTION("""COMPUTED_VALUE"""),87.29457494176441)</f>
        <v>87.29457494</v>
      </c>
      <c r="H461" s="38">
        <f>IFERROR(__xludf.DUMMYFUNCTION("""COMPUTED_VALUE"""),75.64320040611095)</f>
        <v>75.64320041</v>
      </c>
      <c r="I461" s="14">
        <f>IFERROR(__xludf.DUMMYFUNCTION("""COMPUTED_VALUE"""),31.0)</f>
        <v>31</v>
      </c>
      <c r="J461" s="11">
        <f>IFERROR(__xludf.DUMMYFUNCTION("IFERROR(FILTER(Stats!$F:$Z,(Stats!$A:$A=$A461)*(Stats!$B:$B=$B461)))"),24.0)</f>
        <v>24</v>
      </c>
      <c r="K461" s="11">
        <f>IFERROR(__xludf.DUMMYFUNCTION("""COMPUTED_VALUE"""),7.0)</f>
        <v>7</v>
      </c>
      <c r="L461" s="12">
        <f>IFERROR(__xludf.DUMMYFUNCTION("""COMPUTED_VALUE"""),0.7741935483870968)</f>
        <v>0.7741935484</v>
      </c>
      <c r="M461" s="11">
        <f>IFERROR(__xludf.DUMMYFUNCTION("""COMPUTED_VALUE"""),10.0)</f>
        <v>10</v>
      </c>
      <c r="N461" s="11">
        <f>IFERROR(__xludf.DUMMYFUNCTION("""COMPUTED_VALUE"""),11510.0)</f>
        <v>11510</v>
      </c>
      <c r="O461" s="13">
        <f>IFERROR(__xludf.DUMMYFUNCTION("""COMPUTED_VALUE"""),34.0)</f>
        <v>34</v>
      </c>
      <c r="P461" s="14">
        <f>IFERROR(__xludf.DUMMYFUNCTION("""COMPUTED_VALUE"""),16.0)</f>
        <v>16</v>
      </c>
      <c r="Q461" s="13">
        <f>IFERROR(__xludf.DUMMYFUNCTION("""COMPUTED_VALUE"""),30.0)</f>
        <v>30</v>
      </c>
      <c r="R461" s="13">
        <f>IFERROR(__xludf.DUMMYFUNCTION("""COMPUTED_VALUE"""),103.0)</f>
        <v>103</v>
      </c>
      <c r="S461" s="15">
        <f>IFERROR(__xludf.DUMMYFUNCTION("""COMPUTED_VALUE"""),0.3300970873786408)</f>
        <v>0.3300970874</v>
      </c>
      <c r="T461" s="16">
        <f>IFERROR(__xludf.DUMMYFUNCTION("""COMPUTED_VALUE"""),371.2903225806452)</f>
        <v>371.2903226</v>
      </c>
      <c r="U461" s="16">
        <f>IFERROR(__xludf.DUMMYFUNCTION("""COMPUTED_VALUE"""),1.096774193548387)</f>
        <v>1.096774194</v>
      </c>
      <c r="V461" s="16">
        <f>IFERROR(__xludf.DUMMYFUNCTION("""COMPUTED_VALUE"""),0.5161290322580645)</f>
        <v>0.5161290323</v>
      </c>
      <c r="W461" s="16">
        <f>IFERROR(__xludf.DUMMYFUNCTION("""COMPUTED_VALUE"""),0.967741935483871)</f>
        <v>0.9677419355</v>
      </c>
      <c r="X461" s="16">
        <f>IFERROR(__xludf.DUMMYFUNCTION("""COMPUTED_VALUE"""),3.3225806451612905)</f>
        <v>3.322580645</v>
      </c>
      <c r="Y461" s="11">
        <f>IFERROR(__xludf.DUMMYFUNCTION("""COMPUTED_VALUE"""),3.0)</f>
        <v>3</v>
      </c>
      <c r="Z461" s="11">
        <f>IFERROR(__xludf.DUMMYFUNCTION("""COMPUTED_VALUE"""),6.0)</f>
        <v>6</v>
      </c>
      <c r="AA461" s="11">
        <f>IFERROR(__xludf.DUMMYFUNCTION("""COMPUTED_VALUE"""),0.0)</f>
        <v>0</v>
      </c>
      <c r="AB461" s="11">
        <f>IFERROR(__xludf.DUMMYFUNCTION("""COMPUTED_VALUE"""),5.0)</f>
        <v>5</v>
      </c>
      <c r="AC461" s="11">
        <f>IFERROR(__xludf.DUMMYFUNCTION("""COMPUTED_VALUE"""),7.0)</f>
        <v>7</v>
      </c>
      <c r="AD461" s="11">
        <f>IFERROR(__xludf.DUMMYFUNCTION("""COMPUTED_VALUE"""),38.0)</f>
        <v>38</v>
      </c>
    </row>
    <row r="462">
      <c r="A462" s="10" t="str">
        <f>IFERROR(__xludf.DUMMYFUNCTION("""COMPUTED_VALUE"""),"Prospect")</f>
        <v>Prospect</v>
      </c>
      <c r="B462" s="10" t="str">
        <f>IFERROR(__xludf.DUMMYFUNCTION("""COMPUTED_VALUE"""),"RSC001619")</f>
        <v>RSC001619</v>
      </c>
      <c r="C462" s="10" t="str">
        <f>IFERROR(__xludf.DUMMYFUNCTION("""COMPUTED_VALUE"""),"Rob")</f>
        <v>Rob</v>
      </c>
      <c r="D462" s="36" t="str">
        <f>IFERROR(__xludf.DUMMYFUNCTION("""COMPUTED_VALUE"""),"Griffin")</f>
        <v>Griffin</v>
      </c>
      <c r="E462" s="10" t="str">
        <f>IFERROR(__xludf.DUMMYFUNCTION("""COMPUTED_VALUE"""),"N/A")</f>
        <v>N/A</v>
      </c>
      <c r="F462" s="37">
        <f>IFERROR(__xludf.DUMMYFUNCTION("""COMPUTED_VALUE"""),74.1277353332915)</f>
        <v>74.12773533</v>
      </c>
      <c r="G462" s="38">
        <f>IFERROR(__xludf.DUMMYFUNCTION("""COMPUTED_VALUE"""),73.7133292249561)</f>
        <v>73.71332922</v>
      </c>
      <c r="H462" s="38">
        <f>IFERROR(__xludf.DUMMYFUNCTION("""COMPUTED_VALUE"""),73.92053227912379)</f>
        <v>73.92053228</v>
      </c>
      <c r="I462" s="14">
        <f>IFERROR(__xludf.DUMMYFUNCTION("""COMPUTED_VALUE"""),56.0)</f>
        <v>56</v>
      </c>
      <c r="J462" s="11">
        <f>IFERROR(__xludf.DUMMYFUNCTION("IFERROR(FILTER(Stats!$F:$Z,(Stats!$A:$A=$A462)*(Stats!$B:$B=$B462)))"),31.0)</f>
        <v>31</v>
      </c>
      <c r="K462" s="11">
        <f>IFERROR(__xludf.DUMMYFUNCTION("""COMPUTED_VALUE"""),25.0)</f>
        <v>25</v>
      </c>
      <c r="L462" s="12">
        <f>IFERROR(__xludf.DUMMYFUNCTION("""COMPUTED_VALUE"""),0.5535714285714286)</f>
        <v>0.5535714286</v>
      </c>
      <c r="M462" s="11">
        <f>IFERROR(__xludf.DUMMYFUNCTION("""COMPUTED_VALUE"""),10.0)</f>
        <v>10</v>
      </c>
      <c r="N462" s="11">
        <f>IFERROR(__xludf.DUMMYFUNCTION("""COMPUTED_VALUE"""),20730.0)</f>
        <v>20730</v>
      </c>
      <c r="O462" s="13">
        <f>IFERROR(__xludf.DUMMYFUNCTION("""COMPUTED_VALUE"""),47.0)</f>
        <v>47</v>
      </c>
      <c r="P462" s="14">
        <f>IFERROR(__xludf.DUMMYFUNCTION("""COMPUTED_VALUE"""),30.0)</f>
        <v>30</v>
      </c>
      <c r="Q462" s="13">
        <f>IFERROR(__xludf.DUMMYFUNCTION("""COMPUTED_VALUE"""),69.0)</f>
        <v>69</v>
      </c>
      <c r="R462" s="13">
        <f>IFERROR(__xludf.DUMMYFUNCTION("""COMPUTED_VALUE"""),159.0)</f>
        <v>159</v>
      </c>
      <c r="S462" s="15">
        <f>IFERROR(__xludf.DUMMYFUNCTION("""COMPUTED_VALUE"""),0.29559748427672955)</f>
        <v>0.2955974843</v>
      </c>
      <c r="T462" s="16">
        <f>IFERROR(__xludf.DUMMYFUNCTION("""COMPUTED_VALUE"""),370.17857142857144)</f>
        <v>370.1785714</v>
      </c>
      <c r="U462" s="16">
        <f>IFERROR(__xludf.DUMMYFUNCTION("""COMPUTED_VALUE"""),0.8392857142857143)</f>
        <v>0.8392857143</v>
      </c>
      <c r="V462" s="16">
        <f>IFERROR(__xludf.DUMMYFUNCTION("""COMPUTED_VALUE"""),0.5357142857142857)</f>
        <v>0.5357142857</v>
      </c>
      <c r="W462" s="16">
        <f>IFERROR(__xludf.DUMMYFUNCTION("""COMPUTED_VALUE"""),1.2321428571428572)</f>
        <v>1.232142857</v>
      </c>
      <c r="X462" s="16">
        <f>IFERROR(__xludf.DUMMYFUNCTION("""COMPUTED_VALUE"""),2.8392857142857144)</f>
        <v>2.839285714</v>
      </c>
      <c r="Y462" s="11">
        <f>IFERROR(__xludf.DUMMYFUNCTION("""COMPUTED_VALUE"""),11.0)</f>
        <v>11</v>
      </c>
      <c r="Z462" s="11">
        <f>IFERROR(__xludf.DUMMYFUNCTION("""COMPUTED_VALUE"""),2.0)</f>
        <v>2</v>
      </c>
      <c r="AA462" s="11">
        <f>IFERROR(__xludf.DUMMYFUNCTION("""COMPUTED_VALUE"""),0.0)</f>
        <v>0</v>
      </c>
      <c r="AB462" s="11">
        <f>IFERROR(__xludf.DUMMYFUNCTION("""COMPUTED_VALUE"""),8.0)</f>
        <v>8</v>
      </c>
      <c r="AC462" s="11">
        <f>IFERROR(__xludf.DUMMYFUNCTION("""COMPUTED_VALUE"""),33.0)</f>
        <v>33</v>
      </c>
      <c r="AD462" s="11">
        <f>IFERROR(__xludf.DUMMYFUNCTION("""COMPUTED_VALUE"""),46.0)</f>
        <v>46</v>
      </c>
    </row>
    <row r="463">
      <c r="A463" s="10" t="str">
        <f>IFERROR(__xludf.DUMMYFUNCTION("""COMPUTED_VALUE"""),"Prospect")</f>
        <v>Prospect</v>
      </c>
      <c r="B463" s="10" t="str">
        <f>IFERROR(__xludf.DUMMYFUNCTION("""COMPUTED_VALUE"""),"RSC006919")</f>
        <v>RSC006919</v>
      </c>
      <c r="C463" s="10" t="str">
        <f>IFERROR(__xludf.DUMMYFUNCTION("""COMPUTED_VALUE"""),"rinny_b0y")</f>
        <v>rinny_b0y</v>
      </c>
      <c r="D463" s="36" t="str">
        <f>IFERROR(__xludf.DUMMYFUNCTION("""COMPUTED_VALUE"""),"Hostile Takeover")</f>
        <v>Hostile Takeover</v>
      </c>
      <c r="E463" s="10" t="str">
        <f>IFERROR(__xludf.DUMMYFUNCTION("""COMPUTED_VALUE"""),"N/A")</f>
        <v>N/A</v>
      </c>
      <c r="F463" s="37">
        <f>IFERROR(__xludf.DUMMYFUNCTION("""COMPUTED_VALUE"""),62.750757243198606)</f>
        <v>62.75075724</v>
      </c>
      <c r="G463" s="38">
        <f>IFERROR(__xludf.DUMMYFUNCTION("""COMPUTED_VALUE"""),84.85012689668736)</f>
        <v>84.8501269</v>
      </c>
      <c r="H463" s="38">
        <f>IFERROR(__xludf.DUMMYFUNCTION("""COMPUTED_VALUE"""),73.80044206994299)</f>
        <v>73.80044207</v>
      </c>
      <c r="I463" s="14">
        <f>IFERROR(__xludf.DUMMYFUNCTION("""COMPUTED_VALUE"""),39.0)</f>
        <v>39</v>
      </c>
      <c r="J463" s="11">
        <f>IFERROR(__xludf.DUMMYFUNCTION("IFERROR(FILTER(Stats!$F:$Z,(Stats!$A:$A=$A463)*(Stats!$B:$B=$B463)))"),26.0)</f>
        <v>26</v>
      </c>
      <c r="K463" s="11">
        <f>IFERROR(__xludf.DUMMYFUNCTION("""COMPUTED_VALUE"""),13.0)</f>
        <v>13</v>
      </c>
      <c r="L463" s="12">
        <f>IFERROR(__xludf.DUMMYFUNCTION("""COMPUTED_VALUE"""),0.6666666666666666)</f>
        <v>0.6666666667</v>
      </c>
      <c r="M463" s="11">
        <f>IFERROR(__xludf.DUMMYFUNCTION("""COMPUTED_VALUE"""),8.0)</f>
        <v>8</v>
      </c>
      <c r="N463" s="11">
        <f>IFERROR(__xludf.DUMMYFUNCTION("""COMPUTED_VALUE"""),14069.0)</f>
        <v>14069</v>
      </c>
      <c r="O463" s="13">
        <f>IFERROR(__xludf.DUMMYFUNCTION("""COMPUTED_VALUE"""),43.0)</f>
        <v>43</v>
      </c>
      <c r="P463" s="14">
        <f>IFERROR(__xludf.DUMMYFUNCTION("""COMPUTED_VALUE"""),23.0)</f>
        <v>23</v>
      </c>
      <c r="Q463" s="13">
        <f>IFERROR(__xludf.DUMMYFUNCTION("""COMPUTED_VALUE"""),50.0)</f>
        <v>50</v>
      </c>
      <c r="R463" s="13">
        <f>IFERROR(__xludf.DUMMYFUNCTION("""COMPUTED_VALUE"""),110.0)</f>
        <v>110</v>
      </c>
      <c r="S463" s="15">
        <f>IFERROR(__xludf.DUMMYFUNCTION("""COMPUTED_VALUE"""),0.39090909090909093)</f>
        <v>0.3909090909</v>
      </c>
      <c r="T463" s="16">
        <f>IFERROR(__xludf.DUMMYFUNCTION("""COMPUTED_VALUE"""),360.7435897435897)</f>
        <v>360.7435897</v>
      </c>
      <c r="U463" s="16">
        <f>IFERROR(__xludf.DUMMYFUNCTION("""COMPUTED_VALUE"""),1.1025641025641026)</f>
        <v>1.102564103</v>
      </c>
      <c r="V463" s="16">
        <f>IFERROR(__xludf.DUMMYFUNCTION("""COMPUTED_VALUE"""),0.5897435897435898)</f>
        <v>0.5897435897</v>
      </c>
      <c r="W463" s="16">
        <f>IFERROR(__xludf.DUMMYFUNCTION("""COMPUTED_VALUE"""),1.2820512820512822)</f>
        <v>1.282051282</v>
      </c>
      <c r="X463" s="16">
        <f>IFERROR(__xludf.DUMMYFUNCTION("""COMPUTED_VALUE"""),2.8205128205128207)</f>
        <v>2.820512821</v>
      </c>
      <c r="Y463" s="11">
        <f>IFERROR(__xludf.DUMMYFUNCTION("""COMPUTED_VALUE"""),7.0)</f>
        <v>7</v>
      </c>
      <c r="Z463" s="11">
        <f>IFERROR(__xludf.DUMMYFUNCTION("""COMPUTED_VALUE"""),5.0)</f>
        <v>5</v>
      </c>
      <c r="AA463" s="11">
        <f>IFERROR(__xludf.DUMMYFUNCTION("""COMPUTED_VALUE"""),1.0)</f>
        <v>1</v>
      </c>
      <c r="AB463" s="11">
        <f>IFERROR(__xludf.DUMMYFUNCTION("""COMPUTED_VALUE"""),4.0)</f>
        <v>4</v>
      </c>
      <c r="AC463" s="11">
        <f>IFERROR(__xludf.DUMMYFUNCTION("""COMPUTED_VALUE"""),20.0)</f>
        <v>20</v>
      </c>
      <c r="AD463" s="11">
        <f>IFERROR(__xludf.DUMMYFUNCTION("""COMPUTED_VALUE"""),35.0)</f>
        <v>35</v>
      </c>
    </row>
    <row r="464">
      <c r="A464" s="10" t="str">
        <f>IFERROR(__xludf.DUMMYFUNCTION("""COMPUTED_VALUE"""),"Prospect")</f>
        <v>Prospect</v>
      </c>
      <c r="B464" s="10" t="str">
        <f>IFERROR(__xludf.DUMMYFUNCTION("""COMPUTED_VALUE"""),"RSC008431")</f>
        <v>RSC008431</v>
      </c>
      <c r="C464" s="10" t="str">
        <f>IFERROR(__xludf.DUMMYFUNCTION("""COMPUTED_VALUE"""),"Wildragon112")</f>
        <v>Wildragon112</v>
      </c>
      <c r="D464" s="36" t="str">
        <f>IFERROR(__xludf.DUMMYFUNCTION("""COMPUTED_VALUE"""),"Turbulence")</f>
        <v>Turbulence</v>
      </c>
      <c r="E464" s="10" t="str">
        <f>IFERROR(__xludf.DUMMYFUNCTION("""COMPUTED_VALUE"""),"N/A")</f>
        <v>N/A</v>
      </c>
      <c r="F464" s="37">
        <f>IFERROR(__xludf.DUMMYFUNCTION("""COMPUTED_VALUE"""),69.2591684517925)</f>
        <v>69.25916845</v>
      </c>
      <c r="G464" s="38">
        <f>IFERROR(__xludf.DUMMYFUNCTION("""COMPUTED_VALUE"""),72.9116990650626)</f>
        <v>72.91169907</v>
      </c>
      <c r="H464" s="38">
        <f>IFERROR(__xludf.DUMMYFUNCTION("""COMPUTED_VALUE"""),71.08543375842756)</f>
        <v>71.08543376</v>
      </c>
      <c r="I464" s="14">
        <f>IFERROR(__xludf.DUMMYFUNCTION("""COMPUTED_VALUE"""),50.0)</f>
        <v>50</v>
      </c>
      <c r="J464" s="11">
        <f>IFERROR(__xludf.DUMMYFUNCTION("IFERROR(FILTER(Stats!$F:$Z,(Stats!$A:$A=$A464)*(Stats!$B:$B=$B464)))"),34.0)</f>
        <v>34</v>
      </c>
      <c r="K464" s="11">
        <f>IFERROR(__xludf.DUMMYFUNCTION("""COMPUTED_VALUE"""),16.0)</f>
        <v>16</v>
      </c>
      <c r="L464" s="12">
        <f>IFERROR(__xludf.DUMMYFUNCTION("""COMPUTED_VALUE"""),0.68)</f>
        <v>0.68</v>
      </c>
      <c r="M464" s="11">
        <f>IFERROR(__xludf.DUMMYFUNCTION("""COMPUTED_VALUE"""),13.0)</f>
        <v>13</v>
      </c>
      <c r="N464" s="11">
        <f>IFERROR(__xludf.DUMMYFUNCTION("""COMPUTED_VALUE"""),19213.0)</f>
        <v>19213</v>
      </c>
      <c r="O464" s="13">
        <f>IFERROR(__xludf.DUMMYFUNCTION("""COMPUTED_VALUE"""),46.0)</f>
        <v>46</v>
      </c>
      <c r="P464" s="14">
        <f>IFERROR(__xludf.DUMMYFUNCTION("""COMPUTED_VALUE"""),24.0)</f>
        <v>24</v>
      </c>
      <c r="Q464" s="13">
        <f>IFERROR(__xludf.DUMMYFUNCTION("""COMPUTED_VALUE"""),79.0)</f>
        <v>79</v>
      </c>
      <c r="R464" s="13">
        <f>IFERROR(__xludf.DUMMYFUNCTION("""COMPUTED_VALUE"""),133.0)</f>
        <v>133</v>
      </c>
      <c r="S464" s="15">
        <f>IFERROR(__xludf.DUMMYFUNCTION("""COMPUTED_VALUE"""),0.3458646616541353)</f>
        <v>0.3458646617</v>
      </c>
      <c r="T464" s="16">
        <f>IFERROR(__xludf.DUMMYFUNCTION("""COMPUTED_VALUE"""),384.26)</f>
        <v>384.26</v>
      </c>
      <c r="U464" s="16">
        <f>IFERROR(__xludf.DUMMYFUNCTION("""COMPUTED_VALUE"""),0.92)</f>
        <v>0.92</v>
      </c>
      <c r="V464" s="16">
        <f>IFERROR(__xludf.DUMMYFUNCTION("""COMPUTED_VALUE"""),0.48)</f>
        <v>0.48</v>
      </c>
      <c r="W464" s="16">
        <f>IFERROR(__xludf.DUMMYFUNCTION("""COMPUTED_VALUE"""),1.58)</f>
        <v>1.58</v>
      </c>
      <c r="X464" s="16">
        <f>IFERROR(__xludf.DUMMYFUNCTION("""COMPUTED_VALUE"""),2.66)</f>
        <v>2.66</v>
      </c>
      <c r="Y464" s="11">
        <f>IFERROR(__xludf.DUMMYFUNCTION("""COMPUTED_VALUE"""),7.0)</f>
        <v>7</v>
      </c>
      <c r="Z464" s="11">
        <f>IFERROR(__xludf.DUMMYFUNCTION("""COMPUTED_VALUE"""),4.0)</f>
        <v>4</v>
      </c>
      <c r="AA464" s="11">
        <f>IFERROR(__xludf.DUMMYFUNCTION("""COMPUTED_VALUE"""),1.0)</f>
        <v>1</v>
      </c>
      <c r="AB464" s="11">
        <f>IFERROR(__xludf.DUMMYFUNCTION("""COMPUTED_VALUE"""),11.0)</f>
        <v>11</v>
      </c>
      <c r="AC464" s="11">
        <f>IFERROR(__xludf.DUMMYFUNCTION("""COMPUTED_VALUE"""),35.0)</f>
        <v>35</v>
      </c>
      <c r="AD464" s="11">
        <f>IFERROR(__xludf.DUMMYFUNCTION("""COMPUTED_VALUE"""),48.0)</f>
        <v>48</v>
      </c>
    </row>
    <row r="465">
      <c r="A465" s="10" t="str">
        <f>IFERROR(__xludf.DUMMYFUNCTION("""COMPUTED_VALUE"""),"Prospect")</f>
        <v>Prospect</v>
      </c>
      <c r="B465" s="10" t="str">
        <f>IFERROR(__xludf.DUMMYFUNCTION("""COMPUTED_VALUE"""),"RSC007520")</f>
        <v>RSC007520</v>
      </c>
      <c r="C465" s="10" t="str">
        <f>IFERROR(__xludf.DUMMYFUNCTION("""COMPUTED_VALUE"""),"Blitzzzzz.")</f>
        <v>Blitzzzzz.</v>
      </c>
      <c r="D465" s="36" t="str">
        <f>IFERROR(__xludf.DUMMYFUNCTION("""COMPUTED_VALUE"""),"Honey Badgers
Hostile Takeover")</f>
        <v>Honey Badgers
Hostile Takeover</v>
      </c>
      <c r="E465" s="10" t="str">
        <f>IFERROR(__xludf.DUMMYFUNCTION("""COMPUTED_VALUE"""),"N/A
N/A")</f>
        <v>N/A
N/A</v>
      </c>
      <c r="F465" s="37">
        <f>IFERROR(__xludf.DUMMYFUNCTION("""COMPUTED_VALUE"""),68.52439593763631)</f>
        <v>68.52439594</v>
      </c>
      <c r="G465" s="38">
        <f>IFERROR(__xludf.DUMMYFUNCTION("""COMPUTED_VALUE"""),73.24016735393631)</f>
        <v>73.24016735</v>
      </c>
      <c r="H465" s="38">
        <f>IFERROR(__xludf.DUMMYFUNCTION("""COMPUTED_VALUE"""),70.88228164578632)</f>
        <v>70.88228165</v>
      </c>
      <c r="I465" s="14">
        <f>IFERROR(__xludf.DUMMYFUNCTION("""COMPUTED_VALUE"""),56.0)</f>
        <v>56</v>
      </c>
      <c r="J465" s="11">
        <f>IFERROR(__xludf.DUMMYFUNCTION("IFERROR(FILTER(Stats!$F:$Z,(Stats!$A:$A=$A465)*(Stats!$B:$B=$B465)))"),33.0)</f>
        <v>33</v>
      </c>
      <c r="K465" s="11">
        <f>IFERROR(__xludf.DUMMYFUNCTION("""COMPUTED_VALUE"""),23.0)</f>
        <v>23</v>
      </c>
      <c r="L465" s="12">
        <f>IFERROR(__xludf.DUMMYFUNCTION("""COMPUTED_VALUE"""),0.5892857142857143)</f>
        <v>0.5892857143</v>
      </c>
      <c r="M465" s="11">
        <f>IFERROR(__xludf.DUMMYFUNCTION("""COMPUTED_VALUE"""),11.0)</f>
        <v>11</v>
      </c>
      <c r="N465" s="11">
        <f>IFERROR(__xludf.DUMMYFUNCTION("""COMPUTED_VALUE"""),20319.0)</f>
        <v>20319</v>
      </c>
      <c r="O465" s="13">
        <f>IFERROR(__xludf.DUMMYFUNCTION("""COMPUTED_VALUE"""),58.0)</f>
        <v>58</v>
      </c>
      <c r="P465" s="14">
        <f>IFERROR(__xludf.DUMMYFUNCTION("""COMPUTED_VALUE"""),32.0)</f>
        <v>32</v>
      </c>
      <c r="Q465" s="13">
        <f>IFERROR(__xludf.DUMMYFUNCTION("""COMPUTED_VALUE"""),58.0)</f>
        <v>58</v>
      </c>
      <c r="R465" s="13">
        <f>IFERROR(__xludf.DUMMYFUNCTION("""COMPUTED_VALUE"""),146.0)</f>
        <v>146</v>
      </c>
      <c r="S465" s="15">
        <f>IFERROR(__xludf.DUMMYFUNCTION("""COMPUTED_VALUE"""),0.3972602739726027)</f>
        <v>0.397260274</v>
      </c>
      <c r="T465" s="16">
        <f>IFERROR(__xludf.DUMMYFUNCTION("""COMPUTED_VALUE"""),362.8392857142857)</f>
        <v>362.8392857</v>
      </c>
      <c r="U465" s="16">
        <f>IFERROR(__xludf.DUMMYFUNCTION("""COMPUTED_VALUE"""),1.0357142857142858)</f>
        <v>1.035714286</v>
      </c>
      <c r="V465" s="16">
        <f>IFERROR(__xludf.DUMMYFUNCTION("""COMPUTED_VALUE"""),0.5714285714285714)</f>
        <v>0.5714285714</v>
      </c>
      <c r="W465" s="16">
        <f>IFERROR(__xludf.DUMMYFUNCTION("""COMPUTED_VALUE"""),1.0357142857142858)</f>
        <v>1.035714286</v>
      </c>
      <c r="X465" s="16">
        <f>IFERROR(__xludf.DUMMYFUNCTION("""COMPUTED_VALUE"""),2.607142857142857)</f>
        <v>2.607142857</v>
      </c>
      <c r="Y465" s="11">
        <f>IFERROR(__xludf.DUMMYFUNCTION("""COMPUTED_VALUE"""),9.0)</f>
        <v>9</v>
      </c>
      <c r="Z465" s="11">
        <f>IFERROR(__xludf.DUMMYFUNCTION("""COMPUTED_VALUE"""),5.0)</f>
        <v>5</v>
      </c>
      <c r="AA465" s="11">
        <f>IFERROR(__xludf.DUMMYFUNCTION("""COMPUTED_VALUE"""),3.0)</f>
        <v>3</v>
      </c>
      <c r="AB465" s="11">
        <f>IFERROR(__xludf.DUMMYFUNCTION("""COMPUTED_VALUE"""),5.0)</f>
        <v>5</v>
      </c>
      <c r="AC465" s="11">
        <f>IFERROR(__xludf.DUMMYFUNCTION("""COMPUTED_VALUE"""),98.0)</f>
        <v>98</v>
      </c>
      <c r="AD465" s="11">
        <f>IFERROR(__xludf.DUMMYFUNCTION("""COMPUTED_VALUE"""),58.0)</f>
        <v>58</v>
      </c>
    </row>
    <row r="466">
      <c r="A466" s="10" t="str">
        <f>IFERROR(__xludf.DUMMYFUNCTION("""COMPUTED_VALUE"""),"Prospect")</f>
        <v>Prospect</v>
      </c>
      <c r="B466" s="10" t="str">
        <f>IFERROR(__xludf.DUMMYFUNCTION("""COMPUTED_VALUE"""),"RSC008187")</f>
        <v>RSC008187</v>
      </c>
      <c r="C466" s="10" t="str">
        <f>IFERROR(__xludf.DUMMYFUNCTION("""COMPUTED_VALUE"""),"Tonini08")</f>
        <v>Tonini08</v>
      </c>
      <c r="D466" s="36" t="str">
        <f>IFERROR(__xludf.DUMMYFUNCTION("""COMPUTED_VALUE"""),"Blacktips")</f>
        <v>Blacktips</v>
      </c>
      <c r="E466" s="10" t="str">
        <f>IFERROR(__xludf.DUMMYFUNCTION("""COMPUTED_VALUE"""),"N/A")</f>
        <v>N/A</v>
      </c>
      <c r="F466" s="37">
        <f>IFERROR(__xludf.DUMMYFUNCTION("""COMPUTED_VALUE"""),67.56432110744812)</f>
        <v>67.56432111</v>
      </c>
      <c r="G466" s="38">
        <f>IFERROR(__xludf.DUMMYFUNCTION("""COMPUTED_VALUE"""),74.13827020046662)</f>
        <v>74.1382702</v>
      </c>
      <c r="H466" s="38">
        <f>IFERROR(__xludf.DUMMYFUNCTION("""COMPUTED_VALUE"""),70.85129565395738)</f>
        <v>70.85129565</v>
      </c>
      <c r="I466" s="14">
        <f>IFERROR(__xludf.DUMMYFUNCTION("""COMPUTED_VALUE"""),55.0)</f>
        <v>55</v>
      </c>
      <c r="J466" s="11">
        <f>IFERROR(__xludf.DUMMYFUNCTION("IFERROR(FILTER(Stats!$F:$Z,(Stats!$A:$A=$A466)*(Stats!$B:$B=$B466)))"),36.0)</f>
        <v>36</v>
      </c>
      <c r="K466" s="11">
        <f>IFERROR(__xludf.DUMMYFUNCTION("""COMPUTED_VALUE"""),19.0)</f>
        <v>19</v>
      </c>
      <c r="L466" s="12">
        <f>IFERROR(__xludf.DUMMYFUNCTION("""COMPUTED_VALUE"""),0.6545454545454545)</f>
        <v>0.6545454545</v>
      </c>
      <c r="M466" s="11">
        <f>IFERROR(__xludf.DUMMYFUNCTION("""COMPUTED_VALUE"""),15.0)</f>
        <v>15</v>
      </c>
      <c r="N466" s="11">
        <f>IFERROR(__xludf.DUMMYFUNCTION("""COMPUTED_VALUE"""),20417.0)</f>
        <v>20417</v>
      </c>
      <c r="O466" s="13">
        <f>IFERROR(__xludf.DUMMYFUNCTION("""COMPUTED_VALUE"""),53.0)</f>
        <v>53</v>
      </c>
      <c r="P466" s="14">
        <f>IFERROR(__xludf.DUMMYFUNCTION("""COMPUTED_VALUE"""),29.0)</f>
        <v>29</v>
      </c>
      <c r="Q466" s="13">
        <f>IFERROR(__xludf.DUMMYFUNCTION("""COMPUTED_VALUE"""),68.0)</f>
        <v>68</v>
      </c>
      <c r="R466" s="13">
        <f>IFERROR(__xludf.DUMMYFUNCTION("""COMPUTED_VALUE"""),150.0)</f>
        <v>150</v>
      </c>
      <c r="S466" s="15">
        <f>IFERROR(__xludf.DUMMYFUNCTION("""COMPUTED_VALUE"""),0.35333333333333333)</f>
        <v>0.3533333333</v>
      </c>
      <c r="T466" s="16">
        <f>IFERROR(__xludf.DUMMYFUNCTION("""COMPUTED_VALUE"""),371.2181818181818)</f>
        <v>371.2181818</v>
      </c>
      <c r="U466" s="16">
        <f>IFERROR(__xludf.DUMMYFUNCTION("""COMPUTED_VALUE"""),0.9636363636363636)</f>
        <v>0.9636363636</v>
      </c>
      <c r="V466" s="16">
        <f>IFERROR(__xludf.DUMMYFUNCTION("""COMPUTED_VALUE"""),0.5272727272727272)</f>
        <v>0.5272727273</v>
      </c>
      <c r="W466" s="16">
        <f>IFERROR(__xludf.DUMMYFUNCTION("""COMPUTED_VALUE"""),1.2363636363636363)</f>
        <v>1.236363636</v>
      </c>
      <c r="X466" s="16">
        <f>IFERROR(__xludf.DUMMYFUNCTION("""COMPUTED_VALUE"""),2.727272727272727)</f>
        <v>2.727272727</v>
      </c>
      <c r="Y466" s="11">
        <f>IFERROR(__xludf.DUMMYFUNCTION("""COMPUTED_VALUE"""),9.0)</f>
        <v>9</v>
      </c>
      <c r="Z466" s="11">
        <f>IFERROR(__xludf.DUMMYFUNCTION("""COMPUTED_VALUE"""),6.0)</f>
        <v>6</v>
      </c>
      <c r="AA466" s="11">
        <f>IFERROR(__xludf.DUMMYFUNCTION("""COMPUTED_VALUE"""),1.0)</f>
        <v>1</v>
      </c>
      <c r="AB466" s="11">
        <f>IFERROR(__xludf.DUMMYFUNCTION("""COMPUTED_VALUE"""),7.0)</f>
        <v>7</v>
      </c>
      <c r="AC466" s="11">
        <f>IFERROR(__xludf.DUMMYFUNCTION("""COMPUTED_VALUE"""),52.0)</f>
        <v>52</v>
      </c>
      <c r="AD466" s="11">
        <f>IFERROR(__xludf.DUMMYFUNCTION("""COMPUTED_VALUE"""),52.0)</f>
        <v>52</v>
      </c>
    </row>
    <row r="467">
      <c r="A467" s="10" t="str">
        <f>IFERROR(__xludf.DUMMYFUNCTION("""COMPUTED_VALUE"""),"Prospect")</f>
        <v>Prospect</v>
      </c>
      <c r="B467" s="10" t="str">
        <f>IFERROR(__xludf.DUMMYFUNCTION("""COMPUTED_VALUE"""),"RSC003429")</f>
        <v>RSC003429</v>
      </c>
      <c r="C467" s="10" t="str">
        <f>IFERROR(__xludf.DUMMYFUNCTION("""COMPUTED_VALUE"""),"Gambit")</f>
        <v>Gambit</v>
      </c>
      <c r="D467" s="36" t="str">
        <f>IFERROR(__xludf.DUMMYFUNCTION("""COMPUTED_VALUE"""),"Tanuki")</f>
        <v>Tanuki</v>
      </c>
      <c r="E467" s="10" t="str">
        <f>IFERROR(__xludf.DUMMYFUNCTION("""COMPUTED_VALUE"""),"N/A")</f>
        <v>N/A</v>
      </c>
      <c r="F467" s="37">
        <f>IFERROR(__xludf.DUMMYFUNCTION("""COMPUTED_VALUE"""),74.42311133343325)</f>
        <v>74.42311133</v>
      </c>
      <c r="G467" s="38">
        <f>IFERROR(__xludf.DUMMYFUNCTION("""COMPUTED_VALUE"""),66.86303401514239)</f>
        <v>66.86303402</v>
      </c>
      <c r="H467" s="38">
        <f>IFERROR(__xludf.DUMMYFUNCTION("""COMPUTED_VALUE"""),70.64307267428782)</f>
        <v>70.64307267</v>
      </c>
      <c r="I467" s="14">
        <f>IFERROR(__xludf.DUMMYFUNCTION("""COMPUTED_VALUE"""),47.0)</f>
        <v>47</v>
      </c>
      <c r="J467" s="11">
        <f>IFERROR(__xludf.DUMMYFUNCTION("IFERROR(FILTER(Stats!$F:$Z,(Stats!$A:$A=$A467)*(Stats!$B:$B=$B467)))"),21.0)</f>
        <v>21</v>
      </c>
      <c r="K467" s="11">
        <f>IFERROR(__xludf.DUMMYFUNCTION("""COMPUTED_VALUE"""),26.0)</f>
        <v>26</v>
      </c>
      <c r="L467" s="12">
        <f>IFERROR(__xludf.DUMMYFUNCTION("""COMPUTED_VALUE"""),0.44680851063829785)</f>
        <v>0.4468085106</v>
      </c>
      <c r="M467" s="11">
        <f>IFERROR(__xludf.DUMMYFUNCTION("""COMPUTED_VALUE"""),9.0)</f>
        <v>9</v>
      </c>
      <c r="N467" s="11">
        <f>IFERROR(__xludf.DUMMYFUNCTION("""COMPUTED_VALUE"""),16537.0)</f>
        <v>16537</v>
      </c>
      <c r="O467" s="13">
        <f>IFERROR(__xludf.DUMMYFUNCTION("""COMPUTED_VALUE"""),45.0)</f>
        <v>45</v>
      </c>
      <c r="P467" s="14">
        <f>IFERROR(__xludf.DUMMYFUNCTION("""COMPUTED_VALUE"""),23.0)</f>
        <v>23</v>
      </c>
      <c r="Q467" s="13">
        <f>IFERROR(__xludf.DUMMYFUNCTION("""COMPUTED_VALUE"""),51.0)</f>
        <v>51</v>
      </c>
      <c r="R467" s="13">
        <f>IFERROR(__xludf.DUMMYFUNCTION("""COMPUTED_VALUE"""),128.0)</f>
        <v>128</v>
      </c>
      <c r="S467" s="15">
        <f>IFERROR(__xludf.DUMMYFUNCTION("""COMPUTED_VALUE"""),0.3515625)</f>
        <v>0.3515625</v>
      </c>
      <c r="T467" s="16">
        <f>IFERROR(__xludf.DUMMYFUNCTION("""COMPUTED_VALUE"""),351.8510638297872)</f>
        <v>351.8510638</v>
      </c>
      <c r="U467" s="16">
        <f>IFERROR(__xludf.DUMMYFUNCTION("""COMPUTED_VALUE"""),0.9574468085106383)</f>
        <v>0.9574468085</v>
      </c>
      <c r="V467" s="16">
        <f>IFERROR(__xludf.DUMMYFUNCTION("""COMPUTED_VALUE"""),0.48936170212765956)</f>
        <v>0.4893617021</v>
      </c>
      <c r="W467" s="16">
        <f>IFERROR(__xludf.DUMMYFUNCTION("""COMPUTED_VALUE"""),1.0851063829787233)</f>
        <v>1.085106383</v>
      </c>
      <c r="X467" s="16">
        <f>IFERROR(__xludf.DUMMYFUNCTION("""COMPUTED_VALUE"""),2.723404255319149)</f>
        <v>2.723404255</v>
      </c>
      <c r="Y467" s="11">
        <f>IFERROR(__xludf.DUMMYFUNCTION("""COMPUTED_VALUE"""),9.0)</f>
        <v>9</v>
      </c>
      <c r="Z467" s="11">
        <f>IFERROR(__xludf.DUMMYFUNCTION("""COMPUTED_VALUE"""),5.0)</f>
        <v>5</v>
      </c>
      <c r="AA467" s="11">
        <f>IFERROR(__xludf.DUMMYFUNCTION("""COMPUTED_VALUE"""),0.0)</f>
        <v>0</v>
      </c>
      <c r="AB467" s="11">
        <f>IFERROR(__xludf.DUMMYFUNCTION("""COMPUTED_VALUE"""),4.0)</f>
        <v>4</v>
      </c>
      <c r="AC467" s="11">
        <f>IFERROR(__xludf.DUMMYFUNCTION("""COMPUTED_VALUE"""),27.0)</f>
        <v>27</v>
      </c>
      <c r="AD467" s="11">
        <f>IFERROR(__xludf.DUMMYFUNCTION("""COMPUTED_VALUE"""),45.0)</f>
        <v>45</v>
      </c>
    </row>
    <row r="468">
      <c r="A468" s="10" t="str">
        <f>IFERROR(__xludf.DUMMYFUNCTION("""COMPUTED_VALUE"""),"Prospect")</f>
        <v>Prospect</v>
      </c>
      <c r="B468" s="10" t="str">
        <f>IFERROR(__xludf.DUMMYFUNCTION("""COMPUTED_VALUE"""),"RSC008106")</f>
        <v>RSC008106</v>
      </c>
      <c r="C468" s="10" t="str">
        <f>IFERROR(__xludf.DUMMYFUNCTION("""COMPUTED_VALUE"""),"M0USE_1")</f>
        <v>M0USE_1</v>
      </c>
      <c r="D468" s="36" t="str">
        <f>IFERROR(__xludf.DUMMYFUNCTION("""COMPUTED_VALUE"""),"Blacktips")</f>
        <v>Blacktips</v>
      </c>
      <c r="E468" s="10" t="str">
        <f>IFERROR(__xludf.DUMMYFUNCTION("""COMPUTED_VALUE"""),"N/A")</f>
        <v>N/A</v>
      </c>
      <c r="F468" s="37">
        <f>IFERROR(__xludf.DUMMYFUNCTION("""COMPUTED_VALUE"""),67.22667969103776)</f>
        <v>67.22667969</v>
      </c>
      <c r="G468" s="38">
        <f>IFERROR(__xludf.DUMMYFUNCTION("""COMPUTED_VALUE"""),70.80573311154137)</f>
        <v>70.80573311</v>
      </c>
      <c r="H468" s="38">
        <f>IFERROR(__xludf.DUMMYFUNCTION("""COMPUTED_VALUE"""),69.01620640128957)</f>
        <v>69.0162064</v>
      </c>
      <c r="I468" s="14">
        <f>IFERROR(__xludf.DUMMYFUNCTION("""COMPUTED_VALUE"""),56.0)</f>
        <v>56</v>
      </c>
      <c r="J468" s="11">
        <f>IFERROR(__xludf.DUMMYFUNCTION("IFERROR(FILTER(Stats!$F:$Z,(Stats!$A:$A=$A468)*(Stats!$B:$B=$B468)))"),36.0)</f>
        <v>36</v>
      </c>
      <c r="K468" s="11">
        <f>IFERROR(__xludf.DUMMYFUNCTION("""COMPUTED_VALUE"""),20.0)</f>
        <v>20</v>
      </c>
      <c r="L468" s="12">
        <f>IFERROR(__xludf.DUMMYFUNCTION("""COMPUTED_VALUE"""),0.6428571428571429)</f>
        <v>0.6428571429</v>
      </c>
      <c r="M468" s="11">
        <f>IFERROR(__xludf.DUMMYFUNCTION("""COMPUTED_VALUE"""),10.0)</f>
        <v>10</v>
      </c>
      <c r="N468" s="11">
        <f>IFERROR(__xludf.DUMMYFUNCTION("""COMPUTED_VALUE"""),19869.0)</f>
        <v>19869</v>
      </c>
      <c r="O468" s="13">
        <f>IFERROR(__xludf.DUMMYFUNCTION("""COMPUTED_VALUE"""),48.0)</f>
        <v>48</v>
      </c>
      <c r="P468" s="14">
        <f>IFERROR(__xludf.DUMMYFUNCTION("""COMPUTED_VALUE"""),40.0)</f>
        <v>40</v>
      </c>
      <c r="Q468" s="13">
        <f>IFERROR(__xludf.DUMMYFUNCTION("""COMPUTED_VALUE"""),68.0)</f>
        <v>68</v>
      </c>
      <c r="R468" s="13">
        <f>IFERROR(__xludf.DUMMYFUNCTION("""COMPUTED_VALUE"""),145.0)</f>
        <v>145</v>
      </c>
      <c r="S468" s="15">
        <f>IFERROR(__xludf.DUMMYFUNCTION("""COMPUTED_VALUE"""),0.3310344827586207)</f>
        <v>0.3310344828</v>
      </c>
      <c r="T468" s="16">
        <f>IFERROR(__xludf.DUMMYFUNCTION("""COMPUTED_VALUE"""),354.80357142857144)</f>
        <v>354.8035714</v>
      </c>
      <c r="U468" s="16">
        <f>IFERROR(__xludf.DUMMYFUNCTION("""COMPUTED_VALUE"""),0.8571428571428571)</f>
        <v>0.8571428571</v>
      </c>
      <c r="V468" s="16">
        <f>IFERROR(__xludf.DUMMYFUNCTION("""COMPUTED_VALUE"""),0.7142857142857143)</f>
        <v>0.7142857143</v>
      </c>
      <c r="W468" s="16">
        <f>IFERROR(__xludf.DUMMYFUNCTION("""COMPUTED_VALUE"""),1.2142857142857142)</f>
        <v>1.214285714</v>
      </c>
      <c r="X468" s="16">
        <f>IFERROR(__xludf.DUMMYFUNCTION("""COMPUTED_VALUE"""),2.5892857142857144)</f>
        <v>2.589285714</v>
      </c>
      <c r="Y468" s="11">
        <f>IFERROR(__xludf.DUMMYFUNCTION("""COMPUTED_VALUE"""),16.0)</f>
        <v>16</v>
      </c>
      <c r="Z468" s="11">
        <f>IFERROR(__xludf.DUMMYFUNCTION("""COMPUTED_VALUE"""),3.0)</f>
        <v>3</v>
      </c>
      <c r="AA468" s="11">
        <f>IFERROR(__xludf.DUMMYFUNCTION("""COMPUTED_VALUE"""),3.0)</f>
        <v>3</v>
      </c>
      <c r="AB468" s="11">
        <f>IFERROR(__xludf.DUMMYFUNCTION("""COMPUTED_VALUE"""),6.0)</f>
        <v>6</v>
      </c>
      <c r="AC468" s="11">
        <f>IFERROR(__xludf.DUMMYFUNCTION("""COMPUTED_VALUE"""),61.0)</f>
        <v>61</v>
      </c>
      <c r="AD468" s="11">
        <f>IFERROR(__xludf.DUMMYFUNCTION("""COMPUTED_VALUE"""),54.0)</f>
        <v>54</v>
      </c>
    </row>
    <row r="469">
      <c r="A469" s="10" t="str">
        <f>IFERROR(__xludf.DUMMYFUNCTION("""COMPUTED_VALUE"""),"Prospect")</f>
        <v>Prospect</v>
      </c>
      <c r="B469" s="10" t="str">
        <f>IFERROR(__xludf.DUMMYFUNCTION("""COMPUTED_VALUE"""),"RSC008418")</f>
        <v>RSC008418</v>
      </c>
      <c r="C469" s="10" t="str">
        <f>IFERROR(__xludf.DUMMYFUNCTION("""COMPUTED_VALUE"""),"I _amDan")</f>
        <v>I _amDan</v>
      </c>
      <c r="D469" s="36" t="str">
        <f>IFERROR(__xludf.DUMMYFUNCTION("""COMPUTED_VALUE"""),"Honey Badgers")</f>
        <v>Honey Badgers</v>
      </c>
      <c r="E469" s="10" t="str">
        <f>IFERROR(__xludf.DUMMYFUNCTION("""COMPUTED_VALUE"""),"N/A")</f>
        <v>N/A</v>
      </c>
      <c r="F469" s="37">
        <f>IFERROR(__xludf.DUMMYFUNCTION("""COMPUTED_VALUE"""),69.65432766585391)</f>
        <v>69.65432767</v>
      </c>
      <c r="G469" s="38">
        <f>IFERROR(__xludf.DUMMYFUNCTION("""COMPUTED_VALUE"""),63.912302872025535)</f>
        <v>63.91230287</v>
      </c>
      <c r="H469" s="38">
        <f>IFERROR(__xludf.DUMMYFUNCTION("""COMPUTED_VALUE"""),66.78331526893973)</f>
        <v>66.78331527</v>
      </c>
      <c r="I469" s="14">
        <f>IFERROR(__xludf.DUMMYFUNCTION("""COMPUTED_VALUE"""),20.0)</f>
        <v>20</v>
      </c>
      <c r="J469" s="11">
        <f>IFERROR(__xludf.DUMMYFUNCTION("IFERROR(FILTER(Stats!$F:$Z,(Stats!$A:$A=$A469)*(Stats!$B:$B=$B469)))"),15.0)</f>
        <v>15</v>
      </c>
      <c r="K469" s="11">
        <f>IFERROR(__xludf.DUMMYFUNCTION("""COMPUTED_VALUE"""),5.0)</f>
        <v>5</v>
      </c>
      <c r="L469" s="12">
        <f>IFERROR(__xludf.DUMMYFUNCTION("""COMPUTED_VALUE"""),0.75)</f>
        <v>0.75</v>
      </c>
      <c r="M469" s="11">
        <f>IFERROR(__xludf.DUMMYFUNCTION("""COMPUTED_VALUE"""),2.0)</f>
        <v>2</v>
      </c>
      <c r="N469" s="11">
        <f>IFERROR(__xludf.DUMMYFUNCTION("""COMPUTED_VALUE"""),6186.0)</f>
        <v>6186</v>
      </c>
      <c r="O469" s="13">
        <f>IFERROR(__xludf.DUMMYFUNCTION("""COMPUTED_VALUE"""),13.0)</f>
        <v>13</v>
      </c>
      <c r="P469" s="14">
        <f>IFERROR(__xludf.DUMMYFUNCTION("""COMPUTED_VALUE"""),14.0)</f>
        <v>14</v>
      </c>
      <c r="Q469" s="13">
        <f>IFERROR(__xludf.DUMMYFUNCTION("""COMPUTED_VALUE"""),14.0)</f>
        <v>14</v>
      </c>
      <c r="R469" s="13">
        <f>IFERROR(__xludf.DUMMYFUNCTION("""COMPUTED_VALUE"""),53.0)</f>
        <v>53</v>
      </c>
      <c r="S469" s="15">
        <f>IFERROR(__xludf.DUMMYFUNCTION("""COMPUTED_VALUE"""),0.24528301886792453)</f>
        <v>0.2452830189</v>
      </c>
      <c r="T469" s="16">
        <f>IFERROR(__xludf.DUMMYFUNCTION("""COMPUTED_VALUE"""),309.3)</f>
        <v>309.3</v>
      </c>
      <c r="U469" s="16">
        <f>IFERROR(__xludf.DUMMYFUNCTION("""COMPUTED_VALUE"""),0.65)</f>
        <v>0.65</v>
      </c>
      <c r="V469" s="16">
        <f>IFERROR(__xludf.DUMMYFUNCTION("""COMPUTED_VALUE"""),0.7)</f>
        <v>0.7</v>
      </c>
      <c r="W469" s="16">
        <f>IFERROR(__xludf.DUMMYFUNCTION("""COMPUTED_VALUE"""),0.7)</f>
        <v>0.7</v>
      </c>
      <c r="X469" s="16">
        <f>IFERROR(__xludf.DUMMYFUNCTION("""COMPUTED_VALUE"""),2.65)</f>
        <v>2.65</v>
      </c>
      <c r="Y469" s="11">
        <f>IFERROR(__xludf.DUMMYFUNCTION("""COMPUTED_VALUE"""),5.0)</f>
        <v>5</v>
      </c>
      <c r="Z469" s="11">
        <f>IFERROR(__xludf.DUMMYFUNCTION("""COMPUTED_VALUE"""),0.0)</f>
        <v>0</v>
      </c>
      <c r="AA469" s="11">
        <f>IFERROR(__xludf.DUMMYFUNCTION("""COMPUTED_VALUE"""),0.0)</f>
        <v>0</v>
      </c>
      <c r="AB469" s="11">
        <f>IFERROR(__xludf.DUMMYFUNCTION("""COMPUTED_VALUE"""),1.0)</f>
        <v>1</v>
      </c>
      <c r="AC469" s="11">
        <f>IFERROR(__xludf.DUMMYFUNCTION("""COMPUTED_VALUE"""),17.0)</f>
        <v>17</v>
      </c>
      <c r="AD469" s="11">
        <f>IFERROR(__xludf.DUMMYFUNCTION("""COMPUTED_VALUE"""),21.0)</f>
        <v>21</v>
      </c>
    </row>
    <row r="470">
      <c r="A470" s="10" t="str">
        <f>IFERROR(__xludf.DUMMYFUNCTION("""COMPUTED_VALUE"""),"Prospect")</f>
        <v>Prospect</v>
      </c>
      <c r="B470" s="10" t="str">
        <f>IFERROR(__xludf.DUMMYFUNCTION("""COMPUTED_VALUE"""),"RSC008323")</f>
        <v>RSC008323</v>
      </c>
      <c r="C470" s="10" t="str">
        <f>IFERROR(__xludf.DUMMYFUNCTION("""COMPUTED_VALUE"""),"Fireburner.")</f>
        <v>Fireburner.</v>
      </c>
      <c r="D470" s="36" t="str">
        <f>IFERROR(__xludf.DUMMYFUNCTION("""COMPUTED_VALUE"""),"Piranhas")</f>
        <v>Piranhas</v>
      </c>
      <c r="E470" s="10" t="str">
        <f>IFERROR(__xludf.DUMMYFUNCTION("""COMPUTED_VALUE"""),"N/A")</f>
        <v>N/A</v>
      </c>
      <c r="F470" s="37">
        <f>IFERROR(__xludf.DUMMYFUNCTION("""COMPUTED_VALUE"""),67.56813289182236)</f>
        <v>67.56813289</v>
      </c>
      <c r="G470" s="38">
        <f>IFERROR(__xludf.DUMMYFUNCTION("""COMPUTED_VALUE"""),65.80658067653717)</f>
        <v>65.80658068</v>
      </c>
      <c r="H470" s="38">
        <f>IFERROR(__xludf.DUMMYFUNCTION("""COMPUTED_VALUE"""),66.68735678417977)</f>
        <v>66.68735678</v>
      </c>
      <c r="I470" s="14">
        <f>IFERROR(__xludf.DUMMYFUNCTION("""COMPUTED_VALUE"""),33.0)</f>
        <v>33</v>
      </c>
      <c r="J470" s="11">
        <f>IFERROR(__xludf.DUMMYFUNCTION("IFERROR(FILTER(Stats!$F:$Z,(Stats!$A:$A=$A470)*(Stats!$B:$B=$B470)))"),14.0)</f>
        <v>14</v>
      </c>
      <c r="K470" s="11">
        <f>IFERROR(__xludf.DUMMYFUNCTION("""COMPUTED_VALUE"""),19.0)</f>
        <v>19</v>
      </c>
      <c r="L470" s="12">
        <f>IFERROR(__xludf.DUMMYFUNCTION("""COMPUTED_VALUE"""),0.42424242424242425)</f>
        <v>0.4242424242</v>
      </c>
      <c r="M470" s="11">
        <f>IFERROR(__xludf.DUMMYFUNCTION("""COMPUTED_VALUE"""),9.0)</f>
        <v>9</v>
      </c>
      <c r="N470" s="11">
        <f>IFERROR(__xludf.DUMMYFUNCTION("""COMPUTED_VALUE"""),11799.0)</f>
        <v>11799</v>
      </c>
      <c r="O470" s="13">
        <f>IFERROR(__xludf.DUMMYFUNCTION("""COMPUTED_VALUE"""),32.0)</f>
        <v>32</v>
      </c>
      <c r="P470" s="14">
        <f>IFERROR(__xludf.DUMMYFUNCTION("""COMPUTED_VALUE"""),16.0)</f>
        <v>16</v>
      </c>
      <c r="Q470" s="13">
        <f>IFERROR(__xludf.DUMMYFUNCTION("""COMPUTED_VALUE"""),38.0)</f>
        <v>38</v>
      </c>
      <c r="R470" s="13">
        <f>IFERROR(__xludf.DUMMYFUNCTION("""COMPUTED_VALUE"""),88.0)</f>
        <v>88</v>
      </c>
      <c r="S470" s="15">
        <f>IFERROR(__xludf.DUMMYFUNCTION("""COMPUTED_VALUE"""),0.36363636363636365)</f>
        <v>0.3636363636</v>
      </c>
      <c r="T470" s="16">
        <f>IFERROR(__xludf.DUMMYFUNCTION("""COMPUTED_VALUE"""),357.54545454545456)</f>
        <v>357.5454545</v>
      </c>
      <c r="U470" s="16">
        <f>IFERROR(__xludf.DUMMYFUNCTION("""COMPUTED_VALUE"""),0.9696969696969697)</f>
        <v>0.9696969697</v>
      </c>
      <c r="V470" s="16">
        <f>IFERROR(__xludf.DUMMYFUNCTION("""COMPUTED_VALUE"""),0.48484848484848486)</f>
        <v>0.4848484848</v>
      </c>
      <c r="W470" s="16">
        <f>IFERROR(__xludf.DUMMYFUNCTION("""COMPUTED_VALUE"""),1.1515151515151516)</f>
        <v>1.151515152</v>
      </c>
      <c r="X470" s="16">
        <f>IFERROR(__xludf.DUMMYFUNCTION("""COMPUTED_VALUE"""),2.6666666666666665)</f>
        <v>2.666666667</v>
      </c>
      <c r="Y470" s="11">
        <f>IFERROR(__xludf.DUMMYFUNCTION("""COMPUTED_VALUE"""),6.0)</f>
        <v>6</v>
      </c>
      <c r="Z470" s="11">
        <f>IFERROR(__xludf.DUMMYFUNCTION("""COMPUTED_VALUE"""),5.0)</f>
        <v>5</v>
      </c>
      <c r="AA470" s="11">
        <f>IFERROR(__xludf.DUMMYFUNCTION("""COMPUTED_VALUE"""),0.0)</f>
        <v>0</v>
      </c>
      <c r="AB470" s="11">
        <f>IFERROR(__xludf.DUMMYFUNCTION("""COMPUTED_VALUE"""),3.0)</f>
        <v>3</v>
      </c>
      <c r="AC470" s="11">
        <f>IFERROR(__xludf.DUMMYFUNCTION("""COMPUTED_VALUE"""),38.0)</f>
        <v>38</v>
      </c>
      <c r="AD470" s="11">
        <f>IFERROR(__xludf.DUMMYFUNCTION("""COMPUTED_VALUE"""),26.0)</f>
        <v>26</v>
      </c>
    </row>
    <row r="471">
      <c r="A471" s="10" t="str">
        <f>IFERROR(__xludf.DUMMYFUNCTION("""COMPUTED_VALUE"""),"Prospect")</f>
        <v>Prospect</v>
      </c>
      <c r="B471" s="10" t="str">
        <f>IFERROR(__xludf.DUMMYFUNCTION("""COMPUTED_VALUE"""),"RSC008147")</f>
        <v>RSC008147</v>
      </c>
      <c r="C471" s="10" t="str">
        <f>IFERROR(__xludf.DUMMYFUNCTION("""COMPUTED_VALUE"""),"CrucialUrchin")</f>
        <v>CrucialUrchin</v>
      </c>
      <c r="D471" s="36" t="str">
        <f>IFERROR(__xludf.DUMMYFUNCTION("""COMPUTED_VALUE"""),"Skeletons")</f>
        <v>Skeletons</v>
      </c>
      <c r="E471" s="10" t="str">
        <f>IFERROR(__xludf.DUMMYFUNCTION("""COMPUTED_VALUE"""),"N/A")</f>
        <v>N/A</v>
      </c>
      <c r="F471" s="37">
        <f>IFERROR(__xludf.DUMMYFUNCTION("""COMPUTED_VALUE"""),67.38717972572519)</f>
        <v>67.38717973</v>
      </c>
      <c r="G471" s="38">
        <f>IFERROR(__xludf.DUMMYFUNCTION("""COMPUTED_VALUE"""),65.78345844738807)</f>
        <v>65.78345845</v>
      </c>
      <c r="H471" s="38">
        <f>IFERROR(__xludf.DUMMYFUNCTION("""COMPUTED_VALUE"""),66.58531908655664)</f>
        <v>66.58531909</v>
      </c>
      <c r="I471" s="14">
        <f>IFERROR(__xludf.DUMMYFUNCTION("""COMPUTED_VALUE"""),9.0)</f>
        <v>9</v>
      </c>
      <c r="J471" s="11">
        <f>IFERROR(__xludf.DUMMYFUNCTION("IFERROR(FILTER(Stats!$F:$Z,(Stats!$A:$A=$A471)*(Stats!$B:$B=$B471)))"),3.0)</f>
        <v>3</v>
      </c>
      <c r="K471" s="11">
        <f>IFERROR(__xludf.DUMMYFUNCTION("""COMPUTED_VALUE"""),6.0)</f>
        <v>6</v>
      </c>
      <c r="L471" s="12">
        <f>IFERROR(__xludf.DUMMYFUNCTION("""COMPUTED_VALUE"""),0.3333333333333333)</f>
        <v>0.3333333333</v>
      </c>
      <c r="M471" s="11">
        <f>IFERROR(__xludf.DUMMYFUNCTION("""COMPUTED_VALUE"""),0.0)</f>
        <v>0</v>
      </c>
      <c r="N471" s="11">
        <f>IFERROR(__xludf.DUMMYFUNCTION("""COMPUTED_VALUE"""),3401.0)</f>
        <v>3401</v>
      </c>
      <c r="O471" s="13">
        <f>IFERROR(__xludf.DUMMYFUNCTION("""COMPUTED_VALUE"""),9.0)</f>
        <v>9</v>
      </c>
      <c r="P471" s="14">
        <f>IFERROR(__xludf.DUMMYFUNCTION("""COMPUTED_VALUE"""),5.0)</f>
        <v>5</v>
      </c>
      <c r="Q471" s="13">
        <f>IFERROR(__xludf.DUMMYFUNCTION("""COMPUTED_VALUE"""),11.0)</f>
        <v>11</v>
      </c>
      <c r="R471" s="13">
        <f>IFERROR(__xludf.DUMMYFUNCTION("""COMPUTED_VALUE"""),22.0)</f>
        <v>22</v>
      </c>
      <c r="S471" s="15">
        <f>IFERROR(__xludf.DUMMYFUNCTION("""COMPUTED_VALUE"""),0.4090909090909091)</f>
        <v>0.4090909091</v>
      </c>
      <c r="T471" s="16">
        <f>IFERROR(__xludf.DUMMYFUNCTION("""COMPUTED_VALUE"""),377.8888888888889)</f>
        <v>377.8888889</v>
      </c>
      <c r="U471" s="16">
        <f>IFERROR(__xludf.DUMMYFUNCTION("""COMPUTED_VALUE"""),1.0)</f>
        <v>1</v>
      </c>
      <c r="V471" s="16">
        <f>IFERROR(__xludf.DUMMYFUNCTION("""COMPUTED_VALUE"""),0.5555555555555556)</f>
        <v>0.5555555556</v>
      </c>
      <c r="W471" s="16">
        <f>IFERROR(__xludf.DUMMYFUNCTION("""COMPUTED_VALUE"""),1.2222222222222223)</f>
        <v>1.222222222</v>
      </c>
      <c r="X471" s="16">
        <f>IFERROR(__xludf.DUMMYFUNCTION("""COMPUTED_VALUE"""),2.4444444444444446)</f>
        <v>2.444444444</v>
      </c>
      <c r="Y471" s="11">
        <f>IFERROR(__xludf.DUMMYFUNCTION("""COMPUTED_VALUE"""),0.0)</f>
        <v>0</v>
      </c>
      <c r="Z471" s="11">
        <f>IFERROR(__xludf.DUMMYFUNCTION("""COMPUTED_VALUE"""),0.0)</f>
        <v>0</v>
      </c>
      <c r="AA471" s="11">
        <f>IFERROR(__xludf.DUMMYFUNCTION("""COMPUTED_VALUE"""),0.0)</f>
        <v>0</v>
      </c>
      <c r="AB471" s="11">
        <f>IFERROR(__xludf.DUMMYFUNCTION("""COMPUTED_VALUE"""),2.0)</f>
        <v>2</v>
      </c>
      <c r="AC471" s="11">
        <f>IFERROR(__xludf.DUMMYFUNCTION("""COMPUTED_VALUE"""),6.0)</f>
        <v>6</v>
      </c>
      <c r="AD471" s="11">
        <f>IFERROR(__xludf.DUMMYFUNCTION("""COMPUTED_VALUE"""),9.0)</f>
        <v>9</v>
      </c>
    </row>
    <row r="472">
      <c r="A472" s="10" t="str">
        <f>IFERROR(__xludf.DUMMYFUNCTION("""COMPUTED_VALUE"""),"Prospect")</f>
        <v>Prospect</v>
      </c>
      <c r="B472" s="10" t="str">
        <f>IFERROR(__xludf.DUMMYFUNCTION("""COMPUTED_VALUE"""),"RSC007372")</f>
        <v>RSC007372</v>
      </c>
      <c r="C472" s="10" t="str">
        <f>IFERROR(__xludf.DUMMYFUNCTION("""COMPUTED_VALUE"""),"Zirr_Grzzlr_onTT")</f>
        <v>Zirr_Grzzlr_onTT</v>
      </c>
      <c r="D472" s="36" t="str">
        <f>IFERROR(__xludf.DUMMYFUNCTION("""COMPUTED_VALUE"""),"Tic Tacs
Piranhas")</f>
        <v>Tic Tacs
Piranhas</v>
      </c>
      <c r="E472" s="10" t="str">
        <f>IFERROR(__xludf.DUMMYFUNCTION("""COMPUTED_VALUE"""),"N/A
N/A")</f>
        <v>N/A
N/A</v>
      </c>
      <c r="F472" s="37">
        <f>IFERROR(__xludf.DUMMYFUNCTION("""COMPUTED_VALUE"""),58.72758329384774)</f>
        <v>58.72758329</v>
      </c>
      <c r="G472" s="38">
        <f>IFERROR(__xludf.DUMMYFUNCTION("""COMPUTED_VALUE"""),73.95382484508382)</f>
        <v>73.95382485</v>
      </c>
      <c r="H472" s="38">
        <f>IFERROR(__xludf.DUMMYFUNCTION("""COMPUTED_VALUE"""),66.34070406946577)</f>
        <v>66.34070407</v>
      </c>
      <c r="I472" s="14">
        <f>IFERROR(__xludf.DUMMYFUNCTION("""COMPUTED_VALUE"""),56.0)</f>
        <v>56</v>
      </c>
      <c r="J472" s="11">
        <f>IFERROR(__xludf.DUMMYFUNCTION("IFERROR(FILTER(Stats!$F:$Z,(Stats!$A:$A=$A472)*(Stats!$B:$B=$B472)))"),31.0)</f>
        <v>31</v>
      </c>
      <c r="K472" s="11">
        <f>IFERROR(__xludf.DUMMYFUNCTION("""COMPUTED_VALUE"""),25.0)</f>
        <v>25</v>
      </c>
      <c r="L472" s="12">
        <f>IFERROR(__xludf.DUMMYFUNCTION("""COMPUTED_VALUE"""),0.5535714285714286)</f>
        <v>0.5535714286</v>
      </c>
      <c r="M472" s="11">
        <f>IFERROR(__xludf.DUMMYFUNCTION("""COMPUTED_VALUE"""),9.0)</f>
        <v>9</v>
      </c>
      <c r="N472" s="11">
        <f>IFERROR(__xludf.DUMMYFUNCTION("""COMPUTED_VALUE"""),19327.0)</f>
        <v>19327</v>
      </c>
      <c r="O472" s="13">
        <f>IFERROR(__xludf.DUMMYFUNCTION("""COMPUTED_VALUE"""),62.0)</f>
        <v>62</v>
      </c>
      <c r="P472" s="14">
        <f>IFERROR(__xludf.DUMMYFUNCTION("""COMPUTED_VALUE"""),23.0)</f>
        <v>23</v>
      </c>
      <c r="Q472" s="13">
        <f>IFERROR(__xludf.DUMMYFUNCTION("""COMPUTED_VALUE"""),59.0)</f>
        <v>59</v>
      </c>
      <c r="R472" s="13">
        <f>IFERROR(__xludf.DUMMYFUNCTION("""COMPUTED_VALUE"""),158.0)</f>
        <v>158</v>
      </c>
      <c r="S472" s="15">
        <f>IFERROR(__xludf.DUMMYFUNCTION("""COMPUTED_VALUE"""),0.3924050632911392)</f>
        <v>0.3924050633</v>
      </c>
      <c r="T472" s="16">
        <f>IFERROR(__xludf.DUMMYFUNCTION("""COMPUTED_VALUE"""),345.125)</f>
        <v>345.125</v>
      </c>
      <c r="U472" s="16">
        <f>IFERROR(__xludf.DUMMYFUNCTION("""COMPUTED_VALUE"""),1.1071428571428572)</f>
        <v>1.107142857</v>
      </c>
      <c r="V472" s="16">
        <f>IFERROR(__xludf.DUMMYFUNCTION("""COMPUTED_VALUE"""),0.4107142857142857)</f>
        <v>0.4107142857</v>
      </c>
      <c r="W472" s="16">
        <f>IFERROR(__xludf.DUMMYFUNCTION("""COMPUTED_VALUE"""),1.0535714285714286)</f>
        <v>1.053571429</v>
      </c>
      <c r="X472" s="16">
        <f>IFERROR(__xludf.DUMMYFUNCTION("""COMPUTED_VALUE"""),2.8214285714285716)</f>
        <v>2.821428571</v>
      </c>
      <c r="Y472" s="11">
        <f>IFERROR(__xludf.DUMMYFUNCTION("""COMPUTED_VALUE"""),6.0)</f>
        <v>6</v>
      </c>
      <c r="Z472" s="11">
        <f>IFERROR(__xludf.DUMMYFUNCTION("""COMPUTED_VALUE"""),5.0)</f>
        <v>5</v>
      </c>
      <c r="AA472" s="11">
        <f>IFERROR(__xludf.DUMMYFUNCTION("""COMPUTED_VALUE"""),1.0)</f>
        <v>1</v>
      </c>
      <c r="AB472" s="11">
        <f>IFERROR(__xludf.DUMMYFUNCTION("""COMPUTED_VALUE"""),5.0)</f>
        <v>5</v>
      </c>
      <c r="AC472" s="11">
        <f>IFERROR(__xludf.DUMMYFUNCTION("""COMPUTED_VALUE"""),68.0)</f>
        <v>68</v>
      </c>
      <c r="AD472" s="11">
        <f>IFERROR(__xludf.DUMMYFUNCTION("""COMPUTED_VALUE"""),49.0)</f>
        <v>49</v>
      </c>
    </row>
    <row r="473">
      <c r="A473" s="10" t="str">
        <f>IFERROR(__xludf.DUMMYFUNCTION("""COMPUTED_VALUE"""),"Prospect")</f>
        <v>Prospect</v>
      </c>
      <c r="B473" s="10" t="str">
        <f>IFERROR(__xludf.DUMMYFUNCTION("""COMPUTED_VALUE"""),"RSC005335")</f>
        <v>RSC005335</v>
      </c>
      <c r="C473" s="10" t="str">
        <f>IFERROR(__xludf.DUMMYFUNCTION("""COMPUTED_VALUE"""),"R4p")</f>
        <v>R4p</v>
      </c>
      <c r="D473" s="36" t="str">
        <f>IFERROR(__xludf.DUMMYFUNCTION("""COMPUTED_VALUE"""),"Turbulence")</f>
        <v>Turbulence</v>
      </c>
      <c r="E473" s="10" t="str">
        <f>IFERROR(__xludf.DUMMYFUNCTION("""COMPUTED_VALUE"""),"N/A")</f>
        <v>N/A</v>
      </c>
      <c r="F473" s="37">
        <f>IFERROR(__xludf.DUMMYFUNCTION("""COMPUTED_VALUE"""),76.02064970025693)</f>
        <v>76.0206497</v>
      </c>
      <c r="G473" s="38">
        <f>IFERROR(__xludf.DUMMYFUNCTION("""COMPUTED_VALUE"""),53.69541628054815)</f>
        <v>53.69541628</v>
      </c>
      <c r="H473" s="38">
        <f>IFERROR(__xludf.DUMMYFUNCTION("""COMPUTED_VALUE"""),64.85803299040253)</f>
        <v>64.85803299</v>
      </c>
      <c r="I473" s="14">
        <f>IFERROR(__xludf.DUMMYFUNCTION("""COMPUTED_VALUE"""),1.0)</f>
        <v>1</v>
      </c>
      <c r="J473" s="11">
        <f>IFERROR(__xludf.DUMMYFUNCTION("IFERROR(FILTER(Stats!$F:$Z,(Stats!$A:$A=$A473)*(Stats!$B:$B=$B473)))"),0.0)</f>
        <v>0</v>
      </c>
      <c r="K473" s="11">
        <f>IFERROR(__xludf.DUMMYFUNCTION("""COMPUTED_VALUE"""),1.0)</f>
        <v>1</v>
      </c>
      <c r="L473" s="12">
        <f>IFERROR(__xludf.DUMMYFUNCTION("""COMPUTED_VALUE"""),0.0)</f>
        <v>0</v>
      </c>
      <c r="M473" s="11">
        <f>IFERROR(__xludf.DUMMYFUNCTION("""COMPUTED_VALUE"""),0.0)</f>
        <v>0</v>
      </c>
      <c r="N473" s="11">
        <f>IFERROR(__xludf.DUMMYFUNCTION("""COMPUTED_VALUE"""),354.0)</f>
        <v>354</v>
      </c>
      <c r="O473" s="13">
        <f>IFERROR(__xludf.DUMMYFUNCTION("""COMPUTED_VALUE"""),1.0)</f>
        <v>1</v>
      </c>
      <c r="P473" s="14">
        <f>IFERROR(__xludf.DUMMYFUNCTION("""COMPUTED_VALUE"""),1.0)</f>
        <v>1</v>
      </c>
      <c r="Q473" s="13">
        <f>IFERROR(__xludf.DUMMYFUNCTION("""COMPUTED_VALUE"""),1.0)</f>
        <v>1</v>
      </c>
      <c r="R473" s="13">
        <f>IFERROR(__xludf.DUMMYFUNCTION("""COMPUTED_VALUE"""),1.0)</f>
        <v>1</v>
      </c>
      <c r="S473" s="15">
        <f>IFERROR(__xludf.DUMMYFUNCTION("""COMPUTED_VALUE"""),1.0)</f>
        <v>1</v>
      </c>
      <c r="T473" s="16">
        <f>IFERROR(__xludf.DUMMYFUNCTION("""COMPUTED_VALUE"""),354.0)</f>
        <v>354</v>
      </c>
      <c r="U473" s="16">
        <f>IFERROR(__xludf.DUMMYFUNCTION("""COMPUTED_VALUE"""),1.0)</f>
        <v>1</v>
      </c>
      <c r="V473" s="16">
        <f>IFERROR(__xludf.DUMMYFUNCTION("""COMPUTED_VALUE"""),1.0)</f>
        <v>1</v>
      </c>
      <c r="W473" s="16">
        <f>IFERROR(__xludf.DUMMYFUNCTION("""COMPUTED_VALUE"""),1.0)</f>
        <v>1</v>
      </c>
      <c r="X473" s="16">
        <f>IFERROR(__xludf.DUMMYFUNCTION("""COMPUTED_VALUE"""),1.0)</f>
        <v>1</v>
      </c>
      <c r="Y473" s="11">
        <f>IFERROR(__xludf.DUMMYFUNCTION("""COMPUTED_VALUE"""),1.0)</f>
        <v>1</v>
      </c>
      <c r="Z473" s="11">
        <f>IFERROR(__xludf.DUMMYFUNCTION("""COMPUTED_VALUE"""),0.0)</f>
        <v>0</v>
      </c>
      <c r="AA473" s="11">
        <f>IFERROR(__xludf.DUMMYFUNCTION("""COMPUTED_VALUE"""),0.0)</f>
        <v>0</v>
      </c>
      <c r="AB473" s="11">
        <f>IFERROR(__xludf.DUMMYFUNCTION("""COMPUTED_VALUE"""),0.0)</f>
        <v>0</v>
      </c>
      <c r="AC473" s="11">
        <f>IFERROR(__xludf.DUMMYFUNCTION("""COMPUTED_VALUE"""),0.0)</f>
        <v>0</v>
      </c>
      <c r="AD473" s="11">
        <f>IFERROR(__xludf.DUMMYFUNCTION("""COMPUTED_VALUE"""),0.0)</f>
        <v>0</v>
      </c>
    </row>
    <row r="474">
      <c r="A474" s="10" t="str">
        <f>IFERROR(__xludf.DUMMYFUNCTION("""COMPUTED_VALUE"""),"Prospect")</f>
        <v>Prospect</v>
      </c>
      <c r="B474" s="10" t="str">
        <f>IFERROR(__xludf.DUMMYFUNCTION("""COMPUTED_VALUE"""),"RSC008245")</f>
        <v>RSC008245</v>
      </c>
      <c r="C474" s="10" t="str">
        <f>IFERROR(__xludf.DUMMYFUNCTION("""COMPUTED_VALUE"""),"j_durv")</f>
        <v>j_durv</v>
      </c>
      <c r="D474" s="36" t="str">
        <f>IFERROR(__xludf.DUMMYFUNCTION("""COMPUTED_VALUE"""),"Hawaiian Pizza")</f>
        <v>Hawaiian Pizza</v>
      </c>
      <c r="E474" s="10" t="str">
        <f>IFERROR(__xludf.DUMMYFUNCTION("""COMPUTED_VALUE"""),"N/A")</f>
        <v>N/A</v>
      </c>
      <c r="F474" s="37">
        <f>IFERROR(__xludf.DUMMYFUNCTION("""COMPUTED_VALUE"""),63.22039619924958)</f>
        <v>63.2203962</v>
      </c>
      <c r="G474" s="38">
        <f>IFERROR(__xludf.DUMMYFUNCTION("""COMPUTED_VALUE"""),64.87207055792842)</f>
        <v>64.87207056</v>
      </c>
      <c r="H474" s="38">
        <f>IFERROR(__xludf.DUMMYFUNCTION("""COMPUTED_VALUE"""),64.046233378589)</f>
        <v>64.04623338</v>
      </c>
      <c r="I474" s="14">
        <f>IFERROR(__xludf.DUMMYFUNCTION("""COMPUTED_VALUE"""),49.0)</f>
        <v>49</v>
      </c>
      <c r="J474" s="11">
        <f>IFERROR(__xludf.DUMMYFUNCTION("IFERROR(FILTER(Stats!$F:$Z,(Stats!$A:$A=$A474)*(Stats!$B:$B=$B474)))"),23.0)</f>
        <v>23</v>
      </c>
      <c r="K474" s="11">
        <f>IFERROR(__xludf.DUMMYFUNCTION("""COMPUTED_VALUE"""),26.0)</f>
        <v>26</v>
      </c>
      <c r="L474" s="12">
        <f>IFERROR(__xludf.DUMMYFUNCTION("""COMPUTED_VALUE"""),0.46938775510204084)</f>
        <v>0.4693877551</v>
      </c>
      <c r="M474" s="11">
        <f>IFERROR(__xludf.DUMMYFUNCTION("""COMPUTED_VALUE"""),9.0)</f>
        <v>9</v>
      </c>
      <c r="N474" s="11">
        <f>IFERROR(__xludf.DUMMYFUNCTION("""COMPUTED_VALUE"""),16735.0)</f>
        <v>16735</v>
      </c>
      <c r="O474" s="13">
        <f>IFERROR(__xludf.DUMMYFUNCTION("""COMPUTED_VALUE"""),39.0)</f>
        <v>39</v>
      </c>
      <c r="P474" s="14">
        <f>IFERROR(__xludf.DUMMYFUNCTION("""COMPUTED_VALUE"""),25.0)</f>
        <v>25</v>
      </c>
      <c r="Q474" s="13">
        <f>IFERROR(__xludf.DUMMYFUNCTION("""COMPUTED_VALUE"""),55.0)</f>
        <v>55</v>
      </c>
      <c r="R474" s="13">
        <f>IFERROR(__xludf.DUMMYFUNCTION("""COMPUTED_VALUE"""),115.0)</f>
        <v>115</v>
      </c>
      <c r="S474" s="15">
        <f>IFERROR(__xludf.DUMMYFUNCTION("""COMPUTED_VALUE"""),0.3391304347826087)</f>
        <v>0.3391304348</v>
      </c>
      <c r="T474" s="16">
        <f>IFERROR(__xludf.DUMMYFUNCTION("""COMPUTED_VALUE"""),341.53061224489795)</f>
        <v>341.5306122</v>
      </c>
      <c r="U474" s="16">
        <f>IFERROR(__xludf.DUMMYFUNCTION("""COMPUTED_VALUE"""),0.7959183673469388)</f>
        <v>0.7959183673</v>
      </c>
      <c r="V474" s="16">
        <f>IFERROR(__xludf.DUMMYFUNCTION("""COMPUTED_VALUE"""),0.5102040816326531)</f>
        <v>0.5102040816</v>
      </c>
      <c r="W474" s="16">
        <f>IFERROR(__xludf.DUMMYFUNCTION("""COMPUTED_VALUE"""),1.1224489795918366)</f>
        <v>1.12244898</v>
      </c>
      <c r="X474" s="16">
        <f>IFERROR(__xludf.DUMMYFUNCTION("""COMPUTED_VALUE"""),2.3469387755102042)</f>
        <v>2.346938776</v>
      </c>
      <c r="Y474" s="11">
        <f>IFERROR(__xludf.DUMMYFUNCTION("""COMPUTED_VALUE"""),5.0)</f>
        <v>5</v>
      </c>
      <c r="Z474" s="11">
        <f>IFERROR(__xludf.DUMMYFUNCTION("""COMPUTED_VALUE"""),4.0)</f>
        <v>4</v>
      </c>
      <c r="AA474" s="11">
        <f>IFERROR(__xludf.DUMMYFUNCTION("""COMPUTED_VALUE"""),2.0)</f>
        <v>2</v>
      </c>
      <c r="AB474" s="11">
        <f>IFERROR(__xludf.DUMMYFUNCTION("""COMPUTED_VALUE"""),7.0)</f>
        <v>7</v>
      </c>
      <c r="AC474" s="11">
        <f>IFERROR(__xludf.DUMMYFUNCTION("""COMPUTED_VALUE"""),77.0)</f>
        <v>77</v>
      </c>
      <c r="AD474" s="11">
        <f>IFERROR(__xludf.DUMMYFUNCTION("""COMPUTED_VALUE"""),53.0)</f>
        <v>53</v>
      </c>
    </row>
    <row r="475">
      <c r="A475" s="10" t="str">
        <f>IFERROR(__xludf.DUMMYFUNCTION("""COMPUTED_VALUE"""),"Prospect")</f>
        <v>Prospect</v>
      </c>
      <c r="B475" s="10" t="str">
        <f>IFERROR(__xludf.DUMMYFUNCTION("""COMPUTED_VALUE"""),"RSC007515")</f>
        <v>RSC007515</v>
      </c>
      <c r="C475" s="10" t="str">
        <f>IFERROR(__xludf.DUMMYFUNCTION("""COMPUTED_VALUE"""),"superstrikzz")</f>
        <v>superstrikzz</v>
      </c>
      <c r="D475" s="36" t="str">
        <f>IFERROR(__xludf.DUMMYFUNCTION("""COMPUTED_VALUE"""),"Principales")</f>
        <v>Principales</v>
      </c>
      <c r="E475" s="10" t="str">
        <f>IFERROR(__xludf.DUMMYFUNCTION("""COMPUTED_VALUE"""),"N/A")</f>
        <v>N/A</v>
      </c>
      <c r="F475" s="37">
        <f>IFERROR(__xludf.DUMMYFUNCTION("""COMPUTED_VALUE"""),61.165998403407585)</f>
        <v>61.1659984</v>
      </c>
      <c r="G475" s="38">
        <f>IFERROR(__xludf.DUMMYFUNCTION("""COMPUTED_VALUE"""),66.30557537991609)</f>
        <v>66.30557538</v>
      </c>
      <c r="H475" s="38">
        <f>IFERROR(__xludf.DUMMYFUNCTION("""COMPUTED_VALUE"""),63.73578689166184)</f>
        <v>63.73578689</v>
      </c>
      <c r="I475" s="14">
        <f>IFERROR(__xludf.DUMMYFUNCTION("""COMPUTED_VALUE"""),50.0)</f>
        <v>50</v>
      </c>
      <c r="J475" s="11">
        <f>IFERROR(__xludf.DUMMYFUNCTION("IFERROR(FILTER(Stats!$F:$Z,(Stats!$A:$A=$A475)*(Stats!$B:$B=$B475)))"),20.0)</f>
        <v>20</v>
      </c>
      <c r="K475" s="11">
        <f>IFERROR(__xludf.DUMMYFUNCTION("""COMPUTED_VALUE"""),30.0)</f>
        <v>30</v>
      </c>
      <c r="L475" s="12">
        <f>IFERROR(__xludf.DUMMYFUNCTION("""COMPUTED_VALUE"""),0.4)</f>
        <v>0.4</v>
      </c>
      <c r="M475" s="11">
        <f>IFERROR(__xludf.DUMMYFUNCTION("""COMPUTED_VALUE"""),10.0)</f>
        <v>10</v>
      </c>
      <c r="N475" s="11">
        <f>IFERROR(__xludf.DUMMYFUNCTION("""COMPUTED_VALUE"""),19280.0)</f>
        <v>19280</v>
      </c>
      <c r="O475" s="13">
        <f>IFERROR(__xludf.DUMMYFUNCTION("""COMPUTED_VALUE"""),38.0)</f>
        <v>38</v>
      </c>
      <c r="P475" s="14">
        <f>IFERROR(__xludf.DUMMYFUNCTION("""COMPUTED_VALUE"""),19.0)</f>
        <v>19</v>
      </c>
      <c r="Q475" s="13">
        <f>IFERROR(__xludf.DUMMYFUNCTION("""COMPUTED_VALUE"""),77.0)</f>
        <v>77</v>
      </c>
      <c r="R475" s="13">
        <f>IFERROR(__xludf.DUMMYFUNCTION("""COMPUTED_VALUE"""),148.0)</f>
        <v>148</v>
      </c>
      <c r="S475" s="15">
        <f>IFERROR(__xludf.DUMMYFUNCTION("""COMPUTED_VALUE"""),0.25675675675675674)</f>
        <v>0.2567567568</v>
      </c>
      <c r="T475" s="16">
        <f>IFERROR(__xludf.DUMMYFUNCTION("""COMPUTED_VALUE"""),385.6)</f>
        <v>385.6</v>
      </c>
      <c r="U475" s="16">
        <f>IFERROR(__xludf.DUMMYFUNCTION("""COMPUTED_VALUE"""),0.76)</f>
        <v>0.76</v>
      </c>
      <c r="V475" s="16">
        <f>IFERROR(__xludf.DUMMYFUNCTION("""COMPUTED_VALUE"""),0.38)</f>
        <v>0.38</v>
      </c>
      <c r="W475" s="16">
        <f>IFERROR(__xludf.DUMMYFUNCTION("""COMPUTED_VALUE"""),1.54)</f>
        <v>1.54</v>
      </c>
      <c r="X475" s="16">
        <f>IFERROR(__xludf.DUMMYFUNCTION("""COMPUTED_VALUE"""),2.96)</f>
        <v>2.96</v>
      </c>
      <c r="Y475" s="11">
        <f>IFERROR(__xludf.DUMMYFUNCTION("""COMPUTED_VALUE"""),8.0)</f>
        <v>8</v>
      </c>
      <c r="Z475" s="11">
        <f>IFERROR(__xludf.DUMMYFUNCTION("""COMPUTED_VALUE"""),3.0)</f>
        <v>3</v>
      </c>
      <c r="AA475" s="11">
        <f>IFERROR(__xludf.DUMMYFUNCTION("""COMPUTED_VALUE"""),1.0)</f>
        <v>1</v>
      </c>
      <c r="AB475" s="11">
        <f>IFERROR(__xludf.DUMMYFUNCTION("""COMPUTED_VALUE"""),9.0)</f>
        <v>9</v>
      </c>
      <c r="AC475" s="11">
        <f>IFERROR(__xludf.DUMMYFUNCTION("""COMPUTED_VALUE"""),67.0)</f>
        <v>67</v>
      </c>
      <c r="AD475" s="11">
        <f>IFERROR(__xludf.DUMMYFUNCTION("""COMPUTED_VALUE"""),39.0)</f>
        <v>39</v>
      </c>
    </row>
    <row r="476">
      <c r="A476" s="10" t="str">
        <f>IFERROR(__xludf.DUMMYFUNCTION("""COMPUTED_VALUE"""),"Prospect")</f>
        <v>Prospect</v>
      </c>
      <c r="B476" s="10" t="str">
        <f>IFERROR(__xludf.DUMMYFUNCTION("""COMPUTED_VALUE"""),"RSC000686")</f>
        <v>RSC000686</v>
      </c>
      <c r="C476" s="10" t="str">
        <f>IFERROR(__xludf.DUMMYFUNCTION("""COMPUTED_VALUE"""),"mom jeans xl")</f>
        <v>mom jeans xl</v>
      </c>
      <c r="D476" s="36" t="str">
        <f>IFERROR(__xludf.DUMMYFUNCTION("""COMPUTED_VALUE"""),"Blacktips")</f>
        <v>Blacktips</v>
      </c>
      <c r="E476" s="10" t="str">
        <f>IFERROR(__xludf.DUMMYFUNCTION("""COMPUTED_VALUE"""),"N/A")</f>
        <v>N/A</v>
      </c>
      <c r="F476" s="37">
        <f>IFERROR(__xludf.DUMMYFUNCTION("""COMPUTED_VALUE"""),52.970168877818985)</f>
        <v>52.97016888</v>
      </c>
      <c r="G476" s="38">
        <f>IFERROR(__xludf.DUMMYFUNCTION("""COMPUTED_VALUE"""),74.37901876304339)</f>
        <v>74.37901876</v>
      </c>
      <c r="H476" s="38">
        <f>IFERROR(__xludf.DUMMYFUNCTION("""COMPUTED_VALUE"""),63.674593820431184)</f>
        <v>63.67459382</v>
      </c>
      <c r="I476" s="14">
        <f>IFERROR(__xludf.DUMMYFUNCTION("""COMPUTED_VALUE"""),44.0)</f>
        <v>44</v>
      </c>
      <c r="J476" s="11">
        <f>IFERROR(__xludf.DUMMYFUNCTION("IFERROR(FILTER(Stats!$F:$Z,(Stats!$A:$A=$A476)*(Stats!$B:$B=$B476)))"),32.0)</f>
        <v>32</v>
      </c>
      <c r="K476" s="11">
        <f>IFERROR(__xludf.DUMMYFUNCTION("""COMPUTED_VALUE"""),12.0)</f>
        <v>12</v>
      </c>
      <c r="L476" s="12">
        <f>IFERROR(__xludf.DUMMYFUNCTION("""COMPUTED_VALUE"""),0.7272727272727273)</f>
        <v>0.7272727273</v>
      </c>
      <c r="M476" s="11">
        <f>IFERROR(__xludf.DUMMYFUNCTION("""COMPUTED_VALUE"""),11.0)</f>
        <v>11</v>
      </c>
      <c r="N476" s="11">
        <f>IFERROR(__xludf.DUMMYFUNCTION("""COMPUTED_VALUE"""),14308.0)</f>
        <v>14308</v>
      </c>
      <c r="O476" s="13">
        <f>IFERROR(__xludf.DUMMYFUNCTION("""COMPUTED_VALUE"""),40.0)</f>
        <v>40</v>
      </c>
      <c r="P476" s="14">
        <f>IFERROR(__xludf.DUMMYFUNCTION("""COMPUTED_VALUE"""),23.0)</f>
        <v>23</v>
      </c>
      <c r="Q476" s="13">
        <f>IFERROR(__xludf.DUMMYFUNCTION("""COMPUTED_VALUE"""),36.0)</f>
        <v>36</v>
      </c>
      <c r="R476" s="13">
        <f>IFERROR(__xludf.DUMMYFUNCTION("""COMPUTED_VALUE"""),128.0)</f>
        <v>128</v>
      </c>
      <c r="S476" s="15">
        <f>IFERROR(__xludf.DUMMYFUNCTION("""COMPUTED_VALUE"""),0.3125)</f>
        <v>0.3125</v>
      </c>
      <c r="T476" s="16">
        <f>IFERROR(__xludf.DUMMYFUNCTION("""COMPUTED_VALUE"""),325.1818181818182)</f>
        <v>325.1818182</v>
      </c>
      <c r="U476" s="16">
        <f>IFERROR(__xludf.DUMMYFUNCTION("""COMPUTED_VALUE"""),0.9090909090909091)</f>
        <v>0.9090909091</v>
      </c>
      <c r="V476" s="16">
        <f>IFERROR(__xludf.DUMMYFUNCTION("""COMPUTED_VALUE"""),0.5227272727272727)</f>
        <v>0.5227272727</v>
      </c>
      <c r="W476" s="16">
        <f>IFERROR(__xludf.DUMMYFUNCTION("""COMPUTED_VALUE"""),0.8181818181818182)</f>
        <v>0.8181818182</v>
      </c>
      <c r="X476" s="16">
        <f>IFERROR(__xludf.DUMMYFUNCTION("""COMPUTED_VALUE"""),2.909090909090909)</f>
        <v>2.909090909</v>
      </c>
      <c r="Y476" s="11">
        <f>IFERROR(__xludf.DUMMYFUNCTION("""COMPUTED_VALUE"""),4.0)</f>
        <v>4</v>
      </c>
      <c r="Z476" s="11">
        <f>IFERROR(__xludf.DUMMYFUNCTION("""COMPUTED_VALUE"""),6.0)</f>
        <v>6</v>
      </c>
      <c r="AA476" s="11">
        <f>IFERROR(__xludf.DUMMYFUNCTION("""COMPUTED_VALUE"""),1.0)</f>
        <v>1</v>
      </c>
      <c r="AB476" s="11">
        <f>IFERROR(__xludf.DUMMYFUNCTION("""COMPUTED_VALUE"""),3.0)</f>
        <v>3</v>
      </c>
      <c r="AC476" s="11">
        <f>IFERROR(__xludf.DUMMYFUNCTION("""COMPUTED_VALUE"""),47.0)</f>
        <v>47</v>
      </c>
      <c r="AD476" s="11">
        <f>IFERROR(__xludf.DUMMYFUNCTION("""COMPUTED_VALUE"""),58.0)</f>
        <v>58</v>
      </c>
    </row>
    <row r="477">
      <c r="A477" s="10" t="str">
        <f>IFERROR(__xludf.DUMMYFUNCTION("""COMPUTED_VALUE"""),"Prospect")</f>
        <v>Prospect</v>
      </c>
      <c r="B477" s="10" t="str">
        <f>IFERROR(__xludf.DUMMYFUNCTION("""COMPUTED_VALUE"""),"RSC007958")</f>
        <v>RSC007958</v>
      </c>
      <c r="C477" s="10" t="str">
        <f>IFERROR(__xludf.DUMMYFUNCTION("""COMPUTED_VALUE"""),"SE AT WORK")</f>
        <v>SE AT WORK</v>
      </c>
      <c r="D477" s="36" t="str">
        <f>IFERROR(__xludf.DUMMYFUNCTION("""COMPUTED_VALUE"""),"Tic Tacs")</f>
        <v>Tic Tacs</v>
      </c>
      <c r="E477" s="10" t="str">
        <f>IFERROR(__xludf.DUMMYFUNCTION("""COMPUTED_VALUE"""),"N/A")</f>
        <v>N/A</v>
      </c>
      <c r="F477" s="37">
        <f>IFERROR(__xludf.DUMMYFUNCTION("""COMPUTED_VALUE"""),58.01233026161175)</f>
        <v>58.01233026</v>
      </c>
      <c r="G477" s="38">
        <f>IFERROR(__xludf.DUMMYFUNCTION("""COMPUTED_VALUE"""),65.60644422729496)</f>
        <v>65.60644423</v>
      </c>
      <c r="H477" s="38">
        <f>IFERROR(__xludf.DUMMYFUNCTION("""COMPUTED_VALUE"""),61.809387244453355)</f>
        <v>61.80938724</v>
      </c>
      <c r="I477" s="14">
        <f>IFERROR(__xludf.DUMMYFUNCTION("""COMPUTED_VALUE"""),48.0)</f>
        <v>48</v>
      </c>
      <c r="J477" s="11">
        <f>IFERROR(__xludf.DUMMYFUNCTION("IFERROR(FILTER(Stats!$F:$Z,(Stats!$A:$A=$A477)*(Stats!$B:$B=$B477)))"),30.0)</f>
        <v>30</v>
      </c>
      <c r="K477" s="11">
        <f>IFERROR(__xludf.DUMMYFUNCTION("""COMPUTED_VALUE"""),18.0)</f>
        <v>18</v>
      </c>
      <c r="L477" s="12">
        <f>IFERROR(__xludf.DUMMYFUNCTION("""COMPUTED_VALUE"""),0.625)</f>
        <v>0.625</v>
      </c>
      <c r="M477" s="11">
        <f>IFERROR(__xludf.DUMMYFUNCTION("""COMPUTED_VALUE"""),10.0)</f>
        <v>10</v>
      </c>
      <c r="N477" s="11">
        <f>IFERROR(__xludf.DUMMYFUNCTION("""COMPUTED_VALUE"""),16675.0)</f>
        <v>16675</v>
      </c>
      <c r="O477" s="13">
        <f>IFERROR(__xludf.DUMMYFUNCTION("""COMPUTED_VALUE"""),40.0)</f>
        <v>40</v>
      </c>
      <c r="P477" s="14">
        <f>IFERROR(__xludf.DUMMYFUNCTION("""COMPUTED_VALUE"""),32.0)</f>
        <v>32</v>
      </c>
      <c r="Q477" s="13">
        <f>IFERROR(__xludf.DUMMYFUNCTION("""COMPUTED_VALUE"""),56.0)</f>
        <v>56</v>
      </c>
      <c r="R477" s="13">
        <f>IFERROR(__xludf.DUMMYFUNCTION("""COMPUTED_VALUE"""),118.0)</f>
        <v>118</v>
      </c>
      <c r="S477" s="15">
        <f>IFERROR(__xludf.DUMMYFUNCTION("""COMPUTED_VALUE"""),0.3389830508474576)</f>
        <v>0.3389830508</v>
      </c>
      <c r="T477" s="16">
        <f>IFERROR(__xludf.DUMMYFUNCTION("""COMPUTED_VALUE"""),347.3958333333333)</f>
        <v>347.3958333</v>
      </c>
      <c r="U477" s="16">
        <f>IFERROR(__xludf.DUMMYFUNCTION("""COMPUTED_VALUE"""),0.8333333333333334)</f>
        <v>0.8333333333</v>
      </c>
      <c r="V477" s="16">
        <f>IFERROR(__xludf.DUMMYFUNCTION("""COMPUTED_VALUE"""),0.6666666666666666)</f>
        <v>0.6666666667</v>
      </c>
      <c r="W477" s="16">
        <f>IFERROR(__xludf.DUMMYFUNCTION("""COMPUTED_VALUE"""),1.1666666666666667)</f>
        <v>1.166666667</v>
      </c>
      <c r="X477" s="16">
        <f>IFERROR(__xludf.DUMMYFUNCTION("""COMPUTED_VALUE"""),2.4583333333333335)</f>
        <v>2.458333333</v>
      </c>
      <c r="Y477" s="11">
        <f>IFERROR(__xludf.DUMMYFUNCTION("""COMPUTED_VALUE"""),11.0)</f>
        <v>11</v>
      </c>
      <c r="Z477" s="11">
        <f>IFERROR(__xludf.DUMMYFUNCTION("""COMPUTED_VALUE"""),5.0)</f>
        <v>5</v>
      </c>
      <c r="AA477" s="11">
        <f>IFERROR(__xludf.DUMMYFUNCTION("""COMPUTED_VALUE"""),1.0)</f>
        <v>1</v>
      </c>
      <c r="AB477" s="11">
        <f>IFERROR(__xludf.DUMMYFUNCTION("""COMPUTED_VALUE"""),6.0)</f>
        <v>6</v>
      </c>
      <c r="AC477" s="11">
        <f>IFERROR(__xludf.DUMMYFUNCTION("""COMPUTED_VALUE"""),30.0)</f>
        <v>30</v>
      </c>
      <c r="AD477" s="11">
        <f>IFERROR(__xludf.DUMMYFUNCTION("""COMPUTED_VALUE"""),48.0)</f>
        <v>48</v>
      </c>
    </row>
    <row r="478">
      <c r="A478" s="10" t="str">
        <f>IFERROR(__xludf.DUMMYFUNCTION("""COMPUTED_VALUE"""),"Prospect")</f>
        <v>Prospect</v>
      </c>
      <c r="B478" s="10" t="str">
        <f>IFERROR(__xludf.DUMMYFUNCTION("""COMPUTED_VALUE"""),"RSC004012")</f>
        <v>RSC004012</v>
      </c>
      <c r="C478" s="10" t="str">
        <f>IFERROR(__xludf.DUMMYFUNCTION("""COMPUTED_VALUE"""),"kgfan3")</f>
        <v>kgfan3</v>
      </c>
      <c r="D478" s="36" t="str">
        <f>IFERROR(__xludf.DUMMYFUNCTION("""COMPUTED_VALUE"""),"Griffin")</f>
        <v>Griffin</v>
      </c>
      <c r="E478" s="10" t="str">
        <f>IFERROR(__xludf.DUMMYFUNCTION("""COMPUTED_VALUE"""),"N/A")</f>
        <v>N/A</v>
      </c>
      <c r="F478" s="37">
        <f>IFERROR(__xludf.DUMMYFUNCTION("""COMPUTED_VALUE"""),61.991505602784486)</f>
        <v>61.9915056</v>
      </c>
      <c r="G478" s="38">
        <f>IFERROR(__xludf.DUMMYFUNCTION("""COMPUTED_VALUE"""),61.42723830706388)</f>
        <v>61.42723831</v>
      </c>
      <c r="H478" s="38">
        <f>IFERROR(__xludf.DUMMYFUNCTION("""COMPUTED_VALUE"""),61.70937195492418)</f>
        <v>61.70937195</v>
      </c>
      <c r="I478" s="14">
        <f>IFERROR(__xludf.DUMMYFUNCTION("""COMPUTED_VALUE"""),56.0)</f>
        <v>56</v>
      </c>
      <c r="J478" s="11">
        <f>IFERROR(__xludf.DUMMYFUNCTION("IFERROR(FILTER(Stats!$F:$Z,(Stats!$A:$A=$A478)*(Stats!$B:$B=$B478)))"),31.0)</f>
        <v>31</v>
      </c>
      <c r="K478" s="11">
        <f>IFERROR(__xludf.DUMMYFUNCTION("""COMPUTED_VALUE"""),25.0)</f>
        <v>25</v>
      </c>
      <c r="L478" s="12">
        <f>IFERROR(__xludf.DUMMYFUNCTION("""COMPUTED_VALUE"""),0.5535714285714286)</f>
        <v>0.5535714286</v>
      </c>
      <c r="M478" s="11">
        <f>IFERROR(__xludf.DUMMYFUNCTION("""COMPUTED_VALUE"""),12.0)</f>
        <v>12</v>
      </c>
      <c r="N478" s="11">
        <f>IFERROR(__xludf.DUMMYFUNCTION("""COMPUTED_VALUE"""),19796.0)</f>
        <v>19796</v>
      </c>
      <c r="O478" s="13">
        <f>IFERROR(__xludf.DUMMYFUNCTION("""COMPUTED_VALUE"""),47.0)</f>
        <v>47</v>
      </c>
      <c r="P478" s="14">
        <f>IFERROR(__xludf.DUMMYFUNCTION("""COMPUTED_VALUE"""),29.0)</f>
        <v>29</v>
      </c>
      <c r="Q478" s="13">
        <f>IFERROR(__xludf.DUMMYFUNCTION("""COMPUTED_VALUE"""),65.0)</f>
        <v>65</v>
      </c>
      <c r="R478" s="13">
        <f>IFERROR(__xludf.DUMMYFUNCTION("""COMPUTED_VALUE"""),124.0)</f>
        <v>124</v>
      </c>
      <c r="S478" s="15">
        <f>IFERROR(__xludf.DUMMYFUNCTION("""COMPUTED_VALUE"""),0.3790322580645161)</f>
        <v>0.3790322581</v>
      </c>
      <c r="T478" s="16">
        <f>IFERROR(__xludf.DUMMYFUNCTION("""COMPUTED_VALUE"""),353.5)</f>
        <v>353.5</v>
      </c>
      <c r="U478" s="16">
        <f>IFERROR(__xludf.DUMMYFUNCTION("""COMPUTED_VALUE"""),0.8392857142857143)</f>
        <v>0.8392857143</v>
      </c>
      <c r="V478" s="16">
        <f>IFERROR(__xludf.DUMMYFUNCTION("""COMPUTED_VALUE"""),0.5178571428571429)</f>
        <v>0.5178571429</v>
      </c>
      <c r="W478" s="16">
        <f>IFERROR(__xludf.DUMMYFUNCTION("""COMPUTED_VALUE"""),1.1607142857142858)</f>
        <v>1.160714286</v>
      </c>
      <c r="X478" s="16">
        <f>IFERROR(__xludf.DUMMYFUNCTION("""COMPUTED_VALUE"""),2.2142857142857144)</f>
        <v>2.214285714</v>
      </c>
      <c r="Y478" s="11">
        <f>IFERROR(__xludf.DUMMYFUNCTION("""COMPUTED_VALUE"""),9.0)</f>
        <v>9</v>
      </c>
      <c r="Z478" s="11">
        <f>IFERROR(__xludf.DUMMYFUNCTION("""COMPUTED_VALUE"""),4.0)</f>
        <v>4</v>
      </c>
      <c r="AA478" s="11">
        <f>IFERROR(__xludf.DUMMYFUNCTION("""COMPUTED_VALUE"""),0.0)</f>
        <v>0</v>
      </c>
      <c r="AB478" s="11">
        <f>IFERROR(__xludf.DUMMYFUNCTION("""COMPUTED_VALUE"""),8.0)</f>
        <v>8</v>
      </c>
      <c r="AC478" s="11">
        <f>IFERROR(__xludf.DUMMYFUNCTION("""COMPUTED_VALUE"""),52.0)</f>
        <v>52</v>
      </c>
      <c r="AD478" s="11">
        <f>IFERROR(__xludf.DUMMYFUNCTION("""COMPUTED_VALUE"""),52.0)</f>
        <v>52</v>
      </c>
    </row>
    <row r="479">
      <c r="A479" s="10" t="str">
        <f>IFERROR(__xludf.DUMMYFUNCTION("""COMPUTED_VALUE"""),"Prospect")</f>
        <v>Prospect</v>
      </c>
      <c r="B479" s="10" t="str">
        <f>IFERROR(__xludf.DUMMYFUNCTION("""COMPUTED_VALUE"""),"RSC007886")</f>
        <v>RSC007886</v>
      </c>
      <c r="C479" s="10" t="str">
        <f>IFERROR(__xludf.DUMMYFUNCTION("""COMPUTED_VALUE"""),"Dino incarnate")</f>
        <v>Dino incarnate</v>
      </c>
      <c r="D479" s="36" t="str">
        <f>IFERROR(__xludf.DUMMYFUNCTION("""COMPUTED_VALUE"""),"Hostile Takeover
Skeletons")</f>
        <v>Hostile Takeover
Skeletons</v>
      </c>
      <c r="E479" s="10" t="str">
        <f>IFERROR(__xludf.DUMMYFUNCTION("""COMPUTED_VALUE"""),"N/A
N/A")</f>
        <v>N/A
N/A</v>
      </c>
      <c r="F479" s="37">
        <f>IFERROR(__xludf.DUMMYFUNCTION("""COMPUTED_VALUE"""),57.46277391456526)</f>
        <v>57.46277391</v>
      </c>
      <c r="G479" s="38">
        <f>IFERROR(__xludf.DUMMYFUNCTION("""COMPUTED_VALUE"""),65.44753980760237)</f>
        <v>65.44753981</v>
      </c>
      <c r="H479" s="38">
        <f>IFERROR(__xludf.DUMMYFUNCTION("""COMPUTED_VALUE"""),61.455156861083815)</f>
        <v>61.45515686</v>
      </c>
      <c r="I479" s="14">
        <f>IFERROR(__xludf.DUMMYFUNCTION("""COMPUTED_VALUE"""),48.0)</f>
        <v>48</v>
      </c>
      <c r="J479" s="11">
        <f>IFERROR(__xludf.DUMMYFUNCTION("IFERROR(FILTER(Stats!$F:$Z,(Stats!$A:$A=$A479)*(Stats!$B:$B=$B479)))"),26.0)</f>
        <v>26</v>
      </c>
      <c r="K479" s="11">
        <f>IFERROR(__xludf.DUMMYFUNCTION("""COMPUTED_VALUE"""),22.0)</f>
        <v>22</v>
      </c>
      <c r="L479" s="12">
        <f>IFERROR(__xludf.DUMMYFUNCTION("""COMPUTED_VALUE"""),0.5416666666666666)</f>
        <v>0.5416666667</v>
      </c>
      <c r="M479" s="11">
        <f>IFERROR(__xludf.DUMMYFUNCTION("""COMPUTED_VALUE"""),7.0)</f>
        <v>7</v>
      </c>
      <c r="N479" s="11">
        <f>IFERROR(__xludf.DUMMYFUNCTION("""COMPUTED_VALUE"""),16829.0)</f>
        <v>16829</v>
      </c>
      <c r="O479" s="13">
        <f>IFERROR(__xludf.DUMMYFUNCTION("""COMPUTED_VALUE"""),41.0)</f>
        <v>41</v>
      </c>
      <c r="P479" s="14">
        <f>IFERROR(__xludf.DUMMYFUNCTION("""COMPUTED_VALUE"""),26.0)</f>
        <v>26</v>
      </c>
      <c r="Q479" s="13">
        <f>IFERROR(__xludf.DUMMYFUNCTION("""COMPUTED_VALUE"""),56.0)</f>
        <v>56</v>
      </c>
      <c r="R479" s="13">
        <f>IFERROR(__xludf.DUMMYFUNCTION("""COMPUTED_VALUE"""),131.0)</f>
        <v>131</v>
      </c>
      <c r="S479" s="15">
        <f>IFERROR(__xludf.DUMMYFUNCTION("""COMPUTED_VALUE"""),0.31297709923664124)</f>
        <v>0.3129770992</v>
      </c>
      <c r="T479" s="16">
        <f>IFERROR(__xludf.DUMMYFUNCTION("""COMPUTED_VALUE"""),350.6041666666667)</f>
        <v>350.6041667</v>
      </c>
      <c r="U479" s="16">
        <f>IFERROR(__xludf.DUMMYFUNCTION("""COMPUTED_VALUE"""),0.8541666666666666)</f>
        <v>0.8541666667</v>
      </c>
      <c r="V479" s="16">
        <f>IFERROR(__xludf.DUMMYFUNCTION("""COMPUTED_VALUE"""),0.5416666666666666)</f>
        <v>0.5416666667</v>
      </c>
      <c r="W479" s="16">
        <f>IFERROR(__xludf.DUMMYFUNCTION("""COMPUTED_VALUE"""),1.1666666666666667)</f>
        <v>1.166666667</v>
      </c>
      <c r="X479" s="16">
        <f>IFERROR(__xludf.DUMMYFUNCTION("""COMPUTED_VALUE"""),2.7291666666666665)</f>
        <v>2.729166667</v>
      </c>
      <c r="Y479" s="11">
        <f>IFERROR(__xludf.DUMMYFUNCTION("""COMPUTED_VALUE"""),10.0)</f>
        <v>10</v>
      </c>
      <c r="Z479" s="11">
        <f>IFERROR(__xludf.DUMMYFUNCTION("""COMPUTED_VALUE"""),3.0)</f>
        <v>3</v>
      </c>
      <c r="AA479" s="11">
        <f>IFERROR(__xludf.DUMMYFUNCTION("""COMPUTED_VALUE"""),1.0)</f>
        <v>1</v>
      </c>
      <c r="AB479" s="11">
        <f>IFERROR(__xludf.DUMMYFUNCTION("""COMPUTED_VALUE"""),4.0)</f>
        <v>4</v>
      </c>
      <c r="AC479" s="11">
        <f>IFERROR(__xludf.DUMMYFUNCTION("""COMPUTED_VALUE"""),37.0)</f>
        <v>37</v>
      </c>
      <c r="AD479" s="11">
        <f>IFERROR(__xludf.DUMMYFUNCTION("""COMPUTED_VALUE"""),41.0)</f>
        <v>41</v>
      </c>
    </row>
    <row r="480">
      <c r="A480" s="10" t="str">
        <f>IFERROR(__xludf.DUMMYFUNCTION("""COMPUTED_VALUE"""),"Prospect")</f>
        <v>Prospect</v>
      </c>
      <c r="B480" s="10" t="str">
        <f>IFERROR(__xludf.DUMMYFUNCTION("""COMPUTED_VALUE"""),"RSC002408")</f>
        <v>RSC002408</v>
      </c>
      <c r="C480" s="10" t="str">
        <f>IFERROR(__xludf.DUMMYFUNCTION("""COMPUTED_VALUE"""),"Gmoney")</f>
        <v>Gmoney</v>
      </c>
      <c r="D480" s="36" t="str">
        <f>IFERROR(__xludf.DUMMYFUNCTION("""COMPUTED_VALUE"""),"Tic Tacs
Earth")</f>
        <v>Tic Tacs
Earth</v>
      </c>
      <c r="E480" s="10" t="str">
        <f>IFERROR(__xludf.DUMMYFUNCTION("""COMPUTED_VALUE"""),"N/A
N/A")</f>
        <v>N/A
N/A</v>
      </c>
      <c r="F480" s="37">
        <f>IFERROR(__xludf.DUMMYFUNCTION("""COMPUTED_VALUE"""),57.284556449876334)</f>
        <v>57.28455645</v>
      </c>
      <c r="G480" s="38">
        <f>IFERROR(__xludf.DUMMYFUNCTION("""COMPUTED_VALUE"""),61.941048305233906)</f>
        <v>61.94104831</v>
      </c>
      <c r="H480" s="38">
        <f>IFERROR(__xludf.DUMMYFUNCTION("""COMPUTED_VALUE"""),59.61280237755512)</f>
        <v>59.61280238</v>
      </c>
      <c r="I480" s="14">
        <f>IFERROR(__xludf.DUMMYFUNCTION("""COMPUTED_VALUE"""),55.0)</f>
        <v>55</v>
      </c>
      <c r="J480" s="11">
        <f>IFERROR(__xludf.DUMMYFUNCTION("IFERROR(FILTER(Stats!$F:$Z,(Stats!$A:$A=$A480)*(Stats!$B:$B=$B480)))"),31.0)</f>
        <v>31</v>
      </c>
      <c r="K480" s="11">
        <f>IFERROR(__xludf.DUMMYFUNCTION("""COMPUTED_VALUE"""),24.0)</f>
        <v>24</v>
      </c>
      <c r="L480" s="12">
        <f>IFERROR(__xludf.DUMMYFUNCTION("""COMPUTED_VALUE"""),0.5636363636363636)</f>
        <v>0.5636363636</v>
      </c>
      <c r="M480" s="11">
        <f>IFERROR(__xludf.DUMMYFUNCTION("""COMPUTED_VALUE"""),12.0)</f>
        <v>12</v>
      </c>
      <c r="N480" s="11">
        <f>IFERROR(__xludf.DUMMYFUNCTION("""COMPUTED_VALUE"""),18650.0)</f>
        <v>18650</v>
      </c>
      <c r="O480" s="13">
        <f>IFERROR(__xludf.DUMMYFUNCTION("""COMPUTED_VALUE"""),43.0)</f>
        <v>43</v>
      </c>
      <c r="P480" s="14">
        <f>IFERROR(__xludf.DUMMYFUNCTION("""COMPUTED_VALUE"""),32.0)</f>
        <v>32</v>
      </c>
      <c r="Q480" s="13">
        <f>IFERROR(__xludf.DUMMYFUNCTION("""COMPUTED_VALUE"""),55.0)</f>
        <v>55</v>
      </c>
      <c r="R480" s="13">
        <f>IFERROR(__xludf.DUMMYFUNCTION("""COMPUTED_VALUE"""),145.0)</f>
        <v>145</v>
      </c>
      <c r="S480" s="15">
        <f>IFERROR(__xludf.DUMMYFUNCTION("""COMPUTED_VALUE"""),0.296551724137931)</f>
        <v>0.2965517241</v>
      </c>
      <c r="T480" s="16">
        <f>IFERROR(__xludf.DUMMYFUNCTION("""COMPUTED_VALUE"""),339.09090909090907)</f>
        <v>339.0909091</v>
      </c>
      <c r="U480" s="16">
        <f>IFERROR(__xludf.DUMMYFUNCTION("""COMPUTED_VALUE"""),0.7818181818181819)</f>
        <v>0.7818181818</v>
      </c>
      <c r="V480" s="16">
        <f>IFERROR(__xludf.DUMMYFUNCTION("""COMPUTED_VALUE"""),0.5818181818181818)</f>
        <v>0.5818181818</v>
      </c>
      <c r="W480" s="16">
        <f>IFERROR(__xludf.DUMMYFUNCTION("""COMPUTED_VALUE"""),1.0)</f>
        <v>1</v>
      </c>
      <c r="X480" s="16">
        <f>IFERROR(__xludf.DUMMYFUNCTION("""COMPUTED_VALUE"""),2.6363636363636362)</f>
        <v>2.636363636</v>
      </c>
      <c r="Y480" s="11">
        <f>IFERROR(__xludf.DUMMYFUNCTION("""COMPUTED_VALUE"""),9.0)</f>
        <v>9</v>
      </c>
      <c r="Z480" s="11">
        <f>IFERROR(__xludf.DUMMYFUNCTION("""COMPUTED_VALUE"""),3.0)</f>
        <v>3</v>
      </c>
      <c r="AA480" s="11">
        <f>IFERROR(__xludf.DUMMYFUNCTION("""COMPUTED_VALUE"""),3.0)</f>
        <v>3</v>
      </c>
      <c r="AB480" s="11">
        <f>IFERROR(__xludf.DUMMYFUNCTION("""COMPUTED_VALUE"""),2.0)</f>
        <v>2</v>
      </c>
      <c r="AC480" s="11">
        <f>IFERROR(__xludf.DUMMYFUNCTION("""COMPUTED_VALUE"""),56.0)</f>
        <v>56</v>
      </c>
      <c r="AD480" s="11">
        <f>IFERROR(__xludf.DUMMYFUNCTION("""COMPUTED_VALUE"""),38.0)</f>
        <v>38</v>
      </c>
    </row>
    <row r="481">
      <c r="A481" s="10" t="str">
        <f>IFERROR(__xludf.DUMMYFUNCTION("""COMPUTED_VALUE"""),"Prospect")</f>
        <v>Prospect</v>
      </c>
      <c r="B481" s="10" t="str">
        <f>IFERROR(__xludf.DUMMYFUNCTION("""COMPUTED_VALUE"""),"RSC008470")</f>
        <v>RSC008470</v>
      </c>
      <c r="C481" s="10" t="str">
        <f>IFERROR(__xludf.DUMMYFUNCTION("""COMPUTED_VALUE"""),"ReaperXD97")</f>
        <v>ReaperXD97</v>
      </c>
      <c r="D481" s="36" t="str">
        <f>IFERROR(__xludf.DUMMYFUNCTION("""COMPUTED_VALUE"""),"Honey Badgers")</f>
        <v>Honey Badgers</v>
      </c>
      <c r="E481" s="10" t="str">
        <f>IFERROR(__xludf.DUMMYFUNCTION("""COMPUTED_VALUE"""),"N/A")</f>
        <v>N/A</v>
      </c>
      <c r="F481" s="37">
        <f>IFERROR(__xludf.DUMMYFUNCTION("""COMPUTED_VALUE"""),61.90326210483779)</f>
        <v>61.9032621</v>
      </c>
      <c r="G481" s="38">
        <f>IFERROR(__xludf.DUMMYFUNCTION("""COMPUTED_VALUE"""),55.7859619873755)</f>
        <v>55.78596199</v>
      </c>
      <c r="H481" s="38">
        <f>IFERROR(__xludf.DUMMYFUNCTION("""COMPUTED_VALUE"""),58.84461204610665)</f>
        <v>58.84461205</v>
      </c>
      <c r="I481" s="14">
        <f>IFERROR(__xludf.DUMMYFUNCTION("""COMPUTED_VALUE"""),39.0)</f>
        <v>39</v>
      </c>
      <c r="J481" s="11">
        <f>IFERROR(__xludf.DUMMYFUNCTION("IFERROR(FILTER(Stats!$F:$Z,(Stats!$A:$A=$A481)*(Stats!$B:$B=$B481)))"),19.0)</f>
        <v>19</v>
      </c>
      <c r="K481" s="11">
        <f>IFERROR(__xludf.DUMMYFUNCTION("""COMPUTED_VALUE"""),20.0)</f>
        <v>20</v>
      </c>
      <c r="L481" s="12">
        <f>IFERROR(__xludf.DUMMYFUNCTION("""COMPUTED_VALUE"""),0.48717948717948717)</f>
        <v>0.4871794872</v>
      </c>
      <c r="M481" s="11">
        <f>IFERROR(__xludf.DUMMYFUNCTION("""COMPUTED_VALUE"""),7.0)</f>
        <v>7</v>
      </c>
      <c r="N481" s="11">
        <f>IFERROR(__xludf.DUMMYFUNCTION("""COMPUTED_VALUE"""),13609.0)</f>
        <v>13609</v>
      </c>
      <c r="O481" s="13">
        <f>IFERROR(__xludf.DUMMYFUNCTION("""COMPUTED_VALUE"""),34.0)</f>
        <v>34</v>
      </c>
      <c r="P481" s="14">
        <f>IFERROR(__xludf.DUMMYFUNCTION("""COMPUTED_VALUE"""),27.0)</f>
        <v>27</v>
      </c>
      <c r="Q481" s="13">
        <f>IFERROR(__xludf.DUMMYFUNCTION("""COMPUTED_VALUE"""),48.0)</f>
        <v>48</v>
      </c>
      <c r="R481" s="13">
        <f>IFERROR(__xludf.DUMMYFUNCTION("""COMPUTED_VALUE"""),82.0)</f>
        <v>82</v>
      </c>
      <c r="S481" s="15">
        <f>IFERROR(__xludf.DUMMYFUNCTION("""COMPUTED_VALUE"""),0.4146341463414634)</f>
        <v>0.4146341463</v>
      </c>
      <c r="T481" s="16">
        <f>IFERROR(__xludf.DUMMYFUNCTION("""COMPUTED_VALUE"""),348.94871794871796)</f>
        <v>348.9487179</v>
      </c>
      <c r="U481" s="16">
        <f>IFERROR(__xludf.DUMMYFUNCTION("""COMPUTED_VALUE"""),0.8717948717948718)</f>
        <v>0.8717948718</v>
      </c>
      <c r="V481" s="16">
        <f>IFERROR(__xludf.DUMMYFUNCTION("""COMPUTED_VALUE"""),0.6923076923076923)</f>
        <v>0.6923076923</v>
      </c>
      <c r="W481" s="16">
        <f>IFERROR(__xludf.DUMMYFUNCTION("""COMPUTED_VALUE"""),1.2307692307692308)</f>
        <v>1.230769231</v>
      </c>
      <c r="X481" s="16">
        <f>IFERROR(__xludf.DUMMYFUNCTION("""COMPUTED_VALUE"""),2.1025641025641026)</f>
        <v>2.102564103</v>
      </c>
      <c r="Y481" s="11">
        <f>IFERROR(__xludf.DUMMYFUNCTION("""COMPUTED_VALUE"""),9.0)</f>
        <v>9</v>
      </c>
      <c r="Z481" s="11">
        <f>IFERROR(__xludf.DUMMYFUNCTION("""COMPUTED_VALUE"""),4.0)</f>
        <v>4</v>
      </c>
      <c r="AA481" s="11">
        <f>IFERROR(__xludf.DUMMYFUNCTION("""COMPUTED_VALUE"""),1.0)</f>
        <v>1</v>
      </c>
      <c r="AB481" s="11">
        <f>IFERROR(__xludf.DUMMYFUNCTION("""COMPUTED_VALUE"""),4.0)</f>
        <v>4</v>
      </c>
      <c r="AC481" s="11">
        <f>IFERROR(__xludf.DUMMYFUNCTION("""COMPUTED_VALUE"""),19.0)</f>
        <v>19</v>
      </c>
      <c r="AD481" s="11">
        <f>IFERROR(__xludf.DUMMYFUNCTION("""COMPUTED_VALUE"""),43.0)</f>
        <v>43</v>
      </c>
    </row>
    <row r="482">
      <c r="A482" s="10" t="str">
        <f>IFERROR(__xludf.DUMMYFUNCTION("""COMPUTED_VALUE"""),"Prospect")</f>
        <v>Prospect</v>
      </c>
      <c r="B482" s="10" t="str">
        <f>IFERROR(__xludf.DUMMYFUNCTION("""COMPUTED_VALUE"""),"RSC008278")</f>
        <v>RSC008278</v>
      </c>
      <c r="C482" s="10" t="str">
        <f>IFERROR(__xludf.DUMMYFUNCTION("""COMPUTED_VALUE"""),"tacosbruh1299")</f>
        <v>tacosbruh1299</v>
      </c>
      <c r="D482" s="36" t="str">
        <f>IFERROR(__xludf.DUMMYFUNCTION("""COMPUTED_VALUE"""),"Tanuki")</f>
        <v>Tanuki</v>
      </c>
      <c r="E482" s="10" t="str">
        <f>IFERROR(__xludf.DUMMYFUNCTION("""COMPUTED_VALUE"""),"N/A")</f>
        <v>N/A</v>
      </c>
      <c r="F482" s="37">
        <f>IFERROR(__xludf.DUMMYFUNCTION("""COMPUTED_VALUE"""),67.57779250931962)</f>
        <v>67.57779251</v>
      </c>
      <c r="G482" s="38">
        <f>IFERROR(__xludf.DUMMYFUNCTION("""COMPUTED_VALUE"""),49.352151701970946)</f>
        <v>49.3521517</v>
      </c>
      <c r="H482" s="38">
        <f>IFERROR(__xludf.DUMMYFUNCTION("""COMPUTED_VALUE"""),58.46497210564529)</f>
        <v>58.46497211</v>
      </c>
      <c r="I482" s="14">
        <f>IFERROR(__xludf.DUMMYFUNCTION("""COMPUTED_VALUE"""),52.0)</f>
        <v>52</v>
      </c>
      <c r="J482" s="11">
        <f>IFERROR(__xludf.DUMMYFUNCTION("IFERROR(FILTER(Stats!$F:$Z,(Stats!$A:$A=$A482)*(Stats!$B:$B=$B482)))"),22.0)</f>
        <v>22</v>
      </c>
      <c r="K482" s="11">
        <f>IFERROR(__xludf.DUMMYFUNCTION("""COMPUTED_VALUE"""),30.0)</f>
        <v>30</v>
      </c>
      <c r="L482" s="12">
        <f>IFERROR(__xludf.DUMMYFUNCTION("""COMPUTED_VALUE"""),0.4230769230769231)</f>
        <v>0.4230769231</v>
      </c>
      <c r="M482" s="11">
        <f>IFERROR(__xludf.DUMMYFUNCTION("""COMPUTED_VALUE"""),8.0)</f>
        <v>8</v>
      </c>
      <c r="N482" s="11">
        <f>IFERROR(__xludf.DUMMYFUNCTION("""COMPUTED_VALUE"""),17944.0)</f>
        <v>17944</v>
      </c>
      <c r="O482" s="13">
        <f>IFERROR(__xludf.DUMMYFUNCTION("""COMPUTED_VALUE"""),37.0)</f>
        <v>37</v>
      </c>
      <c r="P482" s="14">
        <f>IFERROR(__xludf.DUMMYFUNCTION("""COMPUTED_VALUE"""),24.0)</f>
        <v>24</v>
      </c>
      <c r="Q482" s="13">
        <f>IFERROR(__xludf.DUMMYFUNCTION("""COMPUTED_VALUE"""),76.0)</f>
        <v>76</v>
      </c>
      <c r="R482" s="13">
        <f>IFERROR(__xludf.DUMMYFUNCTION("""COMPUTED_VALUE"""),113.0)</f>
        <v>113</v>
      </c>
      <c r="S482" s="15">
        <f>IFERROR(__xludf.DUMMYFUNCTION("""COMPUTED_VALUE"""),0.3274336283185841)</f>
        <v>0.3274336283</v>
      </c>
      <c r="T482" s="16">
        <f>IFERROR(__xludf.DUMMYFUNCTION("""COMPUTED_VALUE"""),345.0769230769231)</f>
        <v>345.0769231</v>
      </c>
      <c r="U482" s="16">
        <f>IFERROR(__xludf.DUMMYFUNCTION("""COMPUTED_VALUE"""),0.7115384615384616)</f>
        <v>0.7115384615</v>
      </c>
      <c r="V482" s="16">
        <f>IFERROR(__xludf.DUMMYFUNCTION("""COMPUTED_VALUE"""),0.46153846153846156)</f>
        <v>0.4615384615</v>
      </c>
      <c r="W482" s="16">
        <f>IFERROR(__xludf.DUMMYFUNCTION("""COMPUTED_VALUE"""),1.4615384615384615)</f>
        <v>1.461538462</v>
      </c>
      <c r="X482" s="16">
        <f>IFERROR(__xludf.DUMMYFUNCTION("""COMPUTED_VALUE"""),2.173076923076923)</f>
        <v>2.173076923</v>
      </c>
      <c r="Y482" s="11">
        <f>IFERROR(__xludf.DUMMYFUNCTION("""COMPUTED_VALUE"""),6.0)</f>
        <v>6</v>
      </c>
      <c r="Z482" s="11">
        <f>IFERROR(__xludf.DUMMYFUNCTION("""COMPUTED_VALUE"""),5.0)</f>
        <v>5</v>
      </c>
      <c r="AA482" s="11">
        <f>IFERROR(__xludf.DUMMYFUNCTION("""COMPUTED_VALUE"""),2.0)</f>
        <v>2</v>
      </c>
      <c r="AB482" s="11">
        <f>IFERROR(__xludf.DUMMYFUNCTION("""COMPUTED_VALUE"""),11.0)</f>
        <v>11</v>
      </c>
      <c r="AC482" s="11">
        <f>IFERROR(__xludf.DUMMYFUNCTION("""COMPUTED_VALUE"""),69.0)</f>
        <v>69</v>
      </c>
      <c r="AD482" s="11">
        <f>IFERROR(__xludf.DUMMYFUNCTION("""COMPUTED_VALUE"""),39.0)</f>
        <v>39</v>
      </c>
    </row>
    <row r="483">
      <c r="A483" s="10" t="str">
        <f>IFERROR(__xludf.DUMMYFUNCTION("""COMPUTED_VALUE"""),"Prospect")</f>
        <v>Prospect</v>
      </c>
      <c r="B483" s="10" t="str">
        <f>IFERROR(__xludf.DUMMYFUNCTION("""COMPUTED_VALUE"""),"RSC007899")</f>
        <v>RSC007899</v>
      </c>
      <c r="C483" s="10" t="str">
        <f>IFERROR(__xludf.DUMMYFUNCTION("""COMPUTED_VALUE"""),"SeaSpay182009")</f>
        <v>SeaSpay182009</v>
      </c>
      <c r="D483" s="36" t="str">
        <f>IFERROR(__xludf.DUMMYFUNCTION("""COMPUTED_VALUE"""),"Turbulence")</f>
        <v>Turbulence</v>
      </c>
      <c r="E483" s="10" t="str">
        <f>IFERROR(__xludf.DUMMYFUNCTION("""COMPUTED_VALUE"""),"N/A")</f>
        <v>N/A</v>
      </c>
      <c r="F483" s="37">
        <f>IFERROR(__xludf.DUMMYFUNCTION("""COMPUTED_VALUE"""),51.53914456717692)</f>
        <v>51.53914457</v>
      </c>
      <c r="G483" s="38">
        <f>IFERROR(__xludf.DUMMYFUNCTION("""COMPUTED_VALUE"""),63.037023618999584)</f>
        <v>63.03702362</v>
      </c>
      <c r="H483" s="38">
        <f>IFERROR(__xludf.DUMMYFUNCTION("""COMPUTED_VALUE"""),57.28808409308825)</f>
        <v>57.28808409</v>
      </c>
      <c r="I483" s="14">
        <f>IFERROR(__xludf.DUMMYFUNCTION("""COMPUTED_VALUE"""),31.0)</f>
        <v>31</v>
      </c>
      <c r="J483" s="11">
        <f>IFERROR(__xludf.DUMMYFUNCTION("IFERROR(FILTER(Stats!$F:$Z,(Stats!$A:$A=$A483)*(Stats!$B:$B=$B483)))"),21.0)</f>
        <v>21</v>
      </c>
      <c r="K483" s="11">
        <f>IFERROR(__xludf.DUMMYFUNCTION("""COMPUTED_VALUE"""),10.0)</f>
        <v>10</v>
      </c>
      <c r="L483" s="12">
        <f>IFERROR(__xludf.DUMMYFUNCTION("""COMPUTED_VALUE"""),0.6774193548387096)</f>
        <v>0.6774193548</v>
      </c>
      <c r="M483" s="11">
        <f>IFERROR(__xludf.DUMMYFUNCTION("""COMPUTED_VALUE"""),7.0)</f>
        <v>7</v>
      </c>
      <c r="N483" s="11">
        <f>IFERROR(__xludf.DUMMYFUNCTION("""COMPUTED_VALUE"""),10527.0)</f>
        <v>10527</v>
      </c>
      <c r="O483" s="13">
        <f>IFERROR(__xludf.DUMMYFUNCTION("""COMPUTED_VALUE"""),20.0)</f>
        <v>20</v>
      </c>
      <c r="P483" s="14">
        <f>IFERROR(__xludf.DUMMYFUNCTION("""COMPUTED_VALUE"""),12.0)</f>
        <v>12</v>
      </c>
      <c r="Q483" s="13">
        <f>IFERROR(__xludf.DUMMYFUNCTION("""COMPUTED_VALUE"""),45.0)</f>
        <v>45</v>
      </c>
      <c r="R483" s="13">
        <f>IFERROR(__xludf.DUMMYFUNCTION("""COMPUTED_VALUE"""),86.0)</f>
        <v>86</v>
      </c>
      <c r="S483" s="15">
        <f>IFERROR(__xludf.DUMMYFUNCTION("""COMPUTED_VALUE"""),0.23255813953488372)</f>
        <v>0.2325581395</v>
      </c>
      <c r="T483" s="16">
        <f>IFERROR(__xludf.DUMMYFUNCTION("""COMPUTED_VALUE"""),339.5806451612903)</f>
        <v>339.5806452</v>
      </c>
      <c r="U483" s="16">
        <f>IFERROR(__xludf.DUMMYFUNCTION("""COMPUTED_VALUE"""),0.6451612903225806)</f>
        <v>0.6451612903</v>
      </c>
      <c r="V483" s="16">
        <f>IFERROR(__xludf.DUMMYFUNCTION("""COMPUTED_VALUE"""),0.3870967741935484)</f>
        <v>0.3870967742</v>
      </c>
      <c r="W483" s="16">
        <f>IFERROR(__xludf.DUMMYFUNCTION("""COMPUTED_VALUE"""),1.4516129032258065)</f>
        <v>1.451612903</v>
      </c>
      <c r="X483" s="16">
        <f>IFERROR(__xludf.DUMMYFUNCTION("""COMPUTED_VALUE"""),2.774193548387097)</f>
        <v>2.774193548</v>
      </c>
      <c r="Y483" s="11">
        <f>IFERROR(__xludf.DUMMYFUNCTION("""COMPUTED_VALUE"""),5.0)</f>
        <v>5</v>
      </c>
      <c r="Z483" s="11">
        <f>IFERROR(__xludf.DUMMYFUNCTION("""COMPUTED_VALUE"""),0.0)</f>
        <v>0</v>
      </c>
      <c r="AA483" s="11">
        <f>IFERROR(__xludf.DUMMYFUNCTION("""COMPUTED_VALUE"""),0.0)</f>
        <v>0</v>
      </c>
      <c r="AB483" s="11">
        <f>IFERROR(__xludf.DUMMYFUNCTION("""COMPUTED_VALUE"""),4.0)</f>
        <v>4</v>
      </c>
      <c r="AC483" s="11">
        <f>IFERROR(__xludf.DUMMYFUNCTION("""COMPUTED_VALUE"""),21.0)</f>
        <v>21</v>
      </c>
      <c r="AD483" s="11">
        <f>IFERROR(__xludf.DUMMYFUNCTION("""COMPUTED_VALUE"""),43.0)</f>
        <v>43</v>
      </c>
    </row>
    <row r="484">
      <c r="A484" s="10" t="str">
        <f>IFERROR(__xludf.DUMMYFUNCTION("""COMPUTED_VALUE"""),"Prospect")</f>
        <v>Prospect</v>
      </c>
      <c r="B484" s="10" t="str">
        <f>IFERROR(__xludf.DUMMYFUNCTION("""COMPUTED_VALUE"""),"RSC006251")</f>
        <v>RSC006251</v>
      </c>
      <c r="C484" s="10" t="str">
        <f>IFERROR(__xludf.DUMMYFUNCTION("""COMPUTED_VALUE"""),"MiniTechniks")</f>
        <v>MiniTechniks</v>
      </c>
      <c r="D484" s="36" t="str">
        <f>IFERROR(__xludf.DUMMYFUNCTION("""COMPUTED_VALUE"""),"Piranhas
Hawaiian Pizza")</f>
        <v>Piranhas
Hawaiian Pizza</v>
      </c>
      <c r="E484" s="10" t="str">
        <f>IFERROR(__xludf.DUMMYFUNCTION("""COMPUTED_VALUE"""),"N/A
N/A")</f>
        <v>N/A
N/A</v>
      </c>
      <c r="F484" s="37">
        <f>IFERROR(__xludf.DUMMYFUNCTION("""COMPUTED_VALUE"""),51.43496598814992)</f>
        <v>51.43496599</v>
      </c>
      <c r="G484" s="38">
        <f>IFERROR(__xludf.DUMMYFUNCTION("""COMPUTED_VALUE"""),60.07318881852102)</f>
        <v>60.07318882</v>
      </c>
      <c r="H484" s="38">
        <f>IFERROR(__xludf.DUMMYFUNCTION("""COMPUTED_VALUE"""),55.75407740333547)</f>
        <v>55.7540774</v>
      </c>
      <c r="I484" s="14">
        <f>IFERROR(__xludf.DUMMYFUNCTION("""COMPUTED_VALUE"""),41.0)</f>
        <v>41</v>
      </c>
      <c r="J484" s="11">
        <f>IFERROR(__xludf.DUMMYFUNCTION("IFERROR(FILTER(Stats!$F:$Z,(Stats!$A:$A=$A484)*(Stats!$B:$B=$B484)))"),21.0)</f>
        <v>21</v>
      </c>
      <c r="K484" s="11">
        <f>IFERROR(__xludf.DUMMYFUNCTION("""COMPUTED_VALUE"""),20.0)</f>
        <v>20</v>
      </c>
      <c r="L484" s="12">
        <f>IFERROR(__xludf.DUMMYFUNCTION("""COMPUTED_VALUE"""),0.5121951219512195)</f>
        <v>0.512195122</v>
      </c>
      <c r="M484" s="11">
        <f>IFERROR(__xludf.DUMMYFUNCTION("""COMPUTED_VALUE"""),4.0)</f>
        <v>4</v>
      </c>
      <c r="N484" s="11">
        <f>IFERROR(__xludf.DUMMYFUNCTION("""COMPUTED_VALUE"""),14147.0)</f>
        <v>14147</v>
      </c>
      <c r="O484" s="13">
        <f>IFERROR(__xludf.DUMMYFUNCTION("""COMPUTED_VALUE"""),33.0)</f>
        <v>33</v>
      </c>
      <c r="P484" s="14">
        <f>IFERROR(__xludf.DUMMYFUNCTION("""COMPUTED_VALUE"""),17.0)</f>
        <v>17</v>
      </c>
      <c r="Q484" s="13">
        <f>IFERROR(__xludf.DUMMYFUNCTION("""COMPUTED_VALUE"""),57.0)</f>
        <v>57</v>
      </c>
      <c r="R484" s="13">
        <f>IFERROR(__xludf.DUMMYFUNCTION("""COMPUTED_VALUE"""),98.0)</f>
        <v>98</v>
      </c>
      <c r="S484" s="15">
        <f>IFERROR(__xludf.DUMMYFUNCTION("""COMPUTED_VALUE"""),0.336734693877551)</f>
        <v>0.3367346939</v>
      </c>
      <c r="T484" s="16">
        <f>IFERROR(__xludf.DUMMYFUNCTION("""COMPUTED_VALUE"""),345.0487804878049)</f>
        <v>345.0487805</v>
      </c>
      <c r="U484" s="16">
        <f>IFERROR(__xludf.DUMMYFUNCTION("""COMPUTED_VALUE"""),0.8048780487804879)</f>
        <v>0.8048780488</v>
      </c>
      <c r="V484" s="16">
        <f>IFERROR(__xludf.DUMMYFUNCTION("""COMPUTED_VALUE"""),0.4146341463414634)</f>
        <v>0.4146341463</v>
      </c>
      <c r="W484" s="16">
        <f>IFERROR(__xludf.DUMMYFUNCTION("""COMPUTED_VALUE"""),1.3902439024390243)</f>
        <v>1.390243902</v>
      </c>
      <c r="X484" s="16">
        <f>IFERROR(__xludf.DUMMYFUNCTION("""COMPUTED_VALUE"""),2.3902439024390243)</f>
        <v>2.390243902</v>
      </c>
      <c r="Y484" s="11">
        <f>IFERROR(__xludf.DUMMYFUNCTION("""COMPUTED_VALUE"""),3.0)</f>
        <v>3</v>
      </c>
      <c r="Z484" s="11">
        <f>IFERROR(__xludf.DUMMYFUNCTION("""COMPUTED_VALUE"""),4.0)</f>
        <v>4</v>
      </c>
      <c r="AA484" s="11">
        <f>IFERROR(__xludf.DUMMYFUNCTION("""COMPUTED_VALUE"""),0.0)</f>
        <v>0</v>
      </c>
      <c r="AB484" s="11">
        <f>IFERROR(__xludf.DUMMYFUNCTION("""COMPUTED_VALUE"""),6.0)</f>
        <v>6</v>
      </c>
      <c r="AC484" s="11">
        <f>IFERROR(__xludf.DUMMYFUNCTION("""COMPUTED_VALUE"""),38.0)</f>
        <v>38</v>
      </c>
      <c r="AD484" s="11">
        <f>IFERROR(__xludf.DUMMYFUNCTION("""COMPUTED_VALUE"""),42.0)</f>
        <v>42</v>
      </c>
    </row>
    <row r="485">
      <c r="A485" s="10" t="str">
        <f>IFERROR(__xludf.DUMMYFUNCTION("""COMPUTED_VALUE"""),"Prospect")</f>
        <v>Prospect</v>
      </c>
      <c r="B485" s="10" t="str">
        <f>IFERROR(__xludf.DUMMYFUNCTION("""COMPUTED_VALUE"""),"RSC008337")</f>
        <v>RSC008337</v>
      </c>
      <c r="C485" s="10" t="str">
        <f>IFERROR(__xludf.DUMMYFUNCTION("""COMPUTED_VALUE"""),"Bblaazee.")</f>
        <v>Bblaazee.</v>
      </c>
      <c r="D485" s="36" t="str">
        <f>IFERROR(__xludf.DUMMYFUNCTION("""COMPUTED_VALUE"""),"Piranhas")</f>
        <v>Piranhas</v>
      </c>
      <c r="E485" s="10" t="str">
        <f>IFERROR(__xludf.DUMMYFUNCTION("""COMPUTED_VALUE"""),"N/A")</f>
        <v>N/A</v>
      </c>
      <c r="F485" s="37">
        <f>IFERROR(__xludf.DUMMYFUNCTION("""COMPUTED_VALUE"""),59.59014139058457)</f>
        <v>59.59014139</v>
      </c>
      <c r="G485" s="38">
        <f>IFERROR(__xludf.DUMMYFUNCTION("""COMPUTED_VALUE"""),51.02009729079174)</f>
        <v>51.02009729</v>
      </c>
      <c r="H485" s="38">
        <f>IFERROR(__xludf.DUMMYFUNCTION("""COMPUTED_VALUE"""),55.30511934068815)</f>
        <v>55.30511934</v>
      </c>
      <c r="I485" s="14">
        <f>IFERROR(__xludf.DUMMYFUNCTION("""COMPUTED_VALUE"""),39.0)</f>
        <v>39</v>
      </c>
      <c r="J485" s="11">
        <f>IFERROR(__xludf.DUMMYFUNCTION("IFERROR(FILTER(Stats!$F:$Z,(Stats!$A:$A=$A485)*(Stats!$B:$B=$B485)))"),17.0)</f>
        <v>17</v>
      </c>
      <c r="K485" s="11">
        <f>IFERROR(__xludf.DUMMYFUNCTION("""COMPUTED_VALUE"""),22.0)</f>
        <v>22</v>
      </c>
      <c r="L485" s="12">
        <f>IFERROR(__xludf.DUMMYFUNCTION("""COMPUTED_VALUE"""),0.4358974358974359)</f>
        <v>0.4358974359</v>
      </c>
      <c r="M485" s="11">
        <f>IFERROR(__xludf.DUMMYFUNCTION("""COMPUTED_VALUE"""),8.0)</f>
        <v>8</v>
      </c>
      <c r="N485" s="11">
        <f>IFERROR(__xludf.DUMMYFUNCTION("""COMPUTED_VALUE"""),14216.0)</f>
        <v>14216</v>
      </c>
      <c r="O485" s="13">
        <f>IFERROR(__xludf.DUMMYFUNCTION("""COMPUTED_VALUE"""),35.0)</f>
        <v>35</v>
      </c>
      <c r="P485" s="14">
        <f>IFERROR(__xludf.DUMMYFUNCTION("""COMPUTED_VALUE"""),14.0)</f>
        <v>14</v>
      </c>
      <c r="Q485" s="13">
        <f>IFERROR(__xludf.DUMMYFUNCTION("""COMPUTED_VALUE"""),56.0)</f>
        <v>56</v>
      </c>
      <c r="R485" s="13">
        <f>IFERROR(__xludf.DUMMYFUNCTION("""COMPUTED_VALUE"""),91.0)</f>
        <v>91</v>
      </c>
      <c r="S485" s="15">
        <f>IFERROR(__xludf.DUMMYFUNCTION("""COMPUTED_VALUE"""),0.38461538461538464)</f>
        <v>0.3846153846</v>
      </c>
      <c r="T485" s="16">
        <f>IFERROR(__xludf.DUMMYFUNCTION("""COMPUTED_VALUE"""),364.5128205128205)</f>
        <v>364.5128205</v>
      </c>
      <c r="U485" s="16">
        <f>IFERROR(__xludf.DUMMYFUNCTION("""COMPUTED_VALUE"""),0.8974358974358975)</f>
        <v>0.8974358974</v>
      </c>
      <c r="V485" s="16">
        <f>IFERROR(__xludf.DUMMYFUNCTION("""COMPUTED_VALUE"""),0.358974358974359)</f>
        <v>0.358974359</v>
      </c>
      <c r="W485" s="16">
        <f>IFERROR(__xludf.DUMMYFUNCTION("""COMPUTED_VALUE"""),1.435897435897436)</f>
        <v>1.435897436</v>
      </c>
      <c r="X485" s="16">
        <f>IFERROR(__xludf.DUMMYFUNCTION("""COMPUTED_VALUE"""),2.3333333333333335)</f>
        <v>2.333333333</v>
      </c>
      <c r="Y485" s="11">
        <f>IFERROR(__xludf.DUMMYFUNCTION("""COMPUTED_VALUE"""),5.0)</f>
        <v>5</v>
      </c>
      <c r="Z485" s="11">
        <f>IFERROR(__xludf.DUMMYFUNCTION("""COMPUTED_VALUE"""),2.0)</f>
        <v>2</v>
      </c>
      <c r="AA485" s="11">
        <f>IFERROR(__xludf.DUMMYFUNCTION("""COMPUTED_VALUE"""),2.0)</f>
        <v>2</v>
      </c>
      <c r="AB485" s="11">
        <f>IFERROR(__xludf.DUMMYFUNCTION("""COMPUTED_VALUE"""),7.0)</f>
        <v>7</v>
      </c>
      <c r="AC485" s="11">
        <f>IFERROR(__xludf.DUMMYFUNCTION("""COMPUTED_VALUE"""),25.0)</f>
        <v>25</v>
      </c>
      <c r="AD485" s="11">
        <f>IFERROR(__xludf.DUMMYFUNCTION("""COMPUTED_VALUE"""),36.0)</f>
        <v>36</v>
      </c>
    </row>
    <row r="486">
      <c r="A486" s="10" t="str">
        <f>IFERROR(__xludf.DUMMYFUNCTION("""COMPUTED_VALUE"""),"Prospect")</f>
        <v>Prospect</v>
      </c>
      <c r="B486" s="10" t="str">
        <f>IFERROR(__xludf.DUMMYFUNCTION("""COMPUTED_VALUE"""),"RSC008110")</f>
        <v>RSC008110</v>
      </c>
      <c r="C486" s="10" t="str">
        <f>IFERROR(__xludf.DUMMYFUNCTION("""COMPUTED_VALUE"""),"IrishHawk27")</f>
        <v>IrishHawk27</v>
      </c>
      <c r="D486" s="36" t="str">
        <f>IFERROR(__xludf.DUMMYFUNCTION("""COMPUTED_VALUE"""),"Skeletons
Honey Badgers
Hostile Takeover")</f>
        <v>Skeletons
Honey Badgers
Hostile Takeover</v>
      </c>
      <c r="E486" s="10" t="str">
        <f>IFERROR(__xludf.DUMMYFUNCTION("""COMPUTED_VALUE"""),"N/A
N/A
N/A")</f>
        <v>N/A
N/A
N/A</v>
      </c>
      <c r="F486" s="37">
        <f>IFERROR(__xludf.DUMMYFUNCTION("""COMPUTED_VALUE"""),51.669736765253944)</f>
        <v>51.66973677</v>
      </c>
      <c r="G486" s="38">
        <f>IFERROR(__xludf.DUMMYFUNCTION("""COMPUTED_VALUE"""),58.32404534063537)</f>
        <v>58.32404534</v>
      </c>
      <c r="H486" s="38">
        <f>IFERROR(__xludf.DUMMYFUNCTION("""COMPUTED_VALUE"""),54.99689105294466)</f>
        <v>54.99689105</v>
      </c>
      <c r="I486" s="14">
        <f>IFERROR(__xludf.DUMMYFUNCTION("""COMPUTED_VALUE"""),28.0)</f>
        <v>28</v>
      </c>
      <c r="J486" s="11">
        <f>IFERROR(__xludf.DUMMYFUNCTION("IFERROR(FILTER(Stats!$F:$Z,(Stats!$A:$A=$A486)*(Stats!$B:$B=$B486)))"),12.0)</f>
        <v>12</v>
      </c>
      <c r="K486" s="11">
        <f>IFERROR(__xludf.DUMMYFUNCTION("""COMPUTED_VALUE"""),16.0)</f>
        <v>16</v>
      </c>
      <c r="L486" s="12">
        <f>IFERROR(__xludf.DUMMYFUNCTION("""COMPUTED_VALUE"""),0.42857142857142855)</f>
        <v>0.4285714286</v>
      </c>
      <c r="M486" s="11">
        <f>IFERROR(__xludf.DUMMYFUNCTION("""COMPUTED_VALUE"""),5.0)</f>
        <v>5</v>
      </c>
      <c r="N486" s="11">
        <f>IFERROR(__xludf.DUMMYFUNCTION("""COMPUTED_VALUE"""),9594.0)</f>
        <v>9594</v>
      </c>
      <c r="O486" s="13">
        <f>IFERROR(__xludf.DUMMYFUNCTION("""COMPUTED_VALUE"""),27.0)</f>
        <v>27</v>
      </c>
      <c r="P486" s="14">
        <f>IFERROR(__xludf.DUMMYFUNCTION("""COMPUTED_VALUE"""),14.0)</f>
        <v>14</v>
      </c>
      <c r="Q486" s="13">
        <f>IFERROR(__xludf.DUMMYFUNCTION("""COMPUTED_VALUE"""),27.0)</f>
        <v>27</v>
      </c>
      <c r="R486" s="13">
        <f>IFERROR(__xludf.DUMMYFUNCTION("""COMPUTED_VALUE"""),79.0)</f>
        <v>79</v>
      </c>
      <c r="S486" s="15">
        <f>IFERROR(__xludf.DUMMYFUNCTION("""COMPUTED_VALUE"""),0.34177215189873417)</f>
        <v>0.3417721519</v>
      </c>
      <c r="T486" s="16">
        <f>IFERROR(__xludf.DUMMYFUNCTION("""COMPUTED_VALUE"""),342.64285714285717)</f>
        <v>342.6428571</v>
      </c>
      <c r="U486" s="16">
        <f>IFERROR(__xludf.DUMMYFUNCTION("""COMPUTED_VALUE"""),0.9642857142857143)</f>
        <v>0.9642857143</v>
      </c>
      <c r="V486" s="16">
        <f>IFERROR(__xludf.DUMMYFUNCTION("""COMPUTED_VALUE"""),0.5)</f>
        <v>0.5</v>
      </c>
      <c r="W486" s="16">
        <f>IFERROR(__xludf.DUMMYFUNCTION("""COMPUTED_VALUE"""),0.9642857142857143)</f>
        <v>0.9642857143</v>
      </c>
      <c r="X486" s="16">
        <f>IFERROR(__xludf.DUMMYFUNCTION("""COMPUTED_VALUE"""),2.8214285714285716)</f>
        <v>2.821428571</v>
      </c>
      <c r="Y486" s="11">
        <f>IFERROR(__xludf.DUMMYFUNCTION("""COMPUTED_VALUE"""),4.0)</f>
        <v>4</v>
      </c>
      <c r="Z486" s="11">
        <f>IFERROR(__xludf.DUMMYFUNCTION("""COMPUTED_VALUE"""),2.0)</f>
        <v>2</v>
      </c>
      <c r="AA486" s="11">
        <f>IFERROR(__xludf.DUMMYFUNCTION("""COMPUTED_VALUE"""),1.0)</f>
        <v>1</v>
      </c>
      <c r="AB486" s="11">
        <f>IFERROR(__xludf.DUMMYFUNCTION("""COMPUTED_VALUE"""),1.0)</f>
        <v>1</v>
      </c>
      <c r="AC486" s="11">
        <f>IFERROR(__xludf.DUMMYFUNCTION("""COMPUTED_VALUE"""),9.0)</f>
        <v>9</v>
      </c>
      <c r="AD486" s="11">
        <f>IFERROR(__xludf.DUMMYFUNCTION("""COMPUTED_VALUE"""),36.0)</f>
        <v>36</v>
      </c>
    </row>
    <row r="487">
      <c r="A487" s="10" t="str">
        <f>IFERROR(__xludf.DUMMYFUNCTION("""COMPUTED_VALUE"""),"Prospect")</f>
        <v>Prospect</v>
      </c>
      <c r="B487" s="10" t="str">
        <f>IFERROR(__xludf.DUMMYFUNCTION("""COMPUTED_VALUE"""),"RSC005252")</f>
        <v>RSC005252</v>
      </c>
      <c r="C487" s="10" t="str">
        <f>IFERROR(__xludf.DUMMYFUNCTION("""COMPUTED_VALUE"""),"MysticMax07")</f>
        <v>MysticMax07</v>
      </c>
      <c r="D487" s="36" t="str">
        <f>IFERROR(__xludf.DUMMYFUNCTION("""COMPUTED_VALUE"""),"Earth")</f>
        <v>Earth</v>
      </c>
      <c r="E487" s="10" t="str">
        <f>IFERROR(__xludf.DUMMYFUNCTION("""COMPUTED_VALUE"""),"N/A")</f>
        <v>N/A</v>
      </c>
      <c r="F487" s="37">
        <f>IFERROR(__xludf.DUMMYFUNCTION("""COMPUTED_VALUE"""),55.603611793406344)</f>
        <v>55.60361179</v>
      </c>
      <c r="G487" s="38">
        <f>IFERROR(__xludf.DUMMYFUNCTION("""COMPUTED_VALUE"""),53.75147787554934)</f>
        <v>53.75147788</v>
      </c>
      <c r="H487" s="38">
        <f>IFERROR(__xludf.DUMMYFUNCTION("""COMPUTED_VALUE"""),54.67754483447784)</f>
        <v>54.67754483</v>
      </c>
      <c r="I487" s="14">
        <f>IFERROR(__xludf.DUMMYFUNCTION("""COMPUTED_VALUE"""),55.0)</f>
        <v>55</v>
      </c>
      <c r="J487" s="11">
        <f>IFERROR(__xludf.DUMMYFUNCTION("IFERROR(FILTER(Stats!$F:$Z,(Stats!$A:$A=$A487)*(Stats!$B:$B=$B487)))"),18.0)</f>
        <v>18</v>
      </c>
      <c r="K487" s="11">
        <f>IFERROR(__xludf.DUMMYFUNCTION("""COMPUTED_VALUE"""),37.0)</f>
        <v>37</v>
      </c>
      <c r="L487" s="12">
        <f>IFERROR(__xludf.DUMMYFUNCTION("""COMPUTED_VALUE"""),0.32727272727272727)</f>
        <v>0.3272727273</v>
      </c>
      <c r="M487" s="11">
        <f>IFERROR(__xludf.DUMMYFUNCTION("""COMPUTED_VALUE"""),8.0)</f>
        <v>8</v>
      </c>
      <c r="N487" s="11">
        <f>IFERROR(__xludf.DUMMYFUNCTION("""COMPUTED_VALUE"""),18831.0)</f>
        <v>18831</v>
      </c>
      <c r="O487" s="13">
        <f>IFERROR(__xludf.DUMMYFUNCTION("""COMPUTED_VALUE"""),43.0)</f>
        <v>43</v>
      </c>
      <c r="P487" s="14">
        <f>IFERROR(__xludf.DUMMYFUNCTION("""COMPUTED_VALUE"""),19.0)</f>
        <v>19</v>
      </c>
      <c r="Q487" s="13">
        <f>IFERROR(__xludf.DUMMYFUNCTION("""COMPUTED_VALUE"""),65.0)</f>
        <v>65</v>
      </c>
      <c r="R487" s="13">
        <f>IFERROR(__xludf.DUMMYFUNCTION("""COMPUTED_VALUE"""),157.0)</f>
        <v>157</v>
      </c>
      <c r="S487" s="15">
        <f>IFERROR(__xludf.DUMMYFUNCTION("""COMPUTED_VALUE"""),0.27388535031847133)</f>
        <v>0.2738853503</v>
      </c>
      <c r="T487" s="16">
        <f>IFERROR(__xludf.DUMMYFUNCTION("""COMPUTED_VALUE"""),342.3818181818182)</f>
        <v>342.3818182</v>
      </c>
      <c r="U487" s="16">
        <f>IFERROR(__xludf.DUMMYFUNCTION("""COMPUTED_VALUE"""),0.7818181818181819)</f>
        <v>0.7818181818</v>
      </c>
      <c r="V487" s="16">
        <f>IFERROR(__xludf.DUMMYFUNCTION("""COMPUTED_VALUE"""),0.34545454545454546)</f>
        <v>0.3454545455</v>
      </c>
      <c r="W487" s="16">
        <f>IFERROR(__xludf.DUMMYFUNCTION("""COMPUTED_VALUE"""),1.1818181818181819)</f>
        <v>1.181818182</v>
      </c>
      <c r="X487" s="16">
        <f>IFERROR(__xludf.DUMMYFUNCTION("""COMPUTED_VALUE"""),2.8545454545454545)</f>
        <v>2.854545455</v>
      </c>
      <c r="Y487" s="11">
        <f>IFERROR(__xludf.DUMMYFUNCTION("""COMPUTED_VALUE"""),6.0)</f>
        <v>6</v>
      </c>
      <c r="Z487" s="11">
        <f>IFERROR(__xludf.DUMMYFUNCTION("""COMPUTED_VALUE"""),3.0)</f>
        <v>3</v>
      </c>
      <c r="AA487" s="11">
        <f>IFERROR(__xludf.DUMMYFUNCTION("""COMPUTED_VALUE"""),0.0)</f>
        <v>0</v>
      </c>
      <c r="AB487" s="11">
        <f>IFERROR(__xludf.DUMMYFUNCTION("""COMPUTED_VALUE"""),6.0)</f>
        <v>6</v>
      </c>
      <c r="AC487" s="11">
        <f>IFERROR(__xludf.DUMMYFUNCTION("""COMPUTED_VALUE"""),11.0)</f>
        <v>11</v>
      </c>
      <c r="AD487" s="11">
        <f>IFERROR(__xludf.DUMMYFUNCTION("""COMPUTED_VALUE"""),60.0)</f>
        <v>60</v>
      </c>
    </row>
    <row r="488">
      <c r="A488" s="10" t="str">
        <f>IFERROR(__xludf.DUMMYFUNCTION("""COMPUTED_VALUE"""),"Prospect")</f>
        <v>Prospect</v>
      </c>
      <c r="B488" s="10" t="str">
        <f>IFERROR(__xludf.DUMMYFUNCTION("""COMPUTED_VALUE"""),"RSC008447")</f>
        <v>RSC008447</v>
      </c>
      <c r="C488" s="10" t="str">
        <f>IFERROR(__xludf.DUMMYFUNCTION("""COMPUTED_VALUE"""),"jim2jam")</f>
        <v>jim2jam</v>
      </c>
      <c r="D488" s="36" t="str">
        <f>IFERROR(__xludf.DUMMYFUNCTION("""COMPUTED_VALUE"""),"Skeletons")</f>
        <v>Skeletons</v>
      </c>
      <c r="E488" s="10" t="str">
        <f>IFERROR(__xludf.DUMMYFUNCTION("""COMPUTED_VALUE"""),"N/A")</f>
        <v>N/A</v>
      </c>
      <c r="F488" s="37">
        <f>IFERROR(__xludf.DUMMYFUNCTION("""COMPUTED_VALUE"""),71.80124003288276)</f>
        <v>71.80124003</v>
      </c>
      <c r="G488" s="38">
        <f>IFERROR(__xludf.DUMMYFUNCTION("""COMPUTED_VALUE"""),35.59300996913369)</f>
        <v>35.59300997</v>
      </c>
      <c r="H488" s="38">
        <f>IFERROR(__xludf.DUMMYFUNCTION("""COMPUTED_VALUE"""),53.697125001008224)</f>
        <v>53.697125</v>
      </c>
      <c r="I488" s="14">
        <f>IFERROR(__xludf.DUMMYFUNCTION("""COMPUTED_VALUE"""),1.0)</f>
        <v>1</v>
      </c>
      <c r="J488" s="11">
        <f>IFERROR(__xludf.DUMMYFUNCTION("IFERROR(FILTER(Stats!$F:$Z,(Stats!$A:$A=$A488)*(Stats!$B:$B=$B488)))"),0.0)</f>
        <v>0</v>
      </c>
      <c r="K488" s="11">
        <f>IFERROR(__xludf.DUMMYFUNCTION("""COMPUTED_VALUE"""),1.0)</f>
        <v>1</v>
      </c>
      <c r="L488" s="12">
        <f>IFERROR(__xludf.DUMMYFUNCTION("""COMPUTED_VALUE"""),0.0)</f>
        <v>0</v>
      </c>
      <c r="M488" s="11">
        <f>IFERROR(__xludf.DUMMYFUNCTION("""COMPUTED_VALUE"""),0.0)</f>
        <v>0</v>
      </c>
      <c r="N488" s="11">
        <f>IFERROR(__xludf.DUMMYFUNCTION("""COMPUTED_VALUE"""),386.0)</f>
        <v>386</v>
      </c>
      <c r="O488" s="13">
        <f>IFERROR(__xludf.DUMMYFUNCTION("""COMPUTED_VALUE"""),1.0)</f>
        <v>1</v>
      </c>
      <c r="P488" s="14">
        <f>IFERROR(__xludf.DUMMYFUNCTION("""COMPUTED_VALUE"""),1.0)</f>
        <v>1</v>
      </c>
      <c r="Q488" s="13">
        <f>IFERROR(__xludf.DUMMYFUNCTION("""COMPUTED_VALUE"""),1.0)</f>
        <v>1</v>
      </c>
      <c r="R488" s="13">
        <f>IFERROR(__xludf.DUMMYFUNCTION("""COMPUTED_VALUE"""),2.0)</f>
        <v>2</v>
      </c>
      <c r="S488" s="15">
        <f>IFERROR(__xludf.DUMMYFUNCTION("""COMPUTED_VALUE"""),0.5)</f>
        <v>0.5</v>
      </c>
      <c r="T488" s="16">
        <f>IFERROR(__xludf.DUMMYFUNCTION("""COMPUTED_VALUE"""),386.0)</f>
        <v>386</v>
      </c>
      <c r="U488" s="16">
        <f>IFERROR(__xludf.DUMMYFUNCTION("""COMPUTED_VALUE"""),1.0)</f>
        <v>1</v>
      </c>
      <c r="V488" s="16">
        <f>IFERROR(__xludf.DUMMYFUNCTION("""COMPUTED_VALUE"""),1.0)</f>
        <v>1</v>
      </c>
      <c r="W488" s="16">
        <f>IFERROR(__xludf.DUMMYFUNCTION("""COMPUTED_VALUE"""),1.0)</f>
        <v>1</v>
      </c>
      <c r="X488" s="16">
        <f>IFERROR(__xludf.DUMMYFUNCTION("""COMPUTED_VALUE"""),2.0)</f>
        <v>2</v>
      </c>
      <c r="Y488" s="11">
        <f>IFERROR(__xludf.DUMMYFUNCTION("""COMPUTED_VALUE"""),1.0)</f>
        <v>1</v>
      </c>
      <c r="Z488" s="11">
        <f>IFERROR(__xludf.DUMMYFUNCTION("""COMPUTED_VALUE"""),0.0)</f>
        <v>0</v>
      </c>
      <c r="AA488" s="11">
        <f>IFERROR(__xludf.DUMMYFUNCTION("""COMPUTED_VALUE"""),0.0)</f>
        <v>0</v>
      </c>
      <c r="AB488" s="11">
        <f>IFERROR(__xludf.DUMMYFUNCTION("""COMPUTED_VALUE"""),0.0)</f>
        <v>0</v>
      </c>
      <c r="AC488" s="11">
        <f>IFERROR(__xludf.DUMMYFUNCTION("""COMPUTED_VALUE"""),0.0)</f>
        <v>0</v>
      </c>
      <c r="AD488" s="11">
        <f>IFERROR(__xludf.DUMMYFUNCTION("""COMPUTED_VALUE"""),0.0)</f>
        <v>0</v>
      </c>
    </row>
    <row r="489">
      <c r="A489" s="10" t="str">
        <f>IFERROR(__xludf.DUMMYFUNCTION("""COMPUTED_VALUE"""),"Prospect")</f>
        <v>Prospect</v>
      </c>
      <c r="B489" s="10" t="str">
        <f>IFERROR(__xludf.DUMMYFUNCTION("""COMPUTED_VALUE"""),"RSC008370")</f>
        <v>RSC008370</v>
      </c>
      <c r="C489" s="10" t="str">
        <f>IFERROR(__xludf.DUMMYFUNCTION("""COMPUTED_VALUE"""),"Precision")</f>
        <v>Precision</v>
      </c>
      <c r="D489" s="36" t="str">
        <f>IFERROR(__xludf.DUMMYFUNCTION("""COMPUTED_VALUE"""),"Hawaiian Pizza
Piranhas
Tic Tacs")</f>
        <v>Hawaiian Pizza
Piranhas
Tic Tacs</v>
      </c>
      <c r="E489" s="10" t="str">
        <f>IFERROR(__xludf.DUMMYFUNCTION("""COMPUTED_VALUE"""),"N/A
N/A
N/A")</f>
        <v>N/A
N/A
N/A</v>
      </c>
      <c r="F489" s="37">
        <f>IFERROR(__xludf.DUMMYFUNCTION("""COMPUTED_VALUE"""),57.90628346844688)</f>
        <v>57.90628347</v>
      </c>
      <c r="G489" s="38">
        <f>IFERROR(__xludf.DUMMYFUNCTION("""COMPUTED_VALUE"""),48.39195687031621)</f>
        <v>48.39195687</v>
      </c>
      <c r="H489" s="38">
        <f>IFERROR(__xludf.DUMMYFUNCTION("""COMPUTED_VALUE"""),53.14912016938155)</f>
        <v>53.14912017</v>
      </c>
      <c r="I489" s="14">
        <f>IFERROR(__xludf.DUMMYFUNCTION("""COMPUTED_VALUE"""),40.0)</f>
        <v>40</v>
      </c>
      <c r="J489" s="11">
        <f>IFERROR(__xludf.DUMMYFUNCTION("IFERROR(FILTER(Stats!$F:$Z,(Stats!$A:$A=$A489)*(Stats!$B:$B=$B489)))"),21.0)</f>
        <v>21</v>
      </c>
      <c r="K489" s="11">
        <f>IFERROR(__xludf.DUMMYFUNCTION("""COMPUTED_VALUE"""),19.0)</f>
        <v>19</v>
      </c>
      <c r="L489" s="12">
        <f>IFERROR(__xludf.DUMMYFUNCTION("""COMPUTED_VALUE"""),0.525)</f>
        <v>0.525</v>
      </c>
      <c r="M489" s="11">
        <f>IFERROR(__xludf.DUMMYFUNCTION("""COMPUTED_VALUE"""),6.0)</f>
        <v>6</v>
      </c>
      <c r="N489" s="11">
        <f>IFERROR(__xludf.DUMMYFUNCTION("""COMPUTED_VALUE"""),12510.0)</f>
        <v>12510</v>
      </c>
      <c r="O489" s="13">
        <f>IFERROR(__xludf.DUMMYFUNCTION("""COMPUTED_VALUE"""),24.0)</f>
        <v>24</v>
      </c>
      <c r="P489" s="14">
        <f>IFERROR(__xludf.DUMMYFUNCTION("""COMPUTED_VALUE"""),31.0)</f>
        <v>31</v>
      </c>
      <c r="Q489" s="13">
        <f>IFERROR(__xludf.DUMMYFUNCTION("""COMPUTED_VALUE"""),45.0)</f>
        <v>45</v>
      </c>
      <c r="R489" s="13">
        <f>IFERROR(__xludf.DUMMYFUNCTION("""COMPUTED_VALUE"""),78.0)</f>
        <v>78</v>
      </c>
      <c r="S489" s="15">
        <f>IFERROR(__xludf.DUMMYFUNCTION("""COMPUTED_VALUE"""),0.3076923076923077)</f>
        <v>0.3076923077</v>
      </c>
      <c r="T489" s="16">
        <f>IFERROR(__xludf.DUMMYFUNCTION("""COMPUTED_VALUE"""),312.75)</f>
        <v>312.75</v>
      </c>
      <c r="U489" s="16">
        <f>IFERROR(__xludf.DUMMYFUNCTION("""COMPUTED_VALUE"""),0.6)</f>
        <v>0.6</v>
      </c>
      <c r="V489" s="16">
        <f>IFERROR(__xludf.DUMMYFUNCTION("""COMPUTED_VALUE"""),0.775)</f>
        <v>0.775</v>
      </c>
      <c r="W489" s="16">
        <f>IFERROR(__xludf.DUMMYFUNCTION("""COMPUTED_VALUE"""),1.125)</f>
        <v>1.125</v>
      </c>
      <c r="X489" s="16">
        <f>IFERROR(__xludf.DUMMYFUNCTION("""COMPUTED_VALUE"""),1.95)</f>
        <v>1.95</v>
      </c>
      <c r="Y489" s="11">
        <f>IFERROR(__xludf.DUMMYFUNCTION("""COMPUTED_VALUE"""),10.0)</f>
        <v>10</v>
      </c>
      <c r="Z489" s="11">
        <f>IFERROR(__xludf.DUMMYFUNCTION("""COMPUTED_VALUE"""),0.0)</f>
        <v>0</v>
      </c>
      <c r="AA489" s="11">
        <f>IFERROR(__xludf.DUMMYFUNCTION("""COMPUTED_VALUE"""),2.0)</f>
        <v>2</v>
      </c>
      <c r="AB489" s="11">
        <f>IFERROR(__xludf.DUMMYFUNCTION("""COMPUTED_VALUE"""),1.0)</f>
        <v>1</v>
      </c>
      <c r="AC489" s="11">
        <f>IFERROR(__xludf.DUMMYFUNCTION("""COMPUTED_VALUE"""),55.0)</f>
        <v>55</v>
      </c>
      <c r="AD489" s="11">
        <f>IFERROR(__xludf.DUMMYFUNCTION("""COMPUTED_VALUE"""),30.0)</f>
        <v>30</v>
      </c>
    </row>
    <row r="490">
      <c r="A490" s="10" t="str">
        <f>IFERROR(__xludf.DUMMYFUNCTION("""COMPUTED_VALUE"""),"Prospect")</f>
        <v>Prospect</v>
      </c>
      <c r="B490" s="10" t="str">
        <f>IFERROR(__xludf.DUMMYFUNCTION("""COMPUTED_VALUE"""),"RSC008451")</f>
        <v>RSC008451</v>
      </c>
      <c r="C490" s="10" t="str">
        <f>IFERROR(__xludf.DUMMYFUNCTION("""COMPUTED_VALUE"""),"RyGuy2flie")</f>
        <v>RyGuy2flie</v>
      </c>
      <c r="D490" s="36" t="str">
        <f>IFERROR(__xludf.DUMMYFUNCTION("""COMPUTED_VALUE"""),"Hostile Takeover")</f>
        <v>Hostile Takeover</v>
      </c>
      <c r="E490" s="10" t="str">
        <f>IFERROR(__xludf.DUMMYFUNCTION("""COMPUTED_VALUE"""),"N/A")</f>
        <v>N/A</v>
      </c>
      <c r="F490" s="37">
        <f>IFERROR(__xludf.DUMMYFUNCTION("""COMPUTED_VALUE"""),43.55553729519979)</f>
        <v>43.5555373</v>
      </c>
      <c r="G490" s="38">
        <f>IFERROR(__xludf.DUMMYFUNCTION("""COMPUTED_VALUE"""),60.82738437459247)</f>
        <v>60.82738437</v>
      </c>
      <c r="H490" s="38">
        <f>IFERROR(__xludf.DUMMYFUNCTION("""COMPUTED_VALUE"""),52.191460834896134)</f>
        <v>52.19146083</v>
      </c>
      <c r="I490" s="14">
        <f>IFERROR(__xludf.DUMMYFUNCTION("""COMPUTED_VALUE"""),33.0)</f>
        <v>33</v>
      </c>
      <c r="J490" s="11">
        <f>IFERROR(__xludf.DUMMYFUNCTION("IFERROR(FILTER(Stats!$F:$Z,(Stats!$A:$A=$A490)*(Stats!$B:$B=$B490)))"),23.0)</f>
        <v>23</v>
      </c>
      <c r="K490" s="11">
        <f>IFERROR(__xludf.DUMMYFUNCTION("""COMPUTED_VALUE"""),10.0)</f>
        <v>10</v>
      </c>
      <c r="L490" s="12">
        <f>IFERROR(__xludf.DUMMYFUNCTION("""COMPUTED_VALUE"""),0.696969696969697)</f>
        <v>0.696969697</v>
      </c>
      <c r="M490" s="11">
        <f>IFERROR(__xludf.DUMMYFUNCTION("""COMPUTED_VALUE"""),2.0)</f>
        <v>2</v>
      </c>
      <c r="N490" s="11">
        <f>IFERROR(__xludf.DUMMYFUNCTION("""COMPUTED_VALUE"""),10095.0)</f>
        <v>10095</v>
      </c>
      <c r="O490" s="13">
        <f>IFERROR(__xludf.DUMMYFUNCTION("""COMPUTED_VALUE"""),25.0)</f>
        <v>25</v>
      </c>
      <c r="P490" s="14">
        <f>IFERROR(__xludf.DUMMYFUNCTION("""COMPUTED_VALUE"""),18.0)</f>
        <v>18</v>
      </c>
      <c r="Q490" s="13">
        <f>IFERROR(__xludf.DUMMYFUNCTION("""COMPUTED_VALUE"""),33.0)</f>
        <v>33</v>
      </c>
      <c r="R490" s="13">
        <f>IFERROR(__xludf.DUMMYFUNCTION("""COMPUTED_VALUE"""),75.0)</f>
        <v>75</v>
      </c>
      <c r="S490" s="15">
        <f>IFERROR(__xludf.DUMMYFUNCTION("""COMPUTED_VALUE"""),0.3333333333333333)</f>
        <v>0.3333333333</v>
      </c>
      <c r="T490" s="16">
        <f>IFERROR(__xludf.DUMMYFUNCTION("""COMPUTED_VALUE"""),305.90909090909093)</f>
        <v>305.9090909</v>
      </c>
      <c r="U490" s="16">
        <f>IFERROR(__xludf.DUMMYFUNCTION("""COMPUTED_VALUE"""),0.7575757575757576)</f>
        <v>0.7575757576</v>
      </c>
      <c r="V490" s="16">
        <f>IFERROR(__xludf.DUMMYFUNCTION("""COMPUTED_VALUE"""),0.5454545454545454)</f>
        <v>0.5454545455</v>
      </c>
      <c r="W490" s="16">
        <f>IFERROR(__xludf.DUMMYFUNCTION("""COMPUTED_VALUE"""),1.0)</f>
        <v>1</v>
      </c>
      <c r="X490" s="16">
        <f>IFERROR(__xludf.DUMMYFUNCTION("""COMPUTED_VALUE"""),2.272727272727273)</f>
        <v>2.272727273</v>
      </c>
      <c r="Y490" s="11">
        <f>IFERROR(__xludf.DUMMYFUNCTION("""COMPUTED_VALUE"""),1.0)</f>
        <v>1</v>
      </c>
      <c r="Z490" s="11">
        <f>IFERROR(__xludf.DUMMYFUNCTION("""COMPUTED_VALUE"""),0.0)</f>
        <v>0</v>
      </c>
      <c r="AA490" s="11">
        <f>IFERROR(__xludf.DUMMYFUNCTION("""COMPUTED_VALUE"""),2.0)</f>
        <v>2</v>
      </c>
      <c r="AB490" s="11">
        <f>IFERROR(__xludf.DUMMYFUNCTION("""COMPUTED_VALUE"""),3.0)</f>
        <v>3</v>
      </c>
      <c r="AC490" s="11">
        <f>IFERROR(__xludf.DUMMYFUNCTION("""COMPUTED_VALUE"""),8.0)</f>
        <v>8</v>
      </c>
      <c r="AD490" s="11">
        <f>IFERROR(__xludf.DUMMYFUNCTION("""COMPUTED_VALUE"""),25.0)</f>
        <v>25</v>
      </c>
    </row>
    <row r="491">
      <c r="A491" s="10" t="str">
        <f>IFERROR(__xludf.DUMMYFUNCTION("""COMPUTED_VALUE"""),"Prospect")</f>
        <v>Prospect</v>
      </c>
      <c r="B491" s="10" t="str">
        <f>IFERROR(__xludf.DUMMYFUNCTION("""COMPUTED_VALUE"""),"RSC004509")</f>
        <v>RSC004509</v>
      </c>
      <c r="C491" s="10" t="str">
        <f>IFERROR(__xludf.DUMMYFUNCTION("""COMPUTED_VALUE"""),"tazlien")</f>
        <v>tazlien</v>
      </c>
      <c r="D491" s="36" t="str">
        <f>IFERROR(__xludf.DUMMYFUNCTION("""COMPUTED_VALUE"""),"Turbulence
Piranhas")</f>
        <v>Turbulence
Piranhas</v>
      </c>
      <c r="E491" s="10" t="str">
        <f>IFERROR(__xludf.DUMMYFUNCTION("""COMPUTED_VALUE"""),"N/A
N/A")</f>
        <v>N/A
N/A</v>
      </c>
      <c r="F491" s="37">
        <f>IFERROR(__xludf.DUMMYFUNCTION("""COMPUTED_VALUE"""),48.235993429442274)</f>
        <v>48.23599343</v>
      </c>
      <c r="G491" s="38">
        <f>IFERROR(__xludf.DUMMYFUNCTION("""COMPUTED_VALUE"""),55.990597110770864)</f>
        <v>55.99059711</v>
      </c>
      <c r="H491" s="38">
        <f>IFERROR(__xludf.DUMMYFUNCTION("""COMPUTED_VALUE"""),52.11329527010657)</f>
        <v>52.11329527</v>
      </c>
      <c r="I491" s="14">
        <f>IFERROR(__xludf.DUMMYFUNCTION("""COMPUTED_VALUE"""),15.0)</f>
        <v>15</v>
      </c>
      <c r="J491" s="11">
        <f>IFERROR(__xludf.DUMMYFUNCTION("IFERROR(FILTER(Stats!$F:$Z,(Stats!$A:$A=$A491)*(Stats!$B:$B=$B491)))"),9.0)</f>
        <v>9</v>
      </c>
      <c r="K491" s="11">
        <f>IFERROR(__xludf.DUMMYFUNCTION("""COMPUTED_VALUE"""),6.0)</f>
        <v>6</v>
      </c>
      <c r="L491" s="12">
        <f>IFERROR(__xludf.DUMMYFUNCTION("""COMPUTED_VALUE"""),0.6)</f>
        <v>0.6</v>
      </c>
      <c r="M491" s="11">
        <f>IFERROR(__xludf.DUMMYFUNCTION("""COMPUTED_VALUE"""),3.0)</f>
        <v>3</v>
      </c>
      <c r="N491" s="11">
        <f>IFERROR(__xludf.DUMMYFUNCTION("""COMPUTED_VALUE"""),5002.0)</f>
        <v>5002</v>
      </c>
      <c r="O491" s="13">
        <f>IFERROR(__xludf.DUMMYFUNCTION("""COMPUTED_VALUE"""),10.0)</f>
        <v>10</v>
      </c>
      <c r="P491" s="14">
        <f>IFERROR(__xludf.DUMMYFUNCTION("""COMPUTED_VALUE"""),4.0)</f>
        <v>4</v>
      </c>
      <c r="Q491" s="13">
        <f>IFERROR(__xludf.DUMMYFUNCTION("""COMPUTED_VALUE"""),15.0)</f>
        <v>15</v>
      </c>
      <c r="R491" s="13">
        <f>IFERROR(__xludf.DUMMYFUNCTION("""COMPUTED_VALUE"""),34.0)</f>
        <v>34</v>
      </c>
      <c r="S491" s="15">
        <f>IFERROR(__xludf.DUMMYFUNCTION("""COMPUTED_VALUE"""),0.29411764705882354)</f>
        <v>0.2941176471</v>
      </c>
      <c r="T491" s="16">
        <f>IFERROR(__xludf.DUMMYFUNCTION("""COMPUTED_VALUE"""),333.46666666666664)</f>
        <v>333.4666667</v>
      </c>
      <c r="U491" s="16">
        <f>IFERROR(__xludf.DUMMYFUNCTION("""COMPUTED_VALUE"""),0.6666666666666666)</f>
        <v>0.6666666667</v>
      </c>
      <c r="V491" s="16">
        <f>IFERROR(__xludf.DUMMYFUNCTION("""COMPUTED_VALUE"""),0.26666666666666666)</f>
        <v>0.2666666667</v>
      </c>
      <c r="W491" s="16">
        <f>IFERROR(__xludf.DUMMYFUNCTION("""COMPUTED_VALUE"""),1.0)</f>
        <v>1</v>
      </c>
      <c r="X491" s="16">
        <f>IFERROR(__xludf.DUMMYFUNCTION("""COMPUTED_VALUE"""),2.2666666666666666)</f>
        <v>2.266666667</v>
      </c>
      <c r="Y491" s="11">
        <f>IFERROR(__xludf.DUMMYFUNCTION("""COMPUTED_VALUE"""),1.0)</f>
        <v>1</v>
      </c>
      <c r="Z491" s="11">
        <f>IFERROR(__xludf.DUMMYFUNCTION("""COMPUTED_VALUE"""),1.0)</f>
        <v>1</v>
      </c>
      <c r="AA491" s="11">
        <f>IFERROR(__xludf.DUMMYFUNCTION("""COMPUTED_VALUE"""),0.0)</f>
        <v>0</v>
      </c>
      <c r="AB491" s="11">
        <f>IFERROR(__xludf.DUMMYFUNCTION("""COMPUTED_VALUE"""),1.0)</f>
        <v>1</v>
      </c>
      <c r="AC491" s="11">
        <f>IFERROR(__xludf.DUMMYFUNCTION("""COMPUTED_VALUE"""),16.0)</f>
        <v>16</v>
      </c>
      <c r="AD491" s="11">
        <f>IFERROR(__xludf.DUMMYFUNCTION("""COMPUTED_VALUE"""),11.0)</f>
        <v>11</v>
      </c>
    </row>
    <row r="492">
      <c r="A492" s="10" t="str">
        <f>IFERROR(__xludf.DUMMYFUNCTION("""COMPUTED_VALUE"""),"Prospect")</f>
        <v>Prospect</v>
      </c>
      <c r="B492" s="10" t="str">
        <f>IFERROR(__xludf.DUMMYFUNCTION("""COMPUTED_VALUE"""),"RSC006256")</f>
        <v>RSC006256</v>
      </c>
      <c r="C492" s="10" t="str">
        <f>IFERROR(__xludf.DUMMYFUNCTION("""COMPUTED_VALUE"""),"Casca .")</f>
        <v>Casca .</v>
      </c>
      <c r="D492" s="36" t="str">
        <f>IFERROR(__xludf.DUMMYFUNCTION("""COMPUTED_VALUE"""),"Griffin")</f>
        <v>Griffin</v>
      </c>
      <c r="E492" s="10" t="str">
        <f>IFERROR(__xludf.DUMMYFUNCTION("""COMPUTED_VALUE"""),"N/A")</f>
        <v>N/A</v>
      </c>
      <c r="F492" s="37">
        <f>IFERROR(__xludf.DUMMYFUNCTION("""COMPUTED_VALUE"""),47.895719788967114)</f>
        <v>47.89571979</v>
      </c>
      <c r="G492" s="38">
        <f>IFERROR(__xludf.DUMMYFUNCTION("""COMPUTED_VALUE"""),54.31992577543638)</f>
        <v>54.31992578</v>
      </c>
      <c r="H492" s="38">
        <f>IFERROR(__xludf.DUMMYFUNCTION("""COMPUTED_VALUE"""),51.10782278220175)</f>
        <v>51.10782278</v>
      </c>
      <c r="I492" s="14">
        <f>IFERROR(__xludf.DUMMYFUNCTION("""COMPUTED_VALUE"""),56.0)</f>
        <v>56</v>
      </c>
      <c r="J492" s="11">
        <f>IFERROR(__xludf.DUMMYFUNCTION("IFERROR(FILTER(Stats!$F:$Z,(Stats!$A:$A=$A492)*(Stats!$B:$B=$B492)))"),31.0)</f>
        <v>31</v>
      </c>
      <c r="K492" s="11">
        <f>IFERROR(__xludf.DUMMYFUNCTION("""COMPUTED_VALUE"""),25.0)</f>
        <v>25</v>
      </c>
      <c r="L492" s="12">
        <f>IFERROR(__xludf.DUMMYFUNCTION("""COMPUTED_VALUE"""),0.5535714285714286)</f>
        <v>0.5535714286</v>
      </c>
      <c r="M492" s="11">
        <f>IFERROR(__xludf.DUMMYFUNCTION("""COMPUTED_VALUE"""),9.0)</f>
        <v>9</v>
      </c>
      <c r="N492" s="11">
        <f>IFERROR(__xludf.DUMMYFUNCTION("""COMPUTED_VALUE"""),17509.0)</f>
        <v>17509</v>
      </c>
      <c r="O492" s="13">
        <f>IFERROR(__xludf.DUMMYFUNCTION("""COMPUTED_VALUE"""),46.0)</f>
        <v>46</v>
      </c>
      <c r="P492" s="14">
        <f>IFERROR(__xludf.DUMMYFUNCTION("""COMPUTED_VALUE"""),28.0)</f>
        <v>28</v>
      </c>
      <c r="Q492" s="13">
        <f>IFERROR(__xludf.DUMMYFUNCTION("""COMPUTED_VALUE"""),62.0)</f>
        <v>62</v>
      </c>
      <c r="R492" s="13">
        <f>IFERROR(__xludf.DUMMYFUNCTION("""COMPUTED_VALUE"""),115.0)</f>
        <v>115</v>
      </c>
      <c r="S492" s="15">
        <f>IFERROR(__xludf.DUMMYFUNCTION("""COMPUTED_VALUE"""),0.4)</f>
        <v>0.4</v>
      </c>
      <c r="T492" s="16">
        <f>IFERROR(__xludf.DUMMYFUNCTION("""COMPUTED_VALUE"""),312.6607142857143)</f>
        <v>312.6607143</v>
      </c>
      <c r="U492" s="16">
        <f>IFERROR(__xludf.DUMMYFUNCTION("""COMPUTED_VALUE"""),0.8214285714285714)</f>
        <v>0.8214285714</v>
      </c>
      <c r="V492" s="16">
        <f>IFERROR(__xludf.DUMMYFUNCTION("""COMPUTED_VALUE"""),0.5)</f>
        <v>0.5</v>
      </c>
      <c r="W492" s="16">
        <f>IFERROR(__xludf.DUMMYFUNCTION("""COMPUTED_VALUE"""),1.1071428571428572)</f>
        <v>1.107142857</v>
      </c>
      <c r="X492" s="16">
        <f>IFERROR(__xludf.DUMMYFUNCTION("""COMPUTED_VALUE"""),2.0535714285714284)</f>
        <v>2.053571429</v>
      </c>
      <c r="Y492" s="11">
        <f>IFERROR(__xludf.DUMMYFUNCTION("""COMPUTED_VALUE"""),6.0)</f>
        <v>6</v>
      </c>
      <c r="Z492" s="11">
        <f>IFERROR(__xludf.DUMMYFUNCTION("""COMPUTED_VALUE"""),4.0)</f>
        <v>4</v>
      </c>
      <c r="AA492" s="11">
        <f>IFERROR(__xludf.DUMMYFUNCTION("""COMPUTED_VALUE"""),1.0)</f>
        <v>1</v>
      </c>
      <c r="AB492" s="11">
        <f>IFERROR(__xludf.DUMMYFUNCTION("""COMPUTED_VALUE"""),7.0)</f>
        <v>7</v>
      </c>
      <c r="AC492" s="11">
        <f>IFERROR(__xludf.DUMMYFUNCTION("""COMPUTED_VALUE"""),57.0)</f>
        <v>57</v>
      </c>
      <c r="AD492" s="11">
        <f>IFERROR(__xludf.DUMMYFUNCTION("""COMPUTED_VALUE"""),70.0)</f>
        <v>70</v>
      </c>
    </row>
    <row r="493">
      <c r="A493" s="10" t="str">
        <f>IFERROR(__xludf.DUMMYFUNCTION("""COMPUTED_VALUE"""),"Prospect")</f>
        <v>Prospect</v>
      </c>
      <c r="B493" s="10" t="str">
        <f>IFERROR(__xludf.DUMMYFUNCTION("""COMPUTED_VALUE"""),"RSC008471")</f>
        <v>RSC008471</v>
      </c>
      <c r="C493" s="10" t="str">
        <f>IFERROR(__xludf.DUMMYFUNCTION("""COMPUTED_VALUE"""),"TrytonsShadow95")</f>
        <v>TrytonsShadow95</v>
      </c>
      <c r="D493" s="36" t="str">
        <f>IFERROR(__xludf.DUMMYFUNCTION("""COMPUTED_VALUE"""),"Principales")</f>
        <v>Principales</v>
      </c>
      <c r="E493" s="10" t="str">
        <f>IFERROR(__xludf.DUMMYFUNCTION("""COMPUTED_VALUE"""),"N/A")</f>
        <v>N/A</v>
      </c>
      <c r="F493" s="37">
        <f>IFERROR(__xludf.DUMMYFUNCTION("""COMPUTED_VALUE"""),44.58605012874445)</f>
        <v>44.58605013</v>
      </c>
      <c r="G493" s="38">
        <f>IFERROR(__xludf.DUMMYFUNCTION("""COMPUTED_VALUE"""),52.100287608570824)</f>
        <v>52.10028761</v>
      </c>
      <c r="H493" s="38">
        <f>IFERROR(__xludf.DUMMYFUNCTION("""COMPUTED_VALUE"""),48.34316886865764)</f>
        <v>48.34316887</v>
      </c>
      <c r="I493" s="14">
        <f>IFERROR(__xludf.DUMMYFUNCTION("""COMPUTED_VALUE"""),36.0)</f>
        <v>36</v>
      </c>
      <c r="J493" s="11">
        <f>IFERROR(__xludf.DUMMYFUNCTION("IFERROR(FILTER(Stats!$F:$Z,(Stats!$A:$A=$A493)*(Stats!$B:$B=$B493)))"),15.0)</f>
        <v>15</v>
      </c>
      <c r="K493" s="11">
        <f>IFERROR(__xludf.DUMMYFUNCTION("""COMPUTED_VALUE"""),21.0)</f>
        <v>21</v>
      </c>
      <c r="L493" s="12">
        <f>IFERROR(__xludf.DUMMYFUNCTION("""COMPUTED_VALUE"""),0.4166666666666667)</f>
        <v>0.4166666667</v>
      </c>
      <c r="M493" s="11">
        <f>IFERROR(__xludf.DUMMYFUNCTION("""COMPUTED_VALUE"""),6.0)</f>
        <v>6</v>
      </c>
      <c r="N493" s="11">
        <f>IFERROR(__xludf.DUMMYFUNCTION("""COMPUTED_VALUE"""),12564.0)</f>
        <v>12564</v>
      </c>
      <c r="O493" s="13">
        <f>IFERROR(__xludf.DUMMYFUNCTION("""COMPUTED_VALUE"""),25.0)</f>
        <v>25</v>
      </c>
      <c r="P493" s="14">
        <f>IFERROR(__xludf.DUMMYFUNCTION("""COMPUTED_VALUE"""),15.0)</f>
        <v>15</v>
      </c>
      <c r="Q493" s="13">
        <f>IFERROR(__xludf.DUMMYFUNCTION("""COMPUTED_VALUE"""),50.0)</f>
        <v>50</v>
      </c>
      <c r="R493" s="13">
        <f>IFERROR(__xludf.DUMMYFUNCTION("""COMPUTED_VALUE"""),95.0)</f>
        <v>95</v>
      </c>
      <c r="S493" s="15">
        <f>IFERROR(__xludf.DUMMYFUNCTION("""COMPUTED_VALUE"""),0.2631578947368421)</f>
        <v>0.2631578947</v>
      </c>
      <c r="T493" s="16">
        <f>IFERROR(__xludf.DUMMYFUNCTION("""COMPUTED_VALUE"""),349.0)</f>
        <v>349</v>
      </c>
      <c r="U493" s="16">
        <f>IFERROR(__xludf.DUMMYFUNCTION("""COMPUTED_VALUE"""),0.6944444444444444)</f>
        <v>0.6944444444</v>
      </c>
      <c r="V493" s="16">
        <f>IFERROR(__xludf.DUMMYFUNCTION("""COMPUTED_VALUE"""),0.4166666666666667)</f>
        <v>0.4166666667</v>
      </c>
      <c r="W493" s="16">
        <f>IFERROR(__xludf.DUMMYFUNCTION("""COMPUTED_VALUE"""),1.3888888888888888)</f>
        <v>1.388888889</v>
      </c>
      <c r="X493" s="16">
        <f>IFERROR(__xludf.DUMMYFUNCTION("""COMPUTED_VALUE"""),2.638888888888889)</f>
        <v>2.638888889</v>
      </c>
      <c r="Y493" s="11">
        <f>IFERROR(__xludf.DUMMYFUNCTION("""COMPUTED_VALUE"""),5.0)</f>
        <v>5</v>
      </c>
      <c r="Z493" s="11">
        <f>IFERROR(__xludf.DUMMYFUNCTION("""COMPUTED_VALUE"""),0.0)</f>
        <v>0</v>
      </c>
      <c r="AA493" s="11">
        <f>IFERROR(__xludf.DUMMYFUNCTION("""COMPUTED_VALUE"""),0.0)</f>
        <v>0</v>
      </c>
      <c r="AB493" s="11">
        <f>IFERROR(__xludf.DUMMYFUNCTION("""COMPUTED_VALUE"""),6.0)</f>
        <v>6</v>
      </c>
      <c r="AC493" s="11">
        <f>IFERROR(__xludf.DUMMYFUNCTION("""COMPUTED_VALUE"""),60.0)</f>
        <v>60</v>
      </c>
      <c r="AD493" s="11">
        <f>IFERROR(__xludf.DUMMYFUNCTION("""COMPUTED_VALUE"""),27.0)</f>
        <v>27</v>
      </c>
    </row>
    <row r="494">
      <c r="A494" s="10" t="str">
        <f>IFERROR(__xludf.DUMMYFUNCTION("""COMPUTED_VALUE"""),"Prospect")</f>
        <v>Prospect</v>
      </c>
      <c r="B494" s="10" t="str">
        <f>IFERROR(__xludf.DUMMYFUNCTION("""COMPUTED_VALUE"""),"RSC008153")</f>
        <v>RSC008153</v>
      </c>
      <c r="C494" s="10" t="str">
        <f>IFERROR(__xludf.DUMMYFUNCTION("""COMPUTED_VALUE"""),"Tyson_WA")</f>
        <v>Tyson_WA</v>
      </c>
      <c r="D494" s="36" t="str">
        <f>IFERROR(__xludf.DUMMYFUNCTION("""COMPUTED_VALUE"""),"Skeletons
Tic Tacs
Earth")</f>
        <v>Skeletons
Tic Tacs
Earth</v>
      </c>
      <c r="E494" s="10" t="str">
        <f>IFERROR(__xludf.DUMMYFUNCTION("""COMPUTED_VALUE"""),"N/A
N/A
N/A")</f>
        <v>N/A
N/A
N/A</v>
      </c>
      <c r="F494" s="37">
        <f>IFERROR(__xludf.DUMMYFUNCTION("""COMPUTED_VALUE"""),44.552819886737254)</f>
        <v>44.55281989</v>
      </c>
      <c r="G494" s="38">
        <f>IFERROR(__xludf.DUMMYFUNCTION("""COMPUTED_VALUE"""),45.86345335247999)</f>
        <v>45.86345335</v>
      </c>
      <c r="H494" s="38">
        <f>IFERROR(__xludf.DUMMYFUNCTION("""COMPUTED_VALUE"""),45.208136619608624)</f>
        <v>45.20813662</v>
      </c>
      <c r="I494" s="14">
        <f>IFERROR(__xludf.DUMMYFUNCTION("""COMPUTED_VALUE"""),22.0)</f>
        <v>22</v>
      </c>
      <c r="J494" s="11">
        <f>IFERROR(__xludf.DUMMYFUNCTION("IFERROR(FILTER(Stats!$F:$Z,(Stats!$A:$A=$A494)*(Stats!$B:$B=$B494)))"),6.0)</f>
        <v>6</v>
      </c>
      <c r="K494" s="11">
        <f>IFERROR(__xludf.DUMMYFUNCTION("""COMPUTED_VALUE"""),16.0)</f>
        <v>16</v>
      </c>
      <c r="L494" s="12">
        <f>IFERROR(__xludf.DUMMYFUNCTION("""COMPUTED_VALUE"""),0.2727272727272727)</f>
        <v>0.2727272727</v>
      </c>
      <c r="M494" s="11">
        <f>IFERROR(__xludf.DUMMYFUNCTION("""COMPUTED_VALUE"""),2.0)</f>
        <v>2</v>
      </c>
      <c r="N494" s="11">
        <f>IFERROR(__xludf.DUMMYFUNCTION("""COMPUTED_VALUE"""),7243.0)</f>
        <v>7243</v>
      </c>
      <c r="O494" s="13">
        <f>IFERROR(__xludf.DUMMYFUNCTION("""COMPUTED_VALUE"""),19.0)</f>
        <v>19</v>
      </c>
      <c r="P494" s="14">
        <f>IFERROR(__xludf.DUMMYFUNCTION("""COMPUTED_VALUE"""),11.0)</f>
        <v>11</v>
      </c>
      <c r="Q494" s="13">
        <f>IFERROR(__xludf.DUMMYFUNCTION("""COMPUTED_VALUE"""),23.0)</f>
        <v>23</v>
      </c>
      <c r="R494" s="13">
        <f>IFERROR(__xludf.DUMMYFUNCTION("""COMPUTED_VALUE"""),54.0)</f>
        <v>54</v>
      </c>
      <c r="S494" s="15">
        <f>IFERROR(__xludf.DUMMYFUNCTION("""COMPUTED_VALUE"""),0.35185185185185186)</f>
        <v>0.3518518519</v>
      </c>
      <c r="T494" s="16">
        <f>IFERROR(__xludf.DUMMYFUNCTION("""COMPUTED_VALUE"""),329.22727272727275)</f>
        <v>329.2272727</v>
      </c>
      <c r="U494" s="16">
        <f>IFERROR(__xludf.DUMMYFUNCTION("""COMPUTED_VALUE"""),0.8636363636363636)</f>
        <v>0.8636363636</v>
      </c>
      <c r="V494" s="16">
        <f>IFERROR(__xludf.DUMMYFUNCTION("""COMPUTED_VALUE"""),0.5)</f>
        <v>0.5</v>
      </c>
      <c r="W494" s="16">
        <f>IFERROR(__xludf.DUMMYFUNCTION("""COMPUTED_VALUE"""),1.0454545454545454)</f>
        <v>1.045454545</v>
      </c>
      <c r="X494" s="16">
        <f>IFERROR(__xludf.DUMMYFUNCTION("""COMPUTED_VALUE"""),2.4545454545454546)</f>
        <v>2.454545455</v>
      </c>
      <c r="Y494" s="11">
        <f>IFERROR(__xludf.DUMMYFUNCTION("""COMPUTED_VALUE"""),4.0)</f>
        <v>4</v>
      </c>
      <c r="Z494" s="11">
        <f>IFERROR(__xludf.DUMMYFUNCTION("""COMPUTED_VALUE"""),2.0)</f>
        <v>2</v>
      </c>
      <c r="AA494" s="11">
        <f>IFERROR(__xludf.DUMMYFUNCTION("""COMPUTED_VALUE"""),0.0)</f>
        <v>0</v>
      </c>
      <c r="AB494" s="11">
        <f>IFERROR(__xludf.DUMMYFUNCTION("""COMPUTED_VALUE"""),2.0)</f>
        <v>2</v>
      </c>
      <c r="AC494" s="11">
        <f>IFERROR(__xludf.DUMMYFUNCTION("""COMPUTED_VALUE"""),13.0)</f>
        <v>13</v>
      </c>
      <c r="AD494" s="11">
        <f>IFERROR(__xludf.DUMMYFUNCTION("""COMPUTED_VALUE"""),19.0)</f>
        <v>19</v>
      </c>
    </row>
    <row r="495">
      <c r="A495" s="10" t="str">
        <f>IFERROR(__xludf.DUMMYFUNCTION("""COMPUTED_VALUE"""),"Prospect")</f>
        <v>Prospect</v>
      </c>
      <c r="B495" s="10" t="str">
        <f>IFERROR(__xludf.DUMMYFUNCTION("""COMPUTED_VALUE"""),"RSC006880")</f>
        <v>RSC006880</v>
      </c>
      <c r="C495" s="10" t="str">
        <f>IFERROR(__xludf.DUMMYFUNCTION("""COMPUTED_VALUE"""),"Kenjicat17")</f>
        <v>Kenjicat17</v>
      </c>
      <c r="D495" s="36" t="str">
        <f>IFERROR(__xludf.DUMMYFUNCTION("""COMPUTED_VALUE"""),"Principales")</f>
        <v>Principales</v>
      </c>
      <c r="E495" s="10" t="str">
        <f>IFERROR(__xludf.DUMMYFUNCTION("""COMPUTED_VALUE"""),"N/A")</f>
        <v>N/A</v>
      </c>
      <c r="F495" s="37">
        <f>IFERROR(__xludf.DUMMYFUNCTION("""COMPUTED_VALUE"""),39.04255557086678)</f>
        <v>39.04255557</v>
      </c>
      <c r="G495" s="38">
        <f>IFERROR(__xludf.DUMMYFUNCTION("""COMPUTED_VALUE"""),49.905722233190225)</f>
        <v>49.90572223</v>
      </c>
      <c r="H495" s="38">
        <f>IFERROR(__xludf.DUMMYFUNCTION("""COMPUTED_VALUE"""),44.4741389020285)</f>
        <v>44.4741389</v>
      </c>
      <c r="I495" s="14">
        <f>IFERROR(__xludf.DUMMYFUNCTION("""COMPUTED_VALUE"""),41.0)</f>
        <v>41</v>
      </c>
      <c r="J495" s="11">
        <f>IFERROR(__xludf.DUMMYFUNCTION("IFERROR(FILTER(Stats!$F:$Z,(Stats!$A:$A=$A495)*(Stats!$B:$B=$B495)))"),15.0)</f>
        <v>15</v>
      </c>
      <c r="K495" s="11">
        <f>IFERROR(__xludf.DUMMYFUNCTION("""COMPUTED_VALUE"""),26.0)</f>
        <v>26</v>
      </c>
      <c r="L495" s="12">
        <f>IFERROR(__xludf.DUMMYFUNCTION("""COMPUTED_VALUE"""),0.36585365853658536)</f>
        <v>0.3658536585</v>
      </c>
      <c r="M495" s="11">
        <f>IFERROR(__xludf.DUMMYFUNCTION("""COMPUTED_VALUE"""),5.0)</f>
        <v>5</v>
      </c>
      <c r="N495" s="11">
        <f>IFERROR(__xludf.DUMMYFUNCTION("""COMPUTED_VALUE"""),13325.0)</f>
        <v>13325</v>
      </c>
      <c r="O495" s="13">
        <f>IFERROR(__xludf.DUMMYFUNCTION("""COMPUTED_VALUE"""),32.0)</f>
        <v>32</v>
      </c>
      <c r="P495" s="14">
        <f>IFERROR(__xludf.DUMMYFUNCTION("""COMPUTED_VALUE"""),20.0)</f>
        <v>20</v>
      </c>
      <c r="Q495" s="13">
        <f>IFERROR(__xludf.DUMMYFUNCTION("""COMPUTED_VALUE"""),52.0)</f>
        <v>52</v>
      </c>
      <c r="R495" s="13">
        <f>IFERROR(__xludf.DUMMYFUNCTION("""COMPUTED_VALUE"""),89.0)</f>
        <v>89</v>
      </c>
      <c r="S495" s="15">
        <f>IFERROR(__xludf.DUMMYFUNCTION("""COMPUTED_VALUE"""),0.3595505617977528)</f>
        <v>0.3595505618</v>
      </c>
      <c r="T495" s="16">
        <f>IFERROR(__xludf.DUMMYFUNCTION("""COMPUTED_VALUE"""),325.0)</f>
        <v>325</v>
      </c>
      <c r="U495" s="16">
        <f>IFERROR(__xludf.DUMMYFUNCTION("""COMPUTED_VALUE"""),0.7804878048780488)</f>
        <v>0.7804878049</v>
      </c>
      <c r="V495" s="16">
        <f>IFERROR(__xludf.DUMMYFUNCTION("""COMPUTED_VALUE"""),0.4878048780487805)</f>
        <v>0.487804878</v>
      </c>
      <c r="W495" s="16">
        <f>IFERROR(__xludf.DUMMYFUNCTION("""COMPUTED_VALUE"""),1.2682926829268293)</f>
        <v>1.268292683</v>
      </c>
      <c r="X495" s="16">
        <f>IFERROR(__xludf.DUMMYFUNCTION("""COMPUTED_VALUE"""),2.1707317073170733)</f>
        <v>2.170731707</v>
      </c>
      <c r="Y495" s="11">
        <f>IFERROR(__xludf.DUMMYFUNCTION("""COMPUTED_VALUE"""),9.0)</f>
        <v>9</v>
      </c>
      <c r="Z495" s="11">
        <f>IFERROR(__xludf.DUMMYFUNCTION("""COMPUTED_VALUE"""),1.0)</f>
        <v>1</v>
      </c>
      <c r="AA495" s="11">
        <f>IFERROR(__xludf.DUMMYFUNCTION("""COMPUTED_VALUE"""),0.0)</f>
        <v>0</v>
      </c>
      <c r="AB495" s="11">
        <f>IFERROR(__xludf.DUMMYFUNCTION("""COMPUTED_VALUE"""),3.0)</f>
        <v>3</v>
      </c>
      <c r="AC495" s="11">
        <f>IFERROR(__xludf.DUMMYFUNCTION("""COMPUTED_VALUE"""),27.0)</f>
        <v>27</v>
      </c>
      <c r="AD495" s="11">
        <f>IFERROR(__xludf.DUMMYFUNCTION("""COMPUTED_VALUE"""),39.0)</f>
        <v>39</v>
      </c>
    </row>
    <row r="496">
      <c r="A496" s="10" t="str">
        <f>IFERROR(__xludf.DUMMYFUNCTION("""COMPUTED_VALUE"""),"Prospect")</f>
        <v>Prospect</v>
      </c>
      <c r="B496" s="10" t="str">
        <f>IFERROR(__xludf.DUMMYFUNCTION("""COMPUTED_VALUE"""),"RSC005550")</f>
        <v>RSC005550</v>
      </c>
      <c r="C496" s="10" t="str">
        <f>IFERROR(__xludf.DUMMYFUNCTION("""COMPUTED_VALUE"""),"Shraggaholic")</f>
        <v>Shraggaholic</v>
      </c>
      <c r="D496" s="36" t="str">
        <f>IFERROR(__xludf.DUMMYFUNCTION("""COMPUTED_VALUE"""),"Earth")</f>
        <v>Earth</v>
      </c>
      <c r="E496" s="10" t="str">
        <f>IFERROR(__xludf.DUMMYFUNCTION("""COMPUTED_VALUE"""),"N/A")</f>
        <v>N/A</v>
      </c>
      <c r="F496" s="37">
        <f>IFERROR(__xludf.DUMMYFUNCTION("""COMPUTED_VALUE"""),45.28425564293328)</f>
        <v>45.28425564</v>
      </c>
      <c r="G496" s="38">
        <f>IFERROR(__xludf.DUMMYFUNCTION("""COMPUTED_VALUE"""),42.63878657431152)</f>
        <v>42.63878657</v>
      </c>
      <c r="H496" s="38">
        <f>IFERROR(__xludf.DUMMYFUNCTION("""COMPUTED_VALUE"""),43.9615211086224)</f>
        <v>43.96152111</v>
      </c>
      <c r="I496" s="14">
        <f>IFERROR(__xludf.DUMMYFUNCTION("""COMPUTED_VALUE"""),53.0)</f>
        <v>53</v>
      </c>
      <c r="J496" s="11">
        <f>IFERROR(__xludf.DUMMYFUNCTION("IFERROR(FILTER(Stats!$F:$Z,(Stats!$A:$A=$A496)*(Stats!$B:$B=$B496)))"),18.0)</f>
        <v>18</v>
      </c>
      <c r="K496" s="11">
        <f>IFERROR(__xludf.DUMMYFUNCTION("""COMPUTED_VALUE"""),35.0)</f>
        <v>35</v>
      </c>
      <c r="L496" s="12">
        <f>IFERROR(__xludf.DUMMYFUNCTION("""COMPUTED_VALUE"""),0.33962264150943394)</f>
        <v>0.3396226415</v>
      </c>
      <c r="M496" s="11">
        <f>IFERROR(__xludf.DUMMYFUNCTION("""COMPUTED_VALUE"""),8.0)</f>
        <v>8</v>
      </c>
      <c r="N496" s="11">
        <f>IFERROR(__xludf.DUMMYFUNCTION("""COMPUTED_VALUE"""),16591.0)</f>
        <v>16591</v>
      </c>
      <c r="O496" s="13">
        <f>IFERROR(__xludf.DUMMYFUNCTION("""COMPUTED_VALUE"""),35.0)</f>
        <v>35</v>
      </c>
      <c r="P496" s="14">
        <f>IFERROR(__xludf.DUMMYFUNCTION("""COMPUTED_VALUE"""),22.0)</f>
        <v>22</v>
      </c>
      <c r="Q496" s="13">
        <f>IFERROR(__xludf.DUMMYFUNCTION("""COMPUTED_VALUE"""),62.0)</f>
        <v>62</v>
      </c>
      <c r="R496" s="13">
        <f>IFERROR(__xludf.DUMMYFUNCTION("""COMPUTED_VALUE"""),123.0)</f>
        <v>123</v>
      </c>
      <c r="S496" s="15">
        <f>IFERROR(__xludf.DUMMYFUNCTION("""COMPUTED_VALUE"""),0.2845528455284553)</f>
        <v>0.2845528455</v>
      </c>
      <c r="T496" s="16">
        <f>IFERROR(__xludf.DUMMYFUNCTION("""COMPUTED_VALUE"""),313.0377358490566)</f>
        <v>313.0377358</v>
      </c>
      <c r="U496" s="16">
        <f>IFERROR(__xludf.DUMMYFUNCTION("""COMPUTED_VALUE"""),0.660377358490566)</f>
        <v>0.6603773585</v>
      </c>
      <c r="V496" s="16">
        <f>IFERROR(__xludf.DUMMYFUNCTION("""COMPUTED_VALUE"""),0.41509433962264153)</f>
        <v>0.4150943396</v>
      </c>
      <c r="W496" s="16">
        <f>IFERROR(__xludf.DUMMYFUNCTION("""COMPUTED_VALUE"""),1.169811320754717)</f>
        <v>1.169811321</v>
      </c>
      <c r="X496" s="16">
        <f>IFERROR(__xludf.DUMMYFUNCTION("""COMPUTED_VALUE"""),2.3207547169811322)</f>
        <v>2.320754717</v>
      </c>
      <c r="Y496" s="11">
        <f>IFERROR(__xludf.DUMMYFUNCTION("""COMPUTED_VALUE"""),2.0)</f>
        <v>2</v>
      </c>
      <c r="Z496" s="11">
        <f>IFERROR(__xludf.DUMMYFUNCTION("""COMPUTED_VALUE"""),2.0)</f>
        <v>2</v>
      </c>
      <c r="AA496" s="11">
        <f>IFERROR(__xludf.DUMMYFUNCTION("""COMPUTED_VALUE"""),2.0)</f>
        <v>2</v>
      </c>
      <c r="AB496" s="11">
        <f>IFERROR(__xludf.DUMMYFUNCTION("""COMPUTED_VALUE"""),5.0)</f>
        <v>5</v>
      </c>
      <c r="AC496" s="11">
        <f>IFERROR(__xludf.DUMMYFUNCTION("""COMPUTED_VALUE"""),87.0)</f>
        <v>87</v>
      </c>
      <c r="AD496" s="11">
        <f>IFERROR(__xludf.DUMMYFUNCTION("""COMPUTED_VALUE"""),57.0)</f>
        <v>57</v>
      </c>
    </row>
    <row r="497">
      <c r="A497" s="10" t="str">
        <f>IFERROR(__xludf.DUMMYFUNCTION("""COMPUTED_VALUE"""),"Prospect")</f>
        <v>Prospect</v>
      </c>
      <c r="B497" s="10" t="str">
        <f>IFERROR(__xludf.DUMMYFUNCTION("""COMPUTED_VALUE"""),"RSC006439")</f>
        <v>RSC006439</v>
      </c>
      <c r="C497" s="10" t="str">
        <f>IFERROR(__xludf.DUMMYFUNCTION("""COMPUTED_VALUE"""),"S E L.")</f>
        <v>S E L.</v>
      </c>
      <c r="D497" s="36" t="str">
        <f>IFERROR(__xludf.DUMMYFUNCTION("""COMPUTED_VALUE"""),"Hawaiian Pizza")</f>
        <v>Hawaiian Pizza</v>
      </c>
      <c r="E497" s="10" t="str">
        <f>IFERROR(__xludf.DUMMYFUNCTION("""COMPUTED_VALUE"""),"N/A")</f>
        <v>N/A</v>
      </c>
      <c r="F497" s="37">
        <f>IFERROR(__xludf.DUMMYFUNCTION("""COMPUTED_VALUE"""),36.47716076809229)</f>
        <v>36.47716077</v>
      </c>
      <c r="G497" s="38">
        <f>IFERROR(__xludf.DUMMYFUNCTION("""COMPUTED_VALUE"""),41.56191668313326)</f>
        <v>41.56191668</v>
      </c>
      <c r="H497" s="38">
        <f>IFERROR(__xludf.DUMMYFUNCTION("""COMPUTED_VALUE"""),39.019538725612776)</f>
        <v>39.01953873</v>
      </c>
      <c r="I497" s="14">
        <f>IFERROR(__xludf.DUMMYFUNCTION("""COMPUTED_VALUE"""),37.0)</f>
        <v>37</v>
      </c>
      <c r="J497" s="11">
        <f>IFERROR(__xludf.DUMMYFUNCTION("IFERROR(FILTER(Stats!$F:$Z,(Stats!$A:$A=$A497)*(Stats!$B:$B=$B497)))"),20.0)</f>
        <v>20</v>
      </c>
      <c r="K497" s="11">
        <f>IFERROR(__xludf.DUMMYFUNCTION("""COMPUTED_VALUE"""),17.0)</f>
        <v>17</v>
      </c>
      <c r="L497" s="12">
        <f>IFERROR(__xludf.DUMMYFUNCTION("""COMPUTED_VALUE"""),0.5405405405405406)</f>
        <v>0.5405405405</v>
      </c>
      <c r="M497" s="11">
        <f>IFERROR(__xludf.DUMMYFUNCTION("""COMPUTED_VALUE"""),2.0)</f>
        <v>2</v>
      </c>
      <c r="N497" s="11">
        <f>IFERROR(__xludf.DUMMYFUNCTION("""COMPUTED_VALUE"""),10781.0)</f>
        <v>10781</v>
      </c>
      <c r="O497" s="13">
        <f>IFERROR(__xludf.DUMMYFUNCTION("""COMPUTED_VALUE"""),19.0)</f>
        <v>19</v>
      </c>
      <c r="P497" s="14">
        <f>IFERROR(__xludf.DUMMYFUNCTION("""COMPUTED_VALUE"""),13.0)</f>
        <v>13</v>
      </c>
      <c r="Q497" s="13">
        <f>IFERROR(__xludf.DUMMYFUNCTION("""COMPUTED_VALUE"""),44.0)</f>
        <v>44</v>
      </c>
      <c r="R497" s="13">
        <f>IFERROR(__xludf.DUMMYFUNCTION("""COMPUTED_VALUE"""),66.0)</f>
        <v>66</v>
      </c>
      <c r="S497" s="15">
        <f>IFERROR(__xludf.DUMMYFUNCTION("""COMPUTED_VALUE"""),0.2878787878787879)</f>
        <v>0.2878787879</v>
      </c>
      <c r="T497" s="16">
        <f>IFERROR(__xludf.DUMMYFUNCTION("""COMPUTED_VALUE"""),291.3783783783784)</f>
        <v>291.3783784</v>
      </c>
      <c r="U497" s="16">
        <f>IFERROR(__xludf.DUMMYFUNCTION("""COMPUTED_VALUE"""),0.5135135135135135)</f>
        <v>0.5135135135</v>
      </c>
      <c r="V497" s="16">
        <f>IFERROR(__xludf.DUMMYFUNCTION("""COMPUTED_VALUE"""),0.35135135135135137)</f>
        <v>0.3513513514</v>
      </c>
      <c r="W497" s="16">
        <f>IFERROR(__xludf.DUMMYFUNCTION("""COMPUTED_VALUE"""),1.1891891891891893)</f>
        <v>1.189189189</v>
      </c>
      <c r="X497" s="16">
        <f>IFERROR(__xludf.DUMMYFUNCTION("""COMPUTED_VALUE"""),1.7837837837837838)</f>
        <v>1.783783784</v>
      </c>
      <c r="Y497" s="11">
        <f>IFERROR(__xludf.DUMMYFUNCTION("""COMPUTED_VALUE"""),3.0)</f>
        <v>3</v>
      </c>
      <c r="Z497" s="11">
        <f>IFERROR(__xludf.DUMMYFUNCTION("""COMPUTED_VALUE"""),1.0)</f>
        <v>1</v>
      </c>
      <c r="AA497" s="11">
        <f>IFERROR(__xludf.DUMMYFUNCTION("""COMPUTED_VALUE"""),0.0)</f>
        <v>0</v>
      </c>
      <c r="AB497" s="11">
        <f>IFERROR(__xludf.DUMMYFUNCTION("""COMPUTED_VALUE"""),5.0)</f>
        <v>5</v>
      </c>
      <c r="AC497" s="11">
        <f>IFERROR(__xludf.DUMMYFUNCTION("""COMPUTED_VALUE"""),35.0)</f>
        <v>35</v>
      </c>
      <c r="AD497" s="11">
        <f>IFERROR(__xludf.DUMMYFUNCTION("""COMPUTED_VALUE"""),48.0)</f>
        <v>48</v>
      </c>
    </row>
    <row r="498">
      <c r="A498" s="10" t="str">
        <f>IFERROR(__xludf.DUMMYFUNCTION("""COMPUTED_VALUE"""),"Prospect")</f>
        <v>Prospect</v>
      </c>
      <c r="B498" s="10" t="str">
        <f>IFERROR(__xludf.DUMMYFUNCTION("""COMPUTED_VALUE"""),"RSC007464")</f>
        <v>RSC007464</v>
      </c>
      <c r="C498" s="10" t="str">
        <f>IFERROR(__xludf.DUMMYFUNCTION("""COMPUTED_VALUE"""),"MoonKnight2")</f>
        <v>MoonKnight2</v>
      </c>
      <c r="D498" s="36" t="str">
        <f>IFERROR(__xludf.DUMMYFUNCTION("""COMPUTED_VALUE"""),"Honey Badgers")</f>
        <v>Honey Badgers</v>
      </c>
      <c r="E498" s="10" t="str">
        <f>IFERROR(__xludf.DUMMYFUNCTION("""COMPUTED_VALUE"""),"N/A")</f>
        <v>N/A</v>
      </c>
      <c r="F498" s="37">
        <f>IFERROR(__xludf.DUMMYFUNCTION("""COMPUTED_VALUE"""),35.86807243393539)</f>
        <v>35.86807243</v>
      </c>
      <c r="G498" s="38">
        <f>IFERROR(__xludf.DUMMYFUNCTION("""COMPUTED_VALUE"""),40.66067932262952)</f>
        <v>40.66067932</v>
      </c>
      <c r="H498" s="38">
        <f>IFERROR(__xludf.DUMMYFUNCTION("""COMPUTED_VALUE"""),38.26437587828245)</f>
        <v>38.26437588</v>
      </c>
      <c r="I498" s="14">
        <f>IFERROR(__xludf.DUMMYFUNCTION("""COMPUTED_VALUE"""),42.0)</f>
        <v>42</v>
      </c>
      <c r="J498" s="11">
        <f>IFERROR(__xludf.DUMMYFUNCTION("IFERROR(FILTER(Stats!$F:$Z,(Stats!$A:$A=$A498)*(Stats!$B:$B=$B498)))"),18.0)</f>
        <v>18</v>
      </c>
      <c r="K498" s="11">
        <f>IFERROR(__xludf.DUMMYFUNCTION("""COMPUTED_VALUE"""),24.0)</f>
        <v>24</v>
      </c>
      <c r="L498" s="12">
        <f>IFERROR(__xludf.DUMMYFUNCTION("""COMPUTED_VALUE"""),0.42857142857142855)</f>
        <v>0.4285714286</v>
      </c>
      <c r="M498" s="11">
        <f>IFERROR(__xludf.DUMMYFUNCTION("""COMPUTED_VALUE"""),5.0)</f>
        <v>5</v>
      </c>
      <c r="N498" s="11">
        <f>IFERROR(__xludf.DUMMYFUNCTION("""COMPUTED_VALUE"""),12041.0)</f>
        <v>12041</v>
      </c>
      <c r="O498" s="13">
        <f>IFERROR(__xludf.DUMMYFUNCTION("""COMPUTED_VALUE"""),32.0)</f>
        <v>32</v>
      </c>
      <c r="P498" s="14">
        <f>IFERROR(__xludf.DUMMYFUNCTION("""COMPUTED_VALUE"""),16.0)</f>
        <v>16</v>
      </c>
      <c r="Q498" s="13">
        <f>IFERROR(__xludf.DUMMYFUNCTION("""COMPUTED_VALUE"""),41.0)</f>
        <v>41</v>
      </c>
      <c r="R498" s="13">
        <f>IFERROR(__xludf.DUMMYFUNCTION("""COMPUTED_VALUE"""),84.0)</f>
        <v>84</v>
      </c>
      <c r="S498" s="15">
        <f>IFERROR(__xludf.DUMMYFUNCTION("""COMPUTED_VALUE"""),0.38095238095238093)</f>
        <v>0.380952381</v>
      </c>
      <c r="T498" s="16">
        <f>IFERROR(__xludf.DUMMYFUNCTION("""COMPUTED_VALUE"""),286.6904761904762)</f>
        <v>286.6904762</v>
      </c>
      <c r="U498" s="16">
        <f>IFERROR(__xludf.DUMMYFUNCTION("""COMPUTED_VALUE"""),0.7619047619047619)</f>
        <v>0.7619047619</v>
      </c>
      <c r="V498" s="16">
        <f>IFERROR(__xludf.DUMMYFUNCTION("""COMPUTED_VALUE"""),0.38095238095238093)</f>
        <v>0.380952381</v>
      </c>
      <c r="W498" s="16">
        <f>IFERROR(__xludf.DUMMYFUNCTION("""COMPUTED_VALUE"""),0.9761904761904762)</f>
        <v>0.9761904762</v>
      </c>
      <c r="X498" s="16">
        <f>IFERROR(__xludf.DUMMYFUNCTION("""COMPUTED_VALUE"""),2.0)</f>
        <v>2</v>
      </c>
      <c r="Y498" s="11">
        <f>IFERROR(__xludf.DUMMYFUNCTION("""COMPUTED_VALUE"""),3.0)</f>
        <v>3</v>
      </c>
      <c r="Z498" s="11">
        <f>IFERROR(__xludf.DUMMYFUNCTION("""COMPUTED_VALUE"""),1.0)</f>
        <v>1</v>
      </c>
      <c r="AA498" s="11">
        <f>IFERROR(__xludf.DUMMYFUNCTION("""COMPUTED_VALUE"""),0.0)</f>
        <v>0</v>
      </c>
      <c r="AB498" s="11">
        <f>IFERROR(__xludf.DUMMYFUNCTION("""COMPUTED_VALUE"""),2.0)</f>
        <v>2</v>
      </c>
      <c r="AC498" s="11">
        <f>IFERROR(__xludf.DUMMYFUNCTION("""COMPUTED_VALUE"""),21.0)</f>
        <v>21</v>
      </c>
      <c r="AD498" s="11">
        <f>IFERROR(__xludf.DUMMYFUNCTION("""COMPUTED_VALUE"""),35.0)</f>
        <v>35</v>
      </c>
    </row>
    <row r="499">
      <c r="A499" s="10" t="str">
        <f>IFERROR(__xludf.DUMMYFUNCTION("""COMPUTED_VALUE"""),"Prospect")</f>
        <v>Prospect</v>
      </c>
      <c r="B499" s="10" t="str">
        <f>IFERROR(__xludf.DUMMYFUNCTION("""COMPUTED_VALUE"""),"RSC005974")</f>
        <v>RSC005974</v>
      </c>
      <c r="C499" s="10" t="str">
        <f>IFERROR(__xludf.DUMMYFUNCTION("""COMPUTED_VALUE"""),"Angry-Hermit")</f>
        <v>Angry-Hermit</v>
      </c>
      <c r="D499" s="36" t="str">
        <f>IFERROR(__xludf.DUMMYFUNCTION("""COMPUTED_VALUE"""),"Turbulence")</f>
        <v>Turbulence</v>
      </c>
      <c r="E499" s="10" t="str">
        <f>IFERROR(__xludf.DUMMYFUNCTION("""COMPUTED_VALUE"""),"N/A")</f>
        <v>N/A</v>
      </c>
      <c r="F499" s="37">
        <f>IFERROR(__xludf.DUMMYFUNCTION("""COMPUTED_VALUE"""),36.49373421183563)</f>
        <v>36.49373421</v>
      </c>
      <c r="G499" s="38">
        <f>IFERROR(__xludf.DUMMYFUNCTION("""COMPUTED_VALUE"""),35.11449393600799)</f>
        <v>35.11449394</v>
      </c>
      <c r="H499" s="38">
        <f>IFERROR(__xludf.DUMMYFUNCTION("""COMPUTED_VALUE"""),35.80411407392181)</f>
        <v>35.80411407</v>
      </c>
      <c r="I499" s="14">
        <f>IFERROR(__xludf.DUMMYFUNCTION("""COMPUTED_VALUE"""),36.0)</f>
        <v>36</v>
      </c>
      <c r="J499" s="11">
        <f>IFERROR(__xludf.DUMMYFUNCTION("IFERROR(FILTER(Stats!$F:$Z,(Stats!$A:$A=$A499)*(Stats!$B:$B=$B499)))"),24.0)</f>
        <v>24</v>
      </c>
      <c r="K499" s="11">
        <f>IFERROR(__xludf.DUMMYFUNCTION("""COMPUTED_VALUE"""),12.0)</f>
        <v>12</v>
      </c>
      <c r="L499" s="12">
        <f>IFERROR(__xludf.DUMMYFUNCTION("""COMPUTED_VALUE"""),0.6666666666666666)</f>
        <v>0.6666666667</v>
      </c>
      <c r="M499" s="11">
        <f>IFERROR(__xludf.DUMMYFUNCTION("""COMPUTED_VALUE"""),4.0)</f>
        <v>4</v>
      </c>
      <c r="N499" s="11">
        <f>IFERROR(__xludf.DUMMYFUNCTION("""COMPUTED_VALUE"""),10128.0)</f>
        <v>10128</v>
      </c>
      <c r="O499" s="13">
        <f>IFERROR(__xludf.DUMMYFUNCTION("""COMPUTED_VALUE"""),18.0)</f>
        <v>18</v>
      </c>
      <c r="P499" s="14">
        <f>IFERROR(__xludf.DUMMYFUNCTION("""COMPUTED_VALUE"""),19.0)</f>
        <v>19</v>
      </c>
      <c r="Q499" s="13">
        <f>IFERROR(__xludf.DUMMYFUNCTION("""COMPUTED_VALUE"""),40.0)</f>
        <v>40</v>
      </c>
      <c r="R499" s="13">
        <f>IFERROR(__xludf.DUMMYFUNCTION("""COMPUTED_VALUE"""),65.0)</f>
        <v>65</v>
      </c>
      <c r="S499" s="15">
        <f>IFERROR(__xludf.DUMMYFUNCTION("""COMPUTED_VALUE"""),0.27692307692307694)</f>
        <v>0.2769230769</v>
      </c>
      <c r="T499" s="16">
        <f>IFERROR(__xludf.DUMMYFUNCTION("""COMPUTED_VALUE"""),281.3333333333333)</f>
        <v>281.3333333</v>
      </c>
      <c r="U499" s="16">
        <f>IFERROR(__xludf.DUMMYFUNCTION("""COMPUTED_VALUE"""),0.5)</f>
        <v>0.5</v>
      </c>
      <c r="V499" s="16">
        <f>IFERROR(__xludf.DUMMYFUNCTION("""COMPUTED_VALUE"""),0.5277777777777778)</f>
        <v>0.5277777778</v>
      </c>
      <c r="W499" s="16">
        <f>IFERROR(__xludf.DUMMYFUNCTION("""COMPUTED_VALUE"""),1.1111111111111112)</f>
        <v>1.111111111</v>
      </c>
      <c r="X499" s="16">
        <f>IFERROR(__xludf.DUMMYFUNCTION("""COMPUTED_VALUE"""),1.8055555555555556)</f>
        <v>1.805555556</v>
      </c>
      <c r="Y499" s="11">
        <f>IFERROR(__xludf.DUMMYFUNCTION("""COMPUTED_VALUE"""),3.0)</f>
        <v>3</v>
      </c>
      <c r="Z499" s="11">
        <f>IFERROR(__xludf.DUMMYFUNCTION("""COMPUTED_VALUE"""),1.0)</f>
        <v>1</v>
      </c>
      <c r="AA499" s="11">
        <f>IFERROR(__xludf.DUMMYFUNCTION("""COMPUTED_VALUE"""),0.0)</f>
        <v>0</v>
      </c>
      <c r="AB499" s="11">
        <f>IFERROR(__xludf.DUMMYFUNCTION("""COMPUTED_VALUE"""),3.0)</f>
        <v>3</v>
      </c>
      <c r="AC499" s="11">
        <f>IFERROR(__xludf.DUMMYFUNCTION("""COMPUTED_VALUE"""),47.0)</f>
        <v>47</v>
      </c>
      <c r="AD499" s="11">
        <f>IFERROR(__xludf.DUMMYFUNCTION("""COMPUTED_VALUE"""),26.0)</f>
        <v>26</v>
      </c>
    </row>
    <row r="500">
      <c r="A500" s="10" t="str">
        <f>IFERROR(__xludf.DUMMYFUNCTION("""COMPUTED_VALUE"""),"Prospect")</f>
        <v>Prospect</v>
      </c>
      <c r="B500" s="10" t="str">
        <f>IFERROR(__xludf.DUMMYFUNCTION("""COMPUTED_VALUE"""),"RSC004879")</f>
        <v>RSC004879</v>
      </c>
      <c r="C500" s="10" t="str">
        <f>IFERROR(__xludf.DUMMYFUNCTION("""COMPUTED_VALUE"""),"DefNotMongo.")</f>
        <v>DefNotMongo.</v>
      </c>
      <c r="D500" s="36" t="str">
        <f>IFERROR(__xludf.DUMMYFUNCTION("""COMPUTED_VALUE"""),"Skeletons
Turbulence")</f>
        <v>Skeletons
Turbulence</v>
      </c>
      <c r="E500" s="10" t="str">
        <f>IFERROR(__xludf.DUMMYFUNCTION("""COMPUTED_VALUE"""),"N/A
N/A")</f>
        <v>N/A
N/A</v>
      </c>
      <c r="F500" s="37">
        <f>IFERROR(__xludf.DUMMYFUNCTION("""COMPUTED_VALUE"""),38.11333602039092)</f>
        <v>38.11333602</v>
      </c>
      <c r="G500" s="38">
        <f>IFERROR(__xludf.DUMMYFUNCTION("""COMPUTED_VALUE"""),33.1792268784332)</f>
        <v>33.17922688</v>
      </c>
      <c r="H500" s="38">
        <f>IFERROR(__xludf.DUMMYFUNCTION("""COMPUTED_VALUE"""),35.64628144941206)</f>
        <v>35.64628145</v>
      </c>
      <c r="I500" s="14">
        <f>IFERROR(__xludf.DUMMYFUNCTION("""COMPUTED_VALUE"""),21.0)</f>
        <v>21</v>
      </c>
      <c r="J500" s="11">
        <f>IFERROR(__xludf.DUMMYFUNCTION("IFERROR(FILTER(Stats!$F:$Z,(Stats!$A:$A=$A500)*(Stats!$B:$B=$B500)))"),8.0)</f>
        <v>8</v>
      </c>
      <c r="K500" s="11">
        <f>IFERROR(__xludf.DUMMYFUNCTION("""COMPUTED_VALUE"""),13.0)</f>
        <v>13</v>
      </c>
      <c r="L500" s="12">
        <f>IFERROR(__xludf.DUMMYFUNCTION("""COMPUTED_VALUE"""),0.38095238095238093)</f>
        <v>0.380952381</v>
      </c>
      <c r="M500" s="11">
        <f>IFERROR(__xludf.DUMMYFUNCTION("""COMPUTED_VALUE"""),3.0)</f>
        <v>3</v>
      </c>
      <c r="N500" s="11">
        <f>IFERROR(__xludf.DUMMYFUNCTION("""COMPUTED_VALUE"""),6567.0)</f>
        <v>6567</v>
      </c>
      <c r="O500" s="13">
        <f>IFERROR(__xludf.DUMMYFUNCTION("""COMPUTED_VALUE"""),15.0)</f>
        <v>15</v>
      </c>
      <c r="P500" s="14">
        <f>IFERROR(__xludf.DUMMYFUNCTION("""COMPUTED_VALUE"""),8.0)</f>
        <v>8</v>
      </c>
      <c r="Q500" s="13">
        <f>IFERROR(__xludf.DUMMYFUNCTION("""COMPUTED_VALUE"""),24.0)</f>
        <v>24</v>
      </c>
      <c r="R500" s="13">
        <f>IFERROR(__xludf.DUMMYFUNCTION("""COMPUTED_VALUE"""),39.0)</f>
        <v>39</v>
      </c>
      <c r="S500" s="15">
        <f>IFERROR(__xludf.DUMMYFUNCTION("""COMPUTED_VALUE"""),0.38461538461538464)</f>
        <v>0.3846153846</v>
      </c>
      <c r="T500" s="16">
        <f>IFERROR(__xludf.DUMMYFUNCTION("""COMPUTED_VALUE"""),312.7142857142857)</f>
        <v>312.7142857</v>
      </c>
      <c r="U500" s="16">
        <f>IFERROR(__xludf.DUMMYFUNCTION("""COMPUTED_VALUE"""),0.7142857142857143)</f>
        <v>0.7142857143</v>
      </c>
      <c r="V500" s="16">
        <f>IFERROR(__xludf.DUMMYFUNCTION("""COMPUTED_VALUE"""),0.38095238095238093)</f>
        <v>0.380952381</v>
      </c>
      <c r="W500" s="16">
        <f>IFERROR(__xludf.DUMMYFUNCTION("""COMPUTED_VALUE"""),1.1428571428571428)</f>
        <v>1.142857143</v>
      </c>
      <c r="X500" s="16">
        <f>IFERROR(__xludf.DUMMYFUNCTION("""COMPUTED_VALUE"""),1.8571428571428572)</f>
        <v>1.857142857</v>
      </c>
      <c r="Y500" s="11">
        <f>IFERROR(__xludf.DUMMYFUNCTION("""COMPUTED_VALUE"""),1.0)</f>
        <v>1</v>
      </c>
      <c r="Z500" s="11">
        <f>IFERROR(__xludf.DUMMYFUNCTION("""COMPUTED_VALUE"""),2.0)</f>
        <v>2</v>
      </c>
      <c r="AA500" s="11">
        <f>IFERROR(__xludf.DUMMYFUNCTION("""COMPUTED_VALUE"""),1.0)</f>
        <v>1</v>
      </c>
      <c r="AB500" s="11">
        <f>IFERROR(__xludf.DUMMYFUNCTION("""COMPUTED_VALUE"""),4.0)</f>
        <v>4</v>
      </c>
      <c r="AC500" s="11">
        <f>IFERROR(__xludf.DUMMYFUNCTION("""COMPUTED_VALUE"""),14.0)</f>
        <v>14</v>
      </c>
      <c r="AD500" s="11">
        <f>IFERROR(__xludf.DUMMYFUNCTION("""COMPUTED_VALUE"""),22.0)</f>
        <v>22</v>
      </c>
    </row>
    <row r="501">
      <c r="A501" s="10" t="str">
        <f>IFERROR(__xludf.DUMMYFUNCTION("""COMPUTED_VALUE"""),"Prospect")</f>
        <v>Prospect</v>
      </c>
      <c r="B501" s="10" t="str">
        <f>IFERROR(__xludf.DUMMYFUNCTION("""COMPUTED_VALUE"""),"RSC005870")</f>
        <v>RSC005870</v>
      </c>
      <c r="C501" s="10" t="str">
        <f>IFERROR(__xludf.DUMMYFUNCTION("""COMPUTED_VALUE"""),"Evil twin")</f>
        <v>Evil twin</v>
      </c>
      <c r="D501" s="36" t="str">
        <f>IFERROR(__xludf.DUMMYFUNCTION("""COMPUTED_VALUE"""),"Tanuki")</f>
        <v>Tanuki</v>
      </c>
      <c r="E501" s="10" t="str">
        <f>IFERROR(__xludf.DUMMYFUNCTION("""COMPUTED_VALUE"""),"N/A")</f>
        <v>N/A</v>
      </c>
      <c r="F501" s="37">
        <f>IFERROR(__xludf.DUMMYFUNCTION("""COMPUTED_VALUE"""),38.43277291688716)</f>
        <v>38.43277292</v>
      </c>
      <c r="G501" s="38">
        <f>IFERROR(__xludf.DUMMYFUNCTION("""COMPUTED_VALUE"""),30.123114860971107)</f>
        <v>30.12311486</v>
      </c>
      <c r="H501" s="38">
        <f>IFERROR(__xludf.DUMMYFUNCTION("""COMPUTED_VALUE"""),34.27794388892913)</f>
        <v>34.27794389</v>
      </c>
      <c r="I501" s="14">
        <f>IFERROR(__xludf.DUMMYFUNCTION("""COMPUTED_VALUE"""),20.0)</f>
        <v>20</v>
      </c>
      <c r="J501" s="11">
        <f>IFERROR(__xludf.DUMMYFUNCTION("IFERROR(FILTER(Stats!$F:$Z,(Stats!$A:$A=$A501)*(Stats!$B:$B=$B501)))"),5.0)</f>
        <v>5</v>
      </c>
      <c r="K501" s="11">
        <f>IFERROR(__xludf.DUMMYFUNCTION("""COMPUTED_VALUE"""),15.0)</f>
        <v>15</v>
      </c>
      <c r="L501" s="12">
        <f>IFERROR(__xludf.DUMMYFUNCTION("""COMPUTED_VALUE"""),0.25)</f>
        <v>0.25</v>
      </c>
      <c r="M501" s="11">
        <f>IFERROR(__xludf.DUMMYFUNCTION("""COMPUTED_VALUE"""),2.0)</f>
        <v>2</v>
      </c>
      <c r="N501" s="11">
        <f>IFERROR(__xludf.DUMMYFUNCTION("""COMPUTED_VALUE"""),5836.0)</f>
        <v>5836</v>
      </c>
      <c r="O501" s="13">
        <f>IFERROR(__xludf.DUMMYFUNCTION("""COMPUTED_VALUE"""),9.0)</f>
        <v>9</v>
      </c>
      <c r="P501" s="14">
        <f>IFERROR(__xludf.DUMMYFUNCTION("""COMPUTED_VALUE"""),8.0)</f>
        <v>8</v>
      </c>
      <c r="Q501" s="13">
        <f>IFERROR(__xludf.DUMMYFUNCTION("""COMPUTED_VALUE"""),27.0)</f>
        <v>27</v>
      </c>
      <c r="R501" s="13">
        <f>IFERROR(__xludf.DUMMYFUNCTION("""COMPUTED_VALUE"""),35.0)</f>
        <v>35</v>
      </c>
      <c r="S501" s="15">
        <f>IFERROR(__xludf.DUMMYFUNCTION("""COMPUTED_VALUE"""),0.2571428571428571)</f>
        <v>0.2571428571</v>
      </c>
      <c r="T501" s="16">
        <f>IFERROR(__xludf.DUMMYFUNCTION("""COMPUTED_VALUE"""),291.8)</f>
        <v>291.8</v>
      </c>
      <c r="U501" s="16">
        <f>IFERROR(__xludf.DUMMYFUNCTION("""COMPUTED_VALUE"""),0.45)</f>
        <v>0.45</v>
      </c>
      <c r="V501" s="16">
        <f>IFERROR(__xludf.DUMMYFUNCTION("""COMPUTED_VALUE"""),0.4)</f>
        <v>0.4</v>
      </c>
      <c r="W501" s="16">
        <f>IFERROR(__xludf.DUMMYFUNCTION("""COMPUTED_VALUE"""),1.35)</f>
        <v>1.35</v>
      </c>
      <c r="X501" s="16">
        <f>IFERROR(__xludf.DUMMYFUNCTION("""COMPUTED_VALUE"""),1.75)</f>
        <v>1.75</v>
      </c>
      <c r="Y501" s="11">
        <f>IFERROR(__xludf.DUMMYFUNCTION("""COMPUTED_VALUE"""),2.0)</f>
        <v>2</v>
      </c>
      <c r="Z501" s="11">
        <f>IFERROR(__xludf.DUMMYFUNCTION("""COMPUTED_VALUE"""),0.0)</f>
        <v>0</v>
      </c>
      <c r="AA501" s="11">
        <f>IFERROR(__xludf.DUMMYFUNCTION("""COMPUTED_VALUE"""),0.0)</f>
        <v>0</v>
      </c>
      <c r="AB501" s="11">
        <f>IFERROR(__xludf.DUMMYFUNCTION("""COMPUTED_VALUE"""),5.0)</f>
        <v>5</v>
      </c>
      <c r="AC501" s="11">
        <f>IFERROR(__xludf.DUMMYFUNCTION("""COMPUTED_VALUE"""),16.0)</f>
        <v>16</v>
      </c>
      <c r="AD501" s="11">
        <f>IFERROR(__xludf.DUMMYFUNCTION("""COMPUTED_VALUE"""),23.0)</f>
        <v>23</v>
      </c>
    </row>
    <row r="502">
      <c r="A502" s="10" t="str">
        <f>IFERROR(__xludf.DUMMYFUNCTION("""COMPUTED_VALUE"""),"Prospect")</f>
        <v>Prospect</v>
      </c>
      <c r="B502" s="10" t="str">
        <f>IFERROR(__xludf.DUMMYFUNCTION("""COMPUTED_VALUE"""),"RSC000989")</f>
        <v>RSC000989</v>
      </c>
      <c r="C502" s="10" t="str">
        <f>IFERROR(__xludf.DUMMYFUNCTION("""COMPUTED_VALUE"""),"Piky Life88")</f>
        <v>Piky Life88</v>
      </c>
      <c r="D502" s="36" t="str">
        <f>IFERROR(__xludf.DUMMYFUNCTION("""COMPUTED_VALUE"""),"Earth")</f>
        <v>Earth</v>
      </c>
      <c r="E502" s="10" t="str">
        <f>IFERROR(__xludf.DUMMYFUNCTION("""COMPUTED_VALUE"""),"N/A")</f>
        <v>N/A</v>
      </c>
      <c r="F502" s="37">
        <f>IFERROR(__xludf.DUMMYFUNCTION("""COMPUTED_VALUE"""),28.938011586759664)</f>
        <v>28.93801159</v>
      </c>
      <c r="G502" s="38">
        <f>IFERROR(__xludf.DUMMYFUNCTION("""COMPUTED_VALUE"""),39.437536607350395)</f>
        <v>39.43753661</v>
      </c>
      <c r="H502" s="38">
        <f>IFERROR(__xludf.DUMMYFUNCTION("""COMPUTED_VALUE"""),34.187774097055026)</f>
        <v>34.1877741</v>
      </c>
      <c r="I502" s="14">
        <f>IFERROR(__xludf.DUMMYFUNCTION("""COMPUTED_VALUE"""),31.0)</f>
        <v>31</v>
      </c>
      <c r="J502" s="11">
        <f>IFERROR(__xludf.DUMMYFUNCTION("IFERROR(FILTER(Stats!$F:$Z,(Stats!$A:$A=$A502)*(Stats!$B:$B=$B502)))"),13.0)</f>
        <v>13</v>
      </c>
      <c r="K502" s="11">
        <f>IFERROR(__xludf.DUMMYFUNCTION("""COMPUTED_VALUE"""),18.0)</f>
        <v>18</v>
      </c>
      <c r="L502" s="12">
        <f>IFERROR(__xludf.DUMMYFUNCTION("""COMPUTED_VALUE"""),0.41935483870967744)</f>
        <v>0.4193548387</v>
      </c>
      <c r="M502" s="11">
        <f>IFERROR(__xludf.DUMMYFUNCTION("""COMPUTED_VALUE"""),1.0)</f>
        <v>1</v>
      </c>
      <c r="N502" s="11">
        <f>IFERROR(__xludf.DUMMYFUNCTION("""COMPUTED_VALUE"""),8312.0)</f>
        <v>8312</v>
      </c>
      <c r="O502" s="13">
        <f>IFERROR(__xludf.DUMMYFUNCTION("""COMPUTED_VALUE"""),19.0)</f>
        <v>19</v>
      </c>
      <c r="P502" s="14">
        <f>IFERROR(__xludf.DUMMYFUNCTION("""COMPUTED_VALUE"""),13.0)</f>
        <v>13</v>
      </c>
      <c r="Q502" s="13">
        <f>IFERROR(__xludf.DUMMYFUNCTION("""COMPUTED_VALUE"""),24.0)</f>
        <v>24</v>
      </c>
      <c r="R502" s="13">
        <f>IFERROR(__xludf.DUMMYFUNCTION("""COMPUTED_VALUE"""),68.0)</f>
        <v>68</v>
      </c>
      <c r="S502" s="15">
        <f>IFERROR(__xludf.DUMMYFUNCTION("""COMPUTED_VALUE"""),0.27941176470588236)</f>
        <v>0.2794117647</v>
      </c>
      <c r="T502" s="16">
        <f>IFERROR(__xludf.DUMMYFUNCTION("""COMPUTED_VALUE"""),268.1290322580645)</f>
        <v>268.1290323</v>
      </c>
      <c r="U502" s="16">
        <f>IFERROR(__xludf.DUMMYFUNCTION("""COMPUTED_VALUE"""),0.6129032258064516)</f>
        <v>0.6129032258</v>
      </c>
      <c r="V502" s="16">
        <f>IFERROR(__xludf.DUMMYFUNCTION("""COMPUTED_VALUE"""),0.41935483870967744)</f>
        <v>0.4193548387</v>
      </c>
      <c r="W502" s="16">
        <f>IFERROR(__xludf.DUMMYFUNCTION("""COMPUTED_VALUE"""),0.7741935483870968)</f>
        <v>0.7741935484</v>
      </c>
      <c r="X502" s="16">
        <f>IFERROR(__xludf.DUMMYFUNCTION("""COMPUTED_VALUE"""),2.193548387096774)</f>
        <v>2.193548387</v>
      </c>
      <c r="Y502" s="11">
        <f>IFERROR(__xludf.DUMMYFUNCTION("""COMPUTED_VALUE"""),3.0)</f>
        <v>3</v>
      </c>
      <c r="Z502" s="11">
        <f>IFERROR(__xludf.DUMMYFUNCTION("""COMPUTED_VALUE"""),0.0)</f>
        <v>0</v>
      </c>
      <c r="AA502" s="11">
        <f>IFERROR(__xludf.DUMMYFUNCTION("""COMPUTED_VALUE"""),1.0)</f>
        <v>1</v>
      </c>
      <c r="AB502" s="11">
        <f>IFERROR(__xludf.DUMMYFUNCTION("""COMPUTED_VALUE"""),2.0)</f>
        <v>2</v>
      </c>
      <c r="AC502" s="11">
        <f>IFERROR(__xludf.DUMMYFUNCTION("""COMPUTED_VALUE"""),38.0)</f>
        <v>38</v>
      </c>
      <c r="AD502" s="11">
        <f>IFERROR(__xludf.DUMMYFUNCTION("""COMPUTED_VALUE"""),27.0)</f>
        <v>27</v>
      </c>
    </row>
    <row r="503">
      <c r="A503" s="10" t="str">
        <f>IFERROR(__xludf.DUMMYFUNCTION("""COMPUTED_VALUE"""),"Prospect")</f>
        <v>Prospect</v>
      </c>
      <c r="B503" s="10" t="str">
        <f>IFERROR(__xludf.DUMMYFUNCTION("""COMPUTED_VALUE"""),"RSC006404")</f>
        <v>RSC006404</v>
      </c>
      <c r="C503" s="10" t="str">
        <f>IFERROR(__xludf.DUMMYFUNCTION("""COMPUTED_VALUE"""),"Protocol")</f>
        <v>Protocol</v>
      </c>
      <c r="D503" s="36" t="str">
        <f>IFERROR(__xludf.DUMMYFUNCTION("""COMPUTED_VALUE"""),"Turbulence
Skeletons")</f>
        <v>Turbulence
Skeletons</v>
      </c>
      <c r="E503" s="10" t="str">
        <f>IFERROR(__xludf.DUMMYFUNCTION("""COMPUTED_VALUE"""),"N/A
N/A")</f>
        <v>N/A
N/A</v>
      </c>
      <c r="F503" s="37">
        <f>IFERROR(__xludf.DUMMYFUNCTION("""COMPUTED_VALUE"""),53.55629365824612)</f>
        <v>53.55629366</v>
      </c>
      <c r="G503" s="38">
        <f>IFERROR(__xludf.DUMMYFUNCTION("""COMPUTED_VALUE"""),13.499615324918416)</f>
        <v>13.49961532</v>
      </c>
      <c r="H503" s="38">
        <f>IFERROR(__xludf.DUMMYFUNCTION("""COMPUTED_VALUE"""),33.527954491582264)</f>
        <v>33.52795449</v>
      </c>
      <c r="I503" s="14">
        <f>IFERROR(__xludf.DUMMYFUNCTION("""COMPUTED_VALUE"""),6.0)</f>
        <v>6</v>
      </c>
      <c r="J503" s="11">
        <f>IFERROR(__xludf.DUMMYFUNCTION("IFERROR(FILTER(Stats!$F:$Z,(Stats!$A:$A=$A503)*(Stats!$B:$B=$B503)))"),2.0)</f>
        <v>2</v>
      </c>
      <c r="K503" s="11">
        <f>IFERROR(__xludf.DUMMYFUNCTION("""COMPUTED_VALUE"""),4.0)</f>
        <v>4</v>
      </c>
      <c r="L503" s="12">
        <f>IFERROR(__xludf.DUMMYFUNCTION("""COMPUTED_VALUE"""),0.3333333333333333)</f>
        <v>0.3333333333</v>
      </c>
      <c r="M503" s="11">
        <f>IFERROR(__xludf.DUMMYFUNCTION("""COMPUTED_VALUE"""),1.0)</f>
        <v>1</v>
      </c>
      <c r="N503" s="11">
        <f>IFERROR(__xludf.DUMMYFUNCTION("""COMPUTED_VALUE"""),2109.0)</f>
        <v>2109</v>
      </c>
      <c r="O503" s="13">
        <f>IFERROR(__xludf.DUMMYFUNCTION("""COMPUTED_VALUE"""),3.0)</f>
        <v>3</v>
      </c>
      <c r="P503" s="14">
        <f>IFERROR(__xludf.DUMMYFUNCTION("""COMPUTED_VALUE"""),4.0)</f>
        <v>4</v>
      </c>
      <c r="Q503" s="13">
        <f>IFERROR(__xludf.DUMMYFUNCTION("""COMPUTED_VALUE"""),14.0)</f>
        <v>14</v>
      </c>
      <c r="R503" s="13">
        <f>IFERROR(__xludf.DUMMYFUNCTION("""COMPUTED_VALUE"""),10.0)</f>
        <v>10</v>
      </c>
      <c r="S503" s="15">
        <f>IFERROR(__xludf.DUMMYFUNCTION("""COMPUTED_VALUE"""),0.3)</f>
        <v>0.3</v>
      </c>
      <c r="T503" s="16">
        <f>IFERROR(__xludf.DUMMYFUNCTION("""COMPUTED_VALUE"""),351.5)</f>
        <v>351.5</v>
      </c>
      <c r="U503" s="16">
        <f>IFERROR(__xludf.DUMMYFUNCTION("""COMPUTED_VALUE"""),0.5)</f>
        <v>0.5</v>
      </c>
      <c r="V503" s="16">
        <f>IFERROR(__xludf.DUMMYFUNCTION("""COMPUTED_VALUE"""),0.6666666666666666)</f>
        <v>0.6666666667</v>
      </c>
      <c r="W503" s="16">
        <f>IFERROR(__xludf.DUMMYFUNCTION("""COMPUTED_VALUE"""),2.3333333333333335)</f>
        <v>2.333333333</v>
      </c>
      <c r="X503" s="16">
        <f>IFERROR(__xludf.DUMMYFUNCTION("""COMPUTED_VALUE"""),1.6666666666666667)</f>
        <v>1.666666667</v>
      </c>
      <c r="Y503" s="11">
        <f>IFERROR(__xludf.DUMMYFUNCTION("""COMPUTED_VALUE"""),1.0)</f>
        <v>1</v>
      </c>
      <c r="Z503" s="11">
        <f>IFERROR(__xludf.DUMMYFUNCTION("""COMPUTED_VALUE"""),1.0)</f>
        <v>1</v>
      </c>
      <c r="AA503" s="11">
        <f>IFERROR(__xludf.DUMMYFUNCTION("""COMPUTED_VALUE"""),0.0)</f>
        <v>0</v>
      </c>
      <c r="AB503" s="11">
        <f>IFERROR(__xludf.DUMMYFUNCTION("""COMPUTED_VALUE"""),3.0)</f>
        <v>3</v>
      </c>
      <c r="AC503" s="11">
        <f>IFERROR(__xludf.DUMMYFUNCTION("""COMPUTED_VALUE"""),3.0)</f>
        <v>3</v>
      </c>
      <c r="AD503" s="11">
        <f>IFERROR(__xludf.DUMMYFUNCTION("""COMPUTED_VALUE"""),7.0)</f>
        <v>7</v>
      </c>
    </row>
    <row r="504">
      <c r="A504" s="10" t="str">
        <f>IFERROR(__xludf.DUMMYFUNCTION("""COMPUTED_VALUE"""),"Prospect")</f>
        <v>Prospect</v>
      </c>
      <c r="B504" s="10" t="str">
        <f>IFERROR(__xludf.DUMMYFUNCTION("""COMPUTED_VALUE"""),"RSC006461")</f>
        <v>RSC006461</v>
      </c>
      <c r="C504" s="10" t="str">
        <f>IFERROR(__xludf.DUMMYFUNCTION("""COMPUTED_VALUE"""),"Cynical89")</f>
        <v>Cynical89</v>
      </c>
      <c r="D504" s="36" t="str">
        <f>IFERROR(__xludf.DUMMYFUNCTION("""COMPUTED_VALUE"""),"Tanuki")</f>
        <v>Tanuki</v>
      </c>
      <c r="E504" s="10" t="str">
        <f>IFERROR(__xludf.DUMMYFUNCTION("""COMPUTED_VALUE"""),"N/A")</f>
        <v>N/A</v>
      </c>
      <c r="F504" s="37">
        <f>IFERROR(__xludf.DUMMYFUNCTION("""COMPUTED_VALUE"""),35.58562187067084)</f>
        <v>35.58562187</v>
      </c>
      <c r="G504" s="38">
        <f>IFERROR(__xludf.DUMMYFUNCTION("""COMPUTED_VALUE"""),28.85054360480925)</f>
        <v>28.8505436</v>
      </c>
      <c r="H504" s="38">
        <f>IFERROR(__xludf.DUMMYFUNCTION("""COMPUTED_VALUE"""),32.21808273774005)</f>
        <v>32.21808274</v>
      </c>
      <c r="I504" s="14">
        <f>IFERROR(__xludf.DUMMYFUNCTION("""COMPUTED_VALUE"""),49.0)</f>
        <v>49</v>
      </c>
      <c r="J504" s="11">
        <f>IFERROR(__xludf.DUMMYFUNCTION("IFERROR(FILTER(Stats!$F:$Z,(Stats!$A:$A=$A504)*(Stats!$B:$B=$B504)))"),21.0)</f>
        <v>21</v>
      </c>
      <c r="K504" s="11">
        <f>IFERROR(__xludf.DUMMYFUNCTION("""COMPUTED_VALUE"""),28.0)</f>
        <v>28</v>
      </c>
      <c r="L504" s="12">
        <f>IFERROR(__xludf.DUMMYFUNCTION("""COMPUTED_VALUE"""),0.42857142857142855)</f>
        <v>0.4285714286</v>
      </c>
      <c r="M504" s="11">
        <f>IFERROR(__xludf.DUMMYFUNCTION("""COMPUTED_VALUE"""),4.0)</f>
        <v>4</v>
      </c>
      <c r="N504" s="11">
        <f>IFERROR(__xludf.DUMMYFUNCTION("""COMPUTED_VALUE"""),13302.0)</f>
        <v>13302</v>
      </c>
      <c r="O504" s="13">
        <f>IFERROR(__xludf.DUMMYFUNCTION("""COMPUTED_VALUE"""),27.0)</f>
        <v>27</v>
      </c>
      <c r="P504" s="14">
        <f>IFERROR(__xludf.DUMMYFUNCTION("""COMPUTED_VALUE"""),22.0)</f>
        <v>22</v>
      </c>
      <c r="Q504" s="13">
        <f>IFERROR(__xludf.DUMMYFUNCTION("""COMPUTED_VALUE"""),46.0)</f>
        <v>46</v>
      </c>
      <c r="R504" s="13">
        <f>IFERROR(__xludf.DUMMYFUNCTION("""COMPUTED_VALUE"""),78.0)</f>
        <v>78</v>
      </c>
      <c r="S504" s="15">
        <f>IFERROR(__xludf.DUMMYFUNCTION("""COMPUTED_VALUE"""),0.34615384615384615)</f>
        <v>0.3461538462</v>
      </c>
      <c r="T504" s="16">
        <f>IFERROR(__xludf.DUMMYFUNCTION("""COMPUTED_VALUE"""),271.46938775510205)</f>
        <v>271.4693878</v>
      </c>
      <c r="U504" s="16">
        <f>IFERROR(__xludf.DUMMYFUNCTION("""COMPUTED_VALUE"""),0.5510204081632653)</f>
        <v>0.5510204082</v>
      </c>
      <c r="V504" s="16">
        <f>IFERROR(__xludf.DUMMYFUNCTION("""COMPUTED_VALUE"""),0.4489795918367347)</f>
        <v>0.4489795918</v>
      </c>
      <c r="W504" s="16">
        <f>IFERROR(__xludf.DUMMYFUNCTION("""COMPUTED_VALUE"""),0.9387755102040817)</f>
        <v>0.9387755102</v>
      </c>
      <c r="X504" s="16">
        <f>IFERROR(__xludf.DUMMYFUNCTION("""COMPUTED_VALUE"""),1.5918367346938775)</f>
        <v>1.591836735</v>
      </c>
      <c r="Y504" s="11">
        <f>IFERROR(__xludf.DUMMYFUNCTION("""COMPUTED_VALUE"""),7.0)</f>
        <v>7</v>
      </c>
      <c r="Z504" s="11">
        <f>IFERROR(__xludf.DUMMYFUNCTION("""COMPUTED_VALUE"""),1.0)</f>
        <v>1</v>
      </c>
      <c r="AA504" s="11">
        <f>IFERROR(__xludf.DUMMYFUNCTION("""COMPUTED_VALUE"""),1.0)</f>
        <v>1</v>
      </c>
      <c r="AB504" s="11">
        <f>IFERROR(__xludf.DUMMYFUNCTION("""COMPUTED_VALUE"""),6.0)</f>
        <v>6</v>
      </c>
      <c r="AC504" s="11">
        <f>IFERROR(__xludf.DUMMYFUNCTION("""COMPUTED_VALUE"""),45.0)</f>
        <v>45</v>
      </c>
      <c r="AD504" s="11">
        <f>IFERROR(__xludf.DUMMYFUNCTION("""COMPUTED_VALUE"""),45.0)</f>
        <v>45</v>
      </c>
    </row>
    <row r="505">
      <c r="A505" s="10" t="str">
        <f>IFERROR(__xludf.DUMMYFUNCTION("""COMPUTED_VALUE"""),"Prospect")</f>
        <v>Prospect</v>
      </c>
      <c r="B505" s="10" t="str">
        <f>IFERROR(__xludf.DUMMYFUNCTION("""COMPUTED_VALUE"""),"RSC008379")</f>
        <v>RSC008379</v>
      </c>
      <c r="C505" s="10" t="str">
        <f>IFERROR(__xludf.DUMMYFUNCTION("""COMPUTED_VALUE"""),"Caiman")</f>
        <v>Caiman</v>
      </c>
      <c r="D505" s="36" t="str">
        <f>IFERROR(__xludf.DUMMYFUNCTION("""COMPUTED_VALUE"""),"Piranhas")</f>
        <v>Piranhas</v>
      </c>
      <c r="E505" s="10" t="str">
        <f>IFERROR(__xludf.DUMMYFUNCTION("""COMPUTED_VALUE"""),"N/A")</f>
        <v>N/A</v>
      </c>
      <c r="F505" s="37">
        <f>IFERROR(__xludf.DUMMYFUNCTION("""COMPUTED_VALUE"""),27.493595567984944)</f>
        <v>27.49359557</v>
      </c>
      <c r="G505" s="38">
        <f>IFERROR(__xludf.DUMMYFUNCTION("""COMPUTED_VALUE"""),31.316745886227032)</f>
        <v>31.31674589</v>
      </c>
      <c r="H505" s="38">
        <f>IFERROR(__xludf.DUMMYFUNCTION("""COMPUTED_VALUE"""),29.40517072710599)</f>
        <v>29.40517073</v>
      </c>
      <c r="I505" s="14">
        <f>IFERROR(__xludf.DUMMYFUNCTION("""COMPUTED_VALUE"""),38.0)</f>
        <v>38</v>
      </c>
      <c r="J505" s="11">
        <f>IFERROR(__xludf.DUMMYFUNCTION("IFERROR(FILTER(Stats!$F:$Z,(Stats!$A:$A=$A505)*(Stats!$B:$B=$B505)))"),13.0)</f>
        <v>13</v>
      </c>
      <c r="K505" s="11">
        <f>IFERROR(__xludf.DUMMYFUNCTION("""COMPUTED_VALUE"""),25.0)</f>
        <v>25</v>
      </c>
      <c r="L505" s="12">
        <f>IFERROR(__xludf.DUMMYFUNCTION("""COMPUTED_VALUE"""),0.34210526315789475)</f>
        <v>0.3421052632</v>
      </c>
      <c r="M505" s="11">
        <f>IFERROR(__xludf.DUMMYFUNCTION("""COMPUTED_VALUE"""),3.0)</f>
        <v>3</v>
      </c>
      <c r="N505" s="11">
        <f>IFERROR(__xludf.DUMMYFUNCTION("""COMPUTED_VALUE"""),10903.0)</f>
        <v>10903</v>
      </c>
      <c r="O505" s="13">
        <f>IFERROR(__xludf.DUMMYFUNCTION("""COMPUTED_VALUE"""),24.0)</f>
        <v>24</v>
      </c>
      <c r="P505" s="14">
        <f>IFERROR(__xludf.DUMMYFUNCTION("""COMPUTED_VALUE"""),12.0)</f>
        <v>12</v>
      </c>
      <c r="Q505" s="13">
        <f>IFERROR(__xludf.DUMMYFUNCTION("""COMPUTED_VALUE"""),43.0)</f>
        <v>43</v>
      </c>
      <c r="R505" s="13">
        <f>IFERROR(__xludf.DUMMYFUNCTION("""COMPUTED_VALUE"""),78.0)</f>
        <v>78</v>
      </c>
      <c r="S505" s="15">
        <f>IFERROR(__xludf.DUMMYFUNCTION("""COMPUTED_VALUE"""),0.3076923076923077)</f>
        <v>0.3076923077</v>
      </c>
      <c r="T505" s="16">
        <f>IFERROR(__xludf.DUMMYFUNCTION("""COMPUTED_VALUE"""),286.92105263157896)</f>
        <v>286.9210526</v>
      </c>
      <c r="U505" s="16">
        <f>IFERROR(__xludf.DUMMYFUNCTION("""COMPUTED_VALUE"""),0.631578947368421)</f>
        <v>0.6315789474</v>
      </c>
      <c r="V505" s="16">
        <f>IFERROR(__xludf.DUMMYFUNCTION("""COMPUTED_VALUE"""),0.3157894736842105)</f>
        <v>0.3157894737</v>
      </c>
      <c r="W505" s="16">
        <f>IFERROR(__xludf.DUMMYFUNCTION("""COMPUTED_VALUE"""),1.131578947368421)</f>
        <v>1.131578947</v>
      </c>
      <c r="X505" s="16">
        <f>IFERROR(__xludf.DUMMYFUNCTION("""COMPUTED_VALUE"""),2.0526315789473686)</f>
        <v>2.052631579</v>
      </c>
      <c r="Y505" s="11">
        <f>IFERROR(__xludf.DUMMYFUNCTION("""COMPUTED_VALUE"""),7.0)</f>
        <v>7</v>
      </c>
      <c r="Z505" s="11">
        <f>IFERROR(__xludf.DUMMYFUNCTION("""COMPUTED_VALUE"""),1.0)</f>
        <v>1</v>
      </c>
      <c r="AA505" s="11">
        <f>IFERROR(__xludf.DUMMYFUNCTION("""COMPUTED_VALUE"""),0.0)</f>
        <v>0</v>
      </c>
      <c r="AB505" s="11">
        <f>IFERROR(__xludf.DUMMYFUNCTION("""COMPUTED_VALUE"""),4.0)</f>
        <v>4</v>
      </c>
      <c r="AC505" s="11">
        <f>IFERROR(__xludf.DUMMYFUNCTION("""COMPUTED_VALUE"""),63.0)</f>
        <v>63</v>
      </c>
      <c r="AD505" s="11">
        <f>IFERROR(__xludf.DUMMYFUNCTION("""COMPUTED_VALUE"""),37.0)</f>
        <v>37</v>
      </c>
    </row>
    <row r="506">
      <c r="A506" s="10" t="str">
        <f>IFERROR(__xludf.DUMMYFUNCTION("""COMPUTED_VALUE"""),"Prospect")</f>
        <v>Prospect</v>
      </c>
      <c r="B506" s="10" t="str">
        <f>IFERROR(__xludf.DUMMYFUNCTION("""COMPUTED_VALUE"""),"RSC005714")</f>
        <v>RSC005714</v>
      </c>
      <c r="C506" s="10" t="str">
        <f>IFERROR(__xludf.DUMMYFUNCTION("""COMPUTED_VALUE"""),"T_i_m_o_g")</f>
        <v>T_i_m_o_g</v>
      </c>
      <c r="D506" s="36" t="str">
        <f>IFERROR(__xludf.DUMMYFUNCTION("""COMPUTED_VALUE"""),"Principales")</f>
        <v>Principales</v>
      </c>
      <c r="E506" s="10" t="str">
        <f>IFERROR(__xludf.DUMMYFUNCTION("""COMPUTED_VALUE"""),"N/A")</f>
        <v>N/A</v>
      </c>
      <c r="F506" s="37">
        <f>IFERROR(__xludf.DUMMYFUNCTION("""COMPUTED_VALUE"""),28.066884980407313)</f>
        <v>28.06688498</v>
      </c>
      <c r="G506" s="38">
        <f>IFERROR(__xludf.DUMMYFUNCTION("""COMPUTED_VALUE"""),28.358346072336293)</f>
        <v>28.35834607</v>
      </c>
      <c r="H506" s="38">
        <f>IFERROR(__xludf.DUMMYFUNCTION("""COMPUTED_VALUE"""),28.212615526371803)</f>
        <v>28.21261553</v>
      </c>
      <c r="I506" s="14">
        <f>IFERROR(__xludf.DUMMYFUNCTION("""COMPUTED_VALUE"""),41.0)</f>
        <v>41</v>
      </c>
      <c r="J506" s="11">
        <f>IFERROR(__xludf.DUMMYFUNCTION("IFERROR(FILTER(Stats!$F:$Z,(Stats!$A:$A=$A506)*(Stats!$B:$B=$B506)))"),16.0)</f>
        <v>16</v>
      </c>
      <c r="K506" s="11">
        <f>IFERROR(__xludf.DUMMYFUNCTION("""COMPUTED_VALUE"""),25.0)</f>
        <v>25</v>
      </c>
      <c r="L506" s="12">
        <f>IFERROR(__xludf.DUMMYFUNCTION("""COMPUTED_VALUE"""),0.3902439024390244)</f>
        <v>0.3902439024</v>
      </c>
      <c r="M506" s="11">
        <f>IFERROR(__xludf.DUMMYFUNCTION("""COMPUTED_VALUE"""),1.0)</f>
        <v>1</v>
      </c>
      <c r="N506" s="11">
        <f>IFERROR(__xludf.DUMMYFUNCTION("""COMPUTED_VALUE"""),11349.0)</f>
        <v>11349</v>
      </c>
      <c r="O506" s="13">
        <f>IFERROR(__xludf.DUMMYFUNCTION("""COMPUTED_VALUE"""),21.0)</f>
        <v>21</v>
      </c>
      <c r="P506" s="14">
        <f>IFERROR(__xludf.DUMMYFUNCTION("""COMPUTED_VALUE"""),12.0)</f>
        <v>12</v>
      </c>
      <c r="Q506" s="13">
        <f>IFERROR(__xludf.DUMMYFUNCTION("""COMPUTED_VALUE"""),51.0)</f>
        <v>51</v>
      </c>
      <c r="R506" s="13">
        <f>IFERROR(__xludf.DUMMYFUNCTION("""COMPUTED_VALUE"""),71.0)</f>
        <v>71</v>
      </c>
      <c r="S506" s="15">
        <f>IFERROR(__xludf.DUMMYFUNCTION("""COMPUTED_VALUE"""),0.29577464788732394)</f>
        <v>0.2957746479</v>
      </c>
      <c r="T506" s="16">
        <f>IFERROR(__xludf.DUMMYFUNCTION("""COMPUTED_VALUE"""),276.8048780487805)</f>
        <v>276.804878</v>
      </c>
      <c r="U506" s="16">
        <f>IFERROR(__xludf.DUMMYFUNCTION("""COMPUTED_VALUE"""),0.5121951219512195)</f>
        <v>0.512195122</v>
      </c>
      <c r="V506" s="16">
        <f>IFERROR(__xludf.DUMMYFUNCTION("""COMPUTED_VALUE"""),0.2926829268292683)</f>
        <v>0.2926829268</v>
      </c>
      <c r="W506" s="16">
        <f>IFERROR(__xludf.DUMMYFUNCTION("""COMPUTED_VALUE"""),1.2439024390243902)</f>
        <v>1.243902439</v>
      </c>
      <c r="X506" s="16">
        <f>IFERROR(__xludf.DUMMYFUNCTION("""COMPUTED_VALUE"""),1.7317073170731707)</f>
        <v>1.731707317</v>
      </c>
      <c r="Y506" s="11">
        <f>IFERROR(__xludf.DUMMYFUNCTION("""COMPUTED_VALUE"""),1.0)</f>
        <v>1</v>
      </c>
      <c r="Z506" s="11">
        <f>IFERROR(__xludf.DUMMYFUNCTION("""COMPUTED_VALUE"""),1.0)</f>
        <v>1</v>
      </c>
      <c r="AA506" s="11">
        <f>IFERROR(__xludf.DUMMYFUNCTION("""COMPUTED_VALUE"""),0.0)</f>
        <v>0</v>
      </c>
      <c r="AB506" s="11">
        <f>IFERROR(__xludf.DUMMYFUNCTION("""COMPUTED_VALUE"""),6.0)</f>
        <v>6</v>
      </c>
      <c r="AC506" s="11">
        <f>IFERROR(__xludf.DUMMYFUNCTION("""COMPUTED_VALUE"""),102.0)</f>
        <v>102</v>
      </c>
      <c r="AD506" s="11">
        <f>IFERROR(__xludf.DUMMYFUNCTION("""COMPUTED_VALUE"""),32.0)</f>
        <v>32</v>
      </c>
    </row>
    <row r="507">
      <c r="A507" s="10" t="str">
        <f>IFERROR(__xludf.DUMMYFUNCTION("""COMPUTED_VALUE"""),"Prospect")</f>
        <v>Prospect</v>
      </c>
      <c r="B507" s="10" t="str">
        <f>IFERROR(__xludf.DUMMYFUNCTION("""COMPUTED_VALUE"""),"RSC007874")</f>
        <v>RSC007874</v>
      </c>
      <c r="C507" s="10" t="str">
        <f>IFERROR(__xludf.DUMMYFUNCTION("""COMPUTED_VALUE"""),"Salty Num Num")</f>
        <v>Salty Num Num</v>
      </c>
      <c r="D507" s="36" t="str">
        <f>IFERROR(__xludf.DUMMYFUNCTION("""COMPUTED_VALUE"""),"Skeletons")</f>
        <v>Skeletons</v>
      </c>
      <c r="E507" s="10" t="str">
        <f>IFERROR(__xludf.DUMMYFUNCTION("""COMPUTED_VALUE"""),"N/A")</f>
        <v>N/A</v>
      </c>
      <c r="F507" s="37">
        <f>IFERROR(__xludf.DUMMYFUNCTION("""COMPUTED_VALUE"""),36.20937438071534)</f>
        <v>36.20937438</v>
      </c>
      <c r="G507" s="38">
        <f>IFERROR(__xludf.DUMMYFUNCTION("""COMPUTED_VALUE"""),13.842964547231148)</f>
        <v>13.84296455</v>
      </c>
      <c r="H507" s="38">
        <f>IFERROR(__xludf.DUMMYFUNCTION("""COMPUTED_VALUE"""),25.026169463973243)</f>
        <v>25.02616946</v>
      </c>
      <c r="I507" s="14">
        <f>IFERROR(__xludf.DUMMYFUNCTION("""COMPUTED_VALUE"""),19.0)</f>
        <v>19</v>
      </c>
      <c r="J507" s="11">
        <f>IFERROR(__xludf.DUMMYFUNCTION("IFERROR(FILTER(Stats!$F:$Z,(Stats!$A:$A=$A507)*(Stats!$B:$B=$B507)))"),2.0)</f>
        <v>2</v>
      </c>
      <c r="K507" s="11">
        <f>IFERROR(__xludf.DUMMYFUNCTION("""COMPUTED_VALUE"""),17.0)</f>
        <v>17</v>
      </c>
      <c r="L507" s="12">
        <f>IFERROR(__xludf.DUMMYFUNCTION("""COMPUTED_VALUE"""),0.10526315789473684)</f>
        <v>0.1052631579</v>
      </c>
      <c r="M507" s="11">
        <f>IFERROR(__xludf.DUMMYFUNCTION("""COMPUTED_VALUE"""),1.0)</f>
        <v>1</v>
      </c>
      <c r="N507" s="11">
        <f>IFERROR(__xludf.DUMMYFUNCTION("""COMPUTED_VALUE"""),5325.0)</f>
        <v>5325</v>
      </c>
      <c r="O507" s="13">
        <f>IFERROR(__xludf.DUMMYFUNCTION("""COMPUTED_VALUE"""),11.0)</f>
        <v>11</v>
      </c>
      <c r="P507" s="14">
        <f>IFERROR(__xludf.DUMMYFUNCTION("""COMPUTED_VALUE"""),5.0)</f>
        <v>5</v>
      </c>
      <c r="Q507" s="13">
        <f>IFERROR(__xludf.DUMMYFUNCTION("""COMPUTED_VALUE"""),18.0)</f>
        <v>18</v>
      </c>
      <c r="R507" s="13">
        <f>IFERROR(__xludf.DUMMYFUNCTION("""COMPUTED_VALUE"""),42.0)</f>
        <v>42</v>
      </c>
      <c r="S507" s="15">
        <f>IFERROR(__xludf.DUMMYFUNCTION("""COMPUTED_VALUE"""),0.2619047619047619)</f>
        <v>0.2619047619</v>
      </c>
      <c r="T507" s="16">
        <f>IFERROR(__xludf.DUMMYFUNCTION("""COMPUTED_VALUE"""),280.2631578947368)</f>
        <v>280.2631579</v>
      </c>
      <c r="U507" s="16">
        <f>IFERROR(__xludf.DUMMYFUNCTION("""COMPUTED_VALUE"""),0.5789473684210527)</f>
        <v>0.5789473684</v>
      </c>
      <c r="V507" s="16">
        <f>IFERROR(__xludf.DUMMYFUNCTION("""COMPUTED_VALUE"""),0.2631578947368421)</f>
        <v>0.2631578947</v>
      </c>
      <c r="W507" s="16">
        <f>IFERROR(__xludf.DUMMYFUNCTION("""COMPUTED_VALUE"""),0.9473684210526315)</f>
        <v>0.9473684211</v>
      </c>
      <c r="X507" s="16">
        <f>IFERROR(__xludf.DUMMYFUNCTION("""COMPUTED_VALUE"""),2.210526315789474)</f>
        <v>2.210526316</v>
      </c>
      <c r="Y507" s="11">
        <f>IFERROR(__xludf.DUMMYFUNCTION("""COMPUTED_VALUE"""),2.0)</f>
        <v>2</v>
      </c>
      <c r="Z507" s="11">
        <f>IFERROR(__xludf.DUMMYFUNCTION("""COMPUTED_VALUE"""),0.0)</f>
        <v>0</v>
      </c>
      <c r="AA507" s="11">
        <f>IFERROR(__xludf.DUMMYFUNCTION("""COMPUTED_VALUE"""),0.0)</f>
        <v>0</v>
      </c>
      <c r="AB507" s="11">
        <f>IFERROR(__xludf.DUMMYFUNCTION("""COMPUTED_VALUE"""),0.0)</f>
        <v>0</v>
      </c>
      <c r="AC507" s="11">
        <f>IFERROR(__xludf.DUMMYFUNCTION("""COMPUTED_VALUE"""),26.0)</f>
        <v>26</v>
      </c>
      <c r="AD507" s="11">
        <f>IFERROR(__xludf.DUMMYFUNCTION("""COMPUTED_VALUE"""),17.0)</f>
        <v>17</v>
      </c>
    </row>
    <row r="508">
      <c r="A508" s="10" t="str">
        <f>IFERROR(__xludf.DUMMYFUNCTION("""COMPUTED_VALUE"""),"Prospect")</f>
        <v>Prospect</v>
      </c>
      <c r="B508" s="10" t="str">
        <f>IFERROR(__xludf.DUMMYFUNCTION("""COMPUTED_VALUE"""),"RSC007918")</f>
        <v>RSC007918</v>
      </c>
      <c r="C508" s="10" t="str">
        <f>IFERROR(__xludf.DUMMYFUNCTION("""COMPUTED_VALUE"""),"TheBLKBoy")</f>
        <v>TheBLKBoy</v>
      </c>
      <c r="D508" s="36" t="str">
        <f>IFERROR(__xludf.DUMMYFUNCTION("""COMPUTED_VALUE"""),"Tic Tacs
Skeletons")</f>
        <v>Tic Tacs
Skeletons</v>
      </c>
      <c r="E508" s="10" t="str">
        <f>IFERROR(__xludf.DUMMYFUNCTION("""COMPUTED_VALUE"""),"N/A
N/A")</f>
        <v>N/A
N/A</v>
      </c>
      <c r="F508" s="37">
        <f>IFERROR(__xludf.DUMMYFUNCTION("""COMPUTED_VALUE"""),27.601644976579355)</f>
        <v>27.60164498</v>
      </c>
      <c r="G508" s="38">
        <f>IFERROR(__xludf.DUMMYFUNCTION("""COMPUTED_VALUE"""),16.5225155961557)</f>
        <v>16.5225156</v>
      </c>
      <c r="H508" s="38">
        <f>IFERROR(__xludf.DUMMYFUNCTION("""COMPUTED_VALUE"""),22.062080286367525)</f>
        <v>22.06208029</v>
      </c>
      <c r="I508" s="14">
        <f>IFERROR(__xludf.DUMMYFUNCTION("""COMPUTED_VALUE"""),33.0)</f>
        <v>33</v>
      </c>
      <c r="J508" s="11">
        <f>IFERROR(__xludf.DUMMYFUNCTION("IFERROR(FILTER(Stats!$F:$Z,(Stats!$A:$A=$A508)*(Stats!$B:$B=$B508)))"),9.0)</f>
        <v>9</v>
      </c>
      <c r="K508" s="11">
        <f>IFERROR(__xludf.DUMMYFUNCTION("""COMPUTED_VALUE"""),24.0)</f>
        <v>24</v>
      </c>
      <c r="L508" s="12">
        <f>IFERROR(__xludf.DUMMYFUNCTION("""COMPUTED_VALUE"""),0.2727272727272727)</f>
        <v>0.2727272727</v>
      </c>
      <c r="M508" s="11">
        <f>IFERROR(__xludf.DUMMYFUNCTION("""COMPUTED_VALUE"""),1.0)</f>
        <v>1</v>
      </c>
      <c r="N508" s="11">
        <f>IFERROR(__xludf.DUMMYFUNCTION("""COMPUTED_VALUE"""),8930.0)</f>
        <v>8930</v>
      </c>
      <c r="O508" s="13">
        <f>IFERROR(__xludf.DUMMYFUNCTION("""COMPUTED_VALUE"""),21.0)</f>
        <v>21</v>
      </c>
      <c r="P508" s="14">
        <f>IFERROR(__xludf.DUMMYFUNCTION("""COMPUTED_VALUE"""),9.0)</f>
        <v>9</v>
      </c>
      <c r="Q508" s="13">
        <f>IFERROR(__xludf.DUMMYFUNCTION("""COMPUTED_VALUE"""),31.0)</f>
        <v>31</v>
      </c>
      <c r="R508" s="13">
        <f>IFERROR(__xludf.DUMMYFUNCTION("""COMPUTED_VALUE"""),63.0)</f>
        <v>63</v>
      </c>
      <c r="S508" s="15">
        <f>IFERROR(__xludf.DUMMYFUNCTION("""COMPUTED_VALUE"""),0.3333333333333333)</f>
        <v>0.3333333333</v>
      </c>
      <c r="T508" s="16">
        <f>IFERROR(__xludf.DUMMYFUNCTION("""COMPUTED_VALUE"""),270.6060606060606)</f>
        <v>270.6060606</v>
      </c>
      <c r="U508" s="16">
        <f>IFERROR(__xludf.DUMMYFUNCTION("""COMPUTED_VALUE"""),0.6363636363636364)</f>
        <v>0.6363636364</v>
      </c>
      <c r="V508" s="16">
        <f>IFERROR(__xludf.DUMMYFUNCTION("""COMPUTED_VALUE"""),0.2727272727272727)</f>
        <v>0.2727272727</v>
      </c>
      <c r="W508" s="16">
        <f>IFERROR(__xludf.DUMMYFUNCTION("""COMPUTED_VALUE"""),0.9393939393939394)</f>
        <v>0.9393939394</v>
      </c>
      <c r="X508" s="16">
        <f>IFERROR(__xludf.DUMMYFUNCTION("""COMPUTED_VALUE"""),1.9090909090909092)</f>
        <v>1.909090909</v>
      </c>
      <c r="Y508" s="11">
        <f>IFERROR(__xludf.DUMMYFUNCTION("""COMPUTED_VALUE"""),2.0)</f>
        <v>2</v>
      </c>
      <c r="Z508" s="11">
        <f>IFERROR(__xludf.DUMMYFUNCTION("""COMPUTED_VALUE"""),2.0)</f>
        <v>2</v>
      </c>
      <c r="AA508" s="11">
        <f>IFERROR(__xludf.DUMMYFUNCTION("""COMPUTED_VALUE"""),0.0)</f>
        <v>0</v>
      </c>
      <c r="AB508" s="11">
        <f>IFERROR(__xludf.DUMMYFUNCTION("""COMPUTED_VALUE"""),1.0)</f>
        <v>1</v>
      </c>
      <c r="AC508" s="11">
        <f>IFERROR(__xludf.DUMMYFUNCTION("""COMPUTED_VALUE"""),38.0)</f>
        <v>38</v>
      </c>
      <c r="AD508" s="11">
        <f>IFERROR(__xludf.DUMMYFUNCTION("""COMPUTED_VALUE"""),24.0)</f>
        <v>24</v>
      </c>
    </row>
    <row r="509">
      <c r="A509" s="10" t="str">
        <f>IFERROR(__xludf.DUMMYFUNCTION("""COMPUTED_VALUE"""),"Prospect")</f>
        <v>Prospect</v>
      </c>
      <c r="B509" s="10" t="str">
        <f>IFERROR(__xludf.DUMMYFUNCTION("""COMPUTED_VALUE"""),"RSC006422")</f>
        <v>RSC006422</v>
      </c>
      <c r="C509" s="10" t="str">
        <f>IFERROR(__xludf.DUMMYFUNCTION("""COMPUTED_VALUE"""),"HuggingThor")</f>
        <v>HuggingThor</v>
      </c>
      <c r="D509" s="36" t="str">
        <f>IFERROR(__xludf.DUMMYFUNCTION("""COMPUTED_VALUE"""),"Blacktips
Tic Tacs")</f>
        <v>Blacktips
Tic Tacs</v>
      </c>
      <c r="E509" s="10" t="str">
        <f>IFERROR(__xludf.DUMMYFUNCTION("""COMPUTED_VALUE"""),"N/A
N/A")</f>
        <v>N/A
N/A</v>
      </c>
      <c r="F509" s="37">
        <f>IFERROR(__xludf.DUMMYFUNCTION("""COMPUTED_VALUE"""),28.578342374714687)</f>
        <v>28.57834237</v>
      </c>
      <c r="G509" s="38">
        <f>IFERROR(__xludf.DUMMYFUNCTION("""COMPUTED_VALUE"""),8.985546469680322)</f>
        <v>8.98554647</v>
      </c>
      <c r="H509" s="38">
        <f>IFERROR(__xludf.DUMMYFUNCTION("""COMPUTED_VALUE"""),18.781944422197505)</f>
        <v>18.78194442</v>
      </c>
      <c r="I509" s="14">
        <f>IFERROR(__xludf.DUMMYFUNCTION("""COMPUTED_VALUE"""),5.0)</f>
        <v>5</v>
      </c>
      <c r="J509" s="11">
        <f>IFERROR(__xludf.DUMMYFUNCTION("IFERROR(FILTER(Stats!$F:$Z,(Stats!$A:$A=$A509)*(Stats!$B:$B=$B509)))"),3.0)</f>
        <v>3</v>
      </c>
      <c r="K509" s="11">
        <f>IFERROR(__xludf.DUMMYFUNCTION("""COMPUTED_VALUE"""),2.0)</f>
        <v>2</v>
      </c>
      <c r="L509" s="12">
        <f>IFERROR(__xludf.DUMMYFUNCTION("""COMPUTED_VALUE"""),0.6)</f>
        <v>0.6</v>
      </c>
      <c r="M509" s="11">
        <f>IFERROR(__xludf.DUMMYFUNCTION("""COMPUTED_VALUE"""),0.0)</f>
        <v>0</v>
      </c>
      <c r="N509" s="11">
        <f>IFERROR(__xludf.DUMMYFUNCTION("""COMPUTED_VALUE"""),1167.0)</f>
        <v>1167</v>
      </c>
      <c r="O509" s="13">
        <f>IFERROR(__xludf.DUMMYFUNCTION("""COMPUTED_VALUE"""),1.0)</f>
        <v>1</v>
      </c>
      <c r="P509" s="14">
        <f>IFERROR(__xludf.DUMMYFUNCTION("""COMPUTED_VALUE"""),4.0)</f>
        <v>4</v>
      </c>
      <c r="Q509" s="13">
        <f>IFERROR(__xludf.DUMMYFUNCTION("""COMPUTED_VALUE"""),4.0)</f>
        <v>4</v>
      </c>
      <c r="R509" s="13">
        <f>IFERROR(__xludf.DUMMYFUNCTION("""COMPUTED_VALUE"""),4.0)</f>
        <v>4</v>
      </c>
      <c r="S509" s="15">
        <f>IFERROR(__xludf.DUMMYFUNCTION("""COMPUTED_VALUE"""),0.25)</f>
        <v>0.25</v>
      </c>
      <c r="T509" s="16">
        <f>IFERROR(__xludf.DUMMYFUNCTION("""COMPUTED_VALUE"""),233.4)</f>
        <v>233.4</v>
      </c>
      <c r="U509" s="16">
        <f>IFERROR(__xludf.DUMMYFUNCTION("""COMPUTED_VALUE"""),0.2)</f>
        <v>0.2</v>
      </c>
      <c r="V509" s="16">
        <f>IFERROR(__xludf.DUMMYFUNCTION("""COMPUTED_VALUE"""),0.8)</f>
        <v>0.8</v>
      </c>
      <c r="W509" s="16">
        <f>IFERROR(__xludf.DUMMYFUNCTION("""COMPUTED_VALUE"""),0.8)</f>
        <v>0.8</v>
      </c>
      <c r="X509" s="16">
        <f>IFERROR(__xludf.DUMMYFUNCTION("""COMPUTED_VALUE"""),0.8)</f>
        <v>0.8</v>
      </c>
      <c r="Y509" s="11">
        <f>IFERROR(__xludf.DUMMYFUNCTION("""COMPUTED_VALUE"""),0.0)</f>
        <v>0</v>
      </c>
      <c r="Z509" s="11">
        <f>IFERROR(__xludf.DUMMYFUNCTION("""COMPUTED_VALUE"""),0.0)</f>
        <v>0</v>
      </c>
      <c r="AA509" s="11">
        <f>IFERROR(__xludf.DUMMYFUNCTION("""COMPUTED_VALUE"""),0.0)</f>
        <v>0</v>
      </c>
      <c r="AB509" s="11">
        <f>IFERROR(__xludf.DUMMYFUNCTION("""COMPUTED_VALUE"""),0.0)</f>
        <v>0</v>
      </c>
      <c r="AC509" s="11">
        <f>IFERROR(__xludf.DUMMYFUNCTION("""COMPUTED_VALUE"""),5.0)</f>
        <v>5</v>
      </c>
      <c r="AD509" s="11">
        <f>IFERROR(__xludf.DUMMYFUNCTION("""COMPUTED_VALUE"""),3.0)</f>
        <v>3</v>
      </c>
    </row>
    <row r="510">
      <c r="A510" s="10" t="str">
        <f>IFERROR(__xludf.DUMMYFUNCTION("""COMPUTED_VALUE"""),"Prospect")</f>
        <v>Prospect</v>
      </c>
      <c r="B510" s="10" t="str">
        <f>IFERROR(__xludf.DUMMYFUNCTION("""COMPUTED_VALUE"""),"RSC008435")</f>
        <v>RSC008435</v>
      </c>
      <c r="C510" s="10" t="str">
        <f>IFERROR(__xludf.DUMMYFUNCTION("""COMPUTED_VALUE"""),"ReformedMike")</f>
        <v>ReformedMike</v>
      </c>
      <c r="D510" s="36" t="str">
        <f>IFERROR(__xludf.DUMMYFUNCTION("""COMPUTED_VALUE"""),"Skeletons")</f>
        <v>Skeletons</v>
      </c>
      <c r="E510" s="10" t="str">
        <f>IFERROR(__xludf.DUMMYFUNCTION("""COMPUTED_VALUE"""),"N/A")</f>
        <v>N/A</v>
      </c>
      <c r="F510" s="37">
        <f>IFERROR(__xludf.DUMMYFUNCTION("""COMPUTED_VALUE"""),22.385123999506202)</f>
        <v>22.385124</v>
      </c>
      <c r="G510" s="38">
        <f>IFERROR(__xludf.DUMMYFUNCTION("""COMPUTED_VALUE"""),13.550213617136684)</f>
        <v>13.55021362</v>
      </c>
      <c r="H510" s="38">
        <f>IFERROR(__xludf.DUMMYFUNCTION("""COMPUTED_VALUE"""),17.96766880832144)</f>
        <v>17.96766881</v>
      </c>
      <c r="I510" s="14">
        <f>IFERROR(__xludf.DUMMYFUNCTION("""COMPUTED_VALUE"""),14.0)</f>
        <v>14</v>
      </c>
      <c r="J510" s="11">
        <f>IFERROR(__xludf.DUMMYFUNCTION("IFERROR(FILTER(Stats!$F:$Z,(Stats!$A:$A=$A510)*(Stats!$B:$B=$B510)))"),6.0)</f>
        <v>6</v>
      </c>
      <c r="K510" s="11">
        <f>IFERROR(__xludf.DUMMYFUNCTION("""COMPUTED_VALUE"""),8.0)</f>
        <v>8</v>
      </c>
      <c r="L510" s="12">
        <f>IFERROR(__xludf.DUMMYFUNCTION("""COMPUTED_VALUE"""),0.42857142857142855)</f>
        <v>0.4285714286</v>
      </c>
      <c r="M510" s="11">
        <f>IFERROR(__xludf.DUMMYFUNCTION("""COMPUTED_VALUE"""),2.0)</f>
        <v>2</v>
      </c>
      <c r="N510" s="11">
        <f>IFERROR(__xludf.DUMMYFUNCTION("""COMPUTED_VALUE"""),3991.0)</f>
        <v>3991</v>
      </c>
      <c r="O510" s="13">
        <f>IFERROR(__xludf.DUMMYFUNCTION("""COMPUTED_VALUE"""),7.0)</f>
        <v>7</v>
      </c>
      <c r="P510" s="14">
        <f>IFERROR(__xludf.DUMMYFUNCTION("""COMPUTED_VALUE"""),5.0)</f>
        <v>5</v>
      </c>
      <c r="Q510" s="13">
        <f>IFERROR(__xludf.DUMMYFUNCTION("""COMPUTED_VALUE"""),21.0)</f>
        <v>21</v>
      </c>
      <c r="R510" s="13">
        <f>IFERROR(__xludf.DUMMYFUNCTION("""COMPUTED_VALUE"""),18.0)</f>
        <v>18</v>
      </c>
      <c r="S510" s="15">
        <f>IFERROR(__xludf.DUMMYFUNCTION("""COMPUTED_VALUE"""),0.3888888888888889)</f>
        <v>0.3888888889</v>
      </c>
      <c r="T510" s="16">
        <f>IFERROR(__xludf.DUMMYFUNCTION("""COMPUTED_VALUE"""),285.07142857142856)</f>
        <v>285.0714286</v>
      </c>
      <c r="U510" s="16">
        <f>IFERROR(__xludf.DUMMYFUNCTION("""COMPUTED_VALUE"""),0.5)</f>
        <v>0.5</v>
      </c>
      <c r="V510" s="16">
        <f>IFERROR(__xludf.DUMMYFUNCTION("""COMPUTED_VALUE"""),0.35714285714285715)</f>
        <v>0.3571428571</v>
      </c>
      <c r="W510" s="16">
        <f>IFERROR(__xludf.DUMMYFUNCTION("""COMPUTED_VALUE"""),1.5)</f>
        <v>1.5</v>
      </c>
      <c r="X510" s="16">
        <f>IFERROR(__xludf.DUMMYFUNCTION("""COMPUTED_VALUE"""),1.2857142857142858)</f>
        <v>1.285714286</v>
      </c>
      <c r="Y510" s="11">
        <f>IFERROR(__xludf.DUMMYFUNCTION("""COMPUTED_VALUE"""),1.0)</f>
        <v>1</v>
      </c>
      <c r="Z510" s="11">
        <f>IFERROR(__xludf.DUMMYFUNCTION("""COMPUTED_VALUE"""),0.0)</f>
        <v>0</v>
      </c>
      <c r="AA510" s="11">
        <f>IFERROR(__xludf.DUMMYFUNCTION("""COMPUTED_VALUE"""),0.0)</f>
        <v>0</v>
      </c>
      <c r="AB510" s="11">
        <f>IFERROR(__xludf.DUMMYFUNCTION("""COMPUTED_VALUE"""),2.0)</f>
        <v>2</v>
      </c>
      <c r="AC510" s="11">
        <f>IFERROR(__xludf.DUMMYFUNCTION("""COMPUTED_VALUE"""),8.0)</f>
        <v>8</v>
      </c>
      <c r="AD510" s="11">
        <f>IFERROR(__xludf.DUMMYFUNCTION("""COMPUTED_VALUE"""),18.0)</f>
        <v>18</v>
      </c>
    </row>
    <row r="511">
      <c r="A511" s="10" t="str">
        <f>IFERROR(__xludf.DUMMYFUNCTION("""COMPUTED_VALUE"""),"Prospect")</f>
        <v>Prospect</v>
      </c>
      <c r="B511" s="10" t="str">
        <f>IFERROR(__xludf.DUMMYFUNCTION("""COMPUTED_VALUE"""),"RSC006381")</f>
        <v>RSC006381</v>
      </c>
      <c r="C511" s="10" t="str">
        <f>IFERROR(__xludf.DUMMYFUNCTION("""COMPUTED_VALUE"""),"YERP_YERP02")</f>
        <v>YERP_YERP02</v>
      </c>
      <c r="D511" s="36" t="str">
        <f>IFERROR(__xludf.DUMMYFUNCTION("""COMPUTED_VALUE"""),"Piranhas
Honey Badgers")</f>
        <v>Piranhas
Honey Badgers</v>
      </c>
      <c r="E511" s="10" t="str">
        <f>IFERROR(__xludf.DUMMYFUNCTION("""COMPUTED_VALUE"""),"N/A
N/A")</f>
        <v>N/A
N/A</v>
      </c>
      <c r="F511" s="37">
        <f>IFERROR(__xludf.DUMMYFUNCTION("""COMPUTED_VALUE"""),6.552793763575309)</f>
        <v>6.552793764</v>
      </c>
      <c r="G511" s="38">
        <f>IFERROR(__xludf.DUMMYFUNCTION("""COMPUTED_VALUE"""),6.092913241161568)</f>
        <v>6.092913241</v>
      </c>
      <c r="H511" s="38">
        <f>IFERROR(__xludf.DUMMYFUNCTION("""COMPUTED_VALUE"""),6.322853502368439)</f>
        <v>6.322853502</v>
      </c>
      <c r="I511" s="14">
        <f>IFERROR(__xludf.DUMMYFUNCTION("""COMPUTED_VALUE"""),24.0)</f>
        <v>24</v>
      </c>
      <c r="J511" s="11">
        <f>IFERROR(__xludf.DUMMYFUNCTION("IFERROR(FILTER(Stats!$F:$Z,(Stats!$A:$A=$A511)*(Stats!$B:$B=$B511)))"),6.0)</f>
        <v>6</v>
      </c>
      <c r="K511" s="11">
        <f>IFERROR(__xludf.DUMMYFUNCTION("""COMPUTED_VALUE"""),18.0)</f>
        <v>18</v>
      </c>
      <c r="L511" s="12">
        <f>IFERROR(__xludf.DUMMYFUNCTION("""COMPUTED_VALUE"""),0.25)</f>
        <v>0.25</v>
      </c>
      <c r="M511" s="11">
        <f>IFERROR(__xludf.DUMMYFUNCTION("""COMPUTED_VALUE"""),0.0)</f>
        <v>0</v>
      </c>
      <c r="N511" s="11">
        <f>IFERROR(__xludf.DUMMYFUNCTION("""COMPUTED_VALUE"""),5522.0)</f>
        <v>5522</v>
      </c>
      <c r="O511" s="13">
        <f>IFERROR(__xludf.DUMMYFUNCTION("""COMPUTED_VALUE"""),6.0)</f>
        <v>6</v>
      </c>
      <c r="P511" s="14">
        <f>IFERROR(__xludf.DUMMYFUNCTION("""COMPUTED_VALUE"""),11.0)</f>
        <v>11</v>
      </c>
      <c r="Q511" s="13">
        <f>IFERROR(__xludf.DUMMYFUNCTION("""COMPUTED_VALUE"""),15.0)</f>
        <v>15</v>
      </c>
      <c r="R511" s="13">
        <f>IFERROR(__xludf.DUMMYFUNCTION("""COMPUTED_VALUE"""),44.0)</f>
        <v>44</v>
      </c>
      <c r="S511" s="15">
        <f>IFERROR(__xludf.DUMMYFUNCTION("""COMPUTED_VALUE"""),0.13636363636363635)</f>
        <v>0.1363636364</v>
      </c>
      <c r="T511" s="16">
        <f>IFERROR(__xludf.DUMMYFUNCTION("""COMPUTED_VALUE"""),230.08333333333334)</f>
        <v>230.0833333</v>
      </c>
      <c r="U511" s="16">
        <f>IFERROR(__xludf.DUMMYFUNCTION("""COMPUTED_VALUE"""),0.25)</f>
        <v>0.25</v>
      </c>
      <c r="V511" s="16">
        <f>IFERROR(__xludf.DUMMYFUNCTION("""COMPUTED_VALUE"""),0.4583333333333333)</f>
        <v>0.4583333333</v>
      </c>
      <c r="W511" s="16">
        <f>IFERROR(__xludf.DUMMYFUNCTION("""COMPUTED_VALUE"""),0.625)</f>
        <v>0.625</v>
      </c>
      <c r="X511" s="16">
        <f>IFERROR(__xludf.DUMMYFUNCTION("""COMPUTED_VALUE"""),1.8333333333333333)</f>
        <v>1.833333333</v>
      </c>
      <c r="Y511" s="11">
        <f>IFERROR(__xludf.DUMMYFUNCTION("""COMPUTED_VALUE"""),1.0)</f>
        <v>1</v>
      </c>
      <c r="Z511" s="11">
        <f>IFERROR(__xludf.DUMMYFUNCTION("""COMPUTED_VALUE"""),0.0)</f>
        <v>0</v>
      </c>
      <c r="AA511" s="11">
        <f>IFERROR(__xludf.DUMMYFUNCTION("""COMPUTED_VALUE"""),1.0)</f>
        <v>1</v>
      </c>
      <c r="AB511" s="11">
        <f>IFERROR(__xludf.DUMMYFUNCTION("""COMPUTED_VALUE"""),1.0)</f>
        <v>1</v>
      </c>
      <c r="AC511" s="11">
        <f>IFERROR(__xludf.DUMMYFUNCTION("""COMPUTED_VALUE"""),24.0)</f>
        <v>24</v>
      </c>
      <c r="AD511" s="11">
        <f>IFERROR(__xludf.DUMMYFUNCTION("""COMPUTED_VALUE"""),24.0)</f>
        <v>24</v>
      </c>
    </row>
    <row r="512">
      <c r="A512" s="10" t="str">
        <f>IFERROR(__xludf.DUMMYFUNCTION("""COMPUTED_VALUE"""),"Prospect")</f>
        <v>Prospect</v>
      </c>
      <c r="B512" s="10" t="str">
        <f>IFERROR(__xludf.DUMMYFUNCTION("""COMPUTED_VALUE"""),"RSC005527")</f>
        <v>RSC005527</v>
      </c>
      <c r="C512" s="10" t="str">
        <f>IFERROR(__xludf.DUMMYFUNCTION("""COMPUTED_VALUE"""),"Colossus4203316")</f>
        <v>Colossus4203316</v>
      </c>
      <c r="D512" s="36" t="str">
        <f>IFERROR(__xludf.DUMMYFUNCTION("""COMPUTED_VALUE"""),"Skeletons
Tic Tacs")</f>
        <v>Skeletons
Tic Tacs</v>
      </c>
      <c r="E512" s="10" t="str">
        <f>IFERROR(__xludf.DUMMYFUNCTION("""COMPUTED_VALUE"""),"N/A
N/A")</f>
        <v>N/A
N/A</v>
      </c>
      <c r="F512" s="37">
        <f>IFERROR(__xludf.DUMMYFUNCTION("""COMPUTED_VALUE"""),10.844929209950642)</f>
        <v>10.84492921</v>
      </c>
      <c r="G512" s="38">
        <f>IFERROR(__xludf.DUMMYFUNCTION("""COMPUTED_VALUE"""),0.5023034372670452)</f>
        <v>0.5023034373</v>
      </c>
      <c r="H512" s="38">
        <f>IFERROR(__xludf.DUMMYFUNCTION("""COMPUTED_VALUE"""),5.673616323608844)</f>
        <v>5.673616324</v>
      </c>
      <c r="I512" s="14">
        <f>IFERROR(__xludf.DUMMYFUNCTION("""COMPUTED_VALUE"""),40.0)</f>
        <v>40</v>
      </c>
      <c r="J512" s="11">
        <f>IFERROR(__xludf.DUMMYFUNCTION("IFERROR(FILTER(Stats!$F:$Z,(Stats!$A:$A=$A512)*(Stats!$B:$B=$B512)))"),10.0)</f>
        <v>10</v>
      </c>
      <c r="K512" s="11">
        <f>IFERROR(__xludf.DUMMYFUNCTION("""COMPUTED_VALUE"""),30.0)</f>
        <v>30</v>
      </c>
      <c r="L512" s="12">
        <f>IFERROR(__xludf.DUMMYFUNCTION("""COMPUTED_VALUE"""),0.25)</f>
        <v>0.25</v>
      </c>
      <c r="M512" s="11">
        <f>IFERROR(__xludf.DUMMYFUNCTION("""COMPUTED_VALUE"""),3.0)</f>
        <v>3</v>
      </c>
      <c r="N512" s="11">
        <f>IFERROR(__xludf.DUMMYFUNCTION("""COMPUTED_VALUE"""),9674.0)</f>
        <v>9674</v>
      </c>
      <c r="O512" s="13">
        <f>IFERROR(__xludf.DUMMYFUNCTION("""COMPUTED_VALUE"""),20.0)</f>
        <v>20</v>
      </c>
      <c r="P512" s="14">
        <f>IFERROR(__xludf.DUMMYFUNCTION("""COMPUTED_VALUE"""),13.0)</f>
        <v>13</v>
      </c>
      <c r="Q512" s="13">
        <f>IFERROR(__xludf.DUMMYFUNCTION("""COMPUTED_VALUE"""),42.0)</f>
        <v>42</v>
      </c>
      <c r="R512" s="13">
        <f>IFERROR(__xludf.DUMMYFUNCTION("""COMPUTED_VALUE"""),51.0)</f>
        <v>51</v>
      </c>
      <c r="S512" s="15">
        <f>IFERROR(__xludf.DUMMYFUNCTION("""COMPUTED_VALUE"""),0.39215686274509803)</f>
        <v>0.3921568627</v>
      </c>
      <c r="T512" s="16">
        <f>IFERROR(__xludf.DUMMYFUNCTION("""COMPUTED_VALUE"""),241.85)</f>
        <v>241.85</v>
      </c>
      <c r="U512" s="16">
        <f>IFERROR(__xludf.DUMMYFUNCTION("""COMPUTED_VALUE"""),0.5)</f>
        <v>0.5</v>
      </c>
      <c r="V512" s="16">
        <f>IFERROR(__xludf.DUMMYFUNCTION("""COMPUTED_VALUE"""),0.325)</f>
        <v>0.325</v>
      </c>
      <c r="W512" s="16">
        <f>IFERROR(__xludf.DUMMYFUNCTION("""COMPUTED_VALUE"""),1.05)</f>
        <v>1.05</v>
      </c>
      <c r="X512" s="16">
        <f>IFERROR(__xludf.DUMMYFUNCTION("""COMPUTED_VALUE"""),1.275)</f>
        <v>1.275</v>
      </c>
      <c r="Y512" s="11">
        <f>IFERROR(__xludf.DUMMYFUNCTION("""COMPUTED_VALUE"""),2.0)</f>
        <v>2</v>
      </c>
      <c r="Z512" s="11">
        <f>IFERROR(__xludf.DUMMYFUNCTION("""COMPUTED_VALUE"""),0.0)</f>
        <v>0</v>
      </c>
      <c r="AA512" s="11">
        <f>IFERROR(__xludf.DUMMYFUNCTION("""COMPUTED_VALUE"""),1.0)</f>
        <v>1</v>
      </c>
      <c r="AB512" s="11">
        <f>IFERROR(__xludf.DUMMYFUNCTION("""COMPUTED_VALUE"""),5.0)</f>
        <v>5</v>
      </c>
      <c r="AC512" s="11">
        <f>IFERROR(__xludf.DUMMYFUNCTION("""COMPUTED_VALUE"""),41.0)</f>
        <v>41</v>
      </c>
      <c r="AD512" s="11">
        <f>IFERROR(__xludf.DUMMYFUNCTION("""COMPUTED_VALUE"""),49.0)</f>
        <v>49</v>
      </c>
    </row>
    <row r="513">
      <c r="A513" s="10" t="str">
        <f>IFERROR(__xludf.DUMMYFUNCTION("""COMPUTED_VALUE"""),"Prospect")</f>
        <v>Prospect</v>
      </c>
      <c r="B513" s="10" t="str">
        <f>IFERROR(__xludf.DUMMYFUNCTION("""COMPUTED_VALUE"""),"RSC007513")</f>
        <v>RSC007513</v>
      </c>
      <c r="C513" s="10" t="str">
        <f>IFERROR(__xludf.DUMMYFUNCTION("""COMPUTED_VALUE"""),"Russ")</f>
        <v>Russ</v>
      </c>
      <c r="D513" s="36" t="str">
        <f>IFERROR(__xludf.DUMMYFUNCTION("""COMPUTED_VALUE"""),"Earth")</f>
        <v>Earth</v>
      </c>
      <c r="E513" s="10" t="str">
        <f>IFERROR(__xludf.DUMMYFUNCTION("""COMPUTED_VALUE"""),"N/A")</f>
        <v>N/A</v>
      </c>
      <c r="F513" s="37">
        <f>IFERROR(__xludf.DUMMYFUNCTION("""COMPUTED_VALUE"""),0.2581042308302983)</f>
        <v>0.2581042308</v>
      </c>
      <c r="G513" s="38">
        <f>IFERROR(__xludf.DUMMYFUNCTION("""COMPUTED_VALUE"""),-5.368837991782904)</f>
        <v>-5.368837992</v>
      </c>
      <c r="H513" s="38">
        <f>IFERROR(__xludf.DUMMYFUNCTION("""COMPUTED_VALUE"""),-2.555366880476303)</f>
        <v>-2.55536688</v>
      </c>
      <c r="I513" s="14">
        <f>IFERROR(__xludf.DUMMYFUNCTION("""COMPUTED_VALUE"""),19.0)</f>
        <v>19</v>
      </c>
      <c r="J513" s="11">
        <f>IFERROR(__xludf.DUMMYFUNCTION("IFERROR(FILTER(Stats!$F:$Z,(Stats!$A:$A=$A513)*(Stats!$B:$B=$B513)))"),4.0)</f>
        <v>4</v>
      </c>
      <c r="K513" s="11">
        <f>IFERROR(__xludf.DUMMYFUNCTION("""COMPUTED_VALUE"""),15.0)</f>
        <v>15</v>
      </c>
      <c r="L513" s="12">
        <f>IFERROR(__xludf.DUMMYFUNCTION("""COMPUTED_VALUE"""),0.21052631578947367)</f>
        <v>0.2105263158</v>
      </c>
      <c r="M513" s="11">
        <f>IFERROR(__xludf.DUMMYFUNCTION("""COMPUTED_VALUE"""),1.0)</f>
        <v>1</v>
      </c>
      <c r="N513" s="11">
        <f>IFERROR(__xludf.DUMMYFUNCTION("""COMPUTED_VALUE"""),4372.0)</f>
        <v>4372</v>
      </c>
      <c r="O513" s="13">
        <f>IFERROR(__xludf.DUMMYFUNCTION("""COMPUTED_VALUE"""),6.0)</f>
        <v>6</v>
      </c>
      <c r="P513" s="14">
        <f>IFERROR(__xludf.DUMMYFUNCTION("""COMPUTED_VALUE"""),7.0)</f>
        <v>7</v>
      </c>
      <c r="Q513" s="13">
        <f>IFERROR(__xludf.DUMMYFUNCTION("""COMPUTED_VALUE"""),16.0)</f>
        <v>16</v>
      </c>
      <c r="R513" s="13">
        <f>IFERROR(__xludf.DUMMYFUNCTION("""COMPUTED_VALUE"""),25.0)</f>
        <v>25</v>
      </c>
      <c r="S513" s="15">
        <f>IFERROR(__xludf.DUMMYFUNCTION("""COMPUTED_VALUE"""),0.24)</f>
        <v>0.24</v>
      </c>
      <c r="T513" s="16">
        <f>IFERROR(__xludf.DUMMYFUNCTION("""COMPUTED_VALUE"""),230.10526315789474)</f>
        <v>230.1052632</v>
      </c>
      <c r="U513" s="16">
        <f>IFERROR(__xludf.DUMMYFUNCTION("""COMPUTED_VALUE"""),0.3157894736842105)</f>
        <v>0.3157894737</v>
      </c>
      <c r="V513" s="16">
        <f>IFERROR(__xludf.DUMMYFUNCTION("""COMPUTED_VALUE"""),0.3684210526315789)</f>
        <v>0.3684210526</v>
      </c>
      <c r="W513" s="16">
        <f>IFERROR(__xludf.DUMMYFUNCTION("""COMPUTED_VALUE"""),0.8421052631578947)</f>
        <v>0.8421052632</v>
      </c>
      <c r="X513" s="16">
        <f>IFERROR(__xludf.DUMMYFUNCTION("""COMPUTED_VALUE"""),1.3157894736842106)</f>
        <v>1.315789474</v>
      </c>
      <c r="Y513" s="11">
        <f>IFERROR(__xludf.DUMMYFUNCTION("""COMPUTED_VALUE"""),2.0)</f>
        <v>2</v>
      </c>
      <c r="Z513" s="11">
        <f>IFERROR(__xludf.DUMMYFUNCTION("""COMPUTED_VALUE"""),0.0)</f>
        <v>0</v>
      </c>
      <c r="AA513" s="11">
        <f>IFERROR(__xludf.DUMMYFUNCTION("""COMPUTED_VALUE"""),0.0)</f>
        <v>0</v>
      </c>
      <c r="AB513" s="11">
        <f>IFERROR(__xludf.DUMMYFUNCTION("""COMPUTED_VALUE"""),1.0)</f>
        <v>1</v>
      </c>
      <c r="AC513" s="11">
        <f>IFERROR(__xludf.DUMMYFUNCTION("""COMPUTED_VALUE"""),12.0)</f>
        <v>12</v>
      </c>
      <c r="AD513" s="11">
        <f>IFERROR(__xludf.DUMMYFUNCTION("""COMPUTED_VALUE"""),21.0)</f>
        <v>21</v>
      </c>
    </row>
    <row r="514">
      <c r="A514" s="10" t="str">
        <f>IFERROR(__xludf.DUMMYFUNCTION("""COMPUTED_VALUE"""),"Prospect")</f>
        <v>Prospect</v>
      </c>
      <c r="B514" s="10" t="str">
        <f>IFERROR(__xludf.DUMMYFUNCTION("""COMPUTED_VALUE"""),"RSC008126")</f>
        <v>RSC008126</v>
      </c>
      <c r="C514" s="10" t="str">
        <f>IFERROR(__xludf.DUMMYFUNCTION("""COMPUTED_VALUE"""),"Zuuhan")</f>
        <v>Zuuhan</v>
      </c>
      <c r="D514" s="36" t="str">
        <f>IFERROR(__xludf.DUMMYFUNCTION("""COMPUTED_VALUE"""),"Blacktips")</f>
        <v>Blacktips</v>
      </c>
      <c r="E514" s="10" t="str">
        <f>IFERROR(__xludf.DUMMYFUNCTION("""COMPUTED_VALUE"""),"N/A")</f>
        <v>N/A</v>
      </c>
      <c r="F514" s="37">
        <f>IFERROR(__xludf.DUMMYFUNCTION("""COMPUTED_VALUE"""),-10.232499099650418)</f>
        <v>-10.2324991</v>
      </c>
      <c r="G514" s="38">
        <f>IFERROR(__xludf.DUMMYFUNCTION("""COMPUTED_VALUE"""),0.010697442460831041)</f>
        <v>0.01069744246</v>
      </c>
      <c r="H514" s="38">
        <f>IFERROR(__xludf.DUMMYFUNCTION("""COMPUTED_VALUE"""),-5.110900828594794)</f>
        <v>-5.110900829</v>
      </c>
      <c r="I514" s="14">
        <f>IFERROR(__xludf.DUMMYFUNCTION("""COMPUTED_VALUE"""),9.0)</f>
        <v>9</v>
      </c>
      <c r="J514" s="11">
        <f>IFERROR(__xludf.DUMMYFUNCTION("IFERROR(FILTER(Stats!$F:$Z,(Stats!$A:$A=$A514)*(Stats!$B:$B=$B514)))"),2.0)</f>
        <v>2</v>
      </c>
      <c r="K514" s="11">
        <f>IFERROR(__xludf.DUMMYFUNCTION("""COMPUTED_VALUE"""),7.0)</f>
        <v>7</v>
      </c>
      <c r="L514" s="12">
        <f>IFERROR(__xludf.DUMMYFUNCTION("""COMPUTED_VALUE"""),0.2222222222222222)</f>
        <v>0.2222222222</v>
      </c>
      <c r="M514" s="11">
        <f>IFERROR(__xludf.DUMMYFUNCTION("""COMPUTED_VALUE"""),0.0)</f>
        <v>0</v>
      </c>
      <c r="N514" s="11">
        <f>IFERROR(__xludf.DUMMYFUNCTION("""COMPUTED_VALUE"""),1674.0)</f>
        <v>1674</v>
      </c>
      <c r="O514" s="13">
        <f>IFERROR(__xludf.DUMMYFUNCTION("""COMPUTED_VALUE"""),4.0)</f>
        <v>4</v>
      </c>
      <c r="P514" s="14">
        <f>IFERROR(__xludf.DUMMYFUNCTION("""COMPUTED_VALUE"""),3.0)</f>
        <v>3</v>
      </c>
      <c r="Q514" s="13">
        <f>IFERROR(__xludf.DUMMYFUNCTION("""COMPUTED_VALUE"""),5.0)</f>
        <v>5</v>
      </c>
      <c r="R514" s="13">
        <f>IFERROR(__xludf.DUMMYFUNCTION("""COMPUTED_VALUE"""),13.0)</f>
        <v>13</v>
      </c>
      <c r="S514" s="15">
        <f>IFERROR(__xludf.DUMMYFUNCTION("""COMPUTED_VALUE"""),0.3076923076923077)</f>
        <v>0.3076923077</v>
      </c>
      <c r="T514" s="16">
        <f>IFERROR(__xludf.DUMMYFUNCTION("""COMPUTED_VALUE"""),186.0)</f>
        <v>186</v>
      </c>
      <c r="U514" s="16">
        <f>IFERROR(__xludf.DUMMYFUNCTION("""COMPUTED_VALUE"""),0.4444444444444444)</f>
        <v>0.4444444444</v>
      </c>
      <c r="V514" s="16">
        <f>IFERROR(__xludf.DUMMYFUNCTION("""COMPUTED_VALUE"""),0.3333333333333333)</f>
        <v>0.3333333333</v>
      </c>
      <c r="W514" s="16">
        <f>IFERROR(__xludf.DUMMYFUNCTION("""COMPUTED_VALUE"""),0.5555555555555556)</f>
        <v>0.5555555556</v>
      </c>
      <c r="X514" s="16">
        <f>IFERROR(__xludf.DUMMYFUNCTION("""COMPUTED_VALUE"""),1.4444444444444444)</f>
        <v>1.444444444</v>
      </c>
      <c r="Y514" s="11">
        <f>IFERROR(__xludf.DUMMYFUNCTION("""COMPUTED_VALUE"""),0.0)</f>
        <v>0</v>
      </c>
      <c r="Z514" s="11">
        <f>IFERROR(__xludf.DUMMYFUNCTION("""COMPUTED_VALUE"""),0.0)</f>
        <v>0</v>
      </c>
      <c r="AA514" s="11">
        <f>IFERROR(__xludf.DUMMYFUNCTION("""COMPUTED_VALUE"""),0.0)</f>
        <v>0</v>
      </c>
      <c r="AB514" s="11">
        <f>IFERROR(__xludf.DUMMYFUNCTION("""COMPUTED_VALUE"""),0.0)</f>
        <v>0</v>
      </c>
      <c r="AC514" s="11">
        <f>IFERROR(__xludf.DUMMYFUNCTION("""COMPUTED_VALUE"""),9.0)</f>
        <v>9</v>
      </c>
      <c r="AD514" s="11">
        <f>IFERROR(__xludf.DUMMYFUNCTION("""COMPUTED_VALUE"""),5.0)</f>
        <v>5</v>
      </c>
    </row>
    <row r="515">
      <c r="A515" s="10" t="str">
        <f>IFERROR(__xludf.DUMMYFUNCTION("""COMPUTED_VALUE"""),"Rival")</f>
        <v>Rival</v>
      </c>
      <c r="B515" s="10" t="str">
        <f>IFERROR(__xludf.DUMMYFUNCTION("""COMPUTED_VALUE"""),"RSC007035")</f>
        <v>RSC007035</v>
      </c>
      <c r="C515" s="10" t="str">
        <f>IFERROR(__xludf.DUMMYFUNCTION("""COMPUTED_VALUE"""),"swah-")</f>
        <v>swah-</v>
      </c>
      <c r="D515" s="36" t="str">
        <f>IFERROR(__xludf.DUMMYFUNCTION("""COMPUTED_VALUE"""),"Phoenix")</f>
        <v>Phoenix</v>
      </c>
      <c r="E515" s="10" t="str">
        <f>IFERROR(__xludf.DUMMYFUNCTION("""COMPUTED_VALUE"""),"Solar")</f>
        <v>Solar</v>
      </c>
      <c r="F515" s="37">
        <f>IFERROR(__xludf.DUMMYFUNCTION("""COMPUTED_VALUE"""),93.67255446281067)</f>
        <v>93.67255446</v>
      </c>
      <c r="G515" s="38">
        <f>IFERROR(__xludf.DUMMYFUNCTION("""COMPUTED_VALUE"""),110.36332254384078)</f>
        <v>110.3633225</v>
      </c>
      <c r="H515" s="38">
        <f>IFERROR(__xludf.DUMMYFUNCTION("""COMPUTED_VALUE"""),102.01793850332572)</f>
        <v>102.0179385</v>
      </c>
      <c r="I515" s="14">
        <f>IFERROR(__xludf.DUMMYFUNCTION("""COMPUTED_VALUE"""),35.0)</f>
        <v>35</v>
      </c>
      <c r="J515" s="11">
        <f>IFERROR(__xludf.DUMMYFUNCTION("IFERROR(FILTER(Stats!$F:$Z,(Stats!$A:$A=$A515)*(Stats!$B:$B=$B515)))"),24.0)</f>
        <v>24</v>
      </c>
      <c r="K515" s="11">
        <f>IFERROR(__xludf.DUMMYFUNCTION("""COMPUTED_VALUE"""),11.0)</f>
        <v>11</v>
      </c>
      <c r="L515" s="12">
        <f>IFERROR(__xludf.DUMMYFUNCTION("""COMPUTED_VALUE"""),0.6857142857142857)</f>
        <v>0.6857142857</v>
      </c>
      <c r="M515" s="11">
        <f>IFERROR(__xludf.DUMMYFUNCTION("""COMPUTED_VALUE"""),13.0)</f>
        <v>13</v>
      </c>
      <c r="N515" s="11">
        <f>IFERROR(__xludf.DUMMYFUNCTION("""COMPUTED_VALUE"""),16223.0)</f>
        <v>16223</v>
      </c>
      <c r="O515" s="13">
        <f>IFERROR(__xludf.DUMMYFUNCTION("""COMPUTED_VALUE"""),45.0)</f>
        <v>45</v>
      </c>
      <c r="P515" s="14">
        <f>IFERROR(__xludf.DUMMYFUNCTION("""COMPUTED_VALUE"""),24.0)</f>
        <v>24</v>
      </c>
      <c r="Q515" s="13">
        <f>IFERROR(__xludf.DUMMYFUNCTION("""COMPUTED_VALUE"""),49.0)</f>
        <v>49</v>
      </c>
      <c r="R515" s="13">
        <f>IFERROR(__xludf.DUMMYFUNCTION("""COMPUTED_VALUE"""),146.0)</f>
        <v>146</v>
      </c>
      <c r="S515" s="15">
        <f>IFERROR(__xludf.DUMMYFUNCTION("""COMPUTED_VALUE"""),0.3082191780821918)</f>
        <v>0.3082191781</v>
      </c>
      <c r="T515" s="16">
        <f>IFERROR(__xludf.DUMMYFUNCTION("""COMPUTED_VALUE"""),463.51428571428573)</f>
        <v>463.5142857</v>
      </c>
      <c r="U515" s="16">
        <f>IFERROR(__xludf.DUMMYFUNCTION("""COMPUTED_VALUE"""),1.2857142857142858)</f>
        <v>1.285714286</v>
      </c>
      <c r="V515" s="16">
        <f>IFERROR(__xludf.DUMMYFUNCTION("""COMPUTED_VALUE"""),0.6857142857142857)</f>
        <v>0.6857142857</v>
      </c>
      <c r="W515" s="16">
        <f>IFERROR(__xludf.DUMMYFUNCTION("""COMPUTED_VALUE"""),1.4)</f>
        <v>1.4</v>
      </c>
      <c r="X515" s="16">
        <f>IFERROR(__xludf.DUMMYFUNCTION("""COMPUTED_VALUE"""),4.171428571428572)</f>
        <v>4.171428571</v>
      </c>
      <c r="Y515" s="11">
        <f>IFERROR(__xludf.DUMMYFUNCTION("""COMPUTED_VALUE"""),9.0)</f>
        <v>9</v>
      </c>
      <c r="Z515" s="11">
        <f>IFERROR(__xludf.DUMMYFUNCTION("""COMPUTED_VALUE"""),5.0)</f>
        <v>5</v>
      </c>
      <c r="AA515" s="11">
        <f>IFERROR(__xludf.DUMMYFUNCTION("""COMPUTED_VALUE"""),1.0)</f>
        <v>1</v>
      </c>
      <c r="AB515" s="11">
        <f>IFERROR(__xludf.DUMMYFUNCTION("""COMPUTED_VALUE"""),5.0)</f>
        <v>5</v>
      </c>
      <c r="AC515" s="11">
        <f>IFERROR(__xludf.DUMMYFUNCTION("""COMPUTED_VALUE"""),22.0)</f>
        <v>22</v>
      </c>
      <c r="AD515" s="11">
        <f>IFERROR(__xludf.DUMMYFUNCTION("""COMPUTED_VALUE"""),27.0)</f>
        <v>27</v>
      </c>
    </row>
    <row r="516">
      <c r="A516" s="10" t="str">
        <f>IFERROR(__xludf.DUMMYFUNCTION("""COMPUTED_VALUE"""),"Rival")</f>
        <v>Rival</v>
      </c>
      <c r="B516" s="10" t="str">
        <f>IFERROR(__xludf.DUMMYFUNCTION("""COMPUTED_VALUE"""),"RSC006733")</f>
        <v>RSC006733</v>
      </c>
      <c r="C516" s="10" t="str">
        <f>IFERROR(__xludf.DUMMYFUNCTION("""COMPUTED_VALUE"""),"RL Rust")</f>
        <v>RL Rust</v>
      </c>
      <c r="D516" s="36" t="str">
        <f>IFERROR(__xludf.DUMMYFUNCTION("""COMPUTED_VALUE"""),"Primo")</f>
        <v>Primo</v>
      </c>
      <c r="E516" s="10" t="str">
        <f>IFERROR(__xludf.DUMMYFUNCTION("""COMPUTED_VALUE"""),"Solar")</f>
        <v>Solar</v>
      </c>
      <c r="F516" s="37">
        <f>IFERROR(__xludf.DUMMYFUNCTION("""COMPUTED_VALUE"""),102.44462353152053)</f>
        <v>102.4446235</v>
      </c>
      <c r="G516" s="38">
        <f>IFERROR(__xludf.DUMMYFUNCTION("""COMPUTED_VALUE"""),99.22757585743952)</f>
        <v>99.22757586</v>
      </c>
      <c r="H516" s="38">
        <f>IFERROR(__xludf.DUMMYFUNCTION("""COMPUTED_VALUE"""),100.83609969448003)</f>
        <v>100.8360997</v>
      </c>
      <c r="I516" s="14">
        <f>IFERROR(__xludf.DUMMYFUNCTION("""COMPUTED_VALUE"""),56.0)</f>
        <v>56</v>
      </c>
      <c r="J516" s="11">
        <f>IFERROR(__xludf.DUMMYFUNCTION("IFERROR(FILTER(Stats!$F:$Z,(Stats!$A:$A=$A516)*(Stats!$B:$B=$B516)))"),35.0)</f>
        <v>35</v>
      </c>
      <c r="K516" s="11">
        <f>IFERROR(__xludf.DUMMYFUNCTION("""COMPUTED_VALUE"""),21.0)</f>
        <v>21</v>
      </c>
      <c r="L516" s="12">
        <f>IFERROR(__xludf.DUMMYFUNCTION("""COMPUTED_VALUE"""),0.625)</f>
        <v>0.625</v>
      </c>
      <c r="M516" s="11">
        <f>IFERROR(__xludf.DUMMYFUNCTION("""COMPUTED_VALUE"""),15.0)</f>
        <v>15</v>
      </c>
      <c r="N516" s="11">
        <f>IFERROR(__xludf.DUMMYFUNCTION("""COMPUTED_VALUE"""),24307.0)</f>
        <v>24307</v>
      </c>
      <c r="O516" s="13">
        <f>IFERROR(__xludf.DUMMYFUNCTION("""COMPUTED_VALUE"""),58.0)</f>
        <v>58</v>
      </c>
      <c r="P516" s="14">
        <f>IFERROR(__xludf.DUMMYFUNCTION("""COMPUTED_VALUE"""),43.0)</f>
        <v>43</v>
      </c>
      <c r="Q516" s="13">
        <f>IFERROR(__xludf.DUMMYFUNCTION("""COMPUTED_VALUE"""),76.0)</f>
        <v>76</v>
      </c>
      <c r="R516" s="13">
        <f>IFERROR(__xludf.DUMMYFUNCTION("""COMPUTED_VALUE"""),179.0)</f>
        <v>179</v>
      </c>
      <c r="S516" s="15">
        <f>IFERROR(__xludf.DUMMYFUNCTION("""COMPUTED_VALUE"""),0.3240223463687151)</f>
        <v>0.3240223464</v>
      </c>
      <c r="T516" s="16">
        <f>IFERROR(__xludf.DUMMYFUNCTION("""COMPUTED_VALUE"""),434.05357142857144)</f>
        <v>434.0535714</v>
      </c>
      <c r="U516" s="16">
        <f>IFERROR(__xludf.DUMMYFUNCTION("""COMPUTED_VALUE"""),1.0357142857142858)</f>
        <v>1.035714286</v>
      </c>
      <c r="V516" s="16">
        <f>IFERROR(__xludf.DUMMYFUNCTION("""COMPUTED_VALUE"""),0.7678571428571429)</f>
        <v>0.7678571429</v>
      </c>
      <c r="W516" s="16">
        <f>IFERROR(__xludf.DUMMYFUNCTION("""COMPUTED_VALUE"""),1.3571428571428572)</f>
        <v>1.357142857</v>
      </c>
      <c r="X516" s="16">
        <f>IFERROR(__xludf.DUMMYFUNCTION("""COMPUTED_VALUE"""),3.1964285714285716)</f>
        <v>3.196428571</v>
      </c>
      <c r="Y516" s="11">
        <f>IFERROR(__xludf.DUMMYFUNCTION("""COMPUTED_VALUE"""),10.0)</f>
        <v>10</v>
      </c>
      <c r="Z516" s="11">
        <f>IFERROR(__xludf.DUMMYFUNCTION("""COMPUTED_VALUE"""),6.0)</f>
        <v>6</v>
      </c>
      <c r="AA516" s="11">
        <f>IFERROR(__xludf.DUMMYFUNCTION("""COMPUTED_VALUE"""),3.0)</f>
        <v>3</v>
      </c>
      <c r="AB516" s="11">
        <f>IFERROR(__xludf.DUMMYFUNCTION("""COMPUTED_VALUE"""),8.0)</f>
        <v>8</v>
      </c>
      <c r="AC516" s="11">
        <f>IFERROR(__xludf.DUMMYFUNCTION("""COMPUTED_VALUE"""),84.0)</f>
        <v>84</v>
      </c>
      <c r="AD516" s="11">
        <f>IFERROR(__xludf.DUMMYFUNCTION("""COMPUTED_VALUE"""),39.0)</f>
        <v>39</v>
      </c>
    </row>
    <row r="517">
      <c r="A517" s="10" t="str">
        <f>IFERROR(__xludf.DUMMYFUNCTION("""COMPUTED_VALUE"""),"Rival")</f>
        <v>Rival</v>
      </c>
      <c r="B517" s="10" t="str">
        <f>IFERROR(__xludf.DUMMYFUNCTION("""COMPUTED_VALUE"""),"RSC008249")</f>
        <v>RSC008249</v>
      </c>
      <c r="C517" s="10" t="str">
        <f>IFERROR(__xludf.DUMMYFUNCTION("""COMPUTED_VALUE"""),"imtobad00")</f>
        <v>imtobad00</v>
      </c>
      <c r="D517" s="36" t="str">
        <f>IFERROR(__xludf.DUMMYFUNCTION("""COMPUTED_VALUE"""),"Lightning")</f>
        <v>Lightning</v>
      </c>
      <c r="E517" s="10" t="str">
        <f>IFERROR(__xludf.DUMMYFUNCTION("""COMPUTED_VALUE"""),"Lunar")</f>
        <v>Lunar</v>
      </c>
      <c r="F517" s="37">
        <f>IFERROR(__xludf.DUMMYFUNCTION("""COMPUTED_VALUE"""),124.3094488056981)</f>
        <v>124.3094488</v>
      </c>
      <c r="G517" s="38">
        <f>IFERROR(__xludf.DUMMYFUNCTION("""COMPUTED_VALUE"""),73.10476593448954)</f>
        <v>73.10476593</v>
      </c>
      <c r="H517" s="38">
        <f>IFERROR(__xludf.DUMMYFUNCTION("""COMPUTED_VALUE"""),98.70710737009381)</f>
        <v>98.70710737</v>
      </c>
      <c r="I517" s="14">
        <f>IFERROR(__xludf.DUMMYFUNCTION("""COMPUTED_VALUE"""),2.0)</f>
        <v>2</v>
      </c>
      <c r="J517" s="11">
        <f>IFERROR(__xludf.DUMMYFUNCTION("IFERROR(FILTER(Stats!$F:$Z,(Stats!$A:$A=$A517)*(Stats!$B:$B=$B517)))"),1.0)</f>
        <v>1</v>
      </c>
      <c r="K517" s="11">
        <f>IFERROR(__xludf.DUMMYFUNCTION("""COMPUTED_VALUE"""),1.0)</f>
        <v>1</v>
      </c>
      <c r="L517" s="12">
        <f>IFERROR(__xludf.DUMMYFUNCTION("""COMPUTED_VALUE"""),0.5)</f>
        <v>0.5</v>
      </c>
      <c r="M517" s="11">
        <f>IFERROR(__xludf.DUMMYFUNCTION("""COMPUTED_VALUE"""),1.0)</f>
        <v>1</v>
      </c>
      <c r="N517" s="11">
        <f>IFERROR(__xludf.DUMMYFUNCTION("""COMPUTED_VALUE"""),750.0)</f>
        <v>750</v>
      </c>
      <c r="O517" s="13">
        <f>IFERROR(__xludf.DUMMYFUNCTION("""COMPUTED_VALUE"""),3.0)</f>
        <v>3</v>
      </c>
      <c r="P517" s="14">
        <f>IFERROR(__xludf.DUMMYFUNCTION("""COMPUTED_VALUE"""),1.0)</f>
        <v>1</v>
      </c>
      <c r="Q517" s="13">
        <f>IFERROR(__xludf.DUMMYFUNCTION("""COMPUTED_VALUE"""),1.0)</f>
        <v>1</v>
      </c>
      <c r="R517" s="13">
        <f>IFERROR(__xludf.DUMMYFUNCTION("""COMPUTED_VALUE"""),4.0)</f>
        <v>4</v>
      </c>
      <c r="S517" s="15">
        <f>IFERROR(__xludf.DUMMYFUNCTION("""COMPUTED_VALUE"""),0.75)</f>
        <v>0.75</v>
      </c>
      <c r="T517" s="16">
        <f>IFERROR(__xludf.DUMMYFUNCTION("""COMPUTED_VALUE"""),375.0)</f>
        <v>375</v>
      </c>
      <c r="U517" s="16">
        <f>IFERROR(__xludf.DUMMYFUNCTION("""COMPUTED_VALUE"""),1.5)</f>
        <v>1.5</v>
      </c>
      <c r="V517" s="16">
        <f>IFERROR(__xludf.DUMMYFUNCTION("""COMPUTED_VALUE"""),0.5)</f>
        <v>0.5</v>
      </c>
      <c r="W517" s="16">
        <f>IFERROR(__xludf.DUMMYFUNCTION("""COMPUTED_VALUE"""),0.5)</f>
        <v>0.5</v>
      </c>
      <c r="X517" s="16">
        <f>IFERROR(__xludf.DUMMYFUNCTION("""COMPUTED_VALUE"""),2.0)</f>
        <v>2</v>
      </c>
      <c r="Y517" s="11">
        <f>IFERROR(__xludf.DUMMYFUNCTION("""COMPUTED_VALUE"""),1.0)</f>
        <v>1</v>
      </c>
      <c r="Z517" s="11">
        <f>IFERROR(__xludf.DUMMYFUNCTION("""COMPUTED_VALUE"""),1.0)</f>
        <v>1</v>
      </c>
      <c r="AA517" s="11">
        <f>IFERROR(__xludf.DUMMYFUNCTION("""COMPUTED_VALUE"""),0.0)</f>
        <v>0</v>
      </c>
      <c r="AB517" s="11">
        <f>IFERROR(__xludf.DUMMYFUNCTION("""COMPUTED_VALUE"""),0.0)</f>
        <v>0</v>
      </c>
      <c r="AC517" s="11">
        <f>IFERROR(__xludf.DUMMYFUNCTION("""COMPUTED_VALUE"""),2.0)</f>
        <v>2</v>
      </c>
      <c r="AD517" s="11">
        <f>IFERROR(__xludf.DUMMYFUNCTION("""COMPUTED_VALUE"""),3.0)</f>
        <v>3</v>
      </c>
    </row>
    <row r="518">
      <c r="A518" s="10" t="str">
        <f>IFERROR(__xludf.DUMMYFUNCTION("""COMPUTED_VALUE"""),"Rival")</f>
        <v>Rival</v>
      </c>
      <c r="B518" s="10" t="str">
        <f>IFERROR(__xludf.DUMMYFUNCTION("""COMPUTED_VALUE"""),"RSC007093")</f>
        <v>RSC007093</v>
      </c>
      <c r="C518" s="10" t="str">
        <f>IFERROR(__xludf.DUMMYFUNCTION("""COMPUTED_VALUE"""),"Mangy")</f>
        <v>Mangy</v>
      </c>
      <c r="D518" s="36" t="str">
        <f>IFERROR(__xludf.DUMMYFUNCTION("""COMPUTED_VALUE"""),"Dracos")</f>
        <v>Dracos</v>
      </c>
      <c r="E518" s="10" t="str">
        <f>IFERROR(__xludf.DUMMYFUNCTION("""COMPUTED_VALUE"""),"Solar")</f>
        <v>Solar</v>
      </c>
      <c r="F518" s="37">
        <f>IFERROR(__xludf.DUMMYFUNCTION("""COMPUTED_VALUE"""),82.12576273067776)</f>
        <v>82.12576273</v>
      </c>
      <c r="G518" s="38">
        <f>IFERROR(__xludf.DUMMYFUNCTION("""COMPUTED_VALUE"""),106.66343950434131)</f>
        <v>106.6634395</v>
      </c>
      <c r="H518" s="38">
        <f>IFERROR(__xludf.DUMMYFUNCTION("""COMPUTED_VALUE"""),94.39460111750954)</f>
        <v>94.39460112</v>
      </c>
      <c r="I518" s="14">
        <f>IFERROR(__xludf.DUMMYFUNCTION("""COMPUTED_VALUE"""),4.0)</f>
        <v>4</v>
      </c>
      <c r="J518" s="11">
        <f>IFERROR(__xludf.DUMMYFUNCTION("IFERROR(FILTER(Stats!$F:$Z,(Stats!$A:$A=$A518)*(Stats!$B:$B=$B518)))"),2.0)</f>
        <v>2</v>
      </c>
      <c r="K518" s="11">
        <f>IFERROR(__xludf.DUMMYFUNCTION("""COMPUTED_VALUE"""),2.0)</f>
        <v>2</v>
      </c>
      <c r="L518" s="12">
        <f>IFERROR(__xludf.DUMMYFUNCTION("""COMPUTED_VALUE"""),0.5)</f>
        <v>0.5</v>
      </c>
      <c r="M518" s="11">
        <f>IFERROR(__xludf.DUMMYFUNCTION("""COMPUTED_VALUE"""),1.0)</f>
        <v>1</v>
      </c>
      <c r="N518" s="11">
        <f>IFERROR(__xludf.DUMMYFUNCTION("""COMPUTED_VALUE"""),1383.0)</f>
        <v>1383</v>
      </c>
      <c r="O518" s="13">
        <f>IFERROR(__xludf.DUMMYFUNCTION("""COMPUTED_VALUE"""),3.0)</f>
        <v>3</v>
      </c>
      <c r="P518" s="14">
        <f>IFERROR(__xludf.DUMMYFUNCTION("""COMPUTED_VALUE"""),6.0)</f>
        <v>6</v>
      </c>
      <c r="Q518" s="13">
        <f>IFERROR(__xludf.DUMMYFUNCTION("""COMPUTED_VALUE"""),2.0)</f>
        <v>2</v>
      </c>
      <c r="R518" s="13">
        <f>IFERROR(__xludf.DUMMYFUNCTION("""COMPUTED_VALUE"""),9.0)</f>
        <v>9</v>
      </c>
      <c r="S518" s="15">
        <f>IFERROR(__xludf.DUMMYFUNCTION("""COMPUTED_VALUE"""),0.3333333333333333)</f>
        <v>0.3333333333</v>
      </c>
      <c r="T518" s="16">
        <f>IFERROR(__xludf.DUMMYFUNCTION("""COMPUTED_VALUE"""),345.75)</f>
        <v>345.75</v>
      </c>
      <c r="U518" s="16">
        <f>IFERROR(__xludf.DUMMYFUNCTION("""COMPUTED_VALUE"""),0.75)</f>
        <v>0.75</v>
      </c>
      <c r="V518" s="16">
        <f>IFERROR(__xludf.DUMMYFUNCTION("""COMPUTED_VALUE"""),1.5)</f>
        <v>1.5</v>
      </c>
      <c r="W518" s="16">
        <f>IFERROR(__xludf.DUMMYFUNCTION("""COMPUTED_VALUE"""),0.5)</f>
        <v>0.5</v>
      </c>
      <c r="X518" s="16">
        <f>IFERROR(__xludf.DUMMYFUNCTION("""COMPUTED_VALUE"""),2.25)</f>
        <v>2.25</v>
      </c>
      <c r="Y518" s="11">
        <f>IFERROR(__xludf.DUMMYFUNCTION("""COMPUTED_VALUE"""),2.0)</f>
        <v>2</v>
      </c>
      <c r="Z518" s="11">
        <f>IFERROR(__xludf.DUMMYFUNCTION("""COMPUTED_VALUE"""),0.0)</f>
        <v>0</v>
      </c>
      <c r="AA518" s="11">
        <f>IFERROR(__xludf.DUMMYFUNCTION("""COMPUTED_VALUE"""),1.0)</f>
        <v>1</v>
      </c>
      <c r="AB518" s="11">
        <f>IFERROR(__xludf.DUMMYFUNCTION("""COMPUTED_VALUE"""),0.0)</f>
        <v>0</v>
      </c>
      <c r="AC518" s="11">
        <f>IFERROR(__xludf.DUMMYFUNCTION("""COMPUTED_VALUE"""),1.0)</f>
        <v>1</v>
      </c>
      <c r="AD518" s="11">
        <f>IFERROR(__xludf.DUMMYFUNCTION("""COMPUTED_VALUE"""),6.0)</f>
        <v>6</v>
      </c>
    </row>
    <row r="519">
      <c r="A519" s="10" t="str">
        <f>IFERROR(__xludf.DUMMYFUNCTION("""COMPUTED_VALUE"""),"Rival")</f>
        <v>Rival</v>
      </c>
      <c r="B519" s="10" t="str">
        <f>IFERROR(__xludf.DUMMYFUNCTION("""COMPUTED_VALUE"""),"RSC008440")</f>
        <v>RSC008440</v>
      </c>
      <c r="C519" s="10" t="str">
        <f>IFERROR(__xludf.DUMMYFUNCTION("""COMPUTED_VALUE"""),"Keriel_Cereal")</f>
        <v>Keriel_Cereal</v>
      </c>
      <c r="D519" s="36" t="str">
        <f>IFERROR(__xludf.DUMMYFUNCTION("""COMPUTED_VALUE"""),"Hippos")</f>
        <v>Hippos</v>
      </c>
      <c r="E519" s="10" t="str">
        <f>IFERROR(__xludf.DUMMYFUNCTION("""COMPUTED_VALUE"""),"Lunar")</f>
        <v>Lunar</v>
      </c>
      <c r="F519" s="37">
        <f>IFERROR(__xludf.DUMMYFUNCTION("""COMPUTED_VALUE"""),94.34579739638225)</f>
        <v>94.3457974</v>
      </c>
      <c r="G519" s="38">
        <f>IFERROR(__xludf.DUMMYFUNCTION("""COMPUTED_VALUE"""),90.54872376329169)</f>
        <v>90.54872376</v>
      </c>
      <c r="H519" s="38">
        <f>IFERROR(__xludf.DUMMYFUNCTION("""COMPUTED_VALUE"""),92.44726057983698)</f>
        <v>92.44726058</v>
      </c>
      <c r="I519" s="14">
        <f>IFERROR(__xludf.DUMMYFUNCTION("""COMPUTED_VALUE"""),56.0)</f>
        <v>56</v>
      </c>
      <c r="J519" s="11">
        <f>IFERROR(__xludf.DUMMYFUNCTION("IFERROR(FILTER(Stats!$F:$Z,(Stats!$A:$A=$A519)*(Stats!$B:$B=$B519)))"),40.0)</f>
        <v>40</v>
      </c>
      <c r="K519" s="11">
        <f>IFERROR(__xludf.DUMMYFUNCTION("""COMPUTED_VALUE"""),16.0)</f>
        <v>16</v>
      </c>
      <c r="L519" s="12">
        <f>IFERROR(__xludf.DUMMYFUNCTION("""COMPUTED_VALUE"""),0.7142857142857143)</f>
        <v>0.7142857143</v>
      </c>
      <c r="M519" s="11">
        <f>IFERROR(__xludf.DUMMYFUNCTION("""COMPUTED_VALUE"""),23.0)</f>
        <v>23</v>
      </c>
      <c r="N519" s="11">
        <f>IFERROR(__xludf.DUMMYFUNCTION("""COMPUTED_VALUE"""),23778.0)</f>
        <v>23778</v>
      </c>
      <c r="O519" s="13">
        <f>IFERROR(__xludf.DUMMYFUNCTION("""COMPUTED_VALUE"""),56.0)</f>
        <v>56</v>
      </c>
      <c r="P519" s="14">
        <f>IFERROR(__xludf.DUMMYFUNCTION("""COMPUTED_VALUE"""),39.0)</f>
        <v>39</v>
      </c>
      <c r="Q519" s="13">
        <f>IFERROR(__xludf.DUMMYFUNCTION("""COMPUTED_VALUE"""),87.0)</f>
        <v>87</v>
      </c>
      <c r="R519" s="13">
        <f>IFERROR(__xludf.DUMMYFUNCTION("""COMPUTED_VALUE"""),179.0)</f>
        <v>179</v>
      </c>
      <c r="S519" s="15">
        <f>IFERROR(__xludf.DUMMYFUNCTION("""COMPUTED_VALUE"""),0.3128491620111732)</f>
        <v>0.312849162</v>
      </c>
      <c r="T519" s="16">
        <f>IFERROR(__xludf.DUMMYFUNCTION("""COMPUTED_VALUE"""),424.60714285714283)</f>
        <v>424.6071429</v>
      </c>
      <c r="U519" s="16">
        <f>IFERROR(__xludf.DUMMYFUNCTION("""COMPUTED_VALUE"""),1.0)</f>
        <v>1</v>
      </c>
      <c r="V519" s="16">
        <f>IFERROR(__xludf.DUMMYFUNCTION("""COMPUTED_VALUE"""),0.6964285714285714)</f>
        <v>0.6964285714</v>
      </c>
      <c r="W519" s="16">
        <f>IFERROR(__xludf.DUMMYFUNCTION("""COMPUTED_VALUE"""),1.5535714285714286)</f>
        <v>1.553571429</v>
      </c>
      <c r="X519" s="16">
        <f>IFERROR(__xludf.DUMMYFUNCTION("""COMPUTED_VALUE"""),3.1964285714285716)</f>
        <v>3.196428571</v>
      </c>
      <c r="Y519" s="11">
        <f>IFERROR(__xludf.DUMMYFUNCTION("""COMPUTED_VALUE"""),15.0)</f>
        <v>15</v>
      </c>
      <c r="Z519" s="11">
        <f>IFERROR(__xludf.DUMMYFUNCTION("""COMPUTED_VALUE"""),4.0)</f>
        <v>4</v>
      </c>
      <c r="AA519" s="11">
        <f>IFERROR(__xludf.DUMMYFUNCTION("""COMPUTED_VALUE"""),3.0)</f>
        <v>3</v>
      </c>
      <c r="AB519" s="11">
        <f>IFERROR(__xludf.DUMMYFUNCTION("""COMPUTED_VALUE"""),12.0)</f>
        <v>12</v>
      </c>
      <c r="AC519" s="11">
        <f>IFERROR(__xludf.DUMMYFUNCTION("""COMPUTED_VALUE"""),47.0)</f>
        <v>47</v>
      </c>
      <c r="AD519" s="11">
        <f>IFERROR(__xludf.DUMMYFUNCTION("""COMPUTED_VALUE"""),47.0)</f>
        <v>47</v>
      </c>
    </row>
    <row r="520">
      <c r="A520" s="10" t="str">
        <f>IFERROR(__xludf.DUMMYFUNCTION("""COMPUTED_VALUE"""),"Rival")</f>
        <v>Rival</v>
      </c>
      <c r="B520" s="10" t="str">
        <f>IFERROR(__xludf.DUMMYFUNCTION("""COMPUTED_VALUE"""),"RSC000156")</f>
        <v>RSC000156</v>
      </c>
      <c r="C520" s="10" t="str">
        <f>IFERROR(__xludf.DUMMYFUNCTION("""COMPUTED_VALUE"""),"Drupenson")</f>
        <v>Drupenson</v>
      </c>
      <c r="D520" s="36" t="str">
        <f>IFERROR(__xludf.DUMMYFUNCTION("""COMPUTED_VALUE"""),"Hue Heroes")</f>
        <v>Hue Heroes</v>
      </c>
      <c r="E520" s="10" t="str">
        <f>IFERROR(__xludf.DUMMYFUNCTION("""COMPUTED_VALUE"""),"Solar")</f>
        <v>Solar</v>
      </c>
      <c r="F520" s="37">
        <f>IFERROR(__xludf.DUMMYFUNCTION("""COMPUTED_VALUE"""),89.11918702619542)</f>
        <v>89.11918703</v>
      </c>
      <c r="G520" s="38">
        <f>IFERROR(__xludf.DUMMYFUNCTION("""COMPUTED_VALUE"""),91.96264452512509)</f>
        <v>91.96264453</v>
      </c>
      <c r="H520" s="38">
        <f>IFERROR(__xludf.DUMMYFUNCTION("""COMPUTED_VALUE"""),90.54091577566025)</f>
        <v>90.54091578</v>
      </c>
      <c r="I520" s="14">
        <f>IFERROR(__xludf.DUMMYFUNCTION("""COMPUTED_VALUE"""),39.0)</f>
        <v>39</v>
      </c>
      <c r="J520" s="11">
        <f>IFERROR(__xludf.DUMMYFUNCTION("IFERROR(FILTER(Stats!$F:$Z,(Stats!$A:$A=$A520)*(Stats!$B:$B=$B520)))"),25.0)</f>
        <v>25</v>
      </c>
      <c r="K520" s="11">
        <f>IFERROR(__xludf.DUMMYFUNCTION("""COMPUTED_VALUE"""),14.0)</f>
        <v>14</v>
      </c>
      <c r="L520" s="12">
        <f>IFERROR(__xludf.DUMMYFUNCTION("""COMPUTED_VALUE"""),0.6410256410256411)</f>
        <v>0.641025641</v>
      </c>
      <c r="M520" s="11">
        <f>IFERROR(__xludf.DUMMYFUNCTION("""COMPUTED_VALUE"""),9.0)</f>
        <v>9</v>
      </c>
      <c r="N520" s="11">
        <f>IFERROR(__xludf.DUMMYFUNCTION("""COMPUTED_VALUE"""),15240.0)</f>
        <v>15240</v>
      </c>
      <c r="O520" s="13">
        <f>IFERROR(__xludf.DUMMYFUNCTION("""COMPUTED_VALUE"""),46.0)</f>
        <v>46</v>
      </c>
      <c r="P520" s="14">
        <f>IFERROR(__xludf.DUMMYFUNCTION("""COMPUTED_VALUE"""),35.0)</f>
        <v>35</v>
      </c>
      <c r="Q520" s="13">
        <f>IFERROR(__xludf.DUMMYFUNCTION("""COMPUTED_VALUE"""),41.0)</f>
        <v>41</v>
      </c>
      <c r="R520" s="13">
        <f>IFERROR(__xludf.DUMMYFUNCTION("""COMPUTED_VALUE"""),116.0)</f>
        <v>116</v>
      </c>
      <c r="S520" s="15">
        <f>IFERROR(__xludf.DUMMYFUNCTION("""COMPUTED_VALUE"""),0.39655172413793105)</f>
        <v>0.3965517241</v>
      </c>
      <c r="T520" s="16">
        <f>IFERROR(__xludf.DUMMYFUNCTION("""COMPUTED_VALUE"""),390.7692307692308)</f>
        <v>390.7692308</v>
      </c>
      <c r="U520" s="16">
        <f>IFERROR(__xludf.DUMMYFUNCTION("""COMPUTED_VALUE"""),1.1794871794871795)</f>
        <v>1.179487179</v>
      </c>
      <c r="V520" s="16">
        <f>IFERROR(__xludf.DUMMYFUNCTION("""COMPUTED_VALUE"""),0.8974358974358975)</f>
        <v>0.8974358974</v>
      </c>
      <c r="W520" s="16">
        <f>IFERROR(__xludf.DUMMYFUNCTION("""COMPUTED_VALUE"""),1.0512820512820513)</f>
        <v>1.051282051</v>
      </c>
      <c r="X520" s="16">
        <f>IFERROR(__xludf.DUMMYFUNCTION("""COMPUTED_VALUE"""),2.9743589743589745)</f>
        <v>2.974358974</v>
      </c>
      <c r="Y520" s="11">
        <f>IFERROR(__xludf.DUMMYFUNCTION("""COMPUTED_VALUE"""),13.0)</f>
        <v>13</v>
      </c>
      <c r="Z520" s="11">
        <f>IFERROR(__xludf.DUMMYFUNCTION("""COMPUTED_VALUE"""),2.0)</f>
        <v>2</v>
      </c>
      <c r="AA520" s="11">
        <f>IFERROR(__xludf.DUMMYFUNCTION("""COMPUTED_VALUE"""),1.0)</f>
        <v>1</v>
      </c>
      <c r="AB520" s="11">
        <f>IFERROR(__xludf.DUMMYFUNCTION("""COMPUTED_VALUE"""),3.0)</f>
        <v>3</v>
      </c>
      <c r="AC520" s="11">
        <f>IFERROR(__xludf.DUMMYFUNCTION("""COMPUTED_VALUE"""),37.0)</f>
        <v>37</v>
      </c>
      <c r="AD520" s="11">
        <f>IFERROR(__xludf.DUMMYFUNCTION("""COMPUTED_VALUE"""),43.0)</f>
        <v>43</v>
      </c>
    </row>
    <row r="521">
      <c r="A521" s="10" t="str">
        <f>IFERROR(__xludf.DUMMYFUNCTION("""COMPUTED_VALUE"""),"Rival")</f>
        <v>Rival</v>
      </c>
      <c r="B521" s="10" t="str">
        <f>IFERROR(__xludf.DUMMYFUNCTION("""COMPUTED_VALUE"""),"RSC007317")</f>
        <v>RSC007317</v>
      </c>
      <c r="C521" s="10" t="str">
        <f>IFERROR(__xludf.DUMMYFUNCTION("""COMPUTED_VALUE"""),"TheDarkHero77")</f>
        <v>TheDarkHero77</v>
      </c>
      <c r="D521" s="36" t="str">
        <f>IFERROR(__xludf.DUMMYFUNCTION("""COMPUTED_VALUE"""),"Tax Evaders
Asiago Arsonists")</f>
        <v>Tax Evaders
Asiago Arsonists</v>
      </c>
      <c r="E521" s="10" t="str">
        <f>IFERROR(__xludf.DUMMYFUNCTION("""COMPUTED_VALUE"""),"Lunar
Lunar")</f>
        <v>Lunar
Lunar</v>
      </c>
      <c r="F521" s="37">
        <f>IFERROR(__xludf.DUMMYFUNCTION("""COMPUTED_VALUE"""),91.79893072352893)</f>
        <v>91.79893072</v>
      </c>
      <c r="G521" s="38">
        <f>IFERROR(__xludf.DUMMYFUNCTION("""COMPUTED_VALUE"""),87.33692284065688)</f>
        <v>87.33692284</v>
      </c>
      <c r="H521" s="38">
        <f>IFERROR(__xludf.DUMMYFUNCTION("""COMPUTED_VALUE"""),89.56792678209291)</f>
        <v>89.56792678</v>
      </c>
      <c r="I521" s="14">
        <f>IFERROR(__xludf.DUMMYFUNCTION("""COMPUTED_VALUE"""),52.0)</f>
        <v>52</v>
      </c>
      <c r="J521" s="11">
        <f>IFERROR(__xludf.DUMMYFUNCTION("IFERROR(FILTER(Stats!$F:$Z,(Stats!$A:$A=$A521)*(Stats!$B:$B=$B521)))"),30.0)</f>
        <v>30</v>
      </c>
      <c r="K521" s="11">
        <f>IFERROR(__xludf.DUMMYFUNCTION("""COMPUTED_VALUE"""),22.0)</f>
        <v>22</v>
      </c>
      <c r="L521" s="12">
        <f>IFERROR(__xludf.DUMMYFUNCTION("""COMPUTED_VALUE"""),0.5769230769230769)</f>
        <v>0.5769230769</v>
      </c>
      <c r="M521" s="11">
        <f>IFERROR(__xludf.DUMMYFUNCTION("""COMPUTED_VALUE"""),17.0)</f>
        <v>17</v>
      </c>
      <c r="N521" s="11">
        <f>IFERROR(__xludf.DUMMYFUNCTION("""COMPUTED_VALUE"""),22773.0)</f>
        <v>22773</v>
      </c>
      <c r="O521" s="13">
        <f>IFERROR(__xludf.DUMMYFUNCTION("""COMPUTED_VALUE"""),57.0)</f>
        <v>57</v>
      </c>
      <c r="P521" s="14">
        <f>IFERROR(__xludf.DUMMYFUNCTION("""COMPUTED_VALUE"""),35.0)</f>
        <v>35</v>
      </c>
      <c r="Q521" s="13">
        <f>IFERROR(__xludf.DUMMYFUNCTION("""COMPUTED_VALUE"""),71.0)</f>
        <v>71</v>
      </c>
      <c r="R521" s="13">
        <f>IFERROR(__xludf.DUMMYFUNCTION("""COMPUTED_VALUE"""),156.0)</f>
        <v>156</v>
      </c>
      <c r="S521" s="15">
        <f>IFERROR(__xludf.DUMMYFUNCTION("""COMPUTED_VALUE"""),0.36538461538461536)</f>
        <v>0.3653846154</v>
      </c>
      <c r="T521" s="16">
        <f>IFERROR(__xludf.DUMMYFUNCTION("""COMPUTED_VALUE"""),437.9423076923077)</f>
        <v>437.9423077</v>
      </c>
      <c r="U521" s="16">
        <f>IFERROR(__xludf.DUMMYFUNCTION("""COMPUTED_VALUE"""),1.0961538461538463)</f>
        <v>1.096153846</v>
      </c>
      <c r="V521" s="16">
        <f>IFERROR(__xludf.DUMMYFUNCTION("""COMPUTED_VALUE"""),0.6730769230769231)</f>
        <v>0.6730769231</v>
      </c>
      <c r="W521" s="16">
        <f>IFERROR(__xludf.DUMMYFUNCTION("""COMPUTED_VALUE"""),1.3653846153846154)</f>
        <v>1.365384615</v>
      </c>
      <c r="X521" s="16">
        <f>IFERROR(__xludf.DUMMYFUNCTION("""COMPUTED_VALUE"""),3.0)</f>
        <v>3</v>
      </c>
      <c r="Y521" s="11">
        <f>IFERROR(__xludf.DUMMYFUNCTION("""COMPUTED_VALUE"""),11.0)</f>
        <v>11</v>
      </c>
      <c r="Z521" s="11">
        <f>IFERROR(__xludf.DUMMYFUNCTION("""COMPUTED_VALUE"""),6.0)</f>
        <v>6</v>
      </c>
      <c r="AA521" s="11">
        <f>IFERROR(__xludf.DUMMYFUNCTION("""COMPUTED_VALUE"""),1.0)</f>
        <v>1</v>
      </c>
      <c r="AB521" s="11">
        <f>IFERROR(__xludf.DUMMYFUNCTION("""COMPUTED_VALUE"""),8.0)</f>
        <v>8</v>
      </c>
      <c r="AC521" s="11">
        <f>IFERROR(__xludf.DUMMYFUNCTION("""COMPUTED_VALUE"""),49.0)</f>
        <v>49</v>
      </c>
      <c r="AD521" s="11">
        <f>IFERROR(__xludf.DUMMYFUNCTION("""COMPUTED_VALUE"""),39.0)</f>
        <v>39</v>
      </c>
    </row>
    <row r="522">
      <c r="A522" s="10" t="str">
        <f>IFERROR(__xludf.DUMMYFUNCTION("""COMPUTED_VALUE"""),"Rival")</f>
        <v>Rival</v>
      </c>
      <c r="B522" s="10" t="str">
        <f>IFERROR(__xludf.DUMMYFUNCTION("""COMPUTED_VALUE"""),"RSC005703")</f>
        <v>RSC005703</v>
      </c>
      <c r="C522" s="10" t="str">
        <f>IFERROR(__xludf.DUMMYFUNCTION("""COMPUTED_VALUE"""),"ShoddyWolfman")</f>
        <v>ShoddyWolfman</v>
      </c>
      <c r="D522" s="36" t="str">
        <f>IFERROR(__xludf.DUMMYFUNCTION("""COMPUTED_VALUE"""),"Scramjets")</f>
        <v>Scramjets</v>
      </c>
      <c r="E522" s="10" t="str">
        <f>IFERROR(__xludf.DUMMYFUNCTION("""COMPUTED_VALUE"""),"Lunar")</f>
        <v>Lunar</v>
      </c>
      <c r="F522" s="37">
        <f>IFERROR(__xludf.DUMMYFUNCTION("""COMPUTED_VALUE"""),82.82262260747288)</f>
        <v>82.82262261</v>
      </c>
      <c r="G522" s="38">
        <f>IFERROR(__xludf.DUMMYFUNCTION("""COMPUTED_VALUE"""),91.32283028911525)</f>
        <v>91.32283029</v>
      </c>
      <c r="H522" s="38">
        <f>IFERROR(__xludf.DUMMYFUNCTION("""COMPUTED_VALUE"""),87.07272644829406)</f>
        <v>87.07272645</v>
      </c>
      <c r="I522" s="14">
        <f>IFERROR(__xludf.DUMMYFUNCTION("""COMPUTED_VALUE"""),54.0)</f>
        <v>54</v>
      </c>
      <c r="J522" s="11">
        <f>IFERROR(__xludf.DUMMYFUNCTION("IFERROR(FILTER(Stats!$F:$Z,(Stats!$A:$A=$A522)*(Stats!$B:$B=$B522)))"),29.0)</f>
        <v>29</v>
      </c>
      <c r="K522" s="11">
        <f>IFERROR(__xludf.DUMMYFUNCTION("""COMPUTED_VALUE"""),25.0)</f>
        <v>25</v>
      </c>
      <c r="L522" s="12">
        <f>IFERROR(__xludf.DUMMYFUNCTION("""COMPUTED_VALUE"""),0.5370370370370371)</f>
        <v>0.537037037</v>
      </c>
      <c r="M522" s="11">
        <f>IFERROR(__xludf.DUMMYFUNCTION("""COMPUTED_VALUE"""),13.0)</f>
        <v>13</v>
      </c>
      <c r="N522" s="11">
        <f>IFERROR(__xludf.DUMMYFUNCTION("""COMPUTED_VALUE"""),21639.0)</f>
        <v>21639</v>
      </c>
      <c r="O522" s="13">
        <f>IFERROR(__xludf.DUMMYFUNCTION("""COMPUTED_VALUE"""),58.0)</f>
        <v>58</v>
      </c>
      <c r="P522" s="14">
        <f>IFERROR(__xludf.DUMMYFUNCTION("""COMPUTED_VALUE"""),42.0)</f>
        <v>42</v>
      </c>
      <c r="Q522" s="13">
        <f>IFERROR(__xludf.DUMMYFUNCTION("""COMPUTED_VALUE"""),70.0)</f>
        <v>70</v>
      </c>
      <c r="R522" s="13">
        <f>IFERROR(__xludf.DUMMYFUNCTION("""COMPUTED_VALUE"""),172.0)</f>
        <v>172</v>
      </c>
      <c r="S522" s="15">
        <f>IFERROR(__xludf.DUMMYFUNCTION("""COMPUTED_VALUE"""),0.3372093023255814)</f>
        <v>0.3372093023</v>
      </c>
      <c r="T522" s="16">
        <f>IFERROR(__xludf.DUMMYFUNCTION("""COMPUTED_VALUE"""),400.72222222222223)</f>
        <v>400.7222222</v>
      </c>
      <c r="U522" s="16">
        <f>IFERROR(__xludf.DUMMYFUNCTION("""COMPUTED_VALUE"""),1.0740740740740742)</f>
        <v>1.074074074</v>
      </c>
      <c r="V522" s="16">
        <f>IFERROR(__xludf.DUMMYFUNCTION("""COMPUTED_VALUE"""),0.7777777777777778)</f>
        <v>0.7777777778</v>
      </c>
      <c r="W522" s="16">
        <f>IFERROR(__xludf.DUMMYFUNCTION("""COMPUTED_VALUE"""),1.2962962962962963)</f>
        <v>1.296296296</v>
      </c>
      <c r="X522" s="16">
        <f>IFERROR(__xludf.DUMMYFUNCTION("""COMPUTED_VALUE"""),3.185185185185185)</f>
        <v>3.185185185</v>
      </c>
      <c r="Y522" s="11">
        <f>IFERROR(__xludf.DUMMYFUNCTION("""COMPUTED_VALUE"""),14.0)</f>
        <v>14</v>
      </c>
      <c r="Z522" s="11">
        <f>IFERROR(__xludf.DUMMYFUNCTION("""COMPUTED_VALUE"""),3.0)</f>
        <v>3</v>
      </c>
      <c r="AA522" s="11">
        <f>IFERROR(__xludf.DUMMYFUNCTION("""COMPUTED_VALUE"""),3.0)</f>
        <v>3</v>
      </c>
      <c r="AB522" s="11">
        <f>IFERROR(__xludf.DUMMYFUNCTION("""COMPUTED_VALUE"""),5.0)</f>
        <v>5</v>
      </c>
      <c r="AC522" s="11">
        <f>IFERROR(__xludf.DUMMYFUNCTION("""COMPUTED_VALUE"""),56.0)</f>
        <v>56</v>
      </c>
      <c r="AD522" s="11">
        <f>IFERROR(__xludf.DUMMYFUNCTION("""COMPUTED_VALUE"""),39.0)</f>
        <v>39</v>
      </c>
    </row>
    <row r="523">
      <c r="A523" s="10" t="str">
        <f>IFERROR(__xludf.DUMMYFUNCTION("""COMPUTED_VALUE"""),"Rival")</f>
        <v>Rival</v>
      </c>
      <c r="B523" s="10" t="str">
        <f>IFERROR(__xludf.DUMMYFUNCTION("""COMPUTED_VALUE"""),"RSC007625")</f>
        <v>RSC007625</v>
      </c>
      <c r="C523" s="10" t="str">
        <f>IFERROR(__xludf.DUMMYFUNCTION("""COMPUTED_VALUE"""),"assassin_funny.")</f>
        <v>assassin_funny.</v>
      </c>
      <c r="D523" s="36" t="str">
        <f>IFERROR(__xludf.DUMMYFUNCTION("""COMPUTED_VALUE"""),"Wind")</f>
        <v>Wind</v>
      </c>
      <c r="E523" s="10" t="str">
        <f>IFERROR(__xludf.DUMMYFUNCTION("""COMPUTED_VALUE"""),"Solar")</f>
        <v>Solar</v>
      </c>
      <c r="F523" s="37">
        <f>IFERROR(__xludf.DUMMYFUNCTION("""COMPUTED_VALUE"""),79.69857871899899)</f>
        <v>79.69857872</v>
      </c>
      <c r="G523" s="38">
        <f>IFERROR(__xludf.DUMMYFUNCTION("""COMPUTED_VALUE"""),91.20835396197464)</f>
        <v>91.20835396</v>
      </c>
      <c r="H523" s="38">
        <f>IFERROR(__xludf.DUMMYFUNCTION("""COMPUTED_VALUE"""),85.45346634048681)</f>
        <v>85.45346634</v>
      </c>
      <c r="I523" s="14">
        <f>IFERROR(__xludf.DUMMYFUNCTION("""COMPUTED_VALUE"""),51.0)</f>
        <v>51</v>
      </c>
      <c r="J523" s="11">
        <f>IFERROR(__xludf.DUMMYFUNCTION("IFERROR(FILTER(Stats!$F:$Z,(Stats!$A:$A=$A523)*(Stats!$B:$B=$B523)))"),28.0)</f>
        <v>28</v>
      </c>
      <c r="K523" s="11">
        <f>IFERROR(__xludf.DUMMYFUNCTION("""COMPUTED_VALUE"""),23.0)</f>
        <v>23</v>
      </c>
      <c r="L523" s="12">
        <f>IFERROR(__xludf.DUMMYFUNCTION("""COMPUTED_VALUE"""),0.5490196078431373)</f>
        <v>0.5490196078</v>
      </c>
      <c r="M523" s="11">
        <f>IFERROR(__xludf.DUMMYFUNCTION("""COMPUTED_VALUE"""),13.0)</f>
        <v>13</v>
      </c>
      <c r="N523" s="11">
        <f>IFERROR(__xludf.DUMMYFUNCTION("""COMPUTED_VALUE"""),22036.0)</f>
        <v>22036</v>
      </c>
      <c r="O523" s="13">
        <f>IFERROR(__xludf.DUMMYFUNCTION("""COMPUTED_VALUE"""),66.0)</f>
        <v>66</v>
      </c>
      <c r="P523" s="14">
        <f>IFERROR(__xludf.DUMMYFUNCTION("""COMPUTED_VALUE"""),30.0)</f>
        <v>30</v>
      </c>
      <c r="Q523" s="13">
        <f>IFERROR(__xludf.DUMMYFUNCTION("""COMPUTED_VALUE"""),70.0)</f>
        <v>70</v>
      </c>
      <c r="R523" s="13">
        <f>IFERROR(__xludf.DUMMYFUNCTION("""COMPUTED_VALUE"""),161.0)</f>
        <v>161</v>
      </c>
      <c r="S523" s="15">
        <f>IFERROR(__xludf.DUMMYFUNCTION("""COMPUTED_VALUE"""),0.40993788819875776)</f>
        <v>0.4099378882</v>
      </c>
      <c r="T523" s="16">
        <f>IFERROR(__xludf.DUMMYFUNCTION("""COMPUTED_VALUE"""),432.078431372549)</f>
        <v>432.0784314</v>
      </c>
      <c r="U523" s="16">
        <f>IFERROR(__xludf.DUMMYFUNCTION("""COMPUTED_VALUE"""),1.2941176470588236)</f>
        <v>1.294117647</v>
      </c>
      <c r="V523" s="16">
        <f>IFERROR(__xludf.DUMMYFUNCTION("""COMPUTED_VALUE"""),0.5882352941176471)</f>
        <v>0.5882352941</v>
      </c>
      <c r="W523" s="16">
        <f>IFERROR(__xludf.DUMMYFUNCTION("""COMPUTED_VALUE"""),1.3725490196078431)</f>
        <v>1.37254902</v>
      </c>
      <c r="X523" s="16">
        <f>IFERROR(__xludf.DUMMYFUNCTION("""COMPUTED_VALUE"""),3.156862745098039)</f>
        <v>3.156862745</v>
      </c>
      <c r="Y523" s="11">
        <f>IFERROR(__xludf.DUMMYFUNCTION("""COMPUTED_VALUE"""),13.0)</f>
        <v>13</v>
      </c>
      <c r="Z523" s="11">
        <f>IFERROR(__xludf.DUMMYFUNCTION("""COMPUTED_VALUE"""),11.0)</f>
        <v>11</v>
      </c>
      <c r="AA523" s="11">
        <f>IFERROR(__xludf.DUMMYFUNCTION("""COMPUTED_VALUE"""),2.0)</f>
        <v>2</v>
      </c>
      <c r="AB523" s="11">
        <f>IFERROR(__xludf.DUMMYFUNCTION("""COMPUTED_VALUE"""),9.0)</f>
        <v>9</v>
      </c>
      <c r="AC523" s="11">
        <f>IFERROR(__xludf.DUMMYFUNCTION("""COMPUTED_VALUE"""),62.0)</f>
        <v>62</v>
      </c>
      <c r="AD523" s="11">
        <f>IFERROR(__xludf.DUMMYFUNCTION("""COMPUTED_VALUE"""),52.0)</f>
        <v>52</v>
      </c>
    </row>
    <row r="524">
      <c r="A524" s="10" t="str">
        <f>IFERROR(__xludf.DUMMYFUNCTION("""COMPUTED_VALUE"""),"Rival")</f>
        <v>Rival</v>
      </c>
      <c r="B524" s="10" t="str">
        <f>IFERROR(__xludf.DUMMYFUNCTION("""COMPUTED_VALUE"""),"RSC008582")</f>
        <v>RSC008582</v>
      </c>
      <c r="C524" s="10" t="str">
        <f>IFERROR(__xludf.DUMMYFUNCTION("""COMPUTED_VALUE"""),"ZeXeR-_-")</f>
        <v>ZeXeR-_-</v>
      </c>
      <c r="D524" s="36" t="str">
        <f>IFERROR(__xludf.DUMMYFUNCTION("""COMPUTED_VALUE"""),"Ocelots")</f>
        <v>Ocelots</v>
      </c>
      <c r="E524" s="10" t="str">
        <f>IFERROR(__xludf.DUMMYFUNCTION("""COMPUTED_VALUE"""),"Solar")</f>
        <v>Solar</v>
      </c>
      <c r="F524" s="37">
        <f>IFERROR(__xludf.DUMMYFUNCTION("""COMPUTED_VALUE"""),84.82789574338068)</f>
        <v>84.82789574</v>
      </c>
      <c r="G524" s="38">
        <f>IFERROR(__xludf.DUMMYFUNCTION("""COMPUTED_VALUE"""),85.09255587783242)</f>
        <v>85.09255588</v>
      </c>
      <c r="H524" s="38">
        <f>IFERROR(__xludf.DUMMYFUNCTION("""COMPUTED_VALUE"""),84.96022581060654)</f>
        <v>84.96022581</v>
      </c>
      <c r="I524" s="14">
        <f>IFERROR(__xludf.DUMMYFUNCTION("""COMPUTED_VALUE"""),4.0)</f>
        <v>4</v>
      </c>
      <c r="J524" s="11">
        <f>IFERROR(__xludf.DUMMYFUNCTION("IFERROR(FILTER(Stats!$F:$Z,(Stats!$A:$A=$A524)*(Stats!$B:$B=$B524)))"),2.0)</f>
        <v>2</v>
      </c>
      <c r="K524" s="11">
        <f>IFERROR(__xludf.DUMMYFUNCTION("""COMPUTED_VALUE"""),2.0)</f>
        <v>2</v>
      </c>
      <c r="L524" s="12">
        <f>IFERROR(__xludf.DUMMYFUNCTION("""COMPUTED_VALUE"""),0.5)</f>
        <v>0.5</v>
      </c>
      <c r="M524" s="11">
        <f>IFERROR(__xludf.DUMMYFUNCTION("""COMPUTED_VALUE"""),2.0)</f>
        <v>2</v>
      </c>
      <c r="N524" s="11">
        <f>IFERROR(__xludf.DUMMYFUNCTION("""COMPUTED_VALUE"""),1630.0)</f>
        <v>1630</v>
      </c>
      <c r="O524" s="13">
        <f>IFERROR(__xludf.DUMMYFUNCTION("""COMPUTED_VALUE"""),5.0)</f>
        <v>5</v>
      </c>
      <c r="P524" s="14">
        <f>IFERROR(__xludf.DUMMYFUNCTION("""COMPUTED_VALUE"""),3.0)</f>
        <v>3</v>
      </c>
      <c r="Q524" s="13">
        <f>IFERROR(__xludf.DUMMYFUNCTION("""COMPUTED_VALUE"""),6.0)</f>
        <v>6</v>
      </c>
      <c r="R524" s="13">
        <f>IFERROR(__xludf.DUMMYFUNCTION("""COMPUTED_VALUE"""),11.0)</f>
        <v>11</v>
      </c>
      <c r="S524" s="15">
        <f>IFERROR(__xludf.DUMMYFUNCTION("""COMPUTED_VALUE"""),0.45454545454545453)</f>
        <v>0.4545454545</v>
      </c>
      <c r="T524" s="16">
        <f>IFERROR(__xludf.DUMMYFUNCTION("""COMPUTED_VALUE"""),407.5)</f>
        <v>407.5</v>
      </c>
      <c r="U524" s="16">
        <f>IFERROR(__xludf.DUMMYFUNCTION("""COMPUTED_VALUE"""),1.25)</f>
        <v>1.25</v>
      </c>
      <c r="V524" s="16">
        <f>IFERROR(__xludf.DUMMYFUNCTION("""COMPUTED_VALUE"""),0.75)</f>
        <v>0.75</v>
      </c>
      <c r="W524" s="16">
        <f>IFERROR(__xludf.DUMMYFUNCTION("""COMPUTED_VALUE"""),1.5)</f>
        <v>1.5</v>
      </c>
      <c r="X524" s="16">
        <f>IFERROR(__xludf.DUMMYFUNCTION("""COMPUTED_VALUE"""),2.75)</f>
        <v>2.75</v>
      </c>
      <c r="Y524" s="11">
        <f>IFERROR(__xludf.DUMMYFUNCTION("""COMPUTED_VALUE"""),1.0)</f>
        <v>1</v>
      </c>
      <c r="Z524" s="11">
        <f>IFERROR(__xludf.DUMMYFUNCTION("""COMPUTED_VALUE"""),1.0)</f>
        <v>1</v>
      </c>
      <c r="AA524" s="11">
        <f>IFERROR(__xludf.DUMMYFUNCTION("""COMPUTED_VALUE"""),0.0)</f>
        <v>0</v>
      </c>
      <c r="AB524" s="11">
        <f>IFERROR(__xludf.DUMMYFUNCTION("""COMPUTED_VALUE"""),0.0)</f>
        <v>0</v>
      </c>
      <c r="AC524" s="11">
        <f>IFERROR(__xludf.DUMMYFUNCTION("""COMPUTED_VALUE"""),3.0)</f>
        <v>3</v>
      </c>
      <c r="AD524" s="11">
        <f>IFERROR(__xludf.DUMMYFUNCTION("""COMPUTED_VALUE"""),4.0)</f>
        <v>4</v>
      </c>
    </row>
    <row r="525">
      <c r="A525" s="10" t="str">
        <f>IFERROR(__xludf.DUMMYFUNCTION("""COMPUTED_VALUE"""),"Rival")</f>
        <v>Rival</v>
      </c>
      <c r="B525" s="10" t="str">
        <f>IFERROR(__xludf.DUMMYFUNCTION("""COMPUTED_VALUE"""),"RSC008603")</f>
        <v>RSC008603</v>
      </c>
      <c r="C525" s="10" t="str">
        <f>IFERROR(__xludf.DUMMYFUNCTION("""COMPUTED_VALUE"""),"garrydacarry")</f>
        <v>garrydacarry</v>
      </c>
      <c r="D525" s="36" t="str">
        <f>IFERROR(__xludf.DUMMYFUNCTION("""COMPUTED_VALUE"""),"Dracos")</f>
        <v>Dracos</v>
      </c>
      <c r="E525" s="10" t="str">
        <f>IFERROR(__xludf.DUMMYFUNCTION("""COMPUTED_VALUE"""),"Solar")</f>
        <v>Solar</v>
      </c>
      <c r="F525" s="37">
        <f>IFERROR(__xludf.DUMMYFUNCTION("""COMPUTED_VALUE"""),81.92056436133169)</f>
        <v>81.92056436</v>
      </c>
      <c r="G525" s="38">
        <f>IFERROR(__xludf.DUMMYFUNCTION("""COMPUTED_VALUE"""),86.46062630201004)</f>
        <v>86.4606263</v>
      </c>
      <c r="H525" s="38">
        <f>IFERROR(__xludf.DUMMYFUNCTION("""COMPUTED_VALUE"""),84.19059533167086)</f>
        <v>84.19059533</v>
      </c>
      <c r="I525" s="14">
        <f>IFERROR(__xludf.DUMMYFUNCTION("""COMPUTED_VALUE"""),4.0)</f>
        <v>4</v>
      </c>
      <c r="J525" s="11">
        <f>IFERROR(__xludf.DUMMYFUNCTION("IFERROR(FILTER(Stats!$F:$Z,(Stats!$A:$A=$A525)*(Stats!$B:$B=$B525)))"),2.0)</f>
        <v>2</v>
      </c>
      <c r="K525" s="11">
        <f>IFERROR(__xludf.DUMMYFUNCTION("""COMPUTED_VALUE"""),2.0)</f>
        <v>2</v>
      </c>
      <c r="L525" s="12">
        <f>IFERROR(__xludf.DUMMYFUNCTION("""COMPUTED_VALUE"""),0.5)</f>
        <v>0.5</v>
      </c>
      <c r="M525" s="11">
        <f>IFERROR(__xludf.DUMMYFUNCTION("""COMPUTED_VALUE"""),1.0)</f>
        <v>1</v>
      </c>
      <c r="N525" s="11">
        <f>IFERROR(__xludf.DUMMYFUNCTION("""COMPUTED_VALUE"""),1779.0)</f>
        <v>1779</v>
      </c>
      <c r="O525" s="13">
        <f>IFERROR(__xludf.DUMMYFUNCTION("""COMPUTED_VALUE"""),3.0)</f>
        <v>3</v>
      </c>
      <c r="P525" s="14">
        <f>IFERROR(__xludf.DUMMYFUNCTION("""COMPUTED_VALUE"""),1.0)</f>
        <v>1</v>
      </c>
      <c r="Q525" s="13">
        <f>IFERROR(__xludf.DUMMYFUNCTION("""COMPUTED_VALUE"""),9.0)</f>
        <v>9</v>
      </c>
      <c r="R525" s="13">
        <f>IFERROR(__xludf.DUMMYFUNCTION("""COMPUTED_VALUE"""),19.0)</f>
        <v>19</v>
      </c>
      <c r="S525" s="15">
        <f>IFERROR(__xludf.DUMMYFUNCTION("""COMPUTED_VALUE"""),0.15789473684210525)</f>
        <v>0.1578947368</v>
      </c>
      <c r="T525" s="16">
        <f>IFERROR(__xludf.DUMMYFUNCTION("""COMPUTED_VALUE"""),444.75)</f>
        <v>444.75</v>
      </c>
      <c r="U525" s="16">
        <f>IFERROR(__xludf.DUMMYFUNCTION("""COMPUTED_VALUE"""),0.75)</f>
        <v>0.75</v>
      </c>
      <c r="V525" s="16">
        <f>IFERROR(__xludf.DUMMYFUNCTION("""COMPUTED_VALUE"""),0.25)</f>
        <v>0.25</v>
      </c>
      <c r="W525" s="16">
        <f>IFERROR(__xludf.DUMMYFUNCTION("""COMPUTED_VALUE"""),2.25)</f>
        <v>2.25</v>
      </c>
      <c r="X525" s="16">
        <f>IFERROR(__xludf.DUMMYFUNCTION("""COMPUTED_VALUE"""),4.75)</f>
        <v>4.75</v>
      </c>
      <c r="Y525" s="11">
        <f>IFERROR(__xludf.DUMMYFUNCTION("""COMPUTED_VALUE"""),1.0)</f>
        <v>1</v>
      </c>
      <c r="Z525" s="11">
        <f>IFERROR(__xludf.DUMMYFUNCTION("""COMPUTED_VALUE"""),0.0)</f>
        <v>0</v>
      </c>
      <c r="AA525" s="11">
        <f>IFERROR(__xludf.DUMMYFUNCTION("""COMPUTED_VALUE"""),0.0)</f>
        <v>0</v>
      </c>
      <c r="AB525" s="11">
        <f>IFERROR(__xludf.DUMMYFUNCTION("""COMPUTED_VALUE"""),2.0)</f>
        <v>2</v>
      </c>
      <c r="AC525" s="11">
        <f>IFERROR(__xludf.DUMMYFUNCTION("""COMPUTED_VALUE"""),1.0)</f>
        <v>1</v>
      </c>
      <c r="AD525" s="11">
        <f>IFERROR(__xludf.DUMMYFUNCTION("""COMPUTED_VALUE"""),3.0)</f>
        <v>3</v>
      </c>
    </row>
    <row r="526">
      <c r="A526" s="10" t="str">
        <f>IFERROR(__xludf.DUMMYFUNCTION("""COMPUTED_VALUE"""),"Rival")</f>
        <v>Rival</v>
      </c>
      <c r="B526" s="10" t="str">
        <f>IFERROR(__xludf.DUMMYFUNCTION("""COMPUTED_VALUE"""),"RSC004536")</f>
        <v>RSC004536</v>
      </c>
      <c r="C526" s="10" t="str">
        <f>IFERROR(__xludf.DUMMYFUNCTION("""COMPUTED_VALUE"""),"Grim")</f>
        <v>Grim</v>
      </c>
      <c r="D526" s="36" t="str">
        <f>IFERROR(__xludf.DUMMYFUNCTION("""COMPUTED_VALUE"""),"Centuriones")</f>
        <v>Centuriones</v>
      </c>
      <c r="E526" s="10" t="str">
        <f>IFERROR(__xludf.DUMMYFUNCTION("""COMPUTED_VALUE"""),"Solar")</f>
        <v>Solar</v>
      </c>
      <c r="F526" s="37">
        <f>IFERROR(__xludf.DUMMYFUNCTION("""COMPUTED_VALUE"""),75.5839003147626)</f>
        <v>75.58390031</v>
      </c>
      <c r="G526" s="38">
        <f>IFERROR(__xludf.DUMMYFUNCTION("""COMPUTED_VALUE"""),86.62243419715973)</f>
        <v>86.6224342</v>
      </c>
      <c r="H526" s="38">
        <f>IFERROR(__xludf.DUMMYFUNCTION("""COMPUTED_VALUE"""),81.10316725596117)</f>
        <v>81.10316726</v>
      </c>
      <c r="I526" s="14">
        <f>IFERROR(__xludf.DUMMYFUNCTION("""COMPUTED_VALUE"""),28.0)</f>
        <v>28</v>
      </c>
      <c r="J526" s="11">
        <f>IFERROR(__xludf.DUMMYFUNCTION("IFERROR(FILTER(Stats!$F:$Z,(Stats!$A:$A=$A526)*(Stats!$B:$B=$B526)))"),19.0)</f>
        <v>19</v>
      </c>
      <c r="K526" s="11">
        <f>IFERROR(__xludf.DUMMYFUNCTION("""COMPUTED_VALUE"""),9.0)</f>
        <v>9</v>
      </c>
      <c r="L526" s="12">
        <f>IFERROR(__xludf.DUMMYFUNCTION("""COMPUTED_VALUE"""),0.6785714285714286)</f>
        <v>0.6785714286</v>
      </c>
      <c r="M526" s="11">
        <f>IFERROR(__xludf.DUMMYFUNCTION("""COMPUTED_VALUE"""),10.0)</f>
        <v>10</v>
      </c>
      <c r="N526" s="11">
        <f>IFERROR(__xludf.DUMMYFUNCTION("""COMPUTED_VALUE"""),10815.0)</f>
        <v>10815</v>
      </c>
      <c r="O526" s="13">
        <f>IFERROR(__xludf.DUMMYFUNCTION("""COMPUTED_VALUE"""),29.0)</f>
        <v>29</v>
      </c>
      <c r="P526" s="14">
        <f>IFERROR(__xludf.DUMMYFUNCTION("""COMPUTED_VALUE"""),18.0)</f>
        <v>18</v>
      </c>
      <c r="Q526" s="13">
        <f>IFERROR(__xludf.DUMMYFUNCTION("""COMPUTED_VALUE"""),40.0)</f>
        <v>40</v>
      </c>
      <c r="R526" s="13">
        <f>IFERROR(__xludf.DUMMYFUNCTION("""COMPUTED_VALUE"""),89.0)</f>
        <v>89</v>
      </c>
      <c r="S526" s="15">
        <f>IFERROR(__xludf.DUMMYFUNCTION("""COMPUTED_VALUE"""),0.3258426966292135)</f>
        <v>0.3258426966</v>
      </c>
      <c r="T526" s="16">
        <f>IFERROR(__xludf.DUMMYFUNCTION("""COMPUTED_VALUE"""),386.25)</f>
        <v>386.25</v>
      </c>
      <c r="U526" s="16">
        <f>IFERROR(__xludf.DUMMYFUNCTION("""COMPUTED_VALUE"""),1.0357142857142858)</f>
        <v>1.035714286</v>
      </c>
      <c r="V526" s="16">
        <f>IFERROR(__xludf.DUMMYFUNCTION("""COMPUTED_VALUE"""),0.6428571428571429)</f>
        <v>0.6428571429</v>
      </c>
      <c r="W526" s="16">
        <f>IFERROR(__xludf.DUMMYFUNCTION("""COMPUTED_VALUE"""),1.4285714285714286)</f>
        <v>1.428571429</v>
      </c>
      <c r="X526" s="16">
        <f>IFERROR(__xludf.DUMMYFUNCTION("""COMPUTED_VALUE"""),3.1785714285714284)</f>
        <v>3.178571429</v>
      </c>
      <c r="Y526" s="11">
        <f>IFERROR(__xludf.DUMMYFUNCTION("""COMPUTED_VALUE"""),5.0)</f>
        <v>5</v>
      </c>
      <c r="Z526" s="11">
        <f>IFERROR(__xludf.DUMMYFUNCTION("""COMPUTED_VALUE"""),3.0)</f>
        <v>3</v>
      </c>
      <c r="AA526" s="11">
        <f>IFERROR(__xludf.DUMMYFUNCTION("""COMPUTED_VALUE"""),1.0)</f>
        <v>1</v>
      </c>
      <c r="AB526" s="11">
        <f>IFERROR(__xludf.DUMMYFUNCTION("""COMPUTED_VALUE"""),7.0)</f>
        <v>7</v>
      </c>
      <c r="AC526" s="11">
        <f>IFERROR(__xludf.DUMMYFUNCTION("""COMPUTED_VALUE"""),21.0)</f>
        <v>21</v>
      </c>
      <c r="AD526" s="11">
        <f>IFERROR(__xludf.DUMMYFUNCTION("""COMPUTED_VALUE"""),38.0)</f>
        <v>38</v>
      </c>
    </row>
    <row r="527">
      <c r="A527" s="10" t="str">
        <f>IFERROR(__xludf.DUMMYFUNCTION("""COMPUTED_VALUE"""),"Rival")</f>
        <v>Rival</v>
      </c>
      <c r="B527" s="10" t="str">
        <f>IFERROR(__xludf.DUMMYFUNCTION("""COMPUTED_VALUE"""),"RSC008557")</f>
        <v>RSC008557</v>
      </c>
      <c r="C527" s="10" t="str">
        <f>IFERROR(__xludf.DUMMYFUNCTION("""COMPUTED_VALUE"""),"lurx bad at rl")</f>
        <v>lurx bad at rl</v>
      </c>
      <c r="D527" s="36" t="str">
        <f>IFERROR(__xludf.DUMMYFUNCTION("""COMPUTED_VALUE"""),"Dracos
Phoenix")</f>
        <v>Dracos
Phoenix</v>
      </c>
      <c r="E527" s="10" t="str">
        <f>IFERROR(__xludf.DUMMYFUNCTION("""COMPUTED_VALUE"""),"Solar
Solar")</f>
        <v>Solar
Solar</v>
      </c>
      <c r="F527" s="37">
        <f>IFERROR(__xludf.DUMMYFUNCTION("""COMPUTED_VALUE"""),76.07587753925657)</f>
        <v>76.07587754</v>
      </c>
      <c r="G527" s="38">
        <f>IFERROR(__xludf.DUMMYFUNCTION("""COMPUTED_VALUE"""),83.22045580719936)</f>
        <v>83.22045581</v>
      </c>
      <c r="H527" s="38">
        <f>IFERROR(__xludf.DUMMYFUNCTION("""COMPUTED_VALUE"""),79.64816667322796)</f>
        <v>79.64816667</v>
      </c>
      <c r="I527" s="14">
        <f>IFERROR(__xludf.DUMMYFUNCTION("""COMPUTED_VALUE"""),20.0)</f>
        <v>20</v>
      </c>
      <c r="J527" s="11">
        <f>IFERROR(__xludf.DUMMYFUNCTION("IFERROR(FILTER(Stats!$F:$Z,(Stats!$A:$A=$A527)*(Stats!$B:$B=$B527)))"),14.0)</f>
        <v>14</v>
      </c>
      <c r="K527" s="11">
        <f>IFERROR(__xludf.DUMMYFUNCTION("""COMPUTED_VALUE"""),6.0)</f>
        <v>6</v>
      </c>
      <c r="L527" s="12">
        <f>IFERROR(__xludf.DUMMYFUNCTION("""COMPUTED_VALUE"""),0.7)</f>
        <v>0.7</v>
      </c>
      <c r="M527" s="11">
        <f>IFERROR(__xludf.DUMMYFUNCTION("""COMPUTED_VALUE"""),8.0)</f>
        <v>8</v>
      </c>
      <c r="N527" s="11">
        <f>IFERROR(__xludf.DUMMYFUNCTION("""COMPUTED_VALUE"""),7522.0)</f>
        <v>7522</v>
      </c>
      <c r="O527" s="13">
        <f>IFERROR(__xludf.DUMMYFUNCTION("""COMPUTED_VALUE"""),22.0)</f>
        <v>22</v>
      </c>
      <c r="P527" s="14">
        <f>IFERROR(__xludf.DUMMYFUNCTION("""COMPUTED_VALUE"""),13.0)</f>
        <v>13</v>
      </c>
      <c r="Q527" s="13">
        <f>IFERROR(__xludf.DUMMYFUNCTION("""COMPUTED_VALUE"""),23.0)</f>
        <v>23</v>
      </c>
      <c r="R527" s="13">
        <f>IFERROR(__xludf.DUMMYFUNCTION("""COMPUTED_VALUE"""),62.0)</f>
        <v>62</v>
      </c>
      <c r="S527" s="15">
        <f>IFERROR(__xludf.DUMMYFUNCTION("""COMPUTED_VALUE"""),0.3548387096774194)</f>
        <v>0.3548387097</v>
      </c>
      <c r="T527" s="16">
        <f>IFERROR(__xludf.DUMMYFUNCTION("""COMPUTED_VALUE"""),376.1)</f>
        <v>376.1</v>
      </c>
      <c r="U527" s="16">
        <f>IFERROR(__xludf.DUMMYFUNCTION("""COMPUTED_VALUE"""),1.1)</f>
        <v>1.1</v>
      </c>
      <c r="V527" s="16">
        <f>IFERROR(__xludf.DUMMYFUNCTION("""COMPUTED_VALUE"""),0.65)</f>
        <v>0.65</v>
      </c>
      <c r="W527" s="16">
        <f>IFERROR(__xludf.DUMMYFUNCTION("""COMPUTED_VALUE"""),1.15)</f>
        <v>1.15</v>
      </c>
      <c r="X527" s="16">
        <f>IFERROR(__xludf.DUMMYFUNCTION("""COMPUTED_VALUE"""),3.1)</f>
        <v>3.1</v>
      </c>
      <c r="Y527" s="11">
        <f>IFERROR(__xludf.DUMMYFUNCTION("""COMPUTED_VALUE"""),5.0)</f>
        <v>5</v>
      </c>
      <c r="Z527" s="11">
        <f>IFERROR(__xludf.DUMMYFUNCTION("""COMPUTED_VALUE"""),3.0)</f>
        <v>3</v>
      </c>
      <c r="AA527" s="11">
        <f>IFERROR(__xludf.DUMMYFUNCTION("""COMPUTED_VALUE"""),0.0)</f>
        <v>0</v>
      </c>
      <c r="AB527" s="11">
        <f>IFERROR(__xludf.DUMMYFUNCTION("""COMPUTED_VALUE"""),2.0)</f>
        <v>2</v>
      </c>
      <c r="AC527" s="11">
        <f>IFERROR(__xludf.DUMMYFUNCTION("""COMPUTED_VALUE"""),10.0)</f>
        <v>10</v>
      </c>
      <c r="AD527" s="11">
        <f>IFERROR(__xludf.DUMMYFUNCTION("""COMPUTED_VALUE"""),10.0)</f>
        <v>10</v>
      </c>
    </row>
    <row r="528">
      <c r="A528" s="10" t="str">
        <f>IFERROR(__xludf.DUMMYFUNCTION("""COMPUTED_VALUE"""),"Rival")</f>
        <v>Rival</v>
      </c>
      <c r="B528" s="10" t="str">
        <f>IFERROR(__xludf.DUMMYFUNCTION("""COMPUTED_VALUE"""),"RSC005265")</f>
        <v>RSC005265</v>
      </c>
      <c r="C528" s="10" t="str">
        <f>IFERROR(__xludf.DUMMYFUNCTION("""COMPUTED_VALUE"""),"doctorprofessor_")</f>
        <v>doctorprofessor_</v>
      </c>
      <c r="D528" s="36" t="str">
        <f>IFERROR(__xludf.DUMMYFUNCTION("""COMPUTED_VALUE"""),"Centuriones")</f>
        <v>Centuriones</v>
      </c>
      <c r="E528" s="10" t="str">
        <f>IFERROR(__xludf.DUMMYFUNCTION("""COMPUTED_VALUE"""),"Solar")</f>
        <v>Solar</v>
      </c>
      <c r="F528" s="37">
        <f>IFERROR(__xludf.DUMMYFUNCTION("""COMPUTED_VALUE"""),78.51384505611207)</f>
        <v>78.51384506</v>
      </c>
      <c r="G528" s="38">
        <f>IFERROR(__xludf.DUMMYFUNCTION("""COMPUTED_VALUE"""),78.49635199141586)</f>
        <v>78.49635199</v>
      </c>
      <c r="H528" s="38">
        <f>IFERROR(__xludf.DUMMYFUNCTION("""COMPUTED_VALUE"""),78.50509852376396)</f>
        <v>78.50509852</v>
      </c>
      <c r="I528" s="14">
        <f>IFERROR(__xludf.DUMMYFUNCTION("""COMPUTED_VALUE"""),52.0)</f>
        <v>52</v>
      </c>
      <c r="J528" s="11">
        <f>IFERROR(__xludf.DUMMYFUNCTION("IFERROR(FILTER(Stats!$F:$Z,(Stats!$A:$A=$A528)*(Stats!$B:$B=$B528)))"),32.0)</f>
        <v>32</v>
      </c>
      <c r="K528" s="11">
        <f>IFERROR(__xludf.DUMMYFUNCTION("""COMPUTED_VALUE"""),20.0)</f>
        <v>20</v>
      </c>
      <c r="L528" s="12">
        <f>IFERROR(__xludf.DUMMYFUNCTION("""COMPUTED_VALUE"""),0.6153846153846154)</f>
        <v>0.6153846154</v>
      </c>
      <c r="M528" s="11">
        <f>IFERROR(__xludf.DUMMYFUNCTION("""COMPUTED_VALUE"""),14.0)</f>
        <v>14</v>
      </c>
      <c r="N528" s="11">
        <f>IFERROR(__xludf.DUMMYFUNCTION("""COMPUTED_VALUE"""),19823.0)</f>
        <v>19823</v>
      </c>
      <c r="O528" s="13">
        <f>IFERROR(__xludf.DUMMYFUNCTION("""COMPUTED_VALUE"""),43.0)</f>
        <v>43</v>
      </c>
      <c r="P528" s="14">
        <f>IFERROR(__xludf.DUMMYFUNCTION("""COMPUTED_VALUE"""),38.0)</f>
        <v>38</v>
      </c>
      <c r="Q528" s="13">
        <f>IFERROR(__xludf.DUMMYFUNCTION("""COMPUTED_VALUE"""),77.0)</f>
        <v>77</v>
      </c>
      <c r="R528" s="13">
        <f>IFERROR(__xludf.DUMMYFUNCTION("""COMPUTED_VALUE"""),145.0)</f>
        <v>145</v>
      </c>
      <c r="S528" s="15">
        <f>IFERROR(__xludf.DUMMYFUNCTION("""COMPUTED_VALUE"""),0.296551724137931)</f>
        <v>0.2965517241</v>
      </c>
      <c r="T528" s="16">
        <f>IFERROR(__xludf.DUMMYFUNCTION("""COMPUTED_VALUE"""),381.21153846153845)</f>
        <v>381.2115385</v>
      </c>
      <c r="U528" s="16">
        <f>IFERROR(__xludf.DUMMYFUNCTION("""COMPUTED_VALUE"""),0.8269230769230769)</f>
        <v>0.8269230769</v>
      </c>
      <c r="V528" s="16">
        <f>IFERROR(__xludf.DUMMYFUNCTION("""COMPUTED_VALUE"""),0.7307692307692307)</f>
        <v>0.7307692308</v>
      </c>
      <c r="W528" s="16">
        <f>IFERROR(__xludf.DUMMYFUNCTION("""COMPUTED_VALUE"""),1.4807692307692308)</f>
        <v>1.480769231</v>
      </c>
      <c r="X528" s="16">
        <f>IFERROR(__xludf.DUMMYFUNCTION("""COMPUTED_VALUE"""),2.7884615384615383)</f>
        <v>2.788461538</v>
      </c>
      <c r="Y528" s="11">
        <f>IFERROR(__xludf.DUMMYFUNCTION("""COMPUTED_VALUE"""),11.0)</f>
        <v>11</v>
      </c>
      <c r="Z528" s="11">
        <f>IFERROR(__xludf.DUMMYFUNCTION("""COMPUTED_VALUE"""),3.0)</f>
        <v>3</v>
      </c>
      <c r="AA528" s="11">
        <f>IFERROR(__xludf.DUMMYFUNCTION("""COMPUTED_VALUE"""),1.0)</f>
        <v>1</v>
      </c>
      <c r="AB528" s="11">
        <f>IFERROR(__xludf.DUMMYFUNCTION("""COMPUTED_VALUE"""),9.0)</f>
        <v>9</v>
      </c>
      <c r="AC528" s="11">
        <f>IFERROR(__xludf.DUMMYFUNCTION("""COMPUTED_VALUE"""),33.0)</f>
        <v>33</v>
      </c>
      <c r="AD528" s="11">
        <f>IFERROR(__xludf.DUMMYFUNCTION("""COMPUTED_VALUE"""),55.0)</f>
        <v>55</v>
      </c>
    </row>
    <row r="529">
      <c r="A529" s="10" t="str">
        <f>IFERROR(__xludf.DUMMYFUNCTION("""COMPUTED_VALUE"""),"Rival")</f>
        <v>Rival</v>
      </c>
      <c r="B529" s="10" t="str">
        <f>IFERROR(__xludf.DUMMYFUNCTION("""COMPUTED_VALUE"""),"RSC003411")</f>
        <v>RSC003411</v>
      </c>
      <c r="C529" s="10" t="str">
        <f>IFERROR(__xludf.DUMMYFUNCTION("""COMPUTED_VALUE"""),"levibullrush")</f>
        <v>levibullrush</v>
      </c>
      <c r="D529" s="36" t="str">
        <f>IFERROR(__xludf.DUMMYFUNCTION("""COMPUTED_VALUE"""),"Quasars")</f>
        <v>Quasars</v>
      </c>
      <c r="E529" s="10" t="str">
        <f>IFERROR(__xludf.DUMMYFUNCTION("""COMPUTED_VALUE"""),"Lunar")</f>
        <v>Lunar</v>
      </c>
      <c r="F529" s="37">
        <f>IFERROR(__xludf.DUMMYFUNCTION("""COMPUTED_VALUE"""),66.80217720650951)</f>
        <v>66.80217721</v>
      </c>
      <c r="G529" s="38">
        <f>IFERROR(__xludf.DUMMYFUNCTION("""COMPUTED_VALUE"""),87.20637415822577)</f>
        <v>87.20637416</v>
      </c>
      <c r="H529" s="38">
        <f>IFERROR(__xludf.DUMMYFUNCTION("""COMPUTED_VALUE"""),77.00427568236765)</f>
        <v>77.00427568</v>
      </c>
      <c r="I529" s="14">
        <f>IFERROR(__xludf.DUMMYFUNCTION("""COMPUTED_VALUE"""),7.0)</f>
        <v>7</v>
      </c>
      <c r="J529" s="11">
        <f>IFERROR(__xludf.DUMMYFUNCTION("IFERROR(FILTER(Stats!$F:$Z,(Stats!$A:$A=$A529)*(Stats!$B:$B=$B529)))"),4.0)</f>
        <v>4</v>
      </c>
      <c r="K529" s="11">
        <f>IFERROR(__xludf.DUMMYFUNCTION("""COMPUTED_VALUE"""),3.0)</f>
        <v>3</v>
      </c>
      <c r="L529" s="12">
        <f>IFERROR(__xludf.DUMMYFUNCTION("""COMPUTED_VALUE"""),0.5714285714285714)</f>
        <v>0.5714285714</v>
      </c>
      <c r="M529" s="11">
        <f>IFERROR(__xludf.DUMMYFUNCTION("""COMPUTED_VALUE"""),1.0)</f>
        <v>1</v>
      </c>
      <c r="N529" s="11">
        <f>IFERROR(__xludf.DUMMYFUNCTION("""COMPUTED_VALUE"""),2812.0)</f>
        <v>2812</v>
      </c>
      <c r="O529" s="13">
        <f>IFERROR(__xludf.DUMMYFUNCTION("""COMPUTED_VALUE"""),6.0)</f>
        <v>6</v>
      </c>
      <c r="P529" s="14">
        <f>IFERROR(__xludf.DUMMYFUNCTION("""COMPUTED_VALUE"""),5.0)</f>
        <v>5</v>
      </c>
      <c r="Q529" s="13">
        <f>IFERROR(__xludf.DUMMYFUNCTION("""COMPUTED_VALUE"""),12.0)</f>
        <v>12</v>
      </c>
      <c r="R529" s="13">
        <f>IFERROR(__xludf.DUMMYFUNCTION("""COMPUTED_VALUE"""),24.0)</f>
        <v>24</v>
      </c>
      <c r="S529" s="15">
        <f>IFERROR(__xludf.DUMMYFUNCTION("""COMPUTED_VALUE"""),0.25)</f>
        <v>0.25</v>
      </c>
      <c r="T529" s="16">
        <f>IFERROR(__xludf.DUMMYFUNCTION("""COMPUTED_VALUE"""),401.7142857142857)</f>
        <v>401.7142857</v>
      </c>
      <c r="U529" s="16">
        <f>IFERROR(__xludf.DUMMYFUNCTION("""COMPUTED_VALUE"""),0.8571428571428571)</f>
        <v>0.8571428571</v>
      </c>
      <c r="V529" s="16">
        <f>IFERROR(__xludf.DUMMYFUNCTION("""COMPUTED_VALUE"""),0.7142857142857143)</f>
        <v>0.7142857143</v>
      </c>
      <c r="W529" s="16">
        <f>IFERROR(__xludf.DUMMYFUNCTION("""COMPUTED_VALUE"""),1.7142857142857142)</f>
        <v>1.714285714</v>
      </c>
      <c r="X529" s="16">
        <f>IFERROR(__xludf.DUMMYFUNCTION("""COMPUTED_VALUE"""),3.4285714285714284)</f>
        <v>3.428571429</v>
      </c>
      <c r="Y529" s="11">
        <f>IFERROR(__xludf.DUMMYFUNCTION("""COMPUTED_VALUE"""),3.0)</f>
        <v>3</v>
      </c>
      <c r="Z529" s="11">
        <f>IFERROR(__xludf.DUMMYFUNCTION("""COMPUTED_VALUE"""),1.0)</f>
        <v>1</v>
      </c>
      <c r="AA529" s="11">
        <f>IFERROR(__xludf.DUMMYFUNCTION("""COMPUTED_VALUE"""),0.0)</f>
        <v>0</v>
      </c>
      <c r="AB529" s="11">
        <f>IFERROR(__xludf.DUMMYFUNCTION("""COMPUTED_VALUE"""),1.0)</f>
        <v>1</v>
      </c>
      <c r="AC529" s="11">
        <f>IFERROR(__xludf.DUMMYFUNCTION("""COMPUTED_VALUE"""),5.0)</f>
        <v>5</v>
      </c>
      <c r="AD529" s="11">
        <f>IFERROR(__xludf.DUMMYFUNCTION("""COMPUTED_VALUE"""),5.0)</f>
        <v>5</v>
      </c>
    </row>
    <row r="530">
      <c r="A530" s="10" t="str">
        <f>IFERROR(__xludf.DUMMYFUNCTION("""COMPUTED_VALUE"""),"Rival")</f>
        <v>Rival</v>
      </c>
      <c r="B530" s="10" t="str">
        <f>IFERROR(__xludf.DUMMYFUNCTION("""COMPUTED_VALUE"""),"RSC007831")</f>
        <v>RSC007831</v>
      </c>
      <c r="C530" s="10" t="str">
        <f>IFERROR(__xludf.DUMMYFUNCTION("""COMPUTED_VALUE"""),"Havox.RL")</f>
        <v>Havox.RL</v>
      </c>
      <c r="D530" s="36" t="str">
        <f>IFERROR(__xludf.DUMMYFUNCTION("""COMPUTED_VALUE"""),"Hue Heroes")</f>
        <v>Hue Heroes</v>
      </c>
      <c r="E530" s="10" t="str">
        <f>IFERROR(__xludf.DUMMYFUNCTION("""COMPUTED_VALUE"""),"Solar")</f>
        <v>Solar</v>
      </c>
      <c r="F530" s="37">
        <f>IFERROR(__xludf.DUMMYFUNCTION("""COMPUTED_VALUE"""),80.66919281112624)</f>
        <v>80.66919281</v>
      </c>
      <c r="G530" s="38">
        <f>IFERROR(__xludf.DUMMYFUNCTION("""COMPUTED_VALUE"""),71.92210468621786)</f>
        <v>71.92210469</v>
      </c>
      <c r="H530" s="38">
        <f>IFERROR(__xludf.DUMMYFUNCTION("""COMPUTED_VALUE"""),76.29564874867205)</f>
        <v>76.29564875</v>
      </c>
      <c r="I530" s="14">
        <f>IFERROR(__xludf.DUMMYFUNCTION("""COMPUTED_VALUE"""),52.0)</f>
        <v>52</v>
      </c>
      <c r="J530" s="11">
        <f>IFERROR(__xludf.DUMMYFUNCTION("IFERROR(FILTER(Stats!$F:$Z,(Stats!$A:$A=$A530)*(Stats!$B:$B=$B530)))"),29.0)</f>
        <v>29</v>
      </c>
      <c r="K530" s="11">
        <f>IFERROR(__xludf.DUMMYFUNCTION("""COMPUTED_VALUE"""),23.0)</f>
        <v>23</v>
      </c>
      <c r="L530" s="12">
        <f>IFERROR(__xludf.DUMMYFUNCTION("""COMPUTED_VALUE"""),0.5576923076923077)</f>
        <v>0.5576923077</v>
      </c>
      <c r="M530" s="11">
        <f>IFERROR(__xludf.DUMMYFUNCTION("""COMPUTED_VALUE"""),15.0)</f>
        <v>15</v>
      </c>
      <c r="N530" s="11">
        <f>IFERROR(__xludf.DUMMYFUNCTION("""COMPUTED_VALUE"""),20890.0)</f>
        <v>20890</v>
      </c>
      <c r="O530" s="13">
        <f>IFERROR(__xludf.DUMMYFUNCTION("""COMPUTED_VALUE"""),52.0)</f>
        <v>52</v>
      </c>
      <c r="P530" s="14">
        <f>IFERROR(__xludf.DUMMYFUNCTION("""COMPUTED_VALUE"""),38.0)</f>
        <v>38</v>
      </c>
      <c r="Q530" s="13">
        <f>IFERROR(__xludf.DUMMYFUNCTION("""COMPUTED_VALUE"""),77.0)</f>
        <v>77</v>
      </c>
      <c r="R530" s="13">
        <f>IFERROR(__xludf.DUMMYFUNCTION("""COMPUTED_VALUE"""),132.0)</f>
        <v>132</v>
      </c>
      <c r="S530" s="15">
        <f>IFERROR(__xludf.DUMMYFUNCTION("""COMPUTED_VALUE"""),0.3939393939393939)</f>
        <v>0.3939393939</v>
      </c>
      <c r="T530" s="16">
        <f>IFERROR(__xludf.DUMMYFUNCTION("""COMPUTED_VALUE"""),401.7307692307692)</f>
        <v>401.7307692</v>
      </c>
      <c r="U530" s="16">
        <f>IFERROR(__xludf.DUMMYFUNCTION("""COMPUTED_VALUE"""),1.0)</f>
        <v>1</v>
      </c>
      <c r="V530" s="16">
        <f>IFERROR(__xludf.DUMMYFUNCTION("""COMPUTED_VALUE"""),0.7307692307692307)</f>
        <v>0.7307692308</v>
      </c>
      <c r="W530" s="16">
        <f>IFERROR(__xludf.DUMMYFUNCTION("""COMPUTED_VALUE"""),1.4807692307692308)</f>
        <v>1.480769231</v>
      </c>
      <c r="X530" s="16">
        <f>IFERROR(__xludf.DUMMYFUNCTION("""COMPUTED_VALUE"""),2.5384615384615383)</f>
        <v>2.538461538</v>
      </c>
      <c r="Y530" s="11">
        <f>IFERROR(__xludf.DUMMYFUNCTION("""COMPUTED_VALUE"""),12.0)</f>
        <v>12</v>
      </c>
      <c r="Z530" s="11">
        <f>IFERROR(__xludf.DUMMYFUNCTION("""COMPUTED_VALUE"""),4.0)</f>
        <v>4</v>
      </c>
      <c r="AA530" s="11">
        <f>IFERROR(__xludf.DUMMYFUNCTION("""COMPUTED_VALUE"""),2.0)</f>
        <v>2</v>
      </c>
      <c r="AB530" s="11">
        <f>IFERROR(__xludf.DUMMYFUNCTION("""COMPUTED_VALUE"""),12.0)</f>
        <v>12</v>
      </c>
      <c r="AC530" s="11">
        <f>IFERROR(__xludf.DUMMYFUNCTION("""COMPUTED_VALUE"""),60.0)</f>
        <v>60</v>
      </c>
      <c r="AD530" s="11">
        <f>IFERROR(__xludf.DUMMYFUNCTION("""COMPUTED_VALUE"""),38.0)</f>
        <v>38</v>
      </c>
    </row>
    <row r="531">
      <c r="A531" s="10" t="str">
        <f>IFERROR(__xludf.DUMMYFUNCTION("""COMPUTED_VALUE"""),"Rival")</f>
        <v>Rival</v>
      </c>
      <c r="B531" s="10" t="str">
        <f>IFERROR(__xludf.DUMMYFUNCTION("""COMPUTED_VALUE"""),"RSC005873")</f>
        <v>RSC005873</v>
      </c>
      <c r="C531" s="10" t="str">
        <f>IFERROR(__xludf.DUMMYFUNCTION("""COMPUTED_VALUE"""),"Gama The Dwarf")</f>
        <v>Gama The Dwarf</v>
      </c>
      <c r="D531" s="36" t="str">
        <f>IFERROR(__xludf.DUMMYFUNCTION("""COMPUTED_VALUE"""),"Mining Legion")</f>
        <v>Mining Legion</v>
      </c>
      <c r="E531" s="10" t="str">
        <f>IFERROR(__xludf.DUMMYFUNCTION("""COMPUTED_VALUE"""),"Lunar")</f>
        <v>Lunar</v>
      </c>
      <c r="F531" s="37">
        <f>IFERROR(__xludf.DUMMYFUNCTION("""COMPUTED_VALUE"""),73.83209886424791)</f>
        <v>73.83209886</v>
      </c>
      <c r="G531" s="38">
        <f>IFERROR(__xludf.DUMMYFUNCTION("""COMPUTED_VALUE"""),78.39497610536813)</f>
        <v>78.39497611</v>
      </c>
      <c r="H531" s="38">
        <f>IFERROR(__xludf.DUMMYFUNCTION("""COMPUTED_VALUE"""),76.11353748480802)</f>
        <v>76.11353748</v>
      </c>
      <c r="I531" s="14">
        <f>IFERROR(__xludf.DUMMYFUNCTION("""COMPUTED_VALUE"""),56.0)</f>
        <v>56</v>
      </c>
      <c r="J531" s="11">
        <f>IFERROR(__xludf.DUMMYFUNCTION("IFERROR(FILTER(Stats!$F:$Z,(Stats!$A:$A=$A531)*(Stats!$B:$B=$B531)))"),35.0)</f>
        <v>35</v>
      </c>
      <c r="K531" s="11">
        <f>IFERROR(__xludf.DUMMYFUNCTION("""COMPUTED_VALUE"""),21.0)</f>
        <v>21</v>
      </c>
      <c r="L531" s="12">
        <f>IFERROR(__xludf.DUMMYFUNCTION("""COMPUTED_VALUE"""),0.625)</f>
        <v>0.625</v>
      </c>
      <c r="M531" s="11">
        <f>IFERROR(__xludf.DUMMYFUNCTION("""COMPUTED_VALUE"""),16.0)</f>
        <v>16</v>
      </c>
      <c r="N531" s="11">
        <f>IFERROR(__xludf.DUMMYFUNCTION("""COMPUTED_VALUE"""),20970.0)</f>
        <v>20970</v>
      </c>
      <c r="O531" s="13">
        <f>IFERROR(__xludf.DUMMYFUNCTION("""COMPUTED_VALUE"""),55.0)</f>
        <v>55</v>
      </c>
      <c r="P531" s="14">
        <f>IFERROR(__xludf.DUMMYFUNCTION("""COMPUTED_VALUE"""),30.0)</f>
        <v>30</v>
      </c>
      <c r="Q531" s="13">
        <f>IFERROR(__xludf.DUMMYFUNCTION("""COMPUTED_VALUE"""),66.0)</f>
        <v>66</v>
      </c>
      <c r="R531" s="13">
        <f>IFERROR(__xludf.DUMMYFUNCTION("""COMPUTED_VALUE"""),174.0)</f>
        <v>174</v>
      </c>
      <c r="S531" s="15">
        <f>IFERROR(__xludf.DUMMYFUNCTION("""COMPUTED_VALUE"""),0.3160919540229885)</f>
        <v>0.316091954</v>
      </c>
      <c r="T531" s="16">
        <f>IFERROR(__xludf.DUMMYFUNCTION("""COMPUTED_VALUE"""),374.4642857142857)</f>
        <v>374.4642857</v>
      </c>
      <c r="U531" s="16">
        <f>IFERROR(__xludf.DUMMYFUNCTION("""COMPUTED_VALUE"""),0.9821428571428571)</f>
        <v>0.9821428571</v>
      </c>
      <c r="V531" s="16">
        <f>IFERROR(__xludf.DUMMYFUNCTION("""COMPUTED_VALUE"""),0.5357142857142857)</f>
        <v>0.5357142857</v>
      </c>
      <c r="W531" s="16">
        <f>IFERROR(__xludf.DUMMYFUNCTION("""COMPUTED_VALUE"""),1.1785714285714286)</f>
        <v>1.178571429</v>
      </c>
      <c r="X531" s="16">
        <f>IFERROR(__xludf.DUMMYFUNCTION("""COMPUTED_VALUE"""),3.107142857142857)</f>
        <v>3.107142857</v>
      </c>
      <c r="Y531" s="11">
        <f>IFERROR(__xludf.DUMMYFUNCTION("""COMPUTED_VALUE"""),8.0)</f>
        <v>8</v>
      </c>
      <c r="Z531" s="11">
        <f>IFERROR(__xludf.DUMMYFUNCTION("""COMPUTED_VALUE"""),4.0)</f>
        <v>4</v>
      </c>
      <c r="AA531" s="11">
        <f>IFERROR(__xludf.DUMMYFUNCTION("""COMPUTED_VALUE"""),0.0)</f>
        <v>0</v>
      </c>
      <c r="AB531" s="11">
        <f>IFERROR(__xludf.DUMMYFUNCTION("""COMPUTED_VALUE"""),6.0)</f>
        <v>6</v>
      </c>
      <c r="AC531" s="11">
        <f>IFERROR(__xludf.DUMMYFUNCTION("""COMPUTED_VALUE"""),54.0)</f>
        <v>54</v>
      </c>
      <c r="AD531" s="11">
        <f>IFERROR(__xludf.DUMMYFUNCTION("""COMPUTED_VALUE"""),57.0)</f>
        <v>57</v>
      </c>
    </row>
    <row r="532">
      <c r="A532" s="10" t="str">
        <f>IFERROR(__xludf.DUMMYFUNCTION("""COMPUTED_VALUE"""),"Rival")</f>
        <v>Rival</v>
      </c>
      <c r="B532" s="10" t="str">
        <f>IFERROR(__xludf.DUMMYFUNCTION("""COMPUTED_VALUE"""),"RSC005150")</f>
        <v>RSC005150</v>
      </c>
      <c r="C532" s="10" t="str">
        <f>IFERROR(__xludf.DUMMYFUNCTION("""COMPUTED_VALUE"""),"Galatiq")</f>
        <v>Galatiq</v>
      </c>
      <c r="D532" s="36" t="str">
        <f>IFERROR(__xludf.DUMMYFUNCTION("""COMPUTED_VALUE"""),"Samurai")</f>
        <v>Samurai</v>
      </c>
      <c r="E532" s="10" t="str">
        <f>IFERROR(__xludf.DUMMYFUNCTION("""COMPUTED_VALUE"""),"Lunar")</f>
        <v>Lunar</v>
      </c>
      <c r="F532" s="37">
        <f>IFERROR(__xludf.DUMMYFUNCTION("""COMPUTED_VALUE"""),64.91589425513263)</f>
        <v>64.91589426</v>
      </c>
      <c r="G532" s="38">
        <f>IFERROR(__xludf.DUMMYFUNCTION("""COMPUTED_VALUE"""),87.29539960278404)</f>
        <v>87.2953996</v>
      </c>
      <c r="H532" s="38">
        <f>IFERROR(__xludf.DUMMYFUNCTION("""COMPUTED_VALUE"""),76.10564692895834)</f>
        <v>76.10564693</v>
      </c>
      <c r="I532" s="14">
        <f>IFERROR(__xludf.DUMMYFUNCTION("""COMPUTED_VALUE"""),8.0)</f>
        <v>8</v>
      </c>
      <c r="J532" s="11">
        <f>IFERROR(__xludf.DUMMYFUNCTION("IFERROR(FILTER(Stats!$F:$Z,(Stats!$A:$A=$A532)*(Stats!$B:$B=$B532)))"),5.0)</f>
        <v>5</v>
      </c>
      <c r="K532" s="11">
        <f>IFERROR(__xludf.DUMMYFUNCTION("""COMPUTED_VALUE"""),3.0)</f>
        <v>3</v>
      </c>
      <c r="L532" s="12">
        <f>IFERROR(__xludf.DUMMYFUNCTION("""COMPUTED_VALUE"""),0.625)</f>
        <v>0.625</v>
      </c>
      <c r="M532" s="11">
        <f>IFERROR(__xludf.DUMMYFUNCTION("""COMPUTED_VALUE"""),2.0)</f>
        <v>2</v>
      </c>
      <c r="N532" s="11">
        <f>IFERROR(__xludf.DUMMYFUNCTION("""COMPUTED_VALUE"""),3239.0)</f>
        <v>3239</v>
      </c>
      <c r="O532" s="13">
        <f>IFERROR(__xludf.DUMMYFUNCTION("""COMPUTED_VALUE"""),5.0)</f>
        <v>5</v>
      </c>
      <c r="P532" s="14">
        <f>IFERROR(__xludf.DUMMYFUNCTION("""COMPUTED_VALUE"""),11.0)</f>
        <v>11</v>
      </c>
      <c r="Q532" s="13">
        <f>IFERROR(__xludf.DUMMYFUNCTION("""COMPUTED_VALUE"""),12.0)</f>
        <v>12</v>
      </c>
      <c r="R532" s="13">
        <f>IFERROR(__xludf.DUMMYFUNCTION("""COMPUTED_VALUE"""),26.0)</f>
        <v>26</v>
      </c>
      <c r="S532" s="15">
        <f>IFERROR(__xludf.DUMMYFUNCTION("""COMPUTED_VALUE"""),0.19230769230769232)</f>
        <v>0.1923076923</v>
      </c>
      <c r="T532" s="16">
        <f>IFERROR(__xludf.DUMMYFUNCTION("""COMPUTED_VALUE"""),404.875)</f>
        <v>404.875</v>
      </c>
      <c r="U532" s="16">
        <f>IFERROR(__xludf.DUMMYFUNCTION("""COMPUTED_VALUE"""),0.625)</f>
        <v>0.625</v>
      </c>
      <c r="V532" s="16">
        <f>IFERROR(__xludf.DUMMYFUNCTION("""COMPUTED_VALUE"""),1.375)</f>
        <v>1.375</v>
      </c>
      <c r="W532" s="16">
        <f>IFERROR(__xludf.DUMMYFUNCTION("""COMPUTED_VALUE"""),1.5)</f>
        <v>1.5</v>
      </c>
      <c r="X532" s="16">
        <f>IFERROR(__xludf.DUMMYFUNCTION("""COMPUTED_VALUE"""),3.25)</f>
        <v>3.25</v>
      </c>
      <c r="Y532" s="11">
        <f>IFERROR(__xludf.DUMMYFUNCTION("""COMPUTED_VALUE"""),2.0)</f>
        <v>2</v>
      </c>
      <c r="Z532" s="11">
        <f>IFERROR(__xludf.DUMMYFUNCTION("""COMPUTED_VALUE"""),0.0)</f>
        <v>0</v>
      </c>
      <c r="AA532" s="11">
        <f>IFERROR(__xludf.DUMMYFUNCTION("""COMPUTED_VALUE"""),1.0)</f>
        <v>1</v>
      </c>
      <c r="AB532" s="11">
        <f>IFERROR(__xludf.DUMMYFUNCTION("""COMPUTED_VALUE"""),1.0)</f>
        <v>1</v>
      </c>
      <c r="AC532" s="11">
        <f>IFERROR(__xludf.DUMMYFUNCTION("""COMPUTED_VALUE"""),8.0)</f>
        <v>8</v>
      </c>
      <c r="AD532" s="11">
        <f>IFERROR(__xludf.DUMMYFUNCTION("""COMPUTED_VALUE"""),7.0)</f>
        <v>7</v>
      </c>
    </row>
    <row r="533">
      <c r="A533" s="10" t="str">
        <f>IFERROR(__xludf.DUMMYFUNCTION("""COMPUTED_VALUE"""),"Rival")</f>
        <v>Rival</v>
      </c>
      <c r="B533" s="10" t="str">
        <f>IFERROR(__xludf.DUMMYFUNCTION("""COMPUTED_VALUE"""),"RSC000367")</f>
        <v>RSC000367</v>
      </c>
      <c r="C533" s="10" t="str">
        <f>IFERROR(__xludf.DUMMYFUNCTION("""COMPUTED_VALUE"""),"Pana")</f>
        <v>Pana</v>
      </c>
      <c r="D533" s="36" t="str">
        <f>IFERROR(__xludf.DUMMYFUNCTION("""COMPUTED_VALUE"""),"Scramjets")</f>
        <v>Scramjets</v>
      </c>
      <c r="E533" s="10" t="str">
        <f>IFERROR(__xludf.DUMMYFUNCTION("""COMPUTED_VALUE"""),"Lunar")</f>
        <v>Lunar</v>
      </c>
      <c r="F533" s="37">
        <f>IFERROR(__xludf.DUMMYFUNCTION("""COMPUTED_VALUE"""),66.31005921467147)</f>
        <v>66.31005921</v>
      </c>
      <c r="G533" s="38">
        <f>IFERROR(__xludf.DUMMYFUNCTION("""COMPUTED_VALUE"""),85.07472802954479)</f>
        <v>85.07472803</v>
      </c>
      <c r="H533" s="38">
        <f>IFERROR(__xludf.DUMMYFUNCTION("""COMPUTED_VALUE"""),75.69239362210813)</f>
        <v>75.69239362</v>
      </c>
      <c r="I533" s="14">
        <f>IFERROR(__xludf.DUMMYFUNCTION("""COMPUTED_VALUE"""),28.0)</f>
        <v>28</v>
      </c>
      <c r="J533" s="11">
        <f>IFERROR(__xludf.DUMMYFUNCTION("IFERROR(FILTER(Stats!$F:$Z,(Stats!$A:$A=$A533)*(Stats!$B:$B=$B533)))"),18.0)</f>
        <v>18</v>
      </c>
      <c r="K533" s="11">
        <f>IFERROR(__xludf.DUMMYFUNCTION("""COMPUTED_VALUE"""),10.0)</f>
        <v>10</v>
      </c>
      <c r="L533" s="12">
        <f>IFERROR(__xludf.DUMMYFUNCTION("""COMPUTED_VALUE"""),0.6428571428571429)</f>
        <v>0.6428571429</v>
      </c>
      <c r="M533" s="11">
        <f>IFERROR(__xludf.DUMMYFUNCTION("""COMPUTED_VALUE"""),5.0)</f>
        <v>5</v>
      </c>
      <c r="N533" s="11">
        <f>IFERROR(__xludf.DUMMYFUNCTION("""COMPUTED_VALUE"""),11047.0)</f>
        <v>11047</v>
      </c>
      <c r="O533" s="13">
        <f>IFERROR(__xludf.DUMMYFUNCTION("""COMPUTED_VALUE"""),35.0)</f>
        <v>35</v>
      </c>
      <c r="P533" s="14">
        <f>IFERROR(__xludf.DUMMYFUNCTION("""COMPUTED_VALUE"""),14.0)</f>
        <v>14</v>
      </c>
      <c r="Q533" s="13">
        <f>IFERROR(__xludf.DUMMYFUNCTION("""COMPUTED_VALUE"""),35.0)</f>
        <v>35</v>
      </c>
      <c r="R533" s="13">
        <f>IFERROR(__xludf.DUMMYFUNCTION("""COMPUTED_VALUE"""),84.0)</f>
        <v>84</v>
      </c>
      <c r="S533" s="15">
        <f>IFERROR(__xludf.DUMMYFUNCTION("""COMPUTED_VALUE"""),0.4166666666666667)</f>
        <v>0.4166666667</v>
      </c>
      <c r="T533" s="16">
        <f>IFERROR(__xludf.DUMMYFUNCTION("""COMPUTED_VALUE"""),394.5357142857143)</f>
        <v>394.5357143</v>
      </c>
      <c r="U533" s="16">
        <f>IFERROR(__xludf.DUMMYFUNCTION("""COMPUTED_VALUE"""),1.25)</f>
        <v>1.25</v>
      </c>
      <c r="V533" s="16">
        <f>IFERROR(__xludf.DUMMYFUNCTION("""COMPUTED_VALUE"""),0.5)</f>
        <v>0.5</v>
      </c>
      <c r="W533" s="16">
        <f>IFERROR(__xludf.DUMMYFUNCTION("""COMPUTED_VALUE"""),1.25)</f>
        <v>1.25</v>
      </c>
      <c r="X533" s="16">
        <f>IFERROR(__xludf.DUMMYFUNCTION("""COMPUTED_VALUE"""),3.0)</f>
        <v>3</v>
      </c>
      <c r="Y533" s="11">
        <f>IFERROR(__xludf.DUMMYFUNCTION("""COMPUTED_VALUE"""),6.0)</f>
        <v>6</v>
      </c>
      <c r="Z533" s="11">
        <f>IFERROR(__xludf.DUMMYFUNCTION("""COMPUTED_VALUE"""),5.0)</f>
        <v>5</v>
      </c>
      <c r="AA533" s="11">
        <f>IFERROR(__xludf.DUMMYFUNCTION("""COMPUTED_VALUE"""),0.0)</f>
        <v>0</v>
      </c>
      <c r="AB533" s="11">
        <f>IFERROR(__xludf.DUMMYFUNCTION("""COMPUTED_VALUE"""),2.0)</f>
        <v>2</v>
      </c>
      <c r="AC533" s="11">
        <f>IFERROR(__xludf.DUMMYFUNCTION("""COMPUTED_VALUE"""),36.0)</f>
        <v>36</v>
      </c>
      <c r="AD533" s="11">
        <f>IFERROR(__xludf.DUMMYFUNCTION("""COMPUTED_VALUE"""),23.0)</f>
        <v>23</v>
      </c>
    </row>
    <row r="534">
      <c r="A534" s="10" t="str">
        <f>IFERROR(__xludf.DUMMYFUNCTION("""COMPUTED_VALUE"""),"Rival")</f>
        <v>Rival</v>
      </c>
      <c r="B534" s="10" t="str">
        <f>IFERROR(__xludf.DUMMYFUNCTION("""COMPUTED_VALUE"""),"RSC006678")</f>
        <v>RSC006678</v>
      </c>
      <c r="C534" s="10" t="str">
        <f>IFERROR(__xludf.DUMMYFUNCTION("""COMPUTED_VALUE"""),"EyeSucka")</f>
        <v>EyeSucka</v>
      </c>
      <c r="D534" s="36" t="str">
        <f>IFERROR(__xludf.DUMMYFUNCTION("""COMPUTED_VALUE"""),"Mining Legion")</f>
        <v>Mining Legion</v>
      </c>
      <c r="E534" s="10" t="str">
        <f>IFERROR(__xludf.DUMMYFUNCTION("""COMPUTED_VALUE"""),"Lunar")</f>
        <v>Lunar</v>
      </c>
      <c r="F534" s="37">
        <f>IFERROR(__xludf.DUMMYFUNCTION("""COMPUTED_VALUE"""),71.56644893258171)</f>
        <v>71.56644893</v>
      </c>
      <c r="G534" s="38">
        <f>IFERROR(__xludf.DUMMYFUNCTION("""COMPUTED_VALUE"""),79.09827906649144)</f>
        <v>79.09827907</v>
      </c>
      <c r="H534" s="38">
        <f>IFERROR(__xludf.DUMMYFUNCTION("""COMPUTED_VALUE"""),75.33236399953657)</f>
        <v>75.332364</v>
      </c>
      <c r="I534" s="14">
        <f>IFERROR(__xludf.DUMMYFUNCTION("""COMPUTED_VALUE"""),52.0)</f>
        <v>52</v>
      </c>
      <c r="J534" s="11">
        <f>IFERROR(__xludf.DUMMYFUNCTION("IFERROR(FILTER(Stats!$F:$Z,(Stats!$A:$A=$A534)*(Stats!$B:$B=$B534)))"),34.0)</f>
        <v>34</v>
      </c>
      <c r="K534" s="11">
        <f>IFERROR(__xludf.DUMMYFUNCTION("""COMPUTED_VALUE"""),18.0)</f>
        <v>18</v>
      </c>
      <c r="L534" s="12">
        <f>IFERROR(__xludf.DUMMYFUNCTION("""COMPUTED_VALUE"""),0.6538461538461539)</f>
        <v>0.6538461538</v>
      </c>
      <c r="M534" s="11">
        <f>IFERROR(__xludf.DUMMYFUNCTION("""COMPUTED_VALUE"""),13.0)</f>
        <v>13</v>
      </c>
      <c r="N534" s="11">
        <f>IFERROR(__xludf.DUMMYFUNCTION("""COMPUTED_VALUE"""),18255.0)</f>
        <v>18255</v>
      </c>
      <c r="O534" s="13">
        <f>IFERROR(__xludf.DUMMYFUNCTION("""COMPUTED_VALUE"""),48.0)</f>
        <v>48</v>
      </c>
      <c r="P534" s="14">
        <f>IFERROR(__xludf.DUMMYFUNCTION("""COMPUTED_VALUE"""),32.0)</f>
        <v>32</v>
      </c>
      <c r="Q534" s="13">
        <f>IFERROR(__xludf.DUMMYFUNCTION("""COMPUTED_VALUE"""),52.0)</f>
        <v>52</v>
      </c>
      <c r="R534" s="13">
        <f>IFERROR(__xludf.DUMMYFUNCTION("""COMPUTED_VALUE"""),162.0)</f>
        <v>162</v>
      </c>
      <c r="S534" s="15">
        <f>IFERROR(__xludf.DUMMYFUNCTION("""COMPUTED_VALUE"""),0.2962962962962963)</f>
        <v>0.2962962963</v>
      </c>
      <c r="T534" s="16">
        <f>IFERROR(__xludf.DUMMYFUNCTION("""COMPUTED_VALUE"""),351.0576923076923)</f>
        <v>351.0576923</v>
      </c>
      <c r="U534" s="16">
        <f>IFERROR(__xludf.DUMMYFUNCTION("""COMPUTED_VALUE"""),0.9230769230769231)</f>
        <v>0.9230769231</v>
      </c>
      <c r="V534" s="16">
        <f>IFERROR(__xludf.DUMMYFUNCTION("""COMPUTED_VALUE"""),0.6153846153846154)</f>
        <v>0.6153846154</v>
      </c>
      <c r="W534" s="16">
        <f>IFERROR(__xludf.DUMMYFUNCTION("""COMPUTED_VALUE"""),1.0)</f>
        <v>1</v>
      </c>
      <c r="X534" s="16">
        <f>IFERROR(__xludf.DUMMYFUNCTION("""COMPUTED_VALUE"""),3.1153846153846154)</f>
        <v>3.115384615</v>
      </c>
      <c r="Y534" s="11">
        <f>IFERROR(__xludf.DUMMYFUNCTION("""COMPUTED_VALUE"""),11.0)</f>
        <v>11</v>
      </c>
      <c r="Z534" s="11">
        <f>IFERROR(__xludf.DUMMYFUNCTION("""COMPUTED_VALUE"""),1.0)</f>
        <v>1</v>
      </c>
      <c r="AA534" s="11">
        <f>IFERROR(__xludf.DUMMYFUNCTION("""COMPUTED_VALUE"""),0.0)</f>
        <v>0</v>
      </c>
      <c r="AB534" s="11">
        <f>IFERROR(__xludf.DUMMYFUNCTION("""COMPUTED_VALUE"""),1.0)</f>
        <v>1</v>
      </c>
      <c r="AC534" s="11">
        <f>IFERROR(__xludf.DUMMYFUNCTION("""COMPUTED_VALUE"""),22.0)</f>
        <v>22</v>
      </c>
      <c r="AD534" s="11">
        <f>IFERROR(__xludf.DUMMYFUNCTION("""COMPUTED_VALUE"""),65.0)</f>
        <v>65</v>
      </c>
    </row>
    <row r="535">
      <c r="A535" s="10" t="str">
        <f>IFERROR(__xludf.DUMMYFUNCTION("""COMPUTED_VALUE"""),"Rival")</f>
        <v>Rival</v>
      </c>
      <c r="B535" s="10" t="str">
        <f>IFERROR(__xludf.DUMMYFUNCTION("""COMPUTED_VALUE"""),"RSC008405")</f>
        <v>RSC008405</v>
      </c>
      <c r="C535" s="10" t="str">
        <f>IFERROR(__xludf.DUMMYFUNCTION("""COMPUTED_VALUE"""),"gxcid")</f>
        <v>gxcid</v>
      </c>
      <c r="D535" s="36" t="str">
        <f>IFERROR(__xludf.DUMMYFUNCTION("""COMPUTED_VALUE"""),"Barracudas")</f>
        <v>Barracudas</v>
      </c>
      <c r="E535" s="10" t="str">
        <f>IFERROR(__xludf.DUMMYFUNCTION("""COMPUTED_VALUE"""),"Lunar")</f>
        <v>Lunar</v>
      </c>
      <c r="F535" s="37">
        <f>IFERROR(__xludf.DUMMYFUNCTION("""COMPUTED_VALUE"""),68.00276708863893)</f>
        <v>68.00276709</v>
      </c>
      <c r="G535" s="38">
        <f>IFERROR(__xludf.DUMMYFUNCTION("""COMPUTED_VALUE"""),78.78997328398327)</f>
        <v>78.78997328</v>
      </c>
      <c r="H535" s="38">
        <f>IFERROR(__xludf.DUMMYFUNCTION("""COMPUTED_VALUE"""),73.3963701863111)</f>
        <v>73.39637019</v>
      </c>
      <c r="I535" s="14">
        <f>IFERROR(__xludf.DUMMYFUNCTION("""COMPUTED_VALUE"""),40.0)</f>
        <v>40</v>
      </c>
      <c r="J535" s="11">
        <f>IFERROR(__xludf.DUMMYFUNCTION("IFERROR(FILTER(Stats!$F:$Z,(Stats!$A:$A=$A535)*(Stats!$B:$B=$B535)))"),23.0)</f>
        <v>23</v>
      </c>
      <c r="K535" s="11">
        <f>IFERROR(__xludf.DUMMYFUNCTION("""COMPUTED_VALUE"""),17.0)</f>
        <v>17</v>
      </c>
      <c r="L535" s="12">
        <f>IFERROR(__xludf.DUMMYFUNCTION("""COMPUTED_VALUE"""),0.575)</f>
        <v>0.575</v>
      </c>
      <c r="M535" s="11">
        <f>IFERROR(__xludf.DUMMYFUNCTION("""COMPUTED_VALUE"""),10.0)</f>
        <v>10</v>
      </c>
      <c r="N535" s="11">
        <f>IFERROR(__xludf.DUMMYFUNCTION("""COMPUTED_VALUE"""),16162.0)</f>
        <v>16162</v>
      </c>
      <c r="O535" s="13">
        <f>IFERROR(__xludf.DUMMYFUNCTION("""COMPUTED_VALUE"""),37.0)</f>
        <v>37</v>
      </c>
      <c r="P535" s="14">
        <f>IFERROR(__xludf.DUMMYFUNCTION("""COMPUTED_VALUE"""),23.0)</f>
        <v>23</v>
      </c>
      <c r="Q535" s="13">
        <f>IFERROR(__xludf.DUMMYFUNCTION("""COMPUTED_VALUE"""),62.0)</f>
        <v>62</v>
      </c>
      <c r="R535" s="13">
        <f>IFERROR(__xludf.DUMMYFUNCTION("""COMPUTED_VALUE"""),133.0)</f>
        <v>133</v>
      </c>
      <c r="S535" s="15">
        <f>IFERROR(__xludf.DUMMYFUNCTION("""COMPUTED_VALUE"""),0.2781954887218045)</f>
        <v>0.2781954887</v>
      </c>
      <c r="T535" s="16">
        <f>IFERROR(__xludf.DUMMYFUNCTION("""COMPUTED_VALUE"""),404.05)</f>
        <v>404.05</v>
      </c>
      <c r="U535" s="16">
        <f>IFERROR(__xludf.DUMMYFUNCTION("""COMPUTED_VALUE"""),0.925)</f>
        <v>0.925</v>
      </c>
      <c r="V535" s="16">
        <f>IFERROR(__xludf.DUMMYFUNCTION("""COMPUTED_VALUE"""),0.575)</f>
        <v>0.575</v>
      </c>
      <c r="W535" s="16">
        <f>IFERROR(__xludf.DUMMYFUNCTION("""COMPUTED_VALUE"""),1.55)</f>
        <v>1.55</v>
      </c>
      <c r="X535" s="16">
        <f>IFERROR(__xludf.DUMMYFUNCTION("""COMPUTED_VALUE"""),3.325)</f>
        <v>3.325</v>
      </c>
      <c r="Y535" s="11">
        <f>IFERROR(__xludf.DUMMYFUNCTION("""COMPUTED_VALUE"""),10.0)</f>
        <v>10</v>
      </c>
      <c r="Z535" s="11">
        <f>IFERROR(__xludf.DUMMYFUNCTION("""COMPUTED_VALUE"""),2.0)</f>
        <v>2</v>
      </c>
      <c r="AA535" s="11">
        <f>IFERROR(__xludf.DUMMYFUNCTION("""COMPUTED_VALUE"""),1.0)</f>
        <v>1</v>
      </c>
      <c r="AB535" s="11">
        <f>IFERROR(__xludf.DUMMYFUNCTION("""COMPUTED_VALUE"""),5.0)</f>
        <v>5</v>
      </c>
      <c r="AC535" s="11">
        <f>IFERROR(__xludf.DUMMYFUNCTION("""COMPUTED_VALUE"""),34.0)</f>
        <v>34</v>
      </c>
      <c r="AD535" s="11">
        <f>IFERROR(__xludf.DUMMYFUNCTION("""COMPUTED_VALUE"""),30.0)</f>
        <v>30</v>
      </c>
    </row>
    <row r="536">
      <c r="A536" s="10" t="str">
        <f>IFERROR(__xludf.DUMMYFUNCTION("""COMPUTED_VALUE"""),"Rival")</f>
        <v>Rival</v>
      </c>
      <c r="B536" s="10" t="str">
        <f>IFERROR(__xludf.DUMMYFUNCTION("""COMPUTED_VALUE"""),"RSC008360")</f>
        <v>RSC008360</v>
      </c>
      <c r="C536" s="10" t="str">
        <f>IFERROR(__xludf.DUMMYFUNCTION("""COMPUTED_VALUE"""),"Merk890")</f>
        <v>Merk890</v>
      </c>
      <c r="D536" s="36" t="str">
        <f>IFERROR(__xludf.DUMMYFUNCTION("""COMPUTED_VALUE"""),"Lightning")</f>
        <v>Lightning</v>
      </c>
      <c r="E536" s="10" t="str">
        <f>IFERROR(__xludf.DUMMYFUNCTION("""COMPUTED_VALUE"""),"Lunar")</f>
        <v>Lunar</v>
      </c>
      <c r="F536" s="37">
        <f>IFERROR(__xludf.DUMMYFUNCTION("""COMPUTED_VALUE"""),72.44231214328913)</f>
        <v>72.44231214</v>
      </c>
      <c r="G536" s="38">
        <f>IFERROR(__xludf.DUMMYFUNCTION("""COMPUTED_VALUE"""),72.0425544444557)</f>
        <v>72.04255444</v>
      </c>
      <c r="H536" s="38">
        <f>IFERROR(__xludf.DUMMYFUNCTION("""COMPUTED_VALUE"""),72.24243329387241)</f>
        <v>72.24243329</v>
      </c>
      <c r="I536" s="14">
        <f>IFERROR(__xludf.DUMMYFUNCTION("""COMPUTED_VALUE"""),44.0)</f>
        <v>44</v>
      </c>
      <c r="J536" s="11">
        <f>IFERROR(__xludf.DUMMYFUNCTION("IFERROR(FILTER(Stats!$F:$Z,(Stats!$A:$A=$A536)*(Stats!$B:$B=$B536)))"),24.0)</f>
        <v>24</v>
      </c>
      <c r="K536" s="11">
        <f>IFERROR(__xludf.DUMMYFUNCTION("""COMPUTED_VALUE"""),20.0)</f>
        <v>20</v>
      </c>
      <c r="L536" s="12">
        <f>IFERROR(__xludf.DUMMYFUNCTION("""COMPUTED_VALUE"""),0.5454545454545454)</f>
        <v>0.5454545455</v>
      </c>
      <c r="M536" s="11">
        <f>IFERROR(__xludf.DUMMYFUNCTION("""COMPUTED_VALUE"""),9.0)</f>
        <v>9</v>
      </c>
      <c r="N536" s="11">
        <f>IFERROR(__xludf.DUMMYFUNCTION("""COMPUTED_VALUE"""),16382.0)</f>
        <v>16382</v>
      </c>
      <c r="O536" s="13">
        <f>IFERROR(__xludf.DUMMYFUNCTION("""COMPUTED_VALUE"""),41.0)</f>
        <v>41</v>
      </c>
      <c r="P536" s="14">
        <f>IFERROR(__xludf.DUMMYFUNCTION("""COMPUTED_VALUE"""),31.0)</f>
        <v>31</v>
      </c>
      <c r="Q536" s="13">
        <f>IFERROR(__xludf.DUMMYFUNCTION("""COMPUTED_VALUE"""),50.0)</f>
        <v>50</v>
      </c>
      <c r="R536" s="13">
        <f>IFERROR(__xludf.DUMMYFUNCTION("""COMPUTED_VALUE"""),119.0)</f>
        <v>119</v>
      </c>
      <c r="S536" s="15">
        <f>IFERROR(__xludf.DUMMYFUNCTION("""COMPUTED_VALUE"""),0.3445378151260504)</f>
        <v>0.3445378151</v>
      </c>
      <c r="T536" s="16">
        <f>IFERROR(__xludf.DUMMYFUNCTION("""COMPUTED_VALUE"""),372.3181818181818)</f>
        <v>372.3181818</v>
      </c>
      <c r="U536" s="16">
        <f>IFERROR(__xludf.DUMMYFUNCTION("""COMPUTED_VALUE"""),0.9318181818181818)</f>
        <v>0.9318181818</v>
      </c>
      <c r="V536" s="16">
        <f>IFERROR(__xludf.DUMMYFUNCTION("""COMPUTED_VALUE"""),0.7045454545454546)</f>
        <v>0.7045454545</v>
      </c>
      <c r="W536" s="16">
        <f>IFERROR(__xludf.DUMMYFUNCTION("""COMPUTED_VALUE"""),1.1363636363636365)</f>
        <v>1.136363636</v>
      </c>
      <c r="X536" s="16">
        <f>IFERROR(__xludf.DUMMYFUNCTION("""COMPUTED_VALUE"""),2.7045454545454546)</f>
        <v>2.704545455</v>
      </c>
      <c r="Y536" s="11">
        <f>IFERROR(__xludf.DUMMYFUNCTION("""COMPUTED_VALUE"""),11.0)</f>
        <v>11</v>
      </c>
      <c r="Z536" s="11">
        <f>IFERROR(__xludf.DUMMYFUNCTION("""COMPUTED_VALUE"""),4.0)</f>
        <v>4</v>
      </c>
      <c r="AA536" s="11">
        <f>IFERROR(__xludf.DUMMYFUNCTION("""COMPUTED_VALUE"""),1.0)</f>
        <v>1</v>
      </c>
      <c r="AB536" s="11">
        <f>IFERROR(__xludf.DUMMYFUNCTION("""COMPUTED_VALUE"""),7.0)</f>
        <v>7</v>
      </c>
      <c r="AC536" s="11">
        <f>IFERROR(__xludf.DUMMYFUNCTION("""COMPUTED_VALUE"""),9.0)</f>
        <v>9</v>
      </c>
      <c r="AD536" s="11">
        <f>IFERROR(__xludf.DUMMYFUNCTION("""COMPUTED_VALUE"""),46.0)</f>
        <v>46</v>
      </c>
    </row>
    <row r="537">
      <c r="A537" s="10" t="str">
        <f>IFERROR(__xludf.DUMMYFUNCTION("""COMPUTED_VALUE"""),"Rival")</f>
        <v>Rival</v>
      </c>
      <c r="B537" s="10" t="str">
        <f>IFERROR(__xludf.DUMMYFUNCTION("""COMPUTED_VALUE"""),"RSC005834")</f>
        <v>RSC005834</v>
      </c>
      <c r="C537" s="10" t="str">
        <f>IFERROR(__xludf.DUMMYFUNCTION("""COMPUTED_VALUE"""),"IIIYummyIII")</f>
        <v>IIIYummyIII</v>
      </c>
      <c r="D537" s="36" t="str">
        <f>IFERROR(__xludf.DUMMYFUNCTION("""COMPUTED_VALUE"""),"Hot Wings")</f>
        <v>Hot Wings</v>
      </c>
      <c r="E537" s="10" t="str">
        <f>IFERROR(__xludf.DUMMYFUNCTION("""COMPUTED_VALUE"""),"Lunar")</f>
        <v>Lunar</v>
      </c>
      <c r="F537" s="37">
        <f>IFERROR(__xludf.DUMMYFUNCTION("""COMPUTED_VALUE"""),71.61909081794137)</f>
        <v>71.61909082</v>
      </c>
      <c r="G537" s="38">
        <f>IFERROR(__xludf.DUMMYFUNCTION("""COMPUTED_VALUE"""),71.94989476990114)</f>
        <v>71.94989477</v>
      </c>
      <c r="H537" s="38">
        <f>IFERROR(__xludf.DUMMYFUNCTION("""COMPUTED_VALUE"""),71.78449279392126)</f>
        <v>71.78449279</v>
      </c>
      <c r="I537" s="14">
        <f>IFERROR(__xludf.DUMMYFUNCTION("""COMPUTED_VALUE"""),54.0)</f>
        <v>54</v>
      </c>
      <c r="J537" s="11">
        <f>IFERROR(__xludf.DUMMYFUNCTION("IFERROR(FILTER(Stats!$F:$Z,(Stats!$A:$A=$A537)*(Stats!$B:$B=$B537)))"),25.0)</f>
        <v>25</v>
      </c>
      <c r="K537" s="11">
        <f>IFERROR(__xludf.DUMMYFUNCTION("""COMPUTED_VALUE"""),29.0)</f>
        <v>29</v>
      </c>
      <c r="L537" s="12">
        <f>IFERROR(__xludf.DUMMYFUNCTION("""COMPUTED_VALUE"""),0.46296296296296297)</f>
        <v>0.462962963</v>
      </c>
      <c r="M537" s="11">
        <f>IFERROR(__xludf.DUMMYFUNCTION("""COMPUTED_VALUE"""),14.0)</f>
        <v>14</v>
      </c>
      <c r="N537" s="11">
        <f>IFERROR(__xludf.DUMMYFUNCTION("""COMPUTED_VALUE"""),21613.0)</f>
        <v>21613</v>
      </c>
      <c r="O537" s="13">
        <f>IFERROR(__xludf.DUMMYFUNCTION("""COMPUTED_VALUE"""),56.0)</f>
        <v>56</v>
      </c>
      <c r="P537" s="14">
        <f>IFERROR(__xludf.DUMMYFUNCTION("""COMPUTED_VALUE"""),30.0)</f>
        <v>30</v>
      </c>
      <c r="Q537" s="13">
        <f>IFERROR(__xludf.DUMMYFUNCTION("""COMPUTED_VALUE"""),80.0)</f>
        <v>80</v>
      </c>
      <c r="R537" s="13">
        <f>IFERROR(__xludf.DUMMYFUNCTION("""COMPUTED_VALUE"""),147.0)</f>
        <v>147</v>
      </c>
      <c r="S537" s="15">
        <f>IFERROR(__xludf.DUMMYFUNCTION("""COMPUTED_VALUE"""),0.38095238095238093)</f>
        <v>0.380952381</v>
      </c>
      <c r="T537" s="16">
        <f>IFERROR(__xludf.DUMMYFUNCTION("""COMPUTED_VALUE"""),400.24074074074076)</f>
        <v>400.2407407</v>
      </c>
      <c r="U537" s="16">
        <f>IFERROR(__xludf.DUMMYFUNCTION("""COMPUTED_VALUE"""),1.037037037037037)</f>
        <v>1.037037037</v>
      </c>
      <c r="V537" s="16">
        <f>IFERROR(__xludf.DUMMYFUNCTION("""COMPUTED_VALUE"""),0.5555555555555556)</f>
        <v>0.5555555556</v>
      </c>
      <c r="W537" s="16">
        <f>IFERROR(__xludf.DUMMYFUNCTION("""COMPUTED_VALUE"""),1.4814814814814814)</f>
        <v>1.481481481</v>
      </c>
      <c r="X537" s="16">
        <f>IFERROR(__xludf.DUMMYFUNCTION("""COMPUTED_VALUE"""),2.7222222222222223)</f>
        <v>2.722222222</v>
      </c>
      <c r="Y537" s="11">
        <f>IFERROR(__xludf.DUMMYFUNCTION("""COMPUTED_VALUE"""),15.0)</f>
        <v>15</v>
      </c>
      <c r="Z537" s="11">
        <f>IFERROR(__xludf.DUMMYFUNCTION("""COMPUTED_VALUE"""),4.0)</f>
        <v>4</v>
      </c>
      <c r="AA537" s="11">
        <f>IFERROR(__xludf.DUMMYFUNCTION("""COMPUTED_VALUE"""),2.0)</f>
        <v>2</v>
      </c>
      <c r="AB537" s="11">
        <f>IFERROR(__xludf.DUMMYFUNCTION("""COMPUTED_VALUE"""),9.0)</f>
        <v>9</v>
      </c>
      <c r="AC537" s="11">
        <f>IFERROR(__xludf.DUMMYFUNCTION("""COMPUTED_VALUE"""),48.0)</f>
        <v>48</v>
      </c>
      <c r="AD537" s="11">
        <f>IFERROR(__xludf.DUMMYFUNCTION("""COMPUTED_VALUE"""),53.0)</f>
        <v>53</v>
      </c>
    </row>
    <row r="538">
      <c r="A538" s="10" t="str">
        <f>IFERROR(__xludf.DUMMYFUNCTION("""COMPUTED_VALUE"""),"Rival")</f>
        <v>Rival</v>
      </c>
      <c r="B538" s="10" t="str">
        <f>IFERROR(__xludf.DUMMYFUNCTION("""COMPUTED_VALUE"""),"RSC008234")</f>
        <v>RSC008234</v>
      </c>
      <c r="C538" s="10" t="str">
        <f>IFERROR(__xludf.DUMMYFUNCTION("""COMPUTED_VALUE"""),"Its_Bran")</f>
        <v>Its_Bran</v>
      </c>
      <c r="D538" s="36" t="str">
        <f>IFERROR(__xludf.DUMMYFUNCTION("""COMPUTED_VALUE"""),"Asiago Arsonists")</f>
        <v>Asiago Arsonists</v>
      </c>
      <c r="E538" s="10" t="str">
        <f>IFERROR(__xludf.DUMMYFUNCTION("""COMPUTED_VALUE"""),"Lunar")</f>
        <v>Lunar</v>
      </c>
      <c r="F538" s="37">
        <f>IFERROR(__xludf.DUMMYFUNCTION("""COMPUTED_VALUE"""),68.52869275396387)</f>
        <v>68.52869275</v>
      </c>
      <c r="G538" s="38">
        <f>IFERROR(__xludf.DUMMYFUNCTION("""COMPUTED_VALUE"""),73.19897307110155)</f>
        <v>73.19897307</v>
      </c>
      <c r="H538" s="38">
        <f>IFERROR(__xludf.DUMMYFUNCTION("""COMPUTED_VALUE"""),70.8638329125327)</f>
        <v>70.86383291</v>
      </c>
      <c r="I538" s="14">
        <f>IFERROR(__xludf.DUMMYFUNCTION("""COMPUTED_VALUE"""),46.0)</f>
        <v>46</v>
      </c>
      <c r="J538" s="11">
        <f>IFERROR(__xludf.DUMMYFUNCTION("IFERROR(FILTER(Stats!$F:$Z,(Stats!$A:$A=$A538)*(Stats!$B:$B=$B538)))"),29.0)</f>
        <v>29</v>
      </c>
      <c r="K538" s="11">
        <f>IFERROR(__xludf.DUMMYFUNCTION("""COMPUTED_VALUE"""),17.0)</f>
        <v>17</v>
      </c>
      <c r="L538" s="12">
        <f>IFERROR(__xludf.DUMMYFUNCTION("""COMPUTED_VALUE"""),0.6304347826086957)</f>
        <v>0.6304347826</v>
      </c>
      <c r="M538" s="11">
        <f>IFERROR(__xludf.DUMMYFUNCTION("""COMPUTED_VALUE"""),13.0)</f>
        <v>13</v>
      </c>
      <c r="N538" s="11">
        <f>IFERROR(__xludf.DUMMYFUNCTION("""COMPUTED_VALUE"""),18135.0)</f>
        <v>18135</v>
      </c>
      <c r="O538" s="13">
        <f>IFERROR(__xludf.DUMMYFUNCTION("""COMPUTED_VALUE"""),43.0)</f>
        <v>43</v>
      </c>
      <c r="P538" s="14">
        <f>IFERROR(__xludf.DUMMYFUNCTION("""COMPUTED_VALUE"""),29.0)</f>
        <v>29</v>
      </c>
      <c r="Q538" s="13">
        <f>IFERROR(__xludf.DUMMYFUNCTION("""COMPUTED_VALUE"""),75.0)</f>
        <v>75</v>
      </c>
      <c r="R538" s="13">
        <f>IFERROR(__xludf.DUMMYFUNCTION("""COMPUTED_VALUE"""),128.0)</f>
        <v>128</v>
      </c>
      <c r="S538" s="15">
        <f>IFERROR(__xludf.DUMMYFUNCTION("""COMPUTED_VALUE"""),0.3359375)</f>
        <v>0.3359375</v>
      </c>
      <c r="T538" s="16">
        <f>IFERROR(__xludf.DUMMYFUNCTION("""COMPUTED_VALUE"""),394.2391304347826)</f>
        <v>394.2391304</v>
      </c>
      <c r="U538" s="16">
        <f>IFERROR(__xludf.DUMMYFUNCTION("""COMPUTED_VALUE"""),0.9347826086956522)</f>
        <v>0.9347826087</v>
      </c>
      <c r="V538" s="16">
        <f>IFERROR(__xludf.DUMMYFUNCTION("""COMPUTED_VALUE"""),0.6304347826086957)</f>
        <v>0.6304347826</v>
      </c>
      <c r="W538" s="16">
        <f>IFERROR(__xludf.DUMMYFUNCTION("""COMPUTED_VALUE"""),1.6304347826086956)</f>
        <v>1.630434783</v>
      </c>
      <c r="X538" s="16">
        <f>IFERROR(__xludf.DUMMYFUNCTION("""COMPUTED_VALUE"""),2.782608695652174)</f>
        <v>2.782608696</v>
      </c>
      <c r="Y538" s="11">
        <f>IFERROR(__xludf.DUMMYFUNCTION("""COMPUTED_VALUE"""),7.0)</f>
        <v>7</v>
      </c>
      <c r="Z538" s="11">
        <f>IFERROR(__xludf.DUMMYFUNCTION("""COMPUTED_VALUE"""),4.0)</f>
        <v>4</v>
      </c>
      <c r="AA538" s="11">
        <f>IFERROR(__xludf.DUMMYFUNCTION("""COMPUTED_VALUE"""),2.0)</f>
        <v>2</v>
      </c>
      <c r="AB538" s="11">
        <f>IFERROR(__xludf.DUMMYFUNCTION("""COMPUTED_VALUE"""),8.0)</f>
        <v>8</v>
      </c>
      <c r="AC538" s="11">
        <f>IFERROR(__xludf.DUMMYFUNCTION("""COMPUTED_VALUE"""),47.0)</f>
        <v>47</v>
      </c>
      <c r="AD538" s="11">
        <f>IFERROR(__xludf.DUMMYFUNCTION("""COMPUTED_VALUE"""),46.0)</f>
        <v>46</v>
      </c>
    </row>
    <row r="539">
      <c r="A539" s="10" t="str">
        <f>IFERROR(__xludf.DUMMYFUNCTION("""COMPUTED_VALUE"""),"Rival")</f>
        <v>Rival</v>
      </c>
      <c r="B539" s="10" t="str">
        <f>IFERROR(__xludf.DUMMYFUNCTION("""COMPUTED_VALUE"""),"RSC006770")</f>
        <v>RSC006770</v>
      </c>
      <c r="C539" s="10" t="str">
        <f>IFERROR(__xludf.DUMMYFUNCTION("""COMPUTED_VALUE"""),"ExecutivePowers")</f>
        <v>ExecutivePowers</v>
      </c>
      <c r="D539" s="36" t="str">
        <f>IFERROR(__xludf.DUMMYFUNCTION("""COMPUTED_VALUE"""),"Guards")</f>
        <v>Guards</v>
      </c>
      <c r="E539" s="10" t="str">
        <f>IFERROR(__xludf.DUMMYFUNCTION("""COMPUTED_VALUE"""),"Lunar")</f>
        <v>Lunar</v>
      </c>
      <c r="F539" s="37">
        <f>IFERROR(__xludf.DUMMYFUNCTION("""COMPUTED_VALUE"""),74.2370866036801)</f>
        <v>74.2370866</v>
      </c>
      <c r="G539" s="38">
        <f>IFERROR(__xludf.DUMMYFUNCTION("""COMPUTED_VALUE"""),65.16558753441942)</f>
        <v>65.16558753</v>
      </c>
      <c r="H539" s="38">
        <f>IFERROR(__xludf.DUMMYFUNCTION("""COMPUTED_VALUE"""),69.70133706904976)</f>
        <v>69.70133707</v>
      </c>
      <c r="I539" s="14">
        <f>IFERROR(__xludf.DUMMYFUNCTION("""COMPUTED_VALUE"""),48.0)</f>
        <v>48</v>
      </c>
      <c r="J539" s="11">
        <f>IFERROR(__xludf.DUMMYFUNCTION("IFERROR(FILTER(Stats!$F:$Z,(Stats!$A:$A=$A539)*(Stats!$B:$B=$B539)))"),22.0)</f>
        <v>22</v>
      </c>
      <c r="K539" s="11">
        <f>IFERROR(__xludf.DUMMYFUNCTION("""COMPUTED_VALUE"""),26.0)</f>
        <v>26</v>
      </c>
      <c r="L539" s="12">
        <f>IFERROR(__xludf.DUMMYFUNCTION("""COMPUTED_VALUE"""),0.4583333333333333)</f>
        <v>0.4583333333</v>
      </c>
      <c r="M539" s="11">
        <f>IFERROR(__xludf.DUMMYFUNCTION("""COMPUTED_VALUE"""),9.0)</f>
        <v>9</v>
      </c>
      <c r="N539" s="11">
        <f>IFERROR(__xludf.DUMMYFUNCTION("""COMPUTED_VALUE"""),19393.0)</f>
        <v>19393</v>
      </c>
      <c r="O539" s="13">
        <f>IFERROR(__xludf.DUMMYFUNCTION("""COMPUTED_VALUE"""),38.0)</f>
        <v>38</v>
      </c>
      <c r="P539" s="14">
        <f>IFERROR(__xludf.DUMMYFUNCTION("""COMPUTED_VALUE"""),33.0)</f>
        <v>33</v>
      </c>
      <c r="Q539" s="13">
        <f>IFERROR(__xludf.DUMMYFUNCTION("""COMPUTED_VALUE"""),90.0)</f>
        <v>90</v>
      </c>
      <c r="R539" s="13">
        <f>IFERROR(__xludf.DUMMYFUNCTION("""COMPUTED_VALUE"""),124.0)</f>
        <v>124</v>
      </c>
      <c r="S539" s="15">
        <f>IFERROR(__xludf.DUMMYFUNCTION("""COMPUTED_VALUE"""),0.3064516129032258)</f>
        <v>0.3064516129</v>
      </c>
      <c r="T539" s="16">
        <f>IFERROR(__xludf.DUMMYFUNCTION("""COMPUTED_VALUE"""),404.0208333333333)</f>
        <v>404.0208333</v>
      </c>
      <c r="U539" s="16">
        <f>IFERROR(__xludf.DUMMYFUNCTION("""COMPUTED_VALUE"""),0.7916666666666666)</f>
        <v>0.7916666667</v>
      </c>
      <c r="V539" s="16">
        <f>IFERROR(__xludf.DUMMYFUNCTION("""COMPUTED_VALUE"""),0.6875)</f>
        <v>0.6875</v>
      </c>
      <c r="W539" s="16">
        <f>IFERROR(__xludf.DUMMYFUNCTION("""COMPUTED_VALUE"""),1.875)</f>
        <v>1.875</v>
      </c>
      <c r="X539" s="16">
        <f>IFERROR(__xludf.DUMMYFUNCTION("""COMPUTED_VALUE"""),2.5833333333333335)</f>
        <v>2.583333333</v>
      </c>
      <c r="Y539" s="11">
        <f>IFERROR(__xludf.DUMMYFUNCTION("""COMPUTED_VALUE"""),11.0)</f>
        <v>11</v>
      </c>
      <c r="Z539" s="11">
        <f>IFERROR(__xludf.DUMMYFUNCTION("""COMPUTED_VALUE"""),1.0)</f>
        <v>1</v>
      </c>
      <c r="AA539" s="11">
        <f>IFERROR(__xludf.DUMMYFUNCTION("""COMPUTED_VALUE"""),4.0)</f>
        <v>4</v>
      </c>
      <c r="AB539" s="11">
        <f>IFERROR(__xludf.DUMMYFUNCTION("""COMPUTED_VALUE"""),15.0)</f>
        <v>15</v>
      </c>
      <c r="AC539" s="11">
        <f>IFERROR(__xludf.DUMMYFUNCTION("""COMPUTED_VALUE"""),40.0)</f>
        <v>40</v>
      </c>
      <c r="AD539" s="11">
        <f>IFERROR(__xludf.DUMMYFUNCTION("""COMPUTED_VALUE"""),42.0)</f>
        <v>42</v>
      </c>
    </row>
    <row r="540">
      <c r="A540" s="10" t="str">
        <f>IFERROR(__xludf.DUMMYFUNCTION("""COMPUTED_VALUE"""),"Rival")</f>
        <v>Rival</v>
      </c>
      <c r="B540" s="10" t="str">
        <f>IFERROR(__xludf.DUMMYFUNCTION("""COMPUTED_VALUE"""),"RSC000441")</f>
        <v>RSC000441</v>
      </c>
      <c r="C540" s="10" t="str">
        <f>IFERROR(__xludf.DUMMYFUNCTION("""COMPUTED_VALUE"""),"Wolfocus")</f>
        <v>Wolfocus</v>
      </c>
      <c r="D540" s="36" t="str">
        <f>IFERROR(__xludf.DUMMYFUNCTION("""COMPUTED_VALUE"""),"Black Ice")</f>
        <v>Black Ice</v>
      </c>
      <c r="E540" s="10" t="str">
        <f>IFERROR(__xludf.DUMMYFUNCTION("""COMPUTED_VALUE"""),"Solar")</f>
        <v>Solar</v>
      </c>
      <c r="F540" s="37">
        <f>IFERROR(__xludf.DUMMYFUNCTION("""COMPUTED_VALUE"""),63.13620478967104)</f>
        <v>63.13620479</v>
      </c>
      <c r="G540" s="38">
        <f>IFERROR(__xludf.DUMMYFUNCTION("""COMPUTED_VALUE"""),75.75183416312281)</f>
        <v>75.75183416</v>
      </c>
      <c r="H540" s="38">
        <f>IFERROR(__xludf.DUMMYFUNCTION("""COMPUTED_VALUE"""),69.44401947639693)</f>
        <v>69.44401948</v>
      </c>
      <c r="I540" s="14">
        <f>IFERROR(__xludf.DUMMYFUNCTION("""COMPUTED_VALUE"""),39.0)</f>
        <v>39</v>
      </c>
      <c r="J540" s="11">
        <f>IFERROR(__xludf.DUMMYFUNCTION("IFERROR(FILTER(Stats!$F:$Z,(Stats!$A:$A=$A540)*(Stats!$B:$B=$B540)))"),22.0)</f>
        <v>22</v>
      </c>
      <c r="K540" s="11">
        <f>IFERROR(__xludf.DUMMYFUNCTION("""COMPUTED_VALUE"""),17.0)</f>
        <v>17</v>
      </c>
      <c r="L540" s="12">
        <f>IFERROR(__xludf.DUMMYFUNCTION("""COMPUTED_VALUE"""),0.5641025641025641)</f>
        <v>0.5641025641</v>
      </c>
      <c r="M540" s="11">
        <f>IFERROR(__xludf.DUMMYFUNCTION("""COMPUTED_VALUE"""),12.0)</f>
        <v>12</v>
      </c>
      <c r="N540" s="11">
        <f>IFERROR(__xludf.DUMMYFUNCTION("""COMPUTED_VALUE"""),14619.0)</f>
        <v>14619</v>
      </c>
      <c r="O540" s="13">
        <f>IFERROR(__xludf.DUMMYFUNCTION("""COMPUTED_VALUE"""),44.0)</f>
        <v>44</v>
      </c>
      <c r="P540" s="14">
        <f>IFERROR(__xludf.DUMMYFUNCTION("""COMPUTED_VALUE"""),23.0)</f>
        <v>23</v>
      </c>
      <c r="Q540" s="13">
        <f>IFERROR(__xludf.DUMMYFUNCTION("""COMPUTED_VALUE"""),51.0)</f>
        <v>51</v>
      </c>
      <c r="R540" s="13">
        <f>IFERROR(__xludf.DUMMYFUNCTION("""COMPUTED_VALUE"""),116.0)</f>
        <v>116</v>
      </c>
      <c r="S540" s="15">
        <f>IFERROR(__xludf.DUMMYFUNCTION("""COMPUTED_VALUE"""),0.3793103448275862)</f>
        <v>0.3793103448</v>
      </c>
      <c r="T540" s="16">
        <f>IFERROR(__xludf.DUMMYFUNCTION("""COMPUTED_VALUE"""),374.84615384615387)</f>
        <v>374.8461538</v>
      </c>
      <c r="U540" s="16">
        <f>IFERROR(__xludf.DUMMYFUNCTION("""COMPUTED_VALUE"""),1.1282051282051282)</f>
        <v>1.128205128</v>
      </c>
      <c r="V540" s="16">
        <f>IFERROR(__xludf.DUMMYFUNCTION("""COMPUTED_VALUE"""),0.5897435897435898)</f>
        <v>0.5897435897</v>
      </c>
      <c r="W540" s="16">
        <f>IFERROR(__xludf.DUMMYFUNCTION("""COMPUTED_VALUE"""),1.3076923076923077)</f>
        <v>1.307692308</v>
      </c>
      <c r="X540" s="16">
        <f>IFERROR(__xludf.DUMMYFUNCTION("""COMPUTED_VALUE"""),2.9743589743589745)</f>
        <v>2.974358974</v>
      </c>
      <c r="Y540" s="11">
        <f>IFERROR(__xludf.DUMMYFUNCTION("""COMPUTED_VALUE"""),15.0)</f>
        <v>15</v>
      </c>
      <c r="Z540" s="11">
        <f>IFERROR(__xludf.DUMMYFUNCTION("""COMPUTED_VALUE"""),2.0)</f>
        <v>2</v>
      </c>
      <c r="AA540" s="11">
        <f>IFERROR(__xludf.DUMMYFUNCTION("""COMPUTED_VALUE"""),0.0)</f>
        <v>0</v>
      </c>
      <c r="AB540" s="11">
        <f>IFERROR(__xludf.DUMMYFUNCTION("""COMPUTED_VALUE"""),8.0)</f>
        <v>8</v>
      </c>
      <c r="AC540" s="11">
        <f>IFERROR(__xludf.DUMMYFUNCTION("""COMPUTED_VALUE"""),32.0)</f>
        <v>32</v>
      </c>
      <c r="AD540" s="11">
        <f>IFERROR(__xludf.DUMMYFUNCTION("""COMPUTED_VALUE"""),41.0)</f>
        <v>41</v>
      </c>
    </row>
    <row r="541">
      <c r="A541" s="10" t="str">
        <f>IFERROR(__xludf.DUMMYFUNCTION("""COMPUTED_VALUE"""),"Rival")</f>
        <v>Rival</v>
      </c>
      <c r="B541" s="10" t="str">
        <f>IFERROR(__xludf.DUMMYFUNCTION("""COMPUTED_VALUE"""),"RSC008290")</f>
        <v>RSC008290</v>
      </c>
      <c r="C541" s="10" t="str">
        <f>IFERROR(__xludf.DUMMYFUNCTION("""COMPUTED_VALUE"""),"KrsOneTwoThree1")</f>
        <v>KrsOneTwoThree1</v>
      </c>
      <c r="D541" s="36" t="str">
        <f>IFERROR(__xludf.DUMMYFUNCTION("""COMPUTED_VALUE"""),"Lightning")</f>
        <v>Lightning</v>
      </c>
      <c r="E541" s="10" t="str">
        <f>IFERROR(__xludf.DUMMYFUNCTION("""COMPUTED_VALUE"""),"Lunar")</f>
        <v>Lunar</v>
      </c>
      <c r="F541" s="37">
        <f>IFERROR(__xludf.DUMMYFUNCTION("""COMPUTED_VALUE"""),76.0876493644781)</f>
        <v>76.08764936</v>
      </c>
      <c r="G541" s="38">
        <f>IFERROR(__xludf.DUMMYFUNCTION("""COMPUTED_VALUE"""),61.227136844328946)</f>
        <v>61.22713684</v>
      </c>
      <c r="H541" s="38">
        <f>IFERROR(__xludf.DUMMYFUNCTION("""COMPUTED_VALUE"""),68.65739310440352)</f>
        <v>68.6573931</v>
      </c>
      <c r="I541" s="14">
        <f>IFERROR(__xludf.DUMMYFUNCTION("""COMPUTED_VALUE"""),56.0)</f>
        <v>56</v>
      </c>
      <c r="J541" s="11">
        <f>IFERROR(__xludf.DUMMYFUNCTION("IFERROR(FILTER(Stats!$F:$Z,(Stats!$A:$A=$A541)*(Stats!$B:$B=$B541)))"),30.0)</f>
        <v>30</v>
      </c>
      <c r="K541" s="11">
        <f>IFERROR(__xludf.DUMMYFUNCTION("""COMPUTED_VALUE"""),26.0)</f>
        <v>26</v>
      </c>
      <c r="L541" s="12">
        <f>IFERROR(__xludf.DUMMYFUNCTION("""COMPUTED_VALUE"""),0.5357142857142857)</f>
        <v>0.5357142857</v>
      </c>
      <c r="M541" s="11">
        <f>IFERROR(__xludf.DUMMYFUNCTION("""COMPUTED_VALUE"""),14.0)</f>
        <v>14</v>
      </c>
      <c r="N541" s="11">
        <f>IFERROR(__xludf.DUMMYFUNCTION("""COMPUTED_VALUE"""),22022.0)</f>
        <v>22022</v>
      </c>
      <c r="O541" s="13">
        <f>IFERROR(__xludf.DUMMYFUNCTION("""COMPUTED_VALUE"""),49.0)</f>
        <v>49</v>
      </c>
      <c r="P541" s="14">
        <f>IFERROR(__xludf.DUMMYFUNCTION("""COMPUTED_VALUE"""),29.0)</f>
        <v>29</v>
      </c>
      <c r="Q541" s="13">
        <f>IFERROR(__xludf.DUMMYFUNCTION("""COMPUTED_VALUE"""),100.0)</f>
        <v>100</v>
      </c>
      <c r="R541" s="13">
        <f>IFERROR(__xludf.DUMMYFUNCTION("""COMPUTED_VALUE"""),137.0)</f>
        <v>137</v>
      </c>
      <c r="S541" s="15">
        <f>IFERROR(__xludf.DUMMYFUNCTION("""COMPUTED_VALUE"""),0.35766423357664234)</f>
        <v>0.3576642336</v>
      </c>
      <c r="T541" s="16">
        <f>IFERROR(__xludf.DUMMYFUNCTION("""COMPUTED_VALUE"""),393.25)</f>
        <v>393.25</v>
      </c>
      <c r="U541" s="16">
        <f>IFERROR(__xludf.DUMMYFUNCTION("""COMPUTED_VALUE"""),0.875)</f>
        <v>0.875</v>
      </c>
      <c r="V541" s="16">
        <f>IFERROR(__xludf.DUMMYFUNCTION("""COMPUTED_VALUE"""),0.5178571428571429)</f>
        <v>0.5178571429</v>
      </c>
      <c r="W541" s="16">
        <f>IFERROR(__xludf.DUMMYFUNCTION("""COMPUTED_VALUE"""),1.7857142857142858)</f>
        <v>1.785714286</v>
      </c>
      <c r="X541" s="16">
        <f>IFERROR(__xludf.DUMMYFUNCTION("""COMPUTED_VALUE"""),2.4464285714285716)</f>
        <v>2.446428571</v>
      </c>
      <c r="Y541" s="11">
        <f>IFERROR(__xludf.DUMMYFUNCTION("""COMPUTED_VALUE"""),14.0)</f>
        <v>14</v>
      </c>
      <c r="Z541" s="11">
        <f>IFERROR(__xludf.DUMMYFUNCTION("""COMPUTED_VALUE"""),5.0)</f>
        <v>5</v>
      </c>
      <c r="AA541" s="11">
        <f>IFERROR(__xludf.DUMMYFUNCTION("""COMPUTED_VALUE"""),0.0)</f>
        <v>0</v>
      </c>
      <c r="AB541" s="11">
        <f>IFERROR(__xludf.DUMMYFUNCTION("""COMPUTED_VALUE"""),16.0)</f>
        <v>16</v>
      </c>
      <c r="AC541" s="11">
        <f>IFERROR(__xludf.DUMMYFUNCTION("""COMPUTED_VALUE"""),35.0)</f>
        <v>35</v>
      </c>
      <c r="AD541" s="11">
        <f>IFERROR(__xludf.DUMMYFUNCTION("""COMPUTED_VALUE"""),55.0)</f>
        <v>55</v>
      </c>
    </row>
    <row r="542">
      <c r="A542" s="10" t="str">
        <f>IFERROR(__xludf.DUMMYFUNCTION("""COMPUTED_VALUE"""),"Rival")</f>
        <v>Rival</v>
      </c>
      <c r="B542" s="10" t="str">
        <f>IFERROR(__xludf.DUMMYFUNCTION("""COMPUTED_VALUE"""),"RSC007487")</f>
        <v>RSC007487</v>
      </c>
      <c r="C542" s="10" t="str">
        <f>IFERROR(__xludf.DUMMYFUNCTION("""COMPUTED_VALUE"""),"YoloOnTinder")</f>
        <v>YoloOnTinder</v>
      </c>
      <c r="D542" s="36" t="str">
        <f>IFERROR(__xludf.DUMMYFUNCTION("""COMPUTED_VALUE"""),"Liars")</f>
        <v>Liars</v>
      </c>
      <c r="E542" s="10" t="str">
        <f>IFERROR(__xludf.DUMMYFUNCTION("""COMPUTED_VALUE"""),"Solar")</f>
        <v>Solar</v>
      </c>
      <c r="F542" s="37">
        <f>IFERROR(__xludf.DUMMYFUNCTION("""COMPUTED_VALUE"""),69.53040925056108)</f>
        <v>69.53040925</v>
      </c>
      <c r="G542" s="38">
        <f>IFERROR(__xludf.DUMMYFUNCTION("""COMPUTED_VALUE"""),66.86988912868944)</f>
        <v>66.86988913</v>
      </c>
      <c r="H542" s="38">
        <f>IFERROR(__xludf.DUMMYFUNCTION("""COMPUTED_VALUE"""),68.20014918962525)</f>
        <v>68.20014919</v>
      </c>
      <c r="I542" s="14">
        <f>IFERROR(__xludf.DUMMYFUNCTION("""COMPUTED_VALUE"""),4.0)</f>
        <v>4</v>
      </c>
      <c r="J542" s="11">
        <f>IFERROR(__xludf.DUMMYFUNCTION("IFERROR(FILTER(Stats!$F:$Z,(Stats!$A:$A=$A542)*(Stats!$B:$B=$B542)))"),1.0)</f>
        <v>1</v>
      </c>
      <c r="K542" s="11">
        <f>IFERROR(__xludf.DUMMYFUNCTION("""COMPUTED_VALUE"""),3.0)</f>
        <v>3</v>
      </c>
      <c r="L542" s="12">
        <f>IFERROR(__xludf.DUMMYFUNCTION("""COMPUTED_VALUE"""),0.25)</f>
        <v>0.25</v>
      </c>
      <c r="M542" s="11">
        <f>IFERROR(__xludf.DUMMYFUNCTION("""COMPUTED_VALUE"""),0.0)</f>
        <v>0</v>
      </c>
      <c r="N542" s="11">
        <f>IFERROR(__xludf.DUMMYFUNCTION("""COMPUTED_VALUE"""),1514.0)</f>
        <v>1514</v>
      </c>
      <c r="O542" s="13">
        <f>IFERROR(__xludf.DUMMYFUNCTION("""COMPUTED_VALUE"""),5.0)</f>
        <v>5</v>
      </c>
      <c r="P542" s="14">
        <f>IFERROR(__xludf.DUMMYFUNCTION("""COMPUTED_VALUE"""),1.0)</f>
        <v>1</v>
      </c>
      <c r="Q542" s="13">
        <f>IFERROR(__xludf.DUMMYFUNCTION("""COMPUTED_VALUE"""),5.0)</f>
        <v>5</v>
      </c>
      <c r="R542" s="13">
        <f>IFERROR(__xludf.DUMMYFUNCTION("""COMPUTED_VALUE"""),10.0)</f>
        <v>10</v>
      </c>
      <c r="S542" s="15">
        <f>IFERROR(__xludf.DUMMYFUNCTION("""COMPUTED_VALUE"""),0.5)</f>
        <v>0.5</v>
      </c>
      <c r="T542" s="16">
        <f>IFERROR(__xludf.DUMMYFUNCTION("""COMPUTED_VALUE"""),378.5)</f>
        <v>378.5</v>
      </c>
      <c r="U542" s="16">
        <f>IFERROR(__xludf.DUMMYFUNCTION("""COMPUTED_VALUE"""),1.25)</f>
        <v>1.25</v>
      </c>
      <c r="V542" s="16">
        <f>IFERROR(__xludf.DUMMYFUNCTION("""COMPUTED_VALUE"""),0.25)</f>
        <v>0.25</v>
      </c>
      <c r="W542" s="16">
        <f>IFERROR(__xludf.DUMMYFUNCTION("""COMPUTED_VALUE"""),1.25)</f>
        <v>1.25</v>
      </c>
      <c r="X542" s="16">
        <f>IFERROR(__xludf.DUMMYFUNCTION("""COMPUTED_VALUE"""),2.5)</f>
        <v>2.5</v>
      </c>
      <c r="Y542" s="11">
        <f>IFERROR(__xludf.DUMMYFUNCTION("""COMPUTED_VALUE"""),0.0)</f>
        <v>0</v>
      </c>
      <c r="Z542" s="11">
        <f>IFERROR(__xludf.DUMMYFUNCTION("""COMPUTED_VALUE"""),0.0)</f>
        <v>0</v>
      </c>
      <c r="AA542" s="11">
        <f>IFERROR(__xludf.DUMMYFUNCTION("""COMPUTED_VALUE"""),0.0)</f>
        <v>0</v>
      </c>
      <c r="AB542" s="11">
        <f>IFERROR(__xludf.DUMMYFUNCTION("""COMPUTED_VALUE"""),1.0)</f>
        <v>1</v>
      </c>
      <c r="AC542" s="11">
        <f>IFERROR(__xludf.DUMMYFUNCTION("""COMPUTED_VALUE"""),8.0)</f>
        <v>8</v>
      </c>
      <c r="AD542" s="11">
        <f>IFERROR(__xludf.DUMMYFUNCTION("""COMPUTED_VALUE"""),2.0)</f>
        <v>2</v>
      </c>
    </row>
    <row r="543">
      <c r="A543" s="10" t="str">
        <f>IFERROR(__xludf.DUMMYFUNCTION("""COMPUTED_VALUE"""),"Rival")</f>
        <v>Rival</v>
      </c>
      <c r="B543" s="10" t="str">
        <f>IFERROR(__xludf.DUMMYFUNCTION("""COMPUTED_VALUE"""),"RSC007604")</f>
        <v>RSC007604</v>
      </c>
      <c r="C543" s="10" t="str">
        <f>IFERROR(__xludf.DUMMYFUNCTION("""COMPUTED_VALUE"""),"RiisenJT")</f>
        <v>RiisenJT</v>
      </c>
      <c r="D543" s="36" t="str">
        <f>IFERROR(__xludf.DUMMYFUNCTION("""COMPUTED_VALUE"""),"Ocelots
Wind")</f>
        <v>Ocelots
Wind</v>
      </c>
      <c r="E543" s="10" t="str">
        <f>IFERROR(__xludf.DUMMYFUNCTION("""COMPUTED_VALUE"""),"Solar
Solar")</f>
        <v>Solar
Solar</v>
      </c>
      <c r="F543" s="37">
        <f>IFERROR(__xludf.DUMMYFUNCTION("""COMPUTED_VALUE"""),61.93334547988412)</f>
        <v>61.93334548</v>
      </c>
      <c r="G543" s="38">
        <f>IFERROR(__xludf.DUMMYFUNCTION("""COMPUTED_VALUE"""),73.69816356320233)</f>
        <v>73.69816356</v>
      </c>
      <c r="H543" s="38">
        <f>IFERROR(__xludf.DUMMYFUNCTION("""COMPUTED_VALUE"""),67.81575452154323)</f>
        <v>67.81575452</v>
      </c>
      <c r="I543" s="14">
        <f>IFERROR(__xludf.DUMMYFUNCTION("""COMPUTED_VALUE"""),41.0)</f>
        <v>41</v>
      </c>
      <c r="J543" s="11">
        <f>IFERROR(__xludf.DUMMYFUNCTION("IFERROR(FILTER(Stats!$F:$Z,(Stats!$A:$A=$A543)*(Stats!$B:$B=$B543)))"),25.0)</f>
        <v>25</v>
      </c>
      <c r="K543" s="11">
        <f>IFERROR(__xludf.DUMMYFUNCTION("""COMPUTED_VALUE"""),16.0)</f>
        <v>16</v>
      </c>
      <c r="L543" s="12">
        <f>IFERROR(__xludf.DUMMYFUNCTION("""COMPUTED_VALUE"""),0.6097560975609756)</f>
        <v>0.6097560976</v>
      </c>
      <c r="M543" s="11">
        <f>IFERROR(__xludf.DUMMYFUNCTION("""COMPUTED_VALUE"""),10.0)</f>
        <v>10</v>
      </c>
      <c r="N543" s="11">
        <f>IFERROR(__xludf.DUMMYFUNCTION("""COMPUTED_VALUE"""),15233.0)</f>
        <v>15233</v>
      </c>
      <c r="O543" s="13">
        <f>IFERROR(__xludf.DUMMYFUNCTION("""COMPUTED_VALUE"""),40.0)</f>
        <v>40</v>
      </c>
      <c r="P543" s="14">
        <f>IFERROR(__xludf.DUMMYFUNCTION("""COMPUTED_VALUE"""),29.0)</f>
        <v>29</v>
      </c>
      <c r="Q543" s="13">
        <f>IFERROR(__xludf.DUMMYFUNCTION("""COMPUTED_VALUE"""),51.0)</f>
        <v>51</v>
      </c>
      <c r="R543" s="13">
        <f>IFERROR(__xludf.DUMMYFUNCTION("""COMPUTED_VALUE"""),114.0)</f>
        <v>114</v>
      </c>
      <c r="S543" s="15">
        <f>IFERROR(__xludf.DUMMYFUNCTION("""COMPUTED_VALUE"""),0.3508771929824561)</f>
        <v>0.350877193</v>
      </c>
      <c r="T543" s="16">
        <f>IFERROR(__xludf.DUMMYFUNCTION("""COMPUTED_VALUE"""),371.5365853658537)</f>
        <v>371.5365854</v>
      </c>
      <c r="U543" s="16">
        <f>IFERROR(__xludf.DUMMYFUNCTION("""COMPUTED_VALUE"""),0.975609756097561)</f>
        <v>0.9756097561</v>
      </c>
      <c r="V543" s="16">
        <f>IFERROR(__xludf.DUMMYFUNCTION("""COMPUTED_VALUE"""),0.7073170731707317)</f>
        <v>0.7073170732</v>
      </c>
      <c r="W543" s="16">
        <f>IFERROR(__xludf.DUMMYFUNCTION("""COMPUTED_VALUE"""),1.2439024390243902)</f>
        <v>1.243902439</v>
      </c>
      <c r="X543" s="16">
        <f>IFERROR(__xludf.DUMMYFUNCTION("""COMPUTED_VALUE"""),2.7804878048780486)</f>
        <v>2.780487805</v>
      </c>
      <c r="Y543" s="11">
        <f>IFERROR(__xludf.DUMMYFUNCTION("""COMPUTED_VALUE"""),11.0)</f>
        <v>11</v>
      </c>
      <c r="Z543" s="11">
        <f>IFERROR(__xludf.DUMMYFUNCTION("""COMPUTED_VALUE"""),3.0)</f>
        <v>3</v>
      </c>
      <c r="AA543" s="11">
        <f>IFERROR(__xludf.DUMMYFUNCTION("""COMPUTED_VALUE"""),3.0)</f>
        <v>3</v>
      </c>
      <c r="AB543" s="11">
        <f>IFERROR(__xludf.DUMMYFUNCTION("""COMPUTED_VALUE"""),5.0)</f>
        <v>5</v>
      </c>
      <c r="AC543" s="11">
        <f>IFERROR(__xludf.DUMMYFUNCTION("""COMPUTED_VALUE"""),31.0)</f>
        <v>31</v>
      </c>
      <c r="AD543" s="11">
        <f>IFERROR(__xludf.DUMMYFUNCTION("""COMPUTED_VALUE"""),29.0)</f>
        <v>29</v>
      </c>
    </row>
    <row r="544">
      <c r="A544" s="10" t="str">
        <f>IFERROR(__xludf.DUMMYFUNCTION("""COMPUTED_VALUE"""),"Rival")</f>
        <v>Rival</v>
      </c>
      <c r="B544" s="10" t="str">
        <f>IFERROR(__xludf.DUMMYFUNCTION("""COMPUTED_VALUE"""),"RSC006625")</f>
        <v>RSC006625</v>
      </c>
      <c r="C544" s="10" t="str">
        <f>IFERROR(__xludf.DUMMYFUNCTION("""COMPUTED_VALUE"""),"FrogDrivesCar")</f>
        <v>FrogDrivesCar</v>
      </c>
      <c r="D544" s="36" t="str">
        <f>IFERROR(__xludf.DUMMYFUNCTION("""COMPUTED_VALUE"""),"Mining Legion")</f>
        <v>Mining Legion</v>
      </c>
      <c r="E544" s="10" t="str">
        <f>IFERROR(__xludf.DUMMYFUNCTION("""COMPUTED_VALUE"""),"Lunar")</f>
        <v>Lunar</v>
      </c>
      <c r="F544" s="37">
        <f>IFERROR(__xludf.DUMMYFUNCTION("""COMPUTED_VALUE"""),59.75398531247133)</f>
        <v>59.75398531</v>
      </c>
      <c r="G544" s="38">
        <f>IFERROR(__xludf.DUMMYFUNCTION("""COMPUTED_VALUE"""),73.6893659781883)</f>
        <v>73.68936598</v>
      </c>
      <c r="H544" s="38">
        <f>IFERROR(__xludf.DUMMYFUNCTION("""COMPUTED_VALUE"""),66.72167564532981)</f>
        <v>66.72167565</v>
      </c>
      <c r="I544" s="14">
        <f>IFERROR(__xludf.DUMMYFUNCTION("""COMPUTED_VALUE"""),36.0)</f>
        <v>36</v>
      </c>
      <c r="J544" s="11">
        <f>IFERROR(__xludf.DUMMYFUNCTION("IFERROR(FILTER(Stats!$F:$Z,(Stats!$A:$A=$A544)*(Stats!$B:$B=$B544)))"),21.0)</f>
        <v>21</v>
      </c>
      <c r="K544" s="11">
        <f>IFERROR(__xludf.DUMMYFUNCTION("""COMPUTED_VALUE"""),15.0)</f>
        <v>15</v>
      </c>
      <c r="L544" s="12">
        <f>IFERROR(__xludf.DUMMYFUNCTION("""COMPUTED_VALUE"""),0.5833333333333334)</f>
        <v>0.5833333333</v>
      </c>
      <c r="M544" s="11">
        <f>IFERROR(__xludf.DUMMYFUNCTION("""COMPUTED_VALUE"""),6.0)</f>
        <v>6</v>
      </c>
      <c r="N544" s="11">
        <f>IFERROR(__xludf.DUMMYFUNCTION("""COMPUTED_VALUE"""),12491.0)</f>
        <v>12491</v>
      </c>
      <c r="O544" s="13">
        <f>IFERROR(__xludf.DUMMYFUNCTION("""COMPUTED_VALUE"""),28.0)</f>
        <v>28</v>
      </c>
      <c r="P544" s="14">
        <f>IFERROR(__xludf.DUMMYFUNCTION("""COMPUTED_VALUE"""),30.0)</f>
        <v>30</v>
      </c>
      <c r="Q544" s="13">
        <f>IFERROR(__xludf.DUMMYFUNCTION("""COMPUTED_VALUE"""),45.0)</f>
        <v>45</v>
      </c>
      <c r="R544" s="13">
        <f>IFERROR(__xludf.DUMMYFUNCTION("""COMPUTED_VALUE"""),86.0)</f>
        <v>86</v>
      </c>
      <c r="S544" s="15">
        <f>IFERROR(__xludf.DUMMYFUNCTION("""COMPUTED_VALUE"""),0.32558139534883723)</f>
        <v>0.3255813953</v>
      </c>
      <c r="T544" s="16">
        <f>IFERROR(__xludf.DUMMYFUNCTION("""COMPUTED_VALUE"""),346.97222222222223)</f>
        <v>346.9722222</v>
      </c>
      <c r="U544" s="16">
        <f>IFERROR(__xludf.DUMMYFUNCTION("""COMPUTED_VALUE"""),0.7777777777777778)</f>
        <v>0.7777777778</v>
      </c>
      <c r="V544" s="16">
        <f>IFERROR(__xludf.DUMMYFUNCTION("""COMPUTED_VALUE"""),0.8333333333333334)</f>
        <v>0.8333333333</v>
      </c>
      <c r="W544" s="16">
        <f>IFERROR(__xludf.DUMMYFUNCTION("""COMPUTED_VALUE"""),1.25)</f>
        <v>1.25</v>
      </c>
      <c r="X544" s="16">
        <f>IFERROR(__xludf.DUMMYFUNCTION("""COMPUTED_VALUE"""),2.388888888888889)</f>
        <v>2.388888889</v>
      </c>
      <c r="Y544" s="11">
        <f>IFERROR(__xludf.DUMMYFUNCTION("""COMPUTED_VALUE"""),11.0)</f>
        <v>11</v>
      </c>
      <c r="Z544" s="11">
        <f>IFERROR(__xludf.DUMMYFUNCTION("""COMPUTED_VALUE"""),2.0)</f>
        <v>2</v>
      </c>
      <c r="AA544" s="11">
        <f>IFERROR(__xludf.DUMMYFUNCTION("""COMPUTED_VALUE"""),3.0)</f>
        <v>3</v>
      </c>
      <c r="AB544" s="11">
        <f>IFERROR(__xludf.DUMMYFUNCTION("""COMPUTED_VALUE"""),6.0)</f>
        <v>6</v>
      </c>
      <c r="AC544" s="11">
        <f>IFERROR(__xludf.DUMMYFUNCTION("""COMPUTED_VALUE"""),24.0)</f>
        <v>24</v>
      </c>
      <c r="AD544" s="11">
        <f>IFERROR(__xludf.DUMMYFUNCTION("""COMPUTED_VALUE"""),31.0)</f>
        <v>31</v>
      </c>
    </row>
    <row r="545">
      <c r="A545" s="10" t="str">
        <f>IFERROR(__xludf.DUMMYFUNCTION("""COMPUTED_VALUE"""),"Rival")</f>
        <v>Rival</v>
      </c>
      <c r="B545" s="10" t="str">
        <f>IFERROR(__xludf.DUMMYFUNCTION("""COMPUTED_VALUE"""),"RSC001330")</f>
        <v>RSC001330</v>
      </c>
      <c r="C545" s="10" t="str">
        <f>IFERROR(__xludf.DUMMYFUNCTION("""COMPUTED_VALUE"""),"Blissful Beluga")</f>
        <v>Blissful Beluga</v>
      </c>
      <c r="D545" s="36" t="str">
        <f>IFERROR(__xludf.DUMMYFUNCTION("""COMPUTED_VALUE"""),"Howlers")</f>
        <v>Howlers</v>
      </c>
      <c r="E545" s="10" t="str">
        <f>IFERROR(__xludf.DUMMYFUNCTION("""COMPUTED_VALUE"""),"Solar")</f>
        <v>Solar</v>
      </c>
      <c r="F545" s="37">
        <f>IFERROR(__xludf.DUMMYFUNCTION("""COMPUTED_VALUE"""),65.5867660289232)</f>
        <v>65.58676603</v>
      </c>
      <c r="G545" s="38">
        <f>IFERROR(__xludf.DUMMYFUNCTION("""COMPUTED_VALUE"""),67.67008486290513)</f>
        <v>67.67008486</v>
      </c>
      <c r="H545" s="38">
        <f>IFERROR(__xludf.DUMMYFUNCTION("""COMPUTED_VALUE"""),66.62842544591416)</f>
        <v>66.62842545</v>
      </c>
      <c r="I545" s="14">
        <f>IFERROR(__xludf.DUMMYFUNCTION("""COMPUTED_VALUE"""),19.0)</f>
        <v>19</v>
      </c>
      <c r="J545" s="11">
        <f>IFERROR(__xludf.DUMMYFUNCTION("IFERROR(FILTER(Stats!$F:$Z,(Stats!$A:$A=$A545)*(Stats!$B:$B=$B545)))"),8.0)</f>
        <v>8</v>
      </c>
      <c r="K545" s="11">
        <f>IFERROR(__xludf.DUMMYFUNCTION("""COMPUTED_VALUE"""),11.0)</f>
        <v>11</v>
      </c>
      <c r="L545" s="12">
        <f>IFERROR(__xludf.DUMMYFUNCTION("""COMPUTED_VALUE"""),0.42105263157894735)</f>
        <v>0.4210526316</v>
      </c>
      <c r="M545" s="11">
        <f>IFERROR(__xludf.DUMMYFUNCTION("""COMPUTED_VALUE"""),5.0)</f>
        <v>5</v>
      </c>
      <c r="N545" s="11">
        <f>IFERROR(__xludf.DUMMYFUNCTION("""COMPUTED_VALUE"""),6444.0)</f>
        <v>6444</v>
      </c>
      <c r="O545" s="13">
        <f>IFERROR(__xludf.DUMMYFUNCTION("""COMPUTED_VALUE"""),16.0)</f>
        <v>16</v>
      </c>
      <c r="P545" s="14">
        <f>IFERROR(__xludf.DUMMYFUNCTION("""COMPUTED_VALUE"""),11.0)</f>
        <v>11</v>
      </c>
      <c r="Q545" s="13">
        <f>IFERROR(__xludf.DUMMYFUNCTION("""COMPUTED_VALUE"""),19.0)</f>
        <v>19</v>
      </c>
      <c r="R545" s="13">
        <f>IFERROR(__xludf.DUMMYFUNCTION("""COMPUTED_VALUE"""),60.0)</f>
        <v>60</v>
      </c>
      <c r="S545" s="15">
        <f>IFERROR(__xludf.DUMMYFUNCTION("""COMPUTED_VALUE"""),0.26666666666666666)</f>
        <v>0.2666666667</v>
      </c>
      <c r="T545" s="16">
        <f>IFERROR(__xludf.DUMMYFUNCTION("""COMPUTED_VALUE"""),339.1578947368421)</f>
        <v>339.1578947</v>
      </c>
      <c r="U545" s="16">
        <f>IFERROR(__xludf.DUMMYFUNCTION("""COMPUTED_VALUE"""),0.8421052631578947)</f>
        <v>0.8421052632</v>
      </c>
      <c r="V545" s="16">
        <f>IFERROR(__xludf.DUMMYFUNCTION("""COMPUTED_VALUE"""),0.5789473684210527)</f>
        <v>0.5789473684</v>
      </c>
      <c r="W545" s="16">
        <f>IFERROR(__xludf.DUMMYFUNCTION("""COMPUTED_VALUE"""),1.0)</f>
        <v>1</v>
      </c>
      <c r="X545" s="16">
        <f>IFERROR(__xludf.DUMMYFUNCTION("""COMPUTED_VALUE"""),3.1578947368421053)</f>
        <v>3.157894737</v>
      </c>
      <c r="Y545" s="11">
        <f>IFERROR(__xludf.DUMMYFUNCTION("""COMPUTED_VALUE"""),2.0)</f>
        <v>2</v>
      </c>
      <c r="Z545" s="11">
        <f>IFERROR(__xludf.DUMMYFUNCTION("""COMPUTED_VALUE"""),1.0)</f>
        <v>1</v>
      </c>
      <c r="AA545" s="11">
        <f>IFERROR(__xludf.DUMMYFUNCTION("""COMPUTED_VALUE"""),1.0)</f>
        <v>1</v>
      </c>
      <c r="AB545" s="11">
        <f>IFERROR(__xludf.DUMMYFUNCTION("""COMPUTED_VALUE"""),2.0)</f>
        <v>2</v>
      </c>
      <c r="AC545" s="11">
        <f>IFERROR(__xludf.DUMMYFUNCTION("""COMPUTED_VALUE"""),7.0)</f>
        <v>7</v>
      </c>
      <c r="AD545" s="11">
        <f>IFERROR(__xludf.DUMMYFUNCTION("""COMPUTED_VALUE"""),22.0)</f>
        <v>22</v>
      </c>
    </row>
    <row r="546">
      <c r="A546" s="10" t="str">
        <f>IFERROR(__xludf.DUMMYFUNCTION("""COMPUTED_VALUE"""),"Rival")</f>
        <v>Rival</v>
      </c>
      <c r="B546" s="10" t="str">
        <f>IFERROR(__xludf.DUMMYFUNCTION("""COMPUTED_VALUE"""),"RSC004452")</f>
        <v>RSC004452</v>
      </c>
      <c r="C546" s="10" t="str">
        <f>IFERROR(__xludf.DUMMYFUNCTION("""COMPUTED_VALUE"""),"sleepzey")</f>
        <v>sleepzey</v>
      </c>
      <c r="D546" s="36" t="str">
        <f>IFERROR(__xludf.DUMMYFUNCTION("""COMPUTED_VALUE"""),"Black Ice")</f>
        <v>Black Ice</v>
      </c>
      <c r="E546" s="10" t="str">
        <f>IFERROR(__xludf.DUMMYFUNCTION("""COMPUTED_VALUE"""),"Solar")</f>
        <v>Solar</v>
      </c>
      <c r="F546" s="37">
        <f>IFERROR(__xludf.DUMMYFUNCTION("""COMPUTED_VALUE"""),69.24128214707277)</f>
        <v>69.24128215</v>
      </c>
      <c r="G546" s="38">
        <f>IFERROR(__xludf.DUMMYFUNCTION("""COMPUTED_VALUE"""),62.944567310251976)</f>
        <v>62.94456731</v>
      </c>
      <c r="H546" s="38">
        <f>IFERROR(__xludf.DUMMYFUNCTION("""COMPUTED_VALUE"""),66.09292472866237)</f>
        <v>66.09292473</v>
      </c>
      <c r="I546" s="14">
        <f>IFERROR(__xludf.DUMMYFUNCTION("""COMPUTED_VALUE"""),40.0)</f>
        <v>40</v>
      </c>
      <c r="J546" s="11">
        <f>IFERROR(__xludf.DUMMYFUNCTION("IFERROR(FILTER(Stats!$F:$Z,(Stats!$A:$A=$A546)*(Stats!$B:$B=$B546)))"),21.0)</f>
        <v>21</v>
      </c>
      <c r="K546" s="11">
        <f>IFERROR(__xludf.DUMMYFUNCTION("""COMPUTED_VALUE"""),19.0)</f>
        <v>19</v>
      </c>
      <c r="L546" s="12">
        <f>IFERROR(__xludf.DUMMYFUNCTION("""COMPUTED_VALUE"""),0.525)</f>
        <v>0.525</v>
      </c>
      <c r="M546" s="11">
        <f>IFERROR(__xludf.DUMMYFUNCTION("""COMPUTED_VALUE"""),8.0)</f>
        <v>8</v>
      </c>
      <c r="N546" s="11">
        <f>IFERROR(__xludf.DUMMYFUNCTION("""COMPUTED_VALUE"""),15910.0)</f>
        <v>15910</v>
      </c>
      <c r="O546" s="13">
        <f>IFERROR(__xludf.DUMMYFUNCTION("""COMPUTED_VALUE"""),35.0)</f>
        <v>35</v>
      </c>
      <c r="P546" s="14">
        <f>IFERROR(__xludf.DUMMYFUNCTION("""COMPUTED_VALUE"""),24.0)</f>
        <v>24</v>
      </c>
      <c r="Q546" s="13">
        <f>IFERROR(__xludf.DUMMYFUNCTION("""COMPUTED_VALUE"""),55.0)</f>
        <v>55</v>
      </c>
      <c r="R546" s="13">
        <f>IFERROR(__xludf.DUMMYFUNCTION("""COMPUTED_VALUE"""),106.0)</f>
        <v>106</v>
      </c>
      <c r="S546" s="15">
        <f>IFERROR(__xludf.DUMMYFUNCTION("""COMPUTED_VALUE"""),0.330188679245283)</f>
        <v>0.3301886792</v>
      </c>
      <c r="T546" s="16">
        <f>IFERROR(__xludf.DUMMYFUNCTION("""COMPUTED_VALUE"""),397.75)</f>
        <v>397.75</v>
      </c>
      <c r="U546" s="16">
        <f>IFERROR(__xludf.DUMMYFUNCTION("""COMPUTED_VALUE"""),0.875)</f>
        <v>0.875</v>
      </c>
      <c r="V546" s="16">
        <f>IFERROR(__xludf.DUMMYFUNCTION("""COMPUTED_VALUE"""),0.6)</f>
        <v>0.6</v>
      </c>
      <c r="W546" s="16">
        <f>IFERROR(__xludf.DUMMYFUNCTION("""COMPUTED_VALUE"""),1.375)</f>
        <v>1.375</v>
      </c>
      <c r="X546" s="16">
        <f>IFERROR(__xludf.DUMMYFUNCTION("""COMPUTED_VALUE"""),2.65)</f>
        <v>2.65</v>
      </c>
      <c r="Y546" s="11">
        <f>IFERROR(__xludf.DUMMYFUNCTION("""COMPUTED_VALUE"""),13.0)</f>
        <v>13</v>
      </c>
      <c r="Z546" s="11">
        <f>IFERROR(__xludf.DUMMYFUNCTION("""COMPUTED_VALUE"""),2.0)</f>
        <v>2</v>
      </c>
      <c r="AA546" s="11">
        <f>IFERROR(__xludf.DUMMYFUNCTION("""COMPUTED_VALUE"""),0.0)</f>
        <v>0</v>
      </c>
      <c r="AB546" s="11">
        <f>IFERROR(__xludf.DUMMYFUNCTION("""COMPUTED_VALUE"""),6.0)</f>
        <v>6</v>
      </c>
      <c r="AC546" s="11">
        <f>IFERROR(__xludf.DUMMYFUNCTION("""COMPUTED_VALUE"""),27.0)</f>
        <v>27</v>
      </c>
      <c r="AD546" s="11">
        <f>IFERROR(__xludf.DUMMYFUNCTION("""COMPUTED_VALUE"""),39.0)</f>
        <v>39</v>
      </c>
    </row>
    <row r="547">
      <c r="A547" s="10" t="str">
        <f>IFERROR(__xludf.DUMMYFUNCTION("""COMPUTED_VALUE"""),"Rival")</f>
        <v>Rival</v>
      </c>
      <c r="B547" s="10" t="str">
        <f>IFERROR(__xludf.DUMMYFUNCTION("""COMPUTED_VALUE"""),"RSC006209")</f>
        <v>RSC006209</v>
      </c>
      <c r="C547" s="10" t="str">
        <f>IFERROR(__xludf.DUMMYFUNCTION("""COMPUTED_VALUE"""),"Celiscy")</f>
        <v>Celiscy</v>
      </c>
      <c r="D547" s="36" t="str">
        <f>IFERROR(__xludf.DUMMYFUNCTION("""COMPUTED_VALUE"""),"Nightfall
Tax Evaders")</f>
        <v>Nightfall
Tax Evaders</v>
      </c>
      <c r="E547" s="10" t="str">
        <f>IFERROR(__xludf.DUMMYFUNCTION("""COMPUTED_VALUE"""),"Lunar
Lunar")</f>
        <v>Lunar
Lunar</v>
      </c>
      <c r="F547" s="37">
        <f>IFERROR(__xludf.DUMMYFUNCTION("""COMPUTED_VALUE"""),67.59126577151048)</f>
        <v>67.59126577</v>
      </c>
      <c r="G547" s="38">
        <f>IFERROR(__xludf.DUMMYFUNCTION("""COMPUTED_VALUE"""),64.46640472659504)</f>
        <v>64.46640473</v>
      </c>
      <c r="H547" s="38">
        <f>IFERROR(__xludf.DUMMYFUNCTION("""COMPUTED_VALUE"""),66.02883524905276)</f>
        <v>66.02883525</v>
      </c>
      <c r="I547" s="14">
        <f>IFERROR(__xludf.DUMMYFUNCTION("""COMPUTED_VALUE"""),52.0)</f>
        <v>52</v>
      </c>
      <c r="J547" s="11">
        <f>IFERROR(__xludf.DUMMYFUNCTION("IFERROR(FILTER(Stats!$F:$Z,(Stats!$A:$A=$A547)*(Stats!$B:$B=$B547)))"),24.0)</f>
        <v>24</v>
      </c>
      <c r="K547" s="11">
        <f>IFERROR(__xludf.DUMMYFUNCTION("""COMPUTED_VALUE"""),28.0)</f>
        <v>28</v>
      </c>
      <c r="L547" s="12">
        <f>IFERROR(__xludf.DUMMYFUNCTION("""COMPUTED_VALUE"""),0.46153846153846156)</f>
        <v>0.4615384615</v>
      </c>
      <c r="M547" s="11">
        <f>IFERROR(__xludf.DUMMYFUNCTION("""COMPUTED_VALUE"""),15.0)</f>
        <v>15</v>
      </c>
      <c r="N547" s="11">
        <f>IFERROR(__xludf.DUMMYFUNCTION("""COMPUTED_VALUE"""),19417.0)</f>
        <v>19417</v>
      </c>
      <c r="O547" s="13">
        <f>IFERROR(__xludf.DUMMYFUNCTION("""COMPUTED_VALUE"""),57.0)</f>
        <v>57</v>
      </c>
      <c r="P547" s="14">
        <f>IFERROR(__xludf.DUMMYFUNCTION("""COMPUTED_VALUE"""),19.0)</f>
        <v>19</v>
      </c>
      <c r="Q547" s="13">
        <f>IFERROR(__xludf.DUMMYFUNCTION("""COMPUTED_VALUE"""),66.0)</f>
        <v>66</v>
      </c>
      <c r="R547" s="13">
        <f>IFERROR(__xludf.DUMMYFUNCTION("""COMPUTED_VALUE"""),151.0)</f>
        <v>151</v>
      </c>
      <c r="S547" s="15">
        <f>IFERROR(__xludf.DUMMYFUNCTION("""COMPUTED_VALUE"""),0.37748344370860926)</f>
        <v>0.3774834437</v>
      </c>
      <c r="T547" s="16">
        <f>IFERROR(__xludf.DUMMYFUNCTION("""COMPUTED_VALUE"""),373.40384615384613)</f>
        <v>373.4038462</v>
      </c>
      <c r="U547" s="16">
        <f>IFERROR(__xludf.DUMMYFUNCTION("""COMPUTED_VALUE"""),1.0961538461538463)</f>
        <v>1.096153846</v>
      </c>
      <c r="V547" s="16">
        <f>IFERROR(__xludf.DUMMYFUNCTION("""COMPUTED_VALUE"""),0.36538461538461536)</f>
        <v>0.3653846154</v>
      </c>
      <c r="W547" s="16">
        <f>IFERROR(__xludf.DUMMYFUNCTION("""COMPUTED_VALUE"""),1.2692307692307692)</f>
        <v>1.269230769</v>
      </c>
      <c r="X547" s="16">
        <f>IFERROR(__xludf.DUMMYFUNCTION("""COMPUTED_VALUE"""),2.9038461538461537)</f>
        <v>2.903846154</v>
      </c>
      <c r="Y547" s="11">
        <f>IFERROR(__xludf.DUMMYFUNCTION("""COMPUTED_VALUE"""),9.0)</f>
        <v>9</v>
      </c>
      <c r="Z547" s="11">
        <f>IFERROR(__xludf.DUMMYFUNCTION("""COMPUTED_VALUE"""),3.0)</f>
        <v>3</v>
      </c>
      <c r="AA547" s="11">
        <f>IFERROR(__xludf.DUMMYFUNCTION("""COMPUTED_VALUE"""),0.0)</f>
        <v>0</v>
      </c>
      <c r="AB547" s="11">
        <f>IFERROR(__xludf.DUMMYFUNCTION("""COMPUTED_VALUE"""),6.0)</f>
        <v>6</v>
      </c>
      <c r="AC547" s="11">
        <f>IFERROR(__xludf.DUMMYFUNCTION("""COMPUTED_VALUE"""),57.0)</f>
        <v>57</v>
      </c>
      <c r="AD547" s="11">
        <f>IFERROR(__xludf.DUMMYFUNCTION("""COMPUTED_VALUE"""),39.0)</f>
        <v>39</v>
      </c>
    </row>
    <row r="548">
      <c r="A548" s="10" t="str">
        <f>IFERROR(__xludf.DUMMYFUNCTION("""COMPUTED_VALUE"""),"Rival")</f>
        <v>Rival</v>
      </c>
      <c r="B548" s="10" t="str">
        <f>IFERROR(__xludf.DUMMYFUNCTION("""COMPUTED_VALUE"""),"RSC006464")</f>
        <v>RSC006464</v>
      </c>
      <c r="C548" s="10" t="str">
        <f>IFERROR(__xludf.DUMMYFUNCTION("""COMPUTED_VALUE"""),"vAirwick")</f>
        <v>vAirwick</v>
      </c>
      <c r="D548" s="36" t="str">
        <f>IFERROR(__xludf.DUMMYFUNCTION("""COMPUTED_VALUE"""),"Hammerheads")</f>
        <v>Hammerheads</v>
      </c>
      <c r="E548" s="10" t="str">
        <f>IFERROR(__xludf.DUMMYFUNCTION("""COMPUTED_VALUE"""),"Solar")</f>
        <v>Solar</v>
      </c>
      <c r="F548" s="37">
        <f>IFERROR(__xludf.DUMMYFUNCTION("""COMPUTED_VALUE"""),65.69853611180606)</f>
        <v>65.69853611</v>
      </c>
      <c r="G548" s="38">
        <f>IFERROR(__xludf.DUMMYFUNCTION("""COMPUTED_VALUE"""),64.07291078345041)</f>
        <v>64.07291078</v>
      </c>
      <c r="H548" s="38">
        <f>IFERROR(__xludf.DUMMYFUNCTION("""COMPUTED_VALUE"""),64.88572344762824)</f>
        <v>64.88572345</v>
      </c>
      <c r="I548" s="14">
        <f>IFERROR(__xludf.DUMMYFUNCTION("""COMPUTED_VALUE"""),41.0)</f>
        <v>41</v>
      </c>
      <c r="J548" s="11">
        <f>IFERROR(__xludf.DUMMYFUNCTION("IFERROR(FILTER(Stats!$F:$Z,(Stats!$A:$A=$A548)*(Stats!$B:$B=$B548)))"),22.0)</f>
        <v>22</v>
      </c>
      <c r="K548" s="11">
        <f>IFERROR(__xludf.DUMMYFUNCTION("""COMPUTED_VALUE"""),19.0)</f>
        <v>19</v>
      </c>
      <c r="L548" s="12">
        <f>IFERROR(__xludf.DUMMYFUNCTION("""COMPUTED_VALUE"""),0.5365853658536586)</f>
        <v>0.5365853659</v>
      </c>
      <c r="M548" s="11">
        <f>IFERROR(__xludf.DUMMYFUNCTION("""COMPUTED_VALUE"""),10.0)</f>
        <v>10</v>
      </c>
      <c r="N548" s="11">
        <f>IFERROR(__xludf.DUMMYFUNCTION("""COMPUTED_VALUE"""),14357.0)</f>
        <v>14357</v>
      </c>
      <c r="O548" s="13">
        <f>IFERROR(__xludf.DUMMYFUNCTION("""COMPUTED_VALUE"""),40.0)</f>
        <v>40</v>
      </c>
      <c r="P548" s="14">
        <f>IFERROR(__xludf.DUMMYFUNCTION("""COMPUTED_VALUE"""),26.0)</f>
        <v>26</v>
      </c>
      <c r="Q548" s="13">
        <f>IFERROR(__xludf.DUMMYFUNCTION("""COMPUTED_VALUE"""),43.0)</f>
        <v>43</v>
      </c>
      <c r="R548" s="13">
        <f>IFERROR(__xludf.DUMMYFUNCTION("""COMPUTED_VALUE"""),114.0)</f>
        <v>114</v>
      </c>
      <c r="S548" s="15">
        <f>IFERROR(__xludf.DUMMYFUNCTION("""COMPUTED_VALUE"""),0.3508771929824561)</f>
        <v>0.350877193</v>
      </c>
      <c r="T548" s="16">
        <f>IFERROR(__xludf.DUMMYFUNCTION("""COMPUTED_VALUE"""),350.1707317073171)</f>
        <v>350.1707317</v>
      </c>
      <c r="U548" s="16">
        <f>IFERROR(__xludf.DUMMYFUNCTION("""COMPUTED_VALUE"""),0.975609756097561)</f>
        <v>0.9756097561</v>
      </c>
      <c r="V548" s="16">
        <f>IFERROR(__xludf.DUMMYFUNCTION("""COMPUTED_VALUE"""),0.6341463414634146)</f>
        <v>0.6341463415</v>
      </c>
      <c r="W548" s="16">
        <f>IFERROR(__xludf.DUMMYFUNCTION("""COMPUTED_VALUE"""),1.048780487804878)</f>
        <v>1.048780488</v>
      </c>
      <c r="X548" s="16">
        <f>IFERROR(__xludf.DUMMYFUNCTION("""COMPUTED_VALUE"""),2.7804878048780486)</f>
        <v>2.780487805</v>
      </c>
      <c r="Y548" s="11">
        <f>IFERROR(__xludf.DUMMYFUNCTION("""COMPUTED_VALUE"""),10.0)</f>
        <v>10</v>
      </c>
      <c r="Z548" s="11">
        <f>IFERROR(__xludf.DUMMYFUNCTION("""COMPUTED_VALUE"""),2.0)</f>
        <v>2</v>
      </c>
      <c r="AA548" s="11">
        <f>IFERROR(__xludf.DUMMYFUNCTION("""COMPUTED_VALUE"""),2.0)</f>
        <v>2</v>
      </c>
      <c r="AB548" s="11">
        <f>IFERROR(__xludf.DUMMYFUNCTION("""COMPUTED_VALUE"""),4.0)</f>
        <v>4</v>
      </c>
      <c r="AC548" s="11">
        <f>IFERROR(__xludf.DUMMYFUNCTION("""COMPUTED_VALUE"""),43.0)</f>
        <v>43</v>
      </c>
      <c r="AD548" s="11">
        <f>IFERROR(__xludf.DUMMYFUNCTION("""COMPUTED_VALUE"""),52.0)</f>
        <v>52</v>
      </c>
    </row>
    <row r="549">
      <c r="A549" s="10" t="str">
        <f>IFERROR(__xludf.DUMMYFUNCTION("""COMPUTED_VALUE"""),"Rival")</f>
        <v>Rival</v>
      </c>
      <c r="B549" s="10" t="str">
        <f>IFERROR(__xludf.DUMMYFUNCTION("""COMPUTED_VALUE"""),"RSC007144")</f>
        <v>RSC007144</v>
      </c>
      <c r="C549" s="10" t="str">
        <f>IFERROR(__xludf.DUMMYFUNCTION("""COMPUTED_VALUE"""),"The_Killerwon")</f>
        <v>The_Killerwon</v>
      </c>
      <c r="D549" s="36" t="str">
        <f>IFERROR(__xludf.DUMMYFUNCTION("""COMPUTED_VALUE"""),"Gaboons")</f>
        <v>Gaboons</v>
      </c>
      <c r="E549" s="10" t="str">
        <f>IFERROR(__xludf.DUMMYFUNCTION("""COMPUTED_VALUE"""),"Lunar")</f>
        <v>Lunar</v>
      </c>
      <c r="F549" s="37">
        <f>IFERROR(__xludf.DUMMYFUNCTION("""COMPUTED_VALUE"""),66.03368797657313)</f>
        <v>66.03368798</v>
      </c>
      <c r="G549" s="38">
        <f>IFERROR(__xludf.DUMMYFUNCTION("""COMPUTED_VALUE"""),63.73718463556604)</f>
        <v>63.73718464</v>
      </c>
      <c r="H549" s="38">
        <f>IFERROR(__xludf.DUMMYFUNCTION("""COMPUTED_VALUE"""),64.88543630606958)</f>
        <v>64.88543631</v>
      </c>
      <c r="I549" s="14">
        <f>IFERROR(__xludf.DUMMYFUNCTION("""COMPUTED_VALUE"""),49.0)</f>
        <v>49</v>
      </c>
      <c r="J549" s="11">
        <f>IFERROR(__xludf.DUMMYFUNCTION("IFERROR(FILTER(Stats!$F:$Z,(Stats!$A:$A=$A549)*(Stats!$B:$B=$B549)))"),19.0)</f>
        <v>19</v>
      </c>
      <c r="K549" s="11">
        <f>IFERROR(__xludf.DUMMYFUNCTION("""COMPUTED_VALUE"""),30.0)</f>
        <v>30</v>
      </c>
      <c r="L549" s="12">
        <f>IFERROR(__xludf.DUMMYFUNCTION("""COMPUTED_VALUE"""),0.3877551020408163)</f>
        <v>0.387755102</v>
      </c>
      <c r="M549" s="11">
        <f>IFERROR(__xludf.DUMMYFUNCTION("""COMPUTED_VALUE"""),6.0)</f>
        <v>6</v>
      </c>
      <c r="N549" s="11">
        <f>IFERROR(__xludf.DUMMYFUNCTION("""COMPUTED_VALUE"""),18178.0)</f>
        <v>18178</v>
      </c>
      <c r="O549" s="13">
        <f>IFERROR(__xludf.DUMMYFUNCTION("""COMPUTED_VALUE"""),48.0)</f>
        <v>48</v>
      </c>
      <c r="P549" s="14">
        <f>IFERROR(__xludf.DUMMYFUNCTION("""COMPUTED_VALUE"""),26.0)</f>
        <v>26</v>
      </c>
      <c r="Q549" s="13">
        <f>IFERROR(__xludf.DUMMYFUNCTION("""COMPUTED_VALUE"""),68.0)</f>
        <v>68</v>
      </c>
      <c r="R549" s="13">
        <f>IFERROR(__xludf.DUMMYFUNCTION("""COMPUTED_VALUE"""),133.0)</f>
        <v>133</v>
      </c>
      <c r="S549" s="15">
        <f>IFERROR(__xludf.DUMMYFUNCTION("""COMPUTED_VALUE"""),0.3609022556390977)</f>
        <v>0.3609022556</v>
      </c>
      <c r="T549" s="16">
        <f>IFERROR(__xludf.DUMMYFUNCTION("""COMPUTED_VALUE"""),370.9795918367347)</f>
        <v>370.9795918</v>
      </c>
      <c r="U549" s="16">
        <f>IFERROR(__xludf.DUMMYFUNCTION("""COMPUTED_VALUE"""),0.9795918367346939)</f>
        <v>0.9795918367</v>
      </c>
      <c r="V549" s="16">
        <f>IFERROR(__xludf.DUMMYFUNCTION("""COMPUTED_VALUE"""),0.5306122448979592)</f>
        <v>0.5306122449</v>
      </c>
      <c r="W549" s="16">
        <f>IFERROR(__xludf.DUMMYFUNCTION("""COMPUTED_VALUE"""),1.3877551020408163)</f>
        <v>1.387755102</v>
      </c>
      <c r="X549" s="16">
        <f>IFERROR(__xludf.DUMMYFUNCTION("""COMPUTED_VALUE"""),2.7142857142857144)</f>
        <v>2.714285714</v>
      </c>
      <c r="Y549" s="11">
        <f>IFERROR(__xludf.DUMMYFUNCTION("""COMPUTED_VALUE"""),13.0)</f>
        <v>13</v>
      </c>
      <c r="Z549" s="11">
        <f>IFERROR(__xludf.DUMMYFUNCTION("""COMPUTED_VALUE"""),5.0)</f>
        <v>5</v>
      </c>
      <c r="AA549" s="11">
        <f>IFERROR(__xludf.DUMMYFUNCTION("""COMPUTED_VALUE"""),0.0)</f>
        <v>0</v>
      </c>
      <c r="AB549" s="11">
        <f>IFERROR(__xludf.DUMMYFUNCTION("""COMPUTED_VALUE"""),7.0)</f>
        <v>7</v>
      </c>
      <c r="AC549" s="11">
        <f>IFERROR(__xludf.DUMMYFUNCTION("""COMPUTED_VALUE"""),26.0)</f>
        <v>26</v>
      </c>
      <c r="AD549" s="11">
        <f>IFERROR(__xludf.DUMMYFUNCTION("""COMPUTED_VALUE"""),48.0)</f>
        <v>48</v>
      </c>
    </row>
    <row r="550">
      <c r="A550" s="10" t="str">
        <f>IFERROR(__xludf.DUMMYFUNCTION("""COMPUTED_VALUE"""),"Rival")</f>
        <v>Rival</v>
      </c>
      <c r="B550" s="10" t="str">
        <f>IFERROR(__xludf.DUMMYFUNCTION("""COMPUTED_VALUE"""),"RSC006774")</f>
        <v>RSC006774</v>
      </c>
      <c r="C550" s="10" t="str">
        <f>IFERROR(__xludf.DUMMYFUNCTION("""COMPUTED_VALUE"""),"JazzMagic.")</f>
        <v>JazzMagic.</v>
      </c>
      <c r="D550" s="36" t="str">
        <f>IFERROR(__xludf.DUMMYFUNCTION("""COMPUTED_VALUE"""),"Ruthless Racket")</f>
        <v>Ruthless Racket</v>
      </c>
      <c r="E550" s="10" t="str">
        <f>IFERROR(__xludf.DUMMYFUNCTION("""COMPUTED_VALUE"""),"Lunar")</f>
        <v>Lunar</v>
      </c>
      <c r="F550" s="37">
        <f>IFERROR(__xludf.DUMMYFUNCTION("""COMPUTED_VALUE"""),69.69305421917049)</f>
        <v>69.69305422</v>
      </c>
      <c r="G550" s="38">
        <f>IFERROR(__xludf.DUMMYFUNCTION("""COMPUTED_VALUE"""),59.90446262284779)</f>
        <v>59.90446262</v>
      </c>
      <c r="H550" s="38">
        <f>IFERROR(__xludf.DUMMYFUNCTION("""COMPUTED_VALUE"""),64.79875842100914)</f>
        <v>64.79875842</v>
      </c>
      <c r="I550" s="14">
        <f>IFERROR(__xludf.DUMMYFUNCTION("""COMPUTED_VALUE"""),55.0)</f>
        <v>55</v>
      </c>
      <c r="J550" s="11">
        <f>IFERROR(__xludf.DUMMYFUNCTION("IFERROR(FILTER(Stats!$F:$Z,(Stats!$A:$A=$A550)*(Stats!$B:$B=$B550)))"),32.0)</f>
        <v>32</v>
      </c>
      <c r="K550" s="11">
        <f>IFERROR(__xludf.DUMMYFUNCTION("""COMPUTED_VALUE"""),23.0)</f>
        <v>23</v>
      </c>
      <c r="L550" s="12">
        <f>IFERROR(__xludf.DUMMYFUNCTION("""COMPUTED_VALUE"""),0.5818181818181818)</f>
        <v>0.5818181818</v>
      </c>
      <c r="M550" s="11">
        <f>IFERROR(__xludf.DUMMYFUNCTION("""COMPUTED_VALUE"""),15.0)</f>
        <v>15</v>
      </c>
      <c r="N550" s="11">
        <f>IFERROR(__xludf.DUMMYFUNCTION("""COMPUTED_VALUE"""),20617.0)</f>
        <v>20617</v>
      </c>
      <c r="O550" s="13">
        <f>IFERROR(__xludf.DUMMYFUNCTION("""COMPUTED_VALUE"""),44.0)</f>
        <v>44</v>
      </c>
      <c r="P550" s="14">
        <f>IFERROR(__xludf.DUMMYFUNCTION("""COMPUTED_VALUE"""),34.0)</f>
        <v>34</v>
      </c>
      <c r="Q550" s="13">
        <f>IFERROR(__xludf.DUMMYFUNCTION("""COMPUTED_VALUE"""),71.0)</f>
        <v>71</v>
      </c>
      <c r="R550" s="13">
        <f>IFERROR(__xludf.DUMMYFUNCTION("""COMPUTED_VALUE"""),141.0)</f>
        <v>141</v>
      </c>
      <c r="S550" s="15">
        <f>IFERROR(__xludf.DUMMYFUNCTION("""COMPUTED_VALUE"""),0.3120567375886525)</f>
        <v>0.3120567376</v>
      </c>
      <c r="T550" s="16">
        <f>IFERROR(__xludf.DUMMYFUNCTION("""COMPUTED_VALUE"""),374.8545454545455)</f>
        <v>374.8545455</v>
      </c>
      <c r="U550" s="16">
        <f>IFERROR(__xludf.DUMMYFUNCTION("""COMPUTED_VALUE"""),0.8)</f>
        <v>0.8</v>
      </c>
      <c r="V550" s="16">
        <f>IFERROR(__xludf.DUMMYFUNCTION("""COMPUTED_VALUE"""),0.6181818181818182)</f>
        <v>0.6181818182</v>
      </c>
      <c r="W550" s="16">
        <f>IFERROR(__xludf.DUMMYFUNCTION("""COMPUTED_VALUE"""),1.290909090909091)</f>
        <v>1.290909091</v>
      </c>
      <c r="X550" s="16">
        <f>IFERROR(__xludf.DUMMYFUNCTION("""COMPUTED_VALUE"""),2.5636363636363635)</f>
        <v>2.563636364</v>
      </c>
      <c r="Y550" s="11">
        <f>IFERROR(__xludf.DUMMYFUNCTION("""COMPUTED_VALUE"""),18.0)</f>
        <v>18</v>
      </c>
      <c r="Z550" s="11">
        <f>IFERROR(__xludf.DUMMYFUNCTION("""COMPUTED_VALUE"""),2.0)</f>
        <v>2</v>
      </c>
      <c r="AA550" s="11">
        <f>IFERROR(__xludf.DUMMYFUNCTION("""COMPUTED_VALUE"""),1.0)</f>
        <v>1</v>
      </c>
      <c r="AB550" s="11">
        <f>IFERROR(__xludf.DUMMYFUNCTION("""COMPUTED_VALUE"""),7.0)</f>
        <v>7</v>
      </c>
      <c r="AC550" s="11">
        <f>IFERROR(__xludf.DUMMYFUNCTION("""COMPUTED_VALUE"""),31.0)</f>
        <v>31</v>
      </c>
      <c r="AD550" s="11">
        <f>IFERROR(__xludf.DUMMYFUNCTION("""COMPUTED_VALUE"""),64.0)</f>
        <v>64</v>
      </c>
    </row>
    <row r="551">
      <c r="A551" s="10" t="str">
        <f>IFERROR(__xludf.DUMMYFUNCTION("""COMPUTED_VALUE"""),"Rival")</f>
        <v>Rival</v>
      </c>
      <c r="B551" s="10" t="str">
        <f>IFERROR(__xludf.DUMMYFUNCTION("""COMPUTED_VALUE"""),"RSC005885")</f>
        <v>RSC005885</v>
      </c>
      <c r="C551" s="10" t="str">
        <f>IFERROR(__xludf.DUMMYFUNCTION("""COMPUTED_VALUE"""),"noot")</f>
        <v>noot</v>
      </c>
      <c r="D551" s="36" t="str">
        <f>IFERROR(__xludf.DUMMYFUNCTION("""COMPUTED_VALUE"""),"Quasars")</f>
        <v>Quasars</v>
      </c>
      <c r="E551" s="10" t="str">
        <f>IFERROR(__xludf.DUMMYFUNCTION("""COMPUTED_VALUE"""),"Lunar")</f>
        <v>Lunar</v>
      </c>
      <c r="F551" s="37">
        <f>IFERROR(__xludf.DUMMYFUNCTION("""COMPUTED_VALUE"""),67.04024726311877)</f>
        <v>67.04024726</v>
      </c>
      <c r="G551" s="38">
        <f>IFERROR(__xludf.DUMMYFUNCTION("""COMPUTED_VALUE"""),62.22309970563949)</f>
        <v>62.22309971</v>
      </c>
      <c r="H551" s="38">
        <f>IFERROR(__xludf.DUMMYFUNCTION("""COMPUTED_VALUE"""),64.63167348437914)</f>
        <v>64.63167348</v>
      </c>
      <c r="I551" s="14">
        <f>IFERROR(__xludf.DUMMYFUNCTION("""COMPUTED_VALUE"""),52.0)</f>
        <v>52</v>
      </c>
      <c r="J551" s="11">
        <f>IFERROR(__xludf.DUMMYFUNCTION("IFERROR(FILTER(Stats!$F:$Z,(Stats!$A:$A=$A551)*(Stats!$B:$B=$B551)))"),25.0)</f>
        <v>25</v>
      </c>
      <c r="K551" s="11">
        <f>IFERROR(__xludf.DUMMYFUNCTION("""COMPUTED_VALUE"""),27.0)</f>
        <v>27</v>
      </c>
      <c r="L551" s="12">
        <f>IFERROR(__xludf.DUMMYFUNCTION("""COMPUTED_VALUE"""),0.4807692307692308)</f>
        <v>0.4807692308</v>
      </c>
      <c r="M551" s="11">
        <f>IFERROR(__xludf.DUMMYFUNCTION("""COMPUTED_VALUE"""),10.0)</f>
        <v>10</v>
      </c>
      <c r="N551" s="11">
        <f>IFERROR(__xludf.DUMMYFUNCTION("""COMPUTED_VALUE"""),19524.0)</f>
        <v>19524</v>
      </c>
      <c r="O551" s="13">
        <f>IFERROR(__xludf.DUMMYFUNCTION("""COMPUTED_VALUE"""),42.0)</f>
        <v>42</v>
      </c>
      <c r="P551" s="14">
        <f>IFERROR(__xludf.DUMMYFUNCTION("""COMPUTED_VALUE"""),31.0)</f>
        <v>31</v>
      </c>
      <c r="Q551" s="13">
        <f>IFERROR(__xludf.DUMMYFUNCTION("""COMPUTED_VALUE"""),78.0)</f>
        <v>78</v>
      </c>
      <c r="R551" s="13">
        <f>IFERROR(__xludf.DUMMYFUNCTION("""COMPUTED_VALUE"""),118.0)</f>
        <v>118</v>
      </c>
      <c r="S551" s="15">
        <f>IFERROR(__xludf.DUMMYFUNCTION("""COMPUTED_VALUE"""),0.3559322033898305)</f>
        <v>0.3559322034</v>
      </c>
      <c r="T551" s="16">
        <f>IFERROR(__xludf.DUMMYFUNCTION("""COMPUTED_VALUE"""),375.46153846153845)</f>
        <v>375.4615385</v>
      </c>
      <c r="U551" s="16">
        <f>IFERROR(__xludf.DUMMYFUNCTION("""COMPUTED_VALUE"""),0.8076923076923077)</f>
        <v>0.8076923077</v>
      </c>
      <c r="V551" s="16">
        <f>IFERROR(__xludf.DUMMYFUNCTION("""COMPUTED_VALUE"""),0.5961538461538461)</f>
        <v>0.5961538462</v>
      </c>
      <c r="W551" s="16">
        <f>IFERROR(__xludf.DUMMYFUNCTION("""COMPUTED_VALUE"""),1.5)</f>
        <v>1.5</v>
      </c>
      <c r="X551" s="16">
        <f>IFERROR(__xludf.DUMMYFUNCTION("""COMPUTED_VALUE"""),2.269230769230769)</f>
        <v>2.269230769</v>
      </c>
      <c r="Y551" s="11">
        <f>IFERROR(__xludf.DUMMYFUNCTION("""COMPUTED_VALUE"""),11.0)</f>
        <v>11</v>
      </c>
      <c r="Z551" s="11">
        <f>IFERROR(__xludf.DUMMYFUNCTION("""COMPUTED_VALUE"""),1.0)</f>
        <v>1</v>
      </c>
      <c r="AA551" s="11">
        <f>IFERROR(__xludf.DUMMYFUNCTION("""COMPUTED_VALUE"""),0.0)</f>
        <v>0</v>
      </c>
      <c r="AB551" s="11">
        <f>IFERROR(__xludf.DUMMYFUNCTION("""COMPUTED_VALUE"""),11.0)</f>
        <v>11</v>
      </c>
      <c r="AC551" s="11">
        <f>IFERROR(__xludf.DUMMYFUNCTION("""COMPUTED_VALUE"""),46.0)</f>
        <v>46</v>
      </c>
      <c r="AD551" s="11">
        <f>IFERROR(__xludf.DUMMYFUNCTION("""COMPUTED_VALUE"""),47.0)</f>
        <v>47</v>
      </c>
    </row>
    <row r="552">
      <c r="A552" s="10" t="str">
        <f>IFERROR(__xludf.DUMMYFUNCTION("""COMPUTED_VALUE"""),"Rival")</f>
        <v>Rival</v>
      </c>
      <c r="B552" s="10" t="str">
        <f>IFERROR(__xludf.DUMMYFUNCTION("""COMPUTED_VALUE"""),"RSC008173")</f>
        <v>RSC008173</v>
      </c>
      <c r="C552" s="10" t="str">
        <f>IFERROR(__xludf.DUMMYFUNCTION("""COMPUTED_VALUE"""),"Wild Thing")</f>
        <v>Wild Thing</v>
      </c>
      <c r="D552" s="36" t="str">
        <f>IFERROR(__xludf.DUMMYFUNCTION("""COMPUTED_VALUE"""),"Primo")</f>
        <v>Primo</v>
      </c>
      <c r="E552" s="10" t="str">
        <f>IFERROR(__xludf.DUMMYFUNCTION("""COMPUTED_VALUE"""),"Solar")</f>
        <v>Solar</v>
      </c>
      <c r="F552" s="37">
        <f>IFERROR(__xludf.DUMMYFUNCTION("""COMPUTED_VALUE"""),58.74497518457866)</f>
        <v>58.74497518</v>
      </c>
      <c r="G552" s="38">
        <f>IFERROR(__xludf.DUMMYFUNCTION("""COMPUTED_VALUE"""),69.40534216975314)</f>
        <v>69.40534217</v>
      </c>
      <c r="H552" s="38">
        <f>IFERROR(__xludf.DUMMYFUNCTION("""COMPUTED_VALUE"""),64.0751586771659)</f>
        <v>64.07515868</v>
      </c>
      <c r="I552" s="14">
        <f>IFERROR(__xludf.DUMMYFUNCTION("""COMPUTED_VALUE"""),55.0)</f>
        <v>55</v>
      </c>
      <c r="J552" s="11">
        <f>IFERROR(__xludf.DUMMYFUNCTION("IFERROR(FILTER(Stats!$F:$Z,(Stats!$A:$A=$A552)*(Stats!$B:$B=$B552)))"),35.0)</f>
        <v>35</v>
      </c>
      <c r="K552" s="11">
        <f>IFERROR(__xludf.DUMMYFUNCTION("""COMPUTED_VALUE"""),20.0)</f>
        <v>20</v>
      </c>
      <c r="L552" s="12">
        <f>IFERROR(__xludf.DUMMYFUNCTION("""COMPUTED_VALUE"""),0.6363636363636364)</f>
        <v>0.6363636364</v>
      </c>
      <c r="M552" s="11">
        <f>IFERROR(__xludf.DUMMYFUNCTION("""COMPUTED_VALUE"""),11.0)</f>
        <v>11</v>
      </c>
      <c r="N552" s="11">
        <f>IFERROR(__xludf.DUMMYFUNCTION("""COMPUTED_VALUE"""),17762.0)</f>
        <v>17762</v>
      </c>
      <c r="O552" s="13">
        <f>IFERROR(__xludf.DUMMYFUNCTION("""COMPUTED_VALUE"""),48.0)</f>
        <v>48</v>
      </c>
      <c r="P552" s="14">
        <f>IFERROR(__xludf.DUMMYFUNCTION("""COMPUTED_VALUE"""),30.0)</f>
        <v>30</v>
      </c>
      <c r="Q552" s="13">
        <f>IFERROR(__xludf.DUMMYFUNCTION("""COMPUTED_VALUE"""),54.0)</f>
        <v>54</v>
      </c>
      <c r="R552" s="13">
        <f>IFERROR(__xludf.DUMMYFUNCTION("""COMPUTED_VALUE"""),162.0)</f>
        <v>162</v>
      </c>
      <c r="S552" s="15">
        <f>IFERROR(__xludf.DUMMYFUNCTION("""COMPUTED_VALUE"""),0.2962962962962963)</f>
        <v>0.2962962963</v>
      </c>
      <c r="T552" s="16">
        <f>IFERROR(__xludf.DUMMYFUNCTION("""COMPUTED_VALUE"""),322.94545454545454)</f>
        <v>322.9454545</v>
      </c>
      <c r="U552" s="16">
        <f>IFERROR(__xludf.DUMMYFUNCTION("""COMPUTED_VALUE"""),0.8727272727272727)</f>
        <v>0.8727272727</v>
      </c>
      <c r="V552" s="16">
        <f>IFERROR(__xludf.DUMMYFUNCTION("""COMPUTED_VALUE"""),0.5454545454545454)</f>
        <v>0.5454545455</v>
      </c>
      <c r="W552" s="16">
        <f>IFERROR(__xludf.DUMMYFUNCTION("""COMPUTED_VALUE"""),0.9818181818181818)</f>
        <v>0.9818181818</v>
      </c>
      <c r="X552" s="16">
        <f>IFERROR(__xludf.DUMMYFUNCTION("""COMPUTED_VALUE"""),2.9454545454545453)</f>
        <v>2.945454545</v>
      </c>
      <c r="Y552" s="11">
        <f>IFERROR(__xludf.DUMMYFUNCTION("""COMPUTED_VALUE"""),7.0)</f>
        <v>7</v>
      </c>
      <c r="Z552" s="11">
        <f>IFERROR(__xludf.DUMMYFUNCTION("""COMPUTED_VALUE"""),4.0)</f>
        <v>4</v>
      </c>
      <c r="AA552" s="11">
        <f>IFERROR(__xludf.DUMMYFUNCTION("""COMPUTED_VALUE"""),1.0)</f>
        <v>1</v>
      </c>
      <c r="AB552" s="11">
        <f>IFERROR(__xludf.DUMMYFUNCTION("""COMPUTED_VALUE"""),4.0)</f>
        <v>4</v>
      </c>
      <c r="AC552" s="11">
        <f>IFERROR(__xludf.DUMMYFUNCTION("""COMPUTED_VALUE"""),47.0)</f>
        <v>47</v>
      </c>
      <c r="AD552" s="11">
        <f>IFERROR(__xludf.DUMMYFUNCTION("""COMPUTED_VALUE"""),54.0)</f>
        <v>54</v>
      </c>
    </row>
    <row r="553">
      <c r="A553" s="10" t="str">
        <f>IFERROR(__xludf.DUMMYFUNCTION("""COMPUTED_VALUE"""),"Rival")</f>
        <v>Rival</v>
      </c>
      <c r="B553" s="10" t="str">
        <f>IFERROR(__xludf.DUMMYFUNCTION("""COMPUTED_VALUE"""),"RSC006187")</f>
        <v>RSC006187</v>
      </c>
      <c r="C553" s="10" t="str">
        <f>IFERROR(__xludf.DUMMYFUNCTION("""COMPUTED_VALUE"""),"1999 Toyota Camry")</f>
        <v>1999 Toyota Camry</v>
      </c>
      <c r="D553" s="36" t="str">
        <f>IFERROR(__xludf.DUMMYFUNCTION("""COMPUTED_VALUE"""),"Gaboons")</f>
        <v>Gaboons</v>
      </c>
      <c r="E553" s="10" t="str">
        <f>IFERROR(__xludf.DUMMYFUNCTION("""COMPUTED_VALUE"""),"Lunar")</f>
        <v>Lunar</v>
      </c>
      <c r="F553" s="37">
        <f>IFERROR(__xludf.DUMMYFUNCTION("""COMPUTED_VALUE"""),58.11622792148878)</f>
        <v>58.11622792</v>
      </c>
      <c r="G553" s="38">
        <f>IFERROR(__xludf.DUMMYFUNCTION("""COMPUTED_VALUE"""),69.53756442171503)</f>
        <v>69.53756442</v>
      </c>
      <c r="H553" s="38">
        <f>IFERROR(__xludf.DUMMYFUNCTION("""COMPUTED_VALUE"""),63.8268961716019)</f>
        <v>63.82689617</v>
      </c>
      <c r="I553" s="14">
        <f>IFERROR(__xludf.DUMMYFUNCTION("""COMPUTED_VALUE"""),16.0)</f>
        <v>16</v>
      </c>
      <c r="J553" s="11">
        <f>IFERROR(__xludf.DUMMYFUNCTION("IFERROR(FILTER(Stats!$F:$Z,(Stats!$A:$A=$A553)*(Stats!$B:$B=$B553)))"),8.0)</f>
        <v>8</v>
      </c>
      <c r="K553" s="11">
        <f>IFERROR(__xludf.DUMMYFUNCTION("""COMPUTED_VALUE"""),8.0)</f>
        <v>8</v>
      </c>
      <c r="L553" s="12">
        <f>IFERROR(__xludf.DUMMYFUNCTION("""COMPUTED_VALUE"""),0.5)</f>
        <v>0.5</v>
      </c>
      <c r="M553" s="11">
        <f>IFERROR(__xludf.DUMMYFUNCTION("""COMPUTED_VALUE"""),4.0)</f>
        <v>4</v>
      </c>
      <c r="N553" s="11">
        <f>IFERROR(__xludf.DUMMYFUNCTION("""COMPUTED_VALUE"""),5685.0)</f>
        <v>5685</v>
      </c>
      <c r="O553" s="13">
        <f>IFERROR(__xludf.DUMMYFUNCTION("""COMPUTED_VALUE"""),14.0)</f>
        <v>14</v>
      </c>
      <c r="P553" s="14">
        <f>IFERROR(__xludf.DUMMYFUNCTION("""COMPUTED_VALUE"""),13.0)</f>
        <v>13</v>
      </c>
      <c r="Q553" s="13">
        <f>IFERROR(__xludf.DUMMYFUNCTION("""COMPUTED_VALUE"""),20.0)</f>
        <v>20</v>
      </c>
      <c r="R553" s="13">
        <f>IFERROR(__xludf.DUMMYFUNCTION("""COMPUTED_VALUE"""),38.0)</f>
        <v>38</v>
      </c>
      <c r="S553" s="15">
        <f>IFERROR(__xludf.DUMMYFUNCTION("""COMPUTED_VALUE"""),0.3684210526315789)</f>
        <v>0.3684210526</v>
      </c>
      <c r="T553" s="16">
        <f>IFERROR(__xludf.DUMMYFUNCTION("""COMPUTED_VALUE"""),355.3125)</f>
        <v>355.3125</v>
      </c>
      <c r="U553" s="16">
        <f>IFERROR(__xludf.DUMMYFUNCTION("""COMPUTED_VALUE"""),0.875)</f>
        <v>0.875</v>
      </c>
      <c r="V553" s="16">
        <f>IFERROR(__xludf.DUMMYFUNCTION("""COMPUTED_VALUE"""),0.8125)</f>
        <v>0.8125</v>
      </c>
      <c r="W553" s="16">
        <f>IFERROR(__xludf.DUMMYFUNCTION("""COMPUTED_VALUE"""),1.25)</f>
        <v>1.25</v>
      </c>
      <c r="X553" s="16">
        <f>IFERROR(__xludf.DUMMYFUNCTION("""COMPUTED_VALUE"""),2.375)</f>
        <v>2.375</v>
      </c>
      <c r="Y553" s="11">
        <f>IFERROR(__xludf.DUMMYFUNCTION("""COMPUTED_VALUE"""),7.0)</f>
        <v>7</v>
      </c>
      <c r="Z553" s="11">
        <f>IFERROR(__xludf.DUMMYFUNCTION("""COMPUTED_VALUE"""),0.0)</f>
        <v>0</v>
      </c>
      <c r="AA553" s="11">
        <f>IFERROR(__xludf.DUMMYFUNCTION("""COMPUTED_VALUE"""),0.0)</f>
        <v>0</v>
      </c>
      <c r="AB553" s="11">
        <f>IFERROR(__xludf.DUMMYFUNCTION("""COMPUTED_VALUE"""),3.0)</f>
        <v>3</v>
      </c>
      <c r="AC553" s="11">
        <f>IFERROR(__xludf.DUMMYFUNCTION("""COMPUTED_VALUE"""),23.0)</f>
        <v>23</v>
      </c>
      <c r="AD553" s="11">
        <f>IFERROR(__xludf.DUMMYFUNCTION("""COMPUTED_VALUE"""),10.0)</f>
        <v>10</v>
      </c>
    </row>
    <row r="554">
      <c r="A554" s="10" t="str">
        <f>IFERROR(__xludf.DUMMYFUNCTION("""COMPUTED_VALUE"""),"Rival")</f>
        <v>Rival</v>
      </c>
      <c r="B554" s="10" t="str">
        <f>IFERROR(__xludf.DUMMYFUNCTION("""COMPUTED_VALUE"""),"RSC002267")</f>
        <v>RSC002267</v>
      </c>
      <c r="C554" s="10" t="str">
        <f>IFERROR(__xludf.DUMMYFUNCTION("""COMPUTED_VALUE"""),"Dooqal")</f>
        <v>Dooqal</v>
      </c>
      <c r="D554" s="36" t="str">
        <f>IFERROR(__xludf.DUMMYFUNCTION("""COMPUTED_VALUE"""),"Heavy Metal")</f>
        <v>Heavy Metal</v>
      </c>
      <c r="E554" s="10" t="str">
        <f>IFERROR(__xludf.DUMMYFUNCTION("""COMPUTED_VALUE"""),"Lunar")</f>
        <v>Lunar</v>
      </c>
      <c r="F554" s="37">
        <f>IFERROR(__xludf.DUMMYFUNCTION("""COMPUTED_VALUE"""),66.12601907230406)</f>
        <v>66.12601907</v>
      </c>
      <c r="G554" s="38">
        <f>IFERROR(__xludf.DUMMYFUNCTION("""COMPUTED_VALUE"""),61.24797258290649)</f>
        <v>61.24797258</v>
      </c>
      <c r="H554" s="38">
        <f>IFERROR(__xludf.DUMMYFUNCTION("""COMPUTED_VALUE"""),63.68699582760527)</f>
        <v>63.68699583</v>
      </c>
      <c r="I554" s="14">
        <f>IFERROR(__xludf.DUMMYFUNCTION("""COMPUTED_VALUE"""),46.0)</f>
        <v>46</v>
      </c>
      <c r="J554" s="11">
        <f>IFERROR(__xludf.DUMMYFUNCTION("IFERROR(FILTER(Stats!$F:$Z,(Stats!$A:$A=$A554)*(Stats!$B:$B=$B554)))"),21.0)</f>
        <v>21</v>
      </c>
      <c r="K554" s="11">
        <f>IFERROR(__xludf.DUMMYFUNCTION("""COMPUTED_VALUE"""),25.0)</f>
        <v>25</v>
      </c>
      <c r="L554" s="12">
        <f>IFERROR(__xludf.DUMMYFUNCTION("""COMPUTED_VALUE"""),0.45652173913043476)</f>
        <v>0.4565217391</v>
      </c>
      <c r="M554" s="11">
        <f>IFERROR(__xludf.DUMMYFUNCTION("""COMPUTED_VALUE"""),12.0)</f>
        <v>12</v>
      </c>
      <c r="N554" s="11">
        <f>IFERROR(__xludf.DUMMYFUNCTION("""COMPUTED_VALUE"""),18609.0)</f>
        <v>18609</v>
      </c>
      <c r="O554" s="13">
        <f>IFERROR(__xludf.DUMMYFUNCTION("""COMPUTED_VALUE"""),40.0)</f>
        <v>40</v>
      </c>
      <c r="P554" s="14">
        <f>IFERROR(__xludf.DUMMYFUNCTION("""COMPUTED_VALUE"""),21.0)</f>
        <v>21</v>
      </c>
      <c r="Q554" s="13">
        <f>IFERROR(__xludf.DUMMYFUNCTION("""COMPUTED_VALUE"""),76.0)</f>
        <v>76</v>
      </c>
      <c r="R554" s="13">
        <f>IFERROR(__xludf.DUMMYFUNCTION("""COMPUTED_VALUE"""),133.0)</f>
        <v>133</v>
      </c>
      <c r="S554" s="15">
        <f>IFERROR(__xludf.DUMMYFUNCTION("""COMPUTED_VALUE"""),0.3007518796992481)</f>
        <v>0.3007518797</v>
      </c>
      <c r="T554" s="16">
        <f>IFERROR(__xludf.DUMMYFUNCTION("""COMPUTED_VALUE"""),404.54347826086956)</f>
        <v>404.5434783</v>
      </c>
      <c r="U554" s="16">
        <f>IFERROR(__xludf.DUMMYFUNCTION("""COMPUTED_VALUE"""),0.8695652173913043)</f>
        <v>0.8695652174</v>
      </c>
      <c r="V554" s="16">
        <f>IFERROR(__xludf.DUMMYFUNCTION("""COMPUTED_VALUE"""),0.45652173913043476)</f>
        <v>0.4565217391</v>
      </c>
      <c r="W554" s="16">
        <f>IFERROR(__xludf.DUMMYFUNCTION("""COMPUTED_VALUE"""),1.6521739130434783)</f>
        <v>1.652173913</v>
      </c>
      <c r="X554" s="16">
        <f>IFERROR(__xludf.DUMMYFUNCTION("""COMPUTED_VALUE"""),2.891304347826087)</f>
        <v>2.891304348</v>
      </c>
      <c r="Y554" s="11">
        <f>IFERROR(__xludf.DUMMYFUNCTION("""COMPUTED_VALUE"""),10.0)</f>
        <v>10</v>
      </c>
      <c r="Z554" s="11">
        <f>IFERROR(__xludf.DUMMYFUNCTION("""COMPUTED_VALUE"""),3.0)</f>
        <v>3</v>
      </c>
      <c r="AA554" s="11">
        <f>IFERROR(__xludf.DUMMYFUNCTION("""COMPUTED_VALUE"""),0.0)</f>
        <v>0</v>
      </c>
      <c r="AB554" s="11">
        <f>IFERROR(__xludf.DUMMYFUNCTION("""COMPUTED_VALUE"""),9.0)</f>
        <v>9</v>
      </c>
      <c r="AC554" s="11">
        <f>IFERROR(__xludf.DUMMYFUNCTION("""COMPUTED_VALUE"""),31.0)</f>
        <v>31</v>
      </c>
      <c r="AD554" s="11">
        <f>IFERROR(__xludf.DUMMYFUNCTION("""COMPUTED_VALUE"""),42.0)</f>
        <v>42</v>
      </c>
    </row>
    <row r="555">
      <c r="A555" s="10" t="str">
        <f>IFERROR(__xludf.DUMMYFUNCTION("""COMPUTED_VALUE"""),"Rival")</f>
        <v>Rival</v>
      </c>
      <c r="B555" s="10" t="str">
        <f>IFERROR(__xludf.DUMMYFUNCTION("""COMPUTED_VALUE"""),"RSC000136")</f>
        <v>RSC000136</v>
      </c>
      <c r="C555" s="10" t="str">
        <f>IFERROR(__xludf.DUMMYFUNCTION("""COMPUTED_VALUE"""),"Blun")</f>
        <v>Blun</v>
      </c>
      <c r="D555" s="36" t="str">
        <f>IFERROR(__xludf.DUMMYFUNCTION("""COMPUTED_VALUE"""),"Hue Heroes")</f>
        <v>Hue Heroes</v>
      </c>
      <c r="E555" s="10" t="str">
        <f>IFERROR(__xludf.DUMMYFUNCTION("""COMPUTED_VALUE"""),"Solar")</f>
        <v>Solar</v>
      </c>
      <c r="F555" s="37">
        <f>IFERROR(__xludf.DUMMYFUNCTION("""COMPUTED_VALUE"""),59.46737285927097)</f>
        <v>59.46737286</v>
      </c>
      <c r="G555" s="38">
        <f>IFERROR(__xludf.DUMMYFUNCTION("""COMPUTED_VALUE"""),67.69614696049683)</f>
        <v>67.69614696</v>
      </c>
      <c r="H555" s="38">
        <f>IFERROR(__xludf.DUMMYFUNCTION("""COMPUTED_VALUE"""),63.5817599098839)</f>
        <v>63.58175991</v>
      </c>
      <c r="I555" s="14">
        <f>IFERROR(__xludf.DUMMYFUNCTION("""COMPUTED_VALUE"""),43.0)</f>
        <v>43</v>
      </c>
      <c r="J555" s="11">
        <f>IFERROR(__xludf.DUMMYFUNCTION("IFERROR(FILTER(Stats!$F:$Z,(Stats!$A:$A=$A555)*(Stats!$B:$B=$B555)))"),26.0)</f>
        <v>26</v>
      </c>
      <c r="K555" s="11">
        <f>IFERROR(__xludf.DUMMYFUNCTION("""COMPUTED_VALUE"""),17.0)</f>
        <v>17</v>
      </c>
      <c r="L555" s="12">
        <f>IFERROR(__xludf.DUMMYFUNCTION("""COMPUTED_VALUE"""),0.6046511627906976)</f>
        <v>0.6046511628</v>
      </c>
      <c r="M555" s="11">
        <f>IFERROR(__xludf.DUMMYFUNCTION("""COMPUTED_VALUE"""),5.0)</f>
        <v>5</v>
      </c>
      <c r="N555" s="11">
        <f>IFERROR(__xludf.DUMMYFUNCTION("""COMPUTED_VALUE"""),15022.0)</f>
        <v>15022</v>
      </c>
      <c r="O555" s="13">
        <f>IFERROR(__xludf.DUMMYFUNCTION("""COMPUTED_VALUE"""),47.0)</f>
        <v>47</v>
      </c>
      <c r="P555" s="14">
        <f>IFERROR(__xludf.DUMMYFUNCTION("""COMPUTED_VALUE"""),24.0)</f>
        <v>24</v>
      </c>
      <c r="Q555" s="13">
        <f>IFERROR(__xludf.DUMMYFUNCTION("""COMPUTED_VALUE"""),38.0)</f>
        <v>38</v>
      </c>
      <c r="R555" s="13">
        <f>IFERROR(__xludf.DUMMYFUNCTION("""COMPUTED_VALUE"""),118.0)</f>
        <v>118</v>
      </c>
      <c r="S555" s="15">
        <f>IFERROR(__xludf.DUMMYFUNCTION("""COMPUTED_VALUE"""),0.3983050847457627)</f>
        <v>0.3983050847</v>
      </c>
      <c r="T555" s="16">
        <f>IFERROR(__xludf.DUMMYFUNCTION("""COMPUTED_VALUE"""),349.3488372093023)</f>
        <v>349.3488372</v>
      </c>
      <c r="U555" s="16">
        <f>IFERROR(__xludf.DUMMYFUNCTION("""COMPUTED_VALUE"""),1.0930232558139534)</f>
        <v>1.093023256</v>
      </c>
      <c r="V555" s="16">
        <f>IFERROR(__xludf.DUMMYFUNCTION("""COMPUTED_VALUE"""),0.5581395348837209)</f>
        <v>0.5581395349</v>
      </c>
      <c r="W555" s="16">
        <f>IFERROR(__xludf.DUMMYFUNCTION("""COMPUTED_VALUE"""),0.8837209302325582)</f>
        <v>0.8837209302</v>
      </c>
      <c r="X555" s="16">
        <f>IFERROR(__xludf.DUMMYFUNCTION("""COMPUTED_VALUE"""),2.744186046511628)</f>
        <v>2.744186047</v>
      </c>
      <c r="Y555" s="11">
        <f>IFERROR(__xludf.DUMMYFUNCTION("""COMPUTED_VALUE"""),4.0)</f>
        <v>4</v>
      </c>
      <c r="Z555" s="11">
        <f>IFERROR(__xludf.DUMMYFUNCTION("""COMPUTED_VALUE"""),3.0)</f>
        <v>3</v>
      </c>
      <c r="AA555" s="11">
        <f>IFERROR(__xludf.DUMMYFUNCTION("""COMPUTED_VALUE"""),1.0)</f>
        <v>1</v>
      </c>
      <c r="AB555" s="11">
        <f>IFERROR(__xludf.DUMMYFUNCTION("""COMPUTED_VALUE"""),2.0)</f>
        <v>2</v>
      </c>
      <c r="AC555" s="11">
        <f>IFERROR(__xludf.DUMMYFUNCTION("""COMPUTED_VALUE"""),24.0)</f>
        <v>24</v>
      </c>
      <c r="AD555" s="11">
        <f>IFERROR(__xludf.DUMMYFUNCTION("""COMPUTED_VALUE"""),46.0)</f>
        <v>46</v>
      </c>
    </row>
    <row r="556">
      <c r="A556" s="10" t="str">
        <f>IFERROR(__xludf.DUMMYFUNCTION("""COMPUTED_VALUE"""),"Rival")</f>
        <v>Rival</v>
      </c>
      <c r="B556" s="10" t="str">
        <f>IFERROR(__xludf.DUMMYFUNCTION("""COMPUTED_VALUE"""),"RSC007613")</f>
        <v>RSC007613</v>
      </c>
      <c r="C556" s="10" t="str">
        <f>IFERROR(__xludf.DUMMYFUNCTION("""COMPUTED_VALUE"""),"Squatch70")</f>
        <v>Squatch70</v>
      </c>
      <c r="D556" s="36" t="str">
        <f>IFERROR(__xludf.DUMMYFUNCTION("""COMPUTED_VALUE"""),"Howlers")</f>
        <v>Howlers</v>
      </c>
      <c r="E556" s="10" t="str">
        <f>IFERROR(__xludf.DUMMYFUNCTION("""COMPUTED_VALUE"""),"Solar")</f>
        <v>Solar</v>
      </c>
      <c r="F556" s="37">
        <f>IFERROR(__xludf.DUMMYFUNCTION("""COMPUTED_VALUE"""),60.19926525286341)</f>
        <v>60.19926525</v>
      </c>
      <c r="G556" s="38">
        <f>IFERROR(__xludf.DUMMYFUNCTION("""COMPUTED_VALUE"""),66.75760118091085)</f>
        <v>66.75760118</v>
      </c>
      <c r="H556" s="38">
        <f>IFERROR(__xludf.DUMMYFUNCTION("""COMPUTED_VALUE"""),63.47843321688713)</f>
        <v>63.47843322</v>
      </c>
      <c r="I556" s="14">
        <f>IFERROR(__xludf.DUMMYFUNCTION("""COMPUTED_VALUE"""),53.0)</f>
        <v>53</v>
      </c>
      <c r="J556" s="11">
        <f>IFERROR(__xludf.DUMMYFUNCTION("IFERROR(FILTER(Stats!$F:$Z,(Stats!$A:$A=$A556)*(Stats!$B:$B=$B556)))"),28.0)</f>
        <v>28</v>
      </c>
      <c r="K556" s="11">
        <f>IFERROR(__xludf.DUMMYFUNCTION("""COMPUTED_VALUE"""),25.0)</f>
        <v>25</v>
      </c>
      <c r="L556" s="12">
        <f>IFERROR(__xludf.DUMMYFUNCTION("""COMPUTED_VALUE"""),0.5283018867924528)</f>
        <v>0.5283018868</v>
      </c>
      <c r="M556" s="11">
        <f>IFERROR(__xludf.DUMMYFUNCTION("""COMPUTED_VALUE"""),9.0)</f>
        <v>9</v>
      </c>
      <c r="N556" s="11">
        <f>IFERROR(__xludf.DUMMYFUNCTION("""COMPUTED_VALUE"""),18005.0)</f>
        <v>18005</v>
      </c>
      <c r="O556" s="13">
        <f>IFERROR(__xludf.DUMMYFUNCTION("""COMPUTED_VALUE"""),43.0)</f>
        <v>43</v>
      </c>
      <c r="P556" s="14">
        <f>IFERROR(__xludf.DUMMYFUNCTION("""COMPUTED_VALUE"""),36.0)</f>
        <v>36</v>
      </c>
      <c r="Q556" s="13">
        <f>IFERROR(__xludf.DUMMYFUNCTION("""COMPUTED_VALUE"""),50.0)</f>
        <v>50</v>
      </c>
      <c r="R556" s="13">
        <f>IFERROR(__xludf.DUMMYFUNCTION("""COMPUTED_VALUE"""),139.0)</f>
        <v>139</v>
      </c>
      <c r="S556" s="15">
        <f>IFERROR(__xludf.DUMMYFUNCTION("""COMPUTED_VALUE"""),0.30935251798561153)</f>
        <v>0.309352518</v>
      </c>
      <c r="T556" s="16">
        <f>IFERROR(__xludf.DUMMYFUNCTION("""COMPUTED_VALUE"""),339.7169811320755)</f>
        <v>339.7169811</v>
      </c>
      <c r="U556" s="16">
        <f>IFERROR(__xludf.DUMMYFUNCTION("""COMPUTED_VALUE"""),0.8113207547169812)</f>
        <v>0.8113207547</v>
      </c>
      <c r="V556" s="16">
        <f>IFERROR(__xludf.DUMMYFUNCTION("""COMPUTED_VALUE"""),0.6792452830188679)</f>
        <v>0.679245283</v>
      </c>
      <c r="W556" s="16">
        <f>IFERROR(__xludf.DUMMYFUNCTION("""COMPUTED_VALUE"""),0.9433962264150944)</f>
        <v>0.9433962264</v>
      </c>
      <c r="X556" s="16">
        <f>IFERROR(__xludf.DUMMYFUNCTION("""COMPUTED_VALUE"""),2.6226415094339623)</f>
        <v>2.622641509</v>
      </c>
      <c r="Y556" s="11">
        <f>IFERROR(__xludf.DUMMYFUNCTION("""COMPUTED_VALUE"""),9.0)</f>
        <v>9</v>
      </c>
      <c r="Z556" s="11">
        <f>IFERROR(__xludf.DUMMYFUNCTION("""COMPUTED_VALUE"""),5.0)</f>
        <v>5</v>
      </c>
      <c r="AA556" s="11">
        <f>IFERROR(__xludf.DUMMYFUNCTION("""COMPUTED_VALUE"""),2.0)</f>
        <v>2</v>
      </c>
      <c r="AB556" s="11">
        <f>IFERROR(__xludf.DUMMYFUNCTION("""COMPUTED_VALUE"""),4.0)</f>
        <v>4</v>
      </c>
      <c r="AC556" s="11">
        <f>IFERROR(__xludf.DUMMYFUNCTION("""COMPUTED_VALUE"""),66.0)</f>
        <v>66</v>
      </c>
      <c r="AD556" s="11">
        <f>IFERROR(__xludf.DUMMYFUNCTION("""COMPUTED_VALUE"""),51.0)</f>
        <v>51</v>
      </c>
    </row>
    <row r="557">
      <c r="A557" s="10" t="str">
        <f>IFERROR(__xludf.DUMMYFUNCTION("""COMPUTED_VALUE"""),"Rival")</f>
        <v>Rival</v>
      </c>
      <c r="B557" s="10" t="str">
        <f>IFERROR(__xludf.DUMMYFUNCTION("""COMPUTED_VALUE"""),"RSC006935")</f>
        <v>RSC006935</v>
      </c>
      <c r="C557" s="10" t="str">
        <f>IFERROR(__xludf.DUMMYFUNCTION("""COMPUTED_VALUE"""),"Bazzinga")</f>
        <v>Bazzinga</v>
      </c>
      <c r="D557" s="36" t="str">
        <f>IFERROR(__xludf.DUMMYFUNCTION("""COMPUTED_VALUE"""),"Lacuna")</f>
        <v>Lacuna</v>
      </c>
      <c r="E557" s="10" t="str">
        <f>IFERROR(__xludf.DUMMYFUNCTION("""COMPUTED_VALUE"""),"Solar")</f>
        <v>Solar</v>
      </c>
      <c r="F557" s="37">
        <f>IFERROR(__xludf.DUMMYFUNCTION("""COMPUTED_VALUE"""),60.06231599771014)</f>
        <v>60.062316</v>
      </c>
      <c r="G557" s="38">
        <f>IFERROR(__xludf.DUMMYFUNCTION("""COMPUTED_VALUE"""),66.03540639645739)</f>
        <v>66.0354064</v>
      </c>
      <c r="H557" s="38">
        <f>IFERROR(__xludf.DUMMYFUNCTION("""COMPUTED_VALUE"""),63.04886119708377)</f>
        <v>63.0488612</v>
      </c>
      <c r="I557" s="14">
        <f>IFERROR(__xludf.DUMMYFUNCTION("""COMPUTED_VALUE"""),55.0)</f>
        <v>55</v>
      </c>
      <c r="J557" s="11">
        <f>IFERROR(__xludf.DUMMYFUNCTION("IFERROR(FILTER(Stats!$F:$Z,(Stats!$A:$A=$A557)*(Stats!$B:$B=$B557)))"),32.0)</f>
        <v>32</v>
      </c>
      <c r="K557" s="11">
        <f>IFERROR(__xludf.DUMMYFUNCTION("""COMPUTED_VALUE"""),23.0)</f>
        <v>23</v>
      </c>
      <c r="L557" s="12">
        <f>IFERROR(__xludf.DUMMYFUNCTION("""COMPUTED_VALUE"""),0.5818181818181818)</f>
        <v>0.5818181818</v>
      </c>
      <c r="M557" s="11">
        <f>IFERROR(__xludf.DUMMYFUNCTION("""COMPUTED_VALUE"""),7.0)</f>
        <v>7</v>
      </c>
      <c r="N557" s="11">
        <f>IFERROR(__xludf.DUMMYFUNCTION("""COMPUTED_VALUE"""),19962.0)</f>
        <v>19962</v>
      </c>
      <c r="O557" s="13">
        <f>IFERROR(__xludf.DUMMYFUNCTION("""COMPUTED_VALUE"""),48.0)</f>
        <v>48</v>
      </c>
      <c r="P557" s="14">
        <f>IFERROR(__xludf.DUMMYFUNCTION("""COMPUTED_VALUE"""),30.0)</f>
        <v>30</v>
      </c>
      <c r="Q557" s="13">
        <f>IFERROR(__xludf.DUMMYFUNCTION("""COMPUTED_VALUE"""),72.0)</f>
        <v>72</v>
      </c>
      <c r="R557" s="13">
        <f>IFERROR(__xludf.DUMMYFUNCTION("""COMPUTED_VALUE"""),152.0)</f>
        <v>152</v>
      </c>
      <c r="S557" s="15">
        <f>IFERROR(__xludf.DUMMYFUNCTION("""COMPUTED_VALUE"""),0.3157894736842105)</f>
        <v>0.3157894737</v>
      </c>
      <c r="T557" s="16">
        <f>IFERROR(__xludf.DUMMYFUNCTION("""COMPUTED_VALUE"""),362.94545454545454)</f>
        <v>362.9454545</v>
      </c>
      <c r="U557" s="16">
        <f>IFERROR(__xludf.DUMMYFUNCTION("""COMPUTED_VALUE"""),0.8727272727272727)</f>
        <v>0.8727272727</v>
      </c>
      <c r="V557" s="16">
        <f>IFERROR(__xludf.DUMMYFUNCTION("""COMPUTED_VALUE"""),0.5454545454545454)</f>
        <v>0.5454545455</v>
      </c>
      <c r="W557" s="16">
        <f>IFERROR(__xludf.DUMMYFUNCTION("""COMPUTED_VALUE"""),1.309090909090909)</f>
        <v>1.309090909</v>
      </c>
      <c r="X557" s="16">
        <f>IFERROR(__xludf.DUMMYFUNCTION("""COMPUTED_VALUE"""),2.7636363636363637)</f>
        <v>2.763636364</v>
      </c>
      <c r="Y557" s="11">
        <f>IFERROR(__xludf.DUMMYFUNCTION("""COMPUTED_VALUE"""),10.0)</f>
        <v>10</v>
      </c>
      <c r="Z557" s="11">
        <f>IFERROR(__xludf.DUMMYFUNCTION("""COMPUTED_VALUE"""),2.0)</f>
        <v>2</v>
      </c>
      <c r="AA557" s="11">
        <f>IFERROR(__xludf.DUMMYFUNCTION("""COMPUTED_VALUE"""),1.0)</f>
        <v>1</v>
      </c>
      <c r="AB557" s="11">
        <f>IFERROR(__xludf.DUMMYFUNCTION("""COMPUTED_VALUE"""),8.0)</f>
        <v>8</v>
      </c>
      <c r="AC557" s="11">
        <f>IFERROR(__xludf.DUMMYFUNCTION("""COMPUTED_VALUE"""),56.0)</f>
        <v>56</v>
      </c>
      <c r="AD557" s="11">
        <f>IFERROR(__xludf.DUMMYFUNCTION("""COMPUTED_VALUE"""),52.0)</f>
        <v>52</v>
      </c>
    </row>
    <row r="558">
      <c r="A558" s="10" t="str">
        <f>IFERROR(__xludf.DUMMYFUNCTION("""COMPUTED_VALUE"""),"Rival")</f>
        <v>Rival</v>
      </c>
      <c r="B558" s="10" t="str">
        <f>IFERROR(__xludf.DUMMYFUNCTION("""COMPUTED_VALUE"""),"RSC002841")</f>
        <v>RSC002841</v>
      </c>
      <c r="C558" s="10" t="str">
        <f>IFERROR(__xludf.DUMMYFUNCTION("""COMPUTED_VALUE"""),"dyl")</f>
        <v>dyl</v>
      </c>
      <c r="D558" s="36" t="str">
        <f>IFERROR(__xludf.DUMMYFUNCTION("""COMPUTED_VALUE"""),"Barracudas")</f>
        <v>Barracudas</v>
      </c>
      <c r="E558" s="10" t="str">
        <f>IFERROR(__xludf.DUMMYFUNCTION("""COMPUTED_VALUE"""),"Lunar")</f>
        <v>Lunar</v>
      </c>
      <c r="F558" s="37">
        <f>IFERROR(__xludf.DUMMYFUNCTION("""COMPUTED_VALUE"""),64.49591452014542)</f>
        <v>64.49591452</v>
      </c>
      <c r="G558" s="38">
        <f>IFERROR(__xludf.DUMMYFUNCTION("""COMPUTED_VALUE"""),61.4240118961022)</f>
        <v>61.4240119</v>
      </c>
      <c r="H558" s="38">
        <f>IFERROR(__xludf.DUMMYFUNCTION("""COMPUTED_VALUE"""),62.95996320812381)</f>
        <v>62.95996321</v>
      </c>
      <c r="I558" s="14">
        <f>IFERROR(__xludf.DUMMYFUNCTION("""COMPUTED_VALUE"""),12.0)</f>
        <v>12</v>
      </c>
      <c r="J558" s="11">
        <f>IFERROR(__xludf.DUMMYFUNCTION("IFERROR(FILTER(Stats!$F:$Z,(Stats!$A:$A=$A558)*(Stats!$B:$B=$B558)))"),5.0)</f>
        <v>5</v>
      </c>
      <c r="K558" s="11">
        <f>IFERROR(__xludf.DUMMYFUNCTION("""COMPUTED_VALUE"""),7.0)</f>
        <v>7</v>
      </c>
      <c r="L558" s="12">
        <f>IFERROR(__xludf.DUMMYFUNCTION("""COMPUTED_VALUE"""),0.4166666666666667)</f>
        <v>0.4166666667</v>
      </c>
      <c r="M558" s="11">
        <f>IFERROR(__xludf.DUMMYFUNCTION("""COMPUTED_VALUE"""),2.0)</f>
        <v>2</v>
      </c>
      <c r="N558" s="11">
        <f>IFERROR(__xludf.DUMMYFUNCTION("""COMPUTED_VALUE"""),4609.0)</f>
        <v>4609</v>
      </c>
      <c r="O558" s="13">
        <f>IFERROR(__xludf.DUMMYFUNCTION("""COMPUTED_VALUE"""),16.0)</f>
        <v>16</v>
      </c>
      <c r="P558" s="14">
        <f>IFERROR(__xludf.DUMMYFUNCTION("""COMPUTED_VALUE"""),3.0)</f>
        <v>3</v>
      </c>
      <c r="Q558" s="13">
        <f>IFERROR(__xludf.DUMMYFUNCTION("""COMPUTED_VALUE"""),13.0)</f>
        <v>13</v>
      </c>
      <c r="R558" s="13">
        <f>IFERROR(__xludf.DUMMYFUNCTION("""COMPUTED_VALUE"""),35.0)</f>
        <v>35</v>
      </c>
      <c r="S558" s="15">
        <f>IFERROR(__xludf.DUMMYFUNCTION("""COMPUTED_VALUE"""),0.45714285714285713)</f>
        <v>0.4571428571</v>
      </c>
      <c r="T558" s="16">
        <f>IFERROR(__xludf.DUMMYFUNCTION("""COMPUTED_VALUE"""),384.0833333333333)</f>
        <v>384.0833333</v>
      </c>
      <c r="U558" s="16">
        <f>IFERROR(__xludf.DUMMYFUNCTION("""COMPUTED_VALUE"""),1.3333333333333333)</f>
        <v>1.333333333</v>
      </c>
      <c r="V558" s="16">
        <f>IFERROR(__xludf.DUMMYFUNCTION("""COMPUTED_VALUE"""),0.25)</f>
        <v>0.25</v>
      </c>
      <c r="W558" s="16">
        <f>IFERROR(__xludf.DUMMYFUNCTION("""COMPUTED_VALUE"""),1.0833333333333333)</f>
        <v>1.083333333</v>
      </c>
      <c r="X558" s="16">
        <f>IFERROR(__xludf.DUMMYFUNCTION("""COMPUTED_VALUE"""),2.9166666666666665)</f>
        <v>2.916666667</v>
      </c>
      <c r="Y558" s="11">
        <f>IFERROR(__xludf.DUMMYFUNCTION("""COMPUTED_VALUE"""),0.0)</f>
        <v>0</v>
      </c>
      <c r="Z558" s="11">
        <f>IFERROR(__xludf.DUMMYFUNCTION("""COMPUTED_VALUE"""),1.0)</f>
        <v>1</v>
      </c>
      <c r="AA558" s="11">
        <f>IFERROR(__xludf.DUMMYFUNCTION("""COMPUTED_VALUE"""),0.0)</f>
        <v>0</v>
      </c>
      <c r="AB558" s="11">
        <f>IFERROR(__xludf.DUMMYFUNCTION("""COMPUTED_VALUE"""),0.0)</f>
        <v>0</v>
      </c>
      <c r="AC558" s="11">
        <f>IFERROR(__xludf.DUMMYFUNCTION("""COMPUTED_VALUE"""),7.0)</f>
        <v>7</v>
      </c>
      <c r="AD558" s="11">
        <f>IFERROR(__xludf.DUMMYFUNCTION("""COMPUTED_VALUE"""),15.0)</f>
        <v>15</v>
      </c>
    </row>
    <row r="559">
      <c r="A559" s="10" t="str">
        <f>IFERROR(__xludf.DUMMYFUNCTION("""COMPUTED_VALUE"""),"Rival")</f>
        <v>Rival</v>
      </c>
      <c r="B559" s="10" t="str">
        <f>IFERROR(__xludf.DUMMYFUNCTION("""COMPUTED_VALUE"""),"RSC000519")</f>
        <v>RSC000519</v>
      </c>
      <c r="C559" s="10" t="str">
        <f>IFERROR(__xludf.DUMMYFUNCTION("""COMPUTED_VALUE"""),"bovi")</f>
        <v>bovi</v>
      </c>
      <c r="D559" s="36" t="str">
        <f>IFERROR(__xludf.DUMMYFUNCTION("""COMPUTED_VALUE"""),"Dracos")</f>
        <v>Dracos</v>
      </c>
      <c r="E559" s="10" t="str">
        <f>IFERROR(__xludf.DUMMYFUNCTION("""COMPUTED_VALUE"""),"Solar")</f>
        <v>Solar</v>
      </c>
      <c r="F559" s="37">
        <f>IFERROR(__xludf.DUMMYFUNCTION("""COMPUTED_VALUE"""),66.61279777277927)</f>
        <v>66.61279777</v>
      </c>
      <c r="G559" s="38">
        <f>IFERROR(__xludf.DUMMYFUNCTION("""COMPUTED_VALUE"""),58.9592340145465)</f>
        <v>58.95923401</v>
      </c>
      <c r="H559" s="38">
        <f>IFERROR(__xludf.DUMMYFUNCTION("""COMPUTED_VALUE"""),62.78601589366289)</f>
        <v>62.78601589</v>
      </c>
      <c r="I559" s="14">
        <f>IFERROR(__xludf.DUMMYFUNCTION("""COMPUTED_VALUE"""),56.0)</f>
        <v>56</v>
      </c>
      <c r="J559" s="11">
        <f>IFERROR(__xludf.DUMMYFUNCTION("IFERROR(FILTER(Stats!$F:$Z,(Stats!$A:$A=$A559)*(Stats!$B:$B=$B559)))"),26.0)</f>
        <v>26</v>
      </c>
      <c r="K559" s="11">
        <f>IFERROR(__xludf.DUMMYFUNCTION("""COMPUTED_VALUE"""),30.0)</f>
        <v>30</v>
      </c>
      <c r="L559" s="12">
        <f>IFERROR(__xludf.DUMMYFUNCTION("""COMPUTED_VALUE"""),0.4642857142857143)</f>
        <v>0.4642857143</v>
      </c>
      <c r="M559" s="11">
        <f>IFERROR(__xludf.DUMMYFUNCTION("""COMPUTED_VALUE"""),13.0)</f>
        <v>13</v>
      </c>
      <c r="N559" s="11">
        <f>IFERROR(__xludf.DUMMYFUNCTION("""COMPUTED_VALUE"""),20242.0)</f>
        <v>20242</v>
      </c>
      <c r="O559" s="13">
        <f>IFERROR(__xludf.DUMMYFUNCTION("""COMPUTED_VALUE"""),43.0)</f>
        <v>43</v>
      </c>
      <c r="P559" s="14">
        <f>IFERROR(__xludf.DUMMYFUNCTION("""COMPUTED_VALUE"""),31.0)</f>
        <v>31</v>
      </c>
      <c r="Q559" s="13">
        <f>IFERROR(__xludf.DUMMYFUNCTION("""COMPUTED_VALUE"""),79.0)</f>
        <v>79</v>
      </c>
      <c r="R559" s="13">
        <f>IFERROR(__xludf.DUMMYFUNCTION("""COMPUTED_VALUE"""),141.0)</f>
        <v>141</v>
      </c>
      <c r="S559" s="15">
        <f>IFERROR(__xludf.DUMMYFUNCTION("""COMPUTED_VALUE"""),0.3049645390070922)</f>
        <v>0.304964539</v>
      </c>
      <c r="T559" s="16">
        <f>IFERROR(__xludf.DUMMYFUNCTION("""COMPUTED_VALUE"""),361.4642857142857)</f>
        <v>361.4642857</v>
      </c>
      <c r="U559" s="16">
        <f>IFERROR(__xludf.DUMMYFUNCTION("""COMPUTED_VALUE"""),0.7678571428571429)</f>
        <v>0.7678571429</v>
      </c>
      <c r="V559" s="16">
        <f>IFERROR(__xludf.DUMMYFUNCTION("""COMPUTED_VALUE"""),0.5535714285714286)</f>
        <v>0.5535714286</v>
      </c>
      <c r="W559" s="16">
        <f>IFERROR(__xludf.DUMMYFUNCTION("""COMPUTED_VALUE"""),1.4107142857142858)</f>
        <v>1.410714286</v>
      </c>
      <c r="X559" s="16">
        <f>IFERROR(__xludf.DUMMYFUNCTION("""COMPUTED_VALUE"""),2.517857142857143)</f>
        <v>2.517857143</v>
      </c>
      <c r="Y559" s="11">
        <f>IFERROR(__xludf.DUMMYFUNCTION("""COMPUTED_VALUE"""),13.0)</f>
        <v>13</v>
      </c>
      <c r="Z559" s="11">
        <f>IFERROR(__xludf.DUMMYFUNCTION("""COMPUTED_VALUE"""),2.0)</f>
        <v>2</v>
      </c>
      <c r="AA559" s="11">
        <f>IFERROR(__xludf.DUMMYFUNCTION("""COMPUTED_VALUE"""),1.0)</f>
        <v>1</v>
      </c>
      <c r="AB559" s="11">
        <f>IFERROR(__xludf.DUMMYFUNCTION("""COMPUTED_VALUE"""),11.0)</f>
        <v>11</v>
      </c>
      <c r="AC559" s="11">
        <f>IFERROR(__xludf.DUMMYFUNCTION("""COMPUTED_VALUE"""),47.0)</f>
        <v>47</v>
      </c>
      <c r="AD559" s="11">
        <f>IFERROR(__xludf.DUMMYFUNCTION("""COMPUTED_VALUE"""),64.0)</f>
        <v>64</v>
      </c>
    </row>
    <row r="560">
      <c r="A560" s="10" t="str">
        <f>IFERROR(__xludf.DUMMYFUNCTION("""COMPUTED_VALUE"""),"Rival")</f>
        <v>Rival</v>
      </c>
      <c r="B560" s="10" t="str">
        <f>IFERROR(__xludf.DUMMYFUNCTION("""COMPUTED_VALUE"""),"RSC007960")</f>
        <v>RSC007960</v>
      </c>
      <c r="C560" s="10" t="str">
        <f>IFERROR(__xludf.DUMMYFUNCTION("""COMPUTED_VALUE"""),"Kayo")</f>
        <v>Kayo</v>
      </c>
      <c r="D560" s="36" t="str">
        <f>IFERROR(__xludf.DUMMYFUNCTION("""COMPUTED_VALUE"""),"Scramjets")</f>
        <v>Scramjets</v>
      </c>
      <c r="E560" s="10" t="str">
        <f>IFERROR(__xludf.DUMMYFUNCTION("""COMPUTED_VALUE"""),"Lunar")</f>
        <v>Lunar</v>
      </c>
      <c r="F560" s="37">
        <f>IFERROR(__xludf.DUMMYFUNCTION("""COMPUTED_VALUE"""),57.769160459465375)</f>
        <v>57.76916046</v>
      </c>
      <c r="G560" s="38">
        <f>IFERROR(__xludf.DUMMYFUNCTION("""COMPUTED_VALUE"""),67.45897958626955)</f>
        <v>67.45897959</v>
      </c>
      <c r="H560" s="38">
        <f>IFERROR(__xludf.DUMMYFUNCTION("""COMPUTED_VALUE"""),62.614070022867466)</f>
        <v>62.61407002</v>
      </c>
      <c r="I560" s="14">
        <f>IFERROR(__xludf.DUMMYFUNCTION("""COMPUTED_VALUE"""),48.0)</f>
        <v>48</v>
      </c>
      <c r="J560" s="11">
        <f>IFERROR(__xludf.DUMMYFUNCTION("IFERROR(FILTER(Stats!$F:$Z,(Stats!$A:$A=$A560)*(Stats!$B:$B=$B560)))"),25.0)</f>
        <v>25</v>
      </c>
      <c r="K560" s="11">
        <f>IFERROR(__xludf.DUMMYFUNCTION("""COMPUTED_VALUE"""),23.0)</f>
        <v>23</v>
      </c>
      <c r="L560" s="12">
        <f>IFERROR(__xludf.DUMMYFUNCTION("""COMPUTED_VALUE"""),0.5208333333333334)</f>
        <v>0.5208333333</v>
      </c>
      <c r="M560" s="11">
        <f>IFERROR(__xludf.DUMMYFUNCTION("""COMPUTED_VALUE"""),7.0)</f>
        <v>7</v>
      </c>
      <c r="N560" s="11">
        <f>IFERROR(__xludf.DUMMYFUNCTION("""COMPUTED_VALUE"""),17404.0)</f>
        <v>17404</v>
      </c>
      <c r="O560" s="13">
        <f>IFERROR(__xludf.DUMMYFUNCTION("""COMPUTED_VALUE"""),40.0)</f>
        <v>40</v>
      </c>
      <c r="P560" s="14">
        <f>IFERROR(__xludf.DUMMYFUNCTION("""COMPUTED_VALUE"""),37.0)</f>
        <v>37</v>
      </c>
      <c r="Q560" s="13">
        <f>IFERROR(__xludf.DUMMYFUNCTION("""COMPUTED_VALUE"""),59.0)</f>
        <v>59</v>
      </c>
      <c r="R560" s="13">
        <f>IFERROR(__xludf.DUMMYFUNCTION("""COMPUTED_VALUE"""),115.0)</f>
        <v>115</v>
      </c>
      <c r="S560" s="15">
        <f>IFERROR(__xludf.DUMMYFUNCTION("""COMPUTED_VALUE"""),0.34782608695652173)</f>
        <v>0.347826087</v>
      </c>
      <c r="T560" s="16">
        <f>IFERROR(__xludf.DUMMYFUNCTION("""COMPUTED_VALUE"""),362.5833333333333)</f>
        <v>362.5833333</v>
      </c>
      <c r="U560" s="16">
        <f>IFERROR(__xludf.DUMMYFUNCTION("""COMPUTED_VALUE"""),0.8333333333333334)</f>
        <v>0.8333333333</v>
      </c>
      <c r="V560" s="16">
        <f>IFERROR(__xludf.DUMMYFUNCTION("""COMPUTED_VALUE"""),0.7708333333333334)</f>
        <v>0.7708333333</v>
      </c>
      <c r="W560" s="16">
        <f>IFERROR(__xludf.DUMMYFUNCTION("""COMPUTED_VALUE"""),1.2291666666666667)</f>
        <v>1.229166667</v>
      </c>
      <c r="X560" s="16">
        <f>IFERROR(__xludf.DUMMYFUNCTION("""COMPUTED_VALUE"""),2.3958333333333335)</f>
        <v>2.395833333</v>
      </c>
      <c r="Y560" s="11">
        <f>IFERROR(__xludf.DUMMYFUNCTION("""COMPUTED_VALUE"""),10.0)</f>
        <v>10</v>
      </c>
      <c r="Z560" s="11">
        <f>IFERROR(__xludf.DUMMYFUNCTION("""COMPUTED_VALUE"""),3.0)</f>
        <v>3</v>
      </c>
      <c r="AA560" s="11">
        <f>IFERROR(__xludf.DUMMYFUNCTION("""COMPUTED_VALUE"""),1.0)</f>
        <v>1</v>
      </c>
      <c r="AB560" s="11">
        <f>IFERROR(__xludf.DUMMYFUNCTION("""COMPUTED_VALUE"""),6.0)</f>
        <v>6</v>
      </c>
      <c r="AC560" s="11">
        <f>IFERROR(__xludf.DUMMYFUNCTION("""COMPUTED_VALUE"""),44.0)</f>
        <v>44</v>
      </c>
      <c r="AD560" s="11">
        <f>IFERROR(__xludf.DUMMYFUNCTION("""COMPUTED_VALUE"""),42.0)</f>
        <v>42</v>
      </c>
    </row>
    <row r="561">
      <c r="A561" s="10" t="str">
        <f>IFERROR(__xludf.DUMMYFUNCTION("""COMPUTED_VALUE"""),"Rival")</f>
        <v>Rival</v>
      </c>
      <c r="B561" s="10" t="str">
        <f>IFERROR(__xludf.DUMMYFUNCTION("""COMPUTED_VALUE"""),"RSC008507")</f>
        <v>RSC008507</v>
      </c>
      <c r="C561" s="10" t="str">
        <f>IFERROR(__xludf.DUMMYFUNCTION("""COMPUTED_VALUE"""),"Unc Jeebs")</f>
        <v>Unc Jeebs</v>
      </c>
      <c r="D561" s="36" t="str">
        <f>IFERROR(__xludf.DUMMYFUNCTION("""COMPUTED_VALUE"""),"Lacuna
Scramjets")</f>
        <v>Lacuna
Scramjets</v>
      </c>
      <c r="E561" s="10" t="str">
        <f>IFERROR(__xludf.DUMMYFUNCTION("""COMPUTED_VALUE"""),"Solar
Lunar")</f>
        <v>Solar
Lunar</v>
      </c>
      <c r="F561" s="37">
        <f>IFERROR(__xludf.DUMMYFUNCTION("""COMPUTED_VALUE"""),59.35241772359233)</f>
        <v>59.35241772</v>
      </c>
      <c r="G561" s="38">
        <f>IFERROR(__xludf.DUMMYFUNCTION("""COMPUTED_VALUE"""),65.77135185894655)</f>
        <v>65.77135186</v>
      </c>
      <c r="H561" s="38">
        <f>IFERROR(__xludf.DUMMYFUNCTION("""COMPUTED_VALUE"""),62.561884791269435)</f>
        <v>62.56188479</v>
      </c>
      <c r="I561" s="14">
        <f>IFERROR(__xludf.DUMMYFUNCTION("""COMPUTED_VALUE"""),37.0)</f>
        <v>37</v>
      </c>
      <c r="J561" s="11">
        <f>IFERROR(__xludf.DUMMYFUNCTION("IFERROR(FILTER(Stats!$F:$Z,(Stats!$A:$A=$A561)*(Stats!$B:$B=$B561)))"),22.0)</f>
        <v>22</v>
      </c>
      <c r="K561" s="11">
        <f>IFERROR(__xludf.DUMMYFUNCTION("""COMPUTED_VALUE"""),15.0)</f>
        <v>15</v>
      </c>
      <c r="L561" s="12">
        <f>IFERROR(__xludf.DUMMYFUNCTION("""COMPUTED_VALUE"""),0.5945945945945946)</f>
        <v>0.5945945946</v>
      </c>
      <c r="M561" s="11">
        <f>IFERROR(__xludf.DUMMYFUNCTION("""COMPUTED_VALUE"""),5.0)</f>
        <v>5</v>
      </c>
      <c r="N561" s="11">
        <f>IFERROR(__xludf.DUMMYFUNCTION("""COMPUTED_VALUE"""),13007.0)</f>
        <v>13007</v>
      </c>
      <c r="O561" s="13">
        <f>IFERROR(__xludf.DUMMYFUNCTION("""COMPUTED_VALUE"""),26.0)</f>
        <v>26</v>
      </c>
      <c r="P561" s="14">
        <f>IFERROR(__xludf.DUMMYFUNCTION("""COMPUTED_VALUE"""),24.0)</f>
        <v>24</v>
      </c>
      <c r="Q561" s="13">
        <f>IFERROR(__xludf.DUMMYFUNCTION("""COMPUTED_VALUE"""),46.0)</f>
        <v>46</v>
      </c>
      <c r="R561" s="13">
        <f>IFERROR(__xludf.DUMMYFUNCTION("""COMPUTED_VALUE"""),100.0)</f>
        <v>100</v>
      </c>
      <c r="S561" s="15">
        <f>IFERROR(__xludf.DUMMYFUNCTION("""COMPUTED_VALUE"""),0.26)</f>
        <v>0.26</v>
      </c>
      <c r="T561" s="16">
        <f>IFERROR(__xludf.DUMMYFUNCTION("""COMPUTED_VALUE"""),351.5405405405405)</f>
        <v>351.5405405</v>
      </c>
      <c r="U561" s="16">
        <f>IFERROR(__xludf.DUMMYFUNCTION("""COMPUTED_VALUE"""),0.7027027027027027)</f>
        <v>0.7027027027</v>
      </c>
      <c r="V561" s="16">
        <f>IFERROR(__xludf.DUMMYFUNCTION("""COMPUTED_VALUE"""),0.6486486486486487)</f>
        <v>0.6486486486</v>
      </c>
      <c r="W561" s="16">
        <f>IFERROR(__xludf.DUMMYFUNCTION("""COMPUTED_VALUE"""),1.2432432432432432)</f>
        <v>1.243243243</v>
      </c>
      <c r="X561" s="16">
        <f>IFERROR(__xludf.DUMMYFUNCTION("""COMPUTED_VALUE"""),2.7027027027027026)</f>
        <v>2.702702703</v>
      </c>
      <c r="Y561" s="11">
        <f>IFERROR(__xludf.DUMMYFUNCTION("""COMPUTED_VALUE"""),5.0)</f>
        <v>5</v>
      </c>
      <c r="Z561" s="11">
        <f>IFERROR(__xludf.DUMMYFUNCTION("""COMPUTED_VALUE"""),1.0)</f>
        <v>1</v>
      </c>
      <c r="AA561" s="11">
        <f>IFERROR(__xludf.DUMMYFUNCTION("""COMPUTED_VALUE"""),0.0)</f>
        <v>0</v>
      </c>
      <c r="AB561" s="11">
        <f>IFERROR(__xludf.DUMMYFUNCTION("""COMPUTED_VALUE"""),5.0)</f>
        <v>5</v>
      </c>
      <c r="AC561" s="11">
        <f>IFERROR(__xludf.DUMMYFUNCTION("""COMPUTED_VALUE"""),42.0)</f>
        <v>42</v>
      </c>
      <c r="AD561" s="11">
        <f>IFERROR(__xludf.DUMMYFUNCTION("""COMPUTED_VALUE"""),39.0)</f>
        <v>39</v>
      </c>
    </row>
    <row r="562">
      <c r="A562" s="10" t="str">
        <f>IFERROR(__xludf.DUMMYFUNCTION("""COMPUTED_VALUE"""),"Rival")</f>
        <v>Rival</v>
      </c>
      <c r="B562" s="10" t="str">
        <f>IFERROR(__xludf.DUMMYFUNCTION("""COMPUTED_VALUE"""),"RSC001720")</f>
        <v>RSC001720</v>
      </c>
      <c r="C562" s="10" t="str">
        <f>IFERROR(__xludf.DUMMYFUNCTION("""COMPUTED_VALUE"""),"SUPERDUPERBAM")</f>
        <v>SUPERDUPERBAM</v>
      </c>
      <c r="D562" s="36" t="str">
        <f>IFERROR(__xludf.DUMMYFUNCTION("""COMPUTED_VALUE"""),"Lightning
Gaboons
Centuriones
Tax Evaders
Heavy Metal
Guards")</f>
        <v>Lightning
Gaboons
Centuriones
Tax Evaders
Heavy Metal
Guards</v>
      </c>
      <c r="E562" s="10" t="str">
        <f>IFERROR(__xludf.DUMMYFUNCTION("""COMPUTED_VALUE"""),"Lunar
Lunar
Solar
Lunar
Lunar
Lunar")</f>
        <v>Lunar
Lunar
Solar
Lunar
Lunar
Lunar</v>
      </c>
      <c r="F562" s="37">
        <f>IFERROR(__xludf.DUMMYFUNCTION("""COMPUTED_VALUE"""),60.5544957103385)</f>
        <v>60.55449571</v>
      </c>
      <c r="G562" s="38">
        <f>IFERROR(__xludf.DUMMYFUNCTION("""COMPUTED_VALUE"""),62.404049363512385)</f>
        <v>62.40404936</v>
      </c>
      <c r="H562" s="38">
        <f>IFERROR(__xludf.DUMMYFUNCTION("""COMPUTED_VALUE"""),61.47927253692544)</f>
        <v>61.47927254</v>
      </c>
      <c r="I562" s="14">
        <f>IFERROR(__xludf.DUMMYFUNCTION("""COMPUTED_VALUE"""),24.0)</f>
        <v>24</v>
      </c>
      <c r="J562" s="11">
        <f>IFERROR(__xludf.DUMMYFUNCTION("IFERROR(FILTER(Stats!$F:$Z,(Stats!$A:$A=$A562)*(Stats!$B:$B=$B562)))"),16.0)</f>
        <v>16</v>
      </c>
      <c r="K562" s="11">
        <f>IFERROR(__xludf.DUMMYFUNCTION("""COMPUTED_VALUE"""),8.0)</f>
        <v>8</v>
      </c>
      <c r="L562" s="12">
        <f>IFERROR(__xludf.DUMMYFUNCTION("""COMPUTED_VALUE"""),0.6666666666666666)</f>
        <v>0.6666666667</v>
      </c>
      <c r="M562" s="11">
        <f>IFERROR(__xludf.DUMMYFUNCTION("""COMPUTED_VALUE"""),4.0)</f>
        <v>4</v>
      </c>
      <c r="N562" s="11">
        <f>IFERROR(__xludf.DUMMYFUNCTION("""COMPUTED_VALUE"""),8252.0)</f>
        <v>8252</v>
      </c>
      <c r="O562" s="13">
        <f>IFERROR(__xludf.DUMMYFUNCTION("""COMPUTED_VALUE"""),23.0)</f>
        <v>23</v>
      </c>
      <c r="P562" s="14">
        <f>IFERROR(__xludf.DUMMYFUNCTION("""COMPUTED_VALUE"""),13.0)</f>
        <v>13</v>
      </c>
      <c r="Q562" s="13">
        <f>IFERROR(__xludf.DUMMYFUNCTION("""COMPUTED_VALUE"""),27.0)</f>
        <v>27</v>
      </c>
      <c r="R562" s="13">
        <f>IFERROR(__xludf.DUMMYFUNCTION("""COMPUTED_VALUE"""),64.0)</f>
        <v>64</v>
      </c>
      <c r="S562" s="15">
        <f>IFERROR(__xludf.DUMMYFUNCTION("""COMPUTED_VALUE"""),0.359375)</f>
        <v>0.359375</v>
      </c>
      <c r="T562" s="16">
        <f>IFERROR(__xludf.DUMMYFUNCTION("""COMPUTED_VALUE"""),343.8333333333333)</f>
        <v>343.8333333</v>
      </c>
      <c r="U562" s="16">
        <f>IFERROR(__xludf.DUMMYFUNCTION("""COMPUTED_VALUE"""),0.9583333333333334)</f>
        <v>0.9583333333</v>
      </c>
      <c r="V562" s="16">
        <f>IFERROR(__xludf.DUMMYFUNCTION("""COMPUTED_VALUE"""),0.5416666666666666)</f>
        <v>0.5416666667</v>
      </c>
      <c r="W562" s="16">
        <f>IFERROR(__xludf.DUMMYFUNCTION("""COMPUTED_VALUE"""),1.125)</f>
        <v>1.125</v>
      </c>
      <c r="X562" s="16">
        <f>IFERROR(__xludf.DUMMYFUNCTION("""COMPUTED_VALUE"""),2.6666666666666665)</f>
        <v>2.666666667</v>
      </c>
      <c r="Y562" s="11">
        <f>IFERROR(__xludf.DUMMYFUNCTION("""COMPUTED_VALUE"""),4.0)</f>
        <v>4</v>
      </c>
      <c r="Z562" s="11">
        <f>IFERROR(__xludf.DUMMYFUNCTION("""COMPUTED_VALUE"""),2.0)</f>
        <v>2</v>
      </c>
      <c r="AA562" s="11">
        <f>IFERROR(__xludf.DUMMYFUNCTION("""COMPUTED_VALUE"""),0.0)</f>
        <v>0</v>
      </c>
      <c r="AB562" s="11">
        <f>IFERROR(__xludf.DUMMYFUNCTION("""COMPUTED_VALUE"""),0.0)</f>
        <v>0</v>
      </c>
      <c r="AC562" s="11">
        <f>IFERROR(__xludf.DUMMYFUNCTION("""COMPUTED_VALUE"""),38.0)</f>
        <v>38</v>
      </c>
      <c r="AD562" s="11">
        <f>IFERROR(__xludf.DUMMYFUNCTION("""COMPUTED_VALUE"""),21.0)</f>
        <v>21</v>
      </c>
    </row>
    <row r="563">
      <c r="A563" s="10" t="str">
        <f>IFERROR(__xludf.DUMMYFUNCTION("""COMPUTED_VALUE"""),"Rival")</f>
        <v>Rival</v>
      </c>
      <c r="B563" s="10" t="str">
        <f>IFERROR(__xludf.DUMMYFUNCTION("""COMPUTED_VALUE"""),"RSC005300")</f>
        <v>RSC005300</v>
      </c>
      <c r="C563" s="10" t="str">
        <f>IFERROR(__xludf.DUMMYFUNCTION("""COMPUTED_VALUE"""),"Riko")</f>
        <v>Riko</v>
      </c>
      <c r="D563" s="36" t="str">
        <f>IFERROR(__xludf.DUMMYFUNCTION("""COMPUTED_VALUE"""),"Hammerheads
Barracudas")</f>
        <v>Hammerheads
Barracudas</v>
      </c>
      <c r="E563" s="10" t="str">
        <f>IFERROR(__xludf.DUMMYFUNCTION("""COMPUTED_VALUE"""),"Solar
Lunar")</f>
        <v>Solar
Lunar</v>
      </c>
      <c r="F563" s="37">
        <f>IFERROR(__xludf.DUMMYFUNCTION("""COMPUTED_VALUE"""),54.44586224419682)</f>
        <v>54.44586224</v>
      </c>
      <c r="G563" s="38">
        <f>IFERROR(__xludf.DUMMYFUNCTION("""COMPUTED_VALUE"""),65.19826212145645)</f>
        <v>65.19826212</v>
      </c>
      <c r="H563" s="38">
        <f>IFERROR(__xludf.DUMMYFUNCTION("""COMPUTED_VALUE"""),59.822062182826635)</f>
        <v>59.82206218</v>
      </c>
      <c r="I563" s="14">
        <f>IFERROR(__xludf.DUMMYFUNCTION("""COMPUTED_VALUE"""),55.0)</f>
        <v>55</v>
      </c>
      <c r="J563" s="11">
        <f>IFERROR(__xludf.DUMMYFUNCTION("IFERROR(FILTER(Stats!$F:$Z,(Stats!$A:$A=$A563)*(Stats!$B:$B=$B563)))"),29.0)</f>
        <v>29</v>
      </c>
      <c r="K563" s="11">
        <f>IFERROR(__xludf.DUMMYFUNCTION("""COMPUTED_VALUE"""),26.0)</f>
        <v>26</v>
      </c>
      <c r="L563" s="12">
        <f>IFERROR(__xludf.DUMMYFUNCTION("""COMPUTED_VALUE"""),0.5272727272727272)</f>
        <v>0.5272727273</v>
      </c>
      <c r="M563" s="11">
        <f>IFERROR(__xludf.DUMMYFUNCTION("""COMPUTED_VALUE"""),12.0)</f>
        <v>12</v>
      </c>
      <c r="N563" s="11">
        <f>IFERROR(__xludf.DUMMYFUNCTION("""COMPUTED_VALUE"""),19487.0)</f>
        <v>19487</v>
      </c>
      <c r="O563" s="13">
        <f>IFERROR(__xludf.DUMMYFUNCTION("""COMPUTED_VALUE"""),47.0)</f>
        <v>47</v>
      </c>
      <c r="P563" s="14">
        <f>IFERROR(__xludf.DUMMYFUNCTION("""COMPUTED_VALUE"""),33.0)</f>
        <v>33</v>
      </c>
      <c r="Q563" s="13">
        <f>IFERROR(__xludf.DUMMYFUNCTION("""COMPUTED_VALUE"""),69.0)</f>
        <v>69</v>
      </c>
      <c r="R563" s="13">
        <f>IFERROR(__xludf.DUMMYFUNCTION("""COMPUTED_VALUE"""),163.0)</f>
        <v>163</v>
      </c>
      <c r="S563" s="15">
        <f>IFERROR(__xludf.DUMMYFUNCTION("""COMPUTED_VALUE"""),0.2883435582822086)</f>
        <v>0.2883435583</v>
      </c>
      <c r="T563" s="16">
        <f>IFERROR(__xludf.DUMMYFUNCTION("""COMPUTED_VALUE"""),354.3090909090909)</f>
        <v>354.3090909</v>
      </c>
      <c r="U563" s="16">
        <f>IFERROR(__xludf.DUMMYFUNCTION("""COMPUTED_VALUE"""),0.8545454545454545)</f>
        <v>0.8545454545</v>
      </c>
      <c r="V563" s="16">
        <f>IFERROR(__xludf.DUMMYFUNCTION("""COMPUTED_VALUE"""),0.6)</f>
        <v>0.6</v>
      </c>
      <c r="W563" s="16">
        <f>IFERROR(__xludf.DUMMYFUNCTION("""COMPUTED_VALUE"""),1.2545454545454546)</f>
        <v>1.254545455</v>
      </c>
      <c r="X563" s="16">
        <f>IFERROR(__xludf.DUMMYFUNCTION("""COMPUTED_VALUE"""),2.963636363636364)</f>
        <v>2.963636364</v>
      </c>
      <c r="Y563" s="11">
        <f>IFERROR(__xludf.DUMMYFUNCTION("""COMPUTED_VALUE"""),12.0)</f>
        <v>12</v>
      </c>
      <c r="Z563" s="11">
        <f>IFERROR(__xludf.DUMMYFUNCTION("""COMPUTED_VALUE"""),5.0)</f>
        <v>5</v>
      </c>
      <c r="AA563" s="11">
        <f>IFERROR(__xludf.DUMMYFUNCTION("""COMPUTED_VALUE"""),2.0)</f>
        <v>2</v>
      </c>
      <c r="AB563" s="11">
        <f>IFERROR(__xludf.DUMMYFUNCTION("""COMPUTED_VALUE"""),7.0)</f>
        <v>7</v>
      </c>
      <c r="AC563" s="11">
        <f>IFERROR(__xludf.DUMMYFUNCTION("""COMPUTED_VALUE"""),40.0)</f>
        <v>40</v>
      </c>
      <c r="AD563" s="11">
        <f>IFERROR(__xludf.DUMMYFUNCTION("""COMPUTED_VALUE"""),44.0)</f>
        <v>44</v>
      </c>
    </row>
    <row r="564">
      <c r="A564" s="10" t="str">
        <f>IFERROR(__xludf.DUMMYFUNCTION("""COMPUTED_VALUE"""),"Rival")</f>
        <v>Rival</v>
      </c>
      <c r="B564" s="10" t="str">
        <f>IFERROR(__xludf.DUMMYFUNCTION("""COMPUTED_VALUE"""),"RSC008217")</f>
        <v>RSC008217</v>
      </c>
      <c r="C564" s="10" t="str">
        <f>IFERROR(__xludf.DUMMYFUNCTION("""COMPUTED_VALUE"""),"Legitmrmouse")</f>
        <v>Legitmrmouse</v>
      </c>
      <c r="D564" s="36" t="str">
        <f>IFERROR(__xludf.DUMMYFUNCTION("""COMPUTED_VALUE"""),"Polar Bears")</f>
        <v>Polar Bears</v>
      </c>
      <c r="E564" s="10" t="str">
        <f>IFERROR(__xludf.DUMMYFUNCTION("""COMPUTED_VALUE"""),"Solar")</f>
        <v>Solar</v>
      </c>
      <c r="F564" s="37">
        <f>IFERROR(__xludf.DUMMYFUNCTION("""COMPUTED_VALUE"""),62.221217978683846)</f>
        <v>62.22121798</v>
      </c>
      <c r="G564" s="38">
        <f>IFERROR(__xludf.DUMMYFUNCTION("""COMPUTED_VALUE"""),57.29798213487247)</f>
        <v>57.29798213</v>
      </c>
      <c r="H564" s="38">
        <f>IFERROR(__xludf.DUMMYFUNCTION("""COMPUTED_VALUE"""),59.759600056778154)</f>
        <v>59.75960006</v>
      </c>
      <c r="I564" s="14">
        <f>IFERROR(__xludf.DUMMYFUNCTION("""COMPUTED_VALUE"""),53.0)</f>
        <v>53</v>
      </c>
      <c r="J564" s="11">
        <f>IFERROR(__xludf.DUMMYFUNCTION("IFERROR(FILTER(Stats!$F:$Z,(Stats!$A:$A=$A564)*(Stats!$B:$B=$B564)))"),28.0)</f>
        <v>28</v>
      </c>
      <c r="K564" s="11">
        <f>IFERROR(__xludf.DUMMYFUNCTION("""COMPUTED_VALUE"""),25.0)</f>
        <v>25</v>
      </c>
      <c r="L564" s="12">
        <f>IFERROR(__xludf.DUMMYFUNCTION("""COMPUTED_VALUE"""),0.5283018867924528)</f>
        <v>0.5283018868</v>
      </c>
      <c r="M564" s="11">
        <f>IFERROR(__xludf.DUMMYFUNCTION("""COMPUTED_VALUE"""),11.0)</f>
        <v>11</v>
      </c>
      <c r="N564" s="11">
        <f>IFERROR(__xludf.DUMMYFUNCTION("""COMPUTED_VALUE"""),21685.0)</f>
        <v>21685</v>
      </c>
      <c r="O564" s="13">
        <f>IFERROR(__xludf.DUMMYFUNCTION("""COMPUTED_VALUE"""),43.0)</f>
        <v>43</v>
      </c>
      <c r="P564" s="14">
        <f>IFERROR(__xludf.DUMMYFUNCTION("""COMPUTED_VALUE"""),28.0)</f>
        <v>28</v>
      </c>
      <c r="Q564" s="13">
        <f>IFERROR(__xludf.DUMMYFUNCTION("""COMPUTED_VALUE"""),108.0)</f>
        <v>108</v>
      </c>
      <c r="R564" s="13">
        <f>IFERROR(__xludf.DUMMYFUNCTION("""COMPUTED_VALUE"""),126.0)</f>
        <v>126</v>
      </c>
      <c r="S564" s="15">
        <f>IFERROR(__xludf.DUMMYFUNCTION("""COMPUTED_VALUE"""),0.3412698412698413)</f>
        <v>0.3412698413</v>
      </c>
      <c r="T564" s="16">
        <f>IFERROR(__xludf.DUMMYFUNCTION("""COMPUTED_VALUE"""),409.1509433962264)</f>
        <v>409.1509434</v>
      </c>
      <c r="U564" s="16">
        <f>IFERROR(__xludf.DUMMYFUNCTION("""COMPUTED_VALUE"""),0.8113207547169812)</f>
        <v>0.8113207547</v>
      </c>
      <c r="V564" s="16">
        <f>IFERROR(__xludf.DUMMYFUNCTION("""COMPUTED_VALUE"""),0.5283018867924528)</f>
        <v>0.5283018868</v>
      </c>
      <c r="W564" s="16">
        <f>IFERROR(__xludf.DUMMYFUNCTION("""COMPUTED_VALUE"""),2.0377358490566038)</f>
        <v>2.037735849</v>
      </c>
      <c r="X564" s="16">
        <f>IFERROR(__xludf.DUMMYFUNCTION("""COMPUTED_VALUE"""),2.3773584905660377)</f>
        <v>2.377358491</v>
      </c>
      <c r="Y564" s="11">
        <f>IFERROR(__xludf.DUMMYFUNCTION("""COMPUTED_VALUE"""),12.0)</f>
        <v>12</v>
      </c>
      <c r="Z564" s="11">
        <f>IFERROR(__xludf.DUMMYFUNCTION("""COMPUTED_VALUE"""),3.0)</f>
        <v>3</v>
      </c>
      <c r="AA564" s="11">
        <f>IFERROR(__xludf.DUMMYFUNCTION("""COMPUTED_VALUE"""),1.0)</f>
        <v>1</v>
      </c>
      <c r="AB564" s="11">
        <f>IFERROR(__xludf.DUMMYFUNCTION("""COMPUTED_VALUE"""),15.0)</f>
        <v>15</v>
      </c>
      <c r="AC564" s="11">
        <f>IFERROR(__xludf.DUMMYFUNCTION("""COMPUTED_VALUE"""),49.0)</f>
        <v>49</v>
      </c>
      <c r="AD564" s="11">
        <f>IFERROR(__xludf.DUMMYFUNCTION("""COMPUTED_VALUE"""),36.0)</f>
        <v>36</v>
      </c>
    </row>
    <row r="565">
      <c r="A565" s="10" t="str">
        <f>IFERROR(__xludf.DUMMYFUNCTION("""COMPUTED_VALUE"""),"Rival")</f>
        <v>Rival</v>
      </c>
      <c r="B565" s="10" t="str">
        <f>IFERROR(__xludf.DUMMYFUNCTION("""COMPUTED_VALUE"""),"RSC008487")</f>
        <v>RSC008487</v>
      </c>
      <c r="C565" s="10" t="str">
        <f>IFERROR(__xludf.DUMMYFUNCTION("""COMPUTED_VALUE"""),"S3 UniQ")</f>
        <v>S3 UniQ</v>
      </c>
      <c r="D565" s="36" t="str">
        <f>IFERROR(__xludf.DUMMYFUNCTION("""COMPUTED_VALUE"""),"Samurai
Tax Evaders
Phantoms
Ruthless Racket")</f>
        <v>Samurai
Tax Evaders
Phantoms
Ruthless Racket</v>
      </c>
      <c r="E565" s="10" t="str">
        <f>IFERROR(__xludf.DUMMYFUNCTION("""COMPUTED_VALUE"""),"Lunar
Lunar
Lunar
Lunar")</f>
        <v>Lunar
Lunar
Lunar
Lunar</v>
      </c>
      <c r="F565" s="37">
        <f>IFERROR(__xludf.DUMMYFUNCTION("""COMPUTED_VALUE"""),59.63905424774159)</f>
        <v>59.63905425</v>
      </c>
      <c r="G565" s="38">
        <f>IFERROR(__xludf.DUMMYFUNCTION("""COMPUTED_VALUE"""),59.6067832801195)</f>
        <v>59.60678328</v>
      </c>
      <c r="H565" s="38">
        <f>IFERROR(__xludf.DUMMYFUNCTION("""COMPUTED_VALUE"""),59.62291876393054)</f>
        <v>59.62291876</v>
      </c>
      <c r="I565" s="14">
        <f>IFERROR(__xludf.DUMMYFUNCTION("""COMPUTED_VALUE"""),50.0)</f>
        <v>50</v>
      </c>
      <c r="J565" s="11">
        <f>IFERROR(__xludf.DUMMYFUNCTION("IFERROR(FILTER(Stats!$F:$Z,(Stats!$A:$A=$A565)*(Stats!$B:$B=$B565)))"),30.0)</f>
        <v>30</v>
      </c>
      <c r="K565" s="11">
        <f>IFERROR(__xludf.DUMMYFUNCTION("""COMPUTED_VALUE"""),20.0)</f>
        <v>20</v>
      </c>
      <c r="L565" s="12">
        <f>IFERROR(__xludf.DUMMYFUNCTION("""COMPUTED_VALUE"""),0.6)</f>
        <v>0.6</v>
      </c>
      <c r="M565" s="11">
        <f>IFERROR(__xludf.DUMMYFUNCTION("""COMPUTED_VALUE"""),9.0)</f>
        <v>9</v>
      </c>
      <c r="N565" s="11">
        <f>IFERROR(__xludf.DUMMYFUNCTION("""COMPUTED_VALUE"""),17113.0)</f>
        <v>17113</v>
      </c>
      <c r="O565" s="13">
        <f>IFERROR(__xludf.DUMMYFUNCTION("""COMPUTED_VALUE"""),45.0)</f>
        <v>45</v>
      </c>
      <c r="P565" s="14">
        <f>IFERROR(__xludf.DUMMYFUNCTION("""COMPUTED_VALUE"""),28.0)</f>
        <v>28</v>
      </c>
      <c r="Q565" s="13">
        <f>IFERROR(__xludf.DUMMYFUNCTION("""COMPUTED_VALUE"""),47.0)</f>
        <v>47</v>
      </c>
      <c r="R565" s="13">
        <f>IFERROR(__xludf.DUMMYFUNCTION("""COMPUTED_VALUE"""),127.0)</f>
        <v>127</v>
      </c>
      <c r="S565" s="15">
        <f>IFERROR(__xludf.DUMMYFUNCTION("""COMPUTED_VALUE"""),0.3543307086614173)</f>
        <v>0.3543307087</v>
      </c>
      <c r="T565" s="16">
        <f>IFERROR(__xludf.DUMMYFUNCTION("""COMPUTED_VALUE"""),342.26)</f>
        <v>342.26</v>
      </c>
      <c r="U565" s="16">
        <f>IFERROR(__xludf.DUMMYFUNCTION("""COMPUTED_VALUE"""),0.9)</f>
        <v>0.9</v>
      </c>
      <c r="V565" s="16">
        <f>IFERROR(__xludf.DUMMYFUNCTION("""COMPUTED_VALUE"""),0.56)</f>
        <v>0.56</v>
      </c>
      <c r="W565" s="16">
        <f>IFERROR(__xludf.DUMMYFUNCTION("""COMPUTED_VALUE"""),0.94)</f>
        <v>0.94</v>
      </c>
      <c r="X565" s="16">
        <f>IFERROR(__xludf.DUMMYFUNCTION("""COMPUTED_VALUE"""),2.54)</f>
        <v>2.54</v>
      </c>
      <c r="Y565" s="11">
        <f>IFERROR(__xludf.DUMMYFUNCTION("""COMPUTED_VALUE"""),7.0)</f>
        <v>7</v>
      </c>
      <c r="Z565" s="11">
        <f>IFERROR(__xludf.DUMMYFUNCTION("""COMPUTED_VALUE"""),4.0)</f>
        <v>4</v>
      </c>
      <c r="AA565" s="11">
        <f>IFERROR(__xludf.DUMMYFUNCTION("""COMPUTED_VALUE"""),2.0)</f>
        <v>2</v>
      </c>
      <c r="AB565" s="11">
        <f>IFERROR(__xludf.DUMMYFUNCTION("""COMPUTED_VALUE"""),2.0)</f>
        <v>2</v>
      </c>
      <c r="AC565" s="11">
        <f>IFERROR(__xludf.DUMMYFUNCTION("""COMPUTED_VALUE"""),48.0)</f>
        <v>48</v>
      </c>
      <c r="AD565" s="11">
        <f>IFERROR(__xludf.DUMMYFUNCTION("""COMPUTED_VALUE"""),47.0)</f>
        <v>47</v>
      </c>
    </row>
    <row r="566">
      <c r="A566" s="10" t="str">
        <f>IFERROR(__xludf.DUMMYFUNCTION("""COMPUTED_VALUE"""),"Rival")</f>
        <v>Rival</v>
      </c>
      <c r="B566" s="10" t="str">
        <f>IFERROR(__xludf.DUMMYFUNCTION("""COMPUTED_VALUE"""),"RSC008484")</f>
        <v>RSC008484</v>
      </c>
      <c r="C566" s="10" t="str">
        <f>IFERROR(__xludf.DUMMYFUNCTION("""COMPUTED_VALUE"""),"PshycoNot")</f>
        <v>PshycoNot</v>
      </c>
      <c r="D566" s="36" t="str">
        <f>IFERROR(__xludf.DUMMYFUNCTION("""COMPUTED_VALUE"""),"Lacuna")</f>
        <v>Lacuna</v>
      </c>
      <c r="E566" s="10" t="str">
        <f>IFERROR(__xludf.DUMMYFUNCTION("""COMPUTED_VALUE"""),"Solar")</f>
        <v>Solar</v>
      </c>
      <c r="F566" s="37">
        <f>IFERROR(__xludf.DUMMYFUNCTION("""COMPUTED_VALUE"""),54.48934289229478)</f>
        <v>54.48934289</v>
      </c>
      <c r="G566" s="38">
        <f>IFERROR(__xludf.DUMMYFUNCTION("""COMPUTED_VALUE"""),64.63897282875205)</f>
        <v>64.63897283</v>
      </c>
      <c r="H566" s="38">
        <f>IFERROR(__xludf.DUMMYFUNCTION("""COMPUTED_VALUE"""),59.56415786052341)</f>
        <v>59.56415786</v>
      </c>
      <c r="I566" s="14">
        <f>IFERROR(__xludf.DUMMYFUNCTION("""COMPUTED_VALUE"""),13.0)</f>
        <v>13</v>
      </c>
      <c r="J566" s="11">
        <f>IFERROR(__xludf.DUMMYFUNCTION("IFERROR(FILTER(Stats!$F:$Z,(Stats!$A:$A=$A566)*(Stats!$B:$B=$B566)))"),7.0)</f>
        <v>7</v>
      </c>
      <c r="K566" s="11">
        <f>IFERROR(__xludf.DUMMYFUNCTION("""COMPUTED_VALUE"""),6.0)</f>
        <v>6</v>
      </c>
      <c r="L566" s="12">
        <f>IFERROR(__xludf.DUMMYFUNCTION("""COMPUTED_VALUE"""),0.5384615384615384)</f>
        <v>0.5384615385</v>
      </c>
      <c r="M566" s="11">
        <f>IFERROR(__xludf.DUMMYFUNCTION("""COMPUTED_VALUE"""),3.0)</f>
        <v>3</v>
      </c>
      <c r="N566" s="11">
        <f>IFERROR(__xludf.DUMMYFUNCTION("""COMPUTED_VALUE"""),5167.0)</f>
        <v>5167</v>
      </c>
      <c r="O566" s="13">
        <f>IFERROR(__xludf.DUMMYFUNCTION("""COMPUTED_VALUE"""),15.0)</f>
        <v>15</v>
      </c>
      <c r="P566" s="14">
        <f>IFERROR(__xludf.DUMMYFUNCTION("""COMPUTED_VALUE"""),4.0)</f>
        <v>4</v>
      </c>
      <c r="Q566" s="13">
        <f>IFERROR(__xludf.DUMMYFUNCTION("""COMPUTED_VALUE"""),18.0)</f>
        <v>18</v>
      </c>
      <c r="R566" s="13">
        <f>IFERROR(__xludf.DUMMYFUNCTION("""COMPUTED_VALUE"""),39.0)</f>
        <v>39</v>
      </c>
      <c r="S566" s="15">
        <f>IFERROR(__xludf.DUMMYFUNCTION("""COMPUTED_VALUE"""),0.38461538461538464)</f>
        <v>0.3846153846</v>
      </c>
      <c r="T566" s="16">
        <f>IFERROR(__xludf.DUMMYFUNCTION("""COMPUTED_VALUE"""),397.46153846153845)</f>
        <v>397.4615385</v>
      </c>
      <c r="U566" s="16">
        <f>IFERROR(__xludf.DUMMYFUNCTION("""COMPUTED_VALUE"""),1.1538461538461537)</f>
        <v>1.153846154</v>
      </c>
      <c r="V566" s="16">
        <f>IFERROR(__xludf.DUMMYFUNCTION("""COMPUTED_VALUE"""),0.3076923076923077)</f>
        <v>0.3076923077</v>
      </c>
      <c r="W566" s="16">
        <f>IFERROR(__xludf.DUMMYFUNCTION("""COMPUTED_VALUE"""),1.3846153846153846)</f>
        <v>1.384615385</v>
      </c>
      <c r="X566" s="16">
        <f>IFERROR(__xludf.DUMMYFUNCTION("""COMPUTED_VALUE"""),3.0)</f>
        <v>3</v>
      </c>
      <c r="Y566" s="11">
        <f>IFERROR(__xludf.DUMMYFUNCTION("""COMPUTED_VALUE"""),3.0)</f>
        <v>3</v>
      </c>
      <c r="Z566" s="11">
        <f>IFERROR(__xludf.DUMMYFUNCTION("""COMPUTED_VALUE"""),1.0)</f>
        <v>1</v>
      </c>
      <c r="AA566" s="11">
        <f>IFERROR(__xludf.DUMMYFUNCTION("""COMPUTED_VALUE"""),0.0)</f>
        <v>0</v>
      </c>
      <c r="AB566" s="11">
        <f>IFERROR(__xludf.DUMMYFUNCTION("""COMPUTED_VALUE"""),2.0)</f>
        <v>2</v>
      </c>
      <c r="AC566" s="11">
        <f>IFERROR(__xludf.DUMMYFUNCTION("""COMPUTED_VALUE"""),19.0)</f>
        <v>19</v>
      </c>
      <c r="AD566" s="11">
        <f>IFERROR(__xludf.DUMMYFUNCTION("""COMPUTED_VALUE"""),10.0)</f>
        <v>10</v>
      </c>
    </row>
    <row r="567">
      <c r="A567" s="10" t="str">
        <f>IFERROR(__xludf.DUMMYFUNCTION("""COMPUTED_VALUE"""),"Rival")</f>
        <v>Rival</v>
      </c>
      <c r="B567" s="10" t="str">
        <f>IFERROR(__xludf.DUMMYFUNCTION("""COMPUTED_VALUE"""),"RSC005059")</f>
        <v>RSC005059</v>
      </c>
      <c r="C567" s="10" t="str">
        <f>IFERROR(__xludf.DUMMYFUNCTION("""COMPUTED_VALUE"""),"t4")</f>
        <v>t4</v>
      </c>
      <c r="D567" s="36" t="str">
        <f>IFERROR(__xludf.DUMMYFUNCTION("""COMPUTED_VALUE"""),"Hippos")</f>
        <v>Hippos</v>
      </c>
      <c r="E567" s="10" t="str">
        <f>IFERROR(__xludf.DUMMYFUNCTION("""COMPUTED_VALUE"""),"Lunar")</f>
        <v>Lunar</v>
      </c>
      <c r="F567" s="37">
        <f>IFERROR(__xludf.DUMMYFUNCTION("""COMPUTED_VALUE"""),50.78155399869447)</f>
        <v>50.781554</v>
      </c>
      <c r="G567" s="38">
        <f>IFERROR(__xludf.DUMMYFUNCTION("""COMPUTED_VALUE"""),65.92964482095731)</f>
        <v>65.92964482</v>
      </c>
      <c r="H567" s="38">
        <f>IFERROR(__xludf.DUMMYFUNCTION("""COMPUTED_VALUE"""),58.355599409825885)</f>
        <v>58.35559941</v>
      </c>
      <c r="I567" s="14">
        <f>IFERROR(__xludf.DUMMYFUNCTION("""COMPUTED_VALUE"""),27.0)</f>
        <v>27</v>
      </c>
      <c r="J567" s="11">
        <f>IFERROR(__xludf.DUMMYFUNCTION("IFERROR(FILTER(Stats!$F:$Z,(Stats!$A:$A=$A567)*(Stats!$B:$B=$B567)))"),21.0)</f>
        <v>21</v>
      </c>
      <c r="K567" s="11">
        <f>IFERROR(__xludf.DUMMYFUNCTION("""COMPUTED_VALUE"""),6.0)</f>
        <v>6</v>
      </c>
      <c r="L567" s="12">
        <f>IFERROR(__xludf.DUMMYFUNCTION("""COMPUTED_VALUE"""),0.7777777777777778)</f>
        <v>0.7777777778</v>
      </c>
      <c r="M567" s="11">
        <f>IFERROR(__xludf.DUMMYFUNCTION("""COMPUTED_VALUE"""),2.0)</f>
        <v>2</v>
      </c>
      <c r="N567" s="11">
        <f>IFERROR(__xludf.DUMMYFUNCTION("""COMPUTED_VALUE"""),8843.0)</f>
        <v>8843</v>
      </c>
      <c r="O567" s="13">
        <f>IFERROR(__xludf.DUMMYFUNCTION("""COMPUTED_VALUE"""),28.0)</f>
        <v>28</v>
      </c>
      <c r="P567" s="14">
        <f>IFERROR(__xludf.DUMMYFUNCTION("""COMPUTED_VALUE"""),12.0)</f>
        <v>12</v>
      </c>
      <c r="Q567" s="13">
        <f>IFERROR(__xludf.DUMMYFUNCTION("""COMPUTED_VALUE"""),24.0)</f>
        <v>24</v>
      </c>
      <c r="R567" s="13">
        <f>IFERROR(__xludf.DUMMYFUNCTION("""COMPUTED_VALUE"""),79.0)</f>
        <v>79</v>
      </c>
      <c r="S567" s="15">
        <f>IFERROR(__xludf.DUMMYFUNCTION("""COMPUTED_VALUE"""),0.35443037974683544)</f>
        <v>0.3544303797</v>
      </c>
      <c r="T567" s="16">
        <f>IFERROR(__xludf.DUMMYFUNCTION("""COMPUTED_VALUE"""),327.51851851851853)</f>
        <v>327.5185185</v>
      </c>
      <c r="U567" s="16">
        <f>IFERROR(__xludf.DUMMYFUNCTION("""COMPUTED_VALUE"""),1.037037037037037)</f>
        <v>1.037037037</v>
      </c>
      <c r="V567" s="16">
        <f>IFERROR(__xludf.DUMMYFUNCTION("""COMPUTED_VALUE"""),0.4444444444444444)</f>
        <v>0.4444444444</v>
      </c>
      <c r="W567" s="16">
        <f>IFERROR(__xludf.DUMMYFUNCTION("""COMPUTED_VALUE"""),0.8888888888888888)</f>
        <v>0.8888888889</v>
      </c>
      <c r="X567" s="16">
        <f>IFERROR(__xludf.DUMMYFUNCTION("""COMPUTED_VALUE"""),2.925925925925926)</f>
        <v>2.925925926</v>
      </c>
      <c r="Y567" s="11">
        <f>IFERROR(__xludf.DUMMYFUNCTION("""COMPUTED_VALUE"""),2.0)</f>
        <v>2</v>
      </c>
      <c r="Z567" s="11">
        <f>IFERROR(__xludf.DUMMYFUNCTION("""COMPUTED_VALUE"""),2.0)</f>
        <v>2</v>
      </c>
      <c r="AA567" s="11">
        <f>IFERROR(__xludf.DUMMYFUNCTION("""COMPUTED_VALUE"""),0.0)</f>
        <v>0</v>
      </c>
      <c r="AB567" s="11">
        <f>IFERROR(__xludf.DUMMYFUNCTION("""COMPUTED_VALUE"""),0.0)</f>
        <v>0</v>
      </c>
      <c r="AC567" s="11">
        <f>IFERROR(__xludf.DUMMYFUNCTION("""COMPUTED_VALUE"""),17.0)</f>
        <v>17</v>
      </c>
      <c r="AD567" s="11">
        <f>IFERROR(__xludf.DUMMYFUNCTION("""COMPUTED_VALUE"""),34.0)</f>
        <v>34</v>
      </c>
    </row>
    <row r="568">
      <c r="A568" s="10" t="str">
        <f>IFERROR(__xludf.DUMMYFUNCTION("""COMPUTED_VALUE"""),"Rival")</f>
        <v>Rival</v>
      </c>
      <c r="B568" s="10" t="str">
        <f>IFERROR(__xludf.DUMMYFUNCTION("""COMPUTED_VALUE"""),"RSC006832")</f>
        <v>RSC006832</v>
      </c>
      <c r="C568" s="10" t="str">
        <f>IFERROR(__xludf.DUMMYFUNCTION("""COMPUTED_VALUE"""),"Pandaliciously")</f>
        <v>Pandaliciously</v>
      </c>
      <c r="D568" s="36" t="str">
        <f>IFERROR(__xludf.DUMMYFUNCTION("""COMPUTED_VALUE"""),"Phoenix")</f>
        <v>Phoenix</v>
      </c>
      <c r="E568" s="10" t="str">
        <f>IFERROR(__xludf.DUMMYFUNCTION("""COMPUTED_VALUE"""),"Solar")</f>
        <v>Solar</v>
      </c>
      <c r="F568" s="37">
        <f>IFERROR(__xludf.DUMMYFUNCTION("""COMPUTED_VALUE"""),51.83281817249039)</f>
        <v>51.83281817</v>
      </c>
      <c r="G568" s="38">
        <f>IFERROR(__xludf.DUMMYFUNCTION("""COMPUTED_VALUE"""),64.83752826544853)</f>
        <v>64.83752827</v>
      </c>
      <c r="H568" s="38">
        <f>IFERROR(__xludf.DUMMYFUNCTION("""COMPUTED_VALUE"""),58.33517321896946)</f>
        <v>58.33517322</v>
      </c>
      <c r="I568" s="14">
        <f>IFERROR(__xludf.DUMMYFUNCTION("""COMPUTED_VALUE"""),48.0)</f>
        <v>48</v>
      </c>
      <c r="J568" s="11">
        <f>IFERROR(__xludf.DUMMYFUNCTION("IFERROR(FILTER(Stats!$F:$Z,(Stats!$A:$A=$A568)*(Stats!$B:$B=$B568)))"),28.0)</f>
        <v>28</v>
      </c>
      <c r="K568" s="11">
        <f>IFERROR(__xludf.DUMMYFUNCTION("""COMPUTED_VALUE"""),20.0)</f>
        <v>20</v>
      </c>
      <c r="L568" s="12">
        <f>IFERROR(__xludf.DUMMYFUNCTION("""COMPUTED_VALUE"""),0.5833333333333334)</f>
        <v>0.5833333333</v>
      </c>
      <c r="M568" s="11">
        <f>IFERROR(__xludf.DUMMYFUNCTION("""COMPUTED_VALUE"""),9.0)</f>
        <v>9</v>
      </c>
      <c r="N568" s="11">
        <f>IFERROR(__xludf.DUMMYFUNCTION("""COMPUTED_VALUE"""),16743.0)</f>
        <v>16743</v>
      </c>
      <c r="O568" s="13">
        <f>IFERROR(__xludf.DUMMYFUNCTION("""COMPUTED_VALUE"""),40.0)</f>
        <v>40</v>
      </c>
      <c r="P568" s="14">
        <f>IFERROR(__xludf.DUMMYFUNCTION("""COMPUTED_VALUE"""),27.0)</f>
        <v>27</v>
      </c>
      <c r="Q568" s="13">
        <f>IFERROR(__xludf.DUMMYFUNCTION("""COMPUTED_VALUE"""),55.0)</f>
        <v>55</v>
      </c>
      <c r="R568" s="13">
        <f>IFERROR(__xludf.DUMMYFUNCTION("""COMPUTED_VALUE"""),142.0)</f>
        <v>142</v>
      </c>
      <c r="S568" s="15">
        <f>IFERROR(__xludf.DUMMYFUNCTION("""COMPUTED_VALUE"""),0.28169014084507044)</f>
        <v>0.2816901408</v>
      </c>
      <c r="T568" s="16">
        <f>IFERROR(__xludf.DUMMYFUNCTION("""COMPUTED_VALUE"""),348.8125)</f>
        <v>348.8125</v>
      </c>
      <c r="U568" s="16">
        <f>IFERROR(__xludf.DUMMYFUNCTION("""COMPUTED_VALUE"""),0.8333333333333334)</f>
        <v>0.8333333333</v>
      </c>
      <c r="V568" s="16">
        <f>IFERROR(__xludf.DUMMYFUNCTION("""COMPUTED_VALUE"""),0.5625)</f>
        <v>0.5625</v>
      </c>
      <c r="W568" s="16">
        <f>IFERROR(__xludf.DUMMYFUNCTION("""COMPUTED_VALUE"""),1.1458333333333333)</f>
        <v>1.145833333</v>
      </c>
      <c r="X568" s="16">
        <f>IFERROR(__xludf.DUMMYFUNCTION("""COMPUTED_VALUE"""),2.9583333333333335)</f>
        <v>2.958333333</v>
      </c>
      <c r="Y568" s="11">
        <f>IFERROR(__xludf.DUMMYFUNCTION("""COMPUTED_VALUE"""),12.0)</f>
        <v>12</v>
      </c>
      <c r="Z568" s="11">
        <f>IFERROR(__xludf.DUMMYFUNCTION("""COMPUTED_VALUE"""),2.0)</f>
        <v>2</v>
      </c>
      <c r="AA568" s="11">
        <f>IFERROR(__xludf.DUMMYFUNCTION("""COMPUTED_VALUE"""),0.0)</f>
        <v>0</v>
      </c>
      <c r="AB568" s="11">
        <f>IFERROR(__xludf.DUMMYFUNCTION("""COMPUTED_VALUE"""),3.0)</f>
        <v>3</v>
      </c>
      <c r="AC568" s="11">
        <f>IFERROR(__xludf.DUMMYFUNCTION("""COMPUTED_VALUE"""),80.0)</f>
        <v>80</v>
      </c>
      <c r="AD568" s="11">
        <f>IFERROR(__xludf.DUMMYFUNCTION("""COMPUTED_VALUE"""),35.0)</f>
        <v>35</v>
      </c>
    </row>
    <row r="569">
      <c r="A569" s="10" t="str">
        <f>IFERROR(__xludf.DUMMYFUNCTION("""COMPUTED_VALUE"""),"Rival")</f>
        <v>Rival</v>
      </c>
      <c r="B569" s="10" t="str">
        <f>IFERROR(__xludf.DUMMYFUNCTION("""COMPUTED_VALUE"""),"RSC005523")</f>
        <v>RSC005523</v>
      </c>
      <c r="C569" s="10" t="str">
        <f>IFERROR(__xludf.DUMMYFUNCTION("""COMPUTED_VALUE"""),"Laguna")</f>
        <v>Laguna</v>
      </c>
      <c r="D569" s="36" t="str">
        <f>IFERROR(__xludf.DUMMYFUNCTION("""COMPUTED_VALUE"""),"Hippos")</f>
        <v>Hippos</v>
      </c>
      <c r="E569" s="10" t="str">
        <f>IFERROR(__xludf.DUMMYFUNCTION("""COMPUTED_VALUE"""),"Lunar")</f>
        <v>Lunar</v>
      </c>
      <c r="F569" s="37">
        <f>IFERROR(__xludf.DUMMYFUNCTION("""COMPUTED_VALUE"""),55.43064547020448)</f>
        <v>55.43064547</v>
      </c>
      <c r="G569" s="38">
        <f>IFERROR(__xludf.DUMMYFUNCTION("""COMPUTED_VALUE"""),61.1786390184633)</f>
        <v>61.17863902</v>
      </c>
      <c r="H569" s="38">
        <f>IFERROR(__xludf.DUMMYFUNCTION("""COMPUTED_VALUE"""),58.30464224433389)</f>
        <v>58.30464224</v>
      </c>
      <c r="I569" s="14">
        <f>IFERROR(__xludf.DUMMYFUNCTION("""COMPUTED_VALUE"""),56.0)</f>
        <v>56</v>
      </c>
      <c r="J569" s="11">
        <f>IFERROR(__xludf.DUMMYFUNCTION("IFERROR(FILTER(Stats!$F:$Z,(Stats!$A:$A=$A569)*(Stats!$B:$B=$B569)))"),40.0)</f>
        <v>40</v>
      </c>
      <c r="K569" s="11">
        <f>IFERROR(__xludf.DUMMYFUNCTION("""COMPUTED_VALUE"""),16.0)</f>
        <v>16</v>
      </c>
      <c r="L569" s="12">
        <f>IFERROR(__xludf.DUMMYFUNCTION("""COMPUTED_VALUE"""),0.7142857142857143)</f>
        <v>0.7142857143</v>
      </c>
      <c r="M569" s="11">
        <f>IFERROR(__xludf.DUMMYFUNCTION("""COMPUTED_VALUE"""),11.0)</f>
        <v>11</v>
      </c>
      <c r="N569" s="11">
        <f>IFERROR(__xludf.DUMMYFUNCTION("""COMPUTED_VALUE"""),19134.0)</f>
        <v>19134</v>
      </c>
      <c r="O569" s="13">
        <f>IFERROR(__xludf.DUMMYFUNCTION("""COMPUTED_VALUE"""),47.0)</f>
        <v>47</v>
      </c>
      <c r="P569" s="14">
        <f>IFERROR(__xludf.DUMMYFUNCTION("""COMPUTED_VALUE"""),32.0)</f>
        <v>32</v>
      </c>
      <c r="Q569" s="13">
        <f>IFERROR(__xludf.DUMMYFUNCTION("""COMPUTED_VALUE"""),64.0)</f>
        <v>64</v>
      </c>
      <c r="R569" s="13">
        <f>IFERROR(__xludf.DUMMYFUNCTION("""COMPUTED_VALUE"""),132.0)</f>
        <v>132</v>
      </c>
      <c r="S569" s="15">
        <f>IFERROR(__xludf.DUMMYFUNCTION("""COMPUTED_VALUE"""),0.3560606060606061)</f>
        <v>0.3560606061</v>
      </c>
      <c r="T569" s="16">
        <f>IFERROR(__xludf.DUMMYFUNCTION("""COMPUTED_VALUE"""),341.67857142857144)</f>
        <v>341.6785714</v>
      </c>
      <c r="U569" s="16">
        <f>IFERROR(__xludf.DUMMYFUNCTION("""COMPUTED_VALUE"""),0.8392857142857143)</f>
        <v>0.8392857143</v>
      </c>
      <c r="V569" s="16">
        <f>IFERROR(__xludf.DUMMYFUNCTION("""COMPUTED_VALUE"""),0.5714285714285714)</f>
        <v>0.5714285714</v>
      </c>
      <c r="W569" s="16">
        <f>IFERROR(__xludf.DUMMYFUNCTION("""COMPUTED_VALUE"""),1.1428571428571428)</f>
        <v>1.142857143</v>
      </c>
      <c r="X569" s="16">
        <f>IFERROR(__xludf.DUMMYFUNCTION("""COMPUTED_VALUE"""),2.357142857142857)</f>
        <v>2.357142857</v>
      </c>
      <c r="Y569" s="11">
        <f>IFERROR(__xludf.DUMMYFUNCTION("""COMPUTED_VALUE"""),9.0)</f>
        <v>9</v>
      </c>
      <c r="Z569" s="11">
        <f>IFERROR(__xludf.DUMMYFUNCTION("""COMPUTED_VALUE"""),2.0)</f>
        <v>2</v>
      </c>
      <c r="AA569" s="11">
        <f>IFERROR(__xludf.DUMMYFUNCTION("""COMPUTED_VALUE"""),2.0)</f>
        <v>2</v>
      </c>
      <c r="AB569" s="11">
        <f>IFERROR(__xludf.DUMMYFUNCTION("""COMPUTED_VALUE"""),7.0)</f>
        <v>7</v>
      </c>
      <c r="AC569" s="11">
        <f>IFERROR(__xludf.DUMMYFUNCTION("""COMPUTED_VALUE"""),95.0)</f>
        <v>95</v>
      </c>
      <c r="AD569" s="11">
        <f>IFERROR(__xludf.DUMMYFUNCTION("""COMPUTED_VALUE"""),54.0)</f>
        <v>54</v>
      </c>
    </row>
    <row r="570">
      <c r="A570" s="10" t="str">
        <f>IFERROR(__xludf.DUMMYFUNCTION("""COMPUTED_VALUE"""),"Rival")</f>
        <v>Rival</v>
      </c>
      <c r="B570" s="10" t="str">
        <f>IFERROR(__xludf.DUMMYFUNCTION("""COMPUTED_VALUE"""),"RSC004844")</f>
        <v>RSC004844</v>
      </c>
      <c r="C570" s="10" t="str">
        <f>IFERROR(__xludf.DUMMYFUNCTION("""COMPUTED_VALUE"""),"Calicat01")</f>
        <v>Calicat01</v>
      </c>
      <c r="D570" s="36" t="str">
        <f>IFERROR(__xludf.DUMMYFUNCTION("""COMPUTED_VALUE"""),"Centuriones")</f>
        <v>Centuriones</v>
      </c>
      <c r="E570" s="10" t="str">
        <f>IFERROR(__xludf.DUMMYFUNCTION("""COMPUTED_VALUE"""),"Solar")</f>
        <v>Solar</v>
      </c>
      <c r="F570" s="37">
        <f>IFERROR(__xludf.DUMMYFUNCTION("""COMPUTED_VALUE"""),54.86387285016315)</f>
        <v>54.86387285</v>
      </c>
      <c r="G570" s="38">
        <f>IFERROR(__xludf.DUMMYFUNCTION("""COMPUTED_VALUE"""),61.29735246654159)</f>
        <v>61.29735247</v>
      </c>
      <c r="H570" s="38">
        <f>IFERROR(__xludf.DUMMYFUNCTION("""COMPUTED_VALUE"""),58.080612658352365)</f>
        <v>58.08061266</v>
      </c>
      <c r="I570" s="14">
        <f>IFERROR(__xludf.DUMMYFUNCTION("""COMPUTED_VALUE"""),31.0)</f>
        <v>31</v>
      </c>
      <c r="J570" s="11">
        <f>IFERROR(__xludf.DUMMYFUNCTION("IFERROR(FILTER(Stats!$F:$Z,(Stats!$A:$A=$A570)*(Stats!$B:$B=$B570)))"),17.0)</f>
        <v>17</v>
      </c>
      <c r="K570" s="11">
        <f>IFERROR(__xludf.DUMMYFUNCTION("""COMPUTED_VALUE"""),14.0)</f>
        <v>14</v>
      </c>
      <c r="L570" s="12">
        <f>IFERROR(__xludf.DUMMYFUNCTION("""COMPUTED_VALUE"""),0.5483870967741935)</f>
        <v>0.5483870968</v>
      </c>
      <c r="M570" s="11">
        <f>IFERROR(__xludf.DUMMYFUNCTION("""COMPUTED_VALUE"""),3.0)</f>
        <v>3</v>
      </c>
      <c r="N570" s="11">
        <f>IFERROR(__xludf.DUMMYFUNCTION("""COMPUTED_VALUE"""),9959.0)</f>
        <v>9959</v>
      </c>
      <c r="O570" s="13">
        <f>IFERROR(__xludf.DUMMYFUNCTION("""COMPUTED_VALUE"""),27.0)</f>
        <v>27</v>
      </c>
      <c r="P570" s="14">
        <f>IFERROR(__xludf.DUMMYFUNCTION("""COMPUTED_VALUE"""),15.0)</f>
        <v>15</v>
      </c>
      <c r="Q570" s="13">
        <f>IFERROR(__xludf.DUMMYFUNCTION("""COMPUTED_VALUE"""),33.0)</f>
        <v>33</v>
      </c>
      <c r="R570" s="13">
        <f>IFERROR(__xludf.DUMMYFUNCTION("""COMPUTED_VALUE"""),88.0)</f>
        <v>88</v>
      </c>
      <c r="S570" s="15">
        <f>IFERROR(__xludf.DUMMYFUNCTION("""COMPUTED_VALUE"""),0.3068181818181818)</f>
        <v>0.3068181818</v>
      </c>
      <c r="T570" s="16">
        <f>IFERROR(__xludf.DUMMYFUNCTION("""COMPUTED_VALUE"""),321.258064516129)</f>
        <v>321.2580645</v>
      </c>
      <c r="U570" s="16">
        <f>IFERROR(__xludf.DUMMYFUNCTION("""COMPUTED_VALUE"""),0.8709677419354839)</f>
        <v>0.8709677419</v>
      </c>
      <c r="V570" s="16">
        <f>IFERROR(__xludf.DUMMYFUNCTION("""COMPUTED_VALUE"""),0.4838709677419355)</f>
        <v>0.4838709677</v>
      </c>
      <c r="W570" s="16">
        <f>IFERROR(__xludf.DUMMYFUNCTION("""COMPUTED_VALUE"""),1.064516129032258)</f>
        <v>1.064516129</v>
      </c>
      <c r="X570" s="16">
        <f>IFERROR(__xludf.DUMMYFUNCTION("""COMPUTED_VALUE"""),2.838709677419355)</f>
        <v>2.838709677</v>
      </c>
      <c r="Y570" s="11">
        <f>IFERROR(__xludf.DUMMYFUNCTION("""COMPUTED_VALUE"""),6.0)</f>
        <v>6</v>
      </c>
      <c r="Z570" s="11">
        <f>IFERROR(__xludf.DUMMYFUNCTION("""COMPUTED_VALUE"""),1.0)</f>
        <v>1</v>
      </c>
      <c r="AA570" s="11">
        <f>IFERROR(__xludf.DUMMYFUNCTION("""COMPUTED_VALUE"""),0.0)</f>
        <v>0</v>
      </c>
      <c r="AB570" s="11">
        <f>IFERROR(__xludf.DUMMYFUNCTION("""COMPUTED_VALUE"""),3.0)</f>
        <v>3</v>
      </c>
      <c r="AC570" s="11">
        <f>IFERROR(__xludf.DUMMYFUNCTION("""COMPUTED_VALUE"""),10.0)</f>
        <v>10</v>
      </c>
      <c r="AD570" s="11">
        <f>IFERROR(__xludf.DUMMYFUNCTION("""COMPUTED_VALUE"""),32.0)</f>
        <v>32</v>
      </c>
    </row>
    <row r="571">
      <c r="A571" s="10" t="str">
        <f>IFERROR(__xludf.DUMMYFUNCTION("""COMPUTED_VALUE"""),"Rival")</f>
        <v>Rival</v>
      </c>
      <c r="B571" s="10" t="str">
        <f>IFERROR(__xludf.DUMMYFUNCTION("""COMPUTED_VALUE"""),"RSC007549")</f>
        <v>RSC007549</v>
      </c>
      <c r="C571" s="10" t="str">
        <f>IFERROR(__xludf.DUMMYFUNCTION("""COMPUTED_VALUE"""),"Whiffy_RL")</f>
        <v>Whiffy_RL</v>
      </c>
      <c r="D571" s="36" t="str">
        <f>IFERROR(__xludf.DUMMYFUNCTION("""COMPUTED_VALUE"""),"Scramjets")</f>
        <v>Scramjets</v>
      </c>
      <c r="E571" s="10" t="str">
        <f>IFERROR(__xludf.DUMMYFUNCTION("""COMPUTED_VALUE"""),"Lunar")</f>
        <v>Lunar</v>
      </c>
      <c r="F571" s="37">
        <f>IFERROR(__xludf.DUMMYFUNCTION("""COMPUTED_VALUE"""),67.8920940954142)</f>
        <v>67.8920941</v>
      </c>
      <c r="G571" s="38">
        <f>IFERROR(__xludf.DUMMYFUNCTION("""COMPUTED_VALUE"""),48.22960438956457)</f>
        <v>48.22960439</v>
      </c>
      <c r="H571" s="38">
        <f>IFERROR(__xludf.DUMMYFUNCTION("""COMPUTED_VALUE"""),58.06084924248938)</f>
        <v>58.06084924</v>
      </c>
      <c r="I571" s="14">
        <f>IFERROR(__xludf.DUMMYFUNCTION("""COMPUTED_VALUE"""),13.0)</f>
        <v>13</v>
      </c>
      <c r="J571" s="11">
        <f>IFERROR(__xludf.DUMMYFUNCTION("IFERROR(FILTER(Stats!$F:$Z,(Stats!$A:$A=$A571)*(Stats!$B:$B=$B571)))"),8.0)</f>
        <v>8</v>
      </c>
      <c r="K571" s="11">
        <f>IFERROR(__xludf.DUMMYFUNCTION("""COMPUTED_VALUE"""),5.0)</f>
        <v>5</v>
      </c>
      <c r="L571" s="12">
        <f>IFERROR(__xludf.DUMMYFUNCTION("""COMPUTED_VALUE"""),0.6153846153846154)</f>
        <v>0.6153846154</v>
      </c>
      <c r="M571" s="11">
        <f>IFERROR(__xludf.DUMMYFUNCTION("""COMPUTED_VALUE"""),0.0)</f>
        <v>0</v>
      </c>
      <c r="N571" s="11">
        <f>IFERROR(__xludf.DUMMYFUNCTION("""COMPUTED_VALUE"""),4361.0)</f>
        <v>4361</v>
      </c>
      <c r="O571" s="13">
        <f>IFERROR(__xludf.DUMMYFUNCTION("""COMPUTED_VALUE"""),5.0)</f>
        <v>5</v>
      </c>
      <c r="P571" s="14">
        <f>IFERROR(__xludf.DUMMYFUNCTION("""COMPUTED_VALUE"""),10.0)</f>
        <v>10</v>
      </c>
      <c r="Q571" s="13">
        <f>IFERROR(__xludf.DUMMYFUNCTION("""COMPUTED_VALUE"""),19.0)</f>
        <v>19</v>
      </c>
      <c r="R571" s="13">
        <f>IFERROR(__xludf.DUMMYFUNCTION("""COMPUTED_VALUE"""),28.0)</f>
        <v>28</v>
      </c>
      <c r="S571" s="15">
        <f>IFERROR(__xludf.DUMMYFUNCTION("""COMPUTED_VALUE"""),0.17857142857142858)</f>
        <v>0.1785714286</v>
      </c>
      <c r="T571" s="16">
        <f>IFERROR(__xludf.DUMMYFUNCTION("""COMPUTED_VALUE"""),335.46153846153845)</f>
        <v>335.4615385</v>
      </c>
      <c r="U571" s="16">
        <f>IFERROR(__xludf.DUMMYFUNCTION("""COMPUTED_VALUE"""),0.38461538461538464)</f>
        <v>0.3846153846</v>
      </c>
      <c r="V571" s="16">
        <f>IFERROR(__xludf.DUMMYFUNCTION("""COMPUTED_VALUE"""),0.7692307692307693)</f>
        <v>0.7692307692</v>
      </c>
      <c r="W571" s="16">
        <f>IFERROR(__xludf.DUMMYFUNCTION("""COMPUTED_VALUE"""),1.4615384615384615)</f>
        <v>1.461538462</v>
      </c>
      <c r="X571" s="16">
        <f>IFERROR(__xludf.DUMMYFUNCTION("""COMPUTED_VALUE"""),2.1538461538461537)</f>
        <v>2.153846154</v>
      </c>
      <c r="Y571" s="11">
        <f>IFERROR(__xludf.DUMMYFUNCTION("""COMPUTED_VALUE"""),0.0)</f>
        <v>0</v>
      </c>
      <c r="Z571" s="11">
        <f>IFERROR(__xludf.DUMMYFUNCTION("""COMPUTED_VALUE"""),0.0)</f>
        <v>0</v>
      </c>
      <c r="AA571" s="11">
        <f>IFERROR(__xludf.DUMMYFUNCTION("""COMPUTED_VALUE"""),0.0)</f>
        <v>0</v>
      </c>
      <c r="AB571" s="11">
        <f>IFERROR(__xludf.DUMMYFUNCTION("""COMPUTED_VALUE"""),3.0)</f>
        <v>3</v>
      </c>
      <c r="AC571" s="11">
        <f>IFERROR(__xludf.DUMMYFUNCTION("""COMPUTED_VALUE"""),12.0)</f>
        <v>12</v>
      </c>
      <c r="AD571" s="11">
        <f>IFERROR(__xludf.DUMMYFUNCTION("""COMPUTED_VALUE"""),8.0)</f>
        <v>8</v>
      </c>
    </row>
    <row r="572">
      <c r="A572" s="10" t="str">
        <f>IFERROR(__xludf.DUMMYFUNCTION("""COMPUTED_VALUE"""),"Rival")</f>
        <v>Rival</v>
      </c>
      <c r="B572" s="10" t="str">
        <f>IFERROR(__xludf.DUMMYFUNCTION("""COMPUTED_VALUE"""),"RSC005386")</f>
        <v>RSC005386</v>
      </c>
      <c r="C572" s="10" t="str">
        <f>IFERROR(__xludf.DUMMYFUNCTION("""COMPUTED_VALUE"""),"Danub")</f>
        <v>Danub</v>
      </c>
      <c r="D572" s="36" t="str">
        <f>IFERROR(__xludf.DUMMYFUNCTION("""COMPUTED_VALUE"""),"Phantoms")</f>
        <v>Phantoms</v>
      </c>
      <c r="E572" s="10" t="str">
        <f>IFERROR(__xludf.DUMMYFUNCTION("""COMPUTED_VALUE"""),"Lunar")</f>
        <v>Lunar</v>
      </c>
      <c r="F572" s="37">
        <f>IFERROR(__xludf.DUMMYFUNCTION("""COMPUTED_VALUE"""),61.44285238419172)</f>
        <v>61.44285238</v>
      </c>
      <c r="G572" s="38">
        <f>IFERROR(__xludf.DUMMYFUNCTION("""COMPUTED_VALUE"""),54.17819816805246)</f>
        <v>54.17819817</v>
      </c>
      <c r="H572" s="38">
        <f>IFERROR(__xludf.DUMMYFUNCTION("""COMPUTED_VALUE"""),57.81052527612209)</f>
        <v>57.81052528</v>
      </c>
      <c r="I572" s="14">
        <f>IFERROR(__xludf.DUMMYFUNCTION("""COMPUTED_VALUE"""),42.0)</f>
        <v>42</v>
      </c>
      <c r="J572" s="11">
        <f>IFERROR(__xludf.DUMMYFUNCTION("IFERROR(FILTER(Stats!$F:$Z,(Stats!$A:$A=$A572)*(Stats!$B:$B=$B572)))"),15.0)</f>
        <v>15</v>
      </c>
      <c r="K572" s="11">
        <f>IFERROR(__xludf.DUMMYFUNCTION("""COMPUTED_VALUE"""),27.0)</f>
        <v>27</v>
      </c>
      <c r="L572" s="12">
        <f>IFERROR(__xludf.DUMMYFUNCTION("""COMPUTED_VALUE"""),0.35714285714285715)</f>
        <v>0.3571428571</v>
      </c>
      <c r="M572" s="11">
        <f>IFERROR(__xludf.DUMMYFUNCTION("""COMPUTED_VALUE"""),8.0)</f>
        <v>8</v>
      </c>
      <c r="N572" s="11">
        <f>IFERROR(__xludf.DUMMYFUNCTION("""COMPUTED_VALUE"""),15723.0)</f>
        <v>15723</v>
      </c>
      <c r="O572" s="13">
        <f>IFERROR(__xludf.DUMMYFUNCTION("""COMPUTED_VALUE"""),31.0)</f>
        <v>31</v>
      </c>
      <c r="P572" s="14">
        <f>IFERROR(__xludf.DUMMYFUNCTION("""COMPUTED_VALUE"""),28.0)</f>
        <v>28</v>
      </c>
      <c r="Q572" s="13">
        <f>IFERROR(__xludf.DUMMYFUNCTION("""COMPUTED_VALUE"""),59.0)</f>
        <v>59</v>
      </c>
      <c r="R572" s="13">
        <f>IFERROR(__xludf.DUMMYFUNCTION("""COMPUTED_VALUE"""),105.0)</f>
        <v>105</v>
      </c>
      <c r="S572" s="15">
        <f>IFERROR(__xludf.DUMMYFUNCTION("""COMPUTED_VALUE"""),0.29523809523809524)</f>
        <v>0.2952380952</v>
      </c>
      <c r="T572" s="16">
        <f>IFERROR(__xludf.DUMMYFUNCTION("""COMPUTED_VALUE"""),374.35714285714283)</f>
        <v>374.3571429</v>
      </c>
      <c r="U572" s="16">
        <f>IFERROR(__xludf.DUMMYFUNCTION("""COMPUTED_VALUE"""),0.7380952380952381)</f>
        <v>0.7380952381</v>
      </c>
      <c r="V572" s="16">
        <f>IFERROR(__xludf.DUMMYFUNCTION("""COMPUTED_VALUE"""),0.6666666666666666)</f>
        <v>0.6666666667</v>
      </c>
      <c r="W572" s="16">
        <f>IFERROR(__xludf.DUMMYFUNCTION("""COMPUTED_VALUE"""),1.4047619047619047)</f>
        <v>1.404761905</v>
      </c>
      <c r="X572" s="16">
        <f>IFERROR(__xludf.DUMMYFUNCTION("""COMPUTED_VALUE"""),2.5)</f>
        <v>2.5</v>
      </c>
      <c r="Y572" s="11">
        <f>IFERROR(__xludf.DUMMYFUNCTION("""COMPUTED_VALUE"""),6.0)</f>
        <v>6</v>
      </c>
      <c r="Z572" s="11">
        <f>IFERROR(__xludf.DUMMYFUNCTION("""COMPUTED_VALUE"""),1.0)</f>
        <v>1</v>
      </c>
      <c r="AA572" s="11">
        <f>IFERROR(__xludf.DUMMYFUNCTION("""COMPUTED_VALUE"""),2.0)</f>
        <v>2</v>
      </c>
      <c r="AB572" s="11">
        <f>IFERROR(__xludf.DUMMYFUNCTION("""COMPUTED_VALUE"""),7.0)</f>
        <v>7</v>
      </c>
      <c r="AC572" s="11">
        <f>IFERROR(__xludf.DUMMYFUNCTION("""COMPUTED_VALUE"""),46.0)</f>
        <v>46</v>
      </c>
      <c r="AD572" s="11">
        <f>IFERROR(__xludf.DUMMYFUNCTION("""COMPUTED_VALUE"""),30.0)</f>
        <v>30</v>
      </c>
    </row>
    <row r="573">
      <c r="A573" s="10" t="str">
        <f>IFERROR(__xludf.DUMMYFUNCTION("""COMPUTED_VALUE"""),"Rival")</f>
        <v>Rival</v>
      </c>
      <c r="B573" s="10" t="str">
        <f>IFERROR(__xludf.DUMMYFUNCTION("""COMPUTED_VALUE"""),"RSC008138")</f>
        <v>RSC008138</v>
      </c>
      <c r="C573" s="10" t="str">
        <f>IFERROR(__xludf.DUMMYFUNCTION("""COMPUTED_VALUE"""),"Skillz Issue")</f>
        <v>Skillz Issue</v>
      </c>
      <c r="D573" s="36" t="str">
        <f>IFERROR(__xludf.DUMMYFUNCTION("""COMPUTED_VALUE"""),"Samurai
Quasars")</f>
        <v>Samurai
Quasars</v>
      </c>
      <c r="E573" s="10" t="str">
        <f>IFERROR(__xludf.DUMMYFUNCTION("""COMPUTED_VALUE"""),"Lunar
Lunar")</f>
        <v>Lunar
Lunar</v>
      </c>
      <c r="F573" s="37">
        <f>IFERROR(__xludf.DUMMYFUNCTION("""COMPUTED_VALUE"""),58.91150839940731)</f>
        <v>58.9115084</v>
      </c>
      <c r="G573" s="38">
        <f>IFERROR(__xludf.DUMMYFUNCTION("""COMPUTED_VALUE"""),54.7814100368658)</f>
        <v>54.78141004</v>
      </c>
      <c r="H573" s="38">
        <f>IFERROR(__xludf.DUMMYFUNCTION("""COMPUTED_VALUE"""),56.84645921813656)</f>
        <v>56.84645922</v>
      </c>
      <c r="I573" s="14">
        <f>IFERROR(__xludf.DUMMYFUNCTION("""COMPUTED_VALUE"""),35.0)</f>
        <v>35</v>
      </c>
      <c r="J573" s="11">
        <f>IFERROR(__xludf.DUMMYFUNCTION("IFERROR(FILTER(Stats!$F:$Z,(Stats!$A:$A=$A573)*(Stats!$B:$B=$B573)))"),14.0)</f>
        <v>14</v>
      </c>
      <c r="K573" s="11">
        <f>IFERROR(__xludf.DUMMYFUNCTION("""COMPUTED_VALUE"""),21.0)</f>
        <v>21</v>
      </c>
      <c r="L573" s="12">
        <f>IFERROR(__xludf.DUMMYFUNCTION("""COMPUTED_VALUE"""),0.4)</f>
        <v>0.4</v>
      </c>
      <c r="M573" s="11">
        <f>IFERROR(__xludf.DUMMYFUNCTION("""COMPUTED_VALUE"""),7.0)</f>
        <v>7</v>
      </c>
      <c r="N573" s="11">
        <f>IFERROR(__xludf.DUMMYFUNCTION("""COMPUTED_VALUE"""),12524.0)</f>
        <v>12524</v>
      </c>
      <c r="O573" s="13">
        <f>IFERROR(__xludf.DUMMYFUNCTION("""COMPUTED_VALUE"""),25.0)</f>
        <v>25</v>
      </c>
      <c r="P573" s="14">
        <f>IFERROR(__xludf.DUMMYFUNCTION("""COMPUTED_VALUE"""),22.0)</f>
        <v>22</v>
      </c>
      <c r="Q573" s="13">
        <f>IFERROR(__xludf.DUMMYFUNCTION("""COMPUTED_VALUE"""),53.0)</f>
        <v>53</v>
      </c>
      <c r="R573" s="13">
        <f>IFERROR(__xludf.DUMMYFUNCTION("""COMPUTED_VALUE"""),79.0)</f>
        <v>79</v>
      </c>
      <c r="S573" s="15">
        <f>IFERROR(__xludf.DUMMYFUNCTION("""COMPUTED_VALUE"""),0.31645569620253167)</f>
        <v>0.3164556962</v>
      </c>
      <c r="T573" s="16">
        <f>IFERROR(__xludf.DUMMYFUNCTION("""COMPUTED_VALUE"""),357.8285714285714)</f>
        <v>357.8285714</v>
      </c>
      <c r="U573" s="16">
        <f>IFERROR(__xludf.DUMMYFUNCTION("""COMPUTED_VALUE"""),0.7142857142857143)</f>
        <v>0.7142857143</v>
      </c>
      <c r="V573" s="16">
        <f>IFERROR(__xludf.DUMMYFUNCTION("""COMPUTED_VALUE"""),0.6285714285714286)</f>
        <v>0.6285714286</v>
      </c>
      <c r="W573" s="16">
        <f>IFERROR(__xludf.DUMMYFUNCTION("""COMPUTED_VALUE"""),1.5142857142857142)</f>
        <v>1.514285714</v>
      </c>
      <c r="X573" s="16">
        <f>IFERROR(__xludf.DUMMYFUNCTION("""COMPUTED_VALUE"""),2.257142857142857)</f>
        <v>2.257142857</v>
      </c>
      <c r="Y573" s="11">
        <f>IFERROR(__xludf.DUMMYFUNCTION("""COMPUTED_VALUE"""),8.0)</f>
        <v>8</v>
      </c>
      <c r="Z573" s="11">
        <f>IFERROR(__xludf.DUMMYFUNCTION("""COMPUTED_VALUE"""),1.0)</f>
        <v>1</v>
      </c>
      <c r="AA573" s="11">
        <f>IFERROR(__xludf.DUMMYFUNCTION("""COMPUTED_VALUE"""),0.0)</f>
        <v>0</v>
      </c>
      <c r="AB573" s="11">
        <f>IFERROR(__xludf.DUMMYFUNCTION("""COMPUTED_VALUE"""),9.0)</f>
        <v>9</v>
      </c>
      <c r="AC573" s="11">
        <f>IFERROR(__xludf.DUMMYFUNCTION("""COMPUTED_VALUE"""),27.0)</f>
        <v>27</v>
      </c>
      <c r="AD573" s="11">
        <f>IFERROR(__xludf.DUMMYFUNCTION("""COMPUTED_VALUE"""),26.0)</f>
        <v>26</v>
      </c>
    </row>
    <row r="574">
      <c r="A574" s="10" t="str">
        <f>IFERROR(__xludf.DUMMYFUNCTION("""COMPUTED_VALUE"""),"Rival")</f>
        <v>Rival</v>
      </c>
      <c r="B574" s="10" t="str">
        <f>IFERROR(__xludf.DUMMYFUNCTION("""COMPUTED_VALUE"""),"RSC008191")</f>
        <v>RSC008191</v>
      </c>
      <c r="C574" s="10" t="str">
        <f>IFERROR(__xludf.DUMMYFUNCTION("""COMPUTED_VALUE"""),"Crowbar7570")</f>
        <v>Crowbar7570</v>
      </c>
      <c r="D574" s="36" t="str">
        <f>IFERROR(__xludf.DUMMYFUNCTION("""COMPUTED_VALUE"""),"Guards")</f>
        <v>Guards</v>
      </c>
      <c r="E574" s="10" t="str">
        <f>IFERROR(__xludf.DUMMYFUNCTION("""COMPUTED_VALUE"""),"Lunar")</f>
        <v>Lunar</v>
      </c>
      <c r="F574" s="37">
        <f>IFERROR(__xludf.DUMMYFUNCTION("""COMPUTED_VALUE"""),57.88462574620497)</f>
        <v>57.88462575</v>
      </c>
      <c r="G574" s="38">
        <f>IFERROR(__xludf.DUMMYFUNCTION("""COMPUTED_VALUE"""),55.758437526420245)</f>
        <v>55.75843753</v>
      </c>
      <c r="H574" s="38">
        <f>IFERROR(__xludf.DUMMYFUNCTION("""COMPUTED_VALUE"""),56.821531636312606)</f>
        <v>56.82153164</v>
      </c>
      <c r="I574" s="14">
        <f>IFERROR(__xludf.DUMMYFUNCTION("""COMPUTED_VALUE"""),43.0)</f>
        <v>43</v>
      </c>
      <c r="J574" s="11">
        <f>IFERROR(__xludf.DUMMYFUNCTION("IFERROR(FILTER(Stats!$F:$Z,(Stats!$A:$A=$A574)*(Stats!$B:$B=$B574)))"),19.0)</f>
        <v>19</v>
      </c>
      <c r="K574" s="11">
        <f>IFERROR(__xludf.DUMMYFUNCTION("""COMPUTED_VALUE"""),24.0)</f>
        <v>24</v>
      </c>
      <c r="L574" s="12">
        <f>IFERROR(__xludf.DUMMYFUNCTION("""COMPUTED_VALUE"""),0.4418604651162791)</f>
        <v>0.4418604651</v>
      </c>
      <c r="M574" s="11">
        <f>IFERROR(__xludf.DUMMYFUNCTION("""COMPUTED_VALUE"""),6.0)</f>
        <v>6</v>
      </c>
      <c r="N574" s="11">
        <f>IFERROR(__xludf.DUMMYFUNCTION("""COMPUTED_VALUE"""),14951.0)</f>
        <v>14951</v>
      </c>
      <c r="O574" s="13">
        <f>IFERROR(__xludf.DUMMYFUNCTION("""COMPUTED_VALUE"""),36.0)</f>
        <v>36</v>
      </c>
      <c r="P574" s="14">
        <f>IFERROR(__xludf.DUMMYFUNCTION("""COMPUTED_VALUE"""),22.0)</f>
        <v>22</v>
      </c>
      <c r="Q574" s="13">
        <f>IFERROR(__xludf.DUMMYFUNCTION("""COMPUTED_VALUE"""),48.0)</f>
        <v>48</v>
      </c>
      <c r="R574" s="13">
        <f>IFERROR(__xludf.DUMMYFUNCTION("""COMPUTED_VALUE"""),108.0)</f>
        <v>108</v>
      </c>
      <c r="S574" s="15">
        <f>IFERROR(__xludf.DUMMYFUNCTION("""COMPUTED_VALUE"""),0.3333333333333333)</f>
        <v>0.3333333333</v>
      </c>
      <c r="T574" s="16">
        <f>IFERROR(__xludf.DUMMYFUNCTION("""COMPUTED_VALUE"""),347.69767441860466)</f>
        <v>347.6976744</v>
      </c>
      <c r="U574" s="16">
        <f>IFERROR(__xludf.DUMMYFUNCTION("""COMPUTED_VALUE"""),0.8372093023255814)</f>
        <v>0.8372093023</v>
      </c>
      <c r="V574" s="16">
        <f>IFERROR(__xludf.DUMMYFUNCTION("""COMPUTED_VALUE"""),0.5116279069767442)</f>
        <v>0.511627907</v>
      </c>
      <c r="W574" s="16">
        <f>IFERROR(__xludf.DUMMYFUNCTION("""COMPUTED_VALUE"""),1.1162790697674418)</f>
        <v>1.11627907</v>
      </c>
      <c r="X574" s="16">
        <f>IFERROR(__xludf.DUMMYFUNCTION("""COMPUTED_VALUE"""),2.511627906976744)</f>
        <v>2.511627907</v>
      </c>
      <c r="Y574" s="11">
        <f>IFERROR(__xludf.DUMMYFUNCTION("""COMPUTED_VALUE"""),8.0)</f>
        <v>8</v>
      </c>
      <c r="Z574" s="11">
        <f>IFERROR(__xludf.DUMMYFUNCTION("""COMPUTED_VALUE"""),3.0)</f>
        <v>3</v>
      </c>
      <c r="AA574" s="11">
        <f>IFERROR(__xludf.DUMMYFUNCTION("""COMPUTED_VALUE"""),2.0)</f>
        <v>2</v>
      </c>
      <c r="AB574" s="11">
        <f>IFERROR(__xludf.DUMMYFUNCTION("""COMPUTED_VALUE"""),5.0)</f>
        <v>5</v>
      </c>
      <c r="AC574" s="11">
        <f>IFERROR(__xludf.DUMMYFUNCTION("""COMPUTED_VALUE"""),37.0)</f>
        <v>37</v>
      </c>
      <c r="AD574" s="11">
        <f>IFERROR(__xludf.DUMMYFUNCTION("""COMPUTED_VALUE"""),40.0)</f>
        <v>40</v>
      </c>
    </row>
    <row r="575">
      <c r="A575" s="10" t="str">
        <f>IFERROR(__xludf.DUMMYFUNCTION("""COMPUTED_VALUE"""),"Rival")</f>
        <v>Rival</v>
      </c>
      <c r="B575" s="10" t="str">
        <f>IFERROR(__xludf.DUMMYFUNCTION("""COMPUTED_VALUE"""),"RSC007624")</f>
        <v>RSC007624</v>
      </c>
      <c r="C575" s="10" t="str">
        <f>IFERROR(__xludf.DUMMYFUNCTION("""COMPUTED_VALUE"""),"Extended")</f>
        <v>Extended</v>
      </c>
      <c r="D575" s="36" t="str">
        <f>IFERROR(__xludf.DUMMYFUNCTION("""COMPUTED_VALUE"""),"Heavy Metal
Primo")</f>
        <v>Heavy Metal
Primo</v>
      </c>
      <c r="E575" s="10" t="str">
        <f>IFERROR(__xludf.DUMMYFUNCTION("""COMPUTED_VALUE"""),"Lunar
Solar")</f>
        <v>Lunar
Solar</v>
      </c>
      <c r="F575" s="37">
        <f>IFERROR(__xludf.DUMMYFUNCTION("""COMPUTED_VALUE"""),55.53856510282033)</f>
        <v>55.5385651</v>
      </c>
      <c r="G575" s="38">
        <f>IFERROR(__xludf.DUMMYFUNCTION("""COMPUTED_VALUE"""),57.85620695450789)</f>
        <v>57.85620695</v>
      </c>
      <c r="H575" s="38">
        <f>IFERROR(__xludf.DUMMYFUNCTION("""COMPUTED_VALUE"""),56.69738602866411)</f>
        <v>56.69738603</v>
      </c>
      <c r="I575" s="14">
        <f>IFERROR(__xludf.DUMMYFUNCTION("""COMPUTED_VALUE"""),31.0)</f>
        <v>31</v>
      </c>
      <c r="J575" s="11">
        <f>IFERROR(__xludf.DUMMYFUNCTION("IFERROR(FILTER(Stats!$F:$Z,(Stats!$A:$A=$A575)*(Stats!$B:$B=$B575)))"),17.0)</f>
        <v>17</v>
      </c>
      <c r="K575" s="11">
        <f>IFERROR(__xludf.DUMMYFUNCTION("""COMPUTED_VALUE"""),14.0)</f>
        <v>14</v>
      </c>
      <c r="L575" s="12">
        <f>IFERROR(__xludf.DUMMYFUNCTION("""COMPUTED_VALUE"""),0.5483870967741935)</f>
        <v>0.5483870968</v>
      </c>
      <c r="M575" s="11">
        <f>IFERROR(__xludf.DUMMYFUNCTION("""COMPUTED_VALUE"""),4.0)</f>
        <v>4</v>
      </c>
      <c r="N575" s="11">
        <f>IFERROR(__xludf.DUMMYFUNCTION("""COMPUTED_VALUE"""),9975.0)</f>
        <v>9975</v>
      </c>
      <c r="O575" s="13">
        <f>IFERROR(__xludf.DUMMYFUNCTION("""COMPUTED_VALUE"""),25.0)</f>
        <v>25</v>
      </c>
      <c r="P575" s="14">
        <f>IFERROR(__xludf.DUMMYFUNCTION("""COMPUTED_VALUE"""),17.0)</f>
        <v>17</v>
      </c>
      <c r="Q575" s="13">
        <f>IFERROR(__xludf.DUMMYFUNCTION("""COMPUTED_VALUE"""),27.0)</f>
        <v>27</v>
      </c>
      <c r="R575" s="13">
        <f>IFERROR(__xludf.DUMMYFUNCTION("""COMPUTED_VALUE"""),86.0)</f>
        <v>86</v>
      </c>
      <c r="S575" s="15">
        <f>IFERROR(__xludf.DUMMYFUNCTION("""COMPUTED_VALUE"""),0.29069767441860467)</f>
        <v>0.2906976744</v>
      </c>
      <c r="T575" s="16">
        <f>IFERROR(__xludf.DUMMYFUNCTION("""COMPUTED_VALUE"""),321.7741935483871)</f>
        <v>321.7741935</v>
      </c>
      <c r="U575" s="16">
        <f>IFERROR(__xludf.DUMMYFUNCTION("""COMPUTED_VALUE"""),0.8064516129032258)</f>
        <v>0.8064516129</v>
      </c>
      <c r="V575" s="16">
        <f>IFERROR(__xludf.DUMMYFUNCTION("""COMPUTED_VALUE"""),0.5483870967741935)</f>
        <v>0.5483870968</v>
      </c>
      <c r="W575" s="16">
        <f>IFERROR(__xludf.DUMMYFUNCTION("""COMPUTED_VALUE"""),0.8709677419354839)</f>
        <v>0.8709677419</v>
      </c>
      <c r="X575" s="16">
        <f>IFERROR(__xludf.DUMMYFUNCTION("""COMPUTED_VALUE"""),2.774193548387097)</f>
        <v>2.774193548</v>
      </c>
      <c r="Y575" s="11">
        <f>IFERROR(__xludf.DUMMYFUNCTION("""COMPUTED_VALUE"""),6.0)</f>
        <v>6</v>
      </c>
      <c r="Z575" s="11">
        <f>IFERROR(__xludf.DUMMYFUNCTION("""COMPUTED_VALUE"""),2.0)</f>
        <v>2</v>
      </c>
      <c r="AA575" s="11">
        <f>IFERROR(__xludf.DUMMYFUNCTION("""COMPUTED_VALUE"""),0.0)</f>
        <v>0</v>
      </c>
      <c r="AB575" s="11">
        <f>IFERROR(__xludf.DUMMYFUNCTION("""COMPUTED_VALUE"""),1.0)</f>
        <v>1</v>
      </c>
      <c r="AC575" s="11">
        <f>IFERROR(__xludf.DUMMYFUNCTION("""COMPUTED_VALUE"""),30.0)</f>
        <v>30</v>
      </c>
      <c r="AD575" s="11">
        <f>IFERROR(__xludf.DUMMYFUNCTION("""COMPUTED_VALUE"""),37.0)</f>
        <v>37</v>
      </c>
    </row>
    <row r="576">
      <c r="A576" s="10" t="str">
        <f>IFERROR(__xludf.DUMMYFUNCTION("""COMPUTED_VALUE"""),"Rival")</f>
        <v>Rival</v>
      </c>
      <c r="B576" s="10" t="str">
        <f>IFERROR(__xludf.DUMMYFUNCTION("""COMPUTED_VALUE"""),"RSC006072")</f>
        <v>RSC006072</v>
      </c>
      <c r="C576" s="10" t="str">
        <f>IFERROR(__xludf.DUMMYFUNCTION("""COMPUTED_VALUE"""),"AveX InceptionZ")</f>
        <v>AveX InceptionZ</v>
      </c>
      <c r="D576" s="36" t="str">
        <f>IFERROR(__xludf.DUMMYFUNCTION("""COMPUTED_VALUE"""),"Kitsune")</f>
        <v>Kitsune</v>
      </c>
      <c r="E576" s="10" t="str">
        <f>IFERROR(__xludf.DUMMYFUNCTION("""COMPUTED_VALUE"""),"Solar")</f>
        <v>Solar</v>
      </c>
      <c r="F576" s="37">
        <f>IFERROR(__xludf.DUMMYFUNCTION("""COMPUTED_VALUE"""),60.11291081270869)</f>
        <v>60.11291081</v>
      </c>
      <c r="G576" s="38">
        <f>IFERROR(__xludf.DUMMYFUNCTION("""COMPUTED_VALUE"""),53.271232713048896)</f>
        <v>53.27123271</v>
      </c>
      <c r="H576" s="38">
        <f>IFERROR(__xludf.DUMMYFUNCTION("""COMPUTED_VALUE"""),56.6920717628788)</f>
        <v>56.69207176</v>
      </c>
      <c r="I576" s="14">
        <f>IFERROR(__xludf.DUMMYFUNCTION("""COMPUTED_VALUE"""),48.0)</f>
        <v>48</v>
      </c>
      <c r="J576" s="11">
        <f>IFERROR(__xludf.DUMMYFUNCTION("IFERROR(FILTER(Stats!$F:$Z,(Stats!$A:$A=$A576)*(Stats!$B:$B=$B576)))"),24.0)</f>
        <v>24</v>
      </c>
      <c r="K576" s="11">
        <f>IFERROR(__xludf.DUMMYFUNCTION("""COMPUTED_VALUE"""),24.0)</f>
        <v>24</v>
      </c>
      <c r="L576" s="12">
        <f>IFERROR(__xludf.DUMMYFUNCTION("""COMPUTED_VALUE"""),0.5)</f>
        <v>0.5</v>
      </c>
      <c r="M576" s="11">
        <f>IFERROR(__xludf.DUMMYFUNCTION("""COMPUTED_VALUE"""),9.0)</f>
        <v>9</v>
      </c>
      <c r="N576" s="11">
        <f>IFERROR(__xludf.DUMMYFUNCTION("""COMPUTED_VALUE"""),16193.0)</f>
        <v>16193</v>
      </c>
      <c r="O576" s="13">
        <f>IFERROR(__xludf.DUMMYFUNCTION("""COMPUTED_VALUE"""),26.0)</f>
        <v>26</v>
      </c>
      <c r="P576" s="14">
        <f>IFERROR(__xludf.DUMMYFUNCTION("""COMPUTED_VALUE"""),29.0)</f>
        <v>29</v>
      </c>
      <c r="Q576" s="13">
        <f>IFERROR(__xludf.DUMMYFUNCTION("""COMPUTED_VALUE"""),71.0)</f>
        <v>71</v>
      </c>
      <c r="R576" s="13">
        <f>IFERROR(__xludf.DUMMYFUNCTION("""COMPUTED_VALUE"""),129.0)</f>
        <v>129</v>
      </c>
      <c r="S576" s="15">
        <f>IFERROR(__xludf.DUMMYFUNCTION("""COMPUTED_VALUE"""),0.20155038759689922)</f>
        <v>0.2015503876</v>
      </c>
      <c r="T576" s="16">
        <f>IFERROR(__xludf.DUMMYFUNCTION("""COMPUTED_VALUE"""),337.3541666666667)</f>
        <v>337.3541667</v>
      </c>
      <c r="U576" s="16">
        <f>IFERROR(__xludf.DUMMYFUNCTION("""COMPUTED_VALUE"""),0.5416666666666666)</f>
        <v>0.5416666667</v>
      </c>
      <c r="V576" s="16">
        <f>IFERROR(__xludf.DUMMYFUNCTION("""COMPUTED_VALUE"""),0.6041666666666666)</f>
        <v>0.6041666667</v>
      </c>
      <c r="W576" s="16">
        <f>IFERROR(__xludf.DUMMYFUNCTION("""COMPUTED_VALUE"""),1.4791666666666667)</f>
        <v>1.479166667</v>
      </c>
      <c r="X576" s="16">
        <f>IFERROR(__xludf.DUMMYFUNCTION("""COMPUTED_VALUE"""),2.6875)</f>
        <v>2.6875</v>
      </c>
      <c r="Y576" s="11">
        <f>IFERROR(__xludf.DUMMYFUNCTION("""COMPUTED_VALUE"""),10.0)</f>
        <v>10</v>
      </c>
      <c r="Z576" s="11">
        <f>IFERROR(__xludf.DUMMYFUNCTION("""COMPUTED_VALUE"""),1.0)</f>
        <v>1</v>
      </c>
      <c r="AA576" s="11">
        <f>IFERROR(__xludf.DUMMYFUNCTION("""COMPUTED_VALUE"""),1.0)</f>
        <v>1</v>
      </c>
      <c r="AB576" s="11">
        <f>IFERROR(__xludf.DUMMYFUNCTION("""COMPUTED_VALUE"""),10.0)</f>
        <v>10</v>
      </c>
      <c r="AC576" s="11">
        <f>IFERROR(__xludf.DUMMYFUNCTION("""COMPUTED_VALUE"""),52.0)</f>
        <v>52</v>
      </c>
      <c r="AD576" s="11">
        <f>IFERROR(__xludf.DUMMYFUNCTION("""COMPUTED_VALUE"""),43.0)</f>
        <v>43</v>
      </c>
    </row>
    <row r="577">
      <c r="A577" s="10" t="str">
        <f>IFERROR(__xludf.DUMMYFUNCTION("""COMPUTED_VALUE"""),"Rival")</f>
        <v>Rival</v>
      </c>
      <c r="B577" s="10" t="str">
        <f>IFERROR(__xludf.DUMMYFUNCTION("""COMPUTED_VALUE"""),"RSC005978")</f>
        <v>RSC005978</v>
      </c>
      <c r="C577" s="10" t="str">
        <f>IFERROR(__xludf.DUMMYFUNCTION("""COMPUTED_VALUE"""),"Xdraco0")</f>
        <v>Xdraco0</v>
      </c>
      <c r="D577" s="36" t="str">
        <f>IFERROR(__xludf.DUMMYFUNCTION("""COMPUTED_VALUE"""),"Purrgatory")</f>
        <v>Purrgatory</v>
      </c>
      <c r="E577" s="10" t="str">
        <f>IFERROR(__xludf.DUMMYFUNCTION("""COMPUTED_VALUE"""),"Solar")</f>
        <v>Solar</v>
      </c>
      <c r="F577" s="37">
        <f>IFERROR(__xludf.DUMMYFUNCTION("""COMPUTED_VALUE"""),52.790690556543495)</f>
        <v>52.79069056</v>
      </c>
      <c r="G577" s="38">
        <f>IFERROR(__xludf.DUMMYFUNCTION("""COMPUTED_VALUE"""),60.39508209467989)</f>
        <v>60.39508209</v>
      </c>
      <c r="H577" s="38">
        <f>IFERROR(__xludf.DUMMYFUNCTION("""COMPUTED_VALUE"""),56.592886325611694)</f>
        <v>56.59288633</v>
      </c>
      <c r="I577" s="14">
        <f>IFERROR(__xludf.DUMMYFUNCTION("""COMPUTED_VALUE"""),47.0)</f>
        <v>47</v>
      </c>
      <c r="J577" s="11">
        <f>IFERROR(__xludf.DUMMYFUNCTION("IFERROR(FILTER(Stats!$F:$Z,(Stats!$A:$A=$A577)*(Stats!$B:$B=$B577)))"),26.0)</f>
        <v>26</v>
      </c>
      <c r="K577" s="11">
        <f>IFERROR(__xludf.DUMMYFUNCTION("""COMPUTED_VALUE"""),21.0)</f>
        <v>21</v>
      </c>
      <c r="L577" s="12">
        <f>IFERROR(__xludf.DUMMYFUNCTION("""COMPUTED_VALUE"""),0.5531914893617021)</f>
        <v>0.5531914894</v>
      </c>
      <c r="M577" s="11">
        <f>IFERROR(__xludf.DUMMYFUNCTION("""COMPUTED_VALUE"""),15.0)</f>
        <v>15</v>
      </c>
      <c r="N577" s="11">
        <f>IFERROR(__xludf.DUMMYFUNCTION("""COMPUTED_VALUE"""),16310.0)</f>
        <v>16310</v>
      </c>
      <c r="O577" s="13">
        <f>IFERROR(__xludf.DUMMYFUNCTION("""COMPUTED_VALUE"""),43.0)</f>
        <v>43</v>
      </c>
      <c r="P577" s="14">
        <f>IFERROR(__xludf.DUMMYFUNCTION("""COMPUTED_VALUE"""),23.0)</f>
        <v>23</v>
      </c>
      <c r="Q577" s="13">
        <f>IFERROR(__xludf.DUMMYFUNCTION("""COMPUTED_VALUE"""),58.0)</f>
        <v>58</v>
      </c>
      <c r="R577" s="13">
        <f>IFERROR(__xludf.DUMMYFUNCTION("""COMPUTED_VALUE"""),133.0)</f>
        <v>133</v>
      </c>
      <c r="S577" s="15">
        <f>IFERROR(__xludf.DUMMYFUNCTION("""COMPUTED_VALUE"""),0.3233082706766917)</f>
        <v>0.3233082707</v>
      </c>
      <c r="T577" s="16">
        <f>IFERROR(__xludf.DUMMYFUNCTION("""COMPUTED_VALUE"""),347.02127659574467)</f>
        <v>347.0212766</v>
      </c>
      <c r="U577" s="16">
        <f>IFERROR(__xludf.DUMMYFUNCTION("""COMPUTED_VALUE"""),0.9148936170212766)</f>
        <v>0.914893617</v>
      </c>
      <c r="V577" s="16">
        <f>IFERROR(__xludf.DUMMYFUNCTION("""COMPUTED_VALUE"""),0.48936170212765956)</f>
        <v>0.4893617021</v>
      </c>
      <c r="W577" s="16">
        <f>IFERROR(__xludf.DUMMYFUNCTION("""COMPUTED_VALUE"""),1.2340425531914894)</f>
        <v>1.234042553</v>
      </c>
      <c r="X577" s="16">
        <f>IFERROR(__xludf.DUMMYFUNCTION("""COMPUTED_VALUE"""),2.8297872340425534)</f>
        <v>2.829787234</v>
      </c>
      <c r="Y577" s="11">
        <f>IFERROR(__xludf.DUMMYFUNCTION("""COMPUTED_VALUE"""),7.0)</f>
        <v>7</v>
      </c>
      <c r="Z577" s="11">
        <f>IFERROR(__xludf.DUMMYFUNCTION("""COMPUTED_VALUE"""),5.0)</f>
        <v>5</v>
      </c>
      <c r="AA577" s="11">
        <f>IFERROR(__xludf.DUMMYFUNCTION("""COMPUTED_VALUE"""),0.0)</f>
        <v>0</v>
      </c>
      <c r="AB577" s="11">
        <f>IFERROR(__xludf.DUMMYFUNCTION("""COMPUTED_VALUE"""),8.0)</f>
        <v>8</v>
      </c>
      <c r="AC577" s="11">
        <f>IFERROR(__xludf.DUMMYFUNCTION("""COMPUTED_VALUE"""),47.0)</f>
        <v>47</v>
      </c>
      <c r="AD577" s="11">
        <f>IFERROR(__xludf.DUMMYFUNCTION("""COMPUTED_VALUE"""),40.0)</f>
        <v>40</v>
      </c>
    </row>
    <row r="578">
      <c r="A578" s="10" t="str">
        <f>IFERROR(__xludf.DUMMYFUNCTION("""COMPUTED_VALUE"""),"Rival")</f>
        <v>Rival</v>
      </c>
      <c r="B578" s="10" t="str">
        <f>IFERROR(__xludf.DUMMYFUNCTION("""COMPUTED_VALUE"""),"RSC008119")</f>
        <v>RSC008119</v>
      </c>
      <c r="C578" s="10" t="str">
        <f>IFERROR(__xludf.DUMMYFUNCTION("""COMPUTED_VALUE"""),"SlimmySlimReaper")</f>
        <v>SlimmySlimReaper</v>
      </c>
      <c r="D578" s="36" t="str">
        <f>IFERROR(__xludf.DUMMYFUNCTION("""COMPUTED_VALUE"""),"Tax Evaders
Black Ice
Barracudas
Liars")</f>
        <v>Tax Evaders
Black Ice
Barracudas
Liars</v>
      </c>
      <c r="E578" s="10" t="str">
        <f>IFERROR(__xludf.DUMMYFUNCTION("""COMPUTED_VALUE"""),"Lunar
Solar
Lunar
Solar")</f>
        <v>Lunar
Solar
Lunar
Solar</v>
      </c>
      <c r="F578" s="37">
        <f>IFERROR(__xludf.DUMMYFUNCTION("""COMPUTED_VALUE"""),58.733612049473706)</f>
        <v>58.73361205</v>
      </c>
      <c r="G578" s="38">
        <f>IFERROR(__xludf.DUMMYFUNCTION("""COMPUTED_VALUE"""),54.428584824272164)</f>
        <v>54.42858482</v>
      </c>
      <c r="H578" s="38">
        <f>IFERROR(__xludf.DUMMYFUNCTION("""COMPUTED_VALUE"""),56.581098436872935)</f>
        <v>56.58109844</v>
      </c>
      <c r="I578" s="14">
        <f>IFERROR(__xludf.DUMMYFUNCTION("""COMPUTED_VALUE"""),16.0)</f>
        <v>16</v>
      </c>
      <c r="J578" s="11">
        <f>IFERROR(__xludf.DUMMYFUNCTION("IFERROR(FILTER(Stats!$F:$Z,(Stats!$A:$A=$A578)*(Stats!$B:$B=$B578)))"),7.0)</f>
        <v>7</v>
      </c>
      <c r="K578" s="11">
        <f>IFERROR(__xludf.DUMMYFUNCTION("""COMPUTED_VALUE"""),9.0)</f>
        <v>9</v>
      </c>
      <c r="L578" s="12">
        <f>IFERROR(__xludf.DUMMYFUNCTION("""COMPUTED_VALUE"""),0.4375)</f>
        <v>0.4375</v>
      </c>
      <c r="M578" s="11">
        <f>IFERROR(__xludf.DUMMYFUNCTION("""COMPUTED_VALUE"""),2.0)</f>
        <v>2</v>
      </c>
      <c r="N578" s="11">
        <f>IFERROR(__xludf.DUMMYFUNCTION("""COMPUTED_VALUE"""),5020.0)</f>
        <v>5020</v>
      </c>
      <c r="O578" s="13">
        <f>IFERROR(__xludf.DUMMYFUNCTION("""COMPUTED_VALUE"""),10.0)</f>
        <v>10</v>
      </c>
      <c r="P578" s="14">
        <f>IFERROR(__xludf.DUMMYFUNCTION("""COMPUTED_VALUE"""),8.0)</f>
        <v>8</v>
      </c>
      <c r="Q578" s="13">
        <f>IFERROR(__xludf.DUMMYFUNCTION("""COMPUTED_VALUE"""),20.0)</f>
        <v>20</v>
      </c>
      <c r="R578" s="13">
        <f>IFERROR(__xludf.DUMMYFUNCTION("""COMPUTED_VALUE"""),43.0)</f>
        <v>43</v>
      </c>
      <c r="S578" s="15">
        <f>IFERROR(__xludf.DUMMYFUNCTION("""COMPUTED_VALUE"""),0.23255813953488372)</f>
        <v>0.2325581395</v>
      </c>
      <c r="T578" s="16">
        <f>IFERROR(__xludf.DUMMYFUNCTION("""COMPUTED_VALUE"""),313.75)</f>
        <v>313.75</v>
      </c>
      <c r="U578" s="16">
        <f>IFERROR(__xludf.DUMMYFUNCTION("""COMPUTED_VALUE"""),0.625)</f>
        <v>0.625</v>
      </c>
      <c r="V578" s="16">
        <f>IFERROR(__xludf.DUMMYFUNCTION("""COMPUTED_VALUE"""),0.5)</f>
        <v>0.5</v>
      </c>
      <c r="W578" s="16">
        <f>IFERROR(__xludf.DUMMYFUNCTION("""COMPUTED_VALUE"""),1.25)</f>
        <v>1.25</v>
      </c>
      <c r="X578" s="16">
        <f>IFERROR(__xludf.DUMMYFUNCTION("""COMPUTED_VALUE"""),2.6875)</f>
        <v>2.6875</v>
      </c>
      <c r="Y578" s="11">
        <f>IFERROR(__xludf.DUMMYFUNCTION("""COMPUTED_VALUE"""),1.0)</f>
        <v>1</v>
      </c>
      <c r="Z578" s="11">
        <f>IFERROR(__xludf.DUMMYFUNCTION("""COMPUTED_VALUE"""),1.0)</f>
        <v>1</v>
      </c>
      <c r="AA578" s="11">
        <f>IFERROR(__xludf.DUMMYFUNCTION("""COMPUTED_VALUE"""),0.0)</f>
        <v>0</v>
      </c>
      <c r="AB578" s="11">
        <f>IFERROR(__xludf.DUMMYFUNCTION("""COMPUTED_VALUE"""),2.0)</f>
        <v>2</v>
      </c>
      <c r="AC578" s="11">
        <f>IFERROR(__xludf.DUMMYFUNCTION("""COMPUTED_VALUE"""),22.0)</f>
        <v>22</v>
      </c>
      <c r="AD578" s="11">
        <f>IFERROR(__xludf.DUMMYFUNCTION("""COMPUTED_VALUE"""),10.0)</f>
        <v>10</v>
      </c>
    </row>
    <row r="579">
      <c r="A579" s="10" t="str">
        <f>IFERROR(__xludf.DUMMYFUNCTION("""COMPUTED_VALUE"""),"Rival")</f>
        <v>Rival</v>
      </c>
      <c r="B579" s="10" t="str">
        <f>IFERROR(__xludf.DUMMYFUNCTION("""COMPUTED_VALUE"""),"RSC005827")</f>
        <v>RSC005827</v>
      </c>
      <c r="C579" s="10" t="str">
        <f>IFERROR(__xludf.DUMMYFUNCTION("""COMPUTED_VALUE"""),"Machi")</f>
        <v>Machi</v>
      </c>
      <c r="D579" s="36" t="str">
        <f>IFERROR(__xludf.DUMMYFUNCTION("""COMPUTED_VALUE"""),"Ocelots")</f>
        <v>Ocelots</v>
      </c>
      <c r="E579" s="10" t="str">
        <f>IFERROR(__xludf.DUMMYFUNCTION("""COMPUTED_VALUE"""),"Solar")</f>
        <v>Solar</v>
      </c>
      <c r="F579" s="37">
        <f>IFERROR(__xludf.DUMMYFUNCTION("""COMPUTED_VALUE"""),61.08667875633823)</f>
        <v>61.08667876</v>
      </c>
      <c r="G579" s="38">
        <f>IFERROR(__xludf.DUMMYFUNCTION("""COMPUTED_VALUE"""),51.7284785952007)</f>
        <v>51.7284786</v>
      </c>
      <c r="H579" s="38">
        <f>IFERROR(__xludf.DUMMYFUNCTION("""COMPUTED_VALUE"""),56.407578675769464)</f>
        <v>56.40757868</v>
      </c>
      <c r="I579" s="14">
        <f>IFERROR(__xludf.DUMMYFUNCTION("""COMPUTED_VALUE"""),12.0)</f>
        <v>12</v>
      </c>
      <c r="J579" s="11">
        <f>IFERROR(__xludf.DUMMYFUNCTION("IFERROR(FILTER(Stats!$F:$Z,(Stats!$A:$A=$A579)*(Stats!$B:$B=$B579)))"),4.0)</f>
        <v>4</v>
      </c>
      <c r="K579" s="11">
        <f>IFERROR(__xludf.DUMMYFUNCTION("""COMPUTED_VALUE"""),8.0)</f>
        <v>8</v>
      </c>
      <c r="L579" s="12">
        <f>IFERROR(__xludf.DUMMYFUNCTION("""COMPUTED_VALUE"""),0.3333333333333333)</f>
        <v>0.3333333333</v>
      </c>
      <c r="M579" s="11">
        <f>IFERROR(__xludf.DUMMYFUNCTION("""COMPUTED_VALUE"""),2.0)</f>
        <v>2</v>
      </c>
      <c r="N579" s="11">
        <f>IFERROR(__xludf.DUMMYFUNCTION("""COMPUTED_VALUE"""),4696.0)</f>
        <v>4696</v>
      </c>
      <c r="O579" s="13">
        <f>IFERROR(__xludf.DUMMYFUNCTION("""COMPUTED_VALUE"""),12.0)</f>
        <v>12</v>
      </c>
      <c r="P579" s="14">
        <f>IFERROR(__xludf.DUMMYFUNCTION("""COMPUTED_VALUE"""),5.0)</f>
        <v>5</v>
      </c>
      <c r="Q579" s="13">
        <f>IFERROR(__xludf.DUMMYFUNCTION("""COMPUTED_VALUE"""),19.0)</f>
        <v>19</v>
      </c>
      <c r="R579" s="13">
        <f>IFERROR(__xludf.DUMMYFUNCTION("""COMPUTED_VALUE"""),28.0)</f>
        <v>28</v>
      </c>
      <c r="S579" s="15">
        <f>IFERROR(__xludf.DUMMYFUNCTION("""COMPUTED_VALUE"""),0.42857142857142855)</f>
        <v>0.4285714286</v>
      </c>
      <c r="T579" s="16">
        <f>IFERROR(__xludf.DUMMYFUNCTION("""COMPUTED_VALUE"""),391.3333333333333)</f>
        <v>391.3333333</v>
      </c>
      <c r="U579" s="16">
        <f>IFERROR(__xludf.DUMMYFUNCTION("""COMPUTED_VALUE"""),1.0)</f>
        <v>1</v>
      </c>
      <c r="V579" s="16">
        <f>IFERROR(__xludf.DUMMYFUNCTION("""COMPUTED_VALUE"""),0.4166666666666667)</f>
        <v>0.4166666667</v>
      </c>
      <c r="W579" s="16">
        <f>IFERROR(__xludf.DUMMYFUNCTION("""COMPUTED_VALUE"""),1.5833333333333333)</f>
        <v>1.583333333</v>
      </c>
      <c r="X579" s="16">
        <f>IFERROR(__xludf.DUMMYFUNCTION("""COMPUTED_VALUE"""),2.3333333333333335)</f>
        <v>2.333333333</v>
      </c>
      <c r="Y579" s="11">
        <f>IFERROR(__xludf.DUMMYFUNCTION("""COMPUTED_VALUE"""),4.0)</f>
        <v>4</v>
      </c>
      <c r="Z579" s="11">
        <f>IFERROR(__xludf.DUMMYFUNCTION("""COMPUTED_VALUE"""),1.0)</f>
        <v>1</v>
      </c>
      <c r="AA579" s="11">
        <f>IFERROR(__xludf.DUMMYFUNCTION("""COMPUTED_VALUE"""),0.0)</f>
        <v>0</v>
      </c>
      <c r="AB579" s="11">
        <f>IFERROR(__xludf.DUMMYFUNCTION("""COMPUTED_VALUE"""),3.0)</f>
        <v>3</v>
      </c>
      <c r="AC579" s="11">
        <f>IFERROR(__xludf.DUMMYFUNCTION("""COMPUTED_VALUE"""),12.0)</f>
        <v>12</v>
      </c>
      <c r="AD579" s="11">
        <f>IFERROR(__xludf.DUMMYFUNCTION("""COMPUTED_VALUE"""),12.0)</f>
        <v>12</v>
      </c>
    </row>
    <row r="580">
      <c r="A580" s="10" t="str">
        <f>IFERROR(__xludf.DUMMYFUNCTION("""COMPUTED_VALUE"""),"Rival")</f>
        <v>Rival</v>
      </c>
      <c r="B580" s="10" t="str">
        <f>IFERROR(__xludf.DUMMYFUNCTION("""COMPUTED_VALUE"""),"RSC002809")</f>
        <v>RSC002809</v>
      </c>
      <c r="C580" s="10" t="str">
        <f>IFERROR(__xludf.DUMMYFUNCTION("""COMPUTED_VALUE"""),"bubles")</f>
        <v>bubles</v>
      </c>
      <c r="D580" s="36" t="str">
        <f>IFERROR(__xludf.DUMMYFUNCTION("""COMPUTED_VALUE"""),"Quasars
Liars")</f>
        <v>Quasars
Liars</v>
      </c>
      <c r="E580" s="10" t="str">
        <f>IFERROR(__xludf.DUMMYFUNCTION("""COMPUTED_VALUE"""),"Lunar
Solar")</f>
        <v>Lunar
Solar</v>
      </c>
      <c r="F580" s="37">
        <f>IFERROR(__xludf.DUMMYFUNCTION("""COMPUTED_VALUE"""),55.25611481230821)</f>
        <v>55.25611481</v>
      </c>
      <c r="G580" s="38">
        <f>IFERROR(__xludf.DUMMYFUNCTION("""COMPUTED_VALUE"""),57.30030122379206)</f>
        <v>57.30030122</v>
      </c>
      <c r="H580" s="38">
        <f>IFERROR(__xludf.DUMMYFUNCTION("""COMPUTED_VALUE"""),56.27820801805014)</f>
        <v>56.27820802</v>
      </c>
      <c r="I580" s="14">
        <f>IFERROR(__xludf.DUMMYFUNCTION("""COMPUTED_VALUE"""),43.0)</f>
        <v>43</v>
      </c>
      <c r="J580" s="11">
        <f>IFERROR(__xludf.DUMMYFUNCTION("IFERROR(FILTER(Stats!$F:$Z,(Stats!$A:$A=$A580)*(Stats!$B:$B=$B580)))"),24.0)</f>
        <v>24</v>
      </c>
      <c r="K580" s="11">
        <f>IFERROR(__xludf.DUMMYFUNCTION("""COMPUTED_VALUE"""),19.0)</f>
        <v>19</v>
      </c>
      <c r="L580" s="12">
        <f>IFERROR(__xludf.DUMMYFUNCTION("""COMPUTED_VALUE"""),0.5581395348837209)</f>
        <v>0.5581395349</v>
      </c>
      <c r="M580" s="11">
        <f>IFERROR(__xludf.DUMMYFUNCTION("""COMPUTED_VALUE"""),8.0)</f>
        <v>8</v>
      </c>
      <c r="N580" s="11">
        <f>IFERROR(__xludf.DUMMYFUNCTION("""COMPUTED_VALUE"""),14362.0)</f>
        <v>14362</v>
      </c>
      <c r="O580" s="13">
        <f>IFERROR(__xludf.DUMMYFUNCTION("""COMPUTED_VALUE"""),33.0)</f>
        <v>33</v>
      </c>
      <c r="P580" s="14">
        <f>IFERROR(__xludf.DUMMYFUNCTION("""COMPUTED_VALUE"""),26.0)</f>
        <v>26</v>
      </c>
      <c r="Q580" s="13">
        <f>IFERROR(__xludf.DUMMYFUNCTION("""COMPUTED_VALUE"""),51.0)</f>
        <v>51</v>
      </c>
      <c r="R580" s="13">
        <f>IFERROR(__xludf.DUMMYFUNCTION("""COMPUTED_VALUE"""),96.0)</f>
        <v>96</v>
      </c>
      <c r="S580" s="15">
        <f>IFERROR(__xludf.DUMMYFUNCTION("""COMPUTED_VALUE"""),0.34375)</f>
        <v>0.34375</v>
      </c>
      <c r="T580" s="16">
        <f>IFERROR(__xludf.DUMMYFUNCTION("""COMPUTED_VALUE"""),334.0)</f>
        <v>334</v>
      </c>
      <c r="U580" s="16">
        <f>IFERROR(__xludf.DUMMYFUNCTION("""COMPUTED_VALUE"""),0.7674418604651163)</f>
        <v>0.7674418605</v>
      </c>
      <c r="V580" s="16">
        <f>IFERROR(__xludf.DUMMYFUNCTION("""COMPUTED_VALUE"""),0.6046511627906976)</f>
        <v>0.6046511628</v>
      </c>
      <c r="W580" s="16">
        <f>IFERROR(__xludf.DUMMYFUNCTION("""COMPUTED_VALUE"""),1.186046511627907)</f>
        <v>1.186046512</v>
      </c>
      <c r="X580" s="16">
        <f>IFERROR(__xludf.DUMMYFUNCTION("""COMPUTED_VALUE"""),2.2325581395348837)</f>
        <v>2.23255814</v>
      </c>
      <c r="Y580" s="11">
        <f>IFERROR(__xludf.DUMMYFUNCTION("""COMPUTED_VALUE"""),6.0)</f>
        <v>6</v>
      </c>
      <c r="Z580" s="11">
        <f>IFERROR(__xludf.DUMMYFUNCTION("""COMPUTED_VALUE"""),2.0)</f>
        <v>2</v>
      </c>
      <c r="AA580" s="11">
        <f>IFERROR(__xludf.DUMMYFUNCTION("""COMPUTED_VALUE"""),0.0)</f>
        <v>0</v>
      </c>
      <c r="AB580" s="11">
        <f>IFERROR(__xludf.DUMMYFUNCTION("""COMPUTED_VALUE"""),6.0)</f>
        <v>6</v>
      </c>
      <c r="AC580" s="11">
        <f>IFERROR(__xludf.DUMMYFUNCTION("""COMPUTED_VALUE"""),55.0)</f>
        <v>55</v>
      </c>
      <c r="AD580" s="11">
        <f>IFERROR(__xludf.DUMMYFUNCTION("""COMPUTED_VALUE"""),47.0)</f>
        <v>47</v>
      </c>
    </row>
    <row r="581">
      <c r="A581" s="10" t="str">
        <f>IFERROR(__xludf.DUMMYFUNCTION("""COMPUTED_VALUE"""),"Rival")</f>
        <v>Rival</v>
      </c>
      <c r="B581" s="10" t="str">
        <f>IFERROR(__xludf.DUMMYFUNCTION("""COMPUTED_VALUE"""),"RSC006489")</f>
        <v>RSC006489</v>
      </c>
      <c r="C581" s="10" t="str">
        <f>IFERROR(__xludf.DUMMYFUNCTION("""COMPUTED_VALUE"""),"bayylock")</f>
        <v>bayylock</v>
      </c>
      <c r="D581" s="36" t="str">
        <f>IFERROR(__xludf.DUMMYFUNCTION("""COMPUTED_VALUE"""),"Hot Wings")</f>
        <v>Hot Wings</v>
      </c>
      <c r="E581" s="10" t="str">
        <f>IFERROR(__xludf.DUMMYFUNCTION("""COMPUTED_VALUE"""),"Lunar")</f>
        <v>Lunar</v>
      </c>
      <c r="F581" s="37">
        <f>IFERROR(__xludf.DUMMYFUNCTION("""COMPUTED_VALUE"""),51.379052672432856)</f>
        <v>51.37905267</v>
      </c>
      <c r="G581" s="38">
        <f>IFERROR(__xludf.DUMMYFUNCTION("""COMPUTED_VALUE"""),60.16599458590056)</f>
        <v>60.16599459</v>
      </c>
      <c r="H581" s="38">
        <f>IFERROR(__xludf.DUMMYFUNCTION("""COMPUTED_VALUE"""),55.77252362916671)</f>
        <v>55.77252363</v>
      </c>
      <c r="I581" s="14">
        <f>IFERROR(__xludf.DUMMYFUNCTION("""COMPUTED_VALUE"""),45.0)</f>
        <v>45</v>
      </c>
      <c r="J581" s="11">
        <f>IFERROR(__xludf.DUMMYFUNCTION("IFERROR(FILTER(Stats!$F:$Z,(Stats!$A:$A=$A581)*(Stats!$B:$B=$B581)))"),23.0)</f>
        <v>23</v>
      </c>
      <c r="K581" s="11">
        <f>IFERROR(__xludf.DUMMYFUNCTION("""COMPUTED_VALUE"""),22.0)</f>
        <v>22</v>
      </c>
      <c r="L581" s="12">
        <f>IFERROR(__xludf.DUMMYFUNCTION("""COMPUTED_VALUE"""),0.5111111111111111)</f>
        <v>0.5111111111</v>
      </c>
      <c r="M581" s="11">
        <f>IFERROR(__xludf.DUMMYFUNCTION("""COMPUTED_VALUE"""),4.0)</f>
        <v>4</v>
      </c>
      <c r="N581" s="11">
        <f>IFERROR(__xludf.DUMMYFUNCTION("""COMPUTED_VALUE"""),14488.0)</f>
        <v>14488</v>
      </c>
      <c r="O581" s="13">
        <f>IFERROR(__xludf.DUMMYFUNCTION("""COMPUTED_VALUE"""),36.0)</f>
        <v>36</v>
      </c>
      <c r="P581" s="14">
        <f>IFERROR(__xludf.DUMMYFUNCTION("""COMPUTED_VALUE"""),31.0)</f>
        <v>31</v>
      </c>
      <c r="Q581" s="13">
        <f>IFERROR(__xludf.DUMMYFUNCTION("""COMPUTED_VALUE"""),40.0)</f>
        <v>40</v>
      </c>
      <c r="R581" s="13">
        <f>IFERROR(__xludf.DUMMYFUNCTION("""COMPUTED_VALUE"""),109.0)</f>
        <v>109</v>
      </c>
      <c r="S581" s="15">
        <f>IFERROR(__xludf.DUMMYFUNCTION("""COMPUTED_VALUE"""),0.3302752293577982)</f>
        <v>0.3302752294</v>
      </c>
      <c r="T581" s="16">
        <f>IFERROR(__xludf.DUMMYFUNCTION("""COMPUTED_VALUE"""),321.9555555555556)</f>
        <v>321.9555556</v>
      </c>
      <c r="U581" s="16">
        <f>IFERROR(__xludf.DUMMYFUNCTION("""COMPUTED_VALUE"""),0.8)</f>
        <v>0.8</v>
      </c>
      <c r="V581" s="16">
        <f>IFERROR(__xludf.DUMMYFUNCTION("""COMPUTED_VALUE"""),0.6888888888888889)</f>
        <v>0.6888888889</v>
      </c>
      <c r="W581" s="16">
        <f>IFERROR(__xludf.DUMMYFUNCTION("""COMPUTED_VALUE"""),0.8888888888888888)</f>
        <v>0.8888888889</v>
      </c>
      <c r="X581" s="16">
        <f>IFERROR(__xludf.DUMMYFUNCTION("""COMPUTED_VALUE"""),2.422222222222222)</f>
        <v>2.422222222</v>
      </c>
      <c r="Y581" s="11">
        <f>IFERROR(__xludf.DUMMYFUNCTION("""COMPUTED_VALUE"""),8.0)</f>
        <v>8</v>
      </c>
      <c r="Z581" s="11">
        <f>IFERROR(__xludf.DUMMYFUNCTION("""COMPUTED_VALUE"""),1.0)</f>
        <v>1</v>
      </c>
      <c r="AA581" s="11">
        <f>IFERROR(__xludf.DUMMYFUNCTION("""COMPUTED_VALUE"""),2.0)</f>
        <v>2</v>
      </c>
      <c r="AB581" s="11">
        <f>IFERROR(__xludf.DUMMYFUNCTION("""COMPUTED_VALUE"""),1.0)</f>
        <v>1</v>
      </c>
      <c r="AC581" s="11">
        <f>IFERROR(__xludf.DUMMYFUNCTION("""COMPUTED_VALUE"""),23.0)</f>
        <v>23</v>
      </c>
      <c r="AD581" s="11">
        <f>IFERROR(__xludf.DUMMYFUNCTION("""COMPUTED_VALUE"""),39.0)</f>
        <v>39</v>
      </c>
    </row>
    <row r="582">
      <c r="A582" s="10" t="str">
        <f>IFERROR(__xludf.DUMMYFUNCTION("""COMPUTED_VALUE"""),"Rival")</f>
        <v>Rival</v>
      </c>
      <c r="B582" s="10" t="str">
        <f>IFERROR(__xludf.DUMMYFUNCTION("""COMPUTED_VALUE"""),"RSC008465")</f>
        <v>RSC008465</v>
      </c>
      <c r="C582" s="10" t="str">
        <f>IFERROR(__xludf.DUMMYFUNCTION("""COMPUTED_VALUE"""),"IncorrectTerror")</f>
        <v>IncorrectTerror</v>
      </c>
      <c r="D582" s="36" t="str">
        <f>IFERROR(__xludf.DUMMYFUNCTION("""COMPUTED_VALUE"""),"Wind")</f>
        <v>Wind</v>
      </c>
      <c r="E582" s="10" t="str">
        <f>IFERROR(__xludf.DUMMYFUNCTION("""COMPUTED_VALUE"""),"Solar")</f>
        <v>Solar</v>
      </c>
      <c r="F582" s="37">
        <f>IFERROR(__xludf.DUMMYFUNCTION("""COMPUTED_VALUE"""),54.1629173274305)</f>
        <v>54.16291733</v>
      </c>
      <c r="G582" s="38">
        <f>IFERROR(__xludf.DUMMYFUNCTION("""COMPUTED_VALUE"""),57.11609196681136)</f>
        <v>57.11609197</v>
      </c>
      <c r="H582" s="38">
        <f>IFERROR(__xludf.DUMMYFUNCTION("""COMPUTED_VALUE"""),55.63950464712093)</f>
        <v>55.63950465</v>
      </c>
      <c r="I582" s="14">
        <f>IFERROR(__xludf.DUMMYFUNCTION("""COMPUTED_VALUE"""),46.0)</f>
        <v>46</v>
      </c>
      <c r="J582" s="11">
        <f>IFERROR(__xludf.DUMMYFUNCTION("IFERROR(FILTER(Stats!$F:$Z,(Stats!$A:$A=$A582)*(Stats!$B:$B=$B582)))"),27.0)</f>
        <v>27</v>
      </c>
      <c r="K582" s="11">
        <f>IFERROR(__xludf.DUMMYFUNCTION("""COMPUTED_VALUE"""),19.0)</f>
        <v>19</v>
      </c>
      <c r="L582" s="12">
        <f>IFERROR(__xludf.DUMMYFUNCTION("""COMPUTED_VALUE"""),0.5869565217391305)</f>
        <v>0.5869565217</v>
      </c>
      <c r="M582" s="11">
        <f>IFERROR(__xludf.DUMMYFUNCTION("""COMPUTED_VALUE"""),5.0)</f>
        <v>5</v>
      </c>
      <c r="N582" s="11">
        <f>IFERROR(__xludf.DUMMYFUNCTION("""COMPUTED_VALUE"""),15481.0)</f>
        <v>15481</v>
      </c>
      <c r="O582" s="13">
        <f>IFERROR(__xludf.DUMMYFUNCTION("""COMPUTED_VALUE"""),30.0)</f>
        <v>30</v>
      </c>
      <c r="P582" s="14">
        <f>IFERROR(__xludf.DUMMYFUNCTION("""COMPUTED_VALUE"""),28.0)</f>
        <v>28</v>
      </c>
      <c r="Q582" s="13">
        <f>IFERROR(__xludf.DUMMYFUNCTION("""COMPUTED_VALUE"""),51.0)</f>
        <v>51</v>
      </c>
      <c r="R582" s="13">
        <f>IFERROR(__xludf.DUMMYFUNCTION("""COMPUTED_VALUE"""),130.0)</f>
        <v>130</v>
      </c>
      <c r="S582" s="15">
        <f>IFERROR(__xludf.DUMMYFUNCTION("""COMPUTED_VALUE"""),0.23076923076923078)</f>
        <v>0.2307692308</v>
      </c>
      <c r="T582" s="16">
        <f>IFERROR(__xludf.DUMMYFUNCTION("""COMPUTED_VALUE"""),336.54347826086956)</f>
        <v>336.5434783</v>
      </c>
      <c r="U582" s="16">
        <f>IFERROR(__xludf.DUMMYFUNCTION("""COMPUTED_VALUE"""),0.6521739130434783)</f>
        <v>0.652173913</v>
      </c>
      <c r="V582" s="16">
        <f>IFERROR(__xludf.DUMMYFUNCTION("""COMPUTED_VALUE"""),0.6086956521739131)</f>
        <v>0.6086956522</v>
      </c>
      <c r="W582" s="16">
        <f>IFERROR(__xludf.DUMMYFUNCTION("""COMPUTED_VALUE"""),1.108695652173913)</f>
        <v>1.108695652</v>
      </c>
      <c r="X582" s="16">
        <f>IFERROR(__xludf.DUMMYFUNCTION("""COMPUTED_VALUE"""),2.8260869565217392)</f>
        <v>2.826086957</v>
      </c>
      <c r="Y582" s="11">
        <f>IFERROR(__xludf.DUMMYFUNCTION("""COMPUTED_VALUE"""),4.0)</f>
        <v>4</v>
      </c>
      <c r="Z582" s="11">
        <f>IFERROR(__xludf.DUMMYFUNCTION("""COMPUTED_VALUE"""),0.0)</f>
        <v>0</v>
      </c>
      <c r="AA582" s="11">
        <f>IFERROR(__xludf.DUMMYFUNCTION("""COMPUTED_VALUE"""),0.0)</f>
        <v>0</v>
      </c>
      <c r="AB582" s="11">
        <f>IFERROR(__xludf.DUMMYFUNCTION("""COMPUTED_VALUE"""),5.0)</f>
        <v>5</v>
      </c>
      <c r="AC582" s="11">
        <f>IFERROR(__xludf.DUMMYFUNCTION("""COMPUTED_VALUE"""),35.0)</f>
        <v>35</v>
      </c>
      <c r="AD582" s="11">
        <f>IFERROR(__xludf.DUMMYFUNCTION("""COMPUTED_VALUE"""),43.0)</f>
        <v>43</v>
      </c>
    </row>
    <row r="583">
      <c r="A583" s="10" t="str">
        <f>IFERROR(__xludf.DUMMYFUNCTION("""COMPUTED_VALUE"""),"Rival")</f>
        <v>Rival</v>
      </c>
      <c r="B583" s="10" t="str">
        <f>IFERROR(__xludf.DUMMYFUNCTION("""COMPUTED_VALUE"""),"RSC002960")</f>
        <v>RSC002960</v>
      </c>
      <c r="C583" s="10" t="str">
        <f>IFERROR(__xludf.DUMMYFUNCTION("""COMPUTED_VALUE"""),"Shrek Is The Best Anime")</f>
        <v>Shrek Is The Best Anime</v>
      </c>
      <c r="D583" s="36" t="str">
        <f>IFERROR(__xludf.DUMMYFUNCTION("""COMPUTED_VALUE"""),"Centuriones")</f>
        <v>Centuriones</v>
      </c>
      <c r="E583" s="10" t="str">
        <f>IFERROR(__xludf.DUMMYFUNCTION("""COMPUTED_VALUE"""),"Solar")</f>
        <v>Solar</v>
      </c>
      <c r="F583" s="37">
        <f>IFERROR(__xludf.DUMMYFUNCTION("""COMPUTED_VALUE"""),52.28018033778776)</f>
        <v>52.28018034</v>
      </c>
      <c r="G583" s="38">
        <f>IFERROR(__xludf.DUMMYFUNCTION("""COMPUTED_VALUE"""),58.73627803885504)</f>
        <v>58.73627804</v>
      </c>
      <c r="H583" s="38">
        <f>IFERROR(__xludf.DUMMYFUNCTION("""COMPUTED_VALUE"""),55.5082291883214)</f>
        <v>55.50822919</v>
      </c>
      <c r="I583" s="14">
        <f>IFERROR(__xludf.DUMMYFUNCTION("""COMPUTED_VALUE"""),53.0)</f>
        <v>53</v>
      </c>
      <c r="J583" s="11">
        <f>IFERROR(__xludf.DUMMYFUNCTION("IFERROR(FILTER(Stats!$F:$Z,(Stats!$A:$A=$A583)*(Stats!$B:$B=$B583)))"),34.0)</f>
        <v>34</v>
      </c>
      <c r="K583" s="11">
        <f>IFERROR(__xludf.DUMMYFUNCTION("""COMPUTED_VALUE"""),19.0)</f>
        <v>19</v>
      </c>
      <c r="L583" s="12">
        <f>IFERROR(__xludf.DUMMYFUNCTION("""COMPUTED_VALUE"""),0.6415094339622641)</f>
        <v>0.641509434</v>
      </c>
      <c r="M583" s="11">
        <f>IFERROR(__xludf.DUMMYFUNCTION("""COMPUTED_VALUE"""),7.0)</f>
        <v>7</v>
      </c>
      <c r="N583" s="11">
        <f>IFERROR(__xludf.DUMMYFUNCTION("""COMPUTED_VALUE"""),17882.0)</f>
        <v>17882</v>
      </c>
      <c r="O583" s="13">
        <f>IFERROR(__xludf.DUMMYFUNCTION("""COMPUTED_VALUE"""),36.0)</f>
        <v>36</v>
      </c>
      <c r="P583" s="14">
        <f>IFERROR(__xludf.DUMMYFUNCTION("""COMPUTED_VALUE"""),37.0)</f>
        <v>37</v>
      </c>
      <c r="Q583" s="13">
        <f>IFERROR(__xludf.DUMMYFUNCTION("""COMPUTED_VALUE"""),64.0)</f>
        <v>64</v>
      </c>
      <c r="R583" s="13">
        <f>IFERROR(__xludf.DUMMYFUNCTION("""COMPUTED_VALUE"""),110.0)</f>
        <v>110</v>
      </c>
      <c r="S583" s="15">
        <f>IFERROR(__xludf.DUMMYFUNCTION("""COMPUTED_VALUE"""),0.32727272727272727)</f>
        <v>0.3272727273</v>
      </c>
      <c r="T583" s="16">
        <f>IFERROR(__xludf.DUMMYFUNCTION("""COMPUTED_VALUE"""),337.39622641509436)</f>
        <v>337.3962264</v>
      </c>
      <c r="U583" s="16">
        <f>IFERROR(__xludf.DUMMYFUNCTION("""COMPUTED_VALUE"""),0.6792452830188679)</f>
        <v>0.679245283</v>
      </c>
      <c r="V583" s="16">
        <f>IFERROR(__xludf.DUMMYFUNCTION("""COMPUTED_VALUE"""),0.6981132075471698)</f>
        <v>0.6981132075</v>
      </c>
      <c r="W583" s="16">
        <f>IFERROR(__xludf.DUMMYFUNCTION("""COMPUTED_VALUE"""),1.2075471698113207)</f>
        <v>1.20754717</v>
      </c>
      <c r="X583" s="16">
        <f>IFERROR(__xludf.DUMMYFUNCTION("""COMPUTED_VALUE"""),2.0754716981132075)</f>
        <v>2.075471698</v>
      </c>
      <c r="Y583" s="11">
        <f>IFERROR(__xludf.DUMMYFUNCTION("""COMPUTED_VALUE"""),6.0)</f>
        <v>6</v>
      </c>
      <c r="Z583" s="11">
        <f>IFERROR(__xludf.DUMMYFUNCTION("""COMPUTED_VALUE"""),0.0)</f>
        <v>0</v>
      </c>
      <c r="AA583" s="11">
        <f>IFERROR(__xludf.DUMMYFUNCTION("""COMPUTED_VALUE"""),1.0)</f>
        <v>1</v>
      </c>
      <c r="AB583" s="11">
        <f>IFERROR(__xludf.DUMMYFUNCTION("""COMPUTED_VALUE"""),8.0)</f>
        <v>8</v>
      </c>
      <c r="AC583" s="11">
        <f>IFERROR(__xludf.DUMMYFUNCTION("""COMPUTED_VALUE"""),39.0)</f>
        <v>39</v>
      </c>
      <c r="AD583" s="11">
        <f>IFERROR(__xludf.DUMMYFUNCTION("""COMPUTED_VALUE"""),61.0)</f>
        <v>61</v>
      </c>
    </row>
    <row r="584">
      <c r="A584" s="10" t="str">
        <f>IFERROR(__xludf.DUMMYFUNCTION("""COMPUTED_VALUE"""),"Rival")</f>
        <v>Rival</v>
      </c>
      <c r="B584" s="10" t="str">
        <f>IFERROR(__xludf.DUMMYFUNCTION("""COMPUTED_VALUE"""),"RSC007256")</f>
        <v>RSC007256</v>
      </c>
      <c r="C584" s="10" t="str">
        <f>IFERROR(__xludf.DUMMYFUNCTION("""COMPUTED_VALUE"""),"Destined Odst666")</f>
        <v>Destined Odst666</v>
      </c>
      <c r="D584" s="36" t="str">
        <f>IFERROR(__xludf.DUMMYFUNCTION("""COMPUTED_VALUE"""),"Hot Wings
Lacuna")</f>
        <v>Hot Wings
Lacuna</v>
      </c>
      <c r="E584" s="10" t="str">
        <f>IFERROR(__xludf.DUMMYFUNCTION("""COMPUTED_VALUE"""),"Lunar
Solar")</f>
        <v>Lunar
Solar</v>
      </c>
      <c r="F584" s="37">
        <f>IFERROR(__xludf.DUMMYFUNCTION("""COMPUTED_VALUE"""),52.531275806448555)</f>
        <v>52.53127581</v>
      </c>
      <c r="G584" s="38">
        <f>IFERROR(__xludf.DUMMYFUNCTION("""COMPUTED_VALUE"""),57.58687393232053)</f>
        <v>57.58687393</v>
      </c>
      <c r="H584" s="38">
        <f>IFERROR(__xludf.DUMMYFUNCTION("""COMPUTED_VALUE"""),55.059074869384546)</f>
        <v>55.05907487</v>
      </c>
      <c r="I584" s="14">
        <f>IFERROR(__xludf.DUMMYFUNCTION("""COMPUTED_VALUE"""),52.0)</f>
        <v>52</v>
      </c>
      <c r="J584" s="11">
        <f>IFERROR(__xludf.DUMMYFUNCTION("IFERROR(FILTER(Stats!$F:$Z,(Stats!$A:$A=$A584)*(Stats!$B:$B=$B584)))"),30.0)</f>
        <v>30</v>
      </c>
      <c r="K584" s="11">
        <f>IFERROR(__xludf.DUMMYFUNCTION("""COMPUTED_VALUE"""),22.0)</f>
        <v>22</v>
      </c>
      <c r="L584" s="12">
        <f>IFERROR(__xludf.DUMMYFUNCTION("""COMPUTED_VALUE"""),0.5769230769230769)</f>
        <v>0.5769230769</v>
      </c>
      <c r="M584" s="11">
        <f>IFERROR(__xludf.DUMMYFUNCTION("""COMPUTED_VALUE"""),16.0)</f>
        <v>16</v>
      </c>
      <c r="N584" s="11">
        <f>IFERROR(__xludf.DUMMYFUNCTION("""COMPUTED_VALUE"""),18414.0)</f>
        <v>18414</v>
      </c>
      <c r="O584" s="13">
        <f>IFERROR(__xludf.DUMMYFUNCTION("""COMPUTED_VALUE"""),41.0)</f>
        <v>41</v>
      </c>
      <c r="P584" s="14">
        <f>IFERROR(__xludf.DUMMYFUNCTION("""COMPUTED_VALUE"""),25.0)</f>
        <v>25</v>
      </c>
      <c r="Q584" s="13">
        <f>IFERROR(__xludf.DUMMYFUNCTION("""COMPUTED_VALUE"""),68.0)</f>
        <v>68</v>
      </c>
      <c r="R584" s="13">
        <f>IFERROR(__xludf.DUMMYFUNCTION("""COMPUTED_VALUE"""),135.0)</f>
        <v>135</v>
      </c>
      <c r="S584" s="15">
        <f>IFERROR(__xludf.DUMMYFUNCTION("""COMPUTED_VALUE"""),0.3037037037037037)</f>
        <v>0.3037037037</v>
      </c>
      <c r="T584" s="16">
        <f>IFERROR(__xludf.DUMMYFUNCTION("""COMPUTED_VALUE"""),354.11538461538464)</f>
        <v>354.1153846</v>
      </c>
      <c r="U584" s="16">
        <f>IFERROR(__xludf.DUMMYFUNCTION("""COMPUTED_VALUE"""),0.7884615384615384)</f>
        <v>0.7884615385</v>
      </c>
      <c r="V584" s="16">
        <f>IFERROR(__xludf.DUMMYFUNCTION("""COMPUTED_VALUE"""),0.4807692307692308)</f>
        <v>0.4807692308</v>
      </c>
      <c r="W584" s="16">
        <f>IFERROR(__xludf.DUMMYFUNCTION("""COMPUTED_VALUE"""),1.3076923076923077)</f>
        <v>1.307692308</v>
      </c>
      <c r="X584" s="16">
        <f>IFERROR(__xludf.DUMMYFUNCTION("""COMPUTED_VALUE"""),2.5961538461538463)</f>
        <v>2.596153846</v>
      </c>
      <c r="Y584" s="11">
        <f>IFERROR(__xludf.DUMMYFUNCTION("""COMPUTED_VALUE"""),10.0)</f>
        <v>10</v>
      </c>
      <c r="Z584" s="11">
        <f>IFERROR(__xludf.DUMMYFUNCTION("""COMPUTED_VALUE"""),2.0)</f>
        <v>2</v>
      </c>
      <c r="AA584" s="11">
        <f>IFERROR(__xludf.DUMMYFUNCTION("""COMPUTED_VALUE"""),1.0)</f>
        <v>1</v>
      </c>
      <c r="AB584" s="11">
        <f>IFERROR(__xludf.DUMMYFUNCTION("""COMPUTED_VALUE"""),8.0)</f>
        <v>8</v>
      </c>
      <c r="AC584" s="11">
        <f>IFERROR(__xludf.DUMMYFUNCTION("""COMPUTED_VALUE"""),86.0)</f>
        <v>86</v>
      </c>
      <c r="AD584" s="11">
        <f>IFERROR(__xludf.DUMMYFUNCTION("""COMPUTED_VALUE"""),46.0)</f>
        <v>46</v>
      </c>
    </row>
    <row r="585">
      <c r="A585" s="10" t="str">
        <f>IFERROR(__xludf.DUMMYFUNCTION("""COMPUTED_VALUE"""),"Rival")</f>
        <v>Rival</v>
      </c>
      <c r="B585" s="10" t="str">
        <f>IFERROR(__xludf.DUMMYFUNCTION("""COMPUTED_VALUE"""),"RSC008259")</f>
        <v>RSC008259</v>
      </c>
      <c r="C585" s="10" t="str">
        <f>IFERROR(__xludf.DUMMYFUNCTION("""COMPUTED_VALUE"""),"Puma")</f>
        <v>Puma</v>
      </c>
      <c r="D585" s="36" t="str">
        <f>IFERROR(__xludf.DUMMYFUNCTION("""COMPUTED_VALUE"""),"Samurai")</f>
        <v>Samurai</v>
      </c>
      <c r="E585" s="10" t="str">
        <f>IFERROR(__xludf.DUMMYFUNCTION("""COMPUTED_VALUE"""),"Lunar")</f>
        <v>Lunar</v>
      </c>
      <c r="F585" s="37">
        <f>IFERROR(__xludf.DUMMYFUNCTION("""COMPUTED_VALUE"""),52.57341163494043)</f>
        <v>52.57341163</v>
      </c>
      <c r="G585" s="38">
        <f>IFERROR(__xludf.DUMMYFUNCTION("""COMPUTED_VALUE"""),57.123350278300094)</f>
        <v>57.12335028</v>
      </c>
      <c r="H585" s="38">
        <f>IFERROR(__xludf.DUMMYFUNCTION("""COMPUTED_VALUE"""),54.84838095662026)</f>
        <v>54.84838096</v>
      </c>
      <c r="I585" s="14">
        <f>IFERROR(__xludf.DUMMYFUNCTION("""COMPUTED_VALUE"""),39.0)</f>
        <v>39</v>
      </c>
      <c r="J585" s="11">
        <f>IFERROR(__xludf.DUMMYFUNCTION("IFERROR(FILTER(Stats!$F:$Z,(Stats!$A:$A=$A585)*(Stats!$B:$B=$B585)))"),17.0)</f>
        <v>17</v>
      </c>
      <c r="K585" s="11">
        <f>IFERROR(__xludf.DUMMYFUNCTION("""COMPUTED_VALUE"""),22.0)</f>
        <v>22</v>
      </c>
      <c r="L585" s="12">
        <f>IFERROR(__xludf.DUMMYFUNCTION("""COMPUTED_VALUE"""),0.4358974358974359)</f>
        <v>0.4358974359</v>
      </c>
      <c r="M585" s="11">
        <f>IFERROR(__xludf.DUMMYFUNCTION("""COMPUTED_VALUE"""),5.0)</f>
        <v>5</v>
      </c>
      <c r="N585" s="11">
        <f>IFERROR(__xludf.DUMMYFUNCTION("""COMPUTED_VALUE"""),14136.0)</f>
        <v>14136</v>
      </c>
      <c r="O585" s="13">
        <f>IFERROR(__xludf.DUMMYFUNCTION("""COMPUTED_VALUE"""),28.0)</f>
        <v>28</v>
      </c>
      <c r="P585" s="14">
        <f>IFERROR(__xludf.DUMMYFUNCTION("""COMPUTED_VALUE"""),25.0)</f>
        <v>25</v>
      </c>
      <c r="Q585" s="13">
        <f>IFERROR(__xludf.DUMMYFUNCTION("""COMPUTED_VALUE"""),61.0)</f>
        <v>61</v>
      </c>
      <c r="R585" s="13">
        <f>IFERROR(__xludf.DUMMYFUNCTION("""COMPUTED_VALUE"""),106.0)</f>
        <v>106</v>
      </c>
      <c r="S585" s="15">
        <f>IFERROR(__xludf.DUMMYFUNCTION("""COMPUTED_VALUE"""),0.2641509433962264)</f>
        <v>0.2641509434</v>
      </c>
      <c r="T585" s="16">
        <f>IFERROR(__xludf.DUMMYFUNCTION("""COMPUTED_VALUE"""),362.46153846153845)</f>
        <v>362.4615385</v>
      </c>
      <c r="U585" s="16">
        <f>IFERROR(__xludf.DUMMYFUNCTION("""COMPUTED_VALUE"""),0.717948717948718)</f>
        <v>0.7179487179</v>
      </c>
      <c r="V585" s="16">
        <f>IFERROR(__xludf.DUMMYFUNCTION("""COMPUTED_VALUE"""),0.6410256410256411)</f>
        <v>0.641025641</v>
      </c>
      <c r="W585" s="16">
        <f>IFERROR(__xludf.DUMMYFUNCTION("""COMPUTED_VALUE"""),1.564102564102564)</f>
        <v>1.564102564</v>
      </c>
      <c r="X585" s="16">
        <f>IFERROR(__xludf.DUMMYFUNCTION("""COMPUTED_VALUE"""),2.717948717948718)</f>
        <v>2.717948718</v>
      </c>
      <c r="Y585" s="11">
        <f>IFERROR(__xludf.DUMMYFUNCTION("""COMPUTED_VALUE"""),6.0)</f>
        <v>6</v>
      </c>
      <c r="Z585" s="11">
        <f>IFERROR(__xludf.DUMMYFUNCTION("""COMPUTED_VALUE"""),2.0)</f>
        <v>2</v>
      </c>
      <c r="AA585" s="11">
        <f>IFERROR(__xludf.DUMMYFUNCTION("""COMPUTED_VALUE"""),2.0)</f>
        <v>2</v>
      </c>
      <c r="AB585" s="11">
        <f>IFERROR(__xludf.DUMMYFUNCTION("""COMPUTED_VALUE"""),10.0)</f>
        <v>10</v>
      </c>
      <c r="AC585" s="11">
        <f>IFERROR(__xludf.DUMMYFUNCTION("""COMPUTED_VALUE"""),37.0)</f>
        <v>37</v>
      </c>
      <c r="AD585" s="11">
        <f>IFERROR(__xludf.DUMMYFUNCTION("""COMPUTED_VALUE"""),38.0)</f>
        <v>38</v>
      </c>
    </row>
    <row r="586">
      <c r="A586" s="10" t="str">
        <f>IFERROR(__xludf.DUMMYFUNCTION("""COMPUTED_VALUE"""),"Rival")</f>
        <v>Rival</v>
      </c>
      <c r="B586" s="10" t="str">
        <f>IFERROR(__xludf.DUMMYFUNCTION("""COMPUTED_VALUE"""),"RSC005752")</f>
        <v>RSC005752</v>
      </c>
      <c r="C586" s="10" t="str">
        <f>IFERROR(__xludf.DUMMYFUNCTION("""COMPUTED_VALUE"""),"Surge85")</f>
        <v>Surge85</v>
      </c>
      <c r="D586" s="36" t="str">
        <f>IFERROR(__xludf.DUMMYFUNCTION("""COMPUTED_VALUE"""),"Asiago Arsonists
Tax Evaders
Nightfall")</f>
        <v>Asiago Arsonists
Tax Evaders
Nightfall</v>
      </c>
      <c r="E586" s="10" t="str">
        <f>IFERROR(__xludf.DUMMYFUNCTION("""COMPUTED_VALUE"""),"Lunar
Lunar
Lunar")</f>
        <v>Lunar
Lunar
Lunar</v>
      </c>
      <c r="F586" s="37">
        <f>IFERROR(__xludf.DUMMYFUNCTION("""COMPUTED_VALUE"""),62.888780084292165)</f>
        <v>62.88878008</v>
      </c>
      <c r="G586" s="38">
        <f>IFERROR(__xludf.DUMMYFUNCTION("""COMPUTED_VALUE"""),44.78098126161641)</f>
        <v>44.78098126</v>
      </c>
      <c r="H586" s="38">
        <f>IFERROR(__xludf.DUMMYFUNCTION("""COMPUTED_VALUE"""),53.834880672954284)</f>
        <v>53.83488067</v>
      </c>
      <c r="I586" s="14">
        <f>IFERROR(__xludf.DUMMYFUNCTION("""COMPUTED_VALUE"""),52.0)</f>
        <v>52</v>
      </c>
      <c r="J586" s="11">
        <f>IFERROR(__xludf.DUMMYFUNCTION("IFERROR(FILTER(Stats!$F:$Z,(Stats!$A:$A=$A586)*(Stats!$B:$B=$B586)))"),22.0)</f>
        <v>22</v>
      </c>
      <c r="K586" s="11">
        <f>IFERROR(__xludf.DUMMYFUNCTION("""COMPUTED_VALUE"""),30.0)</f>
        <v>30</v>
      </c>
      <c r="L586" s="12">
        <f>IFERROR(__xludf.DUMMYFUNCTION("""COMPUTED_VALUE"""),0.4230769230769231)</f>
        <v>0.4230769231</v>
      </c>
      <c r="M586" s="11">
        <f>IFERROR(__xludf.DUMMYFUNCTION("""COMPUTED_VALUE"""),8.0)</f>
        <v>8</v>
      </c>
      <c r="N586" s="11">
        <f>IFERROR(__xludf.DUMMYFUNCTION("""COMPUTED_VALUE"""),18349.0)</f>
        <v>18349</v>
      </c>
      <c r="O586" s="13">
        <f>IFERROR(__xludf.DUMMYFUNCTION("""COMPUTED_VALUE"""),33.0)</f>
        <v>33</v>
      </c>
      <c r="P586" s="14">
        <f>IFERROR(__xludf.DUMMYFUNCTION("""COMPUTED_VALUE"""),25.0)</f>
        <v>25</v>
      </c>
      <c r="Q586" s="13">
        <f>IFERROR(__xludf.DUMMYFUNCTION("""COMPUTED_VALUE"""),74.0)</f>
        <v>74</v>
      </c>
      <c r="R586" s="13">
        <f>IFERROR(__xludf.DUMMYFUNCTION("""COMPUTED_VALUE"""),120.0)</f>
        <v>120</v>
      </c>
      <c r="S586" s="15">
        <f>IFERROR(__xludf.DUMMYFUNCTION("""COMPUTED_VALUE"""),0.275)</f>
        <v>0.275</v>
      </c>
      <c r="T586" s="16">
        <f>IFERROR(__xludf.DUMMYFUNCTION("""COMPUTED_VALUE"""),352.86538461538464)</f>
        <v>352.8653846</v>
      </c>
      <c r="U586" s="16">
        <f>IFERROR(__xludf.DUMMYFUNCTION("""COMPUTED_VALUE"""),0.6346153846153846)</f>
        <v>0.6346153846</v>
      </c>
      <c r="V586" s="16">
        <f>IFERROR(__xludf.DUMMYFUNCTION("""COMPUTED_VALUE"""),0.4807692307692308)</f>
        <v>0.4807692308</v>
      </c>
      <c r="W586" s="16">
        <f>IFERROR(__xludf.DUMMYFUNCTION("""COMPUTED_VALUE"""),1.4230769230769231)</f>
        <v>1.423076923</v>
      </c>
      <c r="X586" s="16">
        <f>IFERROR(__xludf.DUMMYFUNCTION("""COMPUTED_VALUE"""),2.3076923076923075)</f>
        <v>2.307692308</v>
      </c>
      <c r="Y586" s="11">
        <f>IFERROR(__xludf.DUMMYFUNCTION("""COMPUTED_VALUE"""),7.0)</f>
        <v>7</v>
      </c>
      <c r="Z586" s="11">
        <f>IFERROR(__xludf.DUMMYFUNCTION("""COMPUTED_VALUE"""),1.0)</f>
        <v>1</v>
      </c>
      <c r="AA586" s="11">
        <f>IFERROR(__xludf.DUMMYFUNCTION("""COMPUTED_VALUE"""),0.0)</f>
        <v>0</v>
      </c>
      <c r="AB586" s="11">
        <f>IFERROR(__xludf.DUMMYFUNCTION("""COMPUTED_VALUE"""),9.0)</f>
        <v>9</v>
      </c>
      <c r="AC586" s="11">
        <f>IFERROR(__xludf.DUMMYFUNCTION("""COMPUTED_VALUE"""),56.0)</f>
        <v>56</v>
      </c>
      <c r="AD586" s="11">
        <f>IFERROR(__xludf.DUMMYFUNCTION("""COMPUTED_VALUE"""),56.0)</f>
        <v>56</v>
      </c>
    </row>
    <row r="587">
      <c r="A587" s="10" t="str">
        <f>IFERROR(__xludf.DUMMYFUNCTION("""COMPUTED_VALUE"""),"Rival")</f>
        <v>Rival</v>
      </c>
      <c r="B587" s="10" t="str">
        <f>IFERROR(__xludf.DUMMYFUNCTION("""COMPUTED_VALUE"""),"RSC007600")</f>
        <v>RSC007600</v>
      </c>
      <c r="C587" s="10" t="str">
        <f>IFERROR(__xludf.DUMMYFUNCTION("""COMPUTED_VALUE"""),"CN Tyson")</f>
        <v>CN Tyson</v>
      </c>
      <c r="D587" s="36" t="str">
        <f>IFERROR(__xludf.DUMMYFUNCTION("""COMPUTED_VALUE"""),"Howlers")</f>
        <v>Howlers</v>
      </c>
      <c r="E587" s="10" t="str">
        <f>IFERROR(__xludf.DUMMYFUNCTION("""COMPUTED_VALUE"""),"Solar")</f>
        <v>Solar</v>
      </c>
      <c r="F587" s="37">
        <f>IFERROR(__xludf.DUMMYFUNCTION("""COMPUTED_VALUE"""),50.643408799484604)</f>
        <v>50.6434088</v>
      </c>
      <c r="G587" s="38">
        <f>IFERROR(__xludf.DUMMYFUNCTION("""COMPUTED_VALUE"""),56.07056573064801)</f>
        <v>56.07056573</v>
      </c>
      <c r="H587" s="38">
        <f>IFERROR(__xludf.DUMMYFUNCTION("""COMPUTED_VALUE"""),53.35698726506631)</f>
        <v>53.35698727</v>
      </c>
      <c r="I587" s="14">
        <f>IFERROR(__xludf.DUMMYFUNCTION("""COMPUTED_VALUE"""),41.0)</f>
        <v>41</v>
      </c>
      <c r="J587" s="11">
        <f>IFERROR(__xludf.DUMMYFUNCTION("IFERROR(FILTER(Stats!$F:$Z,(Stats!$A:$A=$A587)*(Stats!$B:$B=$B587)))"),22.0)</f>
        <v>22</v>
      </c>
      <c r="K587" s="11">
        <f>IFERROR(__xludf.DUMMYFUNCTION("""COMPUTED_VALUE"""),19.0)</f>
        <v>19</v>
      </c>
      <c r="L587" s="12">
        <f>IFERROR(__xludf.DUMMYFUNCTION("""COMPUTED_VALUE"""),0.5365853658536586)</f>
        <v>0.5365853659</v>
      </c>
      <c r="M587" s="11">
        <f>IFERROR(__xludf.DUMMYFUNCTION("""COMPUTED_VALUE"""),5.0)</f>
        <v>5</v>
      </c>
      <c r="N587" s="11">
        <f>IFERROR(__xludf.DUMMYFUNCTION("""COMPUTED_VALUE"""),13473.0)</f>
        <v>13473</v>
      </c>
      <c r="O587" s="13">
        <f>IFERROR(__xludf.DUMMYFUNCTION("""COMPUTED_VALUE"""),30.0)</f>
        <v>30</v>
      </c>
      <c r="P587" s="14">
        <f>IFERROR(__xludf.DUMMYFUNCTION("""COMPUTED_VALUE"""),22.0)</f>
        <v>22</v>
      </c>
      <c r="Q587" s="13">
        <f>IFERROR(__xludf.DUMMYFUNCTION("""COMPUTED_VALUE"""),51.0)</f>
        <v>51</v>
      </c>
      <c r="R587" s="13">
        <f>IFERROR(__xludf.DUMMYFUNCTION("""COMPUTED_VALUE"""),106.0)</f>
        <v>106</v>
      </c>
      <c r="S587" s="15">
        <f>IFERROR(__xludf.DUMMYFUNCTION("""COMPUTED_VALUE"""),0.2830188679245283)</f>
        <v>0.2830188679</v>
      </c>
      <c r="T587" s="16">
        <f>IFERROR(__xludf.DUMMYFUNCTION("""COMPUTED_VALUE"""),328.609756097561)</f>
        <v>328.6097561</v>
      </c>
      <c r="U587" s="16">
        <f>IFERROR(__xludf.DUMMYFUNCTION("""COMPUTED_VALUE"""),0.7317073170731707)</f>
        <v>0.7317073171</v>
      </c>
      <c r="V587" s="16">
        <f>IFERROR(__xludf.DUMMYFUNCTION("""COMPUTED_VALUE"""),0.5365853658536586)</f>
        <v>0.5365853659</v>
      </c>
      <c r="W587" s="16">
        <f>IFERROR(__xludf.DUMMYFUNCTION("""COMPUTED_VALUE"""),1.2439024390243902)</f>
        <v>1.243902439</v>
      </c>
      <c r="X587" s="16">
        <f>IFERROR(__xludf.DUMMYFUNCTION("""COMPUTED_VALUE"""),2.5853658536585367)</f>
        <v>2.585365854</v>
      </c>
      <c r="Y587" s="11">
        <f>IFERROR(__xludf.DUMMYFUNCTION("""COMPUTED_VALUE"""),9.0)</f>
        <v>9</v>
      </c>
      <c r="Z587" s="11">
        <f>IFERROR(__xludf.DUMMYFUNCTION("""COMPUTED_VALUE"""),1.0)</f>
        <v>1</v>
      </c>
      <c r="AA587" s="11">
        <f>IFERROR(__xludf.DUMMYFUNCTION("""COMPUTED_VALUE"""),1.0)</f>
        <v>1</v>
      </c>
      <c r="AB587" s="11">
        <f>IFERROR(__xludf.DUMMYFUNCTION("""COMPUTED_VALUE"""),4.0)</f>
        <v>4</v>
      </c>
      <c r="AC587" s="11">
        <f>IFERROR(__xludf.DUMMYFUNCTION("""COMPUTED_VALUE"""),38.0)</f>
        <v>38</v>
      </c>
      <c r="AD587" s="11">
        <f>IFERROR(__xludf.DUMMYFUNCTION("""COMPUTED_VALUE"""),40.0)</f>
        <v>40</v>
      </c>
    </row>
    <row r="588">
      <c r="A588" s="10" t="str">
        <f>IFERROR(__xludf.DUMMYFUNCTION("""COMPUTED_VALUE"""),"Rival")</f>
        <v>Rival</v>
      </c>
      <c r="B588" s="10" t="str">
        <f>IFERROR(__xludf.DUMMYFUNCTION("""COMPUTED_VALUE"""),"RSC007307")</f>
        <v>RSC007307</v>
      </c>
      <c r="C588" s="10" t="str">
        <f>IFERROR(__xludf.DUMMYFUNCTION("""COMPUTED_VALUE"""),"Jmh187-")</f>
        <v>Jmh187-</v>
      </c>
      <c r="D588" s="36" t="str">
        <f>IFERROR(__xludf.DUMMYFUNCTION("""COMPUTED_VALUE"""),"Nightfall")</f>
        <v>Nightfall</v>
      </c>
      <c r="E588" s="10" t="str">
        <f>IFERROR(__xludf.DUMMYFUNCTION("""COMPUTED_VALUE"""),"Lunar")</f>
        <v>Lunar</v>
      </c>
      <c r="F588" s="37">
        <f>IFERROR(__xludf.DUMMYFUNCTION("""COMPUTED_VALUE"""),50.14775142674608)</f>
        <v>50.14775143</v>
      </c>
      <c r="G588" s="38">
        <f>IFERROR(__xludf.DUMMYFUNCTION("""COMPUTED_VALUE"""),55.80606564366684)</f>
        <v>55.80606564</v>
      </c>
      <c r="H588" s="38">
        <f>IFERROR(__xludf.DUMMYFUNCTION("""COMPUTED_VALUE"""),52.97690853520646)</f>
        <v>52.97690854</v>
      </c>
      <c r="I588" s="14">
        <f>IFERROR(__xludf.DUMMYFUNCTION("""COMPUTED_VALUE"""),31.0)</f>
        <v>31</v>
      </c>
      <c r="J588" s="11">
        <f>IFERROR(__xludf.DUMMYFUNCTION("IFERROR(FILTER(Stats!$F:$Z,(Stats!$A:$A=$A588)*(Stats!$B:$B=$B588)))"),13.0)</f>
        <v>13</v>
      </c>
      <c r="K588" s="11">
        <f>IFERROR(__xludf.DUMMYFUNCTION("""COMPUTED_VALUE"""),18.0)</f>
        <v>18</v>
      </c>
      <c r="L588" s="12">
        <f>IFERROR(__xludf.DUMMYFUNCTION("""COMPUTED_VALUE"""),0.41935483870967744)</f>
        <v>0.4193548387</v>
      </c>
      <c r="M588" s="11">
        <f>IFERROR(__xludf.DUMMYFUNCTION("""COMPUTED_VALUE"""),2.0)</f>
        <v>2</v>
      </c>
      <c r="N588" s="11">
        <f>IFERROR(__xludf.DUMMYFUNCTION("""COMPUTED_VALUE"""),10551.0)</f>
        <v>10551</v>
      </c>
      <c r="O588" s="13">
        <f>IFERROR(__xludf.DUMMYFUNCTION("""COMPUTED_VALUE"""),26.0)</f>
        <v>26</v>
      </c>
      <c r="P588" s="14">
        <f>IFERROR(__xludf.DUMMYFUNCTION("""COMPUTED_VALUE"""),18.0)</f>
        <v>18</v>
      </c>
      <c r="Q588" s="13">
        <f>IFERROR(__xludf.DUMMYFUNCTION("""COMPUTED_VALUE"""),35.0)</f>
        <v>35</v>
      </c>
      <c r="R588" s="13">
        <f>IFERROR(__xludf.DUMMYFUNCTION("""COMPUTED_VALUE"""),90.0)</f>
        <v>90</v>
      </c>
      <c r="S588" s="15">
        <f>IFERROR(__xludf.DUMMYFUNCTION("""COMPUTED_VALUE"""),0.28888888888888886)</f>
        <v>0.2888888889</v>
      </c>
      <c r="T588" s="16">
        <f>IFERROR(__xludf.DUMMYFUNCTION("""COMPUTED_VALUE"""),340.35483870967744)</f>
        <v>340.3548387</v>
      </c>
      <c r="U588" s="16">
        <f>IFERROR(__xludf.DUMMYFUNCTION("""COMPUTED_VALUE"""),0.8387096774193549)</f>
        <v>0.8387096774</v>
      </c>
      <c r="V588" s="16">
        <f>IFERROR(__xludf.DUMMYFUNCTION("""COMPUTED_VALUE"""),0.5806451612903226)</f>
        <v>0.5806451613</v>
      </c>
      <c r="W588" s="16">
        <f>IFERROR(__xludf.DUMMYFUNCTION("""COMPUTED_VALUE"""),1.1290322580645162)</f>
        <v>1.129032258</v>
      </c>
      <c r="X588" s="16">
        <f>IFERROR(__xludf.DUMMYFUNCTION("""COMPUTED_VALUE"""),2.903225806451613)</f>
        <v>2.903225806</v>
      </c>
      <c r="Y588" s="11">
        <f>IFERROR(__xludf.DUMMYFUNCTION("""COMPUTED_VALUE"""),7.0)</f>
        <v>7</v>
      </c>
      <c r="Z588" s="11">
        <f>IFERROR(__xludf.DUMMYFUNCTION("""COMPUTED_VALUE"""),1.0)</f>
        <v>1</v>
      </c>
      <c r="AA588" s="11">
        <f>IFERROR(__xludf.DUMMYFUNCTION("""COMPUTED_VALUE"""),0.0)</f>
        <v>0</v>
      </c>
      <c r="AB588" s="11">
        <f>IFERROR(__xludf.DUMMYFUNCTION("""COMPUTED_VALUE"""),5.0)</f>
        <v>5</v>
      </c>
      <c r="AC588" s="11">
        <f>IFERROR(__xludf.DUMMYFUNCTION("""COMPUTED_VALUE"""),38.0)</f>
        <v>38</v>
      </c>
      <c r="AD588" s="11">
        <f>IFERROR(__xludf.DUMMYFUNCTION("""COMPUTED_VALUE"""),31.0)</f>
        <v>31</v>
      </c>
    </row>
    <row r="589">
      <c r="A589" s="10" t="str">
        <f>IFERROR(__xludf.DUMMYFUNCTION("""COMPUTED_VALUE"""),"Rival")</f>
        <v>Rival</v>
      </c>
      <c r="B589" s="10" t="str">
        <f>IFERROR(__xludf.DUMMYFUNCTION("""COMPUTED_VALUE"""),"RSC008000")</f>
        <v>RSC008000</v>
      </c>
      <c r="C589" s="10" t="str">
        <f>IFERROR(__xludf.DUMMYFUNCTION("""COMPUTED_VALUE"""),"ChefHoffy")</f>
        <v>ChefHoffy</v>
      </c>
      <c r="D589" s="36" t="str">
        <f>IFERROR(__xludf.DUMMYFUNCTION("""COMPUTED_VALUE"""),"Kitsune")</f>
        <v>Kitsune</v>
      </c>
      <c r="E589" s="10" t="str">
        <f>IFERROR(__xludf.DUMMYFUNCTION("""COMPUTED_VALUE"""),"Solar")</f>
        <v>Solar</v>
      </c>
      <c r="F589" s="37">
        <f>IFERROR(__xludf.DUMMYFUNCTION("""COMPUTED_VALUE"""),52.57217557703972)</f>
        <v>52.57217558</v>
      </c>
      <c r="G589" s="38">
        <f>IFERROR(__xludf.DUMMYFUNCTION("""COMPUTED_VALUE"""),52.44474088615721)</f>
        <v>52.44474089</v>
      </c>
      <c r="H589" s="38">
        <f>IFERROR(__xludf.DUMMYFUNCTION("""COMPUTED_VALUE"""),52.50845823159847)</f>
        <v>52.50845823</v>
      </c>
      <c r="I589" s="14">
        <f>IFERROR(__xludf.DUMMYFUNCTION("""COMPUTED_VALUE"""),56.0)</f>
        <v>56</v>
      </c>
      <c r="J589" s="11">
        <f>IFERROR(__xludf.DUMMYFUNCTION("IFERROR(FILTER(Stats!$F:$Z,(Stats!$A:$A=$A589)*(Stats!$B:$B=$B589)))"),25.0)</f>
        <v>25</v>
      </c>
      <c r="K589" s="11">
        <f>IFERROR(__xludf.DUMMYFUNCTION("""COMPUTED_VALUE"""),31.0)</f>
        <v>31</v>
      </c>
      <c r="L589" s="12">
        <f>IFERROR(__xludf.DUMMYFUNCTION("""COMPUTED_VALUE"""),0.44642857142857145)</f>
        <v>0.4464285714</v>
      </c>
      <c r="M589" s="11">
        <f>IFERROR(__xludf.DUMMYFUNCTION("""COMPUTED_VALUE"""),9.0)</f>
        <v>9</v>
      </c>
      <c r="N589" s="11">
        <f>IFERROR(__xludf.DUMMYFUNCTION("""COMPUTED_VALUE"""),18527.0)</f>
        <v>18527</v>
      </c>
      <c r="O589" s="13">
        <f>IFERROR(__xludf.DUMMYFUNCTION("""COMPUTED_VALUE"""),45.0)</f>
        <v>45</v>
      </c>
      <c r="P589" s="14">
        <f>IFERROR(__xludf.DUMMYFUNCTION("""COMPUTED_VALUE"""),21.0)</f>
        <v>21</v>
      </c>
      <c r="Q589" s="13">
        <f>IFERROR(__xludf.DUMMYFUNCTION("""COMPUTED_VALUE"""),64.0)</f>
        <v>64</v>
      </c>
      <c r="R589" s="13">
        <f>IFERROR(__xludf.DUMMYFUNCTION("""COMPUTED_VALUE"""),158.0)</f>
        <v>158</v>
      </c>
      <c r="S589" s="15">
        <f>IFERROR(__xludf.DUMMYFUNCTION("""COMPUTED_VALUE"""),0.2848101265822785)</f>
        <v>0.2848101266</v>
      </c>
      <c r="T589" s="16">
        <f>IFERROR(__xludf.DUMMYFUNCTION("""COMPUTED_VALUE"""),330.8392857142857)</f>
        <v>330.8392857</v>
      </c>
      <c r="U589" s="16">
        <f>IFERROR(__xludf.DUMMYFUNCTION("""COMPUTED_VALUE"""),0.8035714285714286)</f>
        <v>0.8035714286</v>
      </c>
      <c r="V589" s="16">
        <f>IFERROR(__xludf.DUMMYFUNCTION("""COMPUTED_VALUE"""),0.375)</f>
        <v>0.375</v>
      </c>
      <c r="W589" s="16">
        <f>IFERROR(__xludf.DUMMYFUNCTION("""COMPUTED_VALUE"""),1.1428571428571428)</f>
        <v>1.142857143</v>
      </c>
      <c r="X589" s="16">
        <f>IFERROR(__xludf.DUMMYFUNCTION("""COMPUTED_VALUE"""),2.8214285714285716)</f>
        <v>2.821428571</v>
      </c>
      <c r="Y589" s="11">
        <f>IFERROR(__xludf.DUMMYFUNCTION("""COMPUTED_VALUE"""),7.0)</f>
        <v>7</v>
      </c>
      <c r="Z589" s="11">
        <f>IFERROR(__xludf.DUMMYFUNCTION("""COMPUTED_VALUE"""),2.0)</f>
        <v>2</v>
      </c>
      <c r="AA589" s="11">
        <f>IFERROR(__xludf.DUMMYFUNCTION("""COMPUTED_VALUE"""),1.0)</f>
        <v>1</v>
      </c>
      <c r="AB589" s="11">
        <f>IFERROR(__xludf.DUMMYFUNCTION("""COMPUTED_VALUE"""),5.0)</f>
        <v>5</v>
      </c>
      <c r="AC589" s="11">
        <f>IFERROR(__xludf.DUMMYFUNCTION("""COMPUTED_VALUE"""),59.0)</f>
        <v>59</v>
      </c>
      <c r="AD589" s="11">
        <f>IFERROR(__xludf.DUMMYFUNCTION("""COMPUTED_VALUE"""),55.0)</f>
        <v>55</v>
      </c>
    </row>
    <row r="590">
      <c r="A590" s="10" t="str">
        <f>IFERROR(__xludf.DUMMYFUNCTION("""COMPUTED_VALUE"""),"Rival")</f>
        <v>Rival</v>
      </c>
      <c r="B590" s="10" t="str">
        <f>IFERROR(__xludf.DUMMYFUNCTION("""COMPUTED_VALUE"""),"RSC006212")</f>
        <v>RSC006212</v>
      </c>
      <c r="C590" s="10" t="str">
        <f>IFERROR(__xludf.DUMMYFUNCTION("""COMPUTED_VALUE"""),"Kingtutt97")</f>
        <v>Kingtutt97</v>
      </c>
      <c r="D590" s="36" t="str">
        <f>IFERROR(__xludf.DUMMYFUNCTION("""COMPUTED_VALUE"""),"Polar Bears")</f>
        <v>Polar Bears</v>
      </c>
      <c r="E590" s="10" t="str">
        <f>IFERROR(__xludf.DUMMYFUNCTION("""COMPUTED_VALUE"""),"Solar")</f>
        <v>Solar</v>
      </c>
      <c r="F590" s="37">
        <f>IFERROR(__xludf.DUMMYFUNCTION("""COMPUTED_VALUE"""),49.56808241168544)</f>
        <v>49.56808241</v>
      </c>
      <c r="G590" s="38">
        <f>IFERROR(__xludf.DUMMYFUNCTION("""COMPUTED_VALUE"""),54.73825558232474)</f>
        <v>54.73825558</v>
      </c>
      <c r="H590" s="38">
        <f>IFERROR(__xludf.DUMMYFUNCTION("""COMPUTED_VALUE"""),52.15316899700509)</f>
        <v>52.153169</v>
      </c>
      <c r="I590" s="14">
        <f>IFERROR(__xludf.DUMMYFUNCTION("""COMPUTED_VALUE"""),51.0)</f>
        <v>51</v>
      </c>
      <c r="J590" s="11">
        <f>IFERROR(__xludf.DUMMYFUNCTION("IFERROR(FILTER(Stats!$F:$Z,(Stats!$A:$A=$A590)*(Stats!$B:$B=$B590)))"),29.0)</f>
        <v>29</v>
      </c>
      <c r="K590" s="11">
        <f>IFERROR(__xludf.DUMMYFUNCTION("""COMPUTED_VALUE"""),22.0)</f>
        <v>22</v>
      </c>
      <c r="L590" s="12">
        <f>IFERROR(__xludf.DUMMYFUNCTION("""COMPUTED_VALUE"""),0.5686274509803921)</f>
        <v>0.568627451</v>
      </c>
      <c r="M590" s="11">
        <f>IFERROR(__xludf.DUMMYFUNCTION("""COMPUTED_VALUE"""),8.0)</f>
        <v>8</v>
      </c>
      <c r="N590" s="11">
        <f>IFERROR(__xludf.DUMMYFUNCTION("""COMPUTED_VALUE"""),17791.0)</f>
        <v>17791</v>
      </c>
      <c r="O590" s="13">
        <f>IFERROR(__xludf.DUMMYFUNCTION("""COMPUTED_VALUE"""),40.0)</f>
        <v>40</v>
      </c>
      <c r="P590" s="14">
        <f>IFERROR(__xludf.DUMMYFUNCTION("""COMPUTED_VALUE"""),30.0)</f>
        <v>30</v>
      </c>
      <c r="Q590" s="13">
        <f>IFERROR(__xludf.DUMMYFUNCTION("""COMPUTED_VALUE"""),70.0)</f>
        <v>70</v>
      </c>
      <c r="R590" s="13">
        <f>IFERROR(__xludf.DUMMYFUNCTION("""COMPUTED_VALUE"""),113.0)</f>
        <v>113</v>
      </c>
      <c r="S590" s="15">
        <f>IFERROR(__xludf.DUMMYFUNCTION("""COMPUTED_VALUE"""),0.35398230088495575)</f>
        <v>0.3539823009</v>
      </c>
      <c r="T590" s="16">
        <f>IFERROR(__xludf.DUMMYFUNCTION("""COMPUTED_VALUE"""),348.84313725490193)</f>
        <v>348.8431373</v>
      </c>
      <c r="U590" s="16">
        <f>IFERROR(__xludf.DUMMYFUNCTION("""COMPUTED_VALUE"""),0.7843137254901961)</f>
        <v>0.7843137255</v>
      </c>
      <c r="V590" s="16">
        <f>IFERROR(__xludf.DUMMYFUNCTION("""COMPUTED_VALUE"""),0.5882352941176471)</f>
        <v>0.5882352941</v>
      </c>
      <c r="W590" s="16">
        <f>IFERROR(__xludf.DUMMYFUNCTION("""COMPUTED_VALUE"""),1.3725490196078431)</f>
        <v>1.37254902</v>
      </c>
      <c r="X590" s="16">
        <f>IFERROR(__xludf.DUMMYFUNCTION("""COMPUTED_VALUE"""),2.215686274509804)</f>
        <v>2.215686275</v>
      </c>
      <c r="Y590" s="11">
        <f>IFERROR(__xludf.DUMMYFUNCTION("""COMPUTED_VALUE"""),11.0)</f>
        <v>11</v>
      </c>
      <c r="Z590" s="11">
        <f>IFERROR(__xludf.DUMMYFUNCTION("""COMPUTED_VALUE"""),2.0)</f>
        <v>2</v>
      </c>
      <c r="AA590" s="11">
        <f>IFERROR(__xludf.DUMMYFUNCTION("""COMPUTED_VALUE"""),2.0)</f>
        <v>2</v>
      </c>
      <c r="AB590" s="11">
        <f>IFERROR(__xludf.DUMMYFUNCTION("""COMPUTED_VALUE"""),9.0)</f>
        <v>9</v>
      </c>
      <c r="AC590" s="11">
        <f>IFERROR(__xludf.DUMMYFUNCTION("""COMPUTED_VALUE"""),59.0)</f>
        <v>59</v>
      </c>
      <c r="AD590" s="11">
        <f>IFERROR(__xludf.DUMMYFUNCTION("""COMPUTED_VALUE"""),41.0)</f>
        <v>41</v>
      </c>
    </row>
    <row r="591">
      <c r="A591" s="10" t="str">
        <f>IFERROR(__xludf.DUMMYFUNCTION("""COMPUTED_VALUE"""),"Rival")</f>
        <v>Rival</v>
      </c>
      <c r="B591" s="10" t="str">
        <f>IFERROR(__xludf.DUMMYFUNCTION("""COMPUTED_VALUE"""),"RSC007453")</f>
        <v>RSC007453</v>
      </c>
      <c r="C591" s="10" t="str">
        <f>IFERROR(__xludf.DUMMYFUNCTION("""COMPUTED_VALUE"""),"TheDoy420")</f>
        <v>TheDoy420</v>
      </c>
      <c r="D591" s="36" t="str">
        <f>IFERROR(__xludf.DUMMYFUNCTION("""COMPUTED_VALUE"""),"Gaboons
Polar Ice")</f>
        <v>Gaboons
Polar Ice</v>
      </c>
      <c r="E591" s="10" t="str">
        <f>IFERROR(__xludf.DUMMYFUNCTION("""COMPUTED_VALUE"""),"Lunar
Solar")</f>
        <v>Lunar
Solar</v>
      </c>
      <c r="F591" s="37">
        <f>IFERROR(__xludf.DUMMYFUNCTION("""COMPUTED_VALUE"""),54.821968887339025)</f>
        <v>54.82196889</v>
      </c>
      <c r="G591" s="38">
        <f>IFERROR(__xludf.DUMMYFUNCTION("""COMPUTED_VALUE"""),48.971814230810054)</f>
        <v>48.97181423</v>
      </c>
      <c r="H591" s="38">
        <f>IFERROR(__xludf.DUMMYFUNCTION("""COMPUTED_VALUE"""),51.89689155907454)</f>
        <v>51.89689156</v>
      </c>
      <c r="I591" s="14">
        <f>IFERROR(__xludf.DUMMYFUNCTION("""COMPUTED_VALUE"""),13.0)</f>
        <v>13</v>
      </c>
      <c r="J591" s="11">
        <f>IFERROR(__xludf.DUMMYFUNCTION("IFERROR(FILTER(Stats!$F:$Z,(Stats!$A:$A=$A591)*(Stats!$B:$B=$B591)))"),4.0)</f>
        <v>4</v>
      </c>
      <c r="K591" s="11">
        <f>IFERROR(__xludf.DUMMYFUNCTION("""COMPUTED_VALUE"""),9.0)</f>
        <v>9</v>
      </c>
      <c r="L591" s="12">
        <f>IFERROR(__xludf.DUMMYFUNCTION("""COMPUTED_VALUE"""),0.3076923076923077)</f>
        <v>0.3076923077</v>
      </c>
      <c r="M591" s="11">
        <f>IFERROR(__xludf.DUMMYFUNCTION("""COMPUTED_VALUE"""),1.0)</f>
        <v>1</v>
      </c>
      <c r="N591" s="11">
        <f>IFERROR(__xludf.DUMMYFUNCTION("""COMPUTED_VALUE"""),4331.0)</f>
        <v>4331</v>
      </c>
      <c r="O591" s="13">
        <f>IFERROR(__xludf.DUMMYFUNCTION("""COMPUTED_VALUE"""),11.0)</f>
        <v>11</v>
      </c>
      <c r="P591" s="14">
        <f>IFERROR(__xludf.DUMMYFUNCTION("""COMPUTED_VALUE"""),8.0)</f>
        <v>8</v>
      </c>
      <c r="Q591" s="13">
        <f>IFERROR(__xludf.DUMMYFUNCTION("""COMPUTED_VALUE"""),14.0)</f>
        <v>14</v>
      </c>
      <c r="R591" s="13">
        <f>IFERROR(__xludf.DUMMYFUNCTION("""COMPUTED_VALUE"""),22.0)</f>
        <v>22</v>
      </c>
      <c r="S591" s="15">
        <f>IFERROR(__xludf.DUMMYFUNCTION("""COMPUTED_VALUE"""),0.5)</f>
        <v>0.5</v>
      </c>
      <c r="T591" s="16">
        <f>IFERROR(__xludf.DUMMYFUNCTION("""COMPUTED_VALUE"""),333.15384615384613)</f>
        <v>333.1538462</v>
      </c>
      <c r="U591" s="16">
        <f>IFERROR(__xludf.DUMMYFUNCTION("""COMPUTED_VALUE"""),0.8461538461538461)</f>
        <v>0.8461538462</v>
      </c>
      <c r="V591" s="16">
        <f>IFERROR(__xludf.DUMMYFUNCTION("""COMPUTED_VALUE"""),0.6153846153846154)</f>
        <v>0.6153846154</v>
      </c>
      <c r="W591" s="16">
        <f>IFERROR(__xludf.DUMMYFUNCTION("""COMPUTED_VALUE"""),1.0769230769230769)</f>
        <v>1.076923077</v>
      </c>
      <c r="X591" s="16">
        <f>IFERROR(__xludf.DUMMYFUNCTION("""COMPUTED_VALUE"""),1.6923076923076923)</f>
        <v>1.692307692</v>
      </c>
      <c r="Y591" s="11">
        <f>IFERROR(__xludf.DUMMYFUNCTION("""COMPUTED_VALUE"""),3.0)</f>
        <v>3</v>
      </c>
      <c r="Z591" s="11">
        <f>IFERROR(__xludf.DUMMYFUNCTION("""COMPUTED_VALUE"""),1.0)</f>
        <v>1</v>
      </c>
      <c r="AA591" s="11">
        <f>IFERROR(__xludf.DUMMYFUNCTION("""COMPUTED_VALUE"""),0.0)</f>
        <v>0</v>
      </c>
      <c r="AB591" s="11">
        <f>IFERROR(__xludf.DUMMYFUNCTION("""COMPUTED_VALUE"""),1.0)</f>
        <v>1</v>
      </c>
      <c r="AC591" s="11">
        <f>IFERROR(__xludf.DUMMYFUNCTION("""COMPUTED_VALUE"""),9.0)</f>
        <v>9</v>
      </c>
      <c r="AD591" s="11">
        <f>IFERROR(__xludf.DUMMYFUNCTION("""COMPUTED_VALUE"""),15.0)</f>
        <v>15</v>
      </c>
    </row>
    <row r="592">
      <c r="A592" s="10" t="str">
        <f>IFERROR(__xludf.DUMMYFUNCTION("""COMPUTED_VALUE"""),"Rival")</f>
        <v>Rival</v>
      </c>
      <c r="B592" s="10" t="str">
        <f>IFERROR(__xludf.DUMMYFUNCTION("""COMPUTED_VALUE"""),"RSC006543")</f>
        <v>RSC006543</v>
      </c>
      <c r="C592" s="10" t="str">
        <f>IFERROR(__xludf.DUMMYFUNCTION("""COMPUTED_VALUE"""),"MasonJar")</f>
        <v>MasonJar</v>
      </c>
      <c r="D592" s="36" t="str">
        <f>IFERROR(__xludf.DUMMYFUNCTION("""COMPUTED_VALUE"""),"Ocelots")</f>
        <v>Ocelots</v>
      </c>
      <c r="E592" s="10" t="str">
        <f>IFERROR(__xludf.DUMMYFUNCTION("""COMPUTED_VALUE"""),"Solar")</f>
        <v>Solar</v>
      </c>
      <c r="F592" s="37">
        <f>IFERROR(__xludf.DUMMYFUNCTION("""COMPUTED_VALUE"""),61.82760665161497)</f>
        <v>61.82760665</v>
      </c>
      <c r="G592" s="38">
        <f>IFERROR(__xludf.DUMMYFUNCTION("""COMPUTED_VALUE"""),41.948214584594794)</f>
        <v>41.94821458</v>
      </c>
      <c r="H592" s="38">
        <f>IFERROR(__xludf.DUMMYFUNCTION("""COMPUTED_VALUE"""),51.88791061810488)</f>
        <v>51.88791062</v>
      </c>
      <c r="I592" s="14">
        <f>IFERROR(__xludf.DUMMYFUNCTION("""COMPUTED_VALUE"""),39.0)</f>
        <v>39</v>
      </c>
      <c r="J592" s="11">
        <f>IFERROR(__xludf.DUMMYFUNCTION("IFERROR(FILTER(Stats!$F:$Z,(Stats!$A:$A=$A592)*(Stats!$B:$B=$B592)))"),14.0)</f>
        <v>14</v>
      </c>
      <c r="K592" s="11">
        <f>IFERROR(__xludf.DUMMYFUNCTION("""COMPUTED_VALUE"""),25.0)</f>
        <v>25</v>
      </c>
      <c r="L592" s="12">
        <f>IFERROR(__xludf.DUMMYFUNCTION("""COMPUTED_VALUE"""),0.358974358974359)</f>
        <v>0.358974359</v>
      </c>
      <c r="M592" s="11">
        <f>IFERROR(__xludf.DUMMYFUNCTION("""COMPUTED_VALUE"""),9.0)</f>
        <v>9</v>
      </c>
      <c r="N592" s="11">
        <f>IFERROR(__xludf.DUMMYFUNCTION("""COMPUTED_VALUE"""),15039.0)</f>
        <v>15039</v>
      </c>
      <c r="O592" s="13">
        <f>IFERROR(__xludf.DUMMYFUNCTION("""COMPUTED_VALUE"""),24.0)</f>
        <v>24</v>
      </c>
      <c r="P592" s="14">
        <f>IFERROR(__xludf.DUMMYFUNCTION("""COMPUTED_VALUE"""),21.0)</f>
        <v>21</v>
      </c>
      <c r="Q592" s="13">
        <f>IFERROR(__xludf.DUMMYFUNCTION("""COMPUTED_VALUE"""),72.0)</f>
        <v>72</v>
      </c>
      <c r="R592" s="13">
        <f>IFERROR(__xludf.DUMMYFUNCTION("""COMPUTED_VALUE"""),88.0)</f>
        <v>88</v>
      </c>
      <c r="S592" s="15">
        <f>IFERROR(__xludf.DUMMYFUNCTION("""COMPUTED_VALUE"""),0.2727272727272727)</f>
        <v>0.2727272727</v>
      </c>
      <c r="T592" s="16">
        <f>IFERROR(__xludf.DUMMYFUNCTION("""COMPUTED_VALUE"""),385.61538461538464)</f>
        <v>385.6153846</v>
      </c>
      <c r="U592" s="16">
        <f>IFERROR(__xludf.DUMMYFUNCTION("""COMPUTED_VALUE"""),0.6153846153846154)</f>
        <v>0.6153846154</v>
      </c>
      <c r="V592" s="16">
        <f>IFERROR(__xludf.DUMMYFUNCTION("""COMPUTED_VALUE"""),0.5384615384615384)</f>
        <v>0.5384615385</v>
      </c>
      <c r="W592" s="16">
        <f>IFERROR(__xludf.DUMMYFUNCTION("""COMPUTED_VALUE"""),1.8461538461538463)</f>
        <v>1.846153846</v>
      </c>
      <c r="X592" s="16">
        <f>IFERROR(__xludf.DUMMYFUNCTION("""COMPUTED_VALUE"""),2.2564102564102564)</f>
        <v>2.256410256</v>
      </c>
      <c r="Y592" s="11">
        <f>IFERROR(__xludf.DUMMYFUNCTION("""COMPUTED_VALUE"""),7.0)</f>
        <v>7</v>
      </c>
      <c r="Z592" s="11">
        <f>IFERROR(__xludf.DUMMYFUNCTION("""COMPUTED_VALUE"""),2.0)</f>
        <v>2</v>
      </c>
      <c r="AA592" s="11">
        <f>IFERROR(__xludf.DUMMYFUNCTION("""COMPUTED_VALUE"""),0.0)</f>
        <v>0</v>
      </c>
      <c r="AB592" s="11">
        <f>IFERROR(__xludf.DUMMYFUNCTION("""COMPUTED_VALUE"""),11.0)</f>
        <v>11</v>
      </c>
      <c r="AC592" s="11">
        <f>IFERROR(__xludf.DUMMYFUNCTION("""COMPUTED_VALUE"""),43.0)</f>
        <v>43</v>
      </c>
      <c r="AD592" s="11">
        <f>IFERROR(__xludf.DUMMYFUNCTION("""COMPUTED_VALUE"""),29.0)</f>
        <v>29</v>
      </c>
    </row>
    <row r="593">
      <c r="A593" s="10" t="str">
        <f>IFERROR(__xludf.DUMMYFUNCTION("""COMPUTED_VALUE"""),"Rival")</f>
        <v>Rival</v>
      </c>
      <c r="B593" s="10" t="str">
        <f>IFERROR(__xludf.DUMMYFUNCTION("""COMPUTED_VALUE"""),"RSC008331")</f>
        <v>RSC008331</v>
      </c>
      <c r="C593" s="10" t="str">
        <f>IFERROR(__xludf.DUMMYFUNCTION("""COMPUTED_VALUE"""),"Hanz Simmer")</f>
        <v>Hanz Simmer</v>
      </c>
      <c r="D593" s="36" t="str">
        <f>IFERROR(__xludf.DUMMYFUNCTION("""COMPUTED_VALUE"""),"Quasars")</f>
        <v>Quasars</v>
      </c>
      <c r="E593" s="10" t="str">
        <f>IFERROR(__xludf.DUMMYFUNCTION("""COMPUTED_VALUE"""),"Lunar")</f>
        <v>Lunar</v>
      </c>
      <c r="F593" s="37">
        <f>IFERROR(__xludf.DUMMYFUNCTION("""COMPUTED_VALUE"""),50.586329407989645)</f>
        <v>50.58632941</v>
      </c>
      <c r="G593" s="38">
        <f>IFERROR(__xludf.DUMMYFUNCTION("""COMPUTED_VALUE"""),52.51803969244786)</f>
        <v>52.51803969</v>
      </c>
      <c r="H593" s="38">
        <f>IFERROR(__xludf.DUMMYFUNCTION("""COMPUTED_VALUE"""),51.552184550218755)</f>
        <v>51.55218455</v>
      </c>
      <c r="I593" s="14">
        <f>IFERROR(__xludf.DUMMYFUNCTION("""COMPUTED_VALUE"""),38.0)</f>
        <v>38</v>
      </c>
      <c r="J593" s="11">
        <f>IFERROR(__xludf.DUMMYFUNCTION("IFERROR(FILTER(Stats!$F:$Z,(Stats!$A:$A=$A593)*(Stats!$B:$B=$B593)))"),18.0)</f>
        <v>18</v>
      </c>
      <c r="K593" s="11">
        <f>IFERROR(__xludf.DUMMYFUNCTION("""COMPUTED_VALUE"""),20.0)</f>
        <v>20</v>
      </c>
      <c r="L593" s="12">
        <f>IFERROR(__xludf.DUMMYFUNCTION("""COMPUTED_VALUE"""),0.47368421052631576)</f>
        <v>0.4736842105</v>
      </c>
      <c r="M593" s="11">
        <f>IFERROR(__xludf.DUMMYFUNCTION("""COMPUTED_VALUE"""),4.0)</f>
        <v>4</v>
      </c>
      <c r="N593" s="11">
        <f>IFERROR(__xludf.DUMMYFUNCTION("""COMPUTED_VALUE"""),12143.0)</f>
        <v>12143</v>
      </c>
      <c r="O593" s="13">
        <f>IFERROR(__xludf.DUMMYFUNCTION("""COMPUTED_VALUE"""),33.0)</f>
        <v>33</v>
      </c>
      <c r="P593" s="14">
        <f>IFERROR(__xludf.DUMMYFUNCTION("""COMPUTED_VALUE"""),17.0)</f>
        <v>17</v>
      </c>
      <c r="Q593" s="13">
        <f>IFERROR(__xludf.DUMMYFUNCTION("""COMPUTED_VALUE"""),43.0)</f>
        <v>43</v>
      </c>
      <c r="R593" s="13">
        <f>IFERROR(__xludf.DUMMYFUNCTION("""COMPUTED_VALUE"""),90.0)</f>
        <v>90</v>
      </c>
      <c r="S593" s="15">
        <f>IFERROR(__xludf.DUMMYFUNCTION("""COMPUTED_VALUE"""),0.36666666666666664)</f>
        <v>0.3666666667</v>
      </c>
      <c r="T593" s="16">
        <f>IFERROR(__xludf.DUMMYFUNCTION("""COMPUTED_VALUE"""),319.55263157894734)</f>
        <v>319.5526316</v>
      </c>
      <c r="U593" s="16">
        <f>IFERROR(__xludf.DUMMYFUNCTION("""COMPUTED_VALUE"""),0.868421052631579)</f>
        <v>0.8684210526</v>
      </c>
      <c r="V593" s="16">
        <f>IFERROR(__xludf.DUMMYFUNCTION("""COMPUTED_VALUE"""),0.4473684210526316)</f>
        <v>0.4473684211</v>
      </c>
      <c r="W593" s="16">
        <f>IFERROR(__xludf.DUMMYFUNCTION("""COMPUTED_VALUE"""),1.131578947368421)</f>
        <v>1.131578947</v>
      </c>
      <c r="X593" s="16">
        <f>IFERROR(__xludf.DUMMYFUNCTION("""COMPUTED_VALUE"""),2.3684210526315788)</f>
        <v>2.368421053</v>
      </c>
      <c r="Y593" s="11">
        <f>IFERROR(__xludf.DUMMYFUNCTION("""COMPUTED_VALUE"""),8.0)</f>
        <v>8</v>
      </c>
      <c r="Z593" s="11">
        <f>IFERROR(__xludf.DUMMYFUNCTION("""COMPUTED_VALUE"""),0.0)</f>
        <v>0</v>
      </c>
      <c r="AA593" s="11">
        <f>IFERROR(__xludf.DUMMYFUNCTION("""COMPUTED_VALUE"""),1.0)</f>
        <v>1</v>
      </c>
      <c r="AB593" s="11">
        <f>IFERROR(__xludf.DUMMYFUNCTION("""COMPUTED_VALUE"""),4.0)</f>
        <v>4</v>
      </c>
      <c r="AC593" s="11">
        <f>IFERROR(__xludf.DUMMYFUNCTION("""COMPUTED_VALUE"""),29.0)</f>
        <v>29</v>
      </c>
      <c r="AD593" s="11">
        <f>IFERROR(__xludf.DUMMYFUNCTION("""COMPUTED_VALUE"""),28.0)</f>
        <v>28</v>
      </c>
    </row>
    <row r="594">
      <c r="A594" s="10" t="str">
        <f>IFERROR(__xludf.DUMMYFUNCTION("""COMPUTED_VALUE"""),"Rival")</f>
        <v>Rival</v>
      </c>
      <c r="B594" s="10" t="str">
        <f>IFERROR(__xludf.DUMMYFUNCTION("""COMPUTED_VALUE"""),"RSC005507")</f>
        <v>RSC005507</v>
      </c>
      <c r="C594" s="10" t="str">
        <f>IFERROR(__xludf.DUMMYFUNCTION("""COMPUTED_VALUE"""),"T Sant")</f>
        <v>T Sant</v>
      </c>
      <c r="D594" s="36" t="str">
        <f>IFERROR(__xludf.DUMMYFUNCTION("""COMPUTED_VALUE"""),"Primo")</f>
        <v>Primo</v>
      </c>
      <c r="E594" s="10" t="str">
        <f>IFERROR(__xludf.DUMMYFUNCTION("""COMPUTED_VALUE"""),"Solar")</f>
        <v>Solar</v>
      </c>
      <c r="F594" s="37">
        <f>IFERROR(__xludf.DUMMYFUNCTION("""COMPUTED_VALUE"""),48.64897478917111)</f>
        <v>48.64897479</v>
      </c>
      <c r="G594" s="38">
        <f>IFERROR(__xludf.DUMMYFUNCTION("""COMPUTED_VALUE"""),53.924953739215624)</f>
        <v>53.92495374</v>
      </c>
      <c r="H594" s="38">
        <f>IFERROR(__xludf.DUMMYFUNCTION("""COMPUTED_VALUE"""),51.28696426419337)</f>
        <v>51.28696426</v>
      </c>
      <c r="I594" s="14">
        <f>IFERROR(__xludf.DUMMYFUNCTION("""COMPUTED_VALUE"""),52.0)</f>
        <v>52</v>
      </c>
      <c r="J594" s="11">
        <f>IFERROR(__xludf.DUMMYFUNCTION("IFERROR(FILTER(Stats!$F:$Z,(Stats!$A:$A=$A594)*(Stats!$B:$B=$B594)))"),33.0)</f>
        <v>33</v>
      </c>
      <c r="K594" s="11">
        <f>IFERROR(__xludf.DUMMYFUNCTION("""COMPUTED_VALUE"""),19.0)</f>
        <v>19</v>
      </c>
      <c r="L594" s="12">
        <f>IFERROR(__xludf.DUMMYFUNCTION("""COMPUTED_VALUE"""),0.6346153846153846)</f>
        <v>0.6346153846</v>
      </c>
      <c r="M594" s="11">
        <f>IFERROR(__xludf.DUMMYFUNCTION("""COMPUTED_VALUE"""),9.0)</f>
        <v>9</v>
      </c>
      <c r="N594" s="11">
        <f>IFERROR(__xludf.DUMMYFUNCTION("""COMPUTED_VALUE"""),16337.0)</f>
        <v>16337</v>
      </c>
      <c r="O594" s="13">
        <f>IFERROR(__xludf.DUMMYFUNCTION("""COMPUTED_VALUE"""),33.0)</f>
        <v>33</v>
      </c>
      <c r="P594" s="14">
        <f>IFERROR(__xludf.DUMMYFUNCTION("""COMPUTED_VALUE"""),29.0)</f>
        <v>29</v>
      </c>
      <c r="Q594" s="13">
        <f>IFERROR(__xludf.DUMMYFUNCTION("""COMPUTED_VALUE"""),62.0)</f>
        <v>62</v>
      </c>
      <c r="R594" s="13">
        <f>IFERROR(__xludf.DUMMYFUNCTION("""COMPUTED_VALUE"""),127.0)</f>
        <v>127</v>
      </c>
      <c r="S594" s="15">
        <f>IFERROR(__xludf.DUMMYFUNCTION("""COMPUTED_VALUE"""),0.25984251968503935)</f>
        <v>0.2598425197</v>
      </c>
      <c r="T594" s="16">
        <f>IFERROR(__xludf.DUMMYFUNCTION("""COMPUTED_VALUE"""),314.1730769230769)</f>
        <v>314.1730769</v>
      </c>
      <c r="U594" s="16">
        <f>IFERROR(__xludf.DUMMYFUNCTION("""COMPUTED_VALUE"""),0.6346153846153846)</f>
        <v>0.6346153846</v>
      </c>
      <c r="V594" s="16">
        <f>IFERROR(__xludf.DUMMYFUNCTION("""COMPUTED_VALUE"""),0.5576923076923077)</f>
        <v>0.5576923077</v>
      </c>
      <c r="W594" s="16">
        <f>IFERROR(__xludf.DUMMYFUNCTION("""COMPUTED_VALUE"""),1.1923076923076923)</f>
        <v>1.192307692</v>
      </c>
      <c r="X594" s="16">
        <f>IFERROR(__xludf.DUMMYFUNCTION("""COMPUTED_VALUE"""),2.4423076923076925)</f>
        <v>2.442307692</v>
      </c>
      <c r="Y594" s="11">
        <f>IFERROR(__xludf.DUMMYFUNCTION("""COMPUTED_VALUE"""),13.0)</f>
        <v>13</v>
      </c>
      <c r="Z594" s="11">
        <f>IFERROR(__xludf.DUMMYFUNCTION("""COMPUTED_VALUE"""),0.0)</f>
        <v>0</v>
      </c>
      <c r="AA594" s="11">
        <f>IFERROR(__xludf.DUMMYFUNCTION("""COMPUTED_VALUE"""),1.0)</f>
        <v>1</v>
      </c>
      <c r="AB594" s="11">
        <f>IFERROR(__xludf.DUMMYFUNCTION("""COMPUTED_VALUE"""),4.0)</f>
        <v>4</v>
      </c>
      <c r="AC594" s="11">
        <f>IFERROR(__xludf.DUMMYFUNCTION("""COMPUTED_VALUE"""),68.0)</f>
        <v>68</v>
      </c>
      <c r="AD594" s="11">
        <f>IFERROR(__xludf.DUMMYFUNCTION("""COMPUTED_VALUE"""),52.0)</f>
        <v>52</v>
      </c>
    </row>
    <row r="595">
      <c r="A595" s="10" t="str">
        <f>IFERROR(__xludf.DUMMYFUNCTION("""COMPUTED_VALUE"""),"Rival")</f>
        <v>Rival</v>
      </c>
      <c r="B595" s="10" t="str">
        <f>IFERROR(__xludf.DUMMYFUNCTION("""COMPUTED_VALUE"""),"RSC006748")</f>
        <v>RSC006748</v>
      </c>
      <c r="C595" s="10" t="str">
        <f>IFERROR(__xludf.DUMMYFUNCTION("""COMPUTED_VALUE"""),"Llamaboy101")</f>
        <v>Llamaboy101</v>
      </c>
      <c r="D595" s="36" t="str">
        <f>IFERROR(__xludf.DUMMYFUNCTION("""COMPUTED_VALUE"""),"Guards")</f>
        <v>Guards</v>
      </c>
      <c r="E595" s="10" t="str">
        <f>IFERROR(__xludf.DUMMYFUNCTION("""COMPUTED_VALUE"""),"Lunar")</f>
        <v>Lunar</v>
      </c>
      <c r="F595" s="37">
        <f>IFERROR(__xludf.DUMMYFUNCTION("""COMPUTED_VALUE"""),52.75503757929544)</f>
        <v>52.75503758</v>
      </c>
      <c r="G595" s="38">
        <f>IFERROR(__xludf.DUMMYFUNCTION("""COMPUTED_VALUE"""),49.4926588810164)</f>
        <v>49.49265888</v>
      </c>
      <c r="H595" s="38">
        <f>IFERROR(__xludf.DUMMYFUNCTION("""COMPUTED_VALUE"""),51.12384823015592)</f>
        <v>51.12384823</v>
      </c>
      <c r="I595" s="14">
        <f>IFERROR(__xludf.DUMMYFUNCTION("""COMPUTED_VALUE"""),24.0)</f>
        <v>24</v>
      </c>
      <c r="J595" s="11">
        <f>IFERROR(__xludf.DUMMYFUNCTION("IFERROR(FILTER(Stats!$F:$Z,(Stats!$A:$A=$A595)*(Stats!$B:$B=$B595)))"),12.0)</f>
        <v>12</v>
      </c>
      <c r="K595" s="11">
        <f>IFERROR(__xludf.DUMMYFUNCTION("""COMPUTED_VALUE"""),12.0)</f>
        <v>12</v>
      </c>
      <c r="L595" s="12">
        <f>IFERROR(__xludf.DUMMYFUNCTION("""COMPUTED_VALUE"""),0.5)</f>
        <v>0.5</v>
      </c>
      <c r="M595" s="11">
        <f>IFERROR(__xludf.DUMMYFUNCTION("""COMPUTED_VALUE"""),7.0)</f>
        <v>7</v>
      </c>
      <c r="N595" s="11">
        <f>IFERROR(__xludf.DUMMYFUNCTION("""COMPUTED_VALUE"""),8200.0)</f>
        <v>8200</v>
      </c>
      <c r="O595" s="13">
        <f>IFERROR(__xludf.DUMMYFUNCTION("""COMPUTED_VALUE"""),19.0)</f>
        <v>19</v>
      </c>
      <c r="P595" s="14">
        <f>IFERROR(__xludf.DUMMYFUNCTION("""COMPUTED_VALUE"""),13.0)</f>
        <v>13</v>
      </c>
      <c r="Q595" s="13">
        <f>IFERROR(__xludf.DUMMYFUNCTION("""COMPUTED_VALUE"""),33.0)</f>
        <v>33</v>
      </c>
      <c r="R595" s="13">
        <f>IFERROR(__xludf.DUMMYFUNCTION("""COMPUTED_VALUE"""),50.0)</f>
        <v>50</v>
      </c>
      <c r="S595" s="15">
        <f>IFERROR(__xludf.DUMMYFUNCTION("""COMPUTED_VALUE"""),0.38)</f>
        <v>0.38</v>
      </c>
      <c r="T595" s="16">
        <f>IFERROR(__xludf.DUMMYFUNCTION("""COMPUTED_VALUE"""),341.6666666666667)</f>
        <v>341.6666667</v>
      </c>
      <c r="U595" s="16">
        <f>IFERROR(__xludf.DUMMYFUNCTION("""COMPUTED_VALUE"""),0.7916666666666666)</f>
        <v>0.7916666667</v>
      </c>
      <c r="V595" s="16">
        <f>IFERROR(__xludf.DUMMYFUNCTION("""COMPUTED_VALUE"""),0.5416666666666666)</f>
        <v>0.5416666667</v>
      </c>
      <c r="W595" s="16">
        <f>IFERROR(__xludf.DUMMYFUNCTION("""COMPUTED_VALUE"""),1.375)</f>
        <v>1.375</v>
      </c>
      <c r="X595" s="16">
        <f>IFERROR(__xludf.DUMMYFUNCTION("""COMPUTED_VALUE"""),2.0833333333333335)</f>
        <v>2.083333333</v>
      </c>
      <c r="Y595" s="11">
        <f>IFERROR(__xludf.DUMMYFUNCTION("""COMPUTED_VALUE"""),5.0)</f>
        <v>5</v>
      </c>
      <c r="Z595" s="11">
        <f>IFERROR(__xludf.DUMMYFUNCTION("""COMPUTED_VALUE"""),0.0)</f>
        <v>0</v>
      </c>
      <c r="AA595" s="11">
        <f>IFERROR(__xludf.DUMMYFUNCTION("""COMPUTED_VALUE"""),0.0)</f>
        <v>0</v>
      </c>
      <c r="AB595" s="11">
        <f>IFERROR(__xludf.DUMMYFUNCTION("""COMPUTED_VALUE"""),1.0)</f>
        <v>1</v>
      </c>
      <c r="AC595" s="11">
        <f>IFERROR(__xludf.DUMMYFUNCTION("""COMPUTED_VALUE"""),24.0)</f>
        <v>24</v>
      </c>
      <c r="AD595" s="11">
        <f>IFERROR(__xludf.DUMMYFUNCTION("""COMPUTED_VALUE"""),33.0)</f>
        <v>33</v>
      </c>
    </row>
    <row r="596">
      <c r="A596" s="10" t="str">
        <f>IFERROR(__xludf.DUMMYFUNCTION("""COMPUTED_VALUE"""),"Rival")</f>
        <v>Rival</v>
      </c>
      <c r="B596" s="10" t="str">
        <f>IFERROR(__xludf.DUMMYFUNCTION("""COMPUTED_VALUE"""),"RSC007897")</f>
        <v>RSC007897</v>
      </c>
      <c r="C596" s="10" t="str">
        <f>IFERROR(__xludf.DUMMYFUNCTION("""COMPUTED_VALUE"""),"Synnicall")</f>
        <v>Synnicall</v>
      </c>
      <c r="D596" s="36" t="str">
        <f>IFERROR(__xludf.DUMMYFUNCTION("""COMPUTED_VALUE"""),"Purrgatory")</f>
        <v>Purrgatory</v>
      </c>
      <c r="E596" s="10" t="str">
        <f>IFERROR(__xludf.DUMMYFUNCTION("""COMPUTED_VALUE"""),"Solar")</f>
        <v>Solar</v>
      </c>
      <c r="F596" s="37">
        <f>IFERROR(__xludf.DUMMYFUNCTION("""COMPUTED_VALUE"""),49.64159975821826)</f>
        <v>49.64159976</v>
      </c>
      <c r="G596" s="38">
        <f>IFERROR(__xludf.DUMMYFUNCTION("""COMPUTED_VALUE"""),51.65967348076157)</f>
        <v>51.65967348</v>
      </c>
      <c r="H596" s="38">
        <f>IFERROR(__xludf.DUMMYFUNCTION("""COMPUTED_VALUE"""),50.650636619489916)</f>
        <v>50.65063662</v>
      </c>
      <c r="I596" s="14">
        <f>IFERROR(__xludf.DUMMYFUNCTION("""COMPUTED_VALUE"""),46.0)</f>
        <v>46</v>
      </c>
      <c r="J596" s="11">
        <f>IFERROR(__xludf.DUMMYFUNCTION("IFERROR(FILTER(Stats!$F:$Z,(Stats!$A:$A=$A596)*(Stats!$B:$B=$B596)))"),21.0)</f>
        <v>21</v>
      </c>
      <c r="K596" s="11">
        <f>IFERROR(__xludf.DUMMYFUNCTION("""COMPUTED_VALUE"""),25.0)</f>
        <v>25</v>
      </c>
      <c r="L596" s="12">
        <f>IFERROR(__xludf.DUMMYFUNCTION("""COMPUTED_VALUE"""),0.45652173913043476)</f>
        <v>0.4565217391</v>
      </c>
      <c r="M596" s="11">
        <f>IFERROR(__xludf.DUMMYFUNCTION("""COMPUTED_VALUE"""),5.0)</f>
        <v>5</v>
      </c>
      <c r="N596" s="11">
        <f>IFERROR(__xludf.DUMMYFUNCTION("""COMPUTED_VALUE"""),15800.0)</f>
        <v>15800</v>
      </c>
      <c r="O596" s="13">
        <f>IFERROR(__xludf.DUMMYFUNCTION("""COMPUTED_VALUE"""),32.0)</f>
        <v>32</v>
      </c>
      <c r="P596" s="14">
        <f>IFERROR(__xludf.DUMMYFUNCTION("""COMPUTED_VALUE"""),21.0)</f>
        <v>21</v>
      </c>
      <c r="Q596" s="13">
        <f>IFERROR(__xludf.DUMMYFUNCTION("""COMPUTED_VALUE"""),69.0)</f>
        <v>69</v>
      </c>
      <c r="R596" s="13">
        <f>IFERROR(__xludf.DUMMYFUNCTION("""COMPUTED_VALUE"""),128.0)</f>
        <v>128</v>
      </c>
      <c r="S596" s="15">
        <f>IFERROR(__xludf.DUMMYFUNCTION("""COMPUTED_VALUE"""),0.25)</f>
        <v>0.25</v>
      </c>
      <c r="T596" s="16">
        <f>IFERROR(__xludf.DUMMYFUNCTION("""COMPUTED_VALUE"""),343.4782608695652)</f>
        <v>343.4782609</v>
      </c>
      <c r="U596" s="16">
        <f>IFERROR(__xludf.DUMMYFUNCTION("""COMPUTED_VALUE"""),0.6956521739130435)</f>
        <v>0.6956521739</v>
      </c>
      <c r="V596" s="16">
        <f>IFERROR(__xludf.DUMMYFUNCTION("""COMPUTED_VALUE"""),0.45652173913043476)</f>
        <v>0.4565217391</v>
      </c>
      <c r="W596" s="16">
        <f>IFERROR(__xludf.DUMMYFUNCTION("""COMPUTED_VALUE"""),1.5)</f>
        <v>1.5</v>
      </c>
      <c r="X596" s="16">
        <f>IFERROR(__xludf.DUMMYFUNCTION("""COMPUTED_VALUE"""),2.782608695652174)</f>
        <v>2.782608696</v>
      </c>
      <c r="Y596" s="11">
        <f>IFERROR(__xludf.DUMMYFUNCTION("""COMPUTED_VALUE"""),8.0)</f>
        <v>8</v>
      </c>
      <c r="Z596" s="11">
        <f>IFERROR(__xludf.DUMMYFUNCTION("""COMPUTED_VALUE"""),0.0)</f>
        <v>0</v>
      </c>
      <c r="AA596" s="11">
        <f>IFERROR(__xludf.DUMMYFUNCTION("""COMPUTED_VALUE"""),1.0)</f>
        <v>1</v>
      </c>
      <c r="AB596" s="11">
        <f>IFERROR(__xludf.DUMMYFUNCTION("""COMPUTED_VALUE"""),6.0)</f>
        <v>6</v>
      </c>
      <c r="AC596" s="11">
        <f>IFERROR(__xludf.DUMMYFUNCTION("""COMPUTED_VALUE"""),37.0)</f>
        <v>37</v>
      </c>
      <c r="AD596" s="11">
        <f>IFERROR(__xludf.DUMMYFUNCTION("""COMPUTED_VALUE"""),36.0)</f>
        <v>36</v>
      </c>
    </row>
    <row r="597">
      <c r="A597" s="10" t="str">
        <f>IFERROR(__xludf.DUMMYFUNCTION("""COMPUTED_VALUE"""),"Rival")</f>
        <v>Rival</v>
      </c>
      <c r="B597" s="10" t="str">
        <f>IFERROR(__xludf.DUMMYFUNCTION("""COMPUTED_VALUE"""),"RSC004888")</f>
        <v>RSC004888</v>
      </c>
      <c r="C597" s="10" t="str">
        <f>IFERROR(__xludf.DUMMYFUNCTION("""COMPUTED_VALUE"""),"AgentAnime07")</f>
        <v>AgentAnime07</v>
      </c>
      <c r="D597" s="36" t="str">
        <f>IFERROR(__xludf.DUMMYFUNCTION("""COMPUTED_VALUE"""),"Polar Bears")</f>
        <v>Polar Bears</v>
      </c>
      <c r="E597" s="10" t="str">
        <f>IFERROR(__xludf.DUMMYFUNCTION("""COMPUTED_VALUE"""),"Solar")</f>
        <v>Solar</v>
      </c>
      <c r="F597" s="37">
        <f>IFERROR(__xludf.DUMMYFUNCTION("""COMPUTED_VALUE"""),53.06665784532077)</f>
        <v>53.06665785</v>
      </c>
      <c r="G597" s="38">
        <f>IFERROR(__xludf.DUMMYFUNCTION("""COMPUTED_VALUE"""),47.59419539083672)</f>
        <v>47.59419539</v>
      </c>
      <c r="H597" s="38">
        <f>IFERROR(__xludf.DUMMYFUNCTION("""COMPUTED_VALUE"""),50.33042661807875)</f>
        <v>50.33042662</v>
      </c>
      <c r="I597" s="14">
        <f>IFERROR(__xludf.DUMMYFUNCTION("""COMPUTED_VALUE"""),39.0)</f>
        <v>39</v>
      </c>
      <c r="J597" s="11">
        <f>IFERROR(__xludf.DUMMYFUNCTION("IFERROR(FILTER(Stats!$F:$Z,(Stats!$A:$A=$A597)*(Stats!$B:$B=$B597)))"),19.0)</f>
        <v>19</v>
      </c>
      <c r="K597" s="11">
        <f>IFERROR(__xludf.DUMMYFUNCTION("""COMPUTED_VALUE"""),20.0)</f>
        <v>20</v>
      </c>
      <c r="L597" s="12">
        <f>IFERROR(__xludf.DUMMYFUNCTION("""COMPUTED_VALUE"""),0.48717948717948717)</f>
        <v>0.4871794872</v>
      </c>
      <c r="M597" s="11">
        <f>IFERROR(__xludf.DUMMYFUNCTION("""COMPUTED_VALUE"""),8.0)</f>
        <v>8</v>
      </c>
      <c r="N597" s="11">
        <f>IFERROR(__xludf.DUMMYFUNCTION("""COMPUTED_VALUE"""),14048.0)</f>
        <v>14048</v>
      </c>
      <c r="O597" s="13">
        <f>IFERROR(__xludf.DUMMYFUNCTION("""COMPUTED_VALUE"""),28.0)</f>
        <v>28</v>
      </c>
      <c r="P597" s="14">
        <f>IFERROR(__xludf.DUMMYFUNCTION("""COMPUTED_VALUE"""),17.0)</f>
        <v>17</v>
      </c>
      <c r="Q597" s="13">
        <f>IFERROR(__xludf.DUMMYFUNCTION("""COMPUTED_VALUE"""),64.0)</f>
        <v>64</v>
      </c>
      <c r="R597" s="13">
        <f>IFERROR(__xludf.DUMMYFUNCTION("""COMPUTED_VALUE"""),98.0)</f>
        <v>98</v>
      </c>
      <c r="S597" s="15">
        <f>IFERROR(__xludf.DUMMYFUNCTION("""COMPUTED_VALUE"""),0.2857142857142857)</f>
        <v>0.2857142857</v>
      </c>
      <c r="T597" s="16">
        <f>IFERROR(__xludf.DUMMYFUNCTION("""COMPUTED_VALUE"""),360.20512820512823)</f>
        <v>360.2051282</v>
      </c>
      <c r="U597" s="16">
        <f>IFERROR(__xludf.DUMMYFUNCTION("""COMPUTED_VALUE"""),0.717948717948718)</f>
        <v>0.7179487179</v>
      </c>
      <c r="V597" s="16">
        <f>IFERROR(__xludf.DUMMYFUNCTION("""COMPUTED_VALUE"""),0.4358974358974359)</f>
        <v>0.4358974359</v>
      </c>
      <c r="W597" s="16">
        <f>IFERROR(__xludf.DUMMYFUNCTION("""COMPUTED_VALUE"""),1.641025641025641)</f>
        <v>1.641025641</v>
      </c>
      <c r="X597" s="16">
        <f>IFERROR(__xludf.DUMMYFUNCTION("""COMPUTED_VALUE"""),2.5128205128205128)</f>
        <v>2.512820513</v>
      </c>
      <c r="Y597" s="11">
        <f>IFERROR(__xludf.DUMMYFUNCTION("""COMPUTED_VALUE"""),6.0)</f>
        <v>6</v>
      </c>
      <c r="Z597" s="11">
        <f>IFERROR(__xludf.DUMMYFUNCTION("""COMPUTED_VALUE"""),2.0)</f>
        <v>2</v>
      </c>
      <c r="AA597" s="11">
        <f>IFERROR(__xludf.DUMMYFUNCTION("""COMPUTED_VALUE"""),1.0)</f>
        <v>1</v>
      </c>
      <c r="AB597" s="11">
        <f>IFERROR(__xludf.DUMMYFUNCTION("""COMPUTED_VALUE"""),8.0)</f>
        <v>8</v>
      </c>
      <c r="AC597" s="11">
        <f>IFERROR(__xludf.DUMMYFUNCTION("""COMPUTED_VALUE"""),38.0)</f>
        <v>38</v>
      </c>
      <c r="AD597" s="11">
        <f>IFERROR(__xludf.DUMMYFUNCTION("""COMPUTED_VALUE"""),36.0)</f>
        <v>36</v>
      </c>
    </row>
    <row r="598">
      <c r="A598" s="10" t="str">
        <f>IFERROR(__xludf.DUMMYFUNCTION("""COMPUTED_VALUE"""),"Rival")</f>
        <v>Rival</v>
      </c>
      <c r="B598" s="10" t="str">
        <f>IFERROR(__xludf.DUMMYFUNCTION("""COMPUTED_VALUE"""),"RSC006069")</f>
        <v>RSC006069</v>
      </c>
      <c r="C598" s="10" t="str">
        <f>IFERROR(__xludf.DUMMYFUNCTION("""COMPUTED_VALUE"""),"PoupSoup")</f>
        <v>PoupSoup</v>
      </c>
      <c r="D598" s="36" t="str">
        <f>IFERROR(__xludf.DUMMYFUNCTION("""COMPUTED_VALUE"""),"Howlers")</f>
        <v>Howlers</v>
      </c>
      <c r="E598" s="10" t="str">
        <f>IFERROR(__xludf.DUMMYFUNCTION("""COMPUTED_VALUE"""),"Solar")</f>
        <v>Solar</v>
      </c>
      <c r="F598" s="37">
        <f>IFERROR(__xludf.DUMMYFUNCTION("""COMPUTED_VALUE"""),49.2889259637275)</f>
        <v>49.28892596</v>
      </c>
      <c r="G598" s="38">
        <f>IFERROR(__xludf.DUMMYFUNCTION("""COMPUTED_VALUE"""),50.26028687663356)</f>
        <v>50.26028688</v>
      </c>
      <c r="H598" s="38">
        <f>IFERROR(__xludf.DUMMYFUNCTION("""COMPUTED_VALUE"""),49.77460642018053)</f>
        <v>49.77460642</v>
      </c>
      <c r="I598" s="14">
        <f>IFERROR(__xludf.DUMMYFUNCTION("""COMPUTED_VALUE"""),55.0)</f>
        <v>55</v>
      </c>
      <c r="J598" s="11">
        <f>IFERROR(__xludf.DUMMYFUNCTION("IFERROR(FILTER(Stats!$F:$Z,(Stats!$A:$A=$A598)*(Stats!$B:$B=$B598)))"),29.0)</f>
        <v>29</v>
      </c>
      <c r="K598" s="11">
        <f>IFERROR(__xludf.DUMMYFUNCTION("""COMPUTED_VALUE"""),26.0)</f>
        <v>26</v>
      </c>
      <c r="L598" s="12">
        <f>IFERROR(__xludf.DUMMYFUNCTION("""COMPUTED_VALUE"""),0.5272727272727272)</f>
        <v>0.5272727273</v>
      </c>
      <c r="M598" s="11">
        <f>IFERROR(__xludf.DUMMYFUNCTION("""COMPUTED_VALUE"""),10.0)</f>
        <v>10</v>
      </c>
      <c r="N598" s="11">
        <f>IFERROR(__xludf.DUMMYFUNCTION("""COMPUTED_VALUE"""),18132.0)</f>
        <v>18132</v>
      </c>
      <c r="O598" s="13">
        <f>IFERROR(__xludf.DUMMYFUNCTION("""COMPUTED_VALUE"""),37.0)</f>
        <v>37</v>
      </c>
      <c r="P598" s="14">
        <f>IFERROR(__xludf.DUMMYFUNCTION("""COMPUTED_VALUE"""),24.0)</f>
        <v>24</v>
      </c>
      <c r="Q598" s="13">
        <f>IFERROR(__xludf.DUMMYFUNCTION("""COMPUTED_VALUE"""),68.0)</f>
        <v>68</v>
      </c>
      <c r="R598" s="13">
        <f>IFERROR(__xludf.DUMMYFUNCTION("""COMPUTED_VALUE"""),153.0)</f>
        <v>153</v>
      </c>
      <c r="S598" s="15">
        <f>IFERROR(__xludf.DUMMYFUNCTION("""COMPUTED_VALUE"""),0.24183006535947713)</f>
        <v>0.2418300654</v>
      </c>
      <c r="T598" s="16">
        <f>IFERROR(__xludf.DUMMYFUNCTION("""COMPUTED_VALUE"""),329.6727272727273)</f>
        <v>329.6727273</v>
      </c>
      <c r="U598" s="16">
        <f>IFERROR(__xludf.DUMMYFUNCTION("""COMPUTED_VALUE"""),0.6727272727272727)</f>
        <v>0.6727272727</v>
      </c>
      <c r="V598" s="16">
        <f>IFERROR(__xludf.DUMMYFUNCTION("""COMPUTED_VALUE"""),0.43636363636363634)</f>
        <v>0.4363636364</v>
      </c>
      <c r="W598" s="16">
        <f>IFERROR(__xludf.DUMMYFUNCTION("""COMPUTED_VALUE"""),1.2363636363636363)</f>
        <v>1.236363636</v>
      </c>
      <c r="X598" s="16">
        <f>IFERROR(__xludf.DUMMYFUNCTION("""COMPUTED_VALUE"""),2.7818181818181817)</f>
        <v>2.781818182</v>
      </c>
      <c r="Y598" s="11">
        <f>IFERROR(__xludf.DUMMYFUNCTION("""COMPUTED_VALUE"""),9.0)</f>
        <v>9</v>
      </c>
      <c r="Z598" s="11">
        <f>IFERROR(__xludf.DUMMYFUNCTION("""COMPUTED_VALUE"""),1.0)</f>
        <v>1</v>
      </c>
      <c r="AA598" s="11">
        <f>IFERROR(__xludf.DUMMYFUNCTION("""COMPUTED_VALUE"""),0.0)</f>
        <v>0</v>
      </c>
      <c r="AB598" s="11">
        <f>IFERROR(__xludf.DUMMYFUNCTION("""COMPUTED_VALUE"""),5.0)</f>
        <v>5</v>
      </c>
      <c r="AC598" s="11">
        <f>IFERROR(__xludf.DUMMYFUNCTION("""COMPUTED_VALUE"""),57.0)</f>
        <v>57</v>
      </c>
      <c r="AD598" s="11">
        <f>IFERROR(__xludf.DUMMYFUNCTION("""COMPUTED_VALUE"""),47.0)</f>
        <v>47</v>
      </c>
    </row>
    <row r="599">
      <c r="A599" s="10" t="str">
        <f>IFERROR(__xludf.DUMMYFUNCTION("""COMPUTED_VALUE"""),"Rival")</f>
        <v>Rival</v>
      </c>
      <c r="B599" s="10" t="str">
        <f>IFERROR(__xludf.DUMMYFUNCTION("""COMPUTED_VALUE"""),"RSC002415")</f>
        <v>RSC002415</v>
      </c>
      <c r="C599" s="10" t="str">
        <f>IFERROR(__xludf.DUMMYFUNCTION("""COMPUTED_VALUE"""),"Goum")</f>
        <v>Goum</v>
      </c>
      <c r="D599" s="36" t="str">
        <f>IFERROR(__xludf.DUMMYFUNCTION("""COMPUTED_VALUE"""),"Lacuna
Gaboons")</f>
        <v>Lacuna
Gaboons</v>
      </c>
      <c r="E599" s="10" t="str">
        <f>IFERROR(__xludf.DUMMYFUNCTION("""COMPUTED_VALUE"""),"Solar
Lunar")</f>
        <v>Solar
Lunar</v>
      </c>
      <c r="F599" s="37">
        <f>IFERROR(__xludf.DUMMYFUNCTION("""COMPUTED_VALUE"""),49.05074886250104)</f>
        <v>49.05074886</v>
      </c>
      <c r="G599" s="38">
        <f>IFERROR(__xludf.DUMMYFUNCTION("""COMPUTED_VALUE"""),50.43426494907009)</f>
        <v>50.43426495</v>
      </c>
      <c r="H599" s="38">
        <f>IFERROR(__xludf.DUMMYFUNCTION("""COMPUTED_VALUE"""),49.74250690578556)</f>
        <v>49.74250691</v>
      </c>
      <c r="I599" s="14">
        <f>IFERROR(__xludf.DUMMYFUNCTION("""COMPUTED_VALUE"""),12.0)</f>
        <v>12</v>
      </c>
      <c r="J599" s="11">
        <f>IFERROR(__xludf.DUMMYFUNCTION("IFERROR(FILTER(Stats!$F:$Z,(Stats!$A:$A=$A599)*(Stats!$B:$B=$B599)))"),7.0)</f>
        <v>7</v>
      </c>
      <c r="K599" s="11">
        <f>IFERROR(__xludf.DUMMYFUNCTION("""COMPUTED_VALUE"""),5.0)</f>
        <v>5</v>
      </c>
      <c r="L599" s="12">
        <f>IFERROR(__xludf.DUMMYFUNCTION("""COMPUTED_VALUE"""),0.5833333333333334)</f>
        <v>0.5833333333</v>
      </c>
      <c r="M599" s="11">
        <f>IFERROR(__xludf.DUMMYFUNCTION("""COMPUTED_VALUE"""),2.0)</f>
        <v>2</v>
      </c>
      <c r="N599" s="11">
        <f>IFERROR(__xludf.DUMMYFUNCTION("""COMPUTED_VALUE"""),3999.0)</f>
        <v>3999</v>
      </c>
      <c r="O599" s="13">
        <f>IFERROR(__xludf.DUMMYFUNCTION("""COMPUTED_VALUE"""),6.0)</f>
        <v>6</v>
      </c>
      <c r="P599" s="14">
        <f>IFERROR(__xludf.DUMMYFUNCTION("""COMPUTED_VALUE"""),10.0)</f>
        <v>10</v>
      </c>
      <c r="Q599" s="13">
        <f>IFERROR(__xludf.DUMMYFUNCTION("""COMPUTED_VALUE"""),13.0)</f>
        <v>13</v>
      </c>
      <c r="R599" s="13">
        <f>IFERROR(__xludf.DUMMYFUNCTION("""COMPUTED_VALUE"""),25.0)</f>
        <v>25</v>
      </c>
      <c r="S599" s="15">
        <f>IFERROR(__xludf.DUMMYFUNCTION("""COMPUTED_VALUE"""),0.24)</f>
        <v>0.24</v>
      </c>
      <c r="T599" s="16">
        <f>IFERROR(__xludf.DUMMYFUNCTION("""COMPUTED_VALUE"""),333.25)</f>
        <v>333.25</v>
      </c>
      <c r="U599" s="16">
        <f>IFERROR(__xludf.DUMMYFUNCTION("""COMPUTED_VALUE"""),0.5)</f>
        <v>0.5</v>
      </c>
      <c r="V599" s="16">
        <f>IFERROR(__xludf.DUMMYFUNCTION("""COMPUTED_VALUE"""),0.8333333333333334)</f>
        <v>0.8333333333</v>
      </c>
      <c r="W599" s="16">
        <f>IFERROR(__xludf.DUMMYFUNCTION("""COMPUTED_VALUE"""),1.0833333333333333)</f>
        <v>1.083333333</v>
      </c>
      <c r="X599" s="16">
        <f>IFERROR(__xludf.DUMMYFUNCTION("""COMPUTED_VALUE"""),2.0833333333333335)</f>
        <v>2.083333333</v>
      </c>
      <c r="Y599" s="11">
        <f>IFERROR(__xludf.DUMMYFUNCTION("""COMPUTED_VALUE"""),2.0)</f>
        <v>2</v>
      </c>
      <c r="Z599" s="11">
        <f>IFERROR(__xludf.DUMMYFUNCTION("""COMPUTED_VALUE"""),0.0)</f>
        <v>0</v>
      </c>
      <c r="AA599" s="11">
        <f>IFERROR(__xludf.DUMMYFUNCTION("""COMPUTED_VALUE"""),1.0)</f>
        <v>1</v>
      </c>
      <c r="AB599" s="11">
        <f>IFERROR(__xludf.DUMMYFUNCTION("""COMPUTED_VALUE"""),1.0)</f>
        <v>1</v>
      </c>
      <c r="AC599" s="11">
        <f>IFERROR(__xludf.DUMMYFUNCTION("""COMPUTED_VALUE"""),8.0)</f>
        <v>8</v>
      </c>
      <c r="AD599" s="11">
        <f>IFERROR(__xludf.DUMMYFUNCTION("""COMPUTED_VALUE"""),10.0)</f>
        <v>10</v>
      </c>
    </row>
    <row r="600">
      <c r="A600" s="10" t="str">
        <f>IFERROR(__xludf.DUMMYFUNCTION("""COMPUTED_VALUE"""),"Rival")</f>
        <v>Rival</v>
      </c>
      <c r="B600" s="10" t="str">
        <f>IFERROR(__xludf.DUMMYFUNCTION("""COMPUTED_VALUE"""),"RSC007590")</f>
        <v>RSC007590</v>
      </c>
      <c r="C600" s="10" t="str">
        <f>IFERROR(__xludf.DUMMYFUNCTION("""COMPUTED_VALUE"""),"DonkeyPancakes2")</f>
        <v>DonkeyPancakes2</v>
      </c>
      <c r="D600" s="36" t="str">
        <f>IFERROR(__xludf.DUMMYFUNCTION("""COMPUTED_VALUE"""),"Hippos")</f>
        <v>Hippos</v>
      </c>
      <c r="E600" s="10" t="str">
        <f>IFERROR(__xludf.DUMMYFUNCTION("""COMPUTED_VALUE"""),"Lunar")</f>
        <v>Lunar</v>
      </c>
      <c r="F600" s="37">
        <f>IFERROR(__xludf.DUMMYFUNCTION("""COMPUTED_VALUE"""),47.15089752295113)</f>
        <v>47.15089752</v>
      </c>
      <c r="G600" s="38">
        <f>IFERROR(__xludf.DUMMYFUNCTION("""COMPUTED_VALUE"""),51.524405644855904)</f>
        <v>51.52440564</v>
      </c>
      <c r="H600" s="38">
        <f>IFERROR(__xludf.DUMMYFUNCTION("""COMPUTED_VALUE"""),49.337651583903515)</f>
        <v>49.33765158</v>
      </c>
      <c r="I600" s="14">
        <f>IFERROR(__xludf.DUMMYFUNCTION("""COMPUTED_VALUE"""),29.0)</f>
        <v>29</v>
      </c>
      <c r="J600" s="11">
        <f>IFERROR(__xludf.DUMMYFUNCTION("IFERROR(FILTER(Stats!$F:$Z,(Stats!$A:$A=$A600)*(Stats!$B:$B=$B600)))"),19.0)</f>
        <v>19</v>
      </c>
      <c r="K600" s="11">
        <f>IFERROR(__xludf.DUMMYFUNCTION("""COMPUTED_VALUE"""),10.0)</f>
        <v>10</v>
      </c>
      <c r="L600" s="12">
        <f>IFERROR(__xludf.DUMMYFUNCTION("""COMPUTED_VALUE"""),0.6551724137931034)</f>
        <v>0.6551724138</v>
      </c>
      <c r="M600" s="11">
        <f>IFERROR(__xludf.DUMMYFUNCTION("""COMPUTED_VALUE"""),4.0)</f>
        <v>4</v>
      </c>
      <c r="N600" s="11">
        <f>IFERROR(__xludf.DUMMYFUNCTION("""COMPUTED_VALUE"""),8503.0)</f>
        <v>8503</v>
      </c>
      <c r="O600" s="13">
        <f>IFERROR(__xludf.DUMMYFUNCTION("""COMPUTED_VALUE"""),17.0)</f>
        <v>17</v>
      </c>
      <c r="P600" s="14">
        <f>IFERROR(__xludf.DUMMYFUNCTION("""COMPUTED_VALUE"""),18.0)</f>
        <v>18</v>
      </c>
      <c r="Q600" s="13">
        <f>IFERROR(__xludf.DUMMYFUNCTION("""COMPUTED_VALUE"""),29.0)</f>
        <v>29</v>
      </c>
      <c r="R600" s="13">
        <f>IFERROR(__xludf.DUMMYFUNCTION("""COMPUTED_VALUE"""),67.0)</f>
        <v>67</v>
      </c>
      <c r="S600" s="15">
        <f>IFERROR(__xludf.DUMMYFUNCTION("""COMPUTED_VALUE"""),0.2537313432835821)</f>
        <v>0.2537313433</v>
      </c>
      <c r="T600" s="16">
        <f>IFERROR(__xludf.DUMMYFUNCTION("""COMPUTED_VALUE"""),293.2068965517241)</f>
        <v>293.2068966</v>
      </c>
      <c r="U600" s="16">
        <f>IFERROR(__xludf.DUMMYFUNCTION("""COMPUTED_VALUE"""),0.5862068965517241)</f>
        <v>0.5862068966</v>
      </c>
      <c r="V600" s="16">
        <f>IFERROR(__xludf.DUMMYFUNCTION("""COMPUTED_VALUE"""),0.6206896551724138)</f>
        <v>0.6206896552</v>
      </c>
      <c r="W600" s="16">
        <f>IFERROR(__xludf.DUMMYFUNCTION("""COMPUTED_VALUE"""),1.0)</f>
        <v>1</v>
      </c>
      <c r="X600" s="16">
        <f>IFERROR(__xludf.DUMMYFUNCTION("""COMPUTED_VALUE"""),2.310344827586207)</f>
        <v>2.310344828</v>
      </c>
      <c r="Y600" s="11">
        <f>IFERROR(__xludf.DUMMYFUNCTION("""COMPUTED_VALUE"""),0.0)</f>
        <v>0</v>
      </c>
      <c r="Z600" s="11">
        <f>IFERROR(__xludf.DUMMYFUNCTION("""COMPUTED_VALUE"""),1.0)</f>
        <v>1</v>
      </c>
      <c r="AA600" s="11">
        <f>IFERROR(__xludf.DUMMYFUNCTION("""COMPUTED_VALUE"""),0.0)</f>
        <v>0</v>
      </c>
      <c r="AB600" s="11">
        <f>IFERROR(__xludf.DUMMYFUNCTION("""COMPUTED_VALUE"""),2.0)</f>
        <v>2</v>
      </c>
      <c r="AC600" s="11">
        <f>IFERROR(__xludf.DUMMYFUNCTION("""COMPUTED_VALUE"""),22.0)</f>
        <v>22</v>
      </c>
      <c r="AD600" s="11">
        <f>IFERROR(__xludf.DUMMYFUNCTION("""COMPUTED_VALUE"""),29.0)</f>
        <v>29</v>
      </c>
    </row>
    <row r="601">
      <c r="A601" s="10" t="str">
        <f>IFERROR(__xludf.DUMMYFUNCTION("""COMPUTED_VALUE"""),"Rival")</f>
        <v>Rival</v>
      </c>
      <c r="B601" s="10" t="str">
        <f>IFERROR(__xludf.DUMMYFUNCTION("""COMPUTED_VALUE"""),"RSC002427")</f>
        <v>RSC002427</v>
      </c>
      <c r="C601" s="10" t="str">
        <f>IFERROR(__xludf.DUMMYFUNCTION("""COMPUTED_VALUE"""),"Free.")</f>
        <v>Free.</v>
      </c>
      <c r="D601" s="36" t="str">
        <f>IFERROR(__xludf.DUMMYFUNCTION("""COMPUTED_VALUE"""),"Samurai
Hammerheads")</f>
        <v>Samurai
Hammerheads</v>
      </c>
      <c r="E601" s="10" t="str">
        <f>IFERROR(__xludf.DUMMYFUNCTION("""COMPUTED_VALUE"""),"Lunar
Solar")</f>
        <v>Lunar
Solar</v>
      </c>
      <c r="F601" s="37">
        <f>IFERROR(__xludf.DUMMYFUNCTION("""COMPUTED_VALUE"""),51.155668063170374)</f>
        <v>51.15566806</v>
      </c>
      <c r="G601" s="38">
        <f>IFERROR(__xludf.DUMMYFUNCTION("""COMPUTED_VALUE"""),47.32587602176183)</f>
        <v>47.32587602</v>
      </c>
      <c r="H601" s="38">
        <f>IFERROR(__xludf.DUMMYFUNCTION("""COMPUTED_VALUE"""),49.240772042466105)</f>
        <v>49.24077204</v>
      </c>
      <c r="I601" s="14">
        <f>IFERROR(__xludf.DUMMYFUNCTION("""COMPUTED_VALUE"""),40.0)</f>
        <v>40</v>
      </c>
      <c r="J601" s="11">
        <f>IFERROR(__xludf.DUMMYFUNCTION("IFERROR(FILTER(Stats!$F:$Z,(Stats!$A:$A=$A601)*(Stats!$B:$B=$B601)))"),17.0)</f>
        <v>17</v>
      </c>
      <c r="K601" s="11">
        <f>IFERROR(__xludf.DUMMYFUNCTION("""COMPUTED_VALUE"""),23.0)</f>
        <v>23</v>
      </c>
      <c r="L601" s="12">
        <f>IFERROR(__xludf.DUMMYFUNCTION("""COMPUTED_VALUE"""),0.425)</f>
        <v>0.425</v>
      </c>
      <c r="M601" s="11">
        <f>IFERROR(__xludf.DUMMYFUNCTION("""COMPUTED_VALUE"""),7.0)</f>
        <v>7</v>
      </c>
      <c r="N601" s="11">
        <f>IFERROR(__xludf.DUMMYFUNCTION("""COMPUTED_VALUE"""),13033.0)</f>
        <v>13033</v>
      </c>
      <c r="O601" s="13">
        <f>IFERROR(__xludf.DUMMYFUNCTION("""COMPUTED_VALUE"""),32.0)</f>
        <v>32</v>
      </c>
      <c r="P601" s="14">
        <f>IFERROR(__xludf.DUMMYFUNCTION("""COMPUTED_VALUE"""),16.0)</f>
        <v>16</v>
      </c>
      <c r="Q601" s="13">
        <f>IFERROR(__xludf.DUMMYFUNCTION("""COMPUTED_VALUE"""),45.0)</f>
        <v>45</v>
      </c>
      <c r="R601" s="13">
        <f>IFERROR(__xludf.DUMMYFUNCTION("""COMPUTED_VALUE"""),113.0)</f>
        <v>113</v>
      </c>
      <c r="S601" s="15">
        <f>IFERROR(__xludf.DUMMYFUNCTION("""COMPUTED_VALUE"""),0.2831858407079646)</f>
        <v>0.2831858407</v>
      </c>
      <c r="T601" s="16">
        <f>IFERROR(__xludf.DUMMYFUNCTION("""COMPUTED_VALUE"""),325.825)</f>
        <v>325.825</v>
      </c>
      <c r="U601" s="16">
        <f>IFERROR(__xludf.DUMMYFUNCTION("""COMPUTED_VALUE"""),0.8)</f>
        <v>0.8</v>
      </c>
      <c r="V601" s="16">
        <f>IFERROR(__xludf.DUMMYFUNCTION("""COMPUTED_VALUE"""),0.4)</f>
        <v>0.4</v>
      </c>
      <c r="W601" s="16">
        <f>IFERROR(__xludf.DUMMYFUNCTION("""COMPUTED_VALUE"""),1.125)</f>
        <v>1.125</v>
      </c>
      <c r="X601" s="16">
        <f>IFERROR(__xludf.DUMMYFUNCTION("""COMPUTED_VALUE"""),2.825)</f>
        <v>2.825</v>
      </c>
      <c r="Y601" s="11">
        <f>IFERROR(__xludf.DUMMYFUNCTION("""COMPUTED_VALUE"""),7.0)</f>
        <v>7</v>
      </c>
      <c r="Z601" s="11">
        <f>IFERROR(__xludf.DUMMYFUNCTION("""COMPUTED_VALUE"""),2.0)</f>
        <v>2</v>
      </c>
      <c r="AA601" s="11">
        <f>IFERROR(__xludf.DUMMYFUNCTION("""COMPUTED_VALUE"""),0.0)</f>
        <v>0</v>
      </c>
      <c r="AB601" s="11">
        <f>IFERROR(__xludf.DUMMYFUNCTION("""COMPUTED_VALUE"""),5.0)</f>
        <v>5</v>
      </c>
      <c r="AC601" s="11">
        <f>IFERROR(__xludf.DUMMYFUNCTION("""COMPUTED_VALUE"""),28.0)</f>
        <v>28</v>
      </c>
      <c r="AD601" s="11">
        <f>IFERROR(__xludf.DUMMYFUNCTION("""COMPUTED_VALUE"""),49.0)</f>
        <v>49</v>
      </c>
    </row>
    <row r="602">
      <c r="A602" s="10" t="str">
        <f>IFERROR(__xludf.DUMMYFUNCTION("""COMPUTED_VALUE"""),"Rival")</f>
        <v>Rival</v>
      </c>
      <c r="B602" s="10" t="str">
        <f>IFERROR(__xludf.DUMMYFUNCTION("""COMPUTED_VALUE"""),"RSC002931")</f>
        <v>RSC002931</v>
      </c>
      <c r="C602" s="10" t="str">
        <f>IFERROR(__xludf.DUMMYFUNCTION("""COMPUTED_VALUE"""),"Reeky")</f>
        <v>Reeky</v>
      </c>
      <c r="D602" s="36" t="str">
        <f>IFERROR(__xludf.DUMMYFUNCTION("""COMPUTED_VALUE"""),"Mining Legion
Tax Evaders")</f>
        <v>Mining Legion
Tax Evaders</v>
      </c>
      <c r="E602" s="10" t="str">
        <f>IFERROR(__xludf.DUMMYFUNCTION("""COMPUTED_VALUE"""),"Lunar
Lunar")</f>
        <v>Lunar
Lunar</v>
      </c>
      <c r="F602" s="37">
        <f>IFERROR(__xludf.DUMMYFUNCTION("""COMPUTED_VALUE"""),49.60536455856229)</f>
        <v>49.60536456</v>
      </c>
      <c r="G602" s="38">
        <f>IFERROR(__xludf.DUMMYFUNCTION("""COMPUTED_VALUE"""),48.38759106127997)</f>
        <v>48.38759106</v>
      </c>
      <c r="H602" s="38">
        <f>IFERROR(__xludf.DUMMYFUNCTION("""COMPUTED_VALUE"""),48.99647780992113)</f>
        <v>48.99647781</v>
      </c>
      <c r="I602" s="14">
        <f>IFERROR(__xludf.DUMMYFUNCTION("""COMPUTED_VALUE"""),23.0)</f>
        <v>23</v>
      </c>
      <c r="J602" s="11">
        <f>IFERROR(__xludf.DUMMYFUNCTION("IFERROR(FILTER(Stats!$F:$Z,(Stats!$A:$A=$A602)*(Stats!$B:$B=$B602)))"),13.0)</f>
        <v>13</v>
      </c>
      <c r="K602" s="11">
        <f>IFERROR(__xludf.DUMMYFUNCTION("""COMPUTED_VALUE"""),10.0)</f>
        <v>10</v>
      </c>
      <c r="L602" s="12">
        <f>IFERROR(__xludf.DUMMYFUNCTION("""COMPUTED_VALUE"""),0.5652173913043478)</f>
        <v>0.5652173913</v>
      </c>
      <c r="M602" s="11">
        <f>IFERROR(__xludf.DUMMYFUNCTION("""COMPUTED_VALUE"""),1.0)</f>
        <v>1</v>
      </c>
      <c r="N602" s="11">
        <f>IFERROR(__xludf.DUMMYFUNCTION("""COMPUTED_VALUE"""),7028.0)</f>
        <v>7028</v>
      </c>
      <c r="O602" s="13">
        <f>IFERROR(__xludf.DUMMYFUNCTION("""COMPUTED_VALUE"""),17.0)</f>
        <v>17</v>
      </c>
      <c r="P602" s="14">
        <f>IFERROR(__xludf.DUMMYFUNCTION("""COMPUTED_VALUE"""),14.0)</f>
        <v>14</v>
      </c>
      <c r="Q602" s="13">
        <f>IFERROR(__xludf.DUMMYFUNCTION("""COMPUTED_VALUE"""),17.0)</f>
        <v>17</v>
      </c>
      <c r="R602" s="13">
        <f>IFERROR(__xludf.DUMMYFUNCTION("""COMPUTED_VALUE"""),43.0)</f>
        <v>43</v>
      </c>
      <c r="S602" s="15">
        <f>IFERROR(__xludf.DUMMYFUNCTION("""COMPUTED_VALUE"""),0.3953488372093023)</f>
        <v>0.3953488372</v>
      </c>
      <c r="T602" s="16">
        <f>IFERROR(__xludf.DUMMYFUNCTION("""COMPUTED_VALUE"""),305.5652173913044)</f>
        <v>305.5652174</v>
      </c>
      <c r="U602" s="16">
        <f>IFERROR(__xludf.DUMMYFUNCTION("""COMPUTED_VALUE"""),0.7391304347826086)</f>
        <v>0.7391304348</v>
      </c>
      <c r="V602" s="16">
        <f>IFERROR(__xludf.DUMMYFUNCTION("""COMPUTED_VALUE"""),0.6086956521739131)</f>
        <v>0.6086956522</v>
      </c>
      <c r="W602" s="16">
        <f>IFERROR(__xludf.DUMMYFUNCTION("""COMPUTED_VALUE"""),0.7391304347826086)</f>
        <v>0.7391304348</v>
      </c>
      <c r="X602" s="16">
        <f>IFERROR(__xludf.DUMMYFUNCTION("""COMPUTED_VALUE"""),1.8695652173913044)</f>
        <v>1.869565217</v>
      </c>
      <c r="Y602" s="11">
        <f>IFERROR(__xludf.DUMMYFUNCTION("""COMPUTED_VALUE"""),5.0)</f>
        <v>5</v>
      </c>
      <c r="Z602" s="11">
        <f>IFERROR(__xludf.DUMMYFUNCTION("""COMPUTED_VALUE"""),0.0)</f>
        <v>0</v>
      </c>
      <c r="AA602" s="11">
        <f>IFERROR(__xludf.DUMMYFUNCTION("""COMPUTED_VALUE"""),1.0)</f>
        <v>1</v>
      </c>
      <c r="AB602" s="11">
        <f>IFERROR(__xludf.DUMMYFUNCTION("""COMPUTED_VALUE"""),0.0)</f>
        <v>0</v>
      </c>
      <c r="AC602" s="11">
        <f>IFERROR(__xludf.DUMMYFUNCTION("""COMPUTED_VALUE"""),30.0)</f>
        <v>30</v>
      </c>
      <c r="AD602" s="11">
        <f>IFERROR(__xludf.DUMMYFUNCTION("""COMPUTED_VALUE"""),17.0)</f>
        <v>17</v>
      </c>
    </row>
    <row r="603">
      <c r="A603" s="10" t="str">
        <f>IFERROR(__xludf.DUMMYFUNCTION("""COMPUTED_VALUE"""),"Rival")</f>
        <v>Rival</v>
      </c>
      <c r="B603" s="10" t="str">
        <f>IFERROR(__xludf.DUMMYFUNCTION("""COMPUTED_VALUE"""),"RSC008293")</f>
        <v>RSC008293</v>
      </c>
      <c r="C603" s="10" t="str">
        <f>IFERROR(__xludf.DUMMYFUNCTION("""COMPUTED_VALUE"""),"Tall_28")</f>
        <v>Tall_28</v>
      </c>
      <c r="D603" s="36" t="str">
        <f>IFERROR(__xludf.DUMMYFUNCTION("""COMPUTED_VALUE"""),"Nightfall")</f>
        <v>Nightfall</v>
      </c>
      <c r="E603" s="10" t="str">
        <f>IFERROR(__xludf.DUMMYFUNCTION("""COMPUTED_VALUE"""),"Lunar")</f>
        <v>Lunar</v>
      </c>
      <c r="F603" s="37">
        <f>IFERROR(__xludf.DUMMYFUNCTION("""COMPUTED_VALUE"""),50.67971518950899)</f>
        <v>50.67971519</v>
      </c>
      <c r="G603" s="38">
        <f>IFERROR(__xludf.DUMMYFUNCTION("""COMPUTED_VALUE"""),47.31127835062626)</f>
        <v>47.31127835</v>
      </c>
      <c r="H603" s="38">
        <f>IFERROR(__xludf.DUMMYFUNCTION("""COMPUTED_VALUE"""),48.995496770067625)</f>
        <v>48.99549677</v>
      </c>
      <c r="I603" s="14">
        <f>IFERROR(__xludf.DUMMYFUNCTION("""COMPUTED_VALUE"""),34.0)</f>
        <v>34</v>
      </c>
      <c r="J603" s="11">
        <f>IFERROR(__xludf.DUMMYFUNCTION("IFERROR(FILTER(Stats!$F:$Z,(Stats!$A:$A=$A603)*(Stats!$B:$B=$B603)))"),16.0)</f>
        <v>16</v>
      </c>
      <c r="K603" s="11">
        <f>IFERROR(__xludf.DUMMYFUNCTION("""COMPUTED_VALUE"""),18.0)</f>
        <v>18</v>
      </c>
      <c r="L603" s="12">
        <f>IFERROR(__xludf.DUMMYFUNCTION("""COMPUTED_VALUE"""),0.47058823529411764)</f>
        <v>0.4705882353</v>
      </c>
      <c r="M603" s="11">
        <f>IFERROR(__xludf.DUMMYFUNCTION("""COMPUTED_VALUE"""),4.0)</f>
        <v>4</v>
      </c>
      <c r="N603" s="11">
        <f>IFERROR(__xludf.DUMMYFUNCTION("""COMPUTED_VALUE"""),11835.0)</f>
        <v>11835</v>
      </c>
      <c r="O603" s="13">
        <f>IFERROR(__xludf.DUMMYFUNCTION("""COMPUTED_VALUE"""),26.0)</f>
        <v>26</v>
      </c>
      <c r="P603" s="14">
        <f>IFERROR(__xludf.DUMMYFUNCTION("""COMPUTED_VALUE"""),16.0)</f>
        <v>16</v>
      </c>
      <c r="Q603" s="13">
        <f>IFERROR(__xludf.DUMMYFUNCTION("""COMPUTED_VALUE"""),50.0)</f>
        <v>50</v>
      </c>
      <c r="R603" s="13">
        <f>IFERROR(__xludf.DUMMYFUNCTION("""COMPUTED_VALUE"""),75.0)</f>
        <v>75</v>
      </c>
      <c r="S603" s="15">
        <f>IFERROR(__xludf.DUMMYFUNCTION("""COMPUTED_VALUE"""),0.3466666666666667)</f>
        <v>0.3466666667</v>
      </c>
      <c r="T603" s="16">
        <f>IFERROR(__xludf.DUMMYFUNCTION("""COMPUTED_VALUE"""),348.0882352941176)</f>
        <v>348.0882353</v>
      </c>
      <c r="U603" s="16">
        <f>IFERROR(__xludf.DUMMYFUNCTION("""COMPUTED_VALUE"""),0.7647058823529411)</f>
        <v>0.7647058824</v>
      </c>
      <c r="V603" s="16">
        <f>IFERROR(__xludf.DUMMYFUNCTION("""COMPUTED_VALUE"""),0.47058823529411764)</f>
        <v>0.4705882353</v>
      </c>
      <c r="W603" s="16">
        <f>IFERROR(__xludf.DUMMYFUNCTION("""COMPUTED_VALUE"""),1.4705882352941178)</f>
        <v>1.470588235</v>
      </c>
      <c r="X603" s="16">
        <f>IFERROR(__xludf.DUMMYFUNCTION("""COMPUTED_VALUE"""),2.2058823529411766)</f>
        <v>2.205882353</v>
      </c>
      <c r="Y603" s="11">
        <f>IFERROR(__xludf.DUMMYFUNCTION("""COMPUTED_VALUE"""),10.0)</f>
        <v>10</v>
      </c>
      <c r="Z603" s="11">
        <f>IFERROR(__xludf.DUMMYFUNCTION("""COMPUTED_VALUE"""),1.0)</f>
        <v>1</v>
      </c>
      <c r="AA603" s="11">
        <f>IFERROR(__xludf.DUMMYFUNCTION("""COMPUTED_VALUE"""),0.0)</f>
        <v>0</v>
      </c>
      <c r="AB603" s="11">
        <f>IFERROR(__xludf.DUMMYFUNCTION("""COMPUTED_VALUE"""),5.0)</f>
        <v>5</v>
      </c>
      <c r="AC603" s="11">
        <f>IFERROR(__xludf.DUMMYFUNCTION("""COMPUTED_VALUE"""),44.0)</f>
        <v>44</v>
      </c>
      <c r="AD603" s="11">
        <f>IFERROR(__xludf.DUMMYFUNCTION("""COMPUTED_VALUE"""),20.0)</f>
        <v>20</v>
      </c>
    </row>
    <row r="604">
      <c r="A604" s="10" t="str">
        <f>IFERROR(__xludf.DUMMYFUNCTION("""COMPUTED_VALUE"""),"Rival")</f>
        <v>Rival</v>
      </c>
      <c r="B604" s="10" t="str">
        <f>IFERROR(__xludf.DUMMYFUNCTION("""COMPUTED_VALUE"""),"RSC000331")</f>
        <v>RSC000331</v>
      </c>
      <c r="C604" s="10" t="str">
        <f>IFERROR(__xludf.DUMMYFUNCTION("""COMPUTED_VALUE"""),"Turtle_Supreme")</f>
        <v>Turtle_Supreme</v>
      </c>
      <c r="D604" s="36" t="str">
        <f>IFERROR(__xludf.DUMMYFUNCTION("""COMPUTED_VALUE"""),"Gaboons")</f>
        <v>Gaboons</v>
      </c>
      <c r="E604" s="10" t="str">
        <f>IFERROR(__xludf.DUMMYFUNCTION("""COMPUTED_VALUE"""),"Lunar")</f>
        <v>Lunar</v>
      </c>
      <c r="F604" s="37">
        <f>IFERROR(__xludf.DUMMYFUNCTION("""COMPUTED_VALUE"""),53.05886045690634)</f>
        <v>53.05886046</v>
      </c>
      <c r="G604" s="38">
        <f>IFERROR(__xludf.DUMMYFUNCTION("""COMPUTED_VALUE"""),44.60032069955045)</f>
        <v>44.6003207</v>
      </c>
      <c r="H604" s="38">
        <f>IFERROR(__xludf.DUMMYFUNCTION("""COMPUTED_VALUE"""),48.82959057822839)</f>
        <v>48.82959058</v>
      </c>
      <c r="I604" s="14">
        <f>IFERROR(__xludf.DUMMYFUNCTION("""COMPUTED_VALUE"""),52.0)</f>
        <v>52</v>
      </c>
      <c r="J604" s="11">
        <f>IFERROR(__xludf.DUMMYFUNCTION("IFERROR(FILTER(Stats!$F:$Z,(Stats!$A:$A=$A604)*(Stats!$B:$B=$B604)))"),20.0)</f>
        <v>20</v>
      </c>
      <c r="K604" s="11">
        <f>IFERROR(__xludf.DUMMYFUNCTION("""COMPUTED_VALUE"""),32.0)</f>
        <v>32</v>
      </c>
      <c r="L604" s="12">
        <f>IFERROR(__xludf.DUMMYFUNCTION("""COMPUTED_VALUE"""),0.38461538461538464)</f>
        <v>0.3846153846</v>
      </c>
      <c r="M604" s="11">
        <f>IFERROR(__xludf.DUMMYFUNCTION("""COMPUTED_VALUE"""),7.0)</f>
        <v>7</v>
      </c>
      <c r="N604" s="11">
        <f>IFERROR(__xludf.DUMMYFUNCTION("""COMPUTED_VALUE"""),16938.0)</f>
        <v>16938</v>
      </c>
      <c r="O604" s="13">
        <f>IFERROR(__xludf.DUMMYFUNCTION("""COMPUTED_VALUE"""),31.0)</f>
        <v>31</v>
      </c>
      <c r="P604" s="14">
        <f>IFERROR(__xludf.DUMMYFUNCTION("""COMPUTED_VALUE"""),31.0)</f>
        <v>31</v>
      </c>
      <c r="Q604" s="13">
        <f>IFERROR(__xludf.DUMMYFUNCTION("""COMPUTED_VALUE"""),57.0)</f>
        <v>57</v>
      </c>
      <c r="R604" s="13">
        <f>IFERROR(__xludf.DUMMYFUNCTION("""COMPUTED_VALUE"""),124.0)</f>
        <v>124</v>
      </c>
      <c r="S604" s="15">
        <f>IFERROR(__xludf.DUMMYFUNCTION("""COMPUTED_VALUE"""),0.25)</f>
        <v>0.25</v>
      </c>
      <c r="T604" s="16">
        <f>IFERROR(__xludf.DUMMYFUNCTION("""COMPUTED_VALUE"""),325.7307692307692)</f>
        <v>325.7307692</v>
      </c>
      <c r="U604" s="16">
        <f>IFERROR(__xludf.DUMMYFUNCTION("""COMPUTED_VALUE"""),0.5961538461538461)</f>
        <v>0.5961538462</v>
      </c>
      <c r="V604" s="16">
        <f>IFERROR(__xludf.DUMMYFUNCTION("""COMPUTED_VALUE"""),0.5961538461538461)</f>
        <v>0.5961538462</v>
      </c>
      <c r="W604" s="16">
        <f>IFERROR(__xludf.DUMMYFUNCTION("""COMPUTED_VALUE"""),1.0961538461538463)</f>
        <v>1.096153846</v>
      </c>
      <c r="X604" s="16">
        <f>IFERROR(__xludf.DUMMYFUNCTION("""COMPUTED_VALUE"""),2.3846153846153846)</f>
        <v>2.384615385</v>
      </c>
      <c r="Y604" s="11">
        <f>IFERROR(__xludf.DUMMYFUNCTION("""COMPUTED_VALUE"""),5.0)</f>
        <v>5</v>
      </c>
      <c r="Z604" s="11">
        <f>IFERROR(__xludf.DUMMYFUNCTION("""COMPUTED_VALUE"""),2.0)</f>
        <v>2</v>
      </c>
      <c r="AA604" s="11">
        <f>IFERROR(__xludf.DUMMYFUNCTION("""COMPUTED_VALUE"""),2.0)</f>
        <v>2</v>
      </c>
      <c r="AB604" s="11">
        <f>IFERROR(__xludf.DUMMYFUNCTION("""COMPUTED_VALUE"""),6.0)</f>
        <v>6</v>
      </c>
      <c r="AC604" s="11">
        <f>IFERROR(__xludf.DUMMYFUNCTION("""COMPUTED_VALUE"""),52.0)</f>
        <v>52</v>
      </c>
      <c r="AD604" s="11">
        <f>IFERROR(__xludf.DUMMYFUNCTION("""COMPUTED_VALUE"""),51.0)</f>
        <v>51</v>
      </c>
    </row>
    <row r="605">
      <c r="A605" s="10" t="str">
        <f>IFERROR(__xludf.DUMMYFUNCTION("""COMPUTED_VALUE"""),"Rival")</f>
        <v>Rival</v>
      </c>
      <c r="B605" s="10" t="str">
        <f>IFERROR(__xludf.DUMMYFUNCTION("""COMPUTED_VALUE"""),"RSC001893")</f>
        <v>RSC001893</v>
      </c>
      <c r="C605" s="10" t="str">
        <f>IFERROR(__xludf.DUMMYFUNCTION("""COMPUTED_VALUE"""),"cjax")</f>
        <v>cjax</v>
      </c>
      <c r="D605" s="36" t="str">
        <f>IFERROR(__xludf.DUMMYFUNCTION("""COMPUTED_VALUE"""),"Hammerheads
Samurai")</f>
        <v>Hammerheads
Samurai</v>
      </c>
      <c r="E605" s="10" t="str">
        <f>IFERROR(__xludf.DUMMYFUNCTION("""COMPUTED_VALUE"""),"Solar
Lunar")</f>
        <v>Solar
Lunar</v>
      </c>
      <c r="F605" s="37">
        <f>IFERROR(__xludf.DUMMYFUNCTION("""COMPUTED_VALUE"""),44.53818318195235)</f>
        <v>44.53818318</v>
      </c>
      <c r="G605" s="38">
        <f>IFERROR(__xludf.DUMMYFUNCTION("""COMPUTED_VALUE"""),51.6878020390805)</f>
        <v>51.68780204</v>
      </c>
      <c r="H605" s="38">
        <f>IFERROR(__xludf.DUMMYFUNCTION("""COMPUTED_VALUE"""),48.11299261051643)</f>
        <v>48.11299261</v>
      </c>
      <c r="I605" s="14">
        <f>IFERROR(__xludf.DUMMYFUNCTION("""COMPUTED_VALUE"""),43.0)</f>
        <v>43</v>
      </c>
      <c r="J605" s="11">
        <f>IFERROR(__xludf.DUMMYFUNCTION("IFERROR(FILTER(Stats!$F:$Z,(Stats!$A:$A=$A605)*(Stats!$B:$B=$B605)))"),19.0)</f>
        <v>19</v>
      </c>
      <c r="K605" s="11">
        <f>IFERROR(__xludf.DUMMYFUNCTION("""COMPUTED_VALUE"""),24.0)</f>
        <v>24</v>
      </c>
      <c r="L605" s="12">
        <f>IFERROR(__xludf.DUMMYFUNCTION("""COMPUTED_VALUE"""),0.4418604651162791)</f>
        <v>0.4418604651</v>
      </c>
      <c r="M605" s="11">
        <f>IFERROR(__xludf.DUMMYFUNCTION("""COMPUTED_VALUE"""),5.0)</f>
        <v>5</v>
      </c>
      <c r="N605" s="11">
        <f>IFERROR(__xludf.DUMMYFUNCTION("""COMPUTED_VALUE"""),15382.0)</f>
        <v>15382</v>
      </c>
      <c r="O605" s="13">
        <f>IFERROR(__xludf.DUMMYFUNCTION("""COMPUTED_VALUE"""),41.0)</f>
        <v>41</v>
      </c>
      <c r="P605" s="14">
        <f>IFERROR(__xludf.DUMMYFUNCTION("""COMPUTED_VALUE"""),20.0)</f>
        <v>20</v>
      </c>
      <c r="Q605" s="13">
        <f>IFERROR(__xludf.DUMMYFUNCTION("""COMPUTED_VALUE"""),58.0)</f>
        <v>58</v>
      </c>
      <c r="R605" s="13">
        <f>IFERROR(__xludf.DUMMYFUNCTION("""COMPUTED_VALUE"""),108.0)</f>
        <v>108</v>
      </c>
      <c r="S605" s="15">
        <f>IFERROR(__xludf.DUMMYFUNCTION("""COMPUTED_VALUE"""),0.37962962962962965)</f>
        <v>0.3796296296</v>
      </c>
      <c r="T605" s="16">
        <f>IFERROR(__xludf.DUMMYFUNCTION("""COMPUTED_VALUE"""),357.72093023255815)</f>
        <v>357.7209302</v>
      </c>
      <c r="U605" s="16">
        <f>IFERROR(__xludf.DUMMYFUNCTION("""COMPUTED_VALUE"""),0.9534883720930233)</f>
        <v>0.9534883721</v>
      </c>
      <c r="V605" s="16">
        <f>IFERROR(__xludf.DUMMYFUNCTION("""COMPUTED_VALUE"""),0.46511627906976744)</f>
        <v>0.4651162791</v>
      </c>
      <c r="W605" s="16">
        <f>IFERROR(__xludf.DUMMYFUNCTION("""COMPUTED_VALUE"""),1.3488372093023255)</f>
        <v>1.348837209</v>
      </c>
      <c r="X605" s="16">
        <f>IFERROR(__xludf.DUMMYFUNCTION("""COMPUTED_VALUE"""),2.511627906976744)</f>
        <v>2.511627907</v>
      </c>
      <c r="Y605" s="11">
        <f>IFERROR(__xludf.DUMMYFUNCTION("""COMPUTED_VALUE"""),9.0)</f>
        <v>9</v>
      </c>
      <c r="Z605" s="11">
        <f>IFERROR(__xludf.DUMMYFUNCTION("""COMPUTED_VALUE"""),5.0)</f>
        <v>5</v>
      </c>
      <c r="AA605" s="11">
        <f>IFERROR(__xludf.DUMMYFUNCTION("""COMPUTED_VALUE"""),0.0)</f>
        <v>0</v>
      </c>
      <c r="AB605" s="11">
        <f>IFERROR(__xludf.DUMMYFUNCTION("""COMPUTED_VALUE"""),4.0)</f>
        <v>4</v>
      </c>
      <c r="AC605" s="11">
        <f>IFERROR(__xludf.DUMMYFUNCTION("""COMPUTED_VALUE"""),26.0)</f>
        <v>26</v>
      </c>
      <c r="AD605" s="11">
        <f>IFERROR(__xludf.DUMMYFUNCTION("""COMPUTED_VALUE"""),42.0)</f>
        <v>42</v>
      </c>
    </row>
    <row r="606">
      <c r="A606" s="10" t="str">
        <f>IFERROR(__xludf.DUMMYFUNCTION("""COMPUTED_VALUE"""),"Rival")</f>
        <v>Rival</v>
      </c>
      <c r="B606" s="10" t="str">
        <f>IFERROR(__xludf.DUMMYFUNCTION("""COMPUTED_VALUE"""),"RSC004665")</f>
        <v>RSC004665</v>
      </c>
      <c r="C606" s="10" t="str">
        <f>IFERROR(__xludf.DUMMYFUNCTION("""COMPUTED_VALUE"""),"xPrism")</f>
        <v>xPrism</v>
      </c>
      <c r="D606" s="36" t="str">
        <f>IFERROR(__xludf.DUMMYFUNCTION("""COMPUTED_VALUE"""),"Hot Wings")</f>
        <v>Hot Wings</v>
      </c>
      <c r="E606" s="10" t="str">
        <f>IFERROR(__xludf.DUMMYFUNCTION("""COMPUTED_VALUE"""),"Lunar")</f>
        <v>Lunar</v>
      </c>
      <c r="F606" s="37">
        <f>IFERROR(__xludf.DUMMYFUNCTION("""COMPUTED_VALUE"""),50.70331878024736)</f>
        <v>50.70331878</v>
      </c>
      <c r="G606" s="38">
        <f>IFERROR(__xludf.DUMMYFUNCTION("""COMPUTED_VALUE"""),45.46838880314667)</f>
        <v>45.4683888</v>
      </c>
      <c r="H606" s="38">
        <f>IFERROR(__xludf.DUMMYFUNCTION("""COMPUTED_VALUE"""),48.08585379169701)</f>
        <v>48.08585379</v>
      </c>
      <c r="I606" s="14">
        <f>IFERROR(__xludf.DUMMYFUNCTION("""COMPUTED_VALUE"""),42.0)</f>
        <v>42</v>
      </c>
      <c r="J606" s="11">
        <f>IFERROR(__xludf.DUMMYFUNCTION("IFERROR(FILTER(Stats!$F:$Z,(Stats!$A:$A=$A606)*(Stats!$B:$B=$B606)))"),21.0)</f>
        <v>21</v>
      </c>
      <c r="K606" s="11">
        <f>IFERROR(__xludf.DUMMYFUNCTION("""COMPUTED_VALUE"""),21.0)</f>
        <v>21</v>
      </c>
      <c r="L606" s="12">
        <f>IFERROR(__xludf.DUMMYFUNCTION("""COMPUTED_VALUE"""),0.5)</f>
        <v>0.5</v>
      </c>
      <c r="M606" s="11">
        <f>IFERROR(__xludf.DUMMYFUNCTION("""COMPUTED_VALUE"""),6.0)</f>
        <v>6</v>
      </c>
      <c r="N606" s="11">
        <f>IFERROR(__xludf.DUMMYFUNCTION("""COMPUTED_VALUE"""),13377.0)</f>
        <v>13377</v>
      </c>
      <c r="O606" s="13">
        <f>IFERROR(__xludf.DUMMYFUNCTION("""COMPUTED_VALUE"""),23.0)</f>
        <v>23</v>
      </c>
      <c r="P606" s="14">
        <f>IFERROR(__xludf.DUMMYFUNCTION("""COMPUTED_VALUE"""),27.0)</f>
        <v>27</v>
      </c>
      <c r="Q606" s="13">
        <f>IFERROR(__xludf.DUMMYFUNCTION("""COMPUTED_VALUE"""),46.0)</f>
        <v>46</v>
      </c>
      <c r="R606" s="13">
        <f>IFERROR(__xludf.DUMMYFUNCTION("""COMPUTED_VALUE"""),99.0)</f>
        <v>99</v>
      </c>
      <c r="S606" s="15">
        <f>IFERROR(__xludf.DUMMYFUNCTION("""COMPUTED_VALUE"""),0.23232323232323232)</f>
        <v>0.2323232323</v>
      </c>
      <c r="T606" s="16">
        <f>IFERROR(__xludf.DUMMYFUNCTION("""COMPUTED_VALUE"""),318.5)</f>
        <v>318.5</v>
      </c>
      <c r="U606" s="16">
        <f>IFERROR(__xludf.DUMMYFUNCTION("""COMPUTED_VALUE"""),0.5476190476190477)</f>
        <v>0.5476190476</v>
      </c>
      <c r="V606" s="16">
        <f>IFERROR(__xludf.DUMMYFUNCTION("""COMPUTED_VALUE"""),0.6428571428571429)</f>
        <v>0.6428571429</v>
      </c>
      <c r="W606" s="16">
        <f>IFERROR(__xludf.DUMMYFUNCTION("""COMPUTED_VALUE"""),1.0952380952380953)</f>
        <v>1.095238095</v>
      </c>
      <c r="X606" s="16">
        <f>IFERROR(__xludf.DUMMYFUNCTION("""COMPUTED_VALUE"""),2.357142857142857)</f>
        <v>2.357142857</v>
      </c>
      <c r="Y606" s="11">
        <f>IFERROR(__xludf.DUMMYFUNCTION("""COMPUTED_VALUE"""),7.0)</f>
        <v>7</v>
      </c>
      <c r="Z606" s="11">
        <f>IFERROR(__xludf.DUMMYFUNCTION("""COMPUTED_VALUE"""),0.0)</f>
        <v>0</v>
      </c>
      <c r="AA606" s="11">
        <f>IFERROR(__xludf.DUMMYFUNCTION("""COMPUTED_VALUE"""),0.0)</f>
        <v>0</v>
      </c>
      <c r="AB606" s="11">
        <f>IFERROR(__xludf.DUMMYFUNCTION("""COMPUTED_VALUE"""),5.0)</f>
        <v>5</v>
      </c>
      <c r="AC606" s="11">
        <f>IFERROR(__xludf.DUMMYFUNCTION("""COMPUTED_VALUE"""),16.0)</f>
        <v>16</v>
      </c>
      <c r="AD606" s="11">
        <f>IFERROR(__xludf.DUMMYFUNCTION("""COMPUTED_VALUE"""),35.0)</f>
        <v>35</v>
      </c>
    </row>
    <row r="607">
      <c r="A607" s="10" t="str">
        <f>IFERROR(__xludf.DUMMYFUNCTION("""COMPUTED_VALUE"""),"Rival")</f>
        <v>Rival</v>
      </c>
      <c r="B607" s="10" t="str">
        <f>IFERROR(__xludf.DUMMYFUNCTION("""COMPUTED_VALUE"""),"RSC002413")</f>
        <v>RSC002413</v>
      </c>
      <c r="C607" s="10" t="str">
        <f>IFERROR(__xludf.DUMMYFUNCTION("""COMPUTED_VALUE"""),"dafiya711")</f>
        <v>dafiya711</v>
      </c>
      <c r="D607" s="36" t="str">
        <f>IFERROR(__xludf.DUMMYFUNCTION("""COMPUTED_VALUE"""),"Liars
Barracudas")</f>
        <v>Liars
Barracudas</v>
      </c>
      <c r="E607" s="10" t="str">
        <f>IFERROR(__xludf.DUMMYFUNCTION("""COMPUTED_VALUE"""),"Solar
Lunar")</f>
        <v>Solar
Lunar</v>
      </c>
      <c r="F607" s="37">
        <f>IFERROR(__xludf.DUMMYFUNCTION("""COMPUTED_VALUE"""),44.06508631985791)</f>
        <v>44.06508632</v>
      </c>
      <c r="G607" s="38">
        <f>IFERROR(__xludf.DUMMYFUNCTION("""COMPUTED_VALUE"""),51.902546286122295)</f>
        <v>51.90254629</v>
      </c>
      <c r="H607" s="38">
        <f>IFERROR(__xludf.DUMMYFUNCTION("""COMPUTED_VALUE"""),47.98381630299011)</f>
        <v>47.9838163</v>
      </c>
      <c r="I607" s="14">
        <f>IFERROR(__xludf.DUMMYFUNCTION("""COMPUTED_VALUE"""),20.0)</f>
        <v>20</v>
      </c>
      <c r="J607" s="11">
        <f>IFERROR(__xludf.DUMMYFUNCTION("IFERROR(FILTER(Stats!$F:$Z,(Stats!$A:$A=$A607)*(Stats!$B:$B=$B607)))"),12.0)</f>
        <v>12</v>
      </c>
      <c r="K607" s="11">
        <f>IFERROR(__xludf.DUMMYFUNCTION("""COMPUTED_VALUE"""),8.0)</f>
        <v>8</v>
      </c>
      <c r="L607" s="12">
        <f>IFERROR(__xludf.DUMMYFUNCTION("""COMPUTED_VALUE"""),0.6)</f>
        <v>0.6</v>
      </c>
      <c r="M607" s="11">
        <f>IFERROR(__xludf.DUMMYFUNCTION("""COMPUTED_VALUE"""),4.0)</f>
        <v>4</v>
      </c>
      <c r="N607" s="11">
        <f>IFERROR(__xludf.DUMMYFUNCTION("""COMPUTED_VALUE"""),6282.0)</f>
        <v>6282</v>
      </c>
      <c r="O607" s="13">
        <f>IFERROR(__xludf.DUMMYFUNCTION("""COMPUTED_VALUE"""),16.0)</f>
        <v>16</v>
      </c>
      <c r="P607" s="14">
        <f>IFERROR(__xludf.DUMMYFUNCTION("""COMPUTED_VALUE"""),11.0)</f>
        <v>11</v>
      </c>
      <c r="Q607" s="13">
        <f>IFERROR(__xludf.DUMMYFUNCTION("""COMPUTED_VALUE"""),20.0)</f>
        <v>20</v>
      </c>
      <c r="R607" s="13">
        <f>IFERROR(__xludf.DUMMYFUNCTION("""COMPUTED_VALUE"""),46.0)</f>
        <v>46</v>
      </c>
      <c r="S607" s="15">
        <f>IFERROR(__xludf.DUMMYFUNCTION("""COMPUTED_VALUE"""),0.34782608695652173)</f>
        <v>0.347826087</v>
      </c>
      <c r="T607" s="16">
        <f>IFERROR(__xludf.DUMMYFUNCTION("""COMPUTED_VALUE"""),314.1)</f>
        <v>314.1</v>
      </c>
      <c r="U607" s="16">
        <f>IFERROR(__xludf.DUMMYFUNCTION("""COMPUTED_VALUE"""),0.8)</f>
        <v>0.8</v>
      </c>
      <c r="V607" s="16">
        <f>IFERROR(__xludf.DUMMYFUNCTION("""COMPUTED_VALUE"""),0.55)</f>
        <v>0.55</v>
      </c>
      <c r="W607" s="16">
        <f>IFERROR(__xludf.DUMMYFUNCTION("""COMPUTED_VALUE"""),1.0)</f>
        <v>1</v>
      </c>
      <c r="X607" s="16">
        <f>IFERROR(__xludf.DUMMYFUNCTION("""COMPUTED_VALUE"""),2.3)</f>
        <v>2.3</v>
      </c>
      <c r="Y607" s="11">
        <f>IFERROR(__xludf.DUMMYFUNCTION("""COMPUTED_VALUE"""),5.0)</f>
        <v>5</v>
      </c>
      <c r="Z607" s="11">
        <f>IFERROR(__xludf.DUMMYFUNCTION("""COMPUTED_VALUE"""),0.0)</f>
        <v>0</v>
      </c>
      <c r="AA607" s="11">
        <f>IFERROR(__xludf.DUMMYFUNCTION("""COMPUTED_VALUE"""),0.0)</f>
        <v>0</v>
      </c>
      <c r="AB607" s="11">
        <f>IFERROR(__xludf.DUMMYFUNCTION("""COMPUTED_VALUE"""),0.0)</f>
        <v>0</v>
      </c>
      <c r="AC607" s="11">
        <f>IFERROR(__xludf.DUMMYFUNCTION("""COMPUTED_VALUE"""),17.0)</f>
        <v>17</v>
      </c>
      <c r="AD607" s="11">
        <f>IFERROR(__xludf.DUMMYFUNCTION("""COMPUTED_VALUE"""),21.0)</f>
        <v>21</v>
      </c>
    </row>
    <row r="608">
      <c r="A608" s="10" t="str">
        <f>IFERROR(__xludf.DUMMYFUNCTION("""COMPUTED_VALUE"""),"Rival")</f>
        <v>Rival</v>
      </c>
      <c r="B608" s="10" t="str">
        <f>IFERROR(__xludf.DUMMYFUNCTION("""COMPUTED_VALUE"""),"RSC008442")</f>
        <v>RSC008442</v>
      </c>
      <c r="C608" s="10" t="str">
        <f>IFERROR(__xludf.DUMMYFUNCTION("""COMPUTED_VALUE"""),"Billionninja")</f>
        <v>Billionninja</v>
      </c>
      <c r="D608" s="36" t="str">
        <f>IFERROR(__xludf.DUMMYFUNCTION("""COMPUTED_VALUE"""),"Ocelots")</f>
        <v>Ocelots</v>
      </c>
      <c r="E608" s="10" t="str">
        <f>IFERROR(__xludf.DUMMYFUNCTION("""COMPUTED_VALUE"""),"Solar")</f>
        <v>Solar</v>
      </c>
      <c r="F608" s="37">
        <f>IFERROR(__xludf.DUMMYFUNCTION("""COMPUTED_VALUE"""),54.926981326892616)</f>
        <v>54.92698133</v>
      </c>
      <c r="G608" s="38">
        <f>IFERROR(__xludf.DUMMYFUNCTION("""COMPUTED_VALUE"""),40.95275103769286)</f>
        <v>40.95275104</v>
      </c>
      <c r="H608" s="38">
        <f>IFERROR(__xludf.DUMMYFUNCTION("""COMPUTED_VALUE"""),47.93986618229274)</f>
        <v>47.93986618</v>
      </c>
      <c r="I608" s="14">
        <f>IFERROR(__xludf.DUMMYFUNCTION("""COMPUTED_VALUE"""),36.0)</f>
        <v>36</v>
      </c>
      <c r="J608" s="11">
        <f>IFERROR(__xludf.DUMMYFUNCTION("IFERROR(FILTER(Stats!$F:$Z,(Stats!$A:$A=$A608)*(Stats!$B:$B=$B608)))"),13.0)</f>
        <v>13</v>
      </c>
      <c r="K608" s="11">
        <f>IFERROR(__xludf.DUMMYFUNCTION("""COMPUTED_VALUE"""),23.0)</f>
        <v>23</v>
      </c>
      <c r="L608" s="12">
        <f>IFERROR(__xludf.DUMMYFUNCTION("""COMPUTED_VALUE"""),0.3611111111111111)</f>
        <v>0.3611111111</v>
      </c>
      <c r="M608" s="11">
        <f>IFERROR(__xludf.DUMMYFUNCTION("""COMPUTED_VALUE"""),5.0)</f>
        <v>5</v>
      </c>
      <c r="N608" s="11">
        <f>IFERROR(__xludf.DUMMYFUNCTION("""COMPUTED_VALUE"""),12382.0)</f>
        <v>12382</v>
      </c>
      <c r="O608" s="13">
        <f>IFERROR(__xludf.DUMMYFUNCTION("""COMPUTED_VALUE"""),25.0)</f>
        <v>25</v>
      </c>
      <c r="P608" s="14">
        <f>IFERROR(__xludf.DUMMYFUNCTION("""COMPUTED_VALUE"""),16.0)</f>
        <v>16</v>
      </c>
      <c r="Q608" s="13">
        <f>IFERROR(__xludf.DUMMYFUNCTION("""COMPUTED_VALUE"""),52.0)</f>
        <v>52</v>
      </c>
      <c r="R608" s="13">
        <f>IFERROR(__xludf.DUMMYFUNCTION("""COMPUTED_VALUE"""),89.0)</f>
        <v>89</v>
      </c>
      <c r="S608" s="15">
        <f>IFERROR(__xludf.DUMMYFUNCTION("""COMPUTED_VALUE"""),0.2808988764044944)</f>
        <v>0.2808988764</v>
      </c>
      <c r="T608" s="16">
        <f>IFERROR(__xludf.DUMMYFUNCTION("""COMPUTED_VALUE"""),343.94444444444446)</f>
        <v>343.9444444</v>
      </c>
      <c r="U608" s="16">
        <f>IFERROR(__xludf.DUMMYFUNCTION("""COMPUTED_VALUE"""),0.6944444444444444)</f>
        <v>0.6944444444</v>
      </c>
      <c r="V608" s="16">
        <f>IFERROR(__xludf.DUMMYFUNCTION("""COMPUTED_VALUE"""),0.4444444444444444)</f>
        <v>0.4444444444</v>
      </c>
      <c r="W608" s="16">
        <f>IFERROR(__xludf.DUMMYFUNCTION("""COMPUTED_VALUE"""),1.4444444444444444)</f>
        <v>1.444444444</v>
      </c>
      <c r="X608" s="16">
        <f>IFERROR(__xludf.DUMMYFUNCTION("""COMPUTED_VALUE"""),2.4722222222222223)</f>
        <v>2.472222222</v>
      </c>
      <c r="Y608" s="11">
        <f>IFERROR(__xludf.DUMMYFUNCTION("""COMPUTED_VALUE"""),7.0)</f>
        <v>7</v>
      </c>
      <c r="Z608" s="11">
        <f>IFERROR(__xludf.DUMMYFUNCTION("""COMPUTED_VALUE"""),0.0)</f>
        <v>0</v>
      </c>
      <c r="AA608" s="11">
        <f>IFERROR(__xludf.DUMMYFUNCTION("""COMPUTED_VALUE"""),0.0)</f>
        <v>0</v>
      </c>
      <c r="AB608" s="11">
        <f>IFERROR(__xludf.DUMMYFUNCTION("""COMPUTED_VALUE"""),6.0)</f>
        <v>6</v>
      </c>
      <c r="AC608" s="11">
        <f>IFERROR(__xludf.DUMMYFUNCTION("""COMPUTED_VALUE"""),12.0)</f>
        <v>12</v>
      </c>
      <c r="AD608" s="11">
        <f>IFERROR(__xludf.DUMMYFUNCTION("""COMPUTED_VALUE"""),40.0)</f>
        <v>40</v>
      </c>
    </row>
    <row r="609">
      <c r="A609" s="10" t="str">
        <f>IFERROR(__xludf.DUMMYFUNCTION("""COMPUTED_VALUE"""),"Rival")</f>
        <v>Rival</v>
      </c>
      <c r="B609" s="10" t="str">
        <f>IFERROR(__xludf.DUMMYFUNCTION("""COMPUTED_VALUE"""),"RSC000025")</f>
        <v>RSC000025</v>
      </c>
      <c r="C609" s="10" t="str">
        <f>IFERROR(__xludf.DUMMYFUNCTION("""COMPUTED_VALUE"""),"Slayerof666")</f>
        <v>Slayerof666</v>
      </c>
      <c r="D609" s="36" t="str">
        <f>IFERROR(__xludf.DUMMYFUNCTION("""COMPUTED_VALUE"""),"Purrgatory")</f>
        <v>Purrgatory</v>
      </c>
      <c r="E609" s="10" t="str">
        <f>IFERROR(__xludf.DUMMYFUNCTION("""COMPUTED_VALUE"""),"Solar")</f>
        <v>Solar</v>
      </c>
      <c r="F609" s="37">
        <f>IFERROR(__xludf.DUMMYFUNCTION("""COMPUTED_VALUE"""),40.030497161532985)</f>
        <v>40.03049716</v>
      </c>
      <c r="G609" s="38">
        <f>IFERROR(__xludf.DUMMYFUNCTION("""COMPUTED_VALUE"""),54.3706561027523)</f>
        <v>54.3706561</v>
      </c>
      <c r="H609" s="38">
        <f>IFERROR(__xludf.DUMMYFUNCTION("""COMPUTED_VALUE"""),47.20057663214264)</f>
        <v>47.20057663</v>
      </c>
      <c r="I609" s="14">
        <f>IFERROR(__xludf.DUMMYFUNCTION("""COMPUTED_VALUE"""),20.0)</f>
        <v>20</v>
      </c>
      <c r="J609" s="11">
        <f>IFERROR(__xludf.DUMMYFUNCTION("IFERROR(FILTER(Stats!$F:$Z,(Stats!$A:$A=$A609)*(Stats!$B:$B=$B609)))"),12.0)</f>
        <v>12</v>
      </c>
      <c r="K609" s="11">
        <f>IFERROR(__xludf.DUMMYFUNCTION("""COMPUTED_VALUE"""),8.0)</f>
        <v>8</v>
      </c>
      <c r="L609" s="12">
        <f>IFERROR(__xludf.DUMMYFUNCTION("""COMPUTED_VALUE"""),0.6)</f>
        <v>0.6</v>
      </c>
      <c r="M609" s="11">
        <f>IFERROR(__xludf.DUMMYFUNCTION("""COMPUTED_VALUE"""),0.0)</f>
        <v>0</v>
      </c>
      <c r="N609" s="11">
        <f>IFERROR(__xludf.DUMMYFUNCTION("""COMPUTED_VALUE"""),6430.0)</f>
        <v>6430</v>
      </c>
      <c r="O609" s="13">
        <f>IFERROR(__xludf.DUMMYFUNCTION("""COMPUTED_VALUE"""),19.0)</f>
        <v>19</v>
      </c>
      <c r="P609" s="14">
        <f>IFERROR(__xludf.DUMMYFUNCTION("""COMPUTED_VALUE"""),8.0)</f>
        <v>8</v>
      </c>
      <c r="Q609" s="13">
        <f>IFERROR(__xludf.DUMMYFUNCTION("""COMPUTED_VALUE"""),22.0)</f>
        <v>22</v>
      </c>
      <c r="R609" s="13">
        <f>IFERROR(__xludf.DUMMYFUNCTION("""COMPUTED_VALUE"""),48.0)</f>
        <v>48</v>
      </c>
      <c r="S609" s="15">
        <f>IFERROR(__xludf.DUMMYFUNCTION("""COMPUTED_VALUE"""),0.3958333333333333)</f>
        <v>0.3958333333</v>
      </c>
      <c r="T609" s="16">
        <f>IFERROR(__xludf.DUMMYFUNCTION("""COMPUTED_VALUE"""),321.5)</f>
        <v>321.5</v>
      </c>
      <c r="U609" s="16">
        <f>IFERROR(__xludf.DUMMYFUNCTION("""COMPUTED_VALUE"""),0.95)</f>
        <v>0.95</v>
      </c>
      <c r="V609" s="16">
        <f>IFERROR(__xludf.DUMMYFUNCTION("""COMPUTED_VALUE"""),0.4)</f>
        <v>0.4</v>
      </c>
      <c r="W609" s="16">
        <f>IFERROR(__xludf.DUMMYFUNCTION("""COMPUTED_VALUE"""),1.1)</f>
        <v>1.1</v>
      </c>
      <c r="X609" s="16">
        <f>IFERROR(__xludf.DUMMYFUNCTION("""COMPUTED_VALUE"""),2.4)</f>
        <v>2.4</v>
      </c>
      <c r="Y609" s="11">
        <f>IFERROR(__xludf.DUMMYFUNCTION("""COMPUTED_VALUE"""),2.0)</f>
        <v>2</v>
      </c>
      <c r="Z609" s="11">
        <f>IFERROR(__xludf.DUMMYFUNCTION("""COMPUTED_VALUE"""),1.0)</f>
        <v>1</v>
      </c>
      <c r="AA609" s="11">
        <f>IFERROR(__xludf.DUMMYFUNCTION("""COMPUTED_VALUE"""),0.0)</f>
        <v>0</v>
      </c>
      <c r="AB609" s="11">
        <f>IFERROR(__xludf.DUMMYFUNCTION("""COMPUTED_VALUE"""),2.0)</f>
        <v>2</v>
      </c>
      <c r="AC609" s="11">
        <f>IFERROR(__xludf.DUMMYFUNCTION("""COMPUTED_VALUE"""),30.0)</f>
        <v>30</v>
      </c>
      <c r="AD609" s="11">
        <f>IFERROR(__xludf.DUMMYFUNCTION("""COMPUTED_VALUE"""),22.0)</f>
        <v>22</v>
      </c>
    </row>
    <row r="610">
      <c r="A610" s="10" t="str">
        <f>IFERROR(__xludf.DUMMYFUNCTION("""COMPUTED_VALUE"""),"Rival")</f>
        <v>Rival</v>
      </c>
      <c r="B610" s="10" t="str">
        <f>IFERROR(__xludf.DUMMYFUNCTION("""COMPUTED_VALUE"""),"RSC003017")</f>
        <v>RSC003017</v>
      </c>
      <c r="C610" s="10" t="str">
        <f>IFERROR(__xludf.DUMMYFUNCTION("""COMPUTED_VALUE"""),"AlanShoreEsq")</f>
        <v>AlanShoreEsq</v>
      </c>
      <c r="D610" s="36" t="str">
        <f>IFERROR(__xludf.DUMMYFUNCTION("""COMPUTED_VALUE"""),"Heavy Metal
Samurai")</f>
        <v>Heavy Metal
Samurai</v>
      </c>
      <c r="E610" s="10" t="str">
        <f>IFERROR(__xludf.DUMMYFUNCTION("""COMPUTED_VALUE"""),"Lunar
Lunar")</f>
        <v>Lunar
Lunar</v>
      </c>
      <c r="F610" s="37">
        <f>IFERROR(__xludf.DUMMYFUNCTION("""COMPUTED_VALUE"""),63.796980606133594)</f>
        <v>63.79698061</v>
      </c>
      <c r="G610" s="38">
        <f>IFERROR(__xludf.DUMMYFUNCTION("""COMPUTED_VALUE"""),30.533558437359236)</f>
        <v>30.53355844</v>
      </c>
      <c r="H610" s="38">
        <f>IFERROR(__xludf.DUMMYFUNCTION("""COMPUTED_VALUE"""),47.16526952174642)</f>
        <v>47.16526952</v>
      </c>
      <c r="I610" s="14">
        <f>IFERROR(__xludf.DUMMYFUNCTION("""COMPUTED_VALUE"""),7.0)</f>
        <v>7</v>
      </c>
      <c r="J610" s="11">
        <f>IFERROR(__xludf.DUMMYFUNCTION("IFERROR(FILTER(Stats!$F:$Z,(Stats!$A:$A=$A610)*(Stats!$B:$B=$B610)))"),0.0)</f>
        <v>0</v>
      </c>
      <c r="K610" s="11">
        <f>IFERROR(__xludf.DUMMYFUNCTION("""COMPUTED_VALUE"""),7.0)</f>
        <v>7</v>
      </c>
      <c r="L610" s="12">
        <f>IFERROR(__xludf.DUMMYFUNCTION("""COMPUTED_VALUE"""),0.0)</f>
        <v>0</v>
      </c>
      <c r="M610" s="11">
        <f>IFERROR(__xludf.DUMMYFUNCTION("""COMPUTED_VALUE"""),0.0)</f>
        <v>0</v>
      </c>
      <c r="N610" s="11">
        <f>IFERROR(__xludf.DUMMYFUNCTION("""COMPUTED_VALUE"""),2294.0)</f>
        <v>2294</v>
      </c>
      <c r="O610" s="13">
        <f>IFERROR(__xludf.DUMMYFUNCTION("""COMPUTED_VALUE"""),2.0)</f>
        <v>2</v>
      </c>
      <c r="P610" s="14">
        <f>IFERROR(__xludf.DUMMYFUNCTION("""COMPUTED_VALUE"""),4.0)</f>
        <v>4</v>
      </c>
      <c r="Q610" s="13">
        <f>IFERROR(__xludf.DUMMYFUNCTION("""COMPUTED_VALUE"""),11.0)</f>
        <v>11</v>
      </c>
      <c r="R610" s="13">
        <f>IFERROR(__xludf.DUMMYFUNCTION("""COMPUTED_VALUE"""),20.0)</f>
        <v>20</v>
      </c>
      <c r="S610" s="15">
        <f>IFERROR(__xludf.DUMMYFUNCTION("""COMPUTED_VALUE"""),0.1)</f>
        <v>0.1</v>
      </c>
      <c r="T610" s="16">
        <f>IFERROR(__xludf.DUMMYFUNCTION("""COMPUTED_VALUE"""),327.7142857142857)</f>
        <v>327.7142857</v>
      </c>
      <c r="U610" s="16">
        <f>IFERROR(__xludf.DUMMYFUNCTION("""COMPUTED_VALUE"""),0.2857142857142857)</f>
        <v>0.2857142857</v>
      </c>
      <c r="V610" s="16">
        <f>IFERROR(__xludf.DUMMYFUNCTION("""COMPUTED_VALUE"""),0.5714285714285714)</f>
        <v>0.5714285714</v>
      </c>
      <c r="W610" s="16">
        <f>IFERROR(__xludf.DUMMYFUNCTION("""COMPUTED_VALUE"""),1.5714285714285714)</f>
        <v>1.571428571</v>
      </c>
      <c r="X610" s="16">
        <f>IFERROR(__xludf.DUMMYFUNCTION("""COMPUTED_VALUE"""),2.857142857142857)</f>
        <v>2.857142857</v>
      </c>
      <c r="Y610" s="11">
        <f>IFERROR(__xludf.DUMMYFUNCTION("""COMPUTED_VALUE"""),2.0)</f>
        <v>2</v>
      </c>
      <c r="Z610" s="11">
        <f>IFERROR(__xludf.DUMMYFUNCTION("""COMPUTED_VALUE"""),0.0)</f>
        <v>0</v>
      </c>
      <c r="AA610" s="11">
        <f>IFERROR(__xludf.DUMMYFUNCTION("""COMPUTED_VALUE"""),0.0)</f>
        <v>0</v>
      </c>
      <c r="AB610" s="11">
        <f>IFERROR(__xludf.DUMMYFUNCTION("""COMPUTED_VALUE"""),1.0)</f>
        <v>1</v>
      </c>
      <c r="AC610" s="11">
        <f>IFERROR(__xludf.DUMMYFUNCTION("""COMPUTED_VALUE"""),7.0)</f>
        <v>7</v>
      </c>
      <c r="AD610" s="11">
        <f>IFERROR(__xludf.DUMMYFUNCTION("""COMPUTED_VALUE"""),3.0)</f>
        <v>3</v>
      </c>
    </row>
    <row r="611">
      <c r="A611" s="10" t="str">
        <f>IFERROR(__xludf.DUMMYFUNCTION("""COMPUTED_VALUE"""),"Rival")</f>
        <v>Rival</v>
      </c>
      <c r="B611" s="10" t="str">
        <f>IFERROR(__xludf.DUMMYFUNCTION("""COMPUTED_VALUE"""),"RSC008226")</f>
        <v>RSC008226</v>
      </c>
      <c r="C611" s="10" t="str">
        <f>IFERROR(__xludf.DUMMYFUNCTION("""COMPUTED_VALUE"""),"OurStevie")</f>
        <v>OurStevie</v>
      </c>
      <c r="D611" s="36" t="str">
        <f>IFERROR(__xludf.DUMMYFUNCTION("""COMPUTED_VALUE"""),"Phoenix")</f>
        <v>Phoenix</v>
      </c>
      <c r="E611" s="10" t="str">
        <f>IFERROR(__xludf.DUMMYFUNCTION("""COMPUTED_VALUE"""),"Solar")</f>
        <v>Solar</v>
      </c>
      <c r="F611" s="37">
        <f>IFERROR(__xludf.DUMMYFUNCTION("""COMPUTED_VALUE"""),39.44463897443237)</f>
        <v>39.44463897</v>
      </c>
      <c r="G611" s="38">
        <f>IFERROR(__xludf.DUMMYFUNCTION("""COMPUTED_VALUE"""),53.77591066631114)</f>
        <v>53.77591067</v>
      </c>
      <c r="H611" s="38">
        <f>IFERROR(__xludf.DUMMYFUNCTION("""COMPUTED_VALUE"""),46.61027482037176)</f>
        <v>46.61027482</v>
      </c>
      <c r="I611" s="14">
        <f>IFERROR(__xludf.DUMMYFUNCTION("""COMPUTED_VALUE"""),33.0)</f>
        <v>33</v>
      </c>
      <c r="J611" s="11">
        <f>IFERROR(__xludf.DUMMYFUNCTION("IFERROR(FILTER(Stats!$F:$Z,(Stats!$A:$A=$A611)*(Stats!$B:$B=$B611)))"),19.0)</f>
        <v>19</v>
      </c>
      <c r="K611" s="11">
        <f>IFERROR(__xludf.DUMMYFUNCTION("""COMPUTED_VALUE"""),14.0)</f>
        <v>14</v>
      </c>
      <c r="L611" s="12">
        <f>IFERROR(__xludf.DUMMYFUNCTION("""COMPUTED_VALUE"""),0.5757575757575758)</f>
        <v>0.5757575758</v>
      </c>
      <c r="M611" s="11">
        <f>IFERROR(__xludf.DUMMYFUNCTION("""COMPUTED_VALUE"""),1.0)</f>
        <v>1</v>
      </c>
      <c r="N611" s="11">
        <f>IFERROR(__xludf.DUMMYFUNCTION("""COMPUTED_VALUE"""),10124.0)</f>
        <v>10124</v>
      </c>
      <c r="O611" s="13">
        <f>IFERROR(__xludf.DUMMYFUNCTION("""COMPUTED_VALUE"""),22.0)</f>
        <v>22</v>
      </c>
      <c r="P611" s="14">
        <f>IFERROR(__xludf.DUMMYFUNCTION("""COMPUTED_VALUE"""),23.0)</f>
        <v>23</v>
      </c>
      <c r="Q611" s="13">
        <f>IFERROR(__xludf.DUMMYFUNCTION("""COMPUTED_VALUE"""),34.0)</f>
        <v>34</v>
      </c>
      <c r="R611" s="13">
        <f>IFERROR(__xludf.DUMMYFUNCTION("""COMPUTED_VALUE"""),83.0)</f>
        <v>83</v>
      </c>
      <c r="S611" s="15">
        <f>IFERROR(__xludf.DUMMYFUNCTION("""COMPUTED_VALUE"""),0.26506024096385544)</f>
        <v>0.265060241</v>
      </c>
      <c r="T611" s="16">
        <f>IFERROR(__xludf.DUMMYFUNCTION("""COMPUTED_VALUE"""),306.7878787878788)</f>
        <v>306.7878788</v>
      </c>
      <c r="U611" s="16">
        <f>IFERROR(__xludf.DUMMYFUNCTION("""COMPUTED_VALUE"""),0.6666666666666666)</f>
        <v>0.6666666667</v>
      </c>
      <c r="V611" s="16">
        <f>IFERROR(__xludf.DUMMYFUNCTION("""COMPUTED_VALUE"""),0.696969696969697)</f>
        <v>0.696969697</v>
      </c>
      <c r="W611" s="16">
        <f>IFERROR(__xludf.DUMMYFUNCTION("""COMPUTED_VALUE"""),1.0303030303030303)</f>
        <v>1.03030303</v>
      </c>
      <c r="X611" s="16">
        <f>IFERROR(__xludf.DUMMYFUNCTION("""COMPUTED_VALUE"""),2.515151515151515)</f>
        <v>2.515151515</v>
      </c>
      <c r="Y611" s="11">
        <f>IFERROR(__xludf.DUMMYFUNCTION("""COMPUTED_VALUE"""),3.0)</f>
        <v>3</v>
      </c>
      <c r="Z611" s="11">
        <f>IFERROR(__xludf.DUMMYFUNCTION("""COMPUTED_VALUE"""),1.0)</f>
        <v>1</v>
      </c>
      <c r="AA611" s="11">
        <f>IFERROR(__xludf.DUMMYFUNCTION("""COMPUTED_VALUE"""),1.0)</f>
        <v>1</v>
      </c>
      <c r="AB611" s="11">
        <f>IFERROR(__xludf.DUMMYFUNCTION("""COMPUTED_VALUE"""),3.0)</f>
        <v>3</v>
      </c>
      <c r="AC611" s="11">
        <f>IFERROR(__xludf.DUMMYFUNCTION("""COMPUTED_VALUE"""),40.0)</f>
        <v>40</v>
      </c>
      <c r="AD611" s="11">
        <f>IFERROR(__xludf.DUMMYFUNCTION("""COMPUTED_VALUE"""),19.0)</f>
        <v>19</v>
      </c>
    </row>
    <row r="612">
      <c r="A612" s="10" t="str">
        <f>IFERROR(__xludf.DUMMYFUNCTION("""COMPUTED_VALUE"""),"Rival")</f>
        <v>Rival</v>
      </c>
      <c r="B612" s="10" t="str">
        <f>IFERROR(__xludf.DUMMYFUNCTION("""COMPUTED_VALUE"""),"RSC007222")</f>
        <v>RSC007222</v>
      </c>
      <c r="C612" s="10" t="str">
        <f>IFERROR(__xludf.DUMMYFUNCTION("""COMPUTED_VALUE"""),"S3EZ")</f>
        <v>S3EZ</v>
      </c>
      <c r="D612" s="36" t="str">
        <f>IFERROR(__xludf.DUMMYFUNCTION("""COMPUTED_VALUE"""),"Hue Heroes")</f>
        <v>Hue Heroes</v>
      </c>
      <c r="E612" s="10" t="str">
        <f>IFERROR(__xludf.DUMMYFUNCTION("""COMPUTED_VALUE"""),"Solar")</f>
        <v>Solar</v>
      </c>
      <c r="F612" s="37">
        <f>IFERROR(__xludf.DUMMYFUNCTION("""COMPUTED_VALUE"""),47.15314971403055)</f>
        <v>47.15314971</v>
      </c>
      <c r="G612" s="38">
        <f>IFERROR(__xludf.DUMMYFUNCTION("""COMPUTED_VALUE"""),45.655621009499164)</f>
        <v>45.65562101</v>
      </c>
      <c r="H612" s="38">
        <f>IFERROR(__xludf.DUMMYFUNCTION("""COMPUTED_VALUE"""),46.40438536176485)</f>
        <v>46.40438536</v>
      </c>
      <c r="I612" s="14">
        <f>IFERROR(__xludf.DUMMYFUNCTION("""COMPUTED_VALUE"""),34.0)</f>
        <v>34</v>
      </c>
      <c r="J612" s="11">
        <f>IFERROR(__xludf.DUMMYFUNCTION("IFERROR(FILTER(Stats!$F:$Z,(Stats!$A:$A=$A612)*(Stats!$B:$B=$B612)))"),19.0)</f>
        <v>19</v>
      </c>
      <c r="K612" s="11">
        <f>IFERROR(__xludf.DUMMYFUNCTION("""COMPUTED_VALUE"""),15.0)</f>
        <v>15</v>
      </c>
      <c r="L612" s="12">
        <f>IFERROR(__xludf.DUMMYFUNCTION("""COMPUTED_VALUE"""),0.5588235294117647)</f>
        <v>0.5588235294</v>
      </c>
      <c r="M612" s="11">
        <f>IFERROR(__xludf.DUMMYFUNCTION("""COMPUTED_VALUE"""),4.0)</f>
        <v>4</v>
      </c>
      <c r="N612" s="11">
        <f>IFERROR(__xludf.DUMMYFUNCTION("""COMPUTED_VALUE"""),10902.0)</f>
        <v>10902</v>
      </c>
      <c r="O612" s="13">
        <f>IFERROR(__xludf.DUMMYFUNCTION("""COMPUTED_VALUE"""),27.0)</f>
        <v>27</v>
      </c>
      <c r="P612" s="14">
        <f>IFERROR(__xludf.DUMMYFUNCTION("""COMPUTED_VALUE"""),16.0)</f>
        <v>16</v>
      </c>
      <c r="Q612" s="13">
        <f>IFERROR(__xludf.DUMMYFUNCTION("""COMPUTED_VALUE"""),41.0)</f>
        <v>41</v>
      </c>
      <c r="R612" s="13">
        <f>IFERROR(__xludf.DUMMYFUNCTION("""COMPUTED_VALUE"""),73.0)</f>
        <v>73</v>
      </c>
      <c r="S612" s="15">
        <f>IFERROR(__xludf.DUMMYFUNCTION("""COMPUTED_VALUE"""),0.3698630136986301)</f>
        <v>0.3698630137</v>
      </c>
      <c r="T612" s="16">
        <f>IFERROR(__xludf.DUMMYFUNCTION("""COMPUTED_VALUE"""),320.6470588235294)</f>
        <v>320.6470588</v>
      </c>
      <c r="U612" s="16">
        <f>IFERROR(__xludf.DUMMYFUNCTION("""COMPUTED_VALUE"""),0.7941176470588235)</f>
        <v>0.7941176471</v>
      </c>
      <c r="V612" s="16">
        <f>IFERROR(__xludf.DUMMYFUNCTION("""COMPUTED_VALUE"""),0.47058823529411764)</f>
        <v>0.4705882353</v>
      </c>
      <c r="W612" s="16">
        <f>IFERROR(__xludf.DUMMYFUNCTION("""COMPUTED_VALUE"""),1.2058823529411764)</f>
        <v>1.205882353</v>
      </c>
      <c r="X612" s="16">
        <f>IFERROR(__xludf.DUMMYFUNCTION("""COMPUTED_VALUE"""),2.1470588235294117)</f>
        <v>2.147058824</v>
      </c>
      <c r="Y612" s="11">
        <f>IFERROR(__xludf.DUMMYFUNCTION("""COMPUTED_VALUE"""),6.0)</f>
        <v>6</v>
      </c>
      <c r="Z612" s="11">
        <f>IFERROR(__xludf.DUMMYFUNCTION("""COMPUTED_VALUE"""),1.0)</f>
        <v>1</v>
      </c>
      <c r="AA612" s="11">
        <f>IFERROR(__xludf.DUMMYFUNCTION("""COMPUTED_VALUE"""),0.0)</f>
        <v>0</v>
      </c>
      <c r="AB612" s="11">
        <f>IFERROR(__xludf.DUMMYFUNCTION("""COMPUTED_VALUE"""),5.0)</f>
        <v>5</v>
      </c>
      <c r="AC612" s="11">
        <f>IFERROR(__xludf.DUMMYFUNCTION("""COMPUTED_VALUE"""),32.0)</f>
        <v>32</v>
      </c>
      <c r="AD612" s="11">
        <f>IFERROR(__xludf.DUMMYFUNCTION("""COMPUTED_VALUE"""),34.0)</f>
        <v>34</v>
      </c>
    </row>
    <row r="613">
      <c r="A613" s="10" t="str">
        <f>IFERROR(__xludf.DUMMYFUNCTION("""COMPUTED_VALUE"""),"Rival")</f>
        <v>Rival</v>
      </c>
      <c r="B613" s="10" t="str">
        <f>IFERROR(__xludf.DUMMYFUNCTION("""COMPUTED_VALUE"""),"RSC004188")</f>
        <v>RSC004188</v>
      </c>
      <c r="C613" s="10" t="str">
        <f>IFERROR(__xludf.DUMMYFUNCTION("""COMPUTED_VALUE"""),"wntr/x")</f>
        <v>wntr/x</v>
      </c>
      <c r="D613" s="36" t="str">
        <f>IFERROR(__xludf.DUMMYFUNCTION("""COMPUTED_VALUE"""),"Tax Evaders")</f>
        <v>Tax Evaders</v>
      </c>
      <c r="E613" s="10" t="str">
        <f>IFERROR(__xludf.DUMMYFUNCTION("""COMPUTED_VALUE"""),"Lunar")</f>
        <v>Lunar</v>
      </c>
      <c r="F613" s="37">
        <f>IFERROR(__xludf.DUMMYFUNCTION("""COMPUTED_VALUE"""),50.83885749542253)</f>
        <v>50.8388575</v>
      </c>
      <c r="G613" s="38">
        <f>IFERROR(__xludf.DUMMYFUNCTION("""COMPUTED_VALUE"""),40.482749456613945)</f>
        <v>40.48274946</v>
      </c>
      <c r="H613" s="38">
        <f>IFERROR(__xludf.DUMMYFUNCTION("""COMPUTED_VALUE"""),45.66080347601824)</f>
        <v>45.66080348</v>
      </c>
      <c r="I613" s="14">
        <f>IFERROR(__xludf.DUMMYFUNCTION("""COMPUTED_VALUE"""),44.0)</f>
        <v>44</v>
      </c>
      <c r="J613" s="11">
        <f>IFERROR(__xludf.DUMMYFUNCTION("IFERROR(FILTER(Stats!$F:$Z,(Stats!$A:$A=$A613)*(Stats!$B:$B=$B613)))"),18.0)</f>
        <v>18</v>
      </c>
      <c r="K613" s="11">
        <f>IFERROR(__xludf.DUMMYFUNCTION("""COMPUTED_VALUE"""),26.0)</f>
        <v>26</v>
      </c>
      <c r="L613" s="12">
        <f>IFERROR(__xludf.DUMMYFUNCTION("""COMPUTED_VALUE"""),0.4090909090909091)</f>
        <v>0.4090909091</v>
      </c>
      <c r="M613" s="11">
        <f>IFERROR(__xludf.DUMMYFUNCTION("""COMPUTED_VALUE"""),5.0)</f>
        <v>5</v>
      </c>
      <c r="N613" s="11">
        <f>IFERROR(__xludf.DUMMYFUNCTION("""COMPUTED_VALUE"""),13356.0)</f>
        <v>13356</v>
      </c>
      <c r="O613" s="13">
        <f>IFERROR(__xludf.DUMMYFUNCTION("""COMPUTED_VALUE"""),26.0)</f>
        <v>26</v>
      </c>
      <c r="P613" s="14">
        <f>IFERROR(__xludf.DUMMYFUNCTION("""COMPUTED_VALUE"""),30.0)</f>
        <v>30</v>
      </c>
      <c r="Q613" s="13">
        <f>IFERROR(__xludf.DUMMYFUNCTION("""COMPUTED_VALUE"""),45.0)</f>
        <v>45</v>
      </c>
      <c r="R613" s="13">
        <f>IFERROR(__xludf.DUMMYFUNCTION("""COMPUTED_VALUE"""),90.0)</f>
        <v>90</v>
      </c>
      <c r="S613" s="15">
        <f>IFERROR(__xludf.DUMMYFUNCTION("""COMPUTED_VALUE"""),0.28888888888888886)</f>
        <v>0.2888888889</v>
      </c>
      <c r="T613" s="16">
        <f>IFERROR(__xludf.DUMMYFUNCTION("""COMPUTED_VALUE"""),303.54545454545456)</f>
        <v>303.5454545</v>
      </c>
      <c r="U613" s="16">
        <f>IFERROR(__xludf.DUMMYFUNCTION("""COMPUTED_VALUE"""),0.5909090909090909)</f>
        <v>0.5909090909</v>
      </c>
      <c r="V613" s="16">
        <f>IFERROR(__xludf.DUMMYFUNCTION("""COMPUTED_VALUE"""),0.6818181818181818)</f>
        <v>0.6818181818</v>
      </c>
      <c r="W613" s="16">
        <f>IFERROR(__xludf.DUMMYFUNCTION("""COMPUTED_VALUE"""),1.0227272727272727)</f>
        <v>1.022727273</v>
      </c>
      <c r="X613" s="16">
        <f>IFERROR(__xludf.DUMMYFUNCTION("""COMPUTED_VALUE"""),2.0454545454545454)</f>
        <v>2.045454545</v>
      </c>
      <c r="Y613" s="11">
        <f>IFERROR(__xludf.DUMMYFUNCTION("""COMPUTED_VALUE"""),5.0)</f>
        <v>5</v>
      </c>
      <c r="Z613" s="11">
        <f>IFERROR(__xludf.DUMMYFUNCTION("""COMPUTED_VALUE"""),0.0)</f>
        <v>0</v>
      </c>
      <c r="AA613" s="11">
        <f>IFERROR(__xludf.DUMMYFUNCTION("""COMPUTED_VALUE"""),1.0)</f>
        <v>1</v>
      </c>
      <c r="AB613" s="11">
        <f>IFERROR(__xludf.DUMMYFUNCTION("""COMPUTED_VALUE"""),4.0)</f>
        <v>4</v>
      </c>
      <c r="AC613" s="11">
        <f>IFERROR(__xludf.DUMMYFUNCTION("""COMPUTED_VALUE"""),60.0)</f>
        <v>60</v>
      </c>
      <c r="AD613" s="11">
        <f>IFERROR(__xludf.DUMMYFUNCTION("""COMPUTED_VALUE"""),43.0)</f>
        <v>43</v>
      </c>
    </row>
    <row r="614">
      <c r="A614" s="10" t="str">
        <f>IFERROR(__xludf.DUMMYFUNCTION("""COMPUTED_VALUE"""),"Rival")</f>
        <v>Rival</v>
      </c>
      <c r="B614" s="10" t="str">
        <f>IFERROR(__xludf.DUMMYFUNCTION("""COMPUTED_VALUE"""),"RSC000796")</f>
        <v>RSC000796</v>
      </c>
      <c r="C614" s="10" t="str">
        <f>IFERROR(__xludf.DUMMYFUNCTION("""COMPUTED_VALUE"""),"hoyci")</f>
        <v>hoyci</v>
      </c>
      <c r="D614" s="36" t="str">
        <f>IFERROR(__xludf.DUMMYFUNCTION("""COMPUTED_VALUE"""),"Dracos
Nightfall")</f>
        <v>Dracos
Nightfall</v>
      </c>
      <c r="E614" s="10" t="str">
        <f>IFERROR(__xludf.DUMMYFUNCTION("""COMPUTED_VALUE"""),"Solar
Lunar")</f>
        <v>Solar
Lunar</v>
      </c>
      <c r="F614" s="37">
        <f>IFERROR(__xludf.DUMMYFUNCTION("""COMPUTED_VALUE"""),44.57566638616366)</f>
        <v>44.57566639</v>
      </c>
      <c r="G614" s="38">
        <f>IFERROR(__xludf.DUMMYFUNCTION("""COMPUTED_VALUE"""),46.716454022827016)</f>
        <v>46.71645402</v>
      </c>
      <c r="H614" s="38">
        <f>IFERROR(__xludf.DUMMYFUNCTION("""COMPUTED_VALUE"""),45.64606020449534)</f>
        <v>45.6460602</v>
      </c>
      <c r="I614" s="14">
        <f>IFERROR(__xludf.DUMMYFUNCTION("""COMPUTED_VALUE"""),21.0)</f>
        <v>21</v>
      </c>
      <c r="J614" s="11">
        <f>IFERROR(__xludf.DUMMYFUNCTION("IFERROR(FILTER(Stats!$F:$Z,(Stats!$A:$A=$A614)*(Stats!$B:$B=$B614)))"),10.0)</f>
        <v>10</v>
      </c>
      <c r="K614" s="11">
        <f>IFERROR(__xludf.DUMMYFUNCTION("""COMPUTED_VALUE"""),11.0)</f>
        <v>11</v>
      </c>
      <c r="L614" s="12">
        <f>IFERROR(__xludf.DUMMYFUNCTION("""COMPUTED_VALUE"""),0.47619047619047616)</f>
        <v>0.4761904762</v>
      </c>
      <c r="M614" s="11">
        <f>IFERROR(__xludf.DUMMYFUNCTION("""COMPUTED_VALUE"""),2.0)</f>
        <v>2</v>
      </c>
      <c r="N614" s="11">
        <f>IFERROR(__xludf.DUMMYFUNCTION("""COMPUTED_VALUE"""),7343.0)</f>
        <v>7343</v>
      </c>
      <c r="O614" s="13">
        <f>IFERROR(__xludf.DUMMYFUNCTION("""COMPUTED_VALUE"""),14.0)</f>
        <v>14</v>
      </c>
      <c r="P614" s="14">
        <f>IFERROR(__xludf.DUMMYFUNCTION("""COMPUTED_VALUE"""),11.0)</f>
        <v>11</v>
      </c>
      <c r="Q614" s="13">
        <f>IFERROR(__xludf.DUMMYFUNCTION("""COMPUTED_VALUE"""),30.0)</f>
        <v>30</v>
      </c>
      <c r="R614" s="13">
        <f>IFERROR(__xludf.DUMMYFUNCTION("""COMPUTED_VALUE"""),55.0)</f>
        <v>55</v>
      </c>
      <c r="S614" s="15">
        <f>IFERROR(__xludf.DUMMYFUNCTION("""COMPUTED_VALUE"""),0.2545454545454545)</f>
        <v>0.2545454545</v>
      </c>
      <c r="T614" s="16">
        <f>IFERROR(__xludf.DUMMYFUNCTION("""COMPUTED_VALUE"""),349.6666666666667)</f>
        <v>349.6666667</v>
      </c>
      <c r="U614" s="16">
        <f>IFERROR(__xludf.DUMMYFUNCTION("""COMPUTED_VALUE"""),0.6666666666666666)</f>
        <v>0.6666666667</v>
      </c>
      <c r="V614" s="16">
        <f>IFERROR(__xludf.DUMMYFUNCTION("""COMPUTED_VALUE"""),0.5238095238095238)</f>
        <v>0.5238095238</v>
      </c>
      <c r="W614" s="16">
        <f>IFERROR(__xludf.DUMMYFUNCTION("""COMPUTED_VALUE"""),1.4285714285714286)</f>
        <v>1.428571429</v>
      </c>
      <c r="X614" s="16">
        <f>IFERROR(__xludf.DUMMYFUNCTION("""COMPUTED_VALUE"""),2.619047619047619)</f>
        <v>2.619047619</v>
      </c>
      <c r="Y614" s="11">
        <f>IFERROR(__xludf.DUMMYFUNCTION("""COMPUTED_VALUE"""),3.0)</f>
        <v>3</v>
      </c>
      <c r="Z614" s="11">
        <f>IFERROR(__xludf.DUMMYFUNCTION("""COMPUTED_VALUE"""),0.0)</f>
        <v>0</v>
      </c>
      <c r="AA614" s="11">
        <f>IFERROR(__xludf.DUMMYFUNCTION("""COMPUTED_VALUE"""),0.0)</f>
        <v>0</v>
      </c>
      <c r="AB614" s="11">
        <f>IFERROR(__xludf.DUMMYFUNCTION("""COMPUTED_VALUE"""),3.0)</f>
        <v>3</v>
      </c>
      <c r="AC614" s="11">
        <f>IFERROR(__xludf.DUMMYFUNCTION("""COMPUTED_VALUE"""),17.0)</f>
        <v>17</v>
      </c>
      <c r="AD614" s="11">
        <f>IFERROR(__xludf.DUMMYFUNCTION("""COMPUTED_VALUE"""),20.0)</f>
        <v>20</v>
      </c>
    </row>
    <row r="615">
      <c r="A615" s="10" t="str">
        <f>IFERROR(__xludf.DUMMYFUNCTION("""COMPUTED_VALUE"""),"Rival")</f>
        <v>Rival</v>
      </c>
      <c r="B615" s="10" t="str">
        <f>IFERROR(__xludf.DUMMYFUNCTION("""COMPUTED_VALUE"""),"RSC002982")</f>
        <v>RSC002982</v>
      </c>
      <c r="C615" s="10" t="str">
        <f>IFERROR(__xludf.DUMMYFUNCTION("""COMPUTED_VALUE"""),"AyoChil1")</f>
        <v>AyoChil1</v>
      </c>
      <c r="D615" s="36" t="str">
        <f>IFERROR(__xludf.DUMMYFUNCTION("""COMPUTED_VALUE"""),"Barracudas")</f>
        <v>Barracudas</v>
      </c>
      <c r="E615" s="10" t="str">
        <f>IFERROR(__xludf.DUMMYFUNCTION("""COMPUTED_VALUE"""),"Lunar")</f>
        <v>Lunar</v>
      </c>
      <c r="F615" s="37">
        <f>IFERROR(__xludf.DUMMYFUNCTION("""COMPUTED_VALUE"""),42.00551440842766)</f>
        <v>42.00551441</v>
      </c>
      <c r="G615" s="38">
        <f>IFERROR(__xludf.DUMMYFUNCTION("""COMPUTED_VALUE"""),48.5733066298643)</f>
        <v>48.57330663</v>
      </c>
      <c r="H615" s="38">
        <f>IFERROR(__xludf.DUMMYFUNCTION("""COMPUTED_VALUE"""),45.289410519145974)</f>
        <v>45.28941052</v>
      </c>
      <c r="I615" s="14">
        <f>IFERROR(__xludf.DUMMYFUNCTION("""COMPUTED_VALUE"""),52.0)</f>
        <v>52</v>
      </c>
      <c r="J615" s="11">
        <f>IFERROR(__xludf.DUMMYFUNCTION("IFERROR(FILTER(Stats!$F:$Z,(Stats!$A:$A=$A615)*(Stats!$B:$B=$B615)))"),29.0)</f>
        <v>29</v>
      </c>
      <c r="K615" s="11">
        <f>IFERROR(__xludf.DUMMYFUNCTION("""COMPUTED_VALUE"""),23.0)</f>
        <v>23</v>
      </c>
      <c r="L615" s="12">
        <f>IFERROR(__xludf.DUMMYFUNCTION("""COMPUTED_VALUE"""),0.5576923076923077)</f>
        <v>0.5576923077</v>
      </c>
      <c r="M615" s="11">
        <f>IFERROR(__xludf.DUMMYFUNCTION("""COMPUTED_VALUE"""),5.0)</f>
        <v>5</v>
      </c>
      <c r="N615" s="11">
        <f>IFERROR(__xludf.DUMMYFUNCTION("""COMPUTED_VALUE"""),17769.0)</f>
        <v>17769</v>
      </c>
      <c r="O615" s="13">
        <f>IFERROR(__xludf.DUMMYFUNCTION("""COMPUTED_VALUE"""),33.0)</f>
        <v>33</v>
      </c>
      <c r="P615" s="14">
        <f>IFERROR(__xludf.DUMMYFUNCTION("""COMPUTED_VALUE"""),30.0)</f>
        <v>30</v>
      </c>
      <c r="Q615" s="13">
        <f>IFERROR(__xludf.DUMMYFUNCTION("""COMPUTED_VALUE"""),72.0)</f>
        <v>72</v>
      </c>
      <c r="R615" s="13">
        <f>IFERROR(__xludf.DUMMYFUNCTION("""COMPUTED_VALUE"""),127.0)</f>
        <v>127</v>
      </c>
      <c r="S615" s="15">
        <f>IFERROR(__xludf.DUMMYFUNCTION("""COMPUTED_VALUE"""),0.25984251968503935)</f>
        <v>0.2598425197</v>
      </c>
      <c r="T615" s="16">
        <f>IFERROR(__xludf.DUMMYFUNCTION("""COMPUTED_VALUE"""),341.71153846153845)</f>
        <v>341.7115385</v>
      </c>
      <c r="U615" s="16">
        <f>IFERROR(__xludf.DUMMYFUNCTION("""COMPUTED_VALUE"""),0.6346153846153846)</f>
        <v>0.6346153846</v>
      </c>
      <c r="V615" s="16">
        <f>IFERROR(__xludf.DUMMYFUNCTION("""COMPUTED_VALUE"""),0.5769230769230769)</f>
        <v>0.5769230769</v>
      </c>
      <c r="W615" s="16">
        <f>IFERROR(__xludf.DUMMYFUNCTION("""COMPUTED_VALUE"""),1.3846153846153846)</f>
        <v>1.384615385</v>
      </c>
      <c r="X615" s="16">
        <f>IFERROR(__xludf.DUMMYFUNCTION("""COMPUTED_VALUE"""),2.4423076923076925)</f>
        <v>2.442307692</v>
      </c>
      <c r="Y615" s="11">
        <f>IFERROR(__xludf.DUMMYFUNCTION("""COMPUTED_VALUE"""),10.0)</f>
        <v>10</v>
      </c>
      <c r="Z615" s="11">
        <f>IFERROR(__xludf.DUMMYFUNCTION("""COMPUTED_VALUE"""),1.0)</f>
        <v>1</v>
      </c>
      <c r="AA615" s="11">
        <f>IFERROR(__xludf.DUMMYFUNCTION("""COMPUTED_VALUE"""),1.0)</f>
        <v>1</v>
      </c>
      <c r="AB615" s="11">
        <f>IFERROR(__xludf.DUMMYFUNCTION("""COMPUTED_VALUE"""),11.0)</f>
        <v>11</v>
      </c>
      <c r="AC615" s="11">
        <f>IFERROR(__xludf.DUMMYFUNCTION("""COMPUTED_VALUE"""),40.0)</f>
        <v>40</v>
      </c>
      <c r="AD615" s="11">
        <f>IFERROR(__xludf.DUMMYFUNCTION("""COMPUTED_VALUE"""),51.0)</f>
        <v>51</v>
      </c>
    </row>
    <row r="616">
      <c r="A616" s="10" t="str">
        <f>IFERROR(__xludf.DUMMYFUNCTION("""COMPUTED_VALUE"""),"Rival")</f>
        <v>Rival</v>
      </c>
      <c r="B616" s="10" t="str">
        <f>IFERROR(__xludf.DUMMYFUNCTION("""COMPUTED_VALUE"""),"RSC007904")</f>
        <v>RSC007904</v>
      </c>
      <c r="C616" s="10" t="str">
        <f>IFERROR(__xludf.DUMMYFUNCTION("""COMPUTED_VALUE"""),"branthedan")</f>
        <v>branthedan</v>
      </c>
      <c r="D616" s="36" t="str">
        <f>IFERROR(__xludf.DUMMYFUNCTION("""COMPUTED_VALUE"""),"Purrgatory")</f>
        <v>Purrgatory</v>
      </c>
      <c r="E616" s="10" t="str">
        <f>IFERROR(__xludf.DUMMYFUNCTION("""COMPUTED_VALUE"""),"Solar")</f>
        <v>Solar</v>
      </c>
      <c r="F616" s="37">
        <f>IFERROR(__xludf.DUMMYFUNCTION("""COMPUTED_VALUE"""),45.7708258605703)</f>
        <v>45.77082586</v>
      </c>
      <c r="G616" s="38">
        <f>IFERROR(__xludf.DUMMYFUNCTION("""COMPUTED_VALUE"""),43.41096246733511)</f>
        <v>43.41096247</v>
      </c>
      <c r="H616" s="38">
        <f>IFERROR(__xludf.DUMMYFUNCTION("""COMPUTED_VALUE"""),44.590894163952704)</f>
        <v>44.59089416</v>
      </c>
      <c r="I616" s="14">
        <f>IFERROR(__xludf.DUMMYFUNCTION("""COMPUTED_VALUE"""),55.0)</f>
        <v>55</v>
      </c>
      <c r="J616" s="11">
        <f>IFERROR(__xludf.DUMMYFUNCTION("IFERROR(FILTER(Stats!$F:$Z,(Stats!$A:$A=$A616)*(Stats!$B:$B=$B616)))"),28.0)</f>
        <v>28</v>
      </c>
      <c r="K616" s="11">
        <f>IFERROR(__xludf.DUMMYFUNCTION("""COMPUTED_VALUE"""),27.0)</f>
        <v>27</v>
      </c>
      <c r="L616" s="12">
        <f>IFERROR(__xludf.DUMMYFUNCTION("""COMPUTED_VALUE"""),0.509090909090909)</f>
        <v>0.5090909091</v>
      </c>
      <c r="M616" s="11">
        <f>IFERROR(__xludf.DUMMYFUNCTION("""COMPUTED_VALUE"""),9.0)</f>
        <v>9</v>
      </c>
      <c r="N616" s="11">
        <f>IFERROR(__xludf.DUMMYFUNCTION("""COMPUTED_VALUE"""),18750.0)</f>
        <v>18750</v>
      </c>
      <c r="O616" s="13">
        <f>IFERROR(__xludf.DUMMYFUNCTION("""COMPUTED_VALUE"""),27.0)</f>
        <v>27</v>
      </c>
      <c r="P616" s="14">
        <f>IFERROR(__xludf.DUMMYFUNCTION("""COMPUTED_VALUE"""),34.0)</f>
        <v>34</v>
      </c>
      <c r="Q616" s="13">
        <f>IFERROR(__xludf.DUMMYFUNCTION("""COMPUTED_VALUE"""),85.0)</f>
        <v>85</v>
      </c>
      <c r="R616" s="13">
        <f>IFERROR(__xludf.DUMMYFUNCTION("""COMPUTED_VALUE"""),123.0)</f>
        <v>123</v>
      </c>
      <c r="S616" s="15">
        <f>IFERROR(__xludf.DUMMYFUNCTION("""COMPUTED_VALUE"""),0.21951219512195122)</f>
        <v>0.2195121951</v>
      </c>
      <c r="T616" s="16">
        <f>IFERROR(__xludf.DUMMYFUNCTION("""COMPUTED_VALUE"""),340.90909090909093)</f>
        <v>340.9090909</v>
      </c>
      <c r="U616" s="16">
        <f>IFERROR(__xludf.DUMMYFUNCTION("""COMPUTED_VALUE"""),0.4909090909090909)</f>
        <v>0.4909090909</v>
      </c>
      <c r="V616" s="16">
        <f>IFERROR(__xludf.DUMMYFUNCTION("""COMPUTED_VALUE"""),0.6181818181818182)</f>
        <v>0.6181818182</v>
      </c>
      <c r="W616" s="16">
        <f>IFERROR(__xludf.DUMMYFUNCTION("""COMPUTED_VALUE"""),1.5454545454545454)</f>
        <v>1.545454545</v>
      </c>
      <c r="X616" s="16">
        <f>IFERROR(__xludf.DUMMYFUNCTION("""COMPUTED_VALUE"""),2.2363636363636363)</f>
        <v>2.236363636</v>
      </c>
      <c r="Y616" s="11">
        <f>IFERROR(__xludf.DUMMYFUNCTION("""COMPUTED_VALUE"""),9.0)</f>
        <v>9</v>
      </c>
      <c r="Z616" s="11">
        <f>IFERROR(__xludf.DUMMYFUNCTION("""COMPUTED_VALUE"""),1.0)</f>
        <v>1</v>
      </c>
      <c r="AA616" s="11">
        <f>IFERROR(__xludf.DUMMYFUNCTION("""COMPUTED_VALUE"""),1.0)</f>
        <v>1</v>
      </c>
      <c r="AB616" s="11">
        <f>IFERROR(__xludf.DUMMYFUNCTION("""COMPUTED_VALUE"""),7.0)</f>
        <v>7</v>
      </c>
      <c r="AC616" s="11">
        <f>IFERROR(__xludf.DUMMYFUNCTION("""COMPUTED_VALUE"""),74.0)</f>
        <v>74</v>
      </c>
      <c r="AD616" s="11">
        <f>IFERROR(__xludf.DUMMYFUNCTION("""COMPUTED_VALUE"""),41.0)</f>
        <v>41</v>
      </c>
    </row>
    <row r="617">
      <c r="A617" s="10" t="str">
        <f>IFERROR(__xludf.DUMMYFUNCTION("""COMPUTED_VALUE"""),"Rival")</f>
        <v>Rival</v>
      </c>
      <c r="B617" s="10" t="str">
        <f>IFERROR(__xludf.DUMMYFUNCTION("""COMPUTED_VALUE"""),"RSC001082")</f>
        <v>RSC001082</v>
      </c>
      <c r="C617" s="10" t="str">
        <f>IFERROR(__xludf.DUMMYFUNCTION("""COMPUTED_VALUE"""),"Tuxedo Marx")</f>
        <v>Tuxedo Marx</v>
      </c>
      <c r="D617" s="36" t="str">
        <f>IFERROR(__xludf.DUMMYFUNCTION("""COMPUTED_VALUE"""),"Asiago Arsonists")</f>
        <v>Asiago Arsonists</v>
      </c>
      <c r="E617" s="10" t="str">
        <f>IFERROR(__xludf.DUMMYFUNCTION("""COMPUTED_VALUE"""),"Lunar")</f>
        <v>Lunar</v>
      </c>
      <c r="F617" s="37">
        <f>IFERROR(__xludf.DUMMYFUNCTION("""COMPUTED_VALUE"""),44.77690592614586)</f>
        <v>44.77690593</v>
      </c>
      <c r="G617" s="38">
        <f>IFERROR(__xludf.DUMMYFUNCTION("""COMPUTED_VALUE"""),42.722939939121964)</f>
        <v>42.72293994</v>
      </c>
      <c r="H617" s="38">
        <f>IFERROR(__xludf.DUMMYFUNCTION("""COMPUTED_VALUE"""),43.74992293263391)</f>
        <v>43.74992293</v>
      </c>
      <c r="I617" s="14">
        <f>IFERROR(__xludf.DUMMYFUNCTION("""COMPUTED_VALUE"""),22.0)</f>
        <v>22</v>
      </c>
      <c r="J617" s="11">
        <f>IFERROR(__xludf.DUMMYFUNCTION("IFERROR(FILTER(Stats!$F:$Z,(Stats!$A:$A=$A617)*(Stats!$B:$B=$B617)))"),8.0)</f>
        <v>8</v>
      </c>
      <c r="K617" s="11">
        <f>IFERROR(__xludf.DUMMYFUNCTION("""COMPUTED_VALUE"""),14.0)</f>
        <v>14</v>
      </c>
      <c r="L617" s="12">
        <f>IFERROR(__xludf.DUMMYFUNCTION("""COMPUTED_VALUE"""),0.36363636363636365)</f>
        <v>0.3636363636</v>
      </c>
      <c r="M617" s="11">
        <f>IFERROR(__xludf.DUMMYFUNCTION("""COMPUTED_VALUE"""),3.0)</f>
        <v>3</v>
      </c>
      <c r="N617" s="11">
        <f>IFERROR(__xludf.DUMMYFUNCTION("""COMPUTED_VALUE"""),7093.0)</f>
        <v>7093</v>
      </c>
      <c r="O617" s="13">
        <f>IFERROR(__xludf.DUMMYFUNCTION("""COMPUTED_VALUE"""),16.0)</f>
        <v>16</v>
      </c>
      <c r="P617" s="14">
        <f>IFERROR(__xludf.DUMMYFUNCTION("""COMPUTED_VALUE"""),9.0)</f>
        <v>9</v>
      </c>
      <c r="Q617" s="13">
        <f>IFERROR(__xludf.DUMMYFUNCTION("""COMPUTED_VALUE"""),24.0)</f>
        <v>24</v>
      </c>
      <c r="R617" s="13">
        <f>IFERROR(__xludf.DUMMYFUNCTION("""COMPUTED_VALUE"""),48.0)</f>
        <v>48</v>
      </c>
      <c r="S617" s="15">
        <f>IFERROR(__xludf.DUMMYFUNCTION("""COMPUTED_VALUE"""),0.3333333333333333)</f>
        <v>0.3333333333</v>
      </c>
      <c r="T617" s="16">
        <f>IFERROR(__xludf.DUMMYFUNCTION("""COMPUTED_VALUE"""),322.40909090909093)</f>
        <v>322.4090909</v>
      </c>
      <c r="U617" s="16">
        <f>IFERROR(__xludf.DUMMYFUNCTION("""COMPUTED_VALUE"""),0.7272727272727273)</f>
        <v>0.7272727273</v>
      </c>
      <c r="V617" s="16">
        <f>IFERROR(__xludf.DUMMYFUNCTION("""COMPUTED_VALUE"""),0.4090909090909091)</f>
        <v>0.4090909091</v>
      </c>
      <c r="W617" s="16">
        <f>IFERROR(__xludf.DUMMYFUNCTION("""COMPUTED_VALUE"""),1.0909090909090908)</f>
        <v>1.090909091</v>
      </c>
      <c r="X617" s="16">
        <f>IFERROR(__xludf.DUMMYFUNCTION("""COMPUTED_VALUE"""),2.1818181818181817)</f>
        <v>2.181818182</v>
      </c>
      <c r="Y617" s="11">
        <f>IFERROR(__xludf.DUMMYFUNCTION("""COMPUTED_VALUE"""),2.0)</f>
        <v>2</v>
      </c>
      <c r="Z617" s="11">
        <f>IFERROR(__xludf.DUMMYFUNCTION("""COMPUTED_VALUE"""),1.0)</f>
        <v>1</v>
      </c>
      <c r="AA617" s="11">
        <f>IFERROR(__xludf.DUMMYFUNCTION("""COMPUTED_VALUE"""),0.0)</f>
        <v>0</v>
      </c>
      <c r="AB617" s="11">
        <f>IFERROR(__xludf.DUMMYFUNCTION("""COMPUTED_VALUE"""),1.0)</f>
        <v>1</v>
      </c>
      <c r="AC617" s="11">
        <f>IFERROR(__xludf.DUMMYFUNCTION("""COMPUTED_VALUE"""),6.0)</f>
        <v>6</v>
      </c>
      <c r="AD617" s="11">
        <f>IFERROR(__xludf.DUMMYFUNCTION("""COMPUTED_VALUE"""),22.0)</f>
        <v>22</v>
      </c>
    </row>
    <row r="618">
      <c r="A618" s="10" t="str">
        <f>IFERROR(__xludf.DUMMYFUNCTION("""COMPUTED_VALUE"""),"Rival")</f>
        <v>Rival</v>
      </c>
      <c r="B618" s="10" t="str">
        <f>IFERROR(__xludf.DUMMYFUNCTION("""COMPUTED_VALUE"""),"RSC001358")</f>
        <v>RSC001358</v>
      </c>
      <c r="C618" s="10" t="str">
        <f>IFERROR(__xludf.DUMMYFUNCTION("""COMPUTED_VALUE"""),"Cob")</f>
        <v>Cob</v>
      </c>
      <c r="D618" s="36" t="str">
        <f>IFERROR(__xludf.DUMMYFUNCTION("""COMPUTED_VALUE"""),"Phoenix
Dracos")</f>
        <v>Phoenix
Dracos</v>
      </c>
      <c r="E618" s="10" t="str">
        <f>IFERROR(__xludf.DUMMYFUNCTION("""COMPUTED_VALUE"""),"Solar
Solar")</f>
        <v>Solar
Solar</v>
      </c>
      <c r="F618" s="37">
        <f>IFERROR(__xludf.DUMMYFUNCTION("""COMPUTED_VALUE"""),44.823992174945595)</f>
        <v>44.82399217</v>
      </c>
      <c r="G618" s="38">
        <f>IFERROR(__xludf.DUMMYFUNCTION("""COMPUTED_VALUE"""),41.87335860093633)</f>
        <v>41.8733586</v>
      </c>
      <c r="H618" s="38">
        <f>IFERROR(__xludf.DUMMYFUNCTION("""COMPUTED_VALUE"""),43.34867538794096)</f>
        <v>43.34867539</v>
      </c>
      <c r="I618" s="14">
        <f>IFERROR(__xludf.DUMMYFUNCTION("""COMPUTED_VALUE"""),52.0)</f>
        <v>52</v>
      </c>
      <c r="J618" s="11">
        <f>IFERROR(__xludf.DUMMYFUNCTION("IFERROR(FILTER(Stats!$F:$Z,(Stats!$A:$A=$A618)*(Stats!$B:$B=$B618)))"),25.0)</f>
        <v>25</v>
      </c>
      <c r="K618" s="11">
        <f>IFERROR(__xludf.DUMMYFUNCTION("""COMPUTED_VALUE"""),27.0)</f>
        <v>27</v>
      </c>
      <c r="L618" s="12">
        <f>IFERROR(__xludf.DUMMYFUNCTION("""COMPUTED_VALUE"""),0.4807692307692308)</f>
        <v>0.4807692308</v>
      </c>
      <c r="M618" s="11">
        <f>IFERROR(__xludf.DUMMYFUNCTION("""COMPUTED_VALUE"""),7.0)</f>
        <v>7</v>
      </c>
      <c r="N618" s="11">
        <f>IFERROR(__xludf.DUMMYFUNCTION("""COMPUTED_VALUE"""),16239.0)</f>
        <v>16239</v>
      </c>
      <c r="O618" s="13">
        <f>IFERROR(__xludf.DUMMYFUNCTION("""COMPUTED_VALUE"""),33.0)</f>
        <v>33</v>
      </c>
      <c r="P618" s="14">
        <f>IFERROR(__xludf.DUMMYFUNCTION("""COMPUTED_VALUE"""),25.0)</f>
        <v>25</v>
      </c>
      <c r="Q618" s="13">
        <f>IFERROR(__xludf.DUMMYFUNCTION("""COMPUTED_VALUE"""),66.0)</f>
        <v>66</v>
      </c>
      <c r="R618" s="13">
        <f>IFERROR(__xludf.DUMMYFUNCTION("""COMPUTED_VALUE"""),123.0)</f>
        <v>123</v>
      </c>
      <c r="S618" s="15">
        <f>IFERROR(__xludf.DUMMYFUNCTION("""COMPUTED_VALUE"""),0.2682926829268293)</f>
        <v>0.2682926829</v>
      </c>
      <c r="T618" s="16">
        <f>IFERROR(__xludf.DUMMYFUNCTION("""COMPUTED_VALUE"""),312.28846153846155)</f>
        <v>312.2884615</v>
      </c>
      <c r="U618" s="16">
        <f>IFERROR(__xludf.DUMMYFUNCTION("""COMPUTED_VALUE"""),0.6346153846153846)</f>
        <v>0.6346153846</v>
      </c>
      <c r="V618" s="16">
        <f>IFERROR(__xludf.DUMMYFUNCTION("""COMPUTED_VALUE"""),0.4807692307692308)</f>
        <v>0.4807692308</v>
      </c>
      <c r="W618" s="16">
        <f>IFERROR(__xludf.DUMMYFUNCTION("""COMPUTED_VALUE"""),1.2692307692307692)</f>
        <v>1.269230769</v>
      </c>
      <c r="X618" s="16">
        <f>IFERROR(__xludf.DUMMYFUNCTION("""COMPUTED_VALUE"""),2.3653846153846154)</f>
        <v>2.365384615</v>
      </c>
      <c r="Y618" s="11">
        <f>IFERROR(__xludf.DUMMYFUNCTION("""COMPUTED_VALUE"""),6.0)</f>
        <v>6</v>
      </c>
      <c r="Z618" s="11">
        <f>IFERROR(__xludf.DUMMYFUNCTION("""COMPUTED_VALUE"""),1.0)</f>
        <v>1</v>
      </c>
      <c r="AA618" s="11">
        <f>IFERROR(__xludf.DUMMYFUNCTION("""COMPUTED_VALUE"""),1.0)</f>
        <v>1</v>
      </c>
      <c r="AB618" s="11">
        <f>IFERROR(__xludf.DUMMYFUNCTION("""COMPUTED_VALUE"""),7.0)</f>
        <v>7</v>
      </c>
      <c r="AC618" s="11">
        <f>IFERROR(__xludf.DUMMYFUNCTION("""COMPUTED_VALUE"""),35.0)</f>
        <v>35</v>
      </c>
      <c r="AD618" s="11">
        <f>IFERROR(__xludf.DUMMYFUNCTION("""COMPUTED_VALUE"""),35.0)</f>
        <v>35</v>
      </c>
    </row>
    <row r="619">
      <c r="A619" s="10" t="str">
        <f>IFERROR(__xludf.DUMMYFUNCTION("""COMPUTED_VALUE"""),"Rival")</f>
        <v>Rival</v>
      </c>
      <c r="B619" s="10" t="str">
        <f>IFERROR(__xludf.DUMMYFUNCTION("""COMPUTED_VALUE"""),"RSC003536")</f>
        <v>RSC003536</v>
      </c>
      <c r="C619" s="10" t="str">
        <f>IFERROR(__xludf.DUMMYFUNCTION("""COMPUTED_VALUE"""),"Charlemagne")</f>
        <v>Charlemagne</v>
      </c>
      <c r="D619" s="36" t="str">
        <f>IFERROR(__xludf.DUMMYFUNCTION("""COMPUTED_VALUE"""),"Tax Evaders")</f>
        <v>Tax Evaders</v>
      </c>
      <c r="E619" s="10" t="str">
        <f>IFERROR(__xludf.DUMMYFUNCTION("""COMPUTED_VALUE"""),"Lunar")</f>
        <v>Lunar</v>
      </c>
      <c r="F619" s="37">
        <f>IFERROR(__xludf.DUMMYFUNCTION("""COMPUTED_VALUE"""),48.03753753503336)</f>
        <v>48.03753754</v>
      </c>
      <c r="G619" s="38">
        <f>IFERROR(__xludf.DUMMYFUNCTION("""COMPUTED_VALUE"""),38.63200853076722)</f>
        <v>38.63200853</v>
      </c>
      <c r="H619" s="38">
        <f>IFERROR(__xludf.DUMMYFUNCTION("""COMPUTED_VALUE"""),43.33477303290029)</f>
        <v>43.33477303</v>
      </c>
      <c r="I619" s="14">
        <f>IFERROR(__xludf.DUMMYFUNCTION("""COMPUTED_VALUE"""),41.0)</f>
        <v>41</v>
      </c>
      <c r="J619" s="11">
        <f>IFERROR(__xludf.DUMMYFUNCTION("IFERROR(FILTER(Stats!$F:$Z,(Stats!$A:$A=$A619)*(Stats!$B:$B=$B619)))"),20.0)</f>
        <v>20</v>
      </c>
      <c r="K619" s="11">
        <f>IFERROR(__xludf.DUMMYFUNCTION("""COMPUTED_VALUE"""),21.0)</f>
        <v>21</v>
      </c>
      <c r="L619" s="12">
        <f>IFERROR(__xludf.DUMMYFUNCTION("""COMPUTED_VALUE"""),0.4878048780487805)</f>
        <v>0.487804878</v>
      </c>
      <c r="M619" s="11">
        <f>IFERROR(__xludf.DUMMYFUNCTION("""COMPUTED_VALUE"""),6.0)</f>
        <v>6</v>
      </c>
      <c r="N619" s="11">
        <f>IFERROR(__xludf.DUMMYFUNCTION("""COMPUTED_VALUE"""),13058.0)</f>
        <v>13058</v>
      </c>
      <c r="O619" s="13">
        <f>IFERROR(__xludf.DUMMYFUNCTION("""COMPUTED_VALUE"""),30.0)</f>
        <v>30</v>
      </c>
      <c r="P619" s="14">
        <f>IFERROR(__xludf.DUMMYFUNCTION("""COMPUTED_VALUE"""),17.0)</f>
        <v>17</v>
      </c>
      <c r="Q619" s="13">
        <f>IFERROR(__xludf.DUMMYFUNCTION("""COMPUTED_VALUE"""),50.0)</f>
        <v>50</v>
      </c>
      <c r="R619" s="13">
        <f>IFERROR(__xludf.DUMMYFUNCTION("""COMPUTED_VALUE"""),83.0)</f>
        <v>83</v>
      </c>
      <c r="S619" s="15">
        <f>IFERROR(__xludf.DUMMYFUNCTION("""COMPUTED_VALUE"""),0.3614457831325301)</f>
        <v>0.3614457831</v>
      </c>
      <c r="T619" s="16">
        <f>IFERROR(__xludf.DUMMYFUNCTION("""COMPUTED_VALUE"""),318.4878048780488)</f>
        <v>318.4878049</v>
      </c>
      <c r="U619" s="16">
        <f>IFERROR(__xludf.DUMMYFUNCTION("""COMPUTED_VALUE"""),0.7317073170731707)</f>
        <v>0.7317073171</v>
      </c>
      <c r="V619" s="16">
        <f>IFERROR(__xludf.DUMMYFUNCTION("""COMPUTED_VALUE"""),0.4146341463414634)</f>
        <v>0.4146341463</v>
      </c>
      <c r="W619" s="16">
        <f>IFERROR(__xludf.DUMMYFUNCTION("""COMPUTED_VALUE"""),1.2195121951219512)</f>
        <v>1.219512195</v>
      </c>
      <c r="X619" s="16">
        <f>IFERROR(__xludf.DUMMYFUNCTION("""COMPUTED_VALUE"""),2.024390243902439)</f>
        <v>2.024390244</v>
      </c>
      <c r="Y619" s="11">
        <f>IFERROR(__xludf.DUMMYFUNCTION("""COMPUTED_VALUE"""),5.0)</f>
        <v>5</v>
      </c>
      <c r="Z619" s="11">
        <f>IFERROR(__xludf.DUMMYFUNCTION("""COMPUTED_VALUE"""),2.0)</f>
        <v>2</v>
      </c>
      <c r="AA619" s="11">
        <f>IFERROR(__xludf.DUMMYFUNCTION("""COMPUTED_VALUE"""),1.0)</f>
        <v>1</v>
      </c>
      <c r="AB619" s="11">
        <f>IFERROR(__xludf.DUMMYFUNCTION("""COMPUTED_VALUE"""),6.0)</f>
        <v>6</v>
      </c>
      <c r="AC619" s="11">
        <f>IFERROR(__xludf.DUMMYFUNCTION("""COMPUTED_VALUE"""),14.0)</f>
        <v>14</v>
      </c>
      <c r="AD619" s="11">
        <f>IFERROR(__xludf.DUMMYFUNCTION("""COMPUTED_VALUE"""),40.0)</f>
        <v>40</v>
      </c>
    </row>
    <row r="620">
      <c r="A620" s="10" t="str">
        <f>IFERROR(__xludf.DUMMYFUNCTION("""COMPUTED_VALUE"""),"Rival")</f>
        <v>Rival</v>
      </c>
      <c r="B620" s="10" t="str">
        <f>IFERROR(__xludf.DUMMYFUNCTION("""COMPUTED_VALUE"""),"RSC008533")</f>
        <v>RSC008533</v>
      </c>
      <c r="C620" s="10" t="str">
        <f>IFERROR(__xludf.DUMMYFUNCTION("""COMPUTED_VALUE"""),"Malik_P4")</f>
        <v>Malik_P4</v>
      </c>
      <c r="D620" s="36" t="str">
        <f>IFERROR(__xludf.DUMMYFUNCTION("""COMPUTED_VALUE"""),"Lightning")</f>
        <v>Lightning</v>
      </c>
      <c r="E620" s="10" t="str">
        <f>IFERROR(__xludf.DUMMYFUNCTION("""COMPUTED_VALUE"""),"Lunar")</f>
        <v>Lunar</v>
      </c>
      <c r="F620" s="37">
        <f>IFERROR(__xludf.DUMMYFUNCTION("""COMPUTED_VALUE"""),38.7914093658389)</f>
        <v>38.79140937</v>
      </c>
      <c r="G620" s="38">
        <f>IFERROR(__xludf.DUMMYFUNCTION("""COMPUTED_VALUE"""),47.00983304860631)</f>
        <v>47.00983305</v>
      </c>
      <c r="H620" s="38">
        <f>IFERROR(__xludf.DUMMYFUNCTION("""COMPUTED_VALUE"""),42.900621207222606)</f>
        <v>42.90062121</v>
      </c>
      <c r="I620" s="14">
        <f>IFERROR(__xludf.DUMMYFUNCTION("""COMPUTED_VALUE"""),28.0)</f>
        <v>28</v>
      </c>
      <c r="J620" s="11">
        <f>IFERROR(__xludf.DUMMYFUNCTION("IFERROR(FILTER(Stats!$F:$Z,(Stats!$A:$A=$A620)*(Stats!$B:$B=$B620)))"),16.0)</f>
        <v>16</v>
      </c>
      <c r="K620" s="11">
        <f>IFERROR(__xludf.DUMMYFUNCTION("""COMPUTED_VALUE"""),12.0)</f>
        <v>12</v>
      </c>
      <c r="L620" s="12">
        <f>IFERROR(__xludf.DUMMYFUNCTION("""COMPUTED_VALUE"""),0.5714285714285714)</f>
        <v>0.5714285714</v>
      </c>
      <c r="M620" s="11">
        <f>IFERROR(__xludf.DUMMYFUNCTION("""COMPUTED_VALUE"""),1.0)</f>
        <v>1</v>
      </c>
      <c r="N620" s="11">
        <f>IFERROR(__xludf.DUMMYFUNCTION("""COMPUTED_VALUE"""),8623.0)</f>
        <v>8623</v>
      </c>
      <c r="O620" s="13">
        <f>IFERROR(__xludf.DUMMYFUNCTION("""COMPUTED_VALUE"""),21.0)</f>
        <v>21</v>
      </c>
      <c r="P620" s="14">
        <f>IFERROR(__xludf.DUMMYFUNCTION("""COMPUTED_VALUE"""),19.0)</f>
        <v>19</v>
      </c>
      <c r="Q620" s="13">
        <f>IFERROR(__xludf.DUMMYFUNCTION("""COMPUTED_VALUE"""),27.0)</f>
        <v>27</v>
      </c>
      <c r="R620" s="13">
        <f>IFERROR(__xludf.DUMMYFUNCTION("""COMPUTED_VALUE"""),59.0)</f>
        <v>59</v>
      </c>
      <c r="S620" s="15">
        <f>IFERROR(__xludf.DUMMYFUNCTION("""COMPUTED_VALUE"""),0.3559322033898305)</f>
        <v>0.3559322034</v>
      </c>
      <c r="T620" s="16">
        <f>IFERROR(__xludf.DUMMYFUNCTION("""COMPUTED_VALUE"""),307.9642857142857)</f>
        <v>307.9642857</v>
      </c>
      <c r="U620" s="16">
        <f>IFERROR(__xludf.DUMMYFUNCTION("""COMPUTED_VALUE"""),0.75)</f>
        <v>0.75</v>
      </c>
      <c r="V620" s="16">
        <f>IFERROR(__xludf.DUMMYFUNCTION("""COMPUTED_VALUE"""),0.6785714285714286)</f>
        <v>0.6785714286</v>
      </c>
      <c r="W620" s="16">
        <f>IFERROR(__xludf.DUMMYFUNCTION("""COMPUTED_VALUE"""),0.9642857142857143)</f>
        <v>0.9642857143</v>
      </c>
      <c r="X620" s="16">
        <f>IFERROR(__xludf.DUMMYFUNCTION("""COMPUTED_VALUE"""),2.107142857142857)</f>
        <v>2.107142857</v>
      </c>
      <c r="Y620" s="11">
        <f>IFERROR(__xludf.DUMMYFUNCTION("""COMPUTED_VALUE"""),5.0)</f>
        <v>5</v>
      </c>
      <c r="Z620" s="11">
        <f>IFERROR(__xludf.DUMMYFUNCTION("""COMPUTED_VALUE"""),0.0)</f>
        <v>0</v>
      </c>
      <c r="AA620" s="11">
        <f>IFERROR(__xludf.DUMMYFUNCTION("""COMPUTED_VALUE"""),1.0)</f>
        <v>1</v>
      </c>
      <c r="AB620" s="11">
        <f>IFERROR(__xludf.DUMMYFUNCTION("""COMPUTED_VALUE"""),2.0)</f>
        <v>2</v>
      </c>
      <c r="AC620" s="11">
        <f>IFERROR(__xludf.DUMMYFUNCTION("""COMPUTED_VALUE"""),15.0)</f>
        <v>15</v>
      </c>
      <c r="AD620" s="11">
        <f>IFERROR(__xludf.DUMMYFUNCTION("""COMPUTED_VALUE"""),18.0)</f>
        <v>18</v>
      </c>
    </row>
    <row r="621">
      <c r="A621" s="10" t="str">
        <f>IFERROR(__xludf.DUMMYFUNCTION("""COMPUTED_VALUE"""),"Rival")</f>
        <v>Rival</v>
      </c>
      <c r="B621" s="10" t="str">
        <f>IFERROR(__xludf.DUMMYFUNCTION("""COMPUTED_VALUE"""),"RSC006017")</f>
        <v>RSC006017</v>
      </c>
      <c r="C621" s="10" t="str">
        <f>IFERROR(__xludf.DUMMYFUNCTION("""COMPUTED_VALUE"""),"Dondo RF")</f>
        <v>Dondo RF</v>
      </c>
      <c r="D621" s="36" t="str">
        <f>IFERROR(__xludf.DUMMYFUNCTION("""COMPUTED_VALUE"""),"Kitsune")</f>
        <v>Kitsune</v>
      </c>
      <c r="E621" s="10" t="str">
        <f>IFERROR(__xludf.DUMMYFUNCTION("""COMPUTED_VALUE"""),"Solar")</f>
        <v>Solar</v>
      </c>
      <c r="F621" s="37">
        <f>IFERROR(__xludf.DUMMYFUNCTION("""COMPUTED_VALUE"""),43.84857998969404)</f>
        <v>43.84857999</v>
      </c>
      <c r="G621" s="38">
        <f>IFERROR(__xludf.DUMMYFUNCTION("""COMPUTED_VALUE"""),41.71473988789161)</f>
        <v>41.71473989</v>
      </c>
      <c r="H621" s="38">
        <f>IFERROR(__xludf.DUMMYFUNCTION("""COMPUTED_VALUE"""),42.78165993879283)</f>
        <v>42.78165994</v>
      </c>
      <c r="I621" s="14">
        <f>IFERROR(__xludf.DUMMYFUNCTION("""COMPUTED_VALUE"""),52.0)</f>
        <v>52</v>
      </c>
      <c r="J621" s="11">
        <f>IFERROR(__xludf.DUMMYFUNCTION("IFERROR(FILTER(Stats!$F:$Z,(Stats!$A:$A=$A621)*(Stats!$B:$B=$B621)))"),24.0)</f>
        <v>24</v>
      </c>
      <c r="K621" s="11">
        <f>IFERROR(__xludf.DUMMYFUNCTION("""COMPUTED_VALUE"""),28.0)</f>
        <v>28</v>
      </c>
      <c r="L621" s="12">
        <f>IFERROR(__xludf.DUMMYFUNCTION("""COMPUTED_VALUE"""),0.46153846153846156)</f>
        <v>0.4615384615</v>
      </c>
      <c r="M621" s="11">
        <f>IFERROR(__xludf.DUMMYFUNCTION("""COMPUTED_VALUE"""),7.0)</f>
        <v>7</v>
      </c>
      <c r="N621" s="11">
        <f>IFERROR(__xludf.DUMMYFUNCTION("""COMPUTED_VALUE"""),16459.0)</f>
        <v>16459</v>
      </c>
      <c r="O621" s="13">
        <f>IFERROR(__xludf.DUMMYFUNCTION("""COMPUTED_VALUE"""),31.0)</f>
        <v>31</v>
      </c>
      <c r="P621" s="14">
        <f>IFERROR(__xludf.DUMMYFUNCTION("""COMPUTED_VALUE"""),28.0)</f>
        <v>28</v>
      </c>
      <c r="Q621" s="13">
        <f>IFERROR(__xludf.DUMMYFUNCTION("""COMPUTED_VALUE"""),59.0)</f>
        <v>59</v>
      </c>
      <c r="R621" s="13">
        <f>IFERROR(__xludf.DUMMYFUNCTION("""COMPUTED_VALUE"""),110.0)</f>
        <v>110</v>
      </c>
      <c r="S621" s="15">
        <f>IFERROR(__xludf.DUMMYFUNCTION("""COMPUTED_VALUE"""),0.2818181818181818)</f>
        <v>0.2818181818</v>
      </c>
      <c r="T621" s="16">
        <f>IFERROR(__xludf.DUMMYFUNCTION("""COMPUTED_VALUE"""),316.5192307692308)</f>
        <v>316.5192308</v>
      </c>
      <c r="U621" s="16">
        <f>IFERROR(__xludf.DUMMYFUNCTION("""COMPUTED_VALUE"""),0.5961538461538461)</f>
        <v>0.5961538462</v>
      </c>
      <c r="V621" s="16">
        <f>IFERROR(__xludf.DUMMYFUNCTION("""COMPUTED_VALUE"""),0.5384615384615384)</f>
        <v>0.5384615385</v>
      </c>
      <c r="W621" s="16">
        <f>IFERROR(__xludf.DUMMYFUNCTION("""COMPUTED_VALUE"""),1.1346153846153846)</f>
        <v>1.134615385</v>
      </c>
      <c r="X621" s="16">
        <f>IFERROR(__xludf.DUMMYFUNCTION("""COMPUTED_VALUE"""),2.1153846153846154)</f>
        <v>2.115384615</v>
      </c>
      <c r="Y621" s="11">
        <f>IFERROR(__xludf.DUMMYFUNCTION("""COMPUTED_VALUE"""),5.0)</f>
        <v>5</v>
      </c>
      <c r="Z621" s="11">
        <f>IFERROR(__xludf.DUMMYFUNCTION("""COMPUTED_VALUE"""),3.0)</f>
        <v>3</v>
      </c>
      <c r="AA621" s="11">
        <f>IFERROR(__xludf.DUMMYFUNCTION("""COMPUTED_VALUE"""),1.0)</f>
        <v>1</v>
      </c>
      <c r="AB621" s="11">
        <f>IFERROR(__xludf.DUMMYFUNCTION("""COMPUTED_VALUE"""),6.0)</f>
        <v>6</v>
      </c>
      <c r="AC621" s="11">
        <f>IFERROR(__xludf.DUMMYFUNCTION("""COMPUTED_VALUE"""),58.0)</f>
        <v>58</v>
      </c>
      <c r="AD621" s="11">
        <f>IFERROR(__xludf.DUMMYFUNCTION("""COMPUTED_VALUE"""),45.0)</f>
        <v>45</v>
      </c>
    </row>
    <row r="622">
      <c r="A622" s="10" t="str">
        <f>IFERROR(__xludf.DUMMYFUNCTION("""COMPUTED_VALUE"""),"Rival")</f>
        <v>Rival</v>
      </c>
      <c r="B622" s="10" t="str">
        <f>IFERROR(__xludf.DUMMYFUNCTION("""COMPUTED_VALUE"""),"RSC007546")</f>
        <v>RSC007546</v>
      </c>
      <c r="C622" s="10" t="str">
        <f>IFERROR(__xludf.DUMMYFUNCTION("""COMPUTED_VALUE"""),"N0TTopmarx")</f>
        <v>N0TTopmarx</v>
      </c>
      <c r="D622" s="36" t="str">
        <f>IFERROR(__xludf.DUMMYFUNCTION("""COMPUTED_VALUE"""),"Wind
Black Ice")</f>
        <v>Wind
Black Ice</v>
      </c>
      <c r="E622" s="10" t="str">
        <f>IFERROR(__xludf.DUMMYFUNCTION("""COMPUTED_VALUE"""),"Solar
Solar")</f>
        <v>Solar
Solar</v>
      </c>
      <c r="F622" s="37">
        <f>IFERROR(__xludf.DUMMYFUNCTION("""COMPUTED_VALUE"""),41.22068178335641)</f>
        <v>41.22068178</v>
      </c>
      <c r="G622" s="38">
        <f>IFERROR(__xludf.DUMMYFUNCTION("""COMPUTED_VALUE"""),44.07051740425989)</f>
        <v>44.0705174</v>
      </c>
      <c r="H622" s="38">
        <f>IFERROR(__xludf.DUMMYFUNCTION("""COMPUTED_VALUE"""),42.64559959380815)</f>
        <v>42.64559959</v>
      </c>
      <c r="I622" s="14">
        <f>IFERROR(__xludf.DUMMYFUNCTION("""COMPUTED_VALUE"""),28.0)</f>
        <v>28</v>
      </c>
      <c r="J622" s="11">
        <f>IFERROR(__xludf.DUMMYFUNCTION("IFERROR(FILTER(Stats!$F:$Z,(Stats!$A:$A=$A622)*(Stats!$B:$B=$B622)))"),11.0)</f>
        <v>11</v>
      </c>
      <c r="K622" s="11">
        <f>IFERROR(__xludf.DUMMYFUNCTION("""COMPUTED_VALUE"""),17.0)</f>
        <v>17</v>
      </c>
      <c r="L622" s="12">
        <f>IFERROR(__xludf.DUMMYFUNCTION("""COMPUTED_VALUE"""),0.39285714285714285)</f>
        <v>0.3928571429</v>
      </c>
      <c r="M622" s="11">
        <f>IFERROR(__xludf.DUMMYFUNCTION("""COMPUTED_VALUE"""),4.0)</f>
        <v>4</v>
      </c>
      <c r="N622" s="11">
        <f>IFERROR(__xludf.DUMMYFUNCTION("""COMPUTED_VALUE"""),10391.0)</f>
        <v>10391</v>
      </c>
      <c r="O622" s="13">
        <f>IFERROR(__xludf.DUMMYFUNCTION("""COMPUTED_VALUE"""),22.0)</f>
        <v>22</v>
      </c>
      <c r="P622" s="14">
        <f>IFERROR(__xludf.DUMMYFUNCTION("""COMPUTED_VALUE"""),13.0)</f>
        <v>13</v>
      </c>
      <c r="Q622" s="13">
        <f>IFERROR(__xludf.DUMMYFUNCTION("""COMPUTED_VALUE"""),44.0)</f>
        <v>44</v>
      </c>
      <c r="R622" s="13">
        <f>IFERROR(__xludf.DUMMYFUNCTION("""COMPUTED_VALUE"""),60.0)</f>
        <v>60</v>
      </c>
      <c r="S622" s="15">
        <f>IFERROR(__xludf.DUMMYFUNCTION("""COMPUTED_VALUE"""),0.36666666666666664)</f>
        <v>0.3666666667</v>
      </c>
      <c r="T622" s="16">
        <f>IFERROR(__xludf.DUMMYFUNCTION("""COMPUTED_VALUE"""),371.10714285714283)</f>
        <v>371.1071429</v>
      </c>
      <c r="U622" s="16">
        <f>IFERROR(__xludf.DUMMYFUNCTION("""COMPUTED_VALUE"""),0.7857142857142857)</f>
        <v>0.7857142857</v>
      </c>
      <c r="V622" s="16">
        <f>IFERROR(__xludf.DUMMYFUNCTION("""COMPUTED_VALUE"""),0.4642857142857143)</f>
        <v>0.4642857143</v>
      </c>
      <c r="W622" s="16">
        <f>IFERROR(__xludf.DUMMYFUNCTION("""COMPUTED_VALUE"""),1.5714285714285714)</f>
        <v>1.571428571</v>
      </c>
      <c r="X622" s="16">
        <f>IFERROR(__xludf.DUMMYFUNCTION("""COMPUTED_VALUE"""),2.142857142857143)</f>
        <v>2.142857143</v>
      </c>
      <c r="Y622" s="11">
        <f>IFERROR(__xludf.DUMMYFUNCTION("""COMPUTED_VALUE"""),6.0)</f>
        <v>6</v>
      </c>
      <c r="Z622" s="11">
        <f>IFERROR(__xludf.DUMMYFUNCTION("""COMPUTED_VALUE"""),3.0)</f>
        <v>3</v>
      </c>
      <c r="AA622" s="11">
        <f>IFERROR(__xludf.DUMMYFUNCTION("""COMPUTED_VALUE"""),0.0)</f>
        <v>0</v>
      </c>
      <c r="AB622" s="11">
        <f>IFERROR(__xludf.DUMMYFUNCTION("""COMPUTED_VALUE"""),6.0)</f>
        <v>6</v>
      </c>
      <c r="AC622" s="11">
        <f>IFERROR(__xludf.DUMMYFUNCTION("""COMPUTED_VALUE"""),53.0)</f>
        <v>53</v>
      </c>
      <c r="AD622" s="11">
        <f>IFERROR(__xludf.DUMMYFUNCTION("""COMPUTED_VALUE"""),22.0)</f>
        <v>22</v>
      </c>
    </row>
    <row r="623">
      <c r="A623" s="10" t="str">
        <f>IFERROR(__xludf.DUMMYFUNCTION("""COMPUTED_VALUE"""),"Rival")</f>
        <v>Rival</v>
      </c>
      <c r="B623" s="10" t="str">
        <f>IFERROR(__xludf.DUMMYFUNCTION("""COMPUTED_VALUE"""),"RSC007961")</f>
        <v>RSC007961</v>
      </c>
      <c r="C623" s="10" t="str">
        <f>IFERROR(__xludf.DUMMYFUNCTION("""COMPUTED_VALUE"""),"Skrilpp")</f>
        <v>Skrilpp</v>
      </c>
      <c r="D623" s="36" t="str">
        <f>IFERROR(__xludf.DUMMYFUNCTION("""COMPUTED_VALUE"""),"Lacuna
Black Ice
Scramjets")</f>
        <v>Lacuna
Black Ice
Scramjets</v>
      </c>
      <c r="E623" s="10" t="str">
        <f>IFERROR(__xludf.DUMMYFUNCTION("""COMPUTED_VALUE"""),"Solar
Solar
Lunar")</f>
        <v>Solar
Solar
Lunar</v>
      </c>
      <c r="F623" s="37">
        <f>IFERROR(__xludf.DUMMYFUNCTION("""COMPUTED_VALUE"""),39.68253900607405)</f>
        <v>39.68253901</v>
      </c>
      <c r="G623" s="38">
        <f>IFERROR(__xludf.DUMMYFUNCTION("""COMPUTED_VALUE"""),44.97828564504418)</f>
        <v>44.97828565</v>
      </c>
      <c r="H623" s="38">
        <f>IFERROR(__xludf.DUMMYFUNCTION("""COMPUTED_VALUE"""),42.33041232555912)</f>
        <v>42.33041233</v>
      </c>
      <c r="I623" s="14">
        <f>IFERROR(__xludf.DUMMYFUNCTION("""COMPUTED_VALUE"""),10.0)</f>
        <v>10</v>
      </c>
      <c r="J623" s="11">
        <f>IFERROR(__xludf.DUMMYFUNCTION("IFERROR(FILTER(Stats!$F:$Z,(Stats!$A:$A=$A623)*(Stats!$B:$B=$B623)))"),6.0)</f>
        <v>6</v>
      </c>
      <c r="K623" s="11">
        <f>IFERROR(__xludf.DUMMYFUNCTION("""COMPUTED_VALUE"""),4.0)</f>
        <v>4</v>
      </c>
      <c r="L623" s="12">
        <f>IFERROR(__xludf.DUMMYFUNCTION("""COMPUTED_VALUE"""),0.6)</f>
        <v>0.6</v>
      </c>
      <c r="M623" s="11">
        <f>IFERROR(__xludf.DUMMYFUNCTION("""COMPUTED_VALUE"""),3.0)</f>
        <v>3</v>
      </c>
      <c r="N623" s="11">
        <f>IFERROR(__xludf.DUMMYFUNCTION("""COMPUTED_VALUE"""),3338.0)</f>
        <v>3338</v>
      </c>
      <c r="O623" s="13">
        <f>IFERROR(__xludf.DUMMYFUNCTION("""COMPUTED_VALUE"""),6.0)</f>
        <v>6</v>
      </c>
      <c r="P623" s="14">
        <f>IFERROR(__xludf.DUMMYFUNCTION("""COMPUTED_VALUE"""),4.0)</f>
        <v>4</v>
      </c>
      <c r="Q623" s="13">
        <f>IFERROR(__xludf.DUMMYFUNCTION("""COMPUTED_VALUE"""),16.0)</f>
        <v>16</v>
      </c>
      <c r="R623" s="13">
        <f>IFERROR(__xludf.DUMMYFUNCTION("""COMPUTED_VALUE"""),27.0)</f>
        <v>27</v>
      </c>
      <c r="S623" s="15">
        <f>IFERROR(__xludf.DUMMYFUNCTION("""COMPUTED_VALUE"""),0.2222222222222222)</f>
        <v>0.2222222222</v>
      </c>
      <c r="T623" s="16">
        <f>IFERROR(__xludf.DUMMYFUNCTION("""COMPUTED_VALUE"""),333.8)</f>
        <v>333.8</v>
      </c>
      <c r="U623" s="16">
        <f>IFERROR(__xludf.DUMMYFUNCTION("""COMPUTED_VALUE"""),0.6)</f>
        <v>0.6</v>
      </c>
      <c r="V623" s="16">
        <f>IFERROR(__xludf.DUMMYFUNCTION("""COMPUTED_VALUE"""),0.4)</f>
        <v>0.4</v>
      </c>
      <c r="W623" s="16">
        <f>IFERROR(__xludf.DUMMYFUNCTION("""COMPUTED_VALUE"""),1.6)</f>
        <v>1.6</v>
      </c>
      <c r="X623" s="16">
        <f>IFERROR(__xludf.DUMMYFUNCTION("""COMPUTED_VALUE"""),2.7)</f>
        <v>2.7</v>
      </c>
      <c r="Y623" s="11">
        <f>IFERROR(__xludf.DUMMYFUNCTION("""COMPUTED_VALUE"""),1.0)</f>
        <v>1</v>
      </c>
      <c r="Z623" s="11">
        <f>IFERROR(__xludf.DUMMYFUNCTION("""COMPUTED_VALUE"""),0.0)</f>
        <v>0</v>
      </c>
      <c r="AA623" s="11">
        <f>IFERROR(__xludf.DUMMYFUNCTION("""COMPUTED_VALUE"""),0.0)</f>
        <v>0</v>
      </c>
      <c r="AB623" s="11">
        <f>IFERROR(__xludf.DUMMYFUNCTION("""COMPUTED_VALUE"""),1.0)</f>
        <v>1</v>
      </c>
      <c r="AC623" s="11">
        <f>IFERROR(__xludf.DUMMYFUNCTION("""COMPUTED_VALUE"""),18.0)</f>
        <v>18</v>
      </c>
      <c r="AD623" s="11">
        <f>IFERROR(__xludf.DUMMYFUNCTION("""COMPUTED_VALUE"""),13.0)</f>
        <v>13</v>
      </c>
    </row>
    <row r="624">
      <c r="A624" s="10" t="str">
        <f>IFERROR(__xludf.DUMMYFUNCTION("""COMPUTED_VALUE"""),"Rival")</f>
        <v>Rival</v>
      </c>
      <c r="B624" s="10" t="str">
        <f>IFERROR(__xludf.DUMMYFUNCTION("""COMPUTED_VALUE"""),"RSC006753")</f>
        <v>RSC006753</v>
      </c>
      <c r="C624" s="10" t="str">
        <f>IFERROR(__xludf.DUMMYFUNCTION("""COMPUTED_VALUE"""),"wakinguptomoney.")</f>
        <v>wakinguptomoney.</v>
      </c>
      <c r="D624" s="36" t="str">
        <f>IFERROR(__xludf.DUMMYFUNCTION("""COMPUTED_VALUE"""),"Ocelots")</f>
        <v>Ocelots</v>
      </c>
      <c r="E624" s="10" t="str">
        <f>IFERROR(__xludf.DUMMYFUNCTION("""COMPUTED_VALUE"""),"Solar")</f>
        <v>Solar</v>
      </c>
      <c r="F624" s="37">
        <f>IFERROR(__xludf.DUMMYFUNCTION("""COMPUTED_VALUE"""),43.4828732226055)</f>
        <v>43.48287322</v>
      </c>
      <c r="G624" s="38">
        <f>IFERROR(__xludf.DUMMYFUNCTION("""COMPUTED_VALUE"""),41.15246796684301)</f>
        <v>41.15246797</v>
      </c>
      <c r="H624" s="38">
        <f>IFERROR(__xludf.DUMMYFUNCTION("""COMPUTED_VALUE"""),42.317670594724255)</f>
        <v>42.31767059</v>
      </c>
      <c r="I624" s="14">
        <f>IFERROR(__xludf.DUMMYFUNCTION("""COMPUTED_VALUE"""),13.0)</f>
        <v>13</v>
      </c>
      <c r="J624" s="11">
        <f>IFERROR(__xludf.DUMMYFUNCTION("IFERROR(FILTER(Stats!$F:$Z,(Stats!$A:$A=$A624)*(Stats!$B:$B=$B624)))"),6.0)</f>
        <v>6</v>
      </c>
      <c r="K624" s="11">
        <f>IFERROR(__xludf.DUMMYFUNCTION("""COMPUTED_VALUE"""),7.0)</f>
        <v>7</v>
      </c>
      <c r="L624" s="12">
        <f>IFERROR(__xludf.DUMMYFUNCTION("""COMPUTED_VALUE"""),0.46153846153846156)</f>
        <v>0.4615384615</v>
      </c>
      <c r="M624" s="11">
        <f>IFERROR(__xludf.DUMMYFUNCTION("""COMPUTED_VALUE"""),2.0)</f>
        <v>2</v>
      </c>
      <c r="N624" s="11">
        <f>IFERROR(__xludf.DUMMYFUNCTION("""COMPUTED_VALUE"""),4108.0)</f>
        <v>4108</v>
      </c>
      <c r="O624" s="13">
        <f>IFERROR(__xludf.DUMMYFUNCTION("""COMPUTED_VALUE"""),12.0)</f>
        <v>12</v>
      </c>
      <c r="P624" s="14">
        <f>IFERROR(__xludf.DUMMYFUNCTION("""COMPUTED_VALUE"""),5.0)</f>
        <v>5</v>
      </c>
      <c r="Q624" s="13">
        <f>IFERROR(__xludf.DUMMYFUNCTION("""COMPUTED_VALUE"""),11.0)</f>
        <v>11</v>
      </c>
      <c r="R624" s="13">
        <f>IFERROR(__xludf.DUMMYFUNCTION("""COMPUTED_VALUE"""),29.0)</f>
        <v>29</v>
      </c>
      <c r="S624" s="15">
        <f>IFERROR(__xludf.DUMMYFUNCTION("""COMPUTED_VALUE"""),0.41379310344827586)</f>
        <v>0.4137931034</v>
      </c>
      <c r="T624" s="16">
        <f>IFERROR(__xludf.DUMMYFUNCTION("""COMPUTED_VALUE"""),316.0)</f>
        <v>316</v>
      </c>
      <c r="U624" s="16">
        <f>IFERROR(__xludf.DUMMYFUNCTION("""COMPUTED_VALUE"""),0.9230769230769231)</f>
        <v>0.9230769231</v>
      </c>
      <c r="V624" s="16">
        <f>IFERROR(__xludf.DUMMYFUNCTION("""COMPUTED_VALUE"""),0.38461538461538464)</f>
        <v>0.3846153846</v>
      </c>
      <c r="W624" s="16">
        <f>IFERROR(__xludf.DUMMYFUNCTION("""COMPUTED_VALUE"""),0.8461538461538461)</f>
        <v>0.8461538462</v>
      </c>
      <c r="X624" s="16">
        <f>IFERROR(__xludf.DUMMYFUNCTION("""COMPUTED_VALUE"""),2.230769230769231)</f>
        <v>2.230769231</v>
      </c>
      <c r="Y624" s="11">
        <f>IFERROR(__xludf.DUMMYFUNCTION("""COMPUTED_VALUE"""),2.0)</f>
        <v>2</v>
      </c>
      <c r="Z624" s="11">
        <f>IFERROR(__xludf.DUMMYFUNCTION("""COMPUTED_VALUE"""),0.0)</f>
        <v>0</v>
      </c>
      <c r="AA624" s="11">
        <f>IFERROR(__xludf.DUMMYFUNCTION("""COMPUTED_VALUE"""),0.0)</f>
        <v>0</v>
      </c>
      <c r="AB624" s="11">
        <f>IFERROR(__xludf.DUMMYFUNCTION("""COMPUTED_VALUE"""),0.0)</f>
        <v>0</v>
      </c>
      <c r="AC624" s="11">
        <f>IFERROR(__xludf.DUMMYFUNCTION("""COMPUTED_VALUE"""),8.0)</f>
        <v>8</v>
      </c>
      <c r="AD624" s="11">
        <f>IFERROR(__xludf.DUMMYFUNCTION("""COMPUTED_VALUE"""),13.0)</f>
        <v>13</v>
      </c>
    </row>
    <row r="625">
      <c r="A625" s="10" t="str">
        <f>IFERROR(__xludf.DUMMYFUNCTION("""COMPUTED_VALUE"""),"Rival")</f>
        <v>Rival</v>
      </c>
      <c r="B625" s="10" t="str">
        <f>IFERROR(__xludf.DUMMYFUNCTION("""COMPUTED_VALUE"""),"RSC008502")</f>
        <v>RSC008502</v>
      </c>
      <c r="C625" s="10" t="str">
        <f>IFERROR(__xludf.DUMMYFUNCTION("""COMPUTED_VALUE"""),"Jetwind17")</f>
        <v>Jetwind17</v>
      </c>
      <c r="D625" s="36" t="str">
        <f>IFERROR(__xludf.DUMMYFUNCTION("""COMPUTED_VALUE"""),"Heavy Metal")</f>
        <v>Heavy Metal</v>
      </c>
      <c r="E625" s="10" t="str">
        <f>IFERROR(__xludf.DUMMYFUNCTION("""COMPUTED_VALUE"""),"Lunar")</f>
        <v>Lunar</v>
      </c>
      <c r="F625" s="37">
        <f>IFERROR(__xludf.DUMMYFUNCTION("""COMPUTED_VALUE"""),41.468211417802735)</f>
        <v>41.46821142</v>
      </c>
      <c r="G625" s="38">
        <f>IFERROR(__xludf.DUMMYFUNCTION("""COMPUTED_VALUE"""),42.2397092792538)</f>
        <v>42.23970928</v>
      </c>
      <c r="H625" s="38">
        <f>IFERROR(__xludf.DUMMYFUNCTION("""COMPUTED_VALUE"""),41.85396034852827)</f>
        <v>41.85396035</v>
      </c>
      <c r="I625" s="14">
        <f>IFERROR(__xludf.DUMMYFUNCTION("""COMPUTED_VALUE"""),20.0)</f>
        <v>20</v>
      </c>
      <c r="J625" s="11">
        <f>IFERROR(__xludf.DUMMYFUNCTION("IFERROR(FILTER(Stats!$F:$Z,(Stats!$A:$A=$A625)*(Stats!$B:$B=$B625)))"),9.0)</f>
        <v>9</v>
      </c>
      <c r="K625" s="11">
        <f>IFERROR(__xludf.DUMMYFUNCTION("""COMPUTED_VALUE"""),11.0)</f>
        <v>11</v>
      </c>
      <c r="L625" s="12">
        <f>IFERROR(__xludf.DUMMYFUNCTION("""COMPUTED_VALUE"""),0.45)</f>
        <v>0.45</v>
      </c>
      <c r="M625" s="11">
        <f>IFERROR(__xludf.DUMMYFUNCTION("""COMPUTED_VALUE"""),3.0)</f>
        <v>3</v>
      </c>
      <c r="N625" s="11">
        <f>IFERROR(__xludf.DUMMYFUNCTION("""COMPUTED_VALUE"""),6416.0)</f>
        <v>6416</v>
      </c>
      <c r="O625" s="13">
        <f>IFERROR(__xludf.DUMMYFUNCTION("""COMPUTED_VALUE"""),12.0)</f>
        <v>12</v>
      </c>
      <c r="P625" s="14">
        <f>IFERROR(__xludf.DUMMYFUNCTION("""COMPUTED_VALUE"""),11.0)</f>
        <v>11</v>
      </c>
      <c r="Q625" s="13">
        <f>IFERROR(__xludf.DUMMYFUNCTION("""COMPUTED_VALUE"""),32.0)</f>
        <v>32</v>
      </c>
      <c r="R625" s="13">
        <f>IFERROR(__xludf.DUMMYFUNCTION("""COMPUTED_VALUE"""),47.0)</f>
        <v>47</v>
      </c>
      <c r="S625" s="15">
        <f>IFERROR(__xludf.DUMMYFUNCTION("""COMPUTED_VALUE"""),0.2553191489361702)</f>
        <v>0.2553191489</v>
      </c>
      <c r="T625" s="16">
        <f>IFERROR(__xludf.DUMMYFUNCTION("""COMPUTED_VALUE"""),320.8)</f>
        <v>320.8</v>
      </c>
      <c r="U625" s="16">
        <f>IFERROR(__xludf.DUMMYFUNCTION("""COMPUTED_VALUE"""),0.6)</f>
        <v>0.6</v>
      </c>
      <c r="V625" s="16">
        <f>IFERROR(__xludf.DUMMYFUNCTION("""COMPUTED_VALUE"""),0.55)</f>
        <v>0.55</v>
      </c>
      <c r="W625" s="16">
        <f>IFERROR(__xludf.DUMMYFUNCTION("""COMPUTED_VALUE"""),1.6)</f>
        <v>1.6</v>
      </c>
      <c r="X625" s="16">
        <f>IFERROR(__xludf.DUMMYFUNCTION("""COMPUTED_VALUE"""),2.35)</f>
        <v>2.35</v>
      </c>
      <c r="Y625" s="11">
        <f>IFERROR(__xludf.DUMMYFUNCTION("""COMPUTED_VALUE"""),4.0)</f>
        <v>4</v>
      </c>
      <c r="Z625" s="11">
        <f>IFERROR(__xludf.DUMMYFUNCTION("""COMPUTED_VALUE"""),0.0)</f>
        <v>0</v>
      </c>
      <c r="AA625" s="11">
        <f>IFERROR(__xludf.DUMMYFUNCTION("""COMPUTED_VALUE"""),0.0)</f>
        <v>0</v>
      </c>
      <c r="AB625" s="11">
        <f>IFERROR(__xludf.DUMMYFUNCTION("""COMPUTED_VALUE"""),2.0)</f>
        <v>2</v>
      </c>
      <c r="AC625" s="11">
        <f>IFERROR(__xludf.DUMMYFUNCTION("""COMPUTED_VALUE"""),13.0)</f>
        <v>13</v>
      </c>
      <c r="AD625" s="11">
        <f>IFERROR(__xludf.DUMMYFUNCTION("""COMPUTED_VALUE"""),14.0)</f>
        <v>14</v>
      </c>
    </row>
    <row r="626">
      <c r="A626" s="10" t="str">
        <f>IFERROR(__xludf.DUMMYFUNCTION("""COMPUTED_VALUE"""),"Rival")</f>
        <v>Rival</v>
      </c>
      <c r="B626" s="10" t="str">
        <f>IFERROR(__xludf.DUMMYFUNCTION("""COMPUTED_VALUE"""),"RSC000813")</f>
        <v>RSC000813</v>
      </c>
      <c r="C626" s="10" t="str">
        <f>IFERROR(__xludf.DUMMYFUNCTION("""COMPUTED_VALUE"""),"Ziggy.")</f>
        <v>Ziggy.</v>
      </c>
      <c r="D626" s="36" t="str">
        <f>IFERROR(__xludf.DUMMYFUNCTION("""COMPUTED_VALUE"""),"Dracos")</f>
        <v>Dracos</v>
      </c>
      <c r="E626" s="10" t="str">
        <f>IFERROR(__xludf.DUMMYFUNCTION("""COMPUTED_VALUE"""),"Solar")</f>
        <v>Solar</v>
      </c>
      <c r="F626" s="37">
        <f>IFERROR(__xludf.DUMMYFUNCTION("""COMPUTED_VALUE"""),33.81050815337437)</f>
        <v>33.81050815</v>
      </c>
      <c r="G626" s="38">
        <f>IFERROR(__xludf.DUMMYFUNCTION("""COMPUTED_VALUE"""),49.17008316718149)</f>
        <v>49.17008317</v>
      </c>
      <c r="H626" s="38">
        <f>IFERROR(__xludf.DUMMYFUNCTION("""COMPUTED_VALUE"""),41.49029566027793)</f>
        <v>41.49029566</v>
      </c>
      <c r="I626" s="14">
        <f>IFERROR(__xludf.DUMMYFUNCTION("""COMPUTED_VALUE"""),12.0)</f>
        <v>12</v>
      </c>
      <c r="J626" s="11">
        <f>IFERROR(__xludf.DUMMYFUNCTION("IFERROR(FILTER(Stats!$F:$Z,(Stats!$A:$A=$A626)*(Stats!$B:$B=$B626)))"),5.0)</f>
        <v>5</v>
      </c>
      <c r="K626" s="11">
        <f>IFERROR(__xludf.DUMMYFUNCTION("""COMPUTED_VALUE"""),7.0)</f>
        <v>7</v>
      </c>
      <c r="L626" s="12">
        <f>IFERROR(__xludf.DUMMYFUNCTION("""COMPUTED_VALUE"""),0.4166666666666667)</f>
        <v>0.4166666667</v>
      </c>
      <c r="M626" s="11">
        <f>IFERROR(__xludf.DUMMYFUNCTION("""COMPUTED_VALUE"""),2.0)</f>
        <v>2</v>
      </c>
      <c r="N626" s="11">
        <f>IFERROR(__xludf.DUMMYFUNCTION("""COMPUTED_VALUE"""),3445.0)</f>
        <v>3445</v>
      </c>
      <c r="O626" s="13">
        <f>IFERROR(__xludf.DUMMYFUNCTION("""COMPUTED_VALUE"""),9.0)</f>
        <v>9</v>
      </c>
      <c r="P626" s="14">
        <f>IFERROR(__xludf.DUMMYFUNCTION("""COMPUTED_VALUE"""),7.0)</f>
        <v>7</v>
      </c>
      <c r="Q626" s="13">
        <f>IFERROR(__xludf.DUMMYFUNCTION("""COMPUTED_VALUE"""),7.0)</f>
        <v>7</v>
      </c>
      <c r="R626" s="13">
        <f>IFERROR(__xludf.DUMMYFUNCTION("""COMPUTED_VALUE"""),24.0)</f>
        <v>24</v>
      </c>
      <c r="S626" s="15">
        <f>IFERROR(__xludf.DUMMYFUNCTION("""COMPUTED_VALUE"""),0.375)</f>
        <v>0.375</v>
      </c>
      <c r="T626" s="16">
        <f>IFERROR(__xludf.DUMMYFUNCTION("""COMPUTED_VALUE"""),287.0833333333333)</f>
        <v>287.0833333</v>
      </c>
      <c r="U626" s="16">
        <f>IFERROR(__xludf.DUMMYFUNCTION("""COMPUTED_VALUE"""),0.75)</f>
        <v>0.75</v>
      </c>
      <c r="V626" s="16">
        <f>IFERROR(__xludf.DUMMYFUNCTION("""COMPUTED_VALUE"""),0.5833333333333334)</f>
        <v>0.5833333333</v>
      </c>
      <c r="W626" s="16">
        <f>IFERROR(__xludf.DUMMYFUNCTION("""COMPUTED_VALUE"""),0.5833333333333334)</f>
        <v>0.5833333333</v>
      </c>
      <c r="X626" s="16">
        <f>IFERROR(__xludf.DUMMYFUNCTION("""COMPUTED_VALUE"""),2.0)</f>
        <v>2</v>
      </c>
      <c r="Y626" s="11">
        <f>IFERROR(__xludf.DUMMYFUNCTION("""COMPUTED_VALUE"""),1.0)</f>
        <v>1</v>
      </c>
      <c r="Z626" s="11">
        <f>IFERROR(__xludf.DUMMYFUNCTION("""COMPUTED_VALUE"""),0.0)</f>
        <v>0</v>
      </c>
      <c r="AA626" s="11">
        <f>IFERROR(__xludf.DUMMYFUNCTION("""COMPUTED_VALUE"""),0.0)</f>
        <v>0</v>
      </c>
      <c r="AB626" s="11">
        <f>IFERROR(__xludf.DUMMYFUNCTION("""COMPUTED_VALUE"""),0.0)</f>
        <v>0</v>
      </c>
      <c r="AC626" s="11">
        <f>IFERROR(__xludf.DUMMYFUNCTION("""COMPUTED_VALUE"""),28.0)</f>
        <v>28</v>
      </c>
      <c r="AD626" s="11">
        <f>IFERROR(__xludf.DUMMYFUNCTION("""COMPUTED_VALUE"""),15.0)</f>
        <v>15</v>
      </c>
    </row>
    <row r="627">
      <c r="A627" s="10" t="str">
        <f>IFERROR(__xludf.DUMMYFUNCTION("""COMPUTED_VALUE"""),"Rival")</f>
        <v>Rival</v>
      </c>
      <c r="B627" s="10" t="str">
        <f>IFERROR(__xludf.DUMMYFUNCTION("""COMPUTED_VALUE"""),"RSC008154")</f>
        <v>RSC008154</v>
      </c>
      <c r="C627" s="10" t="str">
        <f>IFERROR(__xludf.DUMMYFUNCTION("""COMPUTED_VALUE"""),"Blurrryy.")</f>
        <v>Blurrryy.</v>
      </c>
      <c r="D627" s="36" t="str">
        <f>IFERROR(__xludf.DUMMYFUNCTION("""COMPUTED_VALUE"""),"Phantoms")</f>
        <v>Phantoms</v>
      </c>
      <c r="E627" s="10" t="str">
        <f>IFERROR(__xludf.DUMMYFUNCTION("""COMPUTED_VALUE"""),"Lunar")</f>
        <v>Lunar</v>
      </c>
      <c r="F627" s="37">
        <f>IFERROR(__xludf.DUMMYFUNCTION("""COMPUTED_VALUE"""),45.29570213706807)</f>
        <v>45.29570214</v>
      </c>
      <c r="G627" s="38">
        <f>IFERROR(__xludf.DUMMYFUNCTION("""COMPUTED_VALUE"""),37.18511091941819)</f>
        <v>37.18511092</v>
      </c>
      <c r="H627" s="38">
        <f>IFERROR(__xludf.DUMMYFUNCTION("""COMPUTED_VALUE"""),41.24040652824313)</f>
        <v>41.24040653</v>
      </c>
      <c r="I627" s="14">
        <f>IFERROR(__xludf.DUMMYFUNCTION("""COMPUTED_VALUE"""),37.0)</f>
        <v>37</v>
      </c>
      <c r="J627" s="11">
        <f>IFERROR(__xludf.DUMMYFUNCTION("IFERROR(FILTER(Stats!$F:$Z,(Stats!$A:$A=$A627)*(Stats!$B:$B=$B627)))"),11.0)</f>
        <v>11</v>
      </c>
      <c r="K627" s="11">
        <f>IFERROR(__xludf.DUMMYFUNCTION("""COMPUTED_VALUE"""),26.0)</f>
        <v>26</v>
      </c>
      <c r="L627" s="12">
        <f>IFERROR(__xludf.DUMMYFUNCTION("""COMPUTED_VALUE"""),0.2972972972972973)</f>
        <v>0.2972972973</v>
      </c>
      <c r="M627" s="11">
        <f>IFERROR(__xludf.DUMMYFUNCTION("""COMPUTED_VALUE"""),4.0)</f>
        <v>4</v>
      </c>
      <c r="N627" s="11">
        <f>IFERROR(__xludf.DUMMYFUNCTION("""COMPUTED_VALUE"""),12913.0)</f>
        <v>12913</v>
      </c>
      <c r="O627" s="13">
        <f>IFERROR(__xludf.DUMMYFUNCTION("""COMPUTED_VALUE"""),25.0)</f>
        <v>25</v>
      </c>
      <c r="P627" s="14">
        <f>IFERROR(__xludf.DUMMYFUNCTION("""COMPUTED_VALUE"""),16.0)</f>
        <v>16</v>
      </c>
      <c r="Q627" s="13">
        <f>IFERROR(__xludf.DUMMYFUNCTION("""COMPUTED_VALUE"""),58.0)</f>
        <v>58</v>
      </c>
      <c r="R627" s="13">
        <f>IFERROR(__xludf.DUMMYFUNCTION("""COMPUTED_VALUE"""),89.0)</f>
        <v>89</v>
      </c>
      <c r="S627" s="15">
        <f>IFERROR(__xludf.DUMMYFUNCTION("""COMPUTED_VALUE"""),0.2808988764044944)</f>
        <v>0.2808988764</v>
      </c>
      <c r="T627" s="16">
        <f>IFERROR(__xludf.DUMMYFUNCTION("""COMPUTED_VALUE"""),349.0)</f>
        <v>349</v>
      </c>
      <c r="U627" s="16">
        <f>IFERROR(__xludf.DUMMYFUNCTION("""COMPUTED_VALUE"""),0.6756756756756757)</f>
        <v>0.6756756757</v>
      </c>
      <c r="V627" s="16">
        <f>IFERROR(__xludf.DUMMYFUNCTION("""COMPUTED_VALUE"""),0.43243243243243246)</f>
        <v>0.4324324324</v>
      </c>
      <c r="W627" s="16">
        <f>IFERROR(__xludf.DUMMYFUNCTION("""COMPUTED_VALUE"""),1.5675675675675675)</f>
        <v>1.567567568</v>
      </c>
      <c r="X627" s="16">
        <f>IFERROR(__xludf.DUMMYFUNCTION("""COMPUTED_VALUE"""),2.4054054054054053)</f>
        <v>2.405405405</v>
      </c>
      <c r="Y627" s="11">
        <f>IFERROR(__xludf.DUMMYFUNCTION("""COMPUTED_VALUE"""),6.0)</f>
        <v>6</v>
      </c>
      <c r="Z627" s="11">
        <f>IFERROR(__xludf.DUMMYFUNCTION("""COMPUTED_VALUE"""),1.0)</f>
        <v>1</v>
      </c>
      <c r="AA627" s="11">
        <f>IFERROR(__xludf.DUMMYFUNCTION("""COMPUTED_VALUE"""),0.0)</f>
        <v>0</v>
      </c>
      <c r="AB627" s="11">
        <f>IFERROR(__xludf.DUMMYFUNCTION("""COMPUTED_VALUE"""),7.0)</f>
        <v>7</v>
      </c>
      <c r="AC627" s="11">
        <f>IFERROR(__xludf.DUMMYFUNCTION("""COMPUTED_VALUE"""),31.0)</f>
        <v>31</v>
      </c>
      <c r="AD627" s="11">
        <f>IFERROR(__xludf.DUMMYFUNCTION("""COMPUTED_VALUE"""),32.0)</f>
        <v>32</v>
      </c>
    </row>
    <row r="628">
      <c r="A628" s="10" t="str">
        <f>IFERROR(__xludf.DUMMYFUNCTION("""COMPUTED_VALUE"""),"Rival")</f>
        <v>Rival</v>
      </c>
      <c r="B628" s="10" t="str">
        <f>IFERROR(__xludf.DUMMYFUNCTION("""COMPUTED_VALUE"""),"RSC007560")</f>
        <v>RSC007560</v>
      </c>
      <c r="C628" s="10" t="str">
        <f>IFERROR(__xludf.DUMMYFUNCTION("""COMPUTED_VALUE"""),"ObiWan_Can_O_Bee")</f>
        <v>ObiWan_Can_O_Bee</v>
      </c>
      <c r="D628" s="36" t="str">
        <f>IFERROR(__xludf.DUMMYFUNCTION("""COMPUTED_VALUE"""),"Nightfall")</f>
        <v>Nightfall</v>
      </c>
      <c r="E628" s="10" t="str">
        <f>IFERROR(__xludf.DUMMYFUNCTION("""COMPUTED_VALUE"""),"Lunar")</f>
        <v>Lunar</v>
      </c>
      <c r="F628" s="37">
        <f>IFERROR(__xludf.DUMMYFUNCTION("""COMPUTED_VALUE"""),42.255627143731346)</f>
        <v>42.25562714</v>
      </c>
      <c r="G628" s="38">
        <f>IFERROR(__xludf.DUMMYFUNCTION("""COMPUTED_VALUE"""),39.794465145991666)</f>
        <v>39.79446515</v>
      </c>
      <c r="H628" s="38">
        <f>IFERROR(__xludf.DUMMYFUNCTION("""COMPUTED_VALUE"""),41.025046144861506)</f>
        <v>41.02504614</v>
      </c>
      <c r="I628" s="14">
        <f>IFERROR(__xludf.DUMMYFUNCTION("""COMPUTED_VALUE"""),47.0)</f>
        <v>47</v>
      </c>
      <c r="J628" s="11">
        <f>IFERROR(__xludf.DUMMYFUNCTION("IFERROR(FILTER(Stats!$F:$Z,(Stats!$A:$A=$A628)*(Stats!$B:$B=$B628)))"),23.0)</f>
        <v>23</v>
      </c>
      <c r="K628" s="11">
        <f>IFERROR(__xludf.DUMMYFUNCTION("""COMPUTED_VALUE"""),24.0)</f>
        <v>24</v>
      </c>
      <c r="L628" s="12">
        <f>IFERROR(__xludf.DUMMYFUNCTION("""COMPUTED_VALUE"""),0.48936170212765956)</f>
        <v>0.4893617021</v>
      </c>
      <c r="M628" s="11">
        <f>IFERROR(__xludf.DUMMYFUNCTION("""COMPUTED_VALUE"""),5.0)</f>
        <v>5</v>
      </c>
      <c r="N628" s="11">
        <f>IFERROR(__xludf.DUMMYFUNCTION("""COMPUTED_VALUE"""),14821.0)</f>
        <v>14821</v>
      </c>
      <c r="O628" s="13">
        <f>IFERROR(__xludf.DUMMYFUNCTION("""COMPUTED_VALUE"""),24.0)</f>
        <v>24</v>
      </c>
      <c r="P628" s="14">
        <f>IFERROR(__xludf.DUMMYFUNCTION("""COMPUTED_VALUE"""),29.0)</f>
        <v>29</v>
      </c>
      <c r="Q628" s="13">
        <f>IFERROR(__xludf.DUMMYFUNCTION("""COMPUTED_VALUE"""),74.0)</f>
        <v>74</v>
      </c>
      <c r="R628" s="13">
        <f>IFERROR(__xludf.DUMMYFUNCTION("""COMPUTED_VALUE"""),105.0)</f>
        <v>105</v>
      </c>
      <c r="S628" s="15">
        <f>IFERROR(__xludf.DUMMYFUNCTION("""COMPUTED_VALUE"""),0.22857142857142856)</f>
        <v>0.2285714286</v>
      </c>
      <c r="T628" s="16">
        <f>IFERROR(__xludf.DUMMYFUNCTION("""COMPUTED_VALUE"""),315.3404255319149)</f>
        <v>315.3404255</v>
      </c>
      <c r="U628" s="16">
        <f>IFERROR(__xludf.DUMMYFUNCTION("""COMPUTED_VALUE"""),0.5106382978723404)</f>
        <v>0.5106382979</v>
      </c>
      <c r="V628" s="16">
        <f>IFERROR(__xludf.DUMMYFUNCTION("""COMPUTED_VALUE"""),0.6170212765957447)</f>
        <v>0.6170212766</v>
      </c>
      <c r="W628" s="16">
        <f>IFERROR(__xludf.DUMMYFUNCTION("""COMPUTED_VALUE"""),1.574468085106383)</f>
        <v>1.574468085</v>
      </c>
      <c r="X628" s="16">
        <f>IFERROR(__xludf.DUMMYFUNCTION("""COMPUTED_VALUE"""),2.234042553191489)</f>
        <v>2.234042553</v>
      </c>
      <c r="Y628" s="11">
        <f>IFERROR(__xludf.DUMMYFUNCTION("""COMPUTED_VALUE"""),5.0)</f>
        <v>5</v>
      </c>
      <c r="Z628" s="11">
        <f>IFERROR(__xludf.DUMMYFUNCTION("""COMPUTED_VALUE"""),0.0)</f>
        <v>0</v>
      </c>
      <c r="AA628" s="11">
        <f>IFERROR(__xludf.DUMMYFUNCTION("""COMPUTED_VALUE"""),0.0)</f>
        <v>0</v>
      </c>
      <c r="AB628" s="11">
        <f>IFERROR(__xludf.DUMMYFUNCTION("""COMPUTED_VALUE"""),9.0)</f>
        <v>9</v>
      </c>
      <c r="AC628" s="11">
        <f>IFERROR(__xludf.DUMMYFUNCTION("""COMPUTED_VALUE"""),49.0)</f>
        <v>49</v>
      </c>
      <c r="AD628" s="11">
        <f>IFERROR(__xludf.DUMMYFUNCTION("""COMPUTED_VALUE"""),42.0)</f>
        <v>42</v>
      </c>
    </row>
    <row r="629">
      <c r="A629" s="10" t="str">
        <f>IFERROR(__xludf.DUMMYFUNCTION("""COMPUTED_VALUE"""),"Rival")</f>
        <v>Rival</v>
      </c>
      <c r="B629" s="10" t="str">
        <f>IFERROR(__xludf.DUMMYFUNCTION("""COMPUTED_VALUE"""),"RSC008517")</f>
        <v>RSC008517</v>
      </c>
      <c r="C629" s="10" t="str">
        <f>IFERROR(__xludf.DUMMYFUNCTION("""COMPUTED_VALUE"""),"MOX jori")</f>
        <v>MOX jori</v>
      </c>
      <c r="D629" s="36" t="str">
        <f>IFERROR(__xludf.DUMMYFUNCTION("""COMPUTED_VALUE"""),"Kitsune")</f>
        <v>Kitsune</v>
      </c>
      <c r="E629" s="10" t="str">
        <f>IFERROR(__xludf.DUMMYFUNCTION("""COMPUTED_VALUE"""),"Solar")</f>
        <v>Solar</v>
      </c>
      <c r="F629" s="37">
        <f>IFERROR(__xludf.DUMMYFUNCTION("""COMPUTED_VALUE"""),36.18213898825711)</f>
        <v>36.18213899</v>
      </c>
      <c r="G629" s="38">
        <f>IFERROR(__xludf.DUMMYFUNCTION("""COMPUTED_VALUE"""),44.5218342024903)</f>
        <v>44.5218342</v>
      </c>
      <c r="H629" s="38">
        <f>IFERROR(__xludf.DUMMYFUNCTION("""COMPUTED_VALUE"""),40.3519865953737)</f>
        <v>40.3519866</v>
      </c>
      <c r="I629" s="14">
        <f>IFERROR(__xludf.DUMMYFUNCTION("""COMPUTED_VALUE"""),10.0)</f>
        <v>10</v>
      </c>
      <c r="J629" s="11">
        <f>IFERROR(__xludf.DUMMYFUNCTION("IFERROR(FILTER(Stats!$F:$Z,(Stats!$A:$A=$A629)*(Stats!$B:$B=$B629)))"),2.0)</f>
        <v>2</v>
      </c>
      <c r="K629" s="11">
        <f>IFERROR(__xludf.DUMMYFUNCTION("""COMPUTED_VALUE"""),8.0)</f>
        <v>8</v>
      </c>
      <c r="L629" s="12">
        <f>IFERROR(__xludf.DUMMYFUNCTION("""COMPUTED_VALUE"""),0.2)</f>
        <v>0.2</v>
      </c>
      <c r="M629" s="11">
        <f>IFERROR(__xludf.DUMMYFUNCTION("""COMPUTED_VALUE"""),0.0)</f>
        <v>0</v>
      </c>
      <c r="N629" s="11">
        <f>IFERROR(__xludf.DUMMYFUNCTION("""COMPUTED_VALUE"""),3047.0)</f>
        <v>3047</v>
      </c>
      <c r="O629" s="13">
        <f>IFERROR(__xludf.DUMMYFUNCTION("""COMPUTED_VALUE"""),7.0)</f>
        <v>7</v>
      </c>
      <c r="P629" s="14">
        <f>IFERROR(__xludf.DUMMYFUNCTION("""COMPUTED_VALUE"""),5.0)</f>
        <v>5</v>
      </c>
      <c r="Q629" s="13">
        <f>IFERROR(__xludf.DUMMYFUNCTION("""COMPUTED_VALUE"""),9.0)</f>
        <v>9</v>
      </c>
      <c r="R629" s="13">
        <f>IFERROR(__xludf.DUMMYFUNCTION("""COMPUTED_VALUE"""),26.0)</f>
        <v>26</v>
      </c>
      <c r="S629" s="15">
        <f>IFERROR(__xludf.DUMMYFUNCTION("""COMPUTED_VALUE"""),0.2692307692307692)</f>
        <v>0.2692307692</v>
      </c>
      <c r="T629" s="16">
        <f>IFERROR(__xludf.DUMMYFUNCTION("""COMPUTED_VALUE"""),304.7)</f>
        <v>304.7</v>
      </c>
      <c r="U629" s="16">
        <f>IFERROR(__xludf.DUMMYFUNCTION("""COMPUTED_VALUE"""),0.7)</f>
        <v>0.7</v>
      </c>
      <c r="V629" s="16">
        <f>IFERROR(__xludf.DUMMYFUNCTION("""COMPUTED_VALUE"""),0.5)</f>
        <v>0.5</v>
      </c>
      <c r="W629" s="16">
        <f>IFERROR(__xludf.DUMMYFUNCTION("""COMPUTED_VALUE"""),0.9)</f>
        <v>0.9</v>
      </c>
      <c r="X629" s="16">
        <f>IFERROR(__xludf.DUMMYFUNCTION("""COMPUTED_VALUE"""),2.6)</f>
        <v>2.6</v>
      </c>
      <c r="Y629" s="11">
        <f>IFERROR(__xludf.DUMMYFUNCTION("""COMPUTED_VALUE"""),0.0)</f>
        <v>0</v>
      </c>
      <c r="Z629" s="11">
        <f>IFERROR(__xludf.DUMMYFUNCTION("""COMPUTED_VALUE"""),1.0)</f>
        <v>1</v>
      </c>
      <c r="AA629" s="11">
        <f>IFERROR(__xludf.DUMMYFUNCTION("""COMPUTED_VALUE"""),0.0)</f>
        <v>0</v>
      </c>
      <c r="AB629" s="11">
        <f>IFERROR(__xludf.DUMMYFUNCTION("""COMPUTED_VALUE"""),0.0)</f>
        <v>0</v>
      </c>
      <c r="AC629" s="11">
        <f>IFERROR(__xludf.DUMMYFUNCTION("""COMPUTED_VALUE"""),10.0)</f>
        <v>10</v>
      </c>
      <c r="AD629" s="11">
        <f>IFERROR(__xludf.DUMMYFUNCTION("""COMPUTED_VALUE"""),9.0)</f>
        <v>9</v>
      </c>
    </row>
    <row r="630">
      <c r="A630" s="10" t="str">
        <f>IFERROR(__xludf.DUMMYFUNCTION("""COMPUTED_VALUE"""),"Rival")</f>
        <v>Rival</v>
      </c>
      <c r="B630" s="10" t="str">
        <f>IFERROR(__xludf.DUMMYFUNCTION("""COMPUTED_VALUE"""),"RSC008341")</f>
        <v>RSC008341</v>
      </c>
      <c r="C630" s="10" t="str">
        <f>IFERROR(__xludf.DUMMYFUNCTION("""COMPUTED_VALUE"""),"haileyset")</f>
        <v>haileyset</v>
      </c>
      <c r="D630" s="36" t="str">
        <f>IFERROR(__xludf.DUMMYFUNCTION("""COMPUTED_VALUE"""),"Hammerheads")</f>
        <v>Hammerheads</v>
      </c>
      <c r="E630" s="10" t="str">
        <f>IFERROR(__xludf.DUMMYFUNCTION("""COMPUTED_VALUE"""),"Solar")</f>
        <v>Solar</v>
      </c>
      <c r="F630" s="37">
        <f>IFERROR(__xludf.DUMMYFUNCTION("""COMPUTED_VALUE"""),43.88169575172275)</f>
        <v>43.88169575</v>
      </c>
      <c r="G630" s="38">
        <f>IFERROR(__xludf.DUMMYFUNCTION("""COMPUTED_VALUE"""),36.46728848655461)</f>
        <v>36.46728849</v>
      </c>
      <c r="H630" s="38">
        <f>IFERROR(__xludf.DUMMYFUNCTION("""COMPUTED_VALUE"""),40.17449211913868)</f>
        <v>40.17449212</v>
      </c>
      <c r="I630" s="14">
        <f>IFERROR(__xludf.DUMMYFUNCTION("""COMPUTED_VALUE"""),55.0)</f>
        <v>55</v>
      </c>
      <c r="J630" s="11">
        <f>IFERROR(__xludf.DUMMYFUNCTION("IFERROR(FILTER(Stats!$F:$Z,(Stats!$A:$A=$A630)*(Stats!$B:$B=$B630)))"),27.0)</f>
        <v>27</v>
      </c>
      <c r="K630" s="11">
        <f>IFERROR(__xludf.DUMMYFUNCTION("""COMPUTED_VALUE"""),28.0)</f>
        <v>28</v>
      </c>
      <c r="L630" s="12">
        <f>IFERROR(__xludf.DUMMYFUNCTION("""COMPUTED_VALUE"""),0.4909090909090909)</f>
        <v>0.4909090909</v>
      </c>
      <c r="M630" s="11">
        <f>IFERROR(__xludf.DUMMYFUNCTION("""COMPUTED_VALUE"""),10.0)</f>
        <v>10</v>
      </c>
      <c r="N630" s="11">
        <f>IFERROR(__xludf.DUMMYFUNCTION("""COMPUTED_VALUE"""),18874.0)</f>
        <v>18874</v>
      </c>
      <c r="O630" s="13">
        <f>IFERROR(__xludf.DUMMYFUNCTION("""COMPUTED_VALUE"""),43.0)</f>
        <v>43</v>
      </c>
      <c r="P630" s="14">
        <f>IFERROR(__xludf.DUMMYFUNCTION("""COMPUTED_VALUE"""),20.0)</f>
        <v>20</v>
      </c>
      <c r="Q630" s="13">
        <f>IFERROR(__xludf.DUMMYFUNCTION("""COMPUTED_VALUE"""),84.0)</f>
        <v>84</v>
      </c>
      <c r="R630" s="13">
        <f>IFERROR(__xludf.DUMMYFUNCTION("""COMPUTED_VALUE"""),127.0)</f>
        <v>127</v>
      </c>
      <c r="S630" s="15">
        <f>IFERROR(__xludf.DUMMYFUNCTION("""COMPUTED_VALUE"""),0.33858267716535434)</f>
        <v>0.3385826772</v>
      </c>
      <c r="T630" s="16">
        <f>IFERROR(__xludf.DUMMYFUNCTION("""COMPUTED_VALUE"""),343.1636363636364)</f>
        <v>343.1636364</v>
      </c>
      <c r="U630" s="16">
        <f>IFERROR(__xludf.DUMMYFUNCTION("""COMPUTED_VALUE"""),0.7818181818181819)</f>
        <v>0.7818181818</v>
      </c>
      <c r="V630" s="16">
        <f>IFERROR(__xludf.DUMMYFUNCTION("""COMPUTED_VALUE"""),0.36363636363636365)</f>
        <v>0.3636363636</v>
      </c>
      <c r="W630" s="16">
        <f>IFERROR(__xludf.DUMMYFUNCTION("""COMPUTED_VALUE"""),1.5272727272727273)</f>
        <v>1.527272727</v>
      </c>
      <c r="X630" s="16">
        <f>IFERROR(__xludf.DUMMYFUNCTION("""COMPUTED_VALUE"""),2.309090909090909)</f>
        <v>2.309090909</v>
      </c>
      <c r="Y630" s="11">
        <f>IFERROR(__xludf.DUMMYFUNCTION("""COMPUTED_VALUE"""),7.0)</f>
        <v>7</v>
      </c>
      <c r="Z630" s="11">
        <f>IFERROR(__xludf.DUMMYFUNCTION("""COMPUTED_VALUE"""),2.0)</f>
        <v>2</v>
      </c>
      <c r="AA630" s="11">
        <f>IFERROR(__xludf.DUMMYFUNCTION("""COMPUTED_VALUE"""),1.0)</f>
        <v>1</v>
      </c>
      <c r="AB630" s="11">
        <f>IFERROR(__xludf.DUMMYFUNCTION("""COMPUTED_VALUE"""),10.0)</f>
        <v>10</v>
      </c>
      <c r="AC630" s="11">
        <f>IFERROR(__xludf.DUMMYFUNCTION("""COMPUTED_VALUE"""),26.0)</f>
        <v>26</v>
      </c>
      <c r="AD630" s="11">
        <f>IFERROR(__xludf.DUMMYFUNCTION("""COMPUTED_VALUE"""),49.0)</f>
        <v>49</v>
      </c>
    </row>
    <row r="631">
      <c r="A631" s="10" t="str">
        <f>IFERROR(__xludf.DUMMYFUNCTION("""COMPUTED_VALUE"""),"Rival")</f>
        <v>Rival</v>
      </c>
      <c r="B631" s="10" t="str">
        <f>IFERROR(__xludf.DUMMYFUNCTION("""COMPUTED_VALUE"""),"RSC006910")</f>
        <v>RSC006910</v>
      </c>
      <c r="C631" s="10" t="str">
        <f>IFERROR(__xludf.DUMMYFUNCTION("""COMPUTED_VALUE"""),"Swanny2.0")</f>
        <v>Swanny2.0</v>
      </c>
      <c r="D631" s="36" t="str">
        <f>IFERROR(__xludf.DUMMYFUNCTION("""COMPUTED_VALUE"""),"Liars")</f>
        <v>Liars</v>
      </c>
      <c r="E631" s="10" t="str">
        <f>IFERROR(__xludf.DUMMYFUNCTION("""COMPUTED_VALUE"""),"Solar")</f>
        <v>Solar</v>
      </c>
      <c r="F631" s="37">
        <f>IFERROR(__xludf.DUMMYFUNCTION("""COMPUTED_VALUE"""),44.407154815393916)</f>
        <v>44.40715482</v>
      </c>
      <c r="G631" s="38">
        <f>IFERROR(__xludf.DUMMYFUNCTION("""COMPUTED_VALUE"""),31.77591524051971)</f>
        <v>31.77591524</v>
      </c>
      <c r="H631" s="38">
        <f>IFERROR(__xludf.DUMMYFUNCTION("""COMPUTED_VALUE"""),38.09153502795681)</f>
        <v>38.09153503</v>
      </c>
      <c r="I631" s="14">
        <f>IFERROR(__xludf.DUMMYFUNCTION("""COMPUTED_VALUE"""),44.0)</f>
        <v>44</v>
      </c>
      <c r="J631" s="11">
        <f>IFERROR(__xludf.DUMMYFUNCTION("IFERROR(FILTER(Stats!$F:$Z,(Stats!$A:$A=$A631)*(Stats!$B:$B=$B631)))"),12.0)</f>
        <v>12</v>
      </c>
      <c r="K631" s="11">
        <f>IFERROR(__xludf.DUMMYFUNCTION("""COMPUTED_VALUE"""),32.0)</f>
        <v>32</v>
      </c>
      <c r="L631" s="12">
        <f>IFERROR(__xludf.DUMMYFUNCTION("""COMPUTED_VALUE"""),0.2727272727272727)</f>
        <v>0.2727272727</v>
      </c>
      <c r="M631" s="11">
        <f>IFERROR(__xludf.DUMMYFUNCTION("""COMPUTED_VALUE"""),4.0)</f>
        <v>4</v>
      </c>
      <c r="N631" s="11">
        <f>IFERROR(__xludf.DUMMYFUNCTION("""COMPUTED_VALUE"""),15512.0)</f>
        <v>15512</v>
      </c>
      <c r="O631" s="13">
        <f>IFERROR(__xludf.DUMMYFUNCTION("""COMPUTED_VALUE"""),24.0)</f>
        <v>24</v>
      </c>
      <c r="P631" s="14">
        <f>IFERROR(__xludf.DUMMYFUNCTION("""COMPUTED_VALUE"""),21.0)</f>
        <v>21</v>
      </c>
      <c r="Q631" s="13">
        <f>IFERROR(__xludf.DUMMYFUNCTION("""COMPUTED_VALUE"""),82.0)</f>
        <v>82</v>
      </c>
      <c r="R631" s="13">
        <f>IFERROR(__xludf.DUMMYFUNCTION("""COMPUTED_VALUE"""),78.0)</f>
        <v>78</v>
      </c>
      <c r="S631" s="15">
        <f>IFERROR(__xludf.DUMMYFUNCTION("""COMPUTED_VALUE"""),0.3076923076923077)</f>
        <v>0.3076923077</v>
      </c>
      <c r="T631" s="16">
        <f>IFERROR(__xludf.DUMMYFUNCTION("""COMPUTED_VALUE"""),352.54545454545456)</f>
        <v>352.5454545</v>
      </c>
      <c r="U631" s="16">
        <f>IFERROR(__xludf.DUMMYFUNCTION("""COMPUTED_VALUE"""),0.5454545454545454)</f>
        <v>0.5454545455</v>
      </c>
      <c r="V631" s="16">
        <f>IFERROR(__xludf.DUMMYFUNCTION("""COMPUTED_VALUE"""),0.4772727272727273)</f>
        <v>0.4772727273</v>
      </c>
      <c r="W631" s="16">
        <f>IFERROR(__xludf.DUMMYFUNCTION("""COMPUTED_VALUE"""),1.8636363636363635)</f>
        <v>1.863636364</v>
      </c>
      <c r="X631" s="16">
        <f>IFERROR(__xludf.DUMMYFUNCTION("""COMPUTED_VALUE"""),1.7727272727272727)</f>
        <v>1.772727273</v>
      </c>
      <c r="Y631" s="11">
        <f>IFERROR(__xludf.DUMMYFUNCTION("""COMPUTED_VALUE"""),6.0)</f>
        <v>6</v>
      </c>
      <c r="Z631" s="11">
        <f>IFERROR(__xludf.DUMMYFUNCTION("""COMPUTED_VALUE"""),0.0)</f>
        <v>0</v>
      </c>
      <c r="AA631" s="11">
        <f>IFERROR(__xludf.DUMMYFUNCTION("""COMPUTED_VALUE"""),1.0)</f>
        <v>1</v>
      </c>
      <c r="AB631" s="11">
        <f>IFERROR(__xludf.DUMMYFUNCTION("""COMPUTED_VALUE"""),14.0)</f>
        <v>14</v>
      </c>
      <c r="AC631" s="11">
        <f>IFERROR(__xludf.DUMMYFUNCTION("""COMPUTED_VALUE"""),31.0)</f>
        <v>31</v>
      </c>
      <c r="AD631" s="11">
        <f>IFERROR(__xludf.DUMMYFUNCTION("""COMPUTED_VALUE"""),41.0)</f>
        <v>41</v>
      </c>
    </row>
    <row r="632">
      <c r="A632" s="10" t="str">
        <f>IFERROR(__xludf.DUMMYFUNCTION("""COMPUTED_VALUE"""),"Rival")</f>
        <v>Rival</v>
      </c>
      <c r="B632" s="10" t="str">
        <f>IFERROR(__xludf.DUMMYFUNCTION("""COMPUTED_VALUE"""),"RSC006691")</f>
        <v>RSC006691</v>
      </c>
      <c r="C632" s="10" t="str">
        <f>IFERROR(__xludf.DUMMYFUNCTION("""COMPUTED_VALUE"""),"Jixer")</f>
        <v>Jixer</v>
      </c>
      <c r="D632" s="36" t="str">
        <f>IFERROR(__xludf.DUMMYFUNCTION("""COMPUTED_VALUE"""),"Tax Evaders")</f>
        <v>Tax Evaders</v>
      </c>
      <c r="E632" s="10" t="str">
        <f>IFERROR(__xludf.DUMMYFUNCTION("""COMPUTED_VALUE"""),"Lunar")</f>
        <v>Lunar</v>
      </c>
      <c r="F632" s="37">
        <f>IFERROR(__xludf.DUMMYFUNCTION("""COMPUTED_VALUE"""),41.99179482894341)</f>
        <v>41.99179483</v>
      </c>
      <c r="G632" s="38">
        <f>IFERROR(__xludf.DUMMYFUNCTION("""COMPUTED_VALUE"""),34.170919276542854)</f>
        <v>34.17091928</v>
      </c>
      <c r="H632" s="38">
        <f>IFERROR(__xludf.DUMMYFUNCTION("""COMPUTED_VALUE"""),38.08135705274313)</f>
        <v>38.08135705</v>
      </c>
      <c r="I632" s="14">
        <f>IFERROR(__xludf.DUMMYFUNCTION("""COMPUTED_VALUE"""),3.0)</f>
        <v>3</v>
      </c>
      <c r="J632" s="11">
        <f>IFERROR(__xludf.DUMMYFUNCTION("IFERROR(FILTER(Stats!$F:$Z,(Stats!$A:$A=$A632)*(Stats!$B:$B=$B632)))"),2.0)</f>
        <v>2</v>
      </c>
      <c r="K632" s="11">
        <f>IFERROR(__xludf.DUMMYFUNCTION("""COMPUTED_VALUE"""),1.0)</f>
        <v>1</v>
      </c>
      <c r="L632" s="12">
        <f>IFERROR(__xludf.DUMMYFUNCTION("""COMPUTED_VALUE"""),0.6666666666666666)</f>
        <v>0.6666666667</v>
      </c>
      <c r="M632" s="11">
        <f>IFERROR(__xludf.DUMMYFUNCTION("""COMPUTED_VALUE"""),1.0)</f>
        <v>1</v>
      </c>
      <c r="N632" s="11">
        <f>IFERROR(__xludf.DUMMYFUNCTION("""COMPUTED_VALUE"""),747.0)</f>
        <v>747</v>
      </c>
      <c r="O632" s="13">
        <f>IFERROR(__xludf.DUMMYFUNCTION("""COMPUTED_VALUE"""),1.0)</f>
        <v>1</v>
      </c>
      <c r="P632" s="14">
        <f>IFERROR(__xludf.DUMMYFUNCTION("""COMPUTED_VALUE"""),2.0)</f>
        <v>2</v>
      </c>
      <c r="Q632" s="13">
        <f>IFERROR(__xludf.DUMMYFUNCTION("""COMPUTED_VALUE"""),3.0)</f>
        <v>3</v>
      </c>
      <c r="R632" s="13">
        <f>IFERROR(__xludf.DUMMYFUNCTION("""COMPUTED_VALUE"""),6.0)</f>
        <v>6</v>
      </c>
      <c r="S632" s="15">
        <f>IFERROR(__xludf.DUMMYFUNCTION("""COMPUTED_VALUE"""),0.16666666666666666)</f>
        <v>0.1666666667</v>
      </c>
      <c r="T632" s="16">
        <f>IFERROR(__xludf.DUMMYFUNCTION("""COMPUTED_VALUE"""),249.0)</f>
        <v>249</v>
      </c>
      <c r="U632" s="16">
        <f>IFERROR(__xludf.DUMMYFUNCTION("""COMPUTED_VALUE"""),0.3333333333333333)</f>
        <v>0.3333333333</v>
      </c>
      <c r="V632" s="16">
        <f>IFERROR(__xludf.DUMMYFUNCTION("""COMPUTED_VALUE"""),0.6666666666666666)</f>
        <v>0.6666666667</v>
      </c>
      <c r="W632" s="16">
        <f>IFERROR(__xludf.DUMMYFUNCTION("""COMPUTED_VALUE"""),1.0)</f>
        <v>1</v>
      </c>
      <c r="X632" s="16">
        <f>IFERROR(__xludf.DUMMYFUNCTION("""COMPUTED_VALUE"""),2.0)</f>
        <v>2</v>
      </c>
      <c r="Y632" s="11">
        <f>IFERROR(__xludf.DUMMYFUNCTION("""COMPUTED_VALUE"""),1.0)</f>
        <v>1</v>
      </c>
      <c r="Z632" s="11">
        <f>IFERROR(__xludf.DUMMYFUNCTION("""COMPUTED_VALUE"""),0.0)</f>
        <v>0</v>
      </c>
      <c r="AA632" s="11">
        <f>IFERROR(__xludf.DUMMYFUNCTION("""COMPUTED_VALUE"""),0.0)</f>
        <v>0</v>
      </c>
      <c r="AB632" s="11">
        <f>IFERROR(__xludf.DUMMYFUNCTION("""COMPUTED_VALUE"""),0.0)</f>
        <v>0</v>
      </c>
      <c r="AC632" s="11">
        <f>IFERROR(__xludf.DUMMYFUNCTION("""COMPUTED_VALUE"""),1.0)</f>
        <v>1</v>
      </c>
      <c r="AD632" s="11">
        <f>IFERROR(__xludf.DUMMYFUNCTION("""COMPUTED_VALUE"""),2.0)</f>
        <v>2</v>
      </c>
    </row>
    <row r="633">
      <c r="A633" s="10" t="str">
        <f>IFERROR(__xludf.DUMMYFUNCTION("""COMPUTED_VALUE"""),"Rival")</f>
        <v>Rival</v>
      </c>
      <c r="B633" s="10" t="str">
        <f>IFERROR(__xludf.DUMMYFUNCTION("""COMPUTED_VALUE"""),"RSC005289")</f>
        <v>RSC005289</v>
      </c>
      <c r="C633" s="10" t="str">
        <f>IFERROR(__xludf.DUMMYFUNCTION("""COMPUTED_VALUE"""),"Gilly-_")</f>
        <v>Gilly-_</v>
      </c>
      <c r="D633" s="36" t="str">
        <f>IFERROR(__xludf.DUMMYFUNCTION("""COMPUTED_VALUE"""),"Black Ice")</f>
        <v>Black Ice</v>
      </c>
      <c r="E633" s="10" t="str">
        <f>IFERROR(__xludf.DUMMYFUNCTION("""COMPUTED_VALUE"""),"Solar")</f>
        <v>Solar</v>
      </c>
      <c r="F633" s="37">
        <f>IFERROR(__xludf.DUMMYFUNCTION("""COMPUTED_VALUE"""),39.32298358753839)</f>
        <v>39.32298359</v>
      </c>
      <c r="G633" s="38">
        <f>IFERROR(__xludf.DUMMYFUNCTION("""COMPUTED_VALUE"""),36.615694166631535)</f>
        <v>36.61569417</v>
      </c>
      <c r="H633" s="38">
        <f>IFERROR(__xludf.DUMMYFUNCTION("""COMPUTED_VALUE"""),37.969338877084965)</f>
        <v>37.96933888</v>
      </c>
      <c r="I633" s="14">
        <f>IFERROR(__xludf.DUMMYFUNCTION("""COMPUTED_VALUE"""),42.0)</f>
        <v>42</v>
      </c>
      <c r="J633" s="11">
        <f>IFERROR(__xludf.DUMMYFUNCTION("IFERROR(FILTER(Stats!$F:$Z,(Stats!$A:$A=$A633)*(Stats!$B:$B=$B633)))"),18.0)</f>
        <v>18</v>
      </c>
      <c r="K633" s="11">
        <f>IFERROR(__xludf.DUMMYFUNCTION("""COMPUTED_VALUE"""),24.0)</f>
        <v>24</v>
      </c>
      <c r="L633" s="12">
        <f>IFERROR(__xludf.DUMMYFUNCTION("""COMPUTED_VALUE"""),0.42857142857142855)</f>
        <v>0.4285714286</v>
      </c>
      <c r="M633" s="11">
        <f>IFERROR(__xludf.DUMMYFUNCTION("""COMPUTED_VALUE"""),3.0)</f>
        <v>3</v>
      </c>
      <c r="N633" s="11">
        <f>IFERROR(__xludf.DUMMYFUNCTION("""COMPUTED_VALUE"""),12891.0)</f>
        <v>12891</v>
      </c>
      <c r="O633" s="13">
        <f>IFERROR(__xludf.DUMMYFUNCTION("""COMPUTED_VALUE"""),27.0)</f>
        <v>27</v>
      </c>
      <c r="P633" s="14">
        <f>IFERROR(__xludf.DUMMYFUNCTION("""COMPUTED_VALUE"""),20.0)</f>
        <v>20</v>
      </c>
      <c r="Q633" s="13">
        <f>IFERROR(__xludf.DUMMYFUNCTION("""COMPUTED_VALUE"""),55.0)</f>
        <v>55</v>
      </c>
      <c r="R633" s="13">
        <f>IFERROR(__xludf.DUMMYFUNCTION("""COMPUTED_VALUE"""),100.0)</f>
        <v>100</v>
      </c>
      <c r="S633" s="15">
        <f>IFERROR(__xludf.DUMMYFUNCTION("""COMPUTED_VALUE"""),0.27)</f>
        <v>0.27</v>
      </c>
      <c r="T633" s="16">
        <f>IFERROR(__xludf.DUMMYFUNCTION("""COMPUTED_VALUE"""),306.92857142857144)</f>
        <v>306.9285714</v>
      </c>
      <c r="U633" s="16">
        <f>IFERROR(__xludf.DUMMYFUNCTION("""COMPUTED_VALUE"""),0.6428571428571429)</f>
        <v>0.6428571429</v>
      </c>
      <c r="V633" s="16">
        <f>IFERROR(__xludf.DUMMYFUNCTION("""COMPUTED_VALUE"""),0.47619047619047616)</f>
        <v>0.4761904762</v>
      </c>
      <c r="W633" s="16">
        <f>IFERROR(__xludf.DUMMYFUNCTION("""COMPUTED_VALUE"""),1.3095238095238095)</f>
        <v>1.30952381</v>
      </c>
      <c r="X633" s="16">
        <f>IFERROR(__xludf.DUMMYFUNCTION("""COMPUTED_VALUE"""),2.380952380952381)</f>
        <v>2.380952381</v>
      </c>
      <c r="Y633" s="11">
        <f>IFERROR(__xludf.DUMMYFUNCTION("""COMPUTED_VALUE"""),5.0)</f>
        <v>5</v>
      </c>
      <c r="Z633" s="11">
        <f>IFERROR(__xludf.DUMMYFUNCTION("""COMPUTED_VALUE"""),1.0)</f>
        <v>1</v>
      </c>
      <c r="AA633" s="11">
        <f>IFERROR(__xludf.DUMMYFUNCTION("""COMPUTED_VALUE"""),0.0)</f>
        <v>0</v>
      </c>
      <c r="AB633" s="11">
        <f>IFERROR(__xludf.DUMMYFUNCTION("""COMPUTED_VALUE"""),5.0)</f>
        <v>5</v>
      </c>
      <c r="AC633" s="11">
        <f>IFERROR(__xludf.DUMMYFUNCTION("""COMPUTED_VALUE"""),44.0)</f>
        <v>44</v>
      </c>
      <c r="AD633" s="11">
        <f>IFERROR(__xludf.DUMMYFUNCTION("""COMPUTED_VALUE"""),27.0)</f>
        <v>27</v>
      </c>
    </row>
    <row r="634">
      <c r="A634" s="10" t="str">
        <f>IFERROR(__xludf.DUMMYFUNCTION("""COMPUTED_VALUE"""),"Rival")</f>
        <v>Rival</v>
      </c>
      <c r="B634" s="10" t="str">
        <f>IFERROR(__xludf.DUMMYFUNCTION("""COMPUTED_VALUE"""),"RSC006777")</f>
        <v>RSC006777</v>
      </c>
      <c r="C634" s="10" t="str">
        <f>IFERROR(__xludf.DUMMYFUNCTION("""COMPUTED_VALUE"""),"AlteredSp4rky")</f>
        <v>AlteredSp4rky</v>
      </c>
      <c r="D634" s="36" t="str">
        <f>IFERROR(__xludf.DUMMYFUNCTION("""COMPUTED_VALUE"""),"Ruthless Racket")</f>
        <v>Ruthless Racket</v>
      </c>
      <c r="E634" s="10" t="str">
        <f>IFERROR(__xludf.DUMMYFUNCTION("""COMPUTED_VALUE"""),"Lunar")</f>
        <v>Lunar</v>
      </c>
      <c r="F634" s="37">
        <f>IFERROR(__xludf.DUMMYFUNCTION("""COMPUTED_VALUE"""),39.80799242191888)</f>
        <v>39.80799242</v>
      </c>
      <c r="G634" s="38">
        <f>IFERROR(__xludf.DUMMYFUNCTION("""COMPUTED_VALUE"""),35.788297713567054)</f>
        <v>35.78829771</v>
      </c>
      <c r="H634" s="38">
        <f>IFERROR(__xludf.DUMMYFUNCTION("""COMPUTED_VALUE"""),37.798145067742965)</f>
        <v>37.79814507</v>
      </c>
      <c r="I634" s="14">
        <f>IFERROR(__xludf.DUMMYFUNCTION("""COMPUTED_VALUE"""),46.0)</f>
        <v>46</v>
      </c>
      <c r="J634" s="11">
        <f>IFERROR(__xludf.DUMMYFUNCTION("IFERROR(FILTER(Stats!$F:$Z,(Stats!$A:$A=$A634)*(Stats!$B:$B=$B634)))"),27.0)</f>
        <v>27</v>
      </c>
      <c r="K634" s="11">
        <f>IFERROR(__xludf.DUMMYFUNCTION("""COMPUTED_VALUE"""),19.0)</f>
        <v>19</v>
      </c>
      <c r="L634" s="12">
        <f>IFERROR(__xludf.DUMMYFUNCTION("""COMPUTED_VALUE"""),0.5869565217391305)</f>
        <v>0.5869565217</v>
      </c>
      <c r="M634" s="11">
        <f>IFERROR(__xludf.DUMMYFUNCTION("""COMPUTED_VALUE"""),4.0)</f>
        <v>4</v>
      </c>
      <c r="N634" s="11">
        <f>IFERROR(__xludf.DUMMYFUNCTION("""COMPUTED_VALUE"""),14115.0)</f>
        <v>14115</v>
      </c>
      <c r="O634" s="13">
        <f>IFERROR(__xludf.DUMMYFUNCTION("""COMPUTED_VALUE"""),30.0)</f>
        <v>30</v>
      </c>
      <c r="P634" s="14">
        <f>IFERROR(__xludf.DUMMYFUNCTION("""COMPUTED_VALUE"""),18.0)</f>
        <v>18</v>
      </c>
      <c r="Q634" s="13">
        <f>IFERROR(__xludf.DUMMYFUNCTION("""COMPUTED_VALUE"""),56.0)</f>
        <v>56</v>
      </c>
      <c r="R634" s="13">
        <f>IFERROR(__xludf.DUMMYFUNCTION("""COMPUTED_VALUE"""),111.0)</f>
        <v>111</v>
      </c>
      <c r="S634" s="15">
        <f>IFERROR(__xludf.DUMMYFUNCTION("""COMPUTED_VALUE"""),0.2702702702702703)</f>
        <v>0.2702702703</v>
      </c>
      <c r="T634" s="16">
        <f>IFERROR(__xludf.DUMMYFUNCTION("""COMPUTED_VALUE"""),306.8478260869565)</f>
        <v>306.8478261</v>
      </c>
      <c r="U634" s="16">
        <f>IFERROR(__xludf.DUMMYFUNCTION("""COMPUTED_VALUE"""),0.6521739130434783)</f>
        <v>0.652173913</v>
      </c>
      <c r="V634" s="16">
        <f>IFERROR(__xludf.DUMMYFUNCTION("""COMPUTED_VALUE"""),0.391304347826087)</f>
        <v>0.3913043478</v>
      </c>
      <c r="W634" s="16">
        <f>IFERROR(__xludf.DUMMYFUNCTION("""COMPUTED_VALUE"""),1.2173913043478262)</f>
        <v>1.217391304</v>
      </c>
      <c r="X634" s="16">
        <f>IFERROR(__xludf.DUMMYFUNCTION("""COMPUTED_VALUE"""),2.4130434782608696)</f>
        <v>2.413043478</v>
      </c>
      <c r="Y634" s="11">
        <f>IFERROR(__xludf.DUMMYFUNCTION("""COMPUTED_VALUE"""),5.0)</f>
        <v>5</v>
      </c>
      <c r="Z634" s="11">
        <f>IFERROR(__xludf.DUMMYFUNCTION("""COMPUTED_VALUE"""),0.0)</f>
        <v>0</v>
      </c>
      <c r="AA634" s="11">
        <f>IFERROR(__xludf.DUMMYFUNCTION("""COMPUTED_VALUE"""),0.0)</f>
        <v>0</v>
      </c>
      <c r="AB634" s="11">
        <f>IFERROR(__xludf.DUMMYFUNCTION("""COMPUTED_VALUE"""),4.0)</f>
        <v>4</v>
      </c>
      <c r="AC634" s="11">
        <f>IFERROR(__xludf.DUMMYFUNCTION("""COMPUTED_VALUE"""),55.0)</f>
        <v>55</v>
      </c>
      <c r="AD634" s="11">
        <f>IFERROR(__xludf.DUMMYFUNCTION("""COMPUTED_VALUE"""),35.0)</f>
        <v>35</v>
      </c>
    </row>
    <row r="635">
      <c r="A635" s="10" t="str">
        <f>IFERROR(__xludf.DUMMYFUNCTION("""COMPUTED_VALUE"""),"Rival")</f>
        <v>Rival</v>
      </c>
      <c r="B635" s="10" t="str">
        <f>IFERROR(__xludf.DUMMYFUNCTION("""COMPUTED_VALUE"""),"RSC007065")</f>
        <v>RSC007065</v>
      </c>
      <c r="C635" s="10" t="str">
        <f>IFERROR(__xludf.DUMMYFUNCTION("""COMPUTED_VALUE"""),"Rampage")</f>
        <v>Rampage</v>
      </c>
      <c r="D635" s="36" t="str">
        <f>IFERROR(__xludf.DUMMYFUNCTION("""COMPUTED_VALUE"""),"Hot Wings")</f>
        <v>Hot Wings</v>
      </c>
      <c r="E635" s="10" t="str">
        <f>IFERROR(__xludf.DUMMYFUNCTION("""COMPUTED_VALUE"""),"Lunar")</f>
        <v>Lunar</v>
      </c>
      <c r="F635" s="37">
        <f>IFERROR(__xludf.DUMMYFUNCTION("""COMPUTED_VALUE"""),32.651271283525574)</f>
        <v>32.65127128</v>
      </c>
      <c r="G635" s="38">
        <f>IFERROR(__xludf.DUMMYFUNCTION("""COMPUTED_VALUE"""),40.720500306951784)</f>
        <v>40.72050031</v>
      </c>
      <c r="H635" s="38">
        <f>IFERROR(__xludf.DUMMYFUNCTION("""COMPUTED_VALUE"""),36.685885795238676)</f>
        <v>36.6858858</v>
      </c>
      <c r="I635" s="14">
        <f>IFERROR(__xludf.DUMMYFUNCTION("""COMPUTED_VALUE"""),23.0)</f>
        <v>23</v>
      </c>
      <c r="J635" s="11">
        <f>IFERROR(__xludf.DUMMYFUNCTION("IFERROR(FILTER(Stats!$F:$Z,(Stats!$A:$A=$A635)*(Stats!$B:$B=$B635)))"),8.0)</f>
        <v>8</v>
      </c>
      <c r="K635" s="11">
        <f>IFERROR(__xludf.DUMMYFUNCTION("""COMPUTED_VALUE"""),15.0)</f>
        <v>15</v>
      </c>
      <c r="L635" s="12">
        <f>IFERROR(__xludf.DUMMYFUNCTION("""COMPUTED_VALUE"""),0.34782608695652173)</f>
        <v>0.347826087</v>
      </c>
      <c r="M635" s="11">
        <f>IFERROR(__xludf.DUMMYFUNCTION("""COMPUTED_VALUE"""),2.0)</f>
        <v>2</v>
      </c>
      <c r="N635" s="11">
        <f>IFERROR(__xludf.DUMMYFUNCTION("""COMPUTED_VALUE"""),6951.0)</f>
        <v>6951</v>
      </c>
      <c r="O635" s="13">
        <f>IFERROR(__xludf.DUMMYFUNCTION("""COMPUTED_VALUE"""),13.0)</f>
        <v>13</v>
      </c>
      <c r="P635" s="14">
        <f>IFERROR(__xludf.DUMMYFUNCTION("""COMPUTED_VALUE"""),10.0)</f>
        <v>10</v>
      </c>
      <c r="Q635" s="13">
        <f>IFERROR(__xludf.DUMMYFUNCTION("""COMPUTED_VALUE"""),25.0)</f>
        <v>25</v>
      </c>
      <c r="R635" s="13">
        <f>IFERROR(__xludf.DUMMYFUNCTION("""COMPUTED_VALUE"""),65.0)</f>
        <v>65</v>
      </c>
      <c r="S635" s="15">
        <f>IFERROR(__xludf.DUMMYFUNCTION("""COMPUTED_VALUE"""),0.2)</f>
        <v>0.2</v>
      </c>
      <c r="T635" s="16">
        <f>IFERROR(__xludf.DUMMYFUNCTION("""COMPUTED_VALUE"""),302.2173913043478)</f>
        <v>302.2173913</v>
      </c>
      <c r="U635" s="16">
        <f>IFERROR(__xludf.DUMMYFUNCTION("""COMPUTED_VALUE"""),0.5652173913043478)</f>
        <v>0.5652173913</v>
      </c>
      <c r="V635" s="16">
        <f>IFERROR(__xludf.DUMMYFUNCTION("""COMPUTED_VALUE"""),0.43478260869565216)</f>
        <v>0.4347826087</v>
      </c>
      <c r="W635" s="16">
        <f>IFERROR(__xludf.DUMMYFUNCTION("""COMPUTED_VALUE"""),1.0869565217391304)</f>
        <v>1.086956522</v>
      </c>
      <c r="X635" s="16">
        <f>IFERROR(__xludf.DUMMYFUNCTION("""COMPUTED_VALUE"""),2.8260869565217392)</f>
        <v>2.826086957</v>
      </c>
      <c r="Y635" s="11">
        <f>IFERROR(__xludf.DUMMYFUNCTION("""COMPUTED_VALUE"""),1.0)</f>
        <v>1</v>
      </c>
      <c r="Z635" s="11">
        <f>IFERROR(__xludf.DUMMYFUNCTION("""COMPUTED_VALUE"""),0.0)</f>
        <v>0</v>
      </c>
      <c r="AA635" s="11">
        <f>IFERROR(__xludf.DUMMYFUNCTION("""COMPUTED_VALUE"""),0.0)</f>
        <v>0</v>
      </c>
      <c r="AB635" s="11">
        <f>IFERROR(__xludf.DUMMYFUNCTION("""COMPUTED_VALUE"""),2.0)</f>
        <v>2</v>
      </c>
      <c r="AC635" s="11">
        <f>IFERROR(__xludf.DUMMYFUNCTION("""COMPUTED_VALUE"""),17.0)</f>
        <v>17</v>
      </c>
      <c r="AD635" s="11">
        <f>IFERROR(__xludf.DUMMYFUNCTION("""COMPUTED_VALUE"""),19.0)</f>
        <v>19</v>
      </c>
    </row>
    <row r="636">
      <c r="A636" s="10" t="str">
        <f>IFERROR(__xludf.DUMMYFUNCTION("""COMPUTED_VALUE"""),"Rival")</f>
        <v>Rival</v>
      </c>
      <c r="B636" s="10" t="str">
        <f>IFERROR(__xludf.DUMMYFUNCTION("""COMPUTED_VALUE"""),"RSC004177")</f>
        <v>RSC004177</v>
      </c>
      <c r="C636" s="10" t="str">
        <f>IFERROR(__xludf.DUMMYFUNCTION("""COMPUTED_VALUE"""),"Abeillonnaise")</f>
        <v>Abeillonnaise</v>
      </c>
      <c r="D636" s="36" t="str">
        <f>IFERROR(__xludf.DUMMYFUNCTION("""COMPUTED_VALUE"""),"Black Ice
Dracos")</f>
        <v>Black Ice
Dracos</v>
      </c>
      <c r="E636" s="10" t="str">
        <f>IFERROR(__xludf.DUMMYFUNCTION("""COMPUTED_VALUE"""),"Solar
Solar")</f>
        <v>Solar
Solar</v>
      </c>
      <c r="F636" s="37">
        <f>IFERROR(__xludf.DUMMYFUNCTION("""COMPUTED_VALUE"""),33.556399046932256)</f>
        <v>33.55639905</v>
      </c>
      <c r="G636" s="38">
        <f>IFERROR(__xludf.DUMMYFUNCTION("""COMPUTED_VALUE"""),39.14418348531968)</f>
        <v>39.14418349</v>
      </c>
      <c r="H636" s="38">
        <f>IFERROR(__xludf.DUMMYFUNCTION("""COMPUTED_VALUE"""),36.350291266125964)</f>
        <v>36.35029127</v>
      </c>
      <c r="I636" s="14">
        <f>IFERROR(__xludf.DUMMYFUNCTION("""COMPUTED_VALUE"""),18.0)</f>
        <v>18</v>
      </c>
      <c r="J636" s="11">
        <f>IFERROR(__xludf.DUMMYFUNCTION("IFERROR(FILTER(Stats!$F:$Z,(Stats!$A:$A=$A636)*(Stats!$B:$B=$B636)))"),11.0)</f>
        <v>11</v>
      </c>
      <c r="K636" s="11">
        <f>IFERROR(__xludf.DUMMYFUNCTION("""COMPUTED_VALUE"""),7.0)</f>
        <v>7</v>
      </c>
      <c r="L636" s="12">
        <f>IFERROR(__xludf.DUMMYFUNCTION("""COMPUTED_VALUE"""),0.6111111111111112)</f>
        <v>0.6111111111</v>
      </c>
      <c r="M636" s="11">
        <f>IFERROR(__xludf.DUMMYFUNCTION("""COMPUTED_VALUE"""),2.0)</f>
        <v>2</v>
      </c>
      <c r="N636" s="11">
        <f>IFERROR(__xludf.DUMMYFUNCTION("""COMPUTED_VALUE"""),4761.0)</f>
        <v>4761</v>
      </c>
      <c r="O636" s="13">
        <f>IFERROR(__xludf.DUMMYFUNCTION("""COMPUTED_VALUE"""),13.0)</f>
        <v>13</v>
      </c>
      <c r="P636" s="14">
        <f>IFERROR(__xludf.DUMMYFUNCTION("""COMPUTED_VALUE"""),8.0)</f>
        <v>8</v>
      </c>
      <c r="Q636" s="13">
        <f>IFERROR(__xludf.DUMMYFUNCTION("""COMPUTED_VALUE"""),14.0)</f>
        <v>14</v>
      </c>
      <c r="R636" s="13">
        <f>IFERROR(__xludf.DUMMYFUNCTION("""COMPUTED_VALUE"""),32.0)</f>
        <v>32</v>
      </c>
      <c r="S636" s="15">
        <f>IFERROR(__xludf.DUMMYFUNCTION("""COMPUTED_VALUE"""),0.40625)</f>
        <v>0.40625</v>
      </c>
      <c r="T636" s="16">
        <f>IFERROR(__xludf.DUMMYFUNCTION("""COMPUTED_VALUE"""),264.5)</f>
        <v>264.5</v>
      </c>
      <c r="U636" s="16">
        <f>IFERROR(__xludf.DUMMYFUNCTION("""COMPUTED_VALUE"""),0.7222222222222222)</f>
        <v>0.7222222222</v>
      </c>
      <c r="V636" s="16">
        <f>IFERROR(__xludf.DUMMYFUNCTION("""COMPUTED_VALUE"""),0.4444444444444444)</f>
        <v>0.4444444444</v>
      </c>
      <c r="W636" s="16">
        <f>IFERROR(__xludf.DUMMYFUNCTION("""COMPUTED_VALUE"""),0.7777777777777778)</f>
        <v>0.7777777778</v>
      </c>
      <c r="X636" s="16">
        <f>IFERROR(__xludf.DUMMYFUNCTION("""COMPUTED_VALUE"""),1.7777777777777777)</f>
        <v>1.777777778</v>
      </c>
      <c r="Y636" s="11">
        <f>IFERROR(__xludf.DUMMYFUNCTION("""COMPUTED_VALUE"""),2.0)</f>
        <v>2</v>
      </c>
      <c r="Z636" s="11">
        <f>IFERROR(__xludf.DUMMYFUNCTION("""COMPUTED_VALUE"""),0.0)</f>
        <v>0</v>
      </c>
      <c r="AA636" s="11">
        <f>IFERROR(__xludf.DUMMYFUNCTION("""COMPUTED_VALUE"""),0.0)</f>
        <v>0</v>
      </c>
      <c r="AB636" s="11">
        <f>IFERROR(__xludf.DUMMYFUNCTION("""COMPUTED_VALUE"""),0.0)</f>
        <v>0</v>
      </c>
      <c r="AC636" s="11">
        <f>IFERROR(__xludf.DUMMYFUNCTION("""COMPUTED_VALUE"""),11.0)</f>
        <v>11</v>
      </c>
      <c r="AD636" s="11">
        <f>IFERROR(__xludf.DUMMYFUNCTION("""COMPUTED_VALUE"""),23.0)</f>
        <v>23</v>
      </c>
    </row>
    <row r="637">
      <c r="A637" s="10" t="str">
        <f>IFERROR(__xludf.DUMMYFUNCTION("""COMPUTED_VALUE"""),"Rival")</f>
        <v>Rival</v>
      </c>
      <c r="B637" s="10" t="str">
        <f>IFERROR(__xludf.DUMMYFUNCTION("""COMPUTED_VALUE"""),"RSC006883")</f>
        <v>RSC006883</v>
      </c>
      <c r="C637" s="10" t="str">
        <f>IFERROR(__xludf.DUMMYFUNCTION("""COMPUTED_VALUE"""),"Kit")</f>
        <v>Kit</v>
      </c>
      <c r="D637" s="36" t="str">
        <f>IFERROR(__xludf.DUMMYFUNCTION("""COMPUTED_VALUE"""),"Liars")</f>
        <v>Liars</v>
      </c>
      <c r="E637" s="10" t="str">
        <f>IFERROR(__xludf.DUMMYFUNCTION("""COMPUTED_VALUE"""),"Solar")</f>
        <v>Solar</v>
      </c>
      <c r="F637" s="37">
        <f>IFERROR(__xludf.DUMMYFUNCTION("""COMPUTED_VALUE"""),37.14813037902534)</f>
        <v>37.14813038</v>
      </c>
      <c r="G637" s="38">
        <f>IFERROR(__xludf.DUMMYFUNCTION("""COMPUTED_VALUE"""),35.21677761027453)</f>
        <v>35.21677761</v>
      </c>
      <c r="H637" s="38">
        <f>IFERROR(__xludf.DUMMYFUNCTION("""COMPUTED_VALUE"""),36.18245399464993)</f>
        <v>36.18245399</v>
      </c>
      <c r="I637" s="14">
        <f>IFERROR(__xludf.DUMMYFUNCTION("""COMPUTED_VALUE"""),51.0)</f>
        <v>51</v>
      </c>
      <c r="J637" s="11">
        <f>IFERROR(__xludf.DUMMYFUNCTION("IFERROR(FILTER(Stats!$F:$Z,(Stats!$A:$A=$A637)*(Stats!$B:$B=$B637)))"),18.0)</f>
        <v>18</v>
      </c>
      <c r="K637" s="11">
        <f>IFERROR(__xludf.DUMMYFUNCTION("""COMPUTED_VALUE"""),33.0)</f>
        <v>33</v>
      </c>
      <c r="L637" s="12">
        <f>IFERROR(__xludf.DUMMYFUNCTION("""COMPUTED_VALUE"""),0.35294117647058826)</f>
        <v>0.3529411765</v>
      </c>
      <c r="M637" s="11">
        <f>IFERROR(__xludf.DUMMYFUNCTION("""COMPUTED_VALUE"""),7.0)</f>
        <v>7</v>
      </c>
      <c r="N637" s="11">
        <f>IFERROR(__xludf.DUMMYFUNCTION("""COMPUTED_VALUE"""),15212.0)</f>
        <v>15212</v>
      </c>
      <c r="O637" s="13">
        <f>IFERROR(__xludf.DUMMYFUNCTION("""COMPUTED_VALUE"""),33.0)</f>
        <v>33</v>
      </c>
      <c r="P637" s="14">
        <f>IFERROR(__xludf.DUMMYFUNCTION("""COMPUTED_VALUE"""),18.0)</f>
        <v>18</v>
      </c>
      <c r="Q637" s="13">
        <f>IFERROR(__xludf.DUMMYFUNCTION("""COMPUTED_VALUE"""),55.0)</f>
        <v>55</v>
      </c>
      <c r="R637" s="13">
        <f>IFERROR(__xludf.DUMMYFUNCTION("""COMPUTED_VALUE"""),121.0)</f>
        <v>121</v>
      </c>
      <c r="S637" s="15">
        <f>IFERROR(__xludf.DUMMYFUNCTION("""COMPUTED_VALUE"""),0.2727272727272727)</f>
        <v>0.2727272727</v>
      </c>
      <c r="T637" s="16">
        <f>IFERROR(__xludf.DUMMYFUNCTION("""COMPUTED_VALUE"""),298.27450980392155)</f>
        <v>298.2745098</v>
      </c>
      <c r="U637" s="16">
        <f>IFERROR(__xludf.DUMMYFUNCTION("""COMPUTED_VALUE"""),0.6470588235294118)</f>
        <v>0.6470588235</v>
      </c>
      <c r="V637" s="16">
        <f>IFERROR(__xludf.DUMMYFUNCTION("""COMPUTED_VALUE"""),0.35294117647058826)</f>
        <v>0.3529411765</v>
      </c>
      <c r="W637" s="16">
        <f>IFERROR(__xludf.DUMMYFUNCTION("""COMPUTED_VALUE"""),1.0784313725490196)</f>
        <v>1.078431373</v>
      </c>
      <c r="X637" s="16">
        <f>IFERROR(__xludf.DUMMYFUNCTION("""COMPUTED_VALUE"""),2.372549019607843)</f>
        <v>2.37254902</v>
      </c>
      <c r="Y637" s="11">
        <f>IFERROR(__xludf.DUMMYFUNCTION("""COMPUTED_VALUE"""),6.0)</f>
        <v>6</v>
      </c>
      <c r="Z637" s="11">
        <f>IFERROR(__xludf.DUMMYFUNCTION("""COMPUTED_VALUE"""),2.0)</f>
        <v>2</v>
      </c>
      <c r="AA637" s="11">
        <f>IFERROR(__xludf.DUMMYFUNCTION("""COMPUTED_VALUE"""),0.0)</f>
        <v>0</v>
      </c>
      <c r="AB637" s="11">
        <f>IFERROR(__xludf.DUMMYFUNCTION("""COMPUTED_VALUE"""),7.0)</f>
        <v>7</v>
      </c>
      <c r="AC637" s="11">
        <f>IFERROR(__xludf.DUMMYFUNCTION("""COMPUTED_VALUE"""),48.0)</f>
        <v>48</v>
      </c>
      <c r="AD637" s="11">
        <f>IFERROR(__xludf.DUMMYFUNCTION("""COMPUTED_VALUE"""),34.0)</f>
        <v>34</v>
      </c>
    </row>
    <row r="638">
      <c r="A638" s="10" t="str">
        <f>IFERROR(__xludf.DUMMYFUNCTION("""COMPUTED_VALUE"""),"Rival")</f>
        <v>Rival</v>
      </c>
      <c r="B638" s="10" t="str">
        <f>IFERROR(__xludf.DUMMYFUNCTION("""COMPUTED_VALUE"""),"RSC007753")</f>
        <v>RSC007753</v>
      </c>
      <c r="C638" s="10" t="str">
        <f>IFERROR(__xludf.DUMMYFUNCTION("""COMPUTED_VALUE"""),"Chromebook")</f>
        <v>Chromebook</v>
      </c>
      <c r="D638" s="36" t="str">
        <f>IFERROR(__xludf.DUMMYFUNCTION("""COMPUTED_VALUE"""),"Scramjets")</f>
        <v>Scramjets</v>
      </c>
      <c r="E638" s="10" t="str">
        <f>IFERROR(__xludf.DUMMYFUNCTION("""COMPUTED_VALUE"""),"Lunar")</f>
        <v>Lunar</v>
      </c>
      <c r="F638" s="37">
        <f>IFERROR(__xludf.DUMMYFUNCTION("""COMPUTED_VALUE"""),37.32569241753202)</f>
        <v>37.32569242</v>
      </c>
      <c r="G638" s="38">
        <f>IFERROR(__xludf.DUMMYFUNCTION("""COMPUTED_VALUE"""),35.02438635696985)</f>
        <v>35.02438636</v>
      </c>
      <c r="H638" s="38">
        <f>IFERROR(__xludf.DUMMYFUNCTION("""COMPUTED_VALUE"""),36.17503938725093)</f>
        <v>36.17503939</v>
      </c>
      <c r="I638" s="14">
        <f>IFERROR(__xludf.DUMMYFUNCTION("""COMPUTED_VALUE"""),4.0)</f>
        <v>4</v>
      </c>
      <c r="J638" s="11">
        <f>IFERROR(__xludf.DUMMYFUNCTION("IFERROR(FILTER(Stats!$F:$Z,(Stats!$A:$A=$A638)*(Stats!$B:$B=$B638)))"),1.0)</f>
        <v>1</v>
      </c>
      <c r="K638" s="11">
        <f>IFERROR(__xludf.DUMMYFUNCTION("""COMPUTED_VALUE"""),3.0)</f>
        <v>3</v>
      </c>
      <c r="L638" s="12">
        <f>IFERROR(__xludf.DUMMYFUNCTION("""COMPUTED_VALUE"""),0.25)</f>
        <v>0.25</v>
      </c>
      <c r="M638" s="11">
        <f>IFERROR(__xludf.DUMMYFUNCTION("""COMPUTED_VALUE"""),1.0)</f>
        <v>1</v>
      </c>
      <c r="N638" s="11">
        <f>IFERROR(__xludf.DUMMYFUNCTION("""COMPUTED_VALUE"""),1503.0)</f>
        <v>1503</v>
      </c>
      <c r="O638" s="13">
        <f>IFERROR(__xludf.DUMMYFUNCTION("""COMPUTED_VALUE"""),6.0)</f>
        <v>6</v>
      </c>
      <c r="P638" s="14">
        <f>IFERROR(__xludf.DUMMYFUNCTION("""COMPUTED_VALUE"""),0.0)</f>
        <v>0</v>
      </c>
      <c r="Q638" s="13">
        <f>IFERROR(__xludf.DUMMYFUNCTION("""COMPUTED_VALUE"""),4.0)</f>
        <v>4</v>
      </c>
      <c r="R638" s="13">
        <f>IFERROR(__xludf.DUMMYFUNCTION("""COMPUTED_VALUE"""),10.0)</f>
        <v>10</v>
      </c>
      <c r="S638" s="15">
        <f>IFERROR(__xludf.DUMMYFUNCTION("""COMPUTED_VALUE"""),0.6)</f>
        <v>0.6</v>
      </c>
      <c r="T638" s="16">
        <f>IFERROR(__xludf.DUMMYFUNCTION("""COMPUTED_VALUE"""),375.75)</f>
        <v>375.75</v>
      </c>
      <c r="U638" s="16">
        <f>IFERROR(__xludf.DUMMYFUNCTION("""COMPUTED_VALUE"""),1.5)</f>
        <v>1.5</v>
      </c>
      <c r="V638" s="16">
        <f>IFERROR(__xludf.DUMMYFUNCTION("""COMPUTED_VALUE"""),0.0)</f>
        <v>0</v>
      </c>
      <c r="W638" s="16">
        <f>IFERROR(__xludf.DUMMYFUNCTION("""COMPUTED_VALUE"""),1.0)</f>
        <v>1</v>
      </c>
      <c r="X638" s="16">
        <f>IFERROR(__xludf.DUMMYFUNCTION("""COMPUTED_VALUE"""),2.5)</f>
        <v>2.5</v>
      </c>
      <c r="Y638" s="11">
        <f>IFERROR(__xludf.DUMMYFUNCTION("""COMPUTED_VALUE"""),0.0)</f>
        <v>0</v>
      </c>
      <c r="Z638" s="11">
        <f>IFERROR(__xludf.DUMMYFUNCTION("""COMPUTED_VALUE"""),0.0)</f>
        <v>0</v>
      </c>
      <c r="AA638" s="11">
        <f>IFERROR(__xludf.DUMMYFUNCTION("""COMPUTED_VALUE"""),0.0)</f>
        <v>0</v>
      </c>
      <c r="AB638" s="11">
        <f>IFERROR(__xludf.DUMMYFUNCTION("""COMPUTED_VALUE"""),1.0)</f>
        <v>1</v>
      </c>
      <c r="AC638" s="11">
        <f>IFERROR(__xludf.DUMMYFUNCTION("""COMPUTED_VALUE"""),4.0)</f>
        <v>4</v>
      </c>
      <c r="AD638" s="11">
        <f>IFERROR(__xludf.DUMMYFUNCTION("""COMPUTED_VALUE"""),6.0)</f>
        <v>6</v>
      </c>
    </row>
    <row r="639">
      <c r="A639" s="10" t="str">
        <f>IFERROR(__xludf.DUMMYFUNCTION("""COMPUTED_VALUE"""),"Rival")</f>
        <v>Rival</v>
      </c>
      <c r="B639" s="10" t="str">
        <f>IFERROR(__xludf.DUMMYFUNCTION("""COMPUTED_VALUE"""),"RSC000828")</f>
        <v>RSC000828</v>
      </c>
      <c r="C639" s="10" t="str">
        <f>IFERROR(__xludf.DUMMYFUNCTION("""COMPUTED_VALUE"""),"MattViaAirwaves")</f>
        <v>MattViaAirwaves</v>
      </c>
      <c r="D639" s="36" t="str">
        <f>IFERROR(__xludf.DUMMYFUNCTION("""COMPUTED_VALUE"""),"Polar Ice")</f>
        <v>Polar Ice</v>
      </c>
      <c r="E639" s="10" t="str">
        <f>IFERROR(__xludf.DUMMYFUNCTION("""COMPUTED_VALUE"""),"Solar")</f>
        <v>Solar</v>
      </c>
      <c r="F639" s="37">
        <f>IFERROR(__xludf.DUMMYFUNCTION("""COMPUTED_VALUE"""),40.74999388495545)</f>
        <v>40.74999388</v>
      </c>
      <c r="G639" s="38">
        <f>IFERROR(__xludf.DUMMYFUNCTION("""COMPUTED_VALUE"""),29.878919915933626)</f>
        <v>29.87891992</v>
      </c>
      <c r="H639" s="38">
        <f>IFERROR(__xludf.DUMMYFUNCTION("""COMPUTED_VALUE"""),35.31445690044454)</f>
        <v>35.3144569</v>
      </c>
      <c r="I639" s="14">
        <f>IFERROR(__xludf.DUMMYFUNCTION("""COMPUTED_VALUE"""),54.0)</f>
        <v>54</v>
      </c>
      <c r="J639" s="11">
        <f>IFERROR(__xludf.DUMMYFUNCTION("IFERROR(FILTER(Stats!$F:$Z,(Stats!$A:$A=$A639)*(Stats!$B:$B=$B639)))"),15.0)</f>
        <v>15</v>
      </c>
      <c r="K639" s="11">
        <f>IFERROR(__xludf.DUMMYFUNCTION("""COMPUTED_VALUE"""),39.0)</f>
        <v>39</v>
      </c>
      <c r="L639" s="12">
        <f>IFERROR(__xludf.DUMMYFUNCTION("""COMPUTED_VALUE"""),0.2777777777777778)</f>
        <v>0.2777777778</v>
      </c>
      <c r="M639" s="11">
        <f>IFERROR(__xludf.DUMMYFUNCTION("""COMPUTED_VALUE"""),5.0)</f>
        <v>5</v>
      </c>
      <c r="N639" s="11">
        <f>IFERROR(__xludf.DUMMYFUNCTION("""COMPUTED_VALUE"""),17481.0)</f>
        <v>17481</v>
      </c>
      <c r="O639" s="13">
        <f>IFERROR(__xludf.DUMMYFUNCTION("""COMPUTED_VALUE"""),35.0)</f>
        <v>35</v>
      </c>
      <c r="P639" s="14">
        <f>IFERROR(__xludf.DUMMYFUNCTION("""COMPUTED_VALUE"""),16.0)</f>
        <v>16</v>
      </c>
      <c r="Q639" s="13">
        <f>IFERROR(__xludf.DUMMYFUNCTION("""COMPUTED_VALUE"""),73.0)</f>
        <v>73</v>
      </c>
      <c r="R639" s="13">
        <f>IFERROR(__xludf.DUMMYFUNCTION("""COMPUTED_VALUE"""),127.0)</f>
        <v>127</v>
      </c>
      <c r="S639" s="15">
        <f>IFERROR(__xludf.DUMMYFUNCTION("""COMPUTED_VALUE"""),0.2755905511811024)</f>
        <v>0.2755905512</v>
      </c>
      <c r="T639" s="16">
        <f>IFERROR(__xludf.DUMMYFUNCTION("""COMPUTED_VALUE"""),323.72222222222223)</f>
        <v>323.7222222</v>
      </c>
      <c r="U639" s="16">
        <f>IFERROR(__xludf.DUMMYFUNCTION("""COMPUTED_VALUE"""),0.6481481481481481)</f>
        <v>0.6481481481</v>
      </c>
      <c r="V639" s="16">
        <f>IFERROR(__xludf.DUMMYFUNCTION("""COMPUTED_VALUE"""),0.2962962962962963)</f>
        <v>0.2962962963</v>
      </c>
      <c r="W639" s="16">
        <f>IFERROR(__xludf.DUMMYFUNCTION("""COMPUTED_VALUE"""),1.3518518518518519)</f>
        <v>1.351851852</v>
      </c>
      <c r="X639" s="16">
        <f>IFERROR(__xludf.DUMMYFUNCTION("""COMPUTED_VALUE"""),2.3518518518518516)</f>
        <v>2.351851852</v>
      </c>
      <c r="Y639" s="11">
        <f>IFERROR(__xludf.DUMMYFUNCTION("""COMPUTED_VALUE"""),5.0)</f>
        <v>5</v>
      </c>
      <c r="Z639" s="11">
        <f>IFERROR(__xludf.DUMMYFUNCTION("""COMPUTED_VALUE"""),1.0)</f>
        <v>1</v>
      </c>
      <c r="AA639" s="11">
        <f>IFERROR(__xludf.DUMMYFUNCTION("""COMPUTED_VALUE"""),0.0)</f>
        <v>0</v>
      </c>
      <c r="AB639" s="11">
        <f>IFERROR(__xludf.DUMMYFUNCTION("""COMPUTED_VALUE"""),9.0)</f>
        <v>9</v>
      </c>
      <c r="AC639" s="11">
        <f>IFERROR(__xludf.DUMMYFUNCTION("""COMPUTED_VALUE"""),49.0)</f>
        <v>49</v>
      </c>
      <c r="AD639" s="11">
        <f>IFERROR(__xludf.DUMMYFUNCTION("""COMPUTED_VALUE"""),69.0)</f>
        <v>69</v>
      </c>
    </row>
    <row r="640">
      <c r="A640" s="10" t="str">
        <f>IFERROR(__xludf.DUMMYFUNCTION("""COMPUTED_VALUE"""),"Rival")</f>
        <v>Rival</v>
      </c>
      <c r="B640" s="10" t="str">
        <f>IFERROR(__xludf.DUMMYFUNCTION("""COMPUTED_VALUE"""),"RSC008537")</f>
        <v>RSC008537</v>
      </c>
      <c r="C640" s="10" t="str">
        <f>IFERROR(__xludf.DUMMYFUNCTION("""COMPUTED_VALUE"""),"SirSqwilly")</f>
        <v>SirSqwilly</v>
      </c>
      <c r="D640" s="36" t="str">
        <f>IFERROR(__xludf.DUMMYFUNCTION("""COMPUTED_VALUE"""),"Heavy Metal
Ocelots")</f>
        <v>Heavy Metal
Ocelots</v>
      </c>
      <c r="E640" s="10" t="str">
        <f>IFERROR(__xludf.DUMMYFUNCTION("""COMPUTED_VALUE"""),"Lunar
Solar")</f>
        <v>Lunar
Solar</v>
      </c>
      <c r="F640" s="37">
        <f>IFERROR(__xludf.DUMMYFUNCTION("""COMPUTED_VALUE"""),34.679576582533024)</f>
        <v>34.67957658</v>
      </c>
      <c r="G640" s="38">
        <f>IFERROR(__xludf.DUMMYFUNCTION("""COMPUTED_VALUE"""),33.595245791004935)</f>
        <v>33.59524579</v>
      </c>
      <c r="H640" s="38">
        <f>IFERROR(__xludf.DUMMYFUNCTION("""COMPUTED_VALUE"""),34.13741118676898)</f>
        <v>34.13741119</v>
      </c>
      <c r="I640" s="14">
        <f>IFERROR(__xludf.DUMMYFUNCTION("""COMPUTED_VALUE"""),17.0)</f>
        <v>17</v>
      </c>
      <c r="J640" s="11">
        <f>IFERROR(__xludf.DUMMYFUNCTION("IFERROR(FILTER(Stats!$F:$Z,(Stats!$A:$A=$A640)*(Stats!$B:$B=$B640)))"),8.0)</f>
        <v>8</v>
      </c>
      <c r="K640" s="11">
        <f>IFERROR(__xludf.DUMMYFUNCTION("""COMPUTED_VALUE"""),9.0)</f>
        <v>9</v>
      </c>
      <c r="L640" s="12">
        <f>IFERROR(__xludf.DUMMYFUNCTION("""COMPUTED_VALUE"""),0.47058823529411764)</f>
        <v>0.4705882353</v>
      </c>
      <c r="M640" s="11">
        <f>IFERROR(__xludf.DUMMYFUNCTION("""COMPUTED_VALUE"""),2.0)</f>
        <v>2</v>
      </c>
      <c r="N640" s="11">
        <f>IFERROR(__xludf.DUMMYFUNCTION("""COMPUTED_VALUE"""),4786.0)</f>
        <v>4786</v>
      </c>
      <c r="O640" s="13">
        <f>IFERROR(__xludf.DUMMYFUNCTION("""COMPUTED_VALUE"""),10.0)</f>
        <v>10</v>
      </c>
      <c r="P640" s="14">
        <f>IFERROR(__xludf.DUMMYFUNCTION("""COMPUTED_VALUE"""),7.0)</f>
        <v>7</v>
      </c>
      <c r="Q640" s="13">
        <f>IFERROR(__xludf.DUMMYFUNCTION("""COMPUTED_VALUE"""),17.0)</f>
        <v>17</v>
      </c>
      <c r="R640" s="13">
        <f>IFERROR(__xludf.DUMMYFUNCTION("""COMPUTED_VALUE"""),36.0)</f>
        <v>36</v>
      </c>
      <c r="S640" s="15">
        <f>IFERROR(__xludf.DUMMYFUNCTION("""COMPUTED_VALUE"""),0.2777777777777778)</f>
        <v>0.2777777778</v>
      </c>
      <c r="T640" s="16">
        <f>IFERROR(__xludf.DUMMYFUNCTION("""COMPUTED_VALUE"""),281.52941176470586)</f>
        <v>281.5294118</v>
      </c>
      <c r="U640" s="16">
        <f>IFERROR(__xludf.DUMMYFUNCTION("""COMPUTED_VALUE"""),0.5882352941176471)</f>
        <v>0.5882352941</v>
      </c>
      <c r="V640" s="16">
        <f>IFERROR(__xludf.DUMMYFUNCTION("""COMPUTED_VALUE"""),0.4117647058823529)</f>
        <v>0.4117647059</v>
      </c>
      <c r="W640" s="16">
        <f>IFERROR(__xludf.DUMMYFUNCTION("""COMPUTED_VALUE"""),1.0)</f>
        <v>1</v>
      </c>
      <c r="X640" s="16">
        <f>IFERROR(__xludf.DUMMYFUNCTION("""COMPUTED_VALUE"""),2.1176470588235294)</f>
        <v>2.117647059</v>
      </c>
      <c r="Y640" s="11">
        <f>IFERROR(__xludf.DUMMYFUNCTION("""COMPUTED_VALUE"""),2.0)</f>
        <v>2</v>
      </c>
      <c r="Z640" s="11">
        <f>IFERROR(__xludf.DUMMYFUNCTION("""COMPUTED_VALUE"""),0.0)</f>
        <v>0</v>
      </c>
      <c r="AA640" s="11">
        <f>IFERROR(__xludf.DUMMYFUNCTION("""COMPUTED_VALUE"""),0.0)</f>
        <v>0</v>
      </c>
      <c r="AB640" s="11">
        <f>IFERROR(__xludf.DUMMYFUNCTION("""COMPUTED_VALUE"""),0.0)</f>
        <v>0</v>
      </c>
      <c r="AC640" s="11">
        <f>IFERROR(__xludf.DUMMYFUNCTION("""COMPUTED_VALUE"""),12.0)</f>
        <v>12</v>
      </c>
      <c r="AD640" s="11">
        <f>IFERROR(__xludf.DUMMYFUNCTION("""COMPUTED_VALUE"""),15.0)</f>
        <v>15</v>
      </c>
    </row>
    <row r="641">
      <c r="A641" s="10" t="str">
        <f>IFERROR(__xludf.DUMMYFUNCTION("""COMPUTED_VALUE"""),"Rival")</f>
        <v>Rival</v>
      </c>
      <c r="B641" s="10" t="str">
        <f>IFERROR(__xludf.DUMMYFUNCTION("""COMPUTED_VALUE"""),"RSC003118")</f>
        <v>RSC003118</v>
      </c>
      <c r="C641" s="10" t="str">
        <f>IFERROR(__xludf.DUMMYFUNCTION("""COMPUTED_VALUE"""),"Mysty")</f>
        <v>Mysty</v>
      </c>
      <c r="D641" s="36" t="str">
        <f>IFERROR(__xludf.DUMMYFUNCTION("""COMPUTED_VALUE"""),"Polar Ice
Wind
Lacuna")</f>
        <v>Polar Ice
Wind
Lacuna</v>
      </c>
      <c r="E641" s="10" t="str">
        <f>IFERROR(__xludf.DUMMYFUNCTION("""COMPUTED_VALUE"""),"Solar
Solar
Solar")</f>
        <v>Solar
Solar
Solar</v>
      </c>
      <c r="F641" s="37">
        <f>IFERROR(__xludf.DUMMYFUNCTION("""COMPUTED_VALUE"""),36.37652464873168)</f>
        <v>36.37652465</v>
      </c>
      <c r="G641" s="38">
        <f>IFERROR(__xludf.DUMMYFUNCTION("""COMPUTED_VALUE"""),31.274653871114594)</f>
        <v>31.27465387</v>
      </c>
      <c r="H641" s="38">
        <f>IFERROR(__xludf.DUMMYFUNCTION("""COMPUTED_VALUE"""),33.825589259923134)</f>
        <v>33.82558926</v>
      </c>
      <c r="I641" s="14">
        <f>IFERROR(__xludf.DUMMYFUNCTION("""COMPUTED_VALUE"""),50.0)</f>
        <v>50</v>
      </c>
      <c r="J641" s="11">
        <f>IFERROR(__xludf.DUMMYFUNCTION("IFERROR(FILTER(Stats!$F:$Z,(Stats!$A:$A=$A641)*(Stats!$B:$B=$B641)))"),18.0)</f>
        <v>18</v>
      </c>
      <c r="K641" s="11">
        <f>IFERROR(__xludf.DUMMYFUNCTION("""COMPUTED_VALUE"""),32.0)</f>
        <v>32</v>
      </c>
      <c r="L641" s="12">
        <f>IFERROR(__xludf.DUMMYFUNCTION("""COMPUTED_VALUE"""),0.36)</f>
        <v>0.36</v>
      </c>
      <c r="M641" s="11">
        <f>IFERROR(__xludf.DUMMYFUNCTION("""COMPUTED_VALUE"""),7.0)</f>
        <v>7</v>
      </c>
      <c r="N641" s="11">
        <f>IFERROR(__xludf.DUMMYFUNCTION("""COMPUTED_VALUE"""),14476.0)</f>
        <v>14476</v>
      </c>
      <c r="O641" s="13">
        <f>IFERROR(__xludf.DUMMYFUNCTION("""COMPUTED_VALUE"""),19.0)</f>
        <v>19</v>
      </c>
      <c r="P641" s="14">
        <f>IFERROR(__xludf.DUMMYFUNCTION("""COMPUTED_VALUE"""),27.0)</f>
        <v>27</v>
      </c>
      <c r="Q641" s="13">
        <f>IFERROR(__xludf.DUMMYFUNCTION("""COMPUTED_VALUE"""),65.0)</f>
        <v>65</v>
      </c>
      <c r="R641" s="13">
        <f>IFERROR(__xludf.DUMMYFUNCTION("""COMPUTED_VALUE"""),109.0)</f>
        <v>109</v>
      </c>
      <c r="S641" s="15">
        <f>IFERROR(__xludf.DUMMYFUNCTION("""COMPUTED_VALUE"""),0.1743119266055046)</f>
        <v>0.1743119266</v>
      </c>
      <c r="T641" s="16">
        <f>IFERROR(__xludf.DUMMYFUNCTION("""COMPUTED_VALUE"""),289.52)</f>
        <v>289.52</v>
      </c>
      <c r="U641" s="16">
        <f>IFERROR(__xludf.DUMMYFUNCTION("""COMPUTED_VALUE"""),0.38)</f>
        <v>0.38</v>
      </c>
      <c r="V641" s="16">
        <f>IFERROR(__xludf.DUMMYFUNCTION("""COMPUTED_VALUE"""),0.54)</f>
        <v>0.54</v>
      </c>
      <c r="W641" s="16">
        <f>IFERROR(__xludf.DUMMYFUNCTION("""COMPUTED_VALUE"""),1.3)</f>
        <v>1.3</v>
      </c>
      <c r="X641" s="16">
        <f>IFERROR(__xludf.DUMMYFUNCTION("""COMPUTED_VALUE"""),2.18)</f>
        <v>2.18</v>
      </c>
      <c r="Y641" s="11">
        <f>IFERROR(__xludf.DUMMYFUNCTION("""COMPUTED_VALUE"""),8.0)</f>
        <v>8</v>
      </c>
      <c r="Z641" s="11">
        <f>IFERROR(__xludf.DUMMYFUNCTION("""COMPUTED_VALUE"""),0.0)</f>
        <v>0</v>
      </c>
      <c r="AA641" s="11">
        <f>IFERROR(__xludf.DUMMYFUNCTION("""COMPUTED_VALUE"""),0.0)</f>
        <v>0</v>
      </c>
      <c r="AB641" s="11">
        <f>IFERROR(__xludf.DUMMYFUNCTION("""COMPUTED_VALUE"""),6.0)</f>
        <v>6</v>
      </c>
      <c r="AC641" s="11">
        <f>IFERROR(__xludf.DUMMYFUNCTION("""COMPUTED_VALUE"""),36.0)</f>
        <v>36</v>
      </c>
      <c r="AD641" s="11">
        <f>IFERROR(__xludf.DUMMYFUNCTION("""COMPUTED_VALUE"""),48.0)</f>
        <v>48</v>
      </c>
    </row>
    <row r="642">
      <c r="A642" s="10" t="str">
        <f>IFERROR(__xludf.DUMMYFUNCTION("""COMPUTED_VALUE"""),"Rival")</f>
        <v>Rival</v>
      </c>
      <c r="B642" s="10" t="str">
        <f>IFERROR(__xludf.DUMMYFUNCTION("""COMPUTED_VALUE"""),"RSC005475")</f>
        <v>RSC005475</v>
      </c>
      <c r="C642" s="10" t="str">
        <f>IFERROR(__xludf.DUMMYFUNCTION("""COMPUTED_VALUE"""),"Envy")</f>
        <v>Envy</v>
      </c>
      <c r="D642" s="36" t="str">
        <f>IFERROR(__xludf.DUMMYFUNCTION("""COMPUTED_VALUE"""),"Liars")</f>
        <v>Liars</v>
      </c>
      <c r="E642" s="10" t="str">
        <f>IFERROR(__xludf.DUMMYFUNCTION("""COMPUTED_VALUE"""),"Solar")</f>
        <v>Solar</v>
      </c>
      <c r="F642" s="37">
        <f>IFERROR(__xludf.DUMMYFUNCTION("""COMPUTED_VALUE"""),35.43400976327174)</f>
        <v>35.43400976</v>
      </c>
      <c r="G642" s="38">
        <f>IFERROR(__xludf.DUMMYFUNCTION("""COMPUTED_VALUE"""),31.964311776456245)</f>
        <v>31.96431178</v>
      </c>
      <c r="H642" s="38">
        <f>IFERROR(__xludf.DUMMYFUNCTION("""COMPUTED_VALUE"""),33.699160769863994)</f>
        <v>33.69916077</v>
      </c>
      <c r="I642" s="14">
        <f>IFERROR(__xludf.DUMMYFUNCTION("""COMPUTED_VALUE"""),8.0)</f>
        <v>8</v>
      </c>
      <c r="J642" s="11">
        <f>IFERROR(__xludf.DUMMYFUNCTION("IFERROR(FILTER(Stats!$F:$Z,(Stats!$A:$A=$A642)*(Stats!$B:$B=$B642)))"),3.0)</f>
        <v>3</v>
      </c>
      <c r="K642" s="11">
        <f>IFERROR(__xludf.DUMMYFUNCTION("""COMPUTED_VALUE"""),5.0)</f>
        <v>5</v>
      </c>
      <c r="L642" s="12">
        <f>IFERROR(__xludf.DUMMYFUNCTION("""COMPUTED_VALUE"""),0.375)</f>
        <v>0.375</v>
      </c>
      <c r="M642" s="11">
        <f>IFERROR(__xludf.DUMMYFUNCTION("""COMPUTED_VALUE"""),0.0)</f>
        <v>0</v>
      </c>
      <c r="N642" s="11">
        <f>IFERROR(__xludf.DUMMYFUNCTION("""COMPUTED_VALUE"""),2431.0)</f>
        <v>2431</v>
      </c>
      <c r="O642" s="13">
        <f>IFERROR(__xludf.DUMMYFUNCTION("""COMPUTED_VALUE"""),5.0)</f>
        <v>5</v>
      </c>
      <c r="P642" s="14">
        <f>IFERROR(__xludf.DUMMYFUNCTION("""COMPUTED_VALUE"""),2.0)</f>
        <v>2</v>
      </c>
      <c r="Q642" s="13">
        <f>IFERROR(__xludf.DUMMYFUNCTION("""COMPUTED_VALUE"""),11.0)</f>
        <v>11</v>
      </c>
      <c r="R642" s="13">
        <f>IFERROR(__xludf.DUMMYFUNCTION("""COMPUTED_VALUE"""),15.0)</f>
        <v>15</v>
      </c>
      <c r="S642" s="15">
        <f>IFERROR(__xludf.DUMMYFUNCTION("""COMPUTED_VALUE"""),0.3333333333333333)</f>
        <v>0.3333333333</v>
      </c>
      <c r="T642" s="16">
        <f>IFERROR(__xludf.DUMMYFUNCTION("""COMPUTED_VALUE"""),303.875)</f>
        <v>303.875</v>
      </c>
      <c r="U642" s="16">
        <f>IFERROR(__xludf.DUMMYFUNCTION("""COMPUTED_VALUE"""),0.625)</f>
        <v>0.625</v>
      </c>
      <c r="V642" s="16">
        <f>IFERROR(__xludf.DUMMYFUNCTION("""COMPUTED_VALUE"""),0.25)</f>
        <v>0.25</v>
      </c>
      <c r="W642" s="16">
        <f>IFERROR(__xludf.DUMMYFUNCTION("""COMPUTED_VALUE"""),1.375)</f>
        <v>1.375</v>
      </c>
      <c r="X642" s="16">
        <f>IFERROR(__xludf.DUMMYFUNCTION("""COMPUTED_VALUE"""),1.875)</f>
        <v>1.875</v>
      </c>
      <c r="Y642" s="11">
        <f>IFERROR(__xludf.DUMMYFUNCTION("""COMPUTED_VALUE"""),1.0)</f>
        <v>1</v>
      </c>
      <c r="Z642" s="11">
        <f>IFERROR(__xludf.DUMMYFUNCTION("""COMPUTED_VALUE"""),0.0)</f>
        <v>0</v>
      </c>
      <c r="AA642" s="11">
        <f>IFERROR(__xludf.DUMMYFUNCTION("""COMPUTED_VALUE"""),0.0)</f>
        <v>0</v>
      </c>
      <c r="AB642" s="11">
        <f>IFERROR(__xludf.DUMMYFUNCTION("""COMPUTED_VALUE"""),1.0)</f>
        <v>1</v>
      </c>
      <c r="AC642" s="11">
        <f>IFERROR(__xludf.DUMMYFUNCTION("""COMPUTED_VALUE"""),6.0)</f>
        <v>6</v>
      </c>
      <c r="AD642" s="11">
        <f>IFERROR(__xludf.DUMMYFUNCTION("""COMPUTED_VALUE"""),9.0)</f>
        <v>9</v>
      </c>
    </row>
    <row r="643">
      <c r="A643" s="10" t="str">
        <f>IFERROR(__xludf.DUMMYFUNCTION("""COMPUTED_VALUE"""),"Rival")</f>
        <v>Rival</v>
      </c>
      <c r="B643" s="10" t="str">
        <f>IFERROR(__xludf.DUMMYFUNCTION("""COMPUTED_VALUE"""),"RSC008192")</f>
        <v>RSC008192</v>
      </c>
      <c r="C643" s="10" t="str">
        <f>IFERROR(__xludf.DUMMYFUNCTION("""COMPUTED_VALUE"""),"Alpha Dingo")</f>
        <v>Alpha Dingo</v>
      </c>
      <c r="D643" s="36" t="str">
        <f>IFERROR(__xludf.DUMMYFUNCTION("""COMPUTED_VALUE"""),"Hammerheads")</f>
        <v>Hammerheads</v>
      </c>
      <c r="E643" s="10" t="str">
        <f>IFERROR(__xludf.DUMMYFUNCTION("""COMPUTED_VALUE"""),"Solar")</f>
        <v>Solar</v>
      </c>
      <c r="F643" s="37">
        <f>IFERROR(__xludf.DUMMYFUNCTION("""COMPUTED_VALUE"""),34.68437787113091)</f>
        <v>34.68437787</v>
      </c>
      <c r="G643" s="38">
        <f>IFERROR(__xludf.DUMMYFUNCTION("""COMPUTED_VALUE"""),30.73129014100803)</f>
        <v>30.73129014</v>
      </c>
      <c r="H643" s="38">
        <f>IFERROR(__xludf.DUMMYFUNCTION("""COMPUTED_VALUE"""),32.707834006069476)</f>
        <v>32.70783401</v>
      </c>
      <c r="I643" s="14">
        <f>IFERROR(__xludf.DUMMYFUNCTION("""COMPUTED_VALUE"""),38.0)</f>
        <v>38</v>
      </c>
      <c r="J643" s="11">
        <f>IFERROR(__xludf.DUMMYFUNCTION("IFERROR(FILTER(Stats!$F:$Z,(Stats!$A:$A=$A643)*(Stats!$B:$B=$B643)))"),16.0)</f>
        <v>16</v>
      </c>
      <c r="K643" s="11">
        <f>IFERROR(__xludf.DUMMYFUNCTION("""COMPUTED_VALUE"""),22.0)</f>
        <v>22</v>
      </c>
      <c r="L643" s="12">
        <f>IFERROR(__xludf.DUMMYFUNCTION("""COMPUTED_VALUE"""),0.42105263157894735)</f>
        <v>0.4210526316</v>
      </c>
      <c r="M643" s="11">
        <f>IFERROR(__xludf.DUMMYFUNCTION("""COMPUTED_VALUE"""),3.0)</f>
        <v>3</v>
      </c>
      <c r="N643" s="11">
        <f>IFERROR(__xludf.DUMMYFUNCTION("""COMPUTED_VALUE"""),11584.0)</f>
        <v>11584</v>
      </c>
      <c r="O643" s="13">
        <f>IFERROR(__xludf.DUMMYFUNCTION("""COMPUTED_VALUE"""),22.0)</f>
        <v>22</v>
      </c>
      <c r="P643" s="14">
        <f>IFERROR(__xludf.DUMMYFUNCTION("""COMPUTED_VALUE"""),21.0)</f>
        <v>21</v>
      </c>
      <c r="Q643" s="13">
        <f>IFERROR(__xludf.DUMMYFUNCTION("""COMPUTED_VALUE"""),40.0)</f>
        <v>40</v>
      </c>
      <c r="R643" s="13">
        <f>IFERROR(__xludf.DUMMYFUNCTION("""COMPUTED_VALUE"""),78.0)</f>
        <v>78</v>
      </c>
      <c r="S643" s="15">
        <f>IFERROR(__xludf.DUMMYFUNCTION("""COMPUTED_VALUE"""),0.28205128205128205)</f>
        <v>0.2820512821</v>
      </c>
      <c r="T643" s="16">
        <f>IFERROR(__xludf.DUMMYFUNCTION("""COMPUTED_VALUE"""),304.8421052631579)</f>
        <v>304.8421053</v>
      </c>
      <c r="U643" s="16">
        <f>IFERROR(__xludf.DUMMYFUNCTION("""COMPUTED_VALUE"""),0.5789473684210527)</f>
        <v>0.5789473684</v>
      </c>
      <c r="V643" s="16">
        <f>IFERROR(__xludf.DUMMYFUNCTION("""COMPUTED_VALUE"""),0.5526315789473685)</f>
        <v>0.5526315789</v>
      </c>
      <c r="W643" s="16">
        <f>IFERROR(__xludf.DUMMYFUNCTION("""COMPUTED_VALUE"""),1.0526315789473684)</f>
        <v>1.052631579</v>
      </c>
      <c r="X643" s="16">
        <f>IFERROR(__xludf.DUMMYFUNCTION("""COMPUTED_VALUE"""),2.0526315789473686)</f>
        <v>2.052631579</v>
      </c>
      <c r="Y643" s="11">
        <f>IFERROR(__xludf.DUMMYFUNCTION("""COMPUTED_VALUE"""),3.0)</f>
        <v>3</v>
      </c>
      <c r="Z643" s="11">
        <f>IFERROR(__xludf.DUMMYFUNCTION("""COMPUTED_VALUE"""),0.0)</f>
        <v>0</v>
      </c>
      <c r="AA643" s="11">
        <f>IFERROR(__xludf.DUMMYFUNCTION("""COMPUTED_VALUE"""),0.0)</f>
        <v>0</v>
      </c>
      <c r="AB643" s="11">
        <f>IFERROR(__xludf.DUMMYFUNCTION("""COMPUTED_VALUE"""),6.0)</f>
        <v>6</v>
      </c>
      <c r="AC643" s="11">
        <f>IFERROR(__xludf.DUMMYFUNCTION("""COMPUTED_VALUE"""),21.0)</f>
        <v>21</v>
      </c>
      <c r="AD643" s="11">
        <f>IFERROR(__xludf.DUMMYFUNCTION("""COMPUTED_VALUE"""),53.0)</f>
        <v>53</v>
      </c>
    </row>
    <row r="644">
      <c r="A644" s="10" t="str">
        <f>IFERROR(__xludf.DUMMYFUNCTION("""COMPUTED_VALUE"""),"Rival")</f>
        <v>Rival</v>
      </c>
      <c r="B644" s="10" t="str">
        <f>IFERROR(__xludf.DUMMYFUNCTION("""COMPUTED_VALUE"""),"RSC006928")</f>
        <v>RSC006928</v>
      </c>
      <c r="C644" s="10" t="str">
        <f>IFERROR(__xludf.DUMMYFUNCTION("""COMPUTED_VALUE"""),"Thunderbolt")</f>
        <v>Thunderbolt</v>
      </c>
      <c r="D644" s="36" t="str">
        <f>IFERROR(__xludf.DUMMYFUNCTION("""COMPUTED_VALUE"""),"Asiago Arsonists")</f>
        <v>Asiago Arsonists</v>
      </c>
      <c r="E644" s="10" t="str">
        <f>IFERROR(__xludf.DUMMYFUNCTION("""COMPUTED_VALUE"""),"Lunar")</f>
        <v>Lunar</v>
      </c>
      <c r="F644" s="37">
        <f>IFERROR(__xludf.DUMMYFUNCTION("""COMPUTED_VALUE"""),27.276545446961684)</f>
        <v>27.27654545</v>
      </c>
      <c r="G644" s="38">
        <f>IFERROR(__xludf.DUMMYFUNCTION("""COMPUTED_VALUE"""),37.705087263825206)</f>
        <v>37.70508726</v>
      </c>
      <c r="H644" s="38">
        <f>IFERROR(__xludf.DUMMYFUNCTION("""COMPUTED_VALUE"""),32.49081635539345)</f>
        <v>32.49081636</v>
      </c>
      <c r="I644" s="14">
        <f>IFERROR(__xludf.DUMMYFUNCTION("""COMPUTED_VALUE"""),48.0)</f>
        <v>48</v>
      </c>
      <c r="J644" s="11">
        <f>IFERROR(__xludf.DUMMYFUNCTION("IFERROR(FILTER(Stats!$F:$Z,(Stats!$A:$A=$A644)*(Stats!$B:$B=$B644)))"),28.0)</f>
        <v>28</v>
      </c>
      <c r="K644" s="11">
        <f>IFERROR(__xludf.DUMMYFUNCTION("""COMPUTED_VALUE"""),20.0)</f>
        <v>20</v>
      </c>
      <c r="L644" s="12">
        <f>IFERROR(__xludf.DUMMYFUNCTION("""COMPUTED_VALUE"""),0.5833333333333334)</f>
        <v>0.5833333333</v>
      </c>
      <c r="M644" s="11">
        <f>IFERROR(__xludf.DUMMYFUNCTION("""COMPUTED_VALUE"""),0.0)</f>
        <v>0</v>
      </c>
      <c r="N644" s="11">
        <f>IFERROR(__xludf.DUMMYFUNCTION("""COMPUTED_VALUE"""),12798.0)</f>
        <v>12798</v>
      </c>
      <c r="O644" s="13">
        <f>IFERROR(__xludf.DUMMYFUNCTION("""COMPUTED_VALUE"""),28.0)</f>
        <v>28</v>
      </c>
      <c r="P644" s="14">
        <f>IFERROR(__xludf.DUMMYFUNCTION("""COMPUTED_VALUE"""),23.0)</f>
        <v>23</v>
      </c>
      <c r="Q644" s="13">
        <f>IFERROR(__xludf.DUMMYFUNCTION("""COMPUTED_VALUE"""),43.0)</f>
        <v>43</v>
      </c>
      <c r="R644" s="13">
        <f>IFERROR(__xludf.DUMMYFUNCTION("""COMPUTED_VALUE"""),116.0)</f>
        <v>116</v>
      </c>
      <c r="S644" s="15">
        <f>IFERROR(__xludf.DUMMYFUNCTION("""COMPUTED_VALUE"""),0.2413793103448276)</f>
        <v>0.2413793103</v>
      </c>
      <c r="T644" s="16">
        <f>IFERROR(__xludf.DUMMYFUNCTION("""COMPUTED_VALUE"""),266.625)</f>
        <v>266.625</v>
      </c>
      <c r="U644" s="16">
        <f>IFERROR(__xludf.DUMMYFUNCTION("""COMPUTED_VALUE"""),0.5833333333333334)</f>
        <v>0.5833333333</v>
      </c>
      <c r="V644" s="16">
        <f>IFERROR(__xludf.DUMMYFUNCTION("""COMPUTED_VALUE"""),0.4791666666666667)</f>
        <v>0.4791666667</v>
      </c>
      <c r="W644" s="16">
        <f>IFERROR(__xludf.DUMMYFUNCTION("""COMPUTED_VALUE"""),0.8958333333333334)</f>
        <v>0.8958333333</v>
      </c>
      <c r="X644" s="16">
        <f>IFERROR(__xludf.DUMMYFUNCTION("""COMPUTED_VALUE"""),2.4166666666666665)</f>
        <v>2.416666667</v>
      </c>
      <c r="Y644" s="11">
        <f>IFERROR(__xludf.DUMMYFUNCTION("""COMPUTED_VALUE"""),4.0)</f>
        <v>4</v>
      </c>
      <c r="Z644" s="11">
        <f>IFERROR(__xludf.DUMMYFUNCTION("""COMPUTED_VALUE"""),1.0)</f>
        <v>1</v>
      </c>
      <c r="AA644" s="11">
        <f>IFERROR(__xludf.DUMMYFUNCTION("""COMPUTED_VALUE"""),1.0)</f>
        <v>1</v>
      </c>
      <c r="AB644" s="11">
        <f>IFERROR(__xludf.DUMMYFUNCTION("""COMPUTED_VALUE"""),2.0)</f>
        <v>2</v>
      </c>
      <c r="AC644" s="11">
        <f>IFERROR(__xludf.DUMMYFUNCTION("""COMPUTED_VALUE"""),48.0)</f>
        <v>48</v>
      </c>
      <c r="AD644" s="11">
        <f>IFERROR(__xludf.DUMMYFUNCTION("""COMPUTED_VALUE"""),49.0)</f>
        <v>49</v>
      </c>
    </row>
    <row r="645">
      <c r="A645" s="10" t="str">
        <f>IFERROR(__xludf.DUMMYFUNCTION("""COMPUTED_VALUE"""),"Rival")</f>
        <v>Rival</v>
      </c>
      <c r="B645" s="10" t="str">
        <f>IFERROR(__xludf.DUMMYFUNCTION("""COMPUTED_VALUE"""),"RSC002128")</f>
        <v>RSC002128</v>
      </c>
      <c r="C645" s="10" t="str">
        <f>IFERROR(__xludf.DUMMYFUNCTION("""COMPUTED_VALUE"""),"Velo")</f>
        <v>Velo</v>
      </c>
      <c r="D645" s="36" t="str">
        <f>IFERROR(__xludf.DUMMYFUNCTION("""COMPUTED_VALUE"""),"Lightning")</f>
        <v>Lightning</v>
      </c>
      <c r="E645" s="10" t="str">
        <f>IFERROR(__xludf.DUMMYFUNCTION("""COMPUTED_VALUE"""),"Lunar")</f>
        <v>Lunar</v>
      </c>
      <c r="F645" s="37">
        <f>IFERROR(__xludf.DUMMYFUNCTION("""COMPUTED_VALUE"""),35.281303627616055)</f>
        <v>35.28130363</v>
      </c>
      <c r="G645" s="38">
        <f>IFERROR(__xludf.DUMMYFUNCTION("""COMPUTED_VALUE"""),28.619867785845706)</f>
        <v>28.61986779</v>
      </c>
      <c r="H645" s="38">
        <f>IFERROR(__xludf.DUMMYFUNCTION("""COMPUTED_VALUE"""),31.95058570673088)</f>
        <v>31.95058571</v>
      </c>
      <c r="I645" s="14">
        <f>IFERROR(__xludf.DUMMYFUNCTION("""COMPUTED_VALUE"""),26.0)</f>
        <v>26</v>
      </c>
      <c r="J645" s="11">
        <f>IFERROR(__xludf.DUMMYFUNCTION("IFERROR(FILTER(Stats!$F:$Z,(Stats!$A:$A=$A645)*(Stats!$B:$B=$B645)))"),13.0)</f>
        <v>13</v>
      </c>
      <c r="K645" s="11">
        <f>IFERROR(__xludf.DUMMYFUNCTION("""COMPUTED_VALUE"""),13.0)</f>
        <v>13</v>
      </c>
      <c r="L645" s="12">
        <f>IFERROR(__xludf.DUMMYFUNCTION("""COMPUTED_VALUE"""),0.5)</f>
        <v>0.5</v>
      </c>
      <c r="M645" s="11">
        <f>IFERROR(__xludf.DUMMYFUNCTION("""COMPUTED_VALUE"""),1.0)</f>
        <v>1</v>
      </c>
      <c r="N645" s="11">
        <f>IFERROR(__xludf.DUMMYFUNCTION("""COMPUTED_VALUE"""),6630.0)</f>
        <v>6630</v>
      </c>
      <c r="O645" s="13">
        <f>IFERROR(__xludf.DUMMYFUNCTION("""COMPUTED_VALUE"""),10.0)</f>
        <v>10</v>
      </c>
      <c r="P645" s="14">
        <f>IFERROR(__xludf.DUMMYFUNCTION("""COMPUTED_VALUE"""),15.0)</f>
        <v>15</v>
      </c>
      <c r="Q645" s="13">
        <f>IFERROR(__xludf.DUMMYFUNCTION("""COMPUTED_VALUE"""),22.0)</f>
        <v>22</v>
      </c>
      <c r="R645" s="13">
        <f>IFERROR(__xludf.DUMMYFUNCTION("""COMPUTED_VALUE"""),39.0)</f>
        <v>39</v>
      </c>
      <c r="S645" s="15">
        <f>IFERROR(__xludf.DUMMYFUNCTION("""COMPUTED_VALUE"""),0.2564102564102564)</f>
        <v>0.2564102564</v>
      </c>
      <c r="T645" s="16">
        <f>IFERROR(__xludf.DUMMYFUNCTION("""COMPUTED_VALUE"""),255.0)</f>
        <v>255</v>
      </c>
      <c r="U645" s="16">
        <f>IFERROR(__xludf.DUMMYFUNCTION("""COMPUTED_VALUE"""),0.38461538461538464)</f>
        <v>0.3846153846</v>
      </c>
      <c r="V645" s="16">
        <f>IFERROR(__xludf.DUMMYFUNCTION("""COMPUTED_VALUE"""),0.5769230769230769)</f>
        <v>0.5769230769</v>
      </c>
      <c r="W645" s="16">
        <f>IFERROR(__xludf.DUMMYFUNCTION("""COMPUTED_VALUE"""),0.8461538461538461)</f>
        <v>0.8461538462</v>
      </c>
      <c r="X645" s="16">
        <f>IFERROR(__xludf.DUMMYFUNCTION("""COMPUTED_VALUE"""),1.5)</f>
        <v>1.5</v>
      </c>
      <c r="Y645" s="11">
        <f>IFERROR(__xludf.DUMMYFUNCTION("""COMPUTED_VALUE"""),4.0)</f>
        <v>4</v>
      </c>
      <c r="Z645" s="11">
        <f>IFERROR(__xludf.DUMMYFUNCTION("""COMPUTED_VALUE"""),0.0)</f>
        <v>0</v>
      </c>
      <c r="AA645" s="11">
        <f>IFERROR(__xludf.DUMMYFUNCTION("""COMPUTED_VALUE"""),0.0)</f>
        <v>0</v>
      </c>
      <c r="AB645" s="11">
        <f>IFERROR(__xludf.DUMMYFUNCTION("""COMPUTED_VALUE"""),3.0)</f>
        <v>3</v>
      </c>
      <c r="AC645" s="11">
        <f>IFERROR(__xludf.DUMMYFUNCTION("""COMPUTED_VALUE"""),17.0)</f>
        <v>17</v>
      </c>
      <c r="AD645" s="11">
        <f>IFERROR(__xludf.DUMMYFUNCTION("""COMPUTED_VALUE"""),20.0)</f>
        <v>20</v>
      </c>
    </row>
    <row r="646">
      <c r="A646" s="10" t="str">
        <f>IFERROR(__xludf.DUMMYFUNCTION("""COMPUTED_VALUE"""),"Rival")</f>
        <v>Rival</v>
      </c>
      <c r="B646" s="10" t="str">
        <f>IFERROR(__xludf.DUMMYFUNCTION("""COMPUTED_VALUE"""),"RSC007294")</f>
        <v>RSC007294</v>
      </c>
      <c r="C646" s="10" t="str">
        <f>IFERROR(__xludf.DUMMYFUNCTION("""COMPUTED_VALUE"""),"CF0UR_")</f>
        <v>CF0UR_</v>
      </c>
      <c r="D646" s="36" t="str">
        <f>IFERROR(__xludf.DUMMYFUNCTION("""COMPUTED_VALUE"""),"Dracos")</f>
        <v>Dracos</v>
      </c>
      <c r="E646" s="10" t="str">
        <f>IFERROR(__xludf.DUMMYFUNCTION("""COMPUTED_VALUE"""),"Solar")</f>
        <v>Solar</v>
      </c>
      <c r="F646" s="37">
        <f>IFERROR(__xludf.DUMMYFUNCTION("""COMPUTED_VALUE"""),33.281749732217776)</f>
        <v>33.28174973</v>
      </c>
      <c r="G646" s="38">
        <f>IFERROR(__xludf.DUMMYFUNCTION("""COMPUTED_VALUE"""),29.888592713970567)</f>
        <v>29.88859271</v>
      </c>
      <c r="H646" s="38">
        <f>IFERROR(__xludf.DUMMYFUNCTION("""COMPUTED_VALUE"""),31.58517122309417)</f>
        <v>31.58517122</v>
      </c>
      <c r="I646" s="14">
        <f>IFERROR(__xludf.DUMMYFUNCTION("""COMPUTED_VALUE"""),24.0)</f>
        <v>24</v>
      </c>
      <c r="J646" s="11">
        <f>IFERROR(__xludf.DUMMYFUNCTION("IFERROR(FILTER(Stats!$F:$Z,(Stats!$A:$A=$A646)*(Stats!$B:$B=$B646)))"),11.0)</f>
        <v>11</v>
      </c>
      <c r="K646" s="11">
        <f>IFERROR(__xludf.DUMMYFUNCTION("""COMPUTED_VALUE"""),13.0)</f>
        <v>13</v>
      </c>
      <c r="L646" s="12">
        <f>IFERROR(__xludf.DUMMYFUNCTION("""COMPUTED_VALUE"""),0.4583333333333333)</f>
        <v>0.4583333333</v>
      </c>
      <c r="M646" s="11">
        <f>IFERROR(__xludf.DUMMYFUNCTION("""COMPUTED_VALUE"""),3.0)</f>
        <v>3</v>
      </c>
      <c r="N646" s="11">
        <f>IFERROR(__xludf.DUMMYFUNCTION("""COMPUTED_VALUE"""),6738.0)</f>
        <v>6738</v>
      </c>
      <c r="O646" s="13">
        <f>IFERROR(__xludf.DUMMYFUNCTION("""COMPUTED_VALUE"""),12.0)</f>
        <v>12</v>
      </c>
      <c r="P646" s="14">
        <f>IFERROR(__xludf.DUMMYFUNCTION("""COMPUTED_VALUE"""),11.0)</f>
        <v>11</v>
      </c>
      <c r="Q646" s="13">
        <f>IFERROR(__xludf.DUMMYFUNCTION("""COMPUTED_VALUE"""),24.0)</f>
        <v>24</v>
      </c>
      <c r="R646" s="13">
        <f>IFERROR(__xludf.DUMMYFUNCTION("""COMPUTED_VALUE"""),50.0)</f>
        <v>50</v>
      </c>
      <c r="S646" s="15">
        <f>IFERROR(__xludf.DUMMYFUNCTION("""COMPUTED_VALUE"""),0.24)</f>
        <v>0.24</v>
      </c>
      <c r="T646" s="16">
        <f>IFERROR(__xludf.DUMMYFUNCTION("""COMPUTED_VALUE"""),280.75)</f>
        <v>280.75</v>
      </c>
      <c r="U646" s="16">
        <f>IFERROR(__xludf.DUMMYFUNCTION("""COMPUTED_VALUE"""),0.5)</f>
        <v>0.5</v>
      </c>
      <c r="V646" s="16">
        <f>IFERROR(__xludf.DUMMYFUNCTION("""COMPUTED_VALUE"""),0.4583333333333333)</f>
        <v>0.4583333333</v>
      </c>
      <c r="W646" s="16">
        <f>IFERROR(__xludf.DUMMYFUNCTION("""COMPUTED_VALUE"""),1.0)</f>
        <v>1</v>
      </c>
      <c r="X646" s="16">
        <f>IFERROR(__xludf.DUMMYFUNCTION("""COMPUTED_VALUE"""),2.0833333333333335)</f>
        <v>2.083333333</v>
      </c>
      <c r="Y646" s="11">
        <f>IFERROR(__xludf.DUMMYFUNCTION("""COMPUTED_VALUE"""),1.0)</f>
        <v>1</v>
      </c>
      <c r="Z646" s="11">
        <f>IFERROR(__xludf.DUMMYFUNCTION("""COMPUTED_VALUE"""),0.0)</f>
        <v>0</v>
      </c>
      <c r="AA646" s="11">
        <f>IFERROR(__xludf.DUMMYFUNCTION("""COMPUTED_VALUE"""),0.0)</f>
        <v>0</v>
      </c>
      <c r="AB646" s="11">
        <f>IFERROR(__xludf.DUMMYFUNCTION("""COMPUTED_VALUE"""),3.0)</f>
        <v>3</v>
      </c>
      <c r="AC646" s="11">
        <f>IFERROR(__xludf.DUMMYFUNCTION("""COMPUTED_VALUE"""),14.0)</f>
        <v>14</v>
      </c>
      <c r="AD646" s="11">
        <f>IFERROR(__xludf.DUMMYFUNCTION("""COMPUTED_VALUE"""),20.0)</f>
        <v>20</v>
      </c>
    </row>
    <row r="647">
      <c r="A647" s="10" t="str">
        <f>IFERROR(__xludf.DUMMYFUNCTION("""COMPUTED_VALUE"""),"Rival")</f>
        <v>Rival</v>
      </c>
      <c r="B647" s="10" t="str">
        <f>IFERROR(__xludf.DUMMYFUNCTION("""COMPUTED_VALUE"""),"RSC005526")</f>
        <v>RSC005526</v>
      </c>
      <c r="C647" s="10" t="str">
        <f>IFERROR(__xludf.DUMMYFUNCTION("""COMPUTED_VALUE"""),"Vortex3524")</f>
        <v>Vortex3524</v>
      </c>
      <c r="D647" s="36" t="str">
        <f>IFERROR(__xludf.DUMMYFUNCTION("""COMPUTED_VALUE"""),"Phantoms")</f>
        <v>Phantoms</v>
      </c>
      <c r="E647" s="10" t="str">
        <f>IFERROR(__xludf.DUMMYFUNCTION("""COMPUTED_VALUE"""),"Lunar")</f>
        <v>Lunar</v>
      </c>
      <c r="F647" s="37">
        <f>IFERROR(__xludf.DUMMYFUNCTION("""COMPUTED_VALUE"""),30.645530324621976)</f>
        <v>30.64553032</v>
      </c>
      <c r="G647" s="38">
        <f>IFERROR(__xludf.DUMMYFUNCTION("""COMPUTED_VALUE"""),30.485392214195272)</f>
        <v>30.48539221</v>
      </c>
      <c r="H647" s="38">
        <f>IFERROR(__xludf.DUMMYFUNCTION("""COMPUTED_VALUE"""),30.565461269408623)</f>
        <v>30.56546127</v>
      </c>
      <c r="I647" s="14">
        <f>IFERROR(__xludf.DUMMYFUNCTION("""COMPUTED_VALUE"""),44.0)</f>
        <v>44</v>
      </c>
      <c r="J647" s="11">
        <f>IFERROR(__xludf.DUMMYFUNCTION("IFERROR(FILTER(Stats!$F:$Z,(Stats!$A:$A=$A647)*(Stats!$B:$B=$B647)))"),14.0)</f>
        <v>14</v>
      </c>
      <c r="K647" s="11">
        <f>IFERROR(__xludf.DUMMYFUNCTION("""COMPUTED_VALUE"""),30.0)</f>
        <v>30</v>
      </c>
      <c r="L647" s="12">
        <f>IFERROR(__xludf.DUMMYFUNCTION("""COMPUTED_VALUE"""),0.3181818181818182)</f>
        <v>0.3181818182</v>
      </c>
      <c r="M647" s="11">
        <f>IFERROR(__xludf.DUMMYFUNCTION("""COMPUTED_VALUE"""),4.0)</f>
        <v>4</v>
      </c>
      <c r="N647" s="11">
        <f>IFERROR(__xludf.DUMMYFUNCTION("""COMPUTED_VALUE"""),14012.0)</f>
        <v>14012</v>
      </c>
      <c r="O647" s="13">
        <f>IFERROR(__xludf.DUMMYFUNCTION("""COMPUTED_VALUE"""),33.0)</f>
        <v>33</v>
      </c>
      <c r="P647" s="14">
        <f>IFERROR(__xludf.DUMMYFUNCTION("""COMPUTED_VALUE"""),13.0)</f>
        <v>13</v>
      </c>
      <c r="Q647" s="13">
        <f>IFERROR(__xludf.DUMMYFUNCTION("""COMPUTED_VALUE"""),47.0)</f>
        <v>47</v>
      </c>
      <c r="R647" s="13">
        <f>IFERROR(__xludf.DUMMYFUNCTION("""COMPUTED_VALUE"""),104.0)</f>
        <v>104</v>
      </c>
      <c r="S647" s="15">
        <f>IFERROR(__xludf.DUMMYFUNCTION("""COMPUTED_VALUE"""),0.3173076923076923)</f>
        <v>0.3173076923</v>
      </c>
      <c r="T647" s="16">
        <f>IFERROR(__xludf.DUMMYFUNCTION("""COMPUTED_VALUE"""),318.45454545454544)</f>
        <v>318.4545455</v>
      </c>
      <c r="U647" s="16">
        <f>IFERROR(__xludf.DUMMYFUNCTION("""COMPUTED_VALUE"""),0.75)</f>
        <v>0.75</v>
      </c>
      <c r="V647" s="16">
        <f>IFERROR(__xludf.DUMMYFUNCTION("""COMPUTED_VALUE"""),0.29545454545454547)</f>
        <v>0.2954545455</v>
      </c>
      <c r="W647" s="16">
        <f>IFERROR(__xludf.DUMMYFUNCTION("""COMPUTED_VALUE"""),1.0681818181818181)</f>
        <v>1.068181818</v>
      </c>
      <c r="X647" s="16">
        <f>IFERROR(__xludf.DUMMYFUNCTION("""COMPUTED_VALUE"""),2.3636363636363638)</f>
        <v>2.363636364</v>
      </c>
      <c r="Y647" s="11">
        <f>IFERROR(__xludf.DUMMYFUNCTION("""COMPUTED_VALUE"""),1.0)</f>
        <v>1</v>
      </c>
      <c r="Z647" s="11">
        <f>IFERROR(__xludf.DUMMYFUNCTION("""COMPUTED_VALUE"""),3.0)</f>
        <v>3</v>
      </c>
      <c r="AA647" s="11">
        <f>IFERROR(__xludf.DUMMYFUNCTION("""COMPUTED_VALUE"""),0.0)</f>
        <v>0</v>
      </c>
      <c r="AB647" s="11">
        <f>IFERROR(__xludf.DUMMYFUNCTION("""COMPUTED_VALUE"""),5.0)</f>
        <v>5</v>
      </c>
      <c r="AC647" s="11">
        <f>IFERROR(__xludf.DUMMYFUNCTION("""COMPUTED_VALUE"""),33.0)</f>
        <v>33</v>
      </c>
      <c r="AD647" s="11">
        <f>IFERROR(__xludf.DUMMYFUNCTION("""COMPUTED_VALUE"""),53.0)</f>
        <v>53</v>
      </c>
    </row>
    <row r="648">
      <c r="A648" s="10" t="str">
        <f>IFERROR(__xludf.DUMMYFUNCTION("""COMPUTED_VALUE"""),"Rival")</f>
        <v>Rival</v>
      </c>
      <c r="B648" s="10" t="str">
        <f>IFERROR(__xludf.DUMMYFUNCTION("""COMPUTED_VALUE"""),"RSC006643")</f>
        <v>RSC006643</v>
      </c>
      <c r="C648" s="10" t="str">
        <f>IFERROR(__xludf.DUMMYFUNCTION("""COMPUTED_VALUE"""),"Napkhan")</f>
        <v>Napkhan</v>
      </c>
      <c r="D648" s="36" t="str">
        <f>IFERROR(__xludf.DUMMYFUNCTION("""COMPUTED_VALUE"""),"Ruthless Racket")</f>
        <v>Ruthless Racket</v>
      </c>
      <c r="E648" s="10" t="str">
        <f>IFERROR(__xludf.DUMMYFUNCTION("""COMPUTED_VALUE"""),"Lunar")</f>
        <v>Lunar</v>
      </c>
      <c r="F648" s="37">
        <f>IFERROR(__xludf.DUMMYFUNCTION("""COMPUTED_VALUE"""),35.612443955867406)</f>
        <v>35.61244396</v>
      </c>
      <c r="G648" s="38">
        <f>IFERROR(__xludf.DUMMYFUNCTION("""COMPUTED_VALUE"""),24.6257697442054)</f>
        <v>24.62576974</v>
      </c>
      <c r="H648" s="38">
        <f>IFERROR(__xludf.DUMMYFUNCTION("""COMPUTED_VALUE"""),30.119106850036403)</f>
        <v>30.11910685</v>
      </c>
      <c r="I648" s="14">
        <f>IFERROR(__xludf.DUMMYFUNCTION("""COMPUTED_VALUE"""),22.0)</f>
        <v>22</v>
      </c>
      <c r="J648" s="11">
        <f>IFERROR(__xludf.DUMMYFUNCTION("IFERROR(FILTER(Stats!$F:$Z,(Stats!$A:$A=$A648)*(Stats!$B:$B=$B648)))"),7.0)</f>
        <v>7</v>
      </c>
      <c r="K648" s="11">
        <f>IFERROR(__xludf.DUMMYFUNCTION("""COMPUTED_VALUE"""),15.0)</f>
        <v>15</v>
      </c>
      <c r="L648" s="12">
        <f>IFERROR(__xludf.DUMMYFUNCTION("""COMPUTED_VALUE"""),0.3181818181818182)</f>
        <v>0.3181818182</v>
      </c>
      <c r="M648" s="11">
        <f>IFERROR(__xludf.DUMMYFUNCTION("""COMPUTED_VALUE"""),3.0)</f>
        <v>3</v>
      </c>
      <c r="N648" s="11">
        <f>IFERROR(__xludf.DUMMYFUNCTION("""COMPUTED_VALUE"""),6600.0)</f>
        <v>6600</v>
      </c>
      <c r="O648" s="13">
        <f>IFERROR(__xludf.DUMMYFUNCTION("""COMPUTED_VALUE"""),12.0)</f>
        <v>12</v>
      </c>
      <c r="P648" s="14">
        <f>IFERROR(__xludf.DUMMYFUNCTION("""COMPUTED_VALUE"""),9.0)</f>
        <v>9</v>
      </c>
      <c r="Q648" s="13">
        <f>IFERROR(__xludf.DUMMYFUNCTION("""COMPUTED_VALUE"""),29.0)</f>
        <v>29</v>
      </c>
      <c r="R648" s="13">
        <f>IFERROR(__xludf.DUMMYFUNCTION("""COMPUTED_VALUE"""),42.0)</f>
        <v>42</v>
      </c>
      <c r="S648" s="15">
        <f>IFERROR(__xludf.DUMMYFUNCTION("""COMPUTED_VALUE"""),0.2857142857142857)</f>
        <v>0.2857142857</v>
      </c>
      <c r="T648" s="16">
        <f>IFERROR(__xludf.DUMMYFUNCTION("""COMPUTED_VALUE"""),300.0)</f>
        <v>300</v>
      </c>
      <c r="U648" s="16">
        <f>IFERROR(__xludf.DUMMYFUNCTION("""COMPUTED_VALUE"""),0.5454545454545454)</f>
        <v>0.5454545455</v>
      </c>
      <c r="V648" s="16">
        <f>IFERROR(__xludf.DUMMYFUNCTION("""COMPUTED_VALUE"""),0.4090909090909091)</f>
        <v>0.4090909091</v>
      </c>
      <c r="W648" s="16">
        <f>IFERROR(__xludf.DUMMYFUNCTION("""COMPUTED_VALUE"""),1.3181818181818181)</f>
        <v>1.318181818</v>
      </c>
      <c r="X648" s="16">
        <f>IFERROR(__xludf.DUMMYFUNCTION("""COMPUTED_VALUE"""),1.9090909090909092)</f>
        <v>1.909090909</v>
      </c>
      <c r="Y648" s="11">
        <f>IFERROR(__xludf.DUMMYFUNCTION("""COMPUTED_VALUE"""),3.0)</f>
        <v>3</v>
      </c>
      <c r="Z648" s="11">
        <f>IFERROR(__xludf.DUMMYFUNCTION("""COMPUTED_VALUE"""),2.0)</f>
        <v>2</v>
      </c>
      <c r="AA648" s="11">
        <f>IFERROR(__xludf.DUMMYFUNCTION("""COMPUTED_VALUE"""),0.0)</f>
        <v>0</v>
      </c>
      <c r="AB648" s="11">
        <f>IFERROR(__xludf.DUMMYFUNCTION("""COMPUTED_VALUE"""),1.0)</f>
        <v>1</v>
      </c>
      <c r="AC648" s="11">
        <f>IFERROR(__xludf.DUMMYFUNCTION("""COMPUTED_VALUE"""),21.0)</f>
        <v>21</v>
      </c>
      <c r="AD648" s="11">
        <f>IFERROR(__xludf.DUMMYFUNCTION("""COMPUTED_VALUE"""),18.0)</f>
        <v>18</v>
      </c>
    </row>
    <row r="649">
      <c r="A649" s="10" t="str">
        <f>IFERROR(__xludf.DUMMYFUNCTION("""COMPUTED_VALUE"""),"Rival")</f>
        <v>Rival</v>
      </c>
      <c r="B649" s="10" t="str">
        <f>IFERROR(__xludf.DUMMYFUNCTION("""COMPUTED_VALUE"""),"RSC005521")</f>
        <v>RSC005521</v>
      </c>
      <c r="C649" s="10" t="str">
        <f>IFERROR(__xludf.DUMMYFUNCTION("""COMPUTED_VALUE"""),"Mr. MeOnDisplay")</f>
        <v>Mr. MeOnDisplay</v>
      </c>
      <c r="D649" s="36" t="str">
        <f>IFERROR(__xludf.DUMMYFUNCTION("""COMPUTED_VALUE"""),"Heavy Metal
Lacuna
Dracos
Black Ice
Barracudas")</f>
        <v>Heavy Metal
Lacuna
Dracos
Black Ice
Barracudas</v>
      </c>
      <c r="E649" s="10" t="str">
        <f>IFERROR(__xludf.DUMMYFUNCTION("""COMPUTED_VALUE"""),"Lunar
Solar
Solar
Solar
Lunar")</f>
        <v>Lunar
Solar
Solar
Solar
Lunar</v>
      </c>
      <c r="F649" s="37">
        <f>IFERROR(__xludf.DUMMYFUNCTION("""COMPUTED_VALUE"""),33.73384739590894)</f>
        <v>33.7338474</v>
      </c>
      <c r="G649" s="38">
        <f>IFERROR(__xludf.DUMMYFUNCTION("""COMPUTED_VALUE"""),25.890703881080917)</f>
        <v>25.89070388</v>
      </c>
      <c r="H649" s="38">
        <f>IFERROR(__xludf.DUMMYFUNCTION("""COMPUTED_VALUE"""),29.812275638494928)</f>
        <v>29.81227564</v>
      </c>
      <c r="I649" s="14">
        <f>IFERROR(__xludf.DUMMYFUNCTION("""COMPUTED_VALUE"""),24.0)</f>
        <v>24</v>
      </c>
      <c r="J649" s="11">
        <f>IFERROR(__xludf.DUMMYFUNCTION("IFERROR(FILTER(Stats!$F:$Z,(Stats!$A:$A=$A649)*(Stats!$B:$B=$B649)))"),10.0)</f>
        <v>10</v>
      </c>
      <c r="K649" s="11">
        <f>IFERROR(__xludf.DUMMYFUNCTION("""COMPUTED_VALUE"""),14.0)</f>
        <v>14</v>
      </c>
      <c r="L649" s="12">
        <f>IFERROR(__xludf.DUMMYFUNCTION("""COMPUTED_VALUE"""),0.4166666666666667)</f>
        <v>0.4166666667</v>
      </c>
      <c r="M649" s="11">
        <f>IFERROR(__xludf.DUMMYFUNCTION("""COMPUTED_VALUE"""),0.0)</f>
        <v>0</v>
      </c>
      <c r="N649" s="11">
        <f>IFERROR(__xludf.DUMMYFUNCTION("""COMPUTED_VALUE"""),6604.0)</f>
        <v>6604</v>
      </c>
      <c r="O649" s="13">
        <f>IFERROR(__xludf.DUMMYFUNCTION("""COMPUTED_VALUE"""),11.0)</f>
        <v>11</v>
      </c>
      <c r="P649" s="14">
        <f>IFERROR(__xludf.DUMMYFUNCTION("""COMPUTED_VALUE"""),10.0)</f>
        <v>10</v>
      </c>
      <c r="Q649" s="13">
        <f>IFERROR(__xludf.DUMMYFUNCTION("""COMPUTED_VALUE"""),25.0)</f>
        <v>25</v>
      </c>
      <c r="R649" s="13">
        <f>IFERROR(__xludf.DUMMYFUNCTION("""COMPUTED_VALUE"""),49.0)</f>
        <v>49</v>
      </c>
      <c r="S649" s="15">
        <f>IFERROR(__xludf.DUMMYFUNCTION("""COMPUTED_VALUE"""),0.22448979591836735)</f>
        <v>0.2244897959</v>
      </c>
      <c r="T649" s="16">
        <f>IFERROR(__xludf.DUMMYFUNCTION("""COMPUTED_VALUE"""),275.1666666666667)</f>
        <v>275.1666667</v>
      </c>
      <c r="U649" s="16">
        <f>IFERROR(__xludf.DUMMYFUNCTION("""COMPUTED_VALUE"""),0.4583333333333333)</f>
        <v>0.4583333333</v>
      </c>
      <c r="V649" s="16">
        <f>IFERROR(__xludf.DUMMYFUNCTION("""COMPUTED_VALUE"""),0.4166666666666667)</f>
        <v>0.4166666667</v>
      </c>
      <c r="W649" s="16">
        <f>IFERROR(__xludf.DUMMYFUNCTION("""COMPUTED_VALUE"""),1.0416666666666667)</f>
        <v>1.041666667</v>
      </c>
      <c r="X649" s="16">
        <f>IFERROR(__xludf.DUMMYFUNCTION("""COMPUTED_VALUE"""),2.0416666666666665)</f>
        <v>2.041666667</v>
      </c>
      <c r="Y649" s="11">
        <f>IFERROR(__xludf.DUMMYFUNCTION("""COMPUTED_VALUE"""),2.0)</f>
        <v>2</v>
      </c>
      <c r="Z649" s="11">
        <f>IFERROR(__xludf.DUMMYFUNCTION("""COMPUTED_VALUE"""),0.0)</f>
        <v>0</v>
      </c>
      <c r="AA649" s="11">
        <f>IFERROR(__xludf.DUMMYFUNCTION("""COMPUTED_VALUE"""),1.0)</f>
        <v>1</v>
      </c>
      <c r="AB649" s="11">
        <f>IFERROR(__xludf.DUMMYFUNCTION("""COMPUTED_VALUE"""),3.0)</f>
        <v>3</v>
      </c>
      <c r="AC649" s="11">
        <f>IFERROR(__xludf.DUMMYFUNCTION("""COMPUTED_VALUE"""),23.0)</f>
        <v>23</v>
      </c>
      <c r="AD649" s="11">
        <f>IFERROR(__xludf.DUMMYFUNCTION("""COMPUTED_VALUE"""),22.0)</f>
        <v>22</v>
      </c>
    </row>
    <row r="650">
      <c r="A650" s="10" t="str">
        <f>IFERROR(__xludf.DUMMYFUNCTION("""COMPUTED_VALUE"""),"Rival")</f>
        <v>Rival</v>
      </c>
      <c r="B650" s="10" t="str">
        <f>IFERROR(__xludf.DUMMYFUNCTION("""COMPUTED_VALUE"""),"RSC007824")</f>
        <v>RSC007824</v>
      </c>
      <c r="C650" s="10" t="str">
        <f>IFERROR(__xludf.DUMMYFUNCTION("""COMPUTED_VALUE"""),"Akki402")</f>
        <v>Akki402</v>
      </c>
      <c r="D650" s="36" t="str">
        <f>IFERROR(__xludf.DUMMYFUNCTION("""COMPUTED_VALUE"""),"Quasars
Lacuna
Wind
Samurai
Phoenix")</f>
        <v>Quasars
Lacuna
Wind
Samurai
Phoenix</v>
      </c>
      <c r="E650" s="10" t="str">
        <f>IFERROR(__xludf.DUMMYFUNCTION("""COMPUTED_VALUE"""),"Lunar
Solar
Solar
Lunar
Solar")</f>
        <v>Lunar
Solar
Solar
Lunar
Solar</v>
      </c>
      <c r="F650" s="37">
        <f>IFERROR(__xludf.DUMMYFUNCTION("""COMPUTED_VALUE"""),28.252323964852767)</f>
        <v>28.25232396</v>
      </c>
      <c r="G650" s="38">
        <f>IFERROR(__xludf.DUMMYFUNCTION("""COMPUTED_VALUE"""),27.39028193388465)</f>
        <v>27.39028193</v>
      </c>
      <c r="H650" s="38">
        <f>IFERROR(__xludf.DUMMYFUNCTION("""COMPUTED_VALUE"""),27.821302949368707)</f>
        <v>27.82130295</v>
      </c>
      <c r="I650" s="14">
        <f>IFERROR(__xludf.DUMMYFUNCTION("""COMPUTED_VALUE"""),28.0)</f>
        <v>28</v>
      </c>
      <c r="J650" s="11">
        <f>IFERROR(__xludf.DUMMYFUNCTION("IFERROR(FILTER(Stats!$F:$Z,(Stats!$A:$A=$A650)*(Stats!$B:$B=$B650)))"),13.0)</f>
        <v>13</v>
      </c>
      <c r="K650" s="11">
        <f>IFERROR(__xludf.DUMMYFUNCTION("""COMPUTED_VALUE"""),15.0)</f>
        <v>15</v>
      </c>
      <c r="L650" s="12">
        <f>IFERROR(__xludf.DUMMYFUNCTION("""COMPUTED_VALUE"""),0.4642857142857143)</f>
        <v>0.4642857143</v>
      </c>
      <c r="M650" s="11">
        <f>IFERROR(__xludf.DUMMYFUNCTION("""COMPUTED_VALUE"""),2.0)</f>
        <v>2</v>
      </c>
      <c r="N650" s="11">
        <f>IFERROR(__xludf.DUMMYFUNCTION("""COMPUTED_VALUE"""),8056.0)</f>
        <v>8056</v>
      </c>
      <c r="O650" s="13">
        <f>IFERROR(__xludf.DUMMYFUNCTION("""COMPUTED_VALUE"""),10.0)</f>
        <v>10</v>
      </c>
      <c r="P650" s="14">
        <f>IFERROR(__xludf.DUMMYFUNCTION("""COMPUTED_VALUE"""),16.0)</f>
        <v>16</v>
      </c>
      <c r="Q650" s="13">
        <f>IFERROR(__xludf.DUMMYFUNCTION("""COMPUTED_VALUE"""),38.0)</f>
        <v>38</v>
      </c>
      <c r="R650" s="13">
        <f>IFERROR(__xludf.DUMMYFUNCTION("""COMPUTED_VALUE"""),45.0)</f>
        <v>45</v>
      </c>
      <c r="S650" s="15">
        <f>IFERROR(__xludf.DUMMYFUNCTION("""COMPUTED_VALUE"""),0.2222222222222222)</f>
        <v>0.2222222222</v>
      </c>
      <c r="T650" s="16">
        <f>IFERROR(__xludf.DUMMYFUNCTION("""COMPUTED_VALUE"""),287.7142857142857)</f>
        <v>287.7142857</v>
      </c>
      <c r="U650" s="16">
        <f>IFERROR(__xludf.DUMMYFUNCTION("""COMPUTED_VALUE"""),0.35714285714285715)</f>
        <v>0.3571428571</v>
      </c>
      <c r="V650" s="16">
        <f>IFERROR(__xludf.DUMMYFUNCTION("""COMPUTED_VALUE"""),0.5714285714285714)</f>
        <v>0.5714285714</v>
      </c>
      <c r="W650" s="16">
        <f>IFERROR(__xludf.DUMMYFUNCTION("""COMPUTED_VALUE"""),1.3571428571428572)</f>
        <v>1.357142857</v>
      </c>
      <c r="X650" s="16">
        <f>IFERROR(__xludf.DUMMYFUNCTION("""COMPUTED_VALUE"""),1.6071428571428572)</f>
        <v>1.607142857</v>
      </c>
      <c r="Y650" s="11">
        <f>IFERROR(__xludf.DUMMYFUNCTION("""COMPUTED_VALUE"""),2.0)</f>
        <v>2</v>
      </c>
      <c r="Z650" s="11">
        <f>IFERROR(__xludf.DUMMYFUNCTION("""COMPUTED_VALUE"""),0.0)</f>
        <v>0</v>
      </c>
      <c r="AA650" s="11">
        <f>IFERROR(__xludf.DUMMYFUNCTION("""COMPUTED_VALUE"""),0.0)</f>
        <v>0</v>
      </c>
      <c r="AB650" s="11">
        <f>IFERROR(__xludf.DUMMYFUNCTION("""COMPUTED_VALUE"""),1.0)</f>
        <v>1</v>
      </c>
      <c r="AC650" s="11">
        <f>IFERROR(__xludf.DUMMYFUNCTION("""COMPUTED_VALUE"""),48.0)</f>
        <v>48</v>
      </c>
      <c r="AD650" s="11">
        <f>IFERROR(__xludf.DUMMYFUNCTION("""COMPUTED_VALUE"""),22.0)</f>
        <v>22</v>
      </c>
    </row>
    <row r="651">
      <c r="A651" s="10" t="str">
        <f>IFERROR(__xludf.DUMMYFUNCTION("""COMPUTED_VALUE"""),"Rival")</f>
        <v>Rival</v>
      </c>
      <c r="B651" s="10" t="str">
        <f>IFERROR(__xludf.DUMMYFUNCTION("""COMPUTED_VALUE"""),"RSC008045")</f>
        <v>RSC008045</v>
      </c>
      <c r="C651" s="10" t="str">
        <f>IFERROR(__xludf.DUMMYFUNCTION("""COMPUTED_VALUE"""),"Uncaringfool230")</f>
        <v>Uncaringfool230</v>
      </c>
      <c r="D651" s="36" t="str">
        <f>IFERROR(__xludf.DUMMYFUNCTION("""COMPUTED_VALUE"""),"Scramjets")</f>
        <v>Scramjets</v>
      </c>
      <c r="E651" s="10" t="str">
        <f>IFERROR(__xludf.DUMMYFUNCTION("""COMPUTED_VALUE"""),"Lunar")</f>
        <v>Lunar</v>
      </c>
      <c r="F651" s="37">
        <f>IFERROR(__xludf.DUMMYFUNCTION("""COMPUTED_VALUE"""),27.099703949786544)</f>
        <v>27.09970395</v>
      </c>
      <c r="G651" s="38">
        <f>IFERROR(__xludf.DUMMYFUNCTION("""COMPUTED_VALUE"""),26.201700284628235)</f>
        <v>26.20170028</v>
      </c>
      <c r="H651" s="38">
        <f>IFERROR(__xludf.DUMMYFUNCTION("""COMPUTED_VALUE"""),26.650702117207388)</f>
        <v>26.65070212</v>
      </c>
      <c r="I651" s="14">
        <f>IFERROR(__xludf.DUMMYFUNCTION("""COMPUTED_VALUE"""),6.0)</f>
        <v>6</v>
      </c>
      <c r="J651" s="11">
        <f>IFERROR(__xludf.DUMMYFUNCTION("IFERROR(FILTER(Stats!$F:$Z,(Stats!$A:$A=$A651)*(Stats!$B:$B=$B651)))"),1.0)</f>
        <v>1</v>
      </c>
      <c r="K651" s="11">
        <f>IFERROR(__xludf.DUMMYFUNCTION("""COMPUTED_VALUE"""),5.0)</f>
        <v>5</v>
      </c>
      <c r="L651" s="12">
        <f>IFERROR(__xludf.DUMMYFUNCTION("""COMPUTED_VALUE"""),0.16666666666666666)</f>
        <v>0.1666666667</v>
      </c>
      <c r="M651" s="11">
        <f>IFERROR(__xludf.DUMMYFUNCTION("""COMPUTED_VALUE"""),0.0)</f>
        <v>0</v>
      </c>
      <c r="N651" s="11">
        <f>IFERROR(__xludf.DUMMYFUNCTION("""COMPUTED_VALUE"""),1714.0)</f>
        <v>1714</v>
      </c>
      <c r="O651" s="13">
        <f>IFERROR(__xludf.DUMMYFUNCTION("""COMPUTED_VALUE"""),1.0)</f>
        <v>1</v>
      </c>
      <c r="P651" s="14">
        <f>IFERROR(__xludf.DUMMYFUNCTION("""COMPUTED_VALUE"""),4.0)</f>
        <v>4</v>
      </c>
      <c r="Q651" s="13">
        <f>IFERROR(__xludf.DUMMYFUNCTION("""COMPUTED_VALUE"""),7.0)</f>
        <v>7</v>
      </c>
      <c r="R651" s="13">
        <f>IFERROR(__xludf.DUMMYFUNCTION("""COMPUTED_VALUE"""),14.0)</f>
        <v>14</v>
      </c>
      <c r="S651" s="15">
        <f>IFERROR(__xludf.DUMMYFUNCTION("""COMPUTED_VALUE"""),0.07142857142857142)</f>
        <v>0.07142857143</v>
      </c>
      <c r="T651" s="16">
        <f>IFERROR(__xludf.DUMMYFUNCTION("""COMPUTED_VALUE"""),285.6666666666667)</f>
        <v>285.6666667</v>
      </c>
      <c r="U651" s="16">
        <f>IFERROR(__xludf.DUMMYFUNCTION("""COMPUTED_VALUE"""),0.16666666666666666)</f>
        <v>0.1666666667</v>
      </c>
      <c r="V651" s="16">
        <f>IFERROR(__xludf.DUMMYFUNCTION("""COMPUTED_VALUE"""),0.6666666666666666)</f>
        <v>0.6666666667</v>
      </c>
      <c r="W651" s="16">
        <f>IFERROR(__xludf.DUMMYFUNCTION("""COMPUTED_VALUE"""),1.1666666666666667)</f>
        <v>1.166666667</v>
      </c>
      <c r="X651" s="16">
        <f>IFERROR(__xludf.DUMMYFUNCTION("""COMPUTED_VALUE"""),2.3333333333333335)</f>
        <v>2.333333333</v>
      </c>
      <c r="Y651" s="11">
        <f>IFERROR(__xludf.DUMMYFUNCTION("""COMPUTED_VALUE"""),0.0)</f>
        <v>0</v>
      </c>
      <c r="Z651" s="11">
        <f>IFERROR(__xludf.DUMMYFUNCTION("""COMPUTED_VALUE"""),0.0)</f>
        <v>0</v>
      </c>
      <c r="AA651" s="11">
        <f>IFERROR(__xludf.DUMMYFUNCTION("""COMPUTED_VALUE"""),0.0)</f>
        <v>0</v>
      </c>
      <c r="AB651" s="11">
        <f>IFERROR(__xludf.DUMMYFUNCTION("""COMPUTED_VALUE"""),0.0)</f>
        <v>0</v>
      </c>
      <c r="AC651" s="11">
        <f>IFERROR(__xludf.DUMMYFUNCTION("""COMPUTED_VALUE"""),4.0)</f>
        <v>4</v>
      </c>
      <c r="AD651" s="11">
        <f>IFERROR(__xludf.DUMMYFUNCTION("""COMPUTED_VALUE"""),2.0)</f>
        <v>2</v>
      </c>
    </row>
    <row r="652">
      <c r="A652" s="10" t="str">
        <f>IFERROR(__xludf.DUMMYFUNCTION("""COMPUTED_VALUE"""),"Rival")</f>
        <v>Rival</v>
      </c>
      <c r="B652" s="10" t="str">
        <f>IFERROR(__xludf.DUMMYFUNCTION("""COMPUTED_VALUE"""),"RSC002320")</f>
        <v>RSC002320</v>
      </c>
      <c r="C652" s="10" t="str">
        <f>IFERROR(__xludf.DUMMYFUNCTION("""COMPUTED_VALUE"""),"JoeExotic")</f>
        <v>JoeExotic</v>
      </c>
      <c r="D652" s="36" t="str">
        <f>IFERROR(__xludf.DUMMYFUNCTION("""COMPUTED_VALUE"""),"Polar Ice")</f>
        <v>Polar Ice</v>
      </c>
      <c r="E652" s="10" t="str">
        <f>IFERROR(__xludf.DUMMYFUNCTION("""COMPUTED_VALUE"""),"Solar")</f>
        <v>Solar</v>
      </c>
      <c r="F652" s="37">
        <f>IFERROR(__xludf.DUMMYFUNCTION("""COMPUTED_VALUE"""),30.953746008574658)</f>
        <v>30.95374601</v>
      </c>
      <c r="G652" s="38">
        <f>IFERROR(__xludf.DUMMYFUNCTION("""COMPUTED_VALUE"""),21.060675857297916)</f>
        <v>21.06067586</v>
      </c>
      <c r="H652" s="38">
        <f>IFERROR(__xludf.DUMMYFUNCTION("""COMPUTED_VALUE"""),26.00721093293629)</f>
        <v>26.00721093</v>
      </c>
      <c r="I652" s="14">
        <f>IFERROR(__xludf.DUMMYFUNCTION("""COMPUTED_VALUE"""),54.0)</f>
        <v>54</v>
      </c>
      <c r="J652" s="11">
        <f>IFERROR(__xludf.DUMMYFUNCTION("IFERROR(FILTER(Stats!$F:$Z,(Stats!$A:$A=$A652)*(Stats!$B:$B=$B652)))"),14.0)</f>
        <v>14</v>
      </c>
      <c r="K652" s="11">
        <f>IFERROR(__xludf.DUMMYFUNCTION("""COMPUTED_VALUE"""),40.0)</f>
        <v>40</v>
      </c>
      <c r="L652" s="12">
        <f>IFERROR(__xludf.DUMMYFUNCTION("""COMPUTED_VALUE"""),0.25925925925925924)</f>
        <v>0.2592592593</v>
      </c>
      <c r="M652" s="11">
        <f>IFERROR(__xludf.DUMMYFUNCTION("""COMPUTED_VALUE"""),3.0)</f>
        <v>3</v>
      </c>
      <c r="N652" s="11">
        <f>IFERROR(__xludf.DUMMYFUNCTION("""COMPUTED_VALUE"""),16216.0)</f>
        <v>16216</v>
      </c>
      <c r="O652" s="13">
        <f>IFERROR(__xludf.DUMMYFUNCTION("""COMPUTED_VALUE"""),30.0)</f>
        <v>30</v>
      </c>
      <c r="P652" s="14">
        <f>IFERROR(__xludf.DUMMYFUNCTION("""COMPUTED_VALUE"""),18.0)</f>
        <v>18</v>
      </c>
      <c r="Q652" s="13">
        <f>IFERROR(__xludf.DUMMYFUNCTION("""COMPUTED_VALUE"""),69.0)</f>
        <v>69</v>
      </c>
      <c r="R652" s="13">
        <f>IFERROR(__xludf.DUMMYFUNCTION("""COMPUTED_VALUE"""),111.0)</f>
        <v>111</v>
      </c>
      <c r="S652" s="15">
        <f>IFERROR(__xludf.DUMMYFUNCTION("""COMPUTED_VALUE"""),0.2702702702702703)</f>
        <v>0.2702702703</v>
      </c>
      <c r="T652" s="16">
        <f>IFERROR(__xludf.DUMMYFUNCTION("""COMPUTED_VALUE"""),300.2962962962963)</f>
        <v>300.2962963</v>
      </c>
      <c r="U652" s="16">
        <f>IFERROR(__xludf.DUMMYFUNCTION("""COMPUTED_VALUE"""),0.5555555555555556)</f>
        <v>0.5555555556</v>
      </c>
      <c r="V652" s="16">
        <f>IFERROR(__xludf.DUMMYFUNCTION("""COMPUTED_VALUE"""),0.3333333333333333)</f>
        <v>0.3333333333</v>
      </c>
      <c r="W652" s="16">
        <f>IFERROR(__xludf.DUMMYFUNCTION("""COMPUTED_VALUE"""),1.2777777777777777)</f>
        <v>1.277777778</v>
      </c>
      <c r="X652" s="16">
        <f>IFERROR(__xludf.DUMMYFUNCTION("""COMPUTED_VALUE"""),2.0555555555555554)</f>
        <v>2.055555556</v>
      </c>
      <c r="Y652" s="11">
        <f>IFERROR(__xludf.DUMMYFUNCTION("""COMPUTED_VALUE"""),6.0)</f>
        <v>6</v>
      </c>
      <c r="Z652" s="11">
        <f>IFERROR(__xludf.DUMMYFUNCTION("""COMPUTED_VALUE"""),0.0)</f>
        <v>0</v>
      </c>
      <c r="AA652" s="11">
        <f>IFERROR(__xludf.DUMMYFUNCTION("""COMPUTED_VALUE"""),0.0)</f>
        <v>0</v>
      </c>
      <c r="AB652" s="11">
        <f>IFERROR(__xludf.DUMMYFUNCTION("""COMPUTED_VALUE"""),8.0)</f>
        <v>8</v>
      </c>
      <c r="AC652" s="11">
        <f>IFERROR(__xludf.DUMMYFUNCTION("""COMPUTED_VALUE"""),35.0)</f>
        <v>35</v>
      </c>
      <c r="AD652" s="11">
        <f>IFERROR(__xludf.DUMMYFUNCTION("""COMPUTED_VALUE"""),52.0)</f>
        <v>52</v>
      </c>
    </row>
    <row r="653">
      <c r="A653" s="10" t="str">
        <f>IFERROR(__xludf.DUMMYFUNCTION("""COMPUTED_VALUE"""),"Rival")</f>
        <v>Rival</v>
      </c>
      <c r="B653" s="10" t="str">
        <f>IFERROR(__xludf.DUMMYFUNCTION("""COMPUTED_VALUE"""),"RSC005253")</f>
        <v>RSC005253</v>
      </c>
      <c r="C653" s="10" t="str">
        <f>IFERROR(__xludf.DUMMYFUNCTION("""COMPUTED_VALUE"""),"dinnindu")</f>
        <v>dinnindu</v>
      </c>
      <c r="D653" s="36" t="str">
        <f>IFERROR(__xludf.DUMMYFUNCTION("""COMPUTED_VALUE"""),"Wind")</f>
        <v>Wind</v>
      </c>
      <c r="E653" s="10" t="str">
        <f>IFERROR(__xludf.DUMMYFUNCTION("""COMPUTED_VALUE"""),"Solar")</f>
        <v>Solar</v>
      </c>
      <c r="F653" s="37">
        <f>IFERROR(__xludf.DUMMYFUNCTION("""COMPUTED_VALUE"""),23.234138843397943)</f>
        <v>23.23413884</v>
      </c>
      <c r="G653" s="38">
        <f>IFERROR(__xludf.DUMMYFUNCTION("""COMPUTED_VALUE"""),28.63135087060053)</f>
        <v>28.63135087</v>
      </c>
      <c r="H653" s="38">
        <f>IFERROR(__xludf.DUMMYFUNCTION("""COMPUTED_VALUE"""),25.932744856999236)</f>
        <v>25.93274486</v>
      </c>
      <c r="I653" s="14">
        <f>IFERROR(__xludf.DUMMYFUNCTION("""COMPUTED_VALUE"""),18.0)</f>
        <v>18</v>
      </c>
      <c r="J653" s="11">
        <f>IFERROR(__xludf.DUMMYFUNCTION("IFERROR(FILTER(Stats!$F:$Z,(Stats!$A:$A=$A653)*(Stats!$B:$B=$B653)))"),8.0)</f>
        <v>8</v>
      </c>
      <c r="K653" s="11">
        <f>IFERROR(__xludf.DUMMYFUNCTION("""COMPUTED_VALUE"""),10.0)</f>
        <v>10</v>
      </c>
      <c r="L653" s="12">
        <f>IFERROR(__xludf.DUMMYFUNCTION("""COMPUTED_VALUE"""),0.4444444444444444)</f>
        <v>0.4444444444</v>
      </c>
      <c r="M653" s="11">
        <f>IFERROR(__xludf.DUMMYFUNCTION("""COMPUTED_VALUE"""),2.0)</f>
        <v>2</v>
      </c>
      <c r="N653" s="11">
        <f>IFERROR(__xludf.DUMMYFUNCTION("""COMPUTED_VALUE"""),4827.0)</f>
        <v>4827</v>
      </c>
      <c r="O653" s="13">
        <f>IFERROR(__xludf.DUMMYFUNCTION("""COMPUTED_VALUE"""),12.0)</f>
        <v>12</v>
      </c>
      <c r="P653" s="14">
        <f>IFERROR(__xludf.DUMMYFUNCTION("""COMPUTED_VALUE"""),8.0)</f>
        <v>8</v>
      </c>
      <c r="Q653" s="13">
        <f>IFERROR(__xludf.DUMMYFUNCTION("""COMPUTED_VALUE"""),14.0)</f>
        <v>14</v>
      </c>
      <c r="R653" s="13">
        <f>IFERROR(__xludf.DUMMYFUNCTION("""COMPUTED_VALUE"""),30.0)</f>
        <v>30</v>
      </c>
      <c r="S653" s="15">
        <f>IFERROR(__xludf.DUMMYFUNCTION("""COMPUTED_VALUE"""),0.4)</f>
        <v>0.4</v>
      </c>
      <c r="T653" s="16">
        <f>IFERROR(__xludf.DUMMYFUNCTION("""COMPUTED_VALUE"""),268.1666666666667)</f>
        <v>268.1666667</v>
      </c>
      <c r="U653" s="16">
        <f>IFERROR(__xludf.DUMMYFUNCTION("""COMPUTED_VALUE"""),0.6666666666666666)</f>
        <v>0.6666666667</v>
      </c>
      <c r="V653" s="16">
        <f>IFERROR(__xludf.DUMMYFUNCTION("""COMPUTED_VALUE"""),0.4444444444444444)</f>
        <v>0.4444444444</v>
      </c>
      <c r="W653" s="16">
        <f>IFERROR(__xludf.DUMMYFUNCTION("""COMPUTED_VALUE"""),0.7777777777777778)</f>
        <v>0.7777777778</v>
      </c>
      <c r="X653" s="16">
        <f>IFERROR(__xludf.DUMMYFUNCTION("""COMPUTED_VALUE"""),1.6666666666666667)</f>
        <v>1.666666667</v>
      </c>
      <c r="Y653" s="11">
        <f>IFERROR(__xludf.DUMMYFUNCTION("""COMPUTED_VALUE"""),2.0)</f>
        <v>2</v>
      </c>
      <c r="Z653" s="11">
        <f>IFERROR(__xludf.DUMMYFUNCTION("""COMPUTED_VALUE"""),0.0)</f>
        <v>0</v>
      </c>
      <c r="AA653" s="11">
        <f>IFERROR(__xludf.DUMMYFUNCTION("""COMPUTED_VALUE"""),0.0)</f>
        <v>0</v>
      </c>
      <c r="AB653" s="11">
        <f>IFERROR(__xludf.DUMMYFUNCTION("""COMPUTED_VALUE"""),2.0)</f>
        <v>2</v>
      </c>
      <c r="AC653" s="11">
        <f>IFERROR(__xludf.DUMMYFUNCTION("""COMPUTED_VALUE"""),19.0)</f>
        <v>19</v>
      </c>
      <c r="AD653" s="11">
        <f>IFERROR(__xludf.DUMMYFUNCTION("""COMPUTED_VALUE"""),15.0)</f>
        <v>15</v>
      </c>
    </row>
    <row r="654">
      <c r="A654" s="10" t="str">
        <f>IFERROR(__xludf.DUMMYFUNCTION("""COMPUTED_VALUE"""),"Rival")</f>
        <v>Rival</v>
      </c>
      <c r="B654" s="10" t="str">
        <f>IFERROR(__xludf.DUMMYFUNCTION("""COMPUTED_VALUE"""),"RSC000335")</f>
        <v>RSC000335</v>
      </c>
      <c r="C654" s="10" t="str">
        <f>IFERROR(__xludf.DUMMYFUNCTION("""COMPUTED_VALUE"""),"PostMstrGeneral")</f>
        <v>PostMstrGeneral</v>
      </c>
      <c r="D654" s="36" t="str">
        <f>IFERROR(__xludf.DUMMYFUNCTION("""COMPUTED_VALUE"""),"Lightning
Tax Evaders
Liars
Mining Legion")</f>
        <v>Lightning
Tax Evaders
Liars
Mining Legion</v>
      </c>
      <c r="E654" s="10" t="str">
        <f>IFERROR(__xludf.DUMMYFUNCTION("""COMPUTED_VALUE"""),"Lunar
Lunar
Solar
Lunar")</f>
        <v>Lunar
Lunar
Solar
Lunar</v>
      </c>
      <c r="F654" s="37">
        <f>IFERROR(__xludf.DUMMYFUNCTION("""COMPUTED_VALUE"""),30.4768592583661)</f>
        <v>30.47685926</v>
      </c>
      <c r="G654" s="38">
        <f>IFERROR(__xludf.DUMMYFUNCTION("""COMPUTED_VALUE"""),21.025276508196566)</f>
        <v>21.02527651</v>
      </c>
      <c r="H654" s="38">
        <f>IFERROR(__xludf.DUMMYFUNCTION("""COMPUTED_VALUE"""),25.751067883281333)</f>
        <v>25.75106788</v>
      </c>
      <c r="I654" s="14">
        <f>IFERROR(__xludf.DUMMYFUNCTION("""COMPUTED_VALUE"""),31.0)</f>
        <v>31</v>
      </c>
      <c r="J654" s="11">
        <f>IFERROR(__xludf.DUMMYFUNCTION("IFERROR(FILTER(Stats!$F:$Z,(Stats!$A:$A=$A654)*(Stats!$B:$B=$B654)))"),9.0)</f>
        <v>9</v>
      </c>
      <c r="K654" s="11">
        <f>IFERROR(__xludf.DUMMYFUNCTION("""COMPUTED_VALUE"""),22.0)</f>
        <v>22</v>
      </c>
      <c r="L654" s="12">
        <f>IFERROR(__xludf.DUMMYFUNCTION("""COMPUTED_VALUE"""),0.2903225806451613)</f>
        <v>0.2903225806</v>
      </c>
      <c r="M654" s="11">
        <f>IFERROR(__xludf.DUMMYFUNCTION("""COMPUTED_VALUE"""),3.0)</f>
        <v>3</v>
      </c>
      <c r="N654" s="11">
        <f>IFERROR(__xludf.DUMMYFUNCTION("""COMPUTED_VALUE"""),9242.0)</f>
        <v>9242</v>
      </c>
      <c r="O654" s="13">
        <f>IFERROR(__xludf.DUMMYFUNCTION("""COMPUTED_VALUE"""),19.0)</f>
        <v>19</v>
      </c>
      <c r="P654" s="14">
        <f>IFERROR(__xludf.DUMMYFUNCTION("""COMPUTED_VALUE"""),7.0)</f>
        <v>7</v>
      </c>
      <c r="Q654" s="13">
        <f>IFERROR(__xludf.DUMMYFUNCTION("""COMPUTED_VALUE"""),39.0)</f>
        <v>39</v>
      </c>
      <c r="R654" s="13">
        <f>IFERROR(__xludf.DUMMYFUNCTION("""COMPUTED_VALUE"""),63.0)</f>
        <v>63</v>
      </c>
      <c r="S654" s="15">
        <f>IFERROR(__xludf.DUMMYFUNCTION("""COMPUTED_VALUE"""),0.30158730158730157)</f>
        <v>0.3015873016</v>
      </c>
      <c r="T654" s="16">
        <f>IFERROR(__xludf.DUMMYFUNCTION("""COMPUTED_VALUE"""),298.1290322580645)</f>
        <v>298.1290323</v>
      </c>
      <c r="U654" s="16">
        <f>IFERROR(__xludf.DUMMYFUNCTION("""COMPUTED_VALUE"""),0.6129032258064516)</f>
        <v>0.6129032258</v>
      </c>
      <c r="V654" s="16">
        <f>IFERROR(__xludf.DUMMYFUNCTION("""COMPUTED_VALUE"""),0.22580645161290322)</f>
        <v>0.2258064516</v>
      </c>
      <c r="W654" s="16">
        <f>IFERROR(__xludf.DUMMYFUNCTION("""COMPUTED_VALUE"""),1.2580645161290323)</f>
        <v>1.258064516</v>
      </c>
      <c r="X654" s="16">
        <f>IFERROR(__xludf.DUMMYFUNCTION("""COMPUTED_VALUE"""),2.032258064516129)</f>
        <v>2.032258065</v>
      </c>
      <c r="Y654" s="11">
        <f>IFERROR(__xludf.DUMMYFUNCTION("""COMPUTED_VALUE"""),4.0)</f>
        <v>4</v>
      </c>
      <c r="Z654" s="11">
        <f>IFERROR(__xludf.DUMMYFUNCTION("""COMPUTED_VALUE"""),2.0)</f>
        <v>2</v>
      </c>
      <c r="AA654" s="11">
        <f>IFERROR(__xludf.DUMMYFUNCTION("""COMPUTED_VALUE"""),0.0)</f>
        <v>0</v>
      </c>
      <c r="AB654" s="11">
        <f>IFERROR(__xludf.DUMMYFUNCTION("""COMPUTED_VALUE"""),5.0)</f>
        <v>5</v>
      </c>
      <c r="AC654" s="11">
        <f>IFERROR(__xludf.DUMMYFUNCTION("""COMPUTED_VALUE"""),27.0)</f>
        <v>27</v>
      </c>
      <c r="AD654" s="11">
        <f>IFERROR(__xludf.DUMMYFUNCTION("""COMPUTED_VALUE"""),27.0)</f>
        <v>27</v>
      </c>
    </row>
    <row r="655">
      <c r="A655" s="10" t="str">
        <f>IFERROR(__xludf.DUMMYFUNCTION("""COMPUTED_VALUE"""),"Rival")</f>
        <v>Rival</v>
      </c>
      <c r="B655" s="10" t="str">
        <f>IFERROR(__xludf.DUMMYFUNCTION("""COMPUTED_VALUE"""),"RSC004670")</f>
        <v>RSC004670</v>
      </c>
      <c r="C655" s="10" t="str">
        <f>IFERROR(__xludf.DUMMYFUNCTION("""COMPUTED_VALUE"""),"CarnageWolfBite")</f>
        <v>CarnageWolfBite</v>
      </c>
      <c r="D655" s="36" t="str">
        <f>IFERROR(__xludf.DUMMYFUNCTION("""COMPUTED_VALUE"""),"Samurai")</f>
        <v>Samurai</v>
      </c>
      <c r="E655" s="10" t="str">
        <f>IFERROR(__xludf.DUMMYFUNCTION("""COMPUTED_VALUE"""),"Lunar")</f>
        <v>Lunar</v>
      </c>
      <c r="F655" s="37">
        <f>IFERROR(__xludf.DUMMYFUNCTION("""COMPUTED_VALUE"""),27.117341550829728)</f>
        <v>27.11734155</v>
      </c>
      <c r="G655" s="38">
        <f>IFERROR(__xludf.DUMMYFUNCTION("""COMPUTED_VALUE"""),23.59511783666916)</f>
        <v>23.59511784</v>
      </c>
      <c r="H655" s="38">
        <f>IFERROR(__xludf.DUMMYFUNCTION("""COMPUTED_VALUE"""),25.356229693749444)</f>
        <v>25.35622969</v>
      </c>
      <c r="I655" s="14">
        <f>IFERROR(__xludf.DUMMYFUNCTION("""COMPUTED_VALUE"""),38.0)</f>
        <v>38</v>
      </c>
      <c r="J655" s="11">
        <f>IFERROR(__xludf.DUMMYFUNCTION("IFERROR(FILTER(Stats!$F:$Z,(Stats!$A:$A=$A655)*(Stats!$B:$B=$B655)))"),12.0)</f>
        <v>12</v>
      </c>
      <c r="K655" s="11">
        <f>IFERROR(__xludf.DUMMYFUNCTION("""COMPUTED_VALUE"""),26.0)</f>
        <v>26</v>
      </c>
      <c r="L655" s="12">
        <f>IFERROR(__xludf.DUMMYFUNCTION("""COMPUTED_VALUE"""),0.3157894736842105)</f>
        <v>0.3157894737</v>
      </c>
      <c r="M655" s="11">
        <f>IFERROR(__xludf.DUMMYFUNCTION("""COMPUTED_VALUE"""),3.0)</f>
        <v>3</v>
      </c>
      <c r="N655" s="11">
        <f>IFERROR(__xludf.DUMMYFUNCTION("""COMPUTED_VALUE"""),10647.0)</f>
        <v>10647</v>
      </c>
      <c r="O655" s="13">
        <f>IFERROR(__xludf.DUMMYFUNCTION("""COMPUTED_VALUE"""),16.0)</f>
        <v>16</v>
      </c>
      <c r="P655" s="14">
        <f>IFERROR(__xludf.DUMMYFUNCTION("""COMPUTED_VALUE"""),15.0)</f>
        <v>15</v>
      </c>
      <c r="Q655" s="13">
        <f>IFERROR(__xludf.DUMMYFUNCTION("""COMPUTED_VALUE"""),36.0)</f>
        <v>36</v>
      </c>
      <c r="R655" s="13">
        <f>IFERROR(__xludf.DUMMYFUNCTION("""COMPUTED_VALUE"""),83.0)</f>
        <v>83</v>
      </c>
      <c r="S655" s="15">
        <f>IFERROR(__xludf.DUMMYFUNCTION("""COMPUTED_VALUE"""),0.1927710843373494)</f>
        <v>0.1927710843</v>
      </c>
      <c r="T655" s="16">
        <f>IFERROR(__xludf.DUMMYFUNCTION("""COMPUTED_VALUE"""),280.1842105263158)</f>
        <v>280.1842105</v>
      </c>
      <c r="U655" s="16">
        <f>IFERROR(__xludf.DUMMYFUNCTION("""COMPUTED_VALUE"""),0.42105263157894735)</f>
        <v>0.4210526316</v>
      </c>
      <c r="V655" s="16">
        <f>IFERROR(__xludf.DUMMYFUNCTION("""COMPUTED_VALUE"""),0.39473684210526316)</f>
        <v>0.3947368421</v>
      </c>
      <c r="W655" s="16">
        <f>IFERROR(__xludf.DUMMYFUNCTION("""COMPUTED_VALUE"""),0.9473684210526315)</f>
        <v>0.9473684211</v>
      </c>
      <c r="X655" s="16">
        <f>IFERROR(__xludf.DUMMYFUNCTION("""COMPUTED_VALUE"""),2.1842105263157894)</f>
        <v>2.184210526</v>
      </c>
      <c r="Y655" s="11">
        <f>IFERROR(__xludf.DUMMYFUNCTION("""COMPUTED_VALUE"""),2.0)</f>
        <v>2</v>
      </c>
      <c r="Z655" s="11">
        <f>IFERROR(__xludf.DUMMYFUNCTION("""COMPUTED_VALUE"""),0.0)</f>
        <v>0</v>
      </c>
      <c r="AA655" s="11">
        <f>IFERROR(__xludf.DUMMYFUNCTION("""COMPUTED_VALUE"""),0.0)</f>
        <v>0</v>
      </c>
      <c r="AB655" s="11">
        <f>IFERROR(__xludf.DUMMYFUNCTION("""COMPUTED_VALUE"""),4.0)</f>
        <v>4</v>
      </c>
      <c r="AC655" s="11">
        <f>IFERROR(__xludf.DUMMYFUNCTION("""COMPUTED_VALUE"""),80.0)</f>
        <v>80</v>
      </c>
      <c r="AD655" s="11">
        <f>IFERROR(__xludf.DUMMYFUNCTION("""COMPUTED_VALUE"""),27.0)</f>
        <v>27</v>
      </c>
    </row>
    <row r="656">
      <c r="A656" s="10" t="str">
        <f>IFERROR(__xludf.DUMMYFUNCTION("""COMPUTED_VALUE"""),"Rival")</f>
        <v>Rival</v>
      </c>
      <c r="B656" s="10" t="str">
        <f>IFERROR(__xludf.DUMMYFUNCTION("""COMPUTED_VALUE"""),"RSC008443")</f>
        <v>RSC008443</v>
      </c>
      <c r="C656" s="10" t="str">
        <f>IFERROR(__xludf.DUMMYFUNCTION("""COMPUTED_VALUE"""),"cow")</f>
        <v>cow</v>
      </c>
      <c r="D656" s="36" t="str">
        <f>IFERROR(__xludf.DUMMYFUNCTION("""COMPUTED_VALUE"""),"Mining Legion
Gaboons
Liars")</f>
        <v>Mining Legion
Gaboons
Liars</v>
      </c>
      <c r="E656" s="10" t="str">
        <f>IFERROR(__xludf.DUMMYFUNCTION("""COMPUTED_VALUE"""),"Lunar
Lunar
Solar")</f>
        <v>Lunar
Lunar
Solar</v>
      </c>
      <c r="F656" s="37">
        <f>IFERROR(__xludf.DUMMYFUNCTION("""COMPUTED_VALUE"""),26.74567541477088)</f>
        <v>26.74567541</v>
      </c>
      <c r="G656" s="38">
        <f>IFERROR(__xludf.DUMMYFUNCTION("""COMPUTED_VALUE"""),23.351026119089212)</f>
        <v>23.35102612</v>
      </c>
      <c r="H656" s="38">
        <f>IFERROR(__xludf.DUMMYFUNCTION("""COMPUTED_VALUE"""),25.048350766930046)</f>
        <v>25.04835077</v>
      </c>
      <c r="I656" s="14">
        <f>IFERROR(__xludf.DUMMYFUNCTION("""COMPUTED_VALUE"""),23.0)</f>
        <v>23</v>
      </c>
      <c r="J656" s="11">
        <f>IFERROR(__xludf.DUMMYFUNCTION("IFERROR(FILTER(Stats!$F:$Z,(Stats!$A:$A=$A656)*(Stats!$B:$B=$B656)))"),13.0)</f>
        <v>13</v>
      </c>
      <c r="K656" s="11">
        <f>IFERROR(__xludf.DUMMYFUNCTION("""COMPUTED_VALUE"""),10.0)</f>
        <v>10</v>
      </c>
      <c r="L656" s="12">
        <f>IFERROR(__xludf.DUMMYFUNCTION("""COMPUTED_VALUE"""),0.5652173913043478)</f>
        <v>0.5652173913</v>
      </c>
      <c r="M656" s="11">
        <f>IFERROR(__xludf.DUMMYFUNCTION("""COMPUTED_VALUE"""),1.0)</f>
        <v>1</v>
      </c>
      <c r="N656" s="11">
        <f>IFERROR(__xludf.DUMMYFUNCTION("""COMPUTED_VALUE"""),6292.0)</f>
        <v>6292</v>
      </c>
      <c r="O656" s="13">
        <f>IFERROR(__xludf.DUMMYFUNCTION("""COMPUTED_VALUE"""),11.0)</f>
        <v>11</v>
      </c>
      <c r="P656" s="14">
        <f>IFERROR(__xludf.DUMMYFUNCTION("""COMPUTED_VALUE"""),10.0)</f>
        <v>10</v>
      </c>
      <c r="Q656" s="13">
        <f>IFERROR(__xludf.DUMMYFUNCTION("""COMPUTED_VALUE"""),30.0)</f>
        <v>30</v>
      </c>
      <c r="R656" s="13">
        <f>IFERROR(__xludf.DUMMYFUNCTION("""COMPUTED_VALUE"""),35.0)</f>
        <v>35</v>
      </c>
      <c r="S656" s="15">
        <f>IFERROR(__xludf.DUMMYFUNCTION("""COMPUTED_VALUE"""),0.3142857142857143)</f>
        <v>0.3142857143</v>
      </c>
      <c r="T656" s="16">
        <f>IFERROR(__xludf.DUMMYFUNCTION("""COMPUTED_VALUE"""),273.5652173913044)</f>
        <v>273.5652174</v>
      </c>
      <c r="U656" s="16">
        <f>IFERROR(__xludf.DUMMYFUNCTION("""COMPUTED_VALUE"""),0.4782608695652174)</f>
        <v>0.4782608696</v>
      </c>
      <c r="V656" s="16">
        <f>IFERROR(__xludf.DUMMYFUNCTION("""COMPUTED_VALUE"""),0.43478260869565216)</f>
        <v>0.4347826087</v>
      </c>
      <c r="W656" s="16">
        <f>IFERROR(__xludf.DUMMYFUNCTION("""COMPUTED_VALUE"""),1.3043478260869565)</f>
        <v>1.304347826</v>
      </c>
      <c r="X656" s="16">
        <f>IFERROR(__xludf.DUMMYFUNCTION("""COMPUTED_VALUE"""),1.5217391304347827)</f>
        <v>1.52173913</v>
      </c>
      <c r="Y656" s="11">
        <f>IFERROR(__xludf.DUMMYFUNCTION("""COMPUTED_VALUE"""),4.0)</f>
        <v>4</v>
      </c>
      <c r="Z656" s="11">
        <f>IFERROR(__xludf.DUMMYFUNCTION("""COMPUTED_VALUE"""),0.0)</f>
        <v>0</v>
      </c>
      <c r="AA656" s="11">
        <f>IFERROR(__xludf.DUMMYFUNCTION("""COMPUTED_VALUE"""),0.0)</f>
        <v>0</v>
      </c>
      <c r="AB656" s="11">
        <f>IFERROR(__xludf.DUMMYFUNCTION("""COMPUTED_VALUE"""),5.0)</f>
        <v>5</v>
      </c>
      <c r="AC656" s="11">
        <f>IFERROR(__xludf.DUMMYFUNCTION("""COMPUTED_VALUE"""),20.0)</f>
        <v>20</v>
      </c>
      <c r="AD656" s="11">
        <f>IFERROR(__xludf.DUMMYFUNCTION("""COMPUTED_VALUE"""),17.0)</f>
        <v>17</v>
      </c>
    </row>
    <row r="657">
      <c r="A657" s="10" t="str">
        <f>IFERROR(__xludf.DUMMYFUNCTION("""COMPUTED_VALUE"""),"Rival")</f>
        <v>Rival</v>
      </c>
      <c r="B657" s="10" t="str">
        <f>IFERROR(__xludf.DUMMYFUNCTION("""COMPUTED_VALUE"""),"RSC006225")</f>
        <v>RSC006225</v>
      </c>
      <c r="C657" s="10" t="str">
        <f>IFERROR(__xludf.DUMMYFUNCTION("""COMPUTED_VALUE"""),"renightly")</f>
        <v>renightly</v>
      </c>
      <c r="D657" s="36" t="str">
        <f>IFERROR(__xludf.DUMMYFUNCTION("""COMPUTED_VALUE"""),"Polar Bears")</f>
        <v>Polar Bears</v>
      </c>
      <c r="E657" s="10" t="str">
        <f>IFERROR(__xludf.DUMMYFUNCTION("""COMPUTED_VALUE"""),"Solar")</f>
        <v>Solar</v>
      </c>
      <c r="F657" s="37">
        <f>IFERROR(__xludf.DUMMYFUNCTION("""COMPUTED_VALUE"""),20.982104517871274)</f>
        <v>20.98210452</v>
      </c>
      <c r="G657" s="38">
        <f>IFERROR(__xludf.DUMMYFUNCTION("""COMPUTED_VALUE"""),28.588702116781633)</f>
        <v>28.58870212</v>
      </c>
      <c r="H657" s="38">
        <f>IFERROR(__xludf.DUMMYFUNCTION("""COMPUTED_VALUE"""),24.785403317326455)</f>
        <v>24.78540332</v>
      </c>
      <c r="I657" s="14">
        <f>IFERROR(__xludf.DUMMYFUNCTION("""COMPUTED_VALUE"""),25.0)</f>
        <v>25</v>
      </c>
      <c r="J657" s="11">
        <f>IFERROR(__xludf.DUMMYFUNCTION("IFERROR(FILTER(Stats!$F:$Z,(Stats!$A:$A=$A657)*(Stats!$B:$B=$B657)))"),11.0)</f>
        <v>11</v>
      </c>
      <c r="K657" s="11">
        <f>IFERROR(__xludf.DUMMYFUNCTION("""COMPUTED_VALUE"""),14.0)</f>
        <v>14</v>
      </c>
      <c r="L657" s="12">
        <f>IFERROR(__xludf.DUMMYFUNCTION("""COMPUTED_VALUE"""),0.44)</f>
        <v>0.44</v>
      </c>
      <c r="M657" s="11">
        <f>IFERROR(__xludf.DUMMYFUNCTION("""COMPUTED_VALUE"""),2.0)</f>
        <v>2</v>
      </c>
      <c r="N657" s="11">
        <f>IFERROR(__xludf.DUMMYFUNCTION("""COMPUTED_VALUE"""),6962.0)</f>
        <v>6962</v>
      </c>
      <c r="O657" s="13">
        <f>IFERROR(__xludf.DUMMYFUNCTION("""COMPUTED_VALUE"""),17.0)</f>
        <v>17</v>
      </c>
      <c r="P657" s="14">
        <f>IFERROR(__xludf.DUMMYFUNCTION("""COMPUTED_VALUE"""),11.0)</f>
        <v>11</v>
      </c>
      <c r="Q657" s="13">
        <f>IFERROR(__xludf.DUMMYFUNCTION("""COMPUTED_VALUE"""),16.0)</f>
        <v>16</v>
      </c>
      <c r="R657" s="13">
        <f>IFERROR(__xludf.DUMMYFUNCTION("""COMPUTED_VALUE"""),51.0)</f>
        <v>51</v>
      </c>
      <c r="S657" s="15">
        <f>IFERROR(__xludf.DUMMYFUNCTION("""COMPUTED_VALUE"""),0.3333333333333333)</f>
        <v>0.3333333333</v>
      </c>
      <c r="T657" s="16">
        <f>IFERROR(__xludf.DUMMYFUNCTION("""COMPUTED_VALUE"""),278.48)</f>
        <v>278.48</v>
      </c>
      <c r="U657" s="16">
        <f>IFERROR(__xludf.DUMMYFUNCTION("""COMPUTED_VALUE"""),0.68)</f>
        <v>0.68</v>
      </c>
      <c r="V657" s="16">
        <f>IFERROR(__xludf.DUMMYFUNCTION("""COMPUTED_VALUE"""),0.44)</f>
        <v>0.44</v>
      </c>
      <c r="W657" s="16">
        <f>IFERROR(__xludf.DUMMYFUNCTION("""COMPUTED_VALUE"""),0.64)</f>
        <v>0.64</v>
      </c>
      <c r="X657" s="16">
        <f>IFERROR(__xludf.DUMMYFUNCTION("""COMPUTED_VALUE"""),2.04)</f>
        <v>2.04</v>
      </c>
      <c r="Y657" s="11">
        <f>IFERROR(__xludf.DUMMYFUNCTION("""COMPUTED_VALUE"""),2.0)</f>
        <v>2</v>
      </c>
      <c r="Z657" s="11">
        <f>IFERROR(__xludf.DUMMYFUNCTION("""COMPUTED_VALUE"""),0.0)</f>
        <v>0</v>
      </c>
      <c r="AA657" s="11">
        <f>IFERROR(__xludf.DUMMYFUNCTION("""COMPUTED_VALUE"""),1.0)</f>
        <v>1</v>
      </c>
      <c r="AB657" s="11">
        <f>IFERROR(__xludf.DUMMYFUNCTION("""COMPUTED_VALUE"""),1.0)</f>
        <v>1</v>
      </c>
      <c r="AC657" s="11">
        <f>IFERROR(__xludf.DUMMYFUNCTION("""COMPUTED_VALUE"""),10.0)</f>
        <v>10</v>
      </c>
      <c r="AD657" s="11">
        <f>IFERROR(__xludf.DUMMYFUNCTION("""COMPUTED_VALUE"""),26.0)</f>
        <v>26</v>
      </c>
    </row>
    <row r="658">
      <c r="A658" s="10" t="str">
        <f>IFERROR(__xludf.DUMMYFUNCTION("""COMPUTED_VALUE"""),"Rival")</f>
        <v>Rival</v>
      </c>
      <c r="B658" s="10" t="str">
        <f>IFERROR(__xludf.DUMMYFUNCTION("""COMPUTED_VALUE"""),"RSC007201")</f>
        <v>RSC007201</v>
      </c>
      <c r="C658" s="10" t="str">
        <f>IFERROR(__xludf.DUMMYFUNCTION("""COMPUTED_VALUE"""),"FallenAngel")</f>
        <v>FallenAngel</v>
      </c>
      <c r="D658" s="36" t="str">
        <f>IFERROR(__xludf.DUMMYFUNCTION("""COMPUTED_VALUE"""),"Heavy Metal")</f>
        <v>Heavy Metal</v>
      </c>
      <c r="E658" s="10" t="str">
        <f>IFERROR(__xludf.DUMMYFUNCTION("""COMPUTED_VALUE"""),"Lunar")</f>
        <v>Lunar</v>
      </c>
      <c r="F658" s="37">
        <f>IFERROR(__xludf.DUMMYFUNCTION("""COMPUTED_VALUE"""),25.36316295239833)</f>
        <v>25.36316295</v>
      </c>
      <c r="G658" s="38">
        <f>IFERROR(__xludf.DUMMYFUNCTION("""COMPUTED_VALUE"""),24.005230388214027)</f>
        <v>24.00523039</v>
      </c>
      <c r="H658" s="38">
        <f>IFERROR(__xludf.DUMMYFUNCTION("""COMPUTED_VALUE"""),24.68419667030618)</f>
        <v>24.68419667</v>
      </c>
      <c r="I658" s="14">
        <f>IFERROR(__xludf.DUMMYFUNCTION("""COMPUTED_VALUE"""),44.0)</f>
        <v>44</v>
      </c>
      <c r="J658" s="11">
        <f>IFERROR(__xludf.DUMMYFUNCTION("IFERROR(FILTER(Stats!$F:$Z,(Stats!$A:$A=$A658)*(Stats!$B:$B=$B658)))"),21.0)</f>
        <v>21</v>
      </c>
      <c r="K658" s="11">
        <f>IFERROR(__xludf.DUMMYFUNCTION("""COMPUTED_VALUE"""),23.0)</f>
        <v>23</v>
      </c>
      <c r="L658" s="12">
        <f>IFERROR(__xludf.DUMMYFUNCTION("""COMPUTED_VALUE"""),0.4772727272727273)</f>
        <v>0.4772727273</v>
      </c>
      <c r="M658" s="11">
        <f>IFERROR(__xludf.DUMMYFUNCTION("""COMPUTED_VALUE"""),5.0)</f>
        <v>5</v>
      </c>
      <c r="N658" s="11">
        <f>IFERROR(__xludf.DUMMYFUNCTION("""COMPUTED_VALUE"""),13824.0)</f>
        <v>13824</v>
      </c>
      <c r="O658" s="13">
        <f>IFERROR(__xludf.DUMMYFUNCTION("""COMPUTED_VALUE"""),26.0)</f>
        <v>26</v>
      </c>
      <c r="P658" s="14">
        <f>IFERROR(__xludf.DUMMYFUNCTION("""COMPUTED_VALUE"""),13.0)</f>
        <v>13</v>
      </c>
      <c r="Q658" s="13">
        <f>IFERROR(__xludf.DUMMYFUNCTION("""COMPUTED_VALUE"""),66.0)</f>
        <v>66</v>
      </c>
      <c r="R658" s="13">
        <f>IFERROR(__xludf.DUMMYFUNCTION("""COMPUTED_VALUE"""),82.0)</f>
        <v>82</v>
      </c>
      <c r="S658" s="15">
        <f>IFERROR(__xludf.DUMMYFUNCTION("""COMPUTED_VALUE"""),0.3170731707317073)</f>
        <v>0.3170731707</v>
      </c>
      <c r="T658" s="16">
        <f>IFERROR(__xludf.DUMMYFUNCTION("""COMPUTED_VALUE"""),314.1818181818182)</f>
        <v>314.1818182</v>
      </c>
      <c r="U658" s="16">
        <f>IFERROR(__xludf.DUMMYFUNCTION("""COMPUTED_VALUE"""),0.5909090909090909)</f>
        <v>0.5909090909</v>
      </c>
      <c r="V658" s="16">
        <f>IFERROR(__xludf.DUMMYFUNCTION("""COMPUTED_VALUE"""),0.29545454545454547)</f>
        <v>0.2954545455</v>
      </c>
      <c r="W658" s="16">
        <f>IFERROR(__xludf.DUMMYFUNCTION("""COMPUTED_VALUE"""),1.5)</f>
        <v>1.5</v>
      </c>
      <c r="X658" s="16">
        <f>IFERROR(__xludf.DUMMYFUNCTION("""COMPUTED_VALUE"""),1.8636363636363635)</f>
        <v>1.863636364</v>
      </c>
      <c r="Y658" s="11">
        <f>IFERROR(__xludf.DUMMYFUNCTION("""COMPUTED_VALUE"""),4.0)</f>
        <v>4</v>
      </c>
      <c r="Z658" s="11">
        <f>IFERROR(__xludf.DUMMYFUNCTION("""COMPUTED_VALUE"""),0.0)</f>
        <v>0</v>
      </c>
      <c r="AA658" s="11">
        <f>IFERROR(__xludf.DUMMYFUNCTION("""COMPUTED_VALUE"""),0.0)</f>
        <v>0</v>
      </c>
      <c r="AB658" s="11">
        <f>IFERROR(__xludf.DUMMYFUNCTION("""COMPUTED_VALUE"""),8.0)</f>
        <v>8</v>
      </c>
      <c r="AC658" s="11">
        <f>IFERROR(__xludf.DUMMYFUNCTION("""COMPUTED_VALUE"""),21.0)</f>
        <v>21</v>
      </c>
      <c r="AD658" s="11">
        <f>IFERROR(__xludf.DUMMYFUNCTION("""COMPUTED_VALUE"""),52.0)</f>
        <v>52</v>
      </c>
    </row>
    <row r="659">
      <c r="A659" s="10" t="str">
        <f>IFERROR(__xludf.DUMMYFUNCTION("""COMPUTED_VALUE"""),"Rival")</f>
        <v>Rival</v>
      </c>
      <c r="B659" s="10" t="str">
        <f>IFERROR(__xludf.DUMMYFUNCTION("""COMPUTED_VALUE"""),"RSC000111")</f>
        <v>RSC000111</v>
      </c>
      <c r="C659" s="10" t="str">
        <f>IFERROR(__xludf.DUMMYFUNCTION("""COMPUTED_VALUE"""),"Wheelchair {LFLegs}")</f>
        <v>Wheelchair {LFLegs}</v>
      </c>
      <c r="D659" s="36" t="str">
        <f>IFERROR(__xludf.DUMMYFUNCTION("""COMPUTED_VALUE"""),"Primo
Liars
Ocelots")</f>
        <v>Primo
Liars
Ocelots</v>
      </c>
      <c r="E659" s="10" t="str">
        <f>IFERROR(__xludf.DUMMYFUNCTION("""COMPUTED_VALUE"""),"Solar
Solar
Solar")</f>
        <v>Solar
Solar
Solar</v>
      </c>
      <c r="F659" s="37">
        <f>IFERROR(__xludf.DUMMYFUNCTION("""COMPUTED_VALUE"""),22.9475312677333)</f>
        <v>22.94753127</v>
      </c>
      <c r="G659" s="38">
        <f>IFERROR(__xludf.DUMMYFUNCTION("""COMPUTED_VALUE"""),19.816614368887812)</f>
        <v>19.81661437</v>
      </c>
      <c r="H659" s="38">
        <f>IFERROR(__xludf.DUMMYFUNCTION("""COMPUTED_VALUE"""),21.382072818310554)</f>
        <v>21.38207282</v>
      </c>
      <c r="I659" s="14">
        <f>IFERROR(__xludf.DUMMYFUNCTION("""COMPUTED_VALUE"""),11.0)</f>
        <v>11</v>
      </c>
      <c r="J659" s="11">
        <f>IFERROR(__xludf.DUMMYFUNCTION("IFERROR(FILTER(Stats!$F:$Z,(Stats!$A:$A=$A659)*(Stats!$B:$B=$B659)))"),4.0)</f>
        <v>4</v>
      </c>
      <c r="K659" s="11">
        <f>IFERROR(__xludf.DUMMYFUNCTION("""COMPUTED_VALUE"""),7.0)</f>
        <v>7</v>
      </c>
      <c r="L659" s="12">
        <f>IFERROR(__xludf.DUMMYFUNCTION("""COMPUTED_VALUE"""),0.36363636363636365)</f>
        <v>0.3636363636</v>
      </c>
      <c r="M659" s="11">
        <f>IFERROR(__xludf.DUMMYFUNCTION("""COMPUTED_VALUE"""),0.0)</f>
        <v>0</v>
      </c>
      <c r="N659" s="11">
        <f>IFERROR(__xludf.DUMMYFUNCTION("""COMPUTED_VALUE"""),2751.0)</f>
        <v>2751</v>
      </c>
      <c r="O659" s="13">
        <f>IFERROR(__xludf.DUMMYFUNCTION("""COMPUTED_VALUE"""),5.0)</f>
        <v>5</v>
      </c>
      <c r="P659" s="14">
        <f>IFERROR(__xludf.DUMMYFUNCTION("""COMPUTED_VALUE"""),6.0)</f>
        <v>6</v>
      </c>
      <c r="Q659" s="13">
        <f>IFERROR(__xludf.DUMMYFUNCTION("""COMPUTED_VALUE"""),14.0)</f>
        <v>14</v>
      </c>
      <c r="R659" s="13">
        <f>IFERROR(__xludf.DUMMYFUNCTION("""COMPUTED_VALUE"""),15.0)</f>
        <v>15</v>
      </c>
      <c r="S659" s="15">
        <f>IFERROR(__xludf.DUMMYFUNCTION("""COMPUTED_VALUE"""),0.3333333333333333)</f>
        <v>0.3333333333</v>
      </c>
      <c r="T659" s="16">
        <f>IFERROR(__xludf.DUMMYFUNCTION("""COMPUTED_VALUE"""),250.0909090909091)</f>
        <v>250.0909091</v>
      </c>
      <c r="U659" s="16">
        <f>IFERROR(__xludf.DUMMYFUNCTION("""COMPUTED_VALUE"""),0.45454545454545453)</f>
        <v>0.4545454545</v>
      </c>
      <c r="V659" s="16">
        <f>IFERROR(__xludf.DUMMYFUNCTION("""COMPUTED_VALUE"""),0.5454545454545454)</f>
        <v>0.5454545455</v>
      </c>
      <c r="W659" s="16">
        <f>IFERROR(__xludf.DUMMYFUNCTION("""COMPUTED_VALUE"""),1.2727272727272727)</f>
        <v>1.272727273</v>
      </c>
      <c r="X659" s="16">
        <f>IFERROR(__xludf.DUMMYFUNCTION("""COMPUTED_VALUE"""),1.3636363636363635)</f>
        <v>1.363636364</v>
      </c>
      <c r="Y659" s="11">
        <f>IFERROR(__xludf.DUMMYFUNCTION("""COMPUTED_VALUE"""),0.0)</f>
        <v>0</v>
      </c>
      <c r="Z659" s="11">
        <f>IFERROR(__xludf.DUMMYFUNCTION("""COMPUTED_VALUE"""),0.0)</f>
        <v>0</v>
      </c>
      <c r="AA659" s="11">
        <f>IFERROR(__xludf.DUMMYFUNCTION("""COMPUTED_VALUE"""),1.0)</f>
        <v>1</v>
      </c>
      <c r="AB659" s="11">
        <f>IFERROR(__xludf.DUMMYFUNCTION("""COMPUTED_VALUE"""),1.0)</f>
        <v>1</v>
      </c>
      <c r="AC659" s="11">
        <f>IFERROR(__xludf.DUMMYFUNCTION("""COMPUTED_VALUE"""),13.0)</f>
        <v>13</v>
      </c>
      <c r="AD659" s="11">
        <f>IFERROR(__xludf.DUMMYFUNCTION("""COMPUTED_VALUE"""),16.0)</f>
        <v>16</v>
      </c>
    </row>
    <row r="660">
      <c r="A660" s="10" t="str">
        <f>IFERROR(__xludf.DUMMYFUNCTION("""COMPUTED_VALUE"""),"Rival")</f>
        <v>Rival</v>
      </c>
      <c r="B660" s="10" t="str">
        <f>IFERROR(__xludf.DUMMYFUNCTION("""COMPUTED_VALUE"""),"RSC005154")</f>
        <v>RSC005154</v>
      </c>
      <c r="C660" s="10" t="str">
        <f>IFERROR(__xludf.DUMMYFUNCTION("""COMPUTED_VALUE"""),"TacoBae")</f>
        <v>TacoBae</v>
      </c>
      <c r="D660" s="36" t="str">
        <f>IFERROR(__xludf.DUMMYFUNCTION("""COMPUTED_VALUE"""),"Guards")</f>
        <v>Guards</v>
      </c>
      <c r="E660" s="10" t="str">
        <f>IFERROR(__xludf.DUMMYFUNCTION("""COMPUTED_VALUE"""),"Lunar")</f>
        <v>Lunar</v>
      </c>
      <c r="F660" s="37">
        <f>IFERROR(__xludf.DUMMYFUNCTION("""COMPUTED_VALUE"""),20.702209006345473)</f>
        <v>20.70220901</v>
      </c>
      <c r="G660" s="38">
        <f>IFERROR(__xludf.DUMMYFUNCTION("""COMPUTED_VALUE"""),20.459783604635255)</f>
        <v>20.4597836</v>
      </c>
      <c r="H660" s="38">
        <f>IFERROR(__xludf.DUMMYFUNCTION("""COMPUTED_VALUE"""),20.580996305490366)</f>
        <v>20.58099631</v>
      </c>
      <c r="I660" s="14">
        <f>IFERROR(__xludf.DUMMYFUNCTION("""COMPUTED_VALUE"""),37.0)</f>
        <v>37</v>
      </c>
      <c r="J660" s="11">
        <f>IFERROR(__xludf.DUMMYFUNCTION("IFERROR(FILTER(Stats!$F:$Z,(Stats!$A:$A=$A660)*(Stats!$B:$B=$B660)))"),18.0)</f>
        <v>18</v>
      </c>
      <c r="K660" s="11">
        <f>IFERROR(__xludf.DUMMYFUNCTION("""COMPUTED_VALUE"""),19.0)</f>
        <v>19</v>
      </c>
      <c r="L660" s="12">
        <f>IFERROR(__xludf.DUMMYFUNCTION("""COMPUTED_VALUE"""),0.4864864864864865)</f>
        <v>0.4864864865</v>
      </c>
      <c r="M660" s="11">
        <f>IFERROR(__xludf.DUMMYFUNCTION("""COMPUTED_VALUE"""),3.0)</f>
        <v>3</v>
      </c>
      <c r="N660" s="11">
        <f>IFERROR(__xludf.DUMMYFUNCTION("""COMPUTED_VALUE"""),9980.0)</f>
        <v>9980</v>
      </c>
      <c r="O660" s="13">
        <f>IFERROR(__xludf.DUMMYFUNCTION("""COMPUTED_VALUE"""),21.0)</f>
        <v>21</v>
      </c>
      <c r="P660" s="14">
        <f>IFERROR(__xludf.DUMMYFUNCTION("""COMPUTED_VALUE"""),15.0)</f>
        <v>15</v>
      </c>
      <c r="Q660" s="13">
        <f>IFERROR(__xludf.DUMMYFUNCTION("""COMPUTED_VALUE"""),38.0)</f>
        <v>38</v>
      </c>
      <c r="R660" s="13">
        <f>IFERROR(__xludf.DUMMYFUNCTION("""COMPUTED_VALUE"""),60.0)</f>
        <v>60</v>
      </c>
      <c r="S660" s="15">
        <f>IFERROR(__xludf.DUMMYFUNCTION("""COMPUTED_VALUE"""),0.35)</f>
        <v>0.35</v>
      </c>
      <c r="T660" s="16">
        <f>IFERROR(__xludf.DUMMYFUNCTION("""COMPUTED_VALUE"""),269.72972972972974)</f>
        <v>269.7297297</v>
      </c>
      <c r="U660" s="16">
        <f>IFERROR(__xludf.DUMMYFUNCTION("""COMPUTED_VALUE"""),0.5675675675675675)</f>
        <v>0.5675675676</v>
      </c>
      <c r="V660" s="16">
        <f>IFERROR(__xludf.DUMMYFUNCTION("""COMPUTED_VALUE"""),0.40540540540540543)</f>
        <v>0.4054054054</v>
      </c>
      <c r="W660" s="16">
        <f>IFERROR(__xludf.DUMMYFUNCTION("""COMPUTED_VALUE"""),1.027027027027027)</f>
        <v>1.027027027</v>
      </c>
      <c r="X660" s="16">
        <f>IFERROR(__xludf.DUMMYFUNCTION("""COMPUTED_VALUE"""),1.6216216216216217)</f>
        <v>1.621621622</v>
      </c>
      <c r="Y660" s="11">
        <f>IFERROR(__xludf.DUMMYFUNCTION("""COMPUTED_VALUE"""),2.0)</f>
        <v>2</v>
      </c>
      <c r="Z660" s="11">
        <f>IFERROR(__xludf.DUMMYFUNCTION("""COMPUTED_VALUE"""),1.0)</f>
        <v>1</v>
      </c>
      <c r="AA660" s="11">
        <f>IFERROR(__xludf.DUMMYFUNCTION("""COMPUTED_VALUE"""),0.0)</f>
        <v>0</v>
      </c>
      <c r="AB660" s="11">
        <f>IFERROR(__xludf.DUMMYFUNCTION("""COMPUTED_VALUE"""),2.0)</f>
        <v>2</v>
      </c>
      <c r="AC660" s="11">
        <f>IFERROR(__xludf.DUMMYFUNCTION("""COMPUTED_VALUE"""),44.0)</f>
        <v>44</v>
      </c>
      <c r="AD660" s="11">
        <f>IFERROR(__xludf.DUMMYFUNCTION("""COMPUTED_VALUE"""),31.0)</f>
        <v>31</v>
      </c>
    </row>
    <row r="661">
      <c r="A661" s="10" t="str">
        <f>IFERROR(__xludf.DUMMYFUNCTION("""COMPUTED_VALUE"""),"Rival")</f>
        <v>Rival</v>
      </c>
      <c r="B661" s="10" t="str">
        <f>IFERROR(__xludf.DUMMYFUNCTION("""COMPUTED_VALUE"""),"RSC006159")</f>
        <v>RSC006159</v>
      </c>
      <c r="C661" s="10" t="str">
        <f>IFERROR(__xludf.DUMMYFUNCTION("""COMPUTED_VALUE"""),"courtesan")</f>
        <v>courtesan</v>
      </c>
      <c r="D661" s="36" t="str">
        <f>IFERROR(__xludf.DUMMYFUNCTION("""COMPUTED_VALUE"""),"Heavy Metal")</f>
        <v>Heavy Metal</v>
      </c>
      <c r="E661" s="10" t="str">
        <f>IFERROR(__xludf.DUMMYFUNCTION("""COMPUTED_VALUE"""),"Lunar")</f>
        <v>Lunar</v>
      </c>
      <c r="F661" s="37">
        <f>IFERROR(__xludf.DUMMYFUNCTION("""COMPUTED_VALUE"""),18.754388486936985)</f>
        <v>18.75438849</v>
      </c>
      <c r="G661" s="38">
        <f>IFERROR(__xludf.DUMMYFUNCTION("""COMPUTED_VALUE"""),17.916116499849224)</f>
        <v>17.9161165</v>
      </c>
      <c r="H661" s="38">
        <f>IFERROR(__xludf.DUMMYFUNCTION("""COMPUTED_VALUE"""),18.335252493393106)</f>
        <v>18.33525249</v>
      </c>
      <c r="I661" s="14">
        <f>IFERROR(__xludf.DUMMYFUNCTION("""COMPUTED_VALUE"""),13.0)</f>
        <v>13</v>
      </c>
      <c r="J661" s="11">
        <f>IFERROR(__xludf.DUMMYFUNCTION("IFERROR(FILTER(Stats!$F:$Z,(Stats!$A:$A=$A661)*(Stats!$B:$B=$B661)))"),4.0)</f>
        <v>4</v>
      </c>
      <c r="K661" s="11">
        <f>IFERROR(__xludf.DUMMYFUNCTION("""COMPUTED_VALUE"""),9.0)</f>
        <v>9</v>
      </c>
      <c r="L661" s="12">
        <f>IFERROR(__xludf.DUMMYFUNCTION("""COMPUTED_VALUE"""),0.3076923076923077)</f>
        <v>0.3076923077</v>
      </c>
      <c r="M661" s="11">
        <f>IFERROR(__xludf.DUMMYFUNCTION("""COMPUTED_VALUE"""),2.0)</f>
        <v>2</v>
      </c>
      <c r="N661" s="11">
        <f>IFERROR(__xludf.DUMMYFUNCTION("""COMPUTED_VALUE"""),3471.0)</f>
        <v>3471</v>
      </c>
      <c r="O661" s="13">
        <f>IFERROR(__xludf.DUMMYFUNCTION("""COMPUTED_VALUE"""),8.0)</f>
        <v>8</v>
      </c>
      <c r="P661" s="14">
        <f>IFERROR(__xludf.DUMMYFUNCTION("""COMPUTED_VALUE"""),3.0)</f>
        <v>3</v>
      </c>
      <c r="Q661" s="13">
        <f>IFERROR(__xludf.DUMMYFUNCTION("""COMPUTED_VALUE"""),13.0)</f>
        <v>13</v>
      </c>
      <c r="R661" s="13">
        <f>IFERROR(__xludf.DUMMYFUNCTION("""COMPUTED_VALUE"""),24.0)</f>
        <v>24</v>
      </c>
      <c r="S661" s="15">
        <f>IFERROR(__xludf.DUMMYFUNCTION("""COMPUTED_VALUE"""),0.3333333333333333)</f>
        <v>0.3333333333</v>
      </c>
      <c r="T661" s="16">
        <f>IFERROR(__xludf.DUMMYFUNCTION("""COMPUTED_VALUE"""),267.0)</f>
        <v>267</v>
      </c>
      <c r="U661" s="16">
        <f>IFERROR(__xludf.DUMMYFUNCTION("""COMPUTED_VALUE"""),0.6153846153846154)</f>
        <v>0.6153846154</v>
      </c>
      <c r="V661" s="16">
        <f>IFERROR(__xludf.DUMMYFUNCTION("""COMPUTED_VALUE"""),0.23076923076923078)</f>
        <v>0.2307692308</v>
      </c>
      <c r="W661" s="16">
        <f>IFERROR(__xludf.DUMMYFUNCTION("""COMPUTED_VALUE"""),1.0)</f>
        <v>1</v>
      </c>
      <c r="X661" s="16">
        <f>IFERROR(__xludf.DUMMYFUNCTION("""COMPUTED_VALUE"""),1.8461538461538463)</f>
        <v>1.846153846</v>
      </c>
      <c r="Y661" s="11">
        <f>IFERROR(__xludf.DUMMYFUNCTION("""COMPUTED_VALUE"""),0.0)</f>
        <v>0</v>
      </c>
      <c r="Z661" s="11">
        <f>IFERROR(__xludf.DUMMYFUNCTION("""COMPUTED_VALUE"""),1.0)</f>
        <v>1</v>
      </c>
      <c r="AA661" s="11">
        <f>IFERROR(__xludf.DUMMYFUNCTION("""COMPUTED_VALUE"""),0.0)</f>
        <v>0</v>
      </c>
      <c r="AB661" s="11">
        <f>IFERROR(__xludf.DUMMYFUNCTION("""COMPUTED_VALUE"""),1.0)</f>
        <v>1</v>
      </c>
      <c r="AC661" s="11">
        <f>IFERROR(__xludf.DUMMYFUNCTION("""COMPUTED_VALUE"""),16.0)</f>
        <v>16</v>
      </c>
      <c r="AD661" s="11">
        <f>IFERROR(__xludf.DUMMYFUNCTION("""COMPUTED_VALUE"""),7.0)</f>
        <v>7</v>
      </c>
    </row>
    <row r="662">
      <c r="A662" s="10" t="str">
        <f>IFERROR(__xludf.DUMMYFUNCTION("""COMPUTED_VALUE"""),"Rival")</f>
        <v>Rival</v>
      </c>
      <c r="B662" s="10" t="str">
        <f>IFERROR(__xludf.DUMMYFUNCTION("""COMPUTED_VALUE"""),"RSC002177")</f>
        <v>RSC002177</v>
      </c>
      <c r="C662" s="10" t="str">
        <f>IFERROR(__xludf.DUMMYFUNCTION("""COMPUTED_VALUE"""),"Slygo21")</f>
        <v>Slygo21</v>
      </c>
      <c r="D662" s="36" t="str">
        <f>IFERROR(__xludf.DUMMYFUNCTION("""COMPUTED_VALUE"""),"Black Ice")</f>
        <v>Black Ice</v>
      </c>
      <c r="E662" s="10" t="str">
        <f>IFERROR(__xludf.DUMMYFUNCTION("""COMPUTED_VALUE"""),"Solar")</f>
        <v>Solar</v>
      </c>
      <c r="F662" s="37">
        <f>IFERROR(__xludf.DUMMYFUNCTION("""COMPUTED_VALUE"""),18.071203928955498)</f>
        <v>18.07120393</v>
      </c>
      <c r="G662" s="38">
        <f>IFERROR(__xludf.DUMMYFUNCTION("""COMPUTED_VALUE"""),18.526099481524394)</f>
        <v>18.52609948</v>
      </c>
      <c r="H662" s="38">
        <f>IFERROR(__xludf.DUMMYFUNCTION("""COMPUTED_VALUE"""),18.298651705239948)</f>
        <v>18.29865171</v>
      </c>
      <c r="I662" s="14">
        <f>IFERROR(__xludf.DUMMYFUNCTION("""COMPUTED_VALUE"""),6.0)</f>
        <v>6</v>
      </c>
      <c r="J662" s="11">
        <f>IFERROR(__xludf.DUMMYFUNCTION("IFERROR(FILTER(Stats!$F:$Z,(Stats!$A:$A=$A662)*(Stats!$B:$B=$B662)))"),2.0)</f>
        <v>2</v>
      </c>
      <c r="K662" s="11">
        <f>IFERROR(__xludf.DUMMYFUNCTION("""COMPUTED_VALUE"""),4.0)</f>
        <v>4</v>
      </c>
      <c r="L662" s="12">
        <f>IFERROR(__xludf.DUMMYFUNCTION("""COMPUTED_VALUE"""),0.3333333333333333)</f>
        <v>0.3333333333</v>
      </c>
      <c r="M662" s="11">
        <f>IFERROR(__xludf.DUMMYFUNCTION("""COMPUTED_VALUE"""),0.0)</f>
        <v>0</v>
      </c>
      <c r="N662" s="11">
        <f>IFERROR(__xludf.DUMMYFUNCTION("""COMPUTED_VALUE"""),1416.0)</f>
        <v>1416</v>
      </c>
      <c r="O662" s="13">
        <f>IFERROR(__xludf.DUMMYFUNCTION("""COMPUTED_VALUE"""),4.0)</f>
        <v>4</v>
      </c>
      <c r="P662" s="14">
        <f>IFERROR(__xludf.DUMMYFUNCTION("""COMPUTED_VALUE"""),2.0)</f>
        <v>2</v>
      </c>
      <c r="Q662" s="13">
        <f>IFERROR(__xludf.DUMMYFUNCTION("""COMPUTED_VALUE"""),2.0)</f>
        <v>2</v>
      </c>
      <c r="R662" s="13">
        <f>IFERROR(__xludf.DUMMYFUNCTION("""COMPUTED_VALUE"""),14.0)</f>
        <v>14</v>
      </c>
      <c r="S662" s="15">
        <f>IFERROR(__xludf.DUMMYFUNCTION("""COMPUTED_VALUE"""),0.2857142857142857)</f>
        <v>0.2857142857</v>
      </c>
      <c r="T662" s="16">
        <f>IFERROR(__xludf.DUMMYFUNCTION("""COMPUTED_VALUE"""),236.0)</f>
        <v>236</v>
      </c>
      <c r="U662" s="16">
        <f>IFERROR(__xludf.DUMMYFUNCTION("""COMPUTED_VALUE"""),0.6666666666666666)</f>
        <v>0.6666666667</v>
      </c>
      <c r="V662" s="16">
        <f>IFERROR(__xludf.DUMMYFUNCTION("""COMPUTED_VALUE"""),0.3333333333333333)</f>
        <v>0.3333333333</v>
      </c>
      <c r="W662" s="16">
        <f>IFERROR(__xludf.DUMMYFUNCTION("""COMPUTED_VALUE"""),0.3333333333333333)</f>
        <v>0.3333333333</v>
      </c>
      <c r="X662" s="16">
        <f>IFERROR(__xludf.DUMMYFUNCTION("""COMPUTED_VALUE"""),2.3333333333333335)</f>
        <v>2.333333333</v>
      </c>
      <c r="Y662" s="11">
        <f>IFERROR(__xludf.DUMMYFUNCTION("""COMPUTED_VALUE"""),0.0)</f>
        <v>0</v>
      </c>
      <c r="Z662" s="11">
        <f>IFERROR(__xludf.DUMMYFUNCTION("""COMPUTED_VALUE"""),0.0)</f>
        <v>0</v>
      </c>
      <c r="AA662" s="11">
        <f>IFERROR(__xludf.DUMMYFUNCTION("""COMPUTED_VALUE"""),0.0)</f>
        <v>0</v>
      </c>
      <c r="AB662" s="11">
        <f>IFERROR(__xludf.DUMMYFUNCTION("""COMPUTED_VALUE"""),0.0)</f>
        <v>0</v>
      </c>
      <c r="AC662" s="11">
        <f>IFERROR(__xludf.DUMMYFUNCTION("""COMPUTED_VALUE"""),5.0)</f>
        <v>5</v>
      </c>
      <c r="AD662" s="11">
        <f>IFERROR(__xludf.DUMMYFUNCTION("""COMPUTED_VALUE"""),7.0)</f>
        <v>7</v>
      </c>
    </row>
    <row r="663">
      <c r="A663" s="10" t="str">
        <f>IFERROR(__xludf.DUMMYFUNCTION("""COMPUTED_VALUE"""),"Rival")</f>
        <v>Rival</v>
      </c>
      <c r="B663" s="10" t="str">
        <f>IFERROR(__xludf.DUMMYFUNCTION("""COMPUTED_VALUE"""),"RSC000938")</f>
        <v>RSC000938</v>
      </c>
      <c r="C663" s="10" t="str">
        <f>IFERROR(__xludf.DUMMYFUNCTION("""COMPUTED_VALUE"""),"Nukem_IV")</f>
        <v>Nukem_IV</v>
      </c>
      <c r="D663" s="36" t="str">
        <f>IFERROR(__xludf.DUMMYFUNCTION("""COMPUTED_VALUE"""),"Ruthless Racket
Liars")</f>
        <v>Ruthless Racket
Liars</v>
      </c>
      <c r="E663" s="10" t="str">
        <f>IFERROR(__xludf.DUMMYFUNCTION("""COMPUTED_VALUE"""),"Lunar
Solar")</f>
        <v>Lunar
Solar</v>
      </c>
      <c r="F663" s="37">
        <f>IFERROR(__xludf.DUMMYFUNCTION("""COMPUTED_VALUE"""),21.475216917247273)</f>
        <v>21.47521692</v>
      </c>
      <c r="G663" s="38">
        <f>IFERROR(__xludf.DUMMYFUNCTION("""COMPUTED_VALUE"""),12.454233708270088)</f>
        <v>12.45423371</v>
      </c>
      <c r="H663" s="38">
        <f>IFERROR(__xludf.DUMMYFUNCTION("""COMPUTED_VALUE"""),16.96472531275868)</f>
        <v>16.96472531</v>
      </c>
      <c r="I663" s="14">
        <f>IFERROR(__xludf.DUMMYFUNCTION("""COMPUTED_VALUE"""),11.0)</f>
        <v>11</v>
      </c>
      <c r="J663" s="11">
        <f>IFERROR(__xludf.DUMMYFUNCTION("IFERROR(FILTER(Stats!$F:$Z,(Stats!$A:$A=$A663)*(Stats!$B:$B=$B663)))"),4.0)</f>
        <v>4</v>
      </c>
      <c r="K663" s="11">
        <f>IFERROR(__xludf.DUMMYFUNCTION("""COMPUTED_VALUE"""),7.0)</f>
        <v>7</v>
      </c>
      <c r="L663" s="12">
        <f>IFERROR(__xludf.DUMMYFUNCTION("""COMPUTED_VALUE"""),0.36363636363636365)</f>
        <v>0.3636363636</v>
      </c>
      <c r="M663" s="11">
        <f>IFERROR(__xludf.DUMMYFUNCTION("""COMPUTED_VALUE"""),2.0)</f>
        <v>2</v>
      </c>
      <c r="N663" s="11">
        <f>IFERROR(__xludf.DUMMYFUNCTION("""COMPUTED_VALUE"""),3117.0)</f>
        <v>3117</v>
      </c>
      <c r="O663" s="13">
        <f>IFERROR(__xludf.DUMMYFUNCTION("""COMPUTED_VALUE"""),6.0)</f>
        <v>6</v>
      </c>
      <c r="P663" s="14">
        <f>IFERROR(__xludf.DUMMYFUNCTION("""COMPUTED_VALUE"""),3.0)</f>
        <v>3</v>
      </c>
      <c r="Q663" s="13">
        <f>IFERROR(__xludf.DUMMYFUNCTION("""COMPUTED_VALUE"""),13.0)</f>
        <v>13</v>
      </c>
      <c r="R663" s="13">
        <f>IFERROR(__xludf.DUMMYFUNCTION("""COMPUTED_VALUE"""),23.0)</f>
        <v>23</v>
      </c>
      <c r="S663" s="15">
        <f>IFERROR(__xludf.DUMMYFUNCTION("""COMPUTED_VALUE"""),0.2608695652173913)</f>
        <v>0.2608695652</v>
      </c>
      <c r="T663" s="16">
        <f>IFERROR(__xludf.DUMMYFUNCTION("""COMPUTED_VALUE"""),283.3636363636364)</f>
        <v>283.3636364</v>
      </c>
      <c r="U663" s="16">
        <f>IFERROR(__xludf.DUMMYFUNCTION("""COMPUTED_VALUE"""),0.5454545454545454)</f>
        <v>0.5454545455</v>
      </c>
      <c r="V663" s="16">
        <f>IFERROR(__xludf.DUMMYFUNCTION("""COMPUTED_VALUE"""),0.2727272727272727)</f>
        <v>0.2727272727</v>
      </c>
      <c r="W663" s="16">
        <f>IFERROR(__xludf.DUMMYFUNCTION("""COMPUTED_VALUE"""),1.1818181818181819)</f>
        <v>1.181818182</v>
      </c>
      <c r="X663" s="16">
        <f>IFERROR(__xludf.DUMMYFUNCTION("""COMPUTED_VALUE"""),2.090909090909091)</f>
        <v>2.090909091</v>
      </c>
      <c r="Y663" s="11">
        <f>IFERROR(__xludf.DUMMYFUNCTION("""COMPUTED_VALUE"""),2.0)</f>
        <v>2</v>
      </c>
      <c r="Z663" s="11">
        <f>IFERROR(__xludf.DUMMYFUNCTION("""COMPUTED_VALUE"""),0.0)</f>
        <v>0</v>
      </c>
      <c r="AA663" s="11">
        <f>IFERROR(__xludf.DUMMYFUNCTION("""COMPUTED_VALUE"""),0.0)</f>
        <v>0</v>
      </c>
      <c r="AB663" s="11">
        <f>IFERROR(__xludf.DUMMYFUNCTION("""COMPUTED_VALUE"""),1.0)</f>
        <v>1</v>
      </c>
      <c r="AC663" s="11">
        <f>IFERROR(__xludf.DUMMYFUNCTION("""COMPUTED_VALUE"""),10.0)</f>
        <v>10</v>
      </c>
      <c r="AD663" s="11">
        <f>IFERROR(__xludf.DUMMYFUNCTION("""COMPUTED_VALUE"""),14.0)</f>
        <v>14</v>
      </c>
    </row>
    <row r="664">
      <c r="A664" s="10" t="str">
        <f>IFERROR(__xludf.DUMMYFUNCTION("""COMPUTED_VALUE"""),"Rival")</f>
        <v>Rival</v>
      </c>
      <c r="B664" s="10" t="str">
        <f>IFERROR(__xludf.DUMMYFUNCTION("""COMPUTED_VALUE"""),"RSC006755")</f>
        <v>RSC006755</v>
      </c>
      <c r="C664" s="10" t="str">
        <f>IFERROR(__xludf.DUMMYFUNCTION("""COMPUTED_VALUE"""),"Fox_gt_400")</f>
        <v>Fox_gt_400</v>
      </c>
      <c r="D664" s="36" t="str">
        <f>IFERROR(__xludf.DUMMYFUNCTION("""COMPUTED_VALUE"""),"Gaboons")</f>
        <v>Gaboons</v>
      </c>
      <c r="E664" s="10" t="str">
        <f>IFERROR(__xludf.DUMMYFUNCTION("""COMPUTED_VALUE"""),"Lunar")</f>
        <v>Lunar</v>
      </c>
      <c r="F664" s="37">
        <f>IFERROR(__xludf.DUMMYFUNCTION("""COMPUTED_VALUE"""),7.838425111574082)</f>
        <v>7.838425112</v>
      </c>
      <c r="G664" s="38">
        <f>IFERROR(__xludf.DUMMYFUNCTION("""COMPUTED_VALUE"""),15.969363259225219)</f>
        <v>15.96936326</v>
      </c>
      <c r="H664" s="38">
        <f>IFERROR(__xludf.DUMMYFUNCTION("""COMPUTED_VALUE"""),11.90389418539965)</f>
        <v>11.90389419</v>
      </c>
      <c r="I664" s="14">
        <f>IFERROR(__xludf.DUMMYFUNCTION("""COMPUTED_VALUE"""),4.0)</f>
        <v>4</v>
      </c>
      <c r="J664" s="11">
        <f>IFERROR(__xludf.DUMMYFUNCTION("IFERROR(FILTER(Stats!$F:$Z,(Stats!$A:$A=$A664)*(Stats!$B:$B=$B664)))"),0.0)</f>
        <v>0</v>
      </c>
      <c r="K664" s="11">
        <f>IFERROR(__xludf.DUMMYFUNCTION("""COMPUTED_VALUE"""),4.0)</f>
        <v>4</v>
      </c>
      <c r="L664" s="12">
        <f>IFERROR(__xludf.DUMMYFUNCTION("""COMPUTED_VALUE"""),0.0)</f>
        <v>0</v>
      </c>
      <c r="M664" s="11">
        <f>IFERROR(__xludf.DUMMYFUNCTION("""COMPUTED_VALUE"""),0.0)</f>
        <v>0</v>
      </c>
      <c r="N664" s="11">
        <f>IFERROR(__xludf.DUMMYFUNCTION("""COMPUTED_VALUE"""),1201.0)</f>
        <v>1201</v>
      </c>
      <c r="O664" s="13">
        <f>IFERROR(__xludf.DUMMYFUNCTION("""COMPUTED_VALUE"""),2.0)</f>
        <v>2</v>
      </c>
      <c r="P664" s="14">
        <f>IFERROR(__xludf.DUMMYFUNCTION("""COMPUTED_VALUE"""),3.0)</f>
        <v>3</v>
      </c>
      <c r="Q664" s="13">
        <f>IFERROR(__xludf.DUMMYFUNCTION("""COMPUTED_VALUE"""),6.0)</f>
        <v>6</v>
      </c>
      <c r="R664" s="13">
        <f>IFERROR(__xludf.DUMMYFUNCTION("""COMPUTED_VALUE"""),6.0)</f>
        <v>6</v>
      </c>
      <c r="S664" s="15">
        <f>IFERROR(__xludf.DUMMYFUNCTION("""COMPUTED_VALUE"""),0.3333333333333333)</f>
        <v>0.3333333333</v>
      </c>
      <c r="T664" s="16">
        <f>IFERROR(__xludf.DUMMYFUNCTION("""COMPUTED_VALUE"""),300.25)</f>
        <v>300.25</v>
      </c>
      <c r="U664" s="16">
        <f>IFERROR(__xludf.DUMMYFUNCTION("""COMPUTED_VALUE"""),0.5)</f>
        <v>0.5</v>
      </c>
      <c r="V664" s="16">
        <f>IFERROR(__xludf.DUMMYFUNCTION("""COMPUTED_VALUE"""),0.75)</f>
        <v>0.75</v>
      </c>
      <c r="W664" s="16">
        <f>IFERROR(__xludf.DUMMYFUNCTION("""COMPUTED_VALUE"""),1.5)</f>
        <v>1.5</v>
      </c>
      <c r="X664" s="16">
        <f>IFERROR(__xludf.DUMMYFUNCTION("""COMPUTED_VALUE"""),1.5)</f>
        <v>1.5</v>
      </c>
      <c r="Y664" s="11">
        <f>IFERROR(__xludf.DUMMYFUNCTION("""COMPUTED_VALUE"""),0.0)</f>
        <v>0</v>
      </c>
      <c r="Z664" s="11">
        <f>IFERROR(__xludf.DUMMYFUNCTION("""COMPUTED_VALUE"""),0.0)</f>
        <v>0</v>
      </c>
      <c r="AA664" s="11">
        <f>IFERROR(__xludf.DUMMYFUNCTION("""COMPUTED_VALUE"""),0.0)</f>
        <v>0</v>
      </c>
      <c r="AB664" s="11">
        <f>IFERROR(__xludf.DUMMYFUNCTION("""COMPUTED_VALUE"""),1.0)</f>
        <v>1</v>
      </c>
      <c r="AC664" s="11">
        <f>IFERROR(__xludf.DUMMYFUNCTION("""COMPUTED_VALUE"""),1.0)</f>
        <v>1</v>
      </c>
      <c r="AD664" s="11">
        <f>IFERROR(__xludf.DUMMYFUNCTION("""COMPUTED_VALUE"""),6.0)</f>
        <v>6</v>
      </c>
    </row>
    <row r="665">
      <c r="A665" s="10" t="str">
        <f>IFERROR(__xludf.DUMMYFUNCTION("""COMPUTED_VALUE"""),"Rival")</f>
        <v>Rival</v>
      </c>
      <c r="B665" s="10" t="str">
        <f>IFERROR(__xludf.DUMMYFUNCTION("""COMPUTED_VALUE"""),"RSC006747")</f>
        <v>RSC006747</v>
      </c>
      <c r="C665" s="10" t="str">
        <f>IFERROR(__xludf.DUMMYFUNCTION("""COMPUTED_VALUE"""),"Panda")</f>
        <v>Panda</v>
      </c>
      <c r="D665" s="36" t="str">
        <f>IFERROR(__xludf.DUMMYFUNCTION("""COMPUTED_VALUE"""),"Ocelots")</f>
        <v>Ocelots</v>
      </c>
      <c r="E665" s="10" t="str">
        <f>IFERROR(__xludf.DUMMYFUNCTION("""COMPUTED_VALUE"""),"Solar")</f>
        <v>Solar</v>
      </c>
      <c r="F665" s="37">
        <f>IFERROR(__xludf.DUMMYFUNCTION("""COMPUTED_VALUE"""),9.913161504832246)</f>
        <v>9.913161505</v>
      </c>
      <c r="G665" s="38">
        <f>IFERROR(__xludf.DUMMYFUNCTION("""COMPUTED_VALUE"""),13.733398334389065)</f>
        <v>13.73339833</v>
      </c>
      <c r="H665" s="38">
        <f>IFERROR(__xludf.DUMMYFUNCTION("""COMPUTED_VALUE"""),11.823279919610655)</f>
        <v>11.82327992</v>
      </c>
      <c r="I665" s="14">
        <f>IFERROR(__xludf.DUMMYFUNCTION("""COMPUTED_VALUE"""),44.0)</f>
        <v>44</v>
      </c>
      <c r="J665" s="11">
        <f>IFERROR(__xludf.DUMMYFUNCTION("IFERROR(FILTER(Stats!$F:$Z,(Stats!$A:$A=$A665)*(Stats!$B:$B=$B665)))"),20.0)</f>
        <v>20</v>
      </c>
      <c r="K665" s="11">
        <f>IFERROR(__xludf.DUMMYFUNCTION("""COMPUTED_VALUE"""),24.0)</f>
        <v>24</v>
      </c>
      <c r="L665" s="12">
        <f>IFERROR(__xludf.DUMMYFUNCTION("""COMPUTED_VALUE"""),0.45454545454545453)</f>
        <v>0.4545454545</v>
      </c>
      <c r="M665" s="11">
        <f>IFERROR(__xludf.DUMMYFUNCTION("""COMPUTED_VALUE"""),1.0)</f>
        <v>1</v>
      </c>
      <c r="N665" s="11">
        <f>IFERROR(__xludf.DUMMYFUNCTION("""COMPUTED_VALUE"""),10394.0)</f>
        <v>10394</v>
      </c>
      <c r="O665" s="13">
        <f>IFERROR(__xludf.DUMMYFUNCTION("""COMPUTED_VALUE"""),24.0)</f>
        <v>24</v>
      </c>
      <c r="P665" s="14">
        <f>IFERROR(__xludf.DUMMYFUNCTION("""COMPUTED_VALUE"""),18.0)</f>
        <v>18</v>
      </c>
      <c r="Q665" s="13">
        <f>IFERROR(__xludf.DUMMYFUNCTION("""COMPUTED_VALUE"""),33.0)</f>
        <v>33</v>
      </c>
      <c r="R665" s="13">
        <f>IFERROR(__xludf.DUMMYFUNCTION("""COMPUTED_VALUE"""),68.0)</f>
        <v>68</v>
      </c>
      <c r="S665" s="15">
        <f>IFERROR(__xludf.DUMMYFUNCTION("""COMPUTED_VALUE"""),0.35294117647058826)</f>
        <v>0.3529411765</v>
      </c>
      <c r="T665" s="16">
        <f>IFERROR(__xludf.DUMMYFUNCTION("""COMPUTED_VALUE"""),236.22727272727272)</f>
        <v>236.2272727</v>
      </c>
      <c r="U665" s="16">
        <f>IFERROR(__xludf.DUMMYFUNCTION("""COMPUTED_VALUE"""),0.5454545454545454)</f>
        <v>0.5454545455</v>
      </c>
      <c r="V665" s="16">
        <f>IFERROR(__xludf.DUMMYFUNCTION("""COMPUTED_VALUE"""),0.4090909090909091)</f>
        <v>0.4090909091</v>
      </c>
      <c r="W665" s="16">
        <f>IFERROR(__xludf.DUMMYFUNCTION("""COMPUTED_VALUE"""),0.75)</f>
        <v>0.75</v>
      </c>
      <c r="X665" s="16">
        <f>IFERROR(__xludf.DUMMYFUNCTION("""COMPUTED_VALUE"""),1.5454545454545454)</f>
        <v>1.545454545</v>
      </c>
      <c r="Y665" s="11">
        <f>IFERROR(__xludf.DUMMYFUNCTION("""COMPUTED_VALUE"""),6.0)</f>
        <v>6</v>
      </c>
      <c r="Z665" s="11">
        <f>IFERROR(__xludf.DUMMYFUNCTION("""COMPUTED_VALUE"""),1.0)</f>
        <v>1</v>
      </c>
      <c r="AA665" s="11">
        <f>IFERROR(__xludf.DUMMYFUNCTION("""COMPUTED_VALUE"""),0.0)</f>
        <v>0</v>
      </c>
      <c r="AB665" s="11">
        <f>IFERROR(__xludf.DUMMYFUNCTION("""COMPUTED_VALUE"""),0.0)</f>
        <v>0</v>
      </c>
      <c r="AC665" s="11">
        <f>IFERROR(__xludf.DUMMYFUNCTION("""COMPUTED_VALUE"""),72.0)</f>
        <v>72</v>
      </c>
      <c r="AD665" s="11">
        <f>IFERROR(__xludf.DUMMYFUNCTION("""COMPUTED_VALUE"""),36.0)</f>
        <v>36</v>
      </c>
    </row>
    <row r="666">
      <c r="A666" s="10" t="str">
        <f>IFERROR(__xludf.DUMMYFUNCTION("""COMPUTED_VALUE"""),"Rival")</f>
        <v>Rival</v>
      </c>
      <c r="B666" s="10" t="str">
        <f>IFERROR(__xludf.DUMMYFUNCTION("""COMPUTED_VALUE"""),"RSC007406")</f>
        <v>RSC007406</v>
      </c>
      <c r="C666" s="10" t="str">
        <f>IFERROR(__xludf.DUMMYFUNCTION("""COMPUTED_VALUE"""),"junior1000gsxr")</f>
        <v>junior1000gsxr</v>
      </c>
      <c r="D666" s="36" t="str">
        <f>IFERROR(__xludf.DUMMYFUNCTION("""COMPUTED_VALUE"""),"Kitsune
Quasars")</f>
        <v>Kitsune
Quasars</v>
      </c>
      <c r="E666" s="10" t="str">
        <f>IFERROR(__xludf.DUMMYFUNCTION("""COMPUTED_VALUE"""),"Solar
Lunar")</f>
        <v>Solar
Lunar</v>
      </c>
      <c r="F666" s="37">
        <f>IFERROR(__xludf.DUMMYFUNCTION("""COMPUTED_VALUE"""),10.339722739465444)</f>
        <v>10.33972274</v>
      </c>
      <c r="G666" s="38">
        <f>IFERROR(__xludf.DUMMYFUNCTION("""COMPUTED_VALUE"""),12.638847432012007)</f>
        <v>12.63884743</v>
      </c>
      <c r="H666" s="38">
        <f>IFERROR(__xludf.DUMMYFUNCTION("""COMPUTED_VALUE"""),11.489285085738725)</f>
        <v>11.48928509</v>
      </c>
      <c r="I666" s="14">
        <f>IFERROR(__xludf.DUMMYFUNCTION("""COMPUTED_VALUE"""),10.0)</f>
        <v>10</v>
      </c>
      <c r="J666" s="11">
        <f>IFERROR(__xludf.DUMMYFUNCTION("IFERROR(FILTER(Stats!$F:$Z,(Stats!$A:$A=$A666)*(Stats!$B:$B=$B666)))"),3.0)</f>
        <v>3</v>
      </c>
      <c r="K666" s="11">
        <f>IFERROR(__xludf.DUMMYFUNCTION("""COMPUTED_VALUE"""),7.0)</f>
        <v>7</v>
      </c>
      <c r="L666" s="12">
        <f>IFERROR(__xludf.DUMMYFUNCTION("""COMPUTED_VALUE"""),0.3)</f>
        <v>0.3</v>
      </c>
      <c r="M666" s="11">
        <f>IFERROR(__xludf.DUMMYFUNCTION("""COMPUTED_VALUE"""),0.0)</f>
        <v>0</v>
      </c>
      <c r="N666" s="11">
        <f>IFERROR(__xludf.DUMMYFUNCTION("""COMPUTED_VALUE"""),2375.0)</f>
        <v>2375</v>
      </c>
      <c r="O666" s="13">
        <f>IFERROR(__xludf.DUMMYFUNCTION("""COMPUTED_VALUE"""),4.0)</f>
        <v>4</v>
      </c>
      <c r="P666" s="14">
        <f>IFERROR(__xludf.DUMMYFUNCTION("""COMPUTED_VALUE"""),2.0)</f>
        <v>2</v>
      </c>
      <c r="Q666" s="13">
        <f>IFERROR(__xludf.DUMMYFUNCTION("""COMPUTED_VALUE"""),9.0)</f>
        <v>9</v>
      </c>
      <c r="R666" s="13">
        <f>IFERROR(__xludf.DUMMYFUNCTION("""COMPUTED_VALUE"""),17.0)</f>
        <v>17</v>
      </c>
      <c r="S666" s="15">
        <f>IFERROR(__xludf.DUMMYFUNCTION("""COMPUTED_VALUE"""),0.23529411764705882)</f>
        <v>0.2352941176</v>
      </c>
      <c r="T666" s="16">
        <f>IFERROR(__xludf.DUMMYFUNCTION("""COMPUTED_VALUE"""),237.5)</f>
        <v>237.5</v>
      </c>
      <c r="U666" s="16">
        <f>IFERROR(__xludf.DUMMYFUNCTION("""COMPUTED_VALUE"""),0.4)</f>
        <v>0.4</v>
      </c>
      <c r="V666" s="16">
        <f>IFERROR(__xludf.DUMMYFUNCTION("""COMPUTED_VALUE"""),0.2)</f>
        <v>0.2</v>
      </c>
      <c r="W666" s="16">
        <f>IFERROR(__xludf.DUMMYFUNCTION("""COMPUTED_VALUE"""),0.9)</f>
        <v>0.9</v>
      </c>
      <c r="X666" s="16">
        <f>IFERROR(__xludf.DUMMYFUNCTION("""COMPUTED_VALUE"""),1.7)</f>
        <v>1.7</v>
      </c>
      <c r="Y666" s="11">
        <f>IFERROR(__xludf.DUMMYFUNCTION("""COMPUTED_VALUE"""),0.0)</f>
        <v>0</v>
      </c>
      <c r="Z666" s="11">
        <f>IFERROR(__xludf.DUMMYFUNCTION("""COMPUTED_VALUE"""),0.0)</f>
        <v>0</v>
      </c>
      <c r="AA666" s="11">
        <f>IFERROR(__xludf.DUMMYFUNCTION("""COMPUTED_VALUE"""),0.0)</f>
        <v>0</v>
      </c>
      <c r="AB666" s="11">
        <f>IFERROR(__xludf.DUMMYFUNCTION("""COMPUTED_VALUE"""),0.0)</f>
        <v>0</v>
      </c>
      <c r="AC666" s="11">
        <f>IFERROR(__xludf.DUMMYFUNCTION("""COMPUTED_VALUE"""),28.0)</f>
        <v>28</v>
      </c>
      <c r="AD666" s="11">
        <f>IFERROR(__xludf.DUMMYFUNCTION("""COMPUTED_VALUE"""),9.0)</f>
        <v>9</v>
      </c>
    </row>
    <row r="667">
      <c r="A667" s="10" t="str">
        <f>IFERROR(__xludf.DUMMYFUNCTION("""COMPUTED_VALUE"""),"Rival")</f>
        <v>Rival</v>
      </c>
      <c r="B667" s="10" t="str">
        <f>IFERROR(__xludf.DUMMYFUNCTION("""COMPUTED_VALUE"""),"RSC001202")</f>
        <v>RSC001202</v>
      </c>
      <c r="C667" s="10" t="str">
        <f>IFERROR(__xludf.DUMMYFUNCTION("""COMPUTED_VALUE"""),"Clown Sandwich")</f>
        <v>Clown Sandwich</v>
      </c>
      <c r="D667" s="36" t="str">
        <f>IFERROR(__xludf.DUMMYFUNCTION("""COMPUTED_VALUE"""),"Gaboons")</f>
        <v>Gaboons</v>
      </c>
      <c r="E667" s="10" t="str">
        <f>IFERROR(__xludf.DUMMYFUNCTION("""COMPUTED_VALUE"""),"Lunar")</f>
        <v>Lunar</v>
      </c>
      <c r="F667" s="37">
        <f>IFERROR(__xludf.DUMMYFUNCTION("""COMPUTED_VALUE"""),17.392747849489396)</f>
        <v>17.39274785</v>
      </c>
      <c r="G667" s="38">
        <f>IFERROR(__xludf.DUMMYFUNCTION("""COMPUTED_VALUE"""),2.495871878811627)</f>
        <v>2.495871879</v>
      </c>
      <c r="H667" s="38">
        <f>IFERROR(__xludf.DUMMYFUNCTION("""COMPUTED_VALUE"""),9.944309864150512)</f>
        <v>9.944309864</v>
      </c>
      <c r="I667" s="14">
        <f>IFERROR(__xludf.DUMMYFUNCTION("""COMPUTED_VALUE"""),14.0)</f>
        <v>14</v>
      </c>
      <c r="J667" s="11">
        <f>IFERROR(__xludf.DUMMYFUNCTION("IFERROR(FILTER(Stats!$F:$Z,(Stats!$A:$A=$A667)*(Stats!$B:$B=$B667)))"),1.0)</f>
        <v>1</v>
      </c>
      <c r="K667" s="11">
        <f>IFERROR(__xludf.DUMMYFUNCTION("""COMPUTED_VALUE"""),13.0)</f>
        <v>13</v>
      </c>
      <c r="L667" s="12">
        <f>IFERROR(__xludf.DUMMYFUNCTION("""COMPUTED_VALUE"""),0.07142857142857142)</f>
        <v>0.07142857143</v>
      </c>
      <c r="M667" s="11">
        <f>IFERROR(__xludf.DUMMYFUNCTION("""COMPUTED_VALUE"""),0.0)</f>
        <v>0</v>
      </c>
      <c r="N667" s="11">
        <f>IFERROR(__xludf.DUMMYFUNCTION("""COMPUTED_VALUE"""),4071.0)</f>
        <v>4071</v>
      </c>
      <c r="O667" s="13">
        <f>IFERROR(__xludf.DUMMYFUNCTION("""COMPUTED_VALUE"""),8.0)</f>
        <v>8</v>
      </c>
      <c r="P667" s="14">
        <f>IFERROR(__xludf.DUMMYFUNCTION("""COMPUTED_VALUE"""),4.0)</f>
        <v>4</v>
      </c>
      <c r="Q667" s="13">
        <f>IFERROR(__xludf.DUMMYFUNCTION("""COMPUTED_VALUE"""),23.0)</f>
        <v>23</v>
      </c>
      <c r="R667" s="13">
        <f>IFERROR(__xludf.DUMMYFUNCTION("""COMPUTED_VALUE"""),20.0)</f>
        <v>20</v>
      </c>
      <c r="S667" s="15">
        <f>IFERROR(__xludf.DUMMYFUNCTION("""COMPUTED_VALUE"""),0.4)</f>
        <v>0.4</v>
      </c>
      <c r="T667" s="16">
        <f>IFERROR(__xludf.DUMMYFUNCTION("""COMPUTED_VALUE"""),290.7857142857143)</f>
        <v>290.7857143</v>
      </c>
      <c r="U667" s="16">
        <f>IFERROR(__xludf.DUMMYFUNCTION("""COMPUTED_VALUE"""),0.5714285714285714)</f>
        <v>0.5714285714</v>
      </c>
      <c r="V667" s="16">
        <f>IFERROR(__xludf.DUMMYFUNCTION("""COMPUTED_VALUE"""),0.2857142857142857)</f>
        <v>0.2857142857</v>
      </c>
      <c r="W667" s="16">
        <f>IFERROR(__xludf.DUMMYFUNCTION("""COMPUTED_VALUE"""),1.6428571428571428)</f>
        <v>1.642857143</v>
      </c>
      <c r="X667" s="16">
        <f>IFERROR(__xludf.DUMMYFUNCTION("""COMPUTED_VALUE"""),1.4285714285714286)</f>
        <v>1.428571429</v>
      </c>
      <c r="Y667" s="11">
        <f>IFERROR(__xludf.DUMMYFUNCTION("""COMPUTED_VALUE"""),1.0)</f>
        <v>1</v>
      </c>
      <c r="Z667" s="11">
        <f>IFERROR(__xludf.DUMMYFUNCTION("""COMPUTED_VALUE"""),0.0)</f>
        <v>0</v>
      </c>
      <c r="AA667" s="11">
        <f>IFERROR(__xludf.DUMMYFUNCTION("""COMPUTED_VALUE"""),1.0)</f>
        <v>1</v>
      </c>
      <c r="AB667" s="11">
        <f>IFERROR(__xludf.DUMMYFUNCTION("""COMPUTED_VALUE"""),4.0)</f>
        <v>4</v>
      </c>
      <c r="AC667" s="11">
        <f>IFERROR(__xludf.DUMMYFUNCTION("""COMPUTED_VALUE"""),6.0)</f>
        <v>6</v>
      </c>
      <c r="AD667" s="11">
        <f>IFERROR(__xludf.DUMMYFUNCTION("""COMPUTED_VALUE"""),16.0)</f>
        <v>16</v>
      </c>
    </row>
    <row r="668">
      <c r="A668" s="10" t="str">
        <f>IFERROR(__xludf.DUMMYFUNCTION("""COMPUTED_VALUE"""),"Rival")</f>
        <v>Rival</v>
      </c>
      <c r="B668" s="10" t="str">
        <f>IFERROR(__xludf.DUMMYFUNCTION("""COMPUTED_VALUE"""),"RSC008135")</f>
        <v>RSC008135</v>
      </c>
      <c r="C668" s="10" t="str">
        <f>IFERROR(__xludf.DUMMYFUNCTION("""COMPUTED_VALUE"""),"Ezio_256")</f>
        <v>Ezio_256</v>
      </c>
      <c r="D668" s="36" t="str">
        <f>IFERROR(__xludf.DUMMYFUNCTION("""COMPUTED_VALUE"""),"Phantoms")</f>
        <v>Phantoms</v>
      </c>
      <c r="E668" s="10" t="str">
        <f>IFERROR(__xludf.DUMMYFUNCTION("""COMPUTED_VALUE"""),"Lunar")</f>
        <v>Lunar</v>
      </c>
      <c r="F668" s="37">
        <f>IFERROR(__xludf.DUMMYFUNCTION("""COMPUTED_VALUE"""),12.648564969902253)</f>
        <v>12.64856497</v>
      </c>
      <c r="G668" s="38">
        <f>IFERROR(__xludf.DUMMYFUNCTION("""COMPUTED_VALUE"""),3.80830140925449)</f>
        <v>3.808301409</v>
      </c>
      <c r="H668" s="38">
        <f>IFERROR(__xludf.DUMMYFUNCTION("""COMPUTED_VALUE"""),8.228433189578372)</f>
        <v>8.22843319</v>
      </c>
      <c r="I668" s="14">
        <f>IFERROR(__xludf.DUMMYFUNCTION("""COMPUTED_VALUE"""),35.0)</f>
        <v>35</v>
      </c>
      <c r="J668" s="11">
        <f>IFERROR(__xludf.DUMMYFUNCTION("IFERROR(FILTER(Stats!$F:$Z,(Stats!$A:$A=$A668)*(Stats!$B:$B=$B668)))"),9.0)</f>
        <v>9</v>
      </c>
      <c r="K668" s="11">
        <f>IFERROR(__xludf.DUMMYFUNCTION("""COMPUTED_VALUE"""),26.0)</f>
        <v>26</v>
      </c>
      <c r="L668" s="12">
        <f>IFERROR(__xludf.DUMMYFUNCTION("""COMPUTED_VALUE"""),0.2571428571428571)</f>
        <v>0.2571428571</v>
      </c>
      <c r="M668" s="11">
        <f>IFERROR(__xludf.DUMMYFUNCTION("""COMPUTED_VALUE"""),1.0)</f>
        <v>1</v>
      </c>
      <c r="N668" s="11">
        <f>IFERROR(__xludf.DUMMYFUNCTION("""COMPUTED_VALUE"""),10029.0)</f>
        <v>10029</v>
      </c>
      <c r="O668" s="13">
        <f>IFERROR(__xludf.DUMMYFUNCTION("""COMPUTED_VALUE"""),16.0)</f>
        <v>16</v>
      </c>
      <c r="P668" s="14">
        <f>IFERROR(__xludf.DUMMYFUNCTION("""COMPUTED_VALUE"""),11.0)</f>
        <v>11</v>
      </c>
      <c r="Q668" s="13">
        <f>IFERROR(__xludf.DUMMYFUNCTION("""COMPUTED_VALUE"""),52.0)</f>
        <v>52</v>
      </c>
      <c r="R668" s="13">
        <f>IFERROR(__xludf.DUMMYFUNCTION("""COMPUTED_VALUE"""),61.0)</f>
        <v>61</v>
      </c>
      <c r="S668" s="15">
        <f>IFERROR(__xludf.DUMMYFUNCTION("""COMPUTED_VALUE"""),0.26229508196721313)</f>
        <v>0.262295082</v>
      </c>
      <c r="T668" s="16">
        <f>IFERROR(__xludf.DUMMYFUNCTION("""COMPUTED_VALUE"""),286.54285714285714)</f>
        <v>286.5428571</v>
      </c>
      <c r="U668" s="16">
        <f>IFERROR(__xludf.DUMMYFUNCTION("""COMPUTED_VALUE"""),0.45714285714285713)</f>
        <v>0.4571428571</v>
      </c>
      <c r="V668" s="16">
        <f>IFERROR(__xludf.DUMMYFUNCTION("""COMPUTED_VALUE"""),0.3142857142857143)</f>
        <v>0.3142857143</v>
      </c>
      <c r="W668" s="16">
        <f>IFERROR(__xludf.DUMMYFUNCTION("""COMPUTED_VALUE"""),1.4857142857142858)</f>
        <v>1.485714286</v>
      </c>
      <c r="X668" s="16">
        <f>IFERROR(__xludf.DUMMYFUNCTION("""COMPUTED_VALUE"""),1.7428571428571429)</f>
        <v>1.742857143</v>
      </c>
      <c r="Y668" s="11">
        <f>IFERROR(__xludf.DUMMYFUNCTION("""COMPUTED_VALUE"""),2.0)</f>
        <v>2</v>
      </c>
      <c r="Z668" s="11">
        <f>IFERROR(__xludf.DUMMYFUNCTION("""COMPUTED_VALUE"""),0.0)</f>
        <v>0</v>
      </c>
      <c r="AA668" s="11">
        <f>IFERROR(__xludf.DUMMYFUNCTION("""COMPUTED_VALUE"""),0.0)</f>
        <v>0</v>
      </c>
      <c r="AB668" s="11">
        <f>IFERROR(__xludf.DUMMYFUNCTION("""COMPUTED_VALUE"""),7.0)</f>
        <v>7</v>
      </c>
      <c r="AC668" s="11">
        <f>IFERROR(__xludf.DUMMYFUNCTION("""COMPUTED_VALUE"""),17.0)</f>
        <v>17</v>
      </c>
      <c r="AD668" s="11">
        <f>IFERROR(__xludf.DUMMYFUNCTION("""COMPUTED_VALUE"""),43.0)</f>
        <v>43</v>
      </c>
    </row>
    <row r="669">
      <c r="A669" s="10" t="str">
        <f>IFERROR(__xludf.DUMMYFUNCTION("""COMPUTED_VALUE"""),"Rival")</f>
        <v>Rival</v>
      </c>
      <c r="B669" s="10" t="str">
        <f>IFERROR(__xludf.DUMMYFUNCTION("""COMPUTED_VALUE"""),"RSC008162")</f>
        <v>RSC008162</v>
      </c>
      <c r="C669" s="10" t="str">
        <f>IFERROR(__xludf.DUMMYFUNCTION("""COMPUTED_VALUE"""),"ThatHomieGageTTV")</f>
        <v>ThatHomieGageTTV</v>
      </c>
      <c r="D669" s="36" t="str">
        <f>IFERROR(__xludf.DUMMYFUNCTION("""COMPUTED_VALUE"""),"Polar Ice")</f>
        <v>Polar Ice</v>
      </c>
      <c r="E669" s="10" t="str">
        <f>IFERROR(__xludf.DUMMYFUNCTION("""COMPUTED_VALUE"""),"Solar")</f>
        <v>Solar</v>
      </c>
      <c r="F669" s="37">
        <f>IFERROR(__xludf.DUMMYFUNCTION("""COMPUTED_VALUE"""),-5.998380372491951)</f>
        <v>-5.998380372</v>
      </c>
      <c r="G669" s="38">
        <f>IFERROR(__xludf.DUMMYFUNCTION("""COMPUTED_VALUE"""),-21.262691942778247)</f>
        <v>-21.26269194</v>
      </c>
      <c r="H669" s="38">
        <f>IFERROR(__xludf.DUMMYFUNCTION("""COMPUTED_VALUE"""),-13.630536157635099)</f>
        <v>-13.63053616</v>
      </c>
      <c r="I669" s="14">
        <f>IFERROR(__xludf.DUMMYFUNCTION("""COMPUTED_VALUE"""),11.0)</f>
        <v>11</v>
      </c>
      <c r="J669" s="11">
        <f>IFERROR(__xludf.DUMMYFUNCTION("IFERROR(FILTER(Stats!$F:$Z,(Stats!$A:$A=$A669)*(Stats!$B:$B=$B669)))"),0.0)</f>
        <v>0</v>
      </c>
      <c r="K669" s="11">
        <f>IFERROR(__xludf.DUMMYFUNCTION("""COMPUTED_VALUE"""),11.0)</f>
        <v>11</v>
      </c>
      <c r="L669" s="12">
        <f>IFERROR(__xludf.DUMMYFUNCTION("""COMPUTED_VALUE"""),0.0)</f>
        <v>0</v>
      </c>
      <c r="M669" s="11">
        <f>IFERROR(__xludf.DUMMYFUNCTION("""COMPUTED_VALUE"""),0.0)</f>
        <v>0</v>
      </c>
      <c r="N669" s="11">
        <f>IFERROR(__xludf.DUMMYFUNCTION("""COMPUTED_VALUE"""),2605.0)</f>
        <v>2605</v>
      </c>
      <c r="O669" s="13">
        <f>IFERROR(__xludf.DUMMYFUNCTION("""COMPUTED_VALUE"""),3.0)</f>
        <v>3</v>
      </c>
      <c r="P669" s="14">
        <f>IFERROR(__xludf.DUMMYFUNCTION("""COMPUTED_VALUE"""),5.0)</f>
        <v>5</v>
      </c>
      <c r="Q669" s="13">
        <f>IFERROR(__xludf.DUMMYFUNCTION("""COMPUTED_VALUE"""),16.0)</f>
        <v>16</v>
      </c>
      <c r="R669" s="13">
        <f>IFERROR(__xludf.DUMMYFUNCTION("""COMPUTED_VALUE"""),10.0)</f>
        <v>10</v>
      </c>
      <c r="S669" s="15">
        <f>IFERROR(__xludf.DUMMYFUNCTION("""COMPUTED_VALUE"""),0.3)</f>
        <v>0.3</v>
      </c>
      <c r="T669" s="16">
        <f>IFERROR(__xludf.DUMMYFUNCTION("""COMPUTED_VALUE"""),236.8181818181818)</f>
        <v>236.8181818</v>
      </c>
      <c r="U669" s="16">
        <f>IFERROR(__xludf.DUMMYFUNCTION("""COMPUTED_VALUE"""),0.2727272727272727)</f>
        <v>0.2727272727</v>
      </c>
      <c r="V669" s="16">
        <f>IFERROR(__xludf.DUMMYFUNCTION("""COMPUTED_VALUE"""),0.45454545454545453)</f>
        <v>0.4545454545</v>
      </c>
      <c r="W669" s="16">
        <f>IFERROR(__xludf.DUMMYFUNCTION("""COMPUTED_VALUE"""),1.4545454545454546)</f>
        <v>1.454545455</v>
      </c>
      <c r="X669" s="16">
        <f>IFERROR(__xludf.DUMMYFUNCTION("""COMPUTED_VALUE"""),0.9090909090909091)</f>
        <v>0.9090909091</v>
      </c>
      <c r="Y669" s="11">
        <f>IFERROR(__xludf.DUMMYFUNCTION("""COMPUTED_VALUE"""),0.0)</f>
        <v>0</v>
      </c>
      <c r="Z669" s="11">
        <f>IFERROR(__xludf.DUMMYFUNCTION("""COMPUTED_VALUE"""),0.0)</f>
        <v>0</v>
      </c>
      <c r="AA669" s="11">
        <f>IFERROR(__xludf.DUMMYFUNCTION("""COMPUTED_VALUE"""),0.0)</f>
        <v>0</v>
      </c>
      <c r="AB669" s="11">
        <f>IFERROR(__xludf.DUMMYFUNCTION("""COMPUTED_VALUE"""),2.0)</f>
        <v>2</v>
      </c>
      <c r="AC669" s="11">
        <f>IFERROR(__xludf.DUMMYFUNCTION("""COMPUTED_VALUE"""),17.0)</f>
        <v>17</v>
      </c>
      <c r="AD669" s="11">
        <f>IFERROR(__xludf.DUMMYFUNCTION("""COMPUTED_VALUE"""),19.0)</f>
        <v>19</v>
      </c>
    </row>
    <row r="670">
      <c r="A670" s="10" t="str">
        <f>IFERROR(__xludf.DUMMYFUNCTION("""COMPUTED_VALUE"""),"Rival")</f>
        <v>Rival</v>
      </c>
      <c r="B670" s="10" t="str">
        <f>IFERROR(__xludf.DUMMYFUNCTION("""COMPUTED_VALUE"""),"RSC000347")</f>
        <v>RSC000347</v>
      </c>
      <c r="C670" s="10" t="str">
        <f>IFERROR(__xludf.DUMMYFUNCTION("""COMPUTED_VALUE"""),"Chris.")</f>
        <v>Chris.</v>
      </c>
      <c r="D670" s="36" t="str">
        <f>IFERROR(__xludf.DUMMYFUNCTION("""COMPUTED_VALUE"""),"Polar Ice
Mining Legion")</f>
        <v>Polar Ice
Mining Legion</v>
      </c>
      <c r="E670" s="10" t="str">
        <f>IFERROR(__xludf.DUMMYFUNCTION("""COMPUTED_VALUE"""),"Solar
Lunar")</f>
        <v>Solar
Lunar</v>
      </c>
      <c r="F670" s="37">
        <f>IFERROR(__xludf.DUMMYFUNCTION("""COMPUTED_VALUE"""),-3.73847056596113)</f>
        <v>-3.738470566</v>
      </c>
      <c r="G670" s="38">
        <f>IFERROR(__xludf.DUMMYFUNCTION("""COMPUTED_VALUE"""),-23.590844280450412)</f>
        <v>-23.59084428</v>
      </c>
      <c r="H670" s="38">
        <f>IFERROR(__xludf.DUMMYFUNCTION("""COMPUTED_VALUE"""),-13.664657423205771)</f>
        <v>-13.66465742</v>
      </c>
      <c r="I670" s="14">
        <f>IFERROR(__xludf.DUMMYFUNCTION("""COMPUTED_VALUE"""),5.0)</f>
        <v>5</v>
      </c>
      <c r="J670" s="11">
        <f>IFERROR(__xludf.DUMMYFUNCTION("IFERROR(FILTER(Stats!$F:$Z,(Stats!$A:$A=$A670)*(Stats!$B:$B=$B670)))"),0.0)</f>
        <v>0</v>
      </c>
      <c r="K670" s="11">
        <f>IFERROR(__xludf.DUMMYFUNCTION("""COMPUTED_VALUE"""),5.0)</f>
        <v>5</v>
      </c>
      <c r="L670" s="12">
        <f>IFERROR(__xludf.DUMMYFUNCTION("""COMPUTED_VALUE"""),0.0)</f>
        <v>0</v>
      </c>
      <c r="M670" s="11">
        <f>IFERROR(__xludf.DUMMYFUNCTION("""COMPUTED_VALUE"""),0.0)</f>
        <v>0</v>
      </c>
      <c r="N670" s="11">
        <f>IFERROR(__xludf.DUMMYFUNCTION("""COMPUTED_VALUE"""),1043.0)</f>
        <v>1043</v>
      </c>
      <c r="O670" s="13">
        <f>IFERROR(__xludf.DUMMYFUNCTION("""COMPUTED_VALUE"""),1.0)</f>
        <v>1</v>
      </c>
      <c r="P670" s="14">
        <f>IFERROR(__xludf.DUMMYFUNCTION("""COMPUTED_VALUE"""),1.0)</f>
        <v>1</v>
      </c>
      <c r="Q670" s="13">
        <f>IFERROR(__xludf.DUMMYFUNCTION("""COMPUTED_VALUE"""),7.0)</f>
        <v>7</v>
      </c>
      <c r="R670" s="13">
        <f>IFERROR(__xludf.DUMMYFUNCTION("""COMPUTED_VALUE"""),7.0)</f>
        <v>7</v>
      </c>
      <c r="S670" s="15">
        <f>IFERROR(__xludf.DUMMYFUNCTION("""COMPUTED_VALUE"""),0.14285714285714285)</f>
        <v>0.1428571429</v>
      </c>
      <c r="T670" s="16">
        <f>IFERROR(__xludf.DUMMYFUNCTION("""COMPUTED_VALUE"""),208.6)</f>
        <v>208.6</v>
      </c>
      <c r="U670" s="16">
        <f>IFERROR(__xludf.DUMMYFUNCTION("""COMPUTED_VALUE"""),0.2)</f>
        <v>0.2</v>
      </c>
      <c r="V670" s="16">
        <f>IFERROR(__xludf.DUMMYFUNCTION("""COMPUTED_VALUE"""),0.2)</f>
        <v>0.2</v>
      </c>
      <c r="W670" s="16">
        <f>IFERROR(__xludf.DUMMYFUNCTION("""COMPUTED_VALUE"""),1.4)</f>
        <v>1.4</v>
      </c>
      <c r="X670" s="16">
        <f>IFERROR(__xludf.DUMMYFUNCTION("""COMPUTED_VALUE"""),1.4)</f>
        <v>1.4</v>
      </c>
      <c r="Y670" s="11">
        <f>IFERROR(__xludf.DUMMYFUNCTION("""COMPUTED_VALUE"""),0.0)</f>
        <v>0</v>
      </c>
      <c r="Z670" s="11">
        <f>IFERROR(__xludf.DUMMYFUNCTION("""COMPUTED_VALUE"""),0.0)</f>
        <v>0</v>
      </c>
      <c r="AA670" s="11">
        <f>IFERROR(__xludf.DUMMYFUNCTION("""COMPUTED_VALUE"""),0.0)</f>
        <v>0</v>
      </c>
      <c r="AB670" s="11">
        <f>IFERROR(__xludf.DUMMYFUNCTION("""COMPUTED_VALUE"""),1.0)</f>
        <v>1</v>
      </c>
      <c r="AC670" s="11">
        <f>IFERROR(__xludf.DUMMYFUNCTION("""COMPUTED_VALUE"""),5.0)</f>
        <v>5</v>
      </c>
      <c r="AD670" s="11">
        <f>IFERROR(__xludf.DUMMYFUNCTION("""COMPUTED_VALUE"""),6.0)</f>
        <v>6</v>
      </c>
    </row>
    <row r="671">
      <c r="A671" s="10" t="str">
        <f>IFERROR(__xludf.DUMMYFUNCTION("""COMPUTED_VALUE"""),"Rival")</f>
        <v>Rival</v>
      </c>
      <c r="B671" s="10" t="str">
        <f>IFERROR(__xludf.DUMMYFUNCTION("""COMPUTED_VALUE"""),"RSC008543")</f>
        <v>RSC008543</v>
      </c>
      <c r="C671" s="10" t="str">
        <f>IFERROR(__xludf.DUMMYFUNCTION("""COMPUTED_VALUE"""),"T1Ta")</f>
        <v>T1Ta</v>
      </c>
      <c r="D671" s="36" t="str">
        <f>IFERROR(__xludf.DUMMYFUNCTION("""COMPUTED_VALUE"""),"Black Ice")</f>
        <v>Black Ice</v>
      </c>
      <c r="E671" s="10" t="str">
        <f>IFERROR(__xludf.DUMMYFUNCTION("""COMPUTED_VALUE"""),"Solar")</f>
        <v>Solar</v>
      </c>
      <c r="F671" s="37">
        <f>IFERROR(__xludf.DUMMYFUNCTION("""COMPUTED_VALUE"""),-37.532185232175024)</f>
        <v>-37.53218523</v>
      </c>
      <c r="G671" s="38">
        <f>IFERROR(__xludf.DUMMYFUNCTION("""COMPUTED_VALUE"""),-40.22240616727335)</f>
        <v>-40.22240617</v>
      </c>
      <c r="H671" s="38">
        <f>IFERROR(__xludf.DUMMYFUNCTION("""COMPUTED_VALUE"""),-38.877295699724186)</f>
        <v>-38.8772957</v>
      </c>
      <c r="I671" s="14">
        <f>IFERROR(__xludf.DUMMYFUNCTION("""COMPUTED_VALUE"""),4.0)</f>
        <v>4</v>
      </c>
      <c r="J671" s="11">
        <f>IFERROR(__xludf.DUMMYFUNCTION("IFERROR(FILTER(Stats!$F:$Z,(Stats!$A:$A=$A671)*(Stats!$B:$B=$B671)))"),2.0)</f>
        <v>2</v>
      </c>
      <c r="K671" s="11">
        <f>IFERROR(__xludf.DUMMYFUNCTION("""COMPUTED_VALUE"""),2.0)</f>
        <v>2</v>
      </c>
      <c r="L671" s="12">
        <f>IFERROR(__xludf.DUMMYFUNCTION("""COMPUTED_VALUE"""),0.5)</f>
        <v>0.5</v>
      </c>
      <c r="M671" s="11">
        <f>IFERROR(__xludf.DUMMYFUNCTION("""COMPUTED_VALUE"""),0.0)</f>
        <v>0</v>
      </c>
      <c r="N671" s="11">
        <f>IFERROR(__xludf.DUMMYFUNCTION("""COMPUTED_VALUE"""),629.0)</f>
        <v>629</v>
      </c>
      <c r="O671" s="13">
        <f>IFERROR(__xludf.DUMMYFUNCTION("""COMPUTED_VALUE"""),1.0)</f>
        <v>1</v>
      </c>
      <c r="P671" s="14">
        <f>IFERROR(__xludf.DUMMYFUNCTION("""COMPUTED_VALUE"""),0.0)</f>
        <v>0</v>
      </c>
      <c r="Q671" s="13">
        <f>IFERROR(__xludf.DUMMYFUNCTION("""COMPUTED_VALUE"""),3.0)</f>
        <v>3</v>
      </c>
      <c r="R671" s="13">
        <f>IFERROR(__xludf.DUMMYFUNCTION("""COMPUTED_VALUE"""),4.0)</f>
        <v>4</v>
      </c>
      <c r="S671" s="15">
        <f>IFERROR(__xludf.DUMMYFUNCTION("""COMPUTED_VALUE"""),0.25)</f>
        <v>0.25</v>
      </c>
      <c r="T671" s="16">
        <f>IFERROR(__xludf.DUMMYFUNCTION("""COMPUTED_VALUE"""),157.25)</f>
        <v>157.25</v>
      </c>
      <c r="U671" s="16">
        <f>IFERROR(__xludf.DUMMYFUNCTION("""COMPUTED_VALUE"""),0.25)</f>
        <v>0.25</v>
      </c>
      <c r="V671" s="16">
        <f>IFERROR(__xludf.DUMMYFUNCTION("""COMPUTED_VALUE"""),0.0)</f>
        <v>0</v>
      </c>
      <c r="W671" s="16">
        <f>IFERROR(__xludf.DUMMYFUNCTION("""COMPUTED_VALUE"""),0.75)</f>
        <v>0.75</v>
      </c>
      <c r="X671" s="16">
        <f>IFERROR(__xludf.DUMMYFUNCTION("""COMPUTED_VALUE"""),1.0)</f>
        <v>1</v>
      </c>
      <c r="Y671" s="11">
        <f>IFERROR(__xludf.DUMMYFUNCTION("""COMPUTED_VALUE"""),0.0)</f>
        <v>0</v>
      </c>
      <c r="Z671" s="11">
        <f>IFERROR(__xludf.DUMMYFUNCTION("""COMPUTED_VALUE"""),0.0)</f>
        <v>0</v>
      </c>
      <c r="AA671" s="11">
        <f>IFERROR(__xludf.DUMMYFUNCTION("""COMPUTED_VALUE"""),0.0)</f>
        <v>0</v>
      </c>
      <c r="AB671" s="11">
        <f>IFERROR(__xludf.DUMMYFUNCTION("""COMPUTED_VALUE"""),0.0)</f>
        <v>0</v>
      </c>
      <c r="AC671" s="11">
        <f>IFERROR(__xludf.DUMMYFUNCTION("""COMPUTED_VALUE"""),2.0)</f>
        <v>2</v>
      </c>
      <c r="AD671" s="11">
        <f>IFERROR(__xludf.DUMMYFUNCTION("""COMPUTED_VALUE"""),3.0)</f>
        <v>3</v>
      </c>
    </row>
    <row r="672">
      <c r="A672" s="10" t="str">
        <f>IFERROR(__xludf.DUMMYFUNCTION("""COMPUTED_VALUE"""),"Rival")</f>
        <v>Rival</v>
      </c>
      <c r="B672" s="10" t="str">
        <f>IFERROR(__xludf.DUMMYFUNCTION("""COMPUTED_VALUE"""),"RSC008489")</f>
        <v>RSC008489</v>
      </c>
      <c r="C672" s="10" t="str">
        <f>IFERROR(__xludf.DUMMYFUNCTION("""COMPUTED_VALUE"""),"nacho_nachos2")</f>
        <v>nacho_nachos2</v>
      </c>
      <c r="D672" s="36" t="str">
        <f>IFERROR(__xludf.DUMMYFUNCTION("""COMPUTED_VALUE"""),"Scramjets")</f>
        <v>Scramjets</v>
      </c>
      <c r="E672" s="10" t="str">
        <f>IFERROR(__xludf.DUMMYFUNCTION("""COMPUTED_VALUE"""),"Lunar")</f>
        <v>Lunar</v>
      </c>
      <c r="F672" s="37">
        <f>IFERROR(__xludf.DUMMYFUNCTION("""COMPUTED_VALUE"""),-64.86683498278467)</f>
        <v>-64.86683498</v>
      </c>
      <c r="G672" s="38">
        <f>IFERROR(__xludf.DUMMYFUNCTION("""COMPUTED_VALUE"""),-57.92999381796842)</f>
        <v>-57.92999382</v>
      </c>
      <c r="H672" s="38">
        <f>IFERROR(__xludf.DUMMYFUNCTION("""COMPUTED_VALUE"""),-61.398414400376545)</f>
        <v>-61.3984144</v>
      </c>
      <c r="I672" s="14">
        <f>IFERROR(__xludf.DUMMYFUNCTION("""COMPUTED_VALUE"""),2.0)</f>
        <v>2</v>
      </c>
      <c r="J672" s="11">
        <f>IFERROR(__xludf.DUMMYFUNCTION("IFERROR(FILTER(Stats!$F:$Z,(Stats!$A:$A=$A672)*(Stats!$B:$B=$B672)))"),1.0)</f>
        <v>1</v>
      </c>
      <c r="K672" s="11">
        <f>IFERROR(__xludf.DUMMYFUNCTION("""COMPUTED_VALUE"""),1.0)</f>
        <v>1</v>
      </c>
      <c r="L672" s="12">
        <f>IFERROR(__xludf.DUMMYFUNCTION("""COMPUTED_VALUE"""),0.5)</f>
        <v>0.5</v>
      </c>
      <c r="M672" s="11">
        <f>IFERROR(__xludf.DUMMYFUNCTION("""COMPUTED_VALUE"""),0.0)</f>
        <v>0</v>
      </c>
      <c r="N672" s="11">
        <f>IFERROR(__xludf.DUMMYFUNCTION("""COMPUTED_VALUE"""),207.0)</f>
        <v>207</v>
      </c>
      <c r="O672" s="13">
        <f>IFERROR(__xludf.DUMMYFUNCTION("""COMPUTED_VALUE"""),0.0)</f>
        <v>0</v>
      </c>
      <c r="P672" s="14">
        <f>IFERROR(__xludf.DUMMYFUNCTION("""COMPUTED_VALUE"""),0.0)</f>
        <v>0</v>
      </c>
      <c r="Q672" s="13">
        <f>IFERROR(__xludf.DUMMYFUNCTION("""COMPUTED_VALUE"""),1.0)</f>
        <v>1</v>
      </c>
      <c r="R672" s="13">
        <f>IFERROR(__xludf.DUMMYFUNCTION("""COMPUTED_VALUE"""),0.0)</f>
        <v>0</v>
      </c>
      <c r="S672" s="15"/>
      <c r="T672" s="16">
        <f>IFERROR(__xludf.DUMMYFUNCTION("""COMPUTED_VALUE"""),103.5)</f>
        <v>103.5</v>
      </c>
      <c r="U672" s="16">
        <f>IFERROR(__xludf.DUMMYFUNCTION("""COMPUTED_VALUE"""),0.0)</f>
        <v>0</v>
      </c>
      <c r="V672" s="16">
        <f>IFERROR(__xludf.DUMMYFUNCTION("""COMPUTED_VALUE"""),0.0)</f>
        <v>0</v>
      </c>
      <c r="W672" s="16">
        <f>IFERROR(__xludf.DUMMYFUNCTION("""COMPUTED_VALUE"""),0.5)</f>
        <v>0.5</v>
      </c>
      <c r="X672" s="16">
        <f>IFERROR(__xludf.DUMMYFUNCTION("""COMPUTED_VALUE"""),0.0)</f>
        <v>0</v>
      </c>
      <c r="Y672" s="11">
        <f>IFERROR(__xludf.DUMMYFUNCTION("""COMPUTED_VALUE"""),0.0)</f>
        <v>0</v>
      </c>
      <c r="Z672" s="11">
        <f>IFERROR(__xludf.DUMMYFUNCTION("""COMPUTED_VALUE"""),0.0)</f>
        <v>0</v>
      </c>
      <c r="AA672" s="11">
        <f>IFERROR(__xludf.DUMMYFUNCTION("""COMPUTED_VALUE"""),0.0)</f>
        <v>0</v>
      </c>
      <c r="AB672" s="11">
        <f>IFERROR(__xludf.DUMMYFUNCTION("""COMPUTED_VALUE"""),0.0)</f>
        <v>0</v>
      </c>
      <c r="AC672" s="11">
        <f>IFERROR(__xludf.DUMMYFUNCTION("""COMPUTED_VALUE"""),0.0)</f>
        <v>0</v>
      </c>
      <c r="AD672" s="11">
        <f>IFERROR(__xludf.DUMMYFUNCTION("""COMPUTED_VALUE"""),1.0)</f>
        <v>1</v>
      </c>
    </row>
    <row r="673">
      <c r="A673" s="10" t="str">
        <f>IFERROR(__xludf.DUMMYFUNCTION("""COMPUTED_VALUE"""),"Veteran")</f>
        <v>Veteran</v>
      </c>
      <c r="B673" s="10" t="str">
        <f>IFERROR(__xludf.DUMMYFUNCTION("""COMPUTED_VALUE"""),"RSC008599")</f>
        <v>RSC008599</v>
      </c>
      <c r="C673" s="10" t="str">
        <f>IFERROR(__xludf.DUMMYFUNCTION("""COMPUTED_VALUE"""),"p4rka.")</f>
        <v>p4rka.</v>
      </c>
      <c r="D673" s="36" t="str">
        <f>IFERROR(__xludf.DUMMYFUNCTION("""COMPUTED_VALUE"""),"Fer-de-Lance")</f>
        <v>Fer-de-Lance</v>
      </c>
      <c r="E673" s="10" t="str">
        <f>IFERROR(__xludf.DUMMYFUNCTION("""COMPUTED_VALUE"""),"Lunar")</f>
        <v>Lunar</v>
      </c>
      <c r="F673" s="37">
        <f>IFERROR(__xludf.DUMMYFUNCTION("""COMPUTED_VALUE"""),117.51463044441157)</f>
        <v>117.5146304</v>
      </c>
      <c r="G673" s="38">
        <f>IFERROR(__xludf.DUMMYFUNCTION("""COMPUTED_VALUE"""),102.23464411676426)</f>
        <v>102.2346441</v>
      </c>
      <c r="H673" s="38">
        <f>IFERROR(__xludf.DUMMYFUNCTION("""COMPUTED_VALUE"""),109.8746372805879)</f>
        <v>109.8746373</v>
      </c>
      <c r="I673" s="14">
        <f>IFERROR(__xludf.DUMMYFUNCTION("""COMPUTED_VALUE"""),4.0)</f>
        <v>4</v>
      </c>
      <c r="J673" s="11">
        <f>IFERROR(__xludf.DUMMYFUNCTION("IFERROR(FILTER(Stats!$F:$Z,(Stats!$A:$A=$A673)*(Stats!$B:$B=$B673)))"),4.0)</f>
        <v>4</v>
      </c>
      <c r="K673" s="11">
        <f>IFERROR(__xludf.DUMMYFUNCTION("""COMPUTED_VALUE"""),0.0)</f>
        <v>0</v>
      </c>
      <c r="L673" s="12">
        <f>IFERROR(__xludf.DUMMYFUNCTION("""COMPUTED_VALUE"""),1.0)</f>
        <v>1</v>
      </c>
      <c r="M673" s="11">
        <f>IFERROR(__xludf.DUMMYFUNCTION("""COMPUTED_VALUE"""),1.0)</f>
        <v>1</v>
      </c>
      <c r="N673" s="11">
        <f>IFERROR(__xludf.DUMMYFUNCTION("""COMPUTED_VALUE"""),1527.0)</f>
        <v>1527</v>
      </c>
      <c r="O673" s="13">
        <f>IFERROR(__xludf.DUMMYFUNCTION("""COMPUTED_VALUE"""),4.0)</f>
        <v>4</v>
      </c>
      <c r="P673" s="14">
        <f>IFERROR(__xludf.DUMMYFUNCTION("""COMPUTED_VALUE"""),4.0)</f>
        <v>4</v>
      </c>
      <c r="Q673" s="13">
        <f>IFERROR(__xludf.DUMMYFUNCTION("""COMPUTED_VALUE"""),4.0)</f>
        <v>4</v>
      </c>
      <c r="R673" s="13">
        <f>IFERROR(__xludf.DUMMYFUNCTION("""COMPUTED_VALUE"""),12.0)</f>
        <v>12</v>
      </c>
      <c r="S673" s="15">
        <f>IFERROR(__xludf.DUMMYFUNCTION("""COMPUTED_VALUE"""),0.3333333333333333)</f>
        <v>0.3333333333</v>
      </c>
      <c r="T673" s="16">
        <f>IFERROR(__xludf.DUMMYFUNCTION("""COMPUTED_VALUE"""),381.75)</f>
        <v>381.75</v>
      </c>
      <c r="U673" s="16">
        <f>IFERROR(__xludf.DUMMYFUNCTION("""COMPUTED_VALUE"""),1.0)</f>
        <v>1</v>
      </c>
      <c r="V673" s="16">
        <f>IFERROR(__xludf.DUMMYFUNCTION("""COMPUTED_VALUE"""),1.0)</f>
        <v>1</v>
      </c>
      <c r="W673" s="16">
        <f>IFERROR(__xludf.DUMMYFUNCTION("""COMPUTED_VALUE"""),1.0)</f>
        <v>1</v>
      </c>
      <c r="X673" s="16">
        <f>IFERROR(__xludf.DUMMYFUNCTION("""COMPUTED_VALUE"""),3.0)</f>
        <v>3</v>
      </c>
      <c r="Y673" s="11">
        <f>IFERROR(__xludf.DUMMYFUNCTION("""COMPUTED_VALUE"""),1.0)</f>
        <v>1</v>
      </c>
      <c r="Z673" s="11">
        <f>IFERROR(__xludf.DUMMYFUNCTION("""COMPUTED_VALUE"""),0.0)</f>
        <v>0</v>
      </c>
      <c r="AA673" s="11">
        <f>IFERROR(__xludf.DUMMYFUNCTION("""COMPUTED_VALUE"""),0.0)</f>
        <v>0</v>
      </c>
      <c r="AB673" s="11">
        <f>IFERROR(__xludf.DUMMYFUNCTION("""COMPUTED_VALUE"""),0.0)</f>
        <v>0</v>
      </c>
      <c r="AC673" s="11">
        <f>IFERROR(__xludf.DUMMYFUNCTION("""COMPUTED_VALUE"""),2.0)</f>
        <v>2</v>
      </c>
      <c r="AD673" s="11">
        <f>IFERROR(__xludf.DUMMYFUNCTION("""COMPUTED_VALUE"""),8.0)</f>
        <v>8</v>
      </c>
    </row>
    <row r="674">
      <c r="A674" s="10" t="str">
        <f>IFERROR(__xludf.DUMMYFUNCTION("""COMPUTED_VALUE"""),"Veteran")</f>
        <v>Veteran</v>
      </c>
      <c r="B674" s="10" t="str">
        <f>IFERROR(__xludf.DUMMYFUNCTION("""COMPUTED_VALUE"""),"RSC004035")</f>
        <v>RSC004035</v>
      </c>
      <c r="C674" s="10" t="str">
        <f>IFERROR(__xludf.DUMMYFUNCTION("""COMPUTED_VALUE"""),"Timmy_-_")</f>
        <v>Timmy_-_</v>
      </c>
      <c r="D674" s="36" t="str">
        <f>IFERROR(__xludf.DUMMYFUNCTION("""COMPUTED_VALUE"""),"Dogfight")</f>
        <v>Dogfight</v>
      </c>
      <c r="E674" s="10" t="str">
        <f>IFERROR(__xludf.DUMMYFUNCTION("""COMPUTED_VALUE"""),"Lunar")</f>
        <v>Lunar</v>
      </c>
      <c r="F674" s="37">
        <f>IFERROR(__xludf.DUMMYFUNCTION("""COMPUTED_VALUE"""),107.27528656403467)</f>
        <v>107.2752866</v>
      </c>
      <c r="G674" s="38">
        <f>IFERROR(__xludf.DUMMYFUNCTION("""COMPUTED_VALUE"""),110.66826622382504)</f>
        <v>110.6682662</v>
      </c>
      <c r="H674" s="38">
        <f>IFERROR(__xludf.DUMMYFUNCTION("""COMPUTED_VALUE"""),108.97177639392986)</f>
        <v>108.9717764</v>
      </c>
      <c r="I674" s="14">
        <f>IFERROR(__xludf.DUMMYFUNCTION("""COMPUTED_VALUE"""),56.0)</f>
        <v>56</v>
      </c>
      <c r="J674" s="11">
        <f>IFERROR(__xludf.DUMMYFUNCTION("IFERROR(FILTER(Stats!$F:$Z,(Stats!$A:$A=$A674)*(Stats!$B:$B=$B674)))"),37.0)</f>
        <v>37</v>
      </c>
      <c r="K674" s="11">
        <f>IFERROR(__xludf.DUMMYFUNCTION("""COMPUTED_VALUE"""),19.0)</f>
        <v>19</v>
      </c>
      <c r="L674" s="12">
        <f>IFERROR(__xludf.DUMMYFUNCTION("""COMPUTED_VALUE"""),0.6607142857142857)</f>
        <v>0.6607142857</v>
      </c>
      <c r="M674" s="11">
        <f>IFERROR(__xludf.DUMMYFUNCTION("""COMPUTED_VALUE"""),17.0)</f>
        <v>17</v>
      </c>
      <c r="N674" s="11">
        <f>IFERROR(__xludf.DUMMYFUNCTION("""COMPUTED_VALUE"""),25719.0)</f>
        <v>25719</v>
      </c>
      <c r="O674" s="13">
        <f>IFERROR(__xludf.DUMMYFUNCTION("""COMPUTED_VALUE"""),77.0)</f>
        <v>77</v>
      </c>
      <c r="P674" s="14">
        <f>IFERROR(__xludf.DUMMYFUNCTION("""COMPUTED_VALUE"""),46.0)</f>
        <v>46</v>
      </c>
      <c r="Q674" s="13">
        <f>IFERROR(__xludf.DUMMYFUNCTION("""COMPUTED_VALUE"""),76.0)</f>
        <v>76</v>
      </c>
      <c r="R674" s="13">
        <f>IFERROR(__xludf.DUMMYFUNCTION("""COMPUTED_VALUE"""),184.0)</f>
        <v>184</v>
      </c>
      <c r="S674" s="15">
        <f>IFERROR(__xludf.DUMMYFUNCTION("""COMPUTED_VALUE"""),0.41847826086956524)</f>
        <v>0.4184782609</v>
      </c>
      <c r="T674" s="16">
        <f>IFERROR(__xludf.DUMMYFUNCTION("""COMPUTED_VALUE"""),459.26785714285717)</f>
        <v>459.2678571</v>
      </c>
      <c r="U674" s="16">
        <f>IFERROR(__xludf.DUMMYFUNCTION("""COMPUTED_VALUE"""),1.375)</f>
        <v>1.375</v>
      </c>
      <c r="V674" s="16">
        <f>IFERROR(__xludf.DUMMYFUNCTION("""COMPUTED_VALUE"""),0.8214285714285714)</f>
        <v>0.8214285714</v>
      </c>
      <c r="W674" s="16">
        <f>IFERROR(__xludf.DUMMYFUNCTION("""COMPUTED_VALUE"""),1.3571428571428572)</f>
        <v>1.357142857</v>
      </c>
      <c r="X674" s="16">
        <f>IFERROR(__xludf.DUMMYFUNCTION("""COMPUTED_VALUE"""),3.2857142857142856)</f>
        <v>3.285714286</v>
      </c>
      <c r="Y674" s="11">
        <f>IFERROR(__xludf.DUMMYFUNCTION("""COMPUTED_VALUE"""),15.0)</f>
        <v>15</v>
      </c>
      <c r="Z674" s="11">
        <f>IFERROR(__xludf.DUMMYFUNCTION("""COMPUTED_VALUE"""),8.0)</f>
        <v>8</v>
      </c>
      <c r="AA674" s="11">
        <f>IFERROR(__xludf.DUMMYFUNCTION("""COMPUTED_VALUE"""),4.0)</f>
        <v>4</v>
      </c>
      <c r="AB674" s="11">
        <f>IFERROR(__xludf.DUMMYFUNCTION("""COMPUTED_VALUE"""),8.0)</f>
        <v>8</v>
      </c>
      <c r="AC674" s="11">
        <f>IFERROR(__xludf.DUMMYFUNCTION("""COMPUTED_VALUE"""),21.0)</f>
        <v>21</v>
      </c>
      <c r="AD674" s="11">
        <f>IFERROR(__xludf.DUMMYFUNCTION("""COMPUTED_VALUE"""),61.0)</f>
        <v>61</v>
      </c>
    </row>
    <row r="675">
      <c r="A675" s="10" t="str">
        <f>IFERROR(__xludf.DUMMYFUNCTION("""COMPUTED_VALUE"""),"Veteran")</f>
        <v>Veteran</v>
      </c>
      <c r="B675" s="10" t="str">
        <f>IFERROR(__xludf.DUMMYFUNCTION("""COMPUTED_VALUE"""),"RSC008428")</f>
        <v>RSC008428</v>
      </c>
      <c r="C675" s="10" t="str">
        <f>IFERROR(__xludf.DUMMYFUNCTION("""COMPUTED_VALUE"""),"PG_THE3RD")</f>
        <v>PG_THE3RD</v>
      </c>
      <c r="D675" s="36" t="str">
        <f>IFERROR(__xludf.DUMMYFUNCTION("""COMPUTED_VALUE"""),"Supernova")</f>
        <v>Supernova</v>
      </c>
      <c r="E675" s="10" t="str">
        <f>IFERROR(__xludf.DUMMYFUNCTION("""COMPUTED_VALUE"""),"Lunar")</f>
        <v>Lunar</v>
      </c>
      <c r="F675" s="37">
        <f>IFERROR(__xludf.DUMMYFUNCTION("""COMPUTED_VALUE"""),99.48789636144399)</f>
        <v>99.48789636</v>
      </c>
      <c r="G675" s="38">
        <f>IFERROR(__xludf.DUMMYFUNCTION("""COMPUTED_VALUE"""),112.77750744856135)</f>
        <v>112.7775074</v>
      </c>
      <c r="H675" s="38">
        <f>IFERROR(__xludf.DUMMYFUNCTION("""COMPUTED_VALUE"""),106.13270190500268)</f>
        <v>106.1327019</v>
      </c>
      <c r="I675" s="14">
        <f>IFERROR(__xludf.DUMMYFUNCTION("""COMPUTED_VALUE"""),51.0)</f>
        <v>51</v>
      </c>
      <c r="J675" s="11">
        <f>IFERROR(__xludf.DUMMYFUNCTION("IFERROR(FILTER(Stats!$F:$Z,(Stats!$A:$A=$A675)*(Stats!$B:$B=$B675)))"),37.0)</f>
        <v>37</v>
      </c>
      <c r="K675" s="11">
        <f>IFERROR(__xludf.DUMMYFUNCTION("""COMPUTED_VALUE"""),14.0)</f>
        <v>14</v>
      </c>
      <c r="L675" s="12">
        <f>IFERROR(__xludf.DUMMYFUNCTION("""COMPUTED_VALUE"""),0.7254901960784313)</f>
        <v>0.7254901961</v>
      </c>
      <c r="M675" s="11">
        <f>IFERROR(__xludf.DUMMYFUNCTION("""COMPUTED_VALUE"""),22.0)</f>
        <v>22</v>
      </c>
      <c r="N675" s="11">
        <f>IFERROR(__xludf.DUMMYFUNCTION("""COMPUTED_VALUE"""),22352.0)</f>
        <v>22352</v>
      </c>
      <c r="O675" s="13">
        <f>IFERROR(__xludf.DUMMYFUNCTION("""COMPUTED_VALUE"""),64.0)</f>
        <v>64</v>
      </c>
      <c r="P675" s="14">
        <f>IFERROR(__xludf.DUMMYFUNCTION("""COMPUTED_VALUE"""),42.0)</f>
        <v>42</v>
      </c>
      <c r="Q675" s="13">
        <f>IFERROR(__xludf.DUMMYFUNCTION("""COMPUTED_VALUE"""),68.0)</f>
        <v>68</v>
      </c>
      <c r="R675" s="13">
        <f>IFERROR(__xludf.DUMMYFUNCTION("""COMPUTED_VALUE"""),198.0)</f>
        <v>198</v>
      </c>
      <c r="S675" s="15">
        <f>IFERROR(__xludf.DUMMYFUNCTION("""COMPUTED_VALUE"""),0.32323232323232326)</f>
        <v>0.3232323232</v>
      </c>
      <c r="T675" s="16">
        <f>IFERROR(__xludf.DUMMYFUNCTION("""COMPUTED_VALUE"""),438.27450980392155)</f>
        <v>438.2745098</v>
      </c>
      <c r="U675" s="16">
        <f>IFERROR(__xludf.DUMMYFUNCTION("""COMPUTED_VALUE"""),1.2549019607843137)</f>
        <v>1.254901961</v>
      </c>
      <c r="V675" s="16">
        <f>IFERROR(__xludf.DUMMYFUNCTION("""COMPUTED_VALUE"""),0.8235294117647058)</f>
        <v>0.8235294118</v>
      </c>
      <c r="W675" s="16">
        <f>IFERROR(__xludf.DUMMYFUNCTION("""COMPUTED_VALUE"""),1.3333333333333333)</f>
        <v>1.333333333</v>
      </c>
      <c r="X675" s="16">
        <f>IFERROR(__xludf.DUMMYFUNCTION("""COMPUTED_VALUE"""),3.8823529411764706)</f>
        <v>3.882352941</v>
      </c>
      <c r="Y675" s="11">
        <f>IFERROR(__xludf.DUMMYFUNCTION("""COMPUTED_VALUE"""),17.0)</f>
        <v>17</v>
      </c>
      <c r="Z675" s="11">
        <f>IFERROR(__xludf.DUMMYFUNCTION("""COMPUTED_VALUE"""),6.0)</f>
        <v>6</v>
      </c>
      <c r="AA675" s="11">
        <f>IFERROR(__xludf.DUMMYFUNCTION("""COMPUTED_VALUE"""),2.0)</f>
        <v>2</v>
      </c>
      <c r="AB675" s="11">
        <f>IFERROR(__xludf.DUMMYFUNCTION("""COMPUTED_VALUE"""),8.0)</f>
        <v>8</v>
      </c>
      <c r="AC675" s="11">
        <f>IFERROR(__xludf.DUMMYFUNCTION("""COMPUTED_VALUE"""),43.0)</f>
        <v>43</v>
      </c>
      <c r="AD675" s="11">
        <f>IFERROR(__xludf.DUMMYFUNCTION("""COMPUTED_VALUE"""),52.0)</f>
        <v>52</v>
      </c>
    </row>
    <row r="676">
      <c r="A676" s="10" t="str">
        <f>IFERROR(__xludf.DUMMYFUNCTION("""COMPUTED_VALUE"""),"Veteran")</f>
        <v>Veteran</v>
      </c>
      <c r="B676" s="10" t="str">
        <f>IFERROR(__xludf.DUMMYFUNCTION("""COMPUTED_VALUE"""),"RSC008369")</f>
        <v>RSC008369</v>
      </c>
      <c r="C676" s="10" t="str">
        <f>IFERROR(__xludf.DUMMYFUNCTION("""COMPUTED_VALUE"""),"EternalJinx")</f>
        <v>EternalJinx</v>
      </c>
      <c r="D676" s="36" t="str">
        <f>IFERROR(__xludf.DUMMYFUNCTION("""COMPUTED_VALUE"""),"Dogfight")</f>
        <v>Dogfight</v>
      </c>
      <c r="E676" s="10" t="str">
        <f>IFERROR(__xludf.DUMMYFUNCTION("""COMPUTED_VALUE"""),"Lunar")</f>
        <v>Lunar</v>
      </c>
      <c r="F676" s="37">
        <f>IFERROR(__xludf.DUMMYFUNCTION("""COMPUTED_VALUE"""),84.71250888762934)</f>
        <v>84.71250889</v>
      </c>
      <c r="G676" s="38">
        <f>IFERROR(__xludf.DUMMYFUNCTION("""COMPUTED_VALUE"""),107.75466720739081)</f>
        <v>107.7546672</v>
      </c>
      <c r="H676" s="38">
        <f>IFERROR(__xludf.DUMMYFUNCTION("""COMPUTED_VALUE"""),96.23358804751007)</f>
        <v>96.23358805</v>
      </c>
      <c r="I676" s="14">
        <f>IFERROR(__xludf.DUMMYFUNCTION("""COMPUTED_VALUE"""),36.0)</f>
        <v>36</v>
      </c>
      <c r="J676" s="11">
        <f>IFERROR(__xludf.DUMMYFUNCTION("IFERROR(FILTER(Stats!$F:$Z,(Stats!$A:$A=$A676)*(Stats!$B:$B=$B676)))"),27.0)</f>
        <v>27</v>
      </c>
      <c r="K676" s="11">
        <f>IFERROR(__xludf.DUMMYFUNCTION("""COMPUTED_VALUE"""),9.0)</f>
        <v>9</v>
      </c>
      <c r="L676" s="12">
        <f>IFERROR(__xludf.DUMMYFUNCTION("""COMPUTED_VALUE"""),0.75)</f>
        <v>0.75</v>
      </c>
      <c r="M676" s="11">
        <f>IFERROR(__xludf.DUMMYFUNCTION("""COMPUTED_VALUE"""),7.0)</f>
        <v>7</v>
      </c>
      <c r="N676" s="11">
        <f>IFERROR(__xludf.DUMMYFUNCTION("""COMPUTED_VALUE"""),14089.0)</f>
        <v>14089</v>
      </c>
      <c r="O676" s="13">
        <f>IFERROR(__xludf.DUMMYFUNCTION("""COMPUTED_VALUE"""),35.0)</f>
        <v>35</v>
      </c>
      <c r="P676" s="14">
        <f>IFERROR(__xludf.DUMMYFUNCTION("""COMPUTED_VALUE"""),37.0)</f>
        <v>37</v>
      </c>
      <c r="Q676" s="13">
        <f>IFERROR(__xludf.DUMMYFUNCTION("""COMPUTED_VALUE"""),33.0)</f>
        <v>33</v>
      </c>
      <c r="R676" s="13">
        <f>IFERROR(__xludf.DUMMYFUNCTION("""COMPUTED_VALUE"""),118.0)</f>
        <v>118</v>
      </c>
      <c r="S676" s="15">
        <f>IFERROR(__xludf.DUMMYFUNCTION("""COMPUTED_VALUE"""),0.2966101694915254)</f>
        <v>0.2966101695</v>
      </c>
      <c r="T676" s="16">
        <f>IFERROR(__xludf.DUMMYFUNCTION("""COMPUTED_VALUE"""),391.3611111111111)</f>
        <v>391.3611111</v>
      </c>
      <c r="U676" s="16">
        <f>IFERROR(__xludf.DUMMYFUNCTION("""COMPUTED_VALUE"""),0.9722222222222222)</f>
        <v>0.9722222222</v>
      </c>
      <c r="V676" s="16">
        <f>IFERROR(__xludf.DUMMYFUNCTION("""COMPUTED_VALUE"""),1.0277777777777777)</f>
        <v>1.027777778</v>
      </c>
      <c r="W676" s="16">
        <f>IFERROR(__xludf.DUMMYFUNCTION("""COMPUTED_VALUE"""),0.9166666666666666)</f>
        <v>0.9166666667</v>
      </c>
      <c r="X676" s="16">
        <f>IFERROR(__xludf.DUMMYFUNCTION("""COMPUTED_VALUE"""),3.2777777777777777)</f>
        <v>3.277777778</v>
      </c>
      <c r="Y676" s="11">
        <f>IFERROR(__xludf.DUMMYFUNCTION("""COMPUTED_VALUE"""),4.0)</f>
        <v>4</v>
      </c>
      <c r="Z676" s="11">
        <f>IFERROR(__xludf.DUMMYFUNCTION("""COMPUTED_VALUE"""),4.0)</f>
        <v>4</v>
      </c>
      <c r="AA676" s="11">
        <f>IFERROR(__xludf.DUMMYFUNCTION("""COMPUTED_VALUE"""),3.0)</f>
        <v>3</v>
      </c>
      <c r="AB676" s="11">
        <f>IFERROR(__xludf.DUMMYFUNCTION("""COMPUTED_VALUE"""),1.0)</f>
        <v>1</v>
      </c>
      <c r="AC676" s="11">
        <f>IFERROR(__xludf.DUMMYFUNCTION("""COMPUTED_VALUE"""),45.0)</f>
        <v>45</v>
      </c>
      <c r="AD676" s="11">
        <f>IFERROR(__xludf.DUMMYFUNCTION("""COMPUTED_VALUE"""),26.0)</f>
        <v>26</v>
      </c>
    </row>
    <row r="677">
      <c r="A677" s="10" t="str">
        <f>IFERROR(__xludf.DUMMYFUNCTION("""COMPUTED_VALUE"""),"Veteran")</f>
        <v>Veteran</v>
      </c>
      <c r="B677" s="10" t="str">
        <f>IFERROR(__xludf.DUMMYFUNCTION("""COMPUTED_VALUE"""),"RSC000200")</f>
        <v>RSC000200</v>
      </c>
      <c r="C677" s="10" t="str">
        <f>IFERROR(__xludf.DUMMYFUNCTION("""COMPUTED_VALUE"""),"Jonezy")</f>
        <v>Jonezy</v>
      </c>
      <c r="D677" s="36" t="str">
        <f>IFERROR(__xludf.DUMMYFUNCTION("""COMPUTED_VALUE"""),"Singularity")</f>
        <v>Singularity</v>
      </c>
      <c r="E677" s="10" t="str">
        <f>IFERROR(__xludf.DUMMYFUNCTION("""COMPUTED_VALUE"""),"Solar")</f>
        <v>Solar</v>
      </c>
      <c r="F677" s="37">
        <f>IFERROR(__xludf.DUMMYFUNCTION("""COMPUTED_VALUE"""),91.45319636239755)</f>
        <v>91.45319636</v>
      </c>
      <c r="G677" s="38">
        <f>IFERROR(__xludf.DUMMYFUNCTION("""COMPUTED_VALUE"""),86.33078091762772)</f>
        <v>86.33078092</v>
      </c>
      <c r="H677" s="38">
        <f>IFERROR(__xludf.DUMMYFUNCTION("""COMPUTED_VALUE"""),88.89198864001264)</f>
        <v>88.89198864</v>
      </c>
      <c r="I677" s="14">
        <f>IFERROR(__xludf.DUMMYFUNCTION("""COMPUTED_VALUE"""),12.0)</f>
        <v>12</v>
      </c>
      <c r="J677" s="11">
        <f>IFERROR(__xludf.DUMMYFUNCTION("IFERROR(FILTER(Stats!$F:$Z,(Stats!$A:$A=$A677)*(Stats!$B:$B=$B677)))"),6.0)</f>
        <v>6</v>
      </c>
      <c r="K677" s="11">
        <f>IFERROR(__xludf.DUMMYFUNCTION("""COMPUTED_VALUE"""),6.0)</f>
        <v>6</v>
      </c>
      <c r="L677" s="12">
        <f>IFERROR(__xludf.DUMMYFUNCTION("""COMPUTED_VALUE"""),0.5)</f>
        <v>0.5</v>
      </c>
      <c r="M677" s="11">
        <f>IFERROR(__xludf.DUMMYFUNCTION("""COMPUTED_VALUE"""),3.0)</f>
        <v>3</v>
      </c>
      <c r="N677" s="11">
        <f>IFERROR(__xludf.DUMMYFUNCTION("""COMPUTED_VALUE"""),5234.0)</f>
        <v>5234</v>
      </c>
      <c r="O677" s="13">
        <f>IFERROR(__xludf.DUMMYFUNCTION("""COMPUTED_VALUE"""),14.0)</f>
        <v>14</v>
      </c>
      <c r="P677" s="14">
        <f>IFERROR(__xludf.DUMMYFUNCTION("""COMPUTED_VALUE"""),8.0)</f>
        <v>8</v>
      </c>
      <c r="Q677" s="13">
        <f>IFERROR(__xludf.DUMMYFUNCTION("""COMPUTED_VALUE"""),19.0)</f>
        <v>19</v>
      </c>
      <c r="R677" s="13">
        <f>IFERROR(__xludf.DUMMYFUNCTION("""COMPUTED_VALUE"""),40.0)</f>
        <v>40</v>
      </c>
      <c r="S677" s="15">
        <f>IFERROR(__xludf.DUMMYFUNCTION("""COMPUTED_VALUE"""),0.35)</f>
        <v>0.35</v>
      </c>
      <c r="T677" s="16">
        <f>IFERROR(__xludf.DUMMYFUNCTION("""COMPUTED_VALUE"""),436.1666666666667)</f>
        <v>436.1666667</v>
      </c>
      <c r="U677" s="16">
        <f>IFERROR(__xludf.DUMMYFUNCTION("""COMPUTED_VALUE"""),1.1666666666666667)</f>
        <v>1.166666667</v>
      </c>
      <c r="V677" s="16">
        <f>IFERROR(__xludf.DUMMYFUNCTION("""COMPUTED_VALUE"""),0.6666666666666666)</f>
        <v>0.6666666667</v>
      </c>
      <c r="W677" s="16">
        <f>IFERROR(__xludf.DUMMYFUNCTION("""COMPUTED_VALUE"""),1.5833333333333333)</f>
        <v>1.583333333</v>
      </c>
      <c r="X677" s="16">
        <f>IFERROR(__xludf.DUMMYFUNCTION("""COMPUTED_VALUE"""),3.3333333333333335)</f>
        <v>3.333333333</v>
      </c>
      <c r="Y677" s="11">
        <f>IFERROR(__xludf.DUMMYFUNCTION("""COMPUTED_VALUE"""),3.0)</f>
        <v>3</v>
      </c>
      <c r="Z677" s="11">
        <f>IFERROR(__xludf.DUMMYFUNCTION("""COMPUTED_VALUE"""),0.0)</f>
        <v>0</v>
      </c>
      <c r="AA677" s="11">
        <f>IFERROR(__xludf.DUMMYFUNCTION("""COMPUTED_VALUE"""),1.0)</f>
        <v>1</v>
      </c>
      <c r="AB677" s="11">
        <f>IFERROR(__xludf.DUMMYFUNCTION("""COMPUTED_VALUE"""),4.0)</f>
        <v>4</v>
      </c>
      <c r="AC677" s="11">
        <f>IFERROR(__xludf.DUMMYFUNCTION("""COMPUTED_VALUE"""),12.0)</f>
        <v>12</v>
      </c>
      <c r="AD677" s="11">
        <f>IFERROR(__xludf.DUMMYFUNCTION("""COMPUTED_VALUE"""),22.0)</f>
        <v>22</v>
      </c>
    </row>
    <row r="678">
      <c r="A678" s="10" t="str">
        <f>IFERROR(__xludf.DUMMYFUNCTION("""COMPUTED_VALUE"""),"Veteran")</f>
        <v>Veteran</v>
      </c>
      <c r="B678" s="10" t="str">
        <f>IFERROR(__xludf.DUMMYFUNCTION("""COMPUTED_VALUE"""),"RSC007501")</f>
        <v>RSC007501</v>
      </c>
      <c r="C678" s="10" t="str">
        <f>IFERROR(__xludf.DUMMYFUNCTION("""COMPUTED_VALUE"""),"RAW MUSHROOMS")</f>
        <v>RAW MUSHROOMS</v>
      </c>
      <c r="D678" s="36" t="str">
        <f>IFERROR(__xludf.DUMMYFUNCTION("""COMPUTED_VALUE"""),"Supernova")</f>
        <v>Supernova</v>
      </c>
      <c r="E678" s="10" t="str">
        <f>IFERROR(__xludf.DUMMYFUNCTION("""COMPUTED_VALUE"""),"Lunar")</f>
        <v>Lunar</v>
      </c>
      <c r="F678" s="37">
        <f>IFERROR(__xludf.DUMMYFUNCTION("""COMPUTED_VALUE"""),106.41942094177594)</f>
        <v>106.4194209</v>
      </c>
      <c r="G678" s="38">
        <f>IFERROR(__xludf.DUMMYFUNCTION("""COMPUTED_VALUE"""),64.25225390066997)</f>
        <v>64.2522539</v>
      </c>
      <c r="H678" s="38">
        <f>IFERROR(__xludf.DUMMYFUNCTION("""COMPUTED_VALUE"""),85.33583742122295)</f>
        <v>85.33583742</v>
      </c>
      <c r="I678" s="14">
        <f>IFERROR(__xludf.DUMMYFUNCTION("""COMPUTED_VALUE"""),4.0)</f>
        <v>4</v>
      </c>
      <c r="J678" s="11">
        <f>IFERROR(__xludf.DUMMYFUNCTION("IFERROR(FILTER(Stats!$F:$Z,(Stats!$A:$A=$A678)*(Stats!$B:$B=$B678)))"),3.0)</f>
        <v>3</v>
      </c>
      <c r="K678" s="11">
        <f>IFERROR(__xludf.DUMMYFUNCTION("""COMPUTED_VALUE"""),1.0)</f>
        <v>1</v>
      </c>
      <c r="L678" s="12">
        <f>IFERROR(__xludf.DUMMYFUNCTION("""COMPUTED_VALUE"""),0.75)</f>
        <v>0.75</v>
      </c>
      <c r="M678" s="11">
        <f>IFERROR(__xludf.DUMMYFUNCTION("""COMPUTED_VALUE"""),1.0)</f>
        <v>1</v>
      </c>
      <c r="N678" s="11">
        <f>IFERROR(__xludf.DUMMYFUNCTION("""COMPUTED_VALUE"""),1189.0)</f>
        <v>1189</v>
      </c>
      <c r="O678" s="13">
        <f>IFERROR(__xludf.DUMMYFUNCTION("""COMPUTED_VALUE"""),2.0)</f>
        <v>2</v>
      </c>
      <c r="P678" s="14">
        <f>IFERROR(__xludf.DUMMYFUNCTION("""COMPUTED_VALUE"""),4.0)</f>
        <v>4</v>
      </c>
      <c r="Q678" s="13">
        <f>IFERROR(__xludf.DUMMYFUNCTION("""COMPUTED_VALUE"""),3.0)</f>
        <v>3</v>
      </c>
      <c r="R678" s="13">
        <f>IFERROR(__xludf.DUMMYFUNCTION("""COMPUTED_VALUE"""),6.0)</f>
        <v>6</v>
      </c>
      <c r="S678" s="15">
        <f>IFERROR(__xludf.DUMMYFUNCTION("""COMPUTED_VALUE"""),0.3333333333333333)</f>
        <v>0.3333333333</v>
      </c>
      <c r="T678" s="16">
        <f>IFERROR(__xludf.DUMMYFUNCTION("""COMPUTED_VALUE"""),297.25)</f>
        <v>297.25</v>
      </c>
      <c r="U678" s="16">
        <f>IFERROR(__xludf.DUMMYFUNCTION("""COMPUTED_VALUE"""),0.5)</f>
        <v>0.5</v>
      </c>
      <c r="V678" s="16">
        <f>IFERROR(__xludf.DUMMYFUNCTION("""COMPUTED_VALUE"""),1.0)</f>
        <v>1</v>
      </c>
      <c r="W678" s="16">
        <f>IFERROR(__xludf.DUMMYFUNCTION("""COMPUTED_VALUE"""),0.75)</f>
        <v>0.75</v>
      </c>
      <c r="X678" s="16">
        <f>IFERROR(__xludf.DUMMYFUNCTION("""COMPUTED_VALUE"""),1.5)</f>
        <v>1.5</v>
      </c>
      <c r="Y678" s="11">
        <f>IFERROR(__xludf.DUMMYFUNCTION("""COMPUTED_VALUE"""),1.0)</f>
        <v>1</v>
      </c>
      <c r="Z678" s="11">
        <f>IFERROR(__xludf.DUMMYFUNCTION("""COMPUTED_VALUE"""),0.0)</f>
        <v>0</v>
      </c>
      <c r="AA678" s="11">
        <f>IFERROR(__xludf.DUMMYFUNCTION("""COMPUTED_VALUE"""),0.0)</f>
        <v>0</v>
      </c>
      <c r="AB678" s="11">
        <f>IFERROR(__xludf.DUMMYFUNCTION("""COMPUTED_VALUE"""),0.0)</f>
        <v>0</v>
      </c>
      <c r="AC678" s="11">
        <f>IFERROR(__xludf.DUMMYFUNCTION("""COMPUTED_VALUE"""),3.0)</f>
        <v>3</v>
      </c>
      <c r="AD678" s="11">
        <f>IFERROR(__xludf.DUMMYFUNCTION("""COMPUTED_VALUE"""),2.0)</f>
        <v>2</v>
      </c>
    </row>
    <row r="679">
      <c r="A679" s="10" t="str">
        <f>IFERROR(__xludf.DUMMYFUNCTION("""COMPUTED_VALUE"""),"Veteran")</f>
        <v>Veteran</v>
      </c>
      <c r="B679" s="10" t="str">
        <f>IFERROR(__xludf.DUMMYFUNCTION("""COMPUTED_VALUE"""),"RSC005210")</f>
        <v>RSC005210</v>
      </c>
      <c r="C679" s="10" t="str">
        <f>IFERROR(__xludf.DUMMYFUNCTION("""COMPUTED_VALUE"""),"baldmanstreamer")</f>
        <v>baldmanstreamer</v>
      </c>
      <c r="D679" s="36" t="str">
        <f>IFERROR(__xludf.DUMMYFUNCTION("""COMPUTED_VALUE"""),"Mosaic Maestros
Legati")</f>
        <v>Mosaic Maestros
Legati</v>
      </c>
      <c r="E679" s="10" t="str">
        <f>IFERROR(__xludf.DUMMYFUNCTION("""COMPUTED_VALUE"""),"Solar
Solar")</f>
        <v>Solar
Solar</v>
      </c>
      <c r="F679" s="37">
        <f>IFERROR(__xludf.DUMMYFUNCTION("""COMPUTED_VALUE"""),79.10813652975753)</f>
        <v>79.10813653</v>
      </c>
      <c r="G679" s="38">
        <f>IFERROR(__xludf.DUMMYFUNCTION("""COMPUTED_VALUE"""),90.72497650178647)</f>
        <v>90.7249765</v>
      </c>
      <c r="H679" s="38">
        <f>IFERROR(__xludf.DUMMYFUNCTION("""COMPUTED_VALUE"""),84.916556515772)</f>
        <v>84.91655652</v>
      </c>
      <c r="I679" s="14">
        <f>IFERROR(__xludf.DUMMYFUNCTION("""COMPUTED_VALUE"""),46.0)</f>
        <v>46</v>
      </c>
      <c r="J679" s="11">
        <f>IFERROR(__xludf.DUMMYFUNCTION("IFERROR(FILTER(Stats!$F:$Z,(Stats!$A:$A=$A679)*(Stats!$B:$B=$B679)))"),25.0)</f>
        <v>25</v>
      </c>
      <c r="K679" s="11">
        <f>IFERROR(__xludf.DUMMYFUNCTION("""COMPUTED_VALUE"""),21.0)</f>
        <v>21</v>
      </c>
      <c r="L679" s="12">
        <f>IFERROR(__xludf.DUMMYFUNCTION("""COMPUTED_VALUE"""),0.5434782608695652)</f>
        <v>0.5434782609</v>
      </c>
      <c r="M679" s="11">
        <f>IFERROR(__xludf.DUMMYFUNCTION("""COMPUTED_VALUE"""),14.0)</f>
        <v>14</v>
      </c>
      <c r="N679" s="11">
        <f>IFERROR(__xludf.DUMMYFUNCTION("""COMPUTED_VALUE"""),19244.0)</f>
        <v>19244</v>
      </c>
      <c r="O679" s="13">
        <f>IFERROR(__xludf.DUMMYFUNCTION("""COMPUTED_VALUE"""),57.0)</f>
        <v>57</v>
      </c>
      <c r="P679" s="14">
        <f>IFERROR(__xludf.DUMMYFUNCTION("""COMPUTED_VALUE"""),37.0)</f>
        <v>37</v>
      </c>
      <c r="Q679" s="13">
        <f>IFERROR(__xludf.DUMMYFUNCTION("""COMPUTED_VALUE"""),61.0)</f>
        <v>61</v>
      </c>
      <c r="R679" s="13">
        <f>IFERROR(__xludf.DUMMYFUNCTION("""COMPUTED_VALUE"""),154.0)</f>
        <v>154</v>
      </c>
      <c r="S679" s="15">
        <f>IFERROR(__xludf.DUMMYFUNCTION("""COMPUTED_VALUE"""),0.37012987012987014)</f>
        <v>0.3701298701</v>
      </c>
      <c r="T679" s="16">
        <f>IFERROR(__xludf.DUMMYFUNCTION("""COMPUTED_VALUE"""),418.3478260869565)</f>
        <v>418.3478261</v>
      </c>
      <c r="U679" s="16">
        <f>IFERROR(__xludf.DUMMYFUNCTION("""COMPUTED_VALUE"""),1.2391304347826086)</f>
        <v>1.239130435</v>
      </c>
      <c r="V679" s="16">
        <f>IFERROR(__xludf.DUMMYFUNCTION("""COMPUTED_VALUE"""),0.8043478260869565)</f>
        <v>0.8043478261</v>
      </c>
      <c r="W679" s="16">
        <f>IFERROR(__xludf.DUMMYFUNCTION("""COMPUTED_VALUE"""),1.326086956521739)</f>
        <v>1.326086957</v>
      </c>
      <c r="X679" s="16">
        <f>IFERROR(__xludf.DUMMYFUNCTION("""COMPUTED_VALUE"""),3.347826086956522)</f>
        <v>3.347826087</v>
      </c>
      <c r="Y679" s="11">
        <f>IFERROR(__xludf.DUMMYFUNCTION("""COMPUTED_VALUE"""),14.0)</f>
        <v>14</v>
      </c>
      <c r="Z679" s="11">
        <f>IFERROR(__xludf.DUMMYFUNCTION("""COMPUTED_VALUE"""),6.0)</f>
        <v>6</v>
      </c>
      <c r="AA679" s="11">
        <f>IFERROR(__xludf.DUMMYFUNCTION("""COMPUTED_VALUE"""),3.0)</f>
        <v>3</v>
      </c>
      <c r="AB679" s="11">
        <f>IFERROR(__xludf.DUMMYFUNCTION("""COMPUTED_VALUE"""),7.0)</f>
        <v>7</v>
      </c>
      <c r="AC679" s="11">
        <f>IFERROR(__xludf.DUMMYFUNCTION("""COMPUTED_VALUE"""),44.0)</f>
        <v>44</v>
      </c>
      <c r="AD679" s="11">
        <f>IFERROR(__xludf.DUMMYFUNCTION("""COMPUTED_VALUE"""),49.0)</f>
        <v>49</v>
      </c>
    </row>
    <row r="680">
      <c r="A680" s="10" t="str">
        <f>IFERROR(__xludf.DUMMYFUNCTION("""COMPUTED_VALUE"""),"Veteran")</f>
        <v>Veteran</v>
      </c>
      <c r="B680" s="10" t="str">
        <f>IFERROR(__xludf.DUMMYFUNCTION("""COMPUTED_VALUE"""),"RSC006945")</f>
        <v>RSC006945</v>
      </c>
      <c r="C680" s="10" t="str">
        <f>IFERROR(__xludf.DUMMYFUNCTION("""COMPUTED_VALUE"""),"nuummite")</f>
        <v>nuummite</v>
      </c>
      <c r="D680" s="36" t="str">
        <f>IFERROR(__xludf.DUMMYFUNCTION("""COMPUTED_VALUE"""),"Gargoyle")</f>
        <v>Gargoyle</v>
      </c>
      <c r="E680" s="10" t="str">
        <f>IFERROR(__xludf.DUMMYFUNCTION("""COMPUTED_VALUE"""),"Solar")</f>
        <v>Solar</v>
      </c>
      <c r="F680" s="37">
        <f>IFERROR(__xludf.DUMMYFUNCTION("""COMPUTED_VALUE"""),77.82661975897257)</f>
        <v>77.82661976</v>
      </c>
      <c r="G680" s="38">
        <f>IFERROR(__xludf.DUMMYFUNCTION("""COMPUTED_VALUE"""),90.79790754822014)</f>
        <v>90.79790755</v>
      </c>
      <c r="H680" s="38">
        <f>IFERROR(__xludf.DUMMYFUNCTION("""COMPUTED_VALUE"""),84.31226365359635)</f>
        <v>84.31226365</v>
      </c>
      <c r="I680" s="14">
        <f>IFERROR(__xludf.DUMMYFUNCTION("""COMPUTED_VALUE"""),51.0)</f>
        <v>51</v>
      </c>
      <c r="J680" s="11">
        <f>IFERROR(__xludf.DUMMYFUNCTION("IFERROR(FILTER(Stats!$F:$Z,(Stats!$A:$A=$A680)*(Stats!$B:$B=$B680)))"),31.0)</f>
        <v>31</v>
      </c>
      <c r="K680" s="11">
        <f>IFERROR(__xludf.DUMMYFUNCTION("""COMPUTED_VALUE"""),20.0)</f>
        <v>20</v>
      </c>
      <c r="L680" s="12">
        <f>IFERROR(__xludf.DUMMYFUNCTION("""COMPUTED_VALUE"""),0.6078431372549019)</f>
        <v>0.6078431373</v>
      </c>
      <c r="M680" s="11">
        <f>IFERROR(__xludf.DUMMYFUNCTION("""COMPUTED_VALUE"""),15.0)</f>
        <v>15</v>
      </c>
      <c r="N680" s="11">
        <f>IFERROR(__xludf.DUMMYFUNCTION("""COMPUTED_VALUE"""),19914.0)</f>
        <v>19914</v>
      </c>
      <c r="O680" s="13">
        <f>IFERROR(__xludf.DUMMYFUNCTION("""COMPUTED_VALUE"""),61.0)</f>
        <v>61</v>
      </c>
      <c r="P680" s="14">
        <f>IFERROR(__xludf.DUMMYFUNCTION("""COMPUTED_VALUE"""),34.0)</f>
        <v>34</v>
      </c>
      <c r="Q680" s="13">
        <f>IFERROR(__xludf.DUMMYFUNCTION("""COMPUTED_VALUE"""),51.0)</f>
        <v>51</v>
      </c>
      <c r="R680" s="13">
        <f>IFERROR(__xludf.DUMMYFUNCTION("""COMPUTED_VALUE"""),180.0)</f>
        <v>180</v>
      </c>
      <c r="S680" s="15">
        <f>IFERROR(__xludf.DUMMYFUNCTION("""COMPUTED_VALUE"""),0.3388888888888889)</f>
        <v>0.3388888889</v>
      </c>
      <c r="T680" s="16">
        <f>IFERROR(__xludf.DUMMYFUNCTION("""COMPUTED_VALUE"""),390.47058823529414)</f>
        <v>390.4705882</v>
      </c>
      <c r="U680" s="16">
        <f>IFERROR(__xludf.DUMMYFUNCTION("""COMPUTED_VALUE"""),1.196078431372549)</f>
        <v>1.196078431</v>
      </c>
      <c r="V680" s="16">
        <f>IFERROR(__xludf.DUMMYFUNCTION("""COMPUTED_VALUE"""),0.6666666666666666)</f>
        <v>0.6666666667</v>
      </c>
      <c r="W680" s="16">
        <f>IFERROR(__xludf.DUMMYFUNCTION("""COMPUTED_VALUE"""),1.0)</f>
        <v>1</v>
      </c>
      <c r="X680" s="16">
        <f>IFERROR(__xludf.DUMMYFUNCTION("""COMPUTED_VALUE"""),3.5294117647058822)</f>
        <v>3.529411765</v>
      </c>
      <c r="Y680" s="11">
        <f>IFERROR(__xludf.DUMMYFUNCTION("""COMPUTED_VALUE"""),12.0)</f>
        <v>12</v>
      </c>
      <c r="Z680" s="11">
        <f>IFERROR(__xludf.DUMMYFUNCTION("""COMPUTED_VALUE"""),6.0)</f>
        <v>6</v>
      </c>
      <c r="AA680" s="11">
        <f>IFERROR(__xludf.DUMMYFUNCTION("""COMPUTED_VALUE"""),2.0)</f>
        <v>2</v>
      </c>
      <c r="AB680" s="11">
        <f>IFERROR(__xludf.DUMMYFUNCTION("""COMPUTED_VALUE"""),4.0)</f>
        <v>4</v>
      </c>
      <c r="AC680" s="11">
        <f>IFERROR(__xludf.DUMMYFUNCTION("""COMPUTED_VALUE"""),15.0)</f>
        <v>15</v>
      </c>
      <c r="AD680" s="11">
        <f>IFERROR(__xludf.DUMMYFUNCTION("""COMPUTED_VALUE"""),65.0)</f>
        <v>65</v>
      </c>
    </row>
    <row r="681">
      <c r="A681" s="10" t="str">
        <f>IFERROR(__xludf.DUMMYFUNCTION("""COMPUTED_VALUE"""),"Veteran")</f>
        <v>Veteran</v>
      </c>
      <c r="B681" s="10" t="str">
        <f>IFERROR(__xludf.DUMMYFUNCTION("""COMPUTED_VALUE"""),"RSC007856")</f>
        <v>RSC007856</v>
      </c>
      <c r="C681" s="10" t="str">
        <f>IFERROR(__xludf.DUMMYFUNCTION("""COMPUTED_VALUE"""),"Captain Daddy")</f>
        <v>Captain Daddy</v>
      </c>
      <c r="D681" s="36" t="str">
        <f>IFERROR(__xludf.DUMMYFUNCTION("""COMPUTED_VALUE"""),"Lycans")</f>
        <v>Lycans</v>
      </c>
      <c r="E681" s="10" t="str">
        <f>IFERROR(__xludf.DUMMYFUNCTION("""COMPUTED_VALUE"""),"Solar")</f>
        <v>Solar</v>
      </c>
      <c r="F681" s="37">
        <f>IFERROR(__xludf.DUMMYFUNCTION("""COMPUTED_VALUE"""),84.63815760183705)</f>
        <v>84.6381576</v>
      </c>
      <c r="G681" s="38">
        <f>IFERROR(__xludf.DUMMYFUNCTION("""COMPUTED_VALUE"""),83.86553863312781)</f>
        <v>83.86553863</v>
      </c>
      <c r="H681" s="38">
        <f>IFERROR(__xludf.DUMMYFUNCTION("""COMPUTED_VALUE"""),84.25184811748244)</f>
        <v>84.25184812</v>
      </c>
      <c r="I681" s="14">
        <f>IFERROR(__xludf.DUMMYFUNCTION("""COMPUTED_VALUE"""),54.0)</f>
        <v>54</v>
      </c>
      <c r="J681" s="11">
        <f>IFERROR(__xludf.DUMMYFUNCTION("IFERROR(FILTER(Stats!$F:$Z,(Stats!$A:$A=$A681)*(Stats!$B:$B=$B681)))"),35.0)</f>
        <v>35</v>
      </c>
      <c r="K681" s="11">
        <f>IFERROR(__xludf.DUMMYFUNCTION("""COMPUTED_VALUE"""),19.0)</f>
        <v>19</v>
      </c>
      <c r="L681" s="12">
        <f>IFERROR(__xludf.DUMMYFUNCTION("""COMPUTED_VALUE"""),0.6481481481481481)</f>
        <v>0.6481481481</v>
      </c>
      <c r="M681" s="11">
        <f>IFERROR(__xludf.DUMMYFUNCTION("""COMPUTED_VALUE"""),15.0)</f>
        <v>15</v>
      </c>
      <c r="N681" s="11">
        <f>IFERROR(__xludf.DUMMYFUNCTION("""COMPUTED_VALUE"""),22141.0)</f>
        <v>22141</v>
      </c>
      <c r="O681" s="13">
        <f>IFERROR(__xludf.DUMMYFUNCTION("""COMPUTED_VALUE"""),56.0)</f>
        <v>56</v>
      </c>
      <c r="P681" s="14">
        <f>IFERROR(__xludf.DUMMYFUNCTION("""COMPUTED_VALUE"""),41.0)</f>
        <v>41</v>
      </c>
      <c r="Q681" s="13">
        <f>IFERROR(__xludf.DUMMYFUNCTION("""COMPUTED_VALUE"""),78.0)</f>
        <v>78</v>
      </c>
      <c r="R681" s="13">
        <f>IFERROR(__xludf.DUMMYFUNCTION("""COMPUTED_VALUE"""),158.0)</f>
        <v>158</v>
      </c>
      <c r="S681" s="15">
        <f>IFERROR(__xludf.DUMMYFUNCTION("""COMPUTED_VALUE"""),0.35443037974683544)</f>
        <v>0.3544303797</v>
      </c>
      <c r="T681" s="16">
        <f>IFERROR(__xludf.DUMMYFUNCTION("""COMPUTED_VALUE"""),410.01851851851853)</f>
        <v>410.0185185</v>
      </c>
      <c r="U681" s="16">
        <f>IFERROR(__xludf.DUMMYFUNCTION("""COMPUTED_VALUE"""),1.037037037037037)</f>
        <v>1.037037037</v>
      </c>
      <c r="V681" s="16">
        <f>IFERROR(__xludf.DUMMYFUNCTION("""COMPUTED_VALUE"""),0.7592592592592593)</f>
        <v>0.7592592593</v>
      </c>
      <c r="W681" s="16">
        <f>IFERROR(__xludf.DUMMYFUNCTION("""COMPUTED_VALUE"""),1.4444444444444444)</f>
        <v>1.444444444</v>
      </c>
      <c r="X681" s="16">
        <f>IFERROR(__xludf.DUMMYFUNCTION("""COMPUTED_VALUE"""),2.925925925925926)</f>
        <v>2.925925926</v>
      </c>
      <c r="Y681" s="11">
        <f>IFERROR(__xludf.DUMMYFUNCTION("""COMPUTED_VALUE"""),19.0)</f>
        <v>19</v>
      </c>
      <c r="Z681" s="11">
        <f>IFERROR(__xludf.DUMMYFUNCTION("""COMPUTED_VALUE"""),2.0)</f>
        <v>2</v>
      </c>
      <c r="AA681" s="11">
        <f>IFERROR(__xludf.DUMMYFUNCTION("""COMPUTED_VALUE"""),2.0)</f>
        <v>2</v>
      </c>
      <c r="AB681" s="11">
        <f>IFERROR(__xludf.DUMMYFUNCTION("""COMPUTED_VALUE"""),12.0)</f>
        <v>12</v>
      </c>
      <c r="AC681" s="11">
        <f>IFERROR(__xludf.DUMMYFUNCTION("""COMPUTED_VALUE"""),93.0)</f>
        <v>93</v>
      </c>
      <c r="AD681" s="11">
        <f>IFERROR(__xludf.DUMMYFUNCTION("""COMPUTED_VALUE"""),65.0)</f>
        <v>65</v>
      </c>
    </row>
    <row r="682">
      <c r="A682" s="10" t="str">
        <f>IFERROR(__xludf.DUMMYFUNCTION("""COMPUTED_VALUE"""),"Veteran")</f>
        <v>Veteran</v>
      </c>
      <c r="B682" s="10" t="str">
        <f>IFERROR(__xludf.DUMMYFUNCTION("""COMPUTED_VALUE"""),"RSC006060")</f>
        <v>RSC006060</v>
      </c>
      <c r="C682" s="10" t="str">
        <f>IFERROR(__xludf.DUMMYFUNCTION("""COMPUTED_VALUE"""),"WP_Merciless")</f>
        <v>WP_Merciless</v>
      </c>
      <c r="D682" s="36" t="str">
        <f>IFERROR(__xludf.DUMMYFUNCTION("""COMPUTED_VALUE"""),"Lycans")</f>
        <v>Lycans</v>
      </c>
      <c r="E682" s="10" t="str">
        <f>IFERROR(__xludf.DUMMYFUNCTION("""COMPUTED_VALUE"""),"Solar")</f>
        <v>Solar</v>
      </c>
      <c r="F682" s="37">
        <f>IFERROR(__xludf.DUMMYFUNCTION("""COMPUTED_VALUE"""),81.52837491368803)</f>
        <v>81.52837491</v>
      </c>
      <c r="G682" s="38">
        <f>IFERROR(__xludf.DUMMYFUNCTION("""COMPUTED_VALUE"""),83.42445652326326)</f>
        <v>83.42445652</v>
      </c>
      <c r="H682" s="38">
        <f>IFERROR(__xludf.DUMMYFUNCTION("""COMPUTED_VALUE"""),82.47641571847564)</f>
        <v>82.47641572</v>
      </c>
      <c r="I682" s="14">
        <f>IFERROR(__xludf.DUMMYFUNCTION("""COMPUTED_VALUE"""),40.0)</f>
        <v>40</v>
      </c>
      <c r="J682" s="11">
        <f>IFERROR(__xludf.DUMMYFUNCTION("IFERROR(FILTER(Stats!$F:$Z,(Stats!$A:$A=$A682)*(Stats!$B:$B=$B682)))"),22.0)</f>
        <v>22</v>
      </c>
      <c r="K682" s="11">
        <f>IFERROR(__xludf.DUMMYFUNCTION("""COMPUTED_VALUE"""),18.0)</f>
        <v>18</v>
      </c>
      <c r="L682" s="12">
        <f>IFERROR(__xludf.DUMMYFUNCTION("""COMPUTED_VALUE"""),0.55)</f>
        <v>0.55</v>
      </c>
      <c r="M682" s="11">
        <f>IFERROR(__xludf.DUMMYFUNCTION("""COMPUTED_VALUE"""),9.0)</f>
        <v>9</v>
      </c>
      <c r="N682" s="11">
        <f>IFERROR(__xludf.DUMMYFUNCTION("""COMPUTED_VALUE"""),17476.0)</f>
        <v>17476</v>
      </c>
      <c r="O682" s="13">
        <f>IFERROR(__xludf.DUMMYFUNCTION("""COMPUTED_VALUE"""),49.0)</f>
        <v>49</v>
      </c>
      <c r="P682" s="14">
        <f>IFERROR(__xludf.DUMMYFUNCTION("""COMPUTED_VALUE"""),25.0)</f>
        <v>25</v>
      </c>
      <c r="Q682" s="13">
        <f>IFERROR(__xludf.DUMMYFUNCTION("""COMPUTED_VALUE"""),51.0)</f>
        <v>51</v>
      </c>
      <c r="R682" s="13">
        <f>IFERROR(__xludf.DUMMYFUNCTION("""COMPUTED_VALUE"""),128.0)</f>
        <v>128</v>
      </c>
      <c r="S682" s="15">
        <f>IFERROR(__xludf.DUMMYFUNCTION("""COMPUTED_VALUE"""),0.3828125)</f>
        <v>0.3828125</v>
      </c>
      <c r="T682" s="16">
        <f>IFERROR(__xludf.DUMMYFUNCTION("""COMPUTED_VALUE"""),436.9)</f>
        <v>436.9</v>
      </c>
      <c r="U682" s="16">
        <f>IFERROR(__xludf.DUMMYFUNCTION("""COMPUTED_VALUE"""),1.225)</f>
        <v>1.225</v>
      </c>
      <c r="V682" s="16">
        <f>IFERROR(__xludf.DUMMYFUNCTION("""COMPUTED_VALUE"""),0.625)</f>
        <v>0.625</v>
      </c>
      <c r="W682" s="16">
        <f>IFERROR(__xludf.DUMMYFUNCTION("""COMPUTED_VALUE"""),1.275)</f>
        <v>1.275</v>
      </c>
      <c r="X682" s="16">
        <f>IFERROR(__xludf.DUMMYFUNCTION("""COMPUTED_VALUE"""),3.2)</f>
        <v>3.2</v>
      </c>
      <c r="Y682" s="11">
        <f>IFERROR(__xludf.DUMMYFUNCTION("""COMPUTED_VALUE"""),10.0)</f>
        <v>10</v>
      </c>
      <c r="Z682" s="11">
        <f>IFERROR(__xludf.DUMMYFUNCTION("""COMPUTED_VALUE"""),6.0)</f>
        <v>6</v>
      </c>
      <c r="AA682" s="11">
        <f>IFERROR(__xludf.DUMMYFUNCTION("""COMPUTED_VALUE"""),1.0)</f>
        <v>1</v>
      </c>
      <c r="AB682" s="11">
        <f>IFERROR(__xludf.DUMMYFUNCTION("""COMPUTED_VALUE"""),6.0)</f>
        <v>6</v>
      </c>
      <c r="AC682" s="11">
        <f>IFERROR(__xludf.DUMMYFUNCTION("""COMPUTED_VALUE"""),34.0)</f>
        <v>34</v>
      </c>
      <c r="AD682" s="11">
        <f>IFERROR(__xludf.DUMMYFUNCTION("""COMPUTED_VALUE"""),45.0)</f>
        <v>45</v>
      </c>
    </row>
    <row r="683">
      <c r="A683" s="10" t="str">
        <f>IFERROR(__xludf.DUMMYFUNCTION("""COMPUTED_VALUE"""),"Veteran")</f>
        <v>Veteran</v>
      </c>
      <c r="B683" s="10" t="str">
        <f>IFERROR(__xludf.DUMMYFUNCTION("""COMPUTED_VALUE"""),"RSC007131")</f>
        <v>RSC007131</v>
      </c>
      <c r="C683" s="10" t="str">
        <f>IFERROR(__xludf.DUMMYFUNCTION("""COMPUTED_VALUE"""),"BankShark")</f>
        <v>BankShark</v>
      </c>
      <c r="D683" s="36" t="str">
        <f>IFERROR(__xludf.DUMMYFUNCTION("""COMPUTED_VALUE"""),"Makos")</f>
        <v>Makos</v>
      </c>
      <c r="E683" s="10" t="str">
        <f>IFERROR(__xludf.DUMMYFUNCTION("""COMPUTED_VALUE"""),"Solar")</f>
        <v>Solar</v>
      </c>
      <c r="F683" s="37">
        <f>IFERROR(__xludf.DUMMYFUNCTION("""COMPUTED_VALUE"""),81.78808972104191)</f>
        <v>81.78808972</v>
      </c>
      <c r="G683" s="38">
        <f>IFERROR(__xludf.DUMMYFUNCTION("""COMPUTED_VALUE"""),82.84715439990777)</f>
        <v>82.8471544</v>
      </c>
      <c r="H683" s="38">
        <f>IFERROR(__xludf.DUMMYFUNCTION("""COMPUTED_VALUE"""),82.31762206047483)</f>
        <v>82.31762206</v>
      </c>
      <c r="I683" s="14">
        <f>IFERROR(__xludf.DUMMYFUNCTION("""COMPUTED_VALUE"""),55.0)</f>
        <v>55</v>
      </c>
      <c r="J683" s="11">
        <f>IFERROR(__xludf.DUMMYFUNCTION("IFERROR(FILTER(Stats!$F:$Z,(Stats!$A:$A=$A683)*(Stats!$B:$B=$B683)))"),37.0)</f>
        <v>37</v>
      </c>
      <c r="K683" s="11">
        <f>IFERROR(__xludf.DUMMYFUNCTION("""COMPUTED_VALUE"""),18.0)</f>
        <v>18</v>
      </c>
      <c r="L683" s="12">
        <f>IFERROR(__xludf.DUMMYFUNCTION("""COMPUTED_VALUE"""),0.6727272727272727)</f>
        <v>0.6727272727</v>
      </c>
      <c r="M683" s="11">
        <f>IFERROR(__xludf.DUMMYFUNCTION("""COMPUTED_VALUE"""),18.0)</f>
        <v>18</v>
      </c>
      <c r="N683" s="11">
        <f>IFERROR(__xludf.DUMMYFUNCTION("""COMPUTED_VALUE"""),22550.0)</f>
        <v>22550</v>
      </c>
      <c r="O683" s="13">
        <f>IFERROR(__xludf.DUMMYFUNCTION("""COMPUTED_VALUE"""),62.0)</f>
        <v>62</v>
      </c>
      <c r="P683" s="14">
        <f>IFERROR(__xludf.DUMMYFUNCTION("""COMPUTED_VALUE"""),29.0)</f>
        <v>29</v>
      </c>
      <c r="Q683" s="13">
        <f>IFERROR(__xludf.DUMMYFUNCTION("""COMPUTED_VALUE"""),75.0)</f>
        <v>75</v>
      </c>
      <c r="R683" s="13">
        <f>IFERROR(__xludf.DUMMYFUNCTION("""COMPUTED_VALUE"""),183.0)</f>
        <v>183</v>
      </c>
      <c r="S683" s="15">
        <f>IFERROR(__xludf.DUMMYFUNCTION("""COMPUTED_VALUE"""),0.33879781420765026)</f>
        <v>0.3387978142</v>
      </c>
      <c r="T683" s="16">
        <f>IFERROR(__xludf.DUMMYFUNCTION("""COMPUTED_VALUE"""),410.0)</f>
        <v>410</v>
      </c>
      <c r="U683" s="16">
        <f>IFERROR(__xludf.DUMMYFUNCTION("""COMPUTED_VALUE"""),1.1272727272727272)</f>
        <v>1.127272727</v>
      </c>
      <c r="V683" s="16">
        <f>IFERROR(__xludf.DUMMYFUNCTION("""COMPUTED_VALUE"""),0.5272727272727272)</f>
        <v>0.5272727273</v>
      </c>
      <c r="W683" s="16">
        <f>IFERROR(__xludf.DUMMYFUNCTION("""COMPUTED_VALUE"""),1.3636363636363635)</f>
        <v>1.363636364</v>
      </c>
      <c r="X683" s="16">
        <f>IFERROR(__xludf.DUMMYFUNCTION("""COMPUTED_VALUE"""),3.327272727272727)</f>
        <v>3.327272727</v>
      </c>
      <c r="Y683" s="11">
        <f>IFERROR(__xludf.DUMMYFUNCTION("""COMPUTED_VALUE"""),13.0)</f>
        <v>13</v>
      </c>
      <c r="Z683" s="11">
        <f>IFERROR(__xludf.DUMMYFUNCTION("""COMPUTED_VALUE"""),6.0)</f>
        <v>6</v>
      </c>
      <c r="AA683" s="11">
        <f>IFERROR(__xludf.DUMMYFUNCTION("""COMPUTED_VALUE"""),0.0)</f>
        <v>0</v>
      </c>
      <c r="AB683" s="11">
        <f>IFERROR(__xludf.DUMMYFUNCTION("""COMPUTED_VALUE"""),11.0)</f>
        <v>11</v>
      </c>
      <c r="AC683" s="11">
        <f>IFERROR(__xludf.DUMMYFUNCTION("""COMPUTED_VALUE"""),95.0)</f>
        <v>95</v>
      </c>
      <c r="AD683" s="11">
        <f>IFERROR(__xludf.DUMMYFUNCTION("""COMPUTED_VALUE"""),52.0)</f>
        <v>52</v>
      </c>
    </row>
    <row r="684">
      <c r="A684" s="10" t="str">
        <f>IFERROR(__xludf.DUMMYFUNCTION("""COMPUTED_VALUE"""),"Veteran")</f>
        <v>Veteran</v>
      </c>
      <c r="B684" s="10" t="str">
        <f>IFERROR(__xludf.DUMMYFUNCTION("""COMPUTED_VALUE"""),"RSC002706")</f>
        <v>RSC002706</v>
      </c>
      <c r="C684" s="10" t="str">
        <f>IFERROR(__xludf.DUMMYFUNCTION("""COMPUTED_VALUE"""),"Zarthon77")</f>
        <v>Zarthon77</v>
      </c>
      <c r="D684" s="36" t="str">
        <f>IFERROR(__xludf.DUMMYFUNCTION("""COMPUTED_VALUE"""),"Sons of Ares")</f>
        <v>Sons of Ares</v>
      </c>
      <c r="E684" s="10" t="str">
        <f>IFERROR(__xludf.DUMMYFUNCTION("""COMPUTED_VALUE"""),"Solar")</f>
        <v>Solar</v>
      </c>
      <c r="F684" s="37">
        <f>IFERROR(__xludf.DUMMYFUNCTION("""COMPUTED_VALUE"""),82.1641939623182)</f>
        <v>82.16419396</v>
      </c>
      <c r="G684" s="38">
        <f>IFERROR(__xludf.DUMMYFUNCTION("""COMPUTED_VALUE"""),81.02575049698657)</f>
        <v>81.0257505</v>
      </c>
      <c r="H684" s="38">
        <f>IFERROR(__xludf.DUMMYFUNCTION("""COMPUTED_VALUE"""),81.59497222965238)</f>
        <v>81.59497223</v>
      </c>
      <c r="I684" s="14">
        <f>IFERROR(__xludf.DUMMYFUNCTION("""COMPUTED_VALUE"""),52.0)</f>
        <v>52</v>
      </c>
      <c r="J684" s="11">
        <f>IFERROR(__xludf.DUMMYFUNCTION("IFERROR(FILTER(Stats!$F:$Z,(Stats!$A:$A=$A684)*(Stats!$B:$B=$B684)))"),33.0)</f>
        <v>33</v>
      </c>
      <c r="K684" s="11">
        <f>IFERROR(__xludf.DUMMYFUNCTION("""COMPUTED_VALUE"""),19.0)</f>
        <v>19</v>
      </c>
      <c r="L684" s="12">
        <f>IFERROR(__xludf.DUMMYFUNCTION("""COMPUTED_VALUE"""),0.6346153846153846)</f>
        <v>0.6346153846</v>
      </c>
      <c r="M684" s="11">
        <f>IFERROR(__xludf.DUMMYFUNCTION("""COMPUTED_VALUE"""),16.0)</f>
        <v>16</v>
      </c>
      <c r="N684" s="11">
        <f>IFERROR(__xludf.DUMMYFUNCTION("""COMPUTED_VALUE"""),20865.0)</f>
        <v>20865</v>
      </c>
      <c r="O684" s="13">
        <f>IFERROR(__xludf.DUMMYFUNCTION("""COMPUTED_VALUE"""),54.0)</f>
        <v>54</v>
      </c>
      <c r="P684" s="14">
        <f>IFERROR(__xludf.DUMMYFUNCTION("""COMPUTED_VALUE"""),33.0)</f>
        <v>33</v>
      </c>
      <c r="Q684" s="13">
        <f>IFERROR(__xludf.DUMMYFUNCTION("""COMPUTED_VALUE"""),73.0)</f>
        <v>73</v>
      </c>
      <c r="R684" s="13">
        <f>IFERROR(__xludf.DUMMYFUNCTION("""COMPUTED_VALUE"""),164.0)</f>
        <v>164</v>
      </c>
      <c r="S684" s="15">
        <f>IFERROR(__xludf.DUMMYFUNCTION("""COMPUTED_VALUE"""),0.32926829268292684)</f>
        <v>0.3292682927</v>
      </c>
      <c r="T684" s="16">
        <f>IFERROR(__xludf.DUMMYFUNCTION("""COMPUTED_VALUE"""),401.25)</f>
        <v>401.25</v>
      </c>
      <c r="U684" s="16">
        <f>IFERROR(__xludf.DUMMYFUNCTION("""COMPUTED_VALUE"""),1.0384615384615385)</f>
        <v>1.038461538</v>
      </c>
      <c r="V684" s="16">
        <f>IFERROR(__xludf.DUMMYFUNCTION("""COMPUTED_VALUE"""),0.6346153846153846)</f>
        <v>0.6346153846</v>
      </c>
      <c r="W684" s="16">
        <f>IFERROR(__xludf.DUMMYFUNCTION("""COMPUTED_VALUE"""),1.4038461538461537)</f>
        <v>1.403846154</v>
      </c>
      <c r="X684" s="16">
        <f>IFERROR(__xludf.DUMMYFUNCTION("""COMPUTED_VALUE"""),3.1538461538461537)</f>
        <v>3.153846154</v>
      </c>
      <c r="Y684" s="11">
        <f>IFERROR(__xludf.DUMMYFUNCTION("""COMPUTED_VALUE"""),12.0)</f>
        <v>12</v>
      </c>
      <c r="Z684" s="11">
        <f>IFERROR(__xludf.DUMMYFUNCTION("""COMPUTED_VALUE"""),3.0)</f>
        <v>3</v>
      </c>
      <c r="AA684" s="11">
        <f>IFERROR(__xludf.DUMMYFUNCTION("""COMPUTED_VALUE"""),3.0)</f>
        <v>3</v>
      </c>
      <c r="AB684" s="11">
        <f>IFERROR(__xludf.DUMMYFUNCTION("""COMPUTED_VALUE"""),9.0)</f>
        <v>9</v>
      </c>
      <c r="AC684" s="11">
        <f>IFERROR(__xludf.DUMMYFUNCTION("""COMPUTED_VALUE"""),14.0)</f>
        <v>14</v>
      </c>
      <c r="AD684" s="11">
        <f>IFERROR(__xludf.DUMMYFUNCTION("""COMPUTED_VALUE"""),63.0)</f>
        <v>63</v>
      </c>
    </row>
    <row r="685">
      <c r="A685" s="10" t="str">
        <f>IFERROR(__xludf.DUMMYFUNCTION("""COMPUTED_VALUE"""),"Veteran")</f>
        <v>Veteran</v>
      </c>
      <c r="B685" s="10" t="str">
        <f>IFERROR(__xludf.DUMMYFUNCTION("""COMPUTED_VALUE"""),"RSC001199")</f>
        <v>RSC001199</v>
      </c>
      <c r="C685" s="10" t="str">
        <f>IFERROR(__xludf.DUMMYFUNCTION("""COMPUTED_VALUE"""),"Classy")</f>
        <v>Classy</v>
      </c>
      <c r="D685" s="36" t="str">
        <f>IFERROR(__xludf.DUMMYFUNCTION("""COMPUTED_VALUE"""),"Water")</f>
        <v>Water</v>
      </c>
      <c r="E685" s="10" t="str">
        <f>IFERROR(__xludf.DUMMYFUNCTION("""COMPUTED_VALUE"""),"Solar")</f>
        <v>Solar</v>
      </c>
      <c r="F685" s="37">
        <f>IFERROR(__xludf.DUMMYFUNCTION("""COMPUTED_VALUE"""),76.92735547135779)</f>
        <v>76.92735547</v>
      </c>
      <c r="G685" s="38">
        <f>IFERROR(__xludf.DUMMYFUNCTION("""COMPUTED_VALUE"""),86.14613663804438)</f>
        <v>86.14613664</v>
      </c>
      <c r="H685" s="38">
        <f>IFERROR(__xludf.DUMMYFUNCTION("""COMPUTED_VALUE"""),81.53674605470108)</f>
        <v>81.53674605</v>
      </c>
      <c r="I685" s="14">
        <f>IFERROR(__xludf.DUMMYFUNCTION("""COMPUTED_VALUE"""),54.0)</f>
        <v>54</v>
      </c>
      <c r="J685" s="11">
        <f>IFERROR(__xludf.DUMMYFUNCTION("IFERROR(FILTER(Stats!$F:$Z,(Stats!$A:$A=$A685)*(Stats!$B:$B=$B685)))"),34.0)</f>
        <v>34</v>
      </c>
      <c r="K685" s="11">
        <f>IFERROR(__xludf.DUMMYFUNCTION("""COMPUTED_VALUE"""),20.0)</f>
        <v>20</v>
      </c>
      <c r="L685" s="12">
        <f>IFERROR(__xludf.DUMMYFUNCTION("""COMPUTED_VALUE"""),0.6296296296296297)</f>
        <v>0.6296296296</v>
      </c>
      <c r="M685" s="11">
        <f>IFERROR(__xludf.DUMMYFUNCTION("""COMPUTED_VALUE"""),16.0)</f>
        <v>16</v>
      </c>
      <c r="N685" s="11">
        <f>IFERROR(__xludf.DUMMYFUNCTION("""COMPUTED_VALUE"""),21629.0)</f>
        <v>21629</v>
      </c>
      <c r="O685" s="13">
        <f>IFERROR(__xludf.DUMMYFUNCTION("""COMPUTED_VALUE"""),52.0)</f>
        <v>52</v>
      </c>
      <c r="P685" s="14">
        <f>IFERROR(__xludf.DUMMYFUNCTION("""COMPUTED_VALUE"""),40.0)</f>
        <v>40</v>
      </c>
      <c r="Q685" s="13">
        <f>IFERROR(__xludf.DUMMYFUNCTION("""COMPUTED_VALUE"""),71.0)</f>
        <v>71</v>
      </c>
      <c r="R685" s="13">
        <f>IFERROR(__xludf.DUMMYFUNCTION("""COMPUTED_VALUE"""),164.0)</f>
        <v>164</v>
      </c>
      <c r="S685" s="15">
        <f>IFERROR(__xludf.DUMMYFUNCTION("""COMPUTED_VALUE"""),0.3170731707317073)</f>
        <v>0.3170731707</v>
      </c>
      <c r="T685" s="16">
        <f>IFERROR(__xludf.DUMMYFUNCTION("""COMPUTED_VALUE"""),400.537037037037)</f>
        <v>400.537037</v>
      </c>
      <c r="U685" s="16">
        <f>IFERROR(__xludf.DUMMYFUNCTION("""COMPUTED_VALUE"""),0.9629629629629629)</f>
        <v>0.962962963</v>
      </c>
      <c r="V685" s="16">
        <f>IFERROR(__xludf.DUMMYFUNCTION("""COMPUTED_VALUE"""),0.7407407407407407)</f>
        <v>0.7407407407</v>
      </c>
      <c r="W685" s="16">
        <f>IFERROR(__xludf.DUMMYFUNCTION("""COMPUTED_VALUE"""),1.3148148148148149)</f>
        <v>1.314814815</v>
      </c>
      <c r="X685" s="16">
        <f>IFERROR(__xludf.DUMMYFUNCTION("""COMPUTED_VALUE"""),3.037037037037037)</f>
        <v>3.037037037</v>
      </c>
      <c r="Y685" s="11">
        <f>IFERROR(__xludf.DUMMYFUNCTION("""COMPUTED_VALUE"""),14.0)</f>
        <v>14</v>
      </c>
      <c r="Z685" s="11">
        <f>IFERROR(__xludf.DUMMYFUNCTION("""COMPUTED_VALUE"""),4.0)</f>
        <v>4</v>
      </c>
      <c r="AA685" s="11">
        <f>IFERROR(__xludf.DUMMYFUNCTION("""COMPUTED_VALUE"""),3.0)</f>
        <v>3</v>
      </c>
      <c r="AB685" s="11">
        <f>IFERROR(__xludf.DUMMYFUNCTION("""COMPUTED_VALUE"""),9.0)</f>
        <v>9</v>
      </c>
      <c r="AC685" s="11">
        <f>IFERROR(__xludf.DUMMYFUNCTION("""COMPUTED_VALUE"""),58.0)</f>
        <v>58</v>
      </c>
      <c r="AD685" s="11">
        <f>IFERROR(__xludf.DUMMYFUNCTION("""COMPUTED_VALUE"""),42.0)</f>
        <v>42</v>
      </c>
    </row>
    <row r="686">
      <c r="A686" s="10" t="str">
        <f>IFERROR(__xludf.DUMMYFUNCTION("""COMPUTED_VALUE"""),"Veteran")</f>
        <v>Veteran</v>
      </c>
      <c r="B686" s="10" t="str">
        <f>IFERROR(__xludf.DUMMYFUNCTION("""COMPUTED_VALUE"""),"RSC006613")</f>
        <v>RSC006613</v>
      </c>
      <c r="C686" s="10" t="str">
        <f>IFERROR(__xludf.DUMMYFUNCTION("""COMPUTED_VALUE"""),"cartman_-_")</f>
        <v>cartman_-_</v>
      </c>
      <c r="D686" s="36" t="str">
        <f>IFERROR(__xludf.DUMMYFUNCTION("""COMPUTED_VALUE"""),"Dogfight")</f>
        <v>Dogfight</v>
      </c>
      <c r="E686" s="10" t="str">
        <f>IFERROR(__xludf.DUMMYFUNCTION("""COMPUTED_VALUE"""),"Lunar")</f>
        <v>Lunar</v>
      </c>
      <c r="F686" s="37">
        <f>IFERROR(__xludf.DUMMYFUNCTION("""COMPUTED_VALUE"""),74.63255032310877)</f>
        <v>74.63255032</v>
      </c>
      <c r="G686" s="38">
        <f>IFERROR(__xludf.DUMMYFUNCTION("""COMPUTED_VALUE"""),84.52978786688303)</f>
        <v>84.52978787</v>
      </c>
      <c r="H686" s="38">
        <f>IFERROR(__xludf.DUMMYFUNCTION("""COMPUTED_VALUE"""),79.5811690949959)</f>
        <v>79.58116909</v>
      </c>
      <c r="I686" s="14">
        <f>IFERROR(__xludf.DUMMYFUNCTION("""COMPUTED_VALUE"""),52.0)</f>
        <v>52</v>
      </c>
      <c r="J686" s="11">
        <f>IFERROR(__xludf.DUMMYFUNCTION("IFERROR(FILTER(Stats!$F:$Z,(Stats!$A:$A=$A686)*(Stats!$B:$B=$B686)))"),37.0)</f>
        <v>37</v>
      </c>
      <c r="K686" s="11">
        <f>IFERROR(__xludf.DUMMYFUNCTION("""COMPUTED_VALUE"""),15.0)</f>
        <v>15</v>
      </c>
      <c r="L686" s="12">
        <f>IFERROR(__xludf.DUMMYFUNCTION("""COMPUTED_VALUE"""),0.7115384615384616)</f>
        <v>0.7115384615</v>
      </c>
      <c r="M686" s="11">
        <f>IFERROR(__xludf.DUMMYFUNCTION("""COMPUTED_VALUE"""),13.0)</f>
        <v>13</v>
      </c>
      <c r="N686" s="11">
        <f>IFERROR(__xludf.DUMMYFUNCTION("""COMPUTED_VALUE"""),19341.0)</f>
        <v>19341</v>
      </c>
      <c r="O686" s="13">
        <f>IFERROR(__xludf.DUMMYFUNCTION("""COMPUTED_VALUE"""),55.0)</f>
        <v>55</v>
      </c>
      <c r="P686" s="14">
        <f>IFERROR(__xludf.DUMMYFUNCTION("""COMPUTED_VALUE"""),40.0)</f>
        <v>40</v>
      </c>
      <c r="Q686" s="13">
        <f>IFERROR(__xludf.DUMMYFUNCTION("""COMPUTED_VALUE"""),56.0)</f>
        <v>56</v>
      </c>
      <c r="R686" s="13">
        <f>IFERROR(__xludf.DUMMYFUNCTION("""COMPUTED_VALUE"""),147.0)</f>
        <v>147</v>
      </c>
      <c r="S686" s="15">
        <f>IFERROR(__xludf.DUMMYFUNCTION("""COMPUTED_VALUE"""),0.3741496598639456)</f>
        <v>0.3741496599</v>
      </c>
      <c r="T686" s="16">
        <f>IFERROR(__xludf.DUMMYFUNCTION("""COMPUTED_VALUE"""),371.9423076923077)</f>
        <v>371.9423077</v>
      </c>
      <c r="U686" s="16">
        <f>IFERROR(__xludf.DUMMYFUNCTION("""COMPUTED_VALUE"""),1.0576923076923077)</f>
        <v>1.057692308</v>
      </c>
      <c r="V686" s="16">
        <f>IFERROR(__xludf.DUMMYFUNCTION("""COMPUTED_VALUE"""),0.7692307692307693)</f>
        <v>0.7692307692</v>
      </c>
      <c r="W686" s="16">
        <f>IFERROR(__xludf.DUMMYFUNCTION("""COMPUTED_VALUE"""),1.0769230769230769)</f>
        <v>1.076923077</v>
      </c>
      <c r="X686" s="16">
        <f>IFERROR(__xludf.DUMMYFUNCTION("""COMPUTED_VALUE"""),2.826923076923077)</f>
        <v>2.826923077</v>
      </c>
      <c r="Y686" s="11">
        <f>IFERROR(__xludf.DUMMYFUNCTION("""COMPUTED_VALUE"""),11.0)</f>
        <v>11</v>
      </c>
      <c r="Z686" s="11">
        <f>IFERROR(__xludf.DUMMYFUNCTION("""COMPUTED_VALUE"""),7.0)</f>
        <v>7</v>
      </c>
      <c r="AA686" s="11">
        <f>IFERROR(__xludf.DUMMYFUNCTION("""COMPUTED_VALUE"""),2.0)</f>
        <v>2</v>
      </c>
      <c r="AB686" s="11">
        <f>IFERROR(__xludf.DUMMYFUNCTION("""COMPUTED_VALUE"""),3.0)</f>
        <v>3</v>
      </c>
      <c r="AC686" s="11">
        <f>IFERROR(__xludf.DUMMYFUNCTION("""COMPUTED_VALUE"""),39.0)</f>
        <v>39</v>
      </c>
      <c r="AD686" s="11">
        <f>IFERROR(__xludf.DUMMYFUNCTION("""COMPUTED_VALUE"""),60.0)</f>
        <v>60</v>
      </c>
    </row>
    <row r="687">
      <c r="A687" s="10" t="str">
        <f>IFERROR(__xludf.DUMMYFUNCTION("""COMPUTED_VALUE"""),"Veteran")</f>
        <v>Veteran</v>
      </c>
      <c r="B687" s="10" t="str">
        <f>IFERROR(__xludf.DUMMYFUNCTION("""COMPUTED_VALUE"""),"RSC008351")</f>
        <v>RSC008351</v>
      </c>
      <c r="C687" s="10" t="str">
        <f>IFERROR(__xludf.DUMMYFUNCTION("""COMPUTED_VALUE"""),"trendy &lt;3")</f>
        <v>trendy &lt;3</v>
      </c>
      <c r="D687" s="36" t="str">
        <f>IFERROR(__xludf.DUMMYFUNCTION("""COMPUTED_VALUE"""),"White Collars")</f>
        <v>White Collars</v>
      </c>
      <c r="E687" s="10" t="str">
        <f>IFERROR(__xludf.DUMMYFUNCTION("""COMPUTED_VALUE"""),"Lunar")</f>
        <v>Lunar</v>
      </c>
      <c r="F687" s="37">
        <f>IFERROR(__xludf.DUMMYFUNCTION("""COMPUTED_VALUE"""),83.86629108112116)</f>
        <v>83.86629108</v>
      </c>
      <c r="G687" s="38">
        <f>IFERROR(__xludf.DUMMYFUNCTION("""COMPUTED_VALUE"""),75.17556986930664)</f>
        <v>75.17556987</v>
      </c>
      <c r="H687" s="38">
        <f>IFERROR(__xludf.DUMMYFUNCTION("""COMPUTED_VALUE"""),79.5209304752139)</f>
        <v>79.52093048</v>
      </c>
      <c r="I687" s="14">
        <f>IFERROR(__xludf.DUMMYFUNCTION("""COMPUTED_VALUE"""),56.0)</f>
        <v>56</v>
      </c>
      <c r="J687" s="11">
        <f>IFERROR(__xludf.DUMMYFUNCTION("IFERROR(FILTER(Stats!$F:$Z,(Stats!$A:$A=$A687)*(Stats!$B:$B=$B687)))"),30.0)</f>
        <v>30</v>
      </c>
      <c r="K687" s="11">
        <f>IFERROR(__xludf.DUMMYFUNCTION("""COMPUTED_VALUE"""),26.0)</f>
        <v>26</v>
      </c>
      <c r="L687" s="12">
        <f>IFERROR(__xludf.DUMMYFUNCTION("""COMPUTED_VALUE"""),0.5357142857142857)</f>
        <v>0.5357142857</v>
      </c>
      <c r="M687" s="11">
        <f>IFERROR(__xludf.DUMMYFUNCTION("""COMPUTED_VALUE"""),12.0)</f>
        <v>12</v>
      </c>
      <c r="N687" s="11">
        <f>IFERROR(__xludf.DUMMYFUNCTION("""COMPUTED_VALUE"""),21015.0)</f>
        <v>21015</v>
      </c>
      <c r="O687" s="13">
        <f>IFERROR(__xludf.DUMMYFUNCTION("""COMPUTED_VALUE"""),40.0)</f>
        <v>40</v>
      </c>
      <c r="P687" s="14">
        <f>IFERROR(__xludf.DUMMYFUNCTION("""COMPUTED_VALUE"""),47.0)</f>
        <v>47</v>
      </c>
      <c r="Q687" s="13">
        <f>IFERROR(__xludf.DUMMYFUNCTION("""COMPUTED_VALUE"""),78.0)</f>
        <v>78</v>
      </c>
      <c r="R687" s="13">
        <f>IFERROR(__xludf.DUMMYFUNCTION("""COMPUTED_VALUE"""),154.0)</f>
        <v>154</v>
      </c>
      <c r="S687" s="15">
        <f>IFERROR(__xludf.DUMMYFUNCTION("""COMPUTED_VALUE"""),0.2597402597402597)</f>
        <v>0.2597402597</v>
      </c>
      <c r="T687" s="16">
        <f>IFERROR(__xludf.DUMMYFUNCTION("""COMPUTED_VALUE"""),375.26785714285717)</f>
        <v>375.2678571</v>
      </c>
      <c r="U687" s="16">
        <f>IFERROR(__xludf.DUMMYFUNCTION("""COMPUTED_VALUE"""),0.7142857142857143)</f>
        <v>0.7142857143</v>
      </c>
      <c r="V687" s="16">
        <f>IFERROR(__xludf.DUMMYFUNCTION("""COMPUTED_VALUE"""),0.8392857142857143)</f>
        <v>0.8392857143</v>
      </c>
      <c r="W687" s="16">
        <f>IFERROR(__xludf.DUMMYFUNCTION("""COMPUTED_VALUE"""),1.3928571428571428)</f>
        <v>1.392857143</v>
      </c>
      <c r="X687" s="16">
        <f>IFERROR(__xludf.DUMMYFUNCTION("""COMPUTED_VALUE"""),2.75)</f>
        <v>2.75</v>
      </c>
      <c r="Y687" s="11">
        <f>IFERROR(__xludf.DUMMYFUNCTION("""COMPUTED_VALUE"""),12.0)</f>
        <v>12</v>
      </c>
      <c r="Z687" s="11">
        <f>IFERROR(__xludf.DUMMYFUNCTION("""COMPUTED_VALUE"""),1.0)</f>
        <v>1</v>
      </c>
      <c r="AA687" s="11">
        <f>IFERROR(__xludf.DUMMYFUNCTION("""COMPUTED_VALUE"""),6.0)</f>
        <v>6</v>
      </c>
      <c r="AB687" s="11">
        <f>IFERROR(__xludf.DUMMYFUNCTION("""COMPUTED_VALUE"""),8.0)</f>
        <v>8</v>
      </c>
      <c r="AC687" s="11">
        <f>IFERROR(__xludf.DUMMYFUNCTION("""COMPUTED_VALUE"""),32.0)</f>
        <v>32</v>
      </c>
      <c r="AD687" s="11">
        <f>IFERROR(__xludf.DUMMYFUNCTION("""COMPUTED_VALUE"""),52.0)</f>
        <v>52</v>
      </c>
    </row>
    <row r="688">
      <c r="A688" s="10" t="str">
        <f>IFERROR(__xludf.DUMMYFUNCTION("""COMPUTED_VALUE"""),"Veteran")</f>
        <v>Veteran</v>
      </c>
      <c r="B688" s="10" t="str">
        <f>IFERROR(__xludf.DUMMYFUNCTION("""COMPUTED_VALUE"""),"RSC007594")</f>
        <v>RSC007594</v>
      </c>
      <c r="C688" s="10" t="str">
        <f>IFERROR(__xludf.DUMMYFUNCTION("""COMPUTED_VALUE"""),"Notbeanrl")</f>
        <v>Notbeanrl</v>
      </c>
      <c r="D688" s="36" t="str">
        <f>IFERROR(__xludf.DUMMYFUNCTION("""COMPUTED_VALUE"""),"Blacksmiths")</f>
        <v>Blacksmiths</v>
      </c>
      <c r="E688" s="10" t="str">
        <f>IFERROR(__xludf.DUMMYFUNCTION("""COMPUTED_VALUE"""),"Lunar")</f>
        <v>Lunar</v>
      </c>
      <c r="F688" s="37">
        <f>IFERROR(__xludf.DUMMYFUNCTION("""COMPUTED_VALUE"""),74.06592212920089)</f>
        <v>74.06592213</v>
      </c>
      <c r="G688" s="38">
        <f>IFERROR(__xludf.DUMMYFUNCTION("""COMPUTED_VALUE"""),82.98972048500912)</f>
        <v>82.98972049</v>
      </c>
      <c r="H688" s="38">
        <f>IFERROR(__xludf.DUMMYFUNCTION("""COMPUTED_VALUE"""),78.527821307105)</f>
        <v>78.52782131</v>
      </c>
      <c r="I688" s="14">
        <f>IFERROR(__xludf.DUMMYFUNCTION("""COMPUTED_VALUE"""),52.0)</f>
        <v>52</v>
      </c>
      <c r="J688" s="11">
        <f>IFERROR(__xludf.DUMMYFUNCTION("IFERROR(FILTER(Stats!$F:$Z,(Stats!$A:$A=$A688)*(Stats!$B:$B=$B688)))"),28.0)</f>
        <v>28</v>
      </c>
      <c r="K688" s="11">
        <f>IFERROR(__xludf.DUMMYFUNCTION("""COMPUTED_VALUE"""),24.0)</f>
        <v>24</v>
      </c>
      <c r="L688" s="12">
        <f>IFERROR(__xludf.DUMMYFUNCTION("""COMPUTED_VALUE"""),0.5384615384615384)</f>
        <v>0.5384615385</v>
      </c>
      <c r="M688" s="11">
        <f>IFERROR(__xludf.DUMMYFUNCTION("""COMPUTED_VALUE"""),11.0)</f>
        <v>11</v>
      </c>
      <c r="N688" s="11">
        <f>IFERROR(__xludf.DUMMYFUNCTION("""COMPUTED_VALUE"""),20691.0)</f>
        <v>20691</v>
      </c>
      <c r="O688" s="13">
        <f>IFERROR(__xludf.DUMMYFUNCTION("""COMPUTED_VALUE"""),64.0)</f>
        <v>64</v>
      </c>
      <c r="P688" s="14">
        <f>IFERROR(__xludf.DUMMYFUNCTION("""COMPUTED_VALUE"""),30.0)</f>
        <v>30</v>
      </c>
      <c r="Q688" s="13">
        <f>IFERROR(__xludf.DUMMYFUNCTION("""COMPUTED_VALUE"""),61.0)</f>
        <v>61</v>
      </c>
      <c r="R688" s="13">
        <f>IFERROR(__xludf.DUMMYFUNCTION("""COMPUTED_VALUE"""),182.0)</f>
        <v>182</v>
      </c>
      <c r="S688" s="15">
        <f>IFERROR(__xludf.DUMMYFUNCTION("""COMPUTED_VALUE"""),0.3516483516483517)</f>
        <v>0.3516483516</v>
      </c>
      <c r="T688" s="16">
        <f>IFERROR(__xludf.DUMMYFUNCTION("""COMPUTED_VALUE"""),397.90384615384613)</f>
        <v>397.9038462</v>
      </c>
      <c r="U688" s="16">
        <f>IFERROR(__xludf.DUMMYFUNCTION("""COMPUTED_VALUE"""),1.2307692307692308)</f>
        <v>1.230769231</v>
      </c>
      <c r="V688" s="16">
        <f>IFERROR(__xludf.DUMMYFUNCTION("""COMPUTED_VALUE"""),0.5769230769230769)</f>
        <v>0.5769230769</v>
      </c>
      <c r="W688" s="16">
        <f>IFERROR(__xludf.DUMMYFUNCTION("""COMPUTED_VALUE"""),1.1730769230769231)</f>
        <v>1.173076923</v>
      </c>
      <c r="X688" s="16">
        <f>IFERROR(__xludf.DUMMYFUNCTION("""COMPUTED_VALUE"""),3.5)</f>
        <v>3.5</v>
      </c>
      <c r="Y688" s="11">
        <f>IFERROR(__xludf.DUMMYFUNCTION("""COMPUTED_VALUE"""),8.0)</f>
        <v>8</v>
      </c>
      <c r="Z688" s="11">
        <f>IFERROR(__xludf.DUMMYFUNCTION("""COMPUTED_VALUE"""),2.0)</f>
        <v>2</v>
      </c>
      <c r="AA688" s="11">
        <f>IFERROR(__xludf.DUMMYFUNCTION("""COMPUTED_VALUE"""),3.0)</f>
        <v>3</v>
      </c>
      <c r="AB688" s="11">
        <f>IFERROR(__xludf.DUMMYFUNCTION("""COMPUTED_VALUE"""),5.0)</f>
        <v>5</v>
      </c>
      <c r="AC688" s="11">
        <f>IFERROR(__xludf.DUMMYFUNCTION("""COMPUTED_VALUE"""),51.0)</f>
        <v>51</v>
      </c>
      <c r="AD688" s="11">
        <f>IFERROR(__xludf.DUMMYFUNCTION("""COMPUTED_VALUE"""),66.0)</f>
        <v>66</v>
      </c>
    </row>
    <row r="689">
      <c r="A689" s="10" t="str">
        <f>IFERROR(__xludf.DUMMYFUNCTION("""COMPUTED_VALUE"""),"Veteran")</f>
        <v>Veteran</v>
      </c>
      <c r="B689" s="10" t="str">
        <f>IFERROR(__xludf.DUMMYFUNCTION("""COMPUTED_VALUE"""),"RSC008452")</f>
        <v>RSC008452</v>
      </c>
      <c r="C689" s="10" t="str">
        <f>IFERROR(__xludf.DUMMYFUNCTION("""COMPUTED_VALUE"""),"pxiruu")</f>
        <v>pxiruu</v>
      </c>
      <c r="D689" s="36" t="str">
        <f>IFERROR(__xludf.DUMMYFUNCTION("""COMPUTED_VALUE"""),"Giant Squids")</f>
        <v>Giant Squids</v>
      </c>
      <c r="E689" s="10" t="str">
        <f>IFERROR(__xludf.DUMMYFUNCTION("""COMPUTED_VALUE"""),"Lunar")</f>
        <v>Lunar</v>
      </c>
      <c r="F689" s="37">
        <f>IFERROR(__xludf.DUMMYFUNCTION("""COMPUTED_VALUE"""),75.72125106621857)</f>
        <v>75.72125107</v>
      </c>
      <c r="G689" s="38">
        <f>IFERROR(__xludf.DUMMYFUNCTION("""COMPUTED_VALUE"""),79.14035285188325)</f>
        <v>79.14035285</v>
      </c>
      <c r="H689" s="38">
        <f>IFERROR(__xludf.DUMMYFUNCTION("""COMPUTED_VALUE"""),77.43080195905091)</f>
        <v>77.43080196</v>
      </c>
      <c r="I689" s="14">
        <f>IFERROR(__xludf.DUMMYFUNCTION("""COMPUTED_VALUE"""),51.0)</f>
        <v>51</v>
      </c>
      <c r="J689" s="11">
        <f>IFERROR(__xludf.DUMMYFUNCTION("IFERROR(FILTER(Stats!$F:$Z,(Stats!$A:$A=$A689)*(Stats!$B:$B=$B689)))"),29.0)</f>
        <v>29</v>
      </c>
      <c r="K689" s="11">
        <f>IFERROR(__xludf.DUMMYFUNCTION("""COMPUTED_VALUE"""),22.0)</f>
        <v>22</v>
      </c>
      <c r="L689" s="12">
        <f>IFERROR(__xludf.DUMMYFUNCTION("""COMPUTED_VALUE"""),0.5686274509803921)</f>
        <v>0.568627451</v>
      </c>
      <c r="M689" s="11">
        <f>IFERROR(__xludf.DUMMYFUNCTION("""COMPUTED_VALUE"""),15.0)</f>
        <v>15</v>
      </c>
      <c r="N689" s="11">
        <f>IFERROR(__xludf.DUMMYFUNCTION("""COMPUTED_VALUE"""),19480.0)</f>
        <v>19480</v>
      </c>
      <c r="O689" s="13">
        <f>IFERROR(__xludf.DUMMYFUNCTION("""COMPUTED_VALUE"""),49.0)</f>
        <v>49</v>
      </c>
      <c r="P689" s="14">
        <f>IFERROR(__xludf.DUMMYFUNCTION("""COMPUTED_VALUE"""),36.0)</f>
        <v>36</v>
      </c>
      <c r="Q689" s="13">
        <f>IFERROR(__xludf.DUMMYFUNCTION("""COMPUTED_VALUE"""),58.0)</f>
        <v>58</v>
      </c>
      <c r="R689" s="13">
        <f>IFERROR(__xludf.DUMMYFUNCTION("""COMPUTED_VALUE"""),168.0)</f>
        <v>168</v>
      </c>
      <c r="S689" s="15">
        <f>IFERROR(__xludf.DUMMYFUNCTION("""COMPUTED_VALUE"""),0.2916666666666667)</f>
        <v>0.2916666667</v>
      </c>
      <c r="T689" s="16">
        <f>IFERROR(__xludf.DUMMYFUNCTION("""COMPUTED_VALUE"""),381.96078431372547)</f>
        <v>381.9607843</v>
      </c>
      <c r="U689" s="16">
        <f>IFERROR(__xludf.DUMMYFUNCTION("""COMPUTED_VALUE"""),0.9607843137254902)</f>
        <v>0.9607843137</v>
      </c>
      <c r="V689" s="16">
        <f>IFERROR(__xludf.DUMMYFUNCTION("""COMPUTED_VALUE"""),0.7058823529411765)</f>
        <v>0.7058823529</v>
      </c>
      <c r="W689" s="16">
        <f>IFERROR(__xludf.DUMMYFUNCTION("""COMPUTED_VALUE"""),1.1372549019607843)</f>
        <v>1.137254902</v>
      </c>
      <c r="X689" s="16">
        <f>IFERROR(__xludf.DUMMYFUNCTION("""COMPUTED_VALUE"""),3.2941176470588234)</f>
        <v>3.294117647</v>
      </c>
      <c r="Y689" s="11">
        <f>IFERROR(__xludf.DUMMYFUNCTION("""COMPUTED_VALUE"""),8.0)</f>
        <v>8</v>
      </c>
      <c r="Z689" s="11">
        <f>IFERROR(__xludf.DUMMYFUNCTION("""COMPUTED_VALUE"""),4.0)</f>
        <v>4</v>
      </c>
      <c r="AA689" s="11">
        <f>IFERROR(__xludf.DUMMYFUNCTION("""COMPUTED_VALUE"""),3.0)</f>
        <v>3</v>
      </c>
      <c r="AB689" s="11">
        <f>IFERROR(__xludf.DUMMYFUNCTION("""COMPUTED_VALUE"""),7.0)</f>
        <v>7</v>
      </c>
      <c r="AC689" s="11">
        <f>IFERROR(__xludf.DUMMYFUNCTION("""COMPUTED_VALUE"""),79.0)</f>
        <v>79</v>
      </c>
      <c r="AD689" s="11">
        <f>IFERROR(__xludf.DUMMYFUNCTION("""COMPUTED_VALUE"""),47.0)</f>
        <v>47</v>
      </c>
    </row>
    <row r="690">
      <c r="A690" s="10" t="str">
        <f>IFERROR(__xludf.DUMMYFUNCTION("""COMPUTED_VALUE"""),"Veteran")</f>
        <v>Veteran</v>
      </c>
      <c r="B690" s="10" t="str">
        <f>IFERROR(__xludf.DUMMYFUNCTION("""COMPUTED_VALUE"""),"RSC007660")</f>
        <v>RSC007660</v>
      </c>
      <c r="C690" s="10" t="str">
        <f>IFERROR(__xludf.DUMMYFUNCTION("""COMPUTED_VALUE"""),"Shraxl")</f>
        <v>Shraxl</v>
      </c>
      <c r="D690" s="36" t="str">
        <f>IFERROR(__xludf.DUMMYFUNCTION("""COMPUTED_VALUE"""),"Mages")</f>
        <v>Mages</v>
      </c>
      <c r="E690" s="10" t="str">
        <f>IFERROR(__xludf.DUMMYFUNCTION("""COMPUTED_VALUE"""),"Lunar")</f>
        <v>Lunar</v>
      </c>
      <c r="F690" s="37">
        <f>IFERROR(__xludf.DUMMYFUNCTION("""COMPUTED_VALUE"""),74.0355202281646)</f>
        <v>74.03552023</v>
      </c>
      <c r="G690" s="38">
        <f>IFERROR(__xludf.DUMMYFUNCTION("""COMPUTED_VALUE"""),80.24737705206718)</f>
        <v>80.24737705</v>
      </c>
      <c r="H690" s="38">
        <f>IFERROR(__xludf.DUMMYFUNCTION("""COMPUTED_VALUE"""),77.1414486401159)</f>
        <v>77.14144864</v>
      </c>
      <c r="I690" s="14">
        <f>IFERROR(__xludf.DUMMYFUNCTION("""COMPUTED_VALUE"""),52.0)</f>
        <v>52</v>
      </c>
      <c r="J690" s="11">
        <f>IFERROR(__xludf.DUMMYFUNCTION("IFERROR(FILTER(Stats!$F:$Z,(Stats!$A:$A=$A690)*(Stats!$B:$B=$B690)))"),25.0)</f>
        <v>25</v>
      </c>
      <c r="K690" s="11">
        <f>IFERROR(__xludf.DUMMYFUNCTION("""COMPUTED_VALUE"""),27.0)</f>
        <v>27</v>
      </c>
      <c r="L690" s="12">
        <f>IFERROR(__xludf.DUMMYFUNCTION("""COMPUTED_VALUE"""),0.4807692307692308)</f>
        <v>0.4807692308</v>
      </c>
      <c r="M690" s="11">
        <f>IFERROR(__xludf.DUMMYFUNCTION("""COMPUTED_VALUE"""),11.0)</f>
        <v>11</v>
      </c>
      <c r="N690" s="11">
        <f>IFERROR(__xludf.DUMMYFUNCTION("""COMPUTED_VALUE"""),22249.0)</f>
        <v>22249</v>
      </c>
      <c r="O690" s="13">
        <f>IFERROR(__xludf.DUMMYFUNCTION("""COMPUTED_VALUE"""),58.0)</f>
        <v>58</v>
      </c>
      <c r="P690" s="14">
        <f>IFERROR(__xludf.DUMMYFUNCTION("""COMPUTED_VALUE"""),33.0)</f>
        <v>33</v>
      </c>
      <c r="Q690" s="13">
        <f>IFERROR(__xludf.DUMMYFUNCTION("""COMPUTED_VALUE"""),86.0)</f>
        <v>86</v>
      </c>
      <c r="R690" s="13">
        <f>IFERROR(__xludf.DUMMYFUNCTION("""COMPUTED_VALUE"""),159.0)</f>
        <v>159</v>
      </c>
      <c r="S690" s="15">
        <f>IFERROR(__xludf.DUMMYFUNCTION("""COMPUTED_VALUE"""),0.36477987421383645)</f>
        <v>0.3647798742</v>
      </c>
      <c r="T690" s="16">
        <f>IFERROR(__xludf.DUMMYFUNCTION("""COMPUTED_VALUE"""),427.86538461538464)</f>
        <v>427.8653846</v>
      </c>
      <c r="U690" s="16">
        <f>IFERROR(__xludf.DUMMYFUNCTION("""COMPUTED_VALUE"""),1.1153846153846154)</f>
        <v>1.115384615</v>
      </c>
      <c r="V690" s="16">
        <f>IFERROR(__xludf.DUMMYFUNCTION("""COMPUTED_VALUE"""),0.6346153846153846)</f>
        <v>0.6346153846</v>
      </c>
      <c r="W690" s="16">
        <f>IFERROR(__xludf.DUMMYFUNCTION("""COMPUTED_VALUE"""),1.6538461538461537)</f>
        <v>1.653846154</v>
      </c>
      <c r="X690" s="16">
        <f>IFERROR(__xludf.DUMMYFUNCTION("""COMPUTED_VALUE"""),3.0576923076923075)</f>
        <v>3.057692308</v>
      </c>
      <c r="Y690" s="11">
        <f>IFERROR(__xludf.DUMMYFUNCTION("""COMPUTED_VALUE"""),15.0)</f>
        <v>15</v>
      </c>
      <c r="Z690" s="11">
        <f>IFERROR(__xludf.DUMMYFUNCTION("""COMPUTED_VALUE"""),4.0)</f>
        <v>4</v>
      </c>
      <c r="AA690" s="11">
        <f>IFERROR(__xludf.DUMMYFUNCTION("""COMPUTED_VALUE"""),0.0)</f>
        <v>0</v>
      </c>
      <c r="AB690" s="11">
        <f>IFERROR(__xludf.DUMMYFUNCTION("""COMPUTED_VALUE"""),13.0)</f>
        <v>13</v>
      </c>
      <c r="AC690" s="11">
        <f>IFERROR(__xludf.DUMMYFUNCTION("""COMPUTED_VALUE"""),58.0)</f>
        <v>58</v>
      </c>
      <c r="AD690" s="11">
        <f>IFERROR(__xludf.DUMMYFUNCTION("""COMPUTED_VALUE"""),63.0)</f>
        <v>63</v>
      </c>
    </row>
    <row r="691">
      <c r="A691" s="10" t="str">
        <f>IFERROR(__xludf.DUMMYFUNCTION("""COMPUTED_VALUE"""),"Veteran")</f>
        <v>Veteran</v>
      </c>
      <c r="B691" s="10" t="str">
        <f>IFERROR(__xludf.DUMMYFUNCTION("""COMPUTED_VALUE"""),"RSC003113")</f>
        <v>RSC003113</v>
      </c>
      <c r="C691" s="10" t="str">
        <f>IFERROR(__xludf.DUMMYFUNCTION("""COMPUTED_VALUE"""),"Nebulade")</f>
        <v>Nebulade</v>
      </c>
      <c r="D691" s="36" t="str">
        <f>IFERROR(__xludf.DUMMYFUNCTION("""COMPUTED_VALUE"""),"Berserkers")</f>
        <v>Berserkers</v>
      </c>
      <c r="E691" s="10" t="str">
        <f>IFERROR(__xludf.DUMMYFUNCTION("""COMPUTED_VALUE"""),"Lunar")</f>
        <v>Lunar</v>
      </c>
      <c r="F691" s="37">
        <f>IFERROR(__xludf.DUMMYFUNCTION("""COMPUTED_VALUE"""),67.55734496956748)</f>
        <v>67.55734497</v>
      </c>
      <c r="G691" s="38">
        <f>IFERROR(__xludf.DUMMYFUNCTION("""COMPUTED_VALUE"""),85.459824767139)</f>
        <v>85.45982477</v>
      </c>
      <c r="H691" s="38">
        <f>IFERROR(__xludf.DUMMYFUNCTION("""COMPUTED_VALUE"""),76.50858486835324)</f>
        <v>76.50858487</v>
      </c>
      <c r="I691" s="14">
        <f>IFERROR(__xludf.DUMMYFUNCTION("""COMPUTED_VALUE"""),56.0)</f>
        <v>56</v>
      </c>
      <c r="J691" s="11">
        <f>IFERROR(__xludf.DUMMYFUNCTION("IFERROR(FILTER(Stats!$F:$Z,(Stats!$A:$A=$A691)*(Stats!$B:$B=$B691)))"),36.0)</f>
        <v>36</v>
      </c>
      <c r="K691" s="11">
        <f>IFERROR(__xludf.DUMMYFUNCTION("""COMPUTED_VALUE"""),20.0)</f>
        <v>20</v>
      </c>
      <c r="L691" s="12">
        <f>IFERROR(__xludf.DUMMYFUNCTION("""COMPUTED_VALUE"""),0.6428571428571429)</f>
        <v>0.6428571429</v>
      </c>
      <c r="M691" s="11">
        <f>IFERROR(__xludf.DUMMYFUNCTION("""COMPUTED_VALUE"""),12.0)</f>
        <v>12</v>
      </c>
      <c r="N691" s="11">
        <f>IFERROR(__xludf.DUMMYFUNCTION("""COMPUTED_VALUE"""),22783.0)</f>
        <v>22783</v>
      </c>
      <c r="O691" s="13">
        <f>IFERROR(__xludf.DUMMYFUNCTION("""COMPUTED_VALUE"""),67.0)</f>
        <v>67</v>
      </c>
      <c r="P691" s="14">
        <f>IFERROR(__xludf.DUMMYFUNCTION("""COMPUTED_VALUE"""),39.0)</f>
        <v>39</v>
      </c>
      <c r="Q691" s="13">
        <f>IFERROR(__xludf.DUMMYFUNCTION("""COMPUTED_VALUE"""),66.0)</f>
        <v>66</v>
      </c>
      <c r="R691" s="13">
        <f>IFERROR(__xludf.DUMMYFUNCTION("""COMPUTED_VALUE"""),197.0)</f>
        <v>197</v>
      </c>
      <c r="S691" s="15">
        <f>IFERROR(__xludf.DUMMYFUNCTION("""COMPUTED_VALUE"""),0.3401015228426396)</f>
        <v>0.3401015228</v>
      </c>
      <c r="T691" s="16">
        <f>IFERROR(__xludf.DUMMYFUNCTION("""COMPUTED_VALUE"""),406.8392857142857)</f>
        <v>406.8392857</v>
      </c>
      <c r="U691" s="16">
        <f>IFERROR(__xludf.DUMMYFUNCTION("""COMPUTED_VALUE"""),1.1964285714285714)</f>
        <v>1.196428571</v>
      </c>
      <c r="V691" s="16">
        <f>IFERROR(__xludf.DUMMYFUNCTION("""COMPUTED_VALUE"""),0.6964285714285714)</f>
        <v>0.6964285714</v>
      </c>
      <c r="W691" s="16">
        <f>IFERROR(__xludf.DUMMYFUNCTION("""COMPUTED_VALUE"""),1.1785714285714286)</f>
        <v>1.178571429</v>
      </c>
      <c r="X691" s="16">
        <f>IFERROR(__xludf.DUMMYFUNCTION("""COMPUTED_VALUE"""),3.517857142857143)</f>
        <v>3.517857143</v>
      </c>
      <c r="Y691" s="11">
        <f>IFERROR(__xludf.DUMMYFUNCTION("""COMPUTED_VALUE"""),11.0)</f>
        <v>11</v>
      </c>
      <c r="Z691" s="11">
        <f>IFERROR(__xludf.DUMMYFUNCTION("""COMPUTED_VALUE"""),5.0)</f>
        <v>5</v>
      </c>
      <c r="AA691" s="11">
        <f>IFERROR(__xludf.DUMMYFUNCTION("""COMPUTED_VALUE"""),2.0)</f>
        <v>2</v>
      </c>
      <c r="AB691" s="11">
        <f>IFERROR(__xludf.DUMMYFUNCTION("""COMPUTED_VALUE"""),8.0)</f>
        <v>8</v>
      </c>
      <c r="AC691" s="11">
        <f>IFERROR(__xludf.DUMMYFUNCTION("""COMPUTED_VALUE"""),29.0)</f>
        <v>29</v>
      </c>
      <c r="AD691" s="11">
        <f>IFERROR(__xludf.DUMMYFUNCTION("""COMPUTED_VALUE"""),59.0)</f>
        <v>59</v>
      </c>
    </row>
    <row r="692">
      <c r="A692" s="10" t="str">
        <f>IFERROR(__xludf.DUMMYFUNCTION("""COMPUTED_VALUE"""),"Veteran")</f>
        <v>Veteran</v>
      </c>
      <c r="B692" s="10" t="str">
        <f>IFERROR(__xludf.DUMMYFUNCTION("""COMPUTED_VALUE"""),"RSC005682")</f>
        <v>RSC005682</v>
      </c>
      <c r="C692" s="10" t="str">
        <f>IFERROR(__xludf.DUMMYFUNCTION("""COMPUTED_VALUE"""),"S_ckz")</f>
        <v>S_ckz</v>
      </c>
      <c r="D692" s="36" t="str">
        <f>IFERROR(__xludf.DUMMYFUNCTION("""COMPUTED_VALUE"""),"Giraffes")</f>
        <v>Giraffes</v>
      </c>
      <c r="E692" s="10" t="str">
        <f>IFERROR(__xludf.DUMMYFUNCTION("""COMPUTED_VALUE"""),"Lunar")</f>
        <v>Lunar</v>
      </c>
      <c r="F692" s="37">
        <f>IFERROR(__xludf.DUMMYFUNCTION("""COMPUTED_VALUE"""),74.07335305406737)</f>
        <v>74.07335305</v>
      </c>
      <c r="G692" s="38">
        <f>IFERROR(__xludf.DUMMYFUNCTION("""COMPUTED_VALUE"""),78.66797446342702)</f>
        <v>78.66797446</v>
      </c>
      <c r="H692" s="38">
        <f>IFERROR(__xludf.DUMMYFUNCTION("""COMPUTED_VALUE"""),76.37066375874718)</f>
        <v>76.37066376</v>
      </c>
      <c r="I692" s="14">
        <f>IFERROR(__xludf.DUMMYFUNCTION("""COMPUTED_VALUE"""),48.0)</f>
        <v>48</v>
      </c>
      <c r="J692" s="11">
        <f>IFERROR(__xludf.DUMMYFUNCTION("IFERROR(FILTER(Stats!$F:$Z,(Stats!$A:$A=$A692)*(Stats!$B:$B=$B692)))"),24.0)</f>
        <v>24</v>
      </c>
      <c r="K692" s="11">
        <f>IFERROR(__xludf.DUMMYFUNCTION("""COMPUTED_VALUE"""),24.0)</f>
        <v>24</v>
      </c>
      <c r="L692" s="12">
        <f>IFERROR(__xludf.DUMMYFUNCTION("""COMPUTED_VALUE"""),0.5)</f>
        <v>0.5</v>
      </c>
      <c r="M692" s="11">
        <f>IFERROR(__xludf.DUMMYFUNCTION("""COMPUTED_VALUE"""),11.0)</f>
        <v>11</v>
      </c>
      <c r="N692" s="11">
        <f>IFERROR(__xludf.DUMMYFUNCTION("""COMPUTED_VALUE"""),18088.0)</f>
        <v>18088</v>
      </c>
      <c r="O692" s="13">
        <f>IFERROR(__xludf.DUMMYFUNCTION("""COMPUTED_VALUE"""),44.0)</f>
        <v>44</v>
      </c>
      <c r="P692" s="14">
        <f>IFERROR(__xludf.DUMMYFUNCTION("""COMPUTED_VALUE"""),40.0)</f>
        <v>40</v>
      </c>
      <c r="Q692" s="13">
        <f>IFERROR(__xludf.DUMMYFUNCTION("""COMPUTED_VALUE"""),58.0)</f>
        <v>58</v>
      </c>
      <c r="R692" s="13">
        <f>IFERROR(__xludf.DUMMYFUNCTION("""COMPUTED_VALUE"""),137.0)</f>
        <v>137</v>
      </c>
      <c r="S692" s="15">
        <f>IFERROR(__xludf.DUMMYFUNCTION("""COMPUTED_VALUE"""),0.32116788321167883)</f>
        <v>0.3211678832</v>
      </c>
      <c r="T692" s="16">
        <f>IFERROR(__xludf.DUMMYFUNCTION("""COMPUTED_VALUE"""),376.8333333333333)</f>
        <v>376.8333333</v>
      </c>
      <c r="U692" s="16">
        <f>IFERROR(__xludf.DUMMYFUNCTION("""COMPUTED_VALUE"""),0.9166666666666666)</f>
        <v>0.9166666667</v>
      </c>
      <c r="V692" s="16">
        <f>IFERROR(__xludf.DUMMYFUNCTION("""COMPUTED_VALUE"""),0.8333333333333334)</f>
        <v>0.8333333333</v>
      </c>
      <c r="W692" s="16">
        <f>IFERROR(__xludf.DUMMYFUNCTION("""COMPUTED_VALUE"""),1.2083333333333333)</f>
        <v>1.208333333</v>
      </c>
      <c r="X692" s="16">
        <f>IFERROR(__xludf.DUMMYFUNCTION("""COMPUTED_VALUE"""),2.8541666666666665)</f>
        <v>2.854166667</v>
      </c>
      <c r="Y692" s="11">
        <f>IFERROR(__xludf.DUMMYFUNCTION("""COMPUTED_VALUE"""),9.0)</f>
        <v>9</v>
      </c>
      <c r="Z692" s="11">
        <f>IFERROR(__xludf.DUMMYFUNCTION("""COMPUTED_VALUE"""),4.0)</f>
        <v>4</v>
      </c>
      <c r="AA692" s="11">
        <f>IFERROR(__xludf.DUMMYFUNCTION("""COMPUTED_VALUE"""),6.0)</f>
        <v>6</v>
      </c>
      <c r="AB692" s="11">
        <f>IFERROR(__xludf.DUMMYFUNCTION("""COMPUTED_VALUE"""),6.0)</f>
        <v>6</v>
      </c>
      <c r="AC692" s="11">
        <f>IFERROR(__xludf.DUMMYFUNCTION("""COMPUTED_VALUE"""),85.0)</f>
        <v>85</v>
      </c>
      <c r="AD692" s="11">
        <f>IFERROR(__xludf.DUMMYFUNCTION("""COMPUTED_VALUE"""),55.0)</f>
        <v>55</v>
      </c>
    </row>
    <row r="693">
      <c r="A693" s="10" t="str">
        <f>IFERROR(__xludf.DUMMYFUNCTION("""COMPUTED_VALUE"""),"Veteran")</f>
        <v>Veteran</v>
      </c>
      <c r="B693" s="10" t="str">
        <f>IFERROR(__xludf.DUMMYFUNCTION("""COMPUTED_VALUE"""),"RSC008494")</f>
        <v>RSC008494</v>
      </c>
      <c r="C693" s="10" t="str">
        <f>IFERROR(__xludf.DUMMYFUNCTION("""COMPUTED_VALUE"""),"//Ronx")</f>
        <v>//Ronx</v>
      </c>
      <c r="D693" s="36" t="str">
        <f>IFERROR(__xludf.DUMMYFUNCTION("""COMPUTED_VALUE"""),"Dread")</f>
        <v>Dread</v>
      </c>
      <c r="E693" s="10" t="str">
        <f>IFERROR(__xludf.DUMMYFUNCTION("""COMPUTED_VALUE"""),"Lunar")</f>
        <v>Lunar</v>
      </c>
      <c r="F693" s="37">
        <f>IFERROR(__xludf.DUMMYFUNCTION("""COMPUTED_VALUE"""),74.8255968072606)</f>
        <v>74.82559681</v>
      </c>
      <c r="G693" s="38">
        <f>IFERROR(__xludf.DUMMYFUNCTION("""COMPUTED_VALUE"""),77.34156306175491)</f>
        <v>77.34156306</v>
      </c>
      <c r="H693" s="38">
        <f>IFERROR(__xludf.DUMMYFUNCTION("""COMPUTED_VALUE"""),76.08357993450775)</f>
        <v>76.08357993</v>
      </c>
      <c r="I693" s="14">
        <f>IFERROR(__xludf.DUMMYFUNCTION("""COMPUTED_VALUE"""),54.0)</f>
        <v>54</v>
      </c>
      <c r="J693" s="11">
        <f>IFERROR(__xludf.DUMMYFUNCTION("IFERROR(FILTER(Stats!$F:$Z,(Stats!$A:$A=$A693)*(Stats!$B:$B=$B693)))"),35.0)</f>
        <v>35</v>
      </c>
      <c r="K693" s="11">
        <f>IFERROR(__xludf.DUMMYFUNCTION("""COMPUTED_VALUE"""),19.0)</f>
        <v>19</v>
      </c>
      <c r="L693" s="12">
        <f>IFERROR(__xludf.DUMMYFUNCTION("""COMPUTED_VALUE"""),0.6481481481481481)</f>
        <v>0.6481481481</v>
      </c>
      <c r="M693" s="11">
        <f>IFERROR(__xludf.DUMMYFUNCTION("""COMPUTED_VALUE"""),12.0)</f>
        <v>12</v>
      </c>
      <c r="N693" s="11">
        <f>IFERROR(__xludf.DUMMYFUNCTION("""COMPUTED_VALUE"""),22212.0)</f>
        <v>22212</v>
      </c>
      <c r="O693" s="13">
        <f>IFERROR(__xludf.DUMMYFUNCTION("""COMPUTED_VALUE"""),52.0)</f>
        <v>52</v>
      </c>
      <c r="P693" s="14">
        <f>IFERROR(__xludf.DUMMYFUNCTION("""COMPUTED_VALUE"""),39.0)</f>
        <v>39</v>
      </c>
      <c r="Q693" s="13">
        <f>IFERROR(__xludf.DUMMYFUNCTION("""COMPUTED_VALUE"""),84.0)</f>
        <v>84</v>
      </c>
      <c r="R693" s="13">
        <f>IFERROR(__xludf.DUMMYFUNCTION("""COMPUTED_VALUE"""),149.0)</f>
        <v>149</v>
      </c>
      <c r="S693" s="15">
        <f>IFERROR(__xludf.DUMMYFUNCTION("""COMPUTED_VALUE"""),0.348993288590604)</f>
        <v>0.3489932886</v>
      </c>
      <c r="T693" s="16">
        <f>IFERROR(__xludf.DUMMYFUNCTION("""COMPUTED_VALUE"""),411.3333333333333)</f>
        <v>411.3333333</v>
      </c>
      <c r="U693" s="16">
        <f>IFERROR(__xludf.DUMMYFUNCTION("""COMPUTED_VALUE"""),0.9629629629629629)</f>
        <v>0.962962963</v>
      </c>
      <c r="V693" s="16">
        <f>IFERROR(__xludf.DUMMYFUNCTION("""COMPUTED_VALUE"""),0.7222222222222222)</f>
        <v>0.7222222222</v>
      </c>
      <c r="W693" s="16">
        <f>IFERROR(__xludf.DUMMYFUNCTION("""COMPUTED_VALUE"""),1.5555555555555556)</f>
        <v>1.555555556</v>
      </c>
      <c r="X693" s="16">
        <f>IFERROR(__xludf.DUMMYFUNCTION("""COMPUTED_VALUE"""),2.759259259259259)</f>
        <v>2.759259259</v>
      </c>
      <c r="Y693" s="11">
        <f>IFERROR(__xludf.DUMMYFUNCTION("""COMPUTED_VALUE"""),13.0)</f>
        <v>13</v>
      </c>
      <c r="Z693" s="11">
        <f>IFERROR(__xludf.DUMMYFUNCTION("""COMPUTED_VALUE"""),4.0)</f>
        <v>4</v>
      </c>
      <c r="AA693" s="11">
        <f>IFERROR(__xludf.DUMMYFUNCTION("""COMPUTED_VALUE"""),0.0)</f>
        <v>0</v>
      </c>
      <c r="AB693" s="11">
        <f>IFERROR(__xludf.DUMMYFUNCTION("""COMPUTED_VALUE"""),13.0)</f>
        <v>13</v>
      </c>
      <c r="AC693" s="11">
        <f>IFERROR(__xludf.DUMMYFUNCTION("""COMPUTED_VALUE"""),40.0)</f>
        <v>40</v>
      </c>
      <c r="AD693" s="11">
        <f>IFERROR(__xludf.DUMMYFUNCTION("""COMPUTED_VALUE"""),49.0)</f>
        <v>49</v>
      </c>
    </row>
    <row r="694">
      <c r="A694" s="10" t="str">
        <f>IFERROR(__xludf.DUMMYFUNCTION("""COMPUTED_VALUE"""),"Veteran")</f>
        <v>Veteran</v>
      </c>
      <c r="B694" s="10" t="str">
        <f>IFERROR(__xludf.DUMMYFUNCTION("""COMPUTED_VALUE"""),"RSC002780")</f>
        <v>RSC002780</v>
      </c>
      <c r="C694" s="10" t="str">
        <f>IFERROR(__xludf.DUMMYFUNCTION("""COMPUTED_VALUE"""),"Lickadoss77")</f>
        <v>Lickadoss77</v>
      </c>
      <c r="D694" s="36" t="str">
        <f>IFERROR(__xludf.DUMMYFUNCTION("""COMPUTED_VALUE"""),"Water")</f>
        <v>Water</v>
      </c>
      <c r="E694" s="10" t="str">
        <f>IFERROR(__xludf.DUMMYFUNCTION("""COMPUTED_VALUE"""),"Solar")</f>
        <v>Solar</v>
      </c>
      <c r="F694" s="37">
        <f>IFERROR(__xludf.DUMMYFUNCTION("""COMPUTED_VALUE"""),69.01603423545747)</f>
        <v>69.01603424</v>
      </c>
      <c r="G694" s="38">
        <f>IFERROR(__xludf.DUMMYFUNCTION("""COMPUTED_VALUE"""),78.97685082069387)</f>
        <v>78.97685082</v>
      </c>
      <c r="H694" s="38">
        <f>IFERROR(__xludf.DUMMYFUNCTION("""COMPUTED_VALUE"""),73.99644252807568)</f>
        <v>73.99644253</v>
      </c>
      <c r="I694" s="14">
        <f>IFERROR(__xludf.DUMMYFUNCTION("""COMPUTED_VALUE"""),56.0)</f>
        <v>56</v>
      </c>
      <c r="J694" s="11">
        <f>IFERROR(__xludf.DUMMYFUNCTION("IFERROR(FILTER(Stats!$F:$Z,(Stats!$A:$A=$A694)*(Stats!$B:$B=$B694)))"),34.0)</f>
        <v>34</v>
      </c>
      <c r="K694" s="11">
        <f>IFERROR(__xludf.DUMMYFUNCTION("""COMPUTED_VALUE"""),22.0)</f>
        <v>22</v>
      </c>
      <c r="L694" s="12">
        <f>IFERROR(__xludf.DUMMYFUNCTION("""COMPUTED_VALUE"""),0.6071428571428571)</f>
        <v>0.6071428571</v>
      </c>
      <c r="M694" s="11">
        <f>IFERROR(__xludf.DUMMYFUNCTION("""COMPUTED_VALUE"""),7.0)</f>
        <v>7</v>
      </c>
      <c r="N694" s="11">
        <f>IFERROR(__xludf.DUMMYFUNCTION("""COMPUTED_VALUE"""),21641.0)</f>
        <v>21641</v>
      </c>
      <c r="O694" s="13">
        <f>IFERROR(__xludf.DUMMYFUNCTION("""COMPUTED_VALUE"""),51.0)</f>
        <v>51</v>
      </c>
      <c r="P694" s="14">
        <f>IFERROR(__xludf.DUMMYFUNCTION("""COMPUTED_VALUE"""),40.0)</f>
        <v>40</v>
      </c>
      <c r="Q694" s="13">
        <f>IFERROR(__xludf.DUMMYFUNCTION("""COMPUTED_VALUE"""),76.0)</f>
        <v>76</v>
      </c>
      <c r="R694" s="13">
        <f>IFERROR(__xludf.DUMMYFUNCTION("""COMPUTED_VALUE"""),156.0)</f>
        <v>156</v>
      </c>
      <c r="S694" s="15">
        <f>IFERROR(__xludf.DUMMYFUNCTION("""COMPUTED_VALUE"""),0.3269230769230769)</f>
        <v>0.3269230769</v>
      </c>
      <c r="T694" s="16">
        <f>IFERROR(__xludf.DUMMYFUNCTION("""COMPUTED_VALUE"""),386.44642857142856)</f>
        <v>386.4464286</v>
      </c>
      <c r="U694" s="16">
        <f>IFERROR(__xludf.DUMMYFUNCTION("""COMPUTED_VALUE"""),0.9107142857142857)</f>
        <v>0.9107142857</v>
      </c>
      <c r="V694" s="16">
        <f>IFERROR(__xludf.DUMMYFUNCTION("""COMPUTED_VALUE"""),0.7142857142857143)</f>
        <v>0.7142857143</v>
      </c>
      <c r="W694" s="16">
        <f>IFERROR(__xludf.DUMMYFUNCTION("""COMPUTED_VALUE"""),1.3571428571428572)</f>
        <v>1.357142857</v>
      </c>
      <c r="X694" s="16">
        <f>IFERROR(__xludf.DUMMYFUNCTION("""COMPUTED_VALUE"""),2.7857142857142856)</f>
        <v>2.785714286</v>
      </c>
      <c r="Y694" s="11">
        <f>IFERROR(__xludf.DUMMYFUNCTION("""COMPUTED_VALUE"""),14.0)</f>
        <v>14</v>
      </c>
      <c r="Z694" s="11">
        <f>IFERROR(__xludf.DUMMYFUNCTION("""COMPUTED_VALUE"""),5.0)</f>
        <v>5</v>
      </c>
      <c r="AA694" s="11">
        <f>IFERROR(__xludf.DUMMYFUNCTION("""COMPUTED_VALUE"""),3.0)</f>
        <v>3</v>
      </c>
      <c r="AB694" s="11">
        <f>IFERROR(__xludf.DUMMYFUNCTION("""COMPUTED_VALUE"""),7.0)</f>
        <v>7</v>
      </c>
      <c r="AC694" s="11">
        <f>IFERROR(__xludf.DUMMYFUNCTION("""COMPUTED_VALUE"""),56.0)</f>
        <v>56</v>
      </c>
      <c r="AD694" s="11">
        <f>IFERROR(__xludf.DUMMYFUNCTION("""COMPUTED_VALUE"""),53.0)</f>
        <v>53</v>
      </c>
    </row>
    <row r="695">
      <c r="A695" s="10" t="str">
        <f>IFERROR(__xludf.DUMMYFUNCTION("""COMPUTED_VALUE"""),"Veteran")</f>
        <v>Veteran</v>
      </c>
      <c r="B695" s="10" t="str">
        <f>IFERROR(__xludf.DUMMYFUNCTION("""COMPUTED_VALUE"""),"RSC002906")</f>
        <v>RSC002906</v>
      </c>
      <c r="C695" s="10" t="str">
        <f>IFERROR(__xludf.DUMMYFUNCTION("""COMPUTED_VALUE"""),"PackRL")</f>
        <v>PackRL</v>
      </c>
      <c r="D695" s="36" t="str">
        <f>IFERROR(__xludf.DUMMYFUNCTION("""COMPUTED_VALUE"""),"Avalanche")</f>
        <v>Avalanche</v>
      </c>
      <c r="E695" s="10" t="str">
        <f>IFERROR(__xludf.DUMMYFUNCTION("""COMPUTED_VALUE"""),"Solar")</f>
        <v>Solar</v>
      </c>
      <c r="F695" s="37">
        <f>IFERROR(__xludf.DUMMYFUNCTION("""COMPUTED_VALUE"""),70.69922025463322)</f>
        <v>70.69922025</v>
      </c>
      <c r="G695" s="38">
        <f>IFERROR(__xludf.DUMMYFUNCTION("""COMPUTED_VALUE"""),73.3775035384071)</f>
        <v>73.37750354</v>
      </c>
      <c r="H695" s="38">
        <f>IFERROR(__xludf.DUMMYFUNCTION("""COMPUTED_VALUE"""),72.03836189652016)</f>
        <v>72.0383619</v>
      </c>
      <c r="I695" s="14">
        <f>IFERROR(__xludf.DUMMYFUNCTION("""COMPUTED_VALUE"""),40.0)</f>
        <v>40</v>
      </c>
      <c r="J695" s="11">
        <f>IFERROR(__xludf.DUMMYFUNCTION("IFERROR(FILTER(Stats!$F:$Z,(Stats!$A:$A=$A695)*(Stats!$B:$B=$B695)))"),24.0)</f>
        <v>24</v>
      </c>
      <c r="K695" s="11">
        <f>IFERROR(__xludf.DUMMYFUNCTION("""COMPUTED_VALUE"""),16.0)</f>
        <v>16</v>
      </c>
      <c r="L695" s="12">
        <f>IFERROR(__xludf.DUMMYFUNCTION("""COMPUTED_VALUE"""),0.6)</f>
        <v>0.6</v>
      </c>
      <c r="M695" s="11">
        <f>IFERROR(__xludf.DUMMYFUNCTION("""COMPUTED_VALUE"""),6.0)</f>
        <v>6</v>
      </c>
      <c r="N695" s="11">
        <f>IFERROR(__xludf.DUMMYFUNCTION("""COMPUTED_VALUE"""),15994.0)</f>
        <v>15994</v>
      </c>
      <c r="O695" s="13">
        <f>IFERROR(__xludf.DUMMYFUNCTION("""COMPUTED_VALUE"""),33.0)</f>
        <v>33</v>
      </c>
      <c r="P695" s="14">
        <f>IFERROR(__xludf.DUMMYFUNCTION("""COMPUTED_VALUE"""),26.0)</f>
        <v>26</v>
      </c>
      <c r="Q695" s="13">
        <f>IFERROR(__xludf.DUMMYFUNCTION("""COMPUTED_VALUE"""),57.0)</f>
        <v>57</v>
      </c>
      <c r="R695" s="13">
        <f>IFERROR(__xludf.DUMMYFUNCTION("""COMPUTED_VALUE"""),121.0)</f>
        <v>121</v>
      </c>
      <c r="S695" s="15">
        <f>IFERROR(__xludf.DUMMYFUNCTION("""COMPUTED_VALUE"""),0.2727272727272727)</f>
        <v>0.2727272727</v>
      </c>
      <c r="T695" s="16">
        <f>IFERROR(__xludf.DUMMYFUNCTION("""COMPUTED_VALUE"""),399.85)</f>
        <v>399.85</v>
      </c>
      <c r="U695" s="16">
        <f>IFERROR(__xludf.DUMMYFUNCTION("""COMPUTED_VALUE"""),0.825)</f>
        <v>0.825</v>
      </c>
      <c r="V695" s="16">
        <f>IFERROR(__xludf.DUMMYFUNCTION("""COMPUTED_VALUE"""),0.65)</f>
        <v>0.65</v>
      </c>
      <c r="W695" s="16">
        <f>IFERROR(__xludf.DUMMYFUNCTION("""COMPUTED_VALUE"""),1.425)</f>
        <v>1.425</v>
      </c>
      <c r="X695" s="16">
        <f>IFERROR(__xludf.DUMMYFUNCTION("""COMPUTED_VALUE"""),3.025)</f>
        <v>3.025</v>
      </c>
      <c r="Y695" s="11">
        <f>IFERROR(__xludf.DUMMYFUNCTION("""COMPUTED_VALUE"""),5.0)</f>
        <v>5</v>
      </c>
      <c r="Z695" s="11">
        <f>IFERROR(__xludf.DUMMYFUNCTION("""COMPUTED_VALUE"""),1.0)</f>
        <v>1</v>
      </c>
      <c r="AA695" s="11">
        <f>IFERROR(__xludf.DUMMYFUNCTION("""COMPUTED_VALUE"""),0.0)</f>
        <v>0</v>
      </c>
      <c r="AB695" s="11">
        <f>IFERROR(__xludf.DUMMYFUNCTION("""COMPUTED_VALUE"""),7.0)</f>
        <v>7</v>
      </c>
      <c r="AC695" s="11">
        <f>IFERROR(__xludf.DUMMYFUNCTION("""COMPUTED_VALUE"""),38.0)</f>
        <v>38</v>
      </c>
      <c r="AD695" s="11">
        <f>IFERROR(__xludf.DUMMYFUNCTION("""COMPUTED_VALUE"""),33.0)</f>
        <v>33</v>
      </c>
    </row>
    <row r="696">
      <c r="A696" s="10" t="str">
        <f>IFERROR(__xludf.DUMMYFUNCTION("""COMPUTED_VALUE"""),"Veteran")</f>
        <v>Veteran</v>
      </c>
      <c r="B696" s="10" t="str">
        <f>IFERROR(__xludf.DUMMYFUNCTION("""COMPUTED_VALUE"""),"RSC004165")</f>
        <v>RSC004165</v>
      </c>
      <c r="C696" s="10" t="str">
        <f>IFERROR(__xludf.DUMMYFUNCTION("""COMPUTED_VALUE"""),"Absolutely TOR")</f>
        <v>Absolutely TOR</v>
      </c>
      <c r="D696" s="36" t="str">
        <f>IFERROR(__xludf.DUMMYFUNCTION("""COMPUTED_VALUE"""),"Cannoli")</f>
        <v>Cannoli</v>
      </c>
      <c r="E696" s="10" t="str">
        <f>IFERROR(__xludf.DUMMYFUNCTION("""COMPUTED_VALUE"""),"Lunar")</f>
        <v>Lunar</v>
      </c>
      <c r="F696" s="37">
        <f>IFERROR(__xludf.DUMMYFUNCTION("""COMPUTED_VALUE"""),71.20883130530072)</f>
        <v>71.20883131</v>
      </c>
      <c r="G696" s="38">
        <f>IFERROR(__xludf.DUMMYFUNCTION("""COMPUTED_VALUE"""),72.67354315260754)</f>
        <v>72.67354315</v>
      </c>
      <c r="H696" s="38">
        <f>IFERROR(__xludf.DUMMYFUNCTION("""COMPUTED_VALUE"""),71.94118722895413)</f>
        <v>71.94118723</v>
      </c>
      <c r="I696" s="14">
        <f>IFERROR(__xludf.DUMMYFUNCTION("""COMPUTED_VALUE"""),54.0)</f>
        <v>54</v>
      </c>
      <c r="J696" s="11">
        <f>IFERROR(__xludf.DUMMYFUNCTION("IFERROR(FILTER(Stats!$F:$Z,(Stats!$A:$A=$A696)*(Stats!$B:$B=$B696)))"),26.0)</f>
        <v>26</v>
      </c>
      <c r="K696" s="11">
        <f>IFERROR(__xludf.DUMMYFUNCTION("""COMPUTED_VALUE"""),28.0)</f>
        <v>28</v>
      </c>
      <c r="L696" s="12">
        <f>IFERROR(__xludf.DUMMYFUNCTION("""COMPUTED_VALUE"""),0.48148148148148145)</f>
        <v>0.4814814815</v>
      </c>
      <c r="M696" s="11">
        <f>IFERROR(__xludf.DUMMYFUNCTION("""COMPUTED_VALUE"""),14.0)</f>
        <v>14</v>
      </c>
      <c r="N696" s="11">
        <f>IFERROR(__xludf.DUMMYFUNCTION("""COMPUTED_VALUE"""),21773.0)</f>
        <v>21773</v>
      </c>
      <c r="O696" s="13">
        <f>IFERROR(__xludf.DUMMYFUNCTION("""COMPUTED_VALUE"""),63.0)</f>
        <v>63</v>
      </c>
      <c r="P696" s="14">
        <f>IFERROR(__xludf.DUMMYFUNCTION("""COMPUTED_VALUE"""),29.0)</f>
        <v>29</v>
      </c>
      <c r="Q696" s="13">
        <f>IFERROR(__xludf.DUMMYFUNCTION("""COMPUTED_VALUE"""),71.0)</f>
        <v>71</v>
      </c>
      <c r="R696" s="13">
        <f>IFERROR(__xludf.DUMMYFUNCTION("""COMPUTED_VALUE"""),157.0)</f>
        <v>157</v>
      </c>
      <c r="S696" s="15">
        <f>IFERROR(__xludf.DUMMYFUNCTION("""COMPUTED_VALUE"""),0.4012738853503185)</f>
        <v>0.4012738854</v>
      </c>
      <c r="T696" s="16">
        <f>IFERROR(__xludf.DUMMYFUNCTION("""COMPUTED_VALUE"""),403.2037037037037)</f>
        <v>403.2037037</v>
      </c>
      <c r="U696" s="16">
        <f>IFERROR(__xludf.DUMMYFUNCTION("""COMPUTED_VALUE"""),1.1666666666666667)</f>
        <v>1.166666667</v>
      </c>
      <c r="V696" s="16">
        <f>IFERROR(__xludf.DUMMYFUNCTION("""COMPUTED_VALUE"""),0.5370370370370371)</f>
        <v>0.537037037</v>
      </c>
      <c r="W696" s="16">
        <f>IFERROR(__xludf.DUMMYFUNCTION("""COMPUTED_VALUE"""),1.3148148148148149)</f>
        <v>1.314814815</v>
      </c>
      <c r="X696" s="16">
        <f>IFERROR(__xludf.DUMMYFUNCTION("""COMPUTED_VALUE"""),2.9074074074074074)</f>
        <v>2.907407407</v>
      </c>
      <c r="Y696" s="11">
        <f>IFERROR(__xludf.DUMMYFUNCTION("""COMPUTED_VALUE"""),6.0)</f>
        <v>6</v>
      </c>
      <c r="Z696" s="11">
        <f>IFERROR(__xludf.DUMMYFUNCTION("""COMPUTED_VALUE"""),7.0)</f>
        <v>7</v>
      </c>
      <c r="AA696" s="11">
        <f>IFERROR(__xludf.DUMMYFUNCTION("""COMPUTED_VALUE"""),2.0)</f>
        <v>2</v>
      </c>
      <c r="AB696" s="11">
        <f>IFERROR(__xludf.DUMMYFUNCTION("""COMPUTED_VALUE"""),10.0)</f>
        <v>10</v>
      </c>
      <c r="AC696" s="11">
        <f>IFERROR(__xludf.DUMMYFUNCTION("""COMPUTED_VALUE"""),51.0)</f>
        <v>51</v>
      </c>
      <c r="AD696" s="11">
        <f>IFERROR(__xludf.DUMMYFUNCTION("""COMPUTED_VALUE"""),72.0)</f>
        <v>72</v>
      </c>
    </row>
    <row r="697">
      <c r="A697" s="10" t="str">
        <f>IFERROR(__xludf.DUMMYFUNCTION("""COMPUTED_VALUE"""),"Veteran")</f>
        <v>Veteran</v>
      </c>
      <c r="B697" s="10" t="str">
        <f>IFERROR(__xludf.DUMMYFUNCTION("""COMPUTED_VALUE"""),"RSC006290")</f>
        <v>RSC006290</v>
      </c>
      <c r="C697" s="10" t="str">
        <f>IFERROR(__xludf.DUMMYFUNCTION("""COMPUTED_VALUE"""),"Dirt D Dan")</f>
        <v>Dirt D Dan</v>
      </c>
      <c r="D697" s="36" t="str">
        <f>IFERROR(__xludf.DUMMYFUNCTION("""COMPUTED_VALUE"""),"Giant Squids")</f>
        <v>Giant Squids</v>
      </c>
      <c r="E697" s="10" t="str">
        <f>IFERROR(__xludf.DUMMYFUNCTION("""COMPUTED_VALUE"""),"Lunar")</f>
        <v>Lunar</v>
      </c>
      <c r="F697" s="37">
        <f>IFERROR(__xludf.DUMMYFUNCTION("""COMPUTED_VALUE"""),69.56809931988435)</f>
        <v>69.56809932</v>
      </c>
      <c r="G697" s="38">
        <f>IFERROR(__xludf.DUMMYFUNCTION("""COMPUTED_VALUE"""),74.18329574511776)</f>
        <v>74.18329575</v>
      </c>
      <c r="H697" s="38">
        <f>IFERROR(__xludf.DUMMYFUNCTION("""COMPUTED_VALUE"""),71.87569753250105)</f>
        <v>71.87569753</v>
      </c>
      <c r="I697" s="14">
        <f>IFERROR(__xludf.DUMMYFUNCTION("""COMPUTED_VALUE"""),36.0)</f>
        <v>36</v>
      </c>
      <c r="J697" s="11">
        <f>IFERROR(__xludf.DUMMYFUNCTION("IFERROR(FILTER(Stats!$F:$Z,(Stats!$A:$A=$A697)*(Stats!$B:$B=$B697)))"),22.0)</f>
        <v>22</v>
      </c>
      <c r="K697" s="11">
        <f>IFERROR(__xludf.DUMMYFUNCTION("""COMPUTED_VALUE"""),14.0)</f>
        <v>14</v>
      </c>
      <c r="L697" s="12">
        <f>IFERROR(__xludf.DUMMYFUNCTION("""COMPUTED_VALUE"""),0.6111111111111112)</f>
        <v>0.6111111111</v>
      </c>
      <c r="M697" s="11">
        <f>IFERROR(__xludf.DUMMYFUNCTION("""COMPUTED_VALUE"""),7.0)</f>
        <v>7</v>
      </c>
      <c r="N697" s="11">
        <f>IFERROR(__xludf.DUMMYFUNCTION("""COMPUTED_VALUE"""),13512.0)</f>
        <v>13512</v>
      </c>
      <c r="O697" s="13">
        <f>IFERROR(__xludf.DUMMYFUNCTION("""COMPUTED_VALUE"""),37.0)</f>
        <v>37</v>
      </c>
      <c r="P697" s="14">
        <f>IFERROR(__xludf.DUMMYFUNCTION("""COMPUTED_VALUE"""),22.0)</f>
        <v>22</v>
      </c>
      <c r="Q697" s="13">
        <f>IFERROR(__xludf.DUMMYFUNCTION("""COMPUTED_VALUE"""),32.0)</f>
        <v>32</v>
      </c>
      <c r="R697" s="13">
        <f>IFERROR(__xludf.DUMMYFUNCTION("""COMPUTED_VALUE"""),102.0)</f>
        <v>102</v>
      </c>
      <c r="S697" s="15">
        <f>IFERROR(__xludf.DUMMYFUNCTION("""COMPUTED_VALUE"""),0.3627450980392157)</f>
        <v>0.362745098</v>
      </c>
      <c r="T697" s="16">
        <f>IFERROR(__xludf.DUMMYFUNCTION("""COMPUTED_VALUE"""),375.3333333333333)</f>
        <v>375.3333333</v>
      </c>
      <c r="U697" s="16">
        <f>IFERROR(__xludf.DUMMYFUNCTION("""COMPUTED_VALUE"""),1.0277777777777777)</f>
        <v>1.027777778</v>
      </c>
      <c r="V697" s="16">
        <f>IFERROR(__xludf.DUMMYFUNCTION("""COMPUTED_VALUE"""),0.6111111111111112)</f>
        <v>0.6111111111</v>
      </c>
      <c r="W697" s="16">
        <f>IFERROR(__xludf.DUMMYFUNCTION("""COMPUTED_VALUE"""),0.8888888888888888)</f>
        <v>0.8888888889</v>
      </c>
      <c r="X697" s="16">
        <f>IFERROR(__xludf.DUMMYFUNCTION("""COMPUTED_VALUE"""),2.8333333333333335)</f>
        <v>2.833333333</v>
      </c>
      <c r="Y697" s="11">
        <f>IFERROR(__xludf.DUMMYFUNCTION("""COMPUTED_VALUE"""),4.0)</f>
        <v>4</v>
      </c>
      <c r="Z697" s="11">
        <f>IFERROR(__xludf.DUMMYFUNCTION("""COMPUTED_VALUE"""),5.0)</f>
        <v>5</v>
      </c>
      <c r="AA697" s="11">
        <f>IFERROR(__xludf.DUMMYFUNCTION("""COMPUTED_VALUE"""),0.0)</f>
        <v>0</v>
      </c>
      <c r="AB697" s="11">
        <f>IFERROR(__xludf.DUMMYFUNCTION("""COMPUTED_VALUE"""),1.0)</f>
        <v>1</v>
      </c>
      <c r="AC697" s="11">
        <f>IFERROR(__xludf.DUMMYFUNCTION("""COMPUTED_VALUE"""),16.0)</f>
        <v>16</v>
      </c>
      <c r="AD697" s="11">
        <f>IFERROR(__xludf.DUMMYFUNCTION("""COMPUTED_VALUE"""),47.0)</f>
        <v>47</v>
      </c>
    </row>
    <row r="698">
      <c r="A698" s="10" t="str">
        <f>IFERROR(__xludf.DUMMYFUNCTION("""COMPUTED_VALUE"""),"Veteran")</f>
        <v>Veteran</v>
      </c>
      <c r="B698" s="10" t="str">
        <f>IFERROR(__xludf.DUMMYFUNCTION("""COMPUTED_VALUE"""),"RSC005655")</f>
        <v>RSC005655</v>
      </c>
      <c r="C698" s="10" t="str">
        <f>IFERROR(__xludf.DUMMYFUNCTION("""COMPUTED_VALUE"""),"Oneplayamaker")</f>
        <v>Oneplayamaker</v>
      </c>
      <c r="D698" s="36" t="str">
        <f>IFERROR(__xludf.DUMMYFUNCTION("""COMPUTED_VALUE"""),"Gargoyle")</f>
        <v>Gargoyle</v>
      </c>
      <c r="E698" s="10" t="str">
        <f>IFERROR(__xludf.DUMMYFUNCTION("""COMPUTED_VALUE"""),"Solar")</f>
        <v>Solar</v>
      </c>
      <c r="F698" s="37">
        <f>IFERROR(__xludf.DUMMYFUNCTION("""COMPUTED_VALUE"""),70.8134275356805)</f>
        <v>70.81342754</v>
      </c>
      <c r="G698" s="38">
        <f>IFERROR(__xludf.DUMMYFUNCTION("""COMPUTED_VALUE"""),72.08163306791468)</f>
        <v>72.08163307</v>
      </c>
      <c r="H698" s="38">
        <f>IFERROR(__xludf.DUMMYFUNCTION("""COMPUTED_VALUE"""),71.4475303017976)</f>
        <v>71.4475303</v>
      </c>
      <c r="I698" s="14">
        <f>IFERROR(__xludf.DUMMYFUNCTION("""COMPUTED_VALUE"""),43.0)</f>
        <v>43</v>
      </c>
      <c r="J698" s="11">
        <f>IFERROR(__xludf.DUMMYFUNCTION("IFERROR(FILTER(Stats!$F:$Z,(Stats!$A:$A=$A698)*(Stats!$B:$B=$B698)))"),24.0)</f>
        <v>24</v>
      </c>
      <c r="K698" s="11">
        <f>IFERROR(__xludf.DUMMYFUNCTION("""COMPUTED_VALUE"""),19.0)</f>
        <v>19</v>
      </c>
      <c r="L698" s="12">
        <f>IFERROR(__xludf.DUMMYFUNCTION("""COMPUTED_VALUE"""),0.5581395348837209)</f>
        <v>0.5581395349</v>
      </c>
      <c r="M698" s="11">
        <f>IFERROR(__xludf.DUMMYFUNCTION("""COMPUTED_VALUE"""),6.0)</f>
        <v>6</v>
      </c>
      <c r="N698" s="11">
        <f>IFERROR(__xludf.DUMMYFUNCTION("""COMPUTED_VALUE"""),15812.0)</f>
        <v>15812</v>
      </c>
      <c r="O698" s="13">
        <f>IFERROR(__xludf.DUMMYFUNCTION("""COMPUTED_VALUE"""),27.0)</f>
        <v>27</v>
      </c>
      <c r="P698" s="14">
        <f>IFERROR(__xludf.DUMMYFUNCTION("""COMPUTED_VALUE"""),38.0)</f>
        <v>38</v>
      </c>
      <c r="Q698" s="13">
        <f>IFERROR(__xludf.DUMMYFUNCTION("""COMPUTED_VALUE"""),60.0)</f>
        <v>60</v>
      </c>
      <c r="R698" s="13">
        <f>IFERROR(__xludf.DUMMYFUNCTION("""COMPUTED_VALUE"""),122.0)</f>
        <v>122</v>
      </c>
      <c r="S698" s="15">
        <f>IFERROR(__xludf.DUMMYFUNCTION("""COMPUTED_VALUE"""),0.22131147540983606)</f>
        <v>0.2213114754</v>
      </c>
      <c r="T698" s="16">
        <f>IFERROR(__xludf.DUMMYFUNCTION("""COMPUTED_VALUE"""),367.72093023255815)</f>
        <v>367.7209302</v>
      </c>
      <c r="U698" s="16">
        <f>IFERROR(__xludf.DUMMYFUNCTION("""COMPUTED_VALUE"""),0.627906976744186)</f>
        <v>0.6279069767</v>
      </c>
      <c r="V698" s="16">
        <f>IFERROR(__xludf.DUMMYFUNCTION("""COMPUTED_VALUE"""),0.8837209302325582)</f>
        <v>0.8837209302</v>
      </c>
      <c r="W698" s="16">
        <f>IFERROR(__xludf.DUMMYFUNCTION("""COMPUTED_VALUE"""),1.3953488372093024)</f>
        <v>1.395348837</v>
      </c>
      <c r="X698" s="16">
        <f>IFERROR(__xludf.DUMMYFUNCTION("""COMPUTED_VALUE"""),2.8372093023255816)</f>
        <v>2.837209302</v>
      </c>
      <c r="Y698" s="11">
        <f>IFERROR(__xludf.DUMMYFUNCTION("""COMPUTED_VALUE"""),12.0)</f>
        <v>12</v>
      </c>
      <c r="Z698" s="11">
        <f>IFERROR(__xludf.DUMMYFUNCTION("""COMPUTED_VALUE"""),0.0)</f>
        <v>0</v>
      </c>
      <c r="AA698" s="11">
        <f>IFERROR(__xludf.DUMMYFUNCTION("""COMPUTED_VALUE"""),2.0)</f>
        <v>2</v>
      </c>
      <c r="AB698" s="11">
        <f>IFERROR(__xludf.DUMMYFUNCTION("""COMPUTED_VALUE"""),9.0)</f>
        <v>9</v>
      </c>
      <c r="AC698" s="11">
        <f>IFERROR(__xludf.DUMMYFUNCTION("""COMPUTED_VALUE"""),40.0)</f>
        <v>40</v>
      </c>
      <c r="AD698" s="11">
        <f>IFERROR(__xludf.DUMMYFUNCTION("""COMPUTED_VALUE"""),32.0)</f>
        <v>32</v>
      </c>
    </row>
    <row r="699">
      <c r="A699" s="10" t="str">
        <f>IFERROR(__xludf.DUMMYFUNCTION("""COMPUTED_VALUE"""),"Veteran")</f>
        <v>Veteran</v>
      </c>
      <c r="B699" s="10" t="str">
        <f>IFERROR(__xludf.DUMMYFUNCTION("""COMPUTED_VALUE"""),"RSC008433")</f>
        <v>RSC008433</v>
      </c>
      <c r="C699" s="10" t="str">
        <f>IFERROR(__xludf.DUMMYFUNCTION("""COMPUTED_VALUE"""),"Headshotn")</f>
        <v>Headshotn</v>
      </c>
      <c r="D699" s="36" t="str">
        <f>IFERROR(__xludf.DUMMYFUNCTION("""COMPUTED_VALUE"""),"Shadow Tails
Dread")</f>
        <v>Shadow Tails
Dread</v>
      </c>
      <c r="E699" s="10" t="str">
        <f>IFERROR(__xludf.DUMMYFUNCTION("""COMPUTED_VALUE"""),"Solar
Lunar")</f>
        <v>Solar
Lunar</v>
      </c>
      <c r="F699" s="37">
        <f>IFERROR(__xludf.DUMMYFUNCTION("""COMPUTED_VALUE"""),68.76110859597112)</f>
        <v>68.7611086</v>
      </c>
      <c r="G699" s="38">
        <f>IFERROR(__xludf.DUMMYFUNCTION("""COMPUTED_VALUE"""),73.15219880161649)</f>
        <v>73.1521988</v>
      </c>
      <c r="H699" s="38">
        <f>IFERROR(__xludf.DUMMYFUNCTION("""COMPUTED_VALUE"""),70.95665369879382)</f>
        <v>70.9566537</v>
      </c>
      <c r="I699" s="14">
        <f>IFERROR(__xludf.DUMMYFUNCTION("""COMPUTED_VALUE"""),40.0)</f>
        <v>40</v>
      </c>
      <c r="J699" s="11">
        <f>IFERROR(__xludf.DUMMYFUNCTION("IFERROR(FILTER(Stats!$F:$Z,(Stats!$A:$A=$A699)*(Stats!$B:$B=$B699)))"),27.0)</f>
        <v>27</v>
      </c>
      <c r="K699" s="11">
        <f>IFERROR(__xludf.DUMMYFUNCTION("""COMPUTED_VALUE"""),13.0)</f>
        <v>13</v>
      </c>
      <c r="L699" s="12">
        <f>IFERROR(__xludf.DUMMYFUNCTION("""COMPUTED_VALUE"""),0.675)</f>
        <v>0.675</v>
      </c>
      <c r="M699" s="11">
        <f>IFERROR(__xludf.DUMMYFUNCTION("""COMPUTED_VALUE"""),9.0)</f>
        <v>9</v>
      </c>
      <c r="N699" s="11">
        <f>IFERROR(__xludf.DUMMYFUNCTION("""COMPUTED_VALUE"""),16296.0)</f>
        <v>16296</v>
      </c>
      <c r="O699" s="13">
        <f>IFERROR(__xludf.DUMMYFUNCTION("""COMPUTED_VALUE"""),36.0)</f>
        <v>36</v>
      </c>
      <c r="P699" s="14">
        <f>IFERROR(__xludf.DUMMYFUNCTION("""COMPUTED_VALUE"""),27.0)</f>
        <v>27</v>
      </c>
      <c r="Q699" s="13">
        <f>IFERROR(__xludf.DUMMYFUNCTION("""COMPUTED_VALUE"""),73.0)</f>
        <v>73</v>
      </c>
      <c r="R699" s="13">
        <f>IFERROR(__xludf.DUMMYFUNCTION("""COMPUTED_VALUE"""),104.0)</f>
        <v>104</v>
      </c>
      <c r="S699" s="15">
        <f>IFERROR(__xludf.DUMMYFUNCTION("""COMPUTED_VALUE"""),0.34615384615384615)</f>
        <v>0.3461538462</v>
      </c>
      <c r="T699" s="16">
        <f>IFERROR(__xludf.DUMMYFUNCTION("""COMPUTED_VALUE"""),407.4)</f>
        <v>407.4</v>
      </c>
      <c r="U699" s="16">
        <f>IFERROR(__xludf.DUMMYFUNCTION("""COMPUTED_VALUE"""),0.9)</f>
        <v>0.9</v>
      </c>
      <c r="V699" s="16">
        <f>IFERROR(__xludf.DUMMYFUNCTION("""COMPUTED_VALUE"""),0.675)</f>
        <v>0.675</v>
      </c>
      <c r="W699" s="16">
        <f>IFERROR(__xludf.DUMMYFUNCTION("""COMPUTED_VALUE"""),1.825)</f>
        <v>1.825</v>
      </c>
      <c r="X699" s="16">
        <f>IFERROR(__xludf.DUMMYFUNCTION("""COMPUTED_VALUE"""),2.6)</f>
        <v>2.6</v>
      </c>
      <c r="Y699" s="11">
        <f>IFERROR(__xludf.DUMMYFUNCTION("""COMPUTED_VALUE"""),7.0)</f>
        <v>7</v>
      </c>
      <c r="Z699" s="11">
        <f>IFERROR(__xludf.DUMMYFUNCTION("""COMPUTED_VALUE"""),4.0)</f>
        <v>4</v>
      </c>
      <c r="AA699" s="11">
        <f>IFERROR(__xludf.DUMMYFUNCTION("""COMPUTED_VALUE"""),2.0)</f>
        <v>2</v>
      </c>
      <c r="AB699" s="11">
        <f>IFERROR(__xludf.DUMMYFUNCTION("""COMPUTED_VALUE"""),12.0)</f>
        <v>12</v>
      </c>
      <c r="AC699" s="11">
        <f>IFERROR(__xludf.DUMMYFUNCTION("""COMPUTED_VALUE"""),33.0)</f>
        <v>33</v>
      </c>
      <c r="AD699" s="11">
        <f>IFERROR(__xludf.DUMMYFUNCTION("""COMPUTED_VALUE"""),45.0)</f>
        <v>45</v>
      </c>
    </row>
    <row r="700">
      <c r="A700" s="10" t="str">
        <f>IFERROR(__xludf.DUMMYFUNCTION("""COMPUTED_VALUE"""),"Veteran")</f>
        <v>Veteran</v>
      </c>
      <c r="B700" s="10" t="str">
        <f>IFERROR(__xludf.DUMMYFUNCTION("""COMPUTED_VALUE"""),"RSC008432")</f>
        <v>RSC008432</v>
      </c>
      <c r="C700" s="10" t="str">
        <f>IFERROR(__xludf.DUMMYFUNCTION("""COMPUTED_VALUE"""),"Doinkers.")</f>
        <v>Doinkers.</v>
      </c>
      <c r="D700" s="36" t="str">
        <f>IFERROR(__xludf.DUMMYFUNCTION("""COMPUTED_VALUE"""),"Giraffes")</f>
        <v>Giraffes</v>
      </c>
      <c r="E700" s="10" t="str">
        <f>IFERROR(__xludf.DUMMYFUNCTION("""COMPUTED_VALUE"""),"Lunar")</f>
        <v>Lunar</v>
      </c>
      <c r="F700" s="37">
        <f>IFERROR(__xludf.DUMMYFUNCTION("""COMPUTED_VALUE"""),68.36573876810562)</f>
        <v>68.36573877</v>
      </c>
      <c r="G700" s="38">
        <f>IFERROR(__xludf.DUMMYFUNCTION("""COMPUTED_VALUE"""),73.138846968651)</f>
        <v>73.13884697</v>
      </c>
      <c r="H700" s="38">
        <f>IFERROR(__xludf.DUMMYFUNCTION("""COMPUTED_VALUE"""),70.7522928683783)</f>
        <v>70.75229287</v>
      </c>
      <c r="I700" s="14">
        <f>IFERROR(__xludf.DUMMYFUNCTION("""COMPUTED_VALUE"""),33.0)</f>
        <v>33</v>
      </c>
      <c r="J700" s="11">
        <f>IFERROR(__xludf.DUMMYFUNCTION("IFERROR(FILTER(Stats!$F:$Z,(Stats!$A:$A=$A700)*(Stats!$B:$B=$B700)))"),17.0)</f>
        <v>17</v>
      </c>
      <c r="K700" s="11">
        <f>IFERROR(__xludf.DUMMYFUNCTION("""COMPUTED_VALUE"""),16.0)</f>
        <v>16</v>
      </c>
      <c r="L700" s="12">
        <f>IFERROR(__xludf.DUMMYFUNCTION("""COMPUTED_VALUE"""),0.5151515151515151)</f>
        <v>0.5151515152</v>
      </c>
      <c r="M700" s="11">
        <f>IFERROR(__xludf.DUMMYFUNCTION("""COMPUTED_VALUE"""),7.0)</f>
        <v>7</v>
      </c>
      <c r="N700" s="11">
        <f>IFERROR(__xludf.DUMMYFUNCTION("""COMPUTED_VALUE"""),12984.0)</f>
        <v>12984</v>
      </c>
      <c r="O700" s="13">
        <f>IFERROR(__xludf.DUMMYFUNCTION("""COMPUTED_VALUE"""),31.0)</f>
        <v>31</v>
      </c>
      <c r="P700" s="14">
        <f>IFERROR(__xludf.DUMMYFUNCTION("""COMPUTED_VALUE"""),26.0)</f>
        <v>26</v>
      </c>
      <c r="Q700" s="13">
        <f>IFERROR(__xludf.DUMMYFUNCTION("""COMPUTED_VALUE"""),51.0)</f>
        <v>51</v>
      </c>
      <c r="R700" s="13">
        <f>IFERROR(__xludf.DUMMYFUNCTION("""COMPUTED_VALUE"""),84.0)</f>
        <v>84</v>
      </c>
      <c r="S700" s="15">
        <f>IFERROR(__xludf.DUMMYFUNCTION("""COMPUTED_VALUE"""),0.36904761904761907)</f>
        <v>0.369047619</v>
      </c>
      <c r="T700" s="16">
        <f>IFERROR(__xludf.DUMMYFUNCTION("""COMPUTED_VALUE"""),393.45454545454544)</f>
        <v>393.4545455</v>
      </c>
      <c r="U700" s="16">
        <f>IFERROR(__xludf.DUMMYFUNCTION("""COMPUTED_VALUE"""),0.9393939393939394)</f>
        <v>0.9393939394</v>
      </c>
      <c r="V700" s="16">
        <f>IFERROR(__xludf.DUMMYFUNCTION("""COMPUTED_VALUE"""),0.7878787878787878)</f>
        <v>0.7878787879</v>
      </c>
      <c r="W700" s="16">
        <f>IFERROR(__xludf.DUMMYFUNCTION("""COMPUTED_VALUE"""),1.5454545454545454)</f>
        <v>1.545454545</v>
      </c>
      <c r="X700" s="16">
        <f>IFERROR(__xludf.DUMMYFUNCTION("""COMPUTED_VALUE"""),2.5454545454545454)</f>
        <v>2.545454545</v>
      </c>
      <c r="Y700" s="11">
        <f>IFERROR(__xludf.DUMMYFUNCTION("""COMPUTED_VALUE"""),8.0)</f>
        <v>8</v>
      </c>
      <c r="Z700" s="11">
        <f>IFERROR(__xludf.DUMMYFUNCTION("""COMPUTED_VALUE"""),2.0)</f>
        <v>2</v>
      </c>
      <c r="AA700" s="11">
        <f>IFERROR(__xludf.DUMMYFUNCTION("""COMPUTED_VALUE"""),1.0)</f>
        <v>1</v>
      </c>
      <c r="AB700" s="11">
        <f>IFERROR(__xludf.DUMMYFUNCTION("""COMPUTED_VALUE"""),7.0)</f>
        <v>7</v>
      </c>
      <c r="AC700" s="11">
        <f>IFERROR(__xludf.DUMMYFUNCTION("""COMPUTED_VALUE"""),41.0)</f>
        <v>41</v>
      </c>
      <c r="AD700" s="11">
        <f>IFERROR(__xludf.DUMMYFUNCTION("""COMPUTED_VALUE"""),21.0)</f>
        <v>21</v>
      </c>
    </row>
    <row r="701">
      <c r="A701" s="10" t="str">
        <f>IFERROR(__xludf.DUMMYFUNCTION("""COMPUTED_VALUE"""),"Veteran")</f>
        <v>Veteran</v>
      </c>
      <c r="B701" s="10" t="str">
        <f>IFERROR(__xludf.DUMMYFUNCTION("""COMPUTED_VALUE"""),"RSC003238")</f>
        <v>RSC003238</v>
      </c>
      <c r="C701" s="10" t="str">
        <f>IFERROR(__xludf.DUMMYFUNCTION("""COMPUTED_VALUE"""),"Kanye_West_ 2028")</f>
        <v>Kanye_West_ 2028</v>
      </c>
      <c r="D701" s="36" t="str">
        <f>IFERROR(__xludf.DUMMYFUNCTION("""COMPUTED_VALUE"""),"Supernova")</f>
        <v>Supernova</v>
      </c>
      <c r="E701" s="10" t="str">
        <f>IFERROR(__xludf.DUMMYFUNCTION("""COMPUTED_VALUE"""),"Lunar")</f>
        <v>Lunar</v>
      </c>
      <c r="F701" s="37">
        <f>IFERROR(__xludf.DUMMYFUNCTION("""COMPUTED_VALUE"""),65.45399849499026)</f>
        <v>65.45399849</v>
      </c>
      <c r="G701" s="38">
        <f>IFERROR(__xludf.DUMMYFUNCTION("""COMPUTED_VALUE"""),74.337623080262)</f>
        <v>74.33762308</v>
      </c>
      <c r="H701" s="38">
        <f>IFERROR(__xludf.DUMMYFUNCTION("""COMPUTED_VALUE"""),69.89581078762613)</f>
        <v>69.89581079</v>
      </c>
      <c r="I701" s="14">
        <f>IFERROR(__xludf.DUMMYFUNCTION("""COMPUTED_VALUE"""),55.0)</f>
        <v>55</v>
      </c>
      <c r="J701" s="11">
        <f>IFERROR(__xludf.DUMMYFUNCTION("IFERROR(FILTER(Stats!$F:$Z,(Stats!$A:$A=$A701)*(Stats!$B:$B=$B701)))"),39.0)</f>
        <v>39</v>
      </c>
      <c r="K701" s="11">
        <f>IFERROR(__xludf.DUMMYFUNCTION("""COMPUTED_VALUE"""),16.0)</f>
        <v>16</v>
      </c>
      <c r="L701" s="12">
        <f>IFERROR(__xludf.DUMMYFUNCTION("""COMPUTED_VALUE"""),0.7090909090909091)</f>
        <v>0.7090909091</v>
      </c>
      <c r="M701" s="11">
        <f>IFERROR(__xludf.DUMMYFUNCTION("""COMPUTED_VALUE"""),11.0)</f>
        <v>11</v>
      </c>
      <c r="N701" s="11">
        <f>IFERROR(__xludf.DUMMYFUNCTION("""COMPUTED_VALUE"""),21535.0)</f>
        <v>21535</v>
      </c>
      <c r="O701" s="13">
        <f>IFERROR(__xludf.DUMMYFUNCTION("""COMPUTED_VALUE"""),53.0)</f>
        <v>53</v>
      </c>
      <c r="P701" s="14">
        <f>IFERROR(__xludf.DUMMYFUNCTION("""COMPUTED_VALUE"""),33.0)</f>
        <v>33</v>
      </c>
      <c r="Q701" s="13">
        <f>IFERROR(__xludf.DUMMYFUNCTION("""COMPUTED_VALUE"""),78.0)</f>
        <v>78</v>
      </c>
      <c r="R701" s="13">
        <f>IFERROR(__xludf.DUMMYFUNCTION("""COMPUTED_VALUE"""),152.0)</f>
        <v>152</v>
      </c>
      <c r="S701" s="15">
        <f>IFERROR(__xludf.DUMMYFUNCTION("""COMPUTED_VALUE"""),0.34868421052631576)</f>
        <v>0.3486842105</v>
      </c>
      <c r="T701" s="16">
        <f>IFERROR(__xludf.DUMMYFUNCTION("""COMPUTED_VALUE"""),391.54545454545456)</f>
        <v>391.5454545</v>
      </c>
      <c r="U701" s="16">
        <f>IFERROR(__xludf.DUMMYFUNCTION("""COMPUTED_VALUE"""),0.9636363636363636)</f>
        <v>0.9636363636</v>
      </c>
      <c r="V701" s="16">
        <f>IFERROR(__xludf.DUMMYFUNCTION("""COMPUTED_VALUE"""),0.6)</f>
        <v>0.6</v>
      </c>
      <c r="W701" s="16">
        <f>IFERROR(__xludf.DUMMYFUNCTION("""COMPUTED_VALUE"""),1.4181818181818182)</f>
        <v>1.418181818</v>
      </c>
      <c r="X701" s="16">
        <f>IFERROR(__xludf.DUMMYFUNCTION("""COMPUTED_VALUE"""),2.7636363636363637)</f>
        <v>2.763636364</v>
      </c>
      <c r="Y701" s="11">
        <f>IFERROR(__xludf.DUMMYFUNCTION("""COMPUTED_VALUE"""),17.0)</f>
        <v>17</v>
      </c>
      <c r="Z701" s="11">
        <f>IFERROR(__xludf.DUMMYFUNCTION("""COMPUTED_VALUE"""),2.0)</f>
        <v>2</v>
      </c>
      <c r="AA701" s="11">
        <f>IFERROR(__xludf.DUMMYFUNCTION("""COMPUTED_VALUE"""),1.0)</f>
        <v>1</v>
      </c>
      <c r="AB701" s="11">
        <f>IFERROR(__xludf.DUMMYFUNCTION("""COMPUTED_VALUE"""),6.0)</f>
        <v>6</v>
      </c>
      <c r="AC701" s="11">
        <f>IFERROR(__xludf.DUMMYFUNCTION("""COMPUTED_VALUE"""),123.0)</f>
        <v>123</v>
      </c>
      <c r="AD701" s="11">
        <f>IFERROR(__xludf.DUMMYFUNCTION("""COMPUTED_VALUE"""),55.0)</f>
        <v>55</v>
      </c>
    </row>
    <row r="702">
      <c r="A702" s="10" t="str">
        <f>IFERROR(__xludf.DUMMYFUNCTION("""COMPUTED_VALUE"""),"Veteran")</f>
        <v>Veteran</v>
      </c>
      <c r="B702" s="10" t="str">
        <f>IFERROR(__xludf.DUMMYFUNCTION("""COMPUTED_VALUE"""),"RSC002209")</f>
        <v>RSC002209</v>
      </c>
      <c r="C702" s="10" t="str">
        <f>IFERROR(__xludf.DUMMYFUNCTION("""COMPUTED_VALUE"""),"Panick")</f>
        <v>Panick</v>
      </c>
      <c r="D702" s="36" t="str">
        <f>IFERROR(__xludf.DUMMYFUNCTION("""COMPUTED_VALUE"""),"Makos")</f>
        <v>Makos</v>
      </c>
      <c r="E702" s="10" t="str">
        <f>IFERROR(__xludf.DUMMYFUNCTION("""COMPUTED_VALUE"""),"Solar")</f>
        <v>Solar</v>
      </c>
      <c r="F702" s="37">
        <f>IFERROR(__xludf.DUMMYFUNCTION("""COMPUTED_VALUE"""),66.7948759068369)</f>
        <v>66.79487591</v>
      </c>
      <c r="G702" s="38">
        <f>IFERROR(__xludf.DUMMYFUNCTION("""COMPUTED_VALUE"""),72.96548488759707)</f>
        <v>72.96548489</v>
      </c>
      <c r="H702" s="38">
        <f>IFERROR(__xludf.DUMMYFUNCTION("""COMPUTED_VALUE"""),69.88018039721698)</f>
        <v>69.8801804</v>
      </c>
      <c r="I702" s="14">
        <f>IFERROR(__xludf.DUMMYFUNCTION("""COMPUTED_VALUE"""),52.0)</f>
        <v>52</v>
      </c>
      <c r="J702" s="11">
        <f>IFERROR(__xludf.DUMMYFUNCTION("IFERROR(FILTER(Stats!$F:$Z,(Stats!$A:$A=$A702)*(Stats!$B:$B=$B702)))"),34.0)</f>
        <v>34</v>
      </c>
      <c r="K702" s="11">
        <f>IFERROR(__xludf.DUMMYFUNCTION("""COMPUTED_VALUE"""),18.0)</f>
        <v>18</v>
      </c>
      <c r="L702" s="12">
        <f>IFERROR(__xludf.DUMMYFUNCTION("""COMPUTED_VALUE"""),0.6538461538461539)</f>
        <v>0.6538461538</v>
      </c>
      <c r="M702" s="11">
        <f>IFERROR(__xludf.DUMMYFUNCTION("""COMPUTED_VALUE"""),13.0)</f>
        <v>13</v>
      </c>
      <c r="N702" s="11">
        <f>IFERROR(__xludf.DUMMYFUNCTION("""COMPUTED_VALUE"""),18847.0)</f>
        <v>18847</v>
      </c>
      <c r="O702" s="13">
        <f>IFERROR(__xludf.DUMMYFUNCTION("""COMPUTED_VALUE"""),43.0)</f>
        <v>43</v>
      </c>
      <c r="P702" s="14">
        <f>IFERROR(__xludf.DUMMYFUNCTION("""COMPUTED_VALUE"""),38.0)</f>
        <v>38</v>
      </c>
      <c r="Q702" s="13">
        <f>IFERROR(__xludf.DUMMYFUNCTION("""COMPUTED_VALUE"""),61.0)</f>
        <v>61</v>
      </c>
      <c r="R702" s="13">
        <f>IFERROR(__xludf.DUMMYFUNCTION("""COMPUTED_VALUE"""),142.0)</f>
        <v>142</v>
      </c>
      <c r="S702" s="15">
        <f>IFERROR(__xludf.DUMMYFUNCTION("""COMPUTED_VALUE"""),0.3028169014084507)</f>
        <v>0.3028169014</v>
      </c>
      <c r="T702" s="16">
        <f>IFERROR(__xludf.DUMMYFUNCTION("""COMPUTED_VALUE"""),362.4423076923077)</f>
        <v>362.4423077</v>
      </c>
      <c r="U702" s="16">
        <f>IFERROR(__xludf.DUMMYFUNCTION("""COMPUTED_VALUE"""),0.8269230769230769)</f>
        <v>0.8269230769</v>
      </c>
      <c r="V702" s="16">
        <f>IFERROR(__xludf.DUMMYFUNCTION("""COMPUTED_VALUE"""),0.7307692307692307)</f>
        <v>0.7307692308</v>
      </c>
      <c r="W702" s="16">
        <f>IFERROR(__xludf.DUMMYFUNCTION("""COMPUTED_VALUE"""),1.1730769230769231)</f>
        <v>1.173076923</v>
      </c>
      <c r="X702" s="16">
        <f>IFERROR(__xludf.DUMMYFUNCTION("""COMPUTED_VALUE"""),2.730769230769231)</f>
        <v>2.730769231</v>
      </c>
      <c r="Y702" s="11">
        <f>IFERROR(__xludf.DUMMYFUNCTION("""COMPUTED_VALUE"""),10.0)</f>
        <v>10</v>
      </c>
      <c r="Z702" s="11">
        <f>IFERROR(__xludf.DUMMYFUNCTION("""COMPUTED_VALUE"""),5.0)</f>
        <v>5</v>
      </c>
      <c r="AA702" s="11">
        <f>IFERROR(__xludf.DUMMYFUNCTION("""COMPUTED_VALUE"""),1.0)</f>
        <v>1</v>
      </c>
      <c r="AB702" s="11">
        <f>IFERROR(__xludf.DUMMYFUNCTION("""COMPUTED_VALUE"""),6.0)</f>
        <v>6</v>
      </c>
      <c r="AC702" s="11">
        <f>IFERROR(__xludf.DUMMYFUNCTION("""COMPUTED_VALUE"""),101.0)</f>
        <v>101</v>
      </c>
      <c r="AD702" s="11">
        <f>IFERROR(__xludf.DUMMYFUNCTION("""COMPUTED_VALUE"""),49.0)</f>
        <v>49</v>
      </c>
    </row>
    <row r="703">
      <c r="A703" s="10" t="str">
        <f>IFERROR(__xludf.DUMMYFUNCTION("""COMPUTED_VALUE"""),"Veteran")</f>
        <v>Veteran</v>
      </c>
      <c r="B703" s="10" t="str">
        <f>IFERROR(__xludf.DUMMYFUNCTION("""COMPUTED_VALUE"""),"RSC000320")</f>
        <v>RSC000320</v>
      </c>
      <c r="C703" s="10" t="str">
        <f>IFERROR(__xludf.DUMMYFUNCTION("""COMPUTED_VALUE"""),"ryanawesome_")</f>
        <v>ryanawesome_</v>
      </c>
      <c r="D703" s="36" t="str">
        <f>IFERROR(__xludf.DUMMYFUNCTION("""COMPUTED_VALUE"""),"Nighthawks")</f>
        <v>Nighthawks</v>
      </c>
      <c r="E703" s="10" t="str">
        <f>IFERROR(__xludf.DUMMYFUNCTION("""COMPUTED_VALUE"""),"Lunar")</f>
        <v>Lunar</v>
      </c>
      <c r="F703" s="37">
        <f>IFERROR(__xludf.DUMMYFUNCTION("""COMPUTED_VALUE"""),69.19672499010824)</f>
        <v>69.19672499</v>
      </c>
      <c r="G703" s="38">
        <f>IFERROR(__xludf.DUMMYFUNCTION("""COMPUTED_VALUE"""),70.35210604923728)</f>
        <v>70.35210605</v>
      </c>
      <c r="H703" s="38">
        <f>IFERROR(__xludf.DUMMYFUNCTION("""COMPUTED_VALUE"""),69.77441551967276)</f>
        <v>69.77441552</v>
      </c>
      <c r="I703" s="14">
        <f>IFERROR(__xludf.DUMMYFUNCTION("""COMPUTED_VALUE"""),52.0)</f>
        <v>52</v>
      </c>
      <c r="J703" s="11">
        <f>IFERROR(__xludf.DUMMYFUNCTION("IFERROR(FILTER(Stats!$F:$Z,(Stats!$A:$A=$A703)*(Stats!$B:$B=$B703)))"),30.0)</f>
        <v>30</v>
      </c>
      <c r="K703" s="11">
        <f>IFERROR(__xludf.DUMMYFUNCTION("""COMPUTED_VALUE"""),22.0)</f>
        <v>22</v>
      </c>
      <c r="L703" s="12">
        <f>IFERROR(__xludf.DUMMYFUNCTION("""COMPUTED_VALUE"""),0.5769230769230769)</f>
        <v>0.5769230769</v>
      </c>
      <c r="M703" s="11">
        <f>IFERROR(__xludf.DUMMYFUNCTION("""COMPUTED_VALUE"""),11.0)</f>
        <v>11</v>
      </c>
      <c r="N703" s="11">
        <f>IFERROR(__xludf.DUMMYFUNCTION("""COMPUTED_VALUE"""),20701.0)</f>
        <v>20701</v>
      </c>
      <c r="O703" s="13">
        <f>IFERROR(__xludf.DUMMYFUNCTION("""COMPUTED_VALUE"""),56.0)</f>
        <v>56</v>
      </c>
      <c r="P703" s="14">
        <f>IFERROR(__xludf.DUMMYFUNCTION("""COMPUTED_VALUE"""),26.0)</f>
        <v>26</v>
      </c>
      <c r="Q703" s="13">
        <f>IFERROR(__xludf.DUMMYFUNCTION("""COMPUTED_VALUE"""),82.0)</f>
        <v>82</v>
      </c>
      <c r="R703" s="13">
        <f>IFERROR(__xludf.DUMMYFUNCTION("""COMPUTED_VALUE"""),144.0)</f>
        <v>144</v>
      </c>
      <c r="S703" s="15">
        <f>IFERROR(__xludf.DUMMYFUNCTION("""COMPUTED_VALUE"""),0.3888888888888889)</f>
        <v>0.3888888889</v>
      </c>
      <c r="T703" s="16">
        <f>IFERROR(__xludf.DUMMYFUNCTION("""COMPUTED_VALUE"""),398.09615384615387)</f>
        <v>398.0961538</v>
      </c>
      <c r="U703" s="16">
        <f>IFERROR(__xludf.DUMMYFUNCTION("""COMPUTED_VALUE"""),1.0769230769230769)</f>
        <v>1.076923077</v>
      </c>
      <c r="V703" s="16">
        <f>IFERROR(__xludf.DUMMYFUNCTION("""COMPUTED_VALUE"""),0.5)</f>
        <v>0.5</v>
      </c>
      <c r="W703" s="16">
        <f>IFERROR(__xludf.DUMMYFUNCTION("""COMPUTED_VALUE"""),1.5769230769230769)</f>
        <v>1.576923077</v>
      </c>
      <c r="X703" s="16">
        <f>IFERROR(__xludf.DUMMYFUNCTION("""COMPUTED_VALUE"""),2.769230769230769)</f>
        <v>2.769230769</v>
      </c>
      <c r="Y703" s="11">
        <f>IFERROR(__xludf.DUMMYFUNCTION("""COMPUTED_VALUE"""),13.0)</f>
        <v>13</v>
      </c>
      <c r="Z703" s="11">
        <f>IFERROR(__xludf.DUMMYFUNCTION("""COMPUTED_VALUE"""),3.0)</f>
        <v>3</v>
      </c>
      <c r="AA703" s="11">
        <f>IFERROR(__xludf.DUMMYFUNCTION("""COMPUTED_VALUE"""),0.0)</f>
        <v>0</v>
      </c>
      <c r="AB703" s="11">
        <f>IFERROR(__xludf.DUMMYFUNCTION("""COMPUTED_VALUE"""),10.0)</f>
        <v>10</v>
      </c>
      <c r="AC703" s="11">
        <f>IFERROR(__xludf.DUMMYFUNCTION("""COMPUTED_VALUE"""),69.0)</f>
        <v>69</v>
      </c>
      <c r="AD703" s="11">
        <f>IFERROR(__xludf.DUMMYFUNCTION("""COMPUTED_VALUE"""),58.0)</f>
        <v>58</v>
      </c>
    </row>
    <row r="704">
      <c r="A704" s="10" t="str">
        <f>IFERROR(__xludf.DUMMYFUNCTION("""COMPUTED_VALUE"""),"Veteran")</f>
        <v>Veteran</v>
      </c>
      <c r="B704" s="10" t="str">
        <f>IFERROR(__xludf.DUMMYFUNCTION("""COMPUTED_VALUE"""),"RSC008422")</f>
        <v>RSC008422</v>
      </c>
      <c r="C704" s="10" t="str">
        <f>IFERROR(__xludf.DUMMYFUNCTION("""COMPUTED_VALUE"""),"carszin")</f>
        <v>carszin</v>
      </c>
      <c r="D704" s="36" t="str">
        <f>IFERROR(__xludf.DUMMYFUNCTION("""COMPUTED_VALUE"""),"Gouda Gangsters
Berserkers")</f>
        <v>Gouda Gangsters
Berserkers</v>
      </c>
      <c r="E704" s="10" t="str">
        <f>IFERROR(__xludf.DUMMYFUNCTION("""COMPUTED_VALUE"""),"Lunar
Lunar")</f>
        <v>Lunar
Lunar</v>
      </c>
      <c r="F704" s="37">
        <f>IFERROR(__xludf.DUMMYFUNCTION("""COMPUTED_VALUE"""),69.69072543223936)</f>
        <v>69.69072543</v>
      </c>
      <c r="G704" s="38">
        <f>IFERROR(__xludf.DUMMYFUNCTION("""COMPUTED_VALUE"""),69.79937312122917)</f>
        <v>69.79937312</v>
      </c>
      <c r="H704" s="38">
        <f>IFERROR(__xludf.DUMMYFUNCTION("""COMPUTED_VALUE"""),69.74504927673426)</f>
        <v>69.74504928</v>
      </c>
      <c r="I704" s="14">
        <f>IFERROR(__xludf.DUMMYFUNCTION("""COMPUTED_VALUE"""),24.0)</f>
        <v>24</v>
      </c>
      <c r="J704" s="11">
        <f>IFERROR(__xludf.DUMMYFUNCTION("IFERROR(FILTER(Stats!$F:$Z,(Stats!$A:$A=$A704)*(Stats!$B:$B=$B704)))"),15.0)</f>
        <v>15</v>
      </c>
      <c r="K704" s="11">
        <f>IFERROR(__xludf.DUMMYFUNCTION("""COMPUTED_VALUE"""),9.0)</f>
        <v>9</v>
      </c>
      <c r="L704" s="12">
        <f>IFERROR(__xludf.DUMMYFUNCTION("""COMPUTED_VALUE"""),0.625)</f>
        <v>0.625</v>
      </c>
      <c r="M704" s="11">
        <f>IFERROR(__xludf.DUMMYFUNCTION("""COMPUTED_VALUE"""),8.0)</f>
        <v>8</v>
      </c>
      <c r="N704" s="11">
        <f>IFERROR(__xludf.DUMMYFUNCTION("""COMPUTED_VALUE"""),9922.0)</f>
        <v>9922</v>
      </c>
      <c r="O704" s="13">
        <f>IFERROR(__xludf.DUMMYFUNCTION("""COMPUTED_VALUE"""),22.0)</f>
        <v>22</v>
      </c>
      <c r="P704" s="14">
        <f>IFERROR(__xludf.DUMMYFUNCTION("""COMPUTED_VALUE"""),14.0)</f>
        <v>14</v>
      </c>
      <c r="Q704" s="13">
        <f>IFERROR(__xludf.DUMMYFUNCTION("""COMPUTED_VALUE"""),39.0)</f>
        <v>39</v>
      </c>
      <c r="R704" s="13">
        <f>IFERROR(__xludf.DUMMYFUNCTION("""COMPUTED_VALUE"""),72.0)</f>
        <v>72</v>
      </c>
      <c r="S704" s="15">
        <f>IFERROR(__xludf.DUMMYFUNCTION("""COMPUTED_VALUE"""),0.3055555555555556)</f>
        <v>0.3055555556</v>
      </c>
      <c r="T704" s="16">
        <f>IFERROR(__xludf.DUMMYFUNCTION("""COMPUTED_VALUE"""),413.4166666666667)</f>
        <v>413.4166667</v>
      </c>
      <c r="U704" s="16">
        <f>IFERROR(__xludf.DUMMYFUNCTION("""COMPUTED_VALUE"""),0.9166666666666666)</f>
        <v>0.9166666667</v>
      </c>
      <c r="V704" s="16">
        <f>IFERROR(__xludf.DUMMYFUNCTION("""COMPUTED_VALUE"""),0.5833333333333334)</f>
        <v>0.5833333333</v>
      </c>
      <c r="W704" s="16">
        <f>IFERROR(__xludf.DUMMYFUNCTION("""COMPUTED_VALUE"""),1.625)</f>
        <v>1.625</v>
      </c>
      <c r="X704" s="16">
        <f>IFERROR(__xludf.DUMMYFUNCTION("""COMPUTED_VALUE"""),3.0)</f>
        <v>3</v>
      </c>
      <c r="Y704" s="11">
        <f>IFERROR(__xludf.DUMMYFUNCTION("""COMPUTED_VALUE"""),5.0)</f>
        <v>5</v>
      </c>
      <c r="Z704" s="11">
        <f>IFERROR(__xludf.DUMMYFUNCTION("""COMPUTED_VALUE"""),0.0)</f>
        <v>0</v>
      </c>
      <c r="AA704" s="11">
        <f>IFERROR(__xludf.DUMMYFUNCTION("""COMPUTED_VALUE"""),0.0)</f>
        <v>0</v>
      </c>
      <c r="AB704" s="11">
        <f>IFERROR(__xludf.DUMMYFUNCTION("""COMPUTED_VALUE"""),6.0)</f>
        <v>6</v>
      </c>
      <c r="AC704" s="11">
        <f>IFERROR(__xludf.DUMMYFUNCTION("""COMPUTED_VALUE"""),38.0)</f>
        <v>38</v>
      </c>
      <c r="AD704" s="11">
        <f>IFERROR(__xludf.DUMMYFUNCTION("""COMPUTED_VALUE"""),20.0)</f>
        <v>20</v>
      </c>
    </row>
    <row r="705">
      <c r="A705" s="10" t="str">
        <f>IFERROR(__xludf.DUMMYFUNCTION("""COMPUTED_VALUE"""),"Veteran")</f>
        <v>Veteran</v>
      </c>
      <c r="B705" s="10" t="str">
        <f>IFERROR(__xludf.DUMMYFUNCTION("""COMPUTED_VALUE"""),"RSC006140")</f>
        <v>RSC006140</v>
      </c>
      <c r="C705" s="10" t="str">
        <f>IFERROR(__xludf.DUMMYFUNCTION("""COMPUTED_VALUE"""),"Jay_Kay99")</f>
        <v>Jay_Kay99</v>
      </c>
      <c r="D705" s="36" t="str">
        <f>IFERROR(__xludf.DUMMYFUNCTION("""COMPUTED_VALUE"""),"Blacksmiths")</f>
        <v>Blacksmiths</v>
      </c>
      <c r="E705" s="10" t="str">
        <f>IFERROR(__xludf.DUMMYFUNCTION("""COMPUTED_VALUE"""),"Lunar")</f>
        <v>Lunar</v>
      </c>
      <c r="F705" s="37">
        <f>IFERROR(__xludf.DUMMYFUNCTION("""COMPUTED_VALUE"""),69.55257101494423)</f>
        <v>69.55257101</v>
      </c>
      <c r="G705" s="38">
        <f>IFERROR(__xludf.DUMMYFUNCTION("""COMPUTED_VALUE"""),69.42977241732619)</f>
        <v>69.42977242</v>
      </c>
      <c r="H705" s="38">
        <f>IFERROR(__xludf.DUMMYFUNCTION("""COMPUTED_VALUE"""),69.49117171613521)</f>
        <v>69.49117172</v>
      </c>
      <c r="I705" s="14">
        <f>IFERROR(__xludf.DUMMYFUNCTION("""COMPUTED_VALUE"""),54.0)</f>
        <v>54</v>
      </c>
      <c r="J705" s="11">
        <f>IFERROR(__xludf.DUMMYFUNCTION("IFERROR(FILTER(Stats!$F:$Z,(Stats!$A:$A=$A705)*(Stats!$B:$B=$B705)))"),29.0)</f>
        <v>29</v>
      </c>
      <c r="K705" s="11">
        <f>IFERROR(__xludf.DUMMYFUNCTION("""COMPUTED_VALUE"""),25.0)</f>
        <v>25</v>
      </c>
      <c r="L705" s="12">
        <f>IFERROR(__xludf.DUMMYFUNCTION("""COMPUTED_VALUE"""),0.5370370370370371)</f>
        <v>0.537037037</v>
      </c>
      <c r="M705" s="11">
        <f>IFERROR(__xludf.DUMMYFUNCTION("""COMPUTED_VALUE"""),10.0)</f>
        <v>10</v>
      </c>
      <c r="N705" s="11">
        <f>IFERROR(__xludf.DUMMYFUNCTION("""COMPUTED_VALUE"""),20569.0)</f>
        <v>20569</v>
      </c>
      <c r="O705" s="13">
        <f>IFERROR(__xludf.DUMMYFUNCTION("""COMPUTED_VALUE"""),40.0)</f>
        <v>40</v>
      </c>
      <c r="P705" s="14">
        <f>IFERROR(__xludf.DUMMYFUNCTION("""COMPUTED_VALUE"""),44.0)</f>
        <v>44</v>
      </c>
      <c r="Q705" s="13">
        <f>IFERROR(__xludf.DUMMYFUNCTION("""COMPUTED_VALUE"""),81.0)</f>
        <v>81</v>
      </c>
      <c r="R705" s="13">
        <f>IFERROR(__xludf.DUMMYFUNCTION("""COMPUTED_VALUE"""),144.0)</f>
        <v>144</v>
      </c>
      <c r="S705" s="15">
        <f>IFERROR(__xludf.DUMMYFUNCTION("""COMPUTED_VALUE"""),0.2777777777777778)</f>
        <v>0.2777777778</v>
      </c>
      <c r="T705" s="16">
        <f>IFERROR(__xludf.DUMMYFUNCTION("""COMPUTED_VALUE"""),380.9074074074074)</f>
        <v>380.9074074</v>
      </c>
      <c r="U705" s="16">
        <f>IFERROR(__xludf.DUMMYFUNCTION("""COMPUTED_VALUE"""),0.7407407407407407)</f>
        <v>0.7407407407</v>
      </c>
      <c r="V705" s="16">
        <f>IFERROR(__xludf.DUMMYFUNCTION("""COMPUTED_VALUE"""),0.8148148148148148)</f>
        <v>0.8148148148</v>
      </c>
      <c r="W705" s="16">
        <f>IFERROR(__xludf.DUMMYFUNCTION("""COMPUTED_VALUE"""),1.5)</f>
        <v>1.5</v>
      </c>
      <c r="X705" s="16">
        <f>IFERROR(__xludf.DUMMYFUNCTION("""COMPUTED_VALUE"""),2.6666666666666665)</f>
        <v>2.666666667</v>
      </c>
      <c r="Y705" s="11">
        <f>IFERROR(__xludf.DUMMYFUNCTION("""COMPUTED_VALUE"""),12.0)</f>
        <v>12</v>
      </c>
      <c r="Z705" s="11">
        <f>IFERROR(__xludf.DUMMYFUNCTION("""COMPUTED_VALUE"""),4.0)</f>
        <v>4</v>
      </c>
      <c r="AA705" s="11">
        <f>IFERROR(__xludf.DUMMYFUNCTION("""COMPUTED_VALUE"""),1.0)</f>
        <v>1</v>
      </c>
      <c r="AB705" s="11">
        <f>IFERROR(__xludf.DUMMYFUNCTION("""COMPUTED_VALUE"""),10.0)</f>
        <v>10</v>
      </c>
      <c r="AC705" s="11">
        <f>IFERROR(__xludf.DUMMYFUNCTION("""COMPUTED_VALUE"""),82.0)</f>
        <v>82</v>
      </c>
      <c r="AD705" s="11">
        <f>IFERROR(__xludf.DUMMYFUNCTION("""COMPUTED_VALUE"""),41.0)</f>
        <v>41</v>
      </c>
    </row>
    <row r="706">
      <c r="A706" s="10" t="str">
        <f>IFERROR(__xludf.DUMMYFUNCTION("""COMPUTED_VALUE"""),"Veteran")</f>
        <v>Veteran</v>
      </c>
      <c r="B706" s="10" t="str">
        <f>IFERROR(__xludf.DUMMYFUNCTION("""COMPUTED_VALUE"""),"RSC008553")</f>
        <v>RSC008553</v>
      </c>
      <c r="C706" s="10" t="str">
        <f>IFERROR(__xludf.DUMMYFUNCTION("""COMPUTED_VALUE"""),"Choco")</f>
        <v>Choco</v>
      </c>
      <c r="D706" s="36" t="str">
        <f>IFERROR(__xludf.DUMMYFUNCTION("""COMPUTED_VALUE"""),"Avalanche
Nighthawks
Gouda Gangsters
Mosaic Maestros
Merciless Mob")</f>
        <v>Avalanche
Nighthawks
Gouda Gangsters
Mosaic Maestros
Merciless Mob</v>
      </c>
      <c r="E706" s="10" t="str">
        <f>IFERROR(__xludf.DUMMYFUNCTION("""COMPUTED_VALUE"""),"Solar
Lunar
Lunar
Solar
Lunar")</f>
        <v>Solar
Lunar
Lunar
Solar
Lunar</v>
      </c>
      <c r="F706" s="37">
        <f>IFERROR(__xludf.DUMMYFUNCTION("""COMPUTED_VALUE"""),69.8647134251062)</f>
        <v>69.86471343</v>
      </c>
      <c r="G706" s="38">
        <f>IFERROR(__xludf.DUMMYFUNCTION("""COMPUTED_VALUE"""),67.87436401752726)</f>
        <v>67.87436402</v>
      </c>
      <c r="H706" s="38">
        <f>IFERROR(__xludf.DUMMYFUNCTION("""COMPUTED_VALUE"""),68.86953872131673)</f>
        <v>68.86953872</v>
      </c>
      <c r="I706" s="14">
        <f>IFERROR(__xludf.DUMMYFUNCTION("""COMPUTED_VALUE"""),24.0)</f>
        <v>24</v>
      </c>
      <c r="J706" s="11">
        <f>IFERROR(__xludf.DUMMYFUNCTION("IFERROR(FILTER(Stats!$F:$Z,(Stats!$A:$A=$A706)*(Stats!$B:$B=$B706)))"),11.0)</f>
        <v>11</v>
      </c>
      <c r="K706" s="11">
        <f>IFERROR(__xludf.DUMMYFUNCTION("""COMPUTED_VALUE"""),13.0)</f>
        <v>13</v>
      </c>
      <c r="L706" s="12">
        <f>IFERROR(__xludf.DUMMYFUNCTION("""COMPUTED_VALUE"""),0.4583333333333333)</f>
        <v>0.4583333333</v>
      </c>
      <c r="M706" s="11">
        <f>IFERROR(__xludf.DUMMYFUNCTION("""COMPUTED_VALUE"""),4.0)</f>
        <v>4</v>
      </c>
      <c r="N706" s="11">
        <f>IFERROR(__xludf.DUMMYFUNCTION("""COMPUTED_VALUE"""),9394.0)</f>
        <v>9394</v>
      </c>
      <c r="O706" s="13">
        <f>IFERROR(__xludf.DUMMYFUNCTION("""COMPUTED_VALUE"""),16.0)</f>
        <v>16</v>
      </c>
      <c r="P706" s="14">
        <f>IFERROR(__xludf.DUMMYFUNCTION("""COMPUTED_VALUE"""),18.0)</f>
        <v>18</v>
      </c>
      <c r="Q706" s="13">
        <f>IFERROR(__xludf.DUMMYFUNCTION("""COMPUTED_VALUE"""),40.0)</f>
        <v>40</v>
      </c>
      <c r="R706" s="13">
        <f>IFERROR(__xludf.DUMMYFUNCTION("""COMPUTED_VALUE"""),65.0)</f>
        <v>65</v>
      </c>
      <c r="S706" s="15">
        <f>IFERROR(__xludf.DUMMYFUNCTION("""COMPUTED_VALUE"""),0.24615384615384617)</f>
        <v>0.2461538462</v>
      </c>
      <c r="T706" s="16">
        <f>IFERROR(__xludf.DUMMYFUNCTION("""COMPUTED_VALUE"""),391.4166666666667)</f>
        <v>391.4166667</v>
      </c>
      <c r="U706" s="16">
        <f>IFERROR(__xludf.DUMMYFUNCTION("""COMPUTED_VALUE"""),0.6666666666666666)</f>
        <v>0.6666666667</v>
      </c>
      <c r="V706" s="16">
        <f>IFERROR(__xludf.DUMMYFUNCTION("""COMPUTED_VALUE"""),0.75)</f>
        <v>0.75</v>
      </c>
      <c r="W706" s="16">
        <f>IFERROR(__xludf.DUMMYFUNCTION("""COMPUTED_VALUE"""),1.6666666666666667)</f>
        <v>1.666666667</v>
      </c>
      <c r="X706" s="16">
        <f>IFERROR(__xludf.DUMMYFUNCTION("""COMPUTED_VALUE"""),2.7083333333333335)</f>
        <v>2.708333333</v>
      </c>
      <c r="Y706" s="11">
        <f>IFERROR(__xludf.DUMMYFUNCTION("""COMPUTED_VALUE"""),1.0)</f>
        <v>1</v>
      </c>
      <c r="Z706" s="11">
        <f>IFERROR(__xludf.DUMMYFUNCTION("""COMPUTED_VALUE"""),1.0)</f>
        <v>1</v>
      </c>
      <c r="AA706" s="11">
        <f>IFERROR(__xludf.DUMMYFUNCTION("""COMPUTED_VALUE"""),0.0)</f>
        <v>0</v>
      </c>
      <c r="AB706" s="11">
        <f>IFERROR(__xludf.DUMMYFUNCTION("""COMPUTED_VALUE"""),6.0)</f>
        <v>6</v>
      </c>
      <c r="AC706" s="11">
        <f>IFERROR(__xludf.DUMMYFUNCTION("""COMPUTED_VALUE"""),22.0)</f>
        <v>22</v>
      </c>
      <c r="AD706" s="11">
        <f>IFERROR(__xludf.DUMMYFUNCTION("""COMPUTED_VALUE"""),26.0)</f>
        <v>26</v>
      </c>
    </row>
    <row r="707">
      <c r="A707" s="10" t="str">
        <f>IFERROR(__xludf.DUMMYFUNCTION("""COMPUTED_VALUE"""),"Veteran")</f>
        <v>Veteran</v>
      </c>
      <c r="B707" s="10" t="str">
        <f>IFERROR(__xludf.DUMMYFUNCTION("""COMPUTED_VALUE"""),"RSC008376")</f>
        <v>RSC008376</v>
      </c>
      <c r="C707" s="10" t="str">
        <f>IFERROR(__xludf.DUMMYFUNCTION("""COMPUTED_VALUE"""),"Storytime")</f>
        <v>Storytime</v>
      </c>
      <c r="D707" s="36" t="str">
        <f>IFERROR(__xludf.DUMMYFUNCTION("""COMPUTED_VALUE"""),"Berserkers")</f>
        <v>Berserkers</v>
      </c>
      <c r="E707" s="10" t="str">
        <f>IFERROR(__xludf.DUMMYFUNCTION("""COMPUTED_VALUE"""),"Lunar")</f>
        <v>Lunar</v>
      </c>
      <c r="F707" s="37">
        <f>IFERROR(__xludf.DUMMYFUNCTION("""COMPUTED_VALUE"""),63.49547391233498)</f>
        <v>63.49547391</v>
      </c>
      <c r="G707" s="38">
        <f>IFERROR(__xludf.DUMMYFUNCTION("""COMPUTED_VALUE"""),73.3613185345804)</f>
        <v>73.36131853</v>
      </c>
      <c r="H707" s="38">
        <f>IFERROR(__xludf.DUMMYFUNCTION("""COMPUTED_VALUE"""),68.4283962234577)</f>
        <v>68.42839622</v>
      </c>
      <c r="I707" s="14">
        <f>IFERROR(__xludf.DUMMYFUNCTION("""COMPUTED_VALUE"""),56.0)</f>
        <v>56</v>
      </c>
      <c r="J707" s="11">
        <f>IFERROR(__xludf.DUMMYFUNCTION("IFERROR(FILTER(Stats!$F:$Z,(Stats!$A:$A=$A707)*(Stats!$B:$B=$B707)))"),36.0)</f>
        <v>36</v>
      </c>
      <c r="K707" s="11">
        <f>IFERROR(__xludf.DUMMYFUNCTION("""COMPUTED_VALUE"""),20.0)</f>
        <v>20</v>
      </c>
      <c r="L707" s="12">
        <f>IFERROR(__xludf.DUMMYFUNCTION("""COMPUTED_VALUE"""),0.6428571428571429)</f>
        <v>0.6428571429</v>
      </c>
      <c r="M707" s="11">
        <f>IFERROR(__xludf.DUMMYFUNCTION("""COMPUTED_VALUE"""),11.0)</f>
        <v>11</v>
      </c>
      <c r="N707" s="11">
        <f>IFERROR(__xludf.DUMMYFUNCTION("""COMPUTED_VALUE"""),22299.0)</f>
        <v>22299</v>
      </c>
      <c r="O707" s="13">
        <f>IFERROR(__xludf.DUMMYFUNCTION("""COMPUTED_VALUE"""),50.0)</f>
        <v>50</v>
      </c>
      <c r="P707" s="14">
        <f>IFERROR(__xludf.DUMMYFUNCTION("""COMPUTED_VALUE"""),41.0)</f>
        <v>41</v>
      </c>
      <c r="Q707" s="13">
        <f>IFERROR(__xludf.DUMMYFUNCTION("""COMPUTED_VALUE"""),79.0)</f>
        <v>79</v>
      </c>
      <c r="R707" s="13">
        <f>IFERROR(__xludf.DUMMYFUNCTION("""COMPUTED_VALUE"""),180.0)</f>
        <v>180</v>
      </c>
      <c r="S707" s="15">
        <f>IFERROR(__xludf.DUMMYFUNCTION("""COMPUTED_VALUE"""),0.2777777777777778)</f>
        <v>0.2777777778</v>
      </c>
      <c r="T707" s="16">
        <f>IFERROR(__xludf.DUMMYFUNCTION("""COMPUTED_VALUE"""),398.19642857142856)</f>
        <v>398.1964286</v>
      </c>
      <c r="U707" s="16">
        <f>IFERROR(__xludf.DUMMYFUNCTION("""COMPUTED_VALUE"""),0.8928571428571429)</f>
        <v>0.8928571429</v>
      </c>
      <c r="V707" s="16">
        <f>IFERROR(__xludf.DUMMYFUNCTION("""COMPUTED_VALUE"""),0.7321428571428571)</f>
        <v>0.7321428571</v>
      </c>
      <c r="W707" s="16">
        <f>IFERROR(__xludf.DUMMYFUNCTION("""COMPUTED_VALUE"""),1.4107142857142858)</f>
        <v>1.410714286</v>
      </c>
      <c r="X707" s="16">
        <f>IFERROR(__xludf.DUMMYFUNCTION("""COMPUTED_VALUE"""),3.2142857142857144)</f>
        <v>3.214285714</v>
      </c>
      <c r="Y707" s="11">
        <f>IFERROR(__xludf.DUMMYFUNCTION("""COMPUTED_VALUE"""),18.0)</f>
        <v>18</v>
      </c>
      <c r="Z707" s="11">
        <f>IFERROR(__xludf.DUMMYFUNCTION("""COMPUTED_VALUE"""),2.0)</f>
        <v>2</v>
      </c>
      <c r="AA707" s="11">
        <f>IFERROR(__xludf.DUMMYFUNCTION("""COMPUTED_VALUE"""),3.0)</f>
        <v>3</v>
      </c>
      <c r="AB707" s="11">
        <f>IFERROR(__xludf.DUMMYFUNCTION("""COMPUTED_VALUE"""),11.0)</f>
        <v>11</v>
      </c>
      <c r="AC707" s="11">
        <f>IFERROR(__xludf.DUMMYFUNCTION("""COMPUTED_VALUE"""),65.0)</f>
        <v>65</v>
      </c>
      <c r="AD707" s="11">
        <f>IFERROR(__xludf.DUMMYFUNCTION("""COMPUTED_VALUE"""),62.0)</f>
        <v>62</v>
      </c>
    </row>
    <row r="708">
      <c r="A708" s="10" t="str">
        <f>IFERROR(__xludf.DUMMYFUNCTION("""COMPUTED_VALUE"""),"Veteran")</f>
        <v>Veteran</v>
      </c>
      <c r="B708" s="10" t="str">
        <f>IFERROR(__xludf.DUMMYFUNCTION("""COMPUTED_VALUE"""),"RSC008165")</f>
        <v>RSC008165</v>
      </c>
      <c r="C708" s="10" t="str">
        <f>IFERROR(__xludf.DUMMYFUNCTION("""COMPUTED_VALUE"""),"JoJo-sepy")</f>
        <v>JoJo-sepy</v>
      </c>
      <c r="D708" s="36" t="str">
        <f>IFERROR(__xludf.DUMMYFUNCTION("""COMPUTED_VALUE"""),"Water")</f>
        <v>Water</v>
      </c>
      <c r="E708" s="10" t="str">
        <f>IFERROR(__xludf.DUMMYFUNCTION("""COMPUTED_VALUE"""),"Solar")</f>
        <v>Solar</v>
      </c>
      <c r="F708" s="37">
        <f>IFERROR(__xludf.DUMMYFUNCTION("""COMPUTED_VALUE"""),60.63904683631827)</f>
        <v>60.63904684</v>
      </c>
      <c r="G708" s="38">
        <f>IFERROR(__xludf.DUMMYFUNCTION("""COMPUTED_VALUE"""),74.11821533282466)</f>
        <v>74.11821533</v>
      </c>
      <c r="H708" s="38">
        <f>IFERROR(__xludf.DUMMYFUNCTION("""COMPUTED_VALUE"""),67.37863108457147)</f>
        <v>67.37863108</v>
      </c>
      <c r="I708" s="14">
        <f>IFERROR(__xludf.DUMMYFUNCTION("""COMPUTED_VALUE"""),56.0)</f>
        <v>56</v>
      </c>
      <c r="J708" s="11">
        <f>IFERROR(__xludf.DUMMYFUNCTION("IFERROR(FILTER(Stats!$F:$Z,(Stats!$A:$A=$A708)*(Stats!$B:$B=$B708)))"),34.0)</f>
        <v>34</v>
      </c>
      <c r="K708" s="11">
        <f>IFERROR(__xludf.DUMMYFUNCTION("""COMPUTED_VALUE"""),22.0)</f>
        <v>22</v>
      </c>
      <c r="L708" s="12">
        <f>IFERROR(__xludf.DUMMYFUNCTION("""COMPUTED_VALUE"""),0.6071428571428571)</f>
        <v>0.6071428571</v>
      </c>
      <c r="M708" s="11">
        <f>IFERROR(__xludf.DUMMYFUNCTION("""COMPUTED_VALUE"""),11.0)</f>
        <v>11</v>
      </c>
      <c r="N708" s="11">
        <f>IFERROR(__xludf.DUMMYFUNCTION("""COMPUTED_VALUE"""),19719.0)</f>
        <v>19719</v>
      </c>
      <c r="O708" s="13">
        <f>IFERROR(__xludf.DUMMYFUNCTION("""COMPUTED_VALUE"""),49.0)</f>
        <v>49</v>
      </c>
      <c r="P708" s="14">
        <f>IFERROR(__xludf.DUMMYFUNCTION("""COMPUTED_VALUE"""),34.0)</f>
        <v>34</v>
      </c>
      <c r="Q708" s="13">
        <f>IFERROR(__xludf.DUMMYFUNCTION("""COMPUTED_VALUE"""),68.0)</f>
        <v>68</v>
      </c>
      <c r="R708" s="13">
        <f>IFERROR(__xludf.DUMMYFUNCTION("""COMPUTED_VALUE"""),184.0)</f>
        <v>184</v>
      </c>
      <c r="S708" s="15">
        <f>IFERROR(__xludf.DUMMYFUNCTION("""COMPUTED_VALUE"""),0.266304347826087)</f>
        <v>0.2663043478</v>
      </c>
      <c r="T708" s="16">
        <f>IFERROR(__xludf.DUMMYFUNCTION("""COMPUTED_VALUE"""),352.125)</f>
        <v>352.125</v>
      </c>
      <c r="U708" s="16">
        <f>IFERROR(__xludf.DUMMYFUNCTION("""COMPUTED_VALUE"""),0.875)</f>
        <v>0.875</v>
      </c>
      <c r="V708" s="16">
        <f>IFERROR(__xludf.DUMMYFUNCTION("""COMPUTED_VALUE"""),0.6071428571428571)</f>
        <v>0.6071428571</v>
      </c>
      <c r="W708" s="16">
        <f>IFERROR(__xludf.DUMMYFUNCTION("""COMPUTED_VALUE"""),1.2142857142857142)</f>
        <v>1.214285714</v>
      </c>
      <c r="X708" s="16">
        <f>IFERROR(__xludf.DUMMYFUNCTION("""COMPUTED_VALUE"""),3.2857142857142856)</f>
        <v>3.285714286</v>
      </c>
      <c r="Y708" s="11">
        <f>IFERROR(__xludf.DUMMYFUNCTION("""COMPUTED_VALUE"""),9.0)</f>
        <v>9</v>
      </c>
      <c r="Z708" s="11">
        <f>IFERROR(__xludf.DUMMYFUNCTION("""COMPUTED_VALUE"""),5.0)</f>
        <v>5</v>
      </c>
      <c r="AA708" s="11">
        <f>IFERROR(__xludf.DUMMYFUNCTION("""COMPUTED_VALUE"""),1.0)</f>
        <v>1</v>
      </c>
      <c r="AB708" s="11">
        <f>IFERROR(__xludf.DUMMYFUNCTION("""COMPUTED_VALUE"""),6.0)</f>
        <v>6</v>
      </c>
      <c r="AC708" s="11">
        <f>IFERROR(__xludf.DUMMYFUNCTION("""COMPUTED_VALUE"""),71.0)</f>
        <v>71</v>
      </c>
      <c r="AD708" s="11">
        <f>IFERROR(__xludf.DUMMYFUNCTION("""COMPUTED_VALUE"""),76.0)</f>
        <v>76</v>
      </c>
    </row>
    <row r="709">
      <c r="A709" s="10" t="str">
        <f>IFERROR(__xludf.DUMMYFUNCTION("""COMPUTED_VALUE"""),"Veteran")</f>
        <v>Veteran</v>
      </c>
      <c r="B709" s="10" t="str">
        <f>IFERROR(__xludf.DUMMYFUNCTION("""COMPUTED_VALUE"""),"RSC005482")</f>
        <v>RSC005482</v>
      </c>
      <c r="C709" s="10" t="str">
        <f>IFERROR(__xludf.DUMMYFUNCTION("""COMPUTED_VALUE"""),"Benny!")</f>
        <v>Benny!</v>
      </c>
      <c r="D709" s="36" t="str">
        <f>IFERROR(__xludf.DUMMYFUNCTION("""COMPUTED_VALUE"""),"Gorillas")</f>
        <v>Gorillas</v>
      </c>
      <c r="E709" s="10" t="str">
        <f>IFERROR(__xludf.DUMMYFUNCTION("""COMPUTED_VALUE"""),"Solar")</f>
        <v>Solar</v>
      </c>
      <c r="F709" s="37">
        <f>IFERROR(__xludf.DUMMYFUNCTION("""COMPUTED_VALUE"""),74.14010063762444)</f>
        <v>74.14010064</v>
      </c>
      <c r="G709" s="38">
        <f>IFERROR(__xludf.DUMMYFUNCTION("""COMPUTED_VALUE"""),59.37996467027779)</f>
        <v>59.37996467</v>
      </c>
      <c r="H709" s="38">
        <f>IFERROR(__xludf.DUMMYFUNCTION("""COMPUTED_VALUE"""),66.76003265395111)</f>
        <v>66.76003265</v>
      </c>
      <c r="I709" s="14">
        <f>IFERROR(__xludf.DUMMYFUNCTION("""COMPUTED_VALUE"""),48.0)</f>
        <v>48</v>
      </c>
      <c r="J709" s="11">
        <f>IFERROR(__xludf.DUMMYFUNCTION("IFERROR(FILTER(Stats!$F:$Z,(Stats!$A:$A=$A709)*(Stats!$B:$B=$B709)))"),17.0)</f>
        <v>17</v>
      </c>
      <c r="K709" s="11">
        <f>IFERROR(__xludf.DUMMYFUNCTION("""COMPUTED_VALUE"""),31.0)</f>
        <v>31</v>
      </c>
      <c r="L709" s="12">
        <f>IFERROR(__xludf.DUMMYFUNCTION("""COMPUTED_VALUE"""),0.3541666666666667)</f>
        <v>0.3541666667</v>
      </c>
      <c r="M709" s="11">
        <f>IFERROR(__xludf.DUMMYFUNCTION("""COMPUTED_VALUE"""),9.0)</f>
        <v>9</v>
      </c>
      <c r="N709" s="11">
        <f>IFERROR(__xludf.DUMMYFUNCTION("""COMPUTED_VALUE"""),19917.0)</f>
        <v>19917</v>
      </c>
      <c r="O709" s="13">
        <f>IFERROR(__xludf.DUMMYFUNCTION("""COMPUTED_VALUE"""),41.0)</f>
        <v>41</v>
      </c>
      <c r="P709" s="14">
        <f>IFERROR(__xludf.DUMMYFUNCTION("""COMPUTED_VALUE"""),26.0)</f>
        <v>26</v>
      </c>
      <c r="Q709" s="13">
        <f>IFERROR(__xludf.DUMMYFUNCTION("""COMPUTED_VALUE"""),84.0)</f>
        <v>84</v>
      </c>
      <c r="R709" s="13">
        <f>IFERROR(__xludf.DUMMYFUNCTION("""COMPUTED_VALUE"""),133.0)</f>
        <v>133</v>
      </c>
      <c r="S709" s="15">
        <f>IFERROR(__xludf.DUMMYFUNCTION("""COMPUTED_VALUE"""),0.3082706766917293)</f>
        <v>0.3082706767</v>
      </c>
      <c r="T709" s="16">
        <f>IFERROR(__xludf.DUMMYFUNCTION("""COMPUTED_VALUE"""),414.9375)</f>
        <v>414.9375</v>
      </c>
      <c r="U709" s="16">
        <f>IFERROR(__xludf.DUMMYFUNCTION("""COMPUTED_VALUE"""),0.8541666666666666)</f>
        <v>0.8541666667</v>
      </c>
      <c r="V709" s="16">
        <f>IFERROR(__xludf.DUMMYFUNCTION("""COMPUTED_VALUE"""),0.5416666666666666)</f>
        <v>0.5416666667</v>
      </c>
      <c r="W709" s="16">
        <f>IFERROR(__xludf.DUMMYFUNCTION("""COMPUTED_VALUE"""),1.75)</f>
        <v>1.75</v>
      </c>
      <c r="X709" s="16">
        <f>IFERROR(__xludf.DUMMYFUNCTION("""COMPUTED_VALUE"""),2.7708333333333335)</f>
        <v>2.770833333</v>
      </c>
      <c r="Y709" s="11">
        <f>IFERROR(__xludf.DUMMYFUNCTION("""COMPUTED_VALUE"""),8.0)</f>
        <v>8</v>
      </c>
      <c r="Z709" s="11">
        <f>IFERROR(__xludf.DUMMYFUNCTION("""COMPUTED_VALUE"""),2.0)</f>
        <v>2</v>
      </c>
      <c r="AA709" s="11">
        <f>IFERROR(__xludf.DUMMYFUNCTION("""COMPUTED_VALUE"""),0.0)</f>
        <v>0</v>
      </c>
      <c r="AB709" s="11">
        <f>IFERROR(__xludf.DUMMYFUNCTION("""COMPUTED_VALUE"""),14.0)</f>
        <v>14</v>
      </c>
      <c r="AC709" s="11">
        <f>IFERROR(__xludf.DUMMYFUNCTION("""COMPUTED_VALUE"""),67.0)</f>
        <v>67</v>
      </c>
      <c r="AD709" s="11">
        <f>IFERROR(__xludf.DUMMYFUNCTION("""COMPUTED_VALUE"""),47.0)</f>
        <v>47</v>
      </c>
    </row>
    <row r="710">
      <c r="A710" s="10" t="str">
        <f>IFERROR(__xludf.DUMMYFUNCTION("""COMPUTED_VALUE"""),"Veteran")</f>
        <v>Veteran</v>
      </c>
      <c r="B710" s="10" t="str">
        <f>IFERROR(__xludf.DUMMYFUNCTION("""COMPUTED_VALUE"""),"RSC007582")</f>
        <v>RSC007582</v>
      </c>
      <c r="C710" s="10" t="str">
        <f>IFERROR(__xludf.DUMMYFUNCTION("""COMPUTED_VALUE"""),"Wavy")</f>
        <v>Wavy</v>
      </c>
      <c r="D710" s="36" t="str">
        <f>IFERROR(__xludf.DUMMYFUNCTION("""COMPUTED_VALUE"""),"Lycans")</f>
        <v>Lycans</v>
      </c>
      <c r="E710" s="10" t="str">
        <f>IFERROR(__xludf.DUMMYFUNCTION("""COMPUTED_VALUE"""),"Solar")</f>
        <v>Solar</v>
      </c>
      <c r="F710" s="37">
        <f>IFERROR(__xludf.DUMMYFUNCTION("""COMPUTED_VALUE"""),62.79104553007627)</f>
        <v>62.79104553</v>
      </c>
      <c r="G710" s="38">
        <f>IFERROR(__xludf.DUMMYFUNCTION("""COMPUTED_VALUE"""),70.64478614652046)</f>
        <v>70.64478615</v>
      </c>
      <c r="H710" s="38">
        <f>IFERROR(__xludf.DUMMYFUNCTION("""COMPUTED_VALUE"""),66.71791583829837)</f>
        <v>66.71791584</v>
      </c>
      <c r="I710" s="14">
        <f>IFERROR(__xludf.DUMMYFUNCTION("""COMPUTED_VALUE"""),49.0)</f>
        <v>49</v>
      </c>
      <c r="J710" s="11">
        <f>IFERROR(__xludf.DUMMYFUNCTION("IFERROR(FILTER(Stats!$F:$Z,(Stats!$A:$A=$A710)*(Stats!$B:$B=$B710)))"),34.0)</f>
        <v>34</v>
      </c>
      <c r="K710" s="11">
        <f>IFERROR(__xludf.DUMMYFUNCTION("""COMPUTED_VALUE"""),15.0)</f>
        <v>15</v>
      </c>
      <c r="L710" s="12">
        <f>IFERROR(__xludf.DUMMYFUNCTION("""COMPUTED_VALUE"""),0.6938775510204082)</f>
        <v>0.693877551</v>
      </c>
      <c r="M710" s="11">
        <f>IFERROR(__xludf.DUMMYFUNCTION("""COMPUTED_VALUE"""),8.0)</f>
        <v>8</v>
      </c>
      <c r="N710" s="11">
        <f>IFERROR(__xludf.DUMMYFUNCTION("""COMPUTED_VALUE"""),17068.0)</f>
        <v>17068</v>
      </c>
      <c r="O710" s="13">
        <f>IFERROR(__xludf.DUMMYFUNCTION("""COMPUTED_VALUE"""),42.0)</f>
        <v>42</v>
      </c>
      <c r="P710" s="14">
        <f>IFERROR(__xludf.DUMMYFUNCTION("""COMPUTED_VALUE"""),38.0)</f>
        <v>38</v>
      </c>
      <c r="Q710" s="13">
        <f>IFERROR(__xludf.DUMMYFUNCTION("""COMPUTED_VALUE"""),57.0)</f>
        <v>57</v>
      </c>
      <c r="R710" s="13">
        <f>IFERROR(__xludf.DUMMYFUNCTION("""COMPUTED_VALUE"""),123.0)</f>
        <v>123</v>
      </c>
      <c r="S710" s="15">
        <f>IFERROR(__xludf.DUMMYFUNCTION("""COMPUTED_VALUE"""),0.34146341463414637)</f>
        <v>0.3414634146</v>
      </c>
      <c r="T710" s="16">
        <f>IFERROR(__xludf.DUMMYFUNCTION("""COMPUTED_VALUE"""),348.3265306122449)</f>
        <v>348.3265306</v>
      </c>
      <c r="U710" s="16">
        <f>IFERROR(__xludf.DUMMYFUNCTION("""COMPUTED_VALUE"""),0.8571428571428571)</f>
        <v>0.8571428571</v>
      </c>
      <c r="V710" s="16">
        <f>IFERROR(__xludf.DUMMYFUNCTION("""COMPUTED_VALUE"""),0.7755102040816326)</f>
        <v>0.7755102041</v>
      </c>
      <c r="W710" s="16">
        <f>IFERROR(__xludf.DUMMYFUNCTION("""COMPUTED_VALUE"""),1.163265306122449)</f>
        <v>1.163265306</v>
      </c>
      <c r="X710" s="16">
        <f>IFERROR(__xludf.DUMMYFUNCTION("""COMPUTED_VALUE"""),2.510204081632653)</f>
        <v>2.510204082</v>
      </c>
      <c r="Y710" s="11">
        <f>IFERROR(__xludf.DUMMYFUNCTION("""COMPUTED_VALUE"""),12.0)</f>
        <v>12</v>
      </c>
      <c r="Z710" s="11">
        <f>IFERROR(__xludf.DUMMYFUNCTION("""COMPUTED_VALUE"""),4.0)</f>
        <v>4</v>
      </c>
      <c r="AA710" s="11">
        <f>IFERROR(__xludf.DUMMYFUNCTION("""COMPUTED_VALUE"""),2.0)</f>
        <v>2</v>
      </c>
      <c r="AB710" s="11">
        <f>IFERROR(__xludf.DUMMYFUNCTION("""COMPUTED_VALUE"""),6.0)</f>
        <v>6</v>
      </c>
      <c r="AC710" s="11">
        <f>IFERROR(__xludf.DUMMYFUNCTION("""COMPUTED_VALUE"""),70.0)</f>
        <v>70</v>
      </c>
      <c r="AD710" s="11">
        <f>IFERROR(__xludf.DUMMYFUNCTION("""COMPUTED_VALUE"""),62.0)</f>
        <v>62</v>
      </c>
    </row>
    <row r="711">
      <c r="A711" s="10" t="str">
        <f>IFERROR(__xludf.DUMMYFUNCTION("""COMPUTED_VALUE"""),"Veteran")</f>
        <v>Veteran</v>
      </c>
      <c r="B711" s="10" t="str">
        <f>IFERROR(__xludf.DUMMYFUNCTION("""COMPUTED_VALUE"""),"RSC000550")</f>
        <v>RSC000550</v>
      </c>
      <c r="C711" s="10" t="str">
        <f>IFERROR(__xludf.DUMMYFUNCTION("""COMPUTED_VALUE"""),"ARJ")</f>
        <v>ARJ</v>
      </c>
      <c r="D711" s="36" t="str">
        <f>IFERROR(__xludf.DUMMYFUNCTION("""COMPUTED_VALUE"""),"Giraffes")</f>
        <v>Giraffes</v>
      </c>
      <c r="E711" s="10" t="str">
        <f>IFERROR(__xludf.DUMMYFUNCTION("""COMPUTED_VALUE"""),"Lunar")</f>
        <v>Lunar</v>
      </c>
      <c r="F711" s="37">
        <f>IFERROR(__xludf.DUMMYFUNCTION("""COMPUTED_VALUE"""),61.15678335110965)</f>
        <v>61.15678335</v>
      </c>
      <c r="G711" s="38">
        <f>IFERROR(__xludf.DUMMYFUNCTION("""COMPUTED_VALUE"""),71.85763205983405)</f>
        <v>71.85763206</v>
      </c>
      <c r="H711" s="38">
        <f>IFERROR(__xludf.DUMMYFUNCTION("""COMPUTED_VALUE"""),66.50720770547184)</f>
        <v>66.50720771</v>
      </c>
      <c r="I711" s="14">
        <f>IFERROR(__xludf.DUMMYFUNCTION("""COMPUTED_VALUE"""),35.0)</f>
        <v>35</v>
      </c>
      <c r="J711" s="11">
        <f>IFERROR(__xludf.DUMMYFUNCTION("IFERROR(FILTER(Stats!$F:$Z,(Stats!$A:$A=$A711)*(Stats!$B:$B=$B711)))"),18.0)</f>
        <v>18</v>
      </c>
      <c r="K711" s="11">
        <f>IFERROR(__xludf.DUMMYFUNCTION("""COMPUTED_VALUE"""),17.0)</f>
        <v>17</v>
      </c>
      <c r="L711" s="12">
        <f>IFERROR(__xludf.DUMMYFUNCTION("""COMPUTED_VALUE"""),0.5142857142857142)</f>
        <v>0.5142857143</v>
      </c>
      <c r="M711" s="11">
        <f>IFERROR(__xludf.DUMMYFUNCTION("""COMPUTED_VALUE"""),5.0)</f>
        <v>5</v>
      </c>
      <c r="N711" s="11">
        <f>IFERROR(__xludf.DUMMYFUNCTION("""COMPUTED_VALUE"""),12486.0)</f>
        <v>12486</v>
      </c>
      <c r="O711" s="13">
        <f>IFERROR(__xludf.DUMMYFUNCTION("""COMPUTED_VALUE"""),35.0)</f>
        <v>35</v>
      </c>
      <c r="P711" s="14">
        <f>IFERROR(__xludf.DUMMYFUNCTION("""COMPUTED_VALUE"""),25.0)</f>
        <v>25</v>
      </c>
      <c r="Q711" s="13">
        <f>IFERROR(__xludf.DUMMYFUNCTION("""COMPUTED_VALUE"""),39.0)</f>
        <v>39</v>
      </c>
      <c r="R711" s="13">
        <f>IFERROR(__xludf.DUMMYFUNCTION("""COMPUTED_VALUE"""),96.0)</f>
        <v>96</v>
      </c>
      <c r="S711" s="15">
        <f>IFERROR(__xludf.DUMMYFUNCTION("""COMPUTED_VALUE"""),0.3645833333333333)</f>
        <v>0.3645833333</v>
      </c>
      <c r="T711" s="16">
        <f>IFERROR(__xludf.DUMMYFUNCTION("""COMPUTED_VALUE"""),356.74285714285713)</f>
        <v>356.7428571</v>
      </c>
      <c r="U711" s="16">
        <f>IFERROR(__xludf.DUMMYFUNCTION("""COMPUTED_VALUE"""),1.0)</f>
        <v>1</v>
      </c>
      <c r="V711" s="16">
        <f>IFERROR(__xludf.DUMMYFUNCTION("""COMPUTED_VALUE"""),0.7142857142857143)</f>
        <v>0.7142857143</v>
      </c>
      <c r="W711" s="16">
        <f>IFERROR(__xludf.DUMMYFUNCTION("""COMPUTED_VALUE"""),1.1142857142857143)</f>
        <v>1.114285714</v>
      </c>
      <c r="X711" s="16">
        <f>IFERROR(__xludf.DUMMYFUNCTION("""COMPUTED_VALUE"""),2.742857142857143)</f>
        <v>2.742857143</v>
      </c>
      <c r="Y711" s="11">
        <f>IFERROR(__xludf.DUMMYFUNCTION("""COMPUTED_VALUE"""),8.0)</f>
        <v>8</v>
      </c>
      <c r="Z711" s="11">
        <f>IFERROR(__xludf.DUMMYFUNCTION("""COMPUTED_VALUE"""),3.0)</f>
        <v>3</v>
      </c>
      <c r="AA711" s="11">
        <f>IFERROR(__xludf.DUMMYFUNCTION("""COMPUTED_VALUE"""),1.0)</f>
        <v>1</v>
      </c>
      <c r="AB711" s="11">
        <f>IFERROR(__xludf.DUMMYFUNCTION("""COMPUTED_VALUE"""),4.0)</f>
        <v>4</v>
      </c>
      <c r="AC711" s="11">
        <f>IFERROR(__xludf.DUMMYFUNCTION("""COMPUTED_VALUE"""),25.0)</f>
        <v>25</v>
      </c>
      <c r="AD711" s="11">
        <f>IFERROR(__xludf.DUMMYFUNCTION("""COMPUTED_VALUE"""),34.0)</f>
        <v>34</v>
      </c>
    </row>
    <row r="712">
      <c r="A712" s="10" t="str">
        <f>IFERROR(__xludf.DUMMYFUNCTION("""COMPUTED_VALUE"""),"Veteran")</f>
        <v>Veteran</v>
      </c>
      <c r="B712" s="10" t="str">
        <f>IFERROR(__xludf.DUMMYFUNCTION("""COMPUTED_VALUE"""),"RSC008170")</f>
        <v>RSC008170</v>
      </c>
      <c r="C712" s="10" t="str">
        <f>IFERROR(__xludf.DUMMYFUNCTION("""COMPUTED_VALUE"""),"Hypernova")</f>
        <v>Hypernova</v>
      </c>
      <c r="D712" s="36" t="str">
        <f>IFERROR(__xludf.DUMMYFUNCTION("""COMPUTED_VALUE"""),"Nighthawks")</f>
        <v>Nighthawks</v>
      </c>
      <c r="E712" s="10" t="str">
        <f>IFERROR(__xludf.DUMMYFUNCTION("""COMPUTED_VALUE"""),"Lunar")</f>
        <v>Lunar</v>
      </c>
      <c r="F712" s="37">
        <f>IFERROR(__xludf.DUMMYFUNCTION("""COMPUTED_VALUE"""),61.840695386672905)</f>
        <v>61.84069539</v>
      </c>
      <c r="G712" s="38">
        <f>IFERROR(__xludf.DUMMYFUNCTION("""COMPUTED_VALUE"""),70.20055478244751)</f>
        <v>70.20055478</v>
      </c>
      <c r="H712" s="38">
        <f>IFERROR(__xludf.DUMMYFUNCTION("""COMPUTED_VALUE"""),66.02062508456021)</f>
        <v>66.02062508</v>
      </c>
      <c r="I712" s="14">
        <f>IFERROR(__xludf.DUMMYFUNCTION("""COMPUTED_VALUE"""),41.0)</f>
        <v>41</v>
      </c>
      <c r="J712" s="11">
        <f>IFERROR(__xludf.DUMMYFUNCTION("IFERROR(FILTER(Stats!$F:$Z,(Stats!$A:$A=$A712)*(Stats!$B:$B=$B712)))"),24.0)</f>
        <v>24</v>
      </c>
      <c r="K712" s="11">
        <f>IFERROR(__xludf.DUMMYFUNCTION("""COMPUTED_VALUE"""),17.0)</f>
        <v>17</v>
      </c>
      <c r="L712" s="12">
        <f>IFERROR(__xludf.DUMMYFUNCTION("""COMPUTED_VALUE"""),0.5853658536585366)</f>
        <v>0.5853658537</v>
      </c>
      <c r="M712" s="11">
        <f>IFERROR(__xludf.DUMMYFUNCTION("""COMPUTED_VALUE"""),10.0)</f>
        <v>10</v>
      </c>
      <c r="N712" s="11">
        <f>IFERROR(__xludf.DUMMYFUNCTION("""COMPUTED_VALUE"""),14772.0)</f>
        <v>14772</v>
      </c>
      <c r="O712" s="13">
        <f>IFERROR(__xludf.DUMMYFUNCTION("""COMPUTED_VALUE"""),35.0)</f>
        <v>35</v>
      </c>
      <c r="P712" s="14">
        <f>IFERROR(__xludf.DUMMYFUNCTION("""COMPUTED_VALUE"""),33.0)</f>
        <v>33</v>
      </c>
      <c r="Q712" s="13">
        <f>IFERROR(__xludf.DUMMYFUNCTION("""COMPUTED_VALUE"""),53.0)</f>
        <v>53</v>
      </c>
      <c r="R712" s="13">
        <f>IFERROR(__xludf.DUMMYFUNCTION("""COMPUTED_VALUE"""),100.0)</f>
        <v>100</v>
      </c>
      <c r="S712" s="15">
        <f>IFERROR(__xludf.DUMMYFUNCTION("""COMPUTED_VALUE"""),0.35)</f>
        <v>0.35</v>
      </c>
      <c r="T712" s="16">
        <f>IFERROR(__xludf.DUMMYFUNCTION("""COMPUTED_VALUE"""),360.2926829268293)</f>
        <v>360.2926829</v>
      </c>
      <c r="U712" s="16">
        <f>IFERROR(__xludf.DUMMYFUNCTION("""COMPUTED_VALUE"""),0.8536585365853658)</f>
        <v>0.8536585366</v>
      </c>
      <c r="V712" s="16">
        <f>IFERROR(__xludf.DUMMYFUNCTION("""COMPUTED_VALUE"""),0.8048780487804879)</f>
        <v>0.8048780488</v>
      </c>
      <c r="W712" s="16">
        <f>IFERROR(__xludf.DUMMYFUNCTION("""COMPUTED_VALUE"""),1.2926829268292683)</f>
        <v>1.292682927</v>
      </c>
      <c r="X712" s="16">
        <f>IFERROR(__xludf.DUMMYFUNCTION("""COMPUTED_VALUE"""),2.4390243902439024)</f>
        <v>2.43902439</v>
      </c>
      <c r="Y712" s="11">
        <f>IFERROR(__xludf.DUMMYFUNCTION("""COMPUTED_VALUE"""),13.0)</f>
        <v>13</v>
      </c>
      <c r="Z712" s="11">
        <f>IFERROR(__xludf.DUMMYFUNCTION("""COMPUTED_VALUE"""),2.0)</f>
        <v>2</v>
      </c>
      <c r="AA712" s="11">
        <f>IFERROR(__xludf.DUMMYFUNCTION("""COMPUTED_VALUE"""),1.0)</f>
        <v>1</v>
      </c>
      <c r="AB712" s="11">
        <f>IFERROR(__xludf.DUMMYFUNCTION("""COMPUTED_VALUE"""),3.0)</f>
        <v>3</v>
      </c>
      <c r="AC712" s="11">
        <f>IFERROR(__xludf.DUMMYFUNCTION("""COMPUTED_VALUE"""),67.0)</f>
        <v>67</v>
      </c>
      <c r="AD712" s="11">
        <f>IFERROR(__xludf.DUMMYFUNCTION("""COMPUTED_VALUE"""),30.0)</f>
        <v>30</v>
      </c>
    </row>
    <row r="713">
      <c r="A713" s="10" t="str">
        <f>IFERROR(__xludf.DUMMYFUNCTION("""COMPUTED_VALUE"""),"Veteran")</f>
        <v>Veteran</v>
      </c>
      <c r="B713" s="10" t="str">
        <f>IFERROR(__xludf.DUMMYFUNCTION("""COMPUTED_VALUE"""),"RSC005577")</f>
        <v>RSC005577</v>
      </c>
      <c r="C713" s="10" t="str">
        <f>IFERROR(__xludf.DUMMYFUNCTION("""COMPUTED_VALUE"""),"Ryan.")</f>
        <v>Ryan.</v>
      </c>
      <c r="D713" s="36" t="str">
        <f>IFERROR(__xludf.DUMMYFUNCTION("""COMPUTED_VALUE"""),"Navigators
Lycans")</f>
        <v>Navigators
Lycans</v>
      </c>
      <c r="E713" s="10" t="str">
        <f>IFERROR(__xludf.DUMMYFUNCTION("""COMPUTED_VALUE"""),"Solar
Solar")</f>
        <v>Solar
Solar</v>
      </c>
      <c r="F713" s="37">
        <f>IFERROR(__xludf.DUMMYFUNCTION("""COMPUTED_VALUE"""),68.14358216627168)</f>
        <v>68.14358217</v>
      </c>
      <c r="G713" s="38">
        <f>IFERROR(__xludf.DUMMYFUNCTION("""COMPUTED_VALUE"""),63.7702876982092)</f>
        <v>63.7702877</v>
      </c>
      <c r="H713" s="38">
        <f>IFERROR(__xludf.DUMMYFUNCTION("""COMPUTED_VALUE"""),65.95693493224044)</f>
        <v>65.95693493</v>
      </c>
      <c r="I713" s="14">
        <f>IFERROR(__xludf.DUMMYFUNCTION("""COMPUTED_VALUE"""),37.0)</f>
        <v>37</v>
      </c>
      <c r="J713" s="11">
        <f>IFERROR(__xludf.DUMMYFUNCTION("IFERROR(FILTER(Stats!$F:$Z,(Stats!$A:$A=$A713)*(Stats!$B:$B=$B713)))"),20.0)</f>
        <v>20</v>
      </c>
      <c r="K713" s="11">
        <f>IFERROR(__xludf.DUMMYFUNCTION("""COMPUTED_VALUE"""),17.0)</f>
        <v>17</v>
      </c>
      <c r="L713" s="12">
        <f>IFERROR(__xludf.DUMMYFUNCTION("""COMPUTED_VALUE"""),0.5405405405405406)</f>
        <v>0.5405405405</v>
      </c>
      <c r="M713" s="11">
        <f>IFERROR(__xludf.DUMMYFUNCTION("""COMPUTED_VALUE"""),6.0)</f>
        <v>6</v>
      </c>
      <c r="N713" s="11">
        <f>IFERROR(__xludf.DUMMYFUNCTION("""COMPUTED_VALUE"""),14368.0)</f>
        <v>14368</v>
      </c>
      <c r="O713" s="13">
        <f>IFERROR(__xludf.DUMMYFUNCTION("""COMPUTED_VALUE"""),31.0)</f>
        <v>31</v>
      </c>
      <c r="P713" s="14">
        <f>IFERROR(__xludf.DUMMYFUNCTION("""COMPUTED_VALUE"""),18.0)</f>
        <v>18</v>
      </c>
      <c r="Q713" s="13">
        <f>IFERROR(__xludf.DUMMYFUNCTION("""COMPUTED_VALUE"""),63.0)</f>
        <v>63</v>
      </c>
      <c r="R713" s="13">
        <f>IFERROR(__xludf.DUMMYFUNCTION("""COMPUTED_VALUE"""),109.0)</f>
        <v>109</v>
      </c>
      <c r="S713" s="15">
        <f>IFERROR(__xludf.DUMMYFUNCTION("""COMPUTED_VALUE"""),0.28440366972477066)</f>
        <v>0.2844036697</v>
      </c>
      <c r="T713" s="16">
        <f>IFERROR(__xludf.DUMMYFUNCTION("""COMPUTED_VALUE"""),388.3243243243243)</f>
        <v>388.3243243</v>
      </c>
      <c r="U713" s="16">
        <f>IFERROR(__xludf.DUMMYFUNCTION("""COMPUTED_VALUE"""),0.8378378378378378)</f>
        <v>0.8378378378</v>
      </c>
      <c r="V713" s="16">
        <f>IFERROR(__xludf.DUMMYFUNCTION("""COMPUTED_VALUE"""),0.4864864864864865)</f>
        <v>0.4864864865</v>
      </c>
      <c r="W713" s="16">
        <f>IFERROR(__xludf.DUMMYFUNCTION("""COMPUTED_VALUE"""),1.7027027027027026)</f>
        <v>1.702702703</v>
      </c>
      <c r="X713" s="16">
        <f>IFERROR(__xludf.DUMMYFUNCTION("""COMPUTED_VALUE"""),2.945945945945946)</f>
        <v>2.945945946</v>
      </c>
      <c r="Y713" s="11">
        <f>IFERROR(__xludf.DUMMYFUNCTION("""COMPUTED_VALUE"""),6.0)</f>
        <v>6</v>
      </c>
      <c r="Z713" s="11">
        <f>IFERROR(__xludf.DUMMYFUNCTION("""COMPUTED_VALUE"""),2.0)</f>
        <v>2</v>
      </c>
      <c r="AA713" s="11">
        <f>IFERROR(__xludf.DUMMYFUNCTION("""COMPUTED_VALUE"""),0.0)</f>
        <v>0</v>
      </c>
      <c r="AB713" s="11">
        <f>IFERROR(__xludf.DUMMYFUNCTION("""COMPUTED_VALUE"""),8.0)</f>
        <v>8</v>
      </c>
      <c r="AC713" s="11">
        <f>IFERROR(__xludf.DUMMYFUNCTION("""COMPUTED_VALUE"""),18.0)</f>
        <v>18</v>
      </c>
      <c r="AD713" s="11">
        <f>IFERROR(__xludf.DUMMYFUNCTION("""COMPUTED_VALUE"""),54.0)</f>
        <v>54</v>
      </c>
    </row>
    <row r="714">
      <c r="A714" s="10" t="str">
        <f>IFERROR(__xludf.DUMMYFUNCTION("""COMPUTED_VALUE"""),"Veteran")</f>
        <v>Veteran</v>
      </c>
      <c r="B714" s="10" t="str">
        <f>IFERROR(__xludf.DUMMYFUNCTION("""COMPUTED_VALUE"""),"RSC002330")</f>
        <v>RSC002330</v>
      </c>
      <c r="C714" s="10" t="str">
        <f>IFERROR(__xludf.DUMMYFUNCTION("""COMPUTED_VALUE"""),"JesterGG")</f>
        <v>JesterGG</v>
      </c>
      <c r="D714" s="36" t="str">
        <f>IFERROR(__xludf.DUMMYFUNCTION("""COMPUTED_VALUE"""),"Grizzly Bears")</f>
        <v>Grizzly Bears</v>
      </c>
      <c r="E714" s="10" t="str">
        <f>IFERROR(__xludf.DUMMYFUNCTION("""COMPUTED_VALUE"""),"Solar")</f>
        <v>Solar</v>
      </c>
      <c r="F714" s="37">
        <f>IFERROR(__xludf.DUMMYFUNCTION("""COMPUTED_VALUE"""),69.34900672075209)</f>
        <v>69.34900672</v>
      </c>
      <c r="G714" s="38">
        <f>IFERROR(__xludf.DUMMYFUNCTION("""COMPUTED_VALUE"""),61.550357022029786)</f>
        <v>61.55035702</v>
      </c>
      <c r="H714" s="38">
        <f>IFERROR(__xludf.DUMMYFUNCTION("""COMPUTED_VALUE"""),65.44968187139094)</f>
        <v>65.44968187</v>
      </c>
      <c r="I714" s="14">
        <f>IFERROR(__xludf.DUMMYFUNCTION("""COMPUTED_VALUE"""),35.0)</f>
        <v>35</v>
      </c>
      <c r="J714" s="11">
        <f>IFERROR(__xludf.DUMMYFUNCTION("IFERROR(FILTER(Stats!$F:$Z,(Stats!$A:$A=$A714)*(Stats!$B:$B=$B714)))"),21.0)</f>
        <v>21</v>
      </c>
      <c r="K714" s="11">
        <f>IFERROR(__xludf.DUMMYFUNCTION("""COMPUTED_VALUE"""),14.0)</f>
        <v>14</v>
      </c>
      <c r="L714" s="12">
        <f>IFERROR(__xludf.DUMMYFUNCTION("""COMPUTED_VALUE"""),0.6)</f>
        <v>0.6</v>
      </c>
      <c r="M714" s="11">
        <f>IFERROR(__xludf.DUMMYFUNCTION("""COMPUTED_VALUE"""),5.0)</f>
        <v>5</v>
      </c>
      <c r="N714" s="11">
        <f>IFERROR(__xludf.DUMMYFUNCTION("""COMPUTED_VALUE"""),13288.0)</f>
        <v>13288</v>
      </c>
      <c r="O714" s="13">
        <f>IFERROR(__xludf.DUMMYFUNCTION("""COMPUTED_VALUE"""),33.0)</f>
        <v>33</v>
      </c>
      <c r="P714" s="14">
        <f>IFERROR(__xludf.DUMMYFUNCTION("""COMPUTED_VALUE"""),15.0)</f>
        <v>15</v>
      </c>
      <c r="Q714" s="13">
        <f>IFERROR(__xludf.DUMMYFUNCTION("""COMPUTED_VALUE"""),50.0)</f>
        <v>50</v>
      </c>
      <c r="R714" s="13">
        <f>IFERROR(__xludf.DUMMYFUNCTION("""COMPUTED_VALUE"""),94.0)</f>
        <v>94</v>
      </c>
      <c r="S714" s="15">
        <f>IFERROR(__xludf.DUMMYFUNCTION("""COMPUTED_VALUE"""),0.35106382978723405)</f>
        <v>0.3510638298</v>
      </c>
      <c r="T714" s="16">
        <f>IFERROR(__xludf.DUMMYFUNCTION("""COMPUTED_VALUE"""),379.65714285714284)</f>
        <v>379.6571429</v>
      </c>
      <c r="U714" s="16">
        <f>IFERROR(__xludf.DUMMYFUNCTION("""COMPUTED_VALUE"""),0.9428571428571428)</f>
        <v>0.9428571429</v>
      </c>
      <c r="V714" s="16">
        <f>IFERROR(__xludf.DUMMYFUNCTION("""COMPUTED_VALUE"""),0.42857142857142855)</f>
        <v>0.4285714286</v>
      </c>
      <c r="W714" s="16">
        <f>IFERROR(__xludf.DUMMYFUNCTION("""COMPUTED_VALUE"""),1.4285714285714286)</f>
        <v>1.428571429</v>
      </c>
      <c r="X714" s="16">
        <f>IFERROR(__xludf.DUMMYFUNCTION("""COMPUTED_VALUE"""),2.6857142857142855)</f>
        <v>2.685714286</v>
      </c>
      <c r="Y714" s="11">
        <f>IFERROR(__xludf.DUMMYFUNCTION("""COMPUTED_VALUE"""),5.0)</f>
        <v>5</v>
      </c>
      <c r="Z714" s="11">
        <f>IFERROR(__xludf.DUMMYFUNCTION("""COMPUTED_VALUE"""),1.0)</f>
        <v>1</v>
      </c>
      <c r="AA714" s="11">
        <f>IFERROR(__xludf.DUMMYFUNCTION("""COMPUTED_VALUE"""),0.0)</f>
        <v>0</v>
      </c>
      <c r="AB714" s="11">
        <f>IFERROR(__xludf.DUMMYFUNCTION("""COMPUTED_VALUE"""),5.0)</f>
        <v>5</v>
      </c>
      <c r="AC714" s="11">
        <f>IFERROR(__xludf.DUMMYFUNCTION("""COMPUTED_VALUE"""),44.0)</f>
        <v>44</v>
      </c>
      <c r="AD714" s="11">
        <f>IFERROR(__xludf.DUMMYFUNCTION("""COMPUTED_VALUE"""),38.0)</f>
        <v>38</v>
      </c>
    </row>
    <row r="715">
      <c r="A715" s="10" t="str">
        <f>IFERROR(__xludf.DUMMYFUNCTION("""COMPUTED_VALUE"""),"Veteran")</f>
        <v>Veteran</v>
      </c>
      <c r="B715" s="10" t="str">
        <f>IFERROR(__xludf.DUMMYFUNCTION("""COMPUTED_VALUE"""),"RSC008384")</f>
        <v>RSC008384</v>
      </c>
      <c r="C715" s="10" t="str">
        <f>IFERROR(__xludf.DUMMYFUNCTION("""COMPUTED_VALUE"""),"NotLuke9")</f>
        <v>NotLuke9</v>
      </c>
      <c r="D715" s="36" t="str">
        <f>IFERROR(__xludf.DUMMYFUNCTION("""COMPUTED_VALUE"""),"Mages")</f>
        <v>Mages</v>
      </c>
      <c r="E715" s="10" t="str">
        <f>IFERROR(__xludf.DUMMYFUNCTION("""COMPUTED_VALUE"""),"Lunar")</f>
        <v>Lunar</v>
      </c>
      <c r="F715" s="37">
        <f>IFERROR(__xludf.DUMMYFUNCTION("""COMPUTED_VALUE"""),56.88727038526756)</f>
        <v>56.88727039</v>
      </c>
      <c r="G715" s="38">
        <f>IFERROR(__xludf.DUMMYFUNCTION("""COMPUTED_VALUE"""),71.57861916815727)</f>
        <v>71.57861917</v>
      </c>
      <c r="H715" s="38">
        <f>IFERROR(__xludf.DUMMYFUNCTION("""COMPUTED_VALUE"""),64.23294477671242)</f>
        <v>64.23294478</v>
      </c>
      <c r="I715" s="14">
        <f>IFERROR(__xludf.DUMMYFUNCTION("""COMPUTED_VALUE"""),44.0)</f>
        <v>44</v>
      </c>
      <c r="J715" s="11">
        <f>IFERROR(__xludf.DUMMYFUNCTION("IFERROR(FILTER(Stats!$F:$Z,(Stats!$A:$A=$A715)*(Stats!$B:$B=$B715)))"),23.0)</f>
        <v>23</v>
      </c>
      <c r="K715" s="11">
        <f>IFERROR(__xludf.DUMMYFUNCTION("""COMPUTED_VALUE"""),21.0)</f>
        <v>21</v>
      </c>
      <c r="L715" s="12">
        <f>IFERROR(__xludf.DUMMYFUNCTION("""COMPUTED_VALUE"""),0.5227272727272727)</f>
        <v>0.5227272727</v>
      </c>
      <c r="M715" s="11">
        <f>IFERROR(__xludf.DUMMYFUNCTION("""COMPUTED_VALUE"""),6.0)</f>
        <v>6</v>
      </c>
      <c r="N715" s="11">
        <f>IFERROR(__xludf.DUMMYFUNCTION("""COMPUTED_VALUE"""),16464.0)</f>
        <v>16464</v>
      </c>
      <c r="O715" s="13">
        <f>IFERROR(__xludf.DUMMYFUNCTION("""COMPUTED_VALUE"""),41.0)</f>
        <v>41</v>
      </c>
      <c r="P715" s="14">
        <f>IFERROR(__xludf.DUMMYFUNCTION("""COMPUTED_VALUE"""),31.0)</f>
        <v>31</v>
      </c>
      <c r="Q715" s="13">
        <f>IFERROR(__xludf.DUMMYFUNCTION("""COMPUTED_VALUE"""),58.0)</f>
        <v>58</v>
      </c>
      <c r="R715" s="13">
        <f>IFERROR(__xludf.DUMMYFUNCTION("""COMPUTED_VALUE"""),128.0)</f>
        <v>128</v>
      </c>
      <c r="S715" s="15">
        <f>IFERROR(__xludf.DUMMYFUNCTION("""COMPUTED_VALUE"""),0.3203125)</f>
        <v>0.3203125</v>
      </c>
      <c r="T715" s="16">
        <f>IFERROR(__xludf.DUMMYFUNCTION("""COMPUTED_VALUE"""),374.1818181818182)</f>
        <v>374.1818182</v>
      </c>
      <c r="U715" s="16">
        <f>IFERROR(__xludf.DUMMYFUNCTION("""COMPUTED_VALUE"""),0.9318181818181818)</f>
        <v>0.9318181818</v>
      </c>
      <c r="V715" s="16">
        <f>IFERROR(__xludf.DUMMYFUNCTION("""COMPUTED_VALUE"""),0.7045454545454546)</f>
        <v>0.7045454545</v>
      </c>
      <c r="W715" s="16">
        <f>IFERROR(__xludf.DUMMYFUNCTION("""COMPUTED_VALUE"""),1.3181818181818181)</f>
        <v>1.318181818</v>
      </c>
      <c r="X715" s="16">
        <f>IFERROR(__xludf.DUMMYFUNCTION("""COMPUTED_VALUE"""),2.909090909090909)</f>
        <v>2.909090909</v>
      </c>
      <c r="Y715" s="11">
        <f>IFERROR(__xludf.DUMMYFUNCTION("""COMPUTED_VALUE"""),14.0)</f>
        <v>14</v>
      </c>
      <c r="Z715" s="11">
        <f>IFERROR(__xludf.DUMMYFUNCTION("""COMPUTED_VALUE"""),4.0)</f>
        <v>4</v>
      </c>
      <c r="AA715" s="11">
        <f>IFERROR(__xludf.DUMMYFUNCTION("""COMPUTED_VALUE"""),0.0)</f>
        <v>0</v>
      </c>
      <c r="AB715" s="11">
        <f>IFERROR(__xludf.DUMMYFUNCTION("""COMPUTED_VALUE"""),6.0)</f>
        <v>6</v>
      </c>
      <c r="AC715" s="11">
        <f>IFERROR(__xludf.DUMMYFUNCTION("""COMPUTED_VALUE"""),24.0)</f>
        <v>24</v>
      </c>
      <c r="AD715" s="11">
        <f>IFERROR(__xludf.DUMMYFUNCTION("""COMPUTED_VALUE"""),34.0)</f>
        <v>34</v>
      </c>
    </row>
    <row r="716">
      <c r="A716" s="10" t="str">
        <f>IFERROR(__xludf.DUMMYFUNCTION("""COMPUTED_VALUE"""),"Veteran")</f>
        <v>Veteran</v>
      </c>
      <c r="B716" s="10" t="str">
        <f>IFERROR(__xludf.DUMMYFUNCTION("""COMPUTED_VALUE"""),"RSC005934")</f>
        <v>RSC005934</v>
      </c>
      <c r="C716" s="10" t="str">
        <f>IFERROR(__xludf.DUMMYFUNCTION("""COMPUTED_VALUE"""),"TheodoreThe2")</f>
        <v>TheodoreThe2</v>
      </c>
      <c r="D716" s="36" t="str">
        <f>IFERROR(__xludf.DUMMYFUNCTION("""COMPUTED_VALUE"""),"Shadow Tails
White Collars")</f>
        <v>Shadow Tails
White Collars</v>
      </c>
      <c r="E716" s="10" t="str">
        <f>IFERROR(__xludf.DUMMYFUNCTION("""COMPUTED_VALUE"""),"Solar
Lunar")</f>
        <v>Solar
Lunar</v>
      </c>
      <c r="F716" s="37">
        <f>IFERROR(__xludf.DUMMYFUNCTION("""COMPUTED_VALUE"""),66.45068241798755)</f>
        <v>66.45068242</v>
      </c>
      <c r="G716" s="38">
        <f>IFERROR(__xludf.DUMMYFUNCTION("""COMPUTED_VALUE"""),61.117772619233506)</f>
        <v>61.11777262</v>
      </c>
      <c r="H716" s="38">
        <f>IFERROR(__xludf.DUMMYFUNCTION("""COMPUTED_VALUE"""),63.78422751861053)</f>
        <v>63.78422752</v>
      </c>
      <c r="I716" s="14">
        <f>IFERROR(__xludf.DUMMYFUNCTION("""COMPUTED_VALUE"""),15.0)</f>
        <v>15</v>
      </c>
      <c r="J716" s="11">
        <f>IFERROR(__xludf.DUMMYFUNCTION("IFERROR(FILTER(Stats!$F:$Z,(Stats!$A:$A=$A716)*(Stats!$B:$B=$B716)))"),9.0)</f>
        <v>9</v>
      </c>
      <c r="K716" s="11">
        <f>IFERROR(__xludf.DUMMYFUNCTION("""COMPUTED_VALUE"""),6.0)</f>
        <v>6</v>
      </c>
      <c r="L716" s="12">
        <f>IFERROR(__xludf.DUMMYFUNCTION("""COMPUTED_VALUE"""),0.6)</f>
        <v>0.6</v>
      </c>
      <c r="M716" s="11">
        <f>IFERROR(__xludf.DUMMYFUNCTION("""COMPUTED_VALUE"""),4.0)</f>
        <v>4</v>
      </c>
      <c r="N716" s="11">
        <f>IFERROR(__xludf.DUMMYFUNCTION("""COMPUTED_VALUE"""),5860.0)</f>
        <v>5860</v>
      </c>
      <c r="O716" s="13">
        <f>IFERROR(__xludf.DUMMYFUNCTION("""COMPUTED_VALUE"""),13.0)</f>
        <v>13</v>
      </c>
      <c r="P716" s="14">
        <f>IFERROR(__xludf.DUMMYFUNCTION("""COMPUTED_VALUE"""),9.0)</f>
        <v>9</v>
      </c>
      <c r="Q716" s="13">
        <f>IFERROR(__xludf.DUMMYFUNCTION("""COMPUTED_VALUE"""),25.0)</f>
        <v>25</v>
      </c>
      <c r="R716" s="13">
        <f>IFERROR(__xludf.DUMMYFUNCTION("""COMPUTED_VALUE"""),38.0)</f>
        <v>38</v>
      </c>
      <c r="S716" s="15">
        <f>IFERROR(__xludf.DUMMYFUNCTION("""COMPUTED_VALUE"""),0.34210526315789475)</f>
        <v>0.3421052632</v>
      </c>
      <c r="T716" s="16">
        <f>IFERROR(__xludf.DUMMYFUNCTION("""COMPUTED_VALUE"""),390.6666666666667)</f>
        <v>390.6666667</v>
      </c>
      <c r="U716" s="16">
        <f>IFERROR(__xludf.DUMMYFUNCTION("""COMPUTED_VALUE"""),0.8666666666666667)</f>
        <v>0.8666666667</v>
      </c>
      <c r="V716" s="16">
        <f>IFERROR(__xludf.DUMMYFUNCTION("""COMPUTED_VALUE"""),0.6)</f>
        <v>0.6</v>
      </c>
      <c r="W716" s="16">
        <f>IFERROR(__xludf.DUMMYFUNCTION("""COMPUTED_VALUE"""),1.6666666666666667)</f>
        <v>1.666666667</v>
      </c>
      <c r="X716" s="16">
        <f>IFERROR(__xludf.DUMMYFUNCTION("""COMPUTED_VALUE"""),2.533333333333333)</f>
        <v>2.533333333</v>
      </c>
      <c r="Y716" s="11">
        <f>IFERROR(__xludf.DUMMYFUNCTION("""COMPUTED_VALUE"""),2.0)</f>
        <v>2</v>
      </c>
      <c r="Z716" s="11">
        <f>IFERROR(__xludf.DUMMYFUNCTION("""COMPUTED_VALUE"""),1.0)</f>
        <v>1</v>
      </c>
      <c r="AA716" s="11">
        <f>IFERROR(__xludf.DUMMYFUNCTION("""COMPUTED_VALUE"""),0.0)</f>
        <v>0</v>
      </c>
      <c r="AB716" s="11">
        <f>IFERROR(__xludf.DUMMYFUNCTION("""COMPUTED_VALUE"""),5.0)</f>
        <v>5</v>
      </c>
      <c r="AC716" s="11">
        <f>IFERROR(__xludf.DUMMYFUNCTION("""COMPUTED_VALUE"""),9.0)</f>
        <v>9</v>
      </c>
      <c r="AD716" s="11">
        <f>IFERROR(__xludf.DUMMYFUNCTION("""COMPUTED_VALUE"""),14.0)</f>
        <v>14</v>
      </c>
    </row>
    <row r="717">
      <c r="A717" s="10" t="str">
        <f>IFERROR(__xludf.DUMMYFUNCTION("""COMPUTED_VALUE"""),"Veteran")</f>
        <v>Veteran</v>
      </c>
      <c r="B717" s="10" t="str">
        <f>IFERROR(__xludf.DUMMYFUNCTION("""COMPUTED_VALUE"""),"RSC007756")</f>
        <v>RSC007756</v>
      </c>
      <c r="C717" s="10" t="str">
        <f>IFERROR(__xludf.DUMMYFUNCTION("""COMPUTED_VALUE"""),"Taunt")</f>
        <v>Taunt</v>
      </c>
      <c r="D717" s="36" t="str">
        <f>IFERROR(__xludf.DUMMYFUNCTION("""COMPUTED_VALUE"""),"Berserkers")</f>
        <v>Berserkers</v>
      </c>
      <c r="E717" s="10" t="str">
        <f>IFERROR(__xludf.DUMMYFUNCTION("""COMPUTED_VALUE"""),"Lunar")</f>
        <v>Lunar</v>
      </c>
      <c r="F717" s="37">
        <f>IFERROR(__xludf.DUMMYFUNCTION("""COMPUTED_VALUE"""),60.361983238941804)</f>
        <v>60.36198324</v>
      </c>
      <c r="G717" s="38">
        <f>IFERROR(__xludf.DUMMYFUNCTION("""COMPUTED_VALUE"""),66.3333001315894)</f>
        <v>66.33330013</v>
      </c>
      <c r="H717" s="38">
        <f>IFERROR(__xludf.DUMMYFUNCTION("""COMPUTED_VALUE"""),63.3476416852656)</f>
        <v>63.34764169</v>
      </c>
      <c r="I717" s="14">
        <f>IFERROR(__xludf.DUMMYFUNCTION("""COMPUTED_VALUE"""),40.0)</f>
        <v>40</v>
      </c>
      <c r="J717" s="11">
        <f>IFERROR(__xludf.DUMMYFUNCTION("IFERROR(FILTER(Stats!$F:$Z,(Stats!$A:$A=$A717)*(Stats!$B:$B=$B717)))"),30.0)</f>
        <v>30</v>
      </c>
      <c r="K717" s="11">
        <f>IFERROR(__xludf.DUMMYFUNCTION("""COMPUTED_VALUE"""),10.0)</f>
        <v>10</v>
      </c>
      <c r="L717" s="12">
        <f>IFERROR(__xludf.DUMMYFUNCTION("""COMPUTED_VALUE"""),0.75)</f>
        <v>0.75</v>
      </c>
      <c r="M717" s="11">
        <f>IFERROR(__xludf.DUMMYFUNCTION("""COMPUTED_VALUE"""),10.0)</f>
        <v>10</v>
      </c>
      <c r="N717" s="11">
        <f>IFERROR(__xludf.DUMMYFUNCTION("""COMPUTED_VALUE"""),15496.0)</f>
        <v>15496</v>
      </c>
      <c r="O717" s="13">
        <f>IFERROR(__xludf.DUMMYFUNCTION("""COMPUTED_VALUE"""),35.0)</f>
        <v>35</v>
      </c>
      <c r="P717" s="14">
        <f>IFERROR(__xludf.DUMMYFUNCTION("""COMPUTED_VALUE"""),22.0)</f>
        <v>22</v>
      </c>
      <c r="Q717" s="13">
        <f>IFERROR(__xludf.DUMMYFUNCTION("""COMPUTED_VALUE"""),62.0)</f>
        <v>62</v>
      </c>
      <c r="R717" s="13">
        <f>IFERROR(__xludf.DUMMYFUNCTION("""COMPUTED_VALUE"""),127.0)</f>
        <v>127</v>
      </c>
      <c r="S717" s="15">
        <f>IFERROR(__xludf.DUMMYFUNCTION("""COMPUTED_VALUE"""),0.2755905511811024)</f>
        <v>0.2755905512</v>
      </c>
      <c r="T717" s="16">
        <f>IFERROR(__xludf.DUMMYFUNCTION("""COMPUTED_VALUE"""),387.4)</f>
        <v>387.4</v>
      </c>
      <c r="U717" s="16">
        <f>IFERROR(__xludf.DUMMYFUNCTION("""COMPUTED_VALUE"""),0.875)</f>
        <v>0.875</v>
      </c>
      <c r="V717" s="16">
        <f>IFERROR(__xludf.DUMMYFUNCTION("""COMPUTED_VALUE"""),0.55)</f>
        <v>0.55</v>
      </c>
      <c r="W717" s="16">
        <f>IFERROR(__xludf.DUMMYFUNCTION("""COMPUTED_VALUE"""),1.55)</f>
        <v>1.55</v>
      </c>
      <c r="X717" s="16">
        <f>IFERROR(__xludf.DUMMYFUNCTION("""COMPUTED_VALUE"""),3.175)</f>
        <v>3.175</v>
      </c>
      <c r="Y717" s="11">
        <f>IFERROR(__xludf.DUMMYFUNCTION("""COMPUTED_VALUE"""),10.0)</f>
        <v>10</v>
      </c>
      <c r="Z717" s="11">
        <f>IFERROR(__xludf.DUMMYFUNCTION("""COMPUTED_VALUE"""),2.0)</f>
        <v>2</v>
      </c>
      <c r="AA717" s="11">
        <f>IFERROR(__xludf.DUMMYFUNCTION("""COMPUTED_VALUE"""),0.0)</f>
        <v>0</v>
      </c>
      <c r="AB717" s="11">
        <f>IFERROR(__xludf.DUMMYFUNCTION("""COMPUTED_VALUE"""),10.0)</f>
        <v>10</v>
      </c>
      <c r="AC717" s="11">
        <f>IFERROR(__xludf.DUMMYFUNCTION("""COMPUTED_VALUE"""),29.0)</f>
        <v>29</v>
      </c>
      <c r="AD717" s="11">
        <f>IFERROR(__xludf.DUMMYFUNCTION("""COMPUTED_VALUE"""),44.0)</f>
        <v>44</v>
      </c>
    </row>
    <row r="718">
      <c r="A718" s="10" t="str">
        <f>IFERROR(__xludf.DUMMYFUNCTION("""COMPUTED_VALUE"""),"Veteran")</f>
        <v>Veteran</v>
      </c>
      <c r="B718" s="10" t="str">
        <f>IFERROR(__xludf.DUMMYFUNCTION("""COMPUTED_VALUE"""),"RSC006320")</f>
        <v>RSC006320</v>
      </c>
      <c r="C718" s="10" t="str">
        <f>IFERROR(__xludf.DUMMYFUNCTION("""COMPUTED_VALUE"""),"Escape_Plan1")</f>
        <v>Escape_Plan1</v>
      </c>
      <c r="D718" s="36" t="str">
        <f>IFERROR(__xludf.DUMMYFUNCTION("""COMPUTED_VALUE"""),"Kirin")</f>
        <v>Kirin</v>
      </c>
      <c r="E718" s="10" t="str">
        <f>IFERROR(__xludf.DUMMYFUNCTION("""COMPUTED_VALUE"""),"Solar")</f>
        <v>Solar</v>
      </c>
      <c r="F718" s="37">
        <f>IFERROR(__xludf.DUMMYFUNCTION("""COMPUTED_VALUE"""),63.99471495990902)</f>
        <v>63.99471496</v>
      </c>
      <c r="G718" s="38">
        <f>IFERROR(__xludf.DUMMYFUNCTION("""COMPUTED_VALUE"""),60.14207752288179)</f>
        <v>60.14207752</v>
      </c>
      <c r="H718" s="38">
        <f>IFERROR(__xludf.DUMMYFUNCTION("""COMPUTED_VALUE"""),62.068396241395405)</f>
        <v>62.06839624</v>
      </c>
      <c r="I718" s="14">
        <f>IFERROR(__xludf.DUMMYFUNCTION("""COMPUTED_VALUE"""),46.0)</f>
        <v>46</v>
      </c>
      <c r="J718" s="11">
        <f>IFERROR(__xludf.DUMMYFUNCTION("IFERROR(FILTER(Stats!$F:$Z,(Stats!$A:$A=$A718)*(Stats!$B:$B=$B718)))"),25.0)</f>
        <v>25</v>
      </c>
      <c r="K718" s="11">
        <f>IFERROR(__xludf.DUMMYFUNCTION("""COMPUTED_VALUE"""),21.0)</f>
        <v>21</v>
      </c>
      <c r="L718" s="12">
        <f>IFERROR(__xludf.DUMMYFUNCTION("""COMPUTED_VALUE"""),0.5434782608695652)</f>
        <v>0.5434782609</v>
      </c>
      <c r="M718" s="11">
        <f>IFERROR(__xludf.DUMMYFUNCTION("""COMPUTED_VALUE"""),13.0)</f>
        <v>13</v>
      </c>
      <c r="N718" s="11">
        <f>IFERROR(__xludf.DUMMYFUNCTION("""COMPUTED_VALUE"""),17786.0)</f>
        <v>17786</v>
      </c>
      <c r="O718" s="13">
        <f>IFERROR(__xludf.DUMMYFUNCTION("""COMPUTED_VALUE"""),43.0)</f>
        <v>43</v>
      </c>
      <c r="P718" s="14">
        <f>IFERROR(__xludf.DUMMYFUNCTION("""COMPUTED_VALUE"""),26.0)</f>
        <v>26</v>
      </c>
      <c r="Q718" s="13">
        <f>IFERROR(__xludf.DUMMYFUNCTION("""COMPUTED_VALUE"""),78.0)</f>
        <v>78</v>
      </c>
      <c r="R718" s="13">
        <f>IFERROR(__xludf.DUMMYFUNCTION("""COMPUTED_VALUE"""),114.0)</f>
        <v>114</v>
      </c>
      <c r="S718" s="15">
        <f>IFERROR(__xludf.DUMMYFUNCTION("""COMPUTED_VALUE"""),0.37719298245614036)</f>
        <v>0.3771929825</v>
      </c>
      <c r="T718" s="16">
        <f>IFERROR(__xludf.DUMMYFUNCTION("""COMPUTED_VALUE"""),386.6521739130435)</f>
        <v>386.6521739</v>
      </c>
      <c r="U718" s="16">
        <f>IFERROR(__xludf.DUMMYFUNCTION("""COMPUTED_VALUE"""),0.9347826086956522)</f>
        <v>0.9347826087</v>
      </c>
      <c r="V718" s="16">
        <f>IFERROR(__xludf.DUMMYFUNCTION("""COMPUTED_VALUE"""),0.5652173913043478)</f>
        <v>0.5652173913</v>
      </c>
      <c r="W718" s="16">
        <f>IFERROR(__xludf.DUMMYFUNCTION("""COMPUTED_VALUE"""),1.6956521739130435)</f>
        <v>1.695652174</v>
      </c>
      <c r="X718" s="16">
        <f>IFERROR(__xludf.DUMMYFUNCTION("""COMPUTED_VALUE"""),2.4782608695652173)</f>
        <v>2.47826087</v>
      </c>
      <c r="Y718" s="11">
        <f>IFERROR(__xludf.DUMMYFUNCTION("""COMPUTED_VALUE"""),13.0)</f>
        <v>13</v>
      </c>
      <c r="Z718" s="11">
        <f>IFERROR(__xludf.DUMMYFUNCTION("""COMPUTED_VALUE"""),5.0)</f>
        <v>5</v>
      </c>
      <c r="AA718" s="11">
        <f>IFERROR(__xludf.DUMMYFUNCTION("""COMPUTED_VALUE"""),0.0)</f>
        <v>0</v>
      </c>
      <c r="AB718" s="11">
        <f>IFERROR(__xludf.DUMMYFUNCTION("""COMPUTED_VALUE"""),10.0)</f>
        <v>10</v>
      </c>
      <c r="AC718" s="11">
        <f>IFERROR(__xludf.DUMMYFUNCTION("""COMPUTED_VALUE"""),37.0)</f>
        <v>37</v>
      </c>
      <c r="AD718" s="11">
        <f>IFERROR(__xludf.DUMMYFUNCTION("""COMPUTED_VALUE"""),54.0)</f>
        <v>54</v>
      </c>
    </row>
    <row r="719">
      <c r="A719" s="10" t="str">
        <f>IFERROR(__xludf.DUMMYFUNCTION("""COMPUTED_VALUE"""),"Veteran")</f>
        <v>Veteran</v>
      </c>
      <c r="B719" s="10" t="str">
        <f>IFERROR(__xludf.DUMMYFUNCTION("""COMPUTED_VALUE"""),"RSC007482")</f>
        <v>RSC007482</v>
      </c>
      <c r="C719" s="10" t="str">
        <f>IFERROR(__xludf.DUMMYFUNCTION("""COMPUTED_VALUE"""),"MyTyranosaur")</f>
        <v>MyTyranosaur</v>
      </c>
      <c r="D719" s="36" t="str">
        <f>IFERROR(__xludf.DUMMYFUNCTION("""COMPUTED_VALUE"""),"Fer-de-Lance")</f>
        <v>Fer-de-Lance</v>
      </c>
      <c r="E719" s="10" t="str">
        <f>IFERROR(__xludf.DUMMYFUNCTION("""COMPUTED_VALUE"""),"Lunar")</f>
        <v>Lunar</v>
      </c>
      <c r="F719" s="37">
        <f>IFERROR(__xludf.DUMMYFUNCTION("""COMPUTED_VALUE"""),60.64684559054932)</f>
        <v>60.64684559</v>
      </c>
      <c r="G719" s="38">
        <f>IFERROR(__xludf.DUMMYFUNCTION("""COMPUTED_VALUE"""),61.7086329531709)</f>
        <v>61.70863295</v>
      </c>
      <c r="H719" s="38">
        <f>IFERROR(__xludf.DUMMYFUNCTION("""COMPUTED_VALUE"""),61.177739271860105)</f>
        <v>61.17773927</v>
      </c>
      <c r="I719" s="14">
        <f>IFERROR(__xludf.DUMMYFUNCTION("""COMPUTED_VALUE"""),37.0)</f>
        <v>37</v>
      </c>
      <c r="J719" s="11">
        <f>IFERROR(__xludf.DUMMYFUNCTION("IFERROR(FILTER(Stats!$F:$Z,(Stats!$A:$A=$A719)*(Stats!$B:$B=$B719)))"),20.0)</f>
        <v>20</v>
      </c>
      <c r="K719" s="11">
        <f>IFERROR(__xludf.DUMMYFUNCTION("""COMPUTED_VALUE"""),17.0)</f>
        <v>17</v>
      </c>
      <c r="L719" s="12">
        <f>IFERROR(__xludf.DUMMYFUNCTION("""COMPUTED_VALUE"""),0.5405405405405406)</f>
        <v>0.5405405405</v>
      </c>
      <c r="M719" s="11">
        <f>IFERROR(__xludf.DUMMYFUNCTION("""COMPUTED_VALUE"""),8.0)</f>
        <v>8</v>
      </c>
      <c r="N719" s="11">
        <f>IFERROR(__xludf.DUMMYFUNCTION("""COMPUTED_VALUE"""),13504.0)</f>
        <v>13504</v>
      </c>
      <c r="O719" s="13">
        <f>IFERROR(__xludf.DUMMYFUNCTION("""COMPUTED_VALUE"""),33.0)</f>
        <v>33</v>
      </c>
      <c r="P719" s="14">
        <f>IFERROR(__xludf.DUMMYFUNCTION("""COMPUTED_VALUE"""),19.0)</f>
        <v>19</v>
      </c>
      <c r="Q719" s="13">
        <f>IFERROR(__xludf.DUMMYFUNCTION("""COMPUTED_VALUE"""),45.0)</f>
        <v>45</v>
      </c>
      <c r="R719" s="13">
        <f>IFERROR(__xludf.DUMMYFUNCTION("""COMPUTED_VALUE"""),114.0)</f>
        <v>114</v>
      </c>
      <c r="S719" s="15">
        <f>IFERROR(__xludf.DUMMYFUNCTION("""COMPUTED_VALUE"""),0.2894736842105263)</f>
        <v>0.2894736842</v>
      </c>
      <c r="T719" s="16">
        <f>IFERROR(__xludf.DUMMYFUNCTION("""COMPUTED_VALUE"""),364.97297297297297)</f>
        <v>364.972973</v>
      </c>
      <c r="U719" s="16">
        <f>IFERROR(__xludf.DUMMYFUNCTION("""COMPUTED_VALUE"""),0.8918918918918919)</f>
        <v>0.8918918919</v>
      </c>
      <c r="V719" s="16">
        <f>IFERROR(__xludf.DUMMYFUNCTION("""COMPUTED_VALUE"""),0.5135135135135135)</f>
        <v>0.5135135135</v>
      </c>
      <c r="W719" s="16">
        <f>IFERROR(__xludf.DUMMYFUNCTION("""COMPUTED_VALUE"""),1.2162162162162162)</f>
        <v>1.216216216</v>
      </c>
      <c r="X719" s="16">
        <f>IFERROR(__xludf.DUMMYFUNCTION("""COMPUTED_VALUE"""),3.081081081081081)</f>
        <v>3.081081081</v>
      </c>
      <c r="Y719" s="11">
        <f>IFERROR(__xludf.DUMMYFUNCTION("""COMPUTED_VALUE"""),4.0)</f>
        <v>4</v>
      </c>
      <c r="Z719" s="11">
        <f>IFERROR(__xludf.DUMMYFUNCTION("""COMPUTED_VALUE"""),3.0)</f>
        <v>3</v>
      </c>
      <c r="AA719" s="11">
        <f>IFERROR(__xludf.DUMMYFUNCTION("""COMPUTED_VALUE"""),0.0)</f>
        <v>0</v>
      </c>
      <c r="AB719" s="11">
        <f>IFERROR(__xludf.DUMMYFUNCTION("""COMPUTED_VALUE"""),5.0)</f>
        <v>5</v>
      </c>
      <c r="AC719" s="11">
        <f>IFERROR(__xludf.DUMMYFUNCTION("""COMPUTED_VALUE"""),35.0)</f>
        <v>35</v>
      </c>
      <c r="AD719" s="11">
        <f>IFERROR(__xludf.DUMMYFUNCTION("""COMPUTED_VALUE"""),47.0)</f>
        <v>47</v>
      </c>
    </row>
    <row r="720">
      <c r="A720" s="10" t="str">
        <f>IFERROR(__xludf.DUMMYFUNCTION("""COMPUTED_VALUE"""),"Veteran")</f>
        <v>Veteran</v>
      </c>
      <c r="B720" s="10" t="str">
        <f>IFERROR(__xludf.DUMMYFUNCTION("""COMPUTED_VALUE"""),"RSC002937")</f>
        <v>RSC002937</v>
      </c>
      <c r="C720" s="10" t="str">
        <f>IFERROR(__xludf.DUMMYFUNCTION("""COMPUTED_VALUE"""),"SirTommyNoble")</f>
        <v>SirTommyNoble</v>
      </c>
      <c r="D720" s="36" t="str">
        <f>IFERROR(__xludf.DUMMYFUNCTION("""COMPUTED_VALUE"""),"Peppermint
Shadow Tails")</f>
        <v>Peppermint
Shadow Tails</v>
      </c>
      <c r="E720" s="10" t="str">
        <f>IFERROR(__xludf.DUMMYFUNCTION("""COMPUTED_VALUE"""),"Solar
Solar")</f>
        <v>Solar
Solar</v>
      </c>
      <c r="F720" s="37">
        <f>IFERROR(__xludf.DUMMYFUNCTION("""COMPUTED_VALUE"""),67.5060975779264)</f>
        <v>67.50609758</v>
      </c>
      <c r="G720" s="38">
        <f>IFERROR(__xludf.DUMMYFUNCTION("""COMPUTED_VALUE"""),52.91011077356956)</f>
        <v>52.91011077</v>
      </c>
      <c r="H720" s="38">
        <f>IFERROR(__xludf.DUMMYFUNCTION("""COMPUTED_VALUE"""),60.20810417574798)</f>
        <v>60.20810418</v>
      </c>
      <c r="I720" s="14">
        <f>IFERROR(__xludf.DUMMYFUNCTION("""COMPUTED_VALUE"""),50.0)</f>
        <v>50</v>
      </c>
      <c r="J720" s="11">
        <f>IFERROR(__xludf.DUMMYFUNCTION("IFERROR(FILTER(Stats!$F:$Z,(Stats!$A:$A=$A720)*(Stats!$B:$B=$B720)))"),19.0)</f>
        <v>19</v>
      </c>
      <c r="K720" s="11">
        <f>IFERROR(__xludf.DUMMYFUNCTION("""COMPUTED_VALUE"""),31.0)</f>
        <v>31</v>
      </c>
      <c r="L720" s="12">
        <f>IFERROR(__xludf.DUMMYFUNCTION("""COMPUTED_VALUE"""),0.38)</f>
        <v>0.38</v>
      </c>
      <c r="M720" s="11">
        <f>IFERROR(__xludf.DUMMYFUNCTION("""COMPUTED_VALUE"""),7.0)</f>
        <v>7</v>
      </c>
      <c r="N720" s="11">
        <f>IFERROR(__xludf.DUMMYFUNCTION("""COMPUTED_VALUE"""),19115.0)</f>
        <v>19115</v>
      </c>
      <c r="O720" s="13">
        <f>IFERROR(__xludf.DUMMYFUNCTION("""COMPUTED_VALUE"""),45.0)</f>
        <v>45</v>
      </c>
      <c r="P720" s="14">
        <f>IFERROR(__xludf.DUMMYFUNCTION("""COMPUTED_VALUE"""),24.0)</f>
        <v>24</v>
      </c>
      <c r="Q720" s="13">
        <f>IFERROR(__xludf.DUMMYFUNCTION("""COMPUTED_VALUE"""),76.0)</f>
        <v>76</v>
      </c>
      <c r="R720" s="13">
        <f>IFERROR(__xludf.DUMMYFUNCTION("""COMPUTED_VALUE"""),162.0)</f>
        <v>162</v>
      </c>
      <c r="S720" s="15">
        <f>IFERROR(__xludf.DUMMYFUNCTION("""COMPUTED_VALUE"""),0.2777777777777778)</f>
        <v>0.2777777778</v>
      </c>
      <c r="T720" s="16">
        <f>IFERROR(__xludf.DUMMYFUNCTION("""COMPUTED_VALUE"""),382.3)</f>
        <v>382.3</v>
      </c>
      <c r="U720" s="16">
        <f>IFERROR(__xludf.DUMMYFUNCTION("""COMPUTED_VALUE"""),0.9)</f>
        <v>0.9</v>
      </c>
      <c r="V720" s="16">
        <f>IFERROR(__xludf.DUMMYFUNCTION("""COMPUTED_VALUE"""),0.48)</f>
        <v>0.48</v>
      </c>
      <c r="W720" s="16">
        <f>IFERROR(__xludf.DUMMYFUNCTION("""COMPUTED_VALUE"""),1.52)</f>
        <v>1.52</v>
      </c>
      <c r="X720" s="16">
        <f>IFERROR(__xludf.DUMMYFUNCTION("""COMPUTED_VALUE"""),3.24)</f>
        <v>3.24</v>
      </c>
      <c r="Y720" s="11">
        <f>IFERROR(__xludf.DUMMYFUNCTION("""COMPUTED_VALUE"""),9.0)</f>
        <v>9</v>
      </c>
      <c r="Z720" s="11">
        <f>IFERROR(__xludf.DUMMYFUNCTION("""COMPUTED_VALUE"""),2.0)</f>
        <v>2</v>
      </c>
      <c r="AA720" s="11">
        <f>IFERROR(__xludf.DUMMYFUNCTION("""COMPUTED_VALUE"""),0.0)</f>
        <v>0</v>
      </c>
      <c r="AB720" s="11">
        <f>IFERROR(__xludf.DUMMYFUNCTION("""COMPUTED_VALUE"""),7.0)</f>
        <v>7</v>
      </c>
      <c r="AC720" s="11">
        <f>IFERROR(__xludf.DUMMYFUNCTION("""COMPUTED_VALUE"""),52.0)</f>
        <v>52</v>
      </c>
      <c r="AD720" s="11">
        <f>IFERROR(__xludf.DUMMYFUNCTION("""COMPUTED_VALUE"""),45.0)</f>
        <v>45</v>
      </c>
    </row>
    <row r="721">
      <c r="A721" s="10" t="str">
        <f>IFERROR(__xludf.DUMMYFUNCTION("""COMPUTED_VALUE"""),"Veteran")</f>
        <v>Veteran</v>
      </c>
      <c r="B721" s="10" t="str">
        <f>IFERROR(__xludf.DUMMYFUNCTION("""COMPUTED_VALUE"""),"RSC002453")</f>
        <v>RSC002453</v>
      </c>
      <c r="C721" s="10" t="str">
        <f>IFERROR(__xludf.DUMMYFUNCTION("""COMPUTED_VALUE"""),"Ghostie")</f>
        <v>Ghostie</v>
      </c>
      <c r="D721" s="36" t="str">
        <f>IFERROR(__xludf.DUMMYFUNCTION("""COMPUTED_VALUE"""),"Mages")</f>
        <v>Mages</v>
      </c>
      <c r="E721" s="10" t="str">
        <f>IFERROR(__xludf.DUMMYFUNCTION("""COMPUTED_VALUE"""),"Lunar")</f>
        <v>Lunar</v>
      </c>
      <c r="F721" s="37">
        <f>IFERROR(__xludf.DUMMYFUNCTION("""COMPUTED_VALUE"""),58.97993027999985)</f>
        <v>58.97993028</v>
      </c>
      <c r="G721" s="38">
        <f>IFERROR(__xludf.DUMMYFUNCTION("""COMPUTED_VALUE"""),59.78265802651393)</f>
        <v>59.78265803</v>
      </c>
      <c r="H721" s="38">
        <f>IFERROR(__xludf.DUMMYFUNCTION("""COMPUTED_VALUE"""),59.38129415325689)</f>
        <v>59.38129415</v>
      </c>
      <c r="I721" s="14">
        <f>IFERROR(__xludf.DUMMYFUNCTION("""COMPUTED_VALUE"""),4.0)</f>
        <v>4</v>
      </c>
      <c r="J721" s="11">
        <f>IFERROR(__xludf.DUMMYFUNCTION("IFERROR(FILTER(Stats!$F:$Z,(Stats!$A:$A=$A721)*(Stats!$B:$B=$B721)))"),1.0)</f>
        <v>1</v>
      </c>
      <c r="K721" s="11">
        <f>IFERROR(__xludf.DUMMYFUNCTION("""COMPUTED_VALUE"""),3.0)</f>
        <v>3</v>
      </c>
      <c r="L721" s="12">
        <f>IFERROR(__xludf.DUMMYFUNCTION("""COMPUTED_VALUE"""),0.25)</f>
        <v>0.25</v>
      </c>
      <c r="M721" s="11">
        <f>IFERROR(__xludf.DUMMYFUNCTION("""COMPUTED_VALUE"""),0.0)</f>
        <v>0</v>
      </c>
      <c r="N721" s="11">
        <f>IFERROR(__xludf.DUMMYFUNCTION("""COMPUTED_VALUE"""),1304.0)</f>
        <v>1304</v>
      </c>
      <c r="O721" s="13">
        <f>IFERROR(__xludf.DUMMYFUNCTION("""COMPUTED_VALUE"""),4.0)</f>
        <v>4</v>
      </c>
      <c r="P721" s="14">
        <f>IFERROR(__xludf.DUMMYFUNCTION("""COMPUTED_VALUE"""),3.0)</f>
        <v>3</v>
      </c>
      <c r="Q721" s="13">
        <f>IFERROR(__xludf.DUMMYFUNCTION("""COMPUTED_VALUE"""),3.0)</f>
        <v>3</v>
      </c>
      <c r="R721" s="13">
        <f>IFERROR(__xludf.DUMMYFUNCTION("""COMPUTED_VALUE"""),11.0)</f>
        <v>11</v>
      </c>
      <c r="S721" s="15">
        <f>IFERROR(__xludf.DUMMYFUNCTION("""COMPUTED_VALUE"""),0.36363636363636365)</f>
        <v>0.3636363636</v>
      </c>
      <c r="T721" s="16">
        <f>IFERROR(__xludf.DUMMYFUNCTION("""COMPUTED_VALUE"""),326.0)</f>
        <v>326</v>
      </c>
      <c r="U721" s="16">
        <f>IFERROR(__xludf.DUMMYFUNCTION("""COMPUTED_VALUE"""),1.0)</f>
        <v>1</v>
      </c>
      <c r="V721" s="16">
        <f>IFERROR(__xludf.DUMMYFUNCTION("""COMPUTED_VALUE"""),0.75)</f>
        <v>0.75</v>
      </c>
      <c r="W721" s="16">
        <f>IFERROR(__xludf.DUMMYFUNCTION("""COMPUTED_VALUE"""),0.75)</f>
        <v>0.75</v>
      </c>
      <c r="X721" s="16">
        <f>IFERROR(__xludf.DUMMYFUNCTION("""COMPUTED_VALUE"""),2.75)</f>
        <v>2.75</v>
      </c>
      <c r="Y721" s="11">
        <f>IFERROR(__xludf.DUMMYFUNCTION("""COMPUTED_VALUE"""),1.0)</f>
        <v>1</v>
      </c>
      <c r="Z721" s="11">
        <f>IFERROR(__xludf.DUMMYFUNCTION("""COMPUTED_VALUE"""),0.0)</f>
        <v>0</v>
      </c>
      <c r="AA721" s="11">
        <f>IFERROR(__xludf.DUMMYFUNCTION("""COMPUTED_VALUE"""),0.0)</f>
        <v>0</v>
      </c>
      <c r="AB721" s="11">
        <f>IFERROR(__xludf.DUMMYFUNCTION("""COMPUTED_VALUE"""),0.0)</f>
        <v>0</v>
      </c>
      <c r="AC721" s="11">
        <f>IFERROR(__xludf.DUMMYFUNCTION("""COMPUTED_VALUE"""),2.0)</f>
        <v>2</v>
      </c>
      <c r="AD721" s="11">
        <f>IFERROR(__xludf.DUMMYFUNCTION("""COMPUTED_VALUE"""),9.0)</f>
        <v>9</v>
      </c>
    </row>
    <row r="722">
      <c r="A722" s="10" t="str">
        <f>IFERROR(__xludf.DUMMYFUNCTION("""COMPUTED_VALUE"""),"Veteran")</f>
        <v>Veteran</v>
      </c>
      <c r="B722" s="10" t="str">
        <f>IFERROR(__xludf.DUMMYFUNCTION("""COMPUTED_VALUE"""),"RSC008535")</f>
        <v>RSC008535</v>
      </c>
      <c r="C722" s="10" t="str">
        <f>IFERROR(__xludf.DUMMYFUNCTION("""COMPUTED_VALUE"""),"recon21savege")</f>
        <v>recon21savege</v>
      </c>
      <c r="D722" s="36" t="str">
        <f>IFERROR(__xludf.DUMMYFUNCTION("""COMPUTED_VALUE"""),"Gouda Gangsters")</f>
        <v>Gouda Gangsters</v>
      </c>
      <c r="E722" s="10" t="str">
        <f>IFERROR(__xludf.DUMMYFUNCTION("""COMPUTED_VALUE"""),"Lunar")</f>
        <v>Lunar</v>
      </c>
      <c r="F722" s="37">
        <f>IFERROR(__xludf.DUMMYFUNCTION("""COMPUTED_VALUE"""),67.80409633246046)</f>
        <v>67.80409633</v>
      </c>
      <c r="G722" s="38">
        <f>IFERROR(__xludf.DUMMYFUNCTION("""COMPUTED_VALUE"""),49.85094001571408)</f>
        <v>49.85094002</v>
      </c>
      <c r="H722" s="38">
        <f>IFERROR(__xludf.DUMMYFUNCTION("""COMPUTED_VALUE"""),58.827518174087274)</f>
        <v>58.82751817</v>
      </c>
      <c r="I722" s="14">
        <f>IFERROR(__xludf.DUMMYFUNCTION("""COMPUTED_VALUE"""),16.0)</f>
        <v>16</v>
      </c>
      <c r="J722" s="11">
        <f>IFERROR(__xludf.DUMMYFUNCTION("IFERROR(FILTER(Stats!$F:$Z,(Stats!$A:$A=$A722)*(Stats!$B:$B=$B722)))"),7.0)</f>
        <v>7</v>
      </c>
      <c r="K722" s="11">
        <f>IFERROR(__xludf.DUMMYFUNCTION("""COMPUTED_VALUE"""),9.0)</f>
        <v>9</v>
      </c>
      <c r="L722" s="12">
        <f>IFERROR(__xludf.DUMMYFUNCTION("""COMPUTED_VALUE"""),0.4375)</f>
        <v>0.4375</v>
      </c>
      <c r="M722" s="11">
        <f>IFERROR(__xludf.DUMMYFUNCTION("""COMPUTED_VALUE"""),4.0)</f>
        <v>4</v>
      </c>
      <c r="N722" s="11">
        <f>IFERROR(__xludf.DUMMYFUNCTION("""COMPUTED_VALUE"""),6026.0)</f>
        <v>6026</v>
      </c>
      <c r="O722" s="13">
        <f>IFERROR(__xludf.DUMMYFUNCTION("""COMPUTED_VALUE"""),10.0)</f>
        <v>10</v>
      </c>
      <c r="P722" s="14">
        <f>IFERROR(__xludf.DUMMYFUNCTION("""COMPUTED_VALUE"""),10.0)</f>
        <v>10</v>
      </c>
      <c r="Q722" s="13">
        <f>IFERROR(__xludf.DUMMYFUNCTION("""COMPUTED_VALUE"""),22.0)</f>
        <v>22</v>
      </c>
      <c r="R722" s="13">
        <f>IFERROR(__xludf.DUMMYFUNCTION("""COMPUTED_VALUE"""),49.0)</f>
        <v>49</v>
      </c>
      <c r="S722" s="15">
        <f>IFERROR(__xludf.DUMMYFUNCTION("""COMPUTED_VALUE"""),0.20408163265306123)</f>
        <v>0.2040816327</v>
      </c>
      <c r="T722" s="16">
        <f>IFERROR(__xludf.DUMMYFUNCTION("""COMPUTED_VALUE"""),376.625)</f>
        <v>376.625</v>
      </c>
      <c r="U722" s="16">
        <f>IFERROR(__xludf.DUMMYFUNCTION("""COMPUTED_VALUE"""),0.625)</f>
        <v>0.625</v>
      </c>
      <c r="V722" s="16">
        <f>IFERROR(__xludf.DUMMYFUNCTION("""COMPUTED_VALUE"""),0.625)</f>
        <v>0.625</v>
      </c>
      <c r="W722" s="16">
        <f>IFERROR(__xludf.DUMMYFUNCTION("""COMPUTED_VALUE"""),1.375)</f>
        <v>1.375</v>
      </c>
      <c r="X722" s="16">
        <f>IFERROR(__xludf.DUMMYFUNCTION("""COMPUTED_VALUE"""),3.0625)</f>
        <v>3.0625</v>
      </c>
      <c r="Y722" s="11">
        <f>IFERROR(__xludf.DUMMYFUNCTION("""COMPUTED_VALUE"""),4.0)</f>
        <v>4</v>
      </c>
      <c r="Z722" s="11">
        <f>IFERROR(__xludf.DUMMYFUNCTION("""COMPUTED_VALUE"""),1.0)</f>
        <v>1</v>
      </c>
      <c r="AA722" s="11">
        <f>IFERROR(__xludf.DUMMYFUNCTION("""COMPUTED_VALUE"""),0.0)</f>
        <v>0</v>
      </c>
      <c r="AB722" s="11">
        <f>IFERROR(__xludf.DUMMYFUNCTION("""COMPUTED_VALUE"""),2.0)</f>
        <v>2</v>
      </c>
      <c r="AC722" s="11">
        <f>IFERROR(__xludf.DUMMYFUNCTION("""COMPUTED_VALUE"""),17.0)</f>
        <v>17</v>
      </c>
      <c r="AD722" s="11">
        <f>IFERROR(__xludf.DUMMYFUNCTION("""COMPUTED_VALUE"""),10.0)</f>
        <v>10</v>
      </c>
    </row>
    <row r="723">
      <c r="A723" s="10" t="str">
        <f>IFERROR(__xludf.DUMMYFUNCTION("""COMPUTED_VALUE"""),"Veteran")</f>
        <v>Veteran</v>
      </c>
      <c r="B723" s="10" t="str">
        <f>IFERROR(__xludf.DUMMYFUNCTION("""COMPUTED_VALUE"""),"RSC007331")</f>
        <v>RSC007331</v>
      </c>
      <c r="C723" s="10" t="str">
        <f>IFERROR(__xludf.DUMMYFUNCTION("""COMPUTED_VALUE"""),"Ikigai")</f>
        <v>Ikigai</v>
      </c>
      <c r="D723" s="36" t="str">
        <f>IFERROR(__xludf.DUMMYFUNCTION("""COMPUTED_VALUE"""),"Banshees")</f>
        <v>Banshees</v>
      </c>
      <c r="E723" s="10" t="str">
        <f>IFERROR(__xludf.DUMMYFUNCTION("""COMPUTED_VALUE"""),"Lunar")</f>
        <v>Lunar</v>
      </c>
      <c r="F723" s="37">
        <f>IFERROR(__xludf.DUMMYFUNCTION("""COMPUTED_VALUE"""),58.901771153114176)</f>
        <v>58.90177115</v>
      </c>
      <c r="G723" s="38">
        <f>IFERROR(__xludf.DUMMYFUNCTION("""COMPUTED_VALUE"""),58.1905419529246)</f>
        <v>58.19054195</v>
      </c>
      <c r="H723" s="38">
        <f>IFERROR(__xludf.DUMMYFUNCTION("""COMPUTED_VALUE"""),58.54615655301939)</f>
        <v>58.54615655</v>
      </c>
      <c r="I723" s="14">
        <f>IFERROR(__xludf.DUMMYFUNCTION("""COMPUTED_VALUE"""),43.0)</f>
        <v>43</v>
      </c>
      <c r="J723" s="11">
        <f>IFERROR(__xludf.DUMMYFUNCTION("IFERROR(FILTER(Stats!$F:$Z,(Stats!$A:$A=$A723)*(Stats!$B:$B=$B723)))"),16.0)</f>
        <v>16</v>
      </c>
      <c r="K723" s="11">
        <f>IFERROR(__xludf.DUMMYFUNCTION("""COMPUTED_VALUE"""),27.0)</f>
        <v>27</v>
      </c>
      <c r="L723" s="12">
        <f>IFERROR(__xludf.DUMMYFUNCTION("""COMPUTED_VALUE"""),0.37209302325581395)</f>
        <v>0.3720930233</v>
      </c>
      <c r="M723" s="11">
        <f>IFERROR(__xludf.DUMMYFUNCTION("""COMPUTED_VALUE"""),6.0)</f>
        <v>6</v>
      </c>
      <c r="N723" s="11">
        <f>IFERROR(__xludf.DUMMYFUNCTION("""COMPUTED_VALUE"""),15973.0)</f>
        <v>15973</v>
      </c>
      <c r="O723" s="13">
        <f>IFERROR(__xludf.DUMMYFUNCTION("""COMPUTED_VALUE"""),33.0)</f>
        <v>33</v>
      </c>
      <c r="P723" s="14">
        <f>IFERROR(__xludf.DUMMYFUNCTION("""COMPUTED_VALUE"""),31.0)</f>
        <v>31</v>
      </c>
      <c r="Q723" s="13">
        <f>IFERROR(__xludf.DUMMYFUNCTION("""COMPUTED_VALUE"""),63.0)</f>
        <v>63</v>
      </c>
      <c r="R723" s="13">
        <f>IFERROR(__xludf.DUMMYFUNCTION("""COMPUTED_VALUE"""),112.0)</f>
        <v>112</v>
      </c>
      <c r="S723" s="15">
        <f>IFERROR(__xludf.DUMMYFUNCTION("""COMPUTED_VALUE"""),0.29464285714285715)</f>
        <v>0.2946428571</v>
      </c>
      <c r="T723" s="16">
        <f>IFERROR(__xludf.DUMMYFUNCTION("""COMPUTED_VALUE"""),371.4651162790698)</f>
        <v>371.4651163</v>
      </c>
      <c r="U723" s="16">
        <f>IFERROR(__xludf.DUMMYFUNCTION("""COMPUTED_VALUE"""),0.7674418604651163)</f>
        <v>0.7674418605</v>
      </c>
      <c r="V723" s="16">
        <f>IFERROR(__xludf.DUMMYFUNCTION("""COMPUTED_VALUE"""),0.7209302325581395)</f>
        <v>0.7209302326</v>
      </c>
      <c r="W723" s="16">
        <f>IFERROR(__xludf.DUMMYFUNCTION("""COMPUTED_VALUE"""),1.4651162790697674)</f>
        <v>1.465116279</v>
      </c>
      <c r="X723" s="16">
        <f>IFERROR(__xludf.DUMMYFUNCTION("""COMPUTED_VALUE"""),2.604651162790698)</f>
        <v>2.604651163</v>
      </c>
      <c r="Y723" s="11">
        <f>IFERROR(__xludf.DUMMYFUNCTION("""COMPUTED_VALUE"""),10.0)</f>
        <v>10</v>
      </c>
      <c r="Z723" s="11">
        <f>IFERROR(__xludf.DUMMYFUNCTION("""COMPUTED_VALUE"""),3.0)</f>
        <v>3</v>
      </c>
      <c r="AA723" s="11">
        <f>IFERROR(__xludf.DUMMYFUNCTION("""COMPUTED_VALUE"""),1.0)</f>
        <v>1</v>
      </c>
      <c r="AB723" s="11">
        <f>IFERROR(__xludf.DUMMYFUNCTION("""COMPUTED_VALUE"""),8.0)</f>
        <v>8</v>
      </c>
      <c r="AC723" s="11">
        <f>IFERROR(__xludf.DUMMYFUNCTION("""COMPUTED_VALUE"""),66.0)</f>
        <v>66</v>
      </c>
      <c r="AD723" s="11">
        <f>IFERROR(__xludf.DUMMYFUNCTION("""COMPUTED_VALUE"""),40.0)</f>
        <v>40</v>
      </c>
    </row>
    <row r="724">
      <c r="A724" s="10" t="str">
        <f>IFERROR(__xludf.DUMMYFUNCTION("""COMPUTED_VALUE"""),"Veteran")</f>
        <v>Veteran</v>
      </c>
      <c r="B724" s="10" t="str">
        <f>IFERROR(__xludf.DUMMYFUNCTION("""COMPUTED_VALUE"""),"RSC002668")</f>
        <v>RSC002668</v>
      </c>
      <c r="C724" s="10" t="str">
        <f>IFERROR(__xludf.DUMMYFUNCTION("""COMPUTED_VALUE"""),"Azorh &lt;3")</f>
        <v>Azorh &lt;3</v>
      </c>
      <c r="D724" s="36" t="str">
        <f>IFERROR(__xludf.DUMMYFUNCTION("""COMPUTED_VALUE"""),"Fer-de-Lance")</f>
        <v>Fer-de-Lance</v>
      </c>
      <c r="E724" s="10" t="str">
        <f>IFERROR(__xludf.DUMMYFUNCTION("""COMPUTED_VALUE"""),"Lunar")</f>
        <v>Lunar</v>
      </c>
      <c r="F724" s="37">
        <f>IFERROR(__xludf.DUMMYFUNCTION("""COMPUTED_VALUE"""),57.887675881024606)</f>
        <v>57.88767588</v>
      </c>
      <c r="G724" s="38">
        <f>IFERROR(__xludf.DUMMYFUNCTION("""COMPUTED_VALUE"""),59.03591282641936)</f>
        <v>59.03591283</v>
      </c>
      <c r="H724" s="38">
        <f>IFERROR(__xludf.DUMMYFUNCTION("""COMPUTED_VALUE"""),58.461794353721984)</f>
        <v>58.46179435</v>
      </c>
      <c r="I724" s="14">
        <f>IFERROR(__xludf.DUMMYFUNCTION("""COMPUTED_VALUE"""),49.0)</f>
        <v>49</v>
      </c>
      <c r="J724" s="11">
        <f>IFERROR(__xludf.DUMMYFUNCTION("IFERROR(FILTER(Stats!$F:$Z,(Stats!$A:$A=$A724)*(Stats!$B:$B=$B724)))"),24.0)</f>
        <v>24</v>
      </c>
      <c r="K724" s="11">
        <f>IFERROR(__xludf.DUMMYFUNCTION("""COMPUTED_VALUE"""),25.0)</f>
        <v>25</v>
      </c>
      <c r="L724" s="12">
        <f>IFERROR(__xludf.DUMMYFUNCTION("""COMPUTED_VALUE"""),0.4897959183673469)</f>
        <v>0.4897959184</v>
      </c>
      <c r="M724" s="11">
        <f>IFERROR(__xludf.DUMMYFUNCTION("""COMPUTED_VALUE"""),10.0)</f>
        <v>10</v>
      </c>
      <c r="N724" s="11">
        <f>IFERROR(__xludf.DUMMYFUNCTION("""COMPUTED_VALUE"""),18090.0)</f>
        <v>18090</v>
      </c>
      <c r="O724" s="13">
        <f>IFERROR(__xludf.DUMMYFUNCTION("""COMPUTED_VALUE"""),48.0)</f>
        <v>48</v>
      </c>
      <c r="P724" s="14">
        <f>IFERROR(__xludf.DUMMYFUNCTION("""COMPUTED_VALUE"""),25.0)</f>
        <v>25</v>
      </c>
      <c r="Q724" s="13">
        <f>IFERROR(__xludf.DUMMYFUNCTION("""COMPUTED_VALUE"""),65.0)</f>
        <v>65</v>
      </c>
      <c r="R724" s="13">
        <f>IFERROR(__xludf.DUMMYFUNCTION("""COMPUTED_VALUE"""),133.0)</f>
        <v>133</v>
      </c>
      <c r="S724" s="15">
        <f>IFERROR(__xludf.DUMMYFUNCTION("""COMPUTED_VALUE"""),0.3609022556390977)</f>
        <v>0.3609022556</v>
      </c>
      <c r="T724" s="16">
        <f>IFERROR(__xludf.DUMMYFUNCTION("""COMPUTED_VALUE"""),369.18367346938777)</f>
        <v>369.1836735</v>
      </c>
      <c r="U724" s="16">
        <f>IFERROR(__xludf.DUMMYFUNCTION("""COMPUTED_VALUE"""),0.9795918367346939)</f>
        <v>0.9795918367</v>
      </c>
      <c r="V724" s="16">
        <f>IFERROR(__xludf.DUMMYFUNCTION("""COMPUTED_VALUE"""),0.5102040816326531)</f>
        <v>0.5102040816</v>
      </c>
      <c r="W724" s="16">
        <f>IFERROR(__xludf.DUMMYFUNCTION("""COMPUTED_VALUE"""),1.3265306122448979)</f>
        <v>1.326530612</v>
      </c>
      <c r="X724" s="16">
        <f>IFERROR(__xludf.DUMMYFUNCTION("""COMPUTED_VALUE"""),2.7142857142857144)</f>
        <v>2.714285714</v>
      </c>
      <c r="Y724" s="11">
        <f>IFERROR(__xludf.DUMMYFUNCTION("""COMPUTED_VALUE"""),8.0)</f>
        <v>8</v>
      </c>
      <c r="Z724" s="11">
        <f>IFERROR(__xludf.DUMMYFUNCTION("""COMPUTED_VALUE"""),5.0)</f>
        <v>5</v>
      </c>
      <c r="AA724" s="11">
        <f>IFERROR(__xludf.DUMMYFUNCTION("""COMPUTED_VALUE"""),1.0)</f>
        <v>1</v>
      </c>
      <c r="AB724" s="11">
        <f>IFERROR(__xludf.DUMMYFUNCTION("""COMPUTED_VALUE"""),8.0)</f>
        <v>8</v>
      </c>
      <c r="AC724" s="11">
        <f>IFERROR(__xludf.DUMMYFUNCTION("""COMPUTED_VALUE"""),22.0)</f>
        <v>22</v>
      </c>
      <c r="AD724" s="11">
        <f>IFERROR(__xludf.DUMMYFUNCTION("""COMPUTED_VALUE"""),41.0)</f>
        <v>41</v>
      </c>
    </row>
    <row r="725">
      <c r="A725" s="10" t="str">
        <f>IFERROR(__xludf.DUMMYFUNCTION("""COMPUTED_VALUE"""),"Veteran")</f>
        <v>Veteran</v>
      </c>
      <c r="B725" s="10" t="str">
        <f>IFERROR(__xludf.DUMMYFUNCTION("""COMPUTED_VALUE"""),"RSC008508")</f>
        <v>RSC008508</v>
      </c>
      <c r="C725" s="10" t="str">
        <f>IFERROR(__xludf.DUMMYFUNCTION("""COMPUTED_VALUE"""),"Flame_RL10")</f>
        <v>Flame_RL10</v>
      </c>
      <c r="D725" s="36" t="str">
        <f>IFERROR(__xludf.DUMMYFUNCTION("""COMPUTED_VALUE"""),"Grizzly Bears")</f>
        <v>Grizzly Bears</v>
      </c>
      <c r="E725" s="10" t="str">
        <f>IFERROR(__xludf.DUMMYFUNCTION("""COMPUTED_VALUE"""),"Solar")</f>
        <v>Solar</v>
      </c>
      <c r="F725" s="37">
        <f>IFERROR(__xludf.DUMMYFUNCTION("""COMPUTED_VALUE"""),60.51665576801849)</f>
        <v>60.51665577</v>
      </c>
      <c r="G725" s="38">
        <f>IFERROR(__xludf.DUMMYFUNCTION("""COMPUTED_VALUE"""),55.214222033423255)</f>
        <v>55.21422203</v>
      </c>
      <c r="H725" s="38">
        <f>IFERROR(__xludf.DUMMYFUNCTION("""COMPUTED_VALUE"""),57.865438900720875)</f>
        <v>57.8654389</v>
      </c>
      <c r="I725" s="14">
        <f>IFERROR(__xludf.DUMMYFUNCTION("""COMPUTED_VALUE"""),4.0)</f>
        <v>4</v>
      </c>
      <c r="J725" s="11">
        <f>IFERROR(__xludf.DUMMYFUNCTION("IFERROR(FILTER(Stats!$F:$Z,(Stats!$A:$A=$A725)*(Stats!$B:$B=$B725)))"),1.0)</f>
        <v>1</v>
      </c>
      <c r="K725" s="11">
        <f>IFERROR(__xludf.DUMMYFUNCTION("""COMPUTED_VALUE"""),3.0)</f>
        <v>3</v>
      </c>
      <c r="L725" s="12">
        <f>IFERROR(__xludf.DUMMYFUNCTION("""COMPUTED_VALUE"""),0.25)</f>
        <v>0.25</v>
      </c>
      <c r="M725" s="11">
        <f>IFERROR(__xludf.DUMMYFUNCTION("""COMPUTED_VALUE"""),1.0)</f>
        <v>1</v>
      </c>
      <c r="N725" s="11">
        <f>IFERROR(__xludf.DUMMYFUNCTION("""COMPUTED_VALUE"""),1402.0)</f>
        <v>1402</v>
      </c>
      <c r="O725" s="13">
        <f>IFERROR(__xludf.DUMMYFUNCTION("""COMPUTED_VALUE"""),4.0)</f>
        <v>4</v>
      </c>
      <c r="P725" s="14">
        <f>IFERROR(__xludf.DUMMYFUNCTION("""COMPUTED_VALUE"""),3.0)</f>
        <v>3</v>
      </c>
      <c r="Q725" s="13">
        <f>IFERROR(__xludf.DUMMYFUNCTION("""COMPUTED_VALUE"""),5.0)</f>
        <v>5</v>
      </c>
      <c r="R725" s="13">
        <f>IFERROR(__xludf.DUMMYFUNCTION("""COMPUTED_VALUE"""),8.0)</f>
        <v>8</v>
      </c>
      <c r="S725" s="15">
        <f>IFERROR(__xludf.DUMMYFUNCTION("""COMPUTED_VALUE"""),0.5)</f>
        <v>0.5</v>
      </c>
      <c r="T725" s="16">
        <f>IFERROR(__xludf.DUMMYFUNCTION("""COMPUTED_VALUE"""),350.5)</f>
        <v>350.5</v>
      </c>
      <c r="U725" s="16">
        <f>IFERROR(__xludf.DUMMYFUNCTION("""COMPUTED_VALUE"""),1.0)</f>
        <v>1</v>
      </c>
      <c r="V725" s="16">
        <f>IFERROR(__xludf.DUMMYFUNCTION("""COMPUTED_VALUE"""),0.75)</f>
        <v>0.75</v>
      </c>
      <c r="W725" s="16">
        <f>IFERROR(__xludf.DUMMYFUNCTION("""COMPUTED_VALUE"""),1.25)</f>
        <v>1.25</v>
      </c>
      <c r="X725" s="16">
        <f>IFERROR(__xludf.DUMMYFUNCTION("""COMPUTED_VALUE"""),2.0)</f>
        <v>2</v>
      </c>
      <c r="Y725" s="11">
        <f>IFERROR(__xludf.DUMMYFUNCTION("""COMPUTED_VALUE"""),1.0)</f>
        <v>1</v>
      </c>
      <c r="Z725" s="11">
        <f>IFERROR(__xludf.DUMMYFUNCTION("""COMPUTED_VALUE"""),0.0)</f>
        <v>0</v>
      </c>
      <c r="AA725" s="11">
        <f>IFERROR(__xludf.DUMMYFUNCTION("""COMPUTED_VALUE"""),0.0)</f>
        <v>0</v>
      </c>
      <c r="AB725" s="11">
        <f>IFERROR(__xludf.DUMMYFUNCTION("""COMPUTED_VALUE"""),0.0)</f>
        <v>0</v>
      </c>
      <c r="AC725" s="11">
        <f>IFERROR(__xludf.DUMMYFUNCTION("""COMPUTED_VALUE"""),6.0)</f>
        <v>6</v>
      </c>
      <c r="AD725" s="11">
        <f>IFERROR(__xludf.DUMMYFUNCTION("""COMPUTED_VALUE"""),10.0)</f>
        <v>10</v>
      </c>
    </row>
    <row r="726">
      <c r="A726" s="10" t="str">
        <f>IFERROR(__xludf.DUMMYFUNCTION("""COMPUTED_VALUE"""),"Veteran")</f>
        <v>Veteran</v>
      </c>
      <c r="B726" s="10" t="str">
        <f>IFERROR(__xludf.DUMMYFUNCTION("""COMPUTED_VALUE"""),"RSC008104")</f>
        <v>RSC008104</v>
      </c>
      <c r="C726" s="10" t="str">
        <f>IFERROR(__xludf.DUMMYFUNCTION("""COMPUTED_VALUE"""),"M0NKEE .")</f>
        <v>M0NKEE .</v>
      </c>
      <c r="D726" s="36" t="str">
        <f>IFERROR(__xludf.DUMMYFUNCTION("""COMPUTED_VALUE"""),"Sons of Ares")</f>
        <v>Sons of Ares</v>
      </c>
      <c r="E726" s="10" t="str">
        <f>IFERROR(__xludf.DUMMYFUNCTION("""COMPUTED_VALUE"""),"Solar")</f>
        <v>Solar</v>
      </c>
      <c r="F726" s="37">
        <f>IFERROR(__xludf.DUMMYFUNCTION("""COMPUTED_VALUE"""),58.29871467740501)</f>
        <v>58.29871468</v>
      </c>
      <c r="G726" s="38">
        <f>IFERROR(__xludf.DUMMYFUNCTION("""COMPUTED_VALUE"""),57.3109566782701)</f>
        <v>57.31095668</v>
      </c>
      <c r="H726" s="38">
        <f>IFERROR(__xludf.DUMMYFUNCTION("""COMPUTED_VALUE"""),57.80483567783756)</f>
        <v>57.80483568</v>
      </c>
      <c r="I726" s="14">
        <f>IFERROR(__xludf.DUMMYFUNCTION("""COMPUTED_VALUE"""),52.0)</f>
        <v>52</v>
      </c>
      <c r="J726" s="11">
        <f>IFERROR(__xludf.DUMMYFUNCTION("IFERROR(FILTER(Stats!$F:$Z,(Stats!$A:$A=$A726)*(Stats!$B:$B=$B726)))"),30.0)</f>
        <v>30</v>
      </c>
      <c r="K726" s="11">
        <f>IFERROR(__xludf.DUMMYFUNCTION("""COMPUTED_VALUE"""),22.0)</f>
        <v>22</v>
      </c>
      <c r="L726" s="12">
        <f>IFERROR(__xludf.DUMMYFUNCTION("""COMPUTED_VALUE"""),0.5769230769230769)</f>
        <v>0.5769230769</v>
      </c>
      <c r="M726" s="11">
        <f>IFERROR(__xludf.DUMMYFUNCTION("""COMPUTED_VALUE"""),8.0)</f>
        <v>8</v>
      </c>
      <c r="N726" s="11">
        <f>IFERROR(__xludf.DUMMYFUNCTION("""COMPUTED_VALUE"""),17828.0)</f>
        <v>17828</v>
      </c>
      <c r="O726" s="13">
        <f>IFERROR(__xludf.DUMMYFUNCTION("""COMPUTED_VALUE"""),33.0)</f>
        <v>33</v>
      </c>
      <c r="P726" s="14">
        <f>IFERROR(__xludf.DUMMYFUNCTION("""COMPUTED_VALUE"""),32.0)</f>
        <v>32</v>
      </c>
      <c r="Q726" s="13">
        <f>IFERROR(__xludf.DUMMYFUNCTION("""COMPUTED_VALUE"""),72.0)</f>
        <v>72</v>
      </c>
      <c r="R726" s="13">
        <f>IFERROR(__xludf.DUMMYFUNCTION("""COMPUTED_VALUE"""),139.0)</f>
        <v>139</v>
      </c>
      <c r="S726" s="15">
        <f>IFERROR(__xludf.DUMMYFUNCTION("""COMPUTED_VALUE"""),0.23741007194244604)</f>
        <v>0.2374100719</v>
      </c>
      <c r="T726" s="16">
        <f>IFERROR(__xludf.DUMMYFUNCTION("""COMPUTED_VALUE"""),342.84615384615387)</f>
        <v>342.8461538</v>
      </c>
      <c r="U726" s="16">
        <f>IFERROR(__xludf.DUMMYFUNCTION("""COMPUTED_VALUE"""),0.6346153846153846)</f>
        <v>0.6346153846</v>
      </c>
      <c r="V726" s="16">
        <f>IFERROR(__xludf.DUMMYFUNCTION("""COMPUTED_VALUE"""),0.6153846153846154)</f>
        <v>0.6153846154</v>
      </c>
      <c r="W726" s="16">
        <f>IFERROR(__xludf.DUMMYFUNCTION("""COMPUTED_VALUE"""),1.3846153846153846)</f>
        <v>1.384615385</v>
      </c>
      <c r="X726" s="16">
        <f>IFERROR(__xludf.DUMMYFUNCTION("""COMPUTED_VALUE"""),2.673076923076923)</f>
        <v>2.673076923</v>
      </c>
      <c r="Y726" s="11">
        <f>IFERROR(__xludf.DUMMYFUNCTION("""COMPUTED_VALUE"""),10.0)</f>
        <v>10</v>
      </c>
      <c r="Z726" s="11">
        <f>IFERROR(__xludf.DUMMYFUNCTION("""COMPUTED_VALUE"""),1.0)</f>
        <v>1</v>
      </c>
      <c r="AA726" s="11">
        <f>IFERROR(__xludf.DUMMYFUNCTION("""COMPUTED_VALUE"""),0.0)</f>
        <v>0</v>
      </c>
      <c r="AB726" s="11">
        <f>IFERROR(__xludf.DUMMYFUNCTION("""COMPUTED_VALUE"""),8.0)</f>
        <v>8</v>
      </c>
      <c r="AC726" s="11">
        <f>IFERROR(__xludf.DUMMYFUNCTION("""COMPUTED_VALUE"""),96.0)</f>
        <v>96</v>
      </c>
      <c r="AD726" s="11">
        <f>IFERROR(__xludf.DUMMYFUNCTION("""COMPUTED_VALUE"""),43.0)</f>
        <v>43</v>
      </c>
    </row>
    <row r="727">
      <c r="A727" s="10" t="str">
        <f>IFERROR(__xludf.DUMMYFUNCTION("""COMPUTED_VALUE"""),"Veteran")</f>
        <v>Veteran</v>
      </c>
      <c r="B727" s="10" t="str">
        <f>IFERROR(__xludf.DUMMYFUNCTION("""COMPUTED_VALUE"""),"RSC001487")</f>
        <v>RSC001487</v>
      </c>
      <c r="C727" s="10" t="str">
        <f>IFERROR(__xludf.DUMMYFUNCTION("""COMPUTED_VALUE"""),"M1ke1sMy1ke")</f>
        <v>M1ke1sMy1ke</v>
      </c>
      <c r="D727" s="36" t="str">
        <f>IFERROR(__xludf.DUMMYFUNCTION("""COMPUTED_VALUE"""),"Nighthawks")</f>
        <v>Nighthawks</v>
      </c>
      <c r="E727" s="10" t="str">
        <f>IFERROR(__xludf.DUMMYFUNCTION("""COMPUTED_VALUE"""),"Lunar")</f>
        <v>Lunar</v>
      </c>
      <c r="F727" s="37">
        <f>IFERROR(__xludf.DUMMYFUNCTION("""COMPUTED_VALUE"""),54.11107909468028)</f>
        <v>54.11107909</v>
      </c>
      <c r="G727" s="38">
        <f>IFERROR(__xludf.DUMMYFUNCTION("""COMPUTED_VALUE"""),60.79003081554362)</f>
        <v>60.79003082</v>
      </c>
      <c r="H727" s="38">
        <f>IFERROR(__xludf.DUMMYFUNCTION("""COMPUTED_VALUE"""),57.450554955111954)</f>
        <v>57.45055496</v>
      </c>
      <c r="I727" s="14">
        <f>IFERROR(__xludf.DUMMYFUNCTION("""COMPUTED_VALUE"""),46.0)</f>
        <v>46</v>
      </c>
      <c r="J727" s="11">
        <f>IFERROR(__xludf.DUMMYFUNCTION("IFERROR(FILTER(Stats!$F:$Z,(Stats!$A:$A=$A727)*(Stats!$B:$B=$B727)))"),27.0)</f>
        <v>27</v>
      </c>
      <c r="K727" s="11">
        <f>IFERROR(__xludf.DUMMYFUNCTION("""COMPUTED_VALUE"""),19.0)</f>
        <v>19</v>
      </c>
      <c r="L727" s="12">
        <f>IFERROR(__xludf.DUMMYFUNCTION("""COMPUTED_VALUE"""),0.5869565217391305)</f>
        <v>0.5869565217</v>
      </c>
      <c r="M727" s="11">
        <f>IFERROR(__xludf.DUMMYFUNCTION("""COMPUTED_VALUE"""),7.0)</f>
        <v>7</v>
      </c>
      <c r="N727" s="11">
        <f>IFERROR(__xludf.DUMMYFUNCTION("""COMPUTED_VALUE"""),16310.0)</f>
        <v>16310</v>
      </c>
      <c r="O727" s="13">
        <f>IFERROR(__xludf.DUMMYFUNCTION("""COMPUTED_VALUE"""),38.0)</f>
        <v>38</v>
      </c>
      <c r="P727" s="14">
        <f>IFERROR(__xludf.DUMMYFUNCTION("""COMPUTED_VALUE"""),29.0)</f>
        <v>29</v>
      </c>
      <c r="Q727" s="13">
        <f>IFERROR(__xludf.DUMMYFUNCTION("""COMPUTED_VALUE"""),69.0)</f>
        <v>69</v>
      </c>
      <c r="R727" s="13">
        <f>IFERROR(__xludf.DUMMYFUNCTION("""COMPUTED_VALUE"""),115.0)</f>
        <v>115</v>
      </c>
      <c r="S727" s="15">
        <f>IFERROR(__xludf.DUMMYFUNCTION("""COMPUTED_VALUE"""),0.33043478260869563)</f>
        <v>0.3304347826</v>
      </c>
      <c r="T727" s="16">
        <f>IFERROR(__xludf.DUMMYFUNCTION("""COMPUTED_VALUE"""),354.5652173913044)</f>
        <v>354.5652174</v>
      </c>
      <c r="U727" s="16">
        <f>IFERROR(__xludf.DUMMYFUNCTION("""COMPUTED_VALUE"""),0.8260869565217391)</f>
        <v>0.8260869565</v>
      </c>
      <c r="V727" s="16">
        <f>IFERROR(__xludf.DUMMYFUNCTION("""COMPUTED_VALUE"""),0.6304347826086957)</f>
        <v>0.6304347826</v>
      </c>
      <c r="W727" s="16">
        <f>IFERROR(__xludf.DUMMYFUNCTION("""COMPUTED_VALUE"""),1.5)</f>
        <v>1.5</v>
      </c>
      <c r="X727" s="16">
        <f>IFERROR(__xludf.DUMMYFUNCTION("""COMPUTED_VALUE"""),2.5)</f>
        <v>2.5</v>
      </c>
      <c r="Y727" s="11">
        <f>IFERROR(__xludf.DUMMYFUNCTION("""COMPUTED_VALUE"""),11.0)</f>
        <v>11</v>
      </c>
      <c r="Z727" s="11">
        <f>IFERROR(__xludf.DUMMYFUNCTION("""COMPUTED_VALUE"""),3.0)</f>
        <v>3</v>
      </c>
      <c r="AA727" s="11">
        <f>IFERROR(__xludf.DUMMYFUNCTION("""COMPUTED_VALUE"""),1.0)</f>
        <v>1</v>
      </c>
      <c r="AB727" s="11">
        <f>IFERROR(__xludf.DUMMYFUNCTION("""COMPUTED_VALUE"""),8.0)</f>
        <v>8</v>
      </c>
      <c r="AC727" s="11">
        <f>IFERROR(__xludf.DUMMYFUNCTION("""COMPUTED_VALUE"""),55.0)</f>
        <v>55</v>
      </c>
      <c r="AD727" s="11">
        <f>IFERROR(__xludf.DUMMYFUNCTION("""COMPUTED_VALUE"""),54.0)</f>
        <v>54</v>
      </c>
    </row>
    <row r="728">
      <c r="A728" s="10" t="str">
        <f>IFERROR(__xludf.DUMMYFUNCTION("""COMPUTED_VALUE"""),"Veteran")</f>
        <v>Veteran</v>
      </c>
      <c r="B728" s="10" t="str">
        <f>IFERROR(__xludf.DUMMYFUNCTION("""COMPUTED_VALUE"""),"RSC004239")</f>
        <v>RSC004239</v>
      </c>
      <c r="C728" s="10" t="str">
        <f>IFERROR(__xludf.DUMMYFUNCTION("""COMPUTED_VALUE"""),"Nitro")</f>
        <v>Nitro</v>
      </c>
      <c r="D728" s="36" t="str">
        <f>IFERROR(__xludf.DUMMYFUNCTION("""COMPUTED_VALUE"""),"Gouda Gangsters
Kirin")</f>
        <v>Gouda Gangsters
Kirin</v>
      </c>
      <c r="E728" s="10" t="str">
        <f>IFERROR(__xludf.DUMMYFUNCTION("""COMPUTED_VALUE"""),"Lunar
Solar")</f>
        <v>Lunar
Solar</v>
      </c>
      <c r="F728" s="37">
        <f>IFERROR(__xludf.DUMMYFUNCTION("""COMPUTED_VALUE"""),56.86205845437583)</f>
        <v>56.86205845</v>
      </c>
      <c r="G728" s="38">
        <f>IFERROR(__xludf.DUMMYFUNCTION("""COMPUTED_VALUE"""),57.936885941335085)</f>
        <v>57.93688594</v>
      </c>
      <c r="H728" s="38">
        <f>IFERROR(__xludf.DUMMYFUNCTION("""COMPUTED_VALUE"""),57.39947219785546)</f>
        <v>57.3994722</v>
      </c>
      <c r="I728" s="14">
        <f>IFERROR(__xludf.DUMMYFUNCTION("""COMPUTED_VALUE"""),56.0)</f>
        <v>56</v>
      </c>
      <c r="J728" s="11">
        <f>IFERROR(__xludf.DUMMYFUNCTION("IFERROR(FILTER(Stats!$F:$Z,(Stats!$A:$A=$A728)*(Stats!$B:$B=$B728)))"),27.0)</f>
        <v>27</v>
      </c>
      <c r="K728" s="11">
        <f>IFERROR(__xludf.DUMMYFUNCTION("""COMPUTED_VALUE"""),29.0)</f>
        <v>29</v>
      </c>
      <c r="L728" s="12">
        <f>IFERROR(__xludf.DUMMYFUNCTION("""COMPUTED_VALUE"""),0.48214285714285715)</f>
        <v>0.4821428571</v>
      </c>
      <c r="M728" s="11">
        <f>IFERROR(__xludf.DUMMYFUNCTION("""COMPUTED_VALUE"""),9.0)</f>
        <v>9</v>
      </c>
      <c r="N728" s="11">
        <f>IFERROR(__xludf.DUMMYFUNCTION("""COMPUTED_VALUE"""),20734.0)</f>
        <v>20734</v>
      </c>
      <c r="O728" s="13">
        <f>IFERROR(__xludf.DUMMYFUNCTION("""COMPUTED_VALUE"""),52.0)</f>
        <v>52</v>
      </c>
      <c r="P728" s="14">
        <f>IFERROR(__xludf.DUMMYFUNCTION("""COMPUTED_VALUE"""),25.0)</f>
        <v>25</v>
      </c>
      <c r="Q728" s="13">
        <f>IFERROR(__xludf.DUMMYFUNCTION("""COMPUTED_VALUE"""),96.0)</f>
        <v>96</v>
      </c>
      <c r="R728" s="13">
        <f>IFERROR(__xludf.DUMMYFUNCTION("""COMPUTED_VALUE"""),160.0)</f>
        <v>160</v>
      </c>
      <c r="S728" s="15">
        <f>IFERROR(__xludf.DUMMYFUNCTION("""COMPUTED_VALUE"""),0.325)</f>
        <v>0.325</v>
      </c>
      <c r="T728" s="16">
        <f>IFERROR(__xludf.DUMMYFUNCTION("""COMPUTED_VALUE"""),370.25)</f>
        <v>370.25</v>
      </c>
      <c r="U728" s="16">
        <f>IFERROR(__xludf.DUMMYFUNCTION("""COMPUTED_VALUE"""),0.9285714285714286)</f>
        <v>0.9285714286</v>
      </c>
      <c r="V728" s="16">
        <f>IFERROR(__xludf.DUMMYFUNCTION("""COMPUTED_VALUE"""),0.44642857142857145)</f>
        <v>0.4464285714</v>
      </c>
      <c r="W728" s="16">
        <f>IFERROR(__xludf.DUMMYFUNCTION("""COMPUTED_VALUE"""),1.7142857142857142)</f>
        <v>1.714285714</v>
      </c>
      <c r="X728" s="16">
        <f>IFERROR(__xludf.DUMMYFUNCTION("""COMPUTED_VALUE"""),2.857142857142857)</f>
        <v>2.857142857</v>
      </c>
      <c r="Y728" s="11">
        <f>IFERROR(__xludf.DUMMYFUNCTION("""COMPUTED_VALUE"""),12.0)</f>
        <v>12</v>
      </c>
      <c r="Z728" s="11">
        <f>IFERROR(__xludf.DUMMYFUNCTION("""COMPUTED_VALUE"""),5.0)</f>
        <v>5</v>
      </c>
      <c r="AA728" s="11">
        <f>IFERROR(__xludf.DUMMYFUNCTION("""COMPUTED_VALUE"""),0.0)</f>
        <v>0</v>
      </c>
      <c r="AB728" s="11">
        <f>IFERROR(__xludf.DUMMYFUNCTION("""COMPUTED_VALUE"""),12.0)</f>
        <v>12</v>
      </c>
      <c r="AC728" s="11">
        <f>IFERROR(__xludf.DUMMYFUNCTION("""COMPUTED_VALUE"""),37.0)</f>
        <v>37</v>
      </c>
      <c r="AD728" s="11">
        <f>IFERROR(__xludf.DUMMYFUNCTION("""COMPUTED_VALUE"""),67.0)</f>
        <v>67</v>
      </c>
    </row>
    <row r="729">
      <c r="A729" s="10" t="str">
        <f>IFERROR(__xludf.DUMMYFUNCTION("""COMPUTED_VALUE"""),"Veteran")</f>
        <v>Veteran</v>
      </c>
      <c r="B729" s="10" t="str">
        <f>IFERROR(__xludf.DUMMYFUNCTION("""COMPUTED_VALUE"""),"RSC000314")</f>
        <v>RSC000314</v>
      </c>
      <c r="C729" s="10" t="str">
        <f>IFERROR(__xludf.DUMMYFUNCTION("""COMPUTED_VALUE"""),"Yoza")</f>
        <v>Yoza</v>
      </c>
      <c r="D729" s="36" t="str">
        <f>IFERROR(__xludf.DUMMYFUNCTION("""COMPUTED_VALUE"""),"Kirin
Gouda Gangsters")</f>
        <v>Kirin
Gouda Gangsters</v>
      </c>
      <c r="E729" s="10" t="str">
        <f>IFERROR(__xludf.DUMMYFUNCTION("""COMPUTED_VALUE"""),"Solar
Lunar")</f>
        <v>Solar
Lunar</v>
      </c>
      <c r="F729" s="37">
        <f>IFERROR(__xludf.DUMMYFUNCTION("""COMPUTED_VALUE"""),59.79441785812568)</f>
        <v>59.79441786</v>
      </c>
      <c r="G729" s="38">
        <f>IFERROR(__xludf.DUMMYFUNCTION("""COMPUTED_VALUE"""),54.53330467682685)</f>
        <v>54.53330468</v>
      </c>
      <c r="H729" s="38">
        <f>IFERROR(__xludf.DUMMYFUNCTION("""COMPUTED_VALUE"""),57.163861267476264)</f>
        <v>57.16386127</v>
      </c>
      <c r="I729" s="14">
        <f>IFERROR(__xludf.DUMMYFUNCTION("""COMPUTED_VALUE"""),54.0)</f>
        <v>54</v>
      </c>
      <c r="J729" s="11">
        <f>IFERROR(__xludf.DUMMYFUNCTION("IFERROR(FILTER(Stats!$F:$Z,(Stats!$A:$A=$A729)*(Stats!$B:$B=$B729)))"),22.0)</f>
        <v>22</v>
      </c>
      <c r="K729" s="11">
        <f>IFERROR(__xludf.DUMMYFUNCTION("""COMPUTED_VALUE"""),32.0)</f>
        <v>32</v>
      </c>
      <c r="L729" s="12">
        <f>IFERROR(__xludf.DUMMYFUNCTION("""COMPUTED_VALUE"""),0.4074074074074074)</f>
        <v>0.4074074074</v>
      </c>
      <c r="M729" s="11">
        <f>IFERROR(__xludf.DUMMYFUNCTION("""COMPUTED_VALUE"""),6.0)</f>
        <v>6</v>
      </c>
      <c r="N729" s="11">
        <f>IFERROR(__xludf.DUMMYFUNCTION("""COMPUTED_VALUE"""),18669.0)</f>
        <v>18669</v>
      </c>
      <c r="O729" s="13">
        <f>IFERROR(__xludf.DUMMYFUNCTION("""COMPUTED_VALUE"""),50.0)</f>
        <v>50</v>
      </c>
      <c r="P729" s="14">
        <f>IFERROR(__xludf.DUMMYFUNCTION("""COMPUTED_VALUE"""),23.0)</f>
        <v>23</v>
      </c>
      <c r="Q729" s="13">
        <f>IFERROR(__xludf.DUMMYFUNCTION("""COMPUTED_VALUE"""),63.0)</f>
        <v>63</v>
      </c>
      <c r="R729" s="13">
        <f>IFERROR(__xludf.DUMMYFUNCTION("""COMPUTED_VALUE"""),167.0)</f>
        <v>167</v>
      </c>
      <c r="S729" s="15">
        <f>IFERROR(__xludf.DUMMYFUNCTION("""COMPUTED_VALUE"""),0.2994011976047904)</f>
        <v>0.2994011976</v>
      </c>
      <c r="T729" s="16">
        <f>IFERROR(__xludf.DUMMYFUNCTION("""COMPUTED_VALUE"""),345.72222222222223)</f>
        <v>345.7222222</v>
      </c>
      <c r="U729" s="16">
        <f>IFERROR(__xludf.DUMMYFUNCTION("""COMPUTED_VALUE"""),0.9259259259259259)</f>
        <v>0.9259259259</v>
      </c>
      <c r="V729" s="16">
        <f>IFERROR(__xludf.DUMMYFUNCTION("""COMPUTED_VALUE"""),0.42592592592592593)</f>
        <v>0.4259259259</v>
      </c>
      <c r="W729" s="16">
        <f>IFERROR(__xludf.DUMMYFUNCTION("""COMPUTED_VALUE"""),1.1666666666666667)</f>
        <v>1.166666667</v>
      </c>
      <c r="X729" s="16">
        <f>IFERROR(__xludf.DUMMYFUNCTION("""COMPUTED_VALUE"""),3.0925925925925926)</f>
        <v>3.092592593</v>
      </c>
      <c r="Y729" s="11">
        <f>IFERROR(__xludf.DUMMYFUNCTION("""COMPUTED_VALUE"""),8.0)</f>
        <v>8</v>
      </c>
      <c r="Z729" s="11">
        <f>IFERROR(__xludf.DUMMYFUNCTION("""COMPUTED_VALUE"""),5.0)</f>
        <v>5</v>
      </c>
      <c r="AA729" s="11">
        <f>IFERROR(__xludf.DUMMYFUNCTION("""COMPUTED_VALUE"""),1.0)</f>
        <v>1</v>
      </c>
      <c r="AB729" s="11">
        <f>IFERROR(__xludf.DUMMYFUNCTION("""COMPUTED_VALUE"""),6.0)</f>
        <v>6</v>
      </c>
      <c r="AC729" s="11">
        <f>IFERROR(__xludf.DUMMYFUNCTION("""COMPUTED_VALUE"""),54.0)</f>
        <v>54</v>
      </c>
      <c r="AD729" s="11">
        <f>IFERROR(__xludf.DUMMYFUNCTION("""COMPUTED_VALUE"""),61.0)</f>
        <v>61</v>
      </c>
    </row>
    <row r="730">
      <c r="A730" s="10" t="str">
        <f>IFERROR(__xludf.DUMMYFUNCTION("""COMPUTED_VALUE"""),"Veteran")</f>
        <v>Veteran</v>
      </c>
      <c r="B730" s="10" t="str">
        <f>IFERROR(__xludf.DUMMYFUNCTION("""COMPUTED_VALUE"""),"RSC002295")</f>
        <v>RSC002295</v>
      </c>
      <c r="C730" s="10" t="str">
        <f>IFERROR(__xludf.DUMMYFUNCTION("""COMPUTED_VALUE"""),"DEMOralize")</f>
        <v>DEMOralize</v>
      </c>
      <c r="D730" s="36" t="str">
        <f>IFERROR(__xludf.DUMMYFUNCTION("""COMPUTED_VALUE"""),"Legati")</f>
        <v>Legati</v>
      </c>
      <c r="E730" s="10" t="str">
        <f>IFERROR(__xludf.DUMMYFUNCTION("""COMPUTED_VALUE"""),"Solar")</f>
        <v>Solar</v>
      </c>
      <c r="F730" s="37">
        <f>IFERROR(__xludf.DUMMYFUNCTION("""COMPUTED_VALUE"""),56.72812331565353)</f>
        <v>56.72812332</v>
      </c>
      <c r="G730" s="38">
        <f>IFERROR(__xludf.DUMMYFUNCTION("""COMPUTED_VALUE"""),57.12694271941327)</f>
        <v>57.12694272</v>
      </c>
      <c r="H730" s="38">
        <f>IFERROR(__xludf.DUMMYFUNCTION("""COMPUTED_VALUE"""),56.9275330175334)</f>
        <v>56.92753302</v>
      </c>
      <c r="I730" s="14">
        <f>IFERROR(__xludf.DUMMYFUNCTION("""COMPUTED_VALUE"""),52.0)</f>
        <v>52</v>
      </c>
      <c r="J730" s="11">
        <f>IFERROR(__xludf.DUMMYFUNCTION("IFERROR(FILTER(Stats!$F:$Z,(Stats!$A:$A=$A730)*(Stats!$B:$B=$B730)))"),24.0)</f>
        <v>24</v>
      </c>
      <c r="K730" s="11">
        <f>IFERROR(__xludf.DUMMYFUNCTION("""COMPUTED_VALUE"""),28.0)</f>
        <v>28</v>
      </c>
      <c r="L730" s="12">
        <f>IFERROR(__xludf.DUMMYFUNCTION("""COMPUTED_VALUE"""),0.46153846153846156)</f>
        <v>0.4615384615</v>
      </c>
      <c r="M730" s="11">
        <f>IFERROR(__xludf.DUMMYFUNCTION("""COMPUTED_VALUE"""),6.0)</f>
        <v>6</v>
      </c>
      <c r="N730" s="11">
        <f>IFERROR(__xludf.DUMMYFUNCTION("""COMPUTED_VALUE"""),19238.0)</f>
        <v>19238</v>
      </c>
      <c r="O730" s="13">
        <f>IFERROR(__xludf.DUMMYFUNCTION("""COMPUTED_VALUE"""),42.0)</f>
        <v>42</v>
      </c>
      <c r="P730" s="14">
        <f>IFERROR(__xludf.DUMMYFUNCTION("""COMPUTED_VALUE"""),35.0)</f>
        <v>35</v>
      </c>
      <c r="Q730" s="13">
        <f>IFERROR(__xludf.DUMMYFUNCTION("""COMPUTED_VALUE"""),67.0)</f>
        <v>67</v>
      </c>
      <c r="R730" s="13">
        <f>IFERROR(__xludf.DUMMYFUNCTION("""COMPUTED_VALUE"""),143.0)</f>
        <v>143</v>
      </c>
      <c r="S730" s="15">
        <f>IFERROR(__xludf.DUMMYFUNCTION("""COMPUTED_VALUE"""),0.2937062937062937)</f>
        <v>0.2937062937</v>
      </c>
      <c r="T730" s="16">
        <f>IFERROR(__xludf.DUMMYFUNCTION("""COMPUTED_VALUE"""),369.96153846153845)</f>
        <v>369.9615385</v>
      </c>
      <c r="U730" s="16">
        <f>IFERROR(__xludf.DUMMYFUNCTION("""COMPUTED_VALUE"""),0.8076923076923077)</f>
        <v>0.8076923077</v>
      </c>
      <c r="V730" s="16">
        <f>IFERROR(__xludf.DUMMYFUNCTION("""COMPUTED_VALUE"""),0.6730769230769231)</f>
        <v>0.6730769231</v>
      </c>
      <c r="W730" s="16">
        <f>IFERROR(__xludf.DUMMYFUNCTION("""COMPUTED_VALUE"""),1.2884615384615385)</f>
        <v>1.288461538</v>
      </c>
      <c r="X730" s="16">
        <f>IFERROR(__xludf.DUMMYFUNCTION("""COMPUTED_VALUE"""),2.75)</f>
        <v>2.75</v>
      </c>
      <c r="Y730" s="11">
        <f>IFERROR(__xludf.DUMMYFUNCTION("""COMPUTED_VALUE"""),13.0)</f>
        <v>13</v>
      </c>
      <c r="Z730" s="11">
        <f>IFERROR(__xludf.DUMMYFUNCTION("""COMPUTED_VALUE"""),2.0)</f>
        <v>2</v>
      </c>
      <c r="AA730" s="11">
        <f>IFERROR(__xludf.DUMMYFUNCTION("""COMPUTED_VALUE"""),2.0)</f>
        <v>2</v>
      </c>
      <c r="AB730" s="11">
        <f>IFERROR(__xludf.DUMMYFUNCTION("""COMPUTED_VALUE"""),8.0)</f>
        <v>8</v>
      </c>
      <c r="AC730" s="11">
        <f>IFERROR(__xludf.DUMMYFUNCTION("""COMPUTED_VALUE"""),227.0)</f>
        <v>227</v>
      </c>
      <c r="AD730" s="11">
        <f>IFERROR(__xludf.DUMMYFUNCTION("""COMPUTED_VALUE"""),62.0)</f>
        <v>62</v>
      </c>
    </row>
    <row r="731">
      <c r="A731" s="10" t="str">
        <f>IFERROR(__xludf.DUMMYFUNCTION("""COMPUTED_VALUE"""),"Veteran")</f>
        <v>Veteran</v>
      </c>
      <c r="B731" s="10" t="str">
        <f>IFERROR(__xludf.DUMMYFUNCTION("""COMPUTED_VALUE"""),"RSC005165")</f>
        <v>RSC005165</v>
      </c>
      <c r="C731" s="10" t="str">
        <f>IFERROR(__xludf.DUMMYFUNCTION("""COMPUTED_VALUE"""),"Lucas")</f>
        <v>Lucas</v>
      </c>
      <c r="D731" s="36" t="str">
        <f>IFERROR(__xludf.DUMMYFUNCTION("""COMPUTED_VALUE"""),"Avalanche")</f>
        <v>Avalanche</v>
      </c>
      <c r="E731" s="10" t="str">
        <f>IFERROR(__xludf.DUMMYFUNCTION("""COMPUTED_VALUE"""),"Solar")</f>
        <v>Solar</v>
      </c>
      <c r="F731" s="37">
        <f>IFERROR(__xludf.DUMMYFUNCTION("""COMPUTED_VALUE"""),53.84596346835968)</f>
        <v>53.84596347</v>
      </c>
      <c r="G731" s="38">
        <f>IFERROR(__xludf.DUMMYFUNCTION("""COMPUTED_VALUE"""),59.64415324728428)</f>
        <v>59.64415325</v>
      </c>
      <c r="H731" s="38">
        <f>IFERROR(__xludf.DUMMYFUNCTION("""COMPUTED_VALUE"""),56.745058357821975)</f>
        <v>56.74505836</v>
      </c>
      <c r="I731" s="14">
        <f>IFERROR(__xludf.DUMMYFUNCTION("""COMPUTED_VALUE"""),56.0)</f>
        <v>56</v>
      </c>
      <c r="J731" s="11">
        <f>IFERROR(__xludf.DUMMYFUNCTION("IFERROR(FILTER(Stats!$F:$Z,(Stats!$A:$A=$A731)*(Stats!$B:$B=$B731)))"),33.0)</f>
        <v>33</v>
      </c>
      <c r="K731" s="11">
        <f>IFERROR(__xludf.DUMMYFUNCTION("""COMPUTED_VALUE"""),23.0)</f>
        <v>23</v>
      </c>
      <c r="L731" s="12">
        <f>IFERROR(__xludf.DUMMYFUNCTION("""COMPUTED_VALUE"""),0.5892857142857143)</f>
        <v>0.5892857143</v>
      </c>
      <c r="M731" s="11">
        <f>IFERROR(__xludf.DUMMYFUNCTION("""COMPUTED_VALUE"""),12.0)</f>
        <v>12</v>
      </c>
      <c r="N731" s="11">
        <f>IFERROR(__xludf.DUMMYFUNCTION("""COMPUTED_VALUE"""),20774.0)</f>
        <v>20774</v>
      </c>
      <c r="O731" s="13">
        <f>IFERROR(__xludf.DUMMYFUNCTION("""COMPUTED_VALUE"""),41.0)</f>
        <v>41</v>
      </c>
      <c r="P731" s="14">
        <f>IFERROR(__xludf.DUMMYFUNCTION("""COMPUTED_VALUE"""),40.0)</f>
        <v>40</v>
      </c>
      <c r="Q731" s="13">
        <f>IFERROR(__xludf.DUMMYFUNCTION("""COMPUTED_VALUE"""),90.0)</f>
        <v>90</v>
      </c>
      <c r="R731" s="13">
        <f>IFERROR(__xludf.DUMMYFUNCTION("""COMPUTED_VALUE"""),132.0)</f>
        <v>132</v>
      </c>
      <c r="S731" s="15">
        <f>IFERROR(__xludf.DUMMYFUNCTION("""COMPUTED_VALUE"""),0.3106060606060606)</f>
        <v>0.3106060606</v>
      </c>
      <c r="T731" s="16">
        <f>IFERROR(__xludf.DUMMYFUNCTION("""COMPUTED_VALUE"""),370.9642857142857)</f>
        <v>370.9642857</v>
      </c>
      <c r="U731" s="16">
        <f>IFERROR(__xludf.DUMMYFUNCTION("""COMPUTED_VALUE"""),0.7321428571428571)</f>
        <v>0.7321428571</v>
      </c>
      <c r="V731" s="16">
        <f>IFERROR(__xludf.DUMMYFUNCTION("""COMPUTED_VALUE"""),0.7142857142857143)</f>
        <v>0.7142857143</v>
      </c>
      <c r="W731" s="16">
        <f>IFERROR(__xludf.DUMMYFUNCTION("""COMPUTED_VALUE"""),1.6071428571428572)</f>
        <v>1.607142857</v>
      </c>
      <c r="X731" s="16">
        <f>IFERROR(__xludf.DUMMYFUNCTION("""COMPUTED_VALUE"""),2.357142857142857)</f>
        <v>2.357142857</v>
      </c>
      <c r="Y731" s="11">
        <f>IFERROR(__xludf.DUMMYFUNCTION("""COMPUTED_VALUE"""),10.0)</f>
        <v>10</v>
      </c>
      <c r="Z731" s="11">
        <f>IFERROR(__xludf.DUMMYFUNCTION("""COMPUTED_VALUE"""),3.0)</f>
        <v>3</v>
      </c>
      <c r="AA731" s="11">
        <f>IFERROR(__xludf.DUMMYFUNCTION("""COMPUTED_VALUE"""),3.0)</f>
        <v>3</v>
      </c>
      <c r="AB731" s="11">
        <f>IFERROR(__xludf.DUMMYFUNCTION("""COMPUTED_VALUE"""),11.0)</f>
        <v>11</v>
      </c>
      <c r="AC731" s="11">
        <f>IFERROR(__xludf.DUMMYFUNCTION("""COMPUTED_VALUE"""),101.0)</f>
        <v>101</v>
      </c>
      <c r="AD731" s="11">
        <f>IFERROR(__xludf.DUMMYFUNCTION("""COMPUTED_VALUE"""),56.0)</f>
        <v>56</v>
      </c>
    </row>
    <row r="732">
      <c r="A732" s="10" t="str">
        <f>IFERROR(__xludf.DUMMYFUNCTION("""COMPUTED_VALUE"""),"Veteran")</f>
        <v>Veteran</v>
      </c>
      <c r="B732" s="10" t="str">
        <f>IFERROR(__xludf.DUMMYFUNCTION("""COMPUTED_VALUE"""),"RSC008320")</f>
        <v>RSC008320</v>
      </c>
      <c r="C732" s="10" t="str">
        <f>IFERROR(__xludf.DUMMYFUNCTION("""COMPUTED_VALUE"""),"Jhammy.")</f>
        <v>Jhammy.</v>
      </c>
      <c r="D732" s="36" t="str">
        <f>IFERROR(__xludf.DUMMYFUNCTION("""COMPUTED_VALUE"""),"Street Rats")</f>
        <v>Street Rats</v>
      </c>
      <c r="E732" s="10" t="str">
        <f>IFERROR(__xludf.DUMMYFUNCTION("""COMPUTED_VALUE"""),"Solar")</f>
        <v>Solar</v>
      </c>
      <c r="F732" s="37">
        <f>IFERROR(__xludf.DUMMYFUNCTION("""COMPUTED_VALUE"""),60.175528521947015)</f>
        <v>60.17552852</v>
      </c>
      <c r="G732" s="38">
        <f>IFERROR(__xludf.DUMMYFUNCTION("""COMPUTED_VALUE"""),53.172942821202916)</f>
        <v>53.17294282</v>
      </c>
      <c r="H732" s="38">
        <f>IFERROR(__xludf.DUMMYFUNCTION("""COMPUTED_VALUE"""),56.67423567157496)</f>
        <v>56.67423567</v>
      </c>
      <c r="I732" s="14">
        <f>IFERROR(__xludf.DUMMYFUNCTION("""COMPUTED_VALUE"""),53.0)</f>
        <v>53</v>
      </c>
      <c r="J732" s="11">
        <f>IFERROR(__xludf.DUMMYFUNCTION("IFERROR(FILTER(Stats!$F:$Z,(Stats!$A:$A=$A732)*(Stats!$B:$B=$B732)))"),22.0)</f>
        <v>22</v>
      </c>
      <c r="K732" s="11">
        <f>IFERROR(__xludf.DUMMYFUNCTION("""COMPUTED_VALUE"""),31.0)</f>
        <v>31</v>
      </c>
      <c r="L732" s="12">
        <f>IFERROR(__xludf.DUMMYFUNCTION("""COMPUTED_VALUE"""),0.41509433962264153)</f>
        <v>0.4150943396</v>
      </c>
      <c r="M732" s="11">
        <f>IFERROR(__xludf.DUMMYFUNCTION("""COMPUTED_VALUE"""),8.0)</f>
        <v>8</v>
      </c>
      <c r="N732" s="11">
        <f>IFERROR(__xludf.DUMMYFUNCTION("""COMPUTED_VALUE"""),20257.0)</f>
        <v>20257</v>
      </c>
      <c r="O732" s="13">
        <f>IFERROR(__xludf.DUMMYFUNCTION("""COMPUTED_VALUE"""),40.0)</f>
        <v>40</v>
      </c>
      <c r="P732" s="14">
        <f>IFERROR(__xludf.DUMMYFUNCTION("""COMPUTED_VALUE"""),27.0)</f>
        <v>27</v>
      </c>
      <c r="Q732" s="13">
        <f>IFERROR(__xludf.DUMMYFUNCTION("""COMPUTED_VALUE"""),92.0)</f>
        <v>92</v>
      </c>
      <c r="R732" s="13">
        <f>IFERROR(__xludf.DUMMYFUNCTION("""COMPUTED_VALUE"""),146.0)</f>
        <v>146</v>
      </c>
      <c r="S732" s="15">
        <f>IFERROR(__xludf.DUMMYFUNCTION("""COMPUTED_VALUE"""),0.273972602739726)</f>
        <v>0.2739726027</v>
      </c>
      <c r="T732" s="16">
        <f>IFERROR(__xludf.DUMMYFUNCTION("""COMPUTED_VALUE"""),382.20754716981133)</f>
        <v>382.2075472</v>
      </c>
      <c r="U732" s="16">
        <f>IFERROR(__xludf.DUMMYFUNCTION("""COMPUTED_VALUE"""),0.7547169811320755)</f>
        <v>0.7547169811</v>
      </c>
      <c r="V732" s="16">
        <f>IFERROR(__xludf.DUMMYFUNCTION("""COMPUTED_VALUE"""),0.5094339622641509)</f>
        <v>0.5094339623</v>
      </c>
      <c r="W732" s="16">
        <f>IFERROR(__xludf.DUMMYFUNCTION("""COMPUTED_VALUE"""),1.7358490566037736)</f>
        <v>1.735849057</v>
      </c>
      <c r="X732" s="16">
        <f>IFERROR(__xludf.DUMMYFUNCTION("""COMPUTED_VALUE"""),2.7547169811320753)</f>
        <v>2.754716981</v>
      </c>
      <c r="Y732" s="11">
        <f>IFERROR(__xludf.DUMMYFUNCTION("""COMPUTED_VALUE"""),12.0)</f>
        <v>12</v>
      </c>
      <c r="Z732" s="11">
        <f>IFERROR(__xludf.DUMMYFUNCTION("""COMPUTED_VALUE"""),1.0)</f>
        <v>1</v>
      </c>
      <c r="AA732" s="11">
        <f>IFERROR(__xludf.DUMMYFUNCTION("""COMPUTED_VALUE"""),1.0)</f>
        <v>1</v>
      </c>
      <c r="AB732" s="11">
        <f>IFERROR(__xludf.DUMMYFUNCTION("""COMPUTED_VALUE"""),11.0)</f>
        <v>11</v>
      </c>
      <c r="AC732" s="11">
        <f>IFERROR(__xludf.DUMMYFUNCTION("""COMPUTED_VALUE"""),54.0)</f>
        <v>54</v>
      </c>
      <c r="AD732" s="11">
        <f>IFERROR(__xludf.DUMMYFUNCTION("""COMPUTED_VALUE"""),62.0)</f>
        <v>62</v>
      </c>
    </row>
    <row r="733">
      <c r="A733" s="10" t="str">
        <f>IFERROR(__xludf.DUMMYFUNCTION("""COMPUTED_VALUE"""),"Veteran")</f>
        <v>Veteran</v>
      </c>
      <c r="B733" s="10" t="str">
        <f>IFERROR(__xludf.DUMMYFUNCTION("""COMPUTED_VALUE"""),"RSC007512")</f>
        <v>RSC007512</v>
      </c>
      <c r="C733" s="10" t="str">
        <f>IFERROR(__xludf.DUMMYFUNCTION("""COMPUTED_VALUE"""),"BigGreenRL")</f>
        <v>BigGreenRL</v>
      </c>
      <c r="D733" s="36" t="str">
        <f>IFERROR(__xludf.DUMMYFUNCTION("""COMPUTED_VALUE"""),"Mosaic Maestros")</f>
        <v>Mosaic Maestros</v>
      </c>
      <c r="E733" s="10" t="str">
        <f>IFERROR(__xludf.DUMMYFUNCTION("""COMPUTED_VALUE"""),"Solar")</f>
        <v>Solar</v>
      </c>
      <c r="F733" s="37">
        <f>IFERROR(__xludf.DUMMYFUNCTION("""COMPUTED_VALUE"""),62.49288159869446)</f>
        <v>62.4928816</v>
      </c>
      <c r="G733" s="38">
        <f>IFERROR(__xludf.DUMMYFUNCTION("""COMPUTED_VALUE"""),50.64946997754172)</f>
        <v>50.64946998</v>
      </c>
      <c r="H733" s="38">
        <f>IFERROR(__xludf.DUMMYFUNCTION("""COMPUTED_VALUE"""),56.57117578811809)</f>
        <v>56.57117579</v>
      </c>
      <c r="I733" s="14">
        <f>IFERROR(__xludf.DUMMYFUNCTION("""COMPUTED_VALUE"""),44.0)</f>
        <v>44</v>
      </c>
      <c r="J733" s="11">
        <f>IFERROR(__xludf.DUMMYFUNCTION("IFERROR(FILTER(Stats!$F:$Z,(Stats!$A:$A=$A733)*(Stats!$B:$B=$B733)))"),17.0)</f>
        <v>17</v>
      </c>
      <c r="K733" s="11">
        <f>IFERROR(__xludf.DUMMYFUNCTION("""COMPUTED_VALUE"""),27.0)</f>
        <v>27</v>
      </c>
      <c r="L733" s="12">
        <f>IFERROR(__xludf.DUMMYFUNCTION("""COMPUTED_VALUE"""),0.38636363636363635)</f>
        <v>0.3863636364</v>
      </c>
      <c r="M733" s="11">
        <f>IFERROR(__xludf.DUMMYFUNCTION("""COMPUTED_VALUE"""),9.0)</f>
        <v>9</v>
      </c>
      <c r="N733" s="11">
        <f>IFERROR(__xludf.DUMMYFUNCTION("""COMPUTED_VALUE"""),17192.0)</f>
        <v>17192</v>
      </c>
      <c r="O733" s="13">
        <f>IFERROR(__xludf.DUMMYFUNCTION("""COMPUTED_VALUE"""),32.0)</f>
        <v>32</v>
      </c>
      <c r="P733" s="14">
        <f>IFERROR(__xludf.DUMMYFUNCTION("""COMPUTED_VALUE"""),25.0)</f>
        <v>25</v>
      </c>
      <c r="Q733" s="13">
        <f>IFERROR(__xludf.DUMMYFUNCTION("""COMPUTED_VALUE"""),74.0)</f>
        <v>74</v>
      </c>
      <c r="R733" s="13">
        <f>IFERROR(__xludf.DUMMYFUNCTION("""COMPUTED_VALUE"""),117.0)</f>
        <v>117</v>
      </c>
      <c r="S733" s="15">
        <f>IFERROR(__xludf.DUMMYFUNCTION("""COMPUTED_VALUE"""),0.27350427350427353)</f>
        <v>0.2735042735</v>
      </c>
      <c r="T733" s="16">
        <f>IFERROR(__xludf.DUMMYFUNCTION("""COMPUTED_VALUE"""),390.72727272727275)</f>
        <v>390.7272727</v>
      </c>
      <c r="U733" s="16">
        <f>IFERROR(__xludf.DUMMYFUNCTION("""COMPUTED_VALUE"""),0.7272727272727273)</f>
        <v>0.7272727273</v>
      </c>
      <c r="V733" s="16">
        <f>IFERROR(__xludf.DUMMYFUNCTION("""COMPUTED_VALUE"""),0.5681818181818182)</f>
        <v>0.5681818182</v>
      </c>
      <c r="W733" s="16">
        <f>IFERROR(__xludf.DUMMYFUNCTION("""COMPUTED_VALUE"""),1.6818181818181819)</f>
        <v>1.681818182</v>
      </c>
      <c r="X733" s="16">
        <f>IFERROR(__xludf.DUMMYFUNCTION("""COMPUTED_VALUE"""),2.659090909090909)</f>
        <v>2.659090909</v>
      </c>
      <c r="Y733" s="11">
        <f>IFERROR(__xludf.DUMMYFUNCTION("""COMPUTED_VALUE"""),11.0)</f>
        <v>11</v>
      </c>
      <c r="Z733" s="11">
        <f>IFERROR(__xludf.DUMMYFUNCTION("""COMPUTED_VALUE"""),3.0)</f>
        <v>3</v>
      </c>
      <c r="AA733" s="11">
        <f>IFERROR(__xludf.DUMMYFUNCTION("""COMPUTED_VALUE"""),0.0)</f>
        <v>0</v>
      </c>
      <c r="AB733" s="11">
        <f>IFERROR(__xludf.DUMMYFUNCTION("""COMPUTED_VALUE"""),11.0)</f>
        <v>11</v>
      </c>
      <c r="AC733" s="11">
        <f>IFERROR(__xludf.DUMMYFUNCTION("""COMPUTED_VALUE"""),50.0)</f>
        <v>50</v>
      </c>
      <c r="AD733" s="11">
        <f>IFERROR(__xludf.DUMMYFUNCTION("""COMPUTED_VALUE"""),48.0)</f>
        <v>48</v>
      </c>
    </row>
    <row r="734">
      <c r="A734" s="10" t="str">
        <f>IFERROR(__xludf.DUMMYFUNCTION("""COMPUTED_VALUE"""),"Veteran")</f>
        <v>Veteran</v>
      </c>
      <c r="B734" s="10" t="str">
        <f>IFERROR(__xludf.DUMMYFUNCTION("""COMPUTED_VALUE"""),"RSC008231")</f>
        <v>RSC008231</v>
      </c>
      <c r="C734" s="10" t="str">
        <f>IFERROR(__xludf.DUMMYFUNCTION("""COMPUTED_VALUE"""),"Afino")</f>
        <v>Afino</v>
      </c>
      <c r="D734" s="36" t="str">
        <f>IFERROR(__xludf.DUMMYFUNCTION("""COMPUTED_VALUE"""),"Nighthawks
Grizzly Bears")</f>
        <v>Nighthawks
Grizzly Bears</v>
      </c>
      <c r="E734" s="10" t="str">
        <f>IFERROR(__xludf.DUMMYFUNCTION("""COMPUTED_VALUE"""),"Lunar
Solar")</f>
        <v>Lunar
Solar</v>
      </c>
      <c r="F734" s="37">
        <f>IFERROR(__xludf.DUMMYFUNCTION("""COMPUTED_VALUE"""),58.227648808669976)</f>
        <v>58.22764881</v>
      </c>
      <c r="G734" s="38">
        <f>IFERROR(__xludf.DUMMYFUNCTION("""COMPUTED_VALUE"""),54.56064974662402)</f>
        <v>54.56064975</v>
      </c>
      <c r="H734" s="38">
        <f>IFERROR(__xludf.DUMMYFUNCTION("""COMPUTED_VALUE"""),56.394149277647)</f>
        <v>56.39414928</v>
      </c>
      <c r="I734" s="14">
        <f>IFERROR(__xludf.DUMMYFUNCTION("""COMPUTED_VALUE"""),37.0)</f>
        <v>37</v>
      </c>
      <c r="J734" s="11">
        <f>IFERROR(__xludf.DUMMYFUNCTION("IFERROR(FILTER(Stats!$F:$Z,(Stats!$A:$A=$A734)*(Stats!$B:$B=$B734)))"),21.0)</f>
        <v>21</v>
      </c>
      <c r="K734" s="11">
        <f>IFERROR(__xludf.DUMMYFUNCTION("""COMPUTED_VALUE"""),16.0)</f>
        <v>16</v>
      </c>
      <c r="L734" s="12">
        <f>IFERROR(__xludf.DUMMYFUNCTION("""COMPUTED_VALUE"""),0.5675675675675675)</f>
        <v>0.5675675676</v>
      </c>
      <c r="M734" s="11">
        <f>IFERROR(__xludf.DUMMYFUNCTION("""COMPUTED_VALUE"""),4.0)</f>
        <v>4</v>
      </c>
      <c r="N734" s="11">
        <f>IFERROR(__xludf.DUMMYFUNCTION("""COMPUTED_VALUE"""),12481.0)</f>
        <v>12481</v>
      </c>
      <c r="O734" s="13">
        <f>IFERROR(__xludf.DUMMYFUNCTION("""COMPUTED_VALUE"""),25.0)</f>
        <v>25</v>
      </c>
      <c r="P734" s="14">
        <f>IFERROR(__xludf.DUMMYFUNCTION("""COMPUTED_VALUE"""),28.0)</f>
        <v>28</v>
      </c>
      <c r="Q734" s="13">
        <f>IFERROR(__xludf.DUMMYFUNCTION("""COMPUTED_VALUE"""),45.0)</f>
        <v>45</v>
      </c>
      <c r="R734" s="13">
        <f>IFERROR(__xludf.DUMMYFUNCTION("""COMPUTED_VALUE"""),87.0)</f>
        <v>87</v>
      </c>
      <c r="S734" s="15">
        <f>IFERROR(__xludf.DUMMYFUNCTION("""COMPUTED_VALUE"""),0.28735632183908044)</f>
        <v>0.2873563218</v>
      </c>
      <c r="T734" s="16">
        <f>IFERROR(__xludf.DUMMYFUNCTION("""COMPUTED_VALUE"""),337.3243243243243)</f>
        <v>337.3243243</v>
      </c>
      <c r="U734" s="16">
        <f>IFERROR(__xludf.DUMMYFUNCTION("""COMPUTED_VALUE"""),0.6756756756756757)</f>
        <v>0.6756756757</v>
      </c>
      <c r="V734" s="16">
        <f>IFERROR(__xludf.DUMMYFUNCTION("""COMPUTED_VALUE"""),0.7567567567567568)</f>
        <v>0.7567567568</v>
      </c>
      <c r="W734" s="16">
        <f>IFERROR(__xludf.DUMMYFUNCTION("""COMPUTED_VALUE"""),1.2162162162162162)</f>
        <v>1.216216216</v>
      </c>
      <c r="X734" s="16">
        <f>IFERROR(__xludf.DUMMYFUNCTION("""COMPUTED_VALUE"""),2.3513513513513513)</f>
        <v>2.351351351</v>
      </c>
      <c r="Y734" s="11">
        <f>IFERROR(__xludf.DUMMYFUNCTION("""COMPUTED_VALUE"""),7.0)</f>
        <v>7</v>
      </c>
      <c r="Z734" s="11">
        <f>IFERROR(__xludf.DUMMYFUNCTION("""COMPUTED_VALUE"""),2.0)</f>
        <v>2</v>
      </c>
      <c r="AA734" s="11">
        <f>IFERROR(__xludf.DUMMYFUNCTION("""COMPUTED_VALUE"""),0.0)</f>
        <v>0</v>
      </c>
      <c r="AB734" s="11">
        <f>IFERROR(__xludf.DUMMYFUNCTION("""COMPUTED_VALUE"""),6.0)</f>
        <v>6</v>
      </c>
      <c r="AC734" s="11">
        <f>IFERROR(__xludf.DUMMYFUNCTION("""COMPUTED_VALUE"""),109.0)</f>
        <v>109</v>
      </c>
      <c r="AD734" s="11">
        <f>IFERROR(__xludf.DUMMYFUNCTION("""COMPUTED_VALUE"""),41.0)</f>
        <v>41</v>
      </c>
    </row>
    <row r="735">
      <c r="A735" s="10" t="str">
        <f>IFERROR(__xludf.DUMMYFUNCTION("""COMPUTED_VALUE"""),"Veteran")</f>
        <v>Veteran</v>
      </c>
      <c r="B735" s="10" t="str">
        <f>IFERROR(__xludf.DUMMYFUNCTION("""COMPUTED_VALUE"""),"RSC008325")</f>
        <v>RSC008325</v>
      </c>
      <c r="C735" s="10" t="str">
        <f>IFERROR(__xludf.DUMMYFUNCTION("""COMPUTED_VALUE"""),"Jxc1zz")</f>
        <v>Jxc1zz</v>
      </c>
      <c r="D735" s="36" t="str">
        <f>IFERROR(__xludf.DUMMYFUNCTION("""COMPUTED_VALUE"""),"Singularity")</f>
        <v>Singularity</v>
      </c>
      <c r="E735" s="10" t="str">
        <f>IFERROR(__xludf.DUMMYFUNCTION("""COMPUTED_VALUE"""),"Solar")</f>
        <v>Solar</v>
      </c>
      <c r="F735" s="37">
        <f>IFERROR(__xludf.DUMMYFUNCTION("""COMPUTED_VALUE"""),60.13090636869121)</f>
        <v>60.13090637</v>
      </c>
      <c r="G735" s="38">
        <f>IFERROR(__xludf.DUMMYFUNCTION("""COMPUTED_VALUE"""),52.516762277617985)</f>
        <v>52.51676228</v>
      </c>
      <c r="H735" s="38">
        <f>IFERROR(__xludf.DUMMYFUNCTION("""COMPUTED_VALUE"""),56.3238343231546)</f>
        <v>56.32383432</v>
      </c>
      <c r="I735" s="14">
        <f>IFERROR(__xludf.DUMMYFUNCTION("""COMPUTED_VALUE"""),12.0)</f>
        <v>12</v>
      </c>
      <c r="J735" s="11">
        <f>IFERROR(__xludf.DUMMYFUNCTION("IFERROR(FILTER(Stats!$F:$Z,(Stats!$A:$A=$A735)*(Stats!$B:$B=$B735)))"),4.0)</f>
        <v>4</v>
      </c>
      <c r="K735" s="11">
        <f>IFERROR(__xludf.DUMMYFUNCTION("""COMPUTED_VALUE"""),8.0)</f>
        <v>8</v>
      </c>
      <c r="L735" s="12">
        <f>IFERROR(__xludf.DUMMYFUNCTION("""COMPUTED_VALUE"""),0.3333333333333333)</f>
        <v>0.3333333333</v>
      </c>
      <c r="M735" s="11">
        <f>IFERROR(__xludf.DUMMYFUNCTION("""COMPUTED_VALUE"""),2.0)</f>
        <v>2</v>
      </c>
      <c r="N735" s="11">
        <f>IFERROR(__xludf.DUMMYFUNCTION("""COMPUTED_VALUE"""),4831.0)</f>
        <v>4831</v>
      </c>
      <c r="O735" s="13">
        <f>IFERROR(__xludf.DUMMYFUNCTION("""COMPUTED_VALUE"""),11.0)</f>
        <v>11</v>
      </c>
      <c r="P735" s="14">
        <f>IFERROR(__xludf.DUMMYFUNCTION("""COMPUTED_VALUE"""),7.0)</f>
        <v>7</v>
      </c>
      <c r="Q735" s="13">
        <f>IFERROR(__xludf.DUMMYFUNCTION("""COMPUTED_VALUE"""),19.0)</f>
        <v>19</v>
      </c>
      <c r="R735" s="13">
        <f>IFERROR(__xludf.DUMMYFUNCTION("""COMPUTED_VALUE"""),30.0)</f>
        <v>30</v>
      </c>
      <c r="S735" s="15">
        <f>IFERROR(__xludf.DUMMYFUNCTION("""COMPUTED_VALUE"""),0.36666666666666664)</f>
        <v>0.3666666667</v>
      </c>
      <c r="T735" s="16">
        <f>IFERROR(__xludf.DUMMYFUNCTION("""COMPUTED_VALUE"""),402.5833333333333)</f>
        <v>402.5833333</v>
      </c>
      <c r="U735" s="16">
        <f>IFERROR(__xludf.DUMMYFUNCTION("""COMPUTED_VALUE"""),0.9166666666666666)</f>
        <v>0.9166666667</v>
      </c>
      <c r="V735" s="16">
        <f>IFERROR(__xludf.DUMMYFUNCTION("""COMPUTED_VALUE"""),0.5833333333333334)</f>
        <v>0.5833333333</v>
      </c>
      <c r="W735" s="16">
        <f>IFERROR(__xludf.DUMMYFUNCTION("""COMPUTED_VALUE"""),1.5833333333333333)</f>
        <v>1.583333333</v>
      </c>
      <c r="X735" s="16">
        <f>IFERROR(__xludf.DUMMYFUNCTION("""COMPUTED_VALUE"""),2.5)</f>
        <v>2.5</v>
      </c>
      <c r="Y735" s="11">
        <f>IFERROR(__xludf.DUMMYFUNCTION("""COMPUTED_VALUE"""),3.0)</f>
        <v>3</v>
      </c>
      <c r="Z735" s="11">
        <f>IFERROR(__xludf.DUMMYFUNCTION("""COMPUTED_VALUE"""),2.0)</f>
        <v>2</v>
      </c>
      <c r="AA735" s="11">
        <f>IFERROR(__xludf.DUMMYFUNCTION("""COMPUTED_VALUE"""),0.0)</f>
        <v>0</v>
      </c>
      <c r="AB735" s="11">
        <f>IFERROR(__xludf.DUMMYFUNCTION("""COMPUTED_VALUE"""),1.0)</f>
        <v>1</v>
      </c>
      <c r="AC735" s="11">
        <f>IFERROR(__xludf.DUMMYFUNCTION("""COMPUTED_VALUE"""),8.0)</f>
        <v>8</v>
      </c>
      <c r="AD735" s="11">
        <f>IFERROR(__xludf.DUMMYFUNCTION("""COMPUTED_VALUE"""),12.0)</f>
        <v>12</v>
      </c>
    </row>
    <row r="736">
      <c r="A736" s="10" t="str">
        <f>IFERROR(__xludf.DUMMYFUNCTION("""COMPUTED_VALUE"""),"Veteran")</f>
        <v>Veteran</v>
      </c>
      <c r="B736" s="10" t="str">
        <f>IFERROR(__xludf.DUMMYFUNCTION("""COMPUTED_VALUE"""),"RSC006314")</f>
        <v>RSC006314</v>
      </c>
      <c r="C736" s="10" t="str">
        <f>IFERROR(__xludf.DUMMYFUNCTION("""COMPUTED_VALUE"""),"Mimetic")</f>
        <v>Mimetic</v>
      </c>
      <c r="D736" s="36" t="str">
        <f>IFERROR(__xludf.DUMMYFUNCTION("""COMPUTED_VALUE"""),"Avalanche
Peppermint")</f>
        <v>Avalanche
Peppermint</v>
      </c>
      <c r="E736" s="10" t="str">
        <f>IFERROR(__xludf.DUMMYFUNCTION("""COMPUTED_VALUE"""),"Solar
Solar")</f>
        <v>Solar
Solar</v>
      </c>
      <c r="F736" s="37">
        <f>IFERROR(__xludf.DUMMYFUNCTION("""COMPUTED_VALUE"""),49.24872428788111)</f>
        <v>49.24872429</v>
      </c>
      <c r="G736" s="38">
        <f>IFERROR(__xludf.DUMMYFUNCTION("""COMPUTED_VALUE"""),62.16364210623261)</f>
        <v>62.16364211</v>
      </c>
      <c r="H736" s="38">
        <f>IFERROR(__xludf.DUMMYFUNCTION("""COMPUTED_VALUE"""),55.70618319705686)</f>
        <v>55.7061832</v>
      </c>
      <c r="I736" s="14">
        <f>IFERROR(__xludf.DUMMYFUNCTION("""COMPUTED_VALUE"""),47.0)</f>
        <v>47</v>
      </c>
      <c r="J736" s="11">
        <f>IFERROR(__xludf.DUMMYFUNCTION("IFERROR(FILTER(Stats!$F:$Z,(Stats!$A:$A=$A736)*(Stats!$B:$B=$B736)))"),26.0)</f>
        <v>26</v>
      </c>
      <c r="K736" s="11">
        <f>IFERROR(__xludf.DUMMYFUNCTION("""COMPUTED_VALUE"""),21.0)</f>
        <v>21</v>
      </c>
      <c r="L736" s="12">
        <f>IFERROR(__xludf.DUMMYFUNCTION("""COMPUTED_VALUE"""),0.5531914893617021)</f>
        <v>0.5531914894</v>
      </c>
      <c r="M736" s="11">
        <f>IFERROR(__xludf.DUMMYFUNCTION("""COMPUTED_VALUE"""),9.0)</f>
        <v>9</v>
      </c>
      <c r="N736" s="11">
        <f>IFERROR(__xludf.DUMMYFUNCTION("""COMPUTED_VALUE"""),16572.0)</f>
        <v>16572</v>
      </c>
      <c r="O736" s="13">
        <f>IFERROR(__xludf.DUMMYFUNCTION("""COMPUTED_VALUE"""),37.0)</f>
        <v>37</v>
      </c>
      <c r="P736" s="14">
        <f>IFERROR(__xludf.DUMMYFUNCTION("""COMPUTED_VALUE"""),34.0)</f>
        <v>34</v>
      </c>
      <c r="Q736" s="13">
        <f>IFERROR(__xludf.DUMMYFUNCTION("""COMPUTED_VALUE"""),56.0)</f>
        <v>56</v>
      </c>
      <c r="R736" s="13">
        <f>IFERROR(__xludf.DUMMYFUNCTION("""COMPUTED_VALUE"""),126.0)</f>
        <v>126</v>
      </c>
      <c r="S736" s="15">
        <f>IFERROR(__xludf.DUMMYFUNCTION("""COMPUTED_VALUE"""),0.29365079365079366)</f>
        <v>0.2936507937</v>
      </c>
      <c r="T736" s="16">
        <f>IFERROR(__xludf.DUMMYFUNCTION("""COMPUTED_VALUE"""),352.59574468085106)</f>
        <v>352.5957447</v>
      </c>
      <c r="U736" s="16">
        <f>IFERROR(__xludf.DUMMYFUNCTION("""COMPUTED_VALUE"""),0.7872340425531915)</f>
        <v>0.7872340426</v>
      </c>
      <c r="V736" s="16">
        <f>IFERROR(__xludf.DUMMYFUNCTION("""COMPUTED_VALUE"""),0.723404255319149)</f>
        <v>0.7234042553</v>
      </c>
      <c r="W736" s="16">
        <f>IFERROR(__xludf.DUMMYFUNCTION("""COMPUTED_VALUE"""),1.1914893617021276)</f>
        <v>1.191489362</v>
      </c>
      <c r="X736" s="16">
        <f>IFERROR(__xludf.DUMMYFUNCTION("""COMPUTED_VALUE"""),2.6808510638297873)</f>
        <v>2.680851064</v>
      </c>
      <c r="Y736" s="11">
        <f>IFERROR(__xludf.DUMMYFUNCTION("""COMPUTED_VALUE"""),10.0)</f>
        <v>10</v>
      </c>
      <c r="Z736" s="11">
        <f>IFERROR(__xludf.DUMMYFUNCTION("""COMPUTED_VALUE"""),3.0)</f>
        <v>3</v>
      </c>
      <c r="AA736" s="11">
        <f>IFERROR(__xludf.DUMMYFUNCTION("""COMPUTED_VALUE"""),1.0)</f>
        <v>1</v>
      </c>
      <c r="AB736" s="11">
        <f>IFERROR(__xludf.DUMMYFUNCTION("""COMPUTED_VALUE"""),4.0)</f>
        <v>4</v>
      </c>
      <c r="AC736" s="11">
        <f>IFERROR(__xludf.DUMMYFUNCTION("""COMPUTED_VALUE"""),55.0)</f>
        <v>55</v>
      </c>
      <c r="AD736" s="11">
        <f>IFERROR(__xludf.DUMMYFUNCTION("""COMPUTED_VALUE"""),63.0)</f>
        <v>63</v>
      </c>
    </row>
    <row r="737">
      <c r="A737" s="10" t="str">
        <f>IFERROR(__xludf.DUMMYFUNCTION("""COMPUTED_VALUE"""),"Veteran")</f>
        <v>Veteran</v>
      </c>
      <c r="B737" s="10" t="str">
        <f>IFERROR(__xludf.DUMMYFUNCTION("""COMPUTED_VALUE"""),"RSC008455")</f>
        <v>RSC008455</v>
      </c>
      <c r="C737" s="10" t="str">
        <f>IFERROR(__xludf.DUMMYFUNCTION("""COMPUTED_VALUE"""),"Craque")</f>
        <v>Craque</v>
      </c>
      <c r="D737" s="36" t="str">
        <f>IFERROR(__xludf.DUMMYFUNCTION("""COMPUTED_VALUE"""),"Grizzly Bears")</f>
        <v>Grizzly Bears</v>
      </c>
      <c r="E737" s="10" t="str">
        <f>IFERROR(__xludf.DUMMYFUNCTION("""COMPUTED_VALUE"""),"Solar")</f>
        <v>Solar</v>
      </c>
      <c r="F737" s="37">
        <f>IFERROR(__xludf.DUMMYFUNCTION("""COMPUTED_VALUE"""),65.11220067689196)</f>
        <v>65.11220068</v>
      </c>
      <c r="G737" s="38">
        <f>IFERROR(__xludf.DUMMYFUNCTION("""COMPUTED_VALUE"""),46.26428017589022)</f>
        <v>46.26428018</v>
      </c>
      <c r="H737" s="38">
        <f>IFERROR(__xludf.DUMMYFUNCTION("""COMPUTED_VALUE"""),55.68824042639109)</f>
        <v>55.68824043</v>
      </c>
      <c r="I737" s="14">
        <f>IFERROR(__xludf.DUMMYFUNCTION("""COMPUTED_VALUE"""),52.0)</f>
        <v>52</v>
      </c>
      <c r="J737" s="11">
        <f>IFERROR(__xludf.DUMMYFUNCTION("IFERROR(FILTER(Stats!$F:$Z,(Stats!$A:$A=$A737)*(Stats!$B:$B=$B737)))"),24.0)</f>
        <v>24</v>
      </c>
      <c r="K737" s="11">
        <f>IFERROR(__xludf.DUMMYFUNCTION("""COMPUTED_VALUE"""),28.0)</f>
        <v>28</v>
      </c>
      <c r="L737" s="12">
        <f>IFERROR(__xludf.DUMMYFUNCTION("""COMPUTED_VALUE"""),0.46153846153846156)</f>
        <v>0.4615384615</v>
      </c>
      <c r="M737" s="11">
        <f>IFERROR(__xludf.DUMMYFUNCTION("""COMPUTED_VALUE"""),11.0)</f>
        <v>11</v>
      </c>
      <c r="N737" s="11">
        <f>IFERROR(__xludf.DUMMYFUNCTION("""COMPUTED_VALUE"""),19877.0)</f>
        <v>19877</v>
      </c>
      <c r="O737" s="13">
        <f>IFERROR(__xludf.DUMMYFUNCTION("""COMPUTED_VALUE"""),41.0)</f>
        <v>41</v>
      </c>
      <c r="P737" s="14">
        <f>IFERROR(__xludf.DUMMYFUNCTION("""COMPUTED_VALUE"""),22.0)</f>
        <v>22</v>
      </c>
      <c r="Q737" s="13">
        <f>IFERROR(__xludf.DUMMYFUNCTION("""COMPUTED_VALUE"""),85.0)</f>
        <v>85</v>
      </c>
      <c r="R737" s="13">
        <f>IFERROR(__xludf.DUMMYFUNCTION("""COMPUTED_VALUE"""),119.0)</f>
        <v>119</v>
      </c>
      <c r="S737" s="15">
        <f>IFERROR(__xludf.DUMMYFUNCTION("""COMPUTED_VALUE"""),0.3445378151260504)</f>
        <v>0.3445378151</v>
      </c>
      <c r="T737" s="16">
        <f>IFERROR(__xludf.DUMMYFUNCTION("""COMPUTED_VALUE"""),382.25)</f>
        <v>382.25</v>
      </c>
      <c r="U737" s="16">
        <f>IFERROR(__xludf.DUMMYFUNCTION("""COMPUTED_VALUE"""),0.7884615384615384)</f>
        <v>0.7884615385</v>
      </c>
      <c r="V737" s="16">
        <f>IFERROR(__xludf.DUMMYFUNCTION("""COMPUTED_VALUE"""),0.4230769230769231)</f>
        <v>0.4230769231</v>
      </c>
      <c r="W737" s="16">
        <f>IFERROR(__xludf.DUMMYFUNCTION("""COMPUTED_VALUE"""),1.6346153846153846)</f>
        <v>1.634615385</v>
      </c>
      <c r="X737" s="16">
        <f>IFERROR(__xludf.DUMMYFUNCTION("""COMPUTED_VALUE"""),2.2884615384615383)</f>
        <v>2.288461538</v>
      </c>
      <c r="Y737" s="11">
        <f>IFERROR(__xludf.DUMMYFUNCTION("""COMPUTED_VALUE"""),9.0)</f>
        <v>9</v>
      </c>
      <c r="Z737" s="11">
        <f>IFERROR(__xludf.DUMMYFUNCTION("""COMPUTED_VALUE"""),0.0)</f>
        <v>0</v>
      </c>
      <c r="AA737" s="11">
        <f>IFERROR(__xludf.DUMMYFUNCTION("""COMPUTED_VALUE"""),1.0)</f>
        <v>1</v>
      </c>
      <c r="AB737" s="11">
        <f>IFERROR(__xludf.DUMMYFUNCTION("""COMPUTED_VALUE"""),12.0)</f>
        <v>12</v>
      </c>
      <c r="AC737" s="11">
        <f>IFERROR(__xludf.DUMMYFUNCTION("""COMPUTED_VALUE"""),50.0)</f>
        <v>50</v>
      </c>
      <c r="AD737" s="11">
        <f>IFERROR(__xludf.DUMMYFUNCTION("""COMPUTED_VALUE"""),48.0)</f>
        <v>48</v>
      </c>
    </row>
    <row r="738">
      <c r="A738" s="10" t="str">
        <f>IFERROR(__xludf.DUMMYFUNCTION("""COMPUTED_VALUE"""),"Veteran")</f>
        <v>Veteran</v>
      </c>
      <c r="B738" s="10" t="str">
        <f>IFERROR(__xludf.DUMMYFUNCTION("""COMPUTED_VALUE"""),"RSC004220")</f>
        <v>RSC004220</v>
      </c>
      <c r="C738" s="10" t="str">
        <f>IFERROR(__xludf.DUMMYFUNCTION("""COMPUTED_VALUE"""),"Logixaal")</f>
        <v>Logixaal</v>
      </c>
      <c r="D738" s="36" t="str">
        <f>IFERROR(__xludf.DUMMYFUNCTION("""COMPUTED_VALUE"""),"Makos")</f>
        <v>Makos</v>
      </c>
      <c r="E738" s="10" t="str">
        <f>IFERROR(__xludf.DUMMYFUNCTION("""COMPUTED_VALUE"""),"Solar")</f>
        <v>Solar</v>
      </c>
      <c r="F738" s="37">
        <f>IFERROR(__xludf.DUMMYFUNCTION("""COMPUTED_VALUE"""),51.70000437119173)</f>
        <v>51.70000437</v>
      </c>
      <c r="G738" s="38">
        <f>IFERROR(__xludf.DUMMYFUNCTION("""COMPUTED_VALUE"""),59.00439739564309)</f>
        <v>59.0043974</v>
      </c>
      <c r="H738" s="38">
        <f>IFERROR(__xludf.DUMMYFUNCTION("""COMPUTED_VALUE"""),55.35220088341741)</f>
        <v>55.35220088</v>
      </c>
      <c r="I738" s="14">
        <f>IFERROR(__xludf.DUMMYFUNCTION("""COMPUTED_VALUE"""),56.0)</f>
        <v>56</v>
      </c>
      <c r="J738" s="11">
        <f>IFERROR(__xludf.DUMMYFUNCTION("IFERROR(FILTER(Stats!$F:$Z,(Stats!$A:$A=$A738)*(Stats!$B:$B=$B738)))"),37.0)</f>
        <v>37</v>
      </c>
      <c r="K738" s="11">
        <f>IFERROR(__xludf.DUMMYFUNCTION("""COMPUTED_VALUE"""),19.0)</f>
        <v>19</v>
      </c>
      <c r="L738" s="12">
        <f>IFERROR(__xludf.DUMMYFUNCTION("""COMPUTED_VALUE"""),0.6607142857142857)</f>
        <v>0.6607142857</v>
      </c>
      <c r="M738" s="11">
        <f>IFERROR(__xludf.DUMMYFUNCTION("""COMPUTED_VALUE"""),5.0)</f>
        <v>5</v>
      </c>
      <c r="N738" s="11">
        <f>IFERROR(__xludf.DUMMYFUNCTION("""COMPUTED_VALUE"""),18710.0)</f>
        <v>18710</v>
      </c>
      <c r="O738" s="13">
        <f>IFERROR(__xludf.DUMMYFUNCTION("""COMPUTED_VALUE"""),37.0)</f>
        <v>37</v>
      </c>
      <c r="P738" s="14">
        <f>IFERROR(__xludf.DUMMYFUNCTION("""COMPUTED_VALUE"""),40.0)</f>
        <v>40</v>
      </c>
      <c r="Q738" s="13">
        <f>IFERROR(__xludf.DUMMYFUNCTION("""COMPUTED_VALUE"""),63.0)</f>
        <v>63</v>
      </c>
      <c r="R738" s="13">
        <f>IFERROR(__xludf.DUMMYFUNCTION("""COMPUTED_VALUE"""),127.0)</f>
        <v>127</v>
      </c>
      <c r="S738" s="15">
        <f>IFERROR(__xludf.DUMMYFUNCTION("""COMPUTED_VALUE"""),0.29133858267716534)</f>
        <v>0.2913385827</v>
      </c>
      <c r="T738" s="16">
        <f>IFERROR(__xludf.DUMMYFUNCTION("""COMPUTED_VALUE"""),334.10714285714283)</f>
        <v>334.1071429</v>
      </c>
      <c r="U738" s="16">
        <f>IFERROR(__xludf.DUMMYFUNCTION("""COMPUTED_VALUE"""),0.6607142857142857)</f>
        <v>0.6607142857</v>
      </c>
      <c r="V738" s="16">
        <f>IFERROR(__xludf.DUMMYFUNCTION("""COMPUTED_VALUE"""),0.7142857142857143)</f>
        <v>0.7142857143</v>
      </c>
      <c r="W738" s="16">
        <f>IFERROR(__xludf.DUMMYFUNCTION("""COMPUTED_VALUE"""),1.125)</f>
        <v>1.125</v>
      </c>
      <c r="X738" s="16">
        <f>IFERROR(__xludf.DUMMYFUNCTION("""COMPUTED_VALUE"""),2.267857142857143)</f>
        <v>2.267857143</v>
      </c>
      <c r="Y738" s="11">
        <f>IFERROR(__xludf.DUMMYFUNCTION("""COMPUTED_VALUE"""),9.0)</f>
        <v>9</v>
      </c>
      <c r="Z738" s="11">
        <f>IFERROR(__xludf.DUMMYFUNCTION("""COMPUTED_VALUE"""),1.0)</f>
        <v>1</v>
      </c>
      <c r="AA738" s="11">
        <f>IFERROR(__xludf.DUMMYFUNCTION("""COMPUTED_VALUE"""),2.0)</f>
        <v>2</v>
      </c>
      <c r="AB738" s="11">
        <f>IFERROR(__xludf.DUMMYFUNCTION("""COMPUTED_VALUE"""),6.0)</f>
        <v>6</v>
      </c>
      <c r="AC738" s="11">
        <f>IFERROR(__xludf.DUMMYFUNCTION("""COMPUTED_VALUE"""),44.0)</f>
        <v>44</v>
      </c>
      <c r="AD738" s="11">
        <f>IFERROR(__xludf.DUMMYFUNCTION("""COMPUTED_VALUE"""),62.0)</f>
        <v>62</v>
      </c>
    </row>
    <row r="739">
      <c r="A739" s="10" t="str">
        <f>IFERROR(__xludf.DUMMYFUNCTION("""COMPUTED_VALUE"""),"Veteran")</f>
        <v>Veteran</v>
      </c>
      <c r="B739" s="10" t="str">
        <f>IFERROR(__xludf.DUMMYFUNCTION("""COMPUTED_VALUE"""),"RSC005257")</f>
        <v>RSC005257</v>
      </c>
      <c r="C739" s="10" t="str">
        <f>IFERROR(__xludf.DUMMYFUNCTION("""COMPUTED_VALUE"""),"P0pfgf")</f>
        <v>P0pfgf</v>
      </c>
      <c r="D739" s="36" t="str">
        <f>IFERROR(__xludf.DUMMYFUNCTION("""COMPUTED_VALUE"""),"Sons of Ares")</f>
        <v>Sons of Ares</v>
      </c>
      <c r="E739" s="10" t="str">
        <f>IFERROR(__xludf.DUMMYFUNCTION("""COMPUTED_VALUE"""),"Solar")</f>
        <v>Solar</v>
      </c>
      <c r="F739" s="37">
        <f>IFERROR(__xludf.DUMMYFUNCTION("""COMPUTED_VALUE"""),54.87305854627266)</f>
        <v>54.87305855</v>
      </c>
      <c r="G739" s="38">
        <f>IFERROR(__xludf.DUMMYFUNCTION("""COMPUTED_VALUE"""),54.46500031080454)</f>
        <v>54.46500031</v>
      </c>
      <c r="H739" s="38">
        <f>IFERROR(__xludf.DUMMYFUNCTION("""COMPUTED_VALUE"""),54.6690294285386)</f>
        <v>54.66902943</v>
      </c>
      <c r="I739" s="14">
        <f>IFERROR(__xludf.DUMMYFUNCTION("""COMPUTED_VALUE"""),54.0)</f>
        <v>54</v>
      </c>
      <c r="J739" s="11">
        <f>IFERROR(__xludf.DUMMYFUNCTION("IFERROR(FILTER(Stats!$F:$Z,(Stats!$A:$A=$A739)*(Stats!$B:$B=$B739)))"),32.0)</f>
        <v>32</v>
      </c>
      <c r="K739" s="11">
        <f>IFERROR(__xludf.DUMMYFUNCTION("""COMPUTED_VALUE"""),22.0)</f>
        <v>22</v>
      </c>
      <c r="L739" s="12">
        <f>IFERROR(__xludf.DUMMYFUNCTION("""COMPUTED_VALUE"""),0.5925925925925926)</f>
        <v>0.5925925926</v>
      </c>
      <c r="M739" s="11">
        <f>IFERROR(__xludf.DUMMYFUNCTION("""COMPUTED_VALUE"""),8.0)</f>
        <v>8</v>
      </c>
      <c r="N739" s="11">
        <f>IFERROR(__xludf.DUMMYFUNCTION("""COMPUTED_VALUE"""),18220.0)</f>
        <v>18220</v>
      </c>
      <c r="O739" s="13">
        <f>IFERROR(__xludf.DUMMYFUNCTION("""COMPUTED_VALUE"""),39.0)</f>
        <v>39</v>
      </c>
      <c r="P739" s="14">
        <f>IFERROR(__xludf.DUMMYFUNCTION("""COMPUTED_VALUE"""),30.0)</f>
        <v>30</v>
      </c>
      <c r="Q739" s="13">
        <f>IFERROR(__xludf.DUMMYFUNCTION("""COMPUTED_VALUE"""),66.0)</f>
        <v>66</v>
      </c>
      <c r="R739" s="13">
        <f>IFERROR(__xludf.DUMMYFUNCTION("""COMPUTED_VALUE"""),131.0)</f>
        <v>131</v>
      </c>
      <c r="S739" s="15">
        <f>IFERROR(__xludf.DUMMYFUNCTION("""COMPUTED_VALUE"""),0.29770992366412213)</f>
        <v>0.2977099237</v>
      </c>
      <c r="T739" s="16">
        <f>IFERROR(__xludf.DUMMYFUNCTION("""COMPUTED_VALUE"""),337.4074074074074)</f>
        <v>337.4074074</v>
      </c>
      <c r="U739" s="16">
        <f>IFERROR(__xludf.DUMMYFUNCTION("""COMPUTED_VALUE"""),0.7222222222222222)</f>
        <v>0.7222222222</v>
      </c>
      <c r="V739" s="16">
        <f>IFERROR(__xludf.DUMMYFUNCTION("""COMPUTED_VALUE"""),0.5555555555555556)</f>
        <v>0.5555555556</v>
      </c>
      <c r="W739" s="16">
        <f>IFERROR(__xludf.DUMMYFUNCTION("""COMPUTED_VALUE"""),1.2222222222222223)</f>
        <v>1.222222222</v>
      </c>
      <c r="X739" s="16">
        <f>IFERROR(__xludf.DUMMYFUNCTION("""COMPUTED_VALUE"""),2.425925925925926)</f>
        <v>2.425925926</v>
      </c>
      <c r="Y739" s="11">
        <f>IFERROR(__xludf.DUMMYFUNCTION("""COMPUTED_VALUE"""),8.0)</f>
        <v>8</v>
      </c>
      <c r="Z739" s="11">
        <f>IFERROR(__xludf.DUMMYFUNCTION("""COMPUTED_VALUE"""),1.0)</f>
        <v>1</v>
      </c>
      <c r="AA739" s="11">
        <f>IFERROR(__xludf.DUMMYFUNCTION("""COMPUTED_VALUE"""),3.0)</f>
        <v>3</v>
      </c>
      <c r="AB739" s="11">
        <f>IFERROR(__xludf.DUMMYFUNCTION("""COMPUTED_VALUE"""),8.0)</f>
        <v>8</v>
      </c>
      <c r="AC739" s="11">
        <f>IFERROR(__xludf.DUMMYFUNCTION("""COMPUTED_VALUE"""),52.0)</f>
        <v>52</v>
      </c>
      <c r="AD739" s="11">
        <f>IFERROR(__xludf.DUMMYFUNCTION("""COMPUTED_VALUE"""),75.0)</f>
        <v>75</v>
      </c>
    </row>
    <row r="740">
      <c r="A740" s="10" t="str">
        <f>IFERROR(__xludf.DUMMYFUNCTION("""COMPUTED_VALUE"""),"Veteran")</f>
        <v>Veteran</v>
      </c>
      <c r="B740" s="10" t="str">
        <f>IFERROR(__xludf.DUMMYFUNCTION("""COMPUTED_VALUE"""),"RSC003416")</f>
        <v>RSC003416</v>
      </c>
      <c r="C740" s="10" t="str">
        <f>IFERROR(__xludf.DUMMYFUNCTION("""COMPUTED_VALUE"""),"DrSkimMilk")</f>
        <v>DrSkimMilk</v>
      </c>
      <c r="D740" s="36" t="str">
        <f>IFERROR(__xludf.DUMMYFUNCTION("""COMPUTED_VALUE"""),"Merciless Mob")</f>
        <v>Merciless Mob</v>
      </c>
      <c r="E740" s="10" t="str">
        <f>IFERROR(__xludf.DUMMYFUNCTION("""COMPUTED_VALUE"""),"Lunar")</f>
        <v>Lunar</v>
      </c>
      <c r="F740" s="37">
        <f>IFERROR(__xludf.DUMMYFUNCTION("""COMPUTED_VALUE"""),52.95219885055912)</f>
        <v>52.95219885</v>
      </c>
      <c r="G740" s="38">
        <f>IFERROR(__xludf.DUMMYFUNCTION("""COMPUTED_VALUE"""),56.04334995047728)</f>
        <v>56.04334995</v>
      </c>
      <c r="H740" s="38">
        <f>IFERROR(__xludf.DUMMYFUNCTION("""COMPUTED_VALUE"""),54.497774400518196)</f>
        <v>54.4977744</v>
      </c>
      <c r="I740" s="14">
        <f>IFERROR(__xludf.DUMMYFUNCTION("""COMPUTED_VALUE"""),47.0)</f>
        <v>47</v>
      </c>
      <c r="J740" s="11">
        <f>IFERROR(__xludf.DUMMYFUNCTION("IFERROR(FILTER(Stats!$F:$Z,(Stats!$A:$A=$A740)*(Stats!$B:$B=$B740)))"),24.0)</f>
        <v>24</v>
      </c>
      <c r="K740" s="11">
        <f>IFERROR(__xludf.DUMMYFUNCTION("""COMPUTED_VALUE"""),23.0)</f>
        <v>23</v>
      </c>
      <c r="L740" s="12">
        <f>IFERROR(__xludf.DUMMYFUNCTION("""COMPUTED_VALUE"""),0.5106382978723404)</f>
        <v>0.5106382979</v>
      </c>
      <c r="M740" s="11">
        <f>IFERROR(__xludf.DUMMYFUNCTION("""COMPUTED_VALUE"""),5.0)</f>
        <v>5</v>
      </c>
      <c r="N740" s="11">
        <f>IFERROR(__xludf.DUMMYFUNCTION("""COMPUTED_VALUE"""),16836.0)</f>
        <v>16836</v>
      </c>
      <c r="O740" s="13">
        <f>IFERROR(__xludf.DUMMYFUNCTION("""COMPUTED_VALUE"""),38.0)</f>
        <v>38</v>
      </c>
      <c r="P740" s="14">
        <f>IFERROR(__xludf.DUMMYFUNCTION("""COMPUTED_VALUE"""),25.0)</f>
        <v>25</v>
      </c>
      <c r="Q740" s="13">
        <f>IFERROR(__xludf.DUMMYFUNCTION("""COMPUTED_VALUE"""),66.0)</f>
        <v>66</v>
      </c>
      <c r="R740" s="13">
        <f>IFERROR(__xludf.DUMMYFUNCTION("""COMPUTED_VALUE"""),125.0)</f>
        <v>125</v>
      </c>
      <c r="S740" s="15">
        <f>IFERROR(__xludf.DUMMYFUNCTION("""COMPUTED_VALUE"""),0.304)</f>
        <v>0.304</v>
      </c>
      <c r="T740" s="16">
        <f>IFERROR(__xludf.DUMMYFUNCTION("""COMPUTED_VALUE"""),358.21276595744683)</f>
        <v>358.212766</v>
      </c>
      <c r="U740" s="16">
        <f>IFERROR(__xludf.DUMMYFUNCTION("""COMPUTED_VALUE"""),0.8085106382978723)</f>
        <v>0.8085106383</v>
      </c>
      <c r="V740" s="16">
        <f>IFERROR(__xludf.DUMMYFUNCTION("""COMPUTED_VALUE"""),0.5319148936170213)</f>
        <v>0.5319148936</v>
      </c>
      <c r="W740" s="16">
        <f>IFERROR(__xludf.DUMMYFUNCTION("""COMPUTED_VALUE"""),1.4042553191489362)</f>
        <v>1.404255319</v>
      </c>
      <c r="X740" s="16">
        <f>IFERROR(__xludf.DUMMYFUNCTION("""COMPUTED_VALUE"""),2.6595744680851063)</f>
        <v>2.659574468</v>
      </c>
      <c r="Y740" s="11">
        <f>IFERROR(__xludf.DUMMYFUNCTION("""COMPUTED_VALUE"""),6.0)</f>
        <v>6</v>
      </c>
      <c r="Z740" s="11">
        <f>IFERROR(__xludf.DUMMYFUNCTION("""COMPUTED_VALUE"""),4.0)</f>
        <v>4</v>
      </c>
      <c r="AA740" s="11">
        <f>IFERROR(__xludf.DUMMYFUNCTION("""COMPUTED_VALUE"""),2.0)</f>
        <v>2</v>
      </c>
      <c r="AB740" s="11">
        <f>IFERROR(__xludf.DUMMYFUNCTION("""COMPUTED_VALUE"""),10.0)</f>
        <v>10</v>
      </c>
      <c r="AC740" s="11">
        <f>IFERROR(__xludf.DUMMYFUNCTION("""COMPUTED_VALUE"""),42.0)</f>
        <v>42</v>
      </c>
      <c r="AD740" s="11">
        <f>IFERROR(__xludf.DUMMYFUNCTION("""COMPUTED_VALUE"""),49.0)</f>
        <v>49</v>
      </c>
    </row>
    <row r="741" ht="17.25" customHeight="1">
      <c r="A741" s="10" t="str">
        <f>IFERROR(__xludf.DUMMYFUNCTION("""COMPUTED_VALUE"""),"Veteran")</f>
        <v>Veteran</v>
      </c>
      <c r="B741" s="10" t="str">
        <f>IFERROR(__xludf.DUMMYFUNCTION("""COMPUTED_VALUE"""),"RSC004367")</f>
        <v>RSC004367</v>
      </c>
      <c r="C741" s="10" t="str">
        <f>IFERROR(__xludf.DUMMYFUNCTION("""COMPUTED_VALUE"""),"pr.c")</f>
        <v>pr.c</v>
      </c>
      <c r="D741" s="36" t="str">
        <f>IFERROR(__xludf.DUMMYFUNCTION("""COMPUTED_VALUE"""),"Shadow Tails
Peppermint
White Collars")</f>
        <v>Shadow Tails
Peppermint
White Collars</v>
      </c>
      <c r="E741" s="10" t="str">
        <f>IFERROR(__xludf.DUMMYFUNCTION("""COMPUTED_VALUE"""),"Solar
Solar
Lunar")</f>
        <v>Solar
Solar
Lunar</v>
      </c>
      <c r="F741" s="37">
        <f>IFERROR(__xludf.DUMMYFUNCTION("""COMPUTED_VALUE"""),54.929767189666514)</f>
        <v>54.92976719</v>
      </c>
      <c r="G741" s="38">
        <f>IFERROR(__xludf.DUMMYFUNCTION("""COMPUTED_VALUE"""),53.622901426306655)</f>
        <v>53.62290143</v>
      </c>
      <c r="H741" s="38">
        <f>IFERROR(__xludf.DUMMYFUNCTION("""COMPUTED_VALUE"""),54.27633430798659)</f>
        <v>54.27633431</v>
      </c>
      <c r="I741" s="14">
        <f>IFERROR(__xludf.DUMMYFUNCTION("""COMPUTED_VALUE"""),41.0)</f>
        <v>41</v>
      </c>
      <c r="J741" s="11">
        <f>IFERROR(__xludf.DUMMYFUNCTION("IFERROR(FILTER(Stats!$F:$Z,(Stats!$A:$A=$A741)*(Stats!$B:$B=$B741)))"),17.0)</f>
        <v>17</v>
      </c>
      <c r="K741" s="11">
        <f>IFERROR(__xludf.DUMMYFUNCTION("""COMPUTED_VALUE"""),24.0)</f>
        <v>24</v>
      </c>
      <c r="L741" s="12">
        <f>IFERROR(__xludf.DUMMYFUNCTION("""COMPUTED_VALUE"""),0.4146341463414634)</f>
        <v>0.4146341463</v>
      </c>
      <c r="M741" s="11">
        <f>IFERROR(__xludf.DUMMYFUNCTION("""COMPUTED_VALUE"""),8.0)</f>
        <v>8</v>
      </c>
      <c r="N741" s="11">
        <f>IFERROR(__xludf.DUMMYFUNCTION("""COMPUTED_VALUE"""),13597.0)</f>
        <v>13597</v>
      </c>
      <c r="O741" s="13">
        <f>IFERROR(__xludf.DUMMYFUNCTION("""COMPUTED_VALUE"""),35.0)</f>
        <v>35</v>
      </c>
      <c r="P741" s="14">
        <f>IFERROR(__xludf.DUMMYFUNCTION("""COMPUTED_VALUE"""),21.0)</f>
        <v>21</v>
      </c>
      <c r="Q741" s="13">
        <f>IFERROR(__xludf.DUMMYFUNCTION("""COMPUTED_VALUE"""),47.0)</f>
        <v>47</v>
      </c>
      <c r="R741" s="13">
        <f>IFERROR(__xludf.DUMMYFUNCTION("""COMPUTED_VALUE"""),114.0)</f>
        <v>114</v>
      </c>
      <c r="S741" s="15">
        <f>IFERROR(__xludf.DUMMYFUNCTION("""COMPUTED_VALUE"""),0.30701754385964913)</f>
        <v>0.3070175439</v>
      </c>
      <c r="T741" s="16">
        <f>IFERROR(__xludf.DUMMYFUNCTION("""COMPUTED_VALUE"""),331.6341463414634)</f>
        <v>331.6341463</v>
      </c>
      <c r="U741" s="16">
        <f>IFERROR(__xludf.DUMMYFUNCTION("""COMPUTED_VALUE"""),0.8536585365853658)</f>
        <v>0.8536585366</v>
      </c>
      <c r="V741" s="16">
        <f>IFERROR(__xludf.DUMMYFUNCTION("""COMPUTED_VALUE"""),0.5121951219512195)</f>
        <v>0.512195122</v>
      </c>
      <c r="W741" s="16">
        <f>IFERROR(__xludf.DUMMYFUNCTION("""COMPUTED_VALUE"""),1.146341463414634)</f>
        <v>1.146341463</v>
      </c>
      <c r="X741" s="16">
        <f>IFERROR(__xludf.DUMMYFUNCTION("""COMPUTED_VALUE"""),2.7804878048780486)</f>
        <v>2.780487805</v>
      </c>
      <c r="Y741" s="11">
        <f>IFERROR(__xludf.DUMMYFUNCTION("""COMPUTED_VALUE"""),5.0)</f>
        <v>5</v>
      </c>
      <c r="Z741" s="11">
        <f>IFERROR(__xludf.DUMMYFUNCTION("""COMPUTED_VALUE"""),4.0)</f>
        <v>4</v>
      </c>
      <c r="AA741" s="11">
        <f>IFERROR(__xludf.DUMMYFUNCTION("""COMPUTED_VALUE"""),0.0)</f>
        <v>0</v>
      </c>
      <c r="AB741" s="11">
        <f>IFERROR(__xludf.DUMMYFUNCTION("""COMPUTED_VALUE"""),4.0)</f>
        <v>4</v>
      </c>
      <c r="AC741" s="11">
        <f>IFERROR(__xludf.DUMMYFUNCTION("""COMPUTED_VALUE"""),29.0)</f>
        <v>29</v>
      </c>
      <c r="AD741" s="11">
        <f>IFERROR(__xludf.DUMMYFUNCTION("""COMPUTED_VALUE"""),41.0)</f>
        <v>41</v>
      </c>
    </row>
    <row r="742">
      <c r="A742" s="10" t="str">
        <f>IFERROR(__xludf.DUMMYFUNCTION("""COMPUTED_VALUE"""),"Veteran")</f>
        <v>Veteran</v>
      </c>
      <c r="B742" s="10" t="str">
        <f>IFERROR(__xludf.DUMMYFUNCTION("""COMPUTED_VALUE"""),"RSC006401")</f>
        <v>RSC006401</v>
      </c>
      <c r="C742" s="10" t="str">
        <f>IFERROR(__xludf.DUMMYFUNCTION("""COMPUTED_VALUE"""),"SHAdohwj_")</f>
        <v>SHAdohwj_</v>
      </c>
      <c r="D742" s="36" t="str">
        <f>IFERROR(__xludf.DUMMYFUNCTION("""COMPUTED_VALUE"""),"Dread")</f>
        <v>Dread</v>
      </c>
      <c r="E742" s="10" t="str">
        <f>IFERROR(__xludf.DUMMYFUNCTION("""COMPUTED_VALUE"""),"Lunar")</f>
        <v>Lunar</v>
      </c>
      <c r="F742" s="37">
        <f>IFERROR(__xludf.DUMMYFUNCTION("""COMPUTED_VALUE"""),53.07434211799019)</f>
        <v>53.07434212</v>
      </c>
      <c r="G742" s="38">
        <f>IFERROR(__xludf.DUMMYFUNCTION("""COMPUTED_VALUE"""),55.25333051039113)</f>
        <v>55.25333051</v>
      </c>
      <c r="H742" s="38">
        <f>IFERROR(__xludf.DUMMYFUNCTION("""COMPUTED_VALUE"""),54.16383631419066)</f>
        <v>54.16383631</v>
      </c>
      <c r="I742" s="14">
        <f>IFERROR(__xludf.DUMMYFUNCTION("""COMPUTED_VALUE"""),11.0)</f>
        <v>11</v>
      </c>
      <c r="J742" s="11">
        <f>IFERROR(__xludf.DUMMYFUNCTION("IFERROR(FILTER(Stats!$F:$Z,(Stats!$A:$A=$A742)*(Stats!$B:$B=$B742)))"),6.0)</f>
        <v>6</v>
      </c>
      <c r="K742" s="11">
        <f>IFERROR(__xludf.DUMMYFUNCTION("""COMPUTED_VALUE"""),5.0)</f>
        <v>5</v>
      </c>
      <c r="L742" s="12">
        <f>IFERROR(__xludf.DUMMYFUNCTION("""COMPUTED_VALUE"""),0.5454545454545454)</f>
        <v>0.5454545455</v>
      </c>
      <c r="M742" s="11">
        <f>IFERROR(__xludf.DUMMYFUNCTION("""COMPUTED_VALUE"""),1.0)</f>
        <v>1</v>
      </c>
      <c r="N742" s="11">
        <f>IFERROR(__xludf.DUMMYFUNCTION("""COMPUTED_VALUE"""),3675.0)</f>
        <v>3675</v>
      </c>
      <c r="O742" s="13">
        <f>IFERROR(__xludf.DUMMYFUNCTION("""COMPUTED_VALUE"""),12.0)</f>
        <v>12</v>
      </c>
      <c r="P742" s="14">
        <f>IFERROR(__xludf.DUMMYFUNCTION("""COMPUTED_VALUE"""),3.0)</f>
        <v>3</v>
      </c>
      <c r="Q742" s="13">
        <f>IFERROR(__xludf.DUMMYFUNCTION("""COMPUTED_VALUE"""),15.0)</f>
        <v>15</v>
      </c>
      <c r="R742" s="13">
        <f>IFERROR(__xludf.DUMMYFUNCTION("""COMPUTED_VALUE"""),28.0)</f>
        <v>28</v>
      </c>
      <c r="S742" s="15">
        <f>IFERROR(__xludf.DUMMYFUNCTION("""COMPUTED_VALUE"""),0.42857142857142855)</f>
        <v>0.4285714286</v>
      </c>
      <c r="T742" s="16">
        <f>IFERROR(__xludf.DUMMYFUNCTION("""COMPUTED_VALUE"""),334.09090909090907)</f>
        <v>334.0909091</v>
      </c>
      <c r="U742" s="16">
        <f>IFERROR(__xludf.DUMMYFUNCTION("""COMPUTED_VALUE"""),1.0909090909090908)</f>
        <v>1.090909091</v>
      </c>
      <c r="V742" s="16">
        <f>IFERROR(__xludf.DUMMYFUNCTION("""COMPUTED_VALUE"""),0.2727272727272727)</f>
        <v>0.2727272727</v>
      </c>
      <c r="W742" s="16">
        <f>IFERROR(__xludf.DUMMYFUNCTION("""COMPUTED_VALUE"""),1.3636363636363635)</f>
        <v>1.363636364</v>
      </c>
      <c r="X742" s="16">
        <f>IFERROR(__xludf.DUMMYFUNCTION("""COMPUTED_VALUE"""),2.5454545454545454)</f>
        <v>2.545454545</v>
      </c>
      <c r="Y742" s="11">
        <f>IFERROR(__xludf.DUMMYFUNCTION("""COMPUTED_VALUE"""),0.0)</f>
        <v>0</v>
      </c>
      <c r="Z742" s="11">
        <f>IFERROR(__xludf.DUMMYFUNCTION("""COMPUTED_VALUE"""),1.0)</f>
        <v>1</v>
      </c>
      <c r="AA742" s="11">
        <f>IFERROR(__xludf.DUMMYFUNCTION("""COMPUTED_VALUE"""),0.0)</f>
        <v>0</v>
      </c>
      <c r="AB742" s="11">
        <f>IFERROR(__xludf.DUMMYFUNCTION("""COMPUTED_VALUE"""),2.0)</f>
        <v>2</v>
      </c>
      <c r="AC742" s="11">
        <f>IFERROR(__xludf.DUMMYFUNCTION("""COMPUTED_VALUE"""),15.0)</f>
        <v>15</v>
      </c>
      <c r="AD742" s="11">
        <f>IFERROR(__xludf.DUMMYFUNCTION("""COMPUTED_VALUE"""),9.0)</f>
        <v>9</v>
      </c>
    </row>
    <row r="743">
      <c r="A743" s="10" t="str">
        <f>IFERROR(__xludf.DUMMYFUNCTION("""COMPUTED_VALUE"""),"Veteran")</f>
        <v>Veteran</v>
      </c>
      <c r="B743" s="10" t="str">
        <f>IFERROR(__xludf.DUMMYFUNCTION("""COMPUTED_VALUE"""),"RSC008172")</f>
        <v>RSC008172</v>
      </c>
      <c r="C743" s="10" t="str">
        <f>IFERROR(__xludf.DUMMYFUNCTION("""COMPUTED_VALUE"""),"Vera")</f>
        <v>Vera</v>
      </c>
      <c r="D743" s="36" t="str">
        <f>IFERROR(__xludf.DUMMYFUNCTION("""COMPUTED_VALUE"""),"Giant Squids
Lycans")</f>
        <v>Giant Squids
Lycans</v>
      </c>
      <c r="E743" s="10" t="str">
        <f>IFERROR(__xludf.DUMMYFUNCTION("""COMPUTED_VALUE"""),"Lunar
Solar")</f>
        <v>Lunar
Solar</v>
      </c>
      <c r="F743" s="37">
        <f>IFERROR(__xludf.DUMMYFUNCTION("""COMPUTED_VALUE"""),50.27738846389102)</f>
        <v>50.27738846</v>
      </c>
      <c r="G743" s="38">
        <f>IFERROR(__xludf.DUMMYFUNCTION("""COMPUTED_VALUE"""),57.23334797969526)</f>
        <v>57.23334798</v>
      </c>
      <c r="H743" s="38">
        <f>IFERROR(__xludf.DUMMYFUNCTION("""COMPUTED_VALUE"""),53.75536822179314)</f>
        <v>53.75536822</v>
      </c>
      <c r="I743" s="14">
        <f>IFERROR(__xludf.DUMMYFUNCTION("""COMPUTED_VALUE"""),11.0)</f>
        <v>11</v>
      </c>
      <c r="J743" s="11">
        <f>IFERROR(__xludf.DUMMYFUNCTION("IFERROR(FILTER(Stats!$F:$Z,(Stats!$A:$A=$A743)*(Stats!$B:$B=$B743)))"),4.0)</f>
        <v>4</v>
      </c>
      <c r="K743" s="11">
        <f>IFERROR(__xludf.DUMMYFUNCTION("""COMPUTED_VALUE"""),7.0)</f>
        <v>7</v>
      </c>
      <c r="L743" s="12">
        <f>IFERROR(__xludf.DUMMYFUNCTION("""COMPUTED_VALUE"""),0.36363636363636365)</f>
        <v>0.3636363636</v>
      </c>
      <c r="M743" s="11">
        <f>IFERROR(__xludf.DUMMYFUNCTION("""COMPUTED_VALUE"""),2.0)</f>
        <v>2</v>
      </c>
      <c r="N743" s="11">
        <f>IFERROR(__xludf.DUMMYFUNCTION("""COMPUTED_VALUE"""),3669.0)</f>
        <v>3669</v>
      </c>
      <c r="O743" s="13">
        <f>IFERROR(__xludf.DUMMYFUNCTION("""COMPUTED_VALUE"""),10.0)</f>
        <v>10</v>
      </c>
      <c r="P743" s="14">
        <f>IFERROR(__xludf.DUMMYFUNCTION("""COMPUTED_VALUE"""),7.0)</f>
        <v>7</v>
      </c>
      <c r="Q743" s="13">
        <f>IFERROR(__xludf.DUMMYFUNCTION("""COMPUTED_VALUE"""),13.0)</f>
        <v>13</v>
      </c>
      <c r="R743" s="13">
        <f>IFERROR(__xludf.DUMMYFUNCTION("""COMPUTED_VALUE"""),30.0)</f>
        <v>30</v>
      </c>
      <c r="S743" s="15">
        <f>IFERROR(__xludf.DUMMYFUNCTION("""COMPUTED_VALUE"""),0.3333333333333333)</f>
        <v>0.3333333333</v>
      </c>
      <c r="T743" s="16">
        <f>IFERROR(__xludf.DUMMYFUNCTION("""COMPUTED_VALUE"""),333.54545454545456)</f>
        <v>333.5454545</v>
      </c>
      <c r="U743" s="16">
        <f>IFERROR(__xludf.DUMMYFUNCTION("""COMPUTED_VALUE"""),0.9090909090909091)</f>
        <v>0.9090909091</v>
      </c>
      <c r="V743" s="16">
        <f>IFERROR(__xludf.DUMMYFUNCTION("""COMPUTED_VALUE"""),0.6363636363636364)</f>
        <v>0.6363636364</v>
      </c>
      <c r="W743" s="16">
        <f>IFERROR(__xludf.DUMMYFUNCTION("""COMPUTED_VALUE"""),1.1818181818181819)</f>
        <v>1.181818182</v>
      </c>
      <c r="X743" s="16">
        <f>IFERROR(__xludf.DUMMYFUNCTION("""COMPUTED_VALUE"""),2.727272727272727)</f>
        <v>2.727272727</v>
      </c>
      <c r="Y743" s="11">
        <f>IFERROR(__xludf.DUMMYFUNCTION("""COMPUTED_VALUE"""),4.0)</f>
        <v>4</v>
      </c>
      <c r="Z743" s="11">
        <f>IFERROR(__xludf.DUMMYFUNCTION("""COMPUTED_VALUE"""),0.0)</f>
        <v>0</v>
      </c>
      <c r="AA743" s="11">
        <f>IFERROR(__xludf.DUMMYFUNCTION("""COMPUTED_VALUE"""),0.0)</f>
        <v>0</v>
      </c>
      <c r="AB743" s="11">
        <f>IFERROR(__xludf.DUMMYFUNCTION("""COMPUTED_VALUE"""),2.0)</f>
        <v>2</v>
      </c>
      <c r="AC743" s="11">
        <f>IFERROR(__xludf.DUMMYFUNCTION("""COMPUTED_VALUE"""),12.0)</f>
        <v>12</v>
      </c>
      <c r="AD743" s="11">
        <f>IFERROR(__xludf.DUMMYFUNCTION("""COMPUTED_VALUE"""),7.0)</f>
        <v>7</v>
      </c>
    </row>
    <row r="744">
      <c r="A744" s="10" t="str">
        <f>IFERROR(__xludf.DUMMYFUNCTION("""COMPUTED_VALUE"""),"Veteran")</f>
        <v>Veteran</v>
      </c>
      <c r="B744" s="10" t="str">
        <f>IFERROR(__xludf.DUMMYFUNCTION("""COMPUTED_VALUE"""),"RSC007202")</f>
        <v>RSC007202</v>
      </c>
      <c r="C744" s="10" t="str">
        <f>IFERROR(__xludf.DUMMYFUNCTION("""COMPUTED_VALUE"""),"GreatHonda")</f>
        <v>GreatHonda</v>
      </c>
      <c r="D744" s="36" t="str">
        <f>IFERROR(__xludf.DUMMYFUNCTION("""COMPUTED_VALUE"""),"Gargoyle")</f>
        <v>Gargoyle</v>
      </c>
      <c r="E744" s="10" t="str">
        <f>IFERROR(__xludf.DUMMYFUNCTION("""COMPUTED_VALUE"""),"Solar")</f>
        <v>Solar</v>
      </c>
      <c r="F744" s="37">
        <f>IFERROR(__xludf.DUMMYFUNCTION("""COMPUTED_VALUE"""),52.05622806140909)</f>
        <v>52.05622806</v>
      </c>
      <c r="G744" s="38">
        <f>IFERROR(__xludf.DUMMYFUNCTION("""COMPUTED_VALUE"""),55.09011408539662)</f>
        <v>55.09011409</v>
      </c>
      <c r="H744" s="38">
        <f>IFERROR(__xludf.DUMMYFUNCTION("""COMPUTED_VALUE"""),53.573171073402854)</f>
        <v>53.57317107</v>
      </c>
      <c r="I744" s="14">
        <f>IFERROR(__xludf.DUMMYFUNCTION("""COMPUTED_VALUE"""),48.0)</f>
        <v>48</v>
      </c>
      <c r="J744" s="11">
        <f>IFERROR(__xludf.DUMMYFUNCTION("IFERROR(FILTER(Stats!$F:$Z,(Stats!$A:$A=$A744)*(Stats!$B:$B=$B744)))"),31.0)</f>
        <v>31</v>
      </c>
      <c r="K744" s="11">
        <f>IFERROR(__xludf.DUMMYFUNCTION("""COMPUTED_VALUE"""),17.0)</f>
        <v>17</v>
      </c>
      <c r="L744" s="12">
        <f>IFERROR(__xludf.DUMMYFUNCTION("""COMPUTED_VALUE"""),0.6458333333333334)</f>
        <v>0.6458333333</v>
      </c>
      <c r="M744" s="11">
        <f>IFERROR(__xludf.DUMMYFUNCTION("""COMPUTED_VALUE"""),9.0)</f>
        <v>9</v>
      </c>
      <c r="N744" s="11">
        <f>IFERROR(__xludf.DUMMYFUNCTION("""COMPUTED_VALUE"""),16250.0)</f>
        <v>16250</v>
      </c>
      <c r="O744" s="13">
        <f>IFERROR(__xludf.DUMMYFUNCTION("""COMPUTED_VALUE"""),33.0)</f>
        <v>33</v>
      </c>
      <c r="P744" s="14">
        <f>IFERROR(__xludf.DUMMYFUNCTION("""COMPUTED_VALUE"""),26.0)</f>
        <v>26</v>
      </c>
      <c r="Q744" s="13">
        <f>IFERROR(__xludf.DUMMYFUNCTION("""COMPUTED_VALUE"""),65.0)</f>
        <v>65</v>
      </c>
      <c r="R744" s="13">
        <f>IFERROR(__xludf.DUMMYFUNCTION("""COMPUTED_VALUE"""),130.0)</f>
        <v>130</v>
      </c>
      <c r="S744" s="15">
        <f>IFERROR(__xludf.DUMMYFUNCTION("""COMPUTED_VALUE"""),0.25384615384615383)</f>
        <v>0.2538461538</v>
      </c>
      <c r="T744" s="16">
        <f>IFERROR(__xludf.DUMMYFUNCTION("""COMPUTED_VALUE"""),338.5416666666667)</f>
        <v>338.5416667</v>
      </c>
      <c r="U744" s="16">
        <f>IFERROR(__xludf.DUMMYFUNCTION("""COMPUTED_VALUE"""),0.6875)</f>
        <v>0.6875</v>
      </c>
      <c r="V744" s="16">
        <f>IFERROR(__xludf.DUMMYFUNCTION("""COMPUTED_VALUE"""),0.5416666666666666)</f>
        <v>0.5416666667</v>
      </c>
      <c r="W744" s="16">
        <f>IFERROR(__xludf.DUMMYFUNCTION("""COMPUTED_VALUE"""),1.3541666666666667)</f>
        <v>1.354166667</v>
      </c>
      <c r="X744" s="16">
        <f>IFERROR(__xludf.DUMMYFUNCTION("""COMPUTED_VALUE"""),2.7083333333333335)</f>
        <v>2.708333333</v>
      </c>
      <c r="Y744" s="11">
        <f>IFERROR(__xludf.DUMMYFUNCTION("""COMPUTED_VALUE"""),12.0)</f>
        <v>12</v>
      </c>
      <c r="Z744" s="11">
        <f>IFERROR(__xludf.DUMMYFUNCTION("""COMPUTED_VALUE"""),2.0)</f>
        <v>2</v>
      </c>
      <c r="AA744" s="11">
        <f>IFERROR(__xludf.DUMMYFUNCTION("""COMPUTED_VALUE"""),0.0)</f>
        <v>0</v>
      </c>
      <c r="AB744" s="11">
        <f>IFERROR(__xludf.DUMMYFUNCTION("""COMPUTED_VALUE"""),6.0)</f>
        <v>6</v>
      </c>
      <c r="AC744" s="11">
        <f>IFERROR(__xludf.DUMMYFUNCTION("""COMPUTED_VALUE"""),39.0)</f>
        <v>39</v>
      </c>
      <c r="AD744" s="11">
        <f>IFERROR(__xludf.DUMMYFUNCTION("""COMPUTED_VALUE"""),49.0)</f>
        <v>49</v>
      </c>
    </row>
    <row r="745">
      <c r="A745" s="10" t="str">
        <f>IFERROR(__xludf.DUMMYFUNCTION("""COMPUTED_VALUE"""),"Veteran")</f>
        <v>Veteran</v>
      </c>
      <c r="B745" s="10" t="str">
        <f>IFERROR(__xludf.DUMMYFUNCTION("""COMPUTED_VALUE"""),"RSC007358")</f>
        <v>RSC007358</v>
      </c>
      <c r="C745" s="10" t="str">
        <f>IFERROR(__xludf.DUMMYFUNCTION("""COMPUTED_VALUE"""),"Tropicalshortsba")</f>
        <v>Tropicalshortsba</v>
      </c>
      <c r="D745" s="36" t="str">
        <f>IFERROR(__xludf.DUMMYFUNCTION("""COMPUTED_VALUE"""),"Giant Squids")</f>
        <v>Giant Squids</v>
      </c>
      <c r="E745" s="10" t="str">
        <f>IFERROR(__xludf.DUMMYFUNCTION("""COMPUTED_VALUE"""),"Lunar")</f>
        <v>Lunar</v>
      </c>
      <c r="F745" s="37">
        <f>IFERROR(__xludf.DUMMYFUNCTION("""COMPUTED_VALUE"""),49.99895267649267)</f>
        <v>49.99895268</v>
      </c>
      <c r="G745" s="38">
        <f>IFERROR(__xludf.DUMMYFUNCTION("""COMPUTED_VALUE"""),56.90933052477075)</f>
        <v>56.90933052</v>
      </c>
      <c r="H745" s="38">
        <f>IFERROR(__xludf.DUMMYFUNCTION("""COMPUTED_VALUE"""),53.454141600631715)</f>
        <v>53.4541416</v>
      </c>
      <c r="I745" s="14">
        <f>IFERROR(__xludf.DUMMYFUNCTION("""COMPUTED_VALUE"""),50.0)</f>
        <v>50</v>
      </c>
      <c r="J745" s="11">
        <f>IFERROR(__xludf.DUMMYFUNCTION("IFERROR(FILTER(Stats!$F:$Z,(Stats!$A:$A=$A745)*(Stats!$B:$B=$B745)))"),29.0)</f>
        <v>29</v>
      </c>
      <c r="K745" s="11">
        <f>IFERROR(__xludf.DUMMYFUNCTION("""COMPUTED_VALUE"""),21.0)</f>
        <v>21</v>
      </c>
      <c r="L745" s="12">
        <f>IFERROR(__xludf.DUMMYFUNCTION("""COMPUTED_VALUE"""),0.58)</f>
        <v>0.58</v>
      </c>
      <c r="M745" s="11">
        <f>IFERROR(__xludf.DUMMYFUNCTION("""COMPUTED_VALUE"""),6.0)</f>
        <v>6</v>
      </c>
      <c r="N745" s="11">
        <f>IFERROR(__xludf.DUMMYFUNCTION("""COMPUTED_VALUE"""),16340.0)</f>
        <v>16340</v>
      </c>
      <c r="O745" s="13">
        <f>IFERROR(__xludf.DUMMYFUNCTION("""COMPUTED_VALUE"""),40.0)</f>
        <v>40</v>
      </c>
      <c r="P745" s="14">
        <f>IFERROR(__xludf.DUMMYFUNCTION("""COMPUTED_VALUE"""),31.0)</f>
        <v>31</v>
      </c>
      <c r="Q745" s="13">
        <f>IFERROR(__xludf.DUMMYFUNCTION("""COMPUTED_VALUE"""),50.0)</f>
        <v>50</v>
      </c>
      <c r="R745" s="13">
        <f>IFERROR(__xludf.DUMMYFUNCTION("""COMPUTED_VALUE"""),126.0)</f>
        <v>126</v>
      </c>
      <c r="S745" s="15">
        <f>IFERROR(__xludf.DUMMYFUNCTION("""COMPUTED_VALUE"""),0.31746031746031744)</f>
        <v>0.3174603175</v>
      </c>
      <c r="T745" s="16">
        <f>IFERROR(__xludf.DUMMYFUNCTION("""COMPUTED_VALUE"""),326.8)</f>
        <v>326.8</v>
      </c>
      <c r="U745" s="16">
        <f>IFERROR(__xludf.DUMMYFUNCTION("""COMPUTED_VALUE"""),0.8)</f>
        <v>0.8</v>
      </c>
      <c r="V745" s="16">
        <f>IFERROR(__xludf.DUMMYFUNCTION("""COMPUTED_VALUE"""),0.62)</f>
        <v>0.62</v>
      </c>
      <c r="W745" s="16">
        <f>IFERROR(__xludf.DUMMYFUNCTION("""COMPUTED_VALUE"""),1.0)</f>
        <v>1</v>
      </c>
      <c r="X745" s="16">
        <f>IFERROR(__xludf.DUMMYFUNCTION("""COMPUTED_VALUE"""),2.52)</f>
        <v>2.52</v>
      </c>
      <c r="Y745" s="11">
        <f>IFERROR(__xludf.DUMMYFUNCTION("""COMPUTED_VALUE"""),10.0)</f>
        <v>10</v>
      </c>
      <c r="Z745" s="11">
        <f>IFERROR(__xludf.DUMMYFUNCTION("""COMPUTED_VALUE"""),1.0)</f>
        <v>1</v>
      </c>
      <c r="AA745" s="11">
        <f>IFERROR(__xludf.DUMMYFUNCTION("""COMPUTED_VALUE"""),4.0)</f>
        <v>4</v>
      </c>
      <c r="AB745" s="11">
        <f>IFERROR(__xludf.DUMMYFUNCTION("""COMPUTED_VALUE"""),2.0)</f>
        <v>2</v>
      </c>
      <c r="AC745" s="11">
        <f>IFERROR(__xludf.DUMMYFUNCTION("""COMPUTED_VALUE"""),19.0)</f>
        <v>19</v>
      </c>
      <c r="AD745" s="11">
        <f>IFERROR(__xludf.DUMMYFUNCTION("""COMPUTED_VALUE"""),57.0)</f>
        <v>57</v>
      </c>
    </row>
    <row r="746">
      <c r="A746" s="10" t="str">
        <f>IFERROR(__xludf.DUMMYFUNCTION("""COMPUTED_VALUE"""),"Veteran")</f>
        <v>Veteran</v>
      </c>
      <c r="B746" s="10" t="str">
        <f>IFERROR(__xludf.DUMMYFUNCTION("""COMPUTED_VALUE"""),"RSC000774")</f>
        <v>RSC000774</v>
      </c>
      <c r="C746" s="10" t="str">
        <f>IFERROR(__xludf.DUMMYFUNCTION("""COMPUTED_VALUE"""),"Earth")</f>
        <v>Earth</v>
      </c>
      <c r="D746" s="36" t="str">
        <f>IFERROR(__xludf.DUMMYFUNCTION("""COMPUTED_VALUE"""),"Merciless Mob")</f>
        <v>Merciless Mob</v>
      </c>
      <c r="E746" s="10" t="str">
        <f>IFERROR(__xludf.DUMMYFUNCTION("""COMPUTED_VALUE"""),"Lunar")</f>
        <v>Lunar</v>
      </c>
      <c r="F746" s="37">
        <f>IFERROR(__xludf.DUMMYFUNCTION("""COMPUTED_VALUE"""),53.03610008550089)</f>
        <v>53.03610009</v>
      </c>
      <c r="G746" s="38">
        <f>IFERROR(__xludf.DUMMYFUNCTION("""COMPUTED_VALUE"""),53.2855549308033)</f>
        <v>53.28555493</v>
      </c>
      <c r="H746" s="38">
        <f>IFERROR(__xludf.DUMMYFUNCTION("""COMPUTED_VALUE"""),53.160827508152096)</f>
        <v>53.16082751</v>
      </c>
      <c r="I746" s="14">
        <f>IFERROR(__xludf.DUMMYFUNCTION("""COMPUTED_VALUE"""),32.0)</f>
        <v>32</v>
      </c>
      <c r="J746" s="11">
        <f>IFERROR(__xludf.DUMMYFUNCTION("IFERROR(FILTER(Stats!$F:$Z,(Stats!$A:$A=$A746)*(Stats!$B:$B=$B746)))"),15.0)</f>
        <v>15</v>
      </c>
      <c r="K746" s="11">
        <f>IFERROR(__xludf.DUMMYFUNCTION("""COMPUTED_VALUE"""),17.0)</f>
        <v>17</v>
      </c>
      <c r="L746" s="12">
        <f>IFERROR(__xludf.DUMMYFUNCTION("""COMPUTED_VALUE"""),0.46875)</f>
        <v>0.46875</v>
      </c>
      <c r="M746" s="11">
        <f>IFERROR(__xludf.DUMMYFUNCTION("""COMPUTED_VALUE"""),8.0)</f>
        <v>8</v>
      </c>
      <c r="N746" s="11">
        <f>IFERROR(__xludf.DUMMYFUNCTION("""COMPUTED_VALUE"""),11510.0)</f>
        <v>11510</v>
      </c>
      <c r="O746" s="13">
        <f>IFERROR(__xludf.DUMMYFUNCTION("""COMPUTED_VALUE"""),22.0)</f>
        <v>22</v>
      </c>
      <c r="P746" s="14">
        <f>IFERROR(__xludf.DUMMYFUNCTION("""COMPUTED_VALUE"""),21.0)</f>
        <v>21</v>
      </c>
      <c r="Q746" s="13">
        <f>IFERROR(__xludf.DUMMYFUNCTION("""COMPUTED_VALUE"""),47.0)</f>
        <v>47</v>
      </c>
      <c r="R746" s="13">
        <f>IFERROR(__xludf.DUMMYFUNCTION("""COMPUTED_VALUE"""),88.0)</f>
        <v>88</v>
      </c>
      <c r="S746" s="15">
        <f>IFERROR(__xludf.DUMMYFUNCTION("""COMPUTED_VALUE"""),0.25)</f>
        <v>0.25</v>
      </c>
      <c r="T746" s="16">
        <f>IFERROR(__xludf.DUMMYFUNCTION("""COMPUTED_VALUE"""),359.6875)</f>
        <v>359.6875</v>
      </c>
      <c r="U746" s="16">
        <f>IFERROR(__xludf.DUMMYFUNCTION("""COMPUTED_VALUE"""),0.6875)</f>
        <v>0.6875</v>
      </c>
      <c r="V746" s="16">
        <f>IFERROR(__xludf.DUMMYFUNCTION("""COMPUTED_VALUE"""),0.65625)</f>
        <v>0.65625</v>
      </c>
      <c r="W746" s="16">
        <f>IFERROR(__xludf.DUMMYFUNCTION("""COMPUTED_VALUE"""),1.46875)</f>
        <v>1.46875</v>
      </c>
      <c r="X746" s="16">
        <f>IFERROR(__xludf.DUMMYFUNCTION("""COMPUTED_VALUE"""),2.75)</f>
        <v>2.75</v>
      </c>
      <c r="Y746" s="11">
        <f>IFERROR(__xludf.DUMMYFUNCTION("""COMPUTED_VALUE"""),4.0)</f>
        <v>4</v>
      </c>
      <c r="Z746" s="11">
        <f>IFERROR(__xludf.DUMMYFUNCTION("""COMPUTED_VALUE"""),2.0)</f>
        <v>2</v>
      </c>
      <c r="AA746" s="11">
        <f>IFERROR(__xludf.DUMMYFUNCTION("""COMPUTED_VALUE"""),1.0)</f>
        <v>1</v>
      </c>
      <c r="AB746" s="11">
        <f>IFERROR(__xludf.DUMMYFUNCTION("""COMPUTED_VALUE"""),5.0)</f>
        <v>5</v>
      </c>
      <c r="AC746" s="11">
        <f>IFERROR(__xludf.DUMMYFUNCTION("""COMPUTED_VALUE"""),24.0)</f>
        <v>24</v>
      </c>
      <c r="AD746" s="11">
        <f>IFERROR(__xludf.DUMMYFUNCTION("""COMPUTED_VALUE"""),43.0)</f>
        <v>43</v>
      </c>
    </row>
    <row r="747">
      <c r="A747" s="10" t="str">
        <f>IFERROR(__xludf.DUMMYFUNCTION("""COMPUTED_VALUE"""),"Veteran")</f>
        <v>Veteran</v>
      </c>
      <c r="B747" s="10" t="str">
        <f>IFERROR(__xludf.DUMMYFUNCTION("""COMPUTED_VALUE"""),"RSC007720")</f>
        <v>RSC007720</v>
      </c>
      <c r="C747" s="10" t="str">
        <f>IFERROR(__xludf.DUMMYFUNCTION("""COMPUTED_VALUE"""),"trock")</f>
        <v>trock</v>
      </c>
      <c r="D747" s="36" t="str">
        <f>IFERROR(__xludf.DUMMYFUNCTION("""COMPUTED_VALUE"""),"Dread")</f>
        <v>Dread</v>
      </c>
      <c r="E747" s="10" t="str">
        <f>IFERROR(__xludf.DUMMYFUNCTION("""COMPUTED_VALUE"""),"Lunar")</f>
        <v>Lunar</v>
      </c>
      <c r="F747" s="37">
        <f>IFERROR(__xludf.DUMMYFUNCTION("""COMPUTED_VALUE"""),51.63264476964072)</f>
        <v>51.63264477</v>
      </c>
      <c r="G747" s="38">
        <f>IFERROR(__xludf.DUMMYFUNCTION("""COMPUTED_VALUE"""),52.9381632726148)</f>
        <v>52.93816327</v>
      </c>
      <c r="H747" s="38">
        <f>IFERROR(__xludf.DUMMYFUNCTION("""COMPUTED_VALUE"""),52.28540402112776)</f>
        <v>52.28540402</v>
      </c>
      <c r="I747" s="14">
        <f>IFERROR(__xludf.DUMMYFUNCTION("""COMPUTED_VALUE"""),52.0)</f>
        <v>52</v>
      </c>
      <c r="J747" s="11">
        <f>IFERROR(__xludf.DUMMYFUNCTION("IFERROR(FILTER(Stats!$F:$Z,(Stats!$A:$A=$A747)*(Stats!$B:$B=$B747)))"),32.0)</f>
        <v>32</v>
      </c>
      <c r="K747" s="11">
        <f>IFERROR(__xludf.DUMMYFUNCTION("""COMPUTED_VALUE"""),20.0)</f>
        <v>20</v>
      </c>
      <c r="L747" s="12">
        <f>IFERROR(__xludf.DUMMYFUNCTION("""COMPUTED_VALUE"""),0.6153846153846154)</f>
        <v>0.6153846154</v>
      </c>
      <c r="M747" s="11">
        <f>IFERROR(__xludf.DUMMYFUNCTION("""COMPUTED_VALUE"""),13.0)</f>
        <v>13</v>
      </c>
      <c r="N747" s="11">
        <f>IFERROR(__xludf.DUMMYFUNCTION("""COMPUTED_VALUE"""),19131.0)</f>
        <v>19131</v>
      </c>
      <c r="O747" s="13">
        <f>IFERROR(__xludf.DUMMYFUNCTION("""COMPUTED_VALUE"""),40.0)</f>
        <v>40</v>
      </c>
      <c r="P747" s="14">
        <f>IFERROR(__xludf.DUMMYFUNCTION("""COMPUTED_VALUE"""),28.0)</f>
        <v>28</v>
      </c>
      <c r="Q747" s="13">
        <f>IFERROR(__xludf.DUMMYFUNCTION("""COMPUTED_VALUE"""),85.0)</f>
        <v>85</v>
      </c>
      <c r="R747" s="13">
        <f>IFERROR(__xludf.DUMMYFUNCTION("""COMPUTED_VALUE"""),122.0)</f>
        <v>122</v>
      </c>
      <c r="S747" s="15">
        <f>IFERROR(__xludf.DUMMYFUNCTION("""COMPUTED_VALUE"""),0.32786885245901637)</f>
        <v>0.3278688525</v>
      </c>
      <c r="T747" s="16">
        <f>IFERROR(__xludf.DUMMYFUNCTION("""COMPUTED_VALUE"""),367.90384615384613)</f>
        <v>367.9038462</v>
      </c>
      <c r="U747" s="16">
        <f>IFERROR(__xludf.DUMMYFUNCTION("""COMPUTED_VALUE"""),0.7692307692307693)</f>
        <v>0.7692307692</v>
      </c>
      <c r="V747" s="16">
        <f>IFERROR(__xludf.DUMMYFUNCTION("""COMPUTED_VALUE"""),0.5384615384615384)</f>
        <v>0.5384615385</v>
      </c>
      <c r="W747" s="16">
        <f>IFERROR(__xludf.DUMMYFUNCTION("""COMPUTED_VALUE"""),1.6346153846153846)</f>
        <v>1.634615385</v>
      </c>
      <c r="X747" s="16">
        <f>IFERROR(__xludf.DUMMYFUNCTION("""COMPUTED_VALUE"""),2.3461538461538463)</f>
        <v>2.346153846</v>
      </c>
      <c r="Y747" s="11">
        <f>IFERROR(__xludf.DUMMYFUNCTION("""COMPUTED_VALUE"""),8.0)</f>
        <v>8</v>
      </c>
      <c r="Z747" s="11">
        <f>IFERROR(__xludf.DUMMYFUNCTION("""COMPUTED_VALUE"""),1.0)</f>
        <v>1</v>
      </c>
      <c r="AA747" s="11">
        <f>IFERROR(__xludf.DUMMYFUNCTION("""COMPUTED_VALUE"""),1.0)</f>
        <v>1</v>
      </c>
      <c r="AB747" s="11">
        <f>IFERROR(__xludf.DUMMYFUNCTION("""COMPUTED_VALUE"""),12.0)</f>
        <v>12</v>
      </c>
      <c r="AC747" s="11">
        <f>IFERROR(__xludf.DUMMYFUNCTION("""COMPUTED_VALUE"""),77.0)</f>
        <v>77</v>
      </c>
      <c r="AD747" s="11">
        <f>IFERROR(__xludf.DUMMYFUNCTION("""COMPUTED_VALUE"""),63.0)</f>
        <v>63</v>
      </c>
    </row>
    <row r="748">
      <c r="A748" s="10" t="str">
        <f>IFERROR(__xludf.DUMMYFUNCTION("""COMPUTED_VALUE"""),"Veteran")</f>
        <v>Veteran</v>
      </c>
      <c r="B748" s="10" t="str">
        <f>IFERROR(__xludf.DUMMYFUNCTION("""COMPUTED_VALUE"""),"RSC004872")</f>
        <v>RSC004872</v>
      </c>
      <c r="C748" s="10" t="str">
        <f>IFERROR(__xludf.DUMMYFUNCTION("""COMPUTED_VALUE"""),"JustLaben")</f>
        <v>JustLaben</v>
      </c>
      <c r="D748" s="36" t="str">
        <f>IFERROR(__xludf.DUMMYFUNCTION("""COMPUTED_VALUE"""),"Cannoli")</f>
        <v>Cannoli</v>
      </c>
      <c r="E748" s="10" t="str">
        <f>IFERROR(__xludf.DUMMYFUNCTION("""COMPUTED_VALUE"""),"Lunar")</f>
        <v>Lunar</v>
      </c>
      <c r="F748" s="37">
        <f>IFERROR(__xludf.DUMMYFUNCTION("""COMPUTED_VALUE"""),51.150519320537576)</f>
        <v>51.15051932</v>
      </c>
      <c r="G748" s="38">
        <f>IFERROR(__xludf.DUMMYFUNCTION("""COMPUTED_VALUE"""),52.8441295811069)</f>
        <v>52.84412958</v>
      </c>
      <c r="H748" s="38">
        <f>IFERROR(__xludf.DUMMYFUNCTION("""COMPUTED_VALUE"""),51.997324450822234)</f>
        <v>51.99732445</v>
      </c>
      <c r="I748" s="14">
        <f>IFERROR(__xludf.DUMMYFUNCTION("""COMPUTED_VALUE"""),44.0)</f>
        <v>44</v>
      </c>
      <c r="J748" s="11">
        <f>IFERROR(__xludf.DUMMYFUNCTION("IFERROR(FILTER(Stats!$F:$Z,(Stats!$A:$A=$A748)*(Stats!$B:$B=$B748)))"),22.0)</f>
        <v>22</v>
      </c>
      <c r="K748" s="11">
        <f>IFERROR(__xludf.DUMMYFUNCTION("""COMPUTED_VALUE"""),22.0)</f>
        <v>22</v>
      </c>
      <c r="L748" s="12">
        <f>IFERROR(__xludf.DUMMYFUNCTION("""COMPUTED_VALUE"""),0.5)</f>
        <v>0.5</v>
      </c>
      <c r="M748" s="11">
        <f>IFERROR(__xludf.DUMMYFUNCTION("""COMPUTED_VALUE"""),5.0)</f>
        <v>5</v>
      </c>
      <c r="N748" s="11">
        <f>IFERROR(__xludf.DUMMYFUNCTION("""COMPUTED_VALUE"""),15570.0)</f>
        <v>15570</v>
      </c>
      <c r="O748" s="13">
        <f>IFERROR(__xludf.DUMMYFUNCTION("""COMPUTED_VALUE"""),36.0)</f>
        <v>36</v>
      </c>
      <c r="P748" s="14">
        <f>IFERROR(__xludf.DUMMYFUNCTION("""COMPUTED_VALUE"""),22.0)</f>
        <v>22</v>
      </c>
      <c r="Q748" s="13">
        <f>IFERROR(__xludf.DUMMYFUNCTION("""COMPUTED_VALUE"""),59.0)</f>
        <v>59</v>
      </c>
      <c r="R748" s="13">
        <f>IFERROR(__xludf.DUMMYFUNCTION("""COMPUTED_VALUE"""),114.0)</f>
        <v>114</v>
      </c>
      <c r="S748" s="15">
        <f>IFERROR(__xludf.DUMMYFUNCTION("""COMPUTED_VALUE"""),0.3157894736842105)</f>
        <v>0.3157894737</v>
      </c>
      <c r="T748" s="16">
        <f>IFERROR(__xludf.DUMMYFUNCTION("""COMPUTED_VALUE"""),353.8636363636364)</f>
        <v>353.8636364</v>
      </c>
      <c r="U748" s="16">
        <f>IFERROR(__xludf.DUMMYFUNCTION("""COMPUTED_VALUE"""),0.8181818181818182)</f>
        <v>0.8181818182</v>
      </c>
      <c r="V748" s="16">
        <f>IFERROR(__xludf.DUMMYFUNCTION("""COMPUTED_VALUE"""),0.5)</f>
        <v>0.5</v>
      </c>
      <c r="W748" s="16">
        <f>IFERROR(__xludf.DUMMYFUNCTION("""COMPUTED_VALUE"""),1.3409090909090908)</f>
        <v>1.340909091</v>
      </c>
      <c r="X748" s="16">
        <f>IFERROR(__xludf.DUMMYFUNCTION("""COMPUTED_VALUE"""),2.590909090909091)</f>
        <v>2.590909091</v>
      </c>
      <c r="Y748" s="11">
        <f>IFERROR(__xludf.DUMMYFUNCTION("""COMPUTED_VALUE"""),8.0)</f>
        <v>8</v>
      </c>
      <c r="Z748" s="11">
        <f>IFERROR(__xludf.DUMMYFUNCTION("""COMPUTED_VALUE"""),1.0)</f>
        <v>1</v>
      </c>
      <c r="AA748" s="11">
        <f>IFERROR(__xludf.DUMMYFUNCTION("""COMPUTED_VALUE"""),1.0)</f>
        <v>1</v>
      </c>
      <c r="AB748" s="11">
        <f>IFERROR(__xludf.DUMMYFUNCTION("""COMPUTED_VALUE"""),8.0)</f>
        <v>8</v>
      </c>
      <c r="AC748" s="11">
        <f>IFERROR(__xludf.DUMMYFUNCTION("""COMPUTED_VALUE"""),30.0)</f>
        <v>30</v>
      </c>
      <c r="AD748" s="11">
        <f>IFERROR(__xludf.DUMMYFUNCTION("""COMPUTED_VALUE"""),46.0)</f>
        <v>46</v>
      </c>
    </row>
    <row r="749">
      <c r="A749" s="10" t="str">
        <f>IFERROR(__xludf.DUMMYFUNCTION("""COMPUTED_VALUE"""),"Veteran")</f>
        <v>Veteran</v>
      </c>
      <c r="B749" s="10" t="str">
        <f>IFERROR(__xludf.DUMMYFUNCTION("""COMPUTED_VALUE"""),"RSC007293")</f>
        <v>RSC007293</v>
      </c>
      <c r="C749" s="10" t="str">
        <f>IFERROR(__xludf.DUMMYFUNCTION("""COMPUTED_VALUE"""),"YtExplixiit")</f>
        <v>YtExplixiit</v>
      </c>
      <c r="D749" s="36" t="str">
        <f>IFERROR(__xludf.DUMMYFUNCTION("""COMPUTED_VALUE"""),"Berserkers")</f>
        <v>Berserkers</v>
      </c>
      <c r="E749" s="10" t="str">
        <f>IFERROR(__xludf.DUMMYFUNCTION("""COMPUTED_VALUE"""),"Lunar")</f>
        <v>Lunar</v>
      </c>
      <c r="F749" s="37">
        <f>IFERROR(__xludf.DUMMYFUNCTION("""COMPUTED_VALUE"""),37.10184926959806)</f>
        <v>37.10184927</v>
      </c>
      <c r="G749" s="38">
        <f>IFERROR(__xludf.DUMMYFUNCTION("""COMPUTED_VALUE"""),66.64161929007422)</f>
        <v>66.64161929</v>
      </c>
      <c r="H749" s="38">
        <f>IFERROR(__xludf.DUMMYFUNCTION("""COMPUTED_VALUE"""),51.87173427983614)</f>
        <v>51.87173428</v>
      </c>
      <c r="I749" s="14">
        <f>IFERROR(__xludf.DUMMYFUNCTION("""COMPUTED_VALUE"""),8.0)</f>
        <v>8</v>
      </c>
      <c r="J749" s="11">
        <f>IFERROR(__xludf.DUMMYFUNCTION("IFERROR(FILTER(Stats!$F:$Z,(Stats!$A:$A=$A749)*(Stats!$B:$B=$B749)))"),3.0)</f>
        <v>3</v>
      </c>
      <c r="K749" s="11">
        <f>IFERROR(__xludf.DUMMYFUNCTION("""COMPUTED_VALUE"""),5.0)</f>
        <v>5</v>
      </c>
      <c r="L749" s="12">
        <f>IFERROR(__xludf.DUMMYFUNCTION("""COMPUTED_VALUE"""),0.375)</f>
        <v>0.375</v>
      </c>
      <c r="M749" s="11">
        <f>IFERROR(__xludf.DUMMYFUNCTION("""COMPUTED_VALUE"""),0.0)</f>
        <v>0</v>
      </c>
      <c r="N749" s="11">
        <f>IFERROR(__xludf.DUMMYFUNCTION("""COMPUTED_VALUE"""),2659.0)</f>
        <v>2659</v>
      </c>
      <c r="O749" s="13">
        <f>IFERROR(__xludf.DUMMYFUNCTION("""COMPUTED_VALUE"""),5.0)</f>
        <v>5</v>
      </c>
      <c r="P749" s="14">
        <f>IFERROR(__xludf.DUMMYFUNCTION("""COMPUTED_VALUE"""),9.0)</f>
        <v>9</v>
      </c>
      <c r="Q749" s="13">
        <f>IFERROR(__xludf.DUMMYFUNCTION("""COMPUTED_VALUE"""),7.0)</f>
        <v>7</v>
      </c>
      <c r="R749" s="13">
        <f>IFERROR(__xludf.DUMMYFUNCTION("""COMPUTED_VALUE"""),19.0)</f>
        <v>19</v>
      </c>
      <c r="S749" s="15">
        <f>IFERROR(__xludf.DUMMYFUNCTION("""COMPUTED_VALUE"""),0.2631578947368421)</f>
        <v>0.2631578947</v>
      </c>
      <c r="T749" s="16">
        <f>IFERROR(__xludf.DUMMYFUNCTION("""COMPUTED_VALUE"""),332.375)</f>
        <v>332.375</v>
      </c>
      <c r="U749" s="16">
        <f>IFERROR(__xludf.DUMMYFUNCTION("""COMPUTED_VALUE"""),0.625)</f>
        <v>0.625</v>
      </c>
      <c r="V749" s="16">
        <f>IFERROR(__xludf.DUMMYFUNCTION("""COMPUTED_VALUE"""),1.125)</f>
        <v>1.125</v>
      </c>
      <c r="W749" s="16">
        <f>IFERROR(__xludf.DUMMYFUNCTION("""COMPUTED_VALUE"""),0.875)</f>
        <v>0.875</v>
      </c>
      <c r="X749" s="16">
        <f>IFERROR(__xludf.DUMMYFUNCTION("""COMPUTED_VALUE"""),2.375)</f>
        <v>2.375</v>
      </c>
      <c r="Y749" s="11">
        <f>IFERROR(__xludf.DUMMYFUNCTION("""COMPUTED_VALUE"""),1.0)</f>
        <v>1</v>
      </c>
      <c r="Z749" s="11">
        <f>IFERROR(__xludf.DUMMYFUNCTION("""COMPUTED_VALUE"""),0.0)</f>
        <v>0</v>
      </c>
      <c r="AA749" s="11">
        <f>IFERROR(__xludf.DUMMYFUNCTION("""COMPUTED_VALUE"""),1.0)</f>
        <v>1</v>
      </c>
      <c r="AB749" s="11">
        <f>IFERROR(__xludf.DUMMYFUNCTION("""COMPUTED_VALUE"""),1.0)</f>
        <v>1</v>
      </c>
      <c r="AC749" s="11">
        <f>IFERROR(__xludf.DUMMYFUNCTION("""COMPUTED_VALUE"""),9.0)</f>
        <v>9</v>
      </c>
      <c r="AD749" s="11">
        <f>IFERROR(__xludf.DUMMYFUNCTION("""COMPUTED_VALUE"""),10.0)</f>
        <v>10</v>
      </c>
    </row>
    <row r="750">
      <c r="A750" s="10" t="str">
        <f>IFERROR(__xludf.DUMMYFUNCTION("""COMPUTED_VALUE"""),"Veteran")</f>
        <v>Veteran</v>
      </c>
      <c r="B750" s="10" t="str">
        <f>IFERROR(__xludf.DUMMYFUNCTION("""COMPUTED_VALUE"""),"RSC007850")</f>
        <v>RSC007850</v>
      </c>
      <c r="C750" s="10" t="str">
        <f>IFERROR(__xludf.DUMMYFUNCTION("""COMPUTED_VALUE"""),"harp NO boost")</f>
        <v>harp NO boost</v>
      </c>
      <c r="D750" s="36" t="str">
        <f>IFERROR(__xludf.DUMMYFUNCTION("""COMPUTED_VALUE"""),"Cannoli")</f>
        <v>Cannoli</v>
      </c>
      <c r="E750" s="10" t="str">
        <f>IFERROR(__xludf.DUMMYFUNCTION("""COMPUTED_VALUE"""),"Lunar")</f>
        <v>Lunar</v>
      </c>
      <c r="F750" s="37">
        <f>IFERROR(__xludf.DUMMYFUNCTION("""COMPUTED_VALUE"""),49.649774988708494)</f>
        <v>49.64977499</v>
      </c>
      <c r="G750" s="38">
        <f>IFERROR(__xludf.DUMMYFUNCTION("""COMPUTED_VALUE"""),54.02956969437838)</f>
        <v>54.02956969</v>
      </c>
      <c r="H750" s="38">
        <f>IFERROR(__xludf.DUMMYFUNCTION("""COMPUTED_VALUE"""),51.839672341543434)</f>
        <v>51.83967234</v>
      </c>
      <c r="I750" s="14">
        <f>IFERROR(__xludf.DUMMYFUNCTION("""COMPUTED_VALUE"""),52.0)</f>
        <v>52</v>
      </c>
      <c r="J750" s="11">
        <f>IFERROR(__xludf.DUMMYFUNCTION("IFERROR(FILTER(Stats!$F:$Z,(Stats!$A:$A=$A750)*(Stats!$B:$B=$B750)))"),24.0)</f>
        <v>24</v>
      </c>
      <c r="K750" s="11">
        <f>IFERROR(__xludf.DUMMYFUNCTION("""COMPUTED_VALUE"""),28.0)</f>
        <v>28</v>
      </c>
      <c r="L750" s="12">
        <f>IFERROR(__xludf.DUMMYFUNCTION("""COMPUTED_VALUE"""),0.46153846153846156)</f>
        <v>0.4615384615</v>
      </c>
      <c r="M750" s="11">
        <f>IFERROR(__xludf.DUMMYFUNCTION("""COMPUTED_VALUE"""),7.0)</f>
        <v>7</v>
      </c>
      <c r="N750" s="11">
        <f>IFERROR(__xludf.DUMMYFUNCTION("""COMPUTED_VALUE"""),18531.0)</f>
        <v>18531</v>
      </c>
      <c r="O750" s="13">
        <f>IFERROR(__xludf.DUMMYFUNCTION("""COMPUTED_VALUE"""),40.0)</f>
        <v>40</v>
      </c>
      <c r="P750" s="14">
        <f>IFERROR(__xludf.DUMMYFUNCTION("""COMPUTED_VALUE"""),35.0)</f>
        <v>35</v>
      </c>
      <c r="Q750" s="13">
        <f>IFERROR(__xludf.DUMMYFUNCTION("""COMPUTED_VALUE"""),69.0)</f>
        <v>69</v>
      </c>
      <c r="R750" s="13">
        <f>IFERROR(__xludf.DUMMYFUNCTION("""COMPUTED_VALUE"""),106.0)</f>
        <v>106</v>
      </c>
      <c r="S750" s="15">
        <f>IFERROR(__xludf.DUMMYFUNCTION("""COMPUTED_VALUE"""),0.37735849056603776)</f>
        <v>0.3773584906</v>
      </c>
      <c r="T750" s="16">
        <f>IFERROR(__xludf.DUMMYFUNCTION("""COMPUTED_VALUE"""),356.36538461538464)</f>
        <v>356.3653846</v>
      </c>
      <c r="U750" s="16">
        <f>IFERROR(__xludf.DUMMYFUNCTION("""COMPUTED_VALUE"""),0.7692307692307693)</f>
        <v>0.7692307692</v>
      </c>
      <c r="V750" s="16">
        <f>IFERROR(__xludf.DUMMYFUNCTION("""COMPUTED_VALUE"""),0.6730769230769231)</f>
        <v>0.6730769231</v>
      </c>
      <c r="W750" s="16">
        <f>IFERROR(__xludf.DUMMYFUNCTION("""COMPUTED_VALUE"""),1.3269230769230769)</f>
        <v>1.326923077</v>
      </c>
      <c r="X750" s="16">
        <f>IFERROR(__xludf.DUMMYFUNCTION("""COMPUTED_VALUE"""),2.0384615384615383)</f>
        <v>2.038461538</v>
      </c>
      <c r="Y750" s="11">
        <f>IFERROR(__xludf.DUMMYFUNCTION("""COMPUTED_VALUE"""),8.0)</f>
        <v>8</v>
      </c>
      <c r="Z750" s="11">
        <f>IFERROR(__xludf.DUMMYFUNCTION("""COMPUTED_VALUE"""),2.0)</f>
        <v>2</v>
      </c>
      <c r="AA750" s="11">
        <f>IFERROR(__xludf.DUMMYFUNCTION("""COMPUTED_VALUE"""),1.0)</f>
        <v>1</v>
      </c>
      <c r="AB750" s="11">
        <f>IFERROR(__xludf.DUMMYFUNCTION("""COMPUTED_VALUE"""),6.0)</f>
        <v>6</v>
      </c>
      <c r="AC750" s="11">
        <f>IFERROR(__xludf.DUMMYFUNCTION("""COMPUTED_VALUE"""),51.0)</f>
        <v>51</v>
      </c>
      <c r="AD750" s="11">
        <f>IFERROR(__xludf.DUMMYFUNCTION("""COMPUTED_VALUE"""),51.0)</f>
        <v>51</v>
      </c>
    </row>
    <row r="751">
      <c r="A751" s="10" t="str">
        <f>IFERROR(__xludf.DUMMYFUNCTION("""COMPUTED_VALUE"""),"Veteran")</f>
        <v>Veteran</v>
      </c>
      <c r="B751" s="10" t="str">
        <f>IFERROR(__xludf.DUMMYFUNCTION("""COMPUTED_VALUE"""),"RSC008400")</f>
        <v>RSC008400</v>
      </c>
      <c r="C751" s="10" t="str">
        <f>IFERROR(__xludf.DUMMYFUNCTION("""COMPUTED_VALUE"""),"Itzmoose")</f>
        <v>Itzmoose</v>
      </c>
      <c r="D751" s="36" t="str">
        <f>IFERROR(__xludf.DUMMYFUNCTION("""COMPUTED_VALUE"""),"Peppermint
Merciless Mob")</f>
        <v>Peppermint
Merciless Mob</v>
      </c>
      <c r="E751" s="10" t="str">
        <f>IFERROR(__xludf.DUMMYFUNCTION("""COMPUTED_VALUE"""),"Solar
Lunar")</f>
        <v>Solar
Lunar</v>
      </c>
      <c r="F751" s="37">
        <f>IFERROR(__xludf.DUMMYFUNCTION("""COMPUTED_VALUE"""),56.78908913198944)</f>
        <v>56.78908913</v>
      </c>
      <c r="G751" s="38">
        <f>IFERROR(__xludf.DUMMYFUNCTION("""COMPUTED_VALUE"""),46.244930862134844)</f>
        <v>46.24493086</v>
      </c>
      <c r="H751" s="38">
        <f>IFERROR(__xludf.DUMMYFUNCTION("""COMPUTED_VALUE"""),51.51700999706215)</f>
        <v>51.51701</v>
      </c>
      <c r="I751" s="14">
        <f>IFERROR(__xludf.DUMMYFUNCTION("""COMPUTED_VALUE"""),19.0)</f>
        <v>19</v>
      </c>
      <c r="J751" s="11">
        <f>IFERROR(__xludf.DUMMYFUNCTION("IFERROR(FILTER(Stats!$F:$Z,(Stats!$A:$A=$A751)*(Stats!$B:$B=$B751)))"),6.0)</f>
        <v>6</v>
      </c>
      <c r="K751" s="11">
        <f>IFERROR(__xludf.DUMMYFUNCTION("""COMPUTED_VALUE"""),13.0)</f>
        <v>13</v>
      </c>
      <c r="L751" s="12">
        <f>IFERROR(__xludf.DUMMYFUNCTION("""COMPUTED_VALUE"""),0.3157894736842105)</f>
        <v>0.3157894737</v>
      </c>
      <c r="M751" s="11">
        <f>IFERROR(__xludf.DUMMYFUNCTION("""COMPUTED_VALUE"""),4.0)</f>
        <v>4</v>
      </c>
      <c r="N751" s="11">
        <f>IFERROR(__xludf.DUMMYFUNCTION("""COMPUTED_VALUE"""),6959.0)</f>
        <v>6959</v>
      </c>
      <c r="O751" s="13">
        <f>IFERROR(__xludf.DUMMYFUNCTION("""COMPUTED_VALUE"""),17.0)</f>
        <v>17</v>
      </c>
      <c r="P751" s="14">
        <f>IFERROR(__xludf.DUMMYFUNCTION("""COMPUTED_VALUE"""),8.0)</f>
        <v>8</v>
      </c>
      <c r="Q751" s="13">
        <f>IFERROR(__xludf.DUMMYFUNCTION("""COMPUTED_VALUE"""),27.0)</f>
        <v>27</v>
      </c>
      <c r="R751" s="13">
        <f>IFERROR(__xludf.DUMMYFUNCTION("""COMPUTED_VALUE"""),47.0)</f>
        <v>47</v>
      </c>
      <c r="S751" s="15">
        <f>IFERROR(__xludf.DUMMYFUNCTION("""COMPUTED_VALUE"""),0.3617021276595745)</f>
        <v>0.3617021277</v>
      </c>
      <c r="T751" s="16">
        <f>IFERROR(__xludf.DUMMYFUNCTION("""COMPUTED_VALUE"""),366.2631578947368)</f>
        <v>366.2631579</v>
      </c>
      <c r="U751" s="16">
        <f>IFERROR(__xludf.DUMMYFUNCTION("""COMPUTED_VALUE"""),0.8947368421052632)</f>
        <v>0.8947368421</v>
      </c>
      <c r="V751" s="16">
        <f>IFERROR(__xludf.DUMMYFUNCTION("""COMPUTED_VALUE"""),0.42105263157894735)</f>
        <v>0.4210526316</v>
      </c>
      <c r="W751" s="16">
        <f>IFERROR(__xludf.DUMMYFUNCTION("""COMPUTED_VALUE"""),1.4210526315789473)</f>
        <v>1.421052632</v>
      </c>
      <c r="X751" s="16">
        <f>IFERROR(__xludf.DUMMYFUNCTION("""COMPUTED_VALUE"""),2.473684210526316)</f>
        <v>2.473684211</v>
      </c>
      <c r="Y751" s="11">
        <f>IFERROR(__xludf.DUMMYFUNCTION("""COMPUTED_VALUE"""),1.0)</f>
        <v>1</v>
      </c>
      <c r="Z751" s="11">
        <f>IFERROR(__xludf.DUMMYFUNCTION("""COMPUTED_VALUE"""),2.0)</f>
        <v>2</v>
      </c>
      <c r="AA751" s="11">
        <f>IFERROR(__xludf.DUMMYFUNCTION("""COMPUTED_VALUE"""),0.0)</f>
        <v>0</v>
      </c>
      <c r="AB751" s="11">
        <f>IFERROR(__xludf.DUMMYFUNCTION("""COMPUTED_VALUE"""),3.0)</f>
        <v>3</v>
      </c>
      <c r="AC751" s="11">
        <f>IFERROR(__xludf.DUMMYFUNCTION("""COMPUTED_VALUE"""),10.0)</f>
        <v>10</v>
      </c>
      <c r="AD751" s="11">
        <f>IFERROR(__xludf.DUMMYFUNCTION("""COMPUTED_VALUE"""),22.0)</f>
        <v>22</v>
      </c>
    </row>
    <row r="752">
      <c r="A752" s="10" t="str">
        <f>IFERROR(__xludf.DUMMYFUNCTION("""COMPUTED_VALUE"""),"Veteran")</f>
        <v>Veteran</v>
      </c>
      <c r="B752" s="10" t="str">
        <f>IFERROR(__xludf.DUMMYFUNCTION("""COMPUTED_VALUE"""),"RSC000731")</f>
        <v>RSC000731</v>
      </c>
      <c r="C752" s="10" t="str">
        <f>IFERROR(__xludf.DUMMYFUNCTION("""COMPUTED_VALUE"""),"mm2")</f>
        <v>mm2</v>
      </c>
      <c r="D752" s="36" t="str">
        <f>IFERROR(__xludf.DUMMYFUNCTION("""COMPUTED_VALUE"""),"Navigators")</f>
        <v>Navigators</v>
      </c>
      <c r="E752" s="10" t="str">
        <f>IFERROR(__xludf.DUMMYFUNCTION("""COMPUTED_VALUE"""),"Solar")</f>
        <v>Solar</v>
      </c>
      <c r="F752" s="37">
        <f>IFERROR(__xludf.DUMMYFUNCTION("""COMPUTED_VALUE"""),55.811077586787704)</f>
        <v>55.81107759</v>
      </c>
      <c r="G752" s="38">
        <f>IFERROR(__xludf.DUMMYFUNCTION("""COMPUTED_VALUE"""),46.11440288089922)</f>
        <v>46.11440288</v>
      </c>
      <c r="H752" s="38">
        <f>IFERROR(__xludf.DUMMYFUNCTION("""COMPUTED_VALUE"""),50.96274023384346)</f>
        <v>50.96274023</v>
      </c>
      <c r="I752" s="14">
        <f>IFERROR(__xludf.DUMMYFUNCTION("""COMPUTED_VALUE"""),22.0)</f>
        <v>22</v>
      </c>
      <c r="J752" s="11">
        <f>IFERROR(__xludf.DUMMYFUNCTION("IFERROR(FILTER(Stats!$F:$Z,(Stats!$A:$A=$A752)*(Stats!$B:$B=$B752)))"),9.0)</f>
        <v>9</v>
      </c>
      <c r="K752" s="11">
        <f>IFERROR(__xludf.DUMMYFUNCTION("""COMPUTED_VALUE"""),13.0)</f>
        <v>13</v>
      </c>
      <c r="L752" s="12">
        <f>IFERROR(__xludf.DUMMYFUNCTION("""COMPUTED_VALUE"""),0.4090909090909091)</f>
        <v>0.4090909091</v>
      </c>
      <c r="M752" s="11">
        <f>IFERROR(__xludf.DUMMYFUNCTION("""COMPUTED_VALUE"""),3.0)</f>
        <v>3</v>
      </c>
      <c r="N752" s="11">
        <f>IFERROR(__xludf.DUMMYFUNCTION("""COMPUTED_VALUE"""),7856.0)</f>
        <v>7856</v>
      </c>
      <c r="O752" s="13">
        <f>IFERROR(__xludf.DUMMYFUNCTION("""COMPUTED_VALUE"""),17.0)</f>
        <v>17</v>
      </c>
      <c r="P752" s="14">
        <f>IFERROR(__xludf.DUMMYFUNCTION("""COMPUTED_VALUE"""),12.0)</f>
        <v>12</v>
      </c>
      <c r="Q752" s="13">
        <f>IFERROR(__xludf.DUMMYFUNCTION("""COMPUTED_VALUE"""),31.0)</f>
        <v>31</v>
      </c>
      <c r="R752" s="13">
        <f>IFERROR(__xludf.DUMMYFUNCTION("""COMPUTED_VALUE"""),53.0)</f>
        <v>53</v>
      </c>
      <c r="S752" s="15">
        <f>IFERROR(__xludf.DUMMYFUNCTION("""COMPUTED_VALUE"""),0.32075471698113206)</f>
        <v>0.320754717</v>
      </c>
      <c r="T752" s="16">
        <f>IFERROR(__xludf.DUMMYFUNCTION("""COMPUTED_VALUE"""),357.09090909090907)</f>
        <v>357.0909091</v>
      </c>
      <c r="U752" s="16">
        <f>IFERROR(__xludf.DUMMYFUNCTION("""COMPUTED_VALUE"""),0.7727272727272727)</f>
        <v>0.7727272727</v>
      </c>
      <c r="V752" s="16">
        <f>IFERROR(__xludf.DUMMYFUNCTION("""COMPUTED_VALUE"""),0.5454545454545454)</f>
        <v>0.5454545455</v>
      </c>
      <c r="W752" s="16">
        <f>IFERROR(__xludf.DUMMYFUNCTION("""COMPUTED_VALUE"""),1.4090909090909092)</f>
        <v>1.409090909</v>
      </c>
      <c r="X752" s="16">
        <f>IFERROR(__xludf.DUMMYFUNCTION("""COMPUTED_VALUE"""),2.409090909090909)</f>
        <v>2.409090909</v>
      </c>
      <c r="Y752" s="11">
        <f>IFERROR(__xludf.DUMMYFUNCTION("""COMPUTED_VALUE"""),3.0)</f>
        <v>3</v>
      </c>
      <c r="Z752" s="11">
        <f>IFERROR(__xludf.DUMMYFUNCTION("""COMPUTED_VALUE"""),1.0)</f>
        <v>1</v>
      </c>
      <c r="AA752" s="11">
        <f>IFERROR(__xludf.DUMMYFUNCTION("""COMPUTED_VALUE"""),0.0)</f>
        <v>0</v>
      </c>
      <c r="AB752" s="11">
        <f>IFERROR(__xludf.DUMMYFUNCTION("""COMPUTED_VALUE"""),4.0)</f>
        <v>4</v>
      </c>
      <c r="AC752" s="11">
        <f>IFERROR(__xludf.DUMMYFUNCTION("""COMPUTED_VALUE"""),28.0)</f>
        <v>28</v>
      </c>
      <c r="AD752" s="11">
        <f>IFERROR(__xludf.DUMMYFUNCTION("""COMPUTED_VALUE"""),28.0)</f>
        <v>28</v>
      </c>
    </row>
    <row r="753">
      <c r="A753" s="10" t="str">
        <f>IFERROR(__xludf.DUMMYFUNCTION("""COMPUTED_VALUE"""),"Veteran")</f>
        <v>Veteran</v>
      </c>
      <c r="B753" s="10" t="str">
        <f>IFERROR(__xludf.DUMMYFUNCTION("""COMPUTED_VALUE"""),"RSC002930")</f>
        <v>RSC002930</v>
      </c>
      <c r="C753" s="10" t="str">
        <f>IFERROR(__xludf.DUMMYFUNCTION("""COMPUTED_VALUE"""),"voakes")</f>
        <v>voakes</v>
      </c>
      <c r="D753" s="36" t="str">
        <f>IFERROR(__xludf.DUMMYFUNCTION("""COMPUTED_VALUE"""),"Shadow Tails
Peppermint
Avalanche")</f>
        <v>Shadow Tails
Peppermint
Avalanche</v>
      </c>
      <c r="E753" s="10" t="str">
        <f>IFERROR(__xludf.DUMMYFUNCTION("""COMPUTED_VALUE"""),"Solar
Solar
Solar")</f>
        <v>Solar
Solar
Solar</v>
      </c>
      <c r="F753" s="37">
        <f>IFERROR(__xludf.DUMMYFUNCTION("""COMPUTED_VALUE"""),52.032258676205686)</f>
        <v>52.03225868</v>
      </c>
      <c r="G753" s="38">
        <f>IFERROR(__xludf.DUMMYFUNCTION("""COMPUTED_VALUE"""),48.32817088879489)</f>
        <v>48.32817089</v>
      </c>
      <c r="H753" s="38">
        <f>IFERROR(__xludf.DUMMYFUNCTION("""COMPUTED_VALUE"""),50.180214782500286)</f>
        <v>50.18021478</v>
      </c>
      <c r="I753" s="14">
        <f>IFERROR(__xludf.DUMMYFUNCTION("""COMPUTED_VALUE"""),54.0)</f>
        <v>54</v>
      </c>
      <c r="J753" s="11">
        <f>IFERROR(__xludf.DUMMYFUNCTION("IFERROR(FILTER(Stats!$F:$Z,(Stats!$A:$A=$A753)*(Stats!$B:$B=$B753)))"),25.0)</f>
        <v>25</v>
      </c>
      <c r="K753" s="11">
        <f>IFERROR(__xludf.DUMMYFUNCTION("""COMPUTED_VALUE"""),29.0)</f>
        <v>29</v>
      </c>
      <c r="L753" s="12">
        <f>IFERROR(__xludf.DUMMYFUNCTION("""COMPUTED_VALUE"""),0.46296296296296297)</f>
        <v>0.462962963</v>
      </c>
      <c r="M753" s="11">
        <f>IFERROR(__xludf.DUMMYFUNCTION("""COMPUTED_VALUE"""),8.0)</f>
        <v>8</v>
      </c>
      <c r="N753" s="11">
        <f>IFERROR(__xludf.DUMMYFUNCTION("""COMPUTED_VALUE"""),18798.0)</f>
        <v>18798</v>
      </c>
      <c r="O753" s="13">
        <f>IFERROR(__xludf.DUMMYFUNCTION("""COMPUTED_VALUE"""),43.0)</f>
        <v>43</v>
      </c>
      <c r="P753" s="14">
        <f>IFERROR(__xludf.DUMMYFUNCTION("""COMPUTED_VALUE"""),25.0)</f>
        <v>25</v>
      </c>
      <c r="Q753" s="13">
        <f>IFERROR(__xludf.DUMMYFUNCTION("""COMPUTED_VALUE"""),76.0)</f>
        <v>76</v>
      </c>
      <c r="R753" s="13">
        <f>IFERROR(__xludf.DUMMYFUNCTION("""COMPUTED_VALUE"""),137.0)</f>
        <v>137</v>
      </c>
      <c r="S753" s="15">
        <f>IFERROR(__xludf.DUMMYFUNCTION("""COMPUTED_VALUE"""),0.31386861313868614)</f>
        <v>0.3138686131</v>
      </c>
      <c r="T753" s="16">
        <f>IFERROR(__xludf.DUMMYFUNCTION("""COMPUTED_VALUE"""),348.1111111111111)</f>
        <v>348.1111111</v>
      </c>
      <c r="U753" s="16">
        <f>IFERROR(__xludf.DUMMYFUNCTION("""COMPUTED_VALUE"""),0.7962962962962963)</f>
        <v>0.7962962963</v>
      </c>
      <c r="V753" s="16">
        <f>IFERROR(__xludf.DUMMYFUNCTION("""COMPUTED_VALUE"""),0.46296296296296297)</f>
        <v>0.462962963</v>
      </c>
      <c r="W753" s="16">
        <f>IFERROR(__xludf.DUMMYFUNCTION("""COMPUTED_VALUE"""),1.4074074074074074)</f>
        <v>1.407407407</v>
      </c>
      <c r="X753" s="16">
        <f>IFERROR(__xludf.DUMMYFUNCTION("""COMPUTED_VALUE"""),2.537037037037037)</f>
        <v>2.537037037</v>
      </c>
      <c r="Y753" s="11">
        <f>IFERROR(__xludf.DUMMYFUNCTION("""COMPUTED_VALUE"""),6.0)</f>
        <v>6</v>
      </c>
      <c r="Z753" s="11">
        <f>IFERROR(__xludf.DUMMYFUNCTION("""COMPUTED_VALUE"""),5.0)</f>
        <v>5</v>
      </c>
      <c r="AA753" s="11">
        <f>IFERROR(__xludf.DUMMYFUNCTION("""COMPUTED_VALUE"""),1.0)</f>
        <v>1</v>
      </c>
      <c r="AB753" s="11">
        <f>IFERROR(__xludf.DUMMYFUNCTION("""COMPUTED_VALUE"""),8.0)</f>
        <v>8</v>
      </c>
      <c r="AC753" s="11">
        <f>IFERROR(__xludf.DUMMYFUNCTION("""COMPUTED_VALUE"""),51.0)</f>
        <v>51</v>
      </c>
      <c r="AD753" s="11">
        <f>IFERROR(__xludf.DUMMYFUNCTION("""COMPUTED_VALUE"""),74.0)</f>
        <v>74</v>
      </c>
    </row>
    <row r="754">
      <c r="A754" s="10" t="str">
        <f>IFERROR(__xludf.DUMMYFUNCTION("""COMPUTED_VALUE"""),"Veteran")</f>
        <v>Veteran</v>
      </c>
      <c r="B754" s="10" t="str">
        <f>IFERROR(__xludf.DUMMYFUNCTION("""COMPUTED_VALUE"""),"RSC000724")</f>
        <v>RSC000724</v>
      </c>
      <c r="C754" s="10" t="str">
        <f>IFERROR(__xludf.DUMMYFUNCTION("""COMPUTED_VALUE"""),"dunnie14")</f>
        <v>dunnie14</v>
      </c>
      <c r="D754" s="36" t="str">
        <f>IFERROR(__xludf.DUMMYFUNCTION("""COMPUTED_VALUE"""),"White Collars
Folks")</f>
        <v>White Collars
Folks</v>
      </c>
      <c r="E754" s="10" t="str">
        <f>IFERROR(__xludf.DUMMYFUNCTION("""COMPUTED_VALUE"""),"Lunar
Lunar")</f>
        <v>Lunar
Lunar</v>
      </c>
      <c r="F754" s="37">
        <f>IFERROR(__xludf.DUMMYFUNCTION("""COMPUTED_VALUE"""),54.52211211849355)</f>
        <v>54.52211212</v>
      </c>
      <c r="G754" s="38">
        <f>IFERROR(__xludf.DUMMYFUNCTION("""COMPUTED_VALUE"""),45.357853779437235)</f>
        <v>45.35785378</v>
      </c>
      <c r="H754" s="38">
        <f>IFERROR(__xludf.DUMMYFUNCTION("""COMPUTED_VALUE"""),49.939982948965394)</f>
        <v>49.93998295</v>
      </c>
      <c r="I754" s="14">
        <f>IFERROR(__xludf.DUMMYFUNCTION("""COMPUTED_VALUE"""),41.0)</f>
        <v>41</v>
      </c>
      <c r="J754" s="11">
        <f>IFERROR(__xludf.DUMMYFUNCTION("IFERROR(FILTER(Stats!$F:$Z,(Stats!$A:$A=$A754)*(Stats!$B:$B=$B754)))"),18.0)</f>
        <v>18</v>
      </c>
      <c r="K754" s="11">
        <f>IFERROR(__xludf.DUMMYFUNCTION("""COMPUTED_VALUE"""),23.0)</f>
        <v>23</v>
      </c>
      <c r="L754" s="12">
        <f>IFERROR(__xludf.DUMMYFUNCTION("""COMPUTED_VALUE"""),0.43902439024390244)</f>
        <v>0.4390243902</v>
      </c>
      <c r="M754" s="11">
        <f>IFERROR(__xludf.DUMMYFUNCTION("""COMPUTED_VALUE"""),5.0)</f>
        <v>5</v>
      </c>
      <c r="N754" s="11">
        <f>IFERROR(__xludf.DUMMYFUNCTION("""COMPUTED_VALUE"""),14915.0)</f>
        <v>14915</v>
      </c>
      <c r="O754" s="13">
        <f>IFERROR(__xludf.DUMMYFUNCTION("""COMPUTED_VALUE"""),25.0)</f>
        <v>25</v>
      </c>
      <c r="P754" s="14">
        <f>IFERROR(__xludf.DUMMYFUNCTION("""COMPUTED_VALUE"""),23.0)</f>
        <v>23</v>
      </c>
      <c r="Q754" s="13">
        <f>IFERROR(__xludf.DUMMYFUNCTION("""COMPUTED_VALUE"""),74.0)</f>
        <v>74</v>
      </c>
      <c r="R754" s="13">
        <f>IFERROR(__xludf.DUMMYFUNCTION("""COMPUTED_VALUE"""),84.0)</f>
        <v>84</v>
      </c>
      <c r="S754" s="15">
        <f>IFERROR(__xludf.DUMMYFUNCTION("""COMPUTED_VALUE"""),0.2976190476190476)</f>
        <v>0.2976190476</v>
      </c>
      <c r="T754" s="16">
        <f>IFERROR(__xludf.DUMMYFUNCTION("""COMPUTED_VALUE"""),363.780487804878)</f>
        <v>363.7804878</v>
      </c>
      <c r="U754" s="16">
        <f>IFERROR(__xludf.DUMMYFUNCTION("""COMPUTED_VALUE"""),0.6097560975609756)</f>
        <v>0.6097560976</v>
      </c>
      <c r="V754" s="16">
        <f>IFERROR(__xludf.DUMMYFUNCTION("""COMPUTED_VALUE"""),0.5609756097560976)</f>
        <v>0.5609756098</v>
      </c>
      <c r="W754" s="16">
        <f>IFERROR(__xludf.DUMMYFUNCTION("""COMPUTED_VALUE"""),1.8048780487804879)</f>
        <v>1.804878049</v>
      </c>
      <c r="X754" s="16">
        <f>IFERROR(__xludf.DUMMYFUNCTION("""COMPUTED_VALUE"""),2.048780487804878)</f>
        <v>2.048780488</v>
      </c>
      <c r="Y754" s="11">
        <f>IFERROR(__xludf.DUMMYFUNCTION("""COMPUTED_VALUE"""),6.0)</f>
        <v>6</v>
      </c>
      <c r="Z754" s="11">
        <f>IFERROR(__xludf.DUMMYFUNCTION("""COMPUTED_VALUE"""),0.0)</f>
        <v>0</v>
      </c>
      <c r="AA754" s="11">
        <f>IFERROR(__xludf.DUMMYFUNCTION("""COMPUTED_VALUE"""),0.0)</f>
        <v>0</v>
      </c>
      <c r="AB754" s="11">
        <f>IFERROR(__xludf.DUMMYFUNCTION("""COMPUTED_VALUE"""),14.0)</f>
        <v>14</v>
      </c>
      <c r="AC754" s="11">
        <f>IFERROR(__xludf.DUMMYFUNCTION("""COMPUTED_VALUE"""),24.0)</f>
        <v>24</v>
      </c>
      <c r="AD754" s="11">
        <f>IFERROR(__xludf.DUMMYFUNCTION("""COMPUTED_VALUE"""),52.0)</f>
        <v>52</v>
      </c>
    </row>
    <row r="755">
      <c r="A755" s="10" t="str">
        <f>IFERROR(__xludf.DUMMYFUNCTION("""COMPUTED_VALUE"""),"Veteran")</f>
        <v>Veteran</v>
      </c>
      <c r="B755" s="10" t="str">
        <f>IFERROR(__xludf.DUMMYFUNCTION("""COMPUTED_VALUE"""),"RSC004394")</f>
        <v>RSC004394</v>
      </c>
      <c r="C755" s="10" t="str">
        <f>IFERROR(__xludf.DUMMYFUNCTION("""COMPUTED_VALUE"""),"chis")</f>
        <v>chis</v>
      </c>
      <c r="D755" s="36" t="str">
        <f>IFERROR(__xludf.DUMMYFUNCTION("""COMPUTED_VALUE"""),"Gouda Gangsters")</f>
        <v>Gouda Gangsters</v>
      </c>
      <c r="E755" s="10" t="str">
        <f>IFERROR(__xludf.DUMMYFUNCTION("""COMPUTED_VALUE"""),"Lunar")</f>
        <v>Lunar</v>
      </c>
      <c r="F755" s="37">
        <f>IFERROR(__xludf.DUMMYFUNCTION("""COMPUTED_VALUE"""),47.77333768751502)</f>
        <v>47.77333769</v>
      </c>
      <c r="G755" s="38">
        <f>IFERROR(__xludf.DUMMYFUNCTION("""COMPUTED_VALUE"""),51.83768693912168)</f>
        <v>51.83768694</v>
      </c>
      <c r="H755" s="38">
        <f>IFERROR(__xludf.DUMMYFUNCTION("""COMPUTED_VALUE"""),49.805512313318346)</f>
        <v>49.80551231</v>
      </c>
      <c r="I755" s="14">
        <f>IFERROR(__xludf.DUMMYFUNCTION("""COMPUTED_VALUE"""),48.0)</f>
        <v>48</v>
      </c>
      <c r="J755" s="11">
        <f>IFERROR(__xludf.DUMMYFUNCTION("IFERROR(FILTER(Stats!$F:$Z,(Stats!$A:$A=$A755)*(Stats!$B:$B=$B755)))"),21.0)</f>
        <v>21</v>
      </c>
      <c r="K755" s="11">
        <f>IFERROR(__xludf.DUMMYFUNCTION("""COMPUTED_VALUE"""),27.0)</f>
        <v>27</v>
      </c>
      <c r="L755" s="12">
        <f>IFERROR(__xludf.DUMMYFUNCTION("""COMPUTED_VALUE"""),0.4375)</f>
        <v>0.4375</v>
      </c>
      <c r="M755" s="11">
        <f>IFERROR(__xludf.DUMMYFUNCTION("""COMPUTED_VALUE"""),4.0)</f>
        <v>4</v>
      </c>
      <c r="N755" s="11">
        <f>IFERROR(__xludf.DUMMYFUNCTION("""COMPUTED_VALUE"""),15655.0)</f>
        <v>15655</v>
      </c>
      <c r="O755" s="13">
        <f>IFERROR(__xludf.DUMMYFUNCTION("""COMPUTED_VALUE"""),30.0)</f>
        <v>30</v>
      </c>
      <c r="P755" s="14">
        <f>IFERROR(__xludf.DUMMYFUNCTION("""COMPUTED_VALUE"""),34.0)</f>
        <v>34</v>
      </c>
      <c r="Q755" s="13">
        <f>IFERROR(__xludf.DUMMYFUNCTION("""COMPUTED_VALUE"""),58.0)</f>
        <v>58</v>
      </c>
      <c r="R755" s="13">
        <f>IFERROR(__xludf.DUMMYFUNCTION("""COMPUTED_VALUE"""),106.0)</f>
        <v>106</v>
      </c>
      <c r="S755" s="15">
        <f>IFERROR(__xludf.DUMMYFUNCTION("""COMPUTED_VALUE"""),0.2830188679245283)</f>
        <v>0.2830188679</v>
      </c>
      <c r="T755" s="16">
        <f>IFERROR(__xludf.DUMMYFUNCTION("""COMPUTED_VALUE"""),326.1458333333333)</f>
        <v>326.1458333</v>
      </c>
      <c r="U755" s="16">
        <f>IFERROR(__xludf.DUMMYFUNCTION("""COMPUTED_VALUE"""),0.625)</f>
        <v>0.625</v>
      </c>
      <c r="V755" s="16">
        <f>IFERROR(__xludf.DUMMYFUNCTION("""COMPUTED_VALUE"""),0.7083333333333334)</f>
        <v>0.7083333333</v>
      </c>
      <c r="W755" s="16">
        <f>IFERROR(__xludf.DUMMYFUNCTION("""COMPUTED_VALUE"""),1.2083333333333333)</f>
        <v>1.208333333</v>
      </c>
      <c r="X755" s="16">
        <f>IFERROR(__xludf.DUMMYFUNCTION("""COMPUTED_VALUE"""),2.2083333333333335)</f>
        <v>2.208333333</v>
      </c>
      <c r="Y755" s="11">
        <f>IFERROR(__xludf.DUMMYFUNCTION("""COMPUTED_VALUE"""),11.0)</f>
        <v>11</v>
      </c>
      <c r="Z755" s="11">
        <f>IFERROR(__xludf.DUMMYFUNCTION("""COMPUTED_VALUE"""),1.0)</f>
        <v>1</v>
      </c>
      <c r="AA755" s="11">
        <f>IFERROR(__xludf.DUMMYFUNCTION("""COMPUTED_VALUE"""),1.0)</f>
        <v>1</v>
      </c>
      <c r="AB755" s="11">
        <f>IFERROR(__xludf.DUMMYFUNCTION("""COMPUTED_VALUE"""),5.0)</f>
        <v>5</v>
      </c>
      <c r="AC755" s="11">
        <f>IFERROR(__xludf.DUMMYFUNCTION("""COMPUTED_VALUE"""),57.0)</f>
        <v>57</v>
      </c>
      <c r="AD755" s="11">
        <f>IFERROR(__xludf.DUMMYFUNCTION("""COMPUTED_VALUE"""),61.0)</f>
        <v>61</v>
      </c>
    </row>
    <row r="756">
      <c r="A756" s="10" t="str">
        <f>IFERROR(__xludf.DUMMYFUNCTION("""COMPUTED_VALUE"""),"Veteran")</f>
        <v>Veteran</v>
      </c>
      <c r="B756" s="10" t="str">
        <f>IFERROR(__xludf.DUMMYFUNCTION("""COMPUTED_VALUE"""),"RSC003333")</f>
        <v>RSC003333</v>
      </c>
      <c r="C756" s="10" t="str">
        <f>IFERROR(__xludf.DUMMYFUNCTION("""COMPUTED_VALUE"""),"Mike The Ox")</f>
        <v>Mike The Ox</v>
      </c>
      <c r="D756" s="36" t="str">
        <f>IFERROR(__xludf.DUMMYFUNCTION("""COMPUTED_VALUE"""),"Gargoyle")</f>
        <v>Gargoyle</v>
      </c>
      <c r="E756" s="10" t="str">
        <f>IFERROR(__xludf.DUMMYFUNCTION("""COMPUTED_VALUE"""),"Solar")</f>
        <v>Solar</v>
      </c>
      <c r="F756" s="37">
        <f>IFERROR(__xludf.DUMMYFUNCTION("""COMPUTED_VALUE"""),51.834766714765756)</f>
        <v>51.83476671</v>
      </c>
      <c r="G756" s="38">
        <f>IFERROR(__xludf.DUMMYFUNCTION("""COMPUTED_VALUE"""),47.663074395486134)</f>
        <v>47.6630744</v>
      </c>
      <c r="H756" s="38">
        <f>IFERROR(__xludf.DUMMYFUNCTION("""COMPUTED_VALUE"""),49.74892055512595)</f>
        <v>49.74892056</v>
      </c>
      <c r="I756" s="14">
        <f>IFERROR(__xludf.DUMMYFUNCTION("""COMPUTED_VALUE"""),1.0)</f>
        <v>1</v>
      </c>
      <c r="J756" s="11">
        <f>IFERROR(__xludf.DUMMYFUNCTION("IFERROR(FILTER(Stats!$F:$Z,(Stats!$A:$A=$A756)*(Stats!$B:$B=$B756)))"),1.0)</f>
        <v>1</v>
      </c>
      <c r="K756" s="11">
        <f>IFERROR(__xludf.DUMMYFUNCTION("""COMPUTED_VALUE"""),0.0)</f>
        <v>0</v>
      </c>
      <c r="L756" s="12">
        <f>IFERROR(__xludf.DUMMYFUNCTION("""COMPUTED_VALUE"""),1.0)</f>
        <v>1</v>
      </c>
      <c r="M756" s="11">
        <f>IFERROR(__xludf.DUMMYFUNCTION("""COMPUTED_VALUE"""),0.0)</f>
        <v>0</v>
      </c>
      <c r="N756" s="11">
        <f>IFERROR(__xludf.DUMMYFUNCTION("""COMPUTED_VALUE"""),216.0)</f>
        <v>216</v>
      </c>
      <c r="O756" s="13">
        <f>IFERROR(__xludf.DUMMYFUNCTION("""COMPUTED_VALUE"""),0.0)</f>
        <v>0</v>
      </c>
      <c r="P756" s="14">
        <f>IFERROR(__xludf.DUMMYFUNCTION("""COMPUTED_VALUE"""),1.0)</f>
        <v>1</v>
      </c>
      <c r="Q756" s="13">
        <f>IFERROR(__xludf.DUMMYFUNCTION("""COMPUTED_VALUE"""),1.0)</f>
        <v>1</v>
      </c>
      <c r="R756" s="13">
        <f>IFERROR(__xludf.DUMMYFUNCTION("""COMPUTED_VALUE"""),1.0)</f>
        <v>1</v>
      </c>
      <c r="S756" s="15">
        <f>IFERROR(__xludf.DUMMYFUNCTION("""COMPUTED_VALUE"""),0.0)</f>
        <v>0</v>
      </c>
      <c r="T756" s="16">
        <f>IFERROR(__xludf.DUMMYFUNCTION("""COMPUTED_VALUE"""),216.0)</f>
        <v>216</v>
      </c>
      <c r="U756" s="16">
        <f>IFERROR(__xludf.DUMMYFUNCTION("""COMPUTED_VALUE"""),0.0)</f>
        <v>0</v>
      </c>
      <c r="V756" s="16">
        <f>IFERROR(__xludf.DUMMYFUNCTION("""COMPUTED_VALUE"""),1.0)</f>
        <v>1</v>
      </c>
      <c r="W756" s="16">
        <f>IFERROR(__xludf.DUMMYFUNCTION("""COMPUTED_VALUE"""),1.0)</f>
        <v>1</v>
      </c>
      <c r="X756" s="16">
        <f>IFERROR(__xludf.DUMMYFUNCTION("""COMPUTED_VALUE"""),1.0)</f>
        <v>1</v>
      </c>
      <c r="Y756" s="11">
        <f>IFERROR(__xludf.DUMMYFUNCTION("""COMPUTED_VALUE"""),0.0)</f>
        <v>0</v>
      </c>
      <c r="Z756" s="11">
        <f>IFERROR(__xludf.DUMMYFUNCTION("""COMPUTED_VALUE"""),0.0)</f>
        <v>0</v>
      </c>
      <c r="AA756" s="11">
        <f>IFERROR(__xludf.DUMMYFUNCTION("""COMPUTED_VALUE"""),0.0)</f>
        <v>0</v>
      </c>
      <c r="AB756" s="11">
        <f>IFERROR(__xludf.DUMMYFUNCTION("""COMPUTED_VALUE"""),0.0)</f>
        <v>0</v>
      </c>
      <c r="AC756" s="11">
        <f>IFERROR(__xludf.DUMMYFUNCTION("""COMPUTED_VALUE"""),0.0)</f>
        <v>0</v>
      </c>
      <c r="AD756" s="11">
        <f>IFERROR(__xludf.DUMMYFUNCTION("""COMPUTED_VALUE"""),2.0)</f>
        <v>2</v>
      </c>
    </row>
    <row r="757">
      <c r="A757" s="10" t="str">
        <f>IFERROR(__xludf.DUMMYFUNCTION("""COMPUTED_VALUE"""),"Veteran")</f>
        <v>Veteran</v>
      </c>
      <c r="B757" s="10" t="str">
        <f>IFERROR(__xludf.DUMMYFUNCTION("""COMPUTED_VALUE"""),"RSC008373")</f>
        <v>RSC008373</v>
      </c>
      <c r="C757" s="10" t="str">
        <f>IFERROR(__xludf.DUMMYFUNCTION("""COMPUTED_VALUE"""),"jhonko")</f>
        <v>jhonko</v>
      </c>
      <c r="D757" s="36" t="str">
        <f>IFERROR(__xludf.DUMMYFUNCTION("""COMPUTED_VALUE"""),"Blacksmiths")</f>
        <v>Blacksmiths</v>
      </c>
      <c r="E757" s="10" t="str">
        <f>IFERROR(__xludf.DUMMYFUNCTION("""COMPUTED_VALUE"""),"Lunar")</f>
        <v>Lunar</v>
      </c>
      <c r="F757" s="37">
        <f>IFERROR(__xludf.DUMMYFUNCTION("""COMPUTED_VALUE"""),49.99784455797911)</f>
        <v>49.99784456</v>
      </c>
      <c r="G757" s="38">
        <f>IFERROR(__xludf.DUMMYFUNCTION("""COMPUTED_VALUE"""),49.3215142242951)</f>
        <v>49.32151422</v>
      </c>
      <c r="H757" s="38">
        <f>IFERROR(__xludf.DUMMYFUNCTION("""COMPUTED_VALUE"""),49.659679391137104)</f>
        <v>49.65967939</v>
      </c>
      <c r="I757" s="14">
        <f>IFERROR(__xludf.DUMMYFUNCTION("""COMPUTED_VALUE"""),50.0)</f>
        <v>50</v>
      </c>
      <c r="J757" s="11">
        <f>IFERROR(__xludf.DUMMYFUNCTION("IFERROR(FILTER(Stats!$F:$Z,(Stats!$A:$A=$A757)*(Stats!$B:$B=$B757)))"),26.0)</f>
        <v>26</v>
      </c>
      <c r="K757" s="11">
        <f>IFERROR(__xludf.DUMMYFUNCTION("""COMPUTED_VALUE"""),24.0)</f>
        <v>24</v>
      </c>
      <c r="L757" s="12">
        <f>IFERROR(__xludf.DUMMYFUNCTION("""COMPUTED_VALUE"""),0.52)</f>
        <v>0.52</v>
      </c>
      <c r="M757" s="11">
        <f>IFERROR(__xludf.DUMMYFUNCTION("""COMPUTED_VALUE"""),7.0)</f>
        <v>7</v>
      </c>
      <c r="N757" s="11">
        <f>IFERROR(__xludf.DUMMYFUNCTION("""COMPUTED_VALUE"""),17748.0)</f>
        <v>17748</v>
      </c>
      <c r="O757" s="13">
        <f>IFERROR(__xludf.DUMMYFUNCTION("""COMPUTED_VALUE"""),31.0)</f>
        <v>31</v>
      </c>
      <c r="P757" s="14">
        <f>IFERROR(__xludf.DUMMYFUNCTION("""COMPUTED_VALUE"""),34.0)</f>
        <v>34</v>
      </c>
      <c r="Q757" s="13">
        <f>IFERROR(__xludf.DUMMYFUNCTION("""COMPUTED_VALUE"""),73.0)</f>
        <v>73</v>
      </c>
      <c r="R757" s="13">
        <f>IFERROR(__xludf.DUMMYFUNCTION("""COMPUTED_VALUE"""),102.0)</f>
        <v>102</v>
      </c>
      <c r="S757" s="15">
        <f>IFERROR(__xludf.DUMMYFUNCTION("""COMPUTED_VALUE"""),0.30392156862745096)</f>
        <v>0.3039215686</v>
      </c>
      <c r="T757" s="16">
        <f>IFERROR(__xludf.DUMMYFUNCTION("""COMPUTED_VALUE"""),354.96)</f>
        <v>354.96</v>
      </c>
      <c r="U757" s="16">
        <f>IFERROR(__xludf.DUMMYFUNCTION("""COMPUTED_VALUE"""),0.62)</f>
        <v>0.62</v>
      </c>
      <c r="V757" s="16">
        <f>IFERROR(__xludf.DUMMYFUNCTION("""COMPUTED_VALUE"""),0.68)</f>
        <v>0.68</v>
      </c>
      <c r="W757" s="16">
        <f>IFERROR(__xludf.DUMMYFUNCTION("""COMPUTED_VALUE"""),1.46)</f>
        <v>1.46</v>
      </c>
      <c r="X757" s="16">
        <f>IFERROR(__xludf.DUMMYFUNCTION("""COMPUTED_VALUE"""),2.04)</f>
        <v>2.04</v>
      </c>
      <c r="Y757" s="11">
        <f>IFERROR(__xludf.DUMMYFUNCTION("""COMPUTED_VALUE"""),11.0)</f>
        <v>11</v>
      </c>
      <c r="Z757" s="11">
        <f>IFERROR(__xludf.DUMMYFUNCTION("""COMPUTED_VALUE"""),0.0)</f>
        <v>0</v>
      </c>
      <c r="AA757" s="11">
        <f>IFERROR(__xludf.DUMMYFUNCTION("""COMPUTED_VALUE"""),2.0)</f>
        <v>2</v>
      </c>
      <c r="AB757" s="11">
        <f>IFERROR(__xludf.DUMMYFUNCTION("""COMPUTED_VALUE"""),8.0)</f>
        <v>8</v>
      </c>
      <c r="AC757" s="11">
        <f>IFERROR(__xludf.DUMMYFUNCTION("""COMPUTED_VALUE"""),56.0)</f>
        <v>56</v>
      </c>
      <c r="AD757" s="11">
        <f>IFERROR(__xludf.DUMMYFUNCTION("""COMPUTED_VALUE"""),50.0)</f>
        <v>50</v>
      </c>
    </row>
    <row r="758">
      <c r="A758" s="10" t="str">
        <f>IFERROR(__xludf.DUMMYFUNCTION("""COMPUTED_VALUE"""),"Veteran")</f>
        <v>Veteran</v>
      </c>
      <c r="B758" s="10" t="str">
        <f>IFERROR(__xludf.DUMMYFUNCTION("""COMPUTED_VALUE"""),"RSC003815")</f>
        <v>RSC003815</v>
      </c>
      <c r="C758" s="10" t="str">
        <f>IFERROR(__xludf.DUMMYFUNCTION("""COMPUTED_VALUE"""),"WashedDonk")</f>
        <v>WashedDonk</v>
      </c>
      <c r="D758" s="36" t="str">
        <f>IFERROR(__xludf.DUMMYFUNCTION("""COMPUTED_VALUE"""),"Grizzly Bears
Nighthawks")</f>
        <v>Grizzly Bears
Nighthawks</v>
      </c>
      <c r="E758" s="10" t="str">
        <f>IFERROR(__xludf.DUMMYFUNCTION("""COMPUTED_VALUE"""),"Solar
Lunar")</f>
        <v>Solar
Lunar</v>
      </c>
      <c r="F758" s="37">
        <f>IFERROR(__xludf.DUMMYFUNCTION("""COMPUTED_VALUE"""),53.153657499237)</f>
        <v>53.1536575</v>
      </c>
      <c r="G758" s="38">
        <f>IFERROR(__xludf.DUMMYFUNCTION("""COMPUTED_VALUE"""),45.1800283604387)</f>
        <v>45.18002836</v>
      </c>
      <c r="H758" s="38">
        <f>IFERROR(__xludf.DUMMYFUNCTION("""COMPUTED_VALUE"""),49.16684292983785)</f>
        <v>49.16684293</v>
      </c>
      <c r="I758" s="14">
        <f>IFERROR(__xludf.DUMMYFUNCTION("""COMPUTED_VALUE"""),27.0)</f>
        <v>27</v>
      </c>
      <c r="J758" s="11">
        <f>IFERROR(__xludf.DUMMYFUNCTION("IFERROR(FILTER(Stats!$F:$Z,(Stats!$A:$A=$A758)*(Stats!$B:$B=$B758)))"),12.0)</f>
        <v>12</v>
      </c>
      <c r="K758" s="11">
        <f>IFERROR(__xludf.DUMMYFUNCTION("""COMPUTED_VALUE"""),15.0)</f>
        <v>15</v>
      </c>
      <c r="L758" s="12">
        <f>IFERROR(__xludf.DUMMYFUNCTION("""COMPUTED_VALUE"""),0.4444444444444444)</f>
        <v>0.4444444444</v>
      </c>
      <c r="M758" s="11">
        <f>IFERROR(__xludf.DUMMYFUNCTION("""COMPUTED_VALUE"""),5.0)</f>
        <v>5</v>
      </c>
      <c r="N758" s="11">
        <f>IFERROR(__xludf.DUMMYFUNCTION("""COMPUTED_VALUE"""),9372.0)</f>
        <v>9372</v>
      </c>
      <c r="O758" s="13">
        <f>IFERROR(__xludf.DUMMYFUNCTION("""COMPUTED_VALUE"""),16.0)</f>
        <v>16</v>
      </c>
      <c r="P758" s="14">
        <f>IFERROR(__xludf.DUMMYFUNCTION("""COMPUTED_VALUE"""),17.0)</f>
        <v>17</v>
      </c>
      <c r="Q758" s="13">
        <f>IFERROR(__xludf.DUMMYFUNCTION("""COMPUTED_VALUE"""),42.0)</f>
        <v>42</v>
      </c>
      <c r="R758" s="13">
        <f>IFERROR(__xludf.DUMMYFUNCTION("""COMPUTED_VALUE"""),55.0)</f>
        <v>55</v>
      </c>
      <c r="S758" s="15">
        <f>IFERROR(__xludf.DUMMYFUNCTION("""COMPUTED_VALUE"""),0.2909090909090909)</f>
        <v>0.2909090909</v>
      </c>
      <c r="T758" s="16">
        <f>IFERROR(__xludf.DUMMYFUNCTION("""COMPUTED_VALUE"""),347.1111111111111)</f>
        <v>347.1111111</v>
      </c>
      <c r="U758" s="16">
        <f>IFERROR(__xludf.DUMMYFUNCTION("""COMPUTED_VALUE"""),0.5925925925925926)</f>
        <v>0.5925925926</v>
      </c>
      <c r="V758" s="16">
        <f>IFERROR(__xludf.DUMMYFUNCTION("""COMPUTED_VALUE"""),0.6296296296296297)</f>
        <v>0.6296296296</v>
      </c>
      <c r="W758" s="16">
        <f>IFERROR(__xludf.DUMMYFUNCTION("""COMPUTED_VALUE"""),1.5555555555555556)</f>
        <v>1.555555556</v>
      </c>
      <c r="X758" s="16">
        <f>IFERROR(__xludf.DUMMYFUNCTION("""COMPUTED_VALUE"""),2.037037037037037)</f>
        <v>2.037037037</v>
      </c>
      <c r="Y758" s="11">
        <f>IFERROR(__xludf.DUMMYFUNCTION("""COMPUTED_VALUE"""),2.0)</f>
        <v>2</v>
      </c>
      <c r="Z758" s="11">
        <f>IFERROR(__xludf.DUMMYFUNCTION("""COMPUTED_VALUE"""),1.0)</f>
        <v>1</v>
      </c>
      <c r="AA758" s="11">
        <f>IFERROR(__xludf.DUMMYFUNCTION("""COMPUTED_VALUE"""),0.0)</f>
        <v>0</v>
      </c>
      <c r="AB758" s="11">
        <f>IFERROR(__xludf.DUMMYFUNCTION("""COMPUTED_VALUE"""),5.0)</f>
        <v>5</v>
      </c>
      <c r="AC758" s="11">
        <f>IFERROR(__xludf.DUMMYFUNCTION("""COMPUTED_VALUE"""),30.0)</f>
        <v>30</v>
      </c>
      <c r="AD758" s="11">
        <f>IFERROR(__xludf.DUMMYFUNCTION("""COMPUTED_VALUE"""),17.0)</f>
        <v>17</v>
      </c>
    </row>
    <row r="759">
      <c r="A759" s="10" t="str">
        <f>IFERROR(__xludf.DUMMYFUNCTION("""COMPUTED_VALUE"""),"Veteran")</f>
        <v>Veteran</v>
      </c>
      <c r="B759" s="10" t="str">
        <f>IFERROR(__xludf.DUMMYFUNCTION("""COMPUTED_VALUE"""),"RSC006312")</f>
        <v>RSC006312</v>
      </c>
      <c r="C759" s="10" t="str">
        <f>IFERROR(__xludf.DUMMYFUNCTION("""COMPUTED_VALUE"""),"Cognitixn")</f>
        <v>Cognitixn</v>
      </c>
      <c r="D759" s="36" t="str">
        <f>IFERROR(__xludf.DUMMYFUNCTION("""COMPUTED_VALUE"""),"White Collars")</f>
        <v>White Collars</v>
      </c>
      <c r="E759" s="10" t="str">
        <f>IFERROR(__xludf.DUMMYFUNCTION("""COMPUTED_VALUE"""),"Lunar")</f>
        <v>Lunar</v>
      </c>
      <c r="F759" s="37">
        <f>IFERROR(__xludf.DUMMYFUNCTION("""COMPUTED_VALUE"""),53.003975956952885)</f>
        <v>53.00397596</v>
      </c>
      <c r="G759" s="38">
        <f>IFERROR(__xludf.DUMMYFUNCTION("""COMPUTED_VALUE"""),44.002496057797075)</f>
        <v>44.00249606</v>
      </c>
      <c r="H759" s="38">
        <f>IFERROR(__xludf.DUMMYFUNCTION("""COMPUTED_VALUE"""),48.50323600737498)</f>
        <v>48.50323601</v>
      </c>
      <c r="I759" s="14">
        <f>IFERROR(__xludf.DUMMYFUNCTION("""COMPUTED_VALUE"""),54.0)</f>
        <v>54</v>
      </c>
      <c r="J759" s="11">
        <f>IFERROR(__xludf.DUMMYFUNCTION("IFERROR(FILTER(Stats!$F:$Z,(Stats!$A:$A=$A759)*(Stats!$B:$B=$B759)))"),28.0)</f>
        <v>28</v>
      </c>
      <c r="K759" s="11">
        <f>IFERROR(__xludf.DUMMYFUNCTION("""COMPUTED_VALUE"""),26.0)</f>
        <v>26</v>
      </c>
      <c r="L759" s="12">
        <f>IFERROR(__xludf.DUMMYFUNCTION("""COMPUTED_VALUE"""),0.5185185185185185)</f>
        <v>0.5185185185</v>
      </c>
      <c r="M759" s="11">
        <f>IFERROR(__xludf.DUMMYFUNCTION("""COMPUTED_VALUE"""),9.0)</f>
        <v>9</v>
      </c>
      <c r="N759" s="11">
        <f>IFERROR(__xludf.DUMMYFUNCTION("""COMPUTED_VALUE"""),17964.0)</f>
        <v>17964</v>
      </c>
      <c r="O759" s="13">
        <f>IFERROR(__xludf.DUMMYFUNCTION("""COMPUTED_VALUE"""),39.0)</f>
        <v>39</v>
      </c>
      <c r="P759" s="14">
        <f>IFERROR(__xludf.DUMMYFUNCTION("""COMPUTED_VALUE"""),19.0)</f>
        <v>19</v>
      </c>
      <c r="Q759" s="13">
        <f>IFERROR(__xludf.DUMMYFUNCTION("""COMPUTED_VALUE"""),79.0)</f>
        <v>79</v>
      </c>
      <c r="R759" s="13">
        <f>IFERROR(__xludf.DUMMYFUNCTION("""COMPUTED_VALUE"""),139.0)</f>
        <v>139</v>
      </c>
      <c r="S759" s="15">
        <f>IFERROR(__xludf.DUMMYFUNCTION("""COMPUTED_VALUE"""),0.2805755395683453)</f>
        <v>0.2805755396</v>
      </c>
      <c r="T759" s="16">
        <f>IFERROR(__xludf.DUMMYFUNCTION("""COMPUTED_VALUE"""),332.6666666666667)</f>
        <v>332.6666667</v>
      </c>
      <c r="U759" s="16">
        <f>IFERROR(__xludf.DUMMYFUNCTION("""COMPUTED_VALUE"""),0.7222222222222222)</f>
        <v>0.7222222222</v>
      </c>
      <c r="V759" s="16">
        <f>IFERROR(__xludf.DUMMYFUNCTION("""COMPUTED_VALUE"""),0.35185185185185186)</f>
        <v>0.3518518519</v>
      </c>
      <c r="W759" s="16">
        <f>IFERROR(__xludf.DUMMYFUNCTION("""COMPUTED_VALUE"""),1.462962962962963)</f>
        <v>1.462962963</v>
      </c>
      <c r="X759" s="16">
        <f>IFERROR(__xludf.DUMMYFUNCTION("""COMPUTED_VALUE"""),2.574074074074074)</f>
        <v>2.574074074</v>
      </c>
      <c r="Y759" s="11">
        <f>IFERROR(__xludf.DUMMYFUNCTION("""COMPUTED_VALUE"""),6.0)</f>
        <v>6</v>
      </c>
      <c r="Z759" s="11">
        <f>IFERROR(__xludf.DUMMYFUNCTION("""COMPUTED_VALUE"""),4.0)</f>
        <v>4</v>
      </c>
      <c r="AA759" s="11">
        <f>IFERROR(__xludf.DUMMYFUNCTION("""COMPUTED_VALUE"""),0.0)</f>
        <v>0</v>
      </c>
      <c r="AB759" s="11">
        <f>IFERROR(__xludf.DUMMYFUNCTION("""COMPUTED_VALUE"""),7.0)</f>
        <v>7</v>
      </c>
      <c r="AC759" s="11">
        <f>IFERROR(__xludf.DUMMYFUNCTION("""COMPUTED_VALUE"""),51.0)</f>
        <v>51</v>
      </c>
      <c r="AD759" s="11">
        <f>IFERROR(__xludf.DUMMYFUNCTION("""COMPUTED_VALUE"""),69.0)</f>
        <v>69</v>
      </c>
    </row>
    <row r="760">
      <c r="A760" s="10" t="str">
        <f>IFERROR(__xludf.DUMMYFUNCTION("""COMPUTED_VALUE"""),"Veteran")</f>
        <v>Veteran</v>
      </c>
      <c r="B760" s="10" t="str">
        <f>IFERROR(__xludf.DUMMYFUNCTION("""COMPUTED_VALUE"""),"RSC003904")</f>
        <v>RSC003904</v>
      </c>
      <c r="C760" s="10" t="str">
        <f>IFERROR(__xludf.DUMMYFUNCTION("""COMPUTED_VALUE"""),"Tyyphoon454")</f>
        <v>Tyyphoon454</v>
      </c>
      <c r="D760" s="36" t="str">
        <f>IFERROR(__xludf.DUMMYFUNCTION("""COMPUTED_VALUE"""),"Dogfight")</f>
        <v>Dogfight</v>
      </c>
      <c r="E760" s="10" t="str">
        <f>IFERROR(__xludf.DUMMYFUNCTION("""COMPUTED_VALUE"""),"Lunar")</f>
        <v>Lunar</v>
      </c>
      <c r="F760" s="37">
        <f>IFERROR(__xludf.DUMMYFUNCTION("""COMPUTED_VALUE"""),47.98009310584315)</f>
        <v>47.98009311</v>
      </c>
      <c r="G760" s="38">
        <f>IFERROR(__xludf.DUMMYFUNCTION("""COMPUTED_VALUE"""),48.606993777209645)</f>
        <v>48.60699378</v>
      </c>
      <c r="H760" s="38">
        <f>IFERROR(__xludf.DUMMYFUNCTION("""COMPUTED_VALUE"""),48.293543441526396)</f>
        <v>48.29354344</v>
      </c>
      <c r="I760" s="14">
        <f>IFERROR(__xludf.DUMMYFUNCTION("""COMPUTED_VALUE"""),24.0)</f>
        <v>24</v>
      </c>
      <c r="J760" s="11">
        <f>IFERROR(__xludf.DUMMYFUNCTION("IFERROR(FILTER(Stats!$F:$Z,(Stats!$A:$A=$A760)*(Stats!$B:$B=$B760)))"),10.0)</f>
        <v>10</v>
      </c>
      <c r="K760" s="11">
        <f>IFERROR(__xludf.DUMMYFUNCTION("""COMPUTED_VALUE"""),14.0)</f>
        <v>14</v>
      </c>
      <c r="L760" s="12">
        <f>IFERROR(__xludf.DUMMYFUNCTION("""COMPUTED_VALUE"""),0.4166666666666667)</f>
        <v>0.4166666667</v>
      </c>
      <c r="M760" s="11">
        <f>IFERROR(__xludf.DUMMYFUNCTION("""COMPUTED_VALUE"""),0.0)</f>
        <v>0</v>
      </c>
      <c r="N760" s="11">
        <f>IFERROR(__xludf.DUMMYFUNCTION("""COMPUTED_VALUE"""),7208.0)</f>
        <v>7208</v>
      </c>
      <c r="O760" s="13">
        <f>IFERROR(__xludf.DUMMYFUNCTION("""COMPUTED_VALUE"""),13.0)</f>
        <v>13</v>
      </c>
      <c r="P760" s="14">
        <f>IFERROR(__xludf.DUMMYFUNCTION("""COMPUTED_VALUE"""),19.0)</f>
        <v>19</v>
      </c>
      <c r="Q760" s="13">
        <f>IFERROR(__xludf.DUMMYFUNCTION("""COMPUTED_VALUE"""),25.0)</f>
        <v>25</v>
      </c>
      <c r="R760" s="13">
        <f>IFERROR(__xludf.DUMMYFUNCTION("""COMPUTED_VALUE"""),54.0)</f>
        <v>54</v>
      </c>
      <c r="S760" s="15">
        <f>IFERROR(__xludf.DUMMYFUNCTION("""COMPUTED_VALUE"""),0.24074074074074073)</f>
        <v>0.2407407407</v>
      </c>
      <c r="T760" s="16">
        <f>IFERROR(__xludf.DUMMYFUNCTION("""COMPUTED_VALUE"""),300.3333333333333)</f>
        <v>300.3333333</v>
      </c>
      <c r="U760" s="16">
        <f>IFERROR(__xludf.DUMMYFUNCTION("""COMPUTED_VALUE"""),0.5416666666666666)</f>
        <v>0.5416666667</v>
      </c>
      <c r="V760" s="16">
        <f>IFERROR(__xludf.DUMMYFUNCTION("""COMPUTED_VALUE"""),0.7916666666666666)</f>
        <v>0.7916666667</v>
      </c>
      <c r="W760" s="16">
        <f>IFERROR(__xludf.DUMMYFUNCTION("""COMPUTED_VALUE"""),1.0416666666666667)</f>
        <v>1.041666667</v>
      </c>
      <c r="X760" s="16">
        <f>IFERROR(__xludf.DUMMYFUNCTION("""COMPUTED_VALUE"""),2.25)</f>
        <v>2.25</v>
      </c>
      <c r="Y760" s="11">
        <f>IFERROR(__xludf.DUMMYFUNCTION("""COMPUTED_VALUE"""),2.0)</f>
        <v>2</v>
      </c>
      <c r="Z760" s="11">
        <f>IFERROR(__xludf.DUMMYFUNCTION("""COMPUTED_VALUE"""),0.0)</f>
        <v>0</v>
      </c>
      <c r="AA760" s="11">
        <f>IFERROR(__xludf.DUMMYFUNCTION("""COMPUTED_VALUE"""),2.0)</f>
        <v>2</v>
      </c>
      <c r="AB760" s="11">
        <f>IFERROR(__xludf.DUMMYFUNCTION("""COMPUTED_VALUE"""),3.0)</f>
        <v>3</v>
      </c>
      <c r="AC760" s="11">
        <f>IFERROR(__xludf.DUMMYFUNCTION("""COMPUTED_VALUE"""),32.0)</f>
        <v>32</v>
      </c>
      <c r="AD760" s="11">
        <f>IFERROR(__xludf.DUMMYFUNCTION("""COMPUTED_VALUE"""),21.0)</f>
        <v>21</v>
      </c>
    </row>
    <row r="761">
      <c r="A761" s="10" t="str">
        <f>IFERROR(__xludf.DUMMYFUNCTION("""COMPUTED_VALUE"""),"Veteran")</f>
        <v>Veteran</v>
      </c>
      <c r="B761" s="10" t="str">
        <f>IFERROR(__xludf.DUMMYFUNCTION("""COMPUTED_VALUE"""),"RSC006490")</f>
        <v>RSC006490</v>
      </c>
      <c r="C761" s="10" t="str">
        <f>IFERROR(__xludf.DUMMYFUNCTION("""COMPUTED_VALUE"""),"Dayz")</f>
        <v>Dayz</v>
      </c>
      <c r="D761" s="36" t="str">
        <f>IFERROR(__xludf.DUMMYFUNCTION("""COMPUTED_VALUE"""),"Shadow Tails")</f>
        <v>Shadow Tails</v>
      </c>
      <c r="E761" s="10" t="str">
        <f>IFERROR(__xludf.DUMMYFUNCTION("""COMPUTED_VALUE"""),"Solar")</f>
        <v>Solar</v>
      </c>
      <c r="F761" s="37">
        <f>IFERROR(__xludf.DUMMYFUNCTION("""COMPUTED_VALUE"""),50.93759080492892)</f>
        <v>50.9375908</v>
      </c>
      <c r="G761" s="38">
        <f>IFERROR(__xludf.DUMMYFUNCTION("""COMPUTED_VALUE"""),45.646216354081034)</f>
        <v>45.64621635</v>
      </c>
      <c r="H761" s="38">
        <f>IFERROR(__xludf.DUMMYFUNCTION("""COMPUTED_VALUE"""),48.291903579504975)</f>
        <v>48.29190358</v>
      </c>
      <c r="I761" s="14">
        <f>IFERROR(__xludf.DUMMYFUNCTION("""COMPUTED_VALUE"""),45.0)</f>
        <v>45</v>
      </c>
      <c r="J761" s="11">
        <f>IFERROR(__xludf.DUMMYFUNCTION("IFERROR(FILTER(Stats!$F:$Z,(Stats!$A:$A=$A761)*(Stats!$B:$B=$B761)))"),20.0)</f>
        <v>20</v>
      </c>
      <c r="K761" s="11">
        <f>IFERROR(__xludf.DUMMYFUNCTION("""COMPUTED_VALUE"""),25.0)</f>
        <v>25</v>
      </c>
      <c r="L761" s="12">
        <f>IFERROR(__xludf.DUMMYFUNCTION("""COMPUTED_VALUE"""),0.4444444444444444)</f>
        <v>0.4444444444</v>
      </c>
      <c r="M761" s="11">
        <f>IFERROR(__xludf.DUMMYFUNCTION("""COMPUTED_VALUE"""),5.0)</f>
        <v>5</v>
      </c>
      <c r="N761" s="11">
        <f>IFERROR(__xludf.DUMMYFUNCTION("""COMPUTED_VALUE"""),15490.0)</f>
        <v>15490</v>
      </c>
      <c r="O761" s="13">
        <f>IFERROR(__xludf.DUMMYFUNCTION("""COMPUTED_VALUE"""),28.0)</f>
        <v>28</v>
      </c>
      <c r="P761" s="14">
        <f>IFERROR(__xludf.DUMMYFUNCTION("""COMPUTED_VALUE"""),27.0)</f>
        <v>27</v>
      </c>
      <c r="Q761" s="13">
        <f>IFERROR(__xludf.DUMMYFUNCTION("""COMPUTED_VALUE"""),65.0)</f>
        <v>65</v>
      </c>
      <c r="R761" s="13">
        <f>IFERROR(__xludf.DUMMYFUNCTION("""COMPUTED_VALUE"""),107.0)</f>
        <v>107</v>
      </c>
      <c r="S761" s="15">
        <f>IFERROR(__xludf.DUMMYFUNCTION("""COMPUTED_VALUE"""),0.2616822429906542)</f>
        <v>0.261682243</v>
      </c>
      <c r="T761" s="16">
        <f>IFERROR(__xludf.DUMMYFUNCTION("""COMPUTED_VALUE"""),344.22222222222223)</f>
        <v>344.2222222</v>
      </c>
      <c r="U761" s="16">
        <f>IFERROR(__xludf.DUMMYFUNCTION("""COMPUTED_VALUE"""),0.6222222222222222)</f>
        <v>0.6222222222</v>
      </c>
      <c r="V761" s="16">
        <f>IFERROR(__xludf.DUMMYFUNCTION("""COMPUTED_VALUE"""),0.6)</f>
        <v>0.6</v>
      </c>
      <c r="W761" s="16">
        <f>IFERROR(__xludf.DUMMYFUNCTION("""COMPUTED_VALUE"""),1.4444444444444444)</f>
        <v>1.444444444</v>
      </c>
      <c r="X761" s="16">
        <f>IFERROR(__xludf.DUMMYFUNCTION("""COMPUTED_VALUE"""),2.3777777777777778)</f>
        <v>2.377777778</v>
      </c>
      <c r="Y761" s="11">
        <f>IFERROR(__xludf.DUMMYFUNCTION("""COMPUTED_VALUE"""),9.0)</f>
        <v>9</v>
      </c>
      <c r="Z761" s="11">
        <f>IFERROR(__xludf.DUMMYFUNCTION("""COMPUTED_VALUE"""),2.0)</f>
        <v>2</v>
      </c>
      <c r="AA761" s="11">
        <f>IFERROR(__xludf.DUMMYFUNCTION("""COMPUTED_VALUE"""),3.0)</f>
        <v>3</v>
      </c>
      <c r="AB761" s="11">
        <f>IFERROR(__xludf.DUMMYFUNCTION("""COMPUTED_VALUE"""),11.0)</f>
        <v>11</v>
      </c>
      <c r="AC761" s="11">
        <f>IFERROR(__xludf.DUMMYFUNCTION("""COMPUTED_VALUE"""),47.0)</f>
        <v>47</v>
      </c>
      <c r="AD761" s="11">
        <f>IFERROR(__xludf.DUMMYFUNCTION("""COMPUTED_VALUE"""),57.0)</f>
        <v>57</v>
      </c>
    </row>
    <row r="762">
      <c r="A762" s="10" t="str">
        <f>IFERROR(__xludf.DUMMYFUNCTION("""COMPUTED_VALUE"""),"Veteran")</f>
        <v>Veteran</v>
      </c>
      <c r="B762" s="10" t="str">
        <f>IFERROR(__xludf.DUMMYFUNCTION("""COMPUTED_VALUE"""),"RSC003104")</f>
        <v>RSC003104</v>
      </c>
      <c r="C762" s="10" t="str">
        <f>IFERROR(__xludf.DUMMYFUNCTION("""COMPUTED_VALUE"""),"nizz")</f>
        <v>nizz</v>
      </c>
      <c r="D762" s="36" t="str">
        <f>IFERROR(__xludf.DUMMYFUNCTION("""COMPUTED_VALUE"""),"Folks")</f>
        <v>Folks</v>
      </c>
      <c r="E762" s="10" t="str">
        <f>IFERROR(__xludf.DUMMYFUNCTION("""COMPUTED_VALUE"""),"Lunar")</f>
        <v>Lunar</v>
      </c>
      <c r="F762" s="37">
        <f>IFERROR(__xludf.DUMMYFUNCTION("""COMPUTED_VALUE"""),45.67966873563021)</f>
        <v>45.67966874</v>
      </c>
      <c r="G762" s="38">
        <f>IFERROR(__xludf.DUMMYFUNCTION("""COMPUTED_VALUE"""),49.66282728333066)</f>
        <v>49.66282728</v>
      </c>
      <c r="H762" s="38">
        <f>IFERROR(__xludf.DUMMYFUNCTION("""COMPUTED_VALUE"""),47.671248009480436)</f>
        <v>47.67124801</v>
      </c>
      <c r="I762" s="14">
        <f>IFERROR(__xludf.DUMMYFUNCTION("""COMPUTED_VALUE"""),21.0)</f>
        <v>21</v>
      </c>
      <c r="J762" s="11">
        <f>IFERROR(__xludf.DUMMYFUNCTION("IFERROR(FILTER(Stats!$F:$Z,(Stats!$A:$A=$A762)*(Stats!$B:$B=$B762)))"),11.0)</f>
        <v>11</v>
      </c>
      <c r="K762" s="11">
        <f>IFERROR(__xludf.DUMMYFUNCTION("""COMPUTED_VALUE"""),10.0)</f>
        <v>10</v>
      </c>
      <c r="L762" s="12">
        <f>IFERROR(__xludf.DUMMYFUNCTION("""COMPUTED_VALUE"""),0.5238095238095238)</f>
        <v>0.5238095238</v>
      </c>
      <c r="M762" s="11">
        <f>IFERROR(__xludf.DUMMYFUNCTION("""COMPUTED_VALUE"""),3.0)</f>
        <v>3</v>
      </c>
      <c r="N762" s="11">
        <f>IFERROR(__xludf.DUMMYFUNCTION("""COMPUTED_VALUE"""),7232.0)</f>
        <v>7232</v>
      </c>
      <c r="O762" s="13">
        <f>IFERROR(__xludf.DUMMYFUNCTION("""COMPUTED_VALUE"""),20.0)</f>
        <v>20</v>
      </c>
      <c r="P762" s="14">
        <f>IFERROR(__xludf.DUMMYFUNCTION("""COMPUTED_VALUE"""),12.0)</f>
        <v>12</v>
      </c>
      <c r="Q762" s="13">
        <f>IFERROR(__xludf.DUMMYFUNCTION("""COMPUTED_VALUE"""),21.0)</f>
        <v>21</v>
      </c>
      <c r="R762" s="13">
        <f>IFERROR(__xludf.DUMMYFUNCTION("""COMPUTED_VALUE"""),62.0)</f>
        <v>62</v>
      </c>
      <c r="S762" s="15">
        <f>IFERROR(__xludf.DUMMYFUNCTION("""COMPUTED_VALUE"""),0.3225806451612903)</f>
        <v>0.3225806452</v>
      </c>
      <c r="T762" s="16">
        <f>IFERROR(__xludf.DUMMYFUNCTION("""COMPUTED_VALUE"""),344.3809523809524)</f>
        <v>344.3809524</v>
      </c>
      <c r="U762" s="16">
        <f>IFERROR(__xludf.DUMMYFUNCTION("""COMPUTED_VALUE"""),0.9523809523809523)</f>
        <v>0.9523809524</v>
      </c>
      <c r="V762" s="16">
        <f>IFERROR(__xludf.DUMMYFUNCTION("""COMPUTED_VALUE"""),0.5714285714285714)</f>
        <v>0.5714285714</v>
      </c>
      <c r="W762" s="16">
        <f>IFERROR(__xludf.DUMMYFUNCTION("""COMPUTED_VALUE"""),1.0)</f>
        <v>1</v>
      </c>
      <c r="X762" s="16">
        <f>IFERROR(__xludf.DUMMYFUNCTION("""COMPUTED_VALUE"""),2.9523809523809526)</f>
        <v>2.952380952</v>
      </c>
      <c r="Y762" s="11">
        <f>IFERROR(__xludf.DUMMYFUNCTION("""COMPUTED_VALUE"""),2.0)</f>
        <v>2</v>
      </c>
      <c r="Z762" s="11">
        <f>IFERROR(__xludf.DUMMYFUNCTION("""COMPUTED_VALUE"""),1.0)</f>
        <v>1</v>
      </c>
      <c r="AA762" s="11">
        <f>IFERROR(__xludf.DUMMYFUNCTION("""COMPUTED_VALUE"""),0.0)</f>
        <v>0</v>
      </c>
      <c r="AB762" s="11">
        <f>IFERROR(__xludf.DUMMYFUNCTION("""COMPUTED_VALUE"""),1.0)</f>
        <v>1</v>
      </c>
      <c r="AC762" s="11">
        <f>IFERROR(__xludf.DUMMYFUNCTION("""COMPUTED_VALUE"""),16.0)</f>
        <v>16</v>
      </c>
      <c r="AD762" s="11">
        <f>IFERROR(__xludf.DUMMYFUNCTION("""COMPUTED_VALUE"""),23.0)</f>
        <v>23</v>
      </c>
    </row>
    <row r="763">
      <c r="A763" s="10" t="str">
        <f>IFERROR(__xludf.DUMMYFUNCTION("""COMPUTED_VALUE"""),"Veteran")</f>
        <v>Veteran</v>
      </c>
      <c r="B763" s="10" t="str">
        <f>IFERROR(__xludf.DUMMYFUNCTION("""COMPUTED_VALUE"""),"RSC007173")</f>
        <v>RSC007173</v>
      </c>
      <c r="C763" s="10" t="str">
        <f>IFERROR(__xludf.DUMMYFUNCTION("""COMPUTED_VALUE"""),"mr_marino_")</f>
        <v>mr_marino_</v>
      </c>
      <c r="D763" s="36" t="str">
        <f>IFERROR(__xludf.DUMMYFUNCTION("""COMPUTED_VALUE"""),"Fer-de-Lance")</f>
        <v>Fer-de-Lance</v>
      </c>
      <c r="E763" s="10" t="str">
        <f>IFERROR(__xludf.DUMMYFUNCTION("""COMPUTED_VALUE"""),"Lunar")</f>
        <v>Lunar</v>
      </c>
      <c r="F763" s="37">
        <f>IFERROR(__xludf.DUMMYFUNCTION("""COMPUTED_VALUE"""),47.87710720017304)</f>
        <v>47.8771072</v>
      </c>
      <c r="G763" s="38">
        <f>IFERROR(__xludf.DUMMYFUNCTION("""COMPUTED_VALUE"""),47.048050533964165)</f>
        <v>47.04805053</v>
      </c>
      <c r="H763" s="38">
        <f>IFERROR(__xludf.DUMMYFUNCTION("""COMPUTED_VALUE"""),47.4625788670686)</f>
        <v>47.46257887</v>
      </c>
      <c r="I763" s="14">
        <f>IFERROR(__xludf.DUMMYFUNCTION("""COMPUTED_VALUE"""),50.0)</f>
        <v>50</v>
      </c>
      <c r="J763" s="11">
        <f>IFERROR(__xludf.DUMMYFUNCTION("IFERROR(FILTER(Stats!$F:$Z,(Stats!$A:$A=$A763)*(Stats!$B:$B=$B763)))"),24.0)</f>
        <v>24</v>
      </c>
      <c r="K763" s="11">
        <f>IFERROR(__xludf.DUMMYFUNCTION("""COMPUTED_VALUE"""),26.0)</f>
        <v>26</v>
      </c>
      <c r="L763" s="12">
        <f>IFERROR(__xludf.DUMMYFUNCTION("""COMPUTED_VALUE"""),0.48)</f>
        <v>0.48</v>
      </c>
      <c r="M763" s="11">
        <f>IFERROR(__xludf.DUMMYFUNCTION("""COMPUTED_VALUE"""),6.0)</f>
        <v>6</v>
      </c>
      <c r="N763" s="11">
        <f>IFERROR(__xludf.DUMMYFUNCTION("""COMPUTED_VALUE"""),17425.0)</f>
        <v>17425</v>
      </c>
      <c r="O763" s="13">
        <f>IFERROR(__xludf.DUMMYFUNCTION("""COMPUTED_VALUE"""),29.0)</f>
        <v>29</v>
      </c>
      <c r="P763" s="14">
        <f>IFERROR(__xludf.DUMMYFUNCTION("""COMPUTED_VALUE"""),34.0)</f>
        <v>34</v>
      </c>
      <c r="Q763" s="13">
        <f>IFERROR(__xludf.DUMMYFUNCTION("""COMPUTED_VALUE"""),81.0)</f>
        <v>81</v>
      </c>
      <c r="R763" s="13">
        <f>IFERROR(__xludf.DUMMYFUNCTION("""COMPUTED_VALUE"""),117.0)</f>
        <v>117</v>
      </c>
      <c r="S763" s="15">
        <f>IFERROR(__xludf.DUMMYFUNCTION("""COMPUTED_VALUE"""),0.24786324786324787)</f>
        <v>0.2478632479</v>
      </c>
      <c r="T763" s="16">
        <f>IFERROR(__xludf.DUMMYFUNCTION("""COMPUTED_VALUE"""),348.5)</f>
        <v>348.5</v>
      </c>
      <c r="U763" s="16">
        <f>IFERROR(__xludf.DUMMYFUNCTION("""COMPUTED_VALUE"""),0.58)</f>
        <v>0.58</v>
      </c>
      <c r="V763" s="16">
        <f>IFERROR(__xludf.DUMMYFUNCTION("""COMPUTED_VALUE"""),0.68)</f>
        <v>0.68</v>
      </c>
      <c r="W763" s="16">
        <f>IFERROR(__xludf.DUMMYFUNCTION("""COMPUTED_VALUE"""),1.62)</f>
        <v>1.62</v>
      </c>
      <c r="X763" s="16">
        <f>IFERROR(__xludf.DUMMYFUNCTION("""COMPUTED_VALUE"""),2.34)</f>
        <v>2.34</v>
      </c>
      <c r="Y763" s="11">
        <f>IFERROR(__xludf.DUMMYFUNCTION("""COMPUTED_VALUE"""),7.0)</f>
        <v>7</v>
      </c>
      <c r="Z763" s="11">
        <f>IFERROR(__xludf.DUMMYFUNCTION("""COMPUTED_VALUE"""),2.0)</f>
        <v>2</v>
      </c>
      <c r="AA763" s="11">
        <f>IFERROR(__xludf.DUMMYFUNCTION("""COMPUTED_VALUE"""),0.0)</f>
        <v>0</v>
      </c>
      <c r="AB763" s="11">
        <f>IFERROR(__xludf.DUMMYFUNCTION("""COMPUTED_VALUE"""),14.0)</f>
        <v>14</v>
      </c>
      <c r="AC763" s="11">
        <f>IFERROR(__xludf.DUMMYFUNCTION("""COMPUTED_VALUE"""),67.0)</f>
        <v>67</v>
      </c>
      <c r="AD763" s="11">
        <f>IFERROR(__xludf.DUMMYFUNCTION("""COMPUTED_VALUE"""),41.0)</f>
        <v>41</v>
      </c>
    </row>
    <row r="764">
      <c r="A764" s="10" t="str">
        <f>IFERROR(__xludf.DUMMYFUNCTION("""COMPUTED_VALUE"""),"Veteran")</f>
        <v>Veteran</v>
      </c>
      <c r="B764" s="10" t="str">
        <f>IFERROR(__xludf.DUMMYFUNCTION("""COMPUTED_VALUE"""),"RSC007906")</f>
        <v>RSC007906</v>
      </c>
      <c r="C764" s="10" t="str">
        <f>IFERROR(__xludf.DUMMYFUNCTION("""COMPUTED_VALUE"""),"Vaz1fy.")</f>
        <v>Vaz1fy.</v>
      </c>
      <c r="D764" s="36" t="str">
        <f>IFERROR(__xludf.DUMMYFUNCTION("""COMPUTED_VALUE"""),"Supernova")</f>
        <v>Supernova</v>
      </c>
      <c r="E764" s="10" t="str">
        <f>IFERROR(__xludf.DUMMYFUNCTION("""COMPUTED_VALUE"""),"Lunar")</f>
        <v>Lunar</v>
      </c>
      <c r="F764" s="37">
        <f>IFERROR(__xludf.DUMMYFUNCTION("""COMPUTED_VALUE"""),32.893052337855075)</f>
        <v>32.89305234</v>
      </c>
      <c r="G764" s="38">
        <f>IFERROR(__xludf.DUMMYFUNCTION("""COMPUTED_VALUE"""),61.865351484861044)</f>
        <v>61.86535148</v>
      </c>
      <c r="H764" s="38">
        <f>IFERROR(__xludf.DUMMYFUNCTION("""COMPUTED_VALUE"""),47.37920191135806)</f>
        <v>47.37920191</v>
      </c>
      <c r="I764" s="14">
        <f>IFERROR(__xludf.DUMMYFUNCTION("""COMPUTED_VALUE"""),43.0)</f>
        <v>43</v>
      </c>
      <c r="J764" s="11">
        <f>IFERROR(__xludf.DUMMYFUNCTION("IFERROR(FILTER(Stats!$F:$Z,(Stats!$A:$A=$A764)*(Stats!$B:$B=$B764)))"),33.0)</f>
        <v>33</v>
      </c>
      <c r="K764" s="11">
        <f>IFERROR(__xludf.DUMMYFUNCTION("""COMPUTED_VALUE"""),10.0)</f>
        <v>10</v>
      </c>
      <c r="L764" s="12">
        <f>IFERROR(__xludf.DUMMYFUNCTION("""COMPUTED_VALUE"""),0.7674418604651163)</f>
        <v>0.7674418605</v>
      </c>
      <c r="M764" s="11">
        <f>IFERROR(__xludf.DUMMYFUNCTION("""COMPUTED_VALUE"""),4.0)</f>
        <v>4</v>
      </c>
      <c r="N764" s="11">
        <f>IFERROR(__xludf.DUMMYFUNCTION("""COMPUTED_VALUE"""),12698.0)</f>
        <v>12698</v>
      </c>
      <c r="O764" s="13">
        <f>IFERROR(__xludf.DUMMYFUNCTION("""COMPUTED_VALUE"""),32.0)</f>
        <v>32</v>
      </c>
      <c r="P764" s="14">
        <f>IFERROR(__xludf.DUMMYFUNCTION("""COMPUTED_VALUE"""),27.0)</f>
        <v>27</v>
      </c>
      <c r="Q764" s="13">
        <f>IFERROR(__xludf.DUMMYFUNCTION("""COMPUTED_VALUE"""),37.0)</f>
        <v>37</v>
      </c>
      <c r="R764" s="13">
        <f>IFERROR(__xludf.DUMMYFUNCTION("""COMPUTED_VALUE"""),117.0)</f>
        <v>117</v>
      </c>
      <c r="S764" s="15">
        <f>IFERROR(__xludf.DUMMYFUNCTION("""COMPUTED_VALUE"""),0.27350427350427353)</f>
        <v>0.2735042735</v>
      </c>
      <c r="T764" s="16">
        <f>IFERROR(__xludf.DUMMYFUNCTION("""COMPUTED_VALUE"""),295.30232558139534)</f>
        <v>295.3023256</v>
      </c>
      <c r="U764" s="16">
        <f>IFERROR(__xludf.DUMMYFUNCTION("""COMPUTED_VALUE"""),0.7441860465116279)</f>
        <v>0.7441860465</v>
      </c>
      <c r="V764" s="16">
        <f>IFERROR(__xludf.DUMMYFUNCTION("""COMPUTED_VALUE"""),0.627906976744186)</f>
        <v>0.6279069767</v>
      </c>
      <c r="W764" s="16">
        <f>IFERROR(__xludf.DUMMYFUNCTION("""COMPUTED_VALUE"""),0.8604651162790697)</f>
        <v>0.8604651163</v>
      </c>
      <c r="X764" s="16">
        <f>IFERROR(__xludf.DUMMYFUNCTION("""COMPUTED_VALUE"""),2.7209302325581395)</f>
        <v>2.720930233</v>
      </c>
      <c r="Y764" s="11">
        <f>IFERROR(__xludf.DUMMYFUNCTION("""COMPUTED_VALUE"""),7.0)</f>
        <v>7</v>
      </c>
      <c r="Z764" s="11">
        <f>IFERROR(__xludf.DUMMYFUNCTION("""COMPUTED_VALUE"""),2.0)</f>
        <v>2</v>
      </c>
      <c r="AA764" s="11">
        <f>IFERROR(__xludf.DUMMYFUNCTION("""COMPUTED_VALUE"""),0.0)</f>
        <v>0</v>
      </c>
      <c r="AB764" s="11">
        <f>IFERROR(__xludf.DUMMYFUNCTION("""COMPUTED_VALUE"""),4.0)</f>
        <v>4</v>
      </c>
      <c r="AC764" s="11">
        <f>IFERROR(__xludf.DUMMYFUNCTION("""COMPUTED_VALUE"""),31.0)</f>
        <v>31</v>
      </c>
      <c r="AD764" s="11">
        <f>IFERROR(__xludf.DUMMYFUNCTION("""COMPUTED_VALUE"""),44.0)</f>
        <v>44</v>
      </c>
    </row>
    <row r="765">
      <c r="A765" s="10" t="str">
        <f>IFERROR(__xludf.DUMMYFUNCTION("""COMPUTED_VALUE"""),"Veteran")</f>
        <v>Veteran</v>
      </c>
      <c r="B765" s="10" t="str">
        <f>IFERROR(__xludf.DUMMYFUNCTION("""COMPUTED_VALUE"""),"RSC007475")</f>
        <v>RSC007475</v>
      </c>
      <c r="C765" s="10" t="str">
        <f>IFERROR(__xludf.DUMMYFUNCTION("""COMPUTED_VALUE"""),"spposse")</f>
        <v>spposse</v>
      </c>
      <c r="D765" s="36" t="str">
        <f>IFERROR(__xludf.DUMMYFUNCTION("""COMPUTED_VALUE"""),"Dread")</f>
        <v>Dread</v>
      </c>
      <c r="E765" s="10" t="str">
        <f>IFERROR(__xludf.DUMMYFUNCTION("""COMPUTED_VALUE"""),"Lunar")</f>
        <v>Lunar</v>
      </c>
      <c r="F765" s="37">
        <f>IFERROR(__xludf.DUMMYFUNCTION("""COMPUTED_VALUE"""),49.10340617083842)</f>
        <v>49.10340617</v>
      </c>
      <c r="G765" s="38">
        <f>IFERROR(__xludf.DUMMYFUNCTION("""COMPUTED_VALUE"""),45.64923374221727)</f>
        <v>45.64923374</v>
      </c>
      <c r="H765" s="38">
        <f>IFERROR(__xludf.DUMMYFUNCTION("""COMPUTED_VALUE"""),47.376319956527844)</f>
        <v>47.37631996</v>
      </c>
      <c r="I765" s="14">
        <f>IFERROR(__xludf.DUMMYFUNCTION("""COMPUTED_VALUE"""),12.0)</f>
        <v>12</v>
      </c>
      <c r="J765" s="11">
        <f>IFERROR(__xludf.DUMMYFUNCTION("IFERROR(FILTER(Stats!$F:$Z,(Stats!$A:$A=$A765)*(Stats!$B:$B=$B765)))"),6.0)</f>
        <v>6</v>
      </c>
      <c r="K765" s="11">
        <f>IFERROR(__xludf.DUMMYFUNCTION("""COMPUTED_VALUE"""),6.0)</f>
        <v>6</v>
      </c>
      <c r="L765" s="12">
        <f>IFERROR(__xludf.DUMMYFUNCTION("""COMPUTED_VALUE"""),0.5)</f>
        <v>0.5</v>
      </c>
      <c r="M765" s="11">
        <f>IFERROR(__xludf.DUMMYFUNCTION("""COMPUTED_VALUE"""),1.0)</f>
        <v>1</v>
      </c>
      <c r="N765" s="11">
        <f>IFERROR(__xludf.DUMMYFUNCTION("""COMPUTED_VALUE"""),4085.0)</f>
        <v>4085</v>
      </c>
      <c r="O765" s="13">
        <f>IFERROR(__xludf.DUMMYFUNCTION("""COMPUTED_VALUE"""),9.0)</f>
        <v>9</v>
      </c>
      <c r="P765" s="14">
        <f>IFERROR(__xludf.DUMMYFUNCTION("""COMPUTED_VALUE"""),6.0)</f>
        <v>6</v>
      </c>
      <c r="Q765" s="13">
        <f>IFERROR(__xludf.DUMMYFUNCTION("""COMPUTED_VALUE"""),12.0)</f>
        <v>12</v>
      </c>
      <c r="R765" s="13">
        <f>IFERROR(__xludf.DUMMYFUNCTION("""COMPUTED_VALUE"""),36.0)</f>
        <v>36</v>
      </c>
      <c r="S765" s="15">
        <f>IFERROR(__xludf.DUMMYFUNCTION("""COMPUTED_VALUE"""),0.25)</f>
        <v>0.25</v>
      </c>
      <c r="T765" s="16">
        <f>IFERROR(__xludf.DUMMYFUNCTION("""COMPUTED_VALUE"""),340.4166666666667)</f>
        <v>340.4166667</v>
      </c>
      <c r="U765" s="16">
        <f>IFERROR(__xludf.DUMMYFUNCTION("""COMPUTED_VALUE"""),0.75)</f>
        <v>0.75</v>
      </c>
      <c r="V765" s="16">
        <f>IFERROR(__xludf.DUMMYFUNCTION("""COMPUTED_VALUE"""),0.5)</f>
        <v>0.5</v>
      </c>
      <c r="W765" s="16">
        <f>IFERROR(__xludf.DUMMYFUNCTION("""COMPUTED_VALUE"""),1.0)</f>
        <v>1</v>
      </c>
      <c r="X765" s="16">
        <f>IFERROR(__xludf.DUMMYFUNCTION("""COMPUTED_VALUE"""),3.0)</f>
        <v>3</v>
      </c>
      <c r="Y765" s="11">
        <f>IFERROR(__xludf.DUMMYFUNCTION("""COMPUTED_VALUE"""),1.0)</f>
        <v>1</v>
      </c>
      <c r="Z765" s="11">
        <f>IFERROR(__xludf.DUMMYFUNCTION("""COMPUTED_VALUE"""),0.0)</f>
        <v>0</v>
      </c>
      <c r="AA765" s="11">
        <f>IFERROR(__xludf.DUMMYFUNCTION("""COMPUTED_VALUE"""),0.0)</f>
        <v>0</v>
      </c>
      <c r="AB765" s="11">
        <f>IFERROR(__xludf.DUMMYFUNCTION("""COMPUTED_VALUE"""),1.0)</f>
        <v>1</v>
      </c>
      <c r="AC765" s="11">
        <f>IFERROR(__xludf.DUMMYFUNCTION("""COMPUTED_VALUE"""),19.0)</f>
        <v>19</v>
      </c>
      <c r="AD765" s="11">
        <f>IFERROR(__xludf.DUMMYFUNCTION("""COMPUTED_VALUE"""),15.0)</f>
        <v>15</v>
      </c>
    </row>
    <row r="766">
      <c r="A766" s="10" t="str">
        <f>IFERROR(__xludf.DUMMYFUNCTION("""COMPUTED_VALUE"""),"Veteran")</f>
        <v>Veteran</v>
      </c>
      <c r="B766" s="10" t="str">
        <f>IFERROR(__xludf.DUMMYFUNCTION("""COMPUTED_VALUE"""),"RSC008115")</f>
        <v>RSC008115</v>
      </c>
      <c r="C766" s="10" t="str">
        <f>IFERROR(__xludf.DUMMYFUNCTION("""COMPUTED_VALUE"""),"Glint")</f>
        <v>Glint</v>
      </c>
      <c r="D766" s="36" t="str">
        <f>IFERROR(__xludf.DUMMYFUNCTION("""COMPUTED_VALUE"""),"Mages")</f>
        <v>Mages</v>
      </c>
      <c r="E766" s="10" t="str">
        <f>IFERROR(__xludf.DUMMYFUNCTION("""COMPUTED_VALUE"""),"Lunar")</f>
        <v>Lunar</v>
      </c>
      <c r="F766" s="37">
        <f>IFERROR(__xludf.DUMMYFUNCTION("""COMPUTED_VALUE"""),41.07876416137624)</f>
        <v>41.07876416</v>
      </c>
      <c r="G766" s="38">
        <f>IFERROR(__xludf.DUMMYFUNCTION("""COMPUTED_VALUE"""),53.428867687328946)</f>
        <v>53.42886769</v>
      </c>
      <c r="H766" s="38">
        <f>IFERROR(__xludf.DUMMYFUNCTION("""COMPUTED_VALUE"""),47.253815924352594)</f>
        <v>47.25381592</v>
      </c>
      <c r="I766" s="14">
        <f>IFERROR(__xludf.DUMMYFUNCTION("""COMPUTED_VALUE"""),52.0)</f>
        <v>52</v>
      </c>
      <c r="J766" s="11">
        <f>IFERROR(__xludf.DUMMYFUNCTION("IFERROR(FILTER(Stats!$F:$Z,(Stats!$A:$A=$A766)*(Stats!$B:$B=$B766)))"),25.0)</f>
        <v>25</v>
      </c>
      <c r="K766" s="11">
        <f>IFERROR(__xludf.DUMMYFUNCTION("""COMPUTED_VALUE"""),27.0)</f>
        <v>27</v>
      </c>
      <c r="L766" s="12">
        <f>IFERROR(__xludf.DUMMYFUNCTION("""COMPUTED_VALUE"""),0.4807692307692308)</f>
        <v>0.4807692308</v>
      </c>
      <c r="M766" s="11">
        <f>IFERROR(__xludf.DUMMYFUNCTION("""COMPUTED_VALUE"""),8.0)</f>
        <v>8</v>
      </c>
      <c r="N766" s="11">
        <f>IFERROR(__xludf.DUMMYFUNCTION("""COMPUTED_VALUE"""),17553.0)</f>
        <v>17553</v>
      </c>
      <c r="O766" s="13">
        <f>IFERROR(__xludf.DUMMYFUNCTION("""COMPUTED_VALUE"""),35.0)</f>
        <v>35</v>
      </c>
      <c r="P766" s="14">
        <f>IFERROR(__xludf.DUMMYFUNCTION("""COMPUTED_VALUE"""),38.0)</f>
        <v>38</v>
      </c>
      <c r="Q766" s="13">
        <f>IFERROR(__xludf.DUMMYFUNCTION("""COMPUTED_VALUE"""),68.0)</f>
        <v>68</v>
      </c>
      <c r="R766" s="13">
        <f>IFERROR(__xludf.DUMMYFUNCTION("""COMPUTED_VALUE"""),115.0)</f>
        <v>115</v>
      </c>
      <c r="S766" s="15">
        <f>IFERROR(__xludf.DUMMYFUNCTION("""COMPUTED_VALUE"""),0.30434782608695654)</f>
        <v>0.3043478261</v>
      </c>
      <c r="T766" s="16">
        <f>IFERROR(__xludf.DUMMYFUNCTION("""COMPUTED_VALUE"""),337.5576923076923)</f>
        <v>337.5576923</v>
      </c>
      <c r="U766" s="16">
        <f>IFERROR(__xludf.DUMMYFUNCTION("""COMPUTED_VALUE"""),0.6730769230769231)</f>
        <v>0.6730769231</v>
      </c>
      <c r="V766" s="16">
        <f>IFERROR(__xludf.DUMMYFUNCTION("""COMPUTED_VALUE"""),0.7307692307692307)</f>
        <v>0.7307692308</v>
      </c>
      <c r="W766" s="16">
        <f>IFERROR(__xludf.DUMMYFUNCTION("""COMPUTED_VALUE"""),1.3076923076923077)</f>
        <v>1.307692308</v>
      </c>
      <c r="X766" s="16">
        <f>IFERROR(__xludf.DUMMYFUNCTION("""COMPUTED_VALUE"""),2.2115384615384617)</f>
        <v>2.211538462</v>
      </c>
      <c r="Y766" s="11">
        <f>IFERROR(__xludf.DUMMYFUNCTION("""COMPUTED_VALUE"""),8.0)</f>
        <v>8</v>
      </c>
      <c r="Z766" s="11">
        <f>IFERROR(__xludf.DUMMYFUNCTION("""COMPUTED_VALUE"""),2.0)</f>
        <v>2</v>
      </c>
      <c r="AA766" s="11">
        <f>IFERROR(__xludf.DUMMYFUNCTION("""COMPUTED_VALUE"""),0.0)</f>
        <v>0</v>
      </c>
      <c r="AB766" s="11">
        <f>IFERROR(__xludf.DUMMYFUNCTION("""COMPUTED_VALUE"""),8.0)</f>
        <v>8</v>
      </c>
      <c r="AC766" s="11">
        <f>IFERROR(__xludf.DUMMYFUNCTION("""COMPUTED_VALUE"""),51.0)</f>
        <v>51</v>
      </c>
      <c r="AD766" s="11">
        <f>IFERROR(__xludf.DUMMYFUNCTION("""COMPUTED_VALUE"""),45.0)</f>
        <v>45</v>
      </c>
    </row>
    <row r="767">
      <c r="A767" s="10" t="str">
        <f>IFERROR(__xludf.DUMMYFUNCTION("""COMPUTED_VALUE"""),"Veteran")</f>
        <v>Veteran</v>
      </c>
      <c r="B767" s="10" t="str">
        <f>IFERROR(__xludf.DUMMYFUNCTION("""COMPUTED_VALUE"""),"RSC000926")</f>
        <v>RSC000926</v>
      </c>
      <c r="C767" s="10" t="str">
        <f>IFERROR(__xludf.DUMMYFUNCTION("""COMPUTED_VALUE"""),"SlmRnchr")</f>
        <v>SlmRnchr</v>
      </c>
      <c r="D767" s="36" t="str">
        <f>IFERROR(__xludf.DUMMYFUNCTION("""COMPUTED_VALUE"""),"Banshees")</f>
        <v>Banshees</v>
      </c>
      <c r="E767" s="10" t="str">
        <f>IFERROR(__xludf.DUMMYFUNCTION("""COMPUTED_VALUE"""),"Lunar")</f>
        <v>Lunar</v>
      </c>
      <c r="F767" s="37">
        <f>IFERROR(__xludf.DUMMYFUNCTION("""COMPUTED_VALUE"""),50.8040774817971)</f>
        <v>50.80407748</v>
      </c>
      <c r="G767" s="38">
        <f>IFERROR(__xludf.DUMMYFUNCTION("""COMPUTED_VALUE"""),43.65684169547373)</f>
        <v>43.6568417</v>
      </c>
      <c r="H767" s="38">
        <f>IFERROR(__xludf.DUMMYFUNCTION("""COMPUTED_VALUE"""),47.23045958863541)</f>
        <v>47.23045959</v>
      </c>
      <c r="I767" s="14">
        <f>IFERROR(__xludf.DUMMYFUNCTION("""COMPUTED_VALUE"""),55.0)</f>
        <v>55</v>
      </c>
      <c r="J767" s="11">
        <f>IFERROR(__xludf.DUMMYFUNCTION("IFERROR(FILTER(Stats!$F:$Z,(Stats!$A:$A=$A767)*(Stats!$B:$B=$B767)))"),21.0)</f>
        <v>21</v>
      </c>
      <c r="K767" s="11">
        <f>IFERROR(__xludf.DUMMYFUNCTION("""COMPUTED_VALUE"""),34.0)</f>
        <v>34</v>
      </c>
      <c r="L767" s="12">
        <f>IFERROR(__xludf.DUMMYFUNCTION("""COMPUTED_VALUE"""),0.38181818181818183)</f>
        <v>0.3818181818</v>
      </c>
      <c r="M767" s="11">
        <f>IFERROR(__xludf.DUMMYFUNCTION("""COMPUTED_VALUE"""),7.0)</f>
        <v>7</v>
      </c>
      <c r="N767" s="11">
        <f>IFERROR(__xludf.DUMMYFUNCTION("""COMPUTED_VALUE"""),19029.0)</f>
        <v>19029</v>
      </c>
      <c r="O767" s="13">
        <f>IFERROR(__xludf.DUMMYFUNCTION("""COMPUTED_VALUE"""),39.0)</f>
        <v>39</v>
      </c>
      <c r="P767" s="14">
        <f>IFERROR(__xludf.DUMMYFUNCTION("""COMPUTED_VALUE"""),31.0)</f>
        <v>31</v>
      </c>
      <c r="Q767" s="13">
        <f>IFERROR(__xludf.DUMMYFUNCTION("""COMPUTED_VALUE"""),72.0)</f>
        <v>72</v>
      </c>
      <c r="R767" s="13">
        <f>IFERROR(__xludf.DUMMYFUNCTION("""COMPUTED_VALUE"""),133.0)</f>
        <v>133</v>
      </c>
      <c r="S767" s="15">
        <f>IFERROR(__xludf.DUMMYFUNCTION("""COMPUTED_VALUE"""),0.2932330827067669)</f>
        <v>0.2932330827</v>
      </c>
      <c r="T767" s="16">
        <f>IFERROR(__xludf.DUMMYFUNCTION("""COMPUTED_VALUE"""),345.9818181818182)</f>
        <v>345.9818182</v>
      </c>
      <c r="U767" s="16">
        <f>IFERROR(__xludf.DUMMYFUNCTION("""COMPUTED_VALUE"""),0.7090909090909091)</f>
        <v>0.7090909091</v>
      </c>
      <c r="V767" s="16">
        <f>IFERROR(__xludf.DUMMYFUNCTION("""COMPUTED_VALUE"""),0.5636363636363636)</f>
        <v>0.5636363636</v>
      </c>
      <c r="W767" s="16">
        <f>IFERROR(__xludf.DUMMYFUNCTION("""COMPUTED_VALUE"""),1.309090909090909)</f>
        <v>1.309090909</v>
      </c>
      <c r="X767" s="16">
        <f>IFERROR(__xludf.DUMMYFUNCTION("""COMPUTED_VALUE"""),2.418181818181818)</f>
        <v>2.418181818</v>
      </c>
      <c r="Y767" s="11">
        <f>IFERROR(__xludf.DUMMYFUNCTION("""COMPUTED_VALUE"""),11.0)</f>
        <v>11</v>
      </c>
      <c r="Z767" s="11">
        <f>IFERROR(__xludf.DUMMYFUNCTION("""COMPUTED_VALUE"""),0.0)</f>
        <v>0</v>
      </c>
      <c r="AA767" s="11">
        <f>IFERROR(__xludf.DUMMYFUNCTION("""COMPUTED_VALUE"""),0.0)</f>
        <v>0</v>
      </c>
      <c r="AB767" s="11">
        <f>IFERROR(__xludf.DUMMYFUNCTION("""COMPUTED_VALUE"""),6.0)</f>
        <v>6</v>
      </c>
      <c r="AC767" s="11">
        <f>IFERROR(__xludf.DUMMYFUNCTION("""COMPUTED_VALUE"""),24.0)</f>
        <v>24</v>
      </c>
      <c r="AD767" s="11">
        <f>IFERROR(__xludf.DUMMYFUNCTION("""COMPUTED_VALUE"""),60.0)</f>
        <v>60</v>
      </c>
    </row>
    <row r="768">
      <c r="A768" s="10" t="str">
        <f>IFERROR(__xludf.DUMMYFUNCTION("""COMPUTED_VALUE"""),"Veteran")</f>
        <v>Veteran</v>
      </c>
      <c r="B768" s="10" t="str">
        <f>IFERROR(__xludf.DUMMYFUNCTION("""COMPUTED_VALUE"""),"RSC003945")</f>
        <v>RSC003945</v>
      </c>
      <c r="C768" s="10" t="str">
        <f>IFERROR(__xludf.DUMMYFUNCTION("""COMPUTED_VALUE"""),"Gaw1f3d")</f>
        <v>Gaw1f3d</v>
      </c>
      <c r="D768" s="36" t="str">
        <f>IFERROR(__xludf.DUMMYFUNCTION("""COMPUTED_VALUE"""),"Navigators")</f>
        <v>Navigators</v>
      </c>
      <c r="E768" s="10" t="str">
        <f>IFERROR(__xludf.DUMMYFUNCTION("""COMPUTED_VALUE"""),"Solar")</f>
        <v>Solar</v>
      </c>
      <c r="F768" s="37">
        <f>IFERROR(__xludf.DUMMYFUNCTION("""COMPUTED_VALUE"""),47.053507019295466)</f>
        <v>47.05350702</v>
      </c>
      <c r="G768" s="38">
        <f>IFERROR(__xludf.DUMMYFUNCTION("""COMPUTED_VALUE"""),47.21780164484861)</f>
        <v>47.21780164</v>
      </c>
      <c r="H768" s="38">
        <f>IFERROR(__xludf.DUMMYFUNCTION("""COMPUTED_VALUE"""),47.135654332072036)</f>
        <v>47.13565433</v>
      </c>
      <c r="I768" s="14">
        <f>IFERROR(__xludf.DUMMYFUNCTION("""COMPUTED_VALUE"""),42.0)</f>
        <v>42</v>
      </c>
      <c r="J768" s="11">
        <f>IFERROR(__xludf.DUMMYFUNCTION("IFERROR(FILTER(Stats!$F:$Z,(Stats!$A:$A=$A768)*(Stats!$B:$B=$B768)))"),16.0)</f>
        <v>16</v>
      </c>
      <c r="K768" s="11">
        <f>IFERROR(__xludf.DUMMYFUNCTION("""COMPUTED_VALUE"""),26.0)</f>
        <v>26</v>
      </c>
      <c r="L768" s="12">
        <f>IFERROR(__xludf.DUMMYFUNCTION("""COMPUTED_VALUE"""),0.38095238095238093)</f>
        <v>0.380952381</v>
      </c>
      <c r="M768" s="11">
        <f>IFERROR(__xludf.DUMMYFUNCTION("""COMPUTED_VALUE"""),5.0)</f>
        <v>5</v>
      </c>
      <c r="N768" s="11">
        <f>IFERROR(__xludf.DUMMYFUNCTION("""COMPUTED_VALUE"""),14343.0)</f>
        <v>14343</v>
      </c>
      <c r="O768" s="13">
        <f>IFERROR(__xludf.DUMMYFUNCTION("""COMPUTED_VALUE"""),29.0)</f>
        <v>29</v>
      </c>
      <c r="P768" s="14">
        <f>IFERROR(__xludf.DUMMYFUNCTION("""COMPUTED_VALUE"""),28.0)</f>
        <v>28</v>
      </c>
      <c r="Q768" s="13">
        <f>IFERROR(__xludf.DUMMYFUNCTION("""COMPUTED_VALUE"""),56.0)</f>
        <v>56</v>
      </c>
      <c r="R768" s="13">
        <f>IFERROR(__xludf.DUMMYFUNCTION("""COMPUTED_VALUE"""),110.0)</f>
        <v>110</v>
      </c>
      <c r="S768" s="15">
        <f>IFERROR(__xludf.DUMMYFUNCTION("""COMPUTED_VALUE"""),0.2636363636363636)</f>
        <v>0.2636363636</v>
      </c>
      <c r="T768" s="16">
        <f>IFERROR(__xludf.DUMMYFUNCTION("""COMPUTED_VALUE"""),341.5)</f>
        <v>341.5</v>
      </c>
      <c r="U768" s="16">
        <f>IFERROR(__xludf.DUMMYFUNCTION("""COMPUTED_VALUE"""),0.6904761904761905)</f>
        <v>0.6904761905</v>
      </c>
      <c r="V768" s="16">
        <f>IFERROR(__xludf.DUMMYFUNCTION("""COMPUTED_VALUE"""),0.6666666666666666)</f>
        <v>0.6666666667</v>
      </c>
      <c r="W768" s="16">
        <f>IFERROR(__xludf.DUMMYFUNCTION("""COMPUTED_VALUE"""),1.3333333333333333)</f>
        <v>1.333333333</v>
      </c>
      <c r="X768" s="16">
        <f>IFERROR(__xludf.DUMMYFUNCTION("""COMPUTED_VALUE"""),2.619047619047619)</f>
        <v>2.619047619</v>
      </c>
      <c r="Y768" s="11">
        <f>IFERROR(__xludf.DUMMYFUNCTION("""COMPUTED_VALUE"""),8.0)</f>
        <v>8</v>
      </c>
      <c r="Z768" s="11">
        <f>IFERROR(__xludf.DUMMYFUNCTION("""COMPUTED_VALUE"""),0.0)</f>
        <v>0</v>
      </c>
      <c r="AA768" s="11">
        <f>IFERROR(__xludf.DUMMYFUNCTION("""COMPUTED_VALUE"""),1.0)</f>
        <v>1</v>
      </c>
      <c r="AB768" s="11">
        <f>IFERROR(__xludf.DUMMYFUNCTION("""COMPUTED_VALUE"""),6.0)</f>
        <v>6</v>
      </c>
      <c r="AC768" s="11">
        <f>IFERROR(__xludf.DUMMYFUNCTION("""COMPUTED_VALUE"""),70.0)</f>
        <v>70</v>
      </c>
      <c r="AD768" s="11">
        <f>IFERROR(__xludf.DUMMYFUNCTION("""COMPUTED_VALUE"""),52.0)</f>
        <v>52</v>
      </c>
    </row>
    <row r="769">
      <c r="A769" s="10" t="str">
        <f>IFERROR(__xludf.DUMMYFUNCTION("""COMPUTED_VALUE"""),"Veteran")</f>
        <v>Veteran</v>
      </c>
      <c r="B769" s="10" t="str">
        <f>IFERROR(__xludf.DUMMYFUNCTION("""COMPUTED_VALUE"""),"RSC008527")</f>
        <v>RSC008527</v>
      </c>
      <c r="C769" s="10" t="str">
        <f>IFERROR(__xludf.DUMMYFUNCTION("""COMPUTED_VALUE"""),"HouseHoldNugg")</f>
        <v>HouseHoldNugg</v>
      </c>
      <c r="D769" s="36" t="str">
        <f>IFERROR(__xludf.DUMMYFUNCTION("""COMPUTED_VALUE"""),"Shadow Tails")</f>
        <v>Shadow Tails</v>
      </c>
      <c r="E769" s="10" t="str">
        <f>IFERROR(__xludf.DUMMYFUNCTION("""COMPUTED_VALUE"""),"Solar")</f>
        <v>Solar</v>
      </c>
      <c r="F769" s="37">
        <f>IFERROR(__xludf.DUMMYFUNCTION("""COMPUTED_VALUE"""),51.488367907080445)</f>
        <v>51.48836791</v>
      </c>
      <c r="G769" s="38">
        <f>IFERROR(__xludf.DUMMYFUNCTION("""COMPUTED_VALUE"""),41.740975396449805)</f>
        <v>41.7409754</v>
      </c>
      <c r="H769" s="38">
        <f>IFERROR(__xludf.DUMMYFUNCTION("""COMPUTED_VALUE"""),46.61467165176512)</f>
        <v>46.61467165</v>
      </c>
      <c r="I769" s="14">
        <f>IFERROR(__xludf.DUMMYFUNCTION("""COMPUTED_VALUE"""),18.0)</f>
        <v>18</v>
      </c>
      <c r="J769" s="11">
        <f>IFERROR(__xludf.DUMMYFUNCTION("IFERROR(FILTER(Stats!$F:$Z,(Stats!$A:$A=$A769)*(Stats!$B:$B=$B769)))"),9.0)</f>
        <v>9</v>
      </c>
      <c r="K769" s="11">
        <f>IFERROR(__xludf.DUMMYFUNCTION("""COMPUTED_VALUE"""),9.0)</f>
        <v>9</v>
      </c>
      <c r="L769" s="12">
        <f>IFERROR(__xludf.DUMMYFUNCTION("""COMPUTED_VALUE"""),0.5)</f>
        <v>0.5</v>
      </c>
      <c r="M769" s="11">
        <f>IFERROR(__xludf.DUMMYFUNCTION("""COMPUTED_VALUE"""),3.0)</f>
        <v>3</v>
      </c>
      <c r="N769" s="11">
        <f>IFERROR(__xludf.DUMMYFUNCTION("""COMPUTED_VALUE"""),5491.0)</f>
        <v>5491</v>
      </c>
      <c r="O769" s="13">
        <f>IFERROR(__xludf.DUMMYFUNCTION("""COMPUTED_VALUE"""),10.0)</f>
        <v>10</v>
      </c>
      <c r="P769" s="14">
        <f>IFERROR(__xludf.DUMMYFUNCTION("""COMPUTED_VALUE"""),8.0)</f>
        <v>8</v>
      </c>
      <c r="Q769" s="13">
        <f>IFERROR(__xludf.DUMMYFUNCTION("""COMPUTED_VALUE"""),20.0)</f>
        <v>20</v>
      </c>
      <c r="R769" s="13">
        <f>IFERROR(__xludf.DUMMYFUNCTION("""COMPUTED_VALUE"""),46.0)</f>
        <v>46</v>
      </c>
      <c r="S769" s="15">
        <f>IFERROR(__xludf.DUMMYFUNCTION("""COMPUTED_VALUE"""),0.21739130434782608)</f>
        <v>0.2173913043</v>
      </c>
      <c r="T769" s="16">
        <f>IFERROR(__xludf.DUMMYFUNCTION("""COMPUTED_VALUE"""),305.05555555555554)</f>
        <v>305.0555556</v>
      </c>
      <c r="U769" s="16">
        <f>IFERROR(__xludf.DUMMYFUNCTION("""COMPUTED_VALUE"""),0.5555555555555556)</f>
        <v>0.5555555556</v>
      </c>
      <c r="V769" s="16">
        <f>IFERROR(__xludf.DUMMYFUNCTION("""COMPUTED_VALUE"""),0.4444444444444444)</f>
        <v>0.4444444444</v>
      </c>
      <c r="W769" s="16">
        <f>IFERROR(__xludf.DUMMYFUNCTION("""COMPUTED_VALUE"""),1.1111111111111112)</f>
        <v>1.111111111</v>
      </c>
      <c r="X769" s="16">
        <f>IFERROR(__xludf.DUMMYFUNCTION("""COMPUTED_VALUE"""),2.5555555555555554)</f>
        <v>2.555555556</v>
      </c>
      <c r="Y769" s="11">
        <f>IFERROR(__xludf.DUMMYFUNCTION("""COMPUTED_VALUE"""),0.0)</f>
        <v>0</v>
      </c>
      <c r="Z769" s="11">
        <f>IFERROR(__xludf.DUMMYFUNCTION("""COMPUTED_VALUE"""),2.0)</f>
        <v>2</v>
      </c>
      <c r="AA769" s="11">
        <f>IFERROR(__xludf.DUMMYFUNCTION("""COMPUTED_VALUE"""),1.0)</f>
        <v>1</v>
      </c>
      <c r="AB769" s="11">
        <f>IFERROR(__xludf.DUMMYFUNCTION("""COMPUTED_VALUE"""),2.0)</f>
        <v>2</v>
      </c>
      <c r="AC769" s="11">
        <f>IFERROR(__xludf.DUMMYFUNCTION("""COMPUTED_VALUE"""),7.0)</f>
        <v>7</v>
      </c>
      <c r="AD769" s="11">
        <f>IFERROR(__xludf.DUMMYFUNCTION("""COMPUTED_VALUE"""),24.0)</f>
        <v>24</v>
      </c>
    </row>
    <row r="770">
      <c r="A770" s="10" t="str">
        <f>IFERROR(__xludf.DUMMYFUNCTION("""COMPUTED_VALUE"""),"Veteran")</f>
        <v>Veteran</v>
      </c>
      <c r="B770" s="10" t="str">
        <f>IFERROR(__xludf.DUMMYFUNCTION("""COMPUTED_VALUE"""),"RSC008116")</f>
        <v>RSC008116</v>
      </c>
      <c r="C770" s="10" t="str">
        <f>IFERROR(__xludf.DUMMYFUNCTION("""COMPUTED_VALUE"""),"Jake")</f>
        <v>Jake</v>
      </c>
      <c r="D770" s="36" t="str">
        <f>IFERROR(__xludf.DUMMYFUNCTION("""COMPUTED_VALUE"""),"Merciless Mob")</f>
        <v>Merciless Mob</v>
      </c>
      <c r="E770" s="10" t="str">
        <f>IFERROR(__xludf.DUMMYFUNCTION("""COMPUTED_VALUE"""),"Lunar")</f>
        <v>Lunar</v>
      </c>
      <c r="F770" s="37">
        <f>IFERROR(__xludf.DUMMYFUNCTION("""COMPUTED_VALUE"""),45.07486196175423)</f>
        <v>45.07486196</v>
      </c>
      <c r="G770" s="38">
        <f>IFERROR(__xludf.DUMMYFUNCTION("""COMPUTED_VALUE"""),46.59284853280023)</f>
        <v>46.59284853</v>
      </c>
      <c r="H770" s="38">
        <f>IFERROR(__xludf.DUMMYFUNCTION("""COMPUTED_VALUE"""),45.83385524727723)</f>
        <v>45.83385525</v>
      </c>
      <c r="I770" s="14">
        <f>IFERROR(__xludf.DUMMYFUNCTION("""COMPUTED_VALUE"""),48.0)</f>
        <v>48</v>
      </c>
      <c r="J770" s="11">
        <f>IFERROR(__xludf.DUMMYFUNCTION("IFERROR(FILTER(Stats!$F:$Z,(Stats!$A:$A=$A770)*(Stats!$B:$B=$B770)))"),20.0)</f>
        <v>20</v>
      </c>
      <c r="K770" s="11">
        <f>IFERROR(__xludf.DUMMYFUNCTION("""COMPUTED_VALUE"""),28.0)</f>
        <v>28</v>
      </c>
      <c r="L770" s="12">
        <f>IFERROR(__xludf.DUMMYFUNCTION("""COMPUTED_VALUE"""),0.4166666666666667)</f>
        <v>0.4166666667</v>
      </c>
      <c r="M770" s="11">
        <f>IFERROR(__xludf.DUMMYFUNCTION("""COMPUTED_VALUE"""),9.0)</f>
        <v>9</v>
      </c>
      <c r="N770" s="11">
        <f>IFERROR(__xludf.DUMMYFUNCTION("""COMPUTED_VALUE"""),16663.0)</f>
        <v>16663</v>
      </c>
      <c r="O770" s="13">
        <f>IFERROR(__xludf.DUMMYFUNCTION("""COMPUTED_VALUE"""),39.0)</f>
        <v>39</v>
      </c>
      <c r="P770" s="14">
        <f>IFERROR(__xludf.DUMMYFUNCTION("""COMPUTED_VALUE"""),20.0)</f>
        <v>20</v>
      </c>
      <c r="Q770" s="13">
        <f>IFERROR(__xludf.DUMMYFUNCTION("""COMPUTED_VALUE"""),69.0)</f>
        <v>69</v>
      </c>
      <c r="R770" s="13">
        <f>IFERROR(__xludf.DUMMYFUNCTION("""COMPUTED_VALUE"""),122.0)</f>
        <v>122</v>
      </c>
      <c r="S770" s="15">
        <f>IFERROR(__xludf.DUMMYFUNCTION("""COMPUTED_VALUE"""),0.319672131147541)</f>
        <v>0.3196721311</v>
      </c>
      <c r="T770" s="16">
        <f>IFERROR(__xludf.DUMMYFUNCTION("""COMPUTED_VALUE"""),347.1458333333333)</f>
        <v>347.1458333</v>
      </c>
      <c r="U770" s="16">
        <f>IFERROR(__xludf.DUMMYFUNCTION("""COMPUTED_VALUE"""),0.8125)</f>
        <v>0.8125</v>
      </c>
      <c r="V770" s="16">
        <f>IFERROR(__xludf.DUMMYFUNCTION("""COMPUTED_VALUE"""),0.4166666666666667)</f>
        <v>0.4166666667</v>
      </c>
      <c r="W770" s="16">
        <f>IFERROR(__xludf.DUMMYFUNCTION("""COMPUTED_VALUE"""),1.4375)</f>
        <v>1.4375</v>
      </c>
      <c r="X770" s="16">
        <f>IFERROR(__xludf.DUMMYFUNCTION("""COMPUTED_VALUE"""),2.5416666666666665)</f>
        <v>2.541666667</v>
      </c>
      <c r="Y770" s="11">
        <f>IFERROR(__xludf.DUMMYFUNCTION("""COMPUTED_VALUE"""),8.0)</f>
        <v>8</v>
      </c>
      <c r="Z770" s="11">
        <f>IFERROR(__xludf.DUMMYFUNCTION("""COMPUTED_VALUE"""),2.0)</f>
        <v>2</v>
      </c>
      <c r="AA770" s="11">
        <f>IFERROR(__xludf.DUMMYFUNCTION("""COMPUTED_VALUE"""),0.0)</f>
        <v>0</v>
      </c>
      <c r="AB770" s="11">
        <f>IFERROR(__xludf.DUMMYFUNCTION("""COMPUTED_VALUE"""),9.0)</f>
        <v>9</v>
      </c>
      <c r="AC770" s="11">
        <f>IFERROR(__xludf.DUMMYFUNCTION("""COMPUTED_VALUE"""),66.0)</f>
        <v>66</v>
      </c>
      <c r="AD770" s="11">
        <f>IFERROR(__xludf.DUMMYFUNCTION("""COMPUTED_VALUE"""),46.0)</f>
        <v>46</v>
      </c>
    </row>
    <row r="771">
      <c r="A771" s="10" t="str">
        <f>IFERROR(__xludf.DUMMYFUNCTION("""COMPUTED_VALUE"""),"Veteran")</f>
        <v>Veteran</v>
      </c>
      <c r="B771" s="10" t="str">
        <f>IFERROR(__xludf.DUMMYFUNCTION("""COMPUTED_VALUE"""),"RSC006823")</f>
        <v>RSC006823</v>
      </c>
      <c r="C771" s="10" t="str">
        <f>IFERROR(__xludf.DUMMYFUNCTION("""COMPUTED_VALUE"""),"Onirltv")</f>
        <v>Onirltv</v>
      </c>
      <c r="D771" s="36" t="str">
        <f>IFERROR(__xludf.DUMMYFUNCTION("""COMPUTED_VALUE"""),"Peppermint")</f>
        <v>Peppermint</v>
      </c>
      <c r="E771" s="10" t="str">
        <f>IFERROR(__xludf.DUMMYFUNCTION("""COMPUTED_VALUE"""),"Solar")</f>
        <v>Solar</v>
      </c>
      <c r="F771" s="37">
        <f>IFERROR(__xludf.DUMMYFUNCTION("""COMPUTED_VALUE"""),48.62507369851767)</f>
        <v>48.6250737</v>
      </c>
      <c r="G771" s="38">
        <f>IFERROR(__xludf.DUMMYFUNCTION("""COMPUTED_VALUE"""),42.65488984852378)</f>
        <v>42.65488985</v>
      </c>
      <c r="H771" s="38">
        <f>IFERROR(__xludf.DUMMYFUNCTION("""COMPUTED_VALUE"""),45.639981773520724)</f>
        <v>45.63998177</v>
      </c>
      <c r="I771" s="14">
        <f>IFERROR(__xludf.DUMMYFUNCTION("""COMPUTED_VALUE"""),8.0)</f>
        <v>8</v>
      </c>
      <c r="J771" s="11">
        <f>IFERROR(__xludf.DUMMYFUNCTION("IFERROR(FILTER(Stats!$F:$Z,(Stats!$A:$A=$A771)*(Stats!$B:$B=$B771)))"),3.0)</f>
        <v>3</v>
      </c>
      <c r="K771" s="11">
        <f>IFERROR(__xludf.DUMMYFUNCTION("""COMPUTED_VALUE"""),5.0)</f>
        <v>5</v>
      </c>
      <c r="L771" s="12">
        <f>IFERROR(__xludf.DUMMYFUNCTION("""COMPUTED_VALUE"""),0.375)</f>
        <v>0.375</v>
      </c>
      <c r="M771" s="11">
        <f>IFERROR(__xludf.DUMMYFUNCTION("""COMPUTED_VALUE"""),1.0)</f>
        <v>1</v>
      </c>
      <c r="N771" s="11">
        <f>IFERROR(__xludf.DUMMYFUNCTION("""COMPUTED_VALUE"""),2863.0)</f>
        <v>2863</v>
      </c>
      <c r="O771" s="13">
        <f>IFERROR(__xludf.DUMMYFUNCTION("""COMPUTED_VALUE"""),6.0)</f>
        <v>6</v>
      </c>
      <c r="P771" s="14">
        <f>IFERROR(__xludf.DUMMYFUNCTION("""COMPUTED_VALUE"""),6.0)</f>
        <v>6</v>
      </c>
      <c r="Q771" s="13">
        <f>IFERROR(__xludf.DUMMYFUNCTION("""COMPUTED_VALUE"""),8.0)</f>
        <v>8</v>
      </c>
      <c r="R771" s="13">
        <f>IFERROR(__xludf.DUMMYFUNCTION("""COMPUTED_VALUE"""),17.0)</f>
        <v>17</v>
      </c>
      <c r="S771" s="15">
        <f>IFERROR(__xludf.DUMMYFUNCTION("""COMPUTED_VALUE"""),0.35294117647058826)</f>
        <v>0.3529411765</v>
      </c>
      <c r="T771" s="16">
        <f>IFERROR(__xludf.DUMMYFUNCTION("""COMPUTED_VALUE"""),357.875)</f>
        <v>357.875</v>
      </c>
      <c r="U771" s="16">
        <f>IFERROR(__xludf.DUMMYFUNCTION("""COMPUTED_VALUE"""),0.75)</f>
        <v>0.75</v>
      </c>
      <c r="V771" s="16">
        <f>IFERROR(__xludf.DUMMYFUNCTION("""COMPUTED_VALUE"""),0.75)</f>
        <v>0.75</v>
      </c>
      <c r="W771" s="16">
        <f>IFERROR(__xludf.DUMMYFUNCTION("""COMPUTED_VALUE"""),1.0)</f>
        <v>1</v>
      </c>
      <c r="X771" s="16">
        <f>IFERROR(__xludf.DUMMYFUNCTION("""COMPUTED_VALUE"""),2.125)</f>
        <v>2.125</v>
      </c>
      <c r="Y771" s="11">
        <f>IFERROR(__xludf.DUMMYFUNCTION("""COMPUTED_VALUE"""),2.0)</f>
        <v>2</v>
      </c>
      <c r="Z771" s="11">
        <f>IFERROR(__xludf.DUMMYFUNCTION("""COMPUTED_VALUE"""),0.0)</f>
        <v>0</v>
      </c>
      <c r="AA771" s="11">
        <f>IFERROR(__xludf.DUMMYFUNCTION("""COMPUTED_VALUE"""),0.0)</f>
        <v>0</v>
      </c>
      <c r="AB771" s="11">
        <f>IFERROR(__xludf.DUMMYFUNCTION("""COMPUTED_VALUE"""),0.0)</f>
        <v>0</v>
      </c>
      <c r="AC771" s="11">
        <f>IFERROR(__xludf.DUMMYFUNCTION("""COMPUTED_VALUE"""),11.0)</f>
        <v>11</v>
      </c>
      <c r="AD771" s="11">
        <f>IFERROR(__xludf.DUMMYFUNCTION("""COMPUTED_VALUE"""),10.0)</f>
        <v>10</v>
      </c>
    </row>
    <row r="772">
      <c r="A772" s="10" t="str">
        <f>IFERROR(__xludf.DUMMYFUNCTION("""COMPUTED_VALUE"""),"Veteran")</f>
        <v>Veteran</v>
      </c>
      <c r="B772" s="10" t="str">
        <f>IFERROR(__xludf.DUMMYFUNCTION("""COMPUTED_VALUE"""),"RSC006000")</f>
        <v>RSC006000</v>
      </c>
      <c r="C772" s="10" t="str">
        <f>IFERROR(__xludf.DUMMYFUNCTION("""COMPUTED_VALUE"""),"janixity.")</f>
        <v>janixity.</v>
      </c>
      <c r="D772" s="36" t="str">
        <f>IFERROR(__xludf.DUMMYFUNCTION("""COMPUTED_VALUE"""),"Grizzly Bears
Singularity")</f>
        <v>Grizzly Bears
Singularity</v>
      </c>
      <c r="E772" s="10" t="str">
        <f>IFERROR(__xludf.DUMMYFUNCTION("""COMPUTED_VALUE"""),"Solar
Solar")</f>
        <v>Solar
Solar</v>
      </c>
      <c r="F772" s="37">
        <f>IFERROR(__xludf.DUMMYFUNCTION("""COMPUTED_VALUE"""),46.76529920809678)</f>
        <v>46.76529921</v>
      </c>
      <c r="G772" s="38">
        <f>IFERROR(__xludf.DUMMYFUNCTION("""COMPUTED_VALUE"""),42.80857538045378)</f>
        <v>42.80857538</v>
      </c>
      <c r="H772" s="38">
        <f>IFERROR(__xludf.DUMMYFUNCTION("""COMPUTED_VALUE"""),44.786937294275276)</f>
        <v>44.78693729</v>
      </c>
      <c r="I772" s="14">
        <f>IFERROR(__xludf.DUMMYFUNCTION("""COMPUTED_VALUE"""),42.0)</f>
        <v>42</v>
      </c>
      <c r="J772" s="11">
        <f>IFERROR(__xludf.DUMMYFUNCTION("IFERROR(FILTER(Stats!$F:$Z,(Stats!$A:$A=$A772)*(Stats!$B:$B=$B772)))"),17.0)</f>
        <v>17</v>
      </c>
      <c r="K772" s="11">
        <f>IFERROR(__xludf.DUMMYFUNCTION("""COMPUTED_VALUE"""),25.0)</f>
        <v>25</v>
      </c>
      <c r="L772" s="12">
        <f>IFERROR(__xludf.DUMMYFUNCTION("""COMPUTED_VALUE"""),0.40476190476190477)</f>
        <v>0.4047619048</v>
      </c>
      <c r="M772" s="11">
        <f>IFERROR(__xludf.DUMMYFUNCTION("""COMPUTED_VALUE"""),6.0)</f>
        <v>6</v>
      </c>
      <c r="N772" s="11">
        <f>IFERROR(__xludf.DUMMYFUNCTION("""COMPUTED_VALUE"""),14335.0)</f>
        <v>14335</v>
      </c>
      <c r="O772" s="13">
        <f>IFERROR(__xludf.DUMMYFUNCTION("""COMPUTED_VALUE"""),31.0)</f>
        <v>31</v>
      </c>
      <c r="P772" s="14">
        <f>IFERROR(__xludf.DUMMYFUNCTION("""COMPUTED_VALUE"""),19.0)</f>
        <v>19</v>
      </c>
      <c r="Q772" s="13">
        <f>IFERROR(__xludf.DUMMYFUNCTION("""COMPUTED_VALUE"""),62.0)</f>
        <v>62</v>
      </c>
      <c r="R772" s="13">
        <f>IFERROR(__xludf.DUMMYFUNCTION("""COMPUTED_VALUE"""),91.0)</f>
        <v>91</v>
      </c>
      <c r="S772" s="15">
        <f>IFERROR(__xludf.DUMMYFUNCTION("""COMPUTED_VALUE"""),0.34065934065934067)</f>
        <v>0.3406593407</v>
      </c>
      <c r="T772" s="16">
        <f>IFERROR(__xludf.DUMMYFUNCTION("""COMPUTED_VALUE"""),341.3095238095238)</f>
        <v>341.3095238</v>
      </c>
      <c r="U772" s="16">
        <f>IFERROR(__xludf.DUMMYFUNCTION("""COMPUTED_VALUE"""),0.7380952380952381)</f>
        <v>0.7380952381</v>
      </c>
      <c r="V772" s="16">
        <f>IFERROR(__xludf.DUMMYFUNCTION("""COMPUTED_VALUE"""),0.4523809523809524)</f>
        <v>0.4523809524</v>
      </c>
      <c r="W772" s="16">
        <f>IFERROR(__xludf.DUMMYFUNCTION("""COMPUTED_VALUE"""),1.4761904761904763)</f>
        <v>1.476190476</v>
      </c>
      <c r="X772" s="16">
        <f>IFERROR(__xludf.DUMMYFUNCTION("""COMPUTED_VALUE"""),2.1666666666666665)</f>
        <v>2.166666667</v>
      </c>
      <c r="Y772" s="11">
        <f>IFERROR(__xludf.DUMMYFUNCTION("""COMPUTED_VALUE"""),9.0)</f>
        <v>9</v>
      </c>
      <c r="Z772" s="11">
        <f>IFERROR(__xludf.DUMMYFUNCTION("""COMPUTED_VALUE"""),3.0)</f>
        <v>3</v>
      </c>
      <c r="AA772" s="11">
        <f>IFERROR(__xludf.DUMMYFUNCTION("""COMPUTED_VALUE"""),0.0)</f>
        <v>0</v>
      </c>
      <c r="AB772" s="11">
        <f>IFERROR(__xludf.DUMMYFUNCTION("""COMPUTED_VALUE"""),10.0)</f>
        <v>10</v>
      </c>
      <c r="AC772" s="11">
        <f>IFERROR(__xludf.DUMMYFUNCTION("""COMPUTED_VALUE"""),51.0)</f>
        <v>51</v>
      </c>
      <c r="AD772" s="11">
        <f>IFERROR(__xludf.DUMMYFUNCTION("""COMPUTED_VALUE"""),47.0)</f>
        <v>47</v>
      </c>
    </row>
    <row r="773">
      <c r="A773" s="10" t="str">
        <f>IFERROR(__xludf.DUMMYFUNCTION("""COMPUTED_VALUE"""),"Veteran")</f>
        <v>Veteran</v>
      </c>
      <c r="B773" s="10" t="str">
        <f>IFERROR(__xludf.DUMMYFUNCTION("""COMPUTED_VALUE"""),"RSC002730")</f>
        <v>RSC002730</v>
      </c>
      <c r="C773" s="10" t="str">
        <f>IFERROR(__xludf.DUMMYFUNCTION("""COMPUTED_VALUE"""),"Aquap")</f>
        <v>Aquap</v>
      </c>
      <c r="D773" s="36" t="str">
        <f>IFERROR(__xludf.DUMMYFUNCTION("""COMPUTED_VALUE"""),"Navigators")</f>
        <v>Navigators</v>
      </c>
      <c r="E773" s="10" t="str">
        <f>IFERROR(__xludf.DUMMYFUNCTION("""COMPUTED_VALUE"""),"Solar")</f>
        <v>Solar</v>
      </c>
      <c r="F773" s="37">
        <f>IFERROR(__xludf.DUMMYFUNCTION("""COMPUTED_VALUE"""),42.23872169929372)</f>
        <v>42.2387217</v>
      </c>
      <c r="G773" s="38">
        <f>IFERROR(__xludf.DUMMYFUNCTION("""COMPUTED_VALUE"""),46.76277502665947)</f>
        <v>46.76277503</v>
      </c>
      <c r="H773" s="38">
        <f>IFERROR(__xludf.DUMMYFUNCTION("""COMPUTED_VALUE"""),44.500748362976594)</f>
        <v>44.50074836</v>
      </c>
      <c r="I773" s="14">
        <f>IFERROR(__xludf.DUMMYFUNCTION("""COMPUTED_VALUE"""),39.0)</f>
        <v>39</v>
      </c>
      <c r="J773" s="11">
        <f>IFERROR(__xludf.DUMMYFUNCTION("IFERROR(FILTER(Stats!$F:$Z,(Stats!$A:$A=$A773)*(Stats!$B:$B=$B773)))"),13.0)</f>
        <v>13</v>
      </c>
      <c r="K773" s="11">
        <f>IFERROR(__xludf.DUMMYFUNCTION("""COMPUTED_VALUE"""),26.0)</f>
        <v>26</v>
      </c>
      <c r="L773" s="12">
        <f>IFERROR(__xludf.DUMMYFUNCTION("""COMPUTED_VALUE"""),0.3333333333333333)</f>
        <v>0.3333333333</v>
      </c>
      <c r="M773" s="11">
        <f>IFERROR(__xludf.DUMMYFUNCTION("""COMPUTED_VALUE"""),4.0)</f>
        <v>4</v>
      </c>
      <c r="N773" s="11">
        <f>IFERROR(__xludf.DUMMYFUNCTION("""COMPUTED_VALUE"""),12612.0)</f>
        <v>12612</v>
      </c>
      <c r="O773" s="13">
        <f>IFERROR(__xludf.DUMMYFUNCTION("""COMPUTED_VALUE"""),26.0)</f>
        <v>26</v>
      </c>
      <c r="P773" s="14">
        <f>IFERROR(__xludf.DUMMYFUNCTION("""COMPUTED_VALUE"""),22.0)</f>
        <v>22</v>
      </c>
      <c r="Q773" s="13">
        <f>IFERROR(__xludf.DUMMYFUNCTION("""COMPUTED_VALUE"""),42.0)</f>
        <v>42</v>
      </c>
      <c r="R773" s="13">
        <f>IFERROR(__xludf.DUMMYFUNCTION("""COMPUTED_VALUE"""),99.0)</f>
        <v>99</v>
      </c>
      <c r="S773" s="15">
        <f>IFERROR(__xludf.DUMMYFUNCTION("""COMPUTED_VALUE"""),0.26262626262626265)</f>
        <v>0.2626262626</v>
      </c>
      <c r="T773" s="16">
        <f>IFERROR(__xludf.DUMMYFUNCTION("""COMPUTED_VALUE"""),323.38461538461536)</f>
        <v>323.3846154</v>
      </c>
      <c r="U773" s="16">
        <f>IFERROR(__xludf.DUMMYFUNCTION("""COMPUTED_VALUE"""),0.6666666666666666)</f>
        <v>0.6666666667</v>
      </c>
      <c r="V773" s="16">
        <f>IFERROR(__xludf.DUMMYFUNCTION("""COMPUTED_VALUE"""),0.5641025641025641)</f>
        <v>0.5641025641</v>
      </c>
      <c r="W773" s="16">
        <f>IFERROR(__xludf.DUMMYFUNCTION("""COMPUTED_VALUE"""),1.0769230769230769)</f>
        <v>1.076923077</v>
      </c>
      <c r="X773" s="16">
        <f>IFERROR(__xludf.DUMMYFUNCTION("""COMPUTED_VALUE"""),2.5384615384615383)</f>
        <v>2.538461538</v>
      </c>
      <c r="Y773" s="11">
        <f>IFERROR(__xludf.DUMMYFUNCTION("""COMPUTED_VALUE"""),8.0)</f>
        <v>8</v>
      </c>
      <c r="Z773" s="11">
        <f>IFERROR(__xludf.DUMMYFUNCTION("""COMPUTED_VALUE"""),0.0)</f>
        <v>0</v>
      </c>
      <c r="AA773" s="11">
        <f>IFERROR(__xludf.DUMMYFUNCTION("""COMPUTED_VALUE"""),0.0)</f>
        <v>0</v>
      </c>
      <c r="AB773" s="11">
        <f>IFERROR(__xludf.DUMMYFUNCTION("""COMPUTED_VALUE"""),4.0)</f>
        <v>4</v>
      </c>
      <c r="AC773" s="11">
        <f>IFERROR(__xludf.DUMMYFUNCTION("""COMPUTED_VALUE"""),25.0)</f>
        <v>25</v>
      </c>
      <c r="AD773" s="11">
        <f>IFERROR(__xludf.DUMMYFUNCTION("""COMPUTED_VALUE"""),46.0)</f>
        <v>46</v>
      </c>
    </row>
    <row r="774">
      <c r="A774" s="10" t="str">
        <f>IFERROR(__xludf.DUMMYFUNCTION("""COMPUTED_VALUE"""),"Veteran")</f>
        <v>Veteran</v>
      </c>
      <c r="B774" s="10" t="str">
        <f>IFERROR(__xludf.DUMMYFUNCTION("""COMPUTED_VALUE"""),"RSC008052")</f>
        <v>RSC008052</v>
      </c>
      <c r="C774" s="10" t="str">
        <f>IFERROR(__xludf.DUMMYFUNCTION("""COMPUTED_VALUE"""),"CrypticTide.")</f>
        <v>CrypticTide.</v>
      </c>
      <c r="D774" s="36" t="str">
        <f>IFERROR(__xludf.DUMMYFUNCTION("""COMPUTED_VALUE"""),"Fer-de-Lance")</f>
        <v>Fer-de-Lance</v>
      </c>
      <c r="E774" s="10" t="str">
        <f>IFERROR(__xludf.DUMMYFUNCTION("""COMPUTED_VALUE"""),"Lunar")</f>
        <v>Lunar</v>
      </c>
      <c r="F774" s="37">
        <f>IFERROR(__xludf.DUMMYFUNCTION("""COMPUTED_VALUE"""),48.03895691249405)</f>
        <v>48.03895691</v>
      </c>
      <c r="G774" s="38">
        <f>IFERROR(__xludf.DUMMYFUNCTION("""COMPUTED_VALUE"""),39.74648921645268)</f>
        <v>39.74648922</v>
      </c>
      <c r="H774" s="38">
        <f>IFERROR(__xludf.DUMMYFUNCTION("""COMPUTED_VALUE"""),43.892723064473365)</f>
        <v>43.89272306</v>
      </c>
      <c r="I774" s="14">
        <f>IFERROR(__xludf.DUMMYFUNCTION("""COMPUTED_VALUE"""),4.0)</f>
        <v>4</v>
      </c>
      <c r="J774" s="11">
        <f>IFERROR(__xludf.DUMMYFUNCTION("IFERROR(FILTER(Stats!$F:$Z,(Stats!$A:$A=$A774)*(Stats!$B:$B=$B774)))"),1.0)</f>
        <v>1</v>
      </c>
      <c r="K774" s="11">
        <f>IFERROR(__xludf.DUMMYFUNCTION("""COMPUTED_VALUE"""),3.0)</f>
        <v>3</v>
      </c>
      <c r="L774" s="12">
        <f>IFERROR(__xludf.DUMMYFUNCTION("""COMPUTED_VALUE"""),0.25)</f>
        <v>0.25</v>
      </c>
      <c r="M774" s="11">
        <f>IFERROR(__xludf.DUMMYFUNCTION("""COMPUTED_VALUE"""),1.0)</f>
        <v>1</v>
      </c>
      <c r="N774" s="11">
        <f>IFERROR(__xludf.DUMMYFUNCTION("""COMPUTED_VALUE"""),1412.0)</f>
        <v>1412</v>
      </c>
      <c r="O774" s="13">
        <f>IFERROR(__xludf.DUMMYFUNCTION("""COMPUTED_VALUE"""),4.0)</f>
        <v>4</v>
      </c>
      <c r="P774" s="14">
        <f>IFERROR(__xludf.DUMMYFUNCTION("""COMPUTED_VALUE"""),1.0)</f>
        <v>1</v>
      </c>
      <c r="Q774" s="13">
        <f>IFERROR(__xludf.DUMMYFUNCTION("""COMPUTED_VALUE"""),5.0)</f>
        <v>5</v>
      </c>
      <c r="R774" s="13">
        <f>IFERROR(__xludf.DUMMYFUNCTION("""COMPUTED_VALUE"""),9.0)</f>
        <v>9</v>
      </c>
      <c r="S774" s="15">
        <f>IFERROR(__xludf.DUMMYFUNCTION("""COMPUTED_VALUE"""),0.4444444444444444)</f>
        <v>0.4444444444</v>
      </c>
      <c r="T774" s="16">
        <f>IFERROR(__xludf.DUMMYFUNCTION("""COMPUTED_VALUE"""),353.0)</f>
        <v>353</v>
      </c>
      <c r="U774" s="16">
        <f>IFERROR(__xludf.DUMMYFUNCTION("""COMPUTED_VALUE"""),1.0)</f>
        <v>1</v>
      </c>
      <c r="V774" s="16">
        <f>IFERROR(__xludf.DUMMYFUNCTION("""COMPUTED_VALUE"""),0.25)</f>
        <v>0.25</v>
      </c>
      <c r="W774" s="16">
        <f>IFERROR(__xludf.DUMMYFUNCTION("""COMPUTED_VALUE"""),1.25)</f>
        <v>1.25</v>
      </c>
      <c r="X774" s="16">
        <f>IFERROR(__xludf.DUMMYFUNCTION("""COMPUTED_VALUE"""),2.25)</f>
        <v>2.25</v>
      </c>
      <c r="Y774" s="11">
        <f>IFERROR(__xludf.DUMMYFUNCTION("""COMPUTED_VALUE"""),1.0)</f>
        <v>1</v>
      </c>
      <c r="Z774" s="11">
        <f>IFERROR(__xludf.DUMMYFUNCTION("""COMPUTED_VALUE"""),0.0)</f>
        <v>0</v>
      </c>
      <c r="AA774" s="11">
        <f>IFERROR(__xludf.DUMMYFUNCTION("""COMPUTED_VALUE"""),0.0)</f>
        <v>0</v>
      </c>
      <c r="AB774" s="11">
        <f>IFERROR(__xludf.DUMMYFUNCTION("""COMPUTED_VALUE"""),0.0)</f>
        <v>0</v>
      </c>
      <c r="AC774" s="11">
        <f>IFERROR(__xludf.DUMMYFUNCTION("""COMPUTED_VALUE"""),4.0)</f>
        <v>4</v>
      </c>
      <c r="AD774" s="11">
        <f>IFERROR(__xludf.DUMMYFUNCTION("""COMPUTED_VALUE"""),3.0)</f>
        <v>3</v>
      </c>
    </row>
    <row r="775">
      <c r="A775" s="10" t="str">
        <f>IFERROR(__xludf.DUMMYFUNCTION("""COMPUTED_VALUE"""),"Veteran")</f>
        <v>Veteran</v>
      </c>
      <c r="B775" s="10" t="str">
        <f>IFERROR(__xludf.DUMMYFUNCTION("""COMPUTED_VALUE"""),"RSC006938")</f>
        <v>RSC006938</v>
      </c>
      <c r="C775" s="10" t="str">
        <f>IFERROR(__xludf.DUMMYFUNCTION("""COMPUTED_VALUE"""),"Soda. .")</f>
        <v>Soda. .</v>
      </c>
      <c r="D775" s="36" t="str">
        <f>IFERROR(__xludf.DUMMYFUNCTION("""COMPUTED_VALUE"""),"Navigators")</f>
        <v>Navigators</v>
      </c>
      <c r="E775" s="10" t="str">
        <f>IFERROR(__xludf.DUMMYFUNCTION("""COMPUTED_VALUE"""),"Solar")</f>
        <v>Solar</v>
      </c>
      <c r="F775" s="37">
        <f>IFERROR(__xludf.DUMMYFUNCTION("""COMPUTED_VALUE"""),42.488037566375155)</f>
        <v>42.48803757</v>
      </c>
      <c r="G775" s="38">
        <f>IFERROR(__xludf.DUMMYFUNCTION("""COMPUTED_VALUE"""),44.52096737712536)</f>
        <v>44.52096738</v>
      </c>
      <c r="H775" s="38">
        <f>IFERROR(__xludf.DUMMYFUNCTION("""COMPUTED_VALUE"""),43.50450247175026)</f>
        <v>43.50450247</v>
      </c>
      <c r="I775" s="14">
        <f>IFERROR(__xludf.DUMMYFUNCTION("""COMPUTED_VALUE"""),32.0)</f>
        <v>32</v>
      </c>
      <c r="J775" s="11">
        <f>IFERROR(__xludf.DUMMYFUNCTION("IFERROR(FILTER(Stats!$F:$Z,(Stats!$A:$A=$A775)*(Stats!$B:$B=$B775)))"),13.0)</f>
        <v>13</v>
      </c>
      <c r="K775" s="11">
        <f>IFERROR(__xludf.DUMMYFUNCTION("""COMPUTED_VALUE"""),19.0)</f>
        <v>19</v>
      </c>
      <c r="L775" s="12">
        <f>IFERROR(__xludf.DUMMYFUNCTION("""COMPUTED_VALUE"""),0.40625)</f>
        <v>0.40625</v>
      </c>
      <c r="M775" s="11">
        <f>IFERROR(__xludf.DUMMYFUNCTION("""COMPUTED_VALUE"""),4.0)</f>
        <v>4</v>
      </c>
      <c r="N775" s="11">
        <f>IFERROR(__xludf.DUMMYFUNCTION("""COMPUTED_VALUE"""),11147.0)</f>
        <v>11147</v>
      </c>
      <c r="O775" s="13">
        <f>IFERROR(__xludf.DUMMYFUNCTION("""COMPUTED_VALUE"""),21.0)</f>
        <v>21</v>
      </c>
      <c r="P775" s="14">
        <f>IFERROR(__xludf.DUMMYFUNCTION("""COMPUTED_VALUE"""),17.0)</f>
        <v>17</v>
      </c>
      <c r="Q775" s="13">
        <f>IFERROR(__xludf.DUMMYFUNCTION("""COMPUTED_VALUE"""),49.0)</f>
        <v>49</v>
      </c>
      <c r="R775" s="13">
        <f>IFERROR(__xludf.DUMMYFUNCTION("""COMPUTED_VALUE"""),75.0)</f>
        <v>75</v>
      </c>
      <c r="S775" s="15">
        <f>IFERROR(__xludf.DUMMYFUNCTION("""COMPUTED_VALUE"""),0.28)</f>
        <v>0.28</v>
      </c>
      <c r="T775" s="16">
        <f>IFERROR(__xludf.DUMMYFUNCTION("""COMPUTED_VALUE"""),348.34375)</f>
        <v>348.34375</v>
      </c>
      <c r="U775" s="16">
        <f>IFERROR(__xludf.DUMMYFUNCTION("""COMPUTED_VALUE"""),0.65625)</f>
        <v>0.65625</v>
      </c>
      <c r="V775" s="16">
        <f>IFERROR(__xludf.DUMMYFUNCTION("""COMPUTED_VALUE"""),0.53125)</f>
        <v>0.53125</v>
      </c>
      <c r="W775" s="16">
        <f>IFERROR(__xludf.DUMMYFUNCTION("""COMPUTED_VALUE"""),1.53125)</f>
        <v>1.53125</v>
      </c>
      <c r="X775" s="16">
        <f>IFERROR(__xludf.DUMMYFUNCTION("""COMPUTED_VALUE"""),2.34375)</f>
        <v>2.34375</v>
      </c>
      <c r="Y775" s="11">
        <f>IFERROR(__xludf.DUMMYFUNCTION("""COMPUTED_VALUE"""),2.0)</f>
        <v>2</v>
      </c>
      <c r="Z775" s="11">
        <f>IFERROR(__xludf.DUMMYFUNCTION("""COMPUTED_VALUE"""),2.0)</f>
        <v>2</v>
      </c>
      <c r="AA775" s="11">
        <f>IFERROR(__xludf.DUMMYFUNCTION("""COMPUTED_VALUE"""),0.0)</f>
        <v>0</v>
      </c>
      <c r="AB775" s="11">
        <f>IFERROR(__xludf.DUMMYFUNCTION("""COMPUTED_VALUE"""),6.0)</f>
        <v>6</v>
      </c>
      <c r="AC775" s="11">
        <f>IFERROR(__xludf.DUMMYFUNCTION("""COMPUTED_VALUE"""),95.0)</f>
        <v>95</v>
      </c>
      <c r="AD775" s="11">
        <f>IFERROR(__xludf.DUMMYFUNCTION("""COMPUTED_VALUE"""),20.0)</f>
        <v>20</v>
      </c>
    </row>
    <row r="776">
      <c r="A776" s="10" t="str">
        <f>IFERROR(__xludf.DUMMYFUNCTION("""COMPUTED_VALUE"""),"Veteran")</f>
        <v>Veteran</v>
      </c>
      <c r="B776" s="10" t="str">
        <f>IFERROR(__xludf.DUMMYFUNCTION("""COMPUTED_VALUE"""),"RSC000851")</f>
        <v>RSC000851</v>
      </c>
      <c r="C776" s="10" t="str">
        <f>IFERROR(__xludf.DUMMYFUNCTION("""COMPUTED_VALUE"""),"JoeZ")</f>
        <v>JoeZ</v>
      </c>
      <c r="D776" s="36" t="str">
        <f>IFERROR(__xludf.DUMMYFUNCTION("""COMPUTED_VALUE"""),"Street Rats")</f>
        <v>Street Rats</v>
      </c>
      <c r="E776" s="10" t="str">
        <f>IFERROR(__xludf.DUMMYFUNCTION("""COMPUTED_VALUE"""),"Solar")</f>
        <v>Solar</v>
      </c>
      <c r="F776" s="37">
        <f>IFERROR(__xludf.DUMMYFUNCTION("""COMPUTED_VALUE"""),41.07951822522337)</f>
        <v>41.07951823</v>
      </c>
      <c r="G776" s="38">
        <f>IFERROR(__xludf.DUMMYFUNCTION("""COMPUTED_VALUE"""),45.724225810783295)</f>
        <v>45.72422581</v>
      </c>
      <c r="H776" s="38">
        <f>IFERROR(__xludf.DUMMYFUNCTION("""COMPUTED_VALUE"""),43.40187201800333)</f>
        <v>43.40187202</v>
      </c>
      <c r="I776" s="14">
        <f>IFERROR(__xludf.DUMMYFUNCTION("""COMPUTED_VALUE"""),49.0)</f>
        <v>49</v>
      </c>
      <c r="J776" s="11">
        <f>IFERROR(__xludf.DUMMYFUNCTION("IFERROR(FILTER(Stats!$F:$Z,(Stats!$A:$A=$A776)*(Stats!$B:$B=$B776)))"),21.0)</f>
        <v>21</v>
      </c>
      <c r="K776" s="11">
        <f>IFERROR(__xludf.DUMMYFUNCTION("""COMPUTED_VALUE"""),28.0)</f>
        <v>28</v>
      </c>
      <c r="L776" s="12">
        <f>IFERROR(__xludf.DUMMYFUNCTION("""COMPUTED_VALUE"""),0.42857142857142855)</f>
        <v>0.4285714286</v>
      </c>
      <c r="M776" s="11">
        <f>IFERROR(__xludf.DUMMYFUNCTION("""COMPUTED_VALUE"""),7.0)</f>
        <v>7</v>
      </c>
      <c r="N776" s="11">
        <f>IFERROR(__xludf.DUMMYFUNCTION("""COMPUTED_VALUE"""),16554.0)</f>
        <v>16554</v>
      </c>
      <c r="O776" s="13">
        <f>IFERROR(__xludf.DUMMYFUNCTION("""COMPUTED_VALUE"""),38.0)</f>
        <v>38</v>
      </c>
      <c r="P776" s="14">
        <f>IFERROR(__xludf.DUMMYFUNCTION("""COMPUTED_VALUE"""),27.0)</f>
        <v>27</v>
      </c>
      <c r="Q776" s="13">
        <f>IFERROR(__xludf.DUMMYFUNCTION("""COMPUTED_VALUE"""),72.0)</f>
        <v>72</v>
      </c>
      <c r="R776" s="13">
        <f>IFERROR(__xludf.DUMMYFUNCTION("""COMPUTED_VALUE"""),105.0)</f>
        <v>105</v>
      </c>
      <c r="S776" s="15">
        <f>IFERROR(__xludf.DUMMYFUNCTION("""COMPUTED_VALUE"""),0.3619047619047619)</f>
        <v>0.3619047619</v>
      </c>
      <c r="T776" s="16">
        <f>IFERROR(__xludf.DUMMYFUNCTION("""COMPUTED_VALUE"""),337.83673469387753)</f>
        <v>337.8367347</v>
      </c>
      <c r="U776" s="16">
        <f>IFERROR(__xludf.DUMMYFUNCTION("""COMPUTED_VALUE"""),0.7755102040816326)</f>
        <v>0.7755102041</v>
      </c>
      <c r="V776" s="16">
        <f>IFERROR(__xludf.DUMMYFUNCTION("""COMPUTED_VALUE"""),0.5510204081632653)</f>
        <v>0.5510204082</v>
      </c>
      <c r="W776" s="16">
        <f>IFERROR(__xludf.DUMMYFUNCTION("""COMPUTED_VALUE"""),1.469387755102041)</f>
        <v>1.469387755</v>
      </c>
      <c r="X776" s="16">
        <f>IFERROR(__xludf.DUMMYFUNCTION("""COMPUTED_VALUE"""),2.142857142857143)</f>
        <v>2.142857143</v>
      </c>
      <c r="Y776" s="11">
        <f>IFERROR(__xludf.DUMMYFUNCTION("""COMPUTED_VALUE"""),10.0)</f>
        <v>10</v>
      </c>
      <c r="Z776" s="11">
        <f>IFERROR(__xludf.DUMMYFUNCTION("""COMPUTED_VALUE"""),2.0)</f>
        <v>2</v>
      </c>
      <c r="AA776" s="11">
        <f>IFERROR(__xludf.DUMMYFUNCTION("""COMPUTED_VALUE"""),1.0)</f>
        <v>1</v>
      </c>
      <c r="AB776" s="11">
        <f>IFERROR(__xludf.DUMMYFUNCTION("""COMPUTED_VALUE"""),10.0)</f>
        <v>10</v>
      </c>
      <c r="AC776" s="11">
        <f>IFERROR(__xludf.DUMMYFUNCTION("""COMPUTED_VALUE"""),74.0)</f>
        <v>74</v>
      </c>
      <c r="AD776" s="11">
        <f>IFERROR(__xludf.DUMMYFUNCTION("""COMPUTED_VALUE"""),51.0)</f>
        <v>51</v>
      </c>
    </row>
    <row r="777">
      <c r="A777" s="10" t="str">
        <f>IFERROR(__xludf.DUMMYFUNCTION("""COMPUTED_VALUE"""),"Veteran")</f>
        <v>Veteran</v>
      </c>
      <c r="B777" s="10" t="str">
        <f>IFERROR(__xludf.DUMMYFUNCTION("""COMPUTED_VALUE"""),"RSC006174")</f>
        <v>RSC006174</v>
      </c>
      <c r="C777" s="10" t="str">
        <f>IFERROR(__xludf.DUMMYFUNCTION("""COMPUTED_VALUE"""),"I like bananas")</f>
        <v>I like bananas</v>
      </c>
      <c r="D777" s="36" t="str">
        <f>IFERROR(__xludf.DUMMYFUNCTION("""COMPUTED_VALUE"""),"Mages
Legati")</f>
        <v>Mages
Legati</v>
      </c>
      <c r="E777" s="10" t="str">
        <f>IFERROR(__xludf.DUMMYFUNCTION("""COMPUTED_VALUE"""),"Lunar
Solar")</f>
        <v>Lunar
Solar</v>
      </c>
      <c r="F777" s="37">
        <f>IFERROR(__xludf.DUMMYFUNCTION("""COMPUTED_VALUE"""),39.33818570209244)</f>
        <v>39.3381857</v>
      </c>
      <c r="G777" s="38">
        <f>IFERROR(__xludf.DUMMYFUNCTION("""COMPUTED_VALUE"""),45.680792545694324)</f>
        <v>45.68079255</v>
      </c>
      <c r="H777" s="38">
        <f>IFERROR(__xludf.DUMMYFUNCTION("""COMPUTED_VALUE"""),42.50948912389338)</f>
        <v>42.50948912</v>
      </c>
      <c r="I777" s="14">
        <f>IFERROR(__xludf.DUMMYFUNCTION("""COMPUTED_VALUE"""),22.0)</f>
        <v>22</v>
      </c>
      <c r="J777" s="11">
        <f>IFERROR(__xludf.DUMMYFUNCTION("IFERROR(FILTER(Stats!$F:$Z,(Stats!$A:$A=$A777)*(Stats!$B:$B=$B777)))"),9.0)</f>
        <v>9</v>
      </c>
      <c r="K777" s="11">
        <f>IFERROR(__xludf.DUMMYFUNCTION("""COMPUTED_VALUE"""),13.0)</f>
        <v>13</v>
      </c>
      <c r="L777" s="12">
        <f>IFERROR(__xludf.DUMMYFUNCTION("""COMPUTED_VALUE"""),0.4090909090909091)</f>
        <v>0.4090909091</v>
      </c>
      <c r="M777" s="11">
        <f>IFERROR(__xludf.DUMMYFUNCTION("""COMPUTED_VALUE"""),2.0)</f>
        <v>2</v>
      </c>
      <c r="N777" s="11">
        <f>IFERROR(__xludf.DUMMYFUNCTION("""COMPUTED_VALUE"""),7447.0)</f>
        <v>7447</v>
      </c>
      <c r="O777" s="13">
        <f>IFERROR(__xludf.DUMMYFUNCTION("""COMPUTED_VALUE"""),18.0)</f>
        <v>18</v>
      </c>
      <c r="P777" s="14">
        <f>IFERROR(__xludf.DUMMYFUNCTION("""COMPUTED_VALUE"""),12.0)</f>
        <v>12</v>
      </c>
      <c r="Q777" s="13">
        <f>IFERROR(__xludf.DUMMYFUNCTION("""COMPUTED_VALUE"""),29.0)</f>
        <v>29</v>
      </c>
      <c r="R777" s="13">
        <f>IFERROR(__xludf.DUMMYFUNCTION("""COMPUTED_VALUE"""),50.0)</f>
        <v>50</v>
      </c>
      <c r="S777" s="15">
        <f>IFERROR(__xludf.DUMMYFUNCTION("""COMPUTED_VALUE"""),0.36)</f>
        <v>0.36</v>
      </c>
      <c r="T777" s="16">
        <f>IFERROR(__xludf.DUMMYFUNCTION("""COMPUTED_VALUE"""),338.5)</f>
        <v>338.5</v>
      </c>
      <c r="U777" s="16">
        <f>IFERROR(__xludf.DUMMYFUNCTION("""COMPUTED_VALUE"""),0.8181818181818182)</f>
        <v>0.8181818182</v>
      </c>
      <c r="V777" s="16">
        <f>IFERROR(__xludf.DUMMYFUNCTION("""COMPUTED_VALUE"""),0.5454545454545454)</f>
        <v>0.5454545455</v>
      </c>
      <c r="W777" s="16">
        <f>IFERROR(__xludf.DUMMYFUNCTION("""COMPUTED_VALUE"""),1.3181818181818181)</f>
        <v>1.318181818</v>
      </c>
      <c r="X777" s="16">
        <f>IFERROR(__xludf.DUMMYFUNCTION("""COMPUTED_VALUE"""),2.272727272727273)</f>
        <v>2.272727273</v>
      </c>
      <c r="Y777" s="11">
        <f>IFERROR(__xludf.DUMMYFUNCTION("""COMPUTED_VALUE"""),5.0)</f>
        <v>5</v>
      </c>
      <c r="Z777" s="11">
        <f>IFERROR(__xludf.DUMMYFUNCTION("""COMPUTED_VALUE"""),2.0)</f>
        <v>2</v>
      </c>
      <c r="AA777" s="11">
        <f>IFERROR(__xludf.DUMMYFUNCTION("""COMPUTED_VALUE"""),1.0)</f>
        <v>1</v>
      </c>
      <c r="AB777" s="11">
        <f>IFERROR(__xludf.DUMMYFUNCTION("""COMPUTED_VALUE"""),3.0)</f>
        <v>3</v>
      </c>
      <c r="AC777" s="11">
        <f>IFERROR(__xludf.DUMMYFUNCTION("""COMPUTED_VALUE"""),19.0)</f>
        <v>19</v>
      </c>
      <c r="AD777" s="11">
        <f>IFERROR(__xludf.DUMMYFUNCTION("""COMPUTED_VALUE"""),23.0)</f>
        <v>23</v>
      </c>
    </row>
    <row r="778">
      <c r="A778" s="10" t="str">
        <f>IFERROR(__xludf.DUMMYFUNCTION("""COMPUTED_VALUE"""),"Veteran")</f>
        <v>Veteran</v>
      </c>
      <c r="B778" s="10" t="str">
        <f>IFERROR(__xludf.DUMMYFUNCTION("""COMPUTED_VALUE"""),"RSC008463")</f>
        <v>RSC008463</v>
      </c>
      <c r="C778" s="10" t="str">
        <f>IFERROR(__xludf.DUMMYFUNCTION("""COMPUTED_VALUE"""),"KryptWard")</f>
        <v>KryptWard</v>
      </c>
      <c r="D778" s="36" t="str">
        <f>IFERROR(__xludf.DUMMYFUNCTION("""COMPUTED_VALUE"""),"Mosaic Maestros")</f>
        <v>Mosaic Maestros</v>
      </c>
      <c r="E778" s="10" t="str">
        <f>IFERROR(__xludf.DUMMYFUNCTION("""COMPUTED_VALUE"""),"Solar")</f>
        <v>Solar</v>
      </c>
      <c r="F778" s="37">
        <f>IFERROR(__xludf.DUMMYFUNCTION("""COMPUTED_VALUE"""),40.63615797585253)</f>
        <v>40.63615798</v>
      </c>
      <c r="G778" s="38">
        <f>IFERROR(__xludf.DUMMYFUNCTION("""COMPUTED_VALUE"""),44.345739847857104)</f>
        <v>44.34573985</v>
      </c>
      <c r="H778" s="38">
        <f>IFERROR(__xludf.DUMMYFUNCTION("""COMPUTED_VALUE"""),42.490948911854815)</f>
        <v>42.49094891</v>
      </c>
      <c r="I778" s="14">
        <f>IFERROR(__xludf.DUMMYFUNCTION("""COMPUTED_VALUE"""),49.0)</f>
        <v>49</v>
      </c>
      <c r="J778" s="11">
        <f>IFERROR(__xludf.DUMMYFUNCTION("IFERROR(FILTER(Stats!$F:$Z,(Stats!$A:$A=$A778)*(Stats!$B:$B=$B778)))"),17.0)</f>
        <v>17</v>
      </c>
      <c r="K778" s="11">
        <f>IFERROR(__xludf.DUMMYFUNCTION("""COMPUTED_VALUE"""),32.0)</f>
        <v>32</v>
      </c>
      <c r="L778" s="12">
        <f>IFERROR(__xludf.DUMMYFUNCTION("""COMPUTED_VALUE"""),0.3469387755102041)</f>
        <v>0.3469387755</v>
      </c>
      <c r="M778" s="11">
        <f>IFERROR(__xludf.DUMMYFUNCTION("""COMPUTED_VALUE"""),4.0)</f>
        <v>4</v>
      </c>
      <c r="N778" s="11">
        <f>IFERROR(__xludf.DUMMYFUNCTION("""COMPUTED_VALUE"""),15975.0)</f>
        <v>15975</v>
      </c>
      <c r="O778" s="13">
        <f>IFERROR(__xludf.DUMMYFUNCTION("""COMPUTED_VALUE"""),41.0)</f>
        <v>41</v>
      </c>
      <c r="P778" s="14">
        <f>IFERROR(__xludf.DUMMYFUNCTION("""COMPUTED_VALUE"""),25.0)</f>
        <v>25</v>
      </c>
      <c r="Q778" s="13">
        <f>IFERROR(__xludf.DUMMYFUNCTION("""COMPUTED_VALUE"""),50.0)</f>
        <v>50</v>
      </c>
      <c r="R778" s="13">
        <f>IFERROR(__xludf.DUMMYFUNCTION("""COMPUTED_VALUE"""),132.0)</f>
        <v>132</v>
      </c>
      <c r="S778" s="15">
        <f>IFERROR(__xludf.DUMMYFUNCTION("""COMPUTED_VALUE"""),0.3106060606060606)</f>
        <v>0.3106060606</v>
      </c>
      <c r="T778" s="16">
        <f>IFERROR(__xludf.DUMMYFUNCTION("""COMPUTED_VALUE"""),326.0204081632653)</f>
        <v>326.0204082</v>
      </c>
      <c r="U778" s="16">
        <f>IFERROR(__xludf.DUMMYFUNCTION("""COMPUTED_VALUE"""),0.8367346938775511)</f>
        <v>0.8367346939</v>
      </c>
      <c r="V778" s="16">
        <f>IFERROR(__xludf.DUMMYFUNCTION("""COMPUTED_VALUE"""),0.5102040816326531)</f>
        <v>0.5102040816</v>
      </c>
      <c r="W778" s="16">
        <f>IFERROR(__xludf.DUMMYFUNCTION("""COMPUTED_VALUE"""),1.0204081632653061)</f>
        <v>1.020408163</v>
      </c>
      <c r="X778" s="16">
        <f>IFERROR(__xludf.DUMMYFUNCTION("""COMPUTED_VALUE"""),2.693877551020408)</f>
        <v>2.693877551</v>
      </c>
      <c r="Y778" s="11">
        <f>IFERROR(__xludf.DUMMYFUNCTION("""COMPUTED_VALUE"""),4.0)</f>
        <v>4</v>
      </c>
      <c r="Z778" s="11">
        <f>IFERROR(__xludf.DUMMYFUNCTION("""COMPUTED_VALUE"""),3.0)</f>
        <v>3</v>
      </c>
      <c r="AA778" s="11">
        <f>IFERROR(__xludf.DUMMYFUNCTION("""COMPUTED_VALUE"""),1.0)</f>
        <v>1</v>
      </c>
      <c r="AB778" s="11">
        <f>IFERROR(__xludf.DUMMYFUNCTION("""COMPUTED_VALUE"""),3.0)</f>
        <v>3</v>
      </c>
      <c r="AC778" s="11">
        <f>IFERROR(__xludf.DUMMYFUNCTION("""COMPUTED_VALUE"""),33.0)</f>
        <v>33</v>
      </c>
      <c r="AD778" s="11">
        <f>IFERROR(__xludf.DUMMYFUNCTION("""COMPUTED_VALUE"""),53.0)</f>
        <v>53</v>
      </c>
    </row>
    <row r="779">
      <c r="A779" s="10" t="str">
        <f>IFERROR(__xludf.DUMMYFUNCTION("""COMPUTED_VALUE"""),"Veteran")</f>
        <v>Veteran</v>
      </c>
      <c r="B779" s="10" t="str">
        <f>IFERROR(__xludf.DUMMYFUNCTION("""COMPUTED_VALUE"""),"RSC006654")</f>
        <v>RSC006654</v>
      </c>
      <c r="C779" s="10" t="str">
        <f>IFERROR(__xludf.DUMMYFUNCTION("""COMPUTED_VALUE"""),"Chicken")</f>
        <v>Chicken</v>
      </c>
      <c r="D779" s="36" t="str">
        <f>IFERROR(__xludf.DUMMYFUNCTION("""COMPUTED_VALUE"""),"Gorillas")</f>
        <v>Gorillas</v>
      </c>
      <c r="E779" s="10" t="str">
        <f>IFERROR(__xludf.DUMMYFUNCTION("""COMPUTED_VALUE"""),"Solar")</f>
        <v>Solar</v>
      </c>
      <c r="F779" s="37">
        <f>IFERROR(__xludf.DUMMYFUNCTION("""COMPUTED_VALUE"""),46.06160824940492)</f>
        <v>46.06160825</v>
      </c>
      <c r="G779" s="38">
        <f>IFERROR(__xludf.DUMMYFUNCTION("""COMPUTED_VALUE"""),38.60085254504483)</f>
        <v>38.60085255</v>
      </c>
      <c r="H779" s="38">
        <f>IFERROR(__xludf.DUMMYFUNCTION("""COMPUTED_VALUE"""),42.33123039722487)</f>
        <v>42.3312304</v>
      </c>
      <c r="I779" s="14">
        <f>IFERROR(__xludf.DUMMYFUNCTION("""COMPUTED_VALUE"""),52.0)</f>
        <v>52</v>
      </c>
      <c r="J779" s="11">
        <f>IFERROR(__xludf.DUMMYFUNCTION("IFERROR(FILTER(Stats!$F:$Z,(Stats!$A:$A=$A779)*(Stats!$B:$B=$B779)))"),19.0)</f>
        <v>19</v>
      </c>
      <c r="K779" s="11">
        <f>IFERROR(__xludf.DUMMYFUNCTION("""COMPUTED_VALUE"""),33.0)</f>
        <v>33</v>
      </c>
      <c r="L779" s="12">
        <f>IFERROR(__xludf.DUMMYFUNCTION("""COMPUTED_VALUE"""),0.36538461538461536)</f>
        <v>0.3653846154</v>
      </c>
      <c r="M779" s="11">
        <f>IFERROR(__xludf.DUMMYFUNCTION("""COMPUTED_VALUE"""),5.0)</f>
        <v>5</v>
      </c>
      <c r="N779" s="11">
        <f>IFERROR(__xludf.DUMMYFUNCTION("""COMPUTED_VALUE"""),17266.0)</f>
        <v>17266</v>
      </c>
      <c r="O779" s="13">
        <f>IFERROR(__xludf.DUMMYFUNCTION("""COMPUTED_VALUE"""),32.0)</f>
        <v>32</v>
      </c>
      <c r="P779" s="14">
        <f>IFERROR(__xludf.DUMMYFUNCTION("""COMPUTED_VALUE"""),26.0)</f>
        <v>26</v>
      </c>
      <c r="Q779" s="13">
        <f>IFERROR(__xludf.DUMMYFUNCTION("""COMPUTED_VALUE"""),77.0)</f>
        <v>77</v>
      </c>
      <c r="R779" s="13">
        <f>IFERROR(__xludf.DUMMYFUNCTION("""COMPUTED_VALUE"""),130.0)</f>
        <v>130</v>
      </c>
      <c r="S779" s="15">
        <f>IFERROR(__xludf.DUMMYFUNCTION("""COMPUTED_VALUE"""),0.24615384615384617)</f>
        <v>0.2461538462</v>
      </c>
      <c r="T779" s="16">
        <f>IFERROR(__xludf.DUMMYFUNCTION("""COMPUTED_VALUE"""),332.03846153846155)</f>
        <v>332.0384615</v>
      </c>
      <c r="U779" s="16">
        <f>IFERROR(__xludf.DUMMYFUNCTION("""COMPUTED_VALUE"""),0.6153846153846154)</f>
        <v>0.6153846154</v>
      </c>
      <c r="V779" s="16">
        <f>IFERROR(__xludf.DUMMYFUNCTION("""COMPUTED_VALUE"""),0.5)</f>
        <v>0.5</v>
      </c>
      <c r="W779" s="16">
        <f>IFERROR(__xludf.DUMMYFUNCTION("""COMPUTED_VALUE"""),1.4807692307692308)</f>
        <v>1.480769231</v>
      </c>
      <c r="X779" s="16">
        <f>IFERROR(__xludf.DUMMYFUNCTION("""COMPUTED_VALUE"""),2.5)</f>
        <v>2.5</v>
      </c>
      <c r="Y779" s="11">
        <f>IFERROR(__xludf.DUMMYFUNCTION("""COMPUTED_VALUE"""),6.0)</f>
        <v>6</v>
      </c>
      <c r="Z779" s="11">
        <f>IFERROR(__xludf.DUMMYFUNCTION("""COMPUTED_VALUE"""),1.0)</f>
        <v>1</v>
      </c>
      <c r="AA779" s="11">
        <f>IFERROR(__xludf.DUMMYFUNCTION("""COMPUTED_VALUE"""),0.0)</f>
        <v>0</v>
      </c>
      <c r="AB779" s="11">
        <f>IFERROR(__xludf.DUMMYFUNCTION("""COMPUTED_VALUE"""),10.0)</f>
        <v>10</v>
      </c>
      <c r="AC779" s="11">
        <f>IFERROR(__xludf.DUMMYFUNCTION("""COMPUTED_VALUE"""),59.0)</f>
        <v>59</v>
      </c>
      <c r="AD779" s="11">
        <f>IFERROR(__xludf.DUMMYFUNCTION("""COMPUTED_VALUE"""),60.0)</f>
        <v>60</v>
      </c>
    </row>
    <row r="780">
      <c r="A780" s="10" t="str">
        <f>IFERROR(__xludf.DUMMYFUNCTION("""COMPUTED_VALUE"""),"Veteran")</f>
        <v>Veteran</v>
      </c>
      <c r="B780" s="10" t="str">
        <f>IFERROR(__xludf.DUMMYFUNCTION("""COMPUTED_VALUE"""),"RSC005505")</f>
        <v>RSC005505</v>
      </c>
      <c r="C780" s="10" t="str">
        <f>IFERROR(__xludf.DUMMYFUNCTION("""COMPUTED_VALUE"""),"The_Wheelman_95")</f>
        <v>The_Wheelman_95</v>
      </c>
      <c r="D780" s="36" t="str">
        <f>IFERROR(__xludf.DUMMYFUNCTION("""COMPUTED_VALUE"""),"Merciless Mob")</f>
        <v>Merciless Mob</v>
      </c>
      <c r="E780" s="10" t="str">
        <f>IFERROR(__xludf.DUMMYFUNCTION("""COMPUTED_VALUE"""),"Lunar")</f>
        <v>Lunar</v>
      </c>
      <c r="F780" s="37">
        <f>IFERROR(__xludf.DUMMYFUNCTION("""COMPUTED_VALUE"""),38.61412924720798)</f>
        <v>38.61412925</v>
      </c>
      <c r="G780" s="38">
        <f>IFERROR(__xludf.DUMMYFUNCTION("""COMPUTED_VALUE"""),45.969745469684774)</f>
        <v>45.96974547</v>
      </c>
      <c r="H780" s="38">
        <f>IFERROR(__xludf.DUMMYFUNCTION("""COMPUTED_VALUE"""),42.291937358446376)</f>
        <v>42.29193736</v>
      </c>
      <c r="I780" s="14">
        <f>IFERROR(__xludf.DUMMYFUNCTION("""COMPUTED_VALUE"""),25.0)</f>
        <v>25</v>
      </c>
      <c r="J780" s="11">
        <f>IFERROR(__xludf.DUMMYFUNCTION("IFERROR(FILTER(Stats!$F:$Z,(Stats!$A:$A=$A780)*(Stats!$B:$B=$B780)))"),9.0)</f>
        <v>9</v>
      </c>
      <c r="K780" s="11">
        <f>IFERROR(__xludf.DUMMYFUNCTION("""COMPUTED_VALUE"""),16.0)</f>
        <v>16</v>
      </c>
      <c r="L780" s="12">
        <f>IFERROR(__xludf.DUMMYFUNCTION("""COMPUTED_VALUE"""),0.36)</f>
        <v>0.36</v>
      </c>
      <c r="M780" s="11">
        <f>IFERROR(__xludf.DUMMYFUNCTION("""COMPUTED_VALUE"""),1.0)</f>
        <v>1</v>
      </c>
      <c r="N780" s="11">
        <f>IFERROR(__xludf.DUMMYFUNCTION("""COMPUTED_VALUE"""),7640.0)</f>
        <v>7640</v>
      </c>
      <c r="O780" s="13">
        <f>IFERROR(__xludf.DUMMYFUNCTION("""COMPUTED_VALUE"""),14.0)</f>
        <v>14</v>
      </c>
      <c r="P780" s="14">
        <f>IFERROR(__xludf.DUMMYFUNCTION("""COMPUTED_VALUE"""),14.0)</f>
        <v>14</v>
      </c>
      <c r="Q780" s="13">
        <f>IFERROR(__xludf.DUMMYFUNCTION("""COMPUTED_VALUE"""),31.0)</f>
        <v>31</v>
      </c>
      <c r="R780" s="13">
        <f>IFERROR(__xludf.DUMMYFUNCTION("""COMPUTED_VALUE"""),65.0)</f>
        <v>65</v>
      </c>
      <c r="S780" s="15">
        <f>IFERROR(__xludf.DUMMYFUNCTION("""COMPUTED_VALUE"""),0.2153846153846154)</f>
        <v>0.2153846154</v>
      </c>
      <c r="T780" s="16">
        <f>IFERROR(__xludf.DUMMYFUNCTION("""COMPUTED_VALUE"""),305.6)</f>
        <v>305.6</v>
      </c>
      <c r="U780" s="16">
        <f>IFERROR(__xludf.DUMMYFUNCTION("""COMPUTED_VALUE"""),0.56)</f>
        <v>0.56</v>
      </c>
      <c r="V780" s="16">
        <f>IFERROR(__xludf.DUMMYFUNCTION("""COMPUTED_VALUE"""),0.56)</f>
        <v>0.56</v>
      </c>
      <c r="W780" s="16">
        <f>IFERROR(__xludf.DUMMYFUNCTION("""COMPUTED_VALUE"""),1.24)</f>
        <v>1.24</v>
      </c>
      <c r="X780" s="16">
        <f>IFERROR(__xludf.DUMMYFUNCTION("""COMPUTED_VALUE"""),2.6)</f>
        <v>2.6</v>
      </c>
      <c r="Y780" s="11">
        <f>IFERROR(__xludf.DUMMYFUNCTION("""COMPUTED_VALUE"""),4.0)</f>
        <v>4</v>
      </c>
      <c r="Z780" s="11">
        <f>IFERROR(__xludf.DUMMYFUNCTION("""COMPUTED_VALUE"""),0.0)</f>
        <v>0</v>
      </c>
      <c r="AA780" s="11">
        <f>IFERROR(__xludf.DUMMYFUNCTION("""COMPUTED_VALUE"""),0.0)</f>
        <v>0</v>
      </c>
      <c r="AB780" s="11">
        <f>IFERROR(__xludf.DUMMYFUNCTION("""COMPUTED_VALUE"""),2.0)</f>
        <v>2</v>
      </c>
      <c r="AC780" s="11">
        <f>IFERROR(__xludf.DUMMYFUNCTION("""COMPUTED_VALUE"""),53.0)</f>
        <v>53</v>
      </c>
      <c r="AD780" s="11">
        <f>IFERROR(__xludf.DUMMYFUNCTION("""COMPUTED_VALUE"""),24.0)</f>
        <v>24</v>
      </c>
    </row>
    <row r="781">
      <c r="A781" s="10" t="str">
        <f>IFERROR(__xludf.DUMMYFUNCTION("""COMPUTED_VALUE"""),"Veteran")</f>
        <v>Veteran</v>
      </c>
      <c r="B781" s="10" t="str">
        <f>IFERROR(__xludf.DUMMYFUNCTION("""COMPUTED_VALUE"""),"RSC002902")</f>
        <v>RSC002902</v>
      </c>
      <c r="C781" s="10" t="str">
        <f>IFERROR(__xludf.DUMMYFUNCTION("""COMPUTED_VALUE"""),"Stone-Dog Millionaire")</f>
        <v>Stone-Dog Millionaire</v>
      </c>
      <c r="D781" s="36" t="str">
        <f>IFERROR(__xludf.DUMMYFUNCTION("""COMPUTED_VALUE"""),"Legati")</f>
        <v>Legati</v>
      </c>
      <c r="E781" s="10" t="str">
        <f>IFERROR(__xludf.DUMMYFUNCTION("""COMPUTED_VALUE"""),"Solar")</f>
        <v>Solar</v>
      </c>
      <c r="F781" s="37">
        <f>IFERROR(__xludf.DUMMYFUNCTION("""COMPUTED_VALUE"""),39.66677751695626)</f>
        <v>39.66677752</v>
      </c>
      <c r="G781" s="38">
        <f>IFERROR(__xludf.DUMMYFUNCTION("""COMPUTED_VALUE"""),44.89000093586139)</f>
        <v>44.89000094</v>
      </c>
      <c r="H781" s="38">
        <f>IFERROR(__xludf.DUMMYFUNCTION("""COMPUTED_VALUE"""),42.27838922640882)</f>
        <v>42.27838923</v>
      </c>
      <c r="I781" s="14">
        <f>IFERROR(__xludf.DUMMYFUNCTION("""COMPUTED_VALUE"""),40.0)</f>
        <v>40</v>
      </c>
      <c r="J781" s="11">
        <f>IFERROR(__xludf.DUMMYFUNCTION("IFERROR(FILTER(Stats!$F:$Z,(Stats!$A:$A=$A781)*(Stats!$B:$B=$B781)))"),20.0)</f>
        <v>20</v>
      </c>
      <c r="K781" s="11">
        <f>IFERROR(__xludf.DUMMYFUNCTION("""COMPUTED_VALUE"""),20.0)</f>
        <v>20</v>
      </c>
      <c r="L781" s="12">
        <f>IFERROR(__xludf.DUMMYFUNCTION("""COMPUTED_VALUE"""),0.5)</f>
        <v>0.5</v>
      </c>
      <c r="M781" s="11">
        <f>IFERROR(__xludf.DUMMYFUNCTION("""COMPUTED_VALUE"""),3.0)</f>
        <v>3</v>
      </c>
      <c r="N781" s="11">
        <f>IFERROR(__xludf.DUMMYFUNCTION("""COMPUTED_VALUE"""),12916.0)</f>
        <v>12916</v>
      </c>
      <c r="O781" s="13">
        <f>IFERROR(__xludf.DUMMYFUNCTION("""COMPUTED_VALUE"""),29.0)</f>
        <v>29</v>
      </c>
      <c r="P781" s="14">
        <f>IFERROR(__xludf.DUMMYFUNCTION("""COMPUTED_VALUE"""),23.0)</f>
        <v>23</v>
      </c>
      <c r="Q781" s="13">
        <f>IFERROR(__xludf.DUMMYFUNCTION("""COMPUTED_VALUE"""),46.0)</f>
        <v>46</v>
      </c>
      <c r="R781" s="13">
        <f>IFERROR(__xludf.DUMMYFUNCTION("""COMPUTED_VALUE"""),100.0)</f>
        <v>100</v>
      </c>
      <c r="S781" s="15">
        <f>IFERROR(__xludf.DUMMYFUNCTION("""COMPUTED_VALUE"""),0.29)</f>
        <v>0.29</v>
      </c>
      <c r="T781" s="16">
        <f>IFERROR(__xludf.DUMMYFUNCTION("""COMPUTED_VALUE"""),322.9)</f>
        <v>322.9</v>
      </c>
      <c r="U781" s="16">
        <f>IFERROR(__xludf.DUMMYFUNCTION("""COMPUTED_VALUE"""),0.725)</f>
        <v>0.725</v>
      </c>
      <c r="V781" s="16">
        <f>IFERROR(__xludf.DUMMYFUNCTION("""COMPUTED_VALUE"""),0.575)</f>
        <v>0.575</v>
      </c>
      <c r="W781" s="16">
        <f>IFERROR(__xludf.DUMMYFUNCTION("""COMPUTED_VALUE"""),1.15)</f>
        <v>1.15</v>
      </c>
      <c r="X781" s="16">
        <f>IFERROR(__xludf.DUMMYFUNCTION("""COMPUTED_VALUE"""),2.5)</f>
        <v>2.5</v>
      </c>
      <c r="Y781" s="11">
        <f>IFERROR(__xludf.DUMMYFUNCTION("""COMPUTED_VALUE"""),5.0)</f>
        <v>5</v>
      </c>
      <c r="Z781" s="11">
        <f>IFERROR(__xludf.DUMMYFUNCTION("""COMPUTED_VALUE"""),2.0)</f>
        <v>2</v>
      </c>
      <c r="AA781" s="11">
        <f>IFERROR(__xludf.DUMMYFUNCTION("""COMPUTED_VALUE"""),0.0)</f>
        <v>0</v>
      </c>
      <c r="AB781" s="11">
        <f>IFERROR(__xludf.DUMMYFUNCTION("""COMPUTED_VALUE"""),4.0)</f>
        <v>4</v>
      </c>
      <c r="AC781" s="11">
        <f>IFERROR(__xludf.DUMMYFUNCTION("""COMPUTED_VALUE"""),85.0)</f>
        <v>85</v>
      </c>
      <c r="AD781" s="11">
        <f>IFERROR(__xludf.DUMMYFUNCTION("""COMPUTED_VALUE"""),36.0)</f>
        <v>36</v>
      </c>
    </row>
    <row r="782">
      <c r="A782" s="10" t="str">
        <f>IFERROR(__xludf.DUMMYFUNCTION("""COMPUTED_VALUE"""),"Veteran")</f>
        <v>Veteran</v>
      </c>
      <c r="B782" s="10" t="str">
        <f>IFERROR(__xludf.DUMMYFUNCTION("""COMPUTED_VALUE"""),"RSC008536")</f>
        <v>RSC008536</v>
      </c>
      <c r="C782" s="10" t="str">
        <f>IFERROR(__xludf.DUMMYFUNCTION("""COMPUTED_VALUE"""),"Synbad-")</f>
        <v>Synbad-</v>
      </c>
      <c r="D782" s="36" t="str">
        <f>IFERROR(__xludf.DUMMYFUNCTION("""COMPUTED_VALUE"""),"White Collars
Peppermint")</f>
        <v>White Collars
Peppermint</v>
      </c>
      <c r="E782" s="10" t="str">
        <f>IFERROR(__xludf.DUMMYFUNCTION("""COMPUTED_VALUE"""),"Lunar
Solar")</f>
        <v>Lunar
Solar</v>
      </c>
      <c r="F782" s="37">
        <f>IFERROR(__xludf.DUMMYFUNCTION("""COMPUTED_VALUE"""),46.87481919325053)</f>
        <v>46.87481919</v>
      </c>
      <c r="G782" s="38">
        <f>IFERROR(__xludf.DUMMYFUNCTION("""COMPUTED_VALUE"""),37.58140357388421)</f>
        <v>37.58140357</v>
      </c>
      <c r="H782" s="38">
        <f>IFERROR(__xludf.DUMMYFUNCTION("""COMPUTED_VALUE"""),42.22811138356737)</f>
        <v>42.22811138</v>
      </c>
      <c r="I782" s="14">
        <f>IFERROR(__xludf.DUMMYFUNCTION("""COMPUTED_VALUE"""),28.0)</f>
        <v>28</v>
      </c>
      <c r="J782" s="11">
        <f>IFERROR(__xludf.DUMMYFUNCTION("IFERROR(FILTER(Stats!$F:$Z,(Stats!$A:$A=$A782)*(Stats!$B:$B=$B782)))"),14.0)</f>
        <v>14</v>
      </c>
      <c r="K782" s="11">
        <f>IFERROR(__xludf.DUMMYFUNCTION("""COMPUTED_VALUE"""),14.0)</f>
        <v>14</v>
      </c>
      <c r="L782" s="12">
        <f>IFERROR(__xludf.DUMMYFUNCTION("""COMPUTED_VALUE"""),0.5)</f>
        <v>0.5</v>
      </c>
      <c r="M782" s="11">
        <f>IFERROR(__xludf.DUMMYFUNCTION("""COMPUTED_VALUE"""),3.0)</f>
        <v>3</v>
      </c>
      <c r="N782" s="11">
        <f>IFERROR(__xludf.DUMMYFUNCTION("""COMPUTED_VALUE"""),9069.0)</f>
        <v>9069</v>
      </c>
      <c r="O782" s="13">
        <f>IFERROR(__xludf.DUMMYFUNCTION("""COMPUTED_VALUE"""),16.0)</f>
        <v>16</v>
      </c>
      <c r="P782" s="14">
        <f>IFERROR(__xludf.DUMMYFUNCTION("""COMPUTED_VALUE"""),13.0)</f>
        <v>13</v>
      </c>
      <c r="Q782" s="13">
        <f>IFERROR(__xludf.DUMMYFUNCTION("""COMPUTED_VALUE"""),43.0)</f>
        <v>43</v>
      </c>
      <c r="R782" s="13">
        <f>IFERROR(__xludf.DUMMYFUNCTION("""COMPUTED_VALUE"""),60.0)</f>
        <v>60</v>
      </c>
      <c r="S782" s="15">
        <f>IFERROR(__xludf.DUMMYFUNCTION("""COMPUTED_VALUE"""),0.26666666666666666)</f>
        <v>0.2666666667</v>
      </c>
      <c r="T782" s="16">
        <f>IFERROR(__xludf.DUMMYFUNCTION("""COMPUTED_VALUE"""),323.89285714285717)</f>
        <v>323.8928571</v>
      </c>
      <c r="U782" s="16">
        <f>IFERROR(__xludf.DUMMYFUNCTION("""COMPUTED_VALUE"""),0.5714285714285714)</f>
        <v>0.5714285714</v>
      </c>
      <c r="V782" s="16">
        <f>IFERROR(__xludf.DUMMYFUNCTION("""COMPUTED_VALUE"""),0.4642857142857143)</f>
        <v>0.4642857143</v>
      </c>
      <c r="W782" s="16">
        <f>IFERROR(__xludf.DUMMYFUNCTION("""COMPUTED_VALUE"""),1.5357142857142858)</f>
        <v>1.535714286</v>
      </c>
      <c r="X782" s="16">
        <f>IFERROR(__xludf.DUMMYFUNCTION("""COMPUTED_VALUE"""),2.142857142857143)</f>
        <v>2.142857143</v>
      </c>
      <c r="Y782" s="11">
        <f>IFERROR(__xludf.DUMMYFUNCTION("""COMPUTED_VALUE"""),1.0)</f>
        <v>1</v>
      </c>
      <c r="Z782" s="11">
        <f>IFERROR(__xludf.DUMMYFUNCTION("""COMPUTED_VALUE"""),1.0)</f>
        <v>1</v>
      </c>
      <c r="AA782" s="11">
        <f>IFERROR(__xludf.DUMMYFUNCTION("""COMPUTED_VALUE"""),0.0)</f>
        <v>0</v>
      </c>
      <c r="AB782" s="11">
        <f>IFERROR(__xludf.DUMMYFUNCTION("""COMPUTED_VALUE"""),6.0)</f>
        <v>6</v>
      </c>
      <c r="AC782" s="11">
        <f>IFERROR(__xludf.DUMMYFUNCTION("""COMPUTED_VALUE"""),20.0)</f>
        <v>20</v>
      </c>
      <c r="AD782" s="11">
        <f>IFERROR(__xludf.DUMMYFUNCTION("""COMPUTED_VALUE"""),26.0)</f>
        <v>26</v>
      </c>
    </row>
    <row r="783">
      <c r="A783" s="10" t="str">
        <f>IFERROR(__xludf.DUMMYFUNCTION("""COMPUTED_VALUE"""),"Veteran")</f>
        <v>Veteran</v>
      </c>
      <c r="B783" s="10" t="str">
        <f>IFERROR(__xludf.DUMMYFUNCTION("""COMPUTED_VALUE"""),"RSC008460")</f>
        <v>RSC008460</v>
      </c>
      <c r="C783" s="10" t="str">
        <f>IFERROR(__xludf.DUMMYFUNCTION("""COMPUTED_VALUE"""),"Murleaux")</f>
        <v>Murleaux</v>
      </c>
      <c r="D783" s="36" t="str">
        <f>IFERROR(__xludf.DUMMYFUNCTION("""COMPUTED_VALUE"""),"Folks")</f>
        <v>Folks</v>
      </c>
      <c r="E783" s="10" t="str">
        <f>IFERROR(__xludf.DUMMYFUNCTION("""COMPUTED_VALUE"""),"Lunar")</f>
        <v>Lunar</v>
      </c>
      <c r="F783" s="37">
        <f>IFERROR(__xludf.DUMMYFUNCTION("""COMPUTED_VALUE"""),48.37337360533531)</f>
        <v>48.37337361</v>
      </c>
      <c r="G783" s="38">
        <f>IFERROR(__xludf.DUMMYFUNCTION("""COMPUTED_VALUE"""),35.382250349924675)</f>
        <v>35.38225035</v>
      </c>
      <c r="H783" s="38">
        <f>IFERROR(__xludf.DUMMYFUNCTION("""COMPUTED_VALUE"""),41.87781197762999)</f>
        <v>41.87781198</v>
      </c>
      <c r="I783" s="14">
        <f>IFERROR(__xludf.DUMMYFUNCTION("""COMPUTED_VALUE"""),51.0)</f>
        <v>51</v>
      </c>
      <c r="J783" s="11">
        <f>IFERROR(__xludf.DUMMYFUNCTION("IFERROR(FILTER(Stats!$F:$Z,(Stats!$A:$A=$A783)*(Stats!$B:$B=$B783)))"),21.0)</f>
        <v>21</v>
      </c>
      <c r="K783" s="11">
        <f>IFERROR(__xludf.DUMMYFUNCTION("""COMPUTED_VALUE"""),30.0)</f>
        <v>30</v>
      </c>
      <c r="L783" s="12">
        <f>IFERROR(__xludf.DUMMYFUNCTION("""COMPUTED_VALUE"""),0.4117647058823529)</f>
        <v>0.4117647059</v>
      </c>
      <c r="M783" s="11">
        <f>IFERROR(__xludf.DUMMYFUNCTION("""COMPUTED_VALUE"""),9.0)</f>
        <v>9</v>
      </c>
      <c r="N783" s="11">
        <f>IFERROR(__xludf.DUMMYFUNCTION("""COMPUTED_VALUE"""),17928.0)</f>
        <v>17928</v>
      </c>
      <c r="O783" s="13">
        <f>IFERROR(__xludf.DUMMYFUNCTION("""COMPUTED_VALUE"""),28.0)</f>
        <v>28</v>
      </c>
      <c r="P783" s="14">
        <f>IFERROR(__xludf.DUMMYFUNCTION("""COMPUTED_VALUE"""),28.0)</f>
        <v>28</v>
      </c>
      <c r="Q783" s="13">
        <f>IFERROR(__xludf.DUMMYFUNCTION("""COMPUTED_VALUE"""),81.0)</f>
        <v>81</v>
      </c>
      <c r="R783" s="13">
        <f>IFERROR(__xludf.DUMMYFUNCTION("""COMPUTED_VALUE"""),126.0)</f>
        <v>126</v>
      </c>
      <c r="S783" s="15">
        <f>IFERROR(__xludf.DUMMYFUNCTION("""COMPUTED_VALUE"""),0.2222222222222222)</f>
        <v>0.2222222222</v>
      </c>
      <c r="T783" s="16">
        <f>IFERROR(__xludf.DUMMYFUNCTION("""COMPUTED_VALUE"""),351.52941176470586)</f>
        <v>351.5294118</v>
      </c>
      <c r="U783" s="16">
        <f>IFERROR(__xludf.DUMMYFUNCTION("""COMPUTED_VALUE"""),0.5490196078431373)</f>
        <v>0.5490196078</v>
      </c>
      <c r="V783" s="16">
        <f>IFERROR(__xludf.DUMMYFUNCTION("""COMPUTED_VALUE"""),0.5490196078431373)</f>
        <v>0.5490196078</v>
      </c>
      <c r="W783" s="16">
        <f>IFERROR(__xludf.DUMMYFUNCTION("""COMPUTED_VALUE"""),1.588235294117647)</f>
        <v>1.588235294</v>
      </c>
      <c r="X783" s="16">
        <f>IFERROR(__xludf.DUMMYFUNCTION("""COMPUTED_VALUE"""),2.4705882352941178)</f>
        <v>2.470588235</v>
      </c>
      <c r="Y783" s="11">
        <f>IFERROR(__xludf.DUMMYFUNCTION("""COMPUTED_VALUE"""),7.0)</f>
        <v>7</v>
      </c>
      <c r="Z783" s="11">
        <f>IFERROR(__xludf.DUMMYFUNCTION("""COMPUTED_VALUE"""),1.0)</f>
        <v>1</v>
      </c>
      <c r="AA783" s="11">
        <f>IFERROR(__xludf.DUMMYFUNCTION("""COMPUTED_VALUE"""),1.0)</f>
        <v>1</v>
      </c>
      <c r="AB783" s="11">
        <f>IFERROR(__xludf.DUMMYFUNCTION("""COMPUTED_VALUE"""),11.0)</f>
        <v>11</v>
      </c>
      <c r="AC783" s="11">
        <f>IFERROR(__xludf.DUMMYFUNCTION("""COMPUTED_VALUE"""),55.0)</f>
        <v>55</v>
      </c>
      <c r="AD783" s="11">
        <f>IFERROR(__xludf.DUMMYFUNCTION("""COMPUTED_VALUE"""),43.0)</f>
        <v>43</v>
      </c>
    </row>
    <row r="784">
      <c r="A784" s="10" t="str">
        <f>IFERROR(__xludf.DUMMYFUNCTION("""COMPUTED_VALUE"""),"Veteran")</f>
        <v>Veteran</v>
      </c>
      <c r="B784" s="10" t="str">
        <f>IFERROR(__xludf.DUMMYFUNCTION("""COMPUTED_VALUE"""),"RSC006315")</f>
        <v>RSC006315</v>
      </c>
      <c r="C784" s="10" t="str">
        <f>IFERROR(__xludf.DUMMYFUNCTION("""COMPUTED_VALUE"""),"BIGbadBULLMAN13")</f>
        <v>BIGbadBULLMAN13</v>
      </c>
      <c r="D784" s="36" t="str">
        <f>IFERROR(__xludf.DUMMYFUNCTION("""COMPUTED_VALUE"""),"Kirin")</f>
        <v>Kirin</v>
      </c>
      <c r="E784" s="10" t="str">
        <f>IFERROR(__xludf.DUMMYFUNCTION("""COMPUTED_VALUE"""),"Solar")</f>
        <v>Solar</v>
      </c>
      <c r="F784" s="37">
        <f>IFERROR(__xludf.DUMMYFUNCTION("""COMPUTED_VALUE"""),41.20169079115681)</f>
        <v>41.20169079</v>
      </c>
      <c r="G784" s="38">
        <f>IFERROR(__xludf.DUMMYFUNCTION("""COMPUTED_VALUE"""),42.52740675885798)</f>
        <v>42.52740676</v>
      </c>
      <c r="H784" s="38">
        <f>IFERROR(__xludf.DUMMYFUNCTION("""COMPUTED_VALUE"""),41.86454877500739)</f>
        <v>41.86454878</v>
      </c>
      <c r="I784" s="14">
        <f>IFERROR(__xludf.DUMMYFUNCTION("""COMPUTED_VALUE"""),30.0)</f>
        <v>30</v>
      </c>
      <c r="J784" s="11">
        <f>IFERROR(__xludf.DUMMYFUNCTION("IFERROR(FILTER(Stats!$F:$Z,(Stats!$A:$A=$A784)*(Stats!$B:$B=$B784)))"),15.0)</f>
        <v>15</v>
      </c>
      <c r="K784" s="11">
        <f>IFERROR(__xludf.DUMMYFUNCTION("""COMPUTED_VALUE"""),15.0)</f>
        <v>15</v>
      </c>
      <c r="L784" s="12">
        <f>IFERROR(__xludf.DUMMYFUNCTION("""COMPUTED_VALUE"""),0.5)</f>
        <v>0.5</v>
      </c>
      <c r="M784" s="11">
        <f>IFERROR(__xludf.DUMMYFUNCTION("""COMPUTED_VALUE"""),3.0)</f>
        <v>3</v>
      </c>
      <c r="N784" s="11">
        <f>IFERROR(__xludf.DUMMYFUNCTION("""COMPUTED_VALUE"""),8822.0)</f>
        <v>8822</v>
      </c>
      <c r="O784" s="13">
        <f>IFERROR(__xludf.DUMMYFUNCTION("""COMPUTED_VALUE"""),16.0)</f>
        <v>16</v>
      </c>
      <c r="P784" s="14">
        <f>IFERROR(__xludf.DUMMYFUNCTION("""COMPUTED_VALUE"""),18.0)</f>
        <v>18</v>
      </c>
      <c r="Q784" s="13">
        <f>IFERROR(__xludf.DUMMYFUNCTION("""COMPUTED_VALUE"""),28.0)</f>
        <v>28</v>
      </c>
      <c r="R784" s="13">
        <f>IFERROR(__xludf.DUMMYFUNCTION("""COMPUTED_VALUE"""),70.0)</f>
        <v>70</v>
      </c>
      <c r="S784" s="15">
        <f>IFERROR(__xludf.DUMMYFUNCTION("""COMPUTED_VALUE"""),0.22857142857142856)</f>
        <v>0.2285714286</v>
      </c>
      <c r="T784" s="16">
        <f>IFERROR(__xludf.DUMMYFUNCTION("""COMPUTED_VALUE"""),294.06666666666666)</f>
        <v>294.0666667</v>
      </c>
      <c r="U784" s="16">
        <f>IFERROR(__xludf.DUMMYFUNCTION("""COMPUTED_VALUE"""),0.5333333333333333)</f>
        <v>0.5333333333</v>
      </c>
      <c r="V784" s="16">
        <f>IFERROR(__xludf.DUMMYFUNCTION("""COMPUTED_VALUE"""),0.6)</f>
        <v>0.6</v>
      </c>
      <c r="W784" s="16">
        <f>IFERROR(__xludf.DUMMYFUNCTION("""COMPUTED_VALUE"""),0.9333333333333333)</f>
        <v>0.9333333333</v>
      </c>
      <c r="X784" s="16">
        <f>IFERROR(__xludf.DUMMYFUNCTION("""COMPUTED_VALUE"""),2.3333333333333335)</f>
        <v>2.333333333</v>
      </c>
      <c r="Y784" s="11">
        <f>IFERROR(__xludf.DUMMYFUNCTION("""COMPUTED_VALUE"""),4.0)</f>
        <v>4</v>
      </c>
      <c r="Z784" s="11">
        <f>IFERROR(__xludf.DUMMYFUNCTION("""COMPUTED_VALUE"""),1.0)</f>
        <v>1</v>
      </c>
      <c r="AA784" s="11">
        <f>IFERROR(__xludf.DUMMYFUNCTION("""COMPUTED_VALUE"""),1.0)</f>
        <v>1</v>
      </c>
      <c r="AB784" s="11">
        <f>IFERROR(__xludf.DUMMYFUNCTION("""COMPUTED_VALUE"""),2.0)</f>
        <v>2</v>
      </c>
      <c r="AC784" s="11">
        <f>IFERROR(__xludf.DUMMYFUNCTION("""COMPUTED_VALUE"""),66.0)</f>
        <v>66</v>
      </c>
      <c r="AD784" s="11">
        <f>IFERROR(__xludf.DUMMYFUNCTION("""COMPUTED_VALUE"""),26.0)</f>
        <v>26</v>
      </c>
    </row>
    <row r="785">
      <c r="A785" s="10" t="str">
        <f>IFERROR(__xludf.DUMMYFUNCTION("""COMPUTED_VALUE"""),"Veteran")</f>
        <v>Veteran</v>
      </c>
      <c r="B785" s="10" t="str">
        <f>IFERROR(__xludf.DUMMYFUNCTION("""COMPUTED_VALUE"""),"RSC008524")</f>
        <v>RSC008524</v>
      </c>
      <c r="C785" s="10" t="str">
        <f>IFERROR(__xludf.DUMMYFUNCTION("""COMPUTED_VALUE"""),"ṽex")</f>
        <v>ṽex</v>
      </c>
      <c r="D785" s="36" t="str">
        <f>IFERROR(__xludf.DUMMYFUNCTION("""COMPUTED_VALUE"""),"Singularity")</f>
        <v>Singularity</v>
      </c>
      <c r="E785" s="10" t="str">
        <f>IFERROR(__xludf.DUMMYFUNCTION("""COMPUTED_VALUE"""),"Solar")</f>
        <v>Solar</v>
      </c>
      <c r="F785" s="37">
        <f>IFERROR(__xludf.DUMMYFUNCTION("""COMPUTED_VALUE"""),51.795245947408844)</f>
        <v>51.79524595</v>
      </c>
      <c r="G785" s="38">
        <f>IFERROR(__xludf.DUMMYFUNCTION("""COMPUTED_VALUE"""),24.378845792507654)</f>
        <v>24.37884579</v>
      </c>
      <c r="H785" s="38">
        <f>IFERROR(__xludf.DUMMYFUNCTION("""COMPUTED_VALUE"""),38.087045869958246)</f>
        <v>38.08704587</v>
      </c>
      <c r="I785" s="14">
        <f>IFERROR(__xludf.DUMMYFUNCTION("""COMPUTED_VALUE"""),4.0)</f>
        <v>4</v>
      </c>
      <c r="J785" s="11">
        <f>IFERROR(__xludf.DUMMYFUNCTION("IFERROR(FILTER(Stats!$F:$Z,(Stats!$A:$A=$A785)*(Stats!$B:$B=$B785)))"),1.0)</f>
        <v>1</v>
      </c>
      <c r="K785" s="11">
        <f>IFERROR(__xludf.DUMMYFUNCTION("""COMPUTED_VALUE"""),3.0)</f>
        <v>3</v>
      </c>
      <c r="L785" s="12">
        <f>IFERROR(__xludf.DUMMYFUNCTION("""COMPUTED_VALUE"""),0.25)</f>
        <v>0.25</v>
      </c>
      <c r="M785" s="11">
        <f>IFERROR(__xludf.DUMMYFUNCTION("""COMPUTED_VALUE"""),1.0)</f>
        <v>1</v>
      </c>
      <c r="N785" s="11">
        <f>IFERROR(__xludf.DUMMYFUNCTION("""COMPUTED_VALUE"""),1453.0)</f>
        <v>1453</v>
      </c>
      <c r="O785" s="13">
        <f>IFERROR(__xludf.DUMMYFUNCTION("""COMPUTED_VALUE"""),1.0)</f>
        <v>1</v>
      </c>
      <c r="P785" s="14">
        <f>IFERROR(__xludf.DUMMYFUNCTION("""COMPUTED_VALUE"""),2.0)</f>
        <v>2</v>
      </c>
      <c r="Q785" s="13">
        <f>IFERROR(__xludf.DUMMYFUNCTION("""COMPUTED_VALUE"""),9.0)</f>
        <v>9</v>
      </c>
      <c r="R785" s="13">
        <f>IFERROR(__xludf.DUMMYFUNCTION("""COMPUTED_VALUE"""),8.0)</f>
        <v>8</v>
      </c>
      <c r="S785" s="15">
        <f>IFERROR(__xludf.DUMMYFUNCTION("""COMPUTED_VALUE"""),0.125)</f>
        <v>0.125</v>
      </c>
      <c r="T785" s="16">
        <f>IFERROR(__xludf.DUMMYFUNCTION("""COMPUTED_VALUE"""),363.25)</f>
        <v>363.25</v>
      </c>
      <c r="U785" s="16">
        <f>IFERROR(__xludf.DUMMYFUNCTION("""COMPUTED_VALUE"""),0.25)</f>
        <v>0.25</v>
      </c>
      <c r="V785" s="16">
        <f>IFERROR(__xludf.DUMMYFUNCTION("""COMPUTED_VALUE"""),0.5)</f>
        <v>0.5</v>
      </c>
      <c r="W785" s="16">
        <f>IFERROR(__xludf.DUMMYFUNCTION("""COMPUTED_VALUE"""),2.25)</f>
        <v>2.25</v>
      </c>
      <c r="X785" s="16">
        <f>IFERROR(__xludf.DUMMYFUNCTION("""COMPUTED_VALUE"""),2.0)</f>
        <v>2</v>
      </c>
      <c r="Y785" s="11">
        <f>IFERROR(__xludf.DUMMYFUNCTION("""COMPUTED_VALUE"""),0.0)</f>
        <v>0</v>
      </c>
      <c r="Z785" s="11">
        <f>IFERROR(__xludf.DUMMYFUNCTION("""COMPUTED_VALUE"""),0.0)</f>
        <v>0</v>
      </c>
      <c r="AA785" s="11">
        <f>IFERROR(__xludf.DUMMYFUNCTION("""COMPUTED_VALUE"""),0.0)</f>
        <v>0</v>
      </c>
      <c r="AB785" s="11">
        <f>IFERROR(__xludf.DUMMYFUNCTION("""COMPUTED_VALUE"""),2.0)</f>
        <v>2</v>
      </c>
      <c r="AC785" s="11">
        <f>IFERROR(__xludf.DUMMYFUNCTION("""COMPUTED_VALUE"""),4.0)</f>
        <v>4</v>
      </c>
      <c r="AD785" s="11">
        <f>IFERROR(__xludf.DUMMYFUNCTION("""COMPUTED_VALUE"""),3.0)</f>
        <v>3</v>
      </c>
    </row>
    <row r="786">
      <c r="A786" s="10" t="str">
        <f>IFERROR(__xludf.DUMMYFUNCTION("""COMPUTED_VALUE"""),"Veteran")</f>
        <v>Veteran</v>
      </c>
      <c r="B786" s="10" t="str">
        <f>IFERROR(__xludf.DUMMYFUNCTION("""COMPUTED_VALUE"""),"RSC006199")</f>
        <v>RSC006199</v>
      </c>
      <c r="C786" s="10" t="str">
        <f>IFERROR(__xludf.DUMMYFUNCTION("""COMPUTED_VALUE"""),"Irozuh-")</f>
        <v>Irozuh-</v>
      </c>
      <c r="D786" s="36" t="str">
        <f>IFERROR(__xludf.DUMMYFUNCTION("""COMPUTED_VALUE"""),"Giant Squids")</f>
        <v>Giant Squids</v>
      </c>
      <c r="E786" s="10" t="str">
        <f>IFERROR(__xludf.DUMMYFUNCTION("""COMPUTED_VALUE"""),"Lunar")</f>
        <v>Lunar</v>
      </c>
      <c r="F786" s="37">
        <f>IFERROR(__xludf.DUMMYFUNCTION("""COMPUTED_VALUE"""),38.66274948728364)</f>
        <v>38.66274949</v>
      </c>
      <c r="G786" s="38">
        <f>IFERROR(__xludf.DUMMYFUNCTION("""COMPUTED_VALUE"""),36.952576791188875)</f>
        <v>36.95257679</v>
      </c>
      <c r="H786" s="38">
        <f>IFERROR(__xludf.DUMMYFUNCTION("""COMPUTED_VALUE"""),37.807663139236254)</f>
        <v>37.80766314</v>
      </c>
      <c r="I786" s="14">
        <f>IFERROR(__xludf.DUMMYFUNCTION("""COMPUTED_VALUE"""),29.0)</f>
        <v>29</v>
      </c>
      <c r="J786" s="11">
        <f>IFERROR(__xludf.DUMMYFUNCTION("IFERROR(FILTER(Stats!$F:$Z,(Stats!$A:$A=$A786)*(Stats!$B:$B=$B786)))"),15.0)</f>
        <v>15</v>
      </c>
      <c r="K786" s="11">
        <f>IFERROR(__xludf.DUMMYFUNCTION("""COMPUTED_VALUE"""),14.0)</f>
        <v>14</v>
      </c>
      <c r="L786" s="12">
        <f>IFERROR(__xludf.DUMMYFUNCTION("""COMPUTED_VALUE"""),0.5172413793103449)</f>
        <v>0.5172413793</v>
      </c>
      <c r="M786" s="11">
        <f>IFERROR(__xludf.DUMMYFUNCTION("""COMPUTED_VALUE"""),3.0)</f>
        <v>3</v>
      </c>
      <c r="N786" s="11">
        <f>IFERROR(__xludf.DUMMYFUNCTION("""COMPUTED_VALUE"""),9158.0)</f>
        <v>9158</v>
      </c>
      <c r="O786" s="13">
        <f>IFERROR(__xludf.DUMMYFUNCTION("""COMPUTED_VALUE"""),17.0)</f>
        <v>17</v>
      </c>
      <c r="P786" s="14">
        <f>IFERROR(__xludf.DUMMYFUNCTION("""COMPUTED_VALUE"""),14.0)</f>
        <v>14</v>
      </c>
      <c r="Q786" s="13">
        <f>IFERROR(__xludf.DUMMYFUNCTION("""COMPUTED_VALUE"""),45.0)</f>
        <v>45</v>
      </c>
      <c r="R786" s="13">
        <f>IFERROR(__xludf.DUMMYFUNCTION("""COMPUTED_VALUE"""),56.0)</f>
        <v>56</v>
      </c>
      <c r="S786" s="15">
        <f>IFERROR(__xludf.DUMMYFUNCTION("""COMPUTED_VALUE"""),0.30357142857142855)</f>
        <v>0.3035714286</v>
      </c>
      <c r="T786" s="16">
        <f>IFERROR(__xludf.DUMMYFUNCTION("""COMPUTED_VALUE"""),315.7931034482759)</f>
        <v>315.7931034</v>
      </c>
      <c r="U786" s="16">
        <f>IFERROR(__xludf.DUMMYFUNCTION("""COMPUTED_VALUE"""),0.5862068965517241)</f>
        <v>0.5862068966</v>
      </c>
      <c r="V786" s="16">
        <f>IFERROR(__xludf.DUMMYFUNCTION("""COMPUTED_VALUE"""),0.4827586206896552)</f>
        <v>0.4827586207</v>
      </c>
      <c r="W786" s="16">
        <f>IFERROR(__xludf.DUMMYFUNCTION("""COMPUTED_VALUE"""),1.5517241379310345)</f>
        <v>1.551724138</v>
      </c>
      <c r="X786" s="16">
        <f>IFERROR(__xludf.DUMMYFUNCTION("""COMPUTED_VALUE"""),1.9310344827586208)</f>
        <v>1.931034483</v>
      </c>
      <c r="Y786" s="11">
        <f>IFERROR(__xludf.DUMMYFUNCTION("""COMPUTED_VALUE"""),5.0)</f>
        <v>5</v>
      </c>
      <c r="Z786" s="11">
        <f>IFERROR(__xludf.DUMMYFUNCTION("""COMPUTED_VALUE"""),0.0)</f>
        <v>0</v>
      </c>
      <c r="AA786" s="11">
        <f>IFERROR(__xludf.DUMMYFUNCTION("""COMPUTED_VALUE"""),0.0)</f>
        <v>0</v>
      </c>
      <c r="AB786" s="11">
        <f>IFERROR(__xludf.DUMMYFUNCTION("""COMPUTED_VALUE"""),7.0)</f>
        <v>7</v>
      </c>
      <c r="AC786" s="11">
        <f>IFERROR(__xludf.DUMMYFUNCTION("""COMPUTED_VALUE"""),22.0)</f>
        <v>22</v>
      </c>
      <c r="AD786" s="11">
        <f>IFERROR(__xludf.DUMMYFUNCTION("""COMPUTED_VALUE"""),28.0)</f>
        <v>28</v>
      </c>
    </row>
    <row r="787">
      <c r="A787" s="10" t="str">
        <f>IFERROR(__xludf.DUMMYFUNCTION("""COMPUTED_VALUE"""),"Veteran")</f>
        <v>Veteran</v>
      </c>
      <c r="B787" s="10" t="str">
        <f>IFERROR(__xludf.DUMMYFUNCTION("""COMPUTED_VALUE"""),"RSC007213")</f>
        <v>RSC007213</v>
      </c>
      <c r="C787" s="10" t="str">
        <f>IFERROR(__xludf.DUMMYFUNCTION("""COMPUTED_VALUE"""),"Pythronex")</f>
        <v>Pythronex</v>
      </c>
      <c r="D787" s="36" t="str">
        <f>IFERROR(__xludf.DUMMYFUNCTION("""COMPUTED_VALUE"""),"Mosaic Maestros
Makos
Shadow Tails")</f>
        <v>Mosaic Maestros
Makos
Shadow Tails</v>
      </c>
      <c r="E787" s="10" t="str">
        <f>IFERROR(__xludf.DUMMYFUNCTION("""COMPUTED_VALUE"""),"Solar
Solar
Solar")</f>
        <v>Solar
Solar
Solar</v>
      </c>
      <c r="F787" s="37">
        <f>IFERROR(__xludf.DUMMYFUNCTION("""COMPUTED_VALUE"""),40.472402157350274)</f>
        <v>40.47240216</v>
      </c>
      <c r="G787" s="38">
        <f>IFERROR(__xludf.DUMMYFUNCTION("""COMPUTED_VALUE"""),34.76085632371261)</f>
        <v>34.76085632</v>
      </c>
      <c r="H787" s="38">
        <f>IFERROR(__xludf.DUMMYFUNCTION("""COMPUTED_VALUE"""),37.61662924053144)</f>
        <v>37.61662924</v>
      </c>
      <c r="I787" s="14">
        <f>IFERROR(__xludf.DUMMYFUNCTION("""COMPUTED_VALUE"""),24.0)</f>
        <v>24</v>
      </c>
      <c r="J787" s="11">
        <f>IFERROR(__xludf.DUMMYFUNCTION("IFERROR(FILTER(Stats!$F:$Z,(Stats!$A:$A=$A787)*(Stats!$B:$B=$B787)))"),10.0)</f>
        <v>10</v>
      </c>
      <c r="K787" s="11">
        <f>IFERROR(__xludf.DUMMYFUNCTION("""COMPUTED_VALUE"""),14.0)</f>
        <v>14</v>
      </c>
      <c r="L787" s="12">
        <f>IFERROR(__xludf.DUMMYFUNCTION("""COMPUTED_VALUE"""),0.4166666666666667)</f>
        <v>0.4166666667</v>
      </c>
      <c r="M787" s="11">
        <f>IFERROR(__xludf.DUMMYFUNCTION("""COMPUTED_VALUE"""),5.0)</f>
        <v>5</v>
      </c>
      <c r="N787" s="11">
        <f>IFERROR(__xludf.DUMMYFUNCTION("""COMPUTED_VALUE"""),7981.0)</f>
        <v>7981</v>
      </c>
      <c r="O787" s="13">
        <f>IFERROR(__xludf.DUMMYFUNCTION("""COMPUTED_VALUE"""),16.0)</f>
        <v>16</v>
      </c>
      <c r="P787" s="14">
        <f>IFERROR(__xludf.DUMMYFUNCTION("""COMPUTED_VALUE"""),11.0)</f>
        <v>11</v>
      </c>
      <c r="Q787" s="13">
        <f>IFERROR(__xludf.DUMMYFUNCTION("""COMPUTED_VALUE"""),32.0)</f>
        <v>32</v>
      </c>
      <c r="R787" s="13">
        <f>IFERROR(__xludf.DUMMYFUNCTION("""COMPUTED_VALUE"""),47.0)</f>
        <v>47</v>
      </c>
      <c r="S787" s="15">
        <f>IFERROR(__xludf.DUMMYFUNCTION("""COMPUTED_VALUE"""),0.3404255319148936)</f>
        <v>0.3404255319</v>
      </c>
      <c r="T787" s="16">
        <f>IFERROR(__xludf.DUMMYFUNCTION("""COMPUTED_VALUE"""),332.5416666666667)</f>
        <v>332.5416667</v>
      </c>
      <c r="U787" s="16">
        <f>IFERROR(__xludf.DUMMYFUNCTION("""COMPUTED_VALUE"""),0.6666666666666666)</f>
        <v>0.6666666667</v>
      </c>
      <c r="V787" s="16">
        <f>IFERROR(__xludf.DUMMYFUNCTION("""COMPUTED_VALUE"""),0.4583333333333333)</f>
        <v>0.4583333333</v>
      </c>
      <c r="W787" s="16">
        <f>IFERROR(__xludf.DUMMYFUNCTION("""COMPUTED_VALUE"""),1.3333333333333333)</f>
        <v>1.333333333</v>
      </c>
      <c r="X787" s="16">
        <f>IFERROR(__xludf.DUMMYFUNCTION("""COMPUTED_VALUE"""),1.9583333333333333)</f>
        <v>1.958333333</v>
      </c>
      <c r="Y787" s="11">
        <f>IFERROR(__xludf.DUMMYFUNCTION("""COMPUTED_VALUE"""),7.0)</f>
        <v>7</v>
      </c>
      <c r="Z787" s="11">
        <f>IFERROR(__xludf.DUMMYFUNCTION("""COMPUTED_VALUE"""),0.0)</f>
        <v>0</v>
      </c>
      <c r="AA787" s="11">
        <f>IFERROR(__xludf.DUMMYFUNCTION("""COMPUTED_VALUE"""),0.0)</f>
        <v>0</v>
      </c>
      <c r="AB787" s="11">
        <f>IFERROR(__xludf.DUMMYFUNCTION("""COMPUTED_VALUE"""),3.0)</f>
        <v>3</v>
      </c>
      <c r="AC787" s="11">
        <f>IFERROR(__xludf.DUMMYFUNCTION("""COMPUTED_VALUE"""),28.0)</f>
        <v>28</v>
      </c>
      <c r="AD787" s="11">
        <f>IFERROR(__xludf.DUMMYFUNCTION("""COMPUTED_VALUE"""),33.0)</f>
        <v>33</v>
      </c>
    </row>
    <row r="788">
      <c r="A788" s="10" t="str">
        <f>IFERROR(__xludf.DUMMYFUNCTION("""COMPUTED_VALUE"""),"Veteran")</f>
        <v>Veteran</v>
      </c>
      <c r="B788" s="10" t="str">
        <f>IFERROR(__xludf.DUMMYFUNCTION("""COMPUTED_VALUE"""),"RSC000182")</f>
        <v>RSC000182</v>
      </c>
      <c r="C788" s="10" t="str">
        <f>IFERROR(__xludf.DUMMYFUNCTION("""COMPUTED_VALUE"""),"Goose")</f>
        <v>Goose</v>
      </c>
      <c r="D788" s="36" t="str">
        <f>IFERROR(__xludf.DUMMYFUNCTION("""COMPUTED_VALUE"""),"Banshees")</f>
        <v>Banshees</v>
      </c>
      <c r="E788" s="10" t="str">
        <f>IFERROR(__xludf.DUMMYFUNCTION("""COMPUTED_VALUE"""),"Lunar")</f>
        <v>Lunar</v>
      </c>
      <c r="F788" s="37">
        <f>IFERROR(__xludf.DUMMYFUNCTION("""COMPUTED_VALUE"""),34.042098135281236)</f>
        <v>34.04209814</v>
      </c>
      <c r="G788" s="38">
        <f>IFERROR(__xludf.DUMMYFUNCTION("""COMPUTED_VALUE"""),40.42180655615265)</f>
        <v>40.42180656</v>
      </c>
      <c r="H788" s="38">
        <f>IFERROR(__xludf.DUMMYFUNCTION("""COMPUTED_VALUE"""),37.23195234571695)</f>
        <v>37.23195235</v>
      </c>
      <c r="I788" s="14">
        <f>IFERROR(__xludf.DUMMYFUNCTION("""COMPUTED_VALUE"""),41.0)</f>
        <v>41</v>
      </c>
      <c r="J788" s="11">
        <f>IFERROR(__xludf.DUMMYFUNCTION("IFERROR(FILTER(Stats!$F:$Z,(Stats!$A:$A=$A788)*(Stats!$B:$B=$B788)))"),14.0)</f>
        <v>14</v>
      </c>
      <c r="K788" s="11">
        <f>IFERROR(__xludf.DUMMYFUNCTION("""COMPUTED_VALUE"""),27.0)</f>
        <v>27</v>
      </c>
      <c r="L788" s="12">
        <f>IFERROR(__xludf.DUMMYFUNCTION("""COMPUTED_VALUE"""),0.34146341463414637)</f>
        <v>0.3414634146</v>
      </c>
      <c r="M788" s="11">
        <f>IFERROR(__xludf.DUMMYFUNCTION("""COMPUTED_VALUE"""),5.0)</f>
        <v>5</v>
      </c>
      <c r="N788" s="11">
        <f>IFERROR(__xludf.DUMMYFUNCTION("""COMPUTED_VALUE"""),12825.0)</f>
        <v>12825</v>
      </c>
      <c r="O788" s="13">
        <f>IFERROR(__xludf.DUMMYFUNCTION("""COMPUTED_VALUE"""),34.0)</f>
        <v>34</v>
      </c>
      <c r="P788" s="14">
        <f>IFERROR(__xludf.DUMMYFUNCTION("""COMPUTED_VALUE"""),19.0)</f>
        <v>19</v>
      </c>
      <c r="Q788" s="13">
        <f>IFERROR(__xludf.DUMMYFUNCTION("""COMPUTED_VALUE"""),47.0)</f>
        <v>47</v>
      </c>
      <c r="R788" s="13">
        <f>IFERROR(__xludf.DUMMYFUNCTION("""COMPUTED_VALUE"""),104.0)</f>
        <v>104</v>
      </c>
      <c r="S788" s="15">
        <f>IFERROR(__xludf.DUMMYFUNCTION("""COMPUTED_VALUE"""),0.3269230769230769)</f>
        <v>0.3269230769</v>
      </c>
      <c r="T788" s="16">
        <f>IFERROR(__xludf.DUMMYFUNCTION("""COMPUTED_VALUE"""),312.8048780487805)</f>
        <v>312.804878</v>
      </c>
      <c r="U788" s="16">
        <f>IFERROR(__xludf.DUMMYFUNCTION("""COMPUTED_VALUE"""),0.8292682926829268)</f>
        <v>0.8292682927</v>
      </c>
      <c r="V788" s="16">
        <f>IFERROR(__xludf.DUMMYFUNCTION("""COMPUTED_VALUE"""),0.4634146341463415)</f>
        <v>0.4634146341</v>
      </c>
      <c r="W788" s="16">
        <f>IFERROR(__xludf.DUMMYFUNCTION("""COMPUTED_VALUE"""),1.146341463414634)</f>
        <v>1.146341463</v>
      </c>
      <c r="X788" s="16">
        <f>IFERROR(__xludf.DUMMYFUNCTION("""COMPUTED_VALUE"""),2.5365853658536586)</f>
        <v>2.536585366</v>
      </c>
      <c r="Y788" s="11">
        <f>IFERROR(__xludf.DUMMYFUNCTION("""COMPUTED_VALUE"""),4.0)</f>
        <v>4</v>
      </c>
      <c r="Z788" s="11">
        <f>IFERROR(__xludf.DUMMYFUNCTION("""COMPUTED_VALUE"""),3.0)</f>
        <v>3</v>
      </c>
      <c r="AA788" s="11">
        <f>IFERROR(__xludf.DUMMYFUNCTION("""COMPUTED_VALUE"""),0.0)</f>
        <v>0</v>
      </c>
      <c r="AB788" s="11">
        <f>IFERROR(__xludf.DUMMYFUNCTION("""COMPUTED_VALUE"""),4.0)</f>
        <v>4</v>
      </c>
      <c r="AC788" s="11">
        <f>IFERROR(__xludf.DUMMYFUNCTION("""COMPUTED_VALUE"""),81.0)</f>
        <v>81</v>
      </c>
      <c r="AD788" s="11">
        <f>IFERROR(__xludf.DUMMYFUNCTION("""COMPUTED_VALUE"""),31.0)</f>
        <v>31</v>
      </c>
    </row>
    <row r="789">
      <c r="A789" s="10" t="str">
        <f>IFERROR(__xludf.DUMMYFUNCTION("""COMPUTED_VALUE"""),"Veteran")</f>
        <v>Veteran</v>
      </c>
      <c r="B789" s="10" t="str">
        <f>IFERROR(__xludf.DUMMYFUNCTION("""COMPUTED_VALUE"""),"RSC007373")</f>
        <v>RSC007373</v>
      </c>
      <c r="C789" s="10" t="str">
        <f>IFERROR(__xludf.DUMMYFUNCTION("""COMPUTED_VALUE"""),"pug")</f>
        <v>pug</v>
      </c>
      <c r="D789" s="36" t="str">
        <f>IFERROR(__xludf.DUMMYFUNCTION("""COMPUTED_VALUE"""),"Gargoyle")</f>
        <v>Gargoyle</v>
      </c>
      <c r="E789" s="10" t="str">
        <f>IFERROR(__xludf.DUMMYFUNCTION("""COMPUTED_VALUE"""),"Solar")</f>
        <v>Solar</v>
      </c>
      <c r="F789" s="37">
        <f>IFERROR(__xludf.DUMMYFUNCTION("""COMPUTED_VALUE"""),26.76562712110572)</f>
        <v>26.76562712</v>
      </c>
      <c r="G789" s="38">
        <f>IFERROR(__xludf.DUMMYFUNCTION("""COMPUTED_VALUE"""),47.049694409362594)</f>
        <v>47.04969441</v>
      </c>
      <c r="H789" s="38">
        <f>IFERROR(__xludf.DUMMYFUNCTION("""COMPUTED_VALUE"""),36.907660765234155)</f>
        <v>36.90766077</v>
      </c>
      <c r="I789" s="14">
        <f>IFERROR(__xludf.DUMMYFUNCTION("""COMPUTED_VALUE"""),13.0)</f>
        <v>13</v>
      </c>
      <c r="J789" s="11">
        <f>IFERROR(__xludf.DUMMYFUNCTION("IFERROR(FILTER(Stats!$F:$Z,(Stats!$A:$A=$A789)*(Stats!$B:$B=$B789)))"),9.0)</f>
        <v>9</v>
      </c>
      <c r="K789" s="11">
        <f>IFERROR(__xludf.DUMMYFUNCTION("""COMPUTED_VALUE"""),4.0)</f>
        <v>4</v>
      </c>
      <c r="L789" s="12">
        <f>IFERROR(__xludf.DUMMYFUNCTION("""COMPUTED_VALUE"""),0.6923076923076923)</f>
        <v>0.6923076923</v>
      </c>
      <c r="M789" s="11">
        <f>IFERROR(__xludf.DUMMYFUNCTION("""COMPUTED_VALUE"""),2.0)</f>
        <v>2</v>
      </c>
      <c r="N789" s="11">
        <f>IFERROR(__xludf.DUMMYFUNCTION("""COMPUTED_VALUE"""),4014.0)</f>
        <v>4014</v>
      </c>
      <c r="O789" s="13">
        <f>IFERROR(__xludf.DUMMYFUNCTION("""COMPUTED_VALUE"""),10.0)</f>
        <v>10</v>
      </c>
      <c r="P789" s="14">
        <f>IFERROR(__xludf.DUMMYFUNCTION("""COMPUTED_VALUE"""),5.0)</f>
        <v>5</v>
      </c>
      <c r="Q789" s="13">
        <f>IFERROR(__xludf.DUMMYFUNCTION("""COMPUTED_VALUE"""),14.0)</f>
        <v>14</v>
      </c>
      <c r="R789" s="13">
        <f>IFERROR(__xludf.DUMMYFUNCTION("""COMPUTED_VALUE"""),30.0)</f>
        <v>30</v>
      </c>
      <c r="S789" s="15">
        <f>IFERROR(__xludf.DUMMYFUNCTION("""COMPUTED_VALUE"""),0.3333333333333333)</f>
        <v>0.3333333333</v>
      </c>
      <c r="T789" s="16">
        <f>IFERROR(__xludf.DUMMYFUNCTION("""COMPUTED_VALUE"""),308.7692307692308)</f>
        <v>308.7692308</v>
      </c>
      <c r="U789" s="16">
        <f>IFERROR(__xludf.DUMMYFUNCTION("""COMPUTED_VALUE"""),0.7692307692307693)</f>
        <v>0.7692307692</v>
      </c>
      <c r="V789" s="16">
        <f>IFERROR(__xludf.DUMMYFUNCTION("""COMPUTED_VALUE"""),0.38461538461538464)</f>
        <v>0.3846153846</v>
      </c>
      <c r="W789" s="16">
        <f>IFERROR(__xludf.DUMMYFUNCTION("""COMPUTED_VALUE"""),1.0769230769230769)</f>
        <v>1.076923077</v>
      </c>
      <c r="X789" s="16">
        <f>IFERROR(__xludf.DUMMYFUNCTION("""COMPUTED_VALUE"""),2.3076923076923075)</f>
        <v>2.307692308</v>
      </c>
      <c r="Y789" s="11">
        <f>IFERROR(__xludf.DUMMYFUNCTION("""COMPUTED_VALUE"""),0.0)</f>
        <v>0</v>
      </c>
      <c r="Z789" s="11">
        <f>IFERROR(__xludf.DUMMYFUNCTION("""COMPUTED_VALUE"""),2.0)</f>
        <v>2</v>
      </c>
      <c r="AA789" s="11">
        <f>IFERROR(__xludf.DUMMYFUNCTION("""COMPUTED_VALUE"""),0.0)</f>
        <v>0</v>
      </c>
      <c r="AB789" s="11">
        <f>IFERROR(__xludf.DUMMYFUNCTION("""COMPUTED_VALUE"""),0.0)</f>
        <v>0</v>
      </c>
      <c r="AC789" s="11">
        <f>IFERROR(__xludf.DUMMYFUNCTION("""COMPUTED_VALUE"""),10.0)</f>
        <v>10</v>
      </c>
      <c r="AD789" s="11">
        <f>IFERROR(__xludf.DUMMYFUNCTION("""COMPUTED_VALUE"""),19.0)</f>
        <v>19</v>
      </c>
    </row>
    <row r="790">
      <c r="A790" s="10" t="str">
        <f>IFERROR(__xludf.DUMMYFUNCTION("""COMPUTED_VALUE"""),"Veteran")</f>
        <v>Veteran</v>
      </c>
      <c r="B790" s="10" t="str">
        <f>IFERROR(__xludf.DUMMYFUNCTION("""COMPUTED_VALUE"""),"RSC007186")</f>
        <v>RSC007186</v>
      </c>
      <c r="C790" s="10" t="str">
        <f>IFERROR(__xludf.DUMMYFUNCTION("""COMPUTED_VALUE"""),"Bushier Brow")</f>
        <v>Bushier Brow</v>
      </c>
      <c r="D790" s="36" t="str">
        <f>IFERROR(__xludf.DUMMYFUNCTION("""COMPUTED_VALUE"""),"Singularity")</f>
        <v>Singularity</v>
      </c>
      <c r="E790" s="10" t="str">
        <f>IFERROR(__xludf.DUMMYFUNCTION("""COMPUTED_VALUE"""),"Solar")</f>
        <v>Solar</v>
      </c>
      <c r="F790" s="37">
        <f>IFERROR(__xludf.DUMMYFUNCTION("""COMPUTED_VALUE"""),41.65133547631507)</f>
        <v>41.65133548</v>
      </c>
      <c r="G790" s="38">
        <f>IFERROR(__xludf.DUMMYFUNCTION("""COMPUTED_VALUE"""),30.052092489922906)</f>
        <v>30.05209249</v>
      </c>
      <c r="H790" s="38">
        <f>IFERROR(__xludf.DUMMYFUNCTION("""COMPUTED_VALUE"""),35.851713983118984)</f>
        <v>35.85171398</v>
      </c>
      <c r="I790" s="14">
        <f>IFERROR(__xludf.DUMMYFUNCTION("""COMPUTED_VALUE"""),51.0)</f>
        <v>51</v>
      </c>
      <c r="J790" s="11">
        <f>IFERROR(__xludf.DUMMYFUNCTION("IFERROR(FILTER(Stats!$F:$Z,(Stats!$A:$A=$A790)*(Stats!$B:$B=$B790)))"),15.0)</f>
        <v>15</v>
      </c>
      <c r="K790" s="11">
        <f>IFERROR(__xludf.DUMMYFUNCTION("""COMPUTED_VALUE"""),36.0)</f>
        <v>36</v>
      </c>
      <c r="L790" s="12">
        <f>IFERROR(__xludf.DUMMYFUNCTION("""COMPUTED_VALUE"""),0.29411764705882354)</f>
        <v>0.2941176471</v>
      </c>
      <c r="M790" s="11">
        <f>IFERROR(__xludf.DUMMYFUNCTION("""COMPUTED_VALUE"""),3.0)</f>
        <v>3</v>
      </c>
      <c r="N790" s="11">
        <f>IFERROR(__xludf.DUMMYFUNCTION("""COMPUTED_VALUE"""),17879.0)</f>
        <v>17879</v>
      </c>
      <c r="O790" s="13">
        <f>IFERROR(__xludf.DUMMYFUNCTION("""COMPUTED_VALUE"""),32.0)</f>
        <v>32</v>
      </c>
      <c r="P790" s="14">
        <f>IFERROR(__xludf.DUMMYFUNCTION("""COMPUTED_VALUE"""),21.0)</f>
        <v>21</v>
      </c>
      <c r="Q790" s="13">
        <f>IFERROR(__xludf.DUMMYFUNCTION("""COMPUTED_VALUE"""),85.0)</f>
        <v>85</v>
      </c>
      <c r="R790" s="13">
        <f>IFERROR(__xludf.DUMMYFUNCTION("""COMPUTED_VALUE"""),114.0)</f>
        <v>114</v>
      </c>
      <c r="S790" s="15">
        <f>IFERROR(__xludf.DUMMYFUNCTION("""COMPUTED_VALUE"""),0.2807017543859649)</f>
        <v>0.2807017544</v>
      </c>
      <c r="T790" s="16">
        <f>IFERROR(__xludf.DUMMYFUNCTION("""COMPUTED_VALUE"""),350.5686274509804)</f>
        <v>350.5686275</v>
      </c>
      <c r="U790" s="16">
        <f>IFERROR(__xludf.DUMMYFUNCTION("""COMPUTED_VALUE"""),0.6274509803921569)</f>
        <v>0.6274509804</v>
      </c>
      <c r="V790" s="16">
        <f>IFERROR(__xludf.DUMMYFUNCTION("""COMPUTED_VALUE"""),0.4117647058823529)</f>
        <v>0.4117647059</v>
      </c>
      <c r="W790" s="16">
        <f>IFERROR(__xludf.DUMMYFUNCTION("""COMPUTED_VALUE"""),1.6666666666666667)</f>
        <v>1.666666667</v>
      </c>
      <c r="X790" s="16">
        <f>IFERROR(__xludf.DUMMYFUNCTION("""COMPUTED_VALUE"""),2.235294117647059)</f>
        <v>2.235294118</v>
      </c>
      <c r="Y790" s="11">
        <f>IFERROR(__xludf.DUMMYFUNCTION("""COMPUTED_VALUE"""),6.0)</f>
        <v>6</v>
      </c>
      <c r="Z790" s="11">
        <f>IFERROR(__xludf.DUMMYFUNCTION("""COMPUTED_VALUE"""),1.0)</f>
        <v>1</v>
      </c>
      <c r="AA790" s="11">
        <f>IFERROR(__xludf.DUMMYFUNCTION("""COMPUTED_VALUE"""),0.0)</f>
        <v>0</v>
      </c>
      <c r="AB790" s="11">
        <f>IFERROR(__xludf.DUMMYFUNCTION("""COMPUTED_VALUE"""),11.0)</f>
        <v>11</v>
      </c>
      <c r="AC790" s="11">
        <f>IFERROR(__xludf.DUMMYFUNCTION("""COMPUTED_VALUE"""),24.0)</f>
        <v>24</v>
      </c>
      <c r="AD790" s="11">
        <f>IFERROR(__xludf.DUMMYFUNCTION("""COMPUTED_VALUE"""),65.0)</f>
        <v>65</v>
      </c>
    </row>
    <row r="791">
      <c r="A791" s="10" t="str">
        <f>IFERROR(__xludf.DUMMYFUNCTION("""COMPUTED_VALUE"""),"Veteran")</f>
        <v>Veteran</v>
      </c>
      <c r="B791" s="10" t="str">
        <f>IFERROR(__xludf.DUMMYFUNCTION("""COMPUTED_VALUE"""),"RSC008211")</f>
        <v>RSC008211</v>
      </c>
      <c r="C791" s="10" t="str">
        <f>IFERROR(__xludf.DUMMYFUNCTION("""COMPUTED_VALUE"""),"Astro-HxIIFire")</f>
        <v>Astro-HxIIFire</v>
      </c>
      <c r="D791" s="36" t="str">
        <f>IFERROR(__xludf.DUMMYFUNCTION("""COMPUTED_VALUE"""),"Legati")</f>
        <v>Legati</v>
      </c>
      <c r="E791" s="10" t="str">
        <f>IFERROR(__xludf.DUMMYFUNCTION("""COMPUTED_VALUE"""),"Solar")</f>
        <v>Solar</v>
      </c>
      <c r="F791" s="37">
        <f>IFERROR(__xludf.DUMMYFUNCTION("""COMPUTED_VALUE"""),40.27848402598463)</f>
        <v>40.27848403</v>
      </c>
      <c r="G791" s="38">
        <f>IFERROR(__xludf.DUMMYFUNCTION("""COMPUTED_VALUE"""),30.677716203325406)</f>
        <v>30.6777162</v>
      </c>
      <c r="H791" s="38">
        <f>IFERROR(__xludf.DUMMYFUNCTION("""COMPUTED_VALUE"""),35.47810011465502)</f>
        <v>35.47810011</v>
      </c>
      <c r="I791" s="14">
        <f>IFERROR(__xludf.DUMMYFUNCTION("""COMPUTED_VALUE"""),7.0)</f>
        <v>7</v>
      </c>
      <c r="J791" s="11">
        <f>IFERROR(__xludf.DUMMYFUNCTION("IFERROR(FILTER(Stats!$F:$Z,(Stats!$A:$A=$A791)*(Stats!$B:$B=$B791)))"),2.0)</f>
        <v>2</v>
      </c>
      <c r="K791" s="11">
        <f>IFERROR(__xludf.DUMMYFUNCTION("""COMPUTED_VALUE"""),5.0)</f>
        <v>5</v>
      </c>
      <c r="L791" s="12">
        <f>IFERROR(__xludf.DUMMYFUNCTION("""COMPUTED_VALUE"""),0.2857142857142857)</f>
        <v>0.2857142857</v>
      </c>
      <c r="M791" s="11">
        <f>IFERROR(__xludf.DUMMYFUNCTION("""COMPUTED_VALUE"""),1.0)</f>
        <v>1</v>
      </c>
      <c r="N791" s="11">
        <f>IFERROR(__xludf.DUMMYFUNCTION("""COMPUTED_VALUE"""),2221.0)</f>
        <v>2221</v>
      </c>
      <c r="O791" s="13">
        <f>IFERROR(__xludf.DUMMYFUNCTION("""COMPUTED_VALUE"""),6.0)</f>
        <v>6</v>
      </c>
      <c r="P791" s="14">
        <f>IFERROR(__xludf.DUMMYFUNCTION("""COMPUTED_VALUE"""),2.0)</f>
        <v>2</v>
      </c>
      <c r="Q791" s="13">
        <f>IFERROR(__xludf.DUMMYFUNCTION("""COMPUTED_VALUE"""),9.0)</f>
        <v>9</v>
      </c>
      <c r="R791" s="13">
        <f>IFERROR(__xludf.DUMMYFUNCTION("""COMPUTED_VALUE"""),17.0)</f>
        <v>17</v>
      </c>
      <c r="S791" s="15">
        <f>IFERROR(__xludf.DUMMYFUNCTION("""COMPUTED_VALUE"""),0.35294117647058826)</f>
        <v>0.3529411765</v>
      </c>
      <c r="T791" s="16">
        <f>IFERROR(__xludf.DUMMYFUNCTION("""COMPUTED_VALUE"""),317.2857142857143)</f>
        <v>317.2857143</v>
      </c>
      <c r="U791" s="16">
        <f>IFERROR(__xludf.DUMMYFUNCTION("""COMPUTED_VALUE"""),0.8571428571428571)</f>
        <v>0.8571428571</v>
      </c>
      <c r="V791" s="16">
        <f>IFERROR(__xludf.DUMMYFUNCTION("""COMPUTED_VALUE"""),0.2857142857142857)</f>
        <v>0.2857142857</v>
      </c>
      <c r="W791" s="16">
        <f>IFERROR(__xludf.DUMMYFUNCTION("""COMPUTED_VALUE"""),1.2857142857142858)</f>
        <v>1.285714286</v>
      </c>
      <c r="X791" s="16">
        <f>IFERROR(__xludf.DUMMYFUNCTION("""COMPUTED_VALUE"""),2.4285714285714284)</f>
        <v>2.428571429</v>
      </c>
      <c r="Y791" s="11">
        <f>IFERROR(__xludf.DUMMYFUNCTION("""COMPUTED_VALUE"""),2.0)</f>
        <v>2</v>
      </c>
      <c r="Z791" s="11">
        <f>IFERROR(__xludf.DUMMYFUNCTION("""COMPUTED_VALUE"""),0.0)</f>
        <v>0</v>
      </c>
      <c r="AA791" s="11">
        <f>IFERROR(__xludf.DUMMYFUNCTION("""COMPUTED_VALUE"""),0.0)</f>
        <v>0</v>
      </c>
      <c r="AB791" s="11">
        <f>IFERROR(__xludf.DUMMYFUNCTION("""COMPUTED_VALUE"""),1.0)</f>
        <v>1</v>
      </c>
      <c r="AC791" s="11">
        <f>IFERROR(__xludf.DUMMYFUNCTION("""COMPUTED_VALUE"""),6.0)</f>
        <v>6</v>
      </c>
      <c r="AD791" s="11">
        <f>IFERROR(__xludf.DUMMYFUNCTION("""COMPUTED_VALUE"""),9.0)</f>
        <v>9</v>
      </c>
    </row>
    <row r="792">
      <c r="A792" s="10" t="str">
        <f>IFERROR(__xludf.DUMMYFUNCTION("""COMPUTED_VALUE"""),"Veteran")</f>
        <v>Veteran</v>
      </c>
      <c r="B792" s="10" t="str">
        <f>IFERROR(__xludf.DUMMYFUNCTION("""COMPUTED_VALUE"""),"RSC007062")</f>
        <v>RSC007062</v>
      </c>
      <c r="C792" s="10" t="str">
        <f>IFERROR(__xludf.DUMMYFUNCTION("""COMPUTED_VALUE"""),"Ice Phoenix")</f>
        <v>Ice Phoenix</v>
      </c>
      <c r="D792" s="36" t="str">
        <f>IFERROR(__xludf.DUMMYFUNCTION("""COMPUTED_VALUE"""),"Street Rats")</f>
        <v>Street Rats</v>
      </c>
      <c r="E792" s="10" t="str">
        <f>IFERROR(__xludf.DUMMYFUNCTION("""COMPUTED_VALUE"""),"Solar")</f>
        <v>Solar</v>
      </c>
      <c r="F792" s="37">
        <f>IFERROR(__xludf.DUMMYFUNCTION("""COMPUTED_VALUE"""),36.49895717510053)</f>
        <v>36.49895718</v>
      </c>
      <c r="G792" s="38">
        <f>IFERROR(__xludf.DUMMYFUNCTION("""COMPUTED_VALUE"""),32.61305376408242)</f>
        <v>32.61305376</v>
      </c>
      <c r="H792" s="38">
        <f>IFERROR(__xludf.DUMMYFUNCTION("""COMPUTED_VALUE"""),34.556005469591476)</f>
        <v>34.55600547</v>
      </c>
      <c r="I792" s="14">
        <f>IFERROR(__xludf.DUMMYFUNCTION("""COMPUTED_VALUE"""),29.0)</f>
        <v>29</v>
      </c>
      <c r="J792" s="11">
        <f>IFERROR(__xludf.DUMMYFUNCTION("IFERROR(FILTER(Stats!$F:$Z,(Stats!$A:$A=$A792)*(Stats!$B:$B=$B792)))"),10.0)</f>
        <v>10</v>
      </c>
      <c r="K792" s="11">
        <f>IFERROR(__xludf.DUMMYFUNCTION("""COMPUTED_VALUE"""),19.0)</f>
        <v>19</v>
      </c>
      <c r="L792" s="12">
        <f>IFERROR(__xludf.DUMMYFUNCTION("""COMPUTED_VALUE"""),0.3448275862068966)</f>
        <v>0.3448275862</v>
      </c>
      <c r="M792" s="11">
        <f>IFERROR(__xludf.DUMMYFUNCTION("""COMPUTED_VALUE"""),4.0)</f>
        <v>4</v>
      </c>
      <c r="N792" s="11">
        <f>IFERROR(__xludf.DUMMYFUNCTION("""COMPUTED_VALUE"""),10158.0)</f>
        <v>10158</v>
      </c>
      <c r="O792" s="13">
        <f>IFERROR(__xludf.DUMMYFUNCTION("""COMPUTED_VALUE"""),22.0)</f>
        <v>22</v>
      </c>
      <c r="P792" s="14">
        <f>IFERROR(__xludf.DUMMYFUNCTION("""COMPUTED_VALUE"""),10.0)</f>
        <v>10</v>
      </c>
      <c r="Q792" s="13">
        <f>IFERROR(__xludf.DUMMYFUNCTION("""COMPUTED_VALUE"""),48.0)</f>
        <v>48</v>
      </c>
      <c r="R792" s="13">
        <f>IFERROR(__xludf.DUMMYFUNCTION("""COMPUTED_VALUE"""),68.0)</f>
        <v>68</v>
      </c>
      <c r="S792" s="15">
        <f>IFERROR(__xludf.DUMMYFUNCTION("""COMPUTED_VALUE"""),0.3235294117647059)</f>
        <v>0.3235294118</v>
      </c>
      <c r="T792" s="16">
        <f>IFERROR(__xludf.DUMMYFUNCTION("""COMPUTED_VALUE"""),350.2758620689655)</f>
        <v>350.2758621</v>
      </c>
      <c r="U792" s="16">
        <f>IFERROR(__xludf.DUMMYFUNCTION("""COMPUTED_VALUE"""),0.7586206896551724)</f>
        <v>0.7586206897</v>
      </c>
      <c r="V792" s="16">
        <f>IFERROR(__xludf.DUMMYFUNCTION("""COMPUTED_VALUE"""),0.3448275862068966)</f>
        <v>0.3448275862</v>
      </c>
      <c r="W792" s="16">
        <f>IFERROR(__xludf.DUMMYFUNCTION("""COMPUTED_VALUE"""),1.6551724137931034)</f>
        <v>1.655172414</v>
      </c>
      <c r="X792" s="16">
        <f>IFERROR(__xludf.DUMMYFUNCTION("""COMPUTED_VALUE"""),2.3448275862068964)</f>
        <v>2.344827586</v>
      </c>
      <c r="Y792" s="11">
        <f>IFERROR(__xludf.DUMMYFUNCTION("""COMPUTED_VALUE"""),4.0)</f>
        <v>4</v>
      </c>
      <c r="Z792" s="11">
        <f>IFERROR(__xludf.DUMMYFUNCTION("""COMPUTED_VALUE"""),3.0)</f>
        <v>3</v>
      </c>
      <c r="AA792" s="11">
        <f>IFERROR(__xludf.DUMMYFUNCTION("""COMPUTED_VALUE"""),0.0)</f>
        <v>0</v>
      </c>
      <c r="AB792" s="11">
        <f>IFERROR(__xludf.DUMMYFUNCTION("""COMPUTED_VALUE"""),4.0)</f>
        <v>4</v>
      </c>
      <c r="AC792" s="11">
        <f>IFERROR(__xludf.DUMMYFUNCTION("""COMPUTED_VALUE"""),18.0)</f>
        <v>18</v>
      </c>
      <c r="AD792" s="11">
        <f>IFERROR(__xludf.DUMMYFUNCTION("""COMPUTED_VALUE"""),47.0)</f>
        <v>47</v>
      </c>
    </row>
    <row r="793">
      <c r="A793" s="10" t="str">
        <f>IFERROR(__xludf.DUMMYFUNCTION("""COMPUTED_VALUE"""),"Veteran")</f>
        <v>Veteran</v>
      </c>
      <c r="B793" s="10" t="str">
        <f>IFERROR(__xludf.DUMMYFUNCTION("""COMPUTED_VALUE"""),"RSC000981")</f>
        <v>RSC000981</v>
      </c>
      <c r="C793" s="10" t="str">
        <f>IFERROR(__xludf.DUMMYFUNCTION("""COMPUTED_VALUE"""),"Crimson")</f>
        <v>Crimson</v>
      </c>
      <c r="D793" s="36" t="str">
        <f>IFERROR(__xludf.DUMMYFUNCTION("""COMPUTED_VALUE"""),"Legati
Folks")</f>
        <v>Legati
Folks</v>
      </c>
      <c r="E793" s="10" t="str">
        <f>IFERROR(__xludf.DUMMYFUNCTION("""COMPUTED_VALUE"""),"Solar
Lunar")</f>
        <v>Solar
Lunar</v>
      </c>
      <c r="F793" s="37">
        <f>IFERROR(__xludf.DUMMYFUNCTION("""COMPUTED_VALUE"""),36.74074265268128)</f>
        <v>36.74074265</v>
      </c>
      <c r="G793" s="38">
        <f>IFERROR(__xludf.DUMMYFUNCTION("""COMPUTED_VALUE"""),32.001072301679116)</f>
        <v>32.0010723</v>
      </c>
      <c r="H793" s="38">
        <f>IFERROR(__xludf.DUMMYFUNCTION("""COMPUTED_VALUE"""),34.3709074771802)</f>
        <v>34.37090748</v>
      </c>
      <c r="I793" s="14">
        <f>IFERROR(__xludf.DUMMYFUNCTION("""COMPUTED_VALUE"""),37.0)</f>
        <v>37</v>
      </c>
      <c r="J793" s="11">
        <f>IFERROR(__xludf.DUMMYFUNCTION("IFERROR(FILTER(Stats!$F:$Z,(Stats!$A:$A=$A793)*(Stats!$B:$B=$B793)))"),11.0)</f>
        <v>11</v>
      </c>
      <c r="K793" s="11">
        <f>IFERROR(__xludf.DUMMYFUNCTION("""COMPUTED_VALUE"""),26.0)</f>
        <v>26</v>
      </c>
      <c r="L793" s="12">
        <f>IFERROR(__xludf.DUMMYFUNCTION("""COMPUTED_VALUE"""),0.2972972972972973)</f>
        <v>0.2972972973</v>
      </c>
      <c r="M793" s="11">
        <f>IFERROR(__xludf.DUMMYFUNCTION("""COMPUTED_VALUE"""),4.0)</f>
        <v>4</v>
      </c>
      <c r="N793" s="11">
        <f>IFERROR(__xludf.DUMMYFUNCTION("""COMPUTED_VALUE"""),12668.0)</f>
        <v>12668</v>
      </c>
      <c r="O793" s="13">
        <f>IFERROR(__xludf.DUMMYFUNCTION("""COMPUTED_VALUE"""),31.0)</f>
        <v>31</v>
      </c>
      <c r="P793" s="14">
        <f>IFERROR(__xludf.DUMMYFUNCTION("""COMPUTED_VALUE"""),11.0)</f>
        <v>11</v>
      </c>
      <c r="Q793" s="13">
        <f>IFERROR(__xludf.DUMMYFUNCTION("""COMPUTED_VALUE"""),47.0)</f>
        <v>47</v>
      </c>
      <c r="R793" s="13">
        <f>IFERROR(__xludf.DUMMYFUNCTION("""COMPUTED_VALUE"""),97.0)</f>
        <v>97</v>
      </c>
      <c r="S793" s="15">
        <f>IFERROR(__xludf.DUMMYFUNCTION("""COMPUTED_VALUE"""),0.31958762886597936)</f>
        <v>0.3195876289</v>
      </c>
      <c r="T793" s="16">
        <f>IFERROR(__xludf.DUMMYFUNCTION("""COMPUTED_VALUE"""),342.3783783783784)</f>
        <v>342.3783784</v>
      </c>
      <c r="U793" s="16">
        <f>IFERROR(__xludf.DUMMYFUNCTION("""COMPUTED_VALUE"""),0.8378378378378378)</f>
        <v>0.8378378378</v>
      </c>
      <c r="V793" s="16">
        <f>IFERROR(__xludf.DUMMYFUNCTION("""COMPUTED_VALUE"""),0.2972972972972973)</f>
        <v>0.2972972973</v>
      </c>
      <c r="W793" s="16">
        <f>IFERROR(__xludf.DUMMYFUNCTION("""COMPUTED_VALUE"""),1.2702702702702702)</f>
        <v>1.27027027</v>
      </c>
      <c r="X793" s="16">
        <f>IFERROR(__xludf.DUMMYFUNCTION("""COMPUTED_VALUE"""),2.6216216216216215)</f>
        <v>2.621621622</v>
      </c>
      <c r="Y793" s="11">
        <f>IFERROR(__xludf.DUMMYFUNCTION("""COMPUTED_VALUE"""),3.0)</f>
        <v>3</v>
      </c>
      <c r="Z793" s="11">
        <f>IFERROR(__xludf.DUMMYFUNCTION("""COMPUTED_VALUE"""),0.0)</f>
        <v>0</v>
      </c>
      <c r="AA793" s="11">
        <f>IFERROR(__xludf.DUMMYFUNCTION("""COMPUTED_VALUE"""),0.0)</f>
        <v>0</v>
      </c>
      <c r="AB793" s="11">
        <f>IFERROR(__xludf.DUMMYFUNCTION("""COMPUTED_VALUE"""),6.0)</f>
        <v>6</v>
      </c>
      <c r="AC793" s="11">
        <f>IFERROR(__xludf.DUMMYFUNCTION("""COMPUTED_VALUE"""),42.0)</f>
        <v>42</v>
      </c>
      <c r="AD793" s="11">
        <f>IFERROR(__xludf.DUMMYFUNCTION("""COMPUTED_VALUE"""),54.0)</f>
        <v>54</v>
      </c>
    </row>
    <row r="794">
      <c r="A794" s="10" t="str">
        <f>IFERROR(__xludf.DUMMYFUNCTION("""COMPUTED_VALUE"""),"Veteran")</f>
        <v>Veteran</v>
      </c>
      <c r="B794" s="10" t="str">
        <f>IFERROR(__xludf.DUMMYFUNCTION("""COMPUTED_VALUE"""),"RSC007861")</f>
        <v>RSC007861</v>
      </c>
      <c r="C794" s="10" t="str">
        <f>IFERROR(__xludf.DUMMYFUNCTION("""COMPUTED_VALUE"""),"xmanyaknow")</f>
        <v>xmanyaknow</v>
      </c>
      <c r="D794" s="36" t="str">
        <f>IFERROR(__xludf.DUMMYFUNCTION("""COMPUTED_VALUE"""),"Sons of Ares")</f>
        <v>Sons of Ares</v>
      </c>
      <c r="E794" s="10" t="str">
        <f>IFERROR(__xludf.DUMMYFUNCTION("""COMPUTED_VALUE"""),"Solar")</f>
        <v>Solar</v>
      </c>
      <c r="F794" s="37">
        <f>IFERROR(__xludf.DUMMYFUNCTION("""COMPUTED_VALUE"""),25.635641646416286)</f>
        <v>25.63564165</v>
      </c>
      <c r="G794" s="38">
        <f>IFERROR(__xludf.DUMMYFUNCTION("""COMPUTED_VALUE"""),42.734218778393824)</f>
        <v>42.73421878</v>
      </c>
      <c r="H794" s="38">
        <f>IFERROR(__xludf.DUMMYFUNCTION("""COMPUTED_VALUE"""),34.18493021240506)</f>
        <v>34.18493021</v>
      </c>
      <c r="I794" s="14">
        <f>IFERROR(__xludf.DUMMYFUNCTION("""COMPUTED_VALUE"""),10.0)</f>
        <v>10</v>
      </c>
      <c r="J794" s="11">
        <f>IFERROR(__xludf.DUMMYFUNCTION("IFERROR(FILTER(Stats!$F:$Z,(Stats!$A:$A=$A794)*(Stats!$B:$B=$B794)))"),4.0)</f>
        <v>4</v>
      </c>
      <c r="K794" s="11">
        <f>IFERROR(__xludf.DUMMYFUNCTION("""COMPUTED_VALUE"""),6.0)</f>
        <v>6</v>
      </c>
      <c r="L794" s="12">
        <f>IFERROR(__xludf.DUMMYFUNCTION("""COMPUTED_VALUE"""),0.4)</f>
        <v>0.4</v>
      </c>
      <c r="M794" s="11">
        <f>IFERROR(__xludf.DUMMYFUNCTION("""COMPUTED_VALUE"""),1.0)</f>
        <v>1</v>
      </c>
      <c r="N794" s="11">
        <f>IFERROR(__xludf.DUMMYFUNCTION("""COMPUTED_VALUE"""),2992.0)</f>
        <v>2992</v>
      </c>
      <c r="O794" s="13">
        <f>IFERROR(__xludf.DUMMYFUNCTION("""COMPUTED_VALUE"""),5.0)</f>
        <v>5</v>
      </c>
      <c r="P794" s="14">
        <f>IFERROR(__xludf.DUMMYFUNCTION("""COMPUTED_VALUE"""),8.0)</f>
        <v>8</v>
      </c>
      <c r="Q794" s="13">
        <f>IFERROR(__xludf.DUMMYFUNCTION("""COMPUTED_VALUE"""),11.0)</f>
        <v>11</v>
      </c>
      <c r="R794" s="13">
        <f>IFERROR(__xludf.DUMMYFUNCTION("""COMPUTED_VALUE"""),20.0)</f>
        <v>20</v>
      </c>
      <c r="S794" s="15">
        <f>IFERROR(__xludf.DUMMYFUNCTION("""COMPUTED_VALUE"""),0.25)</f>
        <v>0.25</v>
      </c>
      <c r="T794" s="16">
        <f>IFERROR(__xludf.DUMMYFUNCTION("""COMPUTED_VALUE"""),299.2)</f>
        <v>299.2</v>
      </c>
      <c r="U794" s="16">
        <f>IFERROR(__xludf.DUMMYFUNCTION("""COMPUTED_VALUE"""),0.5)</f>
        <v>0.5</v>
      </c>
      <c r="V794" s="16">
        <f>IFERROR(__xludf.DUMMYFUNCTION("""COMPUTED_VALUE"""),0.8)</f>
        <v>0.8</v>
      </c>
      <c r="W794" s="16">
        <f>IFERROR(__xludf.DUMMYFUNCTION("""COMPUTED_VALUE"""),1.1)</f>
        <v>1.1</v>
      </c>
      <c r="X794" s="16">
        <f>IFERROR(__xludf.DUMMYFUNCTION("""COMPUTED_VALUE"""),2.0)</f>
        <v>2</v>
      </c>
      <c r="Y794" s="11">
        <f>IFERROR(__xludf.DUMMYFUNCTION("""COMPUTED_VALUE"""),2.0)</f>
        <v>2</v>
      </c>
      <c r="Z794" s="11">
        <f>IFERROR(__xludf.DUMMYFUNCTION("""COMPUTED_VALUE"""),0.0)</f>
        <v>0</v>
      </c>
      <c r="AA794" s="11">
        <f>IFERROR(__xludf.DUMMYFUNCTION("""COMPUTED_VALUE"""),1.0)</f>
        <v>1</v>
      </c>
      <c r="AB794" s="11">
        <f>IFERROR(__xludf.DUMMYFUNCTION("""COMPUTED_VALUE"""),1.0)</f>
        <v>1</v>
      </c>
      <c r="AC794" s="11">
        <f>IFERROR(__xludf.DUMMYFUNCTION("""COMPUTED_VALUE"""),9.0)</f>
        <v>9</v>
      </c>
      <c r="AD794" s="11">
        <f>IFERROR(__xludf.DUMMYFUNCTION("""COMPUTED_VALUE"""),18.0)</f>
        <v>18</v>
      </c>
    </row>
    <row r="795">
      <c r="A795" s="10" t="str">
        <f>IFERROR(__xludf.DUMMYFUNCTION("""COMPUTED_VALUE"""),"Veteran")</f>
        <v>Veteran</v>
      </c>
      <c r="B795" s="10" t="str">
        <f>IFERROR(__xludf.DUMMYFUNCTION("""COMPUTED_VALUE"""),"RSC007555")</f>
        <v>RSC007555</v>
      </c>
      <c r="C795" s="10" t="str">
        <f>IFERROR(__xludf.DUMMYFUNCTION("""COMPUTED_VALUE"""),"cjastr0-")</f>
        <v>cjastr0-</v>
      </c>
      <c r="D795" s="36" t="str">
        <f>IFERROR(__xludf.DUMMYFUNCTION("""COMPUTED_VALUE"""),"Gouda Gangsters")</f>
        <v>Gouda Gangsters</v>
      </c>
      <c r="E795" s="10" t="str">
        <f>IFERROR(__xludf.DUMMYFUNCTION("""COMPUTED_VALUE"""),"Lunar")</f>
        <v>Lunar</v>
      </c>
      <c r="F795" s="37">
        <f>IFERROR(__xludf.DUMMYFUNCTION("""COMPUTED_VALUE"""),34.836443533825566)</f>
        <v>34.83644353</v>
      </c>
      <c r="G795" s="38">
        <f>IFERROR(__xludf.DUMMYFUNCTION("""COMPUTED_VALUE"""),31.910921169750235)</f>
        <v>31.91092117</v>
      </c>
      <c r="H795" s="38">
        <f>IFERROR(__xludf.DUMMYFUNCTION("""COMPUTED_VALUE"""),33.3736823517879)</f>
        <v>33.37368235</v>
      </c>
      <c r="I795" s="14">
        <f>IFERROR(__xludf.DUMMYFUNCTION("""COMPUTED_VALUE"""),24.0)</f>
        <v>24</v>
      </c>
      <c r="J795" s="11">
        <f>IFERROR(__xludf.DUMMYFUNCTION("IFERROR(FILTER(Stats!$F:$Z,(Stats!$A:$A=$A795)*(Stats!$B:$B=$B795)))"),7.0)</f>
        <v>7</v>
      </c>
      <c r="K795" s="11">
        <f>IFERROR(__xludf.DUMMYFUNCTION("""COMPUTED_VALUE"""),17.0)</f>
        <v>17</v>
      </c>
      <c r="L795" s="12">
        <f>IFERROR(__xludf.DUMMYFUNCTION("""COMPUTED_VALUE"""),0.2916666666666667)</f>
        <v>0.2916666667</v>
      </c>
      <c r="M795" s="11">
        <f>IFERROR(__xludf.DUMMYFUNCTION("""COMPUTED_VALUE"""),3.0)</f>
        <v>3</v>
      </c>
      <c r="N795" s="11">
        <f>IFERROR(__xludf.DUMMYFUNCTION("""COMPUTED_VALUE"""),7619.0)</f>
        <v>7619</v>
      </c>
      <c r="O795" s="13">
        <f>IFERROR(__xludf.DUMMYFUNCTION("""COMPUTED_VALUE"""),16.0)</f>
        <v>16</v>
      </c>
      <c r="P795" s="14">
        <f>IFERROR(__xludf.DUMMYFUNCTION("""COMPUTED_VALUE"""),9.0)</f>
        <v>9</v>
      </c>
      <c r="Q795" s="13">
        <f>IFERROR(__xludf.DUMMYFUNCTION("""COMPUTED_VALUE"""),26.0)</f>
        <v>26</v>
      </c>
      <c r="R795" s="13">
        <f>IFERROR(__xludf.DUMMYFUNCTION("""COMPUTED_VALUE"""),48.0)</f>
        <v>48</v>
      </c>
      <c r="S795" s="15">
        <f>IFERROR(__xludf.DUMMYFUNCTION("""COMPUTED_VALUE"""),0.3333333333333333)</f>
        <v>0.3333333333</v>
      </c>
      <c r="T795" s="16">
        <f>IFERROR(__xludf.DUMMYFUNCTION("""COMPUTED_VALUE"""),317.4583333333333)</f>
        <v>317.4583333</v>
      </c>
      <c r="U795" s="16">
        <f>IFERROR(__xludf.DUMMYFUNCTION("""COMPUTED_VALUE"""),0.6666666666666666)</f>
        <v>0.6666666667</v>
      </c>
      <c r="V795" s="16">
        <f>IFERROR(__xludf.DUMMYFUNCTION("""COMPUTED_VALUE"""),0.375)</f>
        <v>0.375</v>
      </c>
      <c r="W795" s="16">
        <f>IFERROR(__xludf.DUMMYFUNCTION("""COMPUTED_VALUE"""),1.0833333333333333)</f>
        <v>1.083333333</v>
      </c>
      <c r="X795" s="16">
        <f>IFERROR(__xludf.DUMMYFUNCTION("""COMPUTED_VALUE"""),2.0)</f>
        <v>2</v>
      </c>
      <c r="Y795" s="11">
        <f>IFERROR(__xludf.DUMMYFUNCTION("""COMPUTED_VALUE"""),6.0)</f>
        <v>6</v>
      </c>
      <c r="Z795" s="11">
        <f>IFERROR(__xludf.DUMMYFUNCTION("""COMPUTED_VALUE"""),1.0)</f>
        <v>1</v>
      </c>
      <c r="AA795" s="11">
        <f>IFERROR(__xludf.DUMMYFUNCTION("""COMPUTED_VALUE"""),0.0)</f>
        <v>0</v>
      </c>
      <c r="AB795" s="11">
        <f>IFERROR(__xludf.DUMMYFUNCTION("""COMPUTED_VALUE"""),0.0)</f>
        <v>0</v>
      </c>
      <c r="AC795" s="11">
        <f>IFERROR(__xludf.DUMMYFUNCTION("""COMPUTED_VALUE"""),24.0)</f>
        <v>24</v>
      </c>
      <c r="AD795" s="11">
        <f>IFERROR(__xludf.DUMMYFUNCTION("""COMPUTED_VALUE"""),30.0)</f>
        <v>30</v>
      </c>
    </row>
    <row r="796">
      <c r="A796" s="10" t="str">
        <f>IFERROR(__xludf.DUMMYFUNCTION("""COMPUTED_VALUE"""),"Veteran")</f>
        <v>Veteran</v>
      </c>
      <c r="B796" s="10" t="str">
        <f>IFERROR(__xludf.DUMMYFUNCTION("""COMPUTED_VALUE"""),"RSC008364")</f>
        <v>RSC008364</v>
      </c>
      <c r="C796" s="10" t="str">
        <f>IFERROR(__xludf.DUMMYFUNCTION("""COMPUTED_VALUE"""),"Ken Whiffey Jr.")</f>
        <v>Ken Whiffey Jr.</v>
      </c>
      <c r="D796" s="36" t="str">
        <f>IFERROR(__xludf.DUMMYFUNCTION("""COMPUTED_VALUE"""),"Giraffes")</f>
        <v>Giraffes</v>
      </c>
      <c r="E796" s="10" t="str">
        <f>IFERROR(__xludf.DUMMYFUNCTION("""COMPUTED_VALUE"""),"Lunar")</f>
        <v>Lunar</v>
      </c>
      <c r="F796" s="37">
        <f>IFERROR(__xludf.DUMMYFUNCTION("""COMPUTED_VALUE"""),35.62371447837424)</f>
        <v>35.62371448</v>
      </c>
      <c r="G796" s="38">
        <f>IFERROR(__xludf.DUMMYFUNCTION("""COMPUTED_VALUE"""),30.70118257895849)</f>
        <v>30.70118258</v>
      </c>
      <c r="H796" s="38">
        <f>IFERROR(__xludf.DUMMYFUNCTION("""COMPUTED_VALUE"""),33.16244852866637)</f>
        <v>33.16244853</v>
      </c>
      <c r="I796" s="14">
        <f>IFERROR(__xludf.DUMMYFUNCTION("""COMPUTED_VALUE"""),36.0)</f>
        <v>36</v>
      </c>
      <c r="J796" s="11">
        <f>IFERROR(__xludf.DUMMYFUNCTION("IFERROR(FILTER(Stats!$F:$Z,(Stats!$A:$A=$A796)*(Stats!$B:$B=$B796)))"),18.0)</f>
        <v>18</v>
      </c>
      <c r="K796" s="11">
        <f>IFERROR(__xludf.DUMMYFUNCTION("""COMPUTED_VALUE"""),18.0)</f>
        <v>18</v>
      </c>
      <c r="L796" s="12">
        <f>IFERROR(__xludf.DUMMYFUNCTION("""COMPUTED_VALUE"""),0.5)</f>
        <v>0.5</v>
      </c>
      <c r="M796" s="11">
        <f>IFERROR(__xludf.DUMMYFUNCTION("""COMPUTED_VALUE"""),2.0)</f>
        <v>2</v>
      </c>
      <c r="N796" s="11">
        <f>IFERROR(__xludf.DUMMYFUNCTION("""COMPUTED_VALUE"""),11181.0)</f>
        <v>11181</v>
      </c>
      <c r="O796" s="13">
        <f>IFERROR(__xludf.DUMMYFUNCTION("""COMPUTED_VALUE"""),20.0)</f>
        <v>20</v>
      </c>
      <c r="P796" s="14">
        <f>IFERROR(__xludf.DUMMYFUNCTION("""COMPUTED_VALUE"""),12.0)</f>
        <v>12</v>
      </c>
      <c r="Q796" s="13">
        <f>IFERROR(__xludf.DUMMYFUNCTION("""COMPUTED_VALUE"""),49.0)</f>
        <v>49</v>
      </c>
      <c r="R796" s="13">
        <f>IFERROR(__xludf.DUMMYFUNCTION("""COMPUTED_VALUE"""),86.0)</f>
        <v>86</v>
      </c>
      <c r="S796" s="15">
        <f>IFERROR(__xludf.DUMMYFUNCTION("""COMPUTED_VALUE"""),0.23255813953488372)</f>
        <v>0.2325581395</v>
      </c>
      <c r="T796" s="16">
        <f>IFERROR(__xludf.DUMMYFUNCTION("""COMPUTED_VALUE"""),310.5833333333333)</f>
        <v>310.5833333</v>
      </c>
      <c r="U796" s="16">
        <f>IFERROR(__xludf.DUMMYFUNCTION("""COMPUTED_VALUE"""),0.5555555555555556)</f>
        <v>0.5555555556</v>
      </c>
      <c r="V796" s="16">
        <f>IFERROR(__xludf.DUMMYFUNCTION("""COMPUTED_VALUE"""),0.3333333333333333)</f>
        <v>0.3333333333</v>
      </c>
      <c r="W796" s="16">
        <f>IFERROR(__xludf.DUMMYFUNCTION("""COMPUTED_VALUE"""),1.3611111111111112)</f>
        <v>1.361111111</v>
      </c>
      <c r="X796" s="16">
        <f>IFERROR(__xludf.DUMMYFUNCTION("""COMPUTED_VALUE"""),2.388888888888889)</f>
        <v>2.388888889</v>
      </c>
      <c r="Y796" s="11">
        <f>IFERROR(__xludf.DUMMYFUNCTION("""COMPUTED_VALUE"""),6.0)</f>
        <v>6</v>
      </c>
      <c r="Z796" s="11">
        <f>IFERROR(__xludf.DUMMYFUNCTION("""COMPUTED_VALUE"""),0.0)</f>
        <v>0</v>
      </c>
      <c r="AA796" s="11">
        <f>IFERROR(__xludf.DUMMYFUNCTION("""COMPUTED_VALUE"""),0.0)</f>
        <v>0</v>
      </c>
      <c r="AB796" s="11">
        <f>IFERROR(__xludf.DUMMYFUNCTION("""COMPUTED_VALUE"""),5.0)</f>
        <v>5</v>
      </c>
      <c r="AC796" s="11">
        <f>IFERROR(__xludf.DUMMYFUNCTION("""COMPUTED_VALUE"""),33.0)</f>
        <v>33</v>
      </c>
      <c r="AD796" s="11">
        <f>IFERROR(__xludf.DUMMYFUNCTION("""COMPUTED_VALUE"""),52.0)</f>
        <v>52</v>
      </c>
    </row>
    <row r="797">
      <c r="A797" s="10" t="str">
        <f>IFERROR(__xludf.DUMMYFUNCTION("""COMPUTED_VALUE"""),"Veteran")</f>
        <v>Veteran</v>
      </c>
      <c r="B797" s="10" t="str">
        <f>IFERROR(__xludf.DUMMYFUNCTION("""COMPUTED_VALUE"""),"RSC007143")</f>
        <v>RSC007143</v>
      </c>
      <c r="C797" s="10" t="str">
        <f>IFERROR(__xludf.DUMMYFUNCTION("""COMPUTED_VALUE"""),"OmniMurders")</f>
        <v>OmniMurders</v>
      </c>
      <c r="D797" s="36" t="str">
        <f>IFERROR(__xludf.DUMMYFUNCTION("""COMPUTED_VALUE"""),"Folks
Banshees
Peppermint")</f>
        <v>Folks
Banshees
Peppermint</v>
      </c>
      <c r="E797" s="10" t="str">
        <f>IFERROR(__xludf.DUMMYFUNCTION("""COMPUTED_VALUE"""),"Lunar
Lunar
Solar")</f>
        <v>Lunar
Lunar
Solar</v>
      </c>
      <c r="F797" s="37">
        <f>IFERROR(__xludf.DUMMYFUNCTION("""COMPUTED_VALUE"""),38.63813529833575)</f>
        <v>38.6381353</v>
      </c>
      <c r="G797" s="38">
        <f>IFERROR(__xludf.DUMMYFUNCTION("""COMPUTED_VALUE"""),27.116982887605936)</f>
        <v>27.11698289</v>
      </c>
      <c r="H797" s="38">
        <f>IFERROR(__xludf.DUMMYFUNCTION("""COMPUTED_VALUE"""),32.87755909297084)</f>
        <v>32.87755909</v>
      </c>
      <c r="I797" s="14">
        <f>IFERROR(__xludf.DUMMYFUNCTION("""COMPUTED_VALUE"""),32.0)</f>
        <v>32</v>
      </c>
      <c r="J797" s="11">
        <f>IFERROR(__xludf.DUMMYFUNCTION("IFERROR(FILTER(Stats!$F:$Z,(Stats!$A:$A=$A797)*(Stats!$B:$B=$B797)))"),7.0)</f>
        <v>7</v>
      </c>
      <c r="K797" s="11">
        <f>IFERROR(__xludf.DUMMYFUNCTION("""COMPUTED_VALUE"""),25.0)</f>
        <v>25</v>
      </c>
      <c r="L797" s="12">
        <f>IFERROR(__xludf.DUMMYFUNCTION("""COMPUTED_VALUE"""),0.21875)</f>
        <v>0.21875</v>
      </c>
      <c r="M797" s="11">
        <f>IFERROR(__xludf.DUMMYFUNCTION("""COMPUTED_VALUE"""),1.0)</f>
        <v>1</v>
      </c>
      <c r="N797" s="11">
        <f>IFERROR(__xludf.DUMMYFUNCTION("""COMPUTED_VALUE"""),10246.0)</f>
        <v>10246</v>
      </c>
      <c r="O797" s="13">
        <f>IFERROR(__xludf.DUMMYFUNCTION("""COMPUTED_VALUE"""),21.0)</f>
        <v>21</v>
      </c>
      <c r="P797" s="14">
        <f>IFERROR(__xludf.DUMMYFUNCTION("""COMPUTED_VALUE"""),10.0)</f>
        <v>10</v>
      </c>
      <c r="Q797" s="13">
        <f>IFERROR(__xludf.DUMMYFUNCTION("""COMPUTED_VALUE"""),49.0)</f>
        <v>49</v>
      </c>
      <c r="R797" s="13">
        <f>IFERROR(__xludf.DUMMYFUNCTION("""COMPUTED_VALUE"""),75.0)</f>
        <v>75</v>
      </c>
      <c r="S797" s="15">
        <f>IFERROR(__xludf.DUMMYFUNCTION("""COMPUTED_VALUE"""),0.28)</f>
        <v>0.28</v>
      </c>
      <c r="T797" s="16">
        <f>IFERROR(__xludf.DUMMYFUNCTION("""COMPUTED_VALUE"""),320.1875)</f>
        <v>320.1875</v>
      </c>
      <c r="U797" s="16">
        <f>IFERROR(__xludf.DUMMYFUNCTION("""COMPUTED_VALUE"""),0.65625)</f>
        <v>0.65625</v>
      </c>
      <c r="V797" s="16">
        <f>IFERROR(__xludf.DUMMYFUNCTION("""COMPUTED_VALUE"""),0.3125)</f>
        <v>0.3125</v>
      </c>
      <c r="W797" s="16">
        <f>IFERROR(__xludf.DUMMYFUNCTION("""COMPUTED_VALUE"""),1.53125)</f>
        <v>1.53125</v>
      </c>
      <c r="X797" s="16">
        <f>IFERROR(__xludf.DUMMYFUNCTION("""COMPUTED_VALUE"""),2.34375)</f>
        <v>2.34375</v>
      </c>
      <c r="Y797" s="11">
        <f>IFERROR(__xludf.DUMMYFUNCTION("""COMPUTED_VALUE"""),2.0)</f>
        <v>2</v>
      </c>
      <c r="Z797" s="11">
        <f>IFERROR(__xludf.DUMMYFUNCTION("""COMPUTED_VALUE"""),0.0)</f>
        <v>0</v>
      </c>
      <c r="AA797" s="11">
        <f>IFERROR(__xludf.DUMMYFUNCTION("""COMPUTED_VALUE"""),0.0)</f>
        <v>0</v>
      </c>
      <c r="AB797" s="11">
        <f>IFERROR(__xludf.DUMMYFUNCTION("""COMPUTED_VALUE"""),5.0)</f>
        <v>5</v>
      </c>
      <c r="AC797" s="11">
        <f>IFERROR(__xludf.DUMMYFUNCTION("""COMPUTED_VALUE"""),51.0)</f>
        <v>51</v>
      </c>
      <c r="AD797" s="11">
        <f>IFERROR(__xludf.DUMMYFUNCTION("""COMPUTED_VALUE"""),51.0)</f>
        <v>51</v>
      </c>
    </row>
    <row r="798">
      <c r="A798" s="10" t="str">
        <f>IFERROR(__xludf.DUMMYFUNCTION("""COMPUTED_VALUE"""),"Veteran")</f>
        <v>Veteran</v>
      </c>
      <c r="B798" s="10" t="str">
        <f>IFERROR(__xludf.DUMMYFUNCTION("""COMPUTED_VALUE"""),"RSC006089")</f>
        <v>RSC006089</v>
      </c>
      <c r="C798" s="10" t="str">
        <f>IFERROR(__xludf.DUMMYFUNCTION("""COMPUTED_VALUE"""),"ZeroPop11")</f>
        <v>ZeroPop11</v>
      </c>
      <c r="D798" s="36" t="str">
        <f>IFERROR(__xludf.DUMMYFUNCTION("""COMPUTED_VALUE"""),"Street Rats")</f>
        <v>Street Rats</v>
      </c>
      <c r="E798" s="10" t="str">
        <f>IFERROR(__xludf.DUMMYFUNCTION("""COMPUTED_VALUE"""),"Solar")</f>
        <v>Solar</v>
      </c>
      <c r="F798" s="37">
        <f>IFERROR(__xludf.DUMMYFUNCTION("""COMPUTED_VALUE"""),36.09955252051613)</f>
        <v>36.09955252</v>
      </c>
      <c r="G798" s="38">
        <f>IFERROR(__xludf.DUMMYFUNCTION("""COMPUTED_VALUE"""),28.996663905481984)</f>
        <v>28.99666391</v>
      </c>
      <c r="H798" s="38">
        <f>IFERROR(__xludf.DUMMYFUNCTION("""COMPUTED_VALUE"""),32.548108212999054)</f>
        <v>32.54810821</v>
      </c>
      <c r="I798" s="14">
        <f>IFERROR(__xludf.DUMMYFUNCTION("""COMPUTED_VALUE"""),34.0)</f>
        <v>34</v>
      </c>
      <c r="J798" s="11">
        <f>IFERROR(__xludf.DUMMYFUNCTION("IFERROR(FILTER(Stats!$F:$Z,(Stats!$A:$A=$A798)*(Stats!$B:$B=$B798)))"),13.0)</f>
        <v>13</v>
      </c>
      <c r="K798" s="11">
        <f>IFERROR(__xludf.DUMMYFUNCTION("""COMPUTED_VALUE"""),21.0)</f>
        <v>21</v>
      </c>
      <c r="L798" s="12">
        <f>IFERROR(__xludf.DUMMYFUNCTION("""COMPUTED_VALUE"""),0.38235294117647056)</f>
        <v>0.3823529412</v>
      </c>
      <c r="M798" s="11">
        <f>IFERROR(__xludf.DUMMYFUNCTION("""COMPUTED_VALUE"""),3.0)</f>
        <v>3</v>
      </c>
      <c r="N798" s="11">
        <f>IFERROR(__xludf.DUMMYFUNCTION("""COMPUTED_VALUE"""),10999.0)</f>
        <v>10999</v>
      </c>
      <c r="O798" s="13">
        <f>IFERROR(__xludf.DUMMYFUNCTION("""COMPUTED_VALUE"""),18.0)</f>
        <v>18</v>
      </c>
      <c r="P798" s="14">
        <f>IFERROR(__xludf.DUMMYFUNCTION("""COMPUTED_VALUE"""),13.0)</f>
        <v>13</v>
      </c>
      <c r="Q798" s="13">
        <f>IFERROR(__xludf.DUMMYFUNCTION("""COMPUTED_VALUE"""),53.0)</f>
        <v>53</v>
      </c>
      <c r="R798" s="13">
        <f>IFERROR(__xludf.DUMMYFUNCTION("""COMPUTED_VALUE"""),70.0)</f>
        <v>70</v>
      </c>
      <c r="S798" s="15">
        <f>IFERROR(__xludf.DUMMYFUNCTION("""COMPUTED_VALUE"""),0.2571428571428571)</f>
        <v>0.2571428571</v>
      </c>
      <c r="T798" s="16">
        <f>IFERROR(__xludf.DUMMYFUNCTION("""COMPUTED_VALUE"""),323.5)</f>
        <v>323.5</v>
      </c>
      <c r="U798" s="16">
        <f>IFERROR(__xludf.DUMMYFUNCTION("""COMPUTED_VALUE"""),0.5294117647058824)</f>
        <v>0.5294117647</v>
      </c>
      <c r="V798" s="16">
        <f>IFERROR(__xludf.DUMMYFUNCTION("""COMPUTED_VALUE"""),0.38235294117647056)</f>
        <v>0.3823529412</v>
      </c>
      <c r="W798" s="16">
        <f>IFERROR(__xludf.DUMMYFUNCTION("""COMPUTED_VALUE"""),1.5588235294117647)</f>
        <v>1.558823529</v>
      </c>
      <c r="X798" s="16">
        <f>IFERROR(__xludf.DUMMYFUNCTION("""COMPUTED_VALUE"""),2.0588235294117645)</f>
        <v>2.058823529</v>
      </c>
      <c r="Y798" s="11">
        <f>IFERROR(__xludf.DUMMYFUNCTION("""COMPUTED_VALUE"""),3.0)</f>
        <v>3</v>
      </c>
      <c r="Z798" s="11">
        <f>IFERROR(__xludf.DUMMYFUNCTION("""COMPUTED_VALUE"""),1.0)</f>
        <v>1</v>
      </c>
      <c r="AA798" s="11">
        <f>IFERROR(__xludf.DUMMYFUNCTION("""COMPUTED_VALUE"""),0.0)</f>
        <v>0</v>
      </c>
      <c r="AB798" s="11">
        <f>IFERROR(__xludf.DUMMYFUNCTION("""COMPUTED_VALUE"""),9.0)</f>
        <v>9</v>
      </c>
      <c r="AC798" s="11">
        <f>IFERROR(__xludf.DUMMYFUNCTION("""COMPUTED_VALUE"""),6.0)</f>
        <v>6</v>
      </c>
      <c r="AD798" s="11">
        <f>IFERROR(__xludf.DUMMYFUNCTION("""COMPUTED_VALUE"""),59.0)</f>
        <v>59</v>
      </c>
    </row>
    <row r="799">
      <c r="A799" s="10" t="str">
        <f>IFERROR(__xludf.DUMMYFUNCTION("""COMPUTED_VALUE"""),"Veteran")</f>
        <v>Veteran</v>
      </c>
      <c r="B799" s="10" t="str">
        <f>IFERROR(__xludf.DUMMYFUNCTION("""COMPUTED_VALUE"""),"RSC008344")</f>
        <v>RSC008344</v>
      </c>
      <c r="C799" s="10" t="str">
        <f>IFERROR(__xludf.DUMMYFUNCTION("""COMPUTED_VALUE"""),"RealRoice_IsGetz")</f>
        <v>RealRoice_IsGetz</v>
      </c>
      <c r="D799" s="36" t="str">
        <f>IFERROR(__xludf.DUMMYFUNCTION("""COMPUTED_VALUE"""),"Singularity")</f>
        <v>Singularity</v>
      </c>
      <c r="E799" s="10" t="str">
        <f>IFERROR(__xludf.DUMMYFUNCTION("""COMPUTED_VALUE"""),"Solar")</f>
        <v>Solar</v>
      </c>
      <c r="F799" s="37">
        <f>IFERROR(__xludf.DUMMYFUNCTION("""COMPUTED_VALUE"""),30.642856023422397)</f>
        <v>30.64285602</v>
      </c>
      <c r="G799" s="38">
        <f>IFERROR(__xludf.DUMMYFUNCTION("""COMPUTED_VALUE"""),34.18501030223064)</f>
        <v>34.1850103</v>
      </c>
      <c r="H799" s="38">
        <f>IFERROR(__xludf.DUMMYFUNCTION("""COMPUTED_VALUE"""),32.41393316282652)</f>
        <v>32.41393316</v>
      </c>
      <c r="I799" s="14">
        <f>IFERROR(__xludf.DUMMYFUNCTION("""COMPUTED_VALUE"""),49.0)</f>
        <v>49</v>
      </c>
      <c r="J799" s="11">
        <f>IFERROR(__xludf.DUMMYFUNCTION("IFERROR(FILTER(Stats!$F:$Z,(Stats!$A:$A=$A799)*(Stats!$B:$B=$B799)))"),14.0)</f>
        <v>14</v>
      </c>
      <c r="K799" s="11">
        <f>IFERROR(__xludf.DUMMYFUNCTION("""COMPUTED_VALUE"""),35.0)</f>
        <v>35</v>
      </c>
      <c r="L799" s="12">
        <f>IFERROR(__xludf.DUMMYFUNCTION("""COMPUTED_VALUE"""),0.2857142857142857)</f>
        <v>0.2857142857</v>
      </c>
      <c r="M799" s="11">
        <f>IFERROR(__xludf.DUMMYFUNCTION("""COMPUTED_VALUE"""),3.0)</f>
        <v>3</v>
      </c>
      <c r="N799" s="11">
        <f>IFERROR(__xludf.DUMMYFUNCTION("""COMPUTED_VALUE"""),14805.0)</f>
        <v>14805</v>
      </c>
      <c r="O799" s="13">
        <f>IFERROR(__xludf.DUMMYFUNCTION("""COMPUTED_VALUE"""),30.0)</f>
        <v>30</v>
      </c>
      <c r="P799" s="14">
        <f>IFERROR(__xludf.DUMMYFUNCTION("""COMPUTED_VALUE"""),28.0)</f>
        <v>28</v>
      </c>
      <c r="Q799" s="13">
        <f>IFERROR(__xludf.DUMMYFUNCTION("""COMPUTED_VALUE"""),53.0)</f>
        <v>53</v>
      </c>
      <c r="R799" s="13">
        <f>IFERROR(__xludf.DUMMYFUNCTION("""COMPUTED_VALUE"""),113.0)</f>
        <v>113</v>
      </c>
      <c r="S799" s="15">
        <f>IFERROR(__xludf.DUMMYFUNCTION("""COMPUTED_VALUE"""),0.26548672566371684)</f>
        <v>0.2654867257</v>
      </c>
      <c r="T799" s="16">
        <f>IFERROR(__xludf.DUMMYFUNCTION("""COMPUTED_VALUE"""),302.14285714285717)</f>
        <v>302.1428571</v>
      </c>
      <c r="U799" s="16">
        <f>IFERROR(__xludf.DUMMYFUNCTION("""COMPUTED_VALUE"""),0.6122448979591837)</f>
        <v>0.612244898</v>
      </c>
      <c r="V799" s="16">
        <f>IFERROR(__xludf.DUMMYFUNCTION("""COMPUTED_VALUE"""),0.5714285714285714)</f>
        <v>0.5714285714</v>
      </c>
      <c r="W799" s="16">
        <f>IFERROR(__xludf.DUMMYFUNCTION("""COMPUTED_VALUE"""),1.0816326530612246)</f>
        <v>1.081632653</v>
      </c>
      <c r="X799" s="16">
        <f>IFERROR(__xludf.DUMMYFUNCTION("""COMPUTED_VALUE"""),2.306122448979592)</f>
        <v>2.306122449</v>
      </c>
      <c r="Y799" s="11">
        <f>IFERROR(__xludf.DUMMYFUNCTION("""COMPUTED_VALUE"""),10.0)</f>
        <v>10</v>
      </c>
      <c r="Z799" s="11">
        <f>IFERROR(__xludf.DUMMYFUNCTION("""COMPUTED_VALUE"""),2.0)</f>
        <v>2</v>
      </c>
      <c r="AA799" s="11">
        <f>IFERROR(__xludf.DUMMYFUNCTION("""COMPUTED_VALUE"""),0.0)</f>
        <v>0</v>
      </c>
      <c r="AB799" s="11">
        <f>IFERROR(__xludf.DUMMYFUNCTION("""COMPUTED_VALUE"""),1.0)</f>
        <v>1</v>
      </c>
      <c r="AC799" s="11">
        <f>IFERROR(__xludf.DUMMYFUNCTION("""COMPUTED_VALUE"""),53.0)</f>
        <v>53</v>
      </c>
      <c r="AD799" s="11">
        <f>IFERROR(__xludf.DUMMYFUNCTION("""COMPUTED_VALUE"""),58.0)</f>
        <v>58</v>
      </c>
    </row>
    <row r="800">
      <c r="A800" s="10" t="str">
        <f>IFERROR(__xludf.DUMMYFUNCTION("""COMPUTED_VALUE"""),"Veteran")</f>
        <v>Veteran</v>
      </c>
      <c r="B800" s="10" t="str">
        <f>IFERROR(__xludf.DUMMYFUNCTION("""COMPUTED_VALUE"""),"RSC006018")</f>
        <v>RSC006018</v>
      </c>
      <c r="C800" s="10" t="str">
        <f>IFERROR(__xludf.DUMMYFUNCTION("""COMPUTED_VALUE"""),"Braamse")</f>
        <v>Braamse</v>
      </c>
      <c r="D800" s="36" t="str">
        <f>IFERROR(__xludf.DUMMYFUNCTION("""COMPUTED_VALUE"""),"Banshees")</f>
        <v>Banshees</v>
      </c>
      <c r="E800" s="10" t="str">
        <f>IFERROR(__xludf.DUMMYFUNCTION("""COMPUTED_VALUE"""),"Lunar")</f>
        <v>Lunar</v>
      </c>
      <c r="F800" s="37">
        <f>IFERROR(__xludf.DUMMYFUNCTION("""COMPUTED_VALUE"""),40.692862069393065)</f>
        <v>40.69286207</v>
      </c>
      <c r="G800" s="38">
        <f>IFERROR(__xludf.DUMMYFUNCTION("""COMPUTED_VALUE"""),23.397608638522698)</f>
        <v>23.39760864</v>
      </c>
      <c r="H800" s="38">
        <f>IFERROR(__xludf.DUMMYFUNCTION("""COMPUTED_VALUE"""),32.04523535395788)</f>
        <v>32.04523535</v>
      </c>
      <c r="I800" s="14">
        <f>IFERROR(__xludf.DUMMYFUNCTION("""COMPUTED_VALUE"""),25.0)</f>
        <v>25</v>
      </c>
      <c r="J800" s="11">
        <f>IFERROR(__xludf.DUMMYFUNCTION("IFERROR(FILTER(Stats!$F:$Z,(Stats!$A:$A=$A800)*(Stats!$B:$B=$B800)))"),10.0)</f>
        <v>10</v>
      </c>
      <c r="K800" s="11">
        <f>IFERROR(__xludf.DUMMYFUNCTION("""COMPUTED_VALUE"""),15.0)</f>
        <v>15</v>
      </c>
      <c r="L800" s="12">
        <f>IFERROR(__xludf.DUMMYFUNCTION("""COMPUTED_VALUE"""),0.4)</f>
        <v>0.4</v>
      </c>
      <c r="M800" s="11">
        <f>IFERROR(__xludf.DUMMYFUNCTION("""COMPUTED_VALUE"""),3.0)</f>
        <v>3</v>
      </c>
      <c r="N800" s="11">
        <f>IFERROR(__xludf.DUMMYFUNCTION("""COMPUTED_VALUE"""),7578.0)</f>
        <v>7578</v>
      </c>
      <c r="O800" s="13">
        <f>IFERROR(__xludf.DUMMYFUNCTION("""COMPUTED_VALUE"""),14.0)</f>
        <v>14</v>
      </c>
      <c r="P800" s="14">
        <f>IFERROR(__xludf.DUMMYFUNCTION("""COMPUTED_VALUE"""),10.0)</f>
        <v>10</v>
      </c>
      <c r="Q800" s="13">
        <f>IFERROR(__xludf.DUMMYFUNCTION("""COMPUTED_VALUE"""),27.0)</f>
        <v>27</v>
      </c>
      <c r="R800" s="13">
        <f>IFERROR(__xludf.DUMMYFUNCTION("""COMPUTED_VALUE"""),52.0)</f>
        <v>52</v>
      </c>
      <c r="S800" s="15">
        <f>IFERROR(__xludf.DUMMYFUNCTION("""COMPUTED_VALUE"""),0.2692307692307692)</f>
        <v>0.2692307692</v>
      </c>
      <c r="T800" s="16">
        <f>IFERROR(__xludf.DUMMYFUNCTION("""COMPUTED_VALUE"""),303.12)</f>
        <v>303.12</v>
      </c>
      <c r="U800" s="16">
        <f>IFERROR(__xludf.DUMMYFUNCTION("""COMPUTED_VALUE"""),0.56)</f>
        <v>0.56</v>
      </c>
      <c r="V800" s="16">
        <f>IFERROR(__xludf.DUMMYFUNCTION("""COMPUTED_VALUE"""),0.4)</f>
        <v>0.4</v>
      </c>
      <c r="W800" s="16">
        <f>IFERROR(__xludf.DUMMYFUNCTION("""COMPUTED_VALUE"""),1.08)</f>
        <v>1.08</v>
      </c>
      <c r="X800" s="16">
        <f>IFERROR(__xludf.DUMMYFUNCTION("""COMPUTED_VALUE"""),2.08)</f>
        <v>2.08</v>
      </c>
      <c r="Y800" s="11">
        <f>IFERROR(__xludf.DUMMYFUNCTION("""COMPUTED_VALUE"""),1.0)</f>
        <v>1</v>
      </c>
      <c r="Z800" s="11">
        <f>IFERROR(__xludf.DUMMYFUNCTION("""COMPUTED_VALUE"""),1.0)</f>
        <v>1</v>
      </c>
      <c r="AA800" s="11">
        <f>IFERROR(__xludf.DUMMYFUNCTION("""COMPUTED_VALUE"""),0.0)</f>
        <v>0</v>
      </c>
      <c r="AB800" s="11">
        <f>IFERROR(__xludf.DUMMYFUNCTION("""COMPUTED_VALUE"""),1.0)</f>
        <v>1</v>
      </c>
      <c r="AC800" s="11">
        <f>IFERROR(__xludf.DUMMYFUNCTION("""COMPUTED_VALUE"""),26.0)</f>
        <v>26</v>
      </c>
      <c r="AD800" s="11">
        <f>IFERROR(__xludf.DUMMYFUNCTION("""COMPUTED_VALUE"""),36.0)</f>
        <v>36</v>
      </c>
    </row>
    <row r="801">
      <c r="A801" s="10" t="str">
        <f>IFERROR(__xludf.DUMMYFUNCTION("""COMPUTED_VALUE"""),"Veteran")</f>
        <v>Veteran</v>
      </c>
      <c r="B801" s="10" t="str">
        <f>IFERROR(__xludf.DUMMYFUNCTION("""COMPUTED_VALUE"""),"RSC005314")</f>
        <v>RSC005314</v>
      </c>
      <c r="C801" s="10" t="str">
        <f>IFERROR(__xludf.DUMMYFUNCTION("""COMPUTED_VALUE"""),"daggumbigfeet")</f>
        <v>daggumbigfeet</v>
      </c>
      <c r="D801" s="36" t="str">
        <f>IFERROR(__xludf.DUMMYFUNCTION("""COMPUTED_VALUE"""),"Mosaic Maestros")</f>
        <v>Mosaic Maestros</v>
      </c>
      <c r="E801" s="10" t="str">
        <f>IFERROR(__xludf.DUMMYFUNCTION("""COMPUTED_VALUE"""),"Solar")</f>
        <v>Solar</v>
      </c>
      <c r="F801" s="37">
        <f>IFERROR(__xludf.DUMMYFUNCTION("""COMPUTED_VALUE"""),32.400803890100505)</f>
        <v>32.40080389</v>
      </c>
      <c r="G801" s="38">
        <f>IFERROR(__xludf.DUMMYFUNCTION("""COMPUTED_VALUE"""),31.459369140638845)</f>
        <v>31.45936914</v>
      </c>
      <c r="H801" s="38">
        <f>IFERROR(__xludf.DUMMYFUNCTION("""COMPUTED_VALUE"""),31.930086515369673)</f>
        <v>31.93008652</v>
      </c>
      <c r="I801" s="14">
        <f>IFERROR(__xludf.DUMMYFUNCTION("""COMPUTED_VALUE"""),21.0)</f>
        <v>21</v>
      </c>
      <c r="J801" s="11">
        <f>IFERROR(__xludf.DUMMYFUNCTION("IFERROR(FILTER(Stats!$F:$Z,(Stats!$A:$A=$A801)*(Stats!$B:$B=$B801)))"),7.0)</f>
        <v>7</v>
      </c>
      <c r="K801" s="11">
        <f>IFERROR(__xludf.DUMMYFUNCTION("""COMPUTED_VALUE"""),14.0)</f>
        <v>14</v>
      </c>
      <c r="L801" s="12">
        <f>IFERROR(__xludf.DUMMYFUNCTION("""COMPUTED_VALUE"""),0.3333333333333333)</f>
        <v>0.3333333333</v>
      </c>
      <c r="M801" s="11">
        <f>IFERROR(__xludf.DUMMYFUNCTION("""COMPUTED_VALUE"""),1.0)</f>
        <v>1</v>
      </c>
      <c r="N801" s="11">
        <f>IFERROR(__xludf.DUMMYFUNCTION("""COMPUTED_VALUE"""),6827.0)</f>
        <v>6827</v>
      </c>
      <c r="O801" s="13">
        <f>IFERROR(__xludf.DUMMYFUNCTION("""COMPUTED_VALUE"""),16.0)</f>
        <v>16</v>
      </c>
      <c r="P801" s="14">
        <f>IFERROR(__xludf.DUMMYFUNCTION("""COMPUTED_VALUE"""),9.0)</f>
        <v>9</v>
      </c>
      <c r="Q801" s="13">
        <f>IFERROR(__xludf.DUMMYFUNCTION("""COMPUTED_VALUE"""),22.0)</f>
        <v>22</v>
      </c>
      <c r="R801" s="13">
        <f>IFERROR(__xludf.DUMMYFUNCTION("""COMPUTED_VALUE"""),47.0)</f>
        <v>47</v>
      </c>
      <c r="S801" s="15">
        <f>IFERROR(__xludf.DUMMYFUNCTION("""COMPUTED_VALUE"""),0.3404255319148936)</f>
        <v>0.3404255319</v>
      </c>
      <c r="T801" s="16">
        <f>IFERROR(__xludf.DUMMYFUNCTION("""COMPUTED_VALUE"""),325.0952380952381)</f>
        <v>325.0952381</v>
      </c>
      <c r="U801" s="16">
        <f>IFERROR(__xludf.DUMMYFUNCTION("""COMPUTED_VALUE"""),0.7619047619047619)</f>
        <v>0.7619047619</v>
      </c>
      <c r="V801" s="16">
        <f>IFERROR(__xludf.DUMMYFUNCTION("""COMPUTED_VALUE"""),0.42857142857142855)</f>
        <v>0.4285714286</v>
      </c>
      <c r="W801" s="16">
        <f>IFERROR(__xludf.DUMMYFUNCTION("""COMPUTED_VALUE"""),1.0476190476190477)</f>
        <v>1.047619048</v>
      </c>
      <c r="X801" s="16">
        <f>IFERROR(__xludf.DUMMYFUNCTION("""COMPUTED_VALUE"""),2.238095238095238)</f>
        <v>2.238095238</v>
      </c>
      <c r="Y801" s="11">
        <f>IFERROR(__xludf.DUMMYFUNCTION("""COMPUTED_VALUE"""),1.0)</f>
        <v>1</v>
      </c>
      <c r="Z801" s="11">
        <f>IFERROR(__xludf.DUMMYFUNCTION("""COMPUTED_VALUE"""),0.0)</f>
        <v>0</v>
      </c>
      <c r="AA801" s="11">
        <f>IFERROR(__xludf.DUMMYFUNCTION("""COMPUTED_VALUE"""),0.0)</f>
        <v>0</v>
      </c>
      <c r="AB801" s="11">
        <f>IFERROR(__xludf.DUMMYFUNCTION("""COMPUTED_VALUE"""),1.0)</f>
        <v>1</v>
      </c>
      <c r="AC801" s="11">
        <f>IFERROR(__xludf.DUMMYFUNCTION("""COMPUTED_VALUE"""),18.0)</f>
        <v>18</v>
      </c>
      <c r="AD801" s="11">
        <f>IFERROR(__xludf.DUMMYFUNCTION("""COMPUTED_VALUE"""),27.0)</f>
        <v>27</v>
      </c>
    </row>
    <row r="802">
      <c r="A802" s="10" t="str">
        <f>IFERROR(__xludf.DUMMYFUNCTION("""COMPUTED_VALUE"""),"Veteran")</f>
        <v>Veteran</v>
      </c>
      <c r="B802" s="10" t="str">
        <f>IFERROR(__xludf.DUMMYFUNCTION("""COMPUTED_VALUE"""),"RSC004997")</f>
        <v>RSC004997</v>
      </c>
      <c r="C802" s="10" t="str">
        <f>IFERROR(__xludf.DUMMYFUNCTION("""COMPUTED_VALUE"""),"Evelynnx")</f>
        <v>Evelynnx</v>
      </c>
      <c r="D802" s="36" t="str">
        <f>IFERROR(__xludf.DUMMYFUNCTION("""COMPUTED_VALUE"""),"Peppermint
Avalanche
Giraffes")</f>
        <v>Peppermint
Avalanche
Giraffes</v>
      </c>
      <c r="E802" s="10" t="str">
        <f>IFERROR(__xludf.DUMMYFUNCTION("""COMPUTED_VALUE"""),"Solar
Solar
Lunar")</f>
        <v>Solar
Solar
Lunar</v>
      </c>
      <c r="F802" s="37">
        <f>IFERROR(__xludf.DUMMYFUNCTION("""COMPUTED_VALUE"""),30.05363477771575)</f>
        <v>30.05363478</v>
      </c>
      <c r="G802" s="38">
        <f>IFERROR(__xludf.DUMMYFUNCTION("""COMPUTED_VALUE"""),33.72341281613856)</f>
        <v>33.72341282</v>
      </c>
      <c r="H802" s="38">
        <f>IFERROR(__xludf.DUMMYFUNCTION("""COMPUTED_VALUE"""),31.888523796927156)</f>
        <v>31.8885238</v>
      </c>
      <c r="I802" s="14">
        <f>IFERROR(__xludf.DUMMYFUNCTION("""COMPUTED_VALUE"""),9.0)</f>
        <v>9</v>
      </c>
      <c r="J802" s="11">
        <f>IFERROR(__xludf.DUMMYFUNCTION("IFERROR(FILTER(Stats!$F:$Z,(Stats!$A:$A=$A802)*(Stats!$B:$B=$B802)))"),3.0)</f>
        <v>3</v>
      </c>
      <c r="K802" s="11">
        <f>IFERROR(__xludf.DUMMYFUNCTION("""COMPUTED_VALUE"""),6.0)</f>
        <v>6</v>
      </c>
      <c r="L802" s="12">
        <f>IFERROR(__xludf.DUMMYFUNCTION("""COMPUTED_VALUE"""),0.3333333333333333)</f>
        <v>0.3333333333</v>
      </c>
      <c r="M802" s="11">
        <f>IFERROR(__xludf.DUMMYFUNCTION("""COMPUTED_VALUE"""),2.0)</f>
        <v>2</v>
      </c>
      <c r="N802" s="11">
        <f>IFERROR(__xludf.DUMMYFUNCTION("""COMPUTED_VALUE"""),2899.0)</f>
        <v>2899</v>
      </c>
      <c r="O802" s="13">
        <f>IFERROR(__xludf.DUMMYFUNCTION("""COMPUTED_VALUE"""),6.0)</f>
        <v>6</v>
      </c>
      <c r="P802" s="14">
        <f>IFERROR(__xludf.DUMMYFUNCTION("""COMPUTED_VALUE"""),5.0)</f>
        <v>5</v>
      </c>
      <c r="Q802" s="13">
        <f>IFERROR(__xludf.DUMMYFUNCTION("""COMPUTED_VALUE"""),14.0)</f>
        <v>14</v>
      </c>
      <c r="R802" s="13">
        <f>IFERROR(__xludf.DUMMYFUNCTION("""COMPUTED_VALUE"""),20.0)</f>
        <v>20</v>
      </c>
      <c r="S802" s="15">
        <f>IFERROR(__xludf.DUMMYFUNCTION("""COMPUTED_VALUE"""),0.3)</f>
        <v>0.3</v>
      </c>
      <c r="T802" s="16">
        <f>IFERROR(__xludf.DUMMYFUNCTION("""COMPUTED_VALUE"""),322.1111111111111)</f>
        <v>322.1111111</v>
      </c>
      <c r="U802" s="16">
        <f>IFERROR(__xludf.DUMMYFUNCTION("""COMPUTED_VALUE"""),0.6666666666666666)</f>
        <v>0.6666666667</v>
      </c>
      <c r="V802" s="16">
        <f>IFERROR(__xludf.DUMMYFUNCTION("""COMPUTED_VALUE"""),0.5555555555555556)</f>
        <v>0.5555555556</v>
      </c>
      <c r="W802" s="16">
        <f>IFERROR(__xludf.DUMMYFUNCTION("""COMPUTED_VALUE"""),1.5555555555555556)</f>
        <v>1.555555556</v>
      </c>
      <c r="X802" s="16">
        <f>IFERROR(__xludf.DUMMYFUNCTION("""COMPUTED_VALUE"""),2.2222222222222223)</f>
        <v>2.222222222</v>
      </c>
      <c r="Y802" s="11">
        <f>IFERROR(__xludf.DUMMYFUNCTION("""COMPUTED_VALUE"""),2.0)</f>
        <v>2</v>
      </c>
      <c r="Z802" s="11">
        <f>IFERROR(__xludf.DUMMYFUNCTION("""COMPUTED_VALUE"""),1.0)</f>
        <v>1</v>
      </c>
      <c r="AA802" s="11">
        <f>IFERROR(__xludf.DUMMYFUNCTION("""COMPUTED_VALUE"""),0.0)</f>
        <v>0</v>
      </c>
      <c r="AB802" s="11">
        <f>IFERROR(__xludf.DUMMYFUNCTION("""COMPUTED_VALUE"""),3.0)</f>
        <v>3</v>
      </c>
      <c r="AC802" s="11">
        <f>IFERROR(__xludf.DUMMYFUNCTION("""COMPUTED_VALUE"""),11.0)</f>
        <v>11</v>
      </c>
      <c r="AD802" s="11">
        <f>IFERROR(__xludf.DUMMYFUNCTION("""COMPUTED_VALUE"""),12.0)</f>
        <v>12</v>
      </c>
    </row>
    <row r="803">
      <c r="A803" s="10" t="str">
        <f>IFERROR(__xludf.DUMMYFUNCTION("""COMPUTED_VALUE"""),"Veteran")</f>
        <v>Veteran</v>
      </c>
      <c r="B803" s="10" t="str">
        <f>IFERROR(__xludf.DUMMYFUNCTION("""COMPUTED_VALUE"""),"RSC007618")</f>
        <v>RSC007618</v>
      </c>
      <c r="C803" s="10" t="str">
        <f>IFERROR(__xludf.DUMMYFUNCTION("""COMPUTED_VALUE"""),"Robbie")</f>
        <v>Robbie</v>
      </c>
      <c r="D803" s="36" t="str">
        <f>IFERROR(__xludf.DUMMYFUNCTION("""COMPUTED_VALUE"""),"Blacksmiths")</f>
        <v>Blacksmiths</v>
      </c>
      <c r="E803" s="10" t="str">
        <f>IFERROR(__xludf.DUMMYFUNCTION("""COMPUTED_VALUE"""),"Lunar")</f>
        <v>Lunar</v>
      </c>
      <c r="F803" s="37">
        <f>IFERROR(__xludf.DUMMYFUNCTION("""COMPUTED_VALUE"""),34.15940571401075)</f>
        <v>34.15940571</v>
      </c>
      <c r="G803" s="38">
        <f>IFERROR(__xludf.DUMMYFUNCTION("""COMPUTED_VALUE"""),29.515364017093766)</f>
        <v>29.51536402</v>
      </c>
      <c r="H803" s="38">
        <f>IFERROR(__xludf.DUMMYFUNCTION("""COMPUTED_VALUE"""),31.83738486555226)</f>
        <v>31.83738487</v>
      </c>
      <c r="I803" s="14">
        <f>IFERROR(__xludf.DUMMYFUNCTION("""COMPUTED_VALUE"""),12.0)</f>
        <v>12</v>
      </c>
      <c r="J803" s="11">
        <f>IFERROR(__xludf.DUMMYFUNCTION("IFERROR(FILTER(Stats!$F:$Z,(Stats!$A:$A=$A803)*(Stats!$B:$B=$B803)))"),4.0)</f>
        <v>4</v>
      </c>
      <c r="K803" s="11">
        <f>IFERROR(__xludf.DUMMYFUNCTION("""COMPUTED_VALUE"""),8.0)</f>
        <v>8</v>
      </c>
      <c r="L803" s="12">
        <f>IFERROR(__xludf.DUMMYFUNCTION("""COMPUTED_VALUE"""),0.3333333333333333)</f>
        <v>0.3333333333</v>
      </c>
      <c r="M803" s="11">
        <f>IFERROR(__xludf.DUMMYFUNCTION("""COMPUTED_VALUE"""),1.0)</f>
        <v>1</v>
      </c>
      <c r="N803" s="11">
        <f>IFERROR(__xludf.DUMMYFUNCTION("""COMPUTED_VALUE"""),3222.0)</f>
        <v>3222</v>
      </c>
      <c r="O803" s="13">
        <f>IFERROR(__xludf.DUMMYFUNCTION("""COMPUTED_VALUE"""),7.0)</f>
        <v>7</v>
      </c>
      <c r="P803" s="14">
        <f>IFERROR(__xludf.DUMMYFUNCTION("""COMPUTED_VALUE"""),3.0)</f>
        <v>3</v>
      </c>
      <c r="Q803" s="13">
        <f>IFERROR(__xludf.DUMMYFUNCTION("""COMPUTED_VALUE"""),11.0)</f>
        <v>11</v>
      </c>
      <c r="R803" s="13">
        <f>IFERROR(__xludf.DUMMYFUNCTION("""COMPUTED_VALUE"""),33.0)</f>
        <v>33</v>
      </c>
      <c r="S803" s="15">
        <f>IFERROR(__xludf.DUMMYFUNCTION("""COMPUTED_VALUE"""),0.21212121212121213)</f>
        <v>0.2121212121</v>
      </c>
      <c r="T803" s="16">
        <f>IFERROR(__xludf.DUMMYFUNCTION("""COMPUTED_VALUE"""),268.5)</f>
        <v>268.5</v>
      </c>
      <c r="U803" s="16">
        <f>IFERROR(__xludf.DUMMYFUNCTION("""COMPUTED_VALUE"""),0.5833333333333334)</f>
        <v>0.5833333333</v>
      </c>
      <c r="V803" s="16">
        <f>IFERROR(__xludf.DUMMYFUNCTION("""COMPUTED_VALUE"""),0.25)</f>
        <v>0.25</v>
      </c>
      <c r="W803" s="16">
        <f>IFERROR(__xludf.DUMMYFUNCTION("""COMPUTED_VALUE"""),0.9166666666666666)</f>
        <v>0.9166666667</v>
      </c>
      <c r="X803" s="16">
        <f>IFERROR(__xludf.DUMMYFUNCTION("""COMPUTED_VALUE"""),2.75)</f>
        <v>2.75</v>
      </c>
      <c r="Y803" s="11">
        <f>IFERROR(__xludf.DUMMYFUNCTION("""COMPUTED_VALUE"""),0.0)</f>
        <v>0</v>
      </c>
      <c r="Z803" s="11">
        <f>IFERROR(__xludf.DUMMYFUNCTION("""COMPUTED_VALUE"""),1.0)</f>
        <v>1</v>
      </c>
      <c r="AA803" s="11">
        <f>IFERROR(__xludf.DUMMYFUNCTION("""COMPUTED_VALUE"""),0.0)</f>
        <v>0</v>
      </c>
      <c r="AB803" s="11">
        <f>IFERROR(__xludf.DUMMYFUNCTION("""COMPUTED_VALUE"""),1.0)</f>
        <v>1</v>
      </c>
      <c r="AC803" s="11">
        <f>IFERROR(__xludf.DUMMYFUNCTION("""COMPUTED_VALUE"""),12.0)</f>
        <v>12</v>
      </c>
      <c r="AD803" s="11">
        <f>IFERROR(__xludf.DUMMYFUNCTION("""COMPUTED_VALUE"""),12.0)</f>
        <v>12</v>
      </c>
    </row>
    <row r="804">
      <c r="A804" s="10" t="str">
        <f>IFERROR(__xludf.DUMMYFUNCTION("""COMPUTED_VALUE"""),"Veteran")</f>
        <v>Veteran</v>
      </c>
      <c r="B804" s="10" t="str">
        <f>IFERROR(__xludf.DUMMYFUNCTION("""COMPUTED_VALUE"""),"RSC005689")</f>
        <v>RSC005689</v>
      </c>
      <c r="C804" s="10" t="str">
        <f>IFERROR(__xludf.DUMMYFUNCTION("""COMPUTED_VALUE"""),"Wntr")</f>
        <v>Wntr</v>
      </c>
      <c r="D804" s="36" t="str">
        <f>IFERROR(__xludf.DUMMYFUNCTION("""COMPUTED_VALUE"""),"Berserkers")</f>
        <v>Berserkers</v>
      </c>
      <c r="E804" s="10" t="str">
        <f>IFERROR(__xludf.DUMMYFUNCTION("""COMPUTED_VALUE"""),"Lunar")</f>
        <v>Lunar</v>
      </c>
      <c r="F804" s="37">
        <f>IFERROR(__xludf.DUMMYFUNCTION("""COMPUTED_VALUE"""),19.461651777937565)</f>
        <v>19.46165178</v>
      </c>
      <c r="G804" s="38">
        <f>IFERROR(__xludf.DUMMYFUNCTION("""COMPUTED_VALUE"""),39.23113979840825)</f>
        <v>39.2311398</v>
      </c>
      <c r="H804" s="38">
        <f>IFERROR(__xludf.DUMMYFUNCTION("""COMPUTED_VALUE"""),29.346395788172906)</f>
        <v>29.34639579</v>
      </c>
      <c r="I804" s="14">
        <f>IFERROR(__xludf.DUMMYFUNCTION("""COMPUTED_VALUE"""),4.0)</f>
        <v>4</v>
      </c>
      <c r="J804" s="11">
        <f>IFERROR(__xludf.DUMMYFUNCTION("IFERROR(FILTER(Stats!$F:$Z,(Stats!$A:$A=$A804)*(Stats!$B:$B=$B804)))"),0.0)</f>
        <v>0</v>
      </c>
      <c r="K804" s="11">
        <f>IFERROR(__xludf.DUMMYFUNCTION("""COMPUTED_VALUE"""),4.0)</f>
        <v>4</v>
      </c>
      <c r="L804" s="12">
        <f>IFERROR(__xludf.DUMMYFUNCTION("""COMPUTED_VALUE"""),0.0)</f>
        <v>0</v>
      </c>
      <c r="M804" s="11">
        <f>IFERROR(__xludf.DUMMYFUNCTION("""COMPUTED_VALUE"""),0.0)</f>
        <v>0</v>
      </c>
      <c r="N804" s="11">
        <f>IFERROR(__xludf.DUMMYFUNCTION("""COMPUTED_VALUE"""),1101.0)</f>
        <v>1101</v>
      </c>
      <c r="O804" s="13">
        <f>IFERROR(__xludf.DUMMYFUNCTION("""COMPUTED_VALUE"""),1.0)</f>
        <v>1</v>
      </c>
      <c r="P804" s="14">
        <f>IFERROR(__xludf.DUMMYFUNCTION("""COMPUTED_VALUE"""),4.0)</f>
        <v>4</v>
      </c>
      <c r="Q804" s="13">
        <f>IFERROR(__xludf.DUMMYFUNCTION("""COMPUTED_VALUE"""),5.0)</f>
        <v>5</v>
      </c>
      <c r="R804" s="13">
        <f>IFERROR(__xludf.DUMMYFUNCTION("""COMPUTED_VALUE"""),11.0)</f>
        <v>11</v>
      </c>
      <c r="S804" s="15">
        <f>IFERROR(__xludf.DUMMYFUNCTION("""COMPUTED_VALUE"""),0.09090909090909091)</f>
        <v>0.09090909091</v>
      </c>
      <c r="T804" s="16">
        <f>IFERROR(__xludf.DUMMYFUNCTION("""COMPUTED_VALUE"""),275.25)</f>
        <v>275.25</v>
      </c>
      <c r="U804" s="16">
        <f>IFERROR(__xludf.DUMMYFUNCTION("""COMPUTED_VALUE"""),0.25)</f>
        <v>0.25</v>
      </c>
      <c r="V804" s="16">
        <f>IFERROR(__xludf.DUMMYFUNCTION("""COMPUTED_VALUE"""),1.0)</f>
        <v>1</v>
      </c>
      <c r="W804" s="16">
        <f>IFERROR(__xludf.DUMMYFUNCTION("""COMPUTED_VALUE"""),1.25)</f>
        <v>1.25</v>
      </c>
      <c r="X804" s="16">
        <f>IFERROR(__xludf.DUMMYFUNCTION("""COMPUTED_VALUE"""),2.75)</f>
        <v>2.75</v>
      </c>
      <c r="Y804" s="11">
        <f>IFERROR(__xludf.DUMMYFUNCTION("""COMPUTED_VALUE"""),1.0)</f>
        <v>1</v>
      </c>
      <c r="Z804" s="11">
        <f>IFERROR(__xludf.DUMMYFUNCTION("""COMPUTED_VALUE"""),0.0)</f>
        <v>0</v>
      </c>
      <c r="AA804" s="11">
        <f>IFERROR(__xludf.DUMMYFUNCTION("""COMPUTED_VALUE"""),0.0)</f>
        <v>0</v>
      </c>
      <c r="AB804" s="11">
        <f>IFERROR(__xludf.DUMMYFUNCTION("""COMPUTED_VALUE"""),0.0)</f>
        <v>0</v>
      </c>
      <c r="AC804" s="11">
        <f>IFERROR(__xludf.DUMMYFUNCTION("""COMPUTED_VALUE"""),5.0)</f>
        <v>5</v>
      </c>
      <c r="AD804" s="11">
        <f>IFERROR(__xludf.DUMMYFUNCTION("""COMPUTED_VALUE"""),7.0)</f>
        <v>7</v>
      </c>
    </row>
    <row r="805">
      <c r="A805" s="10" t="str">
        <f>IFERROR(__xludf.DUMMYFUNCTION("""COMPUTED_VALUE"""),"Veteran")</f>
        <v>Veteran</v>
      </c>
      <c r="B805" s="10" t="str">
        <f>IFERROR(__xludf.DUMMYFUNCTION("""COMPUTED_VALUE"""),"RSC005355")</f>
        <v>RSC005355</v>
      </c>
      <c r="C805" s="10" t="str">
        <f>IFERROR(__xludf.DUMMYFUNCTION("""COMPUTED_VALUE"""),"Armando")</f>
        <v>Armando</v>
      </c>
      <c r="D805" s="36" t="str">
        <f>IFERROR(__xludf.DUMMYFUNCTION("""COMPUTED_VALUE"""),"Gorillas")</f>
        <v>Gorillas</v>
      </c>
      <c r="E805" s="10" t="str">
        <f>IFERROR(__xludf.DUMMYFUNCTION("""COMPUTED_VALUE"""),"Solar")</f>
        <v>Solar</v>
      </c>
      <c r="F805" s="37">
        <f>IFERROR(__xludf.DUMMYFUNCTION("""COMPUTED_VALUE"""),31.134559727090494)</f>
        <v>31.13455973</v>
      </c>
      <c r="G805" s="38">
        <f>IFERROR(__xludf.DUMMYFUNCTION("""COMPUTED_VALUE"""),24.65863530398397)</f>
        <v>24.6586353</v>
      </c>
      <c r="H805" s="38">
        <f>IFERROR(__xludf.DUMMYFUNCTION("""COMPUTED_VALUE"""),27.89659751553723)</f>
        <v>27.89659752</v>
      </c>
      <c r="I805" s="14">
        <f>IFERROR(__xludf.DUMMYFUNCTION("""COMPUTED_VALUE"""),40.0)</f>
        <v>40</v>
      </c>
      <c r="J805" s="11">
        <f>IFERROR(__xludf.DUMMYFUNCTION("IFERROR(FILTER(Stats!$F:$Z,(Stats!$A:$A=$A805)*(Stats!$B:$B=$B805)))"),17.0)</f>
        <v>17</v>
      </c>
      <c r="K805" s="11">
        <f>IFERROR(__xludf.DUMMYFUNCTION("""COMPUTED_VALUE"""),23.0)</f>
        <v>23</v>
      </c>
      <c r="L805" s="12">
        <f>IFERROR(__xludf.DUMMYFUNCTION("""COMPUTED_VALUE"""),0.425)</f>
        <v>0.425</v>
      </c>
      <c r="M805" s="11">
        <f>IFERROR(__xludf.DUMMYFUNCTION("""COMPUTED_VALUE"""),2.0)</f>
        <v>2</v>
      </c>
      <c r="N805" s="11">
        <f>IFERROR(__xludf.DUMMYFUNCTION("""COMPUTED_VALUE"""),11946.0)</f>
        <v>11946</v>
      </c>
      <c r="O805" s="13">
        <f>IFERROR(__xludf.DUMMYFUNCTION("""COMPUTED_VALUE"""),24.0)</f>
        <v>24</v>
      </c>
      <c r="P805" s="14">
        <f>IFERROR(__xludf.DUMMYFUNCTION("""COMPUTED_VALUE"""),17.0)</f>
        <v>17</v>
      </c>
      <c r="Q805" s="13">
        <f>IFERROR(__xludf.DUMMYFUNCTION("""COMPUTED_VALUE"""),50.0)</f>
        <v>50</v>
      </c>
      <c r="R805" s="13">
        <f>IFERROR(__xludf.DUMMYFUNCTION("""COMPUTED_VALUE"""),74.0)</f>
        <v>74</v>
      </c>
      <c r="S805" s="15">
        <f>IFERROR(__xludf.DUMMYFUNCTION("""COMPUTED_VALUE"""),0.32432432432432434)</f>
        <v>0.3243243243</v>
      </c>
      <c r="T805" s="16">
        <f>IFERROR(__xludf.DUMMYFUNCTION("""COMPUTED_VALUE"""),298.65)</f>
        <v>298.65</v>
      </c>
      <c r="U805" s="16">
        <f>IFERROR(__xludf.DUMMYFUNCTION("""COMPUTED_VALUE"""),0.6)</f>
        <v>0.6</v>
      </c>
      <c r="V805" s="16">
        <f>IFERROR(__xludf.DUMMYFUNCTION("""COMPUTED_VALUE"""),0.425)</f>
        <v>0.425</v>
      </c>
      <c r="W805" s="16">
        <f>IFERROR(__xludf.DUMMYFUNCTION("""COMPUTED_VALUE"""),1.25)</f>
        <v>1.25</v>
      </c>
      <c r="X805" s="16">
        <f>IFERROR(__xludf.DUMMYFUNCTION("""COMPUTED_VALUE"""),1.85)</f>
        <v>1.85</v>
      </c>
      <c r="Y805" s="11">
        <f>IFERROR(__xludf.DUMMYFUNCTION("""COMPUTED_VALUE"""),4.0)</f>
        <v>4</v>
      </c>
      <c r="Z805" s="11">
        <f>IFERROR(__xludf.DUMMYFUNCTION("""COMPUTED_VALUE"""),1.0)</f>
        <v>1</v>
      </c>
      <c r="AA805" s="11">
        <f>IFERROR(__xludf.DUMMYFUNCTION("""COMPUTED_VALUE"""),0.0)</f>
        <v>0</v>
      </c>
      <c r="AB805" s="11">
        <f>IFERROR(__xludf.DUMMYFUNCTION("""COMPUTED_VALUE"""),3.0)</f>
        <v>3</v>
      </c>
      <c r="AC805" s="11">
        <f>IFERROR(__xludf.DUMMYFUNCTION("""COMPUTED_VALUE"""),35.0)</f>
        <v>35</v>
      </c>
      <c r="AD805" s="11">
        <f>IFERROR(__xludf.DUMMYFUNCTION("""COMPUTED_VALUE"""),54.0)</f>
        <v>54</v>
      </c>
    </row>
    <row r="806">
      <c r="A806" s="10" t="str">
        <f>IFERROR(__xludf.DUMMYFUNCTION("""COMPUTED_VALUE"""),"Veteran")</f>
        <v>Veteran</v>
      </c>
      <c r="B806" s="10" t="str">
        <f>IFERROR(__xludf.DUMMYFUNCTION("""COMPUTED_VALUE"""),"RSC005294")</f>
        <v>RSC005294</v>
      </c>
      <c r="C806" s="10" t="str">
        <f>IFERROR(__xludf.DUMMYFUNCTION("""COMPUTED_VALUE"""),"mogulmaniac5480")</f>
        <v>mogulmaniac5480</v>
      </c>
      <c r="D806" s="36" t="str">
        <f>IFERROR(__xludf.DUMMYFUNCTION("""COMPUTED_VALUE"""),"Gorillas")</f>
        <v>Gorillas</v>
      </c>
      <c r="E806" s="10" t="str">
        <f>IFERROR(__xludf.DUMMYFUNCTION("""COMPUTED_VALUE"""),"Solar")</f>
        <v>Solar</v>
      </c>
      <c r="F806" s="37">
        <f>IFERROR(__xludf.DUMMYFUNCTION("""COMPUTED_VALUE"""),24.33044076202546)</f>
        <v>24.33044076</v>
      </c>
      <c r="G806" s="38">
        <f>IFERROR(__xludf.DUMMYFUNCTION("""COMPUTED_VALUE"""),20.147958893817318)</f>
        <v>20.14795889</v>
      </c>
      <c r="H806" s="38">
        <f>IFERROR(__xludf.DUMMYFUNCTION("""COMPUTED_VALUE"""),22.23919982792139)</f>
        <v>22.23919983</v>
      </c>
      <c r="I806" s="14">
        <f>IFERROR(__xludf.DUMMYFUNCTION("""COMPUTED_VALUE"""),16.0)</f>
        <v>16</v>
      </c>
      <c r="J806" s="11">
        <f>IFERROR(__xludf.DUMMYFUNCTION("IFERROR(FILTER(Stats!$F:$Z,(Stats!$A:$A=$A806)*(Stats!$B:$B=$B806)))"),4.0)</f>
        <v>4</v>
      </c>
      <c r="K806" s="11">
        <f>IFERROR(__xludf.DUMMYFUNCTION("""COMPUTED_VALUE"""),12.0)</f>
        <v>12</v>
      </c>
      <c r="L806" s="12">
        <f>IFERROR(__xludf.DUMMYFUNCTION("""COMPUTED_VALUE"""),0.25)</f>
        <v>0.25</v>
      </c>
      <c r="M806" s="11">
        <f>IFERROR(__xludf.DUMMYFUNCTION("""COMPUTED_VALUE"""),3.0)</f>
        <v>3</v>
      </c>
      <c r="N806" s="11">
        <f>IFERROR(__xludf.DUMMYFUNCTION("""COMPUTED_VALUE"""),4901.0)</f>
        <v>4901</v>
      </c>
      <c r="O806" s="13">
        <f>IFERROR(__xludf.DUMMYFUNCTION("""COMPUTED_VALUE"""),8.0)</f>
        <v>8</v>
      </c>
      <c r="P806" s="14">
        <f>IFERROR(__xludf.DUMMYFUNCTION("""COMPUTED_VALUE"""),5.0)</f>
        <v>5</v>
      </c>
      <c r="Q806" s="13">
        <f>IFERROR(__xludf.DUMMYFUNCTION("""COMPUTED_VALUE"""),25.0)</f>
        <v>25</v>
      </c>
      <c r="R806" s="13">
        <f>IFERROR(__xludf.DUMMYFUNCTION("""COMPUTED_VALUE"""),37.0)</f>
        <v>37</v>
      </c>
      <c r="S806" s="15">
        <f>IFERROR(__xludf.DUMMYFUNCTION("""COMPUTED_VALUE"""),0.21621621621621623)</f>
        <v>0.2162162162</v>
      </c>
      <c r="T806" s="16">
        <f>IFERROR(__xludf.DUMMYFUNCTION("""COMPUTED_VALUE"""),306.3125)</f>
        <v>306.3125</v>
      </c>
      <c r="U806" s="16">
        <f>IFERROR(__xludf.DUMMYFUNCTION("""COMPUTED_VALUE"""),0.5)</f>
        <v>0.5</v>
      </c>
      <c r="V806" s="16">
        <f>IFERROR(__xludf.DUMMYFUNCTION("""COMPUTED_VALUE"""),0.3125)</f>
        <v>0.3125</v>
      </c>
      <c r="W806" s="16">
        <f>IFERROR(__xludf.DUMMYFUNCTION("""COMPUTED_VALUE"""),1.5625)</f>
        <v>1.5625</v>
      </c>
      <c r="X806" s="16">
        <f>IFERROR(__xludf.DUMMYFUNCTION("""COMPUTED_VALUE"""),2.3125)</f>
        <v>2.3125</v>
      </c>
      <c r="Y806" s="11">
        <f>IFERROR(__xludf.DUMMYFUNCTION("""COMPUTED_VALUE"""),2.0)</f>
        <v>2</v>
      </c>
      <c r="Z806" s="11">
        <f>IFERROR(__xludf.DUMMYFUNCTION("""COMPUTED_VALUE"""),0.0)</f>
        <v>0</v>
      </c>
      <c r="AA806" s="11">
        <f>IFERROR(__xludf.DUMMYFUNCTION("""COMPUTED_VALUE"""),0.0)</f>
        <v>0</v>
      </c>
      <c r="AB806" s="11">
        <f>IFERROR(__xludf.DUMMYFUNCTION("""COMPUTED_VALUE"""),3.0)</f>
        <v>3</v>
      </c>
      <c r="AC806" s="11">
        <f>IFERROR(__xludf.DUMMYFUNCTION("""COMPUTED_VALUE"""),22.0)</f>
        <v>22</v>
      </c>
      <c r="AD806" s="11">
        <f>IFERROR(__xludf.DUMMYFUNCTION("""COMPUTED_VALUE"""),23.0)</f>
        <v>23</v>
      </c>
    </row>
    <row r="807">
      <c r="A807" s="10" t="str">
        <f>IFERROR(__xludf.DUMMYFUNCTION("""COMPUTED_VALUE"""),"Veteran")</f>
        <v>Veteran</v>
      </c>
      <c r="B807" s="10" t="str">
        <f>IFERROR(__xludf.DUMMYFUNCTION("""COMPUTED_VALUE"""),"RSC006639")</f>
        <v>RSC006639</v>
      </c>
      <c r="C807" s="10" t="str">
        <f>IFERROR(__xludf.DUMMYFUNCTION("""COMPUTED_VALUE"""),"Zxphyr")</f>
        <v>Zxphyr</v>
      </c>
      <c r="D807" s="36" t="str">
        <f>IFERROR(__xludf.DUMMYFUNCTION("""COMPUTED_VALUE"""),"Avalanche")</f>
        <v>Avalanche</v>
      </c>
      <c r="E807" s="10" t="str">
        <f>IFERROR(__xludf.DUMMYFUNCTION("""COMPUTED_VALUE"""),"Solar")</f>
        <v>Solar</v>
      </c>
      <c r="F807" s="37">
        <f>IFERROR(__xludf.DUMMYFUNCTION("""COMPUTED_VALUE"""),29.59411443066825)</f>
        <v>29.59411443</v>
      </c>
      <c r="G807" s="38">
        <f>IFERROR(__xludf.DUMMYFUNCTION("""COMPUTED_VALUE"""),14.698727931184933)</f>
        <v>14.69872793</v>
      </c>
      <c r="H807" s="38">
        <f>IFERROR(__xludf.DUMMYFUNCTION("""COMPUTED_VALUE"""),22.14642118092659)</f>
        <v>22.14642118</v>
      </c>
      <c r="I807" s="14">
        <f>IFERROR(__xludf.DUMMYFUNCTION("""COMPUTED_VALUE"""),12.0)</f>
        <v>12</v>
      </c>
      <c r="J807" s="11">
        <f>IFERROR(__xludf.DUMMYFUNCTION("IFERROR(FILTER(Stats!$F:$Z,(Stats!$A:$A=$A807)*(Stats!$B:$B=$B807)))"),4.0)</f>
        <v>4</v>
      </c>
      <c r="K807" s="11">
        <f>IFERROR(__xludf.DUMMYFUNCTION("""COMPUTED_VALUE"""),8.0)</f>
        <v>8</v>
      </c>
      <c r="L807" s="12">
        <f>IFERROR(__xludf.DUMMYFUNCTION("""COMPUTED_VALUE"""),0.3333333333333333)</f>
        <v>0.3333333333</v>
      </c>
      <c r="M807" s="11">
        <f>IFERROR(__xludf.DUMMYFUNCTION("""COMPUTED_VALUE"""),2.0)</f>
        <v>2</v>
      </c>
      <c r="N807" s="11">
        <f>IFERROR(__xludf.DUMMYFUNCTION("""COMPUTED_VALUE"""),3641.0)</f>
        <v>3641</v>
      </c>
      <c r="O807" s="13">
        <f>IFERROR(__xludf.DUMMYFUNCTION("""COMPUTED_VALUE"""),10.0)</f>
        <v>10</v>
      </c>
      <c r="P807" s="14">
        <f>IFERROR(__xludf.DUMMYFUNCTION("""COMPUTED_VALUE"""),1.0)</f>
        <v>1</v>
      </c>
      <c r="Q807" s="13">
        <f>IFERROR(__xludf.DUMMYFUNCTION("""COMPUTED_VALUE"""),18.0)</f>
        <v>18</v>
      </c>
      <c r="R807" s="13">
        <f>IFERROR(__xludf.DUMMYFUNCTION("""COMPUTED_VALUE"""),30.0)</f>
        <v>30</v>
      </c>
      <c r="S807" s="15">
        <f>IFERROR(__xludf.DUMMYFUNCTION("""COMPUTED_VALUE"""),0.3333333333333333)</f>
        <v>0.3333333333</v>
      </c>
      <c r="T807" s="16">
        <f>IFERROR(__xludf.DUMMYFUNCTION("""COMPUTED_VALUE"""),303.4166666666667)</f>
        <v>303.4166667</v>
      </c>
      <c r="U807" s="16">
        <f>IFERROR(__xludf.DUMMYFUNCTION("""COMPUTED_VALUE"""),0.8333333333333334)</f>
        <v>0.8333333333</v>
      </c>
      <c r="V807" s="16">
        <f>IFERROR(__xludf.DUMMYFUNCTION("""COMPUTED_VALUE"""),0.08333333333333333)</f>
        <v>0.08333333333</v>
      </c>
      <c r="W807" s="16">
        <f>IFERROR(__xludf.DUMMYFUNCTION("""COMPUTED_VALUE"""),1.5)</f>
        <v>1.5</v>
      </c>
      <c r="X807" s="16">
        <f>IFERROR(__xludf.DUMMYFUNCTION("""COMPUTED_VALUE"""),2.5)</f>
        <v>2.5</v>
      </c>
      <c r="Y807" s="11">
        <f>IFERROR(__xludf.DUMMYFUNCTION("""COMPUTED_VALUE"""),1.0)</f>
        <v>1</v>
      </c>
      <c r="Z807" s="11">
        <f>IFERROR(__xludf.DUMMYFUNCTION("""COMPUTED_VALUE"""),1.0)</f>
        <v>1</v>
      </c>
      <c r="AA807" s="11">
        <f>IFERROR(__xludf.DUMMYFUNCTION("""COMPUTED_VALUE"""),0.0)</f>
        <v>0</v>
      </c>
      <c r="AB807" s="11">
        <f>IFERROR(__xludf.DUMMYFUNCTION("""COMPUTED_VALUE"""),1.0)</f>
        <v>1</v>
      </c>
      <c r="AC807" s="11">
        <f>IFERROR(__xludf.DUMMYFUNCTION("""COMPUTED_VALUE"""),21.0)</f>
        <v>21</v>
      </c>
      <c r="AD807" s="11">
        <f>IFERROR(__xludf.DUMMYFUNCTION("""COMPUTED_VALUE"""),15.0)</f>
        <v>15</v>
      </c>
    </row>
    <row r="808">
      <c r="A808" s="10" t="str">
        <f>IFERROR(__xludf.DUMMYFUNCTION("""COMPUTED_VALUE"""),"Veteran")</f>
        <v>Veteran</v>
      </c>
      <c r="B808" s="10" t="str">
        <f>IFERROR(__xludf.DUMMYFUNCTION("""COMPUTED_VALUE"""),"RSC007070")</f>
        <v>RSC007070</v>
      </c>
      <c r="C808" s="10" t="str">
        <f>IFERROR(__xludf.DUMMYFUNCTION("""COMPUTED_VALUE"""),"demha.")</f>
        <v>demha.</v>
      </c>
      <c r="D808" s="36" t="str">
        <f>IFERROR(__xludf.DUMMYFUNCTION("""COMPUTED_VALUE"""),"White Collars")</f>
        <v>White Collars</v>
      </c>
      <c r="E808" s="10" t="str">
        <f>IFERROR(__xludf.DUMMYFUNCTION("""COMPUTED_VALUE"""),"Lunar")</f>
        <v>Lunar</v>
      </c>
      <c r="F808" s="37">
        <f>IFERROR(__xludf.DUMMYFUNCTION("""COMPUTED_VALUE"""),18.060812782152908)</f>
        <v>18.06081278</v>
      </c>
      <c r="G808" s="38">
        <f>IFERROR(__xludf.DUMMYFUNCTION("""COMPUTED_VALUE"""),25.13348011521692)</f>
        <v>25.13348012</v>
      </c>
      <c r="H808" s="38">
        <f>IFERROR(__xludf.DUMMYFUNCTION("""COMPUTED_VALUE"""),21.597146448684914)</f>
        <v>21.59714645</v>
      </c>
      <c r="I808" s="14">
        <f>IFERROR(__xludf.DUMMYFUNCTION("""COMPUTED_VALUE"""),3.0)</f>
        <v>3</v>
      </c>
      <c r="J808" s="11">
        <f>IFERROR(__xludf.DUMMYFUNCTION("IFERROR(FILTER(Stats!$F:$Z,(Stats!$A:$A=$A808)*(Stats!$B:$B=$B808)))"),1.0)</f>
        <v>1</v>
      </c>
      <c r="K808" s="11">
        <f>IFERROR(__xludf.DUMMYFUNCTION("""COMPUTED_VALUE"""),2.0)</f>
        <v>2</v>
      </c>
      <c r="L808" s="12">
        <f>IFERROR(__xludf.DUMMYFUNCTION("""COMPUTED_VALUE"""),0.3333333333333333)</f>
        <v>0.3333333333</v>
      </c>
      <c r="M808" s="11">
        <f>IFERROR(__xludf.DUMMYFUNCTION("""COMPUTED_VALUE"""),0.0)</f>
        <v>0</v>
      </c>
      <c r="N808" s="11">
        <f>IFERROR(__xludf.DUMMYFUNCTION("""COMPUTED_VALUE"""),973.0)</f>
        <v>973</v>
      </c>
      <c r="O808" s="13">
        <f>IFERROR(__xludf.DUMMYFUNCTION("""COMPUTED_VALUE"""),3.0)</f>
        <v>3</v>
      </c>
      <c r="P808" s="14">
        <f>IFERROR(__xludf.DUMMYFUNCTION("""COMPUTED_VALUE"""),0.0)</f>
        <v>0</v>
      </c>
      <c r="Q808" s="13">
        <f>IFERROR(__xludf.DUMMYFUNCTION("""COMPUTED_VALUE"""),6.0)</f>
        <v>6</v>
      </c>
      <c r="R808" s="13">
        <f>IFERROR(__xludf.DUMMYFUNCTION("""COMPUTED_VALUE"""),6.0)</f>
        <v>6</v>
      </c>
      <c r="S808" s="15">
        <f>IFERROR(__xludf.DUMMYFUNCTION("""COMPUTED_VALUE"""),0.5)</f>
        <v>0.5</v>
      </c>
      <c r="T808" s="16">
        <f>IFERROR(__xludf.DUMMYFUNCTION("""COMPUTED_VALUE"""),324.3333333333333)</f>
        <v>324.3333333</v>
      </c>
      <c r="U808" s="16">
        <f>IFERROR(__xludf.DUMMYFUNCTION("""COMPUTED_VALUE"""),1.0)</f>
        <v>1</v>
      </c>
      <c r="V808" s="16">
        <f>IFERROR(__xludf.DUMMYFUNCTION("""COMPUTED_VALUE"""),0.0)</f>
        <v>0</v>
      </c>
      <c r="W808" s="16">
        <f>IFERROR(__xludf.DUMMYFUNCTION("""COMPUTED_VALUE"""),2.0)</f>
        <v>2</v>
      </c>
      <c r="X808" s="16">
        <f>IFERROR(__xludf.DUMMYFUNCTION("""COMPUTED_VALUE"""),2.0)</f>
        <v>2</v>
      </c>
      <c r="Y808" s="11">
        <f>IFERROR(__xludf.DUMMYFUNCTION("""COMPUTED_VALUE"""),0.0)</f>
        <v>0</v>
      </c>
      <c r="Z808" s="11">
        <f>IFERROR(__xludf.DUMMYFUNCTION("""COMPUTED_VALUE"""),0.0)</f>
        <v>0</v>
      </c>
      <c r="AA808" s="11">
        <f>IFERROR(__xludf.DUMMYFUNCTION("""COMPUTED_VALUE"""),0.0)</f>
        <v>0</v>
      </c>
      <c r="AB808" s="11">
        <f>IFERROR(__xludf.DUMMYFUNCTION("""COMPUTED_VALUE"""),1.0)</f>
        <v>1</v>
      </c>
      <c r="AC808" s="11">
        <f>IFERROR(__xludf.DUMMYFUNCTION("""COMPUTED_VALUE"""),4.0)</f>
        <v>4</v>
      </c>
      <c r="AD808" s="11">
        <f>IFERROR(__xludf.DUMMYFUNCTION("""COMPUTED_VALUE"""),4.0)</f>
        <v>4</v>
      </c>
    </row>
    <row r="809">
      <c r="A809" s="10" t="str">
        <f>IFERROR(__xludf.DUMMYFUNCTION("""COMPUTED_VALUE"""),"Veteran")</f>
        <v>Veteran</v>
      </c>
      <c r="B809" s="10" t="str">
        <f>IFERROR(__xludf.DUMMYFUNCTION("""COMPUTED_VALUE"""),"RSC003122")</f>
        <v>RSC003122</v>
      </c>
      <c r="C809" s="10" t="str">
        <f>IFERROR(__xludf.DUMMYFUNCTION("""COMPUTED_VALUE"""),"Kovalchuk")</f>
        <v>Kovalchuk</v>
      </c>
      <c r="D809" s="36" t="str">
        <f>IFERROR(__xludf.DUMMYFUNCTION("""COMPUTED_VALUE"""),"Supernova
Fer-de-Lance
Folks")</f>
        <v>Supernova
Fer-de-Lance
Folks</v>
      </c>
      <c r="E809" s="10" t="str">
        <f>IFERROR(__xludf.DUMMYFUNCTION("""COMPUTED_VALUE"""),"Lunar
Lunar
Lunar")</f>
        <v>Lunar
Lunar
Lunar</v>
      </c>
      <c r="F809" s="37">
        <f>IFERROR(__xludf.DUMMYFUNCTION("""COMPUTED_VALUE"""),20.40927117245262)</f>
        <v>20.40927117</v>
      </c>
      <c r="G809" s="38">
        <f>IFERROR(__xludf.DUMMYFUNCTION("""COMPUTED_VALUE"""),22.06496419097918)</f>
        <v>22.06496419</v>
      </c>
      <c r="H809" s="38">
        <f>IFERROR(__xludf.DUMMYFUNCTION("""COMPUTED_VALUE"""),21.2371176817159)</f>
        <v>21.23711768</v>
      </c>
      <c r="I809" s="14">
        <f>IFERROR(__xludf.DUMMYFUNCTION("""COMPUTED_VALUE"""),12.0)</f>
        <v>12</v>
      </c>
      <c r="J809" s="11">
        <f>IFERROR(__xludf.DUMMYFUNCTION("IFERROR(FILTER(Stats!$F:$Z,(Stats!$A:$A=$A809)*(Stats!$B:$B=$B809)))"),5.0)</f>
        <v>5</v>
      </c>
      <c r="K809" s="11">
        <f>IFERROR(__xludf.DUMMYFUNCTION("""COMPUTED_VALUE"""),7.0)</f>
        <v>7</v>
      </c>
      <c r="L809" s="12">
        <f>IFERROR(__xludf.DUMMYFUNCTION("""COMPUTED_VALUE"""),0.4166666666666667)</f>
        <v>0.4166666667</v>
      </c>
      <c r="M809" s="11">
        <f>IFERROR(__xludf.DUMMYFUNCTION("""COMPUTED_VALUE"""),1.0)</f>
        <v>1</v>
      </c>
      <c r="N809" s="11">
        <f>IFERROR(__xludf.DUMMYFUNCTION("""COMPUTED_VALUE"""),4095.0)</f>
        <v>4095</v>
      </c>
      <c r="O809" s="13">
        <f>IFERROR(__xludf.DUMMYFUNCTION("""COMPUTED_VALUE"""),7.0)</f>
        <v>7</v>
      </c>
      <c r="P809" s="14">
        <f>IFERROR(__xludf.DUMMYFUNCTION("""COMPUTED_VALUE"""),2.0)</f>
        <v>2</v>
      </c>
      <c r="Q809" s="13">
        <f>IFERROR(__xludf.DUMMYFUNCTION("""COMPUTED_VALUE"""),22.0)</f>
        <v>22</v>
      </c>
      <c r="R809" s="13">
        <f>IFERROR(__xludf.DUMMYFUNCTION("""COMPUTED_VALUE"""),30.0)</f>
        <v>30</v>
      </c>
      <c r="S809" s="15">
        <f>IFERROR(__xludf.DUMMYFUNCTION("""COMPUTED_VALUE"""),0.23333333333333334)</f>
        <v>0.2333333333</v>
      </c>
      <c r="T809" s="16">
        <f>IFERROR(__xludf.DUMMYFUNCTION("""COMPUTED_VALUE"""),341.25)</f>
        <v>341.25</v>
      </c>
      <c r="U809" s="16">
        <f>IFERROR(__xludf.DUMMYFUNCTION("""COMPUTED_VALUE"""),0.5833333333333334)</f>
        <v>0.5833333333</v>
      </c>
      <c r="V809" s="16">
        <f>IFERROR(__xludf.DUMMYFUNCTION("""COMPUTED_VALUE"""),0.16666666666666666)</f>
        <v>0.1666666667</v>
      </c>
      <c r="W809" s="16">
        <f>IFERROR(__xludf.DUMMYFUNCTION("""COMPUTED_VALUE"""),1.8333333333333333)</f>
        <v>1.833333333</v>
      </c>
      <c r="X809" s="16">
        <f>IFERROR(__xludf.DUMMYFUNCTION("""COMPUTED_VALUE"""),2.5)</f>
        <v>2.5</v>
      </c>
      <c r="Y809" s="11">
        <f>IFERROR(__xludf.DUMMYFUNCTION("""COMPUTED_VALUE"""),1.0)</f>
        <v>1</v>
      </c>
      <c r="Z809" s="11">
        <f>IFERROR(__xludf.DUMMYFUNCTION("""COMPUTED_VALUE"""),0.0)</f>
        <v>0</v>
      </c>
      <c r="AA809" s="11">
        <f>IFERROR(__xludf.DUMMYFUNCTION("""COMPUTED_VALUE"""),0.0)</f>
        <v>0</v>
      </c>
      <c r="AB809" s="11">
        <f>IFERROR(__xludf.DUMMYFUNCTION("""COMPUTED_VALUE"""),2.0)</f>
        <v>2</v>
      </c>
      <c r="AC809" s="11">
        <f>IFERROR(__xludf.DUMMYFUNCTION("""COMPUTED_VALUE"""),5.0)</f>
        <v>5</v>
      </c>
      <c r="AD809" s="11">
        <f>IFERROR(__xludf.DUMMYFUNCTION("""COMPUTED_VALUE"""),10.0)</f>
        <v>10</v>
      </c>
    </row>
    <row r="810">
      <c r="A810" s="10" t="str">
        <f>IFERROR(__xludf.DUMMYFUNCTION("""COMPUTED_VALUE"""),"Veteran")</f>
        <v>Veteran</v>
      </c>
      <c r="B810" s="10" t="str">
        <f>IFERROR(__xludf.DUMMYFUNCTION("""COMPUTED_VALUE"""),"RSC003255")</f>
        <v>RSC003255</v>
      </c>
      <c r="C810" s="10" t="str">
        <f>IFERROR(__xludf.DUMMYFUNCTION("""COMPUTED_VALUE"""),"cozyboy")</f>
        <v>cozyboy</v>
      </c>
      <c r="D810" s="36" t="str">
        <f>IFERROR(__xludf.DUMMYFUNCTION("""COMPUTED_VALUE"""),"Supernova")</f>
        <v>Supernova</v>
      </c>
      <c r="E810" s="10" t="str">
        <f>IFERROR(__xludf.DUMMYFUNCTION("""COMPUTED_VALUE"""),"Lunar")</f>
        <v>Lunar</v>
      </c>
      <c r="F810" s="37">
        <f>IFERROR(__xludf.DUMMYFUNCTION("""COMPUTED_VALUE"""),11.656169035371384)</f>
        <v>11.65616904</v>
      </c>
      <c r="G810" s="38">
        <f>IFERROR(__xludf.DUMMYFUNCTION("""COMPUTED_VALUE"""),30.46363455871767)</f>
        <v>30.46363456</v>
      </c>
      <c r="H810" s="38">
        <f>IFERROR(__xludf.DUMMYFUNCTION("""COMPUTED_VALUE"""),21.059901797044525)</f>
        <v>21.0599018</v>
      </c>
      <c r="I810" s="14">
        <f>IFERROR(__xludf.DUMMYFUNCTION("""COMPUTED_VALUE"""),4.0)</f>
        <v>4</v>
      </c>
      <c r="J810" s="11">
        <f>IFERROR(__xludf.DUMMYFUNCTION("IFERROR(FILTER(Stats!$F:$Z,(Stats!$A:$A=$A810)*(Stats!$B:$B=$B810)))"),1.0)</f>
        <v>1</v>
      </c>
      <c r="K810" s="11">
        <f>IFERROR(__xludf.DUMMYFUNCTION("""COMPUTED_VALUE"""),3.0)</f>
        <v>3</v>
      </c>
      <c r="L810" s="12">
        <f>IFERROR(__xludf.DUMMYFUNCTION("""COMPUTED_VALUE"""),0.25)</f>
        <v>0.25</v>
      </c>
      <c r="M810" s="11">
        <f>IFERROR(__xludf.DUMMYFUNCTION("""COMPUTED_VALUE"""),0.0)</f>
        <v>0</v>
      </c>
      <c r="N810" s="11">
        <f>IFERROR(__xludf.DUMMYFUNCTION("""COMPUTED_VALUE"""),1081.0)</f>
        <v>1081</v>
      </c>
      <c r="O810" s="13">
        <f>IFERROR(__xludf.DUMMYFUNCTION("""COMPUTED_VALUE"""),2.0)</f>
        <v>2</v>
      </c>
      <c r="P810" s="14">
        <f>IFERROR(__xludf.DUMMYFUNCTION("""COMPUTED_VALUE"""),2.0)</f>
        <v>2</v>
      </c>
      <c r="Q810" s="13">
        <f>IFERROR(__xludf.DUMMYFUNCTION("""COMPUTED_VALUE"""),6.0)</f>
        <v>6</v>
      </c>
      <c r="R810" s="13">
        <f>IFERROR(__xludf.DUMMYFUNCTION("""COMPUTED_VALUE"""),7.0)</f>
        <v>7</v>
      </c>
      <c r="S810" s="15">
        <f>IFERROR(__xludf.DUMMYFUNCTION("""COMPUTED_VALUE"""),0.2857142857142857)</f>
        <v>0.2857142857</v>
      </c>
      <c r="T810" s="16">
        <f>IFERROR(__xludf.DUMMYFUNCTION("""COMPUTED_VALUE"""),270.25)</f>
        <v>270.25</v>
      </c>
      <c r="U810" s="16">
        <f>IFERROR(__xludf.DUMMYFUNCTION("""COMPUTED_VALUE"""),0.5)</f>
        <v>0.5</v>
      </c>
      <c r="V810" s="16">
        <f>IFERROR(__xludf.DUMMYFUNCTION("""COMPUTED_VALUE"""),0.5)</f>
        <v>0.5</v>
      </c>
      <c r="W810" s="16">
        <f>IFERROR(__xludf.DUMMYFUNCTION("""COMPUTED_VALUE"""),1.5)</f>
        <v>1.5</v>
      </c>
      <c r="X810" s="16">
        <f>IFERROR(__xludf.DUMMYFUNCTION("""COMPUTED_VALUE"""),1.75)</f>
        <v>1.75</v>
      </c>
      <c r="Y810" s="11">
        <f>IFERROR(__xludf.DUMMYFUNCTION("""COMPUTED_VALUE"""),1.0)</f>
        <v>1</v>
      </c>
      <c r="Z810" s="11">
        <f>IFERROR(__xludf.DUMMYFUNCTION("""COMPUTED_VALUE"""),0.0)</f>
        <v>0</v>
      </c>
      <c r="AA810" s="11">
        <f>IFERROR(__xludf.DUMMYFUNCTION("""COMPUTED_VALUE"""),0.0)</f>
        <v>0</v>
      </c>
      <c r="AB810" s="11">
        <f>IFERROR(__xludf.DUMMYFUNCTION("""COMPUTED_VALUE"""),1.0)</f>
        <v>1</v>
      </c>
      <c r="AC810" s="11">
        <f>IFERROR(__xludf.DUMMYFUNCTION("""COMPUTED_VALUE"""),8.0)</f>
        <v>8</v>
      </c>
      <c r="AD810" s="11">
        <f>IFERROR(__xludf.DUMMYFUNCTION("""COMPUTED_VALUE"""),3.0)</f>
        <v>3</v>
      </c>
    </row>
    <row r="811">
      <c r="A811" s="10" t="str">
        <f>IFERROR(__xludf.DUMMYFUNCTION("""COMPUTED_VALUE"""),"Veteran")</f>
        <v>Veteran</v>
      </c>
      <c r="B811" s="10" t="str">
        <f>IFERROR(__xludf.DUMMYFUNCTION("""COMPUTED_VALUE"""),"RSC006976")</f>
        <v>RSC006976</v>
      </c>
      <c r="C811" s="10" t="str">
        <f>IFERROR(__xludf.DUMMYFUNCTION("""COMPUTED_VALUE"""),"Slendda")</f>
        <v>Slendda</v>
      </c>
      <c r="D811" s="36" t="str">
        <f>IFERROR(__xludf.DUMMYFUNCTION("""COMPUTED_VALUE"""),"Cannoli")</f>
        <v>Cannoli</v>
      </c>
      <c r="E811" s="10" t="str">
        <f>IFERROR(__xludf.DUMMYFUNCTION("""COMPUTED_VALUE"""),"Lunar")</f>
        <v>Lunar</v>
      </c>
      <c r="F811" s="37">
        <f>IFERROR(__xludf.DUMMYFUNCTION("""COMPUTED_VALUE"""),25.82730427444385)</f>
        <v>25.82730427</v>
      </c>
      <c r="G811" s="38">
        <f>IFERROR(__xludf.DUMMYFUNCTION("""COMPUTED_VALUE"""),15.490573104598212)</f>
        <v>15.4905731</v>
      </c>
      <c r="H811" s="38">
        <f>IFERROR(__xludf.DUMMYFUNCTION("""COMPUTED_VALUE"""),20.65893868952103)</f>
        <v>20.65893869</v>
      </c>
      <c r="I811" s="14">
        <f>IFERROR(__xludf.DUMMYFUNCTION("""COMPUTED_VALUE"""),18.0)</f>
        <v>18</v>
      </c>
      <c r="J811" s="11">
        <f>IFERROR(__xludf.DUMMYFUNCTION("IFERROR(FILTER(Stats!$F:$Z,(Stats!$A:$A=$A811)*(Stats!$B:$B=$B811)))"),6.0)</f>
        <v>6</v>
      </c>
      <c r="K811" s="11">
        <f>IFERROR(__xludf.DUMMYFUNCTION("""COMPUTED_VALUE"""),12.0)</f>
        <v>12</v>
      </c>
      <c r="L811" s="12">
        <f>IFERROR(__xludf.DUMMYFUNCTION("""COMPUTED_VALUE"""),0.3333333333333333)</f>
        <v>0.3333333333</v>
      </c>
      <c r="M811" s="11">
        <f>IFERROR(__xludf.DUMMYFUNCTION("""COMPUTED_VALUE"""),0.0)</f>
        <v>0</v>
      </c>
      <c r="N811" s="11">
        <f>IFERROR(__xludf.DUMMYFUNCTION("""COMPUTED_VALUE"""),4870.0)</f>
        <v>4870</v>
      </c>
      <c r="O811" s="13">
        <f>IFERROR(__xludf.DUMMYFUNCTION("""COMPUTED_VALUE"""),5.0)</f>
        <v>5</v>
      </c>
      <c r="P811" s="14">
        <f>IFERROR(__xludf.DUMMYFUNCTION("""COMPUTED_VALUE"""),10.0)</f>
        <v>10</v>
      </c>
      <c r="Q811" s="13">
        <f>IFERROR(__xludf.DUMMYFUNCTION("""COMPUTED_VALUE"""),20.0)</f>
        <v>20</v>
      </c>
      <c r="R811" s="13">
        <f>IFERROR(__xludf.DUMMYFUNCTION("""COMPUTED_VALUE"""),35.0)</f>
        <v>35</v>
      </c>
      <c r="S811" s="15">
        <f>IFERROR(__xludf.DUMMYFUNCTION("""COMPUTED_VALUE"""),0.14285714285714285)</f>
        <v>0.1428571429</v>
      </c>
      <c r="T811" s="16">
        <f>IFERROR(__xludf.DUMMYFUNCTION("""COMPUTED_VALUE"""),270.55555555555554)</f>
        <v>270.5555556</v>
      </c>
      <c r="U811" s="16">
        <f>IFERROR(__xludf.DUMMYFUNCTION("""COMPUTED_VALUE"""),0.2777777777777778)</f>
        <v>0.2777777778</v>
      </c>
      <c r="V811" s="16">
        <f>IFERROR(__xludf.DUMMYFUNCTION("""COMPUTED_VALUE"""),0.5555555555555556)</f>
        <v>0.5555555556</v>
      </c>
      <c r="W811" s="16">
        <f>IFERROR(__xludf.DUMMYFUNCTION("""COMPUTED_VALUE"""),1.1111111111111112)</f>
        <v>1.111111111</v>
      </c>
      <c r="X811" s="16">
        <f>IFERROR(__xludf.DUMMYFUNCTION("""COMPUTED_VALUE"""),1.9444444444444444)</f>
        <v>1.944444444</v>
      </c>
      <c r="Y811" s="11">
        <f>IFERROR(__xludf.DUMMYFUNCTION("""COMPUTED_VALUE"""),2.0)</f>
        <v>2</v>
      </c>
      <c r="Z811" s="11">
        <f>IFERROR(__xludf.DUMMYFUNCTION("""COMPUTED_VALUE"""),0.0)</f>
        <v>0</v>
      </c>
      <c r="AA811" s="11">
        <f>IFERROR(__xludf.DUMMYFUNCTION("""COMPUTED_VALUE"""),1.0)</f>
        <v>1</v>
      </c>
      <c r="AB811" s="11">
        <f>IFERROR(__xludf.DUMMYFUNCTION("""COMPUTED_VALUE"""),1.0)</f>
        <v>1</v>
      </c>
      <c r="AC811" s="11">
        <f>IFERROR(__xludf.DUMMYFUNCTION("""COMPUTED_VALUE"""),18.0)</f>
        <v>18</v>
      </c>
      <c r="AD811" s="11">
        <f>IFERROR(__xludf.DUMMYFUNCTION("""COMPUTED_VALUE"""),13.0)</f>
        <v>13</v>
      </c>
    </row>
    <row r="812">
      <c r="A812" s="10" t="str">
        <f>IFERROR(__xludf.DUMMYFUNCTION("""COMPUTED_VALUE"""),"Veteran")</f>
        <v>Veteran</v>
      </c>
      <c r="B812" s="10" t="str">
        <f>IFERROR(__xludf.DUMMYFUNCTION("""COMPUTED_VALUE"""),"RSC005438")</f>
        <v>RSC005438</v>
      </c>
      <c r="C812" s="10" t="str">
        <f>IFERROR(__xludf.DUMMYFUNCTION("""COMPUTED_VALUE"""),"ForestmanChubs")</f>
        <v>ForestmanChubs</v>
      </c>
      <c r="D812" s="36" t="str">
        <f>IFERROR(__xludf.DUMMYFUNCTION("""COMPUTED_VALUE"""),"Kirin
Avalanche")</f>
        <v>Kirin
Avalanche</v>
      </c>
      <c r="E812" s="10" t="str">
        <f>IFERROR(__xludf.DUMMYFUNCTION("""COMPUTED_VALUE"""),"Solar
Solar")</f>
        <v>Solar
Solar</v>
      </c>
      <c r="F812" s="37">
        <f>IFERROR(__xludf.DUMMYFUNCTION("""COMPUTED_VALUE"""),19.68884915962924)</f>
        <v>19.68884916</v>
      </c>
      <c r="G812" s="38">
        <f>IFERROR(__xludf.DUMMYFUNCTION("""COMPUTED_VALUE"""),19.86322291775852)</f>
        <v>19.86322292</v>
      </c>
      <c r="H812" s="38">
        <f>IFERROR(__xludf.DUMMYFUNCTION("""COMPUTED_VALUE"""),19.77603603869388)</f>
        <v>19.77603604</v>
      </c>
      <c r="I812" s="14">
        <f>IFERROR(__xludf.DUMMYFUNCTION("""COMPUTED_VALUE"""),6.0)</f>
        <v>6</v>
      </c>
      <c r="J812" s="11">
        <f>IFERROR(__xludf.DUMMYFUNCTION("IFERROR(FILTER(Stats!$F:$Z,(Stats!$A:$A=$A812)*(Stats!$B:$B=$B812)))"),4.0)</f>
        <v>4</v>
      </c>
      <c r="K812" s="11">
        <f>IFERROR(__xludf.DUMMYFUNCTION("""COMPUTED_VALUE"""),2.0)</f>
        <v>2</v>
      </c>
      <c r="L812" s="12">
        <f>IFERROR(__xludf.DUMMYFUNCTION("""COMPUTED_VALUE"""),0.6666666666666666)</f>
        <v>0.6666666667</v>
      </c>
      <c r="M812" s="11">
        <f>IFERROR(__xludf.DUMMYFUNCTION("""COMPUTED_VALUE"""),1.0)</f>
        <v>1</v>
      </c>
      <c r="N812" s="11">
        <f>IFERROR(__xludf.DUMMYFUNCTION("""COMPUTED_VALUE"""),1793.0)</f>
        <v>1793</v>
      </c>
      <c r="O812" s="13">
        <f>IFERROR(__xludf.DUMMYFUNCTION("""COMPUTED_VALUE"""),4.0)</f>
        <v>4</v>
      </c>
      <c r="P812" s="14">
        <f>IFERROR(__xludf.DUMMYFUNCTION("""COMPUTED_VALUE"""),1.0)</f>
        <v>1</v>
      </c>
      <c r="Q812" s="13">
        <f>IFERROR(__xludf.DUMMYFUNCTION("""COMPUTED_VALUE"""),8.0)</f>
        <v>8</v>
      </c>
      <c r="R812" s="13">
        <f>IFERROR(__xludf.DUMMYFUNCTION("""COMPUTED_VALUE"""),10.0)</f>
        <v>10</v>
      </c>
      <c r="S812" s="15">
        <f>IFERROR(__xludf.DUMMYFUNCTION("""COMPUTED_VALUE"""),0.4)</f>
        <v>0.4</v>
      </c>
      <c r="T812" s="16">
        <f>IFERROR(__xludf.DUMMYFUNCTION("""COMPUTED_VALUE"""),298.8333333333333)</f>
        <v>298.8333333</v>
      </c>
      <c r="U812" s="16">
        <f>IFERROR(__xludf.DUMMYFUNCTION("""COMPUTED_VALUE"""),0.6666666666666666)</f>
        <v>0.6666666667</v>
      </c>
      <c r="V812" s="16">
        <f>IFERROR(__xludf.DUMMYFUNCTION("""COMPUTED_VALUE"""),0.16666666666666666)</f>
        <v>0.1666666667</v>
      </c>
      <c r="W812" s="16">
        <f>IFERROR(__xludf.DUMMYFUNCTION("""COMPUTED_VALUE"""),1.3333333333333333)</f>
        <v>1.333333333</v>
      </c>
      <c r="X812" s="16">
        <f>IFERROR(__xludf.DUMMYFUNCTION("""COMPUTED_VALUE"""),1.6666666666666667)</f>
        <v>1.666666667</v>
      </c>
      <c r="Y812" s="11">
        <f>IFERROR(__xludf.DUMMYFUNCTION("""COMPUTED_VALUE"""),1.0)</f>
        <v>1</v>
      </c>
      <c r="Z812" s="11">
        <f>IFERROR(__xludf.DUMMYFUNCTION("""COMPUTED_VALUE"""),0.0)</f>
        <v>0</v>
      </c>
      <c r="AA812" s="11">
        <f>IFERROR(__xludf.DUMMYFUNCTION("""COMPUTED_VALUE"""),0.0)</f>
        <v>0</v>
      </c>
      <c r="AB812" s="11">
        <f>IFERROR(__xludf.DUMMYFUNCTION("""COMPUTED_VALUE"""),1.0)</f>
        <v>1</v>
      </c>
      <c r="AC812" s="11">
        <f>IFERROR(__xludf.DUMMYFUNCTION("""COMPUTED_VALUE"""),4.0)</f>
        <v>4</v>
      </c>
      <c r="AD812" s="11">
        <f>IFERROR(__xludf.DUMMYFUNCTION("""COMPUTED_VALUE"""),3.0)</f>
        <v>3</v>
      </c>
    </row>
    <row r="813">
      <c r="A813" s="10" t="str">
        <f>IFERROR(__xludf.DUMMYFUNCTION("""COMPUTED_VALUE"""),"Veteran")</f>
        <v>Veteran</v>
      </c>
      <c r="B813" s="10" t="str">
        <f>IFERROR(__xludf.DUMMYFUNCTION("""COMPUTED_VALUE"""),"RSC008592")</f>
        <v>RSC008592</v>
      </c>
      <c r="C813" s="10" t="str">
        <f>IFERROR(__xludf.DUMMYFUNCTION("""COMPUTED_VALUE"""),"Rezcoh")</f>
        <v>Rezcoh</v>
      </c>
      <c r="D813" s="36" t="str">
        <f>IFERROR(__xludf.DUMMYFUNCTION("""COMPUTED_VALUE"""),"Peppermint")</f>
        <v>Peppermint</v>
      </c>
      <c r="E813" s="10" t="str">
        <f>IFERROR(__xludf.DUMMYFUNCTION("""COMPUTED_VALUE"""),"Solar")</f>
        <v>Solar</v>
      </c>
      <c r="F813" s="37">
        <f>IFERROR(__xludf.DUMMYFUNCTION("""COMPUTED_VALUE"""),17.505765805921783)</f>
        <v>17.50576581</v>
      </c>
      <c r="G813" s="38">
        <f>IFERROR(__xludf.DUMMYFUNCTION("""COMPUTED_VALUE"""),21.655016799161363)</f>
        <v>21.6550168</v>
      </c>
      <c r="H813" s="38">
        <f>IFERROR(__xludf.DUMMYFUNCTION("""COMPUTED_VALUE"""),19.58039130254157)</f>
        <v>19.5803913</v>
      </c>
      <c r="I813" s="14">
        <f>IFERROR(__xludf.DUMMYFUNCTION("""COMPUTED_VALUE"""),4.0)</f>
        <v>4</v>
      </c>
      <c r="J813" s="11">
        <f>IFERROR(__xludf.DUMMYFUNCTION("IFERROR(FILTER(Stats!$F:$Z,(Stats!$A:$A=$A813)*(Stats!$B:$B=$B813)))"),2.0)</f>
        <v>2</v>
      </c>
      <c r="K813" s="11">
        <f>IFERROR(__xludf.DUMMYFUNCTION("""COMPUTED_VALUE"""),2.0)</f>
        <v>2</v>
      </c>
      <c r="L813" s="12">
        <f>IFERROR(__xludf.DUMMYFUNCTION("""COMPUTED_VALUE"""),0.5)</f>
        <v>0.5</v>
      </c>
      <c r="M813" s="11">
        <f>IFERROR(__xludf.DUMMYFUNCTION("""COMPUTED_VALUE"""),0.0)</f>
        <v>0</v>
      </c>
      <c r="N813" s="11">
        <f>IFERROR(__xludf.DUMMYFUNCTION("""COMPUTED_VALUE"""),1292.0)</f>
        <v>1292</v>
      </c>
      <c r="O813" s="13">
        <f>IFERROR(__xludf.DUMMYFUNCTION("""COMPUTED_VALUE"""),3.0)</f>
        <v>3</v>
      </c>
      <c r="P813" s="14">
        <f>IFERROR(__xludf.DUMMYFUNCTION("""COMPUTED_VALUE"""),2.0)</f>
        <v>2</v>
      </c>
      <c r="Q813" s="13">
        <f>IFERROR(__xludf.DUMMYFUNCTION("""COMPUTED_VALUE"""),3.0)</f>
        <v>3</v>
      </c>
      <c r="R813" s="13">
        <f>IFERROR(__xludf.DUMMYFUNCTION("""COMPUTED_VALUE"""),8.0)</f>
        <v>8</v>
      </c>
      <c r="S813" s="15">
        <f>IFERROR(__xludf.DUMMYFUNCTION("""COMPUTED_VALUE"""),0.375)</f>
        <v>0.375</v>
      </c>
      <c r="T813" s="16">
        <f>IFERROR(__xludf.DUMMYFUNCTION("""COMPUTED_VALUE"""),323.0)</f>
        <v>323</v>
      </c>
      <c r="U813" s="16">
        <f>IFERROR(__xludf.DUMMYFUNCTION("""COMPUTED_VALUE"""),0.75)</f>
        <v>0.75</v>
      </c>
      <c r="V813" s="16">
        <f>IFERROR(__xludf.DUMMYFUNCTION("""COMPUTED_VALUE"""),0.5)</f>
        <v>0.5</v>
      </c>
      <c r="W813" s="16">
        <f>IFERROR(__xludf.DUMMYFUNCTION("""COMPUTED_VALUE"""),0.75)</f>
        <v>0.75</v>
      </c>
      <c r="X813" s="16">
        <f>IFERROR(__xludf.DUMMYFUNCTION("""COMPUTED_VALUE"""),2.0)</f>
        <v>2</v>
      </c>
      <c r="Y813" s="11">
        <f>IFERROR(__xludf.DUMMYFUNCTION("""COMPUTED_VALUE"""),1.0)</f>
        <v>1</v>
      </c>
      <c r="Z813" s="11">
        <f>IFERROR(__xludf.DUMMYFUNCTION("""COMPUTED_VALUE"""),0.0)</f>
        <v>0</v>
      </c>
      <c r="AA813" s="11">
        <f>IFERROR(__xludf.DUMMYFUNCTION("""COMPUTED_VALUE"""),0.0)</f>
        <v>0</v>
      </c>
      <c r="AB813" s="11">
        <f>IFERROR(__xludf.DUMMYFUNCTION("""COMPUTED_VALUE"""),0.0)</f>
        <v>0</v>
      </c>
      <c r="AC813" s="11">
        <f>IFERROR(__xludf.DUMMYFUNCTION("""COMPUTED_VALUE"""),0.0)</f>
        <v>0</v>
      </c>
      <c r="AD813" s="11">
        <f>IFERROR(__xludf.DUMMYFUNCTION("""COMPUTED_VALUE"""),5.0)</f>
        <v>5</v>
      </c>
    </row>
    <row r="814">
      <c r="A814" s="10" t="str">
        <f>IFERROR(__xludf.DUMMYFUNCTION("""COMPUTED_VALUE"""),"Veteran")</f>
        <v>Veteran</v>
      </c>
      <c r="B814" s="10" t="str">
        <f>IFERROR(__xludf.DUMMYFUNCTION("""COMPUTED_VALUE"""),"RSC004385")</f>
        <v>RSC004385</v>
      </c>
      <c r="C814" s="10" t="str">
        <f>IFERROR(__xludf.DUMMYFUNCTION("""COMPUTED_VALUE"""),"Braybaum02")</f>
        <v>Braybaum02</v>
      </c>
      <c r="D814" s="36" t="str">
        <f>IFERROR(__xludf.DUMMYFUNCTION("""COMPUTED_VALUE"""),"Peppermint")</f>
        <v>Peppermint</v>
      </c>
      <c r="E814" s="10" t="str">
        <f>IFERROR(__xludf.DUMMYFUNCTION("""COMPUTED_VALUE"""),"Solar")</f>
        <v>Solar</v>
      </c>
      <c r="F814" s="37">
        <f>IFERROR(__xludf.DUMMYFUNCTION("""COMPUTED_VALUE"""),24.09670600288502)</f>
        <v>24.096706</v>
      </c>
      <c r="G814" s="38">
        <f>IFERROR(__xludf.DUMMYFUNCTION("""COMPUTED_VALUE"""),14.316361164891823)</f>
        <v>14.31636116</v>
      </c>
      <c r="H814" s="38">
        <f>IFERROR(__xludf.DUMMYFUNCTION("""COMPUTED_VALUE"""),19.206533583888422)</f>
        <v>19.20653358</v>
      </c>
      <c r="I814" s="14">
        <f>IFERROR(__xludf.DUMMYFUNCTION("""COMPUTED_VALUE"""),20.0)</f>
        <v>20</v>
      </c>
      <c r="J814" s="11">
        <f>IFERROR(__xludf.DUMMYFUNCTION("IFERROR(FILTER(Stats!$F:$Z,(Stats!$A:$A=$A814)*(Stats!$B:$B=$B814)))"),5.0)</f>
        <v>5</v>
      </c>
      <c r="K814" s="11">
        <f>IFERROR(__xludf.DUMMYFUNCTION("""COMPUTED_VALUE"""),15.0)</f>
        <v>15</v>
      </c>
      <c r="L814" s="12">
        <f>IFERROR(__xludf.DUMMYFUNCTION("""COMPUTED_VALUE"""),0.25)</f>
        <v>0.25</v>
      </c>
      <c r="M814" s="11">
        <f>IFERROR(__xludf.DUMMYFUNCTION("""COMPUTED_VALUE"""),1.0)</f>
        <v>1</v>
      </c>
      <c r="N814" s="11">
        <f>IFERROR(__xludf.DUMMYFUNCTION("""COMPUTED_VALUE"""),6354.0)</f>
        <v>6354</v>
      </c>
      <c r="O814" s="13">
        <f>IFERROR(__xludf.DUMMYFUNCTION("""COMPUTED_VALUE"""),11.0)</f>
        <v>11</v>
      </c>
      <c r="P814" s="14">
        <f>IFERROR(__xludf.DUMMYFUNCTION("""COMPUTED_VALUE"""),9.0)</f>
        <v>9</v>
      </c>
      <c r="Q814" s="13">
        <f>IFERROR(__xludf.DUMMYFUNCTION("""COMPUTED_VALUE"""),32.0)</f>
        <v>32</v>
      </c>
      <c r="R814" s="13">
        <f>IFERROR(__xludf.DUMMYFUNCTION("""COMPUTED_VALUE"""),35.0)</f>
        <v>35</v>
      </c>
      <c r="S814" s="15">
        <f>IFERROR(__xludf.DUMMYFUNCTION("""COMPUTED_VALUE"""),0.3142857142857143)</f>
        <v>0.3142857143</v>
      </c>
      <c r="T814" s="16">
        <f>IFERROR(__xludf.DUMMYFUNCTION("""COMPUTED_VALUE"""),317.7)</f>
        <v>317.7</v>
      </c>
      <c r="U814" s="16">
        <f>IFERROR(__xludf.DUMMYFUNCTION("""COMPUTED_VALUE"""),0.55)</f>
        <v>0.55</v>
      </c>
      <c r="V814" s="16">
        <f>IFERROR(__xludf.DUMMYFUNCTION("""COMPUTED_VALUE"""),0.45)</f>
        <v>0.45</v>
      </c>
      <c r="W814" s="16">
        <f>IFERROR(__xludf.DUMMYFUNCTION("""COMPUTED_VALUE"""),1.6)</f>
        <v>1.6</v>
      </c>
      <c r="X814" s="16">
        <f>IFERROR(__xludf.DUMMYFUNCTION("""COMPUTED_VALUE"""),1.75)</f>
        <v>1.75</v>
      </c>
      <c r="Y814" s="11">
        <f>IFERROR(__xludf.DUMMYFUNCTION("""COMPUTED_VALUE"""),2.0)</f>
        <v>2</v>
      </c>
      <c r="Z814" s="11">
        <f>IFERROR(__xludf.DUMMYFUNCTION("""COMPUTED_VALUE"""),1.0)</f>
        <v>1</v>
      </c>
      <c r="AA814" s="11">
        <f>IFERROR(__xludf.DUMMYFUNCTION("""COMPUTED_VALUE"""),0.0)</f>
        <v>0</v>
      </c>
      <c r="AB814" s="11">
        <f>IFERROR(__xludf.DUMMYFUNCTION("""COMPUTED_VALUE"""),5.0)</f>
        <v>5</v>
      </c>
      <c r="AC814" s="11">
        <f>IFERROR(__xludf.DUMMYFUNCTION("""COMPUTED_VALUE"""),15.0)</f>
        <v>15</v>
      </c>
      <c r="AD814" s="11">
        <f>IFERROR(__xludf.DUMMYFUNCTION("""COMPUTED_VALUE"""),25.0)</f>
        <v>25</v>
      </c>
    </row>
    <row r="815">
      <c r="A815" s="10" t="str">
        <f>IFERROR(__xludf.DUMMYFUNCTION("""COMPUTED_VALUE"""),"Veteran")</f>
        <v>Veteran</v>
      </c>
      <c r="B815" s="10" t="str">
        <f>IFERROR(__xludf.DUMMYFUNCTION("""COMPUTED_VALUE"""),"RSC001091")</f>
        <v>RSC001091</v>
      </c>
      <c r="C815" s="10" t="str">
        <f>IFERROR(__xludf.DUMMYFUNCTION("""COMPUTED_VALUE"""),"stealthman777")</f>
        <v>stealthman777</v>
      </c>
      <c r="D815" s="36" t="str">
        <f>IFERROR(__xludf.DUMMYFUNCTION("""COMPUTED_VALUE"""),"Kirin")</f>
        <v>Kirin</v>
      </c>
      <c r="E815" s="10" t="str">
        <f>IFERROR(__xludf.DUMMYFUNCTION("""COMPUTED_VALUE"""),"Solar")</f>
        <v>Solar</v>
      </c>
      <c r="F815" s="37">
        <f>IFERROR(__xludf.DUMMYFUNCTION("""COMPUTED_VALUE"""),20.629792911287293)</f>
        <v>20.62979291</v>
      </c>
      <c r="G815" s="38">
        <f>IFERROR(__xludf.DUMMYFUNCTION("""COMPUTED_VALUE"""),14.94029709443555)</f>
        <v>14.94029709</v>
      </c>
      <c r="H815" s="38">
        <f>IFERROR(__xludf.DUMMYFUNCTION("""COMPUTED_VALUE"""),17.785045002861423)</f>
        <v>17.785045</v>
      </c>
      <c r="I815" s="14">
        <f>IFERROR(__xludf.DUMMYFUNCTION("""COMPUTED_VALUE"""),36.0)</f>
        <v>36</v>
      </c>
      <c r="J815" s="11">
        <f>IFERROR(__xludf.DUMMYFUNCTION("IFERROR(FILTER(Stats!$F:$Z,(Stats!$A:$A=$A815)*(Stats!$B:$B=$B815)))"),13.0)</f>
        <v>13</v>
      </c>
      <c r="K815" s="11">
        <f>IFERROR(__xludf.DUMMYFUNCTION("""COMPUTED_VALUE"""),23.0)</f>
        <v>23</v>
      </c>
      <c r="L815" s="12">
        <f>IFERROR(__xludf.DUMMYFUNCTION("""COMPUTED_VALUE"""),0.3611111111111111)</f>
        <v>0.3611111111</v>
      </c>
      <c r="M815" s="11">
        <f>IFERROR(__xludf.DUMMYFUNCTION("""COMPUTED_VALUE"""),3.0)</f>
        <v>3</v>
      </c>
      <c r="N815" s="11">
        <f>IFERROR(__xludf.DUMMYFUNCTION("""COMPUTED_VALUE"""),9297.0)</f>
        <v>9297</v>
      </c>
      <c r="O815" s="13">
        <f>IFERROR(__xludf.DUMMYFUNCTION("""COMPUTED_VALUE"""),9.0)</f>
        <v>9</v>
      </c>
      <c r="P815" s="14">
        <f>IFERROR(__xludf.DUMMYFUNCTION("""COMPUTED_VALUE"""),17.0)</f>
        <v>17</v>
      </c>
      <c r="Q815" s="13">
        <f>IFERROR(__xludf.DUMMYFUNCTION("""COMPUTED_VALUE"""),46.0)</f>
        <v>46</v>
      </c>
      <c r="R815" s="13">
        <f>IFERROR(__xludf.DUMMYFUNCTION("""COMPUTED_VALUE"""),71.0)</f>
        <v>71</v>
      </c>
      <c r="S815" s="15">
        <f>IFERROR(__xludf.DUMMYFUNCTION("""COMPUTED_VALUE"""),0.1267605633802817)</f>
        <v>0.1267605634</v>
      </c>
      <c r="T815" s="16">
        <f>IFERROR(__xludf.DUMMYFUNCTION("""COMPUTED_VALUE"""),258.25)</f>
        <v>258.25</v>
      </c>
      <c r="U815" s="16">
        <f>IFERROR(__xludf.DUMMYFUNCTION("""COMPUTED_VALUE"""),0.25)</f>
        <v>0.25</v>
      </c>
      <c r="V815" s="16">
        <f>IFERROR(__xludf.DUMMYFUNCTION("""COMPUTED_VALUE"""),0.4722222222222222)</f>
        <v>0.4722222222</v>
      </c>
      <c r="W815" s="16">
        <f>IFERROR(__xludf.DUMMYFUNCTION("""COMPUTED_VALUE"""),1.2777777777777777)</f>
        <v>1.277777778</v>
      </c>
      <c r="X815" s="16">
        <f>IFERROR(__xludf.DUMMYFUNCTION("""COMPUTED_VALUE"""),1.9722222222222223)</f>
        <v>1.972222222</v>
      </c>
      <c r="Y815" s="11">
        <f>IFERROR(__xludf.DUMMYFUNCTION("""COMPUTED_VALUE"""),4.0)</f>
        <v>4</v>
      </c>
      <c r="Z815" s="11">
        <f>IFERROR(__xludf.DUMMYFUNCTION("""COMPUTED_VALUE"""),0.0)</f>
        <v>0</v>
      </c>
      <c r="AA815" s="11">
        <f>IFERROR(__xludf.DUMMYFUNCTION("""COMPUTED_VALUE"""),0.0)</f>
        <v>0</v>
      </c>
      <c r="AB815" s="11">
        <f>IFERROR(__xludf.DUMMYFUNCTION("""COMPUTED_VALUE"""),5.0)</f>
        <v>5</v>
      </c>
      <c r="AC815" s="11">
        <f>IFERROR(__xludf.DUMMYFUNCTION("""COMPUTED_VALUE"""),7.0)</f>
        <v>7</v>
      </c>
      <c r="AD815" s="11">
        <f>IFERROR(__xludf.DUMMYFUNCTION("""COMPUTED_VALUE"""),37.0)</f>
        <v>37</v>
      </c>
    </row>
    <row r="816">
      <c r="A816" s="10" t="str">
        <f>IFERROR(__xludf.DUMMYFUNCTION("""COMPUTED_VALUE"""),"Veteran")</f>
        <v>Veteran</v>
      </c>
      <c r="B816" s="10" t="str">
        <f>IFERROR(__xludf.DUMMYFUNCTION("""COMPUTED_VALUE"""),"RSC004970")</f>
        <v>RSC004970</v>
      </c>
      <c r="C816" s="10" t="str">
        <f>IFERROR(__xludf.DUMMYFUNCTION("""COMPUTED_VALUE"""),"Tgunn05")</f>
        <v>Tgunn05</v>
      </c>
      <c r="D816" s="36" t="str">
        <f>IFERROR(__xludf.DUMMYFUNCTION("""COMPUTED_VALUE"""),"Folks
Peppermint")</f>
        <v>Folks
Peppermint</v>
      </c>
      <c r="E816" s="10" t="str">
        <f>IFERROR(__xludf.DUMMYFUNCTION("""COMPUTED_VALUE"""),"Lunar
Solar")</f>
        <v>Lunar
Solar</v>
      </c>
      <c r="F816" s="37">
        <f>IFERROR(__xludf.DUMMYFUNCTION("""COMPUTED_VALUE"""),17.710641044983163)</f>
        <v>17.71064104</v>
      </c>
      <c r="G816" s="38">
        <f>IFERROR(__xludf.DUMMYFUNCTION("""COMPUTED_VALUE"""),14.478686876342763)</f>
        <v>14.47868688</v>
      </c>
      <c r="H816" s="38">
        <f>IFERROR(__xludf.DUMMYFUNCTION("""COMPUTED_VALUE"""),16.094663960662963)</f>
        <v>16.09466396</v>
      </c>
      <c r="I816" s="14">
        <f>IFERROR(__xludf.DUMMYFUNCTION("""COMPUTED_VALUE"""),34.0)</f>
        <v>34</v>
      </c>
      <c r="J816" s="11">
        <f>IFERROR(__xludf.DUMMYFUNCTION("IFERROR(FILTER(Stats!$F:$Z,(Stats!$A:$A=$A816)*(Stats!$B:$B=$B816)))"),11.0)</f>
        <v>11</v>
      </c>
      <c r="K816" s="11">
        <f>IFERROR(__xludf.DUMMYFUNCTION("""COMPUTED_VALUE"""),23.0)</f>
        <v>23</v>
      </c>
      <c r="L816" s="12">
        <f>IFERROR(__xludf.DUMMYFUNCTION("""COMPUTED_VALUE"""),0.3235294117647059)</f>
        <v>0.3235294118</v>
      </c>
      <c r="M816" s="11">
        <f>IFERROR(__xludf.DUMMYFUNCTION("""COMPUTED_VALUE"""),3.0)</f>
        <v>3</v>
      </c>
      <c r="N816" s="11">
        <f>IFERROR(__xludf.DUMMYFUNCTION("""COMPUTED_VALUE"""),9866.0)</f>
        <v>9866</v>
      </c>
      <c r="O816" s="13">
        <f>IFERROR(__xludf.DUMMYFUNCTION("""COMPUTED_VALUE"""),18.0)</f>
        <v>18</v>
      </c>
      <c r="P816" s="14">
        <f>IFERROR(__xludf.DUMMYFUNCTION("""COMPUTED_VALUE"""),14.0)</f>
        <v>14</v>
      </c>
      <c r="Q816" s="13">
        <f>IFERROR(__xludf.DUMMYFUNCTION("""COMPUTED_VALUE"""),45.0)</f>
        <v>45</v>
      </c>
      <c r="R816" s="13">
        <f>IFERROR(__xludf.DUMMYFUNCTION("""COMPUTED_VALUE"""),67.0)</f>
        <v>67</v>
      </c>
      <c r="S816" s="15">
        <f>IFERROR(__xludf.DUMMYFUNCTION("""COMPUTED_VALUE"""),0.26865671641791045)</f>
        <v>0.2686567164</v>
      </c>
      <c r="T816" s="16">
        <f>IFERROR(__xludf.DUMMYFUNCTION("""COMPUTED_VALUE"""),290.1764705882353)</f>
        <v>290.1764706</v>
      </c>
      <c r="U816" s="16">
        <f>IFERROR(__xludf.DUMMYFUNCTION("""COMPUTED_VALUE"""),0.5294117647058824)</f>
        <v>0.5294117647</v>
      </c>
      <c r="V816" s="16">
        <f>IFERROR(__xludf.DUMMYFUNCTION("""COMPUTED_VALUE"""),0.4117647058823529)</f>
        <v>0.4117647059</v>
      </c>
      <c r="W816" s="16">
        <f>IFERROR(__xludf.DUMMYFUNCTION("""COMPUTED_VALUE"""),1.3235294117647058)</f>
        <v>1.323529412</v>
      </c>
      <c r="X816" s="16">
        <f>IFERROR(__xludf.DUMMYFUNCTION("""COMPUTED_VALUE"""),1.9705882352941178)</f>
        <v>1.970588235</v>
      </c>
      <c r="Y816" s="11">
        <f>IFERROR(__xludf.DUMMYFUNCTION("""COMPUTED_VALUE"""),5.0)</f>
        <v>5</v>
      </c>
      <c r="Z816" s="11">
        <f>IFERROR(__xludf.DUMMYFUNCTION("""COMPUTED_VALUE"""),0.0)</f>
        <v>0</v>
      </c>
      <c r="AA816" s="11">
        <f>IFERROR(__xludf.DUMMYFUNCTION("""COMPUTED_VALUE"""),0.0)</f>
        <v>0</v>
      </c>
      <c r="AB816" s="11">
        <f>IFERROR(__xludf.DUMMYFUNCTION("""COMPUTED_VALUE"""),4.0)</f>
        <v>4</v>
      </c>
      <c r="AC816" s="11">
        <f>IFERROR(__xludf.DUMMYFUNCTION("""COMPUTED_VALUE"""),32.0)</f>
        <v>32</v>
      </c>
      <c r="AD816" s="11">
        <f>IFERROR(__xludf.DUMMYFUNCTION("""COMPUTED_VALUE"""),37.0)</f>
        <v>37</v>
      </c>
    </row>
    <row r="817">
      <c r="A817" s="10" t="str">
        <f>IFERROR(__xludf.DUMMYFUNCTION("""COMPUTED_VALUE"""),"Veteran")</f>
        <v>Veteran</v>
      </c>
      <c r="B817" s="10" t="str">
        <f>IFERROR(__xludf.DUMMYFUNCTION("""COMPUTED_VALUE"""),"RSC006428")</f>
        <v>RSC006428</v>
      </c>
      <c r="C817" s="10" t="str">
        <f>IFERROR(__xludf.DUMMYFUNCTION("""COMPUTED_VALUE"""),"SniperWarrior007")</f>
        <v>SniperWarrior007</v>
      </c>
      <c r="D817" s="36" t="str">
        <f>IFERROR(__xludf.DUMMYFUNCTION("""COMPUTED_VALUE"""),"Peppermint")</f>
        <v>Peppermint</v>
      </c>
      <c r="E817" s="10" t="str">
        <f>IFERROR(__xludf.DUMMYFUNCTION("""COMPUTED_VALUE"""),"Solar")</f>
        <v>Solar</v>
      </c>
      <c r="F817" s="37">
        <f>IFERROR(__xludf.DUMMYFUNCTION("""COMPUTED_VALUE"""),17.361759042931794)</f>
        <v>17.36175904</v>
      </c>
      <c r="G817" s="38">
        <f>IFERROR(__xludf.DUMMYFUNCTION("""COMPUTED_VALUE"""),9.285110987485211)</f>
        <v>9.285110987</v>
      </c>
      <c r="H817" s="38">
        <f>IFERROR(__xludf.DUMMYFUNCTION("""COMPUTED_VALUE"""),13.323435015208503)</f>
        <v>13.32343502</v>
      </c>
      <c r="I817" s="14">
        <f>IFERROR(__xludf.DUMMYFUNCTION("""COMPUTED_VALUE"""),8.0)</f>
        <v>8</v>
      </c>
      <c r="J817" s="11">
        <f>IFERROR(__xludf.DUMMYFUNCTION("IFERROR(FILTER(Stats!$F:$Z,(Stats!$A:$A=$A817)*(Stats!$B:$B=$B817)))"),1.0)</f>
        <v>1</v>
      </c>
      <c r="K817" s="11">
        <f>IFERROR(__xludf.DUMMYFUNCTION("""COMPUTED_VALUE"""),7.0)</f>
        <v>7</v>
      </c>
      <c r="L817" s="12">
        <f>IFERROR(__xludf.DUMMYFUNCTION("""COMPUTED_VALUE"""),0.125)</f>
        <v>0.125</v>
      </c>
      <c r="M817" s="11">
        <f>IFERROR(__xludf.DUMMYFUNCTION("""COMPUTED_VALUE"""),0.0)</f>
        <v>0</v>
      </c>
      <c r="N817" s="11">
        <f>IFERROR(__xludf.DUMMYFUNCTION("""COMPUTED_VALUE"""),2162.0)</f>
        <v>2162</v>
      </c>
      <c r="O817" s="13">
        <f>IFERROR(__xludf.DUMMYFUNCTION("""COMPUTED_VALUE"""),3.0)</f>
        <v>3</v>
      </c>
      <c r="P817" s="14">
        <f>IFERROR(__xludf.DUMMYFUNCTION("""COMPUTED_VALUE"""),4.0)</f>
        <v>4</v>
      </c>
      <c r="Q817" s="13">
        <f>IFERROR(__xludf.DUMMYFUNCTION("""COMPUTED_VALUE"""),9.0)</f>
        <v>9</v>
      </c>
      <c r="R817" s="13">
        <f>IFERROR(__xludf.DUMMYFUNCTION("""COMPUTED_VALUE"""),13.0)</f>
        <v>13</v>
      </c>
      <c r="S817" s="15">
        <f>IFERROR(__xludf.DUMMYFUNCTION("""COMPUTED_VALUE"""),0.23076923076923078)</f>
        <v>0.2307692308</v>
      </c>
      <c r="T817" s="16">
        <f>IFERROR(__xludf.DUMMYFUNCTION("""COMPUTED_VALUE"""),270.25)</f>
        <v>270.25</v>
      </c>
      <c r="U817" s="16">
        <f>IFERROR(__xludf.DUMMYFUNCTION("""COMPUTED_VALUE"""),0.375)</f>
        <v>0.375</v>
      </c>
      <c r="V817" s="16">
        <f>IFERROR(__xludf.DUMMYFUNCTION("""COMPUTED_VALUE"""),0.5)</f>
        <v>0.5</v>
      </c>
      <c r="W817" s="16">
        <f>IFERROR(__xludf.DUMMYFUNCTION("""COMPUTED_VALUE"""),1.125)</f>
        <v>1.125</v>
      </c>
      <c r="X817" s="16">
        <f>IFERROR(__xludf.DUMMYFUNCTION("""COMPUTED_VALUE"""),1.625)</f>
        <v>1.625</v>
      </c>
      <c r="Y817" s="11">
        <f>IFERROR(__xludf.DUMMYFUNCTION("""COMPUTED_VALUE"""),0.0)</f>
        <v>0</v>
      </c>
      <c r="Z817" s="11">
        <f>IFERROR(__xludf.DUMMYFUNCTION("""COMPUTED_VALUE"""),0.0)</f>
        <v>0</v>
      </c>
      <c r="AA817" s="11">
        <f>IFERROR(__xludf.DUMMYFUNCTION("""COMPUTED_VALUE"""),0.0)</f>
        <v>0</v>
      </c>
      <c r="AB817" s="11">
        <f>IFERROR(__xludf.DUMMYFUNCTION("""COMPUTED_VALUE"""),1.0)</f>
        <v>1</v>
      </c>
      <c r="AC817" s="11">
        <f>IFERROR(__xludf.DUMMYFUNCTION("""COMPUTED_VALUE"""),6.0)</f>
        <v>6</v>
      </c>
      <c r="AD817" s="11">
        <f>IFERROR(__xludf.DUMMYFUNCTION("""COMPUTED_VALUE"""),10.0)</f>
        <v>10</v>
      </c>
    </row>
    <row r="818">
      <c r="A818" s="10" t="str">
        <f>IFERROR(__xludf.DUMMYFUNCTION("""COMPUTED_VALUE"""),"Veteran")</f>
        <v>Veteran</v>
      </c>
      <c r="B818" s="10" t="str">
        <f>IFERROR(__xludf.DUMMYFUNCTION("""COMPUTED_VALUE"""),"RSC006949")</f>
        <v>RSC006949</v>
      </c>
      <c r="C818" s="10" t="str">
        <f>IFERROR(__xludf.DUMMYFUNCTION("""COMPUTED_VALUE"""),"oiNio")</f>
        <v>oiNio</v>
      </c>
      <c r="D818" s="36" t="str">
        <f>IFERROR(__xludf.DUMMYFUNCTION("""COMPUTED_VALUE"""),"White Collars")</f>
        <v>White Collars</v>
      </c>
      <c r="E818" s="10" t="str">
        <f>IFERROR(__xludf.DUMMYFUNCTION("""COMPUTED_VALUE"""),"Lunar")</f>
        <v>Lunar</v>
      </c>
      <c r="F818" s="37">
        <f>IFERROR(__xludf.DUMMYFUNCTION("""COMPUTED_VALUE"""),8.34994452549303)</f>
        <v>8.349944525</v>
      </c>
      <c r="G818" s="38">
        <f>IFERROR(__xludf.DUMMYFUNCTION("""COMPUTED_VALUE"""),18.07917288813569)</f>
        <v>18.07917289</v>
      </c>
      <c r="H818" s="38">
        <f>IFERROR(__xludf.DUMMYFUNCTION("""COMPUTED_VALUE"""),13.21455870681436)</f>
        <v>13.21455871</v>
      </c>
      <c r="I818" s="14">
        <f>IFERROR(__xludf.DUMMYFUNCTION("""COMPUTED_VALUE"""),4.0)</f>
        <v>4</v>
      </c>
      <c r="J818" s="11">
        <f>IFERROR(__xludf.DUMMYFUNCTION("IFERROR(FILTER(Stats!$F:$Z,(Stats!$A:$A=$A818)*(Stats!$B:$B=$B818)))"),1.0)</f>
        <v>1</v>
      </c>
      <c r="K818" s="11">
        <f>IFERROR(__xludf.DUMMYFUNCTION("""COMPUTED_VALUE"""),3.0)</f>
        <v>3</v>
      </c>
      <c r="L818" s="12">
        <f>IFERROR(__xludf.DUMMYFUNCTION("""COMPUTED_VALUE"""),0.25)</f>
        <v>0.25</v>
      </c>
      <c r="M818" s="11">
        <f>IFERROR(__xludf.DUMMYFUNCTION("""COMPUTED_VALUE"""),0.0)</f>
        <v>0</v>
      </c>
      <c r="N818" s="11">
        <f>IFERROR(__xludf.DUMMYFUNCTION("""COMPUTED_VALUE"""),1209.0)</f>
        <v>1209</v>
      </c>
      <c r="O818" s="13">
        <f>IFERROR(__xludf.DUMMYFUNCTION("""COMPUTED_VALUE"""),4.0)</f>
        <v>4</v>
      </c>
      <c r="P818" s="14">
        <f>IFERROR(__xludf.DUMMYFUNCTION("""COMPUTED_VALUE"""),0.0)</f>
        <v>0</v>
      </c>
      <c r="Q818" s="13">
        <f>IFERROR(__xludf.DUMMYFUNCTION("""COMPUTED_VALUE"""),3.0)</f>
        <v>3</v>
      </c>
      <c r="R818" s="13">
        <f>IFERROR(__xludf.DUMMYFUNCTION("""COMPUTED_VALUE"""),8.0)</f>
        <v>8</v>
      </c>
      <c r="S818" s="15">
        <f>IFERROR(__xludf.DUMMYFUNCTION("""COMPUTED_VALUE"""),0.5)</f>
        <v>0.5</v>
      </c>
      <c r="T818" s="16">
        <f>IFERROR(__xludf.DUMMYFUNCTION("""COMPUTED_VALUE"""),302.25)</f>
        <v>302.25</v>
      </c>
      <c r="U818" s="16">
        <f>IFERROR(__xludf.DUMMYFUNCTION("""COMPUTED_VALUE"""),1.0)</f>
        <v>1</v>
      </c>
      <c r="V818" s="16">
        <f>IFERROR(__xludf.DUMMYFUNCTION("""COMPUTED_VALUE"""),0.0)</f>
        <v>0</v>
      </c>
      <c r="W818" s="16">
        <f>IFERROR(__xludf.DUMMYFUNCTION("""COMPUTED_VALUE"""),0.75)</f>
        <v>0.75</v>
      </c>
      <c r="X818" s="16">
        <f>IFERROR(__xludf.DUMMYFUNCTION("""COMPUTED_VALUE"""),2.0)</f>
        <v>2</v>
      </c>
      <c r="Y818" s="11">
        <f>IFERROR(__xludf.DUMMYFUNCTION("""COMPUTED_VALUE"""),0.0)</f>
        <v>0</v>
      </c>
      <c r="Z818" s="11">
        <f>IFERROR(__xludf.DUMMYFUNCTION("""COMPUTED_VALUE"""),0.0)</f>
        <v>0</v>
      </c>
      <c r="AA818" s="11">
        <f>IFERROR(__xludf.DUMMYFUNCTION("""COMPUTED_VALUE"""),0.0)</f>
        <v>0</v>
      </c>
      <c r="AB818" s="11">
        <f>IFERROR(__xludf.DUMMYFUNCTION("""COMPUTED_VALUE"""),0.0)</f>
        <v>0</v>
      </c>
      <c r="AC818" s="11">
        <f>IFERROR(__xludf.DUMMYFUNCTION("""COMPUTED_VALUE"""),2.0)</f>
        <v>2</v>
      </c>
      <c r="AD818" s="11">
        <f>IFERROR(__xludf.DUMMYFUNCTION("""COMPUTED_VALUE"""),5.0)</f>
        <v>5</v>
      </c>
    </row>
    <row r="819">
      <c r="A819" s="10" t="str">
        <f>IFERROR(__xludf.DUMMYFUNCTION("""COMPUTED_VALUE"""),"Veteran")</f>
        <v>Veteran</v>
      </c>
      <c r="B819" s="10" t="str">
        <f>IFERROR(__xludf.DUMMYFUNCTION("""COMPUTED_VALUE"""),"RSC008548")</f>
        <v>RSC008548</v>
      </c>
      <c r="C819" s="10" t="str">
        <f>IFERROR(__xludf.DUMMYFUNCTION("""COMPUTED_VALUE"""),"Slinkxyz")</f>
        <v>Slinkxyz</v>
      </c>
      <c r="D819" s="36" t="str">
        <f>IFERROR(__xludf.DUMMYFUNCTION("""COMPUTED_VALUE"""),"Peppermint
Makos
Shadow Tails")</f>
        <v>Peppermint
Makos
Shadow Tails</v>
      </c>
      <c r="E819" s="10" t="str">
        <f>IFERROR(__xludf.DUMMYFUNCTION("""COMPUTED_VALUE"""),"Solar
Solar
Solar")</f>
        <v>Solar
Solar
Solar</v>
      </c>
      <c r="F819" s="37">
        <f>IFERROR(__xludf.DUMMYFUNCTION("""COMPUTED_VALUE"""),6.8710610963918555)</f>
        <v>6.871061096</v>
      </c>
      <c r="G819" s="38">
        <f>IFERROR(__xludf.DUMMYFUNCTION("""COMPUTED_VALUE"""),13.644231502068145)</f>
        <v>13.6442315</v>
      </c>
      <c r="H819" s="38">
        <f>IFERROR(__xludf.DUMMYFUNCTION("""COMPUTED_VALUE"""),10.25764629923)</f>
        <v>10.2576463</v>
      </c>
      <c r="I819" s="14">
        <f>IFERROR(__xludf.DUMMYFUNCTION("""COMPUTED_VALUE"""),12.0)</f>
        <v>12</v>
      </c>
      <c r="J819" s="11">
        <f>IFERROR(__xludf.DUMMYFUNCTION("IFERROR(FILTER(Stats!$F:$Z,(Stats!$A:$A=$A819)*(Stats!$B:$B=$B819)))"),3.0)</f>
        <v>3</v>
      </c>
      <c r="K819" s="11">
        <f>IFERROR(__xludf.DUMMYFUNCTION("""COMPUTED_VALUE"""),9.0)</f>
        <v>9</v>
      </c>
      <c r="L819" s="12">
        <f>IFERROR(__xludf.DUMMYFUNCTION("""COMPUTED_VALUE"""),0.25)</f>
        <v>0.25</v>
      </c>
      <c r="M819" s="11">
        <f>IFERROR(__xludf.DUMMYFUNCTION("""COMPUTED_VALUE"""),0.0)</f>
        <v>0</v>
      </c>
      <c r="N819" s="11">
        <f>IFERROR(__xludf.DUMMYFUNCTION("""COMPUTED_VALUE"""),2649.0)</f>
        <v>2649</v>
      </c>
      <c r="O819" s="13">
        <f>IFERROR(__xludf.DUMMYFUNCTION("""COMPUTED_VALUE"""),4.0)</f>
        <v>4</v>
      </c>
      <c r="P819" s="14">
        <f>IFERROR(__xludf.DUMMYFUNCTION("""COMPUTED_VALUE"""),4.0)</f>
        <v>4</v>
      </c>
      <c r="Q819" s="13">
        <f>IFERROR(__xludf.DUMMYFUNCTION("""COMPUTED_VALUE"""),8.0)</f>
        <v>8</v>
      </c>
      <c r="R819" s="13">
        <f>IFERROR(__xludf.DUMMYFUNCTION("""COMPUTED_VALUE"""),28.0)</f>
        <v>28</v>
      </c>
      <c r="S819" s="15">
        <f>IFERROR(__xludf.DUMMYFUNCTION("""COMPUTED_VALUE"""),0.14285714285714285)</f>
        <v>0.1428571429</v>
      </c>
      <c r="T819" s="16">
        <f>IFERROR(__xludf.DUMMYFUNCTION("""COMPUTED_VALUE"""),220.75)</f>
        <v>220.75</v>
      </c>
      <c r="U819" s="16">
        <f>IFERROR(__xludf.DUMMYFUNCTION("""COMPUTED_VALUE"""),0.3333333333333333)</f>
        <v>0.3333333333</v>
      </c>
      <c r="V819" s="16">
        <f>IFERROR(__xludf.DUMMYFUNCTION("""COMPUTED_VALUE"""),0.3333333333333333)</f>
        <v>0.3333333333</v>
      </c>
      <c r="W819" s="16">
        <f>IFERROR(__xludf.DUMMYFUNCTION("""COMPUTED_VALUE"""),0.6666666666666666)</f>
        <v>0.6666666667</v>
      </c>
      <c r="X819" s="16">
        <f>IFERROR(__xludf.DUMMYFUNCTION("""COMPUTED_VALUE"""),2.3333333333333335)</f>
        <v>2.333333333</v>
      </c>
      <c r="Y819" s="11">
        <f>IFERROR(__xludf.DUMMYFUNCTION("""COMPUTED_VALUE"""),0.0)</f>
        <v>0</v>
      </c>
      <c r="Z819" s="11">
        <f>IFERROR(__xludf.DUMMYFUNCTION("""COMPUTED_VALUE"""),0.0)</f>
        <v>0</v>
      </c>
      <c r="AA819" s="11">
        <f>IFERROR(__xludf.DUMMYFUNCTION("""COMPUTED_VALUE"""),0.0)</f>
        <v>0</v>
      </c>
      <c r="AB819" s="11">
        <f>IFERROR(__xludf.DUMMYFUNCTION("""COMPUTED_VALUE"""),1.0)</f>
        <v>1</v>
      </c>
      <c r="AC819" s="11">
        <f>IFERROR(__xludf.DUMMYFUNCTION("""COMPUTED_VALUE"""),11.0)</f>
        <v>11</v>
      </c>
      <c r="AD819" s="11">
        <f>IFERROR(__xludf.DUMMYFUNCTION("""COMPUTED_VALUE"""),13.0)</f>
        <v>13</v>
      </c>
    </row>
    <row r="820">
      <c r="A820" s="10" t="str">
        <f>IFERROR(__xludf.DUMMYFUNCTION("""COMPUTED_VALUE"""),"Veteran")</f>
        <v>Veteran</v>
      </c>
      <c r="B820" s="10" t="str">
        <f>IFERROR(__xludf.DUMMYFUNCTION("""COMPUTED_VALUE"""),"RSC000848")</f>
        <v>RSC000848</v>
      </c>
      <c r="C820" s="10" t="str">
        <f>IFERROR(__xludf.DUMMYFUNCTION("""COMPUTED_VALUE"""),"WittingHalo64")</f>
        <v>WittingHalo64</v>
      </c>
      <c r="D820" s="36" t="str">
        <f>IFERROR(__xludf.DUMMYFUNCTION("""COMPUTED_VALUE"""),"Water")</f>
        <v>Water</v>
      </c>
      <c r="E820" s="10" t="str">
        <f>IFERROR(__xludf.DUMMYFUNCTION("""COMPUTED_VALUE"""),"Solar")</f>
        <v>Solar</v>
      </c>
      <c r="F820" s="37">
        <f>IFERROR(__xludf.DUMMYFUNCTION("""COMPUTED_VALUE"""),9.770923396387417)</f>
        <v>9.770923396</v>
      </c>
      <c r="G820" s="38">
        <f>IFERROR(__xludf.DUMMYFUNCTION("""COMPUTED_VALUE"""),9.387599887624845)</f>
        <v>9.387599888</v>
      </c>
      <c r="H820" s="38">
        <f>IFERROR(__xludf.DUMMYFUNCTION("""COMPUTED_VALUE"""),9.57926164200613)</f>
        <v>9.579261642</v>
      </c>
      <c r="I820" s="14">
        <f>IFERROR(__xludf.DUMMYFUNCTION("""COMPUTED_VALUE"""),2.0)</f>
        <v>2</v>
      </c>
      <c r="J820" s="11">
        <f>IFERROR(__xludf.DUMMYFUNCTION("IFERROR(FILTER(Stats!$F:$Z,(Stats!$A:$A=$A820)*(Stats!$B:$B=$B820)))"),0.0)</f>
        <v>0</v>
      </c>
      <c r="K820" s="11">
        <f>IFERROR(__xludf.DUMMYFUNCTION("""COMPUTED_VALUE"""),2.0)</f>
        <v>2</v>
      </c>
      <c r="L820" s="12">
        <f>IFERROR(__xludf.DUMMYFUNCTION("""COMPUTED_VALUE"""),0.0)</f>
        <v>0</v>
      </c>
      <c r="M820" s="11">
        <f>IFERROR(__xludf.DUMMYFUNCTION("""COMPUTED_VALUE"""),0.0)</f>
        <v>0</v>
      </c>
      <c r="N820" s="11">
        <f>IFERROR(__xludf.DUMMYFUNCTION("""COMPUTED_VALUE"""),478.0)</f>
        <v>478</v>
      </c>
      <c r="O820" s="13">
        <f>IFERROR(__xludf.DUMMYFUNCTION("""COMPUTED_VALUE"""),1.0)</f>
        <v>1</v>
      </c>
      <c r="P820" s="14">
        <f>IFERROR(__xludf.DUMMYFUNCTION("""COMPUTED_VALUE"""),0.0)</f>
        <v>0</v>
      </c>
      <c r="Q820" s="13">
        <f>IFERROR(__xludf.DUMMYFUNCTION("""COMPUTED_VALUE"""),1.0)</f>
        <v>1</v>
      </c>
      <c r="R820" s="13">
        <f>IFERROR(__xludf.DUMMYFUNCTION("""COMPUTED_VALUE"""),6.0)</f>
        <v>6</v>
      </c>
      <c r="S820" s="15">
        <f>IFERROR(__xludf.DUMMYFUNCTION("""COMPUTED_VALUE"""),0.16666666666666666)</f>
        <v>0.1666666667</v>
      </c>
      <c r="T820" s="16">
        <f>IFERROR(__xludf.DUMMYFUNCTION("""COMPUTED_VALUE"""),239.0)</f>
        <v>239</v>
      </c>
      <c r="U820" s="16">
        <f>IFERROR(__xludf.DUMMYFUNCTION("""COMPUTED_VALUE"""),0.5)</f>
        <v>0.5</v>
      </c>
      <c r="V820" s="16">
        <f>IFERROR(__xludf.DUMMYFUNCTION("""COMPUTED_VALUE"""),0.0)</f>
        <v>0</v>
      </c>
      <c r="W820" s="16">
        <f>IFERROR(__xludf.DUMMYFUNCTION("""COMPUTED_VALUE"""),0.5)</f>
        <v>0.5</v>
      </c>
      <c r="X820" s="16">
        <f>IFERROR(__xludf.DUMMYFUNCTION("""COMPUTED_VALUE"""),3.0)</f>
        <v>3</v>
      </c>
      <c r="Y820" s="11">
        <f>IFERROR(__xludf.DUMMYFUNCTION("""COMPUTED_VALUE"""),0.0)</f>
        <v>0</v>
      </c>
      <c r="Z820" s="11">
        <f>IFERROR(__xludf.DUMMYFUNCTION("""COMPUTED_VALUE"""),0.0)</f>
        <v>0</v>
      </c>
      <c r="AA820" s="11">
        <f>IFERROR(__xludf.DUMMYFUNCTION("""COMPUTED_VALUE"""),0.0)</f>
        <v>0</v>
      </c>
      <c r="AB820" s="11">
        <f>IFERROR(__xludf.DUMMYFUNCTION("""COMPUTED_VALUE"""),0.0)</f>
        <v>0</v>
      </c>
      <c r="AC820" s="11">
        <f>IFERROR(__xludf.DUMMYFUNCTION("""COMPUTED_VALUE"""),1.0)</f>
        <v>1</v>
      </c>
      <c r="AD820" s="11">
        <f>IFERROR(__xludf.DUMMYFUNCTION("""COMPUTED_VALUE"""),1.0)</f>
        <v>1</v>
      </c>
    </row>
    <row r="821">
      <c r="A821" s="10" t="str">
        <f>IFERROR(__xludf.DUMMYFUNCTION("""COMPUTED_VALUE"""),"Veteran")</f>
        <v>Veteran</v>
      </c>
      <c r="B821" s="10" t="str">
        <f>IFERROR(__xludf.DUMMYFUNCTION("""COMPUTED_VALUE"""),"RSC008562")</f>
        <v>RSC008562</v>
      </c>
      <c r="C821" s="10" t="str">
        <f>IFERROR(__xludf.DUMMYFUNCTION("""COMPUTED_VALUE"""),"lul za za")</f>
        <v>lul za za</v>
      </c>
      <c r="D821" s="36" t="str">
        <f>IFERROR(__xludf.DUMMYFUNCTION("""COMPUTED_VALUE"""),"Supernova
Peppermint")</f>
        <v>Supernova
Peppermint</v>
      </c>
      <c r="E821" s="10" t="str">
        <f>IFERROR(__xludf.DUMMYFUNCTION("""COMPUTED_VALUE"""),"Lunar
Solar")</f>
        <v>Lunar
Solar</v>
      </c>
      <c r="F821" s="37">
        <f>IFERROR(__xludf.DUMMYFUNCTION("""COMPUTED_VALUE"""),18.263560202238565)</f>
        <v>18.2635602</v>
      </c>
      <c r="G821" s="38">
        <f>IFERROR(__xludf.DUMMYFUNCTION("""COMPUTED_VALUE"""),0.40294608208738225)</f>
        <v>0.4029460821</v>
      </c>
      <c r="H821" s="38">
        <f>IFERROR(__xludf.DUMMYFUNCTION("""COMPUTED_VALUE"""),9.333253142162974)</f>
        <v>9.333253142</v>
      </c>
      <c r="I821" s="14">
        <f>IFERROR(__xludf.DUMMYFUNCTION("""COMPUTED_VALUE"""),7.0)</f>
        <v>7</v>
      </c>
      <c r="J821" s="11">
        <f>IFERROR(__xludf.DUMMYFUNCTION("IFERROR(FILTER(Stats!$F:$Z,(Stats!$A:$A=$A821)*(Stats!$B:$B=$B821)))"),2.0)</f>
        <v>2</v>
      </c>
      <c r="K821" s="11">
        <f>IFERROR(__xludf.DUMMYFUNCTION("""COMPUTED_VALUE"""),5.0)</f>
        <v>5</v>
      </c>
      <c r="L821" s="12">
        <f>IFERROR(__xludf.DUMMYFUNCTION("""COMPUTED_VALUE"""),0.2857142857142857)</f>
        <v>0.2857142857</v>
      </c>
      <c r="M821" s="11">
        <f>IFERROR(__xludf.DUMMYFUNCTION("""COMPUTED_VALUE"""),1.0)</f>
        <v>1</v>
      </c>
      <c r="N821" s="11">
        <f>IFERROR(__xludf.DUMMYFUNCTION("""COMPUTED_VALUE"""),2110.0)</f>
        <v>2110</v>
      </c>
      <c r="O821" s="13">
        <f>IFERROR(__xludf.DUMMYFUNCTION("""COMPUTED_VALUE"""),3.0)</f>
        <v>3</v>
      </c>
      <c r="P821" s="14">
        <f>IFERROR(__xludf.DUMMYFUNCTION("""COMPUTED_VALUE"""),1.0)</f>
        <v>1</v>
      </c>
      <c r="Q821" s="13">
        <f>IFERROR(__xludf.DUMMYFUNCTION("""COMPUTED_VALUE"""),10.0)</f>
        <v>10</v>
      </c>
      <c r="R821" s="13">
        <f>IFERROR(__xludf.DUMMYFUNCTION("""COMPUTED_VALUE"""),12.0)</f>
        <v>12</v>
      </c>
      <c r="S821" s="15">
        <f>IFERROR(__xludf.DUMMYFUNCTION("""COMPUTED_VALUE"""),0.25)</f>
        <v>0.25</v>
      </c>
      <c r="T821" s="16">
        <f>IFERROR(__xludf.DUMMYFUNCTION("""COMPUTED_VALUE"""),301.42857142857144)</f>
        <v>301.4285714</v>
      </c>
      <c r="U821" s="16">
        <f>IFERROR(__xludf.DUMMYFUNCTION("""COMPUTED_VALUE"""),0.42857142857142855)</f>
        <v>0.4285714286</v>
      </c>
      <c r="V821" s="16">
        <f>IFERROR(__xludf.DUMMYFUNCTION("""COMPUTED_VALUE"""),0.14285714285714285)</f>
        <v>0.1428571429</v>
      </c>
      <c r="W821" s="16">
        <f>IFERROR(__xludf.DUMMYFUNCTION("""COMPUTED_VALUE"""),1.4285714285714286)</f>
        <v>1.428571429</v>
      </c>
      <c r="X821" s="16">
        <f>IFERROR(__xludf.DUMMYFUNCTION("""COMPUTED_VALUE"""),1.7142857142857142)</f>
        <v>1.714285714</v>
      </c>
      <c r="Y821" s="11">
        <f>IFERROR(__xludf.DUMMYFUNCTION("""COMPUTED_VALUE"""),1.0)</f>
        <v>1</v>
      </c>
      <c r="Z821" s="11">
        <f>IFERROR(__xludf.DUMMYFUNCTION("""COMPUTED_VALUE"""),0.0)</f>
        <v>0</v>
      </c>
      <c r="AA821" s="11">
        <f>IFERROR(__xludf.DUMMYFUNCTION("""COMPUTED_VALUE"""),0.0)</f>
        <v>0</v>
      </c>
      <c r="AB821" s="11">
        <f>IFERROR(__xludf.DUMMYFUNCTION("""COMPUTED_VALUE"""),1.0)</f>
        <v>1</v>
      </c>
      <c r="AC821" s="11">
        <f>IFERROR(__xludf.DUMMYFUNCTION("""COMPUTED_VALUE"""),4.0)</f>
        <v>4</v>
      </c>
      <c r="AD821" s="11">
        <f>IFERROR(__xludf.DUMMYFUNCTION("""COMPUTED_VALUE"""),8.0)</f>
        <v>8</v>
      </c>
    </row>
    <row r="822">
      <c r="A822" s="10" t="str">
        <f>IFERROR(__xludf.DUMMYFUNCTION("""COMPUTED_VALUE"""),"Veteran")</f>
        <v>Veteran</v>
      </c>
      <c r="B822" s="10" t="str">
        <f>IFERROR(__xludf.DUMMYFUNCTION("""COMPUTED_VALUE"""),"RSC008411")</f>
        <v>RSC008411</v>
      </c>
      <c r="C822" s="10" t="str">
        <f>IFERROR(__xludf.DUMMYFUNCTION("""COMPUTED_VALUE"""),"cosmo6430")</f>
        <v>cosmo6430</v>
      </c>
      <c r="D822" s="36" t="str">
        <f>IFERROR(__xludf.DUMMYFUNCTION("""COMPUTED_VALUE"""),"Dread
Singularity")</f>
        <v>Dread
Singularity</v>
      </c>
      <c r="E822" s="10" t="str">
        <f>IFERROR(__xludf.DUMMYFUNCTION("""COMPUTED_VALUE"""),"Lunar
Solar")</f>
        <v>Lunar
Solar</v>
      </c>
      <c r="F822" s="37">
        <f>IFERROR(__xludf.DUMMYFUNCTION("""COMPUTED_VALUE"""),14.66997627668006)</f>
        <v>14.66997628</v>
      </c>
      <c r="G822" s="38">
        <f>IFERROR(__xludf.DUMMYFUNCTION("""COMPUTED_VALUE"""),1.4988245456100202)</f>
        <v>1.498824546</v>
      </c>
      <c r="H822" s="38">
        <f>IFERROR(__xludf.DUMMYFUNCTION("""COMPUTED_VALUE"""),8.08440041114504)</f>
        <v>8.084400411</v>
      </c>
      <c r="I822" s="14">
        <f>IFERROR(__xludf.DUMMYFUNCTION("""COMPUTED_VALUE"""),23.0)</f>
        <v>23</v>
      </c>
      <c r="J822" s="11">
        <f>IFERROR(__xludf.DUMMYFUNCTION("IFERROR(FILTER(Stats!$F:$Z,(Stats!$A:$A=$A822)*(Stats!$B:$B=$B822)))"),3.0)</f>
        <v>3</v>
      </c>
      <c r="K822" s="11">
        <f>IFERROR(__xludf.DUMMYFUNCTION("""COMPUTED_VALUE"""),20.0)</f>
        <v>20</v>
      </c>
      <c r="L822" s="12">
        <f>IFERROR(__xludf.DUMMYFUNCTION("""COMPUTED_VALUE"""),0.13043478260869565)</f>
        <v>0.1304347826</v>
      </c>
      <c r="M822" s="11">
        <f>IFERROR(__xludf.DUMMYFUNCTION("""COMPUTED_VALUE"""),2.0)</f>
        <v>2</v>
      </c>
      <c r="N822" s="11">
        <f>IFERROR(__xludf.DUMMYFUNCTION("""COMPUTED_VALUE"""),6381.0)</f>
        <v>6381</v>
      </c>
      <c r="O822" s="13">
        <f>IFERROR(__xludf.DUMMYFUNCTION("""COMPUTED_VALUE"""),8.0)</f>
        <v>8</v>
      </c>
      <c r="P822" s="14">
        <f>IFERROR(__xludf.DUMMYFUNCTION("""COMPUTED_VALUE"""),7.0)</f>
        <v>7</v>
      </c>
      <c r="Q822" s="13">
        <f>IFERROR(__xludf.DUMMYFUNCTION("""COMPUTED_VALUE"""),32.0)</f>
        <v>32</v>
      </c>
      <c r="R822" s="13">
        <f>IFERROR(__xludf.DUMMYFUNCTION("""COMPUTED_VALUE"""),40.0)</f>
        <v>40</v>
      </c>
      <c r="S822" s="15">
        <f>IFERROR(__xludf.DUMMYFUNCTION("""COMPUTED_VALUE"""),0.2)</f>
        <v>0.2</v>
      </c>
      <c r="T822" s="16">
        <f>IFERROR(__xludf.DUMMYFUNCTION("""COMPUTED_VALUE"""),277.4347826086956)</f>
        <v>277.4347826</v>
      </c>
      <c r="U822" s="16">
        <f>IFERROR(__xludf.DUMMYFUNCTION("""COMPUTED_VALUE"""),0.34782608695652173)</f>
        <v>0.347826087</v>
      </c>
      <c r="V822" s="16">
        <f>IFERROR(__xludf.DUMMYFUNCTION("""COMPUTED_VALUE"""),0.30434782608695654)</f>
        <v>0.3043478261</v>
      </c>
      <c r="W822" s="16">
        <f>IFERROR(__xludf.DUMMYFUNCTION("""COMPUTED_VALUE"""),1.391304347826087)</f>
        <v>1.391304348</v>
      </c>
      <c r="X822" s="16">
        <f>IFERROR(__xludf.DUMMYFUNCTION("""COMPUTED_VALUE"""),1.7391304347826086)</f>
        <v>1.739130435</v>
      </c>
      <c r="Y822" s="11">
        <f>IFERROR(__xludf.DUMMYFUNCTION("""COMPUTED_VALUE"""),1.0)</f>
        <v>1</v>
      </c>
      <c r="Z822" s="11">
        <f>IFERROR(__xludf.DUMMYFUNCTION("""COMPUTED_VALUE"""),0.0)</f>
        <v>0</v>
      </c>
      <c r="AA822" s="11">
        <f>IFERROR(__xludf.DUMMYFUNCTION("""COMPUTED_VALUE"""),0.0)</f>
        <v>0</v>
      </c>
      <c r="AB822" s="11">
        <f>IFERROR(__xludf.DUMMYFUNCTION("""COMPUTED_VALUE"""),4.0)</f>
        <v>4</v>
      </c>
      <c r="AC822" s="11">
        <f>IFERROR(__xludf.DUMMYFUNCTION("""COMPUTED_VALUE"""),19.0)</f>
        <v>19</v>
      </c>
      <c r="AD822" s="11">
        <f>IFERROR(__xludf.DUMMYFUNCTION("""COMPUTED_VALUE"""),34.0)</f>
        <v>34</v>
      </c>
    </row>
    <row r="823">
      <c r="A823" s="10" t="str">
        <f>IFERROR(__xludf.DUMMYFUNCTION("""COMPUTED_VALUE"""),"Veteran")</f>
        <v>Veteran</v>
      </c>
      <c r="B823" s="10" t="str">
        <f>IFERROR(__xludf.DUMMYFUNCTION("""COMPUTED_VALUE"""),"RSC007576")</f>
        <v>RSC007576</v>
      </c>
      <c r="C823" s="10" t="str">
        <f>IFERROR(__xludf.DUMMYFUNCTION("""COMPUTED_VALUE"""),"CxldHeartedJess")</f>
        <v>CxldHeartedJess</v>
      </c>
      <c r="D823" s="36" t="str">
        <f>IFERROR(__xludf.DUMMYFUNCTION("""COMPUTED_VALUE"""),"Peppermint")</f>
        <v>Peppermint</v>
      </c>
      <c r="E823" s="10" t="str">
        <f>IFERROR(__xludf.DUMMYFUNCTION("""COMPUTED_VALUE"""),"Solar")</f>
        <v>Solar</v>
      </c>
      <c r="F823" s="37">
        <f>IFERROR(__xludf.DUMMYFUNCTION("""COMPUTED_VALUE"""),6.71988344905963)</f>
        <v>6.719883449</v>
      </c>
      <c r="G823" s="38">
        <f>IFERROR(__xludf.DUMMYFUNCTION("""COMPUTED_VALUE"""),7.675488800934609)</f>
        <v>7.675488801</v>
      </c>
      <c r="H823" s="38">
        <f>IFERROR(__xludf.DUMMYFUNCTION("""COMPUTED_VALUE"""),7.197686124997119)</f>
        <v>7.197686125</v>
      </c>
      <c r="I823" s="14">
        <f>IFERROR(__xludf.DUMMYFUNCTION("""COMPUTED_VALUE"""),8.0)</f>
        <v>8</v>
      </c>
      <c r="J823" s="11">
        <f>IFERROR(__xludf.DUMMYFUNCTION("IFERROR(FILTER(Stats!$F:$Z,(Stats!$A:$A=$A823)*(Stats!$B:$B=$B823)))"),2.0)</f>
        <v>2</v>
      </c>
      <c r="K823" s="11">
        <f>IFERROR(__xludf.DUMMYFUNCTION("""COMPUTED_VALUE"""),6.0)</f>
        <v>6</v>
      </c>
      <c r="L823" s="12">
        <f>IFERROR(__xludf.DUMMYFUNCTION("""COMPUTED_VALUE"""),0.25)</f>
        <v>0.25</v>
      </c>
      <c r="M823" s="11">
        <f>IFERROR(__xludf.DUMMYFUNCTION("""COMPUTED_VALUE"""),0.0)</f>
        <v>0</v>
      </c>
      <c r="N823" s="11">
        <f>IFERROR(__xludf.DUMMYFUNCTION("""COMPUTED_VALUE"""),1992.0)</f>
        <v>1992</v>
      </c>
      <c r="O823" s="13">
        <f>IFERROR(__xludf.DUMMYFUNCTION("""COMPUTED_VALUE"""),2.0)</f>
        <v>2</v>
      </c>
      <c r="P823" s="14">
        <f>IFERROR(__xludf.DUMMYFUNCTION("""COMPUTED_VALUE"""),5.0)</f>
        <v>5</v>
      </c>
      <c r="Q823" s="13">
        <f>IFERROR(__xludf.DUMMYFUNCTION("""COMPUTED_VALUE"""),8.0)</f>
        <v>8</v>
      </c>
      <c r="R823" s="13">
        <f>IFERROR(__xludf.DUMMYFUNCTION("""COMPUTED_VALUE"""),14.0)</f>
        <v>14</v>
      </c>
      <c r="S823" s="15">
        <f>IFERROR(__xludf.DUMMYFUNCTION("""COMPUTED_VALUE"""),0.14285714285714285)</f>
        <v>0.1428571429</v>
      </c>
      <c r="T823" s="16">
        <f>IFERROR(__xludf.DUMMYFUNCTION("""COMPUTED_VALUE"""),249.0)</f>
        <v>249</v>
      </c>
      <c r="U823" s="16">
        <f>IFERROR(__xludf.DUMMYFUNCTION("""COMPUTED_VALUE"""),0.25)</f>
        <v>0.25</v>
      </c>
      <c r="V823" s="16">
        <f>IFERROR(__xludf.DUMMYFUNCTION("""COMPUTED_VALUE"""),0.625)</f>
        <v>0.625</v>
      </c>
      <c r="W823" s="16">
        <f>IFERROR(__xludf.DUMMYFUNCTION("""COMPUTED_VALUE"""),1.0)</f>
        <v>1</v>
      </c>
      <c r="X823" s="16">
        <f>IFERROR(__xludf.DUMMYFUNCTION("""COMPUTED_VALUE"""),1.75)</f>
        <v>1.75</v>
      </c>
      <c r="Y823" s="11">
        <f>IFERROR(__xludf.DUMMYFUNCTION("""COMPUTED_VALUE"""),0.0)</f>
        <v>0</v>
      </c>
      <c r="Z823" s="11">
        <f>IFERROR(__xludf.DUMMYFUNCTION("""COMPUTED_VALUE"""),0.0)</f>
        <v>0</v>
      </c>
      <c r="AA823" s="11">
        <f>IFERROR(__xludf.DUMMYFUNCTION("""COMPUTED_VALUE"""),0.0)</f>
        <v>0</v>
      </c>
      <c r="AB823" s="11">
        <f>IFERROR(__xludf.DUMMYFUNCTION("""COMPUTED_VALUE"""),0.0)</f>
        <v>0</v>
      </c>
      <c r="AC823" s="11">
        <f>IFERROR(__xludf.DUMMYFUNCTION("""COMPUTED_VALUE"""),7.0)</f>
        <v>7</v>
      </c>
      <c r="AD823" s="11">
        <f>IFERROR(__xludf.DUMMYFUNCTION("""COMPUTED_VALUE"""),2.0)</f>
        <v>2</v>
      </c>
    </row>
    <row r="824">
      <c r="A824" s="10" t="str">
        <f>IFERROR(__xludf.DUMMYFUNCTION("""COMPUTED_VALUE"""),"Veteran")</f>
        <v>Veteran</v>
      </c>
      <c r="B824" s="10" t="str">
        <f>IFERROR(__xludf.DUMMYFUNCTION("""COMPUTED_VALUE"""),"RSC005246")</f>
        <v>RSC005246</v>
      </c>
      <c r="C824" s="10" t="str">
        <f>IFERROR(__xludf.DUMMYFUNCTION("""COMPUTED_VALUE"""),"Irishhhh")</f>
        <v>Irishhhh</v>
      </c>
      <c r="D824" s="36" t="str">
        <f>IFERROR(__xludf.DUMMYFUNCTION("""COMPUTED_VALUE"""),"Mosaic Maestros")</f>
        <v>Mosaic Maestros</v>
      </c>
      <c r="E824" s="10" t="str">
        <f>IFERROR(__xludf.DUMMYFUNCTION("""COMPUTED_VALUE"""),"Solar")</f>
        <v>Solar</v>
      </c>
      <c r="F824" s="37">
        <f>IFERROR(__xludf.DUMMYFUNCTION("""COMPUTED_VALUE"""),2.0193462115721346)</f>
        <v>2.019346212</v>
      </c>
      <c r="G824" s="38">
        <f>IFERROR(__xludf.DUMMYFUNCTION("""COMPUTED_VALUE"""),-4.592551219331142)</f>
        <v>-4.592551219</v>
      </c>
      <c r="H824" s="38">
        <f>IFERROR(__xludf.DUMMYFUNCTION("""COMPUTED_VALUE"""),-1.2866025038795037)</f>
        <v>-1.286602504</v>
      </c>
      <c r="I824" s="14">
        <f>IFERROR(__xludf.DUMMYFUNCTION("""COMPUTED_VALUE"""),30.0)</f>
        <v>30</v>
      </c>
      <c r="J824" s="11">
        <f>IFERROR(__xludf.DUMMYFUNCTION("IFERROR(FILTER(Stats!$F:$Z,(Stats!$A:$A=$A824)*(Stats!$B:$B=$B824)))"),10.0)</f>
        <v>10</v>
      </c>
      <c r="K824" s="11">
        <f>IFERROR(__xludf.DUMMYFUNCTION("""COMPUTED_VALUE"""),20.0)</f>
        <v>20</v>
      </c>
      <c r="L824" s="12">
        <f>IFERROR(__xludf.DUMMYFUNCTION("""COMPUTED_VALUE"""),0.3333333333333333)</f>
        <v>0.3333333333</v>
      </c>
      <c r="M824" s="11">
        <f>IFERROR(__xludf.DUMMYFUNCTION("""COMPUTED_VALUE"""),1.0)</f>
        <v>1</v>
      </c>
      <c r="N824" s="11">
        <f>IFERROR(__xludf.DUMMYFUNCTION("""COMPUTED_VALUE"""),7416.0)</f>
        <v>7416</v>
      </c>
      <c r="O824" s="13">
        <f>IFERROR(__xludf.DUMMYFUNCTION("""COMPUTED_VALUE"""),11.0)</f>
        <v>11</v>
      </c>
      <c r="P824" s="14">
        <f>IFERROR(__xludf.DUMMYFUNCTION("""COMPUTED_VALUE"""),6.0)</f>
        <v>6</v>
      </c>
      <c r="Q824" s="13">
        <f>IFERROR(__xludf.DUMMYFUNCTION("""COMPUTED_VALUE"""),36.0)</f>
        <v>36</v>
      </c>
      <c r="R824" s="13">
        <f>IFERROR(__xludf.DUMMYFUNCTION("""COMPUTED_VALUE"""),56.0)</f>
        <v>56</v>
      </c>
      <c r="S824" s="15">
        <f>IFERROR(__xludf.DUMMYFUNCTION("""COMPUTED_VALUE"""),0.19642857142857142)</f>
        <v>0.1964285714</v>
      </c>
      <c r="T824" s="16">
        <f>IFERROR(__xludf.DUMMYFUNCTION("""COMPUTED_VALUE"""),247.2)</f>
        <v>247.2</v>
      </c>
      <c r="U824" s="16">
        <f>IFERROR(__xludf.DUMMYFUNCTION("""COMPUTED_VALUE"""),0.36666666666666664)</f>
        <v>0.3666666667</v>
      </c>
      <c r="V824" s="16">
        <f>IFERROR(__xludf.DUMMYFUNCTION("""COMPUTED_VALUE"""),0.2)</f>
        <v>0.2</v>
      </c>
      <c r="W824" s="16">
        <f>IFERROR(__xludf.DUMMYFUNCTION("""COMPUTED_VALUE"""),1.2)</f>
        <v>1.2</v>
      </c>
      <c r="X824" s="16">
        <f>IFERROR(__xludf.DUMMYFUNCTION("""COMPUTED_VALUE"""),1.8666666666666667)</f>
        <v>1.866666667</v>
      </c>
      <c r="Y824" s="11">
        <f>IFERROR(__xludf.DUMMYFUNCTION("""COMPUTED_VALUE"""),1.0)</f>
        <v>1</v>
      </c>
      <c r="Z824" s="11">
        <f>IFERROR(__xludf.DUMMYFUNCTION("""COMPUTED_VALUE"""),1.0)</f>
        <v>1</v>
      </c>
      <c r="AA824" s="11">
        <f>IFERROR(__xludf.DUMMYFUNCTION("""COMPUTED_VALUE"""),0.0)</f>
        <v>0</v>
      </c>
      <c r="AB824" s="11">
        <f>IFERROR(__xludf.DUMMYFUNCTION("""COMPUTED_VALUE"""),4.0)</f>
        <v>4</v>
      </c>
      <c r="AC824" s="11">
        <f>IFERROR(__xludf.DUMMYFUNCTION("""COMPUTED_VALUE"""),27.0)</f>
        <v>27</v>
      </c>
      <c r="AD824" s="11">
        <f>IFERROR(__xludf.DUMMYFUNCTION("""COMPUTED_VALUE"""),40.0)</f>
        <v>40</v>
      </c>
    </row>
    <row r="825">
      <c r="A825" s="10" t="str">
        <f>IFERROR(__xludf.DUMMYFUNCTION("""COMPUTED_VALUE"""),"Veteran")</f>
        <v>Veteran</v>
      </c>
      <c r="B825" s="10" t="str">
        <f>IFERROR(__xludf.DUMMYFUNCTION("""COMPUTED_VALUE"""),"RSC006794")</f>
        <v>RSC006794</v>
      </c>
      <c r="C825" s="10" t="str">
        <f>IFERROR(__xludf.DUMMYFUNCTION("""COMPUTED_VALUE"""),"HI7MAN305")</f>
        <v>HI7MAN305</v>
      </c>
      <c r="D825" s="36" t="str">
        <f>IFERROR(__xludf.DUMMYFUNCTION("""COMPUTED_VALUE"""),"Peppermint
Fer-de-Lance")</f>
        <v>Peppermint
Fer-de-Lance</v>
      </c>
      <c r="E825" s="10" t="str">
        <f>IFERROR(__xludf.DUMMYFUNCTION("""COMPUTED_VALUE"""),"Solar
Lunar")</f>
        <v>Solar
Lunar</v>
      </c>
      <c r="F825" s="37">
        <f>IFERROR(__xludf.DUMMYFUNCTION("""COMPUTED_VALUE"""),-2.277105711753137)</f>
        <v>-2.277105712</v>
      </c>
      <c r="G825" s="38">
        <f>IFERROR(__xludf.DUMMYFUNCTION("""COMPUTED_VALUE"""),-1.2348662553171437)</f>
        <v>-1.234866255</v>
      </c>
      <c r="H825" s="38">
        <f>IFERROR(__xludf.DUMMYFUNCTION("""COMPUTED_VALUE"""),-1.7559859835351403)</f>
        <v>-1.755985984</v>
      </c>
      <c r="I825" s="14">
        <f>IFERROR(__xludf.DUMMYFUNCTION("""COMPUTED_VALUE"""),27.0)</f>
        <v>27</v>
      </c>
      <c r="J825" s="11">
        <f>IFERROR(__xludf.DUMMYFUNCTION("IFERROR(FILTER(Stats!$F:$Z,(Stats!$A:$A=$A825)*(Stats!$B:$B=$B825)))"),6.0)</f>
        <v>6</v>
      </c>
      <c r="K825" s="11">
        <f>IFERROR(__xludf.DUMMYFUNCTION("""COMPUTED_VALUE"""),21.0)</f>
        <v>21</v>
      </c>
      <c r="L825" s="12">
        <f>IFERROR(__xludf.DUMMYFUNCTION("""COMPUTED_VALUE"""),0.2222222222222222)</f>
        <v>0.2222222222</v>
      </c>
      <c r="M825" s="11">
        <f>IFERROR(__xludf.DUMMYFUNCTION("""COMPUTED_VALUE"""),0.0)</f>
        <v>0</v>
      </c>
      <c r="N825" s="11">
        <f>IFERROR(__xludf.DUMMYFUNCTION("""COMPUTED_VALUE"""),6264.0)</f>
        <v>6264</v>
      </c>
      <c r="O825" s="13">
        <f>IFERROR(__xludf.DUMMYFUNCTION("""COMPUTED_VALUE"""),6.0)</f>
        <v>6</v>
      </c>
      <c r="P825" s="14">
        <f>IFERROR(__xludf.DUMMYFUNCTION("""COMPUTED_VALUE"""),12.0)</f>
        <v>12</v>
      </c>
      <c r="Q825" s="13">
        <f>IFERROR(__xludf.DUMMYFUNCTION("""COMPUTED_VALUE"""),37.0)</f>
        <v>37</v>
      </c>
      <c r="R825" s="13">
        <f>IFERROR(__xludf.DUMMYFUNCTION("""COMPUTED_VALUE"""),39.0)</f>
        <v>39</v>
      </c>
      <c r="S825" s="15">
        <f>IFERROR(__xludf.DUMMYFUNCTION("""COMPUTED_VALUE"""),0.15384615384615385)</f>
        <v>0.1538461538</v>
      </c>
      <c r="T825" s="16">
        <f>IFERROR(__xludf.DUMMYFUNCTION("""COMPUTED_VALUE"""),232.0)</f>
        <v>232</v>
      </c>
      <c r="U825" s="16">
        <f>IFERROR(__xludf.DUMMYFUNCTION("""COMPUTED_VALUE"""),0.2222222222222222)</f>
        <v>0.2222222222</v>
      </c>
      <c r="V825" s="16">
        <f>IFERROR(__xludf.DUMMYFUNCTION("""COMPUTED_VALUE"""),0.4444444444444444)</f>
        <v>0.4444444444</v>
      </c>
      <c r="W825" s="16">
        <f>IFERROR(__xludf.DUMMYFUNCTION("""COMPUTED_VALUE"""),1.3703703703703705)</f>
        <v>1.37037037</v>
      </c>
      <c r="X825" s="16">
        <f>IFERROR(__xludf.DUMMYFUNCTION("""COMPUTED_VALUE"""),1.4444444444444444)</f>
        <v>1.444444444</v>
      </c>
      <c r="Y825" s="11">
        <f>IFERROR(__xludf.DUMMYFUNCTION("""COMPUTED_VALUE"""),0.0)</f>
        <v>0</v>
      </c>
      <c r="Z825" s="11">
        <f>IFERROR(__xludf.DUMMYFUNCTION("""COMPUTED_VALUE"""),0.0)</f>
        <v>0</v>
      </c>
      <c r="AA825" s="11">
        <f>IFERROR(__xludf.DUMMYFUNCTION("""COMPUTED_VALUE"""),0.0)</f>
        <v>0</v>
      </c>
      <c r="AB825" s="11">
        <f>IFERROR(__xludf.DUMMYFUNCTION("""COMPUTED_VALUE"""),5.0)</f>
        <v>5</v>
      </c>
      <c r="AC825" s="11">
        <f>IFERROR(__xludf.DUMMYFUNCTION("""COMPUTED_VALUE"""),11.0)</f>
        <v>11</v>
      </c>
      <c r="AD825" s="11">
        <f>IFERROR(__xludf.DUMMYFUNCTION("""COMPUTED_VALUE"""),31.0)</f>
        <v>31</v>
      </c>
    </row>
    <row r="826">
      <c r="A826" s="10" t="str">
        <f>IFERROR(__xludf.DUMMYFUNCTION("""COMPUTED_VALUE"""),"Veteran")</f>
        <v>Veteran</v>
      </c>
      <c r="B826" s="10" t="str">
        <f>IFERROR(__xludf.DUMMYFUNCTION("""COMPUTED_VALUE"""),"RSC008505")</f>
        <v>RSC008505</v>
      </c>
      <c r="C826" s="10" t="str">
        <f>IFERROR(__xludf.DUMMYFUNCTION("""COMPUTED_VALUE"""),"SpicyShinobi")</f>
        <v>SpicyShinobi</v>
      </c>
      <c r="D826" s="36" t="str">
        <f>IFERROR(__xludf.DUMMYFUNCTION("""COMPUTED_VALUE"""),"Grizzly Bears")</f>
        <v>Grizzly Bears</v>
      </c>
      <c r="E826" s="10" t="str">
        <f>IFERROR(__xludf.DUMMYFUNCTION("""COMPUTED_VALUE"""),"Solar")</f>
        <v>Solar</v>
      </c>
      <c r="F826" s="37">
        <f>IFERROR(__xludf.DUMMYFUNCTION("""COMPUTED_VALUE"""),5.759671443494767)</f>
        <v>5.759671443</v>
      </c>
      <c r="G826" s="38">
        <f>IFERROR(__xludf.DUMMYFUNCTION("""COMPUTED_VALUE"""),-14.140400988513022)</f>
        <v>-14.14040099</v>
      </c>
      <c r="H826" s="38">
        <f>IFERROR(__xludf.DUMMYFUNCTION("""COMPUTED_VALUE"""),-4.1903647725091275)</f>
        <v>-4.190364773</v>
      </c>
      <c r="I826" s="14">
        <f>IFERROR(__xludf.DUMMYFUNCTION("""COMPUTED_VALUE"""),7.0)</f>
        <v>7</v>
      </c>
      <c r="J826" s="11">
        <f>IFERROR(__xludf.DUMMYFUNCTION("IFERROR(FILTER(Stats!$F:$Z,(Stats!$A:$A=$A826)*(Stats!$B:$B=$B826)))"),2.0)</f>
        <v>2</v>
      </c>
      <c r="K826" s="11">
        <f>IFERROR(__xludf.DUMMYFUNCTION("""COMPUTED_VALUE"""),5.0)</f>
        <v>5</v>
      </c>
      <c r="L826" s="12">
        <f>IFERROR(__xludf.DUMMYFUNCTION("""COMPUTED_VALUE"""),0.2857142857142857)</f>
        <v>0.2857142857</v>
      </c>
      <c r="M826" s="11">
        <f>IFERROR(__xludf.DUMMYFUNCTION("""COMPUTED_VALUE"""),0.0)</f>
        <v>0</v>
      </c>
      <c r="N826" s="11">
        <f>IFERROR(__xludf.DUMMYFUNCTION("""COMPUTED_VALUE"""),1481.0)</f>
        <v>1481</v>
      </c>
      <c r="O826" s="13">
        <f>IFERROR(__xludf.DUMMYFUNCTION("""COMPUTED_VALUE"""),0.0)</f>
        <v>0</v>
      </c>
      <c r="P826" s="14">
        <f>IFERROR(__xludf.DUMMYFUNCTION("""COMPUTED_VALUE"""),2.0)</f>
        <v>2</v>
      </c>
      <c r="Q826" s="13">
        <f>IFERROR(__xludf.DUMMYFUNCTION("""COMPUTED_VALUE"""),8.0)</f>
        <v>8</v>
      </c>
      <c r="R826" s="13">
        <f>IFERROR(__xludf.DUMMYFUNCTION("""COMPUTED_VALUE"""),7.0)</f>
        <v>7</v>
      </c>
      <c r="S826" s="15">
        <f>IFERROR(__xludf.DUMMYFUNCTION("""COMPUTED_VALUE"""),0.0)</f>
        <v>0</v>
      </c>
      <c r="T826" s="16">
        <f>IFERROR(__xludf.DUMMYFUNCTION("""COMPUTED_VALUE"""),211.57142857142858)</f>
        <v>211.5714286</v>
      </c>
      <c r="U826" s="16">
        <f>IFERROR(__xludf.DUMMYFUNCTION("""COMPUTED_VALUE"""),0.0)</f>
        <v>0</v>
      </c>
      <c r="V826" s="16">
        <f>IFERROR(__xludf.DUMMYFUNCTION("""COMPUTED_VALUE"""),0.2857142857142857)</f>
        <v>0.2857142857</v>
      </c>
      <c r="W826" s="16">
        <f>IFERROR(__xludf.DUMMYFUNCTION("""COMPUTED_VALUE"""),1.1428571428571428)</f>
        <v>1.142857143</v>
      </c>
      <c r="X826" s="16">
        <f>IFERROR(__xludf.DUMMYFUNCTION("""COMPUTED_VALUE"""),1.0)</f>
        <v>1</v>
      </c>
      <c r="Y826" s="11">
        <f>IFERROR(__xludf.DUMMYFUNCTION("""COMPUTED_VALUE"""),0.0)</f>
        <v>0</v>
      </c>
      <c r="Z826" s="11">
        <f>IFERROR(__xludf.DUMMYFUNCTION("""COMPUTED_VALUE"""),0.0)</f>
        <v>0</v>
      </c>
      <c r="AA826" s="11">
        <f>IFERROR(__xludf.DUMMYFUNCTION("""COMPUTED_VALUE"""),0.0)</f>
        <v>0</v>
      </c>
      <c r="AB826" s="11">
        <f>IFERROR(__xludf.DUMMYFUNCTION("""COMPUTED_VALUE"""),0.0)</f>
        <v>0</v>
      </c>
      <c r="AC826" s="11">
        <f>IFERROR(__xludf.DUMMYFUNCTION("""COMPUTED_VALUE"""),5.0)</f>
        <v>5</v>
      </c>
      <c r="AD826" s="11">
        <f>IFERROR(__xludf.DUMMYFUNCTION("""COMPUTED_VALUE"""),14.0)</f>
        <v>14</v>
      </c>
    </row>
    <row r="827">
      <c r="A827" s="10" t="str">
        <f>IFERROR(__xludf.DUMMYFUNCTION("""COMPUTED_VALUE"""),"Veteran")</f>
        <v>Veteran</v>
      </c>
      <c r="B827" s="10" t="str">
        <f>IFERROR(__xludf.DUMMYFUNCTION("""COMPUTED_VALUE"""),"RSC006187")</f>
        <v>RSC006187</v>
      </c>
      <c r="C827" s="10" t="str">
        <f>IFERROR(__xludf.DUMMYFUNCTION("""COMPUTED_VALUE"""),"1999 Toyota Camry")</f>
        <v>1999 Toyota Camry</v>
      </c>
      <c r="D827" s="36" t="str">
        <f>IFERROR(__xludf.DUMMYFUNCTION("""COMPUTED_VALUE"""),"Fer-de-Lance")</f>
        <v>Fer-de-Lance</v>
      </c>
      <c r="E827" s="10" t="str">
        <f>IFERROR(__xludf.DUMMYFUNCTION("""COMPUTED_VALUE"""),"Lunar")</f>
        <v>Lunar</v>
      </c>
      <c r="F827" s="37">
        <f>IFERROR(__xludf.DUMMYFUNCTION("""COMPUTED_VALUE"""),-29.31076914484143)</f>
        <v>-29.31076914</v>
      </c>
      <c r="G827" s="38">
        <f>IFERROR(__xludf.DUMMYFUNCTION("""COMPUTED_VALUE"""),-22.789495571118863)</f>
        <v>-22.78949557</v>
      </c>
      <c r="H827" s="38">
        <f>IFERROR(__xludf.DUMMYFUNCTION("""COMPUTED_VALUE"""),-26.050132357980146)</f>
        <v>-26.05013236</v>
      </c>
      <c r="I827" s="14">
        <f>IFERROR(__xludf.DUMMYFUNCTION("""COMPUTED_VALUE"""),4.0)</f>
        <v>4</v>
      </c>
      <c r="J827" s="11">
        <f>IFERROR(__xludf.DUMMYFUNCTION("IFERROR(FILTER(Stats!$F:$Z,(Stats!$A:$A=$A827)*(Stats!$B:$B=$B827)))"),0.0)</f>
        <v>0</v>
      </c>
      <c r="K827" s="11">
        <f>IFERROR(__xludf.DUMMYFUNCTION("""COMPUTED_VALUE"""),4.0)</f>
        <v>4</v>
      </c>
      <c r="L827" s="12">
        <f>IFERROR(__xludf.DUMMYFUNCTION("""COMPUTED_VALUE"""),0.0)</f>
        <v>0</v>
      </c>
      <c r="M827" s="11">
        <f>IFERROR(__xludf.DUMMYFUNCTION("""COMPUTED_VALUE"""),0.0)</f>
        <v>0</v>
      </c>
      <c r="N827" s="11">
        <f>IFERROR(__xludf.DUMMYFUNCTION("""COMPUTED_VALUE"""),664.0)</f>
        <v>664</v>
      </c>
      <c r="O827" s="13">
        <f>IFERROR(__xludf.DUMMYFUNCTION("""COMPUTED_VALUE"""),1.0)</f>
        <v>1</v>
      </c>
      <c r="P827" s="14">
        <f>IFERROR(__xludf.DUMMYFUNCTION("""COMPUTED_VALUE"""),1.0)</f>
        <v>1</v>
      </c>
      <c r="Q827" s="13">
        <f>IFERROR(__xludf.DUMMYFUNCTION("""COMPUTED_VALUE"""),3.0)</f>
        <v>3</v>
      </c>
      <c r="R827" s="13">
        <f>IFERROR(__xludf.DUMMYFUNCTION("""COMPUTED_VALUE"""),5.0)</f>
        <v>5</v>
      </c>
      <c r="S827" s="15">
        <f>IFERROR(__xludf.DUMMYFUNCTION("""COMPUTED_VALUE"""),0.2)</f>
        <v>0.2</v>
      </c>
      <c r="T827" s="16">
        <f>IFERROR(__xludf.DUMMYFUNCTION("""COMPUTED_VALUE"""),166.0)</f>
        <v>166</v>
      </c>
      <c r="U827" s="16">
        <f>IFERROR(__xludf.DUMMYFUNCTION("""COMPUTED_VALUE"""),0.25)</f>
        <v>0.25</v>
      </c>
      <c r="V827" s="16">
        <f>IFERROR(__xludf.DUMMYFUNCTION("""COMPUTED_VALUE"""),0.25)</f>
        <v>0.25</v>
      </c>
      <c r="W827" s="16">
        <f>IFERROR(__xludf.DUMMYFUNCTION("""COMPUTED_VALUE"""),0.75)</f>
        <v>0.75</v>
      </c>
      <c r="X827" s="16">
        <f>IFERROR(__xludf.DUMMYFUNCTION("""COMPUTED_VALUE"""),1.25)</f>
        <v>1.25</v>
      </c>
      <c r="Y827" s="11">
        <f>IFERROR(__xludf.DUMMYFUNCTION("""COMPUTED_VALUE"""),0.0)</f>
        <v>0</v>
      </c>
      <c r="Z827" s="11">
        <f>IFERROR(__xludf.DUMMYFUNCTION("""COMPUTED_VALUE"""),0.0)</f>
        <v>0</v>
      </c>
      <c r="AA827" s="11">
        <f>IFERROR(__xludf.DUMMYFUNCTION("""COMPUTED_VALUE"""),0.0)</f>
        <v>0</v>
      </c>
      <c r="AB827" s="11">
        <f>IFERROR(__xludf.DUMMYFUNCTION("""COMPUTED_VALUE"""),0.0)</f>
        <v>0</v>
      </c>
      <c r="AC827" s="11">
        <f>IFERROR(__xludf.DUMMYFUNCTION("""COMPUTED_VALUE"""),3.0)</f>
        <v>3</v>
      </c>
      <c r="AD827" s="11">
        <f>IFERROR(__xludf.DUMMYFUNCTION("""COMPUTED_VALUE"""),6.0)</f>
        <v>6</v>
      </c>
    </row>
    <row r="828">
      <c r="A828" s="10" t="str">
        <f>IFERROR(__xludf.DUMMYFUNCTION("""COMPUTED_VALUE"""),"Veteran")</f>
        <v>Veteran</v>
      </c>
      <c r="B828" s="10" t="str">
        <f>IFERROR(__xludf.DUMMYFUNCTION("""COMPUTED_VALUE"""),"RSC003456")</f>
        <v>RSC003456</v>
      </c>
      <c r="C828" s="10" t="str">
        <f>IFERROR(__xludf.DUMMYFUNCTION("""COMPUTED_VALUE"""),"Brainman_18")</f>
        <v>Brainman_18</v>
      </c>
      <c r="D828" s="36" t="str">
        <f>IFERROR(__xludf.DUMMYFUNCTION("""COMPUTED_VALUE"""),"Fer-de-Lance")</f>
        <v>Fer-de-Lance</v>
      </c>
      <c r="E828" s="10" t="str">
        <f>IFERROR(__xludf.DUMMYFUNCTION("""COMPUTED_VALUE"""),"Lunar")</f>
        <v>Lunar</v>
      </c>
      <c r="F828" s="37">
        <f>IFERROR(__xludf.DUMMYFUNCTION("""COMPUTED_VALUE"""),-46.44828864070732)</f>
        <v>-46.44828864</v>
      </c>
      <c r="G828" s="38">
        <f>IFERROR(__xludf.DUMMYFUNCTION("""COMPUTED_VALUE"""),-32.893030532092354)</f>
        <v>-32.89303053</v>
      </c>
      <c r="H828" s="38">
        <f>IFERROR(__xludf.DUMMYFUNCTION("""COMPUTED_VALUE"""),-39.670659586399836)</f>
        <v>-39.67065959</v>
      </c>
      <c r="I828" s="14">
        <f>IFERROR(__xludf.DUMMYFUNCTION("""COMPUTED_VALUE"""),2.0)</f>
        <v>2</v>
      </c>
      <c r="J828" s="11">
        <f>IFERROR(__xludf.DUMMYFUNCTION("IFERROR(FILTER(Stats!$F:$Z,(Stats!$A:$A=$A828)*(Stats!$B:$B=$B828)))"),0.0)</f>
        <v>0</v>
      </c>
      <c r="K828" s="11">
        <f>IFERROR(__xludf.DUMMYFUNCTION("""COMPUTED_VALUE"""),2.0)</f>
        <v>2</v>
      </c>
      <c r="L828" s="12">
        <f>IFERROR(__xludf.DUMMYFUNCTION("""COMPUTED_VALUE"""),0.0)</f>
        <v>0</v>
      </c>
      <c r="M828" s="11">
        <f>IFERROR(__xludf.DUMMYFUNCTION("""COMPUTED_VALUE"""),0.0)</f>
        <v>0</v>
      </c>
      <c r="N828" s="11">
        <f>IFERROR(__xludf.DUMMYFUNCTION("""COMPUTED_VALUE"""),368.0)</f>
        <v>368</v>
      </c>
      <c r="O828" s="13">
        <f>IFERROR(__xludf.DUMMYFUNCTION("""COMPUTED_VALUE"""),1.0)</f>
        <v>1</v>
      </c>
      <c r="P828" s="14">
        <f>IFERROR(__xludf.DUMMYFUNCTION("""COMPUTED_VALUE"""),0.0)</f>
        <v>0</v>
      </c>
      <c r="Q828" s="13">
        <f>IFERROR(__xludf.DUMMYFUNCTION("""COMPUTED_VALUE"""),1.0)</f>
        <v>1</v>
      </c>
      <c r="R828" s="13">
        <f>IFERROR(__xludf.DUMMYFUNCTION("""COMPUTED_VALUE"""),3.0)</f>
        <v>3</v>
      </c>
      <c r="S828" s="15">
        <f>IFERROR(__xludf.DUMMYFUNCTION("""COMPUTED_VALUE"""),0.3333333333333333)</f>
        <v>0.3333333333</v>
      </c>
      <c r="T828" s="16">
        <f>IFERROR(__xludf.DUMMYFUNCTION("""COMPUTED_VALUE"""),184.0)</f>
        <v>184</v>
      </c>
      <c r="U828" s="16">
        <f>IFERROR(__xludf.DUMMYFUNCTION("""COMPUTED_VALUE"""),0.5)</f>
        <v>0.5</v>
      </c>
      <c r="V828" s="16">
        <f>IFERROR(__xludf.DUMMYFUNCTION("""COMPUTED_VALUE"""),0.0)</f>
        <v>0</v>
      </c>
      <c r="W828" s="16">
        <f>IFERROR(__xludf.DUMMYFUNCTION("""COMPUTED_VALUE"""),0.5)</f>
        <v>0.5</v>
      </c>
      <c r="X828" s="16">
        <f>IFERROR(__xludf.DUMMYFUNCTION("""COMPUTED_VALUE"""),1.5)</f>
        <v>1.5</v>
      </c>
      <c r="Y828" s="11">
        <f>IFERROR(__xludf.DUMMYFUNCTION("""COMPUTED_VALUE"""),0.0)</f>
        <v>0</v>
      </c>
      <c r="Z828" s="11">
        <f>IFERROR(__xludf.DUMMYFUNCTION("""COMPUTED_VALUE"""),0.0)</f>
        <v>0</v>
      </c>
      <c r="AA828" s="11">
        <f>IFERROR(__xludf.DUMMYFUNCTION("""COMPUTED_VALUE"""),0.0)</f>
        <v>0</v>
      </c>
      <c r="AB828" s="11">
        <f>IFERROR(__xludf.DUMMYFUNCTION("""COMPUTED_VALUE"""),0.0)</f>
        <v>0</v>
      </c>
      <c r="AC828" s="11">
        <f>IFERROR(__xludf.DUMMYFUNCTION("""COMPUTED_VALUE"""),2.0)</f>
        <v>2</v>
      </c>
      <c r="AD828" s="11">
        <f>IFERROR(__xludf.DUMMYFUNCTION("""COMPUTED_VALUE"""),6.0)</f>
        <v>6</v>
      </c>
    </row>
    <row r="829">
      <c r="A829" s="10"/>
      <c r="B829" s="10"/>
      <c r="C829" s="10"/>
      <c r="D829" s="10"/>
      <c r="E829" s="10"/>
      <c r="F829" s="11"/>
      <c r="G829" s="11"/>
      <c r="H829" s="11"/>
      <c r="I829" s="11"/>
      <c r="J829" s="11" t="str">
        <f>IFERROR(__xludf.DUMMYFUNCTION("IFERROR(FILTER(Stats!$F:$Z,(Stats!$A:$A=$A829)*(Stats!$B:$B=$B829)))"),"#REF!")</f>
        <v>#REF!</v>
      </c>
      <c r="K829" s="11"/>
      <c r="L829" s="12"/>
      <c r="M829" s="11"/>
      <c r="N829" s="11"/>
      <c r="O829" s="13"/>
      <c r="P829" s="14"/>
      <c r="Q829" s="13"/>
      <c r="R829" s="13"/>
      <c r="S829" s="15"/>
      <c r="T829" s="16"/>
      <c r="U829" s="16"/>
      <c r="V829" s="16"/>
      <c r="W829" s="16"/>
      <c r="X829" s="16"/>
      <c r="Y829" s="11"/>
      <c r="Z829" s="11"/>
      <c r="AA829" s="11"/>
      <c r="AB829" s="11"/>
      <c r="AC829" s="11"/>
      <c r="AD829" s="11"/>
    </row>
    <row r="830">
      <c r="A830" s="10"/>
      <c r="B830" s="10"/>
      <c r="C830" s="10"/>
      <c r="D830" s="10"/>
      <c r="E830" s="10"/>
      <c r="F830" s="11"/>
      <c r="G830" s="11"/>
      <c r="H830" s="11"/>
      <c r="I830" s="11"/>
      <c r="J830" s="11" t="str">
        <f>IFERROR(__xludf.DUMMYFUNCTION("IFERROR(FILTER(Stats!$F:$Z,(Stats!$A:$A=$A830)*(Stats!$B:$B=$B830)))"),"#REF!")</f>
        <v>#REF!</v>
      </c>
      <c r="K830" s="11"/>
      <c r="L830" s="12"/>
      <c r="M830" s="11"/>
      <c r="N830" s="11"/>
      <c r="O830" s="13"/>
      <c r="P830" s="14"/>
      <c r="Q830" s="13"/>
      <c r="R830" s="13"/>
      <c r="S830" s="15"/>
      <c r="T830" s="16"/>
      <c r="U830" s="16"/>
      <c r="V830" s="16"/>
      <c r="W830" s="16"/>
      <c r="X830" s="16"/>
      <c r="Y830" s="11"/>
      <c r="Z830" s="11"/>
      <c r="AA830" s="11"/>
      <c r="AB830" s="11"/>
      <c r="AC830" s="11"/>
      <c r="AD830" s="11"/>
    </row>
    <row r="831">
      <c r="A831" s="10"/>
      <c r="B831" s="10"/>
      <c r="C831" s="10"/>
      <c r="D831" s="10"/>
      <c r="E831" s="10"/>
      <c r="F831" s="11"/>
      <c r="G831" s="11"/>
      <c r="H831" s="11"/>
      <c r="I831" s="11"/>
      <c r="J831" s="11" t="str">
        <f>IFERROR(__xludf.DUMMYFUNCTION("IFERROR(FILTER(Stats!$F:$Z,(Stats!$A:$A=$A831)*(Stats!$B:$B=$B831)))"),"#REF!")</f>
        <v>#REF!</v>
      </c>
      <c r="K831" s="11"/>
      <c r="L831" s="12"/>
      <c r="M831" s="11"/>
      <c r="N831" s="11"/>
      <c r="O831" s="13"/>
      <c r="P831" s="14"/>
      <c r="Q831" s="13"/>
      <c r="R831" s="13"/>
      <c r="S831" s="15"/>
      <c r="T831" s="16"/>
      <c r="U831" s="16"/>
      <c r="V831" s="16"/>
      <c r="W831" s="16"/>
      <c r="X831" s="16"/>
      <c r="Y831" s="11"/>
      <c r="Z831" s="11"/>
      <c r="AA831" s="11"/>
      <c r="AB831" s="11"/>
      <c r="AC831" s="11"/>
      <c r="AD831" s="11"/>
    </row>
    <row r="832">
      <c r="A832" s="10"/>
      <c r="B832" s="10"/>
      <c r="C832" s="10"/>
      <c r="D832" s="10"/>
      <c r="E832" s="10"/>
      <c r="F832" s="11"/>
      <c r="G832" s="11"/>
      <c r="H832" s="11"/>
      <c r="I832" s="11"/>
      <c r="J832" s="11" t="str">
        <f>IFERROR(__xludf.DUMMYFUNCTION("IFERROR(FILTER(Stats!$F:$Z,(Stats!$A:$A=$A832)*(Stats!$B:$B=$B832)))"),"#REF!")</f>
        <v>#REF!</v>
      </c>
      <c r="K832" s="11"/>
      <c r="L832" s="12"/>
      <c r="M832" s="11"/>
      <c r="N832" s="11"/>
      <c r="O832" s="13"/>
      <c r="P832" s="14"/>
      <c r="Q832" s="13"/>
      <c r="R832" s="13"/>
      <c r="S832" s="15"/>
      <c r="T832" s="16"/>
      <c r="U832" s="16"/>
      <c r="V832" s="16"/>
      <c r="W832" s="16"/>
      <c r="X832" s="16"/>
      <c r="Y832" s="11"/>
      <c r="Z832" s="11"/>
      <c r="AA832" s="11"/>
      <c r="AB832" s="11"/>
      <c r="AC832" s="11"/>
      <c r="AD832" s="11"/>
    </row>
    <row r="833">
      <c r="A833" s="10"/>
      <c r="B833" s="10"/>
      <c r="C833" s="10"/>
      <c r="D833" s="10"/>
      <c r="E833" s="10"/>
      <c r="F833" s="11"/>
      <c r="G833" s="11"/>
      <c r="H833" s="11"/>
      <c r="I833" s="11"/>
      <c r="J833" s="11" t="str">
        <f>IFERROR(__xludf.DUMMYFUNCTION("IFERROR(FILTER(Stats!$F:$Z,(Stats!$A:$A=$A833)*(Stats!$B:$B=$B833)))"),"#REF!")</f>
        <v>#REF!</v>
      </c>
      <c r="K833" s="11"/>
      <c r="L833" s="12"/>
      <c r="M833" s="11"/>
      <c r="N833" s="11"/>
      <c r="O833" s="13"/>
      <c r="P833" s="14"/>
      <c r="Q833" s="13"/>
      <c r="R833" s="13"/>
      <c r="S833" s="15"/>
      <c r="T833" s="16"/>
      <c r="U833" s="16"/>
      <c r="V833" s="16"/>
      <c r="W833" s="16"/>
      <c r="X833" s="16"/>
      <c r="Y833" s="11"/>
      <c r="Z833" s="11"/>
      <c r="AA833" s="11"/>
      <c r="AB833" s="11"/>
      <c r="AC833" s="11"/>
      <c r="AD833" s="11"/>
    </row>
    <row r="834">
      <c r="A834" s="10"/>
      <c r="B834" s="10"/>
      <c r="C834" s="10"/>
      <c r="D834" s="10"/>
      <c r="E834" s="10"/>
      <c r="F834" s="11"/>
      <c r="G834" s="11"/>
      <c r="H834" s="11"/>
      <c r="I834" s="11"/>
      <c r="J834" s="11" t="str">
        <f>IFERROR(__xludf.DUMMYFUNCTION("IFERROR(FILTER(Stats!$F:$Z,(Stats!$A:$A=$A834)*(Stats!$B:$B=$B834)))"),"#REF!")</f>
        <v>#REF!</v>
      </c>
      <c r="K834" s="11"/>
      <c r="L834" s="12"/>
      <c r="M834" s="11"/>
      <c r="N834" s="11"/>
      <c r="O834" s="13"/>
      <c r="P834" s="14"/>
      <c r="Q834" s="13"/>
      <c r="R834" s="13"/>
      <c r="S834" s="15"/>
      <c r="T834" s="16"/>
      <c r="U834" s="16"/>
      <c r="V834" s="16"/>
      <c r="W834" s="16"/>
      <c r="X834" s="16"/>
      <c r="Y834" s="11"/>
      <c r="Z834" s="11"/>
      <c r="AA834" s="11"/>
      <c r="AB834" s="11"/>
      <c r="AC834" s="11"/>
      <c r="AD834" s="11"/>
    </row>
    <row r="835">
      <c r="A835" s="10"/>
      <c r="B835" s="10"/>
      <c r="C835" s="10"/>
      <c r="D835" s="10"/>
      <c r="E835" s="10"/>
      <c r="F835" s="11"/>
      <c r="G835" s="11"/>
      <c r="H835" s="11"/>
      <c r="I835" s="11"/>
      <c r="J835" s="11" t="str">
        <f>IFERROR(__xludf.DUMMYFUNCTION("IFERROR(FILTER(Stats!$F:$Z,(Stats!$A:$A=$A835)*(Stats!$B:$B=$B835)))"),"#REF!")</f>
        <v>#REF!</v>
      </c>
      <c r="K835" s="11"/>
      <c r="L835" s="12"/>
      <c r="M835" s="11"/>
      <c r="N835" s="11"/>
      <c r="O835" s="13"/>
      <c r="P835" s="14"/>
      <c r="Q835" s="13"/>
      <c r="R835" s="13"/>
      <c r="S835" s="15"/>
      <c r="T835" s="16"/>
      <c r="U835" s="16"/>
      <c r="V835" s="16"/>
      <c r="W835" s="16"/>
      <c r="X835" s="16"/>
      <c r="Y835" s="11"/>
      <c r="Z835" s="11"/>
      <c r="AA835" s="11"/>
      <c r="AB835" s="11"/>
      <c r="AC835" s="11"/>
      <c r="AD835" s="11"/>
    </row>
    <row r="836">
      <c r="A836" s="10"/>
      <c r="B836" s="10"/>
      <c r="C836" s="10"/>
      <c r="D836" s="10"/>
      <c r="E836" s="10"/>
      <c r="F836" s="11"/>
      <c r="G836" s="11"/>
      <c r="H836" s="11"/>
      <c r="I836" s="11"/>
      <c r="J836" s="11" t="str">
        <f>IFERROR(__xludf.DUMMYFUNCTION("IFERROR(FILTER(Stats!$F:$Z,(Stats!$A:$A=$A836)*(Stats!$B:$B=$B836)))"),"#REF!")</f>
        <v>#REF!</v>
      </c>
      <c r="K836" s="11"/>
      <c r="L836" s="12"/>
      <c r="M836" s="11"/>
      <c r="N836" s="11"/>
      <c r="O836" s="13"/>
      <c r="P836" s="14"/>
      <c r="Q836" s="13"/>
      <c r="R836" s="13"/>
      <c r="S836" s="15"/>
      <c r="T836" s="16"/>
      <c r="U836" s="16"/>
      <c r="V836" s="16"/>
      <c r="W836" s="16"/>
      <c r="X836" s="16"/>
      <c r="Y836" s="11"/>
      <c r="Z836" s="11"/>
      <c r="AA836" s="11"/>
      <c r="AB836" s="11"/>
      <c r="AC836" s="11"/>
      <c r="AD836" s="11"/>
    </row>
    <row r="837">
      <c r="A837" s="10"/>
      <c r="B837" s="10"/>
      <c r="C837" s="10"/>
      <c r="D837" s="10"/>
      <c r="E837" s="10"/>
      <c r="F837" s="11"/>
      <c r="G837" s="11"/>
      <c r="H837" s="11"/>
      <c r="I837" s="11"/>
      <c r="J837" s="11" t="str">
        <f>IFERROR(__xludf.DUMMYFUNCTION("IFERROR(FILTER(Stats!$F:$Z,(Stats!$A:$A=$A837)*(Stats!$B:$B=$B837)))"),"#REF!")</f>
        <v>#REF!</v>
      </c>
      <c r="K837" s="11"/>
      <c r="L837" s="12"/>
      <c r="M837" s="11"/>
      <c r="N837" s="11"/>
      <c r="O837" s="13"/>
      <c r="P837" s="14"/>
      <c r="Q837" s="13"/>
      <c r="R837" s="13"/>
      <c r="S837" s="15"/>
      <c r="T837" s="16"/>
      <c r="U837" s="16"/>
      <c r="V837" s="16"/>
      <c r="W837" s="16"/>
      <c r="X837" s="16"/>
      <c r="Y837" s="11"/>
      <c r="Z837" s="11"/>
      <c r="AA837" s="11"/>
      <c r="AB837" s="11"/>
      <c r="AC837" s="11"/>
      <c r="AD837" s="11"/>
    </row>
    <row r="838">
      <c r="A838" s="10"/>
      <c r="B838" s="10"/>
      <c r="C838" s="10"/>
      <c r="D838" s="10"/>
      <c r="E838" s="10"/>
      <c r="F838" s="11"/>
      <c r="G838" s="11"/>
      <c r="H838" s="11"/>
      <c r="I838" s="11"/>
      <c r="J838" s="11" t="str">
        <f>IFERROR(__xludf.DUMMYFUNCTION("IFERROR(FILTER(Stats!$F:$Z,(Stats!$A:$A=$A838)*(Stats!$B:$B=$B838)))"),"#REF!")</f>
        <v>#REF!</v>
      </c>
      <c r="K838" s="11"/>
      <c r="L838" s="12"/>
      <c r="M838" s="11"/>
      <c r="N838" s="11"/>
      <c r="O838" s="13"/>
      <c r="P838" s="14"/>
      <c r="Q838" s="13"/>
      <c r="R838" s="13"/>
      <c r="S838" s="15"/>
      <c r="T838" s="16"/>
      <c r="U838" s="16"/>
      <c r="V838" s="16"/>
      <c r="W838" s="16"/>
      <c r="X838" s="16"/>
      <c r="Y838" s="11"/>
      <c r="Z838" s="11"/>
      <c r="AA838" s="11"/>
      <c r="AB838" s="11"/>
      <c r="AC838" s="11"/>
      <c r="AD838" s="11"/>
    </row>
    <row r="839">
      <c r="A839" s="10"/>
      <c r="B839" s="10"/>
      <c r="C839" s="10"/>
      <c r="D839" s="10"/>
      <c r="E839" s="10"/>
      <c r="F839" s="11"/>
      <c r="G839" s="11"/>
      <c r="H839" s="11"/>
      <c r="I839" s="11"/>
      <c r="J839" s="11" t="str">
        <f>IFERROR(__xludf.DUMMYFUNCTION("IFERROR(FILTER(Stats!$F:$Z,(Stats!$A:$A=$A839)*(Stats!$B:$B=$B839)))"),"#REF!")</f>
        <v>#REF!</v>
      </c>
      <c r="K839" s="11"/>
      <c r="L839" s="12"/>
      <c r="M839" s="11"/>
      <c r="N839" s="11"/>
      <c r="O839" s="13"/>
      <c r="P839" s="14"/>
      <c r="Q839" s="13"/>
      <c r="R839" s="13"/>
      <c r="S839" s="15"/>
      <c r="T839" s="16"/>
      <c r="U839" s="16"/>
      <c r="V839" s="16"/>
      <c r="W839" s="16"/>
      <c r="X839" s="16"/>
      <c r="Y839" s="11"/>
      <c r="Z839" s="11"/>
      <c r="AA839" s="11"/>
      <c r="AB839" s="11"/>
      <c r="AC839" s="11"/>
      <c r="AD839" s="11"/>
    </row>
    <row r="840">
      <c r="A840" s="10"/>
      <c r="B840" s="10"/>
      <c r="C840" s="10"/>
      <c r="D840" s="10"/>
      <c r="E840" s="10"/>
      <c r="F840" s="11"/>
      <c r="G840" s="11"/>
      <c r="H840" s="11"/>
      <c r="I840" s="11"/>
      <c r="J840" s="11" t="str">
        <f>IFERROR(__xludf.DUMMYFUNCTION("IFERROR(FILTER(Stats!$F:$Z,(Stats!$A:$A=$A840)*(Stats!$B:$B=$B840)))"),"#REF!")</f>
        <v>#REF!</v>
      </c>
      <c r="K840" s="11"/>
      <c r="L840" s="12"/>
      <c r="M840" s="11"/>
      <c r="N840" s="11"/>
      <c r="O840" s="13"/>
      <c r="P840" s="14"/>
      <c r="Q840" s="13"/>
      <c r="R840" s="13"/>
      <c r="S840" s="15"/>
      <c r="T840" s="16"/>
      <c r="U840" s="16"/>
      <c r="V840" s="16"/>
      <c r="W840" s="16"/>
      <c r="X840" s="16"/>
      <c r="Y840" s="11"/>
      <c r="Z840" s="11"/>
      <c r="AA840" s="11"/>
      <c r="AB840" s="11"/>
      <c r="AC840" s="11"/>
      <c r="AD840" s="11"/>
    </row>
    <row r="841">
      <c r="A841" s="10"/>
      <c r="B841" s="10"/>
      <c r="C841" s="10"/>
      <c r="D841" s="10"/>
      <c r="E841" s="10"/>
      <c r="F841" s="11"/>
      <c r="G841" s="11"/>
      <c r="H841" s="11"/>
      <c r="I841" s="11"/>
      <c r="J841" s="11" t="str">
        <f>IFERROR(__xludf.DUMMYFUNCTION("IFERROR(FILTER(Stats!$F:$Z,(Stats!$A:$A=$A841)*(Stats!$B:$B=$B841)))"),"#REF!")</f>
        <v>#REF!</v>
      </c>
      <c r="K841" s="11"/>
      <c r="L841" s="12"/>
      <c r="M841" s="11"/>
      <c r="N841" s="11"/>
      <c r="O841" s="13"/>
      <c r="P841" s="14"/>
      <c r="Q841" s="13"/>
      <c r="R841" s="13"/>
      <c r="S841" s="15"/>
      <c r="T841" s="16"/>
      <c r="U841" s="16"/>
      <c r="V841" s="16"/>
      <c r="W841" s="16"/>
      <c r="X841" s="16"/>
      <c r="Y841" s="11"/>
      <c r="Z841" s="11"/>
      <c r="AA841" s="11"/>
      <c r="AB841" s="11"/>
      <c r="AC841" s="11"/>
      <c r="AD841" s="11"/>
    </row>
    <row r="842">
      <c r="A842" s="10"/>
      <c r="B842" s="10"/>
      <c r="C842" s="10"/>
      <c r="D842" s="10"/>
      <c r="E842" s="10"/>
      <c r="F842" s="11"/>
      <c r="G842" s="11"/>
      <c r="H842" s="11"/>
      <c r="I842" s="11"/>
      <c r="J842" s="11" t="str">
        <f>IFERROR(__xludf.DUMMYFUNCTION("IFERROR(FILTER(Stats!$F:$Z,(Stats!$A:$A=$A842)*(Stats!$B:$B=$B842)))"),"#REF!")</f>
        <v>#REF!</v>
      </c>
      <c r="K842" s="11"/>
      <c r="L842" s="12"/>
      <c r="M842" s="11"/>
      <c r="N842" s="11"/>
      <c r="O842" s="13"/>
      <c r="P842" s="14"/>
      <c r="Q842" s="13"/>
      <c r="R842" s="13"/>
      <c r="S842" s="15"/>
      <c r="T842" s="16"/>
      <c r="U842" s="16"/>
      <c r="V842" s="16"/>
      <c r="W842" s="16"/>
      <c r="X842" s="16"/>
      <c r="Y842" s="11"/>
      <c r="Z842" s="11"/>
      <c r="AA842" s="11"/>
      <c r="AB842" s="11"/>
      <c r="AC842" s="11"/>
      <c r="AD842" s="11"/>
    </row>
    <row r="843">
      <c r="A843" s="10"/>
      <c r="B843" s="10"/>
      <c r="C843" s="10"/>
      <c r="D843" s="10"/>
      <c r="E843" s="10"/>
      <c r="F843" s="11"/>
      <c r="G843" s="11"/>
      <c r="H843" s="11"/>
      <c r="I843" s="11"/>
      <c r="J843" s="11" t="str">
        <f>IFERROR(__xludf.DUMMYFUNCTION("IFERROR(FILTER(Stats!$F:$Z,(Stats!$A:$A=$A843)*(Stats!$B:$B=$B843)))"),"#REF!")</f>
        <v>#REF!</v>
      </c>
      <c r="K843" s="11"/>
      <c r="L843" s="12"/>
      <c r="M843" s="11"/>
      <c r="N843" s="11"/>
      <c r="O843" s="13"/>
      <c r="P843" s="14"/>
      <c r="Q843" s="13"/>
      <c r="R843" s="13"/>
      <c r="S843" s="15"/>
      <c r="T843" s="16"/>
      <c r="U843" s="16"/>
      <c r="V843" s="16"/>
      <c r="W843" s="16"/>
      <c r="X843" s="16"/>
      <c r="Y843" s="11"/>
      <c r="Z843" s="11"/>
      <c r="AA843" s="11"/>
      <c r="AB843" s="11"/>
      <c r="AC843" s="11"/>
      <c r="AD843" s="11"/>
    </row>
    <row r="844">
      <c r="A844" s="10"/>
      <c r="B844" s="10"/>
      <c r="C844" s="10"/>
      <c r="D844" s="10"/>
      <c r="E844" s="10"/>
      <c r="F844" s="11"/>
      <c r="G844" s="11"/>
      <c r="H844" s="11"/>
      <c r="I844" s="11"/>
      <c r="J844" s="11" t="str">
        <f>IFERROR(__xludf.DUMMYFUNCTION("IFERROR(FILTER(Stats!$F:$Z,(Stats!$A:$A=$A844)*(Stats!$B:$B=$B844)))"),"#REF!")</f>
        <v>#REF!</v>
      </c>
      <c r="K844" s="11"/>
      <c r="L844" s="12"/>
      <c r="M844" s="11"/>
      <c r="N844" s="11"/>
      <c r="O844" s="13"/>
      <c r="P844" s="14"/>
      <c r="Q844" s="13"/>
      <c r="R844" s="13"/>
      <c r="S844" s="15"/>
      <c r="T844" s="16"/>
      <c r="U844" s="16"/>
      <c r="V844" s="16"/>
      <c r="W844" s="16"/>
      <c r="X844" s="16"/>
      <c r="Y844" s="11"/>
      <c r="Z844" s="11"/>
      <c r="AA844" s="11"/>
      <c r="AB844" s="11"/>
      <c r="AC844" s="11"/>
      <c r="AD844" s="11"/>
    </row>
    <row r="845">
      <c r="A845" s="10"/>
      <c r="B845" s="10"/>
      <c r="C845" s="10"/>
      <c r="D845" s="10"/>
      <c r="E845" s="10"/>
      <c r="F845" s="11"/>
      <c r="G845" s="11"/>
      <c r="H845" s="11"/>
      <c r="I845" s="11"/>
      <c r="J845" s="11" t="str">
        <f>IFERROR(__xludf.DUMMYFUNCTION("IFERROR(FILTER(Stats!$F:$Z,(Stats!$A:$A=$A845)*(Stats!$B:$B=$B845)))"),"#REF!")</f>
        <v>#REF!</v>
      </c>
      <c r="K845" s="11"/>
      <c r="L845" s="12"/>
      <c r="M845" s="11"/>
      <c r="N845" s="11"/>
      <c r="O845" s="13"/>
      <c r="P845" s="14"/>
      <c r="Q845" s="13"/>
      <c r="R845" s="13"/>
      <c r="S845" s="15"/>
      <c r="T845" s="16"/>
      <c r="U845" s="16"/>
      <c r="V845" s="16"/>
      <c r="W845" s="16"/>
      <c r="X845" s="16"/>
      <c r="Y845" s="11"/>
      <c r="Z845" s="11"/>
      <c r="AA845" s="11"/>
      <c r="AB845" s="11"/>
      <c r="AC845" s="11"/>
      <c r="AD845" s="11"/>
    </row>
    <row r="846">
      <c r="A846" s="10"/>
      <c r="B846" s="10"/>
      <c r="C846" s="10"/>
      <c r="D846" s="10"/>
      <c r="E846" s="10"/>
      <c r="F846" s="11"/>
      <c r="G846" s="11"/>
      <c r="H846" s="11"/>
      <c r="I846" s="11"/>
      <c r="J846" s="11" t="str">
        <f>IFERROR(__xludf.DUMMYFUNCTION("IFERROR(FILTER(Stats!$F:$Z,(Stats!$A:$A=$A846)*(Stats!$B:$B=$B846)))"),"#REF!")</f>
        <v>#REF!</v>
      </c>
      <c r="K846" s="11"/>
      <c r="L846" s="12"/>
      <c r="M846" s="11"/>
      <c r="N846" s="11"/>
      <c r="O846" s="13"/>
      <c r="P846" s="14"/>
      <c r="Q846" s="13"/>
      <c r="R846" s="13"/>
      <c r="S846" s="15"/>
      <c r="T846" s="16"/>
      <c r="U846" s="16"/>
      <c r="V846" s="16"/>
      <c r="W846" s="16"/>
      <c r="X846" s="16"/>
      <c r="Y846" s="11"/>
      <c r="Z846" s="11"/>
      <c r="AA846" s="11"/>
      <c r="AB846" s="11"/>
      <c r="AC846" s="11"/>
      <c r="AD846" s="11"/>
    </row>
    <row r="847">
      <c r="A847" s="10"/>
      <c r="B847" s="10"/>
      <c r="C847" s="10"/>
      <c r="D847" s="10"/>
      <c r="E847" s="10"/>
      <c r="F847" s="11"/>
      <c r="G847" s="11"/>
      <c r="H847" s="11"/>
      <c r="I847" s="11"/>
      <c r="J847" s="11" t="str">
        <f>IFERROR(__xludf.DUMMYFUNCTION("IFERROR(FILTER(Stats!$F:$Z,(Stats!$A:$A=$A847)*(Stats!$B:$B=$B847)))"),"#REF!")</f>
        <v>#REF!</v>
      </c>
      <c r="K847" s="11"/>
      <c r="L847" s="12"/>
      <c r="M847" s="11"/>
      <c r="N847" s="11"/>
      <c r="O847" s="13"/>
      <c r="P847" s="14"/>
      <c r="Q847" s="13"/>
      <c r="R847" s="13"/>
      <c r="S847" s="15"/>
      <c r="T847" s="16"/>
      <c r="U847" s="16"/>
      <c r="V847" s="16"/>
      <c r="W847" s="16"/>
      <c r="X847" s="16"/>
      <c r="Y847" s="11"/>
      <c r="Z847" s="11"/>
      <c r="AA847" s="11"/>
      <c r="AB847" s="11"/>
      <c r="AC847" s="11"/>
      <c r="AD847" s="11"/>
    </row>
    <row r="848">
      <c r="A848" s="10"/>
      <c r="B848" s="10"/>
      <c r="C848" s="10"/>
      <c r="D848" s="10"/>
      <c r="E848" s="10"/>
      <c r="F848" s="11"/>
      <c r="G848" s="11"/>
      <c r="H848" s="11"/>
      <c r="I848" s="11"/>
      <c r="J848" s="11" t="str">
        <f>IFERROR(__xludf.DUMMYFUNCTION("IFERROR(FILTER(Stats!$F:$Z,(Stats!$A:$A=$A848)*(Stats!$B:$B=$B848)))"),"#REF!")</f>
        <v>#REF!</v>
      </c>
      <c r="K848" s="11"/>
      <c r="L848" s="12"/>
      <c r="M848" s="11"/>
      <c r="N848" s="11"/>
      <c r="O848" s="13"/>
      <c r="P848" s="14"/>
      <c r="Q848" s="13"/>
      <c r="R848" s="13"/>
      <c r="S848" s="15"/>
      <c r="T848" s="16"/>
      <c r="U848" s="16"/>
      <c r="V848" s="16"/>
      <c r="W848" s="16"/>
      <c r="X848" s="16"/>
      <c r="Y848" s="11"/>
      <c r="Z848" s="11"/>
      <c r="AA848" s="11"/>
      <c r="AB848" s="11"/>
      <c r="AC848" s="11"/>
      <c r="AD848" s="11"/>
    </row>
    <row r="849">
      <c r="A849" s="10"/>
      <c r="B849" s="10"/>
      <c r="C849" s="10"/>
      <c r="D849" s="10"/>
      <c r="E849" s="10"/>
      <c r="F849" s="11"/>
      <c r="G849" s="11"/>
      <c r="H849" s="11"/>
      <c r="I849" s="11"/>
      <c r="J849" s="11" t="str">
        <f>IFERROR(__xludf.DUMMYFUNCTION("IFERROR(FILTER(Stats!$F:$Z,(Stats!$A:$A=$A849)*(Stats!$B:$B=$B849)))"),"#REF!")</f>
        <v>#REF!</v>
      </c>
      <c r="K849" s="11"/>
      <c r="L849" s="12"/>
      <c r="M849" s="11"/>
      <c r="N849" s="11"/>
      <c r="O849" s="13"/>
      <c r="P849" s="14"/>
      <c r="Q849" s="13"/>
      <c r="R849" s="13"/>
      <c r="S849" s="15"/>
      <c r="T849" s="16"/>
      <c r="U849" s="16"/>
      <c r="V849" s="16"/>
      <c r="W849" s="16"/>
      <c r="X849" s="16"/>
      <c r="Y849" s="11"/>
      <c r="Z849" s="11"/>
      <c r="AA849" s="11"/>
      <c r="AB849" s="11"/>
      <c r="AC849" s="11"/>
      <c r="AD849" s="11"/>
    </row>
    <row r="850">
      <c r="A850" s="10"/>
      <c r="B850" s="10"/>
      <c r="C850" s="10"/>
      <c r="D850" s="10"/>
      <c r="E850" s="10"/>
      <c r="F850" s="11"/>
      <c r="G850" s="11"/>
      <c r="H850" s="11"/>
      <c r="I850" s="11"/>
      <c r="J850" s="11" t="str">
        <f>IFERROR(__xludf.DUMMYFUNCTION("IFERROR(FILTER(Stats!$F:$Z,(Stats!$A:$A=$A850)*(Stats!$B:$B=$B850)))"),"#REF!")</f>
        <v>#REF!</v>
      </c>
      <c r="K850" s="11"/>
      <c r="L850" s="12"/>
      <c r="M850" s="11"/>
      <c r="N850" s="11"/>
      <c r="O850" s="13"/>
      <c r="P850" s="14"/>
      <c r="Q850" s="13"/>
      <c r="R850" s="13"/>
      <c r="S850" s="15"/>
      <c r="T850" s="16"/>
      <c r="U850" s="16"/>
      <c r="V850" s="16"/>
      <c r="W850" s="16"/>
      <c r="X850" s="16"/>
      <c r="Y850" s="11"/>
      <c r="Z850" s="11"/>
      <c r="AA850" s="11"/>
      <c r="AB850" s="11"/>
      <c r="AC850" s="11"/>
      <c r="AD850" s="11"/>
    </row>
    <row r="851">
      <c r="A851" s="10"/>
      <c r="B851" s="10"/>
      <c r="C851" s="10"/>
      <c r="D851" s="10"/>
      <c r="E851" s="10"/>
      <c r="F851" s="11"/>
      <c r="G851" s="11"/>
      <c r="H851" s="11"/>
      <c r="I851" s="11"/>
      <c r="J851" s="11" t="str">
        <f>IFERROR(__xludf.DUMMYFUNCTION("IFERROR(FILTER(Stats!$F:$Z,(Stats!$A:$A=$A851)*(Stats!$B:$B=$B851)))"),"#REF!")</f>
        <v>#REF!</v>
      </c>
      <c r="K851" s="11"/>
      <c r="L851" s="12"/>
      <c r="M851" s="11"/>
      <c r="N851" s="11"/>
      <c r="O851" s="13"/>
      <c r="P851" s="14"/>
      <c r="Q851" s="13"/>
      <c r="R851" s="13"/>
      <c r="S851" s="15"/>
      <c r="T851" s="16"/>
      <c r="U851" s="16"/>
      <c r="V851" s="16"/>
      <c r="W851" s="16"/>
      <c r="X851" s="16"/>
      <c r="Y851" s="11"/>
      <c r="Z851" s="11"/>
      <c r="AA851" s="11"/>
      <c r="AB851" s="11"/>
      <c r="AC851" s="11"/>
      <c r="AD851" s="11"/>
    </row>
    <row r="852">
      <c r="A852" s="10"/>
      <c r="B852" s="10"/>
      <c r="C852" s="10"/>
      <c r="D852" s="10"/>
      <c r="E852" s="10"/>
      <c r="F852" s="11"/>
      <c r="G852" s="11"/>
      <c r="H852" s="11"/>
      <c r="I852" s="11"/>
      <c r="J852" s="11" t="str">
        <f>IFERROR(__xludf.DUMMYFUNCTION("IFERROR(FILTER(Stats!$F:$Z,(Stats!$A:$A=$A852)*(Stats!$B:$B=$B852)))"),"#REF!")</f>
        <v>#REF!</v>
      </c>
      <c r="K852" s="11"/>
      <c r="L852" s="12"/>
      <c r="M852" s="11"/>
      <c r="N852" s="11"/>
      <c r="O852" s="13"/>
      <c r="P852" s="14"/>
      <c r="Q852" s="13"/>
      <c r="R852" s="13"/>
      <c r="S852" s="15"/>
      <c r="T852" s="16"/>
      <c r="U852" s="16"/>
      <c r="V852" s="16"/>
      <c r="W852" s="16"/>
      <c r="X852" s="16"/>
      <c r="Y852" s="11"/>
      <c r="Z852" s="11"/>
      <c r="AA852" s="11"/>
      <c r="AB852" s="11"/>
      <c r="AC852" s="11"/>
      <c r="AD852" s="11"/>
    </row>
    <row r="853">
      <c r="A853" s="10"/>
      <c r="B853" s="10"/>
      <c r="C853" s="10"/>
      <c r="D853" s="10"/>
      <c r="E853" s="10"/>
      <c r="F853" s="11"/>
      <c r="G853" s="11"/>
      <c r="H853" s="11"/>
      <c r="I853" s="11"/>
      <c r="J853" s="11" t="str">
        <f>IFERROR(__xludf.DUMMYFUNCTION("IFERROR(FILTER(Stats!$F:$Z,(Stats!$A:$A=$A853)*(Stats!$B:$B=$B853)))"),"#REF!")</f>
        <v>#REF!</v>
      </c>
      <c r="K853" s="11"/>
      <c r="L853" s="12"/>
      <c r="M853" s="11"/>
      <c r="N853" s="11"/>
      <c r="O853" s="13"/>
      <c r="P853" s="14"/>
      <c r="Q853" s="13"/>
      <c r="R853" s="13"/>
      <c r="S853" s="15"/>
      <c r="T853" s="16"/>
      <c r="U853" s="16"/>
      <c r="V853" s="16"/>
      <c r="W853" s="16"/>
      <c r="X853" s="16"/>
      <c r="Y853" s="11"/>
      <c r="Z853" s="11"/>
      <c r="AA853" s="11"/>
      <c r="AB853" s="11"/>
      <c r="AC853" s="11"/>
      <c r="AD853" s="11"/>
    </row>
    <row r="854">
      <c r="A854" s="10"/>
      <c r="B854" s="10"/>
      <c r="C854" s="10"/>
      <c r="D854" s="10"/>
      <c r="E854" s="10"/>
      <c r="F854" s="11"/>
      <c r="G854" s="11"/>
      <c r="H854" s="11"/>
      <c r="I854" s="11"/>
      <c r="J854" s="11" t="str">
        <f>IFERROR(__xludf.DUMMYFUNCTION("IFERROR(FILTER(Stats!$F:$Z,(Stats!$A:$A=$A854)*(Stats!$B:$B=$B854)))"),"#REF!")</f>
        <v>#REF!</v>
      </c>
      <c r="K854" s="11"/>
      <c r="L854" s="12"/>
      <c r="M854" s="11"/>
      <c r="N854" s="11"/>
      <c r="O854" s="13"/>
      <c r="P854" s="14"/>
      <c r="Q854" s="13"/>
      <c r="R854" s="13"/>
      <c r="S854" s="15"/>
      <c r="T854" s="16"/>
      <c r="U854" s="16"/>
      <c r="V854" s="16"/>
      <c r="W854" s="16"/>
      <c r="X854" s="16"/>
      <c r="Y854" s="11"/>
      <c r="Z854" s="11"/>
      <c r="AA854" s="11"/>
      <c r="AB854" s="11"/>
      <c r="AC854" s="11"/>
      <c r="AD854" s="11"/>
    </row>
    <row r="855">
      <c r="A855" s="10"/>
      <c r="B855" s="10"/>
      <c r="C855" s="10"/>
      <c r="D855" s="10"/>
      <c r="E855" s="10"/>
      <c r="F855" s="11"/>
      <c r="G855" s="11"/>
      <c r="H855" s="11"/>
      <c r="I855" s="11"/>
      <c r="J855" s="11" t="str">
        <f>IFERROR(__xludf.DUMMYFUNCTION("IFERROR(FILTER(Stats!$F:$Z,(Stats!$A:$A=$A855)*(Stats!$B:$B=$B855)))"),"#REF!")</f>
        <v>#REF!</v>
      </c>
      <c r="K855" s="11"/>
      <c r="L855" s="12"/>
      <c r="M855" s="11"/>
      <c r="N855" s="11"/>
      <c r="O855" s="13"/>
      <c r="P855" s="14"/>
      <c r="Q855" s="13"/>
      <c r="R855" s="13"/>
      <c r="S855" s="15"/>
      <c r="T855" s="16"/>
      <c r="U855" s="16"/>
      <c r="V855" s="16"/>
      <c r="W855" s="16"/>
      <c r="X855" s="16"/>
      <c r="Y855" s="11"/>
      <c r="Z855" s="11"/>
      <c r="AA855" s="11"/>
      <c r="AB855" s="11"/>
      <c r="AC855" s="11"/>
      <c r="AD855" s="11"/>
    </row>
    <row r="856">
      <c r="A856" s="10"/>
      <c r="B856" s="10"/>
      <c r="C856" s="10"/>
      <c r="D856" s="10"/>
      <c r="E856" s="10"/>
      <c r="F856" s="11"/>
      <c r="G856" s="11"/>
      <c r="H856" s="11"/>
      <c r="I856" s="11"/>
      <c r="J856" s="11" t="str">
        <f>IFERROR(__xludf.DUMMYFUNCTION("IFERROR(FILTER(Stats!$F:$Z,(Stats!$A:$A=$A856)*(Stats!$B:$B=$B856)))"),"#REF!")</f>
        <v>#REF!</v>
      </c>
      <c r="K856" s="11"/>
      <c r="L856" s="12"/>
      <c r="M856" s="11"/>
      <c r="N856" s="11"/>
      <c r="O856" s="13"/>
      <c r="P856" s="14"/>
      <c r="Q856" s="13"/>
      <c r="R856" s="13"/>
      <c r="S856" s="15"/>
      <c r="T856" s="16"/>
      <c r="U856" s="16"/>
      <c r="V856" s="16"/>
      <c r="W856" s="16"/>
      <c r="X856" s="16"/>
      <c r="Y856" s="11"/>
      <c r="Z856" s="11"/>
      <c r="AA856" s="11"/>
      <c r="AB856" s="11"/>
      <c r="AC856" s="11"/>
      <c r="AD856" s="11"/>
    </row>
    <row r="857">
      <c r="A857" s="10"/>
      <c r="B857" s="10"/>
      <c r="C857" s="10"/>
      <c r="D857" s="10"/>
      <c r="E857" s="10"/>
      <c r="F857" s="11"/>
      <c r="G857" s="11"/>
      <c r="H857" s="11"/>
      <c r="I857" s="11"/>
      <c r="J857" s="11" t="str">
        <f>IFERROR(__xludf.DUMMYFUNCTION("IFERROR(FILTER(Stats!$F:$Z,(Stats!$A:$A=$A857)*(Stats!$B:$B=$B857)))"),"#REF!")</f>
        <v>#REF!</v>
      </c>
      <c r="K857" s="11"/>
      <c r="L857" s="12"/>
      <c r="M857" s="11"/>
      <c r="N857" s="11"/>
      <c r="O857" s="13"/>
      <c r="P857" s="14"/>
      <c r="Q857" s="13"/>
      <c r="R857" s="13"/>
      <c r="S857" s="15"/>
      <c r="T857" s="16"/>
      <c r="U857" s="16"/>
      <c r="V857" s="16"/>
      <c r="W857" s="16"/>
      <c r="X857" s="16"/>
      <c r="Y857" s="11"/>
      <c r="Z857" s="11"/>
      <c r="AA857" s="11"/>
      <c r="AB857" s="11"/>
      <c r="AC857" s="11"/>
      <c r="AD857" s="11"/>
    </row>
    <row r="858">
      <c r="A858" s="10"/>
      <c r="B858" s="10"/>
      <c r="C858" s="10"/>
      <c r="D858" s="10"/>
      <c r="E858" s="10"/>
      <c r="F858" s="11"/>
      <c r="G858" s="11"/>
      <c r="H858" s="11"/>
      <c r="I858" s="11"/>
      <c r="J858" s="11" t="str">
        <f>IFERROR(__xludf.DUMMYFUNCTION("IFERROR(FILTER(Stats!$F:$Z,(Stats!$A:$A=$A858)*(Stats!$B:$B=$B858)))"),"#REF!")</f>
        <v>#REF!</v>
      </c>
      <c r="K858" s="11"/>
      <c r="L858" s="12"/>
      <c r="M858" s="11"/>
      <c r="N858" s="11"/>
      <c r="O858" s="13"/>
      <c r="P858" s="14"/>
      <c r="Q858" s="13"/>
      <c r="R858" s="13"/>
      <c r="S858" s="15"/>
      <c r="T858" s="16"/>
      <c r="U858" s="16"/>
      <c r="V858" s="16"/>
      <c r="W858" s="16"/>
      <c r="X858" s="16"/>
      <c r="Y858" s="11"/>
      <c r="Z858" s="11"/>
      <c r="AA858" s="11"/>
      <c r="AB858" s="11"/>
      <c r="AC858" s="11"/>
      <c r="AD858" s="11"/>
    </row>
    <row r="859">
      <c r="A859" s="10"/>
      <c r="B859" s="10"/>
      <c r="C859" s="10"/>
      <c r="D859" s="10"/>
      <c r="E859" s="10"/>
      <c r="F859" s="11"/>
      <c r="G859" s="11"/>
      <c r="H859" s="11"/>
      <c r="I859" s="11"/>
      <c r="J859" s="11" t="str">
        <f>IFERROR(__xludf.DUMMYFUNCTION("IFERROR(FILTER(Stats!$F:$Z,(Stats!$A:$A=$A859)*(Stats!$B:$B=$B859)))"),"#REF!")</f>
        <v>#REF!</v>
      </c>
      <c r="K859" s="11"/>
      <c r="L859" s="12"/>
      <c r="M859" s="11"/>
      <c r="N859" s="11"/>
      <c r="O859" s="13"/>
      <c r="P859" s="14"/>
      <c r="Q859" s="13"/>
      <c r="R859" s="13"/>
      <c r="S859" s="15"/>
      <c r="T859" s="16"/>
      <c r="U859" s="16"/>
      <c r="V859" s="16"/>
      <c r="W859" s="16"/>
      <c r="X859" s="16"/>
      <c r="Y859" s="11"/>
      <c r="Z859" s="11"/>
      <c r="AA859" s="11"/>
      <c r="AB859" s="11"/>
      <c r="AC859" s="11"/>
      <c r="AD859" s="11"/>
    </row>
    <row r="860">
      <c r="A860" s="10"/>
      <c r="B860" s="10"/>
      <c r="C860" s="10"/>
      <c r="D860" s="10"/>
      <c r="E860" s="10"/>
      <c r="F860" s="11"/>
      <c r="G860" s="11"/>
      <c r="H860" s="11"/>
      <c r="I860" s="11"/>
      <c r="J860" s="11" t="str">
        <f>IFERROR(__xludf.DUMMYFUNCTION("IFERROR(FILTER(Stats!$F:$Z,(Stats!$A:$A=$A860)*(Stats!$B:$B=$B860)))"),"#REF!")</f>
        <v>#REF!</v>
      </c>
      <c r="K860" s="11"/>
      <c r="L860" s="12"/>
      <c r="M860" s="11"/>
      <c r="N860" s="11"/>
      <c r="O860" s="13"/>
      <c r="P860" s="14"/>
      <c r="Q860" s="13"/>
      <c r="R860" s="13"/>
      <c r="S860" s="15"/>
      <c r="T860" s="16"/>
      <c r="U860" s="16"/>
      <c r="V860" s="16"/>
      <c r="W860" s="16"/>
      <c r="X860" s="16"/>
      <c r="Y860" s="11"/>
      <c r="Z860" s="11"/>
      <c r="AA860" s="11"/>
      <c r="AB860" s="11"/>
      <c r="AC860" s="11"/>
      <c r="AD860" s="11"/>
    </row>
    <row r="861">
      <c r="A861" s="10"/>
      <c r="B861" s="10"/>
      <c r="C861" s="10"/>
      <c r="D861" s="10"/>
      <c r="E861" s="10"/>
      <c r="F861" s="11"/>
      <c r="G861" s="11"/>
      <c r="H861" s="11"/>
      <c r="I861" s="11"/>
      <c r="J861" s="11" t="str">
        <f>IFERROR(__xludf.DUMMYFUNCTION("IFERROR(FILTER(Stats!$F:$Z,(Stats!$A:$A=$A861)*(Stats!$B:$B=$B861)))"),"#REF!")</f>
        <v>#REF!</v>
      </c>
      <c r="K861" s="11"/>
      <c r="L861" s="12"/>
      <c r="M861" s="11"/>
      <c r="N861" s="11"/>
      <c r="O861" s="13"/>
      <c r="P861" s="14"/>
      <c r="Q861" s="13"/>
      <c r="R861" s="13"/>
      <c r="S861" s="15"/>
      <c r="T861" s="16"/>
      <c r="U861" s="16"/>
      <c r="V861" s="16"/>
      <c r="W861" s="16"/>
      <c r="X861" s="16"/>
      <c r="Y861" s="11"/>
      <c r="Z861" s="11"/>
      <c r="AA861" s="11"/>
      <c r="AB861" s="11"/>
      <c r="AC861" s="11"/>
      <c r="AD861" s="11"/>
    </row>
    <row r="862">
      <c r="A862" s="10"/>
      <c r="B862" s="10"/>
      <c r="C862" s="10"/>
      <c r="D862" s="10"/>
      <c r="E862" s="10"/>
      <c r="F862" s="11"/>
      <c r="G862" s="11"/>
      <c r="H862" s="11"/>
      <c r="I862" s="11"/>
      <c r="J862" s="11" t="str">
        <f>IFERROR(__xludf.DUMMYFUNCTION("IFERROR(FILTER(Stats!$F:$Z,(Stats!$A:$A=$A862)*(Stats!$B:$B=$B862)))"),"#REF!")</f>
        <v>#REF!</v>
      </c>
      <c r="K862" s="11"/>
      <c r="L862" s="12"/>
      <c r="M862" s="11"/>
      <c r="N862" s="11"/>
      <c r="O862" s="13"/>
      <c r="P862" s="14"/>
      <c r="Q862" s="13"/>
      <c r="R862" s="13"/>
      <c r="S862" s="15"/>
      <c r="T862" s="16"/>
      <c r="U862" s="16"/>
      <c r="V862" s="16"/>
      <c r="W862" s="16"/>
      <c r="X862" s="16"/>
      <c r="Y862" s="11"/>
      <c r="Z862" s="11"/>
      <c r="AA862" s="11"/>
      <c r="AB862" s="11"/>
      <c r="AC862" s="11"/>
      <c r="AD862" s="11"/>
    </row>
    <row r="863">
      <c r="A863" s="10"/>
      <c r="B863" s="10"/>
      <c r="C863" s="10"/>
      <c r="D863" s="10"/>
      <c r="E863" s="10"/>
      <c r="F863" s="11"/>
      <c r="G863" s="11"/>
      <c r="H863" s="11"/>
      <c r="I863" s="11"/>
      <c r="J863" s="11" t="str">
        <f>IFERROR(__xludf.DUMMYFUNCTION("IFERROR(FILTER(Stats!$F:$Z,(Stats!$A:$A=$A863)*(Stats!$B:$B=$B863)))"),"#REF!")</f>
        <v>#REF!</v>
      </c>
      <c r="K863" s="11"/>
      <c r="L863" s="12"/>
      <c r="M863" s="11"/>
      <c r="N863" s="11"/>
      <c r="O863" s="13"/>
      <c r="P863" s="14"/>
      <c r="Q863" s="13"/>
      <c r="R863" s="13"/>
      <c r="S863" s="15"/>
      <c r="T863" s="16"/>
      <c r="U863" s="16"/>
      <c r="V863" s="16"/>
      <c r="W863" s="16"/>
      <c r="X863" s="16"/>
      <c r="Y863" s="11"/>
      <c r="Z863" s="11"/>
      <c r="AA863" s="11"/>
      <c r="AB863" s="11"/>
      <c r="AC863" s="11"/>
      <c r="AD863" s="11"/>
    </row>
    <row r="864">
      <c r="A864" s="10"/>
      <c r="B864" s="10"/>
      <c r="C864" s="10"/>
      <c r="D864" s="10"/>
      <c r="E864" s="10"/>
      <c r="F864" s="11"/>
      <c r="G864" s="11"/>
      <c r="H864" s="11"/>
      <c r="I864" s="11"/>
      <c r="J864" s="11" t="str">
        <f>IFERROR(__xludf.DUMMYFUNCTION("IFERROR(FILTER(Stats!$F:$Z,(Stats!$A:$A=$A864)*(Stats!$B:$B=$B864)))"),"#REF!")</f>
        <v>#REF!</v>
      </c>
      <c r="K864" s="11"/>
      <c r="L864" s="12"/>
      <c r="M864" s="11"/>
      <c r="N864" s="11"/>
      <c r="O864" s="13"/>
      <c r="P864" s="14"/>
      <c r="Q864" s="13"/>
      <c r="R864" s="13"/>
      <c r="S864" s="15"/>
      <c r="T864" s="16"/>
      <c r="U864" s="16"/>
      <c r="V864" s="16"/>
      <c r="W864" s="16"/>
      <c r="X864" s="16"/>
      <c r="Y864" s="11"/>
      <c r="Z864" s="11"/>
      <c r="AA864" s="11"/>
      <c r="AB864" s="11"/>
      <c r="AC864" s="11"/>
      <c r="AD864" s="11"/>
    </row>
    <row r="865">
      <c r="A865" s="10"/>
      <c r="B865" s="10"/>
      <c r="C865" s="10"/>
      <c r="D865" s="10"/>
      <c r="E865" s="10"/>
      <c r="F865" s="11"/>
      <c r="G865" s="11"/>
      <c r="H865" s="11"/>
      <c r="I865" s="11"/>
      <c r="J865" s="11" t="str">
        <f>IFERROR(__xludf.DUMMYFUNCTION("IFERROR(FILTER(Stats!$F:$Z,(Stats!$A:$A=$A865)*(Stats!$B:$B=$B865)))"),"#REF!")</f>
        <v>#REF!</v>
      </c>
      <c r="K865" s="11"/>
      <c r="L865" s="12"/>
      <c r="M865" s="11"/>
      <c r="N865" s="11"/>
      <c r="O865" s="13"/>
      <c r="P865" s="14"/>
      <c r="Q865" s="13"/>
      <c r="R865" s="13"/>
      <c r="S865" s="15"/>
      <c r="T865" s="16"/>
      <c r="U865" s="16"/>
      <c r="V865" s="16"/>
      <c r="W865" s="16"/>
      <c r="X865" s="16"/>
      <c r="Y865" s="11"/>
      <c r="Z865" s="11"/>
      <c r="AA865" s="11"/>
      <c r="AB865" s="11"/>
      <c r="AC865" s="11"/>
      <c r="AD865" s="11"/>
    </row>
    <row r="866">
      <c r="A866" s="10"/>
      <c r="B866" s="10"/>
      <c r="C866" s="10"/>
      <c r="D866" s="10"/>
      <c r="E866" s="10"/>
      <c r="F866" s="11"/>
      <c r="G866" s="11"/>
      <c r="H866" s="11"/>
      <c r="I866" s="11"/>
      <c r="J866" s="11" t="str">
        <f>IFERROR(__xludf.DUMMYFUNCTION("IFERROR(FILTER(Stats!$F:$Z,(Stats!$A:$A=$A866)*(Stats!$B:$B=$B866)))"),"#REF!")</f>
        <v>#REF!</v>
      </c>
      <c r="K866" s="11"/>
      <c r="L866" s="12"/>
      <c r="M866" s="11"/>
      <c r="N866" s="11"/>
      <c r="O866" s="13"/>
      <c r="P866" s="14"/>
      <c r="Q866" s="13"/>
      <c r="R866" s="13"/>
      <c r="S866" s="15"/>
      <c r="T866" s="16"/>
      <c r="U866" s="16"/>
      <c r="V866" s="16"/>
      <c r="W866" s="16"/>
      <c r="X866" s="16"/>
      <c r="Y866" s="11"/>
      <c r="Z866" s="11"/>
      <c r="AA866" s="11"/>
      <c r="AB866" s="11"/>
      <c r="AC866" s="11"/>
      <c r="AD866" s="11"/>
    </row>
    <row r="867">
      <c r="A867" s="10"/>
      <c r="B867" s="10"/>
      <c r="C867" s="10"/>
      <c r="D867" s="10"/>
      <c r="E867" s="10"/>
      <c r="F867" s="11"/>
      <c r="G867" s="11"/>
      <c r="H867" s="11"/>
      <c r="I867" s="11"/>
      <c r="J867" s="11" t="str">
        <f>IFERROR(__xludf.DUMMYFUNCTION("IFERROR(FILTER(Stats!$F:$Z,(Stats!$A:$A=$A867)*(Stats!$B:$B=$B867)))"),"#REF!")</f>
        <v>#REF!</v>
      </c>
      <c r="K867" s="11"/>
      <c r="L867" s="12"/>
      <c r="M867" s="11"/>
      <c r="N867" s="11"/>
      <c r="O867" s="13"/>
      <c r="P867" s="14"/>
      <c r="Q867" s="13"/>
      <c r="R867" s="13"/>
      <c r="S867" s="15"/>
      <c r="T867" s="16"/>
      <c r="U867" s="16"/>
      <c r="V867" s="16"/>
      <c r="W867" s="16"/>
      <c r="X867" s="16"/>
      <c r="Y867" s="11"/>
      <c r="Z867" s="11"/>
      <c r="AA867" s="11"/>
      <c r="AB867" s="11"/>
      <c r="AC867" s="11"/>
      <c r="AD867" s="11"/>
    </row>
    <row r="868">
      <c r="A868" s="10"/>
      <c r="B868" s="10"/>
      <c r="C868" s="10"/>
      <c r="D868" s="10"/>
      <c r="E868" s="10"/>
      <c r="F868" s="11"/>
      <c r="G868" s="11"/>
      <c r="H868" s="11"/>
      <c r="I868" s="11"/>
      <c r="J868" s="11" t="str">
        <f>IFERROR(__xludf.DUMMYFUNCTION("IFERROR(FILTER(Stats!$F:$Z,(Stats!$A:$A=$A868)*(Stats!$B:$B=$B868)))"),"#REF!")</f>
        <v>#REF!</v>
      </c>
      <c r="K868" s="11"/>
      <c r="L868" s="12"/>
      <c r="M868" s="11"/>
      <c r="N868" s="11"/>
      <c r="O868" s="13"/>
      <c r="P868" s="14"/>
      <c r="Q868" s="13"/>
      <c r="R868" s="13"/>
      <c r="S868" s="15"/>
      <c r="T868" s="16"/>
      <c r="U868" s="16"/>
      <c r="V868" s="16"/>
      <c r="W868" s="16"/>
      <c r="X868" s="16"/>
      <c r="Y868" s="11"/>
      <c r="Z868" s="11"/>
      <c r="AA868" s="11"/>
      <c r="AB868" s="11"/>
      <c r="AC868" s="11"/>
      <c r="AD868" s="11"/>
    </row>
    <row r="869">
      <c r="A869" s="10"/>
      <c r="B869" s="10"/>
      <c r="C869" s="10"/>
      <c r="D869" s="10"/>
      <c r="E869" s="10"/>
      <c r="F869" s="11"/>
      <c r="G869" s="11"/>
      <c r="H869" s="11"/>
      <c r="I869" s="11"/>
      <c r="J869" s="11" t="str">
        <f>IFERROR(__xludf.DUMMYFUNCTION("IFERROR(FILTER(Stats!$F:$Z,(Stats!$A:$A=$A869)*(Stats!$B:$B=$B869)))"),"#REF!")</f>
        <v>#REF!</v>
      </c>
      <c r="K869" s="11"/>
      <c r="L869" s="12"/>
      <c r="M869" s="11"/>
      <c r="N869" s="11"/>
      <c r="O869" s="13"/>
      <c r="P869" s="14"/>
      <c r="Q869" s="13"/>
      <c r="R869" s="13"/>
      <c r="S869" s="15"/>
      <c r="T869" s="16"/>
      <c r="U869" s="16"/>
      <c r="V869" s="16"/>
      <c r="W869" s="16"/>
      <c r="X869" s="16"/>
      <c r="Y869" s="11"/>
      <c r="Z869" s="11"/>
      <c r="AA869" s="11"/>
      <c r="AB869" s="11"/>
      <c r="AC869" s="11"/>
      <c r="AD869" s="11"/>
    </row>
    <row r="870">
      <c r="A870" s="10"/>
      <c r="B870" s="10"/>
      <c r="C870" s="10"/>
      <c r="D870" s="10"/>
      <c r="E870" s="10"/>
      <c r="F870" s="11"/>
      <c r="G870" s="11"/>
      <c r="H870" s="11"/>
      <c r="I870" s="11"/>
      <c r="J870" s="11" t="str">
        <f>IFERROR(__xludf.DUMMYFUNCTION("IFERROR(FILTER(Stats!$F:$Z,(Stats!$A:$A=$A870)*(Stats!$B:$B=$B870)))"),"#REF!")</f>
        <v>#REF!</v>
      </c>
      <c r="K870" s="11"/>
      <c r="L870" s="12"/>
      <c r="M870" s="11"/>
      <c r="N870" s="11"/>
      <c r="O870" s="13"/>
      <c r="P870" s="14"/>
      <c r="Q870" s="13"/>
      <c r="R870" s="13"/>
      <c r="S870" s="15"/>
      <c r="T870" s="16"/>
      <c r="U870" s="16"/>
      <c r="V870" s="16"/>
      <c r="W870" s="16"/>
      <c r="X870" s="16"/>
      <c r="Y870" s="11"/>
      <c r="Z870" s="11"/>
      <c r="AA870" s="11"/>
      <c r="AB870" s="11"/>
      <c r="AC870" s="11"/>
      <c r="AD870" s="11"/>
    </row>
    <row r="871">
      <c r="A871" s="10"/>
      <c r="B871" s="10"/>
      <c r="C871" s="10"/>
      <c r="D871" s="10"/>
      <c r="E871" s="10"/>
      <c r="F871" s="11"/>
      <c r="G871" s="11"/>
      <c r="H871" s="11"/>
      <c r="I871" s="11"/>
      <c r="J871" s="11" t="str">
        <f>IFERROR(__xludf.DUMMYFUNCTION("IFERROR(FILTER(Stats!$F:$Z,(Stats!$A:$A=$A871)*(Stats!$B:$B=$B871)))"),"#REF!")</f>
        <v>#REF!</v>
      </c>
      <c r="K871" s="11"/>
      <c r="L871" s="12"/>
      <c r="M871" s="11"/>
      <c r="N871" s="11"/>
      <c r="O871" s="13"/>
      <c r="P871" s="14"/>
      <c r="Q871" s="13"/>
      <c r="R871" s="13"/>
      <c r="S871" s="15"/>
      <c r="T871" s="16"/>
      <c r="U871" s="16"/>
      <c r="V871" s="16"/>
      <c r="W871" s="16"/>
      <c r="X871" s="16"/>
      <c r="Y871" s="11"/>
      <c r="Z871" s="11"/>
      <c r="AA871" s="11"/>
      <c r="AB871" s="11"/>
      <c r="AC871" s="11"/>
      <c r="AD871" s="11"/>
    </row>
    <row r="872">
      <c r="A872" s="10"/>
      <c r="B872" s="10"/>
      <c r="C872" s="10"/>
      <c r="D872" s="10"/>
      <c r="E872" s="10"/>
      <c r="F872" s="11"/>
      <c r="G872" s="11"/>
      <c r="H872" s="11"/>
      <c r="I872" s="11"/>
      <c r="J872" s="11" t="str">
        <f>IFERROR(__xludf.DUMMYFUNCTION("IFERROR(FILTER(Stats!$F:$Z,(Stats!$A:$A=$A872)*(Stats!$B:$B=$B872)))"),"#REF!")</f>
        <v>#REF!</v>
      </c>
      <c r="K872" s="11"/>
      <c r="L872" s="12"/>
      <c r="M872" s="11"/>
      <c r="N872" s="11"/>
      <c r="O872" s="13"/>
      <c r="P872" s="14"/>
      <c r="Q872" s="13"/>
      <c r="R872" s="13"/>
      <c r="S872" s="15"/>
      <c r="T872" s="16"/>
      <c r="U872" s="16"/>
      <c r="V872" s="16"/>
      <c r="W872" s="16"/>
      <c r="X872" s="16"/>
      <c r="Y872" s="11"/>
      <c r="Z872" s="11"/>
      <c r="AA872" s="11"/>
      <c r="AB872" s="11"/>
      <c r="AC872" s="11"/>
      <c r="AD872" s="11"/>
    </row>
    <row r="873">
      <c r="A873" s="10"/>
      <c r="B873" s="10"/>
      <c r="C873" s="10"/>
      <c r="D873" s="10"/>
      <c r="E873" s="10"/>
      <c r="F873" s="11"/>
      <c r="G873" s="11"/>
      <c r="H873" s="11"/>
      <c r="I873" s="11"/>
      <c r="J873" s="11" t="str">
        <f>IFERROR(__xludf.DUMMYFUNCTION("IFERROR(FILTER(Stats!$F:$Z,(Stats!$A:$A=$A873)*(Stats!$B:$B=$B873)))"),"#REF!")</f>
        <v>#REF!</v>
      </c>
      <c r="K873" s="11"/>
      <c r="L873" s="12"/>
      <c r="M873" s="11"/>
      <c r="N873" s="11"/>
      <c r="O873" s="13"/>
      <c r="P873" s="14"/>
      <c r="Q873" s="13"/>
      <c r="R873" s="13"/>
      <c r="S873" s="15"/>
      <c r="T873" s="16"/>
      <c r="U873" s="16"/>
      <c r="V873" s="16"/>
      <c r="W873" s="16"/>
      <c r="X873" s="16"/>
      <c r="Y873" s="11"/>
      <c r="Z873" s="11"/>
      <c r="AA873" s="11"/>
      <c r="AB873" s="11"/>
      <c r="AC873" s="11"/>
      <c r="AD873" s="11"/>
    </row>
    <row r="874">
      <c r="A874" s="10"/>
      <c r="B874" s="10"/>
      <c r="C874" s="10"/>
      <c r="D874" s="10"/>
      <c r="E874" s="10"/>
      <c r="F874" s="11"/>
      <c r="G874" s="11"/>
      <c r="H874" s="11"/>
      <c r="I874" s="11"/>
      <c r="J874" s="11" t="str">
        <f>IFERROR(__xludf.DUMMYFUNCTION("IFERROR(FILTER(Stats!$F:$Z,(Stats!$A:$A=$A874)*(Stats!$B:$B=$B874)))"),"#REF!")</f>
        <v>#REF!</v>
      </c>
      <c r="K874" s="11"/>
      <c r="L874" s="12"/>
      <c r="M874" s="11"/>
      <c r="N874" s="11"/>
      <c r="O874" s="13"/>
      <c r="P874" s="14"/>
      <c r="Q874" s="13"/>
      <c r="R874" s="13"/>
      <c r="S874" s="15"/>
      <c r="T874" s="16"/>
      <c r="U874" s="16"/>
      <c r="V874" s="16"/>
      <c r="W874" s="16"/>
      <c r="X874" s="16"/>
      <c r="Y874" s="11"/>
      <c r="Z874" s="11"/>
      <c r="AA874" s="11"/>
      <c r="AB874" s="11"/>
      <c r="AC874" s="11"/>
      <c r="AD874" s="11"/>
    </row>
    <row r="875">
      <c r="A875" s="10"/>
      <c r="B875" s="10"/>
      <c r="C875" s="10"/>
      <c r="D875" s="10"/>
      <c r="E875" s="10"/>
      <c r="F875" s="11"/>
      <c r="G875" s="11"/>
      <c r="H875" s="11"/>
      <c r="I875" s="11"/>
      <c r="J875" s="11" t="str">
        <f>IFERROR(__xludf.DUMMYFUNCTION("IFERROR(FILTER(Stats!$F:$Z,(Stats!$A:$A=$A875)*(Stats!$B:$B=$B875)))"),"#REF!")</f>
        <v>#REF!</v>
      </c>
      <c r="K875" s="11"/>
      <c r="L875" s="12"/>
      <c r="M875" s="11"/>
      <c r="N875" s="11"/>
      <c r="O875" s="13"/>
      <c r="P875" s="14"/>
      <c r="Q875" s="13"/>
      <c r="R875" s="13"/>
      <c r="S875" s="15"/>
      <c r="T875" s="16"/>
      <c r="U875" s="16"/>
      <c r="V875" s="16"/>
      <c r="W875" s="16"/>
      <c r="X875" s="16"/>
      <c r="Y875" s="11"/>
      <c r="Z875" s="11"/>
      <c r="AA875" s="11"/>
      <c r="AB875" s="11"/>
      <c r="AC875" s="11"/>
      <c r="AD875" s="11"/>
    </row>
    <row r="876">
      <c r="A876" s="10"/>
      <c r="B876" s="10"/>
      <c r="C876" s="10"/>
      <c r="D876" s="10"/>
      <c r="E876" s="10"/>
      <c r="F876" s="11"/>
      <c r="G876" s="11"/>
      <c r="H876" s="11"/>
      <c r="I876" s="11"/>
      <c r="J876" s="11" t="str">
        <f>IFERROR(__xludf.DUMMYFUNCTION("IFERROR(FILTER(Stats!$F:$Z,(Stats!$A:$A=$A876)*(Stats!$B:$B=$B876)))"),"#REF!")</f>
        <v>#REF!</v>
      </c>
      <c r="K876" s="11"/>
      <c r="L876" s="12"/>
      <c r="M876" s="11"/>
      <c r="N876" s="11"/>
      <c r="O876" s="13"/>
      <c r="P876" s="14"/>
      <c r="Q876" s="13"/>
      <c r="R876" s="13"/>
      <c r="S876" s="15"/>
      <c r="T876" s="16"/>
      <c r="U876" s="16"/>
      <c r="V876" s="16"/>
      <c r="W876" s="16"/>
      <c r="X876" s="16"/>
      <c r="Y876" s="11"/>
      <c r="Z876" s="11"/>
      <c r="AA876" s="11"/>
      <c r="AB876" s="11"/>
      <c r="AC876" s="11"/>
      <c r="AD876" s="11"/>
    </row>
    <row r="877">
      <c r="A877" s="10"/>
      <c r="B877" s="10"/>
      <c r="C877" s="10"/>
      <c r="D877" s="10"/>
      <c r="E877" s="10"/>
      <c r="F877" s="11"/>
      <c r="G877" s="11"/>
      <c r="H877" s="11"/>
      <c r="I877" s="11"/>
      <c r="J877" s="11" t="str">
        <f>IFERROR(__xludf.DUMMYFUNCTION("IFERROR(FILTER(Stats!$F:$Z,(Stats!$A:$A=$A877)*(Stats!$B:$B=$B877)))"),"#REF!")</f>
        <v>#REF!</v>
      </c>
      <c r="K877" s="11"/>
      <c r="L877" s="12"/>
      <c r="M877" s="11"/>
      <c r="N877" s="11"/>
      <c r="O877" s="13"/>
      <c r="P877" s="14"/>
      <c r="Q877" s="13"/>
      <c r="R877" s="13"/>
      <c r="S877" s="15"/>
      <c r="T877" s="16"/>
      <c r="U877" s="16"/>
      <c r="V877" s="16"/>
      <c r="W877" s="16"/>
      <c r="X877" s="16"/>
      <c r="Y877" s="11"/>
      <c r="Z877" s="11"/>
      <c r="AA877" s="11"/>
      <c r="AB877" s="11"/>
      <c r="AC877" s="11"/>
      <c r="AD877" s="11"/>
    </row>
    <row r="878">
      <c r="A878" s="10"/>
      <c r="B878" s="10"/>
      <c r="C878" s="10"/>
      <c r="D878" s="10"/>
      <c r="E878" s="10"/>
      <c r="F878" s="11"/>
      <c r="G878" s="11"/>
      <c r="H878" s="11"/>
      <c r="I878" s="11"/>
      <c r="J878" s="11" t="str">
        <f>IFERROR(__xludf.DUMMYFUNCTION("IFERROR(FILTER(Stats!$F:$Z,(Stats!$A:$A=$A878)*(Stats!$B:$B=$B878)))"),"#REF!")</f>
        <v>#REF!</v>
      </c>
      <c r="K878" s="11"/>
      <c r="L878" s="12"/>
      <c r="M878" s="11"/>
      <c r="N878" s="11"/>
      <c r="O878" s="13"/>
      <c r="P878" s="14"/>
      <c r="Q878" s="13"/>
      <c r="R878" s="13"/>
      <c r="S878" s="15"/>
      <c r="T878" s="16"/>
      <c r="U878" s="16"/>
      <c r="V878" s="16"/>
      <c r="W878" s="16"/>
      <c r="X878" s="16"/>
      <c r="Y878" s="11"/>
      <c r="Z878" s="11"/>
      <c r="AA878" s="11"/>
      <c r="AB878" s="11"/>
      <c r="AC878" s="11"/>
      <c r="AD878" s="11"/>
    </row>
    <row r="879">
      <c r="A879" s="10"/>
      <c r="B879" s="10"/>
      <c r="C879" s="10"/>
      <c r="D879" s="10"/>
      <c r="E879" s="10"/>
      <c r="F879" s="11"/>
      <c r="G879" s="11"/>
      <c r="H879" s="11"/>
      <c r="I879" s="11"/>
      <c r="J879" s="11" t="str">
        <f>IFERROR(__xludf.DUMMYFUNCTION("IFERROR(FILTER(Stats!$F:$Z,(Stats!$A:$A=$A879)*(Stats!$B:$B=$B879)))"),"#REF!")</f>
        <v>#REF!</v>
      </c>
      <c r="K879" s="11"/>
      <c r="L879" s="12"/>
      <c r="M879" s="11"/>
      <c r="N879" s="11"/>
      <c r="O879" s="13"/>
      <c r="P879" s="14"/>
      <c r="Q879" s="13"/>
      <c r="R879" s="13"/>
      <c r="S879" s="15"/>
      <c r="T879" s="16"/>
      <c r="U879" s="16"/>
      <c r="V879" s="16"/>
      <c r="W879" s="16"/>
      <c r="X879" s="16"/>
      <c r="Y879" s="11"/>
      <c r="Z879" s="11"/>
      <c r="AA879" s="11"/>
      <c r="AB879" s="11"/>
      <c r="AC879" s="11"/>
      <c r="AD879" s="11"/>
    </row>
    <row r="880">
      <c r="A880" s="10"/>
      <c r="B880" s="10"/>
      <c r="C880" s="10"/>
      <c r="D880" s="10"/>
      <c r="E880" s="10"/>
      <c r="F880" s="11"/>
      <c r="G880" s="11"/>
      <c r="H880" s="11"/>
      <c r="I880" s="11"/>
      <c r="J880" s="11" t="str">
        <f>IFERROR(__xludf.DUMMYFUNCTION("IFERROR(FILTER(Stats!$F:$Z,(Stats!$A:$A=$A880)*(Stats!$B:$B=$B880)))"),"#REF!")</f>
        <v>#REF!</v>
      </c>
      <c r="K880" s="11"/>
      <c r="L880" s="12"/>
      <c r="M880" s="11"/>
      <c r="N880" s="11"/>
      <c r="O880" s="13"/>
      <c r="P880" s="14"/>
      <c r="Q880" s="13"/>
      <c r="R880" s="13"/>
      <c r="S880" s="15"/>
      <c r="T880" s="16"/>
      <c r="U880" s="16"/>
      <c r="V880" s="16"/>
      <c r="W880" s="16"/>
      <c r="X880" s="16"/>
      <c r="Y880" s="11"/>
      <c r="Z880" s="11"/>
      <c r="AA880" s="11"/>
      <c r="AB880" s="11"/>
      <c r="AC880" s="11"/>
      <c r="AD880" s="11"/>
    </row>
    <row r="881">
      <c r="A881" s="10"/>
      <c r="B881" s="10"/>
      <c r="C881" s="10"/>
      <c r="D881" s="10"/>
      <c r="E881" s="10"/>
      <c r="F881" s="11"/>
      <c r="G881" s="11"/>
      <c r="H881" s="11"/>
      <c r="I881" s="11"/>
      <c r="J881" s="11" t="str">
        <f>IFERROR(__xludf.DUMMYFUNCTION("IFERROR(FILTER(Stats!$F:$Z,(Stats!$A:$A=$A881)*(Stats!$B:$B=$B881)))"),"#REF!")</f>
        <v>#REF!</v>
      </c>
      <c r="K881" s="11"/>
      <c r="L881" s="12"/>
      <c r="M881" s="11"/>
      <c r="N881" s="11"/>
      <c r="O881" s="13"/>
      <c r="P881" s="14"/>
      <c r="Q881" s="13"/>
      <c r="R881" s="13"/>
      <c r="S881" s="15"/>
      <c r="T881" s="16"/>
      <c r="U881" s="16"/>
      <c r="V881" s="16"/>
      <c r="W881" s="16"/>
      <c r="X881" s="16"/>
      <c r="Y881" s="11"/>
      <c r="Z881" s="11"/>
      <c r="AA881" s="11"/>
      <c r="AB881" s="11"/>
      <c r="AC881" s="11"/>
      <c r="AD881" s="11"/>
    </row>
    <row r="882">
      <c r="A882" s="10"/>
      <c r="B882" s="10"/>
      <c r="C882" s="10"/>
      <c r="D882" s="10"/>
      <c r="E882" s="10"/>
      <c r="F882" s="11"/>
      <c r="G882" s="11"/>
      <c r="H882" s="11"/>
      <c r="I882" s="11"/>
      <c r="J882" s="11" t="str">
        <f>IFERROR(__xludf.DUMMYFUNCTION("IFERROR(FILTER(Stats!$F:$Z,(Stats!$A:$A=$A882)*(Stats!$B:$B=$B882)))"),"#REF!")</f>
        <v>#REF!</v>
      </c>
      <c r="K882" s="11"/>
      <c r="L882" s="12"/>
      <c r="M882" s="11"/>
      <c r="N882" s="11"/>
      <c r="O882" s="13"/>
      <c r="P882" s="14"/>
      <c r="Q882" s="13"/>
      <c r="R882" s="13"/>
      <c r="S882" s="15"/>
      <c r="T882" s="16"/>
      <c r="U882" s="16"/>
      <c r="V882" s="16"/>
      <c r="W882" s="16"/>
      <c r="X882" s="16"/>
      <c r="Y882" s="11"/>
      <c r="Z882" s="11"/>
      <c r="AA882" s="11"/>
      <c r="AB882" s="11"/>
      <c r="AC882" s="11"/>
      <c r="AD882" s="11"/>
    </row>
    <row r="883">
      <c r="A883" s="10"/>
      <c r="B883" s="10"/>
      <c r="C883" s="10"/>
      <c r="D883" s="10"/>
      <c r="E883" s="10"/>
      <c r="F883" s="11"/>
      <c r="G883" s="11"/>
      <c r="H883" s="11"/>
      <c r="I883" s="11"/>
      <c r="J883" s="11" t="str">
        <f>IFERROR(__xludf.DUMMYFUNCTION("IFERROR(FILTER(Stats!$F:$Z,(Stats!$A:$A=$A883)*(Stats!$B:$B=$B883)))"),"#REF!")</f>
        <v>#REF!</v>
      </c>
      <c r="K883" s="11"/>
      <c r="L883" s="12"/>
      <c r="M883" s="11"/>
      <c r="N883" s="11"/>
      <c r="O883" s="13"/>
      <c r="P883" s="14"/>
      <c r="Q883" s="13"/>
      <c r="R883" s="13"/>
      <c r="S883" s="15"/>
      <c r="T883" s="16"/>
      <c r="U883" s="16"/>
      <c r="V883" s="16"/>
      <c r="W883" s="16"/>
      <c r="X883" s="16"/>
      <c r="Y883" s="11"/>
      <c r="Z883" s="11"/>
      <c r="AA883" s="11"/>
      <c r="AB883" s="11"/>
      <c r="AC883" s="11"/>
      <c r="AD883" s="11"/>
    </row>
    <row r="884">
      <c r="A884" s="10"/>
      <c r="B884" s="10"/>
      <c r="C884" s="10"/>
      <c r="D884" s="10"/>
      <c r="E884" s="10"/>
      <c r="F884" s="11"/>
      <c r="G884" s="11"/>
      <c r="H884" s="11"/>
      <c r="I884" s="11"/>
      <c r="J884" s="11" t="str">
        <f>IFERROR(__xludf.DUMMYFUNCTION("IFERROR(FILTER(Stats!$F:$Z,(Stats!$A:$A=$A884)*(Stats!$B:$B=$B884)))"),"#REF!")</f>
        <v>#REF!</v>
      </c>
      <c r="K884" s="11"/>
      <c r="L884" s="12"/>
      <c r="M884" s="11"/>
      <c r="N884" s="11"/>
      <c r="O884" s="13"/>
      <c r="P884" s="14"/>
      <c r="Q884" s="13"/>
      <c r="R884" s="13"/>
      <c r="S884" s="15"/>
      <c r="T884" s="16"/>
      <c r="U884" s="16"/>
      <c r="V884" s="16"/>
      <c r="W884" s="16"/>
      <c r="X884" s="16"/>
      <c r="Y884" s="11"/>
      <c r="Z884" s="11"/>
      <c r="AA884" s="11"/>
      <c r="AB884" s="11"/>
      <c r="AC884" s="11"/>
      <c r="AD884" s="11"/>
    </row>
    <row r="885">
      <c r="A885" s="10"/>
      <c r="B885" s="10"/>
      <c r="C885" s="10"/>
      <c r="D885" s="10"/>
      <c r="E885" s="10"/>
      <c r="F885" s="11"/>
      <c r="G885" s="11"/>
      <c r="H885" s="11"/>
      <c r="I885" s="11"/>
      <c r="J885" s="11" t="str">
        <f>IFERROR(__xludf.DUMMYFUNCTION("IFERROR(FILTER(Stats!$F:$Z,(Stats!$A:$A=$A885)*(Stats!$B:$B=$B885)))"),"#REF!")</f>
        <v>#REF!</v>
      </c>
      <c r="K885" s="11"/>
      <c r="L885" s="12"/>
      <c r="M885" s="11"/>
      <c r="N885" s="11"/>
      <c r="O885" s="13"/>
      <c r="P885" s="14"/>
      <c r="Q885" s="13"/>
      <c r="R885" s="13"/>
      <c r="S885" s="15"/>
      <c r="T885" s="16"/>
      <c r="U885" s="16"/>
      <c r="V885" s="16"/>
      <c r="W885" s="16"/>
      <c r="X885" s="16"/>
      <c r="Y885" s="11"/>
      <c r="Z885" s="11"/>
      <c r="AA885" s="11"/>
      <c r="AB885" s="11"/>
      <c r="AC885" s="11"/>
      <c r="AD885" s="11"/>
    </row>
    <row r="886">
      <c r="A886" s="10"/>
      <c r="B886" s="10"/>
      <c r="C886" s="10"/>
      <c r="D886" s="10"/>
      <c r="E886" s="10"/>
      <c r="F886" s="11"/>
      <c r="G886" s="11"/>
      <c r="H886" s="11"/>
      <c r="I886" s="11"/>
      <c r="J886" s="11" t="str">
        <f>IFERROR(__xludf.DUMMYFUNCTION("IFERROR(FILTER(Stats!$F:$Z,(Stats!$A:$A=$A886)*(Stats!$B:$B=$B886)))"),"#REF!")</f>
        <v>#REF!</v>
      </c>
      <c r="K886" s="11"/>
      <c r="L886" s="12"/>
      <c r="M886" s="11"/>
      <c r="N886" s="11"/>
      <c r="O886" s="13"/>
      <c r="P886" s="14"/>
      <c r="Q886" s="13"/>
      <c r="R886" s="13"/>
      <c r="S886" s="15"/>
      <c r="T886" s="16"/>
      <c r="U886" s="16"/>
      <c r="V886" s="16"/>
      <c r="W886" s="16"/>
      <c r="X886" s="16"/>
      <c r="Y886" s="11"/>
      <c r="Z886" s="11"/>
      <c r="AA886" s="11"/>
      <c r="AB886" s="11"/>
      <c r="AC886" s="11"/>
      <c r="AD886" s="11"/>
    </row>
    <row r="887">
      <c r="A887" s="10"/>
      <c r="B887" s="10"/>
      <c r="C887" s="10"/>
      <c r="D887" s="10"/>
      <c r="E887" s="10"/>
      <c r="F887" s="11"/>
      <c r="G887" s="11"/>
      <c r="H887" s="11"/>
      <c r="I887" s="11"/>
      <c r="J887" s="11" t="str">
        <f>IFERROR(__xludf.DUMMYFUNCTION("IFERROR(FILTER(Stats!$F:$Z,(Stats!$A:$A=$A887)*(Stats!$B:$B=$B887)))"),"#REF!")</f>
        <v>#REF!</v>
      </c>
      <c r="K887" s="11"/>
      <c r="L887" s="12"/>
      <c r="M887" s="11"/>
      <c r="N887" s="11"/>
      <c r="O887" s="13"/>
      <c r="P887" s="14"/>
      <c r="Q887" s="13"/>
      <c r="R887" s="13"/>
      <c r="S887" s="15"/>
      <c r="T887" s="16"/>
      <c r="U887" s="16"/>
      <c r="V887" s="16"/>
      <c r="W887" s="16"/>
      <c r="X887" s="16"/>
      <c r="Y887" s="11"/>
      <c r="Z887" s="11"/>
      <c r="AA887" s="11"/>
      <c r="AB887" s="11"/>
      <c r="AC887" s="11"/>
      <c r="AD887" s="11"/>
    </row>
    <row r="888">
      <c r="A888" s="10"/>
      <c r="B888" s="10"/>
      <c r="C888" s="10"/>
      <c r="D888" s="10"/>
      <c r="E888" s="10"/>
      <c r="F888" s="11"/>
      <c r="G888" s="11"/>
      <c r="H888" s="11"/>
      <c r="I888" s="11"/>
      <c r="J888" s="11" t="str">
        <f>IFERROR(__xludf.DUMMYFUNCTION("IFERROR(FILTER(Stats!$F:$Z,(Stats!$A:$A=$A888)*(Stats!$B:$B=$B888)))"),"#REF!")</f>
        <v>#REF!</v>
      </c>
      <c r="K888" s="11"/>
      <c r="L888" s="12"/>
      <c r="M888" s="11"/>
      <c r="N888" s="11"/>
      <c r="O888" s="13"/>
      <c r="P888" s="14"/>
      <c r="Q888" s="13"/>
      <c r="R888" s="13"/>
      <c r="S888" s="15"/>
      <c r="T888" s="16"/>
      <c r="U888" s="16"/>
      <c r="V888" s="16"/>
      <c r="W888" s="16"/>
      <c r="X888" s="16"/>
      <c r="Y888" s="11"/>
      <c r="Z888" s="11"/>
      <c r="AA888" s="11"/>
      <c r="AB888" s="11"/>
      <c r="AC888" s="11"/>
      <c r="AD888" s="11"/>
    </row>
    <row r="889">
      <c r="A889" s="10"/>
      <c r="B889" s="10"/>
      <c r="C889" s="10"/>
      <c r="D889" s="10"/>
      <c r="E889" s="10"/>
      <c r="F889" s="11"/>
      <c r="G889" s="11"/>
      <c r="H889" s="11"/>
      <c r="I889" s="11"/>
      <c r="J889" s="11" t="str">
        <f>IFERROR(__xludf.DUMMYFUNCTION("IFERROR(FILTER(Stats!$F:$Z,(Stats!$A:$A=$A889)*(Stats!$B:$B=$B889)))"),"#REF!")</f>
        <v>#REF!</v>
      </c>
      <c r="K889" s="11"/>
      <c r="L889" s="12"/>
      <c r="M889" s="11"/>
      <c r="N889" s="11"/>
      <c r="O889" s="13"/>
      <c r="P889" s="14"/>
      <c r="Q889" s="13"/>
      <c r="R889" s="13"/>
      <c r="S889" s="15"/>
      <c r="T889" s="16"/>
      <c r="U889" s="16"/>
      <c r="V889" s="16"/>
      <c r="W889" s="16"/>
      <c r="X889" s="16"/>
      <c r="Y889" s="11"/>
      <c r="Z889" s="11"/>
      <c r="AA889" s="11"/>
      <c r="AB889" s="11"/>
      <c r="AC889" s="11"/>
      <c r="AD889" s="11"/>
    </row>
    <row r="890">
      <c r="A890" s="10"/>
      <c r="B890" s="10"/>
      <c r="C890" s="10"/>
      <c r="D890" s="10"/>
      <c r="E890" s="10"/>
      <c r="F890" s="11"/>
      <c r="G890" s="11"/>
      <c r="H890" s="11"/>
      <c r="I890" s="11"/>
      <c r="J890" s="11" t="str">
        <f>IFERROR(__xludf.DUMMYFUNCTION("IFERROR(FILTER(Stats!$F:$Z,(Stats!$A:$A=$A890)*(Stats!$B:$B=$B890)))"),"#REF!")</f>
        <v>#REF!</v>
      </c>
      <c r="K890" s="11"/>
      <c r="L890" s="12"/>
      <c r="M890" s="11"/>
      <c r="N890" s="11"/>
      <c r="O890" s="13"/>
      <c r="P890" s="14"/>
      <c r="Q890" s="13"/>
      <c r="R890" s="13"/>
      <c r="S890" s="15"/>
      <c r="T890" s="16"/>
      <c r="U890" s="16"/>
      <c r="V890" s="16"/>
      <c r="W890" s="16"/>
      <c r="X890" s="16"/>
      <c r="Y890" s="11"/>
      <c r="Z890" s="11"/>
      <c r="AA890" s="11"/>
      <c r="AB890" s="11"/>
      <c r="AC890" s="11"/>
      <c r="AD890" s="11"/>
    </row>
    <row r="891">
      <c r="A891" s="10"/>
      <c r="B891" s="10"/>
      <c r="C891" s="10"/>
      <c r="D891" s="10"/>
      <c r="E891" s="10"/>
      <c r="F891" s="11"/>
      <c r="G891" s="11"/>
      <c r="H891" s="11"/>
      <c r="I891" s="11"/>
      <c r="J891" s="11" t="str">
        <f>IFERROR(__xludf.DUMMYFUNCTION("IFERROR(FILTER(Stats!$F:$Z,(Stats!$A:$A=$A891)*(Stats!$B:$B=$B891)))"),"#REF!")</f>
        <v>#REF!</v>
      </c>
      <c r="K891" s="11"/>
      <c r="L891" s="12"/>
      <c r="M891" s="11"/>
      <c r="N891" s="11"/>
      <c r="O891" s="13"/>
      <c r="P891" s="14"/>
      <c r="Q891" s="13"/>
      <c r="R891" s="13"/>
      <c r="S891" s="15"/>
      <c r="T891" s="16"/>
      <c r="U891" s="16"/>
      <c r="V891" s="16"/>
      <c r="W891" s="16"/>
      <c r="X891" s="16"/>
      <c r="Y891" s="11"/>
      <c r="Z891" s="11"/>
      <c r="AA891" s="11"/>
      <c r="AB891" s="11"/>
      <c r="AC891" s="11"/>
      <c r="AD891" s="11"/>
    </row>
    <row r="892">
      <c r="A892" s="10"/>
      <c r="B892" s="10"/>
      <c r="C892" s="10"/>
      <c r="D892" s="10"/>
      <c r="E892" s="10"/>
      <c r="F892" s="11"/>
      <c r="G892" s="11"/>
      <c r="H892" s="11"/>
      <c r="I892" s="11"/>
      <c r="J892" s="11" t="str">
        <f>IFERROR(__xludf.DUMMYFUNCTION("IFERROR(FILTER(Stats!$F:$Z,(Stats!$A:$A=$A892)*(Stats!$B:$B=$B892)))"),"#REF!")</f>
        <v>#REF!</v>
      </c>
      <c r="K892" s="11"/>
      <c r="L892" s="12"/>
      <c r="M892" s="11"/>
      <c r="N892" s="11"/>
      <c r="O892" s="13"/>
      <c r="P892" s="14"/>
      <c r="Q892" s="13"/>
      <c r="R892" s="13"/>
      <c r="S892" s="15"/>
      <c r="T892" s="16"/>
      <c r="U892" s="16"/>
      <c r="V892" s="16"/>
      <c r="W892" s="16"/>
      <c r="X892" s="16"/>
      <c r="Y892" s="11"/>
      <c r="Z892" s="11"/>
      <c r="AA892" s="11"/>
      <c r="AB892" s="11"/>
      <c r="AC892" s="11"/>
      <c r="AD892" s="11"/>
    </row>
    <row r="893">
      <c r="A893" s="10"/>
      <c r="B893" s="10"/>
      <c r="C893" s="10"/>
      <c r="D893" s="10"/>
      <c r="E893" s="10"/>
      <c r="F893" s="11"/>
      <c r="G893" s="11"/>
      <c r="H893" s="11"/>
      <c r="I893" s="11"/>
      <c r="J893" s="11" t="str">
        <f>IFERROR(__xludf.DUMMYFUNCTION("IFERROR(FILTER(Stats!$F:$Z,(Stats!$A:$A=$A893)*(Stats!$B:$B=$B893)))"),"#REF!")</f>
        <v>#REF!</v>
      </c>
      <c r="K893" s="11"/>
      <c r="L893" s="12"/>
      <c r="M893" s="11"/>
      <c r="N893" s="11"/>
      <c r="O893" s="13"/>
      <c r="P893" s="14"/>
      <c r="Q893" s="13"/>
      <c r="R893" s="13"/>
      <c r="S893" s="15"/>
      <c r="T893" s="16"/>
      <c r="U893" s="16"/>
      <c r="V893" s="16"/>
      <c r="W893" s="16"/>
      <c r="X893" s="16"/>
      <c r="Y893" s="11"/>
      <c r="Z893" s="11"/>
      <c r="AA893" s="11"/>
      <c r="AB893" s="11"/>
      <c r="AC893" s="11"/>
      <c r="AD893" s="11"/>
    </row>
    <row r="894">
      <c r="A894" s="10"/>
      <c r="B894" s="10"/>
      <c r="C894" s="10"/>
      <c r="D894" s="10"/>
      <c r="E894" s="10"/>
      <c r="F894" s="11"/>
      <c r="G894" s="11"/>
      <c r="H894" s="11"/>
      <c r="I894" s="11"/>
      <c r="J894" s="11" t="str">
        <f>IFERROR(__xludf.DUMMYFUNCTION("IFERROR(FILTER(Stats!$F:$Z,(Stats!$A:$A=$A894)*(Stats!$B:$B=$B894)))"),"#REF!")</f>
        <v>#REF!</v>
      </c>
      <c r="K894" s="11"/>
      <c r="L894" s="12"/>
      <c r="M894" s="11"/>
      <c r="N894" s="11"/>
      <c r="O894" s="13"/>
      <c r="P894" s="14"/>
      <c r="Q894" s="13"/>
      <c r="R894" s="13"/>
      <c r="S894" s="15"/>
      <c r="T894" s="16"/>
      <c r="U894" s="16"/>
      <c r="V894" s="16"/>
      <c r="W894" s="16"/>
      <c r="X894" s="16"/>
      <c r="Y894" s="11"/>
      <c r="Z894" s="11"/>
      <c r="AA894" s="11"/>
      <c r="AB894" s="11"/>
      <c r="AC894" s="11"/>
      <c r="AD894" s="11"/>
    </row>
    <row r="895">
      <c r="A895" s="10"/>
      <c r="B895" s="10"/>
      <c r="C895" s="10"/>
      <c r="D895" s="10"/>
      <c r="E895" s="10"/>
      <c r="F895" s="11"/>
      <c r="G895" s="11"/>
      <c r="H895" s="11"/>
      <c r="I895" s="11"/>
      <c r="J895" s="11" t="str">
        <f>IFERROR(__xludf.DUMMYFUNCTION("IFERROR(FILTER(Stats!$F:$Z,(Stats!$A:$A=$A895)*(Stats!$B:$B=$B895)))"),"#REF!")</f>
        <v>#REF!</v>
      </c>
      <c r="K895" s="11"/>
      <c r="L895" s="12"/>
      <c r="M895" s="11"/>
      <c r="N895" s="11"/>
      <c r="O895" s="13"/>
      <c r="P895" s="14"/>
      <c r="Q895" s="13"/>
      <c r="R895" s="13"/>
      <c r="S895" s="15"/>
      <c r="T895" s="16"/>
      <c r="U895" s="16"/>
      <c r="V895" s="16"/>
      <c r="W895" s="16"/>
      <c r="X895" s="16"/>
      <c r="Y895" s="11"/>
      <c r="Z895" s="11"/>
      <c r="AA895" s="11"/>
      <c r="AB895" s="11"/>
      <c r="AC895" s="11"/>
      <c r="AD895" s="11"/>
    </row>
    <row r="896">
      <c r="A896" s="10"/>
      <c r="B896" s="10"/>
      <c r="C896" s="10"/>
      <c r="D896" s="10"/>
      <c r="E896" s="10"/>
      <c r="F896" s="11"/>
      <c r="G896" s="11"/>
      <c r="H896" s="11"/>
      <c r="I896" s="11"/>
      <c r="J896" s="11" t="str">
        <f>IFERROR(__xludf.DUMMYFUNCTION("IFERROR(FILTER(Stats!$F:$Z,(Stats!$A:$A=$A896)*(Stats!$B:$B=$B896)))"),"#REF!")</f>
        <v>#REF!</v>
      </c>
      <c r="K896" s="11"/>
      <c r="L896" s="12"/>
      <c r="M896" s="11"/>
      <c r="N896" s="11"/>
      <c r="O896" s="13"/>
      <c r="P896" s="14"/>
      <c r="Q896" s="13"/>
      <c r="R896" s="13"/>
      <c r="S896" s="15"/>
      <c r="T896" s="16"/>
      <c r="U896" s="16"/>
      <c r="V896" s="16"/>
      <c r="W896" s="16"/>
      <c r="X896" s="16"/>
      <c r="Y896" s="11"/>
      <c r="Z896" s="11"/>
      <c r="AA896" s="11"/>
      <c r="AB896" s="11"/>
      <c r="AC896" s="11"/>
      <c r="AD896" s="11"/>
    </row>
    <row r="897">
      <c r="A897" s="10"/>
      <c r="B897" s="10"/>
      <c r="C897" s="10"/>
      <c r="D897" s="10"/>
      <c r="E897" s="10"/>
      <c r="F897" s="11"/>
      <c r="G897" s="11"/>
      <c r="H897" s="11"/>
      <c r="I897" s="11"/>
      <c r="J897" s="11" t="str">
        <f>IFERROR(__xludf.DUMMYFUNCTION("IFERROR(FILTER(Stats!$F:$Z,(Stats!$A:$A=$A897)*(Stats!$B:$B=$B897)))"),"#REF!")</f>
        <v>#REF!</v>
      </c>
      <c r="K897" s="11"/>
      <c r="L897" s="12"/>
      <c r="M897" s="11"/>
      <c r="N897" s="11"/>
      <c r="O897" s="13"/>
      <c r="P897" s="14"/>
      <c r="Q897" s="13"/>
      <c r="R897" s="13"/>
      <c r="S897" s="15"/>
      <c r="T897" s="16"/>
      <c r="U897" s="16"/>
      <c r="V897" s="16"/>
      <c r="W897" s="16"/>
      <c r="X897" s="16"/>
      <c r="Y897" s="11"/>
      <c r="Z897" s="11"/>
      <c r="AA897" s="11"/>
      <c r="AB897" s="11"/>
      <c r="AC897" s="11"/>
      <c r="AD897" s="11"/>
    </row>
    <row r="898">
      <c r="A898" s="10"/>
      <c r="B898" s="10"/>
      <c r="C898" s="10"/>
      <c r="D898" s="10"/>
      <c r="E898" s="10"/>
      <c r="F898" s="11"/>
      <c r="G898" s="11"/>
      <c r="H898" s="11"/>
      <c r="I898" s="11"/>
      <c r="J898" s="11" t="str">
        <f>IFERROR(__xludf.DUMMYFUNCTION("IFERROR(FILTER(Stats!$F:$Z,(Stats!$A:$A=$A898)*(Stats!$B:$B=$B898)))"),"#REF!")</f>
        <v>#REF!</v>
      </c>
      <c r="K898" s="11"/>
      <c r="L898" s="12"/>
      <c r="M898" s="11"/>
      <c r="N898" s="11"/>
      <c r="O898" s="13"/>
      <c r="P898" s="14"/>
      <c r="Q898" s="13"/>
      <c r="R898" s="13"/>
      <c r="S898" s="15"/>
      <c r="T898" s="16"/>
      <c r="U898" s="16"/>
      <c r="V898" s="16"/>
      <c r="W898" s="16"/>
      <c r="X898" s="16"/>
      <c r="Y898" s="11"/>
      <c r="Z898" s="11"/>
      <c r="AA898" s="11"/>
      <c r="AB898" s="11"/>
      <c r="AC898" s="11"/>
      <c r="AD898" s="11"/>
    </row>
    <row r="899">
      <c r="A899" s="10"/>
      <c r="B899" s="10"/>
      <c r="C899" s="10"/>
      <c r="D899" s="10"/>
      <c r="E899" s="10"/>
      <c r="F899" s="11"/>
      <c r="G899" s="11"/>
      <c r="H899" s="11"/>
      <c r="I899" s="11"/>
      <c r="J899" s="11" t="str">
        <f>IFERROR(__xludf.DUMMYFUNCTION("IFERROR(FILTER(Stats!$F:$Z,(Stats!$A:$A=$A899)*(Stats!$B:$B=$B899)))"),"#REF!")</f>
        <v>#REF!</v>
      </c>
      <c r="K899" s="11"/>
      <c r="L899" s="12"/>
      <c r="M899" s="11"/>
      <c r="N899" s="11"/>
      <c r="O899" s="13"/>
      <c r="P899" s="14"/>
      <c r="Q899" s="13"/>
      <c r="R899" s="13"/>
      <c r="S899" s="15"/>
      <c r="T899" s="16"/>
      <c r="U899" s="16"/>
      <c r="V899" s="16"/>
      <c r="W899" s="16"/>
      <c r="X899" s="16"/>
      <c r="Y899" s="11"/>
      <c r="Z899" s="11"/>
      <c r="AA899" s="11"/>
      <c r="AB899" s="11"/>
      <c r="AC899" s="11"/>
      <c r="AD899" s="11"/>
    </row>
    <row r="900">
      <c r="A900" s="10"/>
      <c r="B900" s="10"/>
      <c r="C900" s="10"/>
      <c r="D900" s="10"/>
      <c r="E900" s="10"/>
      <c r="F900" s="11"/>
      <c r="G900" s="11"/>
      <c r="H900" s="11"/>
      <c r="I900" s="11"/>
      <c r="J900" s="11" t="str">
        <f>IFERROR(__xludf.DUMMYFUNCTION("IFERROR(FILTER(Stats!$F:$Z,(Stats!$A:$A=$A900)*(Stats!$B:$B=$B900)))"),"#REF!")</f>
        <v>#REF!</v>
      </c>
      <c r="K900" s="11"/>
      <c r="L900" s="12"/>
      <c r="M900" s="11"/>
      <c r="N900" s="11"/>
      <c r="O900" s="13"/>
      <c r="P900" s="14"/>
      <c r="Q900" s="13"/>
      <c r="R900" s="13"/>
      <c r="S900" s="15"/>
      <c r="T900" s="16"/>
      <c r="U900" s="16"/>
      <c r="V900" s="16"/>
      <c r="W900" s="16"/>
      <c r="X900" s="16"/>
      <c r="Y900" s="11"/>
      <c r="Z900" s="11"/>
      <c r="AA900" s="11"/>
      <c r="AB900" s="11"/>
      <c r="AC900" s="11"/>
      <c r="AD900" s="11"/>
    </row>
    <row r="901">
      <c r="A901" s="10"/>
      <c r="B901" s="10"/>
      <c r="C901" s="10"/>
      <c r="D901" s="10"/>
      <c r="E901" s="10"/>
      <c r="F901" s="11"/>
      <c r="G901" s="11"/>
      <c r="H901" s="11"/>
      <c r="I901" s="11"/>
      <c r="J901" s="11" t="str">
        <f>IFERROR(__xludf.DUMMYFUNCTION("IFERROR(FILTER(Stats!$F:$Z,(Stats!$A:$A=$A901)*(Stats!$B:$B=$B901)))"),"#REF!")</f>
        <v>#REF!</v>
      </c>
      <c r="K901" s="11"/>
      <c r="L901" s="12"/>
      <c r="M901" s="11"/>
      <c r="N901" s="11"/>
      <c r="O901" s="13"/>
      <c r="P901" s="14"/>
      <c r="Q901" s="13"/>
      <c r="R901" s="13"/>
      <c r="S901" s="15"/>
      <c r="T901" s="16"/>
      <c r="U901" s="16"/>
      <c r="V901" s="16"/>
      <c r="W901" s="16"/>
      <c r="X901" s="16"/>
      <c r="Y901" s="11"/>
      <c r="Z901" s="11"/>
      <c r="AA901" s="11"/>
      <c r="AB901" s="11"/>
      <c r="AC901" s="11"/>
      <c r="AD901" s="11"/>
    </row>
    <row r="902">
      <c r="A902" s="10"/>
      <c r="B902" s="10"/>
      <c r="C902" s="10"/>
      <c r="D902" s="10"/>
      <c r="E902" s="10"/>
      <c r="F902" s="11"/>
      <c r="G902" s="11"/>
      <c r="H902" s="11"/>
      <c r="I902" s="11"/>
      <c r="J902" s="11" t="str">
        <f>IFERROR(__xludf.DUMMYFUNCTION("IFERROR(FILTER(Stats!$F:$Z,(Stats!$A:$A=$A902)*(Stats!$B:$B=$B902)))"),"#REF!")</f>
        <v>#REF!</v>
      </c>
      <c r="K902" s="11"/>
      <c r="L902" s="12"/>
      <c r="M902" s="11"/>
      <c r="N902" s="11"/>
      <c r="O902" s="13"/>
      <c r="P902" s="14"/>
      <c r="Q902" s="13"/>
      <c r="R902" s="13"/>
      <c r="S902" s="15"/>
      <c r="T902" s="16"/>
      <c r="U902" s="16"/>
      <c r="V902" s="16"/>
      <c r="W902" s="16"/>
      <c r="X902" s="16"/>
      <c r="Y902" s="11"/>
      <c r="Z902" s="11"/>
      <c r="AA902" s="11"/>
      <c r="AB902" s="11"/>
      <c r="AC902" s="11"/>
      <c r="AD902" s="11"/>
    </row>
    <row r="903">
      <c r="A903" s="10"/>
      <c r="B903" s="10"/>
      <c r="C903" s="10"/>
      <c r="D903" s="10"/>
      <c r="E903" s="10"/>
      <c r="F903" s="11"/>
      <c r="G903" s="11"/>
      <c r="H903" s="11"/>
      <c r="I903" s="11"/>
      <c r="J903" s="11" t="str">
        <f>IFERROR(__xludf.DUMMYFUNCTION("IFERROR(FILTER(Stats!$F:$Z,(Stats!$A:$A=$A903)*(Stats!$B:$B=$B903)))"),"#REF!")</f>
        <v>#REF!</v>
      </c>
      <c r="K903" s="11"/>
      <c r="L903" s="12"/>
      <c r="M903" s="11"/>
      <c r="N903" s="11"/>
      <c r="O903" s="13"/>
      <c r="P903" s="14"/>
      <c r="Q903" s="13"/>
      <c r="R903" s="13"/>
      <c r="S903" s="15"/>
      <c r="T903" s="16"/>
      <c r="U903" s="16"/>
      <c r="V903" s="16"/>
      <c r="W903" s="16"/>
      <c r="X903" s="16"/>
      <c r="Y903" s="11"/>
      <c r="Z903" s="11"/>
      <c r="AA903" s="11"/>
      <c r="AB903" s="11"/>
      <c r="AC903" s="11"/>
      <c r="AD903" s="11"/>
    </row>
    <row r="904">
      <c r="A904" s="10"/>
      <c r="B904" s="10"/>
      <c r="C904" s="10"/>
      <c r="D904" s="10"/>
      <c r="E904" s="10"/>
      <c r="F904" s="11"/>
      <c r="G904" s="11"/>
      <c r="H904" s="11"/>
      <c r="I904" s="11"/>
      <c r="J904" s="11" t="str">
        <f>IFERROR(__xludf.DUMMYFUNCTION("IFERROR(FILTER(Stats!$F:$Z,(Stats!$A:$A=$A904)*(Stats!$B:$B=$B904)))"),"#REF!")</f>
        <v>#REF!</v>
      </c>
      <c r="K904" s="11"/>
      <c r="L904" s="12"/>
      <c r="M904" s="11"/>
      <c r="N904" s="11"/>
      <c r="O904" s="13"/>
      <c r="P904" s="14"/>
      <c r="Q904" s="13"/>
      <c r="R904" s="13"/>
      <c r="S904" s="15"/>
      <c r="T904" s="16"/>
      <c r="U904" s="16"/>
      <c r="V904" s="16"/>
      <c r="W904" s="16"/>
      <c r="X904" s="16"/>
      <c r="Y904" s="11"/>
      <c r="Z904" s="11"/>
      <c r="AA904" s="11"/>
      <c r="AB904" s="11"/>
      <c r="AC904" s="11"/>
      <c r="AD904" s="11"/>
    </row>
    <row r="905">
      <c r="A905" s="10"/>
      <c r="B905" s="10"/>
      <c r="C905" s="10"/>
      <c r="D905" s="10"/>
      <c r="E905" s="10"/>
      <c r="F905" s="11"/>
      <c r="G905" s="11"/>
      <c r="H905" s="11"/>
      <c r="I905" s="11"/>
      <c r="J905" s="11" t="str">
        <f>IFERROR(__xludf.DUMMYFUNCTION("IFERROR(FILTER(Stats!$F:$Z,(Stats!$A:$A=$A905)*(Stats!$B:$B=$B905)))"),"#REF!")</f>
        <v>#REF!</v>
      </c>
      <c r="K905" s="11"/>
      <c r="L905" s="12"/>
      <c r="M905" s="11"/>
      <c r="N905" s="11"/>
      <c r="O905" s="13"/>
      <c r="P905" s="14"/>
      <c r="Q905" s="13"/>
      <c r="R905" s="13"/>
      <c r="S905" s="15"/>
      <c r="T905" s="16"/>
      <c r="U905" s="16"/>
      <c r="V905" s="16"/>
      <c r="W905" s="16"/>
      <c r="X905" s="16"/>
      <c r="Y905" s="11"/>
      <c r="Z905" s="11"/>
      <c r="AA905" s="11"/>
      <c r="AB905" s="11"/>
      <c r="AC905" s="11"/>
      <c r="AD905" s="11"/>
    </row>
    <row r="906">
      <c r="A906" s="10"/>
      <c r="B906" s="10"/>
      <c r="C906" s="10"/>
      <c r="D906" s="10"/>
      <c r="E906" s="10"/>
      <c r="F906" s="11"/>
      <c r="G906" s="11"/>
      <c r="H906" s="11"/>
      <c r="I906" s="11"/>
      <c r="J906" s="11" t="str">
        <f>IFERROR(__xludf.DUMMYFUNCTION("IFERROR(FILTER(Stats!$F:$Z,(Stats!$A:$A=$A906)*(Stats!$B:$B=$B906)))"),"#REF!")</f>
        <v>#REF!</v>
      </c>
      <c r="K906" s="11"/>
      <c r="L906" s="12"/>
      <c r="M906" s="11"/>
      <c r="N906" s="11"/>
      <c r="O906" s="13"/>
      <c r="P906" s="14"/>
      <c r="Q906" s="13"/>
      <c r="R906" s="13"/>
      <c r="S906" s="15"/>
      <c r="T906" s="16"/>
      <c r="U906" s="16"/>
      <c r="V906" s="16"/>
      <c r="W906" s="16"/>
      <c r="X906" s="16"/>
      <c r="Y906" s="11"/>
      <c r="Z906" s="11"/>
      <c r="AA906" s="11"/>
      <c r="AB906" s="11"/>
      <c r="AC906" s="11"/>
      <c r="AD906" s="11"/>
    </row>
    <row r="907">
      <c r="A907" s="10"/>
      <c r="B907" s="10"/>
      <c r="C907" s="10"/>
      <c r="D907" s="10"/>
      <c r="E907" s="10"/>
      <c r="F907" s="11"/>
      <c r="G907" s="11"/>
      <c r="H907" s="11"/>
      <c r="I907" s="11"/>
      <c r="J907" s="11" t="str">
        <f>IFERROR(__xludf.DUMMYFUNCTION("IFERROR(FILTER(Stats!$F:$Z,(Stats!$A:$A=$A907)*(Stats!$B:$B=$B907)))"),"#REF!")</f>
        <v>#REF!</v>
      </c>
      <c r="K907" s="11"/>
      <c r="L907" s="12"/>
      <c r="M907" s="11"/>
      <c r="N907" s="11"/>
      <c r="O907" s="13"/>
      <c r="P907" s="14"/>
      <c r="Q907" s="13"/>
      <c r="R907" s="13"/>
      <c r="S907" s="15"/>
      <c r="T907" s="16"/>
      <c r="U907" s="16"/>
      <c r="V907" s="16"/>
      <c r="W907" s="16"/>
      <c r="X907" s="16"/>
      <c r="Y907" s="11"/>
      <c r="Z907" s="11"/>
      <c r="AA907" s="11"/>
      <c r="AB907" s="11"/>
      <c r="AC907" s="11"/>
      <c r="AD907" s="11"/>
    </row>
    <row r="908">
      <c r="A908" s="10"/>
      <c r="B908" s="10"/>
      <c r="C908" s="10"/>
      <c r="D908" s="10"/>
      <c r="E908" s="10"/>
      <c r="F908" s="11"/>
      <c r="G908" s="11"/>
      <c r="H908" s="11"/>
      <c r="I908" s="11"/>
      <c r="J908" s="11" t="str">
        <f>IFERROR(__xludf.DUMMYFUNCTION("IFERROR(FILTER(Stats!$F:$Z,(Stats!$A:$A=$A908)*(Stats!$B:$B=$B908)))"),"#REF!")</f>
        <v>#REF!</v>
      </c>
      <c r="K908" s="11"/>
      <c r="L908" s="12"/>
      <c r="M908" s="11"/>
      <c r="N908" s="11"/>
      <c r="O908" s="13"/>
      <c r="P908" s="14"/>
      <c r="Q908" s="13"/>
      <c r="R908" s="13"/>
      <c r="S908" s="15"/>
      <c r="T908" s="16"/>
      <c r="U908" s="16"/>
      <c r="V908" s="16"/>
      <c r="W908" s="16"/>
      <c r="X908" s="16"/>
      <c r="Y908" s="11"/>
      <c r="Z908" s="11"/>
      <c r="AA908" s="11"/>
      <c r="AB908" s="11"/>
      <c r="AC908" s="11"/>
      <c r="AD908" s="11"/>
    </row>
    <row r="909">
      <c r="A909" s="10"/>
      <c r="B909" s="10"/>
      <c r="C909" s="10"/>
      <c r="D909" s="10"/>
      <c r="E909" s="10"/>
      <c r="F909" s="11"/>
      <c r="G909" s="11"/>
      <c r="H909" s="11"/>
      <c r="I909" s="11"/>
      <c r="J909" s="11" t="str">
        <f>IFERROR(__xludf.DUMMYFUNCTION("IFERROR(FILTER(Stats!$F:$Z,(Stats!$A:$A=$A909)*(Stats!$B:$B=$B909)))"),"#REF!")</f>
        <v>#REF!</v>
      </c>
      <c r="K909" s="11"/>
      <c r="L909" s="12"/>
      <c r="M909" s="11"/>
      <c r="N909" s="11"/>
      <c r="O909" s="13"/>
      <c r="P909" s="14"/>
      <c r="Q909" s="13"/>
      <c r="R909" s="13"/>
      <c r="S909" s="15"/>
      <c r="T909" s="16"/>
      <c r="U909" s="16"/>
      <c r="V909" s="16"/>
      <c r="W909" s="16"/>
      <c r="X909" s="16"/>
      <c r="Y909" s="11"/>
      <c r="Z909" s="11"/>
      <c r="AA909" s="11"/>
      <c r="AB909" s="11"/>
      <c r="AC909" s="11"/>
      <c r="AD909" s="11"/>
    </row>
    <row r="910">
      <c r="A910" s="10"/>
      <c r="B910" s="10"/>
      <c r="C910" s="10"/>
      <c r="D910" s="10"/>
      <c r="E910" s="10"/>
      <c r="F910" s="11"/>
      <c r="G910" s="11"/>
      <c r="H910" s="11"/>
      <c r="I910" s="11"/>
      <c r="J910" s="11" t="str">
        <f>IFERROR(__xludf.DUMMYFUNCTION("IFERROR(FILTER(Stats!$F:$Z,(Stats!$A:$A=$A910)*(Stats!$B:$B=$B910)))"),"#REF!")</f>
        <v>#REF!</v>
      </c>
      <c r="K910" s="11"/>
      <c r="L910" s="12"/>
      <c r="M910" s="11"/>
      <c r="N910" s="11"/>
      <c r="O910" s="13"/>
      <c r="P910" s="14"/>
      <c r="Q910" s="13"/>
      <c r="R910" s="13"/>
      <c r="S910" s="15"/>
      <c r="T910" s="16"/>
      <c r="U910" s="16"/>
      <c r="V910" s="16"/>
      <c r="W910" s="16"/>
      <c r="X910" s="16"/>
      <c r="Y910" s="11"/>
      <c r="Z910" s="11"/>
      <c r="AA910" s="11"/>
      <c r="AB910" s="11"/>
      <c r="AC910" s="11"/>
      <c r="AD910" s="11"/>
    </row>
    <row r="911">
      <c r="A911" s="10"/>
      <c r="B911" s="10"/>
      <c r="C911" s="10"/>
      <c r="D911" s="10"/>
      <c r="E911" s="10"/>
      <c r="F911" s="11"/>
      <c r="G911" s="11"/>
      <c r="H911" s="11"/>
      <c r="I911" s="11"/>
      <c r="J911" s="11" t="str">
        <f>IFERROR(__xludf.DUMMYFUNCTION("IFERROR(FILTER(Stats!$F:$Z,(Stats!$A:$A=$A911)*(Stats!$B:$B=$B911)))"),"#REF!")</f>
        <v>#REF!</v>
      </c>
      <c r="K911" s="11"/>
      <c r="L911" s="12"/>
      <c r="M911" s="11"/>
      <c r="N911" s="11"/>
      <c r="O911" s="13"/>
      <c r="P911" s="14"/>
      <c r="Q911" s="13"/>
      <c r="R911" s="13"/>
      <c r="S911" s="15"/>
      <c r="T911" s="16"/>
      <c r="U911" s="16"/>
      <c r="V911" s="16"/>
      <c r="W911" s="16"/>
      <c r="X911" s="16"/>
      <c r="Y911" s="11"/>
      <c r="Z911" s="11"/>
      <c r="AA911" s="11"/>
      <c r="AB911" s="11"/>
      <c r="AC911" s="11"/>
      <c r="AD911" s="11"/>
    </row>
    <row r="912">
      <c r="A912" s="10"/>
      <c r="B912" s="10"/>
      <c r="C912" s="10"/>
      <c r="D912" s="10"/>
      <c r="E912" s="10"/>
      <c r="F912" s="11"/>
      <c r="G912" s="11"/>
      <c r="H912" s="11"/>
      <c r="I912" s="11"/>
      <c r="J912" s="11" t="str">
        <f>IFERROR(__xludf.DUMMYFUNCTION("IFERROR(FILTER(Stats!$F:$Z,(Stats!$A:$A=$A912)*(Stats!$B:$B=$B912)))"),"#REF!")</f>
        <v>#REF!</v>
      </c>
      <c r="K912" s="11"/>
      <c r="L912" s="12"/>
      <c r="M912" s="11"/>
      <c r="N912" s="11"/>
      <c r="O912" s="13"/>
      <c r="P912" s="14"/>
      <c r="Q912" s="13"/>
      <c r="R912" s="13"/>
      <c r="S912" s="15"/>
      <c r="T912" s="16"/>
      <c r="U912" s="16"/>
      <c r="V912" s="16"/>
      <c r="W912" s="16"/>
      <c r="X912" s="16"/>
      <c r="Y912" s="11"/>
      <c r="Z912" s="11"/>
      <c r="AA912" s="11"/>
      <c r="AB912" s="11"/>
      <c r="AC912" s="11"/>
      <c r="AD912" s="11"/>
    </row>
    <row r="913">
      <c r="A913" s="10"/>
      <c r="B913" s="10"/>
      <c r="C913" s="10"/>
      <c r="D913" s="10"/>
      <c r="E913" s="10"/>
      <c r="F913" s="11"/>
      <c r="G913" s="11"/>
      <c r="H913" s="11"/>
      <c r="I913" s="11"/>
      <c r="J913" s="11" t="str">
        <f>IFERROR(__xludf.DUMMYFUNCTION("IFERROR(FILTER(Stats!$F:$Z,(Stats!$A:$A=$A913)*(Stats!$B:$B=$B913)))"),"#REF!")</f>
        <v>#REF!</v>
      </c>
      <c r="K913" s="11"/>
      <c r="L913" s="12"/>
      <c r="M913" s="11"/>
      <c r="N913" s="11"/>
      <c r="O913" s="13"/>
      <c r="P913" s="14"/>
      <c r="Q913" s="13"/>
      <c r="R913" s="13"/>
      <c r="S913" s="15"/>
      <c r="T913" s="16"/>
      <c r="U913" s="16"/>
      <c r="V913" s="16"/>
      <c r="W913" s="16"/>
      <c r="X913" s="16"/>
      <c r="Y913" s="11"/>
      <c r="Z913" s="11"/>
      <c r="AA913" s="11"/>
      <c r="AB913" s="11"/>
      <c r="AC913" s="11"/>
      <c r="AD913" s="11"/>
    </row>
    <row r="914">
      <c r="A914" s="10"/>
      <c r="B914" s="10"/>
      <c r="C914" s="10"/>
      <c r="D914" s="10"/>
      <c r="E914" s="10"/>
      <c r="F914" s="11"/>
      <c r="G914" s="11"/>
      <c r="H914" s="11"/>
      <c r="I914" s="11"/>
      <c r="J914" s="11" t="str">
        <f>IFERROR(__xludf.DUMMYFUNCTION("IFERROR(FILTER(Stats!$F:$Z,(Stats!$A:$A=$A914)*(Stats!$B:$B=$B914)))"),"#REF!")</f>
        <v>#REF!</v>
      </c>
      <c r="K914" s="11"/>
      <c r="L914" s="12"/>
      <c r="M914" s="11"/>
      <c r="N914" s="11"/>
      <c r="O914" s="13"/>
      <c r="P914" s="14"/>
      <c r="Q914" s="13"/>
      <c r="R914" s="13"/>
      <c r="S914" s="15"/>
      <c r="T914" s="16"/>
      <c r="U914" s="16"/>
      <c r="V914" s="16"/>
      <c r="W914" s="16"/>
      <c r="X914" s="16"/>
      <c r="Y914" s="11"/>
      <c r="Z914" s="11"/>
      <c r="AA914" s="11"/>
      <c r="AB914" s="11"/>
      <c r="AC914" s="11"/>
      <c r="AD914" s="11"/>
    </row>
    <row r="915">
      <c r="A915" s="10"/>
      <c r="B915" s="10"/>
      <c r="C915" s="10"/>
      <c r="D915" s="10"/>
      <c r="E915" s="10"/>
      <c r="F915" s="11"/>
      <c r="G915" s="11"/>
      <c r="H915" s="11"/>
      <c r="I915" s="11"/>
      <c r="J915" s="11" t="str">
        <f>IFERROR(__xludf.DUMMYFUNCTION("IFERROR(FILTER(Stats!$F:$Z,(Stats!$A:$A=$A915)*(Stats!$B:$B=$B915)))"),"#REF!")</f>
        <v>#REF!</v>
      </c>
      <c r="K915" s="11"/>
      <c r="L915" s="12"/>
      <c r="M915" s="11"/>
      <c r="N915" s="11"/>
      <c r="O915" s="13"/>
      <c r="P915" s="14"/>
      <c r="Q915" s="13"/>
      <c r="R915" s="13"/>
      <c r="S915" s="15"/>
      <c r="T915" s="16"/>
      <c r="U915" s="16"/>
      <c r="V915" s="16"/>
      <c r="W915" s="16"/>
      <c r="X915" s="16"/>
      <c r="Y915" s="11"/>
      <c r="Z915" s="11"/>
      <c r="AA915" s="11"/>
      <c r="AB915" s="11"/>
      <c r="AC915" s="11"/>
      <c r="AD915" s="11"/>
    </row>
    <row r="916">
      <c r="A916" s="10"/>
      <c r="B916" s="10"/>
      <c r="C916" s="10"/>
      <c r="D916" s="10"/>
      <c r="E916" s="10"/>
      <c r="F916" s="11"/>
      <c r="G916" s="11"/>
      <c r="H916" s="11"/>
      <c r="I916" s="11"/>
      <c r="J916" s="11" t="str">
        <f>IFERROR(__xludf.DUMMYFUNCTION("IFERROR(FILTER(Stats!$F:$Z,(Stats!$A:$A=$A916)*(Stats!$B:$B=$B916)))"),"#REF!")</f>
        <v>#REF!</v>
      </c>
      <c r="K916" s="11"/>
      <c r="L916" s="12"/>
      <c r="M916" s="11"/>
      <c r="N916" s="11"/>
      <c r="O916" s="13"/>
      <c r="P916" s="14"/>
      <c r="Q916" s="13"/>
      <c r="R916" s="13"/>
      <c r="S916" s="15"/>
      <c r="T916" s="16"/>
      <c r="U916" s="16"/>
      <c r="V916" s="16"/>
      <c r="W916" s="16"/>
      <c r="X916" s="16"/>
      <c r="Y916" s="11"/>
      <c r="Z916" s="11"/>
      <c r="AA916" s="11"/>
      <c r="AB916" s="11"/>
      <c r="AC916" s="11"/>
      <c r="AD916" s="11"/>
    </row>
    <row r="917">
      <c r="A917" s="10"/>
      <c r="B917" s="10"/>
      <c r="C917" s="10"/>
      <c r="D917" s="10"/>
      <c r="E917" s="10"/>
      <c r="F917" s="11"/>
      <c r="G917" s="11"/>
      <c r="H917" s="11"/>
      <c r="I917" s="11"/>
      <c r="J917" s="11" t="str">
        <f>IFERROR(__xludf.DUMMYFUNCTION("IFERROR(FILTER(Stats!$F:$Z,(Stats!$A:$A=$A917)*(Stats!$B:$B=$B917)))"),"#REF!")</f>
        <v>#REF!</v>
      </c>
      <c r="K917" s="11"/>
      <c r="L917" s="12"/>
      <c r="M917" s="11"/>
      <c r="N917" s="11"/>
      <c r="O917" s="13"/>
      <c r="P917" s="14"/>
      <c r="Q917" s="13"/>
      <c r="R917" s="13"/>
      <c r="S917" s="15"/>
      <c r="T917" s="16"/>
      <c r="U917" s="16"/>
      <c r="V917" s="16"/>
      <c r="W917" s="16"/>
      <c r="X917" s="16"/>
      <c r="Y917" s="11"/>
      <c r="Z917" s="11"/>
      <c r="AA917" s="11"/>
      <c r="AB917" s="11"/>
      <c r="AC917" s="11"/>
      <c r="AD917" s="11"/>
    </row>
    <row r="918">
      <c r="A918" s="10"/>
      <c r="B918" s="10"/>
      <c r="C918" s="10"/>
      <c r="D918" s="10"/>
      <c r="E918" s="10"/>
      <c r="F918" s="11"/>
      <c r="G918" s="11"/>
      <c r="H918" s="11"/>
      <c r="I918" s="11"/>
      <c r="J918" s="11" t="str">
        <f>IFERROR(__xludf.DUMMYFUNCTION("IFERROR(FILTER(Stats!$F:$Z,(Stats!$A:$A=$A918)*(Stats!$B:$B=$B918)))"),"#REF!")</f>
        <v>#REF!</v>
      </c>
      <c r="K918" s="11"/>
      <c r="L918" s="12"/>
      <c r="M918" s="11"/>
      <c r="N918" s="11"/>
      <c r="O918" s="13"/>
      <c r="P918" s="14"/>
      <c r="Q918" s="13"/>
      <c r="R918" s="13"/>
      <c r="S918" s="15"/>
      <c r="T918" s="16"/>
      <c r="U918" s="16"/>
      <c r="V918" s="16"/>
      <c r="W918" s="16"/>
      <c r="X918" s="16"/>
      <c r="Y918" s="11"/>
      <c r="Z918" s="11"/>
      <c r="AA918" s="11"/>
      <c r="AB918" s="11"/>
      <c r="AC918" s="11"/>
      <c r="AD918" s="11"/>
    </row>
    <row r="919">
      <c r="A919" s="10"/>
      <c r="B919" s="10"/>
      <c r="C919" s="10"/>
      <c r="D919" s="10"/>
      <c r="E919" s="10"/>
      <c r="F919" s="11"/>
      <c r="G919" s="11"/>
      <c r="H919" s="11"/>
      <c r="I919" s="11"/>
      <c r="J919" s="11" t="str">
        <f>IFERROR(__xludf.DUMMYFUNCTION("IFERROR(FILTER(Stats!$F:$Z,(Stats!$A:$A=$A919)*(Stats!$B:$B=$B919)))"),"#REF!")</f>
        <v>#REF!</v>
      </c>
      <c r="K919" s="11"/>
      <c r="L919" s="12"/>
      <c r="M919" s="11"/>
      <c r="N919" s="11"/>
      <c r="O919" s="13"/>
      <c r="P919" s="14"/>
      <c r="Q919" s="13"/>
      <c r="R919" s="13"/>
      <c r="S919" s="15"/>
      <c r="T919" s="16"/>
      <c r="U919" s="16"/>
      <c r="V919" s="16"/>
      <c r="W919" s="16"/>
      <c r="X919" s="16"/>
      <c r="Y919" s="11"/>
      <c r="Z919" s="11"/>
      <c r="AA919" s="11"/>
      <c r="AB919" s="11"/>
      <c r="AC919" s="11"/>
      <c r="AD919" s="11"/>
    </row>
    <row r="920">
      <c r="A920" s="10"/>
      <c r="B920" s="10"/>
      <c r="C920" s="10"/>
      <c r="D920" s="10"/>
      <c r="E920" s="10"/>
      <c r="F920" s="11"/>
      <c r="G920" s="11"/>
      <c r="H920" s="11"/>
      <c r="I920" s="11"/>
      <c r="J920" s="11" t="str">
        <f>IFERROR(__xludf.DUMMYFUNCTION("IFERROR(FILTER(Stats!$F:$Z,(Stats!$A:$A=$A920)*(Stats!$B:$B=$B920)))"),"#REF!")</f>
        <v>#REF!</v>
      </c>
      <c r="K920" s="11"/>
      <c r="L920" s="12"/>
      <c r="M920" s="11"/>
      <c r="N920" s="11"/>
      <c r="O920" s="13"/>
      <c r="P920" s="14"/>
      <c r="Q920" s="13"/>
      <c r="R920" s="13"/>
      <c r="S920" s="15"/>
      <c r="T920" s="16"/>
      <c r="U920" s="16"/>
      <c r="V920" s="16"/>
      <c r="W920" s="16"/>
      <c r="X920" s="16"/>
      <c r="Y920" s="11"/>
      <c r="Z920" s="11"/>
      <c r="AA920" s="11"/>
      <c r="AB920" s="11"/>
      <c r="AC920" s="11"/>
      <c r="AD920" s="11"/>
    </row>
    <row r="921">
      <c r="A921" s="10"/>
      <c r="B921" s="10"/>
      <c r="C921" s="10"/>
      <c r="D921" s="10"/>
      <c r="E921" s="10"/>
      <c r="F921" s="11"/>
      <c r="G921" s="11"/>
      <c r="H921" s="11"/>
      <c r="I921" s="11"/>
      <c r="J921" s="11" t="str">
        <f>IFERROR(__xludf.DUMMYFUNCTION("IFERROR(FILTER(Stats!$F:$Z,(Stats!$A:$A=$A921)*(Stats!$B:$B=$B921)))"),"#REF!")</f>
        <v>#REF!</v>
      </c>
      <c r="K921" s="11"/>
      <c r="L921" s="12"/>
      <c r="M921" s="11"/>
      <c r="N921" s="11"/>
      <c r="O921" s="13"/>
      <c r="P921" s="14"/>
      <c r="Q921" s="13"/>
      <c r="R921" s="13"/>
      <c r="S921" s="15"/>
      <c r="T921" s="16"/>
      <c r="U921" s="16"/>
      <c r="V921" s="16"/>
      <c r="W921" s="16"/>
      <c r="X921" s="16"/>
      <c r="Y921" s="11"/>
      <c r="Z921" s="11"/>
      <c r="AA921" s="11"/>
      <c r="AB921" s="11"/>
      <c r="AC921" s="11"/>
      <c r="AD921" s="11"/>
    </row>
    <row r="922">
      <c r="A922" s="10"/>
      <c r="B922" s="10"/>
      <c r="C922" s="10"/>
      <c r="D922" s="10"/>
      <c r="E922" s="10"/>
      <c r="F922" s="11"/>
      <c r="G922" s="11"/>
      <c r="H922" s="11"/>
      <c r="I922" s="11"/>
      <c r="J922" s="11" t="str">
        <f>IFERROR(__xludf.DUMMYFUNCTION("IFERROR(FILTER(Stats!$F:$Z,(Stats!$A:$A=$A922)*(Stats!$B:$B=$B922)))"),"#REF!")</f>
        <v>#REF!</v>
      </c>
      <c r="K922" s="11"/>
      <c r="L922" s="12"/>
      <c r="M922" s="11"/>
      <c r="N922" s="11"/>
      <c r="O922" s="13"/>
      <c r="P922" s="14"/>
      <c r="Q922" s="13"/>
      <c r="R922" s="13"/>
      <c r="S922" s="15"/>
      <c r="T922" s="16"/>
      <c r="U922" s="16"/>
      <c r="V922" s="16"/>
      <c r="W922" s="16"/>
      <c r="X922" s="16"/>
      <c r="Y922" s="11"/>
      <c r="Z922" s="11"/>
      <c r="AA922" s="11"/>
      <c r="AB922" s="11"/>
      <c r="AC922" s="11"/>
      <c r="AD922" s="11"/>
    </row>
    <row r="923">
      <c r="A923" s="10"/>
      <c r="B923" s="10"/>
      <c r="C923" s="10"/>
      <c r="D923" s="10"/>
      <c r="E923" s="10"/>
      <c r="F923" s="11"/>
      <c r="G923" s="11"/>
      <c r="H923" s="11"/>
      <c r="I923" s="11"/>
      <c r="J923" s="11" t="str">
        <f>IFERROR(__xludf.DUMMYFUNCTION("IFERROR(FILTER(Stats!$F:$Z,(Stats!$A:$A=$A923)*(Stats!$B:$B=$B923)))"),"#REF!")</f>
        <v>#REF!</v>
      </c>
      <c r="K923" s="11"/>
      <c r="L923" s="12"/>
      <c r="M923" s="11"/>
      <c r="N923" s="11"/>
      <c r="O923" s="13"/>
      <c r="P923" s="14"/>
      <c r="Q923" s="13"/>
      <c r="R923" s="13"/>
      <c r="S923" s="15"/>
      <c r="T923" s="16"/>
      <c r="U923" s="16"/>
      <c r="V923" s="16"/>
      <c r="W923" s="16"/>
      <c r="X923" s="16"/>
      <c r="Y923" s="11"/>
      <c r="Z923" s="11"/>
      <c r="AA923" s="11"/>
      <c r="AB923" s="11"/>
      <c r="AC923" s="11"/>
      <c r="AD923" s="11"/>
    </row>
    <row r="924">
      <c r="A924" s="10"/>
      <c r="B924" s="10"/>
      <c r="C924" s="10"/>
      <c r="D924" s="10"/>
      <c r="E924" s="10"/>
      <c r="F924" s="11"/>
      <c r="G924" s="11"/>
      <c r="H924" s="11"/>
      <c r="I924" s="11"/>
      <c r="J924" s="11" t="str">
        <f>IFERROR(__xludf.DUMMYFUNCTION("IFERROR(FILTER(Stats!$F:$Z,(Stats!$A:$A=$A924)*(Stats!$B:$B=$B924)))"),"#REF!")</f>
        <v>#REF!</v>
      </c>
      <c r="K924" s="11"/>
      <c r="L924" s="12"/>
      <c r="M924" s="11"/>
      <c r="N924" s="11"/>
      <c r="O924" s="13"/>
      <c r="P924" s="14"/>
      <c r="Q924" s="13"/>
      <c r="R924" s="13"/>
      <c r="S924" s="15"/>
      <c r="T924" s="16"/>
      <c r="U924" s="16"/>
      <c r="V924" s="16"/>
      <c r="W924" s="16"/>
      <c r="X924" s="16"/>
      <c r="Y924" s="11"/>
      <c r="Z924" s="11"/>
      <c r="AA924" s="11"/>
      <c r="AB924" s="11"/>
      <c r="AC924" s="11"/>
      <c r="AD924" s="11"/>
    </row>
    <row r="925">
      <c r="A925" s="10"/>
      <c r="B925" s="10"/>
      <c r="C925" s="10"/>
      <c r="D925" s="10"/>
      <c r="E925" s="10"/>
      <c r="F925" s="11"/>
      <c r="G925" s="11"/>
      <c r="H925" s="11"/>
      <c r="I925" s="11"/>
      <c r="J925" s="11" t="str">
        <f>IFERROR(__xludf.DUMMYFUNCTION("IFERROR(FILTER(Stats!$F:$Z,(Stats!$A:$A=$A925)*(Stats!$B:$B=$B925)))"),"#REF!")</f>
        <v>#REF!</v>
      </c>
      <c r="K925" s="11"/>
      <c r="L925" s="12"/>
      <c r="M925" s="11"/>
      <c r="N925" s="11"/>
      <c r="O925" s="13"/>
      <c r="P925" s="14"/>
      <c r="Q925" s="13"/>
      <c r="R925" s="13"/>
      <c r="S925" s="15"/>
      <c r="T925" s="16"/>
      <c r="U925" s="16"/>
      <c r="V925" s="16"/>
      <c r="W925" s="16"/>
      <c r="X925" s="16"/>
      <c r="Y925" s="11"/>
      <c r="Z925" s="11"/>
      <c r="AA925" s="11"/>
      <c r="AB925" s="11"/>
      <c r="AC925" s="11"/>
      <c r="AD925" s="11"/>
    </row>
    <row r="926">
      <c r="A926" s="10"/>
      <c r="B926" s="10"/>
      <c r="C926" s="10"/>
      <c r="D926" s="10"/>
      <c r="E926" s="10"/>
      <c r="F926" s="11"/>
      <c r="G926" s="11"/>
      <c r="H926" s="11"/>
      <c r="I926" s="11"/>
      <c r="J926" s="11" t="str">
        <f>IFERROR(__xludf.DUMMYFUNCTION("IFERROR(FILTER(Stats!$F:$Z,(Stats!$A:$A=$A926)*(Stats!$B:$B=$B926)))"),"#REF!")</f>
        <v>#REF!</v>
      </c>
      <c r="K926" s="11"/>
      <c r="L926" s="12"/>
      <c r="M926" s="11"/>
      <c r="N926" s="11"/>
      <c r="O926" s="13"/>
      <c r="P926" s="14"/>
      <c r="Q926" s="13"/>
      <c r="R926" s="13"/>
      <c r="S926" s="15"/>
      <c r="T926" s="16"/>
      <c r="U926" s="16"/>
      <c r="V926" s="16"/>
      <c r="W926" s="16"/>
      <c r="X926" s="16"/>
      <c r="Y926" s="11"/>
      <c r="Z926" s="11"/>
      <c r="AA926" s="11"/>
      <c r="AB926" s="11"/>
      <c r="AC926" s="11"/>
      <c r="AD926" s="11"/>
    </row>
    <row r="927">
      <c r="A927" s="10"/>
      <c r="B927" s="10"/>
      <c r="C927" s="10"/>
      <c r="D927" s="10"/>
      <c r="E927" s="10"/>
      <c r="F927" s="11"/>
      <c r="G927" s="11"/>
      <c r="H927" s="11"/>
      <c r="I927" s="11"/>
      <c r="J927" s="11" t="str">
        <f>IFERROR(__xludf.DUMMYFUNCTION("IFERROR(FILTER(Stats!$F:$Z,(Stats!$A:$A=$A927)*(Stats!$B:$B=$B927)))"),"#REF!")</f>
        <v>#REF!</v>
      </c>
      <c r="K927" s="11"/>
      <c r="L927" s="12"/>
      <c r="M927" s="11"/>
      <c r="N927" s="11"/>
      <c r="O927" s="13"/>
      <c r="P927" s="14"/>
      <c r="Q927" s="13"/>
      <c r="R927" s="13"/>
      <c r="S927" s="15"/>
      <c r="T927" s="16"/>
      <c r="U927" s="16"/>
      <c r="V927" s="16"/>
      <c r="W927" s="16"/>
      <c r="X927" s="16"/>
      <c r="Y927" s="11"/>
      <c r="Z927" s="11"/>
      <c r="AA927" s="11"/>
      <c r="AB927" s="11"/>
      <c r="AC927" s="11"/>
      <c r="AD927" s="11"/>
    </row>
    <row r="928">
      <c r="A928" s="10"/>
      <c r="B928" s="10"/>
      <c r="C928" s="10"/>
      <c r="D928" s="10"/>
      <c r="E928" s="10"/>
      <c r="F928" s="11"/>
      <c r="G928" s="11"/>
      <c r="H928" s="11"/>
      <c r="I928" s="11"/>
      <c r="J928" s="11" t="str">
        <f>IFERROR(__xludf.DUMMYFUNCTION("IFERROR(FILTER(Stats!$F:$Z,(Stats!$A:$A=$A928)*(Stats!$B:$B=$B928)))"),"#REF!")</f>
        <v>#REF!</v>
      </c>
      <c r="K928" s="11"/>
      <c r="L928" s="12"/>
      <c r="M928" s="11"/>
      <c r="N928" s="11"/>
      <c r="O928" s="13"/>
      <c r="P928" s="14"/>
      <c r="Q928" s="13"/>
      <c r="R928" s="13"/>
      <c r="S928" s="15"/>
      <c r="T928" s="16"/>
      <c r="U928" s="16"/>
      <c r="V928" s="16"/>
      <c r="W928" s="16"/>
      <c r="X928" s="16"/>
      <c r="Y928" s="11"/>
      <c r="Z928" s="11"/>
      <c r="AA928" s="11"/>
      <c r="AB928" s="11"/>
      <c r="AC928" s="11"/>
      <c r="AD928" s="11"/>
    </row>
    <row r="929">
      <c r="A929" s="10"/>
      <c r="B929" s="10"/>
      <c r="C929" s="10"/>
      <c r="D929" s="10"/>
      <c r="E929" s="10"/>
      <c r="F929" s="11"/>
      <c r="G929" s="11"/>
      <c r="H929" s="11"/>
      <c r="I929" s="11"/>
      <c r="J929" s="11" t="str">
        <f>IFERROR(__xludf.DUMMYFUNCTION("IFERROR(FILTER(Stats!$F:$Z,(Stats!$A:$A=$A929)*(Stats!$B:$B=$B929)))"),"#REF!")</f>
        <v>#REF!</v>
      </c>
      <c r="K929" s="11"/>
      <c r="L929" s="12"/>
      <c r="M929" s="11"/>
      <c r="N929" s="11"/>
      <c r="O929" s="13"/>
      <c r="P929" s="14"/>
      <c r="Q929" s="13"/>
      <c r="R929" s="13"/>
      <c r="S929" s="15"/>
      <c r="T929" s="16"/>
      <c r="U929" s="16"/>
      <c r="V929" s="16"/>
      <c r="W929" s="16"/>
      <c r="X929" s="16"/>
      <c r="Y929" s="11"/>
      <c r="Z929" s="11"/>
      <c r="AA929" s="11"/>
      <c r="AB929" s="11"/>
      <c r="AC929" s="11"/>
      <c r="AD929" s="11"/>
    </row>
    <row r="930">
      <c r="A930" s="10"/>
      <c r="B930" s="10"/>
      <c r="C930" s="10"/>
      <c r="D930" s="10"/>
      <c r="E930" s="10"/>
      <c r="F930" s="11"/>
      <c r="G930" s="11"/>
      <c r="H930" s="11"/>
      <c r="I930" s="11"/>
      <c r="J930" s="11" t="str">
        <f>IFERROR(__xludf.DUMMYFUNCTION("IFERROR(FILTER(Stats!$F:$Z,(Stats!$A:$A=$A930)*(Stats!$B:$B=$B930)))"),"#REF!")</f>
        <v>#REF!</v>
      </c>
      <c r="K930" s="11"/>
      <c r="L930" s="12"/>
      <c r="M930" s="11"/>
      <c r="N930" s="11"/>
      <c r="O930" s="13"/>
      <c r="P930" s="14"/>
      <c r="Q930" s="13"/>
      <c r="R930" s="13"/>
      <c r="S930" s="15"/>
      <c r="T930" s="16"/>
      <c r="U930" s="16"/>
      <c r="V930" s="16"/>
      <c r="W930" s="16"/>
      <c r="X930" s="16"/>
      <c r="Y930" s="11"/>
      <c r="Z930" s="11"/>
      <c r="AA930" s="11"/>
      <c r="AB930" s="11"/>
      <c r="AC930" s="11"/>
      <c r="AD930" s="11"/>
    </row>
    <row r="931">
      <c r="A931" s="10"/>
      <c r="B931" s="10"/>
      <c r="C931" s="10"/>
      <c r="D931" s="10"/>
      <c r="E931" s="10"/>
      <c r="F931" s="11"/>
      <c r="G931" s="11"/>
      <c r="H931" s="11"/>
      <c r="I931" s="11"/>
      <c r="J931" s="11" t="str">
        <f>IFERROR(__xludf.DUMMYFUNCTION("IFERROR(FILTER(Stats!$F:$Z,(Stats!$A:$A=$A931)*(Stats!$B:$B=$B931)))"),"#REF!")</f>
        <v>#REF!</v>
      </c>
      <c r="K931" s="11"/>
      <c r="L931" s="12"/>
      <c r="M931" s="11"/>
      <c r="N931" s="11"/>
      <c r="O931" s="13"/>
      <c r="P931" s="14"/>
      <c r="Q931" s="13"/>
      <c r="R931" s="13"/>
      <c r="S931" s="15"/>
      <c r="T931" s="16"/>
      <c r="U931" s="16"/>
      <c r="V931" s="16"/>
      <c r="W931" s="16"/>
      <c r="X931" s="16"/>
      <c r="Y931" s="11"/>
      <c r="Z931" s="11"/>
      <c r="AA931" s="11"/>
      <c r="AB931" s="11"/>
      <c r="AC931" s="11"/>
      <c r="AD931" s="11"/>
    </row>
    <row r="932">
      <c r="A932" s="10"/>
      <c r="B932" s="10"/>
      <c r="C932" s="10"/>
      <c r="D932" s="10"/>
      <c r="E932" s="10"/>
      <c r="F932" s="11"/>
      <c r="G932" s="11"/>
      <c r="H932" s="11"/>
      <c r="I932" s="11"/>
      <c r="J932" s="11" t="str">
        <f>IFERROR(__xludf.DUMMYFUNCTION("IFERROR(FILTER(Stats!$F:$Z,(Stats!$A:$A=$A932)*(Stats!$B:$B=$B932)))"),"#REF!")</f>
        <v>#REF!</v>
      </c>
      <c r="K932" s="11"/>
      <c r="L932" s="12"/>
      <c r="M932" s="11"/>
      <c r="N932" s="11"/>
      <c r="O932" s="13"/>
      <c r="P932" s="14"/>
      <c r="Q932" s="13"/>
      <c r="R932" s="13"/>
      <c r="S932" s="15"/>
      <c r="T932" s="16"/>
      <c r="U932" s="16"/>
      <c r="V932" s="16"/>
      <c r="W932" s="16"/>
      <c r="X932" s="16"/>
      <c r="Y932" s="11"/>
      <c r="Z932" s="11"/>
      <c r="AA932" s="11"/>
      <c r="AB932" s="11"/>
      <c r="AC932" s="11"/>
      <c r="AD932" s="11"/>
    </row>
    <row r="933">
      <c r="A933" s="10"/>
      <c r="B933" s="10"/>
      <c r="C933" s="10"/>
      <c r="D933" s="10"/>
      <c r="E933" s="10"/>
      <c r="F933" s="11"/>
      <c r="G933" s="11"/>
      <c r="H933" s="11"/>
      <c r="I933" s="11"/>
      <c r="J933" s="11" t="str">
        <f>IFERROR(__xludf.DUMMYFUNCTION("IFERROR(FILTER(Stats!$F:$Z,(Stats!$A:$A=$A933)*(Stats!$B:$B=$B933)))"),"#REF!")</f>
        <v>#REF!</v>
      </c>
      <c r="K933" s="11"/>
      <c r="L933" s="12"/>
      <c r="M933" s="11"/>
      <c r="N933" s="11"/>
      <c r="O933" s="13"/>
      <c r="P933" s="14"/>
      <c r="Q933" s="13"/>
      <c r="R933" s="13"/>
      <c r="S933" s="15"/>
      <c r="T933" s="16"/>
      <c r="U933" s="16"/>
      <c r="V933" s="16"/>
      <c r="W933" s="16"/>
      <c r="X933" s="16"/>
      <c r="Y933" s="11"/>
      <c r="Z933" s="11"/>
      <c r="AA933" s="11"/>
      <c r="AB933" s="11"/>
      <c r="AC933" s="11"/>
      <c r="AD933" s="11"/>
    </row>
    <row r="934">
      <c r="A934" s="10"/>
      <c r="B934" s="10"/>
      <c r="C934" s="10"/>
      <c r="D934" s="10"/>
      <c r="E934" s="10"/>
      <c r="F934" s="11"/>
      <c r="G934" s="11"/>
      <c r="H934" s="11"/>
      <c r="I934" s="11"/>
      <c r="J934" s="11" t="str">
        <f>IFERROR(__xludf.DUMMYFUNCTION("IFERROR(FILTER(Stats!$F:$Z,(Stats!$A:$A=$A934)*(Stats!$B:$B=$B934)))"),"#REF!")</f>
        <v>#REF!</v>
      </c>
      <c r="K934" s="11"/>
      <c r="L934" s="12"/>
      <c r="M934" s="11"/>
      <c r="N934" s="11"/>
      <c r="O934" s="13"/>
      <c r="P934" s="14"/>
      <c r="Q934" s="13"/>
      <c r="R934" s="13"/>
      <c r="S934" s="15"/>
      <c r="T934" s="16"/>
      <c r="U934" s="16"/>
      <c r="V934" s="16"/>
      <c r="W934" s="16"/>
      <c r="X934" s="16"/>
      <c r="Y934" s="11"/>
      <c r="Z934" s="11"/>
      <c r="AA934" s="11"/>
      <c r="AB934" s="11"/>
      <c r="AC934" s="11"/>
      <c r="AD934" s="11"/>
    </row>
    <row r="935">
      <c r="A935" s="10"/>
      <c r="B935" s="10"/>
      <c r="C935" s="10"/>
      <c r="D935" s="10"/>
      <c r="E935" s="10"/>
      <c r="F935" s="11"/>
      <c r="G935" s="11"/>
      <c r="H935" s="11"/>
      <c r="I935" s="11"/>
      <c r="J935" s="11" t="str">
        <f>IFERROR(__xludf.DUMMYFUNCTION("IFERROR(FILTER(Stats!$F:$Z,(Stats!$A:$A=$A935)*(Stats!$B:$B=$B935)))"),"#REF!")</f>
        <v>#REF!</v>
      </c>
      <c r="K935" s="11"/>
      <c r="L935" s="12"/>
      <c r="M935" s="11"/>
      <c r="N935" s="11"/>
      <c r="O935" s="13"/>
      <c r="P935" s="14"/>
      <c r="Q935" s="13"/>
      <c r="R935" s="13"/>
      <c r="S935" s="15"/>
      <c r="T935" s="16"/>
      <c r="U935" s="16"/>
      <c r="V935" s="16"/>
      <c r="W935" s="16"/>
      <c r="X935" s="16"/>
      <c r="Y935" s="11"/>
      <c r="Z935" s="11"/>
      <c r="AA935" s="11"/>
      <c r="AB935" s="11"/>
      <c r="AC935" s="11"/>
      <c r="AD935" s="11"/>
    </row>
    <row r="936">
      <c r="A936" s="10"/>
      <c r="B936" s="10"/>
      <c r="C936" s="10"/>
      <c r="D936" s="10"/>
      <c r="E936" s="10"/>
      <c r="F936" s="11"/>
      <c r="G936" s="11"/>
      <c r="H936" s="11"/>
      <c r="I936" s="11"/>
      <c r="J936" s="11" t="str">
        <f>IFERROR(__xludf.DUMMYFUNCTION("IFERROR(FILTER(Stats!$F:$Z,(Stats!$A:$A=$A936)*(Stats!$B:$B=$B936)))"),"#REF!")</f>
        <v>#REF!</v>
      </c>
      <c r="K936" s="11"/>
      <c r="L936" s="12"/>
      <c r="M936" s="11"/>
      <c r="N936" s="11"/>
      <c r="O936" s="13"/>
      <c r="P936" s="14"/>
      <c r="Q936" s="13"/>
      <c r="R936" s="13"/>
      <c r="S936" s="15"/>
      <c r="T936" s="16"/>
      <c r="U936" s="16"/>
      <c r="V936" s="16"/>
      <c r="W936" s="16"/>
      <c r="X936" s="16"/>
      <c r="Y936" s="11"/>
      <c r="Z936" s="11"/>
      <c r="AA936" s="11"/>
      <c r="AB936" s="11"/>
      <c r="AC936" s="11"/>
      <c r="AD936" s="11"/>
    </row>
    <row r="937">
      <c r="A937" s="10"/>
      <c r="B937" s="10"/>
      <c r="C937" s="10"/>
      <c r="D937" s="10"/>
      <c r="E937" s="10"/>
      <c r="F937" s="11"/>
      <c r="G937" s="11"/>
      <c r="H937" s="11"/>
      <c r="I937" s="11"/>
      <c r="J937" s="11" t="str">
        <f>IFERROR(__xludf.DUMMYFUNCTION("IFERROR(FILTER(Stats!$F:$Z,(Stats!$A:$A=$A937)*(Stats!$B:$B=$B937)))"),"#REF!")</f>
        <v>#REF!</v>
      </c>
      <c r="K937" s="11"/>
      <c r="L937" s="12"/>
      <c r="M937" s="11"/>
      <c r="N937" s="11"/>
      <c r="O937" s="13"/>
      <c r="P937" s="14"/>
      <c r="Q937" s="13"/>
      <c r="R937" s="13"/>
      <c r="S937" s="15"/>
      <c r="T937" s="16"/>
      <c r="U937" s="16"/>
      <c r="V937" s="16"/>
      <c r="W937" s="16"/>
      <c r="X937" s="16"/>
      <c r="Y937" s="11"/>
      <c r="Z937" s="11"/>
      <c r="AA937" s="11"/>
      <c r="AB937" s="11"/>
      <c r="AC937" s="11"/>
      <c r="AD937" s="11"/>
    </row>
    <row r="938">
      <c r="A938" s="10"/>
      <c r="B938" s="10"/>
      <c r="C938" s="10"/>
      <c r="D938" s="10"/>
      <c r="E938" s="10"/>
      <c r="F938" s="11"/>
      <c r="G938" s="11"/>
      <c r="H938" s="11"/>
      <c r="I938" s="11"/>
      <c r="J938" s="11" t="str">
        <f>IFERROR(__xludf.DUMMYFUNCTION("IFERROR(FILTER(Stats!$F:$Z,(Stats!$A:$A=$A938)*(Stats!$B:$B=$B938)))"),"#REF!")</f>
        <v>#REF!</v>
      </c>
      <c r="K938" s="11"/>
      <c r="L938" s="12"/>
      <c r="M938" s="11"/>
      <c r="N938" s="11"/>
      <c r="O938" s="13"/>
      <c r="P938" s="14"/>
      <c r="Q938" s="13"/>
      <c r="R938" s="13"/>
      <c r="S938" s="15"/>
      <c r="T938" s="16"/>
      <c r="U938" s="16"/>
      <c r="V938" s="16"/>
      <c r="W938" s="16"/>
      <c r="X938" s="16"/>
      <c r="Y938" s="11"/>
      <c r="Z938" s="11"/>
      <c r="AA938" s="11"/>
      <c r="AB938" s="11"/>
      <c r="AC938" s="11"/>
      <c r="AD938" s="11"/>
    </row>
    <row r="939">
      <c r="A939" s="10"/>
      <c r="B939" s="10"/>
      <c r="C939" s="10"/>
      <c r="D939" s="10"/>
      <c r="E939" s="10"/>
      <c r="F939" s="11"/>
      <c r="G939" s="11"/>
      <c r="H939" s="11"/>
      <c r="I939" s="11"/>
      <c r="J939" s="11" t="str">
        <f>IFERROR(__xludf.DUMMYFUNCTION("IFERROR(FILTER(Stats!$F:$Z,(Stats!$A:$A=$A939)*(Stats!$B:$B=$B939)))"),"#REF!")</f>
        <v>#REF!</v>
      </c>
      <c r="K939" s="11"/>
      <c r="L939" s="12"/>
      <c r="M939" s="11"/>
      <c r="N939" s="11"/>
      <c r="O939" s="13"/>
      <c r="P939" s="14"/>
      <c r="Q939" s="13"/>
      <c r="R939" s="13"/>
      <c r="S939" s="15"/>
      <c r="T939" s="16"/>
      <c r="U939" s="16"/>
      <c r="V939" s="16"/>
      <c r="W939" s="16"/>
      <c r="X939" s="16"/>
      <c r="Y939" s="11"/>
      <c r="Z939" s="11"/>
      <c r="AA939" s="11"/>
      <c r="AB939" s="11"/>
      <c r="AC939" s="11"/>
      <c r="AD939" s="11"/>
    </row>
    <row r="940">
      <c r="A940" s="10"/>
      <c r="B940" s="10"/>
      <c r="C940" s="10"/>
      <c r="D940" s="10"/>
      <c r="E940" s="10"/>
      <c r="F940" s="11"/>
      <c r="G940" s="11"/>
      <c r="H940" s="11"/>
      <c r="I940" s="11"/>
      <c r="J940" s="11" t="str">
        <f>IFERROR(__xludf.DUMMYFUNCTION("IFERROR(FILTER(Stats!$F:$Z,(Stats!$A:$A=$A940)*(Stats!$B:$B=$B940)))"),"#REF!")</f>
        <v>#REF!</v>
      </c>
      <c r="K940" s="11"/>
      <c r="L940" s="12"/>
      <c r="M940" s="11"/>
      <c r="N940" s="11"/>
      <c r="O940" s="13"/>
      <c r="P940" s="14"/>
      <c r="Q940" s="13"/>
      <c r="R940" s="13"/>
      <c r="S940" s="15"/>
      <c r="T940" s="16"/>
      <c r="U940" s="16"/>
      <c r="V940" s="16"/>
      <c r="W940" s="16"/>
      <c r="X940" s="16"/>
      <c r="Y940" s="11"/>
      <c r="Z940" s="11"/>
      <c r="AA940" s="11"/>
      <c r="AB940" s="11"/>
      <c r="AC940" s="11"/>
      <c r="AD940" s="11"/>
    </row>
    <row r="941">
      <c r="A941" s="10"/>
      <c r="B941" s="10"/>
      <c r="C941" s="10"/>
      <c r="D941" s="10"/>
      <c r="E941" s="10"/>
      <c r="F941" s="11"/>
      <c r="G941" s="11"/>
      <c r="H941" s="11"/>
      <c r="I941" s="11"/>
      <c r="J941" s="11" t="str">
        <f>IFERROR(__xludf.DUMMYFUNCTION("IFERROR(FILTER(Stats!$F:$Z,(Stats!$A:$A=$A941)*(Stats!$B:$B=$B941)))"),"#REF!")</f>
        <v>#REF!</v>
      </c>
      <c r="K941" s="11"/>
      <c r="L941" s="12"/>
      <c r="M941" s="11"/>
      <c r="N941" s="11"/>
      <c r="O941" s="13"/>
      <c r="P941" s="14"/>
      <c r="Q941" s="13"/>
      <c r="R941" s="13"/>
      <c r="S941" s="15"/>
      <c r="T941" s="16"/>
      <c r="U941" s="16"/>
      <c r="V941" s="16"/>
      <c r="W941" s="16"/>
      <c r="X941" s="16"/>
      <c r="Y941" s="11"/>
      <c r="Z941" s="11"/>
      <c r="AA941" s="11"/>
      <c r="AB941" s="11"/>
      <c r="AC941" s="11"/>
      <c r="AD941" s="11"/>
    </row>
    <row r="942">
      <c r="A942" s="10"/>
      <c r="B942" s="10"/>
      <c r="C942" s="10"/>
      <c r="D942" s="10"/>
      <c r="E942" s="10"/>
      <c r="F942" s="11"/>
      <c r="G942" s="11"/>
      <c r="H942" s="11"/>
      <c r="I942" s="11"/>
      <c r="J942" s="11" t="str">
        <f>IFERROR(__xludf.DUMMYFUNCTION("IFERROR(FILTER(Stats!$F:$Z,(Stats!$A:$A=$A942)*(Stats!$B:$B=$B942)))"),"#REF!")</f>
        <v>#REF!</v>
      </c>
      <c r="K942" s="11"/>
      <c r="L942" s="12"/>
      <c r="M942" s="11"/>
      <c r="N942" s="11"/>
      <c r="O942" s="13"/>
      <c r="P942" s="14"/>
      <c r="Q942" s="13"/>
      <c r="R942" s="13"/>
      <c r="S942" s="15"/>
      <c r="T942" s="16"/>
      <c r="U942" s="16"/>
      <c r="V942" s="16"/>
      <c r="W942" s="16"/>
      <c r="X942" s="16"/>
      <c r="Y942" s="11"/>
      <c r="Z942" s="11"/>
      <c r="AA942" s="11"/>
      <c r="AB942" s="11"/>
      <c r="AC942" s="11"/>
      <c r="AD942" s="11"/>
    </row>
    <row r="943">
      <c r="A943" s="10"/>
      <c r="B943" s="10"/>
      <c r="C943" s="10"/>
      <c r="D943" s="10"/>
      <c r="E943" s="10"/>
      <c r="F943" s="11"/>
      <c r="G943" s="11"/>
      <c r="H943" s="11"/>
      <c r="I943" s="11"/>
      <c r="J943" s="11" t="str">
        <f>IFERROR(__xludf.DUMMYFUNCTION("IFERROR(FILTER(Stats!$F:$Z,(Stats!$A:$A=$A943)*(Stats!$B:$B=$B943)))"),"#REF!")</f>
        <v>#REF!</v>
      </c>
      <c r="K943" s="11"/>
      <c r="L943" s="12"/>
      <c r="M943" s="11"/>
      <c r="N943" s="11"/>
      <c r="O943" s="13"/>
      <c r="P943" s="14"/>
      <c r="Q943" s="13"/>
      <c r="R943" s="13"/>
      <c r="S943" s="15"/>
      <c r="T943" s="16"/>
      <c r="U943" s="16"/>
      <c r="V943" s="16"/>
      <c r="W943" s="16"/>
      <c r="X943" s="16"/>
      <c r="Y943" s="11"/>
      <c r="Z943" s="11"/>
      <c r="AA943" s="11"/>
      <c r="AB943" s="11"/>
      <c r="AC943" s="11"/>
      <c r="AD943" s="11"/>
    </row>
    <row r="944">
      <c r="A944" s="10"/>
      <c r="B944" s="10"/>
      <c r="C944" s="10"/>
      <c r="D944" s="10"/>
      <c r="E944" s="10"/>
      <c r="F944" s="11"/>
      <c r="G944" s="11"/>
      <c r="H944" s="11"/>
      <c r="I944" s="11"/>
      <c r="J944" s="11" t="str">
        <f>IFERROR(__xludf.DUMMYFUNCTION("IFERROR(FILTER(Stats!$F:$Z,(Stats!$A:$A=$A944)*(Stats!$B:$B=$B944)))"),"#REF!")</f>
        <v>#REF!</v>
      </c>
      <c r="K944" s="11"/>
      <c r="L944" s="12"/>
      <c r="M944" s="11"/>
      <c r="N944" s="11"/>
      <c r="O944" s="13"/>
      <c r="P944" s="14"/>
      <c r="Q944" s="13"/>
      <c r="R944" s="13"/>
      <c r="S944" s="15"/>
      <c r="T944" s="16"/>
      <c r="U944" s="16"/>
      <c r="V944" s="16"/>
      <c r="W944" s="16"/>
      <c r="X944" s="16"/>
      <c r="Y944" s="11"/>
      <c r="Z944" s="11"/>
      <c r="AA944" s="11"/>
      <c r="AB944" s="11"/>
      <c r="AC944" s="11"/>
      <c r="AD944" s="11"/>
    </row>
    <row r="945">
      <c r="A945" s="10"/>
      <c r="B945" s="10"/>
      <c r="C945" s="10"/>
      <c r="D945" s="10"/>
      <c r="E945" s="10"/>
      <c r="F945" s="11"/>
      <c r="G945" s="11"/>
      <c r="H945" s="11"/>
      <c r="I945" s="11"/>
      <c r="J945" s="11" t="str">
        <f>IFERROR(__xludf.DUMMYFUNCTION("IFERROR(FILTER(Stats!$F:$Z,(Stats!$A:$A=$A945)*(Stats!$B:$B=$B945)))"),"#REF!")</f>
        <v>#REF!</v>
      </c>
      <c r="K945" s="11"/>
      <c r="L945" s="12"/>
      <c r="M945" s="11"/>
      <c r="N945" s="11"/>
      <c r="O945" s="13"/>
      <c r="P945" s="14"/>
      <c r="Q945" s="13"/>
      <c r="R945" s="13"/>
      <c r="S945" s="15"/>
      <c r="T945" s="16"/>
      <c r="U945" s="16"/>
      <c r="V945" s="16"/>
      <c r="W945" s="16"/>
      <c r="X945" s="16"/>
      <c r="Y945" s="11"/>
      <c r="Z945" s="11"/>
      <c r="AA945" s="11"/>
      <c r="AB945" s="11"/>
      <c r="AC945" s="11"/>
      <c r="AD945" s="11"/>
    </row>
    <row r="946">
      <c r="A946" s="10"/>
      <c r="B946" s="10"/>
      <c r="C946" s="10"/>
      <c r="D946" s="10"/>
      <c r="E946" s="10"/>
      <c r="F946" s="11"/>
      <c r="G946" s="11"/>
      <c r="H946" s="11"/>
      <c r="I946" s="11"/>
      <c r="J946" s="11" t="str">
        <f>IFERROR(__xludf.DUMMYFUNCTION("IFERROR(FILTER(Stats!$F:$Z,(Stats!$A:$A=$A946)*(Stats!$B:$B=$B946)))"),"#REF!")</f>
        <v>#REF!</v>
      </c>
      <c r="K946" s="11"/>
      <c r="L946" s="12"/>
      <c r="M946" s="11"/>
      <c r="N946" s="11"/>
      <c r="O946" s="13"/>
      <c r="P946" s="14"/>
      <c r="Q946" s="13"/>
      <c r="R946" s="13"/>
      <c r="S946" s="15"/>
      <c r="T946" s="16"/>
      <c r="U946" s="16"/>
      <c r="V946" s="16"/>
      <c r="W946" s="16"/>
      <c r="X946" s="16"/>
      <c r="Y946" s="11"/>
      <c r="Z946" s="11"/>
      <c r="AA946" s="11"/>
      <c r="AB946" s="11"/>
      <c r="AC946" s="11"/>
      <c r="AD946" s="11"/>
    </row>
    <row r="947">
      <c r="A947" s="10"/>
      <c r="B947" s="10"/>
      <c r="C947" s="10"/>
      <c r="D947" s="10"/>
      <c r="E947" s="10"/>
      <c r="F947" s="11"/>
      <c r="G947" s="11"/>
      <c r="H947" s="11"/>
      <c r="I947" s="11"/>
      <c r="J947" s="11" t="str">
        <f>IFERROR(__xludf.DUMMYFUNCTION("IFERROR(FILTER(Stats!$F:$Z,(Stats!$A:$A=$A947)*(Stats!$B:$B=$B947)))"),"#REF!")</f>
        <v>#REF!</v>
      </c>
      <c r="K947" s="11"/>
      <c r="L947" s="12"/>
      <c r="M947" s="11"/>
      <c r="N947" s="11"/>
      <c r="O947" s="13"/>
      <c r="P947" s="14"/>
      <c r="Q947" s="13"/>
      <c r="R947" s="13"/>
      <c r="S947" s="15"/>
      <c r="T947" s="16"/>
      <c r="U947" s="16"/>
      <c r="V947" s="16"/>
      <c r="W947" s="16"/>
      <c r="X947" s="16"/>
      <c r="Y947" s="11"/>
      <c r="Z947" s="11"/>
      <c r="AA947" s="11"/>
      <c r="AB947" s="11"/>
      <c r="AC947" s="11"/>
      <c r="AD947" s="11"/>
    </row>
    <row r="948">
      <c r="A948" s="10"/>
      <c r="B948" s="10"/>
      <c r="C948" s="10"/>
      <c r="D948" s="10"/>
      <c r="E948" s="10"/>
      <c r="F948" s="11"/>
      <c r="G948" s="11"/>
      <c r="H948" s="11"/>
      <c r="I948" s="11"/>
      <c r="J948" s="11" t="str">
        <f>IFERROR(__xludf.DUMMYFUNCTION("IFERROR(FILTER(Stats!$F:$Z,(Stats!$A:$A=$A948)*(Stats!$B:$B=$B948)))"),"#REF!")</f>
        <v>#REF!</v>
      </c>
      <c r="K948" s="11"/>
      <c r="L948" s="12"/>
      <c r="M948" s="11"/>
      <c r="N948" s="11"/>
      <c r="O948" s="13"/>
      <c r="P948" s="14"/>
      <c r="Q948" s="13"/>
      <c r="R948" s="13"/>
      <c r="S948" s="15"/>
      <c r="T948" s="16"/>
      <c r="U948" s="16"/>
      <c r="V948" s="16"/>
      <c r="W948" s="16"/>
      <c r="X948" s="16"/>
      <c r="Y948" s="11"/>
      <c r="Z948" s="11"/>
      <c r="AA948" s="11"/>
      <c r="AB948" s="11"/>
      <c r="AC948" s="11"/>
      <c r="AD948" s="11"/>
    </row>
    <row r="949">
      <c r="A949" s="10"/>
      <c r="B949" s="10"/>
      <c r="C949" s="10"/>
      <c r="D949" s="10"/>
      <c r="E949" s="10"/>
      <c r="F949" s="11"/>
      <c r="G949" s="11"/>
      <c r="H949" s="11"/>
      <c r="I949" s="11"/>
      <c r="J949" s="11" t="str">
        <f>IFERROR(__xludf.DUMMYFUNCTION("IFERROR(FILTER(Stats!$F:$Z,(Stats!$A:$A=$A949)*(Stats!$B:$B=$B949)))"),"#REF!")</f>
        <v>#REF!</v>
      </c>
      <c r="K949" s="11"/>
      <c r="L949" s="12"/>
      <c r="M949" s="11"/>
      <c r="N949" s="11"/>
      <c r="O949" s="13"/>
      <c r="P949" s="14"/>
      <c r="Q949" s="13"/>
      <c r="R949" s="13"/>
      <c r="S949" s="15"/>
      <c r="T949" s="16"/>
      <c r="U949" s="16"/>
      <c r="V949" s="16"/>
      <c r="W949" s="16"/>
      <c r="X949" s="16"/>
      <c r="Y949" s="11"/>
      <c r="Z949" s="11"/>
      <c r="AA949" s="11"/>
      <c r="AB949" s="11"/>
      <c r="AC949" s="11"/>
      <c r="AD949" s="11"/>
    </row>
    <row r="950">
      <c r="A950" s="10"/>
      <c r="B950" s="10"/>
      <c r="C950" s="10"/>
      <c r="D950" s="10"/>
      <c r="E950" s="10"/>
      <c r="F950" s="11"/>
      <c r="G950" s="11"/>
      <c r="H950" s="11"/>
      <c r="I950" s="11"/>
      <c r="J950" s="11" t="str">
        <f>IFERROR(__xludf.DUMMYFUNCTION("IFERROR(FILTER(Stats!$F:$Z,(Stats!$A:$A=$A950)*(Stats!$B:$B=$B950)))"),"#REF!")</f>
        <v>#REF!</v>
      </c>
      <c r="K950" s="11"/>
      <c r="L950" s="12"/>
      <c r="M950" s="11"/>
      <c r="N950" s="11"/>
      <c r="O950" s="13"/>
      <c r="P950" s="14"/>
      <c r="Q950" s="13"/>
      <c r="R950" s="13"/>
      <c r="S950" s="15"/>
      <c r="T950" s="16"/>
      <c r="U950" s="16"/>
      <c r="V950" s="16"/>
      <c r="W950" s="16"/>
      <c r="X950" s="16"/>
      <c r="Y950" s="11"/>
      <c r="Z950" s="11"/>
      <c r="AA950" s="11"/>
      <c r="AB950" s="11"/>
      <c r="AC950" s="11"/>
      <c r="AD950" s="11"/>
    </row>
    <row r="951">
      <c r="A951" s="10"/>
      <c r="B951" s="10"/>
      <c r="C951" s="10"/>
      <c r="D951" s="10"/>
      <c r="E951" s="10"/>
      <c r="F951" s="11"/>
      <c r="G951" s="11"/>
      <c r="H951" s="11"/>
      <c r="I951" s="11"/>
      <c r="J951" s="11" t="str">
        <f>IFERROR(__xludf.DUMMYFUNCTION("IFERROR(FILTER(Stats!$F:$Z,(Stats!$A:$A=$A951)*(Stats!$B:$B=$B951)))"),"#REF!")</f>
        <v>#REF!</v>
      </c>
      <c r="K951" s="11"/>
      <c r="L951" s="12"/>
      <c r="M951" s="11"/>
      <c r="N951" s="11"/>
      <c r="O951" s="13"/>
      <c r="P951" s="14"/>
      <c r="Q951" s="13"/>
      <c r="R951" s="13"/>
      <c r="S951" s="15"/>
      <c r="T951" s="16"/>
      <c r="U951" s="16"/>
      <c r="V951" s="16"/>
      <c r="W951" s="16"/>
      <c r="X951" s="16"/>
      <c r="Y951" s="11"/>
      <c r="Z951" s="11"/>
      <c r="AA951" s="11"/>
      <c r="AB951" s="11"/>
      <c r="AC951" s="11"/>
      <c r="AD951" s="11"/>
    </row>
    <row r="952">
      <c r="A952" s="10"/>
      <c r="B952" s="10"/>
      <c r="C952" s="10"/>
      <c r="D952" s="10"/>
      <c r="E952" s="10"/>
      <c r="F952" s="11"/>
      <c r="G952" s="11"/>
      <c r="H952" s="11"/>
      <c r="I952" s="11"/>
      <c r="J952" s="11" t="str">
        <f>IFERROR(__xludf.DUMMYFUNCTION("IFERROR(FILTER(Stats!$F:$Z,(Stats!$A:$A=$A952)*(Stats!$B:$B=$B952)))"),"#REF!")</f>
        <v>#REF!</v>
      </c>
      <c r="K952" s="11"/>
      <c r="L952" s="12"/>
      <c r="M952" s="11"/>
      <c r="N952" s="11"/>
      <c r="O952" s="13"/>
      <c r="P952" s="14"/>
      <c r="Q952" s="13"/>
      <c r="R952" s="13"/>
      <c r="S952" s="15"/>
      <c r="T952" s="16"/>
      <c r="U952" s="16"/>
      <c r="V952" s="16"/>
      <c r="W952" s="16"/>
      <c r="X952" s="16"/>
      <c r="Y952" s="11"/>
      <c r="Z952" s="11"/>
      <c r="AA952" s="11"/>
      <c r="AB952" s="11"/>
      <c r="AC952" s="11"/>
      <c r="AD952" s="11"/>
    </row>
    <row r="953">
      <c r="A953" s="10"/>
      <c r="B953" s="10"/>
      <c r="C953" s="10"/>
      <c r="D953" s="10"/>
      <c r="E953" s="10"/>
      <c r="F953" s="11"/>
      <c r="G953" s="11"/>
      <c r="H953" s="11"/>
      <c r="I953" s="11"/>
      <c r="J953" s="11" t="str">
        <f>IFERROR(__xludf.DUMMYFUNCTION("IFERROR(FILTER(Stats!$F:$Z,(Stats!$A:$A=$A953)*(Stats!$B:$B=$B953)))"),"#REF!")</f>
        <v>#REF!</v>
      </c>
      <c r="K953" s="11"/>
      <c r="L953" s="12"/>
      <c r="M953" s="11"/>
      <c r="N953" s="11"/>
      <c r="O953" s="13"/>
      <c r="P953" s="14"/>
      <c r="Q953" s="13"/>
      <c r="R953" s="13"/>
      <c r="S953" s="15"/>
      <c r="T953" s="16"/>
      <c r="U953" s="16"/>
      <c r="V953" s="16"/>
      <c r="W953" s="16"/>
      <c r="X953" s="16"/>
      <c r="Y953" s="11"/>
      <c r="Z953" s="11"/>
      <c r="AA953" s="11"/>
      <c r="AB953" s="11"/>
      <c r="AC953" s="11"/>
      <c r="AD953" s="11"/>
    </row>
    <row r="954">
      <c r="A954" s="10"/>
      <c r="B954" s="10"/>
      <c r="C954" s="10"/>
      <c r="D954" s="10"/>
      <c r="E954" s="10"/>
      <c r="F954" s="11"/>
      <c r="G954" s="11"/>
      <c r="H954" s="11"/>
      <c r="I954" s="11"/>
      <c r="J954" s="11" t="str">
        <f>IFERROR(__xludf.DUMMYFUNCTION("IFERROR(FILTER(Stats!$F:$Z,(Stats!$A:$A=$A954)*(Stats!$B:$B=$B954)))"),"#REF!")</f>
        <v>#REF!</v>
      </c>
      <c r="K954" s="11"/>
      <c r="L954" s="12"/>
      <c r="M954" s="11"/>
      <c r="N954" s="11"/>
      <c r="O954" s="13"/>
      <c r="P954" s="14"/>
      <c r="Q954" s="13"/>
      <c r="R954" s="13"/>
      <c r="S954" s="15"/>
      <c r="T954" s="16"/>
      <c r="U954" s="16"/>
      <c r="V954" s="16"/>
      <c r="W954" s="16"/>
      <c r="X954" s="16"/>
      <c r="Y954" s="11"/>
      <c r="Z954" s="11"/>
      <c r="AA954" s="11"/>
      <c r="AB954" s="11"/>
      <c r="AC954" s="11"/>
      <c r="AD954" s="11"/>
    </row>
    <row r="955">
      <c r="A955" s="10"/>
      <c r="B955" s="10"/>
      <c r="C955" s="10"/>
      <c r="D955" s="10"/>
      <c r="E955" s="10"/>
      <c r="F955" s="11"/>
      <c r="G955" s="11"/>
      <c r="H955" s="11"/>
      <c r="I955" s="11"/>
      <c r="J955" s="11" t="str">
        <f>IFERROR(__xludf.DUMMYFUNCTION("IFERROR(FILTER(Stats!$F:$Z,(Stats!$A:$A=$A955)*(Stats!$B:$B=$B955)))"),"#REF!")</f>
        <v>#REF!</v>
      </c>
      <c r="K955" s="11"/>
      <c r="L955" s="12"/>
      <c r="M955" s="11"/>
      <c r="N955" s="11"/>
      <c r="O955" s="13"/>
      <c r="P955" s="14"/>
      <c r="Q955" s="13"/>
      <c r="R955" s="13"/>
      <c r="S955" s="15"/>
      <c r="T955" s="16"/>
      <c r="U955" s="16"/>
      <c r="V955" s="16"/>
      <c r="W955" s="16"/>
      <c r="X955" s="16"/>
      <c r="Y955" s="11"/>
      <c r="Z955" s="11"/>
      <c r="AA955" s="11"/>
      <c r="AB955" s="11"/>
      <c r="AC955" s="11"/>
      <c r="AD955" s="11"/>
    </row>
    <row r="956">
      <c r="A956" s="10"/>
      <c r="B956" s="10"/>
      <c r="C956" s="10"/>
      <c r="D956" s="10"/>
      <c r="E956" s="10"/>
      <c r="F956" s="11"/>
      <c r="G956" s="11"/>
      <c r="H956" s="11"/>
      <c r="I956" s="11"/>
      <c r="J956" s="11" t="str">
        <f>IFERROR(__xludf.DUMMYFUNCTION("IFERROR(FILTER(Stats!$F:$Z,(Stats!$A:$A=$A956)*(Stats!$B:$B=$B956)))"),"#REF!")</f>
        <v>#REF!</v>
      </c>
      <c r="K956" s="11"/>
      <c r="L956" s="12"/>
      <c r="M956" s="11"/>
      <c r="N956" s="11"/>
      <c r="O956" s="13"/>
      <c r="P956" s="14"/>
      <c r="Q956" s="13"/>
      <c r="R956" s="13"/>
      <c r="S956" s="15"/>
      <c r="T956" s="16"/>
      <c r="U956" s="16"/>
      <c r="V956" s="16"/>
      <c r="W956" s="16"/>
      <c r="X956" s="16"/>
      <c r="Y956" s="11"/>
      <c r="Z956" s="11"/>
      <c r="AA956" s="11"/>
      <c r="AB956" s="11"/>
      <c r="AC956" s="11"/>
      <c r="AD956" s="11"/>
    </row>
    <row r="957">
      <c r="A957" s="10"/>
      <c r="B957" s="10"/>
      <c r="C957" s="10"/>
      <c r="D957" s="10"/>
      <c r="E957" s="10"/>
      <c r="F957" s="11"/>
      <c r="G957" s="11"/>
      <c r="H957" s="11"/>
      <c r="I957" s="11"/>
      <c r="J957" s="11" t="str">
        <f>IFERROR(__xludf.DUMMYFUNCTION("IFERROR(FILTER(Stats!$F:$Z,(Stats!$A:$A=$A957)*(Stats!$B:$B=$B957)))"),"#REF!")</f>
        <v>#REF!</v>
      </c>
      <c r="K957" s="11"/>
      <c r="L957" s="12"/>
      <c r="M957" s="11"/>
      <c r="N957" s="11"/>
      <c r="O957" s="13"/>
      <c r="P957" s="14"/>
      <c r="Q957" s="13"/>
      <c r="R957" s="13"/>
      <c r="S957" s="15"/>
      <c r="T957" s="16"/>
      <c r="U957" s="16"/>
      <c r="V957" s="16"/>
      <c r="W957" s="16"/>
      <c r="X957" s="16"/>
      <c r="Y957" s="11"/>
      <c r="Z957" s="11"/>
      <c r="AA957" s="11"/>
      <c r="AB957" s="11"/>
      <c r="AC957" s="11"/>
      <c r="AD957" s="11"/>
    </row>
    <row r="958">
      <c r="A958" s="10"/>
      <c r="B958" s="10"/>
      <c r="C958" s="10"/>
      <c r="D958" s="10"/>
      <c r="E958" s="10"/>
      <c r="F958" s="11"/>
      <c r="G958" s="11"/>
      <c r="H958" s="11"/>
      <c r="I958" s="11"/>
      <c r="J958" s="11" t="str">
        <f>IFERROR(__xludf.DUMMYFUNCTION("IFERROR(FILTER(Stats!$F:$Z,(Stats!$A:$A=$A958)*(Stats!$B:$B=$B958)))"),"#REF!")</f>
        <v>#REF!</v>
      </c>
      <c r="K958" s="11"/>
      <c r="L958" s="12"/>
      <c r="M958" s="11"/>
      <c r="N958" s="11"/>
      <c r="O958" s="13"/>
      <c r="P958" s="14"/>
      <c r="Q958" s="13"/>
      <c r="R958" s="13"/>
      <c r="S958" s="15"/>
      <c r="T958" s="16"/>
      <c r="U958" s="16"/>
      <c r="V958" s="16"/>
      <c r="W958" s="16"/>
      <c r="X958" s="16"/>
      <c r="Y958" s="11"/>
      <c r="Z958" s="11"/>
      <c r="AA958" s="11"/>
      <c r="AB958" s="11"/>
      <c r="AC958" s="11"/>
      <c r="AD958" s="11"/>
    </row>
    <row r="959">
      <c r="A959" s="10"/>
      <c r="B959" s="10"/>
      <c r="C959" s="10"/>
      <c r="D959" s="10"/>
      <c r="E959" s="10"/>
      <c r="F959" s="11"/>
      <c r="G959" s="11"/>
      <c r="H959" s="11"/>
      <c r="I959" s="11"/>
      <c r="J959" s="11" t="str">
        <f>IFERROR(__xludf.DUMMYFUNCTION("IFERROR(FILTER(Stats!$F:$Z,(Stats!$A:$A=$A959)*(Stats!$B:$B=$B959)))"),"#REF!")</f>
        <v>#REF!</v>
      </c>
      <c r="K959" s="11"/>
      <c r="L959" s="12"/>
      <c r="M959" s="11"/>
      <c r="N959" s="11"/>
      <c r="O959" s="13"/>
      <c r="P959" s="14"/>
      <c r="Q959" s="13"/>
      <c r="R959" s="13"/>
      <c r="S959" s="15"/>
      <c r="T959" s="16"/>
      <c r="U959" s="16"/>
      <c r="V959" s="16"/>
      <c r="W959" s="16"/>
      <c r="X959" s="16"/>
      <c r="Y959" s="11"/>
      <c r="Z959" s="11"/>
      <c r="AA959" s="11"/>
      <c r="AB959" s="11"/>
      <c r="AC959" s="11"/>
      <c r="AD959" s="11"/>
    </row>
    <row r="960">
      <c r="A960" s="10"/>
      <c r="B960" s="10"/>
      <c r="C960" s="10"/>
      <c r="D960" s="10"/>
      <c r="E960" s="10"/>
      <c r="F960" s="11"/>
      <c r="G960" s="11"/>
      <c r="H960" s="11"/>
      <c r="I960" s="11"/>
      <c r="J960" s="11" t="str">
        <f>IFERROR(__xludf.DUMMYFUNCTION("IFERROR(FILTER(Stats!$F:$Z,(Stats!$A:$A=$A960)*(Stats!$B:$B=$B960)))"),"#REF!")</f>
        <v>#REF!</v>
      </c>
      <c r="K960" s="11"/>
      <c r="L960" s="12"/>
      <c r="M960" s="11"/>
      <c r="N960" s="11"/>
      <c r="O960" s="13"/>
      <c r="P960" s="14"/>
      <c r="Q960" s="13"/>
      <c r="R960" s="13"/>
      <c r="S960" s="15"/>
      <c r="T960" s="16"/>
      <c r="U960" s="16"/>
      <c r="V960" s="16"/>
      <c r="W960" s="16"/>
      <c r="X960" s="16"/>
      <c r="Y960" s="11"/>
      <c r="Z960" s="11"/>
      <c r="AA960" s="11"/>
      <c r="AB960" s="11"/>
      <c r="AC960" s="11"/>
      <c r="AD960" s="11"/>
    </row>
    <row r="961">
      <c r="A961" s="10"/>
      <c r="B961" s="10"/>
      <c r="C961" s="10"/>
      <c r="D961" s="10"/>
      <c r="E961" s="10"/>
      <c r="F961" s="11"/>
      <c r="G961" s="11"/>
      <c r="H961" s="11"/>
      <c r="I961" s="11"/>
      <c r="J961" s="11" t="str">
        <f>IFERROR(__xludf.DUMMYFUNCTION("IFERROR(FILTER(Stats!$F:$Z,(Stats!$A:$A=$A961)*(Stats!$B:$B=$B961)))"),"#REF!")</f>
        <v>#REF!</v>
      </c>
      <c r="K961" s="11"/>
      <c r="L961" s="12"/>
      <c r="M961" s="11"/>
      <c r="N961" s="11"/>
      <c r="O961" s="13"/>
      <c r="P961" s="14"/>
      <c r="Q961" s="13"/>
      <c r="R961" s="13"/>
      <c r="S961" s="15"/>
      <c r="T961" s="16"/>
      <c r="U961" s="16"/>
      <c r="V961" s="16"/>
      <c r="W961" s="16"/>
      <c r="X961" s="16"/>
      <c r="Y961" s="11"/>
      <c r="Z961" s="11"/>
      <c r="AA961" s="11"/>
      <c r="AB961" s="11"/>
      <c r="AC961" s="11"/>
      <c r="AD961" s="11"/>
    </row>
    <row r="962">
      <c r="A962" s="10"/>
      <c r="B962" s="10"/>
      <c r="C962" s="10"/>
      <c r="D962" s="10"/>
      <c r="E962" s="10"/>
      <c r="F962" s="11"/>
      <c r="G962" s="11"/>
      <c r="H962" s="11"/>
      <c r="I962" s="11"/>
      <c r="J962" s="11" t="str">
        <f>IFERROR(__xludf.DUMMYFUNCTION("IFERROR(FILTER(Stats!$F:$Z,(Stats!$A:$A=$A962)*(Stats!$B:$B=$B962)))"),"#REF!")</f>
        <v>#REF!</v>
      </c>
      <c r="K962" s="11"/>
      <c r="L962" s="12"/>
      <c r="M962" s="11"/>
      <c r="N962" s="11"/>
      <c r="O962" s="13"/>
      <c r="P962" s="14"/>
      <c r="Q962" s="13"/>
      <c r="R962" s="13"/>
      <c r="S962" s="15"/>
      <c r="T962" s="16"/>
      <c r="U962" s="16"/>
      <c r="V962" s="16"/>
      <c r="W962" s="16"/>
      <c r="X962" s="16"/>
      <c r="Y962" s="11"/>
      <c r="Z962" s="11"/>
      <c r="AA962" s="11"/>
      <c r="AB962" s="11"/>
      <c r="AC962" s="11"/>
      <c r="AD962" s="11"/>
    </row>
    <row r="963">
      <c r="A963" s="10"/>
      <c r="B963" s="10"/>
      <c r="C963" s="10"/>
      <c r="D963" s="10"/>
      <c r="E963" s="10"/>
      <c r="F963" s="11"/>
      <c r="G963" s="11"/>
      <c r="H963" s="11"/>
      <c r="I963" s="11"/>
      <c r="J963" s="11" t="str">
        <f>IFERROR(__xludf.DUMMYFUNCTION("IFERROR(FILTER(Stats!$F:$Z,(Stats!$A:$A=$A963)*(Stats!$B:$B=$B963)))"),"#REF!")</f>
        <v>#REF!</v>
      </c>
      <c r="K963" s="11"/>
      <c r="L963" s="12"/>
      <c r="M963" s="11"/>
      <c r="N963" s="11"/>
      <c r="O963" s="13"/>
      <c r="P963" s="14"/>
      <c r="Q963" s="13"/>
      <c r="R963" s="13"/>
      <c r="S963" s="15"/>
      <c r="T963" s="16"/>
      <c r="U963" s="16"/>
      <c r="V963" s="16"/>
      <c r="W963" s="16"/>
      <c r="X963" s="16"/>
      <c r="Y963" s="11"/>
      <c r="Z963" s="11"/>
      <c r="AA963" s="11"/>
      <c r="AB963" s="11"/>
      <c r="AC963" s="11"/>
      <c r="AD963" s="11"/>
    </row>
    <row r="964">
      <c r="A964" s="10"/>
      <c r="B964" s="10"/>
      <c r="C964" s="10"/>
      <c r="D964" s="10"/>
      <c r="E964" s="10"/>
      <c r="F964" s="11"/>
      <c r="G964" s="11"/>
      <c r="H964" s="11"/>
      <c r="I964" s="11"/>
      <c r="J964" s="11" t="str">
        <f>IFERROR(__xludf.DUMMYFUNCTION("IFERROR(FILTER(Stats!$F:$Z,(Stats!$A:$A=$A964)*(Stats!$B:$B=$B964)))"),"#REF!")</f>
        <v>#REF!</v>
      </c>
      <c r="K964" s="11"/>
      <c r="L964" s="12"/>
      <c r="M964" s="11"/>
      <c r="N964" s="11"/>
      <c r="O964" s="13"/>
      <c r="P964" s="14"/>
      <c r="Q964" s="13"/>
      <c r="R964" s="13"/>
      <c r="S964" s="15"/>
      <c r="T964" s="16"/>
      <c r="U964" s="16"/>
      <c r="V964" s="16"/>
      <c r="W964" s="16"/>
      <c r="X964" s="16"/>
      <c r="Y964" s="11"/>
      <c r="Z964" s="11"/>
      <c r="AA964" s="11"/>
      <c r="AB964" s="11"/>
      <c r="AC964" s="11"/>
      <c r="AD964" s="11"/>
    </row>
    <row r="965">
      <c r="A965" s="10"/>
      <c r="B965" s="10"/>
      <c r="C965" s="10"/>
      <c r="D965" s="10"/>
      <c r="E965" s="10"/>
      <c r="F965" s="11"/>
      <c r="G965" s="11"/>
      <c r="H965" s="11"/>
      <c r="I965" s="11"/>
      <c r="J965" s="11" t="str">
        <f>IFERROR(__xludf.DUMMYFUNCTION("IFERROR(FILTER(Stats!$F:$Z,(Stats!$A:$A=$A965)*(Stats!$B:$B=$B965)))"),"#REF!")</f>
        <v>#REF!</v>
      </c>
      <c r="K965" s="11"/>
      <c r="L965" s="12"/>
      <c r="M965" s="11"/>
      <c r="N965" s="11"/>
      <c r="O965" s="13"/>
      <c r="P965" s="14"/>
      <c r="Q965" s="13"/>
      <c r="R965" s="13"/>
      <c r="S965" s="15"/>
      <c r="T965" s="16"/>
      <c r="U965" s="16"/>
      <c r="V965" s="16"/>
      <c r="W965" s="16"/>
      <c r="X965" s="16"/>
      <c r="Y965" s="11"/>
      <c r="Z965" s="11"/>
      <c r="AA965" s="11"/>
      <c r="AB965" s="11"/>
      <c r="AC965" s="11"/>
      <c r="AD965" s="11"/>
    </row>
    <row r="966">
      <c r="A966" s="10"/>
      <c r="B966" s="10"/>
      <c r="C966" s="10"/>
      <c r="D966" s="10"/>
      <c r="E966" s="10"/>
      <c r="F966" s="11"/>
      <c r="G966" s="11"/>
      <c r="H966" s="11"/>
      <c r="I966" s="11"/>
      <c r="J966" s="11" t="str">
        <f>IFERROR(__xludf.DUMMYFUNCTION("IFERROR(FILTER(Stats!$F:$Z,(Stats!$A:$A=$A966)*(Stats!$B:$B=$B966)))"),"#REF!")</f>
        <v>#REF!</v>
      </c>
      <c r="K966" s="11"/>
      <c r="L966" s="12"/>
      <c r="M966" s="11"/>
      <c r="N966" s="11"/>
      <c r="O966" s="13"/>
      <c r="P966" s="14"/>
      <c r="Q966" s="13"/>
      <c r="R966" s="13"/>
      <c r="S966" s="15"/>
      <c r="T966" s="16"/>
      <c r="U966" s="16"/>
      <c r="V966" s="16"/>
      <c r="W966" s="16"/>
      <c r="X966" s="16"/>
      <c r="Y966" s="11"/>
      <c r="Z966" s="11"/>
      <c r="AA966" s="11"/>
      <c r="AB966" s="11"/>
      <c r="AC966" s="11"/>
      <c r="AD966" s="11"/>
    </row>
    <row r="967">
      <c r="A967" s="10"/>
      <c r="B967" s="10"/>
      <c r="C967" s="10"/>
      <c r="D967" s="10"/>
      <c r="E967" s="10"/>
      <c r="F967" s="11"/>
      <c r="G967" s="11"/>
      <c r="H967" s="11"/>
      <c r="I967" s="11"/>
      <c r="J967" s="11" t="str">
        <f>IFERROR(__xludf.DUMMYFUNCTION("IFERROR(FILTER(Stats!$F:$Z,(Stats!$A:$A=$A967)*(Stats!$B:$B=$B967)))"),"#REF!")</f>
        <v>#REF!</v>
      </c>
      <c r="K967" s="11"/>
      <c r="L967" s="12"/>
      <c r="M967" s="11"/>
      <c r="N967" s="11"/>
      <c r="O967" s="13"/>
      <c r="P967" s="14"/>
      <c r="Q967" s="13"/>
      <c r="R967" s="13"/>
      <c r="S967" s="15"/>
      <c r="T967" s="16"/>
      <c r="U967" s="16"/>
      <c r="V967" s="16"/>
      <c r="W967" s="16"/>
      <c r="X967" s="16"/>
      <c r="Y967" s="11"/>
      <c r="Z967" s="11"/>
      <c r="AA967" s="11"/>
      <c r="AB967" s="11"/>
      <c r="AC967" s="11"/>
      <c r="AD967" s="11"/>
    </row>
    <row r="968">
      <c r="A968" s="10"/>
      <c r="B968" s="10"/>
      <c r="C968" s="10"/>
      <c r="D968" s="10"/>
      <c r="E968" s="10"/>
      <c r="F968" s="11"/>
      <c r="G968" s="11"/>
      <c r="H968" s="11"/>
      <c r="I968" s="11"/>
      <c r="J968" s="11" t="str">
        <f>IFERROR(__xludf.DUMMYFUNCTION("IFERROR(FILTER(Stats!$F:$Z,(Stats!$A:$A=$A968)*(Stats!$B:$B=$B968)))"),"#REF!")</f>
        <v>#REF!</v>
      </c>
      <c r="K968" s="11"/>
      <c r="L968" s="12"/>
      <c r="M968" s="11"/>
      <c r="N968" s="11"/>
      <c r="O968" s="13"/>
      <c r="P968" s="14"/>
      <c r="Q968" s="13"/>
      <c r="R968" s="13"/>
      <c r="S968" s="15"/>
      <c r="T968" s="16"/>
      <c r="U968" s="16"/>
      <c r="V968" s="16"/>
      <c r="W968" s="16"/>
      <c r="X968" s="16"/>
      <c r="Y968" s="11"/>
      <c r="Z968" s="11"/>
      <c r="AA968" s="11"/>
      <c r="AB968" s="11"/>
      <c r="AC968" s="11"/>
      <c r="AD968" s="11"/>
    </row>
    <row r="969">
      <c r="A969" s="10"/>
      <c r="B969" s="10"/>
      <c r="C969" s="10"/>
      <c r="D969" s="10"/>
      <c r="E969" s="10"/>
      <c r="F969" s="11"/>
      <c r="G969" s="11"/>
      <c r="H969" s="11"/>
      <c r="I969" s="11"/>
      <c r="J969" s="11" t="str">
        <f>IFERROR(__xludf.DUMMYFUNCTION("IFERROR(FILTER(Stats!$F:$Z,(Stats!$A:$A=$A969)*(Stats!$B:$B=$B969)))"),"#REF!")</f>
        <v>#REF!</v>
      </c>
      <c r="K969" s="11"/>
      <c r="L969" s="12"/>
      <c r="M969" s="11"/>
      <c r="N969" s="11"/>
      <c r="O969" s="13"/>
      <c r="P969" s="14"/>
      <c r="Q969" s="13"/>
      <c r="R969" s="13"/>
      <c r="S969" s="15"/>
      <c r="T969" s="16"/>
      <c r="U969" s="16"/>
      <c r="V969" s="16"/>
      <c r="W969" s="16"/>
      <c r="X969" s="16"/>
      <c r="Y969" s="11"/>
      <c r="Z969" s="11"/>
      <c r="AA969" s="11"/>
      <c r="AB969" s="11"/>
      <c r="AC969" s="11"/>
      <c r="AD969" s="11"/>
    </row>
    <row r="970">
      <c r="A970" s="10"/>
      <c r="B970" s="10"/>
      <c r="C970" s="10"/>
      <c r="D970" s="10"/>
      <c r="E970" s="10"/>
      <c r="F970" s="11"/>
      <c r="G970" s="11"/>
      <c r="H970" s="11"/>
      <c r="I970" s="11"/>
      <c r="J970" s="11" t="str">
        <f>IFERROR(__xludf.DUMMYFUNCTION("IFERROR(FILTER(Stats!$F:$Z,(Stats!$A:$A=$A970)*(Stats!$B:$B=$B970)))"),"#REF!")</f>
        <v>#REF!</v>
      </c>
      <c r="K970" s="11"/>
      <c r="L970" s="12"/>
      <c r="M970" s="11"/>
      <c r="N970" s="11"/>
      <c r="O970" s="13"/>
      <c r="P970" s="14"/>
      <c r="Q970" s="13"/>
      <c r="R970" s="13"/>
      <c r="S970" s="15"/>
      <c r="T970" s="16"/>
      <c r="U970" s="16"/>
      <c r="V970" s="16"/>
      <c r="W970" s="16"/>
      <c r="X970" s="16"/>
      <c r="Y970" s="11"/>
      <c r="Z970" s="11"/>
      <c r="AA970" s="11"/>
      <c r="AB970" s="11"/>
      <c r="AC970" s="11"/>
      <c r="AD970" s="11"/>
    </row>
    <row r="971">
      <c r="A971" s="10"/>
      <c r="B971" s="10"/>
      <c r="C971" s="10"/>
      <c r="D971" s="10"/>
      <c r="E971" s="10"/>
      <c r="F971" s="11"/>
      <c r="G971" s="11"/>
      <c r="H971" s="11"/>
      <c r="I971" s="11"/>
      <c r="J971" s="11" t="str">
        <f>IFERROR(__xludf.DUMMYFUNCTION("IFERROR(FILTER(Stats!$F:$Z,(Stats!$A:$A=$A971)*(Stats!$B:$B=$B971)))"),"#REF!")</f>
        <v>#REF!</v>
      </c>
      <c r="K971" s="11"/>
      <c r="L971" s="12"/>
      <c r="M971" s="11"/>
      <c r="N971" s="11"/>
      <c r="O971" s="13"/>
      <c r="P971" s="14"/>
      <c r="Q971" s="13"/>
      <c r="R971" s="13"/>
      <c r="S971" s="15"/>
      <c r="T971" s="16"/>
      <c r="U971" s="16"/>
      <c r="V971" s="16"/>
      <c r="W971" s="16"/>
      <c r="X971" s="16"/>
      <c r="Y971" s="11"/>
      <c r="Z971" s="11"/>
      <c r="AA971" s="11"/>
      <c r="AB971" s="11"/>
      <c r="AC971" s="11"/>
      <c r="AD971" s="11"/>
    </row>
    <row r="972">
      <c r="A972" s="10"/>
      <c r="B972" s="10"/>
      <c r="C972" s="10"/>
      <c r="D972" s="10"/>
      <c r="E972" s="10"/>
      <c r="F972" s="11"/>
      <c r="G972" s="11"/>
      <c r="H972" s="11"/>
      <c r="I972" s="11"/>
      <c r="J972" s="11" t="str">
        <f>IFERROR(__xludf.DUMMYFUNCTION("IFERROR(FILTER(Stats!$F:$Z,(Stats!$A:$A=$A972)*(Stats!$B:$B=$B972)))"),"#REF!")</f>
        <v>#REF!</v>
      </c>
      <c r="K972" s="11"/>
      <c r="L972" s="12"/>
      <c r="M972" s="11"/>
      <c r="N972" s="11"/>
      <c r="O972" s="13"/>
      <c r="P972" s="14"/>
      <c r="Q972" s="13"/>
      <c r="R972" s="13"/>
      <c r="S972" s="15"/>
      <c r="T972" s="16"/>
      <c r="U972" s="16"/>
      <c r="V972" s="16"/>
      <c r="W972" s="16"/>
      <c r="X972" s="16"/>
      <c r="Y972" s="11"/>
      <c r="Z972" s="11"/>
      <c r="AA972" s="11"/>
      <c r="AB972" s="11"/>
      <c r="AC972" s="11"/>
      <c r="AD972" s="11"/>
    </row>
    <row r="973">
      <c r="A973" s="10"/>
      <c r="B973" s="10"/>
      <c r="C973" s="10"/>
      <c r="D973" s="10"/>
      <c r="E973" s="10"/>
      <c r="F973" s="11"/>
      <c r="G973" s="11"/>
      <c r="H973" s="11"/>
      <c r="I973" s="11"/>
      <c r="J973" s="11" t="str">
        <f>IFERROR(__xludf.DUMMYFUNCTION("IFERROR(FILTER(Stats!$F:$Z,(Stats!$A:$A=$A973)*(Stats!$B:$B=$B973)))"),"#REF!")</f>
        <v>#REF!</v>
      </c>
      <c r="K973" s="11"/>
      <c r="L973" s="12"/>
      <c r="M973" s="11"/>
      <c r="N973" s="11"/>
      <c r="O973" s="13"/>
      <c r="P973" s="14"/>
      <c r="Q973" s="13"/>
      <c r="R973" s="13"/>
      <c r="S973" s="15"/>
      <c r="T973" s="16"/>
      <c r="U973" s="16"/>
      <c r="V973" s="16"/>
      <c r="W973" s="16"/>
      <c r="X973" s="16"/>
      <c r="Y973" s="11"/>
      <c r="Z973" s="11"/>
      <c r="AA973" s="11"/>
      <c r="AB973" s="11"/>
      <c r="AC973" s="11"/>
      <c r="AD973" s="11"/>
    </row>
    <row r="974">
      <c r="A974" s="10"/>
      <c r="B974" s="10"/>
      <c r="C974" s="10"/>
      <c r="D974" s="10"/>
      <c r="E974" s="10"/>
      <c r="F974" s="11"/>
      <c r="G974" s="11"/>
      <c r="H974" s="11"/>
      <c r="I974" s="11"/>
      <c r="J974" s="11" t="str">
        <f>IFERROR(__xludf.DUMMYFUNCTION("IFERROR(FILTER(Stats!$F:$Z,(Stats!$A:$A=$A974)*(Stats!$B:$B=$B974)))"),"#REF!")</f>
        <v>#REF!</v>
      </c>
      <c r="K974" s="11"/>
      <c r="L974" s="12"/>
      <c r="M974" s="11"/>
      <c r="N974" s="11"/>
      <c r="O974" s="13"/>
      <c r="P974" s="14"/>
      <c r="Q974" s="13"/>
      <c r="R974" s="13"/>
      <c r="S974" s="15"/>
      <c r="T974" s="16"/>
      <c r="U974" s="16"/>
      <c r="V974" s="16"/>
      <c r="W974" s="16"/>
      <c r="X974" s="16"/>
      <c r="Y974" s="11"/>
      <c r="Z974" s="11"/>
      <c r="AA974" s="11"/>
      <c r="AB974" s="11"/>
      <c r="AC974" s="11"/>
      <c r="AD974" s="11"/>
    </row>
    <row r="975">
      <c r="A975" s="10"/>
      <c r="B975" s="10"/>
      <c r="C975" s="10"/>
      <c r="D975" s="10"/>
      <c r="E975" s="10"/>
      <c r="F975" s="11"/>
      <c r="G975" s="11"/>
      <c r="H975" s="11"/>
      <c r="I975" s="11"/>
      <c r="J975" s="11" t="str">
        <f>IFERROR(__xludf.DUMMYFUNCTION("IFERROR(FILTER(Stats!$F:$Z,(Stats!$A:$A=$A975)*(Stats!$B:$B=$B975)))"),"#REF!")</f>
        <v>#REF!</v>
      </c>
      <c r="K975" s="11"/>
      <c r="L975" s="12"/>
      <c r="M975" s="11"/>
      <c r="N975" s="11"/>
      <c r="O975" s="13"/>
      <c r="P975" s="14"/>
      <c r="Q975" s="13"/>
      <c r="R975" s="13"/>
      <c r="S975" s="15"/>
      <c r="T975" s="16"/>
      <c r="U975" s="16"/>
      <c r="V975" s="16"/>
      <c r="W975" s="16"/>
      <c r="X975" s="16"/>
      <c r="Y975" s="11"/>
      <c r="Z975" s="11"/>
      <c r="AA975" s="11"/>
      <c r="AB975" s="11"/>
      <c r="AC975" s="11"/>
      <c r="AD975" s="11"/>
    </row>
    <row r="976">
      <c r="A976" s="10"/>
      <c r="B976" s="10"/>
      <c r="C976" s="10"/>
      <c r="D976" s="10"/>
      <c r="E976" s="10"/>
      <c r="F976" s="11"/>
      <c r="G976" s="11"/>
      <c r="H976" s="11"/>
      <c r="I976" s="11"/>
      <c r="J976" s="11" t="str">
        <f>IFERROR(__xludf.DUMMYFUNCTION("IFERROR(FILTER(Stats!$F:$Z,(Stats!$A:$A=$A976)*(Stats!$B:$B=$B976)))"),"#REF!")</f>
        <v>#REF!</v>
      </c>
      <c r="K976" s="11"/>
      <c r="L976" s="12"/>
      <c r="M976" s="11"/>
      <c r="N976" s="11"/>
      <c r="O976" s="13"/>
      <c r="P976" s="14"/>
      <c r="Q976" s="13"/>
      <c r="R976" s="13"/>
      <c r="S976" s="15"/>
      <c r="T976" s="16"/>
      <c r="U976" s="16"/>
      <c r="V976" s="16"/>
      <c r="W976" s="16"/>
      <c r="X976" s="16"/>
      <c r="Y976" s="11"/>
      <c r="Z976" s="11"/>
      <c r="AA976" s="11"/>
      <c r="AB976" s="11"/>
      <c r="AC976" s="11"/>
      <c r="AD976" s="11"/>
    </row>
    <row r="977">
      <c r="A977" s="10"/>
      <c r="B977" s="10"/>
      <c r="C977" s="10"/>
      <c r="D977" s="10"/>
      <c r="E977" s="10"/>
      <c r="F977" s="11"/>
      <c r="G977" s="11"/>
      <c r="H977" s="11"/>
      <c r="I977" s="11"/>
      <c r="J977" s="11" t="str">
        <f>IFERROR(__xludf.DUMMYFUNCTION("IFERROR(FILTER(Stats!$F:$Z,(Stats!$A:$A=$A977)*(Stats!$B:$B=$B977)))"),"#REF!")</f>
        <v>#REF!</v>
      </c>
      <c r="K977" s="11"/>
      <c r="L977" s="12"/>
      <c r="M977" s="11"/>
      <c r="N977" s="11"/>
      <c r="O977" s="13"/>
      <c r="P977" s="14"/>
      <c r="Q977" s="13"/>
      <c r="R977" s="13"/>
      <c r="S977" s="15"/>
      <c r="T977" s="16"/>
      <c r="U977" s="16"/>
      <c r="V977" s="16"/>
      <c r="W977" s="16"/>
      <c r="X977" s="16"/>
      <c r="Y977" s="11"/>
      <c r="Z977" s="11"/>
      <c r="AA977" s="11"/>
      <c r="AB977" s="11"/>
      <c r="AC977" s="11"/>
      <c r="AD977" s="11"/>
    </row>
    <row r="978">
      <c r="A978" s="10"/>
      <c r="B978" s="10"/>
      <c r="C978" s="10"/>
      <c r="D978" s="10"/>
      <c r="E978" s="10"/>
      <c r="F978" s="11"/>
      <c r="G978" s="11"/>
      <c r="H978" s="11"/>
      <c r="I978" s="11"/>
      <c r="J978" s="11" t="str">
        <f>IFERROR(__xludf.DUMMYFUNCTION("IFERROR(FILTER(Stats!$F:$Z,(Stats!$A:$A=$A978)*(Stats!$B:$B=$B978)))"),"#REF!")</f>
        <v>#REF!</v>
      </c>
      <c r="K978" s="11"/>
      <c r="L978" s="12"/>
      <c r="M978" s="11"/>
      <c r="N978" s="11"/>
      <c r="O978" s="13"/>
      <c r="P978" s="14"/>
      <c r="Q978" s="13"/>
      <c r="R978" s="13"/>
      <c r="S978" s="15"/>
      <c r="T978" s="16"/>
      <c r="U978" s="16"/>
      <c r="V978" s="16"/>
      <c r="W978" s="16"/>
      <c r="X978" s="16"/>
      <c r="Y978" s="11"/>
      <c r="Z978" s="11"/>
      <c r="AA978" s="11"/>
      <c r="AB978" s="11"/>
      <c r="AC978" s="11"/>
      <c r="AD978" s="11"/>
    </row>
    <row r="979">
      <c r="A979" s="10"/>
      <c r="B979" s="10"/>
      <c r="C979" s="10"/>
      <c r="D979" s="10"/>
      <c r="E979" s="10"/>
      <c r="F979" s="11"/>
      <c r="G979" s="11"/>
      <c r="H979" s="11"/>
      <c r="I979" s="11"/>
      <c r="J979" s="11" t="str">
        <f>IFERROR(__xludf.DUMMYFUNCTION("IFERROR(FILTER(Stats!$F:$Z,(Stats!$A:$A=$A979)*(Stats!$B:$B=$B979)))"),"#REF!")</f>
        <v>#REF!</v>
      </c>
      <c r="K979" s="11"/>
      <c r="L979" s="12"/>
      <c r="M979" s="11"/>
      <c r="N979" s="11"/>
      <c r="O979" s="13"/>
      <c r="P979" s="14"/>
      <c r="Q979" s="13"/>
      <c r="R979" s="13"/>
      <c r="S979" s="15"/>
      <c r="T979" s="16"/>
      <c r="U979" s="16"/>
      <c r="V979" s="16"/>
      <c r="W979" s="16"/>
      <c r="X979" s="16"/>
      <c r="Y979" s="11"/>
      <c r="Z979" s="11"/>
      <c r="AA979" s="11"/>
      <c r="AB979" s="11"/>
      <c r="AC979" s="11"/>
      <c r="AD979" s="11"/>
    </row>
    <row r="980">
      <c r="A980" s="10"/>
      <c r="B980" s="10"/>
      <c r="C980" s="10"/>
      <c r="D980" s="10"/>
      <c r="E980" s="10"/>
      <c r="F980" s="11"/>
      <c r="G980" s="11"/>
      <c r="H980" s="11"/>
      <c r="I980" s="11"/>
      <c r="J980" s="11" t="str">
        <f>IFERROR(__xludf.DUMMYFUNCTION("IFERROR(FILTER(Stats!$F:$Z,(Stats!$A:$A=$A980)*(Stats!$B:$B=$B980)))"),"#REF!")</f>
        <v>#REF!</v>
      </c>
      <c r="K980" s="11"/>
      <c r="L980" s="12"/>
      <c r="M980" s="11"/>
      <c r="N980" s="11"/>
      <c r="O980" s="13"/>
      <c r="P980" s="14"/>
      <c r="Q980" s="13"/>
      <c r="R980" s="13"/>
      <c r="S980" s="15"/>
      <c r="T980" s="16"/>
      <c r="U980" s="16"/>
      <c r="V980" s="16"/>
      <c r="W980" s="16"/>
      <c r="X980" s="16"/>
      <c r="Y980" s="11"/>
      <c r="Z980" s="11"/>
      <c r="AA980" s="11"/>
      <c r="AB980" s="11"/>
      <c r="AC980" s="11"/>
      <c r="AD980" s="11"/>
    </row>
    <row r="981">
      <c r="A981" s="10"/>
      <c r="B981" s="10"/>
      <c r="C981" s="10"/>
      <c r="D981" s="10"/>
      <c r="E981" s="10"/>
      <c r="F981" s="11"/>
      <c r="G981" s="11"/>
      <c r="H981" s="11"/>
      <c r="I981" s="11"/>
      <c r="J981" s="11" t="str">
        <f>IFERROR(__xludf.DUMMYFUNCTION("IFERROR(FILTER(Stats!$F:$Z,(Stats!$A:$A=$A981)*(Stats!$B:$B=$B981)))"),"#REF!")</f>
        <v>#REF!</v>
      </c>
      <c r="K981" s="11"/>
      <c r="L981" s="12"/>
      <c r="M981" s="11"/>
      <c r="N981" s="11"/>
      <c r="O981" s="13"/>
      <c r="P981" s="14"/>
      <c r="Q981" s="13"/>
      <c r="R981" s="13"/>
      <c r="S981" s="15"/>
      <c r="T981" s="16"/>
      <c r="U981" s="16"/>
      <c r="V981" s="16"/>
      <c r="W981" s="16"/>
      <c r="X981" s="16"/>
      <c r="Y981" s="11"/>
      <c r="Z981" s="11"/>
      <c r="AA981" s="11"/>
      <c r="AB981" s="11"/>
      <c r="AC981" s="11"/>
      <c r="AD981" s="11"/>
    </row>
    <row r="982">
      <c r="A982" s="10"/>
      <c r="B982" s="10"/>
      <c r="C982" s="10"/>
      <c r="D982" s="10"/>
      <c r="E982" s="10"/>
      <c r="F982" s="11"/>
      <c r="G982" s="11"/>
      <c r="H982" s="11"/>
      <c r="I982" s="11"/>
      <c r="J982" s="11" t="str">
        <f>IFERROR(__xludf.DUMMYFUNCTION("IFERROR(FILTER(Stats!$F:$Z,(Stats!$A:$A=$A982)*(Stats!$B:$B=$B982)))"),"#REF!")</f>
        <v>#REF!</v>
      </c>
      <c r="K982" s="11"/>
      <c r="L982" s="12"/>
      <c r="M982" s="11"/>
      <c r="N982" s="11"/>
      <c r="O982" s="13"/>
      <c r="P982" s="14"/>
      <c r="Q982" s="13"/>
      <c r="R982" s="13"/>
      <c r="S982" s="15"/>
      <c r="T982" s="16"/>
      <c r="U982" s="16"/>
      <c r="V982" s="16"/>
      <c r="W982" s="16"/>
      <c r="X982" s="16"/>
      <c r="Y982" s="11"/>
      <c r="Z982" s="11"/>
      <c r="AA982" s="11"/>
      <c r="AB982" s="11"/>
      <c r="AC982" s="11"/>
      <c r="AD982" s="11"/>
    </row>
    <row r="983">
      <c r="A983" s="10"/>
      <c r="B983" s="10"/>
      <c r="C983" s="10"/>
      <c r="D983" s="10"/>
      <c r="E983" s="10"/>
      <c r="F983" s="11"/>
      <c r="G983" s="11"/>
      <c r="H983" s="11"/>
      <c r="I983" s="11"/>
      <c r="J983" s="11" t="str">
        <f>IFERROR(__xludf.DUMMYFUNCTION("IFERROR(FILTER(Stats!$F:$Z,(Stats!$A:$A=$A983)*(Stats!$B:$B=$B983)))"),"#REF!")</f>
        <v>#REF!</v>
      </c>
      <c r="K983" s="11"/>
      <c r="L983" s="12"/>
      <c r="M983" s="11"/>
      <c r="N983" s="11"/>
      <c r="O983" s="13"/>
      <c r="P983" s="14"/>
      <c r="Q983" s="13"/>
      <c r="R983" s="13"/>
      <c r="S983" s="15"/>
      <c r="T983" s="16"/>
      <c r="U983" s="16"/>
      <c r="V983" s="16"/>
      <c r="W983" s="16"/>
      <c r="X983" s="16"/>
      <c r="Y983" s="11"/>
      <c r="Z983" s="11"/>
      <c r="AA983" s="11"/>
      <c r="AB983" s="11"/>
      <c r="AC983" s="11"/>
      <c r="AD983" s="11"/>
    </row>
    <row r="984">
      <c r="A984" s="10"/>
      <c r="B984" s="10"/>
      <c r="C984" s="10"/>
      <c r="D984" s="10"/>
      <c r="E984" s="10"/>
      <c r="F984" s="11"/>
      <c r="G984" s="11"/>
      <c r="H984" s="11"/>
      <c r="I984" s="11"/>
      <c r="J984" s="11" t="str">
        <f>IFERROR(__xludf.DUMMYFUNCTION("IFERROR(FILTER(Stats!$F:$Z,(Stats!$A:$A=$A984)*(Stats!$B:$B=$B984)))"),"#REF!")</f>
        <v>#REF!</v>
      </c>
      <c r="K984" s="11"/>
      <c r="L984" s="12"/>
      <c r="M984" s="11"/>
      <c r="N984" s="11"/>
      <c r="O984" s="13"/>
      <c r="P984" s="14"/>
      <c r="Q984" s="13"/>
      <c r="R984" s="13"/>
      <c r="S984" s="15"/>
      <c r="T984" s="16"/>
      <c r="U984" s="16"/>
      <c r="V984" s="16"/>
      <c r="W984" s="16"/>
      <c r="X984" s="16"/>
      <c r="Y984" s="11"/>
      <c r="Z984" s="11"/>
      <c r="AA984" s="11"/>
      <c r="AB984" s="11"/>
      <c r="AC984" s="11"/>
      <c r="AD984" s="11"/>
    </row>
    <row r="985">
      <c r="A985" s="10"/>
      <c r="B985" s="10"/>
      <c r="C985" s="10"/>
      <c r="D985" s="10"/>
      <c r="E985" s="10"/>
      <c r="F985" s="11"/>
      <c r="G985" s="11"/>
      <c r="H985" s="11"/>
      <c r="I985" s="11"/>
      <c r="J985" s="11" t="str">
        <f>IFERROR(__xludf.DUMMYFUNCTION("IFERROR(FILTER(Stats!$F:$Z,(Stats!$A:$A=$A985)*(Stats!$B:$B=$B985)))"),"#REF!")</f>
        <v>#REF!</v>
      </c>
      <c r="K985" s="11"/>
      <c r="L985" s="12"/>
      <c r="M985" s="11"/>
      <c r="N985" s="11"/>
      <c r="O985" s="13"/>
      <c r="P985" s="14"/>
      <c r="Q985" s="13"/>
      <c r="R985" s="13"/>
      <c r="S985" s="15"/>
      <c r="T985" s="16"/>
      <c r="U985" s="16"/>
      <c r="V985" s="16"/>
      <c r="W985" s="16"/>
      <c r="X985" s="16"/>
      <c r="Y985" s="11"/>
      <c r="Z985" s="11"/>
      <c r="AA985" s="11"/>
      <c r="AB985" s="11"/>
      <c r="AC985" s="11"/>
      <c r="AD985" s="11"/>
    </row>
    <row r="986">
      <c r="A986" s="10"/>
      <c r="B986" s="10"/>
      <c r="C986" s="10"/>
      <c r="D986" s="10"/>
      <c r="E986" s="10"/>
      <c r="F986" s="11"/>
      <c r="G986" s="11"/>
      <c r="H986" s="11"/>
      <c r="I986" s="11"/>
      <c r="J986" s="11" t="str">
        <f>IFERROR(__xludf.DUMMYFUNCTION("IFERROR(FILTER(Stats!$F:$Z,(Stats!$A:$A=$A986)*(Stats!$B:$B=$B986)))"),"#REF!")</f>
        <v>#REF!</v>
      </c>
      <c r="K986" s="11"/>
      <c r="L986" s="12"/>
      <c r="M986" s="11"/>
      <c r="N986" s="11"/>
      <c r="O986" s="13"/>
      <c r="P986" s="14"/>
      <c r="Q986" s="13"/>
      <c r="R986" s="13"/>
      <c r="S986" s="15"/>
      <c r="T986" s="16"/>
      <c r="U986" s="16"/>
      <c r="V986" s="16"/>
      <c r="W986" s="16"/>
      <c r="X986" s="16"/>
      <c r="Y986" s="11"/>
      <c r="Z986" s="11"/>
      <c r="AA986" s="11"/>
      <c r="AB986" s="11"/>
      <c r="AC986" s="11"/>
      <c r="AD986" s="11"/>
    </row>
    <row r="987">
      <c r="A987" s="10"/>
      <c r="B987" s="10"/>
      <c r="C987" s="10"/>
      <c r="D987" s="10"/>
      <c r="E987" s="10"/>
      <c r="F987" s="11"/>
      <c r="G987" s="11"/>
      <c r="H987" s="11"/>
      <c r="I987" s="11"/>
      <c r="J987" s="11" t="str">
        <f>IFERROR(__xludf.DUMMYFUNCTION("IFERROR(FILTER(Stats!$F:$Z,(Stats!$A:$A=$A987)*(Stats!$B:$B=$B987)))"),"#REF!")</f>
        <v>#REF!</v>
      </c>
      <c r="K987" s="11"/>
      <c r="L987" s="12"/>
      <c r="M987" s="11"/>
      <c r="N987" s="11"/>
      <c r="O987" s="13"/>
      <c r="P987" s="14"/>
      <c r="Q987" s="13"/>
      <c r="R987" s="13"/>
      <c r="S987" s="15"/>
      <c r="T987" s="16"/>
      <c r="U987" s="16"/>
      <c r="V987" s="16"/>
      <c r="W987" s="16"/>
      <c r="X987" s="16"/>
      <c r="Y987" s="11"/>
      <c r="Z987" s="11"/>
      <c r="AA987" s="11"/>
      <c r="AB987" s="11"/>
      <c r="AC987" s="11"/>
      <c r="AD987" s="11"/>
    </row>
    <row r="988">
      <c r="A988" s="10"/>
      <c r="B988" s="10"/>
      <c r="C988" s="10"/>
      <c r="D988" s="10"/>
      <c r="E988" s="10"/>
      <c r="F988" s="11"/>
      <c r="G988" s="11"/>
      <c r="H988" s="11"/>
      <c r="I988" s="11"/>
      <c r="J988" s="11" t="str">
        <f>IFERROR(__xludf.DUMMYFUNCTION("IFERROR(FILTER(Stats!$F:$Z,(Stats!$A:$A=$A988)*(Stats!$B:$B=$B988)))"),"#REF!")</f>
        <v>#REF!</v>
      </c>
      <c r="K988" s="11"/>
      <c r="L988" s="12"/>
      <c r="M988" s="11"/>
      <c r="N988" s="11"/>
      <c r="O988" s="13"/>
      <c r="P988" s="14"/>
      <c r="Q988" s="13"/>
      <c r="R988" s="13"/>
      <c r="S988" s="15"/>
      <c r="T988" s="16"/>
      <c r="U988" s="16"/>
      <c r="V988" s="16"/>
      <c r="W988" s="16"/>
      <c r="X988" s="16"/>
      <c r="Y988" s="11"/>
      <c r="Z988" s="11"/>
      <c r="AA988" s="11"/>
      <c r="AB988" s="11"/>
      <c r="AC988" s="11"/>
      <c r="AD988" s="11"/>
    </row>
    <row r="989">
      <c r="A989" s="10"/>
      <c r="B989" s="10"/>
      <c r="C989" s="10"/>
      <c r="D989" s="10"/>
      <c r="E989" s="10"/>
      <c r="F989" s="11"/>
      <c r="G989" s="11"/>
      <c r="H989" s="11"/>
      <c r="I989" s="11"/>
      <c r="J989" s="11" t="str">
        <f>IFERROR(__xludf.DUMMYFUNCTION("IFERROR(FILTER(Stats!$F:$Z,(Stats!$A:$A=$A989)*(Stats!$B:$B=$B989)))"),"#REF!")</f>
        <v>#REF!</v>
      </c>
      <c r="K989" s="11"/>
      <c r="L989" s="12"/>
      <c r="M989" s="11"/>
      <c r="N989" s="11"/>
      <c r="O989" s="13"/>
      <c r="P989" s="14"/>
      <c r="Q989" s="13"/>
      <c r="R989" s="13"/>
      <c r="S989" s="15"/>
      <c r="T989" s="16"/>
      <c r="U989" s="16"/>
      <c r="V989" s="16"/>
      <c r="W989" s="16"/>
      <c r="X989" s="16"/>
      <c r="Y989" s="11"/>
      <c r="Z989" s="11"/>
      <c r="AA989" s="11"/>
      <c r="AB989" s="11"/>
      <c r="AC989" s="11"/>
      <c r="AD989" s="11"/>
    </row>
    <row r="990">
      <c r="A990" s="10"/>
      <c r="B990" s="10"/>
      <c r="C990" s="10"/>
      <c r="D990" s="10"/>
      <c r="E990" s="10"/>
      <c r="F990" s="11"/>
      <c r="G990" s="11"/>
      <c r="H990" s="11"/>
      <c r="I990" s="11"/>
      <c r="J990" s="11" t="str">
        <f>IFERROR(__xludf.DUMMYFUNCTION("IFERROR(FILTER(Stats!$F:$Z,(Stats!$A:$A=$A990)*(Stats!$B:$B=$B990)))"),"#REF!")</f>
        <v>#REF!</v>
      </c>
      <c r="K990" s="11"/>
      <c r="L990" s="12"/>
      <c r="M990" s="11"/>
      <c r="N990" s="11"/>
      <c r="O990" s="13"/>
      <c r="P990" s="14"/>
      <c r="Q990" s="13"/>
      <c r="R990" s="13"/>
      <c r="S990" s="15"/>
      <c r="T990" s="16"/>
      <c r="U990" s="16"/>
      <c r="V990" s="16"/>
      <c r="W990" s="16"/>
      <c r="X990" s="16"/>
      <c r="Y990" s="11"/>
      <c r="Z990" s="11"/>
      <c r="AA990" s="11"/>
      <c r="AB990" s="11"/>
      <c r="AC990" s="11"/>
      <c r="AD990" s="11"/>
    </row>
    <row r="991">
      <c r="A991" s="10"/>
      <c r="B991" s="10"/>
      <c r="C991" s="10"/>
      <c r="D991" s="10"/>
      <c r="E991" s="10"/>
      <c r="F991" s="11"/>
      <c r="G991" s="11"/>
      <c r="H991" s="11"/>
      <c r="I991" s="11"/>
      <c r="J991" s="11" t="str">
        <f>IFERROR(__xludf.DUMMYFUNCTION("IFERROR(FILTER(Stats!$F:$Z,(Stats!$A:$A=$A991)*(Stats!$B:$B=$B991)))"),"#REF!")</f>
        <v>#REF!</v>
      </c>
      <c r="K991" s="11"/>
      <c r="L991" s="12"/>
      <c r="M991" s="11"/>
      <c r="N991" s="11"/>
      <c r="O991" s="13"/>
      <c r="P991" s="14"/>
      <c r="Q991" s="13"/>
      <c r="R991" s="13"/>
      <c r="S991" s="15"/>
      <c r="T991" s="16"/>
      <c r="U991" s="16"/>
      <c r="V991" s="16"/>
      <c r="W991" s="16"/>
      <c r="X991" s="16"/>
      <c r="Y991" s="11"/>
      <c r="Z991" s="11"/>
      <c r="AA991" s="11"/>
      <c r="AB991" s="11"/>
      <c r="AC991" s="11"/>
      <c r="AD991" s="11"/>
    </row>
    <row r="992">
      <c r="A992" s="10"/>
      <c r="B992" s="10"/>
      <c r="C992" s="10"/>
      <c r="D992" s="10"/>
      <c r="E992" s="10"/>
      <c r="F992" s="11"/>
      <c r="G992" s="11"/>
      <c r="H992" s="11"/>
      <c r="I992" s="11"/>
      <c r="J992" s="11" t="str">
        <f>IFERROR(__xludf.DUMMYFUNCTION("IFERROR(FILTER(Stats!$F:$Z,(Stats!$A:$A=$A992)*(Stats!$B:$B=$B992)))"),"#REF!")</f>
        <v>#REF!</v>
      </c>
      <c r="K992" s="11"/>
      <c r="L992" s="12"/>
      <c r="M992" s="11"/>
      <c r="N992" s="11"/>
      <c r="O992" s="13"/>
      <c r="P992" s="14"/>
      <c r="Q992" s="13"/>
      <c r="R992" s="13"/>
      <c r="S992" s="15"/>
      <c r="T992" s="16"/>
      <c r="U992" s="16"/>
      <c r="V992" s="16"/>
      <c r="W992" s="16"/>
      <c r="X992" s="16"/>
      <c r="Y992" s="11"/>
      <c r="Z992" s="11"/>
      <c r="AA992" s="11"/>
      <c r="AB992" s="11"/>
      <c r="AC992" s="11"/>
      <c r="AD992" s="11"/>
    </row>
    <row r="993">
      <c r="A993" s="10"/>
      <c r="B993" s="10"/>
      <c r="C993" s="10"/>
      <c r="D993" s="10"/>
      <c r="E993" s="10"/>
      <c r="F993" s="11"/>
      <c r="G993" s="11"/>
      <c r="H993" s="11"/>
      <c r="I993" s="11"/>
      <c r="J993" s="11" t="str">
        <f>IFERROR(__xludf.DUMMYFUNCTION("IFERROR(FILTER(Stats!$F:$Z,(Stats!$A:$A=$A993)*(Stats!$B:$B=$B993)))"),"#REF!")</f>
        <v>#REF!</v>
      </c>
      <c r="K993" s="11"/>
      <c r="L993" s="12"/>
      <c r="M993" s="11"/>
      <c r="N993" s="11"/>
      <c r="O993" s="13"/>
      <c r="P993" s="14"/>
      <c r="Q993" s="13"/>
      <c r="R993" s="13"/>
      <c r="S993" s="15"/>
      <c r="T993" s="16"/>
      <c r="U993" s="16"/>
      <c r="V993" s="16"/>
      <c r="W993" s="16"/>
      <c r="X993" s="16"/>
      <c r="Y993" s="11"/>
      <c r="Z993" s="11"/>
      <c r="AA993" s="11"/>
      <c r="AB993" s="11"/>
      <c r="AC993" s="11"/>
      <c r="AD993" s="11"/>
    </row>
    <row r="994">
      <c r="A994" s="10"/>
      <c r="B994" s="10"/>
      <c r="C994" s="10"/>
      <c r="D994" s="10"/>
      <c r="E994" s="10"/>
      <c r="F994" s="11"/>
      <c r="G994" s="11"/>
      <c r="H994" s="11"/>
      <c r="I994" s="11"/>
      <c r="J994" s="11" t="str">
        <f>IFERROR(__xludf.DUMMYFUNCTION("IFERROR(FILTER(Stats!$F:$Z,(Stats!$A:$A=$A994)*(Stats!$B:$B=$B994)))"),"#REF!")</f>
        <v>#REF!</v>
      </c>
      <c r="K994" s="11"/>
      <c r="L994" s="12"/>
      <c r="M994" s="11"/>
      <c r="N994" s="11"/>
      <c r="O994" s="13"/>
      <c r="P994" s="14"/>
      <c r="Q994" s="13"/>
      <c r="R994" s="13"/>
      <c r="S994" s="15"/>
      <c r="T994" s="16"/>
      <c r="U994" s="16"/>
      <c r="V994" s="16"/>
      <c r="W994" s="16"/>
      <c r="X994" s="16"/>
      <c r="Y994" s="11"/>
      <c r="Z994" s="11"/>
      <c r="AA994" s="11"/>
      <c r="AB994" s="11"/>
      <c r="AC994" s="11"/>
      <c r="AD994" s="11"/>
    </row>
    <row r="995">
      <c r="A995" s="10"/>
      <c r="B995" s="10"/>
      <c r="C995" s="10"/>
      <c r="D995" s="10"/>
      <c r="E995" s="10"/>
      <c r="F995" s="11"/>
      <c r="G995" s="11"/>
      <c r="H995" s="11"/>
      <c r="I995" s="11"/>
      <c r="J995" s="11" t="str">
        <f>IFERROR(__xludf.DUMMYFUNCTION("IFERROR(FILTER(Stats!$F:$Z,(Stats!$A:$A=$A995)*(Stats!$B:$B=$B995)))"),"#REF!")</f>
        <v>#REF!</v>
      </c>
      <c r="K995" s="11"/>
      <c r="L995" s="12"/>
      <c r="M995" s="11"/>
      <c r="N995" s="11"/>
      <c r="O995" s="13"/>
      <c r="P995" s="14"/>
      <c r="Q995" s="13"/>
      <c r="R995" s="13"/>
      <c r="S995" s="15"/>
      <c r="T995" s="16"/>
      <c r="U995" s="16"/>
      <c r="V995" s="16"/>
      <c r="W995" s="16"/>
      <c r="X995" s="16"/>
      <c r="Y995" s="11"/>
      <c r="Z995" s="11"/>
      <c r="AA995" s="11"/>
      <c r="AB995" s="11"/>
      <c r="AC995" s="11"/>
      <c r="AD995" s="11"/>
    </row>
    <row r="996">
      <c r="A996" s="10"/>
      <c r="B996" s="10"/>
      <c r="C996" s="10"/>
      <c r="D996" s="10"/>
      <c r="E996" s="10"/>
      <c r="F996" s="11"/>
      <c r="G996" s="11"/>
      <c r="H996" s="11"/>
      <c r="I996" s="11"/>
      <c r="J996" s="11" t="str">
        <f>IFERROR(__xludf.DUMMYFUNCTION("IFERROR(FILTER(Stats!$F:$Z,(Stats!$A:$A=$A996)*(Stats!$B:$B=$B996)))"),"#REF!")</f>
        <v>#REF!</v>
      </c>
      <c r="K996" s="11"/>
      <c r="L996" s="12"/>
      <c r="M996" s="11"/>
      <c r="N996" s="11"/>
      <c r="O996" s="13"/>
      <c r="P996" s="14"/>
      <c r="Q996" s="13"/>
      <c r="R996" s="13"/>
      <c r="S996" s="15"/>
      <c r="T996" s="16"/>
      <c r="U996" s="16"/>
      <c r="V996" s="16"/>
      <c r="W996" s="16"/>
      <c r="X996" s="16"/>
      <c r="Y996" s="11"/>
      <c r="Z996" s="11"/>
      <c r="AA996" s="11"/>
      <c r="AB996" s="11"/>
      <c r="AC996" s="11"/>
      <c r="AD996" s="11"/>
    </row>
    <row r="997">
      <c r="A997" s="10"/>
      <c r="B997" s="10"/>
      <c r="C997" s="10"/>
      <c r="D997" s="10"/>
      <c r="E997" s="10"/>
      <c r="F997" s="11"/>
      <c r="G997" s="11"/>
      <c r="H997" s="11"/>
      <c r="I997" s="11"/>
      <c r="J997" s="11" t="str">
        <f>IFERROR(__xludf.DUMMYFUNCTION("IFERROR(FILTER(Stats!$F:$Z,(Stats!$A:$A=$A997)*(Stats!$B:$B=$B997)))"),"#REF!")</f>
        <v>#REF!</v>
      </c>
      <c r="K997" s="11"/>
      <c r="L997" s="12"/>
      <c r="M997" s="11"/>
      <c r="N997" s="11"/>
      <c r="O997" s="13"/>
      <c r="P997" s="14"/>
      <c r="Q997" s="13"/>
      <c r="R997" s="13"/>
      <c r="S997" s="15"/>
      <c r="T997" s="16"/>
      <c r="U997" s="16"/>
      <c r="V997" s="16"/>
      <c r="W997" s="16"/>
      <c r="X997" s="16"/>
      <c r="Y997" s="11"/>
      <c r="Z997" s="11"/>
      <c r="AA997" s="11"/>
      <c r="AB997" s="11"/>
      <c r="AC997" s="11"/>
      <c r="AD997" s="11"/>
    </row>
    <row r="998">
      <c r="A998" s="10"/>
      <c r="B998" s="10"/>
      <c r="C998" s="10"/>
      <c r="D998" s="10"/>
      <c r="E998" s="10"/>
      <c r="F998" s="11"/>
      <c r="G998" s="11"/>
      <c r="H998" s="11"/>
      <c r="I998" s="11"/>
      <c r="J998" s="11" t="str">
        <f>IFERROR(__xludf.DUMMYFUNCTION("IFERROR(FILTER(Stats!$F:$Z,(Stats!$A:$A=$A998)*(Stats!$B:$B=$B998)))"),"#REF!")</f>
        <v>#REF!</v>
      </c>
      <c r="K998" s="11"/>
      <c r="L998" s="12"/>
      <c r="M998" s="11"/>
      <c r="N998" s="11"/>
      <c r="O998" s="13"/>
      <c r="P998" s="14"/>
      <c r="Q998" s="13"/>
      <c r="R998" s="13"/>
      <c r="S998" s="15"/>
      <c r="T998" s="16"/>
      <c r="U998" s="16"/>
      <c r="V998" s="16"/>
      <c r="W998" s="16"/>
      <c r="X998" s="16"/>
      <c r="Y998" s="11"/>
      <c r="Z998" s="11"/>
      <c r="AA998" s="11"/>
      <c r="AB998" s="11"/>
      <c r="AC998" s="11"/>
      <c r="AD998" s="11"/>
    </row>
    <row r="999">
      <c r="A999" s="10"/>
      <c r="B999" s="10"/>
      <c r="C999" s="10"/>
      <c r="D999" s="10"/>
      <c r="E999" s="10"/>
      <c r="F999" s="11"/>
      <c r="G999" s="11"/>
      <c r="H999" s="11"/>
      <c r="I999" s="11"/>
      <c r="J999" s="11" t="str">
        <f>IFERROR(__xludf.DUMMYFUNCTION("IFERROR(FILTER(Stats!$F:$Z,(Stats!$A:$A=$A999)*(Stats!$B:$B=$B999)))"),"#REF!")</f>
        <v>#REF!</v>
      </c>
      <c r="K999" s="11"/>
      <c r="L999" s="12"/>
      <c r="M999" s="11"/>
      <c r="N999" s="11"/>
      <c r="O999" s="13"/>
      <c r="P999" s="14"/>
      <c r="Q999" s="13"/>
      <c r="R999" s="13"/>
      <c r="S999" s="15"/>
      <c r="T999" s="16"/>
      <c r="U999" s="16"/>
      <c r="V999" s="16"/>
      <c r="W999" s="16"/>
      <c r="X999" s="16"/>
      <c r="Y999" s="11"/>
      <c r="Z999" s="11"/>
      <c r="AA999" s="11"/>
      <c r="AB999" s="11"/>
      <c r="AC999" s="11"/>
      <c r="AD999" s="11"/>
    </row>
    <row r="1000">
      <c r="A1000" s="10"/>
      <c r="B1000" s="10"/>
      <c r="C1000" s="10"/>
      <c r="D1000" s="10"/>
      <c r="E1000" s="10"/>
      <c r="F1000" s="11"/>
      <c r="G1000" s="11"/>
      <c r="H1000" s="11"/>
      <c r="I1000" s="11"/>
      <c r="J1000" s="11" t="str">
        <f>IFERROR(__xludf.DUMMYFUNCTION("IFERROR(FILTER(Stats!$F:$Z,(Stats!$A:$A=$A1000)*(Stats!$B:$B=$B1000)))"),"#REF!")</f>
        <v>#REF!</v>
      </c>
      <c r="K1000" s="11"/>
      <c r="L1000" s="12"/>
      <c r="M1000" s="11"/>
      <c r="N1000" s="11"/>
      <c r="O1000" s="13"/>
      <c r="P1000" s="14"/>
      <c r="Q1000" s="13"/>
      <c r="R1000" s="13"/>
      <c r="S1000" s="15"/>
      <c r="T1000" s="16"/>
      <c r="U1000" s="16"/>
      <c r="V1000" s="16"/>
      <c r="W1000" s="16"/>
      <c r="X1000" s="16"/>
      <c r="Y1000" s="11"/>
      <c r="Z1000" s="11"/>
      <c r="AA1000" s="11"/>
      <c r="AB1000" s="11"/>
      <c r="AC1000" s="11"/>
      <c r="AD1000" s="11"/>
    </row>
    <row r="1001">
      <c r="A1001" s="10"/>
      <c r="B1001" s="10"/>
      <c r="C1001" s="10"/>
      <c r="D1001" s="10"/>
      <c r="E1001" s="10"/>
      <c r="F1001" s="11"/>
      <c r="G1001" s="11"/>
      <c r="H1001" s="11"/>
      <c r="I1001" s="11"/>
      <c r="J1001" s="11" t="str">
        <f>IFERROR(__xludf.DUMMYFUNCTION("IFERROR(FILTER(Stats!$F:$Z,(Stats!$A:$A=$A1001)*(Stats!$B:$B=$B1001)))"),"#REF!")</f>
        <v>#REF!</v>
      </c>
      <c r="K1001" s="11"/>
      <c r="L1001" s="12"/>
      <c r="M1001" s="11"/>
      <c r="N1001" s="11"/>
      <c r="O1001" s="13"/>
      <c r="P1001" s="14"/>
      <c r="Q1001" s="13"/>
      <c r="R1001" s="13"/>
      <c r="S1001" s="15"/>
      <c r="T1001" s="16"/>
      <c r="U1001" s="16"/>
      <c r="V1001" s="16"/>
      <c r="W1001" s="16"/>
      <c r="X1001" s="16"/>
      <c r="Y1001" s="11"/>
      <c r="Z1001" s="11"/>
      <c r="AA1001" s="11"/>
      <c r="AB1001" s="11"/>
      <c r="AC1001" s="11"/>
      <c r="AD1001" s="11"/>
    </row>
    <row r="1002">
      <c r="A1002" s="10"/>
      <c r="B1002" s="10"/>
      <c r="C1002" s="10"/>
      <c r="D1002" s="10"/>
      <c r="E1002" s="10"/>
      <c r="F1002" s="11"/>
      <c r="G1002" s="11"/>
      <c r="H1002" s="11"/>
      <c r="I1002" s="11"/>
      <c r="J1002" s="11" t="str">
        <f>IFERROR(__xludf.DUMMYFUNCTION("IFERROR(FILTER(Stats!$F:$Z,(Stats!$A:$A=$A1002)*(Stats!$B:$B=$B1002)))"),"#REF!")</f>
        <v>#REF!</v>
      </c>
      <c r="K1002" s="11"/>
      <c r="L1002" s="12"/>
      <c r="M1002" s="11"/>
      <c r="N1002" s="11"/>
      <c r="O1002" s="13"/>
      <c r="P1002" s="14"/>
      <c r="Q1002" s="13"/>
      <c r="R1002" s="13"/>
      <c r="S1002" s="15"/>
      <c r="T1002" s="16"/>
      <c r="U1002" s="16"/>
      <c r="V1002" s="16"/>
      <c r="W1002" s="16"/>
      <c r="X1002" s="16"/>
      <c r="Y1002" s="11"/>
      <c r="Z1002" s="11"/>
      <c r="AA1002" s="11"/>
      <c r="AB1002" s="11"/>
      <c r="AC1002" s="11"/>
      <c r="AD1002" s="11"/>
    </row>
    <row r="1003">
      <c r="A1003" s="10"/>
      <c r="B1003" s="10"/>
      <c r="C1003" s="10"/>
      <c r="D1003" s="10"/>
      <c r="E1003" s="10"/>
      <c r="F1003" s="11"/>
      <c r="G1003" s="11"/>
      <c r="H1003" s="11"/>
      <c r="I1003" s="11"/>
      <c r="J1003" s="11" t="str">
        <f>IFERROR(__xludf.DUMMYFUNCTION("IFERROR(FILTER(Stats!$F:$Z,(Stats!$A:$A=$A1003)*(Stats!$B:$B=$B1003)))"),"#REF!")</f>
        <v>#REF!</v>
      </c>
      <c r="K1003" s="11"/>
      <c r="L1003" s="12"/>
      <c r="M1003" s="11"/>
      <c r="N1003" s="11"/>
      <c r="O1003" s="13"/>
      <c r="P1003" s="14"/>
      <c r="Q1003" s="13"/>
      <c r="R1003" s="13"/>
      <c r="S1003" s="15"/>
      <c r="T1003" s="16"/>
      <c r="U1003" s="16"/>
      <c r="V1003" s="16"/>
      <c r="W1003" s="16"/>
      <c r="X1003" s="16"/>
      <c r="Y1003" s="11"/>
      <c r="Z1003" s="11"/>
      <c r="AA1003" s="11"/>
      <c r="AB1003" s="11"/>
      <c r="AC1003" s="11"/>
      <c r="AD1003" s="11"/>
    </row>
    <row r="1004">
      <c r="A1004" s="10"/>
      <c r="B1004" s="10"/>
      <c r="C1004" s="10"/>
      <c r="D1004" s="10"/>
      <c r="E1004" s="10"/>
      <c r="F1004" s="11"/>
      <c r="G1004" s="11"/>
      <c r="H1004" s="11"/>
      <c r="I1004" s="11"/>
      <c r="J1004" s="11" t="str">
        <f>IFERROR(__xludf.DUMMYFUNCTION("IFERROR(FILTER(Stats!$F:$Z,(Stats!$A:$A=$A1004)*(Stats!$B:$B=$B1004)))"),"#REF!")</f>
        <v>#REF!</v>
      </c>
      <c r="K1004" s="11"/>
      <c r="L1004" s="12"/>
      <c r="M1004" s="11"/>
      <c r="N1004" s="11"/>
      <c r="O1004" s="13"/>
      <c r="P1004" s="14"/>
      <c r="Q1004" s="13"/>
      <c r="R1004" s="13"/>
      <c r="S1004" s="15"/>
      <c r="T1004" s="16"/>
      <c r="U1004" s="16"/>
      <c r="V1004" s="16"/>
      <c r="W1004" s="16"/>
      <c r="X1004" s="16"/>
      <c r="Y1004" s="11"/>
      <c r="Z1004" s="11"/>
      <c r="AA1004" s="11"/>
      <c r="AB1004" s="11"/>
      <c r="AC1004" s="11"/>
      <c r="AD1004" s="11"/>
    </row>
    <row r="1005">
      <c r="A1005" s="10"/>
      <c r="B1005" s="10"/>
      <c r="C1005" s="10"/>
      <c r="D1005" s="10"/>
      <c r="E1005" s="10"/>
      <c r="F1005" s="11"/>
      <c r="G1005" s="11"/>
      <c r="H1005" s="11"/>
      <c r="I1005" s="11"/>
      <c r="J1005" s="11" t="str">
        <f>IFERROR(__xludf.DUMMYFUNCTION("IFERROR(FILTER(Stats!$F:$Z,(Stats!$A:$A=$A1005)*(Stats!$B:$B=$B1005)))"),"#REF!")</f>
        <v>#REF!</v>
      </c>
      <c r="K1005" s="11"/>
      <c r="L1005" s="12"/>
      <c r="M1005" s="11"/>
      <c r="N1005" s="11"/>
      <c r="O1005" s="13"/>
      <c r="P1005" s="14"/>
      <c r="Q1005" s="13"/>
      <c r="R1005" s="13"/>
      <c r="S1005" s="15"/>
      <c r="T1005" s="16"/>
      <c r="U1005" s="16"/>
      <c r="V1005" s="16"/>
      <c r="W1005" s="16"/>
      <c r="X1005" s="16"/>
      <c r="Y1005" s="11"/>
      <c r="Z1005" s="11"/>
      <c r="AA1005" s="11"/>
      <c r="AB1005" s="11"/>
      <c r="AC1005" s="11"/>
      <c r="AD1005" s="11"/>
    </row>
    <row r="1006">
      <c r="A1006" s="10"/>
      <c r="B1006" s="10"/>
      <c r="C1006" s="10"/>
      <c r="D1006" s="10"/>
      <c r="E1006" s="10"/>
      <c r="F1006" s="11"/>
      <c r="G1006" s="11"/>
      <c r="H1006" s="11"/>
      <c r="I1006" s="11"/>
      <c r="J1006" s="11" t="str">
        <f>IFERROR(__xludf.DUMMYFUNCTION("IFERROR(FILTER(Stats!$F:$Z,(Stats!$A:$A=$A1006)*(Stats!$B:$B=$B1006)))"),"#REF!")</f>
        <v>#REF!</v>
      </c>
      <c r="K1006" s="11"/>
      <c r="L1006" s="12"/>
      <c r="M1006" s="11"/>
      <c r="N1006" s="11"/>
      <c r="O1006" s="13"/>
      <c r="P1006" s="14"/>
      <c r="Q1006" s="13"/>
      <c r="R1006" s="13"/>
      <c r="S1006" s="15"/>
      <c r="T1006" s="16"/>
      <c r="U1006" s="16"/>
      <c r="V1006" s="16"/>
      <c r="W1006" s="16"/>
      <c r="X1006" s="16"/>
      <c r="Y1006" s="11"/>
      <c r="Z1006" s="11"/>
      <c r="AA1006" s="11"/>
      <c r="AB1006" s="11"/>
      <c r="AC1006" s="11"/>
      <c r="AD1006" s="11"/>
    </row>
    <row r="1007">
      <c r="A1007" s="10"/>
      <c r="B1007" s="10"/>
      <c r="C1007" s="10"/>
      <c r="D1007" s="10"/>
      <c r="E1007" s="10"/>
      <c r="F1007" s="11"/>
      <c r="G1007" s="11"/>
      <c r="H1007" s="11"/>
      <c r="I1007" s="11"/>
      <c r="J1007" s="11" t="str">
        <f>IFERROR(__xludf.DUMMYFUNCTION("IFERROR(FILTER(Stats!$F:$Z,(Stats!$A:$A=$A1007)*(Stats!$B:$B=$B1007)))"),"#REF!")</f>
        <v>#REF!</v>
      </c>
      <c r="K1007" s="11"/>
      <c r="L1007" s="12"/>
      <c r="M1007" s="11"/>
      <c r="N1007" s="11"/>
      <c r="O1007" s="13"/>
      <c r="P1007" s="14"/>
      <c r="Q1007" s="13"/>
      <c r="R1007" s="13"/>
      <c r="S1007" s="15"/>
      <c r="T1007" s="16"/>
      <c r="U1007" s="16"/>
      <c r="V1007" s="16"/>
      <c r="W1007" s="16"/>
      <c r="X1007" s="16"/>
      <c r="Y1007" s="11"/>
      <c r="Z1007" s="11"/>
      <c r="AA1007" s="11"/>
      <c r="AB1007" s="11"/>
      <c r="AC1007" s="11"/>
      <c r="AD1007" s="11"/>
    </row>
    <row r="1008">
      <c r="A1008" s="10"/>
      <c r="B1008" s="10"/>
      <c r="C1008" s="10"/>
      <c r="D1008" s="10"/>
      <c r="E1008" s="10"/>
      <c r="F1008" s="11"/>
      <c r="G1008" s="11"/>
      <c r="H1008" s="11"/>
      <c r="I1008" s="11"/>
      <c r="J1008" s="11" t="str">
        <f>IFERROR(__xludf.DUMMYFUNCTION("IFERROR(FILTER(Stats!$F:$Z,(Stats!$A:$A=$A1008)*(Stats!$B:$B=$B1008)))"),"#REF!")</f>
        <v>#REF!</v>
      </c>
      <c r="K1008" s="11"/>
      <c r="L1008" s="12"/>
      <c r="M1008" s="11"/>
      <c r="N1008" s="11"/>
      <c r="O1008" s="13"/>
      <c r="P1008" s="14"/>
      <c r="Q1008" s="13"/>
      <c r="R1008" s="13"/>
      <c r="S1008" s="15"/>
      <c r="T1008" s="16"/>
      <c r="U1008" s="16"/>
      <c r="V1008" s="16"/>
      <c r="W1008" s="16"/>
      <c r="X1008" s="16"/>
      <c r="Y1008" s="11"/>
      <c r="Z1008" s="11"/>
      <c r="AA1008" s="11"/>
      <c r="AB1008" s="11"/>
      <c r="AC1008" s="11"/>
      <c r="AD1008" s="11"/>
    </row>
    <row r="1009">
      <c r="A1009" s="10"/>
      <c r="B1009" s="10"/>
      <c r="C1009" s="10"/>
      <c r="D1009" s="10"/>
      <c r="E1009" s="10"/>
      <c r="F1009" s="11"/>
      <c r="G1009" s="11"/>
      <c r="H1009" s="11"/>
      <c r="I1009" s="11"/>
      <c r="J1009" s="11" t="str">
        <f>IFERROR(__xludf.DUMMYFUNCTION("IFERROR(FILTER(Stats!$F:$Z,(Stats!$A:$A=$A1009)*(Stats!$B:$B=$B1009)))"),"#REF!")</f>
        <v>#REF!</v>
      </c>
      <c r="K1009" s="11"/>
      <c r="L1009" s="12"/>
      <c r="M1009" s="11"/>
      <c r="N1009" s="11"/>
      <c r="O1009" s="13"/>
      <c r="P1009" s="14"/>
      <c r="Q1009" s="13"/>
      <c r="R1009" s="13"/>
      <c r="S1009" s="15"/>
      <c r="T1009" s="16"/>
      <c r="U1009" s="16"/>
      <c r="V1009" s="16"/>
      <c r="W1009" s="16"/>
      <c r="X1009" s="16"/>
      <c r="Y1009" s="11"/>
      <c r="Z1009" s="11"/>
      <c r="AA1009" s="11"/>
      <c r="AB1009" s="11"/>
      <c r="AC1009" s="11"/>
      <c r="AD1009" s="11"/>
    </row>
    <row r="1010">
      <c r="A1010" s="10"/>
      <c r="B1010" s="10"/>
      <c r="C1010" s="10"/>
      <c r="D1010" s="10"/>
      <c r="E1010" s="10"/>
      <c r="F1010" s="11"/>
      <c r="G1010" s="11"/>
      <c r="H1010" s="11"/>
      <c r="I1010" s="11"/>
      <c r="J1010" s="11" t="str">
        <f>IFERROR(__xludf.DUMMYFUNCTION("IFERROR(FILTER(Stats!$F:$Z,(Stats!$A:$A=$A1010)*(Stats!$B:$B=$B1010)))"),"#REF!")</f>
        <v>#REF!</v>
      </c>
      <c r="K1010" s="11"/>
      <c r="L1010" s="12"/>
      <c r="M1010" s="11"/>
      <c r="N1010" s="11"/>
      <c r="O1010" s="13"/>
      <c r="P1010" s="14"/>
      <c r="Q1010" s="13"/>
      <c r="R1010" s="13"/>
      <c r="S1010" s="15"/>
      <c r="T1010" s="16"/>
      <c r="U1010" s="16"/>
      <c r="V1010" s="16"/>
      <c r="W1010" s="16"/>
      <c r="X1010" s="16"/>
      <c r="Y1010" s="11"/>
      <c r="Z1010" s="11"/>
      <c r="AA1010" s="11"/>
      <c r="AB1010" s="11"/>
      <c r="AC1010" s="11"/>
      <c r="AD1010" s="11"/>
    </row>
    <row r="1011">
      <c r="A1011" s="10"/>
      <c r="B1011" s="10"/>
      <c r="C1011" s="10"/>
      <c r="D1011" s="10"/>
      <c r="E1011" s="10"/>
      <c r="F1011" s="11"/>
      <c r="G1011" s="11"/>
      <c r="H1011" s="11"/>
      <c r="I1011" s="11"/>
      <c r="J1011" s="11" t="str">
        <f>IFERROR(__xludf.DUMMYFUNCTION("IFERROR(FILTER(Stats!$F:$Z,(Stats!$A:$A=$A1011)*(Stats!$B:$B=$B1011)))"),"#REF!")</f>
        <v>#REF!</v>
      </c>
      <c r="K1011" s="11"/>
      <c r="L1011" s="12"/>
      <c r="M1011" s="11"/>
      <c r="N1011" s="11"/>
      <c r="O1011" s="13"/>
      <c r="P1011" s="14"/>
      <c r="Q1011" s="13"/>
      <c r="R1011" s="13"/>
      <c r="S1011" s="15"/>
      <c r="T1011" s="16"/>
      <c r="U1011" s="16"/>
      <c r="V1011" s="16"/>
      <c r="W1011" s="16"/>
      <c r="X1011" s="16"/>
      <c r="Y1011" s="11"/>
      <c r="Z1011" s="11"/>
      <c r="AA1011" s="11"/>
      <c r="AB1011" s="11"/>
      <c r="AC1011" s="11"/>
      <c r="AD1011" s="11"/>
    </row>
    <row r="1012">
      <c r="A1012" s="10"/>
      <c r="B1012" s="10"/>
      <c r="C1012" s="10"/>
      <c r="D1012" s="10"/>
      <c r="E1012" s="10"/>
      <c r="F1012" s="11"/>
      <c r="G1012" s="11"/>
      <c r="H1012" s="11"/>
      <c r="I1012" s="11"/>
      <c r="J1012" s="11" t="str">
        <f>IFERROR(__xludf.DUMMYFUNCTION("IFERROR(FILTER(Stats!$F:$Z,(Stats!$A:$A=$A1012)*(Stats!$B:$B=$B1012)))"),"#REF!")</f>
        <v>#REF!</v>
      </c>
      <c r="K1012" s="11"/>
      <c r="L1012" s="12"/>
      <c r="M1012" s="11"/>
      <c r="N1012" s="11"/>
      <c r="O1012" s="13"/>
      <c r="P1012" s="14"/>
      <c r="Q1012" s="13"/>
      <c r="R1012" s="13"/>
      <c r="S1012" s="15"/>
      <c r="T1012" s="16"/>
      <c r="U1012" s="16"/>
      <c r="V1012" s="16"/>
      <c r="W1012" s="16"/>
      <c r="X1012" s="16"/>
      <c r="Y1012" s="11"/>
      <c r="Z1012" s="11"/>
      <c r="AA1012" s="11"/>
      <c r="AB1012" s="11"/>
      <c r="AC1012" s="11"/>
      <c r="AD1012" s="11"/>
    </row>
    <row r="1013">
      <c r="A1013" s="10"/>
      <c r="B1013" s="10"/>
      <c r="C1013" s="10"/>
      <c r="D1013" s="10"/>
      <c r="E1013" s="10"/>
      <c r="F1013" s="11"/>
      <c r="G1013" s="11"/>
      <c r="H1013" s="11"/>
      <c r="I1013" s="11"/>
      <c r="J1013" s="11" t="str">
        <f>IFERROR(__xludf.DUMMYFUNCTION("IFERROR(FILTER(Stats!$F:$Z,(Stats!$A:$A=$A1013)*(Stats!$B:$B=$B1013)))"),"#REF!")</f>
        <v>#REF!</v>
      </c>
      <c r="K1013" s="11"/>
      <c r="L1013" s="12"/>
      <c r="M1013" s="11"/>
      <c r="N1013" s="11"/>
      <c r="O1013" s="13"/>
      <c r="P1013" s="14"/>
      <c r="Q1013" s="13"/>
      <c r="R1013" s="13"/>
      <c r="S1013" s="15"/>
      <c r="T1013" s="16"/>
      <c r="U1013" s="16"/>
      <c r="V1013" s="16"/>
      <c r="W1013" s="16"/>
      <c r="X1013" s="16"/>
      <c r="Y1013" s="11"/>
      <c r="Z1013" s="11"/>
      <c r="AA1013" s="11"/>
      <c r="AB1013" s="11"/>
      <c r="AC1013" s="11"/>
      <c r="AD1013" s="11"/>
    </row>
    <row r="1014">
      <c r="A1014" s="10"/>
      <c r="B1014" s="10"/>
      <c r="C1014" s="10"/>
      <c r="D1014" s="10"/>
      <c r="E1014" s="10"/>
      <c r="F1014" s="11"/>
      <c r="G1014" s="11"/>
      <c r="H1014" s="11"/>
      <c r="I1014" s="11"/>
      <c r="J1014" s="11" t="str">
        <f>IFERROR(__xludf.DUMMYFUNCTION("IFERROR(FILTER(Stats!$F:$Z,(Stats!$A:$A=$A1014)*(Stats!$B:$B=$B1014)))"),"#REF!")</f>
        <v>#REF!</v>
      </c>
      <c r="K1014" s="11"/>
      <c r="L1014" s="12"/>
      <c r="M1014" s="11"/>
      <c r="N1014" s="11"/>
      <c r="O1014" s="13"/>
      <c r="P1014" s="14"/>
      <c r="Q1014" s="13"/>
      <c r="R1014" s="13"/>
      <c r="S1014" s="15"/>
      <c r="T1014" s="16"/>
      <c r="U1014" s="16"/>
      <c r="V1014" s="16"/>
      <c r="W1014" s="16"/>
      <c r="X1014" s="16"/>
      <c r="Y1014" s="11"/>
      <c r="Z1014" s="11"/>
      <c r="AA1014" s="11"/>
      <c r="AB1014" s="11"/>
      <c r="AC1014" s="11"/>
      <c r="AD1014" s="11"/>
    </row>
    <row r="1015">
      <c r="A1015" s="10"/>
      <c r="B1015" s="10"/>
      <c r="C1015" s="10"/>
      <c r="D1015" s="10"/>
      <c r="E1015" s="10"/>
      <c r="F1015" s="11"/>
      <c r="G1015" s="11"/>
      <c r="H1015" s="11"/>
      <c r="I1015" s="11"/>
      <c r="J1015" s="11" t="str">
        <f>IFERROR(__xludf.DUMMYFUNCTION("IFERROR(FILTER(Stats!$F:$Z,(Stats!$A:$A=$A1015)*(Stats!$B:$B=$B1015)))"),"#REF!")</f>
        <v>#REF!</v>
      </c>
      <c r="K1015" s="11"/>
      <c r="L1015" s="12"/>
      <c r="M1015" s="11"/>
      <c r="N1015" s="11"/>
      <c r="O1015" s="13"/>
      <c r="P1015" s="14"/>
      <c r="Q1015" s="13"/>
      <c r="R1015" s="13"/>
      <c r="S1015" s="15"/>
      <c r="T1015" s="16"/>
      <c r="U1015" s="16"/>
      <c r="V1015" s="16"/>
      <c r="W1015" s="16"/>
      <c r="X1015" s="16"/>
      <c r="Y1015" s="11"/>
      <c r="Z1015" s="11"/>
      <c r="AA1015" s="11"/>
      <c r="AB1015" s="11"/>
      <c r="AC1015" s="11"/>
      <c r="AD1015" s="11"/>
    </row>
    <row r="1016">
      <c r="A1016" s="10"/>
      <c r="B1016" s="10"/>
      <c r="C1016" s="10"/>
      <c r="D1016" s="10"/>
      <c r="E1016" s="10"/>
      <c r="F1016" s="11"/>
      <c r="G1016" s="11"/>
      <c r="H1016" s="11"/>
      <c r="I1016" s="11"/>
      <c r="J1016" s="11" t="str">
        <f>IFERROR(__xludf.DUMMYFUNCTION("IFERROR(FILTER(Stats!$F:$Z,(Stats!$A:$A=$A1016)*(Stats!$B:$B=$B1016)))"),"#REF!")</f>
        <v>#REF!</v>
      </c>
      <c r="K1016" s="11"/>
      <c r="L1016" s="12"/>
      <c r="M1016" s="11"/>
      <c r="N1016" s="11"/>
      <c r="O1016" s="13"/>
      <c r="P1016" s="14"/>
      <c r="Q1016" s="13"/>
      <c r="R1016" s="13"/>
      <c r="S1016" s="15"/>
      <c r="T1016" s="16"/>
      <c r="U1016" s="16"/>
      <c r="V1016" s="16"/>
      <c r="W1016" s="16"/>
      <c r="X1016" s="16"/>
      <c r="Y1016" s="11"/>
      <c r="Z1016" s="11"/>
      <c r="AA1016" s="11"/>
      <c r="AB1016" s="11"/>
      <c r="AC1016" s="11"/>
      <c r="AD1016" s="11"/>
    </row>
    <row r="1017">
      <c r="A1017" s="10"/>
      <c r="B1017" s="10"/>
      <c r="C1017" s="10"/>
      <c r="D1017" s="10"/>
      <c r="E1017" s="10"/>
      <c r="F1017" s="11"/>
      <c r="G1017" s="11"/>
      <c r="H1017" s="11"/>
      <c r="I1017" s="11"/>
      <c r="J1017" s="11" t="str">
        <f>IFERROR(__xludf.DUMMYFUNCTION("IFERROR(FILTER(Stats!$F:$Z,(Stats!$A:$A=$A1017)*(Stats!$B:$B=$B1017)))"),"#REF!")</f>
        <v>#REF!</v>
      </c>
      <c r="K1017" s="11"/>
      <c r="L1017" s="12"/>
      <c r="M1017" s="11"/>
      <c r="N1017" s="11"/>
      <c r="O1017" s="13"/>
      <c r="P1017" s="14"/>
      <c r="Q1017" s="13"/>
      <c r="R1017" s="13"/>
      <c r="S1017" s="15"/>
      <c r="T1017" s="16"/>
      <c r="U1017" s="16"/>
      <c r="V1017" s="16"/>
      <c r="W1017" s="16"/>
      <c r="X1017" s="16"/>
      <c r="Y1017" s="11"/>
      <c r="Z1017" s="11"/>
      <c r="AA1017" s="11"/>
      <c r="AB1017" s="11"/>
      <c r="AC1017" s="11"/>
      <c r="AD1017" s="11"/>
    </row>
    <row r="1018">
      <c r="A1018" s="10"/>
      <c r="B1018" s="10"/>
      <c r="C1018" s="10"/>
      <c r="D1018" s="10"/>
      <c r="E1018" s="10"/>
      <c r="F1018" s="11"/>
      <c r="G1018" s="11"/>
      <c r="H1018" s="11"/>
      <c r="I1018" s="11"/>
      <c r="J1018" s="11" t="str">
        <f>IFERROR(__xludf.DUMMYFUNCTION("IFERROR(FILTER(Stats!$F:$Z,(Stats!$A:$A=$A1018)*(Stats!$B:$B=$B1018)))"),"#REF!")</f>
        <v>#REF!</v>
      </c>
      <c r="K1018" s="11"/>
      <c r="L1018" s="12"/>
      <c r="M1018" s="11"/>
      <c r="N1018" s="11"/>
      <c r="O1018" s="13"/>
      <c r="P1018" s="14"/>
      <c r="Q1018" s="13"/>
      <c r="R1018" s="13"/>
      <c r="S1018" s="15"/>
      <c r="T1018" s="16"/>
      <c r="U1018" s="16"/>
      <c r="V1018" s="16"/>
      <c r="W1018" s="16"/>
      <c r="X1018" s="16"/>
      <c r="Y1018" s="11"/>
      <c r="Z1018" s="11"/>
      <c r="AA1018" s="11"/>
      <c r="AB1018" s="11"/>
      <c r="AC1018" s="11"/>
      <c r="AD1018" s="11"/>
    </row>
    <row r="1019">
      <c r="A1019" s="10"/>
      <c r="B1019" s="10"/>
      <c r="C1019" s="10"/>
      <c r="D1019" s="10"/>
      <c r="E1019" s="10"/>
      <c r="F1019" s="11"/>
      <c r="G1019" s="11"/>
      <c r="H1019" s="11"/>
      <c r="I1019" s="11"/>
      <c r="J1019" s="11" t="str">
        <f>IFERROR(__xludf.DUMMYFUNCTION("IFERROR(FILTER(Stats!$F:$Z,(Stats!$A:$A=$A1019)*(Stats!$B:$B=$B1019)))"),"#REF!")</f>
        <v>#REF!</v>
      </c>
      <c r="K1019" s="11"/>
      <c r="L1019" s="12"/>
      <c r="M1019" s="11"/>
      <c r="N1019" s="11"/>
      <c r="O1019" s="13"/>
      <c r="P1019" s="14"/>
      <c r="Q1019" s="13"/>
      <c r="R1019" s="13"/>
      <c r="S1019" s="15"/>
      <c r="T1019" s="16"/>
      <c r="U1019" s="16"/>
      <c r="V1019" s="16"/>
      <c r="W1019" s="16"/>
      <c r="X1019" s="16"/>
      <c r="Y1019" s="11"/>
      <c r="Z1019" s="11"/>
      <c r="AA1019" s="11"/>
      <c r="AB1019" s="11"/>
      <c r="AC1019" s="11"/>
      <c r="AD1019" s="11"/>
    </row>
    <row r="1020">
      <c r="A1020" s="10"/>
      <c r="B1020" s="10"/>
      <c r="C1020" s="10"/>
      <c r="D1020" s="10"/>
      <c r="E1020" s="10"/>
      <c r="F1020" s="11"/>
      <c r="G1020" s="11"/>
      <c r="H1020" s="11"/>
      <c r="I1020" s="11"/>
      <c r="J1020" s="11" t="str">
        <f>IFERROR(__xludf.DUMMYFUNCTION("IFERROR(FILTER(Stats!$F:$Z,(Stats!$A:$A=$A1020)*(Stats!$B:$B=$B1020)))"),"#REF!")</f>
        <v>#REF!</v>
      </c>
      <c r="K1020" s="11"/>
      <c r="L1020" s="12"/>
      <c r="M1020" s="11"/>
      <c r="N1020" s="11"/>
      <c r="O1020" s="13"/>
      <c r="P1020" s="14"/>
      <c r="Q1020" s="13"/>
      <c r="R1020" s="13"/>
      <c r="S1020" s="15"/>
      <c r="T1020" s="16"/>
      <c r="U1020" s="16"/>
      <c r="V1020" s="16"/>
      <c r="W1020" s="16"/>
      <c r="X1020" s="16"/>
      <c r="Y1020" s="11"/>
      <c r="Z1020" s="11"/>
      <c r="AA1020" s="11"/>
      <c r="AB1020" s="11"/>
      <c r="AC1020" s="11"/>
      <c r="AD1020" s="11"/>
    </row>
    <row r="1021">
      <c r="A1021" s="10"/>
      <c r="B1021" s="10"/>
      <c r="C1021" s="10"/>
      <c r="D1021" s="10"/>
      <c r="E1021" s="10"/>
      <c r="F1021" s="11"/>
      <c r="G1021" s="11"/>
      <c r="H1021" s="11"/>
      <c r="I1021" s="11"/>
      <c r="J1021" s="11" t="str">
        <f>IFERROR(__xludf.DUMMYFUNCTION("IFERROR(FILTER(Stats!$F:$Z,(Stats!$A:$A=$A1021)*(Stats!$B:$B=$B1021)))"),"#REF!")</f>
        <v>#REF!</v>
      </c>
      <c r="K1021" s="11"/>
      <c r="L1021" s="12"/>
      <c r="M1021" s="11"/>
      <c r="N1021" s="11"/>
      <c r="O1021" s="13"/>
      <c r="P1021" s="14"/>
      <c r="Q1021" s="13"/>
      <c r="R1021" s="13"/>
      <c r="S1021" s="15"/>
      <c r="T1021" s="16"/>
      <c r="U1021" s="16"/>
      <c r="V1021" s="16"/>
      <c r="W1021" s="16"/>
      <c r="X1021" s="16"/>
      <c r="Y1021" s="11"/>
      <c r="Z1021" s="11"/>
      <c r="AA1021" s="11"/>
      <c r="AB1021" s="11"/>
      <c r="AC1021" s="11"/>
      <c r="AD1021" s="11"/>
    </row>
    <row r="1022">
      <c r="A1022" s="10"/>
      <c r="B1022" s="10"/>
      <c r="C1022" s="10"/>
      <c r="D1022" s="10"/>
      <c r="E1022" s="10"/>
      <c r="F1022" s="11"/>
      <c r="G1022" s="11"/>
      <c r="H1022" s="11"/>
      <c r="I1022" s="11"/>
      <c r="J1022" s="11" t="str">
        <f>IFERROR(__xludf.DUMMYFUNCTION("IFERROR(FILTER(Stats!$F:$Z,(Stats!$A:$A=$A1022)*(Stats!$B:$B=$B1022)))"),"#REF!")</f>
        <v>#REF!</v>
      </c>
      <c r="K1022" s="11"/>
      <c r="L1022" s="12"/>
      <c r="M1022" s="11"/>
      <c r="N1022" s="11"/>
      <c r="O1022" s="13"/>
      <c r="P1022" s="14"/>
      <c r="Q1022" s="13"/>
      <c r="R1022" s="13"/>
      <c r="S1022" s="15"/>
      <c r="T1022" s="16"/>
      <c r="U1022" s="16"/>
      <c r="V1022" s="16"/>
      <c r="W1022" s="16"/>
      <c r="X1022" s="16"/>
      <c r="Y1022" s="11"/>
      <c r="Z1022" s="11"/>
      <c r="AA1022" s="11"/>
      <c r="AB1022" s="11"/>
      <c r="AC1022" s="11"/>
      <c r="AD1022" s="11"/>
    </row>
    <row r="1023">
      <c r="A1023" s="10"/>
      <c r="B1023" s="10"/>
      <c r="C1023" s="10"/>
      <c r="D1023" s="10"/>
      <c r="E1023" s="10"/>
      <c r="F1023" s="11"/>
      <c r="G1023" s="11"/>
      <c r="H1023" s="11"/>
      <c r="I1023" s="11"/>
      <c r="J1023" s="11" t="str">
        <f>IFERROR(__xludf.DUMMYFUNCTION("IFERROR(FILTER(Stats!$F:$Z,(Stats!$A:$A=$A1023)*(Stats!$B:$B=$B1023)))"),"#REF!")</f>
        <v>#REF!</v>
      </c>
      <c r="K1023" s="11"/>
      <c r="L1023" s="12"/>
      <c r="M1023" s="11"/>
      <c r="N1023" s="11"/>
      <c r="O1023" s="13"/>
      <c r="P1023" s="14"/>
      <c r="Q1023" s="13"/>
      <c r="R1023" s="13"/>
      <c r="S1023" s="15"/>
      <c r="T1023" s="16"/>
      <c r="U1023" s="16"/>
      <c r="V1023" s="16"/>
      <c r="W1023" s="16"/>
      <c r="X1023" s="16"/>
      <c r="Y1023" s="11"/>
      <c r="Z1023" s="11"/>
      <c r="AA1023" s="11"/>
      <c r="AB1023" s="11"/>
      <c r="AC1023" s="11"/>
      <c r="AD1023" s="11"/>
    </row>
    <row r="1024">
      <c r="A1024" s="10"/>
      <c r="B1024" s="10"/>
      <c r="C1024" s="10"/>
      <c r="D1024" s="10"/>
      <c r="E1024" s="10"/>
      <c r="F1024" s="11"/>
      <c r="G1024" s="11"/>
      <c r="H1024" s="11"/>
      <c r="I1024" s="11"/>
      <c r="J1024" s="11" t="str">
        <f>IFERROR(__xludf.DUMMYFUNCTION("IFERROR(FILTER(Stats!$F:$Z,(Stats!$A:$A=$A1024)*(Stats!$B:$B=$B1024)))"),"#REF!")</f>
        <v>#REF!</v>
      </c>
      <c r="K1024" s="11"/>
      <c r="L1024" s="12"/>
      <c r="M1024" s="11"/>
      <c r="N1024" s="11"/>
      <c r="O1024" s="13"/>
      <c r="P1024" s="14"/>
      <c r="Q1024" s="13"/>
      <c r="R1024" s="13"/>
      <c r="S1024" s="15"/>
      <c r="T1024" s="16"/>
      <c r="U1024" s="16"/>
      <c r="V1024" s="16"/>
      <c r="W1024" s="16"/>
      <c r="X1024" s="16"/>
      <c r="Y1024" s="11"/>
      <c r="Z1024" s="11"/>
      <c r="AA1024" s="11"/>
      <c r="AB1024" s="11"/>
      <c r="AC1024" s="11"/>
      <c r="AD1024" s="11"/>
    </row>
    <row r="1025">
      <c r="A1025" s="10"/>
      <c r="B1025" s="10"/>
      <c r="C1025" s="10"/>
      <c r="D1025" s="10"/>
      <c r="E1025" s="10"/>
      <c r="F1025" s="11"/>
      <c r="G1025" s="11"/>
      <c r="H1025" s="11"/>
      <c r="I1025" s="11"/>
      <c r="J1025" s="11" t="str">
        <f>IFERROR(__xludf.DUMMYFUNCTION("IFERROR(FILTER(Stats!$F:$Z,(Stats!$A:$A=$A1025)*(Stats!$B:$B=$B1025)))"),"#REF!")</f>
        <v>#REF!</v>
      </c>
      <c r="K1025" s="11"/>
      <c r="L1025" s="12"/>
      <c r="M1025" s="11"/>
      <c r="N1025" s="11"/>
      <c r="O1025" s="13"/>
      <c r="P1025" s="14"/>
      <c r="Q1025" s="13"/>
      <c r="R1025" s="13"/>
      <c r="S1025" s="15"/>
      <c r="T1025" s="16"/>
      <c r="U1025" s="16"/>
      <c r="V1025" s="16"/>
      <c r="W1025" s="16"/>
      <c r="X1025" s="16"/>
      <c r="Y1025" s="11"/>
      <c r="Z1025" s="11"/>
      <c r="AA1025" s="11"/>
      <c r="AB1025" s="11"/>
      <c r="AC1025" s="11"/>
      <c r="AD1025" s="11"/>
    </row>
    <row r="1026">
      <c r="A1026" s="10"/>
      <c r="B1026" s="10"/>
      <c r="C1026" s="10"/>
      <c r="D1026" s="10"/>
      <c r="E1026" s="10"/>
      <c r="F1026" s="11"/>
      <c r="G1026" s="11"/>
      <c r="H1026" s="11"/>
      <c r="I1026" s="11"/>
      <c r="J1026" s="11" t="str">
        <f>IFERROR(__xludf.DUMMYFUNCTION("IFERROR(FILTER(Stats!$F:$Z,(Stats!$A:$A=$A1026)*(Stats!$B:$B=$B1026)))"),"#REF!")</f>
        <v>#REF!</v>
      </c>
      <c r="K1026" s="11"/>
      <c r="L1026" s="12"/>
      <c r="M1026" s="11"/>
      <c r="N1026" s="11"/>
      <c r="O1026" s="13"/>
      <c r="P1026" s="14"/>
      <c r="Q1026" s="13"/>
      <c r="R1026" s="13"/>
      <c r="S1026" s="15"/>
      <c r="T1026" s="16"/>
      <c r="U1026" s="16"/>
      <c r="V1026" s="16"/>
      <c r="W1026" s="16"/>
      <c r="X1026" s="16"/>
      <c r="Y1026" s="11"/>
      <c r="Z1026" s="11"/>
      <c r="AA1026" s="11"/>
      <c r="AB1026" s="11"/>
      <c r="AC1026" s="11"/>
      <c r="AD1026" s="11"/>
    </row>
    <row r="1027">
      <c r="A1027" s="10"/>
      <c r="B1027" s="10"/>
      <c r="C1027" s="10"/>
      <c r="D1027" s="10"/>
      <c r="E1027" s="10"/>
      <c r="F1027" s="11"/>
      <c r="G1027" s="11"/>
      <c r="H1027" s="11"/>
      <c r="I1027" s="11"/>
      <c r="J1027" s="11" t="str">
        <f>IFERROR(__xludf.DUMMYFUNCTION("IFERROR(FILTER(Stats!$F:$Z,(Stats!$A:$A=$A1027)*(Stats!$B:$B=$B1027)))"),"#REF!")</f>
        <v>#REF!</v>
      </c>
      <c r="K1027" s="11"/>
      <c r="L1027" s="12"/>
      <c r="M1027" s="11"/>
      <c r="N1027" s="11"/>
      <c r="O1027" s="13"/>
      <c r="P1027" s="14"/>
      <c r="Q1027" s="13"/>
      <c r="R1027" s="13"/>
      <c r="S1027" s="15"/>
      <c r="T1027" s="16"/>
      <c r="U1027" s="16"/>
      <c r="V1027" s="16"/>
      <c r="W1027" s="16"/>
      <c r="X1027" s="16"/>
      <c r="Y1027" s="11"/>
      <c r="Z1027" s="11"/>
      <c r="AA1027" s="11"/>
      <c r="AB1027" s="11"/>
      <c r="AC1027" s="11"/>
      <c r="AD1027" s="11"/>
    </row>
    <row r="1028">
      <c r="A1028" s="10"/>
      <c r="B1028" s="10"/>
      <c r="C1028" s="10"/>
      <c r="D1028" s="10"/>
      <c r="E1028" s="10"/>
      <c r="F1028" s="11"/>
      <c r="G1028" s="11"/>
      <c r="H1028" s="11"/>
      <c r="I1028" s="11"/>
      <c r="J1028" s="11" t="str">
        <f>IFERROR(__xludf.DUMMYFUNCTION("IFERROR(FILTER(Stats!$F:$Z,(Stats!$A:$A=$A1028)*(Stats!$B:$B=$B1028)))"),"#REF!")</f>
        <v>#REF!</v>
      </c>
      <c r="K1028" s="11"/>
      <c r="L1028" s="12"/>
      <c r="M1028" s="11"/>
      <c r="N1028" s="11"/>
      <c r="O1028" s="13"/>
      <c r="P1028" s="14"/>
      <c r="Q1028" s="13"/>
      <c r="R1028" s="13"/>
      <c r="S1028" s="15"/>
      <c r="T1028" s="16"/>
      <c r="U1028" s="16"/>
      <c r="V1028" s="16"/>
      <c r="W1028" s="16"/>
      <c r="X1028" s="16"/>
      <c r="Y1028" s="11"/>
      <c r="Z1028" s="11"/>
      <c r="AA1028" s="11"/>
      <c r="AB1028" s="11"/>
      <c r="AC1028" s="11"/>
      <c r="AD1028" s="11"/>
    </row>
    <row r="1029">
      <c r="A1029" s="10"/>
      <c r="B1029" s="10"/>
      <c r="C1029" s="10"/>
      <c r="D1029" s="10"/>
      <c r="E1029" s="10"/>
      <c r="F1029" s="11"/>
      <c r="G1029" s="11"/>
      <c r="H1029" s="11"/>
      <c r="I1029" s="11"/>
      <c r="J1029" s="11" t="str">
        <f>IFERROR(__xludf.DUMMYFUNCTION("IFERROR(FILTER(Stats!$F:$Z,(Stats!$A:$A=$A1029)*(Stats!$B:$B=$B1029)))"),"#REF!")</f>
        <v>#REF!</v>
      </c>
      <c r="K1029" s="11"/>
      <c r="L1029" s="12"/>
      <c r="M1029" s="11"/>
      <c r="N1029" s="11"/>
      <c r="O1029" s="13"/>
      <c r="P1029" s="14"/>
      <c r="Q1029" s="13"/>
      <c r="R1029" s="13"/>
      <c r="S1029" s="15"/>
      <c r="T1029" s="16"/>
      <c r="U1029" s="16"/>
      <c r="V1029" s="16"/>
      <c r="W1029" s="16"/>
      <c r="X1029" s="16"/>
      <c r="Y1029" s="11"/>
      <c r="Z1029" s="11"/>
      <c r="AA1029" s="11"/>
      <c r="AB1029" s="11"/>
      <c r="AC1029" s="11"/>
      <c r="AD1029" s="11"/>
    </row>
    <row r="1030">
      <c r="A1030" s="10"/>
      <c r="B1030" s="10"/>
      <c r="C1030" s="10"/>
      <c r="D1030" s="10"/>
      <c r="E1030" s="10"/>
      <c r="F1030" s="11"/>
      <c r="G1030" s="11"/>
      <c r="H1030" s="11"/>
      <c r="I1030" s="11"/>
      <c r="J1030" s="11" t="str">
        <f>IFERROR(__xludf.DUMMYFUNCTION("IFERROR(FILTER(Stats!$F:$Z,(Stats!$A:$A=$A1030)*(Stats!$B:$B=$B1030)))"),"#REF!")</f>
        <v>#REF!</v>
      </c>
      <c r="K1030" s="11"/>
      <c r="L1030" s="12"/>
      <c r="M1030" s="11"/>
      <c r="N1030" s="11"/>
      <c r="O1030" s="13"/>
      <c r="P1030" s="14"/>
      <c r="Q1030" s="13"/>
      <c r="R1030" s="13"/>
      <c r="S1030" s="15"/>
      <c r="T1030" s="16"/>
      <c r="U1030" s="16"/>
      <c r="V1030" s="16"/>
      <c r="W1030" s="16"/>
      <c r="X1030" s="16"/>
      <c r="Y1030" s="11"/>
      <c r="Z1030" s="11"/>
      <c r="AA1030" s="11"/>
      <c r="AB1030" s="11"/>
      <c r="AC1030" s="11"/>
      <c r="AD1030" s="11"/>
    </row>
    <row r="1031">
      <c r="A1031" s="10"/>
      <c r="B1031" s="10"/>
      <c r="C1031" s="10"/>
      <c r="D1031" s="10"/>
      <c r="E1031" s="10"/>
      <c r="F1031" s="11"/>
      <c r="G1031" s="11"/>
      <c r="H1031" s="11"/>
      <c r="I1031" s="11"/>
      <c r="J1031" s="11" t="str">
        <f>IFERROR(__xludf.DUMMYFUNCTION("IFERROR(FILTER(Stats!$F:$Z,(Stats!$A:$A=$A1031)*(Stats!$B:$B=$B1031)))"),"#REF!")</f>
        <v>#REF!</v>
      </c>
      <c r="K1031" s="11"/>
      <c r="L1031" s="12"/>
      <c r="M1031" s="11"/>
      <c r="N1031" s="11"/>
      <c r="O1031" s="13"/>
      <c r="P1031" s="14"/>
      <c r="Q1031" s="13"/>
      <c r="R1031" s="13"/>
      <c r="S1031" s="15"/>
      <c r="T1031" s="16"/>
      <c r="U1031" s="16"/>
      <c r="V1031" s="16"/>
      <c r="W1031" s="16"/>
      <c r="X1031" s="16"/>
      <c r="Y1031" s="11"/>
      <c r="Z1031" s="11"/>
      <c r="AA1031" s="11"/>
      <c r="AB1031" s="11"/>
      <c r="AC1031" s="11"/>
      <c r="AD1031" s="11"/>
    </row>
    <row r="1032">
      <c r="A1032" s="10"/>
      <c r="B1032" s="10"/>
      <c r="C1032" s="10"/>
      <c r="D1032" s="10"/>
      <c r="E1032" s="10"/>
      <c r="F1032" s="11"/>
      <c r="G1032" s="11"/>
      <c r="H1032" s="11"/>
      <c r="I1032" s="11"/>
      <c r="J1032" s="11" t="str">
        <f>IFERROR(__xludf.DUMMYFUNCTION("IFERROR(FILTER(Stats!$F:$Z,(Stats!$A:$A=$A1032)*(Stats!$B:$B=$B1032)))"),"#REF!")</f>
        <v>#REF!</v>
      </c>
      <c r="K1032" s="11"/>
      <c r="L1032" s="12"/>
      <c r="M1032" s="11"/>
      <c r="N1032" s="11"/>
      <c r="O1032" s="13"/>
      <c r="P1032" s="14"/>
      <c r="Q1032" s="13"/>
      <c r="R1032" s="13"/>
      <c r="S1032" s="15"/>
      <c r="T1032" s="16"/>
      <c r="U1032" s="16"/>
      <c r="V1032" s="16"/>
      <c r="W1032" s="16"/>
      <c r="X1032" s="16"/>
      <c r="Y1032" s="11"/>
      <c r="Z1032" s="11"/>
      <c r="AA1032" s="11"/>
      <c r="AB1032" s="11"/>
      <c r="AC1032" s="11"/>
      <c r="AD1032" s="11"/>
    </row>
    <row r="1033">
      <c r="A1033" s="10"/>
      <c r="B1033" s="10"/>
      <c r="C1033" s="10"/>
      <c r="D1033" s="10"/>
      <c r="E1033" s="10"/>
      <c r="F1033" s="11"/>
      <c r="G1033" s="11"/>
      <c r="H1033" s="11"/>
      <c r="I1033" s="11"/>
      <c r="J1033" s="11" t="str">
        <f>IFERROR(__xludf.DUMMYFUNCTION("IFERROR(FILTER(Stats!$F:$Z,(Stats!$A:$A=$A1033)*(Stats!$B:$B=$B1033)))"),"#REF!")</f>
        <v>#REF!</v>
      </c>
      <c r="K1033" s="11"/>
      <c r="L1033" s="12"/>
      <c r="M1033" s="11"/>
      <c r="N1033" s="11"/>
      <c r="O1033" s="13"/>
      <c r="P1033" s="14"/>
      <c r="Q1033" s="13"/>
      <c r="R1033" s="13"/>
      <c r="S1033" s="15"/>
      <c r="T1033" s="16"/>
      <c r="U1033" s="16"/>
      <c r="V1033" s="16"/>
      <c r="W1033" s="16"/>
      <c r="X1033" s="16"/>
      <c r="Y1033" s="11"/>
      <c r="Z1033" s="11"/>
      <c r="AA1033" s="11"/>
      <c r="AB1033" s="11"/>
      <c r="AC1033" s="11"/>
      <c r="AD1033" s="11"/>
    </row>
    <row r="1034">
      <c r="A1034" s="10"/>
      <c r="B1034" s="10"/>
      <c r="C1034" s="10"/>
      <c r="D1034" s="10"/>
      <c r="E1034" s="10"/>
      <c r="F1034" s="11"/>
      <c r="G1034" s="11"/>
      <c r="H1034" s="11"/>
      <c r="I1034" s="11"/>
      <c r="J1034" s="11" t="str">
        <f>IFERROR(__xludf.DUMMYFUNCTION("IFERROR(FILTER(Stats!$F:$Z,(Stats!$A:$A=$A1034)*(Stats!$B:$B=$B1034)))"),"#REF!")</f>
        <v>#REF!</v>
      </c>
      <c r="K1034" s="11"/>
      <c r="L1034" s="12"/>
      <c r="M1034" s="11"/>
      <c r="N1034" s="11"/>
      <c r="O1034" s="13"/>
      <c r="P1034" s="14"/>
      <c r="Q1034" s="13"/>
      <c r="R1034" s="13"/>
      <c r="S1034" s="15"/>
      <c r="T1034" s="16"/>
      <c r="U1034" s="16"/>
      <c r="V1034" s="16"/>
      <c r="W1034" s="16"/>
      <c r="X1034" s="16"/>
      <c r="Y1034" s="11"/>
      <c r="Z1034" s="11"/>
      <c r="AA1034" s="11"/>
      <c r="AB1034" s="11"/>
      <c r="AC1034" s="11"/>
      <c r="AD1034" s="11"/>
    </row>
    <row r="1035">
      <c r="A1035" s="10"/>
      <c r="B1035" s="10"/>
      <c r="C1035" s="10"/>
      <c r="D1035" s="10"/>
      <c r="E1035" s="10"/>
      <c r="F1035" s="11"/>
      <c r="G1035" s="11"/>
      <c r="H1035" s="11"/>
      <c r="I1035" s="11"/>
      <c r="J1035" s="11" t="str">
        <f>IFERROR(__xludf.DUMMYFUNCTION("IFERROR(FILTER(Stats!$F:$Z,(Stats!$A:$A=$A1035)*(Stats!$B:$B=$B1035)))"),"#REF!")</f>
        <v>#REF!</v>
      </c>
      <c r="K1035" s="11"/>
      <c r="L1035" s="12"/>
      <c r="M1035" s="11"/>
      <c r="N1035" s="11"/>
      <c r="O1035" s="13"/>
      <c r="P1035" s="14"/>
      <c r="Q1035" s="13"/>
      <c r="R1035" s="13"/>
      <c r="S1035" s="15"/>
      <c r="T1035" s="16"/>
      <c r="U1035" s="16"/>
      <c r="V1035" s="16"/>
      <c r="W1035" s="16"/>
      <c r="X1035" s="16"/>
      <c r="Y1035" s="11"/>
      <c r="Z1035" s="11"/>
      <c r="AA1035" s="11"/>
      <c r="AB1035" s="11"/>
      <c r="AC1035" s="11"/>
      <c r="AD1035" s="11"/>
    </row>
    <row r="1036">
      <c r="A1036" s="10"/>
      <c r="B1036" s="10"/>
      <c r="C1036" s="10"/>
      <c r="D1036" s="10"/>
      <c r="E1036" s="10"/>
      <c r="F1036" s="11"/>
      <c r="G1036" s="11"/>
      <c r="H1036" s="11"/>
      <c r="I1036" s="11"/>
      <c r="J1036" s="11" t="str">
        <f>IFERROR(__xludf.DUMMYFUNCTION("IFERROR(FILTER(Stats!$F:$Z,(Stats!$A:$A=$A1036)*(Stats!$B:$B=$B1036)))"),"#REF!")</f>
        <v>#REF!</v>
      </c>
      <c r="K1036" s="11"/>
      <c r="L1036" s="12"/>
      <c r="M1036" s="11"/>
      <c r="N1036" s="11"/>
      <c r="O1036" s="13"/>
      <c r="P1036" s="14"/>
      <c r="Q1036" s="13"/>
      <c r="R1036" s="13"/>
      <c r="S1036" s="15"/>
      <c r="T1036" s="16"/>
      <c r="U1036" s="16"/>
      <c r="V1036" s="16"/>
      <c r="W1036" s="16"/>
      <c r="X1036" s="16"/>
      <c r="Y1036" s="11"/>
      <c r="Z1036" s="11"/>
      <c r="AA1036" s="11"/>
      <c r="AB1036" s="11"/>
      <c r="AC1036" s="11"/>
      <c r="AD1036" s="11"/>
    </row>
    <row r="1037">
      <c r="A1037" s="10"/>
      <c r="B1037" s="10"/>
      <c r="C1037" s="10"/>
      <c r="D1037" s="10"/>
      <c r="E1037" s="10"/>
      <c r="F1037" s="11"/>
      <c r="G1037" s="11"/>
      <c r="H1037" s="11"/>
      <c r="I1037" s="11"/>
      <c r="J1037" s="11" t="str">
        <f>IFERROR(__xludf.DUMMYFUNCTION("IFERROR(FILTER(Stats!$F:$Z,(Stats!$A:$A=$A1037)*(Stats!$B:$B=$B1037)))"),"#REF!")</f>
        <v>#REF!</v>
      </c>
      <c r="K1037" s="11"/>
      <c r="L1037" s="12"/>
      <c r="M1037" s="11"/>
      <c r="N1037" s="11"/>
      <c r="O1037" s="13"/>
      <c r="P1037" s="14"/>
      <c r="Q1037" s="13"/>
      <c r="R1037" s="13"/>
      <c r="S1037" s="15"/>
      <c r="T1037" s="16"/>
      <c r="U1037" s="16"/>
      <c r="V1037" s="16"/>
      <c r="W1037" s="16"/>
      <c r="X1037" s="16"/>
      <c r="Y1037" s="11"/>
      <c r="Z1037" s="11"/>
      <c r="AA1037" s="11"/>
      <c r="AB1037" s="11"/>
      <c r="AC1037" s="11"/>
      <c r="AD1037" s="11"/>
    </row>
    <row r="1038">
      <c r="A1038" s="10"/>
      <c r="B1038" s="10"/>
      <c r="C1038" s="10"/>
      <c r="D1038" s="10"/>
      <c r="E1038" s="10"/>
      <c r="F1038" s="11"/>
      <c r="G1038" s="11"/>
      <c r="H1038" s="11"/>
      <c r="I1038" s="11"/>
      <c r="J1038" s="11" t="str">
        <f>IFERROR(__xludf.DUMMYFUNCTION("IFERROR(FILTER(Stats!$F:$Z,(Stats!$A:$A=$A1038)*(Stats!$B:$B=$B1038)))"),"#REF!")</f>
        <v>#REF!</v>
      </c>
      <c r="K1038" s="11"/>
      <c r="L1038" s="12"/>
      <c r="M1038" s="11"/>
      <c r="N1038" s="11"/>
      <c r="O1038" s="13"/>
      <c r="P1038" s="14"/>
      <c r="Q1038" s="13"/>
      <c r="R1038" s="13"/>
      <c r="S1038" s="15"/>
      <c r="T1038" s="16"/>
      <c r="U1038" s="16"/>
      <c r="V1038" s="16"/>
      <c r="W1038" s="16"/>
      <c r="X1038" s="16"/>
      <c r="Y1038" s="11"/>
      <c r="Z1038" s="11"/>
      <c r="AA1038" s="11"/>
      <c r="AB1038" s="11"/>
      <c r="AC1038" s="11"/>
      <c r="AD1038" s="11"/>
    </row>
    <row r="1039">
      <c r="A1039" s="10"/>
      <c r="B1039" s="10"/>
      <c r="C1039" s="10"/>
      <c r="D1039" s="10"/>
      <c r="E1039" s="10"/>
      <c r="F1039" s="11"/>
      <c r="G1039" s="11"/>
      <c r="H1039" s="11"/>
      <c r="I1039" s="11"/>
      <c r="J1039" s="11" t="str">
        <f>IFERROR(__xludf.DUMMYFUNCTION("IFERROR(FILTER(Stats!$F:$Z,(Stats!$A:$A=$A1039)*(Stats!$B:$B=$B1039)))"),"#REF!")</f>
        <v>#REF!</v>
      </c>
      <c r="K1039" s="11"/>
      <c r="L1039" s="12"/>
      <c r="M1039" s="11"/>
      <c r="N1039" s="11"/>
      <c r="O1039" s="13"/>
      <c r="P1039" s="14"/>
      <c r="Q1039" s="13"/>
      <c r="R1039" s="13"/>
      <c r="S1039" s="15"/>
      <c r="T1039" s="16"/>
      <c r="U1039" s="16"/>
      <c r="V1039" s="16"/>
      <c r="W1039" s="16"/>
      <c r="X1039" s="16"/>
      <c r="Y1039" s="11"/>
      <c r="Z1039" s="11"/>
      <c r="AA1039" s="11"/>
      <c r="AB1039" s="11"/>
      <c r="AC1039" s="11"/>
      <c r="AD1039" s="11"/>
    </row>
    <row r="1040">
      <c r="A1040" s="10"/>
      <c r="B1040" s="10"/>
      <c r="C1040" s="10"/>
      <c r="D1040" s="10"/>
      <c r="E1040" s="10"/>
      <c r="F1040" s="11"/>
      <c r="G1040" s="11"/>
      <c r="H1040" s="11"/>
      <c r="I1040" s="11"/>
      <c r="J1040" s="11" t="str">
        <f>IFERROR(__xludf.DUMMYFUNCTION("IFERROR(FILTER(Stats!$F:$Z,(Stats!$A:$A=$A1040)*(Stats!$B:$B=$B1040)))"),"#REF!")</f>
        <v>#REF!</v>
      </c>
      <c r="K1040" s="11"/>
      <c r="L1040" s="12"/>
      <c r="M1040" s="11"/>
      <c r="N1040" s="11"/>
      <c r="O1040" s="13"/>
      <c r="P1040" s="14"/>
      <c r="Q1040" s="13"/>
      <c r="R1040" s="13"/>
      <c r="S1040" s="15"/>
      <c r="T1040" s="16"/>
      <c r="U1040" s="16"/>
      <c r="V1040" s="16"/>
      <c r="W1040" s="16"/>
      <c r="X1040" s="16"/>
      <c r="Y1040" s="11"/>
      <c r="Z1040" s="11"/>
      <c r="AA1040" s="11"/>
      <c r="AB1040" s="11"/>
      <c r="AC1040" s="11"/>
      <c r="AD1040" s="11"/>
    </row>
    <row r="1041">
      <c r="A1041" s="10"/>
      <c r="B1041" s="10"/>
      <c r="C1041" s="10"/>
      <c r="D1041" s="10"/>
      <c r="E1041" s="10"/>
      <c r="F1041" s="11"/>
      <c r="G1041" s="11"/>
      <c r="H1041" s="11"/>
      <c r="I1041" s="11"/>
      <c r="J1041" s="11" t="str">
        <f>IFERROR(__xludf.DUMMYFUNCTION("IFERROR(FILTER(Stats!$F:$Z,(Stats!$A:$A=$A1041)*(Stats!$B:$B=$B1041)))"),"#REF!")</f>
        <v>#REF!</v>
      </c>
      <c r="K1041" s="11"/>
      <c r="L1041" s="12"/>
      <c r="M1041" s="11"/>
      <c r="N1041" s="11"/>
      <c r="O1041" s="13"/>
      <c r="P1041" s="14"/>
      <c r="Q1041" s="13"/>
      <c r="R1041" s="13"/>
      <c r="S1041" s="15"/>
      <c r="T1041" s="16"/>
      <c r="U1041" s="16"/>
      <c r="V1041" s="16"/>
      <c r="W1041" s="16"/>
      <c r="X1041" s="16"/>
      <c r="Y1041" s="11"/>
      <c r="Z1041" s="11"/>
      <c r="AA1041" s="11"/>
      <c r="AB1041" s="11"/>
      <c r="AC1041" s="11"/>
      <c r="AD1041" s="11"/>
    </row>
    <row r="1042">
      <c r="A1042" s="10"/>
      <c r="B1042" s="10"/>
      <c r="C1042" s="10"/>
      <c r="D1042" s="10"/>
      <c r="E1042" s="10"/>
      <c r="F1042" s="11"/>
      <c r="G1042" s="11"/>
      <c r="H1042" s="11"/>
      <c r="I1042" s="11"/>
      <c r="J1042" s="11" t="str">
        <f>IFERROR(__xludf.DUMMYFUNCTION("IFERROR(FILTER(Stats!$F:$Z,(Stats!$A:$A=$A1042)*(Stats!$B:$B=$B1042)))"),"#REF!")</f>
        <v>#REF!</v>
      </c>
      <c r="K1042" s="11"/>
      <c r="L1042" s="12"/>
      <c r="M1042" s="11"/>
      <c r="N1042" s="11"/>
      <c r="O1042" s="13"/>
      <c r="P1042" s="14"/>
      <c r="Q1042" s="13"/>
      <c r="R1042" s="13"/>
      <c r="S1042" s="15"/>
      <c r="T1042" s="16"/>
      <c r="U1042" s="16"/>
      <c r="V1042" s="16"/>
      <c r="W1042" s="16"/>
      <c r="X1042" s="16"/>
      <c r="Y1042" s="11"/>
      <c r="Z1042" s="11"/>
      <c r="AA1042" s="11"/>
      <c r="AB1042" s="11"/>
      <c r="AC1042" s="11"/>
      <c r="AD1042" s="11"/>
    </row>
    <row r="1043">
      <c r="A1043" s="10"/>
      <c r="B1043" s="10"/>
      <c r="C1043" s="10"/>
      <c r="D1043" s="10"/>
      <c r="E1043" s="10"/>
      <c r="F1043" s="11"/>
      <c r="G1043" s="11"/>
      <c r="H1043" s="11"/>
      <c r="I1043" s="11"/>
      <c r="J1043" s="11" t="str">
        <f>IFERROR(__xludf.DUMMYFUNCTION("IFERROR(FILTER(Stats!$F:$Z,(Stats!$A:$A=$A1043)*(Stats!$B:$B=$B1043)))"),"#REF!")</f>
        <v>#REF!</v>
      </c>
      <c r="K1043" s="11"/>
      <c r="L1043" s="12"/>
      <c r="M1043" s="11"/>
      <c r="N1043" s="11"/>
      <c r="O1043" s="13"/>
      <c r="P1043" s="14"/>
      <c r="Q1043" s="13"/>
      <c r="R1043" s="13"/>
      <c r="S1043" s="15"/>
      <c r="T1043" s="16"/>
      <c r="U1043" s="16"/>
      <c r="V1043" s="16"/>
      <c r="W1043" s="16"/>
      <c r="X1043" s="16"/>
      <c r="Y1043" s="11"/>
      <c r="Z1043" s="11"/>
      <c r="AA1043" s="11"/>
      <c r="AB1043" s="11"/>
      <c r="AC1043" s="11"/>
      <c r="AD1043" s="11"/>
    </row>
    <row r="1044">
      <c r="A1044" s="10"/>
      <c r="B1044" s="10"/>
      <c r="C1044" s="10"/>
      <c r="D1044" s="10"/>
      <c r="E1044" s="10"/>
      <c r="F1044" s="11"/>
      <c r="G1044" s="11"/>
      <c r="H1044" s="11"/>
      <c r="I1044" s="11"/>
      <c r="J1044" s="11" t="str">
        <f>IFERROR(__xludf.DUMMYFUNCTION("IFERROR(FILTER(Stats!$F:$Z,(Stats!$A:$A=$A1044)*(Stats!$B:$B=$B1044)))"),"#REF!")</f>
        <v>#REF!</v>
      </c>
      <c r="K1044" s="11"/>
      <c r="L1044" s="12"/>
      <c r="M1044" s="11"/>
      <c r="N1044" s="11"/>
      <c r="O1044" s="13"/>
      <c r="P1044" s="14"/>
      <c r="Q1044" s="13"/>
      <c r="R1044" s="13"/>
      <c r="S1044" s="15"/>
      <c r="T1044" s="16"/>
      <c r="U1044" s="16"/>
      <c r="V1044" s="16"/>
      <c r="W1044" s="16"/>
      <c r="X1044" s="16"/>
      <c r="Y1044" s="11"/>
      <c r="Z1044" s="11"/>
      <c r="AA1044" s="11"/>
      <c r="AB1044" s="11"/>
      <c r="AC1044" s="11"/>
      <c r="AD1044" s="11"/>
    </row>
    <row r="1045">
      <c r="A1045" s="10"/>
      <c r="B1045" s="10"/>
      <c r="C1045" s="10"/>
      <c r="D1045" s="10"/>
      <c r="E1045" s="10"/>
      <c r="F1045" s="11"/>
      <c r="G1045" s="11"/>
      <c r="H1045" s="11"/>
      <c r="I1045" s="11"/>
      <c r="J1045" s="11" t="str">
        <f>IFERROR(__xludf.DUMMYFUNCTION("IFERROR(FILTER(Stats!$F:$Z,(Stats!$A:$A=$A1045)*(Stats!$B:$B=$B1045)))"),"#REF!")</f>
        <v>#REF!</v>
      </c>
      <c r="K1045" s="11"/>
      <c r="L1045" s="12"/>
      <c r="M1045" s="11"/>
      <c r="N1045" s="11"/>
      <c r="O1045" s="13"/>
      <c r="P1045" s="14"/>
      <c r="Q1045" s="13"/>
      <c r="R1045" s="13"/>
      <c r="S1045" s="15"/>
      <c r="T1045" s="16"/>
      <c r="U1045" s="16"/>
      <c r="V1045" s="16"/>
      <c r="W1045" s="16"/>
      <c r="X1045" s="16"/>
      <c r="Y1045" s="11"/>
      <c r="Z1045" s="11"/>
      <c r="AA1045" s="11"/>
      <c r="AB1045" s="11"/>
      <c r="AC1045" s="11"/>
      <c r="AD1045" s="11"/>
    </row>
    <row r="1046">
      <c r="A1046" s="10"/>
      <c r="B1046" s="10"/>
      <c r="C1046" s="10"/>
      <c r="D1046" s="10"/>
      <c r="E1046" s="10"/>
      <c r="F1046" s="11"/>
      <c r="G1046" s="11"/>
      <c r="H1046" s="11"/>
      <c r="I1046" s="11"/>
      <c r="J1046" s="11" t="str">
        <f>IFERROR(__xludf.DUMMYFUNCTION("IFERROR(FILTER(Stats!$F:$Z,(Stats!$A:$A=$A1046)*(Stats!$B:$B=$B1046)))"),"#REF!")</f>
        <v>#REF!</v>
      </c>
      <c r="K1046" s="11"/>
      <c r="L1046" s="12"/>
      <c r="M1046" s="11"/>
      <c r="N1046" s="11"/>
      <c r="O1046" s="13"/>
      <c r="P1046" s="14"/>
      <c r="Q1046" s="13"/>
      <c r="R1046" s="13"/>
      <c r="S1046" s="15"/>
      <c r="T1046" s="16"/>
      <c r="U1046" s="16"/>
      <c r="V1046" s="16"/>
      <c r="W1046" s="16"/>
      <c r="X1046" s="16"/>
      <c r="Y1046" s="11"/>
      <c r="Z1046" s="11"/>
      <c r="AA1046" s="11"/>
      <c r="AB1046" s="11"/>
      <c r="AC1046" s="11"/>
      <c r="AD1046" s="11"/>
    </row>
    <row r="1047">
      <c r="A1047" s="10"/>
      <c r="B1047" s="10"/>
      <c r="C1047" s="10"/>
      <c r="D1047" s="10"/>
      <c r="E1047" s="10"/>
      <c r="F1047" s="11"/>
      <c r="G1047" s="11"/>
      <c r="H1047" s="11"/>
      <c r="I1047" s="11"/>
      <c r="J1047" s="11" t="str">
        <f>IFERROR(__xludf.DUMMYFUNCTION("IFERROR(FILTER(Stats!$F:$Z,(Stats!$A:$A=$A1047)*(Stats!$B:$B=$B1047)))"),"#REF!")</f>
        <v>#REF!</v>
      </c>
      <c r="K1047" s="11"/>
      <c r="L1047" s="12"/>
      <c r="M1047" s="11"/>
      <c r="N1047" s="11"/>
      <c r="O1047" s="13"/>
      <c r="P1047" s="14"/>
      <c r="Q1047" s="13"/>
      <c r="R1047" s="13"/>
      <c r="S1047" s="15"/>
      <c r="T1047" s="16"/>
      <c r="U1047" s="16"/>
      <c r="V1047" s="16"/>
      <c r="W1047" s="16"/>
      <c r="X1047" s="16"/>
      <c r="Y1047" s="11"/>
      <c r="Z1047" s="11"/>
      <c r="AA1047" s="11"/>
      <c r="AB1047" s="11"/>
      <c r="AC1047" s="11"/>
      <c r="AD1047" s="11"/>
    </row>
    <row r="1048">
      <c r="A1048" s="10"/>
      <c r="B1048" s="10"/>
      <c r="C1048" s="10"/>
      <c r="D1048" s="10"/>
      <c r="E1048" s="10"/>
      <c r="F1048" s="11"/>
      <c r="G1048" s="11"/>
      <c r="H1048" s="11"/>
      <c r="I1048" s="11"/>
      <c r="J1048" s="11" t="str">
        <f>IFERROR(__xludf.DUMMYFUNCTION("IFERROR(FILTER(Stats!$F:$Z,(Stats!$A:$A=$A1048)*(Stats!$B:$B=$B1048)))"),"#REF!")</f>
        <v>#REF!</v>
      </c>
      <c r="K1048" s="11"/>
      <c r="L1048" s="12"/>
      <c r="M1048" s="11"/>
      <c r="N1048" s="11"/>
      <c r="O1048" s="13"/>
      <c r="P1048" s="14"/>
      <c r="Q1048" s="13"/>
      <c r="R1048" s="13"/>
      <c r="S1048" s="15"/>
      <c r="T1048" s="16"/>
      <c r="U1048" s="16"/>
      <c r="V1048" s="16"/>
      <c r="W1048" s="16"/>
      <c r="X1048" s="16"/>
      <c r="Y1048" s="11"/>
      <c r="Z1048" s="11"/>
      <c r="AA1048" s="11"/>
      <c r="AB1048" s="11"/>
      <c r="AC1048" s="11"/>
      <c r="AD1048" s="11"/>
    </row>
    <row r="1049">
      <c r="A1049" s="10"/>
      <c r="B1049" s="10"/>
      <c r="C1049" s="10"/>
      <c r="D1049" s="10"/>
      <c r="E1049" s="10"/>
      <c r="F1049" s="11"/>
      <c r="G1049" s="11"/>
      <c r="H1049" s="11"/>
      <c r="I1049" s="11"/>
      <c r="J1049" s="11" t="str">
        <f>IFERROR(__xludf.DUMMYFUNCTION("IFERROR(FILTER(Stats!$F:$Z,(Stats!$A:$A=$A1049)*(Stats!$B:$B=$B1049)))"),"#REF!")</f>
        <v>#REF!</v>
      </c>
      <c r="K1049" s="11"/>
      <c r="L1049" s="12"/>
      <c r="M1049" s="11"/>
      <c r="N1049" s="11"/>
      <c r="O1049" s="13"/>
      <c r="P1049" s="14"/>
      <c r="Q1049" s="13"/>
      <c r="R1049" s="13"/>
      <c r="S1049" s="15"/>
      <c r="T1049" s="16"/>
      <c r="U1049" s="16"/>
      <c r="V1049" s="16"/>
      <c r="W1049" s="16"/>
      <c r="X1049" s="16"/>
      <c r="Y1049" s="11"/>
      <c r="Z1049" s="11"/>
      <c r="AA1049" s="11"/>
      <c r="AB1049" s="11"/>
      <c r="AC1049" s="11"/>
      <c r="AD1049" s="11"/>
    </row>
    <row r="1050">
      <c r="A1050" s="10"/>
      <c r="B1050" s="10"/>
      <c r="C1050" s="10"/>
      <c r="D1050" s="10"/>
      <c r="E1050" s="10"/>
      <c r="F1050" s="11"/>
      <c r="G1050" s="11"/>
      <c r="H1050" s="11"/>
      <c r="I1050" s="11"/>
      <c r="J1050" s="11" t="str">
        <f>IFERROR(__xludf.DUMMYFUNCTION("IFERROR(FILTER(Stats!$F:$Z,(Stats!$A:$A=$A1050)*(Stats!$B:$B=$B1050)))"),"#REF!")</f>
        <v>#REF!</v>
      </c>
      <c r="K1050" s="11"/>
      <c r="L1050" s="12"/>
      <c r="M1050" s="11"/>
      <c r="N1050" s="11"/>
      <c r="O1050" s="13"/>
      <c r="P1050" s="14"/>
      <c r="Q1050" s="13"/>
      <c r="R1050" s="13"/>
      <c r="S1050" s="15"/>
      <c r="T1050" s="16"/>
      <c r="U1050" s="16"/>
      <c r="V1050" s="16"/>
      <c r="W1050" s="16"/>
      <c r="X1050" s="16"/>
      <c r="Y1050" s="11"/>
      <c r="Z1050" s="11"/>
      <c r="AA1050" s="11"/>
      <c r="AB1050" s="11"/>
      <c r="AC1050" s="11"/>
      <c r="AD1050" s="11"/>
    </row>
    <row r="1051">
      <c r="A1051" s="10"/>
      <c r="B1051" s="10"/>
      <c r="C1051" s="10"/>
      <c r="D1051" s="10"/>
      <c r="E1051" s="10"/>
      <c r="F1051" s="11"/>
      <c r="G1051" s="11"/>
      <c r="H1051" s="11"/>
      <c r="I1051" s="11"/>
      <c r="J1051" s="11" t="str">
        <f>IFERROR(__xludf.DUMMYFUNCTION("IFERROR(FILTER(Stats!$F:$Z,(Stats!$A:$A=$A1051)*(Stats!$B:$B=$B1051)))"),"#REF!")</f>
        <v>#REF!</v>
      </c>
      <c r="K1051" s="11"/>
      <c r="L1051" s="12"/>
      <c r="M1051" s="11"/>
      <c r="N1051" s="11"/>
      <c r="O1051" s="13"/>
      <c r="P1051" s="14"/>
      <c r="Q1051" s="13"/>
      <c r="R1051" s="13"/>
      <c r="S1051" s="15"/>
      <c r="T1051" s="16"/>
      <c r="U1051" s="16"/>
      <c r="V1051" s="16"/>
      <c r="W1051" s="16"/>
      <c r="X1051" s="16"/>
      <c r="Y1051" s="11"/>
      <c r="Z1051" s="11"/>
      <c r="AA1051" s="11"/>
      <c r="AB1051" s="11"/>
      <c r="AC1051" s="11"/>
      <c r="AD1051" s="11"/>
    </row>
    <row r="1052">
      <c r="A1052" s="10"/>
      <c r="B1052" s="10"/>
      <c r="C1052" s="10"/>
      <c r="D1052" s="10"/>
      <c r="E1052" s="10"/>
      <c r="F1052" s="11"/>
      <c r="G1052" s="11"/>
      <c r="H1052" s="11"/>
      <c r="I1052" s="11"/>
      <c r="J1052" s="11" t="str">
        <f>IFERROR(__xludf.DUMMYFUNCTION("IFERROR(FILTER(Stats!$F:$Z,(Stats!$A:$A=$A1052)*(Stats!$B:$B=$B1052)))"),"#REF!")</f>
        <v>#REF!</v>
      </c>
      <c r="K1052" s="11"/>
      <c r="L1052" s="12"/>
      <c r="M1052" s="11"/>
      <c r="N1052" s="11"/>
      <c r="O1052" s="13"/>
      <c r="P1052" s="14"/>
      <c r="Q1052" s="13"/>
      <c r="R1052" s="13"/>
      <c r="S1052" s="15"/>
      <c r="T1052" s="16"/>
      <c r="U1052" s="16"/>
      <c r="V1052" s="16"/>
      <c r="W1052" s="16"/>
      <c r="X1052" s="16"/>
      <c r="Y1052" s="11"/>
      <c r="Z1052" s="11"/>
      <c r="AA1052" s="11"/>
      <c r="AB1052" s="11"/>
      <c r="AC1052" s="11"/>
      <c r="AD1052" s="11"/>
    </row>
    <row r="1053">
      <c r="A1053" s="10"/>
      <c r="B1053" s="10"/>
      <c r="C1053" s="10"/>
      <c r="D1053" s="10"/>
      <c r="E1053" s="10"/>
      <c r="F1053" s="11"/>
      <c r="G1053" s="11"/>
      <c r="H1053" s="11"/>
      <c r="I1053" s="11"/>
      <c r="J1053" s="11" t="str">
        <f>IFERROR(__xludf.DUMMYFUNCTION("IFERROR(FILTER(Stats!$F:$Z,(Stats!$A:$A=$A1053)*(Stats!$B:$B=$B1053)))"),"#REF!")</f>
        <v>#REF!</v>
      </c>
      <c r="K1053" s="11"/>
      <c r="L1053" s="12"/>
      <c r="M1053" s="11"/>
      <c r="N1053" s="11"/>
      <c r="O1053" s="13"/>
      <c r="P1053" s="14"/>
      <c r="Q1053" s="13"/>
      <c r="R1053" s="13"/>
      <c r="S1053" s="15"/>
      <c r="T1053" s="16"/>
      <c r="U1053" s="16"/>
      <c r="V1053" s="16"/>
      <c r="W1053" s="16"/>
      <c r="X1053" s="16"/>
      <c r="Y1053" s="11"/>
      <c r="Z1053" s="11"/>
      <c r="AA1053" s="11"/>
      <c r="AB1053" s="11"/>
      <c r="AC1053" s="11"/>
      <c r="AD1053" s="11"/>
    </row>
    <row r="1054">
      <c r="A1054" s="10"/>
      <c r="B1054" s="10"/>
      <c r="C1054" s="10"/>
      <c r="D1054" s="10"/>
      <c r="E1054" s="10"/>
      <c r="F1054" s="11"/>
      <c r="G1054" s="11"/>
      <c r="H1054" s="11"/>
      <c r="I1054" s="11"/>
      <c r="J1054" s="11" t="str">
        <f>IFERROR(__xludf.DUMMYFUNCTION("IFERROR(FILTER(Stats!$F:$Z,(Stats!$A:$A=$A1054)*(Stats!$B:$B=$B1054)))"),"#REF!")</f>
        <v>#REF!</v>
      </c>
      <c r="K1054" s="11"/>
      <c r="L1054" s="12"/>
      <c r="M1054" s="11"/>
      <c r="N1054" s="11"/>
      <c r="O1054" s="13"/>
      <c r="P1054" s="14"/>
      <c r="Q1054" s="13"/>
      <c r="R1054" s="13"/>
      <c r="S1054" s="15"/>
      <c r="T1054" s="16"/>
      <c r="U1054" s="16"/>
      <c r="V1054" s="16"/>
      <c r="W1054" s="16"/>
      <c r="X1054" s="16"/>
      <c r="Y1054" s="11"/>
      <c r="Z1054" s="11"/>
      <c r="AA1054" s="11"/>
      <c r="AB1054" s="11"/>
      <c r="AC1054" s="11"/>
      <c r="AD1054" s="11"/>
    </row>
    <row r="1055">
      <c r="A1055" s="10"/>
      <c r="B1055" s="10"/>
      <c r="C1055" s="10"/>
      <c r="D1055" s="10"/>
      <c r="E1055" s="10"/>
      <c r="F1055" s="11"/>
      <c r="G1055" s="11"/>
      <c r="H1055" s="11"/>
      <c r="I1055" s="11"/>
      <c r="J1055" s="11" t="str">
        <f>IFERROR(__xludf.DUMMYFUNCTION("IFERROR(FILTER(Stats!$F:$Z,(Stats!$A:$A=$A1055)*(Stats!$B:$B=$B1055)))"),"#REF!")</f>
        <v>#REF!</v>
      </c>
      <c r="K1055" s="11"/>
      <c r="L1055" s="12"/>
      <c r="M1055" s="11"/>
      <c r="N1055" s="11"/>
      <c r="O1055" s="13"/>
      <c r="P1055" s="14"/>
      <c r="Q1055" s="13"/>
      <c r="R1055" s="13"/>
      <c r="S1055" s="15"/>
      <c r="T1055" s="16"/>
      <c r="U1055" s="16"/>
      <c r="V1055" s="16"/>
      <c r="W1055" s="16"/>
      <c r="X1055" s="16"/>
      <c r="Y1055" s="11"/>
      <c r="Z1055" s="11"/>
      <c r="AA1055" s="11"/>
      <c r="AB1055" s="11"/>
      <c r="AC1055" s="11"/>
      <c r="AD1055" s="11"/>
    </row>
    <row r="1056">
      <c r="A1056" s="10"/>
      <c r="B1056" s="10"/>
      <c r="C1056" s="10"/>
      <c r="D1056" s="10"/>
      <c r="E1056" s="10"/>
      <c r="F1056" s="11"/>
      <c r="G1056" s="11"/>
      <c r="H1056" s="11"/>
      <c r="I1056" s="11"/>
      <c r="J1056" s="11" t="str">
        <f>IFERROR(__xludf.DUMMYFUNCTION("IFERROR(FILTER(Stats!$F:$Z,(Stats!$A:$A=$A1056)*(Stats!$B:$B=$B1056)))"),"#REF!")</f>
        <v>#REF!</v>
      </c>
      <c r="K1056" s="11"/>
      <c r="L1056" s="12"/>
      <c r="M1056" s="11"/>
      <c r="N1056" s="11"/>
      <c r="O1056" s="13"/>
      <c r="P1056" s="14"/>
      <c r="Q1056" s="13"/>
      <c r="R1056" s="13"/>
      <c r="S1056" s="15"/>
      <c r="T1056" s="16"/>
      <c r="U1056" s="16"/>
      <c r="V1056" s="16"/>
      <c r="W1056" s="16"/>
      <c r="X1056" s="16"/>
      <c r="Y1056" s="11"/>
      <c r="Z1056" s="11"/>
      <c r="AA1056" s="11"/>
      <c r="AB1056" s="11"/>
      <c r="AC1056" s="11"/>
      <c r="AD1056" s="11"/>
    </row>
    <row r="1057">
      <c r="A1057" s="10"/>
      <c r="B1057" s="10"/>
      <c r="C1057" s="10"/>
      <c r="D1057" s="10"/>
      <c r="E1057" s="10"/>
      <c r="F1057" s="11"/>
      <c r="G1057" s="11"/>
      <c r="H1057" s="11"/>
      <c r="I1057" s="11"/>
      <c r="J1057" s="11" t="str">
        <f>IFERROR(__xludf.DUMMYFUNCTION("IFERROR(FILTER(Stats!$F:$Z,(Stats!$A:$A=$A1057)*(Stats!$B:$B=$B1057)))"),"#REF!")</f>
        <v>#REF!</v>
      </c>
      <c r="K1057" s="11"/>
      <c r="L1057" s="12"/>
      <c r="M1057" s="11"/>
      <c r="N1057" s="11"/>
      <c r="O1057" s="13"/>
      <c r="P1057" s="14"/>
      <c r="Q1057" s="13"/>
      <c r="R1057" s="13"/>
      <c r="S1057" s="15"/>
      <c r="T1057" s="16"/>
      <c r="U1057" s="16"/>
      <c r="V1057" s="16"/>
      <c r="W1057" s="16"/>
      <c r="X1057" s="16"/>
      <c r="Y1057" s="11"/>
      <c r="Z1057" s="11"/>
      <c r="AA1057" s="11"/>
      <c r="AB1057" s="11"/>
      <c r="AC1057" s="11"/>
      <c r="AD1057" s="11"/>
    </row>
    <row r="1058">
      <c r="A1058" s="10"/>
      <c r="B1058" s="10"/>
      <c r="C1058" s="10"/>
      <c r="D1058" s="10"/>
      <c r="E1058" s="10"/>
      <c r="F1058" s="11"/>
      <c r="G1058" s="11"/>
      <c r="H1058" s="11"/>
      <c r="I1058" s="11"/>
      <c r="J1058" s="11" t="str">
        <f>IFERROR(__xludf.DUMMYFUNCTION("IFERROR(FILTER(Stats!$F:$Z,(Stats!$A:$A=$A1058)*(Stats!$B:$B=$B1058)))"),"#REF!")</f>
        <v>#REF!</v>
      </c>
      <c r="K1058" s="11"/>
      <c r="L1058" s="12"/>
      <c r="M1058" s="11"/>
      <c r="N1058" s="11"/>
      <c r="O1058" s="13"/>
      <c r="P1058" s="14"/>
      <c r="Q1058" s="13"/>
      <c r="R1058" s="13"/>
      <c r="S1058" s="15"/>
      <c r="T1058" s="16"/>
      <c r="U1058" s="16"/>
      <c r="V1058" s="16"/>
      <c r="W1058" s="16"/>
      <c r="X1058" s="16"/>
      <c r="Y1058" s="11"/>
      <c r="Z1058" s="11"/>
      <c r="AA1058" s="11"/>
      <c r="AB1058" s="11"/>
      <c r="AC1058" s="11"/>
      <c r="AD1058" s="11"/>
    </row>
    <row r="1059">
      <c r="A1059" s="10"/>
      <c r="B1059" s="10"/>
      <c r="C1059" s="10"/>
      <c r="D1059" s="10"/>
      <c r="E1059" s="10"/>
      <c r="F1059" s="11"/>
      <c r="G1059" s="11"/>
      <c r="H1059" s="11"/>
      <c r="I1059" s="11"/>
      <c r="J1059" s="11" t="str">
        <f>IFERROR(__xludf.DUMMYFUNCTION("IFERROR(FILTER(Stats!$F:$Z,(Stats!$A:$A=$A1059)*(Stats!$B:$B=$B1059)))"),"#REF!")</f>
        <v>#REF!</v>
      </c>
      <c r="K1059" s="11"/>
      <c r="L1059" s="12"/>
      <c r="M1059" s="11"/>
      <c r="N1059" s="11"/>
      <c r="O1059" s="13"/>
      <c r="P1059" s="14"/>
      <c r="Q1059" s="13"/>
      <c r="R1059" s="13"/>
      <c r="S1059" s="15"/>
      <c r="T1059" s="16"/>
      <c r="U1059" s="16"/>
      <c r="V1059" s="16"/>
      <c r="W1059" s="16"/>
      <c r="X1059" s="16"/>
      <c r="Y1059" s="11"/>
      <c r="Z1059" s="11"/>
      <c r="AA1059" s="11"/>
      <c r="AB1059" s="11"/>
      <c r="AC1059" s="11"/>
      <c r="AD1059" s="11"/>
    </row>
    <row r="1060">
      <c r="A1060" s="10"/>
      <c r="B1060" s="10"/>
      <c r="C1060" s="10"/>
      <c r="D1060" s="10"/>
      <c r="E1060" s="10"/>
      <c r="F1060" s="11"/>
      <c r="G1060" s="11"/>
      <c r="H1060" s="11"/>
      <c r="I1060" s="11"/>
      <c r="J1060" s="11" t="str">
        <f>IFERROR(__xludf.DUMMYFUNCTION("IFERROR(FILTER(Stats!$F:$Z,(Stats!$A:$A=$A1060)*(Stats!$B:$B=$B1060)))"),"#REF!")</f>
        <v>#REF!</v>
      </c>
      <c r="K1060" s="11"/>
      <c r="L1060" s="12"/>
      <c r="M1060" s="11"/>
      <c r="N1060" s="11"/>
      <c r="O1060" s="13"/>
      <c r="P1060" s="14"/>
      <c r="Q1060" s="13"/>
      <c r="R1060" s="13"/>
      <c r="S1060" s="15"/>
      <c r="T1060" s="16"/>
      <c r="U1060" s="16"/>
      <c r="V1060" s="16"/>
      <c r="W1060" s="16"/>
      <c r="X1060" s="16"/>
      <c r="Y1060" s="11"/>
      <c r="Z1060" s="11"/>
      <c r="AA1060" s="11"/>
      <c r="AB1060" s="11"/>
      <c r="AC1060" s="11"/>
      <c r="AD1060" s="11"/>
    </row>
    <row r="1061">
      <c r="A1061" s="10"/>
      <c r="B1061" s="10"/>
      <c r="C1061" s="10"/>
      <c r="D1061" s="10"/>
      <c r="E1061" s="10"/>
      <c r="F1061" s="11"/>
      <c r="G1061" s="11"/>
      <c r="H1061" s="11"/>
      <c r="I1061" s="11"/>
      <c r="J1061" s="11" t="str">
        <f>IFERROR(__xludf.DUMMYFUNCTION("IFERROR(FILTER(Stats!$F:$Z,(Stats!$A:$A=$A1061)*(Stats!$B:$B=$B1061)))"),"#REF!")</f>
        <v>#REF!</v>
      </c>
      <c r="K1061" s="11"/>
      <c r="L1061" s="12"/>
      <c r="M1061" s="11"/>
      <c r="N1061" s="11"/>
      <c r="O1061" s="13"/>
      <c r="P1061" s="14"/>
      <c r="Q1061" s="13"/>
      <c r="R1061" s="13"/>
      <c r="S1061" s="15"/>
      <c r="T1061" s="16"/>
      <c r="U1061" s="16"/>
      <c r="V1061" s="16"/>
      <c r="W1061" s="16"/>
      <c r="X1061" s="16"/>
      <c r="Y1061" s="11"/>
      <c r="Z1061" s="11"/>
      <c r="AA1061" s="11"/>
      <c r="AB1061" s="11"/>
      <c r="AC1061" s="11"/>
      <c r="AD1061" s="11"/>
    </row>
    <row r="1062">
      <c r="A1062" s="10"/>
      <c r="B1062" s="10"/>
      <c r="C1062" s="10"/>
      <c r="D1062" s="10"/>
      <c r="E1062" s="10"/>
      <c r="F1062" s="11"/>
      <c r="G1062" s="11"/>
      <c r="H1062" s="11"/>
      <c r="I1062" s="11"/>
      <c r="J1062" s="11" t="str">
        <f>IFERROR(__xludf.DUMMYFUNCTION("IFERROR(FILTER(Stats!$F:$Z,(Stats!$A:$A=$A1062)*(Stats!$B:$B=$B1062)))"),"#REF!")</f>
        <v>#REF!</v>
      </c>
      <c r="K1062" s="11"/>
      <c r="L1062" s="12"/>
      <c r="M1062" s="11"/>
      <c r="N1062" s="11"/>
      <c r="O1062" s="13"/>
      <c r="P1062" s="14"/>
      <c r="Q1062" s="13"/>
      <c r="R1062" s="13"/>
      <c r="S1062" s="15"/>
      <c r="T1062" s="16"/>
      <c r="U1062" s="16"/>
      <c r="V1062" s="16"/>
      <c r="W1062" s="16"/>
      <c r="X1062" s="16"/>
      <c r="Y1062" s="11"/>
      <c r="Z1062" s="11"/>
      <c r="AA1062" s="11"/>
      <c r="AB1062" s="11"/>
      <c r="AC1062" s="11"/>
      <c r="AD1062" s="11"/>
    </row>
    <row r="1063">
      <c r="A1063" s="10"/>
      <c r="B1063" s="10"/>
      <c r="C1063" s="10"/>
      <c r="D1063" s="10"/>
      <c r="E1063" s="10"/>
      <c r="F1063" s="11"/>
      <c r="G1063" s="11"/>
      <c r="H1063" s="11"/>
      <c r="I1063" s="11"/>
      <c r="J1063" s="11" t="str">
        <f>IFERROR(__xludf.DUMMYFUNCTION("IFERROR(FILTER(Stats!$F:$Z,(Stats!$A:$A=$A1063)*(Stats!$B:$B=$B1063)))"),"#REF!")</f>
        <v>#REF!</v>
      </c>
      <c r="K1063" s="11"/>
      <c r="L1063" s="12"/>
      <c r="M1063" s="11"/>
      <c r="N1063" s="11"/>
      <c r="O1063" s="13"/>
      <c r="P1063" s="14"/>
      <c r="Q1063" s="13"/>
      <c r="R1063" s="13"/>
      <c r="S1063" s="15"/>
      <c r="T1063" s="16"/>
      <c r="U1063" s="16"/>
      <c r="V1063" s="16"/>
      <c r="W1063" s="16"/>
      <c r="X1063" s="16"/>
      <c r="Y1063" s="11"/>
      <c r="Z1063" s="11"/>
      <c r="AA1063" s="11"/>
      <c r="AB1063" s="11"/>
      <c r="AC1063" s="11"/>
      <c r="AD1063" s="11"/>
    </row>
    <row r="1064">
      <c r="A1064" s="10"/>
      <c r="B1064" s="10"/>
      <c r="C1064" s="10"/>
      <c r="D1064" s="10"/>
      <c r="E1064" s="10"/>
      <c r="F1064" s="11"/>
      <c r="G1064" s="11"/>
      <c r="H1064" s="11"/>
      <c r="I1064" s="11"/>
      <c r="J1064" s="11" t="str">
        <f>IFERROR(__xludf.DUMMYFUNCTION("IFERROR(FILTER(Stats!$F:$Z,(Stats!$A:$A=$A1064)*(Stats!$B:$B=$B1064)))"),"#REF!")</f>
        <v>#REF!</v>
      </c>
      <c r="K1064" s="11"/>
      <c r="L1064" s="12"/>
      <c r="M1064" s="11"/>
      <c r="N1064" s="11"/>
      <c r="O1064" s="13"/>
      <c r="P1064" s="14"/>
      <c r="Q1064" s="13"/>
      <c r="R1064" s="13"/>
      <c r="S1064" s="15"/>
      <c r="T1064" s="16"/>
      <c r="U1064" s="16"/>
      <c r="V1064" s="16"/>
      <c r="W1064" s="16"/>
      <c r="X1064" s="16"/>
      <c r="Y1064" s="11"/>
      <c r="Z1064" s="11"/>
      <c r="AA1064" s="11"/>
      <c r="AB1064" s="11"/>
      <c r="AC1064" s="11"/>
      <c r="AD1064" s="11"/>
    </row>
    <row r="1065">
      <c r="A1065" s="10"/>
      <c r="B1065" s="10"/>
      <c r="C1065" s="10"/>
      <c r="D1065" s="10"/>
      <c r="E1065" s="10"/>
      <c r="F1065" s="11"/>
      <c r="G1065" s="11"/>
      <c r="H1065" s="11"/>
      <c r="I1065" s="11"/>
      <c r="J1065" s="11" t="str">
        <f>IFERROR(__xludf.DUMMYFUNCTION("IFERROR(FILTER(Stats!$F:$Z,(Stats!$A:$A=$A1065)*(Stats!$B:$B=$B1065)))"),"#REF!")</f>
        <v>#REF!</v>
      </c>
      <c r="K1065" s="11"/>
      <c r="L1065" s="12"/>
      <c r="M1065" s="11"/>
      <c r="N1065" s="11"/>
      <c r="O1065" s="13"/>
      <c r="P1065" s="14"/>
      <c r="Q1065" s="13"/>
      <c r="R1065" s="13"/>
      <c r="S1065" s="15"/>
      <c r="T1065" s="16"/>
      <c r="U1065" s="16"/>
      <c r="V1065" s="16"/>
      <c r="W1065" s="16"/>
      <c r="X1065" s="16"/>
      <c r="Y1065" s="11"/>
      <c r="Z1065" s="11"/>
      <c r="AA1065" s="11"/>
      <c r="AB1065" s="11"/>
      <c r="AC1065" s="11"/>
      <c r="AD1065" s="11"/>
    </row>
    <row r="1066">
      <c r="A1066" s="10"/>
      <c r="B1066" s="10"/>
      <c r="C1066" s="10"/>
      <c r="D1066" s="10"/>
      <c r="E1066" s="10"/>
      <c r="F1066" s="11"/>
      <c r="G1066" s="11"/>
      <c r="H1066" s="11"/>
      <c r="I1066" s="11"/>
      <c r="J1066" s="11" t="str">
        <f>IFERROR(__xludf.DUMMYFUNCTION("IFERROR(FILTER(Stats!$F:$Z,(Stats!$A:$A=$A1066)*(Stats!$B:$B=$B1066)))"),"#REF!")</f>
        <v>#REF!</v>
      </c>
      <c r="K1066" s="11"/>
      <c r="L1066" s="12"/>
      <c r="M1066" s="11"/>
      <c r="N1066" s="11"/>
      <c r="O1066" s="13"/>
      <c r="P1066" s="14"/>
      <c r="Q1066" s="13"/>
      <c r="R1066" s="13"/>
      <c r="S1066" s="15"/>
      <c r="T1066" s="16"/>
      <c r="U1066" s="16"/>
      <c r="V1066" s="16"/>
      <c r="W1066" s="16"/>
      <c r="X1066" s="16"/>
      <c r="Y1066" s="11"/>
      <c r="Z1066" s="11"/>
      <c r="AA1066" s="11"/>
      <c r="AB1066" s="11"/>
      <c r="AC1066" s="11"/>
      <c r="AD1066" s="11"/>
    </row>
    <row r="1067">
      <c r="A1067" s="10"/>
      <c r="B1067" s="10"/>
      <c r="C1067" s="10"/>
      <c r="D1067" s="10"/>
      <c r="E1067" s="10"/>
      <c r="F1067" s="11"/>
      <c r="G1067" s="11"/>
      <c r="H1067" s="11"/>
      <c r="I1067" s="11"/>
      <c r="J1067" s="11" t="str">
        <f>IFERROR(__xludf.DUMMYFUNCTION("IFERROR(FILTER(Stats!$F:$Z,(Stats!$A:$A=$A1067)*(Stats!$B:$B=$B1067)))"),"#REF!")</f>
        <v>#REF!</v>
      </c>
      <c r="K1067" s="11"/>
      <c r="L1067" s="12"/>
      <c r="M1067" s="11"/>
      <c r="N1067" s="11"/>
      <c r="O1067" s="13"/>
      <c r="P1067" s="14"/>
      <c r="Q1067" s="13"/>
      <c r="R1067" s="13"/>
      <c r="S1067" s="15"/>
      <c r="T1067" s="16"/>
      <c r="U1067" s="16"/>
      <c r="V1067" s="16"/>
      <c r="W1067" s="16"/>
      <c r="X1067" s="16"/>
      <c r="Y1067" s="11"/>
      <c r="Z1067" s="11"/>
      <c r="AA1067" s="11"/>
      <c r="AB1067" s="11"/>
      <c r="AC1067" s="11"/>
      <c r="AD1067" s="11"/>
    </row>
    <row r="1068">
      <c r="A1068" s="10"/>
      <c r="B1068" s="10"/>
      <c r="C1068" s="10"/>
      <c r="D1068" s="10"/>
      <c r="E1068" s="10"/>
      <c r="F1068" s="11"/>
      <c r="G1068" s="11"/>
      <c r="H1068" s="11"/>
      <c r="I1068" s="11"/>
      <c r="J1068" s="11" t="str">
        <f>IFERROR(__xludf.DUMMYFUNCTION("IFERROR(FILTER(Stats!$F:$Z,(Stats!$A:$A=$A1068)*(Stats!$B:$B=$B1068)))"),"#REF!")</f>
        <v>#REF!</v>
      </c>
      <c r="K1068" s="11"/>
      <c r="L1068" s="12"/>
      <c r="M1068" s="11"/>
      <c r="N1068" s="11"/>
      <c r="O1068" s="13"/>
      <c r="P1068" s="14"/>
      <c r="Q1068" s="13"/>
      <c r="R1068" s="13"/>
      <c r="S1068" s="15"/>
      <c r="T1068" s="16"/>
      <c r="U1068" s="16"/>
      <c r="V1068" s="16"/>
      <c r="W1068" s="16"/>
      <c r="X1068" s="16"/>
      <c r="Y1068" s="11"/>
      <c r="Z1068" s="11"/>
      <c r="AA1068" s="11"/>
      <c r="AB1068" s="11"/>
      <c r="AC1068" s="11"/>
      <c r="AD1068" s="11"/>
    </row>
    <row r="1069">
      <c r="A1069" s="10"/>
      <c r="B1069" s="10"/>
      <c r="C1069" s="10"/>
      <c r="D1069" s="10"/>
      <c r="E1069" s="10"/>
      <c r="F1069" s="11"/>
      <c r="G1069" s="11"/>
      <c r="H1069" s="11"/>
      <c r="I1069" s="11"/>
      <c r="J1069" s="11" t="str">
        <f>IFERROR(__xludf.DUMMYFUNCTION("IFERROR(FILTER(Stats!$F:$Z,(Stats!$A:$A=$A1069)*(Stats!$B:$B=$B1069)))"),"#REF!")</f>
        <v>#REF!</v>
      </c>
      <c r="K1069" s="11"/>
      <c r="L1069" s="12"/>
      <c r="M1069" s="11"/>
      <c r="N1069" s="11"/>
      <c r="O1069" s="13"/>
      <c r="P1069" s="14"/>
      <c r="Q1069" s="13"/>
      <c r="R1069" s="13"/>
      <c r="S1069" s="15"/>
      <c r="T1069" s="16"/>
      <c r="U1069" s="16"/>
      <c r="V1069" s="16"/>
      <c r="W1069" s="16"/>
      <c r="X1069" s="16"/>
      <c r="Y1069" s="11"/>
      <c r="Z1069" s="11"/>
      <c r="AA1069" s="11"/>
      <c r="AB1069" s="11"/>
      <c r="AC1069" s="11"/>
      <c r="AD1069" s="11"/>
    </row>
    <row r="1070">
      <c r="A1070" s="10"/>
      <c r="B1070" s="10"/>
      <c r="C1070" s="10"/>
      <c r="D1070" s="10"/>
      <c r="E1070" s="10"/>
      <c r="F1070" s="11"/>
      <c r="G1070" s="11"/>
      <c r="H1070" s="11"/>
      <c r="I1070" s="11"/>
      <c r="J1070" s="11" t="str">
        <f>IFERROR(__xludf.DUMMYFUNCTION("IFERROR(FILTER(Stats!$F:$Z,(Stats!$A:$A=$A1070)*(Stats!$B:$B=$B1070)))"),"#REF!")</f>
        <v>#REF!</v>
      </c>
      <c r="K1070" s="11"/>
      <c r="L1070" s="12"/>
      <c r="M1070" s="11"/>
      <c r="N1070" s="11"/>
      <c r="O1070" s="13"/>
      <c r="P1070" s="14"/>
      <c r="Q1070" s="13"/>
      <c r="R1070" s="13"/>
      <c r="S1070" s="15"/>
      <c r="T1070" s="16"/>
      <c r="U1070" s="16"/>
      <c r="V1070" s="16"/>
      <c r="W1070" s="16"/>
      <c r="X1070" s="16"/>
      <c r="Y1070" s="11"/>
      <c r="Z1070" s="11"/>
      <c r="AA1070" s="11"/>
      <c r="AB1070" s="11"/>
      <c r="AC1070" s="11"/>
      <c r="AD1070" s="11"/>
    </row>
    <row r="1071">
      <c r="A1071" s="10"/>
      <c r="B1071" s="10"/>
      <c r="C1071" s="10"/>
      <c r="D1071" s="10"/>
      <c r="E1071" s="10"/>
      <c r="F1071" s="11"/>
      <c r="G1071" s="11"/>
      <c r="H1071" s="11"/>
      <c r="I1071" s="11"/>
      <c r="J1071" s="11" t="str">
        <f>IFERROR(__xludf.DUMMYFUNCTION("IFERROR(FILTER(Stats!$F:$Z,(Stats!$A:$A=$A1071)*(Stats!$B:$B=$B1071)))"),"#REF!")</f>
        <v>#REF!</v>
      </c>
      <c r="K1071" s="11"/>
      <c r="L1071" s="12"/>
      <c r="M1071" s="11"/>
      <c r="N1071" s="11"/>
      <c r="O1071" s="13"/>
      <c r="P1071" s="14"/>
      <c r="Q1071" s="13"/>
      <c r="R1071" s="13"/>
      <c r="S1071" s="15"/>
      <c r="T1071" s="16"/>
      <c r="U1071" s="16"/>
      <c r="V1071" s="16"/>
      <c r="W1071" s="16"/>
      <c r="X1071" s="16"/>
      <c r="Y1071" s="11"/>
      <c r="Z1071" s="11"/>
      <c r="AA1071" s="11"/>
      <c r="AB1071" s="11"/>
      <c r="AC1071" s="11"/>
      <c r="AD1071" s="11"/>
    </row>
    <row r="1072">
      <c r="A1072" s="10"/>
      <c r="B1072" s="10"/>
      <c r="C1072" s="10"/>
      <c r="D1072" s="10"/>
      <c r="E1072" s="10"/>
      <c r="F1072" s="11"/>
      <c r="G1072" s="11"/>
      <c r="H1072" s="11"/>
      <c r="I1072" s="11"/>
      <c r="J1072" s="11" t="str">
        <f>IFERROR(__xludf.DUMMYFUNCTION("IFERROR(FILTER(Stats!$F:$Z,(Stats!$A:$A=$A1072)*(Stats!$B:$B=$B1072)))"),"#REF!")</f>
        <v>#REF!</v>
      </c>
      <c r="K1072" s="11"/>
      <c r="L1072" s="12"/>
      <c r="M1072" s="11"/>
      <c r="N1072" s="11"/>
      <c r="O1072" s="13"/>
      <c r="P1072" s="14"/>
      <c r="Q1072" s="13"/>
      <c r="R1072" s="13"/>
      <c r="S1072" s="15"/>
      <c r="T1072" s="16"/>
      <c r="U1072" s="16"/>
      <c r="V1072" s="16"/>
      <c r="W1072" s="16"/>
      <c r="X1072" s="16"/>
      <c r="Y1072" s="11"/>
      <c r="Z1072" s="11"/>
      <c r="AA1072" s="11"/>
      <c r="AB1072" s="11"/>
      <c r="AC1072" s="11"/>
      <c r="AD1072" s="11"/>
    </row>
    <row r="1073">
      <c r="A1073" s="10"/>
      <c r="B1073" s="10"/>
      <c r="C1073" s="10"/>
      <c r="D1073" s="10"/>
      <c r="E1073" s="10"/>
      <c r="F1073" s="11"/>
      <c r="G1073" s="11"/>
      <c r="H1073" s="11"/>
      <c r="I1073" s="11"/>
      <c r="J1073" s="11" t="str">
        <f>IFERROR(__xludf.DUMMYFUNCTION("IFERROR(FILTER(Stats!$F:$Z,(Stats!$A:$A=$A1073)*(Stats!$B:$B=$B1073)))"),"#REF!")</f>
        <v>#REF!</v>
      </c>
      <c r="K1073" s="11"/>
      <c r="L1073" s="12"/>
      <c r="M1073" s="11"/>
      <c r="N1073" s="11"/>
      <c r="O1073" s="13"/>
      <c r="P1073" s="14"/>
      <c r="Q1073" s="13"/>
      <c r="R1073" s="13"/>
      <c r="S1073" s="15"/>
      <c r="T1073" s="16"/>
      <c r="U1073" s="16"/>
      <c r="V1073" s="16"/>
      <c r="W1073" s="16"/>
      <c r="X1073" s="16"/>
      <c r="Y1073" s="11"/>
      <c r="Z1073" s="11"/>
      <c r="AA1073" s="11"/>
      <c r="AB1073" s="11"/>
      <c r="AC1073" s="11"/>
      <c r="AD1073" s="11"/>
    </row>
    <row r="1074">
      <c r="A1074" s="10"/>
      <c r="B1074" s="10"/>
      <c r="C1074" s="10"/>
      <c r="D1074" s="10"/>
      <c r="E1074" s="10"/>
      <c r="F1074" s="11"/>
      <c r="G1074" s="11"/>
      <c r="H1074" s="11"/>
      <c r="I1074" s="11"/>
      <c r="J1074" s="11" t="str">
        <f>IFERROR(__xludf.DUMMYFUNCTION("IFERROR(FILTER(Stats!$F:$Z,(Stats!$A:$A=$A1074)*(Stats!$B:$B=$B1074)))"),"#REF!")</f>
        <v>#REF!</v>
      </c>
      <c r="K1074" s="11"/>
      <c r="L1074" s="12"/>
      <c r="M1074" s="11"/>
      <c r="N1074" s="11"/>
      <c r="O1074" s="13"/>
      <c r="P1074" s="14"/>
      <c r="Q1074" s="13"/>
      <c r="R1074" s="13"/>
      <c r="S1074" s="15"/>
      <c r="T1074" s="16"/>
      <c r="U1074" s="16"/>
      <c r="V1074" s="16"/>
      <c r="W1074" s="16"/>
      <c r="X1074" s="16"/>
      <c r="Y1074" s="11"/>
      <c r="Z1074" s="11"/>
      <c r="AA1074" s="11"/>
      <c r="AB1074" s="11"/>
      <c r="AC1074" s="11"/>
      <c r="AD1074" s="11"/>
    </row>
    <row r="1075">
      <c r="A1075" s="10"/>
      <c r="B1075" s="10"/>
      <c r="C1075" s="10"/>
      <c r="D1075" s="10"/>
      <c r="E1075" s="10"/>
      <c r="F1075" s="11"/>
      <c r="G1075" s="11"/>
      <c r="H1075" s="11"/>
      <c r="I1075" s="11"/>
      <c r="J1075" s="11" t="str">
        <f>IFERROR(__xludf.DUMMYFUNCTION("IFERROR(FILTER(Stats!$F:$Z,(Stats!$A:$A=$A1075)*(Stats!$B:$B=$B1075)))"),"#REF!")</f>
        <v>#REF!</v>
      </c>
      <c r="K1075" s="11"/>
      <c r="L1075" s="12"/>
      <c r="M1075" s="11"/>
      <c r="N1075" s="11"/>
      <c r="O1075" s="13"/>
      <c r="P1075" s="14"/>
      <c r="Q1075" s="13"/>
      <c r="R1075" s="13"/>
      <c r="S1075" s="15"/>
      <c r="T1075" s="16"/>
      <c r="U1075" s="16"/>
      <c r="V1075" s="16"/>
      <c r="W1075" s="16"/>
      <c r="X1075" s="16"/>
      <c r="Y1075" s="11"/>
      <c r="Z1075" s="11"/>
      <c r="AA1075" s="11"/>
      <c r="AB1075" s="11"/>
      <c r="AC1075" s="11"/>
      <c r="AD1075" s="11"/>
    </row>
    <row r="1076">
      <c r="A1076" s="10"/>
      <c r="B1076" s="10"/>
      <c r="C1076" s="10"/>
      <c r="D1076" s="10"/>
      <c r="E1076" s="10"/>
      <c r="F1076" s="11"/>
      <c r="G1076" s="11"/>
      <c r="H1076" s="11"/>
      <c r="I1076" s="11"/>
      <c r="J1076" s="11" t="str">
        <f>IFERROR(__xludf.DUMMYFUNCTION("IFERROR(FILTER(Stats!$F:$Z,(Stats!$A:$A=$A1076)*(Stats!$B:$B=$B1076)))"),"#REF!")</f>
        <v>#REF!</v>
      </c>
      <c r="K1076" s="11"/>
      <c r="L1076" s="12"/>
      <c r="M1076" s="11"/>
      <c r="N1076" s="11"/>
      <c r="O1076" s="13"/>
      <c r="P1076" s="14"/>
      <c r="Q1076" s="13"/>
      <c r="R1076" s="13"/>
      <c r="S1076" s="15"/>
      <c r="T1076" s="16"/>
      <c r="U1076" s="16"/>
      <c r="V1076" s="16"/>
      <c r="W1076" s="16"/>
      <c r="X1076" s="16"/>
      <c r="Y1076" s="11"/>
      <c r="Z1076" s="11"/>
      <c r="AA1076" s="11"/>
      <c r="AB1076" s="11"/>
      <c r="AC1076" s="11"/>
      <c r="AD1076" s="11"/>
    </row>
    <row r="1077">
      <c r="A1077" s="10"/>
      <c r="B1077" s="10"/>
      <c r="C1077" s="10"/>
      <c r="D1077" s="10"/>
      <c r="E1077" s="10"/>
      <c r="F1077" s="11"/>
      <c r="G1077" s="11"/>
      <c r="H1077" s="11"/>
      <c r="I1077" s="11"/>
      <c r="J1077" s="11" t="str">
        <f>IFERROR(__xludf.DUMMYFUNCTION("IFERROR(FILTER(Stats!$F:$Z,(Stats!$A:$A=$A1077)*(Stats!$B:$B=$B1077)))"),"#REF!")</f>
        <v>#REF!</v>
      </c>
      <c r="K1077" s="11"/>
      <c r="L1077" s="12"/>
      <c r="M1077" s="11"/>
      <c r="N1077" s="11"/>
      <c r="O1077" s="13"/>
      <c r="P1077" s="14"/>
      <c r="Q1077" s="13"/>
      <c r="R1077" s="13"/>
      <c r="S1077" s="15"/>
      <c r="T1077" s="16"/>
      <c r="U1077" s="16"/>
      <c r="V1077" s="16"/>
      <c r="W1077" s="16"/>
      <c r="X1077" s="16"/>
      <c r="Y1077" s="11"/>
      <c r="Z1077" s="11"/>
      <c r="AA1077" s="11"/>
      <c r="AB1077" s="11"/>
      <c r="AC1077" s="11"/>
      <c r="AD1077" s="11"/>
    </row>
    <row r="1078">
      <c r="A1078" s="10"/>
      <c r="B1078" s="10"/>
      <c r="C1078" s="10"/>
      <c r="D1078" s="10"/>
      <c r="E1078" s="10"/>
      <c r="F1078" s="11"/>
      <c r="G1078" s="11"/>
      <c r="H1078" s="11"/>
      <c r="I1078" s="11"/>
      <c r="J1078" s="11" t="str">
        <f>IFERROR(__xludf.DUMMYFUNCTION("IFERROR(FILTER(Stats!$F:$Z,(Stats!$A:$A=$A1078)*(Stats!$B:$B=$B1078)))"),"#REF!")</f>
        <v>#REF!</v>
      </c>
      <c r="K1078" s="11"/>
      <c r="L1078" s="12"/>
      <c r="M1078" s="11"/>
      <c r="N1078" s="11"/>
      <c r="O1078" s="13"/>
      <c r="P1078" s="14"/>
      <c r="Q1078" s="13"/>
      <c r="R1078" s="13"/>
      <c r="S1078" s="15"/>
      <c r="T1078" s="16"/>
      <c r="U1078" s="16"/>
      <c r="V1078" s="16"/>
      <c r="W1078" s="16"/>
      <c r="X1078" s="16"/>
      <c r="Y1078" s="11"/>
      <c r="Z1078" s="11"/>
      <c r="AA1078" s="11"/>
      <c r="AB1078" s="11"/>
      <c r="AC1078" s="11"/>
      <c r="AD1078" s="11"/>
    </row>
    <row r="1079">
      <c r="A1079" s="10"/>
      <c r="B1079" s="10"/>
      <c r="C1079" s="10"/>
      <c r="D1079" s="10"/>
      <c r="E1079" s="10"/>
      <c r="F1079" s="11"/>
      <c r="G1079" s="11"/>
      <c r="H1079" s="11"/>
      <c r="I1079" s="11"/>
      <c r="J1079" s="11" t="str">
        <f>IFERROR(__xludf.DUMMYFUNCTION("IFERROR(FILTER(Stats!$F:$Z,(Stats!$A:$A=$A1079)*(Stats!$B:$B=$B1079)))"),"#REF!")</f>
        <v>#REF!</v>
      </c>
      <c r="K1079" s="11"/>
      <c r="L1079" s="12"/>
      <c r="M1079" s="11"/>
      <c r="N1079" s="11"/>
      <c r="O1079" s="13"/>
      <c r="P1079" s="14"/>
      <c r="Q1079" s="13"/>
      <c r="R1079" s="13"/>
      <c r="S1079" s="15"/>
      <c r="T1079" s="16"/>
      <c r="U1079" s="16"/>
      <c r="V1079" s="16"/>
      <c r="W1079" s="16"/>
      <c r="X1079" s="16"/>
      <c r="Y1079" s="11"/>
      <c r="Z1079" s="11"/>
      <c r="AA1079" s="11"/>
      <c r="AB1079" s="11"/>
      <c r="AC1079" s="11"/>
      <c r="AD1079" s="11"/>
    </row>
    <row r="1080">
      <c r="A1080" s="10"/>
      <c r="B1080" s="10"/>
      <c r="C1080" s="10"/>
      <c r="D1080" s="10"/>
      <c r="E1080" s="10"/>
      <c r="F1080" s="11"/>
      <c r="G1080" s="11"/>
      <c r="H1080" s="11"/>
      <c r="I1080" s="11"/>
      <c r="J1080" s="11" t="str">
        <f>IFERROR(__xludf.DUMMYFUNCTION("IFERROR(FILTER(Stats!$F:$Z,(Stats!$A:$A=$A1080)*(Stats!$B:$B=$B1080)))"),"#REF!")</f>
        <v>#REF!</v>
      </c>
      <c r="K1080" s="11"/>
      <c r="L1080" s="12"/>
      <c r="M1080" s="11"/>
      <c r="N1080" s="11"/>
      <c r="O1080" s="13"/>
      <c r="P1080" s="14"/>
      <c r="Q1080" s="13"/>
      <c r="R1080" s="13"/>
      <c r="S1080" s="15"/>
      <c r="T1080" s="16"/>
      <c r="U1080" s="16"/>
      <c r="V1080" s="16"/>
      <c r="W1080" s="16"/>
      <c r="X1080" s="16"/>
      <c r="Y1080" s="11"/>
      <c r="Z1080" s="11"/>
      <c r="AA1080" s="11"/>
      <c r="AB1080" s="11"/>
      <c r="AC1080" s="11"/>
      <c r="AD1080" s="11"/>
    </row>
    <row r="1081">
      <c r="A1081" s="10"/>
      <c r="B1081" s="10"/>
      <c r="C1081" s="10"/>
      <c r="D1081" s="10"/>
      <c r="E1081" s="10"/>
      <c r="F1081" s="11"/>
      <c r="G1081" s="11"/>
      <c r="H1081" s="11"/>
      <c r="I1081" s="11"/>
      <c r="J1081" s="11" t="str">
        <f>IFERROR(__xludf.DUMMYFUNCTION("IFERROR(FILTER(Stats!$F:$Z,(Stats!$A:$A=$A1081)*(Stats!$B:$B=$B1081)))"),"#REF!")</f>
        <v>#REF!</v>
      </c>
      <c r="K1081" s="11"/>
      <c r="L1081" s="12"/>
      <c r="M1081" s="11"/>
      <c r="N1081" s="11"/>
      <c r="O1081" s="13"/>
      <c r="P1081" s="14"/>
      <c r="Q1081" s="13"/>
      <c r="R1081" s="13"/>
      <c r="S1081" s="15"/>
      <c r="T1081" s="16"/>
      <c r="U1081" s="16"/>
      <c r="V1081" s="16"/>
      <c r="W1081" s="16"/>
      <c r="X1081" s="16"/>
      <c r="Y1081" s="11"/>
      <c r="Z1081" s="11"/>
      <c r="AA1081" s="11"/>
      <c r="AB1081" s="11"/>
      <c r="AC1081" s="11"/>
      <c r="AD1081" s="11"/>
    </row>
    <row r="1082">
      <c r="A1082" s="10"/>
      <c r="B1082" s="10"/>
      <c r="C1082" s="10"/>
      <c r="D1082" s="10"/>
      <c r="E1082" s="10"/>
      <c r="F1082" s="11"/>
      <c r="G1082" s="11"/>
      <c r="H1082" s="11"/>
      <c r="I1082" s="11"/>
      <c r="J1082" s="11" t="str">
        <f>IFERROR(__xludf.DUMMYFUNCTION("IFERROR(FILTER(Stats!$F:$Z,(Stats!$A:$A=$A1082)*(Stats!$B:$B=$B1082)))"),"#REF!")</f>
        <v>#REF!</v>
      </c>
      <c r="K1082" s="11"/>
      <c r="L1082" s="12"/>
      <c r="M1082" s="11"/>
      <c r="N1082" s="11"/>
      <c r="O1082" s="13"/>
      <c r="P1082" s="14"/>
      <c r="Q1082" s="13"/>
      <c r="R1082" s="13"/>
      <c r="S1082" s="15"/>
      <c r="T1082" s="16"/>
      <c r="U1082" s="16"/>
      <c r="V1082" s="16"/>
      <c r="W1082" s="16"/>
      <c r="X1082" s="16"/>
      <c r="Y1082" s="11"/>
      <c r="Z1082" s="11"/>
      <c r="AA1082" s="11"/>
      <c r="AB1082" s="11"/>
      <c r="AC1082" s="11"/>
      <c r="AD1082" s="11"/>
    </row>
    <row r="1083">
      <c r="A1083" s="10"/>
      <c r="B1083" s="10"/>
      <c r="C1083" s="10"/>
      <c r="D1083" s="10"/>
      <c r="E1083" s="10"/>
      <c r="F1083" s="11"/>
      <c r="G1083" s="11"/>
      <c r="H1083" s="11"/>
      <c r="I1083" s="11"/>
      <c r="J1083" s="11" t="str">
        <f>IFERROR(__xludf.DUMMYFUNCTION("IFERROR(FILTER(Stats!$F:$Z,(Stats!$A:$A=$A1083)*(Stats!$B:$B=$B1083)))"),"#REF!")</f>
        <v>#REF!</v>
      </c>
      <c r="K1083" s="11"/>
      <c r="L1083" s="12"/>
      <c r="M1083" s="11"/>
      <c r="N1083" s="11"/>
      <c r="O1083" s="13"/>
      <c r="P1083" s="14"/>
      <c r="Q1083" s="13"/>
      <c r="R1083" s="13"/>
      <c r="S1083" s="15"/>
      <c r="T1083" s="16"/>
      <c r="U1083" s="16"/>
      <c r="V1083" s="16"/>
      <c r="W1083" s="16"/>
      <c r="X1083" s="16"/>
      <c r="Y1083" s="11"/>
      <c r="Z1083" s="11"/>
      <c r="AA1083" s="11"/>
      <c r="AB1083" s="11"/>
      <c r="AC1083" s="11"/>
      <c r="AD1083" s="11"/>
    </row>
    <row r="1084">
      <c r="A1084" s="10"/>
      <c r="B1084" s="10"/>
      <c r="C1084" s="10"/>
      <c r="D1084" s="10"/>
      <c r="E1084" s="10"/>
      <c r="F1084" s="11"/>
      <c r="G1084" s="11"/>
      <c r="H1084" s="11"/>
      <c r="I1084" s="11"/>
      <c r="J1084" s="11" t="str">
        <f>IFERROR(__xludf.DUMMYFUNCTION("IFERROR(FILTER(Stats!$F:$Z,(Stats!$A:$A=$A1084)*(Stats!$B:$B=$B1084)))"),"#REF!")</f>
        <v>#REF!</v>
      </c>
      <c r="K1084" s="11"/>
      <c r="L1084" s="12"/>
      <c r="M1084" s="11"/>
      <c r="N1084" s="11"/>
      <c r="O1084" s="13"/>
      <c r="P1084" s="14"/>
      <c r="Q1084" s="13"/>
      <c r="R1084" s="13"/>
      <c r="S1084" s="15"/>
      <c r="T1084" s="16"/>
      <c r="U1084" s="16"/>
      <c r="V1084" s="16"/>
      <c r="W1084" s="16"/>
      <c r="X1084" s="16"/>
      <c r="Y1084" s="11"/>
      <c r="Z1084" s="11"/>
      <c r="AA1084" s="11"/>
      <c r="AB1084" s="11"/>
      <c r="AC1084" s="11"/>
      <c r="AD1084" s="11"/>
    </row>
    <row r="1085">
      <c r="A1085" s="10"/>
      <c r="B1085" s="10"/>
      <c r="C1085" s="10"/>
      <c r="D1085" s="10"/>
      <c r="E1085" s="10"/>
      <c r="F1085" s="11"/>
      <c r="G1085" s="11"/>
      <c r="H1085" s="11"/>
      <c r="I1085" s="11"/>
      <c r="J1085" s="11" t="str">
        <f>IFERROR(__xludf.DUMMYFUNCTION("IFERROR(FILTER(Stats!$F:$Z,(Stats!$A:$A=$A1085)*(Stats!$B:$B=$B1085)))"),"#REF!")</f>
        <v>#REF!</v>
      </c>
      <c r="K1085" s="11"/>
      <c r="L1085" s="12"/>
      <c r="M1085" s="11"/>
      <c r="N1085" s="11"/>
      <c r="O1085" s="13"/>
      <c r="P1085" s="14"/>
      <c r="Q1085" s="13"/>
      <c r="R1085" s="13"/>
      <c r="S1085" s="15"/>
      <c r="T1085" s="16"/>
      <c r="U1085" s="16"/>
      <c r="V1085" s="16"/>
      <c r="W1085" s="16"/>
      <c r="X1085" s="16"/>
      <c r="Y1085" s="11"/>
      <c r="Z1085" s="11"/>
      <c r="AA1085" s="11"/>
      <c r="AB1085" s="11"/>
      <c r="AC1085" s="11"/>
      <c r="AD1085" s="11"/>
    </row>
    <row r="1086">
      <c r="A1086" s="10"/>
      <c r="B1086" s="10"/>
      <c r="C1086" s="10"/>
      <c r="D1086" s="10"/>
      <c r="E1086" s="10"/>
      <c r="F1086" s="11"/>
      <c r="G1086" s="11"/>
      <c r="H1086" s="11"/>
      <c r="I1086" s="11"/>
      <c r="J1086" s="11" t="str">
        <f>IFERROR(__xludf.DUMMYFUNCTION("IFERROR(FILTER(Stats!$F:$Z,(Stats!$A:$A=$A1086)*(Stats!$B:$B=$B1086)))"),"#REF!")</f>
        <v>#REF!</v>
      </c>
      <c r="K1086" s="11"/>
      <c r="L1086" s="12"/>
      <c r="M1086" s="11"/>
      <c r="N1086" s="11"/>
      <c r="O1086" s="13"/>
      <c r="P1086" s="14"/>
      <c r="Q1086" s="13"/>
      <c r="R1086" s="13"/>
      <c r="S1086" s="15"/>
      <c r="T1086" s="16"/>
      <c r="U1086" s="16"/>
      <c r="V1086" s="16"/>
      <c r="W1086" s="16"/>
      <c r="X1086" s="16"/>
      <c r="Y1086" s="11"/>
      <c r="Z1086" s="11"/>
      <c r="AA1086" s="11"/>
      <c r="AB1086" s="11"/>
      <c r="AC1086" s="11"/>
      <c r="AD1086" s="11"/>
    </row>
    <row r="1087">
      <c r="A1087" s="10"/>
      <c r="B1087" s="10"/>
      <c r="C1087" s="10"/>
      <c r="D1087" s="10"/>
      <c r="E1087" s="10"/>
      <c r="F1087" s="11"/>
      <c r="G1087" s="11"/>
      <c r="H1087" s="11"/>
      <c r="I1087" s="11"/>
      <c r="J1087" s="11" t="str">
        <f>IFERROR(__xludf.DUMMYFUNCTION("IFERROR(FILTER(Stats!$F:$Z,(Stats!$A:$A=$A1087)*(Stats!$B:$B=$B1087)))"),"#REF!")</f>
        <v>#REF!</v>
      </c>
      <c r="K1087" s="11"/>
      <c r="L1087" s="12"/>
      <c r="M1087" s="11"/>
      <c r="N1087" s="11"/>
      <c r="O1087" s="13"/>
      <c r="P1087" s="14"/>
      <c r="Q1087" s="13"/>
      <c r="R1087" s="13"/>
      <c r="S1087" s="15"/>
      <c r="T1087" s="16"/>
      <c r="U1087" s="16"/>
      <c r="V1087" s="16"/>
      <c r="W1087" s="16"/>
      <c r="X1087" s="16"/>
      <c r="Y1087" s="11"/>
      <c r="Z1087" s="11"/>
      <c r="AA1087" s="11"/>
      <c r="AB1087" s="11"/>
      <c r="AC1087" s="11"/>
      <c r="AD1087" s="11"/>
    </row>
    <row r="1088">
      <c r="A1088" s="10"/>
      <c r="B1088" s="10"/>
      <c r="C1088" s="10"/>
      <c r="D1088" s="10"/>
      <c r="E1088" s="10"/>
      <c r="F1088" s="11"/>
      <c r="G1088" s="11"/>
      <c r="H1088" s="11"/>
      <c r="I1088" s="11"/>
      <c r="J1088" s="11" t="str">
        <f>IFERROR(__xludf.DUMMYFUNCTION("IFERROR(FILTER(Stats!$F:$Z,(Stats!$A:$A=$A1088)*(Stats!$B:$B=$B1088)))"),"#REF!")</f>
        <v>#REF!</v>
      </c>
      <c r="K1088" s="11"/>
      <c r="L1088" s="12"/>
      <c r="M1088" s="11"/>
      <c r="N1088" s="11"/>
      <c r="O1088" s="13"/>
      <c r="P1088" s="14"/>
      <c r="Q1088" s="13"/>
      <c r="R1088" s="13"/>
      <c r="S1088" s="15"/>
      <c r="T1088" s="16"/>
      <c r="U1088" s="16"/>
      <c r="V1088" s="16"/>
      <c r="W1088" s="16"/>
      <c r="X1088" s="16"/>
      <c r="Y1088" s="11"/>
      <c r="Z1088" s="11"/>
      <c r="AA1088" s="11"/>
      <c r="AB1088" s="11"/>
      <c r="AC1088" s="11"/>
      <c r="AD1088" s="11"/>
    </row>
    <row r="1089">
      <c r="A1089" s="10"/>
      <c r="B1089" s="10"/>
      <c r="C1089" s="10"/>
      <c r="D1089" s="10"/>
      <c r="E1089" s="10"/>
      <c r="F1089" s="11"/>
      <c r="G1089" s="11"/>
      <c r="H1089" s="11"/>
      <c r="I1089" s="11"/>
      <c r="J1089" s="11" t="str">
        <f>IFERROR(__xludf.DUMMYFUNCTION("IFERROR(FILTER(Stats!$F:$Z,(Stats!$A:$A=$A1089)*(Stats!$B:$B=$B1089)))"),"#REF!")</f>
        <v>#REF!</v>
      </c>
      <c r="K1089" s="11"/>
      <c r="L1089" s="12"/>
      <c r="M1089" s="11"/>
      <c r="N1089" s="11"/>
      <c r="O1089" s="13"/>
      <c r="P1089" s="14"/>
      <c r="Q1089" s="13"/>
      <c r="R1089" s="13"/>
      <c r="S1089" s="15"/>
      <c r="T1089" s="16"/>
      <c r="U1089" s="16"/>
      <c r="V1089" s="16"/>
      <c r="W1089" s="16"/>
      <c r="X1089" s="16"/>
      <c r="Y1089" s="11"/>
      <c r="Z1089" s="11"/>
      <c r="AA1089" s="11"/>
      <c r="AB1089" s="11"/>
      <c r="AC1089" s="11"/>
      <c r="AD1089" s="11"/>
    </row>
    <row r="1090">
      <c r="A1090" s="10"/>
      <c r="B1090" s="10"/>
      <c r="C1090" s="10"/>
      <c r="D1090" s="10"/>
      <c r="E1090" s="10"/>
      <c r="F1090" s="11"/>
      <c r="G1090" s="11"/>
      <c r="H1090" s="11"/>
      <c r="I1090" s="11"/>
      <c r="J1090" s="11" t="str">
        <f>IFERROR(__xludf.DUMMYFUNCTION("IFERROR(FILTER(Stats!$F:$Z,(Stats!$A:$A=$A1090)*(Stats!$B:$B=$B1090)))"),"#REF!")</f>
        <v>#REF!</v>
      </c>
      <c r="K1090" s="11"/>
      <c r="L1090" s="12"/>
      <c r="M1090" s="11"/>
      <c r="N1090" s="11"/>
      <c r="O1090" s="13"/>
      <c r="P1090" s="14"/>
      <c r="Q1090" s="13"/>
      <c r="R1090" s="13"/>
      <c r="S1090" s="15"/>
      <c r="T1090" s="16"/>
      <c r="U1090" s="16"/>
      <c r="V1090" s="16"/>
      <c r="W1090" s="16"/>
      <c r="X1090" s="16"/>
      <c r="Y1090" s="11"/>
      <c r="Z1090" s="11"/>
      <c r="AA1090" s="11"/>
      <c r="AB1090" s="11"/>
      <c r="AC1090" s="11"/>
      <c r="AD1090" s="11"/>
    </row>
    <row r="1091">
      <c r="A1091" s="10"/>
      <c r="B1091" s="10"/>
      <c r="C1091" s="10"/>
      <c r="D1091" s="10"/>
      <c r="E1091" s="10"/>
      <c r="F1091" s="11"/>
      <c r="G1091" s="11"/>
      <c r="H1091" s="11"/>
      <c r="I1091" s="11"/>
      <c r="J1091" s="11" t="str">
        <f>IFERROR(__xludf.DUMMYFUNCTION("IFERROR(FILTER(Stats!$F:$Z,(Stats!$A:$A=$A1091)*(Stats!$B:$B=$B1091)))"),"#REF!")</f>
        <v>#REF!</v>
      </c>
      <c r="K1091" s="11"/>
      <c r="L1091" s="12"/>
      <c r="M1091" s="11"/>
      <c r="N1091" s="11"/>
      <c r="O1091" s="13"/>
      <c r="P1091" s="14"/>
      <c r="Q1091" s="13"/>
      <c r="R1091" s="13"/>
      <c r="S1091" s="15"/>
      <c r="T1091" s="16"/>
      <c r="U1091" s="16"/>
      <c r="V1091" s="16"/>
      <c r="W1091" s="16"/>
      <c r="X1091" s="16"/>
      <c r="Y1091" s="11"/>
      <c r="Z1091" s="11"/>
      <c r="AA1091" s="11"/>
      <c r="AB1091" s="11"/>
      <c r="AC1091" s="11"/>
      <c r="AD1091" s="11"/>
    </row>
    <row r="1092">
      <c r="A1092" s="10"/>
      <c r="B1092" s="10"/>
      <c r="C1092" s="10"/>
      <c r="D1092" s="10"/>
      <c r="E1092" s="10"/>
      <c r="F1092" s="11"/>
      <c r="G1092" s="11"/>
      <c r="H1092" s="11"/>
      <c r="I1092" s="11"/>
      <c r="J1092" s="11" t="str">
        <f>IFERROR(__xludf.DUMMYFUNCTION("IFERROR(FILTER(Stats!$F:$Z,(Stats!$A:$A=$A1092)*(Stats!$B:$B=$B1092)))"),"#REF!")</f>
        <v>#REF!</v>
      </c>
      <c r="K1092" s="11"/>
      <c r="L1092" s="12"/>
      <c r="M1092" s="11"/>
      <c r="N1092" s="11"/>
      <c r="O1092" s="13"/>
      <c r="P1092" s="14"/>
      <c r="Q1092" s="13"/>
      <c r="R1092" s="13"/>
      <c r="S1092" s="15"/>
      <c r="T1092" s="16"/>
      <c r="U1092" s="16"/>
      <c r="V1092" s="16"/>
      <c r="W1092" s="16"/>
      <c r="X1092" s="16"/>
      <c r="Y1092" s="11"/>
      <c r="Z1092" s="11"/>
      <c r="AA1092" s="11"/>
      <c r="AB1092" s="11"/>
      <c r="AC1092" s="11"/>
      <c r="AD1092" s="11"/>
    </row>
    <row r="1093">
      <c r="A1093" s="10"/>
      <c r="B1093" s="10"/>
      <c r="C1093" s="10"/>
      <c r="D1093" s="10"/>
      <c r="E1093" s="10"/>
      <c r="F1093" s="11"/>
      <c r="G1093" s="11"/>
      <c r="H1093" s="11"/>
      <c r="I1093" s="11"/>
      <c r="J1093" s="11" t="str">
        <f>IFERROR(__xludf.DUMMYFUNCTION("IFERROR(FILTER(Stats!$F:$Z,(Stats!$A:$A=$A1093)*(Stats!$B:$B=$B1093)))"),"#REF!")</f>
        <v>#REF!</v>
      </c>
      <c r="K1093" s="11"/>
      <c r="L1093" s="12"/>
      <c r="M1093" s="11"/>
      <c r="N1093" s="11"/>
      <c r="O1093" s="13"/>
      <c r="P1093" s="14"/>
      <c r="Q1093" s="13"/>
      <c r="R1093" s="13"/>
      <c r="S1093" s="15"/>
      <c r="T1093" s="16"/>
      <c r="U1093" s="16"/>
      <c r="V1093" s="16"/>
      <c r="W1093" s="16"/>
      <c r="X1093" s="16"/>
      <c r="Y1093" s="11"/>
      <c r="Z1093" s="11"/>
      <c r="AA1093" s="11"/>
      <c r="AB1093" s="11"/>
      <c r="AC1093" s="11"/>
      <c r="AD1093" s="11"/>
    </row>
    <row r="1094">
      <c r="A1094" s="10"/>
      <c r="B1094" s="10"/>
      <c r="C1094" s="10"/>
      <c r="D1094" s="10"/>
      <c r="E1094" s="10"/>
      <c r="F1094" s="11"/>
      <c r="G1094" s="11"/>
      <c r="H1094" s="11"/>
      <c r="I1094" s="11"/>
      <c r="J1094" s="11" t="str">
        <f>IFERROR(__xludf.DUMMYFUNCTION("IFERROR(FILTER(Stats!$F:$Z,(Stats!$A:$A=$A1094)*(Stats!$B:$B=$B1094)))"),"#REF!")</f>
        <v>#REF!</v>
      </c>
      <c r="K1094" s="11"/>
      <c r="L1094" s="12"/>
      <c r="M1094" s="11"/>
      <c r="N1094" s="11"/>
      <c r="O1094" s="13"/>
      <c r="P1094" s="14"/>
      <c r="Q1094" s="13"/>
      <c r="R1094" s="13"/>
      <c r="S1094" s="15"/>
      <c r="T1094" s="16"/>
      <c r="U1094" s="16"/>
      <c r="V1094" s="16"/>
      <c r="W1094" s="16"/>
      <c r="X1094" s="16"/>
      <c r="Y1094" s="11"/>
      <c r="Z1094" s="11"/>
      <c r="AA1094" s="11"/>
      <c r="AB1094" s="11"/>
      <c r="AC1094" s="11"/>
      <c r="AD1094" s="11"/>
    </row>
    <row r="1095">
      <c r="A1095" s="10"/>
      <c r="B1095" s="10"/>
      <c r="C1095" s="10"/>
      <c r="D1095" s="10"/>
      <c r="E1095" s="10"/>
      <c r="F1095" s="11"/>
      <c r="G1095" s="11"/>
      <c r="H1095" s="11"/>
      <c r="I1095" s="11"/>
      <c r="J1095" s="11" t="str">
        <f>IFERROR(__xludf.DUMMYFUNCTION("IFERROR(FILTER(Stats!$F:$Z,(Stats!$A:$A=$A1095)*(Stats!$B:$B=$B1095)))"),"#REF!")</f>
        <v>#REF!</v>
      </c>
      <c r="K1095" s="11"/>
      <c r="L1095" s="12"/>
      <c r="M1095" s="11"/>
      <c r="N1095" s="11"/>
      <c r="O1095" s="13"/>
      <c r="P1095" s="14"/>
      <c r="Q1095" s="13"/>
      <c r="R1095" s="13"/>
      <c r="S1095" s="15"/>
      <c r="T1095" s="16"/>
      <c r="U1095" s="16"/>
      <c r="V1095" s="16"/>
      <c r="W1095" s="16"/>
      <c r="X1095" s="16"/>
      <c r="Y1095" s="11"/>
      <c r="Z1095" s="11"/>
      <c r="AA1095" s="11"/>
      <c r="AB1095" s="11"/>
      <c r="AC1095" s="11"/>
      <c r="AD1095" s="11"/>
    </row>
    <row r="1096">
      <c r="A1096" s="10"/>
      <c r="B1096" s="10"/>
      <c r="C1096" s="10"/>
      <c r="D1096" s="10"/>
      <c r="E1096" s="10"/>
      <c r="F1096" s="11"/>
      <c r="G1096" s="11"/>
      <c r="H1096" s="11"/>
      <c r="I1096" s="11"/>
      <c r="J1096" s="11" t="str">
        <f>IFERROR(__xludf.DUMMYFUNCTION("IFERROR(FILTER(Stats!$F:$Z,(Stats!$A:$A=$A1096)*(Stats!$B:$B=$B1096)))"),"#REF!")</f>
        <v>#REF!</v>
      </c>
      <c r="K1096" s="11"/>
      <c r="L1096" s="12"/>
      <c r="M1096" s="11"/>
      <c r="N1096" s="11"/>
      <c r="O1096" s="13"/>
      <c r="P1096" s="14"/>
      <c r="Q1096" s="13"/>
      <c r="R1096" s="13"/>
      <c r="S1096" s="15"/>
      <c r="T1096" s="16"/>
      <c r="U1096" s="16"/>
      <c r="V1096" s="16"/>
      <c r="W1096" s="16"/>
      <c r="X1096" s="16"/>
      <c r="Y1096" s="11"/>
      <c r="Z1096" s="11"/>
      <c r="AA1096" s="11"/>
      <c r="AB1096" s="11"/>
      <c r="AC1096" s="11"/>
      <c r="AD1096" s="11"/>
    </row>
    <row r="1097">
      <c r="A1097" s="10"/>
      <c r="B1097" s="10"/>
      <c r="C1097" s="10"/>
      <c r="D1097" s="10"/>
      <c r="E1097" s="10"/>
      <c r="F1097" s="11"/>
      <c r="G1097" s="11"/>
      <c r="H1097" s="11"/>
      <c r="I1097" s="11"/>
      <c r="J1097" s="11" t="str">
        <f>IFERROR(__xludf.DUMMYFUNCTION("IFERROR(FILTER(Stats!$F:$Z,(Stats!$A:$A=$A1097)*(Stats!$B:$B=$B1097)))"),"#REF!")</f>
        <v>#REF!</v>
      </c>
      <c r="K1097" s="11"/>
      <c r="L1097" s="12"/>
      <c r="M1097" s="11"/>
      <c r="N1097" s="11"/>
      <c r="O1097" s="13"/>
      <c r="P1097" s="14"/>
      <c r="Q1097" s="13"/>
      <c r="R1097" s="13"/>
      <c r="S1097" s="15"/>
      <c r="T1097" s="16"/>
      <c r="U1097" s="16"/>
      <c r="V1097" s="16"/>
      <c r="W1097" s="16"/>
      <c r="X1097" s="16"/>
      <c r="Y1097" s="11"/>
      <c r="Z1097" s="11"/>
      <c r="AA1097" s="11"/>
      <c r="AB1097" s="11"/>
      <c r="AC1097" s="11"/>
      <c r="AD1097" s="11"/>
    </row>
    <row r="1098">
      <c r="A1098" s="10"/>
      <c r="B1098" s="10"/>
      <c r="C1098" s="10"/>
      <c r="D1098" s="10"/>
      <c r="E1098" s="10"/>
      <c r="F1098" s="11"/>
      <c r="G1098" s="11"/>
      <c r="H1098" s="11"/>
      <c r="I1098" s="11"/>
      <c r="J1098" s="11" t="str">
        <f>IFERROR(__xludf.DUMMYFUNCTION("IFERROR(FILTER(Stats!$F:$Z,(Stats!$A:$A=$A1098)*(Stats!$B:$B=$B1098)))"),"#REF!")</f>
        <v>#REF!</v>
      </c>
      <c r="K1098" s="11"/>
      <c r="L1098" s="12"/>
      <c r="M1098" s="11"/>
      <c r="N1098" s="11"/>
      <c r="O1098" s="13"/>
      <c r="P1098" s="14"/>
      <c r="Q1098" s="13"/>
      <c r="R1098" s="13"/>
      <c r="S1098" s="15"/>
      <c r="T1098" s="16"/>
      <c r="U1098" s="16"/>
      <c r="V1098" s="16"/>
      <c r="W1098" s="16"/>
      <c r="X1098" s="16"/>
      <c r="Y1098" s="11"/>
      <c r="Z1098" s="11"/>
      <c r="AA1098" s="11"/>
      <c r="AB1098" s="11"/>
      <c r="AC1098" s="11"/>
      <c r="AD1098" s="11"/>
    </row>
    <row r="1099">
      <c r="A1099" s="10"/>
      <c r="B1099" s="10"/>
      <c r="C1099" s="10"/>
      <c r="D1099" s="10"/>
      <c r="E1099" s="10"/>
      <c r="F1099" s="11"/>
      <c r="G1099" s="11"/>
      <c r="H1099" s="11"/>
      <c r="I1099" s="11"/>
      <c r="J1099" s="11" t="str">
        <f>IFERROR(__xludf.DUMMYFUNCTION("IFERROR(FILTER(Stats!$F:$Z,(Stats!$A:$A=$A1099)*(Stats!$B:$B=$B1099)))"),"#REF!")</f>
        <v>#REF!</v>
      </c>
      <c r="K1099" s="11"/>
      <c r="L1099" s="12"/>
      <c r="M1099" s="11"/>
      <c r="N1099" s="11"/>
      <c r="O1099" s="13"/>
      <c r="P1099" s="14"/>
      <c r="Q1099" s="13"/>
      <c r="R1099" s="13"/>
      <c r="S1099" s="15"/>
      <c r="T1099" s="16"/>
      <c r="U1099" s="16"/>
      <c r="V1099" s="16"/>
      <c r="W1099" s="16"/>
      <c r="X1099" s="16"/>
      <c r="Y1099" s="11"/>
      <c r="Z1099" s="11"/>
      <c r="AA1099" s="11"/>
      <c r="AB1099" s="11"/>
      <c r="AC1099" s="11"/>
      <c r="AD1099" s="11"/>
    </row>
    <row r="1100">
      <c r="A1100" s="10"/>
      <c r="B1100" s="10"/>
      <c r="C1100" s="10"/>
      <c r="D1100" s="10"/>
      <c r="E1100" s="10"/>
      <c r="F1100" s="11"/>
      <c r="G1100" s="11"/>
      <c r="H1100" s="11"/>
      <c r="I1100" s="11"/>
      <c r="J1100" s="11" t="str">
        <f>IFERROR(__xludf.DUMMYFUNCTION("IFERROR(FILTER(Stats!$F:$Z,(Stats!$A:$A=$A1100)*(Stats!$B:$B=$B1100)))"),"#REF!")</f>
        <v>#REF!</v>
      </c>
      <c r="K1100" s="11"/>
      <c r="L1100" s="12"/>
      <c r="M1100" s="11"/>
      <c r="N1100" s="11"/>
      <c r="O1100" s="13"/>
      <c r="P1100" s="14"/>
      <c r="Q1100" s="13"/>
      <c r="R1100" s="13"/>
      <c r="S1100" s="15"/>
      <c r="T1100" s="16"/>
      <c r="U1100" s="16"/>
      <c r="V1100" s="16"/>
      <c r="W1100" s="16"/>
      <c r="X1100" s="16"/>
      <c r="Y1100" s="11"/>
      <c r="Z1100" s="11"/>
      <c r="AA1100" s="11"/>
      <c r="AB1100" s="11"/>
      <c r="AC1100" s="11"/>
      <c r="AD1100" s="11"/>
    </row>
    <row r="1101">
      <c r="A1101" s="10"/>
      <c r="B1101" s="10"/>
      <c r="C1101" s="10"/>
      <c r="D1101" s="10"/>
      <c r="E1101" s="10"/>
      <c r="F1101" s="11"/>
      <c r="G1101" s="11"/>
      <c r="H1101" s="11"/>
      <c r="I1101" s="11"/>
      <c r="J1101" s="11" t="str">
        <f>IFERROR(__xludf.DUMMYFUNCTION("IFERROR(FILTER(Stats!$F:$Z,(Stats!$A:$A=$A1101)*(Stats!$B:$B=$B1101)))"),"#REF!")</f>
        <v>#REF!</v>
      </c>
      <c r="K1101" s="11"/>
      <c r="L1101" s="12"/>
      <c r="M1101" s="11"/>
      <c r="N1101" s="11"/>
      <c r="O1101" s="13"/>
      <c r="P1101" s="14"/>
      <c r="Q1101" s="13"/>
      <c r="R1101" s="13"/>
      <c r="S1101" s="15"/>
      <c r="T1101" s="16"/>
      <c r="U1101" s="16"/>
      <c r="V1101" s="16"/>
      <c r="W1101" s="16"/>
      <c r="X1101" s="16"/>
      <c r="Y1101" s="11"/>
      <c r="Z1101" s="11"/>
      <c r="AA1101" s="11"/>
      <c r="AB1101" s="11"/>
      <c r="AC1101" s="11"/>
      <c r="AD1101" s="11"/>
    </row>
    <row r="1102">
      <c r="A1102" s="10"/>
      <c r="B1102" s="10"/>
      <c r="C1102" s="10"/>
      <c r="D1102" s="10"/>
      <c r="E1102" s="10"/>
      <c r="F1102" s="11"/>
      <c r="G1102" s="11"/>
      <c r="H1102" s="11"/>
      <c r="I1102" s="11"/>
      <c r="J1102" s="11" t="str">
        <f>IFERROR(__xludf.DUMMYFUNCTION("IFERROR(FILTER(Stats!$F:$Z,(Stats!$A:$A=$A1102)*(Stats!$B:$B=$B1102)))"),"#REF!")</f>
        <v>#REF!</v>
      </c>
      <c r="K1102" s="11"/>
      <c r="L1102" s="12"/>
      <c r="M1102" s="11"/>
      <c r="N1102" s="11"/>
      <c r="O1102" s="13"/>
      <c r="P1102" s="14"/>
      <c r="Q1102" s="13"/>
      <c r="R1102" s="13"/>
      <c r="S1102" s="15"/>
      <c r="T1102" s="16"/>
      <c r="U1102" s="16"/>
      <c r="V1102" s="16"/>
      <c r="W1102" s="16"/>
      <c r="X1102" s="16"/>
      <c r="Y1102" s="11"/>
      <c r="Z1102" s="11"/>
      <c r="AA1102" s="11"/>
      <c r="AB1102" s="11"/>
      <c r="AC1102" s="11"/>
      <c r="AD1102" s="11"/>
    </row>
    <row r="1103">
      <c r="A1103" s="10"/>
      <c r="B1103" s="10"/>
      <c r="C1103" s="10"/>
      <c r="D1103" s="10"/>
      <c r="E1103" s="10"/>
      <c r="F1103" s="11"/>
      <c r="G1103" s="11"/>
      <c r="H1103" s="11"/>
      <c r="I1103" s="11"/>
      <c r="J1103" s="11" t="str">
        <f>IFERROR(__xludf.DUMMYFUNCTION("IFERROR(FILTER(Stats!$F:$Z,(Stats!$A:$A=$A1103)*(Stats!$B:$B=$B1103)))"),"#REF!")</f>
        <v>#REF!</v>
      </c>
      <c r="K1103" s="11"/>
      <c r="L1103" s="12"/>
      <c r="M1103" s="11"/>
      <c r="N1103" s="11"/>
      <c r="O1103" s="13"/>
      <c r="P1103" s="14"/>
      <c r="Q1103" s="13"/>
      <c r="R1103" s="13"/>
      <c r="S1103" s="15"/>
      <c r="T1103" s="16"/>
      <c r="U1103" s="16"/>
      <c r="V1103" s="16"/>
      <c r="W1103" s="16"/>
      <c r="X1103" s="16"/>
      <c r="Y1103" s="11"/>
      <c r="Z1103" s="11"/>
      <c r="AA1103" s="11"/>
      <c r="AB1103" s="11"/>
      <c r="AC1103" s="11"/>
      <c r="AD1103" s="11"/>
    </row>
    <row r="1104">
      <c r="A1104" s="10"/>
      <c r="B1104" s="10"/>
      <c r="C1104" s="10"/>
      <c r="D1104" s="10"/>
      <c r="E1104" s="10"/>
      <c r="F1104" s="11"/>
      <c r="G1104" s="11"/>
      <c r="H1104" s="11"/>
      <c r="I1104" s="11"/>
      <c r="J1104" s="11" t="str">
        <f>IFERROR(__xludf.DUMMYFUNCTION("IFERROR(FILTER(Stats!$F:$Z,(Stats!$A:$A=$A1104)*(Stats!$B:$B=$B1104)))"),"#REF!")</f>
        <v>#REF!</v>
      </c>
      <c r="K1104" s="11"/>
      <c r="L1104" s="12"/>
      <c r="M1104" s="11"/>
      <c r="N1104" s="11"/>
      <c r="O1104" s="13"/>
      <c r="P1104" s="14"/>
      <c r="Q1104" s="13"/>
      <c r="R1104" s="13"/>
      <c r="S1104" s="15"/>
      <c r="T1104" s="16"/>
      <c r="U1104" s="16"/>
      <c r="V1104" s="16"/>
      <c r="W1104" s="16"/>
      <c r="X1104" s="16"/>
      <c r="Y1104" s="11"/>
      <c r="Z1104" s="11"/>
      <c r="AA1104" s="11"/>
      <c r="AB1104" s="11"/>
      <c r="AC1104" s="11"/>
      <c r="AD1104" s="11"/>
    </row>
    <row r="1105">
      <c r="A1105" s="10"/>
      <c r="B1105" s="10"/>
      <c r="C1105" s="10"/>
      <c r="D1105" s="10"/>
      <c r="E1105" s="10"/>
      <c r="F1105" s="11"/>
      <c r="G1105" s="11"/>
      <c r="H1105" s="11"/>
      <c r="I1105" s="11"/>
      <c r="J1105" s="11" t="str">
        <f>IFERROR(__xludf.DUMMYFUNCTION("IFERROR(FILTER(Stats!$F:$Z,(Stats!$A:$A=$A1105)*(Stats!$B:$B=$B1105)))"),"#REF!")</f>
        <v>#REF!</v>
      </c>
      <c r="K1105" s="11"/>
      <c r="L1105" s="12"/>
      <c r="M1105" s="11"/>
      <c r="N1105" s="11"/>
      <c r="O1105" s="13"/>
      <c r="P1105" s="14"/>
      <c r="Q1105" s="13"/>
      <c r="R1105" s="13"/>
      <c r="S1105" s="15"/>
      <c r="T1105" s="16"/>
      <c r="U1105" s="16"/>
      <c r="V1105" s="16"/>
      <c r="W1105" s="16"/>
      <c r="X1105" s="16"/>
      <c r="Y1105" s="11"/>
      <c r="Z1105" s="11"/>
      <c r="AA1105" s="11"/>
      <c r="AB1105" s="11"/>
      <c r="AC1105" s="11"/>
      <c r="AD1105" s="11"/>
    </row>
    <row r="1106">
      <c r="A1106" s="10"/>
      <c r="B1106" s="10"/>
      <c r="C1106" s="10"/>
      <c r="D1106" s="10"/>
      <c r="E1106" s="10"/>
      <c r="F1106" s="11"/>
      <c r="G1106" s="11"/>
      <c r="H1106" s="11"/>
      <c r="I1106" s="11"/>
      <c r="J1106" s="11" t="str">
        <f>IFERROR(__xludf.DUMMYFUNCTION("IFERROR(FILTER(Stats!$F:$Z,(Stats!$A:$A=$A1106)*(Stats!$B:$B=$B1106)))"),"#REF!")</f>
        <v>#REF!</v>
      </c>
      <c r="K1106" s="11"/>
      <c r="L1106" s="12"/>
      <c r="M1106" s="11"/>
      <c r="N1106" s="11"/>
      <c r="O1106" s="13"/>
      <c r="P1106" s="14"/>
      <c r="Q1106" s="13"/>
      <c r="R1106" s="13"/>
      <c r="S1106" s="15"/>
      <c r="T1106" s="16"/>
      <c r="U1106" s="16"/>
      <c r="V1106" s="16"/>
      <c r="W1106" s="16"/>
      <c r="X1106" s="16"/>
      <c r="Y1106" s="11"/>
      <c r="Z1106" s="11"/>
      <c r="AA1106" s="11"/>
      <c r="AB1106" s="11"/>
      <c r="AC1106" s="11"/>
      <c r="AD1106" s="11"/>
    </row>
    <row r="1107">
      <c r="A1107" s="10"/>
      <c r="B1107" s="10"/>
      <c r="C1107" s="10"/>
      <c r="D1107" s="10"/>
      <c r="E1107" s="10"/>
      <c r="F1107" s="11"/>
      <c r="G1107" s="11"/>
      <c r="H1107" s="11"/>
      <c r="I1107" s="11"/>
      <c r="J1107" s="11" t="str">
        <f>IFERROR(__xludf.DUMMYFUNCTION("IFERROR(FILTER(Stats!$F:$Z,(Stats!$A:$A=$A1107)*(Stats!$B:$B=$B1107)))"),"#REF!")</f>
        <v>#REF!</v>
      </c>
      <c r="K1107" s="11"/>
      <c r="L1107" s="12"/>
      <c r="M1107" s="11"/>
      <c r="N1107" s="11"/>
      <c r="O1107" s="13"/>
      <c r="P1107" s="14"/>
      <c r="Q1107" s="13"/>
      <c r="R1107" s="13"/>
      <c r="S1107" s="15"/>
      <c r="T1107" s="16"/>
      <c r="U1107" s="16"/>
      <c r="V1107" s="16"/>
      <c r="W1107" s="16"/>
      <c r="X1107" s="16"/>
      <c r="Y1107" s="11"/>
      <c r="Z1107" s="11"/>
      <c r="AA1107" s="11"/>
      <c r="AB1107" s="11"/>
      <c r="AC1107" s="11"/>
      <c r="AD1107" s="11"/>
    </row>
    <row r="1108">
      <c r="A1108" s="10"/>
      <c r="B1108" s="10"/>
      <c r="C1108" s="10"/>
      <c r="D1108" s="10"/>
      <c r="E1108" s="10"/>
      <c r="F1108" s="11"/>
      <c r="G1108" s="11"/>
      <c r="H1108" s="11"/>
      <c r="I1108" s="11"/>
      <c r="J1108" s="11" t="str">
        <f>IFERROR(__xludf.DUMMYFUNCTION("IFERROR(FILTER(Stats!$F:$Z,(Stats!$A:$A=$A1108)*(Stats!$B:$B=$B1108)))"),"#REF!")</f>
        <v>#REF!</v>
      </c>
      <c r="K1108" s="11"/>
      <c r="L1108" s="12"/>
      <c r="M1108" s="11"/>
      <c r="N1108" s="11"/>
      <c r="O1108" s="13"/>
      <c r="P1108" s="14"/>
      <c r="Q1108" s="13"/>
      <c r="R1108" s="13"/>
      <c r="S1108" s="15"/>
      <c r="T1108" s="16"/>
      <c r="U1108" s="16"/>
      <c r="V1108" s="16"/>
      <c r="W1108" s="16"/>
      <c r="X1108" s="16"/>
      <c r="Y1108" s="11"/>
      <c r="Z1108" s="11"/>
      <c r="AA1108" s="11"/>
      <c r="AB1108" s="11"/>
      <c r="AC1108" s="11"/>
      <c r="AD1108" s="11"/>
    </row>
    <row r="1109">
      <c r="A1109" s="10"/>
      <c r="B1109" s="10"/>
      <c r="C1109" s="10"/>
      <c r="D1109" s="10"/>
      <c r="E1109" s="10"/>
      <c r="F1109" s="11"/>
      <c r="G1109" s="11"/>
      <c r="H1109" s="11"/>
      <c r="I1109" s="11"/>
      <c r="J1109" s="11" t="str">
        <f>IFERROR(__xludf.DUMMYFUNCTION("IFERROR(FILTER(Stats!$F:$Z,(Stats!$A:$A=$A1109)*(Stats!$B:$B=$B1109)))"),"#REF!")</f>
        <v>#REF!</v>
      </c>
      <c r="K1109" s="11"/>
      <c r="L1109" s="12"/>
      <c r="M1109" s="11"/>
      <c r="N1109" s="11"/>
      <c r="O1109" s="13"/>
      <c r="P1109" s="14"/>
      <c r="Q1109" s="13"/>
      <c r="R1109" s="13"/>
      <c r="S1109" s="15"/>
      <c r="T1109" s="16"/>
      <c r="U1109" s="16"/>
      <c r="V1109" s="16"/>
      <c r="W1109" s="16"/>
      <c r="X1109" s="16"/>
      <c r="Y1109" s="11"/>
      <c r="Z1109" s="11"/>
      <c r="AA1109" s="11"/>
      <c r="AB1109" s="11"/>
      <c r="AC1109" s="11"/>
      <c r="AD1109" s="11"/>
    </row>
    <row r="1110">
      <c r="A1110" s="10"/>
      <c r="B1110" s="10"/>
      <c r="C1110" s="10"/>
      <c r="D1110" s="10"/>
      <c r="E1110" s="10"/>
      <c r="F1110" s="11"/>
      <c r="G1110" s="11"/>
      <c r="H1110" s="11"/>
      <c r="I1110" s="11"/>
      <c r="J1110" s="11" t="str">
        <f>IFERROR(__xludf.DUMMYFUNCTION("IFERROR(FILTER(Stats!$F:$Z,(Stats!$A:$A=$A1110)*(Stats!$B:$B=$B1110)))"),"#REF!")</f>
        <v>#REF!</v>
      </c>
      <c r="K1110" s="11"/>
      <c r="L1110" s="12"/>
      <c r="M1110" s="11"/>
      <c r="N1110" s="11"/>
      <c r="O1110" s="13"/>
      <c r="P1110" s="14"/>
      <c r="Q1110" s="13"/>
      <c r="R1110" s="13"/>
      <c r="S1110" s="15"/>
      <c r="T1110" s="16"/>
      <c r="U1110" s="16"/>
      <c r="V1110" s="16"/>
      <c r="W1110" s="16"/>
      <c r="X1110" s="16"/>
      <c r="Y1110" s="11"/>
      <c r="Z1110" s="11"/>
      <c r="AA1110" s="11"/>
      <c r="AB1110" s="11"/>
      <c r="AC1110" s="11"/>
      <c r="AD1110" s="11"/>
    </row>
    <row r="1111">
      <c r="A1111" s="10"/>
      <c r="B1111" s="10"/>
      <c r="C1111" s="10"/>
      <c r="D1111" s="10"/>
      <c r="E1111" s="10"/>
      <c r="F1111" s="11"/>
      <c r="G1111" s="11"/>
      <c r="H1111" s="11"/>
      <c r="I1111" s="11"/>
      <c r="J1111" s="11" t="str">
        <f>IFERROR(__xludf.DUMMYFUNCTION("IFERROR(FILTER(Stats!$F:$Z,(Stats!$A:$A=$A1111)*(Stats!$B:$B=$B1111)))"),"#REF!")</f>
        <v>#REF!</v>
      </c>
      <c r="K1111" s="11"/>
      <c r="L1111" s="12"/>
      <c r="M1111" s="11"/>
      <c r="N1111" s="11"/>
      <c r="O1111" s="13"/>
      <c r="P1111" s="14"/>
      <c r="Q1111" s="13"/>
      <c r="R1111" s="13"/>
      <c r="S1111" s="15"/>
      <c r="T1111" s="16"/>
      <c r="U1111" s="16"/>
      <c r="V1111" s="16"/>
      <c r="W1111" s="16"/>
      <c r="X1111" s="16"/>
      <c r="Y1111" s="11"/>
      <c r="Z1111" s="11"/>
      <c r="AA1111" s="11"/>
      <c r="AB1111" s="11"/>
      <c r="AC1111" s="11"/>
      <c r="AD1111" s="11"/>
    </row>
    <row r="1112">
      <c r="A1112" s="10"/>
      <c r="B1112" s="10"/>
      <c r="C1112" s="10"/>
      <c r="D1112" s="10"/>
      <c r="E1112" s="10"/>
      <c r="F1112" s="11"/>
      <c r="G1112" s="11"/>
      <c r="H1112" s="11"/>
      <c r="I1112" s="11"/>
      <c r="J1112" s="11" t="str">
        <f>IFERROR(__xludf.DUMMYFUNCTION("IFERROR(FILTER(Stats!$F:$Z,(Stats!$A:$A=$A1112)*(Stats!$B:$B=$B1112)))"),"#REF!")</f>
        <v>#REF!</v>
      </c>
      <c r="K1112" s="11"/>
      <c r="L1112" s="12"/>
      <c r="M1112" s="11"/>
      <c r="N1112" s="11"/>
      <c r="O1112" s="13"/>
      <c r="P1112" s="14"/>
      <c r="Q1112" s="13"/>
      <c r="R1112" s="13"/>
      <c r="S1112" s="15"/>
      <c r="T1112" s="16"/>
      <c r="U1112" s="16"/>
      <c r="V1112" s="16"/>
      <c r="W1112" s="16"/>
      <c r="X1112" s="16"/>
      <c r="Y1112" s="11"/>
      <c r="Z1112" s="11"/>
      <c r="AA1112" s="11"/>
      <c r="AB1112" s="11"/>
      <c r="AC1112" s="11"/>
      <c r="AD1112" s="11"/>
    </row>
    <row r="1113">
      <c r="A1113" s="10"/>
      <c r="B1113" s="10"/>
      <c r="C1113" s="10"/>
      <c r="D1113" s="10"/>
      <c r="E1113" s="10"/>
      <c r="F1113" s="11"/>
      <c r="G1113" s="11"/>
      <c r="H1113" s="11"/>
      <c r="I1113" s="11"/>
      <c r="J1113" s="11" t="str">
        <f>IFERROR(__xludf.DUMMYFUNCTION("IFERROR(FILTER(Stats!$F:$Z,(Stats!$A:$A=$A1113)*(Stats!$B:$B=$B1113)))"),"#REF!")</f>
        <v>#REF!</v>
      </c>
      <c r="K1113" s="11"/>
      <c r="L1113" s="12"/>
      <c r="M1113" s="11"/>
      <c r="N1113" s="11"/>
      <c r="O1113" s="13"/>
      <c r="P1113" s="14"/>
      <c r="Q1113" s="13"/>
      <c r="R1113" s="13"/>
      <c r="S1113" s="15"/>
      <c r="T1113" s="16"/>
      <c r="U1113" s="16"/>
      <c r="V1113" s="16"/>
      <c r="W1113" s="16"/>
      <c r="X1113" s="16"/>
      <c r="Y1113" s="11"/>
      <c r="Z1113" s="11"/>
      <c r="AA1113" s="11"/>
      <c r="AB1113" s="11"/>
      <c r="AC1113" s="11"/>
      <c r="AD1113" s="11"/>
    </row>
    <row r="1114">
      <c r="A1114" s="10"/>
      <c r="B1114" s="10"/>
      <c r="C1114" s="10"/>
      <c r="D1114" s="10"/>
      <c r="E1114" s="10"/>
      <c r="F1114" s="11"/>
      <c r="G1114" s="11"/>
      <c r="H1114" s="11"/>
      <c r="I1114" s="11"/>
      <c r="J1114" s="11" t="str">
        <f>IFERROR(__xludf.DUMMYFUNCTION("IFERROR(FILTER(Stats!$F:$Z,(Stats!$A:$A=$A1114)*(Stats!$B:$B=$B1114)))"),"#REF!")</f>
        <v>#REF!</v>
      </c>
      <c r="K1114" s="11"/>
      <c r="L1114" s="12"/>
      <c r="M1114" s="11"/>
      <c r="N1114" s="11"/>
      <c r="O1114" s="13"/>
      <c r="P1114" s="14"/>
      <c r="Q1114" s="13"/>
      <c r="R1114" s="13"/>
      <c r="S1114" s="15"/>
      <c r="T1114" s="16"/>
      <c r="U1114" s="16"/>
      <c r="V1114" s="16"/>
      <c r="W1114" s="16"/>
      <c r="X1114" s="16"/>
      <c r="Y1114" s="11"/>
      <c r="Z1114" s="11"/>
      <c r="AA1114" s="11"/>
      <c r="AB1114" s="11"/>
      <c r="AC1114" s="11"/>
      <c r="AD1114" s="11"/>
    </row>
    <row r="1115">
      <c r="A1115" s="10"/>
      <c r="B1115" s="10"/>
      <c r="C1115" s="10"/>
      <c r="D1115" s="10"/>
      <c r="E1115" s="10"/>
      <c r="F1115" s="11"/>
      <c r="G1115" s="11"/>
      <c r="H1115" s="11"/>
      <c r="I1115" s="11"/>
      <c r="J1115" s="11" t="str">
        <f>IFERROR(__xludf.DUMMYFUNCTION("IFERROR(FILTER(Stats!$F:$Z,(Stats!$A:$A=$A1115)*(Stats!$B:$B=$B1115)))"),"#REF!")</f>
        <v>#REF!</v>
      </c>
      <c r="K1115" s="11"/>
      <c r="L1115" s="12"/>
      <c r="M1115" s="11"/>
      <c r="N1115" s="11"/>
      <c r="O1115" s="13"/>
      <c r="P1115" s="14"/>
      <c r="Q1115" s="13"/>
      <c r="R1115" s="13"/>
      <c r="S1115" s="15"/>
      <c r="T1115" s="16"/>
      <c r="U1115" s="16"/>
      <c r="V1115" s="16"/>
      <c r="W1115" s="16"/>
      <c r="X1115" s="16"/>
      <c r="Y1115" s="11"/>
      <c r="Z1115" s="11"/>
      <c r="AA1115" s="11"/>
      <c r="AB1115" s="11"/>
      <c r="AC1115" s="11"/>
      <c r="AD1115" s="11"/>
    </row>
    <row r="1116">
      <c r="A1116" s="10"/>
      <c r="B1116" s="10"/>
      <c r="C1116" s="10"/>
      <c r="D1116" s="10"/>
      <c r="E1116" s="10"/>
      <c r="F1116" s="11"/>
      <c r="G1116" s="11"/>
      <c r="H1116" s="11"/>
      <c r="I1116" s="11"/>
      <c r="J1116" s="11" t="str">
        <f>IFERROR(__xludf.DUMMYFUNCTION("IFERROR(FILTER(Stats!$F:$Z,(Stats!$A:$A=$A1116)*(Stats!$B:$B=$B1116)))"),"#REF!")</f>
        <v>#REF!</v>
      </c>
      <c r="K1116" s="11"/>
      <c r="L1116" s="12"/>
      <c r="M1116" s="11"/>
      <c r="N1116" s="11"/>
      <c r="O1116" s="13"/>
      <c r="P1116" s="14"/>
      <c r="Q1116" s="13"/>
      <c r="R1116" s="13"/>
      <c r="S1116" s="15"/>
      <c r="T1116" s="16"/>
      <c r="U1116" s="16"/>
      <c r="V1116" s="16"/>
      <c r="W1116" s="16"/>
      <c r="X1116" s="16"/>
      <c r="Y1116" s="11"/>
      <c r="Z1116" s="11"/>
      <c r="AA1116" s="11"/>
      <c r="AB1116" s="11"/>
      <c r="AC1116" s="11"/>
      <c r="AD1116" s="11"/>
    </row>
    <row r="1117">
      <c r="A1117" s="10"/>
      <c r="B1117" s="10"/>
      <c r="C1117" s="10"/>
      <c r="D1117" s="10"/>
      <c r="E1117" s="10"/>
      <c r="F1117" s="11"/>
      <c r="G1117" s="11"/>
      <c r="H1117" s="11"/>
      <c r="I1117" s="11"/>
      <c r="J1117" s="11" t="str">
        <f>IFERROR(__xludf.DUMMYFUNCTION("IFERROR(FILTER(Stats!$F:$Z,(Stats!$A:$A=$A1117)*(Stats!$B:$B=$B1117)))"),"#REF!")</f>
        <v>#REF!</v>
      </c>
      <c r="K1117" s="11"/>
      <c r="L1117" s="12"/>
      <c r="M1117" s="11"/>
      <c r="N1117" s="11"/>
      <c r="O1117" s="13"/>
      <c r="P1117" s="14"/>
      <c r="Q1117" s="13"/>
      <c r="R1117" s="13"/>
      <c r="S1117" s="15"/>
      <c r="T1117" s="16"/>
      <c r="U1117" s="16"/>
      <c r="V1117" s="16"/>
      <c r="W1117" s="16"/>
      <c r="X1117" s="16"/>
      <c r="Y1117" s="11"/>
      <c r="Z1117" s="11"/>
      <c r="AA1117" s="11"/>
      <c r="AB1117" s="11"/>
      <c r="AC1117" s="11"/>
      <c r="AD1117" s="11"/>
    </row>
    <row r="1118">
      <c r="A1118" s="10"/>
      <c r="B1118" s="10"/>
      <c r="C1118" s="10"/>
      <c r="D1118" s="10"/>
      <c r="E1118" s="10"/>
      <c r="F1118" s="11"/>
      <c r="G1118" s="11"/>
      <c r="H1118" s="11"/>
      <c r="I1118" s="11"/>
      <c r="J1118" s="11" t="str">
        <f>IFERROR(__xludf.DUMMYFUNCTION("IFERROR(FILTER(Stats!$F:$Z,(Stats!$A:$A=$A1118)*(Stats!$B:$B=$B1118)))"),"#REF!")</f>
        <v>#REF!</v>
      </c>
      <c r="K1118" s="11"/>
      <c r="L1118" s="12"/>
      <c r="M1118" s="11"/>
      <c r="N1118" s="11"/>
      <c r="O1118" s="13"/>
      <c r="P1118" s="14"/>
      <c r="Q1118" s="13"/>
      <c r="R1118" s="13"/>
      <c r="S1118" s="15"/>
      <c r="T1118" s="16"/>
      <c r="U1118" s="16"/>
      <c r="V1118" s="16"/>
      <c r="W1118" s="16"/>
      <c r="X1118" s="16"/>
      <c r="Y1118" s="11"/>
      <c r="Z1118" s="11"/>
      <c r="AA1118" s="11"/>
      <c r="AB1118" s="11"/>
      <c r="AC1118" s="11"/>
      <c r="AD1118" s="11"/>
    </row>
    <row r="1119">
      <c r="A1119" s="10"/>
      <c r="B1119" s="10"/>
      <c r="C1119" s="10"/>
      <c r="D1119" s="10"/>
      <c r="E1119" s="10"/>
      <c r="F1119" s="11"/>
      <c r="G1119" s="11"/>
      <c r="H1119" s="11"/>
      <c r="I1119" s="11"/>
      <c r="J1119" s="11" t="str">
        <f>IFERROR(__xludf.DUMMYFUNCTION("IFERROR(FILTER(Stats!$F:$Z,(Stats!$A:$A=$A1119)*(Stats!$B:$B=$B1119)))"),"#REF!")</f>
        <v>#REF!</v>
      </c>
      <c r="K1119" s="11"/>
      <c r="L1119" s="12"/>
      <c r="M1119" s="11"/>
      <c r="N1119" s="11"/>
      <c r="O1119" s="13"/>
      <c r="P1119" s="14"/>
      <c r="Q1119" s="13"/>
      <c r="R1119" s="13"/>
      <c r="S1119" s="15"/>
      <c r="T1119" s="16"/>
      <c r="U1119" s="16"/>
      <c r="V1119" s="16"/>
      <c r="W1119" s="16"/>
      <c r="X1119" s="16"/>
      <c r="Y1119" s="11"/>
      <c r="Z1119" s="11"/>
      <c r="AA1119" s="11"/>
      <c r="AB1119" s="11"/>
      <c r="AC1119" s="11"/>
      <c r="AD1119" s="11"/>
    </row>
    <row r="1120">
      <c r="A1120" s="10"/>
      <c r="B1120" s="10"/>
      <c r="C1120" s="10"/>
      <c r="D1120" s="10"/>
      <c r="E1120" s="10"/>
      <c r="F1120" s="11"/>
      <c r="G1120" s="11"/>
      <c r="H1120" s="11"/>
      <c r="I1120" s="11"/>
      <c r="J1120" s="11" t="str">
        <f>IFERROR(__xludf.DUMMYFUNCTION("IFERROR(FILTER(Stats!$F:$Z,(Stats!$A:$A=$A1120)*(Stats!$B:$B=$B1120)))"),"#REF!")</f>
        <v>#REF!</v>
      </c>
      <c r="K1120" s="11"/>
      <c r="L1120" s="12"/>
      <c r="M1120" s="11"/>
      <c r="N1120" s="11"/>
      <c r="O1120" s="13"/>
      <c r="P1120" s="14"/>
      <c r="Q1120" s="13"/>
      <c r="R1120" s="13"/>
      <c r="S1120" s="15"/>
      <c r="T1120" s="16"/>
      <c r="U1120" s="16"/>
      <c r="V1120" s="16"/>
      <c r="W1120" s="16"/>
      <c r="X1120" s="16"/>
      <c r="Y1120" s="11"/>
      <c r="Z1120" s="11"/>
      <c r="AA1120" s="11"/>
      <c r="AB1120" s="11"/>
      <c r="AC1120" s="11"/>
      <c r="AD1120" s="11"/>
    </row>
    <row r="1121">
      <c r="A1121" s="10"/>
      <c r="B1121" s="10"/>
      <c r="C1121" s="10"/>
      <c r="D1121" s="10"/>
      <c r="E1121" s="10"/>
      <c r="F1121" s="11"/>
      <c r="G1121" s="11"/>
      <c r="H1121" s="11"/>
      <c r="I1121" s="11"/>
      <c r="J1121" s="11" t="str">
        <f>IFERROR(__xludf.DUMMYFUNCTION("IFERROR(FILTER(Stats!$F:$Z,(Stats!$A:$A=$A1121)*(Stats!$B:$B=$B1121)))"),"#REF!")</f>
        <v>#REF!</v>
      </c>
      <c r="K1121" s="11"/>
      <c r="L1121" s="12"/>
      <c r="M1121" s="11"/>
      <c r="N1121" s="11"/>
      <c r="O1121" s="13"/>
      <c r="P1121" s="14"/>
      <c r="Q1121" s="13"/>
      <c r="R1121" s="13"/>
      <c r="S1121" s="15"/>
      <c r="T1121" s="16"/>
      <c r="U1121" s="16"/>
      <c r="V1121" s="16"/>
      <c r="W1121" s="16"/>
      <c r="X1121" s="16"/>
      <c r="Y1121" s="11"/>
      <c r="Z1121" s="11"/>
      <c r="AA1121" s="11"/>
      <c r="AB1121" s="11"/>
      <c r="AC1121" s="11"/>
      <c r="AD1121" s="11"/>
    </row>
    <row r="1122">
      <c r="A1122" s="10"/>
      <c r="B1122" s="10"/>
      <c r="C1122" s="10"/>
      <c r="D1122" s="10"/>
      <c r="E1122" s="10"/>
      <c r="F1122" s="11"/>
      <c r="G1122" s="11"/>
      <c r="H1122" s="11"/>
      <c r="I1122" s="11"/>
      <c r="J1122" s="11" t="str">
        <f>IFERROR(__xludf.DUMMYFUNCTION("IFERROR(FILTER(Stats!$F:$Z,(Stats!$A:$A=$A1122)*(Stats!$B:$B=$B1122)))"),"#REF!")</f>
        <v>#REF!</v>
      </c>
      <c r="K1122" s="11"/>
      <c r="L1122" s="12"/>
      <c r="M1122" s="11"/>
      <c r="N1122" s="11"/>
      <c r="O1122" s="13"/>
      <c r="P1122" s="14"/>
      <c r="Q1122" s="13"/>
      <c r="R1122" s="13"/>
      <c r="S1122" s="15"/>
      <c r="T1122" s="16"/>
      <c r="U1122" s="16"/>
      <c r="V1122" s="16"/>
      <c r="W1122" s="16"/>
      <c r="X1122" s="16"/>
      <c r="Y1122" s="11"/>
      <c r="Z1122" s="11"/>
      <c r="AA1122" s="11"/>
      <c r="AB1122" s="11"/>
      <c r="AC1122" s="11"/>
      <c r="AD1122" s="11"/>
    </row>
    <row r="1123">
      <c r="A1123" s="10"/>
      <c r="B1123" s="10"/>
      <c r="C1123" s="10"/>
      <c r="D1123" s="10"/>
      <c r="E1123" s="10"/>
      <c r="F1123" s="11"/>
      <c r="G1123" s="11"/>
      <c r="H1123" s="11"/>
      <c r="I1123" s="11"/>
      <c r="J1123" s="11" t="str">
        <f>IFERROR(__xludf.DUMMYFUNCTION("IFERROR(FILTER(Stats!$F:$Z,(Stats!$A:$A=$A1123)*(Stats!$B:$B=$B1123)))"),"#REF!")</f>
        <v>#REF!</v>
      </c>
      <c r="K1123" s="11"/>
      <c r="L1123" s="12"/>
      <c r="M1123" s="11"/>
      <c r="N1123" s="11"/>
      <c r="O1123" s="13"/>
      <c r="P1123" s="14"/>
      <c r="Q1123" s="13"/>
      <c r="R1123" s="13"/>
      <c r="S1123" s="15"/>
      <c r="T1123" s="16"/>
      <c r="U1123" s="16"/>
      <c r="V1123" s="16"/>
      <c r="W1123" s="16"/>
      <c r="X1123" s="16"/>
      <c r="Y1123" s="11"/>
      <c r="Z1123" s="11"/>
      <c r="AA1123" s="11"/>
      <c r="AB1123" s="11"/>
      <c r="AC1123" s="11"/>
      <c r="AD1123" s="11"/>
    </row>
    <row r="1124">
      <c r="A1124" s="10"/>
      <c r="B1124" s="10"/>
      <c r="C1124" s="10"/>
      <c r="D1124" s="10"/>
      <c r="E1124" s="10"/>
      <c r="F1124" s="11"/>
      <c r="G1124" s="11"/>
      <c r="H1124" s="11"/>
      <c r="I1124" s="11"/>
      <c r="J1124" s="11" t="str">
        <f>IFERROR(__xludf.DUMMYFUNCTION("IFERROR(FILTER(Stats!$F:$Z,(Stats!$A:$A=$A1124)*(Stats!$B:$B=$B1124)))"),"#REF!")</f>
        <v>#REF!</v>
      </c>
      <c r="K1124" s="11"/>
      <c r="L1124" s="12"/>
      <c r="M1124" s="11"/>
      <c r="N1124" s="11"/>
      <c r="O1124" s="13"/>
      <c r="P1124" s="14"/>
      <c r="Q1124" s="13"/>
      <c r="R1124" s="13"/>
      <c r="S1124" s="15"/>
      <c r="T1124" s="16"/>
      <c r="U1124" s="16"/>
      <c r="V1124" s="16"/>
      <c r="W1124" s="16"/>
      <c r="X1124" s="16"/>
      <c r="Y1124" s="11"/>
      <c r="Z1124" s="11"/>
      <c r="AA1124" s="11"/>
      <c r="AB1124" s="11"/>
      <c r="AC1124" s="11"/>
      <c r="AD1124" s="11"/>
    </row>
    <row r="1125">
      <c r="A1125" s="10"/>
      <c r="B1125" s="10"/>
      <c r="C1125" s="10"/>
      <c r="D1125" s="10"/>
      <c r="E1125" s="10"/>
      <c r="F1125" s="11"/>
      <c r="G1125" s="11"/>
      <c r="H1125" s="11"/>
      <c r="I1125" s="11"/>
      <c r="J1125" s="11" t="str">
        <f>IFERROR(__xludf.DUMMYFUNCTION("IFERROR(FILTER(Stats!$F:$Z,(Stats!$A:$A=$A1125)*(Stats!$B:$B=$B1125)))"),"#REF!")</f>
        <v>#REF!</v>
      </c>
      <c r="K1125" s="11"/>
      <c r="L1125" s="12"/>
      <c r="M1125" s="11"/>
      <c r="N1125" s="11"/>
      <c r="O1125" s="13"/>
      <c r="P1125" s="14"/>
      <c r="Q1125" s="13"/>
      <c r="R1125" s="13"/>
      <c r="S1125" s="15"/>
      <c r="T1125" s="16"/>
      <c r="U1125" s="16"/>
      <c r="V1125" s="16"/>
      <c r="W1125" s="16"/>
      <c r="X1125" s="16"/>
      <c r="Y1125" s="11"/>
      <c r="Z1125" s="11"/>
      <c r="AA1125" s="11"/>
      <c r="AB1125" s="11"/>
      <c r="AC1125" s="11"/>
      <c r="AD1125" s="11"/>
    </row>
    <row r="1126">
      <c r="A1126" s="10"/>
      <c r="B1126" s="10"/>
      <c r="C1126" s="10"/>
      <c r="D1126" s="10"/>
      <c r="E1126" s="10"/>
      <c r="F1126" s="11"/>
      <c r="G1126" s="11"/>
      <c r="H1126" s="11"/>
      <c r="I1126" s="11"/>
      <c r="J1126" s="11" t="str">
        <f>IFERROR(__xludf.DUMMYFUNCTION("IFERROR(FILTER(Stats!$F:$Z,(Stats!$A:$A=$A1126)*(Stats!$B:$B=$B1126)))"),"#REF!")</f>
        <v>#REF!</v>
      </c>
      <c r="K1126" s="11"/>
      <c r="L1126" s="12"/>
      <c r="M1126" s="11"/>
      <c r="N1126" s="11"/>
      <c r="O1126" s="13"/>
      <c r="P1126" s="14"/>
      <c r="Q1126" s="13"/>
      <c r="R1126" s="13"/>
      <c r="S1126" s="15"/>
      <c r="T1126" s="16"/>
      <c r="U1126" s="16"/>
      <c r="V1126" s="16"/>
      <c r="W1126" s="16"/>
      <c r="X1126" s="16"/>
      <c r="Y1126" s="11"/>
      <c r="Z1126" s="11"/>
      <c r="AA1126" s="11"/>
      <c r="AB1126" s="11"/>
      <c r="AC1126" s="11"/>
      <c r="AD1126" s="11"/>
    </row>
    <row r="1127">
      <c r="A1127" s="10"/>
      <c r="B1127" s="10"/>
      <c r="C1127" s="10"/>
      <c r="D1127" s="10"/>
      <c r="E1127" s="10"/>
      <c r="F1127" s="11"/>
      <c r="G1127" s="11"/>
      <c r="H1127" s="11"/>
      <c r="I1127" s="11"/>
      <c r="J1127" s="11" t="str">
        <f>IFERROR(__xludf.DUMMYFUNCTION("IFERROR(FILTER(Stats!$F:$Z,(Stats!$A:$A=$A1127)*(Stats!$B:$B=$B1127)))"),"#REF!")</f>
        <v>#REF!</v>
      </c>
      <c r="K1127" s="11"/>
      <c r="L1127" s="12"/>
      <c r="M1127" s="11"/>
      <c r="N1127" s="11"/>
      <c r="O1127" s="13"/>
      <c r="P1127" s="14"/>
      <c r="Q1127" s="13"/>
      <c r="R1127" s="13"/>
      <c r="S1127" s="15"/>
      <c r="T1127" s="16"/>
      <c r="U1127" s="16"/>
      <c r="V1127" s="16"/>
      <c r="W1127" s="16"/>
      <c r="X1127" s="16"/>
      <c r="Y1127" s="11"/>
      <c r="Z1127" s="11"/>
      <c r="AA1127" s="11"/>
      <c r="AB1127" s="11"/>
      <c r="AC1127" s="11"/>
      <c r="AD1127" s="11"/>
    </row>
    <row r="1128">
      <c r="A1128" s="10"/>
      <c r="B1128" s="10"/>
      <c r="C1128" s="10"/>
      <c r="D1128" s="10"/>
      <c r="E1128" s="10"/>
      <c r="F1128" s="11"/>
      <c r="G1128" s="11"/>
      <c r="H1128" s="11"/>
      <c r="I1128" s="11"/>
      <c r="J1128" s="11" t="str">
        <f>IFERROR(__xludf.DUMMYFUNCTION("IFERROR(FILTER(Stats!$F:$Z,(Stats!$A:$A=$A1128)*(Stats!$B:$B=$B1128)))"),"#REF!")</f>
        <v>#REF!</v>
      </c>
      <c r="K1128" s="11"/>
      <c r="L1128" s="12"/>
      <c r="M1128" s="11"/>
      <c r="N1128" s="11"/>
      <c r="O1128" s="13"/>
      <c r="P1128" s="14"/>
      <c r="Q1128" s="13"/>
      <c r="R1128" s="13"/>
      <c r="S1128" s="15"/>
      <c r="T1128" s="16"/>
      <c r="U1128" s="16"/>
      <c r="V1128" s="16"/>
      <c r="W1128" s="16"/>
      <c r="X1128" s="16"/>
      <c r="Y1128" s="11"/>
      <c r="Z1128" s="11"/>
      <c r="AA1128" s="11"/>
      <c r="AB1128" s="11"/>
      <c r="AC1128" s="11"/>
      <c r="AD1128" s="11"/>
    </row>
    <row r="1129">
      <c r="A1129" s="10"/>
      <c r="B1129" s="10"/>
      <c r="C1129" s="10"/>
      <c r="D1129" s="10"/>
      <c r="E1129" s="10"/>
      <c r="F1129" s="11"/>
      <c r="G1129" s="11"/>
      <c r="H1129" s="11"/>
      <c r="I1129" s="11"/>
      <c r="J1129" s="11" t="str">
        <f>IFERROR(__xludf.DUMMYFUNCTION("IFERROR(FILTER(Stats!$F:$Z,(Stats!$A:$A=$A1129)*(Stats!$B:$B=$B1129)))"),"#REF!")</f>
        <v>#REF!</v>
      </c>
      <c r="K1129" s="11"/>
      <c r="L1129" s="12"/>
      <c r="M1129" s="11"/>
      <c r="N1129" s="11"/>
      <c r="O1129" s="13"/>
      <c r="P1129" s="14"/>
      <c r="Q1129" s="13"/>
      <c r="R1129" s="13"/>
      <c r="S1129" s="15"/>
      <c r="T1129" s="16"/>
      <c r="U1129" s="16"/>
      <c r="V1129" s="16"/>
      <c r="W1129" s="16"/>
      <c r="X1129" s="16"/>
      <c r="Y1129" s="11"/>
      <c r="Z1129" s="11"/>
      <c r="AA1129" s="11"/>
      <c r="AB1129" s="11"/>
      <c r="AC1129" s="11"/>
      <c r="AD1129" s="11"/>
    </row>
    <row r="1130">
      <c r="A1130" s="10"/>
      <c r="B1130" s="10"/>
      <c r="C1130" s="10"/>
      <c r="D1130" s="10"/>
      <c r="E1130" s="10"/>
      <c r="F1130" s="11"/>
      <c r="G1130" s="11"/>
      <c r="H1130" s="11"/>
      <c r="I1130" s="11"/>
      <c r="J1130" s="11" t="str">
        <f>IFERROR(__xludf.DUMMYFUNCTION("IFERROR(FILTER(Stats!$F:$Z,(Stats!$A:$A=$A1130)*(Stats!$B:$B=$B1130)))"),"#REF!")</f>
        <v>#REF!</v>
      </c>
      <c r="K1130" s="11"/>
      <c r="L1130" s="12"/>
      <c r="M1130" s="11"/>
      <c r="N1130" s="11"/>
      <c r="O1130" s="13"/>
      <c r="P1130" s="14"/>
      <c r="Q1130" s="13"/>
      <c r="R1130" s="13"/>
      <c r="S1130" s="15"/>
      <c r="T1130" s="16"/>
      <c r="U1130" s="16"/>
      <c r="V1130" s="16"/>
      <c r="W1130" s="16"/>
      <c r="X1130" s="16"/>
      <c r="Y1130" s="11"/>
      <c r="Z1130" s="11"/>
      <c r="AA1130" s="11"/>
      <c r="AB1130" s="11"/>
      <c r="AC1130" s="11"/>
      <c r="AD1130" s="11"/>
    </row>
    <row r="1131">
      <c r="A1131" s="10"/>
      <c r="B1131" s="10"/>
      <c r="C1131" s="10"/>
      <c r="D1131" s="10"/>
      <c r="E1131" s="10"/>
      <c r="F1131" s="11"/>
      <c r="G1131" s="11"/>
      <c r="H1131" s="11"/>
      <c r="I1131" s="11"/>
      <c r="J1131" s="11" t="str">
        <f>IFERROR(__xludf.DUMMYFUNCTION("IFERROR(FILTER(Stats!$F:$Z,(Stats!$A:$A=$A1131)*(Stats!$B:$B=$B1131)))"),"#REF!")</f>
        <v>#REF!</v>
      </c>
      <c r="K1131" s="11"/>
      <c r="L1131" s="12"/>
      <c r="M1131" s="11"/>
      <c r="N1131" s="11"/>
      <c r="O1131" s="13"/>
      <c r="P1131" s="14"/>
      <c r="Q1131" s="13"/>
      <c r="R1131" s="13"/>
      <c r="S1131" s="15"/>
      <c r="T1131" s="16"/>
      <c r="U1131" s="16"/>
      <c r="V1131" s="16"/>
      <c r="W1131" s="16"/>
      <c r="X1131" s="16"/>
      <c r="Y1131" s="11"/>
      <c r="Z1131" s="11"/>
      <c r="AA1131" s="11"/>
      <c r="AB1131" s="11"/>
      <c r="AC1131" s="11"/>
      <c r="AD1131" s="11"/>
    </row>
    <row r="1132">
      <c r="A1132" s="10"/>
      <c r="B1132" s="10"/>
      <c r="C1132" s="10"/>
      <c r="D1132" s="10"/>
      <c r="E1132" s="10"/>
      <c r="F1132" s="11"/>
      <c r="G1132" s="11"/>
      <c r="H1132" s="11"/>
      <c r="I1132" s="11"/>
      <c r="J1132" s="11" t="str">
        <f>IFERROR(__xludf.DUMMYFUNCTION("IFERROR(FILTER(Stats!$F:$Z,(Stats!$A:$A=$A1132)*(Stats!$B:$B=$B1132)))"),"#REF!")</f>
        <v>#REF!</v>
      </c>
      <c r="K1132" s="11"/>
      <c r="L1132" s="12"/>
      <c r="M1132" s="11"/>
      <c r="N1132" s="11"/>
      <c r="O1132" s="13"/>
      <c r="P1132" s="14"/>
      <c r="Q1132" s="13"/>
      <c r="R1132" s="13"/>
      <c r="S1132" s="15"/>
      <c r="T1132" s="16"/>
      <c r="U1132" s="16"/>
      <c r="V1132" s="16"/>
      <c r="W1132" s="16"/>
      <c r="X1132" s="16"/>
      <c r="Y1132" s="11"/>
      <c r="Z1132" s="11"/>
      <c r="AA1132" s="11"/>
      <c r="AB1132" s="11"/>
      <c r="AC1132" s="11"/>
      <c r="AD1132" s="11"/>
    </row>
    <row r="1133">
      <c r="A1133" s="10"/>
      <c r="B1133" s="10"/>
      <c r="C1133" s="10"/>
      <c r="D1133" s="10"/>
      <c r="E1133" s="10"/>
      <c r="F1133" s="11"/>
      <c r="G1133" s="11"/>
      <c r="H1133" s="11"/>
      <c r="I1133" s="11"/>
      <c r="J1133" s="11" t="str">
        <f>IFERROR(__xludf.DUMMYFUNCTION("IFERROR(FILTER(Stats!$F:$Z,(Stats!$A:$A=$A1133)*(Stats!$B:$B=$B1133)))"),"#REF!")</f>
        <v>#REF!</v>
      </c>
      <c r="K1133" s="11"/>
      <c r="L1133" s="12"/>
      <c r="M1133" s="11"/>
      <c r="N1133" s="11"/>
      <c r="O1133" s="13"/>
      <c r="P1133" s="14"/>
      <c r="Q1133" s="13"/>
      <c r="R1133" s="13"/>
      <c r="S1133" s="15"/>
      <c r="T1133" s="16"/>
      <c r="U1133" s="16"/>
      <c r="V1133" s="16"/>
      <c r="W1133" s="16"/>
      <c r="X1133" s="16"/>
      <c r="Y1133" s="11"/>
      <c r="Z1133" s="11"/>
      <c r="AA1133" s="11"/>
      <c r="AB1133" s="11"/>
      <c r="AC1133" s="11"/>
      <c r="AD1133" s="11"/>
    </row>
    <row r="1134">
      <c r="A1134" s="10"/>
      <c r="B1134" s="10"/>
      <c r="C1134" s="10"/>
      <c r="D1134" s="10"/>
      <c r="E1134" s="10"/>
      <c r="F1134" s="11"/>
      <c r="G1134" s="11"/>
      <c r="H1134" s="11"/>
      <c r="I1134" s="11"/>
      <c r="J1134" s="11" t="str">
        <f>IFERROR(__xludf.DUMMYFUNCTION("IFERROR(FILTER(Stats!$F:$Z,(Stats!$A:$A=$A1134)*(Stats!$B:$B=$B1134)))"),"#REF!")</f>
        <v>#REF!</v>
      </c>
      <c r="K1134" s="11"/>
      <c r="L1134" s="12"/>
      <c r="M1134" s="11"/>
      <c r="N1134" s="11"/>
      <c r="O1134" s="13"/>
      <c r="P1134" s="14"/>
      <c r="Q1134" s="13"/>
      <c r="R1134" s="13"/>
      <c r="S1134" s="15"/>
      <c r="T1134" s="16"/>
      <c r="U1134" s="16"/>
      <c r="V1134" s="16"/>
      <c r="W1134" s="16"/>
      <c r="X1134" s="16"/>
      <c r="Y1134" s="11"/>
      <c r="Z1134" s="11"/>
      <c r="AA1134" s="11"/>
      <c r="AB1134" s="11"/>
      <c r="AC1134" s="11"/>
      <c r="AD1134" s="11"/>
    </row>
    <row r="1135">
      <c r="A1135" s="10"/>
      <c r="B1135" s="10"/>
      <c r="C1135" s="10"/>
      <c r="D1135" s="10"/>
      <c r="E1135" s="10"/>
      <c r="F1135" s="11"/>
      <c r="G1135" s="11"/>
      <c r="H1135" s="11"/>
      <c r="I1135" s="11"/>
      <c r="J1135" s="11" t="str">
        <f>IFERROR(__xludf.DUMMYFUNCTION("IFERROR(FILTER(Stats!$F:$Z,(Stats!$A:$A=$A1135)*(Stats!$B:$B=$B1135)))"),"#REF!")</f>
        <v>#REF!</v>
      </c>
      <c r="K1135" s="11"/>
      <c r="L1135" s="12"/>
      <c r="M1135" s="11"/>
      <c r="N1135" s="11"/>
      <c r="O1135" s="13"/>
      <c r="P1135" s="14"/>
      <c r="Q1135" s="13"/>
      <c r="R1135" s="13"/>
      <c r="S1135" s="15"/>
      <c r="T1135" s="16"/>
      <c r="U1135" s="16"/>
      <c r="V1135" s="16"/>
      <c r="W1135" s="16"/>
      <c r="X1135" s="16"/>
      <c r="Y1135" s="11"/>
      <c r="Z1135" s="11"/>
      <c r="AA1135" s="11"/>
      <c r="AB1135" s="11"/>
      <c r="AC1135" s="11"/>
      <c r="AD1135" s="11"/>
    </row>
    <row r="1136">
      <c r="A1136" s="10"/>
      <c r="B1136" s="10"/>
      <c r="C1136" s="10"/>
      <c r="D1136" s="10"/>
      <c r="E1136" s="10"/>
      <c r="F1136" s="11"/>
      <c r="G1136" s="11"/>
      <c r="H1136" s="11"/>
      <c r="I1136" s="11"/>
      <c r="J1136" s="11" t="str">
        <f>IFERROR(__xludf.DUMMYFUNCTION("IFERROR(FILTER(Stats!$F:$Z,(Stats!$A:$A=$A1136)*(Stats!$B:$B=$B1136)))"),"#REF!")</f>
        <v>#REF!</v>
      </c>
      <c r="K1136" s="11"/>
      <c r="L1136" s="12"/>
      <c r="M1136" s="11"/>
      <c r="N1136" s="11"/>
      <c r="O1136" s="13"/>
      <c r="P1136" s="14"/>
      <c r="Q1136" s="13"/>
      <c r="R1136" s="13"/>
      <c r="S1136" s="15"/>
      <c r="T1136" s="16"/>
      <c r="U1136" s="16"/>
      <c r="V1136" s="16"/>
      <c r="W1136" s="16"/>
      <c r="X1136" s="16"/>
      <c r="Y1136" s="11"/>
      <c r="Z1136" s="11"/>
      <c r="AA1136" s="11"/>
      <c r="AB1136" s="11"/>
      <c r="AC1136" s="11"/>
      <c r="AD1136" s="11"/>
    </row>
    <row r="1137">
      <c r="A1137" s="10"/>
      <c r="B1137" s="10"/>
      <c r="C1137" s="10"/>
      <c r="D1137" s="10"/>
      <c r="E1137" s="10"/>
      <c r="F1137" s="11"/>
      <c r="G1137" s="11"/>
      <c r="H1137" s="11"/>
      <c r="I1137" s="11"/>
      <c r="J1137" s="11" t="str">
        <f>IFERROR(__xludf.DUMMYFUNCTION("IFERROR(FILTER(Stats!$F:$Z,(Stats!$A:$A=$A1137)*(Stats!$B:$B=$B1137)))"),"#REF!")</f>
        <v>#REF!</v>
      </c>
      <c r="K1137" s="11"/>
      <c r="L1137" s="12"/>
      <c r="M1137" s="11"/>
      <c r="N1137" s="11"/>
      <c r="O1137" s="13"/>
      <c r="P1137" s="14"/>
      <c r="Q1137" s="13"/>
      <c r="R1137" s="13"/>
      <c r="S1137" s="15"/>
      <c r="T1137" s="16"/>
      <c r="U1137" s="16"/>
      <c r="V1137" s="16"/>
      <c r="W1137" s="16"/>
      <c r="X1137" s="16"/>
      <c r="Y1137" s="11"/>
      <c r="Z1137" s="11"/>
      <c r="AA1137" s="11"/>
      <c r="AB1137" s="11"/>
      <c r="AC1137" s="11"/>
      <c r="AD1137" s="11"/>
    </row>
    <row r="1138">
      <c r="A1138" s="10"/>
      <c r="B1138" s="10"/>
      <c r="C1138" s="10"/>
      <c r="D1138" s="10"/>
      <c r="E1138" s="10"/>
      <c r="F1138" s="11"/>
      <c r="G1138" s="11"/>
      <c r="H1138" s="11"/>
      <c r="I1138" s="11"/>
      <c r="J1138" s="11" t="str">
        <f>IFERROR(__xludf.DUMMYFUNCTION("IFERROR(FILTER(Stats!$F:$Z,(Stats!$A:$A=$A1138)*(Stats!$B:$B=$B1138)))"),"#REF!")</f>
        <v>#REF!</v>
      </c>
      <c r="K1138" s="11"/>
      <c r="L1138" s="12"/>
      <c r="M1138" s="11"/>
      <c r="N1138" s="11"/>
      <c r="O1138" s="13"/>
      <c r="P1138" s="14"/>
      <c r="Q1138" s="13"/>
      <c r="R1138" s="13"/>
      <c r="S1138" s="15"/>
      <c r="T1138" s="16"/>
      <c r="U1138" s="16"/>
      <c r="V1138" s="16"/>
      <c r="W1138" s="16"/>
      <c r="X1138" s="16"/>
      <c r="Y1138" s="11"/>
      <c r="Z1138" s="11"/>
      <c r="AA1138" s="11"/>
      <c r="AB1138" s="11"/>
      <c r="AC1138" s="11"/>
      <c r="AD1138" s="11"/>
    </row>
    <row r="1139">
      <c r="A1139" s="10"/>
      <c r="B1139" s="10"/>
      <c r="C1139" s="10"/>
      <c r="D1139" s="10"/>
      <c r="E1139" s="10"/>
      <c r="F1139" s="11"/>
      <c r="G1139" s="11"/>
      <c r="H1139" s="11"/>
      <c r="I1139" s="11"/>
      <c r="J1139" s="11" t="str">
        <f>IFERROR(__xludf.DUMMYFUNCTION("IFERROR(FILTER(Stats!$F:$Z,(Stats!$A:$A=$A1139)*(Stats!$B:$B=$B1139)))"),"#REF!")</f>
        <v>#REF!</v>
      </c>
      <c r="K1139" s="11"/>
      <c r="L1139" s="12"/>
      <c r="M1139" s="11"/>
      <c r="N1139" s="11"/>
      <c r="O1139" s="13"/>
      <c r="P1139" s="14"/>
      <c r="Q1139" s="13"/>
      <c r="R1139" s="13"/>
      <c r="S1139" s="15"/>
      <c r="T1139" s="16"/>
      <c r="U1139" s="16"/>
      <c r="V1139" s="16"/>
      <c r="W1139" s="16"/>
      <c r="X1139" s="16"/>
      <c r="Y1139" s="11"/>
      <c r="Z1139" s="11"/>
      <c r="AA1139" s="11"/>
      <c r="AB1139" s="11"/>
      <c r="AC1139" s="11"/>
      <c r="AD1139" s="11"/>
    </row>
    <row r="1140">
      <c r="A1140" s="10"/>
      <c r="B1140" s="10"/>
      <c r="C1140" s="10"/>
      <c r="D1140" s="10"/>
      <c r="E1140" s="10"/>
      <c r="F1140" s="11"/>
      <c r="G1140" s="11"/>
      <c r="H1140" s="11"/>
      <c r="I1140" s="11"/>
      <c r="J1140" s="11" t="str">
        <f>IFERROR(__xludf.DUMMYFUNCTION("IFERROR(FILTER(Stats!$F:$Z,(Stats!$A:$A=$A1140)*(Stats!$B:$B=$B1140)))"),"#REF!")</f>
        <v>#REF!</v>
      </c>
      <c r="K1140" s="11"/>
      <c r="L1140" s="12"/>
      <c r="M1140" s="11"/>
      <c r="N1140" s="11"/>
      <c r="O1140" s="13"/>
      <c r="P1140" s="14"/>
      <c r="Q1140" s="13"/>
      <c r="R1140" s="13"/>
      <c r="S1140" s="15"/>
      <c r="T1140" s="16"/>
      <c r="U1140" s="16"/>
      <c r="V1140" s="16"/>
      <c r="W1140" s="16"/>
      <c r="X1140" s="16"/>
      <c r="Y1140" s="11"/>
      <c r="Z1140" s="11"/>
      <c r="AA1140" s="11"/>
      <c r="AB1140" s="11"/>
      <c r="AC1140" s="11"/>
      <c r="AD1140" s="11"/>
    </row>
    <row r="1141">
      <c r="A1141" s="10"/>
      <c r="B1141" s="10"/>
      <c r="C1141" s="10"/>
      <c r="D1141" s="10"/>
      <c r="E1141" s="10"/>
      <c r="F1141" s="11"/>
      <c r="G1141" s="11"/>
      <c r="H1141" s="11"/>
      <c r="I1141" s="11"/>
      <c r="J1141" s="11" t="str">
        <f>IFERROR(__xludf.DUMMYFUNCTION("IFERROR(FILTER(Stats!$F:$Z,(Stats!$A:$A=$A1141)*(Stats!$B:$B=$B1141)))"),"#REF!")</f>
        <v>#REF!</v>
      </c>
      <c r="K1141" s="11"/>
      <c r="L1141" s="12"/>
      <c r="M1141" s="11"/>
      <c r="N1141" s="11"/>
      <c r="O1141" s="13"/>
      <c r="P1141" s="14"/>
      <c r="Q1141" s="13"/>
      <c r="R1141" s="13"/>
      <c r="S1141" s="15"/>
      <c r="T1141" s="16"/>
      <c r="U1141" s="16"/>
      <c r="V1141" s="16"/>
      <c r="W1141" s="16"/>
      <c r="X1141" s="16"/>
      <c r="Y1141" s="11"/>
      <c r="Z1141" s="11"/>
      <c r="AA1141" s="11"/>
      <c r="AB1141" s="11"/>
      <c r="AC1141" s="11"/>
      <c r="AD1141" s="11"/>
    </row>
    <row r="1142">
      <c r="A1142" s="10"/>
      <c r="B1142" s="10"/>
      <c r="C1142" s="10"/>
      <c r="D1142" s="10"/>
      <c r="E1142" s="10"/>
      <c r="F1142" s="11"/>
      <c r="G1142" s="11"/>
      <c r="H1142" s="11"/>
      <c r="I1142" s="11"/>
      <c r="J1142" s="11" t="str">
        <f>IFERROR(__xludf.DUMMYFUNCTION("IFERROR(FILTER(Stats!$F:$Z,(Stats!$A:$A=$A1142)*(Stats!$B:$B=$B1142)))"),"#REF!")</f>
        <v>#REF!</v>
      </c>
      <c r="K1142" s="11"/>
      <c r="L1142" s="12"/>
      <c r="M1142" s="11"/>
      <c r="N1142" s="11"/>
      <c r="O1142" s="13"/>
      <c r="P1142" s="14"/>
      <c r="Q1142" s="13"/>
      <c r="R1142" s="13"/>
      <c r="S1142" s="15"/>
      <c r="T1142" s="16"/>
      <c r="U1142" s="16"/>
      <c r="V1142" s="16"/>
      <c r="W1142" s="16"/>
      <c r="X1142" s="16"/>
      <c r="Y1142" s="11"/>
      <c r="Z1142" s="11"/>
      <c r="AA1142" s="11"/>
      <c r="AB1142" s="11"/>
      <c r="AC1142" s="11"/>
      <c r="AD1142" s="11"/>
    </row>
    <row r="1143">
      <c r="A1143" s="10"/>
      <c r="B1143" s="10"/>
      <c r="C1143" s="10"/>
      <c r="D1143" s="10"/>
      <c r="E1143" s="10"/>
      <c r="F1143" s="11"/>
      <c r="G1143" s="11"/>
      <c r="H1143" s="11"/>
      <c r="I1143" s="11"/>
      <c r="J1143" s="11" t="str">
        <f>IFERROR(__xludf.DUMMYFUNCTION("IFERROR(FILTER(Stats!$F:$Z,(Stats!$A:$A=$A1143)*(Stats!$B:$B=$B1143)))"),"#REF!")</f>
        <v>#REF!</v>
      </c>
      <c r="K1143" s="11"/>
      <c r="L1143" s="12"/>
      <c r="M1143" s="11"/>
      <c r="N1143" s="11"/>
      <c r="O1143" s="13"/>
      <c r="P1143" s="14"/>
      <c r="Q1143" s="13"/>
      <c r="R1143" s="13"/>
      <c r="S1143" s="15"/>
      <c r="T1143" s="16"/>
      <c r="U1143" s="16"/>
      <c r="V1143" s="16"/>
      <c r="W1143" s="16"/>
      <c r="X1143" s="16"/>
      <c r="Y1143" s="11"/>
      <c r="Z1143" s="11"/>
      <c r="AA1143" s="11"/>
      <c r="AB1143" s="11"/>
      <c r="AC1143" s="11"/>
      <c r="AD1143" s="11"/>
    </row>
    <row r="1144">
      <c r="A1144" s="10"/>
      <c r="B1144" s="10"/>
      <c r="C1144" s="10"/>
      <c r="D1144" s="10"/>
      <c r="E1144" s="10"/>
      <c r="F1144" s="11"/>
      <c r="G1144" s="11"/>
      <c r="H1144" s="11"/>
      <c r="I1144" s="11"/>
      <c r="J1144" s="11" t="str">
        <f>IFERROR(__xludf.DUMMYFUNCTION("IFERROR(FILTER(Stats!$F:$Z,(Stats!$A:$A=$A1144)*(Stats!$B:$B=$B1144)))"),"#REF!")</f>
        <v>#REF!</v>
      </c>
      <c r="K1144" s="11"/>
      <c r="L1144" s="12"/>
      <c r="M1144" s="11"/>
      <c r="N1144" s="11"/>
      <c r="O1144" s="13"/>
      <c r="P1144" s="14"/>
      <c r="Q1144" s="13"/>
      <c r="R1144" s="13"/>
      <c r="S1144" s="15"/>
      <c r="T1144" s="16"/>
      <c r="U1144" s="16"/>
      <c r="V1144" s="16"/>
      <c r="W1144" s="16"/>
      <c r="X1144" s="16"/>
      <c r="Y1144" s="11"/>
      <c r="Z1144" s="11"/>
      <c r="AA1144" s="11"/>
      <c r="AB1144" s="11"/>
      <c r="AC1144" s="11"/>
      <c r="AD1144" s="11"/>
    </row>
    <row r="1145">
      <c r="A1145" s="10"/>
      <c r="B1145" s="10"/>
      <c r="C1145" s="10"/>
      <c r="D1145" s="10"/>
      <c r="E1145" s="10"/>
      <c r="F1145" s="11"/>
      <c r="G1145" s="11"/>
      <c r="H1145" s="11"/>
      <c r="I1145" s="11"/>
      <c r="J1145" s="11" t="str">
        <f>IFERROR(__xludf.DUMMYFUNCTION("IFERROR(FILTER(Stats!$F:$Z,(Stats!$A:$A=$A1145)*(Stats!$B:$B=$B1145)))"),"#REF!")</f>
        <v>#REF!</v>
      </c>
      <c r="K1145" s="11"/>
      <c r="L1145" s="12"/>
      <c r="M1145" s="11"/>
      <c r="N1145" s="11"/>
      <c r="O1145" s="13"/>
      <c r="P1145" s="14"/>
      <c r="Q1145" s="13"/>
      <c r="R1145" s="13"/>
      <c r="S1145" s="15"/>
      <c r="T1145" s="16"/>
      <c r="U1145" s="16"/>
      <c r="V1145" s="16"/>
      <c r="W1145" s="16"/>
      <c r="X1145" s="16"/>
      <c r="Y1145" s="11"/>
      <c r="Z1145" s="11"/>
      <c r="AA1145" s="11"/>
      <c r="AB1145" s="11"/>
      <c r="AC1145" s="11"/>
      <c r="AD1145" s="11"/>
    </row>
    <row r="1146">
      <c r="A1146" s="10"/>
      <c r="B1146" s="10"/>
      <c r="C1146" s="10"/>
      <c r="D1146" s="10"/>
      <c r="E1146" s="10"/>
      <c r="F1146" s="11"/>
      <c r="G1146" s="11"/>
      <c r="H1146" s="11"/>
      <c r="I1146" s="11"/>
      <c r="J1146" s="11" t="str">
        <f>IFERROR(__xludf.DUMMYFUNCTION("IFERROR(FILTER(Stats!$F:$Z,(Stats!$A:$A=$A1146)*(Stats!$B:$B=$B1146)))"),"#REF!")</f>
        <v>#REF!</v>
      </c>
      <c r="K1146" s="11"/>
      <c r="L1146" s="12"/>
      <c r="M1146" s="11"/>
      <c r="N1146" s="11"/>
      <c r="O1146" s="13"/>
      <c r="P1146" s="14"/>
      <c r="Q1146" s="13"/>
      <c r="R1146" s="13"/>
      <c r="S1146" s="15"/>
      <c r="T1146" s="16"/>
      <c r="U1146" s="16"/>
      <c r="V1146" s="16"/>
      <c r="W1146" s="16"/>
      <c r="X1146" s="16"/>
      <c r="Y1146" s="11"/>
      <c r="Z1146" s="11"/>
      <c r="AA1146" s="11"/>
      <c r="AB1146" s="11"/>
      <c r="AC1146" s="11"/>
      <c r="AD1146" s="11"/>
    </row>
    <row r="1147">
      <c r="A1147" s="10"/>
      <c r="B1147" s="10"/>
      <c r="C1147" s="10"/>
      <c r="D1147" s="10"/>
      <c r="E1147" s="10"/>
      <c r="F1147" s="11"/>
      <c r="G1147" s="11"/>
      <c r="H1147" s="11"/>
      <c r="I1147" s="11"/>
      <c r="J1147" s="11" t="str">
        <f>IFERROR(__xludf.DUMMYFUNCTION("IFERROR(FILTER(Stats!$F:$Z,(Stats!$A:$A=$A1147)*(Stats!$B:$B=$B1147)))"),"#REF!")</f>
        <v>#REF!</v>
      </c>
      <c r="K1147" s="11"/>
      <c r="L1147" s="12"/>
      <c r="M1147" s="11"/>
      <c r="N1147" s="11"/>
      <c r="O1147" s="13"/>
      <c r="P1147" s="14"/>
      <c r="Q1147" s="13"/>
      <c r="R1147" s="13"/>
      <c r="S1147" s="15"/>
      <c r="T1147" s="16"/>
      <c r="U1147" s="16"/>
      <c r="V1147" s="16"/>
      <c r="W1147" s="16"/>
      <c r="X1147" s="16"/>
      <c r="Y1147" s="11"/>
      <c r="Z1147" s="11"/>
      <c r="AA1147" s="11"/>
      <c r="AB1147" s="11"/>
      <c r="AC1147" s="11"/>
      <c r="AD1147" s="11"/>
    </row>
    <row r="1148">
      <c r="A1148" s="10"/>
      <c r="B1148" s="10"/>
      <c r="C1148" s="10"/>
      <c r="D1148" s="10"/>
      <c r="E1148" s="10"/>
      <c r="F1148" s="11"/>
      <c r="G1148" s="11"/>
      <c r="H1148" s="11"/>
      <c r="I1148" s="11"/>
      <c r="J1148" s="11" t="str">
        <f>IFERROR(__xludf.DUMMYFUNCTION("IFERROR(FILTER(Stats!$F:$Z,(Stats!$A:$A=$A1148)*(Stats!$B:$B=$B1148)))"),"#REF!")</f>
        <v>#REF!</v>
      </c>
      <c r="K1148" s="11"/>
      <c r="L1148" s="12"/>
      <c r="M1148" s="11"/>
      <c r="N1148" s="11"/>
      <c r="O1148" s="13"/>
      <c r="P1148" s="14"/>
      <c r="Q1148" s="13"/>
      <c r="R1148" s="13"/>
      <c r="S1148" s="15"/>
      <c r="T1148" s="16"/>
      <c r="U1148" s="16"/>
      <c r="V1148" s="16"/>
      <c r="W1148" s="16"/>
      <c r="X1148" s="16"/>
      <c r="Y1148" s="11"/>
      <c r="Z1148" s="11"/>
      <c r="AA1148" s="11"/>
      <c r="AB1148" s="11"/>
      <c r="AC1148" s="11"/>
      <c r="AD1148" s="11"/>
    </row>
    <row r="1149">
      <c r="A1149" s="10"/>
      <c r="B1149" s="10"/>
      <c r="C1149" s="10"/>
      <c r="D1149" s="10"/>
      <c r="E1149" s="10"/>
      <c r="F1149" s="11"/>
      <c r="G1149" s="11"/>
      <c r="H1149" s="11"/>
      <c r="I1149" s="11"/>
      <c r="J1149" s="11" t="str">
        <f>IFERROR(__xludf.DUMMYFUNCTION("IFERROR(FILTER(Stats!$F:$Z,(Stats!$A:$A=$A1149)*(Stats!$B:$B=$B1149)))"),"#REF!")</f>
        <v>#REF!</v>
      </c>
      <c r="K1149" s="11"/>
      <c r="L1149" s="12"/>
      <c r="M1149" s="11"/>
      <c r="N1149" s="11"/>
      <c r="O1149" s="13"/>
      <c r="P1149" s="14"/>
      <c r="Q1149" s="13"/>
      <c r="R1149" s="13"/>
      <c r="S1149" s="15"/>
      <c r="T1149" s="16"/>
      <c r="U1149" s="16"/>
      <c r="V1149" s="16"/>
      <c r="W1149" s="16"/>
      <c r="X1149" s="16"/>
      <c r="Y1149" s="11"/>
      <c r="Z1149" s="11"/>
      <c r="AA1149" s="11"/>
      <c r="AB1149" s="11"/>
      <c r="AC1149" s="11"/>
      <c r="AD1149" s="11"/>
    </row>
    <row r="1150">
      <c r="A1150" s="10"/>
      <c r="B1150" s="10"/>
      <c r="C1150" s="10"/>
      <c r="D1150" s="10"/>
      <c r="E1150" s="10"/>
      <c r="F1150" s="11"/>
      <c r="G1150" s="11"/>
      <c r="H1150" s="11"/>
      <c r="I1150" s="11"/>
      <c r="J1150" s="11" t="str">
        <f>IFERROR(__xludf.DUMMYFUNCTION("IFERROR(FILTER(Stats!$F:$Z,(Stats!$A:$A=$A1150)*(Stats!$B:$B=$B1150)))"),"#REF!")</f>
        <v>#REF!</v>
      </c>
      <c r="K1150" s="11"/>
      <c r="L1150" s="12"/>
      <c r="M1150" s="11"/>
      <c r="N1150" s="11"/>
      <c r="O1150" s="13"/>
      <c r="P1150" s="14"/>
      <c r="Q1150" s="13"/>
      <c r="R1150" s="13"/>
      <c r="S1150" s="15"/>
      <c r="T1150" s="16"/>
      <c r="U1150" s="16"/>
      <c r="V1150" s="16"/>
      <c r="W1150" s="16"/>
      <c r="X1150" s="16"/>
      <c r="Y1150" s="11"/>
      <c r="Z1150" s="11"/>
      <c r="AA1150" s="11"/>
      <c r="AB1150" s="11"/>
      <c r="AC1150" s="11"/>
      <c r="AD1150" s="11"/>
    </row>
    <row r="1151">
      <c r="A1151" s="10"/>
      <c r="B1151" s="10"/>
      <c r="C1151" s="10"/>
      <c r="D1151" s="10"/>
      <c r="E1151" s="10"/>
      <c r="F1151" s="11"/>
      <c r="G1151" s="11"/>
      <c r="H1151" s="11"/>
      <c r="I1151" s="11"/>
      <c r="J1151" s="11" t="str">
        <f>IFERROR(__xludf.DUMMYFUNCTION("IFERROR(FILTER(Stats!$F:$Z,(Stats!$A:$A=$A1151)*(Stats!$B:$B=$B1151)))"),"#REF!")</f>
        <v>#REF!</v>
      </c>
      <c r="K1151" s="11"/>
      <c r="L1151" s="12"/>
      <c r="M1151" s="11"/>
      <c r="N1151" s="11"/>
      <c r="O1151" s="13"/>
      <c r="P1151" s="14"/>
      <c r="Q1151" s="13"/>
      <c r="R1151" s="13"/>
      <c r="S1151" s="15"/>
      <c r="T1151" s="16"/>
      <c r="U1151" s="16"/>
      <c r="V1151" s="16"/>
      <c r="W1151" s="16"/>
      <c r="X1151" s="16"/>
      <c r="Y1151" s="11"/>
      <c r="Z1151" s="11"/>
      <c r="AA1151" s="11"/>
      <c r="AB1151" s="11"/>
      <c r="AC1151" s="11"/>
      <c r="AD1151" s="11"/>
    </row>
    <row r="1152">
      <c r="A1152" s="10"/>
      <c r="B1152" s="10"/>
      <c r="C1152" s="10"/>
      <c r="D1152" s="10"/>
      <c r="E1152" s="10"/>
      <c r="F1152" s="11"/>
      <c r="G1152" s="11"/>
      <c r="H1152" s="11"/>
      <c r="I1152" s="11"/>
      <c r="J1152" s="11" t="str">
        <f>IFERROR(__xludf.DUMMYFUNCTION("IFERROR(FILTER(Stats!$F:$Z,(Stats!$A:$A=$A1152)*(Stats!$B:$B=$B1152)))"),"#REF!")</f>
        <v>#REF!</v>
      </c>
      <c r="K1152" s="11"/>
      <c r="L1152" s="12"/>
      <c r="M1152" s="11"/>
      <c r="N1152" s="11"/>
      <c r="O1152" s="13"/>
      <c r="P1152" s="14"/>
      <c r="Q1152" s="13"/>
      <c r="R1152" s="13"/>
      <c r="S1152" s="15"/>
      <c r="T1152" s="16"/>
      <c r="U1152" s="16"/>
      <c r="V1152" s="16"/>
      <c r="W1152" s="16"/>
      <c r="X1152" s="16"/>
      <c r="Y1152" s="11"/>
      <c r="Z1152" s="11"/>
      <c r="AA1152" s="11"/>
      <c r="AB1152" s="11"/>
      <c r="AC1152" s="11"/>
      <c r="AD1152" s="11"/>
    </row>
    <row r="1153">
      <c r="A1153" s="10"/>
      <c r="B1153" s="10"/>
      <c r="C1153" s="10"/>
      <c r="D1153" s="10"/>
      <c r="E1153" s="10"/>
      <c r="F1153" s="11"/>
      <c r="G1153" s="11"/>
      <c r="H1153" s="11"/>
      <c r="I1153" s="11"/>
      <c r="J1153" s="11" t="str">
        <f>IFERROR(__xludf.DUMMYFUNCTION("IFERROR(FILTER(Stats!$F:$Z,(Stats!$A:$A=$A1153)*(Stats!$B:$B=$B1153)))"),"#REF!")</f>
        <v>#REF!</v>
      </c>
      <c r="K1153" s="11"/>
      <c r="L1153" s="12"/>
      <c r="M1153" s="11"/>
      <c r="N1153" s="11"/>
      <c r="O1153" s="13"/>
      <c r="P1153" s="14"/>
      <c r="Q1153" s="13"/>
      <c r="R1153" s="13"/>
      <c r="S1153" s="15"/>
      <c r="T1153" s="16"/>
      <c r="U1153" s="16"/>
      <c r="V1153" s="16"/>
      <c r="W1153" s="16"/>
      <c r="X1153" s="16"/>
      <c r="Y1153" s="11"/>
      <c r="Z1153" s="11"/>
      <c r="AA1153" s="11"/>
      <c r="AB1153" s="11"/>
      <c r="AC1153" s="11"/>
      <c r="AD1153" s="11"/>
    </row>
    <row r="1154">
      <c r="A1154" s="10"/>
      <c r="B1154" s="10"/>
      <c r="C1154" s="10"/>
      <c r="D1154" s="10"/>
      <c r="E1154" s="10"/>
      <c r="F1154" s="11"/>
      <c r="G1154" s="11"/>
      <c r="H1154" s="11"/>
      <c r="I1154" s="11"/>
      <c r="J1154" s="11" t="str">
        <f>IFERROR(__xludf.DUMMYFUNCTION("IFERROR(FILTER(Stats!$F:$Z,(Stats!$A:$A=$A1154)*(Stats!$B:$B=$B1154)))"),"#REF!")</f>
        <v>#REF!</v>
      </c>
      <c r="K1154" s="11"/>
      <c r="L1154" s="12"/>
      <c r="M1154" s="11"/>
      <c r="N1154" s="11"/>
      <c r="O1154" s="13"/>
      <c r="P1154" s="14"/>
      <c r="Q1154" s="13"/>
      <c r="R1154" s="13"/>
      <c r="S1154" s="15"/>
      <c r="T1154" s="16"/>
      <c r="U1154" s="16"/>
      <c r="V1154" s="16"/>
      <c r="W1154" s="16"/>
      <c r="X1154" s="16"/>
      <c r="Y1154" s="11"/>
      <c r="Z1154" s="11"/>
      <c r="AA1154" s="11"/>
      <c r="AB1154" s="11"/>
      <c r="AC1154" s="11"/>
      <c r="AD1154" s="11"/>
    </row>
    <row r="1155">
      <c r="A1155" s="10"/>
      <c r="B1155" s="10"/>
      <c r="C1155" s="10"/>
      <c r="D1155" s="10"/>
      <c r="E1155" s="10"/>
      <c r="F1155" s="11"/>
      <c r="G1155" s="11"/>
      <c r="H1155" s="11"/>
      <c r="I1155" s="11"/>
      <c r="J1155" s="11" t="str">
        <f>IFERROR(__xludf.DUMMYFUNCTION("IFERROR(FILTER(Stats!$F:$Z,(Stats!$A:$A=$A1155)*(Stats!$B:$B=$B1155)))"),"#REF!")</f>
        <v>#REF!</v>
      </c>
      <c r="K1155" s="11"/>
      <c r="L1155" s="12"/>
      <c r="M1155" s="11"/>
      <c r="N1155" s="11"/>
      <c r="O1155" s="13"/>
      <c r="P1155" s="14"/>
      <c r="Q1155" s="13"/>
      <c r="R1155" s="13"/>
      <c r="S1155" s="15"/>
      <c r="T1155" s="16"/>
      <c r="U1155" s="16"/>
      <c r="V1155" s="16"/>
      <c r="W1155" s="16"/>
      <c r="X1155" s="16"/>
      <c r="Y1155" s="11"/>
      <c r="Z1155" s="11"/>
      <c r="AA1155" s="11"/>
      <c r="AB1155" s="11"/>
      <c r="AC1155" s="11"/>
      <c r="AD1155" s="11"/>
    </row>
    <row r="1156">
      <c r="A1156" s="10"/>
      <c r="B1156" s="10"/>
      <c r="C1156" s="10"/>
      <c r="D1156" s="10"/>
      <c r="E1156" s="10"/>
      <c r="F1156" s="11"/>
      <c r="G1156" s="11"/>
      <c r="H1156" s="11"/>
      <c r="I1156" s="11"/>
      <c r="J1156" s="11" t="str">
        <f>IFERROR(__xludf.DUMMYFUNCTION("IFERROR(FILTER(Stats!$F:$Z,(Stats!$A:$A=$A1156)*(Stats!$B:$B=$B1156)))"),"#REF!")</f>
        <v>#REF!</v>
      </c>
      <c r="K1156" s="11"/>
      <c r="L1156" s="12"/>
      <c r="M1156" s="11"/>
      <c r="N1156" s="11"/>
      <c r="O1156" s="13"/>
      <c r="P1156" s="14"/>
      <c r="Q1156" s="13"/>
      <c r="R1156" s="13"/>
      <c r="S1156" s="15"/>
      <c r="T1156" s="16"/>
      <c r="U1156" s="16"/>
      <c r="V1156" s="16"/>
      <c r="W1156" s="16"/>
      <c r="X1156" s="16"/>
      <c r="Y1156" s="11"/>
      <c r="Z1156" s="11"/>
      <c r="AA1156" s="11"/>
      <c r="AB1156" s="11"/>
      <c r="AC1156" s="11"/>
      <c r="AD1156" s="11"/>
    </row>
    <row r="1157">
      <c r="A1157" s="10"/>
      <c r="B1157" s="10"/>
      <c r="C1157" s="10"/>
      <c r="D1157" s="10"/>
      <c r="E1157" s="10"/>
      <c r="F1157" s="11"/>
      <c r="G1157" s="11"/>
      <c r="H1157" s="11"/>
      <c r="I1157" s="11"/>
      <c r="J1157" s="11" t="str">
        <f>IFERROR(__xludf.DUMMYFUNCTION("IFERROR(FILTER(Stats!$F:$Z,(Stats!$A:$A=$A1157)*(Stats!$B:$B=$B1157)))"),"#REF!")</f>
        <v>#REF!</v>
      </c>
      <c r="K1157" s="11"/>
      <c r="L1157" s="12"/>
      <c r="M1157" s="11"/>
      <c r="N1157" s="11"/>
      <c r="O1157" s="13"/>
      <c r="P1157" s="14"/>
      <c r="Q1157" s="13"/>
      <c r="R1157" s="13"/>
      <c r="S1157" s="15"/>
      <c r="T1157" s="16"/>
      <c r="U1157" s="16"/>
      <c r="V1157" s="16"/>
      <c r="W1157" s="16"/>
      <c r="X1157" s="16"/>
      <c r="Y1157" s="11"/>
      <c r="Z1157" s="11"/>
      <c r="AA1157" s="11"/>
      <c r="AB1157" s="11"/>
      <c r="AC1157" s="11"/>
      <c r="AD1157" s="11"/>
    </row>
    <row r="1158">
      <c r="A1158" s="10"/>
      <c r="B1158" s="10"/>
      <c r="C1158" s="10"/>
      <c r="D1158" s="10"/>
      <c r="E1158" s="10"/>
      <c r="F1158" s="11"/>
      <c r="G1158" s="11"/>
      <c r="H1158" s="11"/>
      <c r="I1158" s="11"/>
      <c r="J1158" s="11" t="str">
        <f>IFERROR(__xludf.DUMMYFUNCTION("IFERROR(FILTER(Stats!$F:$Z,(Stats!$A:$A=$A1158)*(Stats!$B:$B=$B1158)))"),"#REF!")</f>
        <v>#REF!</v>
      </c>
      <c r="K1158" s="11"/>
      <c r="L1158" s="12"/>
      <c r="M1158" s="11"/>
      <c r="N1158" s="11"/>
      <c r="O1158" s="13"/>
      <c r="P1158" s="14"/>
      <c r="Q1158" s="13"/>
      <c r="R1158" s="13"/>
      <c r="S1158" s="15"/>
      <c r="T1158" s="16"/>
      <c r="U1158" s="16"/>
      <c r="V1158" s="16"/>
      <c r="W1158" s="16"/>
      <c r="X1158" s="16"/>
      <c r="Y1158" s="11"/>
      <c r="Z1158" s="11"/>
      <c r="AA1158" s="11"/>
      <c r="AB1158" s="11"/>
      <c r="AC1158" s="11"/>
      <c r="AD1158" s="11"/>
    </row>
    <row r="1159">
      <c r="A1159" s="10"/>
      <c r="B1159" s="10"/>
      <c r="C1159" s="10"/>
      <c r="D1159" s="10"/>
      <c r="E1159" s="10"/>
      <c r="F1159" s="11"/>
      <c r="G1159" s="11"/>
      <c r="H1159" s="11"/>
      <c r="I1159" s="11"/>
      <c r="J1159" s="11" t="str">
        <f>IFERROR(__xludf.DUMMYFUNCTION("IFERROR(FILTER(Stats!$F:$Z,(Stats!$A:$A=$A1159)*(Stats!$B:$B=$B1159)))"),"#REF!")</f>
        <v>#REF!</v>
      </c>
      <c r="K1159" s="11"/>
      <c r="L1159" s="12"/>
      <c r="M1159" s="11"/>
      <c r="N1159" s="11"/>
      <c r="O1159" s="13"/>
      <c r="P1159" s="14"/>
      <c r="Q1159" s="13"/>
      <c r="R1159" s="13"/>
      <c r="S1159" s="15"/>
      <c r="T1159" s="16"/>
      <c r="U1159" s="16"/>
      <c r="V1159" s="16"/>
      <c r="W1159" s="16"/>
      <c r="X1159" s="16"/>
      <c r="Y1159" s="11"/>
      <c r="Z1159" s="11"/>
      <c r="AA1159" s="11"/>
      <c r="AB1159" s="11"/>
      <c r="AC1159" s="11"/>
      <c r="AD1159" s="11"/>
    </row>
    <row r="1160">
      <c r="A1160" s="10"/>
      <c r="B1160" s="10"/>
      <c r="C1160" s="10"/>
      <c r="D1160" s="10"/>
      <c r="E1160" s="10"/>
      <c r="F1160" s="11"/>
      <c r="G1160" s="11"/>
      <c r="H1160" s="11"/>
      <c r="I1160" s="11"/>
      <c r="J1160" s="11" t="str">
        <f>IFERROR(__xludf.DUMMYFUNCTION("IFERROR(FILTER(Stats!$F:$Z,(Stats!$A:$A=$A1160)*(Stats!$B:$B=$B1160)))"),"#REF!")</f>
        <v>#REF!</v>
      </c>
      <c r="K1160" s="11"/>
      <c r="L1160" s="12"/>
      <c r="M1160" s="11"/>
      <c r="N1160" s="11"/>
      <c r="O1160" s="13"/>
      <c r="P1160" s="14"/>
      <c r="Q1160" s="13"/>
      <c r="R1160" s="13"/>
      <c r="S1160" s="15"/>
      <c r="T1160" s="16"/>
      <c r="U1160" s="16"/>
      <c r="V1160" s="16"/>
      <c r="W1160" s="16"/>
      <c r="X1160" s="16"/>
      <c r="Y1160" s="11"/>
      <c r="Z1160" s="11"/>
      <c r="AA1160" s="11"/>
      <c r="AB1160" s="11"/>
      <c r="AC1160" s="11"/>
      <c r="AD1160" s="11"/>
    </row>
    <row r="1161">
      <c r="A1161" s="10"/>
      <c r="B1161" s="10"/>
      <c r="C1161" s="10"/>
      <c r="D1161" s="10"/>
      <c r="E1161" s="10"/>
      <c r="F1161" s="11"/>
      <c r="G1161" s="11"/>
      <c r="H1161" s="11"/>
      <c r="I1161" s="11"/>
      <c r="J1161" s="11" t="str">
        <f>IFERROR(__xludf.DUMMYFUNCTION("IFERROR(FILTER(Stats!$F:$Z,(Stats!$A:$A=$A1161)*(Stats!$B:$B=$B1161)))"),"#REF!")</f>
        <v>#REF!</v>
      </c>
      <c r="K1161" s="11"/>
      <c r="L1161" s="12"/>
      <c r="M1161" s="11"/>
      <c r="N1161" s="11"/>
      <c r="O1161" s="13"/>
      <c r="P1161" s="14"/>
      <c r="Q1161" s="13"/>
      <c r="R1161" s="13"/>
      <c r="S1161" s="15"/>
      <c r="T1161" s="16"/>
      <c r="U1161" s="16"/>
      <c r="V1161" s="16"/>
      <c r="W1161" s="16"/>
      <c r="X1161" s="16"/>
      <c r="Y1161" s="11"/>
      <c r="Z1161" s="11"/>
      <c r="AA1161" s="11"/>
      <c r="AB1161" s="11"/>
      <c r="AC1161" s="11"/>
      <c r="AD1161" s="11"/>
    </row>
    <row r="1162">
      <c r="A1162" s="10"/>
      <c r="B1162" s="10"/>
      <c r="C1162" s="10"/>
      <c r="D1162" s="10"/>
      <c r="E1162" s="10"/>
      <c r="F1162" s="11"/>
      <c r="G1162" s="11"/>
      <c r="H1162" s="11"/>
      <c r="I1162" s="11"/>
      <c r="J1162" s="11" t="str">
        <f>IFERROR(__xludf.DUMMYFUNCTION("IFERROR(FILTER(Stats!$F:$Z,(Stats!$A:$A=$A1162)*(Stats!$B:$B=$B1162)))"),"#REF!")</f>
        <v>#REF!</v>
      </c>
      <c r="K1162" s="11"/>
      <c r="L1162" s="12"/>
      <c r="M1162" s="11"/>
      <c r="N1162" s="11"/>
      <c r="O1162" s="13"/>
      <c r="P1162" s="14"/>
      <c r="Q1162" s="13"/>
      <c r="R1162" s="13"/>
      <c r="S1162" s="15"/>
      <c r="T1162" s="16"/>
      <c r="U1162" s="16"/>
      <c r="V1162" s="16"/>
      <c r="W1162" s="16"/>
      <c r="X1162" s="16"/>
      <c r="Y1162" s="11"/>
      <c r="Z1162" s="11"/>
      <c r="AA1162" s="11"/>
      <c r="AB1162" s="11"/>
      <c r="AC1162" s="11"/>
      <c r="AD1162" s="11"/>
    </row>
    <row r="1163">
      <c r="A1163" s="10"/>
      <c r="B1163" s="10"/>
      <c r="C1163" s="10"/>
      <c r="D1163" s="10"/>
      <c r="E1163" s="10"/>
      <c r="F1163" s="11"/>
      <c r="G1163" s="11"/>
      <c r="H1163" s="11"/>
      <c r="I1163" s="11"/>
      <c r="J1163" s="11" t="str">
        <f>IFERROR(__xludf.DUMMYFUNCTION("IFERROR(FILTER(Stats!$F:$Z,(Stats!$A:$A=$A1163)*(Stats!$B:$B=$B1163)))"),"#REF!")</f>
        <v>#REF!</v>
      </c>
      <c r="K1163" s="11"/>
      <c r="L1163" s="12"/>
      <c r="M1163" s="11"/>
      <c r="N1163" s="11"/>
      <c r="O1163" s="13"/>
      <c r="P1163" s="14"/>
      <c r="Q1163" s="13"/>
      <c r="R1163" s="13"/>
      <c r="S1163" s="15"/>
      <c r="T1163" s="16"/>
      <c r="U1163" s="16"/>
      <c r="V1163" s="16"/>
      <c r="W1163" s="16"/>
      <c r="X1163" s="16"/>
      <c r="Y1163" s="11"/>
      <c r="Z1163" s="11"/>
      <c r="AA1163" s="11"/>
      <c r="AB1163" s="11"/>
      <c r="AC1163" s="11"/>
      <c r="AD1163" s="11"/>
    </row>
    <row r="1164">
      <c r="A1164" s="10"/>
      <c r="B1164" s="10"/>
      <c r="C1164" s="10"/>
      <c r="D1164" s="10"/>
      <c r="E1164" s="10"/>
      <c r="F1164" s="11"/>
      <c r="G1164" s="11"/>
      <c r="H1164" s="11"/>
      <c r="I1164" s="11"/>
      <c r="J1164" s="11" t="str">
        <f>IFERROR(__xludf.DUMMYFUNCTION("IFERROR(FILTER(Stats!$F:$Z,(Stats!$A:$A=$A1164)*(Stats!$B:$B=$B1164)))"),"#REF!")</f>
        <v>#REF!</v>
      </c>
      <c r="K1164" s="11"/>
      <c r="L1164" s="12"/>
      <c r="M1164" s="11"/>
      <c r="N1164" s="11"/>
      <c r="O1164" s="13"/>
      <c r="P1164" s="14"/>
      <c r="Q1164" s="13"/>
      <c r="R1164" s="13"/>
      <c r="S1164" s="15"/>
      <c r="T1164" s="16"/>
      <c r="U1164" s="16"/>
      <c r="V1164" s="16"/>
      <c r="W1164" s="16"/>
      <c r="X1164" s="16"/>
      <c r="Y1164" s="11"/>
      <c r="Z1164" s="11"/>
      <c r="AA1164" s="11"/>
      <c r="AB1164" s="11"/>
      <c r="AC1164" s="11"/>
      <c r="AD1164" s="11"/>
    </row>
    <row r="1165">
      <c r="A1165" s="10"/>
      <c r="B1165" s="10"/>
      <c r="C1165" s="10"/>
      <c r="D1165" s="10"/>
      <c r="E1165" s="10"/>
      <c r="F1165" s="11"/>
      <c r="G1165" s="11"/>
      <c r="H1165" s="11"/>
      <c r="I1165" s="11"/>
      <c r="J1165" s="11" t="str">
        <f>IFERROR(__xludf.DUMMYFUNCTION("IFERROR(FILTER(Stats!$F:$Z,(Stats!$A:$A=$A1165)*(Stats!$B:$B=$B1165)))"),"#REF!")</f>
        <v>#REF!</v>
      </c>
      <c r="K1165" s="11"/>
      <c r="L1165" s="12"/>
      <c r="M1165" s="11"/>
      <c r="N1165" s="11"/>
      <c r="O1165" s="13"/>
      <c r="P1165" s="14"/>
      <c r="Q1165" s="13"/>
      <c r="R1165" s="13"/>
      <c r="S1165" s="15"/>
      <c r="T1165" s="16"/>
      <c r="U1165" s="16"/>
      <c r="V1165" s="16"/>
      <c r="W1165" s="16"/>
      <c r="X1165" s="16"/>
      <c r="Y1165" s="11"/>
      <c r="Z1165" s="11"/>
      <c r="AA1165" s="11"/>
      <c r="AB1165" s="11"/>
      <c r="AC1165" s="11"/>
      <c r="AD1165" s="11"/>
    </row>
    <row r="1166">
      <c r="A1166" s="10"/>
      <c r="B1166" s="10"/>
      <c r="C1166" s="10"/>
      <c r="D1166" s="10"/>
      <c r="E1166" s="10"/>
      <c r="F1166" s="11"/>
      <c r="G1166" s="11"/>
      <c r="H1166" s="11"/>
      <c r="I1166" s="11"/>
      <c r="J1166" s="11" t="str">
        <f>IFERROR(__xludf.DUMMYFUNCTION("IFERROR(FILTER(Stats!$F:$Z,(Stats!$A:$A=$A1166)*(Stats!$B:$B=$B1166)))"),"#REF!")</f>
        <v>#REF!</v>
      </c>
      <c r="K1166" s="11"/>
      <c r="L1166" s="12"/>
      <c r="M1166" s="11"/>
      <c r="N1166" s="11"/>
      <c r="O1166" s="13"/>
      <c r="P1166" s="14"/>
      <c r="Q1166" s="13"/>
      <c r="R1166" s="13"/>
      <c r="S1166" s="15"/>
      <c r="T1166" s="16"/>
      <c r="U1166" s="16"/>
      <c r="V1166" s="16"/>
      <c r="W1166" s="16"/>
      <c r="X1166" s="16"/>
      <c r="Y1166" s="11"/>
      <c r="Z1166" s="11"/>
      <c r="AA1166" s="11"/>
      <c r="AB1166" s="11"/>
      <c r="AC1166" s="11"/>
      <c r="AD1166" s="11"/>
    </row>
    <row r="1167">
      <c r="A1167" s="10"/>
      <c r="B1167" s="10"/>
      <c r="C1167" s="10"/>
      <c r="D1167" s="10"/>
      <c r="E1167" s="10"/>
      <c r="F1167" s="11"/>
      <c r="G1167" s="11"/>
      <c r="H1167" s="11"/>
      <c r="I1167" s="11"/>
      <c r="J1167" s="11" t="str">
        <f>IFERROR(__xludf.DUMMYFUNCTION("IFERROR(FILTER(Stats!$F:$Z,(Stats!$A:$A=$A1167)*(Stats!$B:$B=$B1167)))"),"#REF!")</f>
        <v>#REF!</v>
      </c>
      <c r="K1167" s="11"/>
      <c r="L1167" s="12"/>
      <c r="M1167" s="11"/>
      <c r="N1167" s="11"/>
      <c r="O1167" s="13"/>
      <c r="P1167" s="14"/>
      <c r="Q1167" s="13"/>
      <c r="R1167" s="13"/>
      <c r="S1167" s="15"/>
      <c r="T1167" s="16"/>
      <c r="U1167" s="16"/>
      <c r="V1167" s="16"/>
      <c r="W1167" s="16"/>
      <c r="X1167" s="16"/>
      <c r="Y1167" s="11"/>
      <c r="Z1167" s="11"/>
      <c r="AA1167" s="11"/>
      <c r="AB1167" s="11"/>
      <c r="AC1167" s="11"/>
      <c r="AD1167" s="11"/>
    </row>
    <row r="1168">
      <c r="A1168" s="10"/>
      <c r="B1168" s="10"/>
      <c r="C1168" s="10"/>
      <c r="D1168" s="10"/>
      <c r="E1168" s="10"/>
      <c r="F1168" s="11"/>
      <c r="G1168" s="11"/>
      <c r="H1168" s="11"/>
      <c r="I1168" s="11"/>
      <c r="J1168" s="11" t="str">
        <f>IFERROR(__xludf.DUMMYFUNCTION("IFERROR(FILTER(Stats!$F:$Z,(Stats!$A:$A=$A1168)*(Stats!$B:$B=$B1168)))"),"#REF!")</f>
        <v>#REF!</v>
      </c>
      <c r="K1168" s="11"/>
      <c r="L1168" s="12"/>
      <c r="M1168" s="11"/>
      <c r="N1168" s="11"/>
      <c r="O1168" s="13"/>
      <c r="P1168" s="14"/>
      <c r="Q1168" s="13"/>
      <c r="R1168" s="13"/>
      <c r="S1168" s="15"/>
      <c r="T1168" s="16"/>
      <c r="U1168" s="16"/>
      <c r="V1168" s="16"/>
      <c r="W1168" s="16"/>
      <c r="X1168" s="16"/>
      <c r="Y1168" s="11"/>
      <c r="Z1168" s="11"/>
      <c r="AA1168" s="11"/>
      <c r="AB1168" s="11"/>
      <c r="AC1168" s="11"/>
      <c r="AD1168" s="11"/>
    </row>
    <row r="1169">
      <c r="A1169" s="10"/>
      <c r="B1169" s="10"/>
      <c r="C1169" s="10"/>
      <c r="D1169" s="10"/>
      <c r="E1169" s="10"/>
      <c r="F1169" s="11"/>
      <c r="G1169" s="11"/>
      <c r="H1169" s="11"/>
      <c r="I1169" s="11"/>
      <c r="J1169" s="11" t="str">
        <f>IFERROR(__xludf.DUMMYFUNCTION("IFERROR(FILTER(Stats!$F:$Z,(Stats!$A:$A=$A1169)*(Stats!$B:$B=$B1169)))"),"#REF!")</f>
        <v>#REF!</v>
      </c>
      <c r="K1169" s="11"/>
      <c r="L1169" s="12"/>
      <c r="M1169" s="11"/>
      <c r="N1169" s="11"/>
      <c r="O1169" s="13"/>
      <c r="P1169" s="14"/>
      <c r="Q1169" s="13"/>
      <c r="R1169" s="13"/>
      <c r="S1169" s="15"/>
      <c r="T1169" s="16"/>
      <c r="U1169" s="16"/>
      <c r="V1169" s="16"/>
      <c r="W1169" s="16"/>
      <c r="X1169" s="16"/>
      <c r="Y1169" s="11"/>
      <c r="Z1169" s="11"/>
      <c r="AA1169" s="11"/>
      <c r="AB1169" s="11"/>
      <c r="AC1169" s="11"/>
      <c r="AD1169" s="11"/>
    </row>
    <row r="1170">
      <c r="A1170" s="10"/>
      <c r="B1170" s="10"/>
      <c r="C1170" s="10"/>
      <c r="D1170" s="10"/>
      <c r="E1170" s="10"/>
      <c r="F1170" s="11"/>
      <c r="G1170" s="11"/>
      <c r="H1170" s="11"/>
      <c r="I1170" s="11"/>
      <c r="J1170" s="11" t="str">
        <f>IFERROR(__xludf.DUMMYFUNCTION("IFERROR(FILTER(Stats!$F:$Z,(Stats!$A:$A=$A1170)*(Stats!$B:$B=$B1170)))"),"#REF!")</f>
        <v>#REF!</v>
      </c>
      <c r="K1170" s="11"/>
      <c r="L1170" s="12"/>
      <c r="M1170" s="11"/>
      <c r="N1170" s="11"/>
      <c r="O1170" s="13"/>
      <c r="P1170" s="14"/>
      <c r="Q1170" s="13"/>
      <c r="R1170" s="13"/>
      <c r="S1170" s="15"/>
      <c r="T1170" s="16"/>
      <c r="U1170" s="16"/>
      <c r="V1170" s="16"/>
      <c r="W1170" s="16"/>
      <c r="X1170" s="16"/>
      <c r="Y1170" s="11"/>
      <c r="Z1170" s="11"/>
      <c r="AA1170" s="11"/>
      <c r="AB1170" s="11"/>
      <c r="AC1170" s="11"/>
      <c r="AD1170" s="11"/>
    </row>
    <row r="1171">
      <c r="A1171" s="10"/>
      <c r="B1171" s="10"/>
      <c r="C1171" s="10"/>
      <c r="D1171" s="10"/>
      <c r="E1171" s="10"/>
      <c r="F1171" s="11"/>
      <c r="G1171" s="11"/>
      <c r="H1171" s="11"/>
      <c r="I1171" s="11"/>
      <c r="J1171" s="11" t="str">
        <f>IFERROR(__xludf.DUMMYFUNCTION("IFERROR(FILTER(Stats!$F:$Z,(Stats!$A:$A=$A1171)*(Stats!$B:$B=$B1171)))"),"#REF!")</f>
        <v>#REF!</v>
      </c>
      <c r="K1171" s="11"/>
      <c r="L1171" s="12"/>
      <c r="M1171" s="11"/>
      <c r="N1171" s="11"/>
      <c r="O1171" s="13"/>
      <c r="P1171" s="14"/>
      <c r="Q1171" s="13"/>
      <c r="R1171" s="13"/>
      <c r="S1171" s="15"/>
      <c r="T1171" s="16"/>
      <c r="U1171" s="16"/>
      <c r="V1171" s="16"/>
      <c r="W1171" s="16"/>
      <c r="X1171" s="16"/>
      <c r="Y1171" s="11"/>
      <c r="Z1171" s="11"/>
      <c r="AA1171" s="11"/>
      <c r="AB1171" s="11"/>
      <c r="AC1171" s="11"/>
      <c r="AD1171" s="11"/>
    </row>
    <row r="1172">
      <c r="A1172" s="10"/>
      <c r="B1172" s="10"/>
      <c r="C1172" s="10"/>
      <c r="D1172" s="10"/>
      <c r="E1172" s="10"/>
      <c r="F1172" s="11"/>
      <c r="G1172" s="11"/>
      <c r="H1172" s="11"/>
      <c r="I1172" s="11"/>
      <c r="J1172" s="11" t="str">
        <f>IFERROR(__xludf.DUMMYFUNCTION("IFERROR(FILTER(Stats!$F:$Z,(Stats!$A:$A=$A1172)*(Stats!$B:$B=$B1172)))"),"#REF!")</f>
        <v>#REF!</v>
      </c>
      <c r="K1172" s="11"/>
      <c r="L1172" s="12"/>
      <c r="M1172" s="11"/>
      <c r="N1172" s="11"/>
      <c r="O1172" s="13"/>
      <c r="P1172" s="14"/>
      <c r="Q1172" s="13"/>
      <c r="R1172" s="13"/>
      <c r="S1172" s="15"/>
      <c r="T1172" s="16"/>
      <c r="U1172" s="16"/>
      <c r="V1172" s="16"/>
      <c r="W1172" s="16"/>
      <c r="X1172" s="16"/>
      <c r="Y1172" s="11"/>
      <c r="Z1172" s="11"/>
      <c r="AA1172" s="11"/>
      <c r="AB1172" s="11"/>
      <c r="AC1172" s="11"/>
      <c r="AD1172" s="11"/>
    </row>
    <row r="1173">
      <c r="A1173" s="10"/>
      <c r="B1173" s="10"/>
      <c r="C1173" s="10"/>
      <c r="D1173" s="10"/>
      <c r="E1173" s="10"/>
      <c r="F1173" s="11"/>
      <c r="G1173" s="11"/>
      <c r="H1173" s="11"/>
      <c r="I1173" s="11"/>
      <c r="J1173" s="11" t="str">
        <f>IFERROR(__xludf.DUMMYFUNCTION("IFERROR(FILTER(Stats!$F:$Z,(Stats!$A:$A=$A1173)*(Stats!$B:$B=$B1173)))"),"#REF!")</f>
        <v>#REF!</v>
      </c>
      <c r="K1173" s="11"/>
      <c r="L1173" s="12"/>
      <c r="M1173" s="11"/>
      <c r="N1173" s="11"/>
      <c r="O1173" s="13"/>
      <c r="P1173" s="14"/>
      <c r="Q1173" s="13"/>
      <c r="R1173" s="13"/>
      <c r="S1173" s="15"/>
      <c r="T1173" s="16"/>
      <c r="U1173" s="16"/>
      <c r="V1173" s="16"/>
      <c r="W1173" s="16"/>
      <c r="X1173" s="16"/>
      <c r="Y1173" s="11"/>
      <c r="Z1173" s="11"/>
      <c r="AA1173" s="11"/>
      <c r="AB1173" s="11"/>
      <c r="AC1173" s="11"/>
      <c r="AD1173" s="11"/>
    </row>
    <row r="1174">
      <c r="A1174" s="10"/>
      <c r="B1174" s="10"/>
      <c r="C1174" s="10"/>
      <c r="D1174" s="10"/>
      <c r="E1174" s="10"/>
      <c r="F1174" s="11"/>
      <c r="G1174" s="11"/>
      <c r="H1174" s="11"/>
      <c r="I1174" s="11"/>
      <c r="J1174" s="11" t="str">
        <f>IFERROR(__xludf.DUMMYFUNCTION("IFERROR(FILTER(Stats!$F:$Z,(Stats!$A:$A=$A1174)*(Stats!$B:$B=$B1174)))"),"#REF!")</f>
        <v>#REF!</v>
      </c>
      <c r="K1174" s="11"/>
      <c r="L1174" s="12"/>
      <c r="M1174" s="11"/>
      <c r="N1174" s="11"/>
      <c r="O1174" s="13"/>
      <c r="P1174" s="14"/>
      <c r="Q1174" s="13"/>
      <c r="R1174" s="13"/>
      <c r="S1174" s="15"/>
      <c r="T1174" s="16"/>
      <c r="U1174" s="16"/>
      <c r="V1174" s="16"/>
      <c r="W1174" s="16"/>
      <c r="X1174" s="16"/>
      <c r="Y1174" s="11"/>
      <c r="Z1174" s="11"/>
      <c r="AA1174" s="11"/>
      <c r="AB1174" s="11"/>
      <c r="AC1174" s="11"/>
      <c r="AD1174" s="11"/>
    </row>
    <row r="1175">
      <c r="A1175" s="10"/>
      <c r="B1175" s="10"/>
      <c r="C1175" s="10"/>
      <c r="D1175" s="10"/>
      <c r="E1175" s="10"/>
      <c r="F1175" s="11"/>
      <c r="G1175" s="11"/>
      <c r="H1175" s="11"/>
      <c r="I1175" s="11"/>
      <c r="J1175" s="11" t="str">
        <f>IFERROR(__xludf.DUMMYFUNCTION("IFERROR(FILTER(Stats!$F:$Z,(Stats!$A:$A=$A1175)*(Stats!$B:$B=$B1175)))"),"#REF!")</f>
        <v>#REF!</v>
      </c>
      <c r="K1175" s="11"/>
      <c r="L1175" s="12"/>
      <c r="M1175" s="11"/>
      <c r="N1175" s="11"/>
      <c r="O1175" s="13"/>
      <c r="P1175" s="14"/>
      <c r="Q1175" s="13"/>
      <c r="R1175" s="13"/>
      <c r="S1175" s="15"/>
      <c r="T1175" s="16"/>
      <c r="U1175" s="16"/>
      <c r="V1175" s="16"/>
      <c r="W1175" s="16"/>
      <c r="X1175" s="16"/>
      <c r="Y1175" s="11"/>
      <c r="Z1175" s="11"/>
      <c r="AA1175" s="11"/>
      <c r="AB1175" s="11"/>
      <c r="AC1175" s="11"/>
      <c r="AD1175" s="11"/>
    </row>
    <row r="1176">
      <c r="A1176" s="10"/>
      <c r="B1176" s="10"/>
      <c r="C1176" s="10"/>
      <c r="D1176" s="10"/>
      <c r="E1176" s="10"/>
      <c r="F1176" s="11"/>
      <c r="G1176" s="11"/>
      <c r="H1176" s="11"/>
      <c r="I1176" s="11"/>
      <c r="J1176" s="11" t="str">
        <f>IFERROR(__xludf.DUMMYFUNCTION("IFERROR(FILTER(Stats!$F:$Z,(Stats!$A:$A=$A1176)*(Stats!$B:$B=$B1176)))"),"#REF!")</f>
        <v>#REF!</v>
      </c>
      <c r="K1176" s="11"/>
      <c r="L1176" s="12"/>
      <c r="M1176" s="11"/>
      <c r="N1176" s="11"/>
      <c r="O1176" s="13"/>
      <c r="P1176" s="14"/>
      <c r="Q1176" s="13"/>
      <c r="R1176" s="13"/>
      <c r="S1176" s="15"/>
      <c r="T1176" s="16"/>
      <c r="U1176" s="16"/>
      <c r="V1176" s="16"/>
      <c r="W1176" s="16"/>
      <c r="X1176" s="16"/>
      <c r="Y1176" s="11"/>
      <c r="Z1176" s="11"/>
      <c r="AA1176" s="11"/>
      <c r="AB1176" s="11"/>
      <c r="AC1176" s="11"/>
      <c r="AD1176" s="11"/>
    </row>
    <row r="1177">
      <c r="A1177" s="10"/>
      <c r="B1177" s="10"/>
      <c r="C1177" s="10"/>
      <c r="D1177" s="10"/>
      <c r="E1177" s="10"/>
      <c r="F1177" s="11"/>
      <c r="G1177" s="11"/>
      <c r="H1177" s="11"/>
      <c r="I1177" s="11"/>
      <c r="J1177" s="11" t="str">
        <f>IFERROR(__xludf.DUMMYFUNCTION("IFERROR(FILTER(Stats!$F:$Z,(Stats!$A:$A=$A1177)*(Stats!$B:$B=$B1177)))"),"#REF!")</f>
        <v>#REF!</v>
      </c>
      <c r="K1177" s="11"/>
      <c r="L1177" s="12"/>
      <c r="M1177" s="11"/>
      <c r="N1177" s="11"/>
      <c r="O1177" s="13"/>
      <c r="P1177" s="14"/>
      <c r="Q1177" s="13"/>
      <c r="R1177" s="13"/>
      <c r="S1177" s="15"/>
      <c r="T1177" s="16"/>
      <c r="U1177" s="16"/>
      <c r="V1177" s="16"/>
      <c r="W1177" s="16"/>
      <c r="X1177" s="16"/>
      <c r="Y1177" s="11"/>
      <c r="Z1177" s="11"/>
      <c r="AA1177" s="11"/>
      <c r="AB1177" s="11"/>
      <c r="AC1177" s="11"/>
      <c r="AD1177" s="11"/>
    </row>
    <row r="1178">
      <c r="A1178" s="10"/>
      <c r="B1178" s="10"/>
      <c r="C1178" s="10"/>
      <c r="D1178" s="10"/>
      <c r="E1178" s="10"/>
      <c r="F1178" s="11"/>
      <c r="G1178" s="11"/>
      <c r="H1178" s="11"/>
      <c r="I1178" s="11"/>
      <c r="J1178" s="11" t="str">
        <f>IFERROR(__xludf.DUMMYFUNCTION("IFERROR(FILTER(Stats!$F:$Z,(Stats!$A:$A=$A1178)*(Stats!$B:$B=$B1178)))"),"#REF!")</f>
        <v>#REF!</v>
      </c>
      <c r="K1178" s="11"/>
      <c r="L1178" s="12"/>
      <c r="M1178" s="11"/>
      <c r="N1178" s="11"/>
      <c r="O1178" s="13"/>
      <c r="P1178" s="14"/>
      <c r="Q1178" s="13"/>
      <c r="R1178" s="13"/>
      <c r="S1178" s="15"/>
      <c r="T1178" s="16"/>
      <c r="U1178" s="16"/>
      <c r="V1178" s="16"/>
      <c r="W1178" s="16"/>
      <c r="X1178" s="16"/>
      <c r="Y1178" s="11"/>
      <c r="Z1178" s="11"/>
      <c r="AA1178" s="11"/>
      <c r="AB1178" s="11"/>
      <c r="AC1178" s="11"/>
      <c r="AD1178" s="11"/>
    </row>
    <row r="1179">
      <c r="A1179" s="10"/>
      <c r="B1179" s="10"/>
      <c r="C1179" s="10"/>
      <c r="D1179" s="10"/>
      <c r="E1179" s="10"/>
      <c r="F1179" s="11"/>
      <c r="G1179" s="11"/>
      <c r="H1179" s="11"/>
      <c r="I1179" s="11"/>
      <c r="J1179" s="11" t="str">
        <f>IFERROR(__xludf.DUMMYFUNCTION("IFERROR(FILTER(Stats!$F:$Z,(Stats!$A:$A=$A1179)*(Stats!$B:$B=$B1179)))"),"#REF!")</f>
        <v>#REF!</v>
      </c>
      <c r="K1179" s="11"/>
      <c r="L1179" s="12"/>
      <c r="M1179" s="11"/>
      <c r="N1179" s="11"/>
      <c r="O1179" s="13"/>
      <c r="P1179" s="14"/>
      <c r="Q1179" s="13"/>
      <c r="R1179" s="13"/>
      <c r="S1179" s="15"/>
      <c r="T1179" s="16"/>
      <c r="U1179" s="16"/>
      <c r="V1179" s="16"/>
      <c r="W1179" s="16"/>
      <c r="X1179" s="16"/>
      <c r="Y1179" s="11"/>
      <c r="Z1179" s="11"/>
      <c r="AA1179" s="11"/>
      <c r="AB1179" s="11"/>
      <c r="AC1179" s="11"/>
      <c r="AD1179" s="11"/>
    </row>
    <row r="1180">
      <c r="A1180" s="10"/>
      <c r="B1180" s="10"/>
      <c r="C1180" s="10"/>
      <c r="D1180" s="10"/>
      <c r="E1180" s="10"/>
      <c r="F1180" s="11"/>
      <c r="G1180" s="11"/>
      <c r="H1180" s="11"/>
      <c r="I1180" s="11"/>
      <c r="J1180" s="11" t="str">
        <f>IFERROR(__xludf.DUMMYFUNCTION("IFERROR(FILTER(Stats!$F:$Z,(Stats!$A:$A=$A1180)*(Stats!$B:$B=$B1180)))"),"#REF!")</f>
        <v>#REF!</v>
      </c>
      <c r="K1180" s="11"/>
      <c r="L1180" s="12"/>
      <c r="M1180" s="11"/>
      <c r="N1180" s="11"/>
      <c r="O1180" s="13"/>
      <c r="P1180" s="14"/>
      <c r="Q1180" s="13"/>
      <c r="R1180" s="13"/>
      <c r="S1180" s="15"/>
      <c r="T1180" s="16"/>
      <c r="U1180" s="16"/>
      <c r="V1180" s="16"/>
      <c r="W1180" s="16"/>
      <c r="X1180" s="16"/>
      <c r="Y1180" s="11"/>
      <c r="Z1180" s="11"/>
      <c r="AA1180" s="11"/>
      <c r="AB1180" s="11"/>
      <c r="AC1180" s="11"/>
      <c r="AD1180" s="11"/>
    </row>
    <row r="1181">
      <c r="A1181" s="10"/>
      <c r="B1181" s="10"/>
      <c r="C1181" s="10"/>
      <c r="D1181" s="10"/>
      <c r="E1181" s="10"/>
      <c r="F1181" s="11"/>
      <c r="G1181" s="11"/>
      <c r="H1181" s="11"/>
      <c r="I1181" s="11"/>
      <c r="J1181" s="11" t="str">
        <f>IFERROR(__xludf.DUMMYFUNCTION("IFERROR(FILTER(Stats!$F:$Z,(Stats!$A:$A=$A1181)*(Stats!$B:$B=$B1181)))"),"#REF!")</f>
        <v>#REF!</v>
      </c>
      <c r="K1181" s="11"/>
      <c r="L1181" s="12"/>
      <c r="M1181" s="11"/>
      <c r="N1181" s="11"/>
      <c r="O1181" s="13"/>
      <c r="P1181" s="14"/>
      <c r="Q1181" s="13"/>
      <c r="R1181" s="13"/>
      <c r="S1181" s="15"/>
      <c r="T1181" s="16"/>
      <c r="U1181" s="16"/>
      <c r="V1181" s="16"/>
      <c r="W1181" s="16"/>
      <c r="X1181" s="16"/>
      <c r="Y1181" s="11"/>
      <c r="Z1181" s="11"/>
      <c r="AA1181" s="11"/>
      <c r="AB1181" s="11"/>
      <c r="AC1181" s="11"/>
      <c r="AD1181" s="11"/>
    </row>
    <row r="1182">
      <c r="A1182" s="10"/>
      <c r="B1182" s="10"/>
      <c r="C1182" s="10"/>
      <c r="D1182" s="10"/>
      <c r="E1182" s="10"/>
      <c r="F1182" s="11"/>
      <c r="G1182" s="11"/>
      <c r="H1182" s="11"/>
      <c r="I1182" s="11"/>
      <c r="J1182" s="11" t="str">
        <f>IFERROR(__xludf.DUMMYFUNCTION("IFERROR(FILTER(Stats!$F:$Z,(Stats!$A:$A=$A1182)*(Stats!$B:$B=$B1182)))"),"#REF!")</f>
        <v>#REF!</v>
      </c>
      <c r="K1182" s="11"/>
      <c r="L1182" s="12"/>
      <c r="M1182" s="11"/>
      <c r="N1182" s="11"/>
      <c r="O1182" s="13"/>
      <c r="P1182" s="14"/>
      <c r="Q1182" s="13"/>
      <c r="R1182" s="13"/>
      <c r="S1182" s="15"/>
      <c r="T1182" s="16"/>
      <c r="U1182" s="16"/>
      <c r="V1182" s="16"/>
      <c r="W1182" s="16"/>
      <c r="X1182" s="16"/>
      <c r="Y1182" s="11"/>
      <c r="Z1182" s="11"/>
      <c r="AA1182" s="11"/>
      <c r="AB1182" s="11"/>
      <c r="AC1182" s="11"/>
      <c r="AD1182" s="11"/>
    </row>
    <row r="1183">
      <c r="A1183" s="10"/>
      <c r="B1183" s="10"/>
      <c r="C1183" s="10"/>
      <c r="D1183" s="10"/>
      <c r="E1183" s="10"/>
      <c r="F1183" s="11"/>
      <c r="G1183" s="11"/>
      <c r="H1183" s="11"/>
      <c r="I1183" s="11"/>
      <c r="J1183" s="11" t="str">
        <f>IFERROR(__xludf.DUMMYFUNCTION("IFERROR(FILTER(Stats!$F:$Z,(Stats!$A:$A=$A1183)*(Stats!$B:$B=$B1183)))"),"#REF!")</f>
        <v>#REF!</v>
      </c>
      <c r="K1183" s="11"/>
      <c r="L1183" s="12"/>
      <c r="M1183" s="11"/>
      <c r="N1183" s="11"/>
      <c r="O1183" s="13"/>
      <c r="P1183" s="14"/>
      <c r="Q1183" s="13"/>
      <c r="R1183" s="13"/>
      <c r="S1183" s="15"/>
      <c r="T1183" s="16"/>
      <c r="U1183" s="16"/>
      <c r="V1183" s="16"/>
      <c r="W1183" s="16"/>
      <c r="X1183" s="16"/>
      <c r="Y1183" s="11"/>
      <c r="Z1183" s="11"/>
      <c r="AA1183" s="11"/>
      <c r="AB1183" s="11"/>
      <c r="AC1183" s="11"/>
      <c r="AD1183" s="11"/>
    </row>
    <row r="1184">
      <c r="A1184" s="10"/>
      <c r="B1184" s="10"/>
      <c r="C1184" s="10"/>
      <c r="D1184" s="10"/>
      <c r="E1184" s="10"/>
      <c r="F1184" s="11"/>
      <c r="G1184" s="11"/>
      <c r="H1184" s="11"/>
      <c r="I1184" s="11"/>
      <c r="J1184" s="11" t="str">
        <f>IFERROR(__xludf.DUMMYFUNCTION("IFERROR(FILTER(Stats!$F:$Z,(Stats!$A:$A=$A1184)*(Stats!$B:$B=$B1184)))"),"#REF!")</f>
        <v>#REF!</v>
      </c>
      <c r="K1184" s="11"/>
      <c r="L1184" s="12"/>
      <c r="M1184" s="11"/>
      <c r="N1184" s="11"/>
      <c r="O1184" s="13"/>
      <c r="P1184" s="14"/>
      <c r="Q1184" s="13"/>
      <c r="R1184" s="13"/>
      <c r="S1184" s="15"/>
      <c r="T1184" s="16"/>
      <c r="U1184" s="16"/>
      <c r="V1184" s="16"/>
      <c r="W1184" s="16"/>
      <c r="X1184" s="16"/>
      <c r="Y1184" s="11"/>
      <c r="Z1184" s="11"/>
      <c r="AA1184" s="11"/>
      <c r="AB1184" s="11"/>
      <c r="AC1184" s="11"/>
      <c r="AD1184" s="11"/>
    </row>
    <row r="1185">
      <c r="A1185" s="10"/>
      <c r="B1185" s="10"/>
      <c r="C1185" s="10"/>
      <c r="D1185" s="10"/>
      <c r="E1185" s="10"/>
      <c r="F1185" s="11"/>
      <c r="G1185" s="11"/>
      <c r="H1185" s="11"/>
      <c r="I1185" s="11"/>
      <c r="J1185" s="11" t="str">
        <f>IFERROR(__xludf.DUMMYFUNCTION("IFERROR(FILTER(Stats!$F:$Z,(Stats!$A:$A=$A1185)*(Stats!$B:$B=$B1185)))"),"#REF!")</f>
        <v>#REF!</v>
      </c>
      <c r="K1185" s="11"/>
      <c r="L1185" s="12"/>
      <c r="M1185" s="11"/>
      <c r="N1185" s="11"/>
      <c r="O1185" s="13"/>
      <c r="P1185" s="14"/>
      <c r="Q1185" s="13"/>
      <c r="R1185" s="13"/>
      <c r="S1185" s="15"/>
      <c r="T1185" s="16"/>
      <c r="U1185" s="16"/>
      <c r="V1185" s="16"/>
      <c r="W1185" s="16"/>
      <c r="X1185" s="16"/>
      <c r="Y1185" s="11"/>
      <c r="Z1185" s="11"/>
      <c r="AA1185" s="11"/>
      <c r="AB1185" s="11"/>
      <c r="AC1185" s="11"/>
      <c r="AD1185" s="11"/>
    </row>
    <row r="1186">
      <c r="A1186" s="10"/>
      <c r="B1186" s="10"/>
      <c r="C1186" s="10"/>
      <c r="D1186" s="10"/>
      <c r="E1186" s="10"/>
      <c r="F1186" s="11"/>
      <c r="G1186" s="11"/>
      <c r="H1186" s="11"/>
      <c r="I1186" s="11"/>
      <c r="J1186" s="11" t="str">
        <f>IFERROR(__xludf.DUMMYFUNCTION("IFERROR(FILTER(Stats!$F:$Z,(Stats!$A:$A=$A1186)*(Stats!$B:$B=$B1186)))"),"#REF!")</f>
        <v>#REF!</v>
      </c>
      <c r="K1186" s="11"/>
      <c r="L1186" s="12"/>
      <c r="M1186" s="11"/>
      <c r="N1186" s="11"/>
      <c r="O1186" s="13"/>
      <c r="P1186" s="14"/>
      <c r="Q1186" s="13"/>
      <c r="R1186" s="13"/>
      <c r="S1186" s="15"/>
      <c r="T1186" s="16"/>
      <c r="U1186" s="16"/>
      <c r="V1186" s="16"/>
      <c r="W1186" s="16"/>
      <c r="X1186" s="16"/>
      <c r="Y1186" s="11"/>
      <c r="Z1186" s="11"/>
      <c r="AA1186" s="11"/>
      <c r="AB1186" s="11"/>
      <c r="AC1186" s="11"/>
      <c r="AD1186" s="11"/>
    </row>
    <row r="1187">
      <c r="A1187" s="10"/>
      <c r="B1187" s="10"/>
      <c r="C1187" s="10"/>
      <c r="D1187" s="10"/>
      <c r="E1187" s="10"/>
      <c r="F1187" s="11"/>
      <c r="G1187" s="11"/>
      <c r="H1187" s="11"/>
      <c r="I1187" s="11"/>
      <c r="J1187" s="11" t="str">
        <f>IFERROR(__xludf.DUMMYFUNCTION("IFERROR(FILTER(Stats!$F:$Z,(Stats!$A:$A=$A1187)*(Stats!$B:$B=$B1187)))"),"#REF!")</f>
        <v>#REF!</v>
      </c>
      <c r="K1187" s="11"/>
      <c r="L1187" s="12"/>
      <c r="M1187" s="11"/>
      <c r="N1187" s="11"/>
      <c r="O1187" s="13"/>
      <c r="P1187" s="14"/>
      <c r="Q1187" s="13"/>
      <c r="R1187" s="13"/>
      <c r="S1187" s="15"/>
      <c r="T1187" s="16"/>
      <c r="U1187" s="16"/>
      <c r="V1187" s="16"/>
      <c r="W1187" s="16"/>
      <c r="X1187" s="16"/>
      <c r="Y1187" s="11"/>
      <c r="Z1187" s="11"/>
      <c r="AA1187" s="11"/>
      <c r="AB1187" s="11"/>
      <c r="AC1187" s="11"/>
      <c r="AD1187" s="11"/>
    </row>
    <row r="1188">
      <c r="A1188" s="10"/>
      <c r="B1188" s="10"/>
      <c r="C1188" s="10"/>
      <c r="D1188" s="10"/>
      <c r="E1188" s="10"/>
      <c r="F1188" s="11"/>
      <c r="G1188" s="11"/>
      <c r="H1188" s="11"/>
      <c r="I1188" s="11"/>
      <c r="J1188" s="11" t="str">
        <f>IFERROR(__xludf.DUMMYFUNCTION("IFERROR(FILTER(Stats!$F:$Z,(Stats!$A:$A=$A1188)*(Stats!$B:$B=$B1188)))"),"#REF!")</f>
        <v>#REF!</v>
      </c>
      <c r="K1188" s="11"/>
      <c r="L1188" s="12"/>
      <c r="M1188" s="11"/>
      <c r="N1188" s="11"/>
      <c r="O1188" s="13"/>
      <c r="P1188" s="14"/>
      <c r="Q1188" s="13"/>
      <c r="R1188" s="13"/>
      <c r="S1188" s="15"/>
      <c r="T1188" s="16"/>
      <c r="U1188" s="16"/>
      <c r="V1188" s="16"/>
      <c r="W1188" s="16"/>
      <c r="X1188" s="16"/>
      <c r="Y1188" s="11"/>
      <c r="Z1188" s="11"/>
      <c r="AA1188" s="11"/>
      <c r="AB1188" s="11"/>
      <c r="AC1188" s="11"/>
      <c r="AD1188" s="11"/>
    </row>
    <row r="1189">
      <c r="A1189" s="10"/>
      <c r="B1189" s="10"/>
      <c r="C1189" s="10"/>
      <c r="D1189" s="10"/>
      <c r="E1189" s="10"/>
      <c r="F1189" s="11"/>
      <c r="G1189" s="11"/>
      <c r="H1189" s="11"/>
      <c r="I1189" s="11"/>
      <c r="J1189" s="11" t="str">
        <f>IFERROR(__xludf.DUMMYFUNCTION("IFERROR(FILTER(Stats!$F:$Z,(Stats!$A:$A=$A1189)*(Stats!$B:$B=$B1189)))"),"#REF!")</f>
        <v>#REF!</v>
      </c>
      <c r="K1189" s="11"/>
      <c r="L1189" s="12"/>
      <c r="M1189" s="11"/>
      <c r="N1189" s="11"/>
      <c r="O1189" s="13"/>
      <c r="P1189" s="14"/>
      <c r="Q1189" s="13"/>
      <c r="R1189" s="13"/>
      <c r="S1189" s="15"/>
      <c r="T1189" s="16"/>
      <c r="U1189" s="16"/>
      <c r="V1189" s="16"/>
      <c r="W1189" s="16"/>
      <c r="X1189" s="16"/>
      <c r="Y1189" s="11"/>
      <c r="Z1189" s="11"/>
      <c r="AA1189" s="11"/>
      <c r="AB1189" s="11"/>
      <c r="AC1189" s="11"/>
      <c r="AD1189" s="11"/>
    </row>
    <row r="1190">
      <c r="A1190" s="10"/>
      <c r="B1190" s="10"/>
      <c r="C1190" s="10"/>
      <c r="D1190" s="10"/>
      <c r="E1190" s="10"/>
      <c r="F1190" s="11"/>
      <c r="G1190" s="11"/>
      <c r="H1190" s="11"/>
      <c r="I1190" s="11"/>
      <c r="J1190" s="11" t="str">
        <f>IFERROR(__xludf.DUMMYFUNCTION("IFERROR(FILTER(Stats!$F:$Z,(Stats!$A:$A=$A1190)*(Stats!$B:$B=$B1190)))"),"#REF!")</f>
        <v>#REF!</v>
      </c>
      <c r="K1190" s="11"/>
      <c r="L1190" s="12"/>
      <c r="M1190" s="11"/>
      <c r="N1190" s="11"/>
      <c r="O1190" s="13"/>
      <c r="P1190" s="14"/>
      <c r="Q1190" s="13"/>
      <c r="R1190" s="13"/>
      <c r="S1190" s="15"/>
      <c r="T1190" s="16"/>
      <c r="U1190" s="16"/>
      <c r="V1190" s="16"/>
      <c r="W1190" s="16"/>
      <c r="X1190" s="16"/>
      <c r="Y1190" s="11"/>
      <c r="Z1190" s="11"/>
      <c r="AA1190" s="11"/>
      <c r="AB1190" s="11"/>
      <c r="AC1190" s="11"/>
      <c r="AD1190" s="11"/>
    </row>
    <row r="1191">
      <c r="A1191" s="10"/>
      <c r="B1191" s="10"/>
      <c r="C1191" s="10"/>
      <c r="D1191" s="10"/>
      <c r="E1191" s="10"/>
      <c r="F1191" s="11"/>
      <c r="G1191" s="11"/>
      <c r="H1191" s="11"/>
      <c r="I1191" s="11"/>
      <c r="J1191" s="11" t="str">
        <f>IFERROR(__xludf.DUMMYFUNCTION("IFERROR(FILTER(Stats!$F:$Z,(Stats!$A:$A=$A1191)*(Stats!$B:$B=$B1191)))"),"#REF!")</f>
        <v>#REF!</v>
      </c>
      <c r="K1191" s="11"/>
      <c r="L1191" s="12"/>
      <c r="M1191" s="11"/>
      <c r="N1191" s="11"/>
      <c r="O1191" s="13"/>
      <c r="P1191" s="14"/>
      <c r="Q1191" s="13"/>
      <c r="R1191" s="13"/>
      <c r="S1191" s="15"/>
      <c r="T1191" s="16"/>
      <c r="U1191" s="16"/>
      <c r="V1191" s="16"/>
      <c r="W1191" s="16"/>
      <c r="X1191" s="16"/>
      <c r="Y1191" s="11"/>
      <c r="Z1191" s="11"/>
      <c r="AA1191" s="11"/>
      <c r="AB1191" s="11"/>
      <c r="AC1191" s="11"/>
      <c r="AD1191" s="11"/>
    </row>
    <row r="1192">
      <c r="A1192" s="10"/>
      <c r="B1192" s="10"/>
      <c r="C1192" s="10"/>
      <c r="D1192" s="10"/>
      <c r="E1192" s="10"/>
      <c r="F1192" s="11"/>
      <c r="G1192" s="11"/>
      <c r="H1192" s="11"/>
      <c r="I1192" s="11"/>
      <c r="J1192" s="11" t="str">
        <f>IFERROR(__xludf.DUMMYFUNCTION("IFERROR(FILTER(Stats!$F:$Z,(Stats!$A:$A=$A1192)*(Stats!$B:$B=$B1192)))"),"#REF!")</f>
        <v>#REF!</v>
      </c>
      <c r="K1192" s="11"/>
      <c r="L1192" s="12"/>
      <c r="M1192" s="11"/>
      <c r="N1192" s="11"/>
      <c r="O1192" s="13"/>
      <c r="P1192" s="14"/>
      <c r="Q1192" s="13"/>
      <c r="R1192" s="13"/>
      <c r="S1192" s="15"/>
      <c r="T1192" s="16"/>
      <c r="U1192" s="16"/>
      <c r="V1192" s="16"/>
      <c r="W1192" s="16"/>
      <c r="X1192" s="16"/>
      <c r="Y1192" s="11"/>
      <c r="Z1192" s="11"/>
      <c r="AA1192" s="11"/>
      <c r="AB1192" s="11"/>
      <c r="AC1192" s="11"/>
      <c r="AD1192" s="11"/>
    </row>
    <row r="1193">
      <c r="A1193" s="10"/>
      <c r="B1193" s="10"/>
      <c r="C1193" s="10"/>
      <c r="D1193" s="10"/>
      <c r="E1193" s="10"/>
      <c r="F1193" s="11"/>
      <c r="G1193" s="11"/>
      <c r="H1193" s="11"/>
      <c r="I1193" s="11"/>
      <c r="J1193" s="11" t="str">
        <f>IFERROR(__xludf.DUMMYFUNCTION("IFERROR(FILTER(Stats!$F:$Z,(Stats!$A:$A=$A1193)*(Stats!$B:$B=$B1193)))"),"#REF!")</f>
        <v>#REF!</v>
      </c>
      <c r="K1193" s="11"/>
      <c r="L1193" s="12"/>
      <c r="M1193" s="11"/>
      <c r="N1193" s="11"/>
      <c r="O1193" s="13"/>
      <c r="P1193" s="14"/>
      <c r="Q1193" s="13"/>
      <c r="R1193" s="13"/>
      <c r="S1193" s="15"/>
      <c r="T1193" s="16"/>
      <c r="U1193" s="16"/>
      <c r="V1193" s="16"/>
      <c r="W1193" s="16"/>
      <c r="X1193" s="16"/>
      <c r="Y1193" s="11"/>
      <c r="Z1193" s="11"/>
      <c r="AA1193" s="11"/>
      <c r="AB1193" s="11"/>
      <c r="AC1193" s="11"/>
      <c r="AD1193" s="11"/>
    </row>
    <row r="1194">
      <c r="A1194" s="10"/>
      <c r="B1194" s="10"/>
      <c r="C1194" s="10"/>
      <c r="D1194" s="10"/>
      <c r="E1194" s="10"/>
      <c r="F1194" s="11"/>
      <c r="G1194" s="11"/>
      <c r="H1194" s="11"/>
      <c r="I1194" s="11"/>
      <c r="J1194" s="11" t="str">
        <f>IFERROR(__xludf.DUMMYFUNCTION("IFERROR(FILTER(Stats!$F:$Z,(Stats!$A:$A=$A1194)*(Stats!$B:$B=$B1194)))"),"#REF!")</f>
        <v>#REF!</v>
      </c>
      <c r="K1194" s="11"/>
      <c r="L1194" s="12"/>
      <c r="M1194" s="11"/>
      <c r="N1194" s="11"/>
      <c r="O1194" s="13"/>
      <c r="P1194" s="14"/>
      <c r="Q1194" s="13"/>
      <c r="R1194" s="13"/>
      <c r="S1194" s="15"/>
      <c r="T1194" s="16"/>
      <c r="U1194" s="16"/>
      <c r="V1194" s="16"/>
      <c r="W1194" s="16"/>
      <c r="X1194" s="16"/>
      <c r="Y1194" s="11"/>
      <c r="Z1194" s="11"/>
      <c r="AA1194" s="11"/>
      <c r="AB1194" s="11"/>
      <c r="AC1194" s="11"/>
      <c r="AD1194" s="11"/>
    </row>
    <row r="1195">
      <c r="A1195" s="10"/>
      <c r="B1195" s="10"/>
      <c r="C1195" s="10"/>
      <c r="D1195" s="10"/>
      <c r="E1195" s="10"/>
      <c r="F1195" s="11"/>
      <c r="G1195" s="11"/>
      <c r="H1195" s="11"/>
      <c r="I1195" s="11"/>
      <c r="J1195" s="11" t="str">
        <f>IFERROR(__xludf.DUMMYFUNCTION("IFERROR(FILTER(Stats!$F:$Z,(Stats!$A:$A=$A1195)*(Stats!$B:$B=$B1195)))"),"#REF!")</f>
        <v>#REF!</v>
      </c>
      <c r="K1195" s="11"/>
      <c r="L1195" s="12"/>
      <c r="M1195" s="11"/>
      <c r="N1195" s="11"/>
      <c r="O1195" s="13"/>
      <c r="P1195" s="14"/>
      <c r="Q1195" s="13"/>
      <c r="R1195" s="13"/>
      <c r="S1195" s="15"/>
      <c r="T1195" s="16"/>
      <c r="U1195" s="16"/>
      <c r="V1195" s="16"/>
      <c r="W1195" s="16"/>
      <c r="X1195" s="16"/>
      <c r="Y1195" s="11"/>
      <c r="Z1195" s="11"/>
      <c r="AA1195" s="11"/>
      <c r="AB1195" s="11"/>
      <c r="AC1195" s="11"/>
      <c r="AD1195" s="11"/>
    </row>
    <row r="1196">
      <c r="A1196" s="10"/>
      <c r="B1196" s="10"/>
      <c r="C1196" s="10"/>
      <c r="D1196" s="10"/>
      <c r="E1196" s="10"/>
      <c r="F1196" s="11"/>
      <c r="G1196" s="11"/>
      <c r="H1196" s="11"/>
      <c r="I1196" s="11"/>
      <c r="J1196" s="11" t="str">
        <f>IFERROR(__xludf.DUMMYFUNCTION("IFERROR(FILTER(Stats!$F:$Z,(Stats!$A:$A=$A1196)*(Stats!$B:$B=$B1196)))"),"#REF!")</f>
        <v>#REF!</v>
      </c>
      <c r="K1196" s="11"/>
      <c r="L1196" s="12"/>
      <c r="M1196" s="11"/>
      <c r="N1196" s="11"/>
      <c r="O1196" s="13"/>
      <c r="P1196" s="14"/>
      <c r="Q1196" s="13"/>
      <c r="R1196" s="13"/>
      <c r="S1196" s="15"/>
      <c r="T1196" s="16"/>
      <c r="U1196" s="16"/>
      <c r="V1196" s="16"/>
      <c r="W1196" s="16"/>
      <c r="X1196" s="16"/>
      <c r="Y1196" s="11"/>
      <c r="Z1196" s="11"/>
      <c r="AA1196" s="11"/>
      <c r="AB1196" s="11"/>
      <c r="AC1196" s="11"/>
      <c r="AD1196" s="11"/>
    </row>
    <row r="1197">
      <c r="A1197" s="10"/>
      <c r="B1197" s="10"/>
      <c r="C1197" s="10"/>
      <c r="D1197" s="10"/>
      <c r="E1197" s="10"/>
      <c r="F1197" s="11"/>
      <c r="G1197" s="11"/>
      <c r="H1197" s="11"/>
      <c r="I1197" s="11"/>
      <c r="J1197" s="11" t="str">
        <f>IFERROR(__xludf.DUMMYFUNCTION("IFERROR(FILTER(Stats!$F:$Z,(Stats!$A:$A=$A1197)*(Stats!$B:$B=$B1197)))"),"#REF!")</f>
        <v>#REF!</v>
      </c>
      <c r="K1197" s="11"/>
      <c r="L1197" s="12"/>
      <c r="M1197" s="11"/>
      <c r="N1197" s="11"/>
      <c r="O1197" s="13"/>
      <c r="P1197" s="14"/>
      <c r="Q1197" s="13"/>
      <c r="R1197" s="13"/>
      <c r="S1197" s="15"/>
      <c r="T1197" s="16"/>
      <c r="U1197" s="16"/>
      <c r="V1197" s="16"/>
      <c r="W1197" s="16"/>
      <c r="X1197" s="16"/>
      <c r="Y1197" s="11"/>
      <c r="Z1197" s="11"/>
      <c r="AA1197" s="11"/>
      <c r="AB1197" s="11"/>
      <c r="AC1197" s="11"/>
      <c r="AD1197" s="11"/>
    </row>
    <row r="1198">
      <c r="A1198" s="10"/>
      <c r="B1198" s="10"/>
      <c r="C1198" s="10"/>
      <c r="D1198" s="10"/>
      <c r="E1198" s="10"/>
      <c r="F1198" s="11"/>
      <c r="G1198" s="11"/>
      <c r="H1198" s="11"/>
      <c r="I1198" s="11"/>
      <c r="J1198" s="11" t="str">
        <f>IFERROR(__xludf.DUMMYFUNCTION("IFERROR(FILTER(Stats!$F:$Z,(Stats!$A:$A=$A1198)*(Stats!$B:$B=$B1198)))"),"#REF!")</f>
        <v>#REF!</v>
      </c>
      <c r="K1198" s="11"/>
      <c r="L1198" s="12"/>
      <c r="M1198" s="11"/>
      <c r="N1198" s="11"/>
      <c r="O1198" s="13"/>
      <c r="P1198" s="14"/>
      <c r="Q1198" s="13"/>
      <c r="R1198" s="13"/>
      <c r="S1198" s="15"/>
      <c r="T1198" s="16"/>
      <c r="U1198" s="16"/>
      <c r="V1198" s="16"/>
      <c r="W1198" s="16"/>
      <c r="X1198" s="16"/>
      <c r="Y1198" s="11"/>
      <c r="Z1198" s="11"/>
      <c r="AA1198" s="11"/>
      <c r="AB1198" s="11"/>
      <c r="AC1198" s="11"/>
      <c r="AD1198" s="11"/>
    </row>
    <row r="1199">
      <c r="A1199" s="10"/>
      <c r="B1199" s="10"/>
      <c r="C1199" s="10"/>
      <c r="D1199" s="10"/>
      <c r="E1199" s="10"/>
      <c r="F1199" s="11"/>
      <c r="G1199" s="11"/>
      <c r="H1199" s="11"/>
      <c r="I1199" s="11"/>
      <c r="J1199" s="11" t="str">
        <f>IFERROR(__xludf.DUMMYFUNCTION("IFERROR(FILTER(Stats!$F:$Z,(Stats!$A:$A=$A1199)*(Stats!$B:$B=$B1199)))"),"#REF!")</f>
        <v>#REF!</v>
      </c>
      <c r="K1199" s="11"/>
      <c r="L1199" s="12"/>
      <c r="M1199" s="11"/>
      <c r="N1199" s="11"/>
      <c r="O1199" s="13"/>
      <c r="P1199" s="14"/>
      <c r="Q1199" s="13"/>
      <c r="R1199" s="13"/>
      <c r="S1199" s="15"/>
      <c r="T1199" s="16"/>
      <c r="U1199" s="16"/>
      <c r="V1199" s="16"/>
      <c r="W1199" s="16"/>
      <c r="X1199" s="16"/>
      <c r="Y1199" s="11"/>
      <c r="Z1199" s="11"/>
      <c r="AA1199" s="11"/>
      <c r="AB1199" s="11"/>
      <c r="AC1199" s="11"/>
      <c r="AD1199" s="11"/>
    </row>
    <row r="1200">
      <c r="A1200" s="10"/>
      <c r="B1200" s="10"/>
      <c r="C1200" s="10"/>
      <c r="D1200" s="10"/>
      <c r="E1200" s="10"/>
      <c r="F1200" s="11"/>
      <c r="G1200" s="11"/>
      <c r="H1200" s="11"/>
      <c r="I1200" s="11"/>
      <c r="J1200" s="11" t="str">
        <f>IFERROR(__xludf.DUMMYFUNCTION("IFERROR(FILTER(Stats!$F:$Z,(Stats!$A:$A=$A1200)*(Stats!$B:$B=$B1200)))"),"#REF!")</f>
        <v>#REF!</v>
      </c>
      <c r="K1200" s="11"/>
      <c r="L1200" s="12"/>
      <c r="M1200" s="11"/>
      <c r="N1200" s="11"/>
      <c r="O1200" s="13"/>
      <c r="P1200" s="14"/>
      <c r="Q1200" s="13"/>
      <c r="R1200" s="13"/>
      <c r="S1200" s="15"/>
      <c r="T1200" s="16"/>
      <c r="U1200" s="16"/>
      <c r="V1200" s="16"/>
      <c r="W1200" s="16"/>
      <c r="X1200" s="16"/>
      <c r="Y1200" s="11"/>
      <c r="Z1200" s="11"/>
      <c r="AA1200" s="11"/>
      <c r="AB1200" s="11"/>
      <c r="AC1200" s="11"/>
      <c r="AD1200" s="11"/>
    </row>
    <row r="1201">
      <c r="A1201" s="10"/>
      <c r="B1201" s="10"/>
      <c r="C1201" s="10"/>
      <c r="D1201" s="10"/>
      <c r="E1201" s="10"/>
      <c r="F1201" s="11"/>
      <c r="G1201" s="11"/>
      <c r="H1201" s="11"/>
      <c r="I1201" s="11"/>
      <c r="J1201" s="11" t="str">
        <f>IFERROR(__xludf.DUMMYFUNCTION("IFERROR(FILTER(Stats!$F:$Z,(Stats!$A:$A=$A1201)*(Stats!$B:$B=$B1201)))"),"#REF!")</f>
        <v>#REF!</v>
      </c>
      <c r="K1201" s="11"/>
      <c r="L1201" s="12"/>
      <c r="M1201" s="11"/>
      <c r="N1201" s="11"/>
      <c r="O1201" s="13"/>
      <c r="P1201" s="14"/>
      <c r="Q1201" s="13"/>
      <c r="R1201" s="13"/>
      <c r="S1201" s="15"/>
      <c r="T1201" s="16"/>
      <c r="U1201" s="16"/>
      <c r="V1201" s="16"/>
      <c r="W1201" s="16"/>
      <c r="X1201" s="16"/>
      <c r="Y1201" s="11"/>
      <c r="Z1201" s="11"/>
      <c r="AA1201" s="11"/>
      <c r="AB1201" s="11"/>
      <c r="AC1201" s="11"/>
      <c r="AD1201" s="11"/>
    </row>
    <row r="1202">
      <c r="A1202" s="10"/>
      <c r="B1202" s="10"/>
      <c r="C1202" s="10"/>
      <c r="D1202" s="10"/>
      <c r="E1202" s="10"/>
      <c r="F1202" s="11"/>
      <c r="G1202" s="11"/>
      <c r="H1202" s="11"/>
      <c r="I1202" s="11"/>
      <c r="J1202" s="11" t="str">
        <f>IFERROR(__xludf.DUMMYFUNCTION("IFERROR(FILTER(Stats!$F:$Z,(Stats!$A:$A=$A1202)*(Stats!$B:$B=$B1202)))"),"#REF!")</f>
        <v>#REF!</v>
      </c>
      <c r="K1202" s="11"/>
      <c r="L1202" s="12"/>
      <c r="M1202" s="11"/>
      <c r="N1202" s="11"/>
      <c r="O1202" s="13"/>
      <c r="P1202" s="14"/>
      <c r="Q1202" s="13"/>
      <c r="R1202" s="13"/>
      <c r="S1202" s="15"/>
      <c r="T1202" s="16"/>
      <c r="U1202" s="16"/>
      <c r="V1202" s="16"/>
      <c r="W1202" s="16"/>
      <c r="X1202" s="16"/>
      <c r="Y1202" s="11"/>
      <c r="Z1202" s="11"/>
      <c r="AA1202" s="11"/>
      <c r="AB1202" s="11"/>
      <c r="AC1202" s="11"/>
      <c r="AD1202" s="11"/>
    </row>
    <row r="1203">
      <c r="A1203" s="10"/>
      <c r="B1203" s="10"/>
      <c r="C1203" s="10"/>
      <c r="D1203" s="10"/>
      <c r="E1203" s="10"/>
      <c r="F1203" s="11"/>
      <c r="G1203" s="11"/>
      <c r="H1203" s="11"/>
      <c r="I1203" s="11"/>
      <c r="J1203" s="11" t="str">
        <f>IFERROR(__xludf.DUMMYFUNCTION("IFERROR(FILTER(Stats!$F:$Z,(Stats!$A:$A=$A1203)*(Stats!$B:$B=$B1203)))"),"#REF!")</f>
        <v>#REF!</v>
      </c>
      <c r="K1203" s="11"/>
      <c r="L1203" s="12"/>
      <c r="M1203" s="11"/>
      <c r="N1203" s="11"/>
      <c r="O1203" s="13"/>
      <c r="P1203" s="14"/>
      <c r="Q1203" s="13"/>
      <c r="R1203" s="13"/>
      <c r="S1203" s="15"/>
      <c r="T1203" s="16"/>
      <c r="U1203" s="16"/>
      <c r="V1203" s="16"/>
      <c r="W1203" s="16"/>
      <c r="X1203" s="16"/>
      <c r="Y1203" s="11"/>
      <c r="Z1203" s="11"/>
      <c r="AA1203" s="11"/>
      <c r="AB1203" s="11"/>
      <c r="AC1203" s="11"/>
      <c r="AD1203" s="11"/>
    </row>
    <row r="1204">
      <c r="A1204" s="10"/>
      <c r="B1204" s="10"/>
      <c r="C1204" s="10"/>
      <c r="D1204" s="10"/>
      <c r="E1204" s="10"/>
      <c r="F1204" s="11"/>
      <c r="G1204" s="11"/>
      <c r="H1204" s="11"/>
      <c r="I1204" s="11"/>
      <c r="J1204" s="11" t="str">
        <f>IFERROR(__xludf.DUMMYFUNCTION("IFERROR(FILTER(Stats!$F:$Z,(Stats!$A:$A=$A1204)*(Stats!$B:$B=$B1204)))"),"#REF!")</f>
        <v>#REF!</v>
      </c>
      <c r="K1204" s="11"/>
      <c r="L1204" s="12"/>
      <c r="M1204" s="11"/>
      <c r="N1204" s="11"/>
      <c r="O1204" s="13"/>
      <c r="P1204" s="14"/>
      <c r="Q1204" s="13"/>
      <c r="R1204" s="13"/>
      <c r="S1204" s="15"/>
      <c r="T1204" s="16"/>
      <c r="U1204" s="16"/>
      <c r="V1204" s="16"/>
      <c r="W1204" s="16"/>
      <c r="X1204" s="16"/>
      <c r="Y1204" s="11"/>
      <c r="Z1204" s="11"/>
      <c r="AA1204" s="11"/>
      <c r="AB1204" s="11"/>
      <c r="AC1204" s="11"/>
      <c r="AD1204" s="11"/>
    </row>
    <row r="1205">
      <c r="A1205" s="10"/>
      <c r="B1205" s="10"/>
      <c r="C1205" s="10"/>
      <c r="D1205" s="10"/>
      <c r="E1205" s="10"/>
      <c r="F1205" s="11"/>
      <c r="G1205" s="11"/>
      <c r="H1205" s="11"/>
      <c r="I1205" s="11"/>
      <c r="J1205" s="11" t="str">
        <f>IFERROR(__xludf.DUMMYFUNCTION("IFERROR(FILTER(Stats!$F:$Z,(Stats!$A:$A=$A1205)*(Stats!$B:$B=$B1205)))"),"#REF!")</f>
        <v>#REF!</v>
      </c>
      <c r="K1205" s="11"/>
      <c r="L1205" s="12"/>
      <c r="M1205" s="11"/>
      <c r="N1205" s="11"/>
      <c r="O1205" s="13"/>
      <c r="P1205" s="14"/>
      <c r="Q1205" s="13"/>
      <c r="R1205" s="13"/>
      <c r="S1205" s="15"/>
      <c r="T1205" s="16"/>
      <c r="U1205" s="16"/>
      <c r="V1205" s="16"/>
      <c r="W1205" s="16"/>
      <c r="X1205" s="16"/>
      <c r="Y1205" s="11"/>
      <c r="Z1205" s="11"/>
      <c r="AA1205" s="11"/>
      <c r="AB1205" s="11"/>
      <c r="AC1205" s="11"/>
      <c r="AD1205" s="11"/>
    </row>
    <row r="1206">
      <c r="A1206" s="10"/>
      <c r="B1206" s="10"/>
      <c r="C1206" s="10"/>
      <c r="D1206" s="10"/>
      <c r="E1206" s="10"/>
      <c r="F1206" s="11"/>
      <c r="G1206" s="11"/>
      <c r="H1206" s="11"/>
      <c r="I1206" s="11"/>
      <c r="J1206" s="11" t="str">
        <f>IFERROR(__xludf.DUMMYFUNCTION("IFERROR(FILTER(Stats!$F:$Z,(Stats!$A:$A=$A1206)*(Stats!$B:$B=$B1206)))"),"#REF!")</f>
        <v>#REF!</v>
      </c>
      <c r="K1206" s="11"/>
      <c r="L1206" s="12"/>
      <c r="M1206" s="11"/>
      <c r="N1206" s="11"/>
      <c r="O1206" s="13"/>
      <c r="P1206" s="14"/>
      <c r="Q1206" s="13"/>
      <c r="R1206" s="13"/>
      <c r="S1206" s="15"/>
      <c r="T1206" s="16"/>
      <c r="U1206" s="16"/>
      <c r="V1206" s="16"/>
      <c r="W1206" s="16"/>
      <c r="X1206" s="16"/>
      <c r="Y1206" s="11"/>
      <c r="Z1206" s="11"/>
      <c r="AA1206" s="11"/>
      <c r="AB1206" s="11"/>
      <c r="AC1206" s="11"/>
      <c r="AD1206" s="11"/>
    </row>
    <row r="1207">
      <c r="A1207" s="10"/>
      <c r="B1207" s="10"/>
      <c r="C1207" s="10"/>
      <c r="D1207" s="10"/>
      <c r="E1207" s="10"/>
      <c r="F1207" s="11"/>
      <c r="G1207" s="11"/>
      <c r="H1207" s="11"/>
      <c r="I1207" s="11"/>
      <c r="J1207" s="11" t="str">
        <f>IFERROR(__xludf.DUMMYFUNCTION("IFERROR(FILTER(Stats!$F:$Z,(Stats!$A:$A=$A1207)*(Stats!$B:$B=$B1207)))"),"#REF!")</f>
        <v>#REF!</v>
      </c>
      <c r="K1207" s="11"/>
      <c r="L1207" s="12"/>
      <c r="M1207" s="11"/>
      <c r="N1207" s="11"/>
      <c r="O1207" s="13"/>
      <c r="P1207" s="14"/>
      <c r="Q1207" s="13"/>
      <c r="R1207" s="13"/>
      <c r="S1207" s="15"/>
      <c r="T1207" s="16"/>
      <c r="U1207" s="16"/>
      <c r="V1207" s="16"/>
      <c r="W1207" s="16"/>
      <c r="X1207" s="16"/>
      <c r="Y1207" s="11"/>
      <c r="Z1207" s="11"/>
      <c r="AA1207" s="11"/>
      <c r="AB1207" s="11"/>
      <c r="AC1207" s="11"/>
      <c r="AD1207" s="11"/>
    </row>
    <row r="1208">
      <c r="A1208" s="10"/>
      <c r="B1208" s="10"/>
      <c r="C1208" s="10"/>
      <c r="D1208" s="10"/>
      <c r="E1208" s="10"/>
      <c r="F1208" s="11"/>
      <c r="G1208" s="11"/>
      <c r="H1208" s="11"/>
      <c r="I1208" s="11"/>
      <c r="J1208" s="11" t="str">
        <f>IFERROR(__xludf.DUMMYFUNCTION("IFERROR(FILTER(Stats!$F:$Z,(Stats!$A:$A=$A1208)*(Stats!$B:$B=$B1208)))"),"#REF!")</f>
        <v>#REF!</v>
      </c>
      <c r="K1208" s="11"/>
      <c r="L1208" s="12"/>
      <c r="M1208" s="11"/>
      <c r="N1208" s="11"/>
      <c r="O1208" s="13"/>
      <c r="P1208" s="14"/>
      <c r="Q1208" s="13"/>
      <c r="R1208" s="13"/>
      <c r="S1208" s="15"/>
      <c r="T1208" s="16"/>
      <c r="U1208" s="16"/>
      <c r="V1208" s="16"/>
      <c r="W1208" s="16"/>
      <c r="X1208" s="16"/>
      <c r="Y1208" s="11"/>
      <c r="Z1208" s="11"/>
      <c r="AA1208" s="11"/>
      <c r="AB1208" s="11"/>
      <c r="AC1208" s="11"/>
      <c r="AD1208" s="11"/>
    </row>
    <row r="1209">
      <c r="A1209" s="10"/>
      <c r="B1209" s="10"/>
      <c r="C1209" s="10"/>
      <c r="D1209" s="10"/>
      <c r="E1209" s="10"/>
      <c r="F1209" s="11"/>
      <c r="G1209" s="11"/>
      <c r="H1209" s="11"/>
      <c r="I1209" s="11"/>
      <c r="J1209" s="11" t="str">
        <f>IFERROR(__xludf.DUMMYFUNCTION("IFERROR(FILTER(Stats!$F:$Z,(Stats!$A:$A=$A1209)*(Stats!$B:$B=$B1209)))"),"#REF!")</f>
        <v>#REF!</v>
      </c>
      <c r="K1209" s="11"/>
      <c r="L1209" s="12"/>
      <c r="M1209" s="11"/>
      <c r="N1209" s="11"/>
      <c r="O1209" s="13"/>
      <c r="P1209" s="14"/>
      <c r="Q1209" s="13"/>
      <c r="R1209" s="13"/>
      <c r="S1209" s="15"/>
      <c r="T1209" s="16"/>
      <c r="U1209" s="16"/>
      <c r="V1209" s="16"/>
      <c r="W1209" s="16"/>
      <c r="X1209" s="16"/>
      <c r="Y1209" s="11"/>
      <c r="Z1209" s="11"/>
      <c r="AA1209" s="11"/>
      <c r="AB1209" s="11"/>
      <c r="AC1209" s="11"/>
      <c r="AD1209" s="11"/>
    </row>
    <row r="1210">
      <c r="A1210" s="10"/>
      <c r="B1210" s="10"/>
      <c r="C1210" s="10"/>
      <c r="D1210" s="10"/>
      <c r="E1210" s="10"/>
      <c r="F1210" s="11"/>
      <c r="G1210" s="11"/>
      <c r="H1210" s="11"/>
      <c r="I1210" s="11"/>
      <c r="J1210" s="11" t="str">
        <f>IFERROR(__xludf.DUMMYFUNCTION("IFERROR(FILTER(Stats!$F:$Z,(Stats!$A:$A=$A1210)*(Stats!$B:$B=$B1210)))"),"#REF!")</f>
        <v>#REF!</v>
      </c>
      <c r="K1210" s="11"/>
      <c r="L1210" s="12"/>
      <c r="M1210" s="11"/>
      <c r="N1210" s="11"/>
      <c r="O1210" s="13"/>
      <c r="P1210" s="14"/>
      <c r="Q1210" s="13"/>
      <c r="R1210" s="13"/>
      <c r="S1210" s="15"/>
      <c r="T1210" s="16"/>
      <c r="U1210" s="16"/>
      <c r="V1210" s="16"/>
      <c r="W1210" s="16"/>
      <c r="X1210" s="16"/>
      <c r="Y1210" s="11"/>
      <c r="Z1210" s="11"/>
      <c r="AA1210" s="11"/>
      <c r="AB1210" s="11"/>
      <c r="AC1210" s="11"/>
      <c r="AD1210" s="11"/>
    </row>
    <row r="1211">
      <c r="A1211" s="10"/>
      <c r="B1211" s="10"/>
      <c r="C1211" s="10"/>
      <c r="D1211" s="10"/>
      <c r="E1211" s="10"/>
      <c r="F1211" s="11"/>
      <c r="G1211" s="11"/>
      <c r="H1211" s="11"/>
      <c r="I1211" s="11"/>
      <c r="J1211" s="11" t="str">
        <f>IFERROR(__xludf.DUMMYFUNCTION("IFERROR(FILTER(Stats!$F:$Z,(Stats!$A:$A=$A1211)*(Stats!$B:$B=$B1211)))"),"#REF!")</f>
        <v>#REF!</v>
      </c>
      <c r="K1211" s="11"/>
      <c r="L1211" s="12"/>
      <c r="M1211" s="11"/>
      <c r="N1211" s="11"/>
      <c r="O1211" s="13"/>
      <c r="P1211" s="14"/>
      <c r="Q1211" s="13"/>
      <c r="R1211" s="13"/>
      <c r="S1211" s="15"/>
      <c r="T1211" s="16"/>
      <c r="U1211" s="16"/>
      <c r="V1211" s="16"/>
      <c r="W1211" s="16"/>
      <c r="X1211" s="16"/>
      <c r="Y1211" s="11"/>
      <c r="Z1211" s="11"/>
      <c r="AA1211" s="11"/>
      <c r="AB1211" s="11"/>
      <c r="AC1211" s="11"/>
      <c r="AD1211" s="11"/>
    </row>
    <row r="1212">
      <c r="A1212" s="10"/>
      <c r="B1212" s="10"/>
      <c r="C1212" s="10"/>
      <c r="D1212" s="10"/>
      <c r="E1212" s="10"/>
      <c r="F1212" s="11"/>
      <c r="G1212" s="11"/>
      <c r="H1212" s="11"/>
      <c r="I1212" s="11"/>
      <c r="J1212" s="11" t="str">
        <f>IFERROR(__xludf.DUMMYFUNCTION("IFERROR(FILTER(Stats!$F:$Z,(Stats!$A:$A=$A1212)*(Stats!$B:$B=$B1212)))"),"#REF!")</f>
        <v>#REF!</v>
      </c>
      <c r="K1212" s="11"/>
      <c r="L1212" s="12"/>
      <c r="M1212" s="11"/>
      <c r="N1212" s="11"/>
      <c r="O1212" s="13"/>
      <c r="P1212" s="14"/>
      <c r="Q1212" s="13"/>
      <c r="R1212" s="13"/>
      <c r="S1212" s="15"/>
      <c r="T1212" s="16"/>
      <c r="U1212" s="16"/>
      <c r="V1212" s="16"/>
      <c r="W1212" s="16"/>
      <c r="X1212" s="16"/>
      <c r="Y1212" s="11"/>
      <c r="Z1212" s="11"/>
      <c r="AA1212" s="11"/>
      <c r="AB1212" s="11"/>
      <c r="AC1212" s="11"/>
      <c r="AD1212" s="11"/>
    </row>
    <row r="1213">
      <c r="A1213" s="10"/>
      <c r="B1213" s="10"/>
      <c r="C1213" s="10"/>
      <c r="D1213" s="10"/>
      <c r="E1213" s="10"/>
      <c r="F1213" s="11"/>
      <c r="G1213" s="11"/>
      <c r="H1213" s="11"/>
      <c r="I1213" s="11"/>
      <c r="J1213" s="11" t="str">
        <f>IFERROR(__xludf.DUMMYFUNCTION("IFERROR(FILTER(Stats!$F:$Z,(Stats!$A:$A=$A1213)*(Stats!$B:$B=$B1213)))"),"#REF!")</f>
        <v>#REF!</v>
      </c>
      <c r="K1213" s="11"/>
      <c r="L1213" s="12"/>
      <c r="M1213" s="11"/>
      <c r="N1213" s="11"/>
      <c r="O1213" s="13"/>
      <c r="P1213" s="14"/>
      <c r="Q1213" s="13"/>
      <c r="R1213" s="13"/>
      <c r="S1213" s="15"/>
      <c r="T1213" s="16"/>
      <c r="U1213" s="16"/>
      <c r="V1213" s="16"/>
      <c r="W1213" s="16"/>
      <c r="X1213" s="16"/>
      <c r="Y1213" s="11"/>
      <c r="Z1213" s="11"/>
      <c r="AA1213" s="11"/>
      <c r="AB1213" s="11"/>
      <c r="AC1213" s="11"/>
      <c r="AD1213" s="11"/>
    </row>
    <row r="1214">
      <c r="A1214" s="10"/>
      <c r="B1214" s="10"/>
      <c r="C1214" s="10"/>
      <c r="D1214" s="10"/>
      <c r="E1214" s="10"/>
      <c r="F1214" s="11"/>
      <c r="G1214" s="11"/>
      <c r="H1214" s="11"/>
      <c r="I1214" s="11"/>
      <c r="J1214" s="11" t="str">
        <f>IFERROR(__xludf.DUMMYFUNCTION("IFERROR(FILTER(Stats!$F:$Z,(Stats!$A:$A=$A1214)*(Stats!$B:$B=$B1214)))"),"#REF!")</f>
        <v>#REF!</v>
      </c>
      <c r="K1214" s="11"/>
      <c r="L1214" s="12"/>
      <c r="M1214" s="11"/>
      <c r="N1214" s="11"/>
      <c r="O1214" s="13"/>
      <c r="P1214" s="14"/>
      <c r="Q1214" s="13"/>
      <c r="R1214" s="13"/>
      <c r="S1214" s="15"/>
      <c r="T1214" s="16"/>
      <c r="U1214" s="16"/>
      <c r="V1214" s="16"/>
      <c r="W1214" s="16"/>
      <c r="X1214" s="16"/>
      <c r="Y1214" s="11"/>
      <c r="Z1214" s="11"/>
      <c r="AA1214" s="11"/>
      <c r="AB1214" s="11"/>
      <c r="AC1214" s="11"/>
      <c r="AD1214" s="11"/>
    </row>
    <row r="1215">
      <c r="A1215" s="10"/>
      <c r="B1215" s="10"/>
      <c r="C1215" s="10"/>
      <c r="D1215" s="10"/>
      <c r="E1215" s="10"/>
      <c r="F1215" s="11"/>
      <c r="G1215" s="11"/>
      <c r="H1215" s="11"/>
      <c r="I1215" s="11"/>
      <c r="J1215" s="11" t="str">
        <f>IFERROR(__xludf.DUMMYFUNCTION("IFERROR(FILTER(Stats!$F:$Z,(Stats!$A:$A=$A1215)*(Stats!$B:$B=$B1215)))"),"#REF!")</f>
        <v>#REF!</v>
      </c>
      <c r="K1215" s="11"/>
      <c r="L1215" s="12"/>
      <c r="M1215" s="11"/>
      <c r="N1215" s="11"/>
      <c r="O1215" s="13"/>
      <c r="P1215" s="14"/>
      <c r="Q1215" s="13"/>
      <c r="R1215" s="13"/>
      <c r="S1215" s="15"/>
      <c r="T1215" s="16"/>
      <c r="U1215" s="16"/>
      <c r="V1215" s="16"/>
      <c r="W1215" s="16"/>
      <c r="X1215" s="16"/>
      <c r="Y1215" s="11"/>
      <c r="Z1215" s="11"/>
      <c r="AA1215" s="11"/>
      <c r="AB1215" s="11"/>
      <c r="AC1215" s="11"/>
      <c r="AD1215" s="11"/>
    </row>
    <row r="1216">
      <c r="A1216" s="10"/>
      <c r="B1216" s="10"/>
      <c r="C1216" s="10"/>
      <c r="D1216" s="10"/>
      <c r="E1216" s="10"/>
      <c r="F1216" s="11"/>
      <c r="G1216" s="11"/>
      <c r="H1216" s="11"/>
      <c r="I1216" s="11"/>
      <c r="J1216" s="11" t="str">
        <f>IFERROR(__xludf.DUMMYFUNCTION("IFERROR(FILTER(Stats!$F:$Z,(Stats!$A:$A=$A1216)*(Stats!$B:$B=$B1216)))"),"#REF!")</f>
        <v>#REF!</v>
      </c>
      <c r="K1216" s="11"/>
      <c r="L1216" s="12"/>
      <c r="M1216" s="11"/>
      <c r="N1216" s="11"/>
      <c r="O1216" s="13"/>
      <c r="P1216" s="14"/>
      <c r="Q1216" s="13"/>
      <c r="R1216" s="13"/>
      <c r="S1216" s="15"/>
      <c r="T1216" s="16"/>
      <c r="U1216" s="16"/>
      <c r="V1216" s="16"/>
      <c r="W1216" s="16"/>
      <c r="X1216" s="16"/>
      <c r="Y1216" s="11"/>
      <c r="Z1216" s="11"/>
      <c r="AA1216" s="11"/>
      <c r="AB1216" s="11"/>
      <c r="AC1216" s="11"/>
      <c r="AD1216" s="11"/>
    </row>
    <row r="1217">
      <c r="A1217" s="10"/>
      <c r="B1217" s="10"/>
      <c r="C1217" s="10"/>
      <c r="D1217" s="10"/>
      <c r="E1217" s="10"/>
      <c r="F1217" s="11"/>
      <c r="G1217" s="11"/>
      <c r="H1217" s="11"/>
      <c r="I1217" s="11"/>
      <c r="J1217" s="11" t="str">
        <f>IFERROR(__xludf.DUMMYFUNCTION("IFERROR(FILTER(Stats!$F:$Z,(Stats!$A:$A=$A1217)*(Stats!$B:$B=$B1217)))"),"#REF!")</f>
        <v>#REF!</v>
      </c>
      <c r="K1217" s="11"/>
      <c r="L1217" s="12"/>
      <c r="M1217" s="11"/>
      <c r="N1217" s="11"/>
      <c r="O1217" s="13"/>
      <c r="P1217" s="14"/>
      <c r="Q1217" s="13"/>
      <c r="R1217" s="13"/>
      <c r="S1217" s="15"/>
      <c r="T1217" s="16"/>
      <c r="U1217" s="16"/>
      <c r="V1217" s="16"/>
      <c r="W1217" s="16"/>
      <c r="X1217" s="16"/>
      <c r="Y1217" s="11"/>
      <c r="Z1217" s="11"/>
      <c r="AA1217" s="11"/>
      <c r="AB1217" s="11"/>
      <c r="AC1217" s="11"/>
      <c r="AD1217" s="11"/>
    </row>
    <row r="1218">
      <c r="A1218" s="10"/>
      <c r="B1218" s="10"/>
      <c r="C1218" s="10"/>
      <c r="D1218" s="10"/>
      <c r="E1218" s="10"/>
      <c r="F1218" s="11"/>
      <c r="G1218" s="11"/>
      <c r="H1218" s="11"/>
      <c r="I1218" s="11"/>
      <c r="J1218" s="11" t="str">
        <f>IFERROR(__xludf.DUMMYFUNCTION("IFERROR(FILTER(Stats!$F:$Z,(Stats!$A:$A=$A1218)*(Stats!$B:$B=$B1218)))"),"#REF!")</f>
        <v>#REF!</v>
      </c>
      <c r="K1218" s="11"/>
      <c r="L1218" s="12"/>
      <c r="M1218" s="11"/>
      <c r="N1218" s="11"/>
      <c r="O1218" s="13"/>
      <c r="P1218" s="14"/>
      <c r="Q1218" s="13"/>
      <c r="R1218" s="13"/>
      <c r="S1218" s="15"/>
      <c r="T1218" s="16"/>
      <c r="U1218" s="16"/>
      <c r="V1218" s="16"/>
      <c r="W1218" s="16"/>
      <c r="X1218" s="16"/>
      <c r="Y1218" s="11"/>
      <c r="Z1218" s="11"/>
      <c r="AA1218" s="11"/>
      <c r="AB1218" s="11"/>
      <c r="AC1218" s="11"/>
      <c r="AD1218" s="11"/>
    </row>
    <row r="1219">
      <c r="A1219" s="10"/>
      <c r="B1219" s="10"/>
      <c r="C1219" s="10"/>
      <c r="D1219" s="10"/>
      <c r="E1219" s="10"/>
      <c r="F1219" s="11"/>
      <c r="G1219" s="11"/>
      <c r="H1219" s="11"/>
      <c r="I1219" s="11"/>
      <c r="J1219" s="11" t="str">
        <f>IFERROR(__xludf.DUMMYFUNCTION("IFERROR(FILTER(Stats!$F:$Z,(Stats!$A:$A=$A1219)*(Stats!$B:$B=$B1219)))"),"#REF!")</f>
        <v>#REF!</v>
      </c>
      <c r="K1219" s="11"/>
      <c r="L1219" s="12"/>
      <c r="M1219" s="11"/>
      <c r="N1219" s="11"/>
      <c r="O1219" s="13"/>
      <c r="P1219" s="14"/>
      <c r="Q1219" s="13"/>
      <c r="R1219" s="13"/>
      <c r="S1219" s="15"/>
      <c r="T1219" s="16"/>
      <c r="U1219" s="16"/>
      <c r="V1219" s="16"/>
      <c r="W1219" s="16"/>
      <c r="X1219" s="16"/>
      <c r="Y1219" s="11"/>
      <c r="Z1219" s="11"/>
      <c r="AA1219" s="11"/>
      <c r="AB1219" s="11"/>
      <c r="AC1219" s="11"/>
      <c r="AD1219" s="11"/>
    </row>
    <row r="1220">
      <c r="A1220" s="10"/>
      <c r="B1220" s="10"/>
      <c r="C1220" s="10"/>
      <c r="D1220" s="10"/>
      <c r="E1220" s="10"/>
      <c r="F1220" s="11"/>
      <c r="G1220" s="11"/>
      <c r="H1220" s="11"/>
      <c r="I1220" s="11"/>
      <c r="J1220" s="11" t="str">
        <f>IFERROR(__xludf.DUMMYFUNCTION("IFERROR(FILTER(Stats!$F:$Z,(Stats!$A:$A=$A1220)*(Stats!$B:$B=$B1220)))"),"#REF!")</f>
        <v>#REF!</v>
      </c>
      <c r="K1220" s="11"/>
      <c r="L1220" s="12"/>
      <c r="M1220" s="11"/>
      <c r="N1220" s="11"/>
      <c r="O1220" s="13"/>
      <c r="P1220" s="14"/>
      <c r="Q1220" s="13"/>
      <c r="R1220" s="13"/>
      <c r="S1220" s="15"/>
      <c r="T1220" s="16"/>
      <c r="U1220" s="16"/>
      <c r="V1220" s="16"/>
      <c r="W1220" s="16"/>
      <c r="X1220" s="16"/>
      <c r="Y1220" s="11"/>
      <c r="Z1220" s="11"/>
      <c r="AA1220" s="11"/>
      <c r="AB1220" s="11"/>
      <c r="AC1220" s="11"/>
      <c r="AD1220" s="11"/>
    </row>
    <row r="1221">
      <c r="A1221" s="10"/>
      <c r="B1221" s="10"/>
      <c r="C1221" s="10"/>
      <c r="D1221" s="10"/>
      <c r="E1221" s="10"/>
      <c r="F1221" s="11"/>
      <c r="G1221" s="11"/>
      <c r="H1221" s="11"/>
      <c r="I1221" s="11"/>
      <c r="J1221" s="11" t="str">
        <f>IFERROR(__xludf.DUMMYFUNCTION("IFERROR(FILTER(Stats!$F:$Z,(Stats!$A:$A=$A1221)*(Stats!$B:$B=$B1221)))"),"#REF!")</f>
        <v>#REF!</v>
      </c>
      <c r="K1221" s="11"/>
      <c r="L1221" s="12"/>
      <c r="M1221" s="11"/>
      <c r="N1221" s="11"/>
      <c r="O1221" s="13"/>
      <c r="P1221" s="14"/>
      <c r="Q1221" s="13"/>
      <c r="R1221" s="13"/>
      <c r="S1221" s="15"/>
      <c r="T1221" s="16"/>
      <c r="U1221" s="16"/>
      <c r="V1221" s="16"/>
      <c r="W1221" s="16"/>
      <c r="X1221" s="16"/>
      <c r="Y1221" s="11"/>
      <c r="Z1221" s="11"/>
      <c r="AA1221" s="11"/>
      <c r="AB1221" s="11"/>
      <c r="AC1221" s="11"/>
      <c r="AD1221" s="11"/>
    </row>
    <row r="1222">
      <c r="A1222" s="10"/>
      <c r="B1222" s="10"/>
      <c r="C1222" s="10"/>
      <c r="D1222" s="10"/>
      <c r="E1222" s="10"/>
      <c r="F1222" s="11"/>
      <c r="G1222" s="11"/>
      <c r="H1222" s="11"/>
      <c r="I1222" s="11"/>
      <c r="J1222" s="11" t="str">
        <f>IFERROR(__xludf.DUMMYFUNCTION("IFERROR(FILTER(Stats!$F:$Z,(Stats!$A:$A=$A1222)*(Stats!$B:$B=$B1222)))"),"#REF!")</f>
        <v>#REF!</v>
      </c>
      <c r="K1222" s="11"/>
      <c r="L1222" s="12"/>
      <c r="M1222" s="11"/>
      <c r="N1222" s="11"/>
      <c r="O1222" s="13"/>
      <c r="P1222" s="14"/>
      <c r="Q1222" s="13"/>
      <c r="R1222" s="13"/>
      <c r="S1222" s="15"/>
      <c r="T1222" s="16"/>
      <c r="U1222" s="16"/>
      <c r="V1222" s="16"/>
      <c r="W1222" s="16"/>
      <c r="X1222" s="16"/>
      <c r="Y1222" s="11"/>
      <c r="Z1222" s="11"/>
      <c r="AA1222" s="11"/>
      <c r="AB1222" s="11"/>
      <c r="AC1222" s="11"/>
      <c r="AD1222" s="11"/>
    </row>
    <row r="1223">
      <c r="A1223" s="10"/>
      <c r="B1223" s="10"/>
      <c r="C1223" s="10"/>
      <c r="D1223" s="10"/>
      <c r="E1223" s="10"/>
      <c r="F1223" s="11"/>
      <c r="G1223" s="11"/>
      <c r="H1223" s="11"/>
      <c r="I1223" s="11"/>
      <c r="J1223" s="11" t="str">
        <f>IFERROR(__xludf.DUMMYFUNCTION("IFERROR(FILTER(Stats!$F:$Z,(Stats!$A:$A=$A1223)*(Stats!$B:$B=$B1223)))"),"#REF!")</f>
        <v>#REF!</v>
      </c>
      <c r="K1223" s="11"/>
      <c r="L1223" s="12"/>
      <c r="M1223" s="11"/>
      <c r="N1223" s="11"/>
      <c r="O1223" s="13"/>
      <c r="P1223" s="14"/>
      <c r="Q1223" s="13"/>
      <c r="R1223" s="13"/>
      <c r="S1223" s="15"/>
      <c r="T1223" s="16"/>
      <c r="U1223" s="16"/>
      <c r="V1223" s="16"/>
      <c r="W1223" s="16"/>
      <c r="X1223" s="16"/>
      <c r="Y1223" s="11"/>
      <c r="Z1223" s="11"/>
      <c r="AA1223" s="11"/>
      <c r="AB1223" s="11"/>
      <c r="AC1223" s="11"/>
      <c r="AD1223" s="11"/>
    </row>
    <row r="1224">
      <c r="A1224" s="10"/>
      <c r="B1224" s="10"/>
      <c r="C1224" s="10"/>
      <c r="D1224" s="10"/>
      <c r="E1224" s="10"/>
      <c r="F1224" s="11"/>
      <c r="G1224" s="11"/>
      <c r="H1224" s="11"/>
      <c r="I1224" s="11"/>
      <c r="J1224" s="11" t="str">
        <f>IFERROR(__xludf.DUMMYFUNCTION("IFERROR(FILTER(Stats!$F:$Z,(Stats!$A:$A=$A1224)*(Stats!$B:$B=$B1224)))"),"#REF!")</f>
        <v>#REF!</v>
      </c>
      <c r="K1224" s="11"/>
      <c r="L1224" s="12"/>
      <c r="M1224" s="11"/>
      <c r="N1224" s="11"/>
      <c r="O1224" s="13"/>
      <c r="P1224" s="14"/>
      <c r="Q1224" s="13"/>
      <c r="R1224" s="13"/>
      <c r="S1224" s="15"/>
      <c r="T1224" s="16"/>
      <c r="U1224" s="16"/>
      <c r="V1224" s="16"/>
      <c r="W1224" s="16"/>
      <c r="X1224" s="16"/>
      <c r="Y1224" s="11"/>
      <c r="Z1224" s="11"/>
      <c r="AA1224" s="11"/>
      <c r="AB1224" s="11"/>
      <c r="AC1224" s="11"/>
      <c r="AD1224" s="11"/>
    </row>
    <row r="1225">
      <c r="A1225" s="10"/>
      <c r="B1225" s="10"/>
      <c r="C1225" s="10"/>
      <c r="D1225" s="10"/>
      <c r="E1225" s="10"/>
      <c r="F1225" s="11"/>
      <c r="G1225" s="11"/>
      <c r="H1225" s="11"/>
      <c r="I1225" s="11"/>
      <c r="J1225" s="11" t="str">
        <f>IFERROR(__xludf.DUMMYFUNCTION("IFERROR(FILTER(Stats!$F:$Z,(Stats!$A:$A=$A1225)*(Stats!$B:$B=$B1225)))"),"#REF!")</f>
        <v>#REF!</v>
      </c>
      <c r="K1225" s="11"/>
      <c r="L1225" s="12"/>
      <c r="M1225" s="11"/>
      <c r="N1225" s="11"/>
      <c r="O1225" s="13"/>
      <c r="P1225" s="14"/>
      <c r="Q1225" s="13"/>
      <c r="R1225" s="13"/>
      <c r="S1225" s="15"/>
      <c r="T1225" s="16"/>
      <c r="U1225" s="16"/>
      <c r="V1225" s="16"/>
      <c r="W1225" s="16"/>
      <c r="X1225" s="16"/>
      <c r="Y1225" s="11"/>
      <c r="Z1225" s="11"/>
      <c r="AA1225" s="11"/>
      <c r="AB1225" s="11"/>
      <c r="AC1225" s="11"/>
      <c r="AD1225" s="11"/>
    </row>
    <row r="1226">
      <c r="A1226" s="10"/>
      <c r="B1226" s="10"/>
      <c r="C1226" s="10"/>
      <c r="D1226" s="10"/>
      <c r="E1226" s="10"/>
      <c r="F1226" s="11"/>
      <c r="G1226" s="11"/>
      <c r="H1226" s="11"/>
      <c r="I1226" s="11"/>
      <c r="J1226" s="11" t="str">
        <f>IFERROR(__xludf.DUMMYFUNCTION("IFERROR(FILTER(Stats!$F:$Z,(Stats!$A:$A=$A1226)*(Stats!$B:$B=$B1226)))"),"#REF!")</f>
        <v>#REF!</v>
      </c>
      <c r="K1226" s="11"/>
      <c r="L1226" s="12"/>
      <c r="M1226" s="11"/>
      <c r="N1226" s="11"/>
      <c r="O1226" s="13"/>
      <c r="P1226" s="14"/>
      <c r="Q1226" s="13"/>
      <c r="R1226" s="13"/>
      <c r="S1226" s="15"/>
      <c r="T1226" s="16"/>
      <c r="U1226" s="16"/>
      <c r="V1226" s="16"/>
      <c r="W1226" s="16"/>
      <c r="X1226" s="16"/>
      <c r="Y1226" s="11"/>
      <c r="Z1226" s="11"/>
      <c r="AA1226" s="11"/>
      <c r="AB1226" s="11"/>
      <c r="AC1226" s="11"/>
      <c r="AD1226" s="11"/>
    </row>
    <row r="1227">
      <c r="A1227" s="10"/>
      <c r="B1227" s="10"/>
      <c r="C1227" s="10"/>
      <c r="D1227" s="10"/>
      <c r="E1227" s="10"/>
      <c r="F1227" s="11"/>
      <c r="G1227" s="11"/>
      <c r="H1227" s="11"/>
      <c r="I1227" s="11"/>
      <c r="J1227" s="11" t="str">
        <f>IFERROR(__xludf.DUMMYFUNCTION("IFERROR(FILTER(Stats!$F:$Z,(Stats!$A:$A=$A1227)*(Stats!$B:$B=$B1227)))"),"#REF!")</f>
        <v>#REF!</v>
      </c>
      <c r="K1227" s="11"/>
      <c r="L1227" s="12"/>
      <c r="M1227" s="11"/>
      <c r="N1227" s="11"/>
      <c r="O1227" s="13"/>
      <c r="P1227" s="14"/>
      <c r="Q1227" s="13"/>
      <c r="R1227" s="13"/>
      <c r="S1227" s="15"/>
      <c r="T1227" s="16"/>
      <c r="U1227" s="16"/>
      <c r="V1227" s="16"/>
      <c r="W1227" s="16"/>
      <c r="X1227" s="16"/>
      <c r="Y1227" s="11"/>
      <c r="Z1227" s="11"/>
      <c r="AA1227" s="11"/>
      <c r="AB1227" s="11"/>
      <c r="AC1227" s="11"/>
      <c r="AD1227" s="11"/>
    </row>
    <row r="1228">
      <c r="A1228" s="10"/>
      <c r="B1228" s="10"/>
      <c r="C1228" s="10"/>
      <c r="D1228" s="10"/>
      <c r="E1228" s="10"/>
      <c r="F1228" s="11"/>
      <c r="G1228" s="11"/>
      <c r="H1228" s="11"/>
      <c r="I1228" s="11"/>
      <c r="J1228" s="11" t="str">
        <f>IFERROR(__xludf.DUMMYFUNCTION("IFERROR(FILTER(Stats!$F:$Z,(Stats!$A:$A=$A1228)*(Stats!$B:$B=$B1228)))"),"#REF!")</f>
        <v>#REF!</v>
      </c>
      <c r="K1228" s="11"/>
      <c r="L1228" s="12"/>
      <c r="M1228" s="11"/>
      <c r="N1228" s="11"/>
      <c r="O1228" s="13"/>
      <c r="P1228" s="14"/>
      <c r="Q1228" s="13"/>
      <c r="R1228" s="13"/>
      <c r="S1228" s="15"/>
      <c r="T1228" s="16"/>
      <c r="U1228" s="16"/>
      <c r="V1228" s="16"/>
      <c r="W1228" s="16"/>
      <c r="X1228" s="16"/>
      <c r="Y1228" s="11"/>
      <c r="Z1228" s="11"/>
      <c r="AA1228" s="11"/>
      <c r="AB1228" s="11"/>
      <c r="AC1228" s="11"/>
      <c r="AD1228" s="11"/>
    </row>
    <row r="1229">
      <c r="A1229" s="10"/>
      <c r="B1229" s="10"/>
      <c r="C1229" s="10"/>
      <c r="D1229" s="10"/>
      <c r="E1229" s="10"/>
      <c r="F1229" s="11"/>
      <c r="G1229" s="11"/>
      <c r="H1229" s="11"/>
      <c r="I1229" s="11"/>
      <c r="J1229" s="11" t="str">
        <f>IFERROR(__xludf.DUMMYFUNCTION("IFERROR(FILTER(Stats!$F:$Z,(Stats!$A:$A=$A1229)*(Stats!$B:$B=$B1229)))"),"#REF!")</f>
        <v>#REF!</v>
      </c>
      <c r="K1229" s="11"/>
      <c r="L1229" s="12"/>
      <c r="M1229" s="11"/>
      <c r="N1229" s="11"/>
      <c r="O1229" s="13"/>
      <c r="P1229" s="14"/>
      <c r="Q1229" s="13"/>
      <c r="R1229" s="13"/>
      <c r="S1229" s="15"/>
      <c r="T1229" s="16"/>
      <c r="U1229" s="16"/>
      <c r="V1229" s="16"/>
      <c r="W1229" s="16"/>
      <c r="X1229" s="16"/>
      <c r="Y1229" s="11"/>
      <c r="Z1229" s="11"/>
      <c r="AA1229" s="11"/>
      <c r="AB1229" s="11"/>
      <c r="AC1229" s="11"/>
      <c r="AD1229" s="11"/>
    </row>
    <row r="1230">
      <c r="A1230" s="10"/>
      <c r="B1230" s="10"/>
      <c r="C1230" s="10"/>
      <c r="D1230" s="10"/>
      <c r="E1230" s="10"/>
      <c r="F1230" s="11"/>
      <c r="G1230" s="11"/>
      <c r="H1230" s="11"/>
      <c r="I1230" s="11"/>
      <c r="J1230" s="11" t="str">
        <f>IFERROR(__xludf.DUMMYFUNCTION("IFERROR(FILTER(Stats!$F:$Z,(Stats!$A:$A=$A1230)*(Stats!$B:$B=$B1230)))"),"#REF!")</f>
        <v>#REF!</v>
      </c>
      <c r="K1230" s="11"/>
      <c r="L1230" s="12"/>
      <c r="M1230" s="11"/>
      <c r="N1230" s="11"/>
      <c r="O1230" s="13"/>
      <c r="P1230" s="14"/>
      <c r="Q1230" s="13"/>
      <c r="R1230" s="13"/>
      <c r="S1230" s="15"/>
      <c r="T1230" s="16"/>
      <c r="U1230" s="16"/>
      <c r="V1230" s="16"/>
      <c r="W1230" s="16"/>
      <c r="X1230" s="16"/>
      <c r="Y1230" s="11"/>
      <c r="Z1230" s="11"/>
      <c r="AA1230" s="11"/>
      <c r="AB1230" s="11"/>
      <c r="AC1230" s="11"/>
      <c r="AD1230" s="11"/>
    </row>
    <row r="1231">
      <c r="A1231" s="10"/>
      <c r="B1231" s="10"/>
      <c r="C1231" s="10"/>
      <c r="D1231" s="10"/>
      <c r="E1231" s="10"/>
      <c r="F1231" s="11"/>
      <c r="G1231" s="11"/>
      <c r="H1231" s="11"/>
      <c r="I1231" s="11"/>
      <c r="J1231" s="11" t="str">
        <f>IFERROR(__xludf.DUMMYFUNCTION("IFERROR(FILTER(Stats!$F:$Z,(Stats!$A:$A=$A1231)*(Stats!$B:$B=$B1231)))"),"#REF!")</f>
        <v>#REF!</v>
      </c>
      <c r="K1231" s="11"/>
      <c r="L1231" s="12"/>
      <c r="M1231" s="11"/>
      <c r="N1231" s="11"/>
      <c r="O1231" s="13"/>
      <c r="P1231" s="14"/>
      <c r="Q1231" s="13"/>
      <c r="R1231" s="13"/>
      <c r="S1231" s="15"/>
      <c r="T1231" s="16"/>
      <c r="U1231" s="16"/>
      <c r="V1231" s="16"/>
      <c r="W1231" s="16"/>
      <c r="X1231" s="16"/>
      <c r="Y1231" s="11"/>
      <c r="Z1231" s="11"/>
      <c r="AA1231" s="11"/>
      <c r="AB1231" s="11"/>
      <c r="AC1231" s="11"/>
      <c r="AD1231" s="11"/>
    </row>
    <row r="1232">
      <c r="A1232" s="10"/>
      <c r="B1232" s="10"/>
      <c r="C1232" s="10"/>
      <c r="D1232" s="10"/>
      <c r="E1232" s="10"/>
      <c r="F1232" s="11"/>
      <c r="G1232" s="11"/>
      <c r="H1232" s="11"/>
      <c r="I1232" s="11"/>
      <c r="J1232" s="11" t="str">
        <f>IFERROR(__xludf.DUMMYFUNCTION("IFERROR(FILTER(Stats!$F:$Z,(Stats!$A:$A=$A1232)*(Stats!$B:$B=$B1232)))"),"#REF!")</f>
        <v>#REF!</v>
      </c>
      <c r="K1232" s="11"/>
      <c r="L1232" s="12"/>
      <c r="M1232" s="11"/>
      <c r="N1232" s="11"/>
      <c r="O1232" s="13"/>
      <c r="P1232" s="14"/>
      <c r="Q1232" s="13"/>
      <c r="R1232" s="13"/>
      <c r="S1232" s="15"/>
      <c r="T1232" s="16"/>
      <c r="U1232" s="16"/>
      <c r="V1232" s="16"/>
      <c r="W1232" s="16"/>
      <c r="X1232" s="16"/>
      <c r="Y1232" s="11"/>
      <c r="Z1232" s="11"/>
      <c r="AA1232" s="11"/>
      <c r="AB1232" s="11"/>
      <c r="AC1232" s="11"/>
      <c r="AD1232" s="11"/>
    </row>
    <row r="1233">
      <c r="A1233" s="10"/>
      <c r="B1233" s="10"/>
      <c r="C1233" s="10"/>
      <c r="D1233" s="10"/>
      <c r="E1233" s="10"/>
      <c r="F1233" s="11"/>
      <c r="G1233" s="11"/>
      <c r="H1233" s="11"/>
      <c r="I1233" s="11"/>
      <c r="J1233" s="11" t="str">
        <f>IFERROR(__xludf.DUMMYFUNCTION("IFERROR(FILTER(Stats!$F:$Z,(Stats!$A:$A=$A1233)*(Stats!$B:$B=$B1233)))"),"#REF!")</f>
        <v>#REF!</v>
      </c>
      <c r="K1233" s="11"/>
      <c r="L1233" s="12"/>
      <c r="M1233" s="11"/>
      <c r="N1233" s="11"/>
      <c r="O1233" s="13"/>
      <c r="P1233" s="14"/>
      <c r="Q1233" s="13"/>
      <c r="R1233" s="13"/>
      <c r="S1233" s="15"/>
      <c r="T1233" s="16"/>
      <c r="U1233" s="16"/>
      <c r="V1233" s="16"/>
      <c r="W1233" s="16"/>
      <c r="X1233" s="16"/>
      <c r="Y1233" s="11"/>
      <c r="Z1233" s="11"/>
      <c r="AA1233" s="11"/>
      <c r="AB1233" s="11"/>
      <c r="AC1233" s="11"/>
      <c r="AD1233" s="11"/>
    </row>
    <row r="1234">
      <c r="A1234" s="10"/>
      <c r="B1234" s="10"/>
      <c r="C1234" s="10"/>
      <c r="D1234" s="10"/>
      <c r="E1234" s="10"/>
      <c r="F1234" s="11"/>
      <c r="G1234" s="11"/>
      <c r="H1234" s="11"/>
      <c r="I1234" s="11"/>
      <c r="J1234" s="11" t="str">
        <f>IFERROR(__xludf.DUMMYFUNCTION("IFERROR(FILTER(Stats!$F:$Z,(Stats!$A:$A=$A1234)*(Stats!$B:$B=$B1234)))"),"#REF!")</f>
        <v>#REF!</v>
      </c>
      <c r="K1234" s="11"/>
      <c r="L1234" s="12"/>
      <c r="M1234" s="11"/>
      <c r="N1234" s="11"/>
      <c r="O1234" s="13"/>
      <c r="P1234" s="14"/>
      <c r="Q1234" s="13"/>
      <c r="R1234" s="13"/>
      <c r="S1234" s="15"/>
      <c r="T1234" s="16"/>
      <c r="U1234" s="16"/>
      <c r="V1234" s="16"/>
      <c r="W1234" s="16"/>
      <c r="X1234" s="16"/>
      <c r="Y1234" s="11"/>
      <c r="Z1234" s="11"/>
      <c r="AA1234" s="11"/>
      <c r="AB1234" s="11"/>
      <c r="AC1234" s="11"/>
      <c r="AD1234" s="11"/>
    </row>
    <row r="1235">
      <c r="A1235" s="10"/>
      <c r="B1235" s="10"/>
      <c r="C1235" s="10"/>
      <c r="D1235" s="10"/>
      <c r="E1235" s="10"/>
      <c r="F1235" s="11"/>
      <c r="G1235" s="11"/>
      <c r="H1235" s="11"/>
      <c r="I1235" s="11"/>
      <c r="J1235" s="11" t="str">
        <f>IFERROR(__xludf.DUMMYFUNCTION("IFERROR(FILTER(Stats!$F:$Z,(Stats!$A:$A=$A1235)*(Stats!$B:$B=$B1235)))"),"#REF!")</f>
        <v>#REF!</v>
      </c>
      <c r="K1235" s="11"/>
      <c r="L1235" s="12"/>
      <c r="M1235" s="11"/>
      <c r="N1235" s="11"/>
      <c r="O1235" s="13"/>
      <c r="P1235" s="14"/>
      <c r="Q1235" s="13"/>
      <c r="R1235" s="13"/>
      <c r="S1235" s="15"/>
      <c r="T1235" s="16"/>
      <c r="U1235" s="16"/>
      <c r="V1235" s="16"/>
      <c r="W1235" s="16"/>
      <c r="X1235" s="16"/>
      <c r="Y1235" s="11"/>
      <c r="Z1235" s="11"/>
      <c r="AA1235" s="11"/>
      <c r="AB1235" s="11"/>
      <c r="AC1235" s="11"/>
      <c r="AD1235" s="11"/>
    </row>
    <row r="1236">
      <c r="A1236" s="10"/>
      <c r="B1236" s="10"/>
      <c r="C1236" s="10"/>
      <c r="D1236" s="10"/>
      <c r="E1236" s="10"/>
      <c r="F1236" s="11"/>
      <c r="G1236" s="11"/>
      <c r="H1236" s="11"/>
      <c r="I1236" s="11"/>
      <c r="J1236" s="11" t="str">
        <f>IFERROR(__xludf.DUMMYFUNCTION("IFERROR(FILTER(Stats!$F:$Z,(Stats!$A:$A=$A1236)*(Stats!$B:$B=$B1236)))"),"#REF!")</f>
        <v>#REF!</v>
      </c>
      <c r="K1236" s="11"/>
      <c r="L1236" s="12"/>
      <c r="M1236" s="11"/>
      <c r="N1236" s="11"/>
      <c r="O1236" s="13"/>
      <c r="P1236" s="14"/>
      <c r="Q1236" s="13"/>
      <c r="R1236" s="13"/>
      <c r="S1236" s="15"/>
      <c r="T1236" s="16"/>
      <c r="U1236" s="16"/>
      <c r="V1236" s="16"/>
      <c r="W1236" s="16"/>
      <c r="X1236" s="16"/>
      <c r="Y1236" s="11"/>
      <c r="Z1236" s="11"/>
      <c r="AA1236" s="11"/>
      <c r="AB1236" s="11"/>
      <c r="AC1236" s="11"/>
      <c r="AD1236" s="11"/>
    </row>
    <row r="1237">
      <c r="A1237" s="10"/>
      <c r="B1237" s="10"/>
      <c r="C1237" s="10"/>
      <c r="D1237" s="10"/>
      <c r="E1237" s="10"/>
      <c r="F1237" s="11"/>
      <c r="G1237" s="11"/>
      <c r="H1237" s="11"/>
      <c r="I1237" s="11"/>
      <c r="J1237" s="11" t="str">
        <f>IFERROR(__xludf.DUMMYFUNCTION("IFERROR(FILTER(Stats!$F:$Z,(Stats!$A:$A=$A1237)*(Stats!$B:$B=$B1237)))"),"#REF!")</f>
        <v>#REF!</v>
      </c>
      <c r="K1237" s="11"/>
      <c r="L1237" s="12"/>
      <c r="M1237" s="11"/>
      <c r="N1237" s="11"/>
      <c r="O1237" s="13"/>
      <c r="P1237" s="14"/>
      <c r="Q1237" s="13"/>
      <c r="R1237" s="13"/>
      <c r="S1237" s="15"/>
      <c r="T1237" s="16"/>
      <c r="U1237" s="16"/>
      <c r="V1237" s="16"/>
      <c r="W1237" s="16"/>
      <c r="X1237" s="16"/>
      <c r="Y1237" s="11"/>
      <c r="Z1237" s="11"/>
      <c r="AA1237" s="11"/>
      <c r="AB1237" s="11"/>
      <c r="AC1237" s="11"/>
      <c r="AD1237" s="11"/>
    </row>
    <row r="1238">
      <c r="A1238" s="10"/>
      <c r="B1238" s="10"/>
      <c r="C1238" s="10"/>
      <c r="D1238" s="10"/>
      <c r="E1238" s="10"/>
      <c r="F1238" s="11"/>
      <c r="G1238" s="11"/>
      <c r="H1238" s="11"/>
      <c r="I1238" s="11"/>
      <c r="J1238" s="11" t="str">
        <f>IFERROR(__xludf.DUMMYFUNCTION("IFERROR(FILTER(Stats!$F:$Z,(Stats!$A:$A=$A1238)*(Stats!$B:$B=$B1238)))"),"#REF!")</f>
        <v>#REF!</v>
      </c>
      <c r="K1238" s="11"/>
      <c r="L1238" s="12"/>
      <c r="M1238" s="11"/>
      <c r="N1238" s="11"/>
      <c r="O1238" s="13"/>
      <c r="P1238" s="14"/>
      <c r="Q1238" s="13"/>
      <c r="R1238" s="13"/>
      <c r="S1238" s="15"/>
      <c r="T1238" s="16"/>
      <c r="U1238" s="16"/>
      <c r="V1238" s="16"/>
      <c r="W1238" s="16"/>
      <c r="X1238" s="16"/>
      <c r="Y1238" s="11"/>
      <c r="Z1238" s="11"/>
      <c r="AA1238" s="11"/>
      <c r="AB1238" s="11"/>
      <c r="AC1238" s="11"/>
      <c r="AD1238" s="11"/>
    </row>
    <row r="1239">
      <c r="A1239" s="10"/>
      <c r="B1239" s="10"/>
      <c r="C1239" s="10"/>
      <c r="D1239" s="10"/>
      <c r="E1239" s="10"/>
      <c r="F1239" s="11"/>
      <c r="G1239" s="11"/>
      <c r="H1239" s="11"/>
      <c r="I1239" s="11"/>
      <c r="J1239" s="11" t="str">
        <f>IFERROR(__xludf.DUMMYFUNCTION("IFERROR(FILTER(Stats!$F:$Z,(Stats!$A:$A=$A1239)*(Stats!$B:$B=$B1239)))"),"#REF!")</f>
        <v>#REF!</v>
      </c>
      <c r="K1239" s="11"/>
      <c r="L1239" s="12"/>
      <c r="M1239" s="11"/>
      <c r="N1239" s="11"/>
      <c r="O1239" s="13"/>
      <c r="P1239" s="14"/>
      <c r="Q1239" s="13"/>
      <c r="R1239" s="13"/>
      <c r="S1239" s="15"/>
      <c r="T1239" s="16"/>
      <c r="U1239" s="16"/>
      <c r="V1239" s="16"/>
      <c r="W1239" s="16"/>
      <c r="X1239" s="16"/>
      <c r="Y1239" s="11"/>
      <c r="Z1239" s="11"/>
      <c r="AA1239" s="11"/>
      <c r="AB1239" s="11"/>
      <c r="AC1239" s="11"/>
      <c r="AD1239" s="11"/>
    </row>
    <row r="1240">
      <c r="A1240" s="10"/>
      <c r="B1240" s="10"/>
      <c r="C1240" s="10"/>
      <c r="D1240" s="10"/>
      <c r="E1240" s="10"/>
      <c r="F1240" s="11"/>
      <c r="G1240" s="11"/>
      <c r="H1240" s="11"/>
      <c r="I1240" s="11"/>
      <c r="J1240" s="11" t="str">
        <f>IFERROR(__xludf.DUMMYFUNCTION("IFERROR(FILTER(Stats!$F:$Z,(Stats!$A:$A=$A1240)*(Stats!$B:$B=$B1240)))"),"#REF!")</f>
        <v>#REF!</v>
      </c>
      <c r="K1240" s="11"/>
      <c r="L1240" s="12"/>
      <c r="M1240" s="11"/>
      <c r="N1240" s="11"/>
      <c r="O1240" s="13"/>
      <c r="P1240" s="14"/>
      <c r="Q1240" s="13"/>
      <c r="R1240" s="13"/>
      <c r="S1240" s="15"/>
      <c r="T1240" s="16"/>
      <c r="U1240" s="16"/>
      <c r="V1240" s="16"/>
      <c r="W1240" s="16"/>
      <c r="X1240" s="16"/>
      <c r="Y1240" s="11"/>
      <c r="Z1240" s="11"/>
      <c r="AA1240" s="11"/>
      <c r="AB1240" s="11"/>
      <c r="AC1240" s="11"/>
      <c r="AD1240" s="11"/>
    </row>
    <row r="1241">
      <c r="A1241" s="10"/>
      <c r="B1241" s="10"/>
      <c r="C1241" s="10"/>
      <c r="D1241" s="10"/>
      <c r="E1241" s="10"/>
      <c r="F1241" s="11"/>
      <c r="G1241" s="11"/>
      <c r="H1241" s="11"/>
      <c r="I1241" s="11"/>
      <c r="J1241" s="11" t="str">
        <f>IFERROR(__xludf.DUMMYFUNCTION("IFERROR(FILTER(Stats!$F:$Z,(Stats!$A:$A=$A1241)*(Stats!$B:$B=$B1241)))"),"#REF!")</f>
        <v>#REF!</v>
      </c>
      <c r="K1241" s="11"/>
      <c r="L1241" s="12"/>
      <c r="M1241" s="11"/>
      <c r="N1241" s="11"/>
      <c r="O1241" s="13"/>
      <c r="P1241" s="14"/>
      <c r="Q1241" s="13"/>
      <c r="R1241" s="13"/>
      <c r="S1241" s="15"/>
      <c r="T1241" s="16"/>
      <c r="U1241" s="16"/>
      <c r="V1241" s="16"/>
      <c r="W1241" s="16"/>
      <c r="X1241" s="16"/>
      <c r="Y1241" s="11"/>
      <c r="Z1241" s="11"/>
      <c r="AA1241" s="11"/>
      <c r="AB1241" s="11"/>
      <c r="AC1241" s="11"/>
      <c r="AD1241" s="11"/>
    </row>
    <row r="1242">
      <c r="A1242" s="10"/>
      <c r="B1242" s="10"/>
      <c r="C1242" s="10"/>
      <c r="D1242" s="10"/>
      <c r="E1242" s="10"/>
      <c r="F1242" s="11"/>
      <c r="G1242" s="11"/>
      <c r="H1242" s="11"/>
      <c r="I1242" s="11"/>
      <c r="J1242" s="11" t="str">
        <f>IFERROR(__xludf.DUMMYFUNCTION("IFERROR(FILTER(Stats!$F:$Z,(Stats!$A:$A=$A1242)*(Stats!$B:$B=$B1242)))"),"#REF!")</f>
        <v>#REF!</v>
      </c>
      <c r="K1242" s="11"/>
      <c r="L1242" s="12"/>
      <c r="M1242" s="11"/>
      <c r="N1242" s="11"/>
      <c r="O1242" s="13"/>
      <c r="P1242" s="14"/>
      <c r="Q1242" s="13"/>
      <c r="R1242" s="13"/>
      <c r="S1242" s="15"/>
      <c r="T1242" s="16"/>
      <c r="U1242" s="16"/>
      <c r="V1242" s="16"/>
      <c r="W1242" s="16"/>
      <c r="X1242" s="16"/>
      <c r="Y1242" s="11"/>
      <c r="Z1242" s="11"/>
      <c r="AA1242" s="11"/>
      <c r="AB1242" s="11"/>
      <c r="AC1242" s="11"/>
      <c r="AD1242" s="11"/>
    </row>
    <row r="1243">
      <c r="A1243" s="10"/>
      <c r="B1243" s="10"/>
      <c r="C1243" s="10"/>
      <c r="D1243" s="10"/>
      <c r="E1243" s="10"/>
      <c r="F1243" s="11"/>
      <c r="G1243" s="11"/>
      <c r="H1243" s="11"/>
      <c r="I1243" s="11"/>
      <c r="J1243" s="11" t="str">
        <f>IFERROR(__xludf.DUMMYFUNCTION("IFERROR(FILTER(Stats!$F:$Z,(Stats!$A:$A=$A1243)*(Stats!$B:$B=$B1243)))"),"#REF!")</f>
        <v>#REF!</v>
      </c>
      <c r="K1243" s="11"/>
      <c r="L1243" s="12"/>
      <c r="M1243" s="11"/>
      <c r="N1243" s="11"/>
      <c r="O1243" s="13"/>
      <c r="P1243" s="14"/>
      <c r="Q1243" s="13"/>
      <c r="R1243" s="13"/>
      <c r="S1243" s="15"/>
      <c r="T1243" s="16"/>
      <c r="U1243" s="16"/>
      <c r="V1243" s="16"/>
      <c r="W1243" s="16"/>
      <c r="X1243" s="16"/>
      <c r="Y1243" s="11"/>
      <c r="Z1243" s="11"/>
      <c r="AA1243" s="11"/>
      <c r="AB1243" s="11"/>
      <c r="AC1243" s="11"/>
      <c r="AD1243" s="11"/>
    </row>
    <row r="1244">
      <c r="A1244" s="10"/>
      <c r="B1244" s="10"/>
      <c r="C1244" s="10"/>
      <c r="D1244" s="10"/>
      <c r="E1244" s="10"/>
      <c r="F1244" s="11"/>
      <c r="G1244" s="11"/>
      <c r="H1244" s="11"/>
      <c r="I1244" s="11"/>
      <c r="J1244" s="11" t="str">
        <f>IFERROR(__xludf.DUMMYFUNCTION("IFERROR(FILTER(Stats!$F:$Z,(Stats!$A:$A=$A1244)*(Stats!$B:$B=$B1244)))"),"#REF!")</f>
        <v>#REF!</v>
      </c>
      <c r="K1244" s="11"/>
      <c r="L1244" s="12"/>
      <c r="M1244" s="11"/>
      <c r="N1244" s="11"/>
      <c r="O1244" s="13"/>
      <c r="P1244" s="14"/>
      <c r="Q1244" s="13"/>
      <c r="R1244" s="13"/>
      <c r="S1244" s="15"/>
      <c r="T1244" s="16"/>
      <c r="U1244" s="16"/>
      <c r="V1244" s="16"/>
      <c r="W1244" s="16"/>
      <c r="X1244" s="16"/>
      <c r="Y1244" s="11"/>
      <c r="Z1244" s="11"/>
      <c r="AA1244" s="11"/>
      <c r="AB1244" s="11"/>
      <c r="AC1244" s="11"/>
      <c r="AD1244" s="11"/>
    </row>
    <row r="1245">
      <c r="A1245" s="10"/>
      <c r="B1245" s="10"/>
      <c r="C1245" s="10"/>
      <c r="D1245" s="10"/>
      <c r="E1245" s="10"/>
      <c r="F1245" s="11"/>
      <c r="G1245" s="11"/>
      <c r="H1245" s="11"/>
      <c r="I1245" s="11"/>
      <c r="J1245" s="11" t="str">
        <f>IFERROR(__xludf.DUMMYFUNCTION("IFERROR(FILTER(Stats!$F:$Z,(Stats!$A:$A=$A1245)*(Stats!$B:$B=$B1245)))"),"#REF!")</f>
        <v>#REF!</v>
      </c>
      <c r="K1245" s="11"/>
      <c r="L1245" s="12"/>
      <c r="M1245" s="11"/>
      <c r="N1245" s="11"/>
      <c r="O1245" s="13"/>
      <c r="P1245" s="14"/>
      <c r="Q1245" s="13"/>
      <c r="R1245" s="13"/>
      <c r="S1245" s="15"/>
      <c r="T1245" s="16"/>
      <c r="U1245" s="16"/>
      <c r="V1245" s="16"/>
      <c r="W1245" s="16"/>
      <c r="X1245" s="16"/>
      <c r="Y1245" s="11"/>
      <c r="Z1245" s="11"/>
      <c r="AA1245" s="11"/>
      <c r="AB1245" s="11"/>
      <c r="AC1245" s="11"/>
      <c r="AD1245" s="11"/>
    </row>
    <row r="1246">
      <c r="A1246" s="10"/>
      <c r="B1246" s="10"/>
      <c r="C1246" s="10"/>
      <c r="D1246" s="10"/>
      <c r="E1246" s="10"/>
      <c r="F1246" s="11"/>
      <c r="G1246" s="11"/>
      <c r="H1246" s="11"/>
      <c r="I1246" s="11"/>
      <c r="J1246" s="11" t="str">
        <f>IFERROR(__xludf.DUMMYFUNCTION("IFERROR(FILTER(Stats!$F:$Z,(Stats!$A:$A=$A1246)*(Stats!$B:$B=$B1246)))"),"#REF!")</f>
        <v>#REF!</v>
      </c>
      <c r="K1246" s="11"/>
      <c r="L1246" s="12"/>
      <c r="M1246" s="11"/>
      <c r="N1246" s="11"/>
      <c r="O1246" s="13"/>
      <c r="P1246" s="14"/>
      <c r="Q1246" s="13"/>
      <c r="R1246" s="13"/>
      <c r="S1246" s="15"/>
      <c r="T1246" s="16"/>
      <c r="U1246" s="16"/>
      <c r="V1246" s="16"/>
      <c r="W1246" s="16"/>
      <c r="X1246" s="16"/>
      <c r="Y1246" s="11"/>
      <c r="Z1246" s="11"/>
      <c r="AA1246" s="11"/>
      <c r="AB1246" s="11"/>
      <c r="AC1246" s="11"/>
      <c r="AD1246" s="11"/>
    </row>
    <row r="1247">
      <c r="A1247" s="10"/>
      <c r="B1247" s="10"/>
      <c r="C1247" s="10"/>
      <c r="D1247" s="10"/>
      <c r="E1247" s="10"/>
      <c r="F1247" s="11"/>
      <c r="G1247" s="11"/>
      <c r="H1247" s="11"/>
      <c r="I1247" s="11"/>
      <c r="J1247" s="11" t="str">
        <f>IFERROR(__xludf.DUMMYFUNCTION("IFERROR(FILTER(Stats!$F:$Z,(Stats!$A:$A=$A1247)*(Stats!$B:$B=$B1247)))"),"#REF!")</f>
        <v>#REF!</v>
      </c>
      <c r="K1247" s="11"/>
      <c r="L1247" s="12"/>
      <c r="M1247" s="11"/>
      <c r="N1247" s="11"/>
      <c r="O1247" s="13"/>
      <c r="P1247" s="14"/>
      <c r="Q1247" s="13"/>
      <c r="R1247" s="13"/>
      <c r="S1247" s="15"/>
      <c r="T1247" s="16"/>
      <c r="U1247" s="16"/>
      <c r="V1247" s="16"/>
      <c r="W1247" s="16"/>
      <c r="X1247" s="16"/>
      <c r="Y1247" s="11"/>
      <c r="Z1247" s="11"/>
      <c r="AA1247" s="11"/>
      <c r="AB1247" s="11"/>
      <c r="AC1247" s="11"/>
      <c r="AD1247" s="11"/>
    </row>
    <row r="1248">
      <c r="A1248" s="10"/>
      <c r="B1248" s="10"/>
      <c r="C1248" s="10"/>
      <c r="D1248" s="10"/>
      <c r="E1248" s="10"/>
      <c r="F1248" s="11"/>
      <c r="G1248" s="11"/>
      <c r="H1248" s="11"/>
      <c r="I1248" s="11"/>
      <c r="J1248" s="11" t="str">
        <f>IFERROR(__xludf.DUMMYFUNCTION("IFERROR(FILTER(Stats!$F:$Z,(Stats!$A:$A=$A1248)*(Stats!$B:$B=$B1248)))"),"#REF!")</f>
        <v>#REF!</v>
      </c>
      <c r="K1248" s="11"/>
      <c r="L1248" s="12"/>
      <c r="M1248" s="11"/>
      <c r="N1248" s="11"/>
      <c r="O1248" s="13"/>
      <c r="P1248" s="14"/>
      <c r="Q1248" s="13"/>
      <c r="R1248" s="13"/>
      <c r="S1248" s="15"/>
      <c r="T1248" s="16"/>
      <c r="U1248" s="16"/>
      <c r="V1248" s="16"/>
      <c r="W1248" s="16"/>
      <c r="X1248" s="16"/>
      <c r="Y1248" s="11"/>
      <c r="Z1248" s="11"/>
      <c r="AA1248" s="11"/>
      <c r="AB1248" s="11"/>
      <c r="AC1248" s="11"/>
      <c r="AD1248" s="11"/>
    </row>
    <row r="1249">
      <c r="A1249" s="10"/>
      <c r="B1249" s="10"/>
      <c r="C1249" s="10"/>
      <c r="D1249" s="10"/>
      <c r="E1249" s="10"/>
      <c r="F1249" s="11"/>
      <c r="G1249" s="11"/>
      <c r="H1249" s="11"/>
      <c r="I1249" s="11"/>
      <c r="J1249" s="11" t="str">
        <f>IFERROR(__xludf.DUMMYFUNCTION("IFERROR(FILTER(Stats!$F:$Z,(Stats!$A:$A=$A1249)*(Stats!$B:$B=$B1249)))"),"#REF!")</f>
        <v>#REF!</v>
      </c>
      <c r="K1249" s="11"/>
      <c r="L1249" s="12"/>
      <c r="M1249" s="11"/>
      <c r="N1249" s="11"/>
      <c r="O1249" s="13"/>
      <c r="P1249" s="14"/>
      <c r="Q1249" s="13"/>
      <c r="R1249" s="13"/>
      <c r="S1249" s="15"/>
      <c r="T1249" s="16"/>
      <c r="U1249" s="16"/>
      <c r="V1249" s="16"/>
      <c r="W1249" s="16"/>
      <c r="X1249" s="16"/>
      <c r="Y1249" s="11"/>
      <c r="Z1249" s="11"/>
      <c r="AA1249" s="11"/>
      <c r="AB1249" s="11"/>
      <c r="AC1249" s="11"/>
      <c r="AD1249" s="11"/>
    </row>
    <row r="1250">
      <c r="A1250" s="10"/>
      <c r="B1250" s="10"/>
      <c r="C1250" s="10"/>
      <c r="D1250" s="10"/>
      <c r="E1250" s="10"/>
      <c r="F1250" s="11"/>
      <c r="G1250" s="11"/>
      <c r="H1250" s="11"/>
      <c r="I1250" s="11"/>
      <c r="J1250" s="11" t="str">
        <f>IFERROR(__xludf.DUMMYFUNCTION("IFERROR(FILTER(Stats!$F:$Z,(Stats!$A:$A=$A1250)*(Stats!$B:$B=$B1250)))"),"#REF!")</f>
        <v>#REF!</v>
      </c>
      <c r="K1250" s="11"/>
      <c r="L1250" s="12"/>
      <c r="M1250" s="11"/>
      <c r="N1250" s="11"/>
      <c r="O1250" s="13"/>
      <c r="P1250" s="14"/>
      <c r="Q1250" s="13"/>
      <c r="R1250" s="13"/>
      <c r="S1250" s="15"/>
      <c r="T1250" s="16"/>
      <c r="U1250" s="16"/>
      <c r="V1250" s="16"/>
      <c r="W1250" s="16"/>
      <c r="X1250" s="16"/>
      <c r="Y1250" s="11"/>
      <c r="Z1250" s="11"/>
      <c r="AA1250" s="11"/>
      <c r="AB1250" s="11"/>
      <c r="AC1250" s="11"/>
      <c r="AD1250" s="11"/>
    </row>
    <row r="1251">
      <c r="A1251" s="10"/>
      <c r="B1251" s="10"/>
      <c r="C1251" s="10"/>
      <c r="D1251" s="10"/>
      <c r="E1251" s="10"/>
      <c r="F1251" s="11"/>
      <c r="G1251" s="11"/>
      <c r="H1251" s="11"/>
      <c r="I1251" s="11"/>
      <c r="J1251" s="11" t="str">
        <f>IFERROR(__xludf.DUMMYFUNCTION("IFERROR(FILTER(Stats!$F:$Z,(Stats!$A:$A=$A1251)*(Stats!$B:$B=$B1251)))"),"#REF!")</f>
        <v>#REF!</v>
      </c>
      <c r="K1251" s="11"/>
      <c r="L1251" s="12"/>
      <c r="M1251" s="11"/>
      <c r="N1251" s="11"/>
      <c r="O1251" s="13"/>
      <c r="P1251" s="14"/>
      <c r="Q1251" s="13"/>
      <c r="R1251" s="13"/>
      <c r="S1251" s="15"/>
      <c r="T1251" s="16"/>
      <c r="U1251" s="16"/>
      <c r="V1251" s="16"/>
      <c r="W1251" s="16"/>
      <c r="X1251" s="16"/>
      <c r="Y1251" s="11"/>
      <c r="Z1251" s="11"/>
      <c r="AA1251" s="11"/>
      <c r="AB1251" s="11"/>
      <c r="AC1251" s="11"/>
      <c r="AD1251" s="11"/>
    </row>
    <row r="1252">
      <c r="A1252" s="10"/>
      <c r="B1252" s="10"/>
      <c r="C1252" s="10"/>
      <c r="D1252" s="10"/>
      <c r="E1252" s="10"/>
      <c r="F1252" s="11"/>
      <c r="G1252" s="11"/>
      <c r="H1252" s="11"/>
      <c r="I1252" s="11"/>
      <c r="J1252" s="11" t="str">
        <f>IFERROR(__xludf.DUMMYFUNCTION("IFERROR(FILTER(Stats!$F:$Z,(Stats!$A:$A=$A1252)*(Stats!$B:$B=$B1252)))"),"#REF!")</f>
        <v>#REF!</v>
      </c>
      <c r="K1252" s="11"/>
      <c r="L1252" s="12"/>
      <c r="M1252" s="11"/>
      <c r="N1252" s="11"/>
      <c r="O1252" s="13"/>
      <c r="P1252" s="14"/>
      <c r="Q1252" s="13"/>
      <c r="R1252" s="13"/>
      <c r="S1252" s="15"/>
      <c r="T1252" s="16"/>
      <c r="U1252" s="16"/>
      <c r="V1252" s="16"/>
      <c r="W1252" s="16"/>
      <c r="X1252" s="16"/>
      <c r="Y1252" s="11"/>
      <c r="Z1252" s="11"/>
      <c r="AA1252" s="11"/>
      <c r="AB1252" s="11"/>
      <c r="AC1252" s="11"/>
      <c r="AD1252" s="11"/>
    </row>
    <row r="1253">
      <c r="A1253" s="10"/>
      <c r="B1253" s="10"/>
      <c r="C1253" s="10"/>
      <c r="D1253" s="10"/>
      <c r="E1253" s="10"/>
      <c r="F1253" s="11"/>
      <c r="G1253" s="11"/>
      <c r="H1253" s="11"/>
      <c r="I1253" s="11"/>
      <c r="J1253" s="11" t="str">
        <f>IFERROR(__xludf.DUMMYFUNCTION("IFERROR(FILTER(Stats!$F:$Z,(Stats!$A:$A=$A1253)*(Stats!$B:$B=$B1253)))"),"#REF!")</f>
        <v>#REF!</v>
      </c>
      <c r="K1253" s="11"/>
      <c r="L1253" s="12"/>
      <c r="M1253" s="11"/>
      <c r="N1253" s="11"/>
      <c r="O1253" s="13"/>
      <c r="P1253" s="14"/>
      <c r="Q1253" s="13"/>
      <c r="R1253" s="13"/>
      <c r="S1253" s="15"/>
      <c r="T1253" s="16"/>
      <c r="U1253" s="16"/>
      <c r="V1253" s="16"/>
      <c r="W1253" s="16"/>
      <c r="X1253" s="16"/>
      <c r="Y1253" s="11"/>
      <c r="Z1253" s="11"/>
      <c r="AA1253" s="11"/>
      <c r="AB1253" s="11"/>
      <c r="AC1253" s="11"/>
      <c r="AD1253" s="11"/>
    </row>
    <row r="1254">
      <c r="A1254" s="10"/>
      <c r="B1254" s="10"/>
      <c r="C1254" s="10"/>
      <c r="D1254" s="10"/>
      <c r="E1254" s="10"/>
      <c r="F1254" s="11"/>
      <c r="G1254" s="11"/>
      <c r="H1254" s="11"/>
      <c r="I1254" s="11"/>
      <c r="J1254" s="11" t="str">
        <f>IFERROR(__xludf.DUMMYFUNCTION("IFERROR(FILTER(Stats!$F:$Z,(Stats!$A:$A=$A1254)*(Stats!$B:$B=$B1254)))"),"#REF!")</f>
        <v>#REF!</v>
      </c>
      <c r="K1254" s="11"/>
      <c r="L1254" s="12"/>
      <c r="M1254" s="11"/>
      <c r="N1254" s="11"/>
      <c r="O1254" s="13"/>
      <c r="P1254" s="14"/>
      <c r="Q1254" s="13"/>
      <c r="R1254" s="13"/>
      <c r="S1254" s="15"/>
      <c r="T1254" s="16"/>
      <c r="U1254" s="16"/>
      <c r="V1254" s="16"/>
      <c r="W1254" s="16"/>
      <c r="X1254" s="16"/>
      <c r="Y1254" s="11"/>
      <c r="Z1254" s="11"/>
      <c r="AA1254" s="11"/>
      <c r="AB1254" s="11"/>
      <c r="AC1254" s="11"/>
      <c r="AD1254" s="11"/>
    </row>
    <row r="1255">
      <c r="A1255" s="10"/>
      <c r="B1255" s="10"/>
      <c r="C1255" s="10"/>
      <c r="D1255" s="10"/>
      <c r="E1255" s="10"/>
      <c r="F1255" s="11"/>
      <c r="G1255" s="11"/>
      <c r="H1255" s="11"/>
      <c r="I1255" s="11"/>
      <c r="J1255" s="11" t="str">
        <f>IFERROR(__xludf.DUMMYFUNCTION("IFERROR(FILTER(Stats!$F:$Z,(Stats!$A:$A=$A1255)*(Stats!$B:$B=$B1255)))"),"#REF!")</f>
        <v>#REF!</v>
      </c>
      <c r="K1255" s="11"/>
      <c r="L1255" s="12"/>
      <c r="M1255" s="11"/>
      <c r="N1255" s="11"/>
      <c r="O1255" s="13"/>
      <c r="P1255" s="14"/>
      <c r="Q1255" s="13"/>
      <c r="R1255" s="13"/>
      <c r="S1255" s="15"/>
      <c r="T1255" s="16"/>
      <c r="U1255" s="16"/>
      <c r="V1255" s="16"/>
      <c r="W1255" s="16"/>
      <c r="X1255" s="16"/>
      <c r="Y1255" s="11"/>
      <c r="Z1255" s="11"/>
      <c r="AA1255" s="11"/>
      <c r="AB1255" s="11"/>
      <c r="AC1255" s="11"/>
      <c r="AD1255" s="11"/>
    </row>
    <row r="1256">
      <c r="A1256" s="10"/>
      <c r="B1256" s="10"/>
      <c r="C1256" s="10"/>
      <c r="D1256" s="10"/>
      <c r="E1256" s="10"/>
      <c r="F1256" s="11"/>
      <c r="G1256" s="11"/>
      <c r="H1256" s="11"/>
      <c r="I1256" s="11"/>
      <c r="J1256" s="11" t="str">
        <f>IFERROR(__xludf.DUMMYFUNCTION("IFERROR(FILTER(Stats!$F:$Z,(Stats!$A:$A=$A1256)*(Stats!$B:$B=$B1256)))"),"#REF!")</f>
        <v>#REF!</v>
      </c>
      <c r="K1256" s="11"/>
      <c r="L1256" s="12"/>
      <c r="M1256" s="11"/>
      <c r="N1256" s="11"/>
      <c r="O1256" s="13"/>
      <c r="P1256" s="14"/>
      <c r="Q1256" s="13"/>
      <c r="R1256" s="13"/>
      <c r="S1256" s="15"/>
      <c r="T1256" s="16"/>
      <c r="U1256" s="16"/>
      <c r="V1256" s="16"/>
      <c r="W1256" s="16"/>
      <c r="X1256" s="16"/>
      <c r="Y1256" s="11"/>
      <c r="Z1256" s="11"/>
      <c r="AA1256" s="11"/>
      <c r="AB1256" s="11"/>
      <c r="AC1256" s="11"/>
      <c r="AD1256" s="11"/>
    </row>
    <row r="1257">
      <c r="A1257" s="10"/>
      <c r="B1257" s="10"/>
      <c r="C1257" s="10"/>
      <c r="D1257" s="10"/>
      <c r="E1257" s="10"/>
      <c r="F1257" s="11"/>
      <c r="G1257" s="11"/>
      <c r="H1257" s="11"/>
      <c r="I1257" s="11"/>
      <c r="J1257" s="11" t="str">
        <f>IFERROR(__xludf.DUMMYFUNCTION("IFERROR(FILTER(Stats!$F:$Z,(Stats!$A:$A=$A1257)*(Stats!$B:$B=$B1257)))"),"#REF!")</f>
        <v>#REF!</v>
      </c>
      <c r="K1257" s="11"/>
      <c r="L1257" s="12"/>
      <c r="M1257" s="11"/>
      <c r="N1257" s="11"/>
      <c r="O1257" s="13"/>
      <c r="P1257" s="14"/>
      <c r="Q1257" s="13"/>
      <c r="R1257" s="13"/>
      <c r="S1257" s="15"/>
      <c r="T1257" s="16"/>
      <c r="U1257" s="16"/>
      <c r="V1257" s="16"/>
      <c r="W1257" s="16"/>
      <c r="X1257" s="16"/>
      <c r="Y1257" s="11"/>
      <c r="Z1257" s="11"/>
      <c r="AA1257" s="11"/>
      <c r="AB1257" s="11"/>
      <c r="AC1257" s="11"/>
      <c r="AD1257" s="11"/>
    </row>
    <row r="1258">
      <c r="A1258" s="10"/>
      <c r="B1258" s="10"/>
      <c r="C1258" s="10"/>
      <c r="D1258" s="10"/>
      <c r="E1258" s="10"/>
      <c r="F1258" s="11"/>
      <c r="G1258" s="11"/>
      <c r="H1258" s="11"/>
      <c r="I1258" s="11"/>
      <c r="J1258" s="11" t="str">
        <f>IFERROR(__xludf.DUMMYFUNCTION("IFERROR(FILTER(Stats!$F:$Z,(Stats!$A:$A=$A1258)*(Stats!$B:$B=$B1258)))"),"#REF!")</f>
        <v>#REF!</v>
      </c>
      <c r="K1258" s="11"/>
      <c r="L1258" s="12"/>
      <c r="M1258" s="11"/>
      <c r="N1258" s="11"/>
      <c r="O1258" s="13"/>
      <c r="P1258" s="14"/>
      <c r="Q1258" s="13"/>
      <c r="R1258" s="13"/>
      <c r="S1258" s="15"/>
      <c r="T1258" s="16"/>
      <c r="U1258" s="16"/>
      <c r="V1258" s="16"/>
      <c r="W1258" s="16"/>
      <c r="X1258" s="16"/>
      <c r="Y1258" s="11"/>
      <c r="Z1258" s="11"/>
      <c r="AA1258" s="11"/>
      <c r="AB1258" s="11"/>
      <c r="AC1258" s="11"/>
      <c r="AD1258" s="11"/>
    </row>
    <row r="1259">
      <c r="A1259" s="10"/>
      <c r="B1259" s="10"/>
      <c r="C1259" s="10"/>
      <c r="D1259" s="10"/>
      <c r="E1259" s="10"/>
      <c r="F1259" s="11"/>
      <c r="G1259" s="11"/>
      <c r="H1259" s="11"/>
      <c r="I1259" s="11"/>
      <c r="J1259" s="11" t="str">
        <f>IFERROR(__xludf.DUMMYFUNCTION("IFERROR(FILTER(Stats!$F:$Z,(Stats!$A:$A=$A1259)*(Stats!$B:$B=$B1259)))"),"#REF!")</f>
        <v>#REF!</v>
      </c>
      <c r="K1259" s="11"/>
      <c r="L1259" s="12"/>
      <c r="M1259" s="11"/>
      <c r="N1259" s="11"/>
      <c r="O1259" s="13"/>
      <c r="P1259" s="14"/>
      <c r="Q1259" s="13"/>
      <c r="R1259" s="13"/>
      <c r="S1259" s="15"/>
      <c r="T1259" s="16"/>
      <c r="U1259" s="16"/>
      <c r="V1259" s="16"/>
      <c r="W1259" s="16"/>
      <c r="X1259" s="16"/>
      <c r="Y1259" s="11"/>
      <c r="Z1259" s="11"/>
      <c r="AA1259" s="11"/>
      <c r="AB1259" s="11"/>
      <c r="AC1259" s="11"/>
      <c r="AD1259" s="11"/>
    </row>
    <row r="1260">
      <c r="A1260" s="10"/>
      <c r="B1260" s="10"/>
      <c r="C1260" s="10"/>
      <c r="D1260" s="10"/>
      <c r="E1260" s="10"/>
      <c r="F1260" s="11"/>
      <c r="G1260" s="11"/>
      <c r="H1260" s="11"/>
      <c r="I1260" s="11"/>
      <c r="J1260" s="11" t="str">
        <f>IFERROR(__xludf.DUMMYFUNCTION("IFERROR(FILTER(Stats!$F:$Z,(Stats!$A:$A=$A1260)*(Stats!$B:$B=$B1260)))"),"#REF!")</f>
        <v>#REF!</v>
      </c>
      <c r="K1260" s="11"/>
      <c r="L1260" s="12"/>
      <c r="M1260" s="11"/>
      <c r="N1260" s="11"/>
      <c r="O1260" s="13"/>
      <c r="P1260" s="14"/>
      <c r="Q1260" s="13"/>
      <c r="R1260" s="13"/>
      <c r="S1260" s="15"/>
      <c r="T1260" s="16"/>
      <c r="U1260" s="16"/>
      <c r="V1260" s="16"/>
      <c r="W1260" s="16"/>
      <c r="X1260" s="16"/>
      <c r="Y1260" s="11"/>
      <c r="Z1260" s="11"/>
      <c r="AA1260" s="11"/>
      <c r="AB1260" s="11"/>
      <c r="AC1260" s="11"/>
      <c r="AD1260" s="11"/>
    </row>
    <row r="1261">
      <c r="A1261" s="10"/>
      <c r="B1261" s="10"/>
      <c r="C1261" s="10"/>
      <c r="D1261" s="10"/>
      <c r="E1261" s="10"/>
      <c r="F1261" s="11"/>
      <c r="G1261" s="11"/>
      <c r="H1261" s="11"/>
      <c r="I1261" s="11"/>
      <c r="J1261" s="11" t="str">
        <f>IFERROR(__xludf.DUMMYFUNCTION("IFERROR(FILTER(Stats!$F:$Z,(Stats!$A:$A=$A1261)*(Stats!$B:$B=$B1261)))"),"#REF!")</f>
        <v>#REF!</v>
      </c>
      <c r="K1261" s="11"/>
      <c r="L1261" s="12"/>
      <c r="M1261" s="11"/>
      <c r="N1261" s="11"/>
      <c r="O1261" s="13"/>
      <c r="P1261" s="14"/>
      <c r="Q1261" s="13"/>
      <c r="R1261" s="13"/>
      <c r="S1261" s="15"/>
      <c r="T1261" s="16"/>
      <c r="U1261" s="16"/>
      <c r="V1261" s="16"/>
      <c r="W1261" s="16"/>
      <c r="X1261" s="16"/>
      <c r="Y1261" s="11"/>
      <c r="Z1261" s="11"/>
      <c r="AA1261" s="11"/>
      <c r="AB1261" s="11"/>
      <c r="AC1261" s="11"/>
      <c r="AD1261" s="11"/>
    </row>
    <row r="1262">
      <c r="A1262" s="10"/>
      <c r="B1262" s="10"/>
      <c r="C1262" s="10"/>
      <c r="D1262" s="10"/>
      <c r="E1262" s="10"/>
      <c r="F1262" s="11"/>
      <c r="G1262" s="11"/>
      <c r="H1262" s="11"/>
      <c r="I1262" s="11"/>
      <c r="J1262" s="11" t="str">
        <f>IFERROR(__xludf.DUMMYFUNCTION("IFERROR(FILTER(Stats!$F:$Z,(Stats!$A:$A=$A1262)*(Stats!$B:$B=$B1262)))"),"#REF!")</f>
        <v>#REF!</v>
      </c>
      <c r="K1262" s="11"/>
      <c r="L1262" s="12"/>
      <c r="M1262" s="11"/>
      <c r="N1262" s="11"/>
      <c r="O1262" s="13"/>
      <c r="P1262" s="14"/>
      <c r="Q1262" s="13"/>
      <c r="R1262" s="13"/>
      <c r="S1262" s="15"/>
      <c r="T1262" s="16"/>
      <c r="U1262" s="16"/>
      <c r="V1262" s="16"/>
      <c r="W1262" s="16"/>
      <c r="X1262" s="16"/>
      <c r="Y1262" s="11"/>
      <c r="Z1262" s="11"/>
      <c r="AA1262" s="11"/>
      <c r="AB1262" s="11"/>
      <c r="AC1262" s="11"/>
      <c r="AD1262" s="11"/>
    </row>
    <row r="1263">
      <c r="A1263" s="10"/>
      <c r="B1263" s="10"/>
      <c r="C1263" s="10"/>
      <c r="D1263" s="10"/>
      <c r="E1263" s="10"/>
      <c r="F1263" s="11"/>
      <c r="G1263" s="11"/>
      <c r="H1263" s="11"/>
      <c r="I1263" s="11"/>
      <c r="J1263" s="11" t="str">
        <f>IFERROR(__xludf.DUMMYFUNCTION("IFERROR(FILTER(Stats!$F:$Z,(Stats!$A:$A=$A1263)*(Stats!$B:$B=$B1263)))"),"#REF!")</f>
        <v>#REF!</v>
      </c>
      <c r="K1263" s="11"/>
      <c r="L1263" s="12"/>
      <c r="M1263" s="11"/>
      <c r="N1263" s="11"/>
      <c r="O1263" s="13"/>
      <c r="P1263" s="14"/>
      <c r="Q1263" s="13"/>
      <c r="R1263" s="13"/>
      <c r="S1263" s="15"/>
      <c r="T1263" s="16"/>
      <c r="U1263" s="16"/>
      <c r="V1263" s="16"/>
      <c r="W1263" s="16"/>
      <c r="X1263" s="16"/>
      <c r="Y1263" s="11"/>
      <c r="Z1263" s="11"/>
      <c r="AA1263" s="11"/>
      <c r="AB1263" s="11"/>
      <c r="AC1263" s="11"/>
      <c r="AD1263" s="11"/>
    </row>
    <row r="1264">
      <c r="A1264" s="10"/>
      <c r="B1264" s="10"/>
      <c r="C1264" s="10"/>
      <c r="D1264" s="10"/>
      <c r="E1264" s="10"/>
      <c r="F1264" s="11"/>
      <c r="G1264" s="11"/>
      <c r="H1264" s="11"/>
      <c r="I1264" s="11"/>
      <c r="J1264" s="11" t="str">
        <f>IFERROR(__xludf.DUMMYFUNCTION("IFERROR(FILTER(Stats!$F:$Z,(Stats!$A:$A=$A1264)*(Stats!$B:$B=$B1264)))"),"#REF!")</f>
        <v>#REF!</v>
      </c>
      <c r="K1264" s="11"/>
      <c r="L1264" s="12"/>
      <c r="M1264" s="11"/>
      <c r="N1264" s="11"/>
      <c r="O1264" s="13"/>
      <c r="P1264" s="14"/>
      <c r="Q1264" s="13"/>
      <c r="R1264" s="13"/>
      <c r="S1264" s="15"/>
      <c r="T1264" s="16"/>
      <c r="U1264" s="16"/>
      <c r="V1264" s="16"/>
      <c r="W1264" s="16"/>
      <c r="X1264" s="16"/>
      <c r="Y1264" s="11"/>
      <c r="Z1264" s="11"/>
      <c r="AA1264" s="11"/>
      <c r="AB1264" s="11"/>
      <c r="AC1264" s="11"/>
      <c r="AD1264" s="11"/>
    </row>
    <row r="1265">
      <c r="A1265" s="10"/>
      <c r="B1265" s="10"/>
      <c r="C1265" s="10"/>
      <c r="D1265" s="10"/>
      <c r="E1265" s="10"/>
      <c r="F1265" s="11"/>
      <c r="G1265" s="11"/>
      <c r="H1265" s="11"/>
      <c r="I1265" s="11"/>
      <c r="J1265" s="11" t="str">
        <f>IFERROR(__xludf.DUMMYFUNCTION("IFERROR(FILTER(Stats!$F:$Z,(Stats!$A:$A=$A1265)*(Stats!$B:$B=$B1265)))"),"#REF!")</f>
        <v>#REF!</v>
      </c>
      <c r="K1265" s="11"/>
      <c r="L1265" s="12"/>
      <c r="M1265" s="11"/>
      <c r="N1265" s="11"/>
      <c r="O1265" s="13"/>
      <c r="P1265" s="14"/>
      <c r="Q1265" s="13"/>
      <c r="R1265" s="13"/>
      <c r="S1265" s="15"/>
      <c r="T1265" s="16"/>
      <c r="U1265" s="16"/>
      <c r="V1265" s="16"/>
      <c r="W1265" s="16"/>
      <c r="X1265" s="16"/>
      <c r="Y1265" s="11"/>
      <c r="Z1265" s="11"/>
      <c r="AA1265" s="11"/>
      <c r="AB1265" s="11"/>
      <c r="AC1265" s="11"/>
      <c r="AD1265" s="11"/>
    </row>
    <row r="1266">
      <c r="A1266" s="10"/>
      <c r="B1266" s="10"/>
      <c r="C1266" s="10"/>
      <c r="D1266" s="10"/>
      <c r="E1266" s="10"/>
      <c r="F1266" s="11"/>
      <c r="G1266" s="11"/>
      <c r="H1266" s="11"/>
      <c r="I1266" s="11"/>
      <c r="J1266" s="11" t="str">
        <f>IFERROR(__xludf.DUMMYFUNCTION("IFERROR(FILTER(Stats!$F:$Z,(Stats!$A:$A=$A1266)*(Stats!$B:$B=$B1266)))"),"#REF!")</f>
        <v>#REF!</v>
      </c>
      <c r="K1266" s="11"/>
      <c r="L1266" s="12"/>
      <c r="M1266" s="11"/>
      <c r="N1266" s="11"/>
      <c r="O1266" s="13"/>
      <c r="P1266" s="14"/>
      <c r="Q1266" s="13"/>
      <c r="R1266" s="13"/>
      <c r="S1266" s="15"/>
      <c r="T1266" s="16"/>
      <c r="U1266" s="16"/>
      <c r="V1266" s="16"/>
      <c r="W1266" s="16"/>
      <c r="X1266" s="16"/>
      <c r="Y1266" s="11"/>
      <c r="Z1266" s="11"/>
      <c r="AA1266" s="11"/>
      <c r="AB1266" s="11"/>
      <c r="AC1266" s="11"/>
      <c r="AD1266" s="11"/>
    </row>
    <row r="1267">
      <c r="A1267" s="10"/>
      <c r="B1267" s="10"/>
      <c r="C1267" s="10"/>
      <c r="D1267" s="10"/>
      <c r="E1267" s="10"/>
      <c r="F1267" s="11"/>
      <c r="G1267" s="11"/>
      <c r="H1267" s="11"/>
      <c r="I1267" s="11"/>
      <c r="J1267" s="11" t="str">
        <f>IFERROR(__xludf.DUMMYFUNCTION("IFERROR(FILTER(Stats!$F:$Z,(Stats!$A:$A=$A1267)*(Stats!$B:$B=$B1267)))"),"#REF!")</f>
        <v>#REF!</v>
      </c>
      <c r="K1267" s="11"/>
      <c r="L1267" s="12"/>
      <c r="M1267" s="11"/>
      <c r="N1267" s="11"/>
      <c r="O1267" s="13"/>
      <c r="P1267" s="14"/>
      <c r="Q1267" s="13"/>
      <c r="R1267" s="13"/>
      <c r="S1267" s="15"/>
      <c r="T1267" s="16"/>
      <c r="U1267" s="16"/>
      <c r="V1267" s="16"/>
      <c r="W1267" s="16"/>
      <c r="X1267" s="16"/>
      <c r="Y1267" s="11"/>
      <c r="Z1267" s="11"/>
      <c r="AA1267" s="11"/>
      <c r="AB1267" s="11"/>
      <c r="AC1267" s="11"/>
      <c r="AD1267" s="11"/>
    </row>
    <row r="1268">
      <c r="A1268" s="10"/>
      <c r="B1268" s="10"/>
      <c r="C1268" s="10"/>
      <c r="D1268" s="10"/>
      <c r="E1268" s="10"/>
      <c r="F1268" s="11"/>
      <c r="G1268" s="11"/>
      <c r="H1268" s="11"/>
      <c r="I1268" s="11"/>
      <c r="J1268" s="11" t="str">
        <f>IFERROR(__xludf.DUMMYFUNCTION("IFERROR(FILTER(Stats!$F:$Z,(Stats!$A:$A=$A1268)*(Stats!$B:$B=$B1268)))"),"#REF!")</f>
        <v>#REF!</v>
      </c>
      <c r="K1268" s="11"/>
      <c r="L1268" s="12"/>
      <c r="M1268" s="11"/>
      <c r="N1268" s="11"/>
      <c r="O1268" s="13"/>
      <c r="P1268" s="14"/>
      <c r="Q1268" s="13"/>
      <c r="R1268" s="13"/>
      <c r="S1268" s="15"/>
      <c r="T1268" s="16"/>
      <c r="U1268" s="16"/>
      <c r="V1268" s="16"/>
      <c r="W1268" s="16"/>
      <c r="X1268" s="16"/>
      <c r="Y1268" s="11"/>
      <c r="Z1268" s="11"/>
      <c r="AA1268" s="11"/>
      <c r="AB1268" s="11"/>
      <c r="AC1268" s="11"/>
      <c r="AD1268" s="11"/>
    </row>
    <row r="1269">
      <c r="A1269" s="10"/>
      <c r="B1269" s="10"/>
      <c r="C1269" s="10"/>
      <c r="D1269" s="10"/>
      <c r="E1269" s="10"/>
      <c r="F1269" s="11"/>
      <c r="G1269" s="11"/>
      <c r="H1269" s="11"/>
      <c r="I1269" s="11"/>
      <c r="J1269" s="11" t="str">
        <f>IFERROR(__xludf.DUMMYFUNCTION("IFERROR(FILTER(Stats!$F:$Z,(Stats!$A:$A=$A1269)*(Stats!$B:$B=$B1269)))"),"#REF!")</f>
        <v>#REF!</v>
      </c>
      <c r="K1269" s="11"/>
      <c r="L1269" s="12"/>
      <c r="M1269" s="11"/>
      <c r="N1269" s="11"/>
      <c r="O1269" s="13"/>
      <c r="P1269" s="14"/>
      <c r="Q1269" s="13"/>
      <c r="R1269" s="13"/>
      <c r="S1269" s="15"/>
      <c r="T1269" s="16"/>
      <c r="U1269" s="16"/>
      <c r="V1269" s="16"/>
      <c r="W1269" s="16"/>
      <c r="X1269" s="16"/>
      <c r="Y1269" s="11"/>
      <c r="Z1269" s="11"/>
      <c r="AA1269" s="11"/>
      <c r="AB1269" s="11"/>
      <c r="AC1269" s="11"/>
      <c r="AD1269" s="11"/>
    </row>
    <row r="1270">
      <c r="A1270" s="10"/>
      <c r="B1270" s="10"/>
      <c r="C1270" s="10"/>
      <c r="D1270" s="10"/>
      <c r="E1270" s="10"/>
      <c r="F1270" s="11"/>
      <c r="G1270" s="11"/>
      <c r="H1270" s="11"/>
      <c r="I1270" s="11"/>
      <c r="J1270" s="11" t="str">
        <f>IFERROR(__xludf.DUMMYFUNCTION("IFERROR(FILTER(Stats!$F:$Z,(Stats!$A:$A=$A1270)*(Stats!$B:$B=$B1270)))"),"#REF!")</f>
        <v>#REF!</v>
      </c>
      <c r="K1270" s="11"/>
      <c r="L1270" s="12"/>
      <c r="M1270" s="11"/>
      <c r="N1270" s="11"/>
      <c r="O1270" s="13"/>
      <c r="P1270" s="14"/>
      <c r="Q1270" s="13"/>
      <c r="R1270" s="13"/>
      <c r="S1270" s="15"/>
      <c r="T1270" s="16"/>
      <c r="U1270" s="16"/>
      <c r="V1270" s="16"/>
      <c r="W1270" s="16"/>
      <c r="X1270" s="16"/>
      <c r="Y1270" s="11"/>
      <c r="Z1270" s="11"/>
      <c r="AA1270" s="11"/>
      <c r="AB1270" s="11"/>
      <c r="AC1270" s="11"/>
      <c r="AD1270" s="11"/>
    </row>
    <row r="1271">
      <c r="A1271" s="10"/>
      <c r="B1271" s="10"/>
      <c r="C1271" s="10"/>
      <c r="D1271" s="10"/>
      <c r="E1271" s="10"/>
      <c r="F1271" s="11"/>
      <c r="G1271" s="11"/>
      <c r="H1271" s="11"/>
      <c r="I1271" s="11"/>
      <c r="J1271" s="11" t="str">
        <f>IFERROR(__xludf.DUMMYFUNCTION("IFERROR(FILTER(Stats!$F:$Z,(Stats!$A:$A=$A1271)*(Stats!$B:$B=$B1271)))"),"#REF!")</f>
        <v>#REF!</v>
      </c>
      <c r="K1271" s="11"/>
      <c r="L1271" s="12"/>
      <c r="M1271" s="11"/>
      <c r="N1271" s="11"/>
      <c r="O1271" s="13"/>
      <c r="P1271" s="14"/>
      <c r="Q1271" s="13"/>
      <c r="R1271" s="13"/>
      <c r="S1271" s="15"/>
      <c r="T1271" s="16"/>
      <c r="U1271" s="16"/>
      <c r="V1271" s="16"/>
      <c r="W1271" s="16"/>
      <c r="X1271" s="16"/>
      <c r="Y1271" s="11"/>
      <c r="Z1271" s="11"/>
      <c r="AA1271" s="11"/>
      <c r="AB1271" s="11"/>
      <c r="AC1271" s="11"/>
      <c r="AD1271" s="11"/>
    </row>
    <row r="1272">
      <c r="A1272" s="10"/>
      <c r="B1272" s="10"/>
      <c r="C1272" s="10"/>
      <c r="D1272" s="10"/>
      <c r="E1272" s="10"/>
      <c r="F1272" s="11"/>
      <c r="G1272" s="11"/>
      <c r="H1272" s="11"/>
      <c r="I1272" s="11"/>
      <c r="J1272" s="11" t="str">
        <f>IFERROR(__xludf.DUMMYFUNCTION("IFERROR(FILTER(Stats!$F:$Z,(Stats!$A:$A=$A1272)*(Stats!$B:$B=$B1272)))"),"#REF!")</f>
        <v>#REF!</v>
      </c>
      <c r="K1272" s="11"/>
      <c r="L1272" s="12"/>
      <c r="M1272" s="11"/>
      <c r="N1272" s="11"/>
      <c r="O1272" s="13"/>
      <c r="P1272" s="14"/>
      <c r="Q1272" s="13"/>
      <c r="R1272" s="13"/>
      <c r="S1272" s="15"/>
      <c r="T1272" s="16"/>
      <c r="U1272" s="16"/>
      <c r="V1272" s="16"/>
      <c r="W1272" s="16"/>
      <c r="X1272" s="16"/>
      <c r="Y1272" s="11"/>
      <c r="Z1272" s="11"/>
      <c r="AA1272" s="11"/>
      <c r="AB1272" s="11"/>
      <c r="AC1272" s="11"/>
      <c r="AD1272" s="11"/>
    </row>
    <row r="1273">
      <c r="A1273" s="10"/>
      <c r="B1273" s="10"/>
      <c r="C1273" s="10"/>
      <c r="D1273" s="10"/>
      <c r="E1273" s="10"/>
      <c r="F1273" s="11"/>
      <c r="G1273" s="11"/>
      <c r="H1273" s="11"/>
      <c r="I1273" s="11"/>
      <c r="J1273" s="11" t="str">
        <f>IFERROR(__xludf.DUMMYFUNCTION("IFERROR(FILTER(Stats!$F:$Z,(Stats!$A:$A=$A1273)*(Stats!$B:$B=$B1273)))"),"#REF!")</f>
        <v>#REF!</v>
      </c>
      <c r="K1273" s="11"/>
      <c r="L1273" s="12"/>
      <c r="M1273" s="11"/>
      <c r="N1273" s="11"/>
      <c r="O1273" s="13"/>
      <c r="P1273" s="14"/>
      <c r="Q1273" s="13"/>
      <c r="R1273" s="13"/>
      <c r="S1273" s="15"/>
      <c r="T1273" s="16"/>
      <c r="U1273" s="16"/>
      <c r="V1273" s="16"/>
      <c r="W1273" s="16"/>
      <c r="X1273" s="16"/>
      <c r="Y1273" s="11"/>
      <c r="Z1273" s="11"/>
      <c r="AA1273" s="11"/>
      <c r="AB1273" s="11"/>
      <c r="AC1273" s="11"/>
      <c r="AD1273" s="11"/>
    </row>
    <row r="1274">
      <c r="A1274" s="10"/>
      <c r="B1274" s="10"/>
      <c r="C1274" s="10"/>
      <c r="D1274" s="10"/>
      <c r="E1274" s="10"/>
      <c r="F1274" s="11"/>
      <c r="G1274" s="11"/>
      <c r="H1274" s="11"/>
      <c r="I1274" s="11"/>
      <c r="J1274" s="11" t="str">
        <f>IFERROR(__xludf.DUMMYFUNCTION("IFERROR(FILTER(Stats!$F:$Z,(Stats!$A:$A=$A1274)*(Stats!$B:$B=$B1274)))"),"#REF!")</f>
        <v>#REF!</v>
      </c>
      <c r="K1274" s="11"/>
      <c r="L1274" s="12"/>
      <c r="M1274" s="11"/>
      <c r="N1274" s="11"/>
      <c r="O1274" s="13"/>
      <c r="P1274" s="14"/>
      <c r="Q1274" s="13"/>
      <c r="R1274" s="13"/>
      <c r="S1274" s="15"/>
      <c r="T1274" s="16"/>
      <c r="U1274" s="16"/>
      <c r="V1274" s="16"/>
      <c r="W1274" s="16"/>
      <c r="X1274" s="16"/>
      <c r="Y1274" s="11"/>
      <c r="Z1274" s="11"/>
      <c r="AA1274" s="11"/>
      <c r="AB1274" s="11"/>
      <c r="AC1274" s="11"/>
      <c r="AD1274" s="11"/>
    </row>
    <row r="1275">
      <c r="A1275" s="10"/>
      <c r="B1275" s="10"/>
      <c r="C1275" s="10"/>
      <c r="D1275" s="10"/>
      <c r="E1275" s="10"/>
      <c r="F1275" s="11"/>
      <c r="G1275" s="11"/>
      <c r="H1275" s="11"/>
      <c r="I1275" s="11"/>
      <c r="J1275" s="11" t="str">
        <f>IFERROR(__xludf.DUMMYFUNCTION("IFERROR(FILTER(Stats!$F:$Z,(Stats!$A:$A=$A1275)*(Stats!$B:$B=$B1275)))"),"#REF!")</f>
        <v>#REF!</v>
      </c>
      <c r="K1275" s="11"/>
      <c r="L1275" s="12"/>
      <c r="M1275" s="11"/>
      <c r="N1275" s="11"/>
      <c r="O1275" s="13"/>
      <c r="P1275" s="14"/>
      <c r="Q1275" s="13"/>
      <c r="R1275" s="13"/>
      <c r="S1275" s="15"/>
      <c r="T1275" s="16"/>
      <c r="U1275" s="16"/>
      <c r="V1275" s="16"/>
      <c r="W1275" s="16"/>
      <c r="X1275" s="16"/>
      <c r="Y1275" s="11"/>
      <c r="Z1275" s="11"/>
      <c r="AA1275" s="11"/>
      <c r="AB1275" s="11"/>
      <c r="AC1275" s="11"/>
      <c r="AD1275" s="11"/>
    </row>
    <row r="1276">
      <c r="A1276" s="10"/>
      <c r="B1276" s="10"/>
      <c r="C1276" s="10"/>
      <c r="D1276" s="10"/>
      <c r="E1276" s="10"/>
      <c r="F1276" s="11"/>
      <c r="G1276" s="11"/>
      <c r="H1276" s="11"/>
      <c r="I1276" s="11"/>
      <c r="J1276" s="11" t="str">
        <f>IFERROR(__xludf.DUMMYFUNCTION("IFERROR(FILTER(Stats!$F:$Z,(Stats!$A:$A=$A1276)*(Stats!$B:$B=$B1276)))"),"#REF!")</f>
        <v>#REF!</v>
      </c>
      <c r="K1276" s="11"/>
      <c r="L1276" s="12"/>
      <c r="M1276" s="11"/>
      <c r="N1276" s="11"/>
      <c r="O1276" s="13"/>
      <c r="P1276" s="14"/>
      <c r="Q1276" s="13"/>
      <c r="R1276" s="13"/>
      <c r="S1276" s="15"/>
      <c r="T1276" s="16"/>
      <c r="U1276" s="16"/>
      <c r="V1276" s="16"/>
      <c r="W1276" s="16"/>
      <c r="X1276" s="16"/>
      <c r="Y1276" s="11"/>
      <c r="Z1276" s="11"/>
      <c r="AA1276" s="11"/>
      <c r="AB1276" s="11"/>
      <c r="AC1276" s="11"/>
      <c r="AD1276" s="11"/>
    </row>
    <row r="1277">
      <c r="A1277" s="10"/>
      <c r="B1277" s="10"/>
      <c r="C1277" s="10"/>
      <c r="D1277" s="10"/>
      <c r="E1277" s="10"/>
      <c r="F1277" s="11"/>
      <c r="G1277" s="11"/>
      <c r="H1277" s="11"/>
      <c r="I1277" s="11"/>
      <c r="J1277" s="11" t="str">
        <f>IFERROR(__xludf.DUMMYFUNCTION("IFERROR(FILTER(Stats!$F:$Z,(Stats!$A:$A=$A1277)*(Stats!$B:$B=$B1277)))"),"#REF!")</f>
        <v>#REF!</v>
      </c>
      <c r="K1277" s="11"/>
      <c r="L1277" s="12"/>
      <c r="M1277" s="11"/>
      <c r="N1277" s="11"/>
      <c r="O1277" s="13"/>
      <c r="P1277" s="14"/>
      <c r="Q1277" s="13"/>
      <c r="R1277" s="13"/>
      <c r="S1277" s="15"/>
      <c r="T1277" s="16"/>
      <c r="U1277" s="16"/>
      <c r="V1277" s="16"/>
      <c r="W1277" s="16"/>
      <c r="X1277" s="16"/>
      <c r="Y1277" s="11"/>
      <c r="Z1277" s="11"/>
      <c r="AA1277" s="11"/>
      <c r="AB1277" s="11"/>
      <c r="AC1277" s="11"/>
      <c r="AD1277" s="11"/>
    </row>
    <row r="1278">
      <c r="A1278" s="10"/>
      <c r="B1278" s="10"/>
      <c r="C1278" s="10"/>
      <c r="D1278" s="10"/>
      <c r="E1278" s="10"/>
      <c r="F1278" s="11"/>
      <c r="G1278" s="11"/>
      <c r="H1278" s="11"/>
      <c r="I1278" s="11"/>
      <c r="J1278" s="11" t="str">
        <f>IFERROR(__xludf.DUMMYFUNCTION("IFERROR(FILTER(Stats!$F:$Z,(Stats!$A:$A=$A1278)*(Stats!$B:$B=$B1278)))"),"#REF!")</f>
        <v>#REF!</v>
      </c>
      <c r="K1278" s="11"/>
      <c r="L1278" s="12"/>
      <c r="M1278" s="11"/>
      <c r="N1278" s="11"/>
      <c r="O1278" s="13"/>
      <c r="P1278" s="14"/>
      <c r="Q1278" s="13"/>
      <c r="R1278" s="13"/>
      <c r="S1278" s="15"/>
      <c r="T1278" s="16"/>
      <c r="U1278" s="16"/>
      <c r="V1278" s="16"/>
      <c r="W1278" s="16"/>
      <c r="X1278" s="16"/>
      <c r="Y1278" s="11"/>
      <c r="Z1278" s="11"/>
      <c r="AA1278" s="11"/>
      <c r="AB1278" s="11"/>
      <c r="AC1278" s="11"/>
      <c r="AD1278" s="11"/>
    </row>
    <row r="1279">
      <c r="A1279" s="10"/>
      <c r="B1279" s="10"/>
      <c r="C1279" s="10"/>
      <c r="D1279" s="10"/>
      <c r="E1279" s="10"/>
      <c r="F1279" s="11"/>
      <c r="G1279" s="11"/>
      <c r="H1279" s="11"/>
      <c r="I1279" s="11"/>
      <c r="J1279" s="11" t="str">
        <f>IFERROR(__xludf.DUMMYFUNCTION("IFERROR(FILTER(Stats!$F:$Z,(Stats!$A:$A=$A1279)*(Stats!$B:$B=$B1279)))"),"#REF!")</f>
        <v>#REF!</v>
      </c>
      <c r="K1279" s="11"/>
      <c r="L1279" s="12"/>
      <c r="M1279" s="11"/>
      <c r="N1279" s="11"/>
      <c r="O1279" s="13"/>
      <c r="P1279" s="14"/>
      <c r="Q1279" s="13"/>
      <c r="R1279" s="13"/>
      <c r="S1279" s="15"/>
      <c r="T1279" s="16"/>
      <c r="U1279" s="16"/>
      <c r="V1279" s="16"/>
      <c r="W1279" s="16"/>
      <c r="X1279" s="16"/>
      <c r="Y1279" s="11"/>
      <c r="Z1279" s="11"/>
      <c r="AA1279" s="11"/>
      <c r="AB1279" s="11"/>
      <c r="AC1279" s="11"/>
      <c r="AD1279" s="11"/>
    </row>
    <row r="1280">
      <c r="A1280" s="10"/>
      <c r="B1280" s="10"/>
      <c r="C1280" s="10"/>
      <c r="D1280" s="10"/>
      <c r="E1280" s="10"/>
      <c r="F1280" s="11"/>
      <c r="G1280" s="11"/>
      <c r="H1280" s="11"/>
      <c r="I1280" s="11"/>
      <c r="J1280" s="11" t="str">
        <f>IFERROR(__xludf.DUMMYFUNCTION("IFERROR(FILTER(Stats!$F:$Z,(Stats!$A:$A=$A1280)*(Stats!$B:$B=$B1280)))"),"#REF!")</f>
        <v>#REF!</v>
      </c>
      <c r="K1280" s="11"/>
      <c r="L1280" s="12"/>
      <c r="M1280" s="11"/>
      <c r="N1280" s="11"/>
      <c r="O1280" s="13"/>
      <c r="P1280" s="14"/>
      <c r="Q1280" s="13"/>
      <c r="R1280" s="13"/>
      <c r="S1280" s="15"/>
      <c r="T1280" s="16"/>
      <c r="U1280" s="16"/>
      <c r="V1280" s="16"/>
      <c r="W1280" s="16"/>
      <c r="X1280" s="16"/>
      <c r="Y1280" s="11"/>
      <c r="Z1280" s="11"/>
      <c r="AA1280" s="11"/>
      <c r="AB1280" s="11"/>
      <c r="AC1280" s="11"/>
      <c r="AD1280" s="11"/>
    </row>
    <row r="1281">
      <c r="A1281" s="10"/>
      <c r="B1281" s="10"/>
      <c r="C1281" s="10"/>
      <c r="D1281" s="10"/>
      <c r="E1281" s="10"/>
      <c r="F1281" s="11"/>
      <c r="G1281" s="11"/>
      <c r="H1281" s="11"/>
      <c r="I1281" s="11"/>
      <c r="J1281" s="11" t="str">
        <f>IFERROR(__xludf.DUMMYFUNCTION("IFERROR(FILTER(Stats!$F:$Z,(Stats!$A:$A=$A1281)*(Stats!$B:$B=$B1281)))"),"#REF!")</f>
        <v>#REF!</v>
      </c>
      <c r="K1281" s="11"/>
      <c r="L1281" s="12"/>
      <c r="M1281" s="11"/>
      <c r="N1281" s="11"/>
      <c r="O1281" s="13"/>
      <c r="P1281" s="14"/>
      <c r="Q1281" s="13"/>
      <c r="R1281" s="13"/>
      <c r="S1281" s="15"/>
      <c r="T1281" s="16"/>
      <c r="U1281" s="16"/>
      <c r="V1281" s="16"/>
      <c r="W1281" s="16"/>
      <c r="X1281" s="16"/>
      <c r="Y1281" s="11"/>
      <c r="Z1281" s="11"/>
      <c r="AA1281" s="11"/>
      <c r="AB1281" s="11"/>
      <c r="AC1281" s="11"/>
      <c r="AD1281" s="11"/>
    </row>
    <row r="1282">
      <c r="A1282" s="10"/>
      <c r="B1282" s="10"/>
      <c r="C1282" s="10"/>
      <c r="D1282" s="10"/>
      <c r="E1282" s="10"/>
      <c r="F1282" s="11"/>
      <c r="G1282" s="11"/>
      <c r="H1282" s="11"/>
      <c r="I1282" s="11"/>
      <c r="J1282" s="11" t="str">
        <f>IFERROR(__xludf.DUMMYFUNCTION("IFERROR(FILTER(Stats!$F:$Z,(Stats!$A:$A=$A1282)*(Stats!$B:$B=$B1282)))"),"#REF!")</f>
        <v>#REF!</v>
      </c>
      <c r="K1282" s="11"/>
      <c r="L1282" s="12"/>
      <c r="M1282" s="11"/>
      <c r="N1282" s="11"/>
      <c r="O1282" s="13"/>
      <c r="P1282" s="14"/>
      <c r="Q1282" s="13"/>
      <c r="R1282" s="13"/>
      <c r="S1282" s="15"/>
      <c r="T1282" s="16"/>
      <c r="U1282" s="16"/>
      <c r="V1282" s="16"/>
      <c r="W1282" s="16"/>
      <c r="X1282" s="16"/>
      <c r="Y1282" s="11"/>
      <c r="Z1282" s="11"/>
      <c r="AA1282" s="11"/>
      <c r="AB1282" s="11"/>
      <c r="AC1282" s="11"/>
      <c r="AD1282" s="11"/>
    </row>
    <row r="1283">
      <c r="A1283" s="10"/>
      <c r="B1283" s="10"/>
      <c r="C1283" s="10"/>
      <c r="D1283" s="10"/>
      <c r="E1283" s="10"/>
      <c r="F1283" s="11"/>
      <c r="G1283" s="11"/>
      <c r="H1283" s="11"/>
      <c r="I1283" s="11"/>
      <c r="J1283" s="11" t="str">
        <f>IFERROR(__xludf.DUMMYFUNCTION("IFERROR(FILTER(Stats!$F:$Z,(Stats!$A:$A=$A1283)*(Stats!$B:$B=$B1283)))"),"#REF!")</f>
        <v>#REF!</v>
      </c>
      <c r="K1283" s="11"/>
      <c r="L1283" s="12"/>
      <c r="M1283" s="11"/>
      <c r="N1283" s="11"/>
      <c r="O1283" s="13"/>
      <c r="P1283" s="14"/>
      <c r="Q1283" s="13"/>
      <c r="R1283" s="13"/>
      <c r="S1283" s="15"/>
      <c r="T1283" s="16"/>
      <c r="U1283" s="16"/>
      <c r="V1283" s="16"/>
      <c r="W1283" s="16"/>
      <c r="X1283" s="16"/>
      <c r="Y1283" s="11"/>
      <c r="Z1283" s="11"/>
      <c r="AA1283" s="11"/>
      <c r="AB1283" s="11"/>
      <c r="AC1283" s="11"/>
      <c r="AD1283" s="11"/>
    </row>
    <row r="1284">
      <c r="A1284" s="10"/>
      <c r="B1284" s="10"/>
      <c r="C1284" s="10"/>
      <c r="D1284" s="10"/>
      <c r="E1284" s="10"/>
      <c r="F1284" s="11"/>
      <c r="G1284" s="11"/>
      <c r="H1284" s="11"/>
      <c r="I1284" s="11"/>
      <c r="J1284" s="11" t="str">
        <f>IFERROR(__xludf.DUMMYFUNCTION("IFERROR(FILTER(Stats!$F:$Z,(Stats!$A:$A=$A1284)*(Stats!$B:$B=$B1284)))"),"#REF!")</f>
        <v>#REF!</v>
      </c>
      <c r="K1284" s="11"/>
      <c r="L1284" s="12"/>
      <c r="M1284" s="11"/>
      <c r="N1284" s="11"/>
      <c r="O1284" s="13"/>
      <c r="P1284" s="14"/>
      <c r="Q1284" s="13"/>
      <c r="R1284" s="13"/>
      <c r="S1284" s="15"/>
      <c r="T1284" s="16"/>
      <c r="U1284" s="16"/>
      <c r="V1284" s="16"/>
      <c r="W1284" s="16"/>
      <c r="X1284" s="16"/>
      <c r="Y1284" s="11"/>
      <c r="Z1284" s="11"/>
      <c r="AA1284" s="11"/>
      <c r="AB1284" s="11"/>
      <c r="AC1284" s="11"/>
      <c r="AD1284" s="11"/>
    </row>
    <row r="1285">
      <c r="A1285" s="10"/>
      <c r="B1285" s="10"/>
      <c r="C1285" s="10"/>
      <c r="D1285" s="10"/>
      <c r="E1285" s="10"/>
      <c r="F1285" s="11"/>
      <c r="G1285" s="11"/>
      <c r="H1285" s="11"/>
      <c r="I1285" s="11"/>
      <c r="J1285" s="11" t="str">
        <f>IFERROR(__xludf.DUMMYFUNCTION("IFERROR(FILTER(Stats!$F:$Z,(Stats!$A:$A=$A1285)*(Stats!$B:$B=$B1285)))"),"#REF!")</f>
        <v>#REF!</v>
      </c>
      <c r="K1285" s="11"/>
      <c r="L1285" s="12"/>
      <c r="M1285" s="11"/>
      <c r="N1285" s="11"/>
      <c r="O1285" s="13"/>
      <c r="P1285" s="14"/>
      <c r="Q1285" s="13"/>
      <c r="R1285" s="13"/>
      <c r="S1285" s="15"/>
      <c r="T1285" s="16"/>
      <c r="U1285" s="16"/>
      <c r="V1285" s="16"/>
      <c r="W1285" s="16"/>
      <c r="X1285" s="16"/>
      <c r="Y1285" s="11"/>
      <c r="Z1285" s="11"/>
      <c r="AA1285" s="11"/>
      <c r="AB1285" s="11"/>
      <c r="AC1285" s="11"/>
      <c r="AD1285" s="11"/>
    </row>
    <row r="1286">
      <c r="A1286" s="10"/>
      <c r="B1286" s="10"/>
      <c r="C1286" s="10"/>
      <c r="D1286" s="10"/>
      <c r="E1286" s="10"/>
      <c r="F1286" s="11"/>
      <c r="G1286" s="11"/>
      <c r="H1286" s="11"/>
      <c r="I1286" s="11"/>
      <c r="J1286" s="11" t="str">
        <f>IFERROR(__xludf.DUMMYFUNCTION("IFERROR(FILTER(Stats!$F:$Z,(Stats!$A:$A=$A1286)*(Stats!$B:$B=$B1286)))"),"#REF!")</f>
        <v>#REF!</v>
      </c>
      <c r="K1286" s="11"/>
      <c r="L1286" s="12"/>
      <c r="M1286" s="11"/>
      <c r="N1286" s="11"/>
      <c r="O1286" s="13"/>
      <c r="P1286" s="14"/>
      <c r="Q1286" s="13"/>
      <c r="R1286" s="13"/>
      <c r="S1286" s="15"/>
      <c r="T1286" s="16"/>
      <c r="U1286" s="16"/>
      <c r="V1286" s="16"/>
      <c r="W1286" s="16"/>
      <c r="X1286" s="16"/>
      <c r="Y1286" s="11"/>
      <c r="Z1286" s="11"/>
      <c r="AA1286" s="11"/>
      <c r="AB1286" s="11"/>
      <c r="AC1286" s="11"/>
      <c r="AD1286" s="11"/>
    </row>
    <row r="1287">
      <c r="A1287" s="10"/>
      <c r="B1287" s="10"/>
      <c r="C1287" s="10"/>
      <c r="D1287" s="10"/>
      <c r="E1287" s="10"/>
      <c r="F1287" s="11"/>
      <c r="G1287" s="11"/>
      <c r="H1287" s="11"/>
      <c r="I1287" s="11"/>
      <c r="J1287" s="11" t="str">
        <f>IFERROR(__xludf.DUMMYFUNCTION("IFERROR(FILTER(Stats!$F:$Z,(Stats!$A:$A=$A1287)*(Stats!$B:$B=$B1287)))"),"#REF!")</f>
        <v>#REF!</v>
      </c>
      <c r="K1287" s="11"/>
      <c r="L1287" s="12"/>
      <c r="M1287" s="11"/>
      <c r="N1287" s="11"/>
      <c r="O1287" s="13"/>
      <c r="P1287" s="14"/>
      <c r="Q1287" s="13"/>
      <c r="R1287" s="13"/>
      <c r="S1287" s="15"/>
      <c r="T1287" s="16"/>
      <c r="U1287" s="16"/>
      <c r="V1287" s="16"/>
      <c r="W1287" s="16"/>
      <c r="X1287" s="16"/>
      <c r="Y1287" s="11"/>
      <c r="Z1287" s="11"/>
      <c r="AA1287" s="11"/>
      <c r="AB1287" s="11"/>
      <c r="AC1287" s="11"/>
      <c r="AD1287" s="11"/>
    </row>
    <row r="1288">
      <c r="A1288" s="10"/>
      <c r="B1288" s="10"/>
      <c r="C1288" s="10"/>
      <c r="D1288" s="10"/>
      <c r="E1288" s="10"/>
      <c r="F1288" s="11"/>
      <c r="G1288" s="11"/>
      <c r="H1288" s="11"/>
      <c r="I1288" s="11"/>
      <c r="J1288" s="11" t="str">
        <f>IFERROR(__xludf.DUMMYFUNCTION("IFERROR(FILTER(Stats!$F:$Z,(Stats!$A:$A=$A1288)*(Stats!$B:$B=$B1288)))"),"#REF!")</f>
        <v>#REF!</v>
      </c>
      <c r="K1288" s="11"/>
      <c r="L1288" s="12"/>
      <c r="M1288" s="11"/>
      <c r="N1288" s="11"/>
      <c r="O1288" s="13"/>
      <c r="P1288" s="14"/>
      <c r="Q1288" s="13"/>
      <c r="R1288" s="13"/>
      <c r="S1288" s="15"/>
      <c r="T1288" s="16"/>
      <c r="U1288" s="16"/>
      <c r="V1288" s="16"/>
      <c r="W1288" s="16"/>
      <c r="X1288" s="16"/>
      <c r="Y1288" s="11"/>
      <c r="Z1288" s="11"/>
      <c r="AA1288" s="11"/>
      <c r="AB1288" s="11"/>
      <c r="AC1288" s="11"/>
      <c r="AD1288" s="11"/>
    </row>
    <row r="1289">
      <c r="A1289" s="10"/>
      <c r="B1289" s="10"/>
      <c r="C1289" s="10"/>
      <c r="D1289" s="10"/>
      <c r="E1289" s="10"/>
      <c r="F1289" s="11"/>
      <c r="G1289" s="11"/>
      <c r="H1289" s="11"/>
      <c r="I1289" s="11"/>
      <c r="J1289" s="11" t="str">
        <f>IFERROR(__xludf.DUMMYFUNCTION("IFERROR(FILTER(Stats!$F:$Z,(Stats!$A:$A=$A1289)*(Stats!$B:$B=$B1289)))"),"#REF!")</f>
        <v>#REF!</v>
      </c>
      <c r="K1289" s="11"/>
      <c r="L1289" s="12"/>
      <c r="M1289" s="11"/>
      <c r="N1289" s="11"/>
      <c r="O1289" s="13"/>
      <c r="P1289" s="14"/>
      <c r="Q1289" s="13"/>
      <c r="R1289" s="13"/>
      <c r="S1289" s="15"/>
      <c r="T1289" s="16"/>
      <c r="U1289" s="16"/>
      <c r="V1289" s="16"/>
      <c r="W1289" s="16"/>
      <c r="X1289" s="16"/>
      <c r="Y1289" s="11"/>
      <c r="Z1289" s="11"/>
      <c r="AA1289" s="11"/>
      <c r="AB1289" s="11"/>
      <c r="AC1289" s="11"/>
      <c r="AD1289" s="11"/>
    </row>
    <row r="1290">
      <c r="A1290" s="10"/>
      <c r="B1290" s="10"/>
      <c r="C1290" s="10"/>
      <c r="D1290" s="10"/>
      <c r="E1290" s="10"/>
      <c r="F1290" s="11"/>
      <c r="G1290" s="11"/>
      <c r="H1290" s="11"/>
      <c r="I1290" s="11"/>
      <c r="J1290" s="11" t="str">
        <f>IFERROR(__xludf.DUMMYFUNCTION("IFERROR(FILTER(Stats!$F:$Z,(Stats!$A:$A=$A1290)*(Stats!$B:$B=$B1290)))"),"#REF!")</f>
        <v>#REF!</v>
      </c>
      <c r="K1290" s="11"/>
      <c r="L1290" s="12"/>
      <c r="M1290" s="11"/>
      <c r="N1290" s="11"/>
      <c r="O1290" s="13"/>
      <c r="P1290" s="14"/>
      <c r="Q1290" s="13"/>
      <c r="R1290" s="13"/>
      <c r="S1290" s="15"/>
      <c r="T1290" s="16"/>
      <c r="U1290" s="16"/>
      <c r="V1290" s="16"/>
      <c r="W1290" s="16"/>
      <c r="X1290" s="16"/>
      <c r="Y1290" s="11"/>
      <c r="Z1290" s="11"/>
      <c r="AA1290" s="11"/>
      <c r="AB1290" s="11"/>
      <c r="AC1290" s="11"/>
      <c r="AD1290" s="11"/>
    </row>
    <row r="1291">
      <c r="A1291" s="10"/>
      <c r="B1291" s="10"/>
      <c r="C1291" s="10"/>
      <c r="D1291" s="10"/>
      <c r="E1291" s="10"/>
      <c r="F1291" s="11"/>
      <c r="G1291" s="11"/>
      <c r="H1291" s="11"/>
      <c r="I1291" s="11"/>
      <c r="J1291" s="11" t="str">
        <f>IFERROR(__xludf.DUMMYFUNCTION("IFERROR(FILTER(Stats!$F:$Z,(Stats!$A:$A=$A1291)*(Stats!$B:$B=$B1291)))"),"#REF!")</f>
        <v>#REF!</v>
      </c>
      <c r="K1291" s="11"/>
      <c r="L1291" s="12"/>
      <c r="M1291" s="11"/>
      <c r="N1291" s="11"/>
      <c r="O1291" s="13"/>
      <c r="P1291" s="14"/>
      <c r="Q1291" s="13"/>
      <c r="R1291" s="13"/>
      <c r="S1291" s="15"/>
      <c r="T1291" s="16"/>
      <c r="U1291" s="16"/>
      <c r="V1291" s="16"/>
      <c r="W1291" s="16"/>
      <c r="X1291" s="16"/>
      <c r="Y1291" s="11"/>
      <c r="Z1291" s="11"/>
      <c r="AA1291" s="11"/>
      <c r="AB1291" s="11"/>
      <c r="AC1291" s="11"/>
      <c r="AD1291" s="11"/>
    </row>
    <row r="1292">
      <c r="A1292" s="10"/>
      <c r="B1292" s="10"/>
      <c r="C1292" s="10"/>
      <c r="D1292" s="10"/>
      <c r="E1292" s="10"/>
      <c r="F1292" s="11"/>
      <c r="G1292" s="11"/>
      <c r="H1292" s="11"/>
      <c r="I1292" s="11"/>
      <c r="J1292" s="11" t="str">
        <f>IFERROR(__xludf.DUMMYFUNCTION("IFERROR(FILTER(Stats!$F:$Z,(Stats!$A:$A=$A1292)*(Stats!$B:$B=$B1292)))"),"#REF!")</f>
        <v>#REF!</v>
      </c>
      <c r="K1292" s="11"/>
      <c r="L1292" s="12"/>
      <c r="M1292" s="11"/>
      <c r="N1292" s="11"/>
      <c r="O1292" s="13"/>
      <c r="P1292" s="14"/>
      <c r="Q1292" s="13"/>
      <c r="R1292" s="13"/>
      <c r="S1292" s="15"/>
      <c r="T1292" s="16"/>
      <c r="U1292" s="16"/>
      <c r="V1292" s="16"/>
      <c r="W1292" s="16"/>
      <c r="X1292" s="16"/>
      <c r="Y1292" s="11"/>
      <c r="Z1292" s="11"/>
      <c r="AA1292" s="11"/>
      <c r="AB1292" s="11"/>
      <c r="AC1292" s="11"/>
      <c r="AD1292" s="11"/>
    </row>
    <row r="1293">
      <c r="A1293" s="10"/>
      <c r="B1293" s="10"/>
      <c r="C1293" s="10"/>
      <c r="D1293" s="10"/>
      <c r="E1293" s="10"/>
      <c r="F1293" s="11"/>
      <c r="G1293" s="11"/>
      <c r="H1293" s="11"/>
      <c r="I1293" s="11"/>
      <c r="J1293" s="11" t="str">
        <f>IFERROR(__xludf.DUMMYFUNCTION("IFERROR(FILTER(Stats!$F:$Z,(Stats!$A:$A=$A1293)*(Stats!$B:$B=$B1293)))"),"#REF!")</f>
        <v>#REF!</v>
      </c>
      <c r="K1293" s="11"/>
      <c r="L1293" s="12"/>
      <c r="M1293" s="11"/>
      <c r="N1293" s="11"/>
      <c r="O1293" s="13"/>
      <c r="P1293" s="14"/>
      <c r="Q1293" s="13"/>
      <c r="R1293" s="13"/>
      <c r="S1293" s="15"/>
      <c r="T1293" s="16"/>
      <c r="U1293" s="16"/>
      <c r="V1293" s="16"/>
      <c r="W1293" s="16"/>
      <c r="X1293" s="16"/>
      <c r="Y1293" s="11"/>
      <c r="Z1293" s="11"/>
      <c r="AA1293" s="11"/>
      <c r="AB1293" s="11"/>
      <c r="AC1293" s="11"/>
      <c r="AD1293" s="11"/>
    </row>
    <row r="1294">
      <c r="A1294" s="10"/>
      <c r="B1294" s="10"/>
      <c r="C1294" s="10"/>
      <c r="D1294" s="10"/>
      <c r="E1294" s="10"/>
      <c r="F1294" s="11"/>
      <c r="G1294" s="11"/>
      <c r="H1294" s="11"/>
      <c r="I1294" s="11"/>
      <c r="J1294" s="11" t="str">
        <f>IFERROR(__xludf.DUMMYFUNCTION("IFERROR(FILTER(Stats!$F:$Z,(Stats!$A:$A=$A1294)*(Stats!$B:$B=$B1294)))"),"#REF!")</f>
        <v>#REF!</v>
      </c>
      <c r="K1294" s="11"/>
      <c r="L1294" s="12"/>
      <c r="M1294" s="11"/>
      <c r="N1294" s="11"/>
      <c r="O1294" s="13"/>
      <c r="P1294" s="14"/>
      <c r="Q1294" s="13"/>
      <c r="R1294" s="13"/>
      <c r="S1294" s="15"/>
      <c r="T1294" s="16"/>
      <c r="U1294" s="16"/>
      <c r="V1294" s="16"/>
      <c r="W1294" s="16"/>
      <c r="X1294" s="16"/>
      <c r="Y1294" s="11"/>
      <c r="Z1294" s="11"/>
      <c r="AA1294" s="11"/>
      <c r="AB1294" s="11"/>
      <c r="AC1294" s="11"/>
      <c r="AD1294" s="11"/>
    </row>
    <row r="1295">
      <c r="A1295" s="10"/>
      <c r="B1295" s="10"/>
      <c r="C1295" s="10"/>
      <c r="D1295" s="10"/>
      <c r="E1295" s="10"/>
      <c r="F1295" s="11"/>
      <c r="G1295" s="11"/>
      <c r="H1295" s="11"/>
      <c r="I1295" s="11"/>
      <c r="J1295" s="11" t="str">
        <f>IFERROR(__xludf.DUMMYFUNCTION("IFERROR(FILTER(Stats!$F:$Z,(Stats!$A:$A=$A1295)*(Stats!$B:$B=$B1295)))"),"#REF!")</f>
        <v>#REF!</v>
      </c>
      <c r="K1295" s="11"/>
      <c r="L1295" s="12"/>
      <c r="M1295" s="11"/>
      <c r="N1295" s="11"/>
      <c r="O1295" s="13"/>
      <c r="P1295" s="14"/>
      <c r="Q1295" s="13"/>
      <c r="R1295" s="13"/>
      <c r="S1295" s="15"/>
      <c r="T1295" s="16"/>
      <c r="U1295" s="16"/>
      <c r="V1295" s="16"/>
      <c r="W1295" s="16"/>
      <c r="X1295" s="16"/>
      <c r="Y1295" s="11"/>
      <c r="Z1295" s="11"/>
      <c r="AA1295" s="11"/>
      <c r="AB1295" s="11"/>
      <c r="AC1295" s="11"/>
      <c r="AD1295" s="11"/>
    </row>
    <row r="1296">
      <c r="A1296" s="10"/>
      <c r="B1296" s="10"/>
      <c r="C1296" s="10"/>
      <c r="D1296" s="10"/>
      <c r="E1296" s="10"/>
      <c r="F1296" s="11"/>
      <c r="G1296" s="11"/>
      <c r="H1296" s="11"/>
      <c r="I1296" s="11"/>
      <c r="J1296" s="11" t="str">
        <f>IFERROR(__xludf.DUMMYFUNCTION("IFERROR(FILTER(Stats!$F:$Z,(Stats!$A:$A=$A1296)*(Stats!$B:$B=$B1296)))"),"#REF!")</f>
        <v>#REF!</v>
      </c>
      <c r="K1296" s="11"/>
      <c r="L1296" s="12"/>
      <c r="M1296" s="11"/>
      <c r="N1296" s="11"/>
      <c r="O1296" s="13"/>
      <c r="P1296" s="14"/>
      <c r="Q1296" s="13"/>
      <c r="R1296" s="13"/>
      <c r="S1296" s="15"/>
      <c r="T1296" s="16"/>
      <c r="U1296" s="16"/>
      <c r="V1296" s="16"/>
      <c r="W1296" s="16"/>
      <c r="X1296" s="16"/>
      <c r="Y1296" s="11"/>
      <c r="Z1296" s="11"/>
      <c r="AA1296" s="11"/>
      <c r="AB1296" s="11"/>
      <c r="AC1296" s="11"/>
      <c r="AD1296" s="11"/>
    </row>
    <row r="1297">
      <c r="A1297" s="10"/>
      <c r="B1297" s="10"/>
      <c r="C1297" s="10"/>
      <c r="D1297" s="10"/>
      <c r="E1297" s="10"/>
      <c r="F1297" s="11"/>
      <c r="G1297" s="11"/>
      <c r="H1297" s="11"/>
      <c r="I1297" s="11"/>
      <c r="J1297" s="11" t="str">
        <f>IFERROR(__xludf.DUMMYFUNCTION("IFERROR(FILTER(Stats!$F:$Z,(Stats!$A:$A=$A1297)*(Stats!$B:$B=$B1297)))"),"#REF!")</f>
        <v>#REF!</v>
      </c>
      <c r="K1297" s="11"/>
      <c r="L1297" s="12"/>
      <c r="M1297" s="11"/>
      <c r="N1297" s="11"/>
      <c r="O1297" s="13"/>
      <c r="P1297" s="14"/>
      <c r="Q1297" s="13"/>
      <c r="R1297" s="13"/>
      <c r="S1297" s="15"/>
      <c r="T1297" s="16"/>
      <c r="U1297" s="16"/>
      <c r="V1297" s="16"/>
      <c r="W1297" s="16"/>
      <c r="X1297" s="16"/>
      <c r="Y1297" s="11"/>
      <c r="Z1297" s="11"/>
      <c r="AA1297" s="11"/>
      <c r="AB1297" s="11"/>
      <c r="AC1297" s="11"/>
      <c r="AD1297" s="11"/>
    </row>
    <row r="1298">
      <c r="A1298" s="10"/>
      <c r="B1298" s="10"/>
      <c r="C1298" s="10"/>
      <c r="D1298" s="10"/>
      <c r="E1298" s="10"/>
      <c r="F1298" s="11"/>
      <c r="G1298" s="11"/>
      <c r="H1298" s="11"/>
      <c r="I1298" s="11"/>
      <c r="J1298" s="11" t="str">
        <f>IFERROR(__xludf.DUMMYFUNCTION("IFERROR(FILTER(Stats!$F:$Z,(Stats!$A:$A=$A1298)*(Stats!$B:$B=$B1298)))"),"#REF!")</f>
        <v>#REF!</v>
      </c>
      <c r="K1298" s="11"/>
      <c r="L1298" s="12"/>
      <c r="M1298" s="11"/>
      <c r="N1298" s="11"/>
      <c r="O1298" s="13"/>
      <c r="P1298" s="14"/>
      <c r="Q1298" s="13"/>
      <c r="R1298" s="13"/>
      <c r="S1298" s="15"/>
      <c r="T1298" s="16"/>
      <c r="U1298" s="16"/>
      <c r="V1298" s="16"/>
      <c r="W1298" s="16"/>
      <c r="X1298" s="16"/>
      <c r="Y1298" s="11"/>
      <c r="Z1298" s="11"/>
      <c r="AA1298" s="11"/>
      <c r="AB1298" s="11"/>
      <c r="AC1298" s="11"/>
      <c r="AD1298" s="11"/>
    </row>
    <row r="1299">
      <c r="A1299" s="10"/>
      <c r="B1299" s="10"/>
      <c r="C1299" s="10"/>
      <c r="D1299" s="10"/>
      <c r="E1299" s="10"/>
      <c r="F1299" s="11"/>
      <c r="G1299" s="11"/>
      <c r="H1299" s="11"/>
      <c r="I1299" s="11"/>
      <c r="J1299" s="11" t="str">
        <f>IFERROR(__xludf.DUMMYFUNCTION("IFERROR(FILTER(Stats!$F:$Z,(Stats!$A:$A=$A1299)*(Stats!$B:$B=$B1299)))"),"#REF!")</f>
        <v>#REF!</v>
      </c>
      <c r="K1299" s="11"/>
      <c r="L1299" s="12"/>
      <c r="M1299" s="11"/>
      <c r="N1299" s="11"/>
      <c r="O1299" s="13"/>
      <c r="P1299" s="14"/>
      <c r="Q1299" s="13"/>
      <c r="R1299" s="13"/>
      <c r="S1299" s="15"/>
      <c r="T1299" s="16"/>
      <c r="U1299" s="16"/>
      <c r="V1299" s="16"/>
      <c r="W1299" s="16"/>
      <c r="X1299" s="16"/>
      <c r="Y1299" s="11"/>
      <c r="Z1299" s="11"/>
      <c r="AA1299" s="11"/>
      <c r="AB1299" s="11"/>
      <c r="AC1299" s="11"/>
      <c r="AD1299" s="11"/>
    </row>
    <row r="1300">
      <c r="A1300" s="10"/>
      <c r="B1300" s="10"/>
      <c r="C1300" s="10"/>
      <c r="D1300" s="10"/>
      <c r="E1300" s="10"/>
      <c r="F1300" s="11"/>
      <c r="G1300" s="11"/>
      <c r="H1300" s="11"/>
      <c r="I1300" s="11"/>
      <c r="J1300" s="11" t="str">
        <f>IFERROR(__xludf.DUMMYFUNCTION("IFERROR(FILTER(Stats!$F:$Z,(Stats!$A:$A=$A1300)*(Stats!$B:$B=$B1300)))"),"#REF!")</f>
        <v>#REF!</v>
      </c>
      <c r="K1300" s="11"/>
      <c r="L1300" s="12"/>
      <c r="M1300" s="11"/>
      <c r="N1300" s="11"/>
      <c r="O1300" s="13"/>
      <c r="P1300" s="14"/>
      <c r="Q1300" s="13"/>
      <c r="R1300" s="13"/>
      <c r="S1300" s="15"/>
      <c r="T1300" s="16"/>
      <c r="U1300" s="16"/>
      <c r="V1300" s="16"/>
      <c r="W1300" s="16"/>
      <c r="X1300" s="16"/>
      <c r="Y1300" s="11"/>
      <c r="Z1300" s="11"/>
      <c r="AA1300" s="11"/>
      <c r="AB1300" s="11"/>
      <c r="AC1300" s="11"/>
      <c r="AD1300" s="11"/>
    </row>
    <row r="1301">
      <c r="A1301" s="10"/>
      <c r="B1301" s="10"/>
      <c r="C1301" s="10"/>
      <c r="D1301" s="10"/>
      <c r="E1301" s="10"/>
      <c r="F1301" s="11"/>
      <c r="G1301" s="11"/>
      <c r="H1301" s="11"/>
      <c r="I1301" s="11"/>
      <c r="J1301" s="11" t="str">
        <f>IFERROR(__xludf.DUMMYFUNCTION("IFERROR(FILTER(Stats!$F:$Z,(Stats!$A:$A=$A1301)*(Stats!$B:$B=$B1301)))"),"#REF!")</f>
        <v>#REF!</v>
      </c>
      <c r="K1301" s="11"/>
      <c r="L1301" s="12"/>
      <c r="M1301" s="11"/>
      <c r="N1301" s="11"/>
      <c r="O1301" s="13"/>
      <c r="P1301" s="14"/>
      <c r="Q1301" s="13"/>
      <c r="R1301" s="13"/>
      <c r="S1301" s="15"/>
      <c r="T1301" s="16"/>
      <c r="U1301" s="16"/>
      <c r="V1301" s="16"/>
      <c r="W1301" s="16"/>
      <c r="X1301" s="16"/>
      <c r="Y1301" s="11"/>
      <c r="Z1301" s="11"/>
      <c r="AA1301" s="11"/>
      <c r="AB1301" s="11"/>
      <c r="AC1301" s="11"/>
      <c r="AD1301" s="11"/>
    </row>
    <row r="1302">
      <c r="A1302" s="10"/>
      <c r="B1302" s="10"/>
      <c r="C1302" s="10"/>
      <c r="D1302" s="10"/>
      <c r="E1302" s="10"/>
      <c r="F1302" s="11"/>
      <c r="G1302" s="11"/>
      <c r="H1302" s="11"/>
      <c r="I1302" s="11"/>
      <c r="J1302" s="11" t="str">
        <f>IFERROR(__xludf.DUMMYFUNCTION("IFERROR(FILTER(Stats!$F:$Z,(Stats!$A:$A=$A1302)*(Stats!$B:$B=$B1302)))"),"#REF!")</f>
        <v>#REF!</v>
      </c>
      <c r="K1302" s="11"/>
      <c r="L1302" s="12"/>
      <c r="M1302" s="11"/>
      <c r="N1302" s="11"/>
      <c r="O1302" s="13"/>
      <c r="P1302" s="14"/>
      <c r="Q1302" s="13"/>
      <c r="R1302" s="13"/>
      <c r="S1302" s="15"/>
      <c r="T1302" s="16"/>
      <c r="U1302" s="16"/>
      <c r="V1302" s="16"/>
      <c r="W1302" s="16"/>
      <c r="X1302" s="16"/>
      <c r="Y1302" s="11"/>
      <c r="Z1302" s="11"/>
      <c r="AA1302" s="11"/>
      <c r="AB1302" s="11"/>
      <c r="AC1302" s="11"/>
      <c r="AD1302" s="11"/>
    </row>
    <row r="1303">
      <c r="A1303" s="10"/>
      <c r="B1303" s="10"/>
      <c r="C1303" s="10"/>
      <c r="D1303" s="10"/>
      <c r="E1303" s="10"/>
      <c r="F1303" s="11"/>
      <c r="G1303" s="11"/>
      <c r="H1303" s="11"/>
      <c r="I1303" s="11"/>
      <c r="J1303" s="11" t="str">
        <f>IFERROR(__xludf.DUMMYFUNCTION("IFERROR(FILTER(Stats!$F:$Z,(Stats!$A:$A=$A1303)*(Stats!$B:$B=$B1303)))"),"#REF!")</f>
        <v>#REF!</v>
      </c>
      <c r="K1303" s="11"/>
      <c r="L1303" s="12"/>
      <c r="M1303" s="11"/>
      <c r="N1303" s="11"/>
      <c r="O1303" s="13"/>
      <c r="P1303" s="14"/>
      <c r="Q1303" s="13"/>
      <c r="R1303" s="13"/>
      <c r="S1303" s="15"/>
      <c r="T1303" s="16"/>
      <c r="U1303" s="16"/>
      <c r="V1303" s="16"/>
      <c r="W1303" s="16"/>
      <c r="X1303" s="16"/>
      <c r="Y1303" s="11"/>
      <c r="Z1303" s="11"/>
      <c r="AA1303" s="11"/>
      <c r="AB1303" s="11"/>
      <c r="AC1303" s="11"/>
      <c r="AD1303" s="11"/>
    </row>
    <row r="1304">
      <c r="A1304" s="10"/>
      <c r="B1304" s="10"/>
      <c r="C1304" s="10"/>
      <c r="D1304" s="10"/>
      <c r="E1304" s="10"/>
      <c r="F1304" s="11"/>
      <c r="G1304" s="11"/>
      <c r="H1304" s="11"/>
      <c r="I1304" s="11"/>
      <c r="J1304" s="11" t="str">
        <f>IFERROR(__xludf.DUMMYFUNCTION("IFERROR(FILTER(Stats!$F:$Z,(Stats!$A:$A=$A1304)*(Stats!$B:$B=$B1304)))"),"#REF!")</f>
        <v>#REF!</v>
      </c>
      <c r="K1304" s="11"/>
      <c r="L1304" s="12"/>
      <c r="M1304" s="11"/>
      <c r="N1304" s="11"/>
      <c r="O1304" s="13"/>
      <c r="P1304" s="14"/>
      <c r="Q1304" s="13"/>
      <c r="R1304" s="13"/>
      <c r="S1304" s="15"/>
      <c r="T1304" s="16"/>
      <c r="U1304" s="16"/>
      <c r="V1304" s="16"/>
      <c r="W1304" s="16"/>
      <c r="X1304" s="16"/>
      <c r="Y1304" s="11"/>
      <c r="Z1304" s="11"/>
      <c r="AA1304" s="11"/>
      <c r="AB1304" s="11"/>
      <c r="AC1304" s="11"/>
      <c r="AD1304" s="11"/>
    </row>
    <row r="1305">
      <c r="A1305" s="10"/>
      <c r="B1305" s="10"/>
      <c r="C1305" s="10"/>
      <c r="D1305" s="10"/>
      <c r="E1305" s="10"/>
      <c r="F1305" s="11"/>
      <c r="G1305" s="11"/>
      <c r="H1305" s="11"/>
      <c r="I1305" s="11"/>
      <c r="J1305" s="11" t="str">
        <f>IFERROR(__xludf.DUMMYFUNCTION("IFERROR(FILTER(Stats!$F:$Z,(Stats!$A:$A=$A1305)*(Stats!$B:$B=$B1305)))"),"#REF!")</f>
        <v>#REF!</v>
      </c>
      <c r="K1305" s="11"/>
      <c r="L1305" s="12"/>
      <c r="M1305" s="11"/>
      <c r="N1305" s="11"/>
      <c r="O1305" s="13"/>
      <c r="P1305" s="14"/>
      <c r="Q1305" s="13"/>
      <c r="R1305" s="13"/>
      <c r="S1305" s="15"/>
      <c r="T1305" s="16"/>
      <c r="U1305" s="16"/>
      <c r="V1305" s="16"/>
      <c r="W1305" s="16"/>
      <c r="X1305" s="16"/>
      <c r="Y1305" s="11"/>
      <c r="Z1305" s="11"/>
      <c r="AA1305" s="11"/>
      <c r="AB1305" s="11"/>
      <c r="AC1305" s="11"/>
      <c r="AD1305" s="11"/>
    </row>
    <row r="1306">
      <c r="A1306" s="10"/>
      <c r="B1306" s="10"/>
      <c r="C1306" s="10"/>
      <c r="D1306" s="10"/>
      <c r="E1306" s="10"/>
      <c r="F1306" s="11"/>
      <c r="G1306" s="11"/>
      <c r="H1306" s="11"/>
      <c r="I1306" s="11"/>
      <c r="J1306" s="11" t="str">
        <f>IFERROR(__xludf.DUMMYFUNCTION("IFERROR(FILTER(Stats!$F:$Z,(Stats!$A:$A=$A1306)*(Stats!$B:$B=$B1306)))"),"#REF!")</f>
        <v>#REF!</v>
      </c>
      <c r="K1306" s="11"/>
      <c r="L1306" s="12"/>
      <c r="M1306" s="11"/>
      <c r="N1306" s="11"/>
      <c r="O1306" s="13"/>
      <c r="P1306" s="14"/>
      <c r="Q1306" s="13"/>
      <c r="R1306" s="13"/>
      <c r="S1306" s="15"/>
      <c r="T1306" s="16"/>
      <c r="U1306" s="16"/>
      <c r="V1306" s="16"/>
      <c r="W1306" s="16"/>
      <c r="X1306" s="16"/>
      <c r="Y1306" s="11"/>
      <c r="Z1306" s="11"/>
      <c r="AA1306" s="11"/>
      <c r="AB1306" s="11"/>
      <c r="AC1306" s="11"/>
      <c r="AD1306" s="11"/>
    </row>
    <row r="1307">
      <c r="A1307" s="10"/>
      <c r="B1307" s="10"/>
      <c r="C1307" s="10"/>
      <c r="D1307" s="10"/>
      <c r="E1307" s="10"/>
      <c r="F1307" s="11"/>
      <c r="G1307" s="11"/>
      <c r="H1307" s="11"/>
      <c r="I1307" s="11"/>
      <c r="J1307" s="11" t="str">
        <f>IFERROR(__xludf.DUMMYFUNCTION("IFERROR(FILTER(Stats!$F:$Z,(Stats!$A:$A=$A1307)*(Stats!$B:$B=$B1307)))"),"#REF!")</f>
        <v>#REF!</v>
      </c>
      <c r="K1307" s="11"/>
      <c r="L1307" s="12"/>
      <c r="M1307" s="11"/>
      <c r="N1307" s="11"/>
      <c r="O1307" s="13"/>
      <c r="P1307" s="14"/>
      <c r="Q1307" s="13"/>
      <c r="R1307" s="13"/>
      <c r="S1307" s="15"/>
      <c r="T1307" s="16"/>
      <c r="U1307" s="16"/>
      <c r="V1307" s="16"/>
      <c r="W1307" s="16"/>
      <c r="X1307" s="16"/>
      <c r="Y1307" s="11"/>
      <c r="Z1307" s="11"/>
      <c r="AA1307" s="11"/>
      <c r="AB1307" s="11"/>
      <c r="AC1307" s="11"/>
      <c r="AD1307" s="11"/>
    </row>
    <row r="1308">
      <c r="A1308" s="10"/>
      <c r="B1308" s="10"/>
      <c r="C1308" s="10"/>
      <c r="D1308" s="10"/>
      <c r="E1308" s="10"/>
      <c r="F1308" s="11"/>
      <c r="G1308" s="11"/>
      <c r="H1308" s="11"/>
      <c r="I1308" s="11"/>
      <c r="J1308" s="11" t="str">
        <f>IFERROR(__xludf.DUMMYFUNCTION("IFERROR(FILTER(Stats!$F:$Z,(Stats!$A:$A=$A1308)*(Stats!$B:$B=$B1308)))"),"#REF!")</f>
        <v>#REF!</v>
      </c>
      <c r="K1308" s="11"/>
      <c r="L1308" s="12"/>
      <c r="M1308" s="11"/>
      <c r="N1308" s="11"/>
      <c r="O1308" s="13"/>
      <c r="P1308" s="14"/>
      <c r="Q1308" s="13"/>
      <c r="R1308" s="13"/>
      <c r="S1308" s="15"/>
      <c r="T1308" s="16"/>
      <c r="U1308" s="16"/>
      <c r="V1308" s="16"/>
      <c r="W1308" s="16"/>
      <c r="X1308" s="16"/>
      <c r="Y1308" s="11"/>
      <c r="Z1308" s="11"/>
      <c r="AA1308" s="11"/>
      <c r="AB1308" s="11"/>
      <c r="AC1308" s="11"/>
      <c r="AD1308" s="11"/>
    </row>
    <row r="1309">
      <c r="A1309" s="10"/>
      <c r="B1309" s="10"/>
      <c r="C1309" s="10"/>
      <c r="D1309" s="10"/>
      <c r="E1309" s="10"/>
      <c r="F1309" s="11"/>
      <c r="G1309" s="11"/>
      <c r="H1309" s="11"/>
      <c r="I1309" s="11"/>
      <c r="J1309" s="11" t="str">
        <f>IFERROR(__xludf.DUMMYFUNCTION("IFERROR(FILTER(Stats!$F:$Z,(Stats!$A:$A=$A1309)*(Stats!$B:$B=$B1309)))"),"#REF!")</f>
        <v>#REF!</v>
      </c>
      <c r="K1309" s="11"/>
      <c r="L1309" s="12"/>
      <c r="M1309" s="11"/>
      <c r="N1309" s="11"/>
      <c r="O1309" s="13"/>
      <c r="P1309" s="14"/>
      <c r="Q1309" s="13"/>
      <c r="R1309" s="13"/>
      <c r="S1309" s="15"/>
      <c r="T1309" s="16"/>
      <c r="U1309" s="16"/>
      <c r="V1309" s="16"/>
      <c r="W1309" s="16"/>
      <c r="X1309" s="16"/>
      <c r="Y1309" s="11"/>
      <c r="Z1309" s="11"/>
      <c r="AA1309" s="11"/>
      <c r="AB1309" s="11"/>
      <c r="AC1309" s="11"/>
      <c r="AD1309" s="11"/>
    </row>
    <row r="1310">
      <c r="A1310" s="10"/>
      <c r="B1310" s="10"/>
      <c r="C1310" s="10"/>
      <c r="D1310" s="10"/>
      <c r="E1310" s="10"/>
      <c r="F1310" s="11"/>
      <c r="G1310" s="11"/>
      <c r="H1310" s="11"/>
      <c r="I1310" s="11"/>
      <c r="J1310" s="11" t="str">
        <f>IFERROR(__xludf.DUMMYFUNCTION("IFERROR(FILTER(Stats!$F:$Z,(Stats!$A:$A=$A1310)*(Stats!$B:$B=$B1310)))"),"#REF!")</f>
        <v>#REF!</v>
      </c>
      <c r="K1310" s="11"/>
      <c r="L1310" s="12"/>
      <c r="M1310" s="11"/>
      <c r="N1310" s="11"/>
      <c r="O1310" s="13"/>
      <c r="P1310" s="14"/>
      <c r="Q1310" s="13"/>
      <c r="R1310" s="13"/>
      <c r="S1310" s="15"/>
      <c r="T1310" s="16"/>
      <c r="U1310" s="16"/>
      <c r="V1310" s="16"/>
      <c r="W1310" s="16"/>
      <c r="X1310" s="16"/>
      <c r="Y1310" s="11"/>
      <c r="Z1310" s="11"/>
      <c r="AA1310" s="11"/>
      <c r="AB1310" s="11"/>
      <c r="AC1310" s="11"/>
      <c r="AD1310" s="11"/>
    </row>
    <row r="1311">
      <c r="A1311" s="10"/>
      <c r="B1311" s="10"/>
      <c r="C1311" s="10"/>
      <c r="D1311" s="10"/>
      <c r="E1311" s="10"/>
      <c r="F1311" s="11"/>
      <c r="G1311" s="11"/>
      <c r="H1311" s="11"/>
      <c r="I1311" s="11"/>
      <c r="J1311" s="11" t="str">
        <f>IFERROR(__xludf.DUMMYFUNCTION("IFERROR(FILTER(Stats!$F:$Z,(Stats!$A:$A=$A1311)*(Stats!$B:$B=$B1311)))"),"#REF!")</f>
        <v>#REF!</v>
      </c>
      <c r="K1311" s="11"/>
      <c r="L1311" s="12"/>
      <c r="M1311" s="11"/>
      <c r="N1311" s="11"/>
      <c r="O1311" s="13"/>
      <c r="P1311" s="14"/>
      <c r="Q1311" s="13"/>
      <c r="R1311" s="13"/>
      <c r="S1311" s="15"/>
      <c r="T1311" s="16"/>
      <c r="U1311" s="16"/>
      <c r="V1311" s="16"/>
      <c r="W1311" s="16"/>
      <c r="X1311" s="16"/>
      <c r="Y1311" s="11"/>
      <c r="Z1311" s="11"/>
      <c r="AA1311" s="11"/>
      <c r="AB1311" s="11"/>
      <c r="AC1311" s="11"/>
      <c r="AD1311" s="11"/>
    </row>
    <row r="1312">
      <c r="A1312" s="10"/>
      <c r="B1312" s="10"/>
      <c r="C1312" s="10"/>
      <c r="D1312" s="10"/>
      <c r="E1312" s="10"/>
      <c r="F1312" s="11"/>
      <c r="G1312" s="11"/>
      <c r="H1312" s="11"/>
      <c r="I1312" s="11"/>
      <c r="J1312" s="11" t="str">
        <f>IFERROR(__xludf.DUMMYFUNCTION("IFERROR(FILTER(Stats!$F:$Z,(Stats!$A:$A=$A1312)*(Stats!$B:$B=$B1312)))"),"#REF!")</f>
        <v>#REF!</v>
      </c>
      <c r="K1312" s="11"/>
      <c r="L1312" s="12"/>
      <c r="M1312" s="11"/>
      <c r="N1312" s="11"/>
      <c r="O1312" s="13"/>
      <c r="P1312" s="14"/>
      <c r="Q1312" s="13"/>
      <c r="R1312" s="13"/>
      <c r="S1312" s="15"/>
      <c r="T1312" s="16"/>
      <c r="U1312" s="16"/>
      <c r="V1312" s="16"/>
      <c r="W1312" s="16"/>
      <c r="X1312" s="16"/>
      <c r="Y1312" s="11"/>
      <c r="Z1312" s="11"/>
      <c r="AA1312" s="11"/>
      <c r="AB1312" s="11"/>
      <c r="AC1312" s="11"/>
      <c r="AD1312" s="11"/>
    </row>
    <row r="1313">
      <c r="A1313" s="10"/>
      <c r="B1313" s="10"/>
      <c r="C1313" s="10"/>
      <c r="D1313" s="10"/>
      <c r="E1313" s="10"/>
      <c r="F1313" s="11"/>
      <c r="G1313" s="11"/>
      <c r="H1313" s="11"/>
      <c r="I1313" s="11"/>
      <c r="J1313" s="11" t="str">
        <f>IFERROR(__xludf.DUMMYFUNCTION("IFERROR(FILTER(Stats!$F:$Z,(Stats!$A:$A=$A1313)*(Stats!$B:$B=$B1313)))"),"#REF!")</f>
        <v>#REF!</v>
      </c>
      <c r="K1313" s="11"/>
      <c r="L1313" s="12"/>
      <c r="M1313" s="11"/>
      <c r="N1313" s="11"/>
      <c r="O1313" s="13"/>
      <c r="P1313" s="14"/>
      <c r="Q1313" s="13"/>
      <c r="R1313" s="13"/>
      <c r="S1313" s="15"/>
      <c r="T1313" s="16"/>
      <c r="U1313" s="16"/>
      <c r="V1313" s="16"/>
      <c r="W1313" s="16"/>
      <c r="X1313" s="16"/>
      <c r="Y1313" s="11"/>
      <c r="Z1313" s="11"/>
      <c r="AA1313" s="11"/>
      <c r="AB1313" s="11"/>
      <c r="AC1313" s="11"/>
      <c r="AD1313" s="11"/>
    </row>
    <row r="1314">
      <c r="A1314" s="10"/>
      <c r="B1314" s="10"/>
      <c r="C1314" s="10"/>
      <c r="D1314" s="10"/>
      <c r="E1314" s="10"/>
      <c r="F1314" s="11"/>
      <c r="G1314" s="11"/>
      <c r="H1314" s="11"/>
      <c r="I1314" s="11"/>
      <c r="J1314" s="11" t="str">
        <f>IFERROR(__xludf.DUMMYFUNCTION("IFERROR(FILTER(Stats!$F:$Z,(Stats!$A:$A=$A1314)*(Stats!$B:$B=$B1314)))"),"#REF!")</f>
        <v>#REF!</v>
      </c>
      <c r="K1314" s="11"/>
      <c r="L1314" s="12"/>
      <c r="M1314" s="11"/>
      <c r="N1314" s="11"/>
      <c r="O1314" s="13"/>
      <c r="P1314" s="14"/>
      <c r="Q1314" s="13"/>
      <c r="R1314" s="13"/>
      <c r="S1314" s="15"/>
      <c r="T1314" s="16"/>
      <c r="U1314" s="16"/>
      <c r="V1314" s="16"/>
      <c r="W1314" s="16"/>
      <c r="X1314" s="16"/>
      <c r="Y1314" s="11"/>
      <c r="Z1314" s="11"/>
      <c r="AA1314" s="11"/>
      <c r="AB1314" s="11"/>
      <c r="AC1314" s="11"/>
      <c r="AD1314" s="11"/>
    </row>
    <row r="1315">
      <c r="A1315" s="10"/>
      <c r="B1315" s="10"/>
      <c r="C1315" s="10"/>
      <c r="D1315" s="10"/>
      <c r="E1315" s="10"/>
      <c r="F1315" s="11"/>
      <c r="G1315" s="11"/>
      <c r="H1315" s="11"/>
      <c r="I1315" s="11"/>
      <c r="J1315" s="11" t="str">
        <f>IFERROR(__xludf.DUMMYFUNCTION("IFERROR(FILTER(Stats!$F:$Z,(Stats!$A:$A=$A1315)*(Stats!$B:$B=$B1315)))"),"#REF!")</f>
        <v>#REF!</v>
      </c>
      <c r="K1315" s="11"/>
      <c r="L1315" s="12"/>
      <c r="M1315" s="11"/>
      <c r="N1315" s="11"/>
      <c r="O1315" s="13"/>
      <c r="P1315" s="14"/>
      <c r="Q1315" s="13"/>
      <c r="R1315" s="13"/>
      <c r="S1315" s="15"/>
      <c r="T1315" s="16"/>
      <c r="U1315" s="16"/>
      <c r="V1315" s="16"/>
      <c r="W1315" s="16"/>
      <c r="X1315" s="16"/>
      <c r="Y1315" s="11"/>
      <c r="Z1315" s="11"/>
      <c r="AA1315" s="11"/>
      <c r="AB1315" s="11"/>
      <c r="AC1315" s="11"/>
      <c r="AD1315" s="11"/>
    </row>
    <row r="1316">
      <c r="A1316" s="10"/>
      <c r="B1316" s="10"/>
      <c r="C1316" s="10"/>
      <c r="D1316" s="10"/>
      <c r="E1316" s="10"/>
      <c r="F1316" s="11"/>
      <c r="G1316" s="11"/>
      <c r="H1316" s="11"/>
      <c r="I1316" s="11"/>
      <c r="J1316" s="11" t="str">
        <f>IFERROR(__xludf.DUMMYFUNCTION("IFERROR(FILTER(Stats!$F:$Z,(Stats!$A:$A=$A1316)*(Stats!$B:$B=$B1316)))"),"#REF!")</f>
        <v>#REF!</v>
      </c>
      <c r="K1316" s="11"/>
      <c r="L1316" s="12"/>
      <c r="M1316" s="11"/>
      <c r="N1316" s="11"/>
      <c r="O1316" s="13"/>
      <c r="P1316" s="14"/>
      <c r="Q1316" s="13"/>
      <c r="R1316" s="13"/>
      <c r="S1316" s="15"/>
      <c r="T1316" s="16"/>
      <c r="U1316" s="16"/>
      <c r="V1316" s="16"/>
      <c r="W1316" s="16"/>
      <c r="X1316" s="16"/>
      <c r="Y1316" s="11"/>
      <c r="Z1316" s="11"/>
      <c r="AA1316" s="11"/>
      <c r="AB1316" s="11"/>
      <c r="AC1316" s="11"/>
      <c r="AD1316" s="11"/>
    </row>
    <row r="1317">
      <c r="A1317" s="10"/>
      <c r="B1317" s="10"/>
      <c r="C1317" s="10"/>
      <c r="D1317" s="10"/>
      <c r="E1317" s="10"/>
      <c r="F1317" s="11"/>
      <c r="G1317" s="11"/>
      <c r="H1317" s="11"/>
      <c r="I1317" s="11"/>
      <c r="J1317" s="11" t="str">
        <f>IFERROR(__xludf.DUMMYFUNCTION("IFERROR(FILTER(Stats!$F:$Z,(Stats!$A:$A=$A1317)*(Stats!$B:$B=$B1317)))"),"#REF!")</f>
        <v>#REF!</v>
      </c>
      <c r="K1317" s="11"/>
      <c r="L1317" s="12"/>
      <c r="M1317" s="11"/>
      <c r="N1317" s="11"/>
      <c r="O1317" s="13"/>
      <c r="P1317" s="14"/>
      <c r="Q1317" s="13"/>
      <c r="R1317" s="13"/>
      <c r="S1317" s="15"/>
      <c r="T1317" s="16"/>
      <c r="U1317" s="16"/>
      <c r="V1317" s="16"/>
      <c r="W1317" s="16"/>
      <c r="X1317" s="16"/>
      <c r="Y1317" s="11"/>
      <c r="Z1317" s="11"/>
      <c r="AA1317" s="11"/>
      <c r="AB1317" s="11"/>
      <c r="AC1317" s="11"/>
      <c r="AD1317" s="11"/>
    </row>
    <row r="1318">
      <c r="A1318" s="10"/>
      <c r="B1318" s="10"/>
      <c r="C1318" s="10"/>
      <c r="D1318" s="10"/>
      <c r="E1318" s="10"/>
      <c r="F1318" s="11"/>
      <c r="G1318" s="11"/>
      <c r="H1318" s="11"/>
      <c r="I1318" s="11"/>
      <c r="J1318" s="11" t="str">
        <f>IFERROR(__xludf.DUMMYFUNCTION("IFERROR(FILTER(Stats!$F:$Z,(Stats!$A:$A=$A1318)*(Stats!$B:$B=$B1318)))"),"#REF!")</f>
        <v>#REF!</v>
      </c>
      <c r="K1318" s="11"/>
      <c r="L1318" s="12"/>
      <c r="M1318" s="11"/>
      <c r="N1318" s="11"/>
      <c r="O1318" s="13"/>
      <c r="P1318" s="14"/>
      <c r="Q1318" s="13"/>
      <c r="R1318" s="13"/>
      <c r="S1318" s="15"/>
      <c r="T1318" s="16"/>
      <c r="U1318" s="16"/>
      <c r="V1318" s="16"/>
      <c r="W1318" s="16"/>
      <c r="X1318" s="16"/>
      <c r="Y1318" s="11"/>
      <c r="Z1318" s="11"/>
      <c r="AA1318" s="11"/>
      <c r="AB1318" s="11"/>
      <c r="AC1318" s="11"/>
      <c r="AD1318" s="11"/>
    </row>
    <row r="1319">
      <c r="A1319" s="10"/>
      <c r="B1319" s="10"/>
      <c r="C1319" s="10"/>
      <c r="D1319" s="10"/>
      <c r="E1319" s="10"/>
      <c r="F1319" s="11"/>
      <c r="G1319" s="11"/>
      <c r="H1319" s="11"/>
      <c r="I1319" s="11"/>
      <c r="J1319" s="11" t="str">
        <f>IFERROR(__xludf.DUMMYFUNCTION("IFERROR(FILTER(Stats!$F:$Z,(Stats!$A:$A=$A1319)*(Stats!$B:$B=$B1319)))"),"#REF!")</f>
        <v>#REF!</v>
      </c>
      <c r="K1319" s="11"/>
      <c r="L1319" s="12"/>
      <c r="M1319" s="11"/>
      <c r="N1319" s="11"/>
      <c r="O1319" s="13"/>
      <c r="P1319" s="14"/>
      <c r="Q1319" s="13"/>
      <c r="R1319" s="13"/>
      <c r="S1319" s="15"/>
      <c r="T1319" s="16"/>
      <c r="U1319" s="16"/>
      <c r="V1319" s="16"/>
      <c r="W1319" s="16"/>
      <c r="X1319" s="16"/>
      <c r="Y1319" s="11"/>
      <c r="Z1319" s="11"/>
      <c r="AA1319" s="11"/>
      <c r="AB1319" s="11"/>
      <c r="AC1319" s="11"/>
      <c r="AD1319" s="11"/>
    </row>
    <row r="1320">
      <c r="A1320" s="10"/>
      <c r="B1320" s="10"/>
      <c r="C1320" s="10"/>
      <c r="D1320" s="10"/>
      <c r="E1320" s="10"/>
      <c r="F1320" s="11"/>
      <c r="G1320" s="11"/>
      <c r="H1320" s="11"/>
      <c r="I1320" s="11"/>
      <c r="J1320" s="11" t="str">
        <f>IFERROR(__xludf.DUMMYFUNCTION("IFERROR(FILTER(Stats!$F:$Z,(Stats!$A:$A=$A1320)*(Stats!$B:$B=$B1320)))"),"#REF!")</f>
        <v>#REF!</v>
      </c>
      <c r="K1320" s="11"/>
      <c r="L1320" s="12"/>
      <c r="M1320" s="11"/>
      <c r="N1320" s="11"/>
      <c r="O1320" s="13"/>
      <c r="P1320" s="14"/>
      <c r="Q1320" s="13"/>
      <c r="R1320" s="13"/>
      <c r="S1320" s="15"/>
      <c r="T1320" s="16"/>
      <c r="U1320" s="16"/>
      <c r="V1320" s="16"/>
      <c r="W1320" s="16"/>
      <c r="X1320" s="16"/>
      <c r="Y1320" s="11"/>
      <c r="Z1320" s="11"/>
      <c r="AA1320" s="11"/>
      <c r="AB1320" s="11"/>
      <c r="AC1320" s="11"/>
      <c r="AD1320" s="11"/>
    </row>
    <row r="1321">
      <c r="A1321" s="10"/>
      <c r="B1321" s="10"/>
      <c r="C1321" s="10"/>
      <c r="D1321" s="10"/>
      <c r="E1321" s="10"/>
      <c r="F1321" s="11"/>
      <c r="G1321" s="11"/>
      <c r="H1321" s="11"/>
      <c r="I1321" s="11"/>
      <c r="J1321" s="11" t="str">
        <f>IFERROR(__xludf.DUMMYFUNCTION("IFERROR(FILTER(Stats!$F:$Z,(Stats!$A:$A=$A1321)*(Stats!$B:$B=$B1321)))"),"#REF!")</f>
        <v>#REF!</v>
      </c>
      <c r="K1321" s="11"/>
      <c r="L1321" s="12"/>
      <c r="M1321" s="11"/>
      <c r="N1321" s="11"/>
      <c r="O1321" s="13"/>
      <c r="P1321" s="14"/>
      <c r="Q1321" s="13"/>
      <c r="R1321" s="13"/>
      <c r="S1321" s="15"/>
      <c r="T1321" s="16"/>
      <c r="U1321" s="16"/>
      <c r="V1321" s="16"/>
      <c r="W1321" s="16"/>
      <c r="X1321" s="16"/>
      <c r="Y1321" s="11"/>
      <c r="Z1321" s="11"/>
      <c r="AA1321" s="11"/>
      <c r="AB1321" s="11"/>
      <c r="AC1321" s="11"/>
      <c r="AD1321" s="11"/>
    </row>
    <row r="1322">
      <c r="A1322" s="10"/>
      <c r="B1322" s="10"/>
      <c r="C1322" s="10"/>
      <c r="D1322" s="10"/>
      <c r="E1322" s="10"/>
      <c r="F1322" s="11"/>
      <c r="G1322" s="11"/>
      <c r="H1322" s="11"/>
      <c r="I1322" s="11"/>
      <c r="J1322" s="11" t="str">
        <f>IFERROR(__xludf.DUMMYFUNCTION("IFERROR(FILTER(Stats!$F:$Z,(Stats!$A:$A=$A1322)*(Stats!$B:$B=$B1322)))"),"#REF!")</f>
        <v>#REF!</v>
      </c>
      <c r="K1322" s="11"/>
      <c r="L1322" s="12"/>
      <c r="M1322" s="11"/>
      <c r="N1322" s="11"/>
      <c r="O1322" s="13"/>
      <c r="P1322" s="14"/>
      <c r="Q1322" s="13"/>
      <c r="R1322" s="13"/>
      <c r="S1322" s="15"/>
      <c r="T1322" s="16"/>
      <c r="U1322" s="16"/>
      <c r="V1322" s="16"/>
      <c r="W1322" s="16"/>
      <c r="X1322" s="16"/>
      <c r="Y1322" s="11"/>
      <c r="Z1322" s="11"/>
      <c r="AA1322" s="11"/>
      <c r="AB1322" s="11"/>
      <c r="AC1322" s="11"/>
      <c r="AD1322" s="11"/>
    </row>
    <row r="1323">
      <c r="A1323" s="10"/>
      <c r="B1323" s="10"/>
      <c r="C1323" s="10"/>
      <c r="D1323" s="10"/>
      <c r="E1323" s="10"/>
      <c r="F1323" s="11"/>
      <c r="G1323" s="11"/>
      <c r="H1323" s="11"/>
      <c r="I1323" s="11"/>
      <c r="J1323" s="11" t="str">
        <f>IFERROR(__xludf.DUMMYFUNCTION("IFERROR(FILTER(Stats!$F:$Z,(Stats!$A:$A=$A1323)*(Stats!$B:$B=$B1323)))"),"#REF!")</f>
        <v>#REF!</v>
      </c>
      <c r="K1323" s="11"/>
      <c r="L1323" s="12"/>
      <c r="M1323" s="11"/>
      <c r="N1323" s="11"/>
      <c r="O1323" s="13"/>
      <c r="P1323" s="14"/>
      <c r="Q1323" s="13"/>
      <c r="R1323" s="13"/>
      <c r="S1323" s="15"/>
      <c r="T1323" s="16"/>
      <c r="U1323" s="16"/>
      <c r="V1323" s="16"/>
      <c r="W1323" s="16"/>
      <c r="X1323" s="16"/>
      <c r="Y1323" s="11"/>
      <c r="Z1323" s="11"/>
      <c r="AA1323" s="11"/>
      <c r="AB1323" s="11"/>
      <c r="AC1323" s="11"/>
      <c r="AD1323" s="11"/>
    </row>
    <row r="1324">
      <c r="A1324" s="10"/>
      <c r="B1324" s="10"/>
      <c r="C1324" s="10"/>
      <c r="D1324" s="10"/>
      <c r="E1324" s="10"/>
      <c r="F1324" s="11"/>
      <c r="G1324" s="11"/>
      <c r="H1324" s="11"/>
      <c r="I1324" s="11"/>
      <c r="J1324" s="11" t="str">
        <f>IFERROR(__xludf.DUMMYFUNCTION("IFERROR(FILTER(Stats!$F:$Z,(Stats!$A:$A=$A1324)*(Stats!$B:$B=$B1324)))"),"#REF!")</f>
        <v>#REF!</v>
      </c>
      <c r="K1324" s="11"/>
      <c r="L1324" s="12"/>
      <c r="M1324" s="11"/>
      <c r="N1324" s="11"/>
      <c r="O1324" s="13"/>
      <c r="P1324" s="14"/>
      <c r="Q1324" s="13"/>
      <c r="R1324" s="13"/>
      <c r="S1324" s="15"/>
      <c r="T1324" s="16"/>
      <c r="U1324" s="16"/>
      <c r="V1324" s="16"/>
      <c r="W1324" s="16"/>
      <c r="X1324" s="16"/>
      <c r="Y1324" s="11"/>
      <c r="Z1324" s="11"/>
      <c r="AA1324" s="11"/>
      <c r="AB1324" s="11"/>
      <c r="AC1324" s="11"/>
      <c r="AD1324" s="11"/>
    </row>
    <row r="1325">
      <c r="A1325" s="10"/>
      <c r="B1325" s="10"/>
      <c r="C1325" s="10"/>
      <c r="D1325" s="10"/>
      <c r="E1325" s="10"/>
      <c r="F1325" s="11"/>
      <c r="G1325" s="11"/>
      <c r="H1325" s="11"/>
      <c r="I1325" s="11"/>
      <c r="J1325" s="11" t="str">
        <f>IFERROR(__xludf.DUMMYFUNCTION("IFERROR(FILTER(Stats!$F:$Z,(Stats!$A:$A=$A1325)*(Stats!$B:$B=$B1325)))"),"#REF!")</f>
        <v>#REF!</v>
      </c>
      <c r="K1325" s="11"/>
      <c r="L1325" s="12"/>
      <c r="M1325" s="11"/>
      <c r="N1325" s="11"/>
      <c r="O1325" s="13"/>
      <c r="P1325" s="14"/>
      <c r="Q1325" s="13"/>
      <c r="R1325" s="13"/>
      <c r="S1325" s="15"/>
      <c r="T1325" s="16"/>
      <c r="U1325" s="16"/>
      <c r="V1325" s="16"/>
      <c r="W1325" s="16"/>
      <c r="X1325" s="16"/>
      <c r="Y1325" s="11"/>
      <c r="Z1325" s="11"/>
      <c r="AA1325" s="11"/>
      <c r="AB1325" s="11"/>
      <c r="AC1325" s="11"/>
      <c r="AD1325" s="11"/>
    </row>
    <row r="1326">
      <c r="A1326" s="10"/>
      <c r="B1326" s="10"/>
      <c r="C1326" s="10"/>
      <c r="D1326" s="10"/>
      <c r="E1326" s="10"/>
      <c r="F1326" s="11"/>
      <c r="G1326" s="11"/>
      <c r="H1326" s="11"/>
      <c r="I1326" s="11"/>
      <c r="J1326" s="11" t="str">
        <f>IFERROR(__xludf.DUMMYFUNCTION("IFERROR(FILTER(Stats!$F:$Z,(Stats!$A:$A=$A1326)*(Stats!$B:$B=$B1326)))"),"#REF!")</f>
        <v>#REF!</v>
      </c>
      <c r="K1326" s="11"/>
      <c r="L1326" s="12"/>
      <c r="M1326" s="11"/>
      <c r="N1326" s="11"/>
      <c r="O1326" s="13"/>
      <c r="P1326" s="14"/>
      <c r="Q1326" s="13"/>
      <c r="R1326" s="13"/>
      <c r="S1326" s="15"/>
      <c r="T1326" s="16"/>
      <c r="U1326" s="16"/>
      <c r="V1326" s="16"/>
      <c r="W1326" s="16"/>
      <c r="X1326" s="16"/>
      <c r="Y1326" s="11"/>
      <c r="Z1326" s="11"/>
      <c r="AA1326" s="11"/>
      <c r="AB1326" s="11"/>
      <c r="AC1326" s="11"/>
      <c r="AD1326" s="11"/>
    </row>
    <row r="1327">
      <c r="A1327" s="10"/>
      <c r="B1327" s="10"/>
      <c r="C1327" s="10"/>
      <c r="D1327" s="10"/>
      <c r="E1327" s="10"/>
      <c r="F1327" s="11"/>
      <c r="G1327" s="11"/>
      <c r="H1327" s="11"/>
      <c r="I1327" s="11"/>
      <c r="J1327" s="11" t="str">
        <f>IFERROR(__xludf.DUMMYFUNCTION("IFERROR(FILTER(Stats!$F:$Z,(Stats!$A:$A=$A1327)*(Stats!$B:$B=$B1327)))"),"#REF!")</f>
        <v>#REF!</v>
      </c>
      <c r="K1327" s="11"/>
      <c r="L1327" s="12"/>
      <c r="M1327" s="11"/>
      <c r="N1327" s="11"/>
      <c r="O1327" s="13"/>
      <c r="P1327" s="14"/>
      <c r="Q1327" s="13"/>
      <c r="R1327" s="13"/>
      <c r="S1327" s="15"/>
      <c r="T1327" s="16"/>
      <c r="U1327" s="16"/>
      <c r="V1327" s="16"/>
      <c r="W1327" s="16"/>
      <c r="X1327" s="16"/>
      <c r="Y1327" s="11"/>
      <c r="Z1327" s="11"/>
      <c r="AA1327" s="11"/>
      <c r="AB1327" s="11"/>
      <c r="AC1327" s="11"/>
      <c r="AD1327" s="11"/>
    </row>
    <row r="1328">
      <c r="A1328" s="10"/>
      <c r="B1328" s="10"/>
      <c r="C1328" s="10"/>
      <c r="D1328" s="10"/>
      <c r="E1328" s="10"/>
      <c r="F1328" s="11"/>
      <c r="G1328" s="11"/>
      <c r="H1328" s="11"/>
      <c r="I1328" s="11"/>
      <c r="J1328" s="11" t="str">
        <f>IFERROR(__xludf.DUMMYFUNCTION("IFERROR(FILTER(Stats!$F:$Z,(Stats!$A:$A=$A1328)*(Stats!$B:$B=$B1328)))"),"#REF!")</f>
        <v>#REF!</v>
      </c>
      <c r="K1328" s="11"/>
      <c r="L1328" s="12"/>
      <c r="M1328" s="11"/>
      <c r="N1328" s="11"/>
      <c r="O1328" s="13"/>
      <c r="P1328" s="14"/>
      <c r="Q1328" s="13"/>
      <c r="R1328" s="13"/>
      <c r="S1328" s="15"/>
      <c r="T1328" s="16"/>
      <c r="U1328" s="16"/>
      <c r="V1328" s="16"/>
      <c r="W1328" s="16"/>
      <c r="X1328" s="16"/>
      <c r="Y1328" s="11"/>
      <c r="Z1328" s="11"/>
      <c r="AA1328" s="11"/>
      <c r="AB1328" s="11"/>
      <c r="AC1328" s="11"/>
      <c r="AD1328" s="11"/>
    </row>
    <row r="1329">
      <c r="A1329" s="10"/>
      <c r="B1329" s="10"/>
      <c r="C1329" s="10"/>
      <c r="D1329" s="10"/>
      <c r="E1329" s="10"/>
      <c r="F1329" s="11"/>
      <c r="G1329" s="11"/>
      <c r="H1329" s="11"/>
      <c r="I1329" s="11"/>
      <c r="J1329" s="11" t="str">
        <f>IFERROR(__xludf.DUMMYFUNCTION("IFERROR(FILTER(Stats!$F:$Z,(Stats!$A:$A=$A1329)*(Stats!$B:$B=$B1329)))"),"#REF!")</f>
        <v>#REF!</v>
      </c>
      <c r="K1329" s="11"/>
      <c r="L1329" s="12"/>
      <c r="M1329" s="11"/>
      <c r="N1329" s="11"/>
      <c r="O1329" s="13"/>
      <c r="P1329" s="14"/>
      <c r="Q1329" s="13"/>
      <c r="R1329" s="13"/>
      <c r="S1329" s="15"/>
      <c r="T1329" s="16"/>
      <c r="U1329" s="16"/>
      <c r="V1329" s="16"/>
      <c r="W1329" s="16"/>
      <c r="X1329" s="16"/>
      <c r="Y1329" s="11"/>
      <c r="Z1329" s="11"/>
      <c r="AA1329" s="11"/>
      <c r="AB1329" s="11"/>
      <c r="AC1329" s="11"/>
      <c r="AD1329" s="11"/>
    </row>
    <row r="1330">
      <c r="A1330" s="10"/>
      <c r="B1330" s="10"/>
      <c r="C1330" s="10"/>
      <c r="D1330" s="10"/>
      <c r="E1330" s="10"/>
      <c r="F1330" s="11"/>
      <c r="G1330" s="11"/>
      <c r="H1330" s="11"/>
      <c r="I1330" s="11"/>
      <c r="J1330" s="11" t="str">
        <f>IFERROR(__xludf.DUMMYFUNCTION("IFERROR(FILTER(Stats!$F:$Z,(Stats!$A:$A=$A1330)*(Stats!$B:$B=$B1330)))"),"#REF!")</f>
        <v>#REF!</v>
      </c>
      <c r="K1330" s="11"/>
      <c r="L1330" s="12"/>
      <c r="M1330" s="11"/>
      <c r="N1330" s="11"/>
      <c r="O1330" s="13"/>
      <c r="P1330" s="14"/>
      <c r="Q1330" s="13"/>
      <c r="R1330" s="13"/>
      <c r="S1330" s="15"/>
      <c r="T1330" s="16"/>
      <c r="U1330" s="16"/>
      <c r="V1330" s="16"/>
      <c r="W1330" s="16"/>
      <c r="X1330" s="16"/>
      <c r="Y1330" s="11"/>
      <c r="Z1330" s="11"/>
      <c r="AA1330" s="11"/>
      <c r="AB1330" s="11"/>
      <c r="AC1330" s="11"/>
      <c r="AD1330" s="11"/>
    </row>
    <row r="1331">
      <c r="A1331" s="10"/>
      <c r="B1331" s="10"/>
      <c r="C1331" s="10"/>
      <c r="D1331" s="10"/>
      <c r="E1331" s="10"/>
      <c r="F1331" s="11"/>
      <c r="G1331" s="11"/>
      <c r="H1331" s="11"/>
      <c r="I1331" s="11"/>
      <c r="J1331" s="11" t="str">
        <f>IFERROR(__xludf.DUMMYFUNCTION("IFERROR(FILTER(Stats!$F:$Z,(Stats!$A:$A=$A1331)*(Stats!$B:$B=$B1331)))"),"#REF!")</f>
        <v>#REF!</v>
      </c>
      <c r="K1331" s="11"/>
      <c r="L1331" s="12"/>
      <c r="M1331" s="11"/>
      <c r="N1331" s="11"/>
      <c r="O1331" s="13"/>
      <c r="P1331" s="14"/>
      <c r="Q1331" s="13"/>
      <c r="R1331" s="13"/>
      <c r="S1331" s="15"/>
      <c r="T1331" s="16"/>
      <c r="U1331" s="16"/>
      <c r="V1331" s="16"/>
      <c r="W1331" s="16"/>
      <c r="X1331" s="16"/>
      <c r="Y1331" s="11"/>
      <c r="Z1331" s="11"/>
      <c r="AA1331" s="11"/>
      <c r="AB1331" s="11"/>
      <c r="AC1331" s="11"/>
      <c r="AD1331" s="11"/>
    </row>
    <row r="1332">
      <c r="A1332" s="10"/>
      <c r="B1332" s="10"/>
      <c r="C1332" s="10"/>
      <c r="D1332" s="10"/>
      <c r="E1332" s="10"/>
      <c r="F1332" s="11"/>
      <c r="G1332" s="11"/>
      <c r="H1332" s="11"/>
      <c r="I1332" s="11"/>
      <c r="J1332" s="11" t="str">
        <f>IFERROR(__xludf.DUMMYFUNCTION("IFERROR(FILTER(Stats!$F:$Z,(Stats!$A:$A=$A1332)*(Stats!$B:$B=$B1332)))"),"#REF!")</f>
        <v>#REF!</v>
      </c>
      <c r="K1332" s="11"/>
      <c r="L1332" s="12"/>
      <c r="M1332" s="11"/>
      <c r="N1332" s="11"/>
      <c r="O1332" s="13"/>
      <c r="P1332" s="14"/>
      <c r="Q1332" s="13"/>
      <c r="R1332" s="13"/>
      <c r="S1332" s="15"/>
      <c r="T1332" s="16"/>
      <c r="U1332" s="16"/>
      <c r="V1332" s="16"/>
      <c r="W1332" s="16"/>
      <c r="X1332" s="16"/>
      <c r="Y1332" s="11"/>
      <c r="Z1332" s="11"/>
      <c r="AA1332" s="11"/>
      <c r="AB1332" s="11"/>
      <c r="AC1332" s="11"/>
      <c r="AD1332" s="11"/>
    </row>
    <row r="1333">
      <c r="A1333" s="10"/>
      <c r="B1333" s="10"/>
      <c r="C1333" s="10"/>
      <c r="D1333" s="10"/>
      <c r="E1333" s="10"/>
      <c r="F1333" s="11"/>
      <c r="G1333" s="11"/>
      <c r="H1333" s="11"/>
      <c r="I1333" s="11"/>
      <c r="J1333" s="11" t="str">
        <f>IFERROR(__xludf.DUMMYFUNCTION("IFERROR(FILTER(Stats!$F:$Z,(Stats!$A:$A=$A1333)*(Stats!$B:$B=$B1333)))"),"#REF!")</f>
        <v>#REF!</v>
      </c>
      <c r="K1333" s="11"/>
      <c r="L1333" s="12"/>
      <c r="M1333" s="11"/>
      <c r="N1333" s="11"/>
      <c r="O1333" s="13"/>
      <c r="P1333" s="14"/>
      <c r="Q1333" s="13"/>
      <c r="R1333" s="13"/>
      <c r="S1333" s="15"/>
      <c r="T1333" s="16"/>
      <c r="U1333" s="16"/>
      <c r="V1333" s="16"/>
      <c r="W1333" s="16"/>
      <c r="X1333" s="16"/>
      <c r="Y1333" s="11"/>
      <c r="Z1333" s="11"/>
      <c r="AA1333" s="11"/>
      <c r="AB1333" s="11"/>
      <c r="AC1333" s="11"/>
      <c r="AD1333" s="11"/>
    </row>
    <row r="1334">
      <c r="A1334" s="10"/>
      <c r="B1334" s="10"/>
      <c r="C1334" s="10"/>
      <c r="D1334" s="10"/>
      <c r="E1334" s="10"/>
      <c r="F1334" s="11"/>
      <c r="G1334" s="11"/>
      <c r="H1334" s="11"/>
      <c r="I1334" s="11"/>
      <c r="J1334" s="11" t="str">
        <f>IFERROR(__xludf.DUMMYFUNCTION("IFERROR(FILTER(Stats!$F:$Z,(Stats!$A:$A=$A1334)*(Stats!$B:$B=$B1334)))"),"#REF!")</f>
        <v>#REF!</v>
      </c>
      <c r="K1334" s="11"/>
      <c r="L1334" s="12"/>
      <c r="M1334" s="11"/>
      <c r="N1334" s="11"/>
      <c r="O1334" s="13"/>
      <c r="P1334" s="14"/>
      <c r="Q1334" s="13"/>
      <c r="R1334" s="13"/>
      <c r="S1334" s="15"/>
      <c r="T1334" s="16"/>
      <c r="U1334" s="16"/>
      <c r="V1334" s="16"/>
      <c r="W1334" s="16"/>
      <c r="X1334" s="16"/>
      <c r="Y1334" s="11"/>
      <c r="Z1334" s="11"/>
      <c r="AA1334" s="11"/>
      <c r="AB1334" s="11"/>
      <c r="AC1334" s="11"/>
      <c r="AD1334" s="11"/>
    </row>
    <row r="1335">
      <c r="A1335" s="10"/>
      <c r="B1335" s="10"/>
      <c r="C1335" s="10"/>
      <c r="D1335" s="10"/>
      <c r="E1335" s="10"/>
      <c r="F1335" s="11"/>
      <c r="G1335" s="11"/>
      <c r="H1335" s="11"/>
      <c r="I1335" s="11"/>
      <c r="J1335" s="11" t="str">
        <f>IFERROR(__xludf.DUMMYFUNCTION("IFERROR(FILTER(Stats!$F:$Z,(Stats!$A:$A=$A1335)*(Stats!$B:$B=$B1335)))"),"#REF!")</f>
        <v>#REF!</v>
      </c>
      <c r="K1335" s="11"/>
      <c r="L1335" s="12"/>
      <c r="M1335" s="11"/>
      <c r="N1335" s="11"/>
      <c r="O1335" s="13"/>
      <c r="P1335" s="14"/>
      <c r="Q1335" s="13"/>
      <c r="R1335" s="13"/>
      <c r="S1335" s="15"/>
      <c r="T1335" s="16"/>
      <c r="U1335" s="16"/>
      <c r="V1335" s="16"/>
      <c r="W1335" s="16"/>
      <c r="X1335" s="16"/>
      <c r="Y1335" s="11"/>
      <c r="Z1335" s="11"/>
      <c r="AA1335" s="11"/>
      <c r="AB1335" s="11"/>
      <c r="AC1335" s="11"/>
      <c r="AD1335" s="11"/>
    </row>
    <row r="1336">
      <c r="A1336" s="10"/>
      <c r="B1336" s="10"/>
      <c r="C1336" s="10"/>
      <c r="D1336" s="10"/>
      <c r="E1336" s="10"/>
      <c r="F1336" s="11"/>
      <c r="G1336" s="11"/>
      <c r="H1336" s="11"/>
      <c r="I1336" s="11"/>
      <c r="J1336" s="11" t="str">
        <f>IFERROR(__xludf.DUMMYFUNCTION("IFERROR(FILTER(Stats!$F:$Z,(Stats!$A:$A=$A1336)*(Stats!$B:$B=$B1336)))"),"#REF!")</f>
        <v>#REF!</v>
      </c>
      <c r="K1336" s="11"/>
      <c r="L1336" s="12"/>
      <c r="M1336" s="11"/>
      <c r="N1336" s="11"/>
      <c r="O1336" s="13"/>
      <c r="P1336" s="14"/>
      <c r="Q1336" s="13"/>
      <c r="R1336" s="13"/>
      <c r="S1336" s="15"/>
      <c r="T1336" s="16"/>
      <c r="U1336" s="16"/>
      <c r="V1336" s="16"/>
      <c r="W1336" s="16"/>
      <c r="X1336" s="16"/>
      <c r="Y1336" s="11"/>
      <c r="Z1336" s="11"/>
      <c r="AA1336" s="11"/>
      <c r="AB1336" s="11"/>
      <c r="AC1336" s="11"/>
      <c r="AD1336" s="11"/>
    </row>
    <row r="1337">
      <c r="A1337" s="10"/>
      <c r="B1337" s="10"/>
      <c r="C1337" s="10"/>
      <c r="D1337" s="10"/>
      <c r="E1337" s="10"/>
      <c r="F1337" s="11"/>
      <c r="G1337" s="11"/>
      <c r="H1337" s="11"/>
      <c r="I1337" s="11"/>
      <c r="J1337" s="11" t="str">
        <f>IFERROR(__xludf.DUMMYFUNCTION("IFERROR(FILTER(Stats!$F:$Z,(Stats!$A:$A=$A1337)*(Stats!$B:$B=$B1337)))"),"#REF!")</f>
        <v>#REF!</v>
      </c>
      <c r="K1337" s="11"/>
      <c r="L1337" s="12"/>
      <c r="M1337" s="11"/>
      <c r="N1337" s="11"/>
      <c r="O1337" s="13"/>
      <c r="P1337" s="14"/>
      <c r="Q1337" s="13"/>
      <c r="R1337" s="13"/>
      <c r="S1337" s="15"/>
      <c r="T1337" s="16"/>
      <c r="U1337" s="16"/>
      <c r="V1337" s="16"/>
      <c r="W1337" s="16"/>
      <c r="X1337" s="16"/>
      <c r="Y1337" s="11"/>
      <c r="Z1337" s="11"/>
      <c r="AA1337" s="11"/>
      <c r="AB1337" s="11"/>
      <c r="AC1337" s="11"/>
      <c r="AD1337" s="11"/>
    </row>
    <row r="1338">
      <c r="A1338" s="10"/>
      <c r="B1338" s="10"/>
      <c r="C1338" s="10"/>
      <c r="D1338" s="10"/>
      <c r="E1338" s="10"/>
      <c r="F1338" s="11"/>
      <c r="G1338" s="11"/>
      <c r="H1338" s="11"/>
      <c r="I1338" s="11"/>
      <c r="J1338" s="11" t="str">
        <f>IFERROR(__xludf.DUMMYFUNCTION("IFERROR(FILTER(Stats!$F:$Z,(Stats!$A:$A=$A1338)*(Stats!$B:$B=$B1338)))"),"#REF!")</f>
        <v>#REF!</v>
      </c>
      <c r="K1338" s="11"/>
      <c r="L1338" s="12"/>
      <c r="M1338" s="11"/>
      <c r="N1338" s="11"/>
      <c r="O1338" s="13"/>
      <c r="P1338" s="14"/>
      <c r="Q1338" s="13"/>
      <c r="R1338" s="13"/>
      <c r="S1338" s="15"/>
      <c r="T1338" s="16"/>
      <c r="U1338" s="16"/>
      <c r="V1338" s="16"/>
      <c r="W1338" s="16"/>
      <c r="X1338" s="16"/>
      <c r="Y1338" s="11"/>
      <c r="Z1338" s="11"/>
      <c r="AA1338" s="11"/>
      <c r="AB1338" s="11"/>
      <c r="AC1338" s="11"/>
      <c r="AD1338" s="11"/>
    </row>
    <row r="1339">
      <c r="A1339" s="10"/>
      <c r="B1339" s="10"/>
      <c r="C1339" s="10"/>
      <c r="D1339" s="10"/>
      <c r="E1339" s="10"/>
      <c r="F1339" s="11"/>
      <c r="G1339" s="11"/>
      <c r="H1339" s="11"/>
      <c r="I1339" s="11"/>
      <c r="J1339" s="11" t="str">
        <f>IFERROR(__xludf.DUMMYFUNCTION("IFERROR(FILTER(Stats!$F:$Z,(Stats!$A:$A=$A1339)*(Stats!$B:$B=$B1339)))"),"#REF!")</f>
        <v>#REF!</v>
      </c>
      <c r="K1339" s="11"/>
      <c r="L1339" s="12"/>
      <c r="M1339" s="11"/>
      <c r="N1339" s="11"/>
      <c r="O1339" s="13"/>
      <c r="P1339" s="14"/>
      <c r="Q1339" s="13"/>
      <c r="R1339" s="13"/>
      <c r="S1339" s="15"/>
      <c r="T1339" s="16"/>
      <c r="U1339" s="16"/>
      <c r="V1339" s="16"/>
      <c r="W1339" s="16"/>
      <c r="X1339" s="16"/>
      <c r="Y1339" s="11"/>
      <c r="Z1339" s="11"/>
      <c r="AA1339" s="11"/>
      <c r="AB1339" s="11"/>
      <c r="AC1339" s="11"/>
      <c r="AD1339" s="11"/>
    </row>
    <row r="1340">
      <c r="A1340" s="10"/>
      <c r="B1340" s="10"/>
      <c r="C1340" s="10"/>
      <c r="D1340" s="10"/>
      <c r="E1340" s="10"/>
      <c r="F1340" s="11"/>
      <c r="G1340" s="11"/>
      <c r="H1340" s="11"/>
      <c r="I1340" s="11"/>
      <c r="J1340" s="11" t="str">
        <f>IFERROR(__xludf.DUMMYFUNCTION("IFERROR(FILTER(Stats!$F:$Z,(Stats!$A:$A=$A1340)*(Stats!$B:$B=$B1340)))"),"#REF!")</f>
        <v>#REF!</v>
      </c>
      <c r="K1340" s="11"/>
      <c r="L1340" s="12"/>
      <c r="M1340" s="11"/>
      <c r="N1340" s="11"/>
      <c r="O1340" s="13"/>
      <c r="P1340" s="14"/>
      <c r="Q1340" s="13"/>
      <c r="R1340" s="13"/>
      <c r="S1340" s="15"/>
      <c r="T1340" s="16"/>
      <c r="U1340" s="16"/>
      <c r="V1340" s="16"/>
      <c r="W1340" s="16"/>
      <c r="X1340" s="16"/>
      <c r="Y1340" s="11"/>
      <c r="Z1340" s="11"/>
      <c r="AA1340" s="11"/>
      <c r="AB1340" s="11"/>
      <c r="AC1340" s="11"/>
      <c r="AD1340" s="11"/>
    </row>
    <row r="1341">
      <c r="A1341" s="10"/>
      <c r="B1341" s="10"/>
      <c r="C1341" s="10"/>
      <c r="D1341" s="10"/>
      <c r="E1341" s="10"/>
      <c r="F1341" s="11"/>
      <c r="G1341" s="11"/>
      <c r="H1341" s="11"/>
      <c r="I1341" s="11"/>
      <c r="J1341" s="11" t="str">
        <f>IFERROR(__xludf.DUMMYFUNCTION("IFERROR(FILTER(Stats!$F:$Z,(Stats!$A:$A=$A1341)*(Stats!$B:$B=$B1341)))"),"#REF!")</f>
        <v>#REF!</v>
      </c>
      <c r="K1341" s="11"/>
      <c r="L1341" s="12"/>
      <c r="M1341" s="11"/>
      <c r="N1341" s="11"/>
      <c r="O1341" s="13"/>
      <c r="P1341" s="14"/>
      <c r="Q1341" s="13"/>
      <c r="R1341" s="13"/>
      <c r="S1341" s="15"/>
      <c r="T1341" s="16"/>
      <c r="U1341" s="16"/>
      <c r="V1341" s="16"/>
      <c r="W1341" s="16"/>
      <c r="X1341" s="16"/>
      <c r="Y1341" s="11"/>
      <c r="Z1341" s="11"/>
      <c r="AA1341" s="11"/>
      <c r="AB1341" s="11"/>
      <c r="AC1341" s="11"/>
      <c r="AD1341" s="11"/>
    </row>
    <row r="1342">
      <c r="A1342" s="10"/>
      <c r="B1342" s="10"/>
      <c r="C1342" s="10"/>
      <c r="D1342" s="10"/>
      <c r="E1342" s="10"/>
      <c r="F1342" s="11"/>
      <c r="G1342" s="11"/>
      <c r="H1342" s="11"/>
      <c r="I1342" s="11"/>
      <c r="J1342" s="11" t="str">
        <f>IFERROR(__xludf.DUMMYFUNCTION("IFERROR(FILTER(Stats!$F:$Z,(Stats!$A:$A=$A1342)*(Stats!$B:$B=$B1342)))"),"#REF!")</f>
        <v>#REF!</v>
      </c>
      <c r="K1342" s="11"/>
      <c r="L1342" s="12"/>
      <c r="M1342" s="11"/>
      <c r="N1342" s="11"/>
      <c r="O1342" s="13"/>
      <c r="P1342" s="14"/>
      <c r="Q1342" s="13"/>
      <c r="R1342" s="13"/>
      <c r="S1342" s="15"/>
      <c r="T1342" s="16"/>
      <c r="U1342" s="16"/>
      <c r="V1342" s="16"/>
      <c r="W1342" s="16"/>
      <c r="X1342" s="16"/>
      <c r="Y1342" s="11"/>
      <c r="Z1342" s="11"/>
      <c r="AA1342" s="11"/>
      <c r="AB1342" s="11"/>
      <c r="AC1342" s="11"/>
      <c r="AD1342" s="11"/>
    </row>
    <row r="1343">
      <c r="A1343" s="10"/>
      <c r="B1343" s="10"/>
      <c r="C1343" s="10"/>
      <c r="D1343" s="10"/>
      <c r="E1343" s="10"/>
      <c r="F1343" s="11"/>
      <c r="G1343" s="11"/>
      <c r="H1343" s="11"/>
      <c r="I1343" s="11"/>
      <c r="J1343" s="11" t="str">
        <f>IFERROR(__xludf.DUMMYFUNCTION("IFERROR(FILTER(Stats!$F:$Z,(Stats!$A:$A=$A1343)*(Stats!$B:$B=$B1343)))"),"#REF!")</f>
        <v>#REF!</v>
      </c>
      <c r="K1343" s="11"/>
      <c r="L1343" s="12"/>
      <c r="M1343" s="11"/>
      <c r="N1343" s="11"/>
      <c r="O1343" s="13"/>
      <c r="P1343" s="14"/>
      <c r="Q1343" s="13"/>
      <c r="R1343" s="13"/>
      <c r="S1343" s="15"/>
      <c r="T1343" s="16"/>
      <c r="U1343" s="16"/>
      <c r="V1343" s="16"/>
      <c r="W1343" s="16"/>
      <c r="X1343" s="16"/>
      <c r="Y1343" s="11"/>
      <c r="Z1343" s="11"/>
      <c r="AA1343" s="11"/>
      <c r="AB1343" s="11"/>
      <c r="AC1343" s="11"/>
      <c r="AD1343" s="11"/>
    </row>
    <row r="1344">
      <c r="A1344" s="10"/>
      <c r="B1344" s="10"/>
      <c r="C1344" s="10"/>
      <c r="D1344" s="10"/>
      <c r="E1344" s="10"/>
      <c r="F1344" s="11"/>
      <c r="G1344" s="11"/>
      <c r="H1344" s="11"/>
      <c r="I1344" s="11"/>
      <c r="J1344" s="11" t="str">
        <f>IFERROR(__xludf.DUMMYFUNCTION("IFERROR(FILTER(Stats!$F:$Z,(Stats!$A:$A=$A1344)*(Stats!$B:$B=$B1344)))"),"#REF!")</f>
        <v>#REF!</v>
      </c>
      <c r="K1344" s="11"/>
      <c r="L1344" s="12"/>
      <c r="M1344" s="11"/>
      <c r="N1344" s="11"/>
      <c r="O1344" s="13"/>
      <c r="P1344" s="14"/>
      <c r="Q1344" s="13"/>
      <c r="R1344" s="13"/>
      <c r="S1344" s="15"/>
      <c r="T1344" s="16"/>
      <c r="U1344" s="16"/>
      <c r="V1344" s="16"/>
      <c r="W1344" s="16"/>
      <c r="X1344" s="16"/>
      <c r="Y1344" s="11"/>
      <c r="Z1344" s="11"/>
      <c r="AA1344" s="11"/>
      <c r="AB1344" s="11"/>
      <c r="AC1344" s="11"/>
      <c r="AD1344" s="11"/>
    </row>
    <row r="1345">
      <c r="A1345" s="10"/>
      <c r="B1345" s="10"/>
      <c r="C1345" s="10"/>
      <c r="D1345" s="10"/>
      <c r="E1345" s="10"/>
      <c r="F1345" s="11"/>
      <c r="G1345" s="11"/>
      <c r="H1345" s="11"/>
      <c r="I1345" s="11"/>
      <c r="J1345" s="11" t="str">
        <f>IFERROR(__xludf.DUMMYFUNCTION("IFERROR(FILTER(Stats!$F:$Z,(Stats!$A:$A=$A1345)*(Stats!$B:$B=$B1345)))"),"#REF!")</f>
        <v>#REF!</v>
      </c>
      <c r="K1345" s="11"/>
      <c r="L1345" s="12"/>
      <c r="M1345" s="11"/>
      <c r="N1345" s="11"/>
      <c r="O1345" s="13"/>
      <c r="P1345" s="14"/>
      <c r="Q1345" s="13"/>
      <c r="R1345" s="13"/>
      <c r="S1345" s="15"/>
      <c r="T1345" s="16"/>
      <c r="U1345" s="16"/>
      <c r="V1345" s="16"/>
      <c r="W1345" s="16"/>
      <c r="X1345" s="16"/>
      <c r="Y1345" s="11"/>
      <c r="Z1345" s="11"/>
      <c r="AA1345" s="11"/>
      <c r="AB1345" s="11"/>
      <c r="AC1345" s="11"/>
      <c r="AD1345" s="11"/>
    </row>
    <row r="1346">
      <c r="A1346" s="10"/>
      <c r="B1346" s="10"/>
      <c r="C1346" s="10"/>
      <c r="D1346" s="10"/>
      <c r="E1346" s="10"/>
      <c r="F1346" s="11"/>
      <c r="G1346" s="11"/>
      <c r="H1346" s="11"/>
      <c r="I1346" s="11"/>
      <c r="J1346" s="11" t="str">
        <f>IFERROR(__xludf.DUMMYFUNCTION("IFERROR(FILTER(Stats!$F:$Z,(Stats!$A:$A=$A1346)*(Stats!$B:$B=$B1346)))"),"#REF!")</f>
        <v>#REF!</v>
      </c>
      <c r="K1346" s="11"/>
      <c r="L1346" s="12"/>
      <c r="M1346" s="11"/>
      <c r="N1346" s="11"/>
      <c r="O1346" s="13"/>
      <c r="P1346" s="14"/>
      <c r="Q1346" s="13"/>
      <c r="R1346" s="13"/>
      <c r="S1346" s="15"/>
      <c r="T1346" s="16"/>
      <c r="U1346" s="16"/>
      <c r="V1346" s="16"/>
      <c r="W1346" s="16"/>
      <c r="X1346" s="16"/>
      <c r="Y1346" s="11"/>
      <c r="Z1346" s="11"/>
      <c r="AA1346" s="11"/>
      <c r="AB1346" s="11"/>
      <c r="AC1346" s="11"/>
      <c r="AD1346" s="11"/>
    </row>
    <row r="1347">
      <c r="A1347" s="10"/>
      <c r="B1347" s="10"/>
      <c r="C1347" s="10"/>
      <c r="D1347" s="10"/>
      <c r="E1347" s="10"/>
      <c r="F1347" s="11"/>
      <c r="G1347" s="11"/>
      <c r="H1347" s="11"/>
      <c r="I1347" s="11"/>
      <c r="J1347" s="11" t="str">
        <f>IFERROR(__xludf.DUMMYFUNCTION("IFERROR(FILTER(Stats!$F:$Z,(Stats!$A:$A=$A1347)*(Stats!$B:$B=$B1347)))"),"#REF!")</f>
        <v>#REF!</v>
      </c>
      <c r="K1347" s="11"/>
      <c r="L1347" s="12"/>
      <c r="M1347" s="11"/>
      <c r="N1347" s="11"/>
      <c r="O1347" s="13"/>
      <c r="P1347" s="14"/>
      <c r="Q1347" s="13"/>
      <c r="R1347" s="13"/>
      <c r="S1347" s="15"/>
      <c r="T1347" s="16"/>
      <c r="U1347" s="16"/>
      <c r="V1347" s="16"/>
      <c r="W1347" s="16"/>
      <c r="X1347" s="16"/>
      <c r="Y1347" s="11"/>
      <c r="Z1347" s="11"/>
      <c r="AA1347" s="11"/>
      <c r="AB1347" s="11"/>
      <c r="AC1347" s="11"/>
      <c r="AD1347" s="11"/>
    </row>
    <row r="1348">
      <c r="A1348" s="10"/>
      <c r="B1348" s="10"/>
      <c r="C1348" s="10"/>
      <c r="D1348" s="10"/>
      <c r="E1348" s="10"/>
      <c r="F1348" s="11"/>
      <c r="G1348" s="11"/>
      <c r="H1348" s="11"/>
      <c r="I1348" s="11"/>
      <c r="J1348" s="11" t="str">
        <f>IFERROR(__xludf.DUMMYFUNCTION("IFERROR(FILTER(Stats!$F:$Z,(Stats!$A:$A=$A1348)*(Stats!$B:$B=$B1348)))"),"#REF!")</f>
        <v>#REF!</v>
      </c>
      <c r="K1348" s="11"/>
      <c r="L1348" s="12"/>
      <c r="M1348" s="11"/>
      <c r="N1348" s="11"/>
      <c r="O1348" s="13"/>
      <c r="P1348" s="14"/>
      <c r="Q1348" s="13"/>
      <c r="R1348" s="13"/>
      <c r="S1348" s="15"/>
      <c r="T1348" s="16"/>
      <c r="U1348" s="16"/>
      <c r="V1348" s="16"/>
      <c r="W1348" s="16"/>
      <c r="X1348" s="16"/>
      <c r="Y1348" s="11"/>
      <c r="Z1348" s="11"/>
      <c r="AA1348" s="11"/>
      <c r="AB1348" s="11"/>
      <c r="AC1348" s="11"/>
      <c r="AD1348" s="11"/>
    </row>
    <row r="1349">
      <c r="A1349" s="10"/>
      <c r="B1349" s="10"/>
      <c r="C1349" s="10"/>
      <c r="D1349" s="10"/>
      <c r="E1349" s="10"/>
      <c r="F1349" s="11"/>
      <c r="G1349" s="11"/>
      <c r="H1349" s="11"/>
      <c r="I1349" s="11"/>
      <c r="J1349" s="11" t="str">
        <f>IFERROR(__xludf.DUMMYFUNCTION("IFERROR(FILTER(Stats!$F:$Z,(Stats!$A:$A=$A1349)*(Stats!$B:$B=$B1349)))"),"#REF!")</f>
        <v>#REF!</v>
      </c>
      <c r="K1349" s="11"/>
      <c r="L1349" s="12"/>
      <c r="M1349" s="11"/>
      <c r="N1349" s="11"/>
      <c r="O1349" s="13"/>
      <c r="P1349" s="14"/>
      <c r="Q1349" s="13"/>
      <c r="R1349" s="13"/>
      <c r="S1349" s="15"/>
      <c r="T1349" s="16"/>
      <c r="U1349" s="16"/>
      <c r="V1349" s="16"/>
      <c r="W1349" s="16"/>
      <c r="X1349" s="16"/>
      <c r="Y1349" s="11"/>
      <c r="Z1349" s="11"/>
      <c r="AA1349" s="11"/>
      <c r="AB1349" s="11"/>
      <c r="AC1349" s="11"/>
      <c r="AD1349" s="11"/>
    </row>
    <row r="1350">
      <c r="A1350" s="10"/>
      <c r="B1350" s="10"/>
      <c r="C1350" s="10"/>
      <c r="D1350" s="10"/>
      <c r="E1350" s="10"/>
      <c r="F1350" s="11"/>
      <c r="G1350" s="11"/>
      <c r="H1350" s="11"/>
      <c r="I1350" s="11"/>
      <c r="J1350" s="11" t="str">
        <f>IFERROR(__xludf.DUMMYFUNCTION("IFERROR(FILTER(Stats!$F:$Z,(Stats!$A:$A=$A1350)*(Stats!$B:$B=$B1350)))"),"#REF!")</f>
        <v>#REF!</v>
      </c>
      <c r="K1350" s="11"/>
      <c r="L1350" s="12"/>
      <c r="M1350" s="11"/>
      <c r="N1350" s="11"/>
      <c r="O1350" s="13"/>
      <c r="P1350" s="14"/>
      <c r="Q1350" s="13"/>
      <c r="R1350" s="13"/>
      <c r="S1350" s="15"/>
      <c r="T1350" s="16"/>
      <c r="U1350" s="16"/>
      <c r="V1350" s="16"/>
      <c r="W1350" s="16"/>
      <c r="X1350" s="16"/>
      <c r="Y1350" s="11"/>
      <c r="Z1350" s="11"/>
      <c r="AA1350" s="11"/>
      <c r="AB1350" s="11"/>
      <c r="AC1350" s="11"/>
      <c r="AD1350" s="11"/>
    </row>
    <row r="1351">
      <c r="A1351" s="10"/>
      <c r="B1351" s="10"/>
      <c r="C1351" s="10"/>
      <c r="D1351" s="10"/>
      <c r="E1351" s="10"/>
      <c r="F1351" s="11"/>
      <c r="G1351" s="11"/>
      <c r="H1351" s="11"/>
      <c r="I1351" s="11"/>
      <c r="J1351" s="11" t="str">
        <f>IFERROR(__xludf.DUMMYFUNCTION("IFERROR(FILTER(Stats!$F:$Z,(Stats!$A:$A=$A1351)*(Stats!$B:$B=$B1351)))"),"#REF!")</f>
        <v>#REF!</v>
      </c>
      <c r="K1351" s="11"/>
      <c r="L1351" s="12"/>
      <c r="M1351" s="11"/>
      <c r="N1351" s="11"/>
      <c r="O1351" s="13"/>
      <c r="P1351" s="14"/>
      <c r="Q1351" s="13"/>
      <c r="R1351" s="13"/>
      <c r="S1351" s="15"/>
      <c r="T1351" s="16"/>
      <c r="U1351" s="16"/>
      <c r="V1351" s="16"/>
      <c r="W1351" s="16"/>
      <c r="X1351" s="16"/>
      <c r="Y1351" s="11"/>
      <c r="Z1351" s="11"/>
      <c r="AA1351" s="11"/>
      <c r="AB1351" s="11"/>
      <c r="AC1351" s="11"/>
      <c r="AD1351" s="11"/>
    </row>
    <row r="1352">
      <c r="A1352" s="10"/>
      <c r="B1352" s="10"/>
      <c r="C1352" s="10"/>
      <c r="D1352" s="10"/>
      <c r="E1352" s="10"/>
      <c r="F1352" s="11"/>
      <c r="G1352" s="11"/>
      <c r="H1352" s="11"/>
      <c r="I1352" s="11"/>
      <c r="J1352" s="11" t="str">
        <f>IFERROR(__xludf.DUMMYFUNCTION("IFERROR(FILTER(Stats!$F:$Z,(Stats!$A:$A=$A1352)*(Stats!$B:$B=$B1352)))"),"#REF!")</f>
        <v>#REF!</v>
      </c>
      <c r="K1352" s="11"/>
      <c r="L1352" s="12"/>
      <c r="M1352" s="11"/>
      <c r="N1352" s="11"/>
      <c r="O1352" s="13"/>
      <c r="P1352" s="14"/>
      <c r="Q1352" s="13"/>
      <c r="R1352" s="13"/>
      <c r="S1352" s="15"/>
      <c r="T1352" s="16"/>
      <c r="U1352" s="16"/>
      <c r="V1352" s="16"/>
      <c r="W1352" s="16"/>
      <c r="X1352" s="16"/>
      <c r="Y1352" s="11"/>
      <c r="Z1352" s="11"/>
      <c r="AA1352" s="11"/>
      <c r="AB1352" s="11"/>
      <c r="AC1352" s="11"/>
      <c r="AD1352" s="11"/>
    </row>
    <row r="1353">
      <c r="A1353" s="10"/>
      <c r="B1353" s="10"/>
      <c r="C1353" s="10"/>
      <c r="D1353" s="10"/>
      <c r="E1353" s="10"/>
      <c r="F1353" s="11"/>
      <c r="G1353" s="11"/>
      <c r="H1353" s="11"/>
      <c r="I1353" s="11"/>
      <c r="J1353" s="11" t="str">
        <f>IFERROR(__xludf.DUMMYFUNCTION("IFERROR(FILTER(Stats!$F:$Z,(Stats!$A:$A=$A1353)*(Stats!$B:$B=$B1353)))"),"#REF!")</f>
        <v>#REF!</v>
      </c>
      <c r="K1353" s="11"/>
      <c r="L1353" s="12"/>
      <c r="M1353" s="11"/>
      <c r="N1353" s="11"/>
      <c r="O1353" s="13"/>
      <c r="P1353" s="14"/>
      <c r="Q1353" s="13"/>
      <c r="R1353" s="13"/>
      <c r="S1353" s="15"/>
      <c r="T1353" s="16"/>
      <c r="U1353" s="16"/>
      <c r="V1353" s="16"/>
      <c r="W1353" s="16"/>
      <c r="X1353" s="16"/>
      <c r="Y1353" s="11"/>
      <c r="Z1353" s="11"/>
      <c r="AA1353" s="11"/>
      <c r="AB1353" s="11"/>
      <c r="AC1353" s="11"/>
      <c r="AD1353" s="11"/>
    </row>
    <row r="1354">
      <c r="A1354" s="10"/>
      <c r="B1354" s="10"/>
      <c r="C1354" s="10"/>
      <c r="D1354" s="10"/>
      <c r="E1354" s="10"/>
      <c r="F1354" s="11"/>
      <c r="G1354" s="11"/>
      <c r="H1354" s="11"/>
      <c r="I1354" s="11"/>
      <c r="J1354" s="11" t="str">
        <f>IFERROR(__xludf.DUMMYFUNCTION("IFERROR(FILTER(Stats!$F:$Z,(Stats!$A:$A=$A1354)*(Stats!$B:$B=$B1354)))"),"#REF!")</f>
        <v>#REF!</v>
      </c>
      <c r="K1354" s="11"/>
      <c r="L1354" s="12"/>
      <c r="M1354" s="11"/>
      <c r="N1354" s="11"/>
      <c r="O1354" s="13"/>
      <c r="P1354" s="14"/>
      <c r="Q1354" s="13"/>
      <c r="R1354" s="13"/>
      <c r="S1354" s="15"/>
      <c r="T1354" s="16"/>
      <c r="U1354" s="16"/>
      <c r="V1354" s="16"/>
      <c r="W1354" s="16"/>
      <c r="X1354" s="16"/>
      <c r="Y1354" s="11"/>
      <c r="Z1354" s="11"/>
      <c r="AA1354" s="11"/>
      <c r="AB1354" s="11"/>
      <c r="AC1354" s="11"/>
      <c r="AD1354" s="11"/>
    </row>
    <row r="1355">
      <c r="A1355" s="10"/>
      <c r="B1355" s="10"/>
      <c r="C1355" s="10"/>
      <c r="D1355" s="10"/>
      <c r="E1355" s="10"/>
      <c r="F1355" s="11"/>
      <c r="G1355" s="11"/>
      <c r="H1355" s="11"/>
      <c r="I1355" s="11"/>
      <c r="J1355" s="11" t="str">
        <f>IFERROR(__xludf.DUMMYFUNCTION("IFERROR(FILTER(Stats!$F:$Z,(Stats!$A:$A=$A1355)*(Stats!$B:$B=$B1355)))"),"#REF!")</f>
        <v>#REF!</v>
      </c>
      <c r="K1355" s="11"/>
      <c r="L1355" s="12"/>
      <c r="M1355" s="11"/>
      <c r="N1355" s="11"/>
      <c r="O1355" s="13"/>
      <c r="P1355" s="14"/>
      <c r="Q1355" s="13"/>
      <c r="R1355" s="13"/>
      <c r="S1355" s="15"/>
      <c r="T1355" s="16"/>
      <c r="U1355" s="16"/>
      <c r="V1355" s="16"/>
      <c r="W1355" s="16"/>
      <c r="X1355" s="16"/>
      <c r="Y1355" s="11"/>
      <c r="Z1355" s="11"/>
      <c r="AA1355" s="11"/>
      <c r="AB1355" s="11"/>
      <c r="AC1355" s="11"/>
      <c r="AD1355" s="11"/>
    </row>
    <row r="1356">
      <c r="A1356" s="10"/>
      <c r="B1356" s="10"/>
      <c r="C1356" s="10"/>
      <c r="D1356" s="10"/>
      <c r="E1356" s="10"/>
      <c r="F1356" s="11"/>
      <c r="G1356" s="11"/>
      <c r="H1356" s="11"/>
      <c r="I1356" s="11"/>
      <c r="J1356" s="11" t="str">
        <f>IFERROR(__xludf.DUMMYFUNCTION("IFERROR(FILTER(Stats!$F:$Z,(Stats!$A:$A=$A1356)*(Stats!$B:$B=$B1356)))"),"#REF!")</f>
        <v>#REF!</v>
      </c>
      <c r="K1356" s="11"/>
      <c r="L1356" s="12"/>
      <c r="M1356" s="11"/>
      <c r="N1356" s="11"/>
      <c r="O1356" s="13"/>
      <c r="P1356" s="14"/>
      <c r="Q1356" s="13"/>
      <c r="R1356" s="13"/>
      <c r="S1356" s="15"/>
      <c r="T1356" s="16"/>
      <c r="U1356" s="16"/>
      <c r="V1356" s="16"/>
      <c r="W1356" s="16"/>
      <c r="X1356" s="16"/>
      <c r="Y1356" s="11"/>
      <c r="Z1356" s="11"/>
      <c r="AA1356" s="11"/>
      <c r="AB1356" s="11"/>
      <c r="AC1356" s="11"/>
      <c r="AD1356" s="11"/>
    </row>
    <row r="1357">
      <c r="A1357" s="10"/>
      <c r="B1357" s="10"/>
      <c r="C1357" s="10"/>
      <c r="D1357" s="10"/>
      <c r="E1357" s="10"/>
      <c r="F1357" s="11"/>
      <c r="G1357" s="11"/>
      <c r="H1357" s="11"/>
      <c r="I1357" s="11"/>
      <c r="J1357" s="11" t="str">
        <f>IFERROR(__xludf.DUMMYFUNCTION("IFERROR(FILTER(Stats!$F:$Z,(Stats!$A:$A=$A1357)*(Stats!$B:$B=$B1357)))"),"#REF!")</f>
        <v>#REF!</v>
      </c>
      <c r="K1357" s="11"/>
      <c r="L1357" s="12"/>
      <c r="M1357" s="11"/>
      <c r="N1357" s="11"/>
      <c r="O1357" s="13"/>
      <c r="P1357" s="14"/>
      <c r="Q1357" s="13"/>
      <c r="R1357" s="13"/>
      <c r="S1357" s="15"/>
      <c r="T1357" s="16"/>
      <c r="U1357" s="16"/>
      <c r="V1357" s="16"/>
      <c r="W1357" s="16"/>
      <c r="X1357" s="16"/>
      <c r="Y1357" s="11"/>
      <c r="Z1357" s="11"/>
      <c r="AA1357" s="11"/>
      <c r="AB1357" s="11"/>
      <c r="AC1357" s="11"/>
      <c r="AD1357" s="11"/>
    </row>
    <row r="1358">
      <c r="A1358" s="10"/>
      <c r="B1358" s="10"/>
      <c r="C1358" s="10"/>
      <c r="D1358" s="10"/>
      <c r="E1358" s="10"/>
      <c r="F1358" s="11"/>
      <c r="G1358" s="11"/>
      <c r="H1358" s="11"/>
      <c r="I1358" s="11"/>
      <c r="J1358" s="11" t="str">
        <f>IFERROR(__xludf.DUMMYFUNCTION("IFERROR(FILTER(Stats!$F:$Z,(Stats!$A:$A=$A1358)*(Stats!$B:$B=$B1358)))"),"#REF!")</f>
        <v>#REF!</v>
      </c>
      <c r="K1358" s="11"/>
      <c r="L1358" s="12"/>
      <c r="M1358" s="11"/>
      <c r="N1358" s="11"/>
      <c r="O1358" s="13"/>
      <c r="P1358" s="14"/>
      <c r="Q1358" s="13"/>
      <c r="R1358" s="13"/>
      <c r="S1358" s="15"/>
      <c r="T1358" s="16"/>
      <c r="U1358" s="16"/>
      <c r="V1358" s="16"/>
      <c r="W1358" s="16"/>
      <c r="X1358" s="16"/>
      <c r="Y1358" s="11"/>
      <c r="Z1358" s="11"/>
      <c r="AA1358" s="11"/>
      <c r="AB1358" s="11"/>
      <c r="AC1358" s="11"/>
      <c r="AD1358" s="11"/>
    </row>
    <row r="1359">
      <c r="A1359" s="10"/>
      <c r="B1359" s="10"/>
      <c r="C1359" s="10"/>
      <c r="D1359" s="10"/>
      <c r="E1359" s="10"/>
      <c r="F1359" s="11"/>
      <c r="G1359" s="11"/>
      <c r="H1359" s="11"/>
      <c r="I1359" s="11"/>
      <c r="J1359" s="11" t="str">
        <f>IFERROR(__xludf.DUMMYFUNCTION("IFERROR(FILTER(Stats!$F:$Z,(Stats!$A:$A=$A1359)*(Stats!$B:$B=$B1359)))"),"#REF!")</f>
        <v>#REF!</v>
      </c>
      <c r="K1359" s="11"/>
      <c r="L1359" s="12"/>
      <c r="M1359" s="11"/>
      <c r="N1359" s="11"/>
      <c r="O1359" s="13"/>
      <c r="P1359" s="14"/>
      <c r="Q1359" s="13"/>
      <c r="R1359" s="13"/>
      <c r="S1359" s="15"/>
      <c r="T1359" s="16"/>
      <c r="U1359" s="16"/>
      <c r="V1359" s="16"/>
      <c r="W1359" s="16"/>
      <c r="X1359" s="16"/>
      <c r="Y1359" s="11"/>
      <c r="Z1359" s="11"/>
      <c r="AA1359" s="11"/>
      <c r="AB1359" s="11"/>
      <c r="AC1359" s="11"/>
      <c r="AD1359" s="11"/>
    </row>
    <row r="1360">
      <c r="A1360" s="10"/>
      <c r="B1360" s="10"/>
      <c r="C1360" s="10"/>
      <c r="D1360" s="10"/>
      <c r="E1360" s="10"/>
      <c r="F1360" s="11"/>
      <c r="G1360" s="11"/>
      <c r="H1360" s="11"/>
      <c r="I1360" s="11"/>
      <c r="J1360" s="11" t="str">
        <f>IFERROR(__xludf.DUMMYFUNCTION("IFERROR(FILTER(Stats!$F:$Z,(Stats!$A:$A=$A1360)*(Stats!$B:$B=$B1360)))"),"#REF!")</f>
        <v>#REF!</v>
      </c>
      <c r="K1360" s="11"/>
      <c r="L1360" s="12"/>
      <c r="M1360" s="11"/>
      <c r="N1360" s="11"/>
      <c r="O1360" s="13"/>
      <c r="P1360" s="14"/>
      <c r="Q1360" s="13"/>
      <c r="R1360" s="13"/>
      <c r="S1360" s="15"/>
      <c r="T1360" s="16"/>
      <c r="U1360" s="16"/>
      <c r="V1360" s="16"/>
      <c r="W1360" s="16"/>
      <c r="X1360" s="16"/>
      <c r="Y1360" s="11"/>
      <c r="Z1360" s="11"/>
      <c r="AA1360" s="11"/>
      <c r="AB1360" s="11"/>
      <c r="AC1360" s="11"/>
      <c r="AD1360" s="11"/>
    </row>
    <row r="1361">
      <c r="A1361" s="10"/>
      <c r="B1361" s="10"/>
      <c r="C1361" s="10"/>
      <c r="D1361" s="10"/>
      <c r="E1361" s="10"/>
      <c r="F1361" s="11"/>
      <c r="G1361" s="11"/>
      <c r="H1361" s="11"/>
      <c r="I1361" s="11"/>
      <c r="J1361" s="11" t="str">
        <f>IFERROR(__xludf.DUMMYFUNCTION("IFERROR(FILTER(Stats!$F:$Z,(Stats!$A:$A=$A1361)*(Stats!$B:$B=$B1361)))"),"#REF!")</f>
        <v>#REF!</v>
      </c>
      <c r="K1361" s="11"/>
      <c r="L1361" s="12"/>
      <c r="M1361" s="11"/>
      <c r="N1361" s="11"/>
      <c r="O1361" s="13"/>
      <c r="P1361" s="14"/>
      <c r="Q1361" s="13"/>
      <c r="R1361" s="13"/>
      <c r="S1361" s="15"/>
      <c r="T1361" s="16"/>
      <c r="U1361" s="16"/>
      <c r="V1361" s="16"/>
      <c r="W1361" s="16"/>
      <c r="X1361" s="16"/>
      <c r="Y1361" s="11"/>
      <c r="Z1361" s="11"/>
      <c r="AA1361" s="11"/>
      <c r="AB1361" s="11"/>
      <c r="AC1361" s="11"/>
      <c r="AD1361" s="11"/>
    </row>
    <row r="1362">
      <c r="A1362" s="10"/>
      <c r="B1362" s="10"/>
      <c r="C1362" s="10"/>
      <c r="D1362" s="10"/>
      <c r="E1362" s="10"/>
      <c r="F1362" s="11"/>
      <c r="G1362" s="11"/>
      <c r="H1362" s="11"/>
      <c r="I1362" s="11"/>
      <c r="J1362" s="11" t="str">
        <f>IFERROR(__xludf.DUMMYFUNCTION("IFERROR(FILTER(Stats!$F:$Z,(Stats!$A:$A=$A1362)*(Stats!$B:$B=$B1362)))"),"#REF!")</f>
        <v>#REF!</v>
      </c>
      <c r="K1362" s="11"/>
      <c r="L1362" s="12"/>
      <c r="M1362" s="11"/>
      <c r="N1362" s="11"/>
      <c r="O1362" s="13"/>
      <c r="P1362" s="14"/>
      <c r="Q1362" s="13"/>
      <c r="R1362" s="13"/>
      <c r="S1362" s="15"/>
      <c r="T1362" s="16"/>
      <c r="U1362" s="16"/>
      <c r="V1362" s="16"/>
      <c r="W1362" s="16"/>
      <c r="X1362" s="16"/>
      <c r="Y1362" s="11"/>
      <c r="Z1362" s="11"/>
      <c r="AA1362" s="11"/>
      <c r="AB1362" s="11"/>
      <c r="AC1362" s="11"/>
      <c r="AD1362" s="11"/>
    </row>
    <row r="1363">
      <c r="A1363" s="10"/>
      <c r="B1363" s="10"/>
      <c r="C1363" s="10"/>
      <c r="D1363" s="10"/>
      <c r="E1363" s="10"/>
      <c r="F1363" s="11"/>
      <c r="G1363" s="11"/>
      <c r="H1363" s="11"/>
      <c r="I1363" s="11"/>
      <c r="J1363" s="11" t="str">
        <f>IFERROR(__xludf.DUMMYFUNCTION("IFERROR(FILTER(Stats!$F:$Z,(Stats!$A:$A=$A1363)*(Stats!$B:$B=$B1363)))"),"#REF!")</f>
        <v>#REF!</v>
      </c>
      <c r="K1363" s="11"/>
      <c r="L1363" s="12"/>
      <c r="M1363" s="11"/>
      <c r="N1363" s="11"/>
      <c r="O1363" s="13"/>
      <c r="P1363" s="14"/>
      <c r="Q1363" s="13"/>
      <c r="R1363" s="13"/>
      <c r="S1363" s="15"/>
      <c r="T1363" s="16"/>
      <c r="U1363" s="16"/>
      <c r="V1363" s="16"/>
      <c r="W1363" s="16"/>
      <c r="X1363" s="16"/>
      <c r="Y1363" s="11"/>
      <c r="Z1363" s="11"/>
      <c r="AA1363" s="11"/>
      <c r="AB1363" s="11"/>
      <c r="AC1363" s="11"/>
      <c r="AD1363" s="11"/>
    </row>
    <row r="1364">
      <c r="A1364" s="10"/>
      <c r="B1364" s="10"/>
      <c r="C1364" s="10"/>
      <c r="D1364" s="10"/>
      <c r="E1364" s="10"/>
      <c r="F1364" s="11"/>
      <c r="G1364" s="11"/>
      <c r="H1364" s="11"/>
      <c r="I1364" s="11"/>
      <c r="J1364" s="11" t="str">
        <f>IFERROR(__xludf.DUMMYFUNCTION("IFERROR(FILTER(Stats!$F:$Z,(Stats!$A:$A=$A1364)*(Stats!$B:$B=$B1364)))"),"#REF!")</f>
        <v>#REF!</v>
      </c>
      <c r="K1364" s="11"/>
      <c r="L1364" s="12"/>
      <c r="M1364" s="11"/>
      <c r="N1364" s="11"/>
      <c r="O1364" s="13"/>
      <c r="P1364" s="14"/>
      <c r="Q1364" s="13"/>
      <c r="R1364" s="13"/>
      <c r="S1364" s="15"/>
      <c r="T1364" s="16"/>
      <c r="U1364" s="16"/>
      <c r="V1364" s="16"/>
      <c r="W1364" s="16"/>
      <c r="X1364" s="16"/>
      <c r="Y1364" s="11"/>
      <c r="Z1364" s="11"/>
      <c r="AA1364" s="11"/>
      <c r="AB1364" s="11"/>
      <c r="AC1364" s="11"/>
      <c r="AD1364" s="11"/>
    </row>
    <row r="1365">
      <c r="A1365" s="10"/>
      <c r="B1365" s="10"/>
      <c r="C1365" s="10"/>
      <c r="D1365" s="10"/>
      <c r="E1365" s="10"/>
      <c r="F1365" s="11"/>
      <c r="G1365" s="11"/>
      <c r="H1365" s="11"/>
      <c r="I1365" s="11"/>
      <c r="J1365" s="11" t="str">
        <f>IFERROR(__xludf.DUMMYFUNCTION("IFERROR(FILTER(Stats!$F:$Z,(Stats!$A:$A=$A1365)*(Stats!$B:$B=$B1365)))"),"#REF!")</f>
        <v>#REF!</v>
      </c>
      <c r="K1365" s="11"/>
      <c r="L1365" s="12"/>
      <c r="M1365" s="11"/>
      <c r="N1365" s="11"/>
      <c r="O1365" s="13"/>
      <c r="P1365" s="14"/>
      <c r="Q1365" s="13"/>
      <c r="R1365" s="13"/>
      <c r="S1365" s="15"/>
      <c r="T1365" s="16"/>
      <c r="U1365" s="16"/>
      <c r="V1365" s="16"/>
      <c r="W1365" s="16"/>
      <c r="X1365" s="16"/>
      <c r="Y1365" s="11"/>
      <c r="Z1365" s="11"/>
      <c r="AA1365" s="11"/>
      <c r="AB1365" s="11"/>
      <c r="AC1365" s="11"/>
      <c r="AD1365" s="11"/>
    </row>
    <row r="1366">
      <c r="A1366" s="10"/>
      <c r="B1366" s="10"/>
      <c r="C1366" s="10"/>
      <c r="D1366" s="10"/>
      <c r="E1366" s="10"/>
      <c r="F1366" s="11"/>
      <c r="G1366" s="11"/>
      <c r="H1366" s="11"/>
      <c r="I1366" s="11"/>
      <c r="J1366" s="11" t="str">
        <f>IFERROR(__xludf.DUMMYFUNCTION("IFERROR(FILTER(Stats!$F:$Z,(Stats!$A:$A=$A1366)*(Stats!$B:$B=$B1366)))"),"#REF!")</f>
        <v>#REF!</v>
      </c>
      <c r="K1366" s="11"/>
      <c r="L1366" s="12"/>
      <c r="M1366" s="11"/>
      <c r="N1366" s="11"/>
      <c r="O1366" s="13"/>
      <c r="P1366" s="14"/>
      <c r="Q1366" s="13"/>
      <c r="R1366" s="13"/>
      <c r="S1366" s="15"/>
      <c r="T1366" s="16"/>
      <c r="U1366" s="16"/>
      <c r="V1366" s="16"/>
      <c r="W1366" s="16"/>
      <c r="X1366" s="16"/>
      <c r="Y1366" s="11"/>
      <c r="Z1366" s="11"/>
      <c r="AA1366" s="11"/>
      <c r="AB1366" s="11"/>
      <c r="AC1366" s="11"/>
      <c r="AD1366" s="11"/>
    </row>
    <row r="1367">
      <c r="A1367" s="10"/>
      <c r="B1367" s="10"/>
      <c r="C1367" s="10"/>
      <c r="D1367" s="10"/>
      <c r="E1367" s="10"/>
      <c r="F1367" s="11"/>
      <c r="G1367" s="11"/>
      <c r="H1367" s="11"/>
      <c r="I1367" s="11"/>
      <c r="J1367" s="11" t="str">
        <f>IFERROR(__xludf.DUMMYFUNCTION("IFERROR(FILTER(Stats!$F:$Z,(Stats!$A:$A=$A1367)*(Stats!$B:$B=$B1367)))"),"#REF!")</f>
        <v>#REF!</v>
      </c>
      <c r="K1367" s="11"/>
      <c r="L1367" s="12"/>
      <c r="M1367" s="11"/>
      <c r="N1367" s="11"/>
      <c r="O1367" s="13"/>
      <c r="P1367" s="14"/>
      <c r="Q1367" s="13"/>
      <c r="R1367" s="13"/>
      <c r="S1367" s="15"/>
      <c r="T1367" s="16"/>
      <c r="U1367" s="16"/>
      <c r="V1367" s="16"/>
      <c r="W1367" s="16"/>
      <c r="X1367" s="16"/>
      <c r="Y1367" s="11"/>
      <c r="Z1367" s="11"/>
      <c r="AA1367" s="11"/>
      <c r="AB1367" s="11"/>
      <c r="AC1367" s="11"/>
      <c r="AD1367" s="11"/>
    </row>
    <row r="1368">
      <c r="A1368" s="10"/>
      <c r="B1368" s="10"/>
      <c r="C1368" s="10"/>
      <c r="D1368" s="10"/>
      <c r="E1368" s="10"/>
      <c r="F1368" s="11"/>
      <c r="G1368" s="11"/>
      <c r="H1368" s="11"/>
      <c r="I1368" s="11"/>
      <c r="J1368" s="11" t="str">
        <f>IFERROR(__xludf.DUMMYFUNCTION("IFERROR(FILTER(Stats!$F:$Z,(Stats!$A:$A=$A1368)*(Stats!$B:$B=$B1368)))"),"#REF!")</f>
        <v>#REF!</v>
      </c>
      <c r="K1368" s="11"/>
      <c r="L1368" s="12"/>
      <c r="M1368" s="11"/>
      <c r="N1368" s="11"/>
      <c r="O1368" s="13"/>
      <c r="P1368" s="14"/>
      <c r="Q1368" s="13"/>
      <c r="R1368" s="13"/>
      <c r="S1368" s="15"/>
      <c r="T1368" s="16"/>
      <c r="U1368" s="16"/>
      <c r="V1368" s="16"/>
      <c r="W1368" s="16"/>
      <c r="X1368" s="16"/>
      <c r="Y1368" s="11"/>
      <c r="Z1368" s="11"/>
      <c r="AA1368" s="11"/>
      <c r="AB1368" s="11"/>
      <c r="AC1368" s="11"/>
      <c r="AD1368" s="11"/>
    </row>
    <row r="1369">
      <c r="A1369" s="10"/>
      <c r="B1369" s="10"/>
      <c r="C1369" s="10"/>
      <c r="D1369" s="10"/>
      <c r="E1369" s="10"/>
      <c r="F1369" s="11"/>
      <c r="G1369" s="11"/>
      <c r="H1369" s="11"/>
      <c r="I1369" s="11"/>
      <c r="J1369" s="11" t="str">
        <f>IFERROR(__xludf.DUMMYFUNCTION("IFERROR(FILTER(Stats!$F:$Z,(Stats!$A:$A=$A1369)*(Stats!$B:$B=$B1369)))"),"#REF!")</f>
        <v>#REF!</v>
      </c>
      <c r="K1369" s="11"/>
      <c r="L1369" s="12"/>
      <c r="M1369" s="11"/>
      <c r="N1369" s="11"/>
      <c r="O1369" s="13"/>
      <c r="P1369" s="14"/>
      <c r="Q1369" s="13"/>
      <c r="R1369" s="13"/>
      <c r="S1369" s="15"/>
      <c r="T1369" s="16"/>
      <c r="U1369" s="16"/>
      <c r="V1369" s="16"/>
      <c r="W1369" s="16"/>
      <c r="X1369" s="16"/>
      <c r="Y1369" s="11"/>
      <c r="Z1369" s="11"/>
      <c r="AA1369" s="11"/>
      <c r="AB1369" s="11"/>
      <c r="AC1369" s="11"/>
      <c r="AD1369" s="11"/>
    </row>
    <row r="1370">
      <c r="A1370" s="10"/>
      <c r="B1370" s="10"/>
      <c r="C1370" s="10"/>
      <c r="D1370" s="10"/>
      <c r="E1370" s="10"/>
      <c r="F1370" s="11"/>
      <c r="G1370" s="11"/>
      <c r="H1370" s="11"/>
      <c r="I1370" s="11"/>
      <c r="J1370" s="11" t="str">
        <f>IFERROR(__xludf.DUMMYFUNCTION("IFERROR(FILTER(Stats!$F:$Z,(Stats!$A:$A=$A1370)*(Stats!$B:$B=$B1370)))"),"#REF!")</f>
        <v>#REF!</v>
      </c>
      <c r="K1370" s="11"/>
      <c r="L1370" s="12"/>
      <c r="M1370" s="11"/>
      <c r="N1370" s="11"/>
      <c r="O1370" s="13"/>
      <c r="P1370" s="14"/>
      <c r="Q1370" s="13"/>
      <c r="R1370" s="13"/>
      <c r="S1370" s="15"/>
      <c r="T1370" s="16"/>
      <c r="U1370" s="16"/>
      <c r="V1370" s="16"/>
      <c r="W1370" s="16"/>
      <c r="X1370" s="16"/>
      <c r="Y1370" s="11"/>
      <c r="Z1370" s="11"/>
      <c r="AA1370" s="11"/>
      <c r="AB1370" s="11"/>
      <c r="AC1370" s="11"/>
      <c r="AD1370" s="11"/>
    </row>
    <row r="1371">
      <c r="A1371" s="10"/>
      <c r="B1371" s="10"/>
      <c r="C1371" s="10"/>
      <c r="D1371" s="10"/>
      <c r="E1371" s="10"/>
      <c r="F1371" s="11"/>
      <c r="G1371" s="11"/>
      <c r="H1371" s="11"/>
      <c r="I1371" s="11"/>
      <c r="J1371" s="11" t="str">
        <f>IFERROR(__xludf.DUMMYFUNCTION("IFERROR(FILTER(Stats!$F:$Z,(Stats!$A:$A=$A1371)*(Stats!$B:$B=$B1371)))"),"#REF!")</f>
        <v>#REF!</v>
      </c>
      <c r="K1371" s="11"/>
      <c r="L1371" s="12"/>
      <c r="M1371" s="11"/>
      <c r="N1371" s="11"/>
      <c r="O1371" s="13"/>
      <c r="P1371" s="14"/>
      <c r="Q1371" s="13"/>
      <c r="R1371" s="13"/>
      <c r="S1371" s="15"/>
      <c r="T1371" s="16"/>
      <c r="U1371" s="16"/>
      <c r="V1371" s="16"/>
      <c r="W1371" s="16"/>
      <c r="X1371" s="16"/>
      <c r="Y1371" s="11"/>
      <c r="Z1371" s="11"/>
      <c r="AA1371" s="11"/>
      <c r="AB1371" s="11"/>
      <c r="AC1371" s="11"/>
      <c r="AD1371" s="11"/>
    </row>
    <row r="1372">
      <c r="A1372" s="10"/>
      <c r="B1372" s="10"/>
      <c r="C1372" s="10"/>
      <c r="D1372" s="10"/>
      <c r="E1372" s="10"/>
      <c r="F1372" s="11"/>
      <c r="G1372" s="11"/>
      <c r="H1372" s="11"/>
      <c r="I1372" s="11"/>
      <c r="J1372" s="11" t="str">
        <f>IFERROR(__xludf.DUMMYFUNCTION("IFERROR(FILTER(Stats!$F:$Z,(Stats!$A:$A=$A1372)*(Stats!$B:$B=$B1372)))"),"#REF!")</f>
        <v>#REF!</v>
      </c>
      <c r="K1372" s="11"/>
      <c r="L1372" s="12"/>
      <c r="M1372" s="11"/>
      <c r="N1372" s="11"/>
      <c r="O1372" s="13"/>
      <c r="P1372" s="14"/>
      <c r="Q1372" s="13"/>
      <c r="R1372" s="13"/>
      <c r="S1372" s="15"/>
      <c r="T1372" s="16"/>
      <c r="U1372" s="16"/>
      <c r="V1372" s="16"/>
      <c r="W1372" s="16"/>
      <c r="X1372" s="16"/>
      <c r="Y1372" s="11"/>
      <c r="Z1372" s="11"/>
      <c r="AA1372" s="11"/>
      <c r="AB1372" s="11"/>
      <c r="AC1372" s="11"/>
      <c r="AD1372" s="11"/>
    </row>
    <row r="1373">
      <c r="A1373" s="10"/>
      <c r="B1373" s="10"/>
      <c r="C1373" s="10"/>
      <c r="D1373" s="10"/>
      <c r="E1373" s="10"/>
      <c r="F1373" s="11"/>
      <c r="G1373" s="11"/>
      <c r="H1373" s="11"/>
      <c r="I1373" s="11"/>
      <c r="J1373" s="11" t="str">
        <f>IFERROR(__xludf.DUMMYFUNCTION("IFERROR(FILTER(Stats!$F:$Z,(Stats!$A:$A=$A1373)*(Stats!$B:$B=$B1373)))"),"#REF!")</f>
        <v>#REF!</v>
      </c>
      <c r="K1373" s="11"/>
      <c r="L1373" s="12"/>
      <c r="M1373" s="11"/>
      <c r="N1373" s="11"/>
      <c r="O1373" s="13"/>
      <c r="P1373" s="14"/>
      <c r="Q1373" s="13"/>
      <c r="R1373" s="13"/>
      <c r="S1373" s="15"/>
      <c r="T1373" s="16"/>
      <c r="U1373" s="16"/>
      <c r="V1373" s="16"/>
      <c r="W1373" s="16"/>
      <c r="X1373" s="16"/>
      <c r="Y1373" s="11"/>
      <c r="Z1373" s="11"/>
      <c r="AA1373" s="11"/>
      <c r="AB1373" s="11"/>
      <c r="AC1373" s="11"/>
      <c r="AD1373" s="11"/>
    </row>
    <row r="1374">
      <c r="A1374" s="10"/>
      <c r="B1374" s="10"/>
      <c r="C1374" s="10"/>
      <c r="D1374" s="10"/>
      <c r="E1374" s="10"/>
      <c r="F1374" s="11"/>
      <c r="G1374" s="11"/>
      <c r="H1374" s="11"/>
      <c r="I1374" s="11"/>
      <c r="J1374" s="11" t="str">
        <f>IFERROR(__xludf.DUMMYFUNCTION("IFERROR(FILTER(Stats!$F:$Z,(Stats!$A:$A=$A1374)*(Stats!$B:$B=$B1374)))"),"#REF!")</f>
        <v>#REF!</v>
      </c>
      <c r="K1374" s="11"/>
      <c r="L1374" s="12"/>
      <c r="M1374" s="11"/>
      <c r="N1374" s="11"/>
      <c r="O1374" s="13"/>
      <c r="P1374" s="14"/>
      <c r="Q1374" s="13"/>
      <c r="R1374" s="13"/>
      <c r="S1374" s="15"/>
      <c r="T1374" s="16"/>
      <c r="U1374" s="16"/>
      <c r="V1374" s="16"/>
      <c r="W1374" s="16"/>
      <c r="X1374" s="16"/>
      <c r="Y1374" s="11"/>
      <c r="Z1374" s="11"/>
      <c r="AA1374" s="11"/>
      <c r="AB1374" s="11"/>
      <c r="AC1374" s="11"/>
      <c r="AD1374" s="11"/>
    </row>
    <row r="1375">
      <c r="A1375" s="10"/>
      <c r="B1375" s="10"/>
      <c r="C1375" s="10"/>
      <c r="D1375" s="10"/>
      <c r="E1375" s="10"/>
      <c r="F1375" s="11"/>
      <c r="G1375" s="11"/>
      <c r="H1375" s="11"/>
      <c r="I1375" s="11"/>
      <c r="J1375" s="11" t="str">
        <f>IFERROR(__xludf.DUMMYFUNCTION("IFERROR(FILTER(Stats!$F:$Z,(Stats!$A:$A=$A1375)*(Stats!$B:$B=$B1375)))"),"#REF!")</f>
        <v>#REF!</v>
      </c>
      <c r="K1375" s="11"/>
      <c r="L1375" s="12"/>
      <c r="M1375" s="11"/>
      <c r="N1375" s="11"/>
      <c r="O1375" s="13"/>
      <c r="P1375" s="14"/>
      <c r="Q1375" s="13"/>
      <c r="R1375" s="13"/>
      <c r="S1375" s="15"/>
      <c r="T1375" s="16"/>
      <c r="U1375" s="16"/>
      <c r="V1375" s="16"/>
      <c r="W1375" s="16"/>
      <c r="X1375" s="16"/>
      <c r="Y1375" s="11"/>
      <c r="Z1375" s="11"/>
      <c r="AA1375" s="11"/>
      <c r="AB1375" s="11"/>
      <c r="AC1375" s="11"/>
      <c r="AD1375" s="11"/>
    </row>
    <row r="1376">
      <c r="A1376" s="10"/>
      <c r="B1376" s="10"/>
      <c r="C1376" s="10"/>
      <c r="D1376" s="10"/>
      <c r="E1376" s="10"/>
      <c r="F1376" s="11"/>
      <c r="G1376" s="11"/>
      <c r="H1376" s="11"/>
      <c r="I1376" s="11"/>
      <c r="J1376" s="11" t="str">
        <f>IFERROR(__xludf.DUMMYFUNCTION("IFERROR(FILTER(Stats!$F:$Z,(Stats!$A:$A=$A1376)*(Stats!$B:$B=$B1376)))"),"#REF!")</f>
        <v>#REF!</v>
      </c>
      <c r="K1376" s="11"/>
      <c r="L1376" s="12"/>
      <c r="M1376" s="11"/>
      <c r="N1376" s="11"/>
      <c r="O1376" s="13"/>
      <c r="P1376" s="14"/>
      <c r="Q1376" s="13"/>
      <c r="R1376" s="13"/>
      <c r="S1376" s="15"/>
      <c r="T1376" s="16"/>
      <c r="U1376" s="16"/>
      <c r="V1376" s="16"/>
      <c r="W1376" s="16"/>
      <c r="X1376" s="16"/>
      <c r="Y1376" s="11"/>
      <c r="Z1376" s="11"/>
      <c r="AA1376" s="11"/>
      <c r="AB1376" s="11"/>
      <c r="AC1376" s="11"/>
      <c r="AD1376" s="11"/>
    </row>
    <row r="1377">
      <c r="A1377" s="10"/>
      <c r="B1377" s="10"/>
      <c r="C1377" s="10"/>
      <c r="D1377" s="10"/>
      <c r="E1377" s="10"/>
      <c r="F1377" s="11"/>
      <c r="G1377" s="11"/>
      <c r="H1377" s="11"/>
      <c r="I1377" s="11"/>
      <c r="J1377" s="11" t="str">
        <f>IFERROR(__xludf.DUMMYFUNCTION("IFERROR(FILTER(Stats!$F:$Z,(Stats!$A:$A=$A1377)*(Stats!$B:$B=$B1377)))"),"#REF!")</f>
        <v>#REF!</v>
      </c>
      <c r="K1377" s="11"/>
      <c r="L1377" s="12"/>
      <c r="M1377" s="11"/>
      <c r="N1377" s="11"/>
      <c r="O1377" s="13"/>
      <c r="P1377" s="14"/>
      <c r="Q1377" s="13"/>
      <c r="R1377" s="13"/>
      <c r="S1377" s="15"/>
      <c r="T1377" s="16"/>
      <c r="U1377" s="16"/>
      <c r="V1377" s="16"/>
      <c r="W1377" s="16"/>
      <c r="X1377" s="16"/>
      <c r="Y1377" s="11"/>
      <c r="Z1377" s="11"/>
      <c r="AA1377" s="11"/>
      <c r="AB1377" s="11"/>
      <c r="AC1377" s="11"/>
      <c r="AD1377" s="11"/>
    </row>
    <row r="1378">
      <c r="A1378" s="10"/>
      <c r="B1378" s="10"/>
      <c r="C1378" s="10"/>
      <c r="D1378" s="10"/>
      <c r="E1378" s="10"/>
      <c r="F1378" s="11"/>
      <c r="G1378" s="11"/>
      <c r="H1378" s="11"/>
      <c r="I1378" s="11"/>
      <c r="J1378" s="11" t="str">
        <f>IFERROR(__xludf.DUMMYFUNCTION("IFERROR(FILTER(Stats!$F:$Z,(Stats!$A:$A=$A1378)*(Stats!$B:$B=$B1378)))"),"#REF!")</f>
        <v>#REF!</v>
      </c>
      <c r="K1378" s="11"/>
      <c r="L1378" s="12"/>
      <c r="M1378" s="11"/>
      <c r="N1378" s="11"/>
      <c r="O1378" s="13"/>
      <c r="P1378" s="14"/>
      <c r="Q1378" s="13"/>
      <c r="R1378" s="13"/>
      <c r="S1378" s="15"/>
      <c r="T1378" s="16"/>
      <c r="U1378" s="16"/>
      <c r="V1378" s="16"/>
      <c r="W1378" s="16"/>
      <c r="X1378" s="16"/>
      <c r="Y1378" s="11"/>
      <c r="Z1378" s="11"/>
      <c r="AA1378" s="11"/>
      <c r="AB1378" s="11"/>
      <c r="AC1378" s="11"/>
      <c r="AD1378" s="11"/>
    </row>
    <row r="1379">
      <c r="A1379" s="10"/>
      <c r="B1379" s="10"/>
      <c r="C1379" s="10"/>
      <c r="D1379" s="10"/>
      <c r="E1379" s="10"/>
      <c r="F1379" s="11"/>
      <c r="G1379" s="11"/>
      <c r="H1379" s="11"/>
      <c r="I1379" s="11"/>
      <c r="J1379" s="11" t="str">
        <f>IFERROR(__xludf.DUMMYFUNCTION("IFERROR(FILTER(Stats!$F:$Z,(Stats!$A:$A=$A1379)*(Stats!$B:$B=$B1379)))"),"#REF!")</f>
        <v>#REF!</v>
      </c>
      <c r="K1379" s="11"/>
      <c r="L1379" s="12"/>
      <c r="M1379" s="11"/>
      <c r="N1379" s="11"/>
      <c r="O1379" s="13"/>
      <c r="P1379" s="14"/>
      <c r="Q1379" s="13"/>
      <c r="R1379" s="13"/>
      <c r="S1379" s="15"/>
      <c r="T1379" s="16"/>
      <c r="U1379" s="16"/>
      <c r="V1379" s="16"/>
      <c r="W1379" s="16"/>
      <c r="X1379" s="16"/>
      <c r="Y1379" s="11"/>
      <c r="Z1379" s="11"/>
      <c r="AA1379" s="11"/>
      <c r="AB1379" s="11"/>
      <c r="AC1379" s="11"/>
      <c r="AD1379" s="11"/>
    </row>
    <row r="1380">
      <c r="A1380" s="10"/>
      <c r="B1380" s="10"/>
      <c r="C1380" s="10"/>
      <c r="D1380" s="10"/>
      <c r="E1380" s="10"/>
      <c r="F1380" s="11"/>
      <c r="G1380" s="11"/>
      <c r="H1380" s="11"/>
      <c r="I1380" s="11"/>
      <c r="J1380" s="11" t="str">
        <f>IFERROR(__xludf.DUMMYFUNCTION("IFERROR(FILTER(Stats!$F:$Z,(Stats!$A:$A=$A1380)*(Stats!$B:$B=$B1380)))"),"#REF!")</f>
        <v>#REF!</v>
      </c>
      <c r="K1380" s="11"/>
      <c r="L1380" s="12"/>
      <c r="M1380" s="11"/>
      <c r="N1380" s="11"/>
      <c r="O1380" s="13"/>
      <c r="P1380" s="14"/>
      <c r="Q1380" s="13"/>
      <c r="R1380" s="13"/>
      <c r="S1380" s="15"/>
      <c r="T1380" s="16"/>
      <c r="U1380" s="16"/>
      <c r="V1380" s="16"/>
      <c r="W1380" s="16"/>
      <c r="X1380" s="16"/>
      <c r="Y1380" s="11"/>
      <c r="Z1380" s="11"/>
      <c r="AA1380" s="11"/>
      <c r="AB1380" s="11"/>
      <c r="AC1380" s="11"/>
      <c r="AD1380" s="11"/>
    </row>
    <row r="1381">
      <c r="A1381" s="10"/>
      <c r="B1381" s="10"/>
      <c r="C1381" s="10"/>
      <c r="D1381" s="10"/>
      <c r="E1381" s="10"/>
      <c r="F1381" s="11"/>
      <c r="G1381" s="11"/>
      <c r="H1381" s="11"/>
      <c r="I1381" s="11"/>
      <c r="J1381" s="11" t="str">
        <f>IFERROR(__xludf.DUMMYFUNCTION("IFERROR(FILTER(Stats!$F:$Z,(Stats!$A:$A=$A1381)*(Stats!$B:$B=$B1381)))"),"#REF!")</f>
        <v>#REF!</v>
      </c>
      <c r="K1381" s="11"/>
      <c r="L1381" s="12"/>
      <c r="M1381" s="11"/>
      <c r="N1381" s="11"/>
      <c r="O1381" s="13"/>
      <c r="P1381" s="14"/>
      <c r="Q1381" s="13"/>
      <c r="R1381" s="13"/>
      <c r="S1381" s="15"/>
      <c r="T1381" s="16"/>
      <c r="U1381" s="16"/>
      <c r="V1381" s="16"/>
      <c r="W1381" s="16"/>
      <c r="X1381" s="16"/>
      <c r="Y1381" s="11"/>
      <c r="Z1381" s="11"/>
      <c r="AA1381" s="11"/>
      <c r="AB1381" s="11"/>
      <c r="AC1381" s="11"/>
      <c r="AD1381" s="11"/>
    </row>
    <row r="1382">
      <c r="A1382" s="10"/>
      <c r="B1382" s="10"/>
      <c r="C1382" s="10"/>
      <c r="D1382" s="10"/>
      <c r="E1382" s="10"/>
      <c r="F1382" s="11"/>
      <c r="G1382" s="11"/>
      <c r="H1382" s="11"/>
      <c r="I1382" s="11"/>
      <c r="J1382" s="11" t="str">
        <f>IFERROR(__xludf.DUMMYFUNCTION("IFERROR(FILTER(Stats!$F:$Z,(Stats!$A:$A=$A1382)*(Stats!$B:$B=$B1382)))"),"#REF!")</f>
        <v>#REF!</v>
      </c>
      <c r="K1382" s="11"/>
      <c r="L1382" s="12"/>
      <c r="M1382" s="11"/>
      <c r="N1382" s="11"/>
      <c r="O1382" s="13"/>
      <c r="P1382" s="14"/>
      <c r="Q1382" s="13"/>
      <c r="R1382" s="13"/>
      <c r="S1382" s="15"/>
      <c r="T1382" s="16"/>
      <c r="U1382" s="16"/>
      <c r="V1382" s="16"/>
      <c r="W1382" s="16"/>
      <c r="X1382" s="16"/>
      <c r="Y1382" s="11"/>
      <c r="Z1382" s="11"/>
      <c r="AA1382" s="11"/>
      <c r="AB1382" s="11"/>
      <c r="AC1382" s="11"/>
      <c r="AD1382" s="11"/>
    </row>
    <row r="1383">
      <c r="A1383" s="10"/>
      <c r="B1383" s="10"/>
      <c r="C1383" s="10"/>
      <c r="D1383" s="10"/>
      <c r="E1383" s="10"/>
      <c r="F1383" s="11"/>
      <c r="G1383" s="11"/>
      <c r="H1383" s="11"/>
      <c r="I1383" s="11"/>
      <c r="J1383" s="11" t="str">
        <f>IFERROR(__xludf.DUMMYFUNCTION("IFERROR(FILTER(Stats!$F:$Z,(Stats!$A:$A=$A1383)*(Stats!$B:$B=$B1383)))"),"#REF!")</f>
        <v>#REF!</v>
      </c>
      <c r="K1383" s="11"/>
      <c r="L1383" s="12"/>
      <c r="M1383" s="11"/>
      <c r="N1383" s="11"/>
      <c r="O1383" s="13"/>
      <c r="P1383" s="14"/>
      <c r="Q1383" s="13"/>
      <c r="R1383" s="13"/>
      <c r="S1383" s="15"/>
      <c r="T1383" s="16"/>
      <c r="U1383" s="16"/>
      <c r="V1383" s="16"/>
      <c r="W1383" s="16"/>
      <c r="X1383" s="16"/>
      <c r="Y1383" s="11"/>
      <c r="Z1383" s="11"/>
      <c r="AA1383" s="11"/>
      <c r="AB1383" s="11"/>
      <c r="AC1383" s="11"/>
      <c r="AD1383" s="11"/>
    </row>
    <row r="1384">
      <c r="A1384" s="10"/>
      <c r="B1384" s="10"/>
      <c r="C1384" s="10"/>
      <c r="D1384" s="10"/>
      <c r="E1384" s="10"/>
      <c r="F1384" s="11"/>
      <c r="G1384" s="11"/>
      <c r="H1384" s="11"/>
      <c r="I1384" s="11"/>
      <c r="J1384" s="11" t="str">
        <f>IFERROR(__xludf.DUMMYFUNCTION("IFERROR(FILTER(Stats!$F:$Z,(Stats!$A:$A=$A1384)*(Stats!$B:$B=$B1384)))"),"#REF!")</f>
        <v>#REF!</v>
      </c>
      <c r="K1384" s="11"/>
      <c r="L1384" s="12"/>
      <c r="M1384" s="11"/>
      <c r="N1384" s="11"/>
      <c r="O1384" s="13"/>
      <c r="P1384" s="14"/>
      <c r="Q1384" s="13"/>
      <c r="R1384" s="13"/>
      <c r="S1384" s="15"/>
      <c r="T1384" s="16"/>
      <c r="U1384" s="16"/>
      <c r="V1384" s="16"/>
      <c r="W1384" s="16"/>
      <c r="X1384" s="16"/>
      <c r="Y1384" s="11"/>
      <c r="Z1384" s="11"/>
      <c r="AA1384" s="11"/>
      <c r="AB1384" s="11"/>
      <c r="AC1384" s="11"/>
      <c r="AD1384" s="11"/>
    </row>
    <row r="1385">
      <c r="A1385" s="10"/>
      <c r="B1385" s="10"/>
      <c r="C1385" s="10"/>
      <c r="D1385" s="10"/>
      <c r="E1385" s="10"/>
      <c r="F1385" s="11"/>
      <c r="G1385" s="11"/>
      <c r="H1385" s="11"/>
      <c r="I1385" s="11"/>
      <c r="J1385" s="11" t="str">
        <f>IFERROR(__xludf.DUMMYFUNCTION("IFERROR(FILTER(Stats!$F:$Z,(Stats!$A:$A=$A1385)*(Stats!$B:$B=$B1385)))"),"#REF!")</f>
        <v>#REF!</v>
      </c>
      <c r="K1385" s="11"/>
      <c r="L1385" s="12"/>
      <c r="M1385" s="11"/>
      <c r="N1385" s="11"/>
      <c r="O1385" s="13"/>
      <c r="P1385" s="14"/>
      <c r="Q1385" s="13"/>
      <c r="R1385" s="13"/>
      <c r="S1385" s="15"/>
      <c r="T1385" s="16"/>
      <c r="U1385" s="16"/>
      <c r="V1385" s="16"/>
      <c r="W1385" s="16"/>
      <c r="X1385" s="16"/>
      <c r="Y1385" s="11"/>
      <c r="Z1385" s="11"/>
      <c r="AA1385" s="11"/>
      <c r="AB1385" s="11"/>
      <c r="AC1385" s="11"/>
      <c r="AD1385" s="11"/>
    </row>
    <row r="1386">
      <c r="A1386" s="10"/>
      <c r="B1386" s="10"/>
      <c r="C1386" s="10"/>
      <c r="D1386" s="10"/>
      <c r="E1386" s="10"/>
      <c r="F1386" s="11"/>
      <c r="G1386" s="11"/>
      <c r="H1386" s="11"/>
      <c r="I1386" s="11"/>
      <c r="J1386" s="11" t="str">
        <f>IFERROR(__xludf.DUMMYFUNCTION("IFERROR(FILTER(Stats!$F:$Z,(Stats!$A:$A=$A1386)*(Stats!$B:$B=$B1386)))"),"#REF!")</f>
        <v>#REF!</v>
      </c>
      <c r="K1386" s="11"/>
      <c r="L1386" s="12"/>
      <c r="M1386" s="11"/>
      <c r="N1386" s="11"/>
      <c r="O1386" s="13"/>
      <c r="P1386" s="14"/>
      <c r="Q1386" s="13"/>
      <c r="R1386" s="13"/>
      <c r="S1386" s="15"/>
      <c r="T1386" s="16"/>
      <c r="U1386" s="16"/>
      <c r="V1386" s="16"/>
      <c r="W1386" s="16"/>
      <c r="X1386" s="16"/>
      <c r="Y1386" s="11"/>
      <c r="Z1386" s="11"/>
      <c r="AA1386" s="11"/>
      <c r="AB1386" s="11"/>
      <c r="AC1386" s="11"/>
      <c r="AD1386" s="11"/>
    </row>
    <row r="1387">
      <c r="A1387" s="10"/>
      <c r="B1387" s="10"/>
      <c r="C1387" s="10"/>
      <c r="D1387" s="10"/>
      <c r="E1387" s="10"/>
      <c r="F1387" s="11"/>
      <c r="G1387" s="11"/>
      <c r="H1387" s="11"/>
      <c r="I1387" s="11"/>
      <c r="J1387" s="11" t="str">
        <f>IFERROR(__xludf.DUMMYFUNCTION("IFERROR(FILTER(Stats!$F:$Z,(Stats!$A:$A=$A1387)*(Stats!$B:$B=$B1387)))"),"#REF!")</f>
        <v>#REF!</v>
      </c>
      <c r="K1387" s="11"/>
      <c r="L1387" s="12"/>
      <c r="M1387" s="11"/>
      <c r="N1387" s="11"/>
      <c r="O1387" s="13"/>
      <c r="P1387" s="14"/>
      <c r="Q1387" s="13"/>
      <c r="R1387" s="13"/>
      <c r="S1387" s="15"/>
      <c r="T1387" s="16"/>
      <c r="U1387" s="16"/>
      <c r="V1387" s="16"/>
      <c r="W1387" s="16"/>
      <c r="X1387" s="16"/>
      <c r="Y1387" s="11"/>
      <c r="Z1387" s="11"/>
      <c r="AA1387" s="11"/>
      <c r="AB1387" s="11"/>
      <c r="AC1387" s="11"/>
      <c r="AD1387" s="11"/>
    </row>
    <row r="1388">
      <c r="A1388" s="10"/>
      <c r="B1388" s="10"/>
      <c r="C1388" s="10"/>
      <c r="D1388" s="10"/>
      <c r="E1388" s="10"/>
      <c r="F1388" s="11"/>
      <c r="G1388" s="11"/>
      <c r="H1388" s="11"/>
      <c r="I1388" s="11"/>
      <c r="J1388" s="11" t="str">
        <f>IFERROR(__xludf.DUMMYFUNCTION("IFERROR(FILTER(Stats!$F:$Z,(Stats!$A:$A=$A1388)*(Stats!$B:$B=$B1388)))"),"#REF!")</f>
        <v>#REF!</v>
      </c>
      <c r="K1388" s="11"/>
      <c r="L1388" s="12"/>
      <c r="M1388" s="11"/>
      <c r="N1388" s="11"/>
      <c r="O1388" s="13"/>
      <c r="P1388" s="14"/>
      <c r="Q1388" s="13"/>
      <c r="R1388" s="13"/>
      <c r="S1388" s="15"/>
      <c r="T1388" s="16"/>
      <c r="U1388" s="16"/>
      <c r="V1388" s="16"/>
      <c r="W1388" s="16"/>
      <c r="X1388" s="16"/>
      <c r="Y1388" s="11"/>
      <c r="Z1388" s="11"/>
      <c r="AA1388" s="11"/>
      <c r="AB1388" s="11"/>
      <c r="AC1388" s="11"/>
      <c r="AD1388" s="11"/>
    </row>
    <row r="1389">
      <c r="A1389" s="10"/>
      <c r="B1389" s="10"/>
      <c r="C1389" s="10"/>
      <c r="D1389" s="10"/>
      <c r="E1389" s="10"/>
      <c r="F1389" s="11"/>
      <c r="G1389" s="11"/>
      <c r="H1389" s="11"/>
      <c r="I1389" s="11"/>
      <c r="J1389" s="11" t="str">
        <f>IFERROR(__xludf.DUMMYFUNCTION("IFERROR(FILTER(Stats!$F:$Z,(Stats!$A:$A=$A1389)*(Stats!$B:$B=$B1389)))"),"#REF!")</f>
        <v>#REF!</v>
      </c>
      <c r="K1389" s="11"/>
      <c r="L1389" s="12"/>
      <c r="M1389" s="11"/>
      <c r="N1389" s="11"/>
      <c r="O1389" s="13"/>
      <c r="P1389" s="14"/>
      <c r="Q1389" s="13"/>
      <c r="R1389" s="13"/>
      <c r="S1389" s="15"/>
      <c r="T1389" s="16"/>
      <c r="U1389" s="16"/>
      <c r="V1389" s="16"/>
      <c r="W1389" s="16"/>
      <c r="X1389" s="16"/>
      <c r="Y1389" s="11"/>
      <c r="Z1389" s="11"/>
      <c r="AA1389" s="11"/>
      <c r="AB1389" s="11"/>
      <c r="AC1389" s="11"/>
      <c r="AD1389" s="11"/>
    </row>
    <row r="1390">
      <c r="A1390" s="10"/>
      <c r="B1390" s="10"/>
      <c r="C1390" s="10"/>
      <c r="D1390" s="10"/>
      <c r="E1390" s="10"/>
      <c r="F1390" s="11"/>
      <c r="G1390" s="11"/>
      <c r="H1390" s="11"/>
      <c r="I1390" s="11"/>
      <c r="J1390" s="11" t="str">
        <f>IFERROR(__xludf.DUMMYFUNCTION("IFERROR(FILTER(Stats!$F:$Z,(Stats!$A:$A=$A1390)*(Stats!$B:$B=$B1390)))"),"#REF!")</f>
        <v>#REF!</v>
      </c>
      <c r="K1390" s="11"/>
      <c r="L1390" s="12"/>
      <c r="M1390" s="11"/>
      <c r="N1390" s="11"/>
      <c r="O1390" s="13"/>
      <c r="P1390" s="14"/>
      <c r="Q1390" s="13"/>
      <c r="R1390" s="13"/>
      <c r="S1390" s="15"/>
      <c r="T1390" s="16"/>
      <c r="U1390" s="16"/>
      <c r="V1390" s="16"/>
      <c r="W1390" s="16"/>
      <c r="X1390" s="16"/>
      <c r="Y1390" s="11"/>
      <c r="Z1390" s="11"/>
      <c r="AA1390" s="11"/>
      <c r="AB1390" s="11"/>
      <c r="AC1390" s="11"/>
      <c r="AD1390" s="11"/>
    </row>
    <row r="1391">
      <c r="A1391" s="10"/>
      <c r="B1391" s="10"/>
      <c r="C1391" s="10"/>
      <c r="D1391" s="10"/>
      <c r="E1391" s="10"/>
      <c r="F1391" s="11"/>
      <c r="G1391" s="11"/>
      <c r="H1391" s="11"/>
      <c r="I1391" s="11"/>
      <c r="J1391" s="11" t="str">
        <f>IFERROR(__xludf.DUMMYFUNCTION("IFERROR(FILTER(Stats!$F:$Z,(Stats!$A:$A=$A1391)*(Stats!$B:$B=$B1391)))"),"#REF!")</f>
        <v>#REF!</v>
      </c>
      <c r="K1391" s="11"/>
      <c r="L1391" s="12"/>
      <c r="M1391" s="11"/>
      <c r="N1391" s="11"/>
      <c r="O1391" s="13"/>
      <c r="P1391" s="14"/>
      <c r="Q1391" s="13"/>
      <c r="R1391" s="13"/>
      <c r="S1391" s="15"/>
      <c r="T1391" s="16"/>
      <c r="U1391" s="16"/>
      <c r="V1391" s="16"/>
      <c r="W1391" s="16"/>
      <c r="X1391" s="16"/>
      <c r="Y1391" s="11"/>
      <c r="Z1391" s="11"/>
      <c r="AA1391" s="11"/>
      <c r="AB1391" s="11"/>
      <c r="AC1391" s="11"/>
      <c r="AD1391" s="11"/>
    </row>
    <row r="1392">
      <c r="A1392" s="10"/>
      <c r="B1392" s="10"/>
      <c r="C1392" s="10"/>
      <c r="D1392" s="10"/>
      <c r="E1392" s="10"/>
      <c r="F1392" s="11"/>
      <c r="G1392" s="11"/>
      <c r="H1392" s="11"/>
      <c r="I1392" s="11"/>
      <c r="J1392" s="11" t="str">
        <f>IFERROR(__xludf.DUMMYFUNCTION("IFERROR(FILTER(Stats!$F:$Z,(Stats!$A:$A=$A1392)*(Stats!$B:$B=$B1392)))"),"#REF!")</f>
        <v>#REF!</v>
      </c>
      <c r="K1392" s="11"/>
      <c r="L1392" s="12"/>
      <c r="M1392" s="11"/>
      <c r="N1392" s="11"/>
      <c r="O1392" s="13"/>
      <c r="P1392" s="14"/>
      <c r="Q1392" s="13"/>
      <c r="R1392" s="13"/>
      <c r="S1392" s="15"/>
      <c r="T1392" s="16"/>
      <c r="U1392" s="16"/>
      <c r="V1392" s="16"/>
      <c r="W1392" s="16"/>
      <c r="X1392" s="16"/>
      <c r="Y1392" s="11"/>
      <c r="Z1392" s="11"/>
      <c r="AA1392" s="11"/>
      <c r="AB1392" s="11"/>
      <c r="AC1392" s="11"/>
      <c r="AD1392" s="11"/>
    </row>
    <row r="1393">
      <c r="A1393" s="10"/>
      <c r="B1393" s="10"/>
      <c r="C1393" s="10"/>
      <c r="D1393" s="10"/>
      <c r="E1393" s="10"/>
      <c r="F1393" s="11"/>
      <c r="G1393" s="11"/>
      <c r="H1393" s="11"/>
      <c r="I1393" s="11"/>
      <c r="J1393" s="11" t="str">
        <f>IFERROR(__xludf.DUMMYFUNCTION("IFERROR(FILTER(Stats!$F:$Z,(Stats!$A:$A=$A1393)*(Stats!$B:$B=$B1393)))"),"#REF!")</f>
        <v>#REF!</v>
      </c>
      <c r="K1393" s="11"/>
      <c r="L1393" s="12"/>
      <c r="M1393" s="11"/>
      <c r="N1393" s="11"/>
      <c r="O1393" s="13"/>
      <c r="P1393" s="14"/>
      <c r="Q1393" s="13"/>
      <c r="R1393" s="13"/>
      <c r="S1393" s="15"/>
      <c r="T1393" s="16"/>
      <c r="U1393" s="16"/>
      <c r="V1393" s="16"/>
      <c r="W1393" s="16"/>
      <c r="X1393" s="16"/>
      <c r="Y1393" s="11"/>
      <c r="Z1393" s="11"/>
      <c r="AA1393" s="11"/>
      <c r="AB1393" s="11"/>
      <c r="AC1393" s="11"/>
      <c r="AD1393" s="11"/>
    </row>
    <row r="1394">
      <c r="A1394" s="10"/>
      <c r="B1394" s="10"/>
      <c r="C1394" s="10"/>
      <c r="D1394" s="10"/>
      <c r="E1394" s="10"/>
      <c r="F1394" s="11"/>
      <c r="G1394" s="11"/>
      <c r="H1394" s="11"/>
      <c r="I1394" s="11"/>
      <c r="J1394" s="11" t="str">
        <f>IFERROR(__xludf.DUMMYFUNCTION("IFERROR(FILTER(Stats!$F:$Z,(Stats!$A:$A=$A1394)*(Stats!$B:$B=$B1394)))"),"#REF!")</f>
        <v>#REF!</v>
      </c>
      <c r="K1394" s="11"/>
      <c r="L1394" s="12"/>
      <c r="M1394" s="11"/>
      <c r="N1394" s="11"/>
      <c r="O1394" s="13"/>
      <c r="P1394" s="14"/>
      <c r="Q1394" s="13"/>
      <c r="R1394" s="13"/>
      <c r="S1394" s="15"/>
      <c r="T1394" s="16"/>
      <c r="U1394" s="16"/>
      <c r="V1394" s="16"/>
      <c r="W1394" s="16"/>
      <c r="X1394" s="16"/>
      <c r="Y1394" s="11"/>
      <c r="Z1394" s="11"/>
      <c r="AA1394" s="11"/>
      <c r="AB1394" s="11"/>
      <c r="AC1394" s="11"/>
      <c r="AD1394" s="11"/>
    </row>
    <row r="1395">
      <c r="A1395" s="10"/>
      <c r="B1395" s="10"/>
      <c r="C1395" s="10"/>
      <c r="D1395" s="10"/>
      <c r="E1395" s="10"/>
      <c r="F1395" s="11"/>
      <c r="G1395" s="11"/>
      <c r="H1395" s="11"/>
      <c r="I1395" s="11"/>
      <c r="J1395" s="11" t="str">
        <f>IFERROR(__xludf.DUMMYFUNCTION("IFERROR(FILTER(Stats!$F:$Z,(Stats!$A:$A=$A1395)*(Stats!$B:$B=$B1395)))"),"#REF!")</f>
        <v>#REF!</v>
      </c>
      <c r="K1395" s="11"/>
      <c r="L1395" s="12"/>
      <c r="M1395" s="11"/>
      <c r="N1395" s="11"/>
      <c r="O1395" s="13"/>
      <c r="P1395" s="14"/>
      <c r="Q1395" s="13"/>
      <c r="R1395" s="13"/>
      <c r="S1395" s="15"/>
      <c r="T1395" s="16"/>
      <c r="U1395" s="16"/>
      <c r="V1395" s="16"/>
      <c r="W1395" s="16"/>
      <c r="X1395" s="16"/>
      <c r="Y1395" s="11"/>
      <c r="Z1395" s="11"/>
      <c r="AA1395" s="11"/>
      <c r="AB1395" s="11"/>
      <c r="AC1395" s="11"/>
      <c r="AD1395" s="11"/>
    </row>
    <row r="1396">
      <c r="A1396" s="10"/>
      <c r="B1396" s="10"/>
      <c r="C1396" s="10"/>
      <c r="D1396" s="10"/>
      <c r="E1396" s="10"/>
      <c r="F1396" s="11"/>
      <c r="G1396" s="11"/>
      <c r="H1396" s="11"/>
      <c r="I1396" s="11"/>
      <c r="J1396" s="11" t="str">
        <f>IFERROR(__xludf.DUMMYFUNCTION("IFERROR(FILTER(Stats!$F:$Z,(Stats!$A:$A=$A1396)*(Stats!$B:$B=$B1396)))"),"#REF!")</f>
        <v>#REF!</v>
      </c>
      <c r="K1396" s="11"/>
      <c r="L1396" s="12"/>
      <c r="M1396" s="11"/>
      <c r="N1396" s="11"/>
      <c r="O1396" s="13"/>
      <c r="P1396" s="14"/>
      <c r="Q1396" s="13"/>
      <c r="R1396" s="13"/>
      <c r="S1396" s="15"/>
      <c r="T1396" s="16"/>
      <c r="U1396" s="16"/>
      <c r="V1396" s="16"/>
      <c r="W1396" s="16"/>
      <c r="X1396" s="16"/>
      <c r="Y1396" s="11"/>
      <c r="Z1396" s="11"/>
      <c r="AA1396" s="11"/>
      <c r="AB1396" s="11"/>
      <c r="AC1396" s="11"/>
      <c r="AD1396" s="11"/>
    </row>
    <row r="1397">
      <c r="A1397" s="10"/>
      <c r="B1397" s="10"/>
      <c r="C1397" s="10"/>
      <c r="D1397" s="10"/>
      <c r="E1397" s="10"/>
      <c r="F1397" s="11"/>
      <c r="G1397" s="11"/>
      <c r="H1397" s="11"/>
      <c r="I1397" s="11"/>
      <c r="J1397" s="11" t="str">
        <f>IFERROR(__xludf.DUMMYFUNCTION("IFERROR(FILTER(Stats!$F:$Z,(Stats!$A:$A=$A1397)*(Stats!$B:$B=$B1397)))"),"#REF!")</f>
        <v>#REF!</v>
      </c>
      <c r="K1397" s="11"/>
      <c r="L1397" s="12"/>
      <c r="M1397" s="11"/>
      <c r="N1397" s="11"/>
      <c r="O1397" s="13"/>
      <c r="P1397" s="14"/>
      <c r="Q1397" s="13"/>
      <c r="R1397" s="13"/>
      <c r="S1397" s="15"/>
      <c r="T1397" s="16"/>
      <c r="U1397" s="16"/>
      <c r="V1397" s="16"/>
      <c r="W1397" s="16"/>
      <c r="X1397" s="16"/>
      <c r="Y1397" s="11"/>
      <c r="Z1397" s="11"/>
      <c r="AA1397" s="11"/>
      <c r="AB1397" s="11"/>
      <c r="AC1397" s="11"/>
      <c r="AD1397" s="11"/>
    </row>
    <row r="1398">
      <c r="A1398" s="10"/>
      <c r="B1398" s="10"/>
      <c r="C1398" s="10"/>
      <c r="D1398" s="10"/>
      <c r="E1398" s="10"/>
      <c r="F1398" s="11"/>
      <c r="G1398" s="11"/>
      <c r="H1398" s="11"/>
      <c r="I1398" s="11"/>
      <c r="J1398" s="11" t="str">
        <f>IFERROR(__xludf.DUMMYFUNCTION("IFERROR(FILTER(Stats!$F:$Z,(Stats!$A:$A=$A1398)*(Stats!$B:$B=$B1398)))"),"#REF!")</f>
        <v>#REF!</v>
      </c>
      <c r="K1398" s="11"/>
      <c r="L1398" s="12"/>
      <c r="M1398" s="11"/>
      <c r="N1398" s="11"/>
      <c r="O1398" s="13"/>
      <c r="P1398" s="14"/>
      <c r="Q1398" s="13"/>
      <c r="R1398" s="13"/>
      <c r="S1398" s="15"/>
      <c r="T1398" s="16"/>
      <c r="U1398" s="16"/>
      <c r="V1398" s="16"/>
      <c r="W1398" s="16"/>
      <c r="X1398" s="16"/>
      <c r="Y1398" s="11"/>
      <c r="Z1398" s="11"/>
      <c r="AA1398" s="11"/>
      <c r="AB1398" s="11"/>
      <c r="AC1398" s="11"/>
      <c r="AD1398" s="11"/>
    </row>
    <row r="1399">
      <c r="A1399" s="10"/>
      <c r="B1399" s="10"/>
      <c r="C1399" s="10"/>
      <c r="D1399" s="10"/>
      <c r="E1399" s="10"/>
      <c r="F1399" s="11"/>
      <c r="G1399" s="11"/>
      <c r="H1399" s="11"/>
      <c r="I1399" s="11"/>
      <c r="J1399" s="11" t="str">
        <f>IFERROR(__xludf.DUMMYFUNCTION("IFERROR(FILTER(Stats!$F:$Z,(Stats!$A:$A=$A1399)*(Stats!$B:$B=$B1399)))"),"#REF!")</f>
        <v>#REF!</v>
      </c>
      <c r="K1399" s="11"/>
      <c r="L1399" s="12"/>
      <c r="M1399" s="11"/>
      <c r="N1399" s="11"/>
      <c r="O1399" s="13"/>
      <c r="P1399" s="14"/>
      <c r="Q1399" s="13"/>
      <c r="R1399" s="13"/>
      <c r="S1399" s="15"/>
      <c r="T1399" s="16"/>
      <c r="U1399" s="16"/>
      <c r="V1399" s="16"/>
      <c r="W1399" s="16"/>
      <c r="X1399" s="16"/>
      <c r="Y1399" s="11"/>
      <c r="Z1399" s="11"/>
      <c r="AA1399" s="11"/>
      <c r="AB1399" s="11"/>
      <c r="AC1399" s="11"/>
      <c r="AD1399" s="11"/>
    </row>
    <row r="1400">
      <c r="A1400" s="10"/>
      <c r="B1400" s="10"/>
      <c r="C1400" s="10"/>
      <c r="D1400" s="10"/>
      <c r="E1400" s="10"/>
      <c r="F1400" s="11"/>
      <c r="G1400" s="11"/>
      <c r="H1400" s="11"/>
      <c r="I1400" s="11"/>
      <c r="J1400" s="11" t="str">
        <f>IFERROR(__xludf.DUMMYFUNCTION("IFERROR(FILTER(Stats!$F:$Z,(Stats!$A:$A=$A1400)*(Stats!$B:$B=$B1400)))"),"#REF!")</f>
        <v>#REF!</v>
      </c>
      <c r="K1400" s="11"/>
      <c r="L1400" s="12"/>
      <c r="M1400" s="11"/>
      <c r="N1400" s="11"/>
      <c r="O1400" s="13"/>
      <c r="P1400" s="14"/>
      <c r="Q1400" s="13"/>
      <c r="R1400" s="13"/>
      <c r="S1400" s="15"/>
      <c r="T1400" s="16"/>
      <c r="U1400" s="16"/>
      <c r="V1400" s="16"/>
      <c r="W1400" s="16"/>
      <c r="X1400" s="16"/>
      <c r="Y1400" s="11"/>
      <c r="Z1400" s="11"/>
      <c r="AA1400" s="11"/>
      <c r="AB1400" s="11"/>
      <c r="AC1400" s="11"/>
      <c r="AD1400" s="11"/>
    </row>
    <row r="1401">
      <c r="A1401" s="10"/>
      <c r="B1401" s="10"/>
      <c r="C1401" s="10"/>
      <c r="D1401" s="10"/>
      <c r="E1401" s="10"/>
      <c r="F1401" s="11"/>
      <c r="G1401" s="11"/>
      <c r="H1401" s="11"/>
      <c r="I1401" s="11"/>
      <c r="J1401" s="11" t="str">
        <f>IFERROR(__xludf.DUMMYFUNCTION("IFERROR(FILTER(Stats!$F:$Z,(Stats!$A:$A=$A1401)*(Stats!$B:$B=$B1401)))"),"#REF!")</f>
        <v>#REF!</v>
      </c>
      <c r="K1401" s="11"/>
      <c r="L1401" s="12"/>
      <c r="M1401" s="11"/>
      <c r="N1401" s="11"/>
      <c r="O1401" s="13"/>
      <c r="P1401" s="14"/>
      <c r="Q1401" s="13"/>
      <c r="R1401" s="13"/>
      <c r="S1401" s="15"/>
      <c r="T1401" s="16"/>
      <c r="U1401" s="16"/>
      <c r="V1401" s="16"/>
      <c r="W1401" s="16"/>
      <c r="X1401" s="16"/>
      <c r="Y1401" s="11"/>
      <c r="Z1401" s="11"/>
      <c r="AA1401" s="11"/>
      <c r="AB1401" s="11"/>
      <c r="AC1401" s="11"/>
      <c r="AD1401" s="11"/>
    </row>
    <row r="1402">
      <c r="A1402" s="10"/>
      <c r="B1402" s="10"/>
      <c r="C1402" s="10"/>
      <c r="D1402" s="10"/>
      <c r="E1402" s="10"/>
      <c r="F1402" s="11"/>
      <c r="G1402" s="11"/>
      <c r="H1402" s="11"/>
      <c r="I1402" s="11"/>
      <c r="J1402" s="11" t="str">
        <f>IFERROR(__xludf.DUMMYFUNCTION("IFERROR(FILTER(Stats!$F:$Z,(Stats!$A:$A=$A1402)*(Stats!$B:$B=$B1402)))"),"#REF!")</f>
        <v>#REF!</v>
      </c>
      <c r="K1402" s="11"/>
      <c r="L1402" s="12"/>
      <c r="M1402" s="11"/>
      <c r="N1402" s="11"/>
      <c r="O1402" s="13"/>
      <c r="P1402" s="14"/>
      <c r="Q1402" s="13"/>
      <c r="R1402" s="13"/>
      <c r="S1402" s="15"/>
      <c r="T1402" s="16"/>
      <c r="U1402" s="16"/>
      <c r="V1402" s="16"/>
      <c r="W1402" s="16"/>
      <c r="X1402" s="16"/>
      <c r="Y1402" s="11"/>
      <c r="Z1402" s="11"/>
      <c r="AA1402" s="11"/>
      <c r="AB1402" s="11"/>
      <c r="AC1402" s="11"/>
      <c r="AD1402" s="11"/>
    </row>
    <row r="1403">
      <c r="A1403" s="10"/>
      <c r="B1403" s="10"/>
      <c r="C1403" s="10"/>
      <c r="D1403" s="10"/>
      <c r="E1403" s="10"/>
      <c r="F1403" s="11"/>
      <c r="G1403" s="11"/>
      <c r="H1403" s="11"/>
      <c r="I1403" s="11"/>
      <c r="J1403" s="11" t="str">
        <f>IFERROR(__xludf.DUMMYFUNCTION("IFERROR(FILTER(Stats!$F:$Z,(Stats!$A:$A=$A1403)*(Stats!$B:$B=$B1403)))"),"#REF!")</f>
        <v>#REF!</v>
      </c>
      <c r="K1403" s="11"/>
      <c r="L1403" s="12"/>
      <c r="M1403" s="11"/>
      <c r="N1403" s="11"/>
      <c r="O1403" s="13"/>
      <c r="P1403" s="14"/>
      <c r="Q1403" s="13"/>
      <c r="R1403" s="13"/>
      <c r="S1403" s="15"/>
      <c r="T1403" s="16"/>
      <c r="U1403" s="16"/>
      <c r="V1403" s="16"/>
      <c r="W1403" s="16"/>
      <c r="X1403" s="16"/>
      <c r="Y1403" s="11"/>
      <c r="Z1403" s="11"/>
      <c r="AA1403" s="11"/>
      <c r="AB1403" s="11"/>
      <c r="AC1403" s="11"/>
      <c r="AD1403" s="11"/>
    </row>
    <row r="1404">
      <c r="A1404" s="10"/>
      <c r="B1404" s="10"/>
      <c r="C1404" s="10"/>
      <c r="D1404" s="10"/>
      <c r="E1404" s="10"/>
      <c r="F1404" s="11"/>
      <c r="G1404" s="11"/>
      <c r="H1404" s="11"/>
      <c r="I1404" s="11"/>
      <c r="J1404" s="11" t="str">
        <f>IFERROR(__xludf.DUMMYFUNCTION("IFERROR(FILTER(Stats!$F:$Z,(Stats!$A:$A=$A1404)*(Stats!$B:$B=$B1404)))"),"#REF!")</f>
        <v>#REF!</v>
      </c>
      <c r="K1404" s="11"/>
      <c r="L1404" s="12"/>
      <c r="M1404" s="11"/>
      <c r="N1404" s="11"/>
      <c r="O1404" s="13"/>
      <c r="P1404" s="14"/>
      <c r="Q1404" s="13"/>
      <c r="R1404" s="13"/>
      <c r="S1404" s="15"/>
      <c r="T1404" s="16"/>
      <c r="U1404" s="16"/>
      <c r="V1404" s="16"/>
      <c r="W1404" s="16"/>
      <c r="X1404" s="16"/>
      <c r="Y1404" s="11"/>
      <c r="Z1404" s="11"/>
      <c r="AA1404" s="11"/>
      <c r="AB1404" s="11"/>
      <c r="AC1404" s="11"/>
      <c r="AD1404" s="11"/>
    </row>
    <row r="1405">
      <c r="A1405" s="10"/>
      <c r="B1405" s="10"/>
      <c r="C1405" s="10"/>
      <c r="D1405" s="10"/>
      <c r="E1405" s="10"/>
      <c r="F1405" s="11"/>
      <c r="G1405" s="11"/>
      <c r="H1405" s="11"/>
      <c r="I1405" s="11"/>
      <c r="J1405" s="11" t="str">
        <f>IFERROR(__xludf.DUMMYFUNCTION("IFERROR(FILTER(Stats!$F:$Z,(Stats!$A:$A=$A1405)*(Stats!$B:$B=$B1405)))"),"#REF!")</f>
        <v>#REF!</v>
      </c>
      <c r="K1405" s="11"/>
      <c r="L1405" s="12"/>
      <c r="M1405" s="11"/>
      <c r="N1405" s="11"/>
      <c r="O1405" s="13"/>
      <c r="P1405" s="14"/>
      <c r="Q1405" s="13"/>
      <c r="R1405" s="13"/>
      <c r="S1405" s="15"/>
      <c r="T1405" s="16"/>
      <c r="U1405" s="16"/>
      <c r="V1405" s="16"/>
      <c r="W1405" s="16"/>
      <c r="X1405" s="16"/>
      <c r="Y1405" s="11"/>
      <c r="Z1405" s="11"/>
      <c r="AA1405" s="11"/>
      <c r="AB1405" s="11"/>
      <c r="AC1405" s="11"/>
      <c r="AD1405" s="11"/>
    </row>
    <row r="1406">
      <c r="A1406" s="10"/>
      <c r="B1406" s="10"/>
      <c r="C1406" s="10"/>
      <c r="D1406" s="10"/>
      <c r="E1406" s="10"/>
      <c r="F1406" s="11"/>
      <c r="G1406" s="11"/>
      <c r="H1406" s="11"/>
      <c r="I1406" s="11"/>
      <c r="J1406" s="11" t="str">
        <f>IFERROR(__xludf.DUMMYFUNCTION("IFERROR(FILTER(Stats!$F:$Z,(Stats!$A:$A=$A1406)*(Stats!$B:$B=$B1406)))"),"#REF!")</f>
        <v>#REF!</v>
      </c>
      <c r="K1406" s="11"/>
      <c r="L1406" s="12"/>
      <c r="M1406" s="11"/>
      <c r="N1406" s="11"/>
      <c r="O1406" s="13"/>
      <c r="P1406" s="14"/>
      <c r="Q1406" s="13"/>
      <c r="R1406" s="13"/>
      <c r="S1406" s="15"/>
      <c r="T1406" s="16"/>
      <c r="U1406" s="16"/>
      <c r="V1406" s="16"/>
      <c r="W1406" s="16"/>
      <c r="X1406" s="16"/>
      <c r="Y1406" s="11"/>
      <c r="Z1406" s="11"/>
      <c r="AA1406" s="11"/>
      <c r="AB1406" s="11"/>
      <c r="AC1406" s="11"/>
      <c r="AD1406" s="11"/>
    </row>
    <row r="1407">
      <c r="A1407" s="10"/>
      <c r="B1407" s="10"/>
      <c r="C1407" s="10"/>
      <c r="D1407" s="10"/>
      <c r="E1407" s="10"/>
      <c r="F1407" s="11"/>
      <c r="G1407" s="11"/>
      <c r="H1407" s="11"/>
      <c r="I1407" s="11"/>
      <c r="J1407" s="11" t="str">
        <f>IFERROR(__xludf.DUMMYFUNCTION("IFERROR(FILTER(Stats!$F:$Z,(Stats!$A:$A=$A1407)*(Stats!$B:$B=$B1407)))"),"#REF!")</f>
        <v>#REF!</v>
      </c>
      <c r="K1407" s="11"/>
      <c r="L1407" s="12"/>
      <c r="M1407" s="11"/>
      <c r="N1407" s="11"/>
      <c r="O1407" s="13"/>
      <c r="P1407" s="14"/>
      <c r="Q1407" s="13"/>
      <c r="R1407" s="13"/>
      <c r="S1407" s="15"/>
      <c r="T1407" s="16"/>
      <c r="U1407" s="16"/>
      <c r="V1407" s="16"/>
      <c r="W1407" s="16"/>
      <c r="X1407" s="16"/>
      <c r="Y1407" s="11"/>
      <c r="Z1407" s="11"/>
      <c r="AA1407" s="11"/>
      <c r="AB1407" s="11"/>
      <c r="AC1407" s="11"/>
      <c r="AD1407" s="11"/>
    </row>
    <row r="1408">
      <c r="A1408" s="10"/>
      <c r="B1408" s="10"/>
      <c r="C1408" s="10"/>
      <c r="D1408" s="10"/>
      <c r="E1408" s="10"/>
      <c r="F1408" s="11"/>
      <c r="G1408" s="11"/>
      <c r="H1408" s="11"/>
      <c r="I1408" s="11"/>
      <c r="J1408" s="11" t="str">
        <f>IFERROR(__xludf.DUMMYFUNCTION("IFERROR(FILTER(Stats!$F:$Z,(Stats!$A:$A=$A1408)*(Stats!$B:$B=$B1408)))"),"#REF!")</f>
        <v>#REF!</v>
      </c>
      <c r="K1408" s="11"/>
      <c r="L1408" s="12"/>
      <c r="M1408" s="11"/>
      <c r="N1408" s="11"/>
      <c r="O1408" s="13"/>
      <c r="P1408" s="14"/>
      <c r="Q1408" s="13"/>
      <c r="R1408" s="13"/>
      <c r="S1408" s="15"/>
      <c r="T1408" s="16"/>
      <c r="U1408" s="16"/>
      <c r="V1408" s="16"/>
      <c r="W1408" s="16"/>
      <c r="X1408" s="16"/>
      <c r="Y1408" s="11"/>
      <c r="Z1408" s="11"/>
      <c r="AA1408" s="11"/>
      <c r="AB1408" s="11"/>
      <c r="AC1408" s="11"/>
      <c r="AD1408" s="11"/>
    </row>
    <row r="1409">
      <c r="A1409" s="10"/>
      <c r="B1409" s="10"/>
      <c r="C1409" s="10"/>
      <c r="D1409" s="10"/>
      <c r="E1409" s="10"/>
      <c r="F1409" s="11"/>
      <c r="G1409" s="11"/>
      <c r="H1409" s="11"/>
      <c r="I1409" s="11"/>
      <c r="J1409" s="11" t="str">
        <f>IFERROR(__xludf.DUMMYFUNCTION("IFERROR(FILTER(Stats!$F:$Z,(Stats!$A:$A=$A1409)*(Stats!$B:$B=$B1409)))"),"#REF!")</f>
        <v>#REF!</v>
      </c>
      <c r="K1409" s="11"/>
      <c r="L1409" s="12"/>
      <c r="M1409" s="11"/>
      <c r="N1409" s="11"/>
      <c r="O1409" s="13"/>
      <c r="P1409" s="14"/>
      <c r="Q1409" s="13"/>
      <c r="R1409" s="13"/>
      <c r="S1409" s="15"/>
      <c r="T1409" s="16"/>
      <c r="U1409" s="16"/>
      <c r="V1409" s="16"/>
      <c r="W1409" s="16"/>
      <c r="X1409" s="16"/>
      <c r="Y1409" s="11"/>
      <c r="Z1409" s="11"/>
      <c r="AA1409" s="11"/>
      <c r="AB1409" s="11"/>
      <c r="AC1409" s="11"/>
      <c r="AD1409" s="11"/>
    </row>
    <row r="1410">
      <c r="A1410" s="10"/>
      <c r="B1410" s="10"/>
      <c r="C1410" s="10"/>
      <c r="D1410" s="10"/>
      <c r="E1410" s="10"/>
      <c r="F1410" s="11"/>
      <c r="G1410" s="11"/>
      <c r="H1410" s="11"/>
      <c r="I1410" s="11"/>
      <c r="J1410" s="11" t="str">
        <f>IFERROR(__xludf.DUMMYFUNCTION("IFERROR(FILTER(Stats!$F:$Z,(Stats!$A:$A=$A1410)*(Stats!$B:$B=$B1410)))"),"#REF!")</f>
        <v>#REF!</v>
      </c>
      <c r="K1410" s="11"/>
      <c r="L1410" s="12"/>
      <c r="M1410" s="11"/>
      <c r="N1410" s="11"/>
      <c r="O1410" s="13"/>
      <c r="P1410" s="14"/>
      <c r="Q1410" s="13"/>
      <c r="R1410" s="13"/>
      <c r="S1410" s="15"/>
      <c r="T1410" s="16"/>
      <c r="U1410" s="16"/>
      <c r="V1410" s="16"/>
      <c r="W1410" s="16"/>
      <c r="X1410" s="16"/>
      <c r="Y1410" s="11"/>
      <c r="Z1410" s="11"/>
      <c r="AA1410" s="11"/>
      <c r="AB1410" s="11"/>
      <c r="AC1410" s="11"/>
      <c r="AD1410" s="11"/>
    </row>
    <row r="1411">
      <c r="A1411" s="10"/>
      <c r="B1411" s="10"/>
      <c r="C1411" s="10"/>
      <c r="D1411" s="10"/>
      <c r="E1411" s="10"/>
      <c r="F1411" s="11"/>
      <c r="G1411" s="11"/>
      <c r="H1411" s="11"/>
      <c r="I1411" s="11"/>
      <c r="J1411" s="11" t="str">
        <f>IFERROR(__xludf.DUMMYFUNCTION("IFERROR(FILTER(Stats!$F:$Z,(Stats!$A:$A=$A1411)*(Stats!$B:$B=$B1411)))"),"#REF!")</f>
        <v>#REF!</v>
      </c>
      <c r="K1411" s="11"/>
      <c r="L1411" s="12"/>
      <c r="M1411" s="11"/>
      <c r="N1411" s="11"/>
      <c r="O1411" s="13"/>
      <c r="P1411" s="14"/>
      <c r="Q1411" s="13"/>
      <c r="R1411" s="13"/>
      <c r="S1411" s="15"/>
      <c r="T1411" s="16"/>
      <c r="U1411" s="16"/>
      <c r="V1411" s="16"/>
      <c r="W1411" s="16"/>
      <c r="X1411" s="16"/>
      <c r="Y1411" s="11"/>
      <c r="Z1411" s="11"/>
      <c r="AA1411" s="11"/>
      <c r="AB1411" s="11"/>
      <c r="AC1411" s="11"/>
      <c r="AD1411" s="11"/>
    </row>
    <row r="1412">
      <c r="A1412" s="10"/>
      <c r="B1412" s="10"/>
      <c r="C1412" s="10"/>
      <c r="D1412" s="10"/>
      <c r="E1412" s="10"/>
      <c r="F1412" s="11"/>
      <c r="G1412" s="11"/>
      <c r="H1412" s="11"/>
      <c r="I1412" s="11"/>
      <c r="J1412" s="11" t="str">
        <f>IFERROR(__xludf.DUMMYFUNCTION("IFERROR(FILTER(Stats!$F:$Z,(Stats!$A:$A=$A1412)*(Stats!$B:$B=$B1412)))"),"#REF!")</f>
        <v>#REF!</v>
      </c>
      <c r="K1412" s="11"/>
      <c r="L1412" s="12"/>
      <c r="M1412" s="11"/>
      <c r="N1412" s="11"/>
      <c r="O1412" s="13"/>
      <c r="P1412" s="14"/>
      <c r="Q1412" s="13"/>
      <c r="R1412" s="13"/>
      <c r="S1412" s="15"/>
      <c r="T1412" s="16"/>
      <c r="U1412" s="16"/>
      <c r="V1412" s="16"/>
      <c r="W1412" s="16"/>
      <c r="X1412" s="16"/>
      <c r="Y1412" s="11"/>
      <c r="Z1412" s="11"/>
      <c r="AA1412" s="11"/>
      <c r="AB1412" s="11"/>
      <c r="AC1412" s="11"/>
      <c r="AD1412" s="11"/>
    </row>
    <row r="1413">
      <c r="A1413" s="10"/>
      <c r="B1413" s="10"/>
      <c r="C1413" s="10"/>
      <c r="D1413" s="10"/>
      <c r="E1413" s="10"/>
      <c r="F1413" s="11"/>
      <c r="G1413" s="11"/>
      <c r="H1413" s="11"/>
      <c r="I1413" s="11"/>
      <c r="J1413" s="11" t="str">
        <f>IFERROR(__xludf.DUMMYFUNCTION("IFERROR(FILTER(Stats!$F:$Z,(Stats!$A:$A=$A1413)*(Stats!$B:$B=$B1413)))"),"#REF!")</f>
        <v>#REF!</v>
      </c>
      <c r="K1413" s="11"/>
      <c r="L1413" s="12"/>
      <c r="M1413" s="11"/>
      <c r="N1413" s="11"/>
      <c r="O1413" s="13"/>
      <c r="P1413" s="14"/>
      <c r="Q1413" s="13"/>
      <c r="R1413" s="13"/>
      <c r="S1413" s="15"/>
      <c r="T1413" s="16"/>
      <c r="U1413" s="16"/>
      <c r="V1413" s="16"/>
      <c r="W1413" s="16"/>
      <c r="X1413" s="16"/>
      <c r="Y1413" s="11"/>
      <c r="Z1413" s="11"/>
      <c r="AA1413" s="11"/>
      <c r="AB1413" s="11"/>
      <c r="AC1413" s="11"/>
      <c r="AD1413" s="11"/>
    </row>
    <row r="1414">
      <c r="A1414" s="10"/>
      <c r="B1414" s="10"/>
      <c r="C1414" s="10"/>
      <c r="D1414" s="10"/>
      <c r="E1414" s="10"/>
      <c r="F1414" s="11"/>
      <c r="G1414" s="11"/>
      <c r="H1414" s="11"/>
      <c r="I1414" s="11"/>
      <c r="J1414" s="11" t="str">
        <f>IFERROR(__xludf.DUMMYFUNCTION("IFERROR(FILTER(Stats!$F:$Z,(Stats!$A:$A=$A1414)*(Stats!$B:$B=$B1414)))"),"#REF!")</f>
        <v>#REF!</v>
      </c>
      <c r="K1414" s="11"/>
      <c r="L1414" s="12"/>
      <c r="M1414" s="11"/>
      <c r="N1414" s="11"/>
      <c r="O1414" s="13"/>
      <c r="P1414" s="14"/>
      <c r="Q1414" s="13"/>
      <c r="R1414" s="13"/>
      <c r="S1414" s="15"/>
      <c r="T1414" s="16"/>
      <c r="U1414" s="16"/>
      <c r="V1414" s="16"/>
      <c r="W1414" s="16"/>
      <c r="X1414" s="16"/>
      <c r="Y1414" s="11"/>
      <c r="Z1414" s="11"/>
      <c r="AA1414" s="11"/>
      <c r="AB1414" s="11"/>
      <c r="AC1414" s="11"/>
      <c r="AD1414" s="11"/>
    </row>
    <row r="1415">
      <c r="A1415" s="10"/>
      <c r="B1415" s="10"/>
      <c r="C1415" s="10"/>
      <c r="D1415" s="10"/>
      <c r="E1415" s="10"/>
      <c r="F1415" s="11"/>
      <c r="G1415" s="11"/>
      <c r="H1415" s="11"/>
      <c r="I1415" s="11"/>
      <c r="J1415" s="11" t="str">
        <f>IFERROR(__xludf.DUMMYFUNCTION("IFERROR(FILTER(Stats!$F:$Z,(Stats!$A:$A=$A1415)*(Stats!$B:$B=$B1415)))"),"#REF!")</f>
        <v>#REF!</v>
      </c>
      <c r="K1415" s="11"/>
      <c r="L1415" s="12"/>
      <c r="M1415" s="11"/>
      <c r="N1415" s="11"/>
      <c r="O1415" s="13"/>
      <c r="P1415" s="14"/>
      <c r="Q1415" s="13"/>
      <c r="R1415" s="13"/>
      <c r="S1415" s="15"/>
      <c r="T1415" s="16"/>
      <c r="U1415" s="16"/>
      <c r="V1415" s="16"/>
      <c r="W1415" s="16"/>
      <c r="X1415" s="16"/>
      <c r="Y1415" s="11"/>
      <c r="Z1415" s="11"/>
      <c r="AA1415" s="11"/>
      <c r="AB1415" s="11"/>
      <c r="AC1415" s="11"/>
      <c r="AD1415" s="11"/>
    </row>
    <row r="1416">
      <c r="A1416" s="10"/>
      <c r="B1416" s="10"/>
      <c r="C1416" s="10"/>
      <c r="D1416" s="10"/>
      <c r="E1416" s="10"/>
      <c r="F1416" s="11"/>
      <c r="G1416" s="11"/>
      <c r="H1416" s="11"/>
      <c r="I1416" s="11"/>
      <c r="J1416" s="11" t="str">
        <f>IFERROR(__xludf.DUMMYFUNCTION("IFERROR(FILTER(Stats!$F:$Z,(Stats!$A:$A=$A1416)*(Stats!$B:$B=$B1416)))"),"#REF!")</f>
        <v>#REF!</v>
      </c>
      <c r="K1416" s="11"/>
      <c r="L1416" s="12"/>
      <c r="M1416" s="11"/>
      <c r="N1416" s="11"/>
      <c r="O1416" s="13"/>
      <c r="P1416" s="14"/>
      <c r="Q1416" s="13"/>
      <c r="R1416" s="13"/>
      <c r="S1416" s="15"/>
      <c r="T1416" s="16"/>
      <c r="U1416" s="16"/>
      <c r="V1416" s="16"/>
      <c r="W1416" s="16"/>
      <c r="X1416" s="16"/>
      <c r="Y1416" s="11"/>
      <c r="Z1416" s="11"/>
      <c r="AA1416" s="11"/>
      <c r="AB1416" s="11"/>
      <c r="AC1416" s="11"/>
      <c r="AD1416" s="11"/>
    </row>
    <row r="1417">
      <c r="A1417" s="10"/>
      <c r="B1417" s="10"/>
      <c r="C1417" s="10"/>
      <c r="D1417" s="10"/>
      <c r="E1417" s="10"/>
      <c r="F1417" s="11"/>
      <c r="G1417" s="11"/>
      <c r="H1417" s="11"/>
      <c r="I1417" s="11"/>
      <c r="J1417" s="11" t="str">
        <f>IFERROR(__xludf.DUMMYFUNCTION("IFERROR(FILTER(Stats!$F:$Z,(Stats!$A:$A=$A1417)*(Stats!$B:$B=$B1417)))"),"#REF!")</f>
        <v>#REF!</v>
      </c>
      <c r="K1417" s="11"/>
      <c r="L1417" s="12"/>
      <c r="M1417" s="11"/>
      <c r="N1417" s="11"/>
      <c r="O1417" s="13"/>
      <c r="P1417" s="14"/>
      <c r="Q1417" s="13"/>
      <c r="R1417" s="13"/>
      <c r="S1417" s="15"/>
      <c r="T1417" s="16"/>
      <c r="U1417" s="16"/>
      <c r="V1417" s="16"/>
      <c r="W1417" s="16"/>
      <c r="X1417" s="16"/>
      <c r="Y1417" s="11"/>
      <c r="Z1417" s="11"/>
      <c r="AA1417" s="11"/>
      <c r="AB1417" s="11"/>
      <c r="AC1417" s="11"/>
      <c r="AD1417" s="11"/>
    </row>
    <row r="1418">
      <c r="A1418" s="10"/>
      <c r="B1418" s="10"/>
      <c r="C1418" s="10"/>
      <c r="D1418" s="10"/>
      <c r="E1418" s="10"/>
      <c r="F1418" s="11"/>
      <c r="G1418" s="11"/>
      <c r="H1418" s="11"/>
      <c r="I1418" s="11"/>
      <c r="J1418" s="11" t="str">
        <f>IFERROR(__xludf.DUMMYFUNCTION("IFERROR(FILTER(Stats!$F:$Z,(Stats!$A:$A=$A1418)*(Stats!$B:$B=$B1418)))"),"#REF!")</f>
        <v>#REF!</v>
      </c>
      <c r="K1418" s="11"/>
      <c r="L1418" s="12"/>
      <c r="M1418" s="11"/>
      <c r="N1418" s="11"/>
      <c r="O1418" s="13"/>
      <c r="P1418" s="14"/>
      <c r="Q1418" s="13"/>
      <c r="R1418" s="13"/>
      <c r="S1418" s="15"/>
      <c r="T1418" s="16"/>
      <c r="U1418" s="16"/>
      <c r="V1418" s="16"/>
      <c r="W1418" s="16"/>
      <c r="X1418" s="16"/>
      <c r="Y1418" s="11"/>
      <c r="Z1418" s="11"/>
      <c r="AA1418" s="11"/>
      <c r="AB1418" s="11"/>
      <c r="AC1418" s="11"/>
      <c r="AD1418" s="11"/>
    </row>
    <row r="1419">
      <c r="A1419" s="10"/>
      <c r="B1419" s="10"/>
      <c r="C1419" s="10"/>
      <c r="D1419" s="10"/>
      <c r="E1419" s="10"/>
      <c r="F1419" s="11"/>
      <c r="G1419" s="11"/>
      <c r="H1419" s="11"/>
      <c r="I1419" s="11"/>
      <c r="J1419" s="11" t="str">
        <f>IFERROR(__xludf.DUMMYFUNCTION("IFERROR(FILTER(Stats!$F:$Z,(Stats!$A:$A=$A1419)*(Stats!$B:$B=$B1419)))"),"#REF!")</f>
        <v>#REF!</v>
      </c>
      <c r="K1419" s="11"/>
      <c r="L1419" s="12"/>
      <c r="M1419" s="11"/>
      <c r="N1419" s="11"/>
      <c r="O1419" s="13"/>
      <c r="P1419" s="14"/>
      <c r="Q1419" s="13"/>
      <c r="R1419" s="13"/>
      <c r="S1419" s="15"/>
      <c r="T1419" s="16"/>
      <c r="U1419" s="16"/>
      <c r="V1419" s="16"/>
      <c r="W1419" s="16"/>
      <c r="X1419" s="16"/>
      <c r="Y1419" s="11"/>
      <c r="Z1419" s="11"/>
      <c r="AA1419" s="11"/>
      <c r="AB1419" s="11"/>
      <c r="AC1419" s="11"/>
      <c r="AD1419" s="11"/>
    </row>
    <row r="1420">
      <c r="A1420" s="10"/>
      <c r="B1420" s="10"/>
      <c r="C1420" s="10"/>
      <c r="D1420" s="10"/>
      <c r="E1420" s="10"/>
      <c r="F1420" s="11"/>
      <c r="G1420" s="11"/>
      <c r="H1420" s="11"/>
      <c r="I1420" s="11"/>
      <c r="J1420" s="11" t="str">
        <f>IFERROR(__xludf.DUMMYFUNCTION("IFERROR(FILTER(Stats!$F:$Z,(Stats!$A:$A=$A1420)*(Stats!$B:$B=$B1420)))"),"#REF!")</f>
        <v>#REF!</v>
      </c>
      <c r="K1420" s="11"/>
      <c r="L1420" s="12"/>
      <c r="M1420" s="11"/>
      <c r="N1420" s="11"/>
      <c r="O1420" s="13"/>
      <c r="P1420" s="14"/>
      <c r="Q1420" s="13"/>
      <c r="R1420" s="13"/>
      <c r="S1420" s="15"/>
      <c r="T1420" s="16"/>
      <c r="U1420" s="16"/>
      <c r="V1420" s="16"/>
      <c r="W1420" s="16"/>
      <c r="X1420" s="16"/>
      <c r="Y1420" s="11"/>
      <c r="Z1420" s="11"/>
      <c r="AA1420" s="11"/>
      <c r="AB1420" s="11"/>
      <c r="AC1420" s="11"/>
      <c r="AD1420" s="11"/>
    </row>
    <row r="1421">
      <c r="A1421" s="10"/>
      <c r="B1421" s="10"/>
      <c r="C1421" s="10"/>
      <c r="D1421" s="10"/>
      <c r="E1421" s="10"/>
      <c r="F1421" s="11"/>
      <c r="G1421" s="11"/>
      <c r="H1421" s="11"/>
      <c r="I1421" s="11"/>
      <c r="J1421" s="11" t="str">
        <f>IFERROR(__xludf.DUMMYFUNCTION("IFERROR(FILTER(Stats!$F:$Z,(Stats!$A:$A=$A1421)*(Stats!$B:$B=$B1421)))"),"#REF!")</f>
        <v>#REF!</v>
      </c>
      <c r="K1421" s="11"/>
      <c r="L1421" s="12"/>
      <c r="M1421" s="11"/>
      <c r="N1421" s="11"/>
      <c r="O1421" s="13"/>
      <c r="P1421" s="14"/>
      <c r="Q1421" s="13"/>
      <c r="R1421" s="13"/>
      <c r="S1421" s="15"/>
      <c r="T1421" s="16"/>
      <c r="U1421" s="16"/>
      <c r="V1421" s="16"/>
      <c r="W1421" s="16"/>
      <c r="X1421" s="16"/>
      <c r="Y1421" s="11"/>
      <c r="Z1421" s="11"/>
      <c r="AA1421" s="11"/>
      <c r="AB1421" s="11"/>
      <c r="AC1421" s="11"/>
      <c r="AD1421" s="11"/>
    </row>
    <row r="1422">
      <c r="A1422" s="10"/>
      <c r="B1422" s="10"/>
      <c r="C1422" s="10"/>
      <c r="D1422" s="10"/>
      <c r="E1422" s="10"/>
      <c r="F1422" s="11"/>
      <c r="G1422" s="11"/>
      <c r="H1422" s="11"/>
      <c r="I1422" s="11"/>
      <c r="J1422" s="11" t="str">
        <f>IFERROR(__xludf.DUMMYFUNCTION("IFERROR(FILTER(Stats!$F:$Z,(Stats!$A:$A=$A1422)*(Stats!$B:$B=$B1422)))"),"#REF!")</f>
        <v>#REF!</v>
      </c>
      <c r="K1422" s="11"/>
      <c r="L1422" s="12"/>
      <c r="M1422" s="11"/>
      <c r="N1422" s="11"/>
      <c r="O1422" s="13"/>
      <c r="P1422" s="14"/>
      <c r="Q1422" s="13"/>
      <c r="R1422" s="13"/>
      <c r="S1422" s="15"/>
      <c r="T1422" s="16"/>
      <c r="U1422" s="16"/>
      <c r="V1422" s="16"/>
      <c r="W1422" s="16"/>
      <c r="X1422" s="16"/>
      <c r="Y1422" s="11"/>
      <c r="Z1422" s="11"/>
      <c r="AA1422" s="11"/>
      <c r="AB1422" s="11"/>
      <c r="AC1422" s="11"/>
      <c r="AD1422" s="11"/>
    </row>
    <row r="1423">
      <c r="A1423" s="10"/>
      <c r="B1423" s="10"/>
      <c r="C1423" s="10"/>
      <c r="D1423" s="10"/>
      <c r="E1423" s="10"/>
      <c r="F1423" s="11"/>
      <c r="G1423" s="11"/>
      <c r="H1423" s="11"/>
      <c r="I1423" s="11"/>
      <c r="J1423" s="11" t="str">
        <f>IFERROR(__xludf.DUMMYFUNCTION("IFERROR(FILTER(Stats!$F:$Z,(Stats!$A:$A=$A1423)*(Stats!$B:$B=$B1423)))"),"#REF!")</f>
        <v>#REF!</v>
      </c>
      <c r="K1423" s="11"/>
      <c r="L1423" s="12"/>
      <c r="M1423" s="11"/>
      <c r="N1423" s="11"/>
      <c r="O1423" s="13"/>
      <c r="P1423" s="14"/>
      <c r="Q1423" s="13"/>
      <c r="R1423" s="13"/>
      <c r="S1423" s="15"/>
      <c r="T1423" s="16"/>
      <c r="U1423" s="16"/>
      <c r="V1423" s="16"/>
      <c r="W1423" s="16"/>
      <c r="X1423" s="16"/>
      <c r="Y1423" s="11"/>
      <c r="Z1423" s="11"/>
      <c r="AA1423" s="11"/>
      <c r="AB1423" s="11"/>
      <c r="AC1423" s="11"/>
      <c r="AD1423" s="11"/>
    </row>
    <row r="1424">
      <c r="A1424" s="10"/>
      <c r="B1424" s="10"/>
      <c r="C1424" s="10"/>
      <c r="D1424" s="10"/>
      <c r="E1424" s="10"/>
      <c r="F1424" s="11"/>
      <c r="G1424" s="11"/>
      <c r="H1424" s="11"/>
      <c r="I1424" s="11"/>
      <c r="J1424" s="11" t="str">
        <f>IFERROR(__xludf.DUMMYFUNCTION("IFERROR(FILTER(Stats!$F:$Z,(Stats!$A:$A=$A1424)*(Stats!$B:$B=$B1424)))"),"#REF!")</f>
        <v>#REF!</v>
      </c>
      <c r="K1424" s="11"/>
      <c r="L1424" s="12"/>
      <c r="M1424" s="11"/>
      <c r="N1424" s="11"/>
      <c r="O1424" s="13"/>
      <c r="P1424" s="14"/>
      <c r="Q1424" s="13"/>
      <c r="R1424" s="13"/>
      <c r="S1424" s="15"/>
      <c r="T1424" s="16"/>
      <c r="U1424" s="16"/>
      <c r="V1424" s="16"/>
      <c r="W1424" s="16"/>
      <c r="X1424" s="16"/>
      <c r="Y1424" s="11"/>
      <c r="Z1424" s="11"/>
      <c r="AA1424" s="11"/>
      <c r="AB1424" s="11"/>
      <c r="AC1424" s="11"/>
      <c r="AD1424" s="11"/>
    </row>
    <row r="1425">
      <c r="A1425" s="10"/>
      <c r="B1425" s="10"/>
      <c r="C1425" s="10"/>
      <c r="D1425" s="10"/>
      <c r="E1425" s="10"/>
      <c r="F1425" s="11"/>
      <c r="G1425" s="11"/>
      <c r="H1425" s="11"/>
      <c r="I1425" s="11"/>
      <c r="J1425" s="11" t="str">
        <f>IFERROR(__xludf.DUMMYFUNCTION("IFERROR(FILTER(Stats!$F:$Z,(Stats!$A:$A=$A1425)*(Stats!$B:$B=$B1425)))"),"#REF!")</f>
        <v>#REF!</v>
      </c>
      <c r="K1425" s="11"/>
      <c r="L1425" s="12"/>
      <c r="M1425" s="11"/>
      <c r="N1425" s="11"/>
      <c r="O1425" s="13"/>
      <c r="P1425" s="14"/>
      <c r="Q1425" s="13"/>
      <c r="R1425" s="13"/>
      <c r="S1425" s="15"/>
      <c r="T1425" s="16"/>
      <c r="U1425" s="16"/>
      <c r="V1425" s="16"/>
      <c r="W1425" s="16"/>
      <c r="X1425" s="16"/>
      <c r="Y1425" s="11"/>
      <c r="Z1425" s="11"/>
      <c r="AA1425" s="11"/>
      <c r="AB1425" s="11"/>
      <c r="AC1425" s="11"/>
      <c r="AD1425" s="11"/>
    </row>
    <row r="1426">
      <c r="A1426" s="10"/>
      <c r="B1426" s="10"/>
      <c r="C1426" s="10"/>
      <c r="D1426" s="10"/>
      <c r="E1426" s="10"/>
      <c r="F1426" s="11"/>
      <c r="G1426" s="11"/>
      <c r="H1426" s="11"/>
      <c r="I1426" s="11"/>
      <c r="J1426" s="11" t="str">
        <f>IFERROR(__xludf.DUMMYFUNCTION("IFERROR(FILTER(Stats!$F:$Z,(Stats!$A:$A=$A1426)*(Stats!$B:$B=$B1426)))"),"#REF!")</f>
        <v>#REF!</v>
      </c>
      <c r="K1426" s="11"/>
      <c r="L1426" s="12"/>
      <c r="M1426" s="11"/>
      <c r="N1426" s="11"/>
      <c r="O1426" s="13"/>
      <c r="P1426" s="14"/>
      <c r="Q1426" s="13"/>
      <c r="R1426" s="13"/>
      <c r="S1426" s="15"/>
      <c r="T1426" s="16"/>
      <c r="U1426" s="16"/>
      <c r="V1426" s="16"/>
      <c r="W1426" s="16"/>
      <c r="X1426" s="16"/>
      <c r="Y1426" s="11"/>
      <c r="Z1426" s="11"/>
      <c r="AA1426" s="11"/>
      <c r="AB1426" s="11"/>
      <c r="AC1426" s="11"/>
      <c r="AD1426" s="11"/>
    </row>
    <row r="1427">
      <c r="A1427" s="10"/>
      <c r="B1427" s="10"/>
      <c r="C1427" s="10"/>
      <c r="D1427" s="10"/>
      <c r="E1427" s="10"/>
      <c r="F1427" s="11"/>
      <c r="G1427" s="11"/>
      <c r="H1427" s="11"/>
      <c r="I1427" s="11"/>
      <c r="J1427" s="11" t="str">
        <f>IFERROR(__xludf.DUMMYFUNCTION("IFERROR(FILTER(Stats!$F:$Z,(Stats!$A:$A=$A1427)*(Stats!$B:$B=$B1427)))"),"#REF!")</f>
        <v>#REF!</v>
      </c>
      <c r="K1427" s="11"/>
      <c r="L1427" s="12"/>
      <c r="M1427" s="11"/>
      <c r="N1427" s="11"/>
      <c r="O1427" s="13"/>
      <c r="P1427" s="14"/>
      <c r="Q1427" s="13"/>
      <c r="R1427" s="13"/>
      <c r="S1427" s="15"/>
      <c r="T1427" s="16"/>
      <c r="U1427" s="16"/>
      <c r="V1427" s="16"/>
      <c r="W1427" s="16"/>
      <c r="X1427" s="16"/>
      <c r="Y1427" s="11"/>
      <c r="Z1427" s="11"/>
      <c r="AA1427" s="11"/>
      <c r="AB1427" s="11"/>
      <c r="AC1427" s="11"/>
      <c r="AD1427" s="11"/>
    </row>
    <row r="1428">
      <c r="A1428" s="10"/>
      <c r="B1428" s="10"/>
      <c r="C1428" s="10"/>
      <c r="D1428" s="10"/>
      <c r="E1428" s="10"/>
      <c r="F1428" s="11"/>
      <c r="G1428" s="11"/>
      <c r="H1428" s="11"/>
      <c r="I1428" s="11"/>
      <c r="J1428" s="11" t="str">
        <f>IFERROR(__xludf.DUMMYFUNCTION("IFERROR(FILTER(Stats!$F:$Z,(Stats!$A:$A=$A1428)*(Stats!$B:$B=$B1428)))"),"#REF!")</f>
        <v>#REF!</v>
      </c>
      <c r="K1428" s="11"/>
      <c r="L1428" s="12"/>
      <c r="M1428" s="11"/>
      <c r="N1428" s="11"/>
      <c r="O1428" s="13"/>
      <c r="P1428" s="14"/>
      <c r="Q1428" s="13"/>
      <c r="R1428" s="13"/>
      <c r="S1428" s="15"/>
      <c r="T1428" s="16"/>
      <c r="U1428" s="16"/>
      <c r="V1428" s="16"/>
      <c r="W1428" s="16"/>
      <c r="X1428" s="16"/>
      <c r="Y1428" s="11"/>
      <c r="Z1428" s="11"/>
      <c r="AA1428" s="11"/>
      <c r="AB1428" s="11"/>
      <c r="AC1428" s="11"/>
      <c r="AD1428" s="11"/>
    </row>
    <row r="1429">
      <c r="A1429" s="10"/>
      <c r="B1429" s="10"/>
      <c r="C1429" s="10"/>
      <c r="D1429" s="10"/>
      <c r="E1429" s="10"/>
      <c r="F1429" s="11"/>
      <c r="G1429" s="11"/>
      <c r="H1429" s="11"/>
      <c r="I1429" s="11"/>
      <c r="J1429" s="11" t="str">
        <f>IFERROR(__xludf.DUMMYFUNCTION("IFERROR(FILTER(Stats!$F:$Z,(Stats!$A:$A=$A1429)*(Stats!$B:$B=$B1429)))"),"#REF!")</f>
        <v>#REF!</v>
      </c>
      <c r="K1429" s="11"/>
      <c r="L1429" s="12"/>
      <c r="M1429" s="11"/>
      <c r="N1429" s="11"/>
      <c r="O1429" s="13"/>
      <c r="P1429" s="14"/>
      <c r="Q1429" s="13"/>
      <c r="R1429" s="13"/>
      <c r="S1429" s="15"/>
      <c r="T1429" s="16"/>
      <c r="U1429" s="16"/>
      <c r="V1429" s="16"/>
      <c r="W1429" s="16"/>
      <c r="X1429" s="16"/>
      <c r="Y1429" s="11"/>
      <c r="Z1429" s="11"/>
      <c r="AA1429" s="11"/>
      <c r="AB1429" s="11"/>
      <c r="AC1429" s="11"/>
      <c r="AD1429" s="11"/>
    </row>
    <row r="1430">
      <c r="A1430" s="10"/>
      <c r="B1430" s="10"/>
      <c r="C1430" s="10"/>
      <c r="D1430" s="10"/>
      <c r="E1430" s="10"/>
      <c r="F1430" s="11"/>
      <c r="G1430" s="11"/>
      <c r="H1430" s="11"/>
      <c r="I1430" s="11"/>
      <c r="J1430" s="11" t="str">
        <f>IFERROR(__xludf.DUMMYFUNCTION("IFERROR(FILTER(Stats!$F:$Z,(Stats!$A:$A=$A1430)*(Stats!$B:$B=$B1430)))"),"#REF!")</f>
        <v>#REF!</v>
      </c>
      <c r="K1430" s="11"/>
      <c r="L1430" s="12"/>
      <c r="M1430" s="11"/>
      <c r="N1430" s="11"/>
      <c r="O1430" s="13"/>
      <c r="P1430" s="14"/>
      <c r="Q1430" s="13"/>
      <c r="R1430" s="13"/>
      <c r="S1430" s="15"/>
      <c r="T1430" s="16"/>
      <c r="U1430" s="16"/>
      <c r="V1430" s="16"/>
      <c r="W1430" s="16"/>
      <c r="X1430" s="16"/>
      <c r="Y1430" s="11"/>
      <c r="Z1430" s="11"/>
      <c r="AA1430" s="11"/>
      <c r="AB1430" s="11"/>
      <c r="AC1430" s="11"/>
      <c r="AD1430" s="11"/>
    </row>
    <row r="1431">
      <c r="A1431" s="10"/>
      <c r="B1431" s="10"/>
      <c r="C1431" s="10"/>
      <c r="D1431" s="10"/>
      <c r="E1431" s="10"/>
      <c r="F1431" s="11"/>
      <c r="G1431" s="11"/>
      <c r="H1431" s="11"/>
      <c r="I1431" s="11"/>
      <c r="J1431" s="11" t="str">
        <f>IFERROR(__xludf.DUMMYFUNCTION("IFERROR(FILTER(Stats!$F:$Z,(Stats!$A:$A=$A1431)*(Stats!$B:$B=$B1431)))"),"#REF!")</f>
        <v>#REF!</v>
      </c>
      <c r="K1431" s="11"/>
      <c r="L1431" s="12"/>
      <c r="M1431" s="11"/>
      <c r="N1431" s="11"/>
      <c r="O1431" s="13"/>
      <c r="P1431" s="14"/>
      <c r="Q1431" s="13"/>
      <c r="R1431" s="13"/>
      <c r="S1431" s="15"/>
      <c r="T1431" s="16"/>
      <c r="U1431" s="16"/>
      <c r="V1431" s="16"/>
      <c r="W1431" s="16"/>
      <c r="X1431" s="16"/>
      <c r="Y1431" s="11"/>
      <c r="Z1431" s="11"/>
      <c r="AA1431" s="11"/>
      <c r="AB1431" s="11"/>
      <c r="AC1431" s="11"/>
      <c r="AD1431" s="11"/>
    </row>
    <row r="1432">
      <c r="A1432" s="10"/>
      <c r="B1432" s="10"/>
      <c r="C1432" s="10"/>
      <c r="D1432" s="10"/>
      <c r="E1432" s="10"/>
      <c r="F1432" s="11"/>
      <c r="G1432" s="11"/>
      <c r="H1432" s="11"/>
      <c r="I1432" s="11"/>
      <c r="J1432" s="11" t="str">
        <f>IFERROR(__xludf.DUMMYFUNCTION("IFERROR(FILTER(Stats!$F:$Z,(Stats!$A:$A=$A1432)*(Stats!$B:$B=$B1432)))"),"#REF!")</f>
        <v>#REF!</v>
      </c>
      <c r="K1432" s="11"/>
      <c r="L1432" s="12"/>
      <c r="M1432" s="11"/>
      <c r="N1432" s="11"/>
      <c r="O1432" s="13"/>
      <c r="P1432" s="14"/>
      <c r="Q1432" s="13"/>
      <c r="R1432" s="13"/>
      <c r="S1432" s="15"/>
      <c r="T1432" s="16"/>
      <c r="U1432" s="16"/>
      <c r="V1432" s="16"/>
      <c r="W1432" s="16"/>
      <c r="X1432" s="16"/>
      <c r="Y1432" s="11"/>
      <c r="Z1432" s="11"/>
      <c r="AA1432" s="11"/>
      <c r="AB1432" s="11"/>
      <c r="AC1432" s="11"/>
      <c r="AD1432" s="11"/>
    </row>
    <row r="1433">
      <c r="A1433" s="10"/>
      <c r="B1433" s="10"/>
      <c r="C1433" s="10"/>
      <c r="D1433" s="10"/>
      <c r="E1433" s="10"/>
      <c r="F1433" s="11"/>
      <c r="G1433" s="11"/>
      <c r="H1433" s="11"/>
      <c r="I1433" s="11"/>
      <c r="J1433" s="11" t="str">
        <f>IFERROR(__xludf.DUMMYFUNCTION("IFERROR(FILTER(Stats!$F:$Z,(Stats!$A:$A=$A1433)*(Stats!$B:$B=$B1433)))"),"#REF!")</f>
        <v>#REF!</v>
      </c>
      <c r="K1433" s="11"/>
      <c r="L1433" s="12"/>
      <c r="M1433" s="11"/>
      <c r="N1433" s="11"/>
      <c r="O1433" s="13"/>
      <c r="P1433" s="14"/>
      <c r="Q1433" s="13"/>
      <c r="R1433" s="13"/>
      <c r="S1433" s="15"/>
      <c r="T1433" s="16"/>
      <c r="U1433" s="16"/>
      <c r="V1433" s="16"/>
      <c r="W1433" s="16"/>
      <c r="X1433" s="16"/>
      <c r="Y1433" s="11"/>
      <c r="Z1433" s="11"/>
      <c r="AA1433" s="11"/>
      <c r="AB1433" s="11"/>
      <c r="AC1433" s="11"/>
      <c r="AD1433" s="11"/>
    </row>
    <row r="1434">
      <c r="A1434" s="10"/>
      <c r="B1434" s="10"/>
      <c r="C1434" s="10"/>
      <c r="D1434" s="10"/>
      <c r="E1434" s="10"/>
      <c r="F1434" s="11"/>
      <c r="G1434" s="11"/>
      <c r="H1434" s="11"/>
      <c r="I1434" s="11"/>
      <c r="J1434" s="11" t="str">
        <f>IFERROR(__xludf.DUMMYFUNCTION("IFERROR(FILTER(Stats!$F:$Z,(Stats!$A:$A=$A1434)*(Stats!$B:$B=$B1434)))"),"#REF!")</f>
        <v>#REF!</v>
      </c>
      <c r="K1434" s="11"/>
      <c r="L1434" s="12"/>
      <c r="M1434" s="11"/>
      <c r="N1434" s="11"/>
      <c r="O1434" s="13"/>
      <c r="P1434" s="14"/>
      <c r="Q1434" s="13"/>
      <c r="R1434" s="13"/>
      <c r="S1434" s="15"/>
      <c r="T1434" s="16"/>
      <c r="U1434" s="16"/>
      <c r="V1434" s="16"/>
      <c r="W1434" s="16"/>
      <c r="X1434" s="16"/>
      <c r="Y1434" s="11"/>
      <c r="Z1434" s="11"/>
      <c r="AA1434" s="11"/>
      <c r="AB1434" s="11"/>
      <c r="AC1434" s="11"/>
      <c r="AD1434" s="11"/>
    </row>
    <row r="1435">
      <c r="A1435" s="10"/>
      <c r="B1435" s="10"/>
      <c r="C1435" s="10"/>
      <c r="D1435" s="10"/>
      <c r="E1435" s="10"/>
      <c r="F1435" s="11"/>
      <c r="G1435" s="11"/>
      <c r="H1435" s="11"/>
      <c r="I1435" s="11"/>
      <c r="J1435" s="11" t="str">
        <f>IFERROR(__xludf.DUMMYFUNCTION("IFERROR(FILTER(Stats!$F:$Z,(Stats!$A:$A=$A1435)*(Stats!$B:$B=$B1435)))"),"#REF!")</f>
        <v>#REF!</v>
      </c>
      <c r="K1435" s="11"/>
      <c r="L1435" s="12"/>
      <c r="M1435" s="11"/>
      <c r="N1435" s="11"/>
      <c r="O1435" s="13"/>
      <c r="P1435" s="14"/>
      <c r="Q1435" s="13"/>
      <c r="R1435" s="13"/>
      <c r="S1435" s="15"/>
      <c r="T1435" s="16"/>
      <c r="U1435" s="16"/>
      <c r="V1435" s="16"/>
      <c r="W1435" s="16"/>
      <c r="X1435" s="16"/>
      <c r="Y1435" s="11"/>
      <c r="Z1435" s="11"/>
      <c r="AA1435" s="11"/>
      <c r="AB1435" s="11"/>
      <c r="AC1435" s="11"/>
      <c r="AD1435" s="11"/>
    </row>
    <row r="1436">
      <c r="A1436" s="10"/>
      <c r="B1436" s="10"/>
      <c r="C1436" s="10"/>
      <c r="D1436" s="10"/>
      <c r="E1436" s="10"/>
      <c r="F1436" s="11"/>
      <c r="G1436" s="11"/>
      <c r="H1436" s="11"/>
      <c r="I1436" s="11"/>
      <c r="J1436" s="11" t="str">
        <f>IFERROR(__xludf.DUMMYFUNCTION("IFERROR(FILTER(Stats!$F:$Z,(Stats!$A:$A=$A1436)*(Stats!$B:$B=$B1436)))"),"#REF!")</f>
        <v>#REF!</v>
      </c>
      <c r="K1436" s="11"/>
      <c r="L1436" s="12"/>
      <c r="M1436" s="11"/>
      <c r="N1436" s="11"/>
      <c r="O1436" s="13"/>
      <c r="P1436" s="14"/>
      <c r="Q1436" s="13"/>
      <c r="R1436" s="13"/>
      <c r="S1436" s="15"/>
      <c r="T1436" s="16"/>
      <c r="U1436" s="16"/>
      <c r="V1436" s="16"/>
      <c r="W1436" s="16"/>
      <c r="X1436" s="16"/>
      <c r="Y1436" s="11"/>
      <c r="Z1436" s="11"/>
      <c r="AA1436" s="11"/>
      <c r="AB1436" s="11"/>
      <c r="AC1436" s="11"/>
      <c r="AD1436" s="11"/>
    </row>
    <row r="1437">
      <c r="A1437" s="10"/>
      <c r="B1437" s="10"/>
      <c r="C1437" s="10"/>
      <c r="D1437" s="10"/>
      <c r="E1437" s="10"/>
      <c r="F1437" s="11"/>
      <c r="G1437" s="11"/>
      <c r="H1437" s="11"/>
      <c r="I1437" s="11"/>
      <c r="J1437" s="11" t="str">
        <f>IFERROR(__xludf.DUMMYFUNCTION("IFERROR(FILTER(Stats!$F:$Z,(Stats!$A:$A=$A1437)*(Stats!$B:$B=$B1437)))"),"#REF!")</f>
        <v>#REF!</v>
      </c>
      <c r="K1437" s="11"/>
      <c r="L1437" s="12"/>
      <c r="M1437" s="11"/>
      <c r="N1437" s="11"/>
      <c r="O1437" s="13"/>
      <c r="P1437" s="14"/>
      <c r="Q1437" s="13"/>
      <c r="R1437" s="13"/>
      <c r="S1437" s="15"/>
      <c r="T1437" s="16"/>
      <c r="U1437" s="16"/>
      <c r="V1437" s="16"/>
      <c r="W1437" s="16"/>
      <c r="X1437" s="16"/>
      <c r="Y1437" s="11"/>
      <c r="Z1437" s="11"/>
      <c r="AA1437" s="11"/>
      <c r="AB1437" s="11"/>
      <c r="AC1437" s="11"/>
      <c r="AD1437" s="11"/>
    </row>
    <row r="1438">
      <c r="A1438" s="10"/>
      <c r="B1438" s="10"/>
      <c r="C1438" s="10"/>
      <c r="D1438" s="10"/>
      <c r="E1438" s="10"/>
      <c r="F1438" s="11"/>
      <c r="G1438" s="11"/>
      <c r="H1438" s="11"/>
      <c r="I1438" s="11"/>
      <c r="J1438" s="11" t="str">
        <f>IFERROR(__xludf.DUMMYFUNCTION("IFERROR(FILTER(Stats!$F:$Z,(Stats!$A:$A=$A1438)*(Stats!$B:$B=$B1438)))"),"#REF!")</f>
        <v>#REF!</v>
      </c>
      <c r="K1438" s="11"/>
      <c r="L1438" s="12"/>
      <c r="M1438" s="11"/>
      <c r="N1438" s="11"/>
      <c r="O1438" s="13"/>
      <c r="P1438" s="14"/>
      <c r="Q1438" s="13"/>
      <c r="R1438" s="13"/>
      <c r="S1438" s="15"/>
      <c r="T1438" s="16"/>
      <c r="U1438" s="16"/>
      <c r="V1438" s="16"/>
      <c r="W1438" s="16"/>
      <c r="X1438" s="16"/>
      <c r="Y1438" s="11"/>
      <c r="Z1438" s="11"/>
      <c r="AA1438" s="11"/>
      <c r="AB1438" s="11"/>
      <c r="AC1438" s="11"/>
      <c r="AD1438" s="11"/>
    </row>
    <row r="1439">
      <c r="A1439" s="10"/>
      <c r="B1439" s="10"/>
      <c r="C1439" s="10"/>
      <c r="D1439" s="10"/>
      <c r="E1439" s="10"/>
      <c r="F1439" s="11"/>
      <c r="G1439" s="11"/>
      <c r="H1439" s="11"/>
      <c r="I1439" s="11"/>
      <c r="J1439" s="11" t="str">
        <f>IFERROR(__xludf.DUMMYFUNCTION("IFERROR(FILTER(Stats!$F:$Z,(Stats!$A:$A=$A1439)*(Stats!$B:$B=$B1439)))"),"#REF!")</f>
        <v>#REF!</v>
      </c>
      <c r="K1439" s="11"/>
      <c r="L1439" s="12"/>
      <c r="M1439" s="11"/>
      <c r="N1439" s="11"/>
      <c r="O1439" s="13"/>
      <c r="P1439" s="14"/>
      <c r="Q1439" s="13"/>
      <c r="R1439" s="13"/>
      <c r="S1439" s="15"/>
      <c r="T1439" s="16"/>
      <c r="U1439" s="16"/>
      <c r="V1439" s="16"/>
      <c r="W1439" s="16"/>
      <c r="X1439" s="16"/>
      <c r="Y1439" s="11"/>
      <c r="Z1439" s="11"/>
      <c r="AA1439" s="11"/>
      <c r="AB1439" s="11"/>
      <c r="AC1439" s="11"/>
      <c r="AD1439" s="11"/>
    </row>
    <row r="1440">
      <c r="A1440" s="10"/>
      <c r="B1440" s="10"/>
      <c r="C1440" s="10"/>
      <c r="D1440" s="10"/>
      <c r="E1440" s="10"/>
      <c r="F1440" s="11"/>
      <c r="G1440" s="11"/>
      <c r="H1440" s="11"/>
      <c r="I1440" s="11"/>
      <c r="J1440" s="11" t="str">
        <f>IFERROR(__xludf.DUMMYFUNCTION("IFERROR(FILTER(Stats!$F:$Z,(Stats!$A:$A=$A1440)*(Stats!$B:$B=$B1440)))"),"#REF!")</f>
        <v>#REF!</v>
      </c>
      <c r="K1440" s="11"/>
      <c r="L1440" s="12"/>
      <c r="M1440" s="11"/>
      <c r="N1440" s="11"/>
      <c r="O1440" s="13"/>
      <c r="P1440" s="14"/>
      <c r="Q1440" s="13"/>
      <c r="R1440" s="13"/>
      <c r="S1440" s="15"/>
      <c r="T1440" s="16"/>
      <c r="U1440" s="16"/>
      <c r="V1440" s="16"/>
      <c r="W1440" s="16"/>
      <c r="X1440" s="16"/>
      <c r="Y1440" s="11"/>
      <c r="Z1440" s="11"/>
      <c r="AA1440" s="11"/>
      <c r="AB1440" s="11"/>
      <c r="AC1440" s="11"/>
      <c r="AD1440" s="11"/>
    </row>
    <row r="1441">
      <c r="A1441" s="10"/>
      <c r="B1441" s="10"/>
      <c r="C1441" s="10"/>
      <c r="D1441" s="10"/>
      <c r="E1441" s="10"/>
      <c r="F1441" s="11"/>
      <c r="G1441" s="11"/>
      <c r="H1441" s="11"/>
      <c r="I1441" s="11"/>
      <c r="J1441" s="11" t="str">
        <f>IFERROR(__xludf.DUMMYFUNCTION("IFERROR(FILTER(Stats!$F:$Z,(Stats!$A:$A=$A1441)*(Stats!$B:$B=$B1441)))"),"#REF!")</f>
        <v>#REF!</v>
      </c>
      <c r="K1441" s="11"/>
      <c r="L1441" s="12"/>
      <c r="M1441" s="11"/>
      <c r="N1441" s="11"/>
      <c r="O1441" s="13"/>
      <c r="P1441" s="14"/>
      <c r="Q1441" s="13"/>
      <c r="R1441" s="13"/>
      <c r="S1441" s="15"/>
      <c r="T1441" s="16"/>
      <c r="U1441" s="16"/>
      <c r="V1441" s="16"/>
      <c r="W1441" s="16"/>
      <c r="X1441" s="16"/>
      <c r="Y1441" s="11"/>
      <c r="Z1441" s="11"/>
      <c r="AA1441" s="11"/>
      <c r="AB1441" s="11"/>
      <c r="AC1441" s="11"/>
      <c r="AD1441" s="11"/>
    </row>
    <row r="1442">
      <c r="A1442" s="10"/>
      <c r="B1442" s="10"/>
      <c r="C1442" s="10"/>
      <c r="D1442" s="10"/>
      <c r="E1442" s="10"/>
      <c r="F1442" s="11"/>
      <c r="G1442" s="11"/>
      <c r="H1442" s="11"/>
      <c r="I1442" s="11"/>
      <c r="J1442" s="11" t="str">
        <f>IFERROR(__xludf.DUMMYFUNCTION("IFERROR(FILTER(Stats!$F:$Z,(Stats!$A:$A=$A1442)*(Stats!$B:$B=$B1442)))"),"#REF!")</f>
        <v>#REF!</v>
      </c>
      <c r="K1442" s="11"/>
      <c r="L1442" s="12"/>
      <c r="M1442" s="11"/>
      <c r="N1442" s="11"/>
      <c r="O1442" s="13"/>
      <c r="P1442" s="14"/>
      <c r="Q1442" s="13"/>
      <c r="R1442" s="13"/>
      <c r="S1442" s="15"/>
      <c r="T1442" s="16"/>
      <c r="U1442" s="16"/>
      <c r="V1442" s="16"/>
      <c r="W1442" s="16"/>
      <c r="X1442" s="16"/>
      <c r="Y1442" s="11"/>
      <c r="Z1442" s="11"/>
      <c r="AA1442" s="11"/>
      <c r="AB1442" s="11"/>
      <c r="AC1442" s="11"/>
      <c r="AD1442" s="11"/>
    </row>
    <row r="1443">
      <c r="A1443" s="10"/>
      <c r="B1443" s="10"/>
      <c r="C1443" s="10"/>
      <c r="D1443" s="10"/>
      <c r="E1443" s="10"/>
      <c r="F1443" s="11"/>
      <c r="G1443" s="11"/>
      <c r="H1443" s="11"/>
      <c r="I1443" s="11"/>
      <c r="J1443" s="11" t="str">
        <f>IFERROR(__xludf.DUMMYFUNCTION("IFERROR(FILTER(Stats!$F:$Z,(Stats!$A:$A=$A1443)*(Stats!$B:$B=$B1443)))"),"#REF!")</f>
        <v>#REF!</v>
      </c>
      <c r="K1443" s="11"/>
      <c r="L1443" s="12"/>
      <c r="M1443" s="11"/>
      <c r="N1443" s="11"/>
      <c r="O1443" s="13"/>
      <c r="P1443" s="14"/>
      <c r="Q1443" s="13"/>
      <c r="R1443" s="13"/>
      <c r="S1443" s="15"/>
      <c r="T1443" s="16"/>
      <c r="U1443" s="16"/>
      <c r="V1443" s="16"/>
      <c r="W1443" s="16"/>
      <c r="X1443" s="16"/>
      <c r="Y1443" s="11"/>
      <c r="Z1443" s="11"/>
      <c r="AA1443" s="11"/>
      <c r="AB1443" s="11"/>
      <c r="AC1443" s="11"/>
      <c r="AD1443" s="11"/>
    </row>
    <row r="1444">
      <c r="A1444" s="10"/>
      <c r="B1444" s="10"/>
      <c r="C1444" s="10"/>
      <c r="D1444" s="10"/>
      <c r="E1444" s="10"/>
      <c r="F1444" s="11"/>
      <c r="G1444" s="11"/>
      <c r="H1444" s="11"/>
      <c r="I1444" s="11"/>
      <c r="J1444" s="11" t="str">
        <f>IFERROR(__xludf.DUMMYFUNCTION("IFERROR(FILTER(Stats!$F:$Z,(Stats!$A:$A=$A1444)*(Stats!$B:$B=$B1444)))"),"#REF!")</f>
        <v>#REF!</v>
      </c>
      <c r="K1444" s="11"/>
      <c r="L1444" s="12"/>
      <c r="M1444" s="11"/>
      <c r="N1444" s="11"/>
      <c r="O1444" s="13"/>
      <c r="P1444" s="14"/>
      <c r="Q1444" s="13"/>
      <c r="R1444" s="13"/>
      <c r="S1444" s="15"/>
      <c r="T1444" s="16"/>
      <c r="U1444" s="16"/>
      <c r="V1444" s="16"/>
      <c r="W1444" s="16"/>
      <c r="X1444" s="16"/>
      <c r="Y1444" s="11"/>
      <c r="Z1444" s="11"/>
      <c r="AA1444" s="11"/>
      <c r="AB1444" s="11"/>
      <c r="AC1444" s="11"/>
      <c r="AD1444" s="11"/>
    </row>
    <row r="1445">
      <c r="A1445" s="10"/>
      <c r="B1445" s="10"/>
      <c r="C1445" s="10"/>
      <c r="D1445" s="10"/>
      <c r="E1445" s="10"/>
      <c r="F1445" s="11"/>
      <c r="G1445" s="11"/>
      <c r="H1445" s="11"/>
      <c r="I1445" s="11"/>
      <c r="J1445" s="11" t="str">
        <f>IFERROR(__xludf.DUMMYFUNCTION("IFERROR(FILTER(Stats!$F:$Z,(Stats!$A:$A=$A1445)*(Stats!$B:$B=$B1445)))"),"#REF!")</f>
        <v>#REF!</v>
      </c>
      <c r="K1445" s="11"/>
      <c r="L1445" s="12"/>
      <c r="M1445" s="11"/>
      <c r="N1445" s="11"/>
      <c r="O1445" s="13"/>
      <c r="P1445" s="14"/>
      <c r="Q1445" s="13"/>
      <c r="R1445" s="13"/>
      <c r="S1445" s="15"/>
      <c r="T1445" s="16"/>
      <c r="U1445" s="16"/>
      <c r="V1445" s="16"/>
      <c r="W1445" s="16"/>
      <c r="X1445" s="16"/>
      <c r="Y1445" s="11"/>
      <c r="Z1445" s="11"/>
      <c r="AA1445" s="11"/>
      <c r="AB1445" s="11"/>
      <c r="AC1445" s="11"/>
      <c r="AD1445" s="11"/>
    </row>
    <row r="1446">
      <c r="A1446" s="10"/>
      <c r="B1446" s="10"/>
      <c r="C1446" s="10"/>
      <c r="D1446" s="10"/>
      <c r="E1446" s="10"/>
      <c r="F1446" s="11"/>
      <c r="G1446" s="11"/>
      <c r="H1446" s="11"/>
      <c r="I1446" s="11"/>
      <c r="J1446" s="11" t="str">
        <f>IFERROR(__xludf.DUMMYFUNCTION("IFERROR(FILTER(Stats!$F:$Z,(Stats!$A:$A=$A1446)*(Stats!$B:$B=$B1446)))"),"#REF!")</f>
        <v>#REF!</v>
      </c>
      <c r="K1446" s="11"/>
      <c r="L1446" s="12"/>
      <c r="M1446" s="11"/>
      <c r="N1446" s="11"/>
      <c r="O1446" s="13"/>
      <c r="P1446" s="14"/>
      <c r="Q1446" s="13"/>
      <c r="R1446" s="13"/>
      <c r="S1446" s="15"/>
      <c r="T1446" s="16"/>
      <c r="U1446" s="16"/>
      <c r="V1446" s="16"/>
      <c r="W1446" s="16"/>
      <c r="X1446" s="16"/>
      <c r="Y1446" s="11"/>
      <c r="Z1446" s="11"/>
      <c r="AA1446" s="11"/>
      <c r="AB1446" s="11"/>
      <c r="AC1446" s="11"/>
      <c r="AD1446" s="11"/>
    </row>
    <row r="1447">
      <c r="A1447" s="10"/>
      <c r="B1447" s="10"/>
      <c r="C1447" s="10"/>
      <c r="D1447" s="10"/>
      <c r="E1447" s="10"/>
      <c r="F1447" s="11"/>
      <c r="G1447" s="11"/>
      <c r="H1447" s="11"/>
      <c r="I1447" s="11"/>
      <c r="J1447" s="11" t="str">
        <f>IFERROR(__xludf.DUMMYFUNCTION("IFERROR(FILTER(Stats!$F:$Z,(Stats!$A:$A=$A1447)*(Stats!$B:$B=$B1447)))"),"#REF!")</f>
        <v>#REF!</v>
      </c>
      <c r="K1447" s="11"/>
      <c r="L1447" s="12"/>
      <c r="M1447" s="11"/>
      <c r="N1447" s="11"/>
      <c r="O1447" s="13"/>
      <c r="P1447" s="14"/>
      <c r="Q1447" s="13"/>
      <c r="R1447" s="13"/>
      <c r="S1447" s="15"/>
      <c r="T1447" s="16"/>
      <c r="U1447" s="16"/>
      <c r="V1447" s="16"/>
      <c r="W1447" s="16"/>
      <c r="X1447" s="16"/>
      <c r="Y1447" s="11"/>
      <c r="Z1447" s="11"/>
      <c r="AA1447" s="11"/>
      <c r="AB1447" s="11"/>
      <c r="AC1447" s="11"/>
      <c r="AD1447" s="11"/>
    </row>
    <row r="1448">
      <c r="A1448" s="10"/>
      <c r="B1448" s="10"/>
      <c r="C1448" s="10"/>
      <c r="D1448" s="10"/>
      <c r="E1448" s="10"/>
      <c r="F1448" s="11"/>
      <c r="G1448" s="11"/>
      <c r="H1448" s="11"/>
      <c r="I1448" s="11"/>
      <c r="J1448" s="11" t="str">
        <f>IFERROR(__xludf.DUMMYFUNCTION("IFERROR(FILTER(Stats!$F:$Z,(Stats!$A:$A=$A1448)*(Stats!$B:$B=$B1448)))"),"#REF!")</f>
        <v>#REF!</v>
      </c>
      <c r="K1448" s="11"/>
      <c r="L1448" s="12"/>
      <c r="M1448" s="11"/>
      <c r="N1448" s="11"/>
      <c r="O1448" s="13"/>
      <c r="P1448" s="14"/>
      <c r="Q1448" s="13"/>
      <c r="R1448" s="13"/>
      <c r="S1448" s="15"/>
      <c r="T1448" s="16"/>
      <c r="U1448" s="16"/>
      <c r="V1448" s="16"/>
      <c r="W1448" s="16"/>
      <c r="X1448" s="16"/>
      <c r="Y1448" s="11"/>
      <c r="Z1448" s="11"/>
      <c r="AA1448" s="11"/>
      <c r="AB1448" s="11"/>
      <c r="AC1448" s="11"/>
      <c r="AD1448" s="11"/>
    </row>
    <row r="1449">
      <c r="A1449" s="10"/>
      <c r="B1449" s="10"/>
      <c r="C1449" s="10"/>
      <c r="D1449" s="10"/>
      <c r="E1449" s="10"/>
      <c r="F1449" s="11"/>
      <c r="G1449" s="11"/>
      <c r="H1449" s="11"/>
      <c r="I1449" s="11"/>
      <c r="J1449" s="11" t="str">
        <f>IFERROR(__xludf.DUMMYFUNCTION("IFERROR(FILTER(Stats!$F:$Z,(Stats!$A:$A=$A1449)*(Stats!$B:$B=$B1449)))"),"#REF!")</f>
        <v>#REF!</v>
      </c>
      <c r="K1449" s="11"/>
      <c r="L1449" s="12"/>
      <c r="M1449" s="11"/>
      <c r="N1449" s="11"/>
      <c r="O1449" s="13"/>
      <c r="P1449" s="14"/>
      <c r="Q1449" s="13"/>
      <c r="R1449" s="13"/>
      <c r="S1449" s="15"/>
      <c r="T1449" s="16"/>
      <c r="U1449" s="16"/>
      <c r="V1449" s="16"/>
      <c r="W1449" s="16"/>
      <c r="X1449" s="16"/>
      <c r="Y1449" s="11"/>
      <c r="Z1449" s="11"/>
      <c r="AA1449" s="11"/>
      <c r="AB1449" s="11"/>
      <c r="AC1449" s="11"/>
      <c r="AD1449" s="11"/>
    </row>
    <row r="1450">
      <c r="A1450" s="10"/>
      <c r="B1450" s="10"/>
      <c r="C1450" s="10"/>
      <c r="D1450" s="10"/>
      <c r="E1450" s="10"/>
      <c r="F1450" s="11"/>
      <c r="G1450" s="11"/>
      <c r="H1450" s="11"/>
      <c r="I1450" s="11"/>
      <c r="J1450" s="11" t="str">
        <f>IFERROR(__xludf.DUMMYFUNCTION("IFERROR(FILTER(Stats!$F:$Z,(Stats!$A:$A=$A1450)*(Stats!$B:$B=$B1450)))"),"#REF!")</f>
        <v>#REF!</v>
      </c>
      <c r="K1450" s="11"/>
      <c r="L1450" s="12"/>
      <c r="M1450" s="11"/>
      <c r="N1450" s="11"/>
      <c r="O1450" s="13"/>
      <c r="P1450" s="14"/>
      <c r="Q1450" s="13"/>
      <c r="R1450" s="13"/>
      <c r="S1450" s="15"/>
      <c r="T1450" s="16"/>
      <c r="U1450" s="16"/>
      <c r="V1450" s="16"/>
      <c r="W1450" s="16"/>
      <c r="X1450" s="16"/>
      <c r="Y1450" s="11"/>
      <c r="Z1450" s="11"/>
      <c r="AA1450" s="11"/>
      <c r="AB1450" s="11"/>
      <c r="AC1450" s="11"/>
      <c r="AD1450" s="11"/>
    </row>
    <row r="1451">
      <c r="A1451" s="10"/>
      <c r="B1451" s="10"/>
      <c r="C1451" s="10"/>
      <c r="D1451" s="10"/>
      <c r="E1451" s="10"/>
      <c r="F1451" s="11"/>
      <c r="G1451" s="11"/>
      <c r="H1451" s="11"/>
      <c r="I1451" s="11"/>
      <c r="J1451" s="11" t="str">
        <f>IFERROR(__xludf.DUMMYFUNCTION("IFERROR(FILTER(Stats!$F:$Z,(Stats!$A:$A=$A1451)*(Stats!$B:$B=$B1451)))"),"#REF!")</f>
        <v>#REF!</v>
      </c>
      <c r="K1451" s="11"/>
      <c r="L1451" s="12"/>
      <c r="M1451" s="11"/>
      <c r="N1451" s="11"/>
      <c r="O1451" s="13"/>
      <c r="P1451" s="14"/>
      <c r="Q1451" s="13"/>
      <c r="R1451" s="13"/>
      <c r="S1451" s="15"/>
      <c r="T1451" s="16"/>
      <c r="U1451" s="16"/>
      <c r="V1451" s="16"/>
      <c r="W1451" s="16"/>
      <c r="X1451" s="16"/>
      <c r="Y1451" s="11"/>
      <c r="Z1451" s="11"/>
      <c r="AA1451" s="11"/>
      <c r="AB1451" s="11"/>
      <c r="AC1451" s="11"/>
      <c r="AD1451" s="11"/>
    </row>
    <row r="1452">
      <c r="A1452" s="10"/>
      <c r="B1452" s="10"/>
      <c r="C1452" s="10"/>
      <c r="D1452" s="10"/>
      <c r="E1452" s="10"/>
      <c r="F1452" s="11"/>
      <c r="G1452" s="11"/>
      <c r="H1452" s="11"/>
      <c r="I1452" s="11"/>
      <c r="J1452" s="11" t="str">
        <f>IFERROR(__xludf.DUMMYFUNCTION("IFERROR(FILTER(Stats!$F:$Z,(Stats!$A:$A=$A1452)*(Stats!$B:$B=$B1452)))"),"#REF!")</f>
        <v>#REF!</v>
      </c>
      <c r="K1452" s="11"/>
      <c r="L1452" s="12"/>
      <c r="M1452" s="11"/>
      <c r="N1452" s="11"/>
      <c r="O1452" s="13"/>
      <c r="P1452" s="14"/>
      <c r="Q1452" s="13"/>
      <c r="R1452" s="13"/>
      <c r="S1452" s="15"/>
      <c r="T1452" s="16"/>
      <c r="U1452" s="16"/>
      <c r="V1452" s="16"/>
      <c r="W1452" s="16"/>
      <c r="X1452" s="16"/>
      <c r="Y1452" s="11"/>
      <c r="Z1452" s="11"/>
      <c r="AA1452" s="11"/>
      <c r="AB1452" s="11"/>
      <c r="AC1452" s="11"/>
      <c r="AD1452" s="11"/>
    </row>
    <row r="1453">
      <c r="A1453" s="10"/>
      <c r="B1453" s="10"/>
      <c r="C1453" s="10"/>
      <c r="D1453" s="10"/>
      <c r="E1453" s="10"/>
      <c r="F1453" s="11"/>
      <c r="G1453" s="11"/>
      <c r="H1453" s="11"/>
      <c r="I1453" s="11"/>
      <c r="J1453" s="11" t="str">
        <f>IFERROR(__xludf.DUMMYFUNCTION("IFERROR(FILTER(Stats!$F:$Z,(Stats!$A:$A=$A1453)*(Stats!$B:$B=$B1453)))"),"#REF!")</f>
        <v>#REF!</v>
      </c>
      <c r="K1453" s="11"/>
      <c r="L1453" s="12"/>
      <c r="M1453" s="11"/>
      <c r="N1453" s="11"/>
      <c r="O1453" s="13"/>
      <c r="P1453" s="14"/>
      <c r="Q1453" s="13"/>
      <c r="R1453" s="13"/>
      <c r="S1453" s="15"/>
      <c r="T1453" s="16"/>
      <c r="U1453" s="16"/>
      <c r="V1453" s="16"/>
      <c r="W1453" s="16"/>
      <c r="X1453" s="16"/>
      <c r="Y1453" s="11"/>
      <c r="Z1453" s="11"/>
      <c r="AA1453" s="11"/>
      <c r="AB1453" s="11"/>
      <c r="AC1453" s="11"/>
      <c r="AD1453" s="11"/>
    </row>
    <row r="1454">
      <c r="A1454" s="10"/>
      <c r="B1454" s="10"/>
      <c r="C1454" s="10"/>
      <c r="D1454" s="10"/>
      <c r="E1454" s="10"/>
      <c r="F1454" s="11"/>
      <c r="G1454" s="11"/>
      <c r="H1454" s="11"/>
      <c r="I1454" s="11"/>
      <c r="J1454" s="11" t="str">
        <f>IFERROR(__xludf.DUMMYFUNCTION("IFERROR(FILTER(Stats!$F:$Z,(Stats!$A:$A=$A1454)*(Stats!$B:$B=$B1454)))"),"#REF!")</f>
        <v>#REF!</v>
      </c>
      <c r="K1454" s="11"/>
      <c r="L1454" s="12"/>
      <c r="M1454" s="11"/>
      <c r="N1454" s="11"/>
      <c r="O1454" s="13"/>
      <c r="P1454" s="14"/>
      <c r="Q1454" s="13"/>
      <c r="R1454" s="13"/>
      <c r="S1454" s="15"/>
      <c r="T1454" s="16"/>
      <c r="U1454" s="16"/>
      <c r="V1454" s="16"/>
      <c r="W1454" s="16"/>
      <c r="X1454" s="16"/>
      <c r="Y1454" s="11"/>
      <c r="Z1454" s="11"/>
      <c r="AA1454" s="11"/>
      <c r="AB1454" s="11"/>
      <c r="AC1454" s="11"/>
      <c r="AD1454" s="11"/>
    </row>
    <row r="1455">
      <c r="A1455" s="10"/>
      <c r="B1455" s="10"/>
      <c r="C1455" s="10"/>
      <c r="D1455" s="10"/>
      <c r="E1455" s="10"/>
      <c r="F1455" s="11"/>
      <c r="G1455" s="11"/>
      <c r="H1455" s="11"/>
      <c r="I1455" s="11"/>
      <c r="J1455" s="11" t="str">
        <f>IFERROR(__xludf.DUMMYFUNCTION("IFERROR(FILTER(Stats!$F:$Z,(Stats!$A:$A=$A1455)*(Stats!$B:$B=$B1455)))"),"#REF!")</f>
        <v>#REF!</v>
      </c>
      <c r="K1455" s="11"/>
      <c r="L1455" s="12"/>
      <c r="M1455" s="11"/>
      <c r="N1455" s="11"/>
      <c r="O1455" s="13"/>
      <c r="P1455" s="14"/>
      <c r="Q1455" s="13"/>
      <c r="R1455" s="13"/>
      <c r="S1455" s="15"/>
      <c r="T1455" s="16"/>
      <c r="U1455" s="16"/>
      <c r="V1455" s="16"/>
      <c r="W1455" s="16"/>
      <c r="X1455" s="16"/>
      <c r="Y1455" s="11"/>
      <c r="Z1455" s="11"/>
      <c r="AA1455" s="11"/>
      <c r="AB1455" s="11"/>
      <c r="AC1455" s="11"/>
      <c r="AD1455" s="11"/>
    </row>
    <row r="1456">
      <c r="A1456" s="10"/>
      <c r="B1456" s="10"/>
      <c r="C1456" s="10"/>
      <c r="D1456" s="10"/>
      <c r="E1456" s="10"/>
      <c r="F1456" s="11"/>
      <c r="G1456" s="11"/>
      <c r="H1456" s="11"/>
      <c r="I1456" s="11"/>
      <c r="J1456" s="11" t="str">
        <f>IFERROR(__xludf.DUMMYFUNCTION("IFERROR(FILTER(Stats!$F:$Z,(Stats!$A:$A=$A1456)*(Stats!$B:$B=$B1456)))"),"#REF!")</f>
        <v>#REF!</v>
      </c>
      <c r="K1456" s="11"/>
      <c r="L1456" s="12"/>
      <c r="M1456" s="11"/>
      <c r="N1456" s="11"/>
      <c r="O1456" s="13"/>
      <c r="P1456" s="14"/>
      <c r="Q1456" s="13"/>
      <c r="R1456" s="13"/>
      <c r="S1456" s="15"/>
      <c r="T1456" s="16"/>
      <c r="U1456" s="16"/>
      <c r="V1456" s="16"/>
      <c r="W1456" s="16"/>
      <c r="X1456" s="16"/>
      <c r="Y1456" s="11"/>
      <c r="Z1456" s="11"/>
      <c r="AA1456" s="11"/>
      <c r="AB1456" s="11"/>
      <c r="AC1456" s="11"/>
      <c r="AD1456" s="11"/>
    </row>
    <row r="1457">
      <c r="A1457" s="10"/>
      <c r="B1457" s="10"/>
      <c r="C1457" s="10"/>
      <c r="D1457" s="10"/>
      <c r="E1457" s="10"/>
      <c r="F1457" s="11"/>
      <c r="G1457" s="11"/>
      <c r="H1457" s="11"/>
      <c r="I1457" s="11"/>
      <c r="J1457" s="11" t="str">
        <f>IFERROR(__xludf.DUMMYFUNCTION("IFERROR(FILTER(Stats!$F:$Z,(Stats!$A:$A=$A1457)*(Stats!$B:$B=$B1457)))"),"#REF!")</f>
        <v>#REF!</v>
      </c>
      <c r="K1457" s="11"/>
      <c r="L1457" s="12"/>
      <c r="M1457" s="11"/>
      <c r="N1457" s="11"/>
      <c r="O1457" s="13"/>
      <c r="P1457" s="14"/>
      <c r="Q1457" s="13"/>
      <c r="R1457" s="13"/>
      <c r="S1457" s="15"/>
      <c r="T1457" s="16"/>
      <c r="U1457" s="16"/>
      <c r="V1457" s="16"/>
      <c r="W1457" s="16"/>
      <c r="X1457" s="16"/>
      <c r="Y1457" s="11"/>
      <c r="Z1457" s="11"/>
      <c r="AA1457" s="11"/>
      <c r="AB1457" s="11"/>
      <c r="AC1457" s="11"/>
      <c r="AD1457" s="11"/>
    </row>
    <row r="1458">
      <c r="A1458" s="10"/>
      <c r="B1458" s="10"/>
      <c r="C1458" s="10"/>
      <c r="D1458" s="10"/>
      <c r="E1458" s="10"/>
      <c r="F1458" s="11"/>
      <c r="G1458" s="11"/>
      <c r="H1458" s="11"/>
      <c r="I1458" s="11"/>
      <c r="J1458" s="11" t="str">
        <f>IFERROR(__xludf.DUMMYFUNCTION("IFERROR(FILTER(Stats!$F:$Z,(Stats!$A:$A=$A1458)*(Stats!$B:$B=$B1458)))"),"#REF!")</f>
        <v>#REF!</v>
      </c>
      <c r="K1458" s="11"/>
      <c r="L1458" s="12"/>
      <c r="M1458" s="11"/>
      <c r="N1458" s="11"/>
      <c r="O1458" s="13"/>
      <c r="P1458" s="14"/>
      <c r="Q1458" s="13"/>
      <c r="R1458" s="13"/>
      <c r="S1458" s="15"/>
      <c r="T1458" s="16"/>
      <c r="U1458" s="16"/>
      <c r="V1458" s="16"/>
      <c r="W1458" s="16"/>
      <c r="X1458" s="16"/>
      <c r="Y1458" s="11"/>
      <c r="Z1458" s="11"/>
      <c r="AA1458" s="11"/>
      <c r="AB1458" s="11"/>
      <c r="AC1458" s="11"/>
      <c r="AD1458" s="11"/>
    </row>
    <row r="1459">
      <c r="A1459" s="10"/>
      <c r="B1459" s="10"/>
      <c r="C1459" s="10"/>
      <c r="D1459" s="10"/>
      <c r="E1459" s="10"/>
      <c r="F1459" s="11"/>
      <c r="G1459" s="11"/>
      <c r="H1459" s="11"/>
      <c r="I1459" s="11"/>
      <c r="J1459" s="11" t="str">
        <f>IFERROR(__xludf.DUMMYFUNCTION("IFERROR(FILTER(Stats!$F:$Z,(Stats!$A:$A=$A1459)*(Stats!$B:$B=$B1459)))"),"#REF!")</f>
        <v>#REF!</v>
      </c>
      <c r="K1459" s="11"/>
      <c r="L1459" s="12"/>
      <c r="M1459" s="11"/>
      <c r="N1459" s="11"/>
      <c r="O1459" s="13"/>
      <c r="P1459" s="14"/>
      <c r="Q1459" s="13"/>
      <c r="R1459" s="13"/>
      <c r="S1459" s="15"/>
      <c r="T1459" s="16"/>
      <c r="U1459" s="16"/>
      <c r="V1459" s="16"/>
      <c r="W1459" s="16"/>
      <c r="X1459" s="16"/>
      <c r="Y1459" s="11"/>
      <c r="Z1459" s="11"/>
      <c r="AA1459" s="11"/>
      <c r="AB1459" s="11"/>
      <c r="AC1459" s="11"/>
      <c r="AD1459" s="11"/>
    </row>
    <row r="1460">
      <c r="A1460" s="10"/>
      <c r="B1460" s="10"/>
      <c r="C1460" s="10"/>
      <c r="D1460" s="10"/>
      <c r="E1460" s="10"/>
      <c r="F1460" s="11"/>
      <c r="G1460" s="11"/>
      <c r="H1460" s="11"/>
      <c r="I1460" s="11"/>
      <c r="J1460" s="11" t="str">
        <f>IFERROR(__xludf.DUMMYFUNCTION("IFERROR(FILTER(Stats!$F:$Z,(Stats!$A:$A=$A1460)*(Stats!$B:$B=$B1460)))"),"#REF!")</f>
        <v>#REF!</v>
      </c>
      <c r="K1460" s="11"/>
      <c r="L1460" s="12"/>
      <c r="M1460" s="11"/>
      <c r="N1460" s="11"/>
      <c r="O1460" s="13"/>
      <c r="P1460" s="14"/>
      <c r="Q1460" s="13"/>
      <c r="R1460" s="13"/>
      <c r="S1460" s="15"/>
      <c r="T1460" s="16"/>
      <c r="U1460" s="16"/>
      <c r="V1460" s="16"/>
      <c r="W1460" s="16"/>
      <c r="X1460" s="16"/>
      <c r="Y1460" s="11"/>
      <c r="Z1460" s="11"/>
      <c r="AA1460" s="11"/>
      <c r="AB1460" s="11"/>
      <c r="AC1460" s="11"/>
      <c r="AD1460" s="11"/>
    </row>
    <row r="1461">
      <c r="A1461" s="10"/>
      <c r="B1461" s="10"/>
      <c r="C1461" s="10"/>
      <c r="D1461" s="10"/>
      <c r="E1461" s="10"/>
      <c r="F1461" s="11"/>
      <c r="G1461" s="11"/>
      <c r="H1461" s="11"/>
      <c r="I1461" s="11"/>
      <c r="J1461" s="11" t="str">
        <f>IFERROR(__xludf.DUMMYFUNCTION("IFERROR(FILTER(Stats!$F:$Z,(Stats!$A:$A=$A1461)*(Stats!$B:$B=$B1461)))"),"#REF!")</f>
        <v>#REF!</v>
      </c>
      <c r="K1461" s="11"/>
      <c r="L1461" s="12"/>
      <c r="M1461" s="11"/>
      <c r="N1461" s="11"/>
      <c r="O1461" s="13"/>
      <c r="P1461" s="14"/>
      <c r="Q1461" s="13"/>
      <c r="R1461" s="13"/>
      <c r="S1461" s="15"/>
      <c r="T1461" s="16"/>
      <c r="U1461" s="16"/>
      <c r="V1461" s="16"/>
      <c r="W1461" s="16"/>
      <c r="X1461" s="16"/>
      <c r="Y1461" s="11"/>
      <c r="Z1461" s="11"/>
      <c r="AA1461" s="11"/>
      <c r="AB1461" s="11"/>
      <c r="AC1461" s="11"/>
      <c r="AD1461" s="11"/>
    </row>
    <row r="1462">
      <c r="A1462" s="10"/>
      <c r="B1462" s="10"/>
      <c r="C1462" s="10"/>
      <c r="D1462" s="10"/>
      <c r="E1462" s="10"/>
      <c r="F1462" s="11"/>
      <c r="G1462" s="11"/>
      <c r="H1462" s="11"/>
      <c r="I1462" s="11"/>
      <c r="J1462" s="11" t="str">
        <f>IFERROR(__xludf.DUMMYFUNCTION("IFERROR(FILTER(Stats!$F:$Z,(Stats!$A:$A=$A1462)*(Stats!$B:$B=$B1462)))"),"#REF!")</f>
        <v>#REF!</v>
      </c>
      <c r="K1462" s="11"/>
      <c r="L1462" s="12"/>
      <c r="M1462" s="11"/>
      <c r="N1462" s="11"/>
      <c r="O1462" s="13"/>
      <c r="P1462" s="14"/>
      <c r="Q1462" s="13"/>
      <c r="R1462" s="13"/>
      <c r="S1462" s="15"/>
      <c r="T1462" s="16"/>
      <c r="U1462" s="16"/>
      <c r="V1462" s="16"/>
      <c r="W1462" s="16"/>
      <c r="X1462" s="16"/>
      <c r="Y1462" s="11"/>
      <c r="Z1462" s="11"/>
      <c r="AA1462" s="11"/>
      <c r="AB1462" s="11"/>
      <c r="AC1462" s="11"/>
      <c r="AD1462" s="11"/>
    </row>
    <row r="1463">
      <c r="A1463" s="10"/>
      <c r="B1463" s="10"/>
      <c r="C1463" s="10"/>
      <c r="D1463" s="10"/>
      <c r="E1463" s="10"/>
      <c r="F1463" s="11"/>
      <c r="G1463" s="11"/>
      <c r="H1463" s="11"/>
      <c r="I1463" s="11"/>
      <c r="J1463" s="11" t="str">
        <f>IFERROR(__xludf.DUMMYFUNCTION("IFERROR(FILTER(Stats!$F:$Z,(Stats!$A:$A=$A1463)*(Stats!$B:$B=$B1463)))"),"#REF!")</f>
        <v>#REF!</v>
      </c>
      <c r="K1463" s="11"/>
      <c r="L1463" s="12"/>
      <c r="M1463" s="11"/>
      <c r="N1463" s="11"/>
      <c r="O1463" s="13"/>
      <c r="P1463" s="14"/>
      <c r="Q1463" s="13"/>
      <c r="R1463" s="13"/>
      <c r="S1463" s="15"/>
      <c r="T1463" s="16"/>
      <c r="U1463" s="16"/>
      <c r="V1463" s="16"/>
      <c r="W1463" s="16"/>
      <c r="X1463" s="16"/>
      <c r="Y1463" s="11"/>
      <c r="Z1463" s="11"/>
      <c r="AA1463" s="11"/>
      <c r="AB1463" s="11"/>
      <c r="AC1463" s="11"/>
      <c r="AD1463" s="11"/>
    </row>
    <row r="1464">
      <c r="A1464" s="10"/>
      <c r="B1464" s="10"/>
      <c r="C1464" s="10"/>
      <c r="D1464" s="10"/>
      <c r="E1464" s="10"/>
      <c r="F1464" s="11"/>
      <c r="G1464" s="11"/>
      <c r="H1464" s="11"/>
      <c r="I1464" s="11"/>
      <c r="J1464" s="11" t="str">
        <f>IFERROR(__xludf.DUMMYFUNCTION("IFERROR(FILTER(Stats!$F:$Z,(Stats!$A:$A=$A1464)*(Stats!$B:$B=$B1464)))"),"#REF!")</f>
        <v>#REF!</v>
      </c>
      <c r="K1464" s="11"/>
      <c r="L1464" s="12"/>
      <c r="M1464" s="11"/>
      <c r="N1464" s="11"/>
      <c r="O1464" s="13"/>
      <c r="P1464" s="14"/>
      <c r="Q1464" s="13"/>
      <c r="R1464" s="13"/>
      <c r="S1464" s="15"/>
      <c r="T1464" s="16"/>
      <c r="U1464" s="16"/>
      <c r="V1464" s="16"/>
      <c r="W1464" s="16"/>
      <c r="X1464" s="16"/>
      <c r="Y1464" s="11"/>
      <c r="Z1464" s="11"/>
      <c r="AA1464" s="11"/>
      <c r="AB1464" s="11"/>
      <c r="AC1464" s="11"/>
      <c r="AD1464" s="11"/>
    </row>
    <row r="1465">
      <c r="A1465" s="10"/>
      <c r="B1465" s="10"/>
      <c r="C1465" s="10"/>
      <c r="D1465" s="10"/>
      <c r="E1465" s="10"/>
      <c r="F1465" s="11"/>
      <c r="G1465" s="11"/>
      <c r="H1465" s="11"/>
      <c r="I1465" s="11"/>
      <c r="J1465" s="11" t="str">
        <f>IFERROR(__xludf.DUMMYFUNCTION("IFERROR(FILTER(Stats!$F:$Z,(Stats!$A:$A=$A1465)*(Stats!$B:$B=$B1465)))"),"#REF!")</f>
        <v>#REF!</v>
      </c>
      <c r="K1465" s="11"/>
      <c r="L1465" s="12"/>
      <c r="M1465" s="11"/>
      <c r="N1465" s="11"/>
      <c r="O1465" s="13"/>
      <c r="P1465" s="14"/>
      <c r="Q1465" s="13"/>
      <c r="R1465" s="13"/>
      <c r="S1465" s="15"/>
      <c r="T1465" s="16"/>
      <c r="U1465" s="16"/>
      <c r="V1465" s="16"/>
      <c r="W1465" s="16"/>
      <c r="X1465" s="16"/>
      <c r="Y1465" s="11"/>
      <c r="Z1465" s="11"/>
      <c r="AA1465" s="11"/>
      <c r="AB1465" s="11"/>
      <c r="AC1465" s="11"/>
      <c r="AD1465" s="11"/>
    </row>
    <row r="1466">
      <c r="A1466" s="10"/>
      <c r="B1466" s="10"/>
      <c r="C1466" s="10"/>
      <c r="D1466" s="10"/>
      <c r="E1466" s="10"/>
      <c r="F1466" s="11"/>
      <c r="G1466" s="11"/>
      <c r="H1466" s="11"/>
      <c r="I1466" s="11"/>
      <c r="J1466" s="11" t="str">
        <f>IFERROR(__xludf.DUMMYFUNCTION("IFERROR(FILTER(Stats!$F:$Z,(Stats!$A:$A=$A1466)*(Stats!$B:$B=$B1466)))"),"#REF!")</f>
        <v>#REF!</v>
      </c>
      <c r="K1466" s="11"/>
      <c r="L1466" s="12"/>
      <c r="M1466" s="11"/>
      <c r="N1466" s="11"/>
      <c r="O1466" s="13"/>
      <c r="P1466" s="14"/>
      <c r="Q1466" s="13"/>
      <c r="R1466" s="13"/>
      <c r="S1466" s="15"/>
      <c r="T1466" s="16"/>
      <c r="U1466" s="16"/>
      <c r="V1466" s="16"/>
      <c r="W1466" s="16"/>
      <c r="X1466" s="16"/>
      <c r="Y1466" s="11"/>
      <c r="Z1466" s="11"/>
      <c r="AA1466" s="11"/>
      <c r="AB1466" s="11"/>
      <c r="AC1466" s="11"/>
      <c r="AD1466" s="11"/>
    </row>
    <row r="1467">
      <c r="A1467" s="10"/>
      <c r="B1467" s="10"/>
      <c r="C1467" s="10"/>
      <c r="D1467" s="10"/>
      <c r="E1467" s="10"/>
      <c r="F1467" s="11"/>
      <c r="G1467" s="11"/>
      <c r="H1467" s="11"/>
      <c r="I1467" s="11"/>
      <c r="J1467" s="11" t="str">
        <f>IFERROR(__xludf.DUMMYFUNCTION("IFERROR(FILTER(Stats!$F:$Z,(Stats!$A:$A=$A1467)*(Stats!$B:$B=$B1467)))"),"#REF!")</f>
        <v>#REF!</v>
      </c>
      <c r="K1467" s="11"/>
      <c r="L1467" s="12"/>
      <c r="M1467" s="11"/>
      <c r="N1467" s="11"/>
      <c r="O1467" s="13"/>
      <c r="P1467" s="14"/>
      <c r="Q1467" s="13"/>
      <c r="R1467" s="13"/>
      <c r="S1467" s="15"/>
      <c r="T1467" s="16"/>
      <c r="U1467" s="16"/>
      <c r="V1467" s="16"/>
      <c r="W1467" s="16"/>
      <c r="X1467" s="16"/>
      <c r="Y1467" s="11"/>
      <c r="Z1467" s="11"/>
      <c r="AA1467" s="11"/>
      <c r="AB1467" s="11"/>
      <c r="AC1467" s="11"/>
      <c r="AD1467" s="11"/>
    </row>
    <row r="1468">
      <c r="A1468" s="10"/>
      <c r="B1468" s="10"/>
      <c r="C1468" s="10"/>
      <c r="D1468" s="10"/>
      <c r="E1468" s="10"/>
      <c r="F1468" s="11"/>
      <c r="G1468" s="11"/>
      <c r="H1468" s="11"/>
      <c r="I1468" s="11"/>
      <c r="J1468" s="11" t="str">
        <f>IFERROR(__xludf.DUMMYFUNCTION("IFERROR(FILTER(Stats!$F:$Z,(Stats!$A:$A=$A1468)*(Stats!$B:$B=$B1468)))"),"#REF!")</f>
        <v>#REF!</v>
      </c>
      <c r="K1468" s="11"/>
      <c r="L1468" s="12"/>
      <c r="M1468" s="11"/>
      <c r="N1468" s="11"/>
      <c r="O1468" s="13"/>
      <c r="P1468" s="14"/>
      <c r="Q1468" s="13"/>
      <c r="R1468" s="13"/>
      <c r="S1468" s="15"/>
      <c r="T1468" s="16"/>
      <c r="U1468" s="16"/>
      <c r="V1468" s="16"/>
      <c r="W1468" s="16"/>
      <c r="X1468" s="16"/>
      <c r="Y1468" s="11"/>
      <c r="Z1468" s="11"/>
      <c r="AA1468" s="11"/>
      <c r="AB1468" s="11"/>
      <c r="AC1468" s="11"/>
      <c r="AD1468" s="11"/>
    </row>
    <row r="1469">
      <c r="A1469" s="10"/>
      <c r="B1469" s="10"/>
      <c r="C1469" s="10"/>
      <c r="D1469" s="10"/>
      <c r="E1469" s="10"/>
      <c r="F1469" s="11"/>
      <c r="G1469" s="11"/>
      <c r="H1469" s="11"/>
      <c r="I1469" s="11"/>
      <c r="J1469" s="11" t="str">
        <f>IFERROR(__xludf.DUMMYFUNCTION("IFERROR(FILTER(Stats!$F:$Z,(Stats!$A:$A=$A1469)*(Stats!$B:$B=$B1469)))"),"#REF!")</f>
        <v>#REF!</v>
      </c>
      <c r="K1469" s="11"/>
      <c r="L1469" s="12"/>
      <c r="M1469" s="11"/>
      <c r="N1469" s="11"/>
      <c r="O1469" s="13"/>
      <c r="P1469" s="14"/>
      <c r="Q1469" s="13"/>
      <c r="R1469" s="13"/>
      <c r="S1469" s="15"/>
      <c r="T1469" s="16"/>
      <c r="U1469" s="16"/>
      <c r="V1469" s="16"/>
      <c r="W1469" s="16"/>
      <c r="X1469" s="16"/>
      <c r="Y1469" s="11"/>
      <c r="Z1469" s="11"/>
      <c r="AA1469" s="11"/>
      <c r="AB1469" s="11"/>
      <c r="AC1469" s="11"/>
      <c r="AD1469" s="11"/>
    </row>
    <row r="1470">
      <c r="A1470" s="10"/>
      <c r="B1470" s="10"/>
      <c r="C1470" s="10"/>
      <c r="D1470" s="10"/>
      <c r="E1470" s="10"/>
      <c r="F1470" s="11"/>
      <c r="G1470" s="11"/>
      <c r="H1470" s="11"/>
      <c r="I1470" s="11"/>
      <c r="J1470" s="11" t="str">
        <f>IFERROR(__xludf.DUMMYFUNCTION("IFERROR(FILTER(Stats!$F:$Z,(Stats!$A:$A=$A1470)*(Stats!$B:$B=$B1470)))"),"#REF!")</f>
        <v>#REF!</v>
      </c>
      <c r="K1470" s="11"/>
      <c r="L1470" s="12"/>
      <c r="M1470" s="11"/>
      <c r="N1470" s="11"/>
      <c r="O1470" s="13"/>
      <c r="P1470" s="14"/>
      <c r="Q1470" s="13"/>
      <c r="R1470" s="13"/>
      <c r="S1470" s="15"/>
      <c r="T1470" s="16"/>
      <c r="U1470" s="16"/>
      <c r="V1470" s="16"/>
      <c r="W1470" s="16"/>
      <c r="X1470" s="16"/>
      <c r="Y1470" s="11"/>
      <c r="Z1470" s="11"/>
      <c r="AA1470" s="11"/>
      <c r="AB1470" s="11"/>
      <c r="AC1470" s="11"/>
      <c r="AD1470" s="11"/>
    </row>
    <row r="1471">
      <c r="A1471" s="10"/>
      <c r="B1471" s="10"/>
      <c r="C1471" s="10"/>
      <c r="D1471" s="10"/>
      <c r="E1471" s="10"/>
      <c r="F1471" s="11"/>
      <c r="G1471" s="11"/>
      <c r="H1471" s="11"/>
      <c r="I1471" s="11"/>
      <c r="J1471" s="11" t="str">
        <f>IFERROR(__xludf.DUMMYFUNCTION("IFERROR(FILTER(Stats!$F:$Z,(Stats!$A:$A=$A1471)*(Stats!$B:$B=$B1471)))"),"#REF!")</f>
        <v>#REF!</v>
      </c>
      <c r="K1471" s="11"/>
      <c r="L1471" s="12"/>
      <c r="M1471" s="11"/>
      <c r="N1471" s="11"/>
      <c r="O1471" s="13"/>
      <c r="P1471" s="14"/>
      <c r="Q1471" s="13"/>
      <c r="R1471" s="13"/>
      <c r="S1471" s="15"/>
      <c r="T1471" s="16"/>
      <c r="U1471" s="16"/>
      <c r="V1471" s="16"/>
      <c r="W1471" s="16"/>
      <c r="X1471" s="16"/>
      <c r="Y1471" s="11"/>
      <c r="Z1471" s="11"/>
      <c r="AA1471" s="11"/>
      <c r="AB1471" s="11"/>
      <c r="AC1471" s="11"/>
      <c r="AD1471" s="11"/>
    </row>
    <row r="1472">
      <c r="A1472" s="10"/>
      <c r="B1472" s="10"/>
      <c r="C1472" s="10"/>
      <c r="D1472" s="10"/>
      <c r="E1472" s="10"/>
      <c r="F1472" s="11"/>
      <c r="G1472" s="11"/>
      <c r="H1472" s="11"/>
      <c r="I1472" s="11"/>
      <c r="J1472" s="11" t="str">
        <f>IFERROR(__xludf.DUMMYFUNCTION("IFERROR(FILTER(Stats!$F:$Z,(Stats!$A:$A=$A1472)*(Stats!$B:$B=$B1472)))"),"#REF!")</f>
        <v>#REF!</v>
      </c>
      <c r="K1472" s="11"/>
      <c r="L1472" s="12"/>
      <c r="M1472" s="11"/>
      <c r="N1472" s="11"/>
      <c r="O1472" s="13"/>
      <c r="P1472" s="14"/>
      <c r="Q1472" s="13"/>
      <c r="R1472" s="13"/>
      <c r="S1472" s="15"/>
      <c r="T1472" s="16"/>
      <c r="U1472" s="16"/>
      <c r="V1472" s="16"/>
      <c r="W1472" s="16"/>
      <c r="X1472" s="16"/>
      <c r="Y1472" s="11"/>
      <c r="Z1472" s="11"/>
      <c r="AA1472" s="11"/>
      <c r="AB1472" s="11"/>
      <c r="AC1472" s="11"/>
      <c r="AD1472" s="11"/>
    </row>
    <row r="1473">
      <c r="A1473" s="10"/>
      <c r="B1473" s="10"/>
      <c r="C1473" s="10"/>
      <c r="D1473" s="10"/>
      <c r="E1473" s="10"/>
      <c r="F1473" s="11"/>
      <c r="G1473" s="11"/>
      <c r="H1473" s="11"/>
      <c r="I1473" s="11"/>
      <c r="J1473" s="11" t="str">
        <f>IFERROR(__xludf.DUMMYFUNCTION("IFERROR(FILTER(Stats!$F:$Z,(Stats!$A:$A=$A1473)*(Stats!$B:$B=$B1473)))"),"#REF!")</f>
        <v>#REF!</v>
      </c>
      <c r="K1473" s="11"/>
      <c r="L1473" s="12"/>
      <c r="M1473" s="11"/>
      <c r="N1473" s="11"/>
      <c r="O1473" s="13"/>
      <c r="P1473" s="14"/>
      <c r="Q1473" s="13"/>
      <c r="R1473" s="13"/>
      <c r="S1473" s="15"/>
      <c r="T1473" s="16"/>
      <c r="U1473" s="16"/>
      <c r="V1473" s="16"/>
      <c r="W1473" s="16"/>
      <c r="X1473" s="16"/>
      <c r="Y1473" s="11"/>
      <c r="Z1473" s="11"/>
      <c r="AA1473" s="11"/>
      <c r="AB1473" s="11"/>
      <c r="AC1473" s="11"/>
      <c r="AD1473" s="11"/>
    </row>
    <row r="1474">
      <c r="A1474" s="10"/>
      <c r="B1474" s="10"/>
      <c r="C1474" s="10"/>
      <c r="D1474" s="10"/>
      <c r="E1474" s="10"/>
      <c r="F1474" s="11"/>
      <c r="G1474" s="11"/>
      <c r="H1474" s="11"/>
      <c r="I1474" s="11"/>
      <c r="J1474" s="11" t="str">
        <f>IFERROR(__xludf.DUMMYFUNCTION("IFERROR(FILTER(Stats!$F:$Z,(Stats!$A:$A=$A1474)*(Stats!$B:$B=$B1474)))"),"#REF!")</f>
        <v>#REF!</v>
      </c>
      <c r="K1474" s="11"/>
      <c r="L1474" s="12"/>
      <c r="M1474" s="11"/>
      <c r="N1474" s="11"/>
      <c r="O1474" s="13"/>
      <c r="P1474" s="14"/>
      <c r="Q1474" s="13"/>
      <c r="R1474" s="13"/>
      <c r="S1474" s="15"/>
      <c r="T1474" s="16"/>
      <c r="U1474" s="16"/>
      <c r="V1474" s="16"/>
      <c r="W1474" s="16"/>
      <c r="X1474" s="16"/>
      <c r="Y1474" s="11"/>
      <c r="Z1474" s="11"/>
      <c r="AA1474" s="11"/>
      <c r="AB1474" s="11"/>
      <c r="AC1474" s="11"/>
      <c r="AD1474" s="11"/>
    </row>
    <row r="1475">
      <c r="A1475" s="10"/>
      <c r="B1475" s="10"/>
      <c r="C1475" s="10"/>
      <c r="D1475" s="10"/>
      <c r="E1475" s="10"/>
      <c r="F1475" s="11"/>
      <c r="G1475" s="11"/>
      <c r="H1475" s="11"/>
      <c r="I1475" s="11"/>
      <c r="J1475" s="11" t="str">
        <f>IFERROR(__xludf.DUMMYFUNCTION("IFERROR(FILTER(Stats!$F:$Z,(Stats!$A:$A=$A1475)*(Stats!$B:$B=$B1475)))"),"#REF!")</f>
        <v>#REF!</v>
      </c>
      <c r="K1475" s="11"/>
      <c r="L1475" s="12"/>
      <c r="M1475" s="11"/>
      <c r="N1475" s="11"/>
      <c r="O1475" s="13"/>
      <c r="P1475" s="14"/>
      <c r="Q1475" s="13"/>
      <c r="R1475" s="13"/>
      <c r="S1475" s="15"/>
      <c r="T1475" s="16"/>
      <c r="U1475" s="16"/>
      <c r="V1475" s="16"/>
      <c r="W1475" s="16"/>
      <c r="X1475" s="16"/>
      <c r="Y1475" s="11"/>
      <c r="Z1475" s="11"/>
      <c r="AA1475" s="11"/>
      <c r="AB1475" s="11"/>
      <c r="AC1475" s="11"/>
      <c r="AD1475" s="11"/>
    </row>
    <row r="1476">
      <c r="A1476" s="10"/>
      <c r="B1476" s="10"/>
      <c r="C1476" s="10"/>
      <c r="D1476" s="10"/>
      <c r="E1476" s="10"/>
      <c r="F1476" s="11"/>
      <c r="G1476" s="11"/>
      <c r="H1476" s="11"/>
      <c r="I1476" s="11"/>
      <c r="J1476" s="11" t="str">
        <f>IFERROR(__xludf.DUMMYFUNCTION("IFERROR(FILTER(Stats!$F:$Z,(Stats!$A:$A=$A1476)*(Stats!$B:$B=$B1476)))"),"#REF!")</f>
        <v>#REF!</v>
      </c>
      <c r="K1476" s="11"/>
      <c r="L1476" s="12"/>
      <c r="M1476" s="11"/>
      <c r="N1476" s="11"/>
      <c r="O1476" s="13"/>
      <c r="P1476" s="14"/>
      <c r="Q1476" s="13"/>
      <c r="R1476" s="13"/>
      <c r="S1476" s="15"/>
      <c r="T1476" s="16"/>
      <c r="U1476" s="16"/>
      <c r="V1476" s="16"/>
      <c r="W1476" s="16"/>
      <c r="X1476" s="16"/>
      <c r="Y1476" s="11"/>
      <c r="Z1476" s="11"/>
      <c r="AA1476" s="11"/>
      <c r="AB1476" s="11"/>
      <c r="AC1476" s="11"/>
      <c r="AD1476" s="11"/>
    </row>
    <row r="1477">
      <c r="A1477" s="10"/>
      <c r="B1477" s="10"/>
      <c r="C1477" s="10"/>
      <c r="D1477" s="10"/>
      <c r="E1477" s="10"/>
      <c r="F1477" s="11"/>
      <c r="G1477" s="11"/>
      <c r="H1477" s="11"/>
      <c r="I1477" s="11"/>
      <c r="J1477" s="11" t="str">
        <f>IFERROR(__xludf.DUMMYFUNCTION("IFERROR(FILTER(Stats!$F:$Z,(Stats!$A:$A=$A1477)*(Stats!$B:$B=$B1477)))"),"#REF!")</f>
        <v>#REF!</v>
      </c>
      <c r="K1477" s="11"/>
      <c r="L1477" s="12"/>
      <c r="M1477" s="11"/>
      <c r="N1477" s="11"/>
      <c r="O1477" s="13"/>
      <c r="P1477" s="14"/>
      <c r="Q1477" s="13"/>
      <c r="R1477" s="13"/>
      <c r="S1477" s="15"/>
      <c r="T1477" s="16"/>
      <c r="U1477" s="16"/>
      <c r="V1477" s="16"/>
      <c r="W1477" s="16"/>
      <c r="X1477" s="16"/>
      <c r="Y1477" s="11"/>
      <c r="Z1477" s="11"/>
      <c r="AA1477" s="11"/>
      <c r="AB1477" s="11"/>
      <c r="AC1477" s="11"/>
      <c r="AD1477" s="11"/>
    </row>
    <row r="1478">
      <c r="A1478" s="10"/>
      <c r="B1478" s="10"/>
      <c r="C1478" s="10"/>
      <c r="D1478" s="10"/>
      <c r="E1478" s="10"/>
      <c r="F1478" s="11"/>
      <c r="G1478" s="11"/>
      <c r="H1478" s="11"/>
      <c r="I1478" s="11"/>
      <c r="J1478" s="11" t="str">
        <f>IFERROR(__xludf.DUMMYFUNCTION("IFERROR(FILTER(Stats!$F:$Z,(Stats!$A:$A=$A1478)*(Stats!$B:$B=$B1478)))"),"#REF!")</f>
        <v>#REF!</v>
      </c>
      <c r="K1478" s="11"/>
      <c r="L1478" s="12"/>
      <c r="M1478" s="11"/>
      <c r="N1478" s="11"/>
      <c r="O1478" s="13"/>
      <c r="P1478" s="14"/>
      <c r="Q1478" s="13"/>
      <c r="R1478" s="13"/>
      <c r="S1478" s="15"/>
      <c r="T1478" s="16"/>
      <c r="U1478" s="16"/>
      <c r="V1478" s="16"/>
      <c r="W1478" s="16"/>
      <c r="X1478" s="16"/>
      <c r="Y1478" s="11"/>
      <c r="Z1478" s="11"/>
      <c r="AA1478" s="11"/>
      <c r="AB1478" s="11"/>
      <c r="AC1478" s="11"/>
      <c r="AD1478" s="11"/>
    </row>
    <row r="1479">
      <c r="A1479" s="10"/>
      <c r="B1479" s="10"/>
      <c r="C1479" s="10"/>
      <c r="D1479" s="10"/>
      <c r="E1479" s="10"/>
      <c r="F1479" s="11"/>
      <c r="G1479" s="11"/>
      <c r="H1479" s="11"/>
      <c r="I1479" s="11"/>
      <c r="J1479" s="11" t="str">
        <f>IFERROR(__xludf.DUMMYFUNCTION("IFERROR(FILTER(Stats!$F:$Z,(Stats!$A:$A=$A1479)*(Stats!$B:$B=$B1479)))"),"#REF!")</f>
        <v>#REF!</v>
      </c>
      <c r="K1479" s="11"/>
      <c r="L1479" s="12"/>
      <c r="M1479" s="11"/>
      <c r="N1479" s="11"/>
      <c r="O1479" s="13"/>
      <c r="P1479" s="14"/>
      <c r="Q1479" s="13"/>
      <c r="R1479" s="13"/>
      <c r="S1479" s="15"/>
      <c r="T1479" s="16"/>
      <c r="U1479" s="16"/>
      <c r="V1479" s="16"/>
      <c r="W1479" s="16"/>
      <c r="X1479" s="16"/>
      <c r="Y1479" s="11"/>
      <c r="Z1479" s="11"/>
      <c r="AA1479" s="11"/>
      <c r="AB1479" s="11"/>
      <c r="AC1479" s="11"/>
      <c r="AD1479" s="11"/>
    </row>
    <row r="1480">
      <c r="A1480" s="10"/>
      <c r="B1480" s="10"/>
      <c r="C1480" s="10"/>
      <c r="D1480" s="10"/>
      <c r="E1480" s="10"/>
      <c r="F1480" s="11"/>
      <c r="G1480" s="11"/>
      <c r="H1480" s="11"/>
      <c r="I1480" s="11"/>
      <c r="J1480" s="11" t="str">
        <f>IFERROR(__xludf.DUMMYFUNCTION("IFERROR(FILTER(Stats!$F:$Z,(Stats!$A:$A=$A1480)*(Stats!$B:$B=$B1480)))"),"#REF!")</f>
        <v>#REF!</v>
      </c>
      <c r="K1480" s="11"/>
      <c r="L1480" s="12"/>
      <c r="M1480" s="11"/>
      <c r="N1480" s="11"/>
      <c r="O1480" s="13"/>
      <c r="P1480" s="14"/>
      <c r="Q1480" s="13"/>
      <c r="R1480" s="13"/>
      <c r="S1480" s="15"/>
      <c r="T1480" s="16"/>
      <c r="U1480" s="16"/>
      <c r="V1480" s="16"/>
      <c r="W1480" s="16"/>
      <c r="X1480" s="16"/>
      <c r="Y1480" s="11"/>
      <c r="Z1480" s="11"/>
      <c r="AA1480" s="11"/>
      <c r="AB1480" s="11"/>
      <c r="AC1480" s="11"/>
      <c r="AD1480" s="11"/>
    </row>
    <row r="1481">
      <c r="A1481" s="10"/>
      <c r="B1481" s="10"/>
      <c r="C1481" s="10"/>
      <c r="D1481" s="10"/>
      <c r="E1481" s="10"/>
      <c r="F1481" s="11"/>
      <c r="G1481" s="11"/>
      <c r="H1481" s="11"/>
      <c r="I1481" s="11"/>
      <c r="J1481" s="11" t="str">
        <f>IFERROR(__xludf.DUMMYFUNCTION("IFERROR(FILTER(Stats!$F:$Z,(Stats!$A:$A=$A1481)*(Stats!$B:$B=$B1481)))"),"#REF!")</f>
        <v>#REF!</v>
      </c>
      <c r="K1481" s="11"/>
      <c r="L1481" s="12"/>
      <c r="M1481" s="11"/>
      <c r="N1481" s="11"/>
      <c r="O1481" s="13"/>
      <c r="P1481" s="14"/>
      <c r="Q1481" s="13"/>
      <c r="R1481" s="13"/>
      <c r="S1481" s="15"/>
      <c r="T1481" s="16"/>
      <c r="U1481" s="16"/>
      <c r="V1481" s="16"/>
      <c r="W1481" s="16"/>
      <c r="X1481" s="16"/>
      <c r="Y1481" s="11"/>
      <c r="Z1481" s="11"/>
      <c r="AA1481" s="11"/>
      <c r="AB1481" s="11"/>
      <c r="AC1481" s="11"/>
      <c r="AD1481" s="11"/>
    </row>
    <row r="1482">
      <c r="A1482" s="10"/>
      <c r="B1482" s="10"/>
      <c r="C1482" s="10"/>
      <c r="D1482" s="10"/>
      <c r="E1482" s="10"/>
      <c r="F1482" s="11"/>
      <c r="G1482" s="11"/>
      <c r="H1482" s="11"/>
      <c r="I1482" s="11"/>
      <c r="J1482" s="11" t="str">
        <f>IFERROR(__xludf.DUMMYFUNCTION("IFERROR(FILTER(Stats!$F:$Z,(Stats!$A:$A=$A1482)*(Stats!$B:$B=$B1482)))"),"#REF!")</f>
        <v>#REF!</v>
      </c>
      <c r="K1482" s="11"/>
      <c r="L1482" s="12"/>
      <c r="M1482" s="11"/>
      <c r="N1482" s="11"/>
      <c r="O1482" s="13"/>
      <c r="P1482" s="14"/>
      <c r="Q1482" s="13"/>
      <c r="R1482" s="13"/>
      <c r="S1482" s="15"/>
      <c r="T1482" s="16"/>
      <c r="U1482" s="16"/>
      <c r="V1482" s="16"/>
      <c r="W1482" s="16"/>
      <c r="X1482" s="16"/>
      <c r="Y1482" s="11"/>
      <c r="Z1482" s="11"/>
      <c r="AA1482" s="11"/>
      <c r="AB1482" s="11"/>
      <c r="AC1482" s="11"/>
      <c r="AD1482" s="11"/>
    </row>
    <row r="1483">
      <c r="A1483" s="10"/>
      <c r="B1483" s="10"/>
      <c r="C1483" s="10"/>
      <c r="D1483" s="10"/>
      <c r="E1483" s="10"/>
      <c r="F1483" s="11"/>
      <c r="G1483" s="11"/>
      <c r="H1483" s="11"/>
      <c r="I1483" s="11"/>
      <c r="J1483" s="11" t="str">
        <f>IFERROR(__xludf.DUMMYFUNCTION("IFERROR(FILTER(Stats!$F:$Z,(Stats!$A:$A=$A1483)*(Stats!$B:$B=$B1483)))"),"#REF!")</f>
        <v>#REF!</v>
      </c>
      <c r="K1483" s="11"/>
      <c r="L1483" s="12"/>
      <c r="M1483" s="11"/>
      <c r="N1483" s="11"/>
      <c r="O1483" s="13"/>
      <c r="P1483" s="14"/>
      <c r="Q1483" s="13"/>
      <c r="R1483" s="13"/>
      <c r="S1483" s="15"/>
      <c r="T1483" s="16"/>
      <c r="U1483" s="16"/>
      <c r="V1483" s="16"/>
      <c r="W1483" s="16"/>
      <c r="X1483" s="16"/>
      <c r="Y1483" s="11"/>
      <c r="Z1483" s="11"/>
      <c r="AA1483" s="11"/>
      <c r="AB1483" s="11"/>
      <c r="AC1483" s="11"/>
      <c r="AD1483" s="11"/>
    </row>
    <row r="1484">
      <c r="A1484" s="10"/>
      <c r="B1484" s="10"/>
      <c r="C1484" s="10"/>
      <c r="D1484" s="10"/>
      <c r="E1484" s="10"/>
      <c r="F1484" s="11"/>
      <c r="G1484" s="11"/>
      <c r="H1484" s="11"/>
      <c r="I1484" s="11"/>
      <c r="J1484" s="11" t="str">
        <f>IFERROR(__xludf.DUMMYFUNCTION("IFERROR(FILTER(Stats!$F:$Z,(Stats!$A:$A=$A1484)*(Stats!$B:$B=$B1484)))"),"#REF!")</f>
        <v>#REF!</v>
      </c>
      <c r="K1484" s="11"/>
      <c r="L1484" s="12"/>
      <c r="M1484" s="11"/>
      <c r="N1484" s="11"/>
      <c r="O1484" s="13"/>
      <c r="P1484" s="14"/>
      <c r="Q1484" s="13"/>
      <c r="R1484" s="13"/>
      <c r="S1484" s="15"/>
      <c r="T1484" s="16"/>
      <c r="U1484" s="16"/>
      <c r="V1484" s="16"/>
      <c r="W1484" s="16"/>
      <c r="X1484" s="16"/>
      <c r="Y1484" s="11"/>
      <c r="Z1484" s="11"/>
      <c r="AA1484" s="11"/>
      <c r="AB1484" s="11"/>
      <c r="AC1484" s="11"/>
      <c r="AD1484" s="11"/>
    </row>
    <row r="1485">
      <c r="A1485" s="10"/>
      <c r="B1485" s="10"/>
      <c r="C1485" s="10"/>
      <c r="D1485" s="10"/>
      <c r="E1485" s="10"/>
      <c r="F1485" s="11"/>
      <c r="G1485" s="11"/>
      <c r="H1485" s="11"/>
      <c r="I1485" s="11"/>
      <c r="J1485" s="11" t="str">
        <f>IFERROR(__xludf.DUMMYFUNCTION("IFERROR(FILTER(Stats!$F:$Z,(Stats!$A:$A=$A1485)*(Stats!$B:$B=$B1485)))"),"#REF!")</f>
        <v>#REF!</v>
      </c>
      <c r="K1485" s="11"/>
      <c r="L1485" s="12"/>
      <c r="M1485" s="11"/>
      <c r="N1485" s="11"/>
      <c r="O1485" s="13"/>
      <c r="P1485" s="14"/>
      <c r="Q1485" s="13"/>
      <c r="R1485" s="13"/>
      <c r="S1485" s="15"/>
      <c r="T1485" s="16"/>
      <c r="U1485" s="16"/>
      <c r="V1485" s="16"/>
      <c r="W1485" s="16"/>
      <c r="X1485" s="16"/>
      <c r="Y1485" s="11"/>
      <c r="Z1485" s="11"/>
      <c r="AA1485" s="11"/>
      <c r="AB1485" s="11"/>
      <c r="AC1485" s="11"/>
      <c r="AD1485" s="11"/>
    </row>
    <row r="1486">
      <c r="A1486" s="10"/>
      <c r="B1486" s="10"/>
      <c r="C1486" s="10"/>
      <c r="D1486" s="10"/>
      <c r="E1486" s="10"/>
      <c r="F1486" s="11"/>
      <c r="G1486" s="11"/>
      <c r="H1486" s="11"/>
      <c r="I1486" s="11"/>
      <c r="J1486" s="11" t="str">
        <f>IFERROR(__xludf.DUMMYFUNCTION("IFERROR(FILTER(Stats!$F:$Z,(Stats!$A:$A=$A1486)*(Stats!$B:$B=$B1486)))"),"#REF!")</f>
        <v>#REF!</v>
      </c>
      <c r="K1486" s="11"/>
      <c r="L1486" s="12"/>
      <c r="M1486" s="11"/>
      <c r="N1486" s="11"/>
      <c r="O1486" s="13"/>
      <c r="P1486" s="14"/>
      <c r="Q1486" s="13"/>
      <c r="R1486" s="13"/>
      <c r="S1486" s="15"/>
      <c r="T1486" s="16"/>
      <c r="U1486" s="16"/>
      <c r="V1486" s="16"/>
      <c r="W1486" s="16"/>
      <c r="X1486" s="16"/>
      <c r="Y1486" s="11"/>
      <c r="Z1486" s="11"/>
      <c r="AA1486" s="11"/>
      <c r="AB1486" s="11"/>
      <c r="AC1486" s="11"/>
      <c r="AD1486" s="11"/>
    </row>
    <row r="1487">
      <c r="A1487" s="10"/>
      <c r="B1487" s="10"/>
      <c r="C1487" s="10"/>
      <c r="D1487" s="10"/>
      <c r="E1487" s="10"/>
      <c r="F1487" s="11"/>
      <c r="G1487" s="11"/>
      <c r="H1487" s="11"/>
      <c r="I1487" s="11"/>
      <c r="J1487" s="11" t="str">
        <f>IFERROR(__xludf.DUMMYFUNCTION("IFERROR(FILTER(Stats!$F:$Z,(Stats!$A:$A=$A1487)*(Stats!$B:$B=$B1487)))"),"#REF!")</f>
        <v>#REF!</v>
      </c>
      <c r="K1487" s="11"/>
      <c r="L1487" s="12"/>
      <c r="M1487" s="11"/>
      <c r="N1487" s="11"/>
      <c r="O1487" s="13"/>
      <c r="P1487" s="14"/>
      <c r="Q1487" s="13"/>
      <c r="R1487" s="13"/>
      <c r="S1487" s="15"/>
      <c r="T1487" s="16"/>
      <c r="U1487" s="16"/>
      <c r="V1487" s="16"/>
      <c r="W1487" s="16"/>
      <c r="X1487" s="16"/>
      <c r="Y1487" s="11"/>
      <c r="Z1487" s="11"/>
      <c r="AA1487" s="11"/>
      <c r="AB1487" s="11"/>
      <c r="AC1487" s="11"/>
      <c r="AD1487" s="11"/>
    </row>
    <row r="1488">
      <c r="A1488" s="10"/>
      <c r="B1488" s="10"/>
      <c r="C1488" s="10"/>
      <c r="D1488" s="10"/>
      <c r="E1488" s="10"/>
      <c r="F1488" s="11"/>
      <c r="G1488" s="11"/>
      <c r="H1488" s="11"/>
      <c r="I1488" s="11"/>
      <c r="J1488" s="11" t="str">
        <f>IFERROR(__xludf.DUMMYFUNCTION("IFERROR(FILTER(Stats!$F:$Z,(Stats!$A:$A=$A1488)*(Stats!$B:$B=$B1488)))"),"#REF!")</f>
        <v>#REF!</v>
      </c>
      <c r="K1488" s="11"/>
      <c r="L1488" s="12"/>
      <c r="M1488" s="11"/>
      <c r="N1488" s="11"/>
      <c r="O1488" s="13"/>
      <c r="P1488" s="14"/>
      <c r="Q1488" s="13"/>
      <c r="R1488" s="13"/>
      <c r="S1488" s="15"/>
      <c r="T1488" s="16"/>
      <c r="U1488" s="16"/>
      <c r="V1488" s="16"/>
      <c r="W1488" s="16"/>
      <c r="X1488" s="16"/>
      <c r="Y1488" s="11"/>
      <c r="Z1488" s="11"/>
      <c r="AA1488" s="11"/>
      <c r="AB1488" s="11"/>
      <c r="AC1488" s="11"/>
      <c r="AD1488" s="11"/>
    </row>
    <row r="1489">
      <c r="A1489" s="10"/>
      <c r="B1489" s="10"/>
      <c r="C1489" s="10"/>
      <c r="D1489" s="10"/>
      <c r="E1489" s="10"/>
      <c r="F1489" s="11"/>
      <c r="G1489" s="11"/>
      <c r="H1489" s="11"/>
      <c r="I1489" s="11"/>
      <c r="J1489" s="11" t="str">
        <f>IFERROR(__xludf.DUMMYFUNCTION("IFERROR(FILTER(Stats!$F:$Z,(Stats!$A:$A=$A1489)*(Stats!$B:$B=$B1489)))"),"#REF!")</f>
        <v>#REF!</v>
      </c>
      <c r="K1489" s="11"/>
      <c r="L1489" s="12"/>
      <c r="M1489" s="11"/>
      <c r="N1489" s="11"/>
      <c r="O1489" s="13"/>
      <c r="P1489" s="14"/>
      <c r="Q1489" s="13"/>
      <c r="R1489" s="13"/>
      <c r="S1489" s="15"/>
      <c r="T1489" s="16"/>
      <c r="U1489" s="16"/>
      <c r="V1489" s="16"/>
      <c r="W1489" s="16"/>
      <c r="X1489" s="16"/>
      <c r="Y1489" s="11"/>
      <c r="Z1489" s="11"/>
      <c r="AA1489" s="11"/>
      <c r="AB1489" s="11"/>
      <c r="AC1489" s="11"/>
      <c r="AD1489" s="11"/>
    </row>
    <row r="1490">
      <c r="A1490" s="10"/>
      <c r="B1490" s="10"/>
      <c r="C1490" s="10"/>
      <c r="D1490" s="10"/>
      <c r="E1490" s="10"/>
      <c r="F1490" s="11"/>
      <c r="G1490" s="11"/>
      <c r="H1490" s="11"/>
      <c r="I1490" s="11"/>
      <c r="J1490" s="11" t="str">
        <f>IFERROR(__xludf.DUMMYFUNCTION("IFERROR(FILTER(Stats!$F:$Z,(Stats!$A:$A=$A1490)*(Stats!$B:$B=$B1490)))"),"#REF!")</f>
        <v>#REF!</v>
      </c>
      <c r="K1490" s="11"/>
      <c r="L1490" s="12"/>
      <c r="M1490" s="11"/>
      <c r="N1490" s="11"/>
      <c r="O1490" s="13"/>
      <c r="P1490" s="14"/>
      <c r="Q1490" s="13"/>
      <c r="R1490" s="13"/>
      <c r="S1490" s="15"/>
      <c r="T1490" s="16"/>
      <c r="U1490" s="16"/>
      <c r="V1490" s="16"/>
      <c r="W1490" s="16"/>
      <c r="X1490" s="16"/>
      <c r="Y1490" s="11"/>
      <c r="Z1490" s="11"/>
      <c r="AA1490" s="11"/>
      <c r="AB1490" s="11"/>
      <c r="AC1490" s="11"/>
      <c r="AD1490" s="11"/>
    </row>
    <row r="1491">
      <c r="A1491" s="10"/>
      <c r="B1491" s="10"/>
      <c r="C1491" s="10"/>
      <c r="D1491" s="10"/>
      <c r="E1491" s="10"/>
      <c r="F1491" s="11"/>
      <c r="G1491" s="11"/>
      <c r="H1491" s="11"/>
      <c r="I1491" s="11"/>
      <c r="J1491" s="11" t="str">
        <f>IFERROR(__xludf.DUMMYFUNCTION("IFERROR(FILTER(Stats!$F:$Z,(Stats!$A:$A=$A1491)*(Stats!$B:$B=$B1491)))"),"#REF!")</f>
        <v>#REF!</v>
      </c>
      <c r="K1491" s="11"/>
      <c r="L1491" s="12"/>
      <c r="M1491" s="11"/>
      <c r="N1491" s="11"/>
      <c r="O1491" s="13"/>
      <c r="P1491" s="14"/>
      <c r="Q1491" s="13"/>
      <c r="R1491" s="13"/>
      <c r="S1491" s="15"/>
      <c r="T1491" s="16"/>
      <c r="U1491" s="16"/>
      <c r="V1491" s="16"/>
      <c r="W1491" s="16"/>
      <c r="X1491" s="16"/>
      <c r="Y1491" s="11"/>
      <c r="Z1491" s="11"/>
      <c r="AA1491" s="11"/>
      <c r="AB1491" s="11"/>
      <c r="AC1491" s="11"/>
      <c r="AD1491" s="11"/>
    </row>
    <row r="1492">
      <c r="A1492" s="10"/>
      <c r="B1492" s="10"/>
      <c r="C1492" s="10"/>
      <c r="D1492" s="10"/>
      <c r="E1492" s="10"/>
      <c r="F1492" s="11"/>
      <c r="G1492" s="11"/>
      <c r="H1492" s="11"/>
      <c r="I1492" s="11"/>
      <c r="J1492" s="11" t="str">
        <f>IFERROR(__xludf.DUMMYFUNCTION("IFERROR(FILTER(Stats!$F:$Z,(Stats!$A:$A=$A1492)*(Stats!$B:$B=$B1492)))"),"#REF!")</f>
        <v>#REF!</v>
      </c>
      <c r="K1492" s="11"/>
      <c r="L1492" s="12"/>
      <c r="M1492" s="11"/>
      <c r="N1492" s="11"/>
      <c r="O1492" s="13"/>
      <c r="P1492" s="14"/>
      <c r="Q1492" s="13"/>
      <c r="R1492" s="13"/>
      <c r="S1492" s="15"/>
      <c r="T1492" s="16"/>
      <c r="U1492" s="16"/>
      <c r="V1492" s="16"/>
      <c r="W1492" s="16"/>
      <c r="X1492" s="16"/>
      <c r="Y1492" s="11"/>
      <c r="Z1492" s="11"/>
      <c r="AA1492" s="11"/>
      <c r="AB1492" s="11"/>
      <c r="AC1492" s="11"/>
      <c r="AD1492" s="11"/>
    </row>
    <row r="1493">
      <c r="A1493" s="10"/>
      <c r="B1493" s="10"/>
      <c r="C1493" s="10"/>
      <c r="D1493" s="10"/>
      <c r="E1493" s="10"/>
      <c r="F1493" s="11"/>
      <c r="G1493" s="11"/>
      <c r="H1493" s="11"/>
      <c r="I1493" s="11"/>
      <c r="J1493" s="11" t="str">
        <f>IFERROR(__xludf.DUMMYFUNCTION("IFERROR(FILTER(Stats!$F:$Z,(Stats!$A:$A=$A1493)*(Stats!$B:$B=$B1493)))"),"#REF!")</f>
        <v>#REF!</v>
      </c>
      <c r="K1493" s="11"/>
      <c r="L1493" s="12"/>
      <c r="M1493" s="11"/>
      <c r="N1493" s="11"/>
      <c r="O1493" s="13"/>
      <c r="P1493" s="14"/>
      <c r="Q1493" s="13"/>
      <c r="R1493" s="13"/>
      <c r="S1493" s="15"/>
      <c r="T1493" s="16"/>
      <c r="U1493" s="16"/>
      <c r="V1493" s="16"/>
      <c r="W1493" s="16"/>
      <c r="X1493" s="16"/>
      <c r="Y1493" s="11"/>
      <c r="Z1493" s="11"/>
      <c r="AA1493" s="11"/>
      <c r="AB1493" s="11"/>
      <c r="AC1493" s="11"/>
      <c r="AD1493" s="11"/>
    </row>
    <row r="1494">
      <c r="A1494" s="10"/>
      <c r="B1494" s="10"/>
      <c r="C1494" s="10"/>
      <c r="D1494" s="10"/>
      <c r="E1494" s="10"/>
      <c r="F1494" s="11"/>
      <c r="G1494" s="11"/>
      <c r="H1494" s="11"/>
      <c r="I1494" s="11"/>
      <c r="J1494" s="11" t="str">
        <f>IFERROR(__xludf.DUMMYFUNCTION("IFERROR(FILTER(Stats!$F:$Z,(Stats!$A:$A=$A1494)*(Stats!$B:$B=$B1494)))"),"#REF!")</f>
        <v>#REF!</v>
      </c>
      <c r="K1494" s="11"/>
      <c r="L1494" s="12"/>
      <c r="M1494" s="11"/>
      <c r="N1494" s="11"/>
      <c r="O1494" s="13"/>
      <c r="P1494" s="14"/>
      <c r="Q1494" s="13"/>
      <c r="R1494" s="13"/>
      <c r="S1494" s="15"/>
      <c r="T1494" s="16"/>
      <c r="U1494" s="16"/>
      <c r="V1494" s="16"/>
      <c r="W1494" s="16"/>
      <c r="X1494" s="16"/>
      <c r="Y1494" s="11"/>
      <c r="Z1494" s="11"/>
      <c r="AA1494" s="11"/>
      <c r="AB1494" s="11"/>
      <c r="AC1494" s="11"/>
      <c r="AD1494" s="11"/>
    </row>
    <row r="1495">
      <c r="A1495" s="10"/>
      <c r="B1495" s="10"/>
      <c r="C1495" s="10"/>
      <c r="D1495" s="10"/>
      <c r="E1495" s="10"/>
      <c r="F1495" s="11"/>
      <c r="G1495" s="11"/>
      <c r="H1495" s="11"/>
      <c r="I1495" s="11"/>
      <c r="J1495" s="11" t="str">
        <f>IFERROR(__xludf.DUMMYFUNCTION("IFERROR(FILTER(Stats!$F:$Z,(Stats!$A:$A=$A1495)*(Stats!$B:$B=$B1495)))"),"#REF!")</f>
        <v>#REF!</v>
      </c>
      <c r="K1495" s="11"/>
      <c r="L1495" s="12"/>
      <c r="M1495" s="11"/>
      <c r="N1495" s="11"/>
      <c r="O1495" s="13"/>
      <c r="P1495" s="14"/>
      <c r="Q1495" s="13"/>
      <c r="R1495" s="13"/>
      <c r="S1495" s="15"/>
      <c r="T1495" s="16"/>
      <c r="U1495" s="16"/>
      <c r="V1495" s="16"/>
      <c r="W1495" s="16"/>
      <c r="X1495" s="16"/>
      <c r="Y1495" s="11"/>
      <c r="Z1495" s="11"/>
      <c r="AA1495" s="11"/>
      <c r="AB1495" s="11"/>
      <c r="AC1495" s="11"/>
      <c r="AD1495" s="11"/>
    </row>
    <row r="1496">
      <c r="A1496" s="10"/>
      <c r="B1496" s="10"/>
      <c r="C1496" s="10"/>
      <c r="D1496" s="10"/>
      <c r="E1496" s="10"/>
      <c r="F1496" s="11"/>
      <c r="G1496" s="11"/>
      <c r="H1496" s="11"/>
      <c r="I1496" s="11"/>
      <c r="J1496" s="11" t="str">
        <f>IFERROR(__xludf.DUMMYFUNCTION("IFERROR(FILTER(Stats!$F:$Z,(Stats!$A:$A=$A1496)*(Stats!$B:$B=$B1496)))"),"#REF!")</f>
        <v>#REF!</v>
      </c>
      <c r="K1496" s="11"/>
      <c r="L1496" s="12"/>
      <c r="M1496" s="11"/>
      <c r="N1496" s="11"/>
      <c r="O1496" s="13"/>
      <c r="P1496" s="14"/>
      <c r="Q1496" s="13"/>
      <c r="R1496" s="13"/>
      <c r="S1496" s="15"/>
      <c r="T1496" s="16"/>
      <c r="U1496" s="16"/>
      <c r="V1496" s="16"/>
      <c r="W1496" s="16"/>
      <c r="X1496" s="16"/>
      <c r="Y1496" s="11"/>
      <c r="Z1496" s="11"/>
      <c r="AA1496" s="11"/>
      <c r="AB1496" s="11"/>
      <c r="AC1496" s="11"/>
      <c r="AD1496" s="11"/>
    </row>
    <row r="1497">
      <c r="A1497" s="10"/>
      <c r="B1497" s="10"/>
      <c r="C1497" s="10"/>
      <c r="D1497" s="10"/>
      <c r="E1497" s="10"/>
      <c r="F1497" s="11"/>
      <c r="G1497" s="11"/>
      <c r="H1497" s="11"/>
      <c r="I1497" s="11"/>
      <c r="J1497" s="11" t="str">
        <f>IFERROR(__xludf.DUMMYFUNCTION("IFERROR(FILTER(Stats!$F:$Z,(Stats!$A:$A=$A1497)*(Stats!$B:$B=$B1497)))"),"#REF!")</f>
        <v>#REF!</v>
      </c>
      <c r="K1497" s="11"/>
      <c r="L1497" s="12"/>
      <c r="M1497" s="11"/>
      <c r="N1497" s="11"/>
      <c r="O1497" s="13"/>
      <c r="P1497" s="14"/>
      <c r="Q1497" s="13"/>
      <c r="R1497" s="13"/>
      <c r="S1497" s="15"/>
      <c r="T1497" s="16"/>
      <c r="U1497" s="16"/>
      <c r="V1497" s="16"/>
      <c r="W1497" s="16"/>
      <c r="X1497" s="16"/>
      <c r="Y1497" s="11"/>
      <c r="Z1497" s="11"/>
      <c r="AA1497" s="11"/>
      <c r="AB1497" s="11"/>
      <c r="AC1497" s="11"/>
      <c r="AD1497" s="11"/>
    </row>
    <row r="1498">
      <c r="A1498" s="10"/>
      <c r="B1498" s="10"/>
      <c r="C1498" s="10"/>
      <c r="D1498" s="10"/>
      <c r="E1498" s="10"/>
      <c r="F1498" s="11"/>
      <c r="G1498" s="11"/>
      <c r="H1498" s="11"/>
      <c r="I1498" s="11"/>
      <c r="J1498" s="11" t="str">
        <f>IFERROR(__xludf.DUMMYFUNCTION("IFERROR(FILTER(Stats!$F:$Z,(Stats!$A:$A=$A1498)*(Stats!$B:$B=$B1498)))"),"#REF!")</f>
        <v>#REF!</v>
      </c>
      <c r="K1498" s="11"/>
      <c r="L1498" s="12"/>
      <c r="M1498" s="11"/>
      <c r="N1498" s="11"/>
      <c r="O1498" s="13"/>
      <c r="P1498" s="14"/>
      <c r="Q1498" s="13"/>
      <c r="R1498" s="13"/>
      <c r="S1498" s="15"/>
      <c r="T1498" s="16"/>
      <c r="U1498" s="16"/>
      <c r="V1498" s="16"/>
      <c r="W1498" s="16"/>
      <c r="X1498" s="16"/>
      <c r="Y1498" s="11"/>
      <c r="Z1498" s="11"/>
      <c r="AA1498" s="11"/>
      <c r="AB1498" s="11"/>
      <c r="AC1498" s="11"/>
      <c r="AD1498" s="11"/>
    </row>
    <row r="1499">
      <c r="A1499" s="10"/>
      <c r="B1499" s="10"/>
      <c r="C1499" s="10"/>
      <c r="D1499" s="10"/>
      <c r="E1499" s="10"/>
      <c r="F1499" s="11"/>
      <c r="G1499" s="11"/>
      <c r="H1499" s="11"/>
      <c r="I1499" s="11"/>
      <c r="J1499" s="11" t="str">
        <f>IFERROR(__xludf.DUMMYFUNCTION("IFERROR(FILTER(Stats!$F:$Z,(Stats!$A:$A=$A1499)*(Stats!$B:$B=$B1499)))"),"#REF!")</f>
        <v>#REF!</v>
      </c>
      <c r="K1499" s="11"/>
      <c r="L1499" s="12"/>
      <c r="M1499" s="11"/>
      <c r="N1499" s="11"/>
      <c r="O1499" s="13"/>
      <c r="P1499" s="14"/>
      <c r="Q1499" s="13"/>
      <c r="R1499" s="13"/>
      <c r="S1499" s="15"/>
      <c r="T1499" s="16"/>
      <c r="U1499" s="16"/>
      <c r="V1499" s="16"/>
      <c r="W1499" s="16"/>
      <c r="X1499" s="16"/>
      <c r="Y1499" s="11"/>
      <c r="Z1499" s="11"/>
      <c r="AA1499" s="11"/>
      <c r="AB1499" s="11"/>
      <c r="AC1499" s="11"/>
      <c r="AD1499" s="11"/>
    </row>
    <row r="1500">
      <c r="A1500" s="10"/>
      <c r="B1500" s="10"/>
      <c r="C1500" s="10"/>
      <c r="D1500" s="10"/>
      <c r="E1500" s="10"/>
      <c r="F1500" s="11"/>
      <c r="G1500" s="11"/>
      <c r="H1500" s="11"/>
      <c r="I1500" s="11"/>
      <c r="J1500" s="11" t="str">
        <f>IFERROR(__xludf.DUMMYFUNCTION("IFERROR(FILTER(Stats!$F:$Z,(Stats!$A:$A=$A1500)*(Stats!$B:$B=$B1500)))"),"#REF!")</f>
        <v>#REF!</v>
      </c>
      <c r="K1500" s="11"/>
      <c r="L1500" s="12"/>
      <c r="M1500" s="11"/>
      <c r="N1500" s="11"/>
      <c r="O1500" s="13"/>
      <c r="P1500" s="14"/>
      <c r="Q1500" s="13"/>
      <c r="R1500" s="13"/>
      <c r="S1500" s="15"/>
      <c r="T1500" s="16"/>
      <c r="U1500" s="16"/>
      <c r="V1500" s="16"/>
      <c r="W1500" s="16"/>
      <c r="X1500" s="16"/>
      <c r="Y1500" s="11"/>
      <c r="Z1500" s="11"/>
      <c r="AA1500" s="11"/>
      <c r="AB1500" s="11"/>
      <c r="AC1500" s="11"/>
      <c r="AD1500" s="11"/>
    </row>
    <row r="1501">
      <c r="A1501" s="10"/>
      <c r="B1501" s="10"/>
      <c r="C1501" s="10"/>
      <c r="D1501" s="10"/>
      <c r="E1501" s="10"/>
      <c r="F1501" s="11"/>
      <c r="G1501" s="11"/>
      <c r="H1501" s="11"/>
      <c r="I1501" s="11"/>
      <c r="J1501" s="11" t="str">
        <f>IFERROR(__xludf.DUMMYFUNCTION("IFERROR(FILTER(Stats!$F:$Z,(Stats!$A:$A=$A1501)*(Stats!$B:$B=$B1501)))"),"#REF!")</f>
        <v>#REF!</v>
      </c>
      <c r="K1501" s="11"/>
      <c r="L1501" s="12"/>
      <c r="M1501" s="11"/>
      <c r="N1501" s="11"/>
      <c r="O1501" s="13"/>
      <c r="P1501" s="14"/>
      <c r="Q1501" s="13"/>
      <c r="R1501" s="13"/>
      <c r="S1501" s="15"/>
      <c r="T1501" s="16"/>
      <c r="U1501" s="16"/>
      <c r="V1501" s="16"/>
      <c r="W1501" s="16"/>
      <c r="X1501" s="16"/>
      <c r="Y1501" s="11"/>
      <c r="Z1501" s="11"/>
      <c r="AA1501" s="11"/>
      <c r="AB1501" s="11"/>
      <c r="AC1501" s="11"/>
      <c r="AD1501" s="11"/>
    </row>
    <row r="1502">
      <c r="A1502" s="10"/>
      <c r="B1502" s="10"/>
      <c r="C1502" s="10"/>
      <c r="D1502" s="10"/>
      <c r="E1502" s="10"/>
      <c r="F1502" s="11"/>
      <c r="G1502" s="11"/>
      <c r="H1502" s="11"/>
      <c r="I1502" s="11"/>
      <c r="J1502" s="11" t="str">
        <f>IFERROR(__xludf.DUMMYFUNCTION("IFERROR(FILTER(Stats!$F:$Z,(Stats!$A:$A=$A1502)*(Stats!$B:$B=$B1502)))"),"#REF!")</f>
        <v>#REF!</v>
      </c>
      <c r="K1502" s="11"/>
      <c r="L1502" s="12"/>
      <c r="M1502" s="11"/>
      <c r="N1502" s="11"/>
      <c r="O1502" s="13"/>
      <c r="P1502" s="14"/>
      <c r="Q1502" s="13"/>
      <c r="R1502" s="13"/>
      <c r="S1502" s="15"/>
      <c r="T1502" s="16"/>
      <c r="U1502" s="16"/>
      <c r="V1502" s="16"/>
      <c r="W1502" s="16"/>
      <c r="X1502" s="16"/>
      <c r="Y1502" s="11"/>
      <c r="Z1502" s="11"/>
      <c r="AA1502" s="11"/>
      <c r="AB1502" s="11"/>
      <c r="AC1502" s="11"/>
      <c r="AD1502" s="11"/>
    </row>
    <row r="1503">
      <c r="A1503" s="10"/>
      <c r="B1503" s="10"/>
      <c r="C1503" s="10"/>
      <c r="D1503" s="10"/>
      <c r="E1503" s="10"/>
      <c r="F1503" s="11"/>
      <c r="G1503" s="11"/>
      <c r="H1503" s="11"/>
      <c r="I1503" s="11"/>
      <c r="J1503" s="11" t="str">
        <f>IFERROR(__xludf.DUMMYFUNCTION("IFERROR(FILTER(Stats!$F:$Z,(Stats!$A:$A=$A1503)*(Stats!$B:$B=$B1503)))"),"#REF!")</f>
        <v>#REF!</v>
      </c>
      <c r="K1503" s="11"/>
      <c r="L1503" s="12"/>
      <c r="M1503" s="11"/>
      <c r="N1503" s="11"/>
      <c r="O1503" s="13"/>
      <c r="P1503" s="14"/>
      <c r="Q1503" s="13"/>
      <c r="R1503" s="13"/>
      <c r="S1503" s="15"/>
      <c r="T1503" s="16"/>
      <c r="U1503" s="16"/>
      <c r="V1503" s="16"/>
      <c r="W1503" s="16"/>
      <c r="X1503" s="16"/>
      <c r="Y1503" s="11"/>
      <c r="Z1503" s="11"/>
      <c r="AA1503" s="11"/>
      <c r="AB1503" s="11"/>
      <c r="AC1503" s="11"/>
      <c r="AD1503" s="11"/>
    </row>
    <row r="1504">
      <c r="A1504" s="10"/>
      <c r="B1504" s="10"/>
      <c r="C1504" s="10"/>
      <c r="D1504" s="10"/>
      <c r="E1504" s="10"/>
      <c r="F1504" s="11"/>
      <c r="G1504" s="11"/>
      <c r="H1504" s="11"/>
      <c r="I1504" s="11"/>
      <c r="J1504" s="11" t="str">
        <f>IFERROR(__xludf.DUMMYFUNCTION("IFERROR(FILTER(Stats!$F:$Z,(Stats!$A:$A=$A1504)*(Stats!$B:$B=$B1504)))"),"#REF!")</f>
        <v>#REF!</v>
      </c>
      <c r="K1504" s="11"/>
      <c r="L1504" s="12"/>
      <c r="M1504" s="11"/>
      <c r="N1504" s="11"/>
      <c r="O1504" s="13"/>
      <c r="P1504" s="14"/>
      <c r="Q1504" s="13"/>
      <c r="R1504" s="13"/>
      <c r="S1504" s="15"/>
      <c r="T1504" s="16"/>
      <c r="U1504" s="16"/>
      <c r="V1504" s="16"/>
      <c r="W1504" s="16"/>
      <c r="X1504" s="16"/>
      <c r="Y1504" s="11"/>
      <c r="Z1504" s="11"/>
      <c r="AA1504" s="11"/>
      <c r="AB1504" s="11"/>
      <c r="AC1504" s="11"/>
      <c r="AD1504" s="11"/>
    </row>
    <row r="1505">
      <c r="A1505" s="10"/>
      <c r="B1505" s="10"/>
      <c r="C1505" s="10"/>
      <c r="D1505" s="10"/>
      <c r="E1505" s="10"/>
      <c r="F1505" s="11"/>
      <c r="G1505" s="11"/>
      <c r="H1505" s="11"/>
      <c r="I1505" s="11"/>
      <c r="J1505" s="11" t="str">
        <f>IFERROR(__xludf.DUMMYFUNCTION("IFERROR(FILTER(Stats!$F:$Z,(Stats!$A:$A=$A1505)*(Stats!$B:$B=$B1505)))"),"#REF!")</f>
        <v>#REF!</v>
      </c>
      <c r="K1505" s="11"/>
      <c r="L1505" s="12"/>
      <c r="M1505" s="11"/>
      <c r="N1505" s="11"/>
      <c r="O1505" s="13"/>
      <c r="P1505" s="14"/>
      <c r="Q1505" s="13"/>
      <c r="R1505" s="13"/>
      <c r="S1505" s="15"/>
      <c r="T1505" s="16"/>
      <c r="U1505" s="16"/>
      <c r="V1505" s="16"/>
      <c r="W1505" s="16"/>
      <c r="X1505" s="16"/>
      <c r="Y1505" s="11"/>
      <c r="Z1505" s="11"/>
      <c r="AA1505" s="11"/>
      <c r="AB1505" s="11"/>
      <c r="AC1505" s="11"/>
      <c r="AD1505" s="11"/>
    </row>
    <row r="1506">
      <c r="A1506" s="10"/>
      <c r="B1506" s="10"/>
      <c r="C1506" s="10"/>
      <c r="D1506" s="10"/>
      <c r="E1506" s="10"/>
      <c r="F1506" s="11"/>
      <c r="G1506" s="11"/>
      <c r="H1506" s="11"/>
      <c r="I1506" s="11"/>
      <c r="J1506" s="11" t="str">
        <f>IFERROR(__xludf.DUMMYFUNCTION("IFERROR(FILTER(Stats!$F:$Z,(Stats!$A:$A=$A1506)*(Stats!$B:$B=$B1506)))"),"#REF!")</f>
        <v>#REF!</v>
      </c>
      <c r="K1506" s="11"/>
      <c r="L1506" s="12"/>
      <c r="M1506" s="11"/>
      <c r="N1506" s="11"/>
      <c r="O1506" s="13"/>
      <c r="P1506" s="14"/>
      <c r="Q1506" s="13"/>
      <c r="R1506" s="13"/>
      <c r="S1506" s="15"/>
      <c r="T1506" s="16"/>
      <c r="U1506" s="16"/>
      <c r="V1506" s="16"/>
      <c r="W1506" s="16"/>
      <c r="X1506" s="16"/>
      <c r="Y1506" s="11"/>
      <c r="Z1506" s="11"/>
      <c r="AA1506" s="11"/>
      <c r="AB1506" s="11"/>
      <c r="AC1506" s="11"/>
      <c r="AD1506" s="11"/>
    </row>
    <row r="1507">
      <c r="A1507" s="10"/>
      <c r="B1507" s="10"/>
      <c r="C1507" s="10"/>
      <c r="D1507" s="10"/>
      <c r="E1507" s="10"/>
      <c r="F1507" s="11"/>
      <c r="G1507" s="11"/>
      <c r="H1507" s="11"/>
      <c r="I1507" s="11"/>
      <c r="J1507" s="11" t="str">
        <f>IFERROR(__xludf.DUMMYFUNCTION("IFERROR(FILTER(Stats!$F:$Z,(Stats!$A:$A=$A1507)*(Stats!$B:$B=$B1507)))"),"#REF!")</f>
        <v>#REF!</v>
      </c>
      <c r="K1507" s="11"/>
      <c r="L1507" s="12"/>
      <c r="M1507" s="11"/>
      <c r="N1507" s="11"/>
      <c r="O1507" s="13"/>
      <c r="P1507" s="14"/>
      <c r="Q1507" s="13"/>
      <c r="R1507" s="13"/>
      <c r="S1507" s="15"/>
      <c r="T1507" s="16"/>
      <c r="U1507" s="16"/>
      <c r="V1507" s="16"/>
      <c r="W1507" s="16"/>
      <c r="X1507" s="16"/>
      <c r="Y1507" s="11"/>
      <c r="Z1507" s="11"/>
      <c r="AA1507" s="11"/>
      <c r="AB1507" s="11"/>
      <c r="AC1507" s="11"/>
      <c r="AD1507" s="11"/>
    </row>
    <row r="1508">
      <c r="A1508" s="10"/>
      <c r="B1508" s="10"/>
      <c r="C1508" s="10"/>
      <c r="D1508" s="10"/>
      <c r="E1508" s="10"/>
      <c r="F1508" s="11"/>
      <c r="G1508" s="11"/>
      <c r="H1508" s="11"/>
      <c r="I1508" s="11"/>
      <c r="J1508" s="11" t="str">
        <f>IFERROR(__xludf.DUMMYFUNCTION("IFERROR(FILTER(Stats!$F:$Z,(Stats!$A:$A=$A1508)*(Stats!$B:$B=$B1508)))"),"#REF!")</f>
        <v>#REF!</v>
      </c>
      <c r="K1508" s="11"/>
      <c r="L1508" s="12"/>
      <c r="M1508" s="11"/>
      <c r="N1508" s="11"/>
      <c r="O1508" s="13"/>
      <c r="P1508" s="14"/>
      <c r="Q1508" s="13"/>
      <c r="R1508" s="13"/>
      <c r="S1508" s="15"/>
      <c r="T1508" s="16"/>
      <c r="U1508" s="16"/>
      <c r="V1508" s="16"/>
      <c r="W1508" s="16"/>
      <c r="X1508" s="16"/>
      <c r="Y1508" s="11"/>
      <c r="Z1508" s="11"/>
      <c r="AA1508" s="11"/>
      <c r="AB1508" s="11"/>
      <c r="AC1508" s="11"/>
      <c r="AD1508" s="11"/>
    </row>
    <row r="1509">
      <c r="A1509" s="10"/>
      <c r="B1509" s="10"/>
      <c r="C1509" s="10"/>
      <c r="D1509" s="10"/>
      <c r="E1509" s="10"/>
      <c r="F1509" s="11"/>
      <c r="G1509" s="11"/>
      <c r="H1509" s="11"/>
      <c r="I1509" s="11"/>
      <c r="J1509" s="11" t="str">
        <f>IFERROR(__xludf.DUMMYFUNCTION("IFERROR(FILTER(Stats!$F:$Z,(Stats!$A:$A=$A1509)*(Stats!$B:$B=$B1509)))"),"#REF!")</f>
        <v>#REF!</v>
      </c>
      <c r="K1509" s="11"/>
      <c r="L1509" s="12"/>
      <c r="M1509" s="11"/>
      <c r="N1509" s="11"/>
      <c r="O1509" s="13"/>
      <c r="P1509" s="14"/>
      <c r="Q1509" s="13"/>
      <c r="R1509" s="13"/>
      <c r="S1509" s="15"/>
      <c r="T1509" s="16"/>
      <c r="U1509" s="16"/>
      <c r="V1509" s="16"/>
      <c r="W1509" s="16"/>
      <c r="X1509" s="16"/>
      <c r="Y1509" s="11"/>
      <c r="Z1509" s="11"/>
      <c r="AA1509" s="11"/>
      <c r="AB1509" s="11"/>
      <c r="AC1509" s="11"/>
      <c r="AD1509" s="11"/>
    </row>
    <row r="1510">
      <c r="A1510" s="10"/>
      <c r="B1510" s="10"/>
      <c r="C1510" s="10"/>
      <c r="D1510" s="10"/>
      <c r="E1510" s="10"/>
      <c r="F1510" s="11"/>
      <c r="G1510" s="11"/>
      <c r="H1510" s="11"/>
      <c r="I1510" s="11"/>
      <c r="J1510" s="11" t="str">
        <f>IFERROR(__xludf.DUMMYFUNCTION("IFERROR(FILTER(Stats!$F:$Z,(Stats!$A:$A=$A1510)*(Stats!$B:$B=$B1510)))"),"#REF!")</f>
        <v>#REF!</v>
      </c>
      <c r="K1510" s="11"/>
      <c r="L1510" s="12"/>
      <c r="M1510" s="11"/>
      <c r="N1510" s="11"/>
      <c r="O1510" s="13"/>
      <c r="P1510" s="14"/>
      <c r="Q1510" s="13"/>
      <c r="R1510" s="13"/>
      <c r="S1510" s="15"/>
      <c r="T1510" s="16"/>
      <c r="U1510" s="16"/>
      <c r="V1510" s="16"/>
      <c r="W1510" s="16"/>
      <c r="X1510" s="16"/>
      <c r="Y1510" s="11"/>
      <c r="Z1510" s="11"/>
      <c r="AA1510" s="11"/>
      <c r="AB1510" s="11"/>
      <c r="AC1510" s="11"/>
      <c r="AD1510" s="11"/>
    </row>
    <row r="1511">
      <c r="A1511" s="10"/>
      <c r="B1511" s="10"/>
      <c r="C1511" s="10"/>
      <c r="D1511" s="10"/>
      <c r="E1511" s="10"/>
      <c r="F1511" s="11"/>
      <c r="G1511" s="11"/>
      <c r="H1511" s="11"/>
      <c r="I1511" s="11"/>
      <c r="J1511" s="11" t="str">
        <f>IFERROR(__xludf.DUMMYFUNCTION("IFERROR(FILTER(Stats!$F:$Z,(Stats!$A:$A=$A1511)*(Stats!$B:$B=$B1511)))"),"#REF!")</f>
        <v>#REF!</v>
      </c>
      <c r="K1511" s="11"/>
      <c r="L1511" s="12"/>
      <c r="M1511" s="11"/>
      <c r="N1511" s="11"/>
      <c r="O1511" s="13"/>
      <c r="P1511" s="14"/>
      <c r="Q1511" s="13"/>
      <c r="R1511" s="13"/>
      <c r="S1511" s="15"/>
      <c r="T1511" s="16"/>
      <c r="U1511" s="16"/>
      <c r="V1511" s="16"/>
      <c r="W1511" s="16"/>
      <c r="X1511" s="16"/>
      <c r="Y1511" s="11"/>
      <c r="Z1511" s="11"/>
      <c r="AA1511" s="11"/>
      <c r="AB1511" s="11"/>
      <c r="AC1511" s="11"/>
      <c r="AD1511" s="11"/>
    </row>
    <row r="1512">
      <c r="A1512" s="10"/>
      <c r="B1512" s="10"/>
      <c r="C1512" s="10"/>
      <c r="D1512" s="10"/>
      <c r="E1512" s="10"/>
      <c r="F1512" s="11"/>
      <c r="G1512" s="11"/>
      <c r="H1512" s="11"/>
      <c r="I1512" s="11"/>
      <c r="J1512" s="11" t="str">
        <f>IFERROR(__xludf.DUMMYFUNCTION("IFERROR(FILTER(Stats!$F:$Z,(Stats!$A:$A=$A1512)*(Stats!$B:$B=$B1512)))"),"#REF!")</f>
        <v>#REF!</v>
      </c>
      <c r="K1512" s="11"/>
      <c r="L1512" s="12"/>
      <c r="M1512" s="11"/>
      <c r="N1512" s="11"/>
      <c r="O1512" s="13"/>
      <c r="P1512" s="14"/>
      <c r="Q1512" s="13"/>
      <c r="R1512" s="13"/>
      <c r="S1512" s="15"/>
      <c r="T1512" s="16"/>
      <c r="U1512" s="16"/>
      <c r="V1512" s="16"/>
      <c r="W1512" s="16"/>
      <c r="X1512" s="16"/>
      <c r="Y1512" s="11"/>
      <c r="Z1512" s="11"/>
      <c r="AA1512" s="11"/>
      <c r="AB1512" s="11"/>
      <c r="AC1512" s="11"/>
      <c r="AD1512" s="11"/>
    </row>
    <row r="1513">
      <c r="A1513" s="10"/>
      <c r="B1513" s="10"/>
      <c r="C1513" s="10"/>
      <c r="D1513" s="10"/>
      <c r="E1513" s="10"/>
      <c r="F1513" s="11"/>
      <c r="G1513" s="11"/>
      <c r="H1513" s="11"/>
      <c r="I1513" s="11"/>
      <c r="J1513" s="11" t="str">
        <f>IFERROR(__xludf.DUMMYFUNCTION("IFERROR(FILTER(Stats!$F:$Z,(Stats!$A:$A=$A1513)*(Stats!$B:$B=$B1513)))"),"#REF!")</f>
        <v>#REF!</v>
      </c>
      <c r="K1513" s="11"/>
      <c r="L1513" s="12"/>
      <c r="M1513" s="11"/>
      <c r="N1513" s="11"/>
      <c r="O1513" s="13"/>
      <c r="P1513" s="14"/>
      <c r="Q1513" s="13"/>
      <c r="R1513" s="13"/>
      <c r="S1513" s="15"/>
      <c r="T1513" s="16"/>
      <c r="U1513" s="16"/>
      <c r="V1513" s="16"/>
      <c r="W1513" s="16"/>
      <c r="X1513" s="16"/>
      <c r="Y1513" s="11"/>
      <c r="Z1513" s="11"/>
      <c r="AA1513" s="11"/>
      <c r="AB1513" s="11"/>
      <c r="AC1513" s="11"/>
      <c r="AD1513" s="11"/>
    </row>
    <row r="1514">
      <c r="A1514" s="10"/>
      <c r="B1514" s="10"/>
      <c r="C1514" s="10"/>
      <c r="D1514" s="10"/>
      <c r="E1514" s="10"/>
      <c r="F1514" s="11"/>
      <c r="G1514" s="11"/>
      <c r="H1514" s="11"/>
      <c r="I1514" s="11"/>
      <c r="J1514" s="11" t="str">
        <f>IFERROR(__xludf.DUMMYFUNCTION("IFERROR(FILTER(Stats!$F:$Z,(Stats!$A:$A=$A1514)*(Stats!$B:$B=$B1514)))"),"#REF!")</f>
        <v>#REF!</v>
      </c>
      <c r="K1514" s="11"/>
      <c r="L1514" s="12"/>
      <c r="M1514" s="11"/>
      <c r="N1514" s="11"/>
      <c r="O1514" s="13"/>
      <c r="P1514" s="14"/>
      <c r="Q1514" s="13"/>
      <c r="R1514" s="13"/>
      <c r="S1514" s="15"/>
      <c r="T1514" s="16"/>
      <c r="U1514" s="16"/>
      <c r="V1514" s="16"/>
      <c r="W1514" s="16"/>
      <c r="X1514" s="16"/>
      <c r="Y1514" s="11"/>
      <c r="Z1514" s="11"/>
      <c r="AA1514" s="11"/>
      <c r="AB1514" s="11"/>
      <c r="AC1514" s="11"/>
      <c r="AD1514" s="11"/>
    </row>
    <row r="1515">
      <c r="A1515" s="10"/>
      <c r="B1515" s="10"/>
      <c r="C1515" s="10"/>
      <c r="D1515" s="10"/>
      <c r="E1515" s="10"/>
      <c r="F1515" s="11"/>
      <c r="G1515" s="11"/>
      <c r="H1515" s="11"/>
      <c r="I1515" s="11"/>
      <c r="J1515" s="11" t="str">
        <f>IFERROR(__xludf.DUMMYFUNCTION("IFERROR(FILTER(Stats!$F:$Z,(Stats!$A:$A=$A1515)*(Stats!$B:$B=$B1515)))"),"#REF!")</f>
        <v>#REF!</v>
      </c>
      <c r="K1515" s="11"/>
      <c r="L1515" s="12"/>
      <c r="M1515" s="11"/>
      <c r="N1515" s="11"/>
      <c r="O1515" s="13"/>
      <c r="P1515" s="14"/>
      <c r="Q1515" s="13"/>
      <c r="R1515" s="13"/>
      <c r="S1515" s="15"/>
      <c r="T1515" s="16"/>
      <c r="U1515" s="16"/>
      <c r="V1515" s="16"/>
      <c r="W1515" s="16"/>
      <c r="X1515" s="16"/>
      <c r="Y1515" s="11"/>
      <c r="Z1515" s="11"/>
      <c r="AA1515" s="11"/>
      <c r="AB1515" s="11"/>
      <c r="AC1515" s="11"/>
      <c r="AD1515" s="11"/>
    </row>
    <row r="1516">
      <c r="A1516" s="10"/>
      <c r="B1516" s="10"/>
      <c r="C1516" s="10"/>
      <c r="D1516" s="10"/>
      <c r="E1516" s="10"/>
      <c r="F1516" s="11"/>
      <c r="G1516" s="11"/>
      <c r="H1516" s="11"/>
      <c r="I1516" s="11"/>
      <c r="J1516" s="11" t="str">
        <f>IFERROR(__xludf.DUMMYFUNCTION("IFERROR(FILTER(Stats!$F:$Z,(Stats!$A:$A=$A1516)*(Stats!$B:$B=$B1516)))"),"#REF!")</f>
        <v>#REF!</v>
      </c>
      <c r="K1516" s="11"/>
      <c r="L1516" s="12"/>
      <c r="M1516" s="11"/>
      <c r="N1516" s="11"/>
      <c r="O1516" s="13"/>
      <c r="P1516" s="14"/>
      <c r="Q1516" s="13"/>
      <c r="R1516" s="13"/>
      <c r="S1516" s="15"/>
      <c r="T1516" s="16"/>
      <c r="U1516" s="16"/>
      <c r="V1516" s="16"/>
      <c r="W1516" s="16"/>
      <c r="X1516" s="16"/>
      <c r="Y1516" s="11"/>
      <c r="Z1516" s="11"/>
      <c r="AA1516" s="11"/>
      <c r="AB1516" s="11"/>
      <c r="AC1516" s="11"/>
      <c r="AD1516" s="11"/>
    </row>
    <row r="1517">
      <c r="A1517" s="10"/>
      <c r="B1517" s="10"/>
      <c r="C1517" s="10"/>
      <c r="D1517" s="10"/>
      <c r="E1517" s="10"/>
      <c r="F1517" s="11"/>
      <c r="G1517" s="11"/>
      <c r="H1517" s="11"/>
      <c r="I1517" s="11"/>
      <c r="J1517" s="11" t="str">
        <f>IFERROR(__xludf.DUMMYFUNCTION("IFERROR(FILTER(Stats!$F:$Z,(Stats!$A:$A=$A1517)*(Stats!$B:$B=$B1517)))"),"#REF!")</f>
        <v>#REF!</v>
      </c>
      <c r="K1517" s="11"/>
      <c r="L1517" s="12"/>
      <c r="M1517" s="11"/>
      <c r="N1517" s="11"/>
      <c r="O1517" s="13"/>
      <c r="P1517" s="14"/>
      <c r="Q1517" s="13"/>
      <c r="R1517" s="13"/>
      <c r="S1517" s="15"/>
      <c r="T1517" s="16"/>
      <c r="U1517" s="16"/>
      <c r="V1517" s="16"/>
      <c r="W1517" s="16"/>
      <c r="X1517" s="16"/>
      <c r="Y1517" s="11"/>
      <c r="Z1517" s="11"/>
      <c r="AA1517" s="11"/>
      <c r="AB1517" s="11"/>
      <c r="AC1517" s="11"/>
      <c r="AD1517" s="11"/>
    </row>
    <row r="1518">
      <c r="A1518" s="10"/>
      <c r="B1518" s="10"/>
      <c r="C1518" s="10"/>
      <c r="D1518" s="10"/>
      <c r="E1518" s="10"/>
      <c r="F1518" s="11"/>
      <c r="G1518" s="11"/>
      <c r="H1518" s="11"/>
      <c r="I1518" s="11"/>
      <c r="J1518" s="11" t="str">
        <f>IFERROR(__xludf.DUMMYFUNCTION("IFERROR(FILTER(Stats!$F:$Z,(Stats!$A:$A=$A1518)*(Stats!$B:$B=$B1518)))"),"#REF!")</f>
        <v>#REF!</v>
      </c>
      <c r="K1518" s="11"/>
      <c r="L1518" s="12"/>
      <c r="M1518" s="11"/>
      <c r="N1518" s="11"/>
      <c r="O1518" s="13"/>
      <c r="P1518" s="14"/>
      <c r="Q1518" s="13"/>
      <c r="R1518" s="13"/>
      <c r="S1518" s="15"/>
      <c r="T1518" s="16"/>
      <c r="U1518" s="16"/>
      <c r="V1518" s="16"/>
      <c r="W1518" s="16"/>
      <c r="X1518" s="16"/>
      <c r="Y1518" s="11"/>
      <c r="Z1518" s="11"/>
      <c r="AA1518" s="11"/>
      <c r="AB1518" s="11"/>
      <c r="AC1518" s="11"/>
      <c r="AD1518" s="11"/>
    </row>
    <row r="1519">
      <c r="A1519" s="10"/>
      <c r="B1519" s="10"/>
      <c r="C1519" s="10"/>
      <c r="D1519" s="10"/>
      <c r="E1519" s="10"/>
      <c r="F1519" s="11"/>
      <c r="G1519" s="11"/>
      <c r="H1519" s="11"/>
      <c r="I1519" s="11"/>
      <c r="J1519" s="11" t="str">
        <f>IFERROR(__xludf.DUMMYFUNCTION("IFERROR(FILTER(Stats!$F:$Z,(Stats!$A:$A=$A1519)*(Stats!$B:$B=$B1519)))"),"#REF!")</f>
        <v>#REF!</v>
      </c>
      <c r="K1519" s="11"/>
      <c r="L1519" s="12"/>
      <c r="M1519" s="11"/>
      <c r="N1519" s="11"/>
      <c r="O1519" s="13"/>
      <c r="P1519" s="14"/>
      <c r="Q1519" s="13"/>
      <c r="R1519" s="13"/>
      <c r="S1519" s="15"/>
      <c r="T1519" s="16"/>
      <c r="U1519" s="16"/>
      <c r="V1519" s="16"/>
      <c r="W1519" s="16"/>
      <c r="X1519" s="16"/>
      <c r="Y1519" s="11"/>
      <c r="Z1519" s="11"/>
      <c r="AA1519" s="11"/>
      <c r="AB1519" s="11"/>
      <c r="AC1519" s="11"/>
      <c r="AD1519" s="11"/>
    </row>
    <row r="1520">
      <c r="A1520" s="10"/>
      <c r="B1520" s="10"/>
      <c r="C1520" s="10"/>
      <c r="D1520" s="10"/>
      <c r="E1520" s="10"/>
      <c r="F1520" s="11"/>
      <c r="G1520" s="11"/>
      <c r="H1520" s="11"/>
      <c r="I1520" s="11"/>
      <c r="J1520" s="11" t="str">
        <f>IFERROR(__xludf.DUMMYFUNCTION("IFERROR(FILTER(Stats!$F:$Z,(Stats!$A:$A=$A1520)*(Stats!$B:$B=$B1520)))"),"#REF!")</f>
        <v>#REF!</v>
      </c>
      <c r="K1520" s="11"/>
      <c r="L1520" s="12"/>
      <c r="M1520" s="11"/>
      <c r="N1520" s="11"/>
      <c r="O1520" s="13"/>
      <c r="P1520" s="14"/>
      <c r="Q1520" s="13"/>
      <c r="R1520" s="13"/>
      <c r="S1520" s="15"/>
      <c r="T1520" s="16"/>
      <c r="U1520" s="16"/>
      <c r="V1520" s="16"/>
      <c r="W1520" s="16"/>
      <c r="X1520" s="16"/>
      <c r="Y1520" s="11"/>
      <c r="Z1520" s="11"/>
      <c r="AA1520" s="11"/>
      <c r="AB1520" s="11"/>
      <c r="AC1520" s="11"/>
      <c r="AD1520" s="11"/>
    </row>
    <row r="1521">
      <c r="A1521" s="10"/>
      <c r="B1521" s="10"/>
      <c r="C1521" s="10"/>
      <c r="D1521" s="10"/>
      <c r="E1521" s="10"/>
      <c r="F1521" s="11"/>
      <c r="G1521" s="11"/>
      <c r="H1521" s="11"/>
      <c r="I1521" s="11"/>
      <c r="J1521" s="11" t="str">
        <f>IFERROR(__xludf.DUMMYFUNCTION("IFERROR(FILTER(Stats!$F:$Z,(Stats!$A:$A=$A1521)*(Stats!$B:$B=$B1521)))"),"#REF!")</f>
        <v>#REF!</v>
      </c>
      <c r="K1521" s="11"/>
      <c r="L1521" s="12"/>
      <c r="M1521" s="11"/>
      <c r="N1521" s="11"/>
      <c r="O1521" s="13"/>
      <c r="P1521" s="14"/>
      <c r="Q1521" s="13"/>
      <c r="R1521" s="13"/>
      <c r="S1521" s="15"/>
      <c r="T1521" s="16"/>
      <c r="U1521" s="16"/>
      <c r="V1521" s="16"/>
      <c r="W1521" s="16"/>
      <c r="X1521" s="16"/>
      <c r="Y1521" s="11"/>
      <c r="Z1521" s="11"/>
      <c r="AA1521" s="11"/>
      <c r="AB1521" s="11"/>
      <c r="AC1521" s="11"/>
      <c r="AD1521" s="11"/>
    </row>
    <row r="1522">
      <c r="A1522" s="10"/>
      <c r="B1522" s="10"/>
      <c r="C1522" s="10"/>
      <c r="D1522" s="10"/>
      <c r="E1522" s="10"/>
      <c r="F1522" s="11"/>
      <c r="G1522" s="11"/>
      <c r="H1522" s="11"/>
      <c r="I1522" s="11"/>
      <c r="J1522" s="11" t="str">
        <f>IFERROR(__xludf.DUMMYFUNCTION("IFERROR(FILTER(Stats!$F:$Z,(Stats!$A:$A=$A1522)*(Stats!$B:$B=$B1522)))"),"#REF!")</f>
        <v>#REF!</v>
      </c>
      <c r="K1522" s="11"/>
      <c r="L1522" s="12"/>
      <c r="M1522" s="11"/>
      <c r="N1522" s="11"/>
      <c r="O1522" s="13"/>
      <c r="P1522" s="14"/>
      <c r="Q1522" s="13"/>
      <c r="R1522" s="13"/>
      <c r="S1522" s="15"/>
      <c r="T1522" s="16"/>
      <c r="U1522" s="16"/>
      <c r="V1522" s="16"/>
      <c r="W1522" s="16"/>
      <c r="X1522" s="16"/>
      <c r="Y1522" s="11"/>
      <c r="Z1522" s="11"/>
      <c r="AA1522" s="11"/>
      <c r="AB1522" s="11"/>
      <c r="AC1522" s="11"/>
      <c r="AD1522" s="11"/>
    </row>
    <row r="1523">
      <c r="A1523" s="10"/>
      <c r="B1523" s="10"/>
      <c r="C1523" s="10"/>
      <c r="D1523" s="10"/>
      <c r="E1523" s="10"/>
      <c r="F1523" s="11"/>
      <c r="G1523" s="11"/>
      <c r="H1523" s="11"/>
      <c r="I1523" s="11"/>
      <c r="J1523" s="11" t="str">
        <f>IFERROR(__xludf.DUMMYFUNCTION("IFERROR(FILTER(Stats!$F:$Z,(Stats!$A:$A=$A1523)*(Stats!$B:$B=$B1523)))"),"#REF!")</f>
        <v>#REF!</v>
      </c>
      <c r="K1523" s="11"/>
      <c r="L1523" s="12"/>
      <c r="M1523" s="11"/>
      <c r="N1523" s="11"/>
      <c r="O1523" s="13"/>
      <c r="P1523" s="14"/>
      <c r="Q1523" s="13"/>
      <c r="R1523" s="13"/>
      <c r="S1523" s="15"/>
      <c r="T1523" s="16"/>
      <c r="U1523" s="16"/>
      <c r="V1523" s="16"/>
      <c r="W1523" s="16"/>
      <c r="X1523" s="16"/>
      <c r="Y1523" s="11"/>
      <c r="Z1523" s="11"/>
      <c r="AA1523" s="11"/>
      <c r="AB1523" s="11"/>
      <c r="AC1523" s="11"/>
      <c r="AD1523" s="11"/>
    </row>
    <row r="1524">
      <c r="A1524" s="10"/>
      <c r="B1524" s="10"/>
      <c r="C1524" s="10"/>
      <c r="D1524" s="10"/>
      <c r="E1524" s="10"/>
      <c r="F1524" s="11"/>
      <c r="G1524" s="11"/>
      <c r="H1524" s="11"/>
      <c r="I1524" s="11"/>
      <c r="J1524" s="11" t="str">
        <f>IFERROR(__xludf.DUMMYFUNCTION("IFERROR(FILTER(Stats!$F:$Z,(Stats!$A:$A=$A1524)*(Stats!$B:$B=$B1524)))"),"#REF!")</f>
        <v>#REF!</v>
      </c>
      <c r="K1524" s="11"/>
      <c r="L1524" s="12"/>
      <c r="M1524" s="11"/>
      <c r="N1524" s="11"/>
      <c r="O1524" s="13"/>
      <c r="P1524" s="14"/>
      <c r="Q1524" s="13"/>
      <c r="R1524" s="13"/>
      <c r="S1524" s="15"/>
      <c r="T1524" s="16"/>
      <c r="U1524" s="16"/>
      <c r="V1524" s="16"/>
      <c r="W1524" s="16"/>
      <c r="X1524" s="16"/>
      <c r="Y1524" s="11"/>
      <c r="Z1524" s="11"/>
      <c r="AA1524" s="11"/>
      <c r="AB1524" s="11"/>
      <c r="AC1524" s="11"/>
      <c r="AD1524" s="11"/>
    </row>
    <row r="1525">
      <c r="A1525" s="10"/>
      <c r="B1525" s="10"/>
      <c r="C1525" s="10"/>
      <c r="D1525" s="10"/>
      <c r="E1525" s="10"/>
      <c r="F1525" s="11"/>
      <c r="G1525" s="11"/>
      <c r="H1525" s="11"/>
      <c r="I1525" s="11"/>
      <c r="J1525" s="11" t="str">
        <f>IFERROR(__xludf.DUMMYFUNCTION("IFERROR(FILTER(Stats!$F:$Z,(Stats!$A:$A=$A1525)*(Stats!$B:$B=$B1525)))"),"#REF!")</f>
        <v>#REF!</v>
      </c>
      <c r="K1525" s="11"/>
      <c r="L1525" s="12"/>
      <c r="M1525" s="11"/>
      <c r="N1525" s="11"/>
      <c r="O1525" s="13"/>
      <c r="P1525" s="14"/>
      <c r="Q1525" s="13"/>
      <c r="R1525" s="13"/>
      <c r="S1525" s="15"/>
      <c r="T1525" s="16"/>
      <c r="U1525" s="16"/>
      <c r="V1525" s="16"/>
      <c r="W1525" s="16"/>
      <c r="X1525" s="16"/>
      <c r="Y1525" s="11"/>
      <c r="Z1525" s="11"/>
      <c r="AA1525" s="11"/>
      <c r="AB1525" s="11"/>
      <c r="AC1525" s="11"/>
      <c r="AD1525" s="11"/>
    </row>
    <row r="1526">
      <c r="A1526" s="10"/>
      <c r="B1526" s="10"/>
      <c r="C1526" s="10"/>
      <c r="D1526" s="10"/>
      <c r="E1526" s="10"/>
      <c r="F1526" s="11"/>
      <c r="G1526" s="11"/>
      <c r="H1526" s="11"/>
      <c r="I1526" s="11"/>
      <c r="J1526" s="11" t="str">
        <f>IFERROR(__xludf.DUMMYFUNCTION("IFERROR(FILTER(Stats!$F:$Z,(Stats!$A:$A=$A1526)*(Stats!$B:$B=$B1526)))"),"#REF!")</f>
        <v>#REF!</v>
      </c>
      <c r="K1526" s="11"/>
      <c r="L1526" s="12"/>
      <c r="M1526" s="11"/>
      <c r="N1526" s="11"/>
      <c r="O1526" s="13"/>
      <c r="P1526" s="14"/>
      <c r="Q1526" s="13"/>
      <c r="R1526" s="13"/>
      <c r="S1526" s="15"/>
      <c r="T1526" s="16"/>
      <c r="U1526" s="16"/>
      <c r="V1526" s="16"/>
      <c r="W1526" s="16"/>
      <c r="X1526" s="16"/>
      <c r="Y1526" s="11"/>
      <c r="Z1526" s="11"/>
      <c r="AA1526" s="11"/>
      <c r="AB1526" s="11"/>
      <c r="AC1526" s="11"/>
      <c r="AD1526" s="11"/>
    </row>
    <row r="1527">
      <c r="A1527" s="10"/>
      <c r="B1527" s="10"/>
      <c r="C1527" s="10"/>
      <c r="D1527" s="10"/>
      <c r="E1527" s="10"/>
      <c r="F1527" s="11"/>
      <c r="G1527" s="11"/>
      <c r="H1527" s="11"/>
      <c r="I1527" s="11"/>
      <c r="J1527" s="11" t="str">
        <f>IFERROR(__xludf.DUMMYFUNCTION("IFERROR(FILTER(Stats!$F:$Z,(Stats!$A:$A=$A1527)*(Stats!$B:$B=$B1527)))"),"#REF!")</f>
        <v>#REF!</v>
      </c>
      <c r="K1527" s="11"/>
      <c r="L1527" s="12"/>
      <c r="M1527" s="11"/>
      <c r="N1527" s="11"/>
      <c r="O1527" s="13"/>
      <c r="P1527" s="14"/>
      <c r="Q1527" s="13"/>
      <c r="R1527" s="13"/>
      <c r="S1527" s="15"/>
      <c r="T1527" s="16"/>
      <c r="U1527" s="16"/>
      <c r="V1527" s="16"/>
      <c r="W1527" s="16"/>
      <c r="X1527" s="16"/>
      <c r="Y1527" s="11"/>
      <c r="Z1527" s="11"/>
      <c r="AA1527" s="11"/>
      <c r="AB1527" s="11"/>
      <c r="AC1527" s="11"/>
      <c r="AD1527" s="11"/>
    </row>
    <row r="1528">
      <c r="A1528" s="10"/>
      <c r="B1528" s="10"/>
      <c r="C1528" s="10"/>
      <c r="D1528" s="10"/>
      <c r="E1528" s="10"/>
      <c r="F1528" s="11"/>
      <c r="G1528" s="11"/>
      <c r="H1528" s="11"/>
      <c r="I1528" s="11"/>
      <c r="J1528" s="11" t="str">
        <f>IFERROR(__xludf.DUMMYFUNCTION("IFERROR(FILTER(Stats!$F:$Z,(Stats!$A:$A=$A1528)*(Stats!$B:$B=$B1528)))"),"#REF!")</f>
        <v>#REF!</v>
      </c>
      <c r="K1528" s="11"/>
      <c r="L1528" s="12"/>
      <c r="M1528" s="11"/>
      <c r="N1528" s="11"/>
      <c r="O1528" s="13"/>
      <c r="P1528" s="14"/>
      <c r="Q1528" s="13"/>
      <c r="R1528" s="13"/>
      <c r="S1528" s="15"/>
      <c r="T1528" s="16"/>
      <c r="U1528" s="16"/>
      <c r="V1528" s="16"/>
      <c r="W1528" s="16"/>
      <c r="X1528" s="16"/>
      <c r="Y1528" s="11"/>
      <c r="Z1528" s="11"/>
      <c r="AA1528" s="11"/>
      <c r="AB1528" s="11"/>
      <c r="AC1528" s="11"/>
      <c r="AD1528" s="11"/>
    </row>
    <row r="1529">
      <c r="A1529" s="10"/>
      <c r="B1529" s="10"/>
      <c r="C1529" s="10"/>
      <c r="D1529" s="10"/>
      <c r="E1529" s="10"/>
      <c r="F1529" s="11"/>
      <c r="G1529" s="11"/>
      <c r="H1529" s="11"/>
      <c r="I1529" s="11"/>
      <c r="J1529" s="11" t="str">
        <f>IFERROR(__xludf.DUMMYFUNCTION("IFERROR(FILTER(Stats!$F:$Z,(Stats!$A:$A=$A1529)*(Stats!$B:$B=$B1529)))"),"#REF!")</f>
        <v>#REF!</v>
      </c>
      <c r="K1529" s="11"/>
      <c r="L1529" s="12"/>
      <c r="M1529" s="11"/>
      <c r="N1529" s="11"/>
      <c r="O1529" s="13"/>
      <c r="P1529" s="14"/>
      <c r="Q1529" s="13"/>
      <c r="R1529" s="13"/>
      <c r="S1529" s="15"/>
      <c r="T1529" s="16"/>
      <c r="U1529" s="16"/>
      <c r="V1529" s="16"/>
      <c r="W1529" s="16"/>
      <c r="X1529" s="16"/>
      <c r="Y1529" s="11"/>
      <c r="Z1529" s="11"/>
      <c r="AA1529" s="11"/>
      <c r="AB1529" s="11"/>
      <c r="AC1529" s="11"/>
      <c r="AD1529" s="11"/>
    </row>
    <row r="1530">
      <c r="A1530" s="10"/>
      <c r="B1530" s="10"/>
      <c r="C1530" s="10"/>
      <c r="D1530" s="10"/>
      <c r="E1530" s="10"/>
      <c r="F1530" s="11"/>
      <c r="G1530" s="11"/>
      <c r="H1530" s="11"/>
      <c r="I1530" s="11"/>
      <c r="J1530" s="11" t="str">
        <f>IFERROR(__xludf.DUMMYFUNCTION("IFERROR(FILTER(Stats!$F:$Z,(Stats!$A:$A=$A1530)*(Stats!$B:$B=$B1530)))"),"#REF!")</f>
        <v>#REF!</v>
      </c>
      <c r="K1530" s="11"/>
      <c r="L1530" s="12"/>
      <c r="M1530" s="11"/>
      <c r="N1530" s="11"/>
      <c r="O1530" s="13"/>
      <c r="P1530" s="14"/>
      <c r="Q1530" s="13"/>
      <c r="R1530" s="13"/>
      <c r="S1530" s="15"/>
      <c r="T1530" s="16"/>
      <c r="U1530" s="16"/>
      <c r="V1530" s="16"/>
      <c r="W1530" s="16"/>
      <c r="X1530" s="16"/>
      <c r="Y1530" s="11"/>
      <c r="Z1530" s="11"/>
      <c r="AA1530" s="11"/>
      <c r="AB1530" s="11"/>
      <c r="AC1530" s="11"/>
      <c r="AD1530" s="11"/>
    </row>
    <row r="1531">
      <c r="A1531" s="10"/>
      <c r="B1531" s="10"/>
      <c r="C1531" s="10"/>
      <c r="D1531" s="10"/>
      <c r="E1531" s="10"/>
      <c r="F1531" s="11"/>
      <c r="G1531" s="11"/>
      <c r="H1531" s="11"/>
      <c r="I1531" s="11"/>
      <c r="J1531" s="11" t="str">
        <f>IFERROR(__xludf.DUMMYFUNCTION("IFERROR(FILTER(Stats!$F:$Z,(Stats!$A:$A=$A1531)*(Stats!$B:$B=$B1531)))"),"#REF!")</f>
        <v>#REF!</v>
      </c>
      <c r="K1531" s="11"/>
      <c r="L1531" s="12"/>
      <c r="M1531" s="11"/>
      <c r="N1531" s="11"/>
      <c r="O1531" s="13"/>
      <c r="P1531" s="14"/>
      <c r="Q1531" s="13"/>
      <c r="R1531" s="13"/>
      <c r="S1531" s="15"/>
      <c r="T1531" s="16"/>
      <c r="U1531" s="16"/>
      <c r="V1531" s="16"/>
      <c r="W1531" s="16"/>
      <c r="X1531" s="16"/>
      <c r="Y1531" s="11"/>
      <c r="Z1531" s="11"/>
      <c r="AA1531" s="11"/>
      <c r="AB1531" s="11"/>
      <c r="AC1531" s="11"/>
      <c r="AD1531" s="11"/>
    </row>
    <row r="1532">
      <c r="A1532" s="10"/>
      <c r="B1532" s="10"/>
      <c r="C1532" s="10"/>
      <c r="D1532" s="10"/>
      <c r="E1532" s="10"/>
      <c r="F1532" s="11"/>
      <c r="G1532" s="11"/>
      <c r="H1532" s="11"/>
      <c r="I1532" s="11"/>
      <c r="J1532" s="11" t="str">
        <f>IFERROR(__xludf.DUMMYFUNCTION("IFERROR(FILTER(Stats!$F:$Z,(Stats!$A:$A=$A1532)*(Stats!$B:$B=$B1532)))"),"#REF!")</f>
        <v>#REF!</v>
      </c>
      <c r="K1532" s="11"/>
      <c r="L1532" s="12"/>
      <c r="M1532" s="11"/>
      <c r="N1532" s="11"/>
      <c r="O1532" s="13"/>
      <c r="P1532" s="14"/>
      <c r="Q1532" s="13"/>
      <c r="R1532" s="13"/>
      <c r="S1532" s="15"/>
      <c r="T1532" s="16"/>
      <c r="U1532" s="16"/>
      <c r="V1532" s="16"/>
      <c r="W1532" s="16"/>
      <c r="X1532" s="16"/>
      <c r="Y1532" s="11"/>
      <c r="Z1532" s="11"/>
      <c r="AA1532" s="11"/>
      <c r="AB1532" s="11"/>
      <c r="AC1532" s="11"/>
      <c r="AD1532" s="11"/>
    </row>
    <row r="1533">
      <c r="A1533" s="10"/>
      <c r="B1533" s="10"/>
      <c r="C1533" s="10"/>
      <c r="D1533" s="10"/>
      <c r="E1533" s="10"/>
      <c r="F1533" s="11"/>
      <c r="G1533" s="11"/>
      <c r="H1533" s="11"/>
      <c r="I1533" s="11"/>
      <c r="J1533" s="11" t="str">
        <f>IFERROR(__xludf.DUMMYFUNCTION("IFERROR(FILTER(Stats!$F:$Z,(Stats!$A:$A=$A1533)*(Stats!$B:$B=$B1533)))"),"#REF!")</f>
        <v>#REF!</v>
      </c>
      <c r="K1533" s="11"/>
      <c r="L1533" s="12"/>
      <c r="M1533" s="11"/>
      <c r="N1533" s="11"/>
      <c r="O1533" s="13"/>
      <c r="P1533" s="14"/>
      <c r="Q1533" s="13"/>
      <c r="R1533" s="13"/>
      <c r="S1533" s="15"/>
      <c r="T1533" s="16"/>
      <c r="U1533" s="16"/>
      <c r="V1533" s="16"/>
      <c r="W1533" s="16"/>
      <c r="X1533" s="16"/>
      <c r="Y1533" s="11"/>
      <c r="Z1533" s="11"/>
      <c r="AA1533" s="11"/>
      <c r="AB1533" s="11"/>
      <c r="AC1533" s="11"/>
      <c r="AD1533" s="11"/>
    </row>
    <row r="1534">
      <c r="A1534" s="10"/>
      <c r="B1534" s="10"/>
      <c r="C1534" s="10"/>
      <c r="D1534" s="10"/>
      <c r="E1534" s="10"/>
      <c r="F1534" s="11"/>
      <c r="G1534" s="11"/>
      <c r="H1534" s="11"/>
      <c r="I1534" s="11"/>
      <c r="J1534" s="11" t="str">
        <f>IFERROR(__xludf.DUMMYFUNCTION("IFERROR(FILTER(Stats!$F:$Z,(Stats!$A:$A=$A1534)*(Stats!$B:$B=$B1534)))"),"#REF!")</f>
        <v>#REF!</v>
      </c>
      <c r="K1534" s="11"/>
      <c r="L1534" s="12"/>
      <c r="M1534" s="11"/>
      <c r="N1534" s="11"/>
      <c r="O1534" s="13"/>
      <c r="P1534" s="14"/>
      <c r="Q1534" s="13"/>
      <c r="R1534" s="13"/>
      <c r="S1534" s="15"/>
      <c r="T1534" s="16"/>
      <c r="U1534" s="16"/>
      <c r="V1534" s="16"/>
      <c r="W1534" s="16"/>
      <c r="X1534" s="16"/>
      <c r="Y1534" s="11"/>
      <c r="Z1534" s="11"/>
      <c r="AA1534" s="11"/>
      <c r="AB1534" s="11"/>
      <c r="AC1534" s="11"/>
      <c r="AD1534" s="11"/>
    </row>
    <row r="1535">
      <c r="A1535" s="10"/>
      <c r="B1535" s="10"/>
      <c r="C1535" s="10"/>
      <c r="D1535" s="10"/>
      <c r="E1535" s="10"/>
      <c r="F1535" s="11"/>
      <c r="G1535" s="11"/>
      <c r="H1535" s="11"/>
      <c r="I1535" s="11"/>
      <c r="J1535" s="11" t="str">
        <f>IFERROR(__xludf.DUMMYFUNCTION("IFERROR(FILTER(Stats!$F:$Z,(Stats!$A:$A=$A1535)*(Stats!$B:$B=$B1535)))"),"#REF!")</f>
        <v>#REF!</v>
      </c>
      <c r="K1535" s="11"/>
      <c r="L1535" s="12"/>
      <c r="M1535" s="11"/>
      <c r="N1535" s="11"/>
      <c r="O1535" s="13"/>
      <c r="P1535" s="14"/>
      <c r="Q1535" s="13"/>
      <c r="R1535" s="13"/>
      <c r="S1535" s="15"/>
      <c r="T1535" s="16"/>
      <c r="U1535" s="16"/>
      <c r="V1535" s="16"/>
      <c r="W1535" s="16"/>
      <c r="X1535" s="16"/>
      <c r="Y1535" s="11"/>
      <c r="Z1535" s="11"/>
      <c r="AA1535" s="11"/>
      <c r="AB1535" s="11"/>
      <c r="AC1535" s="11"/>
      <c r="AD1535" s="11"/>
    </row>
    <row r="1536">
      <c r="A1536" s="10"/>
      <c r="B1536" s="10"/>
      <c r="C1536" s="10"/>
      <c r="D1536" s="10"/>
      <c r="E1536" s="10"/>
      <c r="F1536" s="11"/>
      <c r="G1536" s="11"/>
      <c r="H1536" s="11"/>
      <c r="I1536" s="11"/>
      <c r="J1536" s="11" t="str">
        <f>IFERROR(__xludf.DUMMYFUNCTION("IFERROR(FILTER(Stats!$F:$Z,(Stats!$A:$A=$A1536)*(Stats!$B:$B=$B1536)))"),"#REF!")</f>
        <v>#REF!</v>
      </c>
      <c r="K1536" s="11"/>
      <c r="L1536" s="12"/>
      <c r="M1536" s="11"/>
      <c r="N1536" s="11"/>
      <c r="O1536" s="13"/>
      <c r="P1536" s="14"/>
      <c r="Q1536" s="13"/>
      <c r="R1536" s="13"/>
      <c r="S1536" s="15"/>
      <c r="T1536" s="16"/>
      <c r="U1536" s="16"/>
      <c r="V1536" s="16"/>
      <c r="W1536" s="16"/>
      <c r="X1536" s="16"/>
      <c r="Y1536" s="11"/>
      <c r="Z1536" s="11"/>
      <c r="AA1536" s="11"/>
      <c r="AB1536" s="11"/>
      <c r="AC1536" s="11"/>
      <c r="AD1536" s="11"/>
    </row>
    <row r="1537">
      <c r="A1537" s="10"/>
      <c r="B1537" s="10"/>
      <c r="C1537" s="10"/>
      <c r="D1537" s="10"/>
      <c r="E1537" s="10"/>
      <c r="F1537" s="11"/>
      <c r="G1537" s="11"/>
      <c r="H1537" s="11"/>
      <c r="I1537" s="11"/>
      <c r="J1537" s="11" t="str">
        <f>IFERROR(__xludf.DUMMYFUNCTION("IFERROR(FILTER(Stats!$F:$Z,(Stats!$A:$A=$A1537)*(Stats!$B:$B=$B1537)))"),"#REF!")</f>
        <v>#REF!</v>
      </c>
      <c r="K1537" s="11"/>
      <c r="L1537" s="12"/>
      <c r="M1537" s="11"/>
      <c r="N1537" s="11"/>
      <c r="O1537" s="13"/>
      <c r="P1537" s="14"/>
      <c r="Q1537" s="13"/>
      <c r="R1537" s="13"/>
      <c r="S1537" s="15"/>
      <c r="T1537" s="16"/>
      <c r="U1537" s="16"/>
      <c r="V1537" s="16"/>
      <c r="W1537" s="16"/>
      <c r="X1537" s="16"/>
      <c r="Y1537" s="11"/>
      <c r="Z1537" s="11"/>
      <c r="AA1537" s="11"/>
      <c r="AB1537" s="11"/>
      <c r="AC1537" s="11"/>
      <c r="AD1537" s="11"/>
    </row>
    <row r="1538">
      <c r="A1538" s="10"/>
      <c r="B1538" s="10"/>
      <c r="C1538" s="10"/>
      <c r="D1538" s="10"/>
      <c r="E1538" s="10"/>
      <c r="F1538" s="11"/>
      <c r="G1538" s="11"/>
      <c r="H1538" s="11"/>
      <c r="I1538" s="11"/>
      <c r="J1538" s="11" t="str">
        <f>IFERROR(__xludf.DUMMYFUNCTION("IFERROR(FILTER(Stats!$F:$Z,(Stats!$A:$A=$A1538)*(Stats!$B:$B=$B1538)))"),"#REF!")</f>
        <v>#REF!</v>
      </c>
      <c r="K1538" s="11"/>
      <c r="L1538" s="12"/>
      <c r="M1538" s="11"/>
      <c r="N1538" s="11"/>
      <c r="O1538" s="13"/>
      <c r="P1538" s="14"/>
      <c r="Q1538" s="13"/>
      <c r="R1538" s="13"/>
      <c r="S1538" s="15"/>
      <c r="T1538" s="16"/>
      <c r="U1538" s="16"/>
      <c r="V1538" s="16"/>
      <c r="W1538" s="16"/>
      <c r="X1538" s="16"/>
      <c r="Y1538" s="11"/>
      <c r="Z1538" s="11"/>
      <c r="AA1538" s="11"/>
      <c r="AB1538" s="11"/>
      <c r="AC1538" s="11"/>
      <c r="AD1538" s="11"/>
    </row>
    <row r="1539">
      <c r="A1539" s="10"/>
      <c r="B1539" s="10"/>
      <c r="C1539" s="10"/>
      <c r="D1539" s="10"/>
      <c r="E1539" s="10"/>
      <c r="F1539" s="11"/>
      <c r="G1539" s="11"/>
      <c r="H1539" s="11"/>
      <c r="I1539" s="11"/>
      <c r="J1539" s="11" t="str">
        <f>IFERROR(__xludf.DUMMYFUNCTION("IFERROR(FILTER(Stats!$F:$Z,(Stats!$A:$A=$A1539)*(Stats!$B:$B=$B1539)))"),"#REF!")</f>
        <v>#REF!</v>
      </c>
      <c r="K1539" s="11"/>
      <c r="L1539" s="12"/>
      <c r="M1539" s="11"/>
      <c r="N1539" s="11"/>
      <c r="O1539" s="13"/>
      <c r="P1539" s="14"/>
      <c r="Q1539" s="13"/>
      <c r="R1539" s="13"/>
      <c r="S1539" s="15"/>
      <c r="T1539" s="16"/>
      <c r="U1539" s="16"/>
      <c r="V1539" s="16"/>
      <c r="W1539" s="16"/>
      <c r="X1539" s="16"/>
      <c r="Y1539" s="11"/>
      <c r="Z1539" s="11"/>
      <c r="AA1539" s="11"/>
      <c r="AB1539" s="11"/>
      <c r="AC1539" s="11"/>
      <c r="AD1539" s="11"/>
    </row>
    <row r="1540">
      <c r="A1540" s="10"/>
      <c r="B1540" s="10"/>
      <c r="C1540" s="10"/>
      <c r="D1540" s="10"/>
      <c r="E1540" s="10"/>
      <c r="F1540" s="11"/>
      <c r="G1540" s="11"/>
      <c r="H1540" s="11"/>
      <c r="I1540" s="11"/>
      <c r="J1540" s="11" t="str">
        <f>IFERROR(__xludf.DUMMYFUNCTION("IFERROR(FILTER(Stats!$F:$Z,(Stats!$A:$A=$A1540)*(Stats!$B:$B=$B1540)))"),"#REF!")</f>
        <v>#REF!</v>
      </c>
      <c r="K1540" s="11"/>
      <c r="L1540" s="12"/>
      <c r="M1540" s="11"/>
      <c r="N1540" s="11"/>
      <c r="O1540" s="13"/>
      <c r="P1540" s="14"/>
      <c r="Q1540" s="13"/>
      <c r="R1540" s="13"/>
      <c r="S1540" s="15"/>
      <c r="T1540" s="16"/>
      <c r="U1540" s="16"/>
      <c r="V1540" s="16"/>
      <c r="W1540" s="16"/>
      <c r="X1540" s="16"/>
      <c r="Y1540" s="11"/>
      <c r="Z1540" s="11"/>
      <c r="AA1540" s="11"/>
      <c r="AB1540" s="11"/>
      <c r="AC1540" s="11"/>
      <c r="AD1540" s="11"/>
    </row>
    <row r="1541">
      <c r="A1541" s="10"/>
      <c r="B1541" s="10"/>
      <c r="C1541" s="10"/>
      <c r="D1541" s="10"/>
      <c r="E1541" s="10"/>
      <c r="F1541" s="11"/>
      <c r="G1541" s="11"/>
      <c r="H1541" s="11"/>
      <c r="I1541" s="11"/>
      <c r="J1541" s="11" t="str">
        <f>IFERROR(__xludf.DUMMYFUNCTION("IFERROR(FILTER(Stats!$F:$Z,(Stats!$A:$A=$A1541)*(Stats!$B:$B=$B1541)))"),"#REF!")</f>
        <v>#REF!</v>
      </c>
      <c r="K1541" s="11"/>
      <c r="L1541" s="12"/>
      <c r="M1541" s="11"/>
      <c r="N1541" s="11"/>
      <c r="O1541" s="13"/>
      <c r="P1541" s="14"/>
      <c r="Q1541" s="13"/>
      <c r="R1541" s="13"/>
      <c r="S1541" s="15"/>
      <c r="T1541" s="16"/>
      <c r="U1541" s="16"/>
      <c r="V1541" s="16"/>
      <c r="W1541" s="16"/>
      <c r="X1541" s="16"/>
      <c r="Y1541" s="11"/>
      <c r="Z1541" s="11"/>
      <c r="AA1541" s="11"/>
      <c r="AB1541" s="11"/>
      <c r="AC1541" s="11"/>
      <c r="AD1541" s="11"/>
    </row>
    <row r="1542">
      <c r="A1542" s="10"/>
      <c r="B1542" s="10"/>
      <c r="C1542" s="10"/>
      <c r="D1542" s="10"/>
      <c r="E1542" s="10"/>
      <c r="F1542" s="11"/>
      <c r="G1542" s="11"/>
      <c r="H1542" s="11"/>
      <c r="I1542" s="11"/>
      <c r="J1542" s="11" t="str">
        <f>IFERROR(__xludf.DUMMYFUNCTION("IFERROR(FILTER(Stats!$F:$Z,(Stats!$A:$A=$A1542)*(Stats!$B:$B=$B1542)))"),"#REF!")</f>
        <v>#REF!</v>
      </c>
      <c r="K1542" s="11"/>
      <c r="L1542" s="12"/>
      <c r="M1542" s="11"/>
      <c r="N1542" s="11"/>
      <c r="O1542" s="13"/>
      <c r="P1542" s="14"/>
      <c r="Q1542" s="13"/>
      <c r="R1542" s="13"/>
      <c r="S1542" s="15"/>
      <c r="T1542" s="16"/>
      <c r="U1542" s="16"/>
      <c r="V1542" s="16"/>
      <c r="W1542" s="16"/>
      <c r="X1542" s="16"/>
      <c r="Y1542" s="11"/>
      <c r="Z1542" s="11"/>
      <c r="AA1542" s="11"/>
      <c r="AB1542" s="11"/>
      <c r="AC1542" s="11"/>
      <c r="AD1542" s="11"/>
    </row>
    <row r="1543">
      <c r="A1543" s="10"/>
      <c r="B1543" s="10"/>
      <c r="C1543" s="10"/>
      <c r="D1543" s="10"/>
      <c r="E1543" s="10"/>
      <c r="F1543" s="11"/>
      <c r="G1543" s="11"/>
      <c r="H1543" s="11"/>
      <c r="I1543" s="11"/>
      <c r="J1543" s="11" t="str">
        <f>IFERROR(__xludf.DUMMYFUNCTION("IFERROR(FILTER(Stats!$F:$Z,(Stats!$A:$A=$A1543)*(Stats!$B:$B=$B1543)))"),"#REF!")</f>
        <v>#REF!</v>
      </c>
      <c r="K1543" s="11"/>
      <c r="L1543" s="12"/>
      <c r="M1543" s="11"/>
      <c r="N1543" s="11"/>
      <c r="O1543" s="13"/>
      <c r="P1543" s="14"/>
      <c r="Q1543" s="13"/>
      <c r="R1543" s="13"/>
      <c r="S1543" s="15"/>
      <c r="T1543" s="16"/>
      <c r="U1543" s="16"/>
      <c r="V1543" s="16"/>
      <c r="W1543" s="16"/>
      <c r="X1543" s="16"/>
      <c r="Y1543" s="11"/>
      <c r="Z1543" s="11"/>
      <c r="AA1543" s="11"/>
      <c r="AB1543" s="11"/>
      <c r="AC1543" s="11"/>
      <c r="AD1543" s="11"/>
    </row>
    <row r="1544">
      <c r="A1544" s="10"/>
      <c r="B1544" s="10"/>
      <c r="C1544" s="10"/>
      <c r="D1544" s="10"/>
      <c r="E1544" s="10"/>
      <c r="F1544" s="11"/>
      <c r="G1544" s="11"/>
      <c r="H1544" s="11"/>
      <c r="I1544" s="11"/>
      <c r="J1544" s="11" t="str">
        <f>IFERROR(__xludf.DUMMYFUNCTION("IFERROR(FILTER(Stats!$F:$Z,(Stats!$A:$A=$A1544)*(Stats!$B:$B=$B1544)))"),"#REF!")</f>
        <v>#REF!</v>
      </c>
      <c r="K1544" s="11"/>
      <c r="L1544" s="12"/>
      <c r="M1544" s="11"/>
      <c r="N1544" s="11"/>
      <c r="O1544" s="13"/>
      <c r="P1544" s="14"/>
      <c r="Q1544" s="13"/>
      <c r="R1544" s="13"/>
      <c r="S1544" s="15"/>
      <c r="T1544" s="16"/>
      <c r="U1544" s="16"/>
      <c r="V1544" s="16"/>
      <c r="W1544" s="16"/>
      <c r="X1544" s="16"/>
      <c r="Y1544" s="11"/>
      <c r="Z1544" s="11"/>
      <c r="AA1544" s="11"/>
      <c r="AB1544" s="11"/>
      <c r="AC1544" s="11"/>
      <c r="AD1544" s="11"/>
    </row>
    <row r="1545">
      <c r="A1545" s="10"/>
      <c r="B1545" s="10"/>
      <c r="C1545" s="10"/>
      <c r="D1545" s="10"/>
      <c r="E1545" s="10"/>
      <c r="F1545" s="11"/>
      <c r="G1545" s="11"/>
      <c r="H1545" s="11"/>
      <c r="I1545" s="11"/>
      <c r="J1545" s="11" t="str">
        <f>IFERROR(__xludf.DUMMYFUNCTION("IFERROR(FILTER(Stats!$F:$Z,(Stats!$A:$A=$A1545)*(Stats!$B:$B=$B1545)))"),"#REF!")</f>
        <v>#REF!</v>
      </c>
      <c r="K1545" s="11"/>
      <c r="L1545" s="12"/>
      <c r="M1545" s="11"/>
      <c r="N1545" s="11"/>
      <c r="O1545" s="13"/>
      <c r="P1545" s="14"/>
      <c r="Q1545" s="13"/>
      <c r="R1545" s="13"/>
      <c r="S1545" s="15"/>
      <c r="T1545" s="16"/>
      <c r="U1545" s="16"/>
      <c r="V1545" s="16"/>
      <c r="W1545" s="16"/>
      <c r="X1545" s="16"/>
      <c r="Y1545" s="11"/>
      <c r="Z1545" s="11"/>
      <c r="AA1545" s="11"/>
      <c r="AB1545" s="11"/>
      <c r="AC1545" s="11"/>
      <c r="AD1545" s="11"/>
    </row>
    <row r="1546">
      <c r="A1546" s="10"/>
      <c r="B1546" s="10"/>
      <c r="C1546" s="10"/>
      <c r="D1546" s="10"/>
      <c r="E1546" s="10"/>
      <c r="F1546" s="11"/>
      <c r="G1546" s="11"/>
      <c r="H1546" s="11"/>
      <c r="I1546" s="11"/>
      <c r="J1546" s="11" t="str">
        <f>IFERROR(__xludf.DUMMYFUNCTION("IFERROR(FILTER(Stats!$F:$Z,(Stats!$A:$A=$A1546)*(Stats!$B:$B=$B1546)))"),"#REF!")</f>
        <v>#REF!</v>
      </c>
      <c r="K1546" s="11"/>
      <c r="L1546" s="12"/>
      <c r="M1546" s="11"/>
      <c r="N1546" s="11"/>
      <c r="O1546" s="13"/>
      <c r="P1546" s="14"/>
      <c r="Q1546" s="13"/>
      <c r="R1546" s="13"/>
      <c r="S1546" s="15"/>
      <c r="T1546" s="16"/>
      <c r="U1546" s="16"/>
      <c r="V1546" s="16"/>
      <c r="W1546" s="16"/>
      <c r="X1546" s="16"/>
      <c r="Y1546" s="11"/>
      <c r="Z1546" s="11"/>
      <c r="AA1546" s="11"/>
      <c r="AB1546" s="11"/>
      <c r="AC1546" s="11"/>
      <c r="AD1546" s="11"/>
    </row>
    <row r="1547">
      <c r="A1547" s="10"/>
      <c r="B1547" s="10"/>
      <c r="C1547" s="10"/>
      <c r="D1547" s="10"/>
      <c r="E1547" s="10"/>
      <c r="F1547" s="11"/>
      <c r="G1547" s="11"/>
      <c r="H1547" s="11"/>
      <c r="I1547" s="11"/>
      <c r="J1547" s="11" t="str">
        <f>IFERROR(__xludf.DUMMYFUNCTION("IFERROR(FILTER(Stats!$F:$Z,(Stats!$A:$A=$A1547)*(Stats!$B:$B=$B1547)))"),"#REF!")</f>
        <v>#REF!</v>
      </c>
      <c r="K1547" s="11"/>
      <c r="L1547" s="12"/>
      <c r="M1547" s="11"/>
      <c r="N1547" s="11"/>
      <c r="O1547" s="13"/>
      <c r="P1547" s="14"/>
      <c r="Q1547" s="13"/>
      <c r="R1547" s="13"/>
      <c r="S1547" s="15"/>
      <c r="T1547" s="16"/>
      <c r="U1547" s="16"/>
      <c r="V1547" s="16"/>
      <c r="W1547" s="16"/>
      <c r="X1547" s="16"/>
      <c r="Y1547" s="11"/>
      <c r="Z1547" s="11"/>
      <c r="AA1547" s="11"/>
      <c r="AB1547" s="11"/>
      <c r="AC1547" s="11"/>
      <c r="AD1547" s="11"/>
    </row>
    <row r="1548">
      <c r="A1548" s="10"/>
      <c r="B1548" s="10"/>
      <c r="C1548" s="10"/>
      <c r="D1548" s="10"/>
      <c r="E1548" s="10"/>
      <c r="F1548" s="11"/>
      <c r="G1548" s="11"/>
      <c r="H1548" s="11"/>
      <c r="I1548" s="11"/>
      <c r="J1548" s="11" t="str">
        <f>IFERROR(__xludf.DUMMYFUNCTION("IFERROR(FILTER(Stats!$F:$Z,(Stats!$A:$A=$A1548)*(Stats!$B:$B=$B1548)))"),"#REF!")</f>
        <v>#REF!</v>
      </c>
      <c r="K1548" s="11"/>
      <c r="L1548" s="12"/>
      <c r="M1548" s="11"/>
      <c r="N1548" s="11"/>
      <c r="O1548" s="13"/>
      <c r="P1548" s="14"/>
      <c r="Q1548" s="13"/>
      <c r="R1548" s="13"/>
      <c r="S1548" s="15"/>
      <c r="T1548" s="16"/>
      <c r="U1548" s="16"/>
      <c r="V1548" s="16"/>
      <c r="W1548" s="16"/>
      <c r="X1548" s="16"/>
      <c r="Y1548" s="11"/>
      <c r="Z1548" s="11"/>
      <c r="AA1548" s="11"/>
      <c r="AB1548" s="11"/>
      <c r="AC1548" s="11"/>
      <c r="AD1548" s="11"/>
    </row>
    <row r="1549">
      <c r="A1549" s="10"/>
      <c r="B1549" s="10"/>
      <c r="C1549" s="10"/>
      <c r="D1549" s="10"/>
      <c r="E1549" s="10"/>
      <c r="F1549" s="11"/>
      <c r="G1549" s="11"/>
      <c r="H1549" s="11"/>
      <c r="I1549" s="11"/>
      <c r="J1549" s="11" t="str">
        <f>IFERROR(__xludf.DUMMYFUNCTION("IFERROR(FILTER(Stats!$F:$Z,(Stats!$A:$A=$A1549)*(Stats!$B:$B=$B1549)))"),"#REF!")</f>
        <v>#REF!</v>
      </c>
      <c r="K1549" s="11"/>
      <c r="L1549" s="12"/>
      <c r="M1549" s="11"/>
      <c r="N1549" s="11"/>
      <c r="O1549" s="13"/>
      <c r="P1549" s="14"/>
      <c r="Q1549" s="13"/>
      <c r="R1549" s="13"/>
      <c r="S1549" s="15"/>
      <c r="T1549" s="16"/>
      <c r="U1549" s="16"/>
      <c r="V1549" s="16"/>
      <c r="W1549" s="16"/>
      <c r="X1549" s="16"/>
      <c r="Y1549" s="11"/>
      <c r="Z1549" s="11"/>
      <c r="AA1549" s="11"/>
      <c r="AB1549" s="11"/>
      <c r="AC1549" s="11"/>
      <c r="AD1549" s="11"/>
    </row>
    <row r="1550">
      <c r="A1550" s="10"/>
      <c r="B1550" s="10"/>
      <c r="C1550" s="10"/>
      <c r="D1550" s="10"/>
      <c r="E1550" s="10"/>
      <c r="F1550" s="11"/>
      <c r="G1550" s="11"/>
      <c r="H1550" s="11"/>
      <c r="I1550" s="11"/>
      <c r="J1550" s="11" t="str">
        <f>IFERROR(__xludf.DUMMYFUNCTION("IFERROR(FILTER(Stats!$F:$Z,(Stats!$A:$A=$A1550)*(Stats!$B:$B=$B1550)))"),"#REF!")</f>
        <v>#REF!</v>
      </c>
      <c r="K1550" s="11"/>
      <c r="L1550" s="12"/>
      <c r="M1550" s="11"/>
      <c r="N1550" s="11"/>
      <c r="O1550" s="13"/>
      <c r="P1550" s="14"/>
      <c r="Q1550" s="13"/>
      <c r="R1550" s="13"/>
      <c r="S1550" s="15"/>
      <c r="T1550" s="16"/>
      <c r="U1550" s="16"/>
      <c r="V1550" s="16"/>
      <c r="W1550" s="16"/>
      <c r="X1550" s="16"/>
      <c r="Y1550" s="11"/>
      <c r="Z1550" s="11"/>
      <c r="AA1550" s="11"/>
      <c r="AB1550" s="11"/>
      <c r="AC1550" s="11"/>
      <c r="AD1550" s="11"/>
    </row>
    <row r="1551">
      <c r="A1551" s="10"/>
      <c r="B1551" s="10"/>
      <c r="C1551" s="10"/>
      <c r="D1551" s="10"/>
      <c r="E1551" s="10"/>
      <c r="F1551" s="11"/>
      <c r="G1551" s="11"/>
      <c r="H1551" s="11"/>
      <c r="I1551" s="11"/>
      <c r="J1551" s="11" t="str">
        <f>IFERROR(__xludf.DUMMYFUNCTION("IFERROR(FILTER(Stats!$F:$Z,(Stats!$A:$A=$A1551)*(Stats!$B:$B=$B1551)))"),"#REF!")</f>
        <v>#REF!</v>
      </c>
      <c r="K1551" s="11"/>
      <c r="L1551" s="12"/>
      <c r="M1551" s="11"/>
      <c r="N1551" s="11"/>
      <c r="O1551" s="13"/>
      <c r="P1551" s="14"/>
      <c r="Q1551" s="13"/>
      <c r="R1551" s="13"/>
      <c r="S1551" s="15"/>
      <c r="T1551" s="16"/>
      <c r="U1551" s="16"/>
      <c r="V1551" s="16"/>
      <c r="W1551" s="16"/>
      <c r="X1551" s="16"/>
      <c r="Y1551" s="11"/>
      <c r="Z1551" s="11"/>
      <c r="AA1551" s="11"/>
      <c r="AB1551" s="11"/>
      <c r="AC1551" s="11"/>
      <c r="AD1551" s="11"/>
    </row>
    <row r="1552">
      <c r="A1552" s="10"/>
      <c r="B1552" s="10"/>
      <c r="C1552" s="10"/>
      <c r="D1552" s="10"/>
      <c r="E1552" s="10"/>
      <c r="F1552" s="11"/>
      <c r="G1552" s="11"/>
      <c r="H1552" s="11"/>
      <c r="I1552" s="11"/>
      <c r="J1552" s="11" t="str">
        <f>IFERROR(__xludf.DUMMYFUNCTION("IFERROR(FILTER(Stats!$F:$Z,(Stats!$A:$A=$A1552)*(Stats!$B:$B=$B1552)))"),"#REF!")</f>
        <v>#REF!</v>
      </c>
      <c r="K1552" s="11"/>
      <c r="L1552" s="12"/>
      <c r="M1552" s="11"/>
      <c r="N1552" s="11"/>
      <c r="O1552" s="13"/>
      <c r="P1552" s="14"/>
      <c r="Q1552" s="13"/>
      <c r="R1552" s="13"/>
      <c r="S1552" s="15"/>
      <c r="T1552" s="16"/>
      <c r="U1552" s="16"/>
      <c r="V1552" s="16"/>
      <c r="W1552" s="16"/>
      <c r="X1552" s="16"/>
      <c r="Y1552" s="11"/>
      <c r="Z1552" s="11"/>
      <c r="AA1552" s="11"/>
      <c r="AB1552" s="11"/>
      <c r="AC1552" s="11"/>
      <c r="AD1552" s="11"/>
    </row>
    <row r="1553">
      <c r="A1553" s="10"/>
      <c r="B1553" s="10"/>
      <c r="C1553" s="10"/>
      <c r="D1553" s="10"/>
      <c r="E1553" s="10"/>
      <c r="F1553" s="11"/>
      <c r="G1553" s="11"/>
      <c r="H1553" s="11"/>
      <c r="I1553" s="11"/>
      <c r="J1553" s="11" t="str">
        <f>IFERROR(__xludf.DUMMYFUNCTION("IFERROR(FILTER(Stats!$F:$Z,(Stats!$A:$A=$A1553)*(Stats!$B:$B=$B1553)))"),"#REF!")</f>
        <v>#REF!</v>
      </c>
      <c r="K1553" s="11"/>
      <c r="L1553" s="12"/>
      <c r="M1553" s="11"/>
      <c r="N1553" s="11"/>
      <c r="O1553" s="13"/>
      <c r="P1553" s="14"/>
      <c r="Q1553" s="13"/>
      <c r="R1553" s="13"/>
      <c r="S1553" s="15"/>
      <c r="T1553" s="16"/>
      <c r="U1553" s="16"/>
      <c r="V1553" s="16"/>
      <c r="W1553" s="16"/>
      <c r="X1553" s="16"/>
      <c r="Y1553" s="11"/>
      <c r="Z1553" s="11"/>
      <c r="AA1553" s="11"/>
      <c r="AB1553" s="11"/>
      <c r="AC1553" s="11"/>
      <c r="AD1553" s="11"/>
    </row>
    <row r="1554">
      <c r="A1554" s="10"/>
      <c r="B1554" s="10"/>
      <c r="C1554" s="10"/>
      <c r="D1554" s="10"/>
      <c r="E1554" s="10"/>
      <c r="F1554" s="11"/>
      <c r="G1554" s="11"/>
      <c r="H1554" s="11"/>
      <c r="I1554" s="11"/>
      <c r="J1554" s="11" t="str">
        <f>IFERROR(__xludf.DUMMYFUNCTION("IFERROR(FILTER(Stats!$F:$Z,(Stats!$A:$A=$A1554)*(Stats!$B:$B=$B1554)))"),"#REF!")</f>
        <v>#REF!</v>
      </c>
      <c r="K1554" s="11"/>
      <c r="L1554" s="12"/>
      <c r="M1554" s="11"/>
      <c r="N1554" s="11"/>
      <c r="O1554" s="13"/>
      <c r="P1554" s="14"/>
      <c r="Q1554" s="13"/>
      <c r="R1554" s="13"/>
      <c r="S1554" s="15"/>
      <c r="T1554" s="16"/>
      <c r="U1554" s="16"/>
      <c r="V1554" s="16"/>
      <c r="W1554" s="16"/>
      <c r="X1554" s="16"/>
      <c r="Y1554" s="11"/>
      <c r="Z1554" s="11"/>
      <c r="AA1554" s="11"/>
      <c r="AB1554" s="11"/>
      <c r="AC1554" s="11"/>
      <c r="AD1554" s="11"/>
    </row>
    <row r="1555">
      <c r="A1555" s="10"/>
      <c r="B1555" s="10"/>
      <c r="C1555" s="10"/>
      <c r="D1555" s="10"/>
      <c r="E1555" s="10"/>
      <c r="F1555" s="11"/>
      <c r="G1555" s="11"/>
      <c r="H1555" s="11"/>
      <c r="I1555" s="11"/>
      <c r="J1555" s="11" t="str">
        <f>IFERROR(__xludf.DUMMYFUNCTION("IFERROR(FILTER(Stats!$F:$Z,(Stats!$A:$A=$A1555)*(Stats!$B:$B=$B1555)))"),"#REF!")</f>
        <v>#REF!</v>
      </c>
      <c r="K1555" s="11"/>
      <c r="L1555" s="12"/>
      <c r="M1555" s="11"/>
      <c r="N1555" s="11"/>
      <c r="O1555" s="13"/>
      <c r="P1555" s="14"/>
      <c r="Q1555" s="13"/>
      <c r="R1555" s="13"/>
      <c r="S1555" s="15"/>
      <c r="T1555" s="16"/>
      <c r="U1555" s="16"/>
      <c r="V1555" s="16"/>
      <c r="W1555" s="16"/>
      <c r="X1555" s="16"/>
      <c r="Y1555" s="11"/>
      <c r="Z1555" s="11"/>
      <c r="AA1555" s="11"/>
      <c r="AB1555" s="11"/>
      <c r="AC1555" s="11"/>
      <c r="AD1555" s="11"/>
    </row>
    <row r="1556">
      <c r="A1556" s="10"/>
      <c r="B1556" s="10"/>
      <c r="C1556" s="10"/>
      <c r="D1556" s="10"/>
      <c r="E1556" s="10"/>
      <c r="F1556" s="11"/>
      <c r="G1556" s="11"/>
      <c r="H1556" s="11"/>
      <c r="I1556" s="11"/>
      <c r="J1556" s="11" t="str">
        <f>IFERROR(__xludf.DUMMYFUNCTION("IFERROR(FILTER(Stats!$F:$Z,(Stats!$A:$A=$A1556)*(Stats!$B:$B=$B1556)))"),"#REF!")</f>
        <v>#REF!</v>
      </c>
      <c r="K1556" s="11"/>
      <c r="L1556" s="12"/>
      <c r="M1556" s="11"/>
      <c r="N1556" s="11"/>
      <c r="O1556" s="13"/>
      <c r="P1556" s="14"/>
      <c r="Q1556" s="13"/>
      <c r="R1556" s="13"/>
      <c r="S1556" s="15"/>
      <c r="T1556" s="16"/>
      <c r="U1556" s="16"/>
      <c r="V1556" s="16"/>
      <c r="W1556" s="16"/>
      <c r="X1556" s="16"/>
      <c r="Y1556" s="11"/>
      <c r="Z1556" s="11"/>
      <c r="AA1556" s="11"/>
      <c r="AB1556" s="11"/>
      <c r="AC1556" s="11"/>
      <c r="AD1556" s="11"/>
    </row>
    <row r="1557">
      <c r="A1557" s="10"/>
      <c r="B1557" s="10"/>
      <c r="C1557" s="10"/>
      <c r="D1557" s="10"/>
      <c r="E1557" s="10"/>
      <c r="F1557" s="11"/>
      <c r="G1557" s="11"/>
      <c r="H1557" s="11"/>
      <c r="I1557" s="11"/>
      <c r="J1557" s="11" t="str">
        <f>IFERROR(__xludf.DUMMYFUNCTION("IFERROR(FILTER(Stats!$F:$Z,(Stats!$A:$A=$A1557)*(Stats!$B:$B=$B1557)))"),"#REF!")</f>
        <v>#REF!</v>
      </c>
      <c r="K1557" s="11"/>
      <c r="L1557" s="12"/>
      <c r="M1557" s="11"/>
      <c r="N1557" s="11"/>
      <c r="O1557" s="13"/>
      <c r="P1557" s="14"/>
      <c r="Q1557" s="13"/>
      <c r="R1557" s="13"/>
      <c r="S1557" s="15"/>
      <c r="T1557" s="16"/>
      <c r="U1557" s="16"/>
      <c r="V1557" s="16"/>
      <c r="W1557" s="16"/>
      <c r="X1557" s="16"/>
      <c r="Y1557" s="11"/>
      <c r="Z1557" s="11"/>
      <c r="AA1557" s="11"/>
      <c r="AB1557" s="11"/>
      <c r="AC1557" s="11"/>
      <c r="AD1557" s="11"/>
    </row>
    <row r="1558">
      <c r="A1558" s="10"/>
      <c r="B1558" s="10"/>
      <c r="C1558" s="10"/>
      <c r="D1558" s="10"/>
      <c r="E1558" s="10"/>
      <c r="F1558" s="11"/>
      <c r="G1558" s="11"/>
      <c r="H1558" s="11"/>
      <c r="I1558" s="11"/>
      <c r="J1558" s="11" t="str">
        <f>IFERROR(__xludf.DUMMYFUNCTION("IFERROR(FILTER(Stats!$F:$Z,(Stats!$A:$A=$A1558)*(Stats!$B:$B=$B1558)))"),"#REF!")</f>
        <v>#REF!</v>
      </c>
      <c r="K1558" s="11"/>
      <c r="L1558" s="12"/>
      <c r="M1558" s="11"/>
      <c r="N1558" s="11"/>
      <c r="O1558" s="13"/>
      <c r="P1558" s="14"/>
      <c r="Q1558" s="13"/>
      <c r="R1558" s="13"/>
      <c r="S1558" s="15"/>
      <c r="T1558" s="16"/>
      <c r="U1558" s="16"/>
      <c r="V1558" s="16"/>
      <c r="W1558" s="16"/>
      <c r="X1558" s="16"/>
      <c r="Y1558" s="11"/>
      <c r="Z1558" s="11"/>
      <c r="AA1558" s="11"/>
      <c r="AB1558" s="11"/>
      <c r="AC1558" s="11"/>
      <c r="AD1558" s="11"/>
    </row>
    <row r="1559">
      <c r="A1559" s="10"/>
      <c r="B1559" s="10"/>
      <c r="C1559" s="10"/>
      <c r="D1559" s="10"/>
      <c r="E1559" s="10"/>
      <c r="F1559" s="11"/>
      <c r="G1559" s="11"/>
      <c r="H1559" s="11"/>
      <c r="I1559" s="11"/>
      <c r="J1559" s="11" t="str">
        <f>IFERROR(__xludf.DUMMYFUNCTION("IFERROR(FILTER(Stats!$F:$Z,(Stats!$A:$A=$A1559)*(Stats!$B:$B=$B1559)))"),"#REF!")</f>
        <v>#REF!</v>
      </c>
      <c r="K1559" s="11"/>
      <c r="L1559" s="12"/>
      <c r="M1559" s="11"/>
      <c r="N1559" s="11"/>
      <c r="O1559" s="13"/>
      <c r="P1559" s="14"/>
      <c r="Q1559" s="13"/>
      <c r="R1559" s="13"/>
      <c r="S1559" s="15"/>
      <c r="T1559" s="16"/>
      <c r="U1559" s="16"/>
      <c r="V1559" s="16"/>
      <c r="W1559" s="16"/>
      <c r="X1559" s="16"/>
      <c r="Y1559" s="11"/>
      <c r="Z1559" s="11"/>
      <c r="AA1559" s="11"/>
      <c r="AB1559" s="11"/>
      <c r="AC1559" s="11"/>
      <c r="AD1559" s="11"/>
    </row>
    <row r="1560">
      <c r="A1560" s="10"/>
      <c r="B1560" s="10"/>
      <c r="C1560" s="10"/>
      <c r="D1560" s="10"/>
      <c r="E1560" s="10"/>
      <c r="F1560" s="11"/>
      <c r="G1560" s="11"/>
      <c r="H1560" s="11"/>
      <c r="I1560" s="11"/>
      <c r="J1560" s="11" t="str">
        <f>IFERROR(__xludf.DUMMYFUNCTION("IFERROR(FILTER(Stats!$F:$Z,(Stats!$A:$A=$A1560)*(Stats!$B:$B=$B1560)))"),"#REF!")</f>
        <v>#REF!</v>
      </c>
      <c r="K1560" s="11"/>
      <c r="L1560" s="12"/>
      <c r="M1560" s="11"/>
      <c r="N1560" s="11"/>
      <c r="O1560" s="13"/>
      <c r="P1560" s="14"/>
      <c r="Q1560" s="13"/>
      <c r="R1560" s="13"/>
      <c r="S1560" s="15"/>
      <c r="T1560" s="16"/>
      <c r="U1560" s="16"/>
      <c r="V1560" s="16"/>
      <c r="W1560" s="16"/>
      <c r="X1560" s="16"/>
      <c r="Y1560" s="11"/>
      <c r="Z1560" s="11"/>
      <c r="AA1560" s="11"/>
      <c r="AB1560" s="11"/>
      <c r="AC1560" s="11"/>
      <c r="AD1560" s="11"/>
    </row>
    <row r="1561">
      <c r="A1561" s="10"/>
      <c r="B1561" s="10"/>
      <c r="C1561" s="10"/>
      <c r="D1561" s="10"/>
      <c r="E1561" s="10"/>
      <c r="F1561" s="11"/>
      <c r="G1561" s="11"/>
      <c r="H1561" s="11"/>
      <c r="I1561" s="11"/>
      <c r="J1561" s="11" t="str">
        <f>IFERROR(__xludf.DUMMYFUNCTION("IFERROR(FILTER(Stats!$F:$Z,(Stats!$A:$A=$A1561)*(Stats!$B:$B=$B1561)))"),"#REF!")</f>
        <v>#REF!</v>
      </c>
      <c r="K1561" s="11"/>
      <c r="L1561" s="12"/>
      <c r="M1561" s="11"/>
      <c r="N1561" s="11"/>
      <c r="O1561" s="13"/>
      <c r="P1561" s="14"/>
      <c r="Q1561" s="13"/>
      <c r="R1561" s="13"/>
      <c r="S1561" s="15"/>
      <c r="T1561" s="16"/>
      <c r="U1561" s="16"/>
      <c r="V1561" s="16"/>
      <c r="W1561" s="16"/>
      <c r="X1561" s="16"/>
      <c r="Y1561" s="11"/>
      <c r="Z1561" s="11"/>
      <c r="AA1561" s="11"/>
      <c r="AB1561" s="11"/>
      <c r="AC1561" s="11"/>
      <c r="AD1561" s="11"/>
    </row>
    <row r="1562">
      <c r="A1562" s="10"/>
      <c r="B1562" s="10"/>
      <c r="C1562" s="10"/>
      <c r="D1562" s="10"/>
      <c r="E1562" s="10"/>
      <c r="F1562" s="11"/>
      <c r="G1562" s="11"/>
      <c r="H1562" s="11"/>
      <c r="I1562" s="11"/>
      <c r="J1562" s="11" t="str">
        <f>IFERROR(__xludf.DUMMYFUNCTION("IFERROR(FILTER(Stats!$F:$Z,(Stats!$A:$A=$A1562)*(Stats!$B:$B=$B1562)))"),"#REF!")</f>
        <v>#REF!</v>
      </c>
      <c r="K1562" s="11"/>
      <c r="L1562" s="12"/>
      <c r="M1562" s="11"/>
      <c r="N1562" s="11"/>
      <c r="O1562" s="13"/>
      <c r="P1562" s="14"/>
      <c r="Q1562" s="13"/>
      <c r="R1562" s="13"/>
      <c r="S1562" s="15"/>
      <c r="T1562" s="16"/>
      <c r="U1562" s="16"/>
      <c r="V1562" s="16"/>
      <c r="W1562" s="16"/>
      <c r="X1562" s="16"/>
      <c r="Y1562" s="11"/>
      <c r="Z1562" s="11"/>
      <c r="AA1562" s="11"/>
      <c r="AB1562" s="11"/>
      <c r="AC1562" s="11"/>
      <c r="AD1562" s="11"/>
    </row>
    <row r="1563">
      <c r="A1563" s="10"/>
      <c r="B1563" s="10"/>
      <c r="C1563" s="10"/>
      <c r="D1563" s="10"/>
      <c r="E1563" s="10"/>
      <c r="F1563" s="11"/>
      <c r="G1563" s="11"/>
      <c r="H1563" s="11"/>
      <c r="I1563" s="11"/>
      <c r="J1563" s="11" t="str">
        <f>IFERROR(__xludf.DUMMYFUNCTION("IFERROR(FILTER(Stats!$F:$Z,(Stats!$A:$A=$A1563)*(Stats!$B:$B=$B1563)))"),"#REF!")</f>
        <v>#REF!</v>
      </c>
      <c r="K1563" s="11"/>
      <c r="L1563" s="12"/>
      <c r="M1563" s="11"/>
      <c r="N1563" s="11"/>
      <c r="O1563" s="13"/>
      <c r="P1563" s="14"/>
      <c r="Q1563" s="13"/>
      <c r="R1563" s="13"/>
      <c r="S1563" s="15"/>
      <c r="T1563" s="16"/>
      <c r="U1563" s="16"/>
      <c r="V1563" s="16"/>
      <c r="W1563" s="16"/>
      <c r="X1563" s="16"/>
      <c r="Y1563" s="11"/>
      <c r="Z1563" s="11"/>
      <c r="AA1563" s="11"/>
      <c r="AB1563" s="11"/>
      <c r="AC1563" s="11"/>
      <c r="AD1563" s="11"/>
    </row>
    <row r="1564">
      <c r="A1564" s="10"/>
      <c r="B1564" s="10"/>
      <c r="C1564" s="10"/>
      <c r="D1564" s="10"/>
      <c r="E1564" s="10"/>
      <c r="F1564" s="11"/>
      <c r="G1564" s="11"/>
      <c r="H1564" s="11"/>
      <c r="I1564" s="11"/>
      <c r="J1564" s="11" t="str">
        <f>IFERROR(__xludf.DUMMYFUNCTION("IFERROR(FILTER(Stats!$F:$Z,(Stats!$A:$A=$A1564)*(Stats!$B:$B=$B1564)))"),"#REF!")</f>
        <v>#REF!</v>
      </c>
      <c r="K1564" s="11"/>
      <c r="L1564" s="12"/>
      <c r="M1564" s="11"/>
      <c r="N1564" s="11"/>
      <c r="O1564" s="13"/>
      <c r="P1564" s="14"/>
      <c r="Q1564" s="13"/>
      <c r="R1564" s="13"/>
      <c r="S1564" s="15"/>
      <c r="T1564" s="16"/>
      <c r="U1564" s="16"/>
      <c r="V1564" s="16"/>
      <c r="W1564" s="16"/>
      <c r="X1564" s="16"/>
      <c r="Y1564" s="11"/>
      <c r="Z1564" s="11"/>
      <c r="AA1564" s="11"/>
      <c r="AB1564" s="11"/>
      <c r="AC1564" s="11"/>
      <c r="AD1564" s="11"/>
    </row>
    <row r="1565">
      <c r="A1565" s="10"/>
      <c r="B1565" s="10"/>
      <c r="C1565" s="10"/>
      <c r="D1565" s="10"/>
      <c r="E1565" s="10"/>
      <c r="F1565" s="11"/>
      <c r="G1565" s="11"/>
      <c r="H1565" s="11"/>
      <c r="I1565" s="11"/>
      <c r="J1565" s="11" t="str">
        <f>IFERROR(__xludf.DUMMYFUNCTION("IFERROR(FILTER(Stats!$F:$Z,(Stats!$A:$A=$A1565)*(Stats!$B:$B=$B1565)))"),"#REF!")</f>
        <v>#REF!</v>
      </c>
      <c r="K1565" s="11"/>
      <c r="L1565" s="12"/>
      <c r="M1565" s="11"/>
      <c r="N1565" s="11"/>
      <c r="O1565" s="13"/>
      <c r="P1565" s="14"/>
      <c r="Q1565" s="13"/>
      <c r="R1565" s="13"/>
      <c r="S1565" s="15"/>
      <c r="T1565" s="16"/>
      <c r="U1565" s="16"/>
      <c r="V1565" s="16"/>
      <c r="W1565" s="16"/>
      <c r="X1565" s="16"/>
      <c r="Y1565" s="11"/>
      <c r="Z1565" s="11"/>
      <c r="AA1565" s="11"/>
      <c r="AB1565" s="11"/>
      <c r="AC1565" s="11"/>
      <c r="AD1565" s="11"/>
    </row>
    <row r="1566">
      <c r="A1566" s="10"/>
      <c r="B1566" s="10"/>
      <c r="C1566" s="10"/>
      <c r="D1566" s="10"/>
      <c r="E1566" s="10"/>
      <c r="F1566" s="11"/>
      <c r="G1566" s="11"/>
      <c r="H1566" s="11"/>
      <c r="I1566" s="11"/>
      <c r="J1566" s="11" t="str">
        <f>IFERROR(__xludf.DUMMYFUNCTION("IFERROR(FILTER(Stats!$F:$Z,(Stats!$A:$A=$A1566)*(Stats!$B:$B=$B1566)))"),"#REF!")</f>
        <v>#REF!</v>
      </c>
      <c r="K1566" s="11"/>
      <c r="L1566" s="12"/>
      <c r="M1566" s="11"/>
      <c r="N1566" s="11"/>
      <c r="O1566" s="13"/>
      <c r="P1566" s="14"/>
      <c r="Q1566" s="13"/>
      <c r="R1566" s="13"/>
      <c r="S1566" s="15"/>
      <c r="T1566" s="16"/>
      <c r="U1566" s="16"/>
      <c r="V1566" s="16"/>
      <c r="W1566" s="16"/>
      <c r="X1566" s="16"/>
      <c r="Y1566" s="11"/>
      <c r="Z1566" s="11"/>
      <c r="AA1566" s="11"/>
      <c r="AB1566" s="11"/>
      <c r="AC1566" s="11"/>
      <c r="AD1566" s="11"/>
    </row>
    <row r="1567">
      <c r="A1567" s="10"/>
      <c r="B1567" s="10"/>
      <c r="C1567" s="10"/>
      <c r="D1567" s="10"/>
      <c r="E1567" s="10"/>
      <c r="F1567" s="11"/>
      <c r="G1567" s="11"/>
      <c r="H1567" s="11"/>
      <c r="I1567" s="11"/>
      <c r="J1567" s="11" t="str">
        <f>IFERROR(__xludf.DUMMYFUNCTION("IFERROR(FILTER(Stats!$F:$Z,(Stats!$A:$A=$A1567)*(Stats!$B:$B=$B1567)))"),"#REF!")</f>
        <v>#REF!</v>
      </c>
      <c r="K1567" s="11"/>
      <c r="L1567" s="12"/>
      <c r="M1567" s="11"/>
      <c r="N1567" s="11"/>
      <c r="O1567" s="13"/>
      <c r="P1567" s="14"/>
      <c r="Q1567" s="13"/>
      <c r="R1567" s="13"/>
      <c r="S1567" s="15"/>
      <c r="T1567" s="16"/>
      <c r="U1567" s="16"/>
      <c r="V1567" s="16"/>
      <c r="W1567" s="16"/>
      <c r="X1567" s="16"/>
      <c r="Y1567" s="11"/>
      <c r="Z1567" s="11"/>
      <c r="AA1567" s="11"/>
      <c r="AB1567" s="11"/>
      <c r="AC1567" s="11"/>
      <c r="AD1567" s="11"/>
    </row>
    <row r="1568">
      <c r="A1568" s="10"/>
      <c r="B1568" s="10"/>
      <c r="C1568" s="10"/>
      <c r="D1568" s="10"/>
      <c r="E1568" s="10"/>
      <c r="F1568" s="11"/>
      <c r="G1568" s="11"/>
      <c r="H1568" s="11"/>
      <c r="I1568" s="11"/>
      <c r="J1568" s="11" t="str">
        <f>IFERROR(__xludf.DUMMYFUNCTION("IFERROR(FILTER(Stats!$F:$Z,(Stats!$A:$A=$A1568)*(Stats!$B:$B=$B1568)))"),"#REF!")</f>
        <v>#REF!</v>
      </c>
      <c r="K1568" s="11"/>
      <c r="L1568" s="12"/>
      <c r="M1568" s="11"/>
      <c r="N1568" s="11"/>
      <c r="O1568" s="13"/>
      <c r="P1568" s="14"/>
      <c r="Q1568" s="13"/>
      <c r="R1568" s="13"/>
      <c r="S1568" s="15"/>
      <c r="T1568" s="16"/>
      <c r="U1568" s="16"/>
      <c r="V1568" s="16"/>
      <c r="W1568" s="16"/>
      <c r="X1568" s="16"/>
      <c r="Y1568" s="11"/>
      <c r="Z1568" s="11"/>
      <c r="AA1568" s="11"/>
      <c r="AB1568" s="11"/>
      <c r="AC1568" s="11"/>
      <c r="AD1568" s="11"/>
    </row>
    <row r="1569">
      <c r="A1569" s="10"/>
      <c r="B1569" s="10"/>
      <c r="C1569" s="10"/>
      <c r="D1569" s="10"/>
      <c r="E1569" s="10"/>
      <c r="F1569" s="11"/>
      <c r="G1569" s="11"/>
      <c r="H1569" s="11"/>
      <c r="I1569" s="11"/>
      <c r="J1569" s="11" t="str">
        <f>IFERROR(__xludf.DUMMYFUNCTION("IFERROR(FILTER(Stats!$F:$Z,(Stats!$A:$A=$A1569)*(Stats!$B:$B=$B1569)))"),"#REF!")</f>
        <v>#REF!</v>
      </c>
      <c r="K1569" s="11"/>
      <c r="L1569" s="12"/>
      <c r="M1569" s="11"/>
      <c r="N1569" s="11"/>
      <c r="O1569" s="13"/>
      <c r="P1569" s="14"/>
      <c r="Q1569" s="13"/>
      <c r="R1569" s="13"/>
      <c r="S1569" s="15"/>
      <c r="T1569" s="16"/>
      <c r="U1569" s="16"/>
      <c r="V1569" s="16"/>
      <c r="W1569" s="16"/>
      <c r="X1569" s="16"/>
      <c r="Y1569" s="11"/>
      <c r="Z1569" s="11"/>
      <c r="AA1569" s="11"/>
      <c r="AB1569" s="11"/>
      <c r="AC1569" s="11"/>
      <c r="AD1569" s="11"/>
    </row>
    <row r="1570">
      <c r="A1570" s="10"/>
      <c r="B1570" s="10"/>
      <c r="C1570" s="10"/>
      <c r="D1570" s="10"/>
      <c r="E1570" s="10"/>
      <c r="F1570" s="11"/>
      <c r="G1570" s="11"/>
      <c r="H1570" s="11"/>
      <c r="I1570" s="11"/>
      <c r="J1570" s="11" t="str">
        <f>IFERROR(__xludf.DUMMYFUNCTION("IFERROR(FILTER(Stats!$F:$Z,(Stats!$A:$A=$A1570)*(Stats!$B:$B=$B1570)))"),"#REF!")</f>
        <v>#REF!</v>
      </c>
      <c r="K1570" s="11"/>
      <c r="L1570" s="12"/>
      <c r="M1570" s="11"/>
      <c r="N1570" s="11"/>
      <c r="O1570" s="13"/>
      <c r="P1570" s="14"/>
      <c r="Q1570" s="13"/>
      <c r="R1570" s="13"/>
      <c r="S1570" s="15"/>
      <c r="T1570" s="16"/>
      <c r="U1570" s="16"/>
      <c r="V1570" s="16"/>
      <c r="W1570" s="16"/>
      <c r="X1570" s="16"/>
      <c r="Y1570" s="11"/>
      <c r="Z1570" s="11"/>
      <c r="AA1570" s="11"/>
      <c r="AB1570" s="11"/>
      <c r="AC1570" s="11"/>
      <c r="AD1570" s="11"/>
    </row>
    <row r="1571">
      <c r="A1571" s="10"/>
      <c r="B1571" s="10"/>
      <c r="C1571" s="10"/>
      <c r="D1571" s="10"/>
      <c r="E1571" s="10"/>
      <c r="F1571" s="11"/>
      <c r="G1571" s="11"/>
      <c r="H1571" s="11"/>
      <c r="I1571" s="11"/>
      <c r="J1571" s="11" t="str">
        <f>IFERROR(__xludf.DUMMYFUNCTION("IFERROR(FILTER(Stats!$F:$Z,(Stats!$A:$A=$A1571)*(Stats!$B:$B=$B1571)))"),"#REF!")</f>
        <v>#REF!</v>
      </c>
      <c r="K1571" s="11"/>
      <c r="L1571" s="12"/>
      <c r="M1571" s="11"/>
      <c r="N1571" s="11"/>
      <c r="O1571" s="13"/>
      <c r="P1571" s="14"/>
      <c r="Q1571" s="13"/>
      <c r="R1571" s="13"/>
      <c r="S1571" s="15"/>
      <c r="T1571" s="16"/>
      <c r="U1571" s="16"/>
      <c r="V1571" s="16"/>
      <c r="W1571" s="16"/>
      <c r="X1571" s="16"/>
      <c r="Y1571" s="11"/>
      <c r="Z1571" s="11"/>
      <c r="AA1571" s="11"/>
      <c r="AB1571" s="11"/>
      <c r="AC1571" s="11"/>
      <c r="AD1571" s="11"/>
    </row>
    <row r="1572">
      <c r="A1572" s="10"/>
      <c r="B1572" s="10"/>
      <c r="C1572" s="10"/>
      <c r="D1572" s="10"/>
      <c r="E1572" s="10"/>
      <c r="F1572" s="11"/>
      <c r="G1572" s="11"/>
      <c r="H1572" s="11"/>
      <c r="I1572" s="11"/>
      <c r="J1572" s="11" t="str">
        <f>IFERROR(__xludf.DUMMYFUNCTION("IFERROR(FILTER(Stats!$F:$Z,(Stats!$A:$A=$A1572)*(Stats!$B:$B=$B1572)))"),"#REF!")</f>
        <v>#REF!</v>
      </c>
      <c r="K1572" s="11"/>
      <c r="L1572" s="12"/>
      <c r="M1572" s="11"/>
      <c r="N1572" s="11"/>
      <c r="O1572" s="13"/>
      <c r="P1572" s="14"/>
      <c r="Q1572" s="13"/>
      <c r="R1572" s="13"/>
      <c r="S1572" s="15"/>
      <c r="T1572" s="16"/>
      <c r="U1572" s="16"/>
      <c r="V1572" s="16"/>
      <c r="W1572" s="16"/>
      <c r="X1572" s="16"/>
      <c r="Y1572" s="11"/>
      <c r="Z1572" s="11"/>
      <c r="AA1572" s="11"/>
      <c r="AB1572" s="11"/>
      <c r="AC1572" s="11"/>
      <c r="AD1572" s="11"/>
    </row>
    <row r="1573">
      <c r="A1573" s="10"/>
      <c r="B1573" s="10"/>
      <c r="C1573" s="10"/>
      <c r="D1573" s="10"/>
      <c r="E1573" s="10"/>
      <c r="F1573" s="11"/>
      <c r="G1573" s="11"/>
      <c r="H1573" s="11"/>
      <c r="I1573" s="11"/>
      <c r="J1573" s="11" t="str">
        <f>IFERROR(__xludf.DUMMYFUNCTION("IFERROR(FILTER(Stats!$F:$Z,(Stats!$A:$A=$A1573)*(Stats!$B:$B=$B1573)))"),"#REF!")</f>
        <v>#REF!</v>
      </c>
      <c r="K1573" s="11"/>
      <c r="L1573" s="12"/>
      <c r="M1573" s="11"/>
      <c r="N1573" s="11"/>
      <c r="O1573" s="13"/>
      <c r="P1573" s="14"/>
      <c r="Q1573" s="13"/>
      <c r="R1573" s="13"/>
      <c r="S1573" s="15"/>
      <c r="T1573" s="16"/>
      <c r="U1573" s="16"/>
      <c r="V1573" s="16"/>
      <c r="W1573" s="16"/>
      <c r="X1573" s="16"/>
      <c r="Y1573" s="11"/>
      <c r="Z1573" s="11"/>
      <c r="AA1573" s="11"/>
      <c r="AB1573" s="11"/>
      <c r="AC1573" s="11"/>
      <c r="AD1573" s="11"/>
    </row>
    <row r="1574">
      <c r="A1574" s="10"/>
      <c r="B1574" s="10"/>
      <c r="C1574" s="10"/>
      <c r="D1574" s="10"/>
      <c r="E1574" s="10"/>
      <c r="F1574" s="11"/>
      <c r="G1574" s="11"/>
      <c r="H1574" s="11"/>
      <c r="I1574" s="11"/>
      <c r="J1574" s="11" t="str">
        <f>IFERROR(__xludf.DUMMYFUNCTION("IFERROR(FILTER(Stats!$F:$Z,(Stats!$A:$A=$A1574)*(Stats!$B:$B=$B1574)))"),"#REF!")</f>
        <v>#REF!</v>
      </c>
      <c r="K1574" s="11"/>
      <c r="L1574" s="12"/>
      <c r="M1574" s="11"/>
      <c r="N1574" s="11"/>
      <c r="O1574" s="13"/>
      <c r="P1574" s="14"/>
      <c r="Q1574" s="13"/>
      <c r="R1574" s="13"/>
      <c r="S1574" s="15"/>
      <c r="T1574" s="16"/>
      <c r="U1574" s="16"/>
      <c r="V1574" s="16"/>
      <c r="W1574" s="16"/>
      <c r="X1574" s="16"/>
      <c r="Y1574" s="11"/>
      <c r="Z1574" s="11"/>
      <c r="AA1574" s="11"/>
      <c r="AB1574" s="11"/>
      <c r="AC1574" s="11"/>
      <c r="AD1574" s="11"/>
    </row>
    <row r="1575">
      <c r="A1575" s="10"/>
      <c r="B1575" s="10"/>
      <c r="C1575" s="10"/>
      <c r="D1575" s="10"/>
      <c r="E1575" s="10"/>
      <c r="F1575" s="11"/>
      <c r="G1575" s="11"/>
      <c r="H1575" s="11"/>
      <c r="I1575" s="11"/>
      <c r="J1575" s="11" t="str">
        <f>IFERROR(__xludf.DUMMYFUNCTION("IFERROR(FILTER(Stats!$F:$Z,(Stats!$A:$A=$A1575)*(Stats!$B:$B=$B1575)))"),"#REF!")</f>
        <v>#REF!</v>
      </c>
      <c r="K1575" s="11"/>
      <c r="L1575" s="12"/>
      <c r="M1575" s="11"/>
      <c r="N1575" s="11"/>
      <c r="O1575" s="13"/>
      <c r="P1575" s="14"/>
      <c r="Q1575" s="13"/>
      <c r="R1575" s="13"/>
      <c r="S1575" s="15"/>
      <c r="T1575" s="16"/>
      <c r="U1575" s="16"/>
      <c r="V1575" s="16"/>
      <c r="W1575" s="16"/>
      <c r="X1575" s="16"/>
      <c r="Y1575" s="11"/>
      <c r="Z1575" s="11"/>
      <c r="AA1575" s="11"/>
      <c r="AB1575" s="11"/>
      <c r="AC1575" s="11"/>
      <c r="AD1575" s="11"/>
    </row>
    <row r="1576">
      <c r="A1576" s="10"/>
      <c r="B1576" s="10"/>
      <c r="C1576" s="10"/>
      <c r="D1576" s="10"/>
      <c r="E1576" s="10"/>
      <c r="F1576" s="11"/>
      <c r="G1576" s="11"/>
      <c r="H1576" s="11"/>
      <c r="I1576" s="11"/>
      <c r="J1576" s="11" t="str">
        <f>IFERROR(__xludf.DUMMYFUNCTION("IFERROR(FILTER(Stats!$F:$Z,(Stats!$A:$A=$A1576)*(Stats!$B:$B=$B1576)))"),"#REF!")</f>
        <v>#REF!</v>
      </c>
      <c r="K1576" s="11"/>
      <c r="L1576" s="12"/>
      <c r="M1576" s="11"/>
      <c r="N1576" s="11"/>
      <c r="O1576" s="13"/>
      <c r="P1576" s="14"/>
      <c r="Q1576" s="13"/>
      <c r="R1576" s="13"/>
      <c r="S1576" s="15"/>
      <c r="T1576" s="16"/>
      <c r="U1576" s="16"/>
      <c r="V1576" s="16"/>
      <c r="W1576" s="16"/>
      <c r="X1576" s="16"/>
      <c r="Y1576" s="11"/>
      <c r="Z1576" s="11"/>
      <c r="AA1576" s="11"/>
      <c r="AB1576" s="11"/>
      <c r="AC1576" s="11"/>
      <c r="AD1576" s="11"/>
    </row>
    <row r="1577">
      <c r="A1577" s="10"/>
      <c r="B1577" s="10"/>
      <c r="C1577" s="10"/>
      <c r="D1577" s="10"/>
      <c r="E1577" s="10"/>
      <c r="F1577" s="11"/>
      <c r="G1577" s="11"/>
      <c r="H1577" s="11"/>
      <c r="I1577" s="11"/>
      <c r="J1577" s="11" t="str">
        <f>IFERROR(__xludf.DUMMYFUNCTION("IFERROR(FILTER(Stats!$F:$Z,(Stats!$A:$A=$A1577)*(Stats!$B:$B=$B1577)))"),"#REF!")</f>
        <v>#REF!</v>
      </c>
      <c r="K1577" s="11"/>
      <c r="L1577" s="12"/>
      <c r="M1577" s="11"/>
      <c r="N1577" s="11"/>
      <c r="O1577" s="13"/>
      <c r="P1577" s="14"/>
      <c r="Q1577" s="13"/>
      <c r="R1577" s="13"/>
      <c r="S1577" s="15"/>
      <c r="T1577" s="16"/>
      <c r="U1577" s="16"/>
      <c r="V1577" s="16"/>
      <c r="W1577" s="16"/>
      <c r="X1577" s="16"/>
      <c r="Y1577" s="11"/>
      <c r="Z1577" s="11"/>
      <c r="AA1577" s="11"/>
      <c r="AB1577" s="11"/>
      <c r="AC1577" s="11"/>
      <c r="AD1577" s="11"/>
    </row>
    <row r="1578">
      <c r="A1578" s="10"/>
      <c r="B1578" s="10"/>
      <c r="C1578" s="10"/>
      <c r="D1578" s="10"/>
      <c r="E1578" s="10"/>
      <c r="F1578" s="11"/>
      <c r="G1578" s="11"/>
      <c r="H1578" s="11"/>
      <c r="I1578" s="11"/>
      <c r="J1578" s="11" t="str">
        <f>IFERROR(__xludf.DUMMYFUNCTION("IFERROR(FILTER(Stats!$F:$Z,(Stats!$A:$A=$A1578)*(Stats!$B:$B=$B1578)))"),"#REF!")</f>
        <v>#REF!</v>
      </c>
      <c r="K1578" s="11"/>
      <c r="L1578" s="12"/>
      <c r="M1578" s="11"/>
      <c r="N1578" s="11"/>
      <c r="O1578" s="13"/>
      <c r="P1578" s="14"/>
      <c r="Q1578" s="13"/>
      <c r="R1578" s="13"/>
      <c r="S1578" s="15"/>
      <c r="T1578" s="16"/>
      <c r="U1578" s="16"/>
      <c r="V1578" s="16"/>
      <c r="W1578" s="16"/>
      <c r="X1578" s="16"/>
      <c r="Y1578" s="11"/>
      <c r="Z1578" s="11"/>
      <c r="AA1578" s="11"/>
      <c r="AB1578" s="11"/>
      <c r="AC1578" s="11"/>
      <c r="AD1578" s="11"/>
    </row>
    <row r="1579">
      <c r="A1579" s="10"/>
      <c r="B1579" s="10"/>
      <c r="C1579" s="10"/>
      <c r="D1579" s="10"/>
      <c r="E1579" s="10"/>
      <c r="F1579" s="11"/>
      <c r="G1579" s="11"/>
      <c r="H1579" s="11"/>
      <c r="I1579" s="11"/>
      <c r="J1579" s="11" t="str">
        <f>IFERROR(__xludf.DUMMYFUNCTION("IFERROR(FILTER(Stats!$F:$Z,(Stats!$A:$A=$A1579)*(Stats!$B:$B=$B1579)))"),"#REF!")</f>
        <v>#REF!</v>
      </c>
      <c r="K1579" s="11"/>
      <c r="L1579" s="12"/>
      <c r="M1579" s="11"/>
      <c r="N1579" s="11"/>
      <c r="O1579" s="13"/>
      <c r="P1579" s="14"/>
      <c r="Q1579" s="13"/>
      <c r="R1579" s="13"/>
      <c r="S1579" s="15"/>
      <c r="T1579" s="16"/>
      <c r="U1579" s="16"/>
      <c r="V1579" s="16"/>
      <c r="W1579" s="16"/>
      <c r="X1579" s="16"/>
      <c r="Y1579" s="11"/>
      <c r="Z1579" s="11"/>
      <c r="AA1579" s="11"/>
      <c r="AB1579" s="11"/>
      <c r="AC1579" s="11"/>
      <c r="AD1579" s="11"/>
    </row>
    <row r="1580">
      <c r="A1580" s="10"/>
      <c r="B1580" s="10"/>
      <c r="C1580" s="10"/>
      <c r="D1580" s="10"/>
      <c r="E1580" s="10"/>
      <c r="F1580" s="11"/>
      <c r="G1580" s="11"/>
      <c r="H1580" s="11"/>
      <c r="I1580" s="11"/>
      <c r="J1580" s="11" t="str">
        <f>IFERROR(__xludf.DUMMYFUNCTION("IFERROR(FILTER(Stats!$F:$Z,(Stats!$A:$A=$A1580)*(Stats!$B:$B=$B1580)))"),"#REF!")</f>
        <v>#REF!</v>
      </c>
      <c r="K1580" s="11"/>
      <c r="L1580" s="12"/>
      <c r="M1580" s="11"/>
      <c r="N1580" s="11"/>
      <c r="O1580" s="13"/>
      <c r="P1580" s="14"/>
      <c r="Q1580" s="13"/>
      <c r="R1580" s="13"/>
      <c r="S1580" s="15"/>
      <c r="T1580" s="16"/>
      <c r="U1580" s="16"/>
      <c r="V1580" s="16"/>
      <c r="W1580" s="16"/>
      <c r="X1580" s="16"/>
      <c r="Y1580" s="11"/>
      <c r="Z1580" s="11"/>
      <c r="AA1580" s="11"/>
      <c r="AB1580" s="11"/>
      <c r="AC1580" s="11"/>
      <c r="AD1580" s="11"/>
    </row>
    <row r="1581">
      <c r="A1581" s="10"/>
      <c r="B1581" s="10"/>
      <c r="C1581" s="10"/>
      <c r="D1581" s="10"/>
      <c r="E1581" s="10"/>
      <c r="F1581" s="11"/>
      <c r="G1581" s="11"/>
      <c r="H1581" s="11"/>
      <c r="I1581" s="11"/>
      <c r="J1581" s="11" t="str">
        <f>IFERROR(__xludf.DUMMYFUNCTION("IFERROR(FILTER(Stats!$F:$Z,(Stats!$A:$A=$A1581)*(Stats!$B:$B=$B1581)))"),"#REF!")</f>
        <v>#REF!</v>
      </c>
      <c r="K1581" s="11"/>
      <c r="L1581" s="12"/>
      <c r="M1581" s="11"/>
      <c r="N1581" s="11"/>
      <c r="O1581" s="13"/>
      <c r="P1581" s="14"/>
      <c r="Q1581" s="13"/>
      <c r="R1581" s="13"/>
      <c r="S1581" s="15"/>
      <c r="T1581" s="16"/>
      <c r="U1581" s="16"/>
      <c r="V1581" s="16"/>
      <c r="W1581" s="16"/>
      <c r="X1581" s="16"/>
      <c r="Y1581" s="11"/>
      <c r="Z1581" s="11"/>
      <c r="AA1581" s="11"/>
      <c r="AB1581" s="11"/>
      <c r="AC1581" s="11"/>
      <c r="AD1581" s="11"/>
    </row>
    <row r="1582">
      <c r="A1582" s="10"/>
      <c r="B1582" s="10"/>
      <c r="C1582" s="10"/>
      <c r="D1582" s="10"/>
      <c r="E1582" s="10"/>
      <c r="F1582" s="11"/>
      <c r="G1582" s="11"/>
      <c r="H1582" s="11"/>
      <c r="I1582" s="11"/>
      <c r="J1582" s="11" t="str">
        <f>IFERROR(__xludf.DUMMYFUNCTION("IFERROR(FILTER(Stats!$F:$Z,(Stats!$A:$A=$A1582)*(Stats!$B:$B=$B1582)))"),"#REF!")</f>
        <v>#REF!</v>
      </c>
      <c r="K1582" s="11"/>
      <c r="L1582" s="12"/>
      <c r="M1582" s="11"/>
      <c r="N1582" s="11"/>
      <c r="O1582" s="13"/>
      <c r="P1582" s="14"/>
      <c r="Q1582" s="13"/>
      <c r="R1582" s="13"/>
      <c r="S1582" s="15"/>
      <c r="T1582" s="16"/>
      <c r="U1582" s="16"/>
      <c r="V1582" s="16"/>
      <c r="W1582" s="16"/>
      <c r="X1582" s="16"/>
      <c r="Y1582" s="11"/>
      <c r="Z1582" s="11"/>
      <c r="AA1582" s="11"/>
      <c r="AB1582" s="11"/>
      <c r="AC1582" s="11"/>
      <c r="AD1582" s="11"/>
    </row>
    <row r="1583">
      <c r="A1583" s="10"/>
      <c r="B1583" s="10"/>
      <c r="C1583" s="10"/>
      <c r="D1583" s="10"/>
      <c r="E1583" s="10"/>
      <c r="F1583" s="11"/>
      <c r="G1583" s="11"/>
      <c r="H1583" s="11"/>
      <c r="I1583" s="11"/>
      <c r="J1583" s="11" t="str">
        <f>IFERROR(__xludf.DUMMYFUNCTION("IFERROR(FILTER(Stats!$F:$Z,(Stats!$A:$A=$A1583)*(Stats!$B:$B=$B1583)))"),"#REF!")</f>
        <v>#REF!</v>
      </c>
      <c r="K1583" s="11"/>
      <c r="L1583" s="12"/>
      <c r="M1583" s="11"/>
      <c r="N1583" s="11"/>
      <c r="O1583" s="13"/>
      <c r="P1583" s="14"/>
      <c r="Q1583" s="13"/>
      <c r="R1583" s="13"/>
      <c r="S1583" s="15"/>
      <c r="T1583" s="16"/>
      <c r="U1583" s="16"/>
      <c r="V1583" s="16"/>
      <c r="W1583" s="16"/>
      <c r="X1583" s="16"/>
      <c r="Y1583" s="11"/>
      <c r="Z1583" s="11"/>
      <c r="AA1583" s="11"/>
      <c r="AB1583" s="11"/>
      <c r="AC1583" s="11"/>
      <c r="AD1583" s="11"/>
    </row>
    <row r="1584">
      <c r="A1584" s="10"/>
      <c r="B1584" s="10"/>
      <c r="C1584" s="10"/>
      <c r="D1584" s="10"/>
      <c r="E1584" s="10"/>
      <c r="F1584" s="11"/>
      <c r="G1584" s="11"/>
      <c r="H1584" s="11"/>
      <c r="I1584" s="11"/>
      <c r="J1584" s="11" t="str">
        <f>IFERROR(__xludf.DUMMYFUNCTION("IFERROR(FILTER(Stats!$F:$Z,(Stats!$A:$A=$A1584)*(Stats!$B:$B=$B1584)))"),"#REF!")</f>
        <v>#REF!</v>
      </c>
      <c r="K1584" s="11"/>
      <c r="L1584" s="12"/>
      <c r="M1584" s="11"/>
      <c r="N1584" s="11"/>
      <c r="O1584" s="13"/>
      <c r="P1584" s="14"/>
      <c r="Q1584" s="13"/>
      <c r="R1584" s="13"/>
      <c r="S1584" s="15"/>
      <c r="T1584" s="16"/>
      <c r="U1584" s="16"/>
      <c r="V1584" s="16"/>
      <c r="W1584" s="16"/>
      <c r="X1584" s="16"/>
      <c r="Y1584" s="11"/>
      <c r="Z1584" s="11"/>
      <c r="AA1584" s="11"/>
      <c r="AB1584" s="11"/>
      <c r="AC1584" s="11"/>
      <c r="AD1584" s="11"/>
    </row>
    <row r="1585">
      <c r="A1585" s="10"/>
      <c r="B1585" s="10"/>
      <c r="C1585" s="10"/>
      <c r="D1585" s="10"/>
      <c r="E1585" s="10"/>
      <c r="F1585" s="11"/>
      <c r="G1585" s="11"/>
      <c r="H1585" s="11"/>
      <c r="I1585" s="11"/>
      <c r="J1585" s="11" t="str">
        <f>IFERROR(__xludf.DUMMYFUNCTION("IFERROR(FILTER(Stats!$F:$Z,(Stats!$A:$A=$A1585)*(Stats!$B:$B=$B1585)))"),"#REF!")</f>
        <v>#REF!</v>
      </c>
      <c r="K1585" s="11"/>
      <c r="L1585" s="12"/>
      <c r="M1585" s="11"/>
      <c r="N1585" s="11"/>
      <c r="O1585" s="13"/>
      <c r="P1585" s="14"/>
      <c r="Q1585" s="13"/>
      <c r="R1585" s="13"/>
      <c r="S1585" s="15"/>
      <c r="T1585" s="16"/>
      <c r="U1585" s="16"/>
      <c r="V1585" s="16"/>
      <c r="W1585" s="16"/>
      <c r="X1585" s="16"/>
      <c r="Y1585" s="11"/>
      <c r="Z1585" s="11"/>
      <c r="AA1585" s="11"/>
      <c r="AB1585" s="11"/>
      <c r="AC1585" s="11"/>
      <c r="AD1585" s="11"/>
    </row>
    <row r="1586">
      <c r="A1586" s="10"/>
      <c r="B1586" s="10"/>
      <c r="C1586" s="10"/>
      <c r="D1586" s="10"/>
      <c r="E1586" s="10"/>
      <c r="F1586" s="11"/>
      <c r="G1586" s="11"/>
      <c r="H1586" s="11"/>
      <c r="I1586" s="11"/>
      <c r="J1586" s="11" t="str">
        <f>IFERROR(__xludf.DUMMYFUNCTION("IFERROR(FILTER(Stats!$F:$Z,(Stats!$A:$A=$A1586)*(Stats!$B:$B=$B1586)))"),"#REF!")</f>
        <v>#REF!</v>
      </c>
      <c r="K1586" s="11"/>
      <c r="L1586" s="12"/>
      <c r="M1586" s="11"/>
      <c r="N1586" s="11"/>
      <c r="O1586" s="13"/>
      <c r="P1586" s="14"/>
      <c r="Q1586" s="13"/>
      <c r="R1586" s="13"/>
      <c r="S1586" s="15"/>
      <c r="T1586" s="16"/>
      <c r="U1586" s="16"/>
      <c r="V1586" s="16"/>
      <c r="W1586" s="16"/>
      <c r="X1586" s="16"/>
      <c r="Y1586" s="11"/>
      <c r="Z1586" s="11"/>
      <c r="AA1586" s="11"/>
      <c r="AB1586" s="11"/>
      <c r="AC1586" s="11"/>
      <c r="AD1586" s="11"/>
    </row>
    <row r="1587">
      <c r="A1587" s="10"/>
      <c r="B1587" s="10"/>
      <c r="C1587" s="10"/>
      <c r="D1587" s="10"/>
      <c r="E1587" s="10"/>
      <c r="F1587" s="11"/>
      <c r="G1587" s="11"/>
      <c r="H1587" s="11"/>
      <c r="I1587" s="11"/>
      <c r="J1587" s="11" t="str">
        <f>IFERROR(__xludf.DUMMYFUNCTION("IFERROR(FILTER(Stats!$F:$Z,(Stats!$A:$A=$A1587)*(Stats!$B:$B=$B1587)))"),"#REF!")</f>
        <v>#REF!</v>
      </c>
      <c r="K1587" s="11"/>
      <c r="L1587" s="12"/>
      <c r="M1587" s="11"/>
      <c r="N1587" s="11"/>
      <c r="O1587" s="13"/>
      <c r="P1587" s="14"/>
      <c r="Q1587" s="13"/>
      <c r="R1587" s="13"/>
      <c r="S1587" s="15"/>
      <c r="T1587" s="16"/>
      <c r="U1587" s="16"/>
      <c r="V1587" s="16"/>
      <c r="W1587" s="16"/>
      <c r="X1587" s="16"/>
      <c r="Y1587" s="11"/>
      <c r="Z1587" s="11"/>
      <c r="AA1587" s="11"/>
      <c r="AB1587" s="11"/>
      <c r="AC1587" s="11"/>
      <c r="AD1587" s="11"/>
    </row>
    <row r="1588">
      <c r="A1588" s="10"/>
      <c r="B1588" s="10"/>
      <c r="C1588" s="10"/>
      <c r="D1588" s="10"/>
      <c r="E1588" s="10"/>
      <c r="F1588" s="11"/>
      <c r="G1588" s="11"/>
      <c r="H1588" s="11"/>
      <c r="I1588" s="11"/>
      <c r="J1588" s="11" t="str">
        <f>IFERROR(__xludf.DUMMYFUNCTION("IFERROR(FILTER(Stats!$F:$Z,(Stats!$A:$A=$A1588)*(Stats!$B:$B=$B1588)))"),"#REF!")</f>
        <v>#REF!</v>
      </c>
      <c r="K1588" s="11"/>
      <c r="L1588" s="12"/>
      <c r="M1588" s="11"/>
      <c r="N1588" s="11"/>
      <c r="O1588" s="13"/>
      <c r="P1588" s="14"/>
      <c r="Q1588" s="13"/>
      <c r="R1588" s="13"/>
      <c r="S1588" s="15"/>
      <c r="T1588" s="16"/>
      <c r="U1588" s="16"/>
      <c r="V1588" s="16"/>
      <c r="W1588" s="16"/>
      <c r="X1588" s="16"/>
      <c r="Y1588" s="11"/>
      <c r="Z1588" s="11"/>
      <c r="AA1588" s="11"/>
      <c r="AB1588" s="11"/>
      <c r="AC1588" s="11"/>
      <c r="AD1588" s="11"/>
    </row>
    <row r="1589">
      <c r="A1589" s="10"/>
      <c r="B1589" s="10"/>
      <c r="C1589" s="10"/>
      <c r="D1589" s="10"/>
      <c r="E1589" s="10"/>
      <c r="F1589" s="11"/>
      <c r="G1589" s="11"/>
      <c r="H1589" s="11"/>
      <c r="I1589" s="11"/>
      <c r="J1589" s="11" t="str">
        <f>IFERROR(__xludf.DUMMYFUNCTION("IFERROR(FILTER(Stats!$F:$Z,(Stats!$A:$A=$A1589)*(Stats!$B:$B=$B1589)))"),"#REF!")</f>
        <v>#REF!</v>
      </c>
      <c r="K1589" s="11"/>
      <c r="L1589" s="12"/>
      <c r="M1589" s="11"/>
      <c r="N1589" s="11"/>
      <c r="O1589" s="13"/>
      <c r="P1589" s="14"/>
      <c r="Q1589" s="13"/>
      <c r="R1589" s="13"/>
      <c r="S1589" s="15"/>
      <c r="T1589" s="16"/>
      <c r="U1589" s="16"/>
      <c r="V1589" s="16"/>
      <c r="W1589" s="16"/>
      <c r="X1589" s="16"/>
      <c r="Y1589" s="11"/>
      <c r="Z1589" s="11"/>
      <c r="AA1589" s="11"/>
      <c r="AB1589" s="11"/>
      <c r="AC1589" s="11"/>
      <c r="AD1589" s="11"/>
    </row>
    <row r="1590">
      <c r="A1590" s="10"/>
      <c r="B1590" s="10"/>
      <c r="C1590" s="10"/>
      <c r="D1590" s="10"/>
      <c r="E1590" s="10"/>
      <c r="F1590" s="11"/>
      <c r="G1590" s="11"/>
      <c r="H1590" s="11"/>
      <c r="I1590" s="11"/>
      <c r="J1590" s="11" t="str">
        <f>IFERROR(__xludf.DUMMYFUNCTION("IFERROR(FILTER(Stats!$F:$Z,(Stats!$A:$A=$A1590)*(Stats!$B:$B=$B1590)))"),"#REF!")</f>
        <v>#REF!</v>
      </c>
      <c r="K1590" s="11"/>
      <c r="L1590" s="12"/>
      <c r="M1590" s="11"/>
      <c r="N1590" s="11"/>
      <c r="O1590" s="13"/>
      <c r="P1590" s="14"/>
      <c r="Q1590" s="13"/>
      <c r="R1590" s="13"/>
      <c r="S1590" s="15"/>
      <c r="T1590" s="16"/>
      <c r="U1590" s="16"/>
      <c r="V1590" s="16"/>
      <c r="W1590" s="16"/>
      <c r="X1590" s="16"/>
      <c r="Y1590" s="11"/>
      <c r="Z1590" s="11"/>
      <c r="AA1590" s="11"/>
      <c r="AB1590" s="11"/>
      <c r="AC1590" s="11"/>
      <c r="AD1590" s="11"/>
    </row>
    <row r="1591">
      <c r="A1591" s="10"/>
      <c r="B1591" s="10"/>
      <c r="C1591" s="10"/>
      <c r="D1591" s="10"/>
      <c r="E1591" s="10"/>
      <c r="F1591" s="11"/>
      <c r="G1591" s="11"/>
      <c r="H1591" s="11"/>
      <c r="I1591" s="11"/>
      <c r="J1591" s="11" t="str">
        <f>IFERROR(__xludf.DUMMYFUNCTION("IFERROR(FILTER(Stats!$F:$Z,(Stats!$A:$A=$A1591)*(Stats!$B:$B=$B1591)))"),"#REF!")</f>
        <v>#REF!</v>
      </c>
      <c r="K1591" s="11"/>
      <c r="L1591" s="12"/>
      <c r="M1591" s="11"/>
      <c r="N1591" s="11"/>
      <c r="O1591" s="13"/>
      <c r="P1591" s="14"/>
      <c r="Q1591" s="13"/>
      <c r="R1591" s="13"/>
      <c r="S1591" s="15"/>
      <c r="T1591" s="16"/>
      <c r="U1591" s="16"/>
      <c r="V1591" s="16"/>
      <c r="W1591" s="16"/>
      <c r="X1591" s="16"/>
      <c r="Y1591" s="11"/>
      <c r="Z1591" s="11"/>
      <c r="AA1591" s="11"/>
      <c r="AB1591" s="11"/>
      <c r="AC1591" s="11"/>
      <c r="AD1591" s="11"/>
    </row>
    <row r="1592">
      <c r="A1592" s="10"/>
      <c r="B1592" s="10"/>
      <c r="C1592" s="10"/>
      <c r="D1592" s="10"/>
      <c r="E1592" s="10"/>
      <c r="F1592" s="11"/>
      <c r="G1592" s="11"/>
      <c r="H1592" s="11"/>
      <c r="I1592" s="11"/>
      <c r="J1592" s="11" t="str">
        <f>IFERROR(__xludf.DUMMYFUNCTION("IFERROR(FILTER(Stats!$F:$Z,(Stats!$A:$A=$A1592)*(Stats!$B:$B=$B1592)))"),"#REF!")</f>
        <v>#REF!</v>
      </c>
      <c r="K1592" s="11"/>
      <c r="L1592" s="12"/>
      <c r="M1592" s="11"/>
      <c r="N1592" s="11"/>
      <c r="O1592" s="13"/>
      <c r="P1592" s="14"/>
      <c r="Q1592" s="13"/>
      <c r="R1592" s="13"/>
      <c r="S1592" s="15"/>
      <c r="T1592" s="16"/>
      <c r="U1592" s="16"/>
      <c r="V1592" s="16"/>
      <c r="W1592" s="16"/>
      <c r="X1592" s="16"/>
      <c r="Y1592" s="11"/>
      <c r="Z1592" s="11"/>
      <c r="AA1592" s="11"/>
      <c r="AB1592" s="11"/>
      <c r="AC1592" s="11"/>
      <c r="AD1592" s="11"/>
    </row>
    <row r="1593">
      <c r="A1593" s="10"/>
      <c r="B1593" s="10"/>
      <c r="C1593" s="10"/>
      <c r="D1593" s="10"/>
      <c r="E1593" s="10"/>
      <c r="F1593" s="11"/>
      <c r="G1593" s="11"/>
      <c r="H1593" s="11"/>
      <c r="I1593" s="11"/>
      <c r="J1593" s="11" t="str">
        <f>IFERROR(__xludf.DUMMYFUNCTION("IFERROR(FILTER(Stats!$F:$Z,(Stats!$A:$A=$A1593)*(Stats!$B:$B=$B1593)))"),"#REF!")</f>
        <v>#REF!</v>
      </c>
      <c r="K1593" s="11"/>
      <c r="L1593" s="12"/>
      <c r="M1593" s="11"/>
      <c r="N1593" s="11"/>
      <c r="O1593" s="13"/>
      <c r="P1593" s="14"/>
      <c r="Q1593" s="13"/>
      <c r="R1593" s="13"/>
      <c r="S1593" s="15"/>
      <c r="T1593" s="16"/>
      <c r="U1593" s="16"/>
      <c r="V1593" s="16"/>
      <c r="W1593" s="16"/>
      <c r="X1593" s="16"/>
      <c r="Y1593" s="11"/>
      <c r="Z1593" s="11"/>
      <c r="AA1593" s="11"/>
      <c r="AB1593" s="11"/>
      <c r="AC1593" s="11"/>
      <c r="AD1593" s="11"/>
    </row>
    <row r="1594">
      <c r="A1594" s="10"/>
      <c r="B1594" s="10"/>
      <c r="C1594" s="10"/>
      <c r="D1594" s="10"/>
      <c r="E1594" s="10"/>
      <c r="F1594" s="11"/>
      <c r="G1594" s="11"/>
      <c r="H1594" s="11"/>
      <c r="I1594" s="11"/>
      <c r="J1594" s="11" t="str">
        <f>IFERROR(__xludf.DUMMYFUNCTION("IFERROR(FILTER(Stats!$F:$Z,(Stats!$A:$A=$A1594)*(Stats!$B:$B=$B1594)))"),"#REF!")</f>
        <v>#REF!</v>
      </c>
      <c r="K1594" s="11"/>
      <c r="L1594" s="12"/>
      <c r="M1594" s="11"/>
      <c r="N1594" s="11"/>
      <c r="O1594" s="13"/>
      <c r="P1594" s="14"/>
      <c r="Q1594" s="13"/>
      <c r="R1594" s="13"/>
      <c r="S1594" s="15"/>
      <c r="T1594" s="16"/>
      <c r="U1594" s="16"/>
      <c r="V1594" s="16"/>
      <c r="W1594" s="16"/>
      <c r="X1594" s="16"/>
      <c r="Y1594" s="11"/>
      <c r="Z1594" s="11"/>
      <c r="AA1594" s="11"/>
      <c r="AB1594" s="11"/>
      <c r="AC1594" s="11"/>
      <c r="AD1594" s="11"/>
    </row>
    <row r="1595">
      <c r="A1595" s="10"/>
      <c r="B1595" s="10"/>
      <c r="C1595" s="10"/>
      <c r="D1595" s="10"/>
      <c r="E1595" s="10"/>
      <c r="F1595" s="11"/>
      <c r="G1595" s="11"/>
      <c r="H1595" s="11"/>
      <c r="I1595" s="11"/>
      <c r="J1595" s="11" t="str">
        <f>IFERROR(__xludf.DUMMYFUNCTION("IFERROR(FILTER(Stats!$F:$Z,(Stats!$A:$A=$A1595)*(Stats!$B:$B=$B1595)))"),"#REF!")</f>
        <v>#REF!</v>
      </c>
      <c r="K1595" s="11"/>
      <c r="L1595" s="12"/>
      <c r="M1595" s="11"/>
      <c r="N1595" s="11"/>
      <c r="O1595" s="13"/>
      <c r="P1595" s="14"/>
      <c r="Q1595" s="13"/>
      <c r="R1595" s="13"/>
      <c r="S1595" s="15"/>
      <c r="T1595" s="16"/>
      <c r="U1595" s="16"/>
      <c r="V1595" s="16"/>
      <c r="W1595" s="16"/>
      <c r="X1595" s="16"/>
      <c r="Y1595" s="11"/>
      <c r="Z1595" s="11"/>
      <c r="AA1595" s="11"/>
      <c r="AB1595" s="11"/>
      <c r="AC1595" s="11"/>
      <c r="AD1595" s="11"/>
    </row>
    <row r="1596">
      <c r="A1596" s="10"/>
      <c r="B1596" s="10"/>
      <c r="C1596" s="10"/>
      <c r="D1596" s="10"/>
      <c r="E1596" s="10"/>
      <c r="F1596" s="11"/>
      <c r="G1596" s="11"/>
      <c r="H1596" s="11"/>
      <c r="I1596" s="11"/>
      <c r="J1596" s="11" t="str">
        <f>IFERROR(__xludf.DUMMYFUNCTION("IFERROR(FILTER(Stats!$F:$Z,(Stats!$A:$A=$A1596)*(Stats!$B:$B=$B1596)))"),"#REF!")</f>
        <v>#REF!</v>
      </c>
      <c r="K1596" s="11"/>
      <c r="L1596" s="12"/>
      <c r="M1596" s="11"/>
      <c r="N1596" s="11"/>
      <c r="O1596" s="13"/>
      <c r="P1596" s="14"/>
      <c r="Q1596" s="13"/>
      <c r="R1596" s="13"/>
      <c r="S1596" s="15"/>
      <c r="T1596" s="16"/>
      <c r="U1596" s="16"/>
      <c r="V1596" s="16"/>
      <c r="W1596" s="16"/>
      <c r="X1596" s="16"/>
      <c r="Y1596" s="11"/>
      <c r="Z1596" s="11"/>
      <c r="AA1596" s="11"/>
      <c r="AB1596" s="11"/>
      <c r="AC1596" s="11"/>
      <c r="AD1596" s="11"/>
    </row>
    <row r="1597">
      <c r="A1597" s="10"/>
      <c r="B1597" s="10"/>
      <c r="C1597" s="10"/>
      <c r="D1597" s="10"/>
      <c r="E1597" s="10"/>
      <c r="F1597" s="11"/>
      <c r="G1597" s="11"/>
      <c r="H1597" s="11"/>
      <c r="I1597" s="11"/>
      <c r="J1597" s="11" t="str">
        <f>IFERROR(__xludf.DUMMYFUNCTION("IFERROR(FILTER(Stats!$F:$Z,(Stats!$A:$A=$A1597)*(Stats!$B:$B=$B1597)))"),"#REF!")</f>
        <v>#REF!</v>
      </c>
      <c r="K1597" s="11"/>
      <c r="L1597" s="12"/>
      <c r="M1597" s="11"/>
      <c r="N1597" s="11"/>
      <c r="O1597" s="13"/>
      <c r="P1597" s="14"/>
      <c r="Q1597" s="13"/>
      <c r="R1597" s="13"/>
      <c r="S1597" s="15"/>
      <c r="T1597" s="16"/>
      <c r="U1597" s="16"/>
      <c r="V1597" s="16"/>
      <c r="W1597" s="16"/>
      <c r="X1597" s="16"/>
      <c r="Y1597" s="11"/>
      <c r="Z1597" s="11"/>
      <c r="AA1597" s="11"/>
      <c r="AB1597" s="11"/>
      <c r="AC1597" s="11"/>
      <c r="AD1597" s="11"/>
    </row>
    <row r="1598">
      <c r="A1598" s="10"/>
      <c r="B1598" s="10"/>
      <c r="C1598" s="10"/>
      <c r="D1598" s="10"/>
      <c r="E1598" s="10"/>
      <c r="F1598" s="11"/>
      <c r="G1598" s="11"/>
      <c r="H1598" s="11"/>
      <c r="I1598" s="11"/>
      <c r="J1598" s="11" t="str">
        <f>IFERROR(__xludf.DUMMYFUNCTION("IFERROR(FILTER(Stats!$F:$Z,(Stats!$A:$A=$A1598)*(Stats!$B:$B=$B1598)))"),"#REF!")</f>
        <v>#REF!</v>
      </c>
      <c r="K1598" s="11"/>
      <c r="L1598" s="12"/>
      <c r="M1598" s="11"/>
      <c r="N1598" s="11"/>
      <c r="O1598" s="13"/>
      <c r="P1598" s="14"/>
      <c r="Q1598" s="13"/>
      <c r="R1598" s="13"/>
      <c r="S1598" s="15"/>
      <c r="T1598" s="16"/>
      <c r="U1598" s="16"/>
      <c r="V1598" s="16"/>
      <c r="W1598" s="16"/>
      <c r="X1598" s="16"/>
      <c r="Y1598" s="11"/>
      <c r="Z1598" s="11"/>
      <c r="AA1598" s="11"/>
      <c r="AB1598" s="11"/>
      <c r="AC1598" s="11"/>
      <c r="AD1598" s="11"/>
    </row>
    <row r="1599">
      <c r="A1599" s="10"/>
      <c r="B1599" s="10"/>
      <c r="C1599" s="10"/>
      <c r="D1599" s="10"/>
      <c r="E1599" s="10"/>
      <c r="F1599" s="11"/>
      <c r="G1599" s="11"/>
      <c r="H1599" s="11"/>
      <c r="I1599" s="11"/>
      <c r="J1599" s="11" t="str">
        <f>IFERROR(__xludf.DUMMYFUNCTION("IFERROR(FILTER(Stats!$F:$Z,(Stats!$A:$A=$A1599)*(Stats!$B:$B=$B1599)))"),"#REF!")</f>
        <v>#REF!</v>
      </c>
      <c r="K1599" s="11"/>
      <c r="L1599" s="12"/>
      <c r="M1599" s="11"/>
      <c r="N1599" s="11"/>
      <c r="O1599" s="13"/>
      <c r="P1599" s="14"/>
      <c r="Q1599" s="13"/>
      <c r="R1599" s="13"/>
      <c r="S1599" s="15"/>
      <c r="T1599" s="16"/>
      <c r="U1599" s="16"/>
      <c r="V1599" s="16"/>
      <c r="W1599" s="16"/>
      <c r="X1599" s="16"/>
      <c r="Y1599" s="11"/>
      <c r="Z1599" s="11"/>
      <c r="AA1599" s="11"/>
      <c r="AB1599" s="11"/>
      <c r="AC1599" s="11"/>
      <c r="AD1599" s="11"/>
    </row>
    <row r="1600">
      <c r="A1600" s="10"/>
      <c r="B1600" s="10"/>
      <c r="C1600" s="10"/>
      <c r="D1600" s="10"/>
      <c r="E1600" s="10"/>
      <c r="F1600" s="11"/>
      <c r="G1600" s="11"/>
      <c r="H1600" s="11"/>
      <c r="I1600" s="11"/>
      <c r="J1600" s="11" t="str">
        <f>IFERROR(__xludf.DUMMYFUNCTION("IFERROR(FILTER(Stats!$F:$Z,(Stats!$A:$A=$A1600)*(Stats!$B:$B=$B1600)))"),"#REF!")</f>
        <v>#REF!</v>
      </c>
      <c r="K1600" s="11"/>
      <c r="L1600" s="12"/>
      <c r="M1600" s="11"/>
      <c r="N1600" s="11"/>
      <c r="O1600" s="13"/>
      <c r="P1600" s="14"/>
      <c r="Q1600" s="13"/>
      <c r="R1600" s="13"/>
      <c r="S1600" s="15"/>
      <c r="T1600" s="16"/>
      <c r="U1600" s="16"/>
      <c r="V1600" s="16"/>
      <c r="W1600" s="16"/>
      <c r="X1600" s="16"/>
      <c r="Y1600" s="11"/>
      <c r="Z1600" s="11"/>
      <c r="AA1600" s="11"/>
      <c r="AB1600" s="11"/>
      <c r="AC1600" s="11"/>
      <c r="AD1600" s="11"/>
    </row>
    <row r="1601">
      <c r="A1601" s="10"/>
      <c r="B1601" s="10"/>
      <c r="C1601" s="10"/>
      <c r="D1601" s="10"/>
      <c r="E1601" s="10"/>
      <c r="F1601" s="11"/>
      <c r="G1601" s="11"/>
      <c r="H1601" s="11"/>
      <c r="I1601" s="11"/>
      <c r="J1601" s="11" t="str">
        <f>IFERROR(__xludf.DUMMYFUNCTION("IFERROR(FILTER(Stats!$F:$Z,(Stats!$A:$A=$A1601)*(Stats!$B:$B=$B1601)))"),"#REF!")</f>
        <v>#REF!</v>
      </c>
      <c r="K1601" s="11"/>
      <c r="L1601" s="12"/>
      <c r="M1601" s="11"/>
      <c r="N1601" s="11"/>
      <c r="O1601" s="13"/>
      <c r="P1601" s="14"/>
      <c r="Q1601" s="13"/>
      <c r="R1601" s="13"/>
      <c r="S1601" s="15"/>
      <c r="T1601" s="16"/>
      <c r="U1601" s="16"/>
      <c r="V1601" s="16"/>
      <c r="W1601" s="16"/>
      <c r="X1601" s="16"/>
      <c r="Y1601" s="11"/>
      <c r="Z1601" s="11"/>
      <c r="AA1601" s="11"/>
      <c r="AB1601" s="11"/>
      <c r="AC1601" s="11"/>
      <c r="AD1601" s="11"/>
    </row>
    <row r="1602">
      <c r="A1602" s="10"/>
      <c r="B1602" s="10"/>
      <c r="C1602" s="10"/>
      <c r="D1602" s="10"/>
      <c r="E1602" s="10"/>
      <c r="F1602" s="11"/>
      <c r="G1602" s="11"/>
      <c r="H1602" s="11"/>
      <c r="I1602" s="11"/>
      <c r="J1602" s="11" t="str">
        <f>IFERROR(__xludf.DUMMYFUNCTION("IFERROR(FILTER(Stats!$F:$Z,(Stats!$A:$A=$A1602)*(Stats!$B:$B=$B1602)))"),"#REF!")</f>
        <v>#REF!</v>
      </c>
      <c r="K1602" s="11"/>
      <c r="L1602" s="12"/>
      <c r="M1602" s="11"/>
      <c r="N1602" s="11"/>
      <c r="O1602" s="13"/>
      <c r="P1602" s="14"/>
      <c r="Q1602" s="13"/>
      <c r="R1602" s="13"/>
      <c r="S1602" s="15"/>
      <c r="T1602" s="16"/>
      <c r="U1602" s="16"/>
      <c r="V1602" s="16"/>
      <c r="W1602" s="16"/>
      <c r="X1602" s="16"/>
      <c r="Y1602" s="11"/>
      <c r="Z1602" s="11"/>
      <c r="AA1602" s="11"/>
      <c r="AB1602" s="11"/>
      <c r="AC1602" s="11"/>
      <c r="AD1602" s="11"/>
    </row>
    <row r="1603">
      <c r="A1603" s="10"/>
      <c r="B1603" s="10"/>
      <c r="C1603" s="10"/>
      <c r="D1603" s="10"/>
      <c r="E1603" s="10"/>
      <c r="F1603" s="11"/>
      <c r="G1603" s="11"/>
      <c r="H1603" s="11"/>
      <c r="I1603" s="11"/>
      <c r="J1603" s="11" t="str">
        <f>IFERROR(__xludf.DUMMYFUNCTION("IFERROR(FILTER(Stats!$F:$Z,(Stats!$A:$A=$A1603)*(Stats!$B:$B=$B1603)))"),"#REF!")</f>
        <v>#REF!</v>
      </c>
      <c r="K1603" s="11"/>
      <c r="L1603" s="12"/>
      <c r="M1603" s="11"/>
      <c r="N1603" s="11"/>
      <c r="O1603" s="13"/>
      <c r="P1603" s="14"/>
      <c r="Q1603" s="13"/>
      <c r="R1603" s="13"/>
      <c r="S1603" s="15"/>
      <c r="T1603" s="16"/>
      <c r="U1603" s="16"/>
      <c r="V1603" s="16"/>
      <c r="W1603" s="16"/>
      <c r="X1603" s="16"/>
      <c r="Y1603" s="11"/>
      <c r="Z1603" s="11"/>
      <c r="AA1603" s="11"/>
      <c r="AB1603" s="11"/>
      <c r="AC1603" s="11"/>
      <c r="AD1603" s="11"/>
    </row>
    <row r="1604">
      <c r="A1604" s="10"/>
      <c r="B1604" s="10"/>
      <c r="C1604" s="10"/>
      <c r="D1604" s="10"/>
      <c r="E1604" s="10"/>
      <c r="F1604" s="11"/>
      <c r="G1604" s="11"/>
      <c r="H1604" s="11"/>
      <c r="I1604" s="11"/>
      <c r="J1604" s="11" t="str">
        <f>IFERROR(__xludf.DUMMYFUNCTION("IFERROR(FILTER(Stats!$F:$Z,(Stats!$A:$A=$A1604)*(Stats!$B:$B=$B1604)))"),"#REF!")</f>
        <v>#REF!</v>
      </c>
      <c r="K1604" s="11"/>
      <c r="L1604" s="12"/>
      <c r="M1604" s="11"/>
      <c r="N1604" s="11"/>
      <c r="O1604" s="13"/>
      <c r="P1604" s="14"/>
      <c r="Q1604" s="13"/>
      <c r="R1604" s="13"/>
      <c r="S1604" s="15"/>
      <c r="T1604" s="16"/>
      <c r="U1604" s="16"/>
      <c r="V1604" s="16"/>
      <c r="W1604" s="16"/>
      <c r="X1604" s="16"/>
      <c r="Y1604" s="11"/>
      <c r="Z1604" s="11"/>
      <c r="AA1604" s="11"/>
      <c r="AB1604" s="11"/>
      <c r="AC1604" s="11"/>
      <c r="AD1604" s="11"/>
    </row>
    <row r="1605">
      <c r="A1605" s="10"/>
      <c r="B1605" s="10"/>
      <c r="C1605" s="10"/>
      <c r="D1605" s="10"/>
      <c r="E1605" s="10"/>
      <c r="F1605" s="11"/>
      <c r="G1605" s="11"/>
      <c r="H1605" s="11"/>
      <c r="I1605" s="11"/>
      <c r="J1605" s="11" t="str">
        <f>IFERROR(__xludf.DUMMYFUNCTION("IFERROR(FILTER(Stats!$F:$Z,(Stats!$A:$A=$A1605)*(Stats!$B:$B=$B1605)))"),"#REF!")</f>
        <v>#REF!</v>
      </c>
      <c r="K1605" s="11"/>
      <c r="L1605" s="12"/>
      <c r="M1605" s="11"/>
      <c r="N1605" s="11"/>
      <c r="O1605" s="13"/>
      <c r="P1605" s="14"/>
      <c r="Q1605" s="13"/>
      <c r="R1605" s="13"/>
      <c r="S1605" s="15"/>
      <c r="T1605" s="16"/>
      <c r="U1605" s="16"/>
      <c r="V1605" s="16"/>
      <c r="W1605" s="16"/>
      <c r="X1605" s="16"/>
      <c r="Y1605" s="11"/>
      <c r="Z1605" s="11"/>
      <c r="AA1605" s="11"/>
      <c r="AB1605" s="11"/>
      <c r="AC1605" s="11"/>
      <c r="AD1605" s="11"/>
    </row>
    <row r="1606">
      <c r="A1606" s="10"/>
      <c r="B1606" s="10"/>
      <c r="C1606" s="10"/>
      <c r="D1606" s="10"/>
      <c r="E1606" s="10"/>
      <c r="F1606" s="11"/>
      <c r="G1606" s="11"/>
      <c r="H1606" s="11"/>
      <c r="I1606" s="11"/>
      <c r="J1606" s="11" t="str">
        <f>IFERROR(__xludf.DUMMYFUNCTION("IFERROR(FILTER(Stats!$F:$Z,(Stats!$A:$A=$A1606)*(Stats!$B:$B=$B1606)))"),"#REF!")</f>
        <v>#REF!</v>
      </c>
      <c r="K1606" s="11"/>
      <c r="L1606" s="12"/>
      <c r="M1606" s="11"/>
      <c r="N1606" s="11"/>
      <c r="O1606" s="13"/>
      <c r="P1606" s="14"/>
      <c r="Q1606" s="13"/>
      <c r="R1606" s="13"/>
      <c r="S1606" s="15"/>
      <c r="T1606" s="16"/>
      <c r="U1606" s="16"/>
      <c r="V1606" s="16"/>
      <c r="W1606" s="16"/>
      <c r="X1606" s="16"/>
      <c r="Y1606" s="11"/>
      <c r="Z1606" s="11"/>
      <c r="AA1606" s="11"/>
      <c r="AB1606" s="11"/>
      <c r="AC1606" s="11"/>
      <c r="AD1606" s="11"/>
    </row>
    <row r="1607">
      <c r="A1607" s="10"/>
      <c r="B1607" s="10"/>
      <c r="C1607" s="10"/>
      <c r="D1607" s="10"/>
      <c r="E1607" s="10"/>
      <c r="F1607" s="11"/>
      <c r="G1607" s="11"/>
      <c r="H1607" s="11"/>
      <c r="I1607" s="11"/>
      <c r="J1607" s="11" t="str">
        <f>IFERROR(__xludf.DUMMYFUNCTION("IFERROR(FILTER(Stats!$F:$Z,(Stats!$A:$A=$A1607)*(Stats!$B:$B=$B1607)))"),"#REF!")</f>
        <v>#REF!</v>
      </c>
      <c r="K1607" s="11"/>
      <c r="L1607" s="12"/>
      <c r="M1607" s="11"/>
      <c r="N1607" s="11"/>
      <c r="O1607" s="13"/>
      <c r="P1607" s="14"/>
      <c r="Q1607" s="13"/>
      <c r="R1607" s="13"/>
      <c r="S1607" s="15"/>
      <c r="T1607" s="16"/>
      <c r="U1607" s="16"/>
      <c r="V1607" s="16"/>
      <c r="W1607" s="16"/>
      <c r="X1607" s="16"/>
      <c r="Y1607" s="11"/>
      <c r="Z1607" s="11"/>
      <c r="AA1607" s="11"/>
      <c r="AB1607" s="11"/>
      <c r="AC1607" s="11"/>
      <c r="AD1607" s="11"/>
    </row>
    <row r="1608">
      <c r="A1608" s="10"/>
      <c r="B1608" s="10"/>
      <c r="C1608" s="10"/>
      <c r="D1608" s="10"/>
      <c r="E1608" s="10"/>
      <c r="F1608" s="11"/>
      <c r="G1608" s="11"/>
      <c r="H1608" s="11"/>
      <c r="I1608" s="11"/>
      <c r="J1608" s="11" t="str">
        <f>IFERROR(__xludf.DUMMYFUNCTION("IFERROR(FILTER(Stats!$F:$Z,(Stats!$A:$A=$A1608)*(Stats!$B:$B=$B1608)))"),"#REF!")</f>
        <v>#REF!</v>
      </c>
      <c r="K1608" s="11"/>
      <c r="L1608" s="12"/>
      <c r="M1608" s="11"/>
      <c r="N1608" s="11"/>
      <c r="O1608" s="13"/>
      <c r="P1608" s="14"/>
      <c r="Q1608" s="13"/>
      <c r="R1608" s="13"/>
      <c r="S1608" s="15"/>
      <c r="T1608" s="16"/>
      <c r="U1608" s="16"/>
      <c r="V1608" s="16"/>
      <c r="W1608" s="16"/>
      <c r="X1608" s="16"/>
      <c r="Y1608" s="11"/>
      <c r="Z1608" s="11"/>
      <c r="AA1608" s="11"/>
      <c r="AB1608" s="11"/>
      <c r="AC1608" s="11"/>
      <c r="AD1608" s="11"/>
    </row>
    <row r="1609">
      <c r="A1609" s="10"/>
      <c r="B1609" s="10"/>
      <c r="C1609" s="10"/>
      <c r="D1609" s="10"/>
      <c r="E1609" s="10"/>
      <c r="F1609" s="11"/>
      <c r="G1609" s="11"/>
      <c r="H1609" s="11"/>
      <c r="I1609" s="11"/>
      <c r="J1609" s="11" t="str">
        <f>IFERROR(__xludf.DUMMYFUNCTION("IFERROR(FILTER(Stats!$F:$Z,(Stats!$A:$A=$A1609)*(Stats!$B:$B=$B1609)))"),"#REF!")</f>
        <v>#REF!</v>
      </c>
      <c r="K1609" s="11"/>
      <c r="L1609" s="12"/>
      <c r="M1609" s="11"/>
      <c r="N1609" s="11"/>
      <c r="O1609" s="13"/>
      <c r="P1609" s="14"/>
      <c r="Q1609" s="13"/>
      <c r="R1609" s="13"/>
      <c r="S1609" s="15"/>
      <c r="T1609" s="16"/>
      <c r="U1609" s="16"/>
      <c r="V1609" s="16"/>
      <c r="W1609" s="16"/>
      <c r="X1609" s="16"/>
      <c r="Y1609" s="11"/>
      <c r="Z1609" s="11"/>
      <c r="AA1609" s="11"/>
      <c r="AB1609" s="11"/>
      <c r="AC1609" s="11"/>
      <c r="AD1609" s="11"/>
    </row>
    <row r="1610">
      <c r="A1610" s="10"/>
      <c r="B1610" s="10"/>
      <c r="C1610" s="10"/>
      <c r="D1610" s="10"/>
      <c r="E1610" s="10"/>
      <c r="F1610" s="11"/>
      <c r="G1610" s="11"/>
      <c r="H1610" s="11"/>
      <c r="I1610" s="11"/>
      <c r="J1610" s="11" t="str">
        <f>IFERROR(__xludf.DUMMYFUNCTION("IFERROR(FILTER(Stats!$F:$Z,(Stats!$A:$A=$A1610)*(Stats!$B:$B=$B1610)))"),"#REF!")</f>
        <v>#REF!</v>
      </c>
      <c r="K1610" s="11"/>
      <c r="L1610" s="12"/>
      <c r="M1610" s="11"/>
      <c r="N1610" s="11"/>
      <c r="O1610" s="13"/>
      <c r="P1610" s="14"/>
      <c r="Q1610" s="13"/>
      <c r="R1610" s="13"/>
      <c r="S1610" s="15"/>
      <c r="T1610" s="16"/>
      <c r="U1610" s="16"/>
      <c r="V1610" s="16"/>
      <c r="W1610" s="16"/>
      <c r="X1610" s="16"/>
      <c r="Y1610" s="11"/>
      <c r="Z1610" s="11"/>
      <c r="AA1610" s="11"/>
      <c r="AB1610" s="11"/>
      <c r="AC1610" s="11"/>
      <c r="AD1610" s="11"/>
    </row>
    <row r="1611">
      <c r="A1611" s="10"/>
      <c r="B1611" s="10"/>
      <c r="C1611" s="10"/>
      <c r="D1611" s="10"/>
      <c r="E1611" s="10"/>
      <c r="F1611" s="11"/>
      <c r="G1611" s="11"/>
      <c r="H1611" s="11"/>
      <c r="I1611" s="11"/>
      <c r="J1611" s="11" t="str">
        <f>IFERROR(__xludf.DUMMYFUNCTION("IFERROR(FILTER(Stats!$F:$Z,(Stats!$A:$A=$A1611)*(Stats!$B:$B=$B1611)))"),"#REF!")</f>
        <v>#REF!</v>
      </c>
      <c r="K1611" s="11"/>
      <c r="L1611" s="12"/>
      <c r="M1611" s="11"/>
      <c r="N1611" s="11"/>
      <c r="O1611" s="13"/>
      <c r="P1611" s="14"/>
      <c r="Q1611" s="13"/>
      <c r="R1611" s="13"/>
      <c r="S1611" s="15"/>
      <c r="T1611" s="16"/>
      <c r="U1611" s="16"/>
      <c r="V1611" s="16"/>
      <c r="W1611" s="16"/>
      <c r="X1611" s="16"/>
      <c r="Y1611" s="11"/>
      <c r="Z1611" s="11"/>
      <c r="AA1611" s="11"/>
      <c r="AB1611" s="11"/>
      <c r="AC1611" s="11"/>
      <c r="AD1611" s="11"/>
    </row>
    <row r="1612">
      <c r="A1612" s="10"/>
      <c r="B1612" s="10"/>
      <c r="C1612" s="10"/>
      <c r="D1612" s="10"/>
      <c r="E1612" s="10"/>
      <c r="F1612" s="11"/>
      <c r="G1612" s="11"/>
      <c r="H1612" s="11"/>
      <c r="I1612" s="11"/>
      <c r="J1612" s="11" t="str">
        <f>IFERROR(__xludf.DUMMYFUNCTION("IFERROR(FILTER(Stats!$F:$Z,(Stats!$A:$A=$A1612)*(Stats!$B:$B=$B1612)))"),"#REF!")</f>
        <v>#REF!</v>
      </c>
      <c r="K1612" s="11"/>
      <c r="L1612" s="12"/>
      <c r="M1612" s="11"/>
      <c r="N1612" s="11"/>
      <c r="O1612" s="13"/>
      <c r="P1612" s="14"/>
      <c r="Q1612" s="13"/>
      <c r="R1612" s="13"/>
      <c r="S1612" s="15"/>
      <c r="T1612" s="16"/>
      <c r="U1612" s="16"/>
      <c r="V1612" s="16"/>
      <c r="W1612" s="16"/>
      <c r="X1612" s="16"/>
      <c r="Y1612" s="11"/>
      <c r="Z1612" s="11"/>
      <c r="AA1612" s="11"/>
      <c r="AB1612" s="11"/>
      <c r="AC1612" s="11"/>
      <c r="AD1612" s="11"/>
    </row>
    <row r="1613">
      <c r="A1613" s="10"/>
      <c r="B1613" s="10"/>
      <c r="C1613" s="10"/>
      <c r="D1613" s="10"/>
      <c r="E1613" s="10"/>
      <c r="F1613" s="11"/>
      <c r="G1613" s="11"/>
      <c r="H1613" s="11"/>
      <c r="I1613" s="11"/>
      <c r="J1613" s="11" t="str">
        <f>IFERROR(__xludf.DUMMYFUNCTION("IFERROR(FILTER(Stats!$F:$Z,(Stats!$A:$A=$A1613)*(Stats!$B:$B=$B1613)))"),"#REF!")</f>
        <v>#REF!</v>
      </c>
      <c r="K1613" s="11"/>
      <c r="L1613" s="12"/>
      <c r="M1613" s="11"/>
      <c r="N1613" s="11"/>
      <c r="O1613" s="13"/>
      <c r="P1613" s="14"/>
      <c r="Q1613" s="13"/>
      <c r="R1613" s="13"/>
      <c r="S1613" s="15"/>
      <c r="T1613" s="16"/>
      <c r="U1613" s="16"/>
      <c r="V1613" s="16"/>
      <c r="W1613" s="16"/>
      <c r="X1613" s="16"/>
      <c r="Y1613" s="11"/>
      <c r="Z1613" s="11"/>
      <c r="AA1613" s="11"/>
      <c r="AB1613" s="11"/>
      <c r="AC1613" s="11"/>
      <c r="AD1613" s="11"/>
    </row>
    <row r="1614">
      <c r="A1614" s="10"/>
      <c r="B1614" s="10"/>
      <c r="C1614" s="10"/>
      <c r="D1614" s="10"/>
      <c r="E1614" s="10"/>
      <c r="F1614" s="11"/>
      <c r="G1614" s="11"/>
      <c r="H1614" s="11"/>
      <c r="I1614" s="11"/>
      <c r="J1614" s="11" t="str">
        <f>IFERROR(__xludf.DUMMYFUNCTION("IFERROR(FILTER(Stats!$F:$Z,(Stats!$A:$A=$A1614)*(Stats!$B:$B=$B1614)))"),"#REF!")</f>
        <v>#REF!</v>
      </c>
      <c r="K1614" s="11"/>
      <c r="L1614" s="12"/>
      <c r="M1614" s="11"/>
      <c r="N1614" s="11"/>
      <c r="O1614" s="13"/>
      <c r="P1614" s="14"/>
      <c r="Q1614" s="13"/>
      <c r="R1614" s="13"/>
      <c r="S1614" s="15"/>
      <c r="T1614" s="16"/>
      <c r="U1614" s="16"/>
      <c r="V1614" s="16"/>
      <c r="W1614" s="16"/>
      <c r="X1614" s="16"/>
      <c r="Y1614" s="11"/>
      <c r="Z1614" s="11"/>
      <c r="AA1614" s="11"/>
      <c r="AB1614" s="11"/>
      <c r="AC1614" s="11"/>
      <c r="AD1614" s="11"/>
    </row>
    <row r="1615">
      <c r="A1615" s="10"/>
      <c r="B1615" s="10"/>
      <c r="C1615" s="10"/>
      <c r="D1615" s="10"/>
      <c r="E1615" s="10"/>
      <c r="F1615" s="11"/>
      <c r="G1615" s="11"/>
      <c r="H1615" s="11"/>
      <c r="I1615" s="11"/>
      <c r="J1615" s="11" t="str">
        <f>IFERROR(__xludf.DUMMYFUNCTION("IFERROR(FILTER(Stats!$F:$Z,(Stats!$A:$A=$A1615)*(Stats!$B:$B=$B1615)))"),"#REF!")</f>
        <v>#REF!</v>
      </c>
      <c r="K1615" s="11"/>
      <c r="L1615" s="12"/>
      <c r="M1615" s="11"/>
      <c r="N1615" s="11"/>
      <c r="O1615" s="13"/>
      <c r="P1615" s="14"/>
      <c r="Q1615" s="13"/>
      <c r="R1615" s="13"/>
      <c r="S1615" s="15"/>
      <c r="T1615" s="16"/>
      <c r="U1615" s="16"/>
      <c r="V1615" s="16"/>
      <c r="W1615" s="16"/>
      <c r="X1615" s="16"/>
      <c r="Y1615" s="11"/>
      <c r="Z1615" s="11"/>
      <c r="AA1615" s="11"/>
      <c r="AB1615" s="11"/>
      <c r="AC1615" s="11"/>
      <c r="AD1615" s="11"/>
    </row>
    <row r="1616">
      <c r="A1616" s="10"/>
      <c r="B1616" s="10"/>
      <c r="C1616" s="10"/>
      <c r="D1616" s="10"/>
      <c r="E1616" s="10"/>
      <c r="F1616" s="11"/>
      <c r="G1616" s="11"/>
      <c r="H1616" s="11"/>
      <c r="I1616" s="11"/>
      <c r="J1616" s="11" t="str">
        <f>IFERROR(__xludf.DUMMYFUNCTION("IFERROR(FILTER(Stats!$F:$Z,(Stats!$A:$A=$A1616)*(Stats!$B:$B=$B1616)))"),"#REF!")</f>
        <v>#REF!</v>
      </c>
      <c r="K1616" s="11"/>
      <c r="L1616" s="12"/>
      <c r="M1616" s="11"/>
      <c r="N1616" s="11"/>
      <c r="O1616" s="13"/>
      <c r="P1616" s="14"/>
      <c r="Q1616" s="13"/>
      <c r="R1616" s="13"/>
      <c r="S1616" s="15"/>
      <c r="T1616" s="16"/>
      <c r="U1616" s="16"/>
      <c r="V1616" s="16"/>
      <c r="W1616" s="16"/>
      <c r="X1616" s="16"/>
      <c r="Y1616" s="11"/>
      <c r="Z1616" s="11"/>
      <c r="AA1616" s="11"/>
      <c r="AB1616" s="11"/>
      <c r="AC1616" s="11"/>
      <c r="AD1616" s="11"/>
    </row>
    <row r="1617">
      <c r="A1617" s="10"/>
      <c r="B1617" s="10"/>
      <c r="C1617" s="10"/>
      <c r="D1617" s="10"/>
      <c r="E1617" s="10"/>
      <c r="F1617" s="11"/>
      <c r="G1617" s="11"/>
      <c r="H1617" s="11"/>
      <c r="I1617" s="11"/>
      <c r="J1617" s="11" t="str">
        <f>IFERROR(__xludf.DUMMYFUNCTION("IFERROR(FILTER(Stats!$F:$Z,(Stats!$A:$A=$A1617)*(Stats!$B:$B=$B1617)))"),"#REF!")</f>
        <v>#REF!</v>
      </c>
      <c r="K1617" s="11"/>
      <c r="L1617" s="12"/>
      <c r="M1617" s="11"/>
      <c r="N1617" s="11"/>
      <c r="O1617" s="13"/>
      <c r="P1617" s="14"/>
      <c r="Q1617" s="13"/>
      <c r="R1617" s="13"/>
      <c r="S1617" s="15"/>
      <c r="T1617" s="16"/>
      <c r="U1617" s="16"/>
      <c r="V1617" s="16"/>
      <c r="W1617" s="16"/>
      <c r="X1617" s="16"/>
      <c r="Y1617" s="11"/>
      <c r="Z1617" s="11"/>
      <c r="AA1617" s="11"/>
      <c r="AB1617" s="11"/>
      <c r="AC1617" s="11"/>
      <c r="AD1617" s="11"/>
    </row>
    <row r="1618">
      <c r="A1618" s="10"/>
      <c r="B1618" s="10"/>
      <c r="C1618" s="10"/>
      <c r="D1618" s="10"/>
      <c r="E1618" s="10"/>
      <c r="F1618" s="11"/>
      <c r="G1618" s="11"/>
      <c r="H1618" s="11"/>
      <c r="I1618" s="11"/>
      <c r="J1618" s="11" t="str">
        <f>IFERROR(__xludf.DUMMYFUNCTION("IFERROR(FILTER(Stats!$F:$Z,(Stats!$A:$A=$A1618)*(Stats!$B:$B=$B1618)))"),"#REF!")</f>
        <v>#REF!</v>
      </c>
      <c r="K1618" s="11"/>
      <c r="L1618" s="12"/>
      <c r="M1618" s="11"/>
      <c r="N1618" s="11"/>
      <c r="O1618" s="13"/>
      <c r="P1618" s="14"/>
      <c r="Q1618" s="13"/>
      <c r="R1618" s="13"/>
      <c r="S1618" s="15"/>
      <c r="T1618" s="16"/>
      <c r="U1618" s="16"/>
      <c r="V1618" s="16"/>
      <c r="W1618" s="16"/>
      <c r="X1618" s="16"/>
      <c r="Y1618" s="11"/>
      <c r="Z1618" s="11"/>
      <c r="AA1618" s="11"/>
      <c r="AB1618" s="11"/>
      <c r="AC1618" s="11"/>
      <c r="AD1618" s="11"/>
    </row>
    <row r="1619">
      <c r="A1619" s="10"/>
      <c r="B1619" s="10"/>
      <c r="C1619" s="10"/>
      <c r="D1619" s="10"/>
      <c r="E1619" s="10"/>
      <c r="F1619" s="11"/>
      <c r="G1619" s="11"/>
      <c r="H1619" s="11"/>
      <c r="I1619" s="11"/>
      <c r="J1619" s="11" t="str">
        <f>IFERROR(__xludf.DUMMYFUNCTION("IFERROR(FILTER(Stats!$F:$Z,(Stats!$A:$A=$A1619)*(Stats!$B:$B=$B1619)))"),"#REF!")</f>
        <v>#REF!</v>
      </c>
      <c r="K1619" s="11"/>
      <c r="L1619" s="12"/>
      <c r="M1619" s="11"/>
      <c r="N1619" s="11"/>
      <c r="O1619" s="13"/>
      <c r="P1619" s="14"/>
      <c r="Q1619" s="13"/>
      <c r="R1619" s="13"/>
      <c r="S1619" s="15"/>
      <c r="T1619" s="16"/>
      <c r="U1619" s="16"/>
      <c r="V1619" s="16"/>
      <c r="W1619" s="16"/>
      <c r="X1619" s="16"/>
      <c r="Y1619" s="11"/>
      <c r="Z1619" s="11"/>
      <c r="AA1619" s="11"/>
      <c r="AB1619" s="11"/>
      <c r="AC1619" s="11"/>
      <c r="AD1619" s="11"/>
    </row>
    <row r="1620">
      <c r="A1620" s="10"/>
      <c r="B1620" s="10"/>
      <c r="C1620" s="10"/>
      <c r="D1620" s="10"/>
      <c r="E1620" s="10"/>
      <c r="F1620" s="11"/>
      <c r="G1620" s="11"/>
      <c r="H1620" s="11"/>
      <c r="I1620" s="11"/>
      <c r="J1620" s="11" t="str">
        <f>IFERROR(__xludf.DUMMYFUNCTION("IFERROR(FILTER(Stats!$F:$Z,(Stats!$A:$A=$A1620)*(Stats!$B:$B=$B1620)))"),"#REF!")</f>
        <v>#REF!</v>
      </c>
      <c r="K1620" s="11"/>
      <c r="L1620" s="12"/>
      <c r="M1620" s="11"/>
      <c r="N1620" s="11"/>
      <c r="O1620" s="13"/>
      <c r="P1620" s="14"/>
      <c r="Q1620" s="13"/>
      <c r="R1620" s="13"/>
      <c r="S1620" s="15"/>
      <c r="T1620" s="16"/>
      <c r="U1620" s="16"/>
      <c r="V1620" s="16"/>
      <c r="W1620" s="16"/>
      <c r="X1620" s="16"/>
      <c r="Y1620" s="11"/>
      <c r="Z1620" s="11"/>
      <c r="AA1620" s="11"/>
      <c r="AB1620" s="11"/>
      <c r="AC1620" s="11"/>
      <c r="AD1620" s="11"/>
    </row>
    <row r="1621">
      <c r="A1621" s="10"/>
      <c r="B1621" s="10"/>
      <c r="C1621" s="10"/>
      <c r="D1621" s="10"/>
      <c r="E1621" s="10"/>
      <c r="F1621" s="11"/>
      <c r="G1621" s="11"/>
      <c r="H1621" s="11"/>
      <c r="I1621" s="11"/>
      <c r="J1621" s="11" t="str">
        <f>IFERROR(__xludf.DUMMYFUNCTION("IFERROR(FILTER(Stats!$F:$Z,(Stats!$A:$A=$A1621)*(Stats!$B:$B=$B1621)))"),"#REF!")</f>
        <v>#REF!</v>
      </c>
      <c r="K1621" s="11"/>
      <c r="L1621" s="12"/>
      <c r="M1621" s="11"/>
      <c r="N1621" s="11"/>
      <c r="O1621" s="13"/>
      <c r="P1621" s="14"/>
      <c r="Q1621" s="13"/>
      <c r="R1621" s="13"/>
      <c r="S1621" s="15"/>
      <c r="T1621" s="16"/>
      <c r="U1621" s="16"/>
      <c r="V1621" s="16"/>
      <c r="W1621" s="16"/>
      <c r="X1621" s="16"/>
      <c r="Y1621" s="11"/>
      <c r="Z1621" s="11"/>
      <c r="AA1621" s="11"/>
      <c r="AB1621" s="11"/>
      <c r="AC1621" s="11"/>
      <c r="AD1621" s="11"/>
    </row>
    <row r="1622">
      <c r="A1622" s="10"/>
      <c r="B1622" s="10"/>
      <c r="C1622" s="10"/>
      <c r="D1622" s="10"/>
      <c r="E1622" s="10"/>
      <c r="F1622" s="11"/>
      <c r="G1622" s="11"/>
      <c r="H1622" s="11"/>
      <c r="I1622" s="11"/>
      <c r="J1622" s="11" t="str">
        <f>IFERROR(__xludf.DUMMYFUNCTION("IFERROR(FILTER(Stats!$F:$Z,(Stats!$A:$A=$A1622)*(Stats!$B:$B=$B1622)))"),"#REF!")</f>
        <v>#REF!</v>
      </c>
      <c r="K1622" s="11"/>
      <c r="L1622" s="12"/>
      <c r="M1622" s="11"/>
      <c r="N1622" s="11"/>
      <c r="O1622" s="13"/>
      <c r="P1622" s="14"/>
      <c r="Q1622" s="13"/>
      <c r="R1622" s="13"/>
      <c r="S1622" s="15"/>
      <c r="T1622" s="16"/>
      <c r="U1622" s="16"/>
      <c r="V1622" s="16"/>
      <c r="W1622" s="16"/>
      <c r="X1622" s="16"/>
      <c r="Y1622" s="11"/>
      <c r="Z1622" s="11"/>
      <c r="AA1622" s="11"/>
      <c r="AB1622" s="11"/>
      <c r="AC1622" s="11"/>
      <c r="AD1622" s="11"/>
    </row>
    <row r="1623">
      <c r="A1623" s="10"/>
      <c r="B1623" s="10"/>
      <c r="C1623" s="10"/>
      <c r="D1623" s="10"/>
      <c r="E1623" s="10"/>
      <c r="F1623" s="11"/>
      <c r="G1623" s="11"/>
      <c r="H1623" s="11"/>
      <c r="I1623" s="11"/>
      <c r="J1623" s="11" t="str">
        <f>IFERROR(__xludf.DUMMYFUNCTION("IFERROR(FILTER(Stats!$F:$Z,(Stats!$A:$A=$A1623)*(Stats!$B:$B=$B1623)))"),"#REF!")</f>
        <v>#REF!</v>
      </c>
      <c r="K1623" s="11"/>
      <c r="L1623" s="12"/>
      <c r="M1623" s="11"/>
      <c r="N1623" s="11"/>
      <c r="O1623" s="13"/>
      <c r="P1623" s="14"/>
      <c r="Q1623" s="13"/>
      <c r="R1623" s="13"/>
      <c r="S1623" s="15"/>
      <c r="T1623" s="16"/>
      <c r="U1623" s="16"/>
      <c r="V1623" s="16"/>
      <c r="W1623" s="16"/>
      <c r="X1623" s="16"/>
      <c r="Y1623" s="11"/>
      <c r="Z1623" s="11"/>
      <c r="AA1623" s="11"/>
      <c r="AB1623" s="11"/>
      <c r="AC1623" s="11"/>
      <c r="AD1623" s="11"/>
    </row>
    <row r="1624">
      <c r="A1624" s="10"/>
      <c r="B1624" s="10"/>
      <c r="C1624" s="10"/>
      <c r="D1624" s="10"/>
      <c r="E1624" s="10"/>
      <c r="F1624" s="11"/>
      <c r="G1624" s="11"/>
      <c r="H1624" s="11"/>
      <c r="I1624" s="11"/>
      <c r="J1624" s="11" t="str">
        <f>IFERROR(__xludf.DUMMYFUNCTION("IFERROR(FILTER(Stats!$F:$Z,(Stats!$A:$A=$A1624)*(Stats!$B:$B=$B1624)))"),"#REF!")</f>
        <v>#REF!</v>
      </c>
      <c r="K1624" s="11"/>
      <c r="L1624" s="12"/>
      <c r="M1624" s="11"/>
      <c r="N1624" s="11"/>
      <c r="O1624" s="13"/>
      <c r="P1624" s="14"/>
      <c r="Q1624" s="13"/>
      <c r="R1624" s="13"/>
      <c r="S1624" s="15"/>
      <c r="T1624" s="16"/>
      <c r="U1624" s="16"/>
      <c r="V1624" s="16"/>
      <c r="W1624" s="16"/>
      <c r="X1624" s="16"/>
      <c r="Y1624" s="11"/>
      <c r="Z1624" s="11"/>
      <c r="AA1624" s="11"/>
      <c r="AB1624" s="11"/>
      <c r="AC1624" s="11"/>
      <c r="AD1624" s="11"/>
    </row>
    <row r="1625">
      <c r="A1625" s="10"/>
      <c r="B1625" s="10"/>
      <c r="C1625" s="10"/>
      <c r="D1625" s="10"/>
      <c r="E1625" s="10"/>
      <c r="F1625" s="11"/>
      <c r="G1625" s="11"/>
      <c r="H1625" s="11"/>
      <c r="I1625" s="11"/>
      <c r="J1625" s="11" t="str">
        <f>IFERROR(__xludf.DUMMYFUNCTION("IFERROR(FILTER(Stats!$F:$Z,(Stats!$A:$A=$A1625)*(Stats!$B:$B=$B1625)))"),"#REF!")</f>
        <v>#REF!</v>
      </c>
      <c r="K1625" s="11"/>
      <c r="L1625" s="12"/>
      <c r="M1625" s="11"/>
      <c r="N1625" s="11"/>
      <c r="O1625" s="13"/>
      <c r="P1625" s="14"/>
      <c r="Q1625" s="13"/>
      <c r="R1625" s="13"/>
      <c r="S1625" s="15"/>
      <c r="T1625" s="16"/>
      <c r="U1625" s="16"/>
      <c r="V1625" s="16"/>
      <c r="W1625" s="16"/>
      <c r="X1625" s="16"/>
      <c r="Y1625" s="11"/>
      <c r="Z1625" s="11"/>
      <c r="AA1625" s="11"/>
      <c r="AB1625" s="11"/>
      <c r="AC1625" s="11"/>
      <c r="AD1625" s="11"/>
    </row>
    <row r="1626">
      <c r="A1626" s="10"/>
      <c r="B1626" s="10"/>
      <c r="C1626" s="10"/>
      <c r="D1626" s="10"/>
      <c r="E1626" s="10"/>
      <c r="F1626" s="11"/>
      <c r="G1626" s="11"/>
      <c r="H1626" s="11"/>
      <c r="I1626" s="11"/>
      <c r="J1626" s="11" t="str">
        <f>IFERROR(__xludf.DUMMYFUNCTION("IFERROR(FILTER(Stats!$F:$Z,(Stats!$A:$A=$A1626)*(Stats!$B:$B=$B1626)))"),"#REF!")</f>
        <v>#REF!</v>
      </c>
      <c r="K1626" s="11"/>
      <c r="L1626" s="12"/>
      <c r="M1626" s="11"/>
      <c r="N1626" s="11"/>
      <c r="O1626" s="13"/>
      <c r="P1626" s="14"/>
      <c r="Q1626" s="13"/>
      <c r="R1626" s="13"/>
      <c r="S1626" s="15"/>
      <c r="T1626" s="16"/>
      <c r="U1626" s="16"/>
      <c r="V1626" s="16"/>
      <c r="W1626" s="16"/>
      <c r="X1626" s="16"/>
      <c r="Y1626" s="11"/>
      <c r="Z1626" s="11"/>
      <c r="AA1626" s="11"/>
      <c r="AB1626" s="11"/>
      <c r="AC1626" s="11"/>
      <c r="AD1626" s="11"/>
    </row>
    <row r="1627">
      <c r="A1627" s="10"/>
      <c r="B1627" s="10"/>
      <c r="C1627" s="10"/>
      <c r="D1627" s="10"/>
      <c r="E1627" s="10"/>
      <c r="F1627" s="11"/>
      <c r="G1627" s="11"/>
      <c r="H1627" s="11"/>
      <c r="I1627" s="11"/>
      <c r="J1627" s="11" t="str">
        <f>IFERROR(__xludf.DUMMYFUNCTION("IFERROR(FILTER(Stats!$F:$Z,(Stats!$A:$A=$A1627)*(Stats!$B:$B=$B1627)))"),"#REF!")</f>
        <v>#REF!</v>
      </c>
      <c r="K1627" s="11"/>
      <c r="L1627" s="12"/>
      <c r="M1627" s="11"/>
      <c r="N1627" s="11"/>
      <c r="O1627" s="13"/>
      <c r="P1627" s="14"/>
      <c r="Q1627" s="13"/>
      <c r="R1627" s="13"/>
      <c r="S1627" s="15"/>
      <c r="T1627" s="16"/>
      <c r="U1627" s="16"/>
      <c r="V1627" s="16"/>
      <c r="W1627" s="16"/>
      <c r="X1627" s="16"/>
      <c r="Y1627" s="11"/>
      <c r="Z1627" s="11"/>
      <c r="AA1627" s="11"/>
      <c r="AB1627" s="11"/>
      <c r="AC1627" s="11"/>
      <c r="AD1627" s="11"/>
    </row>
    <row r="1628">
      <c r="A1628" s="10"/>
      <c r="B1628" s="10"/>
      <c r="C1628" s="10"/>
      <c r="D1628" s="10"/>
      <c r="E1628" s="10"/>
      <c r="F1628" s="11"/>
      <c r="G1628" s="11"/>
      <c r="H1628" s="11"/>
      <c r="I1628" s="11"/>
      <c r="J1628" s="11" t="str">
        <f>IFERROR(__xludf.DUMMYFUNCTION("IFERROR(FILTER(Stats!$F:$Z,(Stats!$A:$A=$A1628)*(Stats!$B:$B=$B1628)))"),"#REF!")</f>
        <v>#REF!</v>
      </c>
      <c r="K1628" s="11"/>
      <c r="L1628" s="12"/>
      <c r="M1628" s="11"/>
      <c r="N1628" s="11"/>
      <c r="O1628" s="13"/>
      <c r="P1628" s="14"/>
      <c r="Q1628" s="13"/>
      <c r="R1628" s="13"/>
      <c r="S1628" s="15"/>
      <c r="T1628" s="16"/>
      <c r="U1628" s="16"/>
      <c r="V1628" s="16"/>
      <c r="W1628" s="16"/>
      <c r="X1628" s="16"/>
      <c r="Y1628" s="11"/>
      <c r="Z1628" s="11"/>
      <c r="AA1628" s="11"/>
      <c r="AB1628" s="11"/>
      <c r="AC1628" s="11"/>
      <c r="AD1628" s="11"/>
    </row>
    <row r="1629">
      <c r="A1629" s="10"/>
      <c r="B1629" s="10"/>
      <c r="C1629" s="10"/>
      <c r="D1629" s="10"/>
      <c r="E1629" s="10"/>
      <c r="F1629" s="11"/>
      <c r="G1629" s="11"/>
      <c r="H1629" s="11"/>
      <c r="I1629" s="11"/>
      <c r="J1629" s="11" t="str">
        <f>IFERROR(__xludf.DUMMYFUNCTION("IFERROR(FILTER(Stats!$F:$Z,(Stats!$A:$A=$A1629)*(Stats!$B:$B=$B1629)))"),"#REF!")</f>
        <v>#REF!</v>
      </c>
      <c r="K1629" s="11"/>
      <c r="L1629" s="12"/>
      <c r="M1629" s="11"/>
      <c r="N1629" s="11"/>
      <c r="O1629" s="13"/>
      <c r="P1629" s="14"/>
      <c r="Q1629" s="13"/>
      <c r="R1629" s="13"/>
      <c r="S1629" s="15"/>
      <c r="T1629" s="16"/>
      <c r="U1629" s="16"/>
      <c r="V1629" s="16"/>
      <c r="W1629" s="16"/>
      <c r="X1629" s="16"/>
      <c r="Y1629" s="11"/>
      <c r="Z1629" s="11"/>
      <c r="AA1629" s="11"/>
      <c r="AB1629" s="11"/>
      <c r="AC1629" s="11"/>
      <c r="AD1629" s="11"/>
    </row>
    <row r="1630">
      <c r="A1630" s="10"/>
      <c r="B1630" s="10"/>
      <c r="C1630" s="10"/>
      <c r="D1630" s="10"/>
      <c r="E1630" s="10"/>
      <c r="F1630" s="11"/>
      <c r="G1630" s="11"/>
      <c r="H1630" s="11"/>
      <c r="I1630" s="11"/>
      <c r="J1630" s="11" t="str">
        <f>IFERROR(__xludf.DUMMYFUNCTION("IFERROR(FILTER(Stats!$F:$Z,(Stats!$A:$A=$A1630)*(Stats!$B:$B=$B1630)))"),"#REF!")</f>
        <v>#REF!</v>
      </c>
      <c r="K1630" s="11"/>
      <c r="L1630" s="12"/>
      <c r="M1630" s="11"/>
      <c r="N1630" s="11"/>
      <c r="O1630" s="13"/>
      <c r="P1630" s="14"/>
      <c r="Q1630" s="13"/>
      <c r="R1630" s="13"/>
      <c r="S1630" s="15"/>
      <c r="T1630" s="16"/>
      <c r="U1630" s="16"/>
      <c r="V1630" s="16"/>
      <c r="W1630" s="16"/>
      <c r="X1630" s="16"/>
      <c r="Y1630" s="11"/>
      <c r="Z1630" s="11"/>
      <c r="AA1630" s="11"/>
      <c r="AB1630" s="11"/>
      <c r="AC1630" s="11"/>
      <c r="AD1630" s="11"/>
    </row>
    <row r="1631">
      <c r="A1631" s="10"/>
      <c r="B1631" s="10"/>
      <c r="C1631" s="10"/>
      <c r="D1631" s="10"/>
      <c r="E1631" s="10"/>
      <c r="F1631" s="11"/>
      <c r="G1631" s="11"/>
      <c r="H1631" s="11"/>
      <c r="I1631" s="11"/>
      <c r="J1631" s="11" t="str">
        <f>IFERROR(__xludf.DUMMYFUNCTION("IFERROR(FILTER(Stats!$F:$Z,(Stats!$A:$A=$A1631)*(Stats!$B:$B=$B1631)))"),"#REF!")</f>
        <v>#REF!</v>
      </c>
      <c r="K1631" s="11"/>
      <c r="L1631" s="12"/>
      <c r="M1631" s="11"/>
      <c r="N1631" s="11"/>
      <c r="O1631" s="13"/>
      <c r="P1631" s="14"/>
      <c r="Q1631" s="13"/>
      <c r="R1631" s="13"/>
      <c r="S1631" s="15"/>
      <c r="T1631" s="16"/>
      <c r="U1631" s="16"/>
      <c r="V1631" s="16"/>
      <c r="W1631" s="16"/>
      <c r="X1631" s="16"/>
      <c r="Y1631" s="11"/>
      <c r="Z1631" s="11"/>
      <c r="AA1631" s="11"/>
      <c r="AB1631" s="11"/>
      <c r="AC1631" s="11"/>
      <c r="AD1631" s="11"/>
    </row>
    <row r="1632">
      <c r="A1632" s="10"/>
      <c r="B1632" s="10"/>
      <c r="C1632" s="10"/>
      <c r="D1632" s="10"/>
      <c r="E1632" s="10"/>
      <c r="F1632" s="11"/>
      <c r="G1632" s="11"/>
      <c r="H1632" s="11"/>
      <c r="I1632" s="11"/>
      <c r="J1632" s="11" t="str">
        <f>IFERROR(__xludf.DUMMYFUNCTION("IFERROR(FILTER(Stats!$F:$Z,(Stats!$A:$A=$A1632)*(Stats!$B:$B=$B1632)))"),"#REF!")</f>
        <v>#REF!</v>
      </c>
      <c r="K1632" s="11"/>
      <c r="L1632" s="12"/>
      <c r="M1632" s="11"/>
      <c r="N1632" s="11"/>
      <c r="O1632" s="13"/>
      <c r="P1632" s="14"/>
      <c r="Q1632" s="13"/>
      <c r="R1632" s="13"/>
      <c r="S1632" s="15"/>
      <c r="T1632" s="16"/>
      <c r="U1632" s="16"/>
      <c r="V1632" s="16"/>
      <c r="W1632" s="16"/>
      <c r="X1632" s="16"/>
      <c r="Y1632" s="11"/>
      <c r="Z1632" s="11"/>
      <c r="AA1632" s="11"/>
      <c r="AB1632" s="11"/>
      <c r="AC1632" s="11"/>
      <c r="AD1632" s="11"/>
    </row>
    <row r="1633">
      <c r="A1633" s="10"/>
      <c r="B1633" s="10"/>
      <c r="C1633" s="10"/>
      <c r="D1633" s="10"/>
      <c r="E1633" s="10"/>
      <c r="F1633" s="11"/>
      <c r="G1633" s="11"/>
      <c r="H1633" s="11"/>
      <c r="I1633" s="11"/>
      <c r="J1633" s="11" t="str">
        <f>IFERROR(__xludf.DUMMYFUNCTION("IFERROR(FILTER(Stats!$F:$Z,(Stats!$A:$A=$A1633)*(Stats!$B:$B=$B1633)))"),"#REF!")</f>
        <v>#REF!</v>
      </c>
      <c r="K1633" s="11"/>
      <c r="L1633" s="12"/>
      <c r="M1633" s="11"/>
      <c r="N1633" s="11"/>
      <c r="O1633" s="13"/>
      <c r="P1633" s="14"/>
      <c r="Q1633" s="13"/>
      <c r="R1633" s="13"/>
      <c r="S1633" s="15"/>
      <c r="T1633" s="16"/>
      <c r="U1633" s="16"/>
      <c r="V1633" s="16"/>
      <c r="W1633" s="16"/>
      <c r="X1633" s="16"/>
      <c r="Y1633" s="11"/>
      <c r="Z1633" s="11"/>
      <c r="AA1633" s="11"/>
      <c r="AB1633" s="11"/>
      <c r="AC1633" s="11"/>
      <c r="AD1633" s="11"/>
    </row>
    <row r="1634">
      <c r="A1634" s="10"/>
      <c r="B1634" s="10"/>
      <c r="C1634" s="10"/>
      <c r="D1634" s="10"/>
      <c r="E1634" s="10"/>
      <c r="F1634" s="11"/>
      <c r="G1634" s="11"/>
      <c r="H1634" s="11"/>
      <c r="I1634" s="11"/>
      <c r="J1634" s="11" t="str">
        <f>IFERROR(__xludf.DUMMYFUNCTION("IFERROR(FILTER(Stats!$F:$Z,(Stats!$A:$A=$A1634)*(Stats!$B:$B=$B1634)))"),"#REF!")</f>
        <v>#REF!</v>
      </c>
      <c r="K1634" s="11"/>
      <c r="L1634" s="12"/>
      <c r="M1634" s="11"/>
      <c r="N1634" s="11"/>
      <c r="O1634" s="13"/>
      <c r="P1634" s="14"/>
      <c r="Q1634" s="13"/>
      <c r="R1634" s="13"/>
      <c r="S1634" s="15"/>
      <c r="T1634" s="16"/>
      <c r="U1634" s="16"/>
      <c r="V1634" s="16"/>
      <c r="W1634" s="16"/>
      <c r="X1634" s="16"/>
      <c r="Y1634" s="11"/>
      <c r="Z1634" s="11"/>
      <c r="AA1634" s="11"/>
      <c r="AB1634" s="11"/>
      <c r="AC1634" s="11"/>
      <c r="AD1634" s="11"/>
    </row>
    <row r="1635">
      <c r="A1635" s="10"/>
      <c r="B1635" s="10"/>
      <c r="C1635" s="10"/>
      <c r="D1635" s="10"/>
      <c r="E1635" s="10"/>
      <c r="F1635" s="11"/>
      <c r="G1635" s="11"/>
      <c r="H1635" s="11"/>
      <c r="I1635" s="11"/>
      <c r="J1635" s="11" t="str">
        <f>IFERROR(__xludf.DUMMYFUNCTION("IFERROR(FILTER(Stats!$F:$Z,(Stats!$A:$A=$A1635)*(Stats!$B:$B=$B1635)))"),"#REF!")</f>
        <v>#REF!</v>
      </c>
      <c r="K1635" s="11"/>
      <c r="L1635" s="12"/>
      <c r="M1635" s="11"/>
      <c r="N1635" s="11"/>
      <c r="O1635" s="13"/>
      <c r="P1635" s="14"/>
      <c r="Q1635" s="13"/>
      <c r="R1635" s="13"/>
      <c r="S1635" s="15"/>
      <c r="T1635" s="16"/>
      <c r="U1635" s="16"/>
      <c r="V1635" s="16"/>
      <c r="W1635" s="16"/>
      <c r="X1635" s="16"/>
      <c r="Y1635" s="11"/>
      <c r="Z1635" s="11"/>
      <c r="AA1635" s="11"/>
      <c r="AB1635" s="11"/>
      <c r="AC1635" s="11"/>
      <c r="AD1635" s="11"/>
    </row>
    <row r="1636">
      <c r="A1636" s="10"/>
      <c r="B1636" s="10"/>
      <c r="C1636" s="10"/>
      <c r="D1636" s="10"/>
      <c r="E1636" s="10"/>
      <c r="F1636" s="11"/>
      <c r="G1636" s="11"/>
      <c r="H1636" s="11"/>
      <c r="I1636" s="11"/>
      <c r="J1636" s="11" t="str">
        <f>IFERROR(__xludf.DUMMYFUNCTION("IFERROR(FILTER(Stats!$F:$Z,(Stats!$A:$A=$A1636)*(Stats!$B:$B=$B1636)))"),"#REF!")</f>
        <v>#REF!</v>
      </c>
      <c r="K1636" s="11"/>
      <c r="L1636" s="12"/>
      <c r="M1636" s="11"/>
      <c r="N1636" s="11"/>
      <c r="O1636" s="13"/>
      <c r="P1636" s="14"/>
      <c r="Q1636" s="13"/>
      <c r="R1636" s="13"/>
      <c r="S1636" s="15"/>
      <c r="T1636" s="16"/>
      <c r="U1636" s="16"/>
      <c r="V1636" s="16"/>
      <c r="W1636" s="16"/>
      <c r="X1636" s="16"/>
      <c r="Y1636" s="11"/>
      <c r="Z1636" s="11"/>
      <c r="AA1636" s="11"/>
      <c r="AB1636" s="11"/>
      <c r="AC1636" s="11"/>
      <c r="AD1636" s="11"/>
    </row>
    <row r="1637">
      <c r="A1637" s="10"/>
      <c r="B1637" s="10"/>
      <c r="C1637" s="10"/>
      <c r="D1637" s="10"/>
      <c r="E1637" s="10"/>
      <c r="F1637" s="11"/>
      <c r="G1637" s="11"/>
      <c r="H1637" s="11"/>
      <c r="I1637" s="11"/>
      <c r="J1637" s="11" t="str">
        <f>IFERROR(__xludf.DUMMYFUNCTION("IFERROR(FILTER(Stats!$F:$Z,(Stats!$A:$A=$A1637)*(Stats!$B:$B=$B1637)))"),"#REF!")</f>
        <v>#REF!</v>
      </c>
      <c r="K1637" s="11"/>
      <c r="L1637" s="12"/>
      <c r="M1637" s="11"/>
      <c r="N1637" s="11"/>
      <c r="O1637" s="13"/>
      <c r="P1637" s="14"/>
      <c r="Q1637" s="13"/>
      <c r="R1637" s="13"/>
      <c r="S1637" s="15"/>
      <c r="T1637" s="16"/>
      <c r="U1637" s="16"/>
      <c r="V1637" s="16"/>
      <c r="W1637" s="16"/>
      <c r="X1637" s="16"/>
      <c r="Y1637" s="11"/>
      <c r="Z1637" s="11"/>
      <c r="AA1637" s="11"/>
      <c r="AB1637" s="11"/>
      <c r="AC1637" s="11"/>
      <c r="AD1637" s="11"/>
    </row>
    <row r="1638">
      <c r="A1638" s="10"/>
      <c r="B1638" s="10"/>
      <c r="C1638" s="10"/>
      <c r="D1638" s="10"/>
      <c r="E1638" s="10"/>
      <c r="F1638" s="11"/>
      <c r="G1638" s="11"/>
      <c r="H1638" s="11"/>
      <c r="I1638" s="11"/>
      <c r="J1638" s="11" t="str">
        <f>IFERROR(__xludf.DUMMYFUNCTION("IFERROR(FILTER(Stats!$F:$Z,(Stats!$A:$A=$A1638)*(Stats!$B:$B=$B1638)))"),"#REF!")</f>
        <v>#REF!</v>
      </c>
      <c r="K1638" s="11"/>
      <c r="L1638" s="12"/>
      <c r="M1638" s="11"/>
      <c r="N1638" s="11"/>
      <c r="O1638" s="13"/>
      <c r="P1638" s="14"/>
      <c r="Q1638" s="13"/>
      <c r="R1638" s="13"/>
      <c r="S1638" s="15"/>
      <c r="T1638" s="16"/>
      <c r="U1638" s="16"/>
      <c r="V1638" s="16"/>
      <c r="W1638" s="16"/>
      <c r="X1638" s="16"/>
      <c r="Y1638" s="11"/>
      <c r="Z1638" s="11"/>
      <c r="AA1638" s="11"/>
      <c r="AB1638" s="11"/>
      <c r="AC1638" s="11"/>
      <c r="AD1638" s="11"/>
    </row>
    <row r="1639">
      <c r="A1639" s="10"/>
      <c r="B1639" s="10"/>
      <c r="C1639" s="10"/>
      <c r="D1639" s="10"/>
      <c r="E1639" s="10"/>
      <c r="F1639" s="11"/>
      <c r="G1639" s="11"/>
      <c r="H1639" s="11"/>
      <c r="I1639" s="11"/>
      <c r="J1639" s="11" t="str">
        <f>IFERROR(__xludf.DUMMYFUNCTION("IFERROR(FILTER(Stats!$F:$Z,(Stats!$A:$A=$A1639)*(Stats!$B:$B=$B1639)))"),"#REF!")</f>
        <v>#REF!</v>
      </c>
      <c r="K1639" s="11"/>
      <c r="L1639" s="12"/>
      <c r="M1639" s="11"/>
      <c r="N1639" s="11"/>
      <c r="O1639" s="13"/>
      <c r="P1639" s="14"/>
      <c r="Q1639" s="13"/>
      <c r="R1639" s="13"/>
      <c r="S1639" s="15"/>
      <c r="T1639" s="16"/>
      <c r="U1639" s="16"/>
      <c r="V1639" s="16"/>
      <c r="W1639" s="16"/>
      <c r="X1639" s="16"/>
      <c r="Y1639" s="11"/>
      <c r="Z1639" s="11"/>
      <c r="AA1639" s="11"/>
      <c r="AB1639" s="11"/>
      <c r="AC1639" s="11"/>
      <c r="AD1639" s="11"/>
    </row>
    <row r="1640">
      <c r="A1640" s="10"/>
      <c r="B1640" s="10"/>
      <c r="C1640" s="10"/>
      <c r="D1640" s="10"/>
      <c r="E1640" s="10"/>
      <c r="F1640" s="11"/>
      <c r="G1640" s="11"/>
      <c r="H1640" s="11"/>
      <c r="I1640" s="11"/>
      <c r="J1640" s="11" t="str">
        <f>IFERROR(__xludf.DUMMYFUNCTION("IFERROR(FILTER(Stats!$F:$Z,(Stats!$A:$A=$A1640)*(Stats!$B:$B=$B1640)))"),"#REF!")</f>
        <v>#REF!</v>
      </c>
      <c r="K1640" s="11"/>
      <c r="L1640" s="12"/>
      <c r="M1640" s="11"/>
      <c r="N1640" s="11"/>
      <c r="O1640" s="13"/>
      <c r="P1640" s="14"/>
      <c r="Q1640" s="13"/>
      <c r="R1640" s="13"/>
      <c r="S1640" s="15"/>
      <c r="T1640" s="16"/>
      <c r="U1640" s="16"/>
      <c r="V1640" s="16"/>
      <c r="W1640" s="16"/>
      <c r="X1640" s="16"/>
      <c r="Y1640" s="11"/>
      <c r="Z1640" s="11"/>
      <c r="AA1640" s="11"/>
      <c r="AB1640" s="11"/>
      <c r="AC1640" s="11"/>
      <c r="AD1640" s="11"/>
    </row>
    <row r="1641">
      <c r="A1641" s="10"/>
      <c r="B1641" s="10"/>
      <c r="C1641" s="10"/>
      <c r="D1641" s="10"/>
      <c r="E1641" s="10"/>
      <c r="F1641" s="11"/>
      <c r="G1641" s="11"/>
      <c r="H1641" s="11"/>
      <c r="I1641" s="11"/>
      <c r="J1641" s="11" t="str">
        <f>IFERROR(__xludf.DUMMYFUNCTION("IFERROR(FILTER(Stats!$F:$Z,(Stats!$A:$A=$A1641)*(Stats!$B:$B=$B1641)))"),"#REF!")</f>
        <v>#REF!</v>
      </c>
      <c r="K1641" s="11"/>
      <c r="L1641" s="12"/>
      <c r="M1641" s="11"/>
      <c r="N1641" s="11"/>
      <c r="O1641" s="13"/>
      <c r="P1641" s="14"/>
      <c r="Q1641" s="13"/>
      <c r="R1641" s="13"/>
      <c r="S1641" s="15"/>
      <c r="T1641" s="16"/>
      <c r="U1641" s="16"/>
      <c r="V1641" s="16"/>
      <c r="W1641" s="16"/>
      <c r="X1641" s="16"/>
      <c r="Y1641" s="11"/>
      <c r="Z1641" s="11"/>
      <c r="AA1641" s="11"/>
      <c r="AB1641" s="11"/>
      <c r="AC1641" s="11"/>
      <c r="AD1641" s="11"/>
    </row>
    <row r="1642">
      <c r="A1642" s="10"/>
      <c r="B1642" s="10"/>
      <c r="C1642" s="10"/>
      <c r="D1642" s="10"/>
      <c r="E1642" s="10"/>
      <c r="F1642" s="11"/>
      <c r="G1642" s="11"/>
      <c r="H1642" s="11"/>
      <c r="I1642" s="11"/>
      <c r="J1642" s="11" t="str">
        <f>IFERROR(__xludf.DUMMYFUNCTION("IFERROR(FILTER(Stats!$F:$Z,(Stats!$A:$A=$A1642)*(Stats!$B:$B=$B1642)))"),"#REF!")</f>
        <v>#REF!</v>
      </c>
      <c r="K1642" s="11"/>
      <c r="L1642" s="12"/>
      <c r="M1642" s="11"/>
      <c r="N1642" s="11"/>
      <c r="O1642" s="13"/>
      <c r="P1642" s="14"/>
      <c r="Q1642" s="13"/>
      <c r="R1642" s="13"/>
      <c r="S1642" s="15"/>
      <c r="T1642" s="16"/>
      <c r="U1642" s="16"/>
      <c r="V1642" s="16"/>
      <c r="W1642" s="16"/>
      <c r="X1642" s="16"/>
      <c r="Y1642" s="11"/>
      <c r="Z1642" s="11"/>
      <c r="AA1642" s="11"/>
      <c r="AB1642" s="11"/>
      <c r="AC1642" s="11"/>
      <c r="AD1642" s="11"/>
    </row>
    <row r="1643">
      <c r="A1643" s="10"/>
      <c r="B1643" s="10"/>
      <c r="C1643" s="10"/>
      <c r="D1643" s="10"/>
      <c r="E1643" s="10"/>
      <c r="F1643" s="11"/>
      <c r="G1643" s="11"/>
      <c r="H1643" s="11"/>
      <c r="I1643" s="11"/>
      <c r="J1643" s="11" t="str">
        <f>IFERROR(__xludf.DUMMYFUNCTION("IFERROR(FILTER(Stats!$F:$Z,(Stats!$A:$A=$A1643)*(Stats!$B:$B=$B1643)))"),"#REF!")</f>
        <v>#REF!</v>
      </c>
      <c r="K1643" s="11"/>
      <c r="L1643" s="12"/>
      <c r="M1643" s="11"/>
      <c r="N1643" s="11"/>
      <c r="O1643" s="13"/>
      <c r="P1643" s="14"/>
      <c r="Q1643" s="13"/>
      <c r="R1643" s="13"/>
      <c r="S1643" s="15"/>
      <c r="T1643" s="16"/>
      <c r="U1643" s="16"/>
      <c r="V1643" s="16"/>
      <c r="W1643" s="16"/>
      <c r="X1643" s="16"/>
      <c r="Y1643" s="11"/>
      <c r="Z1643" s="11"/>
      <c r="AA1643" s="11"/>
      <c r="AB1643" s="11"/>
      <c r="AC1643" s="11"/>
      <c r="AD1643" s="11"/>
    </row>
    <row r="1644">
      <c r="A1644" s="10"/>
      <c r="B1644" s="10"/>
      <c r="C1644" s="10"/>
      <c r="D1644" s="10"/>
      <c r="E1644" s="10"/>
      <c r="F1644" s="11"/>
      <c r="G1644" s="11"/>
      <c r="H1644" s="11"/>
      <c r="I1644" s="11"/>
      <c r="J1644" s="11" t="str">
        <f>IFERROR(__xludf.DUMMYFUNCTION("IFERROR(FILTER(Stats!$F:$Z,(Stats!$A:$A=$A1644)*(Stats!$B:$B=$B1644)))"),"#REF!")</f>
        <v>#REF!</v>
      </c>
      <c r="K1644" s="11"/>
      <c r="L1644" s="12"/>
      <c r="M1644" s="11"/>
      <c r="N1644" s="11"/>
      <c r="O1644" s="13"/>
      <c r="P1644" s="14"/>
      <c r="Q1644" s="13"/>
      <c r="R1644" s="13"/>
      <c r="S1644" s="15"/>
      <c r="T1644" s="16"/>
      <c r="U1644" s="16"/>
      <c r="V1644" s="16"/>
      <c r="W1644" s="16"/>
      <c r="X1644" s="16"/>
      <c r="Y1644" s="11"/>
      <c r="Z1644" s="11"/>
      <c r="AA1644" s="11"/>
      <c r="AB1644" s="11"/>
      <c r="AC1644" s="11"/>
      <c r="AD1644" s="11"/>
    </row>
    <row r="1645">
      <c r="A1645" s="10"/>
      <c r="B1645" s="10"/>
      <c r="C1645" s="10"/>
      <c r="D1645" s="10"/>
      <c r="E1645" s="10"/>
      <c r="F1645" s="11"/>
      <c r="G1645" s="11"/>
      <c r="H1645" s="11"/>
      <c r="I1645" s="11"/>
      <c r="J1645" s="11" t="str">
        <f>IFERROR(__xludf.DUMMYFUNCTION("IFERROR(FILTER(Stats!$F:$Z,(Stats!$A:$A=$A1645)*(Stats!$B:$B=$B1645)))"),"#REF!")</f>
        <v>#REF!</v>
      </c>
      <c r="K1645" s="11"/>
      <c r="L1645" s="12"/>
      <c r="M1645" s="11"/>
      <c r="N1645" s="11"/>
      <c r="O1645" s="13"/>
      <c r="P1645" s="14"/>
      <c r="Q1645" s="13"/>
      <c r="R1645" s="13"/>
      <c r="S1645" s="15"/>
      <c r="T1645" s="16"/>
      <c r="U1645" s="16"/>
      <c r="V1645" s="16"/>
      <c r="W1645" s="16"/>
      <c r="X1645" s="16"/>
      <c r="Y1645" s="11"/>
      <c r="Z1645" s="11"/>
      <c r="AA1645" s="11"/>
      <c r="AB1645" s="11"/>
      <c r="AC1645" s="11"/>
      <c r="AD1645" s="11"/>
    </row>
    <row r="1646">
      <c r="A1646" s="10"/>
      <c r="B1646" s="10"/>
      <c r="C1646" s="10"/>
      <c r="D1646" s="10"/>
      <c r="E1646" s="10"/>
      <c r="F1646" s="11"/>
      <c r="G1646" s="11"/>
      <c r="H1646" s="11"/>
      <c r="I1646" s="11"/>
      <c r="J1646" s="11" t="str">
        <f>IFERROR(__xludf.DUMMYFUNCTION("IFERROR(FILTER(Stats!$F:$Z,(Stats!$A:$A=$A1646)*(Stats!$B:$B=$B1646)))"),"#REF!")</f>
        <v>#REF!</v>
      </c>
      <c r="K1646" s="11"/>
      <c r="L1646" s="12"/>
      <c r="M1646" s="11"/>
      <c r="N1646" s="11"/>
      <c r="O1646" s="13"/>
      <c r="P1646" s="14"/>
      <c r="Q1646" s="13"/>
      <c r="R1646" s="13"/>
      <c r="S1646" s="15"/>
      <c r="T1646" s="16"/>
      <c r="U1646" s="16"/>
      <c r="V1646" s="16"/>
      <c r="W1646" s="16"/>
      <c r="X1646" s="16"/>
      <c r="Y1646" s="11"/>
      <c r="Z1646" s="11"/>
      <c r="AA1646" s="11"/>
      <c r="AB1646" s="11"/>
      <c r="AC1646" s="11"/>
      <c r="AD1646" s="11"/>
    </row>
    <row r="1647">
      <c r="A1647" s="10"/>
      <c r="B1647" s="10"/>
      <c r="C1647" s="10"/>
      <c r="D1647" s="10"/>
      <c r="E1647" s="10"/>
      <c r="F1647" s="11"/>
      <c r="G1647" s="11"/>
      <c r="H1647" s="11"/>
      <c r="I1647" s="11"/>
      <c r="J1647" s="11" t="str">
        <f>IFERROR(__xludf.DUMMYFUNCTION("IFERROR(FILTER(Stats!$F:$Z,(Stats!$A:$A=$A1647)*(Stats!$B:$B=$B1647)))"),"#REF!")</f>
        <v>#REF!</v>
      </c>
      <c r="K1647" s="11"/>
      <c r="L1647" s="12"/>
      <c r="M1647" s="11"/>
      <c r="N1647" s="11"/>
      <c r="O1647" s="13"/>
      <c r="P1647" s="14"/>
      <c r="Q1647" s="13"/>
      <c r="R1647" s="13"/>
      <c r="S1647" s="15"/>
      <c r="T1647" s="16"/>
      <c r="U1647" s="16"/>
      <c r="V1647" s="16"/>
      <c r="W1647" s="16"/>
      <c r="X1647" s="16"/>
      <c r="Y1647" s="11"/>
      <c r="Z1647" s="11"/>
      <c r="AA1647" s="11"/>
      <c r="AB1647" s="11"/>
      <c r="AC1647" s="11"/>
      <c r="AD1647" s="11"/>
    </row>
    <row r="1648">
      <c r="A1648" s="10"/>
      <c r="B1648" s="10"/>
      <c r="C1648" s="10"/>
      <c r="D1648" s="10"/>
      <c r="E1648" s="10"/>
      <c r="F1648" s="11"/>
      <c r="G1648" s="11"/>
      <c r="H1648" s="11"/>
      <c r="I1648" s="11"/>
      <c r="J1648" s="11" t="str">
        <f>IFERROR(__xludf.DUMMYFUNCTION("IFERROR(FILTER(Stats!$F:$Z,(Stats!$A:$A=$A1648)*(Stats!$B:$B=$B1648)))"),"#REF!")</f>
        <v>#REF!</v>
      </c>
      <c r="K1648" s="11"/>
      <c r="L1648" s="12"/>
      <c r="M1648" s="11"/>
      <c r="N1648" s="11"/>
      <c r="O1648" s="13"/>
      <c r="P1648" s="14"/>
      <c r="Q1648" s="13"/>
      <c r="R1648" s="13"/>
      <c r="S1648" s="15"/>
      <c r="T1648" s="16"/>
      <c r="U1648" s="16"/>
      <c r="V1648" s="16"/>
      <c r="W1648" s="16"/>
      <c r="X1648" s="16"/>
      <c r="Y1648" s="11"/>
      <c r="Z1648" s="11"/>
      <c r="AA1648" s="11"/>
      <c r="AB1648" s="11"/>
      <c r="AC1648" s="11"/>
      <c r="AD1648" s="11"/>
    </row>
    <row r="1649">
      <c r="A1649" s="10"/>
      <c r="B1649" s="10"/>
      <c r="C1649" s="10"/>
      <c r="D1649" s="10"/>
      <c r="E1649" s="10"/>
      <c r="F1649" s="11"/>
      <c r="G1649" s="11"/>
      <c r="H1649" s="11"/>
      <c r="I1649" s="11"/>
      <c r="J1649" s="11" t="str">
        <f>IFERROR(__xludf.DUMMYFUNCTION("IFERROR(FILTER(Stats!$F:$Z,(Stats!$A:$A=$A1649)*(Stats!$B:$B=$B1649)))"),"#REF!")</f>
        <v>#REF!</v>
      </c>
      <c r="K1649" s="11"/>
      <c r="L1649" s="12"/>
      <c r="M1649" s="11"/>
      <c r="N1649" s="11"/>
      <c r="O1649" s="13"/>
      <c r="P1649" s="14"/>
      <c r="Q1649" s="13"/>
      <c r="R1649" s="13"/>
      <c r="S1649" s="15"/>
      <c r="T1649" s="16"/>
      <c r="U1649" s="16"/>
      <c r="V1649" s="16"/>
      <c r="W1649" s="16"/>
      <c r="X1649" s="16"/>
      <c r="Y1649" s="11"/>
      <c r="Z1649" s="11"/>
      <c r="AA1649" s="11"/>
      <c r="AB1649" s="11"/>
      <c r="AC1649" s="11"/>
      <c r="AD1649" s="11"/>
    </row>
    <row r="1650">
      <c r="A1650" s="10"/>
      <c r="B1650" s="10"/>
      <c r="C1650" s="10"/>
      <c r="D1650" s="10"/>
      <c r="E1650" s="10"/>
      <c r="F1650" s="11"/>
      <c r="G1650" s="11"/>
      <c r="H1650" s="11"/>
      <c r="I1650" s="11"/>
      <c r="J1650" s="11" t="str">
        <f>IFERROR(__xludf.DUMMYFUNCTION("IFERROR(FILTER(Stats!$F:$Z,(Stats!$A:$A=$A1650)*(Stats!$B:$B=$B1650)))"),"#REF!")</f>
        <v>#REF!</v>
      </c>
      <c r="K1650" s="11"/>
      <c r="L1650" s="12"/>
      <c r="M1650" s="11"/>
      <c r="N1650" s="11"/>
      <c r="O1650" s="13"/>
      <c r="P1650" s="14"/>
      <c r="Q1650" s="13"/>
      <c r="R1650" s="13"/>
      <c r="S1650" s="15"/>
      <c r="T1650" s="16"/>
      <c r="U1650" s="16"/>
      <c r="V1650" s="16"/>
      <c r="W1650" s="16"/>
      <c r="X1650" s="16"/>
      <c r="Y1650" s="11"/>
      <c r="Z1650" s="11"/>
      <c r="AA1650" s="11"/>
      <c r="AB1650" s="11"/>
      <c r="AC1650" s="11"/>
      <c r="AD1650" s="11"/>
    </row>
    <row r="1651">
      <c r="A1651" s="10"/>
      <c r="B1651" s="10"/>
      <c r="C1651" s="10"/>
      <c r="D1651" s="10"/>
      <c r="E1651" s="10"/>
      <c r="F1651" s="11"/>
      <c r="G1651" s="11"/>
      <c r="H1651" s="11"/>
      <c r="I1651" s="11"/>
      <c r="J1651" s="11" t="str">
        <f>IFERROR(__xludf.DUMMYFUNCTION("IFERROR(FILTER(Stats!$F:$Z,(Stats!$A:$A=$A1651)*(Stats!$B:$B=$B1651)))"),"#REF!")</f>
        <v>#REF!</v>
      </c>
      <c r="K1651" s="11"/>
      <c r="L1651" s="12"/>
      <c r="M1651" s="11"/>
      <c r="N1651" s="11"/>
      <c r="O1651" s="13"/>
      <c r="P1651" s="14"/>
      <c r="Q1651" s="13"/>
      <c r="R1651" s="13"/>
      <c r="S1651" s="15"/>
      <c r="T1651" s="16"/>
      <c r="U1651" s="16"/>
      <c r="V1651" s="16"/>
      <c r="W1651" s="16"/>
      <c r="X1651" s="16"/>
      <c r="Y1651" s="11"/>
      <c r="Z1651" s="11"/>
      <c r="AA1651" s="11"/>
      <c r="AB1651" s="11"/>
      <c r="AC1651" s="11"/>
      <c r="AD1651" s="11"/>
    </row>
    <row r="1652">
      <c r="A1652" s="10"/>
      <c r="B1652" s="10"/>
      <c r="C1652" s="10"/>
      <c r="D1652" s="10"/>
      <c r="E1652" s="10"/>
      <c r="F1652" s="11"/>
      <c r="G1652" s="11"/>
      <c r="H1652" s="11"/>
      <c r="I1652" s="11"/>
      <c r="J1652" s="11" t="str">
        <f>IFERROR(__xludf.DUMMYFUNCTION("IFERROR(FILTER(Stats!$F:$Z,(Stats!$A:$A=$A1652)*(Stats!$B:$B=$B1652)))"),"#REF!")</f>
        <v>#REF!</v>
      </c>
      <c r="K1652" s="11"/>
      <c r="L1652" s="12"/>
      <c r="M1652" s="11"/>
      <c r="N1652" s="11"/>
      <c r="O1652" s="13"/>
      <c r="P1652" s="14"/>
      <c r="Q1652" s="13"/>
      <c r="R1652" s="13"/>
      <c r="S1652" s="15"/>
      <c r="T1652" s="16"/>
      <c r="U1652" s="16"/>
      <c r="V1652" s="16"/>
      <c r="W1652" s="16"/>
      <c r="X1652" s="16"/>
      <c r="Y1652" s="11"/>
      <c r="Z1652" s="11"/>
      <c r="AA1652" s="11"/>
      <c r="AB1652" s="11"/>
      <c r="AC1652" s="11"/>
      <c r="AD1652" s="11"/>
    </row>
    <row r="1653">
      <c r="A1653" s="10"/>
      <c r="B1653" s="10"/>
      <c r="C1653" s="10"/>
      <c r="D1653" s="10"/>
      <c r="E1653" s="10"/>
      <c r="F1653" s="11"/>
      <c r="G1653" s="11"/>
      <c r="H1653" s="11"/>
      <c r="I1653" s="11"/>
      <c r="J1653" s="11" t="str">
        <f>IFERROR(__xludf.DUMMYFUNCTION("IFERROR(FILTER(Stats!$F:$Z,(Stats!$A:$A=$A1653)*(Stats!$B:$B=$B1653)))"),"#REF!")</f>
        <v>#REF!</v>
      </c>
      <c r="K1653" s="11"/>
      <c r="L1653" s="12"/>
      <c r="M1653" s="11"/>
      <c r="N1653" s="11"/>
      <c r="O1653" s="13"/>
      <c r="P1653" s="14"/>
      <c r="Q1653" s="13"/>
      <c r="R1653" s="13"/>
      <c r="S1653" s="15"/>
      <c r="T1653" s="16"/>
      <c r="U1653" s="16"/>
      <c r="V1653" s="16"/>
      <c r="W1653" s="16"/>
      <c r="X1653" s="16"/>
      <c r="Y1653" s="11"/>
      <c r="Z1653" s="11"/>
      <c r="AA1653" s="11"/>
      <c r="AB1653" s="11"/>
      <c r="AC1653" s="11"/>
      <c r="AD1653" s="11"/>
    </row>
    <row r="1654">
      <c r="A1654" s="10"/>
      <c r="B1654" s="10"/>
      <c r="C1654" s="10"/>
      <c r="D1654" s="10"/>
      <c r="E1654" s="10"/>
      <c r="F1654" s="11"/>
      <c r="G1654" s="11"/>
      <c r="H1654" s="11"/>
      <c r="I1654" s="11"/>
      <c r="J1654" s="11" t="str">
        <f>IFERROR(__xludf.DUMMYFUNCTION("IFERROR(FILTER(Stats!$F:$Z,(Stats!$A:$A=$A1654)*(Stats!$B:$B=$B1654)))"),"#REF!")</f>
        <v>#REF!</v>
      </c>
      <c r="K1654" s="11"/>
      <c r="L1654" s="12"/>
      <c r="M1654" s="11"/>
      <c r="N1654" s="11"/>
      <c r="O1654" s="13"/>
      <c r="P1654" s="14"/>
      <c r="Q1654" s="13"/>
      <c r="R1654" s="13"/>
      <c r="S1654" s="15"/>
      <c r="T1654" s="16"/>
      <c r="U1654" s="16"/>
      <c r="V1654" s="16"/>
      <c r="W1654" s="16"/>
      <c r="X1654" s="16"/>
      <c r="Y1654" s="11"/>
      <c r="Z1654" s="11"/>
      <c r="AA1654" s="11"/>
      <c r="AB1654" s="11"/>
      <c r="AC1654" s="11"/>
      <c r="AD1654" s="11"/>
    </row>
    <row r="1655">
      <c r="A1655" s="10"/>
      <c r="B1655" s="10"/>
      <c r="C1655" s="10"/>
      <c r="D1655" s="10"/>
      <c r="E1655" s="10"/>
      <c r="F1655" s="11"/>
      <c r="G1655" s="11"/>
      <c r="H1655" s="11"/>
      <c r="I1655" s="11"/>
      <c r="J1655" s="11" t="str">
        <f>IFERROR(__xludf.DUMMYFUNCTION("IFERROR(FILTER(Stats!$F:$Z,(Stats!$A:$A=$A1655)*(Stats!$B:$B=$B1655)))"),"#REF!")</f>
        <v>#REF!</v>
      </c>
      <c r="K1655" s="11"/>
      <c r="L1655" s="12"/>
      <c r="M1655" s="11"/>
      <c r="N1655" s="11"/>
      <c r="O1655" s="13"/>
      <c r="P1655" s="14"/>
      <c r="Q1655" s="13"/>
      <c r="R1655" s="13"/>
      <c r="S1655" s="15"/>
      <c r="T1655" s="16"/>
      <c r="U1655" s="16"/>
      <c r="V1655" s="16"/>
      <c r="W1655" s="16"/>
      <c r="X1655" s="16"/>
      <c r="Y1655" s="11"/>
      <c r="Z1655" s="11"/>
      <c r="AA1655" s="11"/>
      <c r="AB1655" s="11"/>
      <c r="AC1655" s="11"/>
      <c r="AD1655" s="11"/>
    </row>
    <row r="1656">
      <c r="A1656" s="10"/>
      <c r="B1656" s="10"/>
      <c r="C1656" s="10"/>
      <c r="D1656" s="10"/>
      <c r="E1656" s="10"/>
      <c r="F1656" s="11"/>
      <c r="G1656" s="11"/>
      <c r="H1656" s="11"/>
      <c r="I1656" s="11"/>
      <c r="J1656" s="11" t="str">
        <f>IFERROR(__xludf.DUMMYFUNCTION("IFERROR(FILTER(Stats!$F:$Z,(Stats!$A:$A=$A1656)*(Stats!$B:$B=$B1656)))"),"#REF!")</f>
        <v>#REF!</v>
      </c>
      <c r="K1656" s="11"/>
      <c r="L1656" s="12"/>
      <c r="M1656" s="11"/>
      <c r="N1656" s="11"/>
      <c r="O1656" s="13"/>
      <c r="P1656" s="14"/>
      <c r="Q1656" s="13"/>
      <c r="R1656" s="13"/>
      <c r="S1656" s="15"/>
      <c r="T1656" s="16"/>
      <c r="U1656" s="16"/>
      <c r="V1656" s="16"/>
      <c r="W1656" s="16"/>
      <c r="X1656" s="16"/>
      <c r="Y1656" s="11"/>
      <c r="Z1656" s="11"/>
      <c r="AA1656" s="11"/>
      <c r="AB1656" s="11"/>
      <c r="AC1656" s="11"/>
      <c r="AD1656" s="11"/>
    </row>
    <row r="1657">
      <c r="A1657" s="10"/>
      <c r="B1657" s="10"/>
      <c r="C1657" s="10"/>
      <c r="D1657" s="10"/>
      <c r="E1657" s="10"/>
      <c r="F1657" s="11"/>
      <c r="G1657" s="11"/>
      <c r="H1657" s="11"/>
      <c r="I1657" s="11"/>
      <c r="J1657" s="11" t="str">
        <f>IFERROR(__xludf.DUMMYFUNCTION("IFERROR(FILTER(Stats!$F:$Z,(Stats!$A:$A=$A1657)*(Stats!$B:$B=$B1657)))"),"#REF!")</f>
        <v>#REF!</v>
      </c>
      <c r="K1657" s="11"/>
      <c r="L1657" s="12"/>
      <c r="M1657" s="11"/>
      <c r="N1657" s="11"/>
      <c r="O1657" s="13"/>
      <c r="P1657" s="14"/>
      <c r="Q1657" s="13"/>
      <c r="R1657" s="13"/>
      <c r="S1657" s="15"/>
      <c r="T1657" s="16"/>
      <c r="U1657" s="16"/>
      <c r="V1657" s="16"/>
      <c r="W1657" s="16"/>
      <c r="X1657" s="16"/>
      <c r="Y1657" s="11"/>
      <c r="Z1657" s="11"/>
      <c r="AA1657" s="11"/>
      <c r="AB1657" s="11"/>
      <c r="AC1657" s="11"/>
      <c r="AD1657" s="11"/>
    </row>
    <row r="1658">
      <c r="A1658" s="10"/>
      <c r="B1658" s="10"/>
      <c r="C1658" s="10"/>
      <c r="D1658" s="10"/>
      <c r="E1658" s="10"/>
      <c r="F1658" s="11"/>
      <c r="G1658" s="11"/>
      <c r="H1658" s="11"/>
      <c r="I1658" s="11"/>
      <c r="J1658" s="11" t="str">
        <f>IFERROR(__xludf.DUMMYFUNCTION("IFERROR(FILTER(Stats!$F:$Z,(Stats!$A:$A=$A1658)*(Stats!$B:$B=$B1658)))"),"#REF!")</f>
        <v>#REF!</v>
      </c>
      <c r="K1658" s="11"/>
      <c r="L1658" s="12"/>
      <c r="M1658" s="11"/>
      <c r="N1658" s="11"/>
      <c r="O1658" s="13"/>
      <c r="P1658" s="14"/>
      <c r="Q1658" s="13"/>
      <c r="R1658" s="13"/>
      <c r="S1658" s="15"/>
      <c r="T1658" s="16"/>
      <c r="U1658" s="16"/>
      <c r="V1658" s="16"/>
      <c r="W1658" s="16"/>
      <c r="X1658" s="16"/>
      <c r="Y1658" s="11"/>
      <c r="Z1658" s="11"/>
      <c r="AA1658" s="11"/>
      <c r="AB1658" s="11"/>
      <c r="AC1658" s="11"/>
      <c r="AD1658" s="11"/>
    </row>
    <row r="1659">
      <c r="A1659" s="10"/>
      <c r="B1659" s="10"/>
      <c r="C1659" s="10"/>
      <c r="D1659" s="10"/>
      <c r="E1659" s="10"/>
      <c r="F1659" s="11"/>
      <c r="G1659" s="11"/>
      <c r="H1659" s="11"/>
      <c r="I1659" s="11"/>
      <c r="J1659" s="11" t="str">
        <f>IFERROR(__xludf.DUMMYFUNCTION("IFERROR(FILTER(Stats!$F:$Z,(Stats!$A:$A=$A1659)*(Stats!$B:$B=$B1659)))"),"#REF!")</f>
        <v>#REF!</v>
      </c>
      <c r="K1659" s="11"/>
      <c r="L1659" s="12"/>
      <c r="M1659" s="11"/>
      <c r="N1659" s="11"/>
      <c r="O1659" s="13"/>
      <c r="P1659" s="14"/>
      <c r="Q1659" s="13"/>
      <c r="R1659" s="13"/>
      <c r="S1659" s="15"/>
      <c r="T1659" s="16"/>
      <c r="U1659" s="16"/>
      <c r="V1659" s="16"/>
      <c r="W1659" s="16"/>
      <c r="X1659" s="16"/>
      <c r="Y1659" s="11"/>
      <c r="Z1659" s="11"/>
      <c r="AA1659" s="11"/>
      <c r="AB1659" s="11"/>
      <c r="AC1659" s="11"/>
      <c r="AD1659" s="11"/>
    </row>
    <row r="1660">
      <c r="A1660" s="10"/>
      <c r="B1660" s="10"/>
      <c r="C1660" s="10"/>
      <c r="D1660" s="10"/>
      <c r="E1660" s="10"/>
      <c r="F1660" s="11"/>
      <c r="G1660" s="11"/>
      <c r="H1660" s="11"/>
      <c r="I1660" s="11"/>
      <c r="J1660" s="11" t="str">
        <f>IFERROR(__xludf.DUMMYFUNCTION("IFERROR(FILTER(Stats!$F:$Z,(Stats!$A:$A=$A1660)*(Stats!$B:$B=$B1660)))"),"#REF!")</f>
        <v>#REF!</v>
      </c>
      <c r="K1660" s="11"/>
      <c r="L1660" s="12"/>
      <c r="M1660" s="11"/>
      <c r="N1660" s="11"/>
      <c r="O1660" s="13"/>
      <c r="P1660" s="14"/>
      <c r="Q1660" s="13"/>
      <c r="R1660" s="13"/>
      <c r="S1660" s="15"/>
      <c r="T1660" s="16"/>
      <c r="U1660" s="16"/>
      <c r="V1660" s="16"/>
      <c r="W1660" s="16"/>
      <c r="X1660" s="16"/>
      <c r="Y1660" s="11"/>
      <c r="Z1660" s="11"/>
      <c r="AA1660" s="11"/>
      <c r="AB1660" s="11"/>
      <c r="AC1660" s="11"/>
      <c r="AD1660" s="11"/>
    </row>
    <row r="1661">
      <c r="A1661" s="10"/>
      <c r="B1661" s="10"/>
      <c r="C1661" s="10"/>
      <c r="D1661" s="10"/>
      <c r="E1661" s="10"/>
      <c r="F1661" s="11"/>
      <c r="G1661" s="11"/>
      <c r="H1661" s="11"/>
      <c r="I1661" s="11"/>
      <c r="J1661" s="11" t="str">
        <f>IFERROR(__xludf.DUMMYFUNCTION("IFERROR(FILTER(Stats!$F:$Z,(Stats!$A:$A=$A1661)*(Stats!$B:$B=$B1661)))"),"#REF!")</f>
        <v>#REF!</v>
      </c>
      <c r="K1661" s="11"/>
      <c r="L1661" s="12"/>
      <c r="M1661" s="11"/>
      <c r="N1661" s="11"/>
      <c r="O1661" s="13"/>
      <c r="P1661" s="14"/>
      <c r="Q1661" s="13"/>
      <c r="R1661" s="13"/>
      <c r="S1661" s="15"/>
      <c r="T1661" s="16"/>
      <c r="U1661" s="16"/>
      <c r="V1661" s="16"/>
      <c r="W1661" s="16"/>
      <c r="X1661" s="16"/>
      <c r="Y1661" s="11"/>
      <c r="Z1661" s="11"/>
      <c r="AA1661" s="11"/>
      <c r="AB1661" s="11"/>
      <c r="AC1661" s="11"/>
      <c r="AD1661" s="11"/>
    </row>
    <row r="1662">
      <c r="A1662" s="10"/>
      <c r="B1662" s="10"/>
      <c r="C1662" s="10"/>
      <c r="D1662" s="10"/>
      <c r="E1662" s="10"/>
      <c r="F1662" s="11"/>
      <c r="G1662" s="11"/>
      <c r="H1662" s="11"/>
      <c r="I1662" s="11"/>
      <c r="J1662" s="11" t="str">
        <f>IFERROR(__xludf.DUMMYFUNCTION("IFERROR(FILTER(Stats!$F:$Z,(Stats!$A:$A=$A1662)*(Stats!$B:$B=$B1662)))"),"#REF!")</f>
        <v>#REF!</v>
      </c>
      <c r="K1662" s="11"/>
      <c r="L1662" s="12"/>
      <c r="M1662" s="11"/>
      <c r="N1662" s="11"/>
      <c r="O1662" s="13"/>
      <c r="P1662" s="14"/>
      <c r="Q1662" s="13"/>
      <c r="R1662" s="13"/>
      <c r="S1662" s="15"/>
      <c r="T1662" s="16"/>
      <c r="U1662" s="16"/>
      <c r="V1662" s="16"/>
      <c r="W1662" s="16"/>
      <c r="X1662" s="16"/>
      <c r="Y1662" s="11"/>
      <c r="Z1662" s="11"/>
      <c r="AA1662" s="11"/>
      <c r="AB1662" s="11"/>
      <c r="AC1662" s="11"/>
      <c r="AD1662" s="11"/>
    </row>
    <row r="1663">
      <c r="A1663" s="10"/>
      <c r="B1663" s="10"/>
      <c r="C1663" s="10"/>
      <c r="D1663" s="10"/>
      <c r="E1663" s="10"/>
      <c r="F1663" s="11"/>
      <c r="G1663" s="11"/>
      <c r="H1663" s="11"/>
      <c r="I1663" s="11"/>
      <c r="J1663" s="11" t="str">
        <f>IFERROR(__xludf.DUMMYFUNCTION("IFERROR(FILTER(Stats!$F:$Z,(Stats!$A:$A=$A1663)*(Stats!$B:$B=$B1663)))"),"#REF!")</f>
        <v>#REF!</v>
      </c>
      <c r="K1663" s="11"/>
      <c r="L1663" s="12"/>
      <c r="M1663" s="11"/>
      <c r="N1663" s="11"/>
      <c r="O1663" s="13"/>
      <c r="P1663" s="14"/>
      <c r="Q1663" s="13"/>
      <c r="R1663" s="13"/>
      <c r="S1663" s="15"/>
      <c r="T1663" s="16"/>
      <c r="U1663" s="16"/>
      <c r="V1663" s="16"/>
      <c r="W1663" s="16"/>
      <c r="X1663" s="16"/>
      <c r="Y1663" s="11"/>
      <c r="Z1663" s="11"/>
      <c r="AA1663" s="11"/>
      <c r="AB1663" s="11"/>
      <c r="AC1663" s="11"/>
      <c r="AD1663" s="11"/>
    </row>
    <row r="1664">
      <c r="A1664" s="10"/>
      <c r="B1664" s="10"/>
      <c r="C1664" s="10"/>
      <c r="D1664" s="10"/>
      <c r="E1664" s="10"/>
      <c r="F1664" s="11"/>
      <c r="G1664" s="11"/>
      <c r="H1664" s="11"/>
      <c r="I1664" s="11"/>
      <c r="J1664" s="11" t="str">
        <f>IFERROR(__xludf.DUMMYFUNCTION("IFERROR(FILTER(Stats!$F:$Z,(Stats!$A:$A=$A1664)*(Stats!$B:$B=$B1664)))"),"#REF!")</f>
        <v>#REF!</v>
      </c>
      <c r="K1664" s="11"/>
      <c r="L1664" s="12"/>
      <c r="M1664" s="11"/>
      <c r="N1664" s="11"/>
      <c r="O1664" s="13"/>
      <c r="P1664" s="14"/>
      <c r="Q1664" s="13"/>
      <c r="R1664" s="13"/>
      <c r="S1664" s="15"/>
      <c r="T1664" s="16"/>
      <c r="U1664" s="16"/>
      <c r="V1664" s="16"/>
      <c r="W1664" s="16"/>
      <c r="X1664" s="16"/>
      <c r="Y1664" s="11"/>
      <c r="Z1664" s="11"/>
      <c r="AA1664" s="11"/>
      <c r="AB1664" s="11"/>
      <c r="AC1664" s="11"/>
      <c r="AD1664" s="11"/>
    </row>
    <row r="1665">
      <c r="A1665" s="10"/>
      <c r="B1665" s="10"/>
      <c r="C1665" s="10"/>
      <c r="D1665" s="10"/>
      <c r="E1665" s="10"/>
      <c r="F1665" s="11"/>
      <c r="G1665" s="11"/>
      <c r="H1665" s="11"/>
      <c r="I1665" s="11"/>
      <c r="J1665" s="11" t="str">
        <f>IFERROR(__xludf.DUMMYFUNCTION("IFERROR(FILTER(Stats!$F:$Z,(Stats!$A:$A=$A1665)*(Stats!$B:$B=$B1665)))"),"#REF!")</f>
        <v>#REF!</v>
      </c>
      <c r="K1665" s="11"/>
      <c r="L1665" s="12"/>
      <c r="M1665" s="11"/>
      <c r="N1665" s="11"/>
      <c r="O1665" s="13"/>
      <c r="P1665" s="14"/>
      <c r="Q1665" s="13"/>
      <c r="R1665" s="13"/>
      <c r="S1665" s="15"/>
      <c r="T1665" s="16"/>
      <c r="U1665" s="16"/>
      <c r="V1665" s="16"/>
      <c r="W1665" s="16"/>
      <c r="X1665" s="16"/>
      <c r="Y1665" s="11"/>
      <c r="Z1665" s="11"/>
      <c r="AA1665" s="11"/>
      <c r="AB1665" s="11"/>
      <c r="AC1665" s="11"/>
      <c r="AD1665" s="11"/>
    </row>
    <row r="1666">
      <c r="A1666" s="10"/>
      <c r="B1666" s="10"/>
      <c r="C1666" s="10"/>
      <c r="D1666" s="10"/>
      <c r="E1666" s="10"/>
      <c r="F1666" s="11"/>
      <c r="G1666" s="11"/>
      <c r="H1666" s="11"/>
      <c r="I1666" s="11"/>
      <c r="J1666" s="11" t="str">
        <f>IFERROR(__xludf.DUMMYFUNCTION("IFERROR(FILTER(Stats!$F:$Z,(Stats!$A:$A=$A1666)*(Stats!$B:$B=$B1666)))"),"#REF!")</f>
        <v>#REF!</v>
      </c>
      <c r="K1666" s="11"/>
      <c r="L1666" s="12"/>
      <c r="M1666" s="11"/>
      <c r="N1666" s="11"/>
      <c r="O1666" s="13"/>
      <c r="P1666" s="14"/>
      <c r="Q1666" s="13"/>
      <c r="R1666" s="13"/>
      <c r="S1666" s="15"/>
      <c r="T1666" s="16"/>
      <c r="U1666" s="16"/>
      <c r="V1666" s="16"/>
      <c r="W1666" s="16"/>
      <c r="X1666" s="16"/>
      <c r="Y1666" s="11"/>
      <c r="Z1666" s="11"/>
      <c r="AA1666" s="11"/>
      <c r="AB1666" s="11"/>
      <c r="AC1666" s="11"/>
      <c r="AD1666" s="11"/>
    </row>
    <row r="1667">
      <c r="A1667" s="10"/>
      <c r="B1667" s="10"/>
      <c r="C1667" s="10"/>
      <c r="D1667" s="10"/>
      <c r="E1667" s="10"/>
      <c r="F1667" s="11"/>
      <c r="G1667" s="11"/>
      <c r="H1667" s="11"/>
      <c r="I1667" s="11"/>
      <c r="J1667" s="11" t="str">
        <f>IFERROR(__xludf.DUMMYFUNCTION("IFERROR(FILTER(Stats!$F:$Z,(Stats!$A:$A=$A1667)*(Stats!$B:$B=$B1667)))"),"#REF!")</f>
        <v>#REF!</v>
      </c>
      <c r="K1667" s="11"/>
      <c r="L1667" s="12"/>
      <c r="M1667" s="11"/>
      <c r="N1667" s="11"/>
      <c r="O1667" s="13"/>
      <c r="P1667" s="14"/>
      <c r="Q1667" s="13"/>
      <c r="R1667" s="13"/>
      <c r="S1667" s="15"/>
      <c r="T1667" s="16"/>
      <c r="U1667" s="16"/>
      <c r="V1667" s="16"/>
      <c r="W1667" s="16"/>
      <c r="X1667" s="16"/>
      <c r="Y1667" s="11"/>
      <c r="Z1667" s="11"/>
      <c r="AA1667" s="11"/>
      <c r="AB1667" s="11"/>
      <c r="AC1667" s="11"/>
      <c r="AD1667" s="11"/>
    </row>
    <row r="1668">
      <c r="A1668" s="10"/>
      <c r="B1668" s="10"/>
      <c r="C1668" s="10"/>
      <c r="D1668" s="10"/>
      <c r="E1668" s="10"/>
      <c r="F1668" s="11"/>
      <c r="G1668" s="11"/>
      <c r="H1668" s="11"/>
      <c r="I1668" s="11"/>
      <c r="J1668" s="11" t="str">
        <f>IFERROR(__xludf.DUMMYFUNCTION("IFERROR(FILTER(Stats!$F:$Z,(Stats!$A:$A=$A1668)*(Stats!$B:$B=$B1668)))"),"#REF!")</f>
        <v>#REF!</v>
      </c>
      <c r="K1668" s="11"/>
      <c r="L1668" s="12"/>
      <c r="M1668" s="11"/>
      <c r="N1668" s="11"/>
      <c r="O1668" s="13"/>
      <c r="P1668" s="14"/>
      <c r="Q1668" s="13"/>
      <c r="R1668" s="13"/>
      <c r="S1668" s="15"/>
      <c r="T1668" s="16"/>
      <c r="U1668" s="16"/>
      <c r="V1668" s="16"/>
      <c r="W1668" s="16"/>
      <c r="X1668" s="16"/>
      <c r="Y1668" s="11"/>
      <c r="Z1668" s="11"/>
      <c r="AA1668" s="11"/>
      <c r="AB1668" s="11"/>
      <c r="AC1668" s="11"/>
      <c r="AD1668" s="11"/>
    </row>
    <row r="1669">
      <c r="A1669" s="10"/>
      <c r="B1669" s="10"/>
      <c r="C1669" s="10"/>
      <c r="D1669" s="10"/>
      <c r="E1669" s="10"/>
      <c r="F1669" s="11"/>
      <c r="G1669" s="11"/>
      <c r="H1669" s="11"/>
      <c r="I1669" s="11"/>
      <c r="J1669" s="11" t="str">
        <f>IFERROR(__xludf.DUMMYFUNCTION("IFERROR(FILTER(Stats!$F:$Z,(Stats!$A:$A=$A1669)*(Stats!$B:$B=$B1669)))"),"#REF!")</f>
        <v>#REF!</v>
      </c>
      <c r="K1669" s="11"/>
      <c r="L1669" s="12"/>
      <c r="M1669" s="11"/>
      <c r="N1669" s="11"/>
      <c r="O1669" s="13"/>
      <c r="P1669" s="14"/>
      <c r="Q1669" s="13"/>
      <c r="R1669" s="13"/>
      <c r="S1669" s="15"/>
      <c r="T1669" s="16"/>
      <c r="U1669" s="16"/>
      <c r="V1669" s="16"/>
      <c r="W1669" s="16"/>
      <c r="X1669" s="16"/>
      <c r="Y1669" s="11"/>
      <c r="Z1669" s="11"/>
      <c r="AA1669" s="11"/>
      <c r="AB1669" s="11"/>
      <c r="AC1669" s="11"/>
      <c r="AD1669" s="11"/>
    </row>
    <row r="1670">
      <c r="A1670" s="10"/>
      <c r="B1670" s="10"/>
      <c r="C1670" s="10"/>
      <c r="D1670" s="10"/>
      <c r="E1670" s="10"/>
      <c r="F1670" s="11"/>
      <c r="G1670" s="11"/>
      <c r="H1670" s="11"/>
      <c r="I1670" s="11"/>
      <c r="J1670" s="11" t="str">
        <f>IFERROR(__xludf.DUMMYFUNCTION("IFERROR(FILTER(Stats!$F:$Z,(Stats!$A:$A=$A1670)*(Stats!$B:$B=$B1670)))"),"#REF!")</f>
        <v>#REF!</v>
      </c>
      <c r="K1670" s="11"/>
      <c r="L1670" s="12"/>
      <c r="M1670" s="11"/>
      <c r="N1670" s="11"/>
      <c r="O1670" s="13"/>
      <c r="P1670" s="14"/>
      <c r="Q1670" s="13"/>
      <c r="R1670" s="13"/>
      <c r="S1670" s="15"/>
      <c r="T1670" s="16"/>
      <c r="U1670" s="16"/>
      <c r="V1670" s="16"/>
      <c r="W1670" s="16"/>
      <c r="X1670" s="16"/>
      <c r="Y1670" s="11"/>
      <c r="Z1670" s="11"/>
      <c r="AA1670" s="11"/>
      <c r="AB1670" s="11"/>
      <c r="AC1670" s="11"/>
      <c r="AD1670" s="11"/>
    </row>
    <row r="1671">
      <c r="A1671" s="10"/>
      <c r="B1671" s="10"/>
      <c r="C1671" s="10"/>
      <c r="D1671" s="10"/>
      <c r="E1671" s="10"/>
      <c r="F1671" s="11"/>
      <c r="G1671" s="11"/>
      <c r="H1671" s="11"/>
      <c r="I1671" s="11"/>
      <c r="J1671" s="11" t="str">
        <f>IFERROR(__xludf.DUMMYFUNCTION("IFERROR(FILTER(Stats!$F:$Z,(Stats!$A:$A=$A1671)*(Stats!$B:$B=$B1671)))"),"#REF!")</f>
        <v>#REF!</v>
      </c>
      <c r="K1671" s="11"/>
      <c r="L1671" s="12"/>
      <c r="M1671" s="11"/>
      <c r="N1671" s="11"/>
      <c r="O1671" s="13"/>
      <c r="P1671" s="14"/>
      <c r="Q1671" s="13"/>
      <c r="R1671" s="13"/>
      <c r="S1671" s="15"/>
      <c r="T1671" s="16"/>
      <c r="U1671" s="16"/>
      <c r="V1671" s="16"/>
      <c r="W1671" s="16"/>
      <c r="X1671" s="16"/>
      <c r="Y1671" s="11"/>
      <c r="Z1671" s="11"/>
      <c r="AA1671" s="11"/>
      <c r="AB1671" s="11"/>
      <c r="AC1671" s="11"/>
      <c r="AD1671" s="11"/>
    </row>
    <row r="1672">
      <c r="A1672" s="10"/>
      <c r="B1672" s="10"/>
      <c r="C1672" s="10"/>
      <c r="D1672" s="10"/>
      <c r="E1672" s="10"/>
      <c r="F1672" s="11"/>
      <c r="G1672" s="11"/>
      <c r="H1672" s="11"/>
      <c r="I1672" s="11"/>
      <c r="J1672" s="11" t="str">
        <f>IFERROR(__xludf.DUMMYFUNCTION("IFERROR(FILTER(Stats!$F:$Z,(Stats!$A:$A=$A1672)*(Stats!$B:$B=$B1672)))"),"#REF!")</f>
        <v>#REF!</v>
      </c>
      <c r="K1672" s="11"/>
      <c r="L1672" s="12"/>
      <c r="M1672" s="11"/>
      <c r="N1672" s="11"/>
      <c r="O1672" s="13"/>
      <c r="P1672" s="14"/>
      <c r="Q1672" s="13"/>
      <c r="R1672" s="13"/>
      <c r="S1672" s="15"/>
      <c r="T1672" s="16"/>
      <c r="U1672" s="16"/>
      <c r="V1672" s="16"/>
      <c r="W1672" s="16"/>
      <c r="X1672" s="16"/>
      <c r="Y1672" s="11"/>
      <c r="Z1672" s="11"/>
      <c r="AA1672" s="11"/>
      <c r="AB1672" s="11"/>
      <c r="AC1672" s="11"/>
      <c r="AD1672" s="11"/>
    </row>
    <row r="1673">
      <c r="A1673" s="10"/>
      <c r="B1673" s="10"/>
      <c r="C1673" s="10"/>
      <c r="D1673" s="10"/>
      <c r="E1673" s="10"/>
      <c r="F1673" s="11"/>
      <c r="G1673" s="11"/>
      <c r="H1673" s="11"/>
      <c r="I1673" s="11"/>
      <c r="J1673" s="11" t="str">
        <f>IFERROR(__xludf.DUMMYFUNCTION("IFERROR(FILTER(Stats!$F:$Z,(Stats!$A:$A=$A1673)*(Stats!$B:$B=$B1673)))"),"#REF!")</f>
        <v>#REF!</v>
      </c>
      <c r="K1673" s="11"/>
      <c r="L1673" s="12"/>
      <c r="M1673" s="11"/>
      <c r="N1673" s="11"/>
      <c r="O1673" s="13"/>
      <c r="P1673" s="14"/>
      <c r="Q1673" s="13"/>
      <c r="R1673" s="13"/>
      <c r="S1673" s="15"/>
      <c r="T1673" s="16"/>
      <c r="U1673" s="16"/>
      <c r="V1673" s="16"/>
      <c r="W1673" s="16"/>
      <c r="X1673" s="16"/>
      <c r="Y1673" s="11"/>
      <c r="Z1673" s="11"/>
      <c r="AA1673" s="11"/>
      <c r="AB1673" s="11"/>
      <c r="AC1673" s="11"/>
      <c r="AD1673" s="11"/>
    </row>
    <row r="1674">
      <c r="A1674" s="10"/>
      <c r="B1674" s="10"/>
      <c r="C1674" s="10"/>
      <c r="D1674" s="10"/>
      <c r="E1674" s="10"/>
      <c r="F1674" s="11"/>
      <c r="G1674" s="11"/>
      <c r="H1674" s="11"/>
      <c r="I1674" s="11"/>
      <c r="J1674" s="11" t="str">
        <f>IFERROR(__xludf.DUMMYFUNCTION("IFERROR(FILTER(Stats!$F:$Z,(Stats!$A:$A=$A1674)*(Stats!$B:$B=$B1674)))"),"#REF!")</f>
        <v>#REF!</v>
      </c>
      <c r="K1674" s="11"/>
      <c r="L1674" s="12"/>
      <c r="M1674" s="11"/>
      <c r="N1674" s="11"/>
      <c r="O1674" s="13"/>
      <c r="P1674" s="14"/>
      <c r="Q1674" s="13"/>
      <c r="R1674" s="13"/>
      <c r="S1674" s="15"/>
      <c r="T1674" s="16"/>
      <c r="U1674" s="16"/>
      <c r="V1674" s="16"/>
      <c r="W1674" s="16"/>
      <c r="X1674" s="16"/>
      <c r="Y1674" s="11"/>
      <c r="Z1674" s="11"/>
      <c r="AA1674" s="11"/>
      <c r="AB1674" s="11"/>
      <c r="AC1674" s="11"/>
      <c r="AD1674" s="11"/>
    </row>
    <row r="1675">
      <c r="A1675" s="10"/>
      <c r="B1675" s="10"/>
      <c r="C1675" s="10"/>
      <c r="D1675" s="10"/>
      <c r="E1675" s="10"/>
      <c r="F1675" s="11"/>
      <c r="G1675" s="11"/>
      <c r="H1675" s="11"/>
      <c r="I1675" s="11"/>
      <c r="J1675" s="11" t="str">
        <f>IFERROR(__xludf.DUMMYFUNCTION("IFERROR(FILTER(Stats!$F:$Z,(Stats!$A:$A=$A1675)*(Stats!$B:$B=$B1675)))"),"#REF!")</f>
        <v>#REF!</v>
      </c>
      <c r="K1675" s="11"/>
      <c r="L1675" s="12"/>
      <c r="M1675" s="11"/>
      <c r="N1675" s="11"/>
      <c r="O1675" s="13"/>
      <c r="P1675" s="14"/>
      <c r="Q1675" s="13"/>
      <c r="R1675" s="13"/>
      <c r="S1675" s="15"/>
      <c r="T1675" s="16"/>
      <c r="U1675" s="16"/>
      <c r="V1675" s="16"/>
      <c r="W1675" s="16"/>
      <c r="X1675" s="16"/>
      <c r="Y1675" s="11"/>
      <c r="Z1675" s="11"/>
      <c r="AA1675" s="11"/>
      <c r="AB1675" s="11"/>
      <c r="AC1675" s="11"/>
      <c r="AD1675" s="11"/>
    </row>
    <row r="1676">
      <c r="A1676" s="10"/>
      <c r="B1676" s="10"/>
      <c r="C1676" s="10"/>
      <c r="D1676" s="10"/>
      <c r="E1676" s="10"/>
      <c r="F1676" s="11"/>
      <c r="G1676" s="11"/>
      <c r="H1676" s="11"/>
      <c r="I1676" s="11"/>
      <c r="J1676" s="11" t="str">
        <f>IFERROR(__xludf.DUMMYFUNCTION("IFERROR(FILTER(Stats!$F:$Z,(Stats!$A:$A=$A1676)*(Stats!$B:$B=$B1676)))"),"#REF!")</f>
        <v>#REF!</v>
      </c>
      <c r="K1676" s="11"/>
      <c r="L1676" s="12"/>
      <c r="M1676" s="11"/>
      <c r="N1676" s="11"/>
      <c r="O1676" s="13"/>
      <c r="P1676" s="14"/>
      <c r="Q1676" s="13"/>
      <c r="R1676" s="13"/>
      <c r="S1676" s="15"/>
      <c r="T1676" s="16"/>
      <c r="U1676" s="16"/>
      <c r="V1676" s="16"/>
      <c r="W1676" s="16"/>
      <c r="X1676" s="16"/>
      <c r="Y1676" s="11"/>
      <c r="Z1676" s="11"/>
      <c r="AA1676" s="11"/>
      <c r="AB1676" s="11"/>
      <c r="AC1676" s="11"/>
      <c r="AD1676" s="11"/>
    </row>
    <row r="1677">
      <c r="A1677" s="10"/>
      <c r="B1677" s="10"/>
      <c r="C1677" s="10"/>
      <c r="D1677" s="10"/>
      <c r="E1677" s="10"/>
      <c r="F1677" s="11"/>
      <c r="G1677" s="11"/>
      <c r="H1677" s="11"/>
      <c r="I1677" s="11"/>
      <c r="J1677" s="11" t="str">
        <f>IFERROR(__xludf.DUMMYFUNCTION("IFERROR(FILTER(Stats!$F:$Z,(Stats!$A:$A=$A1677)*(Stats!$B:$B=$B1677)))"),"#REF!")</f>
        <v>#REF!</v>
      </c>
      <c r="K1677" s="11"/>
      <c r="L1677" s="12"/>
      <c r="M1677" s="11"/>
      <c r="N1677" s="11"/>
      <c r="O1677" s="13"/>
      <c r="P1677" s="14"/>
      <c r="Q1677" s="13"/>
      <c r="R1677" s="13"/>
      <c r="S1677" s="15"/>
      <c r="T1677" s="16"/>
      <c r="U1677" s="16"/>
      <c r="V1677" s="16"/>
      <c r="W1677" s="16"/>
      <c r="X1677" s="16"/>
      <c r="Y1677" s="11"/>
      <c r="Z1677" s="11"/>
      <c r="AA1677" s="11"/>
      <c r="AB1677" s="11"/>
      <c r="AC1677" s="11"/>
      <c r="AD1677" s="11"/>
    </row>
    <row r="1678">
      <c r="A1678" s="10"/>
      <c r="B1678" s="10"/>
      <c r="C1678" s="10"/>
      <c r="D1678" s="10"/>
      <c r="E1678" s="10"/>
      <c r="F1678" s="11"/>
      <c r="G1678" s="11"/>
      <c r="H1678" s="11"/>
      <c r="I1678" s="11"/>
      <c r="J1678" s="11" t="str">
        <f>IFERROR(__xludf.DUMMYFUNCTION("IFERROR(FILTER(Stats!$F:$Z,(Stats!$A:$A=$A1678)*(Stats!$B:$B=$B1678)))"),"#REF!")</f>
        <v>#REF!</v>
      </c>
      <c r="K1678" s="11"/>
      <c r="L1678" s="12"/>
      <c r="M1678" s="11"/>
      <c r="N1678" s="11"/>
      <c r="O1678" s="13"/>
      <c r="P1678" s="14"/>
      <c r="Q1678" s="13"/>
      <c r="R1678" s="13"/>
      <c r="S1678" s="15"/>
      <c r="T1678" s="16"/>
      <c r="U1678" s="16"/>
      <c r="V1678" s="16"/>
      <c r="W1678" s="16"/>
      <c r="X1678" s="16"/>
      <c r="Y1678" s="11"/>
      <c r="Z1678" s="11"/>
      <c r="AA1678" s="11"/>
      <c r="AB1678" s="11"/>
      <c r="AC1678" s="11"/>
      <c r="AD1678" s="11"/>
    </row>
    <row r="1679">
      <c r="A1679" s="10"/>
      <c r="B1679" s="10"/>
      <c r="C1679" s="10"/>
      <c r="D1679" s="10"/>
      <c r="E1679" s="10"/>
      <c r="F1679" s="11"/>
      <c r="G1679" s="11"/>
      <c r="H1679" s="11"/>
      <c r="I1679" s="11"/>
      <c r="J1679" s="11" t="str">
        <f>IFERROR(__xludf.DUMMYFUNCTION("IFERROR(FILTER(Stats!$F:$Z,(Stats!$A:$A=$A1679)*(Stats!$B:$B=$B1679)))"),"#REF!")</f>
        <v>#REF!</v>
      </c>
      <c r="K1679" s="11"/>
      <c r="L1679" s="12"/>
      <c r="M1679" s="11"/>
      <c r="N1679" s="11"/>
      <c r="O1679" s="13"/>
      <c r="P1679" s="14"/>
      <c r="Q1679" s="13"/>
      <c r="R1679" s="13"/>
      <c r="S1679" s="15"/>
      <c r="T1679" s="16"/>
      <c r="U1679" s="16"/>
      <c r="V1679" s="16"/>
      <c r="W1679" s="16"/>
      <c r="X1679" s="16"/>
      <c r="Y1679" s="11"/>
      <c r="Z1679" s="11"/>
      <c r="AA1679" s="11"/>
      <c r="AB1679" s="11"/>
      <c r="AC1679" s="11"/>
      <c r="AD1679" s="11"/>
    </row>
    <row r="1680">
      <c r="A1680" s="10"/>
      <c r="B1680" s="10"/>
      <c r="C1680" s="10"/>
      <c r="D1680" s="10"/>
      <c r="E1680" s="10"/>
      <c r="F1680" s="11"/>
      <c r="G1680" s="11"/>
      <c r="H1680" s="11"/>
      <c r="I1680" s="11"/>
      <c r="J1680" s="11" t="str">
        <f>IFERROR(__xludf.DUMMYFUNCTION("IFERROR(FILTER(Stats!$F:$Z,(Stats!$A:$A=$A1680)*(Stats!$B:$B=$B1680)))"),"#REF!")</f>
        <v>#REF!</v>
      </c>
      <c r="K1680" s="11"/>
      <c r="L1680" s="12"/>
      <c r="M1680" s="11"/>
      <c r="N1680" s="11"/>
      <c r="O1680" s="13"/>
      <c r="P1680" s="14"/>
      <c r="Q1680" s="13"/>
      <c r="R1680" s="13"/>
      <c r="S1680" s="15"/>
      <c r="T1680" s="16"/>
      <c r="U1680" s="16"/>
      <c r="V1680" s="16"/>
      <c r="W1680" s="16"/>
      <c r="X1680" s="16"/>
      <c r="Y1680" s="11"/>
      <c r="Z1680" s="11"/>
      <c r="AA1680" s="11"/>
      <c r="AB1680" s="11"/>
      <c r="AC1680" s="11"/>
      <c r="AD1680" s="11"/>
    </row>
    <row r="1681">
      <c r="A1681" s="10"/>
      <c r="B1681" s="10"/>
      <c r="C1681" s="10"/>
      <c r="D1681" s="10"/>
      <c r="E1681" s="10"/>
      <c r="F1681" s="11"/>
      <c r="G1681" s="11"/>
      <c r="H1681" s="11"/>
      <c r="I1681" s="11"/>
      <c r="J1681" s="11" t="str">
        <f>IFERROR(__xludf.DUMMYFUNCTION("IFERROR(FILTER(Stats!$F:$Z,(Stats!$A:$A=$A1681)*(Stats!$B:$B=$B1681)))"),"#REF!")</f>
        <v>#REF!</v>
      </c>
      <c r="K1681" s="11"/>
      <c r="L1681" s="12"/>
      <c r="M1681" s="11"/>
      <c r="N1681" s="11"/>
      <c r="O1681" s="13"/>
      <c r="P1681" s="14"/>
      <c r="Q1681" s="13"/>
      <c r="R1681" s="13"/>
      <c r="S1681" s="15"/>
      <c r="T1681" s="16"/>
      <c r="U1681" s="16"/>
      <c r="V1681" s="16"/>
      <c r="W1681" s="16"/>
      <c r="X1681" s="16"/>
      <c r="Y1681" s="11"/>
      <c r="Z1681" s="11"/>
      <c r="AA1681" s="11"/>
      <c r="AB1681" s="11"/>
      <c r="AC1681" s="11"/>
      <c r="AD1681" s="11"/>
    </row>
    <row r="1682">
      <c r="A1682" s="10"/>
      <c r="B1682" s="10"/>
      <c r="C1682" s="10"/>
      <c r="D1682" s="10"/>
      <c r="E1682" s="10"/>
      <c r="F1682" s="11"/>
      <c r="G1682" s="11"/>
      <c r="H1682" s="11"/>
      <c r="I1682" s="11"/>
      <c r="J1682" s="11" t="str">
        <f>IFERROR(__xludf.DUMMYFUNCTION("IFERROR(FILTER(Stats!$F:$Z,(Stats!$A:$A=$A1682)*(Stats!$B:$B=$B1682)))"),"#REF!")</f>
        <v>#REF!</v>
      </c>
      <c r="K1682" s="11"/>
      <c r="L1682" s="12"/>
      <c r="M1682" s="11"/>
      <c r="N1682" s="11"/>
      <c r="O1682" s="13"/>
      <c r="P1682" s="14"/>
      <c r="Q1682" s="13"/>
      <c r="R1682" s="13"/>
      <c r="S1682" s="15"/>
      <c r="T1682" s="16"/>
      <c r="U1682" s="16"/>
      <c r="V1682" s="16"/>
      <c r="W1682" s="16"/>
      <c r="X1682" s="16"/>
      <c r="Y1682" s="11"/>
      <c r="Z1682" s="11"/>
      <c r="AA1682" s="11"/>
      <c r="AB1682" s="11"/>
      <c r="AC1682" s="11"/>
      <c r="AD1682" s="11"/>
    </row>
    <row r="1683">
      <c r="A1683" s="10"/>
      <c r="B1683" s="10"/>
      <c r="C1683" s="10"/>
      <c r="D1683" s="10"/>
      <c r="E1683" s="10"/>
      <c r="F1683" s="11"/>
      <c r="G1683" s="11"/>
      <c r="H1683" s="11"/>
      <c r="I1683" s="11"/>
      <c r="J1683" s="11" t="str">
        <f>IFERROR(__xludf.DUMMYFUNCTION("IFERROR(FILTER(Stats!$F:$Z,(Stats!$A:$A=$A1683)*(Stats!$B:$B=$B1683)))"),"#REF!")</f>
        <v>#REF!</v>
      </c>
      <c r="K1683" s="11"/>
      <c r="L1683" s="12"/>
      <c r="M1683" s="11"/>
      <c r="N1683" s="11"/>
      <c r="O1683" s="13"/>
      <c r="P1683" s="14"/>
      <c r="Q1683" s="13"/>
      <c r="R1683" s="13"/>
      <c r="S1683" s="15"/>
      <c r="T1683" s="16"/>
      <c r="U1683" s="16"/>
      <c r="V1683" s="16"/>
      <c r="W1683" s="16"/>
      <c r="X1683" s="16"/>
      <c r="Y1683" s="11"/>
      <c r="Z1683" s="11"/>
      <c r="AA1683" s="11"/>
      <c r="AB1683" s="11"/>
      <c r="AC1683" s="11"/>
      <c r="AD1683" s="11"/>
    </row>
    <row r="1684">
      <c r="A1684" s="10"/>
      <c r="B1684" s="10"/>
      <c r="C1684" s="10"/>
      <c r="D1684" s="10"/>
      <c r="E1684" s="10"/>
      <c r="F1684" s="11"/>
      <c r="G1684" s="11"/>
      <c r="H1684" s="11"/>
      <c r="I1684" s="11"/>
      <c r="J1684" s="11" t="str">
        <f>IFERROR(__xludf.DUMMYFUNCTION("IFERROR(FILTER(Stats!$F:$Z,(Stats!$A:$A=$A1684)*(Stats!$B:$B=$B1684)))"),"#REF!")</f>
        <v>#REF!</v>
      </c>
      <c r="K1684" s="11"/>
      <c r="L1684" s="12"/>
      <c r="M1684" s="11"/>
      <c r="N1684" s="11"/>
      <c r="O1684" s="13"/>
      <c r="P1684" s="14"/>
      <c r="Q1684" s="13"/>
      <c r="R1684" s="13"/>
      <c r="S1684" s="15"/>
      <c r="T1684" s="16"/>
      <c r="U1684" s="16"/>
      <c r="V1684" s="16"/>
      <c r="W1684" s="16"/>
      <c r="X1684" s="16"/>
      <c r="Y1684" s="11"/>
      <c r="Z1684" s="11"/>
      <c r="AA1684" s="11"/>
      <c r="AB1684" s="11"/>
      <c r="AC1684" s="11"/>
      <c r="AD1684" s="11"/>
    </row>
    <row r="1685">
      <c r="A1685" s="10"/>
      <c r="B1685" s="10"/>
      <c r="C1685" s="10"/>
      <c r="D1685" s="10"/>
      <c r="E1685" s="10"/>
      <c r="F1685" s="11"/>
      <c r="G1685" s="11"/>
      <c r="H1685" s="11"/>
      <c r="I1685" s="11"/>
      <c r="J1685" s="11" t="str">
        <f>IFERROR(__xludf.DUMMYFUNCTION("IFERROR(FILTER(Stats!$F:$Z,(Stats!$A:$A=$A1685)*(Stats!$B:$B=$B1685)))"),"#REF!")</f>
        <v>#REF!</v>
      </c>
      <c r="K1685" s="11"/>
      <c r="L1685" s="12"/>
      <c r="M1685" s="11"/>
      <c r="N1685" s="11"/>
      <c r="O1685" s="13"/>
      <c r="P1685" s="14"/>
      <c r="Q1685" s="13"/>
      <c r="R1685" s="13"/>
      <c r="S1685" s="15"/>
      <c r="T1685" s="16"/>
      <c r="U1685" s="16"/>
      <c r="V1685" s="16"/>
      <c r="W1685" s="16"/>
      <c r="X1685" s="16"/>
      <c r="Y1685" s="11"/>
      <c r="Z1685" s="11"/>
      <c r="AA1685" s="11"/>
      <c r="AB1685" s="11"/>
      <c r="AC1685" s="11"/>
      <c r="AD1685" s="11"/>
    </row>
    <row r="1686">
      <c r="A1686" s="10"/>
      <c r="B1686" s="10"/>
      <c r="C1686" s="10"/>
      <c r="D1686" s="10"/>
      <c r="E1686" s="10"/>
      <c r="F1686" s="11"/>
      <c r="G1686" s="11"/>
      <c r="H1686" s="11"/>
      <c r="I1686" s="11"/>
      <c r="J1686" s="11" t="str">
        <f>IFERROR(__xludf.DUMMYFUNCTION("IFERROR(FILTER(Stats!$F:$Z,(Stats!$A:$A=$A1686)*(Stats!$B:$B=$B1686)))"),"#REF!")</f>
        <v>#REF!</v>
      </c>
      <c r="K1686" s="11"/>
      <c r="L1686" s="12"/>
      <c r="M1686" s="11"/>
      <c r="N1686" s="11"/>
      <c r="O1686" s="13"/>
      <c r="P1686" s="14"/>
      <c r="Q1686" s="13"/>
      <c r="R1686" s="13"/>
      <c r="S1686" s="15"/>
      <c r="T1686" s="16"/>
      <c r="U1686" s="16"/>
      <c r="V1686" s="16"/>
      <c r="W1686" s="16"/>
      <c r="X1686" s="16"/>
      <c r="Y1686" s="11"/>
      <c r="Z1686" s="11"/>
      <c r="AA1686" s="11"/>
      <c r="AB1686" s="11"/>
      <c r="AC1686" s="11"/>
      <c r="AD1686" s="11"/>
    </row>
    <row r="1687">
      <c r="A1687" s="10"/>
      <c r="B1687" s="10"/>
      <c r="C1687" s="10"/>
      <c r="D1687" s="10"/>
      <c r="E1687" s="10"/>
      <c r="F1687" s="11"/>
      <c r="G1687" s="11"/>
      <c r="H1687" s="11"/>
      <c r="I1687" s="11"/>
      <c r="J1687" s="11" t="str">
        <f>IFERROR(__xludf.DUMMYFUNCTION("IFERROR(FILTER(Stats!$F:$Z,(Stats!$A:$A=$A1687)*(Stats!$B:$B=$B1687)))"),"#REF!")</f>
        <v>#REF!</v>
      </c>
      <c r="K1687" s="11"/>
      <c r="L1687" s="12"/>
      <c r="M1687" s="11"/>
      <c r="N1687" s="11"/>
      <c r="O1687" s="13"/>
      <c r="P1687" s="14"/>
      <c r="Q1687" s="13"/>
      <c r="R1687" s="13"/>
      <c r="S1687" s="15"/>
      <c r="T1687" s="16"/>
      <c r="U1687" s="16"/>
      <c r="V1687" s="16"/>
      <c r="W1687" s="16"/>
      <c r="X1687" s="16"/>
      <c r="Y1687" s="11"/>
      <c r="Z1687" s="11"/>
      <c r="AA1687" s="11"/>
      <c r="AB1687" s="11"/>
      <c r="AC1687" s="11"/>
      <c r="AD1687" s="11"/>
    </row>
    <row r="1688">
      <c r="A1688" s="10"/>
      <c r="B1688" s="10"/>
      <c r="C1688" s="10"/>
      <c r="D1688" s="10"/>
      <c r="E1688" s="10"/>
      <c r="F1688" s="11"/>
      <c r="G1688" s="11"/>
      <c r="H1688" s="11"/>
      <c r="I1688" s="11"/>
      <c r="J1688" s="11" t="str">
        <f>IFERROR(__xludf.DUMMYFUNCTION("IFERROR(FILTER(Stats!$F:$Z,(Stats!$A:$A=$A1688)*(Stats!$B:$B=$B1688)))"),"#REF!")</f>
        <v>#REF!</v>
      </c>
      <c r="K1688" s="11"/>
      <c r="L1688" s="12"/>
      <c r="M1688" s="11"/>
      <c r="N1688" s="11"/>
      <c r="O1688" s="13"/>
      <c r="P1688" s="14"/>
      <c r="Q1688" s="13"/>
      <c r="R1688" s="13"/>
      <c r="S1688" s="15"/>
      <c r="T1688" s="16"/>
      <c r="U1688" s="16"/>
      <c r="V1688" s="16"/>
      <c r="W1688" s="16"/>
      <c r="X1688" s="16"/>
      <c r="Y1688" s="11"/>
      <c r="Z1688" s="11"/>
      <c r="AA1688" s="11"/>
      <c r="AB1688" s="11"/>
      <c r="AC1688" s="11"/>
      <c r="AD1688" s="11"/>
    </row>
    <row r="1689">
      <c r="A1689" s="10"/>
      <c r="B1689" s="10"/>
      <c r="C1689" s="10"/>
      <c r="D1689" s="10"/>
      <c r="E1689" s="10"/>
      <c r="F1689" s="11"/>
      <c r="G1689" s="11"/>
      <c r="H1689" s="11"/>
      <c r="I1689" s="11"/>
      <c r="J1689" s="11" t="str">
        <f>IFERROR(__xludf.DUMMYFUNCTION("IFERROR(FILTER(Stats!$F:$Z,(Stats!$A:$A=$A1689)*(Stats!$B:$B=$B1689)))"),"#REF!")</f>
        <v>#REF!</v>
      </c>
      <c r="K1689" s="11"/>
      <c r="L1689" s="12"/>
      <c r="M1689" s="11"/>
      <c r="N1689" s="11"/>
      <c r="O1689" s="13"/>
      <c r="P1689" s="14"/>
      <c r="Q1689" s="13"/>
      <c r="R1689" s="13"/>
      <c r="S1689" s="15"/>
      <c r="T1689" s="16"/>
      <c r="U1689" s="16"/>
      <c r="V1689" s="16"/>
      <c r="W1689" s="16"/>
      <c r="X1689" s="16"/>
      <c r="Y1689" s="11"/>
      <c r="Z1689" s="11"/>
      <c r="AA1689" s="11"/>
      <c r="AB1689" s="11"/>
      <c r="AC1689" s="11"/>
      <c r="AD1689" s="11"/>
    </row>
    <row r="1690">
      <c r="A1690" s="10"/>
      <c r="B1690" s="10"/>
      <c r="C1690" s="10"/>
      <c r="D1690" s="10"/>
      <c r="E1690" s="10"/>
      <c r="F1690" s="11"/>
      <c r="G1690" s="11"/>
      <c r="H1690" s="11"/>
      <c r="I1690" s="11"/>
      <c r="J1690" s="11" t="str">
        <f>IFERROR(__xludf.DUMMYFUNCTION("IFERROR(FILTER(Stats!$F:$Z,(Stats!$A:$A=$A1690)*(Stats!$B:$B=$B1690)))"),"#REF!")</f>
        <v>#REF!</v>
      </c>
      <c r="K1690" s="11"/>
      <c r="L1690" s="12"/>
      <c r="M1690" s="11"/>
      <c r="N1690" s="11"/>
      <c r="O1690" s="13"/>
      <c r="P1690" s="14"/>
      <c r="Q1690" s="13"/>
      <c r="R1690" s="13"/>
      <c r="S1690" s="15"/>
      <c r="T1690" s="16"/>
      <c r="U1690" s="16"/>
      <c r="V1690" s="16"/>
      <c r="W1690" s="16"/>
      <c r="X1690" s="16"/>
      <c r="Y1690" s="11"/>
      <c r="Z1690" s="11"/>
      <c r="AA1690" s="11"/>
      <c r="AB1690" s="11"/>
      <c r="AC1690" s="11"/>
      <c r="AD1690" s="11"/>
    </row>
    <row r="1691">
      <c r="A1691" s="10"/>
      <c r="B1691" s="10"/>
      <c r="C1691" s="10"/>
      <c r="D1691" s="10"/>
      <c r="E1691" s="10"/>
      <c r="F1691" s="11"/>
      <c r="G1691" s="11"/>
      <c r="H1691" s="11"/>
      <c r="I1691" s="11"/>
      <c r="J1691" s="11" t="str">
        <f>IFERROR(__xludf.DUMMYFUNCTION("IFERROR(FILTER(Stats!$F:$Z,(Stats!$A:$A=$A1691)*(Stats!$B:$B=$B1691)))"),"#REF!")</f>
        <v>#REF!</v>
      </c>
      <c r="K1691" s="11"/>
      <c r="L1691" s="12"/>
      <c r="M1691" s="11"/>
      <c r="N1691" s="11"/>
      <c r="O1691" s="13"/>
      <c r="P1691" s="14"/>
      <c r="Q1691" s="13"/>
      <c r="R1691" s="13"/>
      <c r="S1691" s="15"/>
      <c r="T1691" s="16"/>
      <c r="U1691" s="16"/>
      <c r="V1691" s="16"/>
      <c r="W1691" s="16"/>
      <c r="X1691" s="16"/>
      <c r="Y1691" s="11"/>
      <c r="Z1691" s="11"/>
      <c r="AA1691" s="11"/>
      <c r="AB1691" s="11"/>
      <c r="AC1691" s="11"/>
      <c r="AD1691" s="11"/>
    </row>
    <row r="1692">
      <c r="A1692" s="10"/>
      <c r="B1692" s="10"/>
      <c r="C1692" s="10"/>
      <c r="D1692" s="10"/>
      <c r="E1692" s="10"/>
      <c r="F1692" s="11"/>
      <c r="G1692" s="11"/>
      <c r="H1692" s="11"/>
      <c r="I1692" s="11"/>
      <c r="J1692" s="11" t="str">
        <f>IFERROR(__xludf.DUMMYFUNCTION("IFERROR(FILTER(Stats!$F:$Z,(Stats!$A:$A=$A1692)*(Stats!$B:$B=$B1692)))"),"#REF!")</f>
        <v>#REF!</v>
      </c>
      <c r="K1692" s="11"/>
      <c r="L1692" s="12"/>
      <c r="M1692" s="11"/>
      <c r="N1692" s="11"/>
      <c r="O1692" s="13"/>
      <c r="P1692" s="14"/>
      <c r="Q1692" s="13"/>
      <c r="R1692" s="13"/>
      <c r="S1692" s="15"/>
      <c r="T1692" s="16"/>
      <c r="U1692" s="16"/>
      <c r="V1692" s="16"/>
      <c r="W1692" s="16"/>
      <c r="X1692" s="16"/>
      <c r="Y1692" s="11"/>
      <c r="Z1692" s="11"/>
      <c r="AA1692" s="11"/>
      <c r="AB1692" s="11"/>
      <c r="AC1692" s="11"/>
      <c r="AD1692" s="11"/>
    </row>
    <row r="1693">
      <c r="A1693" s="10"/>
      <c r="B1693" s="10"/>
      <c r="C1693" s="10"/>
      <c r="D1693" s="10"/>
      <c r="E1693" s="10"/>
      <c r="F1693" s="11"/>
      <c r="G1693" s="11"/>
      <c r="H1693" s="11"/>
      <c r="I1693" s="11"/>
      <c r="J1693" s="11" t="str">
        <f>IFERROR(__xludf.DUMMYFUNCTION("IFERROR(FILTER(Stats!$F:$Z,(Stats!$A:$A=$A1693)*(Stats!$B:$B=$B1693)))"),"#REF!")</f>
        <v>#REF!</v>
      </c>
      <c r="K1693" s="11"/>
      <c r="L1693" s="12"/>
      <c r="M1693" s="11"/>
      <c r="N1693" s="11"/>
      <c r="O1693" s="13"/>
      <c r="P1693" s="14"/>
      <c r="Q1693" s="13"/>
      <c r="R1693" s="13"/>
      <c r="S1693" s="15"/>
      <c r="T1693" s="16"/>
      <c r="U1693" s="16"/>
      <c r="V1693" s="16"/>
      <c r="W1693" s="16"/>
      <c r="X1693" s="16"/>
      <c r="Y1693" s="11"/>
      <c r="Z1693" s="11"/>
      <c r="AA1693" s="11"/>
      <c r="AB1693" s="11"/>
      <c r="AC1693" s="11"/>
      <c r="AD1693" s="11"/>
    </row>
    <row r="1694">
      <c r="A1694" s="10"/>
      <c r="B1694" s="10"/>
      <c r="C1694" s="10"/>
      <c r="D1694" s="10"/>
      <c r="E1694" s="10"/>
      <c r="F1694" s="11"/>
      <c r="G1694" s="11"/>
      <c r="H1694" s="11"/>
      <c r="I1694" s="11"/>
      <c r="J1694" s="11" t="str">
        <f>IFERROR(__xludf.DUMMYFUNCTION("IFERROR(FILTER(Stats!$F:$Z,(Stats!$A:$A=$A1694)*(Stats!$B:$B=$B1694)))"),"#REF!")</f>
        <v>#REF!</v>
      </c>
      <c r="K1694" s="11"/>
      <c r="L1694" s="12"/>
      <c r="M1694" s="11"/>
      <c r="N1694" s="11"/>
      <c r="O1694" s="13"/>
      <c r="P1694" s="14"/>
      <c r="Q1694" s="13"/>
      <c r="R1694" s="13"/>
      <c r="S1694" s="15"/>
      <c r="T1694" s="16"/>
      <c r="U1694" s="16"/>
      <c r="V1694" s="16"/>
      <c r="W1694" s="16"/>
      <c r="X1694" s="16"/>
      <c r="Y1694" s="11"/>
      <c r="Z1694" s="11"/>
      <c r="AA1694" s="11"/>
      <c r="AB1694" s="11"/>
      <c r="AC1694" s="11"/>
      <c r="AD1694" s="11"/>
    </row>
    <row r="1695">
      <c r="A1695" s="10"/>
      <c r="B1695" s="10"/>
      <c r="C1695" s="10"/>
      <c r="D1695" s="10"/>
      <c r="E1695" s="10"/>
      <c r="F1695" s="11"/>
      <c r="G1695" s="11"/>
      <c r="H1695" s="11"/>
      <c r="I1695" s="11"/>
      <c r="J1695" s="11" t="str">
        <f>IFERROR(__xludf.DUMMYFUNCTION("IFERROR(FILTER(Stats!$F:$Z,(Stats!$A:$A=$A1695)*(Stats!$B:$B=$B1695)))"),"#REF!")</f>
        <v>#REF!</v>
      </c>
      <c r="K1695" s="11"/>
      <c r="L1695" s="12"/>
      <c r="M1695" s="11"/>
      <c r="N1695" s="11"/>
      <c r="O1695" s="13"/>
      <c r="P1695" s="14"/>
      <c r="Q1695" s="13"/>
      <c r="R1695" s="13"/>
      <c r="S1695" s="15"/>
      <c r="T1695" s="16"/>
      <c r="U1695" s="16"/>
      <c r="V1695" s="16"/>
      <c r="W1695" s="16"/>
      <c r="X1695" s="16"/>
      <c r="Y1695" s="11"/>
      <c r="Z1695" s="11"/>
      <c r="AA1695" s="11"/>
      <c r="AB1695" s="11"/>
      <c r="AC1695" s="11"/>
      <c r="AD1695" s="11"/>
    </row>
    <row r="1696">
      <c r="A1696" s="10"/>
      <c r="B1696" s="10"/>
      <c r="C1696" s="10"/>
      <c r="D1696" s="10"/>
      <c r="E1696" s="10"/>
      <c r="F1696" s="11"/>
      <c r="G1696" s="11"/>
      <c r="H1696" s="11"/>
      <c r="I1696" s="11"/>
      <c r="J1696" s="11" t="str">
        <f>IFERROR(__xludf.DUMMYFUNCTION("IFERROR(FILTER(Stats!$F:$Z,(Stats!$A:$A=$A1696)*(Stats!$B:$B=$B1696)))"),"#REF!")</f>
        <v>#REF!</v>
      </c>
      <c r="K1696" s="11"/>
      <c r="L1696" s="12"/>
      <c r="M1696" s="11"/>
      <c r="N1696" s="11"/>
      <c r="O1696" s="13"/>
      <c r="P1696" s="14"/>
      <c r="Q1696" s="13"/>
      <c r="R1696" s="13"/>
      <c r="S1696" s="15"/>
      <c r="T1696" s="16"/>
      <c r="U1696" s="16"/>
      <c r="V1696" s="16"/>
      <c r="W1696" s="16"/>
      <c r="X1696" s="16"/>
      <c r="Y1696" s="11"/>
      <c r="Z1696" s="11"/>
      <c r="AA1696" s="11"/>
      <c r="AB1696" s="11"/>
      <c r="AC1696" s="11"/>
      <c r="AD1696" s="11"/>
    </row>
    <row r="1697">
      <c r="A1697" s="10"/>
      <c r="B1697" s="10"/>
      <c r="C1697" s="10"/>
      <c r="D1697" s="10"/>
      <c r="E1697" s="10"/>
      <c r="F1697" s="11"/>
      <c r="G1697" s="11"/>
      <c r="H1697" s="11"/>
      <c r="I1697" s="11"/>
      <c r="J1697" s="11" t="str">
        <f>IFERROR(__xludf.DUMMYFUNCTION("IFERROR(FILTER(Stats!$F:$Z,(Stats!$A:$A=$A1697)*(Stats!$B:$B=$B1697)))"),"#REF!")</f>
        <v>#REF!</v>
      </c>
      <c r="K1697" s="11"/>
      <c r="L1697" s="12"/>
      <c r="M1697" s="11"/>
      <c r="N1697" s="11"/>
      <c r="O1697" s="13"/>
      <c r="P1697" s="14"/>
      <c r="Q1697" s="13"/>
      <c r="R1697" s="13"/>
      <c r="S1697" s="15"/>
      <c r="T1697" s="16"/>
      <c r="U1697" s="16"/>
      <c r="V1697" s="16"/>
      <c r="W1697" s="16"/>
      <c r="X1697" s="16"/>
      <c r="Y1697" s="11"/>
      <c r="Z1697" s="11"/>
      <c r="AA1697" s="11"/>
      <c r="AB1697" s="11"/>
      <c r="AC1697" s="11"/>
      <c r="AD1697" s="11"/>
    </row>
    <row r="1698">
      <c r="A1698" s="10"/>
      <c r="B1698" s="10"/>
      <c r="C1698" s="10"/>
      <c r="D1698" s="10"/>
      <c r="E1698" s="10"/>
      <c r="F1698" s="11"/>
      <c r="G1698" s="11"/>
      <c r="H1698" s="11"/>
      <c r="I1698" s="11"/>
      <c r="J1698" s="11" t="str">
        <f>IFERROR(__xludf.DUMMYFUNCTION("IFERROR(FILTER(Stats!$F:$Z,(Stats!$A:$A=$A1698)*(Stats!$B:$B=$B1698)))"),"#REF!")</f>
        <v>#REF!</v>
      </c>
      <c r="K1698" s="11"/>
      <c r="L1698" s="12"/>
      <c r="M1698" s="11"/>
      <c r="N1698" s="11"/>
      <c r="O1698" s="13"/>
      <c r="P1698" s="14"/>
      <c r="Q1698" s="13"/>
      <c r="R1698" s="13"/>
      <c r="S1698" s="15"/>
      <c r="T1698" s="16"/>
      <c r="U1698" s="16"/>
      <c r="V1698" s="16"/>
      <c r="W1698" s="16"/>
      <c r="X1698" s="16"/>
      <c r="Y1698" s="11"/>
      <c r="Z1698" s="11"/>
      <c r="AA1698" s="11"/>
      <c r="AB1698" s="11"/>
      <c r="AC1698" s="11"/>
      <c r="AD1698" s="11"/>
    </row>
    <row r="1699">
      <c r="A1699" s="10"/>
      <c r="B1699" s="10"/>
      <c r="C1699" s="10"/>
      <c r="D1699" s="10"/>
      <c r="E1699" s="10"/>
      <c r="F1699" s="11"/>
      <c r="G1699" s="11"/>
      <c r="H1699" s="11"/>
      <c r="I1699" s="11"/>
      <c r="J1699" s="11" t="str">
        <f>IFERROR(__xludf.DUMMYFUNCTION("IFERROR(FILTER(Stats!$F:$Z,(Stats!$A:$A=$A1699)*(Stats!$B:$B=$B1699)))"),"#REF!")</f>
        <v>#REF!</v>
      </c>
      <c r="K1699" s="11"/>
      <c r="L1699" s="12"/>
      <c r="M1699" s="11"/>
      <c r="N1699" s="11"/>
      <c r="O1699" s="13"/>
      <c r="P1699" s="14"/>
      <c r="Q1699" s="13"/>
      <c r="R1699" s="13"/>
      <c r="S1699" s="15"/>
      <c r="T1699" s="16"/>
      <c r="U1699" s="16"/>
      <c r="V1699" s="16"/>
      <c r="W1699" s="16"/>
      <c r="X1699" s="16"/>
      <c r="Y1699" s="11"/>
      <c r="Z1699" s="11"/>
      <c r="AA1699" s="11"/>
      <c r="AB1699" s="11"/>
      <c r="AC1699" s="11"/>
      <c r="AD1699" s="11"/>
    </row>
    <row r="1700">
      <c r="A1700" s="10"/>
      <c r="B1700" s="10"/>
      <c r="C1700" s="10"/>
      <c r="D1700" s="10"/>
      <c r="E1700" s="10"/>
      <c r="F1700" s="11"/>
      <c r="G1700" s="11"/>
      <c r="H1700" s="11"/>
      <c r="I1700" s="11"/>
      <c r="J1700" s="11" t="str">
        <f>IFERROR(__xludf.DUMMYFUNCTION("IFERROR(FILTER(Stats!$F:$Z,(Stats!$A:$A=$A1700)*(Stats!$B:$B=$B1700)))"),"#REF!")</f>
        <v>#REF!</v>
      </c>
      <c r="K1700" s="11"/>
      <c r="L1700" s="12"/>
      <c r="M1700" s="11"/>
      <c r="N1700" s="11"/>
      <c r="O1700" s="13"/>
      <c r="P1700" s="14"/>
      <c r="Q1700" s="13"/>
      <c r="R1700" s="13"/>
      <c r="S1700" s="15"/>
      <c r="T1700" s="16"/>
      <c r="U1700" s="16"/>
      <c r="V1700" s="16"/>
      <c r="W1700" s="16"/>
      <c r="X1700" s="16"/>
      <c r="Y1700" s="11"/>
      <c r="Z1700" s="11"/>
      <c r="AA1700" s="11"/>
      <c r="AB1700" s="11"/>
      <c r="AC1700" s="11"/>
      <c r="AD1700" s="11"/>
    </row>
    <row r="1701">
      <c r="A1701" s="10"/>
      <c r="B1701" s="10"/>
      <c r="C1701" s="10"/>
      <c r="D1701" s="10"/>
      <c r="E1701" s="10"/>
      <c r="F1701" s="11"/>
      <c r="G1701" s="11"/>
      <c r="H1701" s="11"/>
      <c r="I1701" s="11"/>
      <c r="J1701" s="11" t="str">
        <f>IFERROR(__xludf.DUMMYFUNCTION("IFERROR(FILTER(Stats!$F:$Z,(Stats!$A:$A=$A1701)*(Stats!$B:$B=$B1701)))"),"#REF!")</f>
        <v>#REF!</v>
      </c>
      <c r="K1701" s="11"/>
      <c r="L1701" s="12"/>
      <c r="M1701" s="11"/>
      <c r="N1701" s="11"/>
      <c r="O1701" s="13"/>
      <c r="P1701" s="14"/>
      <c r="Q1701" s="13"/>
      <c r="R1701" s="13"/>
      <c r="S1701" s="15"/>
      <c r="T1701" s="16"/>
      <c r="U1701" s="16"/>
      <c r="V1701" s="16"/>
      <c r="W1701" s="16"/>
      <c r="X1701" s="16"/>
      <c r="Y1701" s="11"/>
      <c r="Z1701" s="11"/>
      <c r="AA1701" s="11"/>
      <c r="AB1701" s="11"/>
      <c r="AC1701" s="11"/>
      <c r="AD1701" s="11"/>
    </row>
    <row r="1702">
      <c r="A1702" s="10"/>
      <c r="B1702" s="10"/>
      <c r="C1702" s="10"/>
      <c r="D1702" s="10"/>
      <c r="E1702" s="10"/>
      <c r="F1702" s="11"/>
      <c r="G1702" s="11"/>
      <c r="H1702" s="11"/>
      <c r="I1702" s="11"/>
      <c r="J1702" s="11" t="str">
        <f>IFERROR(__xludf.DUMMYFUNCTION("IFERROR(FILTER(Stats!$F:$Z,(Stats!$A:$A=$A1702)*(Stats!$B:$B=$B1702)))"),"#REF!")</f>
        <v>#REF!</v>
      </c>
      <c r="K1702" s="11"/>
      <c r="L1702" s="12"/>
      <c r="M1702" s="11"/>
      <c r="N1702" s="11"/>
      <c r="O1702" s="13"/>
      <c r="P1702" s="14"/>
      <c r="Q1702" s="13"/>
      <c r="R1702" s="13"/>
      <c r="S1702" s="15"/>
      <c r="T1702" s="16"/>
      <c r="U1702" s="16"/>
      <c r="V1702" s="16"/>
      <c r="W1702" s="16"/>
      <c r="X1702" s="16"/>
      <c r="Y1702" s="11"/>
      <c r="Z1702" s="11"/>
      <c r="AA1702" s="11"/>
      <c r="AB1702" s="11"/>
      <c r="AC1702" s="11"/>
      <c r="AD1702" s="11"/>
    </row>
    <row r="1703">
      <c r="A1703" s="10"/>
      <c r="B1703" s="10"/>
      <c r="C1703" s="10"/>
      <c r="D1703" s="10"/>
      <c r="E1703" s="10"/>
      <c r="F1703" s="11"/>
      <c r="G1703" s="11"/>
      <c r="H1703" s="11"/>
      <c r="I1703" s="11"/>
      <c r="J1703" s="11" t="str">
        <f>IFERROR(__xludf.DUMMYFUNCTION("IFERROR(FILTER(Stats!$F:$Z,(Stats!$A:$A=$A1703)*(Stats!$B:$B=$B1703)))"),"#REF!")</f>
        <v>#REF!</v>
      </c>
      <c r="K1703" s="11"/>
      <c r="L1703" s="12"/>
      <c r="M1703" s="11"/>
      <c r="N1703" s="11"/>
      <c r="O1703" s="13"/>
      <c r="P1703" s="14"/>
      <c r="Q1703" s="13"/>
      <c r="R1703" s="13"/>
      <c r="S1703" s="15"/>
      <c r="T1703" s="16"/>
      <c r="U1703" s="16"/>
      <c r="V1703" s="16"/>
      <c r="W1703" s="16"/>
      <c r="X1703" s="16"/>
      <c r="Y1703" s="11"/>
      <c r="Z1703" s="11"/>
      <c r="AA1703" s="11"/>
      <c r="AB1703" s="11"/>
      <c r="AC1703" s="11"/>
      <c r="AD1703" s="11"/>
    </row>
    <row r="1704">
      <c r="A1704" s="10"/>
      <c r="B1704" s="10"/>
      <c r="C1704" s="10"/>
      <c r="D1704" s="10"/>
      <c r="E1704" s="10"/>
      <c r="F1704" s="11"/>
      <c r="G1704" s="11"/>
      <c r="H1704" s="11"/>
      <c r="I1704" s="11"/>
      <c r="J1704" s="11" t="str">
        <f>IFERROR(__xludf.DUMMYFUNCTION("IFERROR(FILTER(Stats!$F:$Z,(Stats!$A:$A=$A1704)*(Stats!$B:$B=$B1704)))"),"#REF!")</f>
        <v>#REF!</v>
      </c>
      <c r="K1704" s="11"/>
      <c r="L1704" s="12"/>
      <c r="M1704" s="11"/>
      <c r="N1704" s="11"/>
      <c r="O1704" s="13"/>
      <c r="P1704" s="14"/>
      <c r="Q1704" s="13"/>
      <c r="R1704" s="13"/>
      <c r="S1704" s="15"/>
      <c r="T1704" s="16"/>
      <c r="U1704" s="16"/>
      <c r="V1704" s="16"/>
      <c r="W1704" s="16"/>
      <c r="X1704" s="16"/>
      <c r="Y1704" s="11"/>
      <c r="Z1704" s="11"/>
      <c r="AA1704" s="11"/>
      <c r="AB1704" s="11"/>
      <c r="AC1704" s="11"/>
      <c r="AD1704" s="11"/>
    </row>
    <row r="1705">
      <c r="A1705" s="10"/>
      <c r="B1705" s="10"/>
      <c r="C1705" s="10"/>
      <c r="D1705" s="10"/>
      <c r="E1705" s="10"/>
      <c r="F1705" s="11"/>
      <c r="G1705" s="11"/>
      <c r="H1705" s="11"/>
      <c r="I1705" s="11"/>
      <c r="J1705" s="11" t="str">
        <f>IFERROR(__xludf.DUMMYFUNCTION("IFERROR(FILTER(Stats!$F:$Z,(Stats!$A:$A=$A1705)*(Stats!$B:$B=$B1705)))"),"#REF!")</f>
        <v>#REF!</v>
      </c>
      <c r="K1705" s="11"/>
      <c r="L1705" s="12"/>
      <c r="M1705" s="11"/>
      <c r="N1705" s="11"/>
      <c r="O1705" s="13"/>
      <c r="P1705" s="14"/>
      <c r="Q1705" s="13"/>
      <c r="R1705" s="13"/>
      <c r="S1705" s="15"/>
      <c r="T1705" s="16"/>
      <c r="U1705" s="16"/>
      <c r="V1705" s="16"/>
      <c r="W1705" s="16"/>
      <c r="X1705" s="16"/>
      <c r="Y1705" s="11"/>
      <c r="Z1705" s="11"/>
      <c r="AA1705" s="11"/>
      <c r="AB1705" s="11"/>
      <c r="AC1705" s="11"/>
      <c r="AD1705" s="11"/>
    </row>
    <row r="1706">
      <c r="A1706" s="10"/>
      <c r="B1706" s="10"/>
      <c r="C1706" s="10"/>
      <c r="D1706" s="10"/>
      <c r="E1706" s="10"/>
      <c r="F1706" s="11"/>
      <c r="G1706" s="11"/>
      <c r="H1706" s="11"/>
      <c r="I1706" s="11"/>
      <c r="J1706" s="11" t="str">
        <f>IFERROR(__xludf.DUMMYFUNCTION("IFERROR(FILTER(Stats!$F:$Z,(Stats!$A:$A=$A1706)*(Stats!$B:$B=$B1706)))"),"#REF!")</f>
        <v>#REF!</v>
      </c>
      <c r="K1706" s="11"/>
      <c r="L1706" s="12"/>
      <c r="M1706" s="11"/>
      <c r="N1706" s="11"/>
      <c r="O1706" s="13"/>
      <c r="P1706" s="14"/>
      <c r="Q1706" s="13"/>
      <c r="R1706" s="13"/>
      <c r="S1706" s="15"/>
      <c r="T1706" s="16"/>
      <c r="U1706" s="16"/>
      <c r="V1706" s="16"/>
      <c r="W1706" s="16"/>
      <c r="X1706" s="16"/>
      <c r="Y1706" s="11"/>
      <c r="Z1706" s="11"/>
      <c r="AA1706" s="11"/>
      <c r="AB1706" s="11"/>
      <c r="AC1706" s="11"/>
      <c r="AD1706" s="11"/>
    </row>
    <row r="1707">
      <c r="A1707" s="10"/>
      <c r="B1707" s="10"/>
      <c r="C1707" s="10"/>
      <c r="D1707" s="10"/>
      <c r="E1707" s="10"/>
      <c r="F1707" s="11"/>
      <c r="G1707" s="11"/>
      <c r="H1707" s="11"/>
      <c r="I1707" s="11"/>
      <c r="J1707" s="11" t="str">
        <f>IFERROR(__xludf.DUMMYFUNCTION("IFERROR(FILTER(Stats!$F:$Z,(Stats!$A:$A=$A1707)*(Stats!$B:$B=$B1707)))"),"#REF!")</f>
        <v>#REF!</v>
      </c>
      <c r="K1707" s="11"/>
      <c r="L1707" s="12"/>
      <c r="M1707" s="11"/>
      <c r="N1707" s="11"/>
      <c r="O1707" s="13"/>
      <c r="P1707" s="14"/>
      <c r="Q1707" s="13"/>
      <c r="R1707" s="13"/>
      <c r="S1707" s="15"/>
      <c r="T1707" s="16"/>
      <c r="U1707" s="16"/>
      <c r="V1707" s="16"/>
      <c r="W1707" s="16"/>
      <c r="X1707" s="16"/>
      <c r="Y1707" s="11"/>
      <c r="Z1707" s="11"/>
      <c r="AA1707" s="11"/>
      <c r="AB1707" s="11"/>
      <c r="AC1707" s="11"/>
      <c r="AD1707" s="11"/>
    </row>
    <row r="1708">
      <c r="A1708" s="10"/>
      <c r="B1708" s="10"/>
      <c r="C1708" s="10"/>
      <c r="D1708" s="10"/>
      <c r="E1708" s="10"/>
      <c r="F1708" s="11"/>
      <c r="G1708" s="11"/>
      <c r="H1708" s="11"/>
      <c r="I1708" s="11"/>
      <c r="J1708" s="11" t="str">
        <f>IFERROR(__xludf.DUMMYFUNCTION("IFERROR(FILTER(Stats!$F:$Z,(Stats!$A:$A=$A1708)*(Stats!$B:$B=$B1708)))"),"#REF!")</f>
        <v>#REF!</v>
      </c>
      <c r="K1708" s="11"/>
      <c r="L1708" s="12"/>
      <c r="M1708" s="11"/>
      <c r="N1708" s="11"/>
      <c r="O1708" s="13"/>
      <c r="P1708" s="14"/>
      <c r="Q1708" s="13"/>
      <c r="R1708" s="13"/>
      <c r="S1708" s="15"/>
      <c r="T1708" s="16"/>
      <c r="U1708" s="16"/>
      <c r="V1708" s="16"/>
      <c r="W1708" s="16"/>
      <c r="X1708" s="16"/>
      <c r="Y1708" s="11"/>
      <c r="Z1708" s="11"/>
      <c r="AA1708" s="11"/>
      <c r="AB1708" s="11"/>
      <c r="AC1708" s="11"/>
      <c r="AD1708" s="11"/>
    </row>
    <row r="1709">
      <c r="A1709" s="10"/>
      <c r="B1709" s="10"/>
      <c r="C1709" s="10"/>
      <c r="D1709" s="10"/>
      <c r="E1709" s="10"/>
      <c r="F1709" s="11"/>
      <c r="G1709" s="11"/>
      <c r="H1709" s="11"/>
      <c r="I1709" s="11"/>
      <c r="J1709" s="11" t="str">
        <f>IFERROR(__xludf.DUMMYFUNCTION("IFERROR(FILTER(Stats!$F:$Z,(Stats!$A:$A=$A1709)*(Stats!$B:$B=$B1709)))"),"#REF!")</f>
        <v>#REF!</v>
      </c>
      <c r="K1709" s="11"/>
      <c r="L1709" s="12"/>
      <c r="M1709" s="11"/>
      <c r="N1709" s="11"/>
      <c r="O1709" s="13"/>
      <c r="P1709" s="14"/>
      <c r="Q1709" s="13"/>
      <c r="R1709" s="13"/>
      <c r="S1709" s="15"/>
      <c r="T1709" s="16"/>
      <c r="U1709" s="16"/>
      <c r="V1709" s="16"/>
      <c r="W1709" s="16"/>
      <c r="X1709" s="16"/>
      <c r="Y1709" s="11"/>
      <c r="Z1709" s="11"/>
      <c r="AA1709" s="11"/>
      <c r="AB1709" s="11"/>
      <c r="AC1709" s="11"/>
      <c r="AD1709" s="11"/>
    </row>
    <row r="1710">
      <c r="A1710" s="10"/>
      <c r="B1710" s="10"/>
      <c r="C1710" s="10"/>
      <c r="D1710" s="10"/>
      <c r="E1710" s="10"/>
      <c r="F1710" s="11"/>
      <c r="G1710" s="11"/>
      <c r="H1710" s="11"/>
      <c r="I1710" s="11"/>
      <c r="J1710" s="11" t="str">
        <f>IFERROR(__xludf.DUMMYFUNCTION("IFERROR(FILTER(Stats!$F:$Z,(Stats!$A:$A=$A1710)*(Stats!$B:$B=$B1710)))"),"#REF!")</f>
        <v>#REF!</v>
      </c>
      <c r="K1710" s="11"/>
      <c r="L1710" s="12"/>
      <c r="M1710" s="11"/>
      <c r="N1710" s="11"/>
      <c r="O1710" s="13"/>
      <c r="P1710" s="14"/>
      <c r="Q1710" s="13"/>
      <c r="R1710" s="13"/>
      <c r="S1710" s="15"/>
      <c r="T1710" s="16"/>
      <c r="U1710" s="16"/>
      <c r="V1710" s="16"/>
      <c r="W1710" s="16"/>
      <c r="X1710" s="16"/>
      <c r="Y1710" s="11"/>
      <c r="Z1710" s="11"/>
      <c r="AA1710" s="11"/>
      <c r="AB1710" s="11"/>
      <c r="AC1710" s="11"/>
      <c r="AD1710" s="11"/>
    </row>
    <row r="1711">
      <c r="A1711" s="10"/>
      <c r="B1711" s="10"/>
      <c r="C1711" s="10"/>
      <c r="D1711" s="10"/>
      <c r="E1711" s="10"/>
      <c r="F1711" s="11"/>
      <c r="G1711" s="11"/>
      <c r="H1711" s="11"/>
      <c r="I1711" s="11"/>
      <c r="J1711" s="11" t="str">
        <f>IFERROR(__xludf.DUMMYFUNCTION("IFERROR(FILTER(Stats!$F:$Z,(Stats!$A:$A=$A1711)*(Stats!$B:$B=$B1711)))"),"#REF!")</f>
        <v>#REF!</v>
      </c>
      <c r="K1711" s="11"/>
      <c r="L1711" s="12"/>
      <c r="M1711" s="11"/>
      <c r="N1711" s="11"/>
      <c r="O1711" s="13"/>
      <c r="P1711" s="14"/>
      <c r="Q1711" s="13"/>
      <c r="R1711" s="13"/>
      <c r="S1711" s="15"/>
      <c r="T1711" s="16"/>
      <c r="U1711" s="16"/>
      <c r="V1711" s="16"/>
      <c r="W1711" s="16"/>
      <c r="X1711" s="16"/>
      <c r="Y1711" s="11"/>
      <c r="Z1711" s="11"/>
      <c r="AA1711" s="11"/>
      <c r="AB1711" s="11"/>
      <c r="AC1711" s="11"/>
      <c r="AD1711" s="11"/>
    </row>
    <row r="1712">
      <c r="A1712" s="10"/>
      <c r="B1712" s="10"/>
      <c r="C1712" s="10"/>
      <c r="D1712" s="10"/>
      <c r="E1712" s="10"/>
      <c r="F1712" s="11"/>
      <c r="G1712" s="11"/>
      <c r="H1712" s="11"/>
      <c r="I1712" s="11"/>
      <c r="J1712" s="11" t="str">
        <f>IFERROR(__xludf.DUMMYFUNCTION("IFERROR(FILTER(Stats!$F:$Z,(Stats!$A:$A=$A1712)*(Stats!$B:$B=$B1712)))"),"#REF!")</f>
        <v>#REF!</v>
      </c>
      <c r="K1712" s="11"/>
      <c r="L1712" s="12"/>
      <c r="M1712" s="11"/>
      <c r="N1712" s="11"/>
      <c r="O1712" s="13"/>
      <c r="P1712" s="14"/>
      <c r="Q1712" s="13"/>
      <c r="R1712" s="13"/>
      <c r="S1712" s="15"/>
      <c r="T1712" s="16"/>
      <c r="U1712" s="16"/>
      <c r="V1712" s="16"/>
      <c r="W1712" s="16"/>
      <c r="X1712" s="16"/>
      <c r="Y1712" s="11"/>
      <c r="Z1712" s="11"/>
      <c r="AA1712" s="11"/>
      <c r="AB1712" s="11"/>
      <c r="AC1712" s="11"/>
      <c r="AD1712" s="11"/>
    </row>
    <row r="1713">
      <c r="A1713" s="10"/>
      <c r="B1713" s="10"/>
      <c r="C1713" s="10"/>
      <c r="D1713" s="10"/>
      <c r="E1713" s="10"/>
      <c r="F1713" s="11"/>
      <c r="G1713" s="11"/>
      <c r="H1713" s="11"/>
      <c r="I1713" s="11"/>
      <c r="J1713" s="11" t="str">
        <f>IFERROR(__xludf.DUMMYFUNCTION("IFERROR(FILTER(Stats!$F:$Z,(Stats!$A:$A=$A1713)*(Stats!$B:$B=$B1713)))"),"#REF!")</f>
        <v>#REF!</v>
      </c>
      <c r="K1713" s="11"/>
      <c r="L1713" s="12"/>
      <c r="M1713" s="11"/>
      <c r="N1713" s="11"/>
      <c r="O1713" s="13"/>
      <c r="P1713" s="14"/>
      <c r="Q1713" s="13"/>
      <c r="R1713" s="13"/>
      <c r="S1713" s="15"/>
      <c r="T1713" s="16"/>
      <c r="U1713" s="16"/>
      <c r="V1713" s="16"/>
      <c r="W1713" s="16"/>
      <c r="X1713" s="16"/>
      <c r="Y1713" s="11"/>
      <c r="Z1713" s="11"/>
      <c r="AA1713" s="11"/>
      <c r="AB1713" s="11"/>
      <c r="AC1713" s="11"/>
      <c r="AD1713" s="11"/>
    </row>
    <row r="1714">
      <c r="A1714" s="10"/>
      <c r="B1714" s="10"/>
      <c r="C1714" s="10"/>
      <c r="D1714" s="10"/>
      <c r="E1714" s="10"/>
      <c r="F1714" s="11"/>
      <c r="G1714" s="11"/>
      <c r="H1714" s="11"/>
      <c r="I1714" s="11"/>
      <c r="J1714" s="11" t="str">
        <f>IFERROR(__xludf.DUMMYFUNCTION("IFERROR(FILTER(Stats!$F:$Z,(Stats!$A:$A=$A1714)*(Stats!$B:$B=$B1714)))"),"#REF!")</f>
        <v>#REF!</v>
      </c>
      <c r="K1714" s="11"/>
      <c r="L1714" s="12"/>
      <c r="M1714" s="11"/>
      <c r="N1714" s="11"/>
      <c r="O1714" s="13"/>
      <c r="P1714" s="14"/>
      <c r="Q1714" s="13"/>
      <c r="R1714" s="13"/>
      <c r="S1714" s="15"/>
      <c r="T1714" s="16"/>
      <c r="U1714" s="16"/>
      <c r="V1714" s="16"/>
      <c r="W1714" s="16"/>
      <c r="X1714" s="16"/>
      <c r="Y1714" s="11"/>
      <c r="Z1714" s="11"/>
      <c r="AA1714" s="11"/>
      <c r="AB1714" s="11"/>
      <c r="AC1714" s="11"/>
      <c r="AD1714" s="11"/>
    </row>
    <row r="1715">
      <c r="A1715" s="10"/>
      <c r="B1715" s="10"/>
      <c r="C1715" s="10"/>
      <c r="D1715" s="10"/>
      <c r="E1715" s="10"/>
      <c r="F1715" s="11"/>
      <c r="G1715" s="11"/>
      <c r="H1715" s="11"/>
      <c r="I1715" s="11"/>
      <c r="J1715" s="11" t="str">
        <f>IFERROR(__xludf.DUMMYFUNCTION("IFERROR(FILTER(Stats!$F:$Z,(Stats!$A:$A=$A1715)*(Stats!$B:$B=$B1715)))"),"#REF!")</f>
        <v>#REF!</v>
      </c>
      <c r="K1715" s="11"/>
      <c r="L1715" s="12"/>
      <c r="M1715" s="11"/>
      <c r="N1715" s="11"/>
      <c r="O1715" s="13"/>
      <c r="P1715" s="14"/>
      <c r="Q1715" s="13"/>
      <c r="R1715" s="13"/>
      <c r="S1715" s="15"/>
      <c r="T1715" s="16"/>
      <c r="U1715" s="16"/>
      <c r="V1715" s="16"/>
      <c r="W1715" s="16"/>
      <c r="X1715" s="16"/>
      <c r="Y1715" s="11"/>
      <c r="Z1715" s="11"/>
      <c r="AA1715" s="11"/>
      <c r="AB1715" s="11"/>
      <c r="AC1715" s="11"/>
      <c r="AD1715" s="11"/>
    </row>
    <row r="1716">
      <c r="A1716" s="10"/>
      <c r="B1716" s="10"/>
      <c r="C1716" s="10"/>
      <c r="D1716" s="10"/>
      <c r="E1716" s="10"/>
      <c r="F1716" s="11"/>
      <c r="G1716" s="11"/>
      <c r="H1716" s="11"/>
      <c r="I1716" s="11"/>
      <c r="J1716" s="11" t="str">
        <f>IFERROR(__xludf.DUMMYFUNCTION("IFERROR(FILTER(Stats!$F:$Z,(Stats!$A:$A=$A1716)*(Stats!$B:$B=$B1716)))"),"#REF!")</f>
        <v>#REF!</v>
      </c>
      <c r="K1716" s="11"/>
      <c r="L1716" s="12"/>
      <c r="M1716" s="11"/>
      <c r="N1716" s="11"/>
      <c r="O1716" s="13"/>
      <c r="P1716" s="14"/>
      <c r="Q1716" s="13"/>
      <c r="R1716" s="13"/>
      <c r="S1716" s="15"/>
      <c r="T1716" s="16"/>
      <c r="U1716" s="16"/>
      <c r="V1716" s="16"/>
      <c r="W1716" s="16"/>
      <c r="X1716" s="16"/>
      <c r="Y1716" s="11"/>
      <c r="Z1716" s="11"/>
      <c r="AA1716" s="11"/>
      <c r="AB1716" s="11"/>
      <c r="AC1716" s="11"/>
      <c r="AD1716" s="11"/>
    </row>
    <row r="1717">
      <c r="A1717" s="10"/>
      <c r="B1717" s="10"/>
      <c r="C1717" s="10"/>
      <c r="D1717" s="10"/>
      <c r="E1717" s="10"/>
      <c r="F1717" s="11"/>
      <c r="G1717" s="11"/>
      <c r="H1717" s="11"/>
      <c r="I1717" s="11"/>
      <c r="J1717" s="11" t="str">
        <f>IFERROR(__xludf.DUMMYFUNCTION("IFERROR(FILTER(Stats!$F:$Z,(Stats!$A:$A=$A1717)*(Stats!$B:$B=$B1717)))"),"#REF!")</f>
        <v>#REF!</v>
      </c>
      <c r="K1717" s="11"/>
      <c r="L1717" s="12"/>
      <c r="M1717" s="11"/>
      <c r="N1717" s="11"/>
      <c r="O1717" s="13"/>
      <c r="P1717" s="14"/>
      <c r="Q1717" s="13"/>
      <c r="R1717" s="13"/>
      <c r="S1717" s="15"/>
      <c r="T1717" s="16"/>
      <c r="U1717" s="16"/>
      <c r="V1717" s="16"/>
      <c r="W1717" s="16"/>
      <c r="X1717" s="16"/>
      <c r="Y1717" s="11"/>
      <c r="Z1717" s="11"/>
      <c r="AA1717" s="11"/>
      <c r="AB1717" s="11"/>
      <c r="AC1717" s="11"/>
      <c r="AD1717" s="11"/>
    </row>
    <row r="1718">
      <c r="A1718" s="10"/>
      <c r="B1718" s="10"/>
      <c r="C1718" s="10"/>
      <c r="D1718" s="10"/>
      <c r="E1718" s="10"/>
      <c r="F1718" s="11"/>
      <c r="G1718" s="11"/>
      <c r="H1718" s="11"/>
      <c r="I1718" s="11"/>
      <c r="J1718" s="11" t="str">
        <f>IFERROR(__xludf.DUMMYFUNCTION("IFERROR(FILTER(Stats!$F:$Z,(Stats!$A:$A=$A1718)*(Stats!$B:$B=$B1718)))"),"#REF!")</f>
        <v>#REF!</v>
      </c>
      <c r="K1718" s="11"/>
      <c r="L1718" s="12"/>
      <c r="M1718" s="11"/>
      <c r="N1718" s="11"/>
      <c r="O1718" s="13"/>
      <c r="P1718" s="14"/>
      <c r="Q1718" s="13"/>
      <c r="R1718" s="13"/>
      <c r="S1718" s="15"/>
      <c r="T1718" s="16"/>
      <c r="U1718" s="16"/>
      <c r="V1718" s="16"/>
      <c r="W1718" s="16"/>
      <c r="X1718" s="16"/>
      <c r="Y1718" s="11"/>
      <c r="Z1718" s="11"/>
      <c r="AA1718" s="11"/>
      <c r="AB1718" s="11"/>
      <c r="AC1718" s="11"/>
      <c r="AD1718" s="11"/>
    </row>
    <row r="1719">
      <c r="A1719" s="10"/>
      <c r="B1719" s="10"/>
      <c r="C1719" s="10"/>
      <c r="D1719" s="10"/>
      <c r="E1719" s="10"/>
      <c r="F1719" s="11"/>
      <c r="G1719" s="11"/>
      <c r="H1719" s="11"/>
      <c r="I1719" s="11"/>
      <c r="J1719" s="11" t="str">
        <f>IFERROR(__xludf.DUMMYFUNCTION("IFERROR(FILTER(Stats!$F:$Z,(Stats!$A:$A=$A1719)*(Stats!$B:$B=$B1719)))"),"#REF!")</f>
        <v>#REF!</v>
      </c>
      <c r="K1719" s="11"/>
      <c r="L1719" s="12"/>
      <c r="M1719" s="11"/>
      <c r="N1719" s="11"/>
      <c r="O1719" s="13"/>
      <c r="P1719" s="14"/>
      <c r="Q1719" s="13"/>
      <c r="R1719" s="13"/>
      <c r="S1719" s="15"/>
      <c r="T1719" s="16"/>
      <c r="U1719" s="16"/>
      <c r="V1719" s="16"/>
      <c r="W1719" s="16"/>
      <c r="X1719" s="16"/>
      <c r="Y1719" s="11"/>
      <c r="Z1719" s="11"/>
      <c r="AA1719" s="11"/>
      <c r="AB1719" s="11"/>
      <c r="AC1719" s="11"/>
      <c r="AD1719" s="11"/>
    </row>
    <row r="1720">
      <c r="A1720" s="10"/>
      <c r="B1720" s="10"/>
      <c r="C1720" s="10"/>
      <c r="D1720" s="10"/>
      <c r="E1720" s="10"/>
      <c r="F1720" s="11"/>
      <c r="G1720" s="11"/>
      <c r="H1720" s="11"/>
      <c r="I1720" s="11"/>
      <c r="J1720" s="11" t="str">
        <f>IFERROR(__xludf.DUMMYFUNCTION("IFERROR(FILTER(Stats!$F:$Z,(Stats!$A:$A=$A1720)*(Stats!$B:$B=$B1720)))"),"#REF!")</f>
        <v>#REF!</v>
      </c>
      <c r="K1720" s="11"/>
      <c r="L1720" s="12"/>
      <c r="M1720" s="11"/>
      <c r="N1720" s="11"/>
      <c r="O1720" s="13"/>
      <c r="P1720" s="14"/>
      <c r="Q1720" s="13"/>
      <c r="R1720" s="13"/>
      <c r="S1720" s="15"/>
      <c r="T1720" s="16"/>
      <c r="U1720" s="16"/>
      <c r="V1720" s="16"/>
      <c r="W1720" s="16"/>
      <c r="X1720" s="16"/>
      <c r="Y1720" s="11"/>
      <c r="Z1720" s="11"/>
      <c r="AA1720" s="11"/>
      <c r="AB1720" s="11"/>
      <c r="AC1720" s="11"/>
      <c r="AD1720" s="11"/>
    </row>
    <row r="1721">
      <c r="A1721" s="10"/>
      <c r="B1721" s="10"/>
      <c r="C1721" s="10"/>
      <c r="D1721" s="10"/>
      <c r="E1721" s="10"/>
      <c r="F1721" s="11"/>
      <c r="G1721" s="11"/>
      <c r="H1721" s="11"/>
      <c r="I1721" s="11"/>
      <c r="J1721" s="11" t="str">
        <f>IFERROR(__xludf.DUMMYFUNCTION("IFERROR(FILTER(Stats!$F:$Z,(Stats!$A:$A=$A1721)*(Stats!$B:$B=$B1721)))"),"#REF!")</f>
        <v>#REF!</v>
      </c>
      <c r="K1721" s="11"/>
      <c r="L1721" s="12"/>
      <c r="M1721" s="11"/>
      <c r="N1721" s="11"/>
      <c r="O1721" s="13"/>
      <c r="P1721" s="14"/>
      <c r="Q1721" s="13"/>
      <c r="R1721" s="13"/>
      <c r="S1721" s="15"/>
      <c r="T1721" s="16"/>
      <c r="U1721" s="16"/>
      <c r="V1721" s="16"/>
      <c r="W1721" s="16"/>
      <c r="X1721" s="16"/>
      <c r="Y1721" s="11"/>
      <c r="Z1721" s="11"/>
      <c r="AA1721" s="11"/>
      <c r="AB1721" s="11"/>
      <c r="AC1721" s="11"/>
      <c r="AD1721" s="11"/>
    </row>
    <row r="1722">
      <c r="A1722" s="10"/>
      <c r="B1722" s="10"/>
      <c r="C1722" s="10"/>
      <c r="D1722" s="10"/>
      <c r="E1722" s="10"/>
      <c r="F1722" s="11"/>
      <c r="G1722" s="11"/>
      <c r="H1722" s="11"/>
      <c r="I1722" s="11"/>
      <c r="J1722" s="11" t="str">
        <f>IFERROR(__xludf.DUMMYFUNCTION("IFERROR(FILTER(Stats!$F:$Z,(Stats!$A:$A=$A1722)*(Stats!$B:$B=$B1722)))"),"#REF!")</f>
        <v>#REF!</v>
      </c>
      <c r="K1722" s="11"/>
      <c r="L1722" s="12"/>
      <c r="M1722" s="11"/>
      <c r="N1722" s="11"/>
      <c r="O1722" s="13"/>
      <c r="P1722" s="14"/>
      <c r="Q1722" s="13"/>
      <c r="R1722" s="13"/>
      <c r="S1722" s="15"/>
      <c r="T1722" s="16"/>
      <c r="U1722" s="16"/>
      <c r="V1722" s="16"/>
      <c r="W1722" s="16"/>
      <c r="X1722" s="16"/>
      <c r="Y1722" s="11"/>
      <c r="Z1722" s="11"/>
      <c r="AA1722" s="11"/>
      <c r="AB1722" s="11"/>
      <c r="AC1722" s="11"/>
      <c r="AD1722" s="11"/>
    </row>
    <row r="1723">
      <c r="A1723" s="10"/>
      <c r="B1723" s="10"/>
      <c r="C1723" s="10"/>
      <c r="D1723" s="10"/>
      <c r="E1723" s="10"/>
      <c r="F1723" s="11"/>
      <c r="G1723" s="11"/>
      <c r="H1723" s="11"/>
      <c r="I1723" s="11"/>
      <c r="J1723" s="11" t="str">
        <f>IFERROR(__xludf.DUMMYFUNCTION("IFERROR(FILTER(Stats!$F:$Z,(Stats!$A:$A=$A1723)*(Stats!$B:$B=$B1723)))"),"#REF!")</f>
        <v>#REF!</v>
      </c>
      <c r="K1723" s="11"/>
      <c r="L1723" s="12"/>
      <c r="M1723" s="11"/>
      <c r="N1723" s="11"/>
      <c r="O1723" s="13"/>
      <c r="P1723" s="14"/>
      <c r="Q1723" s="13"/>
      <c r="R1723" s="13"/>
      <c r="S1723" s="15"/>
      <c r="T1723" s="16"/>
      <c r="U1723" s="16"/>
      <c r="V1723" s="16"/>
      <c r="W1723" s="16"/>
      <c r="X1723" s="16"/>
      <c r="Y1723" s="11"/>
      <c r="Z1723" s="11"/>
      <c r="AA1723" s="11"/>
      <c r="AB1723" s="11"/>
      <c r="AC1723" s="11"/>
      <c r="AD1723" s="11"/>
    </row>
    <row r="1724">
      <c r="A1724" s="10"/>
      <c r="B1724" s="10"/>
      <c r="C1724" s="10"/>
      <c r="D1724" s="10"/>
      <c r="E1724" s="10"/>
      <c r="F1724" s="11"/>
      <c r="G1724" s="11"/>
      <c r="H1724" s="11"/>
      <c r="I1724" s="11"/>
      <c r="J1724" s="11" t="str">
        <f>IFERROR(__xludf.DUMMYFUNCTION("IFERROR(FILTER(Stats!$F:$Z,(Stats!$A:$A=$A1724)*(Stats!$B:$B=$B1724)))"),"#REF!")</f>
        <v>#REF!</v>
      </c>
      <c r="K1724" s="11"/>
      <c r="L1724" s="12"/>
      <c r="M1724" s="11"/>
      <c r="N1724" s="11"/>
      <c r="O1724" s="13"/>
      <c r="P1724" s="14"/>
      <c r="Q1724" s="13"/>
      <c r="R1724" s="13"/>
      <c r="S1724" s="15"/>
      <c r="T1724" s="16"/>
      <c r="U1724" s="16"/>
      <c r="V1724" s="16"/>
      <c r="W1724" s="16"/>
      <c r="X1724" s="16"/>
      <c r="Y1724" s="11"/>
      <c r="Z1724" s="11"/>
      <c r="AA1724" s="11"/>
      <c r="AB1724" s="11"/>
      <c r="AC1724" s="11"/>
      <c r="AD1724" s="11"/>
    </row>
    <row r="1725">
      <c r="A1725" s="10"/>
      <c r="B1725" s="10"/>
      <c r="C1725" s="10"/>
      <c r="D1725" s="10"/>
      <c r="E1725" s="10"/>
      <c r="F1725" s="11"/>
      <c r="G1725" s="11"/>
      <c r="H1725" s="11"/>
      <c r="I1725" s="11"/>
      <c r="J1725" s="11" t="str">
        <f>IFERROR(__xludf.DUMMYFUNCTION("IFERROR(FILTER(Stats!$F:$Z,(Stats!$A:$A=$A1725)*(Stats!$B:$B=$B1725)))"),"#REF!")</f>
        <v>#REF!</v>
      </c>
      <c r="K1725" s="11"/>
      <c r="L1725" s="12"/>
      <c r="M1725" s="11"/>
      <c r="N1725" s="11"/>
      <c r="O1725" s="13"/>
      <c r="P1725" s="14"/>
      <c r="Q1725" s="13"/>
      <c r="R1725" s="13"/>
      <c r="S1725" s="15"/>
      <c r="T1725" s="16"/>
      <c r="U1725" s="16"/>
      <c r="V1725" s="16"/>
      <c r="W1725" s="16"/>
      <c r="X1725" s="16"/>
      <c r="Y1725" s="11"/>
      <c r="Z1725" s="11"/>
      <c r="AA1725" s="11"/>
      <c r="AB1725" s="11"/>
      <c r="AC1725" s="11"/>
      <c r="AD1725" s="11"/>
    </row>
    <row r="1726">
      <c r="A1726" s="10"/>
      <c r="B1726" s="10"/>
      <c r="C1726" s="10"/>
      <c r="D1726" s="10"/>
      <c r="E1726" s="10"/>
      <c r="F1726" s="11"/>
      <c r="G1726" s="11"/>
      <c r="H1726" s="11"/>
      <c r="I1726" s="11"/>
      <c r="J1726" s="11" t="str">
        <f>IFERROR(__xludf.DUMMYFUNCTION("IFERROR(FILTER(Stats!$F:$Z,(Stats!$A:$A=$A1726)*(Stats!$B:$B=$B1726)))"),"#REF!")</f>
        <v>#REF!</v>
      </c>
      <c r="K1726" s="11"/>
      <c r="L1726" s="12"/>
      <c r="M1726" s="11"/>
      <c r="N1726" s="11"/>
      <c r="O1726" s="13"/>
      <c r="P1726" s="14"/>
      <c r="Q1726" s="13"/>
      <c r="R1726" s="13"/>
      <c r="S1726" s="15"/>
      <c r="T1726" s="16"/>
      <c r="U1726" s="16"/>
      <c r="V1726" s="16"/>
      <c r="W1726" s="16"/>
      <c r="X1726" s="16"/>
      <c r="Y1726" s="11"/>
      <c r="Z1726" s="11"/>
      <c r="AA1726" s="11"/>
      <c r="AB1726" s="11"/>
      <c r="AC1726" s="11"/>
      <c r="AD1726" s="11"/>
    </row>
    <row r="1727">
      <c r="A1727" s="10"/>
      <c r="B1727" s="10"/>
      <c r="C1727" s="10"/>
      <c r="D1727" s="10"/>
      <c r="E1727" s="10"/>
      <c r="F1727" s="11"/>
      <c r="G1727" s="11"/>
      <c r="H1727" s="11"/>
      <c r="I1727" s="11"/>
      <c r="J1727" s="11" t="str">
        <f>IFERROR(__xludf.DUMMYFUNCTION("IFERROR(FILTER(Stats!$F:$Z,(Stats!$A:$A=$A1727)*(Stats!$B:$B=$B1727)))"),"#REF!")</f>
        <v>#REF!</v>
      </c>
      <c r="K1727" s="11"/>
      <c r="L1727" s="12"/>
      <c r="M1727" s="11"/>
      <c r="N1727" s="11"/>
      <c r="O1727" s="13"/>
      <c r="P1727" s="14"/>
      <c r="Q1727" s="13"/>
      <c r="R1727" s="13"/>
      <c r="S1727" s="15"/>
      <c r="T1727" s="16"/>
      <c r="U1727" s="16"/>
      <c r="V1727" s="16"/>
      <c r="W1727" s="16"/>
      <c r="X1727" s="16"/>
      <c r="Y1727" s="11"/>
      <c r="Z1727" s="11"/>
      <c r="AA1727" s="11"/>
      <c r="AB1727" s="11"/>
      <c r="AC1727" s="11"/>
      <c r="AD1727" s="11"/>
    </row>
    <row r="1728">
      <c r="A1728" s="10"/>
      <c r="B1728" s="10"/>
      <c r="C1728" s="10"/>
      <c r="D1728" s="10"/>
      <c r="E1728" s="10"/>
      <c r="F1728" s="11"/>
      <c r="G1728" s="11"/>
      <c r="H1728" s="11"/>
      <c r="I1728" s="11"/>
      <c r="J1728" s="11" t="str">
        <f>IFERROR(__xludf.DUMMYFUNCTION("IFERROR(FILTER(Stats!$F:$Z,(Stats!$A:$A=$A1728)*(Stats!$B:$B=$B1728)))"),"#REF!")</f>
        <v>#REF!</v>
      </c>
      <c r="K1728" s="11"/>
      <c r="L1728" s="12"/>
      <c r="M1728" s="11"/>
      <c r="N1728" s="11"/>
      <c r="O1728" s="13"/>
      <c r="P1728" s="14"/>
      <c r="Q1728" s="13"/>
      <c r="R1728" s="13"/>
      <c r="S1728" s="15"/>
      <c r="T1728" s="16"/>
      <c r="U1728" s="16"/>
      <c r="V1728" s="16"/>
      <c r="W1728" s="16"/>
      <c r="X1728" s="16"/>
      <c r="Y1728" s="11"/>
      <c r="Z1728" s="11"/>
      <c r="AA1728" s="11"/>
      <c r="AB1728" s="11"/>
      <c r="AC1728" s="11"/>
      <c r="AD1728" s="11"/>
    </row>
    <row r="1729">
      <c r="A1729" s="10"/>
      <c r="B1729" s="10"/>
      <c r="C1729" s="10"/>
      <c r="D1729" s="10"/>
      <c r="E1729" s="10"/>
      <c r="F1729" s="11"/>
      <c r="G1729" s="11"/>
      <c r="H1729" s="11"/>
      <c r="I1729" s="11"/>
      <c r="J1729" s="11" t="str">
        <f>IFERROR(__xludf.DUMMYFUNCTION("IFERROR(FILTER(Stats!$F:$Z,(Stats!$A:$A=$A1729)*(Stats!$B:$B=$B1729)))"),"#REF!")</f>
        <v>#REF!</v>
      </c>
      <c r="K1729" s="11"/>
      <c r="L1729" s="12"/>
      <c r="M1729" s="11"/>
      <c r="N1729" s="11"/>
      <c r="O1729" s="13"/>
      <c r="P1729" s="14"/>
      <c r="Q1729" s="13"/>
      <c r="R1729" s="13"/>
      <c r="S1729" s="15"/>
      <c r="T1729" s="16"/>
      <c r="U1729" s="16"/>
      <c r="V1729" s="16"/>
      <c r="W1729" s="16"/>
      <c r="X1729" s="16"/>
      <c r="Y1729" s="11"/>
      <c r="Z1729" s="11"/>
      <c r="AA1729" s="11"/>
      <c r="AB1729" s="11"/>
      <c r="AC1729" s="11"/>
      <c r="AD1729" s="11"/>
    </row>
    <row r="1730">
      <c r="A1730" s="10"/>
      <c r="B1730" s="10"/>
      <c r="C1730" s="10"/>
      <c r="D1730" s="10"/>
      <c r="E1730" s="10"/>
      <c r="F1730" s="11"/>
      <c r="G1730" s="11"/>
      <c r="H1730" s="11"/>
      <c r="I1730" s="11"/>
      <c r="J1730" s="11" t="str">
        <f>IFERROR(__xludf.DUMMYFUNCTION("IFERROR(FILTER(Stats!$F:$Z,(Stats!$A:$A=$A1730)*(Stats!$B:$B=$B1730)))"),"#REF!")</f>
        <v>#REF!</v>
      </c>
      <c r="K1730" s="11"/>
      <c r="L1730" s="12"/>
      <c r="M1730" s="11"/>
      <c r="N1730" s="11"/>
      <c r="O1730" s="13"/>
      <c r="P1730" s="14"/>
      <c r="Q1730" s="13"/>
      <c r="R1730" s="13"/>
      <c r="S1730" s="15"/>
      <c r="T1730" s="16"/>
      <c r="U1730" s="16"/>
      <c r="V1730" s="16"/>
      <c r="W1730" s="16"/>
      <c r="X1730" s="16"/>
      <c r="Y1730" s="11"/>
      <c r="Z1730" s="11"/>
      <c r="AA1730" s="11"/>
      <c r="AB1730" s="11"/>
      <c r="AC1730" s="11"/>
      <c r="AD1730" s="11"/>
    </row>
    <row r="1731">
      <c r="A1731" s="10"/>
      <c r="B1731" s="10"/>
      <c r="C1731" s="10"/>
      <c r="D1731" s="10"/>
      <c r="E1731" s="10"/>
      <c r="F1731" s="11"/>
      <c r="G1731" s="11"/>
      <c r="H1731" s="11"/>
      <c r="I1731" s="11"/>
      <c r="J1731" s="11" t="str">
        <f>IFERROR(__xludf.DUMMYFUNCTION("IFERROR(FILTER(Stats!$F:$Z,(Stats!$A:$A=$A1731)*(Stats!$B:$B=$B1731)))"),"#REF!")</f>
        <v>#REF!</v>
      </c>
      <c r="K1731" s="11"/>
      <c r="L1731" s="12"/>
      <c r="M1731" s="11"/>
      <c r="N1731" s="11"/>
      <c r="O1731" s="13"/>
      <c r="P1731" s="14"/>
      <c r="Q1731" s="13"/>
      <c r="R1731" s="13"/>
      <c r="S1731" s="15"/>
      <c r="T1731" s="16"/>
      <c r="U1731" s="16"/>
      <c r="V1731" s="16"/>
      <c r="W1731" s="16"/>
      <c r="X1731" s="16"/>
      <c r="Y1731" s="11"/>
      <c r="Z1731" s="11"/>
      <c r="AA1731" s="11"/>
      <c r="AB1731" s="11"/>
      <c r="AC1731" s="11"/>
      <c r="AD1731" s="11"/>
    </row>
    <row r="1732">
      <c r="A1732" s="10"/>
      <c r="B1732" s="10"/>
      <c r="C1732" s="10"/>
      <c r="D1732" s="10"/>
      <c r="E1732" s="10"/>
      <c r="F1732" s="11"/>
      <c r="G1732" s="11"/>
      <c r="H1732" s="11"/>
      <c r="I1732" s="11"/>
      <c r="J1732" s="11" t="str">
        <f>IFERROR(__xludf.DUMMYFUNCTION("IFERROR(FILTER(Stats!$F:$Z,(Stats!$A:$A=$A1732)*(Stats!$B:$B=$B1732)))"),"#REF!")</f>
        <v>#REF!</v>
      </c>
      <c r="K1732" s="11"/>
      <c r="L1732" s="12"/>
      <c r="M1732" s="11"/>
      <c r="N1732" s="11"/>
      <c r="O1732" s="13"/>
      <c r="P1732" s="14"/>
      <c r="Q1732" s="13"/>
      <c r="R1732" s="13"/>
      <c r="S1732" s="15"/>
      <c r="T1732" s="16"/>
      <c r="U1732" s="16"/>
      <c r="V1732" s="16"/>
      <c r="W1732" s="16"/>
      <c r="X1732" s="16"/>
      <c r="Y1732" s="11"/>
      <c r="Z1732" s="11"/>
      <c r="AA1732" s="11"/>
      <c r="AB1732" s="11"/>
      <c r="AC1732" s="11"/>
      <c r="AD1732" s="11"/>
    </row>
    <row r="1733">
      <c r="A1733" s="10"/>
      <c r="B1733" s="10"/>
      <c r="C1733" s="10"/>
      <c r="D1733" s="10"/>
      <c r="E1733" s="10"/>
      <c r="F1733" s="11"/>
      <c r="G1733" s="11"/>
      <c r="H1733" s="11"/>
      <c r="I1733" s="11"/>
      <c r="J1733" s="11" t="str">
        <f>IFERROR(__xludf.DUMMYFUNCTION("IFERROR(FILTER(Stats!$F:$Z,(Stats!$A:$A=$A1733)*(Stats!$B:$B=$B1733)))"),"#REF!")</f>
        <v>#REF!</v>
      </c>
      <c r="K1733" s="11"/>
      <c r="L1733" s="12"/>
      <c r="M1733" s="11"/>
      <c r="N1733" s="11"/>
      <c r="O1733" s="13"/>
      <c r="P1733" s="14"/>
      <c r="Q1733" s="13"/>
      <c r="R1733" s="13"/>
      <c r="S1733" s="15"/>
      <c r="T1733" s="16"/>
      <c r="U1733" s="16"/>
      <c r="V1733" s="16"/>
      <c r="W1733" s="16"/>
      <c r="X1733" s="16"/>
      <c r="Y1733" s="11"/>
      <c r="Z1733" s="11"/>
      <c r="AA1733" s="11"/>
      <c r="AB1733" s="11"/>
      <c r="AC1733" s="11"/>
      <c r="AD1733" s="11"/>
    </row>
    <row r="1734">
      <c r="A1734" s="10"/>
      <c r="B1734" s="10"/>
      <c r="C1734" s="10"/>
      <c r="D1734" s="10"/>
      <c r="E1734" s="10"/>
      <c r="F1734" s="11"/>
      <c r="G1734" s="11"/>
      <c r="H1734" s="11"/>
      <c r="I1734" s="11"/>
      <c r="J1734" s="11" t="str">
        <f>IFERROR(__xludf.DUMMYFUNCTION("IFERROR(FILTER(Stats!$F:$Z,(Stats!$A:$A=$A1734)*(Stats!$B:$B=$B1734)))"),"#REF!")</f>
        <v>#REF!</v>
      </c>
      <c r="K1734" s="11"/>
      <c r="L1734" s="12"/>
      <c r="M1734" s="11"/>
      <c r="N1734" s="11"/>
      <c r="O1734" s="13"/>
      <c r="P1734" s="14"/>
      <c r="Q1734" s="13"/>
      <c r="R1734" s="13"/>
      <c r="S1734" s="15"/>
      <c r="T1734" s="16"/>
      <c r="U1734" s="16"/>
      <c r="V1734" s="16"/>
      <c r="W1734" s="16"/>
      <c r="X1734" s="16"/>
      <c r="Y1734" s="11"/>
      <c r="Z1734" s="11"/>
      <c r="AA1734" s="11"/>
      <c r="AB1734" s="11"/>
      <c r="AC1734" s="11"/>
      <c r="AD1734" s="11"/>
    </row>
    <row r="1735">
      <c r="A1735" s="10"/>
      <c r="B1735" s="10"/>
      <c r="C1735" s="10"/>
      <c r="D1735" s="10"/>
      <c r="E1735" s="10"/>
      <c r="F1735" s="11"/>
      <c r="G1735" s="11"/>
      <c r="H1735" s="11"/>
      <c r="I1735" s="11"/>
      <c r="J1735" s="11" t="str">
        <f>IFERROR(__xludf.DUMMYFUNCTION("IFERROR(FILTER(Stats!$F:$Z,(Stats!$A:$A=$A1735)*(Stats!$B:$B=$B1735)))"),"#REF!")</f>
        <v>#REF!</v>
      </c>
      <c r="K1735" s="11"/>
      <c r="L1735" s="12"/>
      <c r="M1735" s="11"/>
      <c r="N1735" s="11"/>
      <c r="O1735" s="13"/>
      <c r="P1735" s="14"/>
      <c r="Q1735" s="13"/>
      <c r="R1735" s="13"/>
      <c r="S1735" s="15"/>
      <c r="T1735" s="16"/>
      <c r="U1735" s="16"/>
      <c r="V1735" s="16"/>
      <c r="W1735" s="16"/>
      <c r="X1735" s="16"/>
      <c r="Y1735" s="11"/>
      <c r="Z1735" s="11"/>
      <c r="AA1735" s="11"/>
      <c r="AB1735" s="11"/>
      <c r="AC1735" s="11"/>
      <c r="AD1735" s="11"/>
    </row>
    <row r="1736">
      <c r="A1736" s="10"/>
      <c r="B1736" s="10"/>
      <c r="C1736" s="10"/>
      <c r="D1736" s="10"/>
      <c r="E1736" s="10"/>
      <c r="F1736" s="11"/>
      <c r="G1736" s="11"/>
      <c r="H1736" s="11"/>
      <c r="I1736" s="11"/>
      <c r="J1736" s="11" t="str">
        <f>IFERROR(__xludf.DUMMYFUNCTION("IFERROR(FILTER(Stats!$F:$Z,(Stats!$A:$A=$A1736)*(Stats!$B:$B=$B1736)))"),"#REF!")</f>
        <v>#REF!</v>
      </c>
      <c r="K1736" s="11"/>
      <c r="L1736" s="12"/>
      <c r="M1736" s="11"/>
      <c r="N1736" s="11"/>
      <c r="O1736" s="13"/>
      <c r="P1736" s="14"/>
      <c r="Q1736" s="13"/>
      <c r="R1736" s="13"/>
      <c r="S1736" s="15"/>
      <c r="T1736" s="16"/>
      <c r="U1736" s="16"/>
      <c r="V1736" s="16"/>
      <c r="W1736" s="16"/>
      <c r="X1736" s="16"/>
      <c r="Y1736" s="11"/>
      <c r="Z1736" s="11"/>
      <c r="AA1736" s="11"/>
      <c r="AB1736" s="11"/>
      <c r="AC1736" s="11"/>
      <c r="AD1736" s="11"/>
    </row>
    <row r="1737">
      <c r="A1737" s="10"/>
      <c r="B1737" s="10"/>
      <c r="C1737" s="10"/>
      <c r="D1737" s="10"/>
      <c r="E1737" s="10"/>
      <c r="F1737" s="11"/>
      <c r="G1737" s="11"/>
      <c r="H1737" s="11"/>
      <c r="I1737" s="11"/>
      <c r="J1737" s="11" t="str">
        <f>IFERROR(__xludf.DUMMYFUNCTION("IFERROR(FILTER(Stats!$F:$Z,(Stats!$A:$A=$A1737)*(Stats!$B:$B=$B1737)))"),"#REF!")</f>
        <v>#REF!</v>
      </c>
      <c r="K1737" s="11"/>
      <c r="L1737" s="12"/>
      <c r="M1737" s="11"/>
      <c r="N1737" s="11"/>
      <c r="O1737" s="13"/>
      <c r="P1737" s="14"/>
      <c r="Q1737" s="13"/>
      <c r="R1737" s="13"/>
      <c r="S1737" s="15"/>
      <c r="T1737" s="16"/>
      <c r="U1737" s="16"/>
      <c r="V1737" s="16"/>
      <c r="W1737" s="16"/>
      <c r="X1737" s="16"/>
      <c r="Y1737" s="11"/>
      <c r="Z1737" s="11"/>
      <c r="AA1737" s="11"/>
      <c r="AB1737" s="11"/>
      <c r="AC1737" s="11"/>
      <c r="AD1737" s="11"/>
    </row>
    <row r="1738">
      <c r="A1738" s="10"/>
      <c r="B1738" s="10"/>
      <c r="C1738" s="10"/>
      <c r="D1738" s="10"/>
      <c r="E1738" s="10"/>
      <c r="F1738" s="11"/>
      <c r="G1738" s="11"/>
      <c r="H1738" s="11"/>
      <c r="I1738" s="11"/>
      <c r="J1738" s="11" t="str">
        <f>IFERROR(__xludf.DUMMYFUNCTION("IFERROR(FILTER(Stats!$F:$Z,(Stats!$A:$A=$A1738)*(Stats!$B:$B=$B1738)))"),"#REF!")</f>
        <v>#REF!</v>
      </c>
      <c r="K1738" s="11"/>
      <c r="L1738" s="12"/>
      <c r="M1738" s="11"/>
      <c r="N1738" s="11"/>
      <c r="O1738" s="13"/>
      <c r="P1738" s="14"/>
      <c r="Q1738" s="13"/>
      <c r="R1738" s="13"/>
      <c r="S1738" s="15"/>
      <c r="T1738" s="16"/>
      <c r="U1738" s="16"/>
      <c r="V1738" s="16"/>
      <c r="W1738" s="16"/>
      <c r="X1738" s="16"/>
      <c r="Y1738" s="11"/>
      <c r="Z1738" s="11"/>
      <c r="AA1738" s="11"/>
      <c r="AB1738" s="11"/>
      <c r="AC1738" s="11"/>
      <c r="AD1738" s="11"/>
    </row>
    <row r="1739">
      <c r="A1739" s="10"/>
      <c r="B1739" s="10"/>
      <c r="C1739" s="10"/>
      <c r="D1739" s="10"/>
      <c r="E1739" s="10"/>
      <c r="F1739" s="11"/>
      <c r="G1739" s="11"/>
      <c r="H1739" s="11"/>
      <c r="I1739" s="11"/>
      <c r="J1739" s="11" t="str">
        <f>IFERROR(__xludf.DUMMYFUNCTION("IFERROR(FILTER(Stats!$F:$Z,(Stats!$A:$A=$A1739)*(Stats!$B:$B=$B1739)))"),"#REF!")</f>
        <v>#REF!</v>
      </c>
      <c r="K1739" s="11"/>
      <c r="L1739" s="12"/>
      <c r="M1739" s="11"/>
      <c r="N1739" s="11"/>
      <c r="O1739" s="13"/>
      <c r="P1739" s="14"/>
      <c r="Q1739" s="13"/>
      <c r="R1739" s="13"/>
      <c r="S1739" s="15"/>
      <c r="T1739" s="16"/>
      <c r="U1739" s="16"/>
      <c r="V1739" s="16"/>
      <c r="W1739" s="16"/>
      <c r="X1739" s="16"/>
      <c r="Y1739" s="11"/>
      <c r="Z1739" s="11"/>
      <c r="AA1739" s="11"/>
      <c r="AB1739" s="11"/>
      <c r="AC1739" s="11"/>
      <c r="AD1739" s="11"/>
    </row>
    <row r="1740">
      <c r="A1740" s="10"/>
      <c r="B1740" s="10"/>
      <c r="C1740" s="10"/>
      <c r="D1740" s="10"/>
      <c r="E1740" s="10"/>
      <c r="F1740" s="11"/>
      <c r="G1740" s="11"/>
      <c r="H1740" s="11"/>
      <c r="I1740" s="11"/>
      <c r="J1740" s="11" t="str">
        <f>IFERROR(__xludf.DUMMYFUNCTION("IFERROR(FILTER(Stats!$F:$Z,(Stats!$A:$A=$A1740)*(Stats!$B:$B=$B1740)))"),"#REF!")</f>
        <v>#REF!</v>
      </c>
      <c r="K1740" s="11"/>
      <c r="L1740" s="12"/>
      <c r="M1740" s="11"/>
      <c r="N1740" s="11"/>
      <c r="O1740" s="13"/>
      <c r="P1740" s="14"/>
      <c r="Q1740" s="13"/>
      <c r="R1740" s="13"/>
      <c r="S1740" s="15"/>
      <c r="T1740" s="16"/>
      <c r="U1740" s="16"/>
      <c r="V1740" s="16"/>
      <c r="W1740" s="16"/>
      <c r="X1740" s="16"/>
      <c r="Y1740" s="11"/>
      <c r="Z1740" s="11"/>
      <c r="AA1740" s="11"/>
      <c r="AB1740" s="11"/>
      <c r="AC1740" s="11"/>
      <c r="AD1740" s="11"/>
    </row>
    <row r="1741">
      <c r="A1741" s="10"/>
      <c r="B1741" s="10"/>
      <c r="C1741" s="10"/>
      <c r="D1741" s="10"/>
      <c r="E1741" s="10"/>
      <c r="F1741" s="11"/>
      <c r="G1741" s="11"/>
      <c r="H1741" s="11"/>
      <c r="I1741" s="11"/>
      <c r="J1741" s="11" t="str">
        <f>IFERROR(__xludf.DUMMYFUNCTION("IFERROR(FILTER(Stats!$F:$Z,(Stats!$A:$A=$A1741)*(Stats!$B:$B=$B1741)))"),"#REF!")</f>
        <v>#REF!</v>
      </c>
      <c r="K1741" s="11"/>
      <c r="L1741" s="12"/>
      <c r="M1741" s="11"/>
      <c r="N1741" s="11"/>
      <c r="O1741" s="13"/>
      <c r="P1741" s="14"/>
      <c r="Q1741" s="13"/>
      <c r="R1741" s="13"/>
      <c r="S1741" s="15"/>
      <c r="T1741" s="16"/>
      <c r="U1741" s="16"/>
      <c r="V1741" s="16"/>
      <c r="W1741" s="16"/>
      <c r="X1741" s="16"/>
      <c r="Y1741" s="11"/>
      <c r="Z1741" s="11"/>
      <c r="AA1741" s="11"/>
      <c r="AB1741" s="11"/>
      <c r="AC1741" s="11"/>
      <c r="AD1741" s="11"/>
    </row>
    <row r="1742">
      <c r="A1742" s="10"/>
      <c r="B1742" s="10"/>
      <c r="C1742" s="10"/>
      <c r="D1742" s="10"/>
      <c r="E1742" s="10"/>
      <c r="F1742" s="11"/>
      <c r="G1742" s="11"/>
      <c r="H1742" s="11"/>
      <c r="I1742" s="11"/>
      <c r="J1742" s="11" t="str">
        <f>IFERROR(__xludf.DUMMYFUNCTION("IFERROR(FILTER(Stats!$F:$Z,(Stats!$A:$A=$A1742)*(Stats!$B:$B=$B1742)))"),"#REF!")</f>
        <v>#REF!</v>
      </c>
      <c r="K1742" s="11"/>
      <c r="L1742" s="12"/>
      <c r="M1742" s="11"/>
      <c r="N1742" s="11"/>
      <c r="O1742" s="13"/>
      <c r="P1742" s="14"/>
      <c r="Q1742" s="13"/>
      <c r="R1742" s="13"/>
      <c r="S1742" s="15"/>
      <c r="T1742" s="16"/>
      <c r="U1742" s="16"/>
      <c r="V1742" s="16"/>
      <c r="W1742" s="16"/>
      <c r="X1742" s="16"/>
      <c r="Y1742" s="11"/>
      <c r="Z1742" s="11"/>
      <c r="AA1742" s="11"/>
      <c r="AB1742" s="11"/>
      <c r="AC1742" s="11"/>
      <c r="AD1742" s="11"/>
    </row>
    <row r="1743">
      <c r="A1743" s="10"/>
      <c r="B1743" s="10"/>
      <c r="C1743" s="10"/>
      <c r="D1743" s="10"/>
      <c r="E1743" s="10"/>
      <c r="F1743" s="11"/>
      <c r="G1743" s="11"/>
      <c r="H1743" s="11"/>
      <c r="I1743" s="11"/>
      <c r="J1743" s="11" t="str">
        <f>IFERROR(__xludf.DUMMYFUNCTION("IFERROR(FILTER(Stats!$F:$Z,(Stats!$A:$A=$A1743)*(Stats!$B:$B=$B1743)))"),"#REF!")</f>
        <v>#REF!</v>
      </c>
      <c r="K1743" s="11"/>
      <c r="L1743" s="12"/>
      <c r="M1743" s="11"/>
      <c r="N1743" s="11"/>
      <c r="O1743" s="13"/>
      <c r="P1743" s="14"/>
      <c r="Q1743" s="13"/>
      <c r="R1743" s="13"/>
      <c r="S1743" s="15"/>
      <c r="T1743" s="16"/>
      <c r="U1743" s="16"/>
      <c r="V1743" s="16"/>
      <c r="W1743" s="16"/>
      <c r="X1743" s="16"/>
      <c r="Y1743" s="11"/>
      <c r="Z1743" s="11"/>
      <c r="AA1743" s="11"/>
      <c r="AB1743" s="11"/>
      <c r="AC1743" s="11"/>
      <c r="AD1743" s="11"/>
    </row>
    <row r="1744">
      <c r="A1744" s="10"/>
      <c r="B1744" s="10"/>
      <c r="C1744" s="10"/>
      <c r="D1744" s="10"/>
      <c r="E1744" s="10"/>
      <c r="F1744" s="11"/>
      <c r="G1744" s="11"/>
      <c r="H1744" s="11"/>
      <c r="I1744" s="11"/>
      <c r="J1744" s="11" t="str">
        <f>IFERROR(__xludf.DUMMYFUNCTION("IFERROR(FILTER(Stats!$F:$Z,(Stats!$A:$A=$A1744)*(Stats!$B:$B=$B1744)))"),"#REF!")</f>
        <v>#REF!</v>
      </c>
      <c r="K1744" s="11"/>
      <c r="L1744" s="12"/>
      <c r="M1744" s="11"/>
      <c r="N1744" s="11"/>
      <c r="O1744" s="13"/>
      <c r="P1744" s="14"/>
      <c r="Q1744" s="13"/>
      <c r="R1744" s="13"/>
      <c r="S1744" s="15"/>
      <c r="T1744" s="16"/>
      <c r="U1744" s="16"/>
      <c r="V1744" s="16"/>
      <c r="W1744" s="16"/>
      <c r="X1744" s="16"/>
      <c r="Y1744" s="11"/>
      <c r="Z1744" s="11"/>
      <c r="AA1744" s="11"/>
      <c r="AB1744" s="11"/>
      <c r="AC1744" s="11"/>
      <c r="AD1744" s="11"/>
    </row>
    <row r="1745">
      <c r="A1745" s="10"/>
      <c r="B1745" s="10"/>
      <c r="C1745" s="10"/>
      <c r="D1745" s="10"/>
      <c r="E1745" s="10"/>
      <c r="F1745" s="11"/>
      <c r="G1745" s="11"/>
      <c r="H1745" s="11"/>
      <c r="I1745" s="11"/>
      <c r="J1745" s="11" t="str">
        <f>IFERROR(__xludf.DUMMYFUNCTION("IFERROR(FILTER(Stats!$F:$Z,(Stats!$A:$A=$A1745)*(Stats!$B:$B=$B1745)))"),"#REF!")</f>
        <v>#REF!</v>
      </c>
      <c r="K1745" s="11"/>
      <c r="L1745" s="12"/>
      <c r="M1745" s="11"/>
      <c r="N1745" s="11"/>
      <c r="O1745" s="13"/>
      <c r="P1745" s="14"/>
      <c r="Q1745" s="13"/>
      <c r="R1745" s="13"/>
      <c r="S1745" s="15"/>
      <c r="T1745" s="16"/>
      <c r="U1745" s="16"/>
      <c r="V1745" s="16"/>
      <c r="W1745" s="16"/>
      <c r="X1745" s="16"/>
      <c r="Y1745" s="11"/>
      <c r="Z1745" s="11"/>
      <c r="AA1745" s="11"/>
      <c r="AB1745" s="11"/>
      <c r="AC1745" s="11"/>
      <c r="AD1745" s="11"/>
    </row>
    <row r="1746">
      <c r="A1746" s="10"/>
      <c r="B1746" s="10"/>
      <c r="C1746" s="10"/>
      <c r="D1746" s="10"/>
      <c r="E1746" s="10"/>
      <c r="F1746" s="11"/>
      <c r="G1746" s="11"/>
      <c r="H1746" s="11"/>
      <c r="I1746" s="11"/>
      <c r="J1746" s="11" t="str">
        <f>IFERROR(__xludf.DUMMYFUNCTION("IFERROR(FILTER(Stats!$F:$Z,(Stats!$A:$A=$A1746)*(Stats!$B:$B=$B1746)))"),"#REF!")</f>
        <v>#REF!</v>
      </c>
      <c r="K1746" s="11"/>
      <c r="L1746" s="12"/>
      <c r="M1746" s="11"/>
      <c r="N1746" s="11"/>
      <c r="O1746" s="13"/>
      <c r="P1746" s="14"/>
      <c r="Q1746" s="13"/>
      <c r="R1746" s="13"/>
      <c r="S1746" s="15"/>
      <c r="T1746" s="16"/>
      <c r="U1746" s="16"/>
      <c r="V1746" s="16"/>
      <c r="W1746" s="16"/>
      <c r="X1746" s="16"/>
      <c r="Y1746" s="11"/>
      <c r="Z1746" s="11"/>
      <c r="AA1746" s="11"/>
      <c r="AB1746" s="11"/>
      <c r="AC1746" s="11"/>
      <c r="AD1746" s="11"/>
    </row>
    <row r="1747">
      <c r="A1747" s="10"/>
      <c r="B1747" s="10"/>
      <c r="C1747" s="10"/>
      <c r="D1747" s="10"/>
      <c r="E1747" s="10"/>
      <c r="F1747" s="11"/>
      <c r="G1747" s="11"/>
      <c r="H1747" s="11"/>
      <c r="I1747" s="11"/>
      <c r="J1747" s="11" t="str">
        <f>IFERROR(__xludf.DUMMYFUNCTION("IFERROR(FILTER(Stats!$F:$Z,(Stats!$A:$A=$A1747)*(Stats!$B:$B=$B1747)))"),"#REF!")</f>
        <v>#REF!</v>
      </c>
      <c r="K1747" s="11"/>
      <c r="L1747" s="12"/>
      <c r="M1747" s="11"/>
      <c r="N1747" s="11"/>
      <c r="O1747" s="13"/>
      <c r="P1747" s="14"/>
      <c r="Q1747" s="13"/>
      <c r="R1747" s="13"/>
      <c r="S1747" s="15"/>
      <c r="T1747" s="16"/>
      <c r="U1747" s="16"/>
      <c r="V1747" s="16"/>
      <c r="W1747" s="16"/>
      <c r="X1747" s="16"/>
      <c r="Y1747" s="11"/>
      <c r="Z1747" s="11"/>
      <c r="AA1747" s="11"/>
      <c r="AB1747" s="11"/>
      <c r="AC1747" s="11"/>
      <c r="AD1747" s="11"/>
    </row>
    <row r="1748">
      <c r="A1748" s="10"/>
      <c r="B1748" s="10"/>
      <c r="C1748" s="10"/>
      <c r="D1748" s="10"/>
      <c r="E1748" s="10"/>
      <c r="F1748" s="11"/>
      <c r="G1748" s="11"/>
      <c r="H1748" s="11"/>
      <c r="I1748" s="11"/>
      <c r="J1748" s="11" t="str">
        <f>IFERROR(__xludf.DUMMYFUNCTION("IFERROR(FILTER(Stats!$F:$Z,(Stats!$A:$A=$A1748)*(Stats!$B:$B=$B1748)))"),"#REF!")</f>
        <v>#REF!</v>
      </c>
      <c r="K1748" s="11"/>
      <c r="L1748" s="12"/>
      <c r="M1748" s="11"/>
      <c r="N1748" s="11"/>
      <c r="O1748" s="13"/>
      <c r="P1748" s="14"/>
      <c r="Q1748" s="13"/>
      <c r="R1748" s="13"/>
      <c r="S1748" s="15"/>
      <c r="T1748" s="16"/>
      <c r="U1748" s="16"/>
      <c r="V1748" s="16"/>
      <c r="W1748" s="16"/>
      <c r="X1748" s="16"/>
      <c r="Y1748" s="11"/>
      <c r="Z1748" s="11"/>
      <c r="AA1748" s="11"/>
      <c r="AB1748" s="11"/>
      <c r="AC1748" s="11"/>
      <c r="AD1748" s="11"/>
    </row>
    <row r="1749">
      <c r="A1749" s="10"/>
      <c r="B1749" s="10"/>
      <c r="C1749" s="10"/>
      <c r="D1749" s="10"/>
      <c r="E1749" s="10"/>
      <c r="F1749" s="11"/>
      <c r="G1749" s="11"/>
      <c r="H1749" s="11"/>
      <c r="I1749" s="11"/>
      <c r="J1749" s="11" t="str">
        <f>IFERROR(__xludf.DUMMYFUNCTION("IFERROR(FILTER(Stats!$F:$Z,(Stats!$A:$A=$A1749)*(Stats!$B:$B=$B1749)))"),"#REF!")</f>
        <v>#REF!</v>
      </c>
      <c r="K1749" s="11"/>
      <c r="L1749" s="12"/>
      <c r="M1749" s="11"/>
      <c r="N1749" s="11"/>
      <c r="O1749" s="13"/>
      <c r="P1749" s="14"/>
      <c r="Q1749" s="13"/>
      <c r="R1749" s="13"/>
      <c r="S1749" s="15"/>
      <c r="T1749" s="16"/>
      <c r="U1749" s="16"/>
      <c r="V1749" s="16"/>
      <c r="W1749" s="16"/>
      <c r="X1749" s="16"/>
      <c r="Y1749" s="11"/>
      <c r="Z1749" s="11"/>
      <c r="AA1749" s="11"/>
      <c r="AB1749" s="11"/>
      <c r="AC1749" s="11"/>
      <c r="AD1749" s="11"/>
    </row>
    <row r="1750">
      <c r="A1750" s="10"/>
      <c r="B1750" s="10"/>
      <c r="C1750" s="10"/>
      <c r="D1750" s="10"/>
      <c r="E1750" s="10"/>
      <c r="F1750" s="11"/>
      <c r="G1750" s="11"/>
      <c r="H1750" s="11"/>
      <c r="I1750" s="11"/>
      <c r="J1750" s="11" t="str">
        <f>IFERROR(__xludf.DUMMYFUNCTION("IFERROR(FILTER(Stats!$F:$Z,(Stats!$A:$A=$A1750)*(Stats!$B:$B=$B1750)))"),"#REF!")</f>
        <v>#REF!</v>
      </c>
      <c r="K1750" s="11"/>
      <c r="L1750" s="12"/>
      <c r="M1750" s="11"/>
      <c r="N1750" s="11"/>
      <c r="O1750" s="13"/>
      <c r="P1750" s="14"/>
      <c r="Q1750" s="13"/>
      <c r="R1750" s="13"/>
      <c r="S1750" s="15"/>
      <c r="T1750" s="16"/>
      <c r="U1750" s="16"/>
      <c r="V1750" s="16"/>
      <c r="W1750" s="16"/>
      <c r="X1750" s="16"/>
      <c r="Y1750" s="11"/>
      <c r="Z1750" s="11"/>
      <c r="AA1750" s="11"/>
      <c r="AB1750" s="11"/>
      <c r="AC1750" s="11"/>
      <c r="AD1750" s="11"/>
    </row>
    <row r="1751">
      <c r="A1751" s="10"/>
      <c r="B1751" s="10"/>
      <c r="C1751" s="10"/>
      <c r="D1751" s="10"/>
      <c r="E1751" s="10"/>
      <c r="F1751" s="11"/>
      <c r="G1751" s="11"/>
      <c r="H1751" s="11"/>
      <c r="I1751" s="11"/>
      <c r="J1751" s="11" t="str">
        <f>IFERROR(__xludf.DUMMYFUNCTION("IFERROR(FILTER(Stats!$F:$Z,(Stats!$A:$A=$A1751)*(Stats!$B:$B=$B1751)))"),"#REF!")</f>
        <v>#REF!</v>
      </c>
      <c r="K1751" s="11"/>
      <c r="L1751" s="12"/>
      <c r="M1751" s="11"/>
      <c r="N1751" s="11"/>
      <c r="O1751" s="13"/>
      <c r="P1751" s="14"/>
      <c r="Q1751" s="13"/>
      <c r="R1751" s="13"/>
      <c r="S1751" s="15"/>
      <c r="T1751" s="16"/>
      <c r="U1751" s="16"/>
      <c r="V1751" s="16"/>
      <c r="W1751" s="16"/>
      <c r="X1751" s="16"/>
      <c r="Y1751" s="11"/>
      <c r="Z1751" s="11"/>
      <c r="AA1751" s="11"/>
      <c r="AB1751" s="11"/>
      <c r="AC1751" s="11"/>
      <c r="AD1751" s="11"/>
    </row>
    <row r="1752">
      <c r="A1752" s="10"/>
      <c r="B1752" s="10"/>
      <c r="C1752" s="10"/>
      <c r="D1752" s="10"/>
      <c r="E1752" s="10"/>
      <c r="F1752" s="11"/>
      <c r="G1752" s="11"/>
      <c r="H1752" s="11"/>
      <c r="I1752" s="11"/>
      <c r="J1752" s="11" t="str">
        <f>IFERROR(__xludf.DUMMYFUNCTION("IFERROR(FILTER(Stats!$F:$Z,(Stats!$A:$A=$A1752)*(Stats!$B:$B=$B1752)))"),"#REF!")</f>
        <v>#REF!</v>
      </c>
      <c r="K1752" s="11"/>
      <c r="L1752" s="12"/>
      <c r="M1752" s="11"/>
      <c r="N1752" s="11"/>
      <c r="O1752" s="13"/>
      <c r="P1752" s="14"/>
      <c r="Q1752" s="13"/>
      <c r="R1752" s="13"/>
      <c r="S1752" s="15"/>
      <c r="T1752" s="16"/>
      <c r="U1752" s="16"/>
      <c r="V1752" s="16"/>
      <c r="W1752" s="16"/>
      <c r="X1752" s="16"/>
      <c r="Y1752" s="11"/>
      <c r="Z1752" s="11"/>
      <c r="AA1752" s="11"/>
      <c r="AB1752" s="11"/>
      <c r="AC1752" s="11"/>
      <c r="AD1752" s="11"/>
    </row>
    <row r="1753">
      <c r="A1753" s="10"/>
      <c r="B1753" s="10"/>
      <c r="C1753" s="10"/>
      <c r="D1753" s="10"/>
      <c r="E1753" s="10"/>
      <c r="F1753" s="11"/>
      <c r="G1753" s="11"/>
      <c r="H1753" s="11"/>
      <c r="I1753" s="11"/>
      <c r="J1753" s="11" t="str">
        <f>IFERROR(__xludf.DUMMYFUNCTION("IFERROR(FILTER(Stats!$F:$Z,(Stats!$A:$A=$A1753)*(Stats!$B:$B=$B1753)))"),"#REF!")</f>
        <v>#REF!</v>
      </c>
      <c r="K1753" s="11"/>
      <c r="L1753" s="12"/>
      <c r="M1753" s="11"/>
      <c r="N1753" s="11"/>
      <c r="O1753" s="13"/>
      <c r="P1753" s="14"/>
      <c r="Q1753" s="13"/>
      <c r="R1753" s="13"/>
      <c r="S1753" s="15"/>
      <c r="T1753" s="16"/>
      <c r="U1753" s="16"/>
      <c r="V1753" s="16"/>
      <c r="W1753" s="16"/>
      <c r="X1753" s="16"/>
      <c r="Y1753" s="11"/>
      <c r="Z1753" s="11"/>
      <c r="AA1753" s="11"/>
      <c r="AB1753" s="11"/>
      <c r="AC1753" s="11"/>
      <c r="AD1753" s="11"/>
    </row>
    <row r="1754">
      <c r="A1754" s="10"/>
      <c r="B1754" s="10"/>
      <c r="C1754" s="10"/>
      <c r="D1754" s="10"/>
      <c r="E1754" s="10"/>
      <c r="F1754" s="11"/>
      <c r="G1754" s="11"/>
      <c r="H1754" s="11"/>
      <c r="I1754" s="11"/>
      <c r="J1754" s="11" t="str">
        <f>IFERROR(__xludf.DUMMYFUNCTION("IFERROR(FILTER(Stats!$F:$Z,(Stats!$A:$A=$A1754)*(Stats!$B:$B=$B1754)))"),"#REF!")</f>
        <v>#REF!</v>
      </c>
      <c r="K1754" s="11"/>
      <c r="L1754" s="12"/>
      <c r="M1754" s="11"/>
      <c r="N1754" s="11"/>
      <c r="O1754" s="13"/>
      <c r="P1754" s="14"/>
      <c r="Q1754" s="13"/>
      <c r="R1754" s="13"/>
      <c r="S1754" s="15"/>
      <c r="T1754" s="16"/>
      <c r="U1754" s="16"/>
      <c r="V1754" s="16"/>
      <c r="W1754" s="16"/>
      <c r="X1754" s="16"/>
      <c r="Y1754" s="11"/>
      <c r="Z1754" s="11"/>
      <c r="AA1754" s="11"/>
      <c r="AB1754" s="11"/>
      <c r="AC1754" s="11"/>
      <c r="AD1754" s="11"/>
    </row>
    <row r="1755">
      <c r="A1755" s="10"/>
      <c r="B1755" s="10"/>
      <c r="C1755" s="10"/>
      <c r="D1755" s="10"/>
      <c r="E1755" s="10"/>
      <c r="F1755" s="11"/>
      <c r="G1755" s="11"/>
      <c r="H1755" s="11"/>
      <c r="I1755" s="11"/>
      <c r="J1755" s="11" t="str">
        <f>IFERROR(__xludf.DUMMYFUNCTION("IFERROR(FILTER(Stats!$F:$Z,(Stats!$A:$A=$A1755)*(Stats!$B:$B=$B1755)))"),"#REF!")</f>
        <v>#REF!</v>
      </c>
      <c r="K1755" s="11"/>
      <c r="L1755" s="12"/>
      <c r="M1755" s="11"/>
      <c r="N1755" s="11"/>
      <c r="O1755" s="13"/>
      <c r="P1755" s="14"/>
      <c r="Q1755" s="13"/>
      <c r="R1755" s="13"/>
      <c r="S1755" s="15"/>
      <c r="T1755" s="16"/>
      <c r="U1755" s="16"/>
      <c r="V1755" s="16"/>
      <c r="W1755" s="16"/>
      <c r="X1755" s="16"/>
      <c r="Y1755" s="11"/>
      <c r="Z1755" s="11"/>
      <c r="AA1755" s="11"/>
      <c r="AB1755" s="11"/>
      <c r="AC1755" s="11"/>
      <c r="AD1755" s="11"/>
    </row>
    <row r="1756">
      <c r="A1756" s="10"/>
      <c r="B1756" s="10"/>
      <c r="C1756" s="10"/>
      <c r="D1756" s="10"/>
      <c r="E1756" s="10"/>
      <c r="F1756" s="11"/>
      <c r="G1756" s="11"/>
      <c r="H1756" s="11"/>
      <c r="I1756" s="11"/>
      <c r="J1756" s="11" t="str">
        <f>IFERROR(__xludf.DUMMYFUNCTION("IFERROR(FILTER(Stats!$F:$Z,(Stats!$A:$A=$A1756)*(Stats!$B:$B=$B1756)))"),"#REF!")</f>
        <v>#REF!</v>
      </c>
      <c r="K1756" s="11"/>
      <c r="L1756" s="12"/>
      <c r="M1756" s="11"/>
      <c r="N1756" s="11"/>
      <c r="O1756" s="13"/>
      <c r="P1756" s="14"/>
      <c r="Q1756" s="13"/>
      <c r="R1756" s="13"/>
      <c r="S1756" s="15"/>
      <c r="T1756" s="16"/>
      <c r="U1756" s="16"/>
      <c r="V1756" s="16"/>
      <c r="W1756" s="16"/>
      <c r="X1756" s="16"/>
      <c r="Y1756" s="11"/>
      <c r="Z1756" s="11"/>
      <c r="AA1756" s="11"/>
      <c r="AB1756" s="11"/>
      <c r="AC1756" s="11"/>
      <c r="AD1756" s="11"/>
    </row>
    <row r="1757">
      <c r="A1757" s="10"/>
      <c r="B1757" s="10"/>
      <c r="C1757" s="10"/>
      <c r="D1757" s="10"/>
      <c r="E1757" s="10"/>
      <c r="F1757" s="11"/>
      <c r="G1757" s="11"/>
      <c r="H1757" s="11"/>
      <c r="I1757" s="11"/>
      <c r="J1757" s="11" t="str">
        <f>IFERROR(__xludf.DUMMYFUNCTION("IFERROR(FILTER(Stats!$F:$Z,(Stats!$A:$A=$A1757)*(Stats!$B:$B=$B1757)))"),"#REF!")</f>
        <v>#REF!</v>
      </c>
      <c r="K1757" s="11"/>
      <c r="L1757" s="12"/>
      <c r="M1757" s="11"/>
      <c r="N1757" s="11"/>
      <c r="O1757" s="13"/>
      <c r="P1757" s="14"/>
      <c r="Q1757" s="13"/>
      <c r="R1757" s="13"/>
      <c r="S1757" s="15"/>
      <c r="T1757" s="16"/>
      <c r="U1757" s="16"/>
      <c r="V1757" s="16"/>
      <c r="W1757" s="16"/>
      <c r="X1757" s="16"/>
      <c r="Y1757" s="11"/>
      <c r="Z1757" s="11"/>
      <c r="AA1757" s="11"/>
      <c r="AB1757" s="11"/>
      <c r="AC1757" s="11"/>
      <c r="AD1757" s="11"/>
    </row>
    <row r="1758">
      <c r="A1758" s="10"/>
      <c r="B1758" s="10"/>
      <c r="C1758" s="10"/>
      <c r="D1758" s="10"/>
      <c r="E1758" s="10"/>
      <c r="F1758" s="11"/>
      <c r="G1758" s="11"/>
      <c r="H1758" s="11"/>
      <c r="I1758" s="11"/>
      <c r="J1758" s="11" t="str">
        <f>IFERROR(__xludf.DUMMYFUNCTION("IFERROR(FILTER(Stats!$F:$Z,(Stats!$A:$A=$A1758)*(Stats!$B:$B=$B1758)))"),"#REF!")</f>
        <v>#REF!</v>
      </c>
      <c r="K1758" s="11"/>
      <c r="L1758" s="12"/>
      <c r="M1758" s="11"/>
      <c r="N1758" s="11"/>
      <c r="O1758" s="13"/>
      <c r="P1758" s="14"/>
      <c r="Q1758" s="13"/>
      <c r="R1758" s="13"/>
      <c r="S1758" s="15"/>
      <c r="T1758" s="16"/>
      <c r="U1758" s="16"/>
      <c r="V1758" s="16"/>
      <c r="W1758" s="16"/>
      <c r="X1758" s="16"/>
      <c r="Y1758" s="11"/>
      <c r="Z1758" s="11"/>
      <c r="AA1758" s="11"/>
      <c r="AB1758" s="11"/>
      <c r="AC1758" s="11"/>
      <c r="AD1758" s="11"/>
    </row>
    <row r="1759">
      <c r="A1759" s="10"/>
      <c r="B1759" s="10"/>
      <c r="C1759" s="10"/>
      <c r="D1759" s="10"/>
      <c r="E1759" s="10"/>
      <c r="F1759" s="11"/>
      <c r="G1759" s="11"/>
      <c r="H1759" s="11"/>
      <c r="I1759" s="11"/>
      <c r="J1759" s="11" t="str">
        <f>IFERROR(__xludf.DUMMYFUNCTION("IFERROR(FILTER(Stats!$F:$Z,(Stats!$A:$A=$A1759)*(Stats!$B:$B=$B1759)))"),"#REF!")</f>
        <v>#REF!</v>
      </c>
      <c r="K1759" s="11"/>
      <c r="L1759" s="12"/>
      <c r="M1759" s="11"/>
      <c r="N1759" s="11"/>
      <c r="O1759" s="13"/>
      <c r="P1759" s="14"/>
      <c r="Q1759" s="13"/>
      <c r="R1759" s="13"/>
      <c r="S1759" s="15"/>
      <c r="T1759" s="16"/>
      <c r="U1759" s="16"/>
      <c r="V1759" s="16"/>
      <c r="W1759" s="16"/>
      <c r="X1759" s="16"/>
      <c r="Y1759" s="11"/>
      <c r="Z1759" s="11"/>
      <c r="AA1759" s="11"/>
      <c r="AB1759" s="11"/>
      <c r="AC1759" s="11"/>
      <c r="AD1759" s="11"/>
    </row>
    <row r="1760">
      <c r="A1760" s="10"/>
      <c r="B1760" s="10"/>
      <c r="C1760" s="10"/>
      <c r="D1760" s="10"/>
      <c r="E1760" s="10"/>
      <c r="F1760" s="11"/>
      <c r="G1760" s="11"/>
      <c r="H1760" s="11"/>
      <c r="I1760" s="11"/>
      <c r="J1760" s="11" t="str">
        <f>IFERROR(__xludf.DUMMYFUNCTION("IFERROR(FILTER(Stats!$F:$Z,(Stats!$A:$A=$A1760)*(Stats!$B:$B=$B1760)))"),"#REF!")</f>
        <v>#REF!</v>
      </c>
      <c r="K1760" s="11"/>
      <c r="L1760" s="12"/>
      <c r="M1760" s="11"/>
      <c r="N1760" s="11"/>
      <c r="O1760" s="13"/>
      <c r="P1760" s="14"/>
      <c r="Q1760" s="13"/>
      <c r="R1760" s="13"/>
      <c r="S1760" s="15"/>
      <c r="T1760" s="16"/>
      <c r="U1760" s="16"/>
      <c r="V1760" s="16"/>
      <c r="W1760" s="16"/>
      <c r="X1760" s="16"/>
      <c r="Y1760" s="11"/>
      <c r="Z1760" s="11"/>
      <c r="AA1760" s="11"/>
      <c r="AB1760" s="11"/>
      <c r="AC1760" s="11"/>
      <c r="AD1760" s="11"/>
    </row>
    <row r="1761">
      <c r="A1761" s="10"/>
      <c r="B1761" s="10"/>
      <c r="C1761" s="10"/>
      <c r="D1761" s="10"/>
      <c r="E1761" s="10"/>
      <c r="F1761" s="11"/>
      <c r="G1761" s="11"/>
      <c r="H1761" s="11"/>
      <c r="I1761" s="11"/>
      <c r="J1761" s="11" t="str">
        <f>IFERROR(__xludf.DUMMYFUNCTION("IFERROR(FILTER(Stats!$F:$Z,(Stats!$A:$A=$A1761)*(Stats!$B:$B=$B1761)))"),"#REF!")</f>
        <v>#REF!</v>
      </c>
      <c r="K1761" s="11"/>
      <c r="L1761" s="12"/>
      <c r="M1761" s="11"/>
      <c r="N1761" s="11"/>
      <c r="O1761" s="13"/>
      <c r="P1761" s="14"/>
      <c r="Q1761" s="13"/>
      <c r="R1761" s="13"/>
      <c r="S1761" s="15"/>
      <c r="T1761" s="16"/>
      <c r="U1761" s="16"/>
      <c r="V1761" s="16"/>
      <c r="W1761" s="16"/>
      <c r="X1761" s="16"/>
      <c r="Y1761" s="11"/>
      <c r="Z1761" s="11"/>
      <c r="AA1761" s="11"/>
      <c r="AB1761" s="11"/>
      <c r="AC1761" s="11"/>
      <c r="AD1761" s="11"/>
    </row>
    <row r="1762">
      <c r="A1762" s="10"/>
      <c r="B1762" s="10"/>
      <c r="C1762" s="10"/>
      <c r="D1762" s="10"/>
      <c r="E1762" s="10"/>
      <c r="F1762" s="11"/>
      <c r="G1762" s="11"/>
      <c r="H1762" s="11"/>
      <c r="I1762" s="11"/>
      <c r="J1762" s="11" t="str">
        <f>IFERROR(__xludf.DUMMYFUNCTION("IFERROR(FILTER(Stats!$F:$Z,(Stats!$A:$A=$A1762)*(Stats!$B:$B=$B1762)))"),"#REF!")</f>
        <v>#REF!</v>
      </c>
      <c r="K1762" s="11"/>
      <c r="L1762" s="12"/>
      <c r="M1762" s="11"/>
      <c r="N1762" s="11"/>
      <c r="O1762" s="13"/>
      <c r="P1762" s="14"/>
      <c r="Q1762" s="13"/>
      <c r="R1762" s="13"/>
      <c r="S1762" s="15"/>
      <c r="T1762" s="16"/>
      <c r="U1762" s="16"/>
      <c r="V1762" s="16"/>
      <c r="W1762" s="16"/>
      <c r="X1762" s="16"/>
      <c r="Y1762" s="11"/>
      <c r="Z1762" s="11"/>
      <c r="AA1762" s="11"/>
      <c r="AB1762" s="11"/>
      <c r="AC1762" s="11"/>
      <c r="AD1762" s="11"/>
    </row>
    <row r="1763">
      <c r="A1763" s="10"/>
      <c r="B1763" s="10"/>
      <c r="C1763" s="10"/>
      <c r="D1763" s="10"/>
      <c r="E1763" s="10"/>
      <c r="F1763" s="11"/>
      <c r="G1763" s="11"/>
      <c r="H1763" s="11"/>
      <c r="I1763" s="11"/>
      <c r="J1763" s="11" t="str">
        <f>IFERROR(__xludf.DUMMYFUNCTION("IFERROR(FILTER(Stats!$F:$Z,(Stats!$A:$A=$A1763)*(Stats!$B:$B=$B1763)))"),"#REF!")</f>
        <v>#REF!</v>
      </c>
      <c r="K1763" s="11"/>
      <c r="L1763" s="12"/>
      <c r="M1763" s="11"/>
      <c r="N1763" s="11"/>
      <c r="O1763" s="13"/>
      <c r="P1763" s="14"/>
      <c r="Q1763" s="13"/>
      <c r="R1763" s="13"/>
      <c r="S1763" s="15"/>
      <c r="T1763" s="16"/>
      <c r="U1763" s="16"/>
      <c r="V1763" s="16"/>
      <c r="W1763" s="16"/>
      <c r="X1763" s="16"/>
      <c r="Y1763" s="11"/>
      <c r="Z1763" s="11"/>
      <c r="AA1763" s="11"/>
      <c r="AB1763" s="11"/>
      <c r="AC1763" s="11"/>
      <c r="AD1763" s="11"/>
    </row>
    <row r="1764">
      <c r="A1764" s="10"/>
      <c r="B1764" s="10"/>
      <c r="C1764" s="10"/>
      <c r="D1764" s="10"/>
      <c r="E1764" s="10"/>
      <c r="F1764" s="11"/>
      <c r="G1764" s="11"/>
      <c r="H1764" s="11"/>
      <c r="I1764" s="11"/>
      <c r="J1764" s="11" t="str">
        <f>IFERROR(__xludf.DUMMYFUNCTION("IFERROR(FILTER(Stats!$F:$Z,(Stats!$A:$A=$A1764)*(Stats!$B:$B=$B1764)))"),"#REF!")</f>
        <v>#REF!</v>
      </c>
      <c r="K1764" s="11"/>
      <c r="L1764" s="12"/>
      <c r="M1764" s="11"/>
      <c r="N1764" s="11"/>
      <c r="O1764" s="13"/>
      <c r="P1764" s="14"/>
      <c r="Q1764" s="13"/>
      <c r="R1764" s="13"/>
      <c r="S1764" s="15"/>
      <c r="T1764" s="16"/>
      <c r="U1764" s="16"/>
      <c r="V1764" s="16"/>
      <c r="W1764" s="16"/>
      <c r="X1764" s="16"/>
      <c r="Y1764" s="11"/>
      <c r="Z1764" s="11"/>
      <c r="AA1764" s="11"/>
      <c r="AB1764" s="11"/>
      <c r="AC1764" s="11"/>
      <c r="AD1764" s="11"/>
    </row>
    <row r="1765">
      <c r="A1765" s="10"/>
      <c r="B1765" s="10"/>
      <c r="C1765" s="10"/>
      <c r="D1765" s="10"/>
      <c r="E1765" s="10"/>
      <c r="F1765" s="11"/>
      <c r="G1765" s="11"/>
      <c r="H1765" s="11"/>
      <c r="I1765" s="11"/>
      <c r="J1765" s="11" t="str">
        <f>IFERROR(__xludf.DUMMYFUNCTION("IFERROR(FILTER(Stats!$F:$Z,(Stats!$A:$A=$A1765)*(Stats!$B:$B=$B1765)))"),"#REF!")</f>
        <v>#REF!</v>
      </c>
      <c r="K1765" s="11"/>
      <c r="L1765" s="12"/>
      <c r="M1765" s="11"/>
      <c r="N1765" s="11"/>
      <c r="O1765" s="13"/>
      <c r="P1765" s="14"/>
      <c r="Q1765" s="13"/>
      <c r="R1765" s="13"/>
      <c r="S1765" s="15"/>
      <c r="T1765" s="16"/>
      <c r="U1765" s="16"/>
      <c r="V1765" s="16"/>
      <c r="W1765" s="16"/>
      <c r="X1765" s="16"/>
      <c r="Y1765" s="11"/>
      <c r="Z1765" s="11"/>
      <c r="AA1765" s="11"/>
      <c r="AB1765" s="11"/>
      <c r="AC1765" s="11"/>
      <c r="AD1765" s="11"/>
    </row>
    <row r="1766">
      <c r="A1766" s="10"/>
      <c r="B1766" s="10"/>
      <c r="C1766" s="10"/>
      <c r="D1766" s="10"/>
      <c r="E1766" s="10"/>
      <c r="F1766" s="11"/>
      <c r="G1766" s="11"/>
      <c r="H1766" s="11"/>
      <c r="I1766" s="11"/>
      <c r="J1766" s="11" t="str">
        <f>IFERROR(__xludf.DUMMYFUNCTION("IFERROR(FILTER(Stats!$F:$Z,(Stats!$A:$A=$A1766)*(Stats!$B:$B=$B1766)))"),"#REF!")</f>
        <v>#REF!</v>
      </c>
      <c r="K1766" s="11"/>
      <c r="L1766" s="12"/>
      <c r="M1766" s="11"/>
      <c r="N1766" s="11"/>
      <c r="O1766" s="13"/>
      <c r="P1766" s="14"/>
      <c r="Q1766" s="13"/>
      <c r="R1766" s="13"/>
      <c r="S1766" s="15"/>
      <c r="T1766" s="16"/>
      <c r="U1766" s="16"/>
      <c r="V1766" s="16"/>
      <c r="W1766" s="16"/>
      <c r="X1766" s="16"/>
      <c r="Y1766" s="11"/>
      <c r="Z1766" s="11"/>
      <c r="AA1766" s="11"/>
      <c r="AB1766" s="11"/>
      <c r="AC1766" s="11"/>
      <c r="AD1766" s="11"/>
    </row>
    <row r="1767">
      <c r="A1767" s="10"/>
      <c r="B1767" s="10"/>
      <c r="C1767" s="10"/>
      <c r="D1767" s="10"/>
      <c r="E1767" s="10"/>
      <c r="F1767" s="11"/>
      <c r="G1767" s="11"/>
      <c r="H1767" s="11"/>
      <c r="I1767" s="11"/>
      <c r="J1767" s="11" t="str">
        <f>IFERROR(__xludf.DUMMYFUNCTION("IFERROR(FILTER(Stats!$F:$Z,(Stats!$A:$A=$A1767)*(Stats!$B:$B=$B1767)))"),"#REF!")</f>
        <v>#REF!</v>
      </c>
      <c r="K1767" s="11"/>
      <c r="L1767" s="12"/>
      <c r="M1767" s="11"/>
      <c r="N1767" s="11"/>
      <c r="O1767" s="13"/>
      <c r="P1767" s="14"/>
      <c r="Q1767" s="13"/>
      <c r="R1767" s="13"/>
      <c r="S1767" s="15"/>
      <c r="T1767" s="16"/>
      <c r="U1767" s="16"/>
      <c r="V1767" s="16"/>
      <c r="W1767" s="16"/>
      <c r="X1767" s="16"/>
      <c r="Y1767" s="11"/>
      <c r="Z1767" s="11"/>
      <c r="AA1767" s="11"/>
      <c r="AB1767" s="11"/>
      <c r="AC1767" s="11"/>
      <c r="AD1767" s="11"/>
    </row>
    <row r="1768">
      <c r="A1768" s="10"/>
      <c r="B1768" s="10"/>
      <c r="C1768" s="10"/>
      <c r="D1768" s="10"/>
      <c r="E1768" s="10"/>
      <c r="F1768" s="11"/>
      <c r="G1768" s="11"/>
      <c r="H1768" s="11"/>
      <c r="I1768" s="11"/>
      <c r="J1768" s="11" t="str">
        <f>IFERROR(__xludf.DUMMYFUNCTION("IFERROR(FILTER(Stats!$F:$Z,(Stats!$A:$A=$A1768)*(Stats!$B:$B=$B1768)))"),"#REF!")</f>
        <v>#REF!</v>
      </c>
      <c r="K1768" s="11"/>
      <c r="L1768" s="12"/>
      <c r="M1768" s="11"/>
      <c r="N1768" s="11"/>
      <c r="O1768" s="13"/>
      <c r="P1768" s="14"/>
      <c r="Q1768" s="13"/>
      <c r="R1768" s="13"/>
      <c r="S1768" s="15"/>
      <c r="T1768" s="16"/>
      <c r="U1768" s="16"/>
      <c r="V1768" s="16"/>
      <c r="W1768" s="16"/>
      <c r="X1768" s="16"/>
      <c r="Y1768" s="11"/>
      <c r="Z1768" s="11"/>
      <c r="AA1768" s="11"/>
      <c r="AB1768" s="11"/>
      <c r="AC1768" s="11"/>
      <c r="AD1768" s="11"/>
    </row>
    <row r="1769">
      <c r="A1769" s="10"/>
      <c r="B1769" s="10"/>
      <c r="C1769" s="10"/>
      <c r="D1769" s="10"/>
      <c r="E1769" s="10"/>
      <c r="F1769" s="11"/>
      <c r="G1769" s="11"/>
      <c r="H1769" s="11"/>
      <c r="I1769" s="11"/>
      <c r="J1769" s="11" t="str">
        <f>IFERROR(__xludf.DUMMYFUNCTION("IFERROR(FILTER(Stats!$F:$Z,(Stats!$A:$A=$A1769)*(Stats!$B:$B=$B1769)))"),"#REF!")</f>
        <v>#REF!</v>
      </c>
      <c r="K1769" s="11"/>
      <c r="L1769" s="12"/>
      <c r="M1769" s="11"/>
      <c r="N1769" s="11"/>
      <c r="O1769" s="13"/>
      <c r="P1769" s="14"/>
      <c r="Q1769" s="13"/>
      <c r="R1769" s="13"/>
      <c r="S1769" s="15"/>
      <c r="T1769" s="16"/>
      <c r="U1769" s="16"/>
      <c r="V1769" s="16"/>
      <c r="W1769" s="16"/>
      <c r="X1769" s="16"/>
      <c r="Y1769" s="11"/>
      <c r="Z1769" s="11"/>
      <c r="AA1769" s="11"/>
      <c r="AB1769" s="11"/>
      <c r="AC1769" s="11"/>
      <c r="AD1769" s="11"/>
    </row>
    <row r="1770">
      <c r="A1770" s="10"/>
      <c r="B1770" s="10"/>
      <c r="C1770" s="10"/>
      <c r="D1770" s="10"/>
      <c r="E1770" s="10"/>
      <c r="F1770" s="11"/>
      <c r="G1770" s="11"/>
      <c r="H1770" s="11"/>
      <c r="I1770" s="11"/>
      <c r="J1770" s="11" t="str">
        <f>IFERROR(__xludf.DUMMYFUNCTION("IFERROR(FILTER(Stats!$F:$Z,(Stats!$A:$A=$A1770)*(Stats!$B:$B=$B1770)))"),"#REF!")</f>
        <v>#REF!</v>
      </c>
      <c r="K1770" s="11"/>
      <c r="L1770" s="12"/>
      <c r="M1770" s="11"/>
      <c r="N1770" s="11"/>
      <c r="O1770" s="13"/>
      <c r="P1770" s="14"/>
      <c r="Q1770" s="13"/>
      <c r="R1770" s="13"/>
      <c r="S1770" s="15"/>
      <c r="T1770" s="16"/>
      <c r="U1770" s="16"/>
      <c r="V1770" s="16"/>
      <c r="W1770" s="16"/>
      <c r="X1770" s="16"/>
      <c r="Y1770" s="11"/>
      <c r="Z1770" s="11"/>
      <c r="AA1770" s="11"/>
      <c r="AB1770" s="11"/>
      <c r="AC1770" s="11"/>
      <c r="AD1770" s="11"/>
    </row>
    <row r="1771">
      <c r="A1771" s="10"/>
      <c r="B1771" s="10"/>
      <c r="C1771" s="10"/>
      <c r="D1771" s="10"/>
      <c r="E1771" s="10"/>
      <c r="F1771" s="11"/>
      <c r="G1771" s="11"/>
      <c r="H1771" s="11"/>
      <c r="I1771" s="11"/>
      <c r="J1771" s="11" t="str">
        <f>IFERROR(__xludf.DUMMYFUNCTION("IFERROR(FILTER(Stats!$F:$Z,(Stats!$A:$A=$A1771)*(Stats!$B:$B=$B1771)))"),"#REF!")</f>
        <v>#REF!</v>
      </c>
      <c r="K1771" s="11"/>
      <c r="L1771" s="12"/>
      <c r="M1771" s="11"/>
      <c r="N1771" s="11"/>
      <c r="O1771" s="13"/>
      <c r="P1771" s="14"/>
      <c r="Q1771" s="13"/>
      <c r="R1771" s="13"/>
      <c r="S1771" s="15"/>
      <c r="T1771" s="16"/>
      <c r="U1771" s="16"/>
      <c r="V1771" s="16"/>
      <c r="W1771" s="16"/>
      <c r="X1771" s="16"/>
      <c r="Y1771" s="11"/>
      <c r="Z1771" s="11"/>
      <c r="AA1771" s="11"/>
      <c r="AB1771" s="11"/>
      <c r="AC1771" s="11"/>
      <c r="AD1771" s="11"/>
    </row>
    <row r="1772">
      <c r="A1772" s="10"/>
      <c r="B1772" s="10"/>
      <c r="C1772" s="10"/>
      <c r="D1772" s="10"/>
      <c r="E1772" s="10"/>
      <c r="F1772" s="11"/>
      <c r="G1772" s="11"/>
      <c r="H1772" s="11"/>
      <c r="I1772" s="11"/>
      <c r="J1772" s="11" t="str">
        <f>IFERROR(__xludf.DUMMYFUNCTION("IFERROR(FILTER(Stats!$F:$Z,(Stats!$A:$A=$A1772)*(Stats!$B:$B=$B1772)))"),"#REF!")</f>
        <v>#REF!</v>
      </c>
      <c r="K1772" s="11"/>
      <c r="L1772" s="12"/>
      <c r="M1772" s="11"/>
      <c r="N1772" s="11"/>
      <c r="O1772" s="13"/>
      <c r="P1772" s="14"/>
      <c r="Q1772" s="13"/>
      <c r="R1772" s="13"/>
      <c r="S1772" s="15"/>
      <c r="T1772" s="16"/>
      <c r="U1772" s="16"/>
      <c r="V1772" s="16"/>
      <c r="W1772" s="16"/>
      <c r="X1772" s="16"/>
      <c r="Y1772" s="11"/>
      <c r="Z1772" s="11"/>
      <c r="AA1772" s="11"/>
      <c r="AB1772" s="11"/>
      <c r="AC1772" s="11"/>
      <c r="AD1772" s="11"/>
    </row>
    <row r="1773">
      <c r="A1773" s="10"/>
      <c r="B1773" s="10"/>
      <c r="C1773" s="10"/>
      <c r="D1773" s="10"/>
      <c r="E1773" s="10"/>
      <c r="F1773" s="11"/>
      <c r="G1773" s="11"/>
      <c r="H1773" s="11"/>
      <c r="I1773" s="11"/>
      <c r="J1773" s="11" t="str">
        <f>IFERROR(__xludf.DUMMYFUNCTION("IFERROR(FILTER(Stats!$F:$Z,(Stats!$A:$A=$A1773)*(Stats!$B:$B=$B1773)))"),"#REF!")</f>
        <v>#REF!</v>
      </c>
      <c r="K1773" s="11"/>
      <c r="L1773" s="12"/>
      <c r="M1773" s="11"/>
      <c r="N1773" s="11"/>
      <c r="O1773" s="13"/>
      <c r="P1773" s="14"/>
      <c r="Q1773" s="13"/>
      <c r="R1773" s="13"/>
      <c r="S1773" s="15"/>
      <c r="T1773" s="16"/>
      <c r="U1773" s="16"/>
      <c r="V1773" s="16"/>
      <c r="W1773" s="16"/>
      <c r="X1773" s="16"/>
      <c r="Y1773" s="11"/>
      <c r="Z1773" s="11"/>
      <c r="AA1773" s="11"/>
      <c r="AB1773" s="11"/>
      <c r="AC1773" s="11"/>
      <c r="AD1773" s="11"/>
    </row>
    <row r="1774">
      <c r="A1774" s="10"/>
      <c r="B1774" s="10"/>
      <c r="C1774" s="10"/>
      <c r="D1774" s="10"/>
      <c r="E1774" s="10"/>
      <c r="F1774" s="11"/>
      <c r="G1774" s="11"/>
      <c r="H1774" s="11"/>
      <c r="I1774" s="11"/>
      <c r="J1774" s="11" t="str">
        <f>IFERROR(__xludf.DUMMYFUNCTION("IFERROR(FILTER(Stats!$F:$Z,(Stats!$A:$A=$A1774)*(Stats!$B:$B=$B1774)))"),"#REF!")</f>
        <v>#REF!</v>
      </c>
      <c r="K1774" s="11"/>
      <c r="L1774" s="12"/>
      <c r="M1774" s="11"/>
      <c r="N1774" s="11"/>
      <c r="O1774" s="13"/>
      <c r="P1774" s="14"/>
      <c r="Q1774" s="13"/>
      <c r="R1774" s="13"/>
      <c r="S1774" s="15"/>
      <c r="T1774" s="16"/>
      <c r="U1774" s="16"/>
      <c r="V1774" s="16"/>
      <c r="W1774" s="16"/>
      <c r="X1774" s="16"/>
      <c r="Y1774" s="11"/>
      <c r="Z1774" s="11"/>
      <c r="AA1774" s="11"/>
      <c r="AB1774" s="11"/>
      <c r="AC1774" s="11"/>
      <c r="AD1774" s="11"/>
    </row>
    <row r="1775">
      <c r="A1775" s="10"/>
      <c r="B1775" s="10"/>
      <c r="C1775" s="10"/>
      <c r="D1775" s="10"/>
      <c r="E1775" s="10"/>
      <c r="F1775" s="11"/>
      <c r="G1775" s="11"/>
      <c r="H1775" s="11"/>
      <c r="I1775" s="11"/>
      <c r="J1775" s="11" t="str">
        <f>IFERROR(__xludf.DUMMYFUNCTION("IFERROR(FILTER(Stats!$F:$Z,(Stats!$A:$A=$A1775)*(Stats!$B:$B=$B1775)))"),"#REF!")</f>
        <v>#REF!</v>
      </c>
      <c r="K1775" s="11"/>
      <c r="L1775" s="12"/>
      <c r="M1775" s="11"/>
      <c r="N1775" s="11"/>
      <c r="O1775" s="13"/>
      <c r="P1775" s="14"/>
      <c r="Q1775" s="13"/>
      <c r="R1775" s="13"/>
      <c r="S1775" s="15"/>
      <c r="T1775" s="16"/>
      <c r="U1775" s="16"/>
      <c r="V1775" s="16"/>
      <c r="W1775" s="16"/>
      <c r="X1775" s="16"/>
      <c r="Y1775" s="11"/>
      <c r="Z1775" s="11"/>
      <c r="AA1775" s="11"/>
      <c r="AB1775" s="11"/>
      <c r="AC1775" s="11"/>
      <c r="AD1775" s="11"/>
    </row>
    <row r="1776">
      <c r="A1776" s="10"/>
      <c r="B1776" s="10"/>
      <c r="C1776" s="10"/>
      <c r="D1776" s="10"/>
      <c r="E1776" s="10"/>
      <c r="F1776" s="11"/>
      <c r="G1776" s="11"/>
      <c r="H1776" s="11"/>
      <c r="I1776" s="11"/>
      <c r="J1776" s="11" t="str">
        <f>IFERROR(__xludf.DUMMYFUNCTION("IFERROR(FILTER(Stats!$F:$Z,(Stats!$A:$A=$A1776)*(Stats!$B:$B=$B1776)))"),"#REF!")</f>
        <v>#REF!</v>
      </c>
      <c r="K1776" s="11"/>
      <c r="L1776" s="12"/>
      <c r="M1776" s="11"/>
      <c r="N1776" s="11"/>
      <c r="O1776" s="13"/>
      <c r="P1776" s="14"/>
      <c r="Q1776" s="13"/>
      <c r="R1776" s="13"/>
      <c r="S1776" s="15"/>
      <c r="T1776" s="16"/>
      <c r="U1776" s="16"/>
      <c r="V1776" s="16"/>
      <c r="W1776" s="16"/>
      <c r="X1776" s="16"/>
      <c r="Y1776" s="11"/>
      <c r="Z1776" s="11"/>
      <c r="AA1776" s="11"/>
      <c r="AB1776" s="11"/>
      <c r="AC1776" s="11"/>
      <c r="AD1776" s="11"/>
    </row>
    <row r="1777">
      <c r="A1777" s="10"/>
      <c r="B1777" s="10"/>
      <c r="C1777" s="10"/>
      <c r="D1777" s="10"/>
      <c r="E1777" s="10"/>
      <c r="F1777" s="11"/>
      <c r="G1777" s="11"/>
      <c r="H1777" s="11"/>
      <c r="I1777" s="11"/>
      <c r="J1777" s="11" t="str">
        <f>IFERROR(__xludf.DUMMYFUNCTION("IFERROR(FILTER(Stats!$F:$Z,(Stats!$A:$A=$A1777)*(Stats!$B:$B=$B1777)))"),"#REF!")</f>
        <v>#REF!</v>
      </c>
      <c r="K1777" s="11"/>
      <c r="L1777" s="12"/>
      <c r="M1777" s="11"/>
      <c r="N1777" s="11"/>
      <c r="O1777" s="13"/>
      <c r="P1777" s="14"/>
      <c r="Q1777" s="13"/>
      <c r="R1777" s="13"/>
      <c r="S1777" s="15"/>
      <c r="T1777" s="16"/>
      <c r="U1777" s="16"/>
      <c r="V1777" s="16"/>
      <c r="W1777" s="16"/>
      <c r="X1777" s="16"/>
      <c r="Y1777" s="11"/>
      <c r="Z1777" s="11"/>
      <c r="AA1777" s="11"/>
      <c r="AB1777" s="11"/>
      <c r="AC1777" s="11"/>
      <c r="AD1777" s="11"/>
    </row>
    <row r="1778">
      <c r="A1778" s="10"/>
      <c r="B1778" s="10"/>
      <c r="C1778" s="10"/>
      <c r="D1778" s="10"/>
      <c r="E1778" s="10"/>
      <c r="F1778" s="11"/>
      <c r="G1778" s="11"/>
      <c r="H1778" s="11"/>
      <c r="I1778" s="11"/>
      <c r="J1778" s="11" t="str">
        <f>IFERROR(__xludf.DUMMYFUNCTION("IFERROR(FILTER(Stats!$F:$Z,(Stats!$A:$A=$A1778)*(Stats!$B:$B=$B1778)))"),"#REF!")</f>
        <v>#REF!</v>
      </c>
      <c r="K1778" s="11"/>
      <c r="L1778" s="12"/>
      <c r="M1778" s="11"/>
      <c r="N1778" s="11"/>
      <c r="O1778" s="13"/>
      <c r="P1778" s="14"/>
      <c r="Q1778" s="13"/>
      <c r="R1778" s="13"/>
      <c r="S1778" s="15"/>
      <c r="T1778" s="16"/>
      <c r="U1778" s="16"/>
      <c r="V1778" s="16"/>
      <c r="W1778" s="16"/>
      <c r="X1778" s="16"/>
      <c r="Y1778" s="11"/>
      <c r="Z1778" s="11"/>
      <c r="AA1778" s="11"/>
      <c r="AB1778" s="11"/>
      <c r="AC1778" s="11"/>
      <c r="AD1778" s="11"/>
    </row>
    <row r="1779">
      <c r="A1779" s="10"/>
      <c r="B1779" s="10"/>
      <c r="C1779" s="10"/>
      <c r="D1779" s="10"/>
      <c r="E1779" s="10"/>
      <c r="F1779" s="11"/>
      <c r="G1779" s="11"/>
      <c r="H1779" s="11"/>
      <c r="I1779" s="11"/>
      <c r="J1779" s="11" t="str">
        <f>IFERROR(__xludf.DUMMYFUNCTION("IFERROR(FILTER(Stats!$F:$Z,(Stats!$A:$A=$A1779)*(Stats!$B:$B=$B1779)))"),"#REF!")</f>
        <v>#REF!</v>
      </c>
      <c r="K1779" s="11"/>
      <c r="L1779" s="12"/>
      <c r="M1779" s="11"/>
      <c r="N1779" s="11"/>
      <c r="O1779" s="13"/>
      <c r="P1779" s="14"/>
      <c r="Q1779" s="13"/>
      <c r="R1779" s="13"/>
      <c r="S1779" s="15"/>
      <c r="T1779" s="16"/>
      <c r="U1779" s="16"/>
      <c r="V1779" s="16"/>
      <c r="W1779" s="16"/>
      <c r="X1779" s="16"/>
      <c r="Y1779" s="11"/>
      <c r="Z1779" s="11"/>
      <c r="AA1779" s="11"/>
      <c r="AB1779" s="11"/>
      <c r="AC1779" s="11"/>
      <c r="AD1779" s="11"/>
    </row>
    <row r="1780">
      <c r="A1780" s="10"/>
      <c r="B1780" s="10"/>
      <c r="C1780" s="10"/>
      <c r="D1780" s="10"/>
      <c r="E1780" s="10"/>
      <c r="F1780" s="11"/>
      <c r="G1780" s="11"/>
      <c r="H1780" s="11"/>
      <c r="I1780" s="11"/>
      <c r="J1780" s="11" t="str">
        <f>IFERROR(__xludf.DUMMYFUNCTION("IFERROR(FILTER(Stats!$F:$Z,(Stats!$A:$A=$A1780)*(Stats!$B:$B=$B1780)))"),"#REF!")</f>
        <v>#REF!</v>
      </c>
      <c r="K1780" s="11"/>
      <c r="L1780" s="12"/>
      <c r="M1780" s="11"/>
      <c r="N1780" s="11"/>
      <c r="O1780" s="13"/>
      <c r="P1780" s="14"/>
      <c r="Q1780" s="13"/>
      <c r="R1780" s="13"/>
      <c r="S1780" s="15"/>
      <c r="T1780" s="16"/>
      <c r="U1780" s="16"/>
      <c r="V1780" s="16"/>
      <c r="W1780" s="16"/>
      <c r="X1780" s="16"/>
      <c r="Y1780" s="11"/>
      <c r="Z1780" s="11"/>
      <c r="AA1780" s="11"/>
      <c r="AB1780" s="11"/>
      <c r="AC1780" s="11"/>
      <c r="AD1780" s="11"/>
    </row>
    <row r="1781">
      <c r="A1781" s="10"/>
      <c r="B1781" s="10"/>
      <c r="C1781" s="10"/>
      <c r="D1781" s="10"/>
      <c r="E1781" s="10"/>
      <c r="F1781" s="11"/>
      <c r="G1781" s="11"/>
      <c r="H1781" s="11"/>
      <c r="I1781" s="11"/>
      <c r="J1781" s="11" t="str">
        <f>IFERROR(__xludf.DUMMYFUNCTION("IFERROR(FILTER(Stats!$F:$Z,(Stats!$A:$A=$A1781)*(Stats!$B:$B=$B1781)))"),"#REF!")</f>
        <v>#REF!</v>
      </c>
      <c r="K1781" s="11"/>
      <c r="L1781" s="12"/>
      <c r="M1781" s="11"/>
      <c r="N1781" s="11"/>
      <c r="O1781" s="13"/>
      <c r="P1781" s="14"/>
      <c r="Q1781" s="13"/>
      <c r="R1781" s="13"/>
      <c r="S1781" s="15"/>
      <c r="T1781" s="16"/>
      <c r="U1781" s="16"/>
      <c r="V1781" s="16"/>
      <c r="W1781" s="16"/>
      <c r="X1781" s="16"/>
      <c r="Y1781" s="11"/>
      <c r="Z1781" s="11"/>
      <c r="AA1781" s="11"/>
      <c r="AB1781" s="11"/>
      <c r="AC1781" s="11"/>
      <c r="AD1781" s="11"/>
    </row>
    <row r="1782">
      <c r="A1782" s="10"/>
      <c r="B1782" s="10"/>
      <c r="C1782" s="10"/>
      <c r="D1782" s="10"/>
      <c r="E1782" s="10"/>
      <c r="F1782" s="11"/>
      <c r="G1782" s="11"/>
      <c r="H1782" s="11"/>
      <c r="I1782" s="11"/>
      <c r="J1782" s="11" t="str">
        <f>IFERROR(__xludf.DUMMYFUNCTION("IFERROR(FILTER(Stats!$F:$Z,(Stats!$A:$A=$A1782)*(Stats!$B:$B=$B1782)))"),"#REF!")</f>
        <v>#REF!</v>
      </c>
      <c r="K1782" s="11"/>
      <c r="L1782" s="12"/>
      <c r="M1782" s="11"/>
      <c r="N1782" s="11"/>
      <c r="O1782" s="13"/>
      <c r="P1782" s="14"/>
      <c r="Q1782" s="13"/>
      <c r="R1782" s="13"/>
      <c r="S1782" s="15"/>
      <c r="T1782" s="16"/>
      <c r="U1782" s="16"/>
      <c r="V1782" s="16"/>
      <c r="W1782" s="16"/>
      <c r="X1782" s="16"/>
      <c r="Y1782" s="11"/>
      <c r="Z1782" s="11"/>
      <c r="AA1782" s="11"/>
      <c r="AB1782" s="11"/>
      <c r="AC1782" s="11"/>
      <c r="AD1782" s="11"/>
    </row>
    <row r="1783">
      <c r="A1783" s="10"/>
      <c r="B1783" s="10"/>
      <c r="C1783" s="10"/>
      <c r="D1783" s="10"/>
      <c r="E1783" s="10"/>
      <c r="F1783" s="11"/>
      <c r="G1783" s="11"/>
      <c r="H1783" s="11"/>
      <c r="I1783" s="11"/>
      <c r="J1783" s="11" t="str">
        <f>IFERROR(__xludf.DUMMYFUNCTION("IFERROR(FILTER(Stats!$F:$Z,(Stats!$A:$A=$A1783)*(Stats!$B:$B=$B1783)))"),"#REF!")</f>
        <v>#REF!</v>
      </c>
      <c r="K1783" s="11"/>
      <c r="L1783" s="12"/>
      <c r="M1783" s="11"/>
      <c r="N1783" s="11"/>
      <c r="O1783" s="13"/>
      <c r="P1783" s="14"/>
      <c r="Q1783" s="13"/>
      <c r="R1783" s="13"/>
      <c r="S1783" s="15"/>
      <c r="T1783" s="16"/>
      <c r="U1783" s="16"/>
      <c r="V1783" s="16"/>
      <c r="W1783" s="16"/>
      <c r="X1783" s="16"/>
      <c r="Y1783" s="11"/>
      <c r="Z1783" s="11"/>
      <c r="AA1783" s="11"/>
      <c r="AB1783" s="11"/>
      <c r="AC1783" s="11"/>
      <c r="AD1783" s="11"/>
    </row>
    <row r="1784">
      <c r="A1784" s="10"/>
      <c r="B1784" s="10"/>
      <c r="C1784" s="10"/>
      <c r="D1784" s="10"/>
      <c r="E1784" s="10"/>
      <c r="F1784" s="11"/>
      <c r="G1784" s="11"/>
      <c r="H1784" s="11"/>
      <c r="I1784" s="11"/>
      <c r="J1784" s="11" t="str">
        <f>IFERROR(__xludf.DUMMYFUNCTION("IFERROR(FILTER(Stats!$F:$Z,(Stats!$A:$A=$A1784)*(Stats!$B:$B=$B1784)))"),"#REF!")</f>
        <v>#REF!</v>
      </c>
      <c r="K1784" s="11"/>
      <c r="L1784" s="12"/>
      <c r="M1784" s="11"/>
      <c r="N1784" s="11"/>
      <c r="O1784" s="13"/>
      <c r="P1784" s="14"/>
      <c r="Q1784" s="13"/>
      <c r="R1784" s="13"/>
      <c r="S1784" s="15"/>
      <c r="T1784" s="16"/>
      <c r="U1784" s="16"/>
      <c r="V1784" s="16"/>
      <c r="W1784" s="16"/>
      <c r="X1784" s="16"/>
      <c r="Y1784" s="11"/>
      <c r="Z1784" s="11"/>
      <c r="AA1784" s="11"/>
      <c r="AB1784" s="11"/>
      <c r="AC1784" s="11"/>
      <c r="AD1784" s="11"/>
    </row>
    <row r="1785">
      <c r="A1785" s="10"/>
      <c r="B1785" s="10"/>
      <c r="C1785" s="10"/>
      <c r="D1785" s="10"/>
      <c r="E1785" s="10"/>
      <c r="F1785" s="11"/>
      <c r="G1785" s="11"/>
      <c r="H1785" s="11"/>
      <c r="I1785" s="11"/>
      <c r="J1785" s="11" t="str">
        <f>IFERROR(__xludf.DUMMYFUNCTION("IFERROR(FILTER(Stats!$F:$Z,(Stats!$A:$A=$A1785)*(Stats!$B:$B=$B1785)))"),"#REF!")</f>
        <v>#REF!</v>
      </c>
      <c r="K1785" s="11"/>
      <c r="L1785" s="12"/>
      <c r="M1785" s="11"/>
      <c r="N1785" s="11"/>
      <c r="O1785" s="13"/>
      <c r="P1785" s="14"/>
      <c r="Q1785" s="13"/>
      <c r="R1785" s="13"/>
      <c r="S1785" s="15"/>
      <c r="T1785" s="16"/>
      <c r="U1785" s="16"/>
      <c r="V1785" s="16"/>
      <c r="W1785" s="16"/>
      <c r="X1785" s="16"/>
      <c r="Y1785" s="11"/>
      <c r="Z1785" s="11"/>
      <c r="AA1785" s="11"/>
      <c r="AB1785" s="11"/>
      <c r="AC1785" s="11"/>
      <c r="AD1785" s="11"/>
    </row>
    <row r="1786">
      <c r="A1786" s="10"/>
      <c r="B1786" s="10"/>
      <c r="C1786" s="10"/>
      <c r="D1786" s="10"/>
      <c r="E1786" s="10"/>
      <c r="F1786" s="11"/>
      <c r="G1786" s="11"/>
      <c r="H1786" s="11"/>
      <c r="I1786" s="11"/>
      <c r="J1786" s="11" t="str">
        <f>IFERROR(__xludf.DUMMYFUNCTION("IFERROR(FILTER(Stats!$F:$Z,(Stats!$A:$A=$A1786)*(Stats!$B:$B=$B1786)))"),"#REF!")</f>
        <v>#REF!</v>
      </c>
      <c r="K1786" s="11"/>
      <c r="L1786" s="12"/>
      <c r="M1786" s="11"/>
      <c r="N1786" s="11"/>
      <c r="O1786" s="13"/>
      <c r="P1786" s="14"/>
      <c r="Q1786" s="13"/>
      <c r="R1786" s="13"/>
      <c r="S1786" s="15"/>
      <c r="T1786" s="16"/>
      <c r="U1786" s="16"/>
      <c r="V1786" s="16"/>
      <c r="W1786" s="16"/>
      <c r="X1786" s="16"/>
      <c r="Y1786" s="11"/>
      <c r="Z1786" s="11"/>
      <c r="AA1786" s="11"/>
      <c r="AB1786" s="11"/>
      <c r="AC1786" s="11"/>
      <c r="AD1786" s="11"/>
    </row>
    <row r="1787">
      <c r="A1787" s="10"/>
      <c r="B1787" s="10"/>
      <c r="C1787" s="10"/>
      <c r="D1787" s="10"/>
      <c r="E1787" s="10"/>
      <c r="F1787" s="11"/>
      <c r="G1787" s="11"/>
      <c r="H1787" s="11"/>
      <c r="I1787" s="11"/>
      <c r="J1787" s="11" t="str">
        <f>IFERROR(__xludf.DUMMYFUNCTION("IFERROR(FILTER(Stats!$F:$Z,(Stats!$A:$A=$A1787)*(Stats!$B:$B=$B1787)))"),"#REF!")</f>
        <v>#REF!</v>
      </c>
      <c r="K1787" s="11"/>
      <c r="L1787" s="12"/>
      <c r="M1787" s="11"/>
      <c r="N1787" s="11"/>
      <c r="O1787" s="13"/>
      <c r="P1787" s="14"/>
      <c r="Q1787" s="13"/>
      <c r="R1787" s="13"/>
      <c r="S1787" s="15"/>
      <c r="T1787" s="16"/>
      <c r="U1787" s="16"/>
      <c r="V1787" s="16"/>
      <c r="W1787" s="16"/>
      <c r="X1787" s="16"/>
      <c r="Y1787" s="11"/>
      <c r="Z1787" s="11"/>
      <c r="AA1787" s="11"/>
      <c r="AB1787" s="11"/>
      <c r="AC1787" s="11"/>
      <c r="AD1787" s="11"/>
    </row>
    <row r="1788">
      <c r="A1788" s="10"/>
      <c r="B1788" s="10"/>
      <c r="C1788" s="10"/>
      <c r="D1788" s="10"/>
      <c r="E1788" s="10"/>
      <c r="F1788" s="11"/>
      <c r="G1788" s="11"/>
      <c r="H1788" s="11"/>
      <c r="I1788" s="11"/>
      <c r="J1788" s="11" t="str">
        <f>IFERROR(__xludf.DUMMYFUNCTION("IFERROR(FILTER(Stats!$F:$Z,(Stats!$A:$A=$A1788)*(Stats!$B:$B=$B1788)))"),"#REF!")</f>
        <v>#REF!</v>
      </c>
      <c r="K1788" s="11"/>
      <c r="L1788" s="12"/>
      <c r="M1788" s="11"/>
      <c r="N1788" s="11"/>
      <c r="O1788" s="13"/>
      <c r="P1788" s="14"/>
      <c r="Q1788" s="13"/>
      <c r="R1788" s="13"/>
      <c r="S1788" s="15"/>
      <c r="T1788" s="16"/>
      <c r="U1788" s="16"/>
      <c r="V1788" s="16"/>
      <c r="W1788" s="16"/>
      <c r="X1788" s="16"/>
      <c r="Y1788" s="11"/>
      <c r="Z1788" s="11"/>
      <c r="AA1788" s="11"/>
      <c r="AB1788" s="11"/>
      <c r="AC1788" s="11"/>
      <c r="AD1788" s="11"/>
    </row>
    <row r="1789">
      <c r="A1789" s="10"/>
      <c r="B1789" s="10"/>
      <c r="C1789" s="10"/>
      <c r="D1789" s="10"/>
      <c r="E1789" s="10"/>
      <c r="F1789" s="11"/>
      <c r="G1789" s="11"/>
      <c r="H1789" s="11"/>
      <c r="I1789" s="11"/>
      <c r="J1789" s="11" t="str">
        <f>IFERROR(__xludf.DUMMYFUNCTION("IFERROR(FILTER(Stats!$F:$Z,(Stats!$A:$A=$A1789)*(Stats!$B:$B=$B1789)))"),"#REF!")</f>
        <v>#REF!</v>
      </c>
      <c r="K1789" s="11"/>
      <c r="L1789" s="12"/>
      <c r="M1789" s="11"/>
      <c r="N1789" s="11"/>
      <c r="O1789" s="13"/>
      <c r="P1789" s="14"/>
      <c r="Q1789" s="13"/>
      <c r="R1789" s="13"/>
      <c r="S1789" s="15"/>
      <c r="T1789" s="16"/>
      <c r="U1789" s="16"/>
      <c r="V1789" s="16"/>
      <c r="W1789" s="16"/>
      <c r="X1789" s="16"/>
      <c r="Y1789" s="11"/>
      <c r="Z1789" s="11"/>
      <c r="AA1789" s="11"/>
      <c r="AB1789" s="11"/>
      <c r="AC1789" s="11"/>
      <c r="AD1789" s="11"/>
    </row>
    <row r="1790">
      <c r="A1790" s="10"/>
      <c r="B1790" s="10"/>
      <c r="C1790" s="10"/>
      <c r="D1790" s="10"/>
      <c r="E1790" s="10"/>
      <c r="F1790" s="11"/>
      <c r="G1790" s="11"/>
      <c r="H1790" s="11"/>
      <c r="I1790" s="11"/>
      <c r="J1790" s="11" t="str">
        <f>IFERROR(__xludf.DUMMYFUNCTION("IFERROR(FILTER(Stats!$F:$Z,(Stats!$A:$A=$A1790)*(Stats!$B:$B=$B1790)))"),"#REF!")</f>
        <v>#REF!</v>
      </c>
      <c r="K1790" s="11"/>
      <c r="L1790" s="12"/>
      <c r="M1790" s="11"/>
      <c r="N1790" s="11"/>
      <c r="O1790" s="13"/>
      <c r="P1790" s="14"/>
      <c r="Q1790" s="13"/>
      <c r="R1790" s="13"/>
      <c r="S1790" s="15"/>
      <c r="T1790" s="16"/>
      <c r="U1790" s="16"/>
      <c r="V1790" s="16"/>
      <c r="W1790" s="16"/>
      <c r="X1790" s="16"/>
      <c r="Y1790" s="11"/>
      <c r="Z1790" s="11"/>
      <c r="AA1790" s="11"/>
      <c r="AB1790" s="11"/>
      <c r="AC1790" s="11"/>
      <c r="AD1790" s="11"/>
    </row>
    <row r="1791">
      <c r="A1791" s="10"/>
      <c r="B1791" s="10"/>
      <c r="C1791" s="10"/>
      <c r="D1791" s="10"/>
      <c r="E1791" s="10"/>
      <c r="F1791" s="11"/>
      <c r="G1791" s="11"/>
      <c r="H1791" s="11"/>
      <c r="I1791" s="11"/>
      <c r="J1791" s="11" t="str">
        <f>IFERROR(__xludf.DUMMYFUNCTION("IFERROR(FILTER(Stats!$F:$Z,(Stats!$A:$A=$A1791)*(Stats!$B:$B=$B1791)))"),"#REF!")</f>
        <v>#REF!</v>
      </c>
      <c r="K1791" s="11"/>
      <c r="L1791" s="12"/>
      <c r="M1791" s="11"/>
      <c r="N1791" s="11"/>
      <c r="O1791" s="13"/>
      <c r="P1791" s="14"/>
      <c r="Q1791" s="13"/>
      <c r="R1791" s="13"/>
      <c r="S1791" s="15"/>
      <c r="T1791" s="16"/>
      <c r="U1791" s="16"/>
      <c r="V1791" s="16"/>
      <c r="W1791" s="16"/>
      <c r="X1791" s="16"/>
      <c r="Y1791" s="11"/>
      <c r="Z1791" s="11"/>
      <c r="AA1791" s="11"/>
      <c r="AB1791" s="11"/>
      <c r="AC1791" s="11"/>
      <c r="AD1791" s="11"/>
    </row>
    <row r="1792">
      <c r="A1792" s="10"/>
      <c r="B1792" s="10"/>
      <c r="C1792" s="10"/>
      <c r="D1792" s="10"/>
      <c r="E1792" s="10"/>
      <c r="F1792" s="11"/>
      <c r="G1792" s="11"/>
      <c r="H1792" s="11"/>
      <c r="I1792" s="11"/>
      <c r="J1792" s="11" t="str">
        <f>IFERROR(__xludf.DUMMYFUNCTION("IFERROR(FILTER(Stats!$F:$Z,(Stats!$A:$A=$A1792)*(Stats!$B:$B=$B1792)))"),"#REF!")</f>
        <v>#REF!</v>
      </c>
      <c r="K1792" s="11"/>
      <c r="L1792" s="12"/>
      <c r="M1792" s="11"/>
      <c r="N1792" s="11"/>
      <c r="O1792" s="13"/>
      <c r="P1792" s="14"/>
      <c r="Q1792" s="13"/>
      <c r="R1792" s="13"/>
      <c r="S1792" s="15"/>
      <c r="T1792" s="16"/>
      <c r="U1792" s="16"/>
      <c r="V1792" s="16"/>
      <c r="W1792" s="16"/>
      <c r="X1792" s="16"/>
      <c r="Y1792" s="11"/>
      <c r="Z1792" s="11"/>
      <c r="AA1792" s="11"/>
      <c r="AB1792" s="11"/>
      <c r="AC1792" s="11"/>
      <c r="AD1792" s="11"/>
    </row>
    <row r="1793">
      <c r="A1793" s="10"/>
      <c r="B1793" s="10"/>
      <c r="C1793" s="10"/>
      <c r="D1793" s="10"/>
      <c r="E1793" s="10"/>
      <c r="F1793" s="11"/>
      <c r="G1793" s="11"/>
      <c r="H1793" s="11"/>
      <c r="I1793" s="11"/>
      <c r="J1793" s="11" t="str">
        <f>IFERROR(__xludf.DUMMYFUNCTION("IFERROR(FILTER(Stats!$F:$Z,(Stats!$A:$A=$A1793)*(Stats!$B:$B=$B1793)))"),"#REF!")</f>
        <v>#REF!</v>
      </c>
      <c r="K1793" s="11"/>
      <c r="L1793" s="12"/>
      <c r="M1793" s="11"/>
      <c r="N1793" s="11"/>
      <c r="O1793" s="13"/>
      <c r="P1793" s="14"/>
      <c r="Q1793" s="13"/>
      <c r="R1793" s="13"/>
      <c r="S1793" s="15"/>
      <c r="T1793" s="16"/>
      <c r="U1793" s="16"/>
      <c r="V1793" s="16"/>
      <c r="W1793" s="16"/>
      <c r="X1793" s="16"/>
      <c r="Y1793" s="11"/>
      <c r="Z1793" s="11"/>
      <c r="AA1793" s="11"/>
      <c r="AB1793" s="11"/>
      <c r="AC1793" s="11"/>
      <c r="AD1793" s="11"/>
    </row>
    <row r="1794">
      <c r="A1794" s="10"/>
      <c r="B1794" s="10"/>
      <c r="C1794" s="10"/>
      <c r="D1794" s="10"/>
      <c r="E1794" s="10"/>
      <c r="F1794" s="11"/>
      <c r="G1794" s="11"/>
      <c r="H1794" s="11"/>
      <c r="I1794" s="11"/>
      <c r="J1794" s="11" t="str">
        <f>IFERROR(__xludf.DUMMYFUNCTION("IFERROR(FILTER(Stats!$F:$Z,(Stats!$A:$A=$A1794)*(Stats!$B:$B=$B1794)))"),"#REF!")</f>
        <v>#REF!</v>
      </c>
      <c r="K1794" s="11"/>
      <c r="L1794" s="12"/>
      <c r="M1794" s="11"/>
      <c r="N1794" s="11"/>
      <c r="O1794" s="13"/>
      <c r="P1794" s="14"/>
      <c r="Q1794" s="13"/>
      <c r="R1794" s="13"/>
      <c r="S1794" s="15"/>
      <c r="T1794" s="16"/>
      <c r="U1794" s="16"/>
      <c r="V1794" s="16"/>
      <c r="W1794" s="16"/>
      <c r="X1794" s="16"/>
      <c r="Y1794" s="11"/>
      <c r="Z1794" s="11"/>
      <c r="AA1794" s="11"/>
      <c r="AB1794" s="11"/>
      <c r="AC1794" s="11"/>
      <c r="AD1794" s="11"/>
    </row>
    <row r="1795">
      <c r="A1795" s="10"/>
      <c r="B1795" s="10"/>
      <c r="C1795" s="10"/>
      <c r="D1795" s="10"/>
      <c r="E1795" s="10"/>
      <c r="F1795" s="11"/>
      <c r="G1795" s="11"/>
      <c r="H1795" s="11"/>
      <c r="I1795" s="11"/>
      <c r="J1795" s="11" t="str">
        <f>IFERROR(__xludf.DUMMYFUNCTION("IFERROR(FILTER(Stats!$F:$Z,(Stats!$A:$A=$A1795)*(Stats!$B:$B=$B1795)))"),"#REF!")</f>
        <v>#REF!</v>
      </c>
      <c r="K1795" s="11"/>
      <c r="L1795" s="12"/>
      <c r="M1795" s="11"/>
      <c r="N1795" s="11"/>
      <c r="O1795" s="13"/>
      <c r="P1795" s="14"/>
      <c r="Q1795" s="13"/>
      <c r="R1795" s="13"/>
      <c r="S1795" s="15"/>
      <c r="T1795" s="16"/>
      <c r="U1795" s="16"/>
      <c r="V1795" s="16"/>
      <c r="W1795" s="16"/>
      <c r="X1795" s="16"/>
      <c r="Y1795" s="11"/>
      <c r="Z1795" s="11"/>
      <c r="AA1795" s="11"/>
      <c r="AB1795" s="11"/>
      <c r="AC1795" s="11"/>
      <c r="AD1795" s="11"/>
    </row>
    <row r="1796">
      <c r="A1796" s="10"/>
      <c r="B1796" s="10"/>
      <c r="C1796" s="10"/>
      <c r="D1796" s="10"/>
      <c r="E1796" s="10"/>
      <c r="F1796" s="11"/>
      <c r="G1796" s="11"/>
      <c r="H1796" s="11"/>
      <c r="I1796" s="11"/>
      <c r="J1796" s="11" t="str">
        <f>IFERROR(__xludf.DUMMYFUNCTION("IFERROR(FILTER(Stats!$F:$Z,(Stats!$A:$A=$A1796)*(Stats!$B:$B=$B1796)))"),"#REF!")</f>
        <v>#REF!</v>
      </c>
      <c r="K1796" s="11"/>
      <c r="L1796" s="12"/>
      <c r="M1796" s="11"/>
      <c r="N1796" s="11"/>
      <c r="O1796" s="13"/>
      <c r="P1796" s="14"/>
      <c r="Q1796" s="13"/>
      <c r="R1796" s="13"/>
      <c r="S1796" s="15"/>
      <c r="T1796" s="16"/>
      <c r="U1796" s="16"/>
      <c r="V1796" s="16"/>
      <c r="W1796" s="16"/>
      <c r="X1796" s="16"/>
      <c r="Y1796" s="11"/>
      <c r="Z1796" s="11"/>
      <c r="AA1796" s="11"/>
      <c r="AB1796" s="11"/>
      <c r="AC1796" s="11"/>
      <c r="AD1796" s="11"/>
    </row>
    <row r="1797">
      <c r="A1797" s="10"/>
      <c r="B1797" s="10"/>
      <c r="C1797" s="10"/>
      <c r="D1797" s="10"/>
      <c r="E1797" s="10"/>
      <c r="F1797" s="11"/>
      <c r="G1797" s="11"/>
      <c r="H1797" s="11"/>
      <c r="I1797" s="11"/>
      <c r="J1797" s="11" t="str">
        <f>IFERROR(__xludf.DUMMYFUNCTION("IFERROR(FILTER(Stats!$F:$Z,(Stats!$A:$A=$A1797)*(Stats!$B:$B=$B1797)))"),"#REF!")</f>
        <v>#REF!</v>
      </c>
      <c r="K1797" s="11"/>
      <c r="L1797" s="12"/>
      <c r="M1797" s="11"/>
      <c r="N1797" s="11"/>
      <c r="O1797" s="13"/>
      <c r="P1797" s="14"/>
      <c r="Q1797" s="13"/>
      <c r="R1797" s="13"/>
      <c r="S1797" s="15"/>
      <c r="T1797" s="16"/>
      <c r="U1797" s="16"/>
      <c r="V1797" s="16"/>
      <c r="W1797" s="16"/>
      <c r="X1797" s="16"/>
      <c r="Y1797" s="11"/>
      <c r="Z1797" s="11"/>
      <c r="AA1797" s="11"/>
      <c r="AB1797" s="11"/>
      <c r="AC1797" s="11"/>
      <c r="AD1797" s="11"/>
    </row>
    <row r="1798">
      <c r="A1798" s="10"/>
      <c r="B1798" s="10"/>
      <c r="C1798" s="10"/>
      <c r="D1798" s="10"/>
      <c r="E1798" s="10"/>
      <c r="F1798" s="11"/>
      <c r="G1798" s="11"/>
      <c r="H1798" s="11"/>
      <c r="I1798" s="11"/>
      <c r="J1798" s="11" t="str">
        <f>IFERROR(__xludf.DUMMYFUNCTION("IFERROR(FILTER(Stats!$F:$Z,(Stats!$A:$A=$A1798)*(Stats!$B:$B=$B1798)))"),"#REF!")</f>
        <v>#REF!</v>
      </c>
      <c r="K1798" s="11"/>
      <c r="L1798" s="12"/>
      <c r="M1798" s="11"/>
      <c r="N1798" s="11"/>
      <c r="O1798" s="13"/>
      <c r="P1798" s="14"/>
      <c r="Q1798" s="13"/>
      <c r="R1798" s="13"/>
      <c r="S1798" s="15"/>
      <c r="T1798" s="16"/>
      <c r="U1798" s="16"/>
      <c r="V1798" s="16"/>
      <c r="W1798" s="16"/>
      <c r="X1798" s="16"/>
      <c r="Y1798" s="11"/>
      <c r="Z1798" s="11"/>
      <c r="AA1798" s="11"/>
      <c r="AB1798" s="11"/>
      <c r="AC1798" s="11"/>
      <c r="AD1798" s="11"/>
    </row>
    <row r="1799">
      <c r="A1799" s="10"/>
      <c r="B1799" s="10"/>
      <c r="C1799" s="10"/>
      <c r="D1799" s="10"/>
      <c r="E1799" s="10"/>
      <c r="F1799" s="11"/>
      <c r="G1799" s="11"/>
      <c r="H1799" s="11"/>
      <c r="I1799" s="11"/>
      <c r="J1799" s="11" t="str">
        <f>IFERROR(__xludf.DUMMYFUNCTION("IFERROR(FILTER(Stats!$F:$Z,(Stats!$A:$A=$A1799)*(Stats!$B:$B=$B1799)))"),"#REF!")</f>
        <v>#REF!</v>
      </c>
      <c r="K1799" s="11"/>
      <c r="L1799" s="12"/>
      <c r="M1799" s="11"/>
      <c r="N1799" s="11"/>
      <c r="O1799" s="13"/>
      <c r="P1799" s="14"/>
      <c r="Q1799" s="13"/>
      <c r="R1799" s="13"/>
      <c r="S1799" s="15"/>
      <c r="T1799" s="16"/>
      <c r="U1799" s="16"/>
      <c r="V1799" s="16"/>
      <c r="W1799" s="16"/>
      <c r="X1799" s="16"/>
      <c r="Y1799" s="11"/>
      <c r="Z1799" s="11"/>
      <c r="AA1799" s="11"/>
      <c r="AB1799" s="11"/>
      <c r="AC1799" s="11"/>
      <c r="AD1799" s="11"/>
    </row>
    <row r="1800">
      <c r="A1800" s="10"/>
      <c r="B1800" s="10"/>
      <c r="C1800" s="10"/>
      <c r="D1800" s="10"/>
      <c r="E1800" s="10"/>
      <c r="F1800" s="11"/>
      <c r="G1800" s="11"/>
      <c r="H1800" s="11"/>
      <c r="I1800" s="11"/>
      <c r="J1800" s="11" t="str">
        <f>IFERROR(__xludf.DUMMYFUNCTION("IFERROR(FILTER(Stats!$F:$Z,(Stats!$A:$A=$A1800)*(Stats!$B:$B=$B1800)))"),"#REF!")</f>
        <v>#REF!</v>
      </c>
      <c r="K1800" s="11"/>
      <c r="L1800" s="12"/>
      <c r="M1800" s="11"/>
      <c r="N1800" s="11"/>
      <c r="O1800" s="13"/>
      <c r="P1800" s="14"/>
      <c r="Q1800" s="13"/>
      <c r="R1800" s="13"/>
      <c r="S1800" s="15"/>
      <c r="T1800" s="16"/>
      <c r="U1800" s="16"/>
      <c r="V1800" s="16"/>
      <c r="W1800" s="16"/>
      <c r="X1800" s="16"/>
      <c r="Y1800" s="11"/>
      <c r="Z1800" s="11"/>
      <c r="AA1800" s="11"/>
      <c r="AB1800" s="11"/>
      <c r="AC1800" s="11"/>
      <c r="AD1800" s="11"/>
    </row>
    <row r="1801">
      <c r="A1801" s="10"/>
      <c r="B1801" s="10"/>
      <c r="C1801" s="10"/>
      <c r="D1801" s="10"/>
      <c r="E1801" s="10"/>
      <c r="F1801" s="11"/>
      <c r="G1801" s="11"/>
      <c r="H1801" s="11"/>
      <c r="I1801" s="11"/>
      <c r="J1801" s="11" t="str">
        <f>IFERROR(__xludf.DUMMYFUNCTION("IFERROR(FILTER(Stats!$F:$Z,(Stats!$A:$A=$A1801)*(Stats!$B:$B=$B1801)))"),"#REF!")</f>
        <v>#REF!</v>
      </c>
      <c r="K1801" s="11"/>
      <c r="L1801" s="12"/>
      <c r="M1801" s="11"/>
      <c r="N1801" s="11"/>
      <c r="O1801" s="13"/>
      <c r="P1801" s="14"/>
      <c r="Q1801" s="13"/>
      <c r="R1801" s="13"/>
      <c r="S1801" s="15"/>
      <c r="T1801" s="16"/>
      <c r="U1801" s="16"/>
      <c r="V1801" s="16"/>
      <c r="W1801" s="16"/>
      <c r="X1801" s="16"/>
      <c r="Y1801" s="11"/>
      <c r="Z1801" s="11"/>
      <c r="AA1801" s="11"/>
      <c r="AB1801" s="11"/>
      <c r="AC1801" s="11"/>
      <c r="AD1801" s="11"/>
    </row>
    <row r="1802">
      <c r="A1802" s="10"/>
      <c r="B1802" s="10"/>
      <c r="C1802" s="10"/>
      <c r="D1802" s="10"/>
      <c r="E1802" s="10"/>
      <c r="F1802" s="11"/>
      <c r="G1802" s="11"/>
      <c r="H1802" s="11"/>
      <c r="I1802" s="11"/>
      <c r="J1802" s="11" t="str">
        <f>IFERROR(__xludf.DUMMYFUNCTION("IFERROR(FILTER(Stats!$F:$Z,(Stats!$A:$A=$A1802)*(Stats!$B:$B=$B1802)))"),"#REF!")</f>
        <v>#REF!</v>
      </c>
      <c r="K1802" s="11"/>
      <c r="L1802" s="12"/>
      <c r="M1802" s="11"/>
      <c r="N1802" s="11"/>
      <c r="O1802" s="13"/>
      <c r="P1802" s="14"/>
      <c r="Q1802" s="13"/>
      <c r="R1802" s="13"/>
      <c r="S1802" s="15"/>
      <c r="T1802" s="16"/>
      <c r="U1802" s="16"/>
      <c r="V1802" s="16"/>
      <c r="W1802" s="16"/>
      <c r="X1802" s="16"/>
      <c r="Y1802" s="11"/>
      <c r="Z1802" s="11"/>
      <c r="AA1802" s="11"/>
      <c r="AB1802" s="11"/>
      <c r="AC1802" s="11"/>
      <c r="AD1802" s="11"/>
    </row>
    <row r="1803">
      <c r="A1803" s="10"/>
      <c r="B1803" s="10"/>
      <c r="C1803" s="10"/>
      <c r="D1803" s="10"/>
      <c r="E1803" s="10"/>
      <c r="F1803" s="11"/>
      <c r="G1803" s="11"/>
      <c r="H1803" s="11"/>
      <c r="I1803" s="11"/>
      <c r="J1803" s="11" t="str">
        <f>IFERROR(__xludf.DUMMYFUNCTION("IFERROR(FILTER(Stats!$F:$Z,(Stats!$A:$A=$A1803)*(Stats!$B:$B=$B1803)))"),"#REF!")</f>
        <v>#REF!</v>
      </c>
      <c r="K1803" s="11"/>
      <c r="L1803" s="12"/>
      <c r="M1803" s="11"/>
      <c r="N1803" s="11"/>
      <c r="O1803" s="13"/>
      <c r="P1803" s="14"/>
      <c r="Q1803" s="13"/>
      <c r="R1803" s="13"/>
      <c r="S1803" s="15"/>
      <c r="T1803" s="16"/>
      <c r="U1803" s="16"/>
      <c r="V1803" s="16"/>
      <c r="W1803" s="16"/>
      <c r="X1803" s="16"/>
      <c r="Y1803" s="11"/>
      <c r="Z1803" s="11"/>
      <c r="AA1803" s="11"/>
      <c r="AB1803" s="11"/>
      <c r="AC1803" s="11"/>
      <c r="AD1803" s="11"/>
    </row>
    <row r="1804">
      <c r="A1804" s="10"/>
      <c r="B1804" s="10"/>
      <c r="C1804" s="10"/>
      <c r="D1804" s="10"/>
      <c r="E1804" s="10"/>
      <c r="F1804" s="11"/>
      <c r="G1804" s="11"/>
      <c r="H1804" s="11"/>
      <c r="I1804" s="11"/>
      <c r="J1804" s="11" t="str">
        <f>IFERROR(__xludf.DUMMYFUNCTION("IFERROR(FILTER(Stats!$F:$Z,(Stats!$A:$A=$A1804)*(Stats!$B:$B=$B1804)))"),"#REF!")</f>
        <v>#REF!</v>
      </c>
      <c r="K1804" s="11"/>
      <c r="L1804" s="12"/>
      <c r="M1804" s="11"/>
      <c r="N1804" s="11"/>
      <c r="O1804" s="13"/>
      <c r="P1804" s="14"/>
      <c r="Q1804" s="13"/>
      <c r="R1804" s="13"/>
      <c r="S1804" s="15"/>
      <c r="T1804" s="16"/>
      <c r="U1804" s="16"/>
      <c r="V1804" s="16"/>
      <c r="W1804" s="16"/>
      <c r="X1804" s="16"/>
      <c r="Y1804" s="11"/>
      <c r="Z1804" s="11"/>
      <c r="AA1804" s="11"/>
      <c r="AB1804" s="11"/>
      <c r="AC1804" s="11"/>
      <c r="AD1804" s="11"/>
    </row>
    <row r="1805">
      <c r="A1805" s="10"/>
      <c r="B1805" s="10"/>
      <c r="C1805" s="10"/>
      <c r="D1805" s="10"/>
      <c r="E1805" s="10"/>
      <c r="F1805" s="11"/>
      <c r="G1805" s="11"/>
      <c r="H1805" s="11"/>
      <c r="I1805" s="11"/>
      <c r="J1805" s="11" t="str">
        <f>IFERROR(__xludf.DUMMYFUNCTION("IFERROR(FILTER(Stats!$F:$Z,(Stats!$A:$A=$A1805)*(Stats!$B:$B=$B1805)))"),"#REF!")</f>
        <v>#REF!</v>
      </c>
      <c r="K1805" s="11"/>
      <c r="L1805" s="12"/>
      <c r="M1805" s="11"/>
      <c r="N1805" s="11"/>
      <c r="O1805" s="13"/>
      <c r="P1805" s="14"/>
      <c r="Q1805" s="13"/>
      <c r="R1805" s="13"/>
      <c r="S1805" s="15"/>
      <c r="T1805" s="16"/>
      <c r="U1805" s="16"/>
      <c r="V1805" s="16"/>
      <c r="W1805" s="16"/>
      <c r="X1805" s="16"/>
      <c r="Y1805" s="11"/>
      <c r="Z1805" s="11"/>
      <c r="AA1805" s="11"/>
      <c r="AB1805" s="11"/>
      <c r="AC1805" s="11"/>
      <c r="AD1805" s="11"/>
    </row>
    <row r="1806">
      <c r="A1806" s="10"/>
      <c r="B1806" s="10"/>
      <c r="C1806" s="10"/>
      <c r="D1806" s="10"/>
      <c r="E1806" s="10"/>
      <c r="F1806" s="11"/>
      <c r="G1806" s="11"/>
      <c r="H1806" s="11"/>
      <c r="I1806" s="11"/>
      <c r="J1806" s="11" t="str">
        <f>IFERROR(__xludf.DUMMYFUNCTION("IFERROR(FILTER(Stats!$F:$Z,(Stats!$A:$A=$A1806)*(Stats!$B:$B=$B1806)))"),"#REF!")</f>
        <v>#REF!</v>
      </c>
      <c r="K1806" s="11"/>
      <c r="L1806" s="12"/>
      <c r="M1806" s="11"/>
      <c r="N1806" s="11"/>
      <c r="O1806" s="13"/>
      <c r="P1806" s="14"/>
      <c r="Q1806" s="13"/>
      <c r="R1806" s="13"/>
      <c r="S1806" s="15"/>
      <c r="T1806" s="16"/>
      <c r="U1806" s="16"/>
      <c r="V1806" s="16"/>
      <c r="W1806" s="16"/>
      <c r="X1806" s="16"/>
      <c r="Y1806" s="11"/>
      <c r="Z1806" s="11"/>
      <c r="AA1806" s="11"/>
      <c r="AB1806" s="11"/>
      <c r="AC1806" s="11"/>
      <c r="AD1806" s="11"/>
    </row>
    <row r="1807">
      <c r="A1807" s="10"/>
      <c r="B1807" s="10"/>
      <c r="C1807" s="10"/>
      <c r="D1807" s="10"/>
      <c r="E1807" s="10"/>
      <c r="F1807" s="11"/>
      <c r="G1807" s="11"/>
      <c r="H1807" s="11"/>
      <c r="I1807" s="11"/>
      <c r="J1807" s="11" t="str">
        <f>IFERROR(__xludf.DUMMYFUNCTION("IFERROR(FILTER(Stats!$F:$Z,(Stats!$A:$A=$A1807)*(Stats!$B:$B=$B1807)))"),"#REF!")</f>
        <v>#REF!</v>
      </c>
      <c r="K1807" s="11"/>
      <c r="L1807" s="12"/>
      <c r="M1807" s="11"/>
      <c r="N1807" s="11"/>
      <c r="O1807" s="13"/>
      <c r="P1807" s="14"/>
      <c r="Q1807" s="13"/>
      <c r="R1807" s="13"/>
      <c r="S1807" s="15"/>
      <c r="T1807" s="16"/>
      <c r="U1807" s="16"/>
      <c r="V1807" s="16"/>
      <c r="W1807" s="16"/>
      <c r="X1807" s="16"/>
      <c r="Y1807" s="11"/>
      <c r="Z1807" s="11"/>
      <c r="AA1807" s="11"/>
      <c r="AB1807" s="11"/>
      <c r="AC1807" s="11"/>
      <c r="AD1807" s="11"/>
    </row>
    <row r="1808">
      <c r="A1808" s="10"/>
      <c r="B1808" s="10"/>
      <c r="C1808" s="10"/>
      <c r="D1808" s="10"/>
      <c r="E1808" s="10"/>
      <c r="F1808" s="11"/>
      <c r="G1808" s="11"/>
      <c r="H1808" s="11"/>
      <c r="I1808" s="11"/>
      <c r="J1808" s="11" t="str">
        <f>IFERROR(__xludf.DUMMYFUNCTION("IFERROR(FILTER(Stats!$F:$Z,(Stats!$A:$A=$A1808)*(Stats!$B:$B=$B1808)))"),"#REF!")</f>
        <v>#REF!</v>
      </c>
      <c r="K1808" s="11"/>
      <c r="L1808" s="12"/>
      <c r="M1808" s="11"/>
      <c r="N1808" s="11"/>
      <c r="O1808" s="13"/>
      <c r="P1808" s="14"/>
      <c r="Q1808" s="13"/>
      <c r="R1808" s="13"/>
      <c r="S1808" s="15"/>
      <c r="T1808" s="16"/>
      <c r="U1808" s="16"/>
      <c r="V1808" s="16"/>
      <c r="W1808" s="16"/>
      <c r="X1808" s="16"/>
      <c r="Y1808" s="11"/>
      <c r="Z1808" s="11"/>
      <c r="AA1808" s="11"/>
      <c r="AB1808" s="11"/>
      <c r="AC1808" s="11"/>
      <c r="AD1808" s="11"/>
    </row>
    <row r="1809">
      <c r="A1809" s="10"/>
      <c r="B1809" s="10"/>
      <c r="C1809" s="10"/>
      <c r="D1809" s="10"/>
      <c r="E1809" s="10"/>
      <c r="F1809" s="11"/>
      <c r="G1809" s="11"/>
      <c r="H1809" s="11"/>
      <c r="I1809" s="11"/>
      <c r="J1809" s="11" t="str">
        <f>IFERROR(__xludf.DUMMYFUNCTION("IFERROR(FILTER(Stats!$F:$Z,(Stats!$A:$A=$A1809)*(Stats!$B:$B=$B1809)))"),"#REF!")</f>
        <v>#REF!</v>
      </c>
      <c r="K1809" s="11"/>
      <c r="L1809" s="12"/>
      <c r="M1809" s="11"/>
      <c r="N1809" s="11"/>
      <c r="O1809" s="13"/>
      <c r="P1809" s="14"/>
      <c r="Q1809" s="13"/>
      <c r="R1809" s="13"/>
      <c r="S1809" s="15"/>
      <c r="T1809" s="16"/>
      <c r="U1809" s="16"/>
      <c r="V1809" s="16"/>
      <c r="W1809" s="16"/>
      <c r="X1809" s="16"/>
      <c r="Y1809" s="11"/>
      <c r="Z1809" s="11"/>
      <c r="AA1809" s="11"/>
      <c r="AB1809" s="11"/>
      <c r="AC1809" s="11"/>
      <c r="AD1809" s="11"/>
    </row>
    <row r="1810">
      <c r="A1810" s="10"/>
      <c r="B1810" s="10"/>
      <c r="C1810" s="10"/>
      <c r="D1810" s="10"/>
      <c r="E1810" s="10"/>
      <c r="F1810" s="11"/>
      <c r="G1810" s="11"/>
      <c r="H1810" s="11"/>
      <c r="I1810" s="11"/>
      <c r="J1810" s="11" t="str">
        <f>IFERROR(__xludf.DUMMYFUNCTION("IFERROR(FILTER(Stats!$F:$Z,(Stats!$A:$A=$A1810)*(Stats!$B:$B=$B1810)))"),"#REF!")</f>
        <v>#REF!</v>
      </c>
      <c r="K1810" s="11"/>
      <c r="L1810" s="12"/>
      <c r="M1810" s="11"/>
      <c r="N1810" s="11"/>
      <c r="O1810" s="13"/>
      <c r="P1810" s="14"/>
      <c r="Q1810" s="13"/>
      <c r="R1810" s="13"/>
      <c r="S1810" s="15"/>
      <c r="T1810" s="16"/>
      <c r="U1810" s="16"/>
      <c r="V1810" s="16"/>
      <c r="W1810" s="16"/>
      <c r="X1810" s="16"/>
      <c r="Y1810" s="11"/>
      <c r="Z1810" s="11"/>
      <c r="AA1810" s="11"/>
      <c r="AB1810" s="11"/>
      <c r="AC1810" s="11"/>
      <c r="AD1810" s="11"/>
    </row>
    <row r="1811">
      <c r="A1811" s="10"/>
      <c r="B1811" s="10"/>
      <c r="C1811" s="10"/>
      <c r="D1811" s="10"/>
      <c r="E1811" s="10"/>
      <c r="F1811" s="11"/>
      <c r="G1811" s="11"/>
      <c r="H1811" s="11"/>
      <c r="I1811" s="11"/>
      <c r="J1811" s="11" t="str">
        <f>IFERROR(__xludf.DUMMYFUNCTION("IFERROR(FILTER(Stats!$F:$Z,(Stats!$A:$A=$A1811)*(Stats!$B:$B=$B1811)))"),"#REF!")</f>
        <v>#REF!</v>
      </c>
      <c r="K1811" s="11"/>
      <c r="L1811" s="12"/>
      <c r="M1811" s="11"/>
      <c r="N1811" s="11"/>
      <c r="O1811" s="13"/>
      <c r="P1811" s="14"/>
      <c r="Q1811" s="13"/>
      <c r="R1811" s="13"/>
      <c r="S1811" s="15"/>
      <c r="T1811" s="16"/>
      <c r="U1811" s="16"/>
      <c r="V1811" s="16"/>
      <c r="W1811" s="16"/>
      <c r="X1811" s="16"/>
      <c r="Y1811" s="11"/>
      <c r="Z1811" s="11"/>
      <c r="AA1811" s="11"/>
      <c r="AB1811" s="11"/>
      <c r="AC1811" s="11"/>
      <c r="AD1811" s="11"/>
    </row>
    <row r="1812">
      <c r="A1812" s="10"/>
      <c r="B1812" s="10"/>
      <c r="C1812" s="10"/>
      <c r="D1812" s="10"/>
      <c r="E1812" s="10"/>
      <c r="F1812" s="11"/>
      <c r="G1812" s="11"/>
      <c r="H1812" s="11"/>
      <c r="I1812" s="11"/>
      <c r="J1812" s="11" t="str">
        <f>IFERROR(__xludf.DUMMYFUNCTION("IFERROR(FILTER(Stats!$F:$Z,(Stats!$A:$A=$A1812)*(Stats!$B:$B=$B1812)))"),"#REF!")</f>
        <v>#REF!</v>
      </c>
      <c r="K1812" s="11"/>
      <c r="L1812" s="12"/>
      <c r="M1812" s="11"/>
      <c r="N1812" s="11"/>
      <c r="O1812" s="13"/>
      <c r="P1812" s="14"/>
      <c r="Q1812" s="13"/>
      <c r="R1812" s="13"/>
      <c r="S1812" s="15"/>
      <c r="T1812" s="16"/>
      <c r="U1812" s="16"/>
      <c r="V1812" s="16"/>
      <c r="W1812" s="16"/>
      <c r="X1812" s="16"/>
      <c r="Y1812" s="11"/>
      <c r="Z1812" s="11"/>
      <c r="AA1812" s="11"/>
      <c r="AB1812" s="11"/>
      <c r="AC1812" s="11"/>
      <c r="AD1812" s="11"/>
    </row>
    <row r="1813">
      <c r="A1813" s="10"/>
      <c r="B1813" s="10"/>
      <c r="C1813" s="10"/>
      <c r="D1813" s="10"/>
      <c r="E1813" s="10"/>
      <c r="F1813" s="11"/>
      <c r="G1813" s="11"/>
      <c r="H1813" s="11"/>
      <c r="I1813" s="11"/>
      <c r="J1813" s="11" t="str">
        <f>IFERROR(__xludf.DUMMYFUNCTION("IFERROR(FILTER(Stats!$F:$Z,(Stats!$A:$A=$A1813)*(Stats!$B:$B=$B1813)))"),"#REF!")</f>
        <v>#REF!</v>
      </c>
      <c r="K1813" s="11"/>
      <c r="L1813" s="12"/>
      <c r="M1813" s="11"/>
      <c r="N1813" s="11"/>
      <c r="O1813" s="13"/>
      <c r="P1813" s="14"/>
      <c r="Q1813" s="13"/>
      <c r="R1813" s="13"/>
      <c r="S1813" s="15"/>
      <c r="T1813" s="16"/>
      <c r="U1813" s="16"/>
      <c r="V1813" s="16"/>
      <c r="W1813" s="16"/>
      <c r="X1813" s="16"/>
      <c r="Y1813" s="11"/>
      <c r="Z1813" s="11"/>
      <c r="AA1813" s="11"/>
      <c r="AB1813" s="11"/>
      <c r="AC1813" s="11"/>
      <c r="AD1813" s="11"/>
    </row>
    <row r="1814">
      <c r="A1814" s="10"/>
      <c r="B1814" s="10"/>
      <c r="C1814" s="10"/>
      <c r="D1814" s="10"/>
      <c r="E1814" s="10"/>
      <c r="F1814" s="11"/>
      <c r="G1814" s="11"/>
      <c r="H1814" s="11"/>
      <c r="I1814" s="11"/>
      <c r="J1814" s="11" t="str">
        <f>IFERROR(__xludf.DUMMYFUNCTION("IFERROR(FILTER(Stats!$F:$Z,(Stats!$A:$A=$A1814)*(Stats!$B:$B=$B1814)))"),"#REF!")</f>
        <v>#REF!</v>
      </c>
      <c r="K1814" s="11"/>
      <c r="L1814" s="12"/>
      <c r="M1814" s="11"/>
      <c r="N1814" s="11"/>
      <c r="O1814" s="13"/>
      <c r="P1814" s="14"/>
      <c r="Q1814" s="13"/>
      <c r="R1814" s="13"/>
      <c r="S1814" s="15"/>
      <c r="T1814" s="16"/>
      <c r="U1814" s="16"/>
      <c r="V1814" s="16"/>
      <c r="W1814" s="16"/>
      <c r="X1814" s="16"/>
      <c r="Y1814" s="11"/>
      <c r="Z1814" s="11"/>
      <c r="AA1814" s="11"/>
      <c r="AB1814" s="11"/>
      <c r="AC1814" s="11"/>
      <c r="AD1814" s="11"/>
    </row>
    <row r="1815">
      <c r="A1815" s="10"/>
      <c r="B1815" s="10"/>
      <c r="C1815" s="10"/>
      <c r="D1815" s="10"/>
      <c r="E1815" s="10"/>
      <c r="F1815" s="11"/>
      <c r="G1815" s="11"/>
      <c r="H1815" s="11"/>
      <c r="I1815" s="11"/>
      <c r="J1815" s="11" t="str">
        <f>IFERROR(__xludf.DUMMYFUNCTION("IFERROR(FILTER(Stats!$F:$Z,(Stats!$A:$A=$A1815)*(Stats!$B:$B=$B1815)))"),"#REF!")</f>
        <v>#REF!</v>
      </c>
      <c r="K1815" s="11"/>
      <c r="L1815" s="12"/>
      <c r="M1815" s="11"/>
      <c r="N1815" s="11"/>
      <c r="O1815" s="13"/>
      <c r="P1815" s="14"/>
      <c r="Q1815" s="13"/>
      <c r="R1815" s="13"/>
      <c r="S1815" s="15"/>
      <c r="T1815" s="16"/>
      <c r="U1815" s="16"/>
      <c r="V1815" s="16"/>
      <c r="W1815" s="16"/>
      <c r="X1815" s="16"/>
      <c r="Y1815" s="11"/>
      <c r="Z1815" s="11"/>
      <c r="AA1815" s="11"/>
      <c r="AB1815" s="11"/>
      <c r="AC1815" s="11"/>
      <c r="AD1815" s="11"/>
    </row>
    <row r="1816">
      <c r="A1816" s="10"/>
      <c r="B1816" s="10"/>
      <c r="C1816" s="10"/>
      <c r="D1816" s="10"/>
      <c r="E1816" s="10"/>
      <c r="F1816" s="11"/>
      <c r="G1816" s="11"/>
      <c r="H1816" s="11"/>
      <c r="I1816" s="11"/>
      <c r="J1816" s="11" t="str">
        <f>IFERROR(__xludf.DUMMYFUNCTION("IFERROR(FILTER(Stats!$F:$Z,(Stats!$A:$A=$A1816)*(Stats!$B:$B=$B1816)))"),"#REF!")</f>
        <v>#REF!</v>
      </c>
      <c r="K1816" s="11"/>
      <c r="L1816" s="12"/>
      <c r="M1816" s="11"/>
      <c r="N1816" s="11"/>
      <c r="O1816" s="13"/>
      <c r="P1816" s="14"/>
      <c r="Q1816" s="13"/>
      <c r="R1816" s="13"/>
      <c r="S1816" s="15"/>
      <c r="T1816" s="16"/>
      <c r="U1816" s="16"/>
      <c r="V1816" s="16"/>
      <c r="W1816" s="16"/>
      <c r="X1816" s="16"/>
      <c r="Y1816" s="11"/>
      <c r="Z1816" s="11"/>
      <c r="AA1816" s="11"/>
      <c r="AB1816" s="11"/>
      <c r="AC1816" s="11"/>
      <c r="AD1816" s="11"/>
    </row>
    <row r="1817">
      <c r="A1817" s="10"/>
      <c r="B1817" s="10"/>
      <c r="C1817" s="10"/>
      <c r="D1817" s="10"/>
      <c r="E1817" s="10"/>
      <c r="F1817" s="11"/>
      <c r="G1817" s="11"/>
      <c r="H1817" s="11"/>
      <c r="I1817" s="11"/>
      <c r="J1817" s="11" t="str">
        <f>IFERROR(__xludf.DUMMYFUNCTION("IFERROR(FILTER(Stats!$F:$Z,(Stats!$A:$A=$A1817)*(Stats!$B:$B=$B1817)))"),"#REF!")</f>
        <v>#REF!</v>
      </c>
      <c r="K1817" s="11"/>
      <c r="L1817" s="12"/>
      <c r="M1817" s="11"/>
      <c r="N1817" s="11"/>
      <c r="O1817" s="13"/>
      <c r="P1817" s="14"/>
      <c r="Q1817" s="13"/>
      <c r="R1817" s="13"/>
      <c r="S1817" s="15"/>
      <c r="T1817" s="16"/>
      <c r="U1817" s="16"/>
      <c r="V1817" s="16"/>
      <c r="W1817" s="16"/>
      <c r="X1817" s="16"/>
      <c r="Y1817" s="11"/>
      <c r="Z1817" s="11"/>
      <c r="AA1817" s="11"/>
      <c r="AB1817" s="11"/>
      <c r="AC1817" s="11"/>
      <c r="AD1817" s="11"/>
    </row>
    <row r="1818">
      <c r="A1818" s="10"/>
      <c r="B1818" s="10"/>
      <c r="C1818" s="10"/>
      <c r="D1818" s="10"/>
      <c r="E1818" s="10"/>
      <c r="F1818" s="11"/>
      <c r="G1818" s="11"/>
      <c r="H1818" s="11"/>
      <c r="I1818" s="11"/>
      <c r="J1818" s="11" t="str">
        <f>IFERROR(__xludf.DUMMYFUNCTION("IFERROR(FILTER(Stats!$F:$Z,(Stats!$A:$A=$A1818)*(Stats!$B:$B=$B1818)))"),"#REF!")</f>
        <v>#REF!</v>
      </c>
      <c r="K1818" s="11"/>
      <c r="L1818" s="12"/>
      <c r="M1818" s="11"/>
      <c r="N1818" s="11"/>
      <c r="O1818" s="13"/>
      <c r="P1818" s="14"/>
      <c r="Q1818" s="13"/>
      <c r="R1818" s="13"/>
      <c r="S1818" s="15"/>
      <c r="T1818" s="16"/>
      <c r="U1818" s="16"/>
      <c r="V1818" s="16"/>
      <c r="W1818" s="16"/>
      <c r="X1818" s="16"/>
      <c r="Y1818" s="11"/>
      <c r="Z1818" s="11"/>
      <c r="AA1818" s="11"/>
      <c r="AB1818" s="11"/>
      <c r="AC1818" s="11"/>
      <c r="AD1818" s="11"/>
    </row>
    <row r="1819">
      <c r="A1819" s="10"/>
      <c r="B1819" s="10"/>
      <c r="C1819" s="10"/>
      <c r="D1819" s="10"/>
      <c r="E1819" s="10"/>
      <c r="F1819" s="11"/>
      <c r="G1819" s="11"/>
      <c r="H1819" s="11"/>
      <c r="I1819" s="11"/>
      <c r="J1819" s="11" t="str">
        <f>IFERROR(__xludf.DUMMYFUNCTION("IFERROR(FILTER(Stats!$F:$Z,(Stats!$A:$A=$A1819)*(Stats!$B:$B=$B1819)))"),"#REF!")</f>
        <v>#REF!</v>
      </c>
      <c r="K1819" s="11"/>
      <c r="L1819" s="12"/>
      <c r="M1819" s="11"/>
      <c r="N1819" s="11"/>
      <c r="O1819" s="13"/>
      <c r="P1819" s="14"/>
      <c r="Q1819" s="13"/>
      <c r="R1819" s="13"/>
      <c r="S1819" s="15"/>
      <c r="T1819" s="16"/>
      <c r="U1819" s="16"/>
      <c r="V1819" s="16"/>
      <c r="W1819" s="16"/>
      <c r="X1819" s="16"/>
      <c r="Y1819" s="11"/>
      <c r="Z1819" s="11"/>
      <c r="AA1819" s="11"/>
      <c r="AB1819" s="11"/>
      <c r="AC1819" s="11"/>
      <c r="AD1819" s="11"/>
    </row>
    <row r="1820">
      <c r="A1820" s="10"/>
      <c r="B1820" s="10"/>
      <c r="C1820" s="10"/>
      <c r="D1820" s="10"/>
      <c r="E1820" s="10"/>
      <c r="F1820" s="11"/>
      <c r="G1820" s="11"/>
      <c r="H1820" s="11"/>
      <c r="I1820" s="11"/>
      <c r="J1820" s="11" t="str">
        <f>IFERROR(__xludf.DUMMYFUNCTION("IFERROR(FILTER(Stats!$F:$Z,(Stats!$A:$A=$A1820)*(Stats!$B:$B=$B1820)))"),"#REF!")</f>
        <v>#REF!</v>
      </c>
      <c r="K1820" s="11"/>
      <c r="L1820" s="12"/>
      <c r="M1820" s="11"/>
      <c r="N1820" s="11"/>
      <c r="O1820" s="13"/>
      <c r="P1820" s="14"/>
      <c r="Q1820" s="13"/>
      <c r="R1820" s="13"/>
      <c r="S1820" s="15"/>
      <c r="T1820" s="16"/>
      <c r="U1820" s="16"/>
      <c r="V1820" s="16"/>
      <c r="W1820" s="16"/>
      <c r="X1820" s="16"/>
      <c r="Y1820" s="11"/>
      <c r="Z1820" s="11"/>
      <c r="AA1820" s="11"/>
      <c r="AB1820" s="11"/>
      <c r="AC1820" s="11"/>
      <c r="AD1820" s="11"/>
    </row>
    <row r="1821">
      <c r="A1821" s="10"/>
      <c r="B1821" s="10"/>
      <c r="C1821" s="10"/>
      <c r="D1821" s="10"/>
      <c r="E1821" s="10"/>
      <c r="F1821" s="11"/>
      <c r="G1821" s="11"/>
      <c r="H1821" s="11"/>
      <c r="I1821" s="11"/>
      <c r="J1821" s="11" t="str">
        <f>IFERROR(__xludf.DUMMYFUNCTION("IFERROR(FILTER(Stats!$F:$Z,(Stats!$A:$A=$A1821)*(Stats!$B:$B=$B1821)))"),"#REF!")</f>
        <v>#REF!</v>
      </c>
      <c r="K1821" s="11"/>
      <c r="L1821" s="12"/>
      <c r="M1821" s="11"/>
      <c r="N1821" s="11"/>
      <c r="O1821" s="13"/>
      <c r="P1821" s="14"/>
      <c r="Q1821" s="13"/>
      <c r="R1821" s="13"/>
      <c r="S1821" s="15"/>
      <c r="T1821" s="16"/>
      <c r="U1821" s="16"/>
      <c r="V1821" s="16"/>
      <c r="W1821" s="16"/>
      <c r="X1821" s="16"/>
      <c r="Y1821" s="11"/>
      <c r="Z1821" s="11"/>
      <c r="AA1821" s="11"/>
      <c r="AB1821" s="11"/>
      <c r="AC1821" s="11"/>
      <c r="AD1821" s="11"/>
    </row>
    <row r="1822">
      <c r="A1822" s="10"/>
      <c r="B1822" s="10"/>
      <c r="C1822" s="10"/>
      <c r="D1822" s="10"/>
      <c r="E1822" s="10"/>
      <c r="F1822" s="11"/>
      <c r="G1822" s="11"/>
      <c r="H1822" s="11"/>
      <c r="I1822" s="11"/>
      <c r="J1822" s="11" t="str">
        <f>IFERROR(__xludf.DUMMYFUNCTION("IFERROR(FILTER(Stats!$F:$Z,(Stats!$A:$A=$A1822)*(Stats!$B:$B=$B1822)))"),"#REF!")</f>
        <v>#REF!</v>
      </c>
      <c r="K1822" s="11"/>
      <c r="L1822" s="12"/>
      <c r="M1822" s="11"/>
      <c r="N1822" s="11"/>
      <c r="O1822" s="13"/>
      <c r="P1822" s="14"/>
      <c r="Q1822" s="13"/>
      <c r="R1822" s="13"/>
      <c r="S1822" s="15"/>
      <c r="T1822" s="16"/>
      <c r="U1822" s="16"/>
      <c r="V1822" s="16"/>
      <c r="W1822" s="16"/>
      <c r="X1822" s="16"/>
      <c r="Y1822" s="11"/>
      <c r="Z1822" s="11"/>
      <c r="AA1822" s="11"/>
      <c r="AB1822" s="11"/>
      <c r="AC1822" s="11"/>
      <c r="AD1822" s="11"/>
    </row>
    <row r="1823">
      <c r="A1823" s="10"/>
      <c r="B1823" s="10"/>
      <c r="C1823" s="10"/>
      <c r="D1823" s="10"/>
      <c r="E1823" s="10"/>
      <c r="F1823" s="11"/>
      <c r="G1823" s="11"/>
      <c r="H1823" s="11"/>
      <c r="I1823" s="11"/>
      <c r="J1823" s="11" t="str">
        <f>IFERROR(__xludf.DUMMYFUNCTION("IFERROR(FILTER(Stats!$F:$Z,(Stats!$A:$A=$A1823)*(Stats!$B:$B=$B1823)))"),"#REF!")</f>
        <v>#REF!</v>
      </c>
      <c r="K1823" s="11"/>
      <c r="L1823" s="12"/>
      <c r="M1823" s="11"/>
      <c r="N1823" s="11"/>
      <c r="O1823" s="13"/>
      <c r="P1823" s="14"/>
      <c r="Q1823" s="13"/>
      <c r="R1823" s="13"/>
      <c r="S1823" s="15"/>
      <c r="T1823" s="16"/>
      <c r="U1823" s="16"/>
      <c r="V1823" s="16"/>
      <c r="W1823" s="16"/>
      <c r="X1823" s="16"/>
      <c r="Y1823" s="11"/>
      <c r="Z1823" s="11"/>
      <c r="AA1823" s="11"/>
      <c r="AB1823" s="11"/>
      <c r="AC1823" s="11"/>
      <c r="AD1823" s="11"/>
    </row>
    <row r="1824">
      <c r="A1824" s="10"/>
      <c r="B1824" s="10"/>
      <c r="C1824" s="10"/>
      <c r="D1824" s="10"/>
      <c r="E1824" s="10"/>
      <c r="F1824" s="11"/>
      <c r="G1824" s="11"/>
      <c r="H1824" s="11"/>
      <c r="I1824" s="11"/>
      <c r="J1824" s="11" t="str">
        <f>IFERROR(__xludf.DUMMYFUNCTION("IFERROR(FILTER(Stats!$F:$Z,(Stats!$A:$A=$A1824)*(Stats!$B:$B=$B1824)))"),"#REF!")</f>
        <v>#REF!</v>
      </c>
      <c r="K1824" s="11"/>
      <c r="L1824" s="12"/>
      <c r="M1824" s="11"/>
      <c r="N1824" s="11"/>
      <c r="O1824" s="13"/>
      <c r="P1824" s="14"/>
      <c r="Q1824" s="13"/>
      <c r="R1824" s="13"/>
      <c r="S1824" s="15"/>
      <c r="T1824" s="16"/>
      <c r="U1824" s="16"/>
      <c r="V1824" s="16"/>
      <c r="W1824" s="16"/>
      <c r="X1824" s="16"/>
      <c r="Y1824" s="11"/>
      <c r="Z1824" s="11"/>
      <c r="AA1824" s="11"/>
      <c r="AB1824" s="11"/>
      <c r="AC1824" s="11"/>
      <c r="AD1824" s="11"/>
    </row>
    <row r="1825">
      <c r="A1825" s="10"/>
      <c r="B1825" s="10"/>
      <c r="C1825" s="10"/>
      <c r="D1825" s="10"/>
      <c r="E1825" s="10"/>
      <c r="F1825" s="11"/>
      <c r="G1825" s="11"/>
      <c r="H1825" s="11"/>
      <c r="I1825" s="11"/>
      <c r="J1825" s="11" t="str">
        <f>IFERROR(__xludf.DUMMYFUNCTION("IFERROR(FILTER(Stats!$F:$Z,(Stats!$A:$A=$A1825)*(Stats!$B:$B=$B1825)))"),"#REF!")</f>
        <v>#REF!</v>
      </c>
      <c r="K1825" s="11"/>
      <c r="L1825" s="12"/>
      <c r="M1825" s="11"/>
      <c r="N1825" s="11"/>
      <c r="O1825" s="13"/>
      <c r="P1825" s="14"/>
      <c r="Q1825" s="13"/>
      <c r="R1825" s="13"/>
      <c r="S1825" s="15"/>
      <c r="T1825" s="16"/>
      <c r="U1825" s="16"/>
      <c r="V1825" s="16"/>
      <c r="W1825" s="16"/>
      <c r="X1825" s="16"/>
      <c r="Y1825" s="11"/>
      <c r="Z1825" s="11"/>
      <c r="AA1825" s="11"/>
      <c r="AB1825" s="11"/>
      <c r="AC1825" s="11"/>
      <c r="AD1825" s="11"/>
    </row>
    <row r="1826">
      <c r="A1826" s="10"/>
      <c r="B1826" s="10"/>
      <c r="C1826" s="10"/>
      <c r="D1826" s="10"/>
      <c r="E1826" s="10"/>
      <c r="F1826" s="11"/>
      <c r="G1826" s="11"/>
      <c r="H1826" s="11"/>
      <c r="I1826" s="11"/>
      <c r="J1826" s="11" t="str">
        <f>IFERROR(__xludf.DUMMYFUNCTION("IFERROR(FILTER(Stats!$F:$Z,(Stats!$A:$A=$A1826)*(Stats!$B:$B=$B1826)))"),"#REF!")</f>
        <v>#REF!</v>
      </c>
      <c r="K1826" s="11"/>
      <c r="L1826" s="12"/>
      <c r="M1826" s="11"/>
      <c r="N1826" s="11"/>
      <c r="O1826" s="13"/>
      <c r="P1826" s="14"/>
      <c r="Q1826" s="13"/>
      <c r="R1826" s="13"/>
      <c r="S1826" s="15"/>
      <c r="T1826" s="16"/>
      <c r="U1826" s="16"/>
      <c r="V1826" s="16"/>
      <c r="W1826" s="16"/>
      <c r="X1826" s="16"/>
      <c r="Y1826" s="11"/>
      <c r="Z1826" s="11"/>
      <c r="AA1826" s="11"/>
      <c r="AB1826" s="11"/>
      <c r="AC1826" s="11"/>
      <c r="AD1826" s="11"/>
    </row>
    <row r="1827">
      <c r="A1827" s="10"/>
      <c r="B1827" s="10"/>
      <c r="C1827" s="10"/>
      <c r="D1827" s="10"/>
      <c r="E1827" s="10"/>
      <c r="F1827" s="11"/>
      <c r="G1827" s="11"/>
      <c r="H1827" s="11"/>
      <c r="I1827" s="11"/>
      <c r="J1827" s="11" t="str">
        <f>IFERROR(__xludf.DUMMYFUNCTION("IFERROR(FILTER(Stats!$F:$Z,(Stats!$A:$A=$A1827)*(Stats!$B:$B=$B1827)))"),"#REF!")</f>
        <v>#REF!</v>
      </c>
      <c r="K1827" s="11"/>
      <c r="L1827" s="12"/>
      <c r="M1827" s="11"/>
      <c r="N1827" s="11"/>
      <c r="O1827" s="13"/>
      <c r="P1827" s="14"/>
      <c r="Q1827" s="13"/>
      <c r="R1827" s="13"/>
      <c r="S1827" s="15"/>
      <c r="T1827" s="16"/>
      <c r="U1827" s="16"/>
      <c r="V1827" s="16"/>
      <c r="W1827" s="16"/>
      <c r="X1827" s="16"/>
      <c r="Y1827" s="11"/>
      <c r="Z1827" s="11"/>
      <c r="AA1827" s="11"/>
      <c r="AB1827" s="11"/>
      <c r="AC1827" s="11"/>
      <c r="AD1827" s="11"/>
    </row>
    <row r="1828">
      <c r="A1828" s="10"/>
      <c r="B1828" s="10"/>
      <c r="C1828" s="10"/>
      <c r="D1828" s="10"/>
      <c r="E1828" s="10"/>
      <c r="F1828" s="11"/>
      <c r="G1828" s="11"/>
      <c r="H1828" s="11"/>
      <c r="I1828" s="11"/>
      <c r="J1828" s="11" t="str">
        <f>IFERROR(__xludf.DUMMYFUNCTION("IFERROR(FILTER(Stats!$F:$Z,(Stats!$A:$A=$A1828)*(Stats!$B:$B=$B1828)))"),"#REF!")</f>
        <v>#REF!</v>
      </c>
      <c r="K1828" s="11"/>
      <c r="L1828" s="12"/>
      <c r="M1828" s="11"/>
      <c r="N1828" s="11"/>
      <c r="O1828" s="13"/>
      <c r="P1828" s="14"/>
      <c r="Q1828" s="13"/>
      <c r="R1828" s="13"/>
      <c r="S1828" s="15"/>
      <c r="T1828" s="16"/>
      <c r="U1828" s="16"/>
      <c r="V1828" s="16"/>
      <c r="W1828" s="16"/>
      <c r="X1828" s="16"/>
      <c r="Y1828" s="11"/>
      <c r="Z1828" s="11"/>
      <c r="AA1828" s="11"/>
      <c r="AB1828" s="11"/>
      <c r="AC1828" s="11"/>
      <c r="AD1828" s="11"/>
    </row>
    <row r="1829">
      <c r="A1829" s="10"/>
      <c r="B1829" s="10"/>
      <c r="C1829" s="10"/>
      <c r="D1829" s="10"/>
      <c r="E1829" s="10"/>
      <c r="F1829" s="11"/>
      <c r="G1829" s="11"/>
      <c r="H1829" s="11"/>
      <c r="I1829" s="11"/>
      <c r="J1829" s="11" t="str">
        <f>IFERROR(__xludf.DUMMYFUNCTION("IFERROR(FILTER(Stats!$F:$Z,(Stats!$A:$A=$A1829)*(Stats!$B:$B=$B1829)))"),"#REF!")</f>
        <v>#REF!</v>
      </c>
      <c r="K1829" s="11"/>
      <c r="L1829" s="12"/>
      <c r="M1829" s="11"/>
      <c r="N1829" s="11"/>
      <c r="O1829" s="13"/>
      <c r="P1829" s="14"/>
      <c r="Q1829" s="13"/>
      <c r="R1829" s="13"/>
      <c r="S1829" s="15"/>
      <c r="T1829" s="16"/>
      <c r="U1829" s="16"/>
      <c r="V1829" s="16"/>
      <c r="W1829" s="16"/>
      <c r="X1829" s="16"/>
      <c r="Y1829" s="11"/>
      <c r="Z1829" s="11"/>
      <c r="AA1829" s="11"/>
      <c r="AB1829" s="11"/>
      <c r="AC1829" s="11"/>
      <c r="AD1829" s="11"/>
    </row>
    <row r="1830">
      <c r="A1830" s="10"/>
      <c r="B1830" s="10"/>
      <c r="C1830" s="10"/>
      <c r="D1830" s="10"/>
      <c r="E1830" s="10"/>
      <c r="F1830" s="11"/>
      <c r="G1830" s="11"/>
      <c r="H1830" s="11"/>
      <c r="I1830" s="11"/>
      <c r="J1830" s="11" t="str">
        <f>IFERROR(__xludf.DUMMYFUNCTION("IFERROR(FILTER(Stats!$F:$Z,(Stats!$A:$A=$A1830)*(Stats!$B:$B=$B1830)))"),"#REF!")</f>
        <v>#REF!</v>
      </c>
      <c r="K1830" s="11"/>
      <c r="L1830" s="12"/>
      <c r="M1830" s="11"/>
      <c r="N1830" s="11"/>
      <c r="O1830" s="13"/>
      <c r="P1830" s="14"/>
      <c r="Q1830" s="13"/>
      <c r="R1830" s="13"/>
      <c r="S1830" s="15"/>
      <c r="T1830" s="16"/>
      <c r="U1830" s="16"/>
      <c r="V1830" s="16"/>
      <c r="W1830" s="16"/>
      <c r="X1830" s="16"/>
      <c r="Y1830" s="11"/>
      <c r="Z1830" s="11"/>
      <c r="AA1830" s="11"/>
      <c r="AB1830" s="11"/>
      <c r="AC1830" s="11"/>
      <c r="AD1830" s="11"/>
    </row>
    <row r="1831">
      <c r="A1831" s="10"/>
      <c r="B1831" s="10"/>
      <c r="C1831" s="10"/>
      <c r="D1831" s="10"/>
      <c r="E1831" s="10"/>
      <c r="F1831" s="11"/>
      <c r="G1831" s="11"/>
      <c r="H1831" s="11"/>
      <c r="I1831" s="11"/>
      <c r="J1831" s="11" t="str">
        <f>IFERROR(__xludf.DUMMYFUNCTION("IFERROR(FILTER(Stats!$F:$Z,(Stats!$A:$A=$A1831)*(Stats!$B:$B=$B1831)))"),"#REF!")</f>
        <v>#REF!</v>
      </c>
      <c r="K1831" s="11"/>
      <c r="L1831" s="12"/>
      <c r="M1831" s="11"/>
      <c r="N1831" s="11"/>
      <c r="O1831" s="13"/>
      <c r="P1831" s="14"/>
      <c r="Q1831" s="13"/>
      <c r="R1831" s="13"/>
      <c r="S1831" s="15"/>
      <c r="T1831" s="16"/>
      <c r="U1831" s="16"/>
      <c r="V1831" s="16"/>
      <c r="W1831" s="16"/>
      <c r="X1831" s="16"/>
      <c r="Y1831" s="11"/>
      <c r="Z1831" s="11"/>
      <c r="AA1831" s="11"/>
      <c r="AB1831" s="11"/>
      <c r="AC1831" s="11"/>
      <c r="AD1831" s="11"/>
    </row>
    <row r="1832">
      <c r="A1832" s="10"/>
      <c r="B1832" s="10"/>
      <c r="C1832" s="10"/>
      <c r="D1832" s="10"/>
      <c r="E1832" s="10"/>
      <c r="F1832" s="11"/>
      <c r="G1832" s="11"/>
      <c r="H1832" s="11"/>
      <c r="I1832" s="11"/>
      <c r="J1832" s="11" t="str">
        <f>IFERROR(__xludf.DUMMYFUNCTION("IFERROR(FILTER(Stats!$F:$Z,(Stats!$A:$A=$A1832)*(Stats!$B:$B=$B1832)))"),"#REF!")</f>
        <v>#REF!</v>
      </c>
      <c r="K1832" s="11"/>
      <c r="L1832" s="12"/>
      <c r="M1832" s="11"/>
      <c r="N1832" s="11"/>
      <c r="O1832" s="13"/>
      <c r="P1832" s="14"/>
      <c r="Q1832" s="13"/>
      <c r="R1832" s="13"/>
      <c r="S1832" s="15"/>
      <c r="T1832" s="16"/>
      <c r="U1832" s="16"/>
      <c r="V1832" s="16"/>
      <c r="W1832" s="16"/>
      <c r="X1832" s="16"/>
      <c r="Y1832" s="11"/>
      <c r="Z1832" s="11"/>
      <c r="AA1832" s="11"/>
      <c r="AB1832" s="11"/>
      <c r="AC1832" s="11"/>
      <c r="AD1832" s="11"/>
    </row>
    <row r="1833">
      <c r="A1833" s="10"/>
      <c r="B1833" s="10"/>
      <c r="C1833" s="10"/>
      <c r="D1833" s="10"/>
      <c r="E1833" s="10"/>
      <c r="F1833" s="11"/>
      <c r="G1833" s="11"/>
      <c r="H1833" s="11"/>
      <c r="I1833" s="11"/>
      <c r="J1833" s="11" t="str">
        <f>IFERROR(__xludf.DUMMYFUNCTION("IFERROR(FILTER(Stats!$F:$Z,(Stats!$A:$A=$A1833)*(Stats!$B:$B=$B1833)))"),"#REF!")</f>
        <v>#REF!</v>
      </c>
      <c r="K1833" s="11"/>
      <c r="L1833" s="12"/>
      <c r="M1833" s="11"/>
      <c r="N1833" s="11"/>
      <c r="O1833" s="13"/>
      <c r="P1833" s="14"/>
      <c r="Q1833" s="13"/>
      <c r="R1833" s="13"/>
      <c r="S1833" s="15"/>
      <c r="T1833" s="16"/>
      <c r="U1833" s="16"/>
      <c r="V1833" s="16"/>
      <c r="W1833" s="16"/>
      <c r="X1833" s="16"/>
      <c r="Y1833" s="11"/>
      <c r="Z1833" s="11"/>
      <c r="AA1833" s="11"/>
      <c r="AB1833" s="11"/>
      <c r="AC1833" s="11"/>
      <c r="AD1833" s="11"/>
    </row>
    <row r="1834">
      <c r="A1834" s="10"/>
      <c r="B1834" s="10"/>
      <c r="C1834" s="10"/>
      <c r="D1834" s="10"/>
      <c r="E1834" s="10"/>
      <c r="F1834" s="11"/>
      <c r="G1834" s="11"/>
      <c r="H1834" s="11"/>
      <c r="I1834" s="11"/>
      <c r="J1834" s="11" t="str">
        <f>IFERROR(__xludf.DUMMYFUNCTION("IFERROR(FILTER(Stats!$F:$Z,(Stats!$A:$A=$A1834)*(Stats!$B:$B=$B1834)))"),"#REF!")</f>
        <v>#REF!</v>
      </c>
      <c r="K1834" s="11"/>
      <c r="L1834" s="12"/>
      <c r="M1834" s="11"/>
      <c r="N1834" s="11"/>
      <c r="O1834" s="13"/>
      <c r="P1834" s="14"/>
      <c r="Q1834" s="13"/>
      <c r="R1834" s="13"/>
      <c r="S1834" s="15"/>
      <c r="T1834" s="16"/>
      <c r="U1834" s="16"/>
      <c r="V1834" s="16"/>
      <c r="W1834" s="16"/>
      <c r="X1834" s="16"/>
      <c r="Y1834" s="11"/>
      <c r="Z1834" s="11"/>
      <c r="AA1834" s="11"/>
      <c r="AB1834" s="11"/>
      <c r="AC1834" s="11"/>
      <c r="AD1834" s="11"/>
    </row>
    <row r="1835">
      <c r="A1835" s="10"/>
      <c r="B1835" s="10"/>
      <c r="C1835" s="10"/>
      <c r="D1835" s="10"/>
      <c r="E1835" s="10"/>
      <c r="F1835" s="11"/>
      <c r="G1835" s="11"/>
      <c r="H1835" s="11"/>
      <c r="I1835" s="11"/>
      <c r="J1835" s="11" t="str">
        <f>IFERROR(__xludf.DUMMYFUNCTION("IFERROR(FILTER(Stats!$F:$Z,(Stats!$A:$A=$A1835)*(Stats!$B:$B=$B1835)))"),"#REF!")</f>
        <v>#REF!</v>
      </c>
      <c r="K1835" s="11"/>
      <c r="L1835" s="12"/>
      <c r="M1835" s="11"/>
      <c r="N1835" s="11"/>
      <c r="O1835" s="13"/>
      <c r="P1835" s="14"/>
      <c r="Q1835" s="13"/>
      <c r="R1835" s="13"/>
      <c r="S1835" s="15"/>
      <c r="T1835" s="16"/>
      <c r="U1835" s="16"/>
      <c r="V1835" s="16"/>
      <c r="W1835" s="16"/>
      <c r="X1835" s="16"/>
      <c r="Y1835" s="11"/>
      <c r="Z1835" s="11"/>
      <c r="AA1835" s="11"/>
      <c r="AB1835" s="11"/>
      <c r="AC1835" s="11"/>
      <c r="AD1835" s="11"/>
    </row>
    <row r="1836">
      <c r="A1836" s="10"/>
      <c r="B1836" s="10"/>
      <c r="C1836" s="10"/>
      <c r="D1836" s="10"/>
      <c r="E1836" s="10"/>
      <c r="F1836" s="11"/>
      <c r="G1836" s="11"/>
      <c r="H1836" s="11"/>
      <c r="I1836" s="11"/>
      <c r="J1836" s="11" t="str">
        <f>IFERROR(__xludf.DUMMYFUNCTION("IFERROR(FILTER(Stats!$F:$Z,(Stats!$A:$A=$A1836)*(Stats!$B:$B=$B1836)))"),"#REF!")</f>
        <v>#REF!</v>
      </c>
      <c r="K1836" s="11"/>
      <c r="L1836" s="12"/>
      <c r="M1836" s="11"/>
      <c r="N1836" s="11"/>
      <c r="O1836" s="13"/>
      <c r="P1836" s="14"/>
      <c r="Q1836" s="13"/>
      <c r="R1836" s="13"/>
      <c r="S1836" s="15"/>
      <c r="T1836" s="16"/>
      <c r="U1836" s="16"/>
      <c r="V1836" s="16"/>
      <c r="W1836" s="16"/>
      <c r="X1836" s="16"/>
      <c r="Y1836" s="11"/>
      <c r="Z1836" s="11"/>
      <c r="AA1836" s="11"/>
      <c r="AB1836" s="11"/>
      <c r="AC1836" s="11"/>
      <c r="AD1836" s="11"/>
    </row>
    <row r="1837">
      <c r="A1837" s="10"/>
      <c r="B1837" s="10"/>
      <c r="C1837" s="10"/>
      <c r="D1837" s="10"/>
      <c r="E1837" s="10"/>
      <c r="F1837" s="11"/>
      <c r="G1837" s="11"/>
      <c r="H1837" s="11"/>
      <c r="I1837" s="11"/>
      <c r="J1837" s="11" t="str">
        <f>IFERROR(__xludf.DUMMYFUNCTION("IFERROR(FILTER(Stats!$F:$Z,(Stats!$A:$A=$A1837)*(Stats!$B:$B=$B1837)))"),"#REF!")</f>
        <v>#REF!</v>
      </c>
      <c r="K1837" s="11"/>
      <c r="L1837" s="12"/>
      <c r="M1837" s="11"/>
      <c r="N1837" s="11"/>
      <c r="O1837" s="13"/>
      <c r="P1837" s="14"/>
      <c r="Q1837" s="13"/>
      <c r="R1837" s="13"/>
      <c r="S1837" s="15"/>
      <c r="T1837" s="16"/>
      <c r="U1837" s="16"/>
      <c r="V1837" s="16"/>
      <c r="W1837" s="16"/>
      <c r="X1837" s="16"/>
      <c r="Y1837" s="11"/>
      <c r="Z1837" s="11"/>
      <c r="AA1837" s="11"/>
      <c r="AB1837" s="11"/>
      <c r="AC1837" s="11"/>
      <c r="AD1837" s="11"/>
    </row>
    <row r="1838">
      <c r="A1838" s="10"/>
      <c r="B1838" s="10"/>
      <c r="C1838" s="10"/>
      <c r="D1838" s="10"/>
      <c r="E1838" s="10"/>
      <c r="F1838" s="11"/>
      <c r="G1838" s="11"/>
      <c r="H1838" s="11"/>
      <c r="I1838" s="11"/>
      <c r="J1838" s="11" t="str">
        <f>IFERROR(__xludf.DUMMYFUNCTION("IFERROR(FILTER(Stats!$F:$Z,(Stats!$A:$A=$A1838)*(Stats!$B:$B=$B1838)))"),"#REF!")</f>
        <v>#REF!</v>
      </c>
      <c r="K1838" s="11"/>
      <c r="L1838" s="12"/>
      <c r="M1838" s="11"/>
      <c r="N1838" s="11"/>
      <c r="O1838" s="13"/>
      <c r="P1838" s="14"/>
      <c r="Q1838" s="13"/>
      <c r="R1838" s="13"/>
      <c r="S1838" s="15"/>
      <c r="T1838" s="16"/>
      <c r="U1838" s="16"/>
      <c r="V1838" s="16"/>
      <c r="W1838" s="16"/>
      <c r="X1838" s="16"/>
      <c r="Y1838" s="11"/>
      <c r="Z1838" s="11"/>
      <c r="AA1838" s="11"/>
      <c r="AB1838" s="11"/>
      <c r="AC1838" s="11"/>
      <c r="AD1838" s="11"/>
    </row>
    <row r="1839">
      <c r="A1839" s="10"/>
      <c r="B1839" s="10"/>
      <c r="C1839" s="10"/>
      <c r="D1839" s="10"/>
      <c r="E1839" s="10"/>
      <c r="F1839" s="11"/>
      <c r="G1839" s="11"/>
      <c r="H1839" s="11"/>
      <c r="I1839" s="11"/>
      <c r="J1839" s="11" t="str">
        <f>IFERROR(__xludf.DUMMYFUNCTION("IFERROR(FILTER(Stats!$F:$Z,(Stats!$A:$A=$A1839)*(Stats!$B:$B=$B1839)))"),"#REF!")</f>
        <v>#REF!</v>
      </c>
      <c r="K1839" s="11"/>
      <c r="L1839" s="12"/>
      <c r="M1839" s="11"/>
      <c r="N1839" s="11"/>
      <c r="O1839" s="13"/>
      <c r="P1839" s="14"/>
      <c r="Q1839" s="13"/>
      <c r="R1839" s="13"/>
      <c r="S1839" s="15"/>
      <c r="T1839" s="16"/>
      <c r="U1839" s="16"/>
      <c r="V1839" s="16"/>
      <c r="W1839" s="16"/>
      <c r="X1839" s="16"/>
      <c r="Y1839" s="11"/>
      <c r="Z1839" s="11"/>
      <c r="AA1839" s="11"/>
      <c r="AB1839" s="11"/>
      <c r="AC1839" s="11"/>
      <c r="AD1839" s="11"/>
    </row>
    <row r="1840">
      <c r="A1840" s="10"/>
      <c r="B1840" s="10"/>
      <c r="C1840" s="10"/>
      <c r="D1840" s="10"/>
      <c r="E1840" s="10"/>
      <c r="F1840" s="11"/>
      <c r="G1840" s="11"/>
      <c r="H1840" s="11"/>
      <c r="I1840" s="11"/>
      <c r="J1840" s="11" t="str">
        <f>IFERROR(__xludf.DUMMYFUNCTION("IFERROR(FILTER(Stats!$F:$Z,(Stats!$A:$A=$A1840)*(Stats!$B:$B=$B1840)))"),"#REF!")</f>
        <v>#REF!</v>
      </c>
      <c r="K1840" s="11"/>
      <c r="L1840" s="12"/>
      <c r="M1840" s="11"/>
      <c r="N1840" s="11"/>
      <c r="O1840" s="13"/>
      <c r="P1840" s="14"/>
      <c r="Q1840" s="13"/>
      <c r="R1840" s="13"/>
      <c r="S1840" s="15"/>
      <c r="T1840" s="16"/>
      <c r="U1840" s="16"/>
      <c r="V1840" s="16"/>
      <c r="W1840" s="16"/>
      <c r="X1840" s="16"/>
      <c r="Y1840" s="11"/>
      <c r="Z1840" s="11"/>
      <c r="AA1840" s="11"/>
      <c r="AB1840" s="11"/>
      <c r="AC1840" s="11"/>
      <c r="AD1840" s="11"/>
    </row>
    <row r="1841">
      <c r="A1841" s="10"/>
      <c r="B1841" s="10"/>
      <c r="C1841" s="10"/>
      <c r="D1841" s="10"/>
      <c r="E1841" s="10"/>
      <c r="F1841" s="11"/>
      <c r="G1841" s="11"/>
      <c r="H1841" s="11"/>
      <c r="I1841" s="11"/>
      <c r="J1841" s="11" t="str">
        <f>IFERROR(__xludf.DUMMYFUNCTION("IFERROR(FILTER(Stats!$F:$Z,(Stats!$A:$A=$A1841)*(Stats!$B:$B=$B1841)))"),"#REF!")</f>
        <v>#REF!</v>
      </c>
      <c r="K1841" s="11"/>
      <c r="L1841" s="12"/>
      <c r="M1841" s="11"/>
      <c r="N1841" s="11"/>
      <c r="O1841" s="13"/>
      <c r="P1841" s="14"/>
      <c r="Q1841" s="13"/>
      <c r="R1841" s="13"/>
      <c r="S1841" s="15"/>
      <c r="T1841" s="16"/>
      <c r="U1841" s="16"/>
      <c r="V1841" s="16"/>
      <c r="W1841" s="16"/>
      <c r="X1841" s="16"/>
      <c r="Y1841" s="11"/>
      <c r="Z1841" s="11"/>
      <c r="AA1841" s="11"/>
      <c r="AB1841" s="11"/>
      <c r="AC1841" s="11"/>
      <c r="AD1841" s="11"/>
    </row>
    <row r="1842">
      <c r="A1842" s="10"/>
      <c r="B1842" s="10"/>
      <c r="C1842" s="10"/>
      <c r="D1842" s="10"/>
      <c r="E1842" s="10"/>
      <c r="F1842" s="11"/>
      <c r="G1842" s="11"/>
      <c r="H1842" s="11"/>
      <c r="I1842" s="11"/>
      <c r="J1842" s="11" t="str">
        <f>IFERROR(__xludf.DUMMYFUNCTION("IFERROR(FILTER(Stats!$F:$Z,(Stats!$A:$A=$A1842)*(Stats!$B:$B=$B1842)))"),"#REF!")</f>
        <v>#REF!</v>
      </c>
      <c r="K1842" s="11"/>
      <c r="L1842" s="12"/>
      <c r="M1842" s="11"/>
      <c r="N1842" s="11"/>
      <c r="O1842" s="13"/>
      <c r="P1842" s="14"/>
      <c r="Q1842" s="13"/>
      <c r="R1842" s="13"/>
      <c r="S1842" s="15"/>
      <c r="T1842" s="16"/>
      <c r="U1842" s="16"/>
      <c r="V1842" s="16"/>
      <c r="W1842" s="16"/>
      <c r="X1842" s="16"/>
      <c r="Y1842" s="11"/>
      <c r="Z1842" s="11"/>
      <c r="AA1842" s="11"/>
      <c r="AB1842" s="11"/>
      <c r="AC1842" s="11"/>
      <c r="AD1842" s="11"/>
    </row>
    <row r="1843">
      <c r="A1843" s="10"/>
      <c r="B1843" s="10"/>
      <c r="C1843" s="10"/>
      <c r="D1843" s="10"/>
      <c r="E1843" s="10"/>
      <c r="F1843" s="11"/>
      <c r="G1843" s="11"/>
      <c r="H1843" s="11"/>
      <c r="I1843" s="11"/>
      <c r="J1843" s="11" t="str">
        <f>IFERROR(__xludf.DUMMYFUNCTION("IFERROR(FILTER(Stats!$F:$Z,(Stats!$A:$A=$A1843)*(Stats!$B:$B=$B1843)))"),"#REF!")</f>
        <v>#REF!</v>
      </c>
      <c r="K1843" s="11"/>
      <c r="L1843" s="12"/>
      <c r="M1843" s="11"/>
      <c r="N1843" s="11"/>
      <c r="O1843" s="13"/>
      <c r="P1843" s="14"/>
      <c r="Q1843" s="13"/>
      <c r="R1843" s="13"/>
      <c r="S1843" s="15"/>
      <c r="T1843" s="16"/>
      <c r="U1843" s="16"/>
      <c r="V1843" s="16"/>
      <c r="W1843" s="16"/>
      <c r="X1843" s="16"/>
      <c r="Y1843" s="11"/>
      <c r="Z1843" s="11"/>
      <c r="AA1843" s="11"/>
      <c r="AB1843" s="11"/>
      <c r="AC1843" s="11"/>
      <c r="AD1843" s="11"/>
    </row>
    <row r="1844">
      <c r="A1844" s="10"/>
      <c r="B1844" s="10"/>
      <c r="C1844" s="10"/>
      <c r="D1844" s="10"/>
      <c r="E1844" s="10"/>
      <c r="F1844" s="11"/>
      <c r="G1844" s="11"/>
      <c r="H1844" s="11"/>
      <c r="I1844" s="11"/>
      <c r="J1844" s="11" t="str">
        <f>IFERROR(__xludf.DUMMYFUNCTION("IFERROR(FILTER(Stats!$F:$Z,(Stats!$A:$A=$A1844)*(Stats!$B:$B=$B1844)))"),"#REF!")</f>
        <v>#REF!</v>
      </c>
      <c r="K1844" s="11"/>
      <c r="L1844" s="12"/>
      <c r="M1844" s="11"/>
      <c r="N1844" s="11"/>
      <c r="O1844" s="13"/>
      <c r="P1844" s="14"/>
      <c r="Q1844" s="13"/>
      <c r="R1844" s="13"/>
      <c r="S1844" s="15"/>
      <c r="T1844" s="16"/>
      <c r="U1844" s="16"/>
      <c r="V1844" s="16"/>
      <c r="W1844" s="16"/>
      <c r="X1844" s="16"/>
      <c r="Y1844" s="11"/>
      <c r="Z1844" s="11"/>
      <c r="AA1844" s="11"/>
      <c r="AB1844" s="11"/>
      <c r="AC1844" s="11"/>
      <c r="AD1844" s="11"/>
    </row>
    <row r="1845">
      <c r="A1845" s="10"/>
      <c r="B1845" s="10"/>
      <c r="C1845" s="10"/>
      <c r="D1845" s="10"/>
      <c r="E1845" s="10"/>
      <c r="F1845" s="11"/>
      <c r="G1845" s="11"/>
      <c r="H1845" s="11"/>
      <c r="I1845" s="11"/>
      <c r="J1845" s="11" t="str">
        <f>IFERROR(__xludf.DUMMYFUNCTION("IFERROR(FILTER(Stats!$F:$Z,(Stats!$A:$A=$A1845)*(Stats!$B:$B=$B1845)))"),"#REF!")</f>
        <v>#REF!</v>
      </c>
      <c r="K1845" s="11"/>
      <c r="L1845" s="12"/>
      <c r="M1845" s="11"/>
      <c r="N1845" s="11"/>
      <c r="O1845" s="13"/>
      <c r="P1845" s="14"/>
      <c r="Q1845" s="13"/>
      <c r="R1845" s="13"/>
      <c r="S1845" s="15"/>
      <c r="T1845" s="16"/>
      <c r="U1845" s="16"/>
      <c r="V1845" s="16"/>
      <c r="W1845" s="16"/>
      <c r="X1845" s="16"/>
      <c r="Y1845" s="11"/>
      <c r="Z1845" s="11"/>
      <c r="AA1845" s="11"/>
      <c r="AB1845" s="11"/>
      <c r="AC1845" s="11"/>
      <c r="AD1845" s="11"/>
    </row>
    <row r="1846">
      <c r="A1846" s="10"/>
      <c r="B1846" s="10"/>
      <c r="C1846" s="10"/>
      <c r="D1846" s="10"/>
      <c r="E1846" s="10"/>
      <c r="F1846" s="11"/>
      <c r="G1846" s="11"/>
      <c r="H1846" s="11"/>
      <c r="I1846" s="11"/>
      <c r="J1846" s="11" t="str">
        <f>IFERROR(__xludf.DUMMYFUNCTION("IFERROR(FILTER(Stats!$F:$Z,(Stats!$A:$A=$A1846)*(Stats!$B:$B=$B1846)))"),"#REF!")</f>
        <v>#REF!</v>
      </c>
      <c r="K1846" s="11"/>
      <c r="L1846" s="12"/>
      <c r="M1846" s="11"/>
      <c r="N1846" s="11"/>
      <c r="O1846" s="13"/>
      <c r="P1846" s="14"/>
      <c r="Q1846" s="13"/>
      <c r="R1846" s="13"/>
      <c r="S1846" s="15"/>
      <c r="T1846" s="16"/>
      <c r="U1846" s="16"/>
      <c r="V1846" s="16"/>
      <c r="W1846" s="16"/>
      <c r="X1846" s="16"/>
      <c r="Y1846" s="11"/>
      <c r="Z1846" s="11"/>
      <c r="AA1846" s="11"/>
      <c r="AB1846" s="11"/>
      <c r="AC1846" s="11"/>
      <c r="AD1846" s="11"/>
    </row>
    <row r="1847">
      <c r="A1847" s="10"/>
      <c r="B1847" s="10"/>
      <c r="C1847" s="10"/>
      <c r="D1847" s="10"/>
      <c r="E1847" s="10"/>
      <c r="F1847" s="11"/>
      <c r="G1847" s="11"/>
      <c r="H1847" s="11"/>
      <c r="I1847" s="11"/>
      <c r="J1847" s="11" t="str">
        <f>IFERROR(__xludf.DUMMYFUNCTION("IFERROR(FILTER(Stats!$F:$Z,(Stats!$A:$A=$A1847)*(Stats!$B:$B=$B1847)))"),"#REF!")</f>
        <v>#REF!</v>
      </c>
      <c r="K1847" s="11"/>
      <c r="L1847" s="12"/>
      <c r="M1847" s="11"/>
      <c r="N1847" s="11"/>
      <c r="O1847" s="13"/>
      <c r="P1847" s="14"/>
      <c r="Q1847" s="13"/>
      <c r="R1847" s="13"/>
      <c r="S1847" s="15"/>
      <c r="T1847" s="16"/>
      <c r="U1847" s="16"/>
      <c r="V1847" s="16"/>
      <c r="W1847" s="16"/>
      <c r="X1847" s="16"/>
      <c r="Y1847" s="11"/>
      <c r="Z1847" s="11"/>
      <c r="AA1847" s="11"/>
      <c r="AB1847" s="11"/>
      <c r="AC1847" s="11"/>
      <c r="AD1847" s="11"/>
    </row>
    <row r="1848">
      <c r="A1848" s="10"/>
      <c r="B1848" s="10"/>
      <c r="C1848" s="10"/>
      <c r="D1848" s="10"/>
      <c r="E1848" s="10"/>
      <c r="F1848" s="11"/>
      <c r="G1848" s="11"/>
      <c r="H1848" s="11"/>
      <c r="I1848" s="11"/>
      <c r="J1848" s="11" t="str">
        <f>IFERROR(__xludf.DUMMYFUNCTION("IFERROR(FILTER(Stats!$F:$Z,(Stats!$A:$A=$A1848)*(Stats!$B:$B=$B1848)))"),"#REF!")</f>
        <v>#REF!</v>
      </c>
      <c r="K1848" s="11"/>
      <c r="L1848" s="12"/>
      <c r="M1848" s="11"/>
      <c r="N1848" s="11"/>
      <c r="O1848" s="13"/>
      <c r="P1848" s="14"/>
      <c r="Q1848" s="13"/>
      <c r="R1848" s="13"/>
      <c r="S1848" s="15"/>
      <c r="T1848" s="16"/>
      <c r="U1848" s="16"/>
      <c r="V1848" s="16"/>
      <c r="W1848" s="16"/>
      <c r="X1848" s="16"/>
      <c r="Y1848" s="11"/>
      <c r="Z1848" s="11"/>
      <c r="AA1848" s="11"/>
      <c r="AB1848" s="11"/>
      <c r="AC1848" s="11"/>
      <c r="AD1848" s="11"/>
    </row>
    <row r="1849">
      <c r="A1849" s="10"/>
      <c r="B1849" s="10"/>
      <c r="C1849" s="10"/>
      <c r="D1849" s="10"/>
      <c r="E1849" s="10"/>
      <c r="F1849" s="11"/>
      <c r="G1849" s="11"/>
      <c r="H1849" s="11"/>
      <c r="I1849" s="11"/>
      <c r="J1849" s="11" t="str">
        <f>IFERROR(__xludf.DUMMYFUNCTION("IFERROR(FILTER(Stats!$F:$Z,(Stats!$A:$A=$A1849)*(Stats!$B:$B=$B1849)))"),"#REF!")</f>
        <v>#REF!</v>
      </c>
      <c r="K1849" s="11"/>
      <c r="L1849" s="12"/>
      <c r="M1849" s="11"/>
      <c r="N1849" s="11"/>
      <c r="O1849" s="13"/>
      <c r="P1849" s="14"/>
      <c r="Q1849" s="13"/>
      <c r="R1849" s="13"/>
      <c r="S1849" s="15"/>
      <c r="T1849" s="16"/>
      <c r="U1849" s="16"/>
      <c r="V1849" s="16"/>
      <c r="W1849" s="16"/>
      <c r="X1849" s="16"/>
      <c r="Y1849" s="11"/>
      <c r="Z1849" s="11"/>
      <c r="AA1849" s="11"/>
      <c r="AB1849" s="11"/>
      <c r="AC1849" s="11"/>
      <c r="AD1849" s="11"/>
    </row>
    <row r="1850">
      <c r="A1850" s="10"/>
      <c r="B1850" s="10"/>
      <c r="C1850" s="10"/>
      <c r="D1850" s="10"/>
      <c r="E1850" s="10"/>
      <c r="F1850" s="11"/>
      <c r="G1850" s="11"/>
      <c r="H1850" s="11"/>
      <c r="I1850" s="11"/>
      <c r="J1850" s="11" t="str">
        <f>IFERROR(__xludf.DUMMYFUNCTION("IFERROR(FILTER(Stats!$F:$Z,(Stats!$A:$A=$A1850)*(Stats!$B:$B=$B1850)))"),"#REF!")</f>
        <v>#REF!</v>
      </c>
      <c r="K1850" s="11"/>
      <c r="L1850" s="12"/>
      <c r="M1850" s="11"/>
      <c r="N1850" s="11"/>
      <c r="O1850" s="13"/>
      <c r="P1850" s="14"/>
      <c r="Q1850" s="13"/>
      <c r="R1850" s="13"/>
      <c r="S1850" s="15"/>
      <c r="T1850" s="16"/>
      <c r="U1850" s="16"/>
      <c r="V1850" s="16"/>
      <c r="W1850" s="16"/>
      <c r="X1850" s="16"/>
      <c r="Y1850" s="11"/>
      <c r="Z1850" s="11"/>
      <c r="AA1850" s="11"/>
      <c r="AB1850" s="11"/>
      <c r="AC1850" s="11"/>
      <c r="AD1850" s="11"/>
    </row>
    <row r="1851">
      <c r="A1851" s="10"/>
      <c r="B1851" s="10"/>
      <c r="C1851" s="10"/>
      <c r="D1851" s="10"/>
      <c r="E1851" s="10"/>
      <c r="F1851" s="11"/>
      <c r="G1851" s="11"/>
      <c r="H1851" s="11"/>
      <c r="I1851" s="11"/>
      <c r="J1851" s="11" t="str">
        <f>IFERROR(__xludf.DUMMYFUNCTION("IFERROR(FILTER(Stats!$F:$Z,(Stats!$A:$A=$A1851)*(Stats!$B:$B=$B1851)))"),"#REF!")</f>
        <v>#REF!</v>
      </c>
      <c r="K1851" s="11"/>
      <c r="L1851" s="12"/>
      <c r="M1851" s="11"/>
      <c r="N1851" s="11"/>
      <c r="O1851" s="13"/>
      <c r="P1851" s="14"/>
      <c r="Q1851" s="13"/>
      <c r="R1851" s="13"/>
      <c r="S1851" s="15"/>
      <c r="T1851" s="16"/>
      <c r="U1851" s="16"/>
      <c r="V1851" s="16"/>
      <c r="W1851" s="16"/>
      <c r="X1851" s="16"/>
      <c r="Y1851" s="11"/>
      <c r="Z1851" s="11"/>
      <c r="AA1851" s="11"/>
      <c r="AB1851" s="11"/>
      <c r="AC1851" s="11"/>
      <c r="AD1851" s="11"/>
    </row>
    <row r="1852">
      <c r="A1852" s="10"/>
      <c r="B1852" s="10"/>
      <c r="C1852" s="10"/>
      <c r="D1852" s="10"/>
      <c r="E1852" s="10"/>
      <c r="F1852" s="11"/>
      <c r="G1852" s="11"/>
      <c r="H1852" s="11"/>
      <c r="I1852" s="11"/>
      <c r="J1852" s="11" t="str">
        <f>IFERROR(__xludf.DUMMYFUNCTION("IFERROR(FILTER(Stats!$F:$Z,(Stats!$A:$A=$A1852)*(Stats!$B:$B=$B1852)))"),"#REF!")</f>
        <v>#REF!</v>
      </c>
      <c r="K1852" s="11"/>
      <c r="L1852" s="12"/>
      <c r="M1852" s="11"/>
      <c r="N1852" s="11"/>
      <c r="O1852" s="13"/>
      <c r="P1852" s="14"/>
      <c r="Q1852" s="13"/>
      <c r="R1852" s="13"/>
      <c r="S1852" s="15"/>
      <c r="T1852" s="16"/>
      <c r="U1852" s="16"/>
      <c r="V1852" s="16"/>
      <c r="W1852" s="16"/>
      <c r="X1852" s="16"/>
      <c r="Y1852" s="11"/>
      <c r="Z1852" s="11"/>
      <c r="AA1852" s="11"/>
      <c r="AB1852" s="11"/>
      <c r="AC1852" s="11"/>
      <c r="AD1852" s="11"/>
    </row>
    <row r="1853">
      <c r="A1853" s="10"/>
      <c r="B1853" s="10"/>
      <c r="C1853" s="10"/>
      <c r="D1853" s="10"/>
      <c r="E1853" s="10"/>
      <c r="F1853" s="11"/>
      <c r="G1853" s="11"/>
      <c r="H1853" s="11"/>
      <c r="I1853" s="11"/>
      <c r="J1853" s="11" t="str">
        <f>IFERROR(__xludf.DUMMYFUNCTION("IFERROR(FILTER(Stats!$F:$Z,(Stats!$A:$A=$A1853)*(Stats!$B:$B=$B1853)))"),"#REF!")</f>
        <v>#REF!</v>
      </c>
      <c r="K1853" s="11"/>
      <c r="L1853" s="12"/>
      <c r="M1853" s="11"/>
      <c r="N1853" s="11"/>
      <c r="O1853" s="13"/>
      <c r="P1853" s="14"/>
      <c r="Q1853" s="13"/>
      <c r="R1853" s="13"/>
      <c r="S1853" s="15"/>
      <c r="T1853" s="16"/>
      <c r="U1853" s="16"/>
      <c r="V1853" s="16"/>
      <c r="W1853" s="16"/>
      <c r="X1853" s="16"/>
      <c r="Y1853" s="11"/>
      <c r="Z1853" s="11"/>
      <c r="AA1853" s="11"/>
      <c r="AB1853" s="11"/>
      <c r="AC1853" s="11"/>
      <c r="AD1853" s="11"/>
    </row>
    <row r="1854">
      <c r="A1854" s="10"/>
      <c r="B1854" s="10"/>
      <c r="C1854" s="10"/>
      <c r="D1854" s="10"/>
      <c r="E1854" s="10"/>
      <c r="F1854" s="11"/>
      <c r="G1854" s="11"/>
      <c r="H1854" s="11"/>
      <c r="I1854" s="11"/>
      <c r="J1854" s="11" t="str">
        <f>IFERROR(__xludf.DUMMYFUNCTION("IFERROR(FILTER(Stats!$F:$Z,(Stats!$A:$A=$A1854)*(Stats!$B:$B=$B1854)))"),"#REF!")</f>
        <v>#REF!</v>
      </c>
      <c r="K1854" s="11"/>
      <c r="L1854" s="12"/>
      <c r="M1854" s="11"/>
      <c r="N1854" s="11"/>
      <c r="O1854" s="13"/>
      <c r="P1854" s="14"/>
      <c r="Q1854" s="13"/>
      <c r="R1854" s="13"/>
      <c r="S1854" s="15"/>
      <c r="T1854" s="16"/>
      <c r="U1854" s="16"/>
      <c r="V1854" s="16"/>
      <c r="W1854" s="16"/>
      <c r="X1854" s="16"/>
      <c r="Y1854" s="11"/>
      <c r="Z1854" s="11"/>
      <c r="AA1854" s="11"/>
      <c r="AB1854" s="11"/>
      <c r="AC1854" s="11"/>
      <c r="AD1854" s="11"/>
    </row>
    <row r="1855">
      <c r="A1855" s="10"/>
      <c r="B1855" s="10"/>
      <c r="C1855" s="10"/>
      <c r="D1855" s="10"/>
      <c r="E1855" s="10"/>
      <c r="F1855" s="11"/>
      <c r="G1855" s="11"/>
      <c r="H1855" s="11"/>
      <c r="I1855" s="11"/>
      <c r="J1855" s="11" t="str">
        <f>IFERROR(__xludf.DUMMYFUNCTION("IFERROR(FILTER(Stats!$F:$Z,(Stats!$A:$A=$A1855)*(Stats!$B:$B=$B1855)))"),"#REF!")</f>
        <v>#REF!</v>
      </c>
      <c r="K1855" s="11"/>
      <c r="L1855" s="12"/>
      <c r="M1855" s="11"/>
      <c r="N1855" s="11"/>
      <c r="O1855" s="13"/>
      <c r="P1855" s="14"/>
      <c r="Q1855" s="13"/>
      <c r="R1855" s="13"/>
      <c r="S1855" s="15"/>
      <c r="T1855" s="16"/>
      <c r="U1855" s="16"/>
      <c r="V1855" s="16"/>
      <c r="W1855" s="16"/>
      <c r="X1855" s="16"/>
      <c r="Y1855" s="11"/>
      <c r="Z1855" s="11"/>
      <c r="AA1855" s="11"/>
      <c r="AB1855" s="11"/>
      <c r="AC1855" s="11"/>
      <c r="AD1855" s="11"/>
    </row>
    <row r="1856">
      <c r="A1856" s="10"/>
      <c r="B1856" s="10"/>
      <c r="C1856" s="10"/>
      <c r="D1856" s="10"/>
      <c r="E1856" s="10"/>
      <c r="F1856" s="11"/>
      <c r="G1856" s="11"/>
      <c r="H1856" s="11"/>
      <c r="I1856" s="11"/>
      <c r="J1856" s="11" t="str">
        <f>IFERROR(__xludf.DUMMYFUNCTION("IFERROR(FILTER(Stats!$F:$Z,(Stats!$A:$A=$A1856)*(Stats!$B:$B=$B1856)))"),"#REF!")</f>
        <v>#REF!</v>
      </c>
      <c r="K1856" s="11"/>
      <c r="L1856" s="12"/>
      <c r="M1856" s="11"/>
      <c r="N1856" s="11"/>
      <c r="O1856" s="13"/>
      <c r="P1856" s="14"/>
      <c r="Q1856" s="13"/>
      <c r="R1856" s="13"/>
      <c r="S1856" s="15"/>
      <c r="T1856" s="16"/>
      <c r="U1856" s="16"/>
      <c r="V1856" s="16"/>
      <c r="W1856" s="16"/>
      <c r="X1856" s="16"/>
      <c r="Y1856" s="11"/>
      <c r="Z1856" s="11"/>
      <c r="AA1856" s="11"/>
      <c r="AB1856" s="11"/>
      <c r="AC1856" s="11"/>
      <c r="AD1856" s="11"/>
    </row>
    <row r="1857">
      <c r="A1857" s="10"/>
      <c r="B1857" s="10"/>
      <c r="C1857" s="10"/>
      <c r="D1857" s="10"/>
      <c r="E1857" s="10"/>
      <c r="F1857" s="11"/>
      <c r="G1857" s="11"/>
      <c r="H1857" s="11"/>
      <c r="I1857" s="11"/>
      <c r="J1857" s="11" t="str">
        <f>IFERROR(__xludf.DUMMYFUNCTION("IFERROR(FILTER(Stats!$F:$Z,(Stats!$A:$A=$A1857)*(Stats!$B:$B=$B1857)))"),"#REF!")</f>
        <v>#REF!</v>
      </c>
      <c r="K1857" s="11"/>
      <c r="L1857" s="12"/>
      <c r="M1857" s="11"/>
      <c r="N1857" s="11"/>
      <c r="O1857" s="13"/>
      <c r="P1857" s="14"/>
      <c r="Q1857" s="13"/>
      <c r="R1857" s="13"/>
      <c r="S1857" s="15"/>
      <c r="T1857" s="16"/>
      <c r="U1857" s="16"/>
      <c r="V1857" s="16"/>
      <c r="W1857" s="16"/>
      <c r="X1857" s="16"/>
      <c r="Y1857" s="11"/>
      <c r="Z1857" s="11"/>
      <c r="AA1857" s="11"/>
      <c r="AB1857" s="11"/>
      <c r="AC1857" s="11"/>
      <c r="AD1857" s="11"/>
    </row>
    <row r="1858">
      <c r="A1858" s="10"/>
      <c r="B1858" s="10"/>
      <c r="C1858" s="10"/>
      <c r="D1858" s="10"/>
      <c r="E1858" s="10"/>
      <c r="F1858" s="11"/>
      <c r="G1858" s="11"/>
      <c r="H1858" s="11"/>
      <c r="I1858" s="11"/>
      <c r="J1858" s="11" t="str">
        <f>IFERROR(__xludf.DUMMYFUNCTION("IFERROR(FILTER(Stats!$F:$Z,(Stats!$A:$A=$A1858)*(Stats!$B:$B=$B1858)))"),"#REF!")</f>
        <v>#REF!</v>
      </c>
      <c r="K1858" s="11"/>
      <c r="L1858" s="12"/>
      <c r="M1858" s="11"/>
      <c r="N1858" s="11"/>
      <c r="O1858" s="13"/>
      <c r="P1858" s="14"/>
      <c r="Q1858" s="13"/>
      <c r="R1858" s="13"/>
      <c r="S1858" s="15"/>
      <c r="T1858" s="16"/>
      <c r="U1858" s="16"/>
      <c r="V1858" s="16"/>
      <c r="W1858" s="16"/>
      <c r="X1858" s="16"/>
      <c r="Y1858" s="11"/>
      <c r="Z1858" s="11"/>
      <c r="AA1858" s="11"/>
      <c r="AB1858" s="11"/>
      <c r="AC1858" s="11"/>
      <c r="AD1858" s="11"/>
    </row>
    <row r="1859">
      <c r="A1859" s="10"/>
      <c r="B1859" s="10"/>
      <c r="C1859" s="10"/>
      <c r="D1859" s="10"/>
      <c r="E1859" s="10"/>
      <c r="F1859" s="11"/>
      <c r="G1859" s="11"/>
      <c r="H1859" s="11"/>
      <c r="I1859" s="11"/>
      <c r="J1859" s="11" t="str">
        <f>IFERROR(__xludf.DUMMYFUNCTION("IFERROR(FILTER(Stats!$F:$Z,(Stats!$A:$A=$A1859)*(Stats!$B:$B=$B1859)))"),"#REF!")</f>
        <v>#REF!</v>
      </c>
      <c r="K1859" s="11"/>
      <c r="L1859" s="12"/>
      <c r="M1859" s="11"/>
      <c r="N1859" s="11"/>
      <c r="O1859" s="13"/>
      <c r="P1859" s="14"/>
      <c r="Q1859" s="13"/>
      <c r="R1859" s="13"/>
      <c r="S1859" s="15"/>
      <c r="T1859" s="16"/>
      <c r="U1859" s="16"/>
      <c r="V1859" s="16"/>
      <c r="W1859" s="16"/>
      <c r="X1859" s="16"/>
      <c r="Y1859" s="11"/>
      <c r="Z1859" s="11"/>
      <c r="AA1859" s="11"/>
      <c r="AB1859" s="11"/>
      <c r="AC1859" s="11"/>
      <c r="AD1859" s="11"/>
    </row>
    <row r="1860">
      <c r="A1860" s="10"/>
      <c r="B1860" s="10"/>
      <c r="C1860" s="10"/>
      <c r="D1860" s="10"/>
      <c r="E1860" s="10"/>
      <c r="F1860" s="11"/>
      <c r="G1860" s="11"/>
      <c r="H1860" s="11"/>
      <c r="I1860" s="11"/>
      <c r="J1860" s="11" t="str">
        <f>IFERROR(__xludf.DUMMYFUNCTION("IFERROR(FILTER(Stats!$F:$Z,(Stats!$A:$A=$A1860)*(Stats!$B:$B=$B1860)))"),"#REF!")</f>
        <v>#REF!</v>
      </c>
      <c r="K1860" s="11"/>
      <c r="L1860" s="12"/>
      <c r="M1860" s="11"/>
      <c r="N1860" s="11"/>
      <c r="O1860" s="13"/>
      <c r="P1860" s="14"/>
      <c r="Q1860" s="13"/>
      <c r="R1860" s="13"/>
      <c r="S1860" s="15"/>
      <c r="T1860" s="16"/>
      <c r="U1860" s="16"/>
      <c r="V1860" s="16"/>
      <c r="W1860" s="16"/>
      <c r="X1860" s="16"/>
      <c r="Y1860" s="11"/>
      <c r="Z1860" s="11"/>
      <c r="AA1860" s="11"/>
      <c r="AB1860" s="11"/>
      <c r="AC1860" s="11"/>
      <c r="AD1860" s="11"/>
    </row>
    <row r="1861">
      <c r="A1861" s="10"/>
      <c r="B1861" s="10"/>
      <c r="C1861" s="10"/>
      <c r="D1861" s="10"/>
      <c r="E1861" s="10"/>
      <c r="F1861" s="11"/>
      <c r="G1861" s="11"/>
      <c r="H1861" s="11"/>
      <c r="I1861" s="11"/>
      <c r="J1861" s="11" t="str">
        <f>IFERROR(__xludf.DUMMYFUNCTION("IFERROR(FILTER(Stats!$F:$Z,(Stats!$A:$A=$A1861)*(Stats!$B:$B=$B1861)))"),"#REF!")</f>
        <v>#REF!</v>
      </c>
      <c r="K1861" s="11"/>
      <c r="L1861" s="12"/>
      <c r="M1861" s="11"/>
      <c r="N1861" s="11"/>
      <c r="O1861" s="13"/>
      <c r="P1861" s="14"/>
      <c r="Q1861" s="13"/>
      <c r="R1861" s="13"/>
      <c r="S1861" s="15"/>
      <c r="T1861" s="16"/>
      <c r="U1861" s="16"/>
      <c r="V1861" s="16"/>
      <c r="W1861" s="16"/>
      <c r="X1861" s="16"/>
      <c r="Y1861" s="11"/>
      <c r="Z1861" s="11"/>
      <c r="AA1861" s="11"/>
      <c r="AB1861" s="11"/>
      <c r="AC1861" s="11"/>
      <c r="AD1861" s="11"/>
    </row>
    <row r="1862">
      <c r="A1862" s="10"/>
      <c r="B1862" s="10"/>
      <c r="C1862" s="10"/>
      <c r="D1862" s="10"/>
      <c r="E1862" s="10"/>
      <c r="F1862" s="11"/>
      <c r="G1862" s="11"/>
      <c r="H1862" s="11"/>
      <c r="I1862" s="11"/>
      <c r="J1862" s="11" t="str">
        <f>IFERROR(__xludf.DUMMYFUNCTION("IFERROR(FILTER(Stats!$F:$Z,(Stats!$A:$A=$A1862)*(Stats!$B:$B=$B1862)))"),"#REF!")</f>
        <v>#REF!</v>
      </c>
      <c r="K1862" s="11"/>
      <c r="L1862" s="12"/>
      <c r="M1862" s="11"/>
      <c r="N1862" s="11"/>
      <c r="O1862" s="13"/>
      <c r="P1862" s="14"/>
      <c r="Q1862" s="13"/>
      <c r="R1862" s="13"/>
      <c r="S1862" s="15"/>
      <c r="T1862" s="16"/>
      <c r="U1862" s="16"/>
      <c r="V1862" s="16"/>
      <c r="W1862" s="16"/>
      <c r="X1862" s="16"/>
      <c r="Y1862" s="11"/>
      <c r="Z1862" s="11"/>
      <c r="AA1862" s="11"/>
      <c r="AB1862" s="11"/>
      <c r="AC1862" s="11"/>
      <c r="AD1862" s="11"/>
    </row>
    <row r="1863">
      <c r="A1863" s="10"/>
      <c r="B1863" s="10"/>
      <c r="C1863" s="10"/>
      <c r="D1863" s="10"/>
      <c r="E1863" s="10"/>
      <c r="F1863" s="11"/>
      <c r="G1863" s="11"/>
      <c r="H1863" s="11"/>
      <c r="I1863" s="11"/>
      <c r="J1863" s="11" t="str">
        <f>IFERROR(__xludf.DUMMYFUNCTION("IFERROR(FILTER(Stats!$F:$Z,(Stats!$A:$A=$A1863)*(Stats!$B:$B=$B1863)))"),"#REF!")</f>
        <v>#REF!</v>
      </c>
      <c r="K1863" s="11"/>
      <c r="L1863" s="12"/>
      <c r="M1863" s="11"/>
      <c r="N1863" s="11"/>
      <c r="O1863" s="13"/>
      <c r="P1863" s="14"/>
      <c r="Q1863" s="13"/>
      <c r="R1863" s="13"/>
      <c r="S1863" s="15"/>
      <c r="T1863" s="16"/>
      <c r="U1863" s="16"/>
      <c r="V1863" s="16"/>
      <c r="W1863" s="16"/>
      <c r="X1863" s="16"/>
      <c r="Y1863" s="11"/>
      <c r="Z1863" s="11"/>
      <c r="AA1863" s="11"/>
      <c r="AB1863" s="11"/>
      <c r="AC1863" s="11"/>
      <c r="AD1863" s="11"/>
    </row>
    <row r="1864">
      <c r="A1864" s="10"/>
      <c r="B1864" s="10"/>
      <c r="C1864" s="10"/>
      <c r="D1864" s="10"/>
      <c r="E1864" s="10"/>
      <c r="F1864" s="11"/>
      <c r="G1864" s="11"/>
      <c r="H1864" s="11"/>
      <c r="I1864" s="11"/>
      <c r="J1864" s="11" t="str">
        <f>IFERROR(__xludf.DUMMYFUNCTION("IFERROR(FILTER(Stats!$F:$Z,(Stats!$A:$A=$A1864)*(Stats!$B:$B=$B1864)))"),"#REF!")</f>
        <v>#REF!</v>
      </c>
      <c r="K1864" s="11"/>
      <c r="L1864" s="12"/>
      <c r="M1864" s="11"/>
      <c r="N1864" s="11"/>
      <c r="O1864" s="13"/>
      <c r="P1864" s="14"/>
      <c r="Q1864" s="13"/>
      <c r="R1864" s="13"/>
      <c r="S1864" s="15"/>
      <c r="T1864" s="16"/>
      <c r="U1864" s="16"/>
      <c r="V1864" s="16"/>
      <c r="W1864" s="16"/>
      <c r="X1864" s="16"/>
      <c r="Y1864" s="11"/>
      <c r="Z1864" s="11"/>
      <c r="AA1864" s="11"/>
      <c r="AB1864" s="11"/>
      <c r="AC1864" s="11"/>
      <c r="AD1864" s="11"/>
    </row>
    <row r="1865">
      <c r="A1865" s="10"/>
      <c r="B1865" s="10"/>
      <c r="C1865" s="10"/>
      <c r="D1865" s="10"/>
      <c r="E1865" s="10"/>
      <c r="F1865" s="11"/>
      <c r="G1865" s="11"/>
      <c r="H1865" s="11"/>
      <c r="I1865" s="11"/>
      <c r="J1865" s="11" t="str">
        <f>IFERROR(__xludf.DUMMYFUNCTION("IFERROR(FILTER(Stats!$F:$Z,(Stats!$A:$A=$A1865)*(Stats!$B:$B=$B1865)))"),"#REF!")</f>
        <v>#REF!</v>
      </c>
      <c r="K1865" s="11"/>
      <c r="L1865" s="12"/>
      <c r="M1865" s="11"/>
      <c r="N1865" s="11"/>
      <c r="O1865" s="13"/>
      <c r="P1865" s="14"/>
      <c r="Q1865" s="13"/>
      <c r="R1865" s="13"/>
      <c r="S1865" s="15"/>
      <c r="T1865" s="16"/>
      <c r="U1865" s="16"/>
      <c r="V1865" s="16"/>
      <c r="W1865" s="16"/>
      <c r="X1865" s="16"/>
      <c r="Y1865" s="11"/>
      <c r="Z1865" s="11"/>
      <c r="AA1865" s="11"/>
      <c r="AB1865" s="11"/>
      <c r="AC1865" s="11"/>
      <c r="AD1865" s="11"/>
    </row>
    <row r="1866">
      <c r="A1866" s="10"/>
      <c r="B1866" s="10"/>
      <c r="C1866" s="10"/>
      <c r="D1866" s="10"/>
      <c r="E1866" s="10"/>
      <c r="F1866" s="11"/>
      <c r="G1866" s="11"/>
      <c r="H1866" s="11"/>
      <c r="I1866" s="11"/>
      <c r="J1866" s="11" t="str">
        <f>IFERROR(__xludf.DUMMYFUNCTION("IFERROR(FILTER(Stats!$F:$Z,(Stats!$A:$A=$A1866)*(Stats!$B:$B=$B1866)))"),"#REF!")</f>
        <v>#REF!</v>
      </c>
      <c r="K1866" s="11"/>
      <c r="L1866" s="12"/>
      <c r="M1866" s="11"/>
      <c r="N1866" s="11"/>
      <c r="O1866" s="13"/>
      <c r="P1866" s="14"/>
      <c r="Q1866" s="13"/>
      <c r="R1866" s="13"/>
      <c r="S1866" s="15"/>
      <c r="T1866" s="16"/>
      <c r="U1866" s="16"/>
      <c r="V1866" s="16"/>
      <c r="W1866" s="16"/>
      <c r="X1866" s="16"/>
      <c r="Y1866" s="11"/>
      <c r="Z1866" s="11"/>
      <c r="AA1866" s="11"/>
      <c r="AB1866" s="11"/>
      <c r="AC1866" s="11"/>
      <c r="AD1866" s="11"/>
    </row>
    <row r="1867">
      <c r="A1867" s="10"/>
      <c r="B1867" s="10"/>
      <c r="C1867" s="10"/>
      <c r="D1867" s="10"/>
      <c r="E1867" s="10"/>
      <c r="F1867" s="11"/>
      <c r="G1867" s="11"/>
      <c r="H1867" s="11"/>
      <c r="I1867" s="11"/>
      <c r="J1867" s="11" t="str">
        <f>IFERROR(__xludf.DUMMYFUNCTION("IFERROR(FILTER(Stats!$F:$Z,(Stats!$A:$A=$A1867)*(Stats!$B:$B=$B1867)))"),"#REF!")</f>
        <v>#REF!</v>
      </c>
      <c r="K1867" s="11"/>
      <c r="L1867" s="12"/>
      <c r="M1867" s="11"/>
      <c r="N1867" s="11"/>
      <c r="O1867" s="13"/>
      <c r="P1867" s="14"/>
      <c r="Q1867" s="13"/>
      <c r="R1867" s="13"/>
      <c r="S1867" s="15"/>
      <c r="T1867" s="16"/>
      <c r="U1867" s="16"/>
      <c r="V1867" s="16"/>
      <c r="W1867" s="16"/>
      <c r="X1867" s="16"/>
      <c r="Y1867" s="11"/>
      <c r="Z1867" s="11"/>
      <c r="AA1867" s="11"/>
      <c r="AB1867" s="11"/>
      <c r="AC1867" s="11"/>
      <c r="AD1867" s="11"/>
    </row>
    <row r="1868">
      <c r="A1868" s="10"/>
      <c r="B1868" s="10"/>
      <c r="C1868" s="10"/>
      <c r="D1868" s="10"/>
      <c r="E1868" s="10"/>
      <c r="F1868" s="11"/>
      <c r="G1868" s="11"/>
      <c r="H1868" s="11"/>
      <c r="I1868" s="11"/>
      <c r="J1868" s="11" t="str">
        <f>IFERROR(__xludf.DUMMYFUNCTION("IFERROR(FILTER(Stats!$F:$Z,(Stats!$A:$A=$A1868)*(Stats!$B:$B=$B1868)))"),"#REF!")</f>
        <v>#REF!</v>
      </c>
      <c r="K1868" s="11"/>
      <c r="L1868" s="12"/>
      <c r="M1868" s="11"/>
      <c r="N1868" s="11"/>
      <c r="O1868" s="13"/>
      <c r="P1868" s="14"/>
      <c r="Q1868" s="13"/>
      <c r="R1868" s="13"/>
      <c r="S1868" s="15"/>
      <c r="T1868" s="16"/>
      <c r="U1868" s="16"/>
      <c r="V1868" s="16"/>
      <c r="W1868" s="16"/>
      <c r="X1868" s="16"/>
      <c r="Y1868" s="11"/>
      <c r="Z1868" s="11"/>
      <c r="AA1868" s="11"/>
      <c r="AB1868" s="11"/>
      <c r="AC1868" s="11"/>
      <c r="AD1868" s="11"/>
    </row>
    <row r="1869">
      <c r="A1869" s="10"/>
      <c r="B1869" s="10"/>
      <c r="C1869" s="10"/>
      <c r="D1869" s="10"/>
      <c r="E1869" s="10"/>
      <c r="F1869" s="11"/>
      <c r="G1869" s="11"/>
      <c r="H1869" s="11"/>
      <c r="I1869" s="11"/>
      <c r="J1869" s="11" t="str">
        <f>IFERROR(__xludf.DUMMYFUNCTION("IFERROR(FILTER(Stats!$F:$Z,(Stats!$A:$A=$A1869)*(Stats!$B:$B=$B1869)))"),"#REF!")</f>
        <v>#REF!</v>
      </c>
      <c r="K1869" s="11"/>
      <c r="L1869" s="12"/>
      <c r="M1869" s="11"/>
      <c r="N1869" s="11"/>
      <c r="O1869" s="13"/>
      <c r="P1869" s="14"/>
      <c r="Q1869" s="13"/>
      <c r="R1869" s="13"/>
      <c r="S1869" s="15"/>
      <c r="T1869" s="16"/>
      <c r="U1869" s="16"/>
      <c r="V1869" s="16"/>
      <c r="W1869" s="16"/>
      <c r="X1869" s="16"/>
      <c r="Y1869" s="11"/>
      <c r="Z1869" s="11"/>
      <c r="AA1869" s="11"/>
      <c r="AB1869" s="11"/>
      <c r="AC1869" s="11"/>
      <c r="AD1869" s="11"/>
    </row>
    <row r="1870">
      <c r="A1870" s="10"/>
      <c r="B1870" s="10"/>
      <c r="C1870" s="10"/>
      <c r="D1870" s="10"/>
      <c r="E1870" s="10"/>
      <c r="F1870" s="11"/>
      <c r="G1870" s="11"/>
      <c r="H1870" s="11"/>
      <c r="I1870" s="11"/>
      <c r="J1870" s="11" t="str">
        <f>IFERROR(__xludf.DUMMYFUNCTION("IFERROR(FILTER(Stats!$F:$Z,(Stats!$A:$A=$A1870)*(Stats!$B:$B=$B1870)))"),"#REF!")</f>
        <v>#REF!</v>
      </c>
      <c r="K1870" s="11"/>
      <c r="L1870" s="12"/>
      <c r="M1870" s="11"/>
      <c r="N1870" s="11"/>
      <c r="O1870" s="13"/>
      <c r="P1870" s="14"/>
      <c r="Q1870" s="13"/>
      <c r="R1870" s="13"/>
      <c r="S1870" s="15"/>
      <c r="T1870" s="16"/>
      <c r="U1870" s="16"/>
      <c r="V1870" s="16"/>
      <c r="W1870" s="16"/>
      <c r="X1870" s="16"/>
      <c r="Y1870" s="11"/>
      <c r="Z1870" s="11"/>
      <c r="AA1870" s="11"/>
      <c r="AB1870" s="11"/>
      <c r="AC1870" s="11"/>
      <c r="AD1870" s="11"/>
    </row>
    <row r="1871">
      <c r="A1871" s="10"/>
      <c r="B1871" s="10"/>
      <c r="C1871" s="10"/>
      <c r="D1871" s="10"/>
      <c r="E1871" s="10"/>
      <c r="F1871" s="11"/>
      <c r="G1871" s="11"/>
      <c r="H1871" s="11"/>
      <c r="I1871" s="11"/>
      <c r="J1871" s="11" t="str">
        <f>IFERROR(__xludf.DUMMYFUNCTION("IFERROR(FILTER(Stats!$F:$Z,(Stats!$A:$A=$A1871)*(Stats!$B:$B=$B1871)))"),"#REF!")</f>
        <v>#REF!</v>
      </c>
      <c r="K1871" s="11"/>
      <c r="L1871" s="12"/>
      <c r="M1871" s="11"/>
      <c r="N1871" s="11"/>
      <c r="O1871" s="13"/>
      <c r="P1871" s="14"/>
      <c r="Q1871" s="13"/>
      <c r="R1871" s="13"/>
      <c r="S1871" s="15"/>
      <c r="T1871" s="16"/>
      <c r="U1871" s="16"/>
      <c r="V1871" s="16"/>
      <c r="W1871" s="16"/>
      <c r="X1871" s="16"/>
      <c r="Y1871" s="11"/>
      <c r="Z1871" s="11"/>
      <c r="AA1871" s="11"/>
      <c r="AB1871" s="11"/>
      <c r="AC1871" s="11"/>
      <c r="AD1871" s="11"/>
    </row>
    <row r="1872">
      <c r="A1872" s="10"/>
      <c r="B1872" s="10"/>
      <c r="C1872" s="10"/>
      <c r="D1872" s="10"/>
      <c r="E1872" s="10"/>
      <c r="F1872" s="11"/>
      <c r="G1872" s="11"/>
      <c r="H1872" s="11"/>
      <c r="I1872" s="11"/>
      <c r="J1872" s="11" t="str">
        <f>IFERROR(__xludf.DUMMYFUNCTION("IFERROR(FILTER(Stats!$F:$Z,(Stats!$A:$A=$A1872)*(Stats!$B:$B=$B1872)))"),"#REF!")</f>
        <v>#REF!</v>
      </c>
      <c r="K1872" s="11"/>
      <c r="L1872" s="12"/>
      <c r="M1872" s="11"/>
      <c r="N1872" s="11"/>
      <c r="O1872" s="13"/>
      <c r="P1872" s="14"/>
      <c r="Q1872" s="13"/>
      <c r="R1872" s="13"/>
      <c r="S1872" s="15"/>
      <c r="T1872" s="16"/>
      <c r="U1872" s="16"/>
      <c r="V1872" s="16"/>
      <c r="W1872" s="16"/>
      <c r="X1872" s="16"/>
      <c r="Y1872" s="11"/>
      <c r="Z1872" s="11"/>
      <c r="AA1872" s="11"/>
      <c r="AB1872" s="11"/>
      <c r="AC1872" s="11"/>
      <c r="AD1872" s="11"/>
    </row>
    <row r="1873">
      <c r="A1873" s="10"/>
      <c r="B1873" s="10"/>
      <c r="C1873" s="10"/>
      <c r="D1873" s="10"/>
      <c r="E1873" s="10"/>
      <c r="F1873" s="11"/>
      <c r="G1873" s="11"/>
      <c r="H1873" s="11"/>
      <c r="I1873" s="11"/>
      <c r="J1873" s="11" t="str">
        <f>IFERROR(__xludf.DUMMYFUNCTION("IFERROR(FILTER(Stats!$F:$Z,(Stats!$A:$A=$A1873)*(Stats!$B:$B=$B1873)))"),"#REF!")</f>
        <v>#REF!</v>
      </c>
      <c r="K1873" s="11"/>
      <c r="L1873" s="12"/>
      <c r="M1873" s="11"/>
      <c r="N1873" s="11"/>
      <c r="O1873" s="13"/>
      <c r="P1873" s="14"/>
      <c r="Q1873" s="13"/>
      <c r="R1873" s="13"/>
      <c r="S1873" s="15"/>
      <c r="T1873" s="16"/>
      <c r="U1873" s="16"/>
      <c r="V1873" s="16"/>
      <c r="W1873" s="16"/>
      <c r="X1873" s="16"/>
      <c r="Y1873" s="11"/>
      <c r="Z1873" s="11"/>
      <c r="AA1873" s="11"/>
      <c r="AB1873" s="11"/>
      <c r="AC1873" s="11"/>
      <c r="AD1873" s="11"/>
    </row>
    <row r="1874">
      <c r="A1874" s="10"/>
      <c r="B1874" s="10"/>
      <c r="C1874" s="10"/>
      <c r="D1874" s="10"/>
      <c r="E1874" s="10"/>
      <c r="F1874" s="11"/>
      <c r="G1874" s="11"/>
      <c r="H1874" s="11"/>
      <c r="I1874" s="11"/>
      <c r="J1874" s="11" t="str">
        <f>IFERROR(__xludf.DUMMYFUNCTION("IFERROR(FILTER(Stats!$F:$Z,(Stats!$A:$A=$A1874)*(Stats!$B:$B=$B1874)))"),"#REF!")</f>
        <v>#REF!</v>
      </c>
      <c r="K1874" s="11"/>
      <c r="L1874" s="12"/>
      <c r="M1874" s="11"/>
      <c r="N1874" s="11"/>
      <c r="O1874" s="13"/>
      <c r="P1874" s="14"/>
      <c r="Q1874" s="13"/>
      <c r="R1874" s="13"/>
      <c r="S1874" s="15"/>
      <c r="T1874" s="16"/>
      <c r="U1874" s="16"/>
      <c r="V1874" s="16"/>
      <c r="W1874" s="16"/>
      <c r="X1874" s="16"/>
      <c r="Y1874" s="11"/>
      <c r="Z1874" s="11"/>
      <c r="AA1874" s="11"/>
      <c r="AB1874" s="11"/>
      <c r="AC1874" s="11"/>
      <c r="AD1874" s="11"/>
    </row>
    <row r="1875">
      <c r="A1875" s="10"/>
      <c r="B1875" s="10"/>
      <c r="C1875" s="10"/>
      <c r="D1875" s="10"/>
      <c r="E1875" s="10"/>
      <c r="F1875" s="11"/>
      <c r="G1875" s="11"/>
      <c r="H1875" s="11"/>
      <c r="I1875" s="11"/>
      <c r="J1875" s="11" t="str">
        <f>IFERROR(__xludf.DUMMYFUNCTION("IFERROR(FILTER(Stats!$F:$Z,(Stats!$A:$A=$A1875)*(Stats!$B:$B=$B1875)))"),"#REF!")</f>
        <v>#REF!</v>
      </c>
      <c r="K1875" s="11"/>
      <c r="L1875" s="12"/>
      <c r="M1875" s="11"/>
      <c r="N1875" s="11"/>
      <c r="O1875" s="13"/>
      <c r="P1875" s="14"/>
      <c r="Q1875" s="13"/>
      <c r="R1875" s="13"/>
      <c r="S1875" s="15"/>
      <c r="T1875" s="16"/>
      <c r="U1875" s="16"/>
      <c r="V1875" s="16"/>
      <c r="W1875" s="16"/>
      <c r="X1875" s="16"/>
      <c r="Y1875" s="11"/>
      <c r="Z1875" s="11"/>
      <c r="AA1875" s="11"/>
      <c r="AB1875" s="11"/>
      <c r="AC1875" s="11"/>
      <c r="AD1875" s="11"/>
    </row>
    <row r="1876">
      <c r="A1876" s="10"/>
      <c r="B1876" s="10"/>
      <c r="C1876" s="10"/>
      <c r="D1876" s="10"/>
      <c r="E1876" s="10"/>
      <c r="F1876" s="11"/>
      <c r="G1876" s="11"/>
      <c r="H1876" s="11"/>
      <c r="I1876" s="11"/>
      <c r="J1876" s="11" t="str">
        <f>IFERROR(__xludf.DUMMYFUNCTION("IFERROR(FILTER(Stats!$F:$Z,(Stats!$A:$A=$A1876)*(Stats!$B:$B=$B1876)))"),"#REF!")</f>
        <v>#REF!</v>
      </c>
      <c r="K1876" s="11"/>
      <c r="L1876" s="12"/>
      <c r="M1876" s="11"/>
      <c r="N1876" s="11"/>
      <c r="O1876" s="13"/>
      <c r="P1876" s="14"/>
      <c r="Q1876" s="13"/>
      <c r="R1876" s="13"/>
      <c r="S1876" s="15"/>
      <c r="T1876" s="16"/>
      <c r="U1876" s="16"/>
      <c r="V1876" s="16"/>
      <c r="W1876" s="16"/>
      <c r="X1876" s="16"/>
      <c r="Y1876" s="11"/>
      <c r="Z1876" s="11"/>
      <c r="AA1876" s="11"/>
      <c r="AB1876" s="11"/>
      <c r="AC1876" s="11"/>
      <c r="AD1876" s="11"/>
    </row>
    <row r="1877">
      <c r="A1877" s="10"/>
      <c r="B1877" s="10"/>
      <c r="C1877" s="10"/>
      <c r="D1877" s="10"/>
      <c r="E1877" s="10"/>
      <c r="F1877" s="11"/>
      <c r="G1877" s="11"/>
      <c r="H1877" s="11"/>
      <c r="I1877" s="11"/>
      <c r="J1877" s="11" t="str">
        <f>IFERROR(__xludf.DUMMYFUNCTION("IFERROR(FILTER(Stats!$F:$Z,(Stats!$A:$A=$A1877)*(Stats!$B:$B=$B1877)))"),"#REF!")</f>
        <v>#REF!</v>
      </c>
      <c r="K1877" s="11"/>
      <c r="L1877" s="12"/>
      <c r="M1877" s="11"/>
      <c r="N1877" s="11"/>
      <c r="O1877" s="13"/>
      <c r="P1877" s="14"/>
      <c r="Q1877" s="13"/>
      <c r="R1877" s="13"/>
      <c r="S1877" s="15"/>
      <c r="T1877" s="16"/>
      <c r="U1877" s="16"/>
      <c r="V1877" s="16"/>
      <c r="W1877" s="16"/>
      <c r="X1877" s="16"/>
      <c r="Y1877" s="11"/>
      <c r="Z1877" s="11"/>
      <c r="AA1877" s="11"/>
      <c r="AB1877" s="11"/>
      <c r="AC1877" s="11"/>
      <c r="AD1877" s="11"/>
    </row>
    <row r="1878">
      <c r="A1878" s="10"/>
      <c r="B1878" s="10"/>
      <c r="C1878" s="10"/>
      <c r="D1878" s="10"/>
      <c r="E1878" s="10"/>
      <c r="F1878" s="11"/>
      <c r="G1878" s="11"/>
      <c r="H1878" s="11"/>
      <c r="I1878" s="11"/>
      <c r="J1878" s="11" t="str">
        <f>IFERROR(__xludf.DUMMYFUNCTION("IFERROR(FILTER(Stats!$F:$Z,(Stats!$A:$A=$A1878)*(Stats!$B:$B=$B1878)))"),"#REF!")</f>
        <v>#REF!</v>
      </c>
      <c r="K1878" s="11"/>
      <c r="L1878" s="12"/>
      <c r="M1878" s="11"/>
      <c r="N1878" s="11"/>
      <c r="O1878" s="13"/>
      <c r="P1878" s="14"/>
      <c r="Q1878" s="13"/>
      <c r="R1878" s="13"/>
      <c r="S1878" s="15"/>
      <c r="T1878" s="16"/>
      <c r="U1878" s="16"/>
      <c r="V1878" s="16"/>
      <c r="W1878" s="16"/>
      <c r="X1878" s="16"/>
      <c r="Y1878" s="11"/>
      <c r="Z1878" s="11"/>
      <c r="AA1878" s="11"/>
      <c r="AB1878" s="11"/>
      <c r="AC1878" s="11"/>
      <c r="AD1878" s="11"/>
    </row>
    <row r="1879">
      <c r="A1879" s="10"/>
      <c r="B1879" s="10"/>
      <c r="C1879" s="10"/>
      <c r="D1879" s="10"/>
      <c r="E1879" s="10"/>
      <c r="F1879" s="11"/>
      <c r="G1879" s="11"/>
      <c r="H1879" s="11"/>
      <c r="I1879" s="11"/>
      <c r="J1879" s="11" t="str">
        <f>IFERROR(__xludf.DUMMYFUNCTION("IFERROR(FILTER(Stats!$F:$Z,(Stats!$A:$A=$A1879)*(Stats!$B:$B=$B1879)))"),"#REF!")</f>
        <v>#REF!</v>
      </c>
      <c r="K1879" s="11"/>
      <c r="L1879" s="12"/>
      <c r="M1879" s="11"/>
      <c r="N1879" s="11"/>
      <c r="O1879" s="13"/>
      <c r="P1879" s="14"/>
      <c r="Q1879" s="13"/>
      <c r="R1879" s="13"/>
      <c r="S1879" s="15"/>
      <c r="T1879" s="16"/>
      <c r="U1879" s="16"/>
      <c r="V1879" s="16"/>
      <c r="W1879" s="16"/>
      <c r="X1879" s="16"/>
      <c r="Y1879" s="11"/>
      <c r="Z1879" s="11"/>
      <c r="AA1879" s="11"/>
      <c r="AB1879" s="11"/>
      <c r="AC1879" s="11"/>
      <c r="AD1879" s="11"/>
    </row>
    <row r="1880">
      <c r="A1880" s="10"/>
      <c r="B1880" s="10"/>
      <c r="C1880" s="10"/>
      <c r="D1880" s="10"/>
      <c r="E1880" s="10"/>
      <c r="F1880" s="11"/>
      <c r="G1880" s="11"/>
      <c r="H1880" s="11"/>
      <c r="I1880" s="11"/>
      <c r="J1880" s="11" t="str">
        <f>IFERROR(__xludf.DUMMYFUNCTION("IFERROR(FILTER(Stats!$F:$Z,(Stats!$A:$A=$A1880)*(Stats!$B:$B=$B1880)))"),"#REF!")</f>
        <v>#REF!</v>
      </c>
      <c r="K1880" s="11"/>
      <c r="L1880" s="12"/>
      <c r="M1880" s="11"/>
      <c r="N1880" s="11"/>
      <c r="O1880" s="13"/>
      <c r="P1880" s="14"/>
      <c r="Q1880" s="13"/>
      <c r="R1880" s="13"/>
      <c r="S1880" s="15"/>
      <c r="T1880" s="16"/>
      <c r="U1880" s="16"/>
      <c r="V1880" s="16"/>
      <c r="W1880" s="16"/>
      <c r="X1880" s="16"/>
      <c r="Y1880" s="11"/>
      <c r="Z1880" s="11"/>
      <c r="AA1880" s="11"/>
      <c r="AB1880" s="11"/>
      <c r="AC1880" s="11"/>
      <c r="AD1880" s="11"/>
    </row>
    <row r="1881">
      <c r="A1881" s="10"/>
      <c r="B1881" s="10"/>
      <c r="C1881" s="10"/>
      <c r="D1881" s="10"/>
      <c r="E1881" s="10"/>
      <c r="F1881" s="11"/>
      <c r="G1881" s="11"/>
      <c r="H1881" s="11"/>
      <c r="I1881" s="11"/>
      <c r="J1881" s="11" t="str">
        <f>IFERROR(__xludf.DUMMYFUNCTION("IFERROR(FILTER(Stats!$F:$Z,(Stats!$A:$A=$A1881)*(Stats!$B:$B=$B1881)))"),"#REF!")</f>
        <v>#REF!</v>
      </c>
      <c r="K1881" s="11"/>
      <c r="L1881" s="12"/>
      <c r="M1881" s="11"/>
      <c r="N1881" s="11"/>
      <c r="O1881" s="13"/>
      <c r="P1881" s="14"/>
      <c r="Q1881" s="13"/>
      <c r="R1881" s="13"/>
      <c r="S1881" s="15"/>
      <c r="T1881" s="16"/>
      <c r="U1881" s="16"/>
      <c r="V1881" s="16"/>
      <c r="W1881" s="16"/>
      <c r="X1881" s="16"/>
      <c r="Y1881" s="11"/>
      <c r="Z1881" s="11"/>
      <c r="AA1881" s="11"/>
      <c r="AB1881" s="11"/>
      <c r="AC1881" s="11"/>
      <c r="AD1881" s="11"/>
    </row>
    <row r="1882">
      <c r="A1882" s="10"/>
      <c r="B1882" s="10"/>
      <c r="C1882" s="10"/>
      <c r="D1882" s="10"/>
      <c r="E1882" s="10"/>
      <c r="F1882" s="11"/>
      <c r="G1882" s="11"/>
      <c r="H1882" s="11"/>
      <c r="I1882" s="11"/>
      <c r="J1882" s="11" t="str">
        <f>IFERROR(__xludf.DUMMYFUNCTION("IFERROR(FILTER(Stats!$F:$Z,(Stats!$A:$A=$A1882)*(Stats!$B:$B=$B1882)))"),"#REF!")</f>
        <v>#REF!</v>
      </c>
      <c r="K1882" s="11"/>
      <c r="L1882" s="12"/>
      <c r="M1882" s="11"/>
      <c r="N1882" s="11"/>
      <c r="O1882" s="13"/>
      <c r="P1882" s="14"/>
      <c r="Q1882" s="13"/>
      <c r="R1882" s="13"/>
      <c r="S1882" s="15"/>
      <c r="T1882" s="16"/>
      <c r="U1882" s="16"/>
      <c r="V1882" s="16"/>
      <c r="W1882" s="16"/>
      <c r="X1882" s="16"/>
      <c r="Y1882" s="11"/>
      <c r="Z1882" s="11"/>
      <c r="AA1882" s="11"/>
      <c r="AB1882" s="11"/>
      <c r="AC1882" s="11"/>
      <c r="AD1882" s="11"/>
    </row>
    <row r="1883">
      <c r="A1883" s="10"/>
      <c r="B1883" s="10"/>
      <c r="C1883" s="10"/>
      <c r="D1883" s="10"/>
      <c r="E1883" s="10"/>
      <c r="F1883" s="11"/>
      <c r="G1883" s="11"/>
      <c r="H1883" s="11"/>
      <c r="I1883" s="11"/>
      <c r="J1883" s="11" t="str">
        <f>IFERROR(__xludf.DUMMYFUNCTION("IFERROR(FILTER(Stats!$F:$Z,(Stats!$A:$A=$A1883)*(Stats!$B:$B=$B1883)))"),"#REF!")</f>
        <v>#REF!</v>
      </c>
      <c r="K1883" s="11"/>
      <c r="L1883" s="12"/>
      <c r="M1883" s="11"/>
      <c r="N1883" s="11"/>
      <c r="O1883" s="13"/>
      <c r="P1883" s="14"/>
      <c r="Q1883" s="13"/>
      <c r="R1883" s="13"/>
      <c r="S1883" s="15"/>
      <c r="T1883" s="16"/>
      <c r="U1883" s="16"/>
      <c r="V1883" s="16"/>
      <c r="W1883" s="16"/>
      <c r="X1883" s="16"/>
      <c r="Y1883" s="11"/>
      <c r="Z1883" s="11"/>
      <c r="AA1883" s="11"/>
      <c r="AB1883" s="11"/>
      <c r="AC1883" s="11"/>
      <c r="AD1883" s="11"/>
    </row>
    <row r="1884">
      <c r="A1884" s="10"/>
      <c r="B1884" s="10"/>
      <c r="C1884" s="10"/>
      <c r="D1884" s="10"/>
      <c r="E1884" s="10"/>
      <c r="F1884" s="11"/>
      <c r="G1884" s="11"/>
      <c r="H1884" s="11"/>
      <c r="I1884" s="11"/>
      <c r="J1884" s="11" t="str">
        <f>IFERROR(__xludf.DUMMYFUNCTION("IFERROR(FILTER(Stats!$F:$Z,(Stats!$A:$A=$A1884)*(Stats!$B:$B=$B1884)))"),"#REF!")</f>
        <v>#REF!</v>
      </c>
      <c r="K1884" s="11"/>
      <c r="L1884" s="12"/>
      <c r="M1884" s="11"/>
      <c r="N1884" s="11"/>
      <c r="O1884" s="13"/>
      <c r="P1884" s="14"/>
      <c r="Q1884" s="13"/>
      <c r="R1884" s="13"/>
      <c r="S1884" s="15"/>
      <c r="T1884" s="16"/>
      <c r="U1884" s="16"/>
      <c r="V1884" s="16"/>
      <c r="W1884" s="16"/>
      <c r="X1884" s="16"/>
      <c r="Y1884" s="11"/>
      <c r="Z1884" s="11"/>
      <c r="AA1884" s="11"/>
      <c r="AB1884" s="11"/>
      <c r="AC1884" s="11"/>
      <c r="AD1884" s="11"/>
    </row>
    <row r="1885">
      <c r="A1885" s="10"/>
      <c r="B1885" s="10"/>
      <c r="C1885" s="10"/>
      <c r="D1885" s="10"/>
      <c r="E1885" s="10"/>
      <c r="F1885" s="11"/>
      <c r="G1885" s="11"/>
      <c r="H1885" s="11"/>
      <c r="I1885" s="11"/>
      <c r="J1885" s="11" t="str">
        <f>IFERROR(__xludf.DUMMYFUNCTION("IFERROR(FILTER(Stats!$F:$Z,(Stats!$A:$A=$A1885)*(Stats!$B:$B=$B1885)))"),"#REF!")</f>
        <v>#REF!</v>
      </c>
      <c r="K1885" s="11"/>
      <c r="L1885" s="12"/>
      <c r="M1885" s="11"/>
      <c r="N1885" s="11"/>
      <c r="O1885" s="13"/>
      <c r="P1885" s="14"/>
      <c r="Q1885" s="13"/>
      <c r="R1885" s="13"/>
      <c r="S1885" s="15"/>
      <c r="T1885" s="16"/>
      <c r="U1885" s="16"/>
      <c r="V1885" s="16"/>
      <c r="W1885" s="16"/>
      <c r="X1885" s="16"/>
      <c r="Y1885" s="11"/>
      <c r="Z1885" s="11"/>
      <c r="AA1885" s="11"/>
      <c r="AB1885" s="11"/>
      <c r="AC1885" s="11"/>
      <c r="AD1885" s="11"/>
    </row>
    <row r="1886">
      <c r="A1886" s="10"/>
      <c r="B1886" s="10"/>
      <c r="C1886" s="10"/>
      <c r="D1886" s="10"/>
      <c r="E1886" s="10"/>
      <c r="F1886" s="11"/>
      <c r="G1886" s="11"/>
      <c r="H1886" s="11"/>
      <c r="I1886" s="11"/>
      <c r="J1886" s="11" t="str">
        <f>IFERROR(__xludf.DUMMYFUNCTION("IFERROR(FILTER(Stats!$F:$Z,(Stats!$A:$A=$A1886)*(Stats!$B:$B=$B1886)))"),"#REF!")</f>
        <v>#REF!</v>
      </c>
      <c r="K1886" s="11"/>
      <c r="L1886" s="12"/>
      <c r="M1886" s="11"/>
      <c r="N1886" s="11"/>
      <c r="O1886" s="13"/>
      <c r="P1886" s="14"/>
      <c r="Q1886" s="13"/>
      <c r="R1886" s="13"/>
      <c r="S1886" s="15"/>
      <c r="T1886" s="16"/>
      <c r="U1886" s="16"/>
      <c r="V1886" s="16"/>
      <c r="W1886" s="16"/>
      <c r="X1886" s="16"/>
      <c r="Y1886" s="11"/>
      <c r="Z1886" s="11"/>
      <c r="AA1886" s="11"/>
      <c r="AB1886" s="11"/>
      <c r="AC1886" s="11"/>
      <c r="AD1886" s="11"/>
    </row>
    <row r="1887">
      <c r="A1887" s="10"/>
      <c r="B1887" s="10"/>
      <c r="C1887" s="10"/>
      <c r="D1887" s="10"/>
      <c r="E1887" s="10"/>
      <c r="F1887" s="11"/>
      <c r="G1887" s="11"/>
      <c r="H1887" s="11"/>
      <c r="I1887" s="11"/>
      <c r="J1887" s="11" t="str">
        <f>IFERROR(__xludf.DUMMYFUNCTION("IFERROR(FILTER(Stats!$F:$Z,(Stats!$A:$A=$A1887)*(Stats!$B:$B=$B1887)))"),"#REF!")</f>
        <v>#REF!</v>
      </c>
      <c r="K1887" s="11"/>
      <c r="L1887" s="12"/>
      <c r="M1887" s="11"/>
      <c r="N1887" s="11"/>
      <c r="O1887" s="13"/>
      <c r="P1887" s="14"/>
      <c r="Q1887" s="13"/>
      <c r="R1887" s="13"/>
      <c r="S1887" s="15"/>
      <c r="T1887" s="16"/>
      <c r="U1887" s="16"/>
      <c r="V1887" s="16"/>
      <c r="W1887" s="16"/>
      <c r="X1887" s="16"/>
      <c r="Y1887" s="11"/>
      <c r="Z1887" s="11"/>
      <c r="AA1887" s="11"/>
      <c r="AB1887" s="11"/>
      <c r="AC1887" s="11"/>
      <c r="AD1887" s="11"/>
    </row>
    <row r="1888">
      <c r="A1888" s="10"/>
      <c r="B1888" s="10"/>
      <c r="C1888" s="10"/>
      <c r="D1888" s="10"/>
      <c r="E1888" s="10"/>
      <c r="F1888" s="11"/>
      <c r="G1888" s="11"/>
      <c r="H1888" s="11"/>
      <c r="I1888" s="11"/>
      <c r="J1888" s="11" t="str">
        <f>IFERROR(__xludf.DUMMYFUNCTION("IFERROR(FILTER(Stats!$F:$Z,(Stats!$A:$A=$A1888)*(Stats!$B:$B=$B1888)))"),"#REF!")</f>
        <v>#REF!</v>
      </c>
      <c r="K1888" s="11"/>
      <c r="L1888" s="12"/>
      <c r="M1888" s="11"/>
      <c r="N1888" s="11"/>
      <c r="O1888" s="13"/>
      <c r="P1888" s="14"/>
      <c r="Q1888" s="13"/>
      <c r="R1888" s="13"/>
      <c r="S1888" s="15"/>
      <c r="T1888" s="16"/>
      <c r="U1888" s="16"/>
      <c r="V1888" s="16"/>
      <c r="W1888" s="16"/>
      <c r="X1888" s="16"/>
      <c r="Y1888" s="11"/>
      <c r="Z1888" s="11"/>
      <c r="AA1888" s="11"/>
      <c r="AB1888" s="11"/>
      <c r="AC1888" s="11"/>
      <c r="AD1888" s="11"/>
    </row>
    <row r="1889">
      <c r="A1889" s="10"/>
      <c r="B1889" s="10"/>
      <c r="C1889" s="10"/>
      <c r="D1889" s="10"/>
      <c r="E1889" s="10"/>
      <c r="F1889" s="11"/>
      <c r="G1889" s="11"/>
      <c r="H1889" s="11"/>
      <c r="I1889" s="11"/>
      <c r="J1889" s="11" t="str">
        <f>IFERROR(__xludf.DUMMYFUNCTION("IFERROR(FILTER(Stats!$F:$Z,(Stats!$A:$A=$A1889)*(Stats!$B:$B=$B1889)))"),"#REF!")</f>
        <v>#REF!</v>
      </c>
      <c r="K1889" s="11"/>
      <c r="L1889" s="12"/>
      <c r="M1889" s="11"/>
      <c r="N1889" s="11"/>
      <c r="O1889" s="13"/>
      <c r="P1889" s="14"/>
      <c r="Q1889" s="13"/>
      <c r="R1889" s="13"/>
      <c r="S1889" s="15"/>
      <c r="T1889" s="16"/>
      <c r="U1889" s="16"/>
      <c r="V1889" s="16"/>
      <c r="W1889" s="16"/>
      <c r="X1889" s="16"/>
      <c r="Y1889" s="11"/>
      <c r="Z1889" s="11"/>
      <c r="AA1889" s="11"/>
      <c r="AB1889" s="11"/>
      <c r="AC1889" s="11"/>
      <c r="AD1889" s="11"/>
    </row>
    <row r="1890">
      <c r="A1890" s="10"/>
      <c r="B1890" s="10"/>
      <c r="C1890" s="10"/>
      <c r="D1890" s="10"/>
      <c r="E1890" s="10"/>
      <c r="F1890" s="11"/>
      <c r="G1890" s="11"/>
      <c r="H1890" s="11"/>
      <c r="I1890" s="11"/>
      <c r="J1890" s="11" t="str">
        <f>IFERROR(__xludf.DUMMYFUNCTION("IFERROR(FILTER(Stats!$F:$Z,(Stats!$A:$A=$A1890)*(Stats!$B:$B=$B1890)))"),"#REF!")</f>
        <v>#REF!</v>
      </c>
      <c r="K1890" s="11"/>
      <c r="L1890" s="12"/>
      <c r="M1890" s="11"/>
      <c r="N1890" s="11"/>
      <c r="O1890" s="13"/>
      <c r="P1890" s="14"/>
      <c r="Q1890" s="13"/>
      <c r="R1890" s="13"/>
      <c r="S1890" s="15"/>
      <c r="T1890" s="16"/>
      <c r="U1890" s="16"/>
      <c r="V1890" s="16"/>
      <c r="W1890" s="16"/>
      <c r="X1890" s="16"/>
      <c r="Y1890" s="11"/>
      <c r="Z1890" s="11"/>
      <c r="AA1890" s="11"/>
      <c r="AB1890" s="11"/>
      <c r="AC1890" s="11"/>
      <c r="AD1890" s="11"/>
    </row>
    <row r="1891">
      <c r="A1891" s="10"/>
      <c r="B1891" s="10"/>
      <c r="C1891" s="10"/>
      <c r="D1891" s="10"/>
      <c r="E1891" s="10"/>
      <c r="F1891" s="11"/>
      <c r="G1891" s="11"/>
      <c r="H1891" s="11"/>
      <c r="I1891" s="11"/>
      <c r="J1891" s="11" t="str">
        <f>IFERROR(__xludf.DUMMYFUNCTION("IFERROR(FILTER(Stats!$F:$Z,(Stats!$A:$A=$A1891)*(Stats!$B:$B=$B1891)))"),"#REF!")</f>
        <v>#REF!</v>
      </c>
      <c r="K1891" s="11"/>
      <c r="L1891" s="12"/>
      <c r="M1891" s="11"/>
      <c r="N1891" s="11"/>
      <c r="O1891" s="13"/>
      <c r="P1891" s="14"/>
      <c r="Q1891" s="13"/>
      <c r="R1891" s="13"/>
      <c r="S1891" s="15"/>
      <c r="T1891" s="16"/>
      <c r="U1891" s="16"/>
      <c r="V1891" s="16"/>
      <c r="W1891" s="16"/>
      <c r="X1891" s="16"/>
      <c r="Y1891" s="11"/>
      <c r="Z1891" s="11"/>
      <c r="AA1891" s="11"/>
      <c r="AB1891" s="11"/>
      <c r="AC1891" s="11"/>
      <c r="AD1891" s="11"/>
    </row>
    <row r="1892">
      <c r="A1892" s="10"/>
      <c r="B1892" s="10"/>
      <c r="C1892" s="10"/>
      <c r="D1892" s="10"/>
      <c r="E1892" s="10"/>
      <c r="F1892" s="11"/>
      <c r="G1892" s="11"/>
      <c r="H1892" s="11"/>
      <c r="I1892" s="11"/>
      <c r="J1892" s="11" t="str">
        <f>IFERROR(__xludf.DUMMYFUNCTION("IFERROR(FILTER(Stats!$F:$Z,(Stats!$A:$A=$A1892)*(Stats!$B:$B=$B1892)))"),"#REF!")</f>
        <v>#REF!</v>
      </c>
      <c r="K1892" s="11"/>
      <c r="L1892" s="12"/>
      <c r="M1892" s="11"/>
      <c r="N1892" s="11"/>
      <c r="O1892" s="13"/>
      <c r="P1892" s="14"/>
      <c r="Q1892" s="13"/>
      <c r="R1892" s="13"/>
      <c r="S1892" s="15"/>
      <c r="T1892" s="16"/>
      <c r="U1892" s="16"/>
      <c r="V1892" s="16"/>
      <c r="W1892" s="16"/>
      <c r="X1892" s="16"/>
      <c r="Y1892" s="11"/>
      <c r="Z1892" s="11"/>
      <c r="AA1892" s="11"/>
      <c r="AB1892" s="11"/>
      <c r="AC1892" s="11"/>
      <c r="AD1892" s="11"/>
    </row>
    <row r="1893">
      <c r="A1893" s="10"/>
      <c r="B1893" s="10"/>
      <c r="C1893" s="10"/>
      <c r="D1893" s="10"/>
      <c r="E1893" s="10"/>
      <c r="F1893" s="11"/>
      <c r="G1893" s="11"/>
      <c r="H1893" s="11"/>
      <c r="I1893" s="11"/>
      <c r="J1893" s="11" t="str">
        <f>IFERROR(__xludf.DUMMYFUNCTION("IFERROR(FILTER(Stats!$F:$Z,(Stats!$A:$A=$A1893)*(Stats!$B:$B=$B1893)))"),"#REF!")</f>
        <v>#REF!</v>
      </c>
      <c r="K1893" s="11"/>
      <c r="L1893" s="12"/>
      <c r="M1893" s="11"/>
      <c r="N1893" s="11"/>
      <c r="O1893" s="13"/>
      <c r="P1893" s="14"/>
      <c r="Q1893" s="13"/>
      <c r="R1893" s="13"/>
      <c r="S1893" s="15"/>
      <c r="T1893" s="16"/>
      <c r="U1893" s="16"/>
      <c r="V1893" s="16"/>
      <c r="W1893" s="16"/>
      <c r="X1893" s="16"/>
      <c r="Y1893" s="11"/>
      <c r="Z1893" s="11"/>
      <c r="AA1893" s="11"/>
      <c r="AB1893" s="11"/>
      <c r="AC1893" s="11"/>
      <c r="AD1893" s="11"/>
    </row>
    <row r="1894">
      <c r="A1894" s="10"/>
      <c r="B1894" s="10"/>
      <c r="C1894" s="10"/>
      <c r="D1894" s="10"/>
      <c r="E1894" s="10"/>
      <c r="F1894" s="11"/>
      <c r="G1894" s="11"/>
      <c r="H1894" s="11"/>
      <c r="I1894" s="11"/>
      <c r="J1894" s="11" t="str">
        <f>IFERROR(__xludf.DUMMYFUNCTION("IFERROR(FILTER(Stats!$F:$Z,(Stats!$A:$A=$A1894)*(Stats!$B:$B=$B1894)))"),"#REF!")</f>
        <v>#REF!</v>
      </c>
      <c r="K1894" s="11"/>
      <c r="L1894" s="12"/>
      <c r="M1894" s="11"/>
      <c r="N1894" s="11"/>
      <c r="O1894" s="13"/>
      <c r="P1894" s="14"/>
      <c r="Q1894" s="13"/>
      <c r="R1894" s="13"/>
      <c r="S1894" s="15"/>
      <c r="T1894" s="16"/>
      <c r="U1894" s="16"/>
      <c r="V1894" s="16"/>
      <c r="W1894" s="16"/>
      <c r="X1894" s="16"/>
      <c r="Y1894" s="11"/>
      <c r="Z1894" s="11"/>
      <c r="AA1894" s="11"/>
      <c r="AB1894" s="11"/>
      <c r="AC1894" s="11"/>
      <c r="AD1894" s="11"/>
    </row>
    <row r="1895">
      <c r="A1895" s="10"/>
      <c r="B1895" s="10"/>
      <c r="C1895" s="10"/>
      <c r="D1895" s="10"/>
      <c r="E1895" s="10"/>
      <c r="F1895" s="11"/>
      <c r="G1895" s="11"/>
      <c r="H1895" s="11"/>
      <c r="I1895" s="11"/>
      <c r="J1895" s="11" t="str">
        <f>IFERROR(__xludf.DUMMYFUNCTION("IFERROR(FILTER(Stats!$F:$Z,(Stats!$A:$A=$A1895)*(Stats!$B:$B=$B1895)))"),"#REF!")</f>
        <v>#REF!</v>
      </c>
      <c r="K1895" s="11"/>
      <c r="L1895" s="12"/>
      <c r="M1895" s="11"/>
      <c r="N1895" s="11"/>
      <c r="O1895" s="13"/>
      <c r="P1895" s="14"/>
      <c r="Q1895" s="13"/>
      <c r="R1895" s="13"/>
      <c r="S1895" s="15"/>
      <c r="T1895" s="16"/>
      <c r="U1895" s="16"/>
      <c r="V1895" s="16"/>
      <c r="W1895" s="16"/>
      <c r="X1895" s="16"/>
      <c r="Y1895" s="11"/>
      <c r="Z1895" s="11"/>
      <c r="AA1895" s="11"/>
      <c r="AB1895" s="11"/>
      <c r="AC1895" s="11"/>
      <c r="AD1895" s="11"/>
    </row>
    <row r="1896">
      <c r="A1896" s="10"/>
      <c r="B1896" s="10"/>
      <c r="C1896" s="10"/>
      <c r="D1896" s="10"/>
      <c r="E1896" s="10"/>
      <c r="F1896" s="11"/>
      <c r="G1896" s="11"/>
      <c r="H1896" s="11"/>
      <c r="I1896" s="11"/>
      <c r="J1896" s="11" t="str">
        <f>IFERROR(__xludf.DUMMYFUNCTION("IFERROR(FILTER(Stats!$F:$Z,(Stats!$A:$A=$A1896)*(Stats!$B:$B=$B1896)))"),"#REF!")</f>
        <v>#REF!</v>
      </c>
      <c r="K1896" s="11"/>
      <c r="L1896" s="12"/>
      <c r="M1896" s="11"/>
      <c r="N1896" s="11"/>
      <c r="O1896" s="13"/>
      <c r="P1896" s="14"/>
      <c r="Q1896" s="13"/>
      <c r="R1896" s="13"/>
      <c r="S1896" s="15"/>
      <c r="T1896" s="16"/>
      <c r="U1896" s="16"/>
      <c r="V1896" s="16"/>
      <c r="W1896" s="16"/>
      <c r="X1896" s="16"/>
      <c r="Y1896" s="11"/>
      <c r="Z1896" s="11"/>
      <c r="AA1896" s="11"/>
      <c r="AB1896" s="11"/>
      <c r="AC1896" s="11"/>
      <c r="AD1896" s="11"/>
    </row>
    <row r="1897">
      <c r="A1897" s="10"/>
      <c r="B1897" s="10"/>
      <c r="C1897" s="10"/>
      <c r="D1897" s="10"/>
      <c r="E1897" s="10"/>
      <c r="F1897" s="11"/>
      <c r="G1897" s="11"/>
      <c r="H1897" s="11"/>
      <c r="I1897" s="11"/>
      <c r="J1897" s="11" t="str">
        <f>IFERROR(__xludf.DUMMYFUNCTION("IFERROR(FILTER(Stats!$F:$Z,(Stats!$A:$A=$A1897)*(Stats!$B:$B=$B1897)))"),"#REF!")</f>
        <v>#REF!</v>
      </c>
      <c r="K1897" s="11"/>
      <c r="L1897" s="12"/>
      <c r="M1897" s="11"/>
      <c r="N1897" s="11"/>
      <c r="O1897" s="13"/>
      <c r="P1897" s="14"/>
      <c r="Q1897" s="13"/>
      <c r="R1897" s="13"/>
      <c r="S1897" s="15"/>
      <c r="T1897" s="16"/>
      <c r="U1897" s="16"/>
      <c r="V1897" s="16"/>
      <c r="W1897" s="16"/>
      <c r="X1897" s="16"/>
      <c r="Y1897" s="11"/>
      <c r="Z1897" s="11"/>
      <c r="AA1897" s="11"/>
      <c r="AB1897" s="11"/>
      <c r="AC1897" s="11"/>
      <c r="AD1897" s="11"/>
    </row>
    <row r="1898">
      <c r="A1898" s="10"/>
      <c r="B1898" s="10"/>
      <c r="C1898" s="10"/>
      <c r="D1898" s="10"/>
      <c r="E1898" s="10"/>
      <c r="F1898" s="11"/>
      <c r="G1898" s="11"/>
      <c r="H1898" s="11"/>
      <c r="I1898" s="11"/>
      <c r="J1898" s="11" t="str">
        <f>IFERROR(__xludf.DUMMYFUNCTION("IFERROR(FILTER(Stats!$F:$Z,(Stats!$A:$A=$A1898)*(Stats!$B:$B=$B1898)))"),"#REF!")</f>
        <v>#REF!</v>
      </c>
      <c r="K1898" s="11"/>
      <c r="L1898" s="12"/>
      <c r="M1898" s="11"/>
      <c r="N1898" s="11"/>
      <c r="O1898" s="13"/>
      <c r="P1898" s="14"/>
      <c r="Q1898" s="13"/>
      <c r="R1898" s="13"/>
      <c r="S1898" s="15"/>
      <c r="T1898" s="16"/>
      <c r="U1898" s="16"/>
      <c r="V1898" s="16"/>
      <c r="W1898" s="16"/>
      <c r="X1898" s="16"/>
      <c r="Y1898" s="11"/>
      <c r="Z1898" s="11"/>
      <c r="AA1898" s="11"/>
      <c r="AB1898" s="11"/>
      <c r="AC1898" s="11"/>
      <c r="AD1898" s="11"/>
    </row>
    <row r="1899">
      <c r="A1899" s="10"/>
      <c r="B1899" s="10"/>
      <c r="C1899" s="10"/>
      <c r="D1899" s="10"/>
      <c r="E1899" s="10"/>
      <c r="F1899" s="11"/>
      <c r="G1899" s="11"/>
      <c r="H1899" s="11"/>
      <c r="I1899" s="11"/>
      <c r="J1899" s="11" t="str">
        <f>IFERROR(__xludf.DUMMYFUNCTION("IFERROR(FILTER(Stats!$F:$Z,(Stats!$A:$A=$A1899)*(Stats!$B:$B=$B1899)))"),"#REF!")</f>
        <v>#REF!</v>
      </c>
      <c r="K1899" s="11"/>
      <c r="L1899" s="12"/>
      <c r="M1899" s="11"/>
      <c r="N1899" s="11"/>
      <c r="O1899" s="13"/>
      <c r="P1899" s="14"/>
      <c r="Q1899" s="13"/>
      <c r="R1899" s="13"/>
      <c r="S1899" s="15"/>
      <c r="T1899" s="16"/>
      <c r="U1899" s="16"/>
      <c r="V1899" s="16"/>
      <c r="W1899" s="16"/>
      <c r="X1899" s="16"/>
      <c r="Y1899" s="11"/>
      <c r="Z1899" s="11"/>
      <c r="AA1899" s="11"/>
      <c r="AB1899" s="11"/>
      <c r="AC1899" s="11"/>
      <c r="AD1899" s="11"/>
    </row>
    <row r="1900">
      <c r="A1900" s="10"/>
      <c r="B1900" s="10"/>
      <c r="C1900" s="10"/>
      <c r="D1900" s="10"/>
      <c r="E1900" s="10"/>
      <c r="F1900" s="11"/>
      <c r="G1900" s="11"/>
      <c r="H1900" s="11"/>
      <c r="I1900" s="11"/>
      <c r="J1900" s="11" t="str">
        <f>IFERROR(__xludf.DUMMYFUNCTION("IFERROR(FILTER(Stats!$F:$Z,(Stats!$A:$A=$A1900)*(Stats!$B:$B=$B1900)))"),"#REF!")</f>
        <v>#REF!</v>
      </c>
      <c r="K1900" s="11"/>
      <c r="L1900" s="12"/>
      <c r="M1900" s="11"/>
      <c r="N1900" s="11"/>
      <c r="O1900" s="13"/>
      <c r="P1900" s="14"/>
      <c r="Q1900" s="13"/>
      <c r="R1900" s="13"/>
      <c r="S1900" s="15"/>
      <c r="T1900" s="16"/>
      <c r="U1900" s="16"/>
      <c r="V1900" s="16"/>
      <c r="W1900" s="16"/>
      <c r="X1900" s="16"/>
      <c r="Y1900" s="11"/>
      <c r="Z1900" s="11"/>
      <c r="AA1900" s="11"/>
      <c r="AB1900" s="11"/>
      <c r="AC1900" s="11"/>
      <c r="AD1900" s="11"/>
    </row>
    <row r="1901">
      <c r="A1901" s="10"/>
      <c r="B1901" s="10"/>
      <c r="C1901" s="10"/>
      <c r="D1901" s="10"/>
      <c r="E1901" s="10"/>
      <c r="F1901" s="11"/>
      <c r="G1901" s="11"/>
      <c r="H1901" s="11"/>
      <c r="I1901" s="11"/>
      <c r="J1901" s="11" t="str">
        <f>IFERROR(__xludf.DUMMYFUNCTION("IFERROR(FILTER(Stats!$F:$Z,(Stats!$A:$A=$A1901)*(Stats!$B:$B=$B1901)))"),"#REF!")</f>
        <v>#REF!</v>
      </c>
      <c r="K1901" s="11"/>
      <c r="L1901" s="12"/>
      <c r="M1901" s="11"/>
      <c r="N1901" s="11"/>
      <c r="O1901" s="13"/>
      <c r="P1901" s="14"/>
      <c r="Q1901" s="13"/>
      <c r="R1901" s="13"/>
      <c r="S1901" s="15"/>
      <c r="T1901" s="16"/>
      <c r="U1901" s="16"/>
      <c r="V1901" s="16"/>
      <c r="W1901" s="16"/>
      <c r="X1901" s="16"/>
      <c r="Y1901" s="11"/>
      <c r="Z1901" s="11"/>
      <c r="AA1901" s="11"/>
      <c r="AB1901" s="11"/>
      <c r="AC1901" s="11"/>
      <c r="AD1901" s="11"/>
    </row>
    <row r="1902">
      <c r="A1902" s="10"/>
      <c r="B1902" s="10"/>
      <c r="C1902" s="10"/>
      <c r="D1902" s="10"/>
      <c r="E1902" s="10"/>
      <c r="F1902" s="11"/>
      <c r="G1902" s="11"/>
      <c r="H1902" s="11"/>
      <c r="I1902" s="11"/>
      <c r="J1902" s="11" t="str">
        <f>IFERROR(__xludf.DUMMYFUNCTION("IFERROR(FILTER(Stats!$F:$Z,(Stats!$A:$A=$A1902)*(Stats!$B:$B=$B1902)))"),"#REF!")</f>
        <v>#REF!</v>
      </c>
      <c r="K1902" s="11"/>
      <c r="L1902" s="12"/>
      <c r="M1902" s="11"/>
      <c r="N1902" s="11"/>
      <c r="O1902" s="13"/>
      <c r="P1902" s="14"/>
      <c r="Q1902" s="13"/>
      <c r="R1902" s="13"/>
      <c r="S1902" s="15"/>
      <c r="T1902" s="16"/>
      <c r="U1902" s="16"/>
      <c r="V1902" s="16"/>
      <c r="W1902" s="16"/>
      <c r="X1902" s="16"/>
      <c r="Y1902" s="11"/>
      <c r="Z1902" s="11"/>
      <c r="AA1902" s="11"/>
      <c r="AB1902" s="11"/>
      <c r="AC1902" s="11"/>
      <c r="AD1902" s="11"/>
    </row>
    <row r="1903">
      <c r="A1903" s="10"/>
      <c r="B1903" s="10"/>
      <c r="C1903" s="10"/>
      <c r="D1903" s="10"/>
      <c r="E1903" s="10"/>
      <c r="F1903" s="11"/>
      <c r="G1903" s="11"/>
      <c r="H1903" s="11"/>
      <c r="I1903" s="11"/>
      <c r="J1903" s="11" t="str">
        <f>IFERROR(__xludf.DUMMYFUNCTION("IFERROR(FILTER(Stats!$F:$Z,(Stats!$A:$A=$A1903)*(Stats!$B:$B=$B1903)))"),"#REF!")</f>
        <v>#REF!</v>
      </c>
      <c r="K1903" s="11"/>
      <c r="L1903" s="12"/>
      <c r="M1903" s="11"/>
      <c r="N1903" s="11"/>
      <c r="O1903" s="13"/>
      <c r="P1903" s="14"/>
      <c r="Q1903" s="13"/>
      <c r="R1903" s="13"/>
      <c r="S1903" s="15"/>
      <c r="T1903" s="16"/>
      <c r="U1903" s="16"/>
      <c r="V1903" s="16"/>
      <c r="W1903" s="16"/>
      <c r="X1903" s="16"/>
      <c r="Y1903" s="11"/>
      <c r="Z1903" s="11"/>
      <c r="AA1903" s="11"/>
      <c r="AB1903" s="11"/>
      <c r="AC1903" s="11"/>
      <c r="AD1903" s="11"/>
    </row>
    <row r="1904">
      <c r="A1904" s="10"/>
      <c r="B1904" s="10"/>
      <c r="C1904" s="10"/>
      <c r="D1904" s="10"/>
      <c r="E1904" s="10"/>
      <c r="F1904" s="11"/>
      <c r="G1904" s="11"/>
      <c r="H1904" s="11"/>
      <c r="I1904" s="11"/>
      <c r="J1904" s="11" t="str">
        <f>IFERROR(__xludf.DUMMYFUNCTION("IFERROR(FILTER(Stats!$F:$Z,(Stats!$A:$A=$A1904)*(Stats!$B:$B=$B1904)))"),"#REF!")</f>
        <v>#REF!</v>
      </c>
      <c r="K1904" s="11"/>
      <c r="L1904" s="12"/>
      <c r="M1904" s="11"/>
      <c r="N1904" s="11"/>
      <c r="O1904" s="13"/>
      <c r="P1904" s="14"/>
      <c r="Q1904" s="13"/>
      <c r="R1904" s="13"/>
      <c r="S1904" s="15"/>
      <c r="T1904" s="16"/>
      <c r="U1904" s="16"/>
      <c r="V1904" s="16"/>
      <c r="W1904" s="16"/>
      <c r="X1904" s="16"/>
      <c r="Y1904" s="11"/>
      <c r="Z1904" s="11"/>
      <c r="AA1904" s="11"/>
      <c r="AB1904" s="11"/>
      <c r="AC1904" s="11"/>
      <c r="AD1904" s="11"/>
    </row>
    <row r="1905">
      <c r="A1905" s="10"/>
      <c r="B1905" s="10"/>
      <c r="C1905" s="10"/>
      <c r="D1905" s="10"/>
      <c r="E1905" s="10"/>
      <c r="F1905" s="11"/>
      <c r="G1905" s="11"/>
      <c r="H1905" s="11"/>
      <c r="I1905" s="11"/>
      <c r="J1905" s="11" t="str">
        <f>IFERROR(__xludf.DUMMYFUNCTION("IFERROR(FILTER(Stats!$F:$Z,(Stats!$A:$A=$A1905)*(Stats!$B:$B=$B1905)))"),"#REF!")</f>
        <v>#REF!</v>
      </c>
      <c r="K1905" s="11"/>
      <c r="L1905" s="12"/>
      <c r="M1905" s="11"/>
      <c r="N1905" s="11"/>
      <c r="O1905" s="13"/>
      <c r="P1905" s="14"/>
      <c r="Q1905" s="13"/>
      <c r="R1905" s="13"/>
      <c r="S1905" s="15"/>
      <c r="T1905" s="16"/>
      <c r="U1905" s="16"/>
      <c r="V1905" s="16"/>
      <c r="W1905" s="16"/>
      <c r="X1905" s="16"/>
      <c r="Y1905" s="11"/>
      <c r="Z1905" s="11"/>
      <c r="AA1905" s="11"/>
      <c r="AB1905" s="11"/>
      <c r="AC1905" s="11"/>
      <c r="AD1905" s="11"/>
    </row>
    <row r="1906">
      <c r="A1906" s="10"/>
      <c r="B1906" s="10"/>
      <c r="C1906" s="10"/>
      <c r="D1906" s="10"/>
      <c r="E1906" s="10"/>
      <c r="F1906" s="11"/>
      <c r="G1906" s="11"/>
      <c r="H1906" s="11"/>
      <c r="I1906" s="11"/>
      <c r="J1906" s="11" t="str">
        <f>IFERROR(__xludf.DUMMYFUNCTION("IFERROR(FILTER(Stats!$F:$Z,(Stats!$A:$A=$A1906)*(Stats!$B:$B=$B1906)))"),"#REF!")</f>
        <v>#REF!</v>
      </c>
      <c r="K1906" s="11"/>
      <c r="L1906" s="12"/>
      <c r="M1906" s="11"/>
      <c r="N1906" s="11"/>
      <c r="O1906" s="13"/>
      <c r="P1906" s="14"/>
      <c r="Q1906" s="13"/>
      <c r="R1906" s="13"/>
      <c r="S1906" s="15"/>
      <c r="T1906" s="16"/>
      <c r="U1906" s="16"/>
      <c r="V1906" s="16"/>
      <c r="W1906" s="16"/>
      <c r="X1906" s="16"/>
      <c r="Y1906" s="11"/>
      <c r="Z1906" s="11"/>
      <c r="AA1906" s="11"/>
      <c r="AB1906" s="11"/>
      <c r="AC1906" s="11"/>
      <c r="AD1906" s="11"/>
    </row>
    <row r="1907">
      <c r="A1907" s="10"/>
      <c r="B1907" s="10"/>
      <c r="C1907" s="10"/>
      <c r="D1907" s="10"/>
      <c r="E1907" s="10"/>
      <c r="F1907" s="11"/>
      <c r="G1907" s="11"/>
      <c r="H1907" s="11"/>
      <c r="I1907" s="11"/>
      <c r="J1907" s="11" t="str">
        <f>IFERROR(__xludf.DUMMYFUNCTION("IFERROR(FILTER(Stats!$F:$Z,(Stats!$A:$A=$A1907)*(Stats!$B:$B=$B1907)))"),"#REF!")</f>
        <v>#REF!</v>
      </c>
      <c r="K1907" s="11"/>
      <c r="L1907" s="12"/>
      <c r="M1907" s="11"/>
      <c r="N1907" s="11"/>
      <c r="O1907" s="13"/>
      <c r="P1907" s="14"/>
      <c r="Q1907" s="13"/>
      <c r="R1907" s="13"/>
      <c r="S1907" s="15"/>
      <c r="T1907" s="16"/>
      <c r="U1907" s="16"/>
      <c r="V1907" s="16"/>
      <c r="W1907" s="16"/>
      <c r="X1907" s="16"/>
      <c r="Y1907" s="11"/>
      <c r="Z1907" s="11"/>
      <c r="AA1907" s="11"/>
      <c r="AB1907" s="11"/>
      <c r="AC1907" s="11"/>
      <c r="AD1907" s="11"/>
    </row>
    <row r="1908">
      <c r="A1908" s="10"/>
      <c r="B1908" s="10"/>
      <c r="C1908" s="10"/>
      <c r="D1908" s="10"/>
      <c r="E1908" s="10"/>
      <c r="F1908" s="11"/>
      <c r="G1908" s="11"/>
      <c r="H1908" s="11"/>
      <c r="I1908" s="11"/>
      <c r="J1908" s="11" t="str">
        <f>IFERROR(__xludf.DUMMYFUNCTION("IFERROR(FILTER(Stats!$F:$Z,(Stats!$A:$A=$A1908)*(Stats!$B:$B=$B1908)))"),"#REF!")</f>
        <v>#REF!</v>
      </c>
      <c r="K1908" s="11"/>
      <c r="L1908" s="12"/>
      <c r="M1908" s="11"/>
      <c r="N1908" s="11"/>
      <c r="O1908" s="13"/>
      <c r="P1908" s="14"/>
      <c r="Q1908" s="13"/>
      <c r="R1908" s="13"/>
      <c r="S1908" s="15"/>
      <c r="T1908" s="16"/>
      <c r="U1908" s="16"/>
      <c r="V1908" s="16"/>
      <c r="W1908" s="16"/>
      <c r="X1908" s="16"/>
      <c r="Y1908" s="11"/>
      <c r="Z1908" s="11"/>
      <c r="AA1908" s="11"/>
      <c r="AB1908" s="11"/>
      <c r="AC1908" s="11"/>
      <c r="AD1908" s="11"/>
    </row>
    <row r="1909">
      <c r="A1909" s="10"/>
      <c r="B1909" s="10"/>
      <c r="C1909" s="10"/>
      <c r="D1909" s="10"/>
      <c r="E1909" s="10"/>
      <c r="F1909" s="11"/>
      <c r="G1909" s="11"/>
      <c r="H1909" s="11"/>
      <c r="I1909" s="11"/>
      <c r="J1909" s="11" t="str">
        <f>IFERROR(__xludf.DUMMYFUNCTION("IFERROR(FILTER(Stats!$F:$Z,(Stats!$A:$A=$A1909)*(Stats!$B:$B=$B1909)))"),"#REF!")</f>
        <v>#REF!</v>
      </c>
      <c r="K1909" s="11"/>
      <c r="L1909" s="12"/>
      <c r="M1909" s="11"/>
      <c r="N1909" s="11"/>
      <c r="O1909" s="13"/>
      <c r="P1909" s="14"/>
      <c r="Q1909" s="13"/>
      <c r="R1909" s="13"/>
      <c r="S1909" s="15"/>
      <c r="T1909" s="16"/>
      <c r="U1909" s="16"/>
      <c r="V1909" s="16"/>
      <c r="W1909" s="16"/>
      <c r="X1909" s="16"/>
      <c r="Y1909" s="11"/>
      <c r="Z1909" s="11"/>
      <c r="AA1909" s="11"/>
      <c r="AB1909" s="11"/>
      <c r="AC1909" s="11"/>
      <c r="AD1909" s="11"/>
    </row>
    <row r="1910">
      <c r="A1910" s="10"/>
      <c r="B1910" s="10"/>
      <c r="C1910" s="10"/>
      <c r="D1910" s="10"/>
      <c r="E1910" s="10"/>
      <c r="F1910" s="11"/>
      <c r="G1910" s="11"/>
      <c r="H1910" s="11"/>
      <c r="I1910" s="11"/>
      <c r="J1910" s="11" t="str">
        <f>IFERROR(__xludf.DUMMYFUNCTION("IFERROR(FILTER(Stats!$F:$Z,(Stats!$A:$A=$A1910)*(Stats!$B:$B=$B1910)))"),"#REF!")</f>
        <v>#REF!</v>
      </c>
      <c r="K1910" s="11"/>
      <c r="L1910" s="12"/>
      <c r="M1910" s="11"/>
      <c r="N1910" s="11"/>
      <c r="O1910" s="13"/>
      <c r="P1910" s="14"/>
      <c r="Q1910" s="13"/>
      <c r="R1910" s="13"/>
      <c r="S1910" s="15"/>
      <c r="T1910" s="16"/>
      <c r="U1910" s="16"/>
      <c r="V1910" s="16"/>
      <c r="W1910" s="16"/>
      <c r="X1910" s="16"/>
      <c r="Y1910" s="11"/>
      <c r="Z1910" s="11"/>
      <c r="AA1910" s="11"/>
      <c r="AB1910" s="11"/>
      <c r="AC1910" s="11"/>
      <c r="AD1910" s="11"/>
    </row>
    <row r="1911">
      <c r="A1911" s="10"/>
      <c r="B1911" s="10"/>
      <c r="C1911" s="10"/>
      <c r="D1911" s="10"/>
      <c r="E1911" s="10"/>
      <c r="F1911" s="11"/>
      <c r="G1911" s="11"/>
      <c r="H1911" s="11"/>
      <c r="I1911" s="11"/>
      <c r="J1911" s="11" t="str">
        <f>IFERROR(__xludf.DUMMYFUNCTION("IFERROR(FILTER(Stats!$F:$Z,(Stats!$A:$A=$A1911)*(Stats!$B:$B=$B1911)))"),"#REF!")</f>
        <v>#REF!</v>
      </c>
      <c r="K1911" s="11"/>
      <c r="L1911" s="12"/>
      <c r="M1911" s="11"/>
      <c r="N1911" s="11"/>
      <c r="O1911" s="13"/>
      <c r="P1911" s="14"/>
      <c r="Q1911" s="13"/>
      <c r="R1911" s="13"/>
      <c r="S1911" s="15"/>
      <c r="T1911" s="16"/>
      <c r="U1911" s="16"/>
      <c r="V1911" s="16"/>
      <c r="W1911" s="16"/>
      <c r="X1911" s="16"/>
      <c r="Y1911" s="11"/>
      <c r="Z1911" s="11"/>
      <c r="AA1911" s="11"/>
      <c r="AB1911" s="11"/>
      <c r="AC1911" s="11"/>
      <c r="AD1911" s="11"/>
    </row>
    <row r="1912">
      <c r="A1912" s="10"/>
      <c r="B1912" s="10"/>
      <c r="C1912" s="10"/>
      <c r="D1912" s="10"/>
      <c r="E1912" s="10"/>
      <c r="F1912" s="11"/>
      <c r="G1912" s="11"/>
      <c r="H1912" s="11"/>
      <c r="I1912" s="11"/>
      <c r="J1912" s="11" t="str">
        <f>IFERROR(__xludf.DUMMYFUNCTION("IFERROR(FILTER(Stats!$F:$Z,(Stats!$A:$A=$A1912)*(Stats!$B:$B=$B1912)))"),"#REF!")</f>
        <v>#REF!</v>
      </c>
      <c r="K1912" s="11"/>
      <c r="L1912" s="12"/>
      <c r="M1912" s="11"/>
      <c r="N1912" s="11"/>
      <c r="O1912" s="13"/>
      <c r="P1912" s="14"/>
      <c r="Q1912" s="13"/>
      <c r="R1912" s="13"/>
      <c r="S1912" s="15"/>
      <c r="T1912" s="16"/>
      <c r="U1912" s="16"/>
      <c r="V1912" s="16"/>
      <c r="W1912" s="16"/>
      <c r="X1912" s="16"/>
      <c r="Y1912" s="11"/>
      <c r="Z1912" s="11"/>
      <c r="AA1912" s="11"/>
      <c r="AB1912" s="11"/>
      <c r="AC1912" s="11"/>
      <c r="AD1912" s="11"/>
    </row>
    <row r="1913">
      <c r="A1913" s="10"/>
      <c r="B1913" s="10"/>
      <c r="C1913" s="10"/>
      <c r="D1913" s="10"/>
      <c r="E1913" s="10"/>
      <c r="F1913" s="11"/>
      <c r="G1913" s="11"/>
      <c r="H1913" s="11"/>
      <c r="I1913" s="11"/>
      <c r="J1913" s="11" t="str">
        <f>IFERROR(__xludf.DUMMYFUNCTION("IFERROR(FILTER(Stats!$F:$Z,(Stats!$A:$A=$A1913)*(Stats!$B:$B=$B1913)))"),"#REF!")</f>
        <v>#REF!</v>
      </c>
      <c r="K1913" s="11"/>
      <c r="L1913" s="12"/>
      <c r="M1913" s="11"/>
      <c r="N1913" s="11"/>
      <c r="O1913" s="13"/>
      <c r="P1913" s="14"/>
      <c r="Q1913" s="13"/>
      <c r="R1913" s="13"/>
      <c r="S1913" s="15"/>
      <c r="T1913" s="16"/>
      <c r="U1913" s="16"/>
      <c r="V1913" s="16"/>
      <c r="W1913" s="16"/>
      <c r="X1913" s="16"/>
      <c r="Y1913" s="11"/>
      <c r="Z1913" s="11"/>
      <c r="AA1913" s="11"/>
      <c r="AB1913" s="11"/>
      <c r="AC1913" s="11"/>
      <c r="AD1913" s="11"/>
    </row>
    <row r="1914">
      <c r="A1914" s="10"/>
      <c r="B1914" s="10"/>
      <c r="C1914" s="10"/>
      <c r="D1914" s="10"/>
      <c r="E1914" s="10"/>
      <c r="F1914" s="11"/>
      <c r="G1914" s="11"/>
      <c r="H1914" s="11"/>
      <c r="I1914" s="11"/>
      <c r="J1914" s="11" t="str">
        <f>IFERROR(__xludf.DUMMYFUNCTION("IFERROR(FILTER(Stats!$F:$Z,(Stats!$A:$A=$A1914)*(Stats!$B:$B=$B1914)))"),"#REF!")</f>
        <v>#REF!</v>
      </c>
      <c r="K1914" s="11"/>
      <c r="L1914" s="12"/>
      <c r="M1914" s="11"/>
      <c r="N1914" s="11"/>
      <c r="O1914" s="13"/>
      <c r="P1914" s="14"/>
      <c r="Q1914" s="13"/>
      <c r="R1914" s="13"/>
      <c r="S1914" s="15"/>
      <c r="T1914" s="16"/>
      <c r="U1914" s="16"/>
      <c r="V1914" s="16"/>
      <c r="W1914" s="16"/>
      <c r="X1914" s="16"/>
      <c r="Y1914" s="11"/>
      <c r="Z1914" s="11"/>
      <c r="AA1914" s="11"/>
      <c r="AB1914" s="11"/>
      <c r="AC1914" s="11"/>
      <c r="AD1914" s="11"/>
    </row>
    <row r="1915">
      <c r="A1915" s="10"/>
      <c r="B1915" s="10"/>
      <c r="C1915" s="10"/>
      <c r="D1915" s="10"/>
      <c r="E1915" s="10"/>
      <c r="F1915" s="11"/>
      <c r="G1915" s="11"/>
      <c r="H1915" s="11"/>
      <c r="I1915" s="11"/>
      <c r="J1915" s="11" t="str">
        <f>IFERROR(__xludf.DUMMYFUNCTION("IFERROR(FILTER(Stats!$F:$Z,(Stats!$A:$A=$A1915)*(Stats!$B:$B=$B1915)))"),"#REF!")</f>
        <v>#REF!</v>
      </c>
      <c r="K1915" s="11"/>
      <c r="L1915" s="12"/>
      <c r="M1915" s="11"/>
      <c r="N1915" s="11"/>
      <c r="O1915" s="13"/>
      <c r="P1915" s="14"/>
      <c r="Q1915" s="13"/>
      <c r="R1915" s="13"/>
      <c r="S1915" s="15"/>
      <c r="T1915" s="16"/>
      <c r="U1915" s="16"/>
      <c r="V1915" s="16"/>
      <c r="W1915" s="16"/>
      <c r="X1915" s="16"/>
      <c r="Y1915" s="11"/>
      <c r="Z1915" s="11"/>
      <c r="AA1915" s="11"/>
      <c r="AB1915" s="11"/>
      <c r="AC1915" s="11"/>
      <c r="AD1915" s="11"/>
    </row>
    <row r="1916">
      <c r="A1916" s="10"/>
      <c r="B1916" s="10"/>
      <c r="C1916" s="10"/>
      <c r="D1916" s="10"/>
      <c r="E1916" s="10"/>
      <c r="F1916" s="11"/>
      <c r="G1916" s="11"/>
      <c r="H1916" s="11"/>
      <c r="I1916" s="11"/>
      <c r="J1916" s="11" t="str">
        <f>IFERROR(__xludf.DUMMYFUNCTION("IFERROR(FILTER(Stats!$F:$Z,(Stats!$A:$A=$A1916)*(Stats!$B:$B=$B1916)))"),"#REF!")</f>
        <v>#REF!</v>
      </c>
      <c r="K1916" s="11"/>
      <c r="L1916" s="12"/>
      <c r="M1916" s="11"/>
      <c r="N1916" s="11"/>
      <c r="O1916" s="13"/>
      <c r="P1916" s="14"/>
      <c r="Q1916" s="13"/>
      <c r="R1916" s="13"/>
      <c r="S1916" s="15"/>
      <c r="T1916" s="16"/>
      <c r="U1916" s="16"/>
      <c r="V1916" s="16"/>
      <c r="W1916" s="16"/>
      <c r="X1916" s="16"/>
      <c r="Y1916" s="11"/>
      <c r="Z1916" s="11"/>
      <c r="AA1916" s="11"/>
      <c r="AB1916" s="11"/>
      <c r="AC1916" s="11"/>
      <c r="AD1916" s="11"/>
    </row>
    <row r="1917">
      <c r="A1917" s="10"/>
      <c r="B1917" s="10"/>
      <c r="C1917" s="10"/>
      <c r="D1917" s="10"/>
      <c r="E1917" s="10"/>
      <c r="F1917" s="11"/>
      <c r="G1917" s="11"/>
      <c r="H1917" s="11"/>
      <c r="I1917" s="11"/>
      <c r="J1917" s="11" t="str">
        <f>IFERROR(__xludf.DUMMYFUNCTION("IFERROR(FILTER(Stats!$F:$Z,(Stats!$A:$A=$A1917)*(Stats!$B:$B=$B1917)))"),"#REF!")</f>
        <v>#REF!</v>
      </c>
      <c r="K1917" s="11"/>
      <c r="L1917" s="12"/>
      <c r="M1917" s="11"/>
      <c r="N1917" s="11"/>
      <c r="O1917" s="13"/>
      <c r="P1917" s="14"/>
      <c r="Q1917" s="13"/>
      <c r="R1917" s="13"/>
      <c r="S1917" s="15"/>
      <c r="T1917" s="16"/>
      <c r="U1917" s="16"/>
      <c r="V1917" s="16"/>
      <c r="W1917" s="16"/>
      <c r="X1917" s="16"/>
      <c r="Y1917" s="11"/>
      <c r="Z1917" s="11"/>
      <c r="AA1917" s="11"/>
      <c r="AB1917" s="11"/>
      <c r="AC1917" s="11"/>
      <c r="AD1917" s="11"/>
    </row>
    <row r="1918">
      <c r="A1918" s="10"/>
      <c r="B1918" s="10"/>
      <c r="C1918" s="10"/>
      <c r="D1918" s="10"/>
      <c r="E1918" s="10"/>
      <c r="F1918" s="11"/>
      <c r="G1918" s="11"/>
      <c r="H1918" s="11"/>
      <c r="I1918" s="11"/>
      <c r="J1918" s="11" t="str">
        <f>IFERROR(__xludf.DUMMYFUNCTION("IFERROR(FILTER(Stats!$F:$Z,(Stats!$A:$A=$A1918)*(Stats!$B:$B=$B1918)))"),"#REF!")</f>
        <v>#REF!</v>
      </c>
      <c r="K1918" s="11"/>
      <c r="L1918" s="12"/>
      <c r="M1918" s="11"/>
      <c r="N1918" s="11"/>
      <c r="O1918" s="13"/>
      <c r="P1918" s="14"/>
      <c r="Q1918" s="13"/>
      <c r="R1918" s="13"/>
      <c r="S1918" s="15"/>
      <c r="T1918" s="16"/>
      <c r="U1918" s="16"/>
      <c r="V1918" s="16"/>
      <c r="W1918" s="16"/>
      <c r="X1918" s="16"/>
      <c r="Y1918" s="11"/>
      <c r="Z1918" s="11"/>
      <c r="AA1918" s="11"/>
      <c r="AB1918" s="11"/>
      <c r="AC1918" s="11"/>
      <c r="AD1918" s="11"/>
    </row>
    <row r="1919">
      <c r="A1919" s="10"/>
      <c r="B1919" s="10"/>
      <c r="C1919" s="10"/>
      <c r="D1919" s="10"/>
      <c r="E1919" s="10"/>
      <c r="F1919" s="11"/>
      <c r="G1919" s="11"/>
      <c r="H1919" s="11"/>
      <c r="I1919" s="11"/>
      <c r="J1919" s="11" t="str">
        <f>IFERROR(__xludf.DUMMYFUNCTION("IFERROR(FILTER(Stats!$F:$Z,(Stats!$A:$A=$A1919)*(Stats!$B:$B=$B1919)))"),"#REF!")</f>
        <v>#REF!</v>
      </c>
      <c r="K1919" s="11"/>
      <c r="L1919" s="12"/>
      <c r="M1919" s="11"/>
      <c r="N1919" s="11"/>
      <c r="O1919" s="13"/>
      <c r="P1919" s="14"/>
      <c r="Q1919" s="13"/>
      <c r="R1919" s="13"/>
      <c r="S1919" s="15"/>
      <c r="T1919" s="16"/>
      <c r="U1919" s="16"/>
      <c r="V1919" s="16"/>
      <c r="W1919" s="16"/>
      <c r="X1919" s="16"/>
      <c r="Y1919" s="11"/>
      <c r="Z1919" s="11"/>
      <c r="AA1919" s="11"/>
      <c r="AB1919" s="11"/>
      <c r="AC1919" s="11"/>
      <c r="AD1919" s="11"/>
    </row>
    <row r="1920">
      <c r="A1920" s="10"/>
      <c r="B1920" s="10"/>
      <c r="C1920" s="10"/>
      <c r="D1920" s="10"/>
      <c r="E1920" s="10"/>
      <c r="F1920" s="11"/>
      <c r="G1920" s="11"/>
      <c r="H1920" s="11"/>
      <c r="I1920" s="11"/>
      <c r="J1920" s="11" t="str">
        <f>IFERROR(__xludf.DUMMYFUNCTION("IFERROR(FILTER(Stats!$F:$Z,(Stats!$A:$A=$A1920)*(Stats!$B:$B=$B1920)))"),"#REF!")</f>
        <v>#REF!</v>
      </c>
      <c r="K1920" s="11"/>
      <c r="L1920" s="12"/>
      <c r="M1920" s="11"/>
      <c r="N1920" s="11"/>
      <c r="O1920" s="13"/>
      <c r="P1920" s="14"/>
      <c r="Q1920" s="13"/>
      <c r="R1920" s="13"/>
      <c r="S1920" s="15"/>
      <c r="T1920" s="16"/>
      <c r="U1920" s="16"/>
      <c r="V1920" s="16"/>
      <c r="W1920" s="16"/>
      <c r="X1920" s="16"/>
      <c r="Y1920" s="11"/>
      <c r="Z1920" s="11"/>
      <c r="AA1920" s="11"/>
      <c r="AB1920" s="11"/>
      <c r="AC1920" s="11"/>
      <c r="AD1920" s="11"/>
    </row>
    <row r="1921">
      <c r="A1921" s="10"/>
      <c r="B1921" s="10"/>
      <c r="C1921" s="10"/>
      <c r="D1921" s="10"/>
      <c r="E1921" s="10"/>
      <c r="F1921" s="11"/>
      <c r="G1921" s="11"/>
      <c r="H1921" s="11"/>
      <c r="I1921" s="11"/>
      <c r="J1921" s="11" t="str">
        <f>IFERROR(__xludf.DUMMYFUNCTION("IFERROR(FILTER(Stats!$F:$Z,(Stats!$A:$A=$A1921)*(Stats!$B:$B=$B1921)))"),"#REF!")</f>
        <v>#REF!</v>
      </c>
      <c r="K1921" s="11"/>
      <c r="L1921" s="12"/>
      <c r="M1921" s="11"/>
      <c r="N1921" s="11"/>
      <c r="O1921" s="13"/>
      <c r="P1921" s="14"/>
      <c r="Q1921" s="13"/>
      <c r="R1921" s="13"/>
      <c r="S1921" s="15"/>
      <c r="T1921" s="16"/>
      <c r="U1921" s="16"/>
      <c r="V1921" s="16"/>
      <c r="W1921" s="16"/>
      <c r="X1921" s="16"/>
      <c r="Y1921" s="11"/>
      <c r="Z1921" s="11"/>
      <c r="AA1921" s="11"/>
      <c r="AB1921" s="11"/>
      <c r="AC1921" s="11"/>
      <c r="AD1921" s="11"/>
    </row>
    <row r="1922">
      <c r="A1922" s="10"/>
      <c r="B1922" s="10"/>
      <c r="C1922" s="10"/>
      <c r="D1922" s="10"/>
      <c r="E1922" s="10"/>
      <c r="F1922" s="11"/>
      <c r="G1922" s="11"/>
      <c r="H1922" s="11"/>
      <c r="I1922" s="11"/>
      <c r="J1922" s="11" t="str">
        <f>IFERROR(__xludf.DUMMYFUNCTION("IFERROR(FILTER(Stats!$F:$Z,(Stats!$A:$A=$A1922)*(Stats!$B:$B=$B1922)))"),"#REF!")</f>
        <v>#REF!</v>
      </c>
      <c r="K1922" s="11"/>
      <c r="L1922" s="12"/>
      <c r="M1922" s="11"/>
      <c r="N1922" s="11"/>
      <c r="O1922" s="13"/>
      <c r="P1922" s="14"/>
      <c r="Q1922" s="13"/>
      <c r="R1922" s="13"/>
      <c r="S1922" s="15"/>
      <c r="T1922" s="16"/>
      <c r="U1922" s="16"/>
      <c r="V1922" s="16"/>
      <c r="W1922" s="16"/>
      <c r="X1922" s="16"/>
      <c r="Y1922" s="11"/>
      <c r="Z1922" s="11"/>
      <c r="AA1922" s="11"/>
      <c r="AB1922" s="11"/>
      <c r="AC1922" s="11"/>
      <c r="AD1922" s="11"/>
    </row>
    <row r="1923">
      <c r="A1923" s="10"/>
      <c r="B1923" s="10"/>
      <c r="C1923" s="10"/>
      <c r="D1923" s="10"/>
      <c r="E1923" s="10"/>
      <c r="F1923" s="11"/>
      <c r="G1923" s="11"/>
      <c r="H1923" s="11"/>
      <c r="I1923" s="11"/>
      <c r="J1923" s="11" t="str">
        <f>IFERROR(__xludf.DUMMYFUNCTION("IFERROR(FILTER(Stats!$F:$Z,(Stats!$A:$A=$A1923)*(Stats!$B:$B=$B1923)))"),"#REF!")</f>
        <v>#REF!</v>
      </c>
      <c r="K1923" s="11"/>
      <c r="L1923" s="12"/>
      <c r="M1923" s="11"/>
      <c r="N1923" s="11"/>
      <c r="O1923" s="13"/>
      <c r="P1923" s="14"/>
      <c r="Q1923" s="13"/>
      <c r="R1923" s="13"/>
      <c r="S1923" s="15"/>
      <c r="T1923" s="16"/>
      <c r="U1923" s="16"/>
      <c r="V1923" s="16"/>
      <c r="W1923" s="16"/>
      <c r="X1923" s="16"/>
      <c r="Y1923" s="11"/>
      <c r="Z1923" s="11"/>
      <c r="AA1923" s="11"/>
      <c r="AB1923" s="11"/>
      <c r="AC1923" s="11"/>
      <c r="AD1923" s="11"/>
    </row>
    <row r="1924">
      <c r="A1924" s="10"/>
      <c r="B1924" s="10"/>
      <c r="C1924" s="10"/>
      <c r="D1924" s="10"/>
      <c r="E1924" s="10"/>
      <c r="F1924" s="11"/>
      <c r="G1924" s="11"/>
      <c r="H1924" s="11"/>
      <c r="I1924" s="11"/>
      <c r="J1924" s="11" t="str">
        <f>IFERROR(__xludf.DUMMYFUNCTION("IFERROR(FILTER(Stats!$F:$Z,(Stats!$A:$A=$A1924)*(Stats!$B:$B=$B1924)))"),"#REF!")</f>
        <v>#REF!</v>
      </c>
      <c r="K1924" s="11"/>
      <c r="L1924" s="12"/>
      <c r="M1924" s="11"/>
      <c r="N1924" s="11"/>
      <c r="O1924" s="13"/>
      <c r="P1924" s="14"/>
      <c r="Q1924" s="13"/>
      <c r="R1924" s="13"/>
      <c r="S1924" s="15"/>
      <c r="T1924" s="16"/>
      <c r="U1924" s="16"/>
      <c r="V1924" s="16"/>
      <c r="W1924" s="16"/>
      <c r="X1924" s="16"/>
      <c r="Y1924" s="11"/>
      <c r="Z1924" s="11"/>
      <c r="AA1924" s="11"/>
      <c r="AB1924" s="11"/>
      <c r="AC1924" s="11"/>
      <c r="AD1924" s="11"/>
    </row>
    <row r="1925">
      <c r="A1925" s="10"/>
      <c r="B1925" s="10"/>
      <c r="C1925" s="10"/>
      <c r="D1925" s="10"/>
      <c r="E1925" s="10"/>
      <c r="F1925" s="11"/>
      <c r="G1925" s="11"/>
      <c r="H1925" s="11"/>
      <c r="I1925" s="11"/>
      <c r="J1925" s="11" t="str">
        <f>IFERROR(__xludf.DUMMYFUNCTION("IFERROR(FILTER(Stats!$F:$Z,(Stats!$A:$A=$A1925)*(Stats!$B:$B=$B1925)))"),"#REF!")</f>
        <v>#REF!</v>
      </c>
      <c r="K1925" s="11"/>
      <c r="L1925" s="12"/>
      <c r="M1925" s="11"/>
      <c r="N1925" s="11"/>
      <c r="O1925" s="13"/>
      <c r="P1925" s="14"/>
      <c r="Q1925" s="13"/>
      <c r="R1925" s="13"/>
      <c r="S1925" s="15"/>
      <c r="T1925" s="16"/>
      <c r="U1925" s="16"/>
      <c r="V1925" s="16"/>
      <c r="W1925" s="16"/>
      <c r="X1925" s="16"/>
      <c r="Y1925" s="11"/>
      <c r="Z1925" s="11"/>
      <c r="AA1925" s="11"/>
      <c r="AB1925" s="11"/>
      <c r="AC1925" s="11"/>
      <c r="AD1925" s="11"/>
    </row>
    <row r="1926">
      <c r="A1926" s="10"/>
      <c r="B1926" s="10"/>
      <c r="C1926" s="10"/>
      <c r="D1926" s="10"/>
      <c r="E1926" s="10"/>
      <c r="F1926" s="11"/>
      <c r="G1926" s="11"/>
      <c r="H1926" s="11"/>
      <c r="I1926" s="11"/>
      <c r="J1926" s="11" t="str">
        <f>IFERROR(__xludf.DUMMYFUNCTION("IFERROR(FILTER(Stats!$F:$Z,(Stats!$A:$A=$A1926)*(Stats!$B:$B=$B1926)))"),"#REF!")</f>
        <v>#REF!</v>
      </c>
      <c r="K1926" s="11"/>
      <c r="L1926" s="12"/>
      <c r="M1926" s="11"/>
      <c r="N1926" s="11"/>
      <c r="O1926" s="13"/>
      <c r="P1926" s="14"/>
      <c r="Q1926" s="13"/>
      <c r="R1926" s="13"/>
      <c r="S1926" s="15"/>
      <c r="T1926" s="16"/>
      <c r="U1926" s="16"/>
      <c r="V1926" s="16"/>
      <c r="W1926" s="16"/>
      <c r="X1926" s="16"/>
      <c r="Y1926" s="11"/>
      <c r="Z1926" s="11"/>
      <c r="AA1926" s="11"/>
      <c r="AB1926" s="11"/>
      <c r="AC1926" s="11"/>
      <c r="AD1926" s="11"/>
    </row>
    <row r="1927">
      <c r="A1927" s="10"/>
      <c r="B1927" s="10"/>
      <c r="C1927" s="10"/>
      <c r="D1927" s="10"/>
      <c r="E1927" s="10"/>
      <c r="F1927" s="11"/>
      <c r="G1927" s="11"/>
      <c r="H1927" s="11"/>
      <c r="I1927" s="11"/>
      <c r="J1927" s="11" t="str">
        <f>IFERROR(__xludf.DUMMYFUNCTION("IFERROR(FILTER(Stats!$F:$Z,(Stats!$A:$A=$A1927)*(Stats!$B:$B=$B1927)))"),"#REF!")</f>
        <v>#REF!</v>
      </c>
      <c r="K1927" s="11"/>
      <c r="L1927" s="12"/>
      <c r="M1927" s="11"/>
      <c r="N1927" s="11"/>
      <c r="O1927" s="13"/>
      <c r="P1927" s="14"/>
      <c r="Q1927" s="13"/>
      <c r="R1927" s="13"/>
      <c r="S1927" s="15"/>
      <c r="T1927" s="16"/>
      <c r="U1927" s="16"/>
      <c r="V1927" s="16"/>
      <c r="W1927" s="16"/>
      <c r="X1927" s="16"/>
      <c r="Y1927" s="11"/>
      <c r="Z1927" s="11"/>
      <c r="AA1927" s="11"/>
      <c r="AB1927" s="11"/>
      <c r="AC1927" s="11"/>
      <c r="AD1927" s="11"/>
    </row>
    <row r="1928">
      <c r="A1928" s="10"/>
      <c r="B1928" s="10"/>
      <c r="C1928" s="10"/>
      <c r="D1928" s="10"/>
      <c r="E1928" s="10"/>
      <c r="F1928" s="11"/>
      <c r="G1928" s="11"/>
      <c r="H1928" s="11"/>
      <c r="I1928" s="11"/>
      <c r="J1928" s="11" t="str">
        <f>IFERROR(__xludf.DUMMYFUNCTION("IFERROR(FILTER(Stats!$F:$Z,(Stats!$A:$A=$A1928)*(Stats!$B:$B=$B1928)))"),"#REF!")</f>
        <v>#REF!</v>
      </c>
      <c r="K1928" s="11"/>
      <c r="L1928" s="12"/>
      <c r="M1928" s="11"/>
      <c r="N1928" s="11"/>
      <c r="O1928" s="13"/>
      <c r="P1928" s="14"/>
      <c r="Q1928" s="13"/>
      <c r="R1928" s="13"/>
      <c r="S1928" s="15"/>
      <c r="T1928" s="16"/>
      <c r="U1928" s="16"/>
      <c r="V1928" s="16"/>
      <c r="W1928" s="16"/>
      <c r="X1928" s="16"/>
      <c r="Y1928" s="11"/>
      <c r="Z1928" s="11"/>
      <c r="AA1928" s="11"/>
      <c r="AB1928" s="11"/>
      <c r="AC1928" s="11"/>
      <c r="AD1928" s="11"/>
    </row>
    <row r="1929">
      <c r="A1929" s="10"/>
      <c r="B1929" s="10"/>
      <c r="C1929" s="10"/>
      <c r="D1929" s="10"/>
      <c r="E1929" s="10"/>
      <c r="F1929" s="11"/>
      <c r="G1929" s="11"/>
      <c r="H1929" s="11"/>
      <c r="I1929" s="11"/>
      <c r="J1929" s="11" t="str">
        <f>IFERROR(__xludf.DUMMYFUNCTION("IFERROR(FILTER(Stats!$F:$Z,(Stats!$A:$A=$A1929)*(Stats!$B:$B=$B1929)))"),"#REF!")</f>
        <v>#REF!</v>
      </c>
      <c r="K1929" s="11"/>
      <c r="L1929" s="12"/>
      <c r="M1929" s="11"/>
      <c r="N1929" s="11"/>
      <c r="O1929" s="13"/>
      <c r="P1929" s="14"/>
      <c r="Q1929" s="13"/>
      <c r="R1929" s="13"/>
      <c r="S1929" s="15"/>
      <c r="T1929" s="16"/>
      <c r="U1929" s="16"/>
      <c r="V1929" s="16"/>
      <c r="W1929" s="16"/>
      <c r="X1929" s="16"/>
      <c r="Y1929" s="11"/>
      <c r="Z1929" s="11"/>
      <c r="AA1929" s="11"/>
      <c r="AB1929" s="11"/>
      <c r="AC1929" s="11"/>
      <c r="AD1929" s="11"/>
    </row>
    <row r="1930">
      <c r="A1930" s="10"/>
      <c r="B1930" s="10"/>
      <c r="C1930" s="10"/>
      <c r="D1930" s="10"/>
      <c r="E1930" s="10"/>
      <c r="F1930" s="11"/>
      <c r="G1930" s="11"/>
      <c r="H1930" s="11"/>
      <c r="I1930" s="11"/>
      <c r="J1930" s="11" t="str">
        <f>IFERROR(__xludf.DUMMYFUNCTION("IFERROR(FILTER(Stats!$F:$Z,(Stats!$A:$A=$A1930)*(Stats!$B:$B=$B1930)))"),"#REF!")</f>
        <v>#REF!</v>
      </c>
      <c r="K1930" s="11"/>
      <c r="L1930" s="12"/>
      <c r="M1930" s="11"/>
      <c r="N1930" s="11"/>
      <c r="O1930" s="13"/>
      <c r="P1930" s="14"/>
      <c r="Q1930" s="13"/>
      <c r="R1930" s="13"/>
      <c r="S1930" s="15"/>
      <c r="T1930" s="16"/>
      <c r="U1930" s="16"/>
      <c r="V1930" s="16"/>
      <c r="W1930" s="16"/>
      <c r="X1930" s="16"/>
      <c r="Y1930" s="11"/>
      <c r="Z1930" s="11"/>
      <c r="AA1930" s="11"/>
      <c r="AB1930" s="11"/>
      <c r="AC1930" s="11"/>
      <c r="AD1930" s="11"/>
    </row>
    <row r="1931">
      <c r="A1931" s="10"/>
      <c r="B1931" s="10"/>
      <c r="C1931" s="10"/>
      <c r="D1931" s="10"/>
      <c r="E1931" s="10"/>
      <c r="F1931" s="11"/>
      <c r="G1931" s="11"/>
      <c r="H1931" s="11"/>
      <c r="I1931" s="11"/>
      <c r="J1931" s="11" t="str">
        <f>IFERROR(__xludf.DUMMYFUNCTION("IFERROR(FILTER(Stats!$F:$Z,(Stats!$A:$A=$A1931)*(Stats!$B:$B=$B1931)))"),"#REF!")</f>
        <v>#REF!</v>
      </c>
      <c r="K1931" s="11"/>
      <c r="L1931" s="12"/>
      <c r="M1931" s="11"/>
      <c r="N1931" s="11"/>
      <c r="O1931" s="13"/>
      <c r="P1931" s="14"/>
      <c r="Q1931" s="13"/>
      <c r="R1931" s="13"/>
      <c r="S1931" s="15"/>
      <c r="T1931" s="16"/>
      <c r="U1931" s="16"/>
      <c r="V1931" s="16"/>
      <c r="W1931" s="16"/>
      <c r="X1931" s="16"/>
      <c r="Y1931" s="11"/>
      <c r="Z1931" s="11"/>
      <c r="AA1931" s="11"/>
      <c r="AB1931" s="11"/>
      <c r="AC1931" s="11"/>
      <c r="AD1931" s="11"/>
    </row>
    <row r="1932">
      <c r="A1932" s="10"/>
      <c r="B1932" s="10"/>
      <c r="C1932" s="10"/>
      <c r="D1932" s="10"/>
      <c r="E1932" s="10"/>
      <c r="F1932" s="11"/>
      <c r="G1932" s="11"/>
      <c r="H1932" s="11"/>
      <c r="I1932" s="11"/>
      <c r="J1932" s="11" t="str">
        <f>IFERROR(__xludf.DUMMYFUNCTION("IFERROR(FILTER(Stats!$F:$Z,(Stats!$A:$A=$A1932)*(Stats!$B:$B=$B1932)))"),"#REF!")</f>
        <v>#REF!</v>
      </c>
      <c r="K1932" s="11"/>
      <c r="L1932" s="12"/>
      <c r="M1932" s="11"/>
      <c r="N1932" s="11"/>
      <c r="O1932" s="13"/>
      <c r="P1932" s="14"/>
      <c r="Q1932" s="13"/>
      <c r="R1932" s="13"/>
      <c r="S1932" s="15"/>
      <c r="T1932" s="16"/>
      <c r="U1932" s="16"/>
      <c r="V1932" s="16"/>
      <c r="W1932" s="16"/>
      <c r="X1932" s="16"/>
      <c r="Y1932" s="11"/>
      <c r="Z1932" s="11"/>
      <c r="AA1932" s="11"/>
      <c r="AB1932" s="11"/>
      <c r="AC1932" s="11"/>
      <c r="AD1932" s="11"/>
    </row>
    <row r="1933">
      <c r="A1933" s="10"/>
      <c r="B1933" s="10"/>
      <c r="C1933" s="10"/>
      <c r="D1933" s="10"/>
      <c r="E1933" s="10"/>
      <c r="F1933" s="11"/>
      <c r="G1933" s="11"/>
      <c r="H1933" s="11"/>
      <c r="I1933" s="11"/>
      <c r="J1933" s="11" t="str">
        <f>IFERROR(__xludf.DUMMYFUNCTION("IFERROR(FILTER(Stats!$F:$Z,(Stats!$A:$A=$A1933)*(Stats!$B:$B=$B1933)))"),"#REF!")</f>
        <v>#REF!</v>
      </c>
      <c r="K1933" s="11"/>
      <c r="L1933" s="12"/>
      <c r="M1933" s="11"/>
      <c r="N1933" s="11"/>
      <c r="O1933" s="13"/>
      <c r="P1933" s="14"/>
      <c r="Q1933" s="13"/>
      <c r="R1933" s="13"/>
      <c r="S1933" s="15"/>
      <c r="T1933" s="16"/>
      <c r="U1933" s="16"/>
      <c r="V1933" s="16"/>
      <c r="W1933" s="16"/>
      <c r="X1933" s="16"/>
      <c r="Y1933" s="11"/>
      <c r="Z1933" s="11"/>
      <c r="AA1933" s="11"/>
      <c r="AB1933" s="11"/>
      <c r="AC1933" s="11"/>
      <c r="AD1933" s="11"/>
    </row>
    <row r="1934">
      <c r="A1934" s="10"/>
      <c r="B1934" s="10"/>
      <c r="C1934" s="10"/>
      <c r="D1934" s="10"/>
      <c r="E1934" s="10"/>
      <c r="F1934" s="11"/>
      <c r="G1934" s="11"/>
      <c r="H1934" s="11"/>
      <c r="I1934" s="11"/>
      <c r="J1934" s="11" t="str">
        <f>IFERROR(__xludf.DUMMYFUNCTION("IFERROR(FILTER(Stats!$F:$Z,(Stats!$A:$A=$A1934)*(Stats!$B:$B=$B1934)))"),"#REF!")</f>
        <v>#REF!</v>
      </c>
      <c r="K1934" s="11"/>
      <c r="L1934" s="12"/>
      <c r="M1934" s="11"/>
      <c r="N1934" s="11"/>
      <c r="O1934" s="13"/>
      <c r="P1934" s="14"/>
      <c r="Q1934" s="13"/>
      <c r="R1934" s="13"/>
      <c r="S1934" s="15"/>
      <c r="T1934" s="16"/>
      <c r="U1934" s="16"/>
      <c r="V1934" s="16"/>
      <c r="W1934" s="16"/>
      <c r="X1934" s="16"/>
      <c r="Y1934" s="11"/>
      <c r="Z1934" s="11"/>
      <c r="AA1934" s="11"/>
      <c r="AB1934" s="11"/>
      <c r="AC1934" s="11"/>
      <c r="AD1934" s="11"/>
    </row>
    <row r="1935">
      <c r="A1935" s="10"/>
      <c r="B1935" s="10"/>
      <c r="C1935" s="10"/>
      <c r="D1935" s="10"/>
      <c r="E1935" s="10"/>
      <c r="F1935" s="11"/>
      <c r="G1935" s="11"/>
      <c r="H1935" s="11"/>
      <c r="I1935" s="11"/>
      <c r="J1935" s="11" t="str">
        <f>IFERROR(__xludf.DUMMYFUNCTION("IFERROR(FILTER(Stats!$F:$Z,(Stats!$A:$A=$A1935)*(Stats!$B:$B=$B1935)))"),"#REF!")</f>
        <v>#REF!</v>
      </c>
      <c r="K1935" s="11"/>
      <c r="L1935" s="12"/>
      <c r="M1935" s="11"/>
      <c r="N1935" s="11"/>
      <c r="O1935" s="13"/>
      <c r="P1935" s="14"/>
      <c r="Q1935" s="13"/>
      <c r="R1935" s="13"/>
      <c r="S1935" s="15"/>
      <c r="T1935" s="16"/>
      <c r="U1935" s="16"/>
      <c r="V1935" s="16"/>
      <c r="W1935" s="16"/>
      <c r="X1935" s="16"/>
      <c r="Y1935" s="11"/>
      <c r="Z1935" s="11"/>
      <c r="AA1935" s="11"/>
      <c r="AB1935" s="11"/>
      <c r="AC1935" s="11"/>
      <c r="AD1935" s="11"/>
    </row>
    <row r="1936">
      <c r="A1936" s="10"/>
      <c r="B1936" s="10"/>
      <c r="C1936" s="10"/>
      <c r="D1936" s="10"/>
      <c r="E1936" s="10"/>
      <c r="F1936" s="11"/>
      <c r="G1936" s="11"/>
      <c r="H1936" s="11"/>
      <c r="I1936" s="11"/>
      <c r="J1936" s="11" t="str">
        <f>IFERROR(__xludf.DUMMYFUNCTION("IFERROR(FILTER(Stats!$F:$Z,(Stats!$A:$A=$A1936)*(Stats!$B:$B=$B1936)))"),"#REF!")</f>
        <v>#REF!</v>
      </c>
      <c r="K1936" s="11"/>
      <c r="L1936" s="12"/>
      <c r="M1936" s="11"/>
      <c r="N1936" s="11"/>
      <c r="O1936" s="13"/>
      <c r="P1936" s="14"/>
      <c r="Q1936" s="13"/>
      <c r="R1936" s="13"/>
      <c r="S1936" s="15"/>
      <c r="T1936" s="16"/>
      <c r="U1936" s="16"/>
      <c r="V1936" s="16"/>
      <c r="W1936" s="16"/>
      <c r="X1936" s="16"/>
      <c r="Y1936" s="11"/>
      <c r="Z1936" s="11"/>
      <c r="AA1936" s="11"/>
      <c r="AB1936" s="11"/>
      <c r="AC1936" s="11"/>
      <c r="AD1936" s="11"/>
    </row>
    <row r="1937">
      <c r="A1937" s="10"/>
      <c r="B1937" s="10"/>
      <c r="C1937" s="10"/>
      <c r="D1937" s="10"/>
      <c r="E1937" s="10"/>
      <c r="F1937" s="11"/>
      <c r="G1937" s="11"/>
      <c r="H1937" s="11"/>
      <c r="I1937" s="11"/>
      <c r="J1937" s="11" t="str">
        <f>IFERROR(__xludf.DUMMYFUNCTION("IFERROR(FILTER(Stats!$F:$Z,(Stats!$A:$A=$A1937)*(Stats!$B:$B=$B1937)))"),"#REF!")</f>
        <v>#REF!</v>
      </c>
      <c r="K1937" s="11"/>
      <c r="L1937" s="12"/>
      <c r="M1937" s="11"/>
      <c r="N1937" s="11"/>
      <c r="O1937" s="13"/>
      <c r="P1937" s="14"/>
      <c r="Q1937" s="13"/>
      <c r="R1937" s="13"/>
      <c r="S1937" s="15"/>
      <c r="T1937" s="16"/>
      <c r="U1937" s="16"/>
      <c r="V1937" s="16"/>
      <c r="W1937" s="16"/>
      <c r="X1937" s="16"/>
      <c r="Y1937" s="11"/>
      <c r="Z1937" s="11"/>
      <c r="AA1937" s="11"/>
      <c r="AB1937" s="11"/>
      <c r="AC1937" s="11"/>
      <c r="AD1937" s="11"/>
    </row>
    <row r="1938">
      <c r="A1938" s="10"/>
      <c r="B1938" s="10"/>
      <c r="C1938" s="10"/>
      <c r="D1938" s="10"/>
      <c r="E1938" s="10"/>
      <c r="F1938" s="11"/>
      <c r="G1938" s="11"/>
      <c r="H1938" s="11"/>
      <c r="I1938" s="11"/>
      <c r="J1938" s="11" t="str">
        <f>IFERROR(__xludf.DUMMYFUNCTION("IFERROR(FILTER(Stats!$F:$Z,(Stats!$A:$A=$A1938)*(Stats!$B:$B=$B1938)))"),"#REF!")</f>
        <v>#REF!</v>
      </c>
      <c r="K1938" s="11"/>
      <c r="L1938" s="12"/>
      <c r="M1938" s="11"/>
      <c r="N1938" s="11"/>
      <c r="O1938" s="13"/>
      <c r="P1938" s="14"/>
      <c r="Q1938" s="13"/>
      <c r="R1938" s="13"/>
      <c r="S1938" s="15"/>
      <c r="T1938" s="16"/>
      <c r="U1938" s="16"/>
      <c r="V1938" s="16"/>
      <c r="W1938" s="16"/>
      <c r="X1938" s="16"/>
      <c r="Y1938" s="11"/>
      <c r="Z1938" s="11"/>
      <c r="AA1938" s="11"/>
      <c r="AB1938" s="11"/>
      <c r="AC1938" s="11"/>
      <c r="AD1938" s="11"/>
    </row>
    <row r="1939">
      <c r="A1939" s="10"/>
      <c r="B1939" s="10"/>
      <c r="C1939" s="10"/>
      <c r="D1939" s="10"/>
      <c r="E1939" s="10"/>
      <c r="F1939" s="11"/>
      <c r="G1939" s="11"/>
      <c r="H1939" s="11"/>
      <c r="I1939" s="11"/>
      <c r="J1939" s="11" t="str">
        <f>IFERROR(__xludf.DUMMYFUNCTION("IFERROR(FILTER(Stats!$F:$Z,(Stats!$A:$A=$A1939)*(Stats!$B:$B=$B1939)))"),"#REF!")</f>
        <v>#REF!</v>
      </c>
      <c r="K1939" s="11"/>
      <c r="L1939" s="12"/>
      <c r="M1939" s="11"/>
      <c r="N1939" s="11"/>
      <c r="O1939" s="13"/>
      <c r="P1939" s="14"/>
      <c r="Q1939" s="13"/>
      <c r="R1939" s="13"/>
      <c r="S1939" s="15"/>
      <c r="T1939" s="16"/>
      <c r="U1939" s="16"/>
      <c r="V1939" s="16"/>
      <c r="W1939" s="16"/>
      <c r="X1939" s="16"/>
      <c r="Y1939" s="11"/>
      <c r="Z1939" s="11"/>
      <c r="AA1939" s="11"/>
      <c r="AB1939" s="11"/>
      <c r="AC1939" s="11"/>
      <c r="AD1939" s="11"/>
    </row>
    <row r="1940">
      <c r="A1940" s="10"/>
      <c r="B1940" s="10"/>
      <c r="C1940" s="10"/>
      <c r="D1940" s="10"/>
      <c r="E1940" s="10"/>
      <c r="F1940" s="11"/>
      <c r="G1940" s="11"/>
      <c r="H1940" s="11"/>
      <c r="I1940" s="11"/>
      <c r="J1940" s="11" t="str">
        <f>IFERROR(__xludf.DUMMYFUNCTION("IFERROR(FILTER(Stats!$F:$Z,(Stats!$A:$A=$A1940)*(Stats!$B:$B=$B1940)))"),"#REF!")</f>
        <v>#REF!</v>
      </c>
      <c r="K1940" s="11"/>
      <c r="L1940" s="12"/>
      <c r="M1940" s="11"/>
      <c r="N1940" s="11"/>
      <c r="O1940" s="13"/>
      <c r="P1940" s="14"/>
      <c r="Q1940" s="13"/>
      <c r="R1940" s="13"/>
      <c r="S1940" s="15"/>
      <c r="T1940" s="16"/>
      <c r="U1940" s="16"/>
      <c r="V1940" s="16"/>
      <c r="W1940" s="16"/>
      <c r="X1940" s="16"/>
      <c r="Y1940" s="11"/>
      <c r="Z1940" s="11"/>
      <c r="AA1940" s="11"/>
      <c r="AB1940" s="11"/>
      <c r="AC1940" s="11"/>
      <c r="AD1940" s="11"/>
    </row>
    <row r="1941">
      <c r="A1941" s="10"/>
      <c r="B1941" s="10"/>
      <c r="C1941" s="10"/>
      <c r="D1941" s="10"/>
      <c r="E1941" s="10"/>
      <c r="F1941" s="11"/>
      <c r="G1941" s="11"/>
      <c r="H1941" s="11"/>
      <c r="I1941" s="11"/>
      <c r="J1941" s="11" t="str">
        <f>IFERROR(__xludf.DUMMYFUNCTION("IFERROR(FILTER(Stats!$F:$Z,(Stats!$A:$A=$A1941)*(Stats!$B:$B=$B1941)))"),"#REF!")</f>
        <v>#REF!</v>
      </c>
      <c r="K1941" s="11"/>
      <c r="L1941" s="12"/>
      <c r="M1941" s="11"/>
      <c r="N1941" s="11"/>
      <c r="O1941" s="13"/>
      <c r="P1941" s="14"/>
      <c r="Q1941" s="13"/>
      <c r="R1941" s="13"/>
      <c r="S1941" s="15"/>
      <c r="T1941" s="16"/>
      <c r="U1941" s="16"/>
      <c r="V1941" s="16"/>
      <c r="W1941" s="16"/>
      <c r="X1941" s="16"/>
      <c r="Y1941" s="11"/>
      <c r="Z1941" s="11"/>
      <c r="AA1941" s="11"/>
      <c r="AB1941" s="11"/>
      <c r="AC1941" s="11"/>
      <c r="AD1941" s="11"/>
    </row>
    <row r="1942">
      <c r="A1942" s="10"/>
      <c r="B1942" s="10"/>
      <c r="C1942" s="10"/>
      <c r="D1942" s="10"/>
      <c r="E1942" s="10"/>
      <c r="F1942" s="11"/>
      <c r="G1942" s="11"/>
      <c r="H1942" s="11"/>
      <c r="I1942" s="11"/>
      <c r="J1942" s="11" t="str">
        <f>IFERROR(__xludf.DUMMYFUNCTION("IFERROR(FILTER(Stats!$F:$Z,(Stats!$A:$A=$A1942)*(Stats!$B:$B=$B1942)))"),"#REF!")</f>
        <v>#REF!</v>
      </c>
      <c r="K1942" s="11"/>
      <c r="L1942" s="12"/>
      <c r="M1942" s="11"/>
      <c r="N1942" s="11"/>
      <c r="O1942" s="13"/>
      <c r="P1942" s="14"/>
      <c r="Q1942" s="13"/>
      <c r="R1942" s="13"/>
      <c r="S1942" s="15"/>
      <c r="T1942" s="16"/>
      <c r="U1942" s="16"/>
      <c r="V1942" s="16"/>
      <c r="W1942" s="16"/>
      <c r="X1942" s="16"/>
      <c r="Y1942" s="11"/>
      <c r="Z1942" s="11"/>
      <c r="AA1942" s="11"/>
      <c r="AB1942" s="11"/>
      <c r="AC1942" s="11"/>
      <c r="AD1942" s="11"/>
    </row>
    <row r="1943">
      <c r="A1943" s="10"/>
      <c r="B1943" s="10"/>
      <c r="C1943" s="10"/>
      <c r="D1943" s="10"/>
      <c r="E1943" s="10"/>
      <c r="F1943" s="11"/>
      <c r="G1943" s="11"/>
      <c r="H1943" s="11"/>
      <c r="I1943" s="11"/>
      <c r="J1943" s="11" t="str">
        <f>IFERROR(__xludf.DUMMYFUNCTION("IFERROR(FILTER(Stats!$F:$Z,(Stats!$A:$A=$A1943)*(Stats!$B:$B=$B1943)))"),"#REF!")</f>
        <v>#REF!</v>
      </c>
      <c r="K1943" s="11"/>
      <c r="L1943" s="12"/>
      <c r="M1943" s="11"/>
      <c r="N1943" s="11"/>
      <c r="O1943" s="13"/>
      <c r="P1943" s="14"/>
      <c r="Q1943" s="13"/>
      <c r="R1943" s="13"/>
      <c r="S1943" s="15"/>
      <c r="T1943" s="16"/>
      <c r="U1943" s="16"/>
      <c r="V1943" s="16"/>
      <c r="W1943" s="16"/>
      <c r="X1943" s="16"/>
      <c r="Y1943" s="11"/>
      <c r="Z1943" s="11"/>
      <c r="AA1943" s="11"/>
      <c r="AB1943" s="11"/>
      <c r="AC1943" s="11"/>
      <c r="AD1943" s="11"/>
    </row>
    <row r="1944">
      <c r="A1944" s="10"/>
      <c r="B1944" s="10"/>
      <c r="C1944" s="10"/>
      <c r="D1944" s="10"/>
      <c r="E1944" s="10"/>
      <c r="F1944" s="11"/>
      <c r="G1944" s="11"/>
      <c r="H1944" s="11"/>
      <c r="I1944" s="11"/>
      <c r="J1944" s="11" t="str">
        <f>IFERROR(__xludf.DUMMYFUNCTION("IFERROR(FILTER(Stats!$F:$Z,(Stats!$A:$A=$A1944)*(Stats!$B:$B=$B1944)))"),"#REF!")</f>
        <v>#REF!</v>
      </c>
      <c r="K1944" s="11"/>
      <c r="L1944" s="12"/>
      <c r="M1944" s="11"/>
      <c r="N1944" s="11"/>
      <c r="O1944" s="13"/>
      <c r="P1944" s="14"/>
      <c r="Q1944" s="13"/>
      <c r="R1944" s="13"/>
      <c r="S1944" s="15"/>
      <c r="T1944" s="16"/>
      <c r="U1944" s="16"/>
      <c r="V1944" s="16"/>
      <c r="W1944" s="16"/>
      <c r="X1944" s="16"/>
      <c r="Y1944" s="11"/>
      <c r="Z1944" s="11"/>
      <c r="AA1944" s="11"/>
      <c r="AB1944" s="11"/>
      <c r="AC1944" s="11"/>
      <c r="AD1944" s="11"/>
    </row>
    <row r="1945">
      <c r="A1945" s="10"/>
      <c r="B1945" s="10"/>
      <c r="C1945" s="10"/>
      <c r="D1945" s="10"/>
      <c r="E1945" s="10"/>
      <c r="F1945" s="11"/>
      <c r="G1945" s="11"/>
      <c r="H1945" s="11"/>
      <c r="I1945" s="11"/>
      <c r="J1945" s="11" t="str">
        <f>IFERROR(__xludf.DUMMYFUNCTION("IFERROR(FILTER(Stats!$F:$Z,(Stats!$A:$A=$A1945)*(Stats!$B:$B=$B1945)))"),"#REF!")</f>
        <v>#REF!</v>
      </c>
      <c r="K1945" s="11"/>
      <c r="L1945" s="12"/>
      <c r="M1945" s="11"/>
      <c r="N1945" s="11"/>
      <c r="O1945" s="13"/>
      <c r="P1945" s="14"/>
      <c r="Q1945" s="13"/>
      <c r="R1945" s="13"/>
      <c r="S1945" s="15"/>
      <c r="T1945" s="16"/>
      <c r="U1945" s="16"/>
      <c r="V1945" s="16"/>
      <c r="W1945" s="16"/>
      <c r="X1945" s="16"/>
      <c r="Y1945" s="11"/>
      <c r="Z1945" s="11"/>
      <c r="AA1945" s="11"/>
      <c r="AB1945" s="11"/>
      <c r="AC1945" s="11"/>
      <c r="AD1945" s="11"/>
    </row>
    <row r="1946">
      <c r="A1946" s="10"/>
      <c r="B1946" s="10"/>
      <c r="C1946" s="10"/>
      <c r="D1946" s="10"/>
      <c r="E1946" s="10"/>
      <c r="F1946" s="11"/>
      <c r="G1946" s="11"/>
      <c r="H1946" s="11"/>
      <c r="I1946" s="11"/>
      <c r="J1946" s="11" t="str">
        <f>IFERROR(__xludf.DUMMYFUNCTION("IFERROR(FILTER(Stats!$F:$Z,(Stats!$A:$A=$A1946)*(Stats!$B:$B=$B1946)))"),"#REF!")</f>
        <v>#REF!</v>
      </c>
      <c r="K1946" s="11"/>
      <c r="L1946" s="12"/>
      <c r="M1946" s="11"/>
      <c r="N1946" s="11"/>
      <c r="O1946" s="13"/>
      <c r="P1946" s="14"/>
      <c r="Q1946" s="13"/>
      <c r="R1946" s="13"/>
      <c r="S1946" s="15"/>
      <c r="T1946" s="16"/>
      <c r="U1946" s="16"/>
      <c r="V1946" s="16"/>
      <c r="W1946" s="16"/>
      <c r="X1946" s="16"/>
      <c r="Y1946" s="11"/>
      <c r="Z1946" s="11"/>
      <c r="AA1946" s="11"/>
      <c r="AB1946" s="11"/>
      <c r="AC1946" s="11"/>
      <c r="AD1946" s="11"/>
    </row>
    <row r="1947">
      <c r="A1947" s="10"/>
      <c r="B1947" s="10"/>
      <c r="C1947" s="10"/>
      <c r="D1947" s="10"/>
      <c r="E1947" s="10"/>
      <c r="F1947" s="11"/>
      <c r="G1947" s="11"/>
      <c r="H1947" s="11"/>
      <c r="I1947" s="11"/>
      <c r="J1947" s="11" t="str">
        <f>IFERROR(__xludf.DUMMYFUNCTION("IFERROR(FILTER(Stats!$F:$Z,(Stats!$A:$A=$A1947)*(Stats!$B:$B=$B1947)))"),"#REF!")</f>
        <v>#REF!</v>
      </c>
      <c r="K1947" s="11"/>
      <c r="L1947" s="12"/>
      <c r="M1947" s="11"/>
      <c r="N1947" s="11"/>
      <c r="O1947" s="13"/>
      <c r="P1947" s="14"/>
      <c r="Q1947" s="13"/>
      <c r="R1947" s="13"/>
      <c r="S1947" s="15"/>
      <c r="T1947" s="16"/>
      <c r="U1947" s="16"/>
      <c r="V1947" s="16"/>
      <c r="W1947" s="16"/>
      <c r="X1947" s="16"/>
      <c r="Y1947" s="11"/>
      <c r="Z1947" s="11"/>
      <c r="AA1947" s="11"/>
      <c r="AB1947" s="11"/>
      <c r="AC1947" s="11"/>
      <c r="AD1947" s="11"/>
    </row>
    <row r="1948">
      <c r="A1948" s="10"/>
      <c r="B1948" s="10"/>
      <c r="C1948" s="10"/>
      <c r="D1948" s="10"/>
      <c r="E1948" s="10"/>
      <c r="F1948" s="11"/>
      <c r="G1948" s="11"/>
      <c r="H1948" s="11"/>
      <c r="I1948" s="11"/>
      <c r="J1948" s="11" t="str">
        <f>IFERROR(__xludf.DUMMYFUNCTION("IFERROR(FILTER(Stats!$F:$Z,(Stats!$A:$A=$A1948)*(Stats!$B:$B=$B1948)))"),"#REF!")</f>
        <v>#REF!</v>
      </c>
      <c r="K1948" s="11"/>
      <c r="L1948" s="12"/>
      <c r="M1948" s="11"/>
      <c r="N1948" s="11"/>
      <c r="O1948" s="13"/>
      <c r="P1948" s="14"/>
      <c r="Q1948" s="13"/>
      <c r="R1948" s="13"/>
      <c r="S1948" s="15"/>
      <c r="T1948" s="16"/>
      <c r="U1948" s="16"/>
      <c r="V1948" s="16"/>
      <c r="W1948" s="16"/>
      <c r="X1948" s="16"/>
      <c r="Y1948" s="11"/>
      <c r="Z1948" s="11"/>
      <c r="AA1948" s="11"/>
      <c r="AB1948" s="11"/>
      <c r="AC1948" s="11"/>
      <c r="AD1948" s="11"/>
    </row>
    <row r="1949">
      <c r="A1949" s="10"/>
      <c r="B1949" s="10"/>
      <c r="C1949" s="10"/>
      <c r="D1949" s="10"/>
      <c r="E1949" s="10"/>
      <c r="F1949" s="11"/>
      <c r="G1949" s="11"/>
      <c r="H1949" s="11"/>
      <c r="I1949" s="11"/>
      <c r="J1949" s="11" t="str">
        <f>IFERROR(__xludf.DUMMYFUNCTION("IFERROR(FILTER(Stats!$F:$Z,(Stats!$A:$A=$A1949)*(Stats!$B:$B=$B1949)))"),"#REF!")</f>
        <v>#REF!</v>
      </c>
      <c r="K1949" s="11"/>
      <c r="L1949" s="12"/>
      <c r="M1949" s="11"/>
      <c r="N1949" s="11"/>
      <c r="O1949" s="13"/>
      <c r="P1949" s="14"/>
      <c r="Q1949" s="13"/>
      <c r="R1949" s="13"/>
      <c r="S1949" s="15"/>
      <c r="T1949" s="16"/>
      <c r="U1949" s="16"/>
      <c r="V1949" s="16"/>
      <c r="W1949" s="16"/>
      <c r="X1949" s="16"/>
      <c r="Y1949" s="11"/>
      <c r="Z1949" s="11"/>
      <c r="AA1949" s="11"/>
      <c r="AB1949" s="11"/>
      <c r="AC1949" s="11"/>
      <c r="AD1949" s="11"/>
    </row>
    <row r="1950">
      <c r="A1950" s="10"/>
      <c r="B1950" s="10"/>
      <c r="C1950" s="10"/>
      <c r="D1950" s="10"/>
      <c r="E1950" s="10"/>
      <c r="F1950" s="11"/>
      <c r="G1950" s="11"/>
      <c r="H1950" s="11"/>
      <c r="I1950" s="11"/>
      <c r="J1950" s="11" t="str">
        <f>IFERROR(__xludf.DUMMYFUNCTION("IFERROR(FILTER(Stats!$F:$Z,(Stats!$A:$A=$A1950)*(Stats!$B:$B=$B1950)))"),"#REF!")</f>
        <v>#REF!</v>
      </c>
      <c r="K1950" s="11"/>
      <c r="L1950" s="12"/>
      <c r="M1950" s="11"/>
      <c r="N1950" s="11"/>
      <c r="O1950" s="13"/>
      <c r="P1950" s="14"/>
      <c r="Q1950" s="13"/>
      <c r="R1950" s="13"/>
      <c r="S1950" s="15"/>
      <c r="T1950" s="16"/>
      <c r="U1950" s="16"/>
      <c r="V1950" s="16"/>
      <c r="W1950" s="16"/>
      <c r="X1950" s="16"/>
      <c r="Y1950" s="11"/>
      <c r="Z1950" s="11"/>
      <c r="AA1950" s="11"/>
      <c r="AB1950" s="11"/>
      <c r="AC1950" s="11"/>
      <c r="AD1950" s="11"/>
    </row>
    <row r="1951">
      <c r="A1951" s="10"/>
      <c r="B1951" s="10"/>
      <c r="C1951" s="10"/>
      <c r="D1951" s="10"/>
      <c r="E1951" s="10"/>
      <c r="F1951" s="11"/>
      <c r="G1951" s="11"/>
      <c r="H1951" s="11"/>
      <c r="I1951" s="11"/>
      <c r="J1951" s="11" t="str">
        <f>IFERROR(__xludf.DUMMYFUNCTION("IFERROR(FILTER(Stats!$F:$Z,(Stats!$A:$A=$A1951)*(Stats!$B:$B=$B1951)))"),"#REF!")</f>
        <v>#REF!</v>
      </c>
      <c r="K1951" s="11"/>
      <c r="L1951" s="12"/>
      <c r="M1951" s="11"/>
      <c r="N1951" s="11"/>
      <c r="O1951" s="13"/>
      <c r="P1951" s="14"/>
      <c r="Q1951" s="13"/>
      <c r="R1951" s="13"/>
      <c r="S1951" s="15"/>
      <c r="T1951" s="16"/>
      <c r="U1951" s="16"/>
      <c r="V1951" s="16"/>
      <c r="W1951" s="16"/>
      <c r="X1951" s="16"/>
      <c r="Y1951" s="11"/>
      <c r="Z1951" s="11"/>
      <c r="AA1951" s="11"/>
      <c r="AB1951" s="11"/>
      <c r="AC1951" s="11"/>
      <c r="AD1951" s="11"/>
    </row>
    <row r="1952">
      <c r="A1952" s="10"/>
      <c r="B1952" s="10"/>
      <c r="C1952" s="10"/>
      <c r="D1952" s="10"/>
      <c r="E1952" s="10"/>
      <c r="F1952" s="11"/>
      <c r="G1952" s="11"/>
      <c r="H1952" s="11"/>
      <c r="I1952" s="11"/>
      <c r="J1952" s="11" t="str">
        <f>IFERROR(__xludf.DUMMYFUNCTION("IFERROR(FILTER(Stats!$F:$Z,(Stats!$A:$A=$A1952)*(Stats!$B:$B=$B1952)))"),"#REF!")</f>
        <v>#REF!</v>
      </c>
      <c r="K1952" s="11"/>
      <c r="L1952" s="12"/>
      <c r="M1952" s="11"/>
      <c r="N1952" s="11"/>
      <c r="O1952" s="13"/>
      <c r="P1952" s="14"/>
      <c r="Q1952" s="13"/>
      <c r="R1952" s="13"/>
      <c r="S1952" s="15"/>
      <c r="T1952" s="16"/>
      <c r="U1952" s="16"/>
      <c r="V1952" s="16"/>
      <c r="W1952" s="16"/>
      <c r="X1952" s="16"/>
      <c r="Y1952" s="11"/>
      <c r="Z1952" s="11"/>
      <c r="AA1952" s="11"/>
      <c r="AB1952" s="11"/>
      <c r="AC1952" s="11"/>
      <c r="AD1952" s="11"/>
    </row>
    <row r="1953">
      <c r="A1953" s="10"/>
      <c r="B1953" s="10"/>
      <c r="C1953" s="10"/>
      <c r="D1953" s="10"/>
      <c r="E1953" s="10"/>
      <c r="F1953" s="11"/>
      <c r="G1953" s="11"/>
      <c r="H1953" s="11"/>
      <c r="I1953" s="11"/>
      <c r="J1953" s="11" t="str">
        <f>IFERROR(__xludf.DUMMYFUNCTION("IFERROR(FILTER(Stats!$F:$Z,(Stats!$A:$A=$A1953)*(Stats!$B:$B=$B1953)))"),"#REF!")</f>
        <v>#REF!</v>
      </c>
      <c r="K1953" s="11"/>
      <c r="L1953" s="12"/>
      <c r="M1953" s="11"/>
      <c r="N1953" s="11"/>
      <c r="O1953" s="13"/>
      <c r="P1953" s="14"/>
      <c r="Q1953" s="13"/>
      <c r="R1953" s="13"/>
      <c r="S1953" s="15"/>
      <c r="T1953" s="16"/>
      <c r="U1953" s="16"/>
      <c r="V1953" s="16"/>
      <c r="W1953" s="16"/>
      <c r="X1953" s="16"/>
      <c r="Y1953" s="11"/>
      <c r="Z1953" s="11"/>
      <c r="AA1953" s="11"/>
      <c r="AB1953" s="11"/>
      <c r="AC1953" s="11"/>
      <c r="AD1953" s="11"/>
    </row>
    <row r="1954">
      <c r="A1954" s="10"/>
      <c r="B1954" s="10"/>
      <c r="C1954" s="10"/>
      <c r="D1954" s="10"/>
      <c r="E1954" s="10"/>
      <c r="F1954" s="11"/>
      <c r="G1954" s="11"/>
      <c r="H1954" s="11"/>
      <c r="I1954" s="11"/>
      <c r="J1954" s="11" t="str">
        <f>IFERROR(__xludf.DUMMYFUNCTION("IFERROR(FILTER(Stats!$F:$Z,(Stats!$A:$A=$A1954)*(Stats!$B:$B=$B1954)))"),"#REF!")</f>
        <v>#REF!</v>
      </c>
      <c r="K1954" s="11"/>
      <c r="L1954" s="12"/>
      <c r="M1954" s="11"/>
      <c r="N1954" s="11"/>
      <c r="O1954" s="13"/>
      <c r="P1954" s="14"/>
      <c r="Q1954" s="13"/>
      <c r="R1954" s="13"/>
      <c r="S1954" s="15"/>
      <c r="T1954" s="16"/>
      <c r="U1954" s="16"/>
      <c r="V1954" s="16"/>
      <c r="W1954" s="16"/>
      <c r="X1954" s="16"/>
      <c r="Y1954" s="11"/>
      <c r="Z1954" s="11"/>
      <c r="AA1954" s="11"/>
      <c r="AB1954" s="11"/>
      <c r="AC1954" s="11"/>
      <c r="AD1954" s="11"/>
    </row>
    <row r="1955">
      <c r="A1955" s="10"/>
      <c r="B1955" s="10"/>
      <c r="C1955" s="10"/>
      <c r="D1955" s="10"/>
      <c r="E1955" s="10"/>
      <c r="F1955" s="11"/>
      <c r="G1955" s="11"/>
      <c r="H1955" s="11"/>
      <c r="I1955" s="11"/>
      <c r="J1955" s="11" t="str">
        <f>IFERROR(__xludf.DUMMYFUNCTION("IFERROR(FILTER(Stats!$F:$Z,(Stats!$A:$A=$A1955)*(Stats!$B:$B=$B1955)))"),"#REF!")</f>
        <v>#REF!</v>
      </c>
      <c r="K1955" s="11"/>
      <c r="L1955" s="12"/>
      <c r="M1955" s="11"/>
      <c r="N1955" s="11"/>
      <c r="O1955" s="13"/>
      <c r="P1955" s="14"/>
      <c r="Q1955" s="13"/>
      <c r="R1955" s="13"/>
      <c r="S1955" s="15"/>
      <c r="T1955" s="16"/>
      <c r="U1955" s="16"/>
      <c r="V1955" s="16"/>
      <c r="W1955" s="16"/>
      <c r="X1955" s="16"/>
      <c r="Y1955" s="11"/>
      <c r="Z1955" s="11"/>
      <c r="AA1955" s="11"/>
      <c r="AB1955" s="11"/>
      <c r="AC1955" s="11"/>
      <c r="AD1955" s="11"/>
    </row>
    <row r="1956">
      <c r="A1956" s="10"/>
      <c r="B1956" s="10"/>
      <c r="C1956" s="10"/>
      <c r="D1956" s="10"/>
      <c r="E1956" s="10"/>
      <c r="F1956" s="11"/>
      <c r="G1956" s="11"/>
      <c r="H1956" s="11"/>
      <c r="I1956" s="11"/>
      <c r="J1956" s="11" t="str">
        <f>IFERROR(__xludf.DUMMYFUNCTION("IFERROR(FILTER(Stats!$F:$Z,(Stats!$A:$A=$A1956)*(Stats!$B:$B=$B1956)))"),"#REF!")</f>
        <v>#REF!</v>
      </c>
      <c r="K1956" s="11"/>
      <c r="L1956" s="12"/>
      <c r="M1956" s="11"/>
      <c r="N1956" s="11"/>
      <c r="O1956" s="13"/>
      <c r="P1956" s="14"/>
      <c r="Q1956" s="13"/>
      <c r="R1956" s="13"/>
      <c r="S1956" s="15"/>
      <c r="T1956" s="16"/>
      <c r="U1956" s="16"/>
      <c r="V1956" s="16"/>
      <c r="W1956" s="16"/>
      <c r="X1956" s="16"/>
      <c r="Y1956" s="11"/>
      <c r="Z1956" s="11"/>
      <c r="AA1956" s="11"/>
      <c r="AB1956" s="11"/>
      <c r="AC1956" s="11"/>
      <c r="AD1956" s="11"/>
    </row>
    <row r="1957">
      <c r="A1957" s="10"/>
      <c r="B1957" s="10"/>
      <c r="C1957" s="10"/>
      <c r="D1957" s="10"/>
      <c r="E1957" s="10"/>
      <c r="F1957" s="11"/>
      <c r="G1957" s="11"/>
      <c r="H1957" s="11"/>
      <c r="I1957" s="11"/>
      <c r="J1957" s="11" t="str">
        <f>IFERROR(__xludf.DUMMYFUNCTION("IFERROR(FILTER(Stats!$F:$Z,(Stats!$A:$A=$A1957)*(Stats!$B:$B=$B1957)))"),"#REF!")</f>
        <v>#REF!</v>
      </c>
      <c r="K1957" s="11"/>
      <c r="L1957" s="12"/>
      <c r="M1957" s="11"/>
      <c r="N1957" s="11"/>
      <c r="O1957" s="13"/>
      <c r="P1957" s="14"/>
      <c r="Q1957" s="13"/>
      <c r="R1957" s="13"/>
      <c r="S1957" s="15"/>
      <c r="T1957" s="16"/>
      <c r="U1957" s="16"/>
      <c r="V1957" s="16"/>
      <c r="W1957" s="16"/>
      <c r="X1957" s="16"/>
      <c r="Y1957" s="11"/>
      <c r="Z1957" s="11"/>
      <c r="AA1957" s="11"/>
      <c r="AB1957" s="11"/>
      <c r="AC1957" s="11"/>
      <c r="AD1957" s="11"/>
    </row>
    <row r="1958">
      <c r="A1958" s="10"/>
      <c r="B1958" s="10"/>
      <c r="C1958" s="10"/>
      <c r="D1958" s="10"/>
      <c r="E1958" s="10"/>
      <c r="F1958" s="11"/>
      <c r="G1958" s="11"/>
      <c r="H1958" s="11"/>
      <c r="I1958" s="11"/>
      <c r="J1958" s="11" t="str">
        <f>IFERROR(__xludf.DUMMYFUNCTION("IFERROR(FILTER(Stats!$F:$Z,(Stats!$A:$A=$A1958)*(Stats!$B:$B=$B1958)))"),"#REF!")</f>
        <v>#REF!</v>
      </c>
      <c r="K1958" s="11"/>
      <c r="L1958" s="12"/>
      <c r="M1958" s="11"/>
      <c r="N1958" s="11"/>
      <c r="O1958" s="13"/>
      <c r="P1958" s="14"/>
      <c r="Q1958" s="13"/>
      <c r="R1958" s="13"/>
      <c r="S1958" s="15"/>
      <c r="T1958" s="16"/>
      <c r="U1958" s="16"/>
      <c r="V1958" s="16"/>
      <c r="W1958" s="16"/>
      <c r="X1958" s="16"/>
      <c r="Y1958" s="11"/>
      <c r="Z1958" s="11"/>
      <c r="AA1958" s="11"/>
      <c r="AB1958" s="11"/>
      <c r="AC1958" s="11"/>
      <c r="AD1958" s="11"/>
    </row>
    <row r="1959">
      <c r="A1959" s="10"/>
      <c r="B1959" s="10"/>
      <c r="C1959" s="10"/>
      <c r="D1959" s="10"/>
      <c r="E1959" s="10"/>
      <c r="F1959" s="11"/>
      <c r="G1959" s="11"/>
      <c r="H1959" s="11"/>
      <c r="I1959" s="11"/>
      <c r="J1959" s="11" t="str">
        <f>IFERROR(__xludf.DUMMYFUNCTION("IFERROR(FILTER(Stats!$F:$Z,(Stats!$A:$A=$A1959)*(Stats!$B:$B=$B1959)))"),"#REF!")</f>
        <v>#REF!</v>
      </c>
      <c r="K1959" s="11"/>
      <c r="L1959" s="12"/>
      <c r="M1959" s="11"/>
      <c r="N1959" s="11"/>
      <c r="O1959" s="13"/>
      <c r="P1959" s="14"/>
      <c r="Q1959" s="13"/>
      <c r="R1959" s="13"/>
      <c r="S1959" s="15"/>
      <c r="T1959" s="16"/>
      <c r="U1959" s="16"/>
      <c r="V1959" s="16"/>
      <c r="W1959" s="16"/>
      <c r="X1959" s="16"/>
      <c r="Y1959" s="11"/>
      <c r="Z1959" s="11"/>
      <c r="AA1959" s="11"/>
      <c r="AB1959" s="11"/>
      <c r="AC1959" s="11"/>
      <c r="AD1959" s="11"/>
    </row>
    <row r="1960">
      <c r="A1960" s="10"/>
      <c r="B1960" s="10"/>
      <c r="C1960" s="10"/>
      <c r="D1960" s="10"/>
      <c r="E1960" s="10"/>
      <c r="F1960" s="11"/>
      <c r="G1960" s="11"/>
      <c r="H1960" s="11"/>
      <c r="I1960" s="11"/>
      <c r="J1960" s="11" t="str">
        <f>IFERROR(__xludf.DUMMYFUNCTION("IFERROR(FILTER(Stats!$F:$Z,(Stats!$A:$A=$A1960)*(Stats!$B:$B=$B1960)))"),"#REF!")</f>
        <v>#REF!</v>
      </c>
      <c r="K1960" s="11"/>
      <c r="L1960" s="12"/>
      <c r="M1960" s="11"/>
      <c r="N1960" s="11"/>
      <c r="O1960" s="13"/>
      <c r="P1960" s="14"/>
      <c r="Q1960" s="13"/>
      <c r="R1960" s="13"/>
      <c r="S1960" s="15"/>
      <c r="T1960" s="16"/>
      <c r="U1960" s="16"/>
      <c r="V1960" s="16"/>
      <c r="W1960" s="16"/>
      <c r="X1960" s="16"/>
      <c r="Y1960" s="11"/>
      <c r="Z1960" s="11"/>
      <c r="AA1960" s="11"/>
      <c r="AB1960" s="11"/>
      <c r="AC1960" s="11"/>
      <c r="AD1960" s="11"/>
    </row>
    <row r="1961">
      <c r="A1961" s="10"/>
      <c r="B1961" s="10"/>
      <c r="C1961" s="10"/>
      <c r="D1961" s="10"/>
      <c r="E1961" s="10"/>
      <c r="F1961" s="11"/>
      <c r="G1961" s="11"/>
      <c r="H1961" s="11"/>
      <c r="I1961" s="11"/>
      <c r="J1961" s="11" t="str">
        <f>IFERROR(__xludf.DUMMYFUNCTION("IFERROR(FILTER(Stats!$F:$Z,(Stats!$A:$A=$A1961)*(Stats!$B:$B=$B1961)))"),"#REF!")</f>
        <v>#REF!</v>
      </c>
      <c r="K1961" s="11"/>
      <c r="L1961" s="12"/>
      <c r="M1961" s="11"/>
      <c r="N1961" s="11"/>
      <c r="O1961" s="13"/>
      <c r="P1961" s="14"/>
      <c r="Q1961" s="13"/>
      <c r="R1961" s="13"/>
      <c r="S1961" s="15"/>
      <c r="T1961" s="16"/>
      <c r="U1961" s="16"/>
      <c r="V1961" s="16"/>
      <c r="W1961" s="16"/>
      <c r="X1961" s="16"/>
      <c r="Y1961" s="11"/>
      <c r="Z1961" s="11"/>
      <c r="AA1961" s="11"/>
      <c r="AB1961" s="11"/>
      <c r="AC1961" s="11"/>
      <c r="AD1961" s="11"/>
    </row>
    <row r="1962">
      <c r="A1962" s="10"/>
      <c r="B1962" s="10"/>
      <c r="C1962" s="10"/>
      <c r="D1962" s="10"/>
      <c r="E1962" s="10"/>
      <c r="F1962" s="11"/>
      <c r="G1962" s="11"/>
      <c r="H1962" s="11"/>
      <c r="I1962" s="11"/>
      <c r="J1962" s="11" t="str">
        <f>IFERROR(__xludf.DUMMYFUNCTION("IFERROR(FILTER(Stats!$F:$Z,(Stats!$A:$A=$A1962)*(Stats!$B:$B=$B1962)))"),"#REF!")</f>
        <v>#REF!</v>
      </c>
      <c r="K1962" s="11"/>
      <c r="L1962" s="12"/>
      <c r="M1962" s="11"/>
      <c r="N1962" s="11"/>
      <c r="O1962" s="13"/>
      <c r="P1962" s="14"/>
      <c r="Q1962" s="13"/>
      <c r="R1962" s="13"/>
      <c r="S1962" s="15"/>
      <c r="T1962" s="16"/>
      <c r="U1962" s="16"/>
      <c r="V1962" s="16"/>
      <c r="W1962" s="16"/>
      <c r="X1962" s="16"/>
      <c r="Y1962" s="11"/>
      <c r="Z1962" s="11"/>
      <c r="AA1962" s="11"/>
      <c r="AB1962" s="11"/>
      <c r="AC1962" s="11"/>
      <c r="AD1962" s="11"/>
    </row>
    <row r="1963">
      <c r="A1963" s="10"/>
      <c r="B1963" s="10"/>
      <c r="C1963" s="10"/>
      <c r="D1963" s="10"/>
      <c r="E1963" s="10"/>
      <c r="F1963" s="11"/>
      <c r="G1963" s="11"/>
      <c r="H1963" s="11"/>
      <c r="I1963" s="11"/>
      <c r="J1963" s="11" t="str">
        <f>IFERROR(__xludf.DUMMYFUNCTION("IFERROR(FILTER(Stats!$F:$Z,(Stats!$A:$A=$A1963)*(Stats!$B:$B=$B1963)))"),"#REF!")</f>
        <v>#REF!</v>
      </c>
      <c r="K1963" s="11"/>
      <c r="L1963" s="12"/>
      <c r="M1963" s="11"/>
      <c r="N1963" s="11"/>
      <c r="O1963" s="13"/>
      <c r="P1963" s="14"/>
      <c r="Q1963" s="13"/>
      <c r="R1963" s="13"/>
      <c r="S1963" s="15"/>
      <c r="T1963" s="16"/>
      <c r="U1963" s="16"/>
      <c r="V1963" s="16"/>
      <c r="W1963" s="16"/>
      <c r="X1963" s="16"/>
      <c r="Y1963" s="11"/>
      <c r="Z1963" s="11"/>
      <c r="AA1963" s="11"/>
      <c r="AB1963" s="11"/>
      <c r="AC1963" s="11"/>
      <c r="AD1963" s="11"/>
    </row>
    <row r="1964">
      <c r="A1964" s="10"/>
      <c r="B1964" s="10"/>
      <c r="C1964" s="10"/>
      <c r="D1964" s="10"/>
      <c r="E1964" s="10"/>
      <c r="F1964" s="11"/>
      <c r="G1964" s="11"/>
      <c r="H1964" s="11"/>
      <c r="I1964" s="11"/>
      <c r="J1964" s="11" t="str">
        <f>IFERROR(__xludf.DUMMYFUNCTION("IFERROR(FILTER(Stats!$F:$Z,(Stats!$A:$A=$A1964)*(Stats!$B:$B=$B1964)))"),"#REF!")</f>
        <v>#REF!</v>
      </c>
      <c r="K1964" s="11"/>
      <c r="L1964" s="12"/>
      <c r="M1964" s="11"/>
      <c r="N1964" s="11"/>
      <c r="O1964" s="13"/>
      <c r="P1964" s="14"/>
      <c r="Q1964" s="13"/>
      <c r="R1964" s="13"/>
      <c r="S1964" s="15"/>
      <c r="T1964" s="16"/>
      <c r="U1964" s="16"/>
      <c r="V1964" s="16"/>
      <c r="W1964" s="16"/>
      <c r="X1964" s="16"/>
      <c r="Y1964" s="11"/>
      <c r="Z1964" s="11"/>
      <c r="AA1964" s="11"/>
      <c r="AB1964" s="11"/>
      <c r="AC1964" s="11"/>
      <c r="AD1964" s="11"/>
    </row>
    <row r="1965">
      <c r="A1965" s="10"/>
      <c r="B1965" s="10"/>
      <c r="C1965" s="10"/>
      <c r="D1965" s="10"/>
      <c r="E1965" s="10"/>
      <c r="F1965" s="11"/>
      <c r="G1965" s="11"/>
      <c r="H1965" s="11"/>
      <c r="I1965" s="11"/>
      <c r="J1965" s="11" t="str">
        <f>IFERROR(__xludf.DUMMYFUNCTION("IFERROR(FILTER(Stats!$F:$Z,(Stats!$A:$A=$A1965)*(Stats!$B:$B=$B1965)))"),"#REF!")</f>
        <v>#REF!</v>
      </c>
      <c r="K1965" s="11"/>
      <c r="L1965" s="12"/>
      <c r="M1965" s="11"/>
      <c r="N1965" s="11"/>
      <c r="O1965" s="13"/>
      <c r="P1965" s="14"/>
      <c r="Q1965" s="13"/>
      <c r="R1965" s="13"/>
      <c r="S1965" s="15"/>
      <c r="T1965" s="16"/>
      <c r="U1965" s="16"/>
      <c r="V1965" s="16"/>
      <c r="W1965" s="16"/>
      <c r="X1965" s="16"/>
      <c r="Y1965" s="11"/>
      <c r="Z1965" s="11"/>
      <c r="AA1965" s="11"/>
      <c r="AB1965" s="11"/>
      <c r="AC1965" s="11"/>
      <c r="AD1965" s="11"/>
    </row>
    <row r="1966">
      <c r="A1966" s="10"/>
      <c r="B1966" s="10"/>
      <c r="C1966" s="10"/>
      <c r="D1966" s="10"/>
      <c r="E1966" s="10"/>
      <c r="F1966" s="11"/>
      <c r="G1966" s="11"/>
      <c r="H1966" s="11"/>
      <c r="I1966" s="11"/>
      <c r="J1966" s="11" t="str">
        <f>IFERROR(__xludf.DUMMYFUNCTION("IFERROR(FILTER(Stats!$F:$Z,(Stats!$A:$A=$A1966)*(Stats!$B:$B=$B1966)))"),"#REF!")</f>
        <v>#REF!</v>
      </c>
      <c r="K1966" s="11"/>
      <c r="L1966" s="12"/>
      <c r="M1966" s="11"/>
      <c r="N1966" s="11"/>
      <c r="O1966" s="13"/>
      <c r="P1966" s="14"/>
      <c r="Q1966" s="13"/>
      <c r="R1966" s="13"/>
      <c r="S1966" s="15"/>
      <c r="T1966" s="16"/>
      <c r="U1966" s="16"/>
      <c r="V1966" s="16"/>
      <c r="W1966" s="16"/>
      <c r="X1966" s="16"/>
      <c r="Y1966" s="11"/>
      <c r="Z1966" s="11"/>
      <c r="AA1966" s="11"/>
      <c r="AB1966" s="11"/>
      <c r="AC1966" s="11"/>
      <c r="AD1966" s="11"/>
    </row>
    <row r="1967">
      <c r="A1967" s="10"/>
      <c r="B1967" s="10"/>
      <c r="C1967" s="10"/>
      <c r="D1967" s="10"/>
      <c r="E1967" s="10"/>
      <c r="F1967" s="11"/>
      <c r="G1967" s="11"/>
      <c r="H1967" s="11"/>
      <c r="I1967" s="11"/>
      <c r="J1967" s="11" t="str">
        <f>IFERROR(__xludf.DUMMYFUNCTION("IFERROR(FILTER(Stats!$F:$Z,(Stats!$A:$A=$A1967)*(Stats!$B:$B=$B1967)))"),"#REF!")</f>
        <v>#REF!</v>
      </c>
      <c r="K1967" s="11"/>
      <c r="L1967" s="12"/>
      <c r="M1967" s="11"/>
      <c r="N1967" s="11"/>
      <c r="O1967" s="13"/>
      <c r="P1967" s="14"/>
      <c r="Q1967" s="13"/>
      <c r="R1967" s="13"/>
      <c r="S1967" s="15"/>
      <c r="T1967" s="16"/>
      <c r="U1967" s="16"/>
      <c r="V1967" s="16"/>
      <c r="W1967" s="16"/>
      <c r="X1967" s="16"/>
      <c r="Y1967" s="11"/>
      <c r="Z1967" s="11"/>
      <c r="AA1967" s="11"/>
      <c r="AB1967" s="11"/>
      <c r="AC1967" s="11"/>
      <c r="AD1967" s="11"/>
    </row>
    <row r="1968">
      <c r="A1968" s="10"/>
      <c r="B1968" s="10"/>
      <c r="C1968" s="10"/>
      <c r="D1968" s="10"/>
      <c r="E1968" s="10"/>
      <c r="F1968" s="11"/>
      <c r="G1968" s="11"/>
      <c r="H1968" s="11"/>
      <c r="I1968" s="11"/>
      <c r="J1968" s="11" t="str">
        <f>IFERROR(__xludf.DUMMYFUNCTION("IFERROR(FILTER(Stats!$F:$Z,(Stats!$A:$A=$A1968)*(Stats!$B:$B=$B1968)))"),"#REF!")</f>
        <v>#REF!</v>
      </c>
      <c r="K1968" s="11"/>
      <c r="L1968" s="12"/>
      <c r="M1968" s="11"/>
      <c r="N1968" s="11"/>
      <c r="O1968" s="13"/>
      <c r="P1968" s="14"/>
      <c r="Q1968" s="13"/>
      <c r="R1968" s="13"/>
      <c r="S1968" s="15"/>
      <c r="T1968" s="16"/>
      <c r="U1968" s="16"/>
      <c r="V1968" s="16"/>
      <c r="W1968" s="16"/>
      <c r="X1968" s="16"/>
      <c r="Y1968" s="11"/>
      <c r="Z1968" s="11"/>
      <c r="AA1968" s="11"/>
      <c r="AB1968" s="11"/>
      <c r="AC1968" s="11"/>
      <c r="AD1968" s="11"/>
    </row>
    <row r="1969">
      <c r="A1969" s="10"/>
      <c r="B1969" s="10"/>
      <c r="C1969" s="10"/>
      <c r="D1969" s="10"/>
      <c r="E1969" s="10"/>
      <c r="F1969" s="11"/>
      <c r="G1969" s="11"/>
      <c r="H1969" s="11"/>
      <c r="I1969" s="11"/>
      <c r="J1969" s="11" t="str">
        <f>IFERROR(__xludf.DUMMYFUNCTION("IFERROR(FILTER(Stats!$F:$Z,(Stats!$A:$A=$A1969)*(Stats!$B:$B=$B1969)))"),"#REF!")</f>
        <v>#REF!</v>
      </c>
      <c r="K1969" s="11"/>
      <c r="L1969" s="12"/>
      <c r="M1969" s="11"/>
      <c r="N1969" s="11"/>
      <c r="O1969" s="13"/>
      <c r="P1969" s="14"/>
      <c r="Q1969" s="13"/>
      <c r="R1969" s="13"/>
      <c r="S1969" s="15"/>
      <c r="T1969" s="16"/>
      <c r="U1969" s="16"/>
      <c r="V1969" s="16"/>
      <c r="W1969" s="16"/>
      <c r="X1969" s="16"/>
      <c r="Y1969" s="11"/>
      <c r="Z1969" s="11"/>
      <c r="AA1969" s="11"/>
      <c r="AB1969" s="11"/>
      <c r="AC1969" s="11"/>
      <c r="AD1969" s="11"/>
    </row>
    <row r="1970">
      <c r="A1970" s="10"/>
      <c r="B1970" s="10"/>
      <c r="C1970" s="10"/>
      <c r="D1970" s="10"/>
      <c r="E1970" s="10"/>
      <c r="F1970" s="11"/>
      <c r="G1970" s="11"/>
      <c r="H1970" s="11"/>
      <c r="I1970" s="11"/>
      <c r="J1970" s="11" t="str">
        <f>IFERROR(__xludf.DUMMYFUNCTION("IFERROR(FILTER(Stats!$F:$Z,(Stats!$A:$A=$A1970)*(Stats!$B:$B=$B1970)))"),"#REF!")</f>
        <v>#REF!</v>
      </c>
      <c r="K1970" s="11"/>
      <c r="L1970" s="12"/>
      <c r="M1970" s="11"/>
      <c r="N1970" s="11"/>
      <c r="O1970" s="13"/>
      <c r="P1970" s="14"/>
      <c r="Q1970" s="13"/>
      <c r="R1970" s="13"/>
      <c r="S1970" s="15"/>
      <c r="T1970" s="16"/>
      <c r="U1970" s="16"/>
      <c r="V1970" s="16"/>
      <c r="W1970" s="16"/>
      <c r="X1970" s="16"/>
      <c r="Y1970" s="11"/>
      <c r="Z1970" s="11"/>
      <c r="AA1970" s="11"/>
      <c r="AB1970" s="11"/>
      <c r="AC1970" s="11"/>
      <c r="AD1970" s="11"/>
    </row>
    <row r="1971">
      <c r="A1971" s="10"/>
      <c r="B1971" s="10"/>
      <c r="C1971" s="10"/>
      <c r="D1971" s="10"/>
      <c r="E1971" s="10"/>
      <c r="F1971" s="11"/>
      <c r="G1971" s="11"/>
      <c r="H1971" s="11"/>
      <c r="I1971" s="11"/>
      <c r="J1971" s="11" t="str">
        <f>IFERROR(__xludf.DUMMYFUNCTION("IFERROR(FILTER(Stats!$F:$Z,(Stats!$A:$A=$A1971)*(Stats!$B:$B=$B1971)))"),"#REF!")</f>
        <v>#REF!</v>
      </c>
      <c r="K1971" s="11"/>
      <c r="L1971" s="12"/>
      <c r="M1971" s="11"/>
      <c r="N1971" s="11"/>
      <c r="O1971" s="13"/>
      <c r="P1971" s="14"/>
      <c r="Q1971" s="13"/>
      <c r="R1971" s="13"/>
      <c r="S1971" s="15"/>
      <c r="T1971" s="16"/>
      <c r="U1971" s="16"/>
      <c r="V1971" s="16"/>
      <c r="W1971" s="16"/>
      <c r="X1971" s="16"/>
      <c r="Y1971" s="11"/>
      <c r="Z1971" s="11"/>
      <c r="AA1971" s="11"/>
      <c r="AB1971" s="11"/>
      <c r="AC1971" s="11"/>
      <c r="AD1971" s="11"/>
    </row>
    <row r="1972">
      <c r="A1972" s="10"/>
      <c r="B1972" s="10"/>
      <c r="C1972" s="10"/>
      <c r="D1972" s="10"/>
      <c r="E1972" s="10"/>
      <c r="F1972" s="11"/>
      <c r="G1972" s="11"/>
      <c r="H1972" s="11"/>
      <c r="I1972" s="11"/>
      <c r="J1972" s="11" t="str">
        <f>IFERROR(__xludf.DUMMYFUNCTION("IFERROR(FILTER(Stats!$F:$Z,(Stats!$A:$A=$A1972)*(Stats!$B:$B=$B1972)))"),"#REF!")</f>
        <v>#REF!</v>
      </c>
      <c r="K1972" s="11"/>
      <c r="L1972" s="12"/>
      <c r="M1972" s="11"/>
      <c r="N1972" s="11"/>
      <c r="O1972" s="13"/>
      <c r="P1972" s="14"/>
      <c r="Q1972" s="13"/>
      <c r="R1972" s="13"/>
      <c r="S1972" s="15"/>
      <c r="T1972" s="16"/>
      <c r="U1972" s="16"/>
      <c r="V1972" s="16"/>
      <c r="W1972" s="16"/>
      <c r="X1972" s="16"/>
      <c r="Y1972" s="11"/>
      <c r="Z1972" s="11"/>
      <c r="AA1972" s="11"/>
      <c r="AB1972" s="11"/>
      <c r="AC1972" s="11"/>
      <c r="AD1972" s="11"/>
    </row>
    <row r="1973">
      <c r="A1973" s="10"/>
      <c r="B1973" s="10"/>
      <c r="C1973" s="10"/>
      <c r="D1973" s="10"/>
      <c r="E1973" s="10"/>
      <c r="F1973" s="11"/>
      <c r="G1973" s="11"/>
      <c r="H1973" s="11"/>
      <c r="I1973" s="11"/>
      <c r="J1973" s="11" t="str">
        <f>IFERROR(__xludf.DUMMYFUNCTION("IFERROR(FILTER(Stats!$F:$Z,(Stats!$A:$A=$A1973)*(Stats!$B:$B=$B1973)))"),"#REF!")</f>
        <v>#REF!</v>
      </c>
      <c r="K1973" s="11"/>
      <c r="L1973" s="12"/>
      <c r="M1973" s="11"/>
      <c r="N1973" s="11"/>
      <c r="O1973" s="13"/>
      <c r="P1973" s="14"/>
      <c r="Q1973" s="13"/>
      <c r="R1973" s="13"/>
      <c r="S1973" s="15"/>
      <c r="T1973" s="16"/>
      <c r="U1973" s="16"/>
      <c r="V1973" s="16"/>
      <c r="W1973" s="16"/>
      <c r="X1973" s="16"/>
      <c r="Y1973" s="11"/>
      <c r="Z1973" s="11"/>
      <c r="AA1973" s="11"/>
      <c r="AB1973" s="11"/>
      <c r="AC1973" s="11"/>
      <c r="AD1973" s="11"/>
    </row>
    <row r="1974">
      <c r="A1974" s="10"/>
      <c r="B1974" s="10"/>
      <c r="C1974" s="10"/>
      <c r="D1974" s="10"/>
      <c r="E1974" s="10"/>
      <c r="F1974" s="11"/>
      <c r="G1974" s="11"/>
      <c r="H1974" s="11"/>
      <c r="I1974" s="11"/>
      <c r="J1974" s="11" t="str">
        <f>IFERROR(__xludf.DUMMYFUNCTION("IFERROR(FILTER(Stats!$F:$Z,(Stats!$A:$A=$A1974)*(Stats!$B:$B=$B1974)))"),"#REF!")</f>
        <v>#REF!</v>
      </c>
      <c r="K1974" s="11"/>
      <c r="L1974" s="12"/>
      <c r="M1974" s="11"/>
      <c r="N1974" s="11"/>
      <c r="O1974" s="13"/>
      <c r="P1974" s="14"/>
      <c r="Q1974" s="13"/>
      <c r="R1974" s="13"/>
      <c r="S1974" s="15"/>
      <c r="T1974" s="16"/>
      <c r="U1974" s="16"/>
      <c r="V1974" s="16"/>
      <c r="W1974" s="16"/>
      <c r="X1974" s="16"/>
      <c r="Y1974" s="11"/>
      <c r="Z1974" s="11"/>
      <c r="AA1974" s="11"/>
      <c r="AB1974" s="11"/>
      <c r="AC1974" s="11"/>
      <c r="AD1974" s="11"/>
    </row>
    <row r="1975">
      <c r="A1975" s="10"/>
      <c r="B1975" s="10"/>
      <c r="C1975" s="10"/>
      <c r="D1975" s="10"/>
      <c r="E1975" s="10"/>
      <c r="F1975" s="11"/>
      <c r="G1975" s="11"/>
      <c r="H1975" s="11"/>
      <c r="I1975" s="11"/>
      <c r="J1975" s="11" t="str">
        <f>IFERROR(__xludf.DUMMYFUNCTION("IFERROR(FILTER(Stats!$F:$Z,(Stats!$A:$A=$A1975)*(Stats!$B:$B=$B1975)))"),"#REF!")</f>
        <v>#REF!</v>
      </c>
      <c r="K1975" s="11"/>
      <c r="L1975" s="12"/>
      <c r="M1975" s="11"/>
      <c r="N1975" s="11"/>
      <c r="O1975" s="13"/>
      <c r="P1975" s="14"/>
      <c r="Q1975" s="13"/>
      <c r="R1975" s="13"/>
      <c r="S1975" s="15"/>
      <c r="T1975" s="16"/>
      <c r="U1975" s="16"/>
      <c r="V1975" s="16"/>
      <c r="W1975" s="16"/>
      <c r="X1975" s="16"/>
      <c r="Y1975" s="11"/>
      <c r="Z1975" s="11"/>
      <c r="AA1975" s="11"/>
      <c r="AB1975" s="11"/>
      <c r="AC1975" s="11"/>
      <c r="AD1975" s="11"/>
    </row>
    <row r="1976">
      <c r="A1976" s="10"/>
      <c r="B1976" s="10"/>
      <c r="C1976" s="10"/>
      <c r="D1976" s="10"/>
      <c r="E1976" s="10"/>
      <c r="F1976" s="11"/>
      <c r="G1976" s="11"/>
      <c r="H1976" s="11"/>
      <c r="I1976" s="11"/>
      <c r="J1976" s="11" t="str">
        <f>IFERROR(__xludf.DUMMYFUNCTION("IFERROR(FILTER(Stats!$F:$Z,(Stats!$A:$A=$A1976)*(Stats!$B:$B=$B1976)))"),"#REF!")</f>
        <v>#REF!</v>
      </c>
      <c r="K1976" s="11"/>
      <c r="L1976" s="12"/>
      <c r="M1976" s="11"/>
      <c r="N1976" s="11"/>
      <c r="O1976" s="13"/>
      <c r="P1976" s="14"/>
      <c r="Q1976" s="13"/>
      <c r="R1976" s="13"/>
      <c r="S1976" s="15"/>
      <c r="T1976" s="16"/>
      <c r="U1976" s="16"/>
      <c r="V1976" s="16"/>
      <c r="W1976" s="16"/>
      <c r="X1976" s="16"/>
      <c r="Y1976" s="11"/>
      <c r="Z1976" s="11"/>
      <c r="AA1976" s="11"/>
      <c r="AB1976" s="11"/>
      <c r="AC1976" s="11"/>
      <c r="AD1976" s="11"/>
    </row>
    <row r="1977">
      <c r="A1977" s="10"/>
      <c r="B1977" s="10"/>
      <c r="C1977" s="10"/>
      <c r="D1977" s="10"/>
      <c r="E1977" s="10"/>
      <c r="F1977" s="11"/>
      <c r="G1977" s="11"/>
      <c r="H1977" s="11"/>
      <c r="I1977" s="11"/>
      <c r="J1977" s="11" t="str">
        <f>IFERROR(__xludf.DUMMYFUNCTION("IFERROR(FILTER(Stats!$F:$Z,(Stats!$A:$A=$A1977)*(Stats!$B:$B=$B1977)))"),"#REF!")</f>
        <v>#REF!</v>
      </c>
      <c r="K1977" s="11"/>
      <c r="L1977" s="12"/>
      <c r="M1977" s="11"/>
      <c r="N1977" s="11"/>
      <c r="O1977" s="13"/>
      <c r="P1977" s="14"/>
      <c r="Q1977" s="13"/>
      <c r="R1977" s="13"/>
      <c r="S1977" s="15"/>
      <c r="T1977" s="16"/>
      <c r="U1977" s="16"/>
      <c r="V1977" s="16"/>
      <c r="W1977" s="16"/>
      <c r="X1977" s="16"/>
      <c r="Y1977" s="11"/>
      <c r="Z1977" s="11"/>
      <c r="AA1977" s="11"/>
      <c r="AB1977" s="11"/>
      <c r="AC1977" s="11"/>
      <c r="AD1977" s="11"/>
    </row>
    <row r="1978">
      <c r="A1978" s="10"/>
      <c r="B1978" s="10"/>
      <c r="C1978" s="10"/>
      <c r="D1978" s="10"/>
      <c r="E1978" s="10"/>
      <c r="F1978" s="11"/>
      <c r="G1978" s="11"/>
      <c r="H1978" s="11"/>
      <c r="I1978" s="11"/>
      <c r="J1978" s="11" t="str">
        <f>IFERROR(__xludf.DUMMYFUNCTION("IFERROR(FILTER(Stats!$F:$Z,(Stats!$A:$A=$A1978)*(Stats!$B:$B=$B1978)))"),"#REF!")</f>
        <v>#REF!</v>
      </c>
      <c r="K1978" s="11"/>
      <c r="L1978" s="12"/>
      <c r="M1978" s="11"/>
      <c r="N1978" s="11"/>
      <c r="O1978" s="13"/>
      <c r="P1978" s="14"/>
      <c r="Q1978" s="13"/>
      <c r="R1978" s="13"/>
      <c r="S1978" s="15"/>
      <c r="T1978" s="16"/>
      <c r="U1978" s="16"/>
      <c r="V1978" s="16"/>
      <c r="W1978" s="16"/>
      <c r="X1978" s="16"/>
      <c r="Y1978" s="11"/>
      <c r="Z1978" s="11"/>
      <c r="AA1978" s="11"/>
      <c r="AB1978" s="11"/>
      <c r="AC1978" s="11"/>
      <c r="AD1978" s="11"/>
    </row>
    <row r="1979">
      <c r="A1979" s="10"/>
      <c r="B1979" s="10"/>
      <c r="C1979" s="10"/>
      <c r="D1979" s="10"/>
      <c r="E1979" s="10"/>
      <c r="F1979" s="11"/>
      <c r="G1979" s="11"/>
      <c r="H1979" s="11"/>
      <c r="I1979" s="11"/>
      <c r="J1979" s="11" t="str">
        <f>IFERROR(__xludf.DUMMYFUNCTION("IFERROR(FILTER(Stats!$F:$Z,(Stats!$A:$A=$A1979)*(Stats!$B:$B=$B1979)))"),"#REF!")</f>
        <v>#REF!</v>
      </c>
      <c r="K1979" s="11"/>
      <c r="L1979" s="12"/>
      <c r="M1979" s="11"/>
      <c r="N1979" s="11"/>
      <c r="O1979" s="13"/>
      <c r="P1979" s="14"/>
      <c r="Q1979" s="13"/>
      <c r="R1979" s="13"/>
      <c r="S1979" s="15"/>
      <c r="T1979" s="16"/>
      <c r="U1979" s="16"/>
      <c r="V1979" s="16"/>
      <c r="W1979" s="16"/>
      <c r="X1979" s="16"/>
      <c r="Y1979" s="11"/>
      <c r="Z1979" s="11"/>
      <c r="AA1979" s="11"/>
      <c r="AB1979" s="11"/>
      <c r="AC1979" s="11"/>
      <c r="AD1979" s="11"/>
    </row>
    <row r="1980">
      <c r="A1980" s="10"/>
      <c r="B1980" s="10"/>
      <c r="C1980" s="10"/>
      <c r="D1980" s="10"/>
      <c r="E1980" s="10"/>
      <c r="F1980" s="11"/>
      <c r="G1980" s="11"/>
      <c r="H1980" s="11"/>
      <c r="I1980" s="11"/>
      <c r="J1980" s="11" t="str">
        <f>IFERROR(__xludf.DUMMYFUNCTION("IFERROR(FILTER(Stats!$F:$Z,(Stats!$A:$A=$A1980)*(Stats!$B:$B=$B1980)))"),"#REF!")</f>
        <v>#REF!</v>
      </c>
      <c r="K1980" s="11"/>
      <c r="L1980" s="12"/>
      <c r="M1980" s="11"/>
      <c r="N1980" s="11"/>
      <c r="O1980" s="13"/>
      <c r="P1980" s="14"/>
      <c r="Q1980" s="13"/>
      <c r="R1980" s="13"/>
      <c r="S1980" s="15"/>
      <c r="T1980" s="16"/>
      <c r="U1980" s="16"/>
      <c r="V1980" s="16"/>
      <c r="W1980" s="16"/>
      <c r="X1980" s="16"/>
      <c r="Y1980" s="11"/>
      <c r="Z1980" s="11"/>
      <c r="AA1980" s="11"/>
      <c r="AB1980" s="11"/>
      <c r="AC1980" s="11"/>
      <c r="AD1980" s="11"/>
    </row>
    <row r="1981">
      <c r="A1981" s="10"/>
      <c r="B1981" s="10"/>
      <c r="C1981" s="10"/>
      <c r="D1981" s="10"/>
      <c r="E1981" s="10"/>
      <c r="F1981" s="11"/>
      <c r="G1981" s="11"/>
      <c r="H1981" s="11"/>
      <c r="I1981" s="11"/>
      <c r="J1981" s="11" t="str">
        <f>IFERROR(__xludf.DUMMYFUNCTION("IFERROR(FILTER(Stats!$F:$Z,(Stats!$A:$A=$A1981)*(Stats!$B:$B=$B1981)))"),"#REF!")</f>
        <v>#REF!</v>
      </c>
      <c r="K1981" s="11"/>
      <c r="L1981" s="12"/>
      <c r="M1981" s="11"/>
      <c r="N1981" s="11"/>
      <c r="O1981" s="13"/>
      <c r="P1981" s="14"/>
      <c r="Q1981" s="13"/>
      <c r="R1981" s="13"/>
      <c r="S1981" s="15"/>
      <c r="T1981" s="16"/>
      <c r="U1981" s="16"/>
      <c r="V1981" s="16"/>
      <c r="W1981" s="16"/>
      <c r="X1981" s="16"/>
      <c r="Y1981" s="11"/>
      <c r="Z1981" s="11"/>
      <c r="AA1981" s="11"/>
      <c r="AB1981" s="11"/>
      <c r="AC1981" s="11"/>
      <c r="AD1981" s="11"/>
    </row>
    <row r="1982">
      <c r="A1982" s="10"/>
      <c r="B1982" s="10"/>
      <c r="C1982" s="10"/>
      <c r="D1982" s="10"/>
      <c r="E1982" s="10"/>
      <c r="F1982" s="11"/>
      <c r="G1982" s="11"/>
      <c r="H1982" s="11"/>
      <c r="I1982" s="11"/>
      <c r="J1982" s="11" t="str">
        <f>IFERROR(__xludf.DUMMYFUNCTION("IFERROR(FILTER(Stats!$F:$Z,(Stats!$A:$A=$A1982)*(Stats!$B:$B=$B1982)))"),"#REF!")</f>
        <v>#REF!</v>
      </c>
      <c r="K1982" s="11"/>
      <c r="L1982" s="12"/>
      <c r="M1982" s="11"/>
      <c r="N1982" s="11"/>
      <c r="O1982" s="13"/>
      <c r="P1982" s="14"/>
      <c r="Q1982" s="13"/>
      <c r="R1982" s="13"/>
      <c r="S1982" s="15"/>
      <c r="T1982" s="16"/>
      <c r="U1982" s="16"/>
      <c r="V1982" s="16"/>
      <c r="W1982" s="16"/>
      <c r="X1982" s="16"/>
      <c r="Y1982" s="11"/>
      <c r="Z1982" s="11"/>
      <c r="AA1982" s="11"/>
      <c r="AB1982" s="11"/>
      <c r="AC1982" s="11"/>
      <c r="AD1982" s="11"/>
    </row>
    <row r="1983">
      <c r="A1983" s="10"/>
      <c r="B1983" s="10"/>
      <c r="C1983" s="10"/>
      <c r="D1983" s="10"/>
      <c r="E1983" s="10"/>
      <c r="F1983" s="11"/>
      <c r="G1983" s="11"/>
      <c r="H1983" s="11"/>
      <c r="I1983" s="11"/>
      <c r="J1983" s="11" t="str">
        <f>IFERROR(__xludf.DUMMYFUNCTION("IFERROR(FILTER(Stats!$F:$Z,(Stats!$A:$A=$A1983)*(Stats!$B:$B=$B1983)))"),"#REF!")</f>
        <v>#REF!</v>
      </c>
      <c r="K1983" s="11"/>
      <c r="L1983" s="12"/>
      <c r="M1983" s="11"/>
      <c r="N1983" s="11"/>
      <c r="O1983" s="13"/>
      <c r="P1983" s="14"/>
      <c r="Q1983" s="13"/>
      <c r="R1983" s="13"/>
      <c r="S1983" s="15"/>
      <c r="T1983" s="16"/>
      <c r="U1983" s="16"/>
      <c r="V1983" s="16"/>
      <c r="W1983" s="16"/>
      <c r="X1983" s="16"/>
      <c r="Y1983" s="11"/>
      <c r="Z1983" s="11"/>
      <c r="AA1983" s="11"/>
      <c r="AB1983" s="11"/>
      <c r="AC1983" s="11"/>
      <c r="AD1983" s="11"/>
    </row>
    <row r="1984">
      <c r="A1984" s="10"/>
      <c r="B1984" s="10"/>
      <c r="C1984" s="10"/>
      <c r="D1984" s="10"/>
      <c r="E1984" s="10"/>
      <c r="F1984" s="11"/>
      <c r="G1984" s="11"/>
      <c r="H1984" s="11"/>
      <c r="I1984" s="11"/>
      <c r="J1984" s="11" t="str">
        <f>IFERROR(__xludf.DUMMYFUNCTION("IFERROR(FILTER(Stats!$F:$Z,(Stats!$A:$A=$A1984)*(Stats!$B:$B=$B1984)))"),"#REF!")</f>
        <v>#REF!</v>
      </c>
      <c r="K1984" s="11"/>
      <c r="L1984" s="12"/>
      <c r="M1984" s="11"/>
      <c r="N1984" s="11"/>
      <c r="O1984" s="13"/>
      <c r="P1984" s="14"/>
      <c r="Q1984" s="13"/>
      <c r="R1984" s="13"/>
      <c r="S1984" s="15"/>
      <c r="T1984" s="16"/>
      <c r="U1984" s="16"/>
      <c r="V1984" s="16"/>
      <c r="W1984" s="16"/>
      <c r="X1984" s="16"/>
      <c r="Y1984" s="11"/>
      <c r="Z1984" s="11"/>
      <c r="AA1984" s="11"/>
      <c r="AB1984" s="11"/>
      <c r="AC1984" s="11"/>
      <c r="AD1984" s="11"/>
    </row>
    <row r="1985">
      <c r="A1985" s="10"/>
      <c r="B1985" s="10"/>
      <c r="C1985" s="10"/>
      <c r="D1985" s="10"/>
      <c r="E1985" s="10"/>
      <c r="F1985" s="11"/>
      <c r="G1985" s="11"/>
      <c r="H1985" s="11"/>
      <c r="I1985" s="11"/>
      <c r="J1985" s="11" t="str">
        <f>IFERROR(__xludf.DUMMYFUNCTION("IFERROR(FILTER(Stats!$F:$Z,(Stats!$A:$A=$A1985)*(Stats!$B:$B=$B1985)))"),"#REF!")</f>
        <v>#REF!</v>
      </c>
      <c r="K1985" s="11"/>
      <c r="L1985" s="12"/>
      <c r="M1985" s="11"/>
      <c r="N1985" s="11"/>
      <c r="O1985" s="13"/>
      <c r="P1985" s="14"/>
      <c r="Q1985" s="13"/>
      <c r="R1985" s="13"/>
      <c r="S1985" s="15"/>
      <c r="T1985" s="16"/>
      <c r="U1985" s="16"/>
      <c r="V1985" s="16"/>
      <c r="W1985" s="16"/>
      <c r="X1985" s="16"/>
      <c r="Y1985" s="11"/>
      <c r="Z1985" s="11"/>
      <c r="AA1985" s="11"/>
      <c r="AB1985" s="11"/>
      <c r="AC1985" s="11"/>
      <c r="AD1985" s="11"/>
    </row>
    <row r="1986">
      <c r="A1986" s="10"/>
      <c r="B1986" s="10"/>
      <c r="C1986" s="10"/>
      <c r="D1986" s="10"/>
      <c r="E1986" s="10"/>
      <c r="F1986" s="11"/>
      <c r="G1986" s="11"/>
      <c r="H1986" s="11"/>
      <c r="I1986" s="11"/>
      <c r="J1986" s="11" t="str">
        <f>IFERROR(__xludf.DUMMYFUNCTION("IFERROR(FILTER(Stats!$F:$Z,(Stats!$A:$A=$A1986)*(Stats!$B:$B=$B1986)))"),"#REF!")</f>
        <v>#REF!</v>
      </c>
      <c r="K1986" s="11"/>
      <c r="L1986" s="12"/>
      <c r="M1986" s="11"/>
      <c r="N1986" s="11"/>
      <c r="O1986" s="13"/>
      <c r="P1986" s="14"/>
      <c r="Q1986" s="13"/>
      <c r="R1986" s="13"/>
      <c r="S1986" s="15"/>
      <c r="T1986" s="16"/>
      <c r="U1986" s="16"/>
      <c r="V1986" s="16"/>
      <c r="W1986" s="16"/>
      <c r="X1986" s="16"/>
      <c r="Y1986" s="11"/>
      <c r="Z1986" s="11"/>
      <c r="AA1986" s="11"/>
      <c r="AB1986" s="11"/>
      <c r="AC1986" s="11"/>
      <c r="AD1986" s="11"/>
    </row>
    <row r="1987">
      <c r="A1987" s="10"/>
      <c r="B1987" s="10"/>
      <c r="C1987" s="10"/>
      <c r="D1987" s="10"/>
      <c r="E1987" s="10"/>
      <c r="F1987" s="11"/>
      <c r="G1987" s="11"/>
      <c r="H1987" s="11"/>
      <c r="I1987" s="11"/>
      <c r="J1987" s="11" t="str">
        <f>IFERROR(__xludf.DUMMYFUNCTION("IFERROR(FILTER(Stats!$F:$Z,(Stats!$A:$A=$A1987)*(Stats!$B:$B=$B1987)))"),"#REF!")</f>
        <v>#REF!</v>
      </c>
      <c r="K1987" s="11"/>
      <c r="L1987" s="12"/>
      <c r="M1987" s="11"/>
      <c r="N1987" s="11"/>
      <c r="O1987" s="13"/>
      <c r="P1987" s="14"/>
      <c r="Q1987" s="13"/>
      <c r="R1987" s="13"/>
      <c r="S1987" s="15"/>
      <c r="T1987" s="16"/>
      <c r="U1987" s="16"/>
      <c r="V1987" s="16"/>
      <c r="W1987" s="16"/>
      <c r="X1987" s="16"/>
      <c r="Y1987" s="11"/>
      <c r="Z1987" s="11"/>
      <c r="AA1987" s="11"/>
      <c r="AB1987" s="11"/>
      <c r="AC1987" s="11"/>
      <c r="AD1987" s="11"/>
    </row>
    <row r="1988">
      <c r="A1988" s="10"/>
      <c r="B1988" s="10"/>
      <c r="C1988" s="10"/>
      <c r="D1988" s="10"/>
      <c r="E1988" s="10"/>
      <c r="F1988" s="11"/>
      <c r="G1988" s="11"/>
      <c r="H1988" s="11"/>
      <c r="I1988" s="11"/>
      <c r="J1988" s="11" t="str">
        <f>IFERROR(__xludf.DUMMYFUNCTION("IFERROR(FILTER(Stats!$F:$Z,(Stats!$A:$A=$A1988)*(Stats!$B:$B=$B1988)))"),"#REF!")</f>
        <v>#REF!</v>
      </c>
      <c r="K1988" s="11"/>
      <c r="L1988" s="12"/>
      <c r="M1988" s="11"/>
      <c r="N1988" s="11"/>
      <c r="O1988" s="13"/>
      <c r="P1988" s="14"/>
      <c r="Q1988" s="13"/>
      <c r="R1988" s="13"/>
      <c r="S1988" s="15"/>
      <c r="T1988" s="16"/>
      <c r="U1988" s="16"/>
      <c r="V1988" s="16"/>
      <c r="W1988" s="16"/>
      <c r="X1988" s="16"/>
      <c r="Y1988" s="11"/>
      <c r="Z1988" s="11"/>
      <c r="AA1988" s="11"/>
      <c r="AB1988" s="11"/>
      <c r="AC1988" s="11"/>
      <c r="AD1988" s="11"/>
    </row>
    <row r="1989">
      <c r="A1989" s="10"/>
      <c r="B1989" s="10"/>
      <c r="C1989" s="10"/>
      <c r="D1989" s="10"/>
      <c r="E1989" s="10"/>
      <c r="F1989" s="11"/>
      <c r="G1989" s="11"/>
      <c r="H1989" s="11"/>
      <c r="I1989" s="11"/>
      <c r="J1989" s="11" t="str">
        <f>IFERROR(__xludf.DUMMYFUNCTION("IFERROR(FILTER(Stats!$F:$Z,(Stats!$A:$A=$A1989)*(Stats!$B:$B=$B1989)))"),"#REF!")</f>
        <v>#REF!</v>
      </c>
      <c r="K1989" s="11"/>
      <c r="L1989" s="12"/>
      <c r="M1989" s="11"/>
      <c r="N1989" s="11"/>
      <c r="O1989" s="13"/>
      <c r="P1989" s="14"/>
      <c r="Q1989" s="13"/>
      <c r="R1989" s="13"/>
      <c r="S1989" s="15"/>
      <c r="T1989" s="16"/>
      <c r="U1989" s="16"/>
      <c r="V1989" s="16"/>
      <c r="W1989" s="16"/>
      <c r="X1989" s="16"/>
      <c r="Y1989" s="11"/>
      <c r="Z1989" s="11"/>
      <c r="AA1989" s="11"/>
      <c r="AB1989" s="11"/>
      <c r="AC1989" s="11"/>
      <c r="AD1989" s="11"/>
    </row>
    <row r="1990">
      <c r="A1990" s="10"/>
      <c r="B1990" s="10"/>
      <c r="C1990" s="10"/>
      <c r="D1990" s="10"/>
      <c r="E1990" s="10"/>
      <c r="F1990" s="11"/>
      <c r="G1990" s="11"/>
      <c r="H1990" s="11"/>
      <c r="I1990" s="11"/>
      <c r="J1990" s="11" t="str">
        <f>IFERROR(__xludf.DUMMYFUNCTION("IFERROR(FILTER(Stats!$F:$Z,(Stats!$A:$A=$A1990)*(Stats!$B:$B=$B1990)))"),"#REF!")</f>
        <v>#REF!</v>
      </c>
      <c r="K1990" s="11"/>
      <c r="L1990" s="12"/>
      <c r="M1990" s="11"/>
      <c r="N1990" s="11"/>
      <c r="O1990" s="13"/>
      <c r="P1990" s="14"/>
      <c r="Q1990" s="13"/>
      <c r="R1990" s="13"/>
      <c r="S1990" s="15"/>
      <c r="T1990" s="16"/>
      <c r="U1990" s="16"/>
      <c r="V1990" s="16"/>
      <c r="W1990" s="16"/>
      <c r="X1990" s="16"/>
      <c r="Y1990" s="11"/>
      <c r="Z1990" s="11"/>
      <c r="AA1990" s="11"/>
      <c r="AB1990" s="11"/>
      <c r="AC1990" s="11"/>
      <c r="AD1990" s="11"/>
    </row>
    <row r="1991">
      <c r="A1991" s="10"/>
      <c r="B1991" s="10"/>
      <c r="C1991" s="10"/>
      <c r="D1991" s="10"/>
      <c r="E1991" s="10"/>
      <c r="F1991" s="11"/>
      <c r="G1991" s="11"/>
      <c r="H1991" s="11"/>
      <c r="I1991" s="11"/>
      <c r="J1991" s="11" t="str">
        <f>IFERROR(__xludf.DUMMYFUNCTION("IFERROR(FILTER(Stats!$F:$Z,(Stats!$A:$A=$A1991)*(Stats!$B:$B=$B1991)))"),"#REF!")</f>
        <v>#REF!</v>
      </c>
      <c r="K1991" s="11"/>
      <c r="L1991" s="12"/>
      <c r="M1991" s="11"/>
      <c r="N1991" s="11"/>
      <c r="O1991" s="13"/>
      <c r="P1991" s="14"/>
      <c r="Q1991" s="13"/>
      <c r="R1991" s="13"/>
      <c r="S1991" s="15"/>
      <c r="T1991" s="16"/>
      <c r="U1991" s="16"/>
      <c r="V1991" s="16"/>
      <c r="W1991" s="16"/>
      <c r="X1991" s="16"/>
      <c r="Y1991" s="11"/>
      <c r="Z1991" s="11"/>
      <c r="AA1991" s="11"/>
      <c r="AB1991" s="11"/>
      <c r="AC1991" s="11"/>
      <c r="AD1991" s="11"/>
    </row>
    <row r="1992">
      <c r="A1992" s="10"/>
      <c r="B1992" s="10"/>
      <c r="C1992" s="10"/>
      <c r="D1992" s="10"/>
      <c r="E1992" s="10"/>
      <c r="F1992" s="11"/>
      <c r="G1992" s="11"/>
      <c r="H1992" s="11"/>
      <c r="I1992" s="11"/>
      <c r="J1992" s="11" t="str">
        <f>IFERROR(__xludf.DUMMYFUNCTION("IFERROR(FILTER(Stats!$F:$Z,(Stats!$A:$A=$A1992)*(Stats!$B:$B=$B1992)))"),"#REF!")</f>
        <v>#REF!</v>
      </c>
      <c r="K1992" s="11"/>
      <c r="L1992" s="12"/>
      <c r="M1992" s="11"/>
      <c r="N1992" s="11"/>
      <c r="O1992" s="13"/>
      <c r="P1992" s="14"/>
      <c r="Q1992" s="13"/>
      <c r="R1992" s="13"/>
      <c r="S1992" s="15"/>
      <c r="T1992" s="16"/>
      <c r="U1992" s="16"/>
      <c r="V1992" s="16"/>
      <c r="W1992" s="16"/>
      <c r="X1992" s="16"/>
      <c r="Y1992" s="11"/>
      <c r="Z1992" s="11"/>
      <c r="AA1992" s="11"/>
      <c r="AB1992" s="11"/>
      <c r="AC1992" s="11"/>
      <c r="AD1992" s="11"/>
    </row>
    <row r="1993">
      <c r="A1993" s="10"/>
      <c r="B1993" s="10"/>
      <c r="C1993" s="10"/>
      <c r="D1993" s="10"/>
      <c r="E1993" s="10"/>
      <c r="F1993" s="11"/>
      <c r="G1993" s="11"/>
      <c r="H1993" s="11"/>
      <c r="I1993" s="11"/>
      <c r="J1993" s="11" t="str">
        <f>IFERROR(__xludf.DUMMYFUNCTION("IFERROR(FILTER(Stats!$F:$Z,(Stats!$A:$A=$A1993)*(Stats!$B:$B=$B1993)))"),"#REF!")</f>
        <v>#REF!</v>
      </c>
      <c r="K1993" s="11"/>
      <c r="L1993" s="12"/>
      <c r="M1993" s="11"/>
      <c r="N1993" s="11"/>
      <c r="O1993" s="13"/>
      <c r="P1993" s="14"/>
      <c r="Q1993" s="13"/>
      <c r="R1993" s="13"/>
      <c r="S1993" s="15"/>
      <c r="T1993" s="16"/>
      <c r="U1993" s="16"/>
      <c r="V1993" s="16"/>
      <c r="W1993" s="16"/>
      <c r="X1993" s="16"/>
      <c r="Y1993" s="11"/>
      <c r="Z1993" s="11"/>
      <c r="AA1993" s="11"/>
      <c r="AB1993" s="11"/>
      <c r="AC1993" s="11"/>
      <c r="AD1993" s="11"/>
    </row>
    <row r="1994">
      <c r="A1994" s="10"/>
      <c r="B1994" s="10"/>
      <c r="C1994" s="10"/>
      <c r="D1994" s="10"/>
      <c r="E1994" s="10"/>
      <c r="F1994" s="11"/>
      <c r="G1994" s="11"/>
      <c r="H1994" s="11"/>
      <c r="I1994" s="11"/>
      <c r="J1994" s="11" t="str">
        <f>IFERROR(__xludf.DUMMYFUNCTION("IFERROR(FILTER(Stats!$F:$Z,(Stats!$A:$A=$A1994)*(Stats!$B:$B=$B1994)))"),"#REF!")</f>
        <v>#REF!</v>
      </c>
      <c r="K1994" s="11"/>
      <c r="L1994" s="12"/>
      <c r="M1994" s="11"/>
      <c r="N1994" s="11"/>
      <c r="O1994" s="13"/>
      <c r="P1994" s="14"/>
      <c r="Q1994" s="13"/>
      <c r="R1994" s="13"/>
      <c r="S1994" s="15"/>
      <c r="T1994" s="16"/>
      <c r="U1994" s="16"/>
      <c r="V1994" s="16"/>
      <c r="W1994" s="16"/>
      <c r="X1994" s="16"/>
      <c r="Y1994" s="11"/>
      <c r="Z1994" s="11"/>
      <c r="AA1994" s="11"/>
      <c r="AB1994" s="11"/>
      <c r="AC1994" s="11"/>
      <c r="AD1994" s="11"/>
    </row>
    <row r="1995">
      <c r="A1995" s="10"/>
      <c r="B1995" s="10"/>
      <c r="C1995" s="10"/>
      <c r="D1995" s="10"/>
      <c r="E1995" s="10"/>
      <c r="F1995" s="11"/>
      <c r="G1995" s="11"/>
      <c r="H1995" s="11"/>
      <c r="I1995" s="11"/>
      <c r="J1995" s="11" t="str">
        <f>IFERROR(__xludf.DUMMYFUNCTION("IFERROR(FILTER(Stats!$F:$Z,(Stats!$A:$A=$A1995)*(Stats!$B:$B=$B1995)))"),"#REF!")</f>
        <v>#REF!</v>
      </c>
      <c r="K1995" s="11"/>
      <c r="L1995" s="12"/>
      <c r="M1995" s="11"/>
      <c r="N1995" s="11"/>
      <c r="O1995" s="13"/>
      <c r="P1995" s="14"/>
      <c r="Q1995" s="13"/>
      <c r="R1995" s="13"/>
      <c r="S1995" s="15"/>
      <c r="T1995" s="16"/>
      <c r="U1995" s="16"/>
      <c r="V1995" s="16"/>
      <c r="W1995" s="16"/>
      <c r="X1995" s="16"/>
      <c r="Y1995" s="11"/>
      <c r="Z1995" s="11"/>
      <c r="AA1995" s="11"/>
      <c r="AB1995" s="11"/>
      <c r="AC1995" s="11"/>
      <c r="AD1995" s="11"/>
    </row>
    <row r="1996">
      <c r="A1996" s="10"/>
      <c r="B1996" s="10"/>
      <c r="C1996" s="10"/>
      <c r="D1996" s="10"/>
      <c r="E1996" s="10"/>
      <c r="F1996" s="11"/>
      <c r="G1996" s="11"/>
      <c r="H1996" s="11"/>
      <c r="I1996" s="11"/>
      <c r="J1996" s="11" t="str">
        <f>IFERROR(__xludf.DUMMYFUNCTION("IFERROR(FILTER(Stats!$F:$Z,(Stats!$A:$A=$A1996)*(Stats!$B:$B=$B1996)))"),"#REF!")</f>
        <v>#REF!</v>
      </c>
      <c r="K1996" s="11"/>
      <c r="L1996" s="12"/>
      <c r="M1996" s="11"/>
      <c r="N1996" s="11"/>
      <c r="O1996" s="13"/>
      <c r="P1996" s="14"/>
      <c r="Q1996" s="13"/>
      <c r="R1996" s="13"/>
      <c r="S1996" s="15"/>
      <c r="T1996" s="16"/>
      <c r="U1996" s="16"/>
      <c r="V1996" s="16"/>
      <c r="W1996" s="16"/>
      <c r="X1996" s="16"/>
      <c r="Y1996" s="11"/>
      <c r="Z1996" s="11"/>
      <c r="AA1996" s="11"/>
      <c r="AB1996" s="11"/>
      <c r="AC1996" s="11"/>
      <c r="AD1996" s="11"/>
    </row>
    <row r="1997">
      <c r="A1997" s="10"/>
      <c r="B1997" s="10"/>
      <c r="C1997" s="10"/>
      <c r="D1997" s="10"/>
      <c r="E1997" s="10"/>
      <c r="F1997" s="11"/>
      <c r="G1997" s="11"/>
      <c r="H1997" s="11"/>
      <c r="I1997" s="11"/>
      <c r="J1997" s="11" t="str">
        <f>IFERROR(__xludf.DUMMYFUNCTION("IFERROR(FILTER(Stats!$F:$Z,(Stats!$A:$A=$A1997)*(Stats!$B:$B=$B1997)))"),"#REF!")</f>
        <v>#REF!</v>
      </c>
      <c r="K1997" s="11"/>
      <c r="L1997" s="12"/>
      <c r="M1997" s="11"/>
      <c r="N1997" s="11"/>
      <c r="O1997" s="13"/>
      <c r="P1997" s="14"/>
      <c r="Q1997" s="13"/>
      <c r="R1997" s="13"/>
      <c r="S1997" s="15"/>
      <c r="T1997" s="16"/>
      <c r="U1997" s="16"/>
      <c r="V1997" s="16"/>
      <c r="W1997" s="16"/>
      <c r="X1997" s="16"/>
      <c r="Y1997" s="11"/>
      <c r="Z1997" s="11"/>
      <c r="AA1997" s="11"/>
      <c r="AB1997" s="11"/>
      <c r="AC1997" s="11"/>
      <c r="AD1997" s="11"/>
    </row>
    <row r="1998">
      <c r="A1998" s="10"/>
      <c r="B1998" s="10"/>
      <c r="C1998" s="10"/>
      <c r="D1998" s="10"/>
      <c r="E1998" s="10"/>
      <c r="F1998" s="11"/>
      <c r="G1998" s="11"/>
      <c r="H1998" s="11"/>
      <c r="I1998" s="11"/>
      <c r="J1998" s="11" t="str">
        <f>IFERROR(__xludf.DUMMYFUNCTION("IFERROR(FILTER(Stats!$F:$Z,(Stats!$A:$A=$A1998)*(Stats!$B:$B=$B1998)))"),"#REF!")</f>
        <v>#REF!</v>
      </c>
      <c r="K1998" s="11"/>
      <c r="L1998" s="12"/>
      <c r="M1998" s="11"/>
      <c r="N1998" s="11"/>
      <c r="O1998" s="13"/>
      <c r="P1998" s="14"/>
      <c r="Q1998" s="13"/>
      <c r="R1998" s="13"/>
      <c r="S1998" s="15"/>
      <c r="T1998" s="16"/>
      <c r="U1998" s="16"/>
      <c r="V1998" s="16"/>
      <c r="W1998" s="16"/>
      <c r="X1998" s="16"/>
      <c r="Y1998" s="11"/>
      <c r="Z1998" s="11"/>
      <c r="AA1998" s="11"/>
      <c r="AB1998" s="11"/>
      <c r="AC1998" s="11"/>
      <c r="AD1998" s="11"/>
    </row>
    <row r="1999">
      <c r="A1999" s="10"/>
      <c r="B1999" s="10"/>
      <c r="C1999" s="10"/>
      <c r="D1999" s="10"/>
      <c r="E1999" s="10"/>
      <c r="F1999" s="11"/>
      <c r="G1999" s="11"/>
      <c r="H1999" s="11"/>
      <c r="I1999" s="11"/>
      <c r="J1999" s="11" t="str">
        <f>IFERROR(__xludf.DUMMYFUNCTION("IFERROR(FILTER(Stats!$F:$Z,(Stats!$A:$A=$A1999)*(Stats!$B:$B=$B1999)))"),"#REF!")</f>
        <v>#REF!</v>
      </c>
      <c r="K1999" s="11"/>
      <c r="L1999" s="12"/>
      <c r="M1999" s="11"/>
      <c r="N1999" s="11"/>
      <c r="O1999" s="13"/>
      <c r="P1999" s="14"/>
      <c r="Q1999" s="13"/>
      <c r="R1999" s="13"/>
      <c r="S1999" s="15"/>
      <c r="T1999" s="16"/>
      <c r="U1999" s="16"/>
      <c r="V1999" s="16"/>
      <c r="W1999" s="16"/>
      <c r="X1999" s="16"/>
      <c r="Y1999" s="11"/>
      <c r="Z1999" s="11"/>
      <c r="AA1999" s="11"/>
      <c r="AB1999" s="11"/>
      <c r="AC1999" s="11"/>
      <c r="AD1999" s="11"/>
    </row>
    <row r="2000">
      <c r="A2000" s="10"/>
      <c r="B2000" s="10"/>
      <c r="C2000" s="10"/>
      <c r="D2000" s="10"/>
      <c r="E2000" s="10"/>
      <c r="F2000" s="11"/>
      <c r="G2000" s="11"/>
      <c r="H2000" s="11"/>
      <c r="I2000" s="11"/>
      <c r="J2000" s="11" t="str">
        <f>IFERROR(__xludf.DUMMYFUNCTION("IFERROR(FILTER(Stats!$F:$Z,(Stats!$A:$A=$A2000)*(Stats!$B:$B=$B2000)))"),"#REF!")</f>
        <v>#REF!</v>
      </c>
      <c r="K2000" s="11"/>
      <c r="L2000" s="12"/>
      <c r="M2000" s="11"/>
      <c r="N2000" s="11"/>
      <c r="O2000" s="13"/>
      <c r="P2000" s="14"/>
      <c r="Q2000" s="13"/>
      <c r="R2000" s="13"/>
      <c r="S2000" s="15"/>
      <c r="T2000" s="16"/>
      <c r="U2000" s="16"/>
      <c r="V2000" s="16"/>
      <c r="W2000" s="16"/>
      <c r="X2000" s="16"/>
      <c r="Y2000" s="11"/>
      <c r="Z2000" s="11"/>
      <c r="AA2000" s="11"/>
      <c r="AB2000" s="11"/>
      <c r="AC2000" s="11"/>
      <c r="AD2000" s="11"/>
    </row>
    <row r="2001">
      <c r="A2001" s="10"/>
      <c r="B2001" s="10"/>
      <c r="C2001" s="10"/>
      <c r="D2001" s="10"/>
      <c r="E2001" s="10"/>
      <c r="F2001" s="11"/>
      <c r="G2001" s="11"/>
      <c r="H2001" s="11"/>
      <c r="I2001" s="11"/>
      <c r="J2001" s="11" t="str">
        <f>IFERROR(__xludf.DUMMYFUNCTION("IFERROR(FILTER(Raw_Stats!$F:$Z,(Raw_Stats!$A:$A=$A2001)*(Raw_Stats!$B:$B=$B2001)))"),"")</f>
        <v/>
      </c>
      <c r="K2001" s="11"/>
      <c r="L2001" s="12"/>
      <c r="M2001" s="11"/>
      <c r="N2001" s="11"/>
      <c r="O2001" s="13"/>
      <c r="P2001" s="14"/>
      <c r="Q2001" s="13"/>
      <c r="R2001" s="13"/>
      <c r="S2001" s="15"/>
      <c r="T2001" s="16"/>
      <c r="U2001" s="16"/>
      <c r="V2001" s="16"/>
      <c r="W2001" s="16"/>
      <c r="X2001" s="16"/>
      <c r="Y2001" s="11"/>
      <c r="Z2001" s="11"/>
      <c r="AA2001" s="11"/>
      <c r="AB2001" s="11"/>
      <c r="AC2001" s="11"/>
      <c r="AD2001" s="11"/>
    </row>
    <row r="2002">
      <c r="A2002" s="10"/>
      <c r="B2002" s="10"/>
      <c r="C2002" s="10"/>
      <c r="D2002" s="10"/>
      <c r="E2002" s="10"/>
      <c r="F2002" s="11"/>
      <c r="G2002" s="11"/>
      <c r="H2002" s="11"/>
      <c r="I2002" s="11"/>
      <c r="J2002" s="11"/>
      <c r="K2002" s="11"/>
      <c r="L2002" s="12"/>
      <c r="M2002" s="11"/>
      <c r="N2002" s="11"/>
      <c r="O2002" s="13"/>
      <c r="P2002" s="14"/>
      <c r="Q2002" s="13"/>
      <c r="R2002" s="13"/>
      <c r="S2002" s="15"/>
      <c r="T2002" s="16"/>
      <c r="U2002" s="16"/>
      <c r="V2002" s="16"/>
      <c r="W2002" s="16"/>
      <c r="X2002" s="16"/>
      <c r="Y2002" s="11"/>
      <c r="Z2002" s="11"/>
      <c r="AA2002" s="11"/>
      <c r="AB2002" s="11"/>
      <c r="AC2002" s="11"/>
      <c r="AD2002" s="11"/>
    </row>
    <row r="2003">
      <c r="A2003" s="10"/>
      <c r="B2003" s="10"/>
      <c r="C2003" s="10"/>
      <c r="D2003" s="10"/>
      <c r="E2003" s="10"/>
      <c r="F2003" s="11"/>
      <c r="G2003" s="11"/>
      <c r="H2003" s="11"/>
      <c r="I2003" s="11"/>
      <c r="J2003" s="11"/>
      <c r="K2003" s="11"/>
      <c r="L2003" s="12"/>
      <c r="M2003" s="11"/>
      <c r="N2003" s="11"/>
      <c r="O2003" s="13"/>
      <c r="P2003" s="14"/>
      <c r="Q2003" s="13"/>
      <c r="R2003" s="13"/>
      <c r="S2003" s="15"/>
      <c r="T2003" s="16"/>
      <c r="U2003" s="16"/>
      <c r="V2003" s="16"/>
      <c r="W2003" s="16"/>
      <c r="X2003" s="16"/>
      <c r="Y2003" s="11"/>
      <c r="Z2003" s="11"/>
      <c r="AA2003" s="11"/>
      <c r="AB2003" s="11"/>
      <c r="AC2003" s="11"/>
      <c r="AD2003" s="11"/>
    </row>
    <row r="2004">
      <c r="A2004" s="10"/>
      <c r="B2004" s="10"/>
      <c r="C2004" s="10"/>
      <c r="D2004" s="10"/>
      <c r="E2004" s="10"/>
      <c r="F2004" s="11"/>
      <c r="G2004" s="11"/>
      <c r="H2004" s="11"/>
      <c r="I2004" s="11"/>
      <c r="J2004" s="11"/>
      <c r="K2004" s="11"/>
      <c r="L2004" s="12"/>
      <c r="M2004" s="11"/>
      <c r="N2004" s="11"/>
      <c r="O2004" s="13"/>
      <c r="P2004" s="14"/>
      <c r="Q2004" s="13"/>
      <c r="R2004" s="13"/>
      <c r="S2004" s="15"/>
      <c r="T2004" s="16"/>
      <c r="U2004" s="16"/>
      <c r="V2004" s="16"/>
      <c r="W2004" s="16"/>
      <c r="X2004" s="16"/>
      <c r="Y2004" s="11"/>
      <c r="Z2004" s="11"/>
      <c r="AA2004" s="11"/>
      <c r="AB2004" s="11"/>
      <c r="AC2004" s="11"/>
      <c r="AD2004" s="11"/>
    </row>
    <row r="2005">
      <c r="A2005" s="10"/>
      <c r="B2005" s="10"/>
      <c r="C2005" s="10"/>
      <c r="D2005" s="10"/>
      <c r="E2005" s="10"/>
      <c r="F2005" s="11"/>
      <c r="G2005" s="11"/>
      <c r="H2005" s="11"/>
      <c r="I2005" s="11"/>
      <c r="J2005" s="11"/>
      <c r="K2005" s="11"/>
      <c r="L2005" s="12"/>
      <c r="M2005" s="11"/>
      <c r="N2005" s="11"/>
      <c r="O2005" s="13"/>
      <c r="P2005" s="14"/>
      <c r="Q2005" s="13"/>
      <c r="R2005" s="13"/>
      <c r="S2005" s="15"/>
      <c r="T2005" s="16"/>
      <c r="U2005" s="16"/>
      <c r="V2005" s="16"/>
      <c r="W2005" s="16"/>
      <c r="X2005" s="16"/>
      <c r="Y2005" s="11"/>
      <c r="Z2005" s="11"/>
      <c r="AA2005" s="11"/>
      <c r="AB2005" s="11"/>
      <c r="AC2005" s="11"/>
      <c r="AD2005" s="11"/>
    </row>
    <row r="2006">
      <c r="A2006" s="10"/>
      <c r="B2006" s="10"/>
      <c r="C2006" s="10"/>
      <c r="D2006" s="10"/>
      <c r="E2006" s="10"/>
      <c r="F2006" s="11"/>
      <c r="G2006" s="11"/>
      <c r="H2006" s="11"/>
      <c r="I2006" s="11"/>
      <c r="J2006" s="11"/>
      <c r="K2006" s="11"/>
      <c r="L2006" s="12"/>
      <c r="M2006" s="11"/>
      <c r="N2006" s="11"/>
      <c r="O2006" s="13"/>
      <c r="P2006" s="14"/>
      <c r="Q2006" s="13"/>
      <c r="R2006" s="13"/>
      <c r="S2006" s="15"/>
      <c r="T2006" s="16"/>
      <c r="U2006" s="16"/>
      <c r="V2006" s="16"/>
      <c r="W2006" s="16"/>
      <c r="X2006" s="16"/>
      <c r="Y2006" s="11"/>
      <c r="Z2006" s="11"/>
      <c r="AA2006" s="11"/>
      <c r="AB2006" s="11"/>
      <c r="AC2006" s="11"/>
      <c r="AD2006" s="11"/>
    </row>
    <row r="2007">
      <c r="A2007" s="10"/>
      <c r="B2007" s="10"/>
      <c r="C2007" s="10"/>
      <c r="D2007" s="10"/>
      <c r="E2007" s="10"/>
      <c r="F2007" s="11"/>
      <c r="G2007" s="11"/>
      <c r="H2007" s="11"/>
      <c r="I2007" s="11"/>
      <c r="J2007" s="11"/>
      <c r="K2007" s="11"/>
      <c r="L2007" s="12"/>
      <c r="M2007" s="11"/>
      <c r="N2007" s="11"/>
      <c r="O2007" s="13"/>
      <c r="P2007" s="14"/>
      <c r="Q2007" s="13"/>
      <c r="R2007" s="13"/>
      <c r="S2007" s="15"/>
      <c r="T2007" s="16"/>
      <c r="U2007" s="16"/>
      <c r="V2007" s="16"/>
      <c r="W2007" s="16"/>
      <c r="X2007" s="16"/>
      <c r="Y2007" s="11"/>
      <c r="Z2007" s="11"/>
      <c r="AA2007" s="11"/>
      <c r="AB2007" s="11"/>
      <c r="AC2007" s="11"/>
      <c r="AD2007" s="11"/>
    </row>
    <row r="2008">
      <c r="A2008" s="10"/>
      <c r="B2008" s="10"/>
      <c r="C2008" s="10"/>
      <c r="D2008" s="10"/>
      <c r="E2008" s="10"/>
      <c r="F2008" s="11"/>
      <c r="G2008" s="11"/>
      <c r="H2008" s="11"/>
      <c r="I2008" s="11"/>
      <c r="J2008" s="11"/>
      <c r="K2008" s="11"/>
      <c r="L2008" s="12"/>
      <c r="M2008" s="11"/>
      <c r="N2008" s="11"/>
      <c r="O2008" s="13"/>
      <c r="P2008" s="14"/>
      <c r="Q2008" s="13"/>
      <c r="R2008" s="13"/>
      <c r="S2008" s="15"/>
      <c r="T2008" s="16"/>
      <c r="U2008" s="16"/>
      <c r="V2008" s="16"/>
      <c r="W2008" s="16"/>
      <c r="X2008" s="16"/>
      <c r="Y2008" s="11"/>
      <c r="Z2008" s="11"/>
      <c r="AA2008" s="11"/>
      <c r="AB2008" s="11"/>
      <c r="AC2008" s="11"/>
      <c r="AD2008" s="11"/>
    </row>
    <row r="2009">
      <c r="A2009" s="10"/>
      <c r="B2009" s="10"/>
      <c r="C2009" s="10"/>
      <c r="D2009" s="10"/>
      <c r="E2009" s="10"/>
      <c r="F2009" s="11"/>
      <c r="G2009" s="11"/>
      <c r="H2009" s="11"/>
      <c r="I2009" s="11"/>
      <c r="J2009" s="11"/>
      <c r="K2009" s="11"/>
      <c r="L2009" s="12"/>
      <c r="M2009" s="11"/>
      <c r="N2009" s="11"/>
      <c r="O2009" s="13"/>
      <c r="P2009" s="14"/>
      <c r="Q2009" s="13"/>
      <c r="R2009" s="13"/>
      <c r="S2009" s="15"/>
      <c r="T2009" s="16"/>
      <c r="U2009" s="16"/>
      <c r="V2009" s="16"/>
      <c r="W2009" s="16"/>
      <c r="X2009" s="16"/>
      <c r="Y2009" s="11"/>
      <c r="Z2009" s="11"/>
      <c r="AA2009" s="11"/>
      <c r="AB2009" s="11"/>
      <c r="AC2009" s="11"/>
      <c r="AD2009" s="11"/>
    </row>
    <row r="2010">
      <c r="A2010" s="10"/>
      <c r="B2010" s="10"/>
      <c r="C2010" s="10"/>
      <c r="D2010" s="10"/>
      <c r="E2010" s="10"/>
      <c r="F2010" s="11"/>
      <c r="G2010" s="11"/>
      <c r="H2010" s="11"/>
      <c r="I2010" s="11"/>
      <c r="J2010" s="11"/>
      <c r="K2010" s="11"/>
      <c r="L2010" s="12"/>
      <c r="M2010" s="11"/>
      <c r="N2010" s="11"/>
      <c r="O2010" s="13"/>
      <c r="P2010" s="14"/>
      <c r="Q2010" s="13"/>
      <c r="R2010" s="13"/>
      <c r="S2010" s="15"/>
      <c r="T2010" s="16"/>
      <c r="U2010" s="16"/>
      <c r="V2010" s="16"/>
      <c r="W2010" s="16"/>
      <c r="X2010" s="16"/>
      <c r="Y2010" s="11"/>
      <c r="Z2010" s="11"/>
      <c r="AA2010" s="11"/>
      <c r="AB2010" s="11"/>
      <c r="AC2010" s="11"/>
      <c r="AD2010" s="11"/>
    </row>
    <row r="2011">
      <c r="A2011" s="10"/>
      <c r="B2011" s="10"/>
      <c r="C2011" s="10"/>
      <c r="D2011" s="10"/>
      <c r="E2011" s="10"/>
      <c r="F2011" s="11"/>
      <c r="G2011" s="11"/>
      <c r="H2011" s="11"/>
      <c r="I2011" s="11"/>
      <c r="J2011" s="11"/>
      <c r="K2011" s="11"/>
      <c r="L2011" s="12"/>
      <c r="M2011" s="11"/>
      <c r="N2011" s="11"/>
      <c r="O2011" s="13"/>
      <c r="P2011" s="14"/>
      <c r="Q2011" s="13"/>
      <c r="R2011" s="13"/>
      <c r="S2011" s="15"/>
      <c r="T2011" s="16"/>
      <c r="U2011" s="16"/>
      <c r="V2011" s="16"/>
      <c r="W2011" s="16"/>
      <c r="X2011" s="16"/>
      <c r="Y2011" s="11"/>
      <c r="Z2011" s="11"/>
      <c r="AA2011" s="11"/>
      <c r="AB2011" s="11"/>
      <c r="AC2011" s="11"/>
      <c r="AD2011" s="11"/>
    </row>
    <row r="2012">
      <c r="A2012" s="10"/>
      <c r="B2012" s="10"/>
      <c r="C2012" s="10"/>
      <c r="D2012" s="10"/>
      <c r="E2012" s="10"/>
      <c r="F2012" s="11"/>
      <c r="G2012" s="11"/>
      <c r="H2012" s="11"/>
      <c r="I2012" s="11"/>
      <c r="J2012" s="11"/>
      <c r="K2012" s="11"/>
      <c r="L2012" s="12"/>
      <c r="M2012" s="11"/>
      <c r="N2012" s="11"/>
      <c r="O2012" s="13"/>
      <c r="P2012" s="14"/>
      <c r="Q2012" s="13"/>
      <c r="R2012" s="13"/>
      <c r="S2012" s="15"/>
      <c r="T2012" s="16"/>
      <c r="U2012" s="16"/>
      <c r="V2012" s="16"/>
      <c r="W2012" s="16"/>
      <c r="X2012" s="16"/>
      <c r="Y2012" s="11"/>
      <c r="Z2012" s="11"/>
      <c r="AA2012" s="11"/>
      <c r="AB2012" s="11"/>
      <c r="AC2012" s="11"/>
      <c r="AD2012" s="11"/>
    </row>
    <row r="2013">
      <c r="A2013" s="10"/>
      <c r="B2013" s="10"/>
      <c r="C2013" s="10"/>
      <c r="D2013" s="10"/>
      <c r="E2013" s="10"/>
      <c r="F2013" s="11"/>
      <c r="G2013" s="11"/>
      <c r="H2013" s="11"/>
      <c r="I2013" s="11"/>
      <c r="J2013" s="11"/>
      <c r="K2013" s="11"/>
      <c r="L2013" s="12"/>
      <c r="M2013" s="11"/>
      <c r="N2013" s="11"/>
      <c r="O2013" s="13"/>
      <c r="P2013" s="14"/>
      <c r="Q2013" s="13"/>
      <c r="R2013" s="13"/>
      <c r="S2013" s="15"/>
      <c r="T2013" s="16"/>
      <c r="U2013" s="16"/>
      <c r="V2013" s="16"/>
      <c r="W2013" s="16"/>
      <c r="X2013" s="16"/>
      <c r="Y2013" s="11"/>
      <c r="Z2013" s="11"/>
      <c r="AA2013" s="11"/>
      <c r="AB2013" s="11"/>
      <c r="AC2013" s="11"/>
      <c r="AD2013" s="11"/>
    </row>
    <row r="2014">
      <c r="A2014" s="10"/>
      <c r="B2014" s="10"/>
      <c r="C2014" s="10"/>
      <c r="D2014" s="10"/>
      <c r="E2014" s="10"/>
      <c r="F2014" s="11"/>
      <c r="G2014" s="11"/>
      <c r="H2014" s="11"/>
      <c r="I2014" s="11"/>
      <c r="J2014" s="11"/>
      <c r="K2014" s="11"/>
      <c r="L2014" s="12"/>
      <c r="M2014" s="11"/>
      <c r="N2014" s="11"/>
      <c r="O2014" s="13"/>
      <c r="P2014" s="14"/>
      <c r="Q2014" s="13"/>
      <c r="R2014" s="13"/>
      <c r="S2014" s="15"/>
      <c r="T2014" s="16"/>
      <c r="U2014" s="16"/>
      <c r="V2014" s="16"/>
      <c r="W2014" s="16"/>
      <c r="X2014" s="16"/>
      <c r="Y2014" s="11"/>
      <c r="Z2014" s="11"/>
      <c r="AA2014" s="11"/>
      <c r="AB2014" s="11"/>
      <c r="AC2014" s="11"/>
      <c r="AD2014" s="11"/>
    </row>
    <row r="2015">
      <c r="A2015" s="10"/>
      <c r="B2015" s="10"/>
      <c r="C2015" s="10"/>
      <c r="D2015" s="10"/>
      <c r="E2015" s="10"/>
      <c r="F2015" s="11"/>
      <c r="G2015" s="11"/>
      <c r="H2015" s="11"/>
      <c r="I2015" s="11"/>
      <c r="J2015" s="11"/>
      <c r="K2015" s="11"/>
      <c r="L2015" s="12"/>
      <c r="M2015" s="11"/>
      <c r="N2015" s="11"/>
      <c r="O2015" s="13"/>
      <c r="P2015" s="14"/>
      <c r="Q2015" s="13"/>
      <c r="R2015" s="13"/>
      <c r="S2015" s="15"/>
      <c r="T2015" s="16"/>
      <c r="U2015" s="16"/>
      <c r="V2015" s="16"/>
      <c r="W2015" s="16"/>
      <c r="X2015" s="16"/>
      <c r="Y2015" s="11"/>
      <c r="Z2015" s="11"/>
      <c r="AA2015" s="11"/>
      <c r="AB2015" s="11"/>
      <c r="AC2015" s="11"/>
      <c r="AD2015" s="11"/>
    </row>
    <row r="2016">
      <c r="A2016" s="10"/>
      <c r="B2016" s="10"/>
      <c r="C2016" s="10"/>
      <c r="D2016" s="10"/>
      <c r="E2016" s="10"/>
      <c r="F2016" s="11"/>
      <c r="G2016" s="11"/>
      <c r="H2016" s="11"/>
      <c r="I2016" s="11"/>
      <c r="J2016" s="11"/>
      <c r="K2016" s="11"/>
      <c r="L2016" s="12"/>
      <c r="M2016" s="11"/>
      <c r="N2016" s="11"/>
      <c r="O2016" s="13"/>
      <c r="P2016" s="14"/>
      <c r="Q2016" s="13"/>
      <c r="R2016" s="13"/>
      <c r="S2016" s="15"/>
      <c r="T2016" s="16"/>
      <c r="U2016" s="16"/>
      <c r="V2016" s="16"/>
      <c r="W2016" s="16"/>
      <c r="X2016" s="16"/>
      <c r="Y2016" s="11"/>
      <c r="Z2016" s="11"/>
      <c r="AA2016" s="11"/>
      <c r="AB2016" s="11"/>
      <c r="AC2016" s="11"/>
      <c r="AD2016" s="11"/>
    </row>
    <row r="2017">
      <c r="A2017" s="10"/>
      <c r="B2017" s="10"/>
      <c r="C2017" s="10"/>
      <c r="D2017" s="10"/>
      <c r="E2017" s="10"/>
      <c r="F2017" s="11"/>
      <c r="G2017" s="11"/>
      <c r="H2017" s="11"/>
      <c r="I2017" s="11"/>
      <c r="J2017" s="11"/>
      <c r="K2017" s="11"/>
      <c r="L2017" s="12"/>
      <c r="M2017" s="11"/>
      <c r="N2017" s="11"/>
      <c r="O2017" s="13"/>
      <c r="P2017" s="14"/>
      <c r="Q2017" s="13"/>
      <c r="R2017" s="13"/>
      <c r="S2017" s="15"/>
      <c r="T2017" s="16"/>
      <c r="U2017" s="16"/>
      <c r="V2017" s="16"/>
      <c r="W2017" s="16"/>
      <c r="X2017" s="16"/>
      <c r="Y2017" s="11"/>
      <c r="Z2017" s="11"/>
      <c r="AA2017" s="11"/>
      <c r="AB2017" s="11"/>
      <c r="AC2017" s="11"/>
      <c r="AD2017" s="11"/>
    </row>
    <row r="2018">
      <c r="A2018" s="10"/>
      <c r="B2018" s="10"/>
      <c r="C2018" s="10"/>
      <c r="D2018" s="10"/>
      <c r="E2018" s="10"/>
      <c r="F2018" s="11"/>
      <c r="G2018" s="11"/>
      <c r="H2018" s="11"/>
      <c r="I2018" s="11"/>
      <c r="J2018" s="11"/>
      <c r="K2018" s="11"/>
      <c r="L2018" s="12"/>
      <c r="M2018" s="11"/>
      <c r="N2018" s="11"/>
      <c r="O2018" s="13"/>
      <c r="P2018" s="14"/>
      <c r="Q2018" s="13"/>
      <c r="R2018" s="13"/>
      <c r="S2018" s="15"/>
      <c r="T2018" s="16"/>
      <c r="U2018" s="16"/>
      <c r="V2018" s="16"/>
      <c r="W2018" s="16"/>
      <c r="X2018" s="16"/>
      <c r="Y2018" s="11"/>
      <c r="Z2018" s="11"/>
      <c r="AA2018" s="11"/>
      <c r="AB2018" s="11"/>
      <c r="AC2018" s="11"/>
      <c r="AD2018" s="11"/>
    </row>
    <row r="2019">
      <c r="A2019" s="10"/>
      <c r="B2019" s="10"/>
      <c r="C2019" s="10"/>
      <c r="D2019" s="10"/>
      <c r="E2019" s="10"/>
      <c r="F2019" s="11"/>
      <c r="G2019" s="11"/>
      <c r="H2019" s="11"/>
      <c r="I2019" s="11"/>
      <c r="J2019" s="11"/>
      <c r="K2019" s="11"/>
      <c r="L2019" s="12"/>
      <c r="M2019" s="11"/>
      <c r="N2019" s="11"/>
      <c r="O2019" s="13"/>
      <c r="P2019" s="14"/>
      <c r="Q2019" s="13"/>
      <c r="R2019" s="13"/>
      <c r="S2019" s="15"/>
      <c r="T2019" s="16"/>
      <c r="U2019" s="16"/>
      <c r="V2019" s="16"/>
      <c r="W2019" s="16"/>
      <c r="X2019" s="16"/>
      <c r="Y2019" s="11"/>
      <c r="Z2019" s="11"/>
      <c r="AA2019" s="11"/>
      <c r="AB2019" s="11"/>
      <c r="AC2019" s="11"/>
      <c r="AD2019" s="11"/>
    </row>
    <row r="2020">
      <c r="A2020" s="10"/>
      <c r="B2020" s="10"/>
      <c r="C2020" s="10"/>
      <c r="D2020" s="10"/>
      <c r="E2020" s="10"/>
      <c r="F2020" s="11"/>
      <c r="G2020" s="11"/>
      <c r="H2020" s="11"/>
      <c r="I2020" s="11"/>
      <c r="J2020" s="11"/>
      <c r="K2020" s="11"/>
      <c r="L2020" s="12"/>
      <c r="M2020" s="11"/>
      <c r="N2020" s="11"/>
      <c r="O2020" s="13"/>
      <c r="P2020" s="14"/>
      <c r="Q2020" s="13"/>
      <c r="R2020" s="13"/>
      <c r="S2020" s="15"/>
      <c r="T2020" s="16"/>
      <c r="U2020" s="16"/>
      <c r="V2020" s="16"/>
      <c r="W2020" s="16"/>
      <c r="X2020" s="16"/>
      <c r="Y2020" s="11"/>
      <c r="Z2020" s="11"/>
      <c r="AA2020" s="11"/>
      <c r="AB2020" s="11"/>
      <c r="AC2020" s="11"/>
      <c r="AD2020" s="11"/>
    </row>
    <row r="2021">
      <c r="A2021" s="10"/>
      <c r="B2021" s="10"/>
      <c r="C2021" s="10"/>
      <c r="D2021" s="10"/>
      <c r="E2021" s="10"/>
      <c r="F2021" s="11"/>
      <c r="G2021" s="11"/>
      <c r="H2021" s="11"/>
      <c r="I2021" s="11"/>
      <c r="J2021" s="11"/>
      <c r="K2021" s="11"/>
      <c r="L2021" s="12"/>
      <c r="M2021" s="11"/>
      <c r="N2021" s="11"/>
      <c r="O2021" s="13"/>
      <c r="P2021" s="14"/>
      <c r="Q2021" s="13"/>
      <c r="R2021" s="13"/>
      <c r="S2021" s="15"/>
      <c r="T2021" s="16"/>
      <c r="U2021" s="16"/>
      <c r="V2021" s="16"/>
      <c r="W2021" s="16"/>
      <c r="X2021" s="16"/>
      <c r="Y2021" s="11"/>
      <c r="Z2021" s="11"/>
      <c r="AA2021" s="11"/>
      <c r="AB2021" s="11"/>
      <c r="AC2021" s="11"/>
      <c r="AD2021" s="11"/>
    </row>
    <row r="2022">
      <c r="A2022" s="10"/>
      <c r="B2022" s="10"/>
      <c r="C2022" s="10"/>
      <c r="D2022" s="10"/>
      <c r="E2022" s="10"/>
      <c r="F2022" s="11"/>
      <c r="G2022" s="11"/>
      <c r="H2022" s="11"/>
      <c r="I2022" s="11"/>
      <c r="J2022" s="11"/>
      <c r="K2022" s="11"/>
      <c r="L2022" s="12"/>
      <c r="M2022" s="11"/>
      <c r="N2022" s="11"/>
      <c r="O2022" s="13"/>
      <c r="P2022" s="14"/>
      <c r="Q2022" s="13"/>
      <c r="R2022" s="13"/>
      <c r="S2022" s="15"/>
      <c r="T2022" s="16"/>
      <c r="U2022" s="16"/>
      <c r="V2022" s="16"/>
      <c r="W2022" s="16"/>
      <c r="X2022" s="16"/>
      <c r="Y2022" s="11"/>
      <c r="Z2022" s="11"/>
      <c r="AA2022" s="11"/>
      <c r="AB2022" s="11"/>
      <c r="AC2022" s="11"/>
      <c r="AD2022" s="11"/>
    </row>
    <row r="2023">
      <c r="A2023" s="10"/>
      <c r="B2023" s="10"/>
      <c r="C2023" s="10"/>
      <c r="D2023" s="10"/>
      <c r="E2023" s="10"/>
      <c r="F2023" s="11"/>
      <c r="G2023" s="11"/>
      <c r="H2023" s="11"/>
      <c r="I2023" s="11"/>
      <c r="J2023" s="11"/>
      <c r="K2023" s="11"/>
      <c r="L2023" s="12"/>
      <c r="M2023" s="11"/>
      <c r="N2023" s="11"/>
      <c r="O2023" s="13"/>
      <c r="P2023" s="14"/>
      <c r="Q2023" s="13"/>
      <c r="R2023" s="13"/>
      <c r="S2023" s="15"/>
      <c r="T2023" s="16"/>
      <c r="U2023" s="16"/>
      <c r="V2023" s="16"/>
      <c r="W2023" s="16"/>
      <c r="X2023" s="16"/>
      <c r="Y2023" s="11"/>
      <c r="Z2023" s="11"/>
      <c r="AA2023" s="11"/>
      <c r="AB2023" s="11"/>
      <c r="AC2023" s="11"/>
      <c r="AD2023" s="11"/>
    </row>
    <row r="2024">
      <c r="A2024" s="10"/>
      <c r="B2024" s="10"/>
      <c r="C2024" s="10"/>
      <c r="D2024" s="10"/>
      <c r="E2024" s="10"/>
      <c r="F2024" s="11"/>
      <c r="G2024" s="11"/>
      <c r="H2024" s="11"/>
      <c r="I2024" s="11"/>
      <c r="J2024" s="11"/>
      <c r="K2024" s="11"/>
      <c r="L2024" s="12"/>
      <c r="M2024" s="11"/>
      <c r="N2024" s="11"/>
      <c r="O2024" s="13"/>
      <c r="P2024" s="14"/>
      <c r="Q2024" s="13"/>
      <c r="R2024" s="13"/>
      <c r="S2024" s="15"/>
      <c r="T2024" s="16"/>
      <c r="U2024" s="16"/>
      <c r="V2024" s="16"/>
      <c r="W2024" s="16"/>
      <c r="X2024" s="16"/>
      <c r="Y2024" s="11"/>
      <c r="Z2024" s="11"/>
      <c r="AA2024" s="11"/>
      <c r="AB2024" s="11"/>
      <c r="AC2024" s="11"/>
      <c r="AD2024" s="11"/>
    </row>
    <row r="2025">
      <c r="A2025" s="10"/>
      <c r="B2025" s="10"/>
      <c r="C2025" s="10"/>
      <c r="D2025" s="10"/>
      <c r="E2025" s="10"/>
      <c r="F2025" s="11"/>
      <c r="G2025" s="11"/>
      <c r="H2025" s="11"/>
      <c r="I2025" s="11"/>
      <c r="J2025" s="11"/>
      <c r="K2025" s="11"/>
      <c r="L2025" s="12"/>
      <c r="M2025" s="11"/>
      <c r="N2025" s="11"/>
      <c r="O2025" s="13"/>
      <c r="P2025" s="14"/>
      <c r="Q2025" s="13"/>
      <c r="R2025" s="13"/>
      <c r="S2025" s="15"/>
      <c r="T2025" s="16"/>
      <c r="U2025" s="16"/>
      <c r="V2025" s="16"/>
      <c r="W2025" s="16"/>
      <c r="X2025" s="16"/>
      <c r="Y2025" s="11"/>
      <c r="Z2025" s="11"/>
      <c r="AA2025" s="11"/>
      <c r="AB2025" s="11"/>
      <c r="AC2025" s="11"/>
      <c r="AD2025" s="11"/>
    </row>
    <row r="2026">
      <c r="A2026" s="10"/>
      <c r="B2026" s="10"/>
      <c r="C2026" s="10"/>
      <c r="D2026" s="10"/>
      <c r="E2026" s="10"/>
      <c r="F2026" s="11"/>
      <c r="G2026" s="11"/>
      <c r="H2026" s="11"/>
      <c r="I2026" s="11"/>
      <c r="J2026" s="11"/>
      <c r="K2026" s="11"/>
      <c r="L2026" s="12"/>
      <c r="M2026" s="11"/>
      <c r="N2026" s="11"/>
      <c r="O2026" s="13"/>
      <c r="P2026" s="14"/>
      <c r="Q2026" s="13"/>
      <c r="R2026" s="13"/>
      <c r="S2026" s="15"/>
      <c r="T2026" s="16"/>
      <c r="U2026" s="16"/>
      <c r="V2026" s="16"/>
      <c r="W2026" s="16"/>
      <c r="X2026" s="16"/>
      <c r="Y2026" s="11"/>
      <c r="Z2026" s="11"/>
      <c r="AA2026" s="11"/>
      <c r="AB2026" s="11"/>
      <c r="AC2026" s="11"/>
      <c r="AD2026" s="11"/>
    </row>
    <row r="2027">
      <c r="A2027" s="10"/>
      <c r="B2027" s="10"/>
      <c r="C2027" s="10"/>
      <c r="D2027" s="10"/>
      <c r="E2027" s="10"/>
      <c r="F2027" s="11"/>
      <c r="G2027" s="11"/>
      <c r="H2027" s="11"/>
      <c r="I2027" s="11"/>
      <c r="J2027" s="11"/>
      <c r="K2027" s="11"/>
      <c r="L2027" s="12"/>
      <c r="M2027" s="11"/>
      <c r="N2027" s="11"/>
      <c r="O2027" s="13"/>
      <c r="P2027" s="14"/>
      <c r="Q2027" s="13"/>
      <c r="R2027" s="13"/>
      <c r="S2027" s="15"/>
      <c r="T2027" s="16"/>
      <c r="U2027" s="16"/>
      <c r="V2027" s="16"/>
      <c r="W2027" s="16"/>
      <c r="X2027" s="16"/>
      <c r="Y2027" s="11"/>
      <c r="Z2027" s="11"/>
      <c r="AA2027" s="11"/>
      <c r="AB2027" s="11"/>
      <c r="AC2027" s="11"/>
      <c r="AD2027" s="11"/>
    </row>
    <row r="2028">
      <c r="A2028" s="10"/>
      <c r="B2028" s="10"/>
      <c r="C2028" s="10"/>
      <c r="D2028" s="10"/>
      <c r="E2028" s="10"/>
      <c r="F2028" s="11"/>
      <c r="G2028" s="11"/>
      <c r="H2028" s="11"/>
      <c r="I2028" s="11"/>
      <c r="J2028" s="11"/>
      <c r="K2028" s="11"/>
      <c r="L2028" s="12"/>
      <c r="M2028" s="11"/>
      <c r="N2028" s="11"/>
      <c r="O2028" s="13"/>
      <c r="P2028" s="14"/>
      <c r="Q2028" s="13"/>
      <c r="R2028" s="13"/>
      <c r="S2028" s="15"/>
      <c r="T2028" s="16"/>
      <c r="U2028" s="16"/>
      <c r="V2028" s="16"/>
      <c r="W2028" s="16"/>
      <c r="X2028" s="16"/>
      <c r="Y2028" s="11"/>
      <c r="Z2028" s="11"/>
      <c r="AA2028" s="11"/>
      <c r="AB2028" s="11"/>
      <c r="AC2028" s="11"/>
      <c r="AD2028" s="11"/>
    </row>
    <row r="2029">
      <c r="A2029" s="10"/>
      <c r="B2029" s="10"/>
      <c r="C2029" s="10"/>
      <c r="D2029" s="10"/>
      <c r="E2029" s="10"/>
      <c r="F2029" s="11"/>
      <c r="G2029" s="11"/>
      <c r="H2029" s="11"/>
      <c r="I2029" s="11"/>
      <c r="J2029" s="11"/>
      <c r="K2029" s="11"/>
      <c r="L2029" s="12"/>
      <c r="M2029" s="11"/>
      <c r="N2029" s="11"/>
      <c r="O2029" s="13"/>
      <c r="P2029" s="14"/>
      <c r="Q2029" s="13"/>
      <c r="R2029" s="13"/>
      <c r="S2029" s="15"/>
      <c r="T2029" s="16"/>
      <c r="U2029" s="16"/>
      <c r="V2029" s="16"/>
      <c r="W2029" s="16"/>
      <c r="X2029" s="16"/>
      <c r="Y2029" s="11"/>
      <c r="Z2029" s="11"/>
      <c r="AA2029" s="11"/>
      <c r="AB2029" s="11"/>
      <c r="AC2029" s="11"/>
      <c r="AD2029" s="11"/>
    </row>
    <row r="2030">
      <c r="A2030" s="10"/>
      <c r="B2030" s="10"/>
      <c r="C2030" s="10"/>
      <c r="D2030" s="10"/>
      <c r="E2030" s="10"/>
      <c r="F2030" s="11"/>
      <c r="G2030" s="11"/>
      <c r="H2030" s="11"/>
      <c r="I2030" s="11"/>
      <c r="J2030" s="11"/>
      <c r="K2030" s="11"/>
      <c r="L2030" s="12"/>
      <c r="M2030" s="11"/>
      <c r="N2030" s="11"/>
      <c r="O2030" s="13"/>
      <c r="P2030" s="14"/>
      <c r="Q2030" s="13"/>
      <c r="R2030" s="13"/>
      <c r="S2030" s="15"/>
      <c r="T2030" s="16"/>
      <c r="U2030" s="16"/>
      <c r="V2030" s="16"/>
      <c r="W2030" s="16"/>
      <c r="X2030" s="16"/>
      <c r="Y2030" s="11"/>
      <c r="Z2030" s="11"/>
      <c r="AA2030" s="11"/>
      <c r="AB2030" s="11"/>
      <c r="AC2030" s="11"/>
      <c r="AD2030" s="11"/>
    </row>
    <row r="2031">
      <c r="A2031" s="10"/>
      <c r="B2031" s="10"/>
      <c r="C2031" s="10"/>
      <c r="D2031" s="10"/>
      <c r="E2031" s="10"/>
      <c r="F2031" s="11"/>
      <c r="G2031" s="11"/>
      <c r="H2031" s="11"/>
      <c r="I2031" s="11"/>
      <c r="J2031" s="11"/>
      <c r="K2031" s="11"/>
      <c r="L2031" s="12"/>
      <c r="M2031" s="11"/>
      <c r="N2031" s="11"/>
      <c r="O2031" s="13"/>
      <c r="P2031" s="14"/>
      <c r="Q2031" s="13"/>
      <c r="R2031" s="13"/>
      <c r="S2031" s="15"/>
      <c r="T2031" s="16"/>
      <c r="U2031" s="16"/>
      <c r="V2031" s="16"/>
      <c r="W2031" s="16"/>
      <c r="X2031" s="16"/>
      <c r="Y2031" s="11"/>
      <c r="Z2031" s="11"/>
      <c r="AA2031" s="11"/>
      <c r="AB2031" s="11"/>
      <c r="AC2031" s="11"/>
      <c r="AD2031" s="11"/>
    </row>
    <row r="2032">
      <c r="A2032" s="10"/>
      <c r="B2032" s="10"/>
      <c r="C2032" s="10"/>
      <c r="D2032" s="10"/>
      <c r="E2032" s="10"/>
      <c r="F2032" s="11"/>
      <c r="G2032" s="11"/>
      <c r="H2032" s="11"/>
      <c r="I2032" s="11"/>
      <c r="J2032" s="11"/>
      <c r="K2032" s="11"/>
      <c r="L2032" s="12"/>
      <c r="M2032" s="11"/>
      <c r="N2032" s="11"/>
      <c r="O2032" s="13"/>
      <c r="P2032" s="14"/>
      <c r="Q2032" s="13"/>
      <c r="R2032" s="13"/>
      <c r="S2032" s="15"/>
      <c r="T2032" s="16"/>
      <c r="U2032" s="16"/>
      <c r="V2032" s="16"/>
      <c r="W2032" s="16"/>
      <c r="X2032" s="16"/>
      <c r="Y2032" s="11"/>
      <c r="Z2032" s="11"/>
      <c r="AA2032" s="11"/>
      <c r="AB2032" s="11"/>
      <c r="AC2032" s="11"/>
      <c r="AD2032" s="11"/>
    </row>
    <row r="2033">
      <c r="A2033" s="10"/>
      <c r="B2033" s="10"/>
      <c r="C2033" s="10"/>
      <c r="D2033" s="10"/>
      <c r="E2033" s="10"/>
      <c r="F2033" s="11"/>
      <c r="G2033" s="11"/>
      <c r="H2033" s="11"/>
      <c r="I2033" s="11"/>
      <c r="J2033" s="11"/>
      <c r="K2033" s="11"/>
      <c r="L2033" s="12"/>
      <c r="M2033" s="11"/>
      <c r="N2033" s="11"/>
      <c r="O2033" s="13"/>
      <c r="P2033" s="14"/>
      <c r="Q2033" s="13"/>
      <c r="R2033" s="13"/>
      <c r="S2033" s="15"/>
      <c r="T2033" s="16"/>
      <c r="U2033" s="16"/>
      <c r="V2033" s="16"/>
      <c r="W2033" s="16"/>
      <c r="X2033" s="16"/>
      <c r="Y2033" s="11"/>
      <c r="Z2033" s="11"/>
      <c r="AA2033" s="11"/>
      <c r="AB2033" s="11"/>
      <c r="AC2033" s="11"/>
      <c r="AD2033" s="11"/>
    </row>
    <row r="2034">
      <c r="A2034" s="10"/>
      <c r="B2034" s="10"/>
      <c r="C2034" s="10"/>
      <c r="D2034" s="10"/>
      <c r="E2034" s="10"/>
      <c r="F2034" s="11"/>
      <c r="G2034" s="11"/>
      <c r="H2034" s="11"/>
      <c r="I2034" s="11"/>
      <c r="J2034" s="11"/>
      <c r="K2034" s="11"/>
      <c r="L2034" s="12"/>
      <c r="M2034" s="11"/>
      <c r="N2034" s="11"/>
      <c r="O2034" s="13"/>
      <c r="P2034" s="14"/>
      <c r="Q2034" s="13"/>
      <c r="R2034" s="13"/>
      <c r="S2034" s="15"/>
      <c r="T2034" s="16"/>
      <c r="U2034" s="16"/>
      <c r="V2034" s="16"/>
      <c r="W2034" s="16"/>
      <c r="X2034" s="16"/>
      <c r="Y2034" s="11"/>
      <c r="Z2034" s="11"/>
      <c r="AA2034" s="11"/>
      <c r="AB2034" s="11"/>
      <c r="AC2034" s="11"/>
      <c r="AD2034" s="11"/>
    </row>
    <row r="2035">
      <c r="A2035" s="10"/>
      <c r="B2035" s="10"/>
      <c r="C2035" s="10"/>
      <c r="D2035" s="10"/>
      <c r="E2035" s="10"/>
      <c r="F2035" s="11"/>
      <c r="G2035" s="11"/>
      <c r="H2035" s="11"/>
      <c r="I2035" s="11"/>
      <c r="J2035" s="11"/>
      <c r="K2035" s="11"/>
      <c r="L2035" s="12"/>
      <c r="M2035" s="11"/>
      <c r="N2035" s="11"/>
      <c r="O2035" s="13"/>
      <c r="P2035" s="14"/>
      <c r="Q2035" s="13"/>
      <c r="R2035" s="13"/>
      <c r="S2035" s="15"/>
      <c r="T2035" s="16"/>
      <c r="U2035" s="16"/>
      <c r="V2035" s="16"/>
      <c r="W2035" s="16"/>
      <c r="X2035" s="16"/>
      <c r="Y2035" s="11"/>
      <c r="Z2035" s="11"/>
      <c r="AA2035" s="11"/>
      <c r="AB2035" s="11"/>
      <c r="AC2035" s="11"/>
      <c r="AD2035" s="11"/>
    </row>
    <row r="2036">
      <c r="A2036" s="10"/>
      <c r="B2036" s="10"/>
      <c r="C2036" s="10"/>
      <c r="D2036" s="10"/>
      <c r="E2036" s="10"/>
      <c r="F2036" s="11"/>
      <c r="G2036" s="11"/>
      <c r="H2036" s="11"/>
      <c r="I2036" s="11"/>
      <c r="J2036" s="11"/>
      <c r="K2036" s="11"/>
      <c r="L2036" s="12"/>
      <c r="M2036" s="11"/>
      <c r="N2036" s="11"/>
      <c r="O2036" s="13"/>
      <c r="P2036" s="14"/>
      <c r="Q2036" s="13"/>
      <c r="R2036" s="13"/>
      <c r="S2036" s="15"/>
      <c r="T2036" s="16"/>
      <c r="U2036" s="16"/>
      <c r="V2036" s="16"/>
      <c r="W2036" s="16"/>
      <c r="X2036" s="16"/>
      <c r="Y2036" s="11"/>
      <c r="Z2036" s="11"/>
      <c r="AA2036" s="11"/>
      <c r="AB2036" s="11"/>
      <c r="AC2036" s="11"/>
      <c r="AD2036" s="11"/>
    </row>
    <row r="2037">
      <c r="A2037" s="10"/>
      <c r="B2037" s="10"/>
      <c r="C2037" s="10"/>
      <c r="D2037" s="10"/>
      <c r="E2037" s="10"/>
      <c r="F2037" s="11"/>
      <c r="G2037" s="11"/>
      <c r="H2037" s="11"/>
      <c r="I2037" s="11"/>
      <c r="J2037" s="11"/>
      <c r="K2037" s="11"/>
      <c r="L2037" s="12"/>
      <c r="M2037" s="11"/>
      <c r="N2037" s="11"/>
      <c r="O2037" s="13"/>
      <c r="P2037" s="14"/>
      <c r="Q2037" s="13"/>
      <c r="R2037" s="13"/>
      <c r="S2037" s="15"/>
      <c r="T2037" s="16"/>
      <c r="U2037" s="16"/>
      <c r="V2037" s="16"/>
      <c r="W2037" s="16"/>
      <c r="X2037" s="16"/>
      <c r="Y2037" s="11"/>
      <c r="Z2037" s="11"/>
      <c r="AA2037" s="11"/>
      <c r="AB2037" s="11"/>
      <c r="AC2037" s="11"/>
      <c r="AD2037" s="11"/>
    </row>
    <row r="2038">
      <c r="A2038" s="10"/>
      <c r="B2038" s="10"/>
      <c r="C2038" s="10"/>
      <c r="D2038" s="10"/>
      <c r="E2038" s="10"/>
      <c r="F2038" s="11"/>
      <c r="G2038" s="11"/>
      <c r="H2038" s="11"/>
      <c r="I2038" s="11"/>
      <c r="J2038" s="11"/>
      <c r="K2038" s="11"/>
      <c r="L2038" s="12"/>
      <c r="M2038" s="11"/>
      <c r="N2038" s="11"/>
      <c r="O2038" s="13"/>
      <c r="P2038" s="14"/>
      <c r="Q2038" s="13"/>
      <c r="R2038" s="13"/>
      <c r="S2038" s="15"/>
      <c r="T2038" s="16"/>
      <c r="U2038" s="16"/>
      <c r="V2038" s="16"/>
      <c r="W2038" s="16"/>
      <c r="X2038" s="16"/>
      <c r="Y2038" s="11"/>
      <c r="Z2038" s="11"/>
      <c r="AA2038" s="11"/>
      <c r="AB2038" s="11"/>
      <c r="AC2038" s="11"/>
      <c r="AD2038" s="11"/>
    </row>
    <row r="2039">
      <c r="A2039" s="10"/>
      <c r="B2039" s="10"/>
      <c r="C2039" s="10"/>
      <c r="D2039" s="10"/>
      <c r="E2039" s="10"/>
      <c r="F2039" s="11"/>
      <c r="G2039" s="11"/>
      <c r="H2039" s="11"/>
      <c r="I2039" s="11"/>
      <c r="J2039" s="11"/>
      <c r="K2039" s="11"/>
      <c r="L2039" s="12"/>
      <c r="M2039" s="11"/>
      <c r="N2039" s="11"/>
      <c r="O2039" s="13"/>
      <c r="P2039" s="14"/>
      <c r="Q2039" s="13"/>
      <c r="R2039" s="13"/>
      <c r="S2039" s="15"/>
      <c r="T2039" s="16"/>
      <c r="U2039" s="16"/>
      <c r="V2039" s="16"/>
      <c r="W2039" s="16"/>
      <c r="X2039" s="16"/>
      <c r="Y2039" s="11"/>
      <c r="Z2039" s="11"/>
      <c r="AA2039" s="11"/>
      <c r="AB2039" s="11"/>
      <c r="AC2039" s="11"/>
      <c r="AD2039" s="11"/>
    </row>
    <row r="2040">
      <c r="A2040" s="10"/>
      <c r="B2040" s="10"/>
      <c r="C2040" s="10"/>
      <c r="D2040" s="10"/>
      <c r="E2040" s="10"/>
      <c r="F2040" s="11"/>
      <c r="G2040" s="11"/>
      <c r="H2040" s="11"/>
      <c r="I2040" s="11"/>
      <c r="J2040" s="11"/>
      <c r="K2040" s="11"/>
      <c r="L2040" s="12"/>
      <c r="M2040" s="11"/>
      <c r="N2040" s="11"/>
      <c r="O2040" s="13"/>
      <c r="P2040" s="14"/>
      <c r="Q2040" s="13"/>
      <c r="R2040" s="13"/>
      <c r="S2040" s="15"/>
      <c r="T2040" s="16"/>
      <c r="U2040" s="16"/>
      <c r="V2040" s="16"/>
      <c r="W2040" s="16"/>
      <c r="X2040" s="16"/>
      <c r="Y2040" s="11"/>
      <c r="Z2040" s="11"/>
      <c r="AA2040" s="11"/>
      <c r="AB2040" s="11"/>
      <c r="AC2040" s="11"/>
      <c r="AD2040" s="11"/>
    </row>
    <row r="2041">
      <c r="A2041" s="10"/>
      <c r="B2041" s="10"/>
      <c r="C2041" s="10"/>
      <c r="D2041" s="10"/>
      <c r="E2041" s="10"/>
      <c r="F2041" s="11"/>
      <c r="G2041" s="11"/>
      <c r="H2041" s="11"/>
      <c r="I2041" s="11"/>
      <c r="J2041" s="11"/>
      <c r="K2041" s="11"/>
      <c r="L2041" s="12"/>
      <c r="M2041" s="11"/>
      <c r="N2041" s="11"/>
      <c r="O2041" s="13"/>
      <c r="P2041" s="14"/>
      <c r="Q2041" s="13"/>
      <c r="R2041" s="13"/>
      <c r="S2041" s="15"/>
      <c r="T2041" s="16"/>
      <c r="U2041" s="16"/>
      <c r="V2041" s="16"/>
      <c r="W2041" s="16"/>
      <c r="X2041" s="16"/>
      <c r="Y2041" s="11"/>
      <c r="Z2041" s="11"/>
      <c r="AA2041" s="11"/>
      <c r="AB2041" s="11"/>
      <c r="AC2041" s="11"/>
      <c r="AD2041" s="11"/>
    </row>
    <row r="2042">
      <c r="A2042" s="10"/>
      <c r="B2042" s="10"/>
      <c r="C2042" s="10"/>
      <c r="D2042" s="10"/>
      <c r="E2042" s="10"/>
      <c r="F2042" s="11"/>
      <c r="G2042" s="11"/>
      <c r="H2042" s="11"/>
      <c r="I2042" s="11"/>
      <c r="J2042" s="11"/>
      <c r="K2042" s="11"/>
      <c r="L2042" s="12"/>
      <c r="M2042" s="11"/>
      <c r="N2042" s="11"/>
      <c r="O2042" s="13"/>
      <c r="P2042" s="14"/>
      <c r="Q2042" s="13"/>
      <c r="R2042" s="13"/>
      <c r="S2042" s="15"/>
      <c r="T2042" s="16"/>
      <c r="U2042" s="16"/>
      <c r="V2042" s="16"/>
      <c r="W2042" s="16"/>
      <c r="X2042" s="16"/>
      <c r="Y2042" s="11"/>
      <c r="Z2042" s="11"/>
      <c r="AA2042" s="11"/>
      <c r="AB2042" s="11"/>
      <c r="AC2042" s="11"/>
      <c r="AD2042" s="11"/>
    </row>
    <row r="2043">
      <c r="A2043" s="10"/>
      <c r="B2043" s="10"/>
      <c r="C2043" s="10"/>
      <c r="D2043" s="10"/>
      <c r="E2043" s="10"/>
      <c r="F2043" s="11"/>
      <c r="G2043" s="11"/>
      <c r="H2043" s="11"/>
      <c r="I2043" s="11"/>
      <c r="J2043" s="11"/>
      <c r="K2043" s="11"/>
      <c r="L2043" s="12"/>
      <c r="M2043" s="11"/>
      <c r="N2043" s="11"/>
      <c r="O2043" s="13"/>
      <c r="P2043" s="14"/>
      <c r="Q2043" s="13"/>
      <c r="R2043" s="13"/>
      <c r="S2043" s="15"/>
      <c r="T2043" s="16"/>
      <c r="U2043" s="16"/>
      <c r="V2043" s="16"/>
      <c r="W2043" s="16"/>
      <c r="X2043" s="16"/>
      <c r="Y2043" s="11"/>
      <c r="Z2043" s="11"/>
      <c r="AA2043" s="11"/>
      <c r="AB2043" s="11"/>
      <c r="AC2043" s="11"/>
      <c r="AD2043" s="11"/>
    </row>
    <row r="2044">
      <c r="A2044" s="10"/>
      <c r="B2044" s="10"/>
      <c r="C2044" s="10"/>
      <c r="D2044" s="10"/>
      <c r="E2044" s="10"/>
      <c r="F2044" s="11"/>
      <c r="G2044" s="11"/>
      <c r="H2044" s="11"/>
      <c r="I2044" s="11"/>
      <c r="J2044" s="11"/>
      <c r="K2044" s="11"/>
      <c r="L2044" s="12"/>
      <c r="M2044" s="11"/>
      <c r="N2044" s="11"/>
      <c r="O2044" s="13"/>
      <c r="P2044" s="14"/>
      <c r="Q2044" s="13"/>
      <c r="R2044" s="13"/>
      <c r="S2044" s="15"/>
      <c r="T2044" s="16"/>
      <c r="U2044" s="16"/>
      <c r="V2044" s="16"/>
      <c r="W2044" s="16"/>
      <c r="X2044" s="16"/>
      <c r="Y2044" s="11"/>
      <c r="Z2044" s="11"/>
      <c r="AA2044" s="11"/>
      <c r="AB2044" s="11"/>
      <c r="AC2044" s="11"/>
      <c r="AD2044" s="11"/>
    </row>
    <row r="2045">
      <c r="A2045" s="10"/>
      <c r="B2045" s="10"/>
      <c r="C2045" s="10"/>
      <c r="D2045" s="10"/>
      <c r="E2045" s="10"/>
      <c r="F2045" s="11"/>
      <c r="G2045" s="11"/>
      <c r="H2045" s="11"/>
      <c r="I2045" s="11"/>
      <c r="J2045" s="11"/>
      <c r="K2045" s="11"/>
      <c r="L2045" s="12"/>
      <c r="M2045" s="11"/>
      <c r="N2045" s="11"/>
      <c r="O2045" s="13"/>
      <c r="P2045" s="14"/>
      <c r="Q2045" s="13"/>
      <c r="R2045" s="13"/>
      <c r="S2045" s="15"/>
      <c r="T2045" s="16"/>
      <c r="U2045" s="16"/>
      <c r="V2045" s="16"/>
      <c r="W2045" s="16"/>
      <c r="X2045" s="16"/>
      <c r="Y2045" s="11"/>
      <c r="Z2045" s="11"/>
      <c r="AA2045" s="11"/>
      <c r="AB2045" s="11"/>
      <c r="AC2045" s="11"/>
      <c r="AD2045" s="11"/>
    </row>
    <row r="2046">
      <c r="A2046" s="10"/>
      <c r="B2046" s="10"/>
      <c r="C2046" s="10"/>
      <c r="D2046" s="10"/>
      <c r="E2046" s="10"/>
      <c r="F2046" s="11"/>
      <c r="G2046" s="11"/>
      <c r="H2046" s="11"/>
      <c r="I2046" s="11"/>
      <c r="J2046" s="11"/>
      <c r="K2046" s="11"/>
      <c r="L2046" s="12"/>
      <c r="M2046" s="11"/>
      <c r="N2046" s="11"/>
      <c r="O2046" s="13"/>
      <c r="P2046" s="14"/>
      <c r="Q2046" s="13"/>
      <c r="R2046" s="13"/>
      <c r="S2046" s="15"/>
      <c r="T2046" s="16"/>
      <c r="U2046" s="16"/>
      <c r="V2046" s="16"/>
      <c r="W2046" s="16"/>
      <c r="X2046" s="16"/>
      <c r="Y2046" s="11"/>
      <c r="Z2046" s="11"/>
      <c r="AA2046" s="11"/>
      <c r="AB2046" s="11"/>
      <c r="AC2046" s="11"/>
      <c r="AD2046" s="11"/>
    </row>
    <row r="2047">
      <c r="A2047" s="10"/>
      <c r="B2047" s="10"/>
      <c r="C2047" s="10"/>
      <c r="D2047" s="10"/>
      <c r="E2047" s="10"/>
      <c r="F2047" s="11"/>
      <c r="G2047" s="11"/>
      <c r="H2047" s="11"/>
      <c r="I2047" s="11"/>
      <c r="J2047" s="11"/>
      <c r="K2047" s="11"/>
      <c r="L2047" s="12"/>
      <c r="M2047" s="11"/>
      <c r="N2047" s="11"/>
      <c r="O2047" s="13"/>
      <c r="P2047" s="14"/>
      <c r="Q2047" s="13"/>
      <c r="R2047" s="13"/>
      <c r="S2047" s="15"/>
      <c r="T2047" s="16"/>
      <c r="U2047" s="16"/>
      <c r="V2047" s="16"/>
      <c r="W2047" s="16"/>
      <c r="X2047" s="16"/>
      <c r="Y2047" s="11"/>
      <c r="Z2047" s="11"/>
      <c r="AA2047" s="11"/>
      <c r="AB2047" s="11"/>
      <c r="AC2047" s="11"/>
      <c r="AD2047" s="11"/>
    </row>
    <row r="2048">
      <c r="A2048" s="10"/>
      <c r="B2048" s="10"/>
      <c r="C2048" s="10"/>
      <c r="D2048" s="10"/>
      <c r="E2048" s="10"/>
      <c r="F2048" s="11"/>
      <c r="G2048" s="11"/>
      <c r="H2048" s="11"/>
      <c r="I2048" s="11"/>
      <c r="J2048" s="11"/>
      <c r="K2048" s="11"/>
      <c r="L2048" s="12"/>
      <c r="M2048" s="11"/>
      <c r="N2048" s="11"/>
      <c r="O2048" s="13"/>
      <c r="P2048" s="14"/>
      <c r="Q2048" s="13"/>
      <c r="R2048" s="13"/>
      <c r="S2048" s="15"/>
      <c r="T2048" s="16"/>
      <c r="U2048" s="16"/>
      <c r="V2048" s="16"/>
      <c r="W2048" s="16"/>
      <c r="X2048" s="16"/>
      <c r="Y2048" s="11"/>
      <c r="Z2048" s="11"/>
      <c r="AA2048" s="11"/>
      <c r="AB2048" s="11"/>
      <c r="AC2048" s="11"/>
      <c r="AD2048" s="11"/>
    </row>
    <row r="2049">
      <c r="A2049" s="10"/>
      <c r="B2049" s="10"/>
      <c r="C2049" s="10"/>
      <c r="D2049" s="10"/>
      <c r="E2049" s="10"/>
      <c r="F2049" s="11"/>
      <c r="G2049" s="11"/>
      <c r="H2049" s="11"/>
      <c r="I2049" s="11"/>
      <c r="J2049" s="11"/>
      <c r="K2049" s="11"/>
      <c r="L2049" s="12"/>
      <c r="M2049" s="11"/>
      <c r="N2049" s="11"/>
      <c r="O2049" s="13"/>
      <c r="P2049" s="14"/>
      <c r="Q2049" s="13"/>
      <c r="R2049" s="13"/>
      <c r="S2049" s="15"/>
      <c r="T2049" s="16"/>
      <c r="U2049" s="16"/>
      <c r="V2049" s="16"/>
      <c r="W2049" s="16"/>
      <c r="X2049" s="16"/>
      <c r="Y2049" s="11"/>
      <c r="Z2049" s="11"/>
      <c r="AA2049" s="11"/>
      <c r="AB2049" s="11"/>
      <c r="AC2049" s="11"/>
      <c r="AD2049" s="11"/>
    </row>
    <row r="2050">
      <c r="A2050" s="10"/>
      <c r="B2050" s="10"/>
      <c r="C2050" s="10"/>
      <c r="D2050" s="10"/>
      <c r="E2050" s="10"/>
      <c r="F2050" s="11"/>
      <c r="G2050" s="11"/>
      <c r="H2050" s="11"/>
      <c r="I2050" s="11"/>
      <c r="J2050" s="11"/>
      <c r="K2050" s="11"/>
      <c r="L2050" s="12"/>
      <c r="M2050" s="11"/>
      <c r="N2050" s="11"/>
      <c r="O2050" s="13"/>
      <c r="P2050" s="14"/>
      <c r="Q2050" s="13"/>
      <c r="R2050" s="13"/>
      <c r="S2050" s="15"/>
      <c r="T2050" s="16"/>
      <c r="U2050" s="16"/>
      <c r="V2050" s="16"/>
      <c r="W2050" s="16"/>
      <c r="X2050" s="16"/>
      <c r="Y2050" s="11"/>
      <c r="Z2050" s="11"/>
      <c r="AA2050" s="11"/>
      <c r="AB2050" s="11"/>
      <c r="AC2050" s="11"/>
      <c r="AD2050" s="11"/>
    </row>
    <row r="2051">
      <c r="A2051" s="10"/>
      <c r="B2051" s="10"/>
      <c r="C2051" s="10"/>
      <c r="D2051" s="10"/>
      <c r="E2051" s="10"/>
      <c r="F2051" s="11"/>
      <c r="G2051" s="11"/>
      <c r="H2051" s="11"/>
      <c r="I2051" s="11"/>
      <c r="J2051" s="11"/>
      <c r="K2051" s="11"/>
      <c r="L2051" s="12"/>
      <c r="M2051" s="11"/>
      <c r="N2051" s="11"/>
      <c r="O2051" s="13"/>
      <c r="P2051" s="14"/>
      <c r="Q2051" s="13"/>
      <c r="R2051" s="13"/>
      <c r="S2051" s="15"/>
      <c r="T2051" s="16"/>
      <c r="U2051" s="16"/>
      <c r="V2051" s="16"/>
      <c r="W2051" s="16"/>
      <c r="X2051" s="16"/>
      <c r="Y2051" s="11"/>
      <c r="Z2051" s="11"/>
      <c r="AA2051" s="11"/>
      <c r="AB2051" s="11"/>
      <c r="AC2051" s="11"/>
      <c r="AD2051" s="11"/>
    </row>
    <row r="2052">
      <c r="A2052" s="10"/>
      <c r="B2052" s="10"/>
      <c r="C2052" s="10"/>
      <c r="D2052" s="10"/>
      <c r="E2052" s="10"/>
      <c r="F2052" s="11"/>
      <c r="G2052" s="11"/>
      <c r="H2052" s="11"/>
      <c r="I2052" s="11"/>
      <c r="J2052" s="11"/>
      <c r="K2052" s="11"/>
      <c r="L2052" s="12"/>
      <c r="M2052" s="11"/>
      <c r="N2052" s="11"/>
      <c r="O2052" s="13"/>
      <c r="P2052" s="14"/>
      <c r="Q2052" s="13"/>
      <c r="R2052" s="13"/>
      <c r="S2052" s="15"/>
      <c r="T2052" s="16"/>
      <c r="U2052" s="16"/>
      <c r="V2052" s="16"/>
      <c r="W2052" s="16"/>
      <c r="X2052" s="16"/>
      <c r="Y2052" s="11"/>
      <c r="Z2052" s="11"/>
      <c r="AA2052" s="11"/>
      <c r="AB2052" s="11"/>
      <c r="AC2052" s="11"/>
      <c r="AD2052" s="11"/>
    </row>
    <row r="2053">
      <c r="A2053" s="10"/>
      <c r="B2053" s="10"/>
      <c r="C2053" s="10"/>
      <c r="D2053" s="10"/>
      <c r="E2053" s="10"/>
      <c r="F2053" s="11"/>
      <c r="G2053" s="11"/>
      <c r="H2053" s="11"/>
      <c r="I2053" s="11"/>
      <c r="J2053" s="11"/>
      <c r="K2053" s="11"/>
      <c r="L2053" s="12"/>
      <c r="M2053" s="11"/>
      <c r="N2053" s="11"/>
      <c r="O2053" s="13"/>
      <c r="P2053" s="14"/>
      <c r="Q2053" s="13"/>
      <c r="R2053" s="13"/>
      <c r="S2053" s="15"/>
      <c r="T2053" s="16"/>
      <c r="U2053" s="16"/>
      <c r="V2053" s="16"/>
      <c r="W2053" s="16"/>
      <c r="X2053" s="16"/>
      <c r="Y2053" s="11"/>
      <c r="Z2053" s="11"/>
      <c r="AA2053" s="11"/>
      <c r="AB2053" s="11"/>
      <c r="AC2053" s="11"/>
      <c r="AD2053" s="11"/>
    </row>
    <row r="2054">
      <c r="A2054" s="10"/>
      <c r="B2054" s="10"/>
      <c r="C2054" s="10"/>
      <c r="D2054" s="10"/>
      <c r="E2054" s="10"/>
      <c r="F2054" s="11"/>
      <c r="G2054" s="11"/>
      <c r="H2054" s="11"/>
      <c r="I2054" s="11"/>
      <c r="J2054" s="11"/>
      <c r="K2054" s="11"/>
      <c r="L2054" s="12"/>
      <c r="M2054" s="11"/>
      <c r="N2054" s="11"/>
      <c r="O2054" s="13"/>
      <c r="P2054" s="14"/>
      <c r="Q2054" s="13"/>
      <c r="R2054" s="13"/>
      <c r="S2054" s="15"/>
      <c r="T2054" s="16"/>
      <c r="U2054" s="16"/>
      <c r="V2054" s="16"/>
      <c r="W2054" s="16"/>
      <c r="X2054" s="16"/>
      <c r="Y2054" s="11"/>
      <c r="Z2054" s="11"/>
      <c r="AA2054" s="11"/>
      <c r="AB2054" s="11"/>
      <c r="AC2054" s="11"/>
      <c r="AD2054" s="11"/>
    </row>
    <row r="2055">
      <c r="A2055" s="10"/>
      <c r="B2055" s="10"/>
      <c r="C2055" s="10"/>
      <c r="D2055" s="10"/>
      <c r="E2055" s="10"/>
      <c r="F2055" s="11"/>
      <c r="G2055" s="11"/>
      <c r="H2055" s="11"/>
      <c r="I2055" s="11"/>
      <c r="J2055" s="11"/>
      <c r="K2055" s="11"/>
      <c r="L2055" s="12"/>
      <c r="M2055" s="11"/>
      <c r="N2055" s="11"/>
      <c r="O2055" s="13"/>
      <c r="P2055" s="14"/>
      <c r="Q2055" s="13"/>
      <c r="R2055" s="13"/>
      <c r="S2055" s="15"/>
      <c r="T2055" s="16"/>
      <c r="U2055" s="16"/>
      <c r="V2055" s="16"/>
      <c r="W2055" s="16"/>
      <c r="X2055" s="16"/>
      <c r="Y2055" s="11"/>
      <c r="Z2055" s="11"/>
      <c r="AA2055" s="11"/>
      <c r="AB2055" s="11"/>
      <c r="AC2055" s="11"/>
      <c r="AD2055" s="11"/>
    </row>
    <row r="2056">
      <c r="A2056" s="10"/>
      <c r="B2056" s="10"/>
      <c r="C2056" s="10"/>
      <c r="D2056" s="10"/>
      <c r="E2056" s="10"/>
      <c r="F2056" s="11"/>
      <c r="G2056" s="11"/>
      <c r="H2056" s="11"/>
      <c r="I2056" s="11"/>
      <c r="J2056" s="11"/>
      <c r="K2056" s="11"/>
      <c r="L2056" s="12"/>
      <c r="M2056" s="11"/>
      <c r="N2056" s="11"/>
      <c r="O2056" s="13"/>
      <c r="P2056" s="14"/>
      <c r="Q2056" s="13"/>
      <c r="R2056" s="13"/>
      <c r="S2056" s="15"/>
      <c r="T2056" s="16"/>
      <c r="U2056" s="16"/>
      <c r="V2056" s="16"/>
      <c r="W2056" s="16"/>
      <c r="X2056" s="16"/>
      <c r="Y2056" s="11"/>
      <c r="Z2056" s="11"/>
      <c r="AA2056" s="11"/>
      <c r="AB2056" s="11"/>
      <c r="AC2056" s="11"/>
      <c r="AD2056" s="11"/>
    </row>
    <row r="2057">
      <c r="A2057" s="10"/>
      <c r="B2057" s="10"/>
      <c r="C2057" s="10"/>
      <c r="D2057" s="10"/>
      <c r="E2057" s="10"/>
      <c r="F2057" s="11"/>
      <c r="G2057" s="11"/>
      <c r="H2057" s="11"/>
      <c r="I2057" s="11"/>
      <c r="J2057" s="11"/>
      <c r="K2057" s="11"/>
      <c r="L2057" s="12"/>
      <c r="M2057" s="11"/>
      <c r="N2057" s="11"/>
      <c r="O2057" s="13"/>
      <c r="P2057" s="14"/>
      <c r="Q2057" s="13"/>
      <c r="R2057" s="13"/>
      <c r="S2057" s="15"/>
      <c r="T2057" s="16"/>
      <c r="U2057" s="16"/>
      <c r="V2057" s="16"/>
      <c r="W2057" s="16"/>
      <c r="X2057" s="16"/>
      <c r="Y2057" s="11"/>
      <c r="Z2057" s="11"/>
      <c r="AA2057" s="11"/>
      <c r="AB2057" s="11"/>
      <c r="AC2057" s="11"/>
      <c r="AD2057" s="11"/>
    </row>
    <row r="2058">
      <c r="A2058" s="10"/>
      <c r="B2058" s="10"/>
      <c r="C2058" s="10"/>
      <c r="D2058" s="10"/>
      <c r="E2058" s="10"/>
      <c r="F2058" s="11"/>
      <c r="G2058" s="11"/>
      <c r="H2058" s="11"/>
      <c r="I2058" s="11"/>
      <c r="J2058" s="11"/>
      <c r="K2058" s="11"/>
      <c r="L2058" s="12"/>
      <c r="M2058" s="11"/>
      <c r="N2058" s="11"/>
      <c r="O2058" s="13"/>
      <c r="P2058" s="14"/>
      <c r="Q2058" s="13"/>
      <c r="R2058" s="13"/>
      <c r="S2058" s="15"/>
      <c r="T2058" s="16"/>
      <c r="U2058" s="16"/>
      <c r="V2058" s="16"/>
      <c r="W2058" s="16"/>
      <c r="X2058" s="16"/>
      <c r="Y2058" s="11"/>
      <c r="Z2058" s="11"/>
      <c r="AA2058" s="11"/>
      <c r="AB2058" s="11"/>
      <c r="AC2058" s="11"/>
      <c r="AD2058" s="11"/>
    </row>
    <row r="2059">
      <c r="A2059" s="10"/>
      <c r="B2059" s="10"/>
      <c r="C2059" s="10"/>
      <c r="D2059" s="10"/>
      <c r="E2059" s="10"/>
      <c r="F2059" s="11"/>
      <c r="G2059" s="11"/>
      <c r="H2059" s="11"/>
      <c r="I2059" s="11"/>
      <c r="J2059" s="11"/>
      <c r="K2059" s="11"/>
      <c r="L2059" s="12"/>
      <c r="M2059" s="11"/>
      <c r="N2059" s="11"/>
      <c r="O2059" s="13"/>
      <c r="P2059" s="14"/>
      <c r="Q2059" s="13"/>
      <c r="R2059" s="13"/>
      <c r="S2059" s="15"/>
      <c r="T2059" s="16"/>
      <c r="U2059" s="16"/>
      <c r="V2059" s="16"/>
      <c r="W2059" s="16"/>
      <c r="X2059" s="16"/>
      <c r="Y2059" s="11"/>
      <c r="Z2059" s="11"/>
      <c r="AA2059" s="11"/>
      <c r="AB2059" s="11"/>
      <c r="AC2059" s="11"/>
      <c r="AD2059" s="11"/>
    </row>
    <row r="2060">
      <c r="A2060" s="10"/>
      <c r="B2060" s="10"/>
      <c r="C2060" s="10"/>
      <c r="D2060" s="10"/>
      <c r="E2060" s="10"/>
      <c r="F2060" s="11"/>
      <c r="G2060" s="11"/>
      <c r="H2060" s="11"/>
      <c r="I2060" s="11"/>
      <c r="J2060" s="11"/>
      <c r="K2060" s="11"/>
      <c r="L2060" s="12"/>
      <c r="M2060" s="11"/>
      <c r="N2060" s="11"/>
      <c r="O2060" s="13"/>
      <c r="P2060" s="14"/>
      <c r="Q2060" s="13"/>
      <c r="R2060" s="13"/>
      <c r="S2060" s="15"/>
      <c r="T2060" s="16"/>
      <c r="U2060" s="16"/>
      <c r="V2060" s="16"/>
      <c r="W2060" s="16"/>
      <c r="X2060" s="16"/>
      <c r="Y2060" s="11"/>
      <c r="Z2060" s="11"/>
      <c r="AA2060" s="11"/>
      <c r="AB2060" s="11"/>
      <c r="AC2060" s="11"/>
      <c r="AD2060" s="11"/>
    </row>
    <row r="2061">
      <c r="A2061" s="10"/>
      <c r="B2061" s="10"/>
      <c r="C2061" s="10"/>
      <c r="D2061" s="10"/>
      <c r="E2061" s="10"/>
      <c r="F2061" s="11"/>
      <c r="G2061" s="11"/>
      <c r="H2061" s="11"/>
      <c r="I2061" s="11"/>
      <c r="J2061" s="11"/>
      <c r="K2061" s="11"/>
      <c r="L2061" s="12"/>
      <c r="M2061" s="11"/>
      <c r="N2061" s="11"/>
      <c r="O2061" s="13"/>
      <c r="P2061" s="14"/>
      <c r="Q2061" s="13"/>
      <c r="R2061" s="13"/>
      <c r="S2061" s="15"/>
      <c r="T2061" s="16"/>
      <c r="U2061" s="16"/>
      <c r="V2061" s="16"/>
      <c r="W2061" s="16"/>
      <c r="X2061" s="16"/>
      <c r="Y2061" s="11"/>
      <c r="Z2061" s="11"/>
      <c r="AA2061" s="11"/>
      <c r="AB2061" s="11"/>
      <c r="AC2061" s="11"/>
      <c r="AD2061" s="11"/>
    </row>
    <row r="2062">
      <c r="A2062" s="10"/>
      <c r="B2062" s="10"/>
      <c r="C2062" s="10"/>
      <c r="D2062" s="10"/>
      <c r="E2062" s="10"/>
      <c r="F2062" s="11"/>
      <c r="G2062" s="11"/>
      <c r="H2062" s="11"/>
      <c r="I2062" s="11"/>
      <c r="J2062" s="11"/>
      <c r="K2062" s="11"/>
      <c r="L2062" s="12"/>
      <c r="M2062" s="11"/>
      <c r="N2062" s="11"/>
      <c r="O2062" s="13"/>
      <c r="P2062" s="14"/>
      <c r="Q2062" s="13"/>
      <c r="R2062" s="13"/>
      <c r="S2062" s="15"/>
      <c r="T2062" s="16"/>
      <c r="U2062" s="16"/>
      <c r="V2062" s="16"/>
      <c r="W2062" s="16"/>
      <c r="X2062" s="16"/>
      <c r="Y2062" s="11"/>
      <c r="Z2062" s="11"/>
      <c r="AA2062" s="11"/>
      <c r="AB2062" s="11"/>
      <c r="AC2062" s="11"/>
      <c r="AD2062" s="11"/>
    </row>
    <row r="2063">
      <c r="A2063" s="10"/>
      <c r="B2063" s="10"/>
      <c r="C2063" s="10"/>
      <c r="D2063" s="10"/>
      <c r="E2063" s="10"/>
      <c r="F2063" s="11"/>
      <c r="G2063" s="11"/>
      <c r="H2063" s="11"/>
      <c r="I2063" s="11"/>
      <c r="J2063" s="11"/>
      <c r="K2063" s="11"/>
      <c r="L2063" s="12"/>
      <c r="M2063" s="11"/>
      <c r="N2063" s="11"/>
      <c r="O2063" s="13"/>
      <c r="P2063" s="14"/>
      <c r="Q2063" s="13"/>
      <c r="R2063" s="13"/>
      <c r="S2063" s="15"/>
      <c r="T2063" s="16"/>
      <c r="U2063" s="16"/>
      <c r="V2063" s="16"/>
      <c r="W2063" s="16"/>
      <c r="X2063" s="16"/>
      <c r="Y2063" s="11"/>
      <c r="Z2063" s="11"/>
      <c r="AA2063" s="11"/>
      <c r="AB2063" s="11"/>
      <c r="AC2063" s="11"/>
      <c r="AD2063" s="11"/>
    </row>
    <row r="2064">
      <c r="A2064" s="10"/>
      <c r="B2064" s="10"/>
      <c r="C2064" s="10"/>
      <c r="D2064" s="10"/>
      <c r="E2064" s="10"/>
      <c r="F2064" s="11"/>
      <c r="G2064" s="11"/>
      <c r="H2064" s="11"/>
      <c r="I2064" s="11"/>
      <c r="J2064" s="11"/>
      <c r="K2064" s="11"/>
      <c r="L2064" s="12"/>
      <c r="M2064" s="11"/>
      <c r="N2064" s="11"/>
      <c r="O2064" s="13"/>
      <c r="P2064" s="14"/>
      <c r="Q2064" s="13"/>
      <c r="R2064" s="13"/>
      <c r="S2064" s="15"/>
      <c r="T2064" s="16"/>
      <c r="U2064" s="16"/>
      <c r="V2064" s="16"/>
      <c r="W2064" s="16"/>
      <c r="X2064" s="16"/>
      <c r="Y2064" s="11"/>
      <c r="Z2064" s="11"/>
      <c r="AA2064" s="11"/>
      <c r="AB2064" s="11"/>
      <c r="AC2064" s="11"/>
      <c r="AD2064" s="11"/>
    </row>
    <row r="2065">
      <c r="A2065" s="10"/>
      <c r="B2065" s="10"/>
      <c r="C2065" s="10"/>
      <c r="D2065" s="10"/>
      <c r="E2065" s="10"/>
      <c r="F2065" s="11"/>
      <c r="G2065" s="11"/>
      <c r="H2065" s="11"/>
      <c r="I2065" s="11"/>
      <c r="J2065" s="11"/>
      <c r="K2065" s="11"/>
      <c r="L2065" s="12"/>
      <c r="M2065" s="11"/>
      <c r="N2065" s="11"/>
      <c r="O2065" s="13"/>
      <c r="P2065" s="14"/>
      <c r="Q2065" s="13"/>
      <c r="R2065" s="13"/>
      <c r="S2065" s="15"/>
      <c r="T2065" s="16"/>
      <c r="U2065" s="16"/>
      <c r="V2065" s="16"/>
      <c r="W2065" s="16"/>
      <c r="X2065" s="16"/>
      <c r="Y2065" s="11"/>
      <c r="Z2065" s="11"/>
      <c r="AA2065" s="11"/>
      <c r="AB2065" s="11"/>
      <c r="AC2065" s="11"/>
      <c r="AD2065" s="11"/>
    </row>
    <row r="2066">
      <c r="A2066" s="10"/>
      <c r="B2066" s="10"/>
      <c r="C2066" s="10"/>
      <c r="D2066" s="10"/>
      <c r="E2066" s="10"/>
      <c r="F2066" s="11"/>
      <c r="G2066" s="11"/>
      <c r="H2066" s="11"/>
      <c r="I2066" s="11"/>
      <c r="J2066" s="11"/>
      <c r="K2066" s="11"/>
      <c r="L2066" s="12"/>
      <c r="M2066" s="11"/>
      <c r="N2066" s="11"/>
      <c r="O2066" s="13"/>
      <c r="P2066" s="14"/>
      <c r="Q2066" s="13"/>
      <c r="R2066" s="13"/>
      <c r="S2066" s="15"/>
      <c r="T2066" s="16"/>
      <c r="U2066" s="16"/>
      <c r="V2066" s="16"/>
      <c r="W2066" s="16"/>
      <c r="X2066" s="16"/>
      <c r="Y2066" s="11"/>
      <c r="Z2066" s="11"/>
      <c r="AA2066" s="11"/>
      <c r="AB2066" s="11"/>
      <c r="AC2066" s="11"/>
      <c r="AD2066" s="11"/>
    </row>
    <row r="2067">
      <c r="A2067" s="10"/>
      <c r="B2067" s="10"/>
      <c r="C2067" s="10"/>
      <c r="D2067" s="10"/>
      <c r="E2067" s="10"/>
      <c r="F2067" s="11"/>
      <c r="G2067" s="11"/>
      <c r="H2067" s="11"/>
      <c r="I2067" s="11"/>
      <c r="J2067" s="11"/>
      <c r="K2067" s="11"/>
      <c r="L2067" s="12"/>
      <c r="M2067" s="11"/>
      <c r="N2067" s="11"/>
      <c r="O2067" s="13"/>
      <c r="P2067" s="14"/>
      <c r="Q2067" s="13"/>
      <c r="R2067" s="13"/>
      <c r="S2067" s="15"/>
      <c r="T2067" s="16"/>
      <c r="U2067" s="16"/>
      <c r="V2067" s="16"/>
      <c r="W2067" s="16"/>
      <c r="X2067" s="16"/>
      <c r="Y2067" s="11"/>
      <c r="Z2067" s="11"/>
      <c r="AA2067" s="11"/>
      <c r="AB2067" s="11"/>
      <c r="AC2067" s="11"/>
      <c r="AD2067" s="11"/>
    </row>
    <row r="2068">
      <c r="A2068" s="10"/>
      <c r="B2068" s="10"/>
      <c r="C2068" s="10"/>
      <c r="D2068" s="10"/>
      <c r="E2068" s="10"/>
      <c r="F2068" s="11"/>
      <c r="G2068" s="11"/>
      <c r="H2068" s="11"/>
      <c r="I2068" s="11"/>
      <c r="J2068" s="11"/>
      <c r="K2068" s="11"/>
      <c r="L2068" s="12"/>
      <c r="M2068" s="11"/>
      <c r="N2068" s="11"/>
      <c r="O2068" s="13"/>
      <c r="P2068" s="14"/>
      <c r="Q2068" s="13"/>
      <c r="R2068" s="13"/>
      <c r="S2068" s="15"/>
      <c r="T2068" s="16"/>
      <c r="U2068" s="16"/>
      <c r="V2068" s="16"/>
      <c r="W2068" s="16"/>
      <c r="X2068" s="16"/>
      <c r="Y2068" s="11"/>
      <c r="Z2068" s="11"/>
      <c r="AA2068" s="11"/>
      <c r="AB2068" s="11"/>
      <c r="AC2068" s="11"/>
      <c r="AD2068" s="11"/>
    </row>
    <row r="2069">
      <c r="A2069" s="10"/>
      <c r="B2069" s="10"/>
      <c r="C2069" s="10"/>
      <c r="D2069" s="10"/>
      <c r="E2069" s="10"/>
      <c r="F2069" s="11"/>
      <c r="G2069" s="11"/>
      <c r="H2069" s="11"/>
      <c r="I2069" s="11"/>
      <c r="J2069" s="11"/>
      <c r="K2069" s="11"/>
      <c r="L2069" s="12"/>
      <c r="M2069" s="11"/>
      <c r="N2069" s="11"/>
      <c r="O2069" s="13"/>
      <c r="P2069" s="14"/>
      <c r="Q2069" s="13"/>
      <c r="R2069" s="13"/>
      <c r="S2069" s="15"/>
      <c r="T2069" s="16"/>
      <c r="U2069" s="16"/>
      <c r="V2069" s="16"/>
      <c r="W2069" s="16"/>
      <c r="X2069" s="16"/>
      <c r="Y2069" s="11"/>
      <c r="Z2069" s="11"/>
      <c r="AA2069" s="11"/>
      <c r="AB2069" s="11"/>
      <c r="AC2069" s="11"/>
      <c r="AD2069" s="11"/>
    </row>
    <row r="2070">
      <c r="A2070" s="10"/>
      <c r="B2070" s="10"/>
      <c r="C2070" s="10"/>
      <c r="D2070" s="10"/>
      <c r="E2070" s="10"/>
      <c r="F2070" s="11"/>
      <c r="G2070" s="11"/>
      <c r="H2070" s="11"/>
      <c r="I2070" s="11"/>
      <c r="J2070" s="11"/>
      <c r="K2070" s="11"/>
      <c r="L2070" s="12"/>
      <c r="M2070" s="11"/>
      <c r="N2070" s="11"/>
      <c r="O2070" s="13"/>
      <c r="P2070" s="14"/>
      <c r="Q2070" s="13"/>
      <c r="R2070" s="13"/>
      <c r="S2070" s="15"/>
      <c r="T2070" s="16"/>
      <c r="U2070" s="16"/>
      <c r="V2070" s="16"/>
      <c r="W2070" s="16"/>
      <c r="X2070" s="16"/>
      <c r="Y2070" s="11"/>
      <c r="Z2070" s="11"/>
      <c r="AA2070" s="11"/>
      <c r="AB2070" s="11"/>
      <c r="AC2070" s="11"/>
      <c r="AD2070" s="11"/>
    </row>
    <row r="2071">
      <c r="A2071" s="10"/>
      <c r="B2071" s="10"/>
      <c r="C2071" s="10"/>
      <c r="D2071" s="10"/>
      <c r="E2071" s="10"/>
      <c r="F2071" s="11"/>
      <c r="G2071" s="11"/>
      <c r="H2071" s="11"/>
      <c r="I2071" s="11"/>
      <c r="J2071" s="11"/>
      <c r="K2071" s="11"/>
      <c r="L2071" s="12"/>
      <c r="M2071" s="11"/>
      <c r="N2071" s="11"/>
      <c r="O2071" s="13"/>
      <c r="P2071" s="14"/>
      <c r="Q2071" s="13"/>
      <c r="R2071" s="13"/>
      <c r="S2071" s="15"/>
      <c r="T2071" s="16"/>
      <c r="U2071" s="16"/>
      <c r="V2071" s="16"/>
      <c r="W2071" s="16"/>
      <c r="X2071" s="16"/>
      <c r="Y2071" s="11"/>
      <c r="Z2071" s="11"/>
      <c r="AA2071" s="11"/>
      <c r="AB2071" s="11"/>
      <c r="AC2071" s="11"/>
      <c r="AD2071" s="11"/>
    </row>
    <row r="2072">
      <c r="A2072" s="10"/>
      <c r="B2072" s="10"/>
      <c r="C2072" s="10"/>
      <c r="D2072" s="10"/>
      <c r="E2072" s="10"/>
      <c r="F2072" s="11"/>
      <c r="G2072" s="11"/>
      <c r="H2072" s="11"/>
      <c r="I2072" s="11"/>
      <c r="J2072" s="11"/>
      <c r="K2072" s="11"/>
      <c r="L2072" s="12"/>
      <c r="M2072" s="11"/>
      <c r="N2072" s="11"/>
      <c r="O2072" s="13"/>
      <c r="P2072" s="14"/>
      <c r="Q2072" s="13"/>
      <c r="R2072" s="13"/>
      <c r="S2072" s="15"/>
      <c r="T2072" s="16"/>
      <c r="U2072" s="16"/>
      <c r="V2072" s="16"/>
      <c r="W2072" s="16"/>
      <c r="X2072" s="16"/>
      <c r="Y2072" s="11"/>
      <c r="Z2072" s="11"/>
      <c r="AA2072" s="11"/>
      <c r="AB2072" s="11"/>
      <c r="AC2072" s="11"/>
      <c r="AD2072" s="11"/>
    </row>
    <row r="2073">
      <c r="A2073" s="10"/>
      <c r="B2073" s="10"/>
      <c r="C2073" s="10"/>
      <c r="D2073" s="10"/>
      <c r="E2073" s="10"/>
      <c r="F2073" s="11"/>
      <c r="G2073" s="11"/>
      <c r="H2073" s="11"/>
      <c r="I2073" s="11"/>
      <c r="J2073" s="11"/>
      <c r="K2073" s="11"/>
      <c r="L2073" s="12"/>
      <c r="M2073" s="11"/>
      <c r="N2073" s="11"/>
      <c r="O2073" s="13"/>
      <c r="P2073" s="14"/>
      <c r="Q2073" s="13"/>
      <c r="R2073" s="13"/>
      <c r="S2073" s="15"/>
      <c r="T2073" s="16"/>
      <c r="U2073" s="16"/>
      <c r="V2073" s="16"/>
      <c r="W2073" s="16"/>
      <c r="X2073" s="16"/>
      <c r="Y2073" s="11"/>
      <c r="Z2073" s="11"/>
      <c r="AA2073" s="11"/>
      <c r="AB2073" s="11"/>
      <c r="AC2073" s="11"/>
      <c r="AD2073" s="11"/>
    </row>
    <row r="2074">
      <c r="A2074" s="10"/>
      <c r="B2074" s="10"/>
      <c r="C2074" s="10"/>
      <c r="D2074" s="10"/>
      <c r="E2074" s="10"/>
      <c r="F2074" s="11"/>
      <c r="G2074" s="11"/>
      <c r="H2074" s="11"/>
      <c r="I2074" s="11"/>
      <c r="J2074" s="11"/>
      <c r="K2074" s="11"/>
      <c r="L2074" s="12"/>
      <c r="M2074" s="11"/>
      <c r="N2074" s="11"/>
      <c r="O2074" s="13"/>
      <c r="P2074" s="14"/>
      <c r="Q2074" s="13"/>
      <c r="R2074" s="13"/>
      <c r="S2074" s="15"/>
      <c r="T2074" s="16"/>
      <c r="U2074" s="16"/>
      <c r="V2074" s="16"/>
      <c r="W2074" s="16"/>
      <c r="X2074" s="16"/>
      <c r="Y2074" s="11"/>
      <c r="Z2074" s="11"/>
      <c r="AA2074" s="11"/>
      <c r="AB2074" s="11"/>
      <c r="AC2074" s="11"/>
      <c r="AD2074" s="11"/>
    </row>
    <row r="2075">
      <c r="A2075" s="10"/>
      <c r="B2075" s="10"/>
      <c r="C2075" s="10"/>
      <c r="D2075" s="10"/>
      <c r="E2075" s="10"/>
      <c r="F2075" s="11"/>
      <c r="G2075" s="11"/>
      <c r="H2075" s="11"/>
      <c r="I2075" s="11"/>
      <c r="J2075" s="11"/>
      <c r="K2075" s="11"/>
      <c r="L2075" s="12"/>
      <c r="M2075" s="11"/>
      <c r="N2075" s="11"/>
      <c r="O2075" s="13"/>
      <c r="P2075" s="14"/>
      <c r="Q2075" s="13"/>
      <c r="R2075" s="13"/>
      <c r="S2075" s="15"/>
      <c r="T2075" s="16"/>
      <c r="U2075" s="16"/>
      <c r="V2075" s="16"/>
      <c r="W2075" s="16"/>
      <c r="X2075" s="16"/>
      <c r="Y2075" s="11"/>
      <c r="Z2075" s="11"/>
      <c r="AA2075" s="11"/>
      <c r="AB2075" s="11"/>
      <c r="AC2075" s="11"/>
      <c r="AD2075" s="11"/>
    </row>
    <row r="2076">
      <c r="A2076" s="10"/>
      <c r="B2076" s="10"/>
      <c r="C2076" s="10"/>
      <c r="D2076" s="10"/>
      <c r="E2076" s="10"/>
      <c r="F2076" s="11"/>
      <c r="G2076" s="11"/>
      <c r="H2076" s="11"/>
      <c r="I2076" s="11"/>
      <c r="J2076" s="11"/>
      <c r="K2076" s="11"/>
      <c r="L2076" s="12"/>
      <c r="M2076" s="11"/>
      <c r="N2076" s="11"/>
      <c r="O2076" s="13"/>
      <c r="P2076" s="14"/>
      <c r="Q2076" s="13"/>
      <c r="R2076" s="13"/>
      <c r="S2076" s="15"/>
      <c r="T2076" s="16"/>
      <c r="U2076" s="16"/>
      <c r="V2076" s="16"/>
      <c r="W2076" s="16"/>
      <c r="X2076" s="16"/>
      <c r="Y2076" s="11"/>
      <c r="Z2076" s="11"/>
      <c r="AA2076" s="11"/>
      <c r="AB2076" s="11"/>
      <c r="AC2076" s="11"/>
      <c r="AD2076" s="11"/>
    </row>
    <row r="2077">
      <c r="A2077" s="10"/>
      <c r="B2077" s="10"/>
      <c r="C2077" s="10"/>
      <c r="D2077" s="10"/>
      <c r="E2077" s="10"/>
      <c r="F2077" s="11"/>
      <c r="G2077" s="11"/>
      <c r="H2077" s="11"/>
      <c r="I2077" s="11"/>
      <c r="J2077" s="11"/>
      <c r="K2077" s="11"/>
      <c r="L2077" s="12"/>
      <c r="M2077" s="11"/>
      <c r="N2077" s="11"/>
      <c r="O2077" s="13"/>
      <c r="P2077" s="14"/>
      <c r="Q2077" s="13"/>
      <c r="R2077" s="13"/>
      <c r="S2077" s="15"/>
      <c r="T2077" s="16"/>
      <c r="U2077" s="16"/>
      <c r="V2077" s="16"/>
      <c r="W2077" s="16"/>
      <c r="X2077" s="16"/>
      <c r="Y2077" s="11"/>
      <c r="Z2077" s="11"/>
      <c r="AA2077" s="11"/>
      <c r="AB2077" s="11"/>
      <c r="AC2077" s="11"/>
      <c r="AD2077" s="11"/>
    </row>
    <row r="2078">
      <c r="A2078" s="10"/>
      <c r="B2078" s="10"/>
      <c r="C2078" s="10"/>
      <c r="D2078" s="10"/>
      <c r="E2078" s="10"/>
      <c r="F2078" s="11"/>
      <c r="G2078" s="11"/>
      <c r="H2078" s="11"/>
      <c r="I2078" s="11"/>
      <c r="J2078" s="11"/>
      <c r="K2078" s="11"/>
      <c r="L2078" s="12"/>
      <c r="M2078" s="11"/>
      <c r="N2078" s="11"/>
      <c r="O2078" s="13"/>
      <c r="P2078" s="14"/>
      <c r="Q2078" s="13"/>
      <c r="R2078" s="13"/>
      <c r="S2078" s="15"/>
      <c r="T2078" s="16"/>
      <c r="U2078" s="16"/>
      <c r="V2078" s="16"/>
      <c r="W2078" s="16"/>
      <c r="X2078" s="16"/>
      <c r="Y2078" s="11"/>
      <c r="Z2078" s="11"/>
      <c r="AA2078" s="11"/>
      <c r="AB2078" s="11"/>
      <c r="AC2078" s="11"/>
      <c r="AD2078" s="11"/>
    </row>
    <row r="2079">
      <c r="A2079" s="10"/>
      <c r="B2079" s="10"/>
      <c r="C2079" s="10"/>
      <c r="D2079" s="10"/>
      <c r="E2079" s="10"/>
      <c r="F2079" s="11"/>
      <c r="G2079" s="11"/>
      <c r="H2079" s="11"/>
      <c r="I2079" s="11"/>
      <c r="J2079" s="11"/>
      <c r="K2079" s="11"/>
      <c r="L2079" s="12"/>
      <c r="M2079" s="11"/>
      <c r="N2079" s="11"/>
      <c r="O2079" s="13"/>
      <c r="P2079" s="14"/>
      <c r="Q2079" s="13"/>
      <c r="R2079" s="13"/>
      <c r="S2079" s="15"/>
      <c r="T2079" s="16"/>
      <c r="U2079" s="16"/>
      <c r="V2079" s="16"/>
      <c r="W2079" s="16"/>
      <c r="X2079" s="16"/>
      <c r="Y2079" s="11"/>
      <c r="Z2079" s="11"/>
      <c r="AA2079" s="11"/>
      <c r="AB2079" s="11"/>
      <c r="AC2079" s="11"/>
      <c r="AD2079" s="11"/>
    </row>
    <row r="2080">
      <c r="A2080" s="10"/>
      <c r="B2080" s="10"/>
      <c r="C2080" s="10"/>
      <c r="D2080" s="10"/>
      <c r="E2080" s="10"/>
      <c r="F2080" s="11"/>
      <c r="G2080" s="11"/>
      <c r="H2080" s="11"/>
      <c r="I2080" s="11"/>
      <c r="J2080" s="11"/>
      <c r="K2080" s="11"/>
      <c r="L2080" s="12"/>
      <c r="M2080" s="11"/>
      <c r="N2080" s="11"/>
      <c r="O2080" s="13"/>
      <c r="P2080" s="14"/>
      <c r="Q2080" s="13"/>
      <c r="R2080" s="13"/>
      <c r="S2080" s="15"/>
      <c r="T2080" s="16"/>
      <c r="U2080" s="16"/>
      <c r="V2080" s="16"/>
      <c r="W2080" s="16"/>
      <c r="X2080" s="16"/>
      <c r="Y2080" s="11"/>
      <c r="Z2080" s="11"/>
      <c r="AA2080" s="11"/>
      <c r="AB2080" s="11"/>
      <c r="AC2080" s="11"/>
      <c r="AD2080" s="11"/>
    </row>
    <row r="2081">
      <c r="A2081" s="10"/>
      <c r="B2081" s="10"/>
      <c r="C2081" s="10"/>
      <c r="D2081" s="10"/>
      <c r="E2081" s="10"/>
      <c r="F2081" s="11"/>
      <c r="G2081" s="11"/>
      <c r="H2081" s="11"/>
      <c r="I2081" s="11"/>
      <c r="J2081" s="11"/>
      <c r="K2081" s="11"/>
      <c r="L2081" s="12"/>
      <c r="M2081" s="11"/>
      <c r="N2081" s="11"/>
      <c r="O2081" s="13"/>
      <c r="P2081" s="14"/>
      <c r="Q2081" s="13"/>
      <c r="R2081" s="13"/>
      <c r="S2081" s="15"/>
      <c r="T2081" s="16"/>
      <c r="U2081" s="16"/>
      <c r="V2081" s="16"/>
      <c r="W2081" s="16"/>
      <c r="X2081" s="16"/>
      <c r="Y2081" s="11"/>
      <c r="Z2081" s="11"/>
      <c r="AA2081" s="11"/>
      <c r="AB2081" s="11"/>
      <c r="AC2081" s="11"/>
      <c r="AD2081" s="11"/>
    </row>
    <row r="2082">
      <c r="A2082" s="10"/>
      <c r="B2082" s="10"/>
      <c r="C2082" s="10"/>
      <c r="D2082" s="10"/>
      <c r="E2082" s="10"/>
      <c r="F2082" s="11"/>
      <c r="G2082" s="11"/>
      <c r="H2082" s="11"/>
      <c r="I2082" s="11"/>
      <c r="J2082" s="11"/>
      <c r="K2082" s="11"/>
      <c r="L2082" s="12"/>
      <c r="M2082" s="11"/>
      <c r="N2082" s="11"/>
      <c r="O2082" s="13"/>
      <c r="P2082" s="14"/>
      <c r="Q2082" s="13"/>
      <c r="R2082" s="13"/>
      <c r="S2082" s="15"/>
      <c r="T2082" s="16"/>
      <c r="U2082" s="16"/>
      <c r="V2082" s="16"/>
      <c r="W2082" s="16"/>
      <c r="X2082" s="16"/>
      <c r="Y2082" s="11"/>
      <c r="Z2082" s="11"/>
      <c r="AA2082" s="11"/>
      <c r="AB2082" s="11"/>
      <c r="AC2082" s="11"/>
      <c r="AD2082" s="11"/>
    </row>
    <row r="2083">
      <c r="A2083" s="10"/>
      <c r="B2083" s="10"/>
      <c r="C2083" s="10"/>
      <c r="D2083" s="10"/>
      <c r="E2083" s="10"/>
      <c r="F2083" s="11"/>
      <c r="G2083" s="11"/>
      <c r="H2083" s="11"/>
      <c r="I2083" s="11"/>
      <c r="J2083" s="11"/>
      <c r="K2083" s="11"/>
      <c r="L2083" s="12"/>
      <c r="M2083" s="11"/>
      <c r="N2083" s="11"/>
      <c r="O2083" s="13"/>
      <c r="P2083" s="14"/>
      <c r="Q2083" s="13"/>
      <c r="R2083" s="13"/>
      <c r="S2083" s="15"/>
      <c r="T2083" s="16"/>
      <c r="U2083" s="16"/>
      <c r="V2083" s="16"/>
      <c r="W2083" s="16"/>
      <c r="X2083" s="16"/>
      <c r="Y2083" s="11"/>
      <c r="Z2083" s="11"/>
      <c r="AA2083" s="11"/>
      <c r="AB2083" s="11"/>
      <c r="AC2083" s="11"/>
      <c r="AD2083" s="11"/>
    </row>
    <row r="2084">
      <c r="A2084" s="10"/>
      <c r="B2084" s="10"/>
      <c r="C2084" s="10"/>
      <c r="D2084" s="10"/>
      <c r="E2084" s="10"/>
      <c r="F2084" s="11"/>
      <c r="G2084" s="11"/>
      <c r="H2084" s="11"/>
      <c r="I2084" s="11"/>
      <c r="J2084" s="11"/>
      <c r="K2084" s="11"/>
      <c r="L2084" s="12"/>
      <c r="M2084" s="11"/>
      <c r="N2084" s="11"/>
      <c r="O2084" s="13"/>
      <c r="P2084" s="14"/>
      <c r="Q2084" s="13"/>
      <c r="R2084" s="13"/>
      <c r="S2084" s="15"/>
      <c r="T2084" s="16"/>
      <c r="U2084" s="16"/>
      <c r="V2084" s="16"/>
      <c r="W2084" s="16"/>
      <c r="X2084" s="16"/>
      <c r="Y2084" s="11"/>
      <c r="Z2084" s="11"/>
      <c r="AA2084" s="11"/>
      <c r="AB2084" s="11"/>
      <c r="AC2084" s="11"/>
      <c r="AD2084" s="11"/>
    </row>
    <row r="2085">
      <c r="A2085" s="10"/>
      <c r="B2085" s="10"/>
      <c r="C2085" s="10"/>
      <c r="D2085" s="10"/>
      <c r="E2085" s="10"/>
      <c r="F2085" s="11"/>
      <c r="G2085" s="11"/>
      <c r="H2085" s="11"/>
      <c r="I2085" s="11"/>
      <c r="J2085" s="11"/>
      <c r="K2085" s="11"/>
      <c r="L2085" s="12"/>
      <c r="M2085" s="11"/>
      <c r="N2085" s="11"/>
      <c r="O2085" s="13"/>
      <c r="P2085" s="14"/>
      <c r="Q2085" s="13"/>
      <c r="R2085" s="13"/>
      <c r="S2085" s="15"/>
      <c r="T2085" s="16"/>
      <c r="U2085" s="16"/>
      <c r="V2085" s="16"/>
      <c r="W2085" s="16"/>
      <c r="X2085" s="16"/>
      <c r="Y2085" s="11"/>
      <c r="Z2085" s="11"/>
      <c r="AA2085" s="11"/>
      <c r="AB2085" s="11"/>
      <c r="AC2085" s="11"/>
      <c r="AD2085" s="11"/>
    </row>
    <row r="2086">
      <c r="A2086" s="10"/>
      <c r="B2086" s="10"/>
      <c r="C2086" s="10"/>
      <c r="D2086" s="10"/>
      <c r="E2086" s="10"/>
      <c r="F2086" s="11"/>
      <c r="G2086" s="11"/>
      <c r="H2086" s="11"/>
      <c r="I2086" s="11"/>
      <c r="J2086" s="11"/>
      <c r="K2086" s="11"/>
      <c r="L2086" s="12"/>
      <c r="M2086" s="11"/>
      <c r="N2086" s="11"/>
      <c r="O2086" s="13"/>
      <c r="P2086" s="14"/>
      <c r="Q2086" s="13"/>
      <c r="R2086" s="13"/>
      <c r="S2086" s="15"/>
      <c r="T2086" s="16"/>
      <c r="U2086" s="16"/>
      <c r="V2086" s="16"/>
      <c r="W2086" s="16"/>
      <c r="X2086" s="16"/>
      <c r="Y2086" s="11"/>
      <c r="Z2086" s="11"/>
      <c r="AA2086" s="11"/>
      <c r="AB2086" s="11"/>
      <c r="AC2086" s="11"/>
      <c r="AD2086" s="11"/>
    </row>
    <row r="2087">
      <c r="A2087" s="10"/>
      <c r="B2087" s="10"/>
      <c r="C2087" s="10"/>
      <c r="D2087" s="10"/>
      <c r="E2087" s="10"/>
      <c r="F2087" s="11"/>
      <c r="G2087" s="11"/>
      <c r="H2087" s="11"/>
      <c r="I2087" s="11"/>
      <c r="J2087" s="11"/>
      <c r="K2087" s="11"/>
      <c r="L2087" s="12"/>
      <c r="M2087" s="11"/>
      <c r="N2087" s="11"/>
      <c r="O2087" s="13"/>
      <c r="P2087" s="14"/>
      <c r="Q2087" s="13"/>
      <c r="R2087" s="13"/>
      <c r="S2087" s="15"/>
      <c r="T2087" s="16"/>
      <c r="U2087" s="16"/>
      <c r="V2087" s="16"/>
      <c r="W2087" s="16"/>
      <c r="X2087" s="16"/>
      <c r="Y2087" s="11"/>
      <c r="Z2087" s="11"/>
      <c r="AA2087" s="11"/>
      <c r="AB2087" s="11"/>
      <c r="AC2087" s="11"/>
      <c r="AD2087" s="11"/>
    </row>
    <row r="2088">
      <c r="A2088" s="10"/>
      <c r="B2088" s="10"/>
      <c r="C2088" s="10"/>
      <c r="D2088" s="10"/>
      <c r="E2088" s="10"/>
      <c r="F2088" s="11"/>
      <c r="G2088" s="11"/>
      <c r="H2088" s="11"/>
      <c r="I2088" s="11"/>
      <c r="J2088" s="11"/>
      <c r="K2088" s="11"/>
      <c r="L2088" s="12"/>
      <c r="M2088" s="11"/>
      <c r="N2088" s="11"/>
      <c r="O2088" s="13"/>
      <c r="P2088" s="14"/>
      <c r="Q2088" s="13"/>
      <c r="R2088" s="13"/>
      <c r="S2088" s="15"/>
      <c r="T2088" s="16"/>
      <c r="U2088" s="16"/>
      <c r="V2088" s="16"/>
      <c r="W2088" s="16"/>
      <c r="X2088" s="16"/>
      <c r="Y2088" s="11"/>
      <c r="Z2088" s="11"/>
      <c r="AA2088" s="11"/>
      <c r="AB2088" s="11"/>
      <c r="AC2088" s="11"/>
      <c r="AD2088" s="11"/>
    </row>
    <row r="2089">
      <c r="A2089" s="10"/>
      <c r="B2089" s="10"/>
      <c r="C2089" s="10"/>
      <c r="D2089" s="10"/>
      <c r="E2089" s="10"/>
      <c r="F2089" s="11"/>
      <c r="G2089" s="11"/>
      <c r="H2089" s="11"/>
      <c r="I2089" s="11"/>
      <c r="J2089" s="11"/>
      <c r="K2089" s="11"/>
      <c r="L2089" s="12"/>
      <c r="M2089" s="11"/>
      <c r="N2089" s="11"/>
      <c r="O2089" s="13"/>
      <c r="P2089" s="14"/>
      <c r="Q2089" s="13"/>
      <c r="R2089" s="13"/>
      <c r="S2089" s="15"/>
      <c r="T2089" s="16"/>
      <c r="U2089" s="16"/>
      <c r="V2089" s="16"/>
      <c r="W2089" s="16"/>
      <c r="X2089" s="16"/>
      <c r="Y2089" s="11"/>
      <c r="Z2089" s="11"/>
      <c r="AA2089" s="11"/>
      <c r="AB2089" s="11"/>
      <c r="AC2089" s="11"/>
      <c r="AD2089" s="11"/>
    </row>
    <row r="2090">
      <c r="A2090" s="10"/>
      <c r="B2090" s="10"/>
      <c r="C2090" s="10"/>
      <c r="D2090" s="10"/>
      <c r="E2090" s="10"/>
      <c r="F2090" s="11"/>
      <c r="G2090" s="11"/>
      <c r="H2090" s="11"/>
      <c r="I2090" s="11"/>
      <c r="J2090" s="11"/>
      <c r="K2090" s="11"/>
      <c r="L2090" s="12"/>
      <c r="M2090" s="11"/>
      <c r="N2090" s="11"/>
      <c r="O2090" s="13"/>
      <c r="P2090" s="14"/>
      <c r="Q2090" s="13"/>
      <c r="R2090" s="13"/>
      <c r="S2090" s="15"/>
      <c r="T2090" s="16"/>
      <c r="U2090" s="16"/>
      <c r="V2090" s="16"/>
      <c r="W2090" s="16"/>
      <c r="X2090" s="16"/>
      <c r="Y2090" s="11"/>
      <c r="Z2090" s="11"/>
      <c r="AA2090" s="11"/>
      <c r="AB2090" s="11"/>
      <c r="AC2090" s="11"/>
      <c r="AD2090" s="11"/>
    </row>
    <row r="2091">
      <c r="A2091" s="10"/>
      <c r="B2091" s="10"/>
      <c r="C2091" s="10"/>
      <c r="D2091" s="10"/>
      <c r="E2091" s="10"/>
      <c r="F2091" s="11"/>
      <c r="G2091" s="11"/>
      <c r="H2091" s="11"/>
      <c r="I2091" s="11"/>
      <c r="J2091" s="11"/>
      <c r="K2091" s="11"/>
      <c r="L2091" s="12"/>
      <c r="M2091" s="11"/>
      <c r="N2091" s="11"/>
      <c r="O2091" s="13"/>
      <c r="P2091" s="14"/>
      <c r="Q2091" s="13"/>
      <c r="R2091" s="13"/>
      <c r="S2091" s="15"/>
      <c r="T2091" s="16"/>
      <c r="U2091" s="16"/>
      <c r="V2091" s="16"/>
      <c r="W2091" s="16"/>
      <c r="X2091" s="16"/>
      <c r="Y2091" s="11"/>
      <c r="Z2091" s="11"/>
      <c r="AA2091" s="11"/>
      <c r="AB2091" s="11"/>
      <c r="AC2091" s="11"/>
      <c r="AD2091" s="11"/>
    </row>
    <row r="2092">
      <c r="A2092" s="10"/>
      <c r="B2092" s="10"/>
      <c r="C2092" s="10"/>
      <c r="D2092" s="10"/>
      <c r="E2092" s="10"/>
      <c r="F2092" s="11"/>
      <c r="G2092" s="11"/>
      <c r="H2092" s="11"/>
      <c r="I2092" s="11"/>
      <c r="J2092" s="11"/>
      <c r="K2092" s="11"/>
      <c r="L2092" s="12"/>
      <c r="M2092" s="11"/>
      <c r="N2092" s="11"/>
      <c r="O2092" s="13"/>
      <c r="P2092" s="14"/>
      <c r="Q2092" s="13"/>
      <c r="R2092" s="13"/>
      <c r="S2092" s="15"/>
      <c r="T2092" s="16"/>
      <c r="U2092" s="16"/>
      <c r="V2092" s="16"/>
      <c r="W2092" s="16"/>
      <c r="X2092" s="16"/>
      <c r="Y2092" s="11"/>
      <c r="Z2092" s="11"/>
      <c r="AA2092" s="11"/>
      <c r="AB2092" s="11"/>
      <c r="AC2092" s="11"/>
      <c r="AD2092" s="11"/>
    </row>
    <row r="2093">
      <c r="A2093" s="10"/>
      <c r="B2093" s="10"/>
      <c r="C2093" s="10"/>
      <c r="D2093" s="10"/>
      <c r="E2093" s="10"/>
      <c r="F2093" s="11"/>
      <c r="G2093" s="11"/>
      <c r="H2093" s="11"/>
      <c r="I2093" s="11"/>
      <c r="J2093" s="11"/>
      <c r="K2093" s="11"/>
      <c r="L2093" s="12"/>
      <c r="M2093" s="11"/>
      <c r="N2093" s="11"/>
      <c r="O2093" s="13"/>
      <c r="P2093" s="14"/>
      <c r="Q2093" s="13"/>
      <c r="R2093" s="13"/>
      <c r="S2093" s="15"/>
      <c r="T2093" s="16"/>
      <c r="U2093" s="16"/>
      <c r="V2093" s="16"/>
      <c r="W2093" s="16"/>
      <c r="X2093" s="16"/>
      <c r="Y2093" s="11"/>
      <c r="Z2093" s="11"/>
      <c r="AA2093" s="11"/>
      <c r="AB2093" s="11"/>
      <c r="AC2093" s="11"/>
      <c r="AD2093" s="11"/>
    </row>
    <row r="2094">
      <c r="A2094" s="10"/>
      <c r="B2094" s="10"/>
      <c r="C2094" s="10"/>
      <c r="D2094" s="10"/>
      <c r="E2094" s="10"/>
      <c r="F2094" s="11"/>
      <c r="G2094" s="11"/>
      <c r="H2094" s="11"/>
      <c r="I2094" s="11"/>
      <c r="J2094" s="11"/>
      <c r="K2094" s="11"/>
      <c r="L2094" s="12"/>
      <c r="M2094" s="11"/>
      <c r="N2094" s="11"/>
      <c r="O2094" s="13"/>
      <c r="P2094" s="14"/>
      <c r="Q2094" s="13"/>
      <c r="R2094" s="13"/>
      <c r="S2094" s="15"/>
      <c r="T2094" s="16"/>
      <c r="U2094" s="16"/>
      <c r="V2094" s="16"/>
      <c r="W2094" s="16"/>
      <c r="X2094" s="16"/>
      <c r="Y2094" s="11"/>
      <c r="Z2094" s="11"/>
      <c r="AA2094" s="11"/>
      <c r="AB2094" s="11"/>
      <c r="AC2094" s="11"/>
      <c r="AD2094" s="11"/>
    </row>
    <row r="2095">
      <c r="A2095" s="10"/>
      <c r="B2095" s="10"/>
      <c r="C2095" s="10"/>
      <c r="D2095" s="10"/>
      <c r="E2095" s="10"/>
      <c r="F2095" s="11"/>
      <c r="G2095" s="11"/>
      <c r="H2095" s="11"/>
      <c r="I2095" s="11"/>
      <c r="J2095" s="11"/>
      <c r="K2095" s="11"/>
      <c r="L2095" s="12"/>
      <c r="M2095" s="11"/>
      <c r="N2095" s="11"/>
      <c r="O2095" s="13"/>
      <c r="P2095" s="14"/>
      <c r="Q2095" s="13"/>
      <c r="R2095" s="13"/>
      <c r="S2095" s="15"/>
      <c r="T2095" s="16"/>
      <c r="U2095" s="16"/>
      <c r="V2095" s="16"/>
      <c r="W2095" s="16"/>
      <c r="X2095" s="16"/>
      <c r="Y2095" s="11"/>
      <c r="Z2095" s="11"/>
      <c r="AA2095" s="11"/>
      <c r="AB2095" s="11"/>
      <c r="AC2095" s="11"/>
      <c r="AD2095" s="11"/>
    </row>
    <row r="2096">
      <c r="A2096" s="10"/>
      <c r="B2096" s="10"/>
      <c r="C2096" s="10"/>
      <c r="D2096" s="10"/>
      <c r="E2096" s="10"/>
      <c r="F2096" s="11"/>
      <c r="G2096" s="11"/>
      <c r="H2096" s="11"/>
      <c r="I2096" s="11"/>
      <c r="J2096" s="11"/>
      <c r="K2096" s="11"/>
      <c r="L2096" s="12"/>
      <c r="M2096" s="11"/>
      <c r="N2096" s="11"/>
      <c r="O2096" s="13"/>
      <c r="P2096" s="14"/>
      <c r="Q2096" s="13"/>
      <c r="R2096" s="13"/>
      <c r="S2096" s="15"/>
      <c r="T2096" s="16"/>
      <c r="U2096" s="16"/>
      <c r="V2096" s="16"/>
      <c r="W2096" s="16"/>
      <c r="X2096" s="16"/>
      <c r="Y2096" s="11"/>
      <c r="Z2096" s="11"/>
      <c r="AA2096" s="11"/>
      <c r="AB2096" s="11"/>
      <c r="AC2096" s="11"/>
      <c r="AD2096" s="11"/>
    </row>
    <row r="2097">
      <c r="A2097" s="10"/>
      <c r="B2097" s="10"/>
      <c r="C2097" s="10"/>
      <c r="D2097" s="10"/>
      <c r="E2097" s="10"/>
      <c r="F2097" s="11"/>
      <c r="G2097" s="11"/>
      <c r="H2097" s="11"/>
      <c r="I2097" s="11"/>
      <c r="J2097" s="11"/>
      <c r="K2097" s="11"/>
      <c r="L2097" s="12"/>
      <c r="M2097" s="11"/>
      <c r="N2097" s="11"/>
      <c r="O2097" s="13"/>
      <c r="P2097" s="14"/>
      <c r="Q2097" s="13"/>
      <c r="R2097" s="13"/>
      <c r="S2097" s="15"/>
      <c r="T2097" s="16"/>
      <c r="U2097" s="16"/>
      <c r="V2097" s="16"/>
      <c r="W2097" s="16"/>
      <c r="X2097" s="16"/>
      <c r="Y2097" s="11"/>
      <c r="Z2097" s="11"/>
      <c r="AA2097" s="11"/>
      <c r="AB2097" s="11"/>
      <c r="AC2097" s="11"/>
      <c r="AD2097" s="11"/>
    </row>
    <row r="2098">
      <c r="A2098" s="10"/>
      <c r="B2098" s="10"/>
      <c r="C2098" s="10"/>
      <c r="D2098" s="10"/>
      <c r="E2098" s="10"/>
      <c r="F2098" s="11"/>
      <c r="G2098" s="11"/>
      <c r="H2098" s="11"/>
      <c r="I2098" s="11"/>
      <c r="J2098" s="11"/>
      <c r="K2098" s="11"/>
      <c r="L2098" s="12"/>
      <c r="M2098" s="11"/>
      <c r="N2098" s="11"/>
      <c r="O2098" s="13"/>
      <c r="P2098" s="14"/>
      <c r="Q2098" s="13"/>
      <c r="R2098" s="13"/>
      <c r="S2098" s="15"/>
      <c r="T2098" s="16"/>
      <c r="U2098" s="16"/>
      <c r="V2098" s="16"/>
      <c r="W2098" s="16"/>
      <c r="X2098" s="16"/>
      <c r="Y2098" s="11"/>
      <c r="Z2098" s="11"/>
      <c r="AA2098" s="11"/>
      <c r="AB2098" s="11"/>
      <c r="AC2098" s="11"/>
      <c r="AD2098" s="11"/>
    </row>
    <row r="2099">
      <c r="A2099" s="10"/>
      <c r="B2099" s="10"/>
      <c r="C2099" s="10"/>
      <c r="D2099" s="10"/>
      <c r="E2099" s="10"/>
      <c r="F2099" s="11"/>
      <c r="G2099" s="11"/>
      <c r="H2099" s="11"/>
      <c r="I2099" s="11"/>
      <c r="J2099" s="11"/>
      <c r="K2099" s="11"/>
      <c r="L2099" s="12"/>
      <c r="M2099" s="11"/>
      <c r="N2099" s="11"/>
      <c r="O2099" s="13"/>
      <c r="P2099" s="14"/>
      <c r="Q2099" s="13"/>
      <c r="R2099" s="13"/>
      <c r="S2099" s="15"/>
      <c r="T2099" s="16"/>
      <c r="U2099" s="16"/>
      <c r="V2099" s="16"/>
      <c r="W2099" s="16"/>
      <c r="X2099" s="16"/>
      <c r="Y2099" s="11"/>
      <c r="Z2099" s="11"/>
      <c r="AA2099" s="11"/>
      <c r="AB2099" s="11"/>
      <c r="AC2099" s="11"/>
      <c r="AD2099" s="11"/>
    </row>
    <row r="2100">
      <c r="A2100" s="10"/>
      <c r="B2100" s="10"/>
      <c r="C2100" s="10"/>
      <c r="D2100" s="10"/>
      <c r="E2100" s="10"/>
      <c r="F2100" s="11"/>
      <c r="G2100" s="11"/>
      <c r="H2100" s="11"/>
      <c r="I2100" s="11"/>
      <c r="J2100" s="11"/>
      <c r="K2100" s="11"/>
      <c r="L2100" s="12"/>
      <c r="M2100" s="11"/>
      <c r="N2100" s="11"/>
      <c r="O2100" s="13"/>
      <c r="P2100" s="14"/>
      <c r="Q2100" s="13"/>
      <c r="R2100" s="13"/>
      <c r="S2100" s="15"/>
      <c r="T2100" s="16"/>
      <c r="U2100" s="16"/>
      <c r="V2100" s="16"/>
      <c r="W2100" s="16"/>
      <c r="X2100" s="16"/>
      <c r="Y2100" s="11"/>
      <c r="Z2100" s="11"/>
      <c r="AA2100" s="11"/>
      <c r="AB2100" s="11"/>
      <c r="AC2100" s="11"/>
      <c r="AD2100" s="11"/>
    </row>
    <row r="2101">
      <c r="A2101" s="10"/>
      <c r="B2101" s="10"/>
      <c r="C2101" s="10"/>
      <c r="D2101" s="10"/>
      <c r="E2101" s="10"/>
      <c r="F2101" s="11"/>
      <c r="G2101" s="11"/>
      <c r="H2101" s="11"/>
      <c r="I2101" s="11"/>
      <c r="J2101" s="11"/>
      <c r="K2101" s="11"/>
      <c r="L2101" s="12"/>
      <c r="M2101" s="11"/>
      <c r="N2101" s="11"/>
      <c r="O2101" s="13"/>
      <c r="P2101" s="14"/>
      <c r="Q2101" s="13"/>
      <c r="R2101" s="13"/>
      <c r="S2101" s="15"/>
      <c r="T2101" s="16"/>
      <c r="U2101" s="16"/>
      <c r="V2101" s="16"/>
      <c r="W2101" s="16"/>
      <c r="X2101" s="16"/>
      <c r="Y2101" s="11"/>
      <c r="Z2101" s="11"/>
      <c r="AA2101" s="11"/>
      <c r="AB2101" s="11"/>
      <c r="AC2101" s="11"/>
      <c r="AD2101" s="11"/>
    </row>
    <row r="2102">
      <c r="A2102" s="10"/>
      <c r="B2102" s="10"/>
      <c r="C2102" s="10"/>
      <c r="D2102" s="10"/>
      <c r="E2102" s="10"/>
      <c r="F2102" s="11"/>
      <c r="G2102" s="11"/>
      <c r="H2102" s="11"/>
      <c r="I2102" s="11"/>
      <c r="J2102" s="11"/>
      <c r="K2102" s="11"/>
      <c r="L2102" s="12"/>
      <c r="M2102" s="11"/>
      <c r="N2102" s="11"/>
      <c r="O2102" s="13"/>
      <c r="P2102" s="14"/>
      <c r="Q2102" s="13"/>
      <c r="R2102" s="13"/>
      <c r="S2102" s="15"/>
      <c r="T2102" s="16"/>
      <c r="U2102" s="16"/>
      <c r="V2102" s="16"/>
      <c r="W2102" s="16"/>
      <c r="X2102" s="16"/>
      <c r="Y2102" s="11"/>
      <c r="Z2102" s="11"/>
      <c r="AA2102" s="11"/>
      <c r="AB2102" s="11"/>
      <c r="AC2102" s="11"/>
      <c r="AD2102" s="11"/>
    </row>
    <row r="2103">
      <c r="A2103" s="10"/>
      <c r="B2103" s="10"/>
      <c r="C2103" s="10"/>
      <c r="D2103" s="10"/>
      <c r="E2103" s="10"/>
      <c r="F2103" s="11"/>
      <c r="G2103" s="11"/>
      <c r="H2103" s="11"/>
      <c r="I2103" s="11"/>
      <c r="J2103" s="11"/>
      <c r="K2103" s="11"/>
      <c r="L2103" s="12"/>
      <c r="M2103" s="11"/>
      <c r="N2103" s="11"/>
      <c r="O2103" s="13"/>
      <c r="P2103" s="14"/>
      <c r="Q2103" s="13"/>
      <c r="R2103" s="13"/>
      <c r="S2103" s="15"/>
      <c r="T2103" s="16"/>
      <c r="U2103" s="16"/>
      <c r="V2103" s="16"/>
      <c r="W2103" s="16"/>
      <c r="X2103" s="16"/>
      <c r="Y2103" s="11"/>
      <c r="Z2103" s="11"/>
      <c r="AA2103" s="11"/>
      <c r="AB2103" s="11"/>
      <c r="AC2103" s="11"/>
      <c r="AD2103" s="11"/>
    </row>
    <row r="2104">
      <c r="A2104" s="10"/>
      <c r="B2104" s="10"/>
      <c r="C2104" s="10"/>
      <c r="D2104" s="10"/>
      <c r="E2104" s="10"/>
      <c r="F2104" s="11"/>
      <c r="G2104" s="11"/>
      <c r="H2104" s="11"/>
      <c r="I2104" s="11"/>
      <c r="J2104" s="11"/>
      <c r="K2104" s="11"/>
      <c r="L2104" s="12"/>
      <c r="M2104" s="11"/>
      <c r="N2104" s="11"/>
      <c r="O2104" s="13"/>
      <c r="P2104" s="14"/>
      <c r="Q2104" s="13"/>
      <c r="R2104" s="13"/>
      <c r="S2104" s="15"/>
      <c r="T2104" s="16"/>
      <c r="U2104" s="16"/>
      <c r="V2104" s="16"/>
      <c r="W2104" s="16"/>
      <c r="X2104" s="16"/>
      <c r="Y2104" s="11"/>
      <c r="Z2104" s="11"/>
      <c r="AA2104" s="11"/>
      <c r="AB2104" s="11"/>
      <c r="AC2104" s="11"/>
      <c r="AD2104" s="11"/>
    </row>
    <row r="2105">
      <c r="A2105" s="10"/>
      <c r="B2105" s="10"/>
      <c r="C2105" s="10"/>
      <c r="D2105" s="10"/>
      <c r="E2105" s="10"/>
      <c r="F2105" s="11"/>
      <c r="G2105" s="11"/>
      <c r="H2105" s="11"/>
      <c r="I2105" s="11"/>
      <c r="J2105" s="11"/>
      <c r="K2105" s="11"/>
      <c r="L2105" s="12"/>
      <c r="M2105" s="11"/>
      <c r="N2105" s="11"/>
      <c r="O2105" s="13"/>
      <c r="P2105" s="14"/>
      <c r="Q2105" s="13"/>
      <c r="R2105" s="13"/>
      <c r="S2105" s="15"/>
      <c r="T2105" s="16"/>
      <c r="U2105" s="16"/>
      <c r="V2105" s="16"/>
      <c r="W2105" s="16"/>
      <c r="X2105" s="16"/>
      <c r="Y2105" s="11"/>
      <c r="Z2105" s="11"/>
      <c r="AA2105" s="11"/>
      <c r="AB2105" s="11"/>
      <c r="AC2105" s="11"/>
      <c r="AD2105" s="11"/>
    </row>
    <row r="2106">
      <c r="A2106" s="10"/>
      <c r="B2106" s="10"/>
      <c r="C2106" s="10"/>
      <c r="D2106" s="10"/>
      <c r="E2106" s="10"/>
      <c r="F2106" s="11"/>
      <c r="G2106" s="11"/>
      <c r="H2106" s="11"/>
      <c r="I2106" s="11"/>
      <c r="J2106" s="11"/>
      <c r="K2106" s="11"/>
      <c r="L2106" s="12"/>
      <c r="M2106" s="11"/>
      <c r="N2106" s="11"/>
      <c r="O2106" s="13"/>
      <c r="P2106" s="14"/>
      <c r="Q2106" s="13"/>
      <c r="R2106" s="13"/>
      <c r="S2106" s="15"/>
      <c r="T2106" s="16"/>
      <c r="U2106" s="16"/>
      <c r="V2106" s="16"/>
      <c r="W2106" s="16"/>
      <c r="X2106" s="16"/>
      <c r="Y2106" s="11"/>
      <c r="Z2106" s="11"/>
      <c r="AA2106" s="11"/>
      <c r="AB2106" s="11"/>
      <c r="AC2106" s="11"/>
      <c r="AD2106" s="11"/>
    </row>
    <row r="2107">
      <c r="A2107" s="10"/>
      <c r="B2107" s="10"/>
      <c r="C2107" s="10"/>
      <c r="D2107" s="10"/>
      <c r="E2107" s="10"/>
      <c r="F2107" s="11"/>
      <c r="G2107" s="11"/>
      <c r="H2107" s="11"/>
      <c r="I2107" s="11"/>
      <c r="J2107" s="11"/>
      <c r="K2107" s="11"/>
      <c r="L2107" s="12"/>
      <c r="M2107" s="11"/>
      <c r="N2107" s="11"/>
      <c r="O2107" s="13"/>
      <c r="P2107" s="14"/>
      <c r="Q2107" s="13"/>
      <c r="R2107" s="13"/>
      <c r="S2107" s="15"/>
      <c r="T2107" s="16"/>
      <c r="U2107" s="16"/>
      <c r="V2107" s="16"/>
      <c r="W2107" s="16"/>
      <c r="X2107" s="16"/>
      <c r="Y2107" s="11"/>
      <c r="Z2107" s="11"/>
      <c r="AA2107" s="11"/>
      <c r="AB2107" s="11"/>
      <c r="AC2107" s="11"/>
      <c r="AD2107" s="11"/>
    </row>
    <row r="2108">
      <c r="A2108" s="10"/>
      <c r="B2108" s="10"/>
      <c r="C2108" s="10"/>
      <c r="D2108" s="10"/>
      <c r="E2108" s="10"/>
      <c r="F2108" s="11"/>
      <c r="G2108" s="11"/>
      <c r="H2108" s="11"/>
      <c r="I2108" s="11"/>
      <c r="J2108" s="11"/>
      <c r="K2108" s="11"/>
      <c r="L2108" s="12"/>
      <c r="M2108" s="11"/>
      <c r="N2108" s="11"/>
      <c r="O2108" s="13"/>
      <c r="P2108" s="14"/>
      <c r="Q2108" s="13"/>
      <c r="R2108" s="13"/>
      <c r="S2108" s="15"/>
      <c r="T2108" s="16"/>
      <c r="U2108" s="16"/>
      <c r="V2108" s="16"/>
      <c r="W2108" s="16"/>
      <c r="X2108" s="16"/>
      <c r="Y2108" s="11"/>
      <c r="Z2108" s="11"/>
      <c r="AA2108" s="11"/>
      <c r="AB2108" s="11"/>
      <c r="AC2108" s="11"/>
      <c r="AD2108" s="11"/>
    </row>
    <row r="2109">
      <c r="A2109" s="10"/>
      <c r="B2109" s="10"/>
      <c r="C2109" s="10"/>
      <c r="D2109" s="10"/>
      <c r="E2109" s="10"/>
      <c r="F2109" s="11"/>
      <c r="G2109" s="11"/>
      <c r="H2109" s="11"/>
      <c r="I2109" s="11"/>
      <c r="J2109" s="11"/>
      <c r="K2109" s="11"/>
      <c r="L2109" s="12"/>
      <c r="M2109" s="11"/>
      <c r="N2109" s="11"/>
      <c r="O2109" s="13"/>
      <c r="P2109" s="14"/>
      <c r="Q2109" s="13"/>
      <c r="R2109" s="13"/>
      <c r="S2109" s="15"/>
      <c r="T2109" s="16"/>
      <c r="U2109" s="16"/>
      <c r="V2109" s="16"/>
      <c r="W2109" s="16"/>
      <c r="X2109" s="16"/>
      <c r="Y2109" s="11"/>
      <c r="Z2109" s="11"/>
      <c r="AA2109" s="11"/>
      <c r="AB2109" s="11"/>
      <c r="AC2109" s="11"/>
      <c r="AD2109" s="11"/>
    </row>
    <row r="2110">
      <c r="A2110" s="10"/>
      <c r="B2110" s="10"/>
      <c r="C2110" s="10"/>
      <c r="D2110" s="10"/>
      <c r="E2110" s="10"/>
      <c r="F2110" s="11"/>
      <c r="G2110" s="11"/>
      <c r="H2110" s="11"/>
      <c r="I2110" s="11"/>
      <c r="J2110" s="11"/>
      <c r="K2110" s="11"/>
      <c r="L2110" s="12"/>
      <c r="M2110" s="11"/>
      <c r="N2110" s="11"/>
      <c r="O2110" s="13"/>
      <c r="P2110" s="14"/>
      <c r="Q2110" s="13"/>
      <c r="R2110" s="13"/>
      <c r="S2110" s="15"/>
      <c r="T2110" s="16"/>
      <c r="U2110" s="16"/>
      <c r="V2110" s="16"/>
      <c r="W2110" s="16"/>
      <c r="X2110" s="16"/>
      <c r="Y2110" s="11"/>
      <c r="Z2110" s="11"/>
      <c r="AA2110" s="11"/>
      <c r="AB2110" s="11"/>
      <c r="AC2110" s="11"/>
      <c r="AD2110" s="11"/>
    </row>
    <row r="2111">
      <c r="A2111" s="10"/>
      <c r="B2111" s="10"/>
      <c r="C2111" s="10"/>
      <c r="D2111" s="10"/>
      <c r="E2111" s="10"/>
      <c r="F2111" s="11"/>
      <c r="G2111" s="11"/>
      <c r="H2111" s="11"/>
      <c r="I2111" s="11"/>
      <c r="J2111" s="11"/>
      <c r="K2111" s="11"/>
      <c r="L2111" s="12"/>
      <c r="M2111" s="11"/>
      <c r="N2111" s="11"/>
      <c r="O2111" s="13"/>
      <c r="P2111" s="14"/>
      <c r="Q2111" s="13"/>
      <c r="R2111" s="13"/>
      <c r="S2111" s="15"/>
      <c r="T2111" s="16"/>
      <c r="U2111" s="16"/>
      <c r="V2111" s="16"/>
      <c r="W2111" s="16"/>
      <c r="X2111" s="16"/>
      <c r="Y2111" s="11"/>
      <c r="Z2111" s="11"/>
      <c r="AA2111" s="11"/>
      <c r="AB2111" s="11"/>
      <c r="AC2111" s="11"/>
      <c r="AD2111" s="11"/>
    </row>
    <row r="2112">
      <c r="A2112" s="10"/>
      <c r="B2112" s="10"/>
      <c r="C2112" s="10"/>
      <c r="D2112" s="10"/>
      <c r="E2112" s="10"/>
      <c r="F2112" s="11"/>
      <c r="G2112" s="11"/>
      <c r="H2112" s="11"/>
      <c r="I2112" s="11"/>
      <c r="J2112" s="11"/>
      <c r="K2112" s="11"/>
      <c r="L2112" s="12"/>
      <c r="M2112" s="11"/>
      <c r="N2112" s="11"/>
      <c r="O2112" s="13"/>
      <c r="P2112" s="14"/>
      <c r="Q2112" s="13"/>
      <c r="R2112" s="13"/>
      <c r="S2112" s="15"/>
      <c r="T2112" s="16"/>
      <c r="U2112" s="16"/>
      <c r="V2112" s="16"/>
      <c r="W2112" s="16"/>
      <c r="X2112" s="16"/>
      <c r="Y2112" s="11"/>
      <c r="Z2112" s="11"/>
      <c r="AA2112" s="11"/>
      <c r="AB2112" s="11"/>
      <c r="AC2112" s="11"/>
      <c r="AD2112" s="11"/>
    </row>
    <row r="2113">
      <c r="A2113" s="10"/>
      <c r="B2113" s="10"/>
      <c r="C2113" s="10"/>
      <c r="D2113" s="10"/>
      <c r="E2113" s="10"/>
      <c r="F2113" s="11"/>
      <c r="G2113" s="11"/>
      <c r="H2113" s="11"/>
      <c r="I2113" s="11"/>
      <c r="J2113" s="11"/>
      <c r="K2113" s="11"/>
      <c r="L2113" s="12"/>
      <c r="M2113" s="11"/>
      <c r="N2113" s="11"/>
      <c r="O2113" s="13"/>
      <c r="P2113" s="14"/>
      <c r="Q2113" s="13"/>
      <c r="R2113" s="13"/>
      <c r="S2113" s="15"/>
      <c r="T2113" s="16"/>
      <c r="U2113" s="16"/>
      <c r="V2113" s="16"/>
      <c r="W2113" s="16"/>
      <c r="X2113" s="16"/>
      <c r="Y2113" s="11"/>
      <c r="Z2113" s="11"/>
      <c r="AA2113" s="11"/>
      <c r="AB2113" s="11"/>
      <c r="AC2113" s="11"/>
      <c r="AD2113" s="11"/>
    </row>
    <row r="2114">
      <c r="A2114" s="10"/>
      <c r="B2114" s="10"/>
      <c r="C2114" s="10"/>
      <c r="D2114" s="10"/>
      <c r="E2114" s="10"/>
      <c r="F2114" s="11"/>
      <c r="G2114" s="11"/>
      <c r="H2114" s="11"/>
      <c r="I2114" s="11"/>
      <c r="J2114" s="11"/>
      <c r="K2114" s="11"/>
      <c r="L2114" s="12"/>
      <c r="M2114" s="11"/>
      <c r="N2114" s="11"/>
      <c r="O2114" s="13"/>
      <c r="P2114" s="14"/>
      <c r="Q2114" s="13"/>
      <c r="R2114" s="13"/>
      <c r="S2114" s="15"/>
      <c r="T2114" s="16"/>
      <c r="U2114" s="16"/>
      <c r="V2114" s="16"/>
      <c r="W2114" s="16"/>
      <c r="X2114" s="16"/>
      <c r="Y2114" s="11"/>
      <c r="Z2114" s="11"/>
      <c r="AA2114" s="11"/>
      <c r="AB2114" s="11"/>
      <c r="AC2114" s="11"/>
      <c r="AD2114" s="11"/>
    </row>
    <row r="2115">
      <c r="A2115" s="10"/>
      <c r="B2115" s="10"/>
      <c r="C2115" s="10"/>
      <c r="D2115" s="10"/>
      <c r="E2115" s="10"/>
      <c r="F2115" s="11"/>
      <c r="G2115" s="11"/>
      <c r="H2115" s="11"/>
      <c r="I2115" s="11"/>
      <c r="J2115" s="11"/>
      <c r="K2115" s="11"/>
      <c r="L2115" s="12"/>
      <c r="M2115" s="11"/>
      <c r="N2115" s="11"/>
      <c r="O2115" s="13"/>
      <c r="P2115" s="14"/>
      <c r="Q2115" s="13"/>
      <c r="R2115" s="13"/>
      <c r="S2115" s="15"/>
      <c r="T2115" s="16"/>
      <c r="U2115" s="16"/>
      <c r="V2115" s="16"/>
      <c r="W2115" s="16"/>
      <c r="X2115" s="16"/>
      <c r="Y2115" s="11"/>
      <c r="Z2115" s="11"/>
      <c r="AA2115" s="11"/>
      <c r="AB2115" s="11"/>
      <c r="AC2115" s="11"/>
      <c r="AD2115" s="11"/>
    </row>
    <row r="2116">
      <c r="A2116" s="10"/>
      <c r="B2116" s="10"/>
      <c r="C2116" s="10"/>
      <c r="D2116" s="10"/>
      <c r="E2116" s="10"/>
      <c r="F2116" s="11"/>
      <c r="G2116" s="11"/>
      <c r="H2116" s="11"/>
      <c r="I2116" s="11"/>
      <c r="J2116" s="11"/>
      <c r="K2116" s="11"/>
      <c r="L2116" s="12"/>
      <c r="M2116" s="11"/>
      <c r="N2116" s="11"/>
      <c r="O2116" s="13"/>
      <c r="P2116" s="14"/>
      <c r="Q2116" s="13"/>
      <c r="R2116" s="13"/>
      <c r="S2116" s="15"/>
      <c r="T2116" s="16"/>
      <c r="U2116" s="16"/>
      <c r="V2116" s="16"/>
      <c r="W2116" s="16"/>
      <c r="X2116" s="16"/>
      <c r="Y2116" s="11"/>
      <c r="Z2116" s="11"/>
      <c r="AA2116" s="11"/>
      <c r="AB2116" s="11"/>
      <c r="AC2116" s="11"/>
      <c r="AD2116" s="11"/>
    </row>
    <row r="2117">
      <c r="A2117" s="10"/>
      <c r="B2117" s="10"/>
      <c r="C2117" s="10"/>
      <c r="D2117" s="10"/>
      <c r="E2117" s="10"/>
      <c r="F2117" s="11"/>
      <c r="G2117" s="11"/>
      <c r="H2117" s="11"/>
      <c r="I2117" s="11"/>
      <c r="J2117" s="11"/>
      <c r="K2117" s="11"/>
      <c r="L2117" s="12"/>
      <c r="M2117" s="11"/>
      <c r="N2117" s="11"/>
      <c r="O2117" s="13"/>
      <c r="P2117" s="14"/>
      <c r="Q2117" s="13"/>
      <c r="R2117" s="13"/>
      <c r="S2117" s="15"/>
      <c r="T2117" s="16"/>
      <c r="U2117" s="16"/>
      <c r="V2117" s="16"/>
      <c r="W2117" s="16"/>
      <c r="X2117" s="16"/>
      <c r="Y2117" s="11"/>
      <c r="Z2117" s="11"/>
      <c r="AA2117" s="11"/>
      <c r="AB2117" s="11"/>
      <c r="AC2117" s="11"/>
      <c r="AD2117" s="11"/>
    </row>
    <row r="2118">
      <c r="A2118" s="10"/>
      <c r="B2118" s="10"/>
      <c r="C2118" s="10"/>
      <c r="D2118" s="10"/>
      <c r="E2118" s="10"/>
      <c r="F2118" s="11"/>
      <c r="G2118" s="11"/>
      <c r="H2118" s="11"/>
      <c r="I2118" s="11"/>
      <c r="J2118" s="11"/>
      <c r="K2118" s="11"/>
      <c r="L2118" s="12"/>
      <c r="M2118" s="11"/>
      <c r="N2118" s="11"/>
      <c r="O2118" s="13"/>
      <c r="P2118" s="14"/>
      <c r="Q2118" s="13"/>
      <c r="R2118" s="13"/>
      <c r="S2118" s="15"/>
      <c r="T2118" s="16"/>
      <c r="U2118" s="16"/>
      <c r="V2118" s="16"/>
      <c r="W2118" s="16"/>
      <c r="X2118" s="16"/>
      <c r="Y2118" s="11"/>
      <c r="Z2118" s="11"/>
      <c r="AA2118" s="11"/>
      <c r="AB2118" s="11"/>
      <c r="AC2118" s="11"/>
      <c r="AD2118" s="11"/>
    </row>
    <row r="2119">
      <c r="A2119" s="10"/>
      <c r="B2119" s="10"/>
      <c r="C2119" s="10"/>
      <c r="D2119" s="10"/>
      <c r="E2119" s="10"/>
      <c r="F2119" s="11"/>
      <c r="G2119" s="11"/>
      <c r="H2119" s="11"/>
      <c r="I2119" s="11"/>
      <c r="J2119" s="11"/>
      <c r="K2119" s="11"/>
      <c r="L2119" s="12"/>
      <c r="M2119" s="11"/>
      <c r="N2119" s="11"/>
      <c r="O2119" s="13"/>
      <c r="P2119" s="14"/>
      <c r="Q2119" s="13"/>
      <c r="R2119" s="13"/>
      <c r="S2119" s="15"/>
      <c r="T2119" s="16"/>
      <c r="U2119" s="16"/>
      <c r="V2119" s="16"/>
      <c r="W2119" s="16"/>
      <c r="X2119" s="16"/>
      <c r="Y2119" s="11"/>
      <c r="Z2119" s="11"/>
      <c r="AA2119" s="11"/>
      <c r="AB2119" s="11"/>
      <c r="AC2119" s="11"/>
      <c r="AD2119" s="11"/>
    </row>
    <row r="2120">
      <c r="A2120" s="10"/>
      <c r="B2120" s="10"/>
      <c r="C2120" s="10"/>
      <c r="D2120" s="10"/>
      <c r="E2120" s="10"/>
      <c r="F2120" s="11"/>
      <c r="G2120" s="11"/>
      <c r="H2120" s="11"/>
      <c r="I2120" s="11"/>
      <c r="J2120" s="11"/>
      <c r="K2120" s="11"/>
      <c r="L2120" s="12"/>
      <c r="M2120" s="11"/>
      <c r="N2120" s="11"/>
      <c r="O2120" s="13"/>
      <c r="P2120" s="14"/>
      <c r="Q2120" s="13"/>
      <c r="R2120" s="13"/>
      <c r="S2120" s="15"/>
      <c r="T2120" s="16"/>
      <c r="U2120" s="16"/>
      <c r="V2120" s="16"/>
      <c r="W2120" s="16"/>
      <c r="X2120" s="16"/>
      <c r="Y2120" s="11"/>
      <c r="Z2120" s="11"/>
      <c r="AA2120" s="11"/>
      <c r="AB2120" s="11"/>
      <c r="AC2120" s="11"/>
      <c r="AD2120" s="11"/>
    </row>
    <row r="2121">
      <c r="A2121" s="10"/>
      <c r="B2121" s="10"/>
      <c r="C2121" s="10"/>
      <c r="D2121" s="10"/>
      <c r="E2121" s="10"/>
      <c r="F2121" s="11"/>
      <c r="G2121" s="11"/>
      <c r="H2121" s="11"/>
      <c r="I2121" s="11"/>
      <c r="J2121" s="11"/>
      <c r="K2121" s="11"/>
      <c r="L2121" s="12"/>
      <c r="M2121" s="11"/>
      <c r="N2121" s="11"/>
      <c r="O2121" s="13"/>
      <c r="P2121" s="14"/>
      <c r="Q2121" s="13"/>
      <c r="R2121" s="13"/>
      <c r="S2121" s="15"/>
      <c r="T2121" s="16"/>
      <c r="U2121" s="16"/>
      <c r="V2121" s="16"/>
      <c r="W2121" s="16"/>
      <c r="X2121" s="16"/>
      <c r="Y2121" s="11"/>
      <c r="Z2121" s="11"/>
      <c r="AA2121" s="11"/>
      <c r="AB2121" s="11"/>
      <c r="AC2121" s="11"/>
      <c r="AD2121" s="11"/>
    </row>
    <row r="2122">
      <c r="A2122" s="10"/>
      <c r="B2122" s="10"/>
      <c r="C2122" s="10"/>
      <c r="D2122" s="10"/>
      <c r="E2122" s="10"/>
      <c r="F2122" s="11"/>
      <c r="G2122" s="11"/>
      <c r="H2122" s="11"/>
      <c r="I2122" s="11"/>
      <c r="J2122" s="11"/>
      <c r="K2122" s="11"/>
      <c r="L2122" s="12"/>
      <c r="M2122" s="11"/>
      <c r="N2122" s="11"/>
      <c r="O2122" s="13"/>
      <c r="P2122" s="14"/>
      <c r="Q2122" s="13"/>
      <c r="R2122" s="13"/>
      <c r="S2122" s="15"/>
      <c r="T2122" s="16"/>
      <c r="U2122" s="16"/>
      <c r="V2122" s="16"/>
      <c r="W2122" s="16"/>
      <c r="X2122" s="16"/>
      <c r="Y2122" s="11"/>
      <c r="Z2122" s="11"/>
      <c r="AA2122" s="11"/>
      <c r="AB2122" s="11"/>
      <c r="AC2122" s="11"/>
      <c r="AD2122" s="11"/>
    </row>
    <row r="2123">
      <c r="A2123" s="10"/>
      <c r="B2123" s="10"/>
      <c r="C2123" s="10"/>
      <c r="D2123" s="10"/>
      <c r="E2123" s="10"/>
      <c r="F2123" s="11"/>
      <c r="G2123" s="11"/>
      <c r="H2123" s="11"/>
      <c r="I2123" s="11"/>
      <c r="J2123" s="11"/>
      <c r="K2123" s="11"/>
      <c r="L2123" s="12"/>
      <c r="M2123" s="11"/>
      <c r="N2123" s="11"/>
      <c r="O2123" s="13"/>
      <c r="P2123" s="14"/>
      <c r="Q2123" s="13"/>
      <c r="R2123" s="13"/>
      <c r="S2123" s="15"/>
      <c r="T2123" s="16"/>
      <c r="U2123" s="16"/>
      <c r="V2123" s="16"/>
      <c r="W2123" s="16"/>
      <c r="X2123" s="16"/>
      <c r="Y2123" s="11"/>
      <c r="Z2123" s="11"/>
      <c r="AA2123" s="11"/>
      <c r="AB2123" s="11"/>
      <c r="AC2123" s="11"/>
      <c r="AD2123" s="11"/>
    </row>
    <row r="2124">
      <c r="A2124" s="10"/>
      <c r="B2124" s="10"/>
      <c r="C2124" s="10"/>
      <c r="D2124" s="10"/>
      <c r="E2124" s="10"/>
      <c r="F2124" s="11"/>
      <c r="G2124" s="11"/>
      <c r="H2124" s="11"/>
      <c r="I2124" s="11"/>
      <c r="J2124" s="11"/>
      <c r="K2124" s="11"/>
      <c r="L2124" s="12"/>
      <c r="M2124" s="11"/>
      <c r="N2124" s="11"/>
      <c r="O2124" s="13"/>
      <c r="P2124" s="14"/>
      <c r="Q2124" s="13"/>
      <c r="R2124" s="13"/>
      <c r="S2124" s="15"/>
      <c r="T2124" s="16"/>
      <c r="U2124" s="16"/>
      <c r="V2124" s="16"/>
      <c r="W2124" s="16"/>
      <c r="X2124" s="16"/>
      <c r="Y2124" s="11"/>
      <c r="Z2124" s="11"/>
      <c r="AA2124" s="11"/>
      <c r="AB2124" s="11"/>
      <c r="AC2124" s="11"/>
      <c r="AD2124" s="11"/>
    </row>
    <row r="2125">
      <c r="A2125" s="10"/>
      <c r="B2125" s="10"/>
      <c r="C2125" s="10"/>
      <c r="D2125" s="10"/>
      <c r="E2125" s="10"/>
      <c r="F2125" s="11"/>
      <c r="G2125" s="11"/>
      <c r="H2125" s="11"/>
      <c r="I2125" s="11"/>
      <c r="J2125" s="11"/>
      <c r="K2125" s="11"/>
      <c r="L2125" s="12"/>
      <c r="M2125" s="11"/>
      <c r="N2125" s="11"/>
      <c r="O2125" s="13"/>
      <c r="P2125" s="14"/>
      <c r="Q2125" s="13"/>
      <c r="R2125" s="13"/>
      <c r="S2125" s="15"/>
      <c r="T2125" s="16"/>
      <c r="U2125" s="16"/>
      <c r="V2125" s="16"/>
      <c r="W2125" s="16"/>
      <c r="X2125" s="16"/>
      <c r="Y2125" s="11"/>
      <c r="Z2125" s="11"/>
      <c r="AA2125" s="11"/>
      <c r="AB2125" s="11"/>
      <c r="AC2125" s="11"/>
      <c r="AD2125" s="11"/>
    </row>
    <row r="2126">
      <c r="A2126" s="10"/>
      <c r="B2126" s="10"/>
      <c r="C2126" s="10"/>
      <c r="D2126" s="10"/>
      <c r="E2126" s="10"/>
      <c r="F2126" s="11"/>
      <c r="G2126" s="11"/>
      <c r="H2126" s="11"/>
      <c r="I2126" s="11"/>
      <c r="J2126" s="11"/>
      <c r="K2126" s="11"/>
      <c r="L2126" s="12"/>
      <c r="M2126" s="11"/>
      <c r="N2126" s="11"/>
      <c r="O2126" s="13"/>
      <c r="P2126" s="14"/>
      <c r="Q2126" s="13"/>
      <c r="R2126" s="13"/>
      <c r="S2126" s="15"/>
      <c r="T2126" s="16"/>
      <c r="U2126" s="16"/>
      <c r="V2126" s="16"/>
      <c r="W2126" s="16"/>
      <c r="X2126" s="16"/>
      <c r="Y2126" s="11"/>
      <c r="Z2126" s="11"/>
      <c r="AA2126" s="11"/>
      <c r="AB2126" s="11"/>
      <c r="AC2126" s="11"/>
      <c r="AD2126" s="11"/>
    </row>
    <row r="2127">
      <c r="A2127" s="10"/>
      <c r="B2127" s="10"/>
      <c r="C2127" s="10"/>
      <c r="D2127" s="10"/>
      <c r="E2127" s="10"/>
      <c r="F2127" s="11"/>
      <c r="G2127" s="11"/>
      <c r="H2127" s="11"/>
      <c r="I2127" s="11"/>
      <c r="J2127" s="11"/>
      <c r="K2127" s="11"/>
      <c r="L2127" s="12"/>
      <c r="M2127" s="11"/>
      <c r="N2127" s="11"/>
      <c r="O2127" s="13"/>
      <c r="P2127" s="14"/>
      <c r="Q2127" s="13"/>
      <c r="R2127" s="13"/>
      <c r="S2127" s="15"/>
      <c r="T2127" s="16"/>
      <c r="U2127" s="16"/>
      <c r="V2127" s="16"/>
      <c r="W2127" s="16"/>
      <c r="X2127" s="16"/>
      <c r="Y2127" s="11"/>
      <c r="Z2127" s="11"/>
      <c r="AA2127" s="11"/>
      <c r="AB2127" s="11"/>
      <c r="AC2127" s="11"/>
      <c r="AD2127" s="11"/>
    </row>
    <row r="2128">
      <c r="A2128" s="10"/>
      <c r="B2128" s="10"/>
      <c r="C2128" s="10"/>
      <c r="D2128" s="10"/>
      <c r="E2128" s="10"/>
      <c r="F2128" s="11"/>
      <c r="G2128" s="11"/>
      <c r="H2128" s="11"/>
      <c r="I2128" s="11"/>
      <c r="J2128" s="11"/>
      <c r="K2128" s="11"/>
      <c r="L2128" s="12"/>
      <c r="M2128" s="11"/>
      <c r="N2128" s="11"/>
      <c r="O2128" s="13"/>
      <c r="P2128" s="14"/>
      <c r="Q2128" s="13"/>
      <c r="R2128" s="13"/>
      <c r="S2128" s="15"/>
      <c r="T2128" s="16"/>
      <c r="U2128" s="16"/>
      <c r="V2128" s="16"/>
      <c r="W2128" s="16"/>
      <c r="X2128" s="16"/>
      <c r="Y2128" s="11"/>
      <c r="Z2128" s="11"/>
      <c r="AA2128" s="11"/>
      <c r="AB2128" s="11"/>
      <c r="AC2128" s="11"/>
      <c r="AD2128" s="11"/>
    </row>
    <row r="2129">
      <c r="A2129" s="10"/>
      <c r="B2129" s="10"/>
      <c r="C2129" s="10"/>
      <c r="D2129" s="10"/>
      <c r="E2129" s="10"/>
      <c r="F2129" s="11"/>
      <c r="G2129" s="11"/>
      <c r="H2129" s="11"/>
      <c r="I2129" s="11"/>
      <c r="J2129" s="11"/>
      <c r="K2129" s="11"/>
      <c r="L2129" s="12"/>
      <c r="M2129" s="11"/>
      <c r="N2129" s="11"/>
      <c r="O2129" s="13"/>
      <c r="P2129" s="14"/>
      <c r="Q2129" s="13"/>
      <c r="R2129" s="13"/>
      <c r="S2129" s="15"/>
      <c r="T2129" s="16"/>
      <c r="U2129" s="16"/>
      <c r="V2129" s="16"/>
      <c r="W2129" s="16"/>
      <c r="X2129" s="16"/>
      <c r="Y2129" s="11"/>
      <c r="Z2129" s="11"/>
      <c r="AA2129" s="11"/>
      <c r="AB2129" s="11"/>
      <c r="AC2129" s="11"/>
      <c r="AD2129" s="11"/>
    </row>
    <row r="2130">
      <c r="A2130" s="10"/>
      <c r="B2130" s="10"/>
      <c r="C2130" s="10"/>
      <c r="D2130" s="10"/>
      <c r="E2130" s="10"/>
      <c r="F2130" s="11"/>
      <c r="G2130" s="11"/>
      <c r="H2130" s="11"/>
      <c r="I2130" s="11"/>
      <c r="J2130" s="11"/>
      <c r="K2130" s="11"/>
      <c r="L2130" s="12"/>
      <c r="M2130" s="11"/>
      <c r="N2130" s="11"/>
      <c r="O2130" s="13"/>
      <c r="P2130" s="14"/>
      <c r="Q2130" s="13"/>
      <c r="R2130" s="13"/>
      <c r="S2130" s="15"/>
      <c r="T2130" s="16"/>
      <c r="U2130" s="16"/>
      <c r="V2130" s="16"/>
      <c r="W2130" s="16"/>
      <c r="X2130" s="16"/>
      <c r="Y2130" s="11"/>
      <c r="Z2130" s="11"/>
      <c r="AA2130" s="11"/>
      <c r="AB2130" s="11"/>
      <c r="AC2130" s="11"/>
      <c r="AD2130" s="11"/>
    </row>
    <row r="2131">
      <c r="A2131" s="10"/>
      <c r="B2131" s="10"/>
      <c r="C2131" s="10"/>
      <c r="D2131" s="10"/>
      <c r="E2131" s="10"/>
      <c r="F2131" s="11"/>
      <c r="G2131" s="11"/>
      <c r="H2131" s="11"/>
      <c r="I2131" s="11"/>
      <c r="J2131" s="11"/>
      <c r="K2131" s="11"/>
      <c r="L2131" s="12"/>
      <c r="M2131" s="11"/>
      <c r="N2131" s="11"/>
      <c r="O2131" s="13"/>
      <c r="P2131" s="14"/>
      <c r="Q2131" s="13"/>
      <c r="R2131" s="13"/>
      <c r="S2131" s="15"/>
      <c r="T2131" s="16"/>
      <c r="U2131" s="16"/>
      <c r="V2131" s="16"/>
      <c r="W2131" s="16"/>
      <c r="X2131" s="16"/>
      <c r="Y2131" s="11"/>
      <c r="Z2131" s="11"/>
      <c r="AA2131" s="11"/>
      <c r="AB2131" s="11"/>
      <c r="AC2131" s="11"/>
      <c r="AD2131" s="11"/>
    </row>
    <row r="2132">
      <c r="A2132" s="10"/>
      <c r="B2132" s="10"/>
      <c r="C2132" s="10"/>
      <c r="D2132" s="10"/>
      <c r="E2132" s="10"/>
      <c r="F2132" s="11"/>
      <c r="G2132" s="11"/>
      <c r="H2132" s="11"/>
      <c r="I2132" s="11"/>
      <c r="J2132" s="11"/>
      <c r="K2132" s="11"/>
      <c r="L2132" s="12"/>
      <c r="M2132" s="11"/>
      <c r="N2132" s="11"/>
      <c r="O2132" s="13"/>
      <c r="P2132" s="14"/>
      <c r="Q2132" s="13"/>
      <c r="R2132" s="13"/>
      <c r="S2132" s="15"/>
      <c r="T2132" s="16"/>
      <c r="U2132" s="16"/>
      <c r="V2132" s="16"/>
      <c r="W2132" s="16"/>
      <c r="X2132" s="16"/>
      <c r="Y2132" s="11"/>
      <c r="Z2132" s="11"/>
      <c r="AA2132" s="11"/>
      <c r="AB2132" s="11"/>
      <c r="AC2132" s="11"/>
      <c r="AD2132" s="11"/>
    </row>
    <row r="2133">
      <c r="A2133" s="10"/>
      <c r="B2133" s="10"/>
      <c r="C2133" s="10"/>
      <c r="D2133" s="10"/>
      <c r="E2133" s="10"/>
      <c r="F2133" s="11"/>
      <c r="G2133" s="11"/>
      <c r="H2133" s="11"/>
      <c r="I2133" s="11"/>
      <c r="J2133" s="11"/>
      <c r="K2133" s="11"/>
      <c r="L2133" s="12"/>
      <c r="M2133" s="11"/>
      <c r="N2133" s="11"/>
      <c r="O2133" s="13"/>
      <c r="P2133" s="14"/>
      <c r="Q2133" s="13"/>
      <c r="R2133" s="13"/>
      <c r="S2133" s="15"/>
      <c r="T2133" s="16"/>
      <c r="U2133" s="16"/>
      <c r="V2133" s="16"/>
      <c r="W2133" s="16"/>
      <c r="X2133" s="16"/>
      <c r="Y2133" s="11"/>
      <c r="Z2133" s="11"/>
      <c r="AA2133" s="11"/>
      <c r="AB2133" s="11"/>
      <c r="AC2133" s="11"/>
      <c r="AD2133" s="11"/>
    </row>
    <row r="2134">
      <c r="A2134" s="10"/>
      <c r="B2134" s="10"/>
      <c r="C2134" s="10"/>
      <c r="D2134" s="10"/>
      <c r="E2134" s="10"/>
      <c r="F2134" s="11"/>
      <c r="G2134" s="11"/>
      <c r="H2134" s="11"/>
      <c r="I2134" s="11"/>
      <c r="J2134" s="11"/>
      <c r="K2134" s="11"/>
      <c r="L2134" s="12"/>
      <c r="M2134" s="11"/>
      <c r="N2134" s="11"/>
      <c r="O2134" s="13"/>
      <c r="P2134" s="14"/>
      <c r="Q2134" s="13"/>
      <c r="R2134" s="13"/>
      <c r="S2134" s="15"/>
      <c r="T2134" s="16"/>
      <c r="U2134" s="16"/>
      <c r="V2134" s="16"/>
      <c r="W2134" s="16"/>
      <c r="X2134" s="16"/>
      <c r="Y2134" s="11"/>
      <c r="Z2134" s="11"/>
      <c r="AA2134" s="11"/>
      <c r="AB2134" s="11"/>
      <c r="AC2134" s="11"/>
      <c r="AD2134" s="11"/>
    </row>
    <row r="2135">
      <c r="A2135" s="10"/>
      <c r="B2135" s="10"/>
      <c r="C2135" s="10"/>
      <c r="D2135" s="10"/>
      <c r="E2135" s="10"/>
      <c r="F2135" s="11"/>
      <c r="G2135" s="11"/>
      <c r="H2135" s="11"/>
      <c r="I2135" s="11"/>
      <c r="J2135" s="11"/>
      <c r="K2135" s="11"/>
      <c r="L2135" s="12"/>
      <c r="M2135" s="11"/>
      <c r="N2135" s="11"/>
      <c r="O2135" s="13"/>
      <c r="P2135" s="14"/>
      <c r="Q2135" s="13"/>
      <c r="R2135" s="13"/>
      <c r="S2135" s="15"/>
      <c r="T2135" s="16"/>
      <c r="U2135" s="16"/>
      <c r="V2135" s="16"/>
      <c r="W2135" s="16"/>
      <c r="X2135" s="16"/>
      <c r="Y2135" s="11"/>
      <c r="Z2135" s="11"/>
      <c r="AA2135" s="11"/>
      <c r="AB2135" s="11"/>
      <c r="AC2135" s="11"/>
      <c r="AD2135" s="11"/>
    </row>
    <row r="2136">
      <c r="A2136" s="10"/>
      <c r="B2136" s="10"/>
      <c r="C2136" s="10"/>
      <c r="D2136" s="10"/>
      <c r="E2136" s="10"/>
      <c r="F2136" s="11"/>
      <c r="G2136" s="11"/>
      <c r="H2136" s="11"/>
      <c r="I2136" s="11"/>
      <c r="J2136" s="11"/>
      <c r="K2136" s="11"/>
      <c r="L2136" s="12"/>
      <c r="M2136" s="11"/>
      <c r="N2136" s="11"/>
      <c r="O2136" s="13"/>
      <c r="P2136" s="14"/>
      <c r="Q2136" s="13"/>
      <c r="R2136" s="13"/>
      <c r="S2136" s="15"/>
      <c r="T2136" s="16"/>
      <c r="U2136" s="16"/>
      <c r="V2136" s="16"/>
      <c r="W2136" s="16"/>
      <c r="X2136" s="16"/>
      <c r="Y2136" s="11"/>
      <c r="Z2136" s="11"/>
      <c r="AA2136" s="11"/>
      <c r="AB2136" s="11"/>
      <c r="AC2136" s="11"/>
      <c r="AD2136" s="11"/>
    </row>
    <row r="2137">
      <c r="A2137" s="10"/>
      <c r="B2137" s="10"/>
      <c r="C2137" s="10"/>
      <c r="D2137" s="10"/>
      <c r="E2137" s="10"/>
      <c r="F2137" s="11"/>
      <c r="G2137" s="11"/>
      <c r="H2137" s="11"/>
      <c r="I2137" s="11"/>
      <c r="J2137" s="11"/>
      <c r="K2137" s="11"/>
      <c r="L2137" s="12"/>
      <c r="M2137" s="11"/>
      <c r="N2137" s="11"/>
      <c r="O2137" s="13"/>
      <c r="P2137" s="14"/>
      <c r="Q2137" s="13"/>
      <c r="R2137" s="13"/>
      <c r="S2137" s="15"/>
      <c r="T2137" s="16"/>
      <c r="U2137" s="16"/>
      <c r="V2137" s="16"/>
      <c r="W2137" s="16"/>
      <c r="X2137" s="16"/>
      <c r="Y2137" s="11"/>
      <c r="Z2137" s="11"/>
      <c r="AA2137" s="11"/>
      <c r="AB2137" s="11"/>
      <c r="AC2137" s="11"/>
      <c r="AD2137" s="11"/>
    </row>
    <row r="2138">
      <c r="A2138" s="10"/>
      <c r="B2138" s="10"/>
      <c r="C2138" s="10"/>
      <c r="D2138" s="10"/>
      <c r="E2138" s="10"/>
      <c r="F2138" s="11"/>
      <c r="G2138" s="11"/>
      <c r="H2138" s="11"/>
      <c r="I2138" s="11"/>
      <c r="J2138" s="11"/>
      <c r="K2138" s="11"/>
      <c r="L2138" s="12"/>
      <c r="M2138" s="11"/>
      <c r="N2138" s="11"/>
      <c r="O2138" s="13"/>
      <c r="P2138" s="14"/>
      <c r="Q2138" s="13"/>
      <c r="R2138" s="13"/>
      <c r="S2138" s="15"/>
      <c r="T2138" s="16"/>
      <c r="U2138" s="16"/>
      <c r="V2138" s="16"/>
      <c r="W2138" s="16"/>
      <c r="X2138" s="16"/>
      <c r="Y2138" s="11"/>
      <c r="Z2138" s="11"/>
      <c r="AA2138" s="11"/>
      <c r="AB2138" s="11"/>
      <c r="AC2138" s="11"/>
      <c r="AD2138" s="11"/>
    </row>
    <row r="2139">
      <c r="A2139" s="10"/>
      <c r="B2139" s="10"/>
      <c r="C2139" s="10"/>
      <c r="D2139" s="10"/>
      <c r="E2139" s="10"/>
      <c r="F2139" s="11"/>
      <c r="G2139" s="11"/>
      <c r="H2139" s="11"/>
      <c r="I2139" s="11"/>
      <c r="J2139" s="11"/>
      <c r="K2139" s="11"/>
      <c r="L2139" s="12"/>
      <c r="M2139" s="11"/>
      <c r="N2139" s="11"/>
      <c r="O2139" s="13"/>
      <c r="P2139" s="14"/>
      <c r="Q2139" s="13"/>
      <c r="R2139" s="13"/>
      <c r="S2139" s="15"/>
      <c r="T2139" s="16"/>
      <c r="U2139" s="16"/>
      <c r="V2139" s="16"/>
      <c r="W2139" s="16"/>
      <c r="X2139" s="16"/>
      <c r="Y2139" s="11"/>
      <c r="Z2139" s="11"/>
      <c r="AA2139" s="11"/>
      <c r="AB2139" s="11"/>
      <c r="AC2139" s="11"/>
      <c r="AD2139" s="11"/>
    </row>
    <row r="2140">
      <c r="A2140" s="10"/>
      <c r="B2140" s="10"/>
      <c r="C2140" s="10"/>
      <c r="D2140" s="10"/>
      <c r="E2140" s="10"/>
      <c r="F2140" s="11"/>
      <c r="G2140" s="11"/>
      <c r="H2140" s="11"/>
      <c r="I2140" s="11"/>
      <c r="J2140" s="11"/>
      <c r="K2140" s="11"/>
      <c r="L2140" s="12"/>
      <c r="M2140" s="11"/>
      <c r="N2140" s="11"/>
      <c r="O2140" s="13"/>
      <c r="P2140" s="14"/>
      <c r="Q2140" s="13"/>
      <c r="R2140" s="13"/>
      <c r="S2140" s="15"/>
      <c r="T2140" s="16"/>
      <c r="U2140" s="16"/>
      <c r="V2140" s="16"/>
      <c r="W2140" s="16"/>
      <c r="X2140" s="16"/>
      <c r="Y2140" s="11"/>
      <c r="Z2140" s="11"/>
      <c r="AA2140" s="11"/>
      <c r="AB2140" s="11"/>
      <c r="AC2140" s="11"/>
      <c r="AD2140" s="11"/>
    </row>
    <row r="2141">
      <c r="A2141" s="10"/>
      <c r="B2141" s="10"/>
      <c r="C2141" s="10"/>
      <c r="D2141" s="10"/>
      <c r="E2141" s="10"/>
      <c r="F2141" s="11"/>
      <c r="G2141" s="11"/>
      <c r="H2141" s="11"/>
      <c r="I2141" s="11"/>
      <c r="J2141" s="11"/>
      <c r="K2141" s="11"/>
      <c r="L2141" s="12"/>
      <c r="M2141" s="11"/>
      <c r="N2141" s="11"/>
      <c r="O2141" s="13"/>
      <c r="P2141" s="14"/>
      <c r="Q2141" s="13"/>
      <c r="R2141" s="13"/>
      <c r="S2141" s="15"/>
      <c r="T2141" s="16"/>
      <c r="U2141" s="16"/>
      <c r="V2141" s="16"/>
      <c r="W2141" s="16"/>
      <c r="X2141" s="16"/>
      <c r="Y2141" s="11"/>
      <c r="Z2141" s="11"/>
      <c r="AA2141" s="11"/>
      <c r="AB2141" s="11"/>
      <c r="AC2141" s="11"/>
      <c r="AD2141" s="11"/>
    </row>
    <row r="2142">
      <c r="A2142" s="10"/>
      <c r="B2142" s="10"/>
      <c r="C2142" s="10"/>
      <c r="D2142" s="10"/>
      <c r="E2142" s="10"/>
      <c r="F2142" s="11"/>
      <c r="G2142" s="11"/>
      <c r="H2142" s="11"/>
      <c r="I2142" s="11"/>
      <c r="J2142" s="11"/>
      <c r="K2142" s="11"/>
      <c r="L2142" s="12"/>
      <c r="M2142" s="11"/>
      <c r="N2142" s="11"/>
      <c r="O2142" s="13"/>
      <c r="P2142" s="14"/>
      <c r="Q2142" s="13"/>
      <c r="R2142" s="13"/>
      <c r="S2142" s="15"/>
      <c r="T2142" s="16"/>
      <c r="U2142" s="16"/>
      <c r="V2142" s="16"/>
      <c r="W2142" s="16"/>
      <c r="X2142" s="16"/>
      <c r="Y2142" s="11"/>
      <c r="Z2142" s="11"/>
      <c r="AA2142" s="11"/>
      <c r="AB2142" s="11"/>
      <c r="AC2142" s="11"/>
      <c r="AD2142" s="11"/>
    </row>
    <row r="2143">
      <c r="A2143" s="10"/>
      <c r="B2143" s="10"/>
      <c r="C2143" s="10"/>
      <c r="D2143" s="10"/>
      <c r="E2143" s="10"/>
      <c r="F2143" s="11"/>
      <c r="G2143" s="11"/>
      <c r="H2143" s="11"/>
      <c r="I2143" s="11"/>
      <c r="J2143" s="11"/>
      <c r="K2143" s="11"/>
      <c r="L2143" s="12"/>
      <c r="M2143" s="11"/>
      <c r="N2143" s="11"/>
      <c r="O2143" s="13"/>
      <c r="P2143" s="14"/>
      <c r="Q2143" s="13"/>
      <c r="R2143" s="13"/>
      <c r="S2143" s="15"/>
      <c r="T2143" s="16"/>
      <c r="U2143" s="16"/>
      <c r="V2143" s="16"/>
      <c r="W2143" s="16"/>
      <c r="X2143" s="16"/>
      <c r="Y2143" s="11"/>
      <c r="Z2143" s="11"/>
      <c r="AA2143" s="11"/>
      <c r="AB2143" s="11"/>
      <c r="AC2143" s="11"/>
      <c r="AD2143" s="11"/>
    </row>
    <row r="2144">
      <c r="A2144" s="10"/>
      <c r="B2144" s="10"/>
      <c r="C2144" s="10"/>
      <c r="D2144" s="10"/>
      <c r="E2144" s="10"/>
      <c r="F2144" s="11"/>
      <c r="G2144" s="11"/>
      <c r="H2144" s="11"/>
      <c r="I2144" s="11"/>
      <c r="J2144" s="11"/>
      <c r="K2144" s="11"/>
      <c r="L2144" s="12"/>
      <c r="M2144" s="11"/>
      <c r="N2144" s="11"/>
      <c r="O2144" s="13"/>
      <c r="P2144" s="14"/>
      <c r="Q2144" s="13"/>
      <c r="R2144" s="13"/>
      <c r="S2144" s="15"/>
      <c r="T2144" s="16"/>
      <c r="U2144" s="16"/>
      <c r="V2144" s="16"/>
      <c r="W2144" s="16"/>
      <c r="X2144" s="16"/>
      <c r="Y2144" s="11"/>
      <c r="Z2144" s="11"/>
      <c r="AA2144" s="11"/>
      <c r="AB2144" s="11"/>
      <c r="AC2144" s="11"/>
      <c r="AD2144" s="11"/>
    </row>
    <row r="2145">
      <c r="A2145" s="10"/>
      <c r="B2145" s="10"/>
      <c r="C2145" s="10"/>
      <c r="D2145" s="10"/>
      <c r="E2145" s="10"/>
      <c r="F2145" s="11"/>
      <c r="G2145" s="11"/>
      <c r="H2145" s="11"/>
      <c r="I2145" s="11"/>
      <c r="J2145" s="11"/>
      <c r="K2145" s="11"/>
      <c r="L2145" s="12"/>
      <c r="M2145" s="11"/>
      <c r="N2145" s="11"/>
      <c r="O2145" s="13"/>
      <c r="P2145" s="14"/>
      <c r="Q2145" s="13"/>
      <c r="R2145" s="13"/>
      <c r="S2145" s="15"/>
      <c r="T2145" s="16"/>
      <c r="U2145" s="16"/>
      <c r="V2145" s="16"/>
      <c r="W2145" s="16"/>
      <c r="X2145" s="16"/>
      <c r="Y2145" s="11"/>
      <c r="Z2145" s="11"/>
      <c r="AA2145" s="11"/>
      <c r="AB2145" s="11"/>
      <c r="AC2145" s="11"/>
      <c r="AD2145" s="11"/>
    </row>
    <row r="2146">
      <c r="A2146" s="10"/>
      <c r="B2146" s="10"/>
      <c r="C2146" s="10"/>
      <c r="D2146" s="10"/>
      <c r="E2146" s="10"/>
      <c r="F2146" s="11"/>
      <c r="G2146" s="11"/>
      <c r="H2146" s="11"/>
      <c r="I2146" s="11"/>
      <c r="J2146" s="11"/>
      <c r="K2146" s="11"/>
      <c r="L2146" s="12"/>
      <c r="M2146" s="11"/>
      <c r="N2146" s="11"/>
      <c r="O2146" s="13"/>
      <c r="P2146" s="14"/>
      <c r="Q2146" s="13"/>
      <c r="R2146" s="13"/>
      <c r="S2146" s="15"/>
      <c r="T2146" s="16"/>
      <c r="U2146" s="16"/>
      <c r="V2146" s="16"/>
      <c r="W2146" s="16"/>
      <c r="X2146" s="16"/>
      <c r="Y2146" s="11"/>
      <c r="Z2146" s="11"/>
      <c r="AA2146" s="11"/>
      <c r="AB2146" s="11"/>
      <c r="AC2146" s="11"/>
      <c r="AD2146" s="11"/>
    </row>
    <row r="2147">
      <c r="A2147" s="10"/>
      <c r="B2147" s="10"/>
      <c r="C2147" s="10"/>
      <c r="D2147" s="10"/>
      <c r="E2147" s="10"/>
      <c r="F2147" s="11"/>
      <c r="G2147" s="11"/>
      <c r="H2147" s="11"/>
      <c r="I2147" s="11"/>
      <c r="J2147" s="11"/>
      <c r="K2147" s="11"/>
      <c r="L2147" s="12"/>
      <c r="M2147" s="11"/>
      <c r="N2147" s="11"/>
      <c r="O2147" s="13"/>
      <c r="P2147" s="14"/>
      <c r="Q2147" s="13"/>
      <c r="R2147" s="13"/>
      <c r="S2147" s="15"/>
      <c r="T2147" s="16"/>
      <c r="U2147" s="16"/>
      <c r="V2147" s="16"/>
      <c r="W2147" s="16"/>
      <c r="X2147" s="16"/>
      <c r="Y2147" s="11"/>
      <c r="Z2147" s="11"/>
      <c r="AA2147" s="11"/>
      <c r="AB2147" s="11"/>
      <c r="AC2147" s="11"/>
      <c r="AD2147" s="11"/>
    </row>
    <row r="2148">
      <c r="A2148" s="10"/>
      <c r="B2148" s="10"/>
      <c r="C2148" s="10"/>
      <c r="D2148" s="10"/>
      <c r="E2148" s="10"/>
      <c r="F2148" s="11"/>
      <c r="G2148" s="11"/>
      <c r="H2148" s="11"/>
      <c r="I2148" s="11"/>
      <c r="J2148" s="11"/>
      <c r="K2148" s="11"/>
      <c r="L2148" s="12"/>
      <c r="M2148" s="11"/>
      <c r="N2148" s="11"/>
      <c r="O2148" s="13"/>
      <c r="P2148" s="14"/>
      <c r="Q2148" s="13"/>
      <c r="R2148" s="13"/>
      <c r="S2148" s="15"/>
      <c r="T2148" s="16"/>
      <c r="U2148" s="16"/>
      <c r="V2148" s="16"/>
      <c r="W2148" s="16"/>
      <c r="X2148" s="16"/>
      <c r="Y2148" s="11"/>
      <c r="Z2148" s="11"/>
      <c r="AA2148" s="11"/>
      <c r="AB2148" s="11"/>
      <c r="AC2148" s="11"/>
      <c r="AD2148" s="11"/>
    </row>
    <row r="2149">
      <c r="A2149" s="10"/>
      <c r="B2149" s="10"/>
      <c r="C2149" s="10"/>
      <c r="D2149" s="10"/>
      <c r="E2149" s="10"/>
      <c r="F2149" s="11"/>
      <c r="G2149" s="11"/>
      <c r="H2149" s="11"/>
      <c r="I2149" s="11"/>
      <c r="J2149" s="11"/>
      <c r="K2149" s="11"/>
      <c r="L2149" s="12"/>
      <c r="M2149" s="11"/>
      <c r="N2149" s="11"/>
      <c r="O2149" s="13"/>
      <c r="P2149" s="14"/>
      <c r="Q2149" s="13"/>
      <c r="R2149" s="13"/>
      <c r="S2149" s="15"/>
      <c r="T2149" s="16"/>
      <c r="U2149" s="16"/>
      <c r="V2149" s="16"/>
      <c r="W2149" s="16"/>
      <c r="X2149" s="16"/>
      <c r="Y2149" s="11"/>
      <c r="Z2149" s="11"/>
      <c r="AA2149" s="11"/>
      <c r="AB2149" s="11"/>
      <c r="AC2149" s="11"/>
      <c r="AD2149" s="11"/>
    </row>
    <row r="2150">
      <c r="A2150" s="10"/>
      <c r="B2150" s="10"/>
      <c r="C2150" s="10"/>
      <c r="D2150" s="10"/>
      <c r="E2150" s="10"/>
      <c r="F2150" s="11"/>
      <c r="G2150" s="11"/>
      <c r="H2150" s="11"/>
      <c r="I2150" s="11"/>
      <c r="J2150" s="11"/>
      <c r="K2150" s="11"/>
      <c r="L2150" s="12"/>
      <c r="M2150" s="11"/>
      <c r="N2150" s="11"/>
      <c r="O2150" s="13"/>
      <c r="P2150" s="14"/>
      <c r="Q2150" s="13"/>
      <c r="R2150" s="13"/>
      <c r="S2150" s="15"/>
      <c r="T2150" s="16"/>
      <c r="U2150" s="16"/>
      <c r="V2150" s="16"/>
      <c r="W2150" s="16"/>
      <c r="X2150" s="16"/>
      <c r="Y2150" s="11"/>
      <c r="Z2150" s="11"/>
      <c r="AA2150" s="11"/>
      <c r="AB2150" s="11"/>
      <c r="AC2150" s="11"/>
      <c r="AD2150" s="11"/>
    </row>
    <row r="2151">
      <c r="A2151" s="10"/>
      <c r="B2151" s="10"/>
      <c r="C2151" s="10"/>
      <c r="D2151" s="10"/>
      <c r="E2151" s="10"/>
      <c r="F2151" s="11"/>
      <c r="G2151" s="11"/>
      <c r="H2151" s="11"/>
      <c r="I2151" s="11"/>
      <c r="J2151" s="11"/>
      <c r="K2151" s="11"/>
      <c r="L2151" s="12"/>
      <c r="M2151" s="11"/>
      <c r="N2151" s="11"/>
      <c r="O2151" s="13"/>
      <c r="P2151" s="14"/>
      <c r="Q2151" s="13"/>
      <c r="R2151" s="13"/>
      <c r="S2151" s="15"/>
      <c r="T2151" s="16"/>
      <c r="U2151" s="16"/>
      <c r="V2151" s="16"/>
      <c r="W2151" s="16"/>
      <c r="X2151" s="16"/>
      <c r="Y2151" s="11"/>
      <c r="Z2151" s="11"/>
      <c r="AA2151" s="11"/>
      <c r="AB2151" s="11"/>
      <c r="AC2151" s="11"/>
      <c r="AD2151" s="11"/>
    </row>
    <row r="2152">
      <c r="A2152" s="10"/>
      <c r="B2152" s="10"/>
      <c r="C2152" s="10"/>
      <c r="D2152" s="10"/>
      <c r="E2152" s="10"/>
      <c r="F2152" s="11"/>
      <c r="G2152" s="11"/>
      <c r="H2152" s="11"/>
      <c r="I2152" s="11"/>
      <c r="J2152" s="11"/>
      <c r="K2152" s="11"/>
      <c r="L2152" s="12"/>
      <c r="M2152" s="11"/>
      <c r="N2152" s="11"/>
      <c r="O2152" s="13"/>
      <c r="P2152" s="14"/>
      <c r="Q2152" s="13"/>
      <c r="R2152" s="13"/>
      <c r="S2152" s="15"/>
      <c r="T2152" s="16"/>
      <c r="U2152" s="16"/>
      <c r="V2152" s="16"/>
      <c r="W2152" s="16"/>
      <c r="X2152" s="16"/>
      <c r="Y2152" s="11"/>
      <c r="Z2152" s="11"/>
      <c r="AA2152" s="11"/>
      <c r="AB2152" s="11"/>
      <c r="AC2152" s="11"/>
      <c r="AD2152" s="11"/>
    </row>
    <row r="2153">
      <c r="A2153" s="10"/>
      <c r="B2153" s="10"/>
      <c r="C2153" s="10"/>
      <c r="D2153" s="10"/>
      <c r="E2153" s="10"/>
      <c r="F2153" s="11"/>
      <c r="G2153" s="11"/>
      <c r="H2153" s="11"/>
      <c r="I2153" s="11"/>
      <c r="J2153" s="11"/>
      <c r="K2153" s="11"/>
      <c r="L2153" s="12"/>
      <c r="M2153" s="11"/>
      <c r="N2153" s="11"/>
      <c r="O2153" s="13"/>
      <c r="P2153" s="14"/>
      <c r="Q2153" s="13"/>
      <c r="R2153" s="13"/>
      <c r="S2153" s="15"/>
      <c r="T2153" s="16"/>
      <c r="U2153" s="16"/>
      <c r="V2153" s="16"/>
      <c r="W2153" s="16"/>
      <c r="X2153" s="16"/>
      <c r="Y2153" s="11"/>
      <c r="Z2153" s="11"/>
      <c r="AA2153" s="11"/>
      <c r="AB2153" s="11"/>
      <c r="AC2153" s="11"/>
      <c r="AD2153" s="11"/>
    </row>
    <row r="2154">
      <c r="A2154" s="10"/>
      <c r="B2154" s="10"/>
      <c r="C2154" s="10"/>
      <c r="D2154" s="10"/>
      <c r="E2154" s="10"/>
      <c r="F2154" s="11"/>
      <c r="G2154" s="11"/>
      <c r="H2154" s="11"/>
      <c r="I2154" s="11"/>
      <c r="J2154" s="11"/>
      <c r="K2154" s="11"/>
      <c r="L2154" s="12"/>
      <c r="M2154" s="11"/>
      <c r="N2154" s="11"/>
      <c r="O2154" s="13"/>
      <c r="P2154" s="14"/>
      <c r="Q2154" s="13"/>
      <c r="R2154" s="13"/>
      <c r="S2154" s="15"/>
      <c r="T2154" s="16"/>
      <c r="U2154" s="16"/>
      <c r="V2154" s="16"/>
      <c r="W2154" s="16"/>
      <c r="X2154" s="16"/>
      <c r="Y2154" s="11"/>
      <c r="Z2154" s="11"/>
      <c r="AA2154" s="11"/>
      <c r="AB2154" s="11"/>
      <c r="AC2154" s="11"/>
      <c r="AD2154" s="11"/>
    </row>
    <row r="2155">
      <c r="A2155" s="10"/>
      <c r="B2155" s="10"/>
      <c r="C2155" s="10"/>
      <c r="D2155" s="10"/>
      <c r="E2155" s="10"/>
      <c r="F2155" s="11"/>
      <c r="G2155" s="11"/>
      <c r="H2155" s="11"/>
      <c r="I2155" s="11"/>
      <c r="J2155" s="11"/>
      <c r="K2155" s="11"/>
      <c r="L2155" s="12"/>
      <c r="M2155" s="11"/>
      <c r="N2155" s="11"/>
      <c r="O2155" s="13"/>
      <c r="P2155" s="14"/>
      <c r="Q2155" s="13"/>
      <c r="R2155" s="13"/>
      <c r="S2155" s="15"/>
      <c r="T2155" s="16"/>
      <c r="U2155" s="16"/>
      <c r="V2155" s="16"/>
      <c r="W2155" s="16"/>
      <c r="X2155" s="16"/>
      <c r="Y2155" s="11"/>
      <c r="Z2155" s="11"/>
      <c r="AA2155" s="11"/>
      <c r="AB2155" s="11"/>
      <c r="AC2155" s="11"/>
      <c r="AD2155" s="11"/>
    </row>
    <row r="2156">
      <c r="A2156" s="10"/>
      <c r="B2156" s="10"/>
      <c r="C2156" s="10"/>
      <c r="D2156" s="10"/>
      <c r="E2156" s="10"/>
      <c r="F2156" s="11"/>
      <c r="G2156" s="11"/>
      <c r="H2156" s="11"/>
      <c r="I2156" s="11"/>
      <c r="J2156" s="11"/>
      <c r="K2156" s="11"/>
      <c r="L2156" s="12"/>
      <c r="M2156" s="11"/>
      <c r="N2156" s="11"/>
      <c r="O2156" s="13"/>
      <c r="P2156" s="14"/>
      <c r="Q2156" s="13"/>
      <c r="R2156" s="13"/>
      <c r="S2156" s="15"/>
      <c r="T2156" s="16"/>
      <c r="U2156" s="16"/>
      <c r="V2156" s="16"/>
      <c r="W2156" s="16"/>
      <c r="X2156" s="16"/>
      <c r="Y2156" s="11"/>
      <c r="Z2156" s="11"/>
      <c r="AA2156" s="11"/>
      <c r="AB2156" s="11"/>
      <c r="AC2156" s="11"/>
      <c r="AD2156" s="11"/>
    </row>
    <row r="2157">
      <c r="A2157" s="10"/>
      <c r="B2157" s="10"/>
      <c r="C2157" s="10"/>
      <c r="D2157" s="10"/>
      <c r="E2157" s="10"/>
      <c r="F2157" s="11"/>
      <c r="G2157" s="11"/>
      <c r="H2157" s="11"/>
      <c r="I2157" s="11"/>
      <c r="J2157" s="11"/>
      <c r="K2157" s="11"/>
      <c r="L2157" s="12"/>
      <c r="M2157" s="11"/>
      <c r="N2157" s="11"/>
      <c r="O2157" s="13"/>
      <c r="P2157" s="14"/>
      <c r="Q2157" s="13"/>
      <c r="R2157" s="13"/>
      <c r="S2157" s="15"/>
      <c r="T2157" s="16"/>
      <c r="U2157" s="16"/>
      <c r="V2157" s="16"/>
      <c r="W2157" s="16"/>
      <c r="X2157" s="16"/>
      <c r="Y2157" s="11"/>
      <c r="Z2157" s="11"/>
      <c r="AA2157" s="11"/>
      <c r="AB2157" s="11"/>
      <c r="AC2157" s="11"/>
      <c r="AD2157" s="11"/>
    </row>
    <row r="2158">
      <c r="A2158" s="10"/>
      <c r="B2158" s="10"/>
      <c r="C2158" s="10"/>
      <c r="D2158" s="10"/>
      <c r="E2158" s="10"/>
      <c r="F2158" s="11"/>
      <c r="G2158" s="11"/>
      <c r="H2158" s="11"/>
      <c r="I2158" s="11"/>
      <c r="J2158" s="11"/>
      <c r="K2158" s="11"/>
      <c r="L2158" s="12"/>
      <c r="M2158" s="11"/>
      <c r="N2158" s="11"/>
      <c r="O2158" s="13"/>
      <c r="P2158" s="14"/>
      <c r="Q2158" s="13"/>
      <c r="R2158" s="13"/>
      <c r="S2158" s="15"/>
      <c r="T2158" s="16"/>
      <c r="U2158" s="16"/>
      <c r="V2158" s="16"/>
      <c r="W2158" s="16"/>
      <c r="X2158" s="16"/>
      <c r="Y2158" s="11"/>
      <c r="Z2158" s="11"/>
      <c r="AA2158" s="11"/>
      <c r="AB2158" s="11"/>
      <c r="AC2158" s="11"/>
      <c r="AD2158" s="11"/>
    </row>
    <row r="2159">
      <c r="A2159" s="10"/>
      <c r="B2159" s="10"/>
      <c r="C2159" s="10"/>
      <c r="D2159" s="10"/>
      <c r="E2159" s="10"/>
      <c r="F2159" s="11"/>
      <c r="G2159" s="11"/>
      <c r="H2159" s="11"/>
      <c r="I2159" s="11"/>
      <c r="J2159" s="11"/>
      <c r="K2159" s="11"/>
      <c r="L2159" s="12"/>
      <c r="M2159" s="11"/>
      <c r="N2159" s="11"/>
      <c r="O2159" s="13"/>
      <c r="P2159" s="14"/>
      <c r="Q2159" s="13"/>
      <c r="R2159" s="13"/>
      <c r="S2159" s="15"/>
      <c r="T2159" s="16"/>
      <c r="U2159" s="16"/>
      <c r="V2159" s="16"/>
      <c r="W2159" s="16"/>
      <c r="X2159" s="16"/>
      <c r="Y2159" s="11"/>
      <c r="Z2159" s="11"/>
      <c r="AA2159" s="11"/>
      <c r="AB2159" s="11"/>
      <c r="AC2159" s="11"/>
      <c r="AD2159" s="11"/>
    </row>
    <row r="2160">
      <c r="A2160" s="10"/>
      <c r="B2160" s="10"/>
      <c r="C2160" s="10"/>
      <c r="D2160" s="10"/>
      <c r="E2160" s="10"/>
      <c r="F2160" s="11"/>
      <c r="G2160" s="11"/>
      <c r="H2160" s="11"/>
      <c r="I2160" s="11"/>
      <c r="J2160" s="11"/>
      <c r="K2160" s="11"/>
      <c r="L2160" s="12"/>
      <c r="M2160" s="11"/>
      <c r="N2160" s="11"/>
      <c r="O2160" s="13"/>
      <c r="P2160" s="14"/>
      <c r="Q2160" s="13"/>
      <c r="R2160" s="13"/>
      <c r="S2160" s="15"/>
      <c r="T2160" s="16"/>
      <c r="U2160" s="16"/>
      <c r="V2160" s="16"/>
      <c r="W2160" s="16"/>
      <c r="X2160" s="16"/>
      <c r="Y2160" s="11"/>
      <c r="Z2160" s="11"/>
      <c r="AA2160" s="11"/>
      <c r="AB2160" s="11"/>
      <c r="AC2160" s="11"/>
      <c r="AD2160" s="11"/>
    </row>
    <row r="2161">
      <c r="A2161" s="10"/>
      <c r="B2161" s="10"/>
      <c r="C2161" s="10"/>
      <c r="D2161" s="10"/>
      <c r="E2161" s="10"/>
      <c r="F2161" s="11"/>
      <c r="G2161" s="11"/>
      <c r="H2161" s="11"/>
      <c r="I2161" s="11"/>
      <c r="J2161" s="11"/>
      <c r="K2161" s="11"/>
      <c r="L2161" s="12"/>
      <c r="M2161" s="11"/>
      <c r="N2161" s="11"/>
      <c r="O2161" s="13"/>
      <c r="P2161" s="14"/>
      <c r="Q2161" s="13"/>
      <c r="R2161" s="13"/>
      <c r="S2161" s="15"/>
      <c r="T2161" s="16"/>
      <c r="U2161" s="16"/>
      <c r="V2161" s="16"/>
      <c r="W2161" s="16"/>
      <c r="X2161" s="16"/>
      <c r="Y2161" s="11"/>
      <c r="Z2161" s="11"/>
      <c r="AA2161" s="11"/>
      <c r="AB2161" s="11"/>
      <c r="AC2161" s="11"/>
      <c r="AD2161" s="11"/>
    </row>
    <row r="2162">
      <c r="A2162" s="10"/>
      <c r="B2162" s="10"/>
      <c r="C2162" s="10"/>
      <c r="D2162" s="10"/>
      <c r="E2162" s="10"/>
      <c r="F2162" s="11"/>
      <c r="G2162" s="11"/>
      <c r="H2162" s="11"/>
      <c r="I2162" s="11"/>
      <c r="J2162" s="11"/>
      <c r="K2162" s="11"/>
      <c r="L2162" s="12"/>
      <c r="M2162" s="11"/>
      <c r="N2162" s="11"/>
      <c r="O2162" s="13"/>
      <c r="P2162" s="14"/>
      <c r="Q2162" s="13"/>
      <c r="R2162" s="13"/>
      <c r="S2162" s="15"/>
      <c r="T2162" s="16"/>
      <c r="U2162" s="16"/>
      <c r="V2162" s="16"/>
      <c r="W2162" s="16"/>
      <c r="X2162" s="16"/>
      <c r="Y2162" s="11"/>
      <c r="Z2162" s="11"/>
      <c r="AA2162" s="11"/>
      <c r="AB2162" s="11"/>
      <c r="AC2162" s="11"/>
      <c r="AD2162" s="11"/>
    </row>
    <row r="2163">
      <c r="A2163" s="10"/>
      <c r="B2163" s="10"/>
      <c r="C2163" s="10"/>
      <c r="D2163" s="10"/>
      <c r="E2163" s="10"/>
      <c r="F2163" s="11"/>
      <c r="G2163" s="11"/>
      <c r="H2163" s="11"/>
      <c r="I2163" s="11"/>
      <c r="J2163" s="11"/>
      <c r="K2163" s="11"/>
      <c r="L2163" s="12"/>
      <c r="M2163" s="11"/>
      <c r="N2163" s="11"/>
      <c r="O2163" s="13"/>
      <c r="P2163" s="14"/>
      <c r="Q2163" s="13"/>
      <c r="R2163" s="13"/>
      <c r="S2163" s="15"/>
      <c r="T2163" s="16"/>
      <c r="U2163" s="16"/>
      <c r="V2163" s="16"/>
      <c r="W2163" s="16"/>
      <c r="X2163" s="16"/>
      <c r="Y2163" s="11"/>
      <c r="Z2163" s="11"/>
      <c r="AA2163" s="11"/>
      <c r="AB2163" s="11"/>
      <c r="AC2163" s="11"/>
      <c r="AD2163" s="11"/>
    </row>
    <row r="2164">
      <c r="A2164" s="10"/>
      <c r="B2164" s="10"/>
      <c r="C2164" s="10"/>
      <c r="D2164" s="10"/>
      <c r="E2164" s="10"/>
      <c r="F2164" s="11"/>
      <c r="G2164" s="11"/>
      <c r="H2164" s="11"/>
      <c r="I2164" s="11"/>
      <c r="J2164" s="11"/>
      <c r="K2164" s="11"/>
      <c r="L2164" s="12"/>
      <c r="M2164" s="11"/>
      <c r="N2164" s="11"/>
      <c r="O2164" s="13"/>
      <c r="P2164" s="14"/>
      <c r="Q2164" s="13"/>
      <c r="R2164" s="13"/>
      <c r="S2164" s="15"/>
      <c r="T2164" s="16"/>
      <c r="U2164" s="16"/>
      <c r="V2164" s="16"/>
      <c r="W2164" s="16"/>
      <c r="X2164" s="16"/>
      <c r="Y2164" s="11"/>
      <c r="Z2164" s="11"/>
      <c r="AA2164" s="11"/>
      <c r="AB2164" s="11"/>
      <c r="AC2164" s="11"/>
      <c r="AD2164" s="11"/>
    </row>
    <row r="2165">
      <c r="A2165" s="10"/>
      <c r="B2165" s="10"/>
      <c r="C2165" s="10"/>
      <c r="D2165" s="10"/>
      <c r="E2165" s="10"/>
      <c r="F2165" s="11"/>
      <c r="G2165" s="11"/>
      <c r="H2165" s="11"/>
      <c r="I2165" s="11"/>
      <c r="J2165" s="11"/>
      <c r="K2165" s="11"/>
      <c r="L2165" s="12"/>
      <c r="M2165" s="11"/>
      <c r="N2165" s="11"/>
      <c r="O2165" s="13"/>
      <c r="P2165" s="14"/>
      <c r="Q2165" s="13"/>
      <c r="R2165" s="13"/>
      <c r="S2165" s="15"/>
      <c r="T2165" s="16"/>
      <c r="U2165" s="16"/>
      <c r="V2165" s="16"/>
      <c r="W2165" s="16"/>
      <c r="X2165" s="16"/>
      <c r="Y2165" s="11"/>
      <c r="Z2165" s="11"/>
      <c r="AA2165" s="11"/>
      <c r="AB2165" s="11"/>
      <c r="AC2165" s="11"/>
      <c r="AD2165" s="11"/>
    </row>
    <row r="2166">
      <c r="A2166" s="10"/>
      <c r="B2166" s="10"/>
      <c r="C2166" s="10"/>
      <c r="D2166" s="10"/>
      <c r="E2166" s="10"/>
      <c r="F2166" s="11"/>
      <c r="G2166" s="11"/>
      <c r="H2166" s="11"/>
      <c r="I2166" s="11"/>
      <c r="J2166" s="11"/>
      <c r="K2166" s="11"/>
      <c r="L2166" s="12"/>
      <c r="M2166" s="11"/>
      <c r="N2166" s="11"/>
      <c r="O2166" s="13"/>
      <c r="P2166" s="14"/>
      <c r="Q2166" s="13"/>
      <c r="R2166" s="13"/>
      <c r="S2166" s="15"/>
      <c r="T2166" s="16"/>
      <c r="U2166" s="16"/>
      <c r="V2166" s="16"/>
      <c r="W2166" s="16"/>
      <c r="X2166" s="16"/>
      <c r="Y2166" s="11"/>
      <c r="Z2166" s="11"/>
      <c r="AA2166" s="11"/>
      <c r="AB2166" s="11"/>
      <c r="AC2166" s="11"/>
      <c r="AD2166" s="11"/>
    </row>
    <row r="2167">
      <c r="A2167" s="10"/>
      <c r="B2167" s="10"/>
      <c r="C2167" s="10"/>
      <c r="D2167" s="10"/>
      <c r="E2167" s="10"/>
      <c r="F2167" s="11"/>
      <c r="G2167" s="11"/>
      <c r="H2167" s="11"/>
      <c r="I2167" s="11"/>
      <c r="J2167" s="11"/>
      <c r="K2167" s="11"/>
      <c r="L2167" s="12"/>
      <c r="M2167" s="11"/>
      <c r="N2167" s="11"/>
      <c r="O2167" s="13"/>
      <c r="P2167" s="14"/>
      <c r="Q2167" s="13"/>
      <c r="R2167" s="13"/>
      <c r="S2167" s="15"/>
      <c r="T2167" s="16"/>
      <c r="U2167" s="16"/>
      <c r="V2167" s="16"/>
      <c r="W2167" s="16"/>
      <c r="X2167" s="16"/>
      <c r="Y2167" s="11"/>
      <c r="Z2167" s="11"/>
      <c r="AA2167" s="11"/>
      <c r="AB2167" s="11"/>
      <c r="AC2167" s="11"/>
      <c r="AD2167" s="11"/>
    </row>
    <row r="2168">
      <c r="A2168" s="10"/>
      <c r="B2168" s="10"/>
      <c r="C2168" s="10"/>
      <c r="D2168" s="10"/>
      <c r="E2168" s="10"/>
      <c r="F2168" s="11"/>
      <c r="G2168" s="11"/>
      <c r="H2168" s="11"/>
      <c r="I2168" s="11"/>
      <c r="J2168" s="11"/>
      <c r="K2168" s="11"/>
      <c r="L2168" s="12"/>
      <c r="M2168" s="11"/>
      <c r="N2168" s="11"/>
      <c r="O2168" s="13"/>
      <c r="P2168" s="14"/>
      <c r="Q2168" s="13"/>
      <c r="R2168" s="13"/>
      <c r="S2168" s="15"/>
      <c r="T2168" s="16"/>
      <c r="U2168" s="16"/>
      <c r="V2168" s="16"/>
      <c r="W2168" s="16"/>
      <c r="X2168" s="16"/>
      <c r="Y2168" s="11"/>
      <c r="Z2168" s="11"/>
      <c r="AA2168" s="11"/>
      <c r="AB2168" s="11"/>
      <c r="AC2168" s="11"/>
      <c r="AD2168" s="11"/>
    </row>
    <row r="2169">
      <c r="A2169" s="10"/>
      <c r="B2169" s="10"/>
      <c r="C2169" s="10"/>
      <c r="D2169" s="10"/>
      <c r="E2169" s="10"/>
      <c r="F2169" s="11"/>
      <c r="G2169" s="11"/>
      <c r="H2169" s="11"/>
      <c r="I2169" s="11"/>
      <c r="J2169" s="11"/>
      <c r="K2169" s="11"/>
      <c r="L2169" s="12"/>
      <c r="M2169" s="11"/>
      <c r="N2169" s="11"/>
      <c r="O2169" s="13"/>
      <c r="P2169" s="14"/>
      <c r="Q2169" s="13"/>
      <c r="R2169" s="13"/>
      <c r="S2169" s="15"/>
      <c r="T2169" s="16"/>
      <c r="U2169" s="16"/>
      <c r="V2169" s="16"/>
      <c r="W2169" s="16"/>
      <c r="X2169" s="16"/>
      <c r="Y2169" s="11"/>
      <c r="Z2169" s="11"/>
      <c r="AA2169" s="11"/>
      <c r="AB2169" s="11"/>
      <c r="AC2169" s="11"/>
      <c r="AD2169" s="11"/>
    </row>
    <row r="2170">
      <c r="A2170" s="10"/>
      <c r="B2170" s="10"/>
      <c r="C2170" s="10"/>
      <c r="D2170" s="10"/>
      <c r="E2170" s="10"/>
      <c r="F2170" s="11"/>
      <c r="G2170" s="11"/>
      <c r="H2170" s="11"/>
      <c r="I2170" s="11"/>
      <c r="J2170" s="11"/>
      <c r="K2170" s="11"/>
      <c r="L2170" s="12"/>
      <c r="M2170" s="11"/>
      <c r="N2170" s="11"/>
      <c r="O2170" s="13"/>
      <c r="P2170" s="14"/>
      <c r="Q2170" s="13"/>
      <c r="R2170" s="13"/>
      <c r="S2170" s="15"/>
      <c r="T2170" s="16"/>
      <c r="U2170" s="16"/>
      <c r="V2170" s="16"/>
      <c r="W2170" s="16"/>
      <c r="X2170" s="16"/>
      <c r="Y2170" s="11"/>
      <c r="Z2170" s="11"/>
      <c r="AA2170" s="11"/>
      <c r="AB2170" s="11"/>
      <c r="AC2170" s="11"/>
      <c r="AD2170" s="11"/>
    </row>
    <row r="2171">
      <c r="A2171" s="10"/>
      <c r="B2171" s="10"/>
      <c r="C2171" s="10"/>
      <c r="D2171" s="10"/>
      <c r="E2171" s="10"/>
      <c r="F2171" s="11"/>
      <c r="G2171" s="11"/>
      <c r="H2171" s="11"/>
      <c r="I2171" s="11"/>
      <c r="J2171" s="11"/>
      <c r="K2171" s="11"/>
      <c r="L2171" s="12"/>
      <c r="M2171" s="11"/>
      <c r="N2171" s="11"/>
      <c r="O2171" s="13"/>
      <c r="P2171" s="14"/>
      <c r="Q2171" s="13"/>
      <c r="R2171" s="13"/>
      <c r="S2171" s="15"/>
      <c r="T2171" s="16"/>
      <c r="U2171" s="16"/>
      <c r="V2171" s="16"/>
      <c r="W2171" s="16"/>
      <c r="X2171" s="16"/>
      <c r="Y2171" s="11"/>
      <c r="Z2171" s="11"/>
      <c r="AA2171" s="11"/>
      <c r="AB2171" s="11"/>
      <c r="AC2171" s="11"/>
      <c r="AD2171" s="11"/>
    </row>
    <row r="2172">
      <c r="A2172" s="10"/>
      <c r="B2172" s="10"/>
      <c r="C2172" s="10"/>
      <c r="D2172" s="10"/>
      <c r="E2172" s="10"/>
      <c r="F2172" s="11"/>
      <c r="G2172" s="11"/>
      <c r="H2172" s="11"/>
      <c r="I2172" s="11"/>
      <c r="J2172" s="11"/>
      <c r="K2172" s="11"/>
      <c r="L2172" s="12"/>
      <c r="M2172" s="11"/>
      <c r="N2172" s="11"/>
      <c r="O2172" s="13"/>
      <c r="P2172" s="14"/>
      <c r="Q2172" s="13"/>
      <c r="R2172" s="13"/>
      <c r="S2172" s="15"/>
      <c r="T2172" s="16"/>
      <c r="U2172" s="16"/>
      <c r="V2172" s="16"/>
      <c r="W2172" s="16"/>
      <c r="X2172" s="16"/>
      <c r="Y2172" s="11"/>
      <c r="Z2172" s="11"/>
      <c r="AA2172" s="11"/>
      <c r="AB2172" s="11"/>
      <c r="AC2172" s="11"/>
      <c r="AD2172" s="11"/>
    </row>
    <row r="2173">
      <c r="A2173" s="10"/>
      <c r="B2173" s="10"/>
      <c r="C2173" s="10"/>
      <c r="D2173" s="10"/>
      <c r="E2173" s="10"/>
      <c r="F2173" s="11"/>
      <c r="G2173" s="11"/>
      <c r="H2173" s="11"/>
      <c r="I2173" s="11"/>
      <c r="J2173" s="11"/>
      <c r="K2173" s="11"/>
      <c r="L2173" s="12"/>
      <c r="M2173" s="11"/>
      <c r="N2173" s="11"/>
      <c r="O2173" s="13"/>
      <c r="P2173" s="14"/>
      <c r="Q2173" s="13"/>
      <c r="R2173" s="13"/>
      <c r="S2173" s="15"/>
      <c r="T2173" s="16"/>
      <c r="U2173" s="16"/>
      <c r="V2173" s="16"/>
      <c r="W2173" s="16"/>
      <c r="X2173" s="16"/>
      <c r="Y2173" s="11"/>
      <c r="Z2173" s="11"/>
      <c r="AA2173" s="11"/>
      <c r="AB2173" s="11"/>
      <c r="AC2173" s="11"/>
      <c r="AD2173" s="11"/>
    </row>
    <row r="2174">
      <c r="A2174" s="10"/>
      <c r="B2174" s="10"/>
      <c r="C2174" s="10"/>
      <c r="D2174" s="10"/>
      <c r="E2174" s="10"/>
      <c r="F2174" s="11"/>
      <c r="G2174" s="11"/>
      <c r="H2174" s="11"/>
      <c r="I2174" s="11"/>
      <c r="J2174" s="11"/>
      <c r="K2174" s="11"/>
      <c r="L2174" s="12"/>
      <c r="M2174" s="11"/>
      <c r="N2174" s="11"/>
      <c r="O2174" s="13"/>
      <c r="P2174" s="14"/>
      <c r="Q2174" s="13"/>
      <c r="R2174" s="13"/>
      <c r="S2174" s="15"/>
      <c r="T2174" s="16"/>
      <c r="U2174" s="16"/>
      <c r="V2174" s="16"/>
      <c r="W2174" s="16"/>
      <c r="X2174" s="16"/>
      <c r="Y2174" s="11"/>
      <c r="Z2174" s="11"/>
      <c r="AA2174" s="11"/>
      <c r="AB2174" s="11"/>
      <c r="AC2174" s="11"/>
      <c r="AD2174" s="11"/>
    </row>
    <row r="2175">
      <c r="A2175" s="10"/>
      <c r="B2175" s="10"/>
      <c r="C2175" s="10"/>
      <c r="D2175" s="10"/>
      <c r="E2175" s="10"/>
      <c r="F2175" s="11"/>
      <c r="G2175" s="11"/>
      <c r="H2175" s="11"/>
      <c r="I2175" s="11"/>
      <c r="J2175" s="11"/>
      <c r="K2175" s="11"/>
      <c r="L2175" s="12"/>
      <c r="M2175" s="11"/>
      <c r="N2175" s="11"/>
      <c r="O2175" s="13"/>
      <c r="P2175" s="14"/>
      <c r="Q2175" s="13"/>
      <c r="R2175" s="13"/>
      <c r="S2175" s="15"/>
      <c r="T2175" s="16"/>
      <c r="U2175" s="16"/>
      <c r="V2175" s="16"/>
      <c r="W2175" s="16"/>
      <c r="X2175" s="16"/>
      <c r="Y2175" s="11"/>
      <c r="Z2175" s="11"/>
      <c r="AA2175" s="11"/>
      <c r="AB2175" s="11"/>
      <c r="AC2175" s="11"/>
      <c r="AD2175" s="11"/>
    </row>
    <row r="2176">
      <c r="A2176" s="10"/>
      <c r="B2176" s="10"/>
      <c r="C2176" s="10"/>
      <c r="D2176" s="10"/>
      <c r="E2176" s="10"/>
      <c r="F2176" s="11"/>
      <c r="G2176" s="11"/>
      <c r="H2176" s="11"/>
      <c r="I2176" s="11"/>
      <c r="J2176" s="11"/>
      <c r="K2176" s="11"/>
      <c r="L2176" s="12"/>
      <c r="M2176" s="11"/>
      <c r="N2176" s="11"/>
      <c r="O2176" s="13"/>
      <c r="P2176" s="14"/>
      <c r="Q2176" s="13"/>
      <c r="R2176" s="13"/>
      <c r="S2176" s="15"/>
      <c r="T2176" s="16"/>
      <c r="U2176" s="16"/>
      <c r="V2176" s="16"/>
      <c r="W2176" s="16"/>
      <c r="X2176" s="16"/>
      <c r="Y2176" s="11"/>
      <c r="Z2176" s="11"/>
      <c r="AA2176" s="11"/>
      <c r="AB2176" s="11"/>
      <c r="AC2176" s="11"/>
      <c r="AD2176" s="11"/>
    </row>
    <row r="2177">
      <c r="A2177" s="10"/>
      <c r="B2177" s="10"/>
      <c r="C2177" s="10"/>
      <c r="D2177" s="10"/>
      <c r="E2177" s="10"/>
      <c r="F2177" s="11"/>
      <c r="G2177" s="11"/>
      <c r="H2177" s="11"/>
      <c r="I2177" s="11"/>
      <c r="J2177" s="11"/>
      <c r="K2177" s="11"/>
      <c r="L2177" s="12"/>
      <c r="M2177" s="11"/>
      <c r="N2177" s="11"/>
      <c r="O2177" s="13"/>
      <c r="P2177" s="14"/>
      <c r="Q2177" s="13"/>
      <c r="R2177" s="13"/>
      <c r="S2177" s="15"/>
      <c r="T2177" s="16"/>
      <c r="U2177" s="16"/>
      <c r="V2177" s="16"/>
      <c r="W2177" s="16"/>
      <c r="X2177" s="16"/>
      <c r="Y2177" s="11"/>
      <c r="Z2177" s="11"/>
      <c r="AA2177" s="11"/>
      <c r="AB2177" s="11"/>
      <c r="AC2177" s="11"/>
      <c r="AD2177" s="11"/>
    </row>
    <row r="2178">
      <c r="A2178" s="10"/>
      <c r="B2178" s="10"/>
      <c r="C2178" s="10"/>
      <c r="D2178" s="10"/>
      <c r="E2178" s="10"/>
      <c r="F2178" s="11"/>
      <c r="G2178" s="11"/>
      <c r="H2178" s="11"/>
      <c r="I2178" s="11"/>
      <c r="J2178" s="11"/>
      <c r="K2178" s="11"/>
      <c r="L2178" s="12"/>
      <c r="M2178" s="11"/>
      <c r="N2178" s="11"/>
      <c r="O2178" s="13"/>
      <c r="P2178" s="14"/>
      <c r="Q2178" s="13"/>
      <c r="R2178" s="13"/>
      <c r="S2178" s="15"/>
      <c r="T2178" s="16"/>
      <c r="U2178" s="16"/>
      <c r="V2178" s="16"/>
      <c r="W2178" s="16"/>
      <c r="X2178" s="16"/>
      <c r="Y2178" s="11"/>
      <c r="Z2178" s="11"/>
      <c r="AA2178" s="11"/>
      <c r="AB2178" s="11"/>
      <c r="AC2178" s="11"/>
      <c r="AD2178" s="11"/>
    </row>
    <row r="2179">
      <c r="A2179" s="10"/>
      <c r="B2179" s="10"/>
      <c r="C2179" s="10"/>
      <c r="D2179" s="10"/>
      <c r="E2179" s="10"/>
      <c r="F2179" s="11"/>
      <c r="G2179" s="11"/>
      <c r="H2179" s="11"/>
      <c r="I2179" s="11"/>
      <c r="J2179" s="11"/>
      <c r="K2179" s="11"/>
      <c r="L2179" s="12"/>
      <c r="M2179" s="11"/>
      <c r="N2179" s="11"/>
      <c r="O2179" s="13"/>
      <c r="P2179" s="14"/>
      <c r="Q2179" s="13"/>
      <c r="R2179" s="13"/>
      <c r="S2179" s="15"/>
      <c r="T2179" s="16"/>
      <c r="U2179" s="16"/>
      <c r="V2179" s="16"/>
      <c r="W2179" s="16"/>
      <c r="X2179" s="16"/>
      <c r="Y2179" s="11"/>
      <c r="Z2179" s="11"/>
      <c r="AA2179" s="11"/>
      <c r="AB2179" s="11"/>
      <c r="AC2179" s="11"/>
      <c r="AD2179" s="11"/>
    </row>
    <row r="2180">
      <c r="A2180" s="10"/>
      <c r="B2180" s="10"/>
      <c r="C2180" s="10"/>
      <c r="D2180" s="10"/>
      <c r="E2180" s="10"/>
      <c r="F2180" s="11"/>
      <c r="G2180" s="11"/>
      <c r="H2180" s="11"/>
      <c r="I2180" s="11"/>
      <c r="J2180" s="11"/>
      <c r="K2180" s="11"/>
      <c r="L2180" s="12"/>
      <c r="M2180" s="11"/>
      <c r="N2180" s="11"/>
      <c r="O2180" s="13"/>
      <c r="P2180" s="14"/>
      <c r="Q2180" s="13"/>
      <c r="R2180" s="13"/>
      <c r="S2180" s="15"/>
      <c r="T2180" s="16"/>
      <c r="U2180" s="16"/>
      <c r="V2180" s="16"/>
      <c r="W2180" s="16"/>
      <c r="X2180" s="16"/>
      <c r="Y2180" s="11"/>
      <c r="Z2180" s="11"/>
      <c r="AA2180" s="11"/>
      <c r="AB2180" s="11"/>
      <c r="AC2180" s="11"/>
      <c r="AD2180" s="11"/>
    </row>
    <row r="2181">
      <c r="A2181" s="10"/>
      <c r="B2181" s="10"/>
      <c r="C2181" s="10"/>
      <c r="D2181" s="10"/>
      <c r="E2181" s="10"/>
      <c r="F2181" s="11"/>
      <c r="G2181" s="11"/>
      <c r="H2181" s="11"/>
      <c r="I2181" s="11"/>
      <c r="J2181" s="11"/>
      <c r="K2181" s="11"/>
      <c r="L2181" s="12"/>
      <c r="M2181" s="11"/>
      <c r="N2181" s="11"/>
      <c r="O2181" s="13"/>
      <c r="P2181" s="14"/>
      <c r="Q2181" s="13"/>
      <c r="R2181" s="13"/>
      <c r="S2181" s="15"/>
      <c r="T2181" s="16"/>
      <c r="U2181" s="16"/>
      <c r="V2181" s="16"/>
      <c r="W2181" s="16"/>
      <c r="X2181" s="16"/>
      <c r="Y2181" s="11"/>
      <c r="Z2181" s="11"/>
      <c r="AA2181" s="11"/>
      <c r="AB2181" s="11"/>
      <c r="AC2181" s="11"/>
      <c r="AD2181" s="11"/>
    </row>
    <row r="2182">
      <c r="A2182" s="10"/>
      <c r="B2182" s="10"/>
      <c r="C2182" s="10"/>
      <c r="D2182" s="10"/>
      <c r="E2182" s="10"/>
      <c r="F2182" s="11"/>
      <c r="G2182" s="11"/>
      <c r="H2182" s="11"/>
      <c r="I2182" s="11"/>
      <c r="J2182" s="11"/>
      <c r="K2182" s="11"/>
      <c r="L2182" s="12"/>
      <c r="M2182" s="11"/>
      <c r="N2182" s="11"/>
      <c r="O2182" s="13"/>
      <c r="P2182" s="14"/>
      <c r="Q2182" s="13"/>
      <c r="R2182" s="13"/>
      <c r="S2182" s="15"/>
      <c r="T2182" s="16"/>
      <c r="U2182" s="16"/>
      <c r="V2182" s="16"/>
      <c r="W2182" s="16"/>
      <c r="X2182" s="16"/>
      <c r="Y2182" s="11"/>
      <c r="Z2182" s="11"/>
      <c r="AA2182" s="11"/>
      <c r="AB2182" s="11"/>
      <c r="AC2182" s="11"/>
      <c r="AD2182" s="11"/>
    </row>
    <row r="2183">
      <c r="A2183" s="10"/>
      <c r="B2183" s="10"/>
      <c r="C2183" s="10"/>
      <c r="D2183" s="10"/>
      <c r="E2183" s="10"/>
      <c r="F2183" s="11"/>
      <c r="G2183" s="11"/>
      <c r="H2183" s="11"/>
      <c r="I2183" s="11"/>
      <c r="J2183" s="11"/>
      <c r="K2183" s="11"/>
      <c r="L2183" s="12"/>
      <c r="M2183" s="11"/>
      <c r="N2183" s="11"/>
      <c r="O2183" s="13"/>
      <c r="P2183" s="14"/>
      <c r="Q2183" s="13"/>
      <c r="R2183" s="13"/>
      <c r="S2183" s="15"/>
      <c r="T2183" s="16"/>
      <c r="U2183" s="16"/>
      <c r="V2183" s="16"/>
      <c r="W2183" s="16"/>
      <c r="X2183" s="16"/>
      <c r="Y2183" s="11"/>
      <c r="Z2183" s="11"/>
      <c r="AA2183" s="11"/>
      <c r="AB2183" s="11"/>
      <c r="AC2183" s="11"/>
      <c r="AD2183" s="11"/>
    </row>
    <row r="2184">
      <c r="A2184" s="10"/>
      <c r="B2184" s="10"/>
      <c r="C2184" s="10"/>
      <c r="D2184" s="10"/>
      <c r="E2184" s="10"/>
      <c r="F2184" s="11"/>
      <c r="G2184" s="11"/>
      <c r="H2184" s="11"/>
      <c r="I2184" s="11"/>
      <c r="J2184" s="11"/>
      <c r="K2184" s="11"/>
      <c r="L2184" s="12"/>
      <c r="M2184" s="11"/>
      <c r="N2184" s="11"/>
      <c r="O2184" s="13"/>
      <c r="P2184" s="14"/>
      <c r="Q2184" s="13"/>
      <c r="R2184" s="13"/>
      <c r="S2184" s="15"/>
      <c r="T2184" s="16"/>
      <c r="U2184" s="16"/>
      <c r="V2184" s="16"/>
      <c r="W2184" s="16"/>
      <c r="X2184" s="16"/>
      <c r="Y2184" s="11"/>
      <c r="Z2184" s="11"/>
      <c r="AA2184" s="11"/>
      <c r="AB2184" s="11"/>
      <c r="AC2184" s="11"/>
      <c r="AD2184" s="11"/>
    </row>
    <row r="2185">
      <c r="A2185" s="10"/>
      <c r="B2185" s="10"/>
      <c r="C2185" s="10"/>
      <c r="D2185" s="10"/>
      <c r="E2185" s="10"/>
      <c r="F2185" s="11"/>
      <c r="G2185" s="11"/>
      <c r="H2185" s="11"/>
      <c r="I2185" s="11"/>
      <c r="J2185" s="11"/>
      <c r="K2185" s="11"/>
      <c r="L2185" s="12"/>
      <c r="M2185" s="11"/>
      <c r="N2185" s="11"/>
      <c r="O2185" s="13"/>
      <c r="P2185" s="14"/>
      <c r="Q2185" s="13"/>
      <c r="R2185" s="13"/>
      <c r="S2185" s="15"/>
      <c r="T2185" s="16"/>
      <c r="U2185" s="16"/>
      <c r="V2185" s="16"/>
      <c r="W2185" s="16"/>
      <c r="X2185" s="16"/>
      <c r="Y2185" s="11"/>
      <c r="Z2185" s="11"/>
      <c r="AA2185" s="11"/>
      <c r="AB2185" s="11"/>
      <c r="AC2185" s="11"/>
      <c r="AD2185" s="11"/>
    </row>
    <row r="2186">
      <c r="A2186" s="10"/>
      <c r="B2186" s="10"/>
      <c r="C2186" s="10"/>
      <c r="D2186" s="10"/>
      <c r="E2186" s="10"/>
      <c r="F2186" s="11"/>
      <c r="G2186" s="11"/>
      <c r="H2186" s="11"/>
      <c r="I2186" s="11"/>
      <c r="J2186" s="11"/>
      <c r="K2186" s="11"/>
      <c r="L2186" s="12"/>
      <c r="M2186" s="11"/>
      <c r="N2186" s="11"/>
      <c r="O2186" s="13"/>
      <c r="P2186" s="14"/>
      <c r="Q2186" s="13"/>
      <c r="R2186" s="13"/>
      <c r="S2186" s="15"/>
      <c r="T2186" s="16"/>
      <c r="U2186" s="16"/>
      <c r="V2186" s="16"/>
      <c r="W2186" s="16"/>
      <c r="X2186" s="16"/>
      <c r="Y2186" s="11"/>
      <c r="Z2186" s="11"/>
      <c r="AA2186" s="11"/>
      <c r="AB2186" s="11"/>
      <c r="AC2186" s="11"/>
      <c r="AD2186" s="11"/>
    </row>
    <row r="2187">
      <c r="A2187" s="10"/>
      <c r="B2187" s="10"/>
      <c r="C2187" s="10"/>
      <c r="D2187" s="10"/>
      <c r="E2187" s="10"/>
      <c r="F2187" s="11"/>
      <c r="G2187" s="11"/>
      <c r="H2187" s="11"/>
      <c r="I2187" s="11"/>
      <c r="J2187" s="11"/>
      <c r="K2187" s="11"/>
      <c r="L2187" s="12"/>
      <c r="M2187" s="11"/>
      <c r="N2187" s="11"/>
      <c r="O2187" s="13"/>
      <c r="P2187" s="14"/>
      <c r="Q2187" s="13"/>
      <c r="R2187" s="13"/>
      <c r="S2187" s="15"/>
      <c r="T2187" s="16"/>
      <c r="U2187" s="16"/>
      <c r="V2187" s="16"/>
      <c r="W2187" s="16"/>
      <c r="X2187" s="16"/>
      <c r="Y2187" s="11"/>
      <c r="Z2187" s="11"/>
      <c r="AA2187" s="11"/>
      <c r="AB2187" s="11"/>
      <c r="AC2187" s="11"/>
      <c r="AD2187" s="11"/>
    </row>
    <row r="2188">
      <c r="A2188" s="10"/>
      <c r="B2188" s="10"/>
      <c r="C2188" s="10"/>
      <c r="D2188" s="10"/>
      <c r="E2188" s="10"/>
      <c r="F2188" s="11"/>
      <c r="G2188" s="11"/>
      <c r="H2188" s="11"/>
      <c r="I2188" s="11"/>
      <c r="J2188" s="11"/>
      <c r="K2188" s="11"/>
      <c r="L2188" s="12"/>
      <c r="M2188" s="11"/>
      <c r="N2188" s="11"/>
      <c r="O2188" s="13"/>
      <c r="P2188" s="14"/>
      <c r="Q2188" s="13"/>
      <c r="R2188" s="13"/>
      <c r="S2188" s="15"/>
      <c r="T2188" s="16"/>
      <c r="U2188" s="16"/>
      <c r="V2188" s="16"/>
      <c r="W2188" s="16"/>
      <c r="X2188" s="16"/>
      <c r="Y2188" s="11"/>
      <c r="Z2188" s="11"/>
      <c r="AA2188" s="11"/>
      <c r="AB2188" s="11"/>
      <c r="AC2188" s="11"/>
      <c r="AD2188" s="11"/>
    </row>
    <row r="2189">
      <c r="A2189" s="10"/>
      <c r="B2189" s="10"/>
      <c r="C2189" s="10"/>
      <c r="D2189" s="10"/>
      <c r="E2189" s="10"/>
      <c r="F2189" s="11"/>
      <c r="G2189" s="11"/>
      <c r="H2189" s="11"/>
      <c r="I2189" s="11"/>
      <c r="J2189" s="11"/>
      <c r="K2189" s="11"/>
      <c r="L2189" s="12"/>
      <c r="M2189" s="11"/>
      <c r="N2189" s="11"/>
      <c r="O2189" s="13"/>
      <c r="P2189" s="14"/>
      <c r="Q2189" s="13"/>
      <c r="R2189" s="13"/>
      <c r="S2189" s="15"/>
      <c r="T2189" s="16"/>
      <c r="U2189" s="16"/>
      <c r="V2189" s="16"/>
      <c r="W2189" s="16"/>
      <c r="X2189" s="16"/>
      <c r="Y2189" s="11"/>
      <c r="Z2189" s="11"/>
      <c r="AA2189" s="11"/>
      <c r="AB2189" s="11"/>
      <c r="AC2189" s="11"/>
      <c r="AD2189" s="11"/>
    </row>
    <row r="2190">
      <c r="A2190" s="10"/>
      <c r="B2190" s="10"/>
      <c r="C2190" s="10"/>
      <c r="D2190" s="10"/>
      <c r="E2190" s="10"/>
      <c r="F2190" s="11"/>
      <c r="G2190" s="11"/>
      <c r="H2190" s="11"/>
      <c r="I2190" s="11"/>
      <c r="J2190" s="11"/>
      <c r="K2190" s="11"/>
      <c r="L2190" s="12"/>
      <c r="M2190" s="11"/>
      <c r="N2190" s="11"/>
      <c r="O2190" s="13"/>
      <c r="P2190" s="14"/>
      <c r="Q2190" s="13"/>
      <c r="R2190" s="13"/>
      <c r="S2190" s="15"/>
      <c r="T2190" s="16"/>
      <c r="U2190" s="16"/>
      <c r="V2190" s="16"/>
      <c r="W2190" s="16"/>
      <c r="X2190" s="16"/>
      <c r="Y2190" s="11"/>
      <c r="Z2190" s="11"/>
      <c r="AA2190" s="11"/>
      <c r="AB2190" s="11"/>
      <c r="AC2190" s="11"/>
      <c r="AD2190" s="11"/>
    </row>
    <row r="2191">
      <c r="A2191" s="10"/>
      <c r="B2191" s="10"/>
      <c r="C2191" s="10"/>
      <c r="D2191" s="10"/>
      <c r="E2191" s="10"/>
      <c r="F2191" s="11"/>
      <c r="G2191" s="11"/>
      <c r="H2191" s="11"/>
      <c r="I2191" s="11"/>
      <c r="J2191" s="11"/>
      <c r="K2191" s="11"/>
      <c r="L2191" s="12"/>
      <c r="M2191" s="11"/>
      <c r="N2191" s="11"/>
      <c r="O2191" s="13"/>
      <c r="P2191" s="14"/>
      <c r="Q2191" s="13"/>
      <c r="R2191" s="13"/>
      <c r="S2191" s="15"/>
      <c r="T2191" s="16"/>
      <c r="U2191" s="16"/>
      <c r="V2191" s="16"/>
      <c r="W2191" s="16"/>
      <c r="X2191" s="16"/>
      <c r="Y2191" s="11"/>
      <c r="Z2191" s="11"/>
      <c r="AA2191" s="11"/>
      <c r="AB2191" s="11"/>
      <c r="AC2191" s="11"/>
      <c r="AD2191" s="11"/>
    </row>
    <row r="2192">
      <c r="A2192" s="10"/>
      <c r="B2192" s="10"/>
      <c r="C2192" s="10"/>
      <c r="D2192" s="10"/>
      <c r="E2192" s="10"/>
      <c r="F2192" s="11"/>
      <c r="G2192" s="11"/>
      <c r="H2192" s="11"/>
      <c r="I2192" s="11"/>
      <c r="J2192" s="11"/>
      <c r="K2192" s="11"/>
      <c r="L2192" s="12"/>
      <c r="M2192" s="11"/>
      <c r="N2192" s="11"/>
      <c r="O2192" s="13"/>
      <c r="P2192" s="14"/>
      <c r="Q2192" s="13"/>
      <c r="R2192" s="13"/>
      <c r="S2192" s="15"/>
      <c r="T2192" s="16"/>
      <c r="U2192" s="16"/>
      <c r="V2192" s="16"/>
      <c r="W2192" s="16"/>
      <c r="X2192" s="16"/>
      <c r="Y2192" s="11"/>
      <c r="Z2192" s="11"/>
      <c r="AA2192" s="11"/>
      <c r="AB2192" s="11"/>
      <c r="AC2192" s="11"/>
      <c r="AD2192" s="11"/>
    </row>
    <row r="2193">
      <c r="A2193" s="10"/>
      <c r="B2193" s="10"/>
      <c r="C2193" s="10"/>
      <c r="D2193" s="10"/>
      <c r="E2193" s="10"/>
      <c r="F2193" s="11"/>
      <c r="G2193" s="11"/>
      <c r="H2193" s="11"/>
      <c r="I2193" s="11"/>
      <c r="J2193" s="11"/>
      <c r="K2193" s="11"/>
      <c r="L2193" s="12"/>
      <c r="M2193" s="11"/>
      <c r="N2193" s="11"/>
      <c r="O2193" s="13"/>
      <c r="P2193" s="14"/>
      <c r="Q2193" s="13"/>
      <c r="R2193" s="13"/>
      <c r="S2193" s="15"/>
      <c r="T2193" s="16"/>
      <c r="U2193" s="16"/>
      <c r="V2193" s="16"/>
      <c r="W2193" s="16"/>
      <c r="X2193" s="16"/>
      <c r="Y2193" s="11"/>
      <c r="Z2193" s="11"/>
      <c r="AA2193" s="11"/>
      <c r="AB2193" s="11"/>
      <c r="AC2193" s="11"/>
      <c r="AD2193" s="11"/>
    </row>
    <row r="2194">
      <c r="A2194" s="10"/>
      <c r="B2194" s="10"/>
      <c r="C2194" s="10"/>
      <c r="D2194" s="10"/>
      <c r="E2194" s="10"/>
      <c r="F2194" s="11"/>
      <c r="G2194" s="11"/>
      <c r="H2194" s="11"/>
      <c r="I2194" s="11"/>
      <c r="J2194" s="11"/>
      <c r="K2194" s="11"/>
      <c r="L2194" s="12"/>
      <c r="M2194" s="11"/>
      <c r="N2194" s="11"/>
      <c r="O2194" s="13"/>
      <c r="P2194" s="14"/>
      <c r="Q2194" s="13"/>
      <c r="R2194" s="13"/>
      <c r="S2194" s="15"/>
      <c r="T2194" s="16"/>
      <c r="U2194" s="16"/>
      <c r="V2194" s="16"/>
      <c r="W2194" s="16"/>
      <c r="X2194" s="16"/>
      <c r="Y2194" s="11"/>
      <c r="Z2194" s="11"/>
      <c r="AA2194" s="11"/>
      <c r="AB2194" s="11"/>
      <c r="AC2194" s="11"/>
      <c r="AD2194" s="11"/>
    </row>
    <row r="2195">
      <c r="A2195" s="10"/>
      <c r="B2195" s="10"/>
      <c r="C2195" s="10"/>
      <c r="D2195" s="10"/>
      <c r="E2195" s="10"/>
      <c r="F2195" s="11"/>
      <c r="G2195" s="11"/>
      <c r="H2195" s="11"/>
      <c r="I2195" s="11"/>
      <c r="J2195" s="11"/>
      <c r="K2195" s="11"/>
      <c r="L2195" s="12"/>
      <c r="M2195" s="11"/>
      <c r="N2195" s="11"/>
      <c r="O2195" s="13"/>
      <c r="P2195" s="14"/>
      <c r="Q2195" s="13"/>
      <c r="R2195" s="13"/>
      <c r="S2195" s="15"/>
      <c r="T2195" s="16"/>
      <c r="U2195" s="16"/>
      <c r="V2195" s="16"/>
      <c r="W2195" s="16"/>
      <c r="X2195" s="16"/>
      <c r="Y2195" s="11"/>
      <c r="Z2195" s="11"/>
      <c r="AA2195" s="11"/>
      <c r="AB2195" s="11"/>
      <c r="AC2195" s="11"/>
      <c r="AD2195" s="11"/>
    </row>
    <row r="2196">
      <c r="A2196" s="10"/>
      <c r="B2196" s="10"/>
      <c r="C2196" s="10"/>
      <c r="D2196" s="10"/>
      <c r="E2196" s="10"/>
      <c r="F2196" s="11"/>
      <c r="G2196" s="11"/>
      <c r="H2196" s="11"/>
      <c r="I2196" s="11"/>
      <c r="J2196" s="11"/>
      <c r="K2196" s="11"/>
      <c r="L2196" s="12"/>
      <c r="M2196" s="11"/>
      <c r="N2196" s="11"/>
      <c r="O2196" s="13"/>
      <c r="P2196" s="14"/>
      <c r="Q2196" s="13"/>
      <c r="R2196" s="13"/>
      <c r="S2196" s="15"/>
      <c r="T2196" s="16"/>
      <c r="U2196" s="16"/>
      <c r="V2196" s="16"/>
      <c r="W2196" s="16"/>
      <c r="X2196" s="16"/>
      <c r="Y2196" s="11"/>
      <c r="Z2196" s="11"/>
      <c r="AA2196" s="11"/>
      <c r="AB2196" s="11"/>
      <c r="AC2196" s="11"/>
      <c r="AD2196" s="11"/>
    </row>
    <row r="2197">
      <c r="A2197" s="10"/>
      <c r="B2197" s="10"/>
      <c r="C2197" s="10"/>
      <c r="D2197" s="10"/>
      <c r="E2197" s="10"/>
      <c r="F2197" s="11"/>
      <c r="G2197" s="11"/>
      <c r="H2197" s="11"/>
      <c r="I2197" s="11"/>
      <c r="J2197" s="11"/>
      <c r="K2197" s="11"/>
      <c r="L2197" s="12"/>
      <c r="M2197" s="11"/>
      <c r="N2197" s="11"/>
      <c r="O2197" s="13"/>
      <c r="P2197" s="14"/>
      <c r="Q2197" s="13"/>
      <c r="R2197" s="13"/>
      <c r="S2197" s="15"/>
      <c r="T2197" s="16"/>
      <c r="U2197" s="16"/>
      <c r="V2197" s="16"/>
      <c r="W2197" s="16"/>
      <c r="X2197" s="16"/>
      <c r="Y2197" s="11"/>
      <c r="Z2197" s="11"/>
      <c r="AA2197" s="11"/>
      <c r="AB2197" s="11"/>
      <c r="AC2197" s="11"/>
      <c r="AD2197" s="11"/>
    </row>
    <row r="2198">
      <c r="A2198" s="10"/>
      <c r="B2198" s="10"/>
      <c r="C2198" s="10"/>
      <c r="D2198" s="10"/>
      <c r="E2198" s="10"/>
      <c r="F2198" s="11"/>
      <c r="G2198" s="11"/>
      <c r="H2198" s="11"/>
      <c r="I2198" s="11"/>
      <c r="J2198" s="11"/>
      <c r="K2198" s="11"/>
      <c r="L2198" s="12"/>
      <c r="M2198" s="11"/>
      <c r="N2198" s="11"/>
      <c r="O2198" s="13"/>
      <c r="P2198" s="14"/>
      <c r="Q2198" s="13"/>
      <c r="R2198" s="13"/>
      <c r="S2198" s="15"/>
      <c r="T2198" s="16"/>
      <c r="U2198" s="16"/>
      <c r="V2198" s="16"/>
      <c r="W2198" s="16"/>
      <c r="X2198" s="16"/>
      <c r="Y2198" s="11"/>
      <c r="Z2198" s="11"/>
      <c r="AA2198" s="11"/>
      <c r="AB2198" s="11"/>
      <c r="AC2198" s="11"/>
      <c r="AD2198" s="11"/>
    </row>
    <row r="2199">
      <c r="A2199" s="10"/>
      <c r="B2199" s="10"/>
      <c r="C2199" s="10"/>
      <c r="D2199" s="10"/>
      <c r="E2199" s="10"/>
      <c r="F2199" s="11"/>
      <c r="G2199" s="11"/>
      <c r="H2199" s="11"/>
      <c r="I2199" s="11"/>
      <c r="J2199" s="11"/>
      <c r="K2199" s="11"/>
      <c r="L2199" s="12"/>
      <c r="M2199" s="11"/>
      <c r="N2199" s="11"/>
      <c r="O2199" s="13"/>
      <c r="P2199" s="14"/>
      <c r="Q2199" s="13"/>
      <c r="R2199" s="13"/>
      <c r="S2199" s="15"/>
      <c r="T2199" s="16"/>
      <c r="U2199" s="16"/>
      <c r="V2199" s="16"/>
      <c r="W2199" s="16"/>
      <c r="X2199" s="16"/>
      <c r="Y2199" s="11"/>
      <c r="Z2199" s="11"/>
      <c r="AA2199" s="11"/>
      <c r="AB2199" s="11"/>
      <c r="AC2199" s="11"/>
      <c r="AD2199" s="11"/>
    </row>
    <row r="2200">
      <c r="A2200" s="10"/>
      <c r="B2200" s="10"/>
      <c r="C2200" s="10"/>
      <c r="D2200" s="10"/>
      <c r="E2200" s="10"/>
      <c r="F2200" s="11"/>
      <c r="G2200" s="11"/>
      <c r="H2200" s="11"/>
      <c r="I2200" s="11"/>
      <c r="J2200" s="11"/>
      <c r="K2200" s="11"/>
      <c r="L2200" s="12"/>
      <c r="M2200" s="11"/>
      <c r="N2200" s="11"/>
      <c r="O2200" s="13"/>
      <c r="P2200" s="14"/>
      <c r="Q2200" s="13"/>
      <c r="R2200" s="13"/>
      <c r="S2200" s="15"/>
      <c r="T2200" s="16"/>
      <c r="U2200" s="16"/>
      <c r="V2200" s="16"/>
      <c r="W2200" s="16"/>
      <c r="X2200" s="16"/>
      <c r="Y2200" s="11"/>
      <c r="Z2200" s="11"/>
      <c r="AA2200" s="11"/>
      <c r="AB2200" s="11"/>
      <c r="AC2200" s="11"/>
      <c r="AD2200" s="11"/>
    </row>
    <row r="2201">
      <c r="A2201" s="10"/>
      <c r="B2201" s="10"/>
      <c r="C2201" s="10"/>
      <c r="D2201" s="10"/>
      <c r="E2201" s="10"/>
      <c r="F2201" s="11"/>
      <c r="G2201" s="11"/>
      <c r="H2201" s="11"/>
      <c r="I2201" s="11"/>
      <c r="J2201" s="11"/>
      <c r="K2201" s="11"/>
      <c r="L2201" s="12"/>
      <c r="M2201" s="11"/>
      <c r="N2201" s="11"/>
      <c r="O2201" s="13"/>
      <c r="P2201" s="14"/>
      <c r="Q2201" s="13"/>
      <c r="R2201" s="13"/>
      <c r="S2201" s="15"/>
      <c r="T2201" s="16"/>
      <c r="U2201" s="16"/>
      <c r="V2201" s="16"/>
      <c r="W2201" s="16"/>
      <c r="X2201" s="16"/>
      <c r="Y2201" s="11"/>
      <c r="Z2201" s="11"/>
      <c r="AA2201" s="11"/>
      <c r="AB2201" s="11"/>
      <c r="AC2201" s="11"/>
      <c r="AD2201" s="11"/>
    </row>
    <row r="2202">
      <c r="A2202" s="10"/>
      <c r="B2202" s="10"/>
      <c r="C2202" s="10"/>
      <c r="D2202" s="10"/>
      <c r="E2202" s="10"/>
      <c r="F2202" s="11"/>
      <c r="G2202" s="11"/>
      <c r="H2202" s="11"/>
      <c r="I2202" s="11"/>
      <c r="J2202" s="11"/>
      <c r="K2202" s="11"/>
      <c r="L2202" s="12"/>
      <c r="M2202" s="11"/>
      <c r="N2202" s="11"/>
      <c r="O2202" s="13"/>
      <c r="P2202" s="14"/>
      <c r="Q2202" s="13"/>
      <c r="R2202" s="13"/>
      <c r="S2202" s="15"/>
      <c r="T2202" s="16"/>
      <c r="U2202" s="16"/>
      <c r="V2202" s="16"/>
      <c r="W2202" s="16"/>
      <c r="X2202" s="16"/>
      <c r="Y2202" s="11"/>
      <c r="Z2202" s="11"/>
      <c r="AA2202" s="11"/>
      <c r="AB2202" s="11"/>
      <c r="AC2202" s="11"/>
      <c r="AD2202" s="11"/>
    </row>
    <row r="2203">
      <c r="A2203" s="10"/>
      <c r="B2203" s="10"/>
      <c r="C2203" s="10"/>
      <c r="D2203" s="10"/>
      <c r="E2203" s="10"/>
      <c r="F2203" s="11"/>
      <c r="G2203" s="11"/>
      <c r="H2203" s="11"/>
      <c r="I2203" s="11"/>
      <c r="J2203" s="11"/>
      <c r="K2203" s="11"/>
      <c r="L2203" s="12"/>
      <c r="M2203" s="11"/>
      <c r="N2203" s="11"/>
      <c r="O2203" s="13"/>
      <c r="P2203" s="14"/>
      <c r="Q2203" s="13"/>
      <c r="R2203" s="13"/>
      <c r="S2203" s="15"/>
      <c r="T2203" s="16"/>
      <c r="U2203" s="16"/>
      <c r="V2203" s="16"/>
      <c r="W2203" s="16"/>
      <c r="X2203" s="16"/>
      <c r="Y2203" s="11"/>
      <c r="Z2203" s="11"/>
      <c r="AA2203" s="11"/>
      <c r="AB2203" s="11"/>
      <c r="AC2203" s="11"/>
      <c r="AD2203" s="11"/>
    </row>
    <row r="2204">
      <c r="A2204" s="10"/>
      <c r="B2204" s="10"/>
      <c r="C2204" s="10"/>
      <c r="D2204" s="10"/>
      <c r="E2204" s="10"/>
      <c r="F2204" s="11"/>
      <c r="G2204" s="11"/>
      <c r="H2204" s="11"/>
      <c r="I2204" s="11"/>
      <c r="J2204" s="11"/>
      <c r="K2204" s="11"/>
      <c r="L2204" s="12"/>
      <c r="M2204" s="11"/>
      <c r="N2204" s="11"/>
      <c r="O2204" s="13"/>
      <c r="P2204" s="14"/>
      <c r="Q2204" s="13"/>
      <c r="R2204" s="13"/>
      <c r="S2204" s="15"/>
      <c r="T2204" s="16"/>
      <c r="U2204" s="16"/>
      <c r="V2204" s="16"/>
      <c r="W2204" s="16"/>
      <c r="X2204" s="16"/>
      <c r="Y2204" s="11"/>
      <c r="Z2204" s="11"/>
      <c r="AA2204" s="11"/>
      <c r="AB2204" s="11"/>
      <c r="AC2204" s="11"/>
      <c r="AD2204" s="11"/>
    </row>
    <row r="2205">
      <c r="A2205" s="10"/>
      <c r="B2205" s="10"/>
      <c r="C2205" s="10"/>
      <c r="D2205" s="10"/>
      <c r="E2205" s="10"/>
      <c r="F2205" s="11"/>
      <c r="G2205" s="11"/>
      <c r="H2205" s="11"/>
      <c r="I2205" s="11"/>
      <c r="J2205" s="11"/>
      <c r="K2205" s="11"/>
      <c r="L2205" s="12"/>
      <c r="M2205" s="11"/>
      <c r="N2205" s="11"/>
      <c r="O2205" s="13"/>
      <c r="P2205" s="14"/>
      <c r="Q2205" s="13"/>
      <c r="R2205" s="13"/>
      <c r="S2205" s="15"/>
      <c r="T2205" s="16"/>
      <c r="U2205" s="16"/>
      <c r="V2205" s="16"/>
      <c r="W2205" s="16"/>
      <c r="X2205" s="16"/>
      <c r="Y2205" s="11"/>
      <c r="Z2205" s="11"/>
      <c r="AA2205" s="11"/>
      <c r="AB2205" s="11"/>
      <c r="AC2205" s="11"/>
      <c r="AD2205" s="11"/>
    </row>
    <row r="2206">
      <c r="A2206" s="10"/>
      <c r="B2206" s="10"/>
      <c r="C2206" s="10"/>
      <c r="D2206" s="10"/>
      <c r="E2206" s="10"/>
      <c r="F2206" s="11"/>
      <c r="G2206" s="11"/>
      <c r="H2206" s="11"/>
      <c r="I2206" s="11"/>
      <c r="J2206" s="11"/>
      <c r="K2206" s="11"/>
      <c r="L2206" s="12"/>
      <c r="M2206" s="11"/>
      <c r="N2206" s="11"/>
      <c r="O2206" s="13"/>
      <c r="P2206" s="14"/>
      <c r="Q2206" s="13"/>
      <c r="R2206" s="13"/>
      <c r="S2206" s="15"/>
      <c r="T2206" s="16"/>
      <c r="U2206" s="16"/>
      <c r="V2206" s="16"/>
      <c r="W2206" s="16"/>
      <c r="X2206" s="16"/>
      <c r="Y2206" s="11"/>
      <c r="Z2206" s="11"/>
      <c r="AA2206" s="11"/>
      <c r="AB2206" s="11"/>
      <c r="AC2206" s="11"/>
      <c r="AD2206" s="11"/>
    </row>
    <row r="2207">
      <c r="A2207" s="10"/>
      <c r="B2207" s="10"/>
      <c r="C2207" s="10"/>
      <c r="D2207" s="10"/>
      <c r="E2207" s="10"/>
      <c r="F2207" s="11"/>
      <c r="G2207" s="11"/>
      <c r="H2207" s="11"/>
      <c r="I2207" s="11"/>
      <c r="J2207" s="11"/>
      <c r="K2207" s="11"/>
      <c r="L2207" s="12"/>
      <c r="M2207" s="11"/>
      <c r="N2207" s="11"/>
      <c r="O2207" s="13"/>
      <c r="P2207" s="14"/>
      <c r="Q2207" s="13"/>
      <c r="R2207" s="13"/>
      <c r="S2207" s="15"/>
      <c r="T2207" s="16"/>
      <c r="U2207" s="16"/>
      <c r="V2207" s="16"/>
      <c r="W2207" s="16"/>
      <c r="X2207" s="16"/>
      <c r="Y2207" s="11"/>
      <c r="Z2207" s="11"/>
      <c r="AA2207" s="11"/>
      <c r="AB2207" s="11"/>
      <c r="AC2207" s="11"/>
      <c r="AD2207" s="11"/>
    </row>
    <row r="2208">
      <c r="A2208" s="10"/>
      <c r="B2208" s="10"/>
      <c r="C2208" s="10"/>
      <c r="D2208" s="10"/>
      <c r="E2208" s="10"/>
      <c r="F2208" s="11"/>
      <c r="G2208" s="11"/>
      <c r="H2208" s="11"/>
      <c r="I2208" s="11"/>
      <c r="J2208" s="11"/>
      <c r="K2208" s="11"/>
      <c r="L2208" s="12"/>
      <c r="M2208" s="11"/>
      <c r="N2208" s="11"/>
      <c r="O2208" s="13"/>
      <c r="P2208" s="14"/>
      <c r="Q2208" s="13"/>
      <c r="R2208" s="13"/>
      <c r="S2208" s="15"/>
      <c r="T2208" s="16"/>
      <c r="U2208" s="16"/>
      <c r="V2208" s="16"/>
      <c r="W2208" s="16"/>
      <c r="X2208" s="16"/>
      <c r="Y2208" s="11"/>
      <c r="Z2208" s="11"/>
      <c r="AA2208" s="11"/>
      <c r="AB2208" s="11"/>
      <c r="AC2208" s="11"/>
      <c r="AD2208" s="11"/>
    </row>
    <row r="2209">
      <c r="A2209" s="10"/>
      <c r="B2209" s="10"/>
      <c r="C2209" s="10"/>
      <c r="D2209" s="10"/>
      <c r="E2209" s="10"/>
      <c r="F2209" s="11"/>
      <c r="G2209" s="11"/>
      <c r="H2209" s="11"/>
      <c r="I2209" s="11"/>
      <c r="J2209" s="11"/>
      <c r="K2209" s="11"/>
      <c r="L2209" s="12"/>
      <c r="M2209" s="11"/>
      <c r="N2209" s="11"/>
      <c r="O2209" s="13"/>
      <c r="P2209" s="14"/>
      <c r="Q2209" s="13"/>
      <c r="R2209" s="13"/>
      <c r="S2209" s="15"/>
      <c r="T2209" s="16"/>
      <c r="U2209" s="16"/>
      <c r="V2209" s="16"/>
      <c r="W2209" s="16"/>
      <c r="X2209" s="16"/>
      <c r="Y2209" s="11"/>
      <c r="Z2209" s="11"/>
      <c r="AA2209" s="11"/>
      <c r="AB2209" s="11"/>
      <c r="AC2209" s="11"/>
      <c r="AD2209" s="11"/>
    </row>
    <row r="2210">
      <c r="A2210" s="10"/>
      <c r="B2210" s="10"/>
      <c r="C2210" s="10"/>
      <c r="D2210" s="10"/>
      <c r="E2210" s="10"/>
      <c r="F2210" s="11"/>
      <c r="G2210" s="11"/>
      <c r="H2210" s="11"/>
      <c r="I2210" s="11"/>
      <c r="J2210" s="11"/>
      <c r="K2210" s="11"/>
      <c r="L2210" s="12"/>
      <c r="M2210" s="11"/>
      <c r="N2210" s="11"/>
      <c r="O2210" s="13"/>
      <c r="P2210" s="14"/>
      <c r="Q2210" s="13"/>
      <c r="R2210" s="13"/>
      <c r="S2210" s="15"/>
      <c r="T2210" s="16"/>
      <c r="U2210" s="16"/>
      <c r="V2210" s="16"/>
      <c r="W2210" s="16"/>
      <c r="X2210" s="16"/>
      <c r="Y2210" s="11"/>
      <c r="Z2210" s="11"/>
      <c r="AA2210" s="11"/>
      <c r="AB2210" s="11"/>
      <c r="AC2210" s="11"/>
      <c r="AD2210" s="11"/>
    </row>
    <row r="2211">
      <c r="A2211" s="10"/>
      <c r="B2211" s="10"/>
      <c r="C2211" s="10"/>
      <c r="D2211" s="10"/>
      <c r="E2211" s="10"/>
      <c r="F2211" s="11"/>
      <c r="G2211" s="11"/>
      <c r="H2211" s="11"/>
      <c r="I2211" s="11"/>
      <c r="J2211" s="11"/>
      <c r="K2211" s="11"/>
      <c r="L2211" s="12"/>
      <c r="M2211" s="11"/>
      <c r="N2211" s="11"/>
      <c r="O2211" s="13"/>
      <c r="P2211" s="14"/>
      <c r="Q2211" s="13"/>
      <c r="R2211" s="13"/>
      <c r="S2211" s="15"/>
      <c r="T2211" s="16"/>
      <c r="U2211" s="16"/>
      <c r="V2211" s="16"/>
      <c r="W2211" s="16"/>
      <c r="X2211" s="16"/>
      <c r="Y2211" s="11"/>
      <c r="Z2211" s="11"/>
      <c r="AA2211" s="11"/>
      <c r="AB2211" s="11"/>
      <c r="AC2211" s="11"/>
      <c r="AD2211" s="11"/>
    </row>
    <row r="2212">
      <c r="A2212" s="10"/>
      <c r="B2212" s="10"/>
      <c r="C2212" s="10"/>
      <c r="D2212" s="10"/>
      <c r="E2212" s="10"/>
      <c r="F2212" s="11"/>
      <c r="G2212" s="11"/>
      <c r="H2212" s="11"/>
      <c r="I2212" s="11"/>
      <c r="J2212" s="11"/>
      <c r="K2212" s="11"/>
      <c r="L2212" s="12"/>
      <c r="M2212" s="11"/>
      <c r="N2212" s="11"/>
      <c r="O2212" s="13"/>
      <c r="P2212" s="14"/>
      <c r="Q2212" s="13"/>
      <c r="R2212" s="13"/>
      <c r="S2212" s="15"/>
      <c r="T2212" s="16"/>
      <c r="U2212" s="16"/>
      <c r="V2212" s="16"/>
      <c r="W2212" s="16"/>
      <c r="X2212" s="16"/>
      <c r="Y2212" s="11"/>
      <c r="Z2212" s="11"/>
      <c r="AA2212" s="11"/>
      <c r="AB2212" s="11"/>
      <c r="AC2212" s="11"/>
      <c r="AD2212" s="11"/>
    </row>
    <row r="2213">
      <c r="A2213" s="10"/>
      <c r="B2213" s="10"/>
      <c r="C2213" s="10"/>
      <c r="D2213" s="10"/>
      <c r="E2213" s="10"/>
      <c r="F2213" s="11"/>
      <c r="G2213" s="11"/>
      <c r="H2213" s="11"/>
      <c r="I2213" s="11"/>
      <c r="J2213" s="11"/>
      <c r="K2213" s="11"/>
      <c r="L2213" s="12"/>
      <c r="M2213" s="11"/>
      <c r="N2213" s="11"/>
      <c r="O2213" s="13"/>
      <c r="P2213" s="14"/>
      <c r="Q2213" s="13"/>
      <c r="R2213" s="13"/>
      <c r="S2213" s="15"/>
      <c r="T2213" s="16"/>
      <c r="U2213" s="16"/>
      <c r="V2213" s="16"/>
      <c r="W2213" s="16"/>
      <c r="X2213" s="16"/>
      <c r="Y2213" s="11"/>
      <c r="Z2213" s="11"/>
      <c r="AA2213" s="11"/>
      <c r="AB2213" s="11"/>
      <c r="AC2213" s="11"/>
      <c r="AD2213" s="11"/>
    </row>
    <row r="2214">
      <c r="A2214" s="10"/>
      <c r="B2214" s="10"/>
      <c r="C2214" s="10"/>
      <c r="D2214" s="10"/>
      <c r="E2214" s="10"/>
      <c r="F2214" s="11"/>
      <c r="G2214" s="11"/>
      <c r="H2214" s="11"/>
      <c r="I2214" s="11"/>
      <c r="J2214" s="11"/>
      <c r="K2214" s="11"/>
      <c r="L2214" s="12"/>
      <c r="M2214" s="11"/>
      <c r="N2214" s="11"/>
      <c r="O2214" s="13"/>
      <c r="P2214" s="14"/>
      <c r="Q2214" s="13"/>
      <c r="R2214" s="13"/>
      <c r="S2214" s="15"/>
      <c r="T2214" s="16"/>
      <c r="U2214" s="16"/>
      <c r="V2214" s="16"/>
      <c r="W2214" s="16"/>
      <c r="X2214" s="16"/>
      <c r="Y2214" s="11"/>
      <c r="Z2214" s="11"/>
      <c r="AA2214" s="11"/>
      <c r="AB2214" s="11"/>
      <c r="AC2214" s="11"/>
      <c r="AD2214" s="11"/>
    </row>
    <row r="2215">
      <c r="A2215" s="10"/>
      <c r="B2215" s="10"/>
      <c r="C2215" s="10"/>
      <c r="D2215" s="10"/>
      <c r="E2215" s="10"/>
      <c r="F2215" s="11"/>
      <c r="G2215" s="11"/>
      <c r="H2215" s="11"/>
      <c r="I2215" s="11"/>
      <c r="J2215" s="11"/>
      <c r="K2215" s="11"/>
      <c r="L2215" s="12"/>
      <c r="M2215" s="11"/>
      <c r="N2215" s="11"/>
      <c r="O2215" s="13"/>
      <c r="P2215" s="14"/>
      <c r="Q2215" s="13"/>
      <c r="R2215" s="13"/>
      <c r="S2215" s="15"/>
      <c r="T2215" s="16"/>
      <c r="U2215" s="16"/>
      <c r="V2215" s="16"/>
      <c r="W2215" s="16"/>
      <c r="X2215" s="16"/>
      <c r="Y2215" s="11"/>
      <c r="Z2215" s="11"/>
      <c r="AA2215" s="11"/>
      <c r="AB2215" s="11"/>
      <c r="AC2215" s="11"/>
      <c r="AD2215" s="11"/>
    </row>
    <row r="2216">
      <c r="A2216" s="10"/>
      <c r="B2216" s="10"/>
      <c r="C2216" s="10"/>
      <c r="D2216" s="10"/>
      <c r="E2216" s="10"/>
      <c r="F2216" s="11"/>
      <c r="G2216" s="11"/>
      <c r="H2216" s="11"/>
      <c r="I2216" s="11"/>
      <c r="J2216" s="11"/>
      <c r="K2216" s="11"/>
      <c r="L2216" s="12"/>
      <c r="M2216" s="11"/>
      <c r="N2216" s="11"/>
      <c r="O2216" s="13"/>
      <c r="P2216" s="14"/>
      <c r="Q2216" s="13"/>
      <c r="R2216" s="13"/>
      <c r="S2216" s="15"/>
      <c r="T2216" s="16"/>
      <c r="U2216" s="16"/>
      <c r="V2216" s="16"/>
      <c r="W2216" s="16"/>
      <c r="X2216" s="16"/>
      <c r="Y2216" s="11"/>
      <c r="Z2216" s="11"/>
      <c r="AA2216" s="11"/>
      <c r="AB2216" s="11"/>
      <c r="AC2216" s="11"/>
      <c r="AD2216" s="11"/>
    </row>
    <row r="2217">
      <c r="A2217" s="10"/>
      <c r="B2217" s="10"/>
      <c r="C2217" s="10"/>
      <c r="D2217" s="10"/>
      <c r="E2217" s="10"/>
      <c r="F2217" s="11"/>
      <c r="G2217" s="11"/>
      <c r="H2217" s="11"/>
      <c r="I2217" s="11"/>
      <c r="J2217" s="11"/>
      <c r="K2217" s="11"/>
      <c r="L2217" s="12"/>
      <c r="M2217" s="11"/>
      <c r="N2217" s="11"/>
      <c r="O2217" s="13"/>
      <c r="P2217" s="14"/>
      <c r="Q2217" s="13"/>
      <c r="R2217" s="13"/>
      <c r="S2217" s="15"/>
      <c r="T2217" s="16"/>
      <c r="U2217" s="16"/>
      <c r="V2217" s="16"/>
      <c r="W2217" s="16"/>
      <c r="X2217" s="16"/>
      <c r="Y2217" s="11"/>
      <c r="Z2217" s="11"/>
      <c r="AA2217" s="11"/>
      <c r="AB2217" s="11"/>
      <c r="AC2217" s="11"/>
      <c r="AD2217" s="11"/>
    </row>
    <row r="2218">
      <c r="A2218" s="10"/>
      <c r="B2218" s="10"/>
      <c r="C2218" s="10"/>
      <c r="D2218" s="10"/>
      <c r="E2218" s="10"/>
      <c r="F2218" s="11"/>
      <c r="G2218" s="11"/>
      <c r="H2218" s="11"/>
      <c r="I2218" s="11"/>
      <c r="J2218" s="11"/>
      <c r="K2218" s="11"/>
      <c r="L2218" s="12"/>
      <c r="M2218" s="11"/>
      <c r="N2218" s="11"/>
      <c r="O2218" s="13"/>
      <c r="P2218" s="14"/>
      <c r="Q2218" s="13"/>
      <c r="R2218" s="13"/>
      <c r="S2218" s="15"/>
      <c r="T2218" s="16"/>
      <c r="U2218" s="16"/>
      <c r="V2218" s="16"/>
      <c r="W2218" s="16"/>
      <c r="X2218" s="16"/>
      <c r="Y2218" s="11"/>
      <c r="Z2218" s="11"/>
      <c r="AA2218" s="11"/>
      <c r="AB2218" s="11"/>
      <c r="AC2218" s="11"/>
      <c r="AD2218" s="11"/>
    </row>
    <row r="2219">
      <c r="A2219" s="10"/>
      <c r="B2219" s="10"/>
      <c r="C2219" s="10"/>
      <c r="D2219" s="10"/>
      <c r="E2219" s="10"/>
      <c r="F2219" s="11"/>
      <c r="G2219" s="11"/>
      <c r="H2219" s="11"/>
      <c r="I2219" s="11"/>
      <c r="J2219" s="11"/>
      <c r="K2219" s="11"/>
      <c r="L2219" s="12"/>
      <c r="M2219" s="11"/>
      <c r="N2219" s="11"/>
      <c r="O2219" s="13"/>
      <c r="P2219" s="14"/>
      <c r="Q2219" s="13"/>
      <c r="R2219" s="13"/>
      <c r="S2219" s="15"/>
      <c r="T2219" s="16"/>
      <c r="U2219" s="16"/>
      <c r="V2219" s="16"/>
      <c r="W2219" s="16"/>
      <c r="X2219" s="16"/>
      <c r="Y2219" s="11"/>
      <c r="Z2219" s="11"/>
      <c r="AA2219" s="11"/>
      <c r="AB2219" s="11"/>
      <c r="AC2219" s="11"/>
      <c r="AD2219" s="11"/>
    </row>
    <row r="2220">
      <c r="A2220" s="10"/>
      <c r="B2220" s="10"/>
      <c r="C2220" s="10"/>
      <c r="D2220" s="10"/>
      <c r="E2220" s="10"/>
      <c r="F2220" s="11"/>
      <c r="G2220" s="11"/>
      <c r="H2220" s="11"/>
      <c r="I2220" s="11"/>
      <c r="J2220" s="11"/>
      <c r="K2220" s="11"/>
      <c r="L2220" s="12"/>
      <c r="M2220" s="11"/>
      <c r="N2220" s="11"/>
      <c r="O2220" s="13"/>
      <c r="P2220" s="14"/>
      <c r="Q2220" s="13"/>
      <c r="R2220" s="13"/>
      <c r="S2220" s="15"/>
      <c r="T2220" s="16"/>
      <c r="U2220" s="16"/>
      <c r="V2220" s="16"/>
      <c r="W2220" s="16"/>
      <c r="X2220" s="16"/>
      <c r="Y2220" s="11"/>
      <c r="Z2220" s="11"/>
      <c r="AA2220" s="11"/>
      <c r="AB2220" s="11"/>
      <c r="AC2220" s="11"/>
      <c r="AD2220" s="11"/>
    </row>
    <row r="2221">
      <c r="A2221" s="10"/>
      <c r="B2221" s="10"/>
      <c r="C2221" s="10"/>
      <c r="D2221" s="10"/>
      <c r="E2221" s="10"/>
      <c r="F2221" s="11"/>
      <c r="G2221" s="11"/>
      <c r="H2221" s="11"/>
      <c r="I2221" s="11"/>
      <c r="J2221" s="11"/>
      <c r="K2221" s="11"/>
      <c r="L2221" s="12"/>
      <c r="M2221" s="11"/>
      <c r="N2221" s="11"/>
      <c r="O2221" s="13"/>
      <c r="P2221" s="14"/>
      <c r="Q2221" s="13"/>
      <c r="R2221" s="13"/>
      <c r="S2221" s="15"/>
      <c r="T2221" s="16"/>
      <c r="U2221" s="16"/>
      <c r="V2221" s="16"/>
      <c r="W2221" s="16"/>
      <c r="X2221" s="16"/>
      <c r="Y2221" s="11"/>
      <c r="Z2221" s="11"/>
      <c r="AA2221" s="11"/>
      <c r="AB2221" s="11"/>
      <c r="AC2221" s="11"/>
      <c r="AD2221" s="11"/>
    </row>
    <row r="2222">
      <c r="A2222" s="10"/>
      <c r="B2222" s="10"/>
      <c r="C2222" s="10"/>
      <c r="D2222" s="10"/>
      <c r="E2222" s="10"/>
      <c r="F2222" s="11"/>
      <c r="G2222" s="11"/>
      <c r="H2222" s="11"/>
      <c r="I2222" s="11"/>
      <c r="J2222" s="11"/>
      <c r="K2222" s="11"/>
      <c r="L2222" s="12"/>
      <c r="M2222" s="11"/>
      <c r="N2222" s="11"/>
      <c r="O2222" s="13"/>
      <c r="P2222" s="14"/>
      <c r="Q2222" s="13"/>
      <c r="R2222" s="13"/>
      <c r="S2222" s="15"/>
      <c r="T2222" s="16"/>
      <c r="U2222" s="16"/>
      <c r="V2222" s="16"/>
      <c r="W2222" s="16"/>
      <c r="X2222" s="16"/>
      <c r="Y2222" s="11"/>
      <c r="Z2222" s="11"/>
      <c r="AA2222" s="11"/>
      <c r="AB2222" s="11"/>
      <c r="AC2222" s="11"/>
      <c r="AD2222" s="11"/>
    </row>
    <row r="2223">
      <c r="A2223" s="10"/>
      <c r="B2223" s="10"/>
      <c r="C2223" s="10"/>
      <c r="D2223" s="10"/>
      <c r="E2223" s="10"/>
      <c r="F2223" s="11"/>
      <c r="G2223" s="11"/>
      <c r="H2223" s="11"/>
      <c r="I2223" s="11"/>
      <c r="J2223" s="11"/>
      <c r="K2223" s="11"/>
      <c r="L2223" s="12"/>
      <c r="M2223" s="11"/>
      <c r="N2223" s="11"/>
      <c r="O2223" s="13"/>
      <c r="P2223" s="14"/>
      <c r="Q2223" s="13"/>
      <c r="R2223" s="13"/>
      <c r="S2223" s="15"/>
      <c r="T2223" s="16"/>
      <c r="U2223" s="16"/>
      <c r="V2223" s="16"/>
      <c r="W2223" s="16"/>
      <c r="X2223" s="16"/>
      <c r="Y2223" s="11"/>
      <c r="Z2223" s="11"/>
      <c r="AA2223" s="11"/>
      <c r="AB2223" s="11"/>
      <c r="AC2223" s="11"/>
      <c r="AD2223" s="11"/>
    </row>
    <row r="2224">
      <c r="A2224" s="10"/>
      <c r="B2224" s="10"/>
      <c r="C2224" s="10"/>
      <c r="D2224" s="10"/>
      <c r="E2224" s="10"/>
      <c r="F2224" s="11"/>
      <c r="G2224" s="11"/>
      <c r="H2224" s="11"/>
      <c r="I2224" s="11"/>
      <c r="J2224" s="11"/>
      <c r="K2224" s="11"/>
      <c r="L2224" s="12"/>
      <c r="M2224" s="11"/>
      <c r="N2224" s="11"/>
      <c r="O2224" s="13"/>
      <c r="P2224" s="14"/>
      <c r="Q2224" s="13"/>
      <c r="R2224" s="13"/>
      <c r="S2224" s="15"/>
      <c r="T2224" s="16"/>
      <c r="U2224" s="16"/>
      <c r="V2224" s="16"/>
      <c r="W2224" s="16"/>
      <c r="X2224" s="16"/>
      <c r="Y2224" s="11"/>
      <c r="Z2224" s="11"/>
      <c r="AA2224" s="11"/>
      <c r="AB2224" s="11"/>
      <c r="AC2224" s="11"/>
      <c r="AD2224" s="11"/>
    </row>
    <row r="2225">
      <c r="A2225" s="10"/>
      <c r="B2225" s="10"/>
      <c r="C2225" s="10"/>
      <c r="D2225" s="10"/>
      <c r="E2225" s="10"/>
      <c r="F2225" s="11"/>
      <c r="G2225" s="11"/>
      <c r="H2225" s="11"/>
      <c r="I2225" s="11"/>
      <c r="J2225" s="11"/>
      <c r="K2225" s="11"/>
      <c r="L2225" s="12"/>
      <c r="M2225" s="11"/>
      <c r="N2225" s="11"/>
      <c r="O2225" s="13"/>
      <c r="P2225" s="14"/>
      <c r="Q2225" s="13"/>
      <c r="R2225" s="13"/>
      <c r="S2225" s="15"/>
      <c r="T2225" s="16"/>
      <c r="U2225" s="16"/>
      <c r="V2225" s="16"/>
      <c r="W2225" s="16"/>
      <c r="X2225" s="16"/>
      <c r="Y2225" s="11"/>
      <c r="Z2225" s="11"/>
      <c r="AA2225" s="11"/>
      <c r="AB2225" s="11"/>
      <c r="AC2225" s="11"/>
      <c r="AD2225" s="11"/>
    </row>
    <row r="2226">
      <c r="A2226" s="10"/>
      <c r="B2226" s="10"/>
      <c r="C2226" s="10"/>
      <c r="D2226" s="10"/>
      <c r="E2226" s="10"/>
      <c r="F2226" s="11"/>
      <c r="G2226" s="11"/>
      <c r="H2226" s="11"/>
      <c r="I2226" s="11"/>
      <c r="J2226" s="11"/>
      <c r="K2226" s="11"/>
      <c r="L2226" s="12"/>
      <c r="M2226" s="11"/>
      <c r="N2226" s="11"/>
      <c r="O2226" s="13"/>
      <c r="P2226" s="14"/>
      <c r="Q2226" s="13"/>
      <c r="R2226" s="13"/>
      <c r="S2226" s="15"/>
      <c r="T2226" s="16"/>
      <c r="U2226" s="16"/>
      <c r="V2226" s="16"/>
      <c r="W2226" s="16"/>
      <c r="X2226" s="16"/>
      <c r="Y2226" s="11"/>
      <c r="Z2226" s="11"/>
      <c r="AA2226" s="11"/>
      <c r="AB2226" s="11"/>
      <c r="AC2226" s="11"/>
      <c r="AD2226" s="11"/>
    </row>
    <row r="2227">
      <c r="A2227" s="10"/>
      <c r="B2227" s="10"/>
      <c r="C2227" s="10"/>
      <c r="D2227" s="10"/>
      <c r="E2227" s="10"/>
      <c r="F2227" s="11"/>
      <c r="G2227" s="11"/>
      <c r="H2227" s="11"/>
      <c r="I2227" s="11"/>
      <c r="J2227" s="11"/>
      <c r="K2227" s="11"/>
      <c r="L2227" s="12"/>
      <c r="M2227" s="11"/>
      <c r="N2227" s="11"/>
      <c r="O2227" s="13"/>
      <c r="P2227" s="14"/>
      <c r="Q2227" s="13"/>
      <c r="R2227" s="13"/>
      <c r="S2227" s="15"/>
      <c r="T2227" s="16"/>
      <c r="U2227" s="16"/>
      <c r="V2227" s="16"/>
      <c r="W2227" s="16"/>
      <c r="X2227" s="16"/>
      <c r="Y2227" s="11"/>
      <c r="Z2227" s="11"/>
      <c r="AA2227" s="11"/>
      <c r="AB2227" s="11"/>
      <c r="AC2227" s="11"/>
      <c r="AD2227" s="11"/>
    </row>
    <row r="2228">
      <c r="A2228" s="10"/>
      <c r="B2228" s="10"/>
      <c r="C2228" s="10"/>
      <c r="D2228" s="10"/>
      <c r="E2228" s="10"/>
      <c r="F2228" s="11"/>
      <c r="G2228" s="11"/>
      <c r="H2228" s="11"/>
      <c r="I2228" s="11"/>
      <c r="J2228" s="11"/>
      <c r="K2228" s="11"/>
      <c r="L2228" s="12"/>
      <c r="M2228" s="11"/>
      <c r="N2228" s="11"/>
      <c r="O2228" s="13"/>
      <c r="P2228" s="14"/>
      <c r="Q2228" s="13"/>
      <c r="R2228" s="13"/>
      <c r="S2228" s="15"/>
      <c r="T2228" s="16"/>
      <c r="U2228" s="16"/>
      <c r="V2228" s="16"/>
      <c r="W2228" s="16"/>
      <c r="X2228" s="16"/>
      <c r="Y2228" s="11"/>
      <c r="Z2228" s="11"/>
      <c r="AA2228" s="11"/>
      <c r="AB2228" s="11"/>
      <c r="AC2228" s="11"/>
      <c r="AD2228" s="11"/>
    </row>
    <row r="2229">
      <c r="A2229" s="10"/>
      <c r="B2229" s="10"/>
      <c r="C2229" s="10"/>
      <c r="D2229" s="10"/>
      <c r="E2229" s="10"/>
      <c r="F2229" s="11"/>
      <c r="G2229" s="11"/>
      <c r="H2229" s="11"/>
      <c r="I2229" s="11"/>
      <c r="J2229" s="11"/>
      <c r="K2229" s="11"/>
      <c r="L2229" s="12"/>
      <c r="M2229" s="11"/>
      <c r="N2229" s="11"/>
      <c r="O2229" s="13"/>
      <c r="P2229" s="14"/>
      <c r="Q2229" s="13"/>
      <c r="R2229" s="13"/>
      <c r="S2229" s="15"/>
      <c r="T2229" s="16"/>
      <c r="U2229" s="16"/>
      <c r="V2229" s="16"/>
      <c r="W2229" s="16"/>
      <c r="X2229" s="16"/>
      <c r="Y2229" s="11"/>
      <c r="Z2229" s="11"/>
      <c r="AA2229" s="11"/>
      <c r="AB2229" s="11"/>
      <c r="AC2229" s="11"/>
      <c r="AD2229" s="11"/>
    </row>
    <row r="2230">
      <c r="A2230" s="10"/>
      <c r="B2230" s="10"/>
      <c r="C2230" s="10"/>
      <c r="D2230" s="10"/>
      <c r="E2230" s="10"/>
      <c r="F2230" s="11"/>
      <c r="G2230" s="11"/>
      <c r="H2230" s="11"/>
      <c r="I2230" s="11"/>
      <c r="J2230" s="11"/>
      <c r="K2230" s="11"/>
      <c r="L2230" s="12"/>
      <c r="M2230" s="11"/>
      <c r="N2230" s="11"/>
      <c r="O2230" s="13"/>
      <c r="P2230" s="14"/>
      <c r="Q2230" s="13"/>
      <c r="R2230" s="13"/>
      <c r="S2230" s="15"/>
      <c r="T2230" s="16"/>
      <c r="U2230" s="16"/>
      <c r="V2230" s="16"/>
      <c r="W2230" s="16"/>
      <c r="X2230" s="16"/>
      <c r="Y2230" s="11"/>
      <c r="Z2230" s="11"/>
      <c r="AA2230" s="11"/>
      <c r="AB2230" s="11"/>
      <c r="AC2230" s="11"/>
      <c r="AD2230" s="11"/>
    </row>
    <row r="2231">
      <c r="A2231" s="10"/>
      <c r="B2231" s="10"/>
      <c r="C2231" s="10"/>
      <c r="D2231" s="10"/>
      <c r="E2231" s="10"/>
      <c r="F2231" s="11"/>
      <c r="G2231" s="11"/>
      <c r="H2231" s="11"/>
      <c r="I2231" s="11"/>
      <c r="J2231" s="11"/>
      <c r="K2231" s="11"/>
      <c r="L2231" s="12"/>
      <c r="M2231" s="11"/>
      <c r="N2231" s="11"/>
      <c r="O2231" s="13"/>
      <c r="P2231" s="14"/>
      <c r="Q2231" s="13"/>
      <c r="R2231" s="13"/>
      <c r="S2231" s="15"/>
      <c r="T2231" s="16"/>
      <c r="U2231" s="16"/>
      <c r="V2231" s="16"/>
      <c r="W2231" s="16"/>
      <c r="X2231" s="16"/>
      <c r="Y2231" s="11"/>
      <c r="Z2231" s="11"/>
      <c r="AA2231" s="11"/>
      <c r="AB2231" s="11"/>
      <c r="AC2231" s="11"/>
      <c r="AD2231" s="11"/>
    </row>
    <row r="2232">
      <c r="A2232" s="10"/>
      <c r="B2232" s="10"/>
      <c r="C2232" s="10"/>
      <c r="D2232" s="10"/>
      <c r="E2232" s="10"/>
      <c r="F2232" s="11"/>
      <c r="G2232" s="11"/>
      <c r="H2232" s="11"/>
      <c r="I2232" s="11"/>
      <c r="J2232" s="11"/>
      <c r="K2232" s="11"/>
      <c r="L2232" s="12"/>
      <c r="M2232" s="11"/>
      <c r="N2232" s="11"/>
      <c r="O2232" s="13"/>
      <c r="P2232" s="14"/>
      <c r="Q2232" s="13"/>
      <c r="R2232" s="13"/>
      <c r="S2232" s="15"/>
      <c r="T2232" s="16"/>
      <c r="U2232" s="16"/>
      <c r="V2232" s="16"/>
      <c r="W2232" s="16"/>
      <c r="X2232" s="16"/>
      <c r="Y2232" s="11"/>
      <c r="Z2232" s="11"/>
      <c r="AA2232" s="11"/>
      <c r="AB2232" s="11"/>
      <c r="AC2232" s="11"/>
      <c r="AD2232" s="11"/>
    </row>
    <row r="2233">
      <c r="A2233" s="10"/>
      <c r="B2233" s="10"/>
      <c r="C2233" s="10"/>
      <c r="D2233" s="10"/>
      <c r="E2233" s="10"/>
      <c r="F2233" s="11"/>
      <c r="G2233" s="11"/>
      <c r="H2233" s="11"/>
      <c r="I2233" s="11"/>
      <c r="J2233" s="11"/>
      <c r="K2233" s="11"/>
      <c r="L2233" s="12"/>
      <c r="M2233" s="11"/>
      <c r="N2233" s="11"/>
      <c r="O2233" s="13"/>
      <c r="P2233" s="14"/>
      <c r="Q2233" s="13"/>
      <c r="R2233" s="13"/>
      <c r="S2233" s="15"/>
      <c r="T2233" s="16"/>
      <c r="U2233" s="16"/>
      <c r="V2233" s="16"/>
      <c r="W2233" s="16"/>
      <c r="X2233" s="16"/>
      <c r="Y2233" s="11"/>
      <c r="Z2233" s="11"/>
      <c r="AA2233" s="11"/>
      <c r="AB2233" s="11"/>
      <c r="AC2233" s="11"/>
      <c r="AD2233" s="11"/>
    </row>
    <row r="2234">
      <c r="A2234" s="10"/>
      <c r="B2234" s="10"/>
      <c r="C2234" s="10"/>
      <c r="D2234" s="10"/>
      <c r="E2234" s="10"/>
      <c r="F2234" s="11"/>
      <c r="G2234" s="11"/>
      <c r="H2234" s="11"/>
      <c r="I2234" s="11"/>
      <c r="J2234" s="11"/>
      <c r="K2234" s="11"/>
      <c r="L2234" s="12"/>
      <c r="M2234" s="11"/>
      <c r="N2234" s="11"/>
      <c r="O2234" s="13"/>
      <c r="P2234" s="14"/>
      <c r="Q2234" s="13"/>
      <c r="R2234" s="13"/>
      <c r="S2234" s="15"/>
      <c r="T2234" s="16"/>
      <c r="U2234" s="16"/>
      <c r="V2234" s="16"/>
      <c r="W2234" s="16"/>
      <c r="X2234" s="16"/>
      <c r="Y2234" s="11"/>
      <c r="Z2234" s="11"/>
      <c r="AA2234" s="11"/>
      <c r="AB2234" s="11"/>
      <c r="AC2234" s="11"/>
      <c r="AD2234" s="11"/>
    </row>
    <row r="2235">
      <c r="A2235" s="10"/>
      <c r="B2235" s="10"/>
      <c r="C2235" s="10"/>
      <c r="D2235" s="10"/>
      <c r="E2235" s="10"/>
      <c r="F2235" s="11"/>
      <c r="G2235" s="11"/>
      <c r="H2235" s="11"/>
      <c r="I2235" s="11"/>
      <c r="J2235" s="11"/>
      <c r="K2235" s="11"/>
      <c r="L2235" s="12"/>
      <c r="M2235" s="11"/>
      <c r="N2235" s="11"/>
      <c r="O2235" s="13"/>
      <c r="P2235" s="14"/>
      <c r="Q2235" s="13"/>
      <c r="R2235" s="13"/>
      <c r="S2235" s="15"/>
      <c r="T2235" s="16"/>
      <c r="U2235" s="16"/>
      <c r="V2235" s="16"/>
      <c r="W2235" s="16"/>
      <c r="X2235" s="16"/>
      <c r="Y2235" s="11"/>
      <c r="Z2235" s="11"/>
      <c r="AA2235" s="11"/>
      <c r="AB2235" s="11"/>
      <c r="AC2235" s="11"/>
      <c r="AD2235" s="11"/>
    </row>
    <row r="2236">
      <c r="A2236" s="10"/>
      <c r="B2236" s="10"/>
      <c r="C2236" s="10"/>
      <c r="D2236" s="10"/>
      <c r="E2236" s="10"/>
      <c r="F2236" s="11"/>
      <c r="G2236" s="11"/>
      <c r="H2236" s="11"/>
      <c r="I2236" s="11"/>
      <c r="J2236" s="11"/>
      <c r="K2236" s="11"/>
      <c r="L2236" s="12"/>
      <c r="M2236" s="11"/>
      <c r="N2236" s="11"/>
      <c r="O2236" s="13"/>
      <c r="P2236" s="14"/>
      <c r="Q2236" s="13"/>
      <c r="R2236" s="13"/>
      <c r="S2236" s="15"/>
      <c r="T2236" s="16"/>
      <c r="U2236" s="16"/>
      <c r="V2236" s="16"/>
      <c r="W2236" s="16"/>
      <c r="X2236" s="16"/>
      <c r="Y2236" s="11"/>
      <c r="Z2236" s="11"/>
      <c r="AA2236" s="11"/>
      <c r="AB2236" s="11"/>
      <c r="AC2236" s="11"/>
      <c r="AD2236" s="11"/>
    </row>
    <row r="2237">
      <c r="A2237" s="10"/>
      <c r="B2237" s="10"/>
      <c r="C2237" s="10"/>
      <c r="D2237" s="10"/>
      <c r="E2237" s="10"/>
      <c r="F2237" s="11"/>
      <c r="G2237" s="11"/>
      <c r="H2237" s="11"/>
      <c r="I2237" s="11"/>
      <c r="J2237" s="11"/>
      <c r="K2237" s="11"/>
      <c r="L2237" s="12"/>
      <c r="M2237" s="11"/>
      <c r="N2237" s="11"/>
      <c r="O2237" s="13"/>
      <c r="P2237" s="14"/>
      <c r="Q2237" s="13"/>
      <c r="R2237" s="13"/>
      <c r="S2237" s="15"/>
      <c r="T2237" s="16"/>
      <c r="U2237" s="16"/>
      <c r="V2237" s="16"/>
      <c r="W2237" s="16"/>
      <c r="X2237" s="16"/>
      <c r="Y2237" s="11"/>
      <c r="Z2237" s="11"/>
      <c r="AA2237" s="11"/>
      <c r="AB2237" s="11"/>
      <c r="AC2237" s="11"/>
      <c r="AD2237" s="11"/>
    </row>
    <row r="2238">
      <c r="A2238" s="10"/>
      <c r="B2238" s="10"/>
      <c r="C2238" s="10"/>
      <c r="D2238" s="10"/>
      <c r="E2238" s="10"/>
      <c r="F2238" s="11"/>
      <c r="G2238" s="11"/>
      <c r="H2238" s="11"/>
      <c r="I2238" s="11"/>
      <c r="J2238" s="11"/>
      <c r="K2238" s="11"/>
      <c r="L2238" s="12"/>
      <c r="M2238" s="11"/>
      <c r="N2238" s="11"/>
      <c r="O2238" s="13"/>
      <c r="P2238" s="14"/>
      <c r="Q2238" s="13"/>
      <c r="R2238" s="13"/>
      <c r="S2238" s="15"/>
      <c r="T2238" s="16"/>
      <c r="U2238" s="16"/>
      <c r="V2238" s="16"/>
      <c r="W2238" s="16"/>
      <c r="X2238" s="16"/>
      <c r="Y2238" s="11"/>
      <c r="Z2238" s="11"/>
      <c r="AA2238" s="11"/>
      <c r="AB2238" s="11"/>
      <c r="AC2238" s="11"/>
      <c r="AD2238" s="11"/>
    </row>
    <row r="2239">
      <c r="A2239" s="10"/>
      <c r="B2239" s="10"/>
      <c r="C2239" s="10"/>
      <c r="D2239" s="10"/>
      <c r="E2239" s="10"/>
      <c r="F2239" s="11"/>
      <c r="G2239" s="11"/>
      <c r="H2239" s="11"/>
      <c r="I2239" s="11"/>
      <c r="J2239" s="11"/>
      <c r="K2239" s="11"/>
      <c r="L2239" s="12"/>
      <c r="M2239" s="11"/>
      <c r="N2239" s="11"/>
      <c r="O2239" s="13"/>
      <c r="P2239" s="14"/>
      <c r="Q2239" s="13"/>
      <c r="R2239" s="13"/>
      <c r="S2239" s="15"/>
      <c r="T2239" s="16"/>
      <c r="U2239" s="16"/>
      <c r="V2239" s="16"/>
      <c r="W2239" s="16"/>
      <c r="X2239" s="16"/>
      <c r="Y2239" s="11"/>
      <c r="Z2239" s="11"/>
      <c r="AA2239" s="11"/>
      <c r="AB2239" s="11"/>
      <c r="AC2239" s="11"/>
      <c r="AD2239" s="11"/>
    </row>
    <row r="2240">
      <c r="A2240" s="10"/>
      <c r="B2240" s="10"/>
      <c r="C2240" s="10"/>
      <c r="D2240" s="10"/>
      <c r="E2240" s="10"/>
      <c r="F2240" s="11"/>
      <c r="G2240" s="11"/>
      <c r="H2240" s="11"/>
      <c r="I2240" s="11"/>
      <c r="J2240" s="11"/>
      <c r="K2240" s="11"/>
      <c r="L2240" s="12"/>
      <c r="M2240" s="11"/>
      <c r="N2240" s="11"/>
      <c r="O2240" s="13"/>
      <c r="P2240" s="14"/>
      <c r="Q2240" s="13"/>
      <c r="R2240" s="13"/>
      <c r="S2240" s="15"/>
      <c r="T2240" s="16"/>
      <c r="U2240" s="16"/>
      <c r="V2240" s="16"/>
      <c r="W2240" s="16"/>
      <c r="X2240" s="16"/>
      <c r="Y2240" s="11"/>
      <c r="Z2240" s="11"/>
      <c r="AA2240" s="11"/>
      <c r="AB2240" s="11"/>
      <c r="AC2240" s="11"/>
      <c r="AD2240" s="11"/>
    </row>
    <row r="2241">
      <c r="A2241" s="10"/>
      <c r="B2241" s="10"/>
      <c r="C2241" s="10"/>
      <c r="D2241" s="10"/>
      <c r="E2241" s="10"/>
      <c r="F2241" s="11"/>
      <c r="G2241" s="11"/>
      <c r="H2241" s="11"/>
      <c r="I2241" s="11"/>
      <c r="J2241" s="11"/>
      <c r="K2241" s="11"/>
      <c r="L2241" s="12"/>
      <c r="M2241" s="11"/>
      <c r="N2241" s="11"/>
      <c r="O2241" s="13"/>
      <c r="P2241" s="14"/>
      <c r="Q2241" s="13"/>
      <c r="R2241" s="13"/>
      <c r="S2241" s="15"/>
      <c r="T2241" s="16"/>
      <c r="U2241" s="16"/>
      <c r="V2241" s="16"/>
      <c r="W2241" s="16"/>
      <c r="X2241" s="16"/>
      <c r="Y2241" s="11"/>
      <c r="Z2241" s="11"/>
      <c r="AA2241" s="11"/>
      <c r="AB2241" s="11"/>
      <c r="AC2241" s="11"/>
      <c r="AD2241" s="11"/>
    </row>
    <row r="2242">
      <c r="A2242" s="10"/>
      <c r="B2242" s="10"/>
      <c r="C2242" s="10"/>
      <c r="D2242" s="10"/>
      <c r="E2242" s="10"/>
      <c r="F2242" s="11"/>
      <c r="G2242" s="11"/>
      <c r="H2242" s="11"/>
      <c r="I2242" s="11"/>
      <c r="J2242" s="11"/>
      <c r="K2242" s="11"/>
      <c r="L2242" s="12"/>
      <c r="M2242" s="11"/>
      <c r="N2242" s="11"/>
      <c r="O2242" s="13"/>
      <c r="P2242" s="14"/>
      <c r="Q2242" s="13"/>
      <c r="R2242" s="13"/>
      <c r="S2242" s="15"/>
      <c r="T2242" s="16"/>
      <c r="U2242" s="16"/>
      <c r="V2242" s="16"/>
      <c r="W2242" s="16"/>
      <c r="X2242" s="16"/>
      <c r="Y2242" s="11"/>
      <c r="Z2242" s="11"/>
      <c r="AA2242" s="11"/>
      <c r="AB2242" s="11"/>
      <c r="AC2242" s="11"/>
      <c r="AD2242" s="11"/>
    </row>
    <row r="2243">
      <c r="A2243" s="10"/>
      <c r="B2243" s="10"/>
      <c r="C2243" s="10"/>
      <c r="D2243" s="10"/>
      <c r="E2243" s="10"/>
      <c r="F2243" s="11"/>
      <c r="G2243" s="11"/>
      <c r="H2243" s="11"/>
      <c r="I2243" s="11"/>
      <c r="J2243" s="11"/>
      <c r="K2243" s="11"/>
      <c r="L2243" s="12"/>
      <c r="M2243" s="11"/>
      <c r="N2243" s="11"/>
      <c r="O2243" s="13"/>
      <c r="P2243" s="14"/>
      <c r="Q2243" s="13"/>
      <c r="R2243" s="13"/>
      <c r="S2243" s="15"/>
      <c r="T2243" s="16"/>
      <c r="U2243" s="16"/>
      <c r="V2243" s="16"/>
      <c r="W2243" s="16"/>
      <c r="X2243" s="16"/>
      <c r="Y2243" s="11"/>
      <c r="Z2243" s="11"/>
      <c r="AA2243" s="11"/>
      <c r="AB2243" s="11"/>
      <c r="AC2243" s="11"/>
      <c r="AD2243" s="11"/>
    </row>
    <row r="2244">
      <c r="A2244" s="10"/>
      <c r="B2244" s="10"/>
      <c r="C2244" s="10"/>
      <c r="D2244" s="10"/>
      <c r="E2244" s="10"/>
      <c r="F2244" s="11"/>
      <c r="G2244" s="11"/>
      <c r="H2244" s="11"/>
      <c r="I2244" s="11"/>
      <c r="J2244" s="11"/>
      <c r="K2244" s="11"/>
      <c r="L2244" s="12"/>
      <c r="M2244" s="11"/>
      <c r="N2244" s="11"/>
      <c r="O2244" s="13"/>
      <c r="P2244" s="14"/>
      <c r="Q2244" s="13"/>
      <c r="R2244" s="13"/>
      <c r="S2244" s="15"/>
      <c r="T2244" s="16"/>
      <c r="U2244" s="16"/>
      <c r="V2244" s="16"/>
      <c r="W2244" s="16"/>
      <c r="X2244" s="16"/>
      <c r="Y2244" s="11"/>
      <c r="Z2244" s="11"/>
      <c r="AA2244" s="11"/>
      <c r="AB2244" s="11"/>
      <c r="AC2244" s="11"/>
      <c r="AD2244" s="11"/>
    </row>
    <row r="2245">
      <c r="A2245" s="10"/>
      <c r="B2245" s="10"/>
      <c r="C2245" s="10"/>
      <c r="D2245" s="10"/>
      <c r="E2245" s="10"/>
      <c r="F2245" s="11"/>
      <c r="G2245" s="11"/>
      <c r="H2245" s="11"/>
      <c r="I2245" s="11"/>
      <c r="J2245" s="11"/>
      <c r="K2245" s="11"/>
      <c r="L2245" s="12"/>
      <c r="M2245" s="11"/>
      <c r="N2245" s="11"/>
      <c r="O2245" s="13"/>
      <c r="P2245" s="14"/>
      <c r="Q2245" s="13"/>
      <c r="R2245" s="13"/>
      <c r="S2245" s="15"/>
      <c r="T2245" s="16"/>
      <c r="U2245" s="16"/>
      <c r="V2245" s="16"/>
      <c r="W2245" s="16"/>
      <c r="X2245" s="16"/>
      <c r="Y2245" s="11"/>
      <c r="Z2245" s="11"/>
      <c r="AA2245" s="11"/>
      <c r="AB2245" s="11"/>
      <c r="AC2245" s="11"/>
      <c r="AD2245" s="11"/>
    </row>
    <row r="2246">
      <c r="A2246" s="10"/>
      <c r="B2246" s="10"/>
      <c r="C2246" s="10"/>
      <c r="D2246" s="10"/>
      <c r="E2246" s="10"/>
      <c r="F2246" s="11"/>
      <c r="G2246" s="11"/>
      <c r="H2246" s="11"/>
      <c r="I2246" s="11"/>
      <c r="J2246" s="11"/>
      <c r="K2246" s="11"/>
      <c r="L2246" s="12"/>
      <c r="M2246" s="11"/>
      <c r="N2246" s="11"/>
      <c r="O2246" s="13"/>
      <c r="P2246" s="14"/>
      <c r="Q2246" s="13"/>
      <c r="R2246" s="13"/>
      <c r="S2246" s="15"/>
      <c r="T2246" s="16"/>
      <c r="U2246" s="16"/>
      <c r="V2246" s="16"/>
      <c r="W2246" s="16"/>
      <c r="X2246" s="16"/>
      <c r="Y2246" s="11"/>
      <c r="Z2246" s="11"/>
      <c r="AA2246" s="11"/>
      <c r="AB2246" s="11"/>
      <c r="AC2246" s="11"/>
      <c r="AD2246" s="11"/>
    </row>
    <row r="2247">
      <c r="A2247" s="10"/>
      <c r="B2247" s="10"/>
      <c r="C2247" s="10"/>
      <c r="D2247" s="10"/>
      <c r="E2247" s="10"/>
      <c r="F2247" s="11"/>
      <c r="G2247" s="11"/>
      <c r="H2247" s="11"/>
      <c r="I2247" s="11"/>
      <c r="J2247" s="11"/>
      <c r="K2247" s="11"/>
      <c r="L2247" s="12"/>
      <c r="M2247" s="11"/>
      <c r="N2247" s="11"/>
      <c r="O2247" s="13"/>
      <c r="P2247" s="14"/>
      <c r="Q2247" s="13"/>
      <c r="R2247" s="13"/>
      <c r="S2247" s="15"/>
      <c r="T2247" s="16"/>
      <c r="U2247" s="16"/>
      <c r="V2247" s="16"/>
      <c r="W2247" s="16"/>
      <c r="X2247" s="16"/>
      <c r="Y2247" s="11"/>
      <c r="Z2247" s="11"/>
      <c r="AA2247" s="11"/>
      <c r="AB2247" s="11"/>
      <c r="AC2247" s="11"/>
      <c r="AD2247" s="11"/>
    </row>
    <row r="2248">
      <c r="A2248" s="10"/>
      <c r="B2248" s="10"/>
      <c r="C2248" s="10"/>
      <c r="D2248" s="10"/>
      <c r="E2248" s="10"/>
      <c r="F2248" s="11"/>
      <c r="G2248" s="11"/>
      <c r="H2248" s="11"/>
      <c r="I2248" s="11"/>
      <c r="J2248" s="11"/>
      <c r="K2248" s="11"/>
      <c r="L2248" s="12"/>
      <c r="M2248" s="11"/>
      <c r="N2248" s="11"/>
      <c r="O2248" s="13"/>
      <c r="P2248" s="14"/>
      <c r="Q2248" s="13"/>
      <c r="R2248" s="13"/>
      <c r="S2248" s="15"/>
      <c r="T2248" s="16"/>
      <c r="U2248" s="16"/>
      <c r="V2248" s="16"/>
      <c r="W2248" s="16"/>
      <c r="X2248" s="16"/>
      <c r="Y2248" s="11"/>
      <c r="Z2248" s="11"/>
      <c r="AA2248" s="11"/>
      <c r="AB2248" s="11"/>
      <c r="AC2248" s="11"/>
      <c r="AD2248" s="11"/>
    </row>
    <row r="2249">
      <c r="A2249" s="10"/>
      <c r="B2249" s="10"/>
      <c r="C2249" s="10"/>
      <c r="D2249" s="10"/>
      <c r="E2249" s="10"/>
      <c r="F2249" s="11"/>
      <c r="G2249" s="11"/>
      <c r="H2249" s="11"/>
      <c r="I2249" s="11"/>
      <c r="J2249" s="11"/>
      <c r="K2249" s="11"/>
      <c r="L2249" s="12"/>
      <c r="M2249" s="11"/>
      <c r="N2249" s="11"/>
      <c r="O2249" s="13"/>
      <c r="P2249" s="14"/>
      <c r="Q2249" s="13"/>
      <c r="R2249" s="13"/>
      <c r="S2249" s="15"/>
      <c r="T2249" s="16"/>
      <c r="U2249" s="16"/>
      <c r="V2249" s="16"/>
      <c r="W2249" s="16"/>
      <c r="X2249" s="16"/>
      <c r="Y2249" s="11"/>
      <c r="Z2249" s="11"/>
      <c r="AA2249" s="11"/>
      <c r="AB2249" s="11"/>
      <c r="AC2249" s="11"/>
      <c r="AD2249" s="11"/>
    </row>
    <row r="2250">
      <c r="A2250" s="10"/>
      <c r="B2250" s="10"/>
      <c r="C2250" s="10"/>
      <c r="D2250" s="10"/>
      <c r="E2250" s="10"/>
      <c r="F2250" s="11"/>
      <c r="G2250" s="11"/>
      <c r="H2250" s="11"/>
      <c r="I2250" s="11"/>
      <c r="J2250" s="11"/>
      <c r="K2250" s="11"/>
      <c r="L2250" s="12"/>
      <c r="M2250" s="11"/>
      <c r="N2250" s="11"/>
      <c r="O2250" s="13"/>
      <c r="P2250" s="14"/>
      <c r="Q2250" s="13"/>
      <c r="R2250" s="13"/>
      <c r="S2250" s="15"/>
      <c r="T2250" s="16"/>
      <c r="U2250" s="16"/>
      <c r="V2250" s="16"/>
      <c r="W2250" s="16"/>
      <c r="X2250" s="16"/>
      <c r="Y2250" s="11"/>
      <c r="Z2250" s="11"/>
      <c r="AA2250" s="11"/>
      <c r="AB2250" s="11"/>
      <c r="AC2250" s="11"/>
      <c r="AD2250" s="11"/>
    </row>
    <row r="2251">
      <c r="A2251" s="10"/>
      <c r="B2251" s="10"/>
      <c r="C2251" s="10"/>
      <c r="D2251" s="10"/>
      <c r="E2251" s="10"/>
      <c r="F2251" s="11"/>
      <c r="G2251" s="11"/>
      <c r="H2251" s="11"/>
      <c r="I2251" s="11"/>
      <c r="J2251" s="11"/>
      <c r="K2251" s="11"/>
      <c r="L2251" s="12"/>
      <c r="M2251" s="11"/>
      <c r="N2251" s="11"/>
      <c r="O2251" s="13"/>
      <c r="P2251" s="14"/>
      <c r="Q2251" s="13"/>
      <c r="R2251" s="13"/>
      <c r="S2251" s="15"/>
      <c r="T2251" s="16"/>
      <c r="U2251" s="16"/>
      <c r="V2251" s="16"/>
      <c r="W2251" s="16"/>
      <c r="X2251" s="16"/>
      <c r="Y2251" s="11"/>
      <c r="Z2251" s="11"/>
      <c r="AA2251" s="11"/>
      <c r="AB2251" s="11"/>
      <c r="AC2251" s="11"/>
      <c r="AD2251" s="11"/>
    </row>
    <row r="2252">
      <c r="A2252" s="10"/>
      <c r="B2252" s="10"/>
      <c r="C2252" s="10"/>
      <c r="D2252" s="10"/>
      <c r="E2252" s="10"/>
      <c r="F2252" s="11"/>
      <c r="G2252" s="11"/>
      <c r="H2252" s="11"/>
      <c r="I2252" s="11"/>
      <c r="J2252" s="11"/>
      <c r="K2252" s="11"/>
      <c r="L2252" s="12"/>
      <c r="M2252" s="11"/>
      <c r="N2252" s="11"/>
      <c r="O2252" s="13"/>
      <c r="P2252" s="14"/>
      <c r="Q2252" s="13"/>
      <c r="R2252" s="13"/>
      <c r="S2252" s="15"/>
      <c r="T2252" s="16"/>
      <c r="U2252" s="16"/>
      <c r="V2252" s="16"/>
      <c r="W2252" s="16"/>
      <c r="X2252" s="16"/>
      <c r="Y2252" s="11"/>
      <c r="Z2252" s="11"/>
      <c r="AA2252" s="11"/>
      <c r="AB2252" s="11"/>
      <c r="AC2252" s="11"/>
      <c r="AD2252" s="11"/>
    </row>
    <row r="2253">
      <c r="A2253" s="10"/>
      <c r="B2253" s="10"/>
      <c r="C2253" s="10"/>
      <c r="D2253" s="10"/>
      <c r="E2253" s="10"/>
      <c r="F2253" s="11"/>
      <c r="G2253" s="11"/>
      <c r="H2253" s="11"/>
      <c r="I2253" s="11"/>
      <c r="J2253" s="11"/>
      <c r="K2253" s="11"/>
      <c r="L2253" s="12"/>
      <c r="M2253" s="11"/>
      <c r="N2253" s="11"/>
      <c r="O2253" s="13"/>
      <c r="P2253" s="14"/>
      <c r="Q2253" s="13"/>
      <c r="R2253" s="13"/>
      <c r="S2253" s="15"/>
      <c r="T2253" s="16"/>
      <c r="U2253" s="16"/>
      <c r="V2253" s="16"/>
      <c r="W2253" s="16"/>
      <c r="X2253" s="16"/>
      <c r="Y2253" s="11"/>
      <c r="Z2253" s="11"/>
      <c r="AA2253" s="11"/>
      <c r="AB2253" s="11"/>
      <c r="AC2253" s="11"/>
      <c r="AD2253" s="11"/>
    </row>
    <row r="2254">
      <c r="A2254" s="10"/>
      <c r="B2254" s="10"/>
      <c r="C2254" s="10"/>
      <c r="D2254" s="10"/>
      <c r="E2254" s="10"/>
      <c r="F2254" s="11"/>
      <c r="G2254" s="11"/>
      <c r="H2254" s="11"/>
      <c r="I2254" s="11"/>
      <c r="J2254" s="11"/>
      <c r="K2254" s="11"/>
      <c r="L2254" s="12"/>
      <c r="M2254" s="11"/>
      <c r="N2254" s="11"/>
      <c r="O2254" s="13"/>
      <c r="P2254" s="14"/>
      <c r="Q2254" s="13"/>
      <c r="R2254" s="13"/>
      <c r="S2254" s="15"/>
      <c r="T2254" s="16"/>
      <c r="U2254" s="16"/>
      <c r="V2254" s="16"/>
      <c r="W2254" s="16"/>
      <c r="X2254" s="16"/>
      <c r="Y2254" s="11"/>
      <c r="Z2254" s="11"/>
      <c r="AA2254" s="11"/>
      <c r="AB2254" s="11"/>
      <c r="AC2254" s="11"/>
      <c r="AD2254" s="11"/>
    </row>
    <row r="2255">
      <c r="A2255" s="10"/>
      <c r="B2255" s="10"/>
      <c r="C2255" s="10"/>
      <c r="D2255" s="10"/>
      <c r="E2255" s="10"/>
      <c r="F2255" s="11"/>
      <c r="G2255" s="11"/>
      <c r="H2255" s="11"/>
      <c r="I2255" s="11"/>
      <c r="J2255" s="11"/>
      <c r="K2255" s="11"/>
      <c r="L2255" s="12"/>
      <c r="M2255" s="11"/>
      <c r="N2255" s="11"/>
      <c r="O2255" s="13"/>
      <c r="P2255" s="14"/>
      <c r="Q2255" s="13"/>
      <c r="R2255" s="13"/>
      <c r="S2255" s="15"/>
      <c r="T2255" s="16"/>
      <c r="U2255" s="16"/>
      <c r="V2255" s="16"/>
      <c r="W2255" s="16"/>
      <c r="X2255" s="16"/>
      <c r="Y2255" s="11"/>
      <c r="Z2255" s="11"/>
      <c r="AA2255" s="11"/>
      <c r="AB2255" s="11"/>
      <c r="AC2255" s="11"/>
      <c r="AD2255" s="11"/>
    </row>
    <row r="2256">
      <c r="A2256" s="10"/>
      <c r="B2256" s="10"/>
      <c r="C2256" s="10"/>
      <c r="D2256" s="10"/>
      <c r="E2256" s="10"/>
      <c r="F2256" s="11"/>
      <c r="G2256" s="11"/>
      <c r="H2256" s="11"/>
      <c r="I2256" s="11"/>
      <c r="J2256" s="11"/>
      <c r="K2256" s="11"/>
      <c r="L2256" s="12"/>
      <c r="M2256" s="11"/>
      <c r="N2256" s="11"/>
      <c r="O2256" s="13"/>
      <c r="P2256" s="14"/>
      <c r="Q2256" s="13"/>
      <c r="R2256" s="13"/>
      <c r="S2256" s="15"/>
      <c r="T2256" s="16"/>
      <c r="U2256" s="16"/>
      <c r="V2256" s="16"/>
      <c r="W2256" s="16"/>
      <c r="X2256" s="16"/>
      <c r="Y2256" s="11"/>
      <c r="Z2256" s="11"/>
      <c r="AA2256" s="11"/>
      <c r="AB2256" s="11"/>
      <c r="AC2256" s="11"/>
      <c r="AD2256" s="11"/>
    </row>
    <row r="2257">
      <c r="A2257" s="10"/>
      <c r="B2257" s="10"/>
      <c r="C2257" s="10"/>
      <c r="D2257" s="10"/>
      <c r="E2257" s="10"/>
      <c r="F2257" s="11"/>
      <c r="G2257" s="11"/>
      <c r="H2257" s="11"/>
      <c r="I2257" s="11"/>
      <c r="J2257" s="11"/>
      <c r="K2257" s="11"/>
      <c r="L2257" s="12"/>
      <c r="M2257" s="11"/>
      <c r="N2257" s="11"/>
      <c r="O2257" s="13"/>
      <c r="P2257" s="14"/>
      <c r="Q2257" s="13"/>
      <c r="R2257" s="13"/>
      <c r="S2257" s="15"/>
      <c r="T2257" s="16"/>
      <c r="U2257" s="16"/>
      <c r="V2257" s="16"/>
      <c r="W2257" s="16"/>
      <c r="X2257" s="16"/>
      <c r="Y2257" s="11"/>
      <c r="Z2257" s="11"/>
      <c r="AA2257" s="11"/>
      <c r="AB2257" s="11"/>
      <c r="AC2257" s="11"/>
      <c r="AD2257" s="11"/>
    </row>
    <row r="2258">
      <c r="A2258" s="10"/>
      <c r="B2258" s="10"/>
      <c r="C2258" s="10"/>
      <c r="D2258" s="10"/>
      <c r="E2258" s="10"/>
      <c r="F2258" s="11"/>
      <c r="G2258" s="11"/>
      <c r="H2258" s="11"/>
      <c r="I2258" s="11"/>
      <c r="J2258" s="11"/>
      <c r="K2258" s="11"/>
      <c r="L2258" s="12"/>
      <c r="M2258" s="11"/>
      <c r="N2258" s="11"/>
      <c r="O2258" s="13"/>
      <c r="P2258" s="14"/>
      <c r="Q2258" s="13"/>
      <c r="R2258" s="13"/>
      <c r="S2258" s="15"/>
      <c r="T2258" s="16"/>
      <c r="U2258" s="16"/>
      <c r="V2258" s="16"/>
      <c r="W2258" s="16"/>
      <c r="X2258" s="16"/>
      <c r="Y2258" s="11"/>
      <c r="Z2258" s="11"/>
      <c r="AA2258" s="11"/>
      <c r="AB2258" s="11"/>
      <c r="AC2258" s="11"/>
      <c r="AD2258" s="11"/>
    </row>
    <row r="2259">
      <c r="A2259" s="10"/>
      <c r="B2259" s="10"/>
      <c r="C2259" s="10"/>
      <c r="D2259" s="10"/>
      <c r="E2259" s="10"/>
      <c r="F2259" s="11"/>
      <c r="G2259" s="11"/>
      <c r="H2259" s="11"/>
      <c r="I2259" s="11"/>
      <c r="J2259" s="11"/>
      <c r="K2259" s="11"/>
      <c r="L2259" s="12"/>
      <c r="M2259" s="11"/>
      <c r="N2259" s="11"/>
      <c r="O2259" s="13"/>
      <c r="P2259" s="14"/>
      <c r="Q2259" s="13"/>
      <c r="R2259" s="13"/>
      <c r="S2259" s="15"/>
      <c r="T2259" s="16"/>
      <c r="U2259" s="16"/>
      <c r="V2259" s="16"/>
      <c r="W2259" s="16"/>
      <c r="X2259" s="16"/>
      <c r="Y2259" s="11"/>
      <c r="Z2259" s="11"/>
      <c r="AA2259" s="11"/>
      <c r="AB2259" s="11"/>
      <c r="AC2259" s="11"/>
      <c r="AD2259" s="11"/>
    </row>
    <row r="2260">
      <c r="A2260" s="10"/>
      <c r="B2260" s="10"/>
      <c r="C2260" s="10"/>
      <c r="D2260" s="10"/>
      <c r="E2260" s="10"/>
      <c r="F2260" s="11"/>
      <c r="G2260" s="11"/>
      <c r="H2260" s="11"/>
      <c r="I2260" s="11"/>
      <c r="J2260" s="11"/>
      <c r="K2260" s="11"/>
      <c r="L2260" s="12"/>
      <c r="M2260" s="11"/>
      <c r="N2260" s="11"/>
      <c r="O2260" s="13"/>
      <c r="P2260" s="14"/>
      <c r="Q2260" s="13"/>
      <c r="R2260" s="13"/>
      <c r="S2260" s="15"/>
      <c r="T2260" s="16"/>
      <c r="U2260" s="16"/>
      <c r="V2260" s="16"/>
      <c r="W2260" s="16"/>
      <c r="X2260" s="16"/>
      <c r="Y2260" s="11"/>
      <c r="Z2260" s="11"/>
      <c r="AA2260" s="11"/>
      <c r="AB2260" s="11"/>
      <c r="AC2260" s="11"/>
      <c r="AD2260" s="11"/>
    </row>
    <row r="2261">
      <c r="A2261" s="10"/>
      <c r="B2261" s="10"/>
      <c r="C2261" s="10"/>
      <c r="D2261" s="10"/>
      <c r="E2261" s="10"/>
      <c r="F2261" s="11"/>
      <c r="G2261" s="11"/>
      <c r="H2261" s="11"/>
      <c r="I2261" s="11"/>
      <c r="J2261" s="11"/>
      <c r="K2261" s="11"/>
      <c r="L2261" s="12"/>
      <c r="M2261" s="11"/>
      <c r="N2261" s="11"/>
      <c r="O2261" s="13"/>
      <c r="P2261" s="14"/>
      <c r="Q2261" s="13"/>
      <c r="R2261" s="13"/>
      <c r="S2261" s="15"/>
      <c r="T2261" s="16"/>
      <c r="U2261" s="16"/>
      <c r="V2261" s="16"/>
      <c r="W2261" s="16"/>
      <c r="X2261" s="16"/>
      <c r="Y2261" s="11"/>
      <c r="Z2261" s="11"/>
      <c r="AA2261" s="11"/>
      <c r="AB2261" s="11"/>
      <c r="AC2261" s="11"/>
      <c r="AD2261" s="11"/>
    </row>
    <row r="2262">
      <c r="A2262" s="10"/>
      <c r="B2262" s="10"/>
      <c r="C2262" s="10"/>
      <c r="D2262" s="10"/>
      <c r="E2262" s="10"/>
      <c r="F2262" s="11"/>
      <c r="G2262" s="11"/>
      <c r="H2262" s="11"/>
      <c r="I2262" s="11"/>
      <c r="J2262" s="11"/>
      <c r="K2262" s="11"/>
      <c r="L2262" s="12"/>
      <c r="M2262" s="11"/>
      <c r="N2262" s="11"/>
      <c r="O2262" s="13"/>
      <c r="P2262" s="14"/>
      <c r="Q2262" s="13"/>
      <c r="R2262" s="13"/>
      <c r="S2262" s="15"/>
      <c r="T2262" s="16"/>
      <c r="U2262" s="16"/>
      <c r="V2262" s="16"/>
      <c r="W2262" s="16"/>
      <c r="X2262" s="16"/>
      <c r="Y2262" s="11"/>
      <c r="Z2262" s="11"/>
      <c r="AA2262" s="11"/>
      <c r="AB2262" s="11"/>
      <c r="AC2262" s="11"/>
      <c r="AD2262" s="11"/>
    </row>
    <row r="2263">
      <c r="A2263" s="10"/>
      <c r="B2263" s="10"/>
      <c r="C2263" s="10"/>
      <c r="D2263" s="10"/>
      <c r="E2263" s="10"/>
      <c r="F2263" s="11"/>
      <c r="G2263" s="11"/>
      <c r="H2263" s="11"/>
      <c r="I2263" s="11"/>
      <c r="J2263" s="11"/>
      <c r="K2263" s="11"/>
      <c r="L2263" s="12"/>
      <c r="M2263" s="11"/>
      <c r="N2263" s="11"/>
      <c r="O2263" s="13"/>
      <c r="P2263" s="14"/>
      <c r="Q2263" s="13"/>
      <c r="R2263" s="13"/>
      <c r="S2263" s="15"/>
      <c r="T2263" s="16"/>
      <c r="U2263" s="16"/>
      <c r="V2263" s="16"/>
      <c r="W2263" s="16"/>
      <c r="X2263" s="16"/>
      <c r="Y2263" s="11"/>
      <c r="Z2263" s="11"/>
      <c r="AA2263" s="11"/>
      <c r="AB2263" s="11"/>
      <c r="AC2263" s="11"/>
      <c r="AD2263" s="11"/>
    </row>
    <row r="2264">
      <c r="A2264" s="10"/>
      <c r="B2264" s="10"/>
      <c r="C2264" s="10"/>
      <c r="D2264" s="10"/>
      <c r="E2264" s="10"/>
      <c r="F2264" s="11"/>
      <c r="G2264" s="11"/>
      <c r="H2264" s="11"/>
      <c r="I2264" s="11"/>
      <c r="J2264" s="11"/>
      <c r="K2264" s="11"/>
      <c r="L2264" s="12"/>
      <c r="M2264" s="11"/>
      <c r="N2264" s="11"/>
      <c r="O2264" s="13"/>
      <c r="P2264" s="14"/>
      <c r="Q2264" s="13"/>
      <c r="R2264" s="13"/>
      <c r="S2264" s="15"/>
      <c r="T2264" s="16"/>
      <c r="U2264" s="16"/>
      <c r="V2264" s="16"/>
      <c r="W2264" s="16"/>
      <c r="X2264" s="16"/>
      <c r="Y2264" s="11"/>
      <c r="Z2264" s="11"/>
      <c r="AA2264" s="11"/>
      <c r="AB2264" s="11"/>
      <c r="AC2264" s="11"/>
      <c r="AD2264" s="11"/>
    </row>
    <row r="2265">
      <c r="A2265" s="10"/>
      <c r="B2265" s="10"/>
      <c r="C2265" s="10"/>
      <c r="D2265" s="10"/>
      <c r="E2265" s="10"/>
      <c r="F2265" s="11"/>
      <c r="G2265" s="11"/>
      <c r="H2265" s="11"/>
      <c r="I2265" s="11"/>
      <c r="J2265" s="11"/>
      <c r="K2265" s="11"/>
      <c r="L2265" s="12"/>
      <c r="M2265" s="11"/>
      <c r="N2265" s="11"/>
      <c r="O2265" s="13"/>
      <c r="P2265" s="14"/>
      <c r="Q2265" s="13"/>
      <c r="R2265" s="13"/>
      <c r="S2265" s="15"/>
      <c r="T2265" s="16"/>
      <c r="U2265" s="16"/>
      <c r="V2265" s="16"/>
      <c r="W2265" s="16"/>
      <c r="X2265" s="16"/>
      <c r="Y2265" s="11"/>
      <c r="Z2265" s="11"/>
      <c r="AA2265" s="11"/>
      <c r="AB2265" s="11"/>
      <c r="AC2265" s="11"/>
      <c r="AD2265" s="11"/>
    </row>
    <row r="2266">
      <c r="A2266" s="10"/>
      <c r="B2266" s="10"/>
      <c r="C2266" s="10"/>
      <c r="D2266" s="10"/>
      <c r="E2266" s="10"/>
      <c r="F2266" s="11"/>
      <c r="G2266" s="11"/>
      <c r="H2266" s="11"/>
      <c r="I2266" s="11"/>
      <c r="J2266" s="11"/>
      <c r="K2266" s="11"/>
      <c r="L2266" s="12"/>
      <c r="M2266" s="11"/>
      <c r="N2266" s="11"/>
      <c r="O2266" s="13"/>
      <c r="P2266" s="14"/>
      <c r="Q2266" s="13"/>
      <c r="R2266" s="13"/>
      <c r="S2266" s="15"/>
      <c r="T2266" s="16"/>
      <c r="U2266" s="16"/>
      <c r="V2266" s="16"/>
      <c r="W2266" s="16"/>
      <c r="X2266" s="16"/>
      <c r="Y2266" s="11"/>
      <c r="Z2266" s="11"/>
      <c r="AA2266" s="11"/>
      <c r="AB2266" s="11"/>
      <c r="AC2266" s="11"/>
      <c r="AD2266" s="11"/>
    </row>
    <row r="2267">
      <c r="A2267" s="10"/>
      <c r="B2267" s="10"/>
      <c r="C2267" s="10"/>
      <c r="D2267" s="10"/>
      <c r="E2267" s="10"/>
      <c r="F2267" s="11"/>
      <c r="G2267" s="11"/>
      <c r="H2267" s="11"/>
      <c r="I2267" s="11"/>
      <c r="J2267" s="11"/>
      <c r="K2267" s="11"/>
      <c r="L2267" s="12"/>
      <c r="M2267" s="11"/>
      <c r="N2267" s="11"/>
      <c r="O2267" s="13"/>
      <c r="P2267" s="14"/>
      <c r="Q2267" s="13"/>
      <c r="R2267" s="13"/>
      <c r="S2267" s="15"/>
      <c r="T2267" s="16"/>
      <c r="U2267" s="16"/>
      <c r="V2267" s="16"/>
      <c r="W2267" s="16"/>
      <c r="X2267" s="16"/>
      <c r="Y2267" s="11"/>
      <c r="Z2267" s="11"/>
      <c r="AA2267" s="11"/>
      <c r="AB2267" s="11"/>
      <c r="AC2267" s="11"/>
      <c r="AD2267" s="11"/>
    </row>
    <row r="2268">
      <c r="A2268" s="10"/>
      <c r="B2268" s="10"/>
      <c r="C2268" s="10"/>
      <c r="D2268" s="10"/>
      <c r="E2268" s="10"/>
      <c r="F2268" s="11"/>
      <c r="G2268" s="11"/>
      <c r="H2268" s="11"/>
      <c r="I2268" s="11"/>
      <c r="J2268" s="11"/>
      <c r="K2268" s="11"/>
      <c r="L2268" s="12"/>
      <c r="M2268" s="11"/>
      <c r="N2268" s="11"/>
      <c r="O2268" s="13"/>
      <c r="P2268" s="14"/>
      <c r="Q2268" s="13"/>
      <c r="R2268" s="13"/>
      <c r="S2268" s="15"/>
      <c r="T2268" s="16"/>
      <c r="U2268" s="16"/>
      <c r="V2268" s="16"/>
      <c r="W2268" s="16"/>
      <c r="X2268" s="16"/>
      <c r="Y2268" s="11"/>
      <c r="Z2268" s="11"/>
      <c r="AA2268" s="11"/>
      <c r="AB2268" s="11"/>
      <c r="AC2268" s="11"/>
      <c r="AD2268" s="11"/>
    </row>
    <row r="2269">
      <c r="A2269" s="10"/>
      <c r="B2269" s="10"/>
      <c r="C2269" s="10"/>
      <c r="D2269" s="10"/>
      <c r="E2269" s="10"/>
      <c r="F2269" s="11"/>
      <c r="G2269" s="11"/>
      <c r="H2269" s="11"/>
      <c r="I2269" s="11"/>
      <c r="J2269" s="11"/>
      <c r="K2269" s="11"/>
      <c r="L2269" s="12"/>
      <c r="M2269" s="11"/>
      <c r="N2269" s="11"/>
      <c r="O2269" s="13"/>
      <c r="P2269" s="14"/>
      <c r="Q2269" s="13"/>
      <c r="R2269" s="13"/>
      <c r="S2269" s="15"/>
      <c r="T2269" s="16"/>
      <c r="U2269" s="16"/>
      <c r="V2269" s="16"/>
      <c r="W2269" s="16"/>
      <c r="X2269" s="16"/>
      <c r="Y2269" s="11"/>
      <c r="Z2269" s="11"/>
      <c r="AA2269" s="11"/>
      <c r="AB2269" s="11"/>
      <c r="AC2269" s="11"/>
      <c r="AD2269" s="11"/>
    </row>
    <row r="2270">
      <c r="A2270" s="10"/>
      <c r="B2270" s="10"/>
      <c r="C2270" s="10"/>
      <c r="D2270" s="10"/>
      <c r="E2270" s="10"/>
      <c r="F2270" s="11"/>
      <c r="G2270" s="11"/>
      <c r="H2270" s="11"/>
      <c r="I2270" s="11"/>
      <c r="J2270" s="11"/>
      <c r="K2270" s="11"/>
      <c r="L2270" s="12"/>
      <c r="M2270" s="11"/>
      <c r="N2270" s="11"/>
      <c r="O2270" s="13"/>
      <c r="P2270" s="14"/>
      <c r="Q2270" s="13"/>
      <c r="R2270" s="13"/>
      <c r="S2270" s="15"/>
      <c r="T2270" s="16"/>
      <c r="U2270" s="16"/>
      <c r="V2270" s="16"/>
      <c r="W2270" s="16"/>
      <c r="X2270" s="16"/>
      <c r="Y2270" s="11"/>
      <c r="Z2270" s="11"/>
      <c r="AA2270" s="11"/>
      <c r="AB2270" s="11"/>
      <c r="AC2270" s="11"/>
      <c r="AD2270" s="11"/>
    </row>
    <row r="2271">
      <c r="A2271" s="10"/>
      <c r="B2271" s="10"/>
      <c r="C2271" s="10"/>
      <c r="D2271" s="10"/>
      <c r="E2271" s="10"/>
      <c r="F2271" s="11"/>
      <c r="G2271" s="11"/>
      <c r="H2271" s="11"/>
      <c r="I2271" s="11"/>
      <c r="J2271" s="11"/>
      <c r="K2271" s="11"/>
      <c r="L2271" s="12"/>
      <c r="M2271" s="11"/>
      <c r="N2271" s="11"/>
      <c r="O2271" s="13"/>
      <c r="P2271" s="14"/>
      <c r="Q2271" s="13"/>
      <c r="R2271" s="13"/>
      <c r="S2271" s="15"/>
      <c r="T2271" s="16"/>
      <c r="U2271" s="16"/>
      <c r="V2271" s="16"/>
      <c r="W2271" s="16"/>
      <c r="X2271" s="16"/>
      <c r="Y2271" s="11"/>
      <c r="Z2271" s="11"/>
      <c r="AA2271" s="11"/>
      <c r="AB2271" s="11"/>
      <c r="AC2271" s="11"/>
      <c r="AD2271" s="11"/>
    </row>
    <row r="2272">
      <c r="A2272" s="10"/>
      <c r="B2272" s="10"/>
      <c r="C2272" s="10"/>
      <c r="D2272" s="10"/>
      <c r="E2272" s="10"/>
      <c r="F2272" s="11"/>
      <c r="G2272" s="11"/>
      <c r="H2272" s="11"/>
      <c r="I2272" s="11"/>
      <c r="J2272" s="11"/>
      <c r="K2272" s="11"/>
      <c r="L2272" s="12"/>
      <c r="M2272" s="11"/>
      <c r="N2272" s="11"/>
      <c r="O2272" s="13"/>
      <c r="P2272" s="14"/>
      <c r="Q2272" s="13"/>
      <c r="R2272" s="13"/>
      <c r="S2272" s="15"/>
      <c r="T2272" s="16"/>
      <c r="U2272" s="16"/>
      <c r="V2272" s="16"/>
      <c r="W2272" s="16"/>
      <c r="X2272" s="16"/>
      <c r="Y2272" s="11"/>
      <c r="Z2272" s="11"/>
      <c r="AA2272" s="11"/>
      <c r="AB2272" s="11"/>
      <c r="AC2272" s="11"/>
      <c r="AD2272" s="11"/>
    </row>
    <row r="2273">
      <c r="A2273" s="10"/>
      <c r="B2273" s="10"/>
      <c r="C2273" s="10"/>
      <c r="D2273" s="10"/>
      <c r="E2273" s="10"/>
      <c r="F2273" s="11"/>
      <c r="G2273" s="11"/>
      <c r="H2273" s="11"/>
      <c r="I2273" s="11"/>
      <c r="J2273" s="11"/>
      <c r="K2273" s="11"/>
      <c r="L2273" s="12"/>
      <c r="M2273" s="11"/>
      <c r="N2273" s="11"/>
      <c r="O2273" s="13"/>
      <c r="P2273" s="14"/>
      <c r="Q2273" s="13"/>
      <c r="R2273" s="13"/>
      <c r="S2273" s="15"/>
      <c r="T2273" s="16"/>
      <c r="U2273" s="16"/>
      <c r="V2273" s="16"/>
      <c r="W2273" s="16"/>
      <c r="X2273" s="16"/>
      <c r="Y2273" s="11"/>
      <c r="Z2273" s="11"/>
      <c r="AA2273" s="11"/>
      <c r="AB2273" s="11"/>
      <c r="AC2273" s="11"/>
      <c r="AD2273" s="11"/>
    </row>
    <row r="2274">
      <c r="A2274" s="10"/>
      <c r="B2274" s="10"/>
      <c r="C2274" s="10"/>
      <c r="D2274" s="10"/>
      <c r="E2274" s="10"/>
      <c r="F2274" s="11"/>
      <c r="G2274" s="11"/>
      <c r="H2274" s="11"/>
      <c r="I2274" s="11"/>
      <c r="J2274" s="11"/>
      <c r="K2274" s="11"/>
      <c r="L2274" s="12"/>
      <c r="M2274" s="11"/>
      <c r="N2274" s="11"/>
      <c r="O2274" s="13"/>
      <c r="P2274" s="14"/>
      <c r="Q2274" s="13"/>
      <c r="R2274" s="13"/>
      <c r="S2274" s="15"/>
      <c r="T2274" s="16"/>
      <c r="U2274" s="16"/>
      <c r="V2274" s="16"/>
      <c r="W2274" s="16"/>
      <c r="X2274" s="16"/>
      <c r="Y2274" s="11"/>
      <c r="Z2274" s="11"/>
      <c r="AA2274" s="11"/>
      <c r="AB2274" s="11"/>
      <c r="AC2274" s="11"/>
      <c r="AD2274" s="11"/>
    </row>
    <row r="2275">
      <c r="A2275" s="10"/>
      <c r="B2275" s="10"/>
      <c r="C2275" s="10"/>
      <c r="D2275" s="10"/>
      <c r="E2275" s="10"/>
      <c r="F2275" s="11"/>
      <c r="G2275" s="11"/>
      <c r="H2275" s="11"/>
      <c r="I2275" s="11"/>
      <c r="J2275" s="11"/>
      <c r="K2275" s="11"/>
      <c r="L2275" s="12"/>
      <c r="M2275" s="11"/>
      <c r="N2275" s="11"/>
      <c r="O2275" s="13"/>
      <c r="P2275" s="14"/>
      <c r="Q2275" s="13"/>
      <c r="R2275" s="13"/>
      <c r="S2275" s="15"/>
      <c r="T2275" s="16"/>
      <c r="U2275" s="16"/>
      <c r="V2275" s="16"/>
      <c r="W2275" s="16"/>
      <c r="X2275" s="16"/>
      <c r="Y2275" s="11"/>
      <c r="Z2275" s="11"/>
      <c r="AA2275" s="11"/>
      <c r="AB2275" s="11"/>
      <c r="AC2275" s="11"/>
      <c r="AD2275" s="11"/>
    </row>
    <row r="2276">
      <c r="A2276" s="10"/>
      <c r="B2276" s="10"/>
      <c r="C2276" s="10"/>
      <c r="D2276" s="10"/>
      <c r="E2276" s="10"/>
      <c r="F2276" s="11"/>
      <c r="G2276" s="11"/>
      <c r="H2276" s="11"/>
      <c r="I2276" s="11"/>
      <c r="J2276" s="11"/>
      <c r="K2276" s="11"/>
      <c r="L2276" s="12"/>
      <c r="M2276" s="11"/>
      <c r="N2276" s="11"/>
      <c r="O2276" s="13"/>
      <c r="P2276" s="14"/>
      <c r="Q2276" s="13"/>
      <c r="R2276" s="13"/>
      <c r="S2276" s="15"/>
      <c r="T2276" s="16"/>
      <c r="U2276" s="16"/>
      <c r="V2276" s="16"/>
      <c r="W2276" s="16"/>
      <c r="X2276" s="16"/>
      <c r="Y2276" s="11"/>
      <c r="Z2276" s="11"/>
      <c r="AA2276" s="11"/>
      <c r="AB2276" s="11"/>
      <c r="AC2276" s="11"/>
      <c r="AD2276" s="11"/>
    </row>
    <row r="2277">
      <c r="A2277" s="10"/>
      <c r="B2277" s="10"/>
      <c r="C2277" s="10"/>
      <c r="D2277" s="10"/>
      <c r="E2277" s="10"/>
      <c r="F2277" s="11"/>
      <c r="G2277" s="11"/>
      <c r="H2277" s="11"/>
      <c r="I2277" s="11"/>
      <c r="J2277" s="11"/>
      <c r="K2277" s="11"/>
      <c r="L2277" s="12"/>
      <c r="M2277" s="11"/>
      <c r="N2277" s="11"/>
      <c r="O2277" s="13"/>
      <c r="P2277" s="14"/>
      <c r="Q2277" s="13"/>
      <c r="R2277" s="13"/>
      <c r="S2277" s="15"/>
      <c r="T2277" s="16"/>
      <c r="U2277" s="16"/>
      <c r="V2277" s="16"/>
      <c r="W2277" s="16"/>
      <c r="X2277" s="16"/>
      <c r="Y2277" s="11"/>
      <c r="Z2277" s="11"/>
      <c r="AA2277" s="11"/>
      <c r="AB2277" s="11"/>
      <c r="AC2277" s="11"/>
      <c r="AD2277" s="11"/>
    </row>
    <row r="2278">
      <c r="A2278" s="10"/>
      <c r="B2278" s="10"/>
      <c r="C2278" s="10"/>
      <c r="D2278" s="10"/>
      <c r="E2278" s="10"/>
      <c r="F2278" s="11"/>
      <c r="G2278" s="11"/>
      <c r="H2278" s="11"/>
      <c r="I2278" s="11"/>
      <c r="J2278" s="11"/>
      <c r="K2278" s="11"/>
      <c r="L2278" s="12"/>
      <c r="M2278" s="11"/>
      <c r="N2278" s="11"/>
      <c r="O2278" s="13"/>
      <c r="P2278" s="14"/>
      <c r="Q2278" s="13"/>
      <c r="R2278" s="13"/>
      <c r="S2278" s="15"/>
      <c r="T2278" s="16"/>
      <c r="U2278" s="16"/>
      <c r="V2278" s="16"/>
      <c r="W2278" s="16"/>
      <c r="X2278" s="16"/>
      <c r="Y2278" s="11"/>
      <c r="Z2278" s="11"/>
      <c r="AA2278" s="11"/>
      <c r="AB2278" s="11"/>
      <c r="AC2278" s="11"/>
      <c r="AD2278" s="11"/>
    </row>
    <row r="2279">
      <c r="A2279" s="10"/>
      <c r="B2279" s="10"/>
      <c r="C2279" s="10"/>
      <c r="D2279" s="10"/>
      <c r="E2279" s="10"/>
      <c r="F2279" s="11"/>
      <c r="G2279" s="11"/>
      <c r="H2279" s="11"/>
      <c r="I2279" s="11"/>
      <c r="J2279" s="11"/>
      <c r="K2279" s="11"/>
      <c r="L2279" s="12"/>
      <c r="M2279" s="11"/>
      <c r="N2279" s="11"/>
      <c r="O2279" s="13"/>
      <c r="P2279" s="14"/>
      <c r="Q2279" s="13"/>
      <c r="R2279" s="13"/>
      <c r="S2279" s="15"/>
      <c r="T2279" s="16"/>
      <c r="U2279" s="16"/>
      <c r="V2279" s="16"/>
      <c r="W2279" s="16"/>
      <c r="X2279" s="16"/>
      <c r="Y2279" s="11"/>
      <c r="Z2279" s="11"/>
      <c r="AA2279" s="11"/>
      <c r="AB2279" s="11"/>
      <c r="AC2279" s="11"/>
      <c r="AD2279" s="11"/>
    </row>
    <row r="2280">
      <c r="A2280" s="10"/>
      <c r="B2280" s="10"/>
      <c r="C2280" s="10"/>
      <c r="D2280" s="10"/>
      <c r="E2280" s="10"/>
      <c r="F2280" s="11"/>
      <c r="G2280" s="11"/>
      <c r="H2280" s="11"/>
      <c r="I2280" s="11"/>
      <c r="J2280" s="11"/>
      <c r="K2280" s="11"/>
      <c r="L2280" s="12"/>
      <c r="M2280" s="11"/>
      <c r="N2280" s="11"/>
      <c r="O2280" s="13"/>
      <c r="P2280" s="14"/>
      <c r="Q2280" s="13"/>
      <c r="R2280" s="13"/>
      <c r="S2280" s="15"/>
      <c r="T2280" s="16"/>
      <c r="U2280" s="16"/>
      <c r="V2280" s="16"/>
      <c r="W2280" s="16"/>
      <c r="X2280" s="16"/>
      <c r="Y2280" s="11"/>
      <c r="Z2280" s="11"/>
      <c r="AA2280" s="11"/>
      <c r="AB2280" s="11"/>
      <c r="AC2280" s="11"/>
      <c r="AD2280" s="11"/>
    </row>
    <row r="2281">
      <c r="A2281" s="10"/>
      <c r="B2281" s="10"/>
      <c r="C2281" s="10"/>
      <c r="D2281" s="10"/>
      <c r="E2281" s="10"/>
      <c r="F2281" s="11"/>
      <c r="G2281" s="11"/>
      <c r="H2281" s="11"/>
      <c r="I2281" s="11"/>
      <c r="J2281" s="11"/>
      <c r="K2281" s="11"/>
      <c r="L2281" s="12"/>
      <c r="M2281" s="11"/>
      <c r="N2281" s="11"/>
      <c r="O2281" s="13"/>
      <c r="P2281" s="14"/>
      <c r="Q2281" s="13"/>
      <c r="R2281" s="13"/>
      <c r="S2281" s="15"/>
      <c r="T2281" s="16"/>
      <c r="U2281" s="16"/>
      <c r="V2281" s="16"/>
      <c r="W2281" s="16"/>
      <c r="X2281" s="16"/>
      <c r="Y2281" s="11"/>
      <c r="Z2281" s="11"/>
      <c r="AA2281" s="11"/>
      <c r="AB2281" s="11"/>
      <c r="AC2281" s="11"/>
      <c r="AD2281" s="11"/>
    </row>
    <row r="2282">
      <c r="A2282" s="10"/>
      <c r="B2282" s="10"/>
      <c r="C2282" s="10"/>
      <c r="D2282" s="10"/>
      <c r="E2282" s="10"/>
      <c r="F2282" s="11"/>
      <c r="G2282" s="11"/>
      <c r="H2282" s="11"/>
      <c r="I2282" s="11"/>
      <c r="J2282" s="11"/>
      <c r="K2282" s="11"/>
      <c r="L2282" s="12"/>
      <c r="M2282" s="11"/>
      <c r="N2282" s="11"/>
      <c r="O2282" s="13"/>
      <c r="P2282" s="14"/>
      <c r="Q2282" s="13"/>
      <c r="R2282" s="13"/>
      <c r="S2282" s="15"/>
      <c r="T2282" s="16"/>
      <c r="U2282" s="16"/>
      <c r="V2282" s="16"/>
      <c r="W2282" s="16"/>
      <c r="X2282" s="16"/>
      <c r="Y2282" s="11"/>
      <c r="Z2282" s="11"/>
      <c r="AA2282" s="11"/>
      <c r="AB2282" s="11"/>
      <c r="AC2282" s="11"/>
      <c r="AD2282" s="11"/>
    </row>
    <row r="2283">
      <c r="A2283" s="10"/>
      <c r="B2283" s="10"/>
      <c r="C2283" s="10"/>
      <c r="D2283" s="10"/>
      <c r="E2283" s="10"/>
      <c r="F2283" s="11"/>
      <c r="G2283" s="11"/>
      <c r="H2283" s="11"/>
      <c r="I2283" s="11"/>
      <c r="J2283" s="11"/>
      <c r="K2283" s="11"/>
      <c r="L2283" s="12"/>
      <c r="M2283" s="11"/>
      <c r="N2283" s="11"/>
      <c r="O2283" s="13"/>
      <c r="P2283" s="14"/>
      <c r="Q2283" s="13"/>
      <c r="R2283" s="13"/>
      <c r="S2283" s="15"/>
      <c r="T2283" s="16"/>
      <c r="U2283" s="16"/>
      <c r="V2283" s="16"/>
      <c r="W2283" s="16"/>
      <c r="X2283" s="16"/>
      <c r="Y2283" s="11"/>
      <c r="Z2283" s="11"/>
      <c r="AA2283" s="11"/>
      <c r="AB2283" s="11"/>
      <c r="AC2283" s="11"/>
      <c r="AD2283" s="11"/>
    </row>
    <row r="2284">
      <c r="A2284" s="10"/>
      <c r="B2284" s="10"/>
      <c r="C2284" s="10"/>
      <c r="D2284" s="10"/>
      <c r="E2284" s="10"/>
      <c r="F2284" s="11"/>
      <c r="G2284" s="11"/>
      <c r="H2284" s="11"/>
      <c r="I2284" s="11"/>
      <c r="J2284" s="11"/>
      <c r="K2284" s="11"/>
      <c r="L2284" s="12"/>
      <c r="M2284" s="11"/>
      <c r="N2284" s="11"/>
      <c r="O2284" s="13"/>
      <c r="P2284" s="14"/>
      <c r="Q2284" s="13"/>
      <c r="R2284" s="13"/>
      <c r="S2284" s="15"/>
      <c r="T2284" s="16"/>
      <c r="U2284" s="16"/>
      <c r="V2284" s="16"/>
      <c r="W2284" s="16"/>
      <c r="X2284" s="16"/>
      <c r="Y2284" s="11"/>
      <c r="Z2284" s="11"/>
      <c r="AA2284" s="11"/>
      <c r="AB2284" s="11"/>
      <c r="AC2284" s="11"/>
      <c r="AD2284" s="11"/>
    </row>
    <row r="2285">
      <c r="A2285" s="10"/>
      <c r="B2285" s="10"/>
      <c r="C2285" s="10"/>
      <c r="D2285" s="10"/>
      <c r="E2285" s="10"/>
      <c r="F2285" s="11"/>
      <c r="G2285" s="11"/>
      <c r="H2285" s="11"/>
      <c r="I2285" s="11"/>
      <c r="J2285" s="11"/>
      <c r="K2285" s="11"/>
      <c r="L2285" s="12"/>
      <c r="M2285" s="11"/>
      <c r="N2285" s="11"/>
      <c r="O2285" s="13"/>
      <c r="P2285" s="14"/>
      <c r="Q2285" s="13"/>
      <c r="R2285" s="13"/>
      <c r="S2285" s="15"/>
      <c r="T2285" s="16"/>
      <c r="U2285" s="16"/>
      <c r="V2285" s="16"/>
      <c r="W2285" s="16"/>
      <c r="X2285" s="16"/>
      <c r="Y2285" s="11"/>
      <c r="Z2285" s="11"/>
      <c r="AA2285" s="11"/>
      <c r="AB2285" s="11"/>
      <c r="AC2285" s="11"/>
      <c r="AD2285" s="11"/>
    </row>
    <row r="2286">
      <c r="A2286" s="10"/>
      <c r="B2286" s="10"/>
      <c r="C2286" s="10"/>
      <c r="D2286" s="10"/>
      <c r="E2286" s="10"/>
      <c r="F2286" s="11"/>
      <c r="G2286" s="11"/>
      <c r="H2286" s="11"/>
      <c r="I2286" s="11"/>
      <c r="J2286" s="11"/>
      <c r="K2286" s="11"/>
      <c r="L2286" s="12"/>
      <c r="M2286" s="11"/>
      <c r="N2286" s="11"/>
      <c r="O2286" s="13"/>
      <c r="P2286" s="14"/>
      <c r="Q2286" s="13"/>
      <c r="R2286" s="13"/>
      <c r="S2286" s="15"/>
      <c r="T2286" s="16"/>
      <c r="U2286" s="16"/>
      <c r="V2286" s="16"/>
      <c r="W2286" s="16"/>
      <c r="X2286" s="16"/>
      <c r="Y2286" s="11"/>
      <c r="Z2286" s="11"/>
      <c r="AA2286" s="11"/>
      <c r="AB2286" s="11"/>
      <c r="AC2286" s="11"/>
      <c r="AD2286" s="11"/>
    </row>
    <row r="2287">
      <c r="A2287" s="10"/>
      <c r="B2287" s="10"/>
      <c r="C2287" s="10"/>
      <c r="D2287" s="10"/>
      <c r="E2287" s="10"/>
      <c r="F2287" s="11"/>
      <c r="G2287" s="11"/>
      <c r="H2287" s="11"/>
      <c r="I2287" s="11"/>
      <c r="J2287" s="11"/>
      <c r="K2287" s="11"/>
      <c r="L2287" s="12"/>
      <c r="M2287" s="11"/>
      <c r="N2287" s="11"/>
      <c r="O2287" s="13"/>
      <c r="P2287" s="14"/>
      <c r="Q2287" s="13"/>
      <c r="R2287" s="13"/>
      <c r="S2287" s="15"/>
      <c r="T2287" s="16"/>
      <c r="U2287" s="16"/>
      <c r="V2287" s="16"/>
      <c r="W2287" s="16"/>
      <c r="X2287" s="16"/>
      <c r="Y2287" s="11"/>
      <c r="Z2287" s="11"/>
      <c r="AA2287" s="11"/>
      <c r="AB2287" s="11"/>
      <c r="AC2287" s="11"/>
      <c r="AD2287" s="11"/>
    </row>
    <row r="2288">
      <c r="A2288" s="10"/>
      <c r="B2288" s="10"/>
      <c r="C2288" s="10"/>
      <c r="D2288" s="10"/>
      <c r="E2288" s="10"/>
      <c r="F2288" s="11"/>
      <c r="G2288" s="11"/>
      <c r="H2288" s="11"/>
      <c r="I2288" s="11"/>
      <c r="J2288" s="11"/>
      <c r="K2288" s="11"/>
      <c r="L2288" s="12"/>
      <c r="M2288" s="11"/>
      <c r="N2288" s="11"/>
      <c r="O2288" s="13"/>
      <c r="P2288" s="14"/>
      <c r="Q2288" s="13"/>
      <c r="R2288" s="13"/>
      <c r="S2288" s="15"/>
      <c r="T2288" s="16"/>
      <c r="U2288" s="16"/>
      <c r="V2288" s="16"/>
      <c r="W2288" s="16"/>
      <c r="X2288" s="16"/>
      <c r="Y2288" s="11"/>
      <c r="Z2288" s="11"/>
      <c r="AA2288" s="11"/>
      <c r="AB2288" s="11"/>
      <c r="AC2288" s="11"/>
      <c r="AD2288" s="11"/>
    </row>
    <row r="2289">
      <c r="A2289" s="10"/>
      <c r="B2289" s="10"/>
      <c r="C2289" s="10"/>
      <c r="D2289" s="10"/>
      <c r="E2289" s="10"/>
      <c r="F2289" s="11"/>
      <c r="G2289" s="11"/>
      <c r="H2289" s="11"/>
      <c r="I2289" s="11"/>
      <c r="J2289" s="11"/>
      <c r="K2289" s="11"/>
      <c r="L2289" s="12"/>
      <c r="M2289" s="11"/>
      <c r="N2289" s="11"/>
      <c r="O2289" s="13"/>
      <c r="P2289" s="14"/>
      <c r="Q2289" s="13"/>
      <c r="R2289" s="13"/>
      <c r="S2289" s="15"/>
      <c r="T2289" s="16"/>
      <c r="U2289" s="16"/>
      <c r="V2289" s="16"/>
      <c r="W2289" s="16"/>
      <c r="X2289" s="16"/>
      <c r="Y2289" s="11"/>
      <c r="Z2289" s="11"/>
      <c r="AA2289" s="11"/>
      <c r="AB2289" s="11"/>
      <c r="AC2289" s="11"/>
      <c r="AD2289" s="11"/>
    </row>
    <row r="2290">
      <c r="A2290" s="10"/>
      <c r="B2290" s="10"/>
      <c r="C2290" s="10"/>
      <c r="D2290" s="10"/>
      <c r="E2290" s="10"/>
      <c r="F2290" s="11"/>
      <c r="G2290" s="11"/>
      <c r="H2290" s="11"/>
      <c r="I2290" s="11"/>
      <c r="J2290" s="11"/>
      <c r="K2290" s="11"/>
      <c r="L2290" s="12"/>
      <c r="M2290" s="11"/>
      <c r="N2290" s="11"/>
      <c r="O2290" s="13"/>
      <c r="P2290" s="14"/>
      <c r="Q2290" s="13"/>
      <c r="R2290" s="13"/>
      <c r="S2290" s="15"/>
      <c r="T2290" s="16"/>
      <c r="U2290" s="16"/>
      <c r="V2290" s="16"/>
      <c r="W2290" s="16"/>
      <c r="X2290" s="16"/>
      <c r="Y2290" s="11"/>
      <c r="Z2290" s="11"/>
      <c r="AA2290" s="11"/>
      <c r="AB2290" s="11"/>
      <c r="AC2290" s="11"/>
      <c r="AD2290" s="11"/>
    </row>
    <row r="2291">
      <c r="A2291" s="10"/>
      <c r="B2291" s="10"/>
      <c r="C2291" s="10"/>
      <c r="D2291" s="10"/>
      <c r="E2291" s="10"/>
      <c r="F2291" s="11"/>
      <c r="G2291" s="11"/>
      <c r="H2291" s="11"/>
      <c r="I2291" s="11"/>
      <c r="J2291" s="11"/>
      <c r="K2291" s="11"/>
      <c r="L2291" s="12"/>
      <c r="M2291" s="11"/>
      <c r="N2291" s="11"/>
      <c r="O2291" s="13"/>
      <c r="P2291" s="14"/>
      <c r="Q2291" s="13"/>
      <c r="R2291" s="13"/>
      <c r="S2291" s="15"/>
      <c r="T2291" s="16"/>
      <c r="U2291" s="16"/>
      <c r="V2291" s="16"/>
      <c r="W2291" s="16"/>
      <c r="X2291" s="16"/>
      <c r="Y2291" s="11"/>
      <c r="Z2291" s="11"/>
      <c r="AA2291" s="11"/>
      <c r="AB2291" s="11"/>
      <c r="AC2291" s="11"/>
      <c r="AD2291" s="11"/>
    </row>
    <row r="2292">
      <c r="A2292" s="10"/>
      <c r="B2292" s="10"/>
      <c r="C2292" s="10"/>
      <c r="D2292" s="10"/>
      <c r="E2292" s="10"/>
      <c r="F2292" s="11"/>
      <c r="G2292" s="11"/>
      <c r="H2292" s="11"/>
      <c r="I2292" s="11"/>
      <c r="J2292" s="11"/>
      <c r="K2292" s="11"/>
      <c r="L2292" s="12"/>
      <c r="M2292" s="11"/>
      <c r="N2292" s="11"/>
      <c r="O2292" s="13"/>
      <c r="P2292" s="14"/>
      <c r="Q2292" s="13"/>
      <c r="R2292" s="13"/>
      <c r="S2292" s="15"/>
      <c r="T2292" s="16"/>
      <c r="U2292" s="16"/>
      <c r="V2292" s="16"/>
      <c r="W2292" s="16"/>
      <c r="X2292" s="16"/>
      <c r="Y2292" s="11"/>
      <c r="Z2292" s="11"/>
      <c r="AA2292" s="11"/>
      <c r="AB2292" s="11"/>
      <c r="AC2292" s="11"/>
      <c r="AD2292" s="11"/>
    </row>
    <row r="2293">
      <c r="A2293" s="10"/>
      <c r="B2293" s="10"/>
      <c r="C2293" s="10"/>
      <c r="D2293" s="10"/>
      <c r="E2293" s="10"/>
      <c r="F2293" s="11"/>
      <c r="G2293" s="11"/>
      <c r="H2293" s="11"/>
      <c r="I2293" s="11"/>
      <c r="J2293" s="11"/>
      <c r="K2293" s="11"/>
      <c r="L2293" s="12"/>
      <c r="M2293" s="11"/>
      <c r="N2293" s="11"/>
      <c r="O2293" s="13"/>
      <c r="P2293" s="14"/>
      <c r="Q2293" s="13"/>
      <c r="R2293" s="13"/>
      <c r="S2293" s="15"/>
      <c r="T2293" s="16"/>
      <c r="U2293" s="16"/>
      <c r="V2293" s="16"/>
      <c r="W2293" s="16"/>
      <c r="X2293" s="16"/>
      <c r="Y2293" s="11"/>
      <c r="Z2293" s="11"/>
      <c r="AA2293" s="11"/>
      <c r="AB2293" s="11"/>
      <c r="AC2293" s="11"/>
      <c r="AD2293" s="11"/>
    </row>
    <row r="2294">
      <c r="A2294" s="10"/>
      <c r="B2294" s="10"/>
      <c r="C2294" s="10"/>
      <c r="D2294" s="10"/>
      <c r="E2294" s="10"/>
      <c r="F2294" s="11"/>
      <c r="G2294" s="11"/>
      <c r="H2294" s="11"/>
      <c r="I2294" s="11"/>
      <c r="J2294" s="11"/>
      <c r="K2294" s="11"/>
      <c r="L2294" s="12"/>
      <c r="M2294" s="11"/>
      <c r="N2294" s="11"/>
      <c r="O2294" s="13"/>
      <c r="P2294" s="14"/>
      <c r="Q2294" s="13"/>
      <c r="R2294" s="13"/>
      <c r="S2294" s="15"/>
      <c r="T2294" s="16"/>
      <c r="U2294" s="16"/>
      <c r="V2294" s="16"/>
      <c r="W2294" s="16"/>
      <c r="X2294" s="16"/>
      <c r="Y2294" s="11"/>
      <c r="Z2294" s="11"/>
      <c r="AA2294" s="11"/>
      <c r="AB2294" s="11"/>
      <c r="AC2294" s="11"/>
      <c r="AD2294" s="11"/>
    </row>
    <row r="2295">
      <c r="A2295" s="10"/>
      <c r="B2295" s="10"/>
      <c r="C2295" s="10"/>
      <c r="D2295" s="10"/>
      <c r="E2295" s="10"/>
      <c r="F2295" s="11"/>
      <c r="G2295" s="11"/>
      <c r="H2295" s="11"/>
      <c r="I2295" s="11"/>
      <c r="J2295" s="11"/>
      <c r="K2295" s="11"/>
      <c r="L2295" s="12"/>
      <c r="M2295" s="11"/>
      <c r="N2295" s="11"/>
      <c r="O2295" s="13"/>
      <c r="P2295" s="14"/>
      <c r="Q2295" s="13"/>
      <c r="R2295" s="13"/>
      <c r="S2295" s="15"/>
      <c r="T2295" s="16"/>
      <c r="U2295" s="16"/>
      <c r="V2295" s="16"/>
      <c r="W2295" s="16"/>
      <c r="X2295" s="16"/>
      <c r="Y2295" s="11"/>
      <c r="Z2295" s="11"/>
      <c r="AA2295" s="11"/>
      <c r="AB2295" s="11"/>
      <c r="AC2295" s="11"/>
      <c r="AD2295" s="11"/>
    </row>
    <row r="2296">
      <c r="A2296" s="10"/>
      <c r="B2296" s="10"/>
      <c r="C2296" s="10"/>
      <c r="D2296" s="10"/>
      <c r="E2296" s="10"/>
      <c r="F2296" s="11"/>
      <c r="G2296" s="11"/>
      <c r="H2296" s="11"/>
      <c r="I2296" s="11"/>
      <c r="J2296" s="11"/>
      <c r="K2296" s="11"/>
      <c r="L2296" s="12"/>
      <c r="M2296" s="11"/>
      <c r="N2296" s="11"/>
      <c r="O2296" s="13"/>
      <c r="P2296" s="14"/>
      <c r="Q2296" s="13"/>
      <c r="R2296" s="13"/>
      <c r="S2296" s="15"/>
      <c r="T2296" s="16"/>
      <c r="U2296" s="16"/>
      <c r="V2296" s="16"/>
      <c r="W2296" s="16"/>
      <c r="X2296" s="16"/>
      <c r="Y2296" s="11"/>
      <c r="Z2296" s="11"/>
      <c r="AA2296" s="11"/>
      <c r="AB2296" s="11"/>
      <c r="AC2296" s="11"/>
      <c r="AD2296" s="11"/>
    </row>
    <row r="2297">
      <c r="A2297" s="10"/>
      <c r="B2297" s="10"/>
      <c r="C2297" s="10"/>
      <c r="D2297" s="10"/>
      <c r="E2297" s="10"/>
      <c r="F2297" s="11"/>
      <c r="G2297" s="11"/>
      <c r="H2297" s="11"/>
      <c r="I2297" s="11"/>
      <c r="J2297" s="11"/>
      <c r="K2297" s="11"/>
      <c r="L2297" s="12"/>
      <c r="M2297" s="11"/>
      <c r="N2297" s="11"/>
      <c r="O2297" s="13"/>
      <c r="P2297" s="14"/>
      <c r="Q2297" s="13"/>
      <c r="R2297" s="13"/>
      <c r="S2297" s="15"/>
      <c r="T2297" s="16"/>
      <c r="U2297" s="16"/>
      <c r="V2297" s="16"/>
      <c r="W2297" s="16"/>
      <c r="X2297" s="16"/>
      <c r="Y2297" s="11"/>
      <c r="Z2297" s="11"/>
      <c r="AA2297" s="11"/>
      <c r="AB2297" s="11"/>
      <c r="AC2297" s="11"/>
      <c r="AD2297" s="11"/>
    </row>
    <row r="2298">
      <c r="A2298" s="10"/>
      <c r="B2298" s="10"/>
      <c r="C2298" s="10"/>
      <c r="D2298" s="10"/>
      <c r="E2298" s="10"/>
      <c r="F2298" s="11"/>
      <c r="G2298" s="11"/>
      <c r="H2298" s="11"/>
      <c r="I2298" s="11"/>
      <c r="J2298" s="11"/>
      <c r="K2298" s="11"/>
      <c r="L2298" s="12"/>
      <c r="M2298" s="11"/>
      <c r="N2298" s="11"/>
      <c r="O2298" s="13"/>
      <c r="P2298" s="14"/>
      <c r="Q2298" s="13"/>
      <c r="R2298" s="13"/>
      <c r="S2298" s="15"/>
      <c r="T2298" s="16"/>
      <c r="U2298" s="16"/>
      <c r="V2298" s="16"/>
      <c r="W2298" s="16"/>
      <c r="X2298" s="16"/>
      <c r="Y2298" s="11"/>
      <c r="Z2298" s="11"/>
      <c r="AA2298" s="11"/>
      <c r="AB2298" s="11"/>
      <c r="AC2298" s="11"/>
      <c r="AD2298" s="11"/>
    </row>
    <row r="2299">
      <c r="A2299" s="10"/>
      <c r="B2299" s="10"/>
      <c r="C2299" s="10"/>
      <c r="D2299" s="10"/>
      <c r="E2299" s="10"/>
      <c r="F2299" s="11"/>
      <c r="G2299" s="11"/>
      <c r="H2299" s="11"/>
      <c r="I2299" s="11"/>
      <c r="J2299" s="11"/>
      <c r="K2299" s="11"/>
      <c r="L2299" s="12"/>
      <c r="M2299" s="11"/>
      <c r="N2299" s="11"/>
      <c r="O2299" s="13"/>
      <c r="P2299" s="14"/>
      <c r="Q2299" s="13"/>
      <c r="R2299" s="13"/>
      <c r="S2299" s="15"/>
      <c r="T2299" s="16"/>
      <c r="U2299" s="16"/>
      <c r="V2299" s="16"/>
      <c r="W2299" s="16"/>
      <c r="X2299" s="16"/>
      <c r="Y2299" s="11"/>
      <c r="Z2299" s="11"/>
      <c r="AA2299" s="11"/>
      <c r="AB2299" s="11"/>
      <c r="AC2299" s="11"/>
      <c r="AD2299" s="11"/>
    </row>
    <row r="2300">
      <c r="A2300" s="10"/>
      <c r="B2300" s="10"/>
      <c r="C2300" s="10"/>
      <c r="D2300" s="10"/>
      <c r="E2300" s="10"/>
      <c r="F2300" s="11"/>
      <c r="G2300" s="11"/>
      <c r="H2300" s="11"/>
      <c r="I2300" s="11"/>
      <c r="J2300" s="11"/>
      <c r="K2300" s="11"/>
      <c r="L2300" s="12"/>
      <c r="M2300" s="11"/>
      <c r="N2300" s="11"/>
      <c r="O2300" s="13"/>
      <c r="P2300" s="14"/>
      <c r="Q2300" s="13"/>
      <c r="R2300" s="13"/>
      <c r="S2300" s="15"/>
      <c r="T2300" s="16"/>
      <c r="U2300" s="16"/>
      <c r="V2300" s="16"/>
      <c r="W2300" s="16"/>
      <c r="X2300" s="16"/>
      <c r="Y2300" s="11"/>
      <c r="Z2300" s="11"/>
      <c r="AA2300" s="11"/>
      <c r="AB2300" s="11"/>
      <c r="AC2300" s="11"/>
      <c r="AD2300" s="11"/>
    </row>
    <row r="2301">
      <c r="A2301" s="10"/>
      <c r="B2301" s="10"/>
      <c r="C2301" s="10"/>
      <c r="D2301" s="10"/>
      <c r="E2301" s="10"/>
      <c r="F2301" s="11"/>
      <c r="G2301" s="11"/>
      <c r="H2301" s="11"/>
      <c r="I2301" s="11"/>
      <c r="J2301" s="11"/>
      <c r="K2301" s="11"/>
      <c r="L2301" s="12"/>
      <c r="M2301" s="11"/>
      <c r="N2301" s="11"/>
      <c r="O2301" s="13"/>
      <c r="P2301" s="14"/>
      <c r="Q2301" s="13"/>
      <c r="R2301" s="13"/>
      <c r="S2301" s="15"/>
      <c r="T2301" s="16"/>
      <c r="U2301" s="16"/>
      <c r="V2301" s="16"/>
      <c r="W2301" s="16"/>
      <c r="X2301" s="16"/>
      <c r="Y2301" s="11"/>
      <c r="Z2301" s="11"/>
      <c r="AA2301" s="11"/>
      <c r="AB2301" s="11"/>
      <c r="AC2301" s="11"/>
      <c r="AD2301" s="11"/>
    </row>
    <row r="2302">
      <c r="A2302" s="10"/>
      <c r="B2302" s="10"/>
      <c r="C2302" s="10"/>
      <c r="D2302" s="10"/>
      <c r="E2302" s="10"/>
      <c r="F2302" s="11"/>
      <c r="G2302" s="11"/>
      <c r="H2302" s="11"/>
      <c r="I2302" s="11"/>
      <c r="J2302" s="11"/>
      <c r="K2302" s="11"/>
      <c r="L2302" s="12"/>
      <c r="M2302" s="11"/>
      <c r="N2302" s="11"/>
      <c r="O2302" s="13"/>
      <c r="P2302" s="14"/>
      <c r="Q2302" s="13"/>
      <c r="R2302" s="13"/>
      <c r="S2302" s="15"/>
      <c r="T2302" s="16"/>
      <c r="U2302" s="16"/>
      <c r="V2302" s="16"/>
      <c r="W2302" s="16"/>
      <c r="X2302" s="16"/>
      <c r="Y2302" s="11"/>
      <c r="Z2302" s="11"/>
      <c r="AA2302" s="11"/>
      <c r="AB2302" s="11"/>
      <c r="AC2302" s="11"/>
      <c r="AD2302" s="11"/>
    </row>
    <row r="2303">
      <c r="A2303" s="10"/>
      <c r="B2303" s="10"/>
      <c r="C2303" s="10"/>
      <c r="D2303" s="10"/>
      <c r="E2303" s="10"/>
      <c r="F2303" s="11"/>
      <c r="G2303" s="11"/>
      <c r="H2303" s="11"/>
      <c r="I2303" s="11"/>
      <c r="J2303" s="11"/>
      <c r="K2303" s="11"/>
      <c r="L2303" s="12"/>
      <c r="M2303" s="11"/>
      <c r="N2303" s="11"/>
      <c r="O2303" s="13"/>
      <c r="P2303" s="14"/>
      <c r="Q2303" s="13"/>
      <c r="R2303" s="13"/>
      <c r="S2303" s="15"/>
      <c r="T2303" s="16"/>
      <c r="U2303" s="16"/>
      <c r="V2303" s="16"/>
      <c r="W2303" s="16"/>
      <c r="X2303" s="16"/>
      <c r="Y2303" s="11"/>
      <c r="Z2303" s="11"/>
      <c r="AA2303" s="11"/>
      <c r="AB2303" s="11"/>
      <c r="AC2303" s="11"/>
      <c r="AD2303" s="11"/>
    </row>
    <row r="2304">
      <c r="A2304" s="10"/>
      <c r="B2304" s="10"/>
      <c r="C2304" s="10"/>
      <c r="D2304" s="10"/>
      <c r="E2304" s="10"/>
      <c r="F2304" s="11"/>
      <c r="G2304" s="11"/>
      <c r="H2304" s="11"/>
      <c r="I2304" s="11"/>
      <c r="J2304" s="11"/>
      <c r="K2304" s="11"/>
      <c r="L2304" s="12"/>
      <c r="M2304" s="11"/>
      <c r="N2304" s="11"/>
      <c r="O2304" s="13"/>
      <c r="P2304" s="14"/>
      <c r="Q2304" s="13"/>
      <c r="R2304" s="13"/>
      <c r="S2304" s="15"/>
      <c r="T2304" s="16"/>
      <c r="U2304" s="16"/>
      <c r="V2304" s="16"/>
      <c r="W2304" s="16"/>
      <c r="X2304" s="16"/>
      <c r="Y2304" s="11"/>
      <c r="Z2304" s="11"/>
      <c r="AA2304" s="11"/>
      <c r="AB2304" s="11"/>
      <c r="AC2304" s="11"/>
      <c r="AD2304" s="11"/>
    </row>
    <row r="2305">
      <c r="A2305" s="10"/>
      <c r="B2305" s="10"/>
      <c r="C2305" s="10"/>
      <c r="D2305" s="10"/>
      <c r="E2305" s="10"/>
      <c r="F2305" s="11"/>
      <c r="G2305" s="11"/>
      <c r="H2305" s="11"/>
      <c r="I2305" s="11"/>
      <c r="J2305" s="11"/>
      <c r="K2305" s="11"/>
      <c r="L2305" s="12"/>
      <c r="M2305" s="11"/>
      <c r="N2305" s="11"/>
      <c r="O2305" s="13"/>
      <c r="P2305" s="14"/>
      <c r="Q2305" s="13"/>
      <c r="R2305" s="13"/>
      <c r="S2305" s="15"/>
      <c r="T2305" s="16"/>
      <c r="U2305" s="16"/>
      <c r="V2305" s="16"/>
      <c r="W2305" s="16"/>
      <c r="X2305" s="16"/>
      <c r="Y2305" s="11"/>
      <c r="Z2305" s="11"/>
      <c r="AA2305" s="11"/>
      <c r="AB2305" s="11"/>
      <c r="AC2305" s="11"/>
      <c r="AD2305" s="11"/>
    </row>
    <row r="2306">
      <c r="A2306" s="10"/>
      <c r="B2306" s="10"/>
      <c r="C2306" s="10"/>
      <c r="D2306" s="10"/>
      <c r="E2306" s="10"/>
      <c r="F2306" s="11"/>
      <c r="G2306" s="11"/>
      <c r="H2306" s="11"/>
      <c r="I2306" s="11"/>
      <c r="J2306" s="11"/>
      <c r="K2306" s="11"/>
      <c r="L2306" s="12"/>
      <c r="M2306" s="11"/>
      <c r="N2306" s="11"/>
      <c r="O2306" s="13"/>
      <c r="P2306" s="14"/>
      <c r="Q2306" s="13"/>
      <c r="R2306" s="13"/>
      <c r="S2306" s="15"/>
      <c r="T2306" s="16"/>
      <c r="U2306" s="16"/>
      <c r="V2306" s="16"/>
      <c r="W2306" s="16"/>
      <c r="X2306" s="16"/>
      <c r="Y2306" s="11"/>
      <c r="Z2306" s="11"/>
      <c r="AA2306" s="11"/>
      <c r="AB2306" s="11"/>
      <c r="AC2306" s="11"/>
      <c r="AD2306" s="11"/>
    </row>
    <row r="2307">
      <c r="A2307" s="10"/>
      <c r="B2307" s="10"/>
      <c r="C2307" s="10"/>
      <c r="D2307" s="10"/>
      <c r="E2307" s="10"/>
      <c r="F2307" s="11"/>
      <c r="G2307" s="11"/>
      <c r="H2307" s="11"/>
      <c r="I2307" s="11"/>
      <c r="J2307" s="11"/>
      <c r="K2307" s="11"/>
      <c r="L2307" s="12"/>
      <c r="M2307" s="11"/>
      <c r="N2307" s="11"/>
      <c r="O2307" s="13"/>
      <c r="P2307" s="14"/>
      <c r="Q2307" s="13"/>
      <c r="R2307" s="13"/>
      <c r="S2307" s="15"/>
      <c r="T2307" s="16"/>
      <c r="U2307" s="16"/>
      <c r="V2307" s="16"/>
      <c r="W2307" s="16"/>
      <c r="X2307" s="16"/>
      <c r="Y2307" s="11"/>
      <c r="Z2307" s="11"/>
      <c r="AA2307" s="11"/>
      <c r="AB2307" s="11"/>
      <c r="AC2307" s="11"/>
      <c r="AD2307" s="11"/>
    </row>
    <row r="2308">
      <c r="A2308" s="10"/>
      <c r="B2308" s="10"/>
      <c r="C2308" s="10"/>
      <c r="D2308" s="10"/>
      <c r="E2308" s="10"/>
      <c r="F2308" s="11"/>
      <c r="G2308" s="11"/>
      <c r="H2308" s="11"/>
      <c r="I2308" s="11"/>
      <c r="J2308" s="11"/>
      <c r="K2308" s="11"/>
      <c r="L2308" s="12"/>
      <c r="M2308" s="11"/>
      <c r="N2308" s="11"/>
      <c r="O2308" s="13"/>
      <c r="P2308" s="14"/>
      <c r="Q2308" s="13"/>
      <c r="R2308" s="13"/>
      <c r="S2308" s="15"/>
      <c r="T2308" s="16"/>
      <c r="U2308" s="16"/>
      <c r="V2308" s="16"/>
      <c r="W2308" s="16"/>
      <c r="X2308" s="16"/>
      <c r="Y2308" s="11"/>
      <c r="Z2308" s="11"/>
      <c r="AA2308" s="11"/>
      <c r="AB2308" s="11"/>
      <c r="AC2308" s="11"/>
      <c r="AD2308" s="11"/>
    </row>
    <row r="2309">
      <c r="A2309" s="10"/>
      <c r="B2309" s="10"/>
      <c r="C2309" s="10"/>
      <c r="D2309" s="10"/>
      <c r="E2309" s="10"/>
      <c r="F2309" s="11"/>
      <c r="G2309" s="11"/>
      <c r="H2309" s="11"/>
      <c r="I2309" s="11"/>
      <c r="J2309" s="11"/>
      <c r="K2309" s="11"/>
      <c r="L2309" s="12"/>
      <c r="M2309" s="11"/>
      <c r="N2309" s="11"/>
      <c r="O2309" s="13"/>
      <c r="P2309" s="14"/>
      <c r="Q2309" s="13"/>
      <c r="R2309" s="13"/>
      <c r="S2309" s="15"/>
      <c r="T2309" s="16"/>
      <c r="U2309" s="16"/>
      <c r="V2309" s="16"/>
      <c r="W2309" s="16"/>
      <c r="X2309" s="16"/>
      <c r="Y2309" s="11"/>
      <c r="Z2309" s="11"/>
      <c r="AA2309" s="11"/>
      <c r="AB2309" s="11"/>
      <c r="AC2309" s="11"/>
      <c r="AD2309" s="11"/>
    </row>
    <row r="2310">
      <c r="A2310" s="10"/>
      <c r="B2310" s="10"/>
      <c r="C2310" s="10"/>
      <c r="D2310" s="10"/>
      <c r="E2310" s="10"/>
      <c r="F2310" s="11"/>
      <c r="G2310" s="11"/>
      <c r="H2310" s="11"/>
      <c r="I2310" s="11"/>
      <c r="J2310" s="11"/>
      <c r="K2310" s="11"/>
      <c r="L2310" s="12"/>
      <c r="M2310" s="11"/>
      <c r="N2310" s="11"/>
      <c r="O2310" s="13"/>
      <c r="P2310" s="14"/>
      <c r="Q2310" s="13"/>
      <c r="R2310" s="13"/>
      <c r="S2310" s="15"/>
      <c r="T2310" s="16"/>
      <c r="U2310" s="16"/>
      <c r="V2310" s="16"/>
      <c r="W2310" s="16"/>
      <c r="X2310" s="16"/>
      <c r="Y2310" s="11"/>
      <c r="Z2310" s="11"/>
      <c r="AA2310" s="11"/>
      <c r="AB2310" s="11"/>
      <c r="AC2310" s="11"/>
      <c r="AD2310" s="11"/>
    </row>
    <row r="2311">
      <c r="A2311" s="10"/>
      <c r="B2311" s="10"/>
      <c r="C2311" s="10"/>
      <c r="D2311" s="10"/>
      <c r="E2311" s="10"/>
      <c r="F2311" s="11"/>
      <c r="G2311" s="11"/>
      <c r="H2311" s="11"/>
      <c r="I2311" s="11"/>
      <c r="J2311" s="11"/>
      <c r="K2311" s="11"/>
      <c r="L2311" s="12"/>
      <c r="M2311" s="11"/>
      <c r="N2311" s="11"/>
      <c r="O2311" s="13"/>
      <c r="P2311" s="14"/>
      <c r="Q2311" s="13"/>
      <c r="R2311" s="13"/>
      <c r="S2311" s="15"/>
      <c r="T2311" s="16"/>
      <c r="U2311" s="16"/>
      <c r="V2311" s="16"/>
      <c r="W2311" s="16"/>
      <c r="X2311" s="16"/>
      <c r="Y2311" s="11"/>
      <c r="Z2311" s="11"/>
      <c r="AA2311" s="11"/>
      <c r="AB2311" s="11"/>
      <c r="AC2311" s="11"/>
      <c r="AD2311" s="11"/>
    </row>
    <row r="2312">
      <c r="A2312" s="10"/>
      <c r="B2312" s="10"/>
      <c r="C2312" s="10"/>
      <c r="D2312" s="10"/>
      <c r="E2312" s="10"/>
      <c r="F2312" s="11"/>
      <c r="G2312" s="11"/>
      <c r="H2312" s="11"/>
      <c r="I2312" s="11"/>
      <c r="J2312" s="11"/>
      <c r="K2312" s="11"/>
      <c r="L2312" s="12"/>
      <c r="M2312" s="11"/>
      <c r="N2312" s="11"/>
      <c r="O2312" s="13"/>
      <c r="P2312" s="14"/>
      <c r="Q2312" s="13"/>
      <c r="R2312" s="13"/>
      <c r="S2312" s="15"/>
      <c r="T2312" s="16"/>
      <c r="U2312" s="16"/>
      <c r="V2312" s="16"/>
      <c r="W2312" s="16"/>
      <c r="X2312" s="16"/>
      <c r="Y2312" s="11"/>
      <c r="Z2312" s="11"/>
      <c r="AA2312" s="11"/>
      <c r="AB2312" s="11"/>
      <c r="AC2312" s="11"/>
      <c r="AD2312" s="11"/>
    </row>
    <row r="2313">
      <c r="A2313" s="10"/>
      <c r="B2313" s="10"/>
      <c r="C2313" s="10"/>
      <c r="D2313" s="10"/>
      <c r="E2313" s="10"/>
      <c r="F2313" s="11"/>
      <c r="G2313" s="11"/>
      <c r="H2313" s="11"/>
      <c r="I2313" s="11"/>
      <c r="J2313" s="11"/>
      <c r="K2313" s="11"/>
      <c r="L2313" s="12"/>
      <c r="M2313" s="11"/>
      <c r="N2313" s="11"/>
      <c r="O2313" s="13"/>
      <c r="P2313" s="14"/>
      <c r="Q2313" s="13"/>
      <c r="R2313" s="13"/>
      <c r="S2313" s="15"/>
      <c r="T2313" s="16"/>
      <c r="U2313" s="16"/>
      <c r="V2313" s="16"/>
      <c r="W2313" s="16"/>
      <c r="X2313" s="16"/>
      <c r="Y2313" s="11"/>
      <c r="Z2313" s="11"/>
      <c r="AA2313" s="11"/>
      <c r="AB2313" s="11"/>
      <c r="AC2313" s="11"/>
      <c r="AD2313" s="11"/>
    </row>
    <row r="2314">
      <c r="A2314" s="10"/>
      <c r="B2314" s="10"/>
      <c r="C2314" s="10"/>
      <c r="D2314" s="10"/>
      <c r="E2314" s="10"/>
      <c r="F2314" s="11"/>
      <c r="G2314" s="11"/>
      <c r="H2314" s="11"/>
      <c r="I2314" s="11"/>
      <c r="J2314" s="11"/>
      <c r="K2314" s="11"/>
      <c r="L2314" s="12"/>
      <c r="M2314" s="11"/>
      <c r="N2314" s="11"/>
      <c r="O2314" s="13"/>
      <c r="P2314" s="14"/>
      <c r="Q2314" s="13"/>
      <c r="R2314" s="13"/>
      <c r="S2314" s="15"/>
      <c r="T2314" s="16"/>
      <c r="U2314" s="16"/>
      <c r="V2314" s="16"/>
      <c r="W2314" s="16"/>
      <c r="X2314" s="16"/>
      <c r="Y2314" s="11"/>
      <c r="Z2314" s="11"/>
      <c r="AA2314" s="11"/>
      <c r="AB2314" s="11"/>
      <c r="AC2314" s="11"/>
      <c r="AD2314" s="11"/>
    </row>
    <row r="2315">
      <c r="A2315" s="10"/>
      <c r="B2315" s="10"/>
      <c r="C2315" s="10"/>
      <c r="D2315" s="10"/>
      <c r="E2315" s="10"/>
      <c r="F2315" s="11"/>
      <c r="G2315" s="11"/>
      <c r="H2315" s="11"/>
      <c r="I2315" s="11"/>
      <c r="J2315" s="11"/>
      <c r="K2315" s="11"/>
      <c r="L2315" s="12"/>
      <c r="M2315" s="11"/>
      <c r="N2315" s="11"/>
      <c r="O2315" s="13"/>
      <c r="P2315" s="14"/>
      <c r="Q2315" s="13"/>
      <c r="R2315" s="13"/>
      <c r="S2315" s="15"/>
      <c r="T2315" s="16"/>
      <c r="U2315" s="16"/>
      <c r="V2315" s="16"/>
      <c r="W2315" s="16"/>
      <c r="X2315" s="16"/>
      <c r="Y2315" s="11"/>
      <c r="Z2315" s="11"/>
      <c r="AA2315" s="11"/>
      <c r="AB2315" s="11"/>
      <c r="AC2315" s="11"/>
      <c r="AD2315" s="11"/>
    </row>
    <row r="2316">
      <c r="A2316" s="10"/>
      <c r="B2316" s="10"/>
      <c r="C2316" s="10"/>
      <c r="D2316" s="10"/>
      <c r="E2316" s="10"/>
      <c r="F2316" s="11"/>
      <c r="G2316" s="11"/>
      <c r="H2316" s="11"/>
      <c r="I2316" s="11"/>
      <c r="J2316" s="11"/>
      <c r="K2316" s="11"/>
      <c r="L2316" s="12"/>
      <c r="M2316" s="11"/>
      <c r="N2316" s="11"/>
      <c r="O2316" s="13"/>
      <c r="P2316" s="14"/>
      <c r="Q2316" s="13"/>
      <c r="R2316" s="13"/>
      <c r="S2316" s="15"/>
      <c r="T2316" s="16"/>
      <c r="U2316" s="16"/>
      <c r="V2316" s="16"/>
      <c r="W2316" s="16"/>
      <c r="X2316" s="16"/>
      <c r="Y2316" s="11"/>
      <c r="Z2316" s="11"/>
      <c r="AA2316" s="11"/>
      <c r="AB2316" s="11"/>
      <c r="AC2316" s="11"/>
      <c r="AD2316" s="11"/>
    </row>
    <row r="2317">
      <c r="A2317" s="10"/>
      <c r="B2317" s="10"/>
      <c r="C2317" s="10"/>
      <c r="D2317" s="10"/>
      <c r="E2317" s="10"/>
      <c r="F2317" s="11"/>
      <c r="G2317" s="11"/>
      <c r="H2317" s="11"/>
      <c r="I2317" s="11"/>
      <c r="J2317" s="11"/>
      <c r="K2317" s="11"/>
      <c r="L2317" s="12"/>
      <c r="M2317" s="11"/>
      <c r="N2317" s="11"/>
      <c r="O2317" s="13"/>
      <c r="P2317" s="14"/>
      <c r="Q2317" s="13"/>
      <c r="R2317" s="13"/>
      <c r="S2317" s="15"/>
      <c r="T2317" s="16"/>
      <c r="U2317" s="16"/>
      <c r="V2317" s="16"/>
      <c r="W2317" s="16"/>
      <c r="X2317" s="16"/>
      <c r="Y2317" s="11"/>
      <c r="Z2317" s="11"/>
      <c r="AA2317" s="11"/>
      <c r="AB2317" s="11"/>
      <c r="AC2317" s="11"/>
      <c r="AD2317" s="11"/>
    </row>
    <row r="2318">
      <c r="A2318" s="10"/>
      <c r="B2318" s="10"/>
      <c r="C2318" s="10"/>
      <c r="D2318" s="10"/>
      <c r="E2318" s="10"/>
      <c r="F2318" s="11"/>
      <c r="G2318" s="11"/>
      <c r="H2318" s="11"/>
      <c r="I2318" s="11"/>
      <c r="J2318" s="11"/>
      <c r="K2318" s="11"/>
      <c r="L2318" s="12"/>
      <c r="M2318" s="11"/>
      <c r="N2318" s="11"/>
      <c r="O2318" s="13"/>
      <c r="P2318" s="14"/>
      <c r="Q2318" s="13"/>
      <c r="R2318" s="13"/>
      <c r="S2318" s="15"/>
      <c r="T2318" s="16"/>
      <c r="U2318" s="16"/>
      <c r="V2318" s="16"/>
      <c r="W2318" s="16"/>
      <c r="X2318" s="16"/>
      <c r="Y2318" s="11"/>
      <c r="Z2318" s="11"/>
      <c r="AA2318" s="11"/>
      <c r="AB2318" s="11"/>
      <c r="AC2318" s="11"/>
      <c r="AD2318" s="11"/>
    </row>
    <row r="2319">
      <c r="A2319" s="10"/>
      <c r="B2319" s="10"/>
      <c r="C2319" s="10"/>
      <c r="D2319" s="10"/>
      <c r="E2319" s="10"/>
      <c r="F2319" s="11"/>
      <c r="G2319" s="11"/>
      <c r="H2319" s="11"/>
      <c r="I2319" s="11"/>
      <c r="J2319" s="11"/>
      <c r="K2319" s="11"/>
      <c r="L2319" s="12"/>
      <c r="M2319" s="11"/>
      <c r="N2319" s="11"/>
      <c r="O2319" s="13"/>
      <c r="P2319" s="14"/>
      <c r="Q2319" s="13"/>
      <c r="R2319" s="13"/>
      <c r="S2319" s="15"/>
      <c r="T2319" s="16"/>
      <c r="U2319" s="16"/>
      <c r="V2319" s="16"/>
      <c r="W2319" s="16"/>
      <c r="X2319" s="16"/>
      <c r="Y2319" s="11"/>
      <c r="Z2319" s="11"/>
      <c r="AA2319" s="11"/>
      <c r="AB2319" s="11"/>
      <c r="AC2319" s="11"/>
      <c r="AD2319" s="11"/>
    </row>
    <row r="2320">
      <c r="A2320" s="10"/>
      <c r="B2320" s="10"/>
      <c r="C2320" s="10"/>
      <c r="D2320" s="10"/>
      <c r="E2320" s="10"/>
      <c r="F2320" s="11"/>
      <c r="G2320" s="11"/>
      <c r="H2320" s="11"/>
      <c r="I2320" s="11"/>
      <c r="J2320" s="11"/>
      <c r="K2320" s="11"/>
      <c r="L2320" s="12"/>
      <c r="M2320" s="11"/>
      <c r="N2320" s="11"/>
      <c r="O2320" s="13"/>
      <c r="P2320" s="14"/>
      <c r="Q2320" s="13"/>
      <c r="R2320" s="13"/>
      <c r="S2320" s="15"/>
      <c r="T2320" s="16"/>
      <c r="U2320" s="16"/>
      <c r="V2320" s="16"/>
      <c r="W2320" s="16"/>
      <c r="X2320" s="16"/>
      <c r="Y2320" s="11"/>
      <c r="Z2320" s="11"/>
      <c r="AA2320" s="11"/>
      <c r="AB2320" s="11"/>
      <c r="AC2320" s="11"/>
      <c r="AD2320" s="11"/>
    </row>
    <row r="2321">
      <c r="A2321" s="10"/>
      <c r="B2321" s="10"/>
      <c r="C2321" s="10"/>
      <c r="D2321" s="10"/>
      <c r="E2321" s="10"/>
      <c r="F2321" s="11"/>
      <c r="G2321" s="11"/>
      <c r="H2321" s="11"/>
      <c r="I2321" s="11"/>
      <c r="J2321" s="11"/>
      <c r="K2321" s="11"/>
      <c r="L2321" s="12"/>
      <c r="M2321" s="11"/>
      <c r="N2321" s="11"/>
      <c r="O2321" s="13"/>
      <c r="P2321" s="14"/>
      <c r="Q2321" s="13"/>
      <c r="R2321" s="13"/>
      <c r="S2321" s="15"/>
      <c r="T2321" s="16"/>
      <c r="U2321" s="16"/>
      <c r="V2321" s="16"/>
      <c r="W2321" s="16"/>
      <c r="X2321" s="16"/>
      <c r="Y2321" s="11"/>
      <c r="Z2321" s="11"/>
      <c r="AA2321" s="11"/>
      <c r="AB2321" s="11"/>
      <c r="AC2321" s="11"/>
      <c r="AD2321" s="11"/>
    </row>
    <row r="2322">
      <c r="A2322" s="10"/>
      <c r="B2322" s="10"/>
      <c r="C2322" s="10"/>
      <c r="D2322" s="10"/>
      <c r="E2322" s="10"/>
      <c r="F2322" s="11"/>
      <c r="G2322" s="11"/>
      <c r="H2322" s="11"/>
      <c r="I2322" s="11"/>
      <c r="J2322" s="11"/>
      <c r="K2322" s="11"/>
      <c r="L2322" s="12"/>
      <c r="M2322" s="11"/>
      <c r="N2322" s="11"/>
      <c r="O2322" s="13"/>
      <c r="P2322" s="14"/>
      <c r="Q2322" s="13"/>
      <c r="R2322" s="13"/>
      <c r="S2322" s="15"/>
      <c r="T2322" s="16"/>
      <c r="U2322" s="16"/>
      <c r="V2322" s="16"/>
      <c r="W2322" s="16"/>
      <c r="X2322" s="16"/>
      <c r="Y2322" s="11"/>
      <c r="Z2322" s="11"/>
      <c r="AA2322" s="11"/>
      <c r="AB2322" s="11"/>
      <c r="AC2322" s="11"/>
      <c r="AD2322" s="11"/>
    </row>
    <row r="2323">
      <c r="A2323" s="10"/>
      <c r="B2323" s="10"/>
      <c r="C2323" s="10"/>
      <c r="D2323" s="10"/>
      <c r="E2323" s="10"/>
      <c r="F2323" s="11"/>
      <c r="G2323" s="11"/>
      <c r="H2323" s="11"/>
      <c r="I2323" s="11"/>
      <c r="J2323" s="11"/>
      <c r="K2323" s="11"/>
      <c r="L2323" s="12"/>
      <c r="M2323" s="11"/>
      <c r="N2323" s="11"/>
      <c r="O2323" s="13"/>
      <c r="P2323" s="14"/>
      <c r="Q2323" s="13"/>
      <c r="R2323" s="13"/>
      <c r="S2323" s="15"/>
      <c r="T2323" s="16"/>
      <c r="U2323" s="16"/>
      <c r="V2323" s="16"/>
      <c r="W2323" s="16"/>
      <c r="X2323" s="16"/>
      <c r="Y2323" s="11"/>
      <c r="Z2323" s="11"/>
      <c r="AA2323" s="11"/>
      <c r="AB2323" s="11"/>
      <c r="AC2323" s="11"/>
      <c r="AD2323" s="11"/>
    </row>
    <row r="2324">
      <c r="A2324" s="10"/>
      <c r="B2324" s="10"/>
      <c r="C2324" s="10"/>
      <c r="D2324" s="10"/>
      <c r="E2324" s="10"/>
      <c r="F2324" s="11"/>
      <c r="G2324" s="11"/>
      <c r="H2324" s="11"/>
      <c r="I2324" s="11"/>
      <c r="J2324" s="11"/>
      <c r="K2324" s="11"/>
      <c r="L2324" s="12"/>
      <c r="M2324" s="11"/>
      <c r="N2324" s="11"/>
      <c r="O2324" s="13"/>
      <c r="P2324" s="14"/>
      <c r="Q2324" s="13"/>
      <c r="R2324" s="13"/>
      <c r="S2324" s="15"/>
      <c r="T2324" s="16"/>
      <c r="U2324" s="16"/>
      <c r="V2324" s="16"/>
      <c r="W2324" s="16"/>
      <c r="X2324" s="16"/>
      <c r="Y2324" s="11"/>
      <c r="Z2324" s="11"/>
      <c r="AA2324" s="11"/>
      <c r="AB2324" s="11"/>
      <c r="AC2324" s="11"/>
      <c r="AD2324" s="11"/>
    </row>
    <row r="2325">
      <c r="A2325" s="10"/>
      <c r="B2325" s="10"/>
      <c r="C2325" s="10"/>
      <c r="D2325" s="10"/>
      <c r="E2325" s="10"/>
      <c r="F2325" s="11"/>
      <c r="G2325" s="11"/>
      <c r="H2325" s="11"/>
      <c r="I2325" s="11"/>
      <c r="J2325" s="11"/>
      <c r="K2325" s="11"/>
      <c r="L2325" s="12"/>
      <c r="M2325" s="11"/>
      <c r="N2325" s="11"/>
      <c r="O2325" s="13"/>
      <c r="P2325" s="14"/>
      <c r="Q2325" s="13"/>
      <c r="R2325" s="13"/>
      <c r="S2325" s="15"/>
      <c r="T2325" s="16"/>
      <c r="U2325" s="16"/>
      <c r="V2325" s="16"/>
      <c r="W2325" s="16"/>
      <c r="X2325" s="16"/>
      <c r="Y2325" s="11"/>
      <c r="Z2325" s="11"/>
      <c r="AA2325" s="11"/>
      <c r="AB2325" s="11"/>
      <c r="AC2325" s="11"/>
      <c r="AD2325" s="11"/>
    </row>
    <row r="2326">
      <c r="A2326" s="10"/>
      <c r="B2326" s="10"/>
      <c r="C2326" s="10"/>
      <c r="D2326" s="10"/>
      <c r="E2326" s="10"/>
      <c r="F2326" s="11"/>
      <c r="G2326" s="11"/>
      <c r="H2326" s="11"/>
      <c r="I2326" s="11"/>
      <c r="J2326" s="11"/>
      <c r="K2326" s="11"/>
      <c r="L2326" s="12"/>
      <c r="M2326" s="11"/>
      <c r="N2326" s="11"/>
      <c r="O2326" s="13"/>
      <c r="P2326" s="14"/>
      <c r="Q2326" s="13"/>
      <c r="R2326" s="13"/>
      <c r="S2326" s="15"/>
      <c r="T2326" s="16"/>
      <c r="U2326" s="16"/>
      <c r="V2326" s="16"/>
      <c r="W2326" s="16"/>
      <c r="X2326" s="16"/>
      <c r="Y2326" s="11"/>
      <c r="Z2326" s="11"/>
      <c r="AA2326" s="11"/>
      <c r="AB2326" s="11"/>
      <c r="AC2326" s="11"/>
      <c r="AD2326" s="11"/>
    </row>
    <row r="2327">
      <c r="A2327" s="10"/>
      <c r="B2327" s="10"/>
      <c r="C2327" s="10"/>
      <c r="D2327" s="10"/>
      <c r="E2327" s="10"/>
      <c r="F2327" s="11"/>
      <c r="G2327" s="11"/>
      <c r="H2327" s="11"/>
      <c r="I2327" s="11"/>
      <c r="J2327" s="11"/>
      <c r="K2327" s="11"/>
      <c r="L2327" s="12"/>
      <c r="M2327" s="11"/>
      <c r="N2327" s="11"/>
      <c r="O2327" s="13"/>
      <c r="P2327" s="14"/>
      <c r="Q2327" s="13"/>
      <c r="R2327" s="13"/>
      <c r="S2327" s="15"/>
      <c r="T2327" s="16"/>
      <c r="U2327" s="16"/>
      <c r="V2327" s="16"/>
      <c r="W2327" s="16"/>
      <c r="X2327" s="16"/>
      <c r="Y2327" s="11"/>
      <c r="Z2327" s="11"/>
      <c r="AA2327" s="11"/>
      <c r="AB2327" s="11"/>
      <c r="AC2327" s="11"/>
      <c r="AD2327" s="11"/>
    </row>
    <row r="2328">
      <c r="A2328" s="10"/>
      <c r="B2328" s="10"/>
      <c r="C2328" s="10"/>
      <c r="D2328" s="10"/>
      <c r="E2328" s="10"/>
      <c r="F2328" s="11"/>
      <c r="G2328" s="11"/>
      <c r="H2328" s="11"/>
      <c r="I2328" s="11"/>
      <c r="J2328" s="11"/>
      <c r="K2328" s="11"/>
      <c r="L2328" s="12"/>
      <c r="M2328" s="11"/>
      <c r="N2328" s="11"/>
      <c r="O2328" s="13"/>
      <c r="P2328" s="14"/>
      <c r="Q2328" s="13"/>
      <c r="R2328" s="13"/>
      <c r="S2328" s="15"/>
      <c r="T2328" s="16"/>
      <c r="U2328" s="16"/>
      <c r="V2328" s="16"/>
      <c r="W2328" s="16"/>
      <c r="X2328" s="16"/>
      <c r="Y2328" s="11"/>
      <c r="Z2328" s="11"/>
      <c r="AA2328" s="11"/>
      <c r="AB2328" s="11"/>
      <c r="AC2328" s="11"/>
      <c r="AD2328" s="11"/>
    </row>
    <row r="2329">
      <c r="A2329" s="10"/>
      <c r="B2329" s="10"/>
      <c r="C2329" s="10"/>
      <c r="D2329" s="10"/>
      <c r="E2329" s="10"/>
      <c r="F2329" s="11"/>
      <c r="G2329" s="11"/>
      <c r="H2329" s="11"/>
      <c r="I2329" s="11"/>
      <c r="J2329" s="11"/>
      <c r="K2329" s="11"/>
      <c r="L2329" s="12"/>
      <c r="M2329" s="11"/>
      <c r="N2329" s="11"/>
      <c r="O2329" s="13"/>
      <c r="P2329" s="14"/>
      <c r="Q2329" s="13"/>
      <c r="R2329" s="13"/>
      <c r="S2329" s="15"/>
      <c r="T2329" s="16"/>
      <c r="U2329" s="16"/>
      <c r="V2329" s="16"/>
      <c r="W2329" s="16"/>
      <c r="X2329" s="16"/>
      <c r="Y2329" s="11"/>
      <c r="Z2329" s="11"/>
      <c r="AA2329" s="11"/>
      <c r="AB2329" s="11"/>
      <c r="AC2329" s="11"/>
      <c r="AD2329" s="11"/>
    </row>
    <row r="2330">
      <c r="A2330" s="10"/>
      <c r="B2330" s="10"/>
      <c r="C2330" s="10"/>
      <c r="D2330" s="10"/>
      <c r="E2330" s="10"/>
      <c r="F2330" s="11"/>
      <c r="G2330" s="11"/>
      <c r="H2330" s="11"/>
      <c r="I2330" s="11"/>
      <c r="J2330" s="11"/>
      <c r="K2330" s="11"/>
      <c r="L2330" s="12"/>
      <c r="M2330" s="11"/>
      <c r="N2330" s="11"/>
      <c r="O2330" s="13"/>
      <c r="P2330" s="14"/>
      <c r="Q2330" s="13"/>
      <c r="R2330" s="13"/>
      <c r="S2330" s="15"/>
      <c r="T2330" s="16"/>
      <c r="U2330" s="16"/>
      <c r="V2330" s="16"/>
      <c r="W2330" s="16"/>
      <c r="X2330" s="16"/>
      <c r="Y2330" s="11"/>
      <c r="Z2330" s="11"/>
      <c r="AA2330" s="11"/>
      <c r="AB2330" s="11"/>
      <c r="AC2330" s="11"/>
      <c r="AD2330" s="11"/>
    </row>
    <row r="2331">
      <c r="A2331" s="10"/>
      <c r="B2331" s="10"/>
      <c r="C2331" s="10"/>
      <c r="D2331" s="10"/>
      <c r="E2331" s="10"/>
      <c r="F2331" s="11"/>
      <c r="G2331" s="11"/>
      <c r="H2331" s="11"/>
      <c r="I2331" s="11"/>
      <c r="J2331" s="11"/>
      <c r="K2331" s="11"/>
      <c r="L2331" s="12"/>
      <c r="M2331" s="11"/>
      <c r="N2331" s="11"/>
      <c r="O2331" s="13"/>
      <c r="P2331" s="14"/>
      <c r="Q2331" s="13"/>
      <c r="R2331" s="13"/>
      <c r="S2331" s="15"/>
      <c r="T2331" s="16"/>
      <c r="U2331" s="16"/>
      <c r="V2331" s="16"/>
      <c r="W2331" s="16"/>
      <c r="X2331" s="16"/>
      <c r="Y2331" s="11"/>
      <c r="Z2331" s="11"/>
      <c r="AA2331" s="11"/>
      <c r="AB2331" s="11"/>
      <c r="AC2331" s="11"/>
      <c r="AD2331" s="11"/>
    </row>
    <row r="2332">
      <c r="A2332" s="10"/>
      <c r="B2332" s="10"/>
      <c r="C2332" s="10"/>
      <c r="D2332" s="10"/>
      <c r="E2332" s="10"/>
      <c r="F2332" s="11"/>
      <c r="G2332" s="11"/>
      <c r="H2332" s="11"/>
      <c r="I2332" s="11"/>
      <c r="J2332" s="11"/>
      <c r="K2332" s="11"/>
      <c r="L2332" s="12"/>
      <c r="M2332" s="11"/>
      <c r="N2332" s="11"/>
      <c r="O2332" s="13"/>
      <c r="P2332" s="14"/>
      <c r="Q2332" s="13"/>
      <c r="R2332" s="13"/>
      <c r="S2332" s="15"/>
      <c r="T2332" s="16"/>
      <c r="U2332" s="16"/>
      <c r="V2332" s="16"/>
      <c r="W2332" s="16"/>
      <c r="X2332" s="16"/>
      <c r="Y2332" s="11"/>
      <c r="Z2332" s="11"/>
      <c r="AA2332" s="11"/>
      <c r="AB2332" s="11"/>
      <c r="AC2332" s="11"/>
      <c r="AD2332" s="11"/>
    </row>
    <row r="2333">
      <c r="A2333" s="10"/>
      <c r="B2333" s="10"/>
      <c r="C2333" s="10"/>
      <c r="D2333" s="10"/>
      <c r="E2333" s="10"/>
      <c r="F2333" s="11"/>
      <c r="G2333" s="11"/>
      <c r="H2333" s="11"/>
      <c r="I2333" s="11"/>
      <c r="J2333" s="11"/>
      <c r="K2333" s="11"/>
      <c r="L2333" s="12"/>
      <c r="M2333" s="11"/>
      <c r="N2333" s="11"/>
      <c r="O2333" s="13"/>
      <c r="P2333" s="14"/>
      <c r="Q2333" s="13"/>
      <c r="R2333" s="13"/>
      <c r="S2333" s="15"/>
      <c r="T2333" s="16"/>
      <c r="U2333" s="16"/>
      <c r="V2333" s="16"/>
      <c r="W2333" s="16"/>
      <c r="X2333" s="16"/>
      <c r="Y2333" s="11"/>
      <c r="Z2333" s="11"/>
      <c r="AA2333" s="11"/>
      <c r="AB2333" s="11"/>
      <c r="AC2333" s="11"/>
      <c r="AD2333" s="11"/>
    </row>
    <row r="2334">
      <c r="A2334" s="10"/>
      <c r="B2334" s="10"/>
      <c r="C2334" s="10"/>
      <c r="D2334" s="10"/>
      <c r="E2334" s="10"/>
      <c r="F2334" s="11"/>
      <c r="G2334" s="11"/>
      <c r="H2334" s="11"/>
      <c r="I2334" s="11"/>
      <c r="J2334" s="11"/>
      <c r="K2334" s="11"/>
      <c r="L2334" s="12"/>
      <c r="M2334" s="11"/>
      <c r="N2334" s="11"/>
      <c r="O2334" s="13"/>
      <c r="P2334" s="14"/>
      <c r="Q2334" s="13"/>
      <c r="R2334" s="13"/>
      <c r="S2334" s="15"/>
      <c r="T2334" s="16"/>
      <c r="U2334" s="16"/>
      <c r="V2334" s="16"/>
      <c r="W2334" s="16"/>
      <c r="X2334" s="16"/>
      <c r="Y2334" s="11"/>
      <c r="Z2334" s="11"/>
      <c r="AA2334" s="11"/>
      <c r="AB2334" s="11"/>
      <c r="AC2334" s="11"/>
      <c r="AD2334" s="11"/>
    </row>
    <row r="2335">
      <c r="A2335" s="10"/>
      <c r="B2335" s="10"/>
      <c r="C2335" s="10"/>
      <c r="D2335" s="10"/>
      <c r="E2335" s="10"/>
      <c r="F2335" s="11"/>
      <c r="G2335" s="11"/>
      <c r="H2335" s="11"/>
      <c r="I2335" s="11"/>
      <c r="J2335" s="11"/>
      <c r="K2335" s="11"/>
      <c r="L2335" s="12"/>
      <c r="M2335" s="11"/>
      <c r="N2335" s="11"/>
      <c r="O2335" s="13"/>
      <c r="P2335" s="14"/>
      <c r="Q2335" s="13"/>
      <c r="R2335" s="13"/>
      <c r="S2335" s="15"/>
      <c r="T2335" s="16"/>
      <c r="U2335" s="16"/>
      <c r="V2335" s="16"/>
      <c r="W2335" s="16"/>
      <c r="X2335" s="16"/>
      <c r="Y2335" s="11"/>
      <c r="Z2335" s="11"/>
      <c r="AA2335" s="11"/>
      <c r="AB2335" s="11"/>
      <c r="AC2335" s="11"/>
      <c r="AD2335" s="11"/>
    </row>
    <row r="2336">
      <c r="A2336" s="10"/>
      <c r="B2336" s="10"/>
      <c r="C2336" s="10"/>
      <c r="D2336" s="10"/>
      <c r="E2336" s="10"/>
      <c r="F2336" s="11"/>
      <c r="G2336" s="11"/>
      <c r="H2336" s="11"/>
      <c r="I2336" s="11"/>
      <c r="J2336" s="11"/>
      <c r="K2336" s="11"/>
      <c r="L2336" s="12"/>
      <c r="M2336" s="11"/>
      <c r="N2336" s="11"/>
      <c r="O2336" s="13"/>
      <c r="P2336" s="14"/>
      <c r="Q2336" s="13"/>
      <c r="R2336" s="13"/>
      <c r="S2336" s="15"/>
      <c r="T2336" s="16"/>
      <c r="U2336" s="16"/>
      <c r="V2336" s="16"/>
      <c r="W2336" s="16"/>
      <c r="X2336" s="16"/>
      <c r="Y2336" s="11"/>
      <c r="Z2336" s="11"/>
      <c r="AA2336" s="11"/>
      <c r="AB2336" s="11"/>
      <c r="AC2336" s="11"/>
      <c r="AD2336" s="11"/>
    </row>
    <row r="2337">
      <c r="A2337" s="10"/>
      <c r="B2337" s="10"/>
      <c r="C2337" s="10"/>
      <c r="D2337" s="10"/>
      <c r="E2337" s="10"/>
      <c r="F2337" s="11"/>
      <c r="G2337" s="11"/>
      <c r="H2337" s="11"/>
      <c r="I2337" s="11"/>
      <c r="J2337" s="11"/>
      <c r="K2337" s="11"/>
      <c r="L2337" s="12"/>
      <c r="M2337" s="11"/>
      <c r="N2337" s="11"/>
      <c r="O2337" s="13"/>
      <c r="P2337" s="14"/>
      <c r="Q2337" s="13"/>
      <c r="R2337" s="13"/>
      <c r="S2337" s="15"/>
      <c r="T2337" s="16"/>
      <c r="U2337" s="16"/>
      <c r="V2337" s="16"/>
      <c r="W2337" s="16"/>
      <c r="X2337" s="16"/>
      <c r="Y2337" s="11"/>
      <c r="Z2337" s="11"/>
      <c r="AA2337" s="11"/>
      <c r="AB2337" s="11"/>
      <c r="AC2337" s="11"/>
      <c r="AD2337" s="11"/>
    </row>
    <row r="2338">
      <c r="A2338" s="10"/>
      <c r="B2338" s="10"/>
      <c r="C2338" s="10"/>
      <c r="D2338" s="10"/>
      <c r="E2338" s="10"/>
      <c r="F2338" s="11"/>
      <c r="G2338" s="11"/>
      <c r="H2338" s="11"/>
      <c r="I2338" s="11"/>
      <c r="J2338" s="11"/>
      <c r="K2338" s="11"/>
      <c r="L2338" s="12"/>
      <c r="M2338" s="11"/>
      <c r="N2338" s="11"/>
      <c r="O2338" s="13"/>
      <c r="P2338" s="14"/>
      <c r="Q2338" s="13"/>
      <c r="R2338" s="13"/>
      <c r="S2338" s="15"/>
      <c r="T2338" s="16"/>
      <c r="U2338" s="16"/>
      <c r="V2338" s="16"/>
      <c r="W2338" s="16"/>
      <c r="X2338" s="16"/>
      <c r="Y2338" s="11"/>
      <c r="Z2338" s="11"/>
      <c r="AA2338" s="11"/>
      <c r="AB2338" s="11"/>
      <c r="AC2338" s="11"/>
      <c r="AD2338" s="11"/>
    </row>
    <row r="2339">
      <c r="A2339" s="10"/>
      <c r="B2339" s="10"/>
      <c r="C2339" s="10"/>
      <c r="D2339" s="10"/>
      <c r="E2339" s="10"/>
      <c r="F2339" s="11"/>
      <c r="G2339" s="11"/>
      <c r="H2339" s="11"/>
      <c r="I2339" s="11"/>
      <c r="J2339" s="11"/>
      <c r="K2339" s="11"/>
      <c r="L2339" s="12"/>
      <c r="M2339" s="11"/>
      <c r="N2339" s="11"/>
      <c r="O2339" s="13"/>
      <c r="P2339" s="14"/>
      <c r="Q2339" s="13"/>
      <c r="R2339" s="13"/>
      <c r="S2339" s="15"/>
      <c r="T2339" s="16"/>
      <c r="U2339" s="16"/>
      <c r="V2339" s="16"/>
      <c r="W2339" s="16"/>
      <c r="X2339" s="16"/>
      <c r="Y2339" s="11"/>
      <c r="Z2339" s="11"/>
      <c r="AA2339" s="11"/>
      <c r="AB2339" s="11"/>
      <c r="AC2339" s="11"/>
      <c r="AD2339" s="11"/>
    </row>
    <row r="2340">
      <c r="A2340" s="10"/>
      <c r="B2340" s="10"/>
      <c r="C2340" s="10"/>
      <c r="D2340" s="10"/>
      <c r="E2340" s="10"/>
      <c r="F2340" s="11"/>
      <c r="G2340" s="11"/>
      <c r="H2340" s="11"/>
      <c r="I2340" s="11"/>
      <c r="J2340" s="11"/>
      <c r="K2340" s="11"/>
      <c r="L2340" s="12"/>
      <c r="M2340" s="11"/>
      <c r="N2340" s="11"/>
      <c r="O2340" s="13"/>
      <c r="P2340" s="14"/>
      <c r="Q2340" s="13"/>
      <c r="R2340" s="13"/>
      <c r="S2340" s="15"/>
      <c r="T2340" s="16"/>
      <c r="U2340" s="16"/>
      <c r="V2340" s="16"/>
      <c r="W2340" s="16"/>
      <c r="X2340" s="16"/>
      <c r="Y2340" s="11"/>
      <c r="Z2340" s="11"/>
      <c r="AA2340" s="11"/>
      <c r="AB2340" s="11"/>
      <c r="AC2340" s="11"/>
      <c r="AD2340" s="11"/>
    </row>
    <row r="2341">
      <c r="A2341" s="10"/>
      <c r="B2341" s="10"/>
      <c r="C2341" s="10"/>
      <c r="D2341" s="10"/>
      <c r="E2341" s="10"/>
      <c r="F2341" s="11"/>
      <c r="G2341" s="11"/>
      <c r="H2341" s="11"/>
      <c r="I2341" s="11"/>
      <c r="J2341" s="11"/>
      <c r="K2341" s="11"/>
      <c r="L2341" s="12"/>
      <c r="M2341" s="11"/>
      <c r="N2341" s="11"/>
      <c r="O2341" s="13"/>
      <c r="P2341" s="14"/>
      <c r="Q2341" s="13"/>
      <c r="R2341" s="13"/>
      <c r="S2341" s="15"/>
      <c r="T2341" s="16"/>
      <c r="U2341" s="16"/>
      <c r="V2341" s="16"/>
      <c r="W2341" s="16"/>
      <c r="X2341" s="16"/>
      <c r="Y2341" s="11"/>
      <c r="Z2341" s="11"/>
      <c r="AA2341" s="11"/>
      <c r="AB2341" s="11"/>
      <c r="AC2341" s="11"/>
      <c r="AD2341" s="11"/>
    </row>
    <row r="2342">
      <c r="A2342" s="10"/>
      <c r="B2342" s="10"/>
      <c r="C2342" s="10"/>
      <c r="D2342" s="10"/>
      <c r="E2342" s="10"/>
      <c r="F2342" s="11"/>
      <c r="G2342" s="11"/>
      <c r="H2342" s="11"/>
      <c r="I2342" s="11"/>
      <c r="J2342" s="11"/>
      <c r="K2342" s="11"/>
      <c r="L2342" s="12"/>
      <c r="M2342" s="11"/>
      <c r="N2342" s="11"/>
      <c r="O2342" s="13"/>
      <c r="P2342" s="14"/>
      <c r="Q2342" s="13"/>
      <c r="R2342" s="13"/>
      <c r="S2342" s="15"/>
      <c r="T2342" s="16"/>
      <c r="U2342" s="16"/>
      <c r="V2342" s="16"/>
      <c r="W2342" s="16"/>
      <c r="X2342" s="16"/>
      <c r="Y2342" s="11"/>
      <c r="Z2342" s="11"/>
      <c r="AA2342" s="11"/>
      <c r="AB2342" s="11"/>
      <c r="AC2342" s="11"/>
      <c r="AD2342" s="11"/>
    </row>
    <row r="2343">
      <c r="A2343" s="10"/>
      <c r="B2343" s="10"/>
      <c r="C2343" s="10"/>
      <c r="D2343" s="10"/>
      <c r="E2343" s="10"/>
      <c r="F2343" s="11"/>
      <c r="G2343" s="11"/>
      <c r="H2343" s="11"/>
      <c r="I2343" s="11"/>
      <c r="J2343" s="11"/>
      <c r="K2343" s="11"/>
      <c r="L2343" s="12"/>
      <c r="M2343" s="11"/>
      <c r="N2343" s="11"/>
      <c r="O2343" s="13"/>
      <c r="P2343" s="14"/>
      <c r="Q2343" s="13"/>
      <c r="R2343" s="13"/>
      <c r="S2343" s="15"/>
      <c r="T2343" s="16"/>
      <c r="U2343" s="16"/>
      <c r="V2343" s="16"/>
      <c r="W2343" s="16"/>
      <c r="X2343" s="16"/>
      <c r="Y2343" s="11"/>
      <c r="Z2343" s="11"/>
      <c r="AA2343" s="11"/>
      <c r="AB2343" s="11"/>
      <c r="AC2343" s="11"/>
      <c r="AD2343" s="11"/>
    </row>
    <row r="2344">
      <c r="A2344" s="10"/>
      <c r="B2344" s="10"/>
      <c r="C2344" s="10"/>
      <c r="D2344" s="10"/>
      <c r="E2344" s="10"/>
      <c r="F2344" s="11"/>
      <c r="G2344" s="11"/>
      <c r="H2344" s="11"/>
      <c r="I2344" s="11"/>
      <c r="J2344" s="11"/>
      <c r="K2344" s="11"/>
      <c r="L2344" s="12"/>
      <c r="M2344" s="11"/>
      <c r="N2344" s="11"/>
      <c r="O2344" s="13"/>
      <c r="P2344" s="14"/>
      <c r="Q2344" s="13"/>
      <c r="R2344" s="13"/>
      <c r="S2344" s="15"/>
      <c r="T2344" s="16"/>
      <c r="U2344" s="16"/>
      <c r="V2344" s="16"/>
      <c r="W2344" s="16"/>
      <c r="X2344" s="16"/>
      <c r="Y2344" s="11"/>
      <c r="Z2344" s="11"/>
      <c r="AA2344" s="11"/>
      <c r="AB2344" s="11"/>
      <c r="AC2344" s="11"/>
      <c r="AD2344" s="11"/>
    </row>
    <row r="2345">
      <c r="A2345" s="10"/>
      <c r="B2345" s="10"/>
      <c r="C2345" s="10"/>
      <c r="D2345" s="10"/>
      <c r="E2345" s="10"/>
      <c r="F2345" s="11"/>
      <c r="G2345" s="11"/>
      <c r="H2345" s="11"/>
      <c r="I2345" s="11"/>
      <c r="J2345" s="11"/>
      <c r="K2345" s="11"/>
      <c r="L2345" s="12"/>
      <c r="M2345" s="11"/>
      <c r="N2345" s="11"/>
      <c r="O2345" s="13"/>
      <c r="P2345" s="14"/>
      <c r="Q2345" s="13"/>
      <c r="R2345" s="13"/>
      <c r="S2345" s="15"/>
      <c r="T2345" s="16"/>
      <c r="U2345" s="16"/>
      <c r="V2345" s="16"/>
      <c r="W2345" s="16"/>
      <c r="X2345" s="16"/>
      <c r="Y2345" s="11"/>
      <c r="Z2345" s="11"/>
      <c r="AA2345" s="11"/>
      <c r="AB2345" s="11"/>
      <c r="AC2345" s="11"/>
      <c r="AD2345" s="11"/>
    </row>
    <row r="2346">
      <c r="A2346" s="10"/>
      <c r="B2346" s="10"/>
      <c r="C2346" s="10"/>
      <c r="D2346" s="10"/>
      <c r="E2346" s="10"/>
      <c r="F2346" s="11"/>
      <c r="G2346" s="11"/>
      <c r="H2346" s="11"/>
      <c r="I2346" s="11"/>
      <c r="J2346" s="11"/>
      <c r="K2346" s="11"/>
      <c r="L2346" s="12"/>
      <c r="M2346" s="11"/>
      <c r="N2346" s="11"/>
      <c r="O2346" s="13"/>
      <c r="P2346" s="14"/>
      <c r="Q2346" s="13"/>
      <c r="R2346" s="13"/>
      <c r="S2346" s="15"/>
      <c r="T2346" s="16"/>
      <c r="U2346" s="16"/>
      <c r="V2346" s="16"/>
      <c r="W2346" s="16"/>
      <c r="X2346" s="16"/>
      <c r="Y2346" s="11"/>
      <c r="Z2346" s="11"/>
      <c r="AA2346" s="11"/>
      <c r="AB2346" s="11"/>
      <c r="AC2346" s="11"/>
      <c r="AD2346" s="11"/>
    </row>
    <row r="2347">
      <c r="A2347" s="10"/>
      <c r="B2347" s="10"/>
      <c r="C2347" s="10"/>
      <c r="D2347" s="10"/>
      <c r="E2347" s="10"/>
      <c r="F2347" s="11"/>
      <c r="G2347" s="11"/>
      <c r="H2347" s="11"/>
      <c r="I2347" s="11"/>
      <c r="J2347" s="11"/>
      <c r="K2347" s="11"/>
      <c r="L2347" s="12"/>
      <c r="M2347" s="11"/>
      <c r="N2347" s="11"/>
      <c r="O2347" s="13"/>
      <c r="P2347" s="14"/>
      <c r="Q2347" s="13"/>
      <c r="R2347" s="13"/>
      <c r="S2347" s="15"/>
      <c r="T2347" s="16"/>
      <c r="U2347" s="16"/>
      <c r="V2347" s="16"/>
      <c r="W2347" s="16"/>
      <c r="X2347" s="16"/>
      <c r="Y2347" s="11"/>
      <c r="Z2347" s="11"/>
      <c r="AA2347" s="11"/>
      <c r="AB2347" s="11"/>
      <c r="AC2347" s="11"/>
      <c r="AD2347" s="11"/>
    </row>
    <row r="2348">
      <c r="A2348" s="10"/>
      <c r="B2348" s="10"/>
      <c r="C2348" s="10"/>
      <c r="D2348" s="10"/>
      <c r="E2348" s="10"/>
      <c r="F2348" s="11"/>
      <c r="G2348" s="11"/>
      <c r="H2348" s="11"/>
      <c r="I2348" s="11"/>
      <c r="J2348" s="11"/>
      <c r="K2348" s="11"/>
      <c r="L2348" s="12"/>
      <c r="M2348" s="11"/>
      <c r="N2348" s="11"/>
      <c r="O2348" s="13"/>
      <c r="P2348" s="14"/>
      <c r="Q2348" s="13"/>
      <c r="R2348" s="13"/>
      <c r="S2348" s="15"/>
      <c r="T2348" s="16"/>
      <c r="U2348" s="16"/>
      <c r="V2348" s="16"/>
      <c r="W2348" s="16"/>
      <c r="X2348" s="16"/>
      <c r="Y2348" s="11"/>
      <c r="Z2348" s="11"/>
      <c r="AA2348" s="11"/>
      <c r="AB2348" s="11"/>
      <c r="AC2348" s="11"/>
      <c r="AD2348" s="11"/>
    </row>
    <row r="2349">
      <c r="A2349" s="10"/>
      <c r="B2349" s="10"/>
      <c r="C2349" s="10"/>
      <c r="D2349" s="10"/>
      <c r="E2349" s="10"/>
      <c r="F2349" s="11"/>
      <c r="G2349" s="11"/>
      <c r="H2349" s="11"/>
      <c r="I2349" s="11"/>
      <c r="J2349" s="11"/>
      <c r="K2349" s="11"/>
      <c r="L2349" s="12"/>
      <c r="M2349" s="11"/>
      <c r="N2349" s="11"/>
      <c r="O2349" s="13"/>
      <c r="P2349" s="14"/>
      <c r="Q2349" s="13"/>
      <c r="R2349" s="13"/>
      <c r="S2349" s="15"/>
      <c r="T2349" s="16"/>
      <c r="U2349" s="16"/>
      <c r="V2349" s="16"/>
      <c r="W2349" s="16"/>
      <c r="X2349" s="16"/>
      <c r="Y2349" s="11"/>
      <c r="Z2349" s="11"/>
      <c r="AA2349" s="11"/>
      <c r="AB2349" s="11"/>
      <c r="AC2349" s="11"/>
      <c r="AD2349" s="11"/>
    </row>
    <row r="2350">
      <c r="A2350" s="10"/>
      <c r="B2350" s="10"/>
      <c r="C2350" s="10"/>
      <c r="D2350" s="10"/>
      <c r="E2350" s="10"/>
      <c r="F2350" s="11"/>
      <c r="G2350" s="11"/>
      <c r="H2350" s="11"/>
      <c r="I2350" s="11"/>
      <c r="J2350" s="11"/>
      <c r="K2350" s="11"/>
      <c r="L2350" s="12"/>
      <c r="M2350" s="11"/>
      <c r="N2350" s="11"/>
      <c r="O2350" s="13"/>
      <c r="P2350" s="14"/>
      <c r="Q2350" s="13"/>
      <c r="R2350" s="13"/>
      <c r="S2350" s="15"/>
      <c r="T2350" s="16"/>
      <c r="U2350" s="16"/>
      <c r="V2350" s="16"/>
      <c r="W2350" s="16"/>
      <c r="X2350" s="16"/>
      <c r="Y2350" s="11"/>
      <c r="Z2350" s="11"/>
      <c r="AA2350" s="11"/>
      <c r="AB2350" s="11"/>
      <c r="AC2350" s="11"/>
      <c r="AD2350" s="11"/>
    </row>
    <row r="2351">
      <c r="A2351" s="10"/>
      <c r="B2351" s="10"/>
      <c r="C2351" s="10"/>
      <c r="D2351" s="10"/>
      <c r="E2351" s="10"/>
      <c r="F2351" s="11"/>
      <c r="G2351" s="11"/>
      <c r="H2351" s="11"/>
      <c r="I2351" s="11"/>
      <c r="J2351" s="11"/>
      <c r="K2351" s="11"/>
      <c r="L2351" s="12"/>
      <c r="M2351" s="11"/>
      <c r="N2351" s="11"/>
      <c r="O2351" s="13"/>
      <c r="P2351" s="14"/>
      <c r="Q2351" s="13"/>
      <c r="R2351" s="13"/>
      <c r="S2351" s="15"/>
      <c r="T2351" s="16"/>
      <c r="U2351" s="16"/>
      <c r="V2351" s="16"/>
      <c r="W2351" s="16"/>
      <c r="X2351" s="16"/>
      <c r="Y2351" s="11"/>
      <c r="Z2351" s="11"/>
      <c r="AA2351" s="11"/>
      <c r="AB2351" s="11"/>
      <c r="AC2351" s="11"/>
      <c r="AD2351" s="11"/>
    </row>
    <row r="2352">
      <c r="A2352" s="10"/>
      <c r="B2352" s="10"/>
      <c r="C2352" s="10"/>
      <c r="D2352" s="10"/>
      <c r="E2352" s="10"/>
      <c r="F2352" s="11"/>
      <c r="G2352" s="11"/>
      <c r="H2352" s="11"/>
      <c r="I2352" s="11"/>
      <c r="J2352" s="11"/>
      <c r="K2352" s="11"/>
      <c r="L2352" s="12"/>
      <c r="M2352" s="11"/>
      <c r="N2352" s="11"/>
      <c r="O2352" s="13"/>
      <c r="P2352" s="14"/>
      <c r="Q2352" s="13"/>
      <c r="R2352" s="13"/>
      <c r="S2352" s="15"/>
      <c r="T2352" s="16"/>
      <c r="U2352" s="16"/>
      <c r="V2352" s="16"/>
      <c r="W2352" s="16"/>
      <c r="X2352" s="16"/>
      <c r="Y2352" s="11"/>
      <c r="Z2352" s="11"/>
      <c r="AA2352" s="11"/>
      <c r="AB2352" s="11"/>
      <c r="AC2352" s="11"/>
      <c r="AD2352" s="11"/>
    </row>
    <row r="2353">
      <c r="A2353" s="10"/>
      <c r="B2353" s="10"/>
      <c r="C2353" s="10"/>
      <c r="D2353" s="10"/>
      <c r="E2353" s="10"/>
      <c r="F2353" s="11"/>
      <c r="G2353" s="11"/>
      <c r="H2353" s="11"/>
      <c r="I2353" s="11"/>
      <c r="J2353" s="11"/>
      <c r="K2353" s="11"/>
      <c r="L2353" s="12"/>
      <c r="M2353" s="11"/>
      <c r="N2353" s="11"/>
      <c r="O2353" s="13"/>
      <c r="P2353" s="14"/>
      <c r="Q2353" s="13"/>
      <c r="R2353" s="13"/>
      <c r="S2353" s="15"/>
      <c r="T2353" s="16"/>
      <c r="U2353" s="16"/>
      <c r="V2353" s="16"/>
      <c r="W2353" s="16"/>
      <c r="X2353" s="16"/>
      <c r="Y2353" s="11"/>
      <c r="Z2353" s="11"/>
      <c r="AA2353" s="11"/>
      <c r="AB2353" s="11"/>
      <c r="AC2353" s="11"/>
      <c r="AD2353" s="11"/>
    </row>
    <row r="2354">
      <c r="A2354" s="10"/>
      <c r="B2354" s="10"/>
      <c r="C2354" s="10"/>
      <c r="D2354" s="10"/>
      <c r="E2354" s="10"/>
      <c r="F2354" s="11"/>
      <c r="G2354" s="11"/>
      <c r="H2354" s="11"/>
      <c r="I2354" s="11"/>
      <c r="J2354" s="11"/>
      <c r="K2354" s="11"/>
      <c r="L2354" s="12"/>
      <c r="M2354" s="11"/>
      <c r="N2354" s="11"/>
      <c r="O2354" s="13"/>
      <c r="P2354" s="14"/>
      <c r="Q2354" s="13"/>
      <c r="R2354" s="13"/>
      <c r="S2354" s="15"/>
      <c r="T2354" s="16"/>
      <c r="U2354" s="16"/>
      <c r="V2354" s="16"/>
      <c r="W2354" s="16"/>
      <c r="X2354" s="16"/>
      <c r="Y2354" s="11"/>
      <c r="Z2354" s="11"/>
      <c r="AA2354" s="11"/>
      <c r="AB2354" s="11"/>
      <c r="AC2354" s="11"/>
      <c r="AD2354" s="11"/>
    </row>
    <row r="2355">
      <c r="A2355" s="10"/>
      <c r="B2355" s="10"/>
      <c r="C2355" s="10"/>
      <c r="D2355" s="10"/>
      <c r="E2355" s="10"/>
      <c r="F2355" s="11"/>
      <c r="G2355" s="11"/>
      <c r="H2355" s="11"/>
      <c r="I2355" s="11"/>
      <c r="J2355" s="11"/>
      <c r="K2355" s="11"/>
      <c r="L2355" s="12"/>
      <c r="M2355" s="11"/>
      <c r="N2355" s="11"/>
      <c r="O2355" s="13"/>
      <c r="P2355" s="14"/>
      <c r="Q2355" s="13"/>
      <c r="R2355" s="13"/>
      <c r="S2355" s="15"/>
      <c r="T2355" s="16"/>
      <c r="U2355" s="16"/>
      <c r="V2355" s="16"/>
      <c r="W2355" s="16"/>
      <c r="X2355" s="16"/>
      <c r="Y2355" s="11"/>
      <c r="Z2355" s="11"/>
      <c r="AA2355" s="11"/>
      <c r="AB2355" s="11"/>
      <c r="AC2355" s="11"/>
      <c r="AD2355" s="11"/>
    </row>
    <row r="2356">
      <c r="A2356" s="10"/>
      <c r="B2356" s="10"/>
      <c r="C2356" s="10"/>
      <c r="D2356" s="10"/>
      <c r="E2356" s="10"/>
      <c r="F2356" s="11"/>
      <c r="G2356" s="11"/>
      <c r="H2356" s="11"/>
      <c r="I2356" s="11"/>
      <c r="J2356" s="11"/>
      <c r="K2356" s="11"/>
      <c r="L2356" s="12"/>
      <c r="M2356" s="11"/>
      <c r="N2356" s="11"/>
      <c r="O2356" s="13"/>
      <c r="P2356" s="14"/>
      <c r="Q2356" s="13"/>
      <c r="R2356" s="13"/>
      <c r="S2356" s="15"/>
      <c r="T2356" s="16"/>
      <c r="U2356" s="16"/>
      <c r="V2356" s="16"/>
      <c r="W2356" s="16"/>
      <c r="X2356" s="16"/>
      <c r="Y2356" s="11"/>
      <c r="Z2356" s="11"/>
      <c r="AA2356" s="11"/>
      <c r="AB2356" s="11"/>
      <c r="AC2356" s="11"/>
      <c r="AD2356" s="11"/>
    </row>
    <row r="2357">
      <c r="A2357" s="10"/>
      <c r="B2357" s="10"/>
      <c r="C2357" s="10"/>
      <c r="D2357" s="10"/>
      <c r="E2357" s="10"/>
      <c r="F2357" s="11"/>
      <c r="G2357" s="11"/>
      <c r="H2357" s="11"/>
      <c r="I2357" s="11"/>
      <c r="J2357" s="11"/>
      <c r="K2357" s="11"/>
      <c r="L2357" s="12"/>
      <c r="M2357" s="11"/>
      <c r="N2357" s="11"/>
      <c r="O2357" s="13"/>
      <c r="P2357" s="14"/>
      <c r="Q2357" s="13"/>
      <c r="R2357" s="13"/>
      <c r="S2357" s="15"/>
      <c r="T2357" s="16"/>
      <c r="U2357" s="16"/>
      <c r="V2357" s="16"/>
      <c r="W2357" s="16"/>
      <c r="X2357" s="16"/>
      <c r="Y2357" s="11"/>
      <c r="Z2357" s="11"/>
      <c r="AA2357" s="11"/>
      <c r="AB2357" s="11"/>
      <c r="AC2357" s="11"/>
      <c r="AD2357" s="11"/>
    </row>
    <row r="2358">
      <c r="A2358" s="10"/>
      <c r="B2358" s="10"/>
      <c r="C2358" s="10"/>
      <c r="D2358" s="10"/>
      <c r="E2358" s="10"/>
      <c r="F2358" s="11"/>
      <c r="G2358" s="11"/>
      <c r="H2358" s="11"/>
      <c r="I2358" s="11"/>
      <c r="J2358" s="11"/>
      <c r="K2358" s="11"/>
      <c r="L2358" s="12"/>
      <c r="M2358" s="11"/>
      <c r="N2358" s="11"/>
      <c r="O2358" s="13"/>
      <c r="P2358" s="14"/>
      <c r="Q2358" s="13"/>
      <c r="R2358" s="13"/>
      <c r="S2358" s="15"/>
      <c r="T2358" s="16"/>
      <c r="U2358" s="16"/>
      <c r="V2358" s="16"/>
      <c r="W2358" s="16"/>
      <c r="X2358" s="16"/>
      <c r="Y2358" s="11"/>
      <c r="Z2358" s="11"/>
      <c r="AA2358" s="11"/>
      <c r="AB2358" s="11"/>
      <c r="AC2358" s="11"/>
      <c r="AD2358" s="11"/>
    </row>
    <row r="2359">
      <c r="A2359" s="10"/>
      <c r="B2359" s="10"/>
      <c r="C2359" s="10"/>
      <c r="D2359" s="10"/>
      <c r="E2359" s="10"/>
      <c r="F2359" s="11"/>
      <c r="G2359" s="11"/>
      <c r="H2359" s="11"/>
      <c r="I2359" s="11"/>
      <c r="J2359" s="11"/>
      <c r="K2359" s="11"/>
      <c r="L2359" s="12"/>
      <c r="M2359" s="11"/>
      <c r="N2359" s="11"/>
      <c r="O2359" s="13"/>
      <c r="P2359" s="14"/>
      <c r="Q2359" s="13"/>
      <c r="R2359" s="13"/>
      <c r="S2359" s="15"/>
      <c r="T2359" s="16"/>
      <c r="U2359" s="16"/>
      <c r="V2359" s="16"/>
      <c r="W2359" s="16"/>
      <c r="X2359" s="16"/>
      <c r="Y2359" s="11"/>
      <c r="Z2359" s="11"/>
      <c r="AA2359" s="11"/>
      <c r="AB2359" s="11"/>
      <c r="AC2359" s="11"/>
      <c r="AD2359" s="11"/>
    </row>
    <row r="2360">
      <c r="A2360" s="10"/>
      <c r="B2360" s="10"/>
      <c r="C2360" s="10"/>
      <c r="D2360" s="10"/>
      <c r="E2360" s="10"/>
      <c r="F2360" s="11"/>
      <c r="G2360" s="11"/>
      <c r="H2360" s="11"/>
      <c r="I2360" s="11"/>
      <c r="J2360" s="11"/>
      <c r="K2360" s="11"/>
      <c r="L2360" s="12"/>
      <c r="M2360" s="11"/>
      <c r="N2360" s="11"/>
      <c r="O2360" s="13"/>
      <c r="P2360" s="14"/>
      <c r="Q2360" s="13"/>
      <c r="R2360" s="13"/>
      <c r="S2360" s="15"/>
      <c r="T2360" s="16"/>
      <c r="U2360" s="16"/>
      <c r="V2360" s="16"/>
      <c r="W2360" s="16"/>
      <c r="X2360" s="16"/>
      <c r="Y2360" s="11"/>
      <c r="Z2360" s="11"/>
      <c r="AA2360" s="11"/>
      <c r="AB2360" s="11"/>
      <c r="AC2360" s="11"/>
      <c r="AD2360" s="11"/>
    </row>
    <row r="2361">
      <c r="A2361" s="10"/>
      <c r="B2361" s="10"/>
      <c r="C2361" s="10"/>
      <c r="D2361" s="10"/>
      <c r="E2361" s="10"/>
      <c r="F2361" s="11"/>
      <c r="G2361" s="11"/>
      <c r="H2361" s="11"/>
      <c r="I2361" s="11"/>
      <c r="J2361" s="11"/>
      <c r="K2361" s="11"/>
      <c r="L2361" s="12"/>
      <c r="M2361" s="11"/>
      <c r="N2361" s="11"/>
      <c r="O2361" s="13"/>
      <c r="P2361" s="14"/>
      <c r="Q2361" s="13"/>
      <c r="R2361" s="13"/>
      <c r="S2361" s="15"/>
      <c r="T2361" s="16"/>
      <c r="U2361" s="16"/>
      <c r="V2361" s="16"/>
      <c r="W2361" s="16"/>
      <c r="X2361" s="16"/>
      <c r="Y2361" s="11"/>
      <c r="Z2361" s="11"/>
      <c r="AA2361" s="11"/>
      <c r="AB2361" s="11"/>
      <c r="AC2361" s="11"/>
      <c r="AD2361" s="11"/>
    </row>
    <row r="2362">
      <c r="A2362" s="10"/>
      <c r="B2362" s="10"/>
      <c r="C2362" s="10"/>
      <c r="D2362" s="10"/>
      <c r="E2362" s="10"/>
      <c r="F2362" s="11"/>
      <c r="G2362" s="11"/>
      <c r="H2362" s="11"/>
      <c r="I2362" s="11"/>
      <c r="J2362" s="11"/>
      <c r="K2362" s="11"/>
      <c r="L2362" s="12"/>
      <c r="M2362" s="11"/>
      <c r="N2362" s="11"/>
      <c r="O2362" s="13"/>
      <c r="P2362" s="14"/>
      <c r="Q2362" s="13"/>
      <c r="R2362" s="13"/>
      <c r="S2362" s="15"/>
      <c r="T2362" s="16"/>
      <c r="U2362" s="16"/>
      <c r="V2362" s="16"/>
      <c r="W2362" s="16"/>
      <c r="X2362" s="16"/>
      <c r="Y2362" s="11"/>
      <c r="Z2362" s="11"/>
      <c r="AA2362" s="11"/>
      <c r="AB2362" s="11"/>
      <c r="AC2362" s="11"/>
      <c r="AD2362" s="11"/>
    </row>
    <row r="2363">
      <c r="A2363" s="10"/>
      <c r="B2363" s="10"/>
      <c r="C2363" s="10"/>
      <c r="D2363" s="10"/>
      <c r="E2363" s="10"/>
      <c r="F2363" s="11"/>
      <c r="G2363" s="11"/>
      <c r="H2363" s="11"/>
      <c r="I2363" s="11"/>
      <c r="J2363" s="11"/>
      <c r="K2363" s="11"/>
      <c r="L2363" s="12"/>
      <c r="M2363" s="11"/>
      <c r="N2363" s="11"/>
      <c r="O2363" s="13"/>
      <c r="P2363" s="14"/>
      <c r="Q2363" s="13"/>
      <c r="R2363" s="13"/>
      <c r="S2363" s="15"/>
      <c r="T2363" s="16"/>
      <c r="U2363" s="16"/>
      <c r="V2363" s="16"/>
      <c r="W2363" s="16"/>
      <c r="X2363" s="16"/>
      <c r="Y2363" s="11"/>
      <c r="Z2363" s="11"/>
      <c r="AA2363" s="11"/>
      <c r="AB2363" s="11"/>
      <c r="AC2363" s="11"/>
      <c r="AD2363" s="11"/>
    </row>
    <row r="2364">
      <c r="A2364" s="10"/>
      <c r="B2364" s="10"/>
      <c r="C2364" s="10"/>
      <c r="D2364" s="10"/>
      <c r="E2364" s="10"/>
      <c r="F2364" s="11"/>
      <c r="G2364" s="11"/>
      <c r="H2364" s="11"/>
      <c r="I2364" s="11"/>
      <c r="J2364" s="11"/>
      <c r="K2364" s="11"/>
      <c r="L2364" s="12"/>
      <c r="M2364" s="11"/>
      <c r="N2364" s="11"/>
      <c r="O2364" s="13"/>
      <c r="P2364" s="14"/>
      <c r="Q2364" s="13"/>
      <c r="R2364" s="13"/>
      <c r="S2364" s="15"/>
      <c r="T2364" s="16"/>
      <c r="U2364" s="16"/>
      <c r="V2364" s="16"/>
      <c r="W2364" s="16"/>
      <c r="X2364" s="16"/>
      <c r="Y2364" s="11"/>
      <c r="Z2364" s="11"/>
      <c r="AA2364" s="11"/>
      <c r="AB2364" s="11"/>
      <c r="AC2364" s="11"/>
      <c r="AD2364" s="11"/>
    </row>
    <row r="2365">
      <c r="A2365" s="10"/>
      <c r="B2365" s="10"/>
      <c r="C2365" s="10"/>
      <c r="D2365" s="10"/>
      <c r="E2365" s="10"/>
      <c r="F2365" s="11"/>
      <c r="G2365" s="11"/>
      <c r="H2365" s="11"/>
      <c r="I2365" s="11"/>
      <c r="J2365" s="11"/>
      <c r="K2365" s="11"/>
      <c r="L2365" s="12"/>
      <c r="M2365" s="11"/>
      <c r="N2365" s="11"/>
      <c r="O2365" s="13"/>
      <c r="P2365" s="14"/>
      <c r="Q2365" s="13"/>
      <c r="R2365" s="13"/>
      <c r="S2365" s="15"/>
      <c r="T2365" s="16"/>
      <c r="U2365" s="16"/>
      <c r="V2365" s="16"/>
      <c r="W2365" s="16"/>
      <c r="X2365" s="16"/>
      <c r="Y2365" s="11"/>
      <c r="Z2365" s="11"/>
      <c r="AA2365" s="11"/>
      <c r="AB2365" s="11"/>
      <c r="AC2365" s="11"/>
      <c r="AD2365" s="11"/>
    </row>
    <row r="2366">
      <c r="A2366" s="10"/>
      <c r="B2366" s="10"/>
      <c r="C2366" s="10"/>
      <c r="D2366" s="10"/>
      <c r="E2366" s="10"/>
      <c r="F2366" s="11"/>
      <c r="G2366" s="11"/>
      <c r="H2366" s="11"/>
      <c r="I2366" s="11"/>
      <c r="J2366" s="11"/>
      <c r="K2366" s="11"/>
      <c r="L2366" s="12"/>
      <c r="M2366" s="11"/>
      <c r="N2366" s="11"/>
      <c r="O2366" s="13"/>
      <c r="P2366" s="14"/>
      <c r="Q2366" s="13"/>
      <c r="R2366" s="13"/>
      <c r="S2366" s="15"/>
      <c r="T2366" s="16"/>
      <c r="U2366" s="16"/>
      <c r="V2366" s="16"/>
      <c r="W2366" s="16"/>
      <c r="X2366" s="16"/>
      <c r="Y2366" s="11"/>
      <c r="Z2366" s="11"/>
      <c r="AA2366" s="11"/>
      <c r="AB2366" s="11"/>
      <c r="AC2366" s="11"/>
      <c r="AD2366" s="11"/>
    </row>
    <row r="2367">
      <c r="A2367" s="10"/>
      <c r="B2367" s="10"/>
      <c r="C2367" s="10"/>
      <c r="D2367" s="10"/>
      <c r="E2367" s="10"/>
      <c r="F2367" s="11"/>
      <c r="G2367" s="11"/>
      <c r="H2367" s="11"/>
      <c r="I2367" s="11"/>
      <c r="J2367" s="11"/>
      <c r="K2367" s="11"/>
      <c r="L2367" s="12"/>
      <c r="M2367" s="11"/>
      <c r="N2367" s="11"/>
      <c r="O2367" s="13"/>
      <c r="P2367" s="14"/>
      <c r="Q2367" s="13"/>
      <c r="R2367" s="13"/>
      <c r="S2367" s="15"/>
      <c r="T2367" s="16"/>
      <c r="U2367" s="16"/>
      <c r="V2367" s="16"/>
      <c r="W2367" s="16"/>
      <c r="X2367" s="16"/>
      <c r="Y2367" s="11"/>
      <c r="Z2367" s="11"/>
      <c r="AA2367" s="11"/>
      <c r="AB2367" s="11"/>
      <c r="AC2367" s="11"/>
      <c r="AD2367" s="11"/>
    </row>
    <row r="2368">
      <c r="A2368" s="10"/>
      <c r="B2368" s="10"/>
      <c r="C2368" s="10"/>
      <c r="D2368" s="10"/>
      <c r="E2368" s="10"/>
      <c r="F2368" s="11"/>
      <c r="G2368" s="11"/>
      <c r="H2368" s="11"/>
      <c r="I2368" s="11"/>
      <c r="J2368" s="11"/>
      <c r="K2368" s="11"/>
      <c r="L2368" s="12"/>
      <c r="M2368" s="11"/>
      <c r="N2368" s="11"/>
      <c r="O2368" s="13"/>
      <c r="P2368" s="14"/>
      <c r="Q2368" s="13"/>
      <c r="R2368" s="13"/>
      <c r="S2368" s="15"/>
      <c r="T2368" s="16"/>
      <c r="U2368" s="16"/>
      <c r="V2368" s="16"/>
      <c r="W2368" s="16"/>
      <c r="X2368" s="16"/>
      <c r="Y2368" s="11"/>
      <c r="Z2368" s="11"/>
      <c r="AA2368" s="11"/>
      <c r="AB2368" s="11"/>
      <c r="AC2368" s="11"/>
      <c r="AD2368" s="11"/>
    </row>
    <row r="2369">
      <c r="A2369" s="10"/>
      <c r="B2369" s="10"/>
      <c r="C2369" s="10"/>
      <c r="D2369" s="10"/>
      <c r="E2369" s="10"/>
      <c r="F2369" s="11"/>
      <c r="G2369" s="11"/>
      <c r="H2369" s="11"/>
      <c r="I2369" s="11"/>
      <c r="J2369" s="11"/>
      <c r="K2369" s="11"/>
      <c r="L2369" s="12"/>
      <c r="M2369" s="11"/>
      <c r="N2369" s="11"/>
      <c r="O2369" s="13"/>
      <c r="P2369" s="14"/>
      <c r="Q2369" s="13"/>
      <c r="R2369" s="13"/>
      <c r="S2369" s="15"/>
      <c r="T2369" s="16"/>
      <c r="U2369" s="16"/>
      <c r="V2369" s="16"/>
      <c r="W2369" s="16"/>
      <c r="X2369" s="16"/>
      <c r="Y2369" s="11"/>
      <c r="Z2369" s="11"/>
      <c r="AA2369" s="11"/>
      <c r="AB2369" s="11"/>
      <c r="AC2369" s="11"/>
      <c r="AD2369" s="11"/>
    </row>
    <row r="2370">
      <c r="A2370" s="10"/>
      <c r="B2370" s="10"/>
      <c r="C2370" s="10"/>
      <c r="D2370" s="10"/>
      <c r="E2370" s="10"/>
      <c r="F2370" s="11"/>
      <c r="G2370" s="11"/>
      <c r="H2370" s="11"/>
      <c r="I2370" s="11"/>
      <c r="J2370" s="11"/>
      <c r="K2370" s="11"/>
      <c r="L2370" s="12"/>
      <c r="M2370" s="11"/>
      <c r="N2370" s="11"/>
      <c r="O2370" s="13"/>
      <c r="P2370" s="14"/>
      <c r="Q2370" s="13"/>
      <c r="R2370" s="13"/>
      <c r="S2370" s="15"/>
      <c r="T2370" s="16"/>
      <c r="U2370" s="16"/>
      <c r="V2370" s="16"/>
      <c r="W2370" s="16"/>
      <c r="X2370" s="16"/>
      <c r="Y2370" s="11"/>
      <c r="Z2370" s="11"/>
      <c r="AA2370" s="11"/>
      <c r="AB2370" s="11"/>
      <c r="AC2370" s="11"/>
      <c r="AD2370" s="11"/>
    </row>
    <row r="2371">
      <c r="A2371" s="10"/>
      <c r="B2371" s="10"/>
      <c r="C2371" s="10"/>
      <c r="D2371" s="10"/>
      <c r="E2371" s="10"/>
      <c r="F2371" s="11"/>
      <c r="G2371" s="11"/>
      <c r="H2371" s="11"/>
      <c r="I2371" s="11"/>
      <c r="J2371" s="11"/>
      <c r="K2371" s="11"/>
      <c r="L2371" s="12"/>
      <c r="M2371" s="11"/>
      <c r="N2371" s="11"/>
      <c r="O2371" s="13"/>
      <c r="P2371" s="14"/>
      <c r="Q2371" s="13"/>
      <c r="R2371" s="13"/>
      <c r="S2371" s="15"/>
      <c r="T2371" s="16"/>
      <c r="U2371" s="16"/>
      <c r="V2371" s="16"/>
      <c r="W2371" s="16"/>
      <c r="X2371" s="16"/>
      <c r="Y2371" s="11"/>
      <c r="Z2371" s="11"/>
      <c r="AA2371" s="11"/>
      <c r="AB2371" s="11"/>
      <c r="AC2371" s="11"/>
      <c r="AD2371" s="11"/>
    </row>
    <row r="2372">
      <c r="A2372" s="10"/>
      <c r="B2372" s="10"/>
      <c r="C2372" s="10"/>
      <c r="D2372" s="10"/>
      <c r="E2372" s="10"/>
      <c r="F2372" s="11"/>
      <c r="G2372" s="11"/>
      <c r="H2372" s="11"/>
      <c r="I2372" s="11"/>
      <c r="J2372" s="11"/>
      <c r="K2372" s="11"/>
      <c r="L2372" s="12"/>
      <c r="M2372" s="11"/>
      <c r="N2372" s="11"/>
      <c r="O2372" s="13"/>
      <c r="P2372" s="14"/>
      <c r="Q2372" s="13"/>
      <c r="R2372" s="13"/>
      <c r="S2372" s="15"/>
      <c r="T2372" s="16"/>
      <c r="U2372" s="16"/>
      <c r="V2372" s="16"/>
      <c r="W2372" s="16"/>
      <c r="X2372" s="16"/>
      <c r="Y2372" s="11"/>
      <c r="Z2372" s="11"/>
      <c r="AA2372" s="11"/>
      <c r="AB2372" s="11"/>
      <c r="AC2372" s="11"/>
      <c r="AD2372" s="11"/>
    </row>
    <row r="2373">
      <c r="A2373" s="10"/>
      <c r="B2373" s="10"/>
      <c r="C2373" s="10"/>
      <c r="D2373" s="10"/>
      <c r="E2373" s="10"/>
      <c r="F2373" s="11"/>
      <c r="G2373" s="11"/>
      <c r="H2373" s="11"/>
      <c r="I2373" s="11"/>
      <c r="J2373" s="11"/>
      <c r="K2373" s="11"/>
      <c r="L2373" s="12"/>
      <c r="M2373" s="11"/>
      <c r="N2373" s="11"/>
      <c r="O2373" s="13"/>
      <c r="P2373" s="14"/>
      <c r="Q2373" s="13"/>
      <c r="R2373" s="13"/>
      <c r="S2373" s="15"/>
      <c r="T2373" s="16"/>
      <c r="U2373" s="16"/>
      <c r="V2373" s="16"/>
      <c r="W2373" s="16"/>
      <c r="X2373" s="16"/>
      <c r="Y2373" s="11"/>
      <c r="Z2373" s="11"/>
      <c r="AA2373" s="11"/>
      <c r="AB2373" s="11"/>
      <c r="AC2373" s="11"/>
      <c r="AD2373" s="11"/>
    </row>
    <row r="2374">
      <c r="A2374" s="10"/>
      <c r="B2374" s="10"/>
      <c r="C2374" s="10"/>
      <c r="D2374" s="10"/>
      <c r="E2374" s="10"/>
      <c r="F2374" s="11"/>
      <c r="G2374" s="11"/>
      <c r="H2374" s="11"/>
      <c r="I2374" s="11"/>
      <c r="J2374" s="11"/>
      <c r="K2374" s="11"/>
      <c r="L2374" s="12"/>
      <c r="M2374" s="11"/>
      <c r="N2374" s="11"/>
      <c r="O2374" s="13"/>
      <c r="P2374" s="14"/>
      <c r="Q2374" s="13"/>
      <c r="R2374" s="13"/>
      <c r="S2374" s="15"/>
      <c r="T2374" s="16"/>
      <c r="U2374" s="16"/>
      <c r="V2374" s="16"/>
      <c r="W2374" s="16"/>
      <c r="X2374" s="16"/>
      <c r="Y2374" s="11"/>
      <c r="Z2374" s="11"/>
      <c r="AA2374" s="11"/>
      <c r="AB2374" s="11"/>
      <c r="AC2374" s="11"/>
      <c r="AD2374" s="11"/>
    </row>
    <row r="2375">
      <c r="A2375" s="10"/>
      <c r="B2375" s="10"/>
      <c r="C2375" s="10"/>
      <c r="D2375" s="10"/>
      <c r="E2375" s="10"/>
      <c r="F2375" s="11"/>
      <c r="G2375" s="11"/>
      <c r="H2375" s="11"/>
      <c r="I2375" s="11"/>
      <c r="J2375" s="11"/>
      <c r="K2375" s="11"/>
      <c r="L2375" s="12"/>
      <c r="M2375" s="11"/>
      <c r="N2375" s="11"/>
      <c r="O2375" s="13"/>
      <c r="P2375" s="14"/>
      <c r="Q2375" s="13"/>
      <c r="R2375" s="13"/>
      <c r="S2375" s="15"/>
      <c r="T2375" s="16"/>
      <c r="U2375" s="16"/>
      <c r="V2375" s="16"/>
      <c r="W2375" s="16"/>
      <c r="X2375" s="16"/>
      <c r="Y2375" s="11"/>
      <c r="Z2375" s="11"/>
      <c r="AA2375" s="11"/>
      <c r="AB2375" s="11"/>
      <c r="AC2375" s="11"/>
      <c r="AD2375" s="11"/>
    </row>
    <row r="2376">
      <c r="A2376" s="10"/>
      <c r="B2376" s="10"/>
      <c r="C2376" s="10"/>
      <c r="D2376" s="10"/>
      <c r="E2376" s="10"/>
      <c r="F2376" s="11"/>
      <c r="G2376" s="11"/>
      <c r="H2376" s="11"/>
      <c r="I2376" s="11"/>
      <c r="J2376" s="11"/>
      <c r="K2376" s="11"/>
      <c r="L2376" s="12"/>
      <c r="M2376" s="11"/>
      <c r="N2376" s="11"/>
      <c r="O2376" s="13"/>
      <c r="P2376" s="14"/>
      <c r="Q2376" s="13"/>
      <c r="R2376" s="13"/>
      <c r="S2376" s="15"/>
      <c r="T2376" s="16"/>
      <c r="U2376" s="16"/>
      <c r="V2376" s="16"/>
      <c r="W2376" s="16"/>
      <c r="X2376" s="16"/>
      <c r="Y2376" s="11"/>
      <c r="Z2376" s="11"/>
      <c r="AA2376" s="11"/>
      <c r="AB2376" s="11"/>
      <c r="AC2376" s="11"/>
      <c r="AD2376" s="11"/>
    </row>
    <row r="2377">
      <c r="A2377" s="10"/>
      <c r="B2377" s="10"/>
      <c r="C2377" s="10"/>
      <c r="D2377" s="10"/>
      <c r="E2377" s="10"/>
      <c r="F2377" s="11"/>
      <c r="G2377" s="11"/>
      <c r="H2377" s="11"/>
      <c r="I2377" s="11"/>
      <c r="J2377" s="11"/>
      <c r="K2377" s="11"/>
      <c r="L2377" s="12"/>
      <c r="M2377" s="11"/>
      <c r="N2377" s="11"/>
      <c r="O2377" s="13"/>
      <c r="P2377" s="14"/>
      <c r="Q2377" s="13"/>
      <c r="R2377" s="13"/>
      <c r="S2377" s="15"/>
      <c r="T2377" s="16"/>
      <c r="U2377" s="16"/>
      <c r="V2377" s="16"/>
      <c r="W2377" s="16"/>
      <c r="X2377" s="16"/>
      <c r="Y2377" s="11"/>
      <c r="Z2377" s="11"/>
      <c r="AA2377" s="11"/>
      <c r="AB2377" s="11"/>
      <c r="AC2377" s="11"/>
      <c r="AD2377" s="11"/>
    </row>
    <row r="2378">
      <c r="A2378" s="10"/>
      <c r="B2378" s="10"/>
      <c r="C2378" s="10"/>
      <c r="D2378" s="10"/>
      <c r="E2378" s="10"/>
      <c r="F2378" s="11"/>
      <c r="G2378" s="11"/>
      <c r="H2378" s="11"/>
      <c r="I2378" s="11"/>
      <c r="J2378" s="11"/>
      <c r="K2378" s="11"/>
      <c r="L2378" s="12"/>
      <c r="M2378" s="11"/>
      <c r="N2378" s="11"/>
      <c r="O2378" s="13"/>
      <c r="P2378" s="14"/>
      <c r="Q2378" s="13"/>
      <c r="R2378" s="13"/>
      <c r="S2378" s="15"/>
      <c r="T2378" s="16"/>
      <c r="U2378" s="16"/>
      <c r="V2378" s="16"/>
      <c r="W2378" s="16"/>
      <c r="X2378" s="16"/>
      <c r="Y2378" s="11"/>
      <c r="Z2378" s="11"/>
      <c r="AA2378" s="11"/>
      <c r="AB2378" s="11"/>
      <c r="AC2378" s="11"/>
      <c r="AD2378" s="11"/>
    </row>
    <row r="2379">
      <c r="A2379" s="10"/>
      <c r="B2379" s="10"/>
      <c r="C2379" s="10"/>
      <c r="D2379" s="10"/>
      <c r="E2379" s="10"/>
      <c r="F2379" s="11"/>
      <c r="G2379" s="11"/>
      <c r="H2379" s="11"/>
      <c r="I2379" s="11"/>
      <c r="J2379" s="11"/>
      <c r="K2379" s="11"/>
      <c r="L2379" s="12"/>
      <c r="M2379" s="11"/>
      <c r="N2379" s="11"/>
      <c r="O2379" s="13"/>
      <c r="P2379" s="14"/>
      <c r="Q2379" s="13"/>
      <c r="R2379" s="13"/>
      <c r="S2379" s="15"/>
      <c r="T2379" s="16"/>
      <c r="U2379" s="16"/>
      <c r="V2379" s="16"/>
      <c r="W2379" s="16"/>
      <c r="X2379" s="16"/>
      <c r="Y2379" s="11"/>
      <c r="Z2379" s="11"/>
      <c r="AA2379" s="11"/>
      <c r="AB2379" s="11"/>
      <c r="AC2379" s="11"/>
      <c r="AD2379" s="11"/>
    </row>
    <row r="2380">
      <c r="A2380" s="10"/>
      <c r="B2380" s="10"/>
      <c r="C2380" s="10"/>
      <c r="D2380" s="10"/>
      <c r="E2380" s="10"/>
      <c r="F2380" s="11"/>
      <c r="G2380" s="11"/>
      <c r="H2380" s="11"/>
      <c r="I2380" s="11"/>
      <c r="J2380" s="11"/>
      <c r="K2380" s="11"/>
      <c r="L2380" s="12"/>
      <c r="M2380" s="11"/>
      <c r="N2380" s="11"/>
      <c r="O2380" s="13"/>
      <c r="P2380" s="14"/>
      <c r="Q2380" s="13"/>
      <c r="R2380" s="13"/>
      <c r="S2380" s="15"/>
      <c r="T2380" s="16"/>
      <c r="U2380" s="16"/>
      <c r="V2380" s="16"/>
      <c r="W2380" s="16"/>
      <c r="X2380" s="16"/>
      <c r="Y2380" s="11"/>
      <c r="Z2380" s="11"/>
      <c r="AA2380" s="11"/>
      <c r="AB2380" s="11"/>
      <c r="AC2380" s="11"/>
      <c r="AD2380" s="11"/>
    </row>
    <row r="2381">
      <c r="A2381" s="10"/>
      <c r="B2381" s="10"/>
      <c r="C2381" s="10"/>
      <c r="D2381" s="10"/>
      <c r="E2381" s="10"/>
      <c r="F2381" s="11"/>
      <c r="G2381" s="11"/>
      <c r="H2381" s="11"/>
      <c r="I2381" s="11"/>
      <c r="J2381" s="11"/>
      <c r="K2381" s="11"/>
      <c r="L2381" s="12"/>
      <c r="M2381" s="11"/>
      <c r="N2381" s="11"/>
      <c r="O2381" s="13"/>
      <c r="P2381" s="14"/>
      <c r="Q2381" s="13"/>
      <c r="R2381" s="13"/>
      <c r="S2381" s="15"/>
      <c r="T2381" s="16"/>
      <c r="U2381" s="16"/>
      <c r="V2381" s="16"/>
      <c r="W2381" s="16"/>
      <c r="X2381" s="16"/>
      <c r="Y2381" s="11"/>
      <c r="Z2381" s="11"/>
      <c r="AA2381" s="11"/>
      <c r="AB2381" s="11"/>
      <c r="AC2381" s="11"/>
      <c r="AD2381" s="11"/>
    </row>
    <row r="2382">
      <c r="A2382" s="10"/>
      <c r="B2382" s="10"/>
      <c r="C2382" s="10"/>
      <c r="D2382" s="10"/>
      <c r="E2382" s="10"/>
      <c r="F2382" s="11"/>
      <c r="G2382" s="11"/>
      <c r="H2382" s="11"/>
      <c r="I2382" s="11"/>
      <c r="J2382" s="11"/>
      <c r="K2382" s="11"/>
      <c r="L2382" s="12"/>
      <c r="M2382" s="11"/>
      <c r="N2382" s="11"/>
      <c r="O2382" s="13"/>
      <c r="P2382" s="14"/>
      <c r="Q2382" s="13"/>
      <c r="R2382" s="13"/>
      <c r="S2382" s="15"/>
      <c r="T2382" s="16"/>
      <c r="U2382" s="16"/>
      <c r="V2382" s="16"/>
      <c r="W2382" s="16"/>
      <c r="X2382" s="16"/>
      <c r="Y2382" s="11"/>
      <c r="Z2382" s="11"/>
      <c r="AA2382" s="11"/>
      <c r="AB2382" s="11"/>
      <c r="AC2382" s="11"/>
      <c r="AD2382" s="11"/>
    </row>
    <row r="2383">
      <c r="A2383" s="10"/>
      <c r="B2383" s="10"/>
      <c r="C2383" s="10"/>
      <c r="D2383" s="10"/>
      <c r="E2383" s="10"/>
      <c r="F2383" s="11"/>
      <c r="G2383" s="11"/>
      <c r="H2383" s="11"/>
      <c r="I2383" s="11"/>
      <c r="J2383" s="11"/>
      <c r="K2383" s="11"/>
      <c r="L2383" s="12"/>
      <c r="M2383" s="11"/>
      <c r="N2383" s="11"/>
      <c r="O2383" s="13"/>
      <c r="P2383" s="14"/>
      <c r="Q2383" s="13"/>
      <c r="R2383" s="13"/>
      <c r="S2383" s="15"/>
      <c r="T2383" s="16"/>
      <c r="U2383" s="16"/>
      <c r="V2383" s="16"/>
      <c r="W2383" s="16"/>
      <c r="X2383" s="16"/>
      <c r="Y2383" s="11"/>
      <c r="Z2383" s="11"/>
      <c r="AA2383" s="11"/>
      <c r="AB2383" s="11"/>
      <c r="AC2383" s="11"/>
      <c r="AD2383" s="11"/>
    </row>
    <row r="2384">
      <c r="A2384" s="10"/>
      <c r="B2384" s="10"/>
      <c r="C2384" s="10"/>
      <c r="D2384" s="10"/>
      <c r="E2384" s="10"/>
      <c r="F2384" s="11"/>
      <c r="G2384" s="11"/>
      <c r="H2384" s="11"/>
      <c r="I2384" s="11"/>
      <c r="J2384" s="11"/>
      <c r="K2384" s="11"/>
      <c r="L2384" s="12"/>
      <c r="M2384" s="11"/>
      <c r="N2384" s="11"/>
      <c r="O2384" s="13"/>
      <c r="P2384" s="14"/>
      <c r="Q2384" s="13"/>
      <c r="R2384" s="13"/>
      <c r="S2384" s="15"/>
      <c r="T2384" s="16"/>
      <c r="U2384" s="16"/>
      <c r="V2384" s="16"/>
      <c r="W2384" s="16"/>
      <c r="X2384" s="16"/>
      <c r="Y2384" s="11"/>
      <c r="Z2384" s="11"/>
      <c r="AA2384" s="11"/>
      <c r="AB2384" s="11"/>
      <c r="AC2384" s="11"/>
      <c r="AD2384" s="11"/>
    </row>
    <row r="2385">
      <c r="A2385" s="10"/>
      <c r="B2385" s="10"/>
      <c r="C2385" s="10"/>
      <c r="D2385" s="10"/>
      <c r="E2385" s="10"/>
      <c r="F2385" s="11"/>
      <c r="G2385" s="11"/>
      <c r="H2385" s="11"/>
      <c r="I2385" s="11"/>
      <c r="J2385" s="11"/>
      <c r="K2385" s="11"/>
      <c r="L2385" s="12"/>
      <c r="M2385" s="11"/>
      <c r="N2385" s="11"/>
      <c r="O2385" s="13"/>
      <c r="P2385" s="14"/>
      <c r="Q2385" s="13"/>
      <c r="R2385" s="13"/>
      <c r="S2385" s="15"/>
      <c r="T2385" s="16"/>
      <c r="U2385" s="16"/>
      <c r="V2385" s="16"/>
      <c r="W2385" s="16"/>
      <c r="X2385" s="16"/>
      <c r="Y2385" s="11"/>
      <c r="Z2385" s="11"/>
      <c r="AA2385" s="11"/>
      <c r="AB2385" s="11"/>
      <c r="AC2385" s="11"/>
      <c r="AD2385" s="11"/>
    </row>
    <row r="2386">
      <c r="A2386" s="10"/>
      <c r="B2386" s="10"/>
      <c r="C2386" s="10"/>
      <c r="D2386" s="10"/>
      <c r="E2386" s="10"/>
      <c r="F2386" s="11"/>
      <c r="G2386" s="11"/>
      <c r="H2386" s="11"/>
      <c r="I2386" s="11"/>
      <c r="J2386" s="11"/>
      <c r="K2386" s="11"/>
      <c r="L2386" s="12"/>
      <c r="M2386" s="11"/>
      <c r="N2386" s="11"/>
      <c r="O2386" s="13"/>
      <c r="P2386" s="14"/>
      <c r="Q2386" s="13"/>
      <c r="R2386" s="13"/>
      <c r="S2386" s="15"/>
      <c r="T2386" s="16"/>
      <c r="U2386" s="16"/>
      <c r="V2386" s="16"/>
      <c r="W2386" s="16"/>
      <c r="X2386" s="16"/>
      <c r="Y2386" s="11"/>
      <c r="Z2386" s="11"/>
      <c r="AA2386" s="11"/>
      <c r="AB2386" s="11"/>
      <c r="AC2386" s="11"/>
      <c r="AD2386" s="11"/>
    </row>
    <row r="2387">
      <c r="A2387" s="10"/>
      <c r="B2387" s="10"/>
      <c r="C2387" s="10"/>
      <c r="D2387" s="10"/>
      <c r="E2387" s="10"/>
      <c r="F2387" s="11"/>
      <c r="G2387" s="11"/>
      <c r="H2387" s="11"/>
      <c r="I2387" s="11"/>
      <c r="J2387" s="11"/>
      <c r="K2387" s="11"/>
      <c r="L2387" s="12"/>
      <c r="M2387" s="11"/>
      <c r="N2387" s="11"/>
      <c r="O2387" s="13"/>
      <c r="P2387" s="14"/>
      <c r="Q2387" s="13"/>
      <c r="R2387" s="13"/>
      <c r="S2387" s="15"/>
      <c r="T2387" s="16"/>
      <c r="U2387" s="16"/>
      <c r="V2387" s="16"/>
      <c r="W2387" s="16"/>
      <c r="X2387" s="16"/>
      <c r="Y2387" s="11"/>
      <c r="Z2387" s="11"/>
      <c r="AA2387" s="11"/>
      <c r="AB2387" s="11"/>
      <c r="AC2387" s="11"/>
      <c r="AD2387" s="11"/>
    </row>
    <row r="2388">
      <c r="A2388" s="10"/>
      <c r="B2388" s="10"/>
      <c r="C2388" s="10"/>
      <c r="D2388" s="10"/>
      <c r="E2388" s="10"/>
      <c r="F2388" s="11"/>
      <c r="G2388" s="11"/>
      <c r="H2388" s="11"/>
      <c r="I2388" s="11"/>
      <c r="J2388" s="11"/>
      <c r="K2388" s="11"/>
      <c r="L2388" s="12"/>
      <c r="M2388" s="11"/>
      <c r="N2388" s="11"/>
      <c r="O2388" s="13"/>
      <c r="P2388" s="14"/>
      <c r="Q2388" s="13"/>
      <c r="R2388" s="13"/>
      <c r="S2388" s="15"/>
      <c r="T2388" s="16"/>
      <c r="U2388" s="16"/>
      <c r="V2388" s="16"/>
      <c r="W2388" s="16"/>
      <c r="X2388" s="16"/>
      <c r="Y2388" s="11"/>
      <c r="Z2388" s="11"/>
      <c r="AA2388" s="11"/>
      <c r="AB2388" s="11"/>
      <c r="AC2388" s="11"/>
      <c r="AD2388" s="11"/>
    </row>
    <row r="2389">
      <c r="A2389" s="10"/>
      <c r="B2389" s="10"/>
      <c r="C2389" s="10"/>
      <c r="D2389" s="10"/>
      <c r="E2389" s="10"/>
      <c r="F2389" s="11"/>
      <c r="G2389" s="11"/>
      <c r="H2389" s="11"/>
      <c r="I2389" s="11"/>
      <c r="J2389" s="11"/>
      <c r="K2389" s="11"/>
      <c r="L2389" s="12"/>
      <c r="M2389" s="11"/>
      <c r="N2389" s="11"/>
      <c r="O2389" s="13"/>
      <c r="P2389" s="14"/>
      <c r="Q2389" s="13"/>
      <c r="R2389" s="13"/>
      <c r="S2389" s="15"/>
      <c r="T2389" s="16"/>
      <c r="U2389" s="16"/>
      <c r="V2389" s="16"/>
      <c r="W2389" s="16"/>
      <c r="X2389" s="16"/>
      <c r="Y2389" s="11"/>
      <c r="Z2389" s="11"/>
      <c r="AA2389" s="11"/>
      <c r="AB2389" s="11"/>
      <c r="AC2389" s="11"/>
      <c r="AD2389" s="11"/>
    </row>
    <row r="2390">
      <c r="A2390" s="10"/>
      <c r="B2390" s="10"/>
      <c r="C2390" s="10"/>
      <c r="D2390" s="10"/>
      <c r="E2390" s="10"/>
      <c r="F2390" s="11"/>
      <c r="G2390" s="11"/>
      <c r="H2390" s="11"/>
      <c r="I2390" s="11"/>
      <c r="J2390" s="11"/>
      <c r="K2390" s="11"/>
      <c r="L2390" s="12"/>
      <c r="M2390" s="11"/>
      <c r="N2390" s="11"/>
      <c r="O2390" s="13"/>
      <c r="P2390" s="14"/>
      <c r="Q2390" s="13"/>
      <c r="R2390" s="13"/>
      <c r="S2390" s="15"/>
      <c r="T2390" s="16"/>
      <c r="U2390" s="16"/>
      <c r="V2390" s="16"/>
      <c r="W2390" s="16"/>
      <c r="X2390" s="16"/>
      <c r="Y2390" s="11"/>
      <c r="Z2390" s="11"/>
      <c r="AA2390" s="11"/>
      <c r="AB2390" s="11"/>
      <c r="AC2390" s="11"/>
      <c r="AD2390" s="11"/>
    </row>
    <row r="2391">
      <c r="A2391" s="10"/>
      <c r="B2391" s="10"/>
      <c r="C2391" s="10"/>
      <c r="D2391" s="10"/>
      <c r="E2391" s="10"/>
      <c r="F2391" s="11"/>
      <c r="G2391" s="11"/>
      <c r="H2391" s="11"/>
      <c r="I2391" s="11"/>
      <c r="J2391" s="11"/>
      <c r="K2391" s="11"/>
      <c r="L2391" s="12"/>
      <c r="M2391" s="11"/>
      <c r="N2391" s="11"/>
      <c r="O2391" s="13"/>
      <c r="P2391" s="14"/>
      <c r="Q2391" s="13"/>
      <c r="R2391" s="13"/>
      <c r="S2391" s="15"/>
      <c r="T2391" s="16"/>
      <c r="U2391" s="16"/>
      <c r="V2391" s="16"/>
      <c r="W2391" s="16"/>
      <c r="X2391" s="16"/>
      <c r="Y2391" s="11"/>
      <c r="Z2391" s="11"/>
      <c r="AA2391" s="11"/>
      <c r="AB2391" s="11"/>
      <c r="AC2391" s="11"/>
      <c r="AD2391" s="11"/>
    </row>
    <row r="2392">
      <c r="A2392" s="10"/>
      <c r="B2392" s="10"/>
      <c r="C2392" s="10"/>
      <c r="D2392" s="10"/>
      <c r="E2392" s="10"/>
      <c r="F2392" s="11"/>
      <c r="G2392" s="11"/>
      <c r="H2392" s="11"/>
      <c r="I2392" s="11"/>
      <c r="J2392" s="11"/>
      <c r="K2392" s="11"/>
      <c r="L2392" s="12"/>
      <c r="M2392" s="11"/>
      <c r="N2392" s="11"/>
      <c r="O2392" s="13"/>
      <c r="P2392" s="14"/>
      <c r="Q2392" s="13"/>
      <c r="R2392" s="13"/>
      <c r="S2392" s="15"/>
      <c r="T2392" s="16"/>
      <c r="U2392" s="16"/>
      <c r="V2392" s="16"/>
      <c r="W2392" s="16"/>
      <c r="X2392" s="16"/>
      <c r="Y2392" s="11"/>
      <c r="Z2392" s="11"/>
      <c r="AA2392" s="11"/>
      <c r="AB2392" s="11"/>
      <c r="AC2392" s="11"/>
      <c r="AD2392" s="11"/>
    </row>
    <row r="2393">
      <c r="A2393" s="10"/>
      <c r="B2393" s="10"/>
      <c r="C2393" s="10"/>
      <c r="D2393" s="10"/>
      <c r="E2393" s="10"/>
      <c r="F2393" s="11"/>
      <c r="G2393" s="11"/>
      <c r="H2393" s="11"/>
      <c r="I2393" s="11"/>
      <c r="J2393" s="11"/>
      <c r="K2393" s="11"/>
      <c r="L2393" s="12"/>
      <c r="M2393" s="11"/>
      <c r="N2393" s="11"/>
      <c r="O2393" s="13"/>
      <c r="P2393" s="14"/>
      <c r="Q2393" s="13"/>
      <c r="R2393" s="13"/>
      <c r="S2393" s="15"/>
      <c r="T2393" s="16"/>
      <c r="U2393" s="16"/>
      <c r="V2393" s="16"/>
      <c r="W2393" s="16"/>
      <c r="X2393" s="16"/>
      <c r="Y2393" s="11"/>
      <c r="Z2393" s="11"/>
      <c r="AA2393" s="11"/>
      <c r="AB2393" s="11"/>
      <c r="AC2393" s="11"/>
      <c r="AD2393" s="11"/>
    </row>
    <row r="2394">
      <c r="A2394" s="10"/>
      <c r="B2394" s="10"/>
      <c r="C2394" s="10"/>
      <c r="D2394" s="10"/>
      <c r="E2394" s="10"/>
      <c r="F2394" s="11"/>
      <c r="G2394" s="11"/>
      <c r="H2394" s="11"/>
      <c r="I2394" s="11"/>
      <c r="J2394" s="11"/>
      <c r="K2394" s="11"/>
      <c r="L2394" s="12"/>
      <c r="M2394" s="11"/>
      <c r="N2394" s="11"/>
      <c r="O2394" s="13"/>
      <c r="P2394" s="14"/>
      <c r="Q2394" s="13"/>
      <c r="R2394" s="13"/>
      <c r="S2394" s="15"/>
      <c r="T2394" s="16"/>
      <c r="U2394" s="16"/>
      <c r="V2394" s="16"/>
      <c r="W2394" s="16"/>
      <c r="X2394" s="16"/>
      <c r="Y2394" s="11"/>
      <c r="Z2394" s="11"/>
      <c r="AA2394" s="11"/>
      <c r="AB2394" s="11"/>
      <c r="AC2394" s="11"/>
      <c r="AD2394" s="11"/>
    </row>
    <row r="2395">
      <c r="A2395" s="10"/>
      <c r="B2395" s="10"/>
      <c r="C2395" s="10"/>
      <c r="D2395" s="10"/>
      <c r="E2395" s="10"/>
      <c r="F2395" s="11"/>
      <c r="G2395" s="11"/>
      <c r="H2395" s="11"/>
      <c r="I2395" s="11"/>
      <c r="J2395" s="11"/>
      <c r="K2395" s="11"/>
      <c r="L2395" s="12"/>
      <c r="M2395" s="11"/>
      <c r="N2395" s="11"/>
      <c r="O2395" s="13"/>
      <c r="P2395" s="14"/>
      <c r="Q2395" s="13"/>
      <c r="R2395" s="13"/>
      <c r="S2395" s="15"/>
      <c r="T2395" s="16"/>
      <c r="U2395" s="16"/>
      <c r="V2395" s="16"/>
      <c r="W2395" s="16"/>
      <c r="X2395" s="16"/>
      <c r="Y2395" s="11"/>
      <c r="Z2395" s="11"/>
      <c r="AA2395" s="11"/>
      <c r="AB2395" s="11"/>
      <c r="AC2395" s="11"/>
      <c r="AD2395" s="11"/>
    </row>
    <row r="2396">
      <c r="A2396" s="10"/>
      <c r="B2396" s="10"/>
      <c r="C2396" s="10"/>
      <c r="D2396" s="10"/>
      <c r="E2396" s="10"/>
      <c r="F2396" s="11"/>
      <c r="G2396" s="11"/>
      <c r="H2396" s="11"/>
      <c r="I2396" s="11"/>
      <c r="J2396" s="11"/>
      <c r="K2396" s="11"/>
      <c r="L2396" s="12"/>
      <c r="M2396" s="11"/>
      <c r="N2396" s="11"/>
      <c r="O2396" s="13"/>
      <c r="P2396" s="14"/>
      <c r="Q2396" s="13"/>
      <c r="R2396" s="13"/>
      <c r="S2396" s="15"/>
      <c r="T2396" s="16"/>
      <c r="U2396" s="16"/>
      <c r="V2396" s="16"/>
      <c r="W2396" s="16"/>
      <c r="X2396" s="16"/>
      <c r="Y2396" s="11"/>
      <c r="Z2396" s="11"/>
      <c r="AA2396" s="11"/>
      <c r="AB2396" s="11"/>
      <c r="AC2396" s="11"/>
      <c r="AD2396" s="11"/>
    </row>
    <row r="2397">
      <c r="A2397" s="10"/>
      <c r="B2397" s="10"/>
      <c r="C2397" s="10"/>
      <c r="D2397" s="10"/>
      <c r="E2397" s="10"/>
      <c r="F2397" s="11"/>
      <c r="G2397" s="11"/>
      <c r="H2397" s="11"/>
      <c r="I2397" s="11"/>
      <c r="J2397" s="11"/>
      <c r="K2397" s="11"/>
      <c r="L2397" s="12"/>
      <c r="M2397" s="11"/>
      <c r="N2397" s="11"/>
      <c r="O2397" s="13"/>
      <c r="P2397" s="14"/>
      <c r="Q2397" s="13"/>
      <c r="R2397" s="13"/>
      <c r="S2397" s="15"/>
      <c r="T2397" s="16"/>
      <c r="U2397" s="16"/>
      <c r="V2397" s="16"/>
      <c r="W2397" s="16"/>
      <c r="X2397" s="16"/>
      <c r="Y2397" s="11"/>
      <c r="Z2397" s="11"/>
      <c r="AA2397" s="11"/>
      <c r="AB2397" s="11"/>
      <c r="AC2397" s="11"/>
      <c r="AD2397" s="11"/>
    </row>
    <row r="2398">
      <c r="A2398" s="10"/>
      <c r="B2398" s="10"/>
      <c r="C2398" s="10"/>
      <c r="D2398" s="10"/>
      <c r="E2398" s="10"/>
      <c r="F2398" s="11"/>
      <c r="G2398" s="11"/>
      <c r="H2398" s="11"/>
      <c r="I2398" s="11"/>
      <c r="J2398" s="11"/>
      <c r="K2398" s="11"/>
      <c r="L2398" s="12"/>
      <c r="M2398" s="11"/>
      <c r="N2398" s="11"/>
      <c r="O2398" s="13"/>
      <c r="P2398" s="14"/>
      <c r="Q2398" s="13"/>
      <c r="R2398" s="13"/>
      <c r="S2398" s="15"/>
      <c r="T2398" s="16"/>
      <c r="U2398" s="16"/>
      <c r="V2398" s="16"/>
      <c r="W2398" s="16"/>
      <c r="X2398" s="16"/>
      <c r="Y2398" s="11"/>
      <c r="Z2398" s="11"/>
      <c r="AA2398" s="11"/>
      <c r="AB2398" s="11"/>
      <c r="AC2398" s="11"/>
      <c r="AD2398" s="11"/>
    </row>
    <row r="2399">
      <c r="A2399" s="10"/>
      <c r="B2399" s="10"/>
      <c r="C2399" s="10"/>
      <c r="D2399" s="10"/>
      <c r="E2399" s="10"/>
      <c r="F2399" s="11"/>
      <c r="G2399" s="11"/>
      <c r="H2399" s="11"/>
      <c r="I2399" s="11"/>
      <c r="J2399" s="11"/>
      <c r="K2399" s="11"/>
      <c r="L2399" s="12"/>
      <c r="M2399" s="11"/>
      <c r="N2399" s="11"/>
      <c r="O2399" s="13"/>
      <c r="P2399" s="14"/>
      <c r="Q2399" s="13"/>
      <c r="R2399" s="13"/>
      <c r="S2399" s="15"/>
      <c r="T2399" s="16"/>
      <c r="U2399" s="16"/>
      <c r="V2399" s="16"/>
      <c r="W2399" s="16"/>
      <c r="X2399" s="16"/>
      <c r="Y2399" s="11"/>
      <c r="Z2399" s="11"/>
      <c r="AA2399" s="11"/>
      <c r="AB2399" s="11"/>
      <c r="AC2399" s="11"/>
      <c r="AD2399" s="11"/>
    </row>
    <row r="2400">
      <c r="A2400" s="10"/>
      <c r="B2400" s="10"/>
      <c r="C2400" s="10"/>
      <c r="D2400" s="10"/>
      <c r="E2400" s="10"/>
      <c r="F2400" s="11"/>
      <c r="G2400" s="11"/>
      <c r="H2400" s="11"/>
      <c r="I2400" s="11"/>
      <c r="J2400" s="11"/>
      <c r="K2400" s="11"/>
      <c r="L2400" s="12"/>
      <c r="M2400" s="11"/>
      <c r="N2400" s="11"/>
      <c r="O2400" s="13"/>
      <c r="P2400" s="14"/>
      <c r="Q2400" s="13"/>
      <c r="R2400" s="13"/>
      <c r="S2400" s="15"/>
      <c r="T2400" s="16"/>
      <c r="U2400" s="16"/>
      <c r="V2400" s="16"/>
      <c r="W2400" s="16"/>
      <c r="X2400" s="16"/>
      <c r="Y2400" s="11"/>
      <c r="Z2400" s="11"/>
      <c r="AA2400" s="11"/>
      <c r="AB2400" s="11"/>
      <c r="AC2400" s="11"/>
      <c r="AD2400" s="11"/>
    </row>
    <row r="2401">
      <c r="A2401" s="10"/>
      <c r="B2401" s="10"/>
      <c r="C2401" s="10"/>
      <c r="D2401" s="10"/>
      <c r="E2401" s="10"/>
      <c r="F2401" s="11"/>
      <c r="G2401" s="11"/>
      <c r="H2401" s="11"/>
      <c r="I2401" s="11"/>
      <c r="J2401" s="11"/>
      <c r="K2401" s="11"/>
      <c r="L2401" s="12"/>
      <c r="M2401" s="11"/>
      <c r="N2401" s="11"/>
      <c r="O2401" s="13"/>
      <c r="P2401" s="14"/>
      <c r="Q2401" s="13"/>
      <c r="R2401" s="13"/>
      <c r="S2401" s="15"/>
      <c r="T2401" s="16"/>
      <c r="U2401" s="16"/>
      <c r="V2401" s="16"/>
      <c r="W2401" s="16"/>
      <c r="X2401" s="16"/>
      <c r="Y2401" s="11"/>
      <c r="Z2401" s="11"/>
      <c r="AA2401" s="11"/>
      <c r="AB2401" s="11"/>
      <c r="AC2401" s="11"/>
      <c r="AD2401" s="11"/>
    </row>
    <row r="2402">
      <c r="A2402" s="10"/>
      <c r="B2402" s="10"/>
      <c r="C2402" s="10"/>
      <c r="D2402" s="10"/>
      <c r="E2402" s="10"/>
      <c r="F2402" s="11"/>
      <c r="G2402" s="11"/>
      <c r="H2402" s="11"/>
      <c r="I2402" s="11"/>
      <c r="J2402" s="11"/>
      <c r="K2402" s="11"/>
      <c r="L2402" s="12"/>
      <c r="M2402" s="11"/>
      <c r="N2402" s="11"/>
      <c r="O2402" s="13"/>
      <c r="P2402" s="14"/>
      <c r="Q2402" s="13"/>
      <c r="R2402" s="13"/>
      <c r="S2402" s="15"/>
      <c r="T2402" s="16"/>
      <c r="U2402" s="16"/>
      <c r="V2402" s="16"/>
      <c r="W2402" s="16"/>
      <c r="X2402" s="16"/>
      <c r="Y2402" s="11"/>
      <c r="Z2402" s="11"/>
      <c r="AA2402" s="11"/>
      <c r="AB2402" s="11"/>
      <c r="AC2402" s="11"/>
      <c r="AD2402" s="11"/>
    </row>
    <row r="2403">
      <c r="A2403" s="10"/>
      <c r="B2403" s="10"/>
      <c r="C2403" s="10"/>
      <c r="D2403" s="10"/>
      <c r="E2403" s="10"/>
      <c r="F2403" s="11"/>
      <c r="G2403" s="11"/>
      <c r="H2403" s="11"/>
      <c r="I2403" s="11"/>
      <c r="J2403" s="11"/>
      <c r="K2403" s="11"/>
      <c r="L2403" s="12"/>
      <c r="M2403" s="11"/>
      <c r="N2403" s="11"/>
      <c r="O2403" s="13"/>
      <c r="P2403" s="14"/>
      <c r="Q2403" s="13"/>
      <c r="R2403" s="13"/>
      <c r="S2403" s="15"/>
      <c r="T2403" s="16"/>
      <c r="U2403" s="16"/>
      <c r="V2403" s="16"/>
      <c r="W2403" s="16"/>
      <c r="X2403" s="16"/>
      <c r="Y2403" s="11"/>
      <c r="Z2403" s="11"/>
      <c r="AA2403" s="11"/>
      <c r="AB2403" s="11"/>
      <c r="AC2403" s="11"/>
      <c r="AD2403" s="11"/>
    </row>
    <row r="2404">
      <c r="A2404" s="10"/>
      <c r="B2404" s="10"/>
      <c r="C2404" s="10"/>
      <c r="D2404" s="10"/>
      <c r="E2404" s="10"/>
      <c r="F2404" s="11"/>
      <c r="G2404" s="11"/>
      <c r="H2404" s="11"/>
      <c r="I2404" s="11"/>
      <c r="J2404" s="11"/>
      <c r="K2404" s="11"/>
      <c r="L2404" s="12"/>
      <c r="M2404" s="11"/>
      <c r="N2404" s="11"/>
      <c r="O2404" s="13"/>
      <c r="P2404" s="14"/>
      <c r="Q2404" s="13"/>
      <c r="R2404" s="13"/>
      <c r="S2404" s="15"/>
      <c r="T2404" s="16"/>
      <c r="U2404" s="16"/>
      <c r="V2404" s="16"/>
      <c r="W2404" s="16"/>
      <c r="X2404" s="16"/>
      <c r="Y2404" s="11"/>
      <c r="Z2404" s="11"/>
      <c r="AA2404" s="11"/>
      <c r="AB2404" s="11"/>
      <c r="AC2404" s="11"/>
      <c r="AD2404" s="11"/>
    </row>
    <row r="2405">
      <c r="A2405" s="10"/>
      <c r="B2405" s="10"/>
      <c r="C2405" s="10"/>
      <c r="D2405" s="10"/>
      <c r="E2405" s="10"/>
      <c r="F2405" s="11"/>
      <c r="G2405" s="11"/>
      <c r="H2405" s="11"/>
      <c r="I2405" s="11"/>
      <c r="J2405" s="11"/>
      <c r="K2405" s="11"/>
      <c r="L2405" s="12"/>
      <c r="M2405" s="11"/>
      <c r="N2405" s="11"/>
      <c r="O2405" s="13"/>
      <c r="P2405" s="14"/>
      <c r="Q2405" s="13"/>
      <c r="R2405" s="13"/>
      <c r="S2405" s="15"/>
      <c r="T2405" s="16"/>
      <c r="U2405" s="16"/>
      <c r="V2405" s="16"/>
      <c r="W2405" s="16"/>
      <c r="X2405" s="16"/>
      <c r="Y2405" s="11"/>
      <c r="Z2405" s="11"/>
      <c r="AA2405" s="11"/>
      <c r="AB2405" s="11"/>
      <c r="AC2405" s="11"/>
      <c r="AD2405" s="11"/>
    </row>
    <row r="2406">
      <c r="A2406" s="10"/>
      <c r="B2406" s="10"/>
      <c r="C2406" s="10"/>
      <c r="D2406" s="10"/>
      <c r="E2406" s="10"/>
      <c r="F2406" s="11"/>
      <c r="G2406" s="11"/>
      <c r="H2406" s="11"/>
      <c r="I2406" s="11"/>
      <c r="J2406" s="11"/>
      <c r="K2406" s="11"/>
      <c r="L2406" s="12"/>
      <c r="M2406" s="11"/>
      <c r="N2406" s="11"/>
      <c r="O2406" s="13"/>
      <c r="P2406" s="14"/>
      <c r="Q2406" s="13"/>
      <c r="R2406" s="13"/>
      <c r="S2406" s="15"/>
      <c r="T2406" s="16"/>
      <c r="U2406" s="16"/>
      <c r="V2406" s="16"/>
      <c r="W2406" s="16"/>
      <c r="X2406" s="16"/>
      <c r="Y2406" s="11"/>
      <c r="Z2406" s="11"/>
      <c r="AA2406" s="11"/>
      <c r="AB2406" s="11"/>
      <c r="AC2406" s="11"/>
      <c r="AD2406" s="11"/>
    </row>
    <row r="2407">
      <c r="A2407" s="10"/>
      <c r="B2407" s="10"/>
      <c r="C2407" s="10"/>
      <c r="D2407" s="10"/>
      <c r="E2407" s="10"/>
      <c r="F2407" s="11"/>
      <c r="G2407" s="11"/>
      <c r="H2407" s="11"/>
      <c r="I2407" s="11"/>
      <c r="J2407" s="11"/>
      <c r="K2407" s="11"/>
      <c r="L2407" s="12"/>
      <c r="M2407" s="11"/>
      <c r="N2407" s="11"/>
      <c r="O2407" s="13"/>
      <c r="P2407" s="14"/>
      <c r="Q2407" s="13"/>
      <c r="R2407" s="13"/>
      <c r="S2407" s="15"/>
      <c r="T2407" s="16"/>
      <c r="U2407" s="16"/>
      <c r="V2407" s="16"/>
      <c r="W2407" s="16"/>
      <c r="X2407" s="16"/>
      <c r="Y2407" s="11"/>
      <c r="Z2407" s="11"/>
      <c r="AA2407" s="11"/>
      <c r="AB2407" s="11"/>
      <c r="AC2407" s="11"/>
      <c r="AD2407" s="11"/>
    </row>
    <row r="2408">
      <c r="A2408" s="10"/>
      <c r="B2408" s="10"/>
      <c r="C2408" s="10"/>
      <c r="D2408" s="10"/>
      <c r="E2408" s="10"/>
      <c r="F2408" s="11"/>
      <c r="G2408" s="11"/>
      <c r="H2408" s="11"/>
      <c r="I2408" s="11"/>
      <c r="J2408" s="11"/>
      <c r="K2408" s="11"/>
      <c r="L2408" s="12"/>
      <c r="M2408" s="11"/>
      <c r="N2408" s="11"/>
      <c r="O2408" s="13"/>
      <c r="P2408" s="14"/>
      <c r="Q2408" s="13"/>
      <c r="R2408" s="13"/>
      <c r="S2408" s="15"/>
      <c r="T2408" s="16"/>
      <c r="U2408" s="16"/>
      <c r="V2408" s="16"/>
      <c r="W2408" s="16"/>
      <c r="X2408" s="16"/>
      <c r="Y2408" s="11"/>
      <c r="Z2408" s="11"/>
      <c r="AA2408" s="11"/>
      <c r="AB2408" s="11"/>
      <c r="AC2408" s="11"/>
      <c r="AD2408" s="11"/>
    </row>
    <row r="2409">
      <c r="A2409" s="10"/>
      <c r="B2409" s="10"/>
      <c r="C2409" s="10"/>
      <c r="D2409" s="10"/>
      <c r="E2409" s="10"/>
      <c r="F2409" s="11"/>
      <c r="G2409" s="11"/>
      <c r="H2409" s="11"/>
      <c r="I2409" s="11"/>
      <c r="J2409" s="11"/>
      <c r="K2409" s="11"/>
      <c r="L2409" s="12"/>
      <c r="M2409" s="11"/>
      <c r="N2409" s="11"/>
      <c r="O2409" s="13"/>
      <c r="P2409" s="14"/>
      <c r="Q2409" s="13"/>
      <c r="R2409" s="13"/>
      <c r="S2409" s="15"/>
      <c r="T2409" s="16"/>
      <c r="U2409" s="16"/>
      <c r="V2409" s="16"/>
      <c r="W2409" s="16"/>
      <c r="X2409" s="16"/>
      <c r="Y2409" s="11"/>
      <c r="Z2409" s="11"/>
      <c r="AA2409" s="11"/>
      <c r="AB2409" s="11"/>
      <c r="AC2409" s="11"/>
      <c r="AD2409" s="11"/>
    </row>
    <row r="2410">
      <c r="A2410" s="10"/>
      <c r="B2410" s="10"/>
      <c r="C2410" s="10"/>
      <c r="D2410" s="10"/>
      <c r="E2410" s="10"/>
      <c r="F2410" s="11"/>
      <c r="G2410" s="11"/>
      <c r="H2410" s="11"/>
      <c r="I2410" s="11"/>
      <c r="J2410" s="11"/>
      <c r="K2410" s="11"/>
      <c r="L2410" s="12"/>
      <c r="M2410" s="11"/>
      <c r="N2410" s="11"/>
      <c r="O2410" s="13"/>
      <c r="P2410" s="14"/>
      <c r="Q2410" s="13"/>
      <c r="R2410" s="13"/>
      <c r="S2410" s="15"/>
      <c r="T2410" s="16"/>
      <c r="U2410" s="16"/>
      <c r="V2410" s="16"/>
      <c r="W2410" s="16"/>
      <c r="X2410" s="16"/>
      <c r="Y2410" s="11"/>
      <c r="Z2410" s="11"/>
      <c r="AA2410" s="11"/>
      <c r="AB2410" s="11"/>
      <c r="AC2410" s="11"/>
      <c r="AD2410" s="11"/>
    </row>
    <row r="2411">
      <c r="A2411" s="10"/>
      <c r="B2411" s="10"/>
      <c r="C2411" s="10"/>
      <c r="D2411" s="10"/>
      <c r="E2411" s="10"/>
      <c r="F2411" s="11"/>
      <c r="G2411" s="11"/>
      <c r="H2411" s="11"/>
      <c r="I2411" s="11"/>
      <c r="J2411" s="11"/>
      <c r="K2411" s="11"/>
      <c r="L2411" s="12"/>
      <c r="M2411" s="11"/>
      <c r="N2411" s="11"/>
      <c r="O2411" s="13"/>
      <c r="P2411" s="14"/>
      <c r="Q2411" s="13"/>
      <c r="R2411" s="13"/>
      <c r="S2411" s="15"/>
      <c r="T2411" s="16"/>
      <c r="U2411" s="16"/>
      <c r="V2411" s="16"/>
      <c r="W2411" s="16"/>
      <c r="X2411" s="16"/>
      <c r="Y2411" s="11"/>
      <c r="Z2411" s="11"/>
      <c r="AA2411" s="11"/>
      <c r="AB2411" s="11"/>
      <c r="AC2411" s="11"/>
      <c r="AD2411" s="11"/>
    </row>
    <row r="2412">
      <c r="A2412" s="10"/>
      <c r="B2412" s="10"/>
      <c r="C2412" s="10"/>
      <c r="D2412" s="10"/>
      <c r="E2412" s="10"/>
      <c r="F2412" s="11"/>
      <c r="G2412" s="11"/>
      <c r="H2412" s="11"/>
      <c r="I2412" s="11"/>
      <c r="J2412" s="11"/>
      <c r="K2412" s="11"/>
      <c r="L2412" s="12"/>
      <c r="M2412" s="11"/>
      <c r="N2412" s="11"/>
      <c r="O2412" s="13"/>
      <c r="P2412" s="14"/>
      <c r="Q2412" s="13"/>
      <c r="R2412" s="13"/>
      <c r="S2412" s="15"/>
      <c r="T2412" s="16"/>
      <c r="U2412" s="16"/>
      <c r="V2412" s="16"/>
      <c r="W2412" s="16"/>
      <c r="X2412" s="16"/>
      <c r="Y2412" s="11"/>
      <c r="Z2412" s="11"/>
      <c r="AA2412" s="11"/>
      <c r="AB2412" s="11"/>
      <c r="AC2412" s="11"/>
      <c r="AD2412" s="11"/>
    </row>
    <row r="2413">
      <c r="A2413" s="10"/>
      <c r="B2413" s="10"/>
      <c r="C2413" s="10"/>
      <c r="D2413" s="10"/>
      <c r="E2413" s="10"/>
      <c r="F2413" s="11"/>
      <c r="G2413" s="11"/>
      <c r="H2413" s="11"/>
      <c r="I2413" s="11"/>
      <c r="J2413" s="11"/>
      <c r="K2413" s="11"/>
      <c r="L2413" s="12"/>
      <c r="M2413" s="11"/>
      <c r="N2413" s="11"/>
      <c r="O2413" s="13"/>
      <c r="P2413" s="14"/>
      <c r="Q2413" s="13"/>
      <c r="R2413" s="13"/>
      <c r="S2413" s="15"/>
      <c r="T2413" s="16"/>
      <c r="U2413" s="16"/>
      <c r="V2413" s="16"/>
      <c r="W2413" s="16"/>
      <c r="X2413" s="16"/>
      <c r="Y2413" s="11"/>
      <c r="Z2413" s="11"/>
      <c r="AA2413" s="11"/>
      <c r="AB2413" s="11"/>
      <c r="AC2413" s="11"/>
      <c r="AD2413" s="11"/>
    </row>
    <row r="2414">
      <c r="A2414" s="10"/>
      <c r="B2414" s="10"/>
      <c r="C2414" s="10"/>
      <c r="D2414" s="10"/>
      <c r="E2414" s="10"/>
      <c r="F2414" s="11"/>
      <c r="G2414" s="11"/>
      <c r="H2414" s="11"/>
      <c r="I2414" s="11"/>
      <c r="J2414" s="11"/>
      <c r="K2414" s="11"/>
      <c r="L2414" s="12"/>
      <c r="M2414" s="11"/>
      <c r="N2414" s="11"/>
      <c r="O2414" s="13"/>
      <c r="P2414" s="14"/>
      <c r="Q2414" s="13"/>
      <c r="R2414" s="13"/>
      <c r="S2414" s="15"/>
      <c r="T2414" s="16"/>
      <c r="U2414" s="16"/>
      <c r="V2414" s="16"/>
      <c r="W2414" s="16"/>
      <c r="X2414" s="16"/>
      <c r="Y2414" s="11"/>
      <c r="Z2414" s="11"/>
      <c r="AA2414" s="11"/>
      <c r="AB2414" s="11"/>
      <c r="AC2414" s="11"/>
      <c r="AD2414" s="11"/>
    </row>
    <row r="2415">
      <c r="A2415" s="10"/>
      <c r="B2415" s="10"/>
      <c r="C2415" s="10"/>
      <c r="D2415" s="10"/>
      <c r="E2415" s="10"/>
      <c r="F2415" s="11"/>
      <c r="G2415" s="11"/>
      <c r="H2415" s="11"/>
      <c r="I2415" s="11"/>
      <c r="J2415" s="11"/>
      <c r="K2415" s="11"/>
      <c r="L2415" s="12"/>
      <c r="M2415" s="11"/>
      <c r="N2415" s="11"/>
      <c r="O2415" s="13"/>
      <c r="P2415" s="14"/>
      <c r="Q2415" s="13"/>
      <c r="R2415" s="13"/>
      <c r="S2415" s="15"/>
      <c r="T2415" s="16"/>
      <c r="U2415" s="16"/>
      <c r="V2415" s="16"/>
      <c r="W2415" s="16"/>
      <c r="X2415" s="16"/>
      <c r="Y2415" s="11"/>
      <c r="Z2415" s="11"/>
      <c r="AA2415" s="11"/>
      <c r="AB2415" s="11"/>
      <c r="AC2415" s="11"/>
      <c r="AD2415" s="11"/>
    </row>
    <row r="2416">
      <c r="A2416" s="10"/>
      <c r="B2416" s="10"/>
      <c r="C2416" s="10"/>
      <c r="D2416" s="10"/>
      <c r="E2416" s="10"/>
      <c r="F2416" s="11"/>
      <c r="G2416" s="11"/>
      <c r="H2416" s="11"/>
      <c r="I2416" s="11"/>
      <c r="J2416" s="11"/>
      <c r="K2416" s="11"/>
      <c r="L2416" s="12"/>
      <c r="M2416" s="11"/>
      <c r="N2416" s="11"/>
      <c r="O2416" s="13"/>
      <c r="P2416" s="14"/>
      <c r="Q2416" s="13"/>
      <c r="R2416" s="13"/>
      <c r="S2416" s="15"/>
      <c r="T2416" s="16"/>
      <c r="U2416" s="16"/>
      <c r="V2416" s="16"/>
      <c r="W2416" s="16"/>
      <c r="X2416" s="16"/>
      <c r="Y2416" s="11"/>
      <c r="Z2416" s="11"/>
      <c r="AA2416" s="11"/>
      <c r="AB2416" s="11"/>
      <c r="AC2416" s="11"/>
      <c r="AD2416" s="11"/>
    </row>
    <row r="2417">
      <c r="A2417" s="10"/>
      <c r="B2417" s="10"/>
      <c r="C2417" s="10"/>
      <c r="D2417" s="10"/>
      <c r="E2417" s="10"/>
      <c r="F2417" s="11"/>
      <c r="G2417" s="11"/>
      <c r="H2417" s="11"/>
      <c r="I2417" s="11"/>
      <c r="J2417" s="11"/>
      <c r="K2417" s="11"/>
      <c r="L2417" s="12"/>
      <c r="M2417" s="11"/>
      <c r="N2417" s="11"/>
      <c r="O2417" s="13"/>
      <c r="P2417" s="14"/>
      <c r="Q2417" s="13"/>
      <c r="R2417" s="13"/>
      <c r="S2417" s="15"/>
      <c r="T2417" s="16"/>
      <c r="U2417" s="16"/>
      <c r="V2417" s="16"/>
      <c r="W2417" s="16"/>
      <c r="X2417" s="16"/>
      <c r="Y2417" s="11"/>
      <c r="Z2417" s="11"/>
      <c r="AA2417" s="11"/>
      <c r="AB2417" s="11"/>
      <c r="AC2417" s="11"/>
      <c r="AD2417" s="11"/>
    </row>
    <row r="2418">
      <c r="A2418" s="10"/>
      <c r="B2418" s="10"/>
      <c r="C2418" s="10"/>
      <c r="D2418" s="10"/>
      <c r="E2418" s="10"/>
      <c r="F2418" s="11"/>
      <c r="G2418" s="11"/>
      <c r="H2418" s="11"/>
      <c r="I2418" s="11"/>
      <c r="J2418" s="11"/>
      <c r="K2418" s="11"/>
      <c r="L2418" s="12"/>
      <c r="M2418" s="11"/>
      <c r="N2418" s="11"/>
      <c r="O2418" s="13"/>
      <c r="P2418" s="14"/>
      <c r="Q2418" s="13"/>
      <c r="R2418" s="13"/>
      <c r="S2418" s="15"/>
      <c r="T2418" s="16"/>
      <c r="U2418" s="16"/>
      <c r="V2418" s="16"/>
      <c r="W2418" s="16"/>
      <c r="X2418" s="16"/>
      <c r="Y2418" s="11"/>
      <c r="Z2418" s="11"/>
      <c r="AA2418" s="11"/>
      <c r="AB2418" s="11"/>
      <c r="AC2418" s="11"/>
      <c r="AD2418" s="11"/>
    </row>
    <row r="2419">
      <c r="A2419" s="10"/>
      <c r="B2419" s="10"/>
      <c r="C2419" s="10"/>
      <c r="D2419" s="10"/>
      <c r="E2419" s="10"/>
      <c r="F2419" s="11"/>
      <c r="G2419" s="11"/>
      <c r="H2419" s="11"/>
      <c r="I2419" s="11"/>
      <c r="J2419" s="11"/>
      <c r="K2419" s="11"/>
      <c r="L2419" s="12"/>
      <c r="M2419" s="11"/>
      <c r="N2419" s="11"/>
      <c r="O2419" s="13"/>
      <c r="P2419" s="14"/>
      <c r="Q2419" s="13"/>
      <c r="R2419" s="13"/>
      <c r="S2419" s="15"/>
      <c r="T2419" s="16"/>
      <c r="U2419" s="16"/>
      <c r="V2419" s="16"/>
      <c r="W2419" s="16"/>
      <c r="X2419" s="16"/>
      <c r="Y2419" s="11"/>
      <c r="Z2419" s="11"/>
      <c r="AA2419" s="11"/>
      <c r="AB2419" s="11"/>
      <c r="AC2419" s="11"/>
      <c r="AD2419" s="11"/>
    </row>
    <row r="2420">
      <c r="A2420" s="10"/>
      <c r="B2420" s="10"/>
      <c r="C2420" s="10"/>
      <c r="D2420" s="10"/>
      <c r="E2420" s="10"/>
      <c r="F2420" s="11"/>
      <c r="G2420" s="11"/>
      <c r="H2420" s="11"/>
      <c r="I2420" s="11"/>
      <c r="J2420" s="11"/>
      <c r="K2420" s="11"/>
      <c r="L2420" s="12"/>
      <c r="M2420" s="11"/>
      <c r="N2420" s="11"/>
      <c r="O2420" s="13"/>
      <c r="P2420" s="14"/>
      <c r="Q2420" s="13"/>
      <c r="R2420" s="13"/>
      <c r="S2420" s="15"/>
      <c r="T2420" s="16"/>
      <c r="U2420" s="16"/>
      <c r="V2420" s="16"/>
      <c r="W2420" s="16"/>
      <c r="X2420" s="16"/>
      <c r="Y2420" s="11"/>
      <c r="Z2420" s="11"/>
      <c r="AA2420" s="11"/>
      <c r="AB2420" s="11"/>
      <c r="AC2420" s="11"/>
      <c r="AD2420" s="11"/>
    </row>
    <row r="2421">
      <c r="A2421" s="10"/>
      <c r="B2421" s="10"/>
      <c r="C2421" s="10"/>
      <c r="D2421" s="10"/>
      <c r="E2421" s="10"/>
      <c r="F2421" s="11"/>
      <c r="G2421" s="11"/>
      <c r="H2421" s="11"/>
      <c r="I2421" s="11"/>
      <c r="J2421" s="11"/>
      <c r="K2421" s="11"/>
      <c r="L2421" s="12"/>
      <c r="M2421" s="11"/>
      <c r="N2421" s="11"/>
      <c r="O2421" s="13"/>
      <c r="P2421" s="14"/>
      <c r="Q2421" s="13"/>
      <c r="R2421" s="13"/>
      <c r="S2421" s="15"/>
      <c r="T2421" s="16"/>
      <c r="U2421" s="16"/>
      <c r="V2421" s="16"/>
      <c r="W2421" s="16"/>
      <c r="X2421" s="16"/>
      <c r="Y2421" s="11"/>
      <c r="Z2421" s="11"/>
      <c r="AA2421" s="11"/>
      <c r="AB2421" s="11"/>
      <c r="AC2421" s="11"/>
      <c r="AD2421" s="11"/>
    </row>
    <row r="2422">
      <c r="A2422" s="10"/>
      <c r="B2422" s="10"/>
      <c r="C2422" s="10"/>
      <c r="D2422" s="10"/>
      <c r="E2422" s="10"/>
      <c r="F2422" s="11"/>
      <c r="G2422" s="11"/>
      <c r="H2422" s="11"/>
      <c r="I2422" s="11"/>
      <c r="J2422" s="11"/>
      <c r="K2422" s="11"/>
      <c r="L2422" s="12"/>
      <c r="M2422" s="11"/>
      <c r="N2422" s="11"/>
      <c r="O2422" s="13"/>
      <c r="P2422" s="14"/>
      <c r="Q2422" s="13"/>
      <c r="R2422" s="13"/>
      <c r="S2422" s="15"/>
      <c r="T2422" s="16"/>
      <c r="U2422" s="16"/>
      <c r="V2422" s="16"/>
      <c r="W2422" s="16"/>
      <c r="X2422" s="16"/>
      <c r="Y2422" s="11"/>
      <c r="Z2422" s="11"/>
      <c r="AA2422" s="11"/>
      <c r="AB2422" s="11"/>
      <c r="AC2422" s="11"/>
      <c r="AD2422" s="11"/>
    </row>
    <row r="2423">
      <c r="A2423" s="10"/>
      <c r="B2423" s="10"/>
      <c r="C2423" s="10"/>
      <c r="D2423" s="10"/>
      <c r="E2423" s="10"/>
      <c r="F2423" s="11"/>
      <c r="G2423" s="11"/>
      <c r="H2423" s="11"/>
      <c r="I2423" s="11"/>
      <c r="J2423" s="11"/>
      <c r="K2423" s="11"/>
      <c r="L2423" s="12"/>
      <c r="M2423" s="11"/>
      <c r="N2423" s="11"/>
      <c r="O2423" s="13"/>
      <c r="P2423" s="14"/>
      <c r="Q2423" s="13"/>
      <c r="R2423" s="13"/>
      <c r="S2423" s="15"/>
      <c r="T2423" s="16"/>
      <c r="U2423" s="16"/>
      <c r="V2423" s="16"/>
      <c r="W2423" s="16"/>
      <c r="X2423" s="16"/>
      <c r="Y2423" s="11"/>
      <c r="Z2423" s="11"/>
      <c r="AA2423" s="11"/>
      <c r="AB2423" s="11"/>
      <c r="AC2423" s="11"/>
      <c r="AD2423" s="11"/>
    </row>
    <row r="2424">
      <c r="A2424" s="10"/>
      <c r="B2424" s="10"/>
      <c r="C2424" s="10"/>
      <c r="D2424" s="10"/>
      <c r="E2424" s="10"/>
      <c r="F2424" s="11"/>
      <c r="G2424" s="11"/>
      <c r="H2424" s="11"/>
      <c r="I2424" s="11"/>
      <c r="J2424" s="11"/>
      <c r="K2424" s="11"/>
      <c r="L2424" s="12"/>
      <c r="M2424" s="11"/>
      <c r="N2424" s="11"/>
      <c r="O2424" s="13"/>
      <c r="P2424" s="14"/>
      <c r="Q2424" s="13"/>
      <c r="R2424" s="13"/>
      <c r="S2424" s="15"/>
      <c r="T2424" s="16"/>
      <c r="U2424" s="16"/>
      <c r="V2424" s="16"/>
      <c r="W2424" s="16"/>
      <c r="X2424" s="16"/>
      <c r="Y2424" s="11"/>
      <c r="Z2424" s="11"/>
      <c r="AA2424" s="11"/>
      <c r="AB2424" s="11"/>
      <c r="AC2424" s="11"/>
      <c r="AD2424" s="11"/>
    </row>
    <row r="2425">
      <c r="A2425" s="10"/>
      <c r="B2425" s="10"/>
      <c r="C2425" s="10"/>
      <c r="D2425" s="10"/>
      <c r="E2425" s="10"/>
      <c r="F2425" s="11"/>
      <c r="G2425" s="11"/>
      <c r="H2425" s="11"/>
      <c r="I2425" s="11"/>
      <c r="J2425" s="11"/>
      <c r="K2425" s="11"/>
      <c r="L2425" s="12"/>
      <c r="M2425" s="11"/>
      <c r="N2425" s="11"/>
      <c r="O2425" s="13"/>
      <c r="P2425" s="14"/>
      <c r="Q2425" s="13"/>
      <c r="R2425" s="13"/>
      <c r="S2425" s="15"/>
      <c r="T2425" s="16"/>
      <c r="U2425" s="16"/>
      <c r="V2425" s="16"/>
      <c r="W2425" s="16"/>
      <c r="X2425" s="16"/>
      <c r="Y2425" s="11"/>
      <c r="Z2425" s="11"/>
      <c r="AA2425" s="11"/>
      <c r="AB2425" s="11"/>
      <c r="AC2425" s="11"/>
      <c r="AD2425" s="11"/>
    </row>
    <row r="2426">
      <c r="A2426" s="10"/>
      <c r="B2426" s="10"/>
      <c r="C2426" s="10"/>
      <c r="D2426" s="10"/>
      <c r="E2426" s="10"/>
      <c r="F2426" s="11"/>
      <c r="G2426" s="11"/>
      <c r="H2426" s="11"/>
      <c r="I2426" s="11"/>
      <c r="J2426" s="11"/>
      <c r="K2426" s="11"/>
      <c r="L2426" s="12"/>
      <c r="M2426" s="11"/>
      <c r="N2426" s="11"/>
      <c r="O2426" s="13"/>
      <c r="P2426" s="14"/>
      <c r="Q2426" s="13"/>
      <c r="R2426" s="13"/>
      <c r="S2426" s="15"/>
      <c r="T2426" s="16"/>
      <c r="U2426" s="16"/>
      <c r="V2426" s="16"/>
      <c r="W2426" s="16"/>
      <c r="X2426" s="16"/>
      <c r="Y2426" s="11"/>
      <c r="Z2426" s="11"/>
      <c r="AA2426" s="11"/>
      <c r="AB2426" s="11"/>
      <c r="AC2426" s="11"/>
      <c r="AD2426" s="11"/>
    </row>
    <row r="2427">
      <c r="A2427" s="10"/>
      <c r="B2427" s="10"/>
      <c r="C2427" s="10"/>
      <c r="D2427" s="10"/>
      <c r="E2427" s="10"/>
      <c r="F2427" s="11"/>
      <c r="G2427" s="11"/>
      <c r="H2427" s="11"/>
      <c r="I2427" s="11"/>
      <c r="J2427" s="11"/>
      <c r="K2427" s="11"/>
      <c r="L2427" s="12"/>
      <c r="M2427" s="11"/>
      <c r="N2427" s="11"/>
      <c r="O2427" s="13"/>
      <c r="P2427" s="14"/>
      <c r="Q2427" s="13"/>
      <c r="R2427" s="13"/>
      <c r="S2427" s="15"/>
      <c r="T2427" s="16"/>
      <c r="U2427" s="16"/>
      <c r="V2427" s="16"/>
      <c r="W2427" s="16"/>
      <c r="X2427" s="16"/>
      <c r="Y2427" s="11"/>
      <c r="Z2427" s="11"/>
      <c r="AA2427" s="11"/>
      <c r="AB2427" s="11"/>
      <c r="AC2427" s="11"/>
      <c r="AD2427" s="11"/>
    </row>
    <row r="2428">
      <c r="A2428" s="10"/>
      <c r="B2428" s="10"/>
      <c r="C2428" s="10"/>
      <c r="D2428" s="10"/>
      <c r="E2428" s="10"/>
      <c r="F2428" s="11"/>
      <c r="G2428" s="11"/>
      <c r="H2428" s="11"/>
      <c r="I2428" s="11"/>
      <c r="J2428" s="11"/>
      <c r="K2428" s="11"/>
      <c r="L2428" s="12"/>
      <c r="M2428" s="11"/>
      <c r="N2428" s="11"/>
      <c r="O2428" s="13"/>
      <c r="P2428" s="14"/>
      <c r="Q2428" s="13"/>
      <c r="R2428" s="13"/>
      <c r="S2428" s="15"/>
      <c r="T2428" s="16"/>
      <c r="U2428" s="16"/>
      <c r="V2428" s="16"/>
      <c r="W2428" s="16"/>
      <c r="X2428" s="16"/>
      <c r="Y2428" s="11"/>
      <c r="Z2428" s="11"/>
      <c r="AA2428" s="11"/>
      <c r="AB2428" s="11"/>
      <c r="AC2428" s="11"/>
      <c r="AD2428" s="11"/>
    </row>
    <row r="2429">
      <c r="A2429" s="10"/>
      <c r="B2429" s="10"/>
      <c r="C2429" s="10"/>
      <c r="D2429" s="10"/>
      <c r="E2429" s="10"/>
      <c r="F2429" s="11"/>
      <c r="G2429" s="11"/>
      <c r="H2429" s="11"/>
      <c r="I2429" s="11"/>
      <c r="J2429" s="11"/>
      <c r="K2429" s="11"/>
      <c r="L2429" s="12"/>
      <c r="M2429" s="11"/>
      <c r="N2429" s="11"/>
      <c r="O2429" s="13"/>
      <c r="P2429" s="14"/>
      <c r="Q2429" s="13"/>
      <c r="R2429" s="13"/>
      <c r="S2429" s="15"/>
      <c r="T2429" s="16"/>
      <c r="U2429" s="16"/>
      <c r="V2429" s="16"/>
      <c r="W2429" s="16"/>
      <c r="X2429" s="16"/>
      <c r="Y2429" s="11"/>
      <c r="Z2429" s="11"/>
      <c r="AA2429" s="11"/>
      <c r="AB2429" s="11"/>
      <c r="AC2429" s="11"/>
      <c r="AD2429" s="11"/>
    </row>
    <row r="2430">
      <c r="A2430" s="10"/>
      <c r="B2430" s="10"/>
      <c r="C2430" s="10"/>
      <c r="D2430" s="10"/>
      <c r="E2430" s="10"/>
      <c r="F2430" s="11"/>
      <c r="G2430" s="11"/>
      <c r="H2430" s="11"/>
      <c r="I2430" s="11"/>
      <c r="J2430" s="11"/>
      <c r="K2430" s="11"/>
      <c r="L2430" s="12"/>
      <c r="M2430" s="11"/>
      <c r="N2430" s="11"/>
      <c r="O2430" s="13"/>
      <c r="P2430" s="14"/>
      <c r="Q2430" s="13"/>
      <c r="R2430" s="13"/>
      <c r="S2430" s="15"/>
      <c r="T2430" s="16"/>
      <c r="U2430" s="16"/>
      <c r="V2430" s="16"/>
      <c r="W2430" s="16"/>
      <c r="X2430" s="16"/>
      <c r="Y2430" s="11"/>
      <c r="Z2430" s="11"/>
      <c r="AA2430" s="11"/>
      <c r="AB2430" s="11"/>
      <c r="AC2430" s="11"/>
      <c r="AD2430" s="11"/>
    </row>
    <row r="2431">
      <c r="A2431" s="10"/>
      <c r="B2431" s="10"/>
      <c r="C2431" s="10"/>
      <c r="D2431" s="10"/>
      <c r="E2431" s="10"/>
      <c r="F2431" s="11"/>
      <c r="G2431" s="11"/>
      <c r="H2431" s="11"/>
      <c r="I2431" s="11"/>
      <c r="J2431" s="11"/>
      <c r="K2431" s="11"/>
      <c r="L2431" s="12"/>
      <c r="M2431" s="11"/>
      <c r="N2431" s="11"/>
      <c r="O2431" s="13"/>
      <c r="P2431" s="14"/>
      <c r="Q2431" s="13"/>
      <c r="R2431" s="13"/>
      <c r="S2431" s="15"/>
      <c r="T2431" s="16"/>
      <c r="U2431" s="16"/>
      <c r="V2431" s="16"/>
      <c r="W2431" s="16"/>
      <c r="X2431" s="16"/>
      <c r="Y2431" s="11"/>
      <c r="Z2431" s="11"/>
      <c r="AA2431" s="11"/>
      <c r="AB2431" s="11"/>
      <c r="AC2431" s="11"/>
      <c r="AD2431" s="11"/>
    </row>
    <row r="2432">
      <c r="A2432" s="10"/>
      <c r="B2432" s="10"/>
      <c r="C2432" s="10"/>
      <c r="D2432" s="10"/>
      <c r="E2432" s="10"/>
      <c r="F2432" s="11"/>
      <c r="G2432" s="11"/>
      <c r="H2432" s="11"/>
      <c r="I2432" s="11"/>
      <c r="J2432" s="11"/>
      <c r="K2432" s="11"/>
      <c r="L2432" s="12"/>
      <c r="M2432" s="11"/>
      <c r="N2432" s="11"/>
      <c r="O2432" s="13"/>
      <c r="P2432" s="14"/>
      <c r="Q2432" s="13"/>
      <c r="R2432" s="13"/>
      <c r="S2432" s="15"/>
      <c r="T2432" s="16"/>
      <c r="U2432" s="16"/>
      <c r="V2432" s="16"/>
      <c r="W2432" s="16"/>
      <c r="X2432" s="16"/>
      <c r="Y2432" s="11"/>
      <c r="Z2432" s="11"/>
      <c r="AA2432" s="11"/>
      <c r="AB2432" s="11"/>
      <c r="AC2432" s="11"/>
      <c r="AD2432" s="11"/>
    </row>
    <row r="2433">
      <c r="A2433" s="10"/>
      <c r="B2433" s="10"/>
      <c r="C2433" s="10"/>
      <c r="D2433" s="10"/>
      <c r="E2433" s="10"/>
      <c r="F2433" s="11"/>
      <c r="G2433" s="11"/>
      <c r="H2433" s="11"/>
      <c r="I2433" s="11"/>
      <c r="J2433" s="11"/>
      <c r="K2433" s="11"/>
      <c r="L2433" s="12"/>
      <c r="M2433" s="11"/>
      <c r="N2433" s="11"/>
      <c r="O2433" s="13"/>
      <c r="P2433" s="14"/>
      <c r="Q2433" s="13"/>
      <c r="R2433" s="13"/>
      <c r="S2433" s="15"/>
      <c r="T2433" s="16"/>
      <c r="U2433" s="16"/>
      <c r="V2433" s="16"/>
      <c r="W2433" s="16"/>
      <c r="X2433" s="16"/>
      <c r="Y2433" s="11"/>
      <c r="Z2433" s="11"/>
      <c r="AA2433" s="11"/>
      <c r="AB2433" s="11"/>
      <c r="AC2433" s="11"/>
      <c r="AD2433" s="11"/>
    </row>
    <row r="2434">
      <c r="A2434" s="10"/>
      <c r="B2434" s="10"/>
      <c r="C2434" s="10"/>
      <c r="D2434" s="10"/>
      <c r="E2434" s="10"/>
      <c r="F2434" s="11"/>
      <c r="G2434" s="11"/>
      <c r="H2434" s="11"/>
      <c r="I2434" s="11"/>
      <c r="J2434" s="11"/>
      <c r="K2434" s="11"/>
      <c r="L2434" s="12"/>
      <c r="M2434" s="11"/>
      <c r="N2434" s="11"/>
      <c r="O2434" s="13"/>
      <c r="P2434" s="14"/>
      <c r="Q2434" s="13"/>
      <c r="R2434" s="13"/>
      <c r="S2434" s="15"/>
      <c r="T2434" s="16"/>
      <c r="U2434" s="16"/>
      <c r="V2434" s="16"/>
      <c r="W2434" s="16"/>
      <c r="X2434" s="16"/>
      <c r="Y2434" s="11"/>
      <c r="Z2434" s="11"/>
      <c r="AA2434" s="11"/>
      <c r="AB2434" s="11"/>
      <c r="AC2434" s="11"/>
      <c r="AD2434" s="11"/>
    </row>
    <row r="2435">
      <c r="A2435" s="10"/>
      <c r="B2435" s="10"/>
      <c r="C2435" s="10"/>
      <c r="D2435" s="10"/>
      <c r="E2435" s="10"/>
      <c r="F2435" s="11"/>
      <c r="G2435" s="11"/>
      <c r="H2435" s="11"/>
      <c r="I2435" s="11"/>
      <c r="J2435" s="11"/>
      <c r="K2435" s="11"/>
      <c r="L2435" s="12"/>
      <c r="M2435" s="11"/>
      <c r="N2435" s="11"/>
      <c r="O2435" s="13"/>
      <c r="P2435" s="14"/>
      <c r="Q2435" s="13"/>
      <c r="R2435" s="13"/>
      <c r="S2435" s="15"/>
      <c r="T2435" s="16"/>
      <c r="U2435" s="16"/>
      <c r="V2435" s="16"/>
      <c r="W2435" s="16"/>
      <c r="X2435" s="16"/>
      <c r="Y2435" s="11"/>
      <c r="Z2435" s="11"/>
      <c r="AA2435" s="11"/>
      <c r="AB2435" s="11"/>
      <c r="AC2435" s="11"/>
      <c r="AD2435" s="11"/>
    </row>
    <row r="2436">
      <c r="A2436" s="10"/>
      <c r="B2436" s="10"/>
      <c r="C2436" s="10"/>
      <c r="D2436" s="10"/>
      <c r="E2436" s="10"/>
      <c r="F2436" s="11"/>
      <c r="G2436" s="11"/>
      <c r="H2436" s="11"/>
      <c r="I2436" s="11"/>
      <c r="J2436" s="11"/>
      <c r="K2436" s="11"/>
      <c r="L2436" s="12"/>
      <c r="M2436" s="11"/>
      <c r="N2436" s="11"/>
      <c r="O2436" s="13"/>
      <c r="P2436" s="14"/>
      <c r="Q2436" s="13"/>
      <c r="R2436" s="13"/>
      <c r="S2436" s="15"/>
      <c r="T2436" s="16"/>
      <c r="U2436" s="16"/>
      <c r="V2436" s="16"/>
      <c r="W2436" s="16"/>
      <c r="X2436" s="16"/>
      <c r="Y2436" s="11"/>
      <c r="Z2436" s="11"/>
      <c r="AA2436" s="11"/>
      <c r="AB2436" s="11"/>
      <c r="AC2436" s="11"/>
      <c r="AD2436" s="11"/>
    </row>
    <row r="2437">
      <c r="A2437" s="10"/>
      <c r="B2437" s="10"/>
      <c r="C2437" s="10"/>
      <c r="D2437" s="10"/>
      <c r="E2437" s="10"/>
      <c r="F2437" s="11"/>
      <c r="G2437" s="11"/>
      <c r="H2437" s="11"/>
      <c r="I2437" s="11"/>
      <c r="J2437" s="11"/>
      <c r="K2437" s="11"/>
      <c r="L2437" s="12"/>
      <c r="M2437" s="11"/>
      <c r="N2437" s="11"/>
      <c r="O2437" s="13"/>
      <c r="P2437" s="14"/>
      <c r="Q2437" s="13"/>
      <c r="R2437" s="13"/>
      <c r="S2437" s="15"/>
      <c r="T2437" s="16"/>
      <c r="U2437" s="16"/>
      <c r="V2437" s="16"/>
      <c r="W2437" s="16"/>
      <c r="X2437" s="16"/>
      <c r="Y2437" s="11"/>
      <c r="Z2437" s="11"/>
      <c r="AA2437" s="11"/>
      <c r="AB2437" s="11"/>
      <c r="AC2437" s="11"/>
      <c r="AD2437" s="11"/>
    </row>
    <row r="2438">
      <c r="A2438" s="10"/>
      <c r="B2438" s="10"/>
      <c r="C2438" s="10"/>
      <c r="D2438" s="10"/>
      <c r="E2438" s="10"/>
      <c r="F2438" s="11"/>
      <c r="G2438" s="11"/>
      <c r="H2438" s="11"/>
      <c r="I2438" s="11"/>
      <c r="J2438" s="11"/>
      <c r="K2438" s="11"/>
      <c r="L2438" s="12"/>
      <c r="M2438" s="11"/>
      <c r="N2438" s="11"/>
      <c r="O2438" s="13"/>
      <c r="P2438" s="14"/>
      <c r="Q2438" s="13"/>
      <c r="R2438" s="13"/>
      <c r="S2438" s="15"/>
      <c r="T2438" s="16"/>
      <c r="U2438" s="16"/>
      <c r="V2438" s="16"/>
      <c r="W2438" s="16"/>
      <c r="X2438" s="16"/>
      <c r="Y2438" s="11"/>
      <c r="Z2438" s="11"/>
      <c r="AA2438" s="11"/>
      <c r="AB2438" s="11"/>
      <c r="AC2438" s="11"/>
      <c r="AD2438" s="11"/>
    </row>
    <row r="2439">
      <c r="A2439" s="10"/>
      <c r="B2439" s="10"/>
      <c r="C2439" s="10"/>
      <c r="D2439" s="10"/>
      <c r="E2439" s="10"/>
      <c r="F2439" s="11"/>
      <c r="G2439" s="11"/>
      <c r="H2439" s="11"/>
      <c r="I2439" s="11"/>
      <c r="J2439" s="11"/>
      <c r="K2439" s="11"/>
      <c r="L2439" s="12"/>
      <c r="M2439" s="11"/>
      <c r="N2439" s="11"/>
      <c r="O2439" s="13"/>
      <c r="P2439" s="14"/>
      <c r="Q2439" s="13"/>
      <c r="R2439" s="13"/>
      <c r="S2439" s="15"/>
      <c r="T2439" s="16"/>
      <c r="U2439" s="16"/>
      <c r="V2439" s="16"/>
      <c r="W2439" s="16"/>
      <c r="X2439" s="16"/>
      <c r="Y2439" s="11"/>
      <c r="Z2439" s="11"/>
      <c r="AA2439" s="11"/>
      <c r="AB2439" s="11"/>
      <c r="AC2439" s="11"/>
      <c r="AD2439" s="11"/>
    </row>
    <row r="2440">
      <c r="A2440" s="10"/>
      <c r="B2440" s="10"/>
      <c r="C2440" s="10"/>
      <c r="D2440" s="10"/>
      <c r="E2440" s="10"/>
      <c r="F2440" s="11"/>
      <c r="G2440" s="11"/>
      <c r="H2440" s="11"/>
      <c r="I2440" s="11"/>
      <c r="J2440" s="11"/>
      <c r="K2440" s="11"/>
      <c r="L2440" s="12"/>
      <c r="M2440" s="11"/>
      <c r="N2440" s="11"/>
      <c r="O2440" s="13"/>
      <c r="P2440" s="14"/>
      <c r="Q2440" s="13"/>
      <c r="R2440" s="13"/>
      <c r="S2440" s="15"/>
      <c r="T2440" s="16"/>
      <c r="U2440" s="16"/>
      <c r="V2440" s="16"/>
      <c r="W2440" s="16"/>
      <c r="X2440" s="16"/>
      <c r="Y2440" s="11"/>
      <c r="Z2440" s="11"/>
      <c r="AA2440" s="11"/>
      <c r="AB2440" s="11"/>
      <c r="AC2440" s="11"/>
      <c r="AD2440" s="11"/>
    </row>
    <row r="2441">
      <c r="A2441" s="10"/>
      <c r="B2441" s="10"/>
      <c r="C2441" s="10"/>
      <c r="D2441" s="10"/>
      <c r="E2441" s="10"/>
      <c r="F2441" s="11"/>
      <c r="G2441" s="11"/>
      <c r="H2441" s="11"/>
      <c r="I2441" s="11"/>
      <c r="J2441" s="11"/>
      <c r="K2441" s="11"/>
      <c r="L2441" s="12"/>
      <c r="M2441" s="11"/>
      <c r="N2441" s="11"/>
      <c r="O2441" s="13"/>
      <c r="P2441" s="14"/>
      <c r="Q2441" s="13"/>
      <c r="R2441" s="13"/>
      <c r="S2441" s="15"/>
      <c r="T2441" s="16"/>
      <c r="U2441" s="16"/>
      <c r="V2441" s="16"/>
      <c r="W2441" s="16"/>
      <c r="X2441" s="16"/>
      <c r="Y2441" s="11"/>
      <c r="Z2441" s="11"/>
      <c r="AA2441" s="11"/>
      <c r="AB2441" s="11"/>
      <c r="AC2441" s="11"/>
      <c r="AD2441" s="11"/>
    </row>
    <row r="2442">
      <c r="A2442" s="10"/>
      <c r="B2442" s="10"/>
      <c r="C2442" s="10"/>
      <c r="D2442" s="10"/>
      <c r="E2442" s="10"/>
      <c r="F2442" s="11"/>
      <c r="G2442" s="11"/>
      <c r="H2442" s="11"/>
      <c r="I2442" s="11"/>
      <c r="J2442" s="11"/>
      <c r="K2442" s="11"/>
      <c r="L2442" s="12"/>
      <c r="M2442" s="11"/>
      <c r="N2442" s="11"/>
      <c r="O2442" s="13"/>
      <c r="P2442" s="14"/>
      <c r="Q2442" s="13"/>
      <c r="R2442" s="13"/>
      <c r="S2442" s="15"/>
      <c r="T2442" s="16"/>
      <c r="U2442" s="16"/>
      <c r="V2442" s="16"/>
      <c r="W2442" s="16"/>
      <c r="X2442" s="16"/>
      <c r="Y2442" s="11"/>
      <c r="Z2442" s="11"/>
      <c r="AA2442" s="11"/>
      <c r="AB2442" s="11"/>
      <c r="AC2442" s="11"/>
      <c r="AD2442" s="11"/>
    </row>
    <row r="2443">
      <c r="A2443" s="10"/>
      <c r="B2443" s="10"/>
      <c r="C2443" s="10"/>
      <c r="D2443" s="10"/>
      <c r="E2443" s="10"/>
      <c r="F2443" s="11"/>
      <c r="G2443" s="11"/>
      <c r="H2443" s="11"/>
      <c r="I2443" s="11"/>
      <c r="J2443" s="11"/>
      <c r="K2443" s="11"/>
      <c r="L2443" s="12"/>
      <c r="M2443" s="11"/>
      <c r="N2443" s="11"/>
      <c r="O2443" s="13"/>
      <c r="P2443" s="14"/>
      <c r="Q2443" s="13"/>
      <c r="R2443" s="13"/>
      <c r="S2443" s="15"/>
      <c r="T2443" s="16"/>
      <c r="U2443" s="16"/>
      <c r="V2443" s="16"/>
      <c r="W2443" s="16"/>
      <c r="X2443" s="16"/>
      <c r="Y2443" s="11"/>
      <c r="Z2443" s="11"/>
      <c r="AA2443" s="11"/>
      <c r="AB2443" s="11"/>
      <c r="AC2443" s="11"/>
      <c r="AD2443" s="11"/>
    </row>
    <row r="2444">
      <c r="A2444" s="10"/>
      <c r="B2444" s="10"/>
      <c r="C2444" s="10"/>
      <c r="D2444" s="10"/>
      <c r="E2444" s="10"/>
      <c r="F2444" s="11"/>
      <c r="G2444" s="11"/>
      <c r="H2444" s="11"/>
      <c r="I2444" s="11"/>
      <c r="J2444" s="11"/>
      <c r="K2444" s="11"/>
      <c r="L2444" s="12"/>
      <c r="M2444" s="11"/>
      <c r="N2444" s="11"/>
      <c r="O2444" s="13"/>
      <c r="P2444" s="14"/>
      <c r="Q2444" s="13"/>
      <c r="R2444" s="13"/>
      <c r="S2444" s="15"/>
      <c r="T2444" s="16"/>
      <c r="U2444" s="16"/>
      <c r="V2444" s="16"/>
      <c r="W2444" s="16"/>
      <c r="X2444" s="16"/>
      <c r="Y2444" s="11"/>
      <c r="Z2444" s="11"/>
      <c r="AA2444" s="11"/>
      <c r="AB2444" s="11"/>
      <c r="AC2444" s="11"/>
      <c r="AD2444" s="11"/>
    </row>
    <row r="2445">
      <c r="A2445" s="10"/>
      <c r="B2445" s="10"/>
      <c r="C2445" s="10"/>
      <c r="D2445" s="10"/>
      <c r="E2445" s="10"/>
      <c r="F2445" s="11"/>
      <c r="G2445" s="11"/>
      <c r="H2445" s="11"/>
      <c r="I2445" s="11"/>
      <c r="J2445" s="11"/>
      <c r="K2445" s="11"/>
      <c r="L2445" s="12"/>
      <c r="M2445" s="11"/>
      <c r="N2445" s="11"/>
      <c r="O2445" s="13"/>
      <c r="P2445" s="14"/>
      <c r="Q2445" s="13"/>
      <c r="R2445" s="13"/>
      <c r="S2445" s="15"/>
      <c r="T2445" s="16"/>
      <c r="U2445" s="16"/>
      <c r="V2445" s="16"/>
      <c r="W2445" s="16"/>
      <c r="X2445" s="16"/>
      <c r="Y2445" s="11"/>
      <c r="Z2445" s="11"/>
      <c r="AA2445" s="11"/>
      <c r="AB2445" s="11"/>
      <c r="AC2445" s="11"/>
      <c r="AD2445" s="11"/>
    </row>
    <row r="2446">
      <c r="A2446" s="10"/>
      <c r="B2446" s="10"/>
      <c r="C2446" s="10"/>
      <c r="D2446" s="10"/>
      <c r="E2446" s="10"/>
      <c r="F2446" s="11"/>
      <c r="G2446" s="11"/>
      <c r="H2446" s="11"/>
      <c r="I2446" s="11"/>
      <c r="J2446" s="11"/>
      <c r="K2446" s="11"/>
      <c r="L2446" s="12"/>
      <c r="M2446" s="11"/>
      <c r="N2446" s="11"/>
      <c r="O2446" s="13"/>
      <c r="P2446" s="14"/>
      <c r="Q2446" s="13"/>
      <c r="R2446" s="13"/>
      <c r="S2446" s="15"/>
      <c r="T2446" s="16"/>
      <c r="U2446" s="16"/>
      <c r="V2446" s="16"/>
      <c r="W2446" s="16"/>
      <c r="X2446" s="16"/>
      <c r="Y2446" s="11"/>
      <c r="Z2446" s="11"/>
      <c r="AA2446" s="11"/>
      <c r="AB2446" s="11"/>
      <c r="AC2446" s="11"/>
      <c r="AD2446" s="11"/>
    </row>
    <row r="2447">
      <c r="A2447" s="10"/>
      <c r="B2447" s="10"/>
      <c r="C2447" s="10"/>
      <c r="D2447" s="10"/>
      <c r="E2447" s="10"/>
      <c r="F2447" s="11"/>
      <c r="G2447" s="11"/>
      <c r="H2447" s="11"/>
      <c r="I2447" s="11"/>
      <c r="J2447" s="11"/>
      <c r="K2447" s="11"/>
      <c r="L2447" s="12"/>
      <c r="M2447" s="11"/>
      <c r="N2447" s="11"/>
      <c r="O2447" s="13"/>
      <c r="P2447" s="14"/>
      <c r="Q2447" s="13"/>
      <c r="R2447" s="13"/>
      <c r="S2447" s="15"/>
      <c r="T2447" s="16"/>
      <c r="U2447" s="16"/>
      <c r="V2447" s="16"/>
      <c r="W2447" s="16"/>
      <c r="X2447" s="16"/>
      <c r="Y2447" s="11"/>
      <c r="Z2447" s="11"/>
      <c r="AA2447" s="11"/>
      <c r="AB2447" s="11"/>
      <c r="AC2447" s="11"/>
      <c r="AD2447" s="11"/>
    </row>
    <row r="2448">
      <c r="A2448" s="10"/>
      <c r="B2448" s="10"/>
      <c r="C2448" s="10"/>
      <c r="D2448" s="10"/>
      <c r="E2448" s="10"/>
      <c r="F2448" s="11"/>
      <c r="G2448" s="11"/>
      <c r="H2448" s="11"/>
      <c r="I2448" s="11"/>
      <c r="J2448" s="11"/>
      <c r="K2448" s="11"/>
      <c r="L2448" s="12"/>
      <c r="M2448" s="11"/>
      <c r="N2448" s="11"/>
      <c r="O2448" s="13"/>
      <c r="P2448" s="14"/>
      <c r="Q2448" s="13"/>
      <c r="R2448" s="13"/>
      <c r="S2448" s="15"/>
      <c r="T2448" s="16"/>
      <c r="U2448" s="16"/>
      <c r="V2448" s="16"/>
      <c r="W2448" s="16"/>
      <c r="X2448" s="16"/>
      <c r="Y2448" s="11"/>
      <c r="Z2448" s="11"/>
      <c r="AA2448" s="11"/>
      <c r="AB2448" s="11"/>
      <c r="AC2448" s="11"/>
      <c r="AD2448" s="11"/>
    </row>
    <row r="2449">
      <c r="A2449" s="10"/>
      <c r="B2449" s="10"/>
      <c r="C2449" s="10"/>
      <c r="D2449" s="10"/>
      <c r="E2449" s="10"/>
      <c r="F2449" s="11"/>
      <c r="G2449" s="11"/>
      <c r="H2449" s="11"/>
      <c r="I2449" s="11"/>
      <c r="J2449" s="11"/>
      <c r="K2449" s="11"/>
      <c r="L2449" s="12"/>
      <c r="M2449" s="11"/>
      <c r="N2449" s="11"/>
      <c r="O2449" s="13"/>
      <c r="P2449" s="14"/>
      <c r="Q2449" s="13"/>
      <c r="R2449" s="13"/>
      <c r="S2449" s="15"/>
      <c r="T2449" s="16"/>
      <c r="U2449" s="16"/>
      <c r="V2449" s="16"/>
      <c r="W2449" s="16"/>
      <c r="X2449" s="16"/>
      <c r="Y2449" s="11"/>
      <c r="Z2449" s="11"/>
      <c r="AA2449" s="11"/>
      <c r="AB2449" s="11"/>
      <c r="AC2449" s="11"/>
      <c r="AD2449" s="11"/>
    </row>
    <row r="2450">
      <c r="A2450" s="10"/>
      <c r="B2450" s="10"/>
      <c r="C2450" s="10"/>
      <c r="D2450" s="10"/>
      <c r="E2450" s="10"/>
      <c r="F2450" s="11"/>
      <c r="G2450" s="11"/>
      <c r="H2450" s="11"/>
      <c r="I2450" s="11"/>
      <c r="J2450" s="11"/>
      <c r="K2450" s="11"/>
      <c r="L2450" s="12"/>
      <c r="M2450" s="11"/>
      <c r="N2450" s="11"/>
      <c r="O2450" s="13"/>
      <c r="P2450" s="14"/>
      <c r="Q2450" s="13"/>
      <c r="R2450" s="13"/>
      <c r="S2450" s="15"/>
      <c r="T2450" s="16"/>
      <c r="U2450" s="16"/>
      <c r="V2450" s="16"/>
      <c r="W2450" s="16"/>
      <c r="X2450" s="16"/>
      <c r="Y2450" s="11"/>
      <c r="Z2450" s="11"/>
      <c r="AA2450" s="11"/>
      <c r="AB2450" s="11"/>
      <c r="AC2450" s="11"/>
      <c r="AD2450" s="11"/>
    </row>
    <row r="2451">
      <c r="A2451" s="10"/>
      <c r="B2451" s="10"/>
      <c r="C2451" s="10"/>
      <c r="D2451" s="10"/>
      <c r="E2451" s="10"/>
      <c r="F2451" s="11"/>
      <c r="G2451" s="11"/>
      <c r="H2451" s="11"/>
      <c r="I2451" s="11"/>
      <c r="J2451" s="11"/>
      <c r="K2451" s="11"/>
      <c r="L2451" s="12"/>
      <c r="M2451" s="11"/>
      <c r="N2451" s="11"/>
      <c r="O2451" s="13"/>
      <c r="P2451" s="14"/>
      <c r="Q2451" s="13"/>
      <c r="R2451" s="13"/>
      <c r="S2451" s="15"/>
      <c r="T2451" s="16"/>
      <c r="U2451" s="16"/>
      <c r="V2451" s="16"/>
      <c r="W2451" s="16"/>
      <c r="X2451" s="16"/>
      <c r="Y2451" s="11"/>
      <c r="Z2451" s="11"/>
      <c r="AA2451" s="11"/>
      <c r="AB2451" s="11"/>
      <c r="AC2451" s="11"/>
      <c r="AD2451" s="11"/>
    </row>
    <row r="2452">
      <c r="A2452" s="10"/>
      <c r="B2452" s="10"/>
      <c r="C2452" s="10"/>
      <c r="D2452" s="10"/>
      <c r="E2452" s="10"/>
      <c r="F2452" s="11"/>
      <c r="G2452" s="11"/>
      <c r="H2452" s="11"/>
      <c r="I2452" s="11"/>
      <c r="J2452" s="11"/>
      <c r="K2452" s="11"/>
      <c r="L2452" s="12"/>
      <c r="M2452" s="11"/>
      <c r="N2452" s="11"/>
      <c r="O2452" s="13"/>
      <c r="P2452" s="14"/>
      <c r="Q2452" s="13"/>
      <c r="R2452" s="13"/>
      <c r="S2452" s="15"/>
      <c r="T2452" s="16"/>
      <c r="U2452" s="16"/>
      <c r="V2452" s="16"/>
      <c r="W2452" s="16"/>
      <c r="X2452" s="16"/>
      <c r="Y2452" s="11"/>
      <c r="Z2452" s="11"/>
      <c r="AA2452" s="11"/>
      <c r="AB2452" s="11"/>
      <c r="AC2452" s="11"/>
      <c r="AD2452" s="11"/>
    </row>
    <row r="2453">
      <c r="A2453" s="10"/>
      <c r="B2453" s="10"/>
      <c r="C2453" s="10"/>
      <c r="D2453" s="10"/>
      <c r="E2453" s="10"/>
      <c r="F2453" s="11"/>
      <c r="G2453" s="11"/>
      <c r="H2453" s="11"/>
      <c r="I2453" s="11"/>
      <c r="J2453" s="11"/>
      <c r="K2453" s="11"/>
      <c r="L2453" s="12"/>
      <c r="M2453" s="11"/>
      <c r="N2453" s="11"/>
      <c r="O2453" s="13"/>
      <c r="P2453" s="14"/>
      <c r="Q2453" s="13"/>
      <c r="R2453" s="13"/>
      <c r="S2453" s="15"/>
      <c r="T2453" s="16"/>
      <c r="U2453" s="16"/>
      <c r="V2453" s="16"/>
      <c r="W2453" s="16"/>
      <c r="X2453" s="16"/>
      <c r="Y2453" s="11"/>
      <c r="Z2453" s="11"/>
      <c r="AA2453" s="11"/>
      <c r="AB2453" s="11"/>
      <c r="AC2453" s="11"/>
      <c r="AD2453" s="11"/>
    </row>
    <row r="2454">
      <c r="A2454" s="10"/>
      <c r="B2454" s="10"/>
      <c r="C2454" s="10"/>
      <c r="D2454" s="10"/>
      <c r="E2454" s="10"/>
      <c r="F2454" s="11"/>
      <c r="G2454" s="11"/>
      <c r="H2454" s="11"/>
      <c r="I2454" s="11"/>
      <c r="J2454" s="11"/>
      <c r="K2454" s="11"/>
      <c r="L2454" s="12"/>
      <c r="M2454" s="11"/>
      <c r="N2454" s="11"/>
      <c r="O2454" s="13"/>
      <c r="P2454" s="14"/>
      <c r="Q2454" s="13"/>
      <c r="R2454" s="13"/>
      <c r="S2454" s="15"/>
      <c r="T2454" s="16"/>
      <c r="U2454" s="16"/>
      <c r="V2454" s="16"/>
      <c r="W2454" s="16"/>
      <c r="X2454" s="16"/>
      <c r="Y2454" s="11"/>
      <c r="Z2454" s="11"/>
      <c r="AA2454" s="11"/>
      <c r="AB2454" s="11"/>
      <c r="AC2454" s="11"/>
      <c r="AD2454" s="11"/>
    </row>
    <row r="2455">
      <c r="A2455" s="10"/>
      <c r="B2455" s="10"/>
      <c r="C2455" s="10"/>
      <c r="D2455" s="10"/>
      <c r="E2455" s="10"/>
      <c r="F2455" s="11"/>
      <c r="G2455" s="11"/>
      <c r="H2455" s="11"/>
      <c r="I2455" s="11"/>
      <c r="J2455" s="11"/>
      <c r="K2455" s="11"/>
      <c r="L2455" s="12"/>
      <c r="M2455" s="11"/>
      <c r="N2455" s="11"/>
      <c r="O2455" s="13"/>
      <c r="P2455" s="14"/>
      <c r="Q2455" s="13"/>
      <c r="R2455" s="13"/>
      <c r="S2455" s="15"/>
      <c r="T2455" s="16"/>
      <c r="U2455" s="16"/>
      <c r="V2455" s="16"/>
      <c r="W2455" s="16"/>
      <c r="X2455" s="16"/>
      <c r="Y2455" s="11"/>
      <c r="Z2455" s="11"/>
      <c r="AA2455" s="11"/>
      <c r="AB2455" s="11"/>
      <c r="AC2455" s="11"/>
      <c r="AD2455" s="11"/>
    </row>
    <row r="2456">
      <c r="A2456" s="10"/>
      <c r="B2456" s="10"/>
      <c r="C2456" s="10"/>
      <c r="D2456" s="10"/>
      <c r="E2456" s="10"/>
      <c r="F2456" s="11"/>
      <c r="G2456" s="11"/>
      <c r="H2456" s="11"/>
      <c r="I2456" s="11"/>
      <c r="J2456" s="11"/>
      <c r="K2456" s="11"/>
      <c r="L2456" s="12"/>
      <c r="M2456" s="11"/>
      <c r="N2456" s="11"/>
      <c r="O2456" s="13"/>
      <c r="P2456" s="14"/>
      <c r="Q2456" s="13"/>
      <c r="R2456" s="13"/>
      <c r="S2456" s="15"/>
      <c r="T2456" s="16"/>
      <c r="U2456" s="16"/>
      <c r="V2456" s="16"/>
      <c r="W2456" s="16"/>
      <c r="X2456" s="16"/>
      <c r="Y2456" s="11"/>
      <c r="Z2456" s="11"/>
      <c r="AA2456" s="11"/>
      <c r="AB2456" s="11"/>
      <c r="AC2456" s="11"/>
      <c r="AD2456" s="11"/>
    </row>
    <row r="2457">
      <c r="A2457" s="10"/>
      <c r="B2457" s="10"/>
      <c r="C2457" s="10"/>
      <c r="D2457" s="10"/>
      <c r="E2457" s="10"/>
      <c r="F2457" s="11"/>
      <c r="G2457" s="11"/>
      <c r="H2457" s="11"/>
      <c r="I2457" s="11"/>
      <c r="J2457" s="11"/>
      <c r="K2457" s="11"/>
      <c r="L2457" s="12"/>
      <c r="M2457" s="11"/>
      <c r="N2457" s="11"/>
      <c r="O2457" s="13"/>
      <c r="P2457" s="14"/>
      <c r="Q2457" s="13"/>
      <c r="R2457" s="13"/>
      <c r="S2457" s="15"/>
      <c r="T2457" s="16"/>
      <c r="U2457" s="16"/>
      <c r="V2457" s="16"/>
      <c r="W2457" s="16"/>
      <c r="X2457" s="16"/>
      <c r="Y2457" s="11"/>
      <c r="Z2457" s="11"/>
      <c r="AA2457" s="11"/>
      <c r="AB2457" s="11"/>
      <c r="AC2457" s="11"/>
      <c r="AD2457" s="11"/>
    </row>
    <row r="2458">
      <c r="A2458" s="10"/>
      <c r="B2458" s="10"/>
      <c r="C2458" s="10"/>
      <c r="D2458" s="10"/>
      <c r="E2458" s="10"/>
      <c r="F2458" s="11"/>
      <c r="G2458" s="11"/>
      <c r="H2458" s="11"/>
      <c r="I2458" s="11"/>
      <c r="J2458" s="11"/>
      <c r="K2458" s="11"/>
      <c r="L2458" s="12"/>
      <c r="M2458" s="11"/>
      <c r="N2458" s="11"/>
      <c r="O2458" s="13"/>
      <c r="P2458" s="14"/>
      <c r="Q2458" s="13"/>
      <c r="R2458" s="13"/>
      <c r="S2458" s="15"/>
      <c r="T2458" s="16"/>
      <c r="U2458" s="16"/>
      <c r="V2458" s="16"/>
      <c r="W2458" s="16"/>
      <c r="X2458" s="16"/>
      <c r="Y2458" s="11"/>
      <c r="Z2458" s="11"/>
      <c r="AA2458" s="11"/>
      <c r="AB2458" s="11"/>
      <c r="AC2458" s="11"/>
      <c r="AD2458" s="11"/>
    </row>
    <row r="2459">
      <c r="A2459" s="10"/>
      <c r="B2459" s="10"/>
      <c r="C2459" s="10"/>
      <c r="D2459" s="10"/>
      <c r="E2459" s="10"/>
      <c r="F2459" s="11"/>
      <c r="G2459" s="11"/>
      <c r="H2459" s="11"/>
      <c r="I2459" s="11"/>
      <c r="J2459" s="11"/>
      <c r="K2459" s="11"/>
      <c r="L2459" s="12"/>
      <c r="M2459" s="11"/>
      <c r="N2459" s="11"/>
      <c r="O2459" s="13"/>
      <c r="P2459" s="14"/>
      <c r="Q2459" s="13"/>
      <c r="R2459" s="13"/>
      <c r="S2459" s="15"/>
      <c r="T2459" s="16"/>
      <c r="U2459" s="16"/>
      <c r="V2459" s="16"/>
      <c r="W2459" s="16"/>
      <c r="X2459" s="16"/>
      <c r="Y2459" s="11"/>
      <c r="Z2459" s="11"/>
      <c r="AA2459" s="11"/>
      <c r="AB2459" s="11"/>
      <c r="AC2459" s="11"/>
      <c r="AD2459" s="11"/>
    </row>
    <row r="2460">
      <c r="A2460" s="10"/>
      <c r="B2460" s="10"/>
      <c r="C2460" s="10"/>
      <c r="D2460" s="10"/>
      <c r="E2460" s="10"/>
      <c r="F2460" s="11"/>
      <c r="G2460" s="11"/>
      <c r="H2460" s="11"/>
      <c r="I2460" s="11"/>
      <c r="J2460" s="11"/>
      <c r="K2460" s="11"/>
      <c r="L2460" s="12"/>
      <c r="M2460" s="11"/>
      <c r="N2460" s="11"/>
      <c r="O2460" s="13"/>
      <c r="P2460" s="14"/>
      <c r="Q2460" s="13"/>
      <c r="R2460" s="13"/>
      <c r="S2460" s="15"/>
      <c r="T2460" s="16"/>
      <c r="U2460" s="16"/>
      <c r="V2460" s="16"/>
      <c r="W2460" s="16"/>
      <c r="X2460" s="16"/>
      <c r="Y2460" s="11"/>
      <c r="Z2460" s="11"/>
      <c r="AA2460" s="11"/>
      <c r="AB2460" s="11"/>
      <c r="AC2460" s="11"/>
      <c r="AD2460" s="11"/>
    </row>
    <row r="2461">
      <c r="A2461" s="10"/>
      <c r="B2461" s="10"/>
      <c r="C2461" s="10"/>
      <c r="D2461" s="10"/>
      <c r="E2461" s="10"/>
      <c r="F2461" s="11"/>
      <c r="G2461" s="11"/>
      <c r="H2461" s="11"/>
      <c r="I2461" s="11"/>
      <c r="J2461" s="11"/>
      <c r="K2461" s="11"/>
      <c r="L2461" s="12"/>
      <c r="M2461" s="11"/>
      <c r="N2461" s="11"/>
      <c r="O2461" s="13"/>
      <c r="P2461" s="14"/>
      <c r="Q2461" s="13"/>
      <c r="R2461" s="13"/>
      <c r="S2461" s="15"/>
      <c r="T2461" s="16"/>
      <c r="U2461" s="16"/>
      <c r="V2461" s="16"/>
      <c r="W2461" s="16"/>
      <c r="X2461" s="16"/>
      <c r="Y2461" s="11"/>
      <c r="Z2461" s="11"/>
      <c r="AA2461" s="11"/>
      <c r="AB2461" s="11"/>
      <c r="AC2461" s="11"/>
      <c r="AD2461" s="11"/>
    </row>
    <row r="2462">
      <c r="A2462" s="10"/>
      <c r="B2462" s="10"/>
      <c r="C2462" s="10"/>
      <c r="D2462" s="10"/>
      <c r="E2462" s="10"/>
      <c r="F2462" s="11"/>
      <c r="G2462" s="11"/>
      <c r="H2462" s="11"/>
      <c r="I2462" s="11"/>
      <c r="J2462" s="11"/>
      <c r="K2462" s="11"/>
      <c r="L2462" s="12"/>
      <c r="M2462" s="11"/>
      <c r="N2462" s="11"/>
      <c r="O2462" s="13"/>
      <c r="P2462" s="14"/>
      <c r="Q2462" s="13"/>
      <c r="R2462" s="13"/>
      <c r="S2462" s="15"/>
      <c r="T2462" s="16"/>
      <c r="U2462" s="16"/>
      <c r="V2462" s="16"/>
      <c r="W2462" s="16"/>
      <c r="X2462" s="16"/>
      <c r="Y2462" s="11"/>
      <c r="Z2462" s="11"/>
      <c r="AA2462" s="11"/>
      <c r="AB2462" s="11"/>
      <c r="AC2462" s="11"/>
      <c r="AD2462" s="11"/>
    </row>
    <row r="2463">
      <c r="A2463" s="10"/>
      <c r="B2463" s="10"/>
      <c r="C2463" s="10"/>
      <c r="D2463" s="10"/>
      <c r="E2463" s="10"/>
      <c r="F2463" s="11"/>
      <c r="G2463" s="11"/>
      <c r="H2463" s="11"/>
      <c r="I2463" s="11"/>
      <c r="J2463" s="11"/>
      <c r="K2463" s="11"/>
      <c r="L2463" s="12"/>
      <c r="M2463" s="11"/>
      <c r="N2463" s="11"/>
      <c r="O2463" s="13"/>
      <c r="P2463" s="14"/>
      <c r="Q2463" s="13"/>
      <c r="R2463" s="13"/>
      <c r="S2463" s="15"/>
      <c r="T2463" s="16"/>
      <c r="U2463" s="16"/>
      <c r="V2463" s="16"/>
      <c r="W2463" s="16"/>
      <c r="X2463" s="16"/>
      <c r="Y2463" s="11"/>
      <c r="Z2463" s="11"/>
      <c r="AA2463" s="11"/>
      <c r="AB2463" s="11"/>
      <c r="AC2463" s="11"/>
      <c r="AD2463" s="11"/>
    </row>
    <row r="2464">
      <c r="A2464" s="10"/>
      <c r="B2464" s="10"/>
      <c r="C2464" s="10"/>
      <c r="D2464" s="10"/>
      <c r="E2464" s="10"/>
      <c r="F2464" s="11"/>
      <c r="G2464" s="11"/>
      <c r="H2464" s="11"/>
      <c r="I2464" s="11"/>
      <c r="J2464" s="11"/>
      <c r="K2464" s="11"/>
      <c r="L2464" s="12"/>
      <c r="M2464" s="11"/>
      <c r="N2464" s="11"/>
      <c r="O2464" s="13"/>
      <c r="P2464" s="14"/>
      <c r="Q2464" s="13"/>
      <c r="R2464" s="13"/>
      <c r="S2464" s="15"/>
      <c r="T2464" s="16"/>
      <c r="U2464" s="16"/>
      <c r="V2464" s="16"/>
      <c r="W2464" s="16"/>
      <c r="X2464" s="16"/>
      <c r="Y2464" s="11"/>
      <c r="Z2464" s="11"/>
      <c r="AA2464" s="11"/>
      <c r="AB2464" s="11"/>
      <c r="AC2464" s="11"/>
      <c r="AD2464" s="11"/>
    </row>
    <row r="2465">
      <c r="A2465" s="10"/>
      <c r="B2465" s="10"/>
      <c r="C2465" s="10"/>
      <c r="D2465" s="10"/>
      <c r="E2465" s="10"/>
      <c r="F2465" s="11"/>
      <c r="G2465" s="11"/>
      <c r="H2465" s="11"/>
      <c r="I2465" s="11"/>
      <c r="J2465" s="11"/>
      <c r="K2465" s="11"/>
      <c r="L2465" s="12"/>
      <c r="M2465" s="11"/>
      <c r="N2465" s="11"/>
      <c r="O2465" s="13"/>
      <c r="P2465" s="14"/>
      <c r="Q2465" s="13"/>
      <c r="R2465" s="13"/>
      <c r="S2465" s="15"/>
      <c r="T2465" s="16"/>
      <c r="U2465" s="16"/>
      <c r="V2465" s="16"/>
      <c r="W2465" s="16"/>
      <c r="X2465" s="16"/>
      <c r="Y2465" s="11"/>
      <c r="Z2465" s="11"/>
      <c r="AA2465" s="11"/>
      <c r="AB2465" s="11"/>
      <c r="AC2465" s="11"/>
      <c r="AD2465" s="11"/>
    </row>
    <row r="2466">
      <c r="A2466" s="10"/>
      <c r="B2466" s="10"/>
      <c r="C2466" s="10"/>
      <c r="D2466" s="10"/>
      <c r="E2466" s="10"/>
      <c r="F2466" s="11"/>
      <c r="G2466" s="11"/>
      <c r="H2466" s="11"/>
      <c r="I2466" s="11"/>
      <c r="J2466" s="11"/>
      <c r="K2466" s="11"/>
      <c r="L2466" s="12"/>
      <c r="M2466" s="11"/>
      <c r="N2466" s="11"/>
      <c r="O2466" s="13"/>
      <c r="P2466" s="14"/>
      <c r="Q2466" s="13"/>
      <c r="R2466" s="13"/>
      <c r="S2466" s="15"/>
      <c r="T2466" s="16"/>
      <c r="U2466" s="16"/>
      <c r="V2466" s="16"/>
      <c r="W2466" s="16"/>
      <c r="X2466" s="16"/>
      <c r="Y2466" s="11"/>
      <c r="Z2466" s="11"/>
      <c r="AA2466" s="11"/>
      <c r="AB2466" s="11"/>
      <c r="AC2466" s="11"/>
      <c r="AD2466" s="11"/>
    </row>
    <row r="2467">
      <c r="A2467" s="10"/>
      <c r="B2467" s="10"/>
      <c r="C2467" s="10"/>
      <c r="D2467" s="10"/>
      <c r="E2467" s="10"/>
      <c r="F2467" s="11"/>
      <c r="G2467" s="11"/>
      <c r="H2467" s="11"/>
      <c r="I2467" s="11"/>
      <c r="J2467" s="11"/>
      <c r="K2467" s="11"/>
      <c r="L2467" s="12"/>
      <c r="M2467" s="11"/>
      <c r="N2467" s="11"/>
      <c r="O2467" s="13"/>
      <c r="P2467" s="14"/>
      <c r="Q2467" s="13"/>
      <c r="R2467" s="13"/>
      <c r="S2467" s="15"/>
      <c r="T2467" s="16"/>
      <c r="U2467" s="16"/>
      <c r="V2467" s="16"/>
      <c r="W2467" s="16"/>
      <c r="X2467" s="16"/>
      <c r="Y2467" s="11"/>
      <c r="Z2467" s="11"/>
      <c r="AA2467" s="11"/>
      <c r="AB2467" s="11"/>
      <c r="AC2467" s="11"/>
      <c r="AD2467" s="11"/>
    </row>
    <row r="2468">
      <c r="A2468" s="10"/>
      <c r="B2468" s="10"/>
      <c r="C2468" s="10"/>
      <c r="D2468" s="10"/>
      <c r="E2468" s="10"/>
      <c r="F2468" s="11"/>
      <c r="G2468" s="11"/>
      <c r="H2468" s="11"/>
      <c r="I2468" s="11"/>
      <c r="J2468" s="11"/>
      <c r="K2468" s="11"/>
      <c r="L2468" s="12"/>
      <c r="M2468" s="11"/>
      <c r="N2468" s="11"/>
      <c r="O2468" s="13"/>
      <c r="P2468" s="14"/>
      <c r="Q2468" s="13"/>
      <c r="R2468" s="13"/>
      <c r="S2468" s="15"/>
      <c r="T2468" s="16"/>
      <c r="U2468" s="16"/>
      <c r="V2468" s="16"/>
      <c r="W2468" s="16"/>
      <c r="X2468" s="16"/>
      <c r="Y2468" s="11"/>
      <c r="Z2468" s="11"/>
      <c r="AA2468" s="11"/>
      <c r="AB2468" s="11"/>
      <c r="AC2468" s="11"/>
      <c r="AD2468" s="11"/>
    </row>
    <row r="2469">
      <c r="A2469" s="10"/>
      <c r="B2469" s="10"/>
      <c r="C2469" s="10"/>
      <c r="D2469" s="10"/>
      <c r="E2469" s="10"/>
      <c r="F2469" s="11"/>
      <c r="G2469" s="11"/>
      <c r="H2469" s="11"/>
      <c r="I2469" s="11"/>
      <c r="J2469" s="11"/>
      <c r="K2469" s="11"/>
      <c r="L2469" s="12"/>
      <c r="M2469" s="11"/>
      <c r="N2469" s="11"/>
      <c r="O2469" s="13"/>
      <c r="P2469" s="14"/>
      <c r="Q2469" s="13"/>
      <c r="R2469" s="13"/>
      <c r="S2469" s="15"/>
      <c r="T2469" s="16"/>
      <c r="U2469" s="16"/>
      <c r="V2469" s="16"/>
      <c r="W2469" s="16"/>
      <c r="X2469" s="16"/>
      <c r="Y2469" s="11"/>
      <c r="Z2469" s="11"/>
      <c r="AA2469" s="11"/>
      <c r="AB2469" s="11"/>
      <c r="AC2469" s="11"/>
      <c r="AD2469" s="11"/>
    </row>
    <row r="2470">
      <c r="A2470" s="10"/>
      <c r="B2470" s="10"/>
      <c r="C2470" s="10"/>
      <c r="D2470" s="10"/>
      <c r="E2470" s="10"/>
      <c r="F2470" s="11"/>
      <c r="G2470" s="11"/>
      <c r="H2470" s="11"/>
      <c r="I2470" s="11"/>
      <c r="J2470" s="11"/>
      <c r="K2470" s="11"/>
      <c r="L2470" s="12"/>
      <c r="M2470" s="11"/>
      <c r="N2470" s="11"/>
      <c r="O2470" s="13"/>
      <c r="P2470" s="14"/>
      <c r="Q2470" s="13"/>
      <c r="R2470" s="13"/>
      <c r="S2470" s="15"/>
      <c r="T2470" s="16"/>
      <c r="U2470" s="16"/>
      <c r="V2470" s="16"/>
      <c r="W2470" s="16"/>
      <c r="X2470" s="16"/>
      <c r="Y2470" s="11"/>
      <c r="Z2470" s="11"/>
      <c r="AA2470" s="11"/>
      <c r="AB2470" s="11"/>
      <c r="AC2470" s="11"/>
      <c r="AD2470" s="11"/>
    </row>
    <row r="2471">
      <c r="A2471" s="10"/>
      <c r="B2471" s="10"/>
      <c r="C2471" s="10"/>
      <c r="D2471" s="10"/>
      <c r="E2471" s="10"/>
      <c r="F2471" s="11"/>
      <c r="G2471" s="11"/>
      <c r="H2471" s="11"/>
      <c r="I2471" s="11"/>
      <c r="J2471" s="11"/>
      <c r="K2471" s="11"/>
      <c r="L2471" s="12"/>
      <c r="M2471" s="11"/>
      <c r="N2471" s="11"/>
      <c r="O2471" s="13"/>
      <c r="P2471" s="14"/>
      <c r="Q2471" s="13"/>
      <c r="R2471" s="13"/>
      <c r="S2471" s="15"/>
      <c r="T2471" s="16"/>
      <c r="U2471" s="16"/>
      <c r="V2471" s="16"/>
      <c r="W2471" s="16"/>
      <c r="X2471" s="16"/>
      <c r="Y2471" s="11"/>
      <c r="Z2471" s="11"/>
      <c r="AA2471" s="11"/>
      <c r="AB2471" s="11"/>
      <c r="AC2471" s="11"/>
      <c r="AD2471" s="11"/>
    </row>
    <row r="2472">
      <c r="A2472" s="10"/>
      <c r="B2472" s="10"/>
      <c r="C2472" s="10"/>
      <c r="D2472" s="10"/>
      <c r="E2472" s="10"/>
      <c r="F2472" s="11"/>
      <c r="G2472" s="11"/>
      <c r="H2472" s="11"/>
      <c r="I2472" s="11"/>
      <c r="J2472" s="11"/>
      <c r="K2472" s="11"/>
      <c r="L2472" s="12"/>
      <c r="M2472" s="11"/>
      <c r="N2472" s="11"/>
      <c r="O2472" s="13"/>
      <c r="P2472" s="14"/>
      <c r="Q2472" s="13"/>
      <c r="R2472" s="13"/>
      <c r="S2472" s="15"/>
      <c r="T2472" s="16"/>
      <c r="U2472" s="16"/>
      <c r="V2472" s="16"/>
      <c r="W2472" s="16"/>
      <c r="X2472" s="16"/>
      <c r="Y2472" s="11"/>
      <c r="Z2472" s="11"/>
      <c r="AA2472" s="11"/>
      <c r="AB2472" s="11"/>
      <c r="AC2472" s="11"/>
      <c r="AD2472" s="11"/>
    </row>
    <row r="2473">
      <c r="A2473" s="10"/>
      <c r="B2473" s="10"/>
      <c r="C2473" s="10"/>
      <c r="D2473" s="10"/>
      <c r="E2473" s="10"/>
      <c r="F2473" s="11"/>
      <c r="G2473" s="11"/>
      <c r="H2473" s="11"/>
      <c r="I2473" s="11"/>
      <c r="J2473" s="11"/>
      <c r="K2473" s="11"/>
      <c r="L2473" s="12"/>
      <c r="M2473" s="11"/>
      <c r="N2473" s="11"/>
      <c r="O2473" s="13"/>
      <c r="P2473" s="14"/>
      <c r="Q2473" s="13"/>
      <c r="R2473" s="13"/>
      <c r="S2473" s="15"/>
      <c r="T2473" s="16"/>
      <c r="U2473" s="16"/>
      <c r="V2473" s="16"/>
      <c r="W2473" s="16"/>
      <c r="X2473" s="16"/>
      <c r="Y2473" s="11"/>
      <c r="Z2473" s="11"/>
      <c r="AA2473" s="11"/>
      <c r="AB2473" s="11"/>
      <c r="AC2473" s="11"/>
      <c r="AD2473" s="11"/>
    </row>
    <row r="2474">
      <c r="A2474" s="10"/>
      <c r="B2474" s="10"/>
      <c r="C2474" s="10"/>
      <c r="D2474" s="10"/>
      <c r="E2474" s="10"/>
      <c r="F2474" s="11"/>
      <c r="G2474" s="11"/>
      <c r="H2474" s="11"/>
      <c r="I2474" s="11"/>
      <c r="J2474" s="11"/>
      <c r="K2474" s="11"/>
      <c r="L2474" s="12"/>
      <c r="M2474" s="11"/>
      <c r="N2474" s="11"/>
      <c r="O2474" s="13"/>
      <c r="P2474" s="14"/>
      <c r="Q2474" s="13"/>
      <c r="R2474" s="13"/>
      <c r="S2474" s="15"/>
      <c r="T2474" s="16"/>
      <c r="U2474" s="16"/>
      <c r="V2474" s="16"/>
      <c r="W2474" s="16"/>
      <c r="X2474" s="16"/>
      <c r="Y2474" s="11"/>
      <c r="Z2474" s="11"/>
      <c r="AA2474" s="11"/>
      <c r="AB2474" s="11"/>
      <c r="AC2474" s="11"/>
      <c r="AD2474" s="11"/>
    </row>
    <row r="2475">
      <c r="A2475" s="10"/>
      <c r="B2475" s="10"/>
      <c r="C2475" s="10"/>
      <c r="D2475" s="10"/>
      <c r="E2475" s="10"/>
      <c r="F2475" s="11"/>
      <c r="G2475" s="11"/>
      <c r="H2475" s="11"/>
      <c r="I2475" s="11"/>
      <c r="J2475" s="11"/>
      <c r="K2475" s="11"/>
      <c r="L2475" s="12"/>
      <c r="M2475" s="11"/>
      <c r="N2475" s="11"/>
      <c r="O2475" s="13"/>
      <c r="P2475" s="14"/>
      <c r="Q2475" s="13"/>
      <c r="R2475" s="13"/>
      <c r="S2475" s="15"/>
      <c r="T2475" s="16"/>
      <c r="U2475" s="16"/>
      <c r="V2475" s="16"/>
      <c r="W2475" s="16"/>
      <c r="X2475" s="16"/>
      <c r="Y2475" s="11"/>
      <c r="Z2475" s="11"/>
      <c r="AA2475" s="11"/>
      <c r="AB2475" s="11"/>
      <c r="AC2475" s="11"/>
      <c r="AD2475" s="11"/>
    </row>
    <row r="2476">
      <c r="A2476" s="10"/>
      <c r="B2476" s="10"/>
      <c r="C2476" s="10"/>
      <c r="D2476" s="10"/>
      <c r="E2476" s="10"/>
      <c r="F2476" s="11"/>
      <c r="G2476" s="11"/>
      <c r="H2476" s="11"/>
      <c r="I2476" s="11"/>
      <c r="J2476" s="11"/>
      <c r="K2476" s="11"/>
      <c r="L2476" s="12"/>
      <c r="M2476" s="11"/>
      <c r="N2476" s="11"/>
      <c r="O2476" s="13"/>
      <c r="P2476" s="14"/>
      <c r="Q2476" s="13"/>
      <c r="R2476" s="13"/>
      <c r="S2476" s="15"/>
      <c r="T2476" s="16"/>
      <c r="U2476" s="16"/>
      <c r="V2476" s="16"/>
      <c r="W2476" s="16"/>
      <c r="X2476" s="16"/>
      <c r="Y2476" s="11"/>
      <c r="Z2476" s="11"/>
      <c r="AA2476" s="11"/>
      <c r="AB2476" s="11"/>
      <c r="AC2476" s="11"/>
      <c r="AD2476" s="11"/>
    </row>
    <row r="2477">
      <c r="A2477" s="10"/>
      <c r="B2477" s="10"/>
      <c r="C2477" s="10"/>
      <c r="D2477" s="10"/>
      <c r="E2477" s="10"/>
      <c r="F2477" s="11"/>
      <c r="G2477" s="11"/>
      <c r="H2477" s="11"/>
      <c r="I2477" s="11"/>
      <c r="J2477" s="11"/>
      <c r="K2477" s="11"/>
      <c r="L2477" s="12"/>
      <c r="M2477" s="11"/>
      <c r="N2477" s="11"/>
      <c r="O2477" s="13"/>
      <c r="P2477" s="14"/>
      <c r="Q2477" s="13"/>
      <c r="R2477" s="13"/>
      <c r="S2477" s="15"/>
      <c r="T2477" s="16"/>
      <c r="U2477" s="16"/>
      <c r="V2477" s="16"/>
      <c r="W2477" s="16"/>
      <c r="X2477" s="16"/>
      <c r="Y2477" s="11"/>
      <c r="Z2477" s="11"/>
      <c r="AA2477" s="11"/>
      <c r="AB2477" s="11"/>
      <c r="AC2477" s="11"/>
      <c r="AD2477" s="11"/>
    </row>
    <row r="2478">
      <c r="A2478" s="10"/>
      <c r="B2478" s="10"/>
      <c r="C2478" s="10"/>
      <c r="D2478" s="10"/>
      <c r="E2478" s="10"/>
      <c r="F2478" s="11"/>
      <c r="G2478" s="11"/>
      <c r="H2478" s="11"/>
      <c r="I2478" s="11"/>
      <c r="J2478" s="11"/>
      <c r="K2478" s="11"/>
      <c r="L2478" s="12"/>
      <c r="M2478" s="11"/>
      <c r="N2478" s="11"/>
      <c r="O2478" s="13"/>
      <c r="P2478" s="14"/>
      <c r="Q2478" s="13"/>
      <c r="R2478" s="13"/>
      <c r="S2478" s="15"/>
      <c r="T2478" s="16"/>
      <c r="U2478" s="16"/>
      <c r="V2478" s="16"/>
      <c r="W2478" s="16"/>
      <c r="X2478" s="16"/>
      <c r="Y2478" s="11"/>
      <c r="Z2478" s="11"/>
      <c r="AA2478" s="11"/>
      <c r="AB2478" s="11"/>
      <c r="AC2478" s="11"/>
      <c r="AD2478" s="11"/>
    </row>
    <row r="2479">
      <c r="A2479" s="10"/>
      <c r="B2479" s="10"/>
      <c r="C2479" s="10"/>
      <c r="D2479" s="10"/>
      <c r="E2479" s="10"/>
      <c r="F2479" s="11"/>
      <c r="G2479" s="11"/>
      <c r="H2479" s="11"/>
      <c r="I2479" s="11"/>
      <c r="J2479" s="11"/>
      <c r="K2479" s="11"/>
      <c r="L2479" s="12"/>
      <c r="M2479" s="11"/>
      <c r="N2479" s="11"/>
      <c r="O2479" s="13"/>
      <c r="P2479" s="14"/>
      <c r="Q2479" s="13"/>
      <c r="R2479" s="13"/>
      <c r="S2479" s="15"/>
      <c r="T2479" s="16"/>
      <c r="U2479" s="16"/>
      <c r="V2479" s="16"/>
      <c r="W2479" s="16"/>
      <c r="X2479" s="16"/>
      <c r="Y2479" s="11"/>
      <c r="Z2479" s="11"/>
      <c r="AA2479" s="11"/>
      <c r="AB2479" s="11"/>
      <c r="AC2479" s="11"/>
      <c r="AD2479" s="11"/>
    </row>
    <row r="2480">
      <c r="A2480" s="10"/>
      <c r="B2480" s="10"/>
      <c r="C2480" s="10"/>
      <c r="D2480" s="10"/>
      <c r="E2480" s="10"/>
      <c r="F2480" s="11"/>
      <c r="G2480" s="11"/>
      <c r="H2480" s="11"/>
      <c r="I2480" s="11"/>
      <c r="J2480" s="11"/>
      <c r="K2480" s="11"/>
      <c r="L2480" s="12"/>
      <c r="M2480" s="11"/>
      <c r="N2480" s="11"/>
      <c r="O2480" s="13"/>
      <c r="P2480" s="14"/>
      <c r="Q2480" s="13"/>
      <c r="R2480" s="13"/>
      <c r="S2480" s="15"/>
      <c r="T2480" s="16"/>
      <c r="U2480" s="16"/>
      <c r="V2480" s="16"/>
      <c r="W2480" s="16"/>
      <c r="X2480" s="16"/>
      <c r="Y2480" s="11"/>
      <c r="Z2480" s="11"/>
      <c r="AA2480" s="11"/>
      <c r="AB2480" s="11"/>
      <c r="AC2480" s="11"/>
      <c r="AD2480" s="11"/>
    </row>
    <row r="2481">
      <c r="A2481" s="10"/>
      <c r="B2481" s="10"/>
      <c r="C2481" s="10"/>
      <c r="D2481" s="10"/>
      <c r="E2481" s="10"/>
      <c r="F2481" s="11"/>
      <c r="G2481" s="11"/>
      <c r="H2481" s="11"/>
      <c r="I2481" s="11"/>
      <c r="J2481" s="11"/>
      <c r="K2481" s="11"/>
      <c r="L2481" s="12"/>
      <c r="M2481" s="11"/>
      <c r="N2481" s="11"/>
      <c r="O2481" s="13"/>
      <c r="P2481" s="14"/>
      <c r="Q2481" s="13"/>
      <c r="R2481" s="13"/>
      <c r="S2481" s="15"/>
      <c r="T2481" s="16"/>
      <c r="U2481" s="16"/>
      <c r="V2481" s="16"/>
      <c r="W2481" s="16"/>
      <c r="X2481" s="16"/>
      <c r="Y2481" s="11"/>
      <c r="Z2481" s="11"/>
      <c r="AA2481" s="11"/>
      <c r="AB2481" s="11"/>
      <c r="AC2481" s="11"/>
      <c r="AD2481" s="11"/>
    </row>
    <row r="2482">
      <c r="A2482" s="10"/>
      <c r="B2482" s="10"/>
      <c r="C2482" s="10"/>
      <c r="D2482" s="10"/>
      <c r="E2482" s="10"/>
      <c r="F2482" s="11"/>
      <c r="G2482" s="11"/>
      <c r="H2482" s="11"/>
      <c r="I2482" s="11"/>
      <c r="J2482" s="11"/>
      <c r="K2482" s="11"/>
      <c r="L2482" s="12"/>
      <c r="M2482" s="11"/>
      <c r="N2482" s="11"/>
      <c r="O2482" s="13"/>
      <c r="P2482" s="14"/>
      <c r="Q2482" s="13"/>
      <c r="R2482" s="13"/>
      <c r="S2482" s="15"/>
      <c r="T2482" s="16"/>
      <c r="U2482" s="16"/>
      <c r="V2482" s="16"/>
      <c r="W2482" s="16"/>
      <c r="X2482" s="16"/>
      <c r="Y2482" s="11"/>
      <c r="Z2482" s="11"/>
      <c r="AA2482" s="11"/>
      <c r="AB2482" s="11"/>
      <c r="AC2482" s="11"/>
      <c r="AD2482" s="11"/>
    </row>
    <row r="2483">
      <c r="A2483" s="10"/>
      <c r="B2483" s="10"/>
      <c r="C2483" s="10"/>
      <c r="D2483" s="10"/>
      <c r="E2483" s="10"/>
      <c r="F2483" s="11"/>
      <c r="G2483" s="11"/>
      <c r="H2483" s="11"/>
      <c r="I2483" s="11"/>
      <c r="J2483" s="11"/>
      <c r="K2483" s="11"/>
      <c r="L2483" s="12"/>
      <c r="M2483" s="11"/>
      <c r="N2483" s="11"/>
      <c r="O2483" s="13"/>
      <c r="P2483" s="14"/>
      <c r="Q2483" s="13"/>
      <c r="R2483" s="13"/>
      <c r="S2483" s="15"/>
      <c r="T2483" s="16"/>
      <c r="U2483" s="16"/>
      <c r="V2483" s="16"/>
      <c r="W2483" s="16"/>
      <c r="X2483" s="16"/>
      <c r="Y2483" s="11"/>
      <c r="Z2483" s="11"/>
      <c r="AA2483" s="11"/>
      <c r="AB2483" s="11"/>
      <c r="AC2483" s="11"/>
      <c r="AD2483" s="11"/>
    </row>
    <row r="2484">
      <c r="A2484" s="10"/>
      <c r="B2484" s="10"/>
      <c r="C2484" s="10"/>
      <c r="D2484" s="10"/>
      <c r="E2484" s="10"/>
      <c r="F2484" s="11"/>
      <c r="G2484" s="11"/>
      <c r="H2484" s="11"/>
      <c r="I2484" s="11"/>
      <c r="J2484" s="11"/>
      <c r="K2484" s="11"/>
      <c r="L2484" s="12"/>
      <c r="M2484" s="11"/>
      <c r="N2484" s="11"/>
      <c r="O2484" s="13"/>
      <c r="P2484" s="14"/>
      <c r="Q2484" s="13"/>
      <c r="R2484" s="13"/>
      <c r="S2484" s="15"/>
      <c r="T2484" s="16"/>
      <c r="U2484" s="16"/>
      <c r="V2484" s="16"/>
      <c r="W2484" s="16"/>
      <c r="X2484" s="16"/>
      <c r="Y2484" s="11"/>
      <c r="Z2484" s="11"/>
      <c r="AA2484" s="11"/>
      <c r="AB2484" s="11"/>
      <c r="AC2484" s="11"/>
      <c r="AD2484" s="11"/>
    </row>
    <row r="2485">
      <c r="A2485" s="10"/>
      <c r="B2485" s="10"/>
      <c r="C2485" s="10"/>
      <c r="D2485" s="10"/>
      <c r="E2485" s="10"/>
      <c r="F2485" s="11"/>
      <c r="G2485" s="11"/>
      <c r="H2485" s="11"/>
      <c r="I2485" s="11"/>
      <c r="J2485" s="11"/>
      <c r="K2485" s="11"/>
      <c r="L2485" s="12"/>
      <c r="M2485" s="11"/>
      <c r="N2485" s="11"/>
      <c r="O2485" s="13"/>
      <c r="P2485" s="14"/>
      <c r="Q2485" s="13"/>
      <c r="R2485" s="13"/>
      <c r="S2485" s="15"/>
      <c r="T2485" s="16"/>
      <c r="U2485" s="16"/>
      <c r="V2485" s="16"/>
      <c r="W2485" s="16"/>
      <c r="X2485" s="16"/>
      <c r="Y2485" s="11"/>
      <c r="Z2485" s="11"/>
      <c r="AA2485" s="11"/>
      <c r="AB2485" s="11"/>
      <c r="AC2485" s="11"/>
      <c r="AD2485" s="11"/>
    </row>
    <row r="2486">
      <c r="A2486" s="10"/>
      <c r="B2486" s="10"/>
      <c r="C2486" s="10"/>
      <c r="D2486" s="10"/>
      <c r="E2486" s="10"/>
      <c r="F2486" s="11"/>
      <c r="G2486" s="11"/>
      <c r="H2486" s="11"/>
      <c r="I2486" s="11"/>
      <c r="J2486" s="11"/>
      <c r="K2486" s="11"/>
      <c r="L2486" s="12"/>
      <c r="M2486" s="11"/>
      <c r="N2486" s="11"/>
      <c r="O2486" s="13"/>
      <c r="P2486" s="14"/>
      <c r="Q2486" s="13"/>
      <c r="R2486" s="13"/>
      <c r="S2486" s="15"/>
      <c r="T2486" s="16"/>
      <c r="U2486" s="16"/>
      <c r="V2486" s="16"/>
      <c r="W2486" s="16"/>
      <c r="X2486" s="16"/>
      <c r="Y2486" s="11"/>
      <c r="Z2486" s="11"/>
      <c r="AA2486" s="11"/>
      <c r="AB2486" s="11"/>
      <c r="AC2486" s="11"/>
      <c r="AD2486" s="11"/>
    </row>
    <row r="2487">
      <c r="A2487" s="10"/>
      <c r="B2487" s="10"/>
      <c r="C2487" s="10"/>
      <c r="D2487" s="10"/>
      <c r="E2487" s="10"/>
      <c r="F2487" s="11"/>
      <c r="G2487" s="11"/>
      <c r="H2487" s="11"/>
      <c r="I2487" s="11"/>
      <c r="J2487" s="11"/>
      <c r="K2487" s="11"/>
      <c r="L2487" s="12"/>
      <c r="M2487" s="11"/>
      <c r="N2487" s="11"/>
      <c r="O2487" s="13"/>
      <c r="P2487" s="14"/>
      <c r="Q2487" s="13"/>
      <c r="R2487" s="13"/>
      <c r="S2487" s="15"/>
      <c r="T2487" s="16"/>
      <c r="U2487" s="16"/>
      <c r="V2487" s="16"/>
      <c r="W2487" s="16"/>
      <c r="X2487" s="16"/>
      <c r="Y2487" s="11"/>
      <c r="Z2487" s="11"/>
      <c r="AA2487" s="11"/>
      <c r="AB2487" s="11"/>
      <c r="AC2487" s="11"/>
      <c r="AD2487" s="11"/>
    </row>
    <row r="2488">
      <c r="A2488" s="10"/>
      <c r="B2488" s="10"/>
      <c r="C2488" s="10"/>
      <c r="D2488" s="10"/>
      <c r="E2488" s="10"/>
      <c r="F2488" s="11"/>
      <c r="G2488" s="11"/>
      <c r="H2488" s="11"/>
      <c r="I2488" s="11"/>
      <c r="J2488" s="11"/>
      <c r="K2488" s="11"/>
      <c r="L2488" s="12"/>
      <c r="M2488" s="11"/>
      <c r="N2488" s="11"/>
      <c r="O2488" s="13"/>
      <c r="P2488" s="14"/>
      <c r="Q2488" s="13"/>
      <c r="R2488" s="13"/>
      <c r="S2488" s="15"/>
      <c r="T2488" s="16"/>
      <c r="U2488" s="16"/>
      <c r="V2488" s="16"/>
      <c r="W2488" s="16"/>
      <c r="X2488" s="16"/>
      <c r="Y2488" s="11"/>
      <c r="Z2488" s="11"/>
      <c r="AA2488" s="11"/>
      <c r="AB2488" s="11"/>
      <c r="AC2488" s="11"/>
      <c r="AD2488" s="11"/>
    </row>
    <row r="2489">
      <c r="A2489" s="10"/>
      <c r="B2489" s="10"/>
      <c r="C2489" s="10"/>
      <c r="D2489" s="10"/>
      <c r="E2489" s="10"/>
      <c r="F2489" s="11"/>
      <c r="G2489" s="11"/>
      <c r="H2489" s="11"/>
      <c r="I2489" s="11"/>
      <c r="J2489" s="11"/>
      <c r="K2489" s="11"/>
      <c r="L2489" s="12"/>
      <c r="M2489" s="11"/>
      <c r="N2489" s="11"/>
      <c r="O2489" s="13"/>
      <c r="P2489" s="14"/>
      <c r="Q2489" s="13"/>
      <c r="R2489" s="13"/>
      <c r="S2489" s="15"/>
      <c r="T2489" s="16"/>
      <c r="U2489" s="16"/>
      <c r="V2489" s="16"/>
      <c r="W2489" s="16"/>
      <c r="X2489" s="16"/>
      <c r="Y2489" s="11"/>
      <c r="Z2489" s="11"/>
      <c r="AA2489" s="11"/>
      <c r="AB2489" s="11"/>
      <c r="AC2489" s="11"/>
      <c r="AD2489" s="11"/>
    </row>
    <row r="2490">
      <c r="A2490" s="10"/>
      <c r="B2490" s="10"/>
      <c r="C2490" s="10"/>
      <c r="D2490" s="10"/>
      <c r="E2490" s="10"/>
      <c r="F2490" s="11"/>
      <c r="G2490" s="11"/>
      <c r="H2490" s="11"/>
      <c r="I2490" s="11"/>
      <c r="J2490" s="11"/>
      <c r="K2490" s="11"/>
      <c r="L2490" s="12"/>
      <c r="M2490" s="11"/>
      <c r="N2490" s="11"/>
      <c r="O2490" s="13"/>
      <c r="P2490" s="14"/>
      <c r="Q2490" s="13"/>
      <c r="R2490" s="13"/>
      <c r="S2490" s="15"/>
      <c r="T2490" s="16"/>
      <c r="U2490" s="16"/>
      <c r="V2490" s="16"/>
      <c r="W2490" s="16"/>
      <c r="X2490" s="16"/>
      <c r="Y2490" s="11"/>
      <c r="Z2490" s="11"/>
      <c r="AA2490" s="11"/>
      <c r="AB2490" s="11"/>
      <c r="AC2490" s="11"/>
      <c r="AD2490" s="11"/>
    </row>
    <row r="2491">
      <c r="A2491" s="10"/>
      <c r="B2491" s="10"/>
      <c r="C2491" s="10"/>
      <c r="D2491" s="10"/>
      <c r="E2491" s="10"/>
      <c r="F2491" s="11"/>
      <c r="G2491" s="11"/>
      <c r="H2491" s="11"/>
      <c r="I2491" s="11"/>
      <c r="J2491" s="11"/>
      <c r="K2491" s="11"/>
      <c r="L2491" s="12"/>
      <c r="M2491" s="11"/>
      <c r="N2491" s="11"/>
      <c r="O2491" s="13"/>
      <c r="P2491" s="14"/>
      <c r="Q2491" s="13"/>
      <c r="R2491" s="13"/>
      <c r="S2491" s="15"/>
      <c r="T2491" s="16"/>
      <c r="U2491" s="16"/>
      <c r="V2491" s="16"/>
      <c r="W2491" s="16"/>
      <c r="X2491" s="16"/>
      <c r="Y2491" s="11"/>
      <c r="Z2491" s="11"/>
      <c r="AA2491" s="11"/>
      <c r="AB2491" s="11"/>
      <c r="AC2491" s="11"/>
      <c r="AD2491" s="11"/>
    </row>
    <row r="2492">
      <c r="A2492" s="10"/>
      <c r="B2492" s="10"/>
      <c r="C2492" s="10"/>
      <c r="D2492" s="10"/>
      <c r="E2492" s="10"/>
      <c r="F2492" s="11"/>
      <c r="G2492" s="11"/>
      <c r="H2492" s="11"/>
      <c r="I2492" s="11"/>
      <c r="J2492" s="11"/>
      <c r="K2492" s="11"/>
      <c r="L2492" s="12"/>
      <c r="M2492" s="11"/>
      <c r="N2492" s="11"/>
      <c r="O2492" s="13"/>
      <c r="P2492" s="14"/>
      <c r="Q2492" s="13"/>
      <c r="R2492" s="13"/>
      <c r="S2492" s="15"/>
      <c r="T2492" s="16"/>
      <c r="U2492" s="16"/>
      <c r="V2492" s="16"/>
      <c r="W2492" s="16"/>
      <c r="X2492" s="16"/>
      <c r="Y2492" s="11"/>
      <c r="Z2492" s="11"/>
      <c r="AA2492" s="11"/>
      <c r="AB2492" s="11"/>
      <c r="AC2492" s="11"/>
      <c r="AD2492" s="11"/>
    </row>
    <row r="2493">
      <c r="A2493" s="10"/>
      <c r="B2493" s="10"/>
      <c r="C2493" s="10"/>
      <c r="D2493" s="10"/>
      <c r="E2493" s="10"/>
      <c r="F2493" s="11"/>
      <c r="G2493" s="11"/>
      <c r="H2493" s="11"/>
      <c r="I2493" s="11"/>
      <c r="J2493" s="11"/>
      <c r="K2493" s="11"/>
      <c r="L2493" s="12"/>
      <c r="M2493" s="11"/>
      <c r="N2493" s="11"/>
      <c r="O2493" s="13"/>
      <c r="P2493" s="14"/>
      <c r="Q2493" s="13"/>
      <c r="R2493" s="13"/>
      <c r="S2493" s="15"/>
      <c r="T2493" s="16"/>
      <c r="U2493" s="16"/>
      <c r="V2493" s="16"/>
      <c r="W2493" s="16"/>
      <c r="X2493" s="16"/>
      <c r="Y2493" s="11"/>
      <c r="Z2493" s="11"/>
      <c r="AA2493" s="11"/>
      <c r="AB2493" s="11"/>
      <c r="AC2493" s="11"/>
      <c r="AD2493" s="11"/>
    </row>
    <row r="2494">
      <c r="A2494" s="10"/>
      <c r="B2494" s="10"/>
      <c r="C2494" s="10"/>
      <c r="D2494" s="10"/>
      <c r="E2494" s="10"/>
      <c r="F2494" s="11"/>
      <c r="G2494" s="11"/>
      <c r="H2494" s="11"/>
      <c r="I2494" s="11"/>
      <c r="J2494" s="11"/>
      <c r="K2494" s="11"/>
      <c r="L2494" s="12"/>
      <c r="M2494" s="11"/>
      <c r="N2494" s="11"/>
      <c r="O2494" s="13"/>
      <c r="P2494" s="14"/>
      <c r="Q2494" s="13"/>
      <c r="R2494" s="13"/>
      <c r="S2494" s="15"/>
      <c r="T2494" s="16"/>
      <c r="U2494" s="16"/>
      <c r="V2494" s="16"/>
      <c r="W2494" s="16"/>
      <c r="X2494" s="16"/>
      <c r="Y2494" s="11"/>
      <c r="Z2494" s="11"/>
      <c r="AA2494" s="11"/>
      <c r="AB2494" s="11"/>
      <c r="AC2494" s="11"/>
      <c r="AD2494" s="11"/>
    </row>
    <row r="2495">
      <c r="A2495" s="10"/>
      <c r="B2495" s="10"/>
      <c r="C2495" s="10"/>
      <c r="D2495" s="10"/>
      <c r="E2495" s="10"/>
      <c r="F2495" s="11"/>
      <c r="G2495" s="11"/>
      <c r="H2495" s="11"/>
      <c r="I2495" s="11"/>
      <c r="J2495" s="11"/>
      <c r="K2495" s="11"/>
      <c r="L2495" s="12"/>
      <c r="M2495" s="11"/>
      <c r="N2495" s="11"/>
      <c r="O2495" s="13"/>
      <c r="P2495" s="14"/>
      <c r="Q2495" s="13"/>
      <c r="R2495" s="13"/>
      <c r="S2495" s="15"/>
      <c r="T2495" s="16"/>
      <c r="U2495" s="16"/>
      <c r="V2495" s="16"/>
      <c r="W2495" s="16"/>
      <c r="X2495" s="16"/>
      <c r="Y2495" s="11"/>
      <c r="Z2495" s="11"/>
      <c r="AA2495" s="11"/>
      <c r="AB2495" s="11"/>
      <c r="AC2495" s="11"/>
      <c r="AD2495" s="11"/>
    </row>
    <row r="2496">
      <c r="A2496" s="10"/>
      <c r="B2496" s="10"/>
      <c r="C2496" s="10"/>
      <c r="D2496" s="10"/>
      <c r="E2496" s="10"/>
      <c r="F2496" s="11"/>
      <c r="G2496" s="11"/>
      <c r="H2496" s="11"/>
      <c r="I2496" s="11"/>
      <c r="J2496" s="11"/>
      <c r="K2496" s="11"/>
      <c r="L2496" s="12"/>
      <c r="M2496" s="11"/>
      <c r="N2496" s="11"/>
      <c r="O2496" s="13"/>
      <c r="P2496" s="14"/>
      <c r="Q2496" s="13"/>
      <c r="R2496" s="13"/>
      <c r="S2496" s="15"/>
      <c r="T2496" s="16"/>
      <c r="U2496" s="16"/>
      <c r="V2496" s="16"/>
      <c r="W2496" s="16"/>
      <c r="X2496" s="16"/>
      <c r="Y2496" s="11"/>
      <c r="Z2496" s="11"/>
      <c r="AA2496" s="11"/>
      <c r="AB2496" s="11"/>
      <c r="AC2496" s="11"/>
      <c r="AD2496" s="11"/>
    </row>
    <row r="2497">
      <c r="A2497" s="10"/>
      <c r="B2497" s="10"/>
      <c r="C2497" s="10"/>
      <c r="D2497" s="10"/>
      <c r="E2497" s="10"/>
      <c r="F2497" s="11"/>
      <c r="G2497" s="11"/>
      <c r="H2497" s="11"/>
      <c r="I2497" s="11"/>
      <c r="J2497" s="11"/>
      <c r="K2497" s="11"/>
      <c r="L2497" s="12"/>
      <c r="M2497" s="11"/>
      <c r="N2497" s="11"/>
      <c r="O2497" s="13"/>
      <c r="P2497" s="14"/>
      <c r="Q2497" s="13"/>
      <c r="R2497" s="13"/>
      <c r="S2497" s="15"/>
      <c r="T2497" s="16"/>
      <c r="U2497" s="16"/>
      <c r="V2497" s="16"/>
      <c r="W2497" s="16"/>
      <c r="X2497" s="16"/>
      <c r="Y2497" s="11"/>
      <c r="Z2497" s="11"/>
      <c r="AA2497" s="11"/>
      <c r="AB2497" s="11"/>
      <c r="AC2497" s="11"/>
      <c r="AD2497" s="11"/>
    </row>
    <row r="2498">
      <c r="A2498" s="10"/>
      <c r="B2498" s="10"/>
      <c r="C2498" s="10"/>
      <c r="D2498" s="10"/>
      <c r="E2498" s="10"/>
      <c r="F2498" s="11"/>
      <c r="G2498" s="11"/>
      <c r="H2498" s="11"/>
      <c r="I2498" s="11"/>
      <c r="J2498" s="11"/>
      <c r="K2498" s="11"/>
      <c r="L2498" s="12"/>
      <c r="M2498" s="11"/>
      <c r="N2498" s="11"/>
      <c r="O2498" s="13"/>
      <c r="P2498" s="14"/>
      <c r="Q2498" s="13"/>
      <c r="R2498" s="13"/>
      <c r="S2498" s="15"/>
      <c r="T2498" s="16"/>
      <c r="U2498" s="16"/>
      <c r="V2498" s="16"/>
      <c r="W2498" s="16"/>
      <c r="X2498" s="16"/>
      <c r="Y2498" s="11"/>
      <c r="Z2498" s="11"/>
      <c r="AA2498" s="11"/>
      <c r="AB2498" s="11"/>
      <c r="AC2498" s="11"/>
      <c r="AD2498" s="11"/>
    </row>
    <row r="2499">
      <c r="A2499" s="10"/>
      <c r="B2499" s="10"/>
      <c r="C2499" s="10"/>
      <c r="D2499" s="10"/>
      <c r="E2499" s="10"/>
      <c r="F2499" s="11"/>
      <c r="G2499" s="11"/>
      <c r="H2499" s="11"/>
      <c r="I2499" s="11"/>
      <c r="J2499" s="11"/>
      <c r="K2499" s="11"/>
      <c r="L2499" s="12"/>
      <c r="M2499" s="11"/>
      <c r="N2499" s="11"/>
      <c r="O2499" s="13"/>
      <c r="P2499" s="14"/>
      <c r="Q2499" s="13"/>
      <c r="R2499" s="13"/>
      <c r="S2499" s="15"/>
      <c r="T2499" s="16"/>
      <c r="U2499" s="16"/>
      <c r="V2499" s="16"/>
      <c r="W2499" s="16"/>
      <c r="X2499" s="16"/>
      <c r="Y2499" s="11"/>
      <c r="Z2499" s="11"/>
      <c r="AA2499" s="11"/>
      <c r="AB2499" s="11"/>
      <c r="AC2499" s="11"/>
      <c r="AD2499" s="11"/>
    </row>
    <row r="2500">
      <c r="A2500" s="10"/>
      <c r="B2500" s="10"/>
      <c r="C2500" s="10"/>
      <c r="D2500" s="10"/>
      <c r="E2500" s="10"/>
      <c r="F2500" s="11"/>
      <c r="G2500" s="11"/>
      <c r="H2500" s="11"/>
      <c r="I2500" s="11"/>
      <c r="J2500" s="11"/>
      <c r="K2500" s="11"/>
      <c r="L2500" s="12"/>
      <c r="M2500" s="11"/>
      <c r="N2500" s="11"/>
      <c r="O2500" s="13"/>
      <c r="P2500" s="14"/>
      <c r="Q2500" s="13"/>
      <c r="R2500" s="13"/>
      <c r="S2500" s="15"/>
      <c r="T2500" s="16"/>
      <c r="U2500" s="16"/>
      <c r="V2500" s="16"/>
      <c r="W2500" s="16"/>
      <c r="X2500" s="16"/>
      <c r="Y2500" s="11"/>
      <c r="Z2500" s="11"/>
      <c r="AA2500" s="11"/>
      <c r="AB2500" s="11"/>
      <c r="AC2500" s="11"/>
      <c r="AD2500" s="11"/>
    </row>
    <row r="2501">
      <c r="A2501" s="10"/>
      <c r="B2501" s="10"/>
      <c r="C2501" s="10"/>
      <c r="D2501" s="10"/>
      <c r="E2501" s="10"/>
      <c r="F2501" s="11"/>
      <c r="G2501" s="11"/>
      <c r="H2501" s="11"/>
      <c r="I2501" s="11"/>
      <c r="J2501" s="11"/>
      <c r="K2501" s="11"/>
      <c r="L2501" s="12"/>
      <c r="M2501" s="11"/>
      <c r="N2501" s="11"/>
      <c r="O2501" s="13"/>
      <c r="P2501" s="14"/>
      <c r="Q2501" s="13"/>
      <c r="R2501" s="13"/>
      <c r="S2501" s="15"/>
      <c r="T2501" s="16"/>
      <c r="U2501" s="16"/>
      <c r="V2501" s="16"/>
      <c r="W2501" s="16"/>
      <c r="X2501" s="16"/>
      <c r="Y2501" s="11"/>
      <c r="Z2501" s="11"/>
      <c r="AA2501" s="11"/>
      <c r="AB2501" s="11"/>
      <c r="AC2501" s="11"/>
      <c r="AD2501" s="11"/>
    </row>
    <row r="2502">
      <c r="A2502" s="10"/>
      <c r="B2502" s="10"/>
      <c r="C2502" s="10"/>
      <c r="D2502" s="10"/>
      <c r="E2502" s="10"/>
      <c r="F2502" s="11"/>
      <c r="G2502" s="11"/>
      <c r="H2502" s="11"/>
      <c r="I2502" s="11"/>
      <c r="J2502" s="11"/>
      <c r="K2502" s="11"/>
      <c r="L2502" s="12"/>
      <c r="M2502" s="11"/>
      <c r="N2502" s="11"/>
      <c r="O2502" s="13"/>
      <c r="P2502" s="14"/>
      <c r="Q2502" s="13"/>
      <c r="R2502" s="13"/>
      <c r="S2502" s="15"/>
      <c r="T2502" s="16"/>
      <c r="U2502" s="16"/>
      <c r="V2502" s="16"/>
      <c r="W2502" s="16"/>
      <c r="X2502" s="16"/>
      <c r="Y2502" s="11"/>
      <c r="Z2502" s="11"/>
      <c r="AA2502" s="11"/>
      <c r="AB2502" s="11"/>
      <c r="AC2502" s="11"/>
      <c r="AD2502" s="11"/>
    </row>
    <row r="2503">
      <c r="A2503" s="10"/>
      <c r="B2503" s="10"/>
      <c r="C2503" s="10"/>
      <c r="D2503" s="10"/>
      <c r="E2503" s="10"/>
      <c r="F2503" s="11"/>
      <c r="G2503" s="11"/>
      <c r="H2503" s="11"/>
      <c r="I2503" s="11"/>
      <c r="J2503" s="11"/>
      <c r="K2503" s="11"/>
      <c r="L2503" s="12"/>
      <c r="M2503" s="11"/>
      <c r="N2503" s="11"/>
      <c r="O2503" s="13"/>
      <c r="P2503" s="14"/>
      <c r="Q2503" s="13"/>
      <c r="R2503" s="13"/>
      <c r="S2503" s="15"/>
      <c r="T2503" s="16"/>
      <c r="U2503" s="16"/>
      <c r="V2503" s="16"/>
      <c r="W2503" s="16"/>
      <c r="X2503" s="16"/>
      <c r="Y2503" s="11"/>
      <c r="Z2503" s="11"/>
      <c r="AA2503" s="11"/>
      <c r="AB2503" s="11"/>
      <c r="AC2503" s="11"/>
      <c r="AD2503" s="11"/>
    </row>
    <row r="2504">
      <c r="A2504" s="10"/>
      <c r="B2504" s="10"/>
      <c r="C2504" s="10"/>
      <c r="D2504" s="10"/>
      <c r="E2504" s="10"/>
      <c r="F2504" s="11"/>
      <c r="G2504" s="11"/>
      <c r="H2504" s="11"/>
      <c r="I2504" s="11"/>
      <c r="J2504" s="11"/>
      <c r="K2504" s="11"/>
      <c r="L2504" s="12"/>
      <c r="M2504" s="11"/>
      <c r="N2504" s="11"/>
      <c r="O2504" s="13"/>
      <c r="P2504" s="14"/>
      <c r="Q2504" s="13"/>
      <c r="R2504" s="13"/>
      <c r="S2504" s="15"/>
      <c r="T2504" s="16"/>
      <c r="U2504" s="16"/>
      <c r="V2504" s="16"/>
      <c r="W2504" s="16"/>
      <c r="X2504" s="16"/>
      <c r="Y2504" s="11"/>
      <c r="Z2504" s="11"/>
      <c r="AA2504" s="11"/>
      <c r="AB2504" s="11"/>
      <c r="AC2504" s="11"/>
      <c r="AD2504" s="11"/>
    </row>
    <row r="2505">
      <c r="A2505" s="10"/>
      <c r="B2505" s="10"/>
      <c r="C2505" s="10"/>
      <c r="D2505" s="10"/>
      <c r="E2505" s="10"/>
      <c r="F2505" s="11"/>
      <c r="G2505" s="11"/>
      <c r="H2505" s="11"/>
      <c r="I2505" s="11"/>
      <c r="J2505" s="11"/>
      <c r="K2505" s="11"/>
      <c r="L2505" s="12"/>
      <c r="M2505" s="11"/>
      <c r="N2505" s="11"/>
      <c r="O2505" s="13"/>
      <c r="P2505" s="14"/>
      <c r="Q2505" s="13"/>
      <c r="R2505" s="13"/>
      <c r="S2505" s="15"/>
      <c r="T2505" s="16"/>
      <c r="U2505" s="16"/>
      <c r="V2505" s="16"/>
      <c r="W2505" s="16"/>
      <c r="X2505" s="16"/>
      <c r="Y2505" s="11"/>
      <c r="Z2505" s="11"/>
      <c r="AA2505" s="11"/>
      <c r="AB2505" s="11"/>
      <c r="AC2505" s="11"/>
      <c r="AD2505" s="11"/>
    </row>
    <row r="2506">
      <c r="A2506" s="10"/>
      <c r="B2506" s="10"/>
      <c r="C2506" s="10"/>
      <c r="D2506" s="10"/>
      <c r="E2506" s="10"/>
      <c r="F2506" s="11"/>
      <c r="G2506" s="11"/>
      <c r="H2506" s="11"/>
      <c r="I2506" s="11"/>
      <c r="J2506" s="11"/>
      <c r="K2506" s="11"/>
      <c r="L2506" s="12"/>
      <c r="M2506" s="11"/>
      <c r="N2506" s="11"/>
      <c r="O2506" s="13"/>
      <c r="P2506" s="14"/>
      <c r="Q2506" s="13"/>
      <c r="R2506" s="13"/>
      <c r="S2506" s="15"/>
      <c r="T2506" s="16"/>
      <c r="U2506" s="16"/>
      <c r="V2506" s="16"/>
      <c r="W2506" s="16"/>
      <c r="X2506" s="16"/>
      <c r="Y2506" s="11"/>
      <c r="Z2506" s="11"/>
      <c r="AA2506" s="11"/>
      <c r="AB2506" s="11"/>
      <c r="AC2506" s="11"/>
      <c r="AD2506" s="11"/>
    </row>
    <row r="2507">
      <c r="A2507" s="10"/>
      <c r="B2507" s="10"/>
      <c r="C2507" s="10"/>
      <c r="D2507" s="10"/>
      <c r="E2507" s="10"/>
      <c r="F2507" s="11"/>
      <c r="G2507" s="11"/>
      <c r="H2507" s="11"/>
      <c r="I2507" s="11"/>
      <c r="J2507" s="11"/>
      <c r="K2507" s="11"/>
      <c r="L2507" s="12"/>
      <c r="M2507" s="11"/>
      <c r="N2507" s="11"/>
      <c r="O2507" s="13"/>
      <c r="P2507" s="14"/>
      <c r="Q2507" s="13"/>
      <c r="R2507" s="13"/>
      <c r="S2507" s="15"/>
      <c r="T2507" s="16"/>
      <c r="U2507" s="16"/>
      <c r="V2507" s="16"/>
      <c r="W2507" s="16"/>
      <c r="X2507" s="16"/>
      <c r="Y2507" s="11"/>
      <c r="Z2507" s="11"/>
      <c r="AA2507" s="11"/>
      <c r="AB2507" s="11"/>
      <c r="AC2507" s="11"/>
      <c r="AD2507" s="11"/>
    </row>
    <row r="2508">
      <c r="A2508" s="10"/>
      <c r="B2508" s="10"/>
      <c r="C2508" s="10"/>
      <c r="D2508" s="10"/>
      <c r="E2508" s="10"/>
      <c r="F2508" s="11"/>
      <c r="G2508" s="11"/>
      <c r="H2508" s="11"/>
      <c r="I2508" s="11"/>
      <c r="J2508" s="11"/>
      <c r="K2508" s="11"/>
      <c r="L2508" s="12"/>
      <c r="M2508" s="11"/>
      <c r="N2508" s="11"/>
      <c r="O2508" s="13"/>
      <c r="P2508" s="14"/>
      <c r="Q2508" s="13"/>
      <c r="R2508" s="13"/>
      <c r="S2508" s="15"/>
      <c r="T2508" s="16"/>
      <c r="U2508" s="16"/>
      <c r="V2508" s="16"/>
      <c r="W2508" s="16"/>
      <c r="X2508" s="16"/>
      <c r="Y2508" s="11"/>
      <c r="Z2508" s="11"/>
      <c r="AA2508" s="11"/>
      <c r="AB2508" s="11"/>
      <c r="AC2508" s="11"/>
      <c r="AD2508" s="11"/>
    </row>
    <row r="2509">
      <c r="A2509" s="10"/>
      <c r="B2509" s="10"/>
      <c r="C2509" s="10"/>
      <c r="D2509" s="10"/>
      <c r="E2509" s="10"/>
      <c r="F2509" s="11"/>
      <c r="G2509" s="11"/>
      <c r="H2509" s="11"/>
      <c r="I2509" s="11"/>
      <c r="J2509" s="11"/>
      <c r="K2509" s="11"/>
      <c r="L2509" s="12"/>
      <c r="M2509" s="11"/>
      <c r="N2509" s="11"/>
      <c r="O2509" s="13"/>
      <c r="P2509" s="14"/>
      <c r="Q2509" s="13"/>
      <c r="R2509" s="13"/>
      <c r="S2509" s="15"/>
      <c r="T2509" s="16"/>
      <c r="U2509" s="16"/>
      <c r="V2509" s="16"/>
      <c r="W2509" s="16"/>
      <c r="X2509" s="16"/>
      <c r="Y2509" s="11"/>
      <c r="Z2509" s="11"/>
      <c r="AA2509" s="11"/>
      <c r="AB2509" s="11"/>
      <c r="AC2509" s="11"/>
      <c r="AD2509" s="11"/>
    </row>
    <row r="2510">
      <c r="A2510" s="10"/>
      <c r="B2510" s="10"/>
      <c r="C2510" s="10"/>
      <c r="D2510" s="10"/>
      <c r="E2510" s="10"/>
      <c r="F2510" s="11"/>
      <c r="G2510" s="11"/>
      <c r="H2510" s="11"/>
      <c r="I2510" s="11"/>
      <c r="J2510" s="11"/>
      <c r="K2510" s="11"/>
      <c r="L2510" s="12"/>
      <c r="M2510" s="11"/>
      <c r="N2510" s="11"/>
      <c r="O2510" s="13"/>
      <c r="P2510" s="14"/>
      <c r="Q2510" s="13"/>
      <c r="R2510" s="13"/>
      <c r="S2510" s="15"/>
      <c r="T2510" s="16"/>
      <c r="U2510" s="16"/>
      <c r="V2510" s="16"/>
      <c r="W2510" s="16"/>
      <c r="X2510" s="16"/>
      <c r="Y2510" s="11"/>
      <c r="Z2510" s="11"/>
      <c r="AA2510" s="11"/>
      <c r="AB2510" s="11"/>
      <c r="AC2510" s="11"/>
      <c r="AD2510" s="11"/>
    </row>
    <row r="2511">
      <c r="A2511" s="10"/>
      <c r="B2511" s="10"/>
      <c r="C2511" s="10"/>
      <c r="D2511" s="10"/>
      <c r="E2511" s="10"/>
      <c r="F2511" s="11"/>
      <c r="G2511" s="11"/>
      <c r="H2511" s="11"/>
      <c r="I2511" s="11"/>
      <c r="J2511" s="11"/>
      <c r="K2511" s="11"/>
      <c r="L2511" s="12"/>
      <c r="M2511" s="11"/>
      <c r="N2511" s="11"/>
      <c r="O2511" s="13"/>
      <c r="P2511" s="14"/>
      <c r="Q2511" s="13"/>
      <c r="R2511" s="13"/>
      <c r="S2511" s="15"/>
      <c r="T2511" s="16"/>
      <c r="U2511" s="16"/>
      <c r="V2511" s="16"/>
      <c r="W2511" s="16"/>
      <c r="X2511" s="16"/>
      <c r="Y2511" s="11"/>
      <c r="Z2511" s="11"/>
      <c r="AA2511" s="11"/>
      <c r="AB2511" s="11"/>
      <c r="AC2511" s="11"/>
      <c r="AD2511" s="11"/>
    </row>
    <row r="2512">
      <c r="A2512" s="10"/>
      <c r="B2512" s="10"/>
      <c r="C2512" s="10"/>
      <c r="D2512" s="10"/>
      <c r="E2512" s="10"/>
      <c r="F2512" s="11"/>
      <c r="G2512" s="11"/>
      <c r="H2512" s="11"/>
      <c r="I2512" s="11"/>
      <c r="J2512" s="11"/>
      <c r="K2512" s="11"/>
      <c r="L2512" s="12"/>
      <c r="M2512" s="11"/>
      <c r="N2512" s="11"/>
      <c r="O2512" s="13"/>
      <c r="P2512" s="14"/>
      <c r="Q2512" s="13"/>
      <c r="R2512" s="13"/>
      <c r="S2512" s="15"/>
      <c r="T2512" s="16"/>
      <c r="U2512" s="16"/>
      <c r="V2512" s="16"/>
      <c r="W2512" s="16"/>
      <c r="X2512" s="16"/>
      <c r="Y2512" s="11"/>
      <c r="Z2512" s="11"/>
      <c r="AA2512" s="11"/>
      <c r="AB2512" s="11"/>
      <c r="AC2512" s="11"/>
      <c r="AD2512" s="11"/>
    </row>
    <row r="2513">
      <c r="A2513" s="10"/>
      <c r="B2513" s="10"/>
      <c r="C2513" s="10"/>
      <c r="D2513" s="10"/>
      <c r="E2513" s="10"/>
      <c r="F2513" s="11"/>
      <c r="G2513" s="11"/>
      <c r="H2513" s="11"/>
      <c r="I2513" s="11"/>
      <c r="J2513" s="11"/>
      <c r="K2513" s="11"/>
      <c r="L2513" s="12"/>
      <c r="M2513" s="11"/>
      <c r="N2513" s="11"/>
      <c r="O2513" s="13"/>
      <c r="P2513" s="14"/>
      <c r="Q2513" s="13"/>
      <c r="R2513" s="13"/>
      <c r="S2513" s="15"/>
      <c r="T2513" s="16"/>
      <c r="U2513" s="16"/>
      <c r="V2513" s="16"/>
      <c r="W2513" s="16"/>
      <c r="X2513" s="16"/>
      <c r="Y2513" s="11"/>
      <c r="Z2513" s="11"/>
      <c r="AA2513" s="11"/>
      <c r="AB2513" s="11"/>
      <c r="AC2513" s="11"/>
      <c r="AD2513" s="11"/>
    </row>
    <row r="2514">
      <c r="A2514" s="10"/>
      <c r="B2514" s="10"/>
      <c r="C2514" s="10"/>
      <c r="D2514" s="10"/>
      <c r="E2514" s="10"/>
      <c r="F2514" s="11"/>
      <c r="G2514" s="11"/>
      <c r="H2514" s="11"/>
      <c r="I2514" s="11"/>
      <c r="J2514" s="11"/>
      <c r="K2514" s="11"/>
      <c r="L2514" s="12"/>
      <c r="M2514" s="11"/>
      <c r="N2514" s="11"/>
      <c r="O2514" s="13"/>
      <c r="P2514" s="14"/>
      <c r="Q2514" s="13"/>
      <c r="R2514" s="13"/>
      <c r="S2514" s="15"/>
      <c r="T2514" s="16"/>
      <c r="U2514" s="16"/>
      <c r="V2514" s="16"/>
      <c r="W2514" s="16"/>
      <c r="X2514" s="16"/>
      <c r="Y2514" s="11"/>
      <c r="Z2514" s="11"/>
      <c r="AA2514" s="11"/>
      <c r="AB2514" s="11"/>
      <c r="AC2514" s="11"/>
      <c r="AD2514" s="11"/>
    </row>
    <row r="2515">
      <c r="A2515" s="10"/>
      <c r="B2515" s="10"/>
      <c r="C2515" s="10"/>
      <c r="D2515" s="10"/>
      <c r="E2515" s="10"/>
      <c r="F2515" s="11"/>
      <c r="G2515" s="11"/>
      <c r="H2515" s="11"/>
      <c r="I2515" s="11"/>
      <c r="J2515" s="11"/>
      <c r="K2515" s="11"/>
      <c r="L2515" s="12"/>
      <c r="M2515" s="11"/>
      <c r="N2515" s="11"/>
      <c r="O2515" s="13"/>
      <c r="P2515" s="14"/>
      <c r="Q2515" s="13"/>
      <c r="R2515" s="13"/>
      <c r="S2515" s="15"/>
      <c r="T2515" s="16"/>
      <c r="U2515" s="16"/>
      <c r="V2515" s="16"/>
      <c r="W2515" s="16"/>
      <c r="X2515" s="16"/>
      <c r="Y2515" s="11"/>
      <c r="Z2515" s="11"/>
      <c r="AA2515" s="11"/>
      <c r="AB2515" s="11"/>
      <c r="AC2515" s="11"/>
      <c r="AD2515" s="11"/>
    </row>
    <row r="2516">
      <c r="A2516" s="10"/>
      <c r="B2516" s="10"/>
      <c r="C2516" s="10"/>
      <c r="D2516" s="10"/>
      <c r="E2516" s="10"/>
      <c r="F2516" s="11"/>
      <c r="G2516" s="11"/>
      <c r="H2516" s="11"/>
      <c r="I2516" s="11"/>
      <c r="J2516" s="11"/>
      <c r="K2516" s="11"/>
      <c r="L2516" s="12"/>
      <c r="M2516" s="11"/>
      <c r="N2516" s="11"/>
      <c r="O2516" s="13"/>
      <c r="P2516" s="14"/>
      <c r="Q2516" s="13"/>
      <c r="R2516" s="13"/>
      <c r="S2516" s="15"/>
      <c r="T2516" s="16"/>
      <c r="U2516" s="16"/>
      <c r="V2516" s="16"/>
      <c r="W2516" s="16"/>
      <c r="X2516" s="16"/>
      <c r="Y2516" s="11"/>
      <c r="Z2516" s="11"/>
      <c r="AA2516" s="11"/>
      <c r="AB2516" s="11"/>
      <c r="AC2516" s="11"/>
      <c r="AD2516" s="11"/>
    </row>
    <row r="2517">
      <c r="A2517" s="10"/>
      <c r="B2517" s="10"/>
      <c r="C2517" s="10"/>
      <c r="D2517" s="10"/>
      <c r="E2517" s="10"/>
      <c r="F2517" s="11"/>
      <c r="G2517" s="11"/>
      <c r="H2517" s="11"/>
      <c r="I2517" s="11"/>
      <c r="J2517" s="11"/>
      <c r="K2517" s="11"/>
      <c r="L2517" s="12"/>
      <c r="M2517" s="11"/>
      <c r="N2517" s="11"/>
      <c r="O2517" s="13"/>
      <c r="P2517" s="14"/>
      <c r="Q2517" s="13"/>
      <c r="R2517" s="13"/>
      <c r="S2517" s="15"/>
      <c r="T2517" s="16"/>
      <c r="U2517" s="16"/>
      <c r="V2517" s="16"/>
      <c r="W2517" s="16"/>
      <c r="X2517" s="16"/>
      <c r="Y2517" s="11"/>
      <c r="Z2517" s="11"/>
      <c r="AA2517" s="11"/>
      <c r="AB2517" s="11"/>
      <c r="AC2517" s="11"/>
      <c r="AD2517" s="11"/>
    </row>
    <row r="2518">
      <c r="A2518" s="10"/>
      <c r="B2518" s="10"/>
      <c r="C2518" s="10"/>
      <c r="D2518" s="10"/>
      <c r="E2518" s="10"/>
      <c r="F2518" s="11"/>
      <c r="G2518" s="11"/>
      <c r="H2518" s="11"/>
      <c r="I2518" s="11"/>
      <c r="J2518" s="11"/>
      <c r="K2518" s="11"/>
      <c r="L2518" s="12"/>
      <c r="M2518" s="11"/>
      <c r="N2518" s="11"/>
      <c r="O2518" s="13"/>
      <c r="P2518" s="14"/>
      <c r="Q2518" s="13"/>
      <c r="R2518" s="13"/>
      <c r="S2518" s="15"/>
      <c r="T2518" s="16"/>
      <c r="U2518" s="16"/>
      <c r="V2518" s="16"/>
      <c r="W2518" s="16"/>
      <c r="X2518" s="16"/>
      <c r="Y2518" s="11"/>
      <c r="Z2518" s="11"/>
      <c r="AA2518" s="11"/>
      <c r="AB2518" s="11"/>
      <c r="AC2518" s="11"/>
      <c r="AD2518" s="11"/>
    </row>
    <row r="2519">
      <c r="A2519" s="10"/>
      <c r="B2519" s="10"/>
      <c r="C2519" s="10"/>
      <c r="D2519" s="10"/>
      <c r="E2519" s="10"/>
      <c r="F2519" s="11"/>
      <c r="G2519" s="11"/>
      <c r="H2519" s="11"/>
      <c r="I2519" s="11"/>
      <c r="J2519" s="11"/>
      <c r="K2519" s="11"/>
      <c r="L2519" s="12"/>
      <c r="M2519" s="11"/>
      <c r="N2519" s="11"/>
      <c r="O2519" s="13"/>
      <c r="P2519" s="14"/>
      <c r="Q2519" s="13"/>
      <c r="R2519" s="13"/>
      <c r="S2519" s="15"/>
      <c r="T2519" s="16"/>
      <c r="U2519" s="16"/>
      <c r="V2519" s="16"/>
      <c r="W2519" s="16"/>
      <c r="X2519" s="16"/>
      <c r="Y2519" s="11"/>
      <c r="Z2519" s="11"/>
      <c r="AA2519" s="11"/>
      <c r="AB2519" s="11"/>
      <c r="AC2519" s="11"/>
      <c r="AD2519" s="11"/>
    </row>
    <row r="2520">
      <c r="A2520" s="10"/>
      <c r="B2520" s="10"/>
      <c r="C2520" s="10"/>
      <c r="D2520" s="10"/>
      <c r="E2520" s="10"/>
      <c r="F2520" s="11"/>
      <c r="G2520" s="11"/>
      <c r="H2520" s="11"/>
      <c r="I2520" s="11"/>
      <c r="J2520" s="11"/>
      <c r="K2520" s="11"/>
      <c r="L2520" s="12"/>
      <c r="M2520" s="11"/>
      <c r="N2520" s="11"/>
      <c r="O2520" s="13"/>
      <c r="P2520" s="14"/>
      <c r="Q2520" s="13"/>
      <c r="R2520" s="13"/>
      <c r="S2520" s="15"/>
      <c r="T2520" s="16"/>
      <c r="U2520" s="16"/>
      <c r="V2520" s="16"/>
      <c r="W2520" s="16"/>
      <c r="X2520" s="16"/>
      <c r="Y2520" s="11"/>
      <c r="Z2520" s="11"/>
      <c r="AA2520" s="11"/>
      <c r="AB2520" s="11"/>
      <c r="AC2520" s="11"/>
      <c r="AD2520" s="11"/>
    </row>
    <row r="2521">
      <c r="A2521" s="10"/>
      <c r="B2521" s="10"/>
      <c r="C2521" s="10"/>
      <c r="D2521" s="10"/>
      <c r="E2521" s="10"/>
      <c r="F2521" s="11"/>
      <c r="G2521" s="11"/>
      <c r="H2521" s="11"/>
      <c r="I2521" s="11"/>
      <c r="J2521" s="11"/>
      <c r="K2521" s="11"/>
      <c r="L2521" s="12"/>
      <c r="M2521" s="11"/>
      <c r="N2521" s="11"/>
      <c r="O2521" s="13"/>
      <c r="P2521" s="14"/>
      <c r="Q2521" s="13"/>
      <c r="R2521" s="13"/>
      <c r="S2521" s="15"/>
      <c r="T2521" s="16"/>
      <c r="U2521" s="16"/>
      <c r="V2521" s="16"/>
      <c r="W2521" s="16"/>
      <c r="X2521" s="16"/>
      <c r="Y2521" s="11"/>
      <c r="Z2521" s="11"/>
      <c r="AA2521" s="11"/>
      <c r="AB2521" s="11"/>
      <c r="AC2521" s="11"/>
      <c r="AD2521" s="11"/>
    </row>
    <row r="2522">
      <c r="A2522" s="10"/>
      <c r="B2522" s="10"/>
      <c r="C2522" s="10"/>
      <c r="D2522" s="10"/>
      <c r="E2522" s="10"/>
      <c r="F2522" s="11"/>
      <c r="G2522" s="11"/>
      <c r="H2522" s="11"/>
      <c r="I2522" s="11"/>
      <c r="J2522" s="11"/>
      <c r="K2522" s="11"/>
      <c r="L2522" s="12"/>
      <c r="M2522" s="11"/>
      <c r="N2522" s="11"/>
      <c r="O2522" s="13"/>
      <c r="P2522" s="14"/>
      <c r="Q2522" s="13"/>
      <c r="R2522" s="13"/>
      <c r="S2522" s="15"/>
      <c r="T2522" s="16"/>
      <c r="U2522" s="16"/>
      <c r="V2522" s="16"/>
      <c r="W2522" s="16"/>
      <c r="X2522" s="16"/>
      <c r="Y2522" s="11"/>
      <c r="Z2522" s="11"/>
      <c r="AA2522" s="11"/>
      <c r="AB2522" s="11"/>
      <c r="AC2522" s="11"/>
      <c r="AD2522" s="11"/>
    </row>
    <row r="2523">
      <c r="A2523" s="10"/>
      <c r="B2523" s="10"/>
      <c r="C2523" s="10"/>
      <c r="D2523" s="10"/>
      <c r="E2523" s="10"/>
      <c r="F2523" s="11"/>
      <c r="G2523" s="11"/>
      <c r="H2523" s="11"/>
      <c r="I2523" s="11"/>
      <c r="J2523" s="11"/>
      <c r="K2523" s="11"/>
      <c r="L2523" s="12"/>
      <c r="M2523" s="11"/>
      <c r="N2523" s="11"/>
      <c r="O2523" s="13"/>
      <c r="P2523" s="14"/>
      <c r="Q2523" s="13"/>
      <c r="R2523" s="13"/>
      <c r="S2523" s="15"/>
      <c r="T2523" s="16"/>
      <c r="U2523" s="16"/>
      <c r="V2523" s="16"/>
      <c r="W2523" s="16"/>
      <c r="X2523" s="16"/>
      <c r="Y2523" s="11"/>
      <c r="Z2523" s="11"/>
      <c r="AA2523" s="11"/>
      <c r="AB2523" s="11"/>
      <c r="AC2523" s="11"/>
      <c r="AD2523" s="11"/>
    </row>
    <row r="2524">
      <c r="A2524" s="10"/>
      <c r="B2524" s="10"/>
      <c r="C2524" s="10"/>
      <c r="D2524" s="10"/>
      <c r="E2524" s="10"/>
      <c r="F2524" s="11"/>
      <c r="G2524" s="11"/>
      <c r="H2524" s="11"/>
      <c r="I2524" s="11"/>
      <c r="J2524" s="11"/>
      <c r="K2524" s="11"/>
      <c r="L2524" s="12"/>
      <c r="M2524" s="11"/>
      <c r="N2524" s="11"/>
      <c r="O2524" s="13"/>
      <c r="P2524" s="14"/>
      <c r="Q2524" s="13"/>
      <c r="R2524" s="13"/>
      <c r="S2524" s="15"/>
      <c r="T2524" s="16"/>
      <c r="U2524" s="16"/>
      <c r="V2524" s="16"/>
      <c r="W2524" s="16"/>
      <c r="X2524" s="16"/>
      <c r="Y2524" s="11"/>
      <c r="Z2524" s="11"/>
      <c r="AA2524" s="11"/>
      <c r="AB2524" s="11"/>
      <c r="AC2524" s="11"/>
      <c r="AD2524" s="11"/>
    </row>
    <row r="2525">
      <c r="A2525" s="10"/>
      <c r="B2525" s="10"/>
      <c r="C2525" s="10"/>
      <c r="D2525" s="10"/>
      <c r="E2525" s="10"/>
      <c r="F2525" s="11"/>
      <c r="G2525" s="11"/>
      <c r="H2525" s="11"/>
      <c r="I2525" s="11"/>
      <c r="J2525" s="11"/>
      <c r="K2525" s="11"/>
      <c r="L2525" s="12"/>
      <c r="M2525" s="11"/>
      <c r="N2525" s="11"/>
      <c r="O2525" s="13"/>
      <c r="P2525" s="14"/>
      <c r="Q2525" s="13"/>
      <c r="R2525" s="13"/>
      <c r="S2525" s="15"/>
      <c r="T2525" s="16"/>
      <c r="U2525" s="16"/>
      <c r="V2525" s="16"/>
      <c r="W2525" s="16"/>
      <c r="X2525" s="16"/>
      <c r="Y2525" s="11"/>
      <c r="Z2525" s="11"/>
      <c r="AA2525" s="11"/>
      <c r="AB2525" s="11"/>
      <c r="AC2525" s="11"/>
      <c r="AD2525" s="11"/>
    </row>
    <row r="2526">
      <c r="A2526" s="10"/>
      <c r="B2526" s="10"/>
      <c r="C2526" s="10"/>
      <c r="D2526" s="10"/>
      <c r="E2526" s="10"/>
      <c r="F2526" s="11"/>
      <c r="G2526" s="11"/>
      <c r="H2526" s="11"/>
      <c r="I2526" s="11"/>
      <c r="J2526" s="11"/>
      <c r="K2526" s="11"/>
      <c r="L2526" s="12"/>
      <c r="M2526" s="11"/>
      <c r="N2526" s="11"/>
      <c r="O2526" s="13"/>
      <c r="P2526" s="14"/>
      <c r="Q2526" s="13"/>
      <c r="R2526" s="13"/>
      <c r="S2526" s="15"/>
      <c r="T2526" s="16"/>
      <c r="U2526" s="16"/>
      <c r="V2526" s="16"/>
      <c r="W2526" s="16"/>
      <c r="X2526" s="16"/>
      <c r="Y2526" s="11"/>
      <c r="Z2526" s="11"/>
      <c r="AA2526" s="11"/>
      <c r="AB2526" s="11"/>
      <c r="AC2526" s="11"/>
      <c r="AD2526" s="11"/>
    </row>
    <row r="2527">
      <c r="A2527" s="10"/>
      <c r="B2527" s="10"/>
      <c r="C2527" s="10"/>
      <c r="D2527" s="10"/>
      <c r="E2527" s="10"/>
      <c r="F2527" s="11"/>
      <c r="G2527" s="11"/>
      <c r="H2527" s="11"/>
      <c r="I2527" s="11"/>
      <c r="J2527" s="11"/>
      <c r="K2527" s="11"/>
      <c r="L2527" s="12"/>
      <c r="M2527" s="11"/>
      <c r="N2527" s="11"/>
      <c r="O2527" s="13"/>
      <c r="P2527" s="14"/>
      <c r="Q2527" s="13"/>
      <c r="R2527" s="13"/>
      <c r="S2527" s="15"/>
      <c r="T2527" s="16"/>
      <c r="U2527" s="16"/>
      <c r="V2527" s="16"/>
      <c r="W2527" s="16"/>
      <c r="X2527" s="16"/>
      <c r="Y2527" s="11"/>
      <c r="Z2527" s="11"/>
      <c r="AA2527" s="11"/>
      <c r="AB2527" s="11"/>
      <c r="AC2527" s="11"/>
      <c r="AD2527" s="11"/>
    </row>
    <row r="2528">
      <c r="A2528" s="10"/>
      <c r="B2528" s="10"/>
      <c r="C2528" s="10"/>
      <c r="D2528" s="10"/>
      <c r="E2528" s="10"/>
      <c r="F2528" s="11"/>
      <c r="G2528" s="11"/>
      <c r="H2528" s="11"/>
      <c r="I2528" s="11"/>
      <c r="J2528" s="11"/>
      <c r="K2528" s="11"/>
      <c r="L2528" s="12"/>
      <c r="M2528" s="11"/>
      <c r="N2528" s="11"/>
      <c r="O2528" s="13"/>
      <c r="P2528" s="14"/>
      <c r="Q2528" s="13"/>
      <c r="R2528" s="13"/>
      <c r="S2528" s="15"/>
      <c r="T2528" s="16"/>
      <c r="U2528" s="16"/>
      <c r="V2528" s="16"/>
      <c r="W2528" s="16"/>
      <c r="X2528" s="16"/>
      <c r="Y2528" s="11"/>
      <c r="Z2528" s="11"/>
      <c r="AA2528" s="11"/>
      <c r="AB2528" s="11"/>
      <c r="AC2528" s="11"/>
      <c r="AD2528" s="11"/>
    </row>
    <row r="2529">
      <c r="A2529" s="10"/>
      <c r="B2529" s="10"/>
      <c r="C2529" s="10"/>
      <c r="D2529" s="10"/>
      <c r="E2529" s="10"/>
      <c r="F2529" s="11"/>
      <c r="G2529" s="11"/>
      <c r="H2529" s="11"/>
      <c r="I2529" s="11"/>
      <c r="J2529" s="11"/>
      <c r="K2529" s="11"/>
      <c r="L2529" s="12"/>
      <c r="M2529" s="11"/>
      <c r="N2529" s="11"/>
      <c r="O2529" s="13"/>
      <c r="P2529" s="14"/>
      <c r="Q2529" s="13"/>
      <c r="R2529" s="13"/>
      <c r="S2529" s="15"/>
      <c r="T2529" s="16"/>
      <c r="U2529" s="16"/>
      <c r="V2529" s="16"/>
      <c r="W2529" s="16"/>
      <c r="X2529" s="16"/>
      <c r="Y2529" s="11"/>
      <c r="Z2529" s="11"/>
      <c r="AA2529" s="11"/>
      <c r="AB2529" s="11"/>
      <c r="AC2529" s="11"/>
      <c r="AD2529" s="11"/>
    </row>
    <row r="2530">
      <c r="A2530" s="10"/>
      <c r="B2530" s="10"/>
      <c r="C2530" s="10"/>
      <c r="D2530" s="10"/>
      <c r="E2530" s="10"/>
      <c r="F2530" s="11"/>
      <c r="G2530" s="11"/>
      <c r="H2530" s="11"/>
      <c r="I2530" s="11"/>
      <c r="J2530" s="11"/>
      <c r="K2530" s="11"/>
      <c r="L2530" s="12"/>
      <c r="M2530" s="11"/>
      <c r="N2530" s="11"/>
      <c r="O2530" s="13"/>
      <c r="P2530" s="14"/>
      <c r="Q2530" s="13"/>
      <c r="R2530" s="13"/>
      <c r="S2530" s="15"/>
      <c r="T2530" s="16"/>
      <c r="U2530" s="16"/>
      <c r="V2530" s="16"/>
      <c r="W2530" s="16"/>
      <c r="X2530" s="16"/>
      <c r="Y2530" s="11"/>
      <c r="Z2530" s="11"/>
      <c r="AA2530" s="11"/>
      <c r="AB2530" s="11"/>
      <c r="AC2530" s="11"/>
      <c r="AD2530" s="11"/>
    </row>
    <row r="2531">
      <c r="A2531" s="10"/>
      <c r="B2531" s="10"/>
      <c r="C2531" s="10"/>
      <c r="D2531" s="10"/>
      <c r="E2531" s="10"/>
      <c r="F2531" s="11"/>
      <c r="G2531" s="11"/>
      <c r="H2531" s="11"/>
      <c r="I2531" s="11"/>
      <c r="J2531" s="11"/>
      <c r="K2531" s="11"/>
      <c r="L2531" s="12"/>
      <c r="M2531" s="11"/>
      <c r="N2531" s="11"/>
      <c r="O2531" s="13"/>
      <c r="P2531" s="14"/>
      <c r="Q2531" s="13"/>
      <c r="R2531" s="13"/>
      <c r="S2531" s="15"/>
      <c r="T2531" s="16"/>
      <c r="U2531" s="16"/>
      <c r="V2531" s="16"/>
      <c r="W2531" s="16"/>
      <c r="X2531" s="16"/>
      <c r="Y2531" s="11"/>
      <c r="Z2531" s="11"/>
      <c r="AA2531" s="11"/>
      <c r="AB2531" s="11"/>
      <c r="AC2531" s="11"/>
      <c r="AD2531" s="11"/>
    </row>
    <row r="2532">
      <c r="A2532" s="10"/>
      <c r="B2532" s="10"/>
      <c r="C2532" s="10"/>
      <c r="D2532" s="10"/>
      <c r="E2532" s="10"/>
      <c r="F2532" s="11"/>
      <c r="G2532" s="11"/>
      <c r="H2532" s="11"/>
      <c r="I2532" s="11"/>
      <c r="J2532" s="11"/>
      <c r="K2532" s="11"/>
      <c r="L2532" s="12"/>
      <c r="M2532" s="11"/>
      <c r="N2532" s="11"/>
      <c r="O2532" s="13"/>
      <c r="P2532" s="14"/>
      <c r="Q2532" s="13"/>
      <c r="R2532" s="13"/>
      <c r="S2532" s="15"/>
      <c r="T2532" s="16"/>
      <c r="U2532" s="16"/>
      <c r="V2532" s="16"/>
      <c r="W2532" s="16"/>
      <c r="X2532" s="16"/>
      <c r="Y2532" s="11"/>
      <c r="Z2532" s="11"/>
      <c r="AA2532" s="11"/>
      <c r="AB2532" s="11"/>
      <c r="AC2532" s="11"/>
      <c r="AD2532" s="11"/>
    </row>
    <row r="2533">
      <c r="A2533" s="10"/>
      <c r="B2533" s="10"/>
      <c r="C2533" s="10"/>
      <c r="D2533" s="10"/>
      <c r="E2533" s="10"/>
      <c r="F2533" s="11"/>
      <c r="G2533" s="11"/>
      <c r="H2533" s="11"/>
      <c r="I2533" s="11"/>
      <c r="J2533" s="11"/>
      <c r="K2533" s="11"/>
      <c r="L2533" s="12"/>
      <c r="M2533" s="11"/>
      <c r="N2533" s="11"/>
      <c r="O2533" s="13"/>
      <c r="P2533" s="14"/>
      <c r="Q2533" s="13"/>
      <c r="R2533" s="13"/>
      <c r="S2533" s="15"/>
      <c r="T2533" s="16"/>
      <c r="U2533" s="16"/>
      <c r="V2533" s="16"/>
      <c r="W2533" s="16"/>
      <c r="X2533" s="16"/>
      <c r="Y2533" s="11"/>
      <c r="Z2533" s="11"/>
      <c r="AA2533" s="11"/>
      <c r="AB2533" s="11"/>
      <c r="AC2533" s="11"/>
      <c r="AD2533" s="11"/>
    </row>
    <row r="2534">
      <c r="A2534" s="10"/>
      <c r="B2534" s="10"/>
      <c r="C2534" s="10"/>
      <c r="D2534" s="10"/>
      <c r="E2534" s="10"/>
      <c r="F2534" s="11"/>
      <c r="G2534" s="11"/>
      <c r="H2534" s="11"/>
      <c r="I2534" s="11"/>
      <c r="J2534" s="11"/>
      <c r="K2534" s="11"/>
      <c r="L2534" s="12"/>
      <c r="M2534" s="11"/>
      <c r="N2534" s="11"/>
      <c r="O2534" s="13"/>
      <c r="P2534" s="14"/>
      <c r="Q2534" s="13"/>
      <c r="R2534" s="13"/>
      <c r="S2534" s="15"/>
      <c r="T2534" s="16"/>
      <c r="U2534" s="16"/>
      <c r="V2534" s="16"/>
      <c r="W2534" s="16"/>
      <c r="X2534" s="16"/>
      <c r="Y2534" s="11"/>
      <c r="Z2534" s="11"/>
      <c r="AA2534" s="11"/>
      <c r="AB2534" s="11"/>
      <c r="AC2534" s="11"/>
      <c r="AD2534" s="11"/>
    </row>
    <row r="2535">
      <c r="A2535" s="10"/>
      <c r="B2535" s="10"/>
      <c r="C2535" s="10"/>
      <c r="D2535" s="10"/>
      <c r="E2535" s="10"/>
      <c r="F2535" s="11"/>
      <c r="G2535" s="11"/>
      <c r="H2535" s="11"/>
      <c r="I2535" s="11"/>
      <c r="J2535" s="11"/>
      <c r="K2535" s="11"/>
      <c r="L2535" s="12"/>
      <c r="M2535" s="11"/>
      <c r="N2535" s="11"/>
      <c r="O2535" s="13"/>
      <c r="P2535" s="14"/>
      <c r="Q2535" s="13"/>
      <c r="R2535" s="13"/>
      <c r="S2535" s="15"/>
      <c r="T2535" s="16"/>
      <c r="U2535" s="16"/>
      <c r="V2535" s="16"/>
      <c r="W2535" s="16"/>
      <c r="X2535" s="16"/>
      <c r="Y2535" s="11"/>
      <c r="Z2535" s="11"/>
      <c r="AA2535" s="11"/>
      <c r="AB2535" s="11"/>
      <c r="AC2535" s="11"/>
      <c r="AD2535" s="11"/>
    </row>
    <row r="2536">
      <c r="A2536" s="10"/>
      <c r="B2536" s="10"/>
      <c r="C2536" s="10"/>
      <c r="D2536" s="10"/>
      <c r="E2536" s="10"/>
      <c r="F2536" s="11"/>
      <c r="G2536" s="11"/>
      <c r="H2536" s="11"/>
      <c r="I2536" s="11"/>
      <c r="J2536" s="11"/>
      <c r="K2536" s="11"/>
      <c r="L2536" s="12"/>
      <c r="M2536" s="11"/>
      <c r="N2536" s="11"/>
      <c r="O2536" s="13"/>
      <c r="P2536" s="14"/>
      <c r="Q2536" s="13"/>
      <c r="R2536" s="13"/>
      <c r="S2536" s="15"/>
      <c r="T2536" s="16"/>
      <c r="U2536" s="16"/>
      <c r="V2536" s="16"/>
      <c r="W2536" s="16"/>
      <c r="X2536" s="16"/>
      <c r="Y2536" s="11"/>
      <c r="Z2536" s="11"/>
      <c r="AA2536" s="11"/>
      <c r="AB2536" s="11"/>
      <c r="AC2536" s="11"/>
      <c r="AD2536" s="11"/>
    </row>
    <row r="2537">
      <c r="A2537" s="10"/>
      <c r="B2537" s="10"/>
      <c r="C2537" s="10"/>
      <c r="D2537" s="10"/>
      <c r="E2537" s="10"/>
      <c r="F2537" s="11"/>
      <c r="G2537" s="11"/>
      <c r="H2537" s="11"/>
      <c r="I2537" s="11"/>
      <c r="J2537" s="11"/>
      <c r="K2537" s="11"/>
      <c r="L2537" s="12"/>
      <c r="M2537" s="11"/>
      <c r="N2537" s="11"/>
      <c r="O2537" s="13"/>
      <c r="P2537" s="14"/>
      <c r="Q2537" s="13"/>
      <c r="R2537" s="13"/>
      <c r="S2537" s="15"/>
      <c r="T2537" s="16"/>
      <c r="U2537" s="16"/>
      <c r="V2537" s="16"/>
      <c r="W2537" s="16"/>
      <c r="X2537" s="16"/>
      <c r="Y2537" s="11"/>
      <c r="Z2537" s="11"/>
      <c r="AA2537" s="11"/>
      <c r="AB2537" s="11"/>
      <c r="AC2537" s="11"/>
      <c r="AD2537" s="11"/>
    </row>
    <row r="2538">
      <c r="A2538" s="10"/>
      <c r="B2538" s="10"/>
      <c r="C2538" s="10"/>
      <c r="D2538" s="10"/>
      <c r="E2538" s="10"/>
      <c r="F2538" s="11"/>
      <c r="G2538" s="11"/>
      <c r="H2538" s="11"/>
      <c r="I2538" s="11"/>
      <c r="J2538" s="11"/>
      <c r="K2538" s="11"/>
      <c r="L2538" s="12"/>
      <c r="M2538" s="11"/>
      <c r="N2538" s="11"/>
      <c r="O2538" s="13"/>
      <c r="P2538" s="14"/>
      <c r="Q2538" s="13"/>
      <c r="R2538" s="13"/>
      <c r="S2538" s="15"/>
      <c r="T2538" s="16"/>
      <c r="U2538" s="16"/>
      <c r="V2538" s="16"/>
      <c r="W2538" s="16"/>
      <c r="X2538" s="16"/>
      <c r="Y2538" s="11"/>
      <c r="Z2538" s="11"/>
      <c r="AA2538" s="11"/>
      <c r="AB2538" s="11"/>
      <c r="AC2538" s="11"/>
      <c r="AD2538" s="11"/>
    </row>
    <row r="2539">
      <c r="A2539" s="10"/>
      <c r="B2539" s="10"/>
      <c r="C2539" s="10"/>
      <c r="D2539" s="10"/>
      <c r="E2539" s="10"/>
      <c r="F2539" s="11"/>
      <c r="G2539" s="11"/>
      <c r="H2539" s="11"/>
      <c r="I2539" s="11"/>
      <c r="J2539" s="11"/>
      <c r="K2539" s="11"/>
      <c r="L2539" s="12"/>
      <c r="M2539" s="11"/>
      <c r="N2539" s="11"/>
      <c r="O2539" s="13"/>
      <c r="P2539" s="14"/>
      <c r="Q2539" s="13"/>
      <c r="R2539" s="13"/>
      <c r="S2539" s="15"/>
      <c r="T2539" s="16"/>
      <c r="U2539" s="16"/>
      <c r="V2539" s="16"/>
      <c r="W2539" s="16"/>
      <c r="X2539" s="16"/>
      <c r="Y2539" s="11"/>
      <c r="Z2539" s="11"/>
      <c r="AA2539" s="11"/>
      <c r="AB2539" s="11"/>
      <c r="AC2539" s="11"/>
      <c r="AD2539" s="11"/>
    </row>
    <row r="2540">
      <c r="A2540" s="10"/>
      <c r="B2540" s="10"/>
      <c r="C2540" s="10"/>
      <c r="D2540" s="10"/>
      <c r="E2540" s="10"/>
      <c r="F2540" s="11"/>
      <c r="G2540" s="11"/>
      <c r="H2540" s="11"/>
      <c r="I2540" s="11"/>
      <c r="J2540" s="11"/>
      <c r="K2540" s="11"/>
      <c r="L2540" s="12"/>
      <c r="M2540" s="11"/>
      <c r="N2540" s="11"/>
      <c r="O2540" s="13"/>
      <c r="P2540" s="14"/>
      <c r="Q2540" s="13"/>
      <c r="R2540" s="13"/>
      <c r="S2540" s="15"/>
      <c r="T2540" s="16"/>
      <c r="U2540" s="16"/>
      <c r="V2540" s="16"/>
      <c r="W2540" s="16"/>
      <c r="X2540" s="16"/>
      <c r="Y2540" s="11"/>
      <c r="Z2540" s="11"/>
      <c r="AA2540" s="11"/>
      <c r="AB2540" s="11"/>
      <c r="AC2540" s="11"/>
      <c r="AD2540" s="11"/>
    </row>
    <row r="2541">
      <c r="A2541" s="10"/>
      <c r="B2541" s="10"/>
      <c r="C2541" s="10"/>
      <c r="D2541" s="10"/>
      <c r="E2541" s="10"/>
      <c r="F2541" s="11"/>
      <c r="G2541" s="11"/>
      <c r="H2541" s="11"/>
      <c r="I2541" s="11"/>
      <c r="J2541" s="11"/>
      <c r="K2541" s="11"/>
      <c r="L2541" s="12"/>
      <c r="M2541" s="11"/>
      <c r="N2541" s="11"/>
      <c r="O2541" s="13"/>
      <c r="P2541" s="14"/>
      <c r="Q2541" s="13"/>
      <c r="R2541" s="13"/>
      <c r="S2541" s="15"/>
      <c r="T2541" s="16"/>
      <c r="U2541" s="16"/>
      <c r="V2541" s="16"/>
      <c r="W2541" s="16"/>
      <c r="X2541" s="16"/>
      <c r="Y2541" s="11"/>
      <c r="Z2541" s="11"/>
      <c r="AA2541" s="11"/>
      <c r="AB2541" s="11"/>
      <c r="AC2541" s="11"/>
      <c r="AD2541" s="11"/>
    </row>
    <row r="2542">
      <c r="A2542" s="10"/>
      <c r="B2542" s="10"/>
      <c r="C2542" s="10"/>
      <c r="D2542" s="10"/>
      <c r="E2542" s="10"/>
      <c r="F2542" s="11"/>
      <c r="G2542" s="11"/>
      <c r="H2542" s="11"/>
      <c r="I2542" s="11"/>
      <c r="J2542" s="11"/>
      <c r="K2542" s="11"/>
      <c r="L2542" s="12"/>
      <c r="M2542" s="11"/>
      <c r="N2542" s="11"/>
      <c r="O2542" s="13"/>
      <c r="P2542" s="14"/>
      <c r="Q2542" s="13"/>
      <c r="R2542" s="13"/>
      <c r="S2542" s="15"/>
      <c r="T2542" s="16"/>
      <c r="U2542" s="16"/>
      <c r="V2542" s="16"/>
      <c r="W2542" s="16"/>
      <c r="X2542" s="16"/>
      <c r="Y2542" s="11"/>
      <c r="Z2542" s="11"/>
      <c r="AA2542" s="11"/>
      <c r="AB2542" s="11"/>
      <c r="AC2542" s="11"/>
      <c r="AD2542" s="11"/>
    </row>
    <row r="2543">
      <c r="A2543" s="10"/>
      <c r="B2543" s="10"/>
      <c r="C2543" s="10"/>
      <c r="D2543" s="10"/>
      <c r="E2543" s="10"/>
      <c r="F2543" s="11"/>
      <c r="G2543" s="11"/>
      <c r="H2543" s="11"/>
      <c r="I2543" s="11"/>
      <c r="J2543" s="11"/>
      <c r="K2543" s="11"/>
      <c r="L2543" s="12"/>
      <c r="M2543" s="11"/>
      <c r="N2543" s="11"/>
      <c r="O2543" s="13"/>
      <c r="P2543" s="14"/>
      <c r="Q2543" s="13"/>
      <c r="R2543" s="13"/>
      <c r="S2543" s="15"/>
      <c r="T2543" s="16"/>
      <c r="U2543" s="16"/>
      <c r="V2543" s="16"/>
      <c r="W2543" s="16"/>
      <c r="X2543" s="16"/>
      <c r="Y2543" s="11"/>
      <c r="Z2543" s="11"/>
      <c r="AA2543" s="11"/>
      <c r="AB2543" s="11"/>
      <c r="AC2543" s="11"/>
      <c r="AD2543" s="11"/>
    </row>
    <row r="2544">
      <c r="A2544" s="10"/>
      <c r="B2544" s="10"/>
      <c r="C2544" s="10"/>
      <c r="D2544" s="10"/>
      <c r="E2544" s="10"/>
      <c r="F2544" s="11"/>
      <c r="G2544" s="11"/>
      <c r="H2544" s="11"/>
      <c r="I2544" s="11"/>
      <c r="J2544" s="11"/>
      <c r="K2544" s="11"/>
      <c r="L2544" s="12"/>
      <c r="M2544" s="11"/>
      <c r="N2544" s="11"/>
      <c r="O2544" s="13"/>
      <c r="P2544" s="14"/>
      <c r="Q2544" s="13"/>
      <c r="R2544" s="13"/>
      <c r="S2544" s="15"/>
      <c r="T2544" s="16"/>
      <c r="U2544" s="16"/>
      <c r="V2544" s="16"/>
      <c r="W2544" s="16"/>
      <c r="X2544" s="16"/>
      <c r="Y2544" s="11"/>
      <c r="Z2544" s="11"/>
      <c r="AA2544" s="11"/>
      <c r="AB2544" s="11"/>
      <c r="AC2544" s="11"/>
      <c r="AD2544" s="11"/>
    </row>
    <row r="2545">
      <c r="A2545" s="10"/>
      <c r="B2545" s="10"/>
      <c r="C2545" s="10"/>
      <c r="D2545" s="10"/>
      <c r="E2545" s="10"/>
      <c r="F2545" s="11"/>
      <c r="G2545" s="11"/>
      <c r="H2545" s="11"/>
      <c r="I2545" s="11"/>
      <c r="J2545" s="11"/>
      <c r="K2545" s="11"/>
      <c r="L2545" s="12"/>
      <c r="M2545" s="11"/>
      <c r="N2545" s="11"/>
      <c r="O2545" s="13"/>
      <c r="P2545" s="14"/>
      <c r="Q2545" s="13"/>
      <c r="R2545" s="13"/>
      <c r="S2545" s="15"/>
      <c r="T2545" s="16"/>
      <c r="U2545" s="16"/>
      <c r="V2545" s="16"/>
      <c r="W2545" s="16"/>
      <c r="X2545" s="16"/>
      <c r="Y2545" s="11"/>
      <c r="Z2545" s="11"/>
      <c r="AA2545" s="11"/>
      <c r="AB2545" s="11"/>
      <c r="AC2545" s="11"/>
      <c r="AD2545" s="11"/>
    </row>
    <row r="2546">
      <c r="A2546" s="10"/>
      <c r="B2546" s="10"/>
      <c r="C2546" s="10"/>
      <c r="D2546" s="10"/>
      <c r="E2546" s="10"/>
      <c r="F2546" s="11"/>
      <c r="G2546" s="11"/>
      <c r="H2546" s="11"/>
      <c r="I2546" s="11"/>
      <c r="J2546" s="11"/>
      <c r="K2546" s="11"/>
      <c r="L2546" s="12"/>
      <c r="M2546" s="11"/>
      <c r="N2546" s="11"/>
      <c r="O2546" s="13"/>
      <c r="P2546" s="14"/>
      <c r="Q2546" s="13"/>
      <c r="R2546" s="13"/>
      <c r="S2546" s="15"/>
      <c r="T2546" s="16"/>
      <c r="U2546" s="16"/>
      <c r="V2546" s="16"/>
      <c r="W2546" s="16"/>
      <c r="X2546" s="16"/>
      <c r="Y2546" s="11"/>
      <c r="Z2546" s="11"/>
      <c r="AA2546" s="11"/>
      <c r="AB2546" s="11"/>
      <c r="AC2546" s="11"/>
      <c r="AD2546" s="11"/>
    </row>
    <row r="2547">
      <c r="A2547" s="10"/>
      <c r="B2547" s="10"/>
      <c r="C2547" s="10"/>
      <c r="D2547" s="10"/>
      <c r="E2547" s="10"/>
      <c r="F2547" s="11"/>
      <c r="G2547" s="11"/>
      <c r="H2547" s="11"/>
      <c r="I2547" s="11"/>
      <c r="J2547" s="11"/>
      <c r="K2547" s="11"/>
      <c r="L2547" s="12"/>
      <c r="M2547" s="11"/>
      <c r="N2547" s="11"/>
      <c r="O2547" s="13"/>
      <c r="P2547" s="14"/>
      <c r="Q2547" s="13"/>
      <c r="R2547" s="13"/>
      <c r="S2547" s="15"/>
      <c r="T2547" s="16"/>
      <c r="U2547" s="16"/>
      <c r="V2547" s="16"/>
      <c r="W2547" s="16"/>
      <c r="X2547" s="16"/>
      <c r="Y2547" s="11"/>
      <c r="Z2547" s="11"/>
      <c r="AA2547" s="11"/>
      <c r="AB2547" s="11"/>
      <c r="AC2547" s="11"/>
      <c r="AD2547" s="11"/>
    </row>
    <row r="2548">
      <c r="A2548" s="10"/>
      <c r="B2548" s="10"/>
      <c r="C2548" s="10"/>
      <c r="D2548" s="10"/>
      <c r="E2548" s="10"/>
      <c r="F2548" s="11"/>
      <c r="G2548" s="11"/>
      <c r="H2548" s="11"/>
      <c r="I2548" s="11"/>
      <c r="J2548" s="11"/>
      <c r="K2548" s="11"/>
      <c r="L2548" s="12"/>
      <c r="M2548" s="11"/>
      <c r="N2548" s="11"/>
      <c r="O2548" s="13"/>
      <c r="P2548" s="14"/>
      <c r="Q2548" s="13"/>
      <c r="R2548" s="13"/>
      <c r="S2548" s="15"/>
      <c r="T2548" s="16"/>
      <c r="U2548" s="16"/>
      <c r="V2548" s="16"/>
      <c r="W2548" s="16"/>
      <c r="X2548" s="16"/>
      <c r="Y2548" s="11"/>
      <c r="Z2548" s="11"/>
      <c r="AA2548" s="11"/>
      <c r="AB2548" s="11"/>
      <c r="AC2548" s="11"/>
      <c r="AD2548" s="11"/>
    </row>
    <row r="2549">
      <c r="A2549" s="10"/>
      <c r="B2549" s="10"/>
      <c r="C2549" s="10"/>
      <c r="D2549" s="10"/>
      <c r="E2549" s="10"/>
      <c r="F2549" s="11"/>
      <c r="G2549" s="11"/>
      <c r="H2549" s="11"/>
      <c r="I2549" s="11"/>
      <c r="J2549" s="11"/>
      <c r="K2549" s="11"/>
      <c r="L2549" s="12"/>
      <c r="M2549" s="11"/>
      <c r="N2549" s="11"/>
      <c r="O2549" s="13"/>
      <c r="P2549" s="14"/>
      <c r="Q2549" s="13"/>
      <c r="R2549" s="13"/>
      <c r="S2549" s="15"/>
      <c r="T2549" s="16"/>
      <c r="U2549" s="16"/>
      <c r="V2549" s="16"/>
      <c r="W2549" s="16"/>
      <c r="X2549" s="16"/>
      <c r="Y2549" s="11"/>
      <c r="Z2549" s="11"/>
      <c r="AA2549" s="11"/>
      <c r="AB2549" s="11"/>
      <c r="AC2549" s="11"/>
      <c r="AD2549" s="11"/>
    </row>
    <row r="2550">
      <c r="A2550" s="10"/>
      <c r="B2550" s="10"/>
      <c r="C2550" s="10"/>
      <c r="D2550" s="10"/>
      <c r="E2550" s="10"/>
      <c r="F2550" s="11"/>
      <c r="G2550" s="11"/>
      <c r="H2550" s="11"/>
      <c r="I2550" s="11"/>
      <c r="J2550" s="11"/>
      <c r="K2550" s="11"/>
      <c r="L2550" s="12"/>
      <c r="M2550" s="11"/>
      <c r="N2550" s="11"/>
      <c r="O2550" s="13"/>
      <c r="P2550" s="14"/>
      <c r="Q2550" s="13"/>
      <c r="R2550" s="13"/>
      <c r="S2550" s="15"/>
      <c r="T2550" s="16"/>
      <c r="U2550" s="16"/>
      <c r="V2550" s="16"/>
      <c r="W2550" s="16"/>
      <c r="X2550" s="16"/>
      <c r="Y2550" s="11"/>
      <c r="Z2550" s="11"/>
      <c r="AA2550" s="11"/>
      <c r="AB2550" s="11"/>
      <c r="AC2550" s="11"/>
      <c r="AD2550" s="11"/>
    </row>
    <row r="2551">
      <c r="A2551" s="10"/>
      <c r="B2551" s="10"/>
      <c r="C2551" s="10"/>
      <c r="D2551" s="10"/>
      <c r="E2551" s="10"/>
      <c r="F2551" s="11"/>
      <c r="G2551" s="11"/>
      <c r="H2551" s="11"/>
      <c r="I2551" s="11"/>
      <c r="J2551" s="11"/>
      <c r="K2551" s="11"/>
      <c r="L2551" s="12"/>
      <c r="M2551" s="11"/>
      <c r="N2551" s="11"/>
      <c r="O2551" s="13"/>
      <c r="P2551" s="14"/>
      <c r="Q2551" s="13"/>
      <c r="R2551" s="13"/>
      <c r="S2551" s="15"/>
      <c r="T2551" s="16"/>
      <c r="U2551" s="16"/>
      <c r="V2551" s="16"/>
      <c r="W2551" s="16"/>
      <c r="X2551" s="16"/>
      <c r="Y2551" s="11"/>
      <c r="Z2551" s="11"/>
      <c r="AA2551" s="11"/>
      <c r="AB2551" s="11"/>
      <c r="AC2551" s="11"/>
      <c r="AD2551" s="11"/>
    </row>
    <row r="2552">
      <c r="A2552" s="10"/>
      <c r="B2552" s="10"/>
      <c r="C2552" s="10"/>
      <c r="D2552" s="10"/>
      <c r="E2552" s="10"/>
      <c r="F2552" s="11"/>
      <c r="G2552" s="11"/>
      <c r="H2552" s="11"/>
      <c r="I2552" s="11"/>
      <c r="J2552" s="11"/>
      <c r="K2552" s="11"/>
      <c r="L2552" s="12"/>
      <c r="M2552" s="11"/>
      <c r="N2552" s="11"/>
      <c r="O2552" s="13"/>
      <c r="P2552" s="14"/>
      <c r="Q2552" s="13"/>
      <c r="R2552" s="13"/>
      <c r="S2552" s="15"/>
      <c r="T2552" s="16"/>
      <c r="U2552" s="16"/>
      <c r="V2552" s="16"/>
      <c r="W2552" s="16"/>
      <c r="X2552" s="16"/>
      <c r="Y2552" s="11"/>
      <c r="Z2552" s="11"/>
      <c r="AA2552" s="11"/>
      <c r="AB2552" s="11"/>
      <c r="AC2552" s="11"/>
      <c r="AD2552" s="11"/>
    </row>
    <row r="2553">
      <c r="A2553" s="10"/>
      <c r="B2553" s="10"/>
      <c r="C2553" s="10"/>
      <c r="D2553" s="10"/>
      <c r="E2553" s="10"/>
      <c r="F2553" s="11"/>
      <c r="G2553" s="11"/>
      <c r="H2553" s="11"/>
      <c r="I2553" s="11"/>
      <c r="J2553" s="11"/>
      <c r="K2553" s="11"/>
      <c r="L2553" s="12"/>
      <c r="M2553" s="11"/>
      <c r="N2553" s="11"/>
      <c r="O2553" s="13"/>
      <c r="P2553" s="14"/>
      <c r="Q2553" s="13"/>
      <c r="R2553" s="13"/>
      <c r="S2553" s="15"/>
      <c r="T2553" s="16"/>
      <c r="U2553" s="16"/>
      <c r="V2553" s="16"/>
      <c r="W2553" s="16"/>
      <c r="X2553" s="16"/>
      <c r="Y2553" s="11"/>
      <c r="Z2553" s="11"/>
      <c r="AA2553" s="11"/>
      <c r="AB2553" s="11"/>
      <c r="AC2553" s="11"/>
      <c r="AD2553" s="11"/>
    </row>
    <row r="2554">
      <c r="A2554" s="10"/>
      <c r="B2554" s="10"/>
      <c r="C2554" s="10"/>
      <c r="D2554" s="10"/>
      <c r="E2554" s="10"/>
      <c r="F2554" s="11"/>
      <c r="G2554" s="11"/>
      <c r="H2554" s="11"/>
      <c r="I2554" s="11"/>
      <c r="J2554" s="11"/>
      <c r="K2554" s="11"/>
      <c r="L2554" s="12"/>
      <c r="M2554" s="11"/>
      <c r="N2554" s="11"/>
      <c r="O2554" s="13"/>
      <c r="P2554" s="14"/>
      <c r="Q2554" s="13"/>
      <c r="R2554" s="13"/>
      <c r="S2554" s="15"/>
      <c r="T2554" s="16"/>
      <c r="U2554" s="16"/>
      <c r="V2554" s="16"/>
      <c r="W2554" s="16"/>
      <c r="X2554" s="16"/>
      <c r="Y2554" s="11"/>
      <c r="Z2554" s="11"/>
      <c r="AA2554" s="11"/>
      <c r="AB2554" s="11"/>
      <c r="AC2554" s="11"/>
      <c r="AD2554" s="11"/>
    </row>
    <row r="2555">
      <c r="A2555" s="10"/>
      <c r="B2555" s="10"/>
      <c r="C2555" s="10"/>
      <c r="D2555" s="10"/>
      <c r="E2555" s="10"/>
      <c r="F2555" s="11"/>
      <c r="G2555" s="11"/>
      <c r="H2555" s="11"/>
      <c r="I2555" s="11"/>
      <c r="J2555" s="11"/>
      <c r="K2555" s="11"/>
      <c r="L2555" s="12"/>
      <c r="M2555" s="11"/>
      <c r="N2555" s="11"/>
      <c r="O2555" s="13"/>
      <c r="P2555" s="14"/>
      <c r="Q2555" s="13"/>
      <c r="R2555" s="13"/>
      <c r="S2555" s="15"/>
      <c r="T2555" s="16"/>
      <c r="U2555" s="16"/>
      <c r="V2555" s="16"/>
      <c r="W2555" s="16"/>
      <c r="X2555" s="16"/>
      <c r="Y2555" s="11"/>
      <c r="Z2555" s="11"/>
      <c r="AA2555" s="11"/>
      <c r="AB2555" s="11"/>
      <c r="AC2555" s="11"/>
      <c r="AD2555" s="11"/>
    </row>
    <row r="2556">
      <c r="A2556" s="10"/>
      <c r="B2556" s="10"/>
      <c r="C2556" s="10"/>
      <c r="D2556" s="10"/>
      <c r="E2556" s="10"/>
      <c r="F2556" s="11"/>
      <c r="G2556" s="11"/>
      <c r="H2556" s="11"/>
      <c r="I2556" s="11"/>
      <c r="J2556" s="11"/>
      <c r="K2556" s="11"/>
      <c r="L2556" s="12"/>
      <c r="M2556" s="11"/>
      <c r="N2556" s="11"/>
      <c r="O2556" s="13"/>
      <c r="P2556" s="14"/>
      <c r="Q2556" s="13"/>
      <c r="R2556" s="13"/>
      <c r="S2556" s="15"/>
      <c r="T2556" s="16"/>
      <c r="U2556" s="16"/>
      <c r="V2556" s="16"/>
      <c r="W2556" s="16"/>
      <c r="X2556" s="16"/>
      <c r="Y2556" s="11"/>
      <c r="Z2556" s="11"/>
      <c r="AA2556" s="11"/>
      <c r="AB2556" s="11"/>
      <c r="AC2556" s="11"/>
      <c r="AD2556" s="11"/>
    </row>
    <row r="2557">
      <c r="A2557" s="10"/>
      <c r="B2557" s="10"/>
      <c r="C2557" s="10"/>
      <c r="D2557" s="10"/>
      <c r="E2557" s="10"/>
      <c r="F2557" s="11"/>
      <c r="G2557" s="11"/>
      <c r="H2557" s="11"/>
      <c r="I2557" s="11"/>
      <c r="J2557" s="11"/>
      <c r="K2557" s="11"/>
      <c r="L2557" s="12"/>
      <c r="M2557" s="11"/>
      <c r="N2557" s="11"/>
      <c r="O2557" s="13"/>
      <c r="P2557" s="14"/>
      <c r="Q2557" s="13"/>
      <c r="R2557" s="13"/>
      <c r="S2557" s="15"/>
      <c r="T2557" s="16"/>
      <c r="U2557" s="16"/>
      <c r="V2557" s="16"/>
      <c r="W2557" s="16"/>
      <c r="X2557" s="16"/>
      <c r="Y2557" s="11"/>
      <c r="Z2557" s="11"/>
      <c r="AA2557" s="11"/>
      <c r="AB2557" s="11"/>
      <c r="AC2557" s="11"/>
      <c r="AD2557" s="11"/>
    </row>
    <row r="2558">
      <c r="A2558" s="10"/>
      <c r="B2558" s="10"/>
      <c r="C2558" s="10"/>
      <c r="D2558" s="10"/>
      <c r="E2558" s="10"/>
      <c r="F2558" s="11"/>
      <c r="G2558" s="11"/>
      <c r="H2558" s="11"/>
      <c r="I2558" s="11"/>
      <c r="J2558" s="11"/>
      <c r="K2558" s="11"/>
      <c r="L2558" s="12"/>
      <c r="M2558" s="11"/>
      <c r="N2558" s="11"/>
      <c r="O2558" s="13"/>
      <c r="P2558" s="14"/>
      <c r="Q2558" s="13"/>
      <c r="R2558" s="13"/>
      <c r="S2558" s="15"/>
      <c r="T2558" s="16"/>
      <c r="U2558" s="16"/>
      <c r="V2558" s="16"/>
      <c r="W2558" s="16"/>
      <c r="X2558" s="16"/>
      <c r="Y2558" s="11"/>
      <c r="Z2558" s="11"/>
      <c r="AA2558" s="11"/>
      <c r="AB2558" s="11"/>
      <c r="AC2558" s="11"/>
      <c r="AD2558" s="11"/>
    </row>
    <row r="2559">
      <c r="A2559" s="10"/>
      <c r="B2559" s="10"/>
      <c r="C2559" s="10"/>
      <c r="D2559" s="10"/>
      <c r="E2559" s="10"/>
      <c r="F2559" s="11"/>
      <c r="G2559" s="11"/>
      <c r="H2559" s="11"/>
      <c r="I2559" s="11"/>
      <c r="J2559" s="11"/>
      <c r="K2559" s="11"/>
      <c r="L2559" s="12"/>
      <c r="M2559" s="11"/>
      <c r="N2559" s="11"/>
      <c r="O2559" s="13"/>
      <c r="P2559" s="14"/>
      <c r="Q2559" s="13"/>
      <c r="R2559" s="13"/>
      <c r="S2559" s="15"/>
      <c r="T2559" s="16"/>
      <c r="U2559" s="16"/>
      <c r="V2559" s="16"/>
      <c r="W2559" s="16"/>
      <c r="X2559" s="16"/>
      <c r="Y2559" s="11"/>
      <c r="Z2559" s="11"/>
      <c r="AA2559" s="11"/>
      <c r="AB2559" s="11"/>
      <c r="AC2559" s="11"/>
      <c r="AD2559" s="11"/>
    </row>
    <row r="2560">
      <c r="A2560" s="10"/>
      <c r="B2560" s="10"/>
      <c r="C2560" s="10"/>
      <c r="D2560" s="10"/>
      <c r="E2560" s="10"/>
      <c r="F2560" s="11"/>
      <c r="G2560" s="11"/>
      <c r="H2560" s="11"/>
      <c r="I2560" s="11"/>
      <c r="J2560" s="11"/>
      <c r="K2560" s="11"/>
      <c r="L2560" s="12"/>
      <c r="M2560" s="11"/>
      <c r="N2560" s="11"/>
      <c r="O2560" s="13"/>
      <c r="P2560" s="14"/>
      <c r="Q2560" s="13"/>
      <c r="R2560" s="13"/>
      <c r="S2560" s="15"/>
      <c r="T2560" s="16"/>
      <c r="U2560" s="16"/>
      <c r="V2560" s="16"/>
      <c r="W2560" s="16"/>
      <c r="X2560" s="16"/>
      <c r="Y2560" s="11"/>
      <c r="Z2560" s="11"/>
      <c r="AA2560" s="11"/>
      <c r="AB2560" s="11"/>
      <c r="AC2560" s="11"/>
      <c r="AD2560" s="11"/>
    </row>
    <row r="2561">
      <c r="A2561" s="10"/>
      <c r="B2561" s="10"/>
      <c r="C2561" s="10"/>
      <c r="D2561" s="10"/>
      <c r="E2561" s="10"/>
      <c r="F2561" s="11"/>
      <c r="G2561" s="11"/>
      <c r="H2561" s="11"/>
      <c r="I2561" s="11"/>
      <c r="J2561" s="11"/>
      <c r="K2561" s="11"/>
      <c r="L2561" s="12"/>
      <c r="M2561" s="11"/>
      <c r="N2561" s="11"/>
      <c r="O2561" s="13"/>
      <c r="P2561" s="14"/>
      <c r="Q2561" s="13"/>
      <c r="R2561" s="13"/>
      <c r="S2561" s="15"/>
      <c r="T2561" s="16"/>
      <c r="U2561" s="16"/>
      <c r="V2561" s="16"/>
      <c r="W2561" s="16"/>
      <c r="X2561" s="16"/>
      <c r="Y2561" s="11"/>
      <c r="Z2561" s="11"/>
      <c r="AA2561" s="11"/>
      <c r="AB2561" s="11"/>
      <c r="AC2561" s="11"/>
      <c r="AD2561" s="11"/>
    </row>
    <row r="2562">
      <c r="A2562" s="10"/>
      <c r="B2562" s="10"/>
      <c r="C2562" s="10"/>
      <c r="D2562" s="10"/>
      <c r="E2562" s="10"/>
      <c r="F2562" s="11"/>
      <c r="G2562" s="11"/>
      <c r="H2562" s="11"/>
      <c r="I2562" s="11"/>
      <c r="J2562" s="11"/>
      <c r="K2562" s="11"/>
      <c r="L2562" s="12"/>
      <c r="M2562" s="11"/>
      <c r="N2562" s="11"/>
      <c r="O2562" s="13"/>
      <c r="P2562" s="14"/>
      <c r="Q2562" s="13"/>
      <c r="R2562" s="13"/>
      <c r="S2562" s="15"/>
      <c r="T2562" s="16"/>
      <c r="U2562" s="16"/>
      <c r="V2562" s="16"/>
      <c r="W2562" s="16"/>
      <c r="X2562" s="16"/>
      <c r="Y2562" s="11"/>
      <c r="Z2562" s="11"/>
      <c r="AA2562" s="11"/>
      <c r="AB2562" s="11"/>
      <c r="AC2562" s="11"/>
      <c r="AD2562" s="11"/>
    </row>
    <row r="2563">
      <c r="A2563" s="10"/>
      <c r="B2563" s="10"/>
      <c r="C2563" s="10"/>
      <c r="D2563" s="10"/>
      <c r="E2563" s="10"/>
      <c r="F2563" s="11"/>
      <c r="G2563" s="11"/>
      <c r="H2563" s="11"/>
      <c r="I2563" s="11"/>
      <c r="J2563" s="11"/>
      <c r="K2563" s="11"/>
      <c r="L2563" s="12"/>
      <c r="M2563" s="11"/>
      <c r="N2563" s="11"/>
      <c r="O2563" s="13"/>
      <c r="P2563" s="14"/>
      <c r="Q2563" s="13"/>
      <c r="R2563" s="13"/>
      <c r="S2563" s="15"/>
      <c r="T2563" s="16"/>
      <c r="U2563" s="16"/>
      <c r="V2563" s="16"/>
      <c r="W2563" s="16"/>
      <c r="X2563" s="16"/>
      <c r="Y2563" s="11"/>
      <c r="Z2563" s="11"/>
      <c r="AA2563" s="11"/>
      <c r="AB2563" s="11"/>
      <c r="AC2563" s="11"/>
      <c r="AD2563" s="11"/>
    </row>
    <row r="2564">
      <c r="A2564" s="10"/>
      <c r="B2564" s="10"/>
      <c r="C2564" s="10"/>
      <c r="D2564" s="10"/>
      <c r="E2564" s="10"/>
      <c r="F2564" s="11"/>
      <c r="G2564" s="11"/>
      <c r="H2564" s="11"/>
      <c r="I2564" s="11"/>
      <c r="J2564" s="11"/>
      <c r="K2564" s="11"/>
      <c r="L2564" s="12"/>
      <c r="M2564" s="11"/>
      <c r="N2564" s="11"/>
      <c r="O2564" s="13"/>
      <c r="P2564" s="14"/>
      <c r="Q2564" s="13"/>
      <c r="R2564" s="13"/>
      <c r="S2564" s="15"/>
      <c r="T2564" s="16"/>
      <c r="U2564" s="16"/>
      <c r="V2564" s="16"/>
      <c r="W2564" s="16"/>
      <c r="X2564" s="16"/>
      <c r="Y2564" s="11"/>
      <c r="Z2564" s="11"/>
      <c r="AA2564" s="11"/>
      <c r="AB2564" s="11"/>
      <c r="AC2564" s="11"/>
      <c r="AD2564" s="11"/>
    </row>
    <row r="2565">
      <c r="A2565" s="10"/>
      <c r="B2565" s="10"/>
      <c r="C2565" s="10"/>
      <c r="D2565" s="10"/>
      <c r="E2565" s="10"/>
      <c r="F2565" s="11"/>
      <c r="G2565" s="11"/>
      <c r="H2565" s="11"/>
      <c r="I2565" s="11"/>
      <c r="J2565" s="11"/>
      <c r="K2565" s="11"/>
      <c r="L2565" s="12"/>
      <c r="M2565" s="11"/>
      <c r="N2565" s="11"/>
      <c r="O2565" s="13"/>
      <c r="P2565" s="14"/>
      <c r="Q2565" s="13"/>
      <c r="R2565" s="13"/>
      <c r="S2565" s="15"/>
      <c r="T2565" s="16"/>
      <c r="U2565" s="16"/>
      <c r="V2565" s="16"/>
      <c r="W2565" s="16"/>
      <c r="X2565" s="16"/>
      <c r="Y2565" s="11"/>
      <c r="Z2565" s="11"/>
      <c r="AA2565" s="11"/>
      <c r="AB2565" s="11"/>
      <c r="AC2565" s="11"/>
      <c r="AD2565" s="11"/>
    </row>
    <row r="2566">
      <c r="A2566" s="10"/>
      <c r="B2566" s="10"/>
      <c r="C2566" s="10"/>
      <c r="D2566" s="10"/>
      <c r="E2566" s="10"/>
      <c r="F2566" s="11"/>
      <c r="G2566" s="11"/>
      <c r="H2566" s="11"/>
      <c r="I2566" s="11"/>
      <c r="J2566" s="11"/>
      <c r="K2566" s="11"/>
      <c r="L2566" s="12"/>
      <c r="M2566" s="11"/>
      <c r="N2566" s="11"/>
      <c r="O2566" s="13"/>
      <c r="P2566" s="14"/>
      <c r="Q2566" s="13"/>
      <c r="R2566" s="13"/>
      <c r="S2566" s="15"/>
      <c r="T2566" s="16"/>
      <c r="U2566" s="16"/>
      <c r="V2566" s="16"/>
      <c r="W2566" s="16"/>
      <c r="X2566" s="16"/>
      <c r="Y2566" s="11"/>
      <c r="Z2566" s="11"/>
      <c r="AA2566" s="11"/>
      <c r="AB2566" s="11"/>
      <c r="AC2566" s="11"/>
      <c r="AD2566" s="11"/>
    </row>
    <row r="2567">
      <c r="A2567" s="10"/>
      <c r="B2567" s="10"/>
      <c r="C2567" s="10"/>
      <c r="D2567" s="10"/>
      <c r="E2567" s="10"/>
      <c r="F2567" s="11"/>
      <c r="G2567" s="11"/>
      <c r="H2567" s="11"/>
      <c r="I2567" s="11"/>
      <c r="J2567" s="11"/>
      <c r="K2567" s="11"/>
      <c r="L2567" s="12"/>
      <c r="M2567" s="11"/>
      <c r="N2567" s="11"/>
      <c r="O2567" s="13"/>
      <c r="P2567" s="14"/>
      <c r="Q2567" s="13"/>
      <c r="R2567" s="13"/>
      <c r="S2567" s="15"/>
      <c r="T2567" s="16"/>
      <c r="U2567" s="16"/>
      <c r="V2567" s="16"/>
      <c r="W2567" s="16"/>
      <c r="X2567" s="16"/>
      <c r="Y2567" s="11"/>
      <c r="Z2567" s="11"/>
      <c r="AA2567" s="11"/>
      <c r="AB2567" s="11"/>
      <c r="AC2567" s="11"/>
      <c r="AD2567" s="11"/>
    </row>
    <row r="2568">
      <c r="A2568" s="10"/>
      <c r="B2568" s="10"/>
      <c r="C2568" s="10"/>
      <c r="D2568" s="10"/>
      <c r="E2568" s="10"/>
      <c r="F2568" s="11"/>
      <c r="G2568" s="11"/>
      <c r="H2568" s="11"/>
      <c r="I2568" s="11"/>
      <c r="J2568" s="11"/>
      <c r="K2568" s="11"/>
      <c r="L2568" s="12"/>
      <c r="M2568" s="11"/>
      <c r="N2568" s="11"/>
      <c r="O2568" s="13"/>
      <c r="P2568" s="14"/>
      <c r="Q2568" s="13"/>
      <c r="R2568" s="13"/>
      <c r="S2568" s="15"/>
      <c r="T2568" s="16"/>
      <c r="U2568" s="16"/>
      <c r="V2568" s="16"/>
      <c r="W2568" s="16"/>
      <c r="X2568" s="16"/>
      <c r="Y2568" s="11"/>
      <c r="Z2568" s="11"/>
      <c r="AA2568" s="11"/>
      <c r="AB2568" s="11"/>
      <c r="AC2568" s="11"/>
      <c r="AD2568" s="11"/>
    </row>
    <row r="2569">
      <c r="A2569" s="10"/>
      <c r="B2569" s="10"/>
      <c r="C2569" s="10"/>
      <c r="D2569" s="10"/>
      <c r="E2569" s="10"/>
      <c r="F2569" s="11"/>
      <c r="G2569" s="11"/>
      <c r="H2569" s="11"/>
      <c r="I2569" s="11"/>
      <c r="J2569" s="11"/>
      <c r="K2569" s="11"/>
      <c r="L2569" s="12"/>
      <c r="M2569" s="11"/>
      <c r="N2569" s="11"/>
      <c r="O2569" s="13"/>
      <c r="P2569" s="14"/>
      <c r="Q2569" s="13"/>
      <c r="R2569" s="13"/>
      <c r="S2569" s="15"/>
      <c r="T2569" s="16"/>
      <c r="U2569" s="16"/>
      <c r="V2569" s="16"/>
      <c r="W2569" s="16"/>
      <c r="X2569" s="16"/>
      <c r="Y2569" s="11"/>
      <c r="Z2569" s="11"/>
      <c r="AA2569" s="11"/>
      <c r="AB2569" s="11"/>
      <c r="AC2569" s="11"/>
      <c r="AD2569" s="11"/>
    </row>
    <row r="2570">
      <c r="A2570" s="10"/>
      <c r="B2570" s="10"/>
      <c r="C2570" s="10"/>
      <c r="D2570" s="10"/>
      <c r="E2570" s="10"/>
      <c r="F2570" s="11"/>
      <c r="G2570" s="11"/>
      <c r="H2570" s="11"/>
      <c r="I2570" s="11"/>
      <c r="J2570" s="11"/>
      <c r="K2570" s="11"/>
      <c r="L2570" s="12"/>
      <c r="M2570" s="11"/>
      <c r="N2570" s="11"/>
      <c r="O2570" s="13"/>
      <c r="P2570" s="14"/>
      <c r="Q2570" s="13"/>
      <c r="R2570" s="13"/>
      <c r="S2570" s="15"/>
      <c r="T2570" s="16"/>
      <c r="U2570" s="16"/>
      <c r="V2570" s="16"/>
      <c r="W2570" s="16"/>
      <c r="X2570" s="16"/>
      <c r="Y2570" s="11"/>
      <c r="Z2570" s="11"/>
      <c r="AA2570" s="11"/>
      <c r="AB2570" s="11"/>
      <c r="AC2570" s="11"/>
      <c r="AD2570" s="11"/>
    </row>
    <row r="2571">
      <c r="A2571" s="10"/>
      <c r="B2571" s="10"/>
      <c r="C2571" s="10"/>
      <c r="D2571" s="10"/>
      <c r="E2571" s="10"/>
      <c r="F2571" s="11"/>
      <c r="G2571" s="11"/>
      <c r="H2571" s="11"/>
      <c r="I2571" s="11"/>
      <c r="J2571" s="11"/>
      <c r="K2571" s="11"/>
      <c r="L2571" s="12"/>
      <c r="M2571" s="11"/>
      <c r="N2571" s="11"/>
      <c r="O2571" s="13"/>
      <c r="P2571" s="14"/>
      <c r="Q2571" s="13"/>
      <c r="R2571" s="13"/>
      <c r="S2571" s="15"/>
      <c r="T2571" s="16"/>
      <c r="U2571" s="16"/>
      <c r="V2571" s="16"/>
      <c r="W2571" s="16"/>
      <c r="X2571" s="16"/>
      <c r="Y2571" s="11"/>
      <c r="Z2571" s="11"/>
      <c r="AA2571" s="11"/>
      <c r="AB2571" s="11"/>
      <c r="AC2571" s="11"/>
      <c r="AD2571" s="11"/>
    </row>
    <row r="2572">
      <c r="A2572" s="10"/>
      <c r="B2572" s="10"/>
      <c r="C2572" s="10"/>
      <c r="D2572" s="10"/>
      <c r="E2572" s="10"/>
      <c r="F2572" s="11"/>
      <c r="G2572" s="11"/>
      <c r="H2572" s="11"/>
      <c r="I2572" s="11"/>
      <c r="J2572" s="11"/>
      <c r="K2572" s="11"/>
      <c r="L2572" s="12"/>
      <c r="M2572" s="11"/>
      <c r="N2572" s="11"/>
      <c r="O2572" s="13"/>
      <c r="P2572" s="14"/>
      <c r="Q2572" s="13"/>
      <c r="R2572" s="13"/>
      <c r="S2572" s="15"/>
      <c r="T2572" s="16"/>
      <c r="U2572" s="16"/>
      <c r="V2572" s="16"/>
      <c r="W2572" s="16"/>
      <c r="X2572" s="16"/>
      <c r="Y2572" s="11"/>
      <c r="Z2572" s="11"/>
      <c r="AA2572" s="11"/>
      <c r="AB2572" s="11"/>
      <c r="AC2572" s="11"/>
      <c r="AD2572" s="11"/>
    </row>
    <row r="2573">
      <c r="A2573" s="10"/>
      <c r="B2573" s="10"/>
      <c r="C2573" s="10"/>
      <c r="D2573" s="10"/>
      <c r="E2573" s="10"/>
      <c r="F2573" s="11"/>
      <c r="G2573" s="11"/>
      <c r="H2573" s="11"/>
      <c r="I2573" s="11"/>
      <c r="J2573" s="11"/>
      <c r="K2573" s="11"/>
      <c r="L2573" s="12"/>
      <c r="M2573" s="11"/>
      <c r="N2573" s="11"/>
      <c r="O2573" s="13"/>
      <c r="P2573" s="14"/>
      <c r="Q2573" s="13"/>
      <c r="R2573" s="13"/>
      <c r="S2573" s="15"/>
      <c r="T2573" s="16"/>
      <c r="U2573" s="16"/>
      <c r="V2573" s="16"/>
      <c r="W2573" s="16"/>
      <c r="X2573" s="16"/>
      <c r="Y2573" s="11"/>
      <c r="Z2573" s="11"/>
      <c r="AA2573" s="11"/>
      <c r="AB2573" s="11"/>
      <c r="AC2573" s="11"/>
      <c r="AD2573" s="11"/>
    </row>
    <row r="2574">
      <c r="A2574" s="10"/>
      <c r="B2574" s="10"/>
      <c r="C2574" s="10"/>
      <c r="D2574" s="10"/>
      <c r="E2574" s="10"/>
      <c r="F2574" s="11"/>
      <c r="G2574" s="11"/>
      <c r="H2574" s="11"/>
      <c r="I2574" s="11"/>
      <c r="J2574" s="11"/>
      <c r="K2574" s="11"/>
      <c r="L2574" s="12"/>
      <c r="M2574" s="11"/>
      <c r="N2574" s="11"/>
      <c r="O2574" s="13"/>
      <c r="P2574" s="14"/>
      <c r="Q2574" s="13"/>
      <c r="R2574" s="13"/>
      <c r="S2574" s="15"/>
      <c r="T2574" s="16"/>
      <c r="U2574" s="16"/>
      <c r="V2574" s="16"/>
      <c r="W2574" s="16"/>
      <c r="X2574" s="16"/>
      <c r="Y2574" s="11"/>
      <c r="Z2574" s="11"/>
      <c r="AA2574" s="11"/>
      <c r="AB2574" s="11"/>
      <c r="AC2574" s="11"/>
      <c r="AD2574" s="11"/>
    </row>
    <row r="2575">
      <c r="A2575" s="10"/>
      <c r="B2575" s="10"/>
      <c r="C2575" s="10"/>
      <c r="D2575" s="10"/>
      <c r="E2575" s="10"/>
      <c r="F2575" s="11"/>
      <c r="G2575" s="11"/>
      <c r="H2575" s="11"/>
      <c r="I2575" s="11"/>
      <c r="J2575" s="11"/>
      <c r="K2575" s="11"/>
      <c r="L2575" s="12"/>
      <c r="M2575" s="11"/>
      <c r="N2575" s="11"/>
      <c r="O2575" s="13"/>
      <c r="P2575" s="14"/>
      <c r="Q2575" s="13"/>
      <c r="R2575" s="13"/>
      <c r="S2575" s="15"/>
      <c r="T2575" s="16"/>
      <c r="U2575" s="16"/>
      <c r="V2575" s="16"/>
      <c r="W2575" s="16"/>
      <c r="X2575" s="16"/>
      <c r="Y2575" s="11"/>
      <c r="Z2575" s="11"/>
      <c r="AA2575" s="11"/>
      <c r="AB2575" s="11"/>
      <c r="AC2575" s="11"/>
      <c r="AD2575" s="11"/>
    </row>
    <row r="2576">
      <c r="A2576" s="10"/>
      <c r="B2576" s="10"/>
      <c r="C2576" s="10"/>
      <c r="D2576" s="10"/>
      <c r="E2576" s="10"/>
      <c r="F2576" s="11"/>
      <c r="G2576" s="11"/>
      <c r="H2576" s="11"/>
      <c r="I2576" s="11"/>
      <c r="J2576" s="11"/>
      <c r="K2576" s="11"/>
      <c r="L2576" s="12"/>
      <c r="M2576" s="11"/>
      <c r="N2576" s="11"/>
      <c r="O2576" s="13"/>
      <c r="P2576" s="14"/>
      <c r="Q2576" s="13"/>
      <c r="R2576" s="13"/>
      <c r="S2576" s="15"/>
      <c r="T2576" s="16"/>
      <c r="U2576" s="16"/>
      <c r="V2576" s="16"/>
      <c r="W2576" s="16"/>
      <c r="X2576" s="16"/>
      <c r="Y2576" s="11"/>
      <c r="Z2576" s="11"/>
      <c r="AA2576" s="11"/>
      <c r="AB2576" s="11"/>
      <c r="AC2576" s="11"/>
      <c r="AD2576" s="11"/>
    </row>
    <row r="2577">
      <c r="A2577" s="10"/>
      <c r="B2577" s="10"/>
      <c r="C2577" s="10"/>
      <c r="D2577" s="10"/>
      <c r="E2577" s="10"/>
      <c r="F2577" s="11"/>
      <c r="G2577" s="11"/>
      <c r="H2577" s="11"/>
      <c r="I2577" s="11"/>
      <c r="J2577" s="11"/>
      <c r="K2577" s="11"/>
      <c r="L2577" s="12"/>
      <c r="M2577" s="11"/>
      <c r="N2577" s="11"/>
      <c r="O2577" s="13"/>
      <c r="P2577" s="14"/>
      <c r="Q2577" s="13"/>
      <c r="R2577" s="13"/>
      <c r="S2577" s="15"/>
      <c r="T2577" s="16"/>
      <c r="U2577" s="16"/>
      <c r="V2577" s="16"/>
      <c r="W2577" s="16"/>
      <c r="X2577" s="16"/>
      <c r="Y2577" s="11"/>
      <c r="Z2577" s="11"/>
      <c r="AA2577" s="11"/>
      <c r="AB2577" s="11"/>
      <c r="AC2577" s="11"/>
      <c r="AD2577" s="11"/>
    </row>
    <row r="2578">
      <c r="A2578" s="10"/>
      <c r="B2578" s="10"/>
      <c r="C2578" s="10"/>
      <c r="D2578" s="10"/>
      <c r="E2578" s="10"/>
      <c r="F2578" s="11"/>
      <c r="G2578" s="11"/>
      <c r="H2578" s="11"/>
      <c r="I2578" s="11"/>
      <c r="J2578" s="11"/>
      <c r="K2578" s="11"/>
      <c r="L2578" s="12"/>
      <c r="M2578" s="11"/>
      <c r="N2578" s="11"/>
      <c r="O2578" s="13"/>
      <c r="P2578" s="14"/>
      <c r="Q2578" s="13"/>
      <c r="R2578" s="13"/>
      <c r="S2578" s="15"/>
      <c r="T2578" s="16"/>
      <c r="U2578" s="16"/>
      <c r="V2578" s="16"/>
      <c r="W2578" s="16"/>
      <c r="X2578" s="16"/>
      <c r="Y2578" s="11"/>
      <c r="Z2578" s="11"/>
      <c r="AA2578" s="11"/>
      <c r="AB2578" s="11"/>
      <c r="AC2578" s="11"/>
      <c r="AD2578" s="11"/>
    </row>
    <row r="2579">
      <c r="A2579" s="10"/>
      <c r="B2579" s="10"/>
      <c r="C2579" s="10"/>
      <c r="D2579" s="10"/>
      <c r="E2579" s="10"/>
      <c r="F2579" s="11"/>
      <c r="G2579" s="11"/>
      <c r="H2579" s="11"/>
      <c r="I2579" s="11"/>
      <c r="J2579" s="11"/>
      <c r="K2579" s="11"/>
      <c r="L2579" s="12"/>
      <c r="M2579" s="11"/>
      <c r="N2579" s="11"/>
      <c r="O2579" s="13"/>
      <c r="P2579" s="14"/>
      <c r="Q2579" s="13"/>
      <c r="R2579" s="13"/>
      <c r="S2579" s="15"/>
      <c r="T2579" s="16"/>
      <c r="U2579" s="16"/>
      <c r="V2579" s="16"/>
      <c r="W2579" s="16"/>
      <c r="X2579" s="16"/>
      <c r="Y2579" s="11"/>
      <c r="Z2579" s="11"/>
      <c r="AA2579" s="11"/>
      <c r="AB2579" s="11"/>
      <c r="AC2579" s="11"/>
      <c r="AD2579" s="11"/>
    </row>
    <row r="2580">
      <c r="A2580" s="10"/>
      <c r="B2580" s="10"/>
      <c r="C2580" s="10"/>
      <c r="D2580" s="10"/>
      <c r="E2580" s="10"/>
      <c r="F2580" s="11"/>
      <c r="G2580" s="11"/>
      <c r="H2580" s="11"/>
      <c r="I2580" s="11"/>
      <c r="J2580" s="11"/>
      <c r="K2580" s="11"/>
      <c r="L2580" s="12"/>
      <c r="M2580" s="11"/>
      <c r="N2580" s="11"/>
      <c r="O2580" s="13"/>
      <c r="P2580" s="14"/>
      <c r="Q2580" s="13"/>
      <c r="R2580" s="13"/>
      <c r="S2580" s="15"/>
      <c r="T2580" s="16"/>
      <c r="U2580" s="16"/>
      <c r="V2580" s="16"/>
      <c r="W2580" s="16"/>
      <c r="X2580" s="16"/>
      <c r="Y2580" s="11"/>
      <c r="Z2580" s="11"/>
      <c r="AA2580" s="11"/>
      <c r="AB2580" s="11"/>
      <c r="AC2580" s="11"/>
      <c r="AD2580" s="11"/>
    </row>
    <row r="2581">
      <c r="A2581" s="10"/>
      <c r="B2581" s="10"/>
      <c r="C2581" s="10"/>
      <c r="D2581" s="10"/>
      <c r="E2581" s="10"/>
      <c r="F2581" s="11"/>
      <c r="G2581" s="11"/>
      <c r="H2581" s="11"/>
      <c r="I2581" s="11"/>
      <c r="J2581" s="11"/>
      <c r="K2581" s="11"/>
      <c r="L2581" s="12"/>
      <c r="M2581" s="11"/>
      <c r="N2581" s="11"/>
      <c r="O2581" s="13"/>
      <c r="P2581" s="14"/>
      <c r="Q2581" s="13"/>
      <c r="R2581" s="13"/>
      <c r="S2581" s="15"/>
      <c r="T2581" s="16"/>
      <c r="U2581" s="16"/>
      <c r="V2581" s="16"/>
      <c r="W2581" s="16"/>
      <c r="X2581" s="16"/>
      <c r="Y2581" s="11"/>
      <c r="Z2581" s="11"/>
      <c r="AA2581" s="11"/>
      <c r="AB2581" s="11"/>
      <c r="AC2581" s="11"/>
      <c r="AD2581" s="11"/>
    </row>
    <row r="2582">
      <c r="A2582" s="10"/>
      <c r="B2582" s="10"/>
      <c r="C2582" s="10"/>
      <c r="D2582" s="10"/>
      <c r="E2582" s="10"/>
      <c r="F2582" s="11"/>
      <c r="G2582" s="11"/>
      <c r="H2582" s="11"/>
      <c r="I2582" s="11"/>
      <c r="J2582" s="11"/>
      <c r="K2582" s="11"/>
      <c r="L2582" s="12"/>
      <c r="M2582" s="11"/>
      <c r="N2582" s="11"/>
      <c r="O2582" s="13"/>
      <c r="P2582" s="14"/>
      <c r="Q2582" s="13"/>
      <c r="R2582" s="13"/>
      <c r="S2582" s="15"/>
      <c r="T2582" s="16"/>
      <c r="U2582" s="16"/>
      <c r="V2582" s="16"/>
      <c r="W2582" s="16"/>
      <c r="X2582" s="16"/>
      <c r="Y2582" s="11"/>
      <c r="Z2582" s="11"/>
      <c r="AA2582" s="11"/>
      <c r="AB2582" s="11"/>
      <c r="AC2582" s="11"/>
      <c r="AD2582" s="11"/>
    </row>
    <row r="2583">
      <c r="A2583" s="10"/>
      <c r="B2583" s="10"/>
      <c r="C2583" s="10"/>
      <c r="D2583" s="10"/>
      <c r="E2583" s="10"/>
      <c r="F2583" s="11"/>
      <c r="G2583" s="11"/>
      <c r="H2583" s="11"/>
      <c r="I2583" s="11"/>
      <c r="J2583" s="11"/>
      <c r="K2583" s="11"/>
      <c r="L2583" s="12"/>
      <c r="M2583" s="11"/>
      <c r="N2583" s="11"/>
      <c r="O2583" s="13"/>
      <c r="P2583" s="14"/>
      <c r="Q2583" s="13"/>
      <c r="R2583" s="13"/>
      <c r="S2583" s="15"/>
      <c r="T2583" s="16"/>
      <c r="U2583" s="16"/>
      <c r="V2583" s="16"/>
      <c r="W2583" s="16"/>
      <c r="X2583" s="16"/>
      <c r="Y2583" s="11"/>
      <c r="Z2583" s="11"/>
      <c r="AA2583" s="11"/>
      <c r="AB2583" s="11"/>
      <c r="AC2583" s="11"/>
      <c r="AD2583" s="11"/>
    </row>
    <row r="2584">
      <c r="A2584" s="10"/>
      <c r="B2584" s="10"/>
      <c r="C2584" s="10"/>
      <c r="D2584" s="10"/>
      <c r="E2584" s="10"/>
      <c r="F2584" s="11"/>
      <c r="G2584" s="11"/>
      <c r="H2584" s="11"/>
      <c r="I2584" s="11"/>
      <c r="J2584" s="11"/>
      <c r="K2584" s="11"/>
      <c r="L2584" s="12"/>
      <c r="M2584" s="11"/>
      <c r="N2584" s="11"/>
      <c r="O2584" s="13"/>
      <c r="P2584" s="14"/>
      <c r="Q2584" s="13"/>
      <c r="R2584" s="13"/>
      <c r="S2584" s="15"/>
      <c r="T2584" s="16"/>
      <c r="U2584" s="16"/>
      <c r="V2584" s="16"/>
      <c r="W2584" s="16"/>
      <c r="X2584" s="16"/>
      <c r="Y2584" s="11"/>
      <c r="Z2584" s="11"/>
      <c r="AA2584" s="11"/>
      <c r="AB2584" s="11"/>
      <c r="AC2584" s="11"/>
      <c r="AD2584" s="11"/>
    </row>
    <row r="2585">
      <c r="A2585" s="10"/>
      <c r="B2585" s="10"/>
      <c r="C2585" s="10"/>
      <c r="D2585" s="10"/>
      <c r="E2585" s="10"/>
      <c r="F2585" s="11"/>
      <c r="G2585" s="11"/>
      <c r="H2585" s="11"/>
      <c r="I2585" s="11"/>
      <c r="J2585" s="11"/>
      <c r="K2585" s="11"/>
      <c r="L2585" s="12"/>
      <c r="M2585" s="11"/>
      <c r="N2585" s="11"/>
      <c r="O2585" s="13"/>
      <c r="P2585" s="14"/>
      <c r="Q2585" s="13"/>
      <c r="R2585" s="13"/>
      <c r="S2585" s="15"/>
      <c r="T2585" s="16"/>
      <c r="U2585" s="16"/>
      <c r="V2585" s="16"/>
      <c r="W2585" s="16"/>
      <c r="X2585" s="16"/>
      <c r="Y2585" s="11"/>
      <c r="Z2585" s="11"/>
      <c r="AA2585" s="11"/>
      <c r="AB2585" s="11"/>
      <c r="AC2585" s="11"/>
      <c r="AD2585" s="11"/>
    </row>
    <row r="2586">
      <c r="A2586" s="10"/>
      <c r="B2586" s="10"/>
      <c r="C2586" s="10"/>
      <c r="D2586" s="10"/>
      <c r="E2586" s="10"/>
      <c r="F2586" s="11"/>
      <c r="G2586" s="11"/>
      <c r="H2586" s="11"/>
      <c r="I2586" s="11"/>
      <c r="J2586" s="11"/>
      <c r="K2586" s="11"/>
      <c r="L2586" s="12"/>
      <c r="M2586" s="11"/>
      <c r="N2586" s="11"/>
      <c r="O2586" s="13"/>
      <c r="P2586" s="14"/>
      <c r="Q2586" s="13"/>
      <c r="R2586" s="13"/>
      <c r="S2586" s="15"/>
      <c r="T2586" s="16"/>
      <c r="U2586" s="16"/>
      <c r="V2586" s="16"/>
      <c r="W2586" s="16"/>
      <c r="X2586" s="16"/>
      <c r="Y2586" s="11"/>
      <c r="Z2586" s="11"/>
      <c r="AA2586" s="11"/>
      <c r="AB2586" s="11"/>
      <c r="AC2586" s="11"/>
      <c r="AD2586" s="11"/>
    </row>
    <row r="2587">
      <c r="A2587" s="10"/>
      <c r="B2587" s="10"/>
      <c r="C2587" s="10"/>
      <c r="D2587" s="10"/>
      <c r="E2587" s="10"/>
      <c r="F2587" s="11"/>
      <c r="G2587" s="11"/>
      <c r="H2587" s="11"/>
      <c r="I2587" s="11"/>
      <c r="J2587" s="11"/>
      <c r="K2587" s="11"/>
      <c r="L2587" s="12"/>
      <c r="M2587" s="11"/>
      <c r="N2587" s="11"/>
      <c r="O2587" s="13"/>
      <c r="P2587" s="14"/>
      <c r="Q2587" s="13"/>
      <c r="R2587" s="13"/>
      <c r="S2587" s="15"/>
      <c r="T2587" s="16"/>
      <c r="U2587" s="16"/>
      <c r="V2587" s="16"/>
      <c r="W2587" s="16"/>
      <c r="X2587" s="16"/>
      <c r="Y2587" s="11"/>
      <c r="Z2587" s="11"/>
      <c r="AA2587" s="11"/>
      <c r="AB2587" s="11"/>
      <c r="AC2587" s="11"/>
      <c r="AD2587" s="11"/>
    </row>
    <row r="2588">
      <c r="A2588" s="10"/>
      <c r="B2588" s="10"/>
      <c r="C2588" s="10"/>
      <c r="D2588" s="10"/>
      <c r="E2588" s="10"/>
      <c r="F2588" s="11"/>
      <c r="G2588" s="11"/>
      <c r="H2588" s="11"/>
      <c r="I2588" s="11"/>
      <c r="J2588" s="11"/>
      <c r="K2588" s="11"/>
      <c r="L2588" s="12"/>
      <c r="M2588" s="11"/>
      <c r="N2588" s="11"/>
      <c r="O2588" s="13"/>
      <c r="P2588" s="14"/>
      <c r="Q2588" s="13"/>
      <c r="R2588" s="13"/>
      <c r="S2588" s="15"/>
      <c r="T2588" s="16"/>
      <c r="U2588" s="16"/>
      <c r="V2588" s="16"/>
      <c r="W2588" s="16"/>
      <c r="X2588" s="16"/>
      <c r="Y2588" s="11"/>
      <c r="Z2588" s="11"/>
      <c r="AA2588" s="11"/>
      <c r="AB2588" s="11"/>
      <c r="AC2588" s="11"/>
      <c r="AD2588" s="11"/>
    </row>
    <row r="2589">
      <c r="A2589" s="10"/>
      <c r="B2589" s="10"/>
      <c r="C2589" s="10"/>
      <c r="D2589" s="10"/>
      <c r="E2589" s="10"/>
      <c r="F2589" s="11"/>
      <c r="G2589" s="11"/>
      <c r="H2589" s="11"/>
      <c r="I2589" s="11"/>
      <c r="J2589" s="11"/>
      <c r="K2589" s="11"/>
      <c r="L2589" s="12"/>
      <c r="M2589" s="11"/>
      <c r="N2589" s="11"/>
      <c r="O2589" s="13"/>
      <c r="P2589" s="14"/>
      <c r="Q2589" s="13"/>
      <c r="R2589" s="13"/>
      <c r="S2589" s="15"/>
      <c r="T2589" s="16"/>
      <c r="U2589" s="16"/>
      <c r="V2589" s="16"/>
      <c r="W2589" s="16"/>
      <c r="X2589" s="16"/>
      <c r="Y2589" s="11"/>
      <c r="Z2589" s="11"/>
      <c r="AA2589" s="11"/>
      <c r="AB2589" s="11"/>
      <c r="AC2589" s="11"/>
      <c r="AD2589" s="11"/>
    </row>
    <row r="2590">
      <c r="A2590" s="10"/>
      <c r="B2590" s="10"/>
      <c r="C2590" s="10"/>
      <c r="D2590" s="10"/>
      <c r="E2590" s="10"/>
      <c r="F2590" s="11"/>
      <c r="G2590" s="11"/>
      <c r="H2590" s="11"/>
      <c r="I2590" s="11"/>
      <c r="J2590" s="11"/>
      <c r="K2590" s="11"/>
      <c r="L2590" s="12"/>
      <c r="M2590" s="11"/>
      <c r="N2590" s="11"/>
      <c r="O2590" s="13"/>
      <c r="P2590" s="14"/>
      <c r="Q2590" s="13"/>
      <c r="R2590" s="13"/>
      <c r="S2590" s="15"/>
      <c r="T2590" s="16"/>
      <c r="U2590" s="16"/>
      <c r="V2590" s="16"/>
      <c r="W2590" s="16"/>
      <c r="X2590" s="16"/>
      <c r="Y2590" s="11"/>
      <c r="Z2590" s="11"/>
      <c r="AA2590" s="11"/>
      <c r="AB2590" s="11"/>
      <c r="AC2590" s="11"/>
      <c r="AD2590" s="11"/>
    </row>
    <row r="2591">
      <c r="A2591" s="10"/>
      <c r="B2591" s="10"/>
      <c r="C2591" s="10"/>
      <c r="D2591" s="10"/>
      <c r="E2591" s="10"/>
      <c r="F2591" s="11"/>
      <c r="G2591" s="11"/>
      <c r="H2591" s="11"/>
      <c r="I2591" s="11"/>
      <c r="J2591" s="11"/>
      <c r="K2591" s="11"/>
      <c r="L2591" s="12"/>
      <c r="M2591" s="11"/>
      <c r="N2591" s="11"/>
      <c r="O2591" s="13"/>
      <c r="P2591" s="14"/>
      <c r="Q2591" s="13"/>
      <c r="R2591" s="13"/>
      <c r="S2591" s="15"/>
      <c r="T2591" s="16"/>
      <c r="U2591" s="16"/>
      <c r="V2591" s="16"/>
      <c r="W2591" s="16"/>
      <c r="X2591" s="16"/>
      <c r="Y2591" s="11"/>
      <c r="Z2591" s="11"/>
      <c r="AA2591" s="11"/>
      <c r="AB2591" s="11"/>
      <c r="AC2591" s="11"/>
      <c r="AD2591" s="11"/>
    </row>
    <row r="2592">
      <c r="A2592" s="10"/>
      <c r="B2592" s="10"/>
      <c r="C2592" s="10"/>
      <c r="D2592" s="10"/>
      <c r="E2592" s="10"/>
      <c r="F2592" s="11"/>
      <c r="G2592" s="11"/>
      <c r="H2592" s="11"/>
      <c r="I2592" s="11"/>
      <c r="J2592" s="11"/>
      <c r="K2592" s="11"/>
      <c r="L2592" s="12"/>
      <c r="M2592" s="11"/>
      <c r="N2592" s="11"/>
      <c r="O2592" s="13"/>
      <c r="P2592" s="14"/>
      <c r="Q2592" s="13"/>
      <c r="R2592" s="13"/>
      <c r="S2592" s="15"/>
      <c r="T2592" s="16"/>
      <c r="U2592" s="16"/>
      <c r="V2592" s="16"/>
      <c r="W2592" s="16"/>
      <c r="X2592" s="16"/>
      <c r="Y2592" s="11"/>
      <c r="Z2592" s="11"/>
      <c r="AA2592" s="11"/>
      <c r="AB2592" s="11"/>
      <c r="AC2592" s="11"/>
      <c r="AD2592" s="11"/>
    </row>
    <row r="2593">
      <c r="A2593" s="10"/>
      <c r="B2593" s="10"/>
      <c r="C2593" s="10"/>
      <c r="D2593" s="10"/>
      <c r="E2593" s="10"/>
      <c r="F2593" s="11"/>
      <c r="G2593" s="11"/>
      <c r="H2593" s="11"/>
      <c r="I2593" s="11"/>
      <c r="J2593" s="11"/>
      <c r="K2593" s="11"/>
      <c r="L2593" s="12"/>
      <c r="M2593" s="11"/>
      <c r="N2593" s="11"/>
      <c r="O2593" s="13"/>
      <c r="P2593" s="14"/>
      <c r="Q2593" s="13"/>
      <c r="R2593" s="13"/>
      <c r="S2593" s="15"/>
      <c r="T2593" s="16"/>
      <c r="U2593" s="16"/>
      <c r="V2593" s="16"/>
      <c r="W2593" s="16"/>
      <c r="X2593" s="16"/>
      <c r="Y2593" s="11"/>
      <c r="Z2593" s="11"/>
      <c r="AA2593" s="11"/>
      <c r="AB2593" s="11"/>
      <c r="AC2593" s="11"/>
      <c r="AD2593" s="11"/>
    </row>
    <row r="2594">
      <c r="A2594" s="10"/>
      <c r="B2594" s="10"/>
      <c r="C2594" s="10"/>
      <c r="D2594" s="10"/>
      <c r="E2594" s="10"/>
      <c r="F2594" s="11"/>
      <c r="G2594" s="11"/>
      <c r="H2594" s="11"/>
      <c r="I2594" s="11"/>
      <c r="J2594" s="11"/>
      <c r="K2594" s="11"/>
      <c r="L2594" s="12"/>
      <c r="M2594" s="11"/>
      <c r="N2594" s="11"/>
      <c r="O2594" s="13"/>
      <c r="P2594" s="14"/>
      <c r="Q2594" s="13"/>
      <c r="R2594" s="13"/>
      <c r="S2594" s="15"/>
      <c r="T2594" s="16"/>
      <c r="U2594" s="16"/>
      <c r="V2594" s="16"/>
      <c r="W2594" s="16"/>
      <c r="X2594" s="16"/>
      <c r="Y2594" s="11"/>
      <c r="Z2594" s="11"/>
      <c r="AA2594" s="11"/>
      <c r="AB2594" s="11"/>
      <c r="AC2594" s="11"/>
      <c r="AD2594" s="11"/>
    </row>
    <row r="2595">
      <c r="A2595" s="10"/>
      <c r="B2595" s="10"/>
      <c r="C2595" s="10"/>
      <c r="D2595" s="10"/>
      <c r="E2595" s="10"/>
      <c r="F2595" s="11"/>
      <c r="G2595" s="11"/>
      <c r="H2595" s="11"/>
      <c r="I2595" s="11"/>
      <c r="J2595" s="11"/>
      <c r="K2595" s="11"/>
      <c r="L2595" s="12"/>
      <c r="M2595" s="11"/>
      <c r="N2595" s="11"/>
      <c r="O2595" s="13"/>
      <c r="P2595" s="14"/>
      <c r="Q2595" s="13"/>
      <c r="R2595" s="13"/>
      <c r="S2595" s="15"/>
      <c r="T2595" s="16"/>
      <c r="U2595" s="16"/>
      <c r="V2595" s="16"/>
      <c r="W2595" s="16"/>
      <c r="X2595" s="16"/>
      <c r="Y2595" s="11"/>
      <c r="Z2595" s="11"/>
      <c r="AA2595" s="11"/>
      <c r="AB2595" s="11"/>
      <c r="AC2595" s="11"/>
      <c r="AD2595" s="11"/>
    </row>
    <row r="2596">
      <c r="A2596" s="10"/>
      <c r="B2596" s="10"/>
      <c r="C2596" s="10"/>
      <c r="D2596" s="10"/>
      <c r="E2596" s="10"/>
      <c r="F2596" s="11"/>
      <c r="G2596" s="11"/>
      <c r="H2596" s="11"/>
      <c r="I2596" s="11"/>
      <c r="J2596" s="11"/>
      <c r="K2596" s="11"/>
      <c r="L2596" s="12"/>
      <c r="M2596" s="11"/>
      <c r="N2596" s="11"/>
      <c r="O2596" s="13"/>
      <c r="P2596" s="14"/>
      <c r="Q2596" s="13"/>
      <c r="R2596" s="13"/>
      <c r="S2596" s="15"/>
      <c r="T2596" s="16"/>
      <c r="U2596" s="16"/>
      <c r="V2596" s="16"/>
      <c r="W2596" s="16"/>
      <c r="X2596" s="16"/>
      <c r="Y2596" s="11"/>
      <c r="Z2596" s="11"/>
      <c r="AA2596" s="11"/>
      <c r="AB2596" s="11"/>
      <c r="AC2596" s="11"/>
      <c r="AD2596" s="11"/>
    </row>
    <row r="2597">
      <c r="A2597" s="10"/>
      <c r="B2597" s="10"/>
      <c r="C2597" s="10"/>
      <c r="D2597" s="10"/>
      <c r="E2597" s="10"/>
      <c r="F2597" s="11"/>
      <c r="G2597" s="11"/>
      <c r="H2597" s="11"/>
      <c r="I2597" s="11"/>
      <c r="J2597" s="11"/>
      <c r="K2597" s="11"/>
      <c r="L2597" s="12"/>
      <c r="M2597" s="11"/>
      <c r="N2597" s="11"/>
      <c r="O2597" s="13"/>
      <c r="P2597" s="14"/>
      <c r="Q2597" s="13"/>
      <c r="R2597" s="13"/>
      <c r="S2597" s="15"/>
      <c r="T2597" s="16"/>
      <c r="U2597" s="16"/>
      <c r="V2597" s="16"/>
      <c r="W2597" s="16"/>
      <c r="X2597" s="16"/>
      <c r="Y2597" s="11"/>
      <c r="Z2597" s="11"/>
      <c r="AA2597" s="11"/>
      <c r="AB2597" s="11"/>
      <c r="AC2597" s="11"/>
      <c r="AD2597" s="11"/>
    </row>
    <row r="2598">
      <c r="A2598" s="10"/>
      <c r="B2598" s="10"/>
      <c r="C2598" s="10"/>
      <c r="D2598" s="10"/>
      <c r="E2598" s="10"/>
      <c r="F2598" s="11"/>
      <c r="G2598" s="11"/>
      <c r="H2598" s="11"/>
      <c r="I2598" s="11"/>
      <c r="J2598" s="11"/>
      <c r="K2598" s="11"/>
      <c r="L2598" s="12"/>
      <c r="M2598" s="11"/>
      <c r="N2598" s="11"/>
      <c r="O2598" s="13"/>
      <c r="P2598" s="14"/>
      <c r="Q2598" s="13"/>
      <c r="R2598" s="13"/>
      <c r="S2598" s="15"/>
      <c r="T2598" s="16"/>
      <c r="U2598" s="16"/>
      <c r="V2598" s="16"/>
      <c r="W2598" s="16"/>
      <c r="X2598" s="16"/>
      <c r="Y2598" s="11"/>
      <c r="Z2598" s="11"/>
      <c r="AA2598" s="11"/>
      <c r="AB2598" s="11"/>
      <c r="AC2598" s="11"/>
      <c r="AD2598" s="11"/>
    </row>
    <row r="2599">
      <c r="A2599" s="10"/>
      <c r="B2599" s="10"/>
      <c r="C2599" s="10"/>
      <c r="D2599" s="10"/>
      <c r="E2599" s="10"/>
      <c r="F2599" s="11"/>
      <c r="G2599" s="11"/>
      <c r="H2599" s="11"/>
      <c r="I2599" s="11"/>
      <c r="J2599" s="11"/>
      <c r="K2599" s="11"/>
      <c r="L2599" s="12"/>
      <c r="M2599" s="11"/>
      <c r="N2599" s="11"/>
      <c r="O2599" s="13"/>
      <c r="P2599" s="14"/>
      <c r="Q2599" s="13"/>
      <c r="R2599" s="13"/>
      <c r="S2599" s="15"/>
      <c r="T2599" s="16"/>
      <c r="U2599" s="16"/>
      <c r="V2599" s="16"/>
      <c r="W2599" s="16"/>
      <c r="X2599" s="16"/>
      <c r="Y2599" s="11"/>
      <c r="Z2599" s="11"/>
      <c r="AA2599" s="11"/>
      <c r="AB2599" s="11"/>
      <c r="AC2599" s="11"/>
      <c r="AD2599" s="11"/>
    </row>
    <row r="2600">
      <c r="A2600" s="10"/>
      <c r="B2600" s="10"/>
      <c r="C2600" s="10"/>
      <c r="D2600" s="10"/>
      <c r="E2600" s="10"/>
      <c r="F2600" s="11"/>
      <c r="G2600" s="11"/>
      <c r="H2600" s="11"/>
      <c r="I2600" s="11"/>
      <c r="J2600" s="11"/>
      <c r="K2600" s="11"/>
      <c r="L2600" s="12"/>
      <c r="M2600" s="11"/>
      <c r="N2600" s="11"/>
      <c r="O2600" s="13"/>
      <c r="P2600" s="14"/>
      <c r="Q2600" s="13"/>
      <c r="R2600" s="13"/>
      <c r="S2600" s="15"/>
      <c r="T2600" s="16"/>
      <c r="U2600" s="16"/>
      <c r="V2600" s="16"/>
      <c r="W2600" s="16"/>
      <c r="X2600" s="16"/>
      <c r="Y2600" s="11"/>
      <c r="Z2600" s="11"/>
      <c r="AA2600" s="11"/>
      <c r="AB2600" s="11"/>
      <c r="AC2600" s="11"/>
      <c r="AD2600" s="11"/>
    </row>
    <row r="2601">
      <c r="A2601" s="10"/>
      <c r="B2601" s="10"/>
      <c r="C2601" s="10"/>
      <c r="D2601" s="10"/>
      <c r="E2601" s="10"/>
      <c r="F2601" s="11"/>
      <c r="G2601" s="11"/>
      <c r="H2601" s="11"/>
      <c r="I2601" s="11"/>
      <c r="J2601" s="11"/>
      <c r="K2601" s="11"/>
      <c r="L2601" s="12"/>
      <c r="M2601" s="11"/>
      <c r="N2601" s="11"/>
      <c r="O2601" s="13"/>
      <c r="P2601" s="14"/>
      <c r="Q2601" s="13"/>
      <c r="R2601" s="13"/>
      <c r="S2601" s="15"/>
      <c r="T2601" s="16"/>
      <c r="U2601" s="16"/>
      <c r="V2601" s="16"/>
      <c r="W2601" s="16"/>
      <c r="X2601" s="16"/>
      <c r="Y2601" s="11"/>
      <c r="Z2601" s="11"/>
      <c r="AA2601" s="11"/>
      <c r="AB2601" s="11"/>
      <c r="AC2601" s="11"/>
      <c r="AD2601" s="11"/>
    </row>
    <row r="2602">
      <c r="A2602" s="10"/>
      <c r="B2602" s="10"/>
      <c r="C2602" s="10"/>
      <c r="D2602" s="10"/>
      <c r="E2602" s="10"/>
      <c r="F2602" s="11"/>
      <c r="G2602" s="11"/>
      <c r="H2602" s="11"/>
      <c r="I2602" s="11"/>
      <c r="J2602" s="11"/>
      <c r="K2602" s="11"/>
      <c r="L2602" s="12"/>
      <c r="M2602" s="11"/>
      <c r="N2602" s="11"/>
      <c r="O2602" s="13"/>
      <c r="P2602" s="14"/>
      <c r="Q2602" s="13"/>
      <c r="R2602" s="13"/>
      <c r="S2602" s="15"/>
      <c r="T2602" s="16"/>
      <c r="U2602" s="16"/>
      <c r="V2602" s="16"/>
      <c r="W2602" s="16"/>
      <c r="X2602" s="16"/>
      <c r="Y2602" s="11"/>
      <c r="Z2602" s="11"/>
      <c r="AA2602" s="11"/>
      <c r="AB2602" s="11"/>
      <c r="AC2602" s="11"/>
      <c r="AD2602" s="11"/>
    </row>
    <row r="2603">
      <c r="A2603" s="10"/>
      <c r="B2603" s="10"/>
      <c r="C2603" s="10"/>
      <c r="D2603" s="10"/>
      <c r="E2603" s="10"/>
      <c r="F2603" s="11"/>
      <c r="G2603" s="11"/>
      <c r="H2603" s="11"/>
      <c r="I2603" s="11"/>
      <c r="J2603" s="11"/>
      <c r="K2603" s="11"/>
      <c r="L2603" s="12"/>
      <c r="M2603" s="11"/>
      <c r="N2603" s="11"/>
      <c r="O2603" s="13"/>
      <c r="P2603" s="14"/>
      <c r="Q2603" s="13"/>
      <c r="R2603" s="13"/>
      <c r="S2603" s="15"/>
      <c r="T2603" s="16"/>
      <c r="U2603" s="16"/>
      <c r="V2603" s="16"/>
      <c r="W2603" s="16"/>
      <c r="X2603" s="16"/>
      <c r="Y2603" s="11"/>
      <c r="Z2603" s="11"/>
      <c r="AA2603" s="11"/>
      <c r="AB2603" s="11"/>
      <c r="AC2603" s="11"/>
      <c r="AD2603" s="11"/>
    </row>
    <row r="2604">
      <c r="A2604" s="10"/>
      <c r="B2604" s="10"/>
      <c r="C2604" s="10"/>
      <c r="D2604" s="10"/>
      <c r="E2604" s="10"/>
      <c r="F2604" s="11"/>
      <c r="G2604" s="11"/>
      <c r="H2604" s="11"/>
      <c r="I2604" s="11"/>
      <c r="J2604" s="11"/>
      <c r="K2604" s="11"/>
      <c r="L2604" s="12"/>
      <c r="M2604" s="11"/>
      <c r="N2604" s="11"/>
      <c r="O2604" s="13"/>
      <c r="P2604" s="14"/>
      <c r="Q2604" s="13"/>
      <c r="R2604" s="13"/>
      <c r="S2604" s="15"/>
      <c r="T2604" s="16"/>
      <c r="U2604" s="16"/>
      <c r="V2604" s="16"/>
      <c r="W2604" s="16"/>
      <c r="X2604" s="16"/>
      <c r="Y2604" s="11"/>
      <c r="Z2604" s="11"/>
      <c r="AA2604" s="11"/>
      <c r="AB2604" s="11"/>
      <c r="AC2604" s="11"/>
      <c r="AD2604" s="11"/>
    </row>
    <row r="2605">
      <c r="A2605" s="10"/>
      <c r="B2605" s="10"/>
      <c r="C2605" s="10"/>
      <c r="D2605" s="10"/>
      <c r="E2605" s="10"/>
      <c r="F2605" s="11"/>
      <c r="G2605" s="11"/>
      <c r="H2605" s="11"/>
      <c r="I2605" s="11"/>
      <c r="J2605" s="11"/>
      <c r="K2605" s="11"/>
      <c r="L2605" s="12"/>
      <c r="M2605" s="11"/>
      <c r="N2605" s="11"/>
      <c r="O2605" s="13"/>
      <c r="P2605" s="14"/>
      <c r="Q2605" s="13"/>
      <c r="R2605" s="13"/>
      <c r="S2605" s="15"/>
      <c r="T2605" s="16"/>
      <c r="U2605" s="16"/>
      <c r="V2605" s="16"/>
      <c r="W2605" s="16"/>
      <c r="X2605" s="16"/>
      <c r="Y2605" s="11"/>
      <c r="Z2605" s="11"/>
      <c r="AA2605" s="11"/>
      <c r="AB2605" s="11"/>
      <c r="AC2605" s="11"/>
      <c r="AD2605" s="11"/>
    </row>
    <row r="2606">
      <c r="A2606" s="10"/>
      <c r="B2606" s="10"/>
      <c r="C2606" s="10"/>
      <c r="D2606" s="10"/>
      <c r="E2606" s="10"/>
      <c r="F2606" s="11"/>
      <c r="G2606" s="11"/>
      <c r="H2606" s="11"/>
      <c r="I2606" s="11"/>
      <c r="J2606" s="11"/>
      <c r="K2606" s="11"/>
      <c r="L2606" s="12"/>
      <c r="M2606" s="11"/>
      <c r="N2606" s="11"/>
      <c r="O2606" s="13"/>
      <c r="P2606" s="14"/>
      <c r="Q2606" s="13"/>
      <c r="R2606" s="13"/>
      <c r="S2606" s="15"/>
      <c r="T2606" s="16"/>
      <c r="U2606" s="16"/>
      <c r="V2606" s="16"/>
      <c r="W2606" s="16"/>
      <c r="X2606" s="16"/>
      <c r="Y2606" s="11"/>
      <c r="Z2606" s="11"/>
      <c r="AA2606" s="11"/>
      <c r="AB2606" s="11"/>
      <c r="AC2606" s="11"/>
      <c r="AD2606" s="11"/>
    </row>
    <row r="2607">
      <c r="A2607" s="10"/>
      <c r="B2607" s="10"/>
      <c r="C2607" s="10"/>
      <c r="D2607" s="10"/>
      <c r="E2607" s="10"/>
      <c r="F2607" s="11"/>
      <c r="G2607" s="11"/>
      <c r="H2607" s="11"/>
      <c r="I2607" s="11"/>
      <c r="J2607" s="11"/>
      <c r="K2607" s="11"/>
      <c r="L2607" s="12"/>
      <c r="M2607" s="11"/>
      <c r="N2607" s="11"/>
      <c r="O2607" s="13"/>
      <c r="P2607" s="14"/>
      <c r="Q2607" s="13"/>
      <c r="R2607" s="13"/>
      <c r="S2607" s="15"/>
      <c r="T2607" s="16"/>
      <c r="U2607" s="16"/>
      <c r="V2607" s="16"/>
      <c r="W2607" s="16"/>
      <c r="X2607" s="16"/>
      <c r="Y2607" s="11"/>
      <c r="Z2607" s="11"/>
      <c r="AA2607" s="11"/>
      <c r="AB2607" s="11"/>
      <c r="AC2607" s="11"/>
      <c r="AD2607" s="11"/>
    </row>
    <row r="2608">
      <c r="A2608" s="10"/>
      <c r="B2608" s="10"/>
      <c r="C2608" s="10"/>
      <c r="D2608" s="10"/>
      <c r="E2608" s="10"/>
      <c r="F2608" s="11"/>
      <c r="G2608" s="11"/>
      <c r="H2608" s="11"/>
      <c r="I2608" s="11"/>
      <c r="J2608" s="11"/>
      <c r="K2608" s="11"/>
      <c r="L2608" s="12"/>
      <c r="M2608" s="11"/>
      <c r="N2608" s="11"/>
      <c r="O2608" s="13"/>
      <c r="P2608" s="14"/>
      <c r="Q2608" s="13"/>
      <c r="R2608" s="13"/>
      <c r="S2608" s="15"/>
      <c r="T2608" s="16"/>
      <c r="U2608" s="16"/>
      <c r="V2608" s="16"/>
      <c r="W2608" s="16"/>
      <c r="X2608" s="16"/>
      <c r="Y2608" s="11"/>
      <c r="Z2608" s="11"/>
      <c r="AA2608" s="11"/>
      <c r="AB2608" s="11"/>
      <c r="AC2608" s="11"/>
      <c r="AD2608" s="11"/>
    </row>
    <row r="2609">
      <c r="A2609" s="10"/>
      <c r="B2609" s="10"/>
      <c r="C2609" s="10"/>
      <c r="D2609" s="10"/>
      <c r="E2609" s="10"/>
      <c r="F2609" s="11"/>
      <c r="G2609" s="11"/>
      <c r="H2609" s="11"/>
      <c r="I2609" s="11"/>
      <c r="J2609" s="11"/>
      <c r="K2609" s="11"/>
      <c r="L2609" s="12"/>
      <c r="M2609" s="11"/>
      <c r="N2609" s="11"/>
      <c r="O2609" s="13"/>
      <c r="P2609" s="14"/>
      <c r="Q2609" s="13"/>
      <c r="R2609" s="13"/>
      <c r="S2609" s="15"/>
      <c r="T2609" s="16"/>
      <c r="U2609" s="16"/>
      <c r="V2609" s="16"/>
      <c r="W2609" s="16"/>
      <c r="X2609" s="16"/>
      <c r="Y2609" s="11"/>
      <c r="Z2609" s="11"/>
      <c r="AA2609" s="11"/>
      <c r="AB2609" s="11"/>
      <c r="AC2609" s="11"/>
      <c r="AD2609" s="11"/>
    </row>
    <row r="2610">
      <c r="A2610" s="10"/>
      <c r="B2610" s="10"/>
      <c r="C2610" s="10"/>
      <c r="D2610" s="10"/>
      <c r="E2610" s="10"/>
      <c r="F2610" s="11"/>
      <c r="G2610" s="11"/>
      <c r="H2610" s="11"/>
      <c r="I2610" s="11"/>
      <c r="J2610" s="11"/>
      <c r="K2610" s="11"/>
      <c r="L2610" s="12"/>
      <c r="M2610" s="11"/>
      <c r="N2610" s="11"/>
      <c r="O2610" s="13"/>
      <c r="P2610" s="14"/>
      <c r="Q2610" s="13"/>
      <c r="R2610" s="13"/>
      <c r="S2610" s="15"/>
      <c r="T2610" s="16"/>
      <c r="U2610" s="16"/>
      <c r="V2610" s="16"/>
      <c r="W2610" s="16"/>
      <c r="X2610" s="16"/>
      <c r="Y2610" s="11"/>
      <c r="Z2610" s="11"/>
      <c r="AA2610" s="11"/>
      <c r="AB2610" s="11"/>
      <c r="AC2610" s="11"/>
      <c r="AD2610" s="11"/>
    </row>
    <row r="2611">
      <c r="A2611" s="10"/>
      <c r="B2611" s="10"/>
      <c r="C2611" s="10"/>
      <c r="D2611" s="10"/>
      <c r="E2611" s="10"/>
      <c r="F2611" s="11"/>
      <c r="G2611" s="11"/>
      <c r="H2611" s="11"/>
      <c r="I2611" s="11"/>
      <c r="J2611" s="11"/>
      <c r="K2611" s="11"/>
      <c r="L2611" s="12"/>
      <c r="M2611" s="11"/>
      <c r="N2611" s="11"/>
      <c r="O2611" s="13"/>
      <c r="P2611" s="14"/>
      <c r="Q2611" s="13"/>
      <c r="R2611" s="13"/>
      <c r="S2611" s="15"/>
      <c r="T2611" s="16"/>
      <c r="U2611" s="16"/>
      <c r="V2611" s="16"/>
      <c r="W2611" s="16"/>
      <c r="X2611" s="16"/>
      <c r="Y2611" s="11"/>
      <c r="Z2611" s="11"/>
      <c r="AA2611" s="11"/>
      <c r="AB2611" s="11"/>
      <c r="AC2611" s="11"/>
      <c r="AD2611" s="11"/>
    </row>
    <row r="2612">
      <c r="A2612" s="10"/>
      <c r="B2612" s="10"/>
      <c r="C2612" s="10"/>
      <c r="D2612" s="10"/>
      <c r="E2612" s="10"/>
      <c r="F2612" s="11"/>
      <c r="G2612" s="11"/>
      <c r="H2612" s="11"/>
      <c r="I2612" s="11"/>
      <c r="J2612" s="11"/>
      <c r="K2612" s="11"/>
      <c r="L2612" s="12"/>
      <c r="M2612" s="11"/>
      <c r="N2612" s="11"/>
      <c r="O2612" s="13"/>
      <c r="P2612" s="14"/>
      <c r="Q2612" s="13"/>
      <c r="R2612" s="13"/>
      <c r="S2612" s="15"/>
      <c r="T2612" s="16"/>
      <c r="U2612" s="16"/>
      <c r="V2612" s="16"/>
      <c r="W2612" s="16"/>
      <c r="X2612" s="16"/>
      <c r="Y2612" s="11"/>
      <c r="Z2612" s="11"/>
      <c r="AA2612" s="11"/>
      <c r="AB2612" s="11"/>
      <c r="AC2612" s="11"/>
      <c r="AD2612" s="11"/>
    </row>
    <row r="2613">
      <c r="A2613" s="10"/>
      <c r="B2613" s="10"/>
      <c r="C2613" s="10"/>
      <c r="D2613" s="10"/>
      <c r="E2613" s="10"/>
      <c r="F2613" s="11"/>
      <c r="G2613" s="11"/>
      <c r="H2613" s="11"/>
      <c r="I2613" s="11"/>
      <c r="J2613" s="11"/>
      <c r="K2613" s="11"/>
      <c r="L2613" s="12"/>
      <c r="M2613" s="11"/>
      <c r="N2613" s="11"/>
      <c r="O2613" s="13"/>
      <c r="P2613" s="14"/>
      <c r="Q2613" s="13"/>
      <c r="R2613" s="13"/>
      <c r="S2613" s="15"/>
      <c r="T2613" s="16"/>
      <c r="U2613" s="16"/>
      <c r="V2613" s="16"/>
      <c r="W2613" s="16"/>
      <c r="X2613" s="16"/>
      <c r="Y2613" s="11"/>
      <c r="Z2613" s="11"/>
      <c r="AA2613" s="11"/>
      <c r="AB2613" s="11"/>
      <c r="AC2613" s="11"/>
      <c r="AD2613" s="11"/>
    </row>
    <row r="2614">
      <c r="A2614" s="10"/>
      <c r="B2614" s="10"/>
      <c r="C2614" s="10"/>
      <c r="D2614" s="10"/>
      <c r="E2614" s="10"/>
      <c r="F2614" s="11"/>
      <c r="G2614" s="11"/>
      <c r="H2614" s="11"/>
      <c r="I2614" s="11"/>
      <c r="J2614" s="11"/>
      <c r="K2614" s="11"/>
      <c r="L2614" s="12"/>
      <c r="M2614" s="11"/>
      <c r="N2614" s="11"/>
      <c r="O2614" s="13"/>
      <c r="P2614" s="14"/>
      <c r="Q2614" s="13"/>
      <c r="R2614" s="13"/>
      <c r="S2614" s="15"/>
      <c r="T2614" s="16"/>
      <c r="U2614" s="16"/>
      <c r="V2614" s="16"/>
      <c r="W2614" s="16"/>
      <c r="X2614" s="16"/>
      <c r="Y2614" s="11"/>
      <c r="Z2614" s="11"/>
      <c r="AA2614" s="11"/>
      <c r="AB2614" s="11"/>
      <c r="AC2614" s="11"/>
      <c r="AD2614" s="11"/>
    </row>
    <row r="2615">
      <c r="A2615" s="10"/>
      <c r="B2615" s="10"/>
      <c r="C2615" s="10"/>
      <c r="D2615" s="10"/>
      <c r="E2615" s="10"/>
      <c r="F2615" s="11"/>
      <c r="G2615" s="11"/>
      <c r="H2615" s="11"/>
      <c r="I2615" s="11"/>
      <c r="J2615" s="11"/>
      <c r="K2615" s="11"/>
      <c r="L2615" s="12"/>
      <c r="M2615" s="11"/>
      <c r="N2615" s="11"/>
      <c r="O2615" s="13"/>
      <c r="P2615" s="14"/>
      <c r="Q2615" s="13"/>
      <c r="R2615" s="13"/>
      <c r="S2615" s="15"/>
      <c r="T2615" s="16"/>
      <c r="U2615" s="16"/>
      <c r="V2615" s="16"/>
      <c r="W2615" s="16"/>
      <c r="X2615" s="16"/>
      <c r="Y2615" s="11"/>
      <c r="Z2615" s="11"/>
      <c r="AA2615" s="11"/>
      <c r="AB2615" s="11"/>
      <c r="AC2615" s="11"/>
      <c r="AD2615" s="11"/>
    </row>
    <row r="2616">
      <c r="A2616" s="10"/>
      <c r="B2616" s="10"/>
      <c r="C2616" s="10"/>
      <c r="D2616" s="10"/>
      <c r="E2616" s="10"/>
      <c r="F2616" s="11"/>
      <c r="G2616" s="11"/>
      <c r="H2616" s="11"/>
      <c r="I2616" s="11"/>
      <c r="J2616" s="11"/>
      <c r="K2616" s="11"/>
      <c r="L2616" s="12"/>
      <c r="M2616" s="11"/>
      <c r="N2616" s="11"/>
      <c r="O2616" s="13"/>
      <c r="P2616" s="14"/>
      <c r="Q2616" s="13"/>
      <c r="R2616" s="13"/>
      <c r="S2616" s="15"/>
      <c r="T2616" s="16"/>
      <c r="U2616" s="16"/>
      <c r="V2616" s="16"/>
      <c r="W2616" s="16"/>
      <c r="X2616" s="16"/>
      <c r="Y2616" s="11"/>
      <c r="Z2616" s="11"/>
      <c r="AA2616" s="11"/>
      <c r="AB2616" s="11"/>
      <c r="AC2616" s="11"/>
      <c r="AD2616" s="11"/>
    </row>
    <row r="2617">
      <c r="A2617" s="10"/>
      <c r="B2617" s="10"/>
      <c r="C2617" s="10"/>
      <c r="D2617" s="10"/>
      <c r="E2617" s="10"/>
      <c r="F2617" s="11"/>
      <c r="G2617" s="11"/>
      <c r="H2617" s="11"/>
      <c r="I2617" s="11"/>
      <c r="J2617" s="11"/>
      <c r="K2617" s="11"/>
      <c r="L2617" s="12"/>
      <c r="M2617" s="11"/>
      <c r="N2617" s="11"/>
      <c r="O2617" s="13"/>
      <c r="P2617" s="14"/>
      <c r="Q2617" s="13"/>
      <c r="R2617" s="13"/>
      <c r="S2617" s="15"/>
      <c r="T2617" s="16"/>
      <c r="U2617" s="16"/>
      <c r="V2617" s="16"/>
      <c r="W2617" s="16"/>
      <c r="X2617" s="16"/>
      <c r="Y2617" s="11"/>
      <c r="Z2617" s="11"/>
      <c r="AA2617" s="11"/>
      <c r="AB2617" s="11"/>
      <c r="AC2617" s="11"/>
      <c r="AD2617" s="11"/>
    </row>
    <row r="2618">
      <c r="A2618" s="10"/>
      <c r="B2618" s="10"/>
      <c r="C2618" s="10"/>
      <c r="D2618" s="10"/>
      <c r="E2618" s="10"/>
      <c r="F2618" s="11"/>
      <c r="G2618" s="11"/>
      <c r="H2618" s="11"/>
      <c r="I2618" s="11"/>
      <c r="J2618" s="11"/>
      <c r="K2618" s="11"/>
      <c r="L2618" s="12"/>
      <c r="M2618" s="11"/>
      <c r="N2618" s="11"/>
      <c r="O2618" s="13"/>
      <c r="P2618" s="14"/>
      <c r="Q2618" s="13"/>
      <c r="R2618" s="13"/>
      <c r="S2618" s="15"/>
      <c r="T2618" s="16"/>
      <c r="U2618" s="16"/>
      <c r="V2618" s="16"/>
      <c r="W2618" s="16"/>
      <c r="X2618" s="16"/>
      <c r="Y2618" s="11"/>
      <c r="Z2618" s="11"/>
      <c r="AA2618" s="11"/>
      <c r="AB2618" s="11"/>
      <c r="AC2618" s="11"/>
      <c r="AD2618" s="11"/>
    </row>
    <row r="2619">
      <c r="A2619" s="10"/>
      <c r="B2619" s="10"/>
      <c r="C2619" s="10"/>
      <c r="D2619" s="10"/>
      <c r="E2619" s="10"/>
      <c r="F2619" s="11"/>
      <c r="G2619" s="11"/>
      <c r="H2619" s="11"/>
      <c r="I2619" s="11"/>
      <c r="J2619" s="11"/>
      <c r="K2619" s="11"/>
      <c r="L2619" s="12"/>
      <c r="M2619" s="11"/>
      <c r="N2619" s="11"/>
      <c r="O2619" s="13"/>
      <c r="P2619" s="14"/>
      <c r="Q2619" s="13"/>
      <c r="R2619" s="13"/>
      <c r="S2619" s="15"/>
      <c r="T2619" s="16"/>
      <c r="U2619" s="16"/>
      <c r="V2619" s="16"/>
      <c r="W2619" s="16"/>
      <c r="X2619" s="16"/>
      <c r="Y2619" s="11"/>
      <c r="Z2619" s="11"/>
      <c r="AA2619" s="11"/>
      <c r="AB2619" s="11"/>
      <c r="AC2619" s="11"/>
      <c r="AD2619" s="11"/>
    </row>
    <row r="2620">
      <c r="A2620" s="10"/>
      <c r="B2620" s="10"/>
      <c r="C2620" s="10"/>
      <c r="D2620" s="10"/>
      <c r="E2620" s="10"/>
      <c r="F2620" s="11"/>
      <c r="G2620" s="11"/>
      <c r="H2620" s="11"/>
      <c r="I2620" s="11"/>
      <c r="J2620" s="11"/>
      <c r="K2620" s="11"/>
      <c r="L2620" s="12"/>
      <c r="M2620" s="11"/>
      <c r="N2620" s="11"/>
      <c r="O2620" s="13"/>
      <c r="P2620" s="14"/>
      <c r="Q2620" s="13"/>
      <c r="R2620" s="13"/>
      <c r="S2620" s="15"/>
      <c r="T2620" s="16"/>
      <c r="U2620" s="16"/>
      <c r="V2620" s="16"/>
      <c r="W2620" s="16"/>
      <c r="X2620" s="16"/>
      <c r="Y2620" s="11"/>
      <c r="Z2620" s="11"/>
      <c r="AA2620" s="11"/>
      <c r="AB2620" s="11"/>
      <c r="AC2620" s="11"/>
      <c r="AD2620" s="11"/>
    </row>
    <row r="2621">
      <c r="A2621" s="10"/>
      <c r="B2621" s="10"/>
      <c r="C2621" s="10"/>
      <c r="D2621" s="10"/>
      <c r="E2621" s="10"/>
      <c r="F2621" s="11"/>
      <c r="G2621" s="11"/>
      <c r="H2621" s="11"/>
      <c r="I2621" s="11"/>
      <c r="J2621" s="11"/>
      <c r="K2621" s="11"/>
      <c r="L2621" s="12"/>
      <c r="M2621" s="11"/>
      <c r="N2621" s="11"/>
      <c r="O2621" s="13"/>
      <c r="P2621" s="14"/>
      <c r="Q2621" s="13"/>
      <c r="R2621" s="13"/>
      <c r="S2621" s="15"/>
      <c r="T2621" s="16"/>
      <c r="U2621" s="16"/>
      <c r="V2621" s="16"/>
      <c r="W2621" s="16"/>
      <c r="X2621" s="16"/>
      <c r="Y2621" s="11"/>
      <c r="Z2621" s="11"/>
      <c r="AA2621" s="11"/>
      <c r="AB2621" s="11"/>
      <c r="AC2621" s="11"/>
      <c r="AD2621" s="11"/>
    </row>
    <row r="2622">
      <c r="A2622" s="10"/>
      <c r="B2622" s="10"/>
      <c r="C2622" s="10"/>
      <c r="D2622" s="10"/>
      <c r="E2622" s="10"/>
      <c r="F2622" s="11"/>
      <c r="G2622" s="11"/>
      <c r="H2622" s="11"/>
      <c r="I2622" s="11"/>
      <c r="J2622" s="11"/>
      <c r="K2622" s="11"/>
      <c r="L2622" s="12"/>
      <c r="M2622" s="11"/>
      <c r="N2622" s="11"/>
      <c r="O2622" s="13"/>
      <c r="P2622" s="14"/>
      <c r="Q2622" s="13"/>
      <c r="R2622" s="13"/>
      <c r="S2622" s="15"/>
      <c r="T2622" s="16"/>
      <c r="U2622" s="16"/>
      <c r="V2622" s="16"/>
      <c r="W2622" s="16"/>
      <c r="X2622" s="16"/>
      <c r="Y2622" s="11"/>
      <c r="Z2622" s="11"/>
      <c r="AA2622" s="11"/>
      <c r="AB2622" s="11"/>
      <c r="AC2622" s="11"/>
      <c r="AD2622" s="11"/>
    </row>
    <row r="2623">
      <c r="A2623" s="10"/>
      <c r="B2623" s="10"/>
      <c r="C2623" s="10"/>
      <c r="D2623" s="10"/>
      <c r="E2623" s="10"/>
      <c r="F2623" s="11"/>
      <c r="G2623" s="11"/>
      <c r="H2623" s="11"/>
      <c r="I2623" s="11"/>
      <c r="J2623" s="11"/>
      <c r="K2623" s="11"/>
      <c r="L2623" s="12"/>
      <c r="M2623" s="11"/>
      <c r="N2623" s="11"/>
      <c r="O2623" s="13"/>
      <c r="P2623" s="14"/>
      <c r="Q2623" s="13"/>
      <c r="R2623" s="13"/>
      <c r="S2623" s="15"/>
      <c r="T2623" s="16"/>
      <c r="U2623" s="16"/>
      <c r="V2623" s="16"/>
      <c r="W2623" s="16"/>
      <c r="X2623" s="16"/>
      <c r="Y2623" s="11"/>
      <c r="Z2623" s="11"/>
      <c r="AA2623" s="11"/>
      <c r="AB2623" s="11"/>
      <c r="AC2623" s="11"/>
      <c r="AD2623" s="11"/>
    </row>
    <row r="2624">
      <c r="A2624" s="10"/>
      <c r="B2624" s="10"/>
      <c r="C2624" s="10"/>
      <c r="D2624" s="10"/>
      <c r="E2624" s="10"/>
      <c r="F2624" s="11"/>
      <c r="G2624" s="11"/>
      <c r="H2624" s="11"/>
      <c r="I2624" s="11"/>
      <c r="J2624" s="11"/>
      <c r="K2624" s="11"/>
      <c r="L2624" s="12"/>
      <c r="M2624" s="11"/>
      <c r="N2624" s="11"/>
      <c r="O2624" s="13"/>
      <c r="P2624" s="14"/>
      <c r="Q2624" s="13"/>
      <c r="R2624" s="13"/>
      <c r="S2624" s="15"/>
      <c r="T2624" s="16"/>
      <c r="U2624" s="16"/>
      <c r="V2624" s="16"/>
      <c r="W2624" s="16"/>
      <c r="X2624" s="16"/>
      <c r="Y2624" s="11"/>
      <c r="Z2624" s="11"/>
      <c r="AA2624" s="11"/>
      <c r="AB2624" s="11"/>
      <c r="AC2624" s="11"/>
      <c r="AD2624" s="11"/>
    </row>
    <row r="2625">
      <c r="A2625" s="10"/>
      <c r="B2625" s="10"/>
      <c r="C2625" s="10"/>
      <c r="D2625" s="10"/>
      <c r="E2625" s="10"/>
      <c r="F2625" s="11"/>
      <c r="G2625" s="11"/>
      <c r="H2625" s="11"/>
      <c r="I2625" s="11"/>
      <c r="J2625" s="11"/>
      <c r="K2625" s="11"/>
      <c r="L2625" s="12"/>
      <c r="M2625" s="11"/>
      <c r="N2625" s="11"/>
      <c r="O2625" s="13"/>
      <c r="P2625" s="14"/>
      <c r="Q2625" s="13"/>
      <c r="R2625" s="13"/>
      <c r="S2625" s="15"/>
      <c r="T2625" s="16"/>
      <c r="U2625" s="16"/>
      <c r="V2625" s="16"/>
      <c r="W2625" s="16"/>
      <c r="X2625" s="16"/>
      <c r="Y2625" s="11"/>
      <c r="Z2625" s="11"/>
      <c r="AA2625" s="11"/>
      <c r="AB2625" s="11"/>
      <c r="AC2625" s="11"/>
      <c r="AD2625" s="11"/>
    </row>
    <row r="2626">
      <c r="A2626" s="10"/>
      <c r="B2626" s="10"/>
      <c r="C2626" s="10"/>
      <c r="D2626" s="10"/>
      <c r="E2626" s="10"/>
      <c r="F2626" s="11"/>
      <c r="G2626" s="11"/>
      <c r="H2626" s="11"/>
      <c r="I2626" s="11"/>
      <c r="J2626" s="11"/>
      <c r="K2626" s="11"/>
      <c r="L2626" s="12"/>
      <c r="M2626" s="11"/>
      <c r="N2626" s="11"/>
      <c r="O2626" s="13"/>
      <c r="P2626" s="14"/>
      <c r="Q2626" s="13"/>
      <c r="R2626" s="13"/>
      <c r="S2626" s="15"/>
      <c r="T2626" s="16"/>
      <c r="U2626" s="16"/>
      <c r="V2626" s="16"/>
      <c r="W2626" s="16"/>
      <c r="X2626" s="16"/>
      <c r="Y2626" s="11"/>
      <c r="Z2626" s="11"/>
      <c r="AA2626" s="11"/>
      <c r="AB2626" s="11"/>
      <c r="AC2626" s="11"/>
      <c r="AD2626" s="11"/>
    </row>
    <row r="2627">
      <c r="A2627" s="10"/>
      <c r="B2627" s="10"/>
      <c r="C2627" s="10"/>
      <c r="D2627" s="10"/>
      <c r="E2627" s="10"/>
      <c r="F2627" s="11"/>
      <c r="G2627" s="11"/>
      <c r="H2627" s="11"/>
      <c r="I2627" s="11"/>
      <c r="J2627" s="11"/>
      <c r="K2627" s="11"/>
      <c r="L2627" s="12"/>
      <c r="M2627" s="11"/>
      <c r="N2627" s="11"/>
      <c r="O2627" s="13"/>
      <c r="P2627" s="14"/>
      <c r="Q2627" s="13"/>
      <c r="R2627" s="13"/>
      <c r="S2627" s="15"/>
      <c r="T2627" s="16"/>
      <c r="U2627" s="16"/>
      <c r="V2627" s="16"/>
      <c r="W2627" s="16"/>
      <c r="X2627" s="16"/>
      <c r="Y2627" s="11"/>
      <c r="Z2627" s="11"/>
      <c r="AA2627" s="11"/>
      <c r="AB2627" s="11"/>
      <c r="AC2627" s="11"/>
      <c r="AD2627" s="11"/>
    </row>
    <row r="2628">
      <c r="A2628" s="10"/>
      <c r="B2628" s="10"/>
      <c r="C2628" s="10"/>
      <c r="D2628" s="10"/>
      <c r="E2628" s="10"/>
      <c r="F2628" s="11"/>
      <c r="G2628" s="11"/>
      <c r="H2628" s="11"/>
      <c r="I2628" s="11"/>
      <c r="J2628" s="11"/>
      <c r="K2628" s="11"/>
      <c r="L2628" s="12"/>
      <c r="M2628" s="11"/>
      <c r="N2628" s="11"/>
      <c r="O2628" s="13"/>
      <c r="P2628" s="14"/>
      <c r="Q2628" s="13"/>
      <c r="R2628" s="13"/>
      <c r="S2628" s="15"/>
      <c r="T2628" s="16"/>
      <c r="U2628" s="16"/>
      <c r="V2628" s="16"/>
      <c r="W2628" s="16"/>
      <c r="X2628" s="16"/>
      <c r="Y2628" s="11"/>
      <c r="Z2628" s="11"/>
      <c r="AA2628" s="11"/>
      <c r="AB2628" s="11"/>
      <c r="AC2628" s="11"/>
      <c r="AD2628" s="11"/>
    </row>
    <row r="2629">
      <c r="A2629" s="10"/>
      <c r="B2629" s="10"/>
      <c r="C2629" s="10"/>
      <c r="D2629" s="10"/>
      <c r="E2629" s="10"/>
      <c r="F2629" s="11"/>
      <c r="G2629" s="11"/>
      <c r="H2629" s="11"/>
      <c r="I2629" s="11"/>
      <c r="J2629" s="11"/>
      <c r="K2629" s="11"/>
      <c r="L2629" s="12"/>
      <c r="M2629" s="11"/>
      <c r="N2629" s="11"/>
      <c r="O2629" s="13"/>
      <c r="P2629" s="14"/>
      <c r="Q2629" s="13"/>
      <c r="R2629" s="13"/>
      <c r="S2629" s="15"/>
      <c r="T2629" s="16"/>
      <c r="U2629" s="16"/>
      <c r="V2629" s="16"/>
      <c r="W2629" s="16"/>
      <c r="X2629" s="16"/>
      <c r="Y2629" s="11"/>
      <c r="Z2629" s="11"/>
      <c r="AA2629" s="11"/>
      <c r="AB2629" s="11"/>
      <c r="AC2629" s="11"/>
      <c r="AD2629" s="11"/>
    </row>
    <row r="2630">
      <c r="A2630" s="10"/>
      <c r="B2630" s="10"/>
      <c r="C2630" s="10"/>
      <c r="D2630" s="10"/>
      <c r="E2630" s="10"/>
      <c r="F2630" s="11"/>
      <c r="G2630" s="11"/>
      <c r="H2630" s="11"/>
      <c r="I2630" s="11"/>
      <c r="J2630" s="11"/>
      <c r="K2630" s="11"/>
      <c r="L2630" s="12"/>
      <c r="M2630" s="11"/>
      <c r="N2630" s="11"/>
      <c r="O2630" s="13"/>
      <c r="P2630" s="14"/>
      <c r="Q2630" s="13"/>
      <c r="R2630" s="13"/>
      <c r="S2630" s="15"/>
      <c r="T2630" s="16"/>
      <c r="U2630" s="16"/>
      <c r="V2630" s="16"/>
      <c r="W2630" s="16"/>
      <c r="X2630" s="16"/>
      <c r="Y2630" s="11"/>
      <c r="Z2630" s="11"/>
      <c r="AA2630" s="11"/>
      <c r="AB2630" s="11"/>
      <c r="AC2630" s="11"/>
      <c r="AD2630" s="11"/>
    </row>
    <row r="2631">
      <c r="A2631" s="10"/>
      <c r="B2631" s="10"/>
      <c r="C2631" s="10"/>
      <c r="D2631" s="10"/>
      <c r="E2631" s="10"/>
      <c r="F2631" s="11"/>
      <c r="G2631" s="11"/>
      <c r="H2631" s="11"/>
      <c r="I2631" s="11"/>
      <c r="J2631" s="11"/>
      <c r="K2631" s="11"/>
      <c r="L2631" s="12"/>
      <c r="M2631" s="11"/>
      <c r="N2631" s="11"/>
      <c r="O2631" s="13"/>
      <c r="P2631" s="14"/>
      <c r="Q2631" s="13"/>
      <c r="R2631" s="13"/>
      <c r="S2631" s="15"/>
      <c r="T2631" s="16"/>
      <c r="U2631" s="16"/>
      <c r="V2631" s="16"/>
      <c r="W2631" s="16"/>
      <c r="X2631" s="16"/>
      <c r="Y2631" s="11"/>
      <c r="Z2631" s="11"/>
      <c r="AA2631" s="11"/>
      <c r="AB2631" s="11"/>
      <c r="AC2631" s="11"/>
      <c r="AD2631" s="11"/>
    </row>
    <row r="2632">
      <c r="A2632" s="10"/>
      <c r="B2632" s="10"/>
      <c r="C2632" s="10"/>
      <c r="D2632" s="10"/>
      <c r="E2632" s="10"/>
      <c r="F2632" s="11"/>
      <c r="G2632" s="11"/>
      <c r="H2632" s="11"/>
      <c r="I2632" s="11"/>
      <c r="J2632" s="11"/>
      <c r="K2632" s="11"/>
      <c r="L2632" s="12"/>
      <c r="M2632" s="11"/>
      <c r="N2632" s="11"/>
      <c r="O2632" s="13"/>
      <c r="P2632" s="14"/>
      <c r="Q2632" s="13"/>
      <c r="R2632" s="13"/>
      <c r="S2632" s="15"/>
      <c r="T2632" s="16"/>
      <c r="U2632" s="16"/>
      <c r="V2632" s="16"/>
      <c r="W2632" s="16"/>
      <c r="X2632" s="16"/>
      <c r="Y2632" s="11"/>
      <c r="Z2632" s="11"/>
      <c r="AA2632" s="11"/>
      <c r="AB2632" s="11"/>
      <c r="AC2632" s="11"/>
      <c r="AD2632" s="11"/>
    </row>
    <row r="2633">
      <c r="A2633" s="10"/>
      <c r="B2633" s="10"/>
      <c r="C2633" s="10"/>
      <c r="D2633" s="10"/>
      <c r="E2633" s="10"/>
      <c r="F2633" s="11"/>
      <c r="G2633" s="11"/>
      <c r="H2633" s="11"/>
      <c r="I2633" s="11"/>
      <c r="J2633" s="11"/>
      <c r="K2633" s="11"/>
      <c r="L2633" s="12"/>
      <c r="M2633" s="11"/>
      <c r="N2633" s="11"/>
      <c r="O2633" s="13"/>
      <c r="P2633" s="14"/>
      <c r="Q2633" s="13"/>
      <c r="R2633" s="13"/>
      <c r="S2633" s="15"/>
      <c r="T2633" s="16"/>
      <c r="U2633" s="16"/>
      <c r="V2633" s="16"/>
      <c r="W2633" s="16"/>
      <c r="X2633" s="16"/>
      <c r="Y2633" s="11"/>
      <c r="Z2633" s="11"/>
      <c r="AA2633" s="11"/>
      <c r="AB2633" s="11"/>
      <c r="AC2633" s="11"/>
      <c r="AD2633" s="11"/>
    </row>
    <row r="2634">
      <c r="A2634" s="10"/>
      <c r="B2634" s="10"/>
      <c r="C2634" s="10"/>
      <c r="D2634" s="10"/>
      <c r="E2634" s="10"/>
      <c r="F2634" s="11"/>
      <c r="G2634" s="11"/>
      <c r="H2634" s="11"/>
      <c r="I2634" s="11"/>
      <c r="J2634" s="11"/>
      <c r="K2634" s="11"/>
      <c r="L2634" s="12"/>
      <c r="M2634" s="11"/>
      <c r="N2634" s="11"/>
      <c r="O2634" s="13"/>
      <c r="P2634" s="14"/>
      <c r="Q2634" s="13"/>
      <c r="R2634" s="13"/>
      <c r="S2634" s="15"/>
      <c r="T2634" s="16"/>
      <c r="U2634" s="16"/>
      <c r="V2634" s="16"/>
      <c r="W2634" s="16"/>
      <c r="X2634" s="16"/>
      <c r="Y2634" s="11"/>
      <c r="Z2634" s="11"/>
      <c r="AA2634" s="11"/>
      <c r="AB2634" s="11"/>
      <c r="AC2634" s="11"/>
      <c r="AD2634" s="11"/>
    </row>
    <row r="2635">
      <c r="A2635" s="10"/>
      <c r="B2635" s="10"/>
      <c r="C2635" s="10"/>
      <c r="D2635" s="10"/>
      <c r="E2635" s="10"/>
      <c r="F2635" s="11"/>
      <c r="G2635" s="11"/>
      <c r="H2635" s="11"/>
      <c r="I2635" s="11"/>
      <c r="J2635" s="11"/>
      <c r="K2635" s="11"/>
      <c r="L2635" s="12"/>
      <c r="M2635" s="11"/>
      <c r="N2635" s="11"/>
      <c r="O2635" s="13"/>
      <c r="P2635" s="14"/>
      <c r="Q2635" s="13"/>
      <c r="R2635" s="13"/>
      <c r="S2635" s="15"/>
      <c r="T2635" s="16"/>
      <c r="U2635" s="16"/>
      <c r="V2635" s="16"/>
      <c r="W2635" s="16"/>
      <c r="X2635" s="16"/>
      <c r="Y2635" s="11"/>
      <c r="Z2635" s="11"/>
      <c r="AA2635" s="11"/>
      <c r="AB2635" s="11"/>
      <c r="AC2635" s="11"/>
      <c r="AD2635" s="11"/>
    </row>
    <row r="2636">
      <c r="A2636" s="10"/>
      <c r="B2636" s="10"/>
      <c r="C2636" s="10"/>
      <c r="D2636" s="10"/>
      <c r="E2636" s="10"/>
      <c r="F2636" s="11"/>
      <c r="G2636" s="11"/>
      <c r="H2636" s="11"/>
      <c r="I2636" s="11"/>
      <c r="J2636" s="11"/>
      <c r="K2636" s="11"/>
      <c r="L2636" s="12"/>
      <c r="M2636" s="11"/>
      <c r="N2636" s="11"/>
      <c r="O2636" s="13"/>
      <c r="P2636" s="14"/>
      <c r="Q2636" s="13"/>
      <c r="R2636" s="13"/>
      <c r="S2636" s="15"/>
      <c r="T2636" s="16"/>
      <c r="U2636" s="16"/>
      <c r="V2636" s="16"/>
      <c r="W2636" s="16"/>
      <c r="X2636" s="16"/>
      <c r="Y2636" s="11"/>
      <c r="Z2636" s="11"/>
      <c r="AA2636" s="11"/>
      <c r="AB2636" s="11"/>
      <c r="AC2636" s="11"/>
      <c r="AD2636" s="11"/>
    </row>
    <row r="2637">
      <c r="A2637" s="10"/>
      <c r="B2637" s="10"/>
      <c r="C2637" s="10"/>
      <c r="D2637" s="10"/>
      <c r="E2637" s="10"/>
      <c r="F2637" s="11"/>
      <c r="G2637" s="11"/>
      <c r="H2637" s="11"/>
      <c r="I2637" s="11"/>
      <c r="J2637" s="11"/>
      <c r="K2637" s="11"/>
      <c r="L2637" s="12"/>
      <c r="M2637" s="11"/>
      <c r="N2637" s="11"/>
      <c r="O2637" s="13"/>
      <c r="P2637" s="14"/>
      <c r="Q2637" s="13"/>
      <c r="R2637" s="13"/>
      <c r="S2637" s="15"/>
      <c r="T2637" s="16"/>
      <c r="U2637" s="16"/>
      <c r="V2637" s="16"/>
      <c r="W2637" s="16"/>
      <c r="X2637" s="16"/>
      <c r="Y2637" s="11"/>
      <c r="Z2637" s="11"/>
      <c r="AA2637" s="11"/>
      <c r="AB2637" s="11"/>
      <c r="AC2637" s="11"/>
      <c r="AD2637" s="11"/>
    </row>
    <row r="2638">
      <c r="A2638" s="10"/>
      <c r="B2638" s="10"/>
      <c r="C2638" s="10"/>
      <c r="D2638" s="10"/>
      <c r="E2638" s="10"/>
      <c r="F2638" s="11"/>
      <c r="G2638" s="11"/>
      <c r="H2638" s="11"/>
      <c r="I2638" s="11"/>
      <c r="J2638" s="11"/>
      <c r="K2638" s="11"/>
      <c r="L2638" s="12"/>
      <c r="M2638" s="11"/>
      <c r="N2638" s="11"/>
      <c r="O2638" s="13"/>
      <c r="P2638" s="14"/>
      <c r="Q2638" s="13"/>
      <c r="R2638" s="13"/>
      <c r="S2638" s="15"/>
      <c r="T2638" s="16"/>
      <c r="U2638" s="16"/>
      <c r="V2638" s="16"/>
      <c r="W2638" s="16"/>
      <c r="X2638" s="16"/>
      <c r="Y2638" s="11"/>
      <c r="Z2638" s="11"/>
      <c r="AA2638" s="11"/>
      <c r="AB2638" s="11"/>
      <c r="AC2638" s="11"/>
      <c r="AD2638" s="11"/>
    </row>
    <row r="2639">
      <c r="A2639" s="10"/>
      <c r="B2639" s="10"/>
      <c r="C2639" s="10"/>
      <c r="D2639" s="10"/>
      <c r="E2639" s="10"/>
      <c r="F2639" s="11"/>
      <c r="G2639" s="11"/>
      <c r="H2639" s="11"/>
      <c r="I2639" s="11"/>
      <c r="J2639" s="11"/>
      <c r="K2639" s="11"/>
      <c r="L2639" s="12"/>
      <c r="M2639" s="11"/>
      <c r="N2639" s="11"/>
      <c r="O2639" s="13"/>
      <c r="P2639" s="14"/>
      <c r="Q2639" s="13"/>
      <c r="R2639" s="13"/>
      <c r="S2639" s="15"/>
      <c r="T2639" s="16"/>
      <c r="U2639" s="16"/>
      <c r="V2639" s="16"/>
      <c r="W2639" s="16"/>
      <c r="X2639" s="16"/>
      <c r="Y2639" s="11"/>
      <c r="Z2639" s="11"/>
      <c r="AA2639" s="11"/>
      <c r="AB2639" s="11"/>
      <c r="AC2639" s="11"/>
      <c r="AD2639" s="11"/>
    </row>
    <row r="2640">
      <c r="A2640" s="10"/>
      <c r="B2640" s="10"/>
      <c r="C2640" s="10"/>
      <c r="D2640" s="10"/>
      <c r="E2640" s="10"/>
      <c r="F2640" s="11"/>
      <c r="G2640" s="11"/>
      <c r="H2640" s="11"/>
      <c r="I2640" s="11"/>
      <c r="J2640" s="11"/>
      <c r="K2640" s="11"/>
      <c r="L2640" s="12"/>
      <c r="M2640" s="11"/>
      <c r="N2640" s="11"/>
      <c r="O2640" s="13"/>
      <c r="P2640" s="14"/>
      <c r="Q2640" s="13"/>
      <c r="R2640" s="13"/>
      <c r="S2640" s="15"/>
      <c r="T2640" s="16"/>
      <c r="U2640" s="16"/>
      <c r="V2640" s="16"/>
      <c r="W2640" s="16"/>
      <c r="X2640" s="16"/>
      <c r="Y2640" s="11"/>
      <c r="Z2640" s="11"/>
      <c r="AA2640" s="11"/>
      <c r="AB2640" s="11"/>
      <c r="AC2640" s="11"/>
      <c r="AD2640" s="11"/>
    </row>
    <row r="2641">
      <c r="A2641" s="10"/>
      <c r="B2641" s="10"/>
      <c r="C2641" s="10"/>
      <c r="D2641" s="10"/>
      <c r="E2641" s="10"/>
      <c r="F2641" s="11"/>
      <c r="G2641" s="11"/>
      <c r="H2641" s="11"/>
      <c r="I2641" s="11"/>
      <c r="J2641" s="11"/>
      <c r="K2641" s="11"/>
      <c r="L2641" s="12"/>
      <c r="M2641" s="11"/>
      <c r="N2641" s="11"/>
      <c r="O2641" s="13"/>
      <c r="P2641" s="14"/>
      <c r="Q2641" s="13"/>
      <c r="R2641" s="13"/>
      <c r="S2641" s="15"/>
      <c r="T2641" s="16"/>
      <c r="U2641" s="16"/>
      <c r="V2641" s="16"/>
      <c r="W2641" s="16"/>
      <c r="X2641" s="16"/>
      <c r="Y2641" s="11"/>
      <c r="Z2641" s="11"/>
      <c r="AA2641" s="11"/>
      <c r="AB2641" s="11"/>
      <c r="AC2641" s="11"/>
      <c r="AD2641" s="11"/>
    </row>
    <row r="2642">
      <c r="A2642" s="10"/>
      <c r="B2642" s="10"/>
      <c r="C2642" s="10"/>
      <c r="D2642" s="10"/>
      <c r="E2642" s="10"/>
      <c r="F2642" s="11"/>
      <c r="G2642" s="11"/>
      <c r="H2642" s="11"/>
      <c r="I2642" s="11"/>
      <c r="J2642" s="11"/>
      <c r="K2642" s="11"/>
      <c r="L2642" s="12"/>
      <c r="M2642" s="11"/>
      <c r="N2642" s="11"/>
      <c r="O2642" s="13"/>
      <c r="P2642" s="14"/>
      <c r="Q2642" s="13"/>
      <c r="R2642" s="13"/>
      <c r="S2642" s="15"/>
      <c r="T2642" s="16"/>
      <c r="U2642" s="16"/>
      <c r="V2642" s="16"/>
      <c r="W2642" s="16"/>
      <c r="X2642" s="16"/>
      <c r="Y2642" s="11"/>
      <c r="Z2642" s="11"/>
      <c r="AA2642" s="11"/>
      <c r="AB2642" s="11"/>
      <c r="AC2642" s="11"/>
      <c r="AD2642" s="11"/>
    </row>
    <row r="2643">
      <c r="A2643" s="10"/>
      <c r="B2643" s="10"/>
      <c r="C2643" s="10"/>
      <c r="D2643" s="10"/>
      <c r="E2643" s="10"/>
      <c r="F2643" s="11"/>
      <c r="G2643" s="11"/>
      <c r="H2643" s="11"/>
      <c r="I2643" s="11"/>
      <c r="J2643" s="11"/>
      <c r="K2643" s="11"/>
      <c r="L2643" s="12"/>
      <c r="M2643" s="11"/>
      <c r="N2643" s="11"/>
      <c r="O2643" s="13"/>
      <c r="P2643" s="14"/>
      <c r="Q2643" s="13"/>
      <c r="R2643" s="13"/>
      <c r="S2643" s="15"/>
      <c r="T2643" s="16"/>
      <c r="U2643" s="16"/>
      <c r="V2643" s="16"/>
      <c r="W2643" s="16"/>
      <c r="X2643" s="16"/>
      <c r="Y2643" s="11"/>
      <c r="Z2643" s="11"/>
      <c r="AA2643" s="11"/>
      <c r="AB2643" s="11"/>
      <c r="AC2643" s="11"/>
      <c r="AD2643" s="11"/>
    </row>
    <row r="2644">
      <c r="A2644" s="10"/>
      <c r="B2644" s="10"/>
      <c r="C2644" s="10"/>
      <c r="D2644" s="10"/>
      <c r="E2644" s="10"/>
      <c r="F2644" s="11"/>
      <c r="G2644" s="11"/>
      <c r="H2644" s="11"/>
      <c r="I2644" s="11"/>
      <c r="J2644" s="11"/>
      <c r="K2644" s="11"/>
      <c r="L2644" s="12"/>
      <c r="M2644" s="11"/>
      <c r="N2644" s="11"/>
      <c r="O2644" s="13"/>
      <c r="P2644" s="14"/>
      <c r="Q2644" s="13"/>
      <c r="R2644" s="13"/>
      <c r="S2644" s="15"/>
      <c r="T2644" s="16"/>
      <c r="U2644" s="16"/>
      <c r="V2644" s="16"/>
      <c r="W2644" s="16"/>
      <c r="X2644" s="16"/>
      <c r="Y2644" s="11"/>
      <c r="Z2644" s="11"/>
      <c r="AA2644" s="11"/>
      <c r="AB2644" s="11"/>
      <c r="AC2644" s="11"/>
      <c r="AD2644" s="11"/>
    </row>
    <row r="2645">
      <c r="A2645" s="10"/>
      <c r="B2645" s="10"/>
      <c r="C2645" s="10"/>
      <c r="D2645" s="10"/>
      <c r="E2645" s="10"/>
      <c r="F2645" s="11"/>
      <c r="G2645" s="11"/>
      <c r="H2645" s="11"/>
      <c r="I2645" s="11"/>
      <c r="J2645" s="11"/>
      <c r="K2645" s="11"/>
      <c r="L2645" s="12"/>
      <c r="M2645" s="11"/>
      <c r="N2645" s="11"/>
      <c r="O2645" s="13"/>
      <c r="P2645" s="14"/>
      <c r="Q2645" s="13"/>
      <c r="R2645" s="13"/>
      <c r="S2645" s="15"/>
      <c r="T2645" s="16"/>
      <c r="U2645" s="16"/>
      <c r="V2645" s="16"/>
      <c r="W2645" s="16"/>
      <c r="X2645" s="16"/>
      <c r="Y2645" s="11"/>
      <c r="Z2645" s="11"/>
      <c r="AA2645" s="11"/>
      <c r="AB2645" s="11"/>
      <c r="AC2645" s="11"/>
      <c r="AD2645" s="11"/>
    </row>
    <row r="2646">
      <c r="A2646" s="10"/>
      <c r="B2646" s="10"/>
      <c r="C2646" s="10"/>
      <c r="D2646" s="10"/>
      <c r="E2646" s="10"/>
      <c r="F2646" s="11"/>
      <c r="G2646" s="11"/>
      <c r="H2646" s="11"/>
      <c r="I2646" s="11"/>
      <c r="J2646" s="11"/>
      <c r="K2646" s="11"/>
      <c r="L2646" s="12"/>
      <c r="M2646" s="11"/>
      <c r="N2646" s="11"/>
      <c r="O2646" s="13"/>
      <c r="P2646" s="14"/>
      <c r="Q2646" s="13"/>
      <c r="R2646" s="13"/>
      <c r="S2646" s="15"/>
      <c r="T2646" s="16"/>
      <c r="U2646" s="16"/>
      <c r="V2646" s="16"/>
      <c r="W2646" s="16"/>
      <c r="X2646" s="16"/>
      <c r="Y2646" s="11"/>
      <c r="Z2646" s="11"/>
      <c r="AA2646" s="11"/>
      <c r="AB2646" s="11"/>
      <c r="AC2646" s="11"/>
      <c r="AD2646" s="11"/>
    </row>
    <row r="2647">
      <c r="A2647" s="10"/>
      <c r="B2647" s="10"/>
      <c r="C2647" s="10"/>
      <c r="D2647" s="10"/>
      <c r="E2647" s="10"/>
      <c r="F2647" s="11"/>
      <c r="G2647" s="11"/>
      <c r="H2647" s="11"/>
      <c r="I2647" s="11"/>
      <c r="J2647" s="11"/>
      <c r="K2647" s="11"/>
      <c r="L2647" s="12"/>
      <c r="M2647" s="11"/>
      <c r="N2647" s="11"/>
      <c r="O2647" s="13"/>
      <c r="P2647" s="14"/>
      <c r="Q2647" s="13"/>
      <c r="R2647" s="13"/>
      <c r="S2647" s="15"/>
      <c r="T2647" s="16"/>
      <c r="U2647" s="16"/>
      <c r="V2647" s="16"/>
      <c r="W2647" s="16"/>
      <c r="X2647" s="16"/>
      <c r="Y2647" s="11"/>
      <c r="Z2647" s="11"/>
      <c r="AA2647" s="11"/>
      <c r="AB2647" s="11"/>
      <c r="AC2647" s="11"/>
      <c r="AD2647" s="11"/>
    </row>
    <row r="2648">
      <c r="A2648" s="10"/>
      <c r="B2648" s="10"/>
      <c r="C2648" s="10"/>
      <c r="D2648" s="10"/>
      <c r="E2648" s="10"/>
      <c r="F2648" s="11"/>
      <c r="G2648" s="11"/>
      <c r="H2648" s="11"/>
      <c r="I2648" s="11"/>
      <c r="J2648" s="11"/>
      <c r="K2648" s="11"/>
      <c r="L2648" s="12"/>
      <c r="M2648" s="11"/>
      <c r="N2648" s="11"/>
      <c r="O2648" s="13"/>
      <c r="P2648" s="14"/>
      <c r="Q2648" s="13"/>
      <c r="R2648" s="13"/>
      <c r="S2648" s="15"/>
      <c r="T2648" s="16"/>
      <c r="U2648" s="16"/>
      <c r="V2648" s="16"/>
      <c r="W2648" s="16"/>
      <c r="X2648" s="16"/>
      <c r="Y2648" s="11"/>
      <c r="Z2648" s="11"/>
      <c r="AA2648" s="11"/>
      <c r="AB2648" s="11"/>
      <c r="AC2648" s="11"/>
      <c r="AD2648" s="11"/>
    </row>
    <row r="2649">
      <c r="A2649" s="10"/>
      <c r="B2649" s="10"/>
      <c r="C2649" s="10"/>
      <c r="D2649" s="10"/>
      <c r="E2649" s="10"/>
      <c r="F2649" s="11"/>
      <c r="G2649" s="11"/>
      <c r="H2649" s="11"/>
      <c r="I2649" s="11"/>
      <c r="J2649" s="11"/>
      <c r="K2649" s="11"/>
      <c r="L2649" s="12"/>
      <c r="M2649" s="11"/>
      <c r="N2649" s="11"/>
      <c r="O2649" s="13"/>
      <c r="P2649" s="14"/>
      <c r="Q2649" s="13"/>
      <c r="R2649" s="13"/>
      <c r="S2649" s="15"/>
      <c r="T2649" s="16"/>
      <c r="U2649" s="16"/>
      <c r="V2649" s="16"/>
      <c r="W2649" s="16"/>
      <c r="X2649" s="16"/>
      <c r="Y2649" s="11"/>
      <c r="Z2649" s="11"/>
      <c r="AA2649" s="11"/>
      <c r="AB2649" s="11"/>
      <c r="AC2649" s="11"/>
      <c r="AD2649" s="11"/>
    </row>
    <row r="2650">
      <c r="A2650" s="10"/>
      <c r="B2650" s="10"/>
      <c r="C2650" s="10"/>
      <c r="D2650" s="10"/>
      <c r="E2650" s="10"/>
      <c r="F2650" s="11"/>
      <c r="G2650" s="11"/>
      <c r="H2650" s="11"/>
      <c r="I2650" s="11"/>
      <c r="J2650" s="11"/>
      <c r="K2650" s="11"/>
      <c r="L2650" s="12"/>
      <c r="M2650" s="11"/>
      <c r="N2650" s="11"/>
      <c r="O2650" s="13"/>
      <c r="P2650" s="14"/>
      <c r="Q2650" s="13"/>
      <c r="R2650" s="13"/>
      <c r="S2650" s="15"/>
      <c r="T2650" s="16"/>
      <c r="U2650" s="16"/>
      <c r="V2650" s="16"/>
      <c r="W2650" s="16"/>
      <c r="X2650" s="16"/>
      <c r="Y2650" s="11"/>
      <c r="Z2650" s="11"/>
      <c r="AA2650" s="11"/>
      <c r="AB2650" s="11"/>
      <c r="AC2650" s="11"/>
      <c r="AD2650" s="11"/>
    </row>
    <row r="2651">
      <c r="A2651" s="10"/>
      <c r="B2651" s="10"/>
      <c r="C2651" s="10"/>
      <c r="D2651" s="10"/>
      <c r="E2651" s="10"/>
      <c r="F2651" s="11"/>
      <c r="G2651" s="11"/>
      <c r="H2651" s="11"/>
      <c r="I2651" s="11"/>
      <c r="J2651" s="11"/>
      <c r="K2651" s="11"/>
      <c r="L2651" s="12"/>
      <c r="M2651" s="11"/>
      <c r="N2651" s="11"/>
      <c r="O2651" s="13"/>
      <c r="P2651" s="14"/>
      <c r="Q2651" s="13"/>
      <c r="R2651" s="13"/>
      <c r="S2651" s="15"/>
      <c r="T2651" s="16"/>
      <c r="U2651" s="16"/>
      <c r="V2651" s="16"/>
      <c r="W2651" s="16"/>
      <c r="X2651" s="16"/>
      <c r="Y2651" s="11"/>
      <c r="Z2651" s="11"/>
      <c r="AA2651" s="11"/>
      <c r="AB2651" s="11"/>
      <c r="AC2651" s="11"/>
      <c r="AD2651" s="11"/>
    </row>
    <row r="2652">
      <c r="A2652" s="10"/>
      <c r="B2652" s="10"/>
      <c r="C2652" s="10"/>
      <c r="D2652" s="10"/>
      <c r="E2652" s="10"/>
      <c r="F2652" s="11"/>
      <c r="G2652" s="11"/>
      <c r="H2652" s="11"/>
      <c r="I2652" s="11"/>
      <c r="J2652" s="11"/>
      <c r="K2652" s="11"/>
      <c r="L2652" s="12"/>
      <c r="M2652" s="11"/>
      <c r="N2652" s="11"/>
      <c r="O2652" s="13"/>
      <c r="P2652" s="14"/>
      <c r="Q2652" s="13"/>
      <c r="R2652" s="13"/>
      <c r="S2652" s="15"/>
      <c r="T2652" s="16"/>
      <c r="U2652" s="16"/>
      <c r="V2652" s="16"/>
      <c r="W2652" s="16"/>
      <c r="X2652" s="16"/>
      <c r="Y2652" s="11"/>
      <c r="Z2652" s="11"/>
      <c r="AA2652" s="11"/>
      <c r="AB2652" s="11"/>
      <c r="AC2652" s="11"/>
      <c r="AD2652" s="11"/>
    </row>
    <row r="2653">
      <c r="A2653" s="10"/>
      <c r="B2653" s="10"/>
      <c r="C2653" s="10"/>
      <c r="D2653" s="10"/>
      <c r="E2653" s="10"/>
      <c r="F2653" s="11"/>
      <c r="G2653" s="11"/>
      <c r="H2653" s="11"/>
      <c r="I2653" s="11"/>
      <c r="J2653" s="11"/>
      <c r="K2653" s="11"/>
      <c r="L2653" s="12"/>
      <c r="M2653" s="11"/>
      <c r="N2653" s="11"/>
      <c r="O2653" s="13"/>
      <c r="P2653" s="14"/>
      <c r="Q2653" s="13"/>
      <c r="R2653" s="13"/>
      <c r="S2653" s="15"/>
      <c r="T2653" s="16"/>
      <c r="U2653" s="16"/>
      <c r="V2653" s="16"/>
      <c r="W2653" s="16"/>
      <c r="X2653" s="16"/>
      <c r="Y2653" s="11"/>
      <c r="Z2653" s="11"/>
      <c r="AA2653" s="11"/>
      <c r="AB2653" s="11"/>
      <c r="AC2653" s="11"/>
      <c r="AD2653" s="11"/>
    </row>
    <row r="2654">
      <c r="A2654" s="10"/>
      <c r="B2654" s="10"/>
      <c r="C2654" s="10"/>
      <c r="D2654" s="10"/>
      <c r="E2654" s="10"/>
      <c r="F2654" s="11"/>
      <c r="G2654" s="11"/>
      <c r="H2654" s="11"/>
      <c r="I2654" s="11"/>
      <c r="J2654" s="11"/>
      <c r="K2654" s="11"/>
      <c r="L2654" s="12"/>
      <c r="M2654" s="11"/>
      <c r="N2654" s="11"/>
      <c r="O2654" s="13"/>
      <c r="P2654" s="14"/>
      <c r="Q2654" s="13"/>
      <c r="R2654" s="13"/>
      <c r="S2654" s="15"/>
      <c r="T2654" s="16"/>
      <c r="U2654" s="16"/>
      <c r="V2654" s="16"/>
      <c r="W2654" s="16"/>
      <c r="X2654" s="16"/>
      <c r="Y2654" s="11"/>
      <c r="Z2654" s="11"/>
      <c r="AA2654" s="11"/>
      <c r="AB2654" s="11"/>
      <c r="AC2654" s="11"/>
      <c r="AD2654" s="11"/>
    </row>
    <row r="2655">
      <c r="A2655" s="10"/>
      <c r="B2655" s="10"/>
      <c r="C2655" s="10"/>
      <c r="D2655" s="10"/>
      <c r="E2655" s="10"/>
      <c r="F2655" s="11"/>
      <c r="G2655" s="11"/>
      <c r="H2655" s="11"/>
      <c r="I2655" s="11"/>
      <c r="J2655" s="11"/>
      <c r="K2655" s="11"/>
      <c r="L2655" s="12"/>
      <c r="M2655" s="11"/>
      <c r="N2655" s="11"/>
      <c r="O2655" s="13"/>
      <c r="P2655" s="14"/>
      <c r="Q2655" s="13"/>
      <c r="R2655" s="13"/>
      <c r="S2655" s="15"/>
      <c r="T2655" s="16"/>
      <c r="U2655" s="16"/>
      <c r="V2655" s="16"/>
      <c r="W2655" s="16"/>
      <c r="X2655" s="16"/>
      <c r="Y2655" s="11"/>
      <c r="Z2655" s="11"/>
      <c r="AA2655" s="11"/>
      <c r="AB2655" s="11"/>
      <c r="AC2655" s="11"/>
      <c r="AD2655" s="11"/>
    </row>
    <row r="2656">
      <c r="A2656" s="10"/>
      <c r="B2656" s="10"/>
      <c r="C2656" s="10"/>
      <c r="D2656" s="10"/>
      <c r="E2656" s="10"/>
      <c r="F2656" s="11"/>
      <c r="G2656" s="11"/>
      <c r="H2656" s="11"/>
      <c r="I2656" s="11"/>
      <c r="J2656" s="11"/>
      <c r="K2656" s="11"/>
      <c r="L2656" s="12"/>
      <c r="M2656" s="11"/>
      <c r="N2656" s="11"/>
      <c r="O2656" s="13"/>
      <c r="P2656" s="14"/>
      <c r="Q2656" s="13"/>
      <c r="R2656" s="13"/>
      <c r="S2656" s="15"/>
      <c r="T2656" s="16"/>
      <c r="U2656" s="16"/>
      <c r="V2656" s="16"/>
      <c r="W2656" s="16"/>
      <c r="X2656" s="16"/>
      <c r="Y2656" s="11"/>
      <c r="Z2656" s="11"/>
      <c r="AA2656" s="11"/>
      <c r="AB2656" s="11"/>
      <c r="AC2656" s="11"/>
      <c r="AD2656" s="11"/>
    </row>
    <row r="2657">
      <c r="A2657" s="10"/>
      <c r="B2657" s="10"/>
      <c r="C2657" s="10"/>
      <c r="D2657" s="10"/>
      <c r="E2657" s="10"/>
      <c r="F2657" s="11"/>
      <c r="G2657" s="11"/>
      <c r="H2657" s="11"/>
      <c r="I2657" s="11"/>
      <c r="J2657" s="11"/>
      <c r="K2657" s="11"/>
      <c r="L2657" s="12"/>
      <c r="M2657" s="11"/>
      <c r="N2657" s="11"/>
      <c r="O2657" s="13"/>
      <c r="P2657" s="14"/>
      <c r="Q2657" s="13"/>
      <c r="R2657" s="13"/>
      <c r="S2657" s="15"/>
      <c r="T2657" s="16"/>
      <c r="U2657" s="16"/>
      <c r="V2657" s="16"/>
      <c r="W2657" s="16"/>
      <c r="X2657" s="16"/>
      <c r="Y2657" s="11"/>
      <c r="Z2657" s="11"/>
      <c r="AA2657" s="11"/>
      <c r="AB2657" s="11"/>
      <c r="AC2657" s="11"/>
      <c r="AD2657" s="11"/>
    </row>
    <row r="2658">
      <c r="A2658" s="10"/>
      <c r="B2658" s="10"/>
      <c r="C2658" s="10"/>
      <c r="D2658" s="10"/>
      <c r="E2658" s="10"/>
      <c r="F2658" s="11"/>
      <c r="G2658" s="11"/>
      <c r="H2658" s="11"/>
      <c r="I2658" s="11"/>
      <c r="J2658" s="11"/>
      <c r="K2658" s="11"/>
      <c r="L2658" s="12"/>
      <c r="M2658" s="11"/>
      <c r="N2658" s="11"/>
      <c r="O2658" s="13"/>
      <c r="P2658" s="14"/>
      <c r="Q2658" s="13"/>
      <c r="R2658" s="13"/>
      <c r="S2658" s="15"/>
      <c r="T2658" s="16"/>
      <c r="U2658" s="16"/>
      <c r="V2658" s="16"/>
      <c r="W2658" s="16"/>
      <c r="X2658" s="16"/>
      <c r="Y2658" s="11"/>
      <c r="Z2658" s="11"/>
      <c r="AA2658" s="11"/>
      <c r="AB2658" s="11"/>
      <c r="AC2658" s="11"/>
      <c r="AD2658" s="11"/>
    </row>
    <row r="2659">
      <c r="A2659" s="10"/>
      <c r="B2659" s="10"/>
      <c r="C2659" s="10"/>
      <c r="D2659" s="10"/>
      <c r="E2659" s="10"/>
      <c r="F2659" s="11"/>
      <c r="G2659" s="11"/>
      <c r="H2659" s="11"/>
      <c r="I2659" s="11"/>
      <c r="J2659" s="11"/>
      <c r="K2659" s="11"/>
      <c r="L2659" s="12"/>
      <c r="M2659" s="11"/>
      <c r="N2659" s="11"/>
      <c r="O2659" s="13"/>
      <c r="P2659" s="14"/>
      <c r="Q2659" s="13"/>
      <c r="R2659" s="13"/>
      <c r="S2659" s="15"/>
      <c r="T2659" s="16"/>
      <c r="U2659" s="16"/>
      <c r="V2659" s="16"/>
      <c r="W2659" s="16"/>
      <c r="X2659" s="16"/>
      <c r="Y2659" s="11"/>
      <c r="Z2659" s="11"/>
      <c r="AA2659" s="11"/>
      <c r="AB2659" s="11"/>
      <c r="AC2659" s="11"/>
      <c r="AD2659" s="11"/>
    </row>
    <row r="2660">
      <c r="A2660" s="10"/>
      <c r="B2660" s="10"/>
      <c r="C2660" s="10"/>
      <c r="D2660" s="10"/>
      <c r="E2660" s="10"/>
      <c r="F2660" s="11"/>
      <c r="G2660" s="11"/>
      <c r="H2660" s="11"/>
      <c r="I2660" s="11"/>
      <c r="J2660" s="11"/>
      <c r="K2660" s="11"/>
      <c r="L2660" s="12"/>
      <c r="M2660" s="11"/>
      <c r="N2660" s="11"/>
      <c r="O2660" s="13"/>
      <c r="P2660" s="14"/>
      <c r="Q2660" s="13"/>
      <c r="R2660" s="13"/>
      <c r="S2660" s="15"/>
      <c r="T2660" s="16"/>
      <c r="U2660" s="16"/>
      <c r="V2660" s="16"/>
      <c r="W2660" s="16"/>
      <c r="X2660" s="16"/>
      <c r="Y2660" s="11"/>
      <c r="Z2660" s="11"/>
      <c r="AA2660" s="11"/>
      <c r="AB2660" s="11"/>
      <c r="AC2660" s="11"/>
      <c r="AD2660" s="11"/>
    </row>
    <row r="2661">
      <c r="A2661" s="10"/>
      <c r="B2661" s="10"/>
      <c r="C2661" s="10"/>
      <c r="D2661" s="10"/>
      <c r="E2661" s="10"/>
      <c r="F2661" s="11"/>
      <c r="G2661" s="11"/>
      <c r="H2661" s="11"/>
      <c r="I2661" s="11"/>
      <c r="J2661" s="11"/>
      <c r="K2661" s="11"/>
      <c r="L2661" s="12"/>
      <c r="M2661" s="11"/>
      <c r="N2661" s="11"/>
      <c r="O2661" s="13"/>
      <c r="P2661" s="14"/>
      <c r="Q2661" s="13"/>
      <c r="R2661" s="13"/>
      <c r="S2661" s="15"/>
      <c r="T2661" s="16"/>
      <c r="U2661" s="16"/>
      <c r="V2661" s="16"/>
      <c r="W2661" s="16"/>
      <c r="X2661" s="16"/>
      <c r="Y2661" s="11"/>
      <c r="Z2661" s="11"/>
      <c r="AA2661" s="11"/>
      <c r="AB2661" s="11"/>
      <c r="AC2661" s="11"/>
      <c r="AD2661" s="11"/>
    </row>
    <row r="2662">
      <c r="A2662" s="10"/>
      <c r="B2662" s="10"/>
      <c r="C2662" s="10"/>
      <c r="D2662" s="10"/>
      <c r="E2662" s="10"/>
      <c r="F2662" s="11"/>
      <c r="G2662" s="11"/>
      <c r="H2662" s="11"/>
      <c r="I2662" s="11"/>
      <c r="J2662" s="11"/>
      <c r="K2662" s="11"/>
      <c r="L2662" s="12"/>
      <c r="M2662" s="11"/>
      <c r="N2662" s="11"/>
      <c r="O2662" s="13"/>
      <c r="P2662" s="14"/>
      <c r="Q2662" s="13"/>
      <c r="R2662" s="13"/>
      <c r="S2662" s="15"/>
      <c r="T2662" s="16"/>
      <c r="U2662" s="16"/>
      <c r="V2662" s="16"/>
      <c r="W2662" s="16"/>
      <c r="X2662" s="16"/>
      <c r="Y2662" s="11"/>
      <c r="Z2662" s="11"/>
      <c r="AA2662" s="11"/>
      <c r="AB2662" s="11"/>
      <c r="AC2662" s="11"/>
      <c r="AD2662" s="11"/>
    </row>
    <row r="2663">
      <c r="A2663" s="10"/>
      <c r="B2663" s="10"/>
      <c r="C2663" s="10"/>
      <c r="D2663" s="10"/>
      <c r="E2663" s="10"/>
      <c r="F2663" s="11"/>
      <c r="G2663" s="11"/>
      <c r="H2663" s="11"/>
      <c r="I2663" s="11"/>
      <c r="J2663" s="11"/>
      <c r="K2663" s="11"/>
      <c r="L2663" s="12"/>
      <c r="M2663" s="11"/>
      <c r="N2663" s="11"/>
      <c r="O2663" s="13"/>
      <c r="P2663" s="14"/>
      <c r="Q2663" s="13"/>
      <c r="R2663" s="13"/>
      <c r="S2663" s="15"/>
      <c r="T2663" s="16"/>
      <c r="U2663" s="16"/>
      <c r="V2663" s="16"/>
      <c r="W2663" s="16"/>
      <c r="X2663" s="16"/>
      <c r="Y2663" s="11"/>
      <c r="Z2663" s="11"/>
      <c r="AA2663" s="11"/>
      <c r="AB2663" s="11"/>
      <c r="AC2663" s="11"/>
      <c r="AD2663" s="11"/>
    </row>
    <row r="2664">
      <c r="A2664" s="10"/>
      <c r="B2664" s="10"/>
      <c r="C2664" s="10"/>
      <c r="D2664" s="10"/>
      <c r="E2664" s="10"/>
      <c r="F2664" s="11"/>
      <c r="G2664" s="11"/>
      <c r="H2664" s="11"/>
      <c r="I2664" s="11"/>
      <c r="J2664" s="11"/>
      <c r="K2664" s="11"/>
      <c r="L2664" s="12"/>
      <c r="M2664" s="11"/>
      <c r="N2664" s="11"/>
      <c r="O2664" s="13"/>
      <c r="P2664" s="14"/>
      <c r="Q2664" s="13"/>
      <c r="R2664" s="13"/>
      <c r="S2664" s="15"/>
      <c r="T2664" s="16"/>
      <c r="U2664" s="16"/>
      <c r="V2664" s="16"/>
      <c r="W2664" s="16"/>
      <c r="X2664" s="16"/>
      <c r="Y2664" s="11"/>
      <c r="Z2664" s="11"/>
      <c r="AA2664" s="11"/>
      <c r="AB2664" s="11"/>
      <c r="AC2664" s="11"/>
      <c r="AD2664" s="11"/>
    </row>
    <row r="2665">
      <c r="A2665" s="10"/>
      <c r="B2665" s="10"/>
      <c r="C2665" s="10"/>
      <c r="D2665" s="10"/>
      <c r="E2665" s="10"/>
      <c r="F2665" s="11"/>
      <c r="G2665" s="11"/>
      <c r="H2665" s="11"/>
      <c r="I2665" s="11"/>
      <c r="J2665" s="11"/>
      <c r="K2665" s="11"/>
      <c r="L2665" s="12"/>
      <c r="M2665" s="11"/>
      <c r="N2665" s="11"/>
      <c r="O2665" s="13"/>
      <c r="P2665" s="14"/>
      <c r="Q2665" s="13"/>
      <c r="R2665" s="13"/>
      <c r="S2665" s="15"/>
      <c r="T2665" s="16"/>
      <c r="U2665" s="16"/>
      <c r="V2665" s="16"/>
      <c r="W2665" s="16"/>
      <c r="X2665" s="16"/>
      <c r="Y2665" s="11"/>
      <c r="Z2665" s="11"/>
      <c r="AA2665" s="11"/>
      <c r="AB2665" s="11"/>
      <c r="AC2665" s="11"/>
      <c r="AD2665" s="11"/>
    </row>
    <row r="2666">
      <c r="A2666" s="10"/>
      <c r="B2666" s="10"/>
      <c r="C2666" s="10"/>
      <c r="D2666" s="10"/>
      <c r="E2666" s="10"/>
      <c r="F2666" s="11"/>
      <c r="G2666" s="11"/>
      <c r="H2666" s="11"/>
      <c r="I2666" s="11"/>
      <c r="J2666" s="11"/>
      <c r="K2666" s="11"/>
      <c r="L2666" s="12"/>
      <c r="M2666" s="11"/>
      <c r="N2666" s="11"/>
      <c r="O2666" s="13"/>
      <c r="P2666" s="14"/>
      <c r="Q2666" s="13"/>
      <c r="R2666" s="13"/>
      <c r="S2666" s="15"/>
      <c r="T2666" s="16"/>
      <c r="U2666" s="16"/>
      <c r="V2666" s="16"/>
      <c r="W2666" s="16"/>
      <c r="X2666" s="16"/>
      <c r="Y2666" s="11"/>
      <c r="Z2666" s="11"/>
      <c r="AA2666" s="11"/>
      <c r="AB2666" s="11"/>
      <c r="AC2666" s="11"/>
      <c r="AD2666" s="11"/>
    </row>
    <row r="2667">
      <c r="A2667" s="10"/>
      <c r="B2667" s="10"/>
      <c r="C2667" s="10"/>
      <c r="D2667" s="10"/>
      <c r="E2667" s="10"/>
      <c r="F2667" s="11"/>
      <c r="G2667" s="11"/>
      <c r="H2667" s="11"/>
      <c r="I2667" s="11"/>
      <c r="J2667" s="11"/>
      <c r="K2667" s="11"/>
      <c r="L2667" s="12"/>
      <c r="M2667" s="11"/>
      <c r="N2667" s="11"/>
      <c r="O2667" s="13"/>
      <c r="P2667" s="14"/>
      <c r="Q2667" s="13"/>
      <c r="R2667" s="13"/>
      <c r="S2667" s="15"/>
      <c r="T2667" s="16"/>
      <c r="U2667" s="16"/>
      <c r="V2667" s="16"/>
      <c r="W2667" s="16"/>
      <c r="X2667" s="16"/>
      <c r="Y2667" s="11"/>
      <c r="Z2667" s="11"/>
      <c r="AA2667" s="11"/>
      <c r="AB2667" s="11"/>
      <c r="AC2667" s="11"/>
      <c r="AD2667" s="11"/>
    </row>
    <row r="2668">
      <c r="A2668" s="10"/>
      <c r="B2668" s="10"/>
      <c r="C2668" s="10"/>
      <c r="D2668" s="10"/>
      <c r="E2668" s="10"/>
      <c r="F2668" s="11"/>
      <c r="G2668" s="11"/>
      <c r="H2668" s="11"/>
      <c r="I2668" s="11"/>
      <c r="J2668" s="11"/>
      <c r="K2668" s="11"/>
      <c r="L2668" s="12"/>
      <c r="M2668" s="11"/>
      <c r="N2668" s="11"/>
      <c r="O2668" s="13"/>
      <c r="P2668" s="14"/>
      <c r="Q2668" s="13"/>
      <c r="R2668" s="13"/>
      <c r="S2668" s="15"/>
      <c r="T2668" s="16"/>
      <c r="U2668" s="16"/>
      <c r="V2668" s="16"/>
      <c r="W2668" s="16"/>
      <c r="X2668" s="16"/>
      <c r="Y2668" s="11"/>
      <c r="Z2668" s="11"/>
      <c r="AA2668" s="11"/>
      <c r="AB2668" s="11"/>
      <c r="AC2668" s="11"/>
      <c r="AD2668" s="11"/>
    </row>
    <row r="2669">
      <c r="A2669" s="10"/>
      <c r="B2669" s="10"/>
      <c r="C2669" s="10"/>
      <c r="D2669" s="10"/>
      <c r="E2669" s="10"/>
      <c r="F2669" s="11"/>
      <c r="G2669" s="11"/>
      <c r="H2669" s="11"/>
      <c r="I2669" s="11"/>
      <c r="J2669" s="11"/>
      <c r="K2669" s="11"/>
      <c r="L2669" s="12"/>
      <c r="M2669" s="11"/>
      <c r="N2669" s="11"/>
      <c r="O2669" s="13"/>
      <c r="P2669" s="14"/>
      <c r="Q2669" s="13"/>
      <c r="R2669" s="13"/>
      <c r="S2669" s="15"/>
      <c r="T2669" s="16"/>
      <c r="U2669" s="16"/>
      <c r="V2669" s="16"/>
      <c r="W2669" s="16"/>
      <c r="X2669" s="16"/>
      <c r="Y2669" s="11"/>
      <c r="Z2669" s="11"/>
      <c r="AA2669" s="11"/>
      <c r="AB2669" s="11"/>
      <c r="AC2669" s="11"/>
      <c r="AD2669" s="11"/>
    </row>
    <row r="2670">
      <c r="A2670" s="10"/>
      <c r="B2670" s="10"/>
      <c r="C2670" s="10"/>
      <c r="D2670" s="10"/>
      <c r="E2670" s="10"/>
      <c r="F2670" s="11"/>
      <c r="G2670" s="11"/>
      <c r="H2670" s="11"/>
      <c r="I2670" s="11"/>
      <c r="J2670" s="11"/>
      <c r="K2670" s="11"/>
      <c r="L2670" s="12"/>
      <c r="M2670" s="11"/>
      <c r="N2670" s="11"/>
      <c r="O2670" s="13"/>
      <c r="P2670" s="14"/>
      <c r="Q2670" s="13"/>
      <c r="R2670" s="13"/>
      <c r="S2670" s="15"/>
      <c r="T2670" s="16"/>
      <c r="U2670" s="16"/>
      <c r="V2670" s="16"/>
      <c r="W2670" s="16"/>
      <c r="X2670" s="16"/>
      <c r="Y2670" s="11"/>
      <c r="Z2670" s="11"/>
      <c r="AA2670" s="11"/>
      <c r="AB2670" s="11"/>
      <c r="AC2670" s="11"/>
      <c r="AD2670" s="11"/>
    </row>
    <row r="2671">
      <c r="A2671" s="10"/>
      <c r="B2671" s="10"/>
      <c r="C2671" s="10"/>
      <c r="D2671" s="10"/>
      <c r="E2671" s="10"/>
      <c r="F2671" s="11"/>
      <c r="G2671" s="11"/>
      <c r="H2671" s="11"/>
      <c r="I2671" s="11"/>
      <c r="J2671" s="11"/>
      <c r="K2671" s="11"/>
      <c r="L2671" s="12"/>
      <c r="M2671" s="11"/>
      <c r="N2671" s="11"/>
      <c r="O2671" s="13"/>
      <c r="P2671" s="14"/>
      <c r="Q2671" s="13"/>
      <c r="R2671" s="13"/>
      <c r="S2671" s="15"/>
      <c r="T2671" s="16"/>
      <c r="U2671" s="16"/>
      <c r="V2671" s="16"/>
      <c r="W2671" s="16"/>
      <c r="X2671" s="16"/>
      <c r="Y2671" s="11"/>
      <c r="Z2671" s="11"/>
      <c r="AA2671" s="11"/>
      <c r="AB2671" s="11"/>
      <c r="AC2671" s="11"/>
      <c r="AD2671" s="11"/>
    </row>
    <row r="2672">
      <c r="A2672" s="10"/>
      <c r="B2672" s="10"/>
      <c r="C2672" s="10"/>
      <c r="D2672" s="10"/>
      <c r="E2672" s="10"/>
      <c r="F2672" s="11"/>
      <c r="G2672" s="11"/>
      <c r="H2672" s="11"/>
      <c r="I2672" s="11"/>
      <c r="J2672" s="11"/>
      <c r="K2672" s="11"/>
      <c r="L2672" s="12"/>
      <c r="M2672" s="11"/>
      <c r="N2672" s="11"/>
      <c r="O2672" s="13"/>
      <c r="P2672" s="14"/>
      <c r="Q2672" s="13"/>
      <c r="R2672" s="13"/>
      <c r="S2672" s="15"/>
      <c r="T2672" s="16"/>
      <c r="U2672" s="16"/>
      <c r="V2672" s="16"/>
      <c r="W2672" s="16"/>
      <c r="X2672" s="16"/>
      <c r="Y2672" s="11"/>
      <c r="Z2672" s="11"/>
      <c r="AA2672" s="11"/>
      <c r="AB2672" s="11"/>
      <c r="AC2672" s="11"/>
      <c r="AD2672" s="11"/>
    </row>
    <row r="2673">
      <c r="A2673" s="10"/>
      <c r="B2673" s="10"/>
      <c r="C2673" s="10"/>
      <c r="D2673" s="10"/>
      <c r="E2673" s="10"/>
      <c r="F2673" s="11"/>
      <c r="G2673" s="11"/>
      <c r="H2673" s="11"/>
      <c r="I2673" s="11"/>
      <c r="J2673" s="11"/>
      <c r="K2673" s="11"/>
      <c r="L2673" s="12"/>
      <c r="M2673" s="11"/>
      <c r="N2673" s="11"/>
      <c r="O2673" s="13"/>
      <c r="P2673" s="14"/>
      <c r="Q2673" s="13"/>
      <c r="R2673" s="13"/>
      <c r="S2673" s="15"/>
      <c r="T2673" s="16"/>
      <c r="U2673" s="16"/>
      <c r="V2673" s="16"/>
      <c r="W2673" s="16"/>
      <c r="X2673" s="16"/>
      <c r="Y2673" s="11"/>
      <c r="Z2673" s="11"/>
      <c r="AA2673" s="11"/>
      <c r="AB2673" s="11"/>
      <c r="AC2673" s="11"/>
      <c r="AD2673" s="11"/>
    </row>
    <row r="2674">
      <c r="A2674" s="10"/>
      <c r="B2674" s="10"/>
      <c r="C2674" s="10"/>
      <c r="D2674" s="10"/>
      <c r="E2674" s="10"/>
      <c r="F2674" s="11"/>
      <c r="G2674" s="11"/>
      <c r="H2674" s="11"/>
      <c r="I2674" s="11"/>
      <c r="J2674" s="11"/>
      <c r="K2674" s="11"/>
      <c r="L2674" s="12"/>
      <c r="M2674" s="11"/>
      <c r="N2674" s="11"/>
      <c r="O2674" s="13"/>
      <c r="P2674" s="14"/>
      <c r="Q2674" s="13"/>
      <c r="R2674" s="13"/>
      <c r="S2674" s="15"/>
      <c r="T2674" s="16"/>
      <c r="U2674" s="16"/>
      <c r="V2674" s="16"/>
      <c r="W2674" s="16"/>
      <c r="X2674" s="16"/>
      <c r="Y2674" s="11"/>
      <c r="Z2674" s="11"/>
      <c r="AA2674" s="11"/>
      <c r="AB2674" s="11"/>
      <c r="AC2674" s="11"/>
      <c r="AD2674" s="11"/>
    </row>
    <row r="2675">
      <c r="A2675" s="10"/>
      <c r="B2675" s="10"/>
      <c r="C2675" s="10"/>
      <c r="D2675" s="10"/>
      <c r="E2675" s="10"/>
      <c r="F2675" s="11"/>
      <c r="G2675" s="11"/>
      <c r="H2675" s="11"/>
      <c r="I2675" s="11"/>
      <c r="J2675" s="11"/>
      <c r="K2675" s="11"/>
      <c r="L2675" s="12"/>
      <c r="M2675" s="11"/>
      <c r="N2675" s="11"/>
      <c r="O2675" s="13"/>
      <c r="P2675" s="14"/>
      <c r="Q2675" s="13"/>
      <c r="R2675" s="13"/>
      <c r="S2675" s="15"/>
      <c r="T2675" s="16"/>
      <c r="U2675" s="16"/>
      <c r="V2675" s="16"/>
      <c r="W2675" s="16"/>
      <c r="X2675" s="16"/>
      <c r="Y2675" s="11"/>
      <c r="Z2675" s="11"/>
      <c r="AA2675" s="11"/>
      <c r="AB2675" s="11"/>
      <c r="AC2675" s="11"/>
      <c r="AD2675" s="11"/>
    </row>
    <row r="2676">
      <c r="A2676" s="10"/>
      <c r="B2676" s="10"/>
      <c r="C2676" s="10"/>
      <c r="D2676" s="10"/>
      <c r="E2676" s="10"/>
      <c r="F2676" s="11"/>
      <c r="G2676" s="11"/>
      <c r="H2676" s="11"/>
      <c r="I2676" s="11"/>
      <c r="J2676" s="11"/>
      <c r="K2676" s="11"/>
      <c r="L2676" s="12"/>
      <c r="M2676" s="11"/>
      <c r="N2676" s="11"/>
      <c r="O2676" s="13"/>
      <c r="P2676" s="14"/>
      <c r="Q2676" s="13"/>
      <c r="R2676" s="13"/>
      <c r="S2676" s="15"/>
      <c r="T2676" s="16"/>
      <c r="U2676" s="16"/>
      <c r="V2676" s="16"/>
      <c r="W2676" s="16"/>
      <c r="X2676" s="16"/>
      <c r="Y2676" s="11"/>
      <c r="Z2676" s="11"/>
      <c r="AA2676" s="11"/>
      <c r="AB2676" s="11"/>
      <c r="AC2676" s="11"/>
      <c r="AD2676" s="11"/>
    </row>
    <row r="2677">
      <c r="A2677" s="10"/>
      <c r="B2677" s="10"/>
      <c r="C2677" s="10"/>
      <c r="D2677" s="10"/>
      <c r="E2677" s="10"/>
      <c r="F2677" s="11"/>
      <c r="G2677" s="11"/>
      <c r="H2677" s="11"/>
      <c r="I2677" s="11"/>
      <c r="J2677" s="11"/>
      <c r="K2677" s="11"/>
      <c r="L2677" s="12"/>
      <c r="M2677" s="11"/>
      <c r="N2677" s="11"/>
      <c r="O2677" s="13"/>
      <c r="P2677" s="14"/>
      <c r="Q2677" s="13"/>
      <c r="R2677" s="13"/>
      <c r="S2677" s="15"/>
      <c r="T2677" s="16"/>
      <c r="U2677" s="16"/>
      <c r="V2677" s="16"/>
      <c r="W2677" s="16"/>
      <c r="X2677" s="16"/>
      <c r="Y2677" s="11"/>
      <c r="Z2677" s="11"/>
      <c r="AA2677" s="11"/>
      <c r="AB2677" s="11"/>
      <c r="AC2677" s="11"/>
      <c r="AD2677" s="11"/>
    </row>
    <row r="2678">
      <c r="A2678" s="10"/>
      <c r="B2678" s="10"/>
      <c r="C2678" s="10"/>
      <c r="D2678" s="10"/>
      <c r="E2678" s="10"/>
      <c r="F2678" s="11"/>
      <c r="G2678" s="11"/>
      <c r="H2678" s="11"/>
      <c r="I2678" s="11"/>
      <c r="J2678" s="11"/>
      <c r="K2678" s="11"/>
      <c r="L2678" s="12"/>
      <c r="M2678" s="11"/>
      <c r="N2678" s="11"/>
      <c r="O2678" s="13"/>
      <c r="P2678" s="14"/>
      <c r="Q2678" s="13"/>
      <c r="R2678" s="13"/>
      <c r="S2678" s="15"/>
      <c r="T2678" s="16"/>
      <c r="U2678" s="16"/>
      <c r="V2678" s="16"/>
      <c r="W2678" s="16"/>
      <c r="X2678" s="16"/>
      <c r="Y2678" s="11"/>
      <c r="Z2678" s="11"/>
      <c r="AA2678" s="11"/>
      <c r="AB2678" s="11"/>
      <c r="AC2678" s="11"/>
      <c r="AD2678" s="11"/>
    </row>
    <row r="2679">
      <c r="A2679" s="10"/>
      <c r="B2679" s="10"/>
      <c r="C2679" s="10"/>
      <c r="D2679" s="10"/>
      <c r="E2679" s="10"/>
      <c r="F2679" s="11"/>
      <c r="G2679" s="11"/>
      <c r="H2679" s="11"/>
      <c r="I2679" s="11"/>
      <c r="J2679" s="11"/>
      <c r="K2679" s="11"/>
      <c r="L2679" s="12"/>
      <c r="M2679" s="11"/>
      <c r="N2679" s="11"/>
      <c r="O2679" s="13"/>
      <c r="P2679" s="14"/>
      <c r="Q2679" s="13"/>
      <c r="R2679" s="13"/>
      <c r="S2679" s="15"/>
      <c r="T2679" s="16"/>
      <c r="U2679" s="16"/>
      <c r="V2679" s="16"/>
      <c r="W2679" s="16"/>
      <c r="X2679" s="16"/>
      <c r="Y2679" s="11"/>
      <c r="Z2679" s="11"/>
      <c r="AA2679" s="11"/>
      <c r="AB2679" s="11"/>
      <c r="AC2679" s="11"/>
      <c r="AD2679" s="11"/>
    </row>
    <row r="2680">
      <c r="A2680" s="10"/>
      <c r="B2680" s="10"/>
      <c r="C2680" s="10"/>
      <c r="D2680" s="10"/>
      <c r="E2680" s="10"/>
      <c r="F2680" s="11"/>
      <c r="G2680" s="11"/>
      <c r="H2680" s="11"/>
      <c r="I2680" s="11"/>
      <c r="J2680" s="11"/>
      <c r="K2680" s="11"/>
      <c r="L2680" s="12"/>
      <c r="M2680" s="11"/>
      <c r="N2680" s="11"/>
      <c r="O2680" s="13"/>
      <c r="P2680" s="14"/>
      <c r="Q2680" s="13"/>
      <c r="R2680" s="13"/>
      <c r="S2680" s="15"/>
      <c r="T2680" s="16"/>
      <c r="U2680" s="16"/>
      <c r="V2680" s="16"/>
      <c r="W2680" s="16"/>
      <c r="X2680" s="16"/>
      <c r="Y2680" s="11"/>
      <c r="Z2680" s="11"/>
      <c r="AA2680" s="11"/>
      <c r="AB2680" s="11"/>
      <c r="AC2680" s="11"/>
      <c r="AD2680" s="11"/>
    </row>
    <row r="2681">
      <c r="A2681" s="10"/>
      <c r="B2681" s="10"/>
      <c r="C2681" s="10"/>
      <c r="D2681" s="10"/>
      <c r="E2681" s="10"/>
      <c r="F2681" s="11"/>
      <c r="G2681" s="11"/>
      <c r="H2681" s="11"/>
      <c r="I2681" s="11"/>
      <c r="J2681" s="11"/>
      <c r="K2681" s="11"/>
      <c r="L2681" s="12"/>
      <c r="M2681" s="11"/>
      <c r="N2681" s="11"/>
      <c r="O2681" s="13"/>
      <c r="P2681" s="14"/>
      <c r="Q2681" s="13"/>
      <c r="R2681" s="13"/>
      <c r="S2681" s="15"/>
      <c r="T2681" s="16"/>
      <c r="U2681" s="16"/>
      <c r="V2681" s="16"/>
      <c r="W2681" s="16"/>
      <c r="X2681" s="16"/>
      <c r="Y2681" s="11"/>
      <c r="Z2681" s="11"/>
      <c r="AA2681" s="11"/>
      <c r="AB2681" s="11"/>
      <c r="AC2681" s="11"/>
      <c r="AD2681" s="11"/>
    </row>
    <row r="2682">
      <c r="A2682" s="10"/>
      <c r="B2682" s="10"/>
      <c r="C2682" s="10"/>
      <c r="D2682" s="10"/>
      <c r="E2682" s="10"/>
      <c r="F2682" s="11"/>
      <c r="G2682" s="11"/>
      <c r="H2682" s="11"/>
      <c r="I2682" s="11"/>
      <c r="J2682" s="11"/>
      <c r="K2682" s="11"/>
      <c r="L2682" s="12"/>
      <c r="M2682" s="11"/>
      <c r="N2682" s="11"/>
      <c r="O2682" s="13"/>
      <c r="P2682" s="14"/>
      <c r="Q2682" s="13"/>
      <c r="R2682" s="13"/>
      <c r="S2682" s="15"/>
      <c r="T2682" s="16"/>
      <c r="U2682" s="16"/>
      <c r="V2682" s="16"/>
      <c r="W2682" s="16"/>
      <c r="X2682" s="16"/>
      <c r="Y2682" s="11"/>
      <c r="Z2682" s="11"/>
      <c r="AA2682" s="11"/>
      <c r="AB2682" s="11"/>
      <c r="AC2682" s="11"/>
      <c r="AD2682" s="11"/>
    </row>
    <row r="2683">
      <c r="A2683" s="10"/>
      <c r="B2683" s="10"/>
      <c r="C2683" s="10"/>
      <c r="D2683" s="10"/>
      <c r="E2683" s="10"/>
      <c r="F2683" s="11"/>
      <c r="G2683" s="11"/>
      <c r="H2683" s="11"/>
      <c r="I2683" s="11"/>
      <c r="J2683" s="11"/>
      <c r="K2683" s="11"/>
      <c r="L2683" s="12"/>
      <c r="M2683" s="11"/>
      <c r="N2683" s="11"/>
      <c r="O2683" s="13"/>
      <c r="P2683" s="14"/>
      <c r="Q2683" s="13"/>
      <c r="R2683" s="13"/>
      <c r="S2683" s="15"/>
      <c r="T2683" s="16"/>
      <c r="U2683" s="16"/>
      <c r="V2683" s="16"/>
      <c r="W2683" s="16"/>
      <c r="X2683" s="16"/>
      <c r="Y2683" s="11"/>
      <c r="Z2683" s="11"/>
      <c r="AA2683" s="11"/>
      <c r="AB2683" s="11"/>
      <c r="AC2683" s="11"/>
      <c r="AD2683" s="11"/>
    </row>
    <row r="2684">
      <c r="A2684" s="10"/>
      <c r="B2684" s="10"/>
      <c r="C2684" s="10"/>
      <c r="D2684" s="10"/>
      <c r="E2684" s="10"/>
      <c r="F2684" s="11"/>
      <c r="G2684" s="11"/>
      <c r="H2684" s="11"/>
      <c r="I2684" s="11"/>
      <c r="J2684" s="11"/>
      <c r="K2684" s="11"/>
      <c r="L2684" s="12"/>
      <c r="M2684" s="11"/>
      <c r="N2684" s="11"/>
      <c r="O2684" s="13"/>
      <c r="P2684" s="14"/>
      <c r="Q2684" s="13"/>
      <c r="R2684" s="13"/>
      <c r="S2684" s="15"/>
      <c r="T2684" s="16"/>
      <c r="U2684" s="16"/>
      <c r="V2684" s="16"/>
      <c r="W2684" s="16"/>
      <c r="X2684" s="16"/>
      <c r="Y2684" s="11"/>
      <c r="Z2684" s="11"/>
      <c r="AA2684" s="11"/>
      <c r="AB2684" s="11"/>
      <c r="AC2684" s="11"/>
      <c r="AD2684" s="11"/>
    </row>
    <row r="2685">
      <c r="A2685" s="10"/>
      <c r="B2685" s="10"/>
      <c r="C2685" s="10"/>
      <c r="D2685" s="10"/>
      <c r="E2685" s="10"/>
      <c r="F2685" s="11"/>
      <c r="G2685" s="11"/>
      <c r="H2685" s="11"/>
      <c r="I2685" s="11"/>
      <c r="J2685" s="11"/>
      <c r="K2685" s="11"/>
      <c r="L2685" s="12"/>
      <c r="M2685" s="11"/>
      <c r="N2685" s="11"/>
      <c r="O2685" s="13"/>
      <c r="P2685" s="14"/>
      <c r="Q2685" s="13"/>
      <c r="R2685" s="13"/>
      <c r="S2685" s="15"/>
      <c r="T2685" s="16"/>
      <c r="U2685" s="16"/>
      <c r="V2685" s="16"/>
      <c r="W2685" s="16"/>
      <c r="X2685" s="16"/>
      <c r="Y2685" s="11"/>
      <c r="Z2685" s="11"/>
      <c r="AA2685" s="11"/>
      <c r="AB2685" s="11"/>
      <c r="AC2685" s="11"/>
      <c r="AD2685" s="11"/>
    </row>
    <row r="2686">
      <c r="A2686" s="10"/>
      <c r="B2686" s="10"/>
      <c r="C2686" s="10"/>
      <c r="D2686" s="10"/>
      <c r="E2686" s="10"/>
      <c r="F2686" s="11"/>
      <c r="G2686" s="11"/>
      <c r="H2686" s="11"/>
      <c r="I2686" s="11"/>
      <c r="J2686" s="11"/>
      <c r="K2686" s="11"/>
      <c r="L2686" s="12"/>
      <c r="M2686" s="11"/>
      <c r="N2686" s="11"/>
      <c r="O2686" s="13"/>
      <c r="P2686" s="14"/>
      <c r="Q2686" s="13"/>
      <c r="R2686" s="13"/>
      <c r="S2686" s="15"/>
      <c r="T2686" s="16"/>
      <c r="U2686" s="16"/>
      <c r="V2686" s="16"/>
      <c r="W2686" s="16"/>
      <c r="X2686" s="16"/>
      <c r="Y2686" s="11"/>
      <c r="Z2686" s="11"/>
      <c r="AA2686" s="11"/>
      <c r="AB2686" s="11"/>
      <c r="AC2686" s="11"/>
      <c r="AD2686" s="11"/>
    </row>
    <row r="2687">
      <c r="A2687" s="10"/>
      <c r="B2687" s="10"/>
      <c r="C2687" s="10"/>
      <c r="D2687" s="10"/>
      <c r="E2687" s="10"/>
      <c r="F2687" s="11"/>
      <c r="G2687" s="11"/>
      <c r="H2687" s="11"/>
      <c r="I2687" s="11"/>
      <c r="J2687" s="11"/>
      <c r="K2687" s="11"/>
      <c r="L2687" s="12"/>
      <c r="M2687" s="11"/>
      <c r="N2687" s="11"/>
      <c r="O2687" s="13"/>
      <c r="P2687" s="14"/>
      <c r="Q2687" s="13"/>
      <c r="R2687" s="13"/>
      <c r="S2687" s="15"/>
      <c r="T2687" s="16"/>
      <c r="U2687" s="16"/>
      <c r="V2687" s="16"/>
      <c r="W2687" s="16"/>
      <c r="X2687" s="16"/>
      <c r="Y2687" s="11"/>
      <c r="Z2687" s="11"/>
      <c r="AA2687" s="11"/>
      <c r="AB2687" s="11"/>
      <c r="AC2687" s="11"/>
      <c r="AD2687" s="11"/>
    </row>
    <row r="2688">
      <c r="A2688" s="10"/>
      <c r="B2688" s="10"/>
      <c r="C2688" s="10"/>
      <c r="D2688" s="10"/>
      <c r="E2688" s="10"/>
      <c r="F2688" s="11"/>
      <c r="G2688" s="11"/>
      <c r="H2688" s="11"/>
      <c r="I2688" s="11"/>
      <c r="J2688" s="11"/>
      <c r="K2688" s="11"/>
      <c r="L2688" s="12"/>
      <c r="M2688" s="11"/>
      <c r="N2688" s="11"/>
      <c r="O2688" s="13"/>
      <c r="P2688" s="14"/>
      <c r="Q2688" s="13"/>
      <c r="R2688" s="13"/>
      <c r="S2688" s="15"/>
      <c r="T2688" s="16"/>
      <c r="U2688" s="16"/>
      <c r="V2688" s="16"/>
      <c r="W2688" s="16"/>
      <c r="X2688" s="16"/>
      <c r="Y2688" s="11"/>
      <c r="Z2688" s="11"/>
      <c r="AA2688" s="11"/>
      <c r="AB2688" s="11"/>
      <c r="AC2688" s="11"/>
      <c r="AD2688" s="11"/>
    </row>
    <row r="2689">
      <c r="A2689" s="10"/>
      <c r="B2689" s="10"/>
      <c r="C2689" s="10"/>
      <c r="D2689" s="10"/>
      <c r="E2689" s="10"/>
      <c r="F2689" s="11"/>
      <c r="G2689" s="11"/>
      <c r="H2689" s="11"/>
      <c r="I2689" s="11"/>
      <c r="J2689" s="11"/>
      <c r="K2689" s="11"/>
      <c r="L2689" s="12"/>
      <c r="M2689" s="11"/>
      <c r="N2689" s="11"/>
      <c r="O2689" s="13"/>
      <c r="P2689" s="14"/>
      <c r="Q2689" s="13"/>
      <c r="R2689" s="13"/>
      <c r="S2689" s="15"/>
      <c r="T2689" s="16"/>
      <c r="U2689" s="16"/>
      <c r="V2689" s="16"/>
      <c r="W2689" s="16"/>
      <c r="X2689" s="16"/>
      <c r="Y2689" s="11"/>
      <c r="Z2689" s="11"/>
      <c r="AA2689" s="11"/>
      <c r="AB2689" s="11"/>
      <c r="AC2689" s="11"/>
      <c r="AD2689" s="11"/>
    </row>
    <row r="2690">
      <c r="A2690" s="10"/>
      <c r="B2690" s="10"/>
      <c r="C2690" s="10"/>
      <c r="D2690" s="10"/>
      <c r="E2690" s="10"/>
      <c r="F2690" s="11"/>
      <c r="G2690" s="11"/>
      <c r="H2690" s="11"/>
      <c r="I2690" s="11"/>
      <c r="J2690" s="11"/>
      <c r="K2690" s="11"/>
      <c r="L2690" s="12"/>
      <c r="M2690" s="11"/>
      <c r="N2690" s="11"/>
      <c r="O2690" s="13"/>
      <c r="P2690" s="14"/>
      <c r="Q2690" s="13"/>
      <c r="R2690" s="13"/>
      <c r="S2690" s="15"/>
      <c r="T2690" s="16"/>
      <c r="U2690" s="16"/>
      <c r="V2690" s="16"/>
      <c r="W2690" s="16"/>
      <c r="X2690" s="16"/>
      <c r="Y2690" s="11"/>
      <c r="Z2690" s="11"/>
      <c r="AA2690" s="11"/>
      <c r="AB2690" s="11"/>
      <c r="AC2690" s="11"/>
      <c r="AD2690" s="11"/>
    </row>
    <row r="2691">
      <c r="A2691" s="10"/>
      <c r="B2691" s="10"/>
      <c r="C2691" s="10"/>
      <c r="D2691" s="10"/>
      <c r="E2691" s="10"/>
      <c r="F2691" s="11"/>
      <c r="G2691" s="11"/>
      <c r="H2691" s="11"/>
      <c r="I2691" s="11"/>
      <c r="J2691" s="11"/>
      <c r="K2691" s="11"/>
      <c r="L2691" s="12"/>
      <c r="M2691" s="11"/>
      <c r="N2691" s="11"/>
      <c r="O2691" s="13"/>
      <c r="P2691" s="14"/>
      <c r="Q2691" s="13"/>
      <c r="R2691" s="13"/>
      <c r="S2691" s="15"/>
      <c r="T2691" s="16"/>
      <c r="U2691" s="16"/>
      <c r="V2691" s="16"/>
      <c r="W2691" s="16"/>
      <c r="X2691" s="16"/>
      <c r="Y2691" s="11"/>
      <c r="Z2691" s="11"/>
      <c r="AA2691" s="11"/>
      <c r="AB2691" s="11"/>
      <c r="AC2691" s="11"/>
      <c r="AD2691" s="11"/>
    </row>
    <row r="2692">
      <c r="A2692" s="10"/>
      <c r="B2692" s="10"/>
      <c r="C2692" s="10"/>
      <c r="D2692" s="10"/>
      <c r="E2692" s="10"/>
      <c r="F2692" s="11"/>
      <c r="G2692" s="11"/>
      <c r="H2692" s="11"/>
      <c r="I2692" s="11"/>
      <c r="J2692" s="11"/>
      <c r="K2692" s="11"/>
      <c r="L2692" s="12"/>
      <c r="M2692" s="11"/>
      <c r="N2692" s="11"/>
      <c r="O2692" s="13"/>
      <c r="P2692" s="14"/>
      <c r="Q2692" s="13"/>
      <c r="R2692" s="13"/>
      <c r="S2692" s="15"/>
      <c r="T2692" s="16"/>
      <c r="U2692" s="16"/>
      <c r="V2692" s="16"/>
      <c r="W2692" s="16"/>
      <c r="X2692" s="16"/>
      <c r="Y2692" s="11"/>
      <c r="Z2692" s="11"/>
      <c r="AA2692" s="11"/>
      <c r="AB2692" s="11"/>
      <c r="AC2692" s="11"/>
      <c r="AD2692" s="11"/>
    </row>
    <row r="2693">
      <c r="A2693" s="10"/>
      <c r="B2693" s="10"/>
      <c r="C2693" s="10"/>
      <c r="D2693" s="10"/>
      <c r="E2693" s="10"/>
      <c r="F2693" s="11"/>
      <c r="G2693" s="11"/>
      <c r="H2693" s="11"/>
      <c r="I2693" s="11"/>
      <c r="J2693" s="11"/>
      <c r="K2693" s="11"/>
      <c r="L2693" s="12"/>
      <c r="M2693" s="11"/>
      <c r="N2693" s="11"/>
      <c r="O2693" s="13"/>
      <c r="P2693" s="14"/>
      <c r="Q2693" s="13"/>
      <c r="R2693" s="13"/>
      <c r="S2693" s="15"/>
      <c r="T2693" s="16"/>
      <c r="U2693" s="16"/>
      <c r="V2693" s="16"/>
      <c r="W2693" s="16"/>
      <c r="X2693" s="16"/>
      <c r="Y2693" s="11"/>
      <c r="Z2693" s="11"/>
      <c r="AA2693" s="11"/>
      <c r="AB2693" s="11"/>
      <c r="AC2693" s="11"/>
      <c r="AD2693" s="11"/>
    </row>
    <row r="2694">
      <c r="A2694" s="10"/>
      <c r="B2694" s="10"/>
      <c r="C2694" s="10"/>
      <c r="D2694" s="10"/>
      <c r="E2694" s="10"/>
      <c r="F2694" s="11"/>
      <c r="G2694" s="11"/>
      <c r="H2694" s="11"/>
      <c r="I2694" s="11"/>
      <c r="J2694" s="11"/>
      <c r="K2694" s="11"/>
      <c r="L2694" s="12"/>
      <c r="M2694" s="11"/>
      <c r="N2694" s="11"/>
      <c r="O2694" s="13"/>
      <c r="P2694" s="14"/>
      <c r="Q2694" s="13"/>
      <c r="R2694" s="13"/>
      <c r="S2694" s="15"/>
      <c r="T2694" s="16"/>
      <c r="U2694" s="16"/>
      <c r="V2694" s="16"/>
      <c r="W2694" s="16"/>
      <c r="X2694" s="16"/>
      <c r="Y2694" s="11"/>
      <c r="Z2694" s="11"/>
      <c r="AA2694" s="11"/>
      <c r="AB2694" s="11"/>
      <c r="AC2694" s="11"/>
      <c r="AD2694" s="11"/>
    </row>
    <row r="2695">
      <c r="A2695" s="10"/>
      <c r="B2695" s="10"/>
      <c r="C2695" s="10"/>
      <c r="D2695" s="10"/>
      <c r="E2695" s="10"/>
      <c r="F2695" s="11"/>
      <c r="G2695" s="11"/>
      <c r="H2695" s="11"/>
      <c r="I2695" s="11"/>
      <c r="J2695" s="11"/>
      <c r="K2695" s="11"/>
      <c r="L2695" s="12"/>
      <c r="M2695" s="11"/>
      <c r="N2695" s="11"/>
      <c r="O2695" s="13"/>
      <c r="P2695" s="14"/>
      <c r="Q2695" s="13"/>
      <c r="R2695" s="13"/>
      <c r="S2695" s="15"/>
      <c r="T2695" s="16"/>
      <c r="U2695" s="16"/>
      <c r="V2695" s="16"/>
      <c r="W2695" s="16"/>
      <c r="X2695" s="16"/>
      <c r="Y2695" s="11"/>
      <c r="Z2695" s="11"/>
      <c r="AA2695" s="11"/>
      <c r="AB2695" s="11"/>
      <c r="AC2695" s="11"/>
      <c r="AD2695" s="11"/>
    </row>
    <row r="2696">
      <c r="A2696" s="10"/>
      <c r="B2696" s="10"/>
      <c r="C2696" s="10"/>
      <c r="D2696" s="10"/>
      <c r="E2696" s="10"/>
      <c r="F2696" s="11"/>
      <c r="G2696" s="11"/>
      <c r="H2696" s="11"/>
      <c r="I2696" s="11"/>
      <c r="J2696" s="11"/>
      <c r="K2696" s="11"/>
      <c r="L2696" s="12"/>
      <c r="M2696" s="11"/>
      <c r="N2696" s="11"/>
      <c r="O2696" s="13"/>
      <c r="P2696" s="14"/>
      <c r="Q2696" s="13"/>
      <c r="R2696" s="13"/>
      <c r="S2696" s="15"/>
      <c r="T2696" s="16"/>
      <c r="U2696" s="16"/>
      <c r="V2696" s="16"/>
      <c r="W2696" s="16"/>
      <c r="X2696" s="16"/>
      <c r="Y2696" s="11"/>
      <c r="Z2696" s="11"/>
      <c r="AA2696" s="11"/>
      <c r="AB2696" s="11"/>
      <c r="AC2696" s="11"/>
      <c r="AD2696" s="11"/>
    </row>
    <row r="2697">
      <c r="A2697" s="10"/>
      <c r="B2697" s="10"/>
      <c r="C2697" s="10"/>
      <c r="D2697" s="10"/>
      <c r="E2697" s="10"/>
      <c r="F2697" s="11"/>
      <c r="G2697" s="11"/>
      <c r="H2697" s="11"/>
      <c r="I2697" s="11"/>
      <c r="J2697" s="11"/>
      <c r="K2697" s="11"/>
      <c r="L2697" s="12"/>
      <c r="M2697" s="11"/>
      <c r="N2697" s="11"/>
      <c r="O2697" s="13"/>
      <c r="P2697" s="14"/>
      <c r="Q2697" s="13"/>
      <c r="R2697" s="13"/>
      <c r="S2697" s="15"/>
      <c r="T2697" s="16"/>
      <c r="U2697" s="16"/>
      <c r="V2697" s="16"/>
      <c r="W2697" s="16"/>
      <c r="X2697" s="16"/>
      <c r="Y2697" s="11"/>
      <c r="Z2697" s="11"/>
      <c r="AA2697" s="11"/>
      <c r="AB2697" s="11"/>
      <c r="AC2697" s="11"/>
      <c r="AD2697" s="11"/>
    </row>
    <row r="2698">
      <c r="A2698" s="10"/>
      <c r="B2698" s="10"/>
      <c r="C2698" s="10"/>
      <c r="D2698" s="10"/>
      <c r="E2698" s="10"/>
      <c r="F2698" s="11"/>
      <c r="G2698" s="11"/>
      <c r="H2698" s="11"/>
      <c r="I2698" s="11"/>
      <c r="J2698" s="11"/>
      <c r="K2698" s="11"/>
      <c r="L2698" s="12"/>
      <c r="M2698" s="11"/>
      <c r="N2698" s="11"/>
      <c r="O2698" s="13"/>
      <c r="P2698" s="14"/>
      <c r="Q2698" s="13"/>
      <c r="R2698" s="13"/>
      <c r="S2698" s="15"/>
      <c r="T2698" s="16"/>
      <c r="U2698" s="16"/>
      <c r="V2698" s="16"/>
      <c r="W2698" s="16"/>
      <c r="X2698" s="16"/>
      <c r="Y2698" s="11"/>
      <c r="Z2698" s="11"/>
      <c r="AA2698" s="11"/>
      <c r="AB2698" s="11"/>
      <c r="AC2698" s="11"/>
      <c r="AD2698" s="11"/>
    </row>
    <row r="2699">
      <c r="A2699" s="10"/>
      <c r="B2699" s="10"/>
      <c r="C2699" s="10"/>
      <c r="D2699" s="10"/>
      <c r="E2699" s="10"/>
      <c r="F2699" s="11"/>
      <c r="G2699" s="11"/>
      <c r="H2699" s="11"/>
      <c r="I2699" s="11"/>
      <c r="J2699" s="11"/>
      <c r="K2699" s="11"/>
      <c r="L2699" s="12"/>
      <c r="M2699" s="11"/>
      <c r="N2699" s="11"/>
      <c r="O2699" s="13"/>
      <c r="P2699" s="14"/>
      <c r="Q2699" s="13"/>
      <c r="R2699" s="13"/>
      <c r="S2699" s="15"/>
      <c r="T2699" s="16"/>
      <c r="U2699" s="16"/>
      <c r="V2699" s="16"/>
      <c r="W2699" s="16"/>
      <c r="X2699" s="16"/>
      <c r="Y2699" s="11"/>
      <c r="Z2699" s="11"/>
      <c r="AA2699" s="11"/>
      <c r="AB2699" s="11"/>
      <c r="AC2699" s="11"/>
      <c r="AD2699" s="11"/>
    </row>
    <row r="2700">
      <c r="A2700" s="10"/>
      <c r="B2700" s="10"/>
      <c r="C2700" s="10"/>
      <c r="D2700" s="10"/>
      <c r="E2700" s="10"/>
      <c r="F2700" s="11"/>
      <c r="G2700" s="11"/>
      <c r="H2700" s="11"/>
      <c r="I2700" s="11"/>
      <c r="J2700" s="11"/>
      <c r="K2700" s="11"/>
      <c r="L2700" s="12"/>
      <c r="M2700" s="11"/>
      <c r="N2700" s="11"/>
      <c r="O2700" s="13"/>
      <c r="P2700" s="14"/>
      <c r="Q2700" s="13"/>
      <c r="R2700" s="13"/>
      <c r="S2700" s="15"/>
      <c r="T2700" s="16"/>
      <c r="U2700" s="16"/>
      <c r="V2700" s="16"/>
      <c r="W2700" s="16"/>
      <c r="X2700" s="16"/>
      <c r="Y2700" s="11"/>
      <c r="Z2700" s="11"/>
      <c r="AA2700" s="11"/>
      <c r="AB2700" s="11"/>
      <c r="AC2700" s="11"/>
      <c r="AD2700" s="11"/>
    </row>
    <row r="2701">
      <c r="A2701" s="10"/>
      <c r="B2701" s="10"/>
      <c r="C2701" s="10"/>
      <c r="D2701" s="10"/>
      <c r="E2701" s="10"/>
      <c r="F2701" s="11"/>
      <c r="G2701" s="11"/>
      <c r="H2701" s="11"/>
      <c r="I2701" s="11"/>
      <c r="J2701" s="11"/>
      <c r="K2701" s="11"/>
      <c r="L2701" s="12"/>
      <c r="M2701" s="11"/>
      <c r="N2701" s="11"/>
      <c r="O2701" s="13"/>
      <c r="P2701" s="14"/>
      <c r="Q2701" s="13"/>
      <c r="R2701" s="13"/>
      <c r="S2701" s="15"/>
      <c r="T2701" s="16"/>
      <c r="U2701" s="16"/>
      <c r="V2701" s="16"/>
      <c r="W2701" s="16"/>
      <c r="X2701" s="16"/>
      <c r="Y2701" s="11"/>
      <c r="Z2701" s="11"/>
      <c r="AA2701" s="11"/>
      <c r="AB2701" s="11"/>
      <c r="AC2701" s="11"/>
      <c r="AD2701" s="11"/>
    </row>
    <row r="2702">
      <c r="A2702" s="10"/>
      <c r="B2702" s="10"/>
      <c r="C2702" s="10"/>
      <c r="D2702" s="10"/>
      <c r="E2702" s="10"/>
      <c r="F2702" s="11"/>
      <c r="G2702" s="11"/>
      <c r="H2702" s="11"/>
      <c r="I2702" s="11"/>
      <c r="J2702" s="11"/>
      <c r="K2702" s="11"/>
      <c r="L2702" s="12"/>
      <c r="M2702" s="11"/>
      <c r="N2702" s="11"/>
      <c r="O2702" s="13"/>
      <c r="P2702" s="14"/>
      <c r="Q2702" s="13"/>
      <c r="R2702" s="13"/>
      <c r="S2702" s="15"/>
      <c r="T2702" s="16"/>
      <c r="U2702" s="16"/>
      <c r="V2702" s="16"/>
      <c r="W2702" s="16"/>
      <c r="X2702" s="16"/>
      <c r="Y2702" s="11"/>
      <c r="Z2702" s="11"/>
      <c r="AA2702" s="11"/>
      <c r="AB2702" s="11"/>
      <c r="AC2702" s="11"/>
      <c r="AD2702" s="11"/>
    </row>
    <row r="2703">
      <c r="A2703" s="10"/>
      <c r="B2703" s="10"/>
      <c r="C2703" s="10"/>
      <c r="D2703" s="10"/>
      <c r="E2703" s="10"/>
      <c r="F2703" s="11"/>
      <c r="G2703" s="11"/>
      <c r="H2703" s="11"/>
      <c r="I2703" s="11"/>
      <c r="J2703" s="11"/>
      <c r="K2703" s="11"/>
      <c r="L2703" s="12"/>
      <c r="M2703" s="11"/>
      <c r="N2703" s="11"/>
      <c r="O2703" s="13"/>
      <c r="P2703" s="14"/>
      <c r="Q2703" s="13"/>
      <c r="R2703" s="13"/>
      <c r="S2703" s="15"/>
      <c r="T2703" s="16"/>
      <c r="U2703" s="16"/>
      <c r="V2703" s="16"/>
      <c r="W2703" s="16"/>
      <c r="X2703" s="16"/>
      <c r="Y2703" s="11"/>
      <c r="Z2703" s="11"/>
      <c r="AA2703" s="11"/>
      <c r="AB2703" s="11"/>
      <c r="AC2703" s="11"/>
      <c r="AD2703" s="11"/>
    </row>
    <row r="2704">
      <c r="A2704" s="10"/>
      <c r="B2704" s="10"/>
      <c r="C2704" s="10"/>
      <c r="D2704" s="10"/>
      <c r="E2704" s="10"/>
      <c r="F2704" s="11"/>
      <c r="G2704" s="11"/>
      <c r="H2704" s="11"/>
      <c r="I2704" s="11"/>
      <c r="J2704" s="11"/>
      <c r="K2704" s="11"/>
      <c r="L2704" s="12"/>
      <c r="M2704" s="11"/>
      <c r="N2704" s="11"/>
      <c r="O2704" s="13"/>
      <c r="P2704" s="14"/>
      <c r="Q2704" s="13"/>
      <c r="R2704" s="13"/>
      <c r="S2704" s="15"/>
      <c r="T2704" s="16"/>
      <c r="U2704" s="16"/>
      <c r="V2704" s="16"/>
      <c r="W2704" s="16"/>
      <c r="X2704" s="16"/>
      <c r="Y2704" s="11"/>
      <c r="Z2704" s="11"/>
      <c r="AA2704" s="11"/>
      <c r="AB2704" s="11"/>
      <c r="AC2704" s="11"/>
      <c r="AD2704" s="11"/>
    </row>
    <row r="2705">
      <c r="A2705" s="10"/>
      <c r="B2705" s="10"/>
      <c r="C2705" s="10"/>
      <c r="D2705" s="10"/>
      <c r="E2705" s="10"/>
      <c r="F2705" s="11"/>
      <c r="G2705" s="11"/>
      <c r="H2705" s="11"/>
      <c r="I2705" s="11"/>
      <c r="J2705" s="11"/>
      <c r="K2705" s="11"/>
      <c r="L2705" s="12"/>
      <c r="M2705" s="11"/>
      <c r="N2705" s="11"/>
      <c r="O2705" s="13"/>
      <c r="P2705" s="14"/>
      <c r="Q2705" s="13"/>
      <c r="R2705" s="13"/>
      <c r="S2705" s="15"/>
      <c r="T2705" s="16"/>
      <c r="U2705" s="16"/>
      <c r="V2705" s="16"/>
      <c r="W2705" s="16"/>
      <c r="X2705" s="16"/>
      <c r="Y2705" s="11"/>
      <c r="Z2705" s="11"/>
      <c r="AA2705" s="11"/>
      <c r="AB2705" s="11"/>
      <c r="AC2705" s="11"/>
      <c r="AD2705" s="11"/>
    </row>
    <row r="2706">
      <c r="A2706" s="10"/>
      <c r="B2706" s="10"/>
      <c r="C2706" s="10"/>
      <c r="D2706" s="10"/>
      <c r="E2706" s="10"/>
      <c r="F2706" s="11"/>
      <c r="G2706" s="11"/>
      <c r="H2706" s="11"/>
      <c r="I2706" s="11"/>
      <c r="J2706" s="11"/>
      <c r="K2706" s="11"/>
      <c r="L2706" s="12"/>
      <c r="M2706" s="11"/>
      <c r="N2706" s="11"/>
      <c r="O2706" s="13"/>
      <c r="P2706" s="14"/>
      <c r="Q2706" s="13"/>
      <c r="R2706" s="13"/>
      <c r="S2706" s="15"/>
      <c r="T2706" s="16"/>
      <c r="U2706" s="16"/>
      <c r="V2706" s="16"/>
      <c r="W2706" s="16"/>
      <c r="X2706" s="16"/>
      <c r="Y2706" s="11"/>
      <c r="Z2706" s="11"/>
      <c r="AA2706" s="11"/>
      <c r="AB2706" s="11"/>
      <c r="AC2706" s="11"/>
      <c r="AD2706" s="11"/>
    </row>
    <row r="2707">
      <c r="A2707" s="10"/>
      <c r="B2707" s="10"/>
      <c r="C2707" s="10"/>
      <c r="D2707" s="10"/>
      <c r="E2707" s="10"/>
      <c r="F2707" s="11"/>
      <c r="G2707" s="11"/>
      <c r="H2707" s="11"/>
      <c r="I2707" s="11"/>
      <c r="J2707" s="11"/>
      <c r="K2707" s="11"/>
      <c r="L2707" s="12"/>
      <c r="M2707" s="11"/>
      <c r="N2707" s="11"/>
      <c r="O2707" s="13"/>
      <c r="P2707" s="14"/>
      <c r="Q2707" s="13"/>
      <c r="R2707" s="13"/>
      <c r="S2707" s="15"/>
      <c r="T2707" s="16"/>
      <c r="U2707" s="16"/>
      <c r="V2707" s="16"/>
      <c r="W2707" s="16"/>
      <c r="X2707" s="16"/>
      <c r="Y2707" s="11"/>
      <c r="Z2707" s="11"/>
      <c r="AA2707" s="11"/>
      <c r="AB2707" s="11"/>
      <c r="AC2707" s="11"/>
      <c r="AD2707" s="11"/>
    </row>
    <row r="2708">
      <c r="A2708" s="10"/>
      <c r="B2708" s="10"/>
      <c r="C2708" s="10"/>
      <c r="D2708" s="10"/>
      <c r="E2708" s="10"/>
      <c r="F2708" s="11"/>
      <c r="G2708" s="11"/>
      <c r="H2708" s="11"/>
      <c r="I2708" s="11"/>
      <c r="J2708" s="11"/>
      <c r="K2708" s="11"/>
      <c r="L2708" s="12"/>
      <c r="M2708" s="11"/>
      <c r="N2708" s="11"/>
      <c r="O2708" s="13"/>
      <c r="P2708" s="14"/>
      <c r="Q2708" s="13"/>
      <c r="R2708" s="13"/>
      <c r="S2708" s="15"/>
      <c r="T2708" s="16"/>
      <c r="U2708" s="16"/>
      <c r="V2708" s="16"/>
      <c r="W2708" s="16"/>
      <c r="X2708" s="16"/>
      <c r="Y2708" s="11"/>
      <c r="Z2708" s="11"/>
      <c r="AA2708" s="11"/>
      <c r="AB2708" s="11"/>
      <c r="AC2708" s="11"/>
      <c r="AD2708" s="11"/>
    </row>
    <row r="2709">
      <c r="A2709" s="10"/>
      <c r="B2709" s="10"/>
      <c r="C2709" s="10"/>
      <c r="D2709" s="10"/>
      <c r="E2709" s="10"/>
      <c r="F2709" s="11"/>
      <c r="G2709" s="11"/>
      <c r="H2709" s="11"/>
      <c r="I2709" s="11"/>
      <c r="J2709" s="11"/>
      <c r="K2709" s="11"/>
      <c r="L2709" s="12"/>
      <c r="M2709" s="11"/>
      <c r="N2709" s="11"/>
      <c r="O2709" s="13"/>
      <c r="P2709" s="14"/>
      <c r="Q2709" s="13"/>
      <c r="R2709" s="13"/>
      <c r="S2709" s="15"/>
      <c r="T2709" s="16"/>
      <c r="U2709" s="16"/>
      <c r="V2709" s="16"/>
      <c r="W2709" s="16"/>
      <c r="X2709" s="16"/>
      <c r="Y2709" s="11"/>
      <c r="Z2709" s="11"/>
      <c r="AA2709" s="11"/>
      <c r="AB2709" s="11"/>
      <c r="AC2709" s="11"/>
      <c r="AD2709" s="11"/>
    </row>
    <row r="2710">
      <c r="A2710" s="10"/>
      <c r="B2710" s="10"/>
      <c r="C2710" s="10"/>
      <c r="D2710" s="10"/>
      <c r="E2710" s="10"/>
      <c r="F2710" s="11"/>
      <c r="G2710" s="11"/>
      <c r="H2710" s="11"/>
      <c r="I2710" s="11"/>
      <c r="J2710" s="11"/>
      <c r="K2710" s="11"/>
      <c r="L2710" s="12"/>
      <c r="M2710" s="11"/>
      <c r="N2710" s="11"/>
      <c r="O2710" s="13"/>
      <c r="P2710" s="14"/>
      <c r="Q2710" s="13"/>
      <c r="R2710" s="13"/>
      <c r="S2710" s="15"/>
      <c r="T2710" s="16"/>
      <c r="U2710" s="16"/>
      <c r="V2710" s="16"/>
      <c r="W2710" s="16"/>
      <c r="X2710" s="16"/>
      <c r="Y2710" s="11"/>
      <c r="Z2710" s="11"/>
      <c r="AA2710" s="11"/>
      <c r="AB2710" s="11"/>
      <c r="AC2710" s="11"/>
      <c r="AD2710" s="11"/>
    </row>
    <row r="2711">
      <c r="A2711" s="10"/>
      <c r="B2711" s="10"/>
      <c r="C2711" s="10"/>
      <c r="D2711" s="10"/>
      <c r="E2711" s="10"/>
      <c r="F2711" s="11"/>
      <c r="G2711" s="11"/>
      <c r="H2711" s="11"/>
      <c r="I2711" s="11"/>
      <c r="J2711" s="11"/>
      <c r="K2711" s="11"/>
      <c r="L2711" s="12"/>
      <c r="M2711" s="11"/>
      <c r="N2711" s="11"/>
      <c r="O2711" s="13"/>
      <c r="P2711" s="14"/>
      <c r="Q2711" s="13"/>
      <c r="R2711" s="13"/>
      <c r="S2711" s="15"/>
      <c r="T2711" s="16"/>
      <c r="U2711" s="16"/>
      <c r="V2711" s="16"/>
      <c r="W2711" s="16"/>
      <c r="X2711" s="16"/>
      <c r="Y2711" s="11"/>
      <c r="Z2711" s="11"/>
      <c r="AA2711" s="11"/>
      <c r="AB2711" s="11"/>
      <c r="AC2711" s="11"/>
      <c r="AD2711" s="11"/>
    </row>
    <row r="2712">
      <c r="A2712" s="10"/>
      <c r="B2712" s="10"/>
      <c r="C2712" s="10"/>
      <c r="D2712" s="10"/>
      <c r="E2712" s="10"/>
      <c r="F2712" s="11"/>
      <c r="G2712" s="11"/>
      <c r="H2712" s="11"/>
      <c r="I2712" s="11"/>
      <c r="J2712" s="11"/>
      <c r="K2712" s="11"/>
      <c r="L2712" s="12"/>
      <c r="M2712" s="11"/>
      <c r="N2712" s="11"/>
      <c r="O2712" s="13"/>
      <c r="P2712" s="14"/>
      <c r="Q2712" s="13"/>
      <c r="R2712" s="13"/>
      <c r="S2712" s="15"/>
      <c r="T2712" s="16"/>
      <c r="U2712" s="16"/>
      <c r="V2712" s="16"/>
      <c r="W2712" s="16"/>
      <c r="X2712" s="16"/>
      <c r="Y2712" s="11"/>
      <c r="Z2712" s="11"/>
      <c r="AA2712" s="11"/>
      <c r="AB2712" s="11"/>
      <c r="AC2712" s="11"/>
      <c r="AD2712" s="11"/>
    </row>
    <row r="2713">
      <c r="A2713" s="10"/>
      <c r="B2713" s="10"/>
      <c r="C2713" s="10"/>
      <c r="D2713" s="10"/>
      <c r="E2713" s="10"/>
      <c r="F2713" s="11"/>
      <c r="G2713" s="11"/>
      <c r="H2713" s="11"/>
      <c r="I2713" s="11"/>
      <c r="J2713" s="11"/>
      <c r="K2713" s="11"/>
      <c r="L2713" s="12"/>
      <c r="M2713" s="11"/>
      <c r="N2713" s="11"/>
      <c r="O2713" s="13"/>
      <c r="P2713" s="14"/>
      <c r="Q2713" s="13"/>
      <c r="R2713" s="13"/>
      <c r="S2713" s="15"/>
      <c r="T2713" s="16"/>
      <c r="U2713" s="16"/>
      <c r="V2713" s="16"/>
      <c r="W2713" s="16"/>
      <c r="X2713" s="16"/>
      <c r="Y2713" s="11"/>
      <c r="Z2713" s="11"/>
      <c r="AA2713" s="11"/>
      <c r="AB2713" s="11"/>
      <c r="AC2713" s="11"/>
      <c r="AD2713" s="11"/>
    </row>
    <row r="2714">
      <c r="A2714" s="10"/>
      <c r="B2714" s="10"/>
      <c r="C2714" s="10"/>
      <c r="D2714" s="10"/>
      <c r="E2714" s="10"/>
      <c r="F2714" s="11"/>
      <c r="G2714" s="11"/>
      <c r="H2714" s="11"/>
      <c r="I2714" s="11"/>
      <c r="J2714" s="11"/>
      <c r="K2714" s="11"/>
      <c r="L2714" s="12"/>
      <c r="M2714" s="11"/>
      <c r="N2714" s="11"/>
      <c r="O2714" s="13"/>
      <c r="P2714" s="14"/>
      <c r="Q2714" s="13"/>
      <c r="R2714" s="13"/>
      <c r="S2714" s="15"/>
      <c r="T2714" s="16"/>
      <c r="U2714" s="16"/>
      <c r="V2714" s="16"/>
      <c r="W2714" s="16"/>
      <c r="X2714" s="16"/>
      <c r="Y2714" s="11"/>
      <c r="Z2714" s="11"/>
      <c r="AA2714" s="11"/>
      <c r="AB2714" s="11"/>
      <c r="AC2714" s="11"/>
      <c r="AD2714" s="11"/>
    </row>
    <row r="2715">
      <c r="A2715" s="10"/>
      <c r="B2715" s="10"/>
      <c r="C2715" s="10"/>
      <c r="D2715" s="10"/>
      <c r="E2715" s="10"/>
      <c r="F2715" s="11"/>
      <c r="G2715" s="11"/>
      <c r="H2715" s="11"/>
      <c r="I2715" s="11"/>
      <c r="J2715" s="11"/>
      <c r="K2715" s="11"/>
      <c r="L2715" s="12"/>
      <c r="M2715" s="11"/>
      <c r="N2715" s="11"/>
      <c r="O2715" s="13"/>
      <c r="P2715" s="14"/>
      <c r="Q2715" s="13"/>
      <c r="R2715" s="13"/>
      <c r="S2715" s="15"/>
      <c r="T2715" s="16"/>
      <c r="U2715" s="16"/>
      <c r="V2715" s="16"/>
      <c r="W2715" s="16"/>
      <c r="X2715" s="16"/>
      <c r="Y2715" s="11"/>
      <c r="Z2715" s="11"/>
      <c r="AA2715" s="11"/>
      <c r="AB2715" s="11"/>
      <c r="AC2715" s="11"/>
      <c r="AD2715" s="11"/>
    </row>
    <row r="2716">
      <c r="A2716" s="10"/>
      <c r="B2716" s="10"/>
      <c r="C2716" s="10"/>
      <c r="D2716" s="10"/>
      <c r="E2716" s="10"/>
      <c r="F2716" s="11"/>
      <c r="G2716" s="11"/>
      <c r="H2716" s="11"/>
      <c r="I2716" s="11"/>
      <c r="J2716" s="11"/>
      <c r="K2716" s="11"/>
      <c r="L2716" s="12"/>
      <c r="M2716" s="11"/>
      <c r="N2716" s="11"/>
      <c r="O2716" s="13"/>
      <c r="P2716" s="14"/>
      <c r="Q2716" s="13"/>
      <c r="R2716" s="13"/>
      <c r="S2716" s="15"/>
      <c r="T2716" s="16"/>
      <c r="U2716" s="16"/>
      <c r="V2716" s="16"/>
      <c r="W2716" s="16"/>
      <c r="X2716" s="16"/>
      <c r="Y2716" s="11"/>
      <c r="Z2716" s="11"/>
      <c r="AA2716" s="11"/>
      <c r="AB2716" s="11"/>
      <c r="AC2716" s="11"/>
      <c r="AD2716" s="11"/>
    </row>
    <row r="2717">
      <c r="A2717" s="10"/>
      <c r="B2717" s="10"/>
      <c r="C2717" s="10"/>
      <c r="D2717" s="10"/>
      <c r="E2717" s="10"/>
      <c r="F2717" s="11"/>
      <c r="G2717" s="11"/>
      <c r="H2717" s="11"/>
      <c r="I2717" s="11"/>
      <c r="J2717" s="11"/>
      <c r="K2717" s="11"/>
      <c r="L2717" s="12"/>
      <c r="M2717" s="11"/>
      <c r="N2717" s="11"/>
      <c r="O2717" s="13"/>
      <c r="P2717" s="14"/>
      <c r="Q2717" s="13"/>
      <c r="R2717" s="13"/>
      <c r="S2717" s="15"/>
      <c r="T2717" s="16"/>
      <c r="U2717" s="16"/>
      <c r="V2717" s="16"/>
      <c r="W2717" s="16"/>
      <c r="X2717" s="16"/>
      <c r="Y2717" s="11"/>
      <c r="Z2717" s="11"/>
      <c r="AA2717" s="11"/>
      <c r="AB2717" s="11"/>
      <c r="AC2717" s="11"/>
      <c r="AD2717" s="11"/>
    </row>
    <row r="2718">
      <c r="A2718" s="10"/>
      <c r="B2718" s="10"/>
      <c r="C2718" s="10"/>
      <c r="D2718" s="10"/>
      <c r="E2718" s="10"/>
      <c r="F2718" s="11"/>
      <c r="G2718" s="11"/>
      <c r="H2718" s="11"/>
      <c r="I2718" s="11"/>
      <c r="J2718" s="11"/>
      <c r="K2718" s="11"/>
      <c r="L2718" s="12"/>
      <c r="M2718" s="11"/>
      <c r="N2718" s="11"/>
      <c r="O2718" s="13"/>
      <c r="P2718" s="14"/>
      <c r="Q2718" s="13"/>
      <c r="R2718" s="13"/>
      <c r="S2718" s="15"/>
      <c r="T2718" s="16"/>
      <c r="U2718" s="16"/>
      <c r="V2718" s="16"/>
      <c r="W2718" s="16"/>
      <c r="X2718" s="16"/>
      <c r="Y2718" s="11"/>
      <c r="Z2718" s="11"/>
      <c r="AA2718" s="11"/>
      <c r="AB2718" s="11"/>
      <c r="AC2718" s="11"/>
      <c r="AD2718" s="11"/>
    </row>
    <row r="2719">
      <c r="A2719" s="10"/>
      <c r="B2719" s="10"/>
      <c r="C2719" s="10"/>
      <c r="D2719" s="10"/>
      <c r="E2719" s="10"/>
      <c r="F2719" s="11"/>
      <c r="G2719" s="11"/>
      <c r="H2719" s="11"/>
      <c r="I2719" s="11"/>
      <c r="J2719" s="11"/>
      <c r="K2719" s="11"/>
      <c r="L2719" s="12"/>
      <c r="M2719" s="11"/>
      <c r="N2719" s="11"/>
      <c r="O2719" s="13"/>
      <c r="P2719" s="14"/>
      <c r="Q2719" s="13"/>
      <c r="R2719" s="13"/>
      <c r="S2719" s="15"/>
      <c r="T2719" s="16"/>
      <c r="U2719" s="16"/>
      <c r="V2719" s="16"/>
      <c r="W2719" s="16"/>
      <c r="X2719" s="16"/>
      <c r="Y2719" s="11"/>
      <c r="Z2719" s="11"/>
      <c r="AA2719" s="11"/>
      <c r="AB2719" s="11"/>
      <c r="AC2719" s="11"/>
      <c r="AD2719" s="11"/>
    </row>
    <row r="2720">
      <c r="A2720" s="10"/>
      <c r="B2720" s="10"/>
      <c r="C2720" s="10"/>
      <c r="D2720" s="10"/>
      <c r="E2720" s="10"/>
      <c r="F2720" s="11"/>
      <c r="G2720" s="11"/>
      <c r="H2720" s="11"/>
      <c r="I2720" s="11"/>
      <c r="J2720" s="11"/>
      <c r="K2720" s="11"/>
      <c r="L2720" s="12"/>
      <c r="M2720" s="11"/>
      <c r="N2720" s="11"/>
      <c r="O2720" s="13"/>
      <c r="P2720" s="14"/>
      <c r="Q2720" s="13"/>
      <c r="R2720" s="13"/>
      <c r="S2720" s="15"/>
      <c r="T2720" s="16"/>
      <c r="U2720" s="16"/>
      <c r="V2720" s="16"/>
      <c r="W2720" s="16"/>
      <c r="X2720" s="16"/>
      <c r="Y2720" s="11"/>
      <c r="Z2720" s="11"/>
      <c r="AA2720" s="11"/>
      <c r="AB2720" s="11"/>
      <c r="AC2720" s="11"/>
      <c r="AD2720" s="11"/>
    </row>
    <row r="2721">
      <c r="A2721" s="10"/>
      <c r="B2721" s="10"/>
      <c r="C2721" s="10"/>
      <c r="D2721" s="10"/>
      <c r="E2721" s="10"/>
      <c r="F2721" s="11"/>
      <c r="G2721" s="11"/>
      <c r="H2721" s="11"/>
      <c r="I2721" s="11"/>
      <c r="J2721" s="11"/>
      <c r="K2721" s="11"/>
      <c r="L2721" s="12"/>
      <c r="M2721" s="11"/>
      <c r="N2721" s="11"/>
      <c r="O2721" s="13"/>
      <c r="P2721" s="14"/>
      <c r="Q2721" s="13"/>
      <c r="R2721" s="13"/>
      <c r="S2721" s="15"/>
      <c r="T2721" s="16"/>
      <c r="U2721" s="16"/>
      <c r="V2721" s="16"/>
      <c r="W2721" s="16"/>
      <c r="X2721" s="16"/>
      <c r="Y2721" s="11"/>
      <c r="Z2721" s="11"/>
      <c r="AA2721" s="11"/>
      <c r="AB2721" s="11"/>
      <c r="AC2721" s="11"/>
      <c r="AD2721" s="11"/>
    </row>
    <row r="2722">
      <c r="A2722" s="10"/>
      <c r="B2722" s="10"/>
      <c r="C2722" s="10"/>
      <c r="D2722" s="10"/>
      <c r="E2722" s="10"/>
      <c r="F2722" s="11"/>
      <c r="G2722" s="11"/>
      <c r="H2722" s="11"/>
      <c r="I2722" s="11"/>
      <c r="J2722" s="11"/>
      <c r="K2722" s="11"/>
      <c r="L2722" s="12"/>
      <c r="M2722" s="11"/>
      <c r="N2722" s="11"/>
      <c r="O2722" s="13"/>
      <c r="P2722" s="14"/>
      <c r="Q2722" s="13"/>
      <c r="R2722" s="13"/>
      <c r="S2722" s="15"/>
      <c r="T2722" s="16"/>
      <c r="U2722" s="16"/>
      <c r="V2722" s="16"/>
      <c r="W2722" s="16"/>
      <c r="X2722" s="16"/>
      <c r="Y2722" s="11"/>
      <c r="Z2722" s="11"/>
      <c r="AA2722" s="11"/>
      <c r="AB2722" s="11"/>
      <c r="AC2722" s="11"/>
      <c r="AD2722" s="11"/>
    </row>
    <row r="2723">
      <c r="A2723" s="10"/>
      <c r="B2723" s="10"/>
      <c r="C2723" s="10"/>
      <c r="D2723" s="10"/>
      <c r="E2723" s="10"/>
      <c r="F2723" s="11"/>
      <c r="G2723" s="11"/>
      <c r="H2723" s="11"/>
      <c r="I2723" s="11"/>
      <c r="J2723" s="11"/>
      <c r="K2723" s="11"/>
      <c r="L2723" s="12"/>
      <c r="M2723" s="11"/>
      <c r="N2723" s="11"/>
      <c r="O2723" s="13"/>
      <c r="P2723" s="14"/>
      <c r="Q2723" s="13"/>
      <c r="R2723" s="13"/>
      <c r="S2723" s="15"/>
      <c r="T2723" s="16"/>
      <c r="U2723" s="16"/>
      <c r="V2723" s="16"/>
      <c r="W2723" s="16"/>
      <c r="X2723" s="16"/>
      <c r="Y2723" s="11"/>
      <c r="Z2723" s="11"/>
      <c r="AA2723" s="11"/>
      <c r="AB2723" s="11"/>
      <c r="AC2723" s="11"/>
      <c r="AD2723" s="11"/>
    </row>
    <row r="2724">
      <c r="A2724" s="10"/>
      <c r="B2724" s="10"/>
      <c r="C2724" s="10"/>
      <c r="D2724" s="10"/>
      <c r="E2724" s="10"/>
      <c r="F2724" s="11"/>
      <c r="G2724" s="11"/>
      <c r="H2724" s="11"/>
      <c r="I2724" s="11"/>
      <c r="J2724" s="11"/>
      <c r="K2724" s="11"/>
      <c r="L2724" s="12"/>
      <c r="M2724" s="11"/>
      <c r="N2724" s="11"/>
      <c r="O2724" s="13"/>
      <c r="P2724" s="14"/>
      <c r="Q2724" s="13"/>
      <c r="R2724" s="13"/>
      <c r="S2724" s="15"/>
      <c r="T2724" s="16"/>
      <c r="U2724" s="16"/>
      <c r="V2724" s="16"/>
      <c r="W2724" s="16"/>
      <c r="X2724" s="16"/>
      <c r="Y2724" s="11"/>
      <c r="Z2724" s="11"/>
      <c r="AA2724" s="11"/>
      <c r="AB2724" s="11"/>
      <c r="AC2724" s="11"/>
      <c r="AD2724" s="11"/>
    </row>
    <row r="2725">
      <c r="A2725" s="10"/>
      <c r="B2725" s="10"/>
      <c r="C2725" s="10"/>
      <c r="D2725" s="10"/>
      <c r="E2725" s="10"/>
      <c r="F2725" s="11"/>
      <c r="G2725" s="11"/>
      <c r="H2725" s="11"/>
      <c r="I2725" s="11"/>
      <c r="J2725" s="11"/>
      <c r="K2725" s="11"/>
      <c r="L2725" s="12"/>
      <c r="M2725" s="11"/>
      <c r="N2725" s="11"/>
      <c r="O2725" s="13"/>
      <c r="P2725" s="14"/>
      <c r="Q2725" s="13"/>
      <c r="R2725" s="13"/>
      <c r="S2725" s="15"/>
      <c r="T2725" s="16"/>
      <c r="U2725" s="16"/>
      <c r="V2725" s="16"/>
      <c r="W2725" s="16"/>
      <c r="X2725" s="16"/>
      <c r="Y2725" s="11"/>
      <c r="Z2725" s="11"/>
      <c r="AA2725" s="11"/>
      <c r="AB2725" s="11"/>
      <c r="AC2725" s="11"/>
      <c r="AD2725" s="11"/>
    </row>
    <row r="2726">
      <c r="A2726" s="10"/>
      <c r="B2726" s="10"/>
      <c r="C2726" s="10"/>
      <c r="D2726" s="10"/>
      <c r="E2726" s="10"/>
      <c r="F2726" s="11"/>
      <c r="G2726" s="11"/>
      <c r="H2726" s="11"/>
      <c r="I2726" s="11"/>
      <c r="J2726" s="11"/>
      <c r="K2726" s="11"/>
      <c r="L2726" s="12"/>
      <c r="M2726" s="11"/>
      <c r="N2726" s="11"/>
      <c r="O2726" s="13"/>
      <c r="P2726" s="14"/>
      <c r="Q2726" s="13"/>
      <c r="R2726" s="13"/>
      <c r="S2726" s="15"/>
      <c r="T2726" s="16"/>
      <c r="U2726" s="16"/>
      <c r="V2726" s="16"/>
      <c r="W2726" s="16"/>
      <c r="X2726" s="16"/>
      <c r="Y2726" s="11"/>
      <c r="Z2726" s="11"/>
      <c r="AA2726" s="11"/>
      <c r="AB2726" s="11"/>
      <c r="AC2726" s="11"/>
      <c r="AD2726" s="11"/>
    </row>
    <row r="2727">
      <c r="A2727" s="10"/>
      <c r="B2727" s="10"/>
      <c r="C2727" s="10"/>
      <c r="D2727" s="10"/>
      <c r="E2727" s="10"/>
      <c r="F2727" s="11"/>
      <c r="G2727" s="11"/>
      <c r="H2727" s="11"/>
      <c r="I2727" s="11"/>
      <c r="J2727" s="11"/>
      <c r="K2727" s="11"/>
      <c r="L2727" s="12"/>
      <c r="M2727" s="11"/>
      <c r="N2727" s="11"/>
      <c r="O2727" s="13"/>
      <c r="P2727" s="14"/>
      <c r="Q2727" s="13"/>
      <c r="R2727" s="13"/>
      <c r="S2727" s="15"/>
      <c r="T2727" s="16"/>
      <c r="U2727" s="16"/>
      <c r="V2727" s="16"/>
      <c r="W2727" s="16"/>
      <c r="X2727" s="16"/>
      <c r="Y2727" s="11"/>
      <c r="Z2727" s="11"/>
      <c r="AA2727" s="11"/>
      <c r="AB2727" s="11"/>
      <c r="AC2727" s="11"/>
      <c r="AD2727" s="11"/>
    </row>
    <row r="2728">
      <c r="A2728" s="10"/>
      <c r="B2728" s="10"/>
      <c r="C2728" s="10"/>
      <c r="D2728" s="10"/>
      <c r="E2728" s="10"/>
      <c r="F2728" s="11"/>
      <c r="G2728" s="11"/>
      <c r="H2728" s="11"/>
      <c r="I2728" s="11"/>
      <c r="J2728" s="11"/>
      <c r="K2728" s="11"/>
      <c r="L2728" s="12"/>
      <c r="M2728" s="11"/>
      <c r="N2728" s="11"/>
      <c r="O2728" s="13"/>
      <c r="P2728" s="14"/>
      <c r="Q2728" s="13"/>
      <c r="R2728" s="13"/>
      <c r="S2728" s="15"/>
      <c r="T2728" s="16"/>
      <c r="U2728" s="16"/>
      <c r="V2728" s="16"/>
      <c r="W2728" s="16"/>
      <c r="X2728" s="16"/>
      <c r="Y2728" s="11"/>
      <c r="Z2728" s="11"/>
      <c r="AA2728" s="11"/>
      <c r="AB2728" s="11"/>
      <c r="AC2728" s="11"/>
      <c r="AD2728" s="11"/>
    </row>
    <row r="2729">
      <c r="A2729" s="10"/>
      <c r="B2729" s="10"/>
      <c r="C2729" s="10"/>
      <c r="D2729" s="10"/>
      <c r="E2729" s="10"/>
      <c r="F2729" s="11"/>
      <c r="G2729" s="11"/>
      <c r="H2729" s="11"/>
      <c r="I2729" s="11"/>
      <c r="J2729" s="11"/>
      <c r="K2729" s="11"/>
      <c r="L2729" s="12"/>
      <c r="M2729" s="11"/>
      <c r="N2729" s="11"/>
      <c r="O2729" s="13"/>
      <c r="P2729" s="14"/>
      <c r="Q2729" s="13"/>
      <c r="R2729" s="13"/>
      <c r="S2729" s="15"/>
      <c r="T2729" s="16"/>
      <c r="U2729" s="16"/>
      <c r="V2729" s="16"/>
      <c r="W2729" s="16"/>
      <c r="X2729" s="16"/>
      <c r="Y2729" s="11"/>
      <c r="Z2729" s="11"/>
      <c r="AA2729" s="11"/>
      <c r="AB2729" s="11"/>
      <c r="AC2729" s="11"/>
      <c r="AD2729" s="11"/>
    </row>
    <row r="2730">
      <c r="A2730" s="10"/>
      <c r="B2730" s="10"/>
      <c r="C2730" s="10"/>
      <c r="D2730" s="10"/>
      <c r="E2730" s="10"/>
      <c r="F2730" s="11"/>
      <c r="G2730" s="11"/>
      <c r="H2730" s="11"/>
      <c r="I2730" s="11"/>
      <c r="J2730" s="11"/>
      <c r="K2730" s="11"/>
      <c r="L2730" s="12"/>
      <c r="M2730" s="11"/>
      <c r="N2730" s="11"/>
      <c r="O2730" s="13"/>
      <c r="P2730" s="14"/>
      <c r="Q2730" s="13"/>
      <c r="R2730" s="13"/>
      <c r="S2730" s="15"/>
      <c r="T2730" s="16"/>
      <c r="U2730" s="16"/>
      <c r="V2730" s="16"/>
      <c r="W2730" s="16"/>
      <c r="X2730" s="16"/>
      <c r="Y2730" s="11"/>
      <c r="Z2730" s="11"/>
      <c r="AA2730" s="11"/>
      <c r="AB2730" s="11"/>
      <c r="AC2730" s="11"/>
      <c r="AD2730" s="11"/>
    </row>
    <row r="2731">
      <c r="A2731" s="10"/>
      <c r="B2731" s="10"/>
      <c r="C2731" s="10"/>
      <c r="D2731" s="10"/>
      <c r="E2731" s="10"/>
      <c r="F2731" s="11"/>
      <c r="G2731" s="11"/>
      <c r="H2731" s="11"/>
      <c r="I2731" s="11"/>
      <c r="J2731" s="11"/>
      <c r="K2731" s="11"/>
      <c r="L2731" s="12"/>
      <c r="M2731" s="11"/>
      <c r="N2731" s="11"/>
      <c r="O2731" s="13"/>
      <c r="P2731" s="14"/>
      <c r="Q2731" s="13"/>
      <c r="R2731" s="13"/>
      <c r="S2731" s="15"/>
      <c r="T2731" s="16"/>
      <c r="U2731" s="16"/>
      <c r="V2731" s="16"/>
      <c r="W2731" s="16"/>
      <c r="X2731" s="16"/>
      <c r="Y2731" s="11"/>
      <c r="Z2731" s="11"/>
      <c r="AA2731" s="11"/>
      <c r="AB2731" s="11"/>
      <c r="AC2731" s="11"/>
      <c r="AD2731" s="11"/>
    </row>
    <row r="2732">
      <c r="A2732" s="10"/>
      <c r="B2732" s="10"/>
      <c r="C2732" s="10"/>
      <c r="D2732" s="10"/>
      <c r="E2732" s="10"/>
      <c r="F2732" s="11"/>
      <c r="G2732" s="11"/>
      <c r="H2732" s="11"/>
      <c r="I2732" s="11"/>
      <c r="J2732" s="11"/>
      <c r="K2732" s="11"/>
      <c r="L2732" s="12"/>
      <c r="M2732" s="11"/>
      <c r="N2732" s="11"/>
      <c r="O2732" s="13"/>
      <c r="P2732" s="14"/>
      <c r="Q2732" s="13"/>
      <c r="R2732" s="13"/>
      <c r="S2732" s="15"/>
      <c r="T2732" s="16"/>
      <c r="U2732" s="16"/>
      <c r="V2732" s="16"/>
      <c r="W2732" s="16"/>
      <c r="X2732" s="16"/>
      <c r="Y2732" s="11"/>
      <c r="Z2732" s="11"/>
      <c r="AA2732" s="11"/>
      <c r="AB2732" s="11"/>
      <c r="AC2732" s="11"/>
      <c r="AD2732" s="11"/>
    </row>
    <row r="2733">
      <c r="A2733" s="10"/>
      <c r="B2733" s="10"/>
      <c r="C2733" s="10"/>
      <c r="D2733" s="10"/>
      <c r="E2733" s="10"/>
      <c r="F2733" s="11"/>
      <c r="G2733" s="11"/>
      <c r="H2733" s="11"/>
      <c r="I2733" s="11"/>
      <c r="J2733" s="11"/>
      <c r="K2733" s="11"/>
      <c r="L2733" s="12"/>
      <c r="M2733" s="11"/>
      <c r="N2733" s="11"/>
      <c r="O2733" s="13"/>
      <c r="P2733" s="14"/>
      <c r="Q2733" s="13"/>
      <c r="R2733" s="13"/>
      <c r="S2733" s="15"/>
      <c r="T2733" s="16"/>
      <c r="U2733" s="16"/>
      <c r="V2733" s="16"/>
      <c r="W2733" s="16"/>
      <c r="X2733" s="16"/>
      <c r="Y2733" s="11"/>
      <c r="Z2733" s="11"/>
      <c r="AA2733" s="11"/>
      <c r="AB2733" s="11"/>
      <c r="AC2733" s="11"/>
      <c r="AD2733" s="11"/>
    </row>
    <row r="2734">
      <c r="A2734" s="10"/>
      <c r="B2734" s="10"/>
      <c r="C2734" s="10"/>
      <c r="D2734" s="10"/>
      <c r="E2734" s="10"/>
      <c r="F2734" s="11"/>
      <c r="G2734" s="11"/>
      <c r="H2734" s="11"/>
      <c r="I2734" s="11"/>
      <c r="J2734" s="11"/>
      <c r="K2734" s="11"/>
      <c r="L2734" s="12"/>
      <c r="M2734" s="11"/>
      <c r="N2734" s="11"/>
      <c r="O2734" s="13"/>
      <c r="P2734" s="14"/>
      <c r="Q2734" s="13"/>
      <c r="R2734" s="13"/>
      <c r="S2734" s="15"/>
      <c r="T2734" s="16"/>
      <c r="U2734" s="16"/>
      <c r="V2734" s="16"/>
      <c r="W2734" s="16"/>
      <c r="X2734" s="16"/>
      <c r="Y2734" s="11"/>
      <c r="Z2734" s="11"/>
      <c r="AA2734" s="11"/>
      <c r="AB2734" s="11"/>
      <c r="AC2734" s="11"/>
      <c r="AD2734" s="11"/>
    </row>
    <row r="2735">
      <c r="A2735" s="10"/>
      <c r="B2735" s="10"/>
      <c r="C2735" s="10"/>
      <c r="D2735" s="10"/>
      <c r="E2735" s="10"/>
      <c r="F2735" s="11"/>
      <c r="G2735" s="11"/>
      <c r="H2735" s="11"/>
      <c r="I2735" s="11"/>
      <c r="J2735" s="11"/>
      <c r="K2735" s="11"/>
      <c r="L2735" s="12"/>
      <c r="M2735" s="11"/>
      <c r="N2735" s="11"/>
      <c r="O2735" s="13"/>
      <c r="P2735" s="14"/>
      <c r="Q2735" s="13"/>
      <c r="R2735" s="13"/>
      <c r="S2735" s="15"/>
      <c r="T2735" s="16"/>
      <c r="U2735" s="16"/>
      <c r="V2735" s="16"/>
      <c r="W2735" s="16"/>
      <c r="X2735" s="16"/>
      <c r="Y2735" s="11"/>
      <c r="Z2735" s="11"/>
      <c r="AA2735" s="11"/>
      <c r="AB2735" s="11"/>
      <c r="AC2735" s="11"/>
      <c r="AD2735" s="11"/>
    </row>
    <row r="2736">
      <c r="A2736" s="10"/>
      <c r="B2736" s="10"/>
      <c r="C2736" s="10"/>
      <c r="D2736" s="10"/>
      <c r="E2736" s="10"/>
      <c r="F2736" s="11"/>
      <c r="G2736" s="11"/>
      <c r="H2736" s="11"/>
      <c r="I2736" s="11"/>
      <c r="J2736" s="11"/>
      <c r="K2736" s="11"/>
      <c r="L2736" s="12"/>
      <c r="M2736" s="11"/>
      <c r="N2736" s="11"/>
      <c r="O2736" s="13"/>
      <c r="P2736" s="14"/>
      <c r="Q2736" s="13"/>
      <c r="R2736" s="13"/>
      <c r="S2736" s="15"/>
      <c r="T2736" s="16"/>
      <c r="U2736" s="16"/>
      <c r="V2736" s="16"/>
      <c r="W2736" s="16"/>
      <c r="X2736" s="16"/>
      <c r="Y2736" s="11"/>
      <c r="Z2736" s="11"/>
      <c r="AA2736" s="11"/>
      <c r="AB2736" s="11"/>
      <c r="AC2736" s="11"/>
      <c r="AD2736" s="11"/>
    </row>
    <row r="2737">
      <c r="A2737" s="10"/>
      <c r="B2737" s="10"/>
      <c r="C2737" s="10"/>
      <c r="D2737" s="10"/>
      <c r="E2737" s="10"/>
      <c r="F2737" s="11"/>
      <c r="G2737" s="11"/>
      <c r="H2737" s="11"/>
      <c r="I2737" s="11"/>
      <c r="J2737" s="11"/>
      <c r="K2737" s="11"/>
      <c r="L2737" s="12"/>
      <c r="M2737" s="11"/>
      <c r="N2737" s="11"/>
      <c r="O2737" s="13"/>
      <c r="P2737" s="14"/>
      <c r="Q2737" s="13"/>
      <c r="R2737" s="13"/>
      <c r="S2737" s="15"/>
      <c r="T2737" s="16"/>
      <c r="U2737" s="16"/>
      <c r="V2737" s="16"/>
      <c r="W2737" s="16"/>
      <c r="X2737" s="16"/>
      <c r="Y2737" s="11"/>
      <c r="Z2737" s="11"/>
      <c r="AA2737" s="11"/>
      <c r="AB2737" s="11"/>
      <c r="AC2737" s="11"/>
      <c r="AD2737" s="11"/>
    </row>
    <row r="2738">
      <c r="A2738" s="10"/>
      <c r="B2738" s="10"/>
      <c r="C2738" s="10"/>
      <c r="D2738" s="10"/>
      <c r="E2738" s="10"/>
      <c r="F2738" s="11"/>
      <c r="G2738" s="11"/>
      <c r="H2738" s="11"/>
      <c r="I2738" s="11"/>
      <c r="J2738" s="11"/>
      <c r="K2738" s="11"/>
      <c r="L2738" s="12"/>
      <c r="M2738" s="11"/>
      <c r="N2738" s="11"/>
      <c r="O2738" s="13"/>
      <c r="P2738" s="14"/>
      <c r="Q2738" s="13"/>
      <c r="R2738" s="13"/>
      <c r="S2738" s="15"/>
      <c r="T2738" s="16"/>
      <c r="U2738" s="16"/>
      <c r="V2738" s="16"/>
      <c r="W2738" s="16"/>
      <c r="X2738" s="16"/>
      <c r="Y2738" s="11"/>
      <c r="Z2738" s="11"/>
      <c r="AA2738" s="11"/>
      <c r="AB2738" s="11"/>
      <c r="AC2738" s="11"/>
      <c r="AD2738" s="11"/>
    </row>
    <row r="2739">
      <c r="A2739" s="10"/>
      <c r="B2739" s="10"/>
      <c r="C2739" s="10"/>
      <c r="D2739" s="10"/>
      <c r="E2739" s="10"/>
      <c r="F2739" s="11"/>
      <c r="G2739" s="11"/>
      <c r="H2739" s="11"/>
      <c r="I2739" s="11"/>
      <c r="J2739" s="11"/>
      <c r="K2739" s="11"/>
      <c r="L2739" s="12"/>
      <c r="M2739" s="11"/>
      <c r="N2739" s="11"/>
      <c r="O2739" s="13"/>
      <c r="P2739" s="14"/>
      <c r="Q2739" s="13"/>
      <c r="R2739" s="13"/>
      <c r="S2739" s="15"/>
      <c r="T2739" s="16"/>
      <c r="U2739" s="16"/>
      <c r="V2739" s="16"/>
      <c r="W2739" s="16"/>
      <c r="X2739" s="16"/>
      <c r="Y2739" s="11"/>
      <c r="Z2739" s="11"/>
      <c r="AA2739" s="11"/>
      <c r="AB2739" s="11"/>
      <c r="AC2739" s="11"/>
      <c r="AD2739" s="11"/>
    </row>
    <row r="2740">
      <c r="A2740" s="10"/>
      <c r="B2740" s="10"/>
      <c r="C2740" s="10"/>
      <c r="D2740" s="10"/>
      <c r="E2740" s="10"/>
      <c r="F2740" s="11"/>
      <c r="G2740" s="11"/>
      <c r="H2740" s="11"/>
      <c r="I2740" s="11"/>
      <c r="J2740" s="11"/>
      <c r="K2740" s="11"/>
      <c r="L2740" s="12"/>
      <c r="M2740" s="11"/>
      <c r="N2740" s="11"/>
      <c r="O2740" s="13"/>
      <c r="P2740" s="14"/>
      <c r="Q2740" s="13"/>
      <c r="R2740" s="13"/>
      <c r="S2740" s="15"/>
      <c r="T2740" s="16"/>
      <c r="U2740" s="16"/>
      <c r="V2740" s="16"/>
      <c r="W2740" s="16"/>
      <c r="X2740" s="16"/>
      <c r="Y2740" s="11"/>
      <c r="Z2740" s="11"/>
      <c r="AA2740" s="11"/>
      <c r="AB2740" s="11"/>
      <c r="AC2740" s="11"/>
      <c r="AD2740" s="11"/>
    </row>
    <row r="2741">
      <c r="A2741" s="10"/>
      <c r="B2741" s="10"/>
      <c r="C2741" s="10"/>
      <c r="D2741" s="10"/>
      <c r="E2741" s="10"/>
      <c r="F2741" s="11"/>
      <c r="G2741" s="11"/>
      <c r="H2741" s="11"/>
      <c r="I2741" s="11"/>
      <c r="J2741" s="11"/>
      <c r="K2741" s="11"/>
      <c r="L2741" s="12"/>
      <c r="M2741" s="11"/>
      <c r="N2741" s="11"/>
      <c r="O2741" s="13"/>
      <c r="P2741" s="14"/>
      <c r="Q2741" s="13"/>
      <c r="R2741" s="13"/>
      <c r="S2741" s="15"/>
      <c r="T2741" s="16"/>
      <c r="U2741" s="16"/>
      <c r="V2741" s="16"/>
      <c r="W2741" s="16"/>
      <c r="X2741" s="16"/>
      <c r="Y2741" s="11"/>
      <c r="Z2741" s="11"/>
      <c r="AA2741" s="11"/>
      <c r="AB2741" s="11"/>
      <c r="AC2741" s="11"/>
      <c r="AD2741" s="11"/>
    </row>
    <row r="2742">
      <c r="A2742" s="10"/>
      <c r="B2742" s="10"/>
      <c r="C2742" s="10"/>
      <c r="D2742" s="10"/>
      <c r="E2742" s="10"/>
      <c r="F2742" s="11"/>
      <c r="G2742" s="11"/>
      <c r="H2742" s="11"/>
      <c r="I2742" s="11"/>
      <c r="J2742" s="11"/>
      <c r="K2742" s="11"/>
      <c r="L2742" s="12"/>
      <c r="M2742" s="11"/>
      <c r="N2742" s="11"/>
      <c r="O2742" s="13"/>
      <c r="P2742" s="14"/>
      <c r="Q2742" s="13"/>
      <c r="R2742" s="13"/>
      <c r="S2742" s="15"/>
      <c r="T2742" s="16"/>
      <c r="U2742" s="16"/>
      <c r="V2742" s="16"/>
      <c r="W2742" s="16"/>
      <c r="X2742" s="16"/>
      <c r="Y2742" s="11"/>
      <c r="Z2742" s="11"/>
      <c r="AA2742" s="11"/>
      <c r="AB2742" s="11"/>
      <c r="AC2742" s="11"/>
      <c r="AD2742" s="11"/>
    </row>
    <row r="2743">
      <c r="A2743" s="10"/>
      <c r="B2743" s="10"/>
      <c r="C2743" s="10"/>
      <c r="D2743" s="10"/>
      <c r="E2743" s="10"/>
      <c r="F2743" s="11"/>
      <c r="G2743" s="11"/>
      <c r="H2743" s="11"/>
      <c r="I2743" s="11"/>
      <c r="J2743" s="11"/>
      <c r="K2743" s="11"/>
      <c r="L2743" s="12"/>
      <c r="M2743" s="11"/>
      <c r="N2743" s="11"/>
      <c r="O2743" s="13"/>
      <c r="P2743" s="14"/>
      <c r="Q2743" s="13"/>
      <c r="R2743" s="13"/>
      <c r="S2743" s="15"/>
      <c r="T2743" s="16"/>
      <c r="U2743" s="16"/>
      <c r="V2743" s="16"/>
      <c r="W2743" s="16"/>
      <c r="X2743" s="16"/>
      <c r="Y2743" s="11"/>
      <c r="Z2743" s="11"/>
      <c r="AA2743" s="11"/>
      <c r="AB2743" s="11"/>
      <c r="AC2743" s="11"/>
      <c r="AD2743" s="11"/>
    </row>
    <row r="2744">
      <c r="A2744" s="10"/>
      <c r="B2744" s="10"/>
      <c r="C2744" s="10"/>
      <c r="D2744" s="10"/>
      <c r="E2744" s="10"/>
      <c r="F2744" s="11"/>
      <c r="G2744" s="11"/>
      <c r="H2744" s="11"/>
      <c r="I2744" s="11"/>
      <c r="J2744" s="11"/>
      <c r="K2744" s="11"/>
      <c r="L2744" s="12"/>
      <c r="M2744" s="11"/>
      <c r="N2744" s="11"/>
      <c r="O2744" s="13"/>
      <c r="P2744" s="14"/>
      <c r="Q2744" s="13"/>
      <c r="R2744" s="13"/>
      <c r="S2744" s="15"/>
      <c r="T2744" s="16"/>
      <c r="U2744" s="16"/>
      <c r="V2744" s="16"/>
      <c r="W2744" s="16"/>
      <c r="X2744" s="16"/>
      <c r="Y2744" s="11"/>
      <c r="Z2744" s="11"/>
      <c r="AA2744" s="11"/>
      <c r="AB2744" s="11"/>
      <c r="AC2744" s="11"/>
      <c r="AD2744" s="11"/>
    </row>
    <row r="2745">
      <c r="A2745" s="10"/>
      <c r="B2745" s="10"/>
      <c r="C2745" s="10"/>
      <c r="D2745" s="10"/>
      <c r="E2745" s="10"/>
      <c r="F2745" s="11"/>
      <c r="G2745" s="11"/>
      <c r="H2745" s="11"/>
      <c r="I2745" s="11"/>
      <c r="J2745" s="11"/>
      <c r="K2745" s="11"/>
      <c r="L2745" s="12"/>
      <c r="M2745" s="11"/>
      <c r="N2745" s="11"/>
      <c r="O2745" s="13"/>
      <c r="P2745" s="14"/>
      <c r="Q2745" s="13"/>
      <c r="R2745" s="13"/>
      <c r="S2745" s="15"/>
      <c r="T2745" s="16"/>
      <c r="U2745" s="16"/>
      <c r="V2745" s="16"/>
      <c r="W2745" s="16"/>
      <c r="X2745" s="16"/>
      <c r="Y2745" s="11"/>
      <c r="Z2745" s="11"/>
      <c r="AA2745" s="11"/>
      <c r="AB2745" s="11"/>
      <c r="AC2745" s="11"/>
      <c r="AD2745" s="11"/>
    </row>
    <row r="2746">
      <c r="A2746" s="10"/>
      <c r="B2746" s="10"/>
      <c r="C2746" s="10"/>
      <c r="D2746" s="10"/>
      <c r="E2746" s="10"/>
      <c r="F2746" s="11"/>
      <c r="G2746" s="11"/>
      <c r="H2746" s="11"/>
      <c r="I2746" s="11"/>
      <c r="J2746" s="11"/>
      <c r="K2746" s="11"/>
      <c r="L2746" s="12"/>
      <c r="M2746" s="11"/>
      <c r="N2746" s="11"/>
      <c r="O2746" s="13"/>
      <c r="P2746" s="14"/>
      <c r="Q2746" s="13"/>
      <c r="R2746" s="13"/>
      <c r="S2746" s="15"/>
      <c r="T2746" s="16"/>
      <c r="U2746" s="16"/>
      <c r="V2746" s="16"/>
      <c r="W2746" s="16"/>
      <c r="X2746" s="16"/>
      <c r="Y2746" s="11"/>
      <c r="Z2746" s="11"/>
      <c r="AA2746" s="11"/>
      <c r="AB2746" s="11"/>
      <c r="AC2746" s="11"/>
      <c r="AD2746" s="11"/>
    </row>
    <row r="2747">
      <c r="A2747" s="10"/>
      <c r="B2747" s="10"/>
      <c r="C2747" s="10"/>
      <c r="D2747" s="10"/>
      <c r="E2747" s="10"/>
      <c r="F2747" s="11"/>
      <c r="G2747" s="11"/>
      <c r="H2747" s="11"/>
      <c r="I2747" s="11"/>
      <c r="J2747" s="11"/>
      <c r="K2747" s="11"/>
      <c r="L2747" s="12"/>
      <c r="M2747" s="11"/>
      <c r="N2747" s="11"/>
      <c r="O2747" s="13"/>
      <c r="P2747" s="14"/>
      <c r="Q2747" s="13"/>
      <c r="R2747" s="13"/>
      <c r="S2747" s="15"/>
      <c r="T2747" s="16"/>
      <c r="U2747" s="16"/>
      <c r="V2747" s="16"/>
      <c r="W2747" s="16"/>
      <c r="X2747" s="16"/>
      <c r="Y2747" s="11"/>
      <c r="Z2747" s="11"/>
      <c r="AA2747" s="11"/>
      <c r="AB2747" s="11"/>
      <c r="AC2747" s="11"/>
      <c r="AD2747" s="11"/>
    </row>
    <row r="2748">
      <c r="A2748" s="10"/>
      <c r="B2748" s="10"/>
      <c r="C2748" s="10"/>
      <c r="D2748" s="10"/>
      <c r="E2748" s="10"/>
      <c r="F2748" s="11"/>
      <c r="G2748" s="11"/>
      <c r="H2748" s="11"/>
      <c r="I2748" s="11"/>
      <c r="J2748" s="11"/>
      <c r="K2748" s="11"/>
      <c r="L2748" s="12"/>
      <c r="M2748" s="11"/>
      <c r="N2748" s="11"/>
      <c r="O2748" s="13"/>
      <c r="P2748" s="14"/>
      <c r="Q2748" s="13"/>
      <c r="R2748" s="13"/>
      <c r="S2748" s="15"/>
      <c r="T2748" s="16"/>
      <c r="U2748" s="16"/>
      <c r="V2748" s="16"/>
      <c r="W2748" s="16"/>
      <c r="X2748" s="16"/>
      <c r="Y2748" s="11"/>
      <c r="Z2748" s="11"/>
      <c r="AA2748" s="11"/>
      <c r="AB2748" s="11"/>
      <c r="AC2748" s="11"/>
      <c r="AD2748" s="11"/>
    </row>
    <row r="2749">
      <c r="A2749" s="10"/>
      <c r="B2749" s="10"/>
      <c r="C2749" s="10"/>
      <c r="D2749" s="10"/>
      <c r="E2749" s="10"/>
      <c r="F2749" s="11"/>
      <c r="G2749" s="11"/>
      <c r="H2749" s="11"/>
      <c r="I2749" s="11"/>
      <c r="J2749" s="11"/>
      <c r="K2749" s="11"/>
      <c r="L2749" s="12"/>
      <c r="M2749" s="11"/>
      <c r="N2749" s="11"/>
      <c r="O2749" s="13"/>
      <c r="P2749" s="14"/>
      <c r="Q2749" s="13"/>
      <c r="R2749" s="13"/>
      <c r="S2749" s="15"/>
      <c r="T2749" s="16"/>
      <c r="U2749" s="16"/>
      <c r="V2749" s="16"/>
      <c r="W2749" s="16"/>
      <c r="X2749" s="16"/>
      <c r="Y2749" s="11"/>
      <c r="Z2749" s="11"/>
      <c r="AA2749" s="11"/>
      <c r="AB2749" s="11"/>
      <c r="AC2749" s="11"/>
      <c r="AD2749" s="11"/>
    </row>
    <row r="2750">
      <c r="A2750" s="10"/>
      <c r="B2750" s="10"/>
      <c r="C2750" s="10"/>
      <c r="D2750" s="10"/>
      <c r="E2750" s="10"/>
      <c r="F2750" s="11"/>
      <c r="G2750" s="11"/>
      <c r="H2750" s="11"/>
      <c r="I2750" s="11"/>
      <c r="J2750" s="11"/>
      <c r="K2750" s="11"/>
      <c r="L2750" s="12"/>
      <c r="M2750" s="11"/>
      <c r="N2750" s="11"/>
      <c r="O2750" s="13"/>
      <c r="P2750" s="14"/>
      <c r="Q2750" s="13"/>
      <c r="R2750" s="13"/>
      <c r="S2750" s="15"/>
      <c r="T2750" s="16"/>
      <c r="U2750" s="16"/>
      <c r="V2750" s="16"/>
      <c r="W2750" s="16"/>
      <c r="X2750" s="16"/>
      <c r="Y2750" s="11"/>
      <c r="Z2750" s="11"/>
      <c r="AA2750" s="11"/>
      <c r="AB2750" s="11"/>
      <c r="AC2750" s="11"/>
      <c r="AD2750" s="11"/>
    </row>
    <row r="2751">
      <c r="A2751" s="10"/>
      <c r="B2751" s="10"/>
      <c r="C2751" s="10"/>
      <c r="D2751" s="10"/>
      <c r="E2751" s="10"/>
      <c r="F2751" s="11"/>
      <c r="G2751" s="11"/>
      <c r="H2751" s="11"/>
      <c r="I2751" s="11"/>
      <c r="J2751" s="11"/>
      <c r="K2751" s="11"/>
      <c r="L2751" s="12"/>
      <c r="M2751" s="11"/>
      <c r="N2751" s="11"/>
      <c r="O2751" s="13"/>
      <c r="P2751" s="14"/>
      <c r="Q2751" s="13"/>
      <c r="R2751" s="13"/>
      <c r="S2751" s="15"/>
      <c r="T2751" s="16"/>
      <c r="U2751" s="16"/>
      <c r="V2751" s="16"/>
      <c r="W2751" s="16"/>
      <c r="X2751" s="16"/>
      <c r="Y2751" s="11"/>
      <c r="Z2751" s="11"/>
      <c r="AA2751" s="11"/>
      <c r="AB2751" s="11"/>
      <c r="AC2751" s="11"/>
      <c r="AD2751" s="11"/>
    </row>
    <row r="2752">
      <c r="A2752" s="10"/>
      <c r="B2752" s="10"/>
      <c r="C2752" s="10"/>
      <c r="D2752" s="10"/>
      <c r="E2752" s="10"/>
      <c r="F2752" s="11"/>
      <c r="G2752" s="11"/>
      <c r="H2752" s="11"/>
      <c r="I2752" s="11"/>
      <c r="J2752" s="11"/>
      <c r="K2752" s="11"/>
      <c r="L2752" s="12"/>
      <c r="M2752" s="11"/>
      <c r="N2752" s="11"/>
      <c r="O2752" s="13"/>
      <c r="P2752" s="14"/>
      <c r="Q2752" s="13"/>
      <c r="R2752" s="13"/>
      <c r="S2752" s="15"/>
      <c r="T2752" s="16"/>
      <c r="U2752" s="16"/>
      <c r="V2752" s="16"/>
      <c r="W2752" s="16"/>
      <c r="X2752" s="16"/>
      <c r="Y2752" s="11"/>
      <c r="Z2752" s="11"/>
      <c r="AA2752" s="11"/>
      <c r="AB2752" s="11"/>
      <c r="AC2752" s="11"/>
      <c r="AD2752" s="11"/>
    </row>
    <row r="2753">
      <c r="A2753" s="10"/>
      <c r="B2753" s="10"/>
      <c r="C2753" s="10"/>
      <c r="D2753" s="10"/>
      <c r="E2753" s="10"/>
      <c r="F2753" s="11"/>
      <c r="G2753" s="11"/>
      <c r="H2753" s="11"/>
      <c r="I2753" s="11"/>
      <c r="J2753" s="11"/>
      <c r="K2753" s="11"/>
      <c r="L2753" s="12"/>
      <c r="M2753" s="11"/>
      <c r="N2753" s="11"/>
      <c r="O2753" s="13"/>
      <c r="P2753" s="14"/>
      <c r="Q2753" s="13"/>
      <c r="R2753" s="13"/>
      <c r="S2753" s="15"/>
      <c r="T2753" s="16"/>
      <c r="U2753" s="16"/>
      <c r="V2753" s="16"/>
      <c r="W2753" s="16"/>
      <c r="X2753" s="16"/>
      <c r="Y2753" s="11"/>
      <c r="Z2753" s="11"/>
      <c r="AA2753" s="11"/>
      <c r="AB2753" s="11"/>
      <c r="AC2753" s="11"/>
      <c r="AD2753" s="11"/>
    </row>
    <row r="2754">
      <c r="A2754" s="10"/>
      <c r="B2754" s="10"/>
      <c r="C2754" s="10"/>
      <c r="D2754" s="10"/>
      <c r="E2754" s="10"/>
      <c r="F2754" s="11"/>
      <c r="G2754" s="11"/>
      <c r="H2754" s="11"/>
      <c r="I2754" s="11"/>
      <c r="J2754" s="11"/>
      <c r="K2754" s="11"/>
      <c r="L2754" s="12"/>
      <c r="M2754" s="11"/>
      <c r="N2754" s="11"/>
      <c r="O2754" s="13"/>
      <c r="P2754" s="14"/>
      <c r="Q2754" s="13"/>
      <c r="R2754" s="13"/>
      <c r="S2754" s="15"/>
      <c r="T2754" s="16"/>
      <c r="U2754" s="16"/>
      <c r="V2754" s="16"/>
      <c r="W2754" s="16"/>
      <c r="X2754" s="16"/>
      <c r="Y2754" s="11"/>
      <c r="Z2754" s="11"/>
      <c r="AA2754" s="11"/>
      <c r="AB2754" s="11"/>
      <c r="AC2754" s="11"/>
      <c r="AD2754" s="11"/>
    </row>
    <row r="2755">
      <c r="A2755" s="10"/>
      <c r="B2755" s="10"/>
      <c r="C2755" s="10"/>
      <c r="D2755" s="10"/>
      <c r="E2755" s="10"/>
      <c r="F2755" s="11"/>
      <c r="G2755" s="11"/>
      <c r="H2755" s="11"/>
      <c r="I2755" s="11"/>
      <c r="J2755" s="11"/>
      <c r="K2755" s="11"/>
      <c r="L2755" s="12"/>
      <c r="M2755" s="11"/>
      <c r="N2755" s="11"/>
      <c r="O2755" s="13"/>
      <c r="P2755" s="14"/>
      <c r="Q2755" s="13"/>
      <c r="R2755" s="13"/>
      <c r="S2755" s="15"/>
      <c r="T2755" s="16"/>
      <c r="U2755" s="16"/>
      <c r="V2755" s="16"/>
      <c r="W2755" s="16"/>
      <c r="X2755" s="16"/>
      <c r="Y2755" s="11"/>
      <c r="Z2755" s="11"/>
      <c r="AA2755" s="11"/>
      <c r="AB2755" s="11"/>
      <c r="AC2755" s="11"/>
      <c r="AD2755" s="11"/>
    </row>
    <row r="2756">
      <c r="A2756" s="10"/>
      <c r="B2756" s="10"/>
      <c r="C2756" s="10"/>
      <c r="D2756" s="10"/>
      <c r="E2756" s="10"/>
      <c r="F2756" s="11"/>
      <c r="G2756" s="11"/>
      <c r="H2756" s="11"/>
      <c r="I2756" s="11"/>
      <c r="J2756" s="11"/>
      <c r="K2756" s="11"/>
      <c r="L2756" s="12"/>
      <c r="M2756" s="11"/>
      <c r="N2756" s="11"/>
      <c r="O2756" s="13"/>
      <c r="P2756" s="14"/>
      <c r="Q2756" s="13"/>
      <c r="R2756" s="13"/>
      <c r="S2756" s="15"/>
      <c r="T2756" s="16"/>
      <c r="U2756" s="16"/>
      <c r="V2756" s="16"/>
      <c r="W2756" s="16"/>
      <c r="X2756" s="16"/>
      <c r="Y2756" s="11"/>
      <c r="Z2756" s="11"/>
      <c r="AA2756" s="11"/>
      <c r="AB2756" s="11"/>
      <c r="AC2756" s="11"/>
      <c r="AD2756" s="11"/>
    </row>
    <row r="2757">
      <c r="A2757" s="10"/>
      <c r="B2757" s="10"/>
      <c r="C2757" s="10"/>
      <c r="D2757" s="10"/>
      <c r="E2757" s="10"/>
      <c r="F2757" s="11"/>
      <c r="G2757" s="11"/>
      <c r="H2757" s="11"/>
      <c r="I2757" s="11"/>
      <c r="J2757" s="11"/>
      <c r="K2757" s="11"/>
      <c r="L2757" s="12"/>
      <c r="M2757" s="11"/>
      <c r="N2757" s="11"/>
      <c r="O2757" s="13"/>
      <c r="P2757" s="14"/>
      <c r="Q2757" s="13"/>
      <c r="R2757" s="13"/>
      <c r="S2757" s="15"/>
      <c r="T2757" s="16"/>
      <c r="U2757" s="16"/>
      <c r="V2757" s="16"/>
      <c r="W2757" s="16"/>
      <c r="X2757" s="16"/>
      <c r="Y2757" s="11"/>
      <c r="Z2757" s="11"/>
      <c r="AA2757" s="11"/>
      <c r="AB2757" s="11"/>
      <c r="AC2757" s="11"/>
      <c r="AD2757" s="11"/>
    </row>
    <row r="2758">
      <c r="A2758" s="10"/>
      <c r="B2758" s="10"/>
      <c r="C2758" s="10"/>
      <c r="D2758" s="10"/>
      <c r="E2758" s="10"/>
      <c r="F2758" s="11"/>
      <c r="G2758" s="11"/>
      <c r="H2758" s="11"/>
      <c r="I2758" s="11"/>
      <c r="J2758" s="11"/>
      <c r="K2758" s="11"/>
      <c r="L2758" s="12"/>
      <c r="M2758" s="11"/>
      <c r="N2758" s="11"/>
      <c r="O2758" s="13"/>
      <c r="P2758" s="14"/>
      <c r="Q2758" s="13"/>
      <c r="R2758" s="13"/>
      <c r="S2758" s="15"/>
      <c r="T2758" s="16"/>
      <c r="U2758" s="16"/>
      <c r="V2758" s="16"/>
      <c r="W2758" s="16"/>
      <c r="X2758" s="16"/>
      <c r="Y2758" s="11"/>
      <c r="Z2758" s="11"/>
      <c r="AA2758" s="11"/>
      <c r="AB2758" s="11"/>
      <c r="AC2758" s="11"/>
      <c r="AD2758" s="11"/>
    </row>
    <row r="2759">
      <c r="A2759" s="10"/>
      <c r="B2759" s="10"/>
      <c r="C2759" s="10"/>
      <c r="D2759" s="10"/>
      <c r="E2759" s="10"/>
      <c r="F2759" s="11"/>
      <c r="G2759" s="11"/>
      <c r="H2759" s="11"/>
      <c r="I2759" s="11"/>
      <c r="J2759" s="11"/>
      <c r="K2759" s="11"/>
      <c r="L2759" s="12"/>
      <c r="M2759" s="11"/>
      <c r="N2759" s="11"/>
      <c r="O2759" s="13"/>
      <c r="P2759" s="14"/>
      <c r="Q2759" s="13"/>
      <c r="R2759" s="13"/>
      <c r="S2759" s="15"/>
      <c r="T2759" s="16"/>
      <c r="U2759" s="16"/>
      <c r="V2759" s="16"/>
      <c r="W2759" s="16"/>
      <c r="X2759" s="16"/>
      <c r="Y2759" s="11"/>
      <c r="Z2759" s="11"/>
      <c r="AA2759" s="11"/>
      <c r="AB2759" s="11"/>
      <c r="AC2759" s="11"/>
      <c r="AD2759" s="11"/>
    </row>
    <row r="2760">
      <c r="A2760" s="10"/>
      <c r="B2760" s="10"/>
      <c r="C2760" s="10"/>
      <c r="D2760" s="10"/>
      <c r="E2760" s="10"/>
      <c r="F2760" s="11"/>
      <c r="G2760" s="11"/>
      <c r="H2760" s="11"/>
      <c r="I2760" s="11"/>
      <c r="J2760" s="11"/>
      <c r="K2760" s="11"/>
      <c r="L2760" s="12"/>
      <c r="M2760" s="11"/>
      <c r="N2760" s="11"/>
      <c r="O2760" s="13"/>
      <c r="P2760" s="14"/>
      <c r="Q2760" s="13"/>
      <c r="R2760" s="13"/>
      <c r="S2760" s="15"/>
      <c r="T2760" s="16"/>
      <c r="U2760" s="16"/>
      <c r="V2760" s="16"/>
      <c r="W2760" s="16"/>
      <c r="X2760" s="16"/>
      <c r="Y2760" s="11"/>
      <c r="Z2760" s="11"/>
      <c r="AA2760" s="11"/>
      <c r="AB2760" s="11"/>
      <c r="AC2760" s="11"/>
      <c r="AD2760" s="11"/>
    </row>
    <row r="2761">
      <c r="A2761" s="10"/>
      <c r="B2761" s="10"/>
      <c r="C2761" s="10"/>
      <c r="D2761" s="10"/>
      <c r="E2761" s="10"/>
      <c r="F2761" s="11"/>
      <c r="G2761" s="11"/>
      <c r="H2761" s="11"/>
      <c r="I2761" s="11"/>
      <c r="J2761" s="11"/>
      <c r="K2761" s="11"/>
      <c r="L2761" s="12"/>
      <c r="M2761" s="11"/>
      <c r="N2761" s="11"/>
      <c r="O2761" s="13"/>
      <c r="P2761" s="14"/>
      <c r="Q2761" s="13"/>
      <c r="R2761" s="13"/>
      <c r="S2761" s="15"/>
      <c r="T2761" s="16"/>
      <c r="U2761" s="16"/>
      <c r="V2761" s="16"/>
      <c r="W2761" s="16"/>
      <c r="X2761" s="16"/>
      <c r="Y2761" s="11"/>
      <c r="Z2761" s="11"/>
      <c r="AA2761" s="11"/>
      <c r="AB2761" s="11"/>
      <c r="AC2761" s="11"/>
      <c r="AD2761" s="11"/>
    </row>
    <row r="2762">
      <c r="A2762" s="10"/>
      <c r="B2762" s="10"/>
      <c r="C2762" s="10"/>
      <c r="D2762" s="10"/>
      <c r="E2762" s="10"/>
      <c r="F2762" s="11"/>
      <c r="G2762" s="11"/>
      <c r="H2762" s="11"/>
      <c r="I2762" s="11"/>
      <c r="J2762" s="11"/>
      <c r="K2762" s="11"/>
      <c r="L2762" s="12"/>
      <c r="M2762" s="11"/>
      <c r="N2762" s="11"/>
      <c r="O2762" s="13"/>
      <c r="P2762" s="14"/>
      <c r="Q2762" s="13"/>
      <c r="R2762" s="13"/>
      <c r="S2762" s="15"/>
      <c r="T2762" s="16"/>
      <c r="U2762" s="16"/>
      <c r="V2762" s="16"/>
      <c r="W2762" s="16"/>
      <c r="X2762" s="16"/>
      <c r="Y2762" s="11"/>
      <c r="Z2762" s="11"/>
      <c r="AA2762" s="11"/>
      <c r="AB2762" s="11"/>
      <c r="AC2762" s="11"/>
      <c r="AD2762" s="11"/>
    </row>
    <row r="2763">
      <c r="A2763" s="10"/>
      <c r="B2763" s="10"/>
      <c r="C2763" s="10"/>
      <c r="D2763" s="10"/>
      <c r="E2763" s="10"/>
      <c r="F2763" s="11"/>
      <c r="G2763" s="11"/>
      <c r="H2763" s="11"/>
      <c r="I2763" s="11"/>
      <c r="J2763" s="11"/>
      <c r="K2763" s="11"/>
      <c r="L2763" s="12"/>
      <c r="M2763" s="11"/>
      <c r="N2763" s="11"/>
      <c r="O2763" s="13"/>
      <c r="P2763" s="14"/>
      <c r="Q2763" s="13"/>
      <c r="R2763" s="13"/>
      <c r="S2763" s="15"/>
      <c r="T2763" s="16"/>
      <c r="U2763" s="16"/>
      <c r="V2763" s="16"/>
      <c r="W2763" s="16"/>
      <c r="X2763" s="16"/>
      <c r="Y2763" s="11"/>
      <c r="Z2763" s="11"/>
      <c r="AA2763" s="11"/>
      <c r="AB2763" s="11"/>
      <c r="AC2763" s="11"/>
      <c r="AD2763" s="11"/>
    </row>
    <row r="2764">
      <c r="A2764" s="10"/>
      <c r="B2764" s="10"/>
      <c r="C2764" s="10"/>
      <c r="D2764" s="10"/>
      <c r="E2764" s="10"/>
      <c r="F2764" s="11"/>
      <c r="G2764" s="11"/>
      <c r="H2764" s="11"/>
      <c r="I2764" s="11"/>
      <c r="J2764" s="11"/>
      <c r="K2764" s="11"/>
      <c r="L2764" s="12"/>
      <c r="M2764" s="11"/>
      <c r="N2764" s="11"/>
      <c r="O2764" s="13"/>
      <c r="P2764" s="14"/>
      <c r="Q2764" s="13"/>
      <c r="R2764" s="13"/>
      <c r="S2764" s="15"/>
      <c r="T2764" s="16"/>
      <c r="U2764" s="16"/>
      <c r="V2764" s="16"/>
      <c r="W2764" s="16"/>
      <c r="X2764" s="16"/>
      <c r="Y2764" s="11"/>
      <c r="Z2764" s="11"/>
      <c r="AA2764" s="11"/>
      <c r="AB2764" s="11"/>
      <c r="AC2764" s="11"/>
      <c r="AD2764" s="11"/>
    </row>
    <row r="2765">
      <c r="A2765" s="10"/>
      <c r="B2765" s="10"/>
      <c r="C2765" s="10"/>
      <c r="D2765" s="10"/>
      <c r="E2765" s="10"/>
      <c r="F2765" s="11"/>
      <c r="G2765" s="11"/>
      <c r="H2765" s="11"/>
      <c r="I2765" s="11"/>
      <c r="J2765" s="11"/>
      <c r="K2765" s="11"/>
      <c r="L2765" s="12"/>
      <c r="M2765" s="11"/>
      <c r="N2765" s="11"/>
      <c r="O2765" s="13"/>
      <c r="P2765" s="14"/>
      <c r="Q2765" s="13"/>
      <c r="R2765" s="13"/>
      <c r="S2765" s="15"/>
      <c r="T2765" s="16"/>
      <c r="U2765" s="16"/>
      <c r="V2765" s="16"/>
      <c r="W2765" s="16"/>
      <c r="X2765" s="16"/>
      <c r="Y2765" s="11"/>
      <c r="Z2765" s="11"/>
      <c r="AA2765" s="11"/>
      <c r="AB2765" s="11"/>
      <c r="AC2765" s="11"/>
      <c r="AD2765" s="11"/>
    </row>
    <row r="2766">
      <c r="A2766" s="10"/>
      <c r="B2766" s="10"/>
      <c r="C2766" s="10"/>
      <c r="D2766" s="10"/>
      <c r="E2766" s="10"/>
      <c r="F2766" s="11"/>
      <c r="G2766" s="11"/>
      <c r="H2766" s="11"/>
      <c r="I2766" s="11"/>
      <c r="J2766" s="11"/>
      <c r="K2766" s="11"/>
      <c r="L2766" s="12"/>
      <c r="M2766" s="11"/>
      <c r="N2766" s="11"/>
      <c r="O2766" s="13"/>
      <c r="P2766" s="14"/>
      <c r="Q2766" s="13"/>
      <c r="R2766" s="13"/>
      <c r="S2766" s="15"/>
      <c r="T2766" s="16"/>
      <c r="U2766" s="16"/>
      <c r="V2766" s="16"/>
      <c r="W2766" s="16"/>
      <c r="X2766" s="16"/>
      <c r="Y2766" s="11"/>
      <c r="Z2766" s="11"/>
      <c r="AA2766" s="11"/>
      <c r="AB2766" s="11"/>
      <c r="AC2766" s="11"/>
      <c r="AD2766" s="11"/>
    </row>
    <row r="2767">
      <c r="A2767" s="10"/>
      <c r="B2767" s="10"/>
      <c r="C2767" s="10"/>
      <c r="D2767" s="10"/>
      <c r="E2767" s="10"/>
      <c r="F2767" s="11"/>
      <c r="G2767" s="11"/>
      <c r="H2767" s="11"/>
      <c r="I2767" s="11"/>
      <c r="J2767" s="11"/>
      <c r="K2767" s="11"/>
      <c r="L2767" s="12"/>
      <c r="M2767" s="11"/>
      <c r="N2767" s="11"/>
      <c r="O2767" s="13"/>
      <c r="P2767" s="14"/>
      <c r="Q2767" s="13"/>
      <c r="R2767" s="13"/>
      <c r="S2767" s="15"/>
      <c r="T2767" s="16"/>
      <c r="U2767" s="16"/>
      <c r="V2767" s="16"/>
      <c r="W2767" s="16"/>
      <c r="X2767" s="16"/>
      <c r="Y2767" s="11"/>
      <c r="Z2767" s="11"/>
      <c r="AA2767" s="11"/>
      <c r="AB2767" s="11"/>
      <c r="AC2767" s="11"/>
      <c r="AD2767" s="11"/>
    </row>
    <row r="2768">
      <c r="A2768" s="10"/>
      <c r="B2768" s="10"/>
      <c r="C2768" s="10"/>
      <c r="D2768" s="10"/>
      <c r="E2768" s="10"/>
      <c r="F2768" s="11"/>
      <c r="G2768" s="11"/>
      <c r="H2768" s="11"/>
      <c r="I2768" s="11"/>
      <c r="J2768" s="11"/>
      <c r="K2768" s="11"/>
      <c r="L2768" s="12"/>
      <c r="M2768" s="11"/>
      <c r="N2768" s="11"/>
      <c r="O2768" s="13"/>
      <c r="P2768" s="14"/>
      <c r="Q2768" s="13"/>
      <c r="R2768" s="13"/>
      <c r="S2768" s="15"/>
      <c r="T2768" s="16"/>
      <c r="U2768" s="16"/>
      <c r="V2768" s="16"/>
      <c r="W2768" s="16"/>
      <c r="X2768" s="16"/>
      <c r="Y2768" s="11"/>
      <c r="Z2768" s="11"/>
      <c r="AA2768" s="11"/>
      <c r="AB2768" s="11"/>
      <c r="AC2768" s="11"/>
      <c r="AD2768" s="11"/>
    </row>
    <row r="2769">
      <c r="A2769" s="10"/>
      <c r="B2769" s="10"/>
      <c r="C2769" s="10"/>
      <c r="D2769" s="10"/>
      <c r="E2769" s="10"/>
      <c r="F2769" s="11"/>
      <c r="G2769" s="11"/>
      <c r="H2769" s="11"/>
      <c r="I2769" s="11"/>
      <c r="J2769" s="11"/>
      <c r="K2769" s="11"/>
      <c r="L2769" s="12"/>
      <c r="M2769" s="11"/>
      <c r="N2769" s="11"/>
      <c r="O2769" s="13"/>
      <c r="P2769" s="14"/>
      <c r="Q2769" s="13"/>
      <c r="R2769" s="13"/>
      <c r="S2769" s="15"/>
      <c r="T2769" s="16"/>
      <c r="U2769" s="16"/>
      <c r="V2769" s="16"/>
      <c r="W2769" s="16"/>
      <c r="X2769" s="16"/>
      <c r="Y2769" s="11"/>
      <c r="Z2769" s="11"/>
      <c r="AA2769" s="11"/>
      <c r="AB2769" s="11"/>
      <c r="AC2769" s="11"/>
      <c r="AD2769" s="11"/>
    </row>
    <row r="2770">
      <c r="A2770" s="10"/>
      <c r="B2770" s="10"/>
      <c r="C2770" s="10"/>
      <c r="D2770" s="10"/>
      <c r="E2770" s="10"/>
      <c r="F2770" s="11"/>
      <c r="G2770" s="11"/>
      <c r="H2770" s="11"/>
      <c r="I2770" s="11"/>
      <c r="J2770" s="11"/>
      <c r="K2770" s="11"/>
      <c r="L2770" s="12"/>
      <c r="M2770" s="11"/>
      <c r="N2770" s="11"/>
      <c r="O2770" s="13"/>
      <c r="P2770" s="14"/>
      <c r="Q2770" s="13"/>
      <c r="R2770" s="13"/>
      <c r="S2770" s="15"/>
      <c r="T2770" s="16"/>
      <c r="U2770" s="16"/>
      <c r="V2770" s="16"/>
      <c r="W2770" s="16"/>
      <c r="X2770" s="16"/>
      <c r="Y2770" s="11"/>
      <c r="Z2770" s="11"/>
      <c r="AA2770" s="11"/>
      <c r="AB2770" s="11"/>
      <c r="AC2770" s="11"/>
      <c r="AD2770" s="11"/>
    </row>
    <row r="2771">
      <c r="A2771" s="10"/>
      <c r="B2771" s="10"/>
      <c r="C2771" s="10"/>
      <c r="D2771" s="10"/>
      <c r="E2771" s="10"/>
      <c r="F2771" s="11"/>
      <c r="G2771" s="11"/>
      <c r="H2771" s="11"/>
      <c r="I2771" s="11"/>
      <c r="J2771" s="11"/>
      <c r="K2771" s="11"/>
      <c r="L2771" s="12"/>
      <c r="M2771" s="11"/>
      <c r="N2771" s="11"/>
      <c r="O2771" s="13"/>
      <c r="P2771" s="14"/>
      <c r="Q2771" s="13"/>
      <c r="R2771" s="13"/>
      <c r="S2771" s="15"/>
      <c r="T2771" s="16"/>
      <c r="U2771" s="16"/>
      <c r="V2771" s="16"/>
      <c r="W2771" s="16"/>
      <c r="X2771" s="16"/>
      <c r="Y2771" s="11"/>
      <c r="Z2771" s="11"/>
      <c r="AA2771" s="11"/>
      <c r="AB2771" s="11"/>
      <c r="AC2771" s="11"/>
      <c r="AD2771" s="11"/>
    </row>
    <row r="2772">
      <c r="A2772" s="10"/>
      <c r="B2772" s="10"/>
      <c r="C2772" s="10"/>
      <c r="D2772" s="10"/>
      <c r="E2772" s="10"/>
      <c r="F2772" s="11"/>
      <c r="G2772" s="11"/>
      <c r="H2772" s="11"/>
      <c r="I2772" s="11"/>
      <c r="J2772" s="11"/>
      <c r="K2772" s="11"/>
      <c r="L2772" s="12"/>
      <c r="M2772" s="11"/>
      <c r="N2772" s="11"/>
      <c r="O2772" s="13"/>
      <c r="P2772" s="14"/>
      <c r="Q2772" s="13"/>
      <c r="R2772" s="13"/>
      <c r="S2772" s="15"/>
      <c r="T2772" s="16"/>
      <c r="U2772" s="16"/>
      <c r="V2772" s="16"/>
      <c r="W2772" s="16"/>
      <c r="X2772" s="16"/>
      <c r="Y2772" s="11"/>
      <c r="Z2772" s="11"/>
      <c r="AA2772" s="11"/>
      <c r="AB2772" s="11"/>
      <c r="AC2772" s="11"/>
      <c r="AD2772" s="11"/>
    </row>
    <row r="2773">
      <c r="A2773" s="10"/>
      <c r="B2773" s="10"/>
      <c r="C2773" s="10"/>
      <c r="D2773" s="10"/>
      <c r="E2773" s="10"/>
      <c r="F2773" s="11"/>
      <c r="G2773" s="11"/>
      <c r="H2773" s="11"/>
      <c r="I2773" s="11"/>
      <c r="J2773" s="11"/>
      <c r="K2773" s="11"/>
      <c r="L2773" s="12"/>
      <c r="M2773" s="11"/>
      <c r="N2773" s="11"/>
      <c r="O2773" s="13"/>
      <c r="P2773" s="14"/>
      <c r="Q2773" s="13"/>
      <c r="R2773" s="13"/>
      <c r="S2773" s="15"/>
      <c r="T2773" s="16"/>
      <c r="U2773" s="16"/>
      <c r="V2773" s="16"/>
      <c r="W2773" s="16"/>
      <c r="X2773" s="16"/>
      <c r="Y2773" s="11"/>
      <c r="Z2773" s="11"/>
      <c r="AA2773" s="11"/>
      <c r="AB2773" s="11"/>
      <c r="AC2773" s="11"/>
      <c r="AD2773" s="11"/>
    </row>
    <row r="2774">
      <c r="A2774" s="10"/>
      <c r="B2774" s="10"/>
      <c r="C2774" s="10"/>
      <c r="D2774" s="10"/>
      <c r="E2774" s="10"/>
      <c r="F2774" s="11"/>
      <c r="G2774" s="11"/>
      <c r="H2774" s="11"/>
      <c r="I2774" s="11"/>
      <c r="J2774" s="11"/>
      <c r="K2774" s="11"/>
      <c r="L2774" s="12"/>
      <c r="M2774" s="11"/>
      <c r="N2774" s="11"/>
      <c r="O2774" s="13"/>
      <c r="P2774" s="14"/>
      <c r="Q2774" s="13"/>
      <c r="R2774" s="13"/>
      <c r="S2774" s="15"/>
      <c r="T2774" s="16"/>
      <c r="U2774" s="16"/>
      <c r="V2774" s="16"/>
      <c r="W2774" s="16"/>
      <c r="X2774" s="16"/>
      <c r="Y2774" s="11"/>
      <c r="Z2774" s="11"/>
      <c r="AA2774" s="11"/>
      <c r="AB2774" s="11"/>
      <c r="AC2774" s="11"/>
      <c r="AD2774" s="11"/>
    </row>
    <row r="2775">
      <c r="A2775" s="10"/>
      <c r="B2775" s="10"/>
      <c r="C2775" s="10"/>
      <c r="D2775" s="10"/>
      <c r="E2775" s="10"/>
      <c r="F2775" s="11"/>
      <c r="G2775" s="11"/>
      <c r="H2775" s="11"/>
      <c r="I2775" s="11"/>
      <c r="J2775" s="11"/>
      <c r="K2775" s="11"/>
      <c r="L2775" s="12"/>
      <c r="M2775" s="11"/>
      <c r="N2775" s="11"/>
      <c r="O2775" s="13"/>
      <c r="P2775" s="14"/>
      <c r="Q2775" s="13"/>
      <c r="R2775" s="13"/>
      <c r="S2775" s="15"/>
      <c r="T2775" s="16"/>
      <c r="U2775" s="16"/>
      <c r="V2775" s="16"/>
      <c r="W2775" s="16"/>
      <c r="X2775" s="16"/>
      <c r="Y2775" s="11"/>
      <c r="Z2775" s="11"/>
      <c r="AA2775" s="11"/>
      <c r="AB2775" s="11"/>
      <c r="AC2775" s="11"/>
      <c r="AD2775" s="11"/>
    </row>
    <row r="2776">
      <c r="A2776" s="10"/>
      <c r="B2776" s="10"/>
      <c r="C2776" s="10"/>
      <c r="D2776" s="10"/>
      <c r="E2776" s="10"/>
      <c r="F2776" s="11"/>
      <c r="G2776" s="11"/>
      <c r="H2776" s="11"/>
      <c r="I2776" s="11"/>
      <c r="J2776" s="11"/>
      <c r="K2776" s="11"/>
      <c r="L2776" s="12"/>
      <c r="M2776" s="11"/>
      <c r="N2776" s="11"/>
      <c r="O2776" s="13"/>
      <c r="P2776" s="14"/>
      <c r="Q2776" s="13"/>
      <c r="R2776" s="13"/>
      <c r="S2776" s="15"/>
      <c r="T2776" s="16"/>
      <c r="U2776" s="16"/>
      <c r="V2776" s="16"/>
      <c r="W2776" s="16"/>
      <c r="X2776" s="16"/>
      <c r="Y2776" s="11"/>
      <c r="Z2776" s="11"/>
      <c r="AA2776" s="11"/>
      <c r="AB2776" s="11"/>
      <c r="AC2776" s="11"/>
      <c r="AD2776" s="11"/>
    </row>
    <row r="2777">
      <c r="A2777" s="10"/>
      <c r="B2777" s="10"/>
      <c r="C2777" s="10"/>
      <c r="D2777" s="10"/>
      <c r="E2777" s="10"/>
      <c r="F2777" s="11"/>
      <c r="G2777" s="11"/>
      <c r="H2777" s="11"/>
      <c r="I2777" s="11"/>
      <c r="J2777" s="11"/>
      <c r="K2777" s="11"/>
      <c r="L2777" s="12"/>
      <c r="M2777" s="11"/>
      <c r="N2777" s="11"/>
      <c r="O2777" s="13"/>
      <c r="P2777" s="14"/>
      <c r="Q2777" s="13"/>
      <c r="R2777" s="13"/>
      <c r="S2777" s="15"/>
      <c r="T2777" s="16"/>
      <c r="U2777" s="16"/>
      <c r="V2777" s="16"/>
      <c r="W2777" s="16"/>
      <c r="X2777" s="16"/>
      <c r="Y2777" s="11"/>
      <c r="Z2777" s="11"/>
      <c r="AA2777" s="11"/>
      <c r="AB2777" s="11"/>
      <c r="AC2777" s="11"/>
      <c r="AD2777" s="11"/>
    </row>
    <row r="2778">
      <c r="A2778" s="10"/>
      <c r="B2778" s="10"/>
      <c r="C2778" s="10"/>
      <c r="D2778" s="10"/>
      <c r="E2778" s="10"/>
      <c r="F2778" s="11"/>
      <c r="G2778" s="11"/>
      <c r="H2778" s="11"/>
      <c r="I2778" s="11"/>
      <c r="J2778" s="11"/>
      <c r="K2778" s="11"/>
      <c r="L2778" s="12"/>
      <c r="M2778" s="11"/>
      <c r="N2778" s="11"/>
      <c r="O2778" s="13"/>
      <c r="P2778" s="14"/>
      <c r="Q2778" s="13"/>
      <c r="R2778" s="13"/>
      <c r="S2778" s="15"/>
      <c r="T2778" s="16"/>
      <c r="U2778" s="16"/>
      <c r="V2778" s="16"/>
      <c r="W2778" s="16"/>
      <c r="X2778" s="16"/>
      <c r="Y2778" s="11"/>
      <c r="Z2778" s="11"/>
      <c r="AA2778" s="11"/>
      <c r="AB2778" s="11"/>
      <c r="AC2778" s="11"/>
      <c r="AD2778" s="11"/>
    </row>
    <row r="2779">
      <c r="A2779" s="10"/>
      <c r="B2779" s="10"/>
      <c r="C2779" s="10"/>
      <c r="D2779" s="10"/>
      <c r="E2779" s="10"/>
      <c r="F2779" s="11"/>
      <c r="G2779" s="11"/>
      <c r="H2779" s="11"/>
      <c r="I2779" s="11"/>
      <c r="J2779" s="11"/>
      <c r="K2779" s="11"/>
      <c r="L2779" s="12"/>
      <c r="M2779" s="11"/>
      <c r="N2779" s="11"/>
      <c r="O2779" s="13"/>
      <c r="P2779" s="14"/>
      <c r="Q2779" s="13"/>
      <c r="R2779" s="13"/>
      <c r="S2779" s="15"/>
      <c r="T2779" s="16"/>
      <c r="U2779" s="16"/>
      <c r="V2779" s="16"/>
      <c r="W2779" s="16"/>
      <c r="X2779" s="16"/>
      <c r="Y2779" s="11"/>
      <c r="Z2779" s="11"/>
      <c r="AA2779" s="11"/>
      <c r="AB2779" s="11"/>
      <c r="AC2779" s="11"/>
      <c r="AD2779" s="11"/>
    </row>
    <row r="2780">
      <c r="A2780" s="10"/>
      <c r="B2780" s="10"/>
      <c r="C2780" s="10"/>
      <c r="D2780" s="10"/>
      <c r="E2780" s="10"/>
      <c r="F2780" s="11"/>
      <c r="G2780" s="11"/>
      <c r="H2780" s="11"/>
      <c r="I2780" s="11"/>
      <c r="J2780" s="11"/>
      <c r="K2780" s="11"/>
      <c r="L2780" s="12"/>
      <c r="M2780" s="11"/>
      <c r="N2780" s="11"/>
      <c r="O2780" s="13"/>
      <c r="P2780" s="14"/>
      <c r="Q2780" s="13"/>
      <c r="R2780" s="13"/>
      <c r="S2780" s="15"/>
      <c r="T2780" s="16"/>
      <c r="U2780" s="16"/>
      <c r="V2780" s="16"/>
      <c r="W2780" s="16"/>
      <c r="X2780" s="16"/>
      <c r="Y2780" s="11"/>
      <c r="Z2780" s="11"/>
      <c r="AA2780" s="11"/>
      <c r="AB2780" s="11"/>
      <c r="AC2780" s="11"/>
      <c r="AD2780" s="11"/>
    </row>
    <row r="2781">
      <c r="A2781" s="10"/>
      <c r="B2781" s="10"/>
      <c r="C2781" s="10"/>
      <c r="D2781" s="10"/>
      <c r="E2781" s="10"/>
      <c r="F2781" s="11"/>
      <c r="G2781" s="11"/>
      <c r="H2781" s="11"/>
      <c r="I2781" s="11"/>
      <c r="J2781" s="11"/>
      <c r="K2781" s="11"/>
      <c r="L2781" s="12"/>
      <c r="M2781" s="11"/>
      <c r="N2781" s="11"/>
      <c r="O2781" s="13"/>
      <c r="P2781" s="14"/>
      <c r="Q2781" s="13"/>
      <c r="R2781" s="13"/>
      <c r="S2781" s="15"/>
      <c r="T2781" s="16"/>
      <c r="U2781" s="16"/>
      <c r="V2781" s="16"/>
      <c r="W2781" s="16"/>
      <c r="X2781" s="16"/>
      <c r="Y2781" s="11"/>
      <c r="Z2781" s="11"/>
      <c r="AA2781" s="11"/>
      <c r="AB2781" s="11"/>
      <c r="AC2781" s="11"/>
      <c r="AD2781" s="11"/>
    </row>
    <row r="2782">
      <c r="A2782" s="10"/>
      <c r="B2782" s="10"/>
      <c r="C2782" s="10"/>
      <c r="D2782" s="10"/>
      <c r="E2782" s="10"/>
      <c r="F2782" s="11"/>
      <c r="G2782" s="11"/>
      <c r="H2782" s="11"/>
      <c r="I2782" s="11"/>
      <c r="J2782" s="11"/>
      <c r="K2782" s="11"/>
      <c r="L2782" s="12"/>
      <c r="M2782" s="11"/>
      <c r="N2782" s="11"/>
      <c r="O2782" s="13"/>
      <c r="P2782" s="14"/>
      <c r="Q2782" s="13"/>
      <c r="R2782" s="13"/>
      <c r="S2782" s="15"/>
      <c r="T2782" s="16"/>
      <c r="U2782" s="16"/>
      <c r="V2782" s="16"/>
      <c r="W2782" s="16"/>
      <c r="X2782" s="16"/>
      <c r="Y2782" s="11"/>
      <c r="Z2782" s="11"/>
      <c r="AA2782" s="11"/>
      <c r="AB2782" s="11"/>
      <c r="AC2782" s="11"/>
      <c r="AD2782" s="11"/>
    </row>
    <row r="2783">
      <c r="A2783" s="10"/>
      <c r="B2783" s="10"/>
      <c r="C2783" s="10"/>
      <c r="D2783" s="10"/>
      <c r="E2783" s="10"/>
      <c r="F2783" s="11"/>
      <c r="G2783" s="11"/>
      <c r="H2783" s="11"/>
      <c r="I2783" s="11"/>
      <c r="J2783" s="11"/>
      <c r="K2783" s="11"/>
      <c r="L2783" s="12"/>
      <c r="M2783" s="11"/>
      <c r="N2783" s="11"/>
      <c r="O2783" s="13"/>
      <c r="P2783" s="14"/>
      <c r="Q2783" s="13"/>
      <c r="R2783" s="13"/>
      <c r="S2783" s="15"/>
      <c r="T2783" s="16"/>
      <c r="U2783" s="16"/>
      <c r="V2783" s="16"/>
      <c r="W2783" s="16"/>
      <c r="X2783" s="16"/>
      <c r="Y2783" s="11"/>
      <c r="Z2783" s="11"/>
      <c r="AA2783" s="11"/>
      <c r="AB2783" s="11"/>
      <c r="AC2783" s="11"/>
      <c r="AD2783" s="11"/>
    </row>
    <row r="2784">
      <c r="A2784" s="10"/>
      <c r="B2784" s="10"/>
      <c r="C2784" s="10"/>
      <c r="D2784" s="10"/>
      <c r="E2784" s="10"/>
      <c r="F2784" s="11"/>
      <c r="G2784" s="11"/>
      <c r="H2784" s="11"/>
      <c r="I2784" s="11"/>
      <c r="J2784" s="11"/>
      <c r="K2784" s="11"/>
      <c r="L2784" s="12"/>
      <c r="M2784" s="11"/>
      <c r="N2784" s="11"/>
      <c r="O2784" s="13"/>
      <c r="P2784" s="14"/>
      <c r="Q2784" s="13"/>
      <c r="R2784" s="13"/>
      <c r="S2784" s="15"/>
      <c r="T2784" s="16"/>
      <c r="U2784" s="16"/>
      <c r="V2784" s="16"/>
      <c r="W2784" s="16"/>
      <c r="X2784" s="16"/>
      <c r="Y2784" s="11"/>
      <c r="Z2784" s="11"/>
      <c r="AA2784" s="11"/>
      <c r="AB2784" s="11"/>
      <c r="AC2784" s="11"/>
      <c r="AD2784" s="11"/>
    </row>
    <row r="2785">
      <c r="A2785" s="10"/>
      <c r="B2785" s="10"/>
      <c r="C2785" s="10"/>
      <c r="D2785" s="10"/>
      <c r="E2785" s="10"/>
      <c r="F2785" s="11"/>
      <c r="G2785" s="11"/>
      <c r="H2785" s="11"/>
      <c r="I2785" s="11"/>
      <c r="J2785" s="11"/>
      <c r="K2785" s="11"/>
      <c r="L2785" s="12"/>
      <c r="M2785" s="11"/>
      <c r="N2785" s="11"/>
      <c r="O2785" s="13"/>
      <c r="P2785" s="14"/>
      <c r="Q2785" s="13"/>
      <c r="R2785" s="13"/>
      <c r="S2785" s="15"/>
      <c r="T2785" s="16"/>
      <c r="U2785" s="16"/>
      <c r="V2785" s="16"/>
      <c r="W2785" s="16"/>
      <c r="X2785" s="16"/>
      <c r="Y2785" s="11"/>
      <c r="Z2785" s="11"/>
      <c r="AA2785" s="11"/>
      <c r="AB2785" s="11"/>
      <c r="AC2785" s="11"/>
      <c r="AD2785" s="11"/>
    </row>
    <row r="2786">
      <c r="A2786" s="10"/>
      <c r="B2786" s="10"/>
      <c r="C2786" s="10"/>
      <c r="D2786" s="10"/>
      <c r="E2786" s="10"/>
      <c r="F2786" s="11"/>
      <c r="G2786" s="11"/>
      <c r="H2786" s="11"/>
      <c r="I2786" s="11"/>
      <c r="J2786" s="11"/>
      <c r="K2786" s="11"/>
      <c r="L2786" s="12"/>
      <c r="M2786" s="11"/>
      <c r="N2786" s="11"/>
      <c r="O2786" s="13"/>
      <c r="P2786" s="14"/>
      <c r="Q2786" s="13"/>
      <c r="R2786" s="13"/>
      <c r="S2786" s="15"/>
      <c r="T2786" s="16"/>
      <c r="U2786" s="16"/>
      <c r="V2786" s="16"/>
      <c r="W2786" s="16"/>
      <c r="X2786" s="16"/>
      <c r="Y2786" s="11"/>
      <c r="Z2786" s="11"/>
      <c r="AA2786" s="11"/>
      <c r="AB2786" s="11"/>
      <c r="AC2786" s="11"/>
      <c r="AD2786" s="11"/>
    </row>
    <row r="2787">
      <c r="A2787" s="10"/>
      <c r="B2787" s="10"/>
      <c r="C2787" s="10"/>
      <c r="D2787" s="10"/>
      <c r="E2787" s="10"/>
      <c r="F2787" s="11"/>
      <c r="G2787" s="11"/>
      <c r="H2787" s="11"/>
      <c r="I2787" s="11"/>
      <c r="J2787" s="11"/>
      <c r="K2787" s="11"/>
      <c r="L2787" s="12"/>
      <c r="M2787" s="11"/>
      <c r="N2787" s="11"/>
      <c r="O2787" s="13"/>
      <c r="P2787" s="14"/>
      <c r="Q2787" s="13"/>
      <c r="R2787" s="13"/>
      <c r="S2787" s="15"/>
      <c r="T2787" s="16"/>
      <c r="U2787" s="16"/>
      <c r="V2787" s="16"/>
      <c r="W2787" s="16"/>
      <c r="X2787" s="16"/>
      <c r="Y2787" s="11"/>
      <c r="Z2787" s="11"/>
      <c r="AA2787" s="11"/>
      <c r="AB2787" s="11"/>
      <c r="AC2787" s="11"/>
      <c r="AD2787" s="11"/>
    </row>
    <row r="2788">
      <c r="A2788" s="10"/>
      <c r="B2788" s="10"/>
      <c r="C2788" s="10"/>
      <c r="D2788" s="10"/>
      <c r="E2788" s="10"/>
      <c r="F2788" s="11"/>
      <c r="G2788" s="11"/>
      <c r="H2788" s="11"/>
      <c r="I2788" s="11"/>
      <c r="J2788" s="11"/>
      <c r="K2788" s="11"/>
      <c r="L2788" s="12"/>
      <c r="M2788" s="11"/>
      <c r="N2788" s="11"/>
      <c r="O2788" s="13"/>
      <c r="P2788" s="14"/>
      <c r="Q2788" s="13"/>
      <c r="R2788" s="13"/>
      <c r="S2788" s="15"/>
      <c r="T2788" s="16"/>
      <c r="U2788" s="16"/>
      <c r="V2788" s="16"/>
      <c r="W2788" s="16"/>
      <c r="X2788" s="16"/>
      <c r="Y2788" s="11"/>
      <c r="Z2788" s="11"/>
      <c r="AA2788" s="11"/>
      <c r="AB2788" s="11"/>
      <c r="AC2788" s="11"/>
      <c r="AD2788" s="11"/>
    </row>
    <row r="2789">
      <c r="A2789" s="10"/>
      <c r="B2789" s="10"/>
      <c r="C2789" s="10"/>
      <c r="D2789" s="10"/>
      <c r="E2789" s="10"/>
      <c r="F2789" s="11"/>
      <c r="G2789" s="11"/>
      <c r="H2789" s="11"/>
      <c r="I2789" s="11"/>
      <c r="J2789" s="11"/>
      <c r="K2789" s="11"/>
      <c r="L2789" s="12"/>
      <c r="M2789" s="11"/>
      <c r="N2789" s="11"/>
      <c r="O2789" s="13"/>
      <c r="P2789" s="14"/>
      <c r="Q2789" s="13"/>
      <c r="R2789" s="13"/>
      <c r="S2789" s="15"/>
      <c r="T2789" s="16"/>
      <c r="U2789" s="16"/>
      <c r="V2789" s="16"/>
      <c r="W2789" s="16"/>
      <c r="X2789" s="16"/>
      <c r="Y2789" s="11"/>
      <c r="Z2789" s="11"/>
      <c r="AA2789" s="11"/>
      <c r="AB2789" s="11"/>
      <c r="AC2789" s="11"/>
      <c r="AD2789" s="11"/>
    </row>
    <row r="2790">
      <c r="A2790" s="10"/>
      <c r="B2790" s="10"/>
      <c r="C2790" s="10"/>
      <c r="D2790" s="10"/>
      <c r="E2790" s="10"/>
      <c r="F2790" s="11"/>
      <c r="G2790" s="11"/>
      <c r="H2790" s="11"/>
      <c r="I2790" s="11"/>
      <c r="J2790" s="11"/>
      <c r="K2790" s="11"/>
      <c r="L2790" s="12"/>
      <c r="M2790" s="11"/>
      <c r="N2790" s="11"/>
      <c r="O2790" s="13"/>
      <c r="P2790" s="14"/>
      <c r="Q2790" s="13"/>
      <c r="R2790" s="13"/>
      <c r="S2790" s="15"/>
      <c r="T2790" s="16"/>
      <c r="U2790" s="16"/>
      <c r="V2790" s="16"/>
      <c r="W2790" s="16"/>
      <c r="X2790" s="16"/>
      <c r="Y2790" s="11"/>
      <c r="Z2790" s="11"/>
      <c r="AA2790" s="11"/>
      <c r="AB2790" s="11"/>
      <c r="AC2790" s="11"/>
      <c r="AD2790" s="11"/>
    </row>
    <row r="2791">
      <c r="A2791" s="10"/>
      <c r="B2791" s="10"/>
      <c r="C2791" s="10"/>
      <c r="D2791" s="10"/>
      <c r="E2791" s="10"/>
      <c r="F2791" s="11"/>
      <c r="G2791" s="11"/>
      <c r="H2791" s="11"/>
      <c r="I2791" s="11"/>
      <c r="J2791" s="11"/>
      <c r="K2791" s="11"/>
      <c r="L2791" s="12"/>
      <c r="M2791" s="11"/>
      <c r="N2791" s="11"/>
      <c r="O2791" s="13"/>
      <c r="P2791" s="14"/>
      <c r="Q2791" s="13"/>
      <c r="R2791" s="13"/>
      <c r="S2791" s="15"/>
      <c r="T2791" s="16"/>
      <c r="U2791" s="16"/>
      <c r="V2791" s="16"/>
      <c r="W2791" s="16"/>
      <c r="X2791" s="16"/>
      <c r="Y2791" s="11"/>
      <c r="Z2791" s="11"/>
      <c r="AA2791" s="11"/>
      <c r="AB2791" s="11"/>
      <c r="AC2791" s="11"/>
      <c r="AD2791" s="11"/>
    </row>
    <row r="2792">
      <c r="A2792" s="10"/>
      <c r="B2792" s="10"/>
      <c r="C2792" s="10"/>
      <c r="D2792" s="10"/>
      <c r="E2792" s="10"/>
      <c r="F2792" s="11"/>
      <c r="G2792" s="11"/>
      <c r="H2792" s="11"/>
      <c r="I2792" s="11"/>
      <c r="J2792" s="11"/>
      <c r="K2792" s="11"/>
      <c r="L2792" s="12"/>
      <c r="M2792" s="11"/>
      <c r="N2792" s="11"/>
      <c r="O2792" s="13"/>
      <c r="P2792" s="14"/>
      <c r="Q2792" s="13"/>
      <c r="R2792" s="13"/>
      <c r="S2792" s="15"/>
      <c r="T2792" s="16"/>
      <c r="U2792" s="16"/>
      <c r="V2792" s="16"/>
      <c r="W2792" s="16"/>
      <c r="X2792" s="16"/>
      <c r="Y2792" s="11"/>
      <c r="Z2792" s="11"/>
      <c r="AA2792" s="11"/>
      <c r="AB2792" s="11"/>
      <c r="AC2792" s="11"/>
      <c r="AD2792" s="11"/>
    </row>
    <row r="2793">
      <c r="A2793" s="10"/>
      <c r="B2793" s="10"/>
      <c r="C2793" s="10"/>
      <c r="D2793" s="10"/>
      <c r="E2793" s="10"/>
      <c r="F2793" s="11"/>
      <c r="G2793" s="11"/>
      <c r="H2793" s="11"/>
      <c r="I2793" s="11"/>
      <c r="J2793" s="11"/>
      <c r="K2793" s="11"/>
      <c r="L2793" s="12"/>
      <c r="M2793" s="11"/>
      <c r="N2793" s="11"/>
      <c r="O2793" s="13"/>
      <c r="P2793" s="14"/>
      <c r="Q2793" s="13"/>
      <c r="R2793" s="13"/>
      <c r="S2793" s="15"/>
      <c r="T2793" s="16"/>
      <c r="U2793" s="16"/>
      <c r="V2793" s="16"/>
      <c r="W2793" s="16"/>
      <c r="X2793" s="16"/>
      <c r="Y2793" s="11"/>
      <c r="Z2793" s="11"/>
      <c r="AA2793" s="11"/>
      <c r="AB2793" s="11"/>
      <c r="AC2793" s="11"/>
      <c r="AD2793" s="11"/>
    </row>
    <row r="2794">
      <c r="A2794" s="10"/>
      <c r="B2794" s="10"/>
      <c r="C2794" s="10"/>
      <c r="D2794" s="10"/>
      <c r="E2794" s="10"/>
      <c r="F2794" s="11"/>
      <c r="G2794" s="11"/>
      <c r="H2794" s="11"/>
      <c r="I2794" s="11"/>
      <c r="J2794" s="11"/>
      <c r="K2794" s="11"/>
      <c r="L2794" s="12"/>
      <c r="M2794" s="11"/>
      <c r="N2794" s="11"/>
      <c r="O2794" s="13"/>
      <c r="P2794" s="14"/>
      <c r="Q2794" s="13"/>
      <c r="R2794" s="13"/>
      <c r="S2794" s="15"/>
      <c r="T2794" s="16"/>
      <c r="U2794" s="16"/>
      <c r="V2794" s="16"/>
      <c r="W2794" s="16"/>
      <c r="X2794" s="16"/>
      <c r="Y2794" s="11"/>
      <c r="Z2794" s="11"/>
      <c r="AA2794" s="11"/>
      <c r="AB2794" s="11"/>
      <c r="AC2794" s="11"/>
      <c r="AD2794" s="11"/>
    </row>
    <row r="2795">
      <c r="A2795" s="10"/>
      <c r="B2795" s="10"/>
      <c r="C2795" s="10"/>
      <c r="D2795" s="10"/>
      <c r="E2795" s="10"/>
      <c r="F2795" s="11"/>
      <c r="G2795" s="11"/>
      <c r="H2795" s="11"/>
      <c r="I2795" s="11"/>
      <c r="J2795" s="11"/>
      <c r="K2795" s="11"/>
      <c r="L2795" s="12"/>
      <c r="M2795" s="11"/>
      <c r="N2795" s="11"/>
      <c r="O2795" s="13"/>
      <c r="P2795" s="14"/>
      <c r="Q2795" s="13"/>
      <c r="R2795" s="13"/>
      <c r="S2795" s="15"/>
      <c r="T2795" s="16"/>
      <c r="U2795" s="16"/>
      <c r="V2795" s="16"/>
      <c r="W2795" s="16"/>
      <c r="X2795" s="16"/>
      <c r="Y2795" s="11"/>
      <c r="Z2795" s="11"/>
      <c r="AA2795" s="11"/>
      <c r="AB2795" s="11"/>
      <c r="AC2795" s="11"/>
      <c r="AD2795" s="11"/>
    </row>
    <row r="2796">
      <c r="A2796" s="10"/>
      <c r="B2796" s="10"/>
      <c r="C2796" s="10"/>
      <c r="D2796" s="10"/>
      <c r="E2796" s="10"/>
      <c r="F2796" s="11"/>
      <c r="G2796" s="11"/>
      <c r="H2796" s="11"/>
      <c r="I2796" s="11"/>
      <c r="J2796" s="11"/>
      <c r="K2796" s="11"/>
      <c r="L2796" s="12"/>
      <c r="M2796" s="11"/>
      <c r="N2796" s="11"/>
      <c r="O2796" s="13"/>
      <c r="P2796" s="14"/>
      <c r="Q2796" s="13"/>
      <c r="R2796" s="13"/>
      <c r="S2796" s="15"/>
      <c r="T2796" s="16"/>
      <c r="U2796" s="16"/>
      <c r="V2796" s="16"/>
      <c r="W2796" s="16"/>
      <c r="X2796" s="16"/>
      <c r="Y2796" s="11"/>
      <c r="Z2796" s="11"/>
      <c r="AA2796" s="11"/>
      <c r="AB2796" s="11"/>
      <c r="AC2796" s="11"/>
      <c r="AD2796" s="11"/>
    </row>
    <row r="2797">
      <c r="A2797" s="10"/>
      <c r="B2797" s="10"/>
      <c r="C2797" s="10"/>
      <c r="D2797" s="10"/>
      <c r="E2797" s="10"/>
      <c r="F2797" s="11"/>
      <c r="G2797" s="11"/>
      <c r="H2797" s="11"/>
      <c r="I2797" s="11"/>
      <c r="J2797" s="11"/>
      <c r="K2797" s="11"/>
      <c r="L2797" s="12"/>
      <c r="M2797" s="11"/>
      <c r="N2797" s="11"/>
      <c r="O2797" s="13"/>
      <c r="P2797" s="14"/>
      <c r="Q2797" s="13"/>
      <c r="R2797" s="13"/>
      <c r="S2797" s="15"/>
      <c r="T2797" s="16"/>
      <c r="U2797" s="16"/>
      <c r="V2797" s="16"/>
      <c r="W2797" s="16"/>
      <c r="X2797" s="16"/>
      <c r="Y2797" s="11"/>
      <c r="Z2797" s="11"/>
      <c r="AA2797" s="11"/>
      <c r="AB2797" s="11"/>
      <c r="AC2797" s="11"/>
      <c r="AD2797" s="11"/>
    </row>
    <row r="2798">
      <c r="A2798" s="10"/>
      <c r="B2798" s="10"/>
      <c r="C2798" s="10"/>
      <c r="D2798" s="10"/>
      <c r="E2798" s="10"/>
      <c r="F2798" s="11"/>
      <c r="G2798" s="11"/>
      <c r="H2798" s="11"/>
      <c r="I2798" s="11"/>
      <c r="J2798" s="11"/>
      <c r="K2798" s="11"/>
      <c r="L2798" s="12"/>
      <c r="M2798" s="11"/>
      <c r="N2798" s="11"/>
      <c r="O2798" s="13"/>
      <c r="P2798" s="14"/>
      <c r="Q2798" s="13"/>
      <c r="R2798" s="13"/>
      <c r="S2798" s="15"/>
      <c r="T2798" s="16"/>
      <c r="U2798" s="16"/>
      <c r="V2798" s="16"/>
      <c r="W2798" s="16"/>
      <c r="X2798" s="16"/>
      <c r="Y2798" s="11"/>
      <c r="Z2798" s="11"/>
      <c r="AA2798" s="11"/>
      <c r="AB2798" s="11"/>
      <c r="AC2798" s="11"/>
      <c r="AD2798" s="11"/>
    </row>
    <row r="2799">
      <c r="A2799" s="10"/>
      <c r="B2799" s="10"/>
      <c r="C2799" s="10"/>
      <c r="D2799" s="10"/>
      <c r="E2799" s="10"/>
      <c r="F2799" s="11"/>
      <c r="G2799" s="11"/>
      <c r="H2799" s="11"/>
      <c r="I2799" s="11"/>
      <c r="J2799" s="11"/>
      <c r="K2799" s="11"/>
      <c r="L2799" s="12"/>
      <c r="M2799" s="11"/>
      <c r="N2799" s="11"/>
      <c r="O2799" s="13"/>
      <c r="P2799" s="14"/>
      <c r="Q2799" s="13"/>
      <c r="R2799" s="13"/>
      <c r="S2799" s="15"/>
      <c r="T2799" s="16"/>
      <c r="U2799" s="16"/>
      <c r="V2799" s="16"/>
      <c r="W2799" s="16"/>
      <c r="X2799" s="16"/>
      <c r="Y2799" s="11"/>
      <c r="Z2799" s="11"/>
      <c r="AA2799" s="11"/>
      <c r="AB2799" s="11"/>
      <c r="AC2799" s="11"/>
      <c r="AD2799" s="11"/>
    </row>
    <row r="2800">
      <c r="A2800" s="10"/>
      <c r="B2800" s="10"/>
      <c r="C2800" s="10"/>
      <c r="D2800" s="10"/>
      <c r="E2800" s="10"/>
      <c r="F2800" s="11"/>
      <c r="G2800" s="11"/>
      <c r="H2800" s="11"/>
      <c r="I2800" s="11"/>
      <c r="J2800" s="11"/>
      <c r="K2800" s="11"/>
      <c r="L2800" s="12"/>
      <c r="M2800" s="11"/>
      <c r="N2800" s="11"/>
      <c r="O2800" s="13"/>
      <c r="P2800" s="14"/>
      <c r="Q2800" s="13"/>
      <c r="R2800" s="13"/>
      <c r="S2800" s="15"/>
      <c r="T2800" s="16"/>
      <c r="U2800" s="16"/>
      <c r="V2800" s="16"/>
      <c r="W2800" s="16"/>
      <c r="X2800" s="16"/>
      <c r="Y2800" s="11"/>
      <c r="Z2800" s="11"/>
      <c r="AA2800" s="11"/>
      <c r="AB2800" s="11"/>
      <c r="AC2800" s="11"/>
      <c r="AD2800" s="11"/>
    </row>
    <row r="2801">
      <c r="A2801" s="10"/>
      <c r="B2801" s="10"/>
      <c r="C2801" s="10"/>
      <c r="D2801" s="10"/>
      <c r="E2801" s="10"/>
      <c r="F2801" s="11"/>
      <c r="G2801" s="11"/>
      <c r="H2801" s="11"/>
      <c r="I2801" s="11"/>
      <c r="J2801" s="11"/>
      <c r="K2801" s="11"/>
      <c r="L2801" s="12"/>
      <c r="M2801" s="11"/>
      <c r="N2801" s="11"/>
      <c r="O2801" s="13"/>
      <c r="P2801" s="14"/>
      <c r="Q2801" s="13"/>
      <c r="R2801" s="13"/>
      <c r="S2801" s="15"/>
      <c r="T2801" s="16"/>
      <c r="U2801" s="16"/>
      <c r="V2801" s="16"/>
      <c r="W2801" s="16"/>
      <c r="X2801" s="16"/>
      <c r="Y2801" s="11"/>
      <c r="Z2801" s="11"/>
      <c r="AA2801" s="11"/>
      <c r="AB2801" s="11"/>
      <c r="AC2801" s="11"/>
      <c r="AD2801" s="11"/>
    </row>
    <row r="2802">
      <c r="A2802" s="10"/>
      <c r="B2802" s="10"/>
      <c r="C2802" s="10"/>
      <c r="D2802" s="10"/>
      <c r="E2802" s="10"/>
      <c r="F2802" s="11"/>
      <c r="G2802" s="11"/>
      <c r="H2802" s="11"/>
      <c r="I2802" s="11"/>
      <c r="J2802" s="11"/>
      <c r="K2802" s="11"/>
      <c r="L2802" s="12"/>
      <c r="M2802" s="11"/>
      <c r="N2802" s="11"/>
      <c r="O2802" s="13"/>
      <c r="P2802" s="14"/>
      <c r="Q2802" s="13"/>
      <c r="R2802" s="13"/>
      <c r="S2802" s="15"/>
      <c r="T2802" s="16"/>
      <c r="U2802" s="16"/>
      <c r="V2802" s="16"/>
      <c r="W2802" s="16"/>
      <c r="X2802" s="16"/>
      <c r="Y2802" s="11"/>
      <c r="Z2802" s="11"/>
      <c r="AA2802" s="11"/>
      <c r="AB2802" s="11"/>
      <c r="AC2802" s="11"/>
      <c r="AD2802" s="11"/>
    </row>
    <row r="2803">
      <c r="A2803" s="10"/>
      <c r="B2803" s="10"/>
      <c r="C2803" s="10"/>
      <c r="D2803" s="10"/>
      <c r="E2803" s="10"/>
      <c r="F2803" s="11"/>
      <c r="G2803" s="11"/>
      <c r="H2803" s="11"/>
      <c r="I2803" s="11"/>
      <c r="J2803" s="11"/>
      <c r="K2803" s="11"/>
      <c r="L2803" s="12"/>
      <c r="M2803" s="11"/>
      <c r="N2803" s="11"/>
      <c r="O2803" s="13"/>
      <c r="P2803" s="14"/>
      <c r="Q2803" s="13"/>
      <c r="R2803" s="13"/>
      <c r="S2803" s="15"/>
      <c r="T2803" s="16"/>
      <c r="U2803" s="16"/>
      <c r="V2803" s="16"/>
      <c r="W2803" s="16"/>
      <c r="X2803" s="16"/>
      <c r="Y2803" s="11"/>
      <c r="Z2803" s="11"/>
      <c r="AA2803" s="11"/>
      <c r="AB2803" s="11"/>
      <c r="AC2803" s="11"/>
      <c r="AD2803" s="11"/>
    </row>
    <row r="2804">
      <c r="A2804" s="10"/>
      <c r="B2804" s="10"/>
      <c r="C2804" s="10"/>
      <c r="D2804" s="10"/>
      <c r="E2804" s="10"/>
      <c r="F2804" s="11"/>
      <c r="G2804" s="11"/>
      <c r="H2804" s="11"/>
      <c r="I2804" s="11"/>
      <c r="J2804" s="11"/>
      <c r="K2804" s="11"/>
      <c r="L2804" s="12"/>
      <c r="M2804" s="11"/>
      <c r="N2804" s="11"/>
      <c r="O2804" s="13"/>
      <c r="P2804" s="14"/>
      <c r="Q2804" s="13"/>
      <c r="R2804" s="13"/>
      <c r="S2804" s="15"/>
      <c r="T2804" s="16"/>
      <c r="U2804" s="16"/>
      <c r="V2804" s="16"/>
      <c r="W2804" s="16"/>
      <c r="X2804" s="16"/>
      <c r="Y2804" s="11"/>
      <c r="Z2804" s="11"/>
      <c r="AA2804" s="11"/>
      <c r="AB2804" s="11"/>
      <c r="AC2804" s="11"/>
      <c r="AD2804" s="11"/>
    </row>
    <row r="2805">
      <c r="A2805" s="10"/>
      <c r="B2805" s="10"/>
      <c r="C2805" s="10"/>
      <c r="D2805" s="10"/>
      <c r="E2805" s="10"/>
      <c r="F2805" s="11"/>
      <c r="G2805" s="11"/>
      <c r="H2805" s="11"/>
      <c r="I2805" s="11"/>
      <c r="J2805" s="11"/>
      <c r="K2805" s="11"/>
      <c r="L2805" s="12"/>
      <c r="M2805" s="11"/>
      <c r="N2805" s="11"/>
      <c r="O2805" s="13"/>
      <c r="P2805" s="14"/>
      <c r="Q2805" s="13"/>
      <c r="R2805" s="13"/>
      <c r="S2805" s="15"/>
      <c r="T2805" s="16"/>
      <c r="U2805" s="16"/>
      <c r="V2805" s="16"/>
      <c r="W2805" s="16"/>
      <c r="X2805" s="16"/>
      <c r="Y2805" s="11"/>
      <c r="Z2805" s="11"/>
      <c r="AA2805" s="11"/>
      <c r="AB2805" s="11"/>
      <c r="AC2805" s="11"/>
      <c r="AD2805" s="11"/>
    </row>
    <row r="2806">
      <c r="A2806" s="10"/>
      <c r="B2806" s="10"/>
      <c r="C2806" s="10"/>
      <c r="D2806" s="10"/>
      <c r="E2806" s="10"/>
      <c r="F2806" s="11"/>
      <c r="G2806" s="11"/>
      <c r="H2806" s="11"/>
      <c r="I2806" s="11"/>
      <c r="J2806" s="11"/>
      <c r="K2806" s="11"/>
      <c r="L2806" s="12"/>
      <c r="M2806" s="11"/>
      <c r="N2806" s="11"/>
      <c r="O2806" s="13"/>
      <c r="P2806" s="14"/>
      <c r="Q2806" s="13"/>
      <c r="R2806" s="13"/>
      <c r="S2806" s="15"/>
      <c r="T2806" s="16"/>
      <c r="U2806" s="16"/>
      <c r="V2806" s="16"/>
      <c r="W2806" s="16"/>
      <c r="X2806" s="16"/>
      <c r="Y2806" s="11"/>
      <c r="Z2806" s="11"/>
      <c r="AA2806" s="11"/>
      <c r="AB2806" s="11"/>
      <c r="AC2806" s="11"/>
      <c r="AD2806" s="11"/>
    </row>
    <row r="2807">
      <c r="A2807" s="10"/>
      <c r="B2807" s="10"/>
      <c r="C2807" s="10"/>
      <c r="D2807" s="10"/>
      <c r="E2807" s="10"/>
      <c r="F2807" s="11"/>
      <c r="G2807" s="11"/>
      <c r="H2807" s="11"/>
      <c r="I2807" s="11"/>
      <c r="J2807" s="11"/>
      <c r="K2807" s="11"/>
      <c r="L2807" s="12"/>
      <c r="M2807" s="11"/>
      <c r="N2807" s="11"/>
      <c r="O2807" s="13"/>
      <c r="P2807" s="14"/>
      <c r="Q2807" s="13"/>
      <c r="R2807" s="13"/>
      <c r="S2807" s="15"/>
      <c r="T2807" s="16"/>
      <c r="U2807" s="16"/>
      <c r="V2807" s="16"/>
      <c r="W2807" s="16"/>
      <c r="X2807" s="16"/>
      <c r="Y2807" s="11"/>
      <c r="Z2807" s="11"/>
      <c r="AA2807" s="11"/>
      <c r="AB2807" s="11"/>
      <c r="AC2807" s="11"/>
      <c r="AD2807" s="11"/>
    </row>
    <row r="2808">
      <c r="A2808" s="10"/>
      <c r="B2808" s="10"/>
      <c r="C2808" s="10"/>
      <c r="D2808" s="10"/>
      <c r="E2808" s="10"/>
      <c r="F2808" s="11"/>
      <c r="G2808" s="11"/>
      <c r="H2808" s="11"/>
      <c r="I2808" s="11"/>
      <c r="J2808" s="11"/>
      <c r="K2808" s="11"/>
      <c r="L2808" s="12"/>
      <c r="M2808" s="11"/>
      <c r="N2808" s="11"/>
      <c r="O2808" s="13"/>
      <c r="P2808" s="14"/>
      <c r="Q2808" s="13"/>
      <c r="R2808" s="13"/>
      <c r="S2808" s="15"/>
      <c r="T2808" s="16"/>
      <c r="U2808" s="16"/>
      <c r="V2808" s="16"/>
      <c r="W2808" s="16"/>
      <c r="X2808" s="16"/>
      <c r="Y2808" s="11"/>
      <c r="Z2808" s="11"/>
      <c r="AA2808" s="11"/>
      <c r="AB2808" s="11"/>
      <c r="AC2808" s="11"/>
      <c r="AD2808" s="11"/>
    </row>
    <row r="2809">
      <c r="A2809" s="10"/>
      <c r="B2809" s="10"/>
      <c r="C2809" s="10"/>
      <c r="D2809" s="10"/>
      <c r="E2809" s="10"/>
      <c r="F2809" s="11"/>
      <c r="G2809" s="11"/>
      <c r="H2809" s="11"/>
      <c r="I2809" s="11"/>
      <c r="J2809" s="11"/>
      <c r="K2809" s="11"/>
      <c r="L2809" s="12"/>
      <c r="M2809" s="11"/>
      <c r="N2809" s="11"/>
      <c r="O2809" s="13"/>
      <c r="P2809" s="14"/>
      <c r="Q2809" s="13"/>
      <c r="R2809" s="13"/>
      <c r="S2809" s="15"/>
      <c r="T2809" s="16"/>
      <c r="U2809" s="16"/>
      <c r="V2809" s="16"/>
      <c r="W2809" s="16"/>
      <c r="X2809" s="16"/>
      <c r="Y2809" s="11"/>
      <c r="Z2809" s="11"/>
      <c r="AA2809" s="11"/>
      <c r="AB2809" s="11"/>
      <c r="AC2809" s="11"/>
      <c r="AD2809" s="11"/>
    </row>
    <row r="2810">
      <c r="A2810" s="10"/>
      <c r="B2810" s="10"/>
      <c r="C2810" s="10"/>
      <c r="D2810" s="10"/>
      <c r="E2810" s="10"/>
      <c r="F2810" s="11"/>
      <c r="G2810" s="11"/>
      <c r="H2810" s="11"/>
      <c r="I2810" s="11"/>
      <c r="J2810" s="11"/>
      <c r="K2810" s="11"/>
      <c r="L2810" s="12"/>
      <c r="M2810" s="11"/>
      <c r="N2810" s="11"/>
      <c r="O2810" s="13"/>
      <c r="P2810" s="14"/>
      <c r="Q2810" s="13"/>
      <c r="R2810" s="13"/>
      <c r="S2810" s="15"/>
      <c r="T2810" s="16"/>
      <c r="U2810" s="16"/>
      <c r="V2810" s="16"/>
      <c r="W2810" s="16"/>
      <c r="X2810" s="16"/>
      <c r="Y2810" s="11"/>
      <c r="Z2810" s="11"/>
      <c r="AA2810" s="11"/>
      <c r="AB2810" s="11"/>
      <c r="AC2810" s="11"/>
      <c r="AD2810" s="11"/>
    </row>
    <row r="2811">
      <c r="A2811" s="10"/>
      <c r="B2811" s="10"/>
      <c r="C2811" s="10"/>
      <c r="D2811" s="10"/>
      <c r="E2811" s="10"/>
      <c r="F2811" s="11"/>
      <c r="G2811" s="11"/>
      <c r="H2811" s="11"/>
      <c r="I2811" s="11"/>
      <c r="J2811" s="11"/>
      <c r="K2811" s="11"/>
      <c r="L2811" s="12"/>
      <c r="M2811" s="11"/>
      <c r="N2811" s="11"/>
      <c r="O2811" s="13"/>
      <c r="P2811" s="14"/>
      <c r="Q2811" s="13"/>
      <c r="R2811" s="13"/>
      <c r="S2811" s="15"/>
      <c r="T2811" s="16"/>
      <c r="U2811" s="16"/>
      <c r="V2811" s="16"/>
      <c r="W2811" s="16"/>
      <c r="X2811" s="16"/>
      <c r="Y2811" s="11"/>
      <c r="Z2811" s="11"/>
      <c r="AA2811" s="11"/>
      <c r="AB2811" s="11"/>
      <c r="AC2811" s="11"/>
      <c r="AD2811" s="11"/>
    </row>
    <row r="2812">
      <c r="A2812" s="10"/>
      <c r="B2812" s="10"/>
      <c r="C2812" s="10"/>
      <c r="D2812" s="10"/>
      <c r="E2812" s="10"/>
      <c r="F2812" s="11"/>
      <c r="G2812" s="11"/>
      <c r="H2812" s="11"/>
      <c r="I2812" s="11"/>
      <c r="J2812" s="11"/>
      <c r="K2812" s="11"/>
      <c r="L2812" s="12"/>
      <c r="M2812" s="11"/>
      <c r="N2812" s="11"/>
      <c r="O2812" s="13"/>
      <c r="P2812" s="14"/>
      <c r="Q2812" s="13"/>
      <c r="R2812" s="13"/>
      <c r="S2812" s="15"/>
      <c r="T2812" s="16"/>
      <c r="U2812" s="16"/>
      <c r="V2812" s="16"/>
      <c r="W2812" s="16"/>
      <c r="X2812" s="16"/>
      <c r="Y2812" s="11"/>
      <c r="Z2812" s="11"/>
      <c r="AA2812" s="11"/>
      <c r="AB2812" s="11"/>
      <c r="AC2812" s="11"/>
      <c r="AD2812" s="11"/>
    </row>
    <row r="2813">
      <c r="A2813" s="10"/>
      <c r="B2813" s="10"/>
      <c r="C2813" s="10"/>
      <c r="D2813" s="10"/>
      <c r="E2813" s="10"/>
      <c r="F2813" s="11"/>
      <c r="G2813" s="11"/>
      <c r="H2813" s="11"/>
      <c r="I2813" s="11"/>
      <c r="J2813" s="11"/>
      <c r="K2813" s="11"/>
      <c r="L2813" s="12"/>
      <c r="M2813" s="11"/>
      <c r="N2813" s="11"/>
      <c r="O2813" s="13"/>
      <c r="P2813" s="14"/>
      <c r="Q2813" s="13"/>
      <c r="R2813" s="13"/>
      <c r="S2813" s="15"/>
      <c r="T2813" s="16"/>
      <c r="U2813" s="16"/>
      <c r="V2813" s="16"/>
      <c r="W2813" s="16"/>
      <c r="X2813" s="16"/>
      <c r="Y2813" s="11"/>
      <c r="Z2813" s="11"/>
      <c r="AA2813" s="11"/>
      <c r="AB2813" s="11"/>
      <c r="AC2813" s="11"/>
      <c r="AD2813" s="11"/>
    </row>
    <row r="2814">
      <c r="A2814" s="10"/>
      <c r="B2814" s="10"/>
      <c r="C2814" s="10"/>
      <c r="D2814" s="10"/>
      <c r="E2814" s="10"/>
      <c r="F2814" s="11"/>
      <c r="G2814" s="11"/>
      <c r="H2814" s="11"/>
      <c r="I2814" s="11"/>
      <c r="J2814" s="11"/>
      <c r="K2814" s="11"/>
      <c r="L2814" s="12"/>
      <c r="M2814" s="11"/>
      <c r="N2814" s="11"/>
      <c r="O2814" s="13"/>
      <c r="P2814" s="14"/>
      <c r="Q2814" s="13"/>
      <c r="R2814" s="13"/>
      <c r="S2814" s="15"/>
      <c r="T2814" s="16"/>
      <c r="U2814" s="16"/>
      <c r="V2814" s="16"/>
      <c r="W2814" s="16"/>
      <c r="X2814" s="16"/>
      <c r="Y2814" s="11"/>
      <c r="Z2814" s="11"/>
      <c r="AA2814" s="11"/>
      <c r="AB2814" s="11"/>
      <c r="AC2814" s="11"/>
      <c r="AD2814" s="11"/>
    </row>
    <row r="2815">
      <c r="A2815" s="10"/>
      <c r="B2815" s="10"/>
      <c r="C2815" s="10"/>
      <c r="D2815" s="10"/>
      <c r="E2815" s="10"/>
      <c r="F2815" s="11"/>
      <c r="G2815" s="11"/>
      <c r="H2815" s="11"/>
      <c r="I2815" s="11"/>
      <c r="J2815" s="11"/>
      <c r="K2815" s="11"/>
      <c r="L2815" s="12"/>
      <c r="M2815" s="11"/>
      <c r="N2815" s="11"/>
      <c r="O2815" s="13"/>
      <c r="P2815" s="14"/>
      <c r="Q2815" s="13"/>
      <c r="R2815" s="13"/>
      <c r="S2815" s="15"/>
      <c r="T2815" s="16"/>
      <c r="U2815" s="16"/>
      <c r="V2815" s="16"/>
      <c r="W2815" s="16"/>
      <c r="X2815" s="16"/>
      <c r="Y2815" s="11"/>
      <c r="Z2815" s="11"/>
      <c r="AA2815" s="11"/>
      <c r="AB2815" s="11"/>
      <c r="AC2815" s="11"/>
      <c r="AD2815" s="11"/>
    </row>
    <row r="2816">
      <c r="A2816" s="10"/>
      <c r="B2816" s="10"/>
      <c r="C2816" s="10"/>
      <c r="D2816" s="10"/>
      <c r="E2816" s="10"/>
      <c r="F2816" s="11"/>
      <c r="G2816" s="11"/>
      <c r="H2816" s="11"/>
      <c r="I2816" s="11"/>
      <c r="J2816" s="11"/>
      <c r="K2816" s="11"/>
      <c r="L2816" s="12"/>
      <c r="M2816" s="11"/>
      <c r="N2816" s="11"/>
      <c r="O2816" s="13"/>
      <c r="P2816" s="14"/>
      <c r="Q2816" s="13"/>
      <c r="R2816" s="13"/>
      <c r="S2816" s="15"/>
      <c r="T2816" s="16"/>
      <c r="U2816" s="16"/>
      <c r="V2816" s="16"/>
      <c r="W2816" s="16"/>
      <c r="X2816" s="16"/>
      <c r="Y2816" s="11"/>
      <c r="Z2816" s="11"/>
      <c r="AA2816" s="11"/>
      <c r="AB2816" s="11"/>
      <c r="AC2816" s="11"/>
      <c r="AD2816" s="11"/>
    </row>
    <row r="2817">
      <c r="A2817" s="10"/>
      <c r="B2817" s="10"/>
      <c r="C2817" s="10"/>
      <c r="D2817" s="10"/>
      <c r="E2817" s="10"/>
      <c r="F2817" s="11"/>
      <c r="G2817" s="11"/>
      <c r="H2817" s="11"/>
      <c r="I2817" s="11"/>
      <c r="J2817" s="11"/>
      <c r="K2817" s="11"/>
      <c r="L2817" s="12"/>
      <c r="M2817" s="11"/>
      <c r="N2817" s="11"/>
      <c r="O2817" s="13"/>
      <c r="P2817" s="14"/>
      <c r="Q2817" s="13"/>
      <c r="R2817" s="13"/>
      <c r="S2817" s="15"/>
      <c r="T2817" s="16"/>
      <c r="U2817" s="16"/>
      <c r="V2817" s="16"/>
      <c r="W2817" s="16"/>
      <c r="X2817" s="16"/>
      <c r="Y2817" s="11"/>
      <c r="Z2817" s="11"/>
      <c r="AA2817" s="11"/>
      <c r="AB2817" s="11"/>
      <c r="AC2817" s="11"/>
      <c r="AD2817" s="11"/>
    </row>
    <row r="2818">
      <c r="A2818" s="10"/>
      <c r="B2818" s="10"/>
      <c r="C2818" s="10"/>
      <c r="D2818" s="10"/>
      <c r="E2818" s="10"/>
      <c r="F2818" s="11"/>
      <c r="G2818" s="11"/>
      <c r="H2818" s="11"/>
      <c r="I2818" s="11"/>
      <c r="J2818" s="11"/>
      <c r="K2818" s="11"/>
      <c r="L2818" s="12"/>
      <c r="M2818" s="11"/>
      <c r="N2818" s="11"/>
      <c r="O2818" s="13"/>
      <c r="P2818" s="14"/>
      <c r="Q2818" s="13"/>
      <c r="R2818" s="13"/>
      <c r="S2818" s="15"/>
      <c r="T2818" s="16"/>
      <c r="U2818" s="16"/>
      <c r="V2818" s="16"/>
      <c r="W2818" s="16"/>
      <c r="X2818" s="16"/>
      <c r="Y2818" s="11"/>
      <c r="Z2818" s="11"/>
      <c r="AA2818" s="11"/>
      <c r="AB2818" s="11"/>
      <c r="AC2818" s="11"/>
      <c r="AD2818" s="11"/>
    </row>
    <row r="2819">
      <c r="A2819" s="10"/>
      <c r="B2819" s="10"/>
      <c r="C2819" s="10"/>
      <c r="D2819" s="10"/>
      <c r="E2819" s="10"/>
      <c r="F2819" s="11"/>
      <c r="G2819" s="11"/>
      <c r="H2819" s="11"/>
      <c r="I2819" s="11"/>
      <c r="J2819" s="11"/>
      <c r="K2819" s="11"/>
      <c r="L2819" s="12"/>
      <c r="M2819" s="11"/>
      <c r="N2819" s="11"/>
      <c r="O2819" s="13"/>
      <c r="P2819" s="14"/>
      <c r="Q2819" s="13"/>
      <c r="R2819" s="13"/>
      <c r="S2819" s="15"/>
      <c r="T2819" s="16"/>
      <c r="U2819" s="16"/>
      <c r="V2819" s="16"/>
      <c r="W2819" s="16"/>
      <c r="X2819" s="16"/>
      <c r="Y2819" s="11"/>
      <c r="Z2819" s="11"/>
      <c r="AA2819" s="11"/>
      <c r="AB2819" s="11"/>
      <c r="AC2819" s="11"/>
      <c r="AD2819" s="11"/>
    </row>
    <row r="2820">
      <c r="A2820" s="10"/>
      <c r="B2820" s="10"/>
      <c r="C2820" s="10"/>
      <c r="D2820" s="10"/>
      <c r="E2820" s="10"/>
      <c r="F2820" s="11"/>
      <c r="G2820" s="11"/>
      <c r="H2820" s="11"/>
      <c r="I2820" s="11"/>
      <c r="J2820" s="11"/>
      <c r="K2820" s="11"/>
      <c r="L2820" s="12"/>
      <c r="M2820" s="11"/>
      <c r="N2820" s="11"/>
      <c r="O2820" s="13"/>
      <c r="P2820" s="14"/>
      <c r="Q2820" s="13"/>
      <c r="R2820" s="13"/>
      <c r="S2820" s="15"/>
      <c r="T2820" s="16"/>
      <c r="U2820" s="16"/>
      <c r="V2820" s="16"/>
      <c r="W2820" s="16"/>
      <c r="X2820" s="16"/>
      <c r="Y2820" s="11"/>
      <c r="Z2820" s="11"/>
      <c r="AA2820" s="11"/>
      <c r="AB2820" s="11"/>
      <c r="AC2820" s="11"/>
      <c r="AD2820" s="11"/>
    </row>
    <row r="2821">
      <c r="A2821" s="10"/>
      <c r="B2821" s="10"/>
      <c r="C2821" s="10"/>
      <c r="D2821" s="10"/>
      <c r="E2821" s="10"/>
      <c r="F2821" s="11"/>
      <c r="G2821" s="11"/>
      <c r="H2821" s="11"/>
      <c r="I2821" s="11"/>
      <c r="J2821" s="11"/>
      <c r="K2821" s="11"/>
      <c r="L2821" s="12"/>
      <c r="M2821" s="11"/>
      <c r="N2821" s="11"/>
      <c r="O2821" s="13"/>
      <c r="P2821" s="14"/>
      <c r="Q2821" s="13"/>
      <c r="R2821" s="13"/>
      <c r="S2821" s="15"/>
      <c r="T2821" s="16"/>
      <c r="U2821" s="16"/>
      <c r="V2821" s="16"/>
      <c r="W2821" s="16"/>
      <c r="X2821" s="16"/>
      <c r="Y2821" s="11"/>
      <c r="Z2821" s="11"/>
      <c r="AA2821" s="11"/>
      <c r="AB2821" s="11"/>
      <c r="AC2821" s="11"/>
      <c r="AD2821" s="11"/>
    </row>
    <row r="2822">
      <c r="A2822" s="10"/>
      <c r="B2822" s="10"/>
      <c r="C2822" s="10"/>
      <c r="D2822" s="10"/>
      <c r="E2822" s="10"/>
      <c r="F2822" s="11"/>
      <c r="G2822" s="11"/>
      <c r="H2822" s="11"/>
      <c r="I2822" s="11"/>
      <c r="J2822" s="11"/>
      <c r="K2822" s="11"/>
      <c r="L2822" s="12"/>
      <c r="M2822" s="11"/>
      <c r="N2822" s="11"/>
      <c r="O2822" s="13"/>
      <c r="P2822" s="14"/>
      <c r="Q2822" s="13"/>
      <c r="R2822" s="13"/>
      <c r="S2822" s="15"/>
      <c r="T2822" s="16"/>
      <c r="U2822" s="16"/>
      <c r="V2822" s="16"/>
      <c r="W2822" s="16"/>
      <c r="X2822" s="16"/>
      <c r="Y2822" s="11"/>
      <c r="Z2822" s="11"/>
      <c r="AA2822" s="11"/>
      <c r="AB2822" s="11"/>
      <c r="AC2822" s="11"/>
      <c r="AD2822" s="11"/>
    </row>
    <row r="2823">
      <c r="A2823" s="10"/>
      <c r="B2823" s="10"/>
      <c r="C2823" s="10"/>
      <c r="D2823" s="10"/>
      <c r="E2823" s="10"/>
      <c r="F2823" s="11"/>
      <c r="G2823" s="11"/>
      <c r="H2823" s="11"/>
      <c r="I2823" s="11"/>
      <c r="J2823" s="11"/>
      <c r="K2823" s="11"/>
      <c r="L2823" s="12"/>
      <c r="M2823" s="11"/>
      <c r="N2823" s="11"/>
      <c r="O2823" s="13"/>
      <c r="P2823" s="14"/>
      <c r="Q2823" s="13"/>
      <c r="R2823" s="13"/>
      <c r="S2823" s="15"/>
      <c r="T2823" s="16"/>
      <c r="U2823" s="16"/>
      <c r="V2823" s="16"/>
      <c r="W2823" s="16"/>
      <c r="X2823" s="16"/>
      <c r="Y2823" s="11"/>
      <c r="Z2823" s="11"/>
      <c r="AA2823" s="11"/>
      <c r="AB2823" s="11"/>
      <c r="AC2823" s="11"/>
      <c r="AD2823" s="11"/>
    </row>
    <row r="2824">
      <c r="A2824" s="10"/>
      <c r="B2824" s="10"/>
      <c r="C2824" s="10"/>
      <c r="D2824" s="10"/>
      <c r="E2824" s="10"/>
      <c r="F2824" s="11"/>
      <c r="G2824" s="11"/>
      <c r="H2824" s="11"/>
      <c r="I2824" s="11"/>
      <c r="J2824" s="11"/>
      <c r="K2824" s="11"/>
      <c r="L2824" s="12"/>
      <c r="M2824" s="11"/>
      <c r="N2824" s="11"/>
      <c r="O2824" s="13"/>
      <c r="P2824" s="14"/>
      <c r="Q2824" s="13"/>
      <c r="R2824" s="13"/>
      <c r="S2824" s="15"/>
      <c r="T2824" s="16"/>
      <c r="U2824" s="16"/>
      <c r="V2824" s="16"/>
      <c r="W2824" s="16"/>
      <c r="X2824" s="16"/>
      <c r="Y2824" s="11"/>
      <c r="Z2824" s="11"/>
      <c r="AA2824" s="11"/>
      <c r="AB2824" s="11"/>
      <c r="AC2824" s="11"/>
      <c r="AD2824" s="11"/>
    </row>
    <row r="2825">
      <c r="A2825" s="10"/>
      <c r="B2825" s="10"/>
      <c r="C2825" s="10"/>
      <c r="D2825" s="10"/>
      <c r="E2825" s="10"/>
      <c r="F2825" s="11"/>
      <c r="G2825" s="11"/>
      <c r="H2825" s="11"/>
      <c r="I2825" s="11"/>
      <c r="J2825" s="11"/>
      <c r="K2825" s="11"/>
      <c r="L2825" s="12"/>
      <c r="M2825" s="11"/>
      <c r="N2825" s="11"/>
      <c r="O2825" s="13"/>
      <c r="P2825" s="14"/>
      <c r="Q2825" s="13"/>
      <c r="R2825" s="13"/>
      <c r="S2825" s="15"/>
      <c r="T2825" s="16"/>
      <c r="U2825" s="16"/>
      <c r="V2825" s="16"/>
      <c r="W2825" s="16"/>
      <c r="X2825" s="16"/>
      <c r="Y2825" s="11"/>
      <c r="Z2825" s="11"/>
      <c r="AA2825" s="11"/>
      <c r="AB2825" s="11"/>
      <c r="AC2825" s="11"/>
      <c r="AD2825" s="11"/>
    </row>
    <row r="2826">
      <c r="A2826" s="10"/>
      <c r="B2826" s="10"/>
      <c r="C2826" s="10"/>
      <c r="D2826" s="10"/>
      <c r="E2826" s="10"/>
      <c r="F2826" s="11"/>
      <c r="G2826" s="11"/>
      <c r="H2826" s="11"/>
      <c r="I2826" s="11"/>
      <c r="J2826" s="11"/>
      <c r="K2826" s="11"/>
      <c r="L2826" s="12"/>
      <c r="M2826" s="11"/>
      <c r="N2826" s="11"/>
      <c r="O2826" s="13"/>
      <c r="P2826" s="14"/>
      <c r="Q2826" s="13"/>
      <c r="R2826" s="13"/>
      <c r="S2826" s="15"/>
      <c r="T2826" s="16"/>
      <c r="U2826" s="16"/>
      <c r="V2826" s="16"/>
      <c r="W2826" s="16"/>
      <c r="X2826" s="16"/>
      <c r="Y2826" s="11"/>
      <c r="Z2826" s="11"/>
      <c r="AA2826" s="11"/>
      <c r="AB2826" s="11"/>
      <c r="AC2826" s="11"/>
      <c r="AD2826" s="11"/>
    </row>
    <row r="2827">
      <c r="A2827" s="10"/>
      <c r="B2827" s="10"/>
      <c r="C2827" s="10"/>
      <c r="D2827" s="10"/>
      <c r="E2827" s="10"/>
      <c r="F2827" s="11"/>
      <c r="G2827" s="11"/>
      <c r="H2827" s="11"/>
      <c r="I2827" s="11"/>
      <c r="J2827" s="11"/>
      <c r="K2827" s="11"/>
      <c r="L2827" s="12"/>
      <c r="M2827" s="11"/>
      <c r="N2827" s="11"/>
      <c r="O2827" s="13"/>
      <c r="P2827" s="14"/>
      <c r="Q2827" s="13"/>
      <c r="R2827" s="13"/>
      <c r="S2827" s="15"/>
      <c r="T2827" s="16"/>
      <c r="U2827" s="16"/>
      <c r="V2827" s="16"/>
      <c r="W2827" s="16"/>
      <c r="X2827" s="16"/>
      <c r="Y2827" s="11"/>
      <c r="Z2827" s="11"/>
      <c r="AA2827" s="11"/>
      <c r="AB2827" s="11"/>
      <c r="AC2827" s="11"/>
      <c r="AD2827" s="11"/>
    </row>
    <row r="2828">
      <c r="A2828" s="10"/>
      <c r="B2828" s="10"/>
      <c r="C2828" s="10"/>
      <c r="D2828" s="10"/>
      <c r="E2828" s="10"/>
      <c r="F2828" s="11"/>
      <c r="G2828" s="11"/>
      <c r="H2828" s="11"/>
      <c r="I2828" s="11"/>
      <c r="J2828" s="11"/>
      <c r="K2828" s="11"/>
      <c r="L2828" s="12"/>
      <c r="M2828" s="11"/>
      <c r="N2828" s="11"/>
      <c r="O2828" s="13"/>
      <c r="P2828" s="14"/>
      <c r="Q2828" s="13"/>
      <c r="R2828" s="13"/>
      <c r="S2828" s="15"/>
      <c r="T2828" s="16"/>
      <c r="U2828" s="16"/>
      <c r="V2828" s="16"/>
      <c r="W2828" s="16"/>
      <c r="X2828" s="16"/>
      <c r="Y2828" s="11"/>
      <c r="Z2828" s="11"/>
      <c r="AA2828" s="11"/>
      <c r="AB2828" s="11"/>
      <c r="AC2828" s="11"/>
      <c r="AD2828" s="11"/>
    </row>
    <row r="2829">
      <c r="A2829" s="10"/>
      <c r="B2829" s="10"/>
      <c r="C2829" s="10"/>
      <c r="D2829" s="10"/>
      <c r="E2829" s="10"/>
      <c r="F2829" s="11"/>
      <c r="G2829" s="11"/>
      <c r="H2829" s="11"/>
      <c r="I2829" s="11"/>
      <c r="J2829" s="11"/>
      <c r="K2829" s="11"/>
      <c r="L2829" s="12"/>
      <c r="M2829" s="11"/>
      <c r="N2829" s="11"/>
      <c r="O2829" s="13"/>
      <c r="P2829" s="14"/>
      <c r="Q2829" s="13"/>
      <c r="R2829" s="13"/>
      <c r="S2829" s="15"/>
      <c r="T2829" s="16"/>
      <c r="U2829" s="16"/>
      <c r="V2829" s="16"/>
      <c r="W2829" s="16"/>
      <c r="X2829" s="16"/>
      <c r="Y2829" s="11"/>
      <c r="Z2829" s="11"/>
      <c r="AA2829" s="11"/>
      <c r="AB2829" s="11"/>
      <c r="AC2829" s="11"/>
      <c r="AD2829" s="11"/>
    </row>
    <row r="2830">
      <c r="A2830" s="10"/>
      <c r="B2830" s="10"/>
      <c r="C2830" s="10"/>
      <c r="D2830" s="10"/>
      <c r="E2830" s="10"/>
      <c r="F2830" s="11"/>
      <c r="G2830" s="11"/>
      <c r="H2830" s="11"/>
      <c r="I2830" s="11"/>
      <c r="J2830" s="11"/>
      <c r="K2830" s="11"/>
      <c r="L2830" s="12"/>
      <c r="M2830" s="11"/>
      <c r="N2830" s="11"/>
      <c r="O2830" s="13"/>
      <c r="P2830" s="14"/>
      <c r="Q2830" s="13"/>
      <c r="R2830" s="13"/>
      <c r="S2830" s="15"/>
      <c r="T2830" s="16"/>
      <c r="U2830" s="16"/>
      <c r="V2830" s="16"/>
      <c r="W2830" s="16"/>
      <c r="X2830" s="16"/>
      <c r="Y2830" s="11"/>
      <c r="Z2830" s="11"/>
      <c r="AA2830" s="11"/>
      <c r="AB2830" s="11"/>
      <c r="AC2830" s="11"/>
      <c r="AD2830" s="11"/>
    </row>
    <row r="2831">
      <c r="A2831" s="10"/>
      <c r="B2831" s="10"/>
      <c r="C2831" s="10"/>
      <c r="D2831" s="10"/>
      <c r="E2831" s="10"/>
      <c r="F2831" s="11"/>
      <c r="G2831" s="11"/>
      <c r="H2831" s="11"/>
      <c r="I2831" s="11"/>
      <c r="J2831" s="11"/>
      <c r="K2831" s="11"/>
      <c r="L2831" s="12"/>
      <c r="M2831" s="11"/>
      <c r="N2831" s="11"/>
      <c r="O2831" s="13"/>
      <c r="P2831" s="14"/>
      <c r="Q2831" s="13"/>
      <c r="R2831" s="13"/>
      <c r="S2831" s="15"/>
      <c r="T2831" s="16"/>
      <c r="U2831" s="16"/>
      <c r="V2831" s="16"/>
      <c r="W2831" s="16"/>
      <c r="X2831" s="16"/>
      <c r="Y2831" s="11"/>
      <c r="Z2831" s="11"/>
      <c r="AA2831" s="11"/>
      <c r="AB2831" s="11"/>
      <c r="AC2831" s="11"/>
      <c r="AD2831" s="11"/>
    </row>
    <row r="2832">
      <c r="A2832" s="10"/>
      <c r="B2832" s="10"/>
      <c r="C2832" s="10"/>
      <c r="D2832" s="10"/>
      <c r="E2832" s="10"/>
      <c r="F2832" s="11"/>
      <c r="G2832" s="11"/>
      <c r="H2832" s="11"/>
      <c r="I2832" s="11"/>
      <c r="J2832" s="11"/>
      <c r="K2832" s="11"/>
      <c r="L2832" s="12"/>
      <c r="M2832" s="11"/>
      <c r="N2832" s="11"/>
      <c r="O2832" s="13"/>
      <c r="P2832" s="14"/>
      <c r="Q2832" s="13"/>
      <c r="R2832" s="13"/>
      <c r="S2832" s="15"/>
      <c r="T2832" s="16"/>
      <c r="U2832" s="16"/>
      <c r="V2832" s="16"/>
      <c r="W2832" s="16"/>
      <c r="X2832" s="16"/>
      <c r="Y2832" s="11"/>
      <c r="Z2832" s="11"/>
      <c r="AA2832" s="11"/>
      <c r="AB2832" s="11"/>
      <c r="AC2832" s="11"/>
      <c r="AD2832" s="11"/>
    </row>
    <row r="2833">
      <c r="A2833" s="10"/>
      <c r="B2833" s="10"/>
      <c r="C2833" s="10"/>
      <c r="D2833" s="10"/>
      <c r="E2833" s="10"/>
      <c r="F2833" s="11"/>
      <c r="G2833" s="11"/>
      <c r="H2833" s="11"/>
      <c r="I2833" s="11"/>
      <c r="J2833" s="11"/>
      <c r="K2833" s="11"/>
      <c r="L2833" s="12"/>
      <c r="M2833" s="11"/>
      <c r="N2833" s="11"/>
      <c r="O2833" s="13"/>
      <c r="P2833" s="14"/>
      <c r="Q2833" s="13"/>
      <c r="R2833" s="13"/>
      <c r="S2833" s="15"/>
      <c r="T2833" s="16"/>
      <c r="U2833" s="16"/>
      <c r="V2833" s="16"/>
      <c r="W2833" s="16"/>
      <c r="X2833" s="16"/>
      <c r="Y2833" s="11"/>
      <c r="Z2833" s="11"/>
      <c r="AA2833" s="11"/>
      <c r="AB2833" s="11"/>
      <c r="AC2833" s="11"/>
      <c r="AD2833" s="11"/>
    </row>
    <row r="2834">
      <c r="A2834" s="10"/>
      <c r="B2834" s="10"/>
      <c r="C2834" s="10"/>
      <c r="D2834" s="10"/>
      <c r="E2834" s="10"/>
      <c r="F2834" s="11"/>
      <c r="G2834" s="11"/>
      <c r="H2834" s="11"/>
      <c r="I2834" s="11"/>
      <c r="J2834" s="11"/>
      <c r="K2834" s="11"/>
      <c r="L2834" s="12"/>
      <c r="M2834" s="11"/>
      <c r="N2834" s="11"/>
      <c r="O2834" s="13"/>
      <c r="P2834" s="14"/>
      <c r="Q2834" s="13"/>
      <c r="R2834" s="13"/>
      <c r="S2834" s="15"/>
      <c r="T2834" s="16"/>
      <c r="U2834" s="16"/>
      <c r="V2834" s="16"/>
      <c r="W2834" s="16"/>
      <c r="X2834" s="16"/>
      <c r="Y2834" s="11"/>
      <c r="Z2834" s="11"/>
      <c r="AA2834" s="11"/>
      <c r="AB2834" s="11"/>
      <c r="AC2834" s="11"/>
      <c r="AD2834" s="11"/>
    </row>
    <row r="2835">
      <c r="A2835" s="10"/>
      <c r="B2835" s="10"/>
      <c r="C2835" s="10"/>
      <c r="D2835" s="10"/>
      <c r="E2835" s="10"/>
      <c r="F2835" s="11"/>
      <c r="G2835" s="11"/>
      <c r="H2835" s="11"/>
      <c r="I2835" s="11"/>
      <c r="J2835" s="11"/>
      <c r="K2835" s="11"/>
      <c r="L2835" s="12"/>
      <c r="M2835" s="11"/>
      <c r="N2835" s="11"/>
      <c r="O2835" s="13"/>
      <c r="P2835" s="14"/>
      <c r="Q2835" s="13"/>
      <c r="R2835" s="13"/>
      <c r="S2835" s="15"/>
      <c r="T2835" s="16"/>
      <c r="U2835" s="16"/>
      <c r="V2835" s="16"/>
      <c r="W2835" s="16"/>
      <c r="X2835" s="16"/>
      <c r="Y2835" s="11"/>
      <c r="Z2835" s="11"/>
      <c r="AA2835" s="11"/>
      <c r="AB2835" s="11"/>
      <c r="AC2835" s="11"/>
      <c r="AD2835" s="11"/>
    </row>
    <row r="2836">
      <c r="A2836" s="10"/>
      <c r="B2836" s="10"/>
      <c r="C2836" s="10"/>
      <c r="D2836" s="10"/>
      <c r="E2836" s="10"/>
      <c r="F2836" s="11"/>
      <c r="G2836" s="11"/>
      <c r="H2836" s="11"/>
      <c r="I2836" s="11"/>
      <c r="J2836" s="11"/>
      <c r="K2836" s="11"/>
      <c r="L2836" s="12"/>
      <c r="M2836" s="11"/>
      <c r="N2836" s="11"/>
      <c r="O2836" s="13"/>
      <c r="P2836" s="14"/>
      <c r="Q2836" s="13"/>
      <c r="R2836" s="13"/>
      <c r="S2836" s="15"/>
      <c r="T2836" s="16"/>
      <c r="U2836" s="16"/>
      <c r="V2836" s="16"/>
      <c r="W2836" s="16"/>
      <c r="X2836" s="16"/>
      <c r="Y2836" s="11"/>
      <c r="Z2836" s="11"/>
      <c r="AA2836" s="11"/>
      <c r="AB2836" s="11"/>
      <c r="AC2836" s="11"/>
      <c r="AD2836" s="11"/>
    </row>
    <row r="2837">
      <c r="A2837" s="10"/>
      <c r="B2837" s="10"/>
      <c r="C2837" s="10"/>
      <c r="D2837" s="10"/>
      <c r="E2837" s="10"/>
      <c r="F2837" s="11"/>
      <c r="G2837" s="11"/>
      <c r="H2837" s="11"/>
      <c r="I2837" s="11"/>
      <c r="J2837" s="11"/>
      <c r="K2837" s="11"/>
      <c r="L2837" s="12"/>
      <c r="M2837" s="11"/>
      <c r="N2837" s="11"/>
      <c r="O2837" s="13"/>
      <c r="P2837" s="14"/>
      <c r="Q2837" s="13"/>
      <c r="R2837" s="13"/>
      <c r="S2837" s="15"/>
      <c r="T2837" s="16"/>
      <c r="U2837" s="16"/>
      <c r="V2837" s="16"/>
      <c r="W2837" s="16"/>
      <c r="X2837" s="16"/>
      <c r="Y2837" s="11"/>
      <c r="Z2837" s="11"/>
      <c r="AA2837" s="11"/>
      <c r="AB2837" s="11"/>
      <c r="AC2837" s="11"/>
      <c r="AD2837" s="11"/>
    </row>
    <row r="2838">
      <c r="A2838" s="10"/>
      <c r="B2838" s="10"/>
      <c r="C2838" s="10"/>
      <c r="D2838" s="10"/>
      <c r="E2838" s="10"/>
      <c r="F2838" s="11"/>
      <c r="G2838" s="11"/>
      <c r="H2838" s="11"/>
      <c r="I2838" s="11"/>
      <c r="J2838" s="11"/>
      <c r="K2838" s="11"/>
      <c r="L2838" s="12"/>
      <c r="M2838" s="11"/>
      <c r="N2838" s="11"/>
      <c r="O2838" s="13"/>
      <c r="P2838" s="14"/>
      <c r="Q2838" s="13"/>
      <c r="R2838" s="13"/>
      <c r="S2838" s="15"/>
      <c r="T2838" s="16"/>
      <c r="U2838" s="16"/>
      <c r="V2838" s="16"/>
      <c r="W2838" s="16"/>
      <c r="X2838" s="16"/>
      <c r="Y2838" s="11"/>
      <c r="Z2838" s="11"/>
      <c r="AA2838" s="11"/>
      <c r="AB2838" s="11"/>
      <c r="AC2838" s="11"/>
      <c r="AD2838" s="11"/>
    </row>
    <row r="2839">
      <c r="A2839" s="10"/>
      <c r="B2839" s="10"/>
      <c r="C2839" s="10"/>
      <c r="D2839" s="10"/>
      <c r="E2839" s="10"/>
      <c r="F2839" s="11"/>
      <c r="G2839" s="11"/>
      <c r="H2839" s="11"/>
      <c r="I2839" s="11"/>
      <c r="J2839" s="11"/>
      <c r="K2839" s="11"/>
      <c r="L2839" s="12"/>
      <c r="M2839" s="11"/>
      <c r="N2839" s="11"/>
      <c r="O2839" s="13"/>
      <c r="P2839" s="14"/>
      <c r="Q2839" s="13"/>
      <c r="R2839" s="13"/>
      <c r="S2839" s="15"/>
      <c r="T2839" s="16"/>
      <c r="U2839" s="16"/>
      <c r="V2839" s="16"/>
      <c r="W2839" s="16"/>
      <c r="X2839" s="16"/>
      <c r="Y2839" s="11"/>
      <c r="Z2839" s="11"/>
      <c r="AA2839" s="11"/>
      <c r="AB2839" s="11"/>
      <c r="AC2839" s="11"/>
      <c r="AD2839" s="11"/>
    </row>
    <row r="2840">
      <c r="A2840" s="10"/>
      <c r="B2840" s="10"/>
      <c r="C2840" s="10"/>
      <c r="D2840" s="10"/>
      <c r="E2840" s="10"/>
      <c r="F2840" s="11"/>
      <c r="G2840" s="11"/>
      <c r="H2840" s="11"/>
      <c r="I2840" s="11"/>
      <c r="J2840" s="11"/>
      <c r="K2840" s="11"/>
      <c r="L2840" s="12"/>
      <c r="M2840" s="11"/>
      <c r="N2840" s="11"/>
      <c r="O2840" s="13"/>
      <c r="P2840" s="14"/>
      <c r="Q2840" s="13"/>
      <c r="R2840" s="13"/>
      <c r="S2840" s="15"/>
      <c r="T2840" s="16"/>
      <c r="U2840" s="16"/>
      <c r="V2840" s="16"/>
      <c r="W2840" s="16"/>
      <c r="X2840" s="16"/>
      <c r="Y2840" s="11"/>
      <c r="Z2840" s="11"/>
      <c r="AA2840" s="11"/>
      <c r="AB2840" s="11"/>
      <c r="AC2840" s="11"/>
      <c r="AD2840" s="11"/>
    </row>
    <row r="2841">
      <c r="A2841" s="10"/>
      <c r="B2841" s="10"/>
      <c r="C2841" s="10"/>
      <c r="D2841" s="10"/>
      <c r="E2841" s="10"/>
      <c r="F2841" s="11"/>
      <c r="G2841" s="11"/>
      <c r="H2841" s="11"/>
      <c r="I2841" s="11"/>
      <c r="J2841" s="11"/>
      <c r="K2841" s="11"/>
      <c r="L2841" s="12"/>
      <c r="M2841" s="11"/>
      <c r="N2841" s="11"/>
      <c r="O2841" s="13"/>
      <c r="P2841" s="14"/>
      <c r="Q2841" s="13"/>
      <c r="R2841" s="13"/>
      <c r="S2841" s="15"/>
      <c r="T2841" s="16"/>
      <c r="U2841" s="16"/>
      <c r="V2841" s="16"/>
      <c r="W2841" s="16"/>
      <c r="X2841" s="16"/>
      <c r="Y2841" s="11"/>
      <c r="Z2841" s="11"/>
      <c r="AA2841" s="11"/>
      <c r="AB2841" s="11"/>
      <c r="AC2841" s="11"/>
      <c r="AD2841" s="11"/>
    </row>
    <row r="2842">
      <c r="A2842" s="10"/>
      <c r="B2842" s="10"/>
      <c r="C2842" s="10"/>
      <c r="D2842" s="10"/>
      <c r="E2842" s="10"/>
      <c r="F2842" s="11"/>
      <c r="G2842" s="11"/>
      <c r="H2842" s="11"/>
      <c r="I2842" s="11"/>
      <c r="J2842" s="11"/>
      <c r="K2842" s="11"/>
      <c r="L2842" s="12"/>
      <c r="M2842" s="11"/>
      <c r="N2842" s="11"/>
      <c r="O2842" s="13"/>
      <c r="P2842" s="14"/>
      <c r="Q2842" s="13"/>
      <c r="R2842" s="13"/>
      <c r="S2842" s="15"/>
      <c r="T2842" s="16"/>
      <c r="U2842" s="16"/>
      <c r="V2842" s="16"/>
      <c r="W2842" s="16"/>
      <c r="X2842" s="16"/>
      <c r="Y2842" s="11"/>
      <c r="Z2842" s="11"/>
      <c r="AA2842" s="11"/>
      <c r="AB2842" s="11"/>
      <c r="AC2842" s="11"/>
      <c r="AD2842" s="11"/>
    </row>
    <row r="2843">
      <c r="A2843" s="10"/>
      <c r="B2843" s="10"/>
      <c r="C2843" s="10"/>
      <c r="D2843" s="10"/>
      <c r="E2843" s="10"/>
      <c r="F2843" s="11"/>
      <c r="G2843" s="11"/>
      <c r="H2843" s="11"/>
      <c r="I2843" s="11"/>
      <c r="J2843" s="11"/>
      <c r="K2843" s="11"/>
      <c r="L2843" s="12"/>
      <c r="M2843" s="11"/>
      <c r="N2843" s="11"/>
      <c r="O2843" s="13"/>
      <c r="P2843" s="14"/>
      <c r="Q2843" s="13"/>
      <c r="R2843" s="13"/>
      <c r="S2843" s="15"/>
      <c r="T2843" s="16"/>
      <c r="U2843" s="16"/>
      <c r="V2843" s="16"/>
      <c r="W2843" s="16"/>
      <c r="X2843" s="16"/>
      <c r="Y2843" s="11"/>
      <c r="Z2843" s="11"/>
      <c r="AA2843" s="11"/>
      <c r="AB2843" s="11"/>
      <c r="AC2843" s="11"/>
      <c r="AD2843" s="11"/>
    </row>
    <row r="2844">
      <c r="A2844" s="10"/>
      <c r="B2844" s="10"/>
      <c r="C2844" s="10"/>
      <c r="D2844" s="10"/>
      <c r="E2844" s="10"/>
      <c r="F2844" s="11"/>
      <c r="G2844" s="11"/>
      <c r="H2844" s="11"/>
      <c r="I2844" s="11"/>
      <c r="J2844" s="11"/>
      <c r="K2844" s="11"/>
      <c r="L2844" s="12"/>
      <c r="M2844" s="11"/>
      <c r="N2844" s="11"/>
      <c r="O2844" s="13"/>
      <c r="P2844" s="14"/>
      <c r="Q2844" s="13"/>
      <c r="R2844" s="13"/>
      <c r="S2844" s="15"/>
      <c r="T2844" s="16"/>
      <c r="U2844" s="16"/>
      <c r="V2844" s="16"/>
      <c r="W2844" s="16"/>
      <c r="X2844" s="16"/>
      <c r="Y2844" s="11"/>
      <c r="Z2844" s="11"/>
      <c r="AA2844" s="11"/>
      <c r="AB2844" s="11"/>
      <c r="AC2844" s="11"/>
      <c r="AD2844" s="11"/>
    </row>
    <row r="2845">
      <c r="A2845" s="10"/>
      <c r="B2845" s="10"/>
      <c r="C2845" s="10"/>
      <c r="D2845" s="10"/>
      <c r="E2845" s="10"/>
      <c r="F2845" s="11"/>
      <c r="G2845" s="11"/>
      <c r="H2845" s="11"/>
      <c r="I2845" s="11"/>
      <c r="J2845" s="11"/>
      <c r="K2845" s="11"/>
      <c r="L2845" s="12"/>
      <c r="M2845" s="11"/>
      <c r="N2845" s="11"/>
      <c r="O2845" s="13"/>
      <c r="P2845" s="14"/>
      <c r="Q2845" s="13"/>
      <c r="R2845" s="13"/>
      <c r="S2845" s="15"/>
      <c r="T2845" s="16"/>
      <c r="U2845" s="16"/>
      <c r="V2845" s="16"/>
      <c r="W2845" s="16"/>
      <c r="X2845" s="16"/>
      <c r="Y2845" s="11"/>
      <c r="Z2845" s="11"/>
      <c r="AA2845" s="11"/>
      <c r="AB2845" s="11"/>
      <c r="AC2845" s="11"/>
      <c r="AD2845" s="11"/>
    </row>
    <row r="2846">
      <c r="A2846" s="10"/>
      <c r="B2846" s="10"/>
      <c r="C2846" s="10"/>
      <c r="D2846" s="10"/>
      <c r="E2846" s="10"/>
      <c r="F2846" s="11"/>
      <c r="G2846" s="11"/>
      <c r="H2846" s="11"/>
      <c r="I2846" s="11"/>
      <c r="J2846" s="11"/>
      <c r="K2846" s="11"/>
      <c r="L2846" s="12"/>
      <c r="M2846" s="11"/>
      <c r="N2846" s="11"/>
      <c r="O2846" s="13"/>
      <c r="P2846" s="14"/>
      <c r="Q2846" s="13"/>
      <c r="R2846" s="13"/>
      <c r="S2846" s="15"/>
      <c r="T2846" s="16"/>
      <c r="U2846" s="16"/>
      <c r="V2846" s="16"/>
      <c r="W2846" s="16"/>
      <c r="X2846" s="16"/>
      <c r="Y2846" s="11"/>
      <c r="Z2846" s="11"/>
      <c r="AA2846" s="11"/>
      <c r="AB2846" s="11"/>
      <c r="AC2846" s="11"/>
      <c r="AD2846" s="11"/>
    </row>
    <row r="2847">
      <c r="A2847" s="10"/>
      <c r="B2847" s="10"/>
      <c r="C2847" s="10"/>
      <c r="D2847" s="10"/>
      <c r="E2847" s="10"/>
      <c r="F2847" s="11"/>
      <c r="G2847" s="11"/>
      <c r="H2847" s="11"/>
      <c r="I2847" s="11"/>
      <c r="J2847" s="11"/>
      <c r="K2847" s="11"/>
      <c r="L2847" s="12"/>
      <c r="M2847" s="11"/>
      <c r="N2847" s="11"/>
      <c r="O2847" s="13"/>
      <c r="P2847" s="14"/>
      <c r="Q2847" s="13"/>
      <c r="R2847" s="13"/>
      <c r="S2847" s="15"/>
      <c r="T2847" s="16"/>
      <c r="U2847" s="16"/>
      <c r="V2847" s="16"/>
      <c r="W2847" s="16"/>
      <c r="X2847" s="16"/>
      <c r="Y2847" s="11"/>
      <c r="Z2847" s="11"/>
      <c r="AA2847" s="11"/>
      <c r="AB2847" s="11"/>
      <c r="AC2847" s="11"/>
      <c r="AD2847" s="11"/>
    </row>
    <row r="2848">
      <c r="A2848" s="10"/>
      <c r="B2848" s="10"/>
      <c r="C2848" s="10"/>
      <c r="D2848" s="10"/>
      <c r="E2848" s="10"/>
      <c r="F2848" s="11"/>
      <c r="G2848" s="11"/>
      <c r="H2848" s="11"/>
      <c r="I2848" s="11"/>
      <c r="J2848" s="11"/>
      <c r="K2848" s="11"/>
      <c r="L2848" s="12"/>
      <c r="M2848" s="11"/>
      <c r="N2848" s="11"/>
      <c r="O2848" s="13"/>
      <c r="P2848" s="14"/>
      <c r="Q2848" s="13"/>
      <c r="R2848" s="13"/>
      <c r="S2848" s="15"/>
      <c r="T2848" s="16"/>
      <c r="U2848" s="16"/>
      <c r="V2848" s="16"/>
      <c r="W2848" s="16"/>
      <c r="X2848" s="16"/>
      <c r="Y2848" s="11"/>
      <c r="Z2848" s="11"/>
      <c r="AA2848" s="11"/>
      <c r="AB2848" s="11"/>
      <c r="AC2848" s="11"/>
      <c r="AD2848" s="11"/>
    </row>
    <row r="2849">
      <c r="A2849" s="10"/>
      <c r="B2849" s="10"/>
      <c r="C2849" s="10"/>
      <c r="D2849" s="10"/>
      <c r="E2849" s="10"/>
      <c r="F2849" s="11"/>
      <c r="G2849" s="11"/>
      <c r="H2849" s="11"/>
      <c r="I2849" s="11"/>
      <c r="J2849" s="11"/>
      <c r="K2849" s="11"/>
      <c r="L2849" s="12"/>
      <c r="M2849" s="11"/>
      <c r="N2849" s="11"/>
      <c r="O2849" s="13"/>
      <c r="P2849" s="14"/>
      <c r="Q2849" s="13"/>
      <c r="R2849" s="13"/>
      <c r="S2849" s="15"/>
      <c r="T2849" s="16"/>
      <c r="U2849" s="16"/>
      <c r="V2849" s="16"/>
      <c r="W2849" s="16"/>
      <c r="X2849" s="16"/>
      <c r="Y2849" s="11"/>
      <c r="Z2849" s="11"/>
      <c r="AA2849" s="11"/>
      <c r="AB2849" s="11"/>
      <c r="AC2849" s="11"/>
      <c r="AD2849" s="11"/>
    </row>
    <row r="2850">
      <c r="A2850" s="10"/>
      <c r="B2850" s="10"/>
      <c r="C2850" s="10"/>
      <c r="D2850" s="10"/>
      <c r="E2850" s="10"/>
      <c r="F2850" s="11"/>
      <c r="G2850" s="11"/>
      <c r="H2850" s="11"/>
      <c r="I2850" s="11"/>
      <c r="J2850" s="11"/>
      <c r="K2850" s="11"/>
      <c r="L2850" s="12"/>
      <c r="M2850" s="11"/>
      <c r="N2850" s="11"/>
      <c r="O2850" s="13"/>
      <c r="P2850" s="14"/>
      <c r="Q2850" s="13"/>
      <c r="R2850" s="13"/>
      <c r="S2850" s="15"/>
      <c r="T2850" s="16"/>
      <c r="U2850" s="16"/>
      <c r="V2850" s="16"/>
      <c r="W2850" s="16"/>
      <c r="X2850" s="16"/>
      <c r="Y2850" s="11"/>
      <c r="Z2850" s="11"/>
      <c r="AA2850" s="11"/>
      <c r="AB2850" s="11"/>
      <c r="AC2850" s="11"/>
      <c r="AD2850" s="11"/>
    </row>
    <row r="2851">
      <c r="A2851" s="10"/>
      <c r="B2851" s="10"/>
      <c r="C2851" s="10"/>
      <c r="D2851" s="10"/>
      <c r="E2851" s="10"/>
      <c r="F2851" s="11"/>
      <c r="G2851" s="11"/>
      <c r="H2851" s="11"/>
      <c r="I2851" s="11"/>
      <c r="J2851" s="11"/>
      <c r="K2851" s="11"/>
      <c r="L2851" s="12"/>
      <c r="M2851" s="11"/>
      <c r="N2851" s="11"/>
      <c r="O2851" s="13"/>
      <c r="P2851" s="14"/>
      <c r="Q2851" s="13"/>
      <c r="R2851" s="13"/>
      <c r="S2851" s="15"/>
      <c r="T2851" s="16"/>
      <c r="U2851" s="16"/>
      <c r="V2851" s="16"/>
      <c r="W2851" s="16"/>
      <c r="X2851" s="16"/>
      <c r="Y2851" s="11"/>
      <c r="Z2851" s="11"/>
      <c r="AA2851" s="11"/>
      <c r="AB2851" s="11"/>
      <c r="AC2851" s="11"/>
      <c r="AD2851" s="11"/>
    </row>
    <row r="2852">
      <c r="A2852" s="10"/>
      <c r="B2852" s="10"/>
      <c r="C2852" s="10"/>
      <c r="D2852" s="10"/>
      <c r="E2852" s="10"/>
      <c r="F2852" s="11"/>
      <c r="G2852" s="11"/>
      <c r="H2852" s="11"/>
      <c r="I2852" s="11"/>
      <c r="J2852" s="11"/>
      <c r="K2852" s="11"/>
      <c r="L2852" s="12"/>
      <c r="M2852" s="11"/>
      <c r="N2852" s="11"/>
      <c r="O2852" s="13"/>
      <c r="P2852" s="14"/>
      <c r="Q2852" s="13"/>
      <c r="R2852" s="13"/>
      <c r="S2852" s="15"/>
      <c r="T2852" s="16"/>
      <c r="U2852" s="16"/>
      <c r="V2852" s="16"/>
      <c r="W2852" s="16"/>
      <c r="X2852" s="16"/>
      <c r="Y2852" s="11"/>
      <c r="Z2852" s="11"/>
      <c r="AA2852" s="11"/>
      <c r="AB2852" s="11"/>
      <c r="AC2852" s="11"/>
      <c r="AD2852" s="11"/>
    </row>
    <row r="2853">
      <c r="A2853" s="10"/>
      <c r="B2853" s="10"/>
      <c r="C2853" s="10"/>
      <c r="D2853" s="10"/>
      <c r="E2853" s="10"/>
      <c r="F2853" s="11"/>
      <c r="G2853" s="11"/>
      <c r="H2853" s="11"/>
      <c r="I2853" s="11"/>
      <c r="J2853" s="11"/>
      <c r="K2853" s="11"/>
      <c r="L2853" s="12"/>
      <c r="M2853" s="11"/>
      <c r="N2853" s="11"/>
      <c r="O2853" s="13"/>
      <c r="P2853" s="14"/>
      <c r="Q2853" s="13"/>
      <c r="R2853" s="13"/>
      <c r="S2853" s="15"/>
      <c r="T2853" s="16"/>
      <c r="U2853" s="16"/>
      <c r="V2853" s="16"/>
      <c r="W2853" s="16"/>
      <c r="X2853" s="16"/>
      <c r="Y2853" s="11"/>
      <c r="Z2853" s="11"/>
      <c r="AA2853" s="11"/>
      <c r="AB2853" s="11"/>
      <c r="AC2853" s="11"/>
      <c r="AD2853" s="11"/>
    </row>
    <row r="2854">
      <c r="A2854" s="10"/>
      <c r="B2854" s="10"/>
      <c r="C2854" s="10"/>
      <c r="D2854" s="10"/>
      <c r="E2854" s="10"/>
      <c r="F2854" s="11"/>
      <c r="G2854" s="11"/>
      <c r="H2854" s="11"/>
      <c r="I2854" s="11"/>
      <c r="J2854" s="11"/>
      <c r="K2854" s="11"/>
      <c r="L2854" s="12"/>
      <c r="M2854" s="11"/>
      <c r="N2854" s="11"/>
      <c r="O2854" s="13"/>
      <c r="P2854" s="14"/>
      <c r="Q2854" s="13"/>
      <c r="R2854" s="13"/>
      <c r="S2854" s="15"/>
      <c r="T2854" s="16"/>
      <c r="U2854" s="16"/>
      <c r="V2854" s="16"/>
      <c r="W2854" s="16"/>
      <c r="X2854" s="16"/>
      <c r="Y2854" s="11"/>
      <c r="Z2854" s="11"/>
      <c r="AA2854" s="11"/>
      <c r="AB2854" s="11"/>
      <c r="AC2854" s="11"/>
      <c r="AD2854" s="11"/>
    </row>
    <row r="2855">
      <c r="A2855" s="10"/>
      <c r="B2855" s="10"/>
      <c r="C2855" s="10"/>
      <c r="D2855" s="10"/>
      <c r="E2855" s="10"/>
      <c r="F2855" s="11"/>
      <c r="G2855" s="11"/>
      <c r="H2855" s="11"/>
      <c r="I2855" s="11"/>
      <c r="J2855" s="11"/>
      <c r="K2855" s="11"/>
      <c r="L2855" s="12"/>
      <c r="M2855" s="11"/>
      <c r="N2855" s="11"/>
      <c r="O2855" s="13"/>
      <c r="P2855" s="14"/>
      <c r="Q2855" s="13"/>
      <c r="R2855" s="13"/>
      <c r="S2855" s="15"/>
      <c r="T2855" s="16"/>
      <c r="U2855" s="16"/>
      <c r="V2855" s="16"/>
      <c r="W2855" s="16"/>
      <c r="X2855" s="16"/>
      <c r="Y2855" s="11"/>
      <c r="Z2855" s="11"/>
      <c r="AA2855" s="11"/>
      <c r="AB2855" s="11"/>
      <c r="AC2855" s="11"/>
      <c r="AD2855" s="11"/>
    </row>
    <row r="2856">
      <c r="A2856" s="10"/>
      <c r="B2856" s="10"/>
      <c r="C2856" s="10"/>
      <c r="D2856" s="10"/>
      <c r="E2856" s="10"/>
      <c r="F2856" s="11"/>
      <c r="G2856" s="11"/>
      <c r="H2856" s="11"/>
      <c r="I2856" s="11"/>
      <c r="J2856" s="11"/>
      <c r="K2856" s="11"/>
      <c r="L2856" s="12"/>
      <c r="M2856" s="11"/>
      <c r="N2856" s="11"/>
      <c r="O2856" s="13"/>
      <c r="P2856" s="14"/>
      <c r="Q2856" s="13"/>
      <c r="R2856" s="13"/>
      <c r="S2856" s="15"/>
      <c r="T2856" s="16"/>
      <c r="U2856" s="16"/>
      <c r="V2856" s="16"/>
      <c r="W2856" s="16"/>
      <c r="X2856" s="16"/>
      <c r="Y2856" s="11"/>
      <c r="Z2856" s="11"/>
      <c r="AA2856" s="11"/>
      <c r="AB2856" s="11"/>
      <c r="AC2856" s="11"/>
      <c r="AD2856" s="11"/>
    </row>
    <row r="2857">
      <c r="A2857" s="10"/>
      <c r="B2857" s="10"/>
      <c r="C2857" s="10"/>
      <c r="D2857" s="10"/>
      <c r="E2857" s="10"/>
      <c r="F2857" s="11"/>
      <c r="G2857" s="11"/>
      <c r="H2857" s="11"/>
      <c r="I2857" s="11"/>
      <c r="J2857" s="11"/>
      <c r="K2857" s="11"/>
      <c r="L2857" s="12"/>
      <c r="M2857" s="11"/>
      <c r="N2857" s="11"/>
      <c r="O2857" s="13"/>
      <c r="P2857" s="14"/>
      <c r="Q2857" s="13"/>
      <c r="R2857" s="13"/>
      <c r="S2857" s="15"/>
      <c r="T2857" s="16"/>
      <c r="U2857" s="16"/>
      <c r="V2857" s="16"/>
      <c r="W2857" s="16"/>
      <c r="X2857" s="16"/>
      <c r="Y2857" s="11"/>
      <c r="Z2857" s="11"/>
      <c r="AA2857" s="11"/>
      <c r="AB2857" s="11"/>
      <c r="AC2857" s="11"/>
      <c r="AD2857" s="11"/>
    </row>
    <row r="2858">
      <c r="A2858" s="10"/>
      <c r="B2858" s="10"/>
      <c r="C2858" s="10"/>
      <c r="D2858" s="10"/>
      <c r="E2858" s="10"/>
      <c r="F2858" s="11"/>
      <c r="G2858" s="11"/>
      <c r="H2858" s="11"/>
      <c r="I2858" s="11"/>
      <c r="J2858" s="11"/>
      <c r="K2858" s="11"/>
      <c r="L2858" s="12"/>
      <c r="M2858" s="11"/>
      <c r="N2858" s="11"/>
      <c r="O2858" s="13"/>
      <c r="P2858" s="14"/>
      <c r="Q2858" s="13"/>
      <c r="R2858" s="13"/>
      <c r="S2858" s="15"/>
      <c r="T2858" s="16"/>
      <c r="U2858" s="16"/>
      <c r="V2858" s="16"/>
      <c r="W2858" s="16"/>
      <c r="X2858" s="16"/>
      <c r="Y2858" s="11"/>
      <c r="Z2858" s="11"/>
      <c r="AA2858" s="11"/>
      <c r="AB2858" s="11"/>
      <c r="AC2858" s="11"/>
      <c r="AD2858" s="11"/>
    </row>
    <row r="2859">
      <c r="A2859" s="10"/>
      <c r="B2859" s="10"/>
      <c r="C2859" s="10"/>
      <c r="D2859" s="10"/>
      <c r="E2859" s="10"/>
      <c r="F2859" s="11"/>
      <c r="G2859" s="11"/>
      <c r="H2859" s="11"/>
      <c r="I2859" s="11"/>
      <c r="J2859" s="11"/>
      <c r="K2859" s="11"/>
      <c r="L2859" s="12"/>
      <c r="M2859" s="11"/>
      <c r="N2859" s="11"/>
      <c r="O2859" s="13"/>
      <c r="P2859" s="14"/>
      <c r="Q2859" s="13"/>
      <c r="R2859" s="13"/>
      <c r="S2859" s="15"/>
      <c r="T2859" s="16"/>
      <c r="U2859" s="16"/>
      <c r="V2859" s="16"/>
      <c r="W2859" s="16"/>
      <c r="X2859" s="16"/>
      <c r="Y2859" s="11"/>
      <c r="Z2859" s="11"/>
      <c r="AA2859" s="11"/>
      <c r="AB2859" s="11"/>
      <c r="AC2859" s="11"/>
      <c r="AD2859" s="11"/>
    </row>
    <row r="2860">
      <c r="A2860" s="10"/>
      <c r="B2860" s="10"/>
      <c r="C2860" s="10"/>
      <c r="D2860" s="10"/>
      <c r="E2860" s="10"/>
      <c r="F2860" s="11"/>
      <c r="G2860" s="11"/>
      <c r="H2860" s="11"/>
      <c r="I2860" s="11"/>
      <c r="J2860" s="11"/>
      <c r="K2860" s="11"/>
      <c r="L2860" s="12"/>
      <c r="M2860" s="11"/>
      <c r="N2860" s="11"/>
      <c r="O2860" s="13"/>
      <c r="P2860" s="14"/>
      <c r="Q2860" s="13"/>
      <c r="R2860" s="13"/>
      <c r="S2860" s="15"/>
      <c r="T2860" s="16"/>
      <c r="U2860" s="16"/>
      <c r="V2860" s="16"/>
      <c r="W2860" s="16"/>
      <c r="X2860" s="16"/>
      <c r="Y2860" s="11"/>
      <c r="Z2860" s="11"/>
      <c r="AA2860" s="11"/>
      <c r="AB2860" s="11"/>
      <c r="AC2860" s="11"/>
      <c r="AD2860" s="11"/>
    </row>
    <row r="2861">
      <c r="A2861" s="10"/>
      <c r="B2861" s="10"/>
      <c r="C2861" s="10"/>
      <c r="D2861" s="10"/>
      <c r="E2861" s="10"/>
      <c r="F2861" s="11"/>
      <c r="G2861" s="11"/>
      <c r="H2861" s="11"/>
      <c r="I2861" s="11"/>
      <c r="J2861" s="11"/>
      <c r="K2861" s="11"/>
      <c r="L2861" s="12"/>
      <c r="M2861" s="11"/>
      <c r="N2861" s="11"/>
      <c r="O2861" s="13"/>
      <c r="P2861" s="14"/>
      <c r="Q2861" s="13"/>
      <c r="R2861" s="13"/>
      <c r="S2861" s="15"/>
      <c r="T2861" s="16"/>
      <c r="U2861" s="16"/>
      <c r="V2861" s="16"/>
      <c r="W2861" s="16"/>
      <c r="X2861" s="16"/>
      <c r="Y2861" s="11"/>
      <c r="Z2861" s="11"/>
      <c r="AA2861" s="11"/>
      <c r="AB2861" s="11"/>
      <c r="AC2861" s="11"/>
      <c r="AD2861" s="11"/>
    </row>
    <row r="2862">
      <c r="A2862" s="10"/>
      <c r="B2862" s="10"/>
      <c r="C2862" s="10"/>
      <c r="D2862" s="10"/>
      <c r="E2862" s="10"/>
      <c r="F2862" s="11"/>
      <c r="G2862" s="11"/>
      <c r="H2862" s="11"/>
      <c r="I2862" s="11"/>
      <c r="J2862" s="11"/>
      <c r="K2862" s="11"/>
      <c r="L2862" s="12"/>
      <c r="M2862" s="11"/>
      <c r="N2862" s="11"/>
      <c r="O2862" s="13"/>
      <c r="P2862" s="14"/>
      <c r="Q2862" s="13"/>
      <c r="R2862" s="13"/>
      <c r="S2862" s="15"/>
      <c r="T2862" s="16"/>
      <c r="U2862" s="16"/>
      <c r="V2862" s="16"/>
      <c r="W2862" s="16"/>
      <c r="X2862" s="16"/>
      <c r="Y2862" s="11"/>
      <c r="Z2862" s="11"/>
      <c r="AA2862" s="11"/>
      <c r="AB2862" s="11"/>
      <c r="AC2862" s="11"/>
      <c r="AD2862" s="11"/>
    </row>
    <row r="2863">
      <c r="A2863" s="10"/>
      <c r="B2863" s="10"/>
      <c r="C2863" s="10"/>
      <c r="D2863" s="10"/>
      <c r="E2863" s="10"/>
      <c r="F2863" s="11"/>
      <c r="G2863" s="11"/>
      <c r="H2863" s="11"/>
      <c r="I2863" s="11"/>
      <c r="J2863" s="11"/>
      <c r="K2863" s="11"/>
      <c r="L2863" s="12"/>
      <c r="M2863" s="11"/>
      <c r="N2863" s="11"/>
      <c r="O2863" s="13"/>
      <c r="P2863" s="14"/>
      <c r="Q2863" s="13"/>
      <c r="R2863" s="13"/>
      <c r="S2863" s="15"/>
      <c r="T2863" s="16"/>
      <c r="U2863" s="16"/>
      <c r="V2863" s="16"/>
      <c r="W2863" s="16"/>
      <c r="X2863" s="16"/>
      <c r="Y2863" s="11"/>
      <c r="Z2863" s="11"/>
      <c r="AA2863" s="11"/>
      <c r="AB2863" s="11"/>
      <c r="AC2863" s="11"/>
      <c r="AD2863" s="11"/>
    </row>
    <row r="2864">
      <c r="A2864" s="10"/>
      <c r="B2864" s="10"/>
      <c r="C2864" s="10"/>
      <c r="D2864" s="10"/>
      <c r="E2864" s="10"/>
      <c r="F2864" s="11"/>
      <c r="G2864" s="11"/>
      <c r="H2864" s="11"/>
      <c r="I2864" s="11"/>
      <c r="J2864" s="11"/>
      <c r="K2864" s="11"/>
      <c r="L2864" s="12"/>
      <c r="M2864" s="11"/>
      <c r="N2864" s="11"/>
      <c r="O2864" s="13"/>
      <c r="P2864" s="14"/>
      <c r="Q2864" s="13"/>
      <c r="R2864" s="13"/>
      <c r="S2864" s="15"/>
      <c r="T2864" s="16"/>
      <c r="U2864" s="16"/>
      <c r="V2864" s="16"/>
      <c r="W2864" s="16"/>
      <c r="X2864" s="16"/>
      <c r="Y2864" s="11"/>
      <c r="Z2864" s="11"/>
      <c r="AA2864" s="11"/>
      <c r="AB2864" s="11"/>
      <c r="AC2864" s="11"/>
      <c r="AD2864" s="11"/>
    </row>
    <row r="2865">
      <c r="A2865" s="10"/>
      <c r="B2865" s="10"/>
      <c r="C2865" s="10"/>
      <c r="D2865" s="10"/>
      <c r="E2865" s="10"/>
      <c r="F2865" s="11"/>
      <c r="G2865" s="11"/>
      <c r="H2865" s="11"/>
      <c r="I2865" s="11"/>
      <c r="J2865" s="11"/>
      <c r="K2865" s="11"/>
      <c r="L2865" s="12"/>
      <c r="M2865" s="11"/>
      <c r="N2865" s="11"/>
      <c r="O2865" s="13"/>
      <c r="P2865" s="14"/>
      <c r="Q2865" s="13"/>
      <c r="R2865" s="13"/>
      <c r="S2865" s="15"/>
      <c r="T2865" s="16"/>
      <c r="U2865" s="16"/>
      <c r="V2865" s="16"/>
      <c r="W2865" s="16"/>
      <c r="X2865" s="16"/>
      <c r="Y2865" s="11"/>
      <c r="Z2865" s="11"/>
      <c r="AA2865" s="11"/>
      <c r="AB2865" s="11"/>
      <c r="AC2865" s="11"/>
      <c r="AD2865" s="11"/>
    </row>
    <row r="2866">
      <c r="A2866" s="10"/>
      <c r="B2866" s="10"/>
      <c r="C2866" s="10"/>
      <c r="D2866" s="10"/>
      <c r="E2866" s="10"/>
      <c r="F2866" s="11"/>
      <c r="G2866" s="11"/>
      <c r="H2866" s="11"/>
      <c r="I2866" s="11"/>
      <c r="J2866" s="11"/>
      <c r="K2866" s="11"/>
      <c r="L2866" s="12"/>
      <c r="M2866" s="11"/>
      <c r="N2866" s="11"/>
      <c r="O2866" s="13"/>
      <c r="P2866" s="14"/>
      <c r="Q2866" s="13"/>
      <c r="R2866" s="13"/>
      <c r="S2866" s="15"/>
      <c r="T2866" s="16"/>
      <c r="U2866" s="16"/>
      <c r="V2866" s="16"/>
      <c r="W2866" s="16"/>
      <c r="X2866" s="16"/>
      <c r="Y2866" s="11"/>
      <c r="Z2866" s="11"/>
      <c r="AA2866" s="11"/>
      <c r="AB2866" s="11"/>
      <c r="AC2866" s="11"/>
      <c r="AD2866" s="11"/>
    </row>
    <row r="2867">
      <c r="A2867" s="10"/>
      <c r="B2867" s="10"/>
      <c r="C2867" s="10"/>
      <c r="D2867" s="10"/>
      <c r="E2867" s="10"/>
      <c r="F2867" s="11"/>
      <c r="G2867" s="11"/>
      <c r="H2867" s="11"/>
      <c r="I2867" s="11"/>
      <c r="J2867" s="11"/>
      <c r="K2867" s="11"/>
      <c r="L2867" s="12"/>
      <c r="M2867" s="11"/>
      <c r="N2867" s="11"/>
      <c r="O2867" s="13"/>
      <c r="P2867" s="14"/>
      <c r="Q2867" s="13"/>
      <c r="R2867" s="13"/>
      <c r="S2867" s="15"/>
      <c r="T2867" s="16"/>
      <c r="U2867" s="16"/>
      <c r="V2867" s="16"/>
      <c r="W2867" s="16"/>
      <c r="X2867" s="16"/>
      <c r="Y2867" s="11"/>
      <c r="Z2867" s="11"/>
      <c r="AA2867" s="11"/>
      <c r="AB2867" s="11"/>
      <c r="AC2867" s="11"/>
      <c r="AD2867" s="11"/>
    </row>
    <row r="2868">
      <c r="A2868" s="10"/>
      <c r="B2868" s="10"/>
      <c r="C2868" s="10"/>
      <c r="D2868" s="10"/>
      <c r="E2868" s="10"/>
      <c r="F2868" s="11"/>
      <c r="G2868" s="11"/>
      <c r="H2868" s="11"/>
      <c r="I2868" s="11"/>
      <c r="J2868" s="11"/>
      <c r="K2868" s="11"/>
      <c r="L2868" s="12"/>
      <c r="M2868" s="11"/>
      <c r="N2868" s="11"/>
      <c r="O2868" s="13"/>
      <c r="P2868" s="14"/>
      <c r="Q2868" s="13"/>
      <c r="R2868" s="13"/>
      <c r="S2868" s="15"/>
      <c r="T2868" s="16"/>
      <c r="U2868" s="16"/>
      <c r="V2868" s="16"/>
      <c r="W2868" s="16"/>
      <c r="X2868" s="16"/>
      <c r="Y2868" s="11"/>
      <c r="Z2868" s="11"/>
      <c r="AA2868" s="11"/>
      <c r="AB2868" s="11"/>
      <c r="AC2868" s="11"/>
      <c r="AD2868" s="11"/>
    </row>
    <row r="2869">
      <c r="A2869" s="10"/>
      <c r="B2869" s="10"/>
      <c r="C2869" s="10"/>
      <c r="D2869" s="10"/>
      <c r="E2869" s="10"/>
      <c r="F2869" s="11"/>
      <c r="G2869" s="11"/>
      <c r="H2869" s="11"/>
      <c r="I2869" s="11"/>
      <c r="J2869" s="11"/>
      <c r="K2869" s="11"/>
      <c r="L2869" s="12"/>
      <c r="M2869" s="11"/>
      <c r="N2869" s="11"/>
      <c r="O2869" s="13"/>
      <c r="P2869" s="14"/>
      <c r="Q2869" s="13"/>
      <c r="R2869" s="13"/>
      <c r="S2869" s="15"/>
      <c r="T2869" s="16"/>
      <c r="U2869" s="16"/>
      <c r="V2869" s="16"/>
      <c r="W2869" s="16"/>
      <c r="X2869" s="16"/>
      <c r="Y2869" s="11"/>
      <c r="Z2869" s="11"/>
      <c r="AA2869" s="11"/>
      <c r="AB2869" s="11"/>
      <c r="AC2869" s="11"/>
      <c r="AD2869" s="11"/>
    </row>
    <row r="2870">
      <c r="A2870" s="10"/>
      <c r="B2870" s="10"/>
      <c r="C2870" s="10"/>
      <c r="D2870" s="10"/>
      <c r="E2870" s="10"/>
      <c r="F2870" s="11"/>
      <c r="G2870" s="11"/>
      <c r="H2870" s="11"/>
      <c r="I2870" s="11"/>
      <c r="J2870" s="11"/>
      <c r="K2870" s="11"/>
      <c r="L2870" s="12"/>
      <c r="M2870" s="11"/>
      <c r="N2870" s="11"/>
      <c r="O2870" s="13"/>
      <c r="P2870" s="14"/>
      <c r="Q2870" s="13"/>
      <c r="R2870" s="13"/>
      <c r="S2870" s="15"/>
      <c r="T2870" s="16"/>
      <c r="U2870" s="16"/>
      <c r="V2870" s="16"/>
      <c r="W2870" s="16"/>
      <c r="X2870" s="16"/>
      <c r="Y2870" s="11"/>
      <c r="Z2870" s="11"/>
      <c r="AA2870" s="11"/>
      <c r="AB2870" s="11"/>
      <c r="AC2870" s="11"/>
      <c r="AD2870" s="11"/>
    </row>
    <row r="2871">
      <c r="A2871" s="10"/>
      <c r="B2871" s="10"/>
      <c r="C2871" s="10"/>
      <c r="D2871" s="10"/>
      <c r="E2871" s="10"/>
      <c r="F2871" s="11"/>
      <c r="G2871" s="11"/>
      <c r="H2871" s="11"/>
      <c r="I2871" s="11"/>
      <c r="J2871" s="11"/>
      <c r="K2871" s="11"/>
      <c r="L2871" s="12"/>
      <c r="M2871" s="11"/>
      <c r="N2871" s="11"/>
      <c r="O2871" s="13"/>
      <c r="P2871" s="14"/>
      <c r="Q2871" s="13"/>
      <c r="R2871" s="13"/>
      <c r="S2871" s="15"/>
      <c r="T2871" s="16"/>
      <c r="U2871" s="16"/>
      <c r="V2871" s="16"/>
      <c r="W2871" s="16"/>
      <c r="X2871" s="16"/>
      <c r="Y2871" s="11"/>
      <c r="Z2871" s="11"/>
      <c r="AA2871" s="11"/>
      <c r="AB2871" s="11"/>
      <c r="AC2871" s="11"/>
      <c r="AD2871" s="11"/>
    </row>
    <row r="2872">
      <c r="A2872" s="10"/>
      <c r="B2872" s="10"/>
      <c r="C2872" s="10"/>
      <c r="D2872" s="10"/>
      <c r="E2872" s="10"/>
      <c r="F2872" s="11"/>
      <c r="G2872" s="11"/>
      <c r="H2872" s="11"/>
      <c r="I2872" s="11"/>
      <c r="J2872" s="11"/>
      <c r="K2872" s="11"/>
      <c r="L2872" s="12"/>
      <c r="M2872" s="11"/>
      <c r="N2872" s="11"/>
      <c r="O2872" s="13"/>
      <c r="P2872" s="14"/>
      <c r="Q2872" s="13"/>
      <c r="R2872" s="13"/>
      <c r="S2872" s="15"/>
      <c r="T2872" s="16"/>
      <c r="U2872" s="16"/>
      <c r="V2872" s="16"/>
      <c r="W2872" s="16"/>
      <c r="X2872" s="16"/>
      <c r="Y2872" s="11"/>
      <c r="Z2872" s="11"/>
      <c r="AA2872" s="11"/>
      <c r="AB2872" s="11"/>
      <c r="AC2872" s="11"/>
      <c r="AD2872" s="11"/>
    </row>
    <row r="2873">
      <c r="A2873" s="10"/>
      <c r="B2873" s="10"/>
      <c r="C2873" s="10"/>
      <c r="D2873" s="10"/>
      <c r="E2873" s="10"/>
      <c r="F2873" s="11"/>
      <c r="G2873" s="11"/>
      <c r="H2873" s="11"/>
      <c r="I2873" s="11"/>
      <c r="J2873" s="11"/>
      <c r="K2873" s="11"/>
      <c r="L2873" s="12"/>
      <c r="M2873" s="11"/>
      <c r="N2873" s="11"/>
      <c r="O2873" s="13"/>
      <c r="P2873" s="14"/>
      <c r="Q2873" s="13"/>
      <c r="R2873" s="13"/>
      <c r="S2873" s="15"/>
      <c r="T2873" s="16"/>
      <c r="U2873" s="16"/>
      <c r="V2873" s="16"/>
      <c r="W2873" s="16"/>
      <c r="X2873" s="16"/>
      <c r="Y2873" s="11"/>
      <c r="Z2873" s="11"/>
      <c r="AA2873" s="11"/>
      <c r="AB2873" s="11"/>
      <c r="AC2873" s="11"/>
      <c r="AD2873" s="11"/>
    </row>
    <row r="2874">
      <c r="A2874" s="10"/>
      <c r="B2874" s="10"/>
      <c r="C2874" s="10"/>
      <c r="D2874" s="10"/>
      <c r="E2874" s="10"/>
      <c r="F2874" s="11"/>
      <c r="G2874" s="11"/>
      <c r="H2874" s="11"/>
      <c r="I2874" s="11"/>
      <c r="J2874" s="11"/>
      <c r="K2874" s="11"/>
      <c r="L2874" s="12"/>
      <c r="M2874" s="11"/>
      <c r="N2874" s="11"/>
      <c r="O2874" s="13"/>
      <c r="P2874" s="14"/>
      <c r="Q2874" s="13"/>
      <c r="R2874" s="13"/>
      <c r="S2874" s="15"/>
      <c r="T2874" s="16"/>
      <c r="U2874" s="16"/>
      <c r="V2874" s="16"/>
      <c r="W2874" s="16"/>
      <c r="X2874" s="16"/>
      <c r="Y2874" s="11"/>
      <c r="Z2874" s="11"/>
      <c r="AA2874" s="11"/>
      <c r="AB2874" s="11"/>
      <c r="AC2874" s="11"/>
      <c r="AD2874" s="11"/>
    </row>
    <row r="2875">
      <c r="A2875" s="10"/>
      <c r="B2875" s="10"/>
      <c r="C2875" s="10"/>
      <c r="D2875" s="10"/>
      <c r="E2875" s="10"/>
      <c r="F2875" s="11"/>
      <c r="G2875" s="11"/>
      <c r="H2875" s="11"/>
      <c r="I2875" s="11"/>
      <c r="J2875" s="11"/>
      <c r="K2875" s="11"/>
      <c r="L2875" s="12"/>
      <c r="M2875" s="11"/>
      <c r="N2875" s="11"/>
      <c r="O2875" s="13"/>
      <c r="P2875" s="14"/>
      <c r="Q2875" s="13"/>
      <c r="R2875" s="13"/>
      <c r="S2875" s="15"/>
      <c r="T2875" s="16"/>
      <c r="U2875" s="16"/>
      <c r="V2875" s="16"/>
      <c r="W2875" s="16"/>
      <c r="X2875" s="16"/>
      <c r="Y2875" s="11"/>
      <c r="Z2875" s="11"/>
      <c r="AA2875" s="11"/>
      <c r="AB2875" s="11"/>
      <c r="AC2875" s="11"/>
      <c r="AD2875" s="11"/>
    </row>
    <row r="2876">
      <c r="A2876" s="10"/>
      <c r="B2876" s="10"/>
      <c r="C2876" s="10"/>
      <c r="D2876" s="10"/>
      <c r="E2876" s="10"/>
      <c r="F2876" s="11"/>
      <c r="G2876" s="11"/>
      <c r="H2876" s="11"/>
      <c r="I2876" s="11"/>
      <c r="J2876" s="11"/>
      <c r="K2876" s="11"/>
      <c r="L2876" s="12"/>
      <c r="M2876" s="11"/>
      <c r="N2876" s="11"/>
      <c r="O2876" s="13"/>
      <c r="P2876" s="14"/>
      <c r="Q2876" s="13"/>
      <c r="R2876" s="13"/>
      <c r="S2876" s="15"/>
      <c r="T2876" s="16"/>
      <c r="U2876" s="16"/>
      <c r="V2876" s="16"/>
      <c r="W2876" s="16"/>
      <c r="X2876" s="16"/>
      <c r="Y2876" s="11"/>
      <c r="Z2876" s="11"/>
      <c r="AA2876" s="11"/>
      <c r="AB2876" s="11"/>
      <c r="AC2876" s="11"/>
      <c r="AD2876" s="11"/>
    </row>
    <row r="2877">
      <c r="A2877" s="10"/>
      <c r="B2877" s="10"/>
      <c r="C2877" s="10"/>
      <c r="D2877" s="10"/>
      <c r="E2877" s="10"/>
      <c r="F2877" s="11"/>
      <c r="G2877" s="11"/>
      <c r="H2877" s="11"/>
      <c r="I2877" s="11"/>
      <c r="J2877" s="11"/>
      <c r="K2877" s="11"/>
      <c r="L2877" s="12"/>
      <c r="M2877" s="11"/>
      <c r="N2877" s="11"/>
      <c r="O2877" s="13"/>
      <c r="P2877" s="14"/>
      <c r="Q2877" s="13"/>
      <c r="R2877" s="13"/>
      <c r="S2877" s="15"/>
      <c r="T2877" s="16"/>
      <c r="U2877" s="16"/>
      <c r="V2877" s="16"/>
      <c r="W2877" s="16"/>
      <c r="X2877" s="16"/>
      <c r="Y2877" s="11"/>
      <c r="Z2877" s="11"/>
      <c r="AA2877" s="11"/>
      <c r="AB2877" s="11"/>
      <c r="AC2877" s="11"/>
      <c r="AD2877" s="11"/>
    </row>
    <row r="2878">
      <c r="A2878" s="10"/>
      <c r="B2878" s="10"/>
      <c r="C2878" s="10"/>
      <c r="D2878" s="10"/>
      <c r="E2878" s="10"/>
      <c r="F2878" s="11"/>
      <c r="G2878" s="11"/>
      <c r="H2878" s="11"/>
      <c r="I2878" s="11"/>
      <c r="J2878" s="11"/>
      <c r="K2878" s="11"/>
      <c r="L2878" s="12"/>
      <c r="M2878" s="11"/>
      <c r="N2878" s="11"/>
      <c r="O2878" s="13"/>
      <c r="P2878" s="14"/>
      <c r="Q2878" s="13"/>
      <c r="R2878" s="13"/>
      <c r="S2878" s="15"/>
      <c r="T2878" s="16"/>
      <c r="U2878" s="16"/>
      <c r="V2878" s="16"/>
      <c r="W2878" s="16"/>
      <c r="X2878" s="16"/>
      <c r="Y2878" s="11"/>
      <c r="Z2878" s="11"/>
      <c r="AA2878" s="11"/>
      <c r="AB2878" s="11"/>
      <c r="AC2878" s="11"/>
      <c r="AD2878" s="11"/>
    </row>
    <row r="2879">
      <c r="A2879" s="10"/>
      <c r="B2879" s="10"/>
      <c r="C2879" s="10"/>
      <c r="D2879" s="10"/>
      <c r="E2879" s="10"/>
      <c r="F2879" s="11"/>
      <c r="G2879" s="11"/>
      <c r="H2879" s="11"/>
      <c r="I2879" s="11"/>
      <c r="J2879" s="11"/>
      <c r="K2879" s="11"/>
      <c r="L2879" s="12"/>
      <c r="M2879" s="11"/>
      <c r="N2879" s="11"/>
      <c r="O2879" s="13"/>
      <c r="P2879" s="14"/>
      <c r="Q2879" s="13"/>
      <c r="R2879" s="13"/>
      <c r="S2879" s="15"/>
      <c r="T2879" s="16"/>
      <c r="U2879" s="16"/>
      <c r="V2879" s="16"/>
      <c r="W2879" s="16"/>
      <c r="X2879" s="16"/>
      <c r="Y2879" s="11"/>
      <c r="Z2879" s="11"/>
      <c r="AA2879" s="11"/>
      <c r="AB2879" s="11"/>
      <c r="AC2879" s="11"/>
      <c r="AD2879" s="11"/>
    </row>
    <row r="2880">
      <c r="A2880" s="10"/>
      <c r="B2880" s="10"/>
      <c r="C2880" s="10"/>
      <c r="D2880" s="10"/>
      <c r="E2880" s="10"/>
      <c r="F2880" s="11"/>
      <c r="G2880" s="11"/>
      <c r="H2880" s="11"/>
      <c r="I2880" s="11"/>
      <c r="J2880" s="11"/>
      <c r="K2880" s="11"/>
      <c r="L2880" s="12"/>
      <c r="M2880" s="11"/>
      <c r="N2880" s="11"/>
      <c r="O2880" s="13"/>
      <c r="P2880" s="14"/>
      <c r="Q2880" s="13"/>
      <c r="R2880" s="13"/>
      <c r="S2880" s="15"/>
      <c r="T2880" s="16"/>
      <c r="U2880" s="16"/>
      <c r="V2880" s="16"/>
      <c r="W2880" s="16"/>
      <c r="X2880" s="16"/>
      <c r="Y2880" s="11"/>
      <c r="Z2880" s="11"/>
      <c r="AA2880" s="11"/>
      <c r="AB2880" s="11"/>
      <c r="AC2880" s="11"/>
      <c r="AD2880" s="11"/>
    </row>
    <row r="2881">
      <c r="A2881" s="10"/>
      <c r="B2881" s="10"/>
      <c r="C2881" s="10"/>
      <c r="D2881" s="10"/>
      <c r="E2881" s="10"/>
      <c r="F2881" s="11"/>
      <c r="G2881" s="11"/>
      <c r="H2881" s="11"/>
      <c r="I2881" s="11"/>
      <c r="J2881" s="11"/>
      <c r="K2881" s="11"/>
      <c r="L2881" s="12"/>
      <c r="M2881" s="11"/>
      <c r="N2881" s="11"/>
      <c r="O2881" s="13"/>
      <c r="P2881" s="14"/>
      <c r="Q2881" s="13"/>
      <c r="R2881" s="13"/>
      <c r="S2881" s="15"/>
      <c r="T2881" s="16"/>
      <c r="U2881" s="16"/>
      <c r="V2881" s="16"/>
      <c r="W2881" s="16"/>
      <c r="X2881" s="16"/>
      <c r="Y2881" s="11"/>
      <c r="Z2881" s="11"/>
      <c r="AA2881" s="11"/>
      <c r="AB2881" s="11"/>
      <c r="AC2881" s="11"/>
      <c r="AD2881" s="11"/>
    </row>
    <row r="2882">
      <c r="A2882" s="10"/>
      <c r="B2882" s="10"/>
      <c r="C2882" s="10"/>
      <c r="D2882" s="10"/>
      <c r="E2882" s="10"/>
      <c r="F2882" s="11"/>
      <c r="G2882" s="11"/>
      <c r="H2882" s="11"/>
      <c r="I2882" s="11"/>
      <c r="J2882" s="11"/>
      <c r="K2882" s="11"/>
      <c r="L2882" s="12"/>
      <c r="M2882" s="11"/>
      <c r="N2882" s="11"/>
      <c r="O2882" s="13"/>
      <c r="P2882" s="14"/>
      <c r="Q2882" s="13"/>
      <c r="R2882" s="13"/>
      <c r="S2882" s="15"/>
      <c r="T2882" s="16"/>
      <c r="U2882" s="16"/>
      <c r="V2882" s="16"/>
      <c r="W2882" s="16"/>
      <c r="X2882" s="16"/>
      <c r="Y2882" s="11"/>
      <c r="Z2882" s="11"/>
      <c r="AA2882" s="11"/>
      <c r="AB2882" s="11"/>
      <c r="AC2882" s="11"/>
      <c r="AD2882" s="11"/>
    </row>
    <row r="2883">
      <c r="A2883" s="10"/>
      <c r="B2883" s="10"/>
      <c r="C2883" s="10"/>
      <c r="D2883" s="10"/>
      <c r="E2883" s="10"/>
      <c r="F2883" s="11"/>
      <c r="G2883" s="11"/>
      <c r="H2883" s="11"/>
      <c r="I2883" s="11"/>
      <c r="J2883" s="11"/>
      <c r="K2883" s="11"/>
      <c r="L2883" s="12"/>
      <c r="M2883" s="11"/>
      <c r="N2883" s="11"/>
      <c r="O2883" s="13"/>
      <c r="P2883" s="14"/>
      <c r="Q2883" s="13"/>
      <c r="R2883" s="13"/>
      <c r="S2883" s="15"/>
      <c r="T2883" s="16"/>
      <c r="U2883" s="16"/>
      <c r="V2883" s="16"/>
      <c r="W2883" s="16"/>
      <c r="X2883" s="16"/>
      <c r="Y2883" s="11"/>
      <c r="Z2883" s="11"/>
      <c r="AA2883" s="11"/>
      <c r="AB2883" s="11"/>
      <c r="AC2883" s="11"/>
      <c r="AD2883" s="11"/>
    </row>
    <row r="2884">
      <c r="A2884" s="10"/>
      <c r="B2884" s="10"/>
      <c r="C2884" s="10"/>
      <c r="D2884" s="10"/>
      <c r="E2884" s="10"/>
      <c r="F2884" s="11"/>
      <c r="G2884" s="11"/>
      <c r="H2884" s="11"/>
      <c r="I2884" s="11"/>
      <c r="J2884" s="11"/>
      <c r="K2884" s="11"/>
      <c r="L2884" s="12"/>
      <c r="M2884" s="11"/>
      <c r="N2884" s="11"/>
      <c r="O2884" s="13"/>
      <c r="P2884" s="14"/>
      <c r="Q2884" s="13"/>
      <c r="R2884" s="13"/>
      <c r="S2884" s="15"/>
      <c r="T2884" s="16"/>
      <c r="U2884" s="16"/>
      <c r="V2884" s="16"/>
      <c r="W2884" s="16"/>
      <c r="X2884" s="16"/>
      <c r="Y2884" s="11"/>
      <c r="Z2884" s="11"/>
      <c r="AA2884" s="11"/>
      <c r="AB2884" s="11"/>
      <c r="AC2884" s="11"/>
      <c r="AD2884" s="11"/>
    </row>
    <row r="2885">
      <c r="A2885" s="10"/>
      <c r="B2885" s="10"/>
      <c r="C2885" s="10"/>
      <c r="D2885" s="10"/>
      <c r="E2885" s="10"/>
      <c r="F2885" s="11"/>
      <c r="G2885" s="11"/>
      <c r="H2885" s="11"/>
      <c r="I2885" s="11"/>
      <c r="J2885" s="11"/>
      <c r="K2885" s="11"/>
      <c r="L2885" s="12"/>
      <c r="M2885" s="11"/>
      <c r="N2885" s="11"/>
      <c r="O2885" s="13"/>
      <c r="P2885" s="14"/>
      <c r="Q2885" s="13"/>
      <c r="R2885" s="13"/>
      <c r="S2885" s="15"/>
      <c r="T2885" s="16"/>
      <c r="U2885" s="16"/>
      <c r="V2885" s="16"/>
      <c r="W2885" s="16"/>
      <c r="X2885" s="16"/>
      <c r="Y2885" s="11"/>
      <c r="Z2885" s="11"/>
      <c r="AA2885" s="11"/>
      <c r="AB2885" s="11"/>
      <c r="AC2885" s="11"/>
      <c r="AD2885" s="11"/>
    </row>
    <row r="2886">
      <c r="A2886" s="10"/>
      <c r="B2886" s="10"/>
      <c r="C2886" s="10"/>
      <c r="D2886" s="10"/>
      <c r="E2886" s="10"/>
      <c r="F2886" s="11"/>
      <c r="G2886" s="11"/>
      <c r="H2886" s="11"/>
      <c r="I2886" s="11"/>
      <c r="J2886" s="11"/>
      <c r="K2886" s="11"/>
      <c r="L2886" s="12"/>
      <c r="M2886" s="11"/>
      <c r="N2886" s="11"/>
      <c r="O2886" s="13"/>
      <c r="P2886" s="14"/>
      <c r="Q2886" s="13"/>
      <c r="R2886" s="13"/>
      <c r="S2886" s="15"/>
      <c r="T2886" s="16"/>
      <c r="U2886" s="16"/>
      <c r="V2886" s="16"/>
      <c r="W2886" s="16"/>
      <c r="X2886" s="16"/>
      <c r="Y2886" s="11"/>
      <c r="Z2886" s="11"/>
      <c r="AA2886" s="11"/>
      <c r="AB2886" s="11"/>
      <c r="AC2886" s="11"/>
      <c r="AD2886" s="11"/>
    </row>
    <row r="2887">
      <c r="A2887" s="10"/>
      <c r="B2887" s="10"/>
      <c r="C2887" s="10"/>
      <c r="D2887" s="10"/>
      <c r="E2887" s="10"/>
      <c r="F2887" s="11"/>
      <c r="G2887" s="11"/>
      <c r="H2887" s="11"/>
      <c r="I2887" s="11"/>
      <c r="J2887" s="11"/>
      <c r="K2887" s="11"/>
      <c r="L2887" s="12"/>
      <c r="M2887" s="11"/>
      <c r="N2887" s="11"/>
      <c r="O2887" s="13"/>
      <c r="P2887" s="14"/>
      <c r="Q2887" s="13"/>
      <c r="R2887" s="13"/>
      <c r="S2887" s="15"/>
      <c r="T2887" s="16"/>
      <c r="U2887" s="16"/>
      <c r="V2887" s="16"/>
      <c r="W2887" s="16"/>
      <c r="X2887" s="16"/>
      <c r="Y2887" s="11"/>
      <c r="Z2887" s="11"/>
      <c r="AA2887" s="11"/>
      <c r="AB2887" s="11"/>
      <c r="AC2887" s="11"/>
      <c r="AD2887" s="11"/>
    </row>
    <row r="2888">
      <c r="A2888" s="10"/>
      <c r="B2888" s="10"/>
      <c r="C2888" s="10"/>
      <c r="D2888" s="10"/>
      <c r="E2888" s="10"/>
      <c r="F2888" s="11"/>
      <c r="G2888" s="11"/>
      <c r="H2888" s="11"/>
      <c r="I2888" s="11"/>
      <c r="J2888" s="11"/>
      <c r="K2888" s="11"/>
      <c r="L2888" s="12"/>
      <c r="M2888" s="11"/>
      <c r="N2888" s="11"/>
      <c r="O2888" s="13"/>
      <c r="P2888" s="14"/>
      <c r="Q2888" s="13"/>
      <c r="R2888" s="13"/>
      <c r="S2888" s="15"/>
      <c r="T2888" s="16"/>
      <c r="U2888" s="16"/>
      <c r="V2888" s="16"/>
      <c r="W2888" s="16"/>
      <c r="X2888" s="16"/>
      <c r="Y2888" s="11"/>
      <c r="Z2888" s="11"/>
      <c r="AA2888" s="11"/>
      <c r="AB2888" s="11"/>
      <c r="AC2888" s="11"/>
      <c r="AD2888" s="11"/>
    </row>
    <row r="2889">
      <c r="A2889" s="10"/>
      <c r="B2889" s="10"/>
      <c r="C2889" s="10"/>
      <c r="D2889" s="10"/>
      <c r="E2889" s="10"/>
      <c r="F2889" s="11"/>
      <c r="G2889" s="11"/>
      <c r="H2889" s="11"/>
      <c r="I2889" s="11"/>
      <c r="J2889" s="11"/>
      <c r="K2889" s="11"/>
      <c r="L2889" s="12"/>
      <c r="M2889" s="11"/>
      <c r="N2889" s="11"/>
      <c r="O2889" s="13"/>
      <c r="P2889" s="14"/>
      <c r="Q2889" s="13"/>
      <c r="R2889" s="13"/>
      <c r="S2889" s="15"/>
      <c r="T2889" s="16"/>
      <c r="U2889" s="16"/>
      <c r="V2889" s="16"/>
      <c r="W2889" s="16"/>
      <c r="X2889" s="16"/>
      <c r="Y2889" s="11"/>
      <c r="Z2889" s="11"/>
      <c r="AA2889" s="11"/>
      <c r="AB2889" s="11"/>
      <c r="AC2889" s="11"/>
      <c r="AD2889" s="11"/>
    </row>
    <row r="2890">
      <c r="A2890" s="10"/>
      <c r="B2890" s="10"/>
      <c r="C2890" s="10"/>
      <c r="D2890" s="10"/>
      <c r="E2890" s="10"/>
      <c r="F2890" s="11"/>
      <c r="G2890" s="11"/>
      <c r="H2890" s="11"/>
      <c r="I2890" s="11"/>
      <c r="J2890" s="11"/>
      <c r="K2890" s="11"/>
      <c r="L2890" s="12"/>
      <c r="M2890" s="11"/>
      <c r="N2890" s="11"/>
      <c r="O2890" s="13"/>
      <c r="P2890" s="14"/>
      <c r="Q2890" s="13"/>
      <c r="R2890" s="13"/>
      <c r="S2890" s="15"/>
      <c r="T2890" s="16"/>
      <c r="U2890" s="16"/>
      <c r="V2890" s="16"/>
      <c r="W2890" s="16"/>
      <c r="X2890" s="16"/>
      <c r="Y2890" s="11"/>
      <c r="Z2890" s="11"/>
      <c r="AA2890" s="11"/>
      <c r="AB2890" s="11"/>
      <c r="AC2890" s="11"/>
      <c r="AD2890" s="11"/>
    </row>
    <row r="2891">
      <c r="A2891" s="10"/>
      <c r="B2891" s="10"/>
      <c r="C2891" s="10"/>
      <c r="D2891" s="10"/>
      <c r="E2891" s="10"/>
      <c r="F2891" s="11"/>
      <c r="G2891" s="11"/>
      <c r="H2891" s="11"/>
      <c r="I2891" s="11"/>
      <c r="J2891" s="11"/>
      <c r="K2891" s="11"/>
      <c r="L2891" s="12"/>
      <c r="M2891" s="11"/>
      <c r="N2891" s="11"/>
      <c r="O2891" s="13"/>
      <c r="P2891" s="14"/>
      <c r="Q2891" s="13"/>
      <c r="R2891" s="13"/>
      <c r="S2891" s="15"/>
      <c r="T2891" s="16"/>
      <c r="U2891" s="16"/>
      <c r="V2891" s="16"/>
      <c r="W2891" s="16"/>
      <c r="X2891" s="16"/>
      <c r="Y2891" s="11"/>
      <c r="Z2891" s="11"/>
      <c r="AA2891" s="11"/>
      <c r="AB2891" s="11"/>
      <c r="AC2891" s="11"/>
      <c r="AD2891" s="11"/>
    </row>
    <row r="2892">
      <c r="A2892" s="10"/>
      <c r="B2892" s="10"/>
      <c r="C2892" s="10"/>
      <c r="D2892" s="10"/>
      <c r="E2892" s="10"/>
      <c r="F2892" s="11"/>
      <c r="G2892" s="11"/>
      <c r="H2892" s="11"/>
      <c r="I2892" s="11"/>
      <c r="J2892" s="11"/>
      <c r="K2892" s="11"/>
      <c r="L2892" s="12"/>
      <c r="M2892" s="11"/>
      <c r="N2892" s="11"/>
      <c r="O2892" s="13"/>
      <c r="P2892" s="14"/>
      <c r="Q2892" s="13"/>
      <c r="R2892" s="13"/>
      <c r="S2892" s="15"/>
      <c r="T2892" s="16"/>
      <c r="U2892" s="16"/>
      <c r="V2892" s="16"/>
      <c r="W2892" s="16"/>
      <c r="X2892" s="16"/>
      <c r="Y2892" s="11"/>
      <c r="Z2892" s="11"/>
      <c r="AA2892" s="11"/>
      <c r="AB2892" s="11"/>
      <c r="AC2892" s="11"/>
      <c r="AD2892" s="11"/>
    </row>
    <row r="2893">
      <c r="A2893" s="10"/>
      <c r="B2893" s="10"/>
      <c r="C2893" s="10"/>
      <c r="D2893" s="10"/>
      <c r="E2893" s="10"/>
      <c r="F2893" s="11"/>
      <c r="G2893" s="11"/>
      <c r="H2893" s="11"/>
      <c r="I2893" s="11"/>
      <c r="J2893" s="11"/>
      <c r="K2893" s="11"/>
      <c r="L2893" s="12"/>
      <c r="M2893" s="11"/>
      <c r="N2893" s="11"/>
      <c r="O2893" s="13"/>
      <c r="P2893" s="14"/>
      <c r="Q2893" s="13"/>
      <c r="R2893" s="13"/>
      <c r="S2893" s="15"/>
      <c r="T2893" s="16"/>
      <c r="U2893" s="16"/>
      <c r="V2893" s="16"/>
      <c r="W2893" s="16"/>
      <c r="X2893" s="16"/>
      <c r="Y2893" s="11"/>
      <c r="Z2893" s="11"/>
      <c r="AA2893" s="11"/>
      <c r="AB2893" s="11"/>
      <c r="AC2893" s="11"/>
      <c r="AD2893" s="11"/>
    </row>
    <row r="2894">
      <c r="A2894" s="10"/>
      <c r="B2894" s="10"/>
      <c r="C2894" s="10"/>
      <c r="D2894" s="10"/>
      <c r="E2894" s="10"/>
      <c r="F2894" s="11"/>
      <c r="G2894" s="11"/>
      <c r="H2894" s="11"/>
      <c r="I2894" s="11"/>
      <c r="J2894" s="11"/>
      <c r="K2894" s="11"/>
      <c r="L2894" s="12"/>
      <c r="M2894" s="11"/>
      <c r="N2894" s="11"/>
      <c r="O2894" s="13"/>
      <c r="P2894" s="14"/>
      <c r="Q2894" s="13"/>
      <c r="R2894" s="13"/>
      <c r="S2894" s="15"/>
      <c r="T2894" s="16"/>
      <c r="U2894" s="16"/>
      <c r="V2894" s="16"/>
      <c r="W2894" s="16"/>
      <c r="X2894" s="16"/>
      <c r="Y2894" s="11"/>
      <c r="Z2894" s="11"/>
      <c r="AA2894" s="11"/>
      <c r="AB2894" s="11"/>
      <c r="AC2894" s="11"/>
      <c r="AD2894" s="11"/>
    </row>
    <row r="2895">
      <c r="A2895" s="10"/>
      <c r="B2895" s="10"/>
      <c r="C2895" s="10"/>
      <c r="D2895" s="10"/>
      <c r="E2895" s="10"/>
      <c r="F2895" s="11"/>
      <c r="G2895" s="11"/>
      <c r="H2895" s="11"/>
      <c r="I2895" s="11"/>
      <c r="J2895" s="11"/>
      <c r="K2895" s="11"/>
      <c r="L2895" s="12"/>
      <c r="M2895" s="11"/>
      <c r="N2895" s="11"/>
      <c r="O2895" s="13"/>
      <c r="P2895" s="14"/>
      <c r="Q2895" s="13"/>
      <c r="R2895" s="13"/>
      <c r="S2895" s="15"/>
      <c r="T2895" s="16"/>
      <c r="U2895" s="16"/>
      <c r="V2895" s="16"/>
      <c r="W2895" s="16"/>
      <c r="X2895" s="16"/>
      <c r="Y2895" s="11"/>
      <c r="Z2895" s="11"/>
      <c r="AA2895" s="11"/>
      <c r="AB2895" s="11"/>
      <c r="AC2895" s="11"/>
      <c r="AD2895" s="11"/>
    </row>
    <row r="2896">
      <c r="A2896" s="10"/>
      <c r="B2896" s="10"/>
      <c r="C2896" s="10"/>
      <c r="D2896" s="10"/>
      <c r="E2896" s="10"/>
      <c r="F2896" s="11"/>
      <c r="G2896" s="11"/>
      <c r="H2896" s="11"/>
      <c r="I2896" s="11"/>
      <c r="J2896" s="11"/>
      <c r="K2896" s="11"/>
      <c r="L2896" s="12"/>
      <c r="M2896" s="11"/>
      <c r="N2896" s="11"/>
      <c r="O2896" s="13"/>
      <c r="P2896" s="14"/>
      <c r="Q2896" s="13"/>
      <c r="R2896" s="13"/>
      <c r="S2896" s="15"/>
      <c r="T2896" s="16"/>
      <c r="U2896" s="16"/>
      <c r="V2896" s="16"/>
      <c r="W2896" s="16"/>
      <c r="X2896" s="16"/>
      <c r="Y2896" s="11"/>
      <c r="Z2896" s="11"/>
      <c r="AA2896" s="11"/>
      <c r="AB2896" s="11"/>
      <c r="AC2896" s="11"/>
      <c r="AD2896" s="11"/>
    </row>
    <row r="2897">
      <c r="A2897" s="10"/>
      <c r="B2897" s="10"/>
      <c r="C2897" s="10"/>
      <c r="D2897" s="10"/>
      <c r="E2897" s="10"/>
      <c r="F2897" s="11"/>
      <c r="G2897" s="11"/>
      <c r="H2897" s="11"/>
      <c r="I2897" s="11"/>
      <c r="J2897" s="11"/>
      <c r="K2897" s="11"/>
      <c r="L2897" s="12"/>
      <c r="M2897" s="11"/>
      <c r="N2897" s="11"/>
      <c r="O2897" s="13"/>
      <c r="P2897" s="14"/>
      <c r="Q2897" s="13"/>
      <c r="R2897" s="13"/>
      <c r="S2897" s="15"/>
      <c r="T2897" s="16"/>
      <c r="U2897" s="16"/>
      <c r="V2897" s="16"/>
      <c r="W2897" s="16"/>
      <c r="X2897" s="16"/>
      <c r="Y2897" s="11"/>
      <c r="Z2897" s="11"/>
      <c r="AA2897" s="11"/>
      <c r="AB2897" s="11"/>
      <c r="AC2897" s="11"/>
      <c r="AD2897" s="11"/>
    </row>
    <row r="2898">
      <c r="A2898" s="10"/>
      <c r="B2898" s="10"/>
      <c r="C2898" s="10"/>
      <c r="D2898" s="10"/>
      <c r="E2898" s="10"/>
      <c r="F2898" s="11"/>
      <c r="G2898" s="11"/>
      <c r="H2898" s="11"/>
      <c r="I2898" s="11"/>
      <c r="J2898" s="11"/>
      <c r="K2898" s="11"/>
      <c r="L2898" s="12"/>
      <c r="M2898" s="11"/>
      <c r="N2898" s="11"/>
      <c r="O2898" s="13"/>
      <c r="P2898" s="14"/>
      <c r="Q2898" s="13"/>
      <c r="R2898" s="13"/>
      <c r="S2898" s="15"/>
      <c r="T2898" s="16"/>
      <c r="U2898" s="16"/>
      <c r="V2898" s="16"/>
      <c r="W2898" s="16"/>
      <c r="X2898" s="16"/>
      <c r="Y2898" s="11"/>
      <c r="Z2898" s="11"/>
      <c r="AA2898" s="11"/>
      <c r="AB2898" s="11"/>
      <c r="AC2898" s="11"/>
      <c r="AD2898" s="11"/>
    </row>
    <row r="2899">
      <c r="A2899" s="10"/>
      <c r="B2899" s="10"/>
      <c r="C2899" s="10"/>
      <c r="D2899" s="10"/>
      <c r="E2899" s="10"/>
      <c r="F2899" s="11"/>
      <c r="G2899" s="11"/>
      <c r="H2899" s="11"/>
      <c r="I2899" s="11"/>
      <c r="J2899" s="11"/>
      <c r="K2899" s="11"/>
      <c r="L2899" s="12"/>
      <c r="M2899" s="11"/>
      <c r="N2899" s="11"/>
      <c r="O2899" s="13"/>
      <c r="P2899" s="14"/>
      <c r="Q2899" s="13"/>
      <c r="R2899" s="13"/>
      <c r="S2899" s="15"/>
      <c r="T2899" s="16"/>
      <c r="U2899" s="16"/>
      <c r="V2899" s="16"/>
      <c r="W2899" s="16"/>
      <c r="X2899" s="16"/>
      <c r="Y2899" s="11"/>
      <c r="Z2899" s="11"/>
      <c r="AA2899" s="11"/>
      <c r="AB2899" s="11"/>
      <c r="AC2899" s="11"/>
      <c r="AD2899" s="11"/>
    </row>
    <row r="2900">
      <c r="A2900" s="10"/>
      <c r="B2900" s="10"/>
      <c r="C2900" s="10"/>
      <c r="D2900" s="10"/>
      <c r="E2900" s="10"/>
      <c r="F2900" s="11"/>
      <c r="G2900" s="11"/>
      <c r="H2900" s="11"/>
      <c r="I2900" s="11"/>
      <c r="J2900" s="11"/>
      <c r="K2900" s="11"/>
      <c r="L2900" s="12"/>
      <c r="M2900" s="11"/>
      <c r="N2900" s="11"/>
      <c r="O2900" s="13"/>
      <c r="P2900" s="14"/>
      <c r="Q2900" s="13"/>
      <c r="R2900" s="13"/>
      <c r="S2900" s="15"/>
      <c r="T2900" s="16"/>
      <c r="U2900" s="16"/>
      <c r="V2900" s="16"/>
      <c r="W2900" s="16"/>
      <c r="X2900" s="16"/>
      <c r="Y2900" s="11"/>
      <c r="Z2900" s="11"/>
      <c r="AA2900" s="11"/>
      <c r="AB2900" s="11"/>
      <c r="AC2900" s="11"/>
      <c r="AD2900" s="11"/>
    </row>
    <row r="2901">
      <c r="A2901" s="10"/>
      <c r="B2901" s="10"/>
      <c r="C2901" s="10"/>
      <c r="D2901" s="10"/>
      <c r="E2901" s="10"/>
      <c r="F2901" s="11"/>
      <c r="G2901" s="11"/>
      <c r="H2901" s="11"/>
      <c r="I2901" s="11"/>
      <c r="J2901" s="11"/>
      <c r="K2901" s="11"/>
      <c r="L2901" s="12"/>
      <c r="M2901" s="11"/>
      <c r="N2901" s="11"/>
      <c r="O2901" s="13"/>
      <c r="P2901" s="14"/>
      <c r="Q2901" s="13"/>
      <c r="R2901" s="13"/>
      <c r="S2901" s="15"/>
      <c r="T2901" s="16"/>
      <c r="U2901" s="16"/>
      <c r="V2901" s="16"/>
      <c r="W2901" s="16"/>
      <c r="X2901" s="16"/>
      <c r="Y2901" s="11"/>
      <c r="Z2901" s="11"/>
      <c r="AA2901" s="11"/>
      <c r="AB2901" s="11"/>
      <c r="AC2901" s="11"/>
      <c r="AD2901" s="11"/>
    </row>
    <row r="2902">
      <c r="A2902" s="10"/>
      <c r="B2902" s="10"/>
      <c r="C2902" s="10"/>
      <c r="D2902" s="10"/>
      <c r="E2902" s="10"/>
      <c r="F2902" s="11"/>
      <c r="G2902" s="11"/>
      <c r="H2902" s="11"/>
      <c r="I2902" s="11"/>
      <c r="J2902" s="11"/>
      <c r="K2902" s="11"/>
      <c r="L2902" s="12"/>
      <c r="M2902" s="11"/>
      <c r="N2902" s="11"/>
      <c r="O2902" s="13"/>
      <c r="P2902" s="14"/>
      <c r="Q2902" s="13"/>
      <c r="R2902" s="13"/>
      <c r="S2902" s="15"/>
      <c r="T2902" s="16"/>
      <c r="U2902" s="16"/>
      <c r="V2902" s="16"/>
      <c r="W2902" s="16"/>
      <c r="X2902" s="16"/>
      <c r="Y2902" s="11"/>
      <c r="Z2902" s="11"/>
      <c r="AA2902" s="11"/>
      <c r="AB2902" s="11"/>
      <c r="AC2902" s="11"/>
      <c r="AD2902" s="11"/>
    </row>
    <row r="2903">
      <c r="A2903" s="10"/>
      <c r="B2903" s="10"/>
      <c r="C2903" s="10"/>
      <c r="D2903" s="10"/>
      <c r="E2903" s="10"/>
      <c r="F2903" s="11"/>
      <c r="G2903" s="11"/>
      <c r="H2903" s="11"/>
      <c r="I2903" s="11"/>
      <c r="J2903" s="11"/>
      <c r="K2903" s="11"/>
      <c r="L2903" s="12"/>
      <c r="M2903" s="11"/>
      <c r="N2903" s="11"/>
      <c r="O2903" s="13"/>
      <c r="P2903" s="14"/>
      <c r="Q2903" s="13"/>
      <c r="R2903" s="13"/>
      <c r="S2903" s="15"/>
      <c r="T2903" s="16"/>
      <c r="U2903" s="16"/>
      <c r="V2903" s="16"/>
      <c r="W2903" s="16"/>
      <c r="X2903" s="16"/>
      <c r="Y2903" s="11"/>
      <c r="Z2903" s="11"/>
      <c r="AA2903" s="11"/>
      <c r="AB2903" s="11"/>
      <c r="AC2903" s="11"/>
      <c r="AD2903" s="11"/>
    </row>
    <row r="2904">
      <c r="A2904" s="10"/>
      <c r="B2904" s="10"/>
      <c r="C2904" s="10"/>
      <c r="D2904" s="10"/>
      <c r="E2904" s="10"/>
      <c r="F2904" s="11"/>
      <c r="G2904" s="11"/>
      <c r="H2904" s="11"/>
      <c r="I2904" s="11"/>
      <c r="J2904" s="11"/>
      <c r="K2904" s="11"/>
      <c r="L2904" s="12"/>
      <c r="M2904" s="11"/>
      <c r="N2904" s="11"/>
      <c r="O2904" s="13"/>
      <c r="P2904" s="14"/>
      <c r="Q2904" s="13"/>
      <c r="R2904" s="13"/>
      <c r="S2904" s="15"/>
      <c r="T2904" s="16"/>
      <c r="U2904" s="16"/>
      <c r="V2904" s="16"/>
      <c r="W2904" s="16"/>
      <c r="X2904" s="16"/>
      <c r="Y2904" s="11"/>
      <c r="Z2904" s="11"/>
      <c r="AA2904" s="11"/>
      <c r="AB2904" s="11"/>
      <c r="AC2904" s="11"/>
      <c r="AD2904" s="11"/>
    </row>
    <row r="2905">
      <c r="A2905" s="10"/>
      <c r="B2905" s="10"/>
      <c r="C2905" s="10"/>
      <c r="D2905" s="10"/>
      <c r="E2905" s="10"/>
      <c r="F2905" s="11"/>
      <c r="G2905" s="11"/>
      <c r="H2905" s="11"/>
      <c r="I2905" s="11"/>
      <c r="J2905" s="11"/>
      <c r="K2905" s="11"/>
      <c r="L2905" s="12"/>
      <c r="M2905" s="11"/>
      <c r="N2905" s="11"/>
      <c r="O2905" s="13"/>
      <c r="P2905" s="14"/>
      <c r="Q2905" s="13"/>
      <c r="R2905" s="13"/>
      <c r="S2905" s="15"/>
      <c r="T2905" s="16"/>
      <c r="U2905" s="16"/>
      <c r="V2905" s="16"/>
      <c r="W2905" s="16"/>
      <c r="X2905" s="16"/>
      <c r="Y2905" s="11"/>
      <c r="Z2905" s="11"/>
      <c r="AA2905" s="11"/>
      <c r="AB2905" s="11"/>
      <c r="AC2905" s="11"/>
      <c r="AD2905" s="11"/>
    </row>
    <row r="2906">
      <c r="A2906" s="10"/>
      <c r="B2906" s="10"/>
      <c r="C2906" s="10"/>
      <c r="D2906" s="10"/>
      <c r="E2906" s="10"/>
      <c r="F2906" s="11"/>
      <c r="G2906" s="11"/>
      <c r="H2906" s="11"/>
      <c r="I2906" s="11"/>
      <c r="J2906" s="11"/>
      <c r="K2906" s="11"/>
      <c r="L2906" s="12"/>
      <c r="M2906" s="11"/>
      <c r="N2906" s="11"/>
      <c r="O2906" s="13"/>
      <c r="P2906" s="14"/>
      <c r="Q2906" s="13"/>
      <c r="R2906" s="13"/>
      <c r="S2906" s="15"/>
      <c r="T2906" s="16"/>
      <c r="U2906" s="16"/>
      <c r="V2906" s="16"/>
      <c r="W2906" s="16"/>
      <c r="X2906" s="16"/>
      <c r="Y2906" s="11"/>
      <c r="Z2906" s="11"/>
      <c r="AA2906" s="11"/>
      <c r="AB2906" s="11"/>
      <c r="AC2906" s="11"/>
      <c r="AD2906" s="11"/>
    </row>
    <row r="2907">
      <c r="A2907" s="10"/>
      <c r="B2907" s="10"/>
      <c r="C2907" s="10"/>
      <c r="D2907" s="10"/>
      <c r="E2907" s="10"/>
      <c r="F2907" s="11"/>
      <c r="G2907" s="11"/>
      <c r="H2907" s="11"/>
      <c r="I2907" s="11"/>
      <c r="J2907" s="11"/>
      <c r="K2907" s="11"/>
      <c r="L2907" s="12"/>
      <c r="M2907" s="11"/>
      <c r="N2907" s="11"/>
      <c r="O2907" s="13"/>
      <c r="P2907" s="14"/>
      <c r="Q2907" s="13"/>
      <c r="R2907" s="13"/>
      <c r="S2907" s="15"/>
      <c r="T2907" s="16"/>
      <c r="U2907" s="16"/>
      <c r="V2907" s="16"/>
      <c r="W2907" s="16"/>
      <c r="X2907" s="16"/>
      <c r="Y2907" s="11"/>
      <c r="Z2907" s="11"/>
      <c r="AA2907" s="11"/>
      <c r="AB2907" s="11"/>
      <c r="AC2907" s="11"/>
      <c r="AD2907" s="11"/>
    </row>
    <row r="2908">
      <c r="A2908" s="10"/>
      <c r="B2908" s="10"/>
      <c r="C2908" s="10"/>
      <c r="D2908" s="10"/>
      <c r="E2908" s="10"/>
      <c r="F2908" s="11"/>
      <c r="G2908" s="11"/>
      <c r="H2908" s="11"/>
      <c r="I2908" s="11"/>
      <c r="J2908" s="11"/>
      <c r="K2908" s="11"/>
      <c r="L2908" s="12"/>
      <c r="M2908" s="11"/>
      <c r="N2908" s="11"/>
      <c r="O2908" s="13"/>
      <c r="P2908" s="14"/>
      <c r="Q2908" s="13"/>
      <c r="R2908" s="13"/>
      <c r="S2908" s="15"/>
      <c r="T2908" s="16"/>
      <c r="U2908" s="16"/>
      <c r="V2908" s="16"/>
      <c r="W2908" s="16"/>
      <c r="X2908" s="16"/>
      <c r="Y2908" s="11"/>
      <c r="Z2908" s="11"/>
      <c r="AA2908" s="11"/>
      <c r="AB2908" s="11"/>
      <c r="AC2908" s="11"/>
      <c r="AD2908" s="11"/>
    </row>
    <row r="2909">
      <c r="A2909" s="10"/>
      <c r="B2909" s="10"/>
      <c r="C2909" s="10"/>
      <c r="D2909" s="10"/>
      <c r="E2909" s="10"/>
      <c r="F2909" s="11"/>
      <c r="G2909" s="11"/>
      <c r="H2909" s="11"/>
      <c r="I2909" s="11"/>
      <c r="J2909" s="11"/>
      <c r="K2909" s="11"/>
      <c r="L2909" s="12"/>
      <c r="M2909" s="11"/>
      <c r="N2909" s="11"/>
      <c r="O2909" s="13"/>
      <c r="P2909" s="14"/>
      <c r="Q2909" s="13"/>
      <c r="R2909" s="13"/>
      <c r="S2909" s="15"/>
      <c r="T2909" s="16"/>
      <c r="U2909" s="16"/>
      <c r="V2909" s="16"/>
      <c r="W2909" s="16"/>
      <c r="X2909" s="16"/>
      <c r="Y2909" s="11"/>
      <c r="Z2909" s="11"/>
      <c r="AA2909" s="11"/>
      <c r="AB2909" s="11"/>
      <c r="AC2909" s="11"/>
      <c r="AD2909" s="11"/>
    </row>
    <row r="2910">
      <c r="A2910" s="10"/>
      <c r="B2910" s="10"/>
      <c r="C2910" s="10"/>
      <c r="D2910" s="10"/>
      <c r="E2910" s="10"/>
      <c r="F2910" s="11"/>
      <c r="G2910" s="11"/>
      <c r="H2910" s="11"/>
      <c r="I2910" s="11"/>
      <c r="J2910" s="11"/>
      <c r="K2910" s="11"/>
      <c r="L2910" s="12"/>
      <c r="M2910" s="11"/>
      <c r="N2910" s="11"/>
      <c r="O2910" s="13"/>
      <c r="P2910" s="14"/>
      <c r="Q2910" s="13"/>
      <c r="R2910" s="13"/>
      <c r="S2910" s="15"/>
      <c r="T2910" s="16"/>
      <c r="U2910" s="16"/>
      <c r="V2910" s="16"/>
      <c r="W2910" s="16"/>
      <c r="X2910" s="16"/>
      <c r="Y2910" s="11"/>
      <c r="Z2910" s="11"/>
      <c r="AA2910" s="11"/>
      <c r="AB2910" s="11"/>
      <c r="AC2910" s="11"/>
      <c r="AD2910" s="11"/>
    </row>
    <row r="2911">
      <c r="A2911" s="10"/>
      <c r="B2911" s="10"/>
      <c r="C2911" s="10"/>
      <c r="D2911" s="10"/>
      <c r="E2911" s="10"/>
      <c r="F2911" s="11"/>
      <c r="G2911" s="11"/>
      <c r="H2911" s="11"/>
      <c r="I2911" s="11"/>
      <c r="J2911" s="11"/>
      <c r="K2911" s="11"/>
      <c r="L2911" s="12"/>
      <c r="M2911" s="11"/>
      <c r="N2911" s="11"/>
      <c r="O2911" s="13"/>
      <c r="P2911" s="14"/>
      <c r="Q2911" s="13"/>
      <c r="R2911" s="13"/>
      <c r="S2911" s="15"/>
      <c r="T2911" s="16"/>
      <c r="U2911" s="16"/>
      <c r="V2911" s="16"/>
      <c r="W2911" s="16"/>
      <c r="X2911" s="16"/>
      <c r="Y2911" s="11"/>
      <c r="Z2911" s="11"/>
      <c r="AA2911" s="11"/>
      <c r="AB2911" s="11"/>
      <c r="AC2911" s="11"/>
      <c r="AD2911" s="11"/>
    </row>
    <row r="2912">
      <c r="A2912" s="10"/>
      <c r="B2912" s="10"/>
      <c r="C2912" s="10"/>
      <c r="D2912" s="10"/>
      <c r="E2912" s="10"/>
      <c r="F2912" s="11"/>
      <c r="G2912" s="11"/>
      <c r="H2912" s="11"/>
      <c r="I2912" s="11"/>
      <c r="J2912" s="11"/>
      <c r="K2912" s="11"/>
      <c r="L2912" s="12"/>
      <c r="M2912" s="11"/>
      <c r="N2912" s="11"/>
      <c r="O2912" s="13"/>
      <c r="P2912" s="14"/>
      <c r="Q2912" s="13"/>
      <c r="R2912" s="13"/>
      <c r="S2912" s="15"/>
      <c r="T2912" s="16"/>
      <c r="U2912" s="16"/>
      <c r="V2912" s="16"/>
      <c r="W2912" s="16"/>
      <c r="X2912" s="16"/>
      <c r="Y2912" s="11"/>
      <c r="Z2912" s="11"/>
      <c r="AA2912" s="11"/>
      <c r="AB2912" s="11"/>
      <c r="AC2912" s="11"/>
      <c r="AD2912" s="11"/>
    </row>
    <row r="2913">
      <c r="A2913" s="10"/>
      <c r="B2913" s="10"/>
      <c r="C2913" s="10"/>
      <c r="D2913" s="10"/>
      <c r="E2913" s="10"/>
      <c r="F2913" s="11"/>
      <c r="G2913" s="11"/>
      <c r="H2913" s="11"/>
      <c r="I2913" s="11"/>
      <c r="J2913" s="11"/>
      <c r="K2913" s="11"/>
      <c r="L2913" s="12"/>
      <c r="M2913" s="11"/>
      <c r="N2913" s="11"/>
      <c r="O2913" s="13"/>
      <c r="P2913" s="14"/>
      <c r="Q2913" s="13"/>
      <c r="R2913" s="13"/>
      <c r="S2913" s="15"/>
      <c r="T2913" s="16"/>
      <c r="U2913" s="16"/>
      <c r="V2913" s="16"/>
      <c r="W2913" s="16"/>
      <c r="X2913" s="16"/>
      <c r="Y2913" s="11"/>
      <c r="Z2913" s="11"/>
      <c r="AA2913" s="11"/>
      <c r="AB2913" s="11"/>
      <c r="AC2913" s="11"/>
      <c r="AD2913" s="11"/>
    </row>
    <row r="2914">
      <c r="A2914" s="10"/>
      <c r="B2914" s="10"/>
      <c r="C2914" s="10"/>
      <c r="D2914" s="10"/>
      <c r="E2914" s="10"/>
      <c r="F2914" s="11"/>
      <c r="G2914" s="11"/>
      <c r="H2914" s="11"/>
      <c r="I2914" s="11"/>
      <c r="J2914" s="11"/>
      <c r="K2914" s="11"/>
      <c r="L2914" s="12"/>
      <c r="M2914" s="11"/>
      <c r="N2914" s="11"/>
      <c r="O2914" s="13"/>
      <c r="P2914" s="14"/>
      <c r="Q2914" s="13"/>
      <c r="R2914" s="13"/>
      <c r="S2914" s="15"/>
      <c r="T2914" s="16"/>
      <c r="U2914" s="16"/>
      <c r="V2914" s="16"/>
      <c r="W2914" s="16"/>
      <c r="X2914" s="16"/>
      <c r="Y2914" s="11"/>
      <c r="Z2914" s="11"/>
      <c r="AA2914" s="11"/>
      <c r="AB2914" s="11"/>
      <c r="AC2914" s="11"/>
      <c r="AD2914" s="11"/>
    </row>
    <row r="2915">
      <c r="A2915" s="10"/>
      <c r="B2915" s="10"/>
      <c r="C2915" s="10"/>
      <c r="D2915" s="10"/>
      <c r="E2915" s="10"/>
      <c r="F2915" s="11"/>
      <c r="G2915" s="11"/>
      <c r="H2915" s="11"/>
      <c r="I2915" s="11"/>
      <c r="J2915" s="11"/>
      <c r="K2915" s="11"/>
      <c r="L2915" s="12"/>
      <c r="M2915" s="11"/>
      <c r="N2915" s="11"/>
      <c r="O2915" s="13"/>
      <c r="P2915" s="14"/>
      <c r="Q2915" s="13"/>
      <c r="R2915" s="13"/>
      <c r="S2915" s="15"/>
      <c r="T2915" s="16"/>
      <c r="U2915" s="16"/>
      <c r="V2915" s="16"/>
      <c r="W2915" s="16"/>
      <c r="X2915" s="16"/>
      <c r="Y2915" s="11"/>
      <c r="Z2915" s="11"/>
      <c r="AA2915" s="11"/>
      <c r="AB2915" s="11"/>
      <c r="AC2915" s="11"/>
      <c r="AD2915" s="11"/>
    </row>
    <row r="2916">
      <c r="A2916" s="10"/>
      <c r="B2916" s="10"/>
      <c r="C2916" s="10"/>
      <c r="D2916" s="10"/>
      <c r="E2916" s="10"/>
      <c r="F2916" s="11"/>
      <c r="G2916" s="11"/>
      <c r="H2916" s="11"/>
      <c r="I2916" s="11"/>
      <c r="J2916" s="11"/>
      <c r="K2916" s="11"/>
      <c r="L2916" s="12"/>
      <c r="M2916" s="11"/>
      <c r="N2916" s="11"/>
      <c r="O2916" s="13"/>
      <c r="P2916" s="14"/>
      <c r="Q2916" s="13"/>
      <c r="R2916" s="13"/>
      <c r="S2916" s="15"/>
      <c r="T2916" s="16"/>
      <c r="U2916" s="16"/>
      <c r="V2916" s="16"/>
      <c r="W2916" s="16"/>
      <c r="X2916" s="16"/>
      <c r="Y2916" s="11"/>
      <c r="Z2916" s="11"/>
      <c r="AA2916" s="11"/>
      <c r="AB2916" s="11"/>
      <c r="AC2916" s="11"/>
      <c r="AD2916" s="11"/>
    </row>
    <row r="2917">
      <c r="A2917" s="10"/>
      <c r="B2917" s="10"/>
      <c r="C2917" s="10"/>
      <c r="D2917" s="10"/>
      <c r="E2917" s="10"/>
      <c r="F2917" s="11"/>
      <c r="G2917" s="11"/>
      <c r="H2917" s="11"/>
      <c r="I2917" s="11"/>
      <c r="J2917" s="11"/>
      <c r="K2917" s="11"/>
      <c r="L2917" s="12"/>
      <c r="M2917" s="11"/>
      <c r="N2917" s="11"/>
      <c r="O2917" s="13"/>
      <c r="P2917" s="14"/>
      <c r="Q2917" s="13"/>
      <c r="R2917" s="13"/>
      <c r="S2917" s="15"/>
      <c r="T2917" s="16"/>
      <c r="U2917" s="16"/>
      <c r="V2917" s="16"/>
      <c r="W2917" s="16"/>
      <c r="X2917" s="16"/>
      <c r="Y2917" s="11"/>
      <c r="Z2917" s="11"/>
      <c r="AA2917" s="11"/>
      <c r="AB2917" s="11"/>
      <c r="AC2917" s="11"/>
      <c r="AD2917" s="11"/>
    </row>
    <row r="2918">
      <c r="A2918" s="10"/>
      <c r="B2918" s="10"/>
      <c r="C2918" s="10"/>
      <c r="D2918" s="10"/>
      <c r="E2918" s="10"/>
      <c r="F2918" s="11"/>
      <c r="G2918" s="11"/>
      <c r="H2918" s="11"/>
      <c r="I2918" s="11"/>
      <c r="J2918" s="11"/>
      <c r="K2918" s="11"/>
      <c r="L2918" s="12"/>
      <c r="M2918" s="11"/>
      <c r="N2918" s="11"/>
      <c r="O2918" s="13"/>
      <c r="P2918" s="14"/>
      <c r="Q2918" s="13"/>
      <c r="R2918" s="13"/>
      <c r="S2918" s="15"/>
      <c r="T2918" s="16"/>
      <c r="U2918" s="16"/>
      <c r="V2918" s="16"/>
      <c r="W2918" s="16"/>
      <c r="X2918" s="16"/>
      <c r="Y2918" s="11"/>
      <c r="Z2918" s="11"/>
      <c r="AA2918" s="11"/>
      <c r="AB2918" s="11"/>
      <c r="AC2918" s="11"/>
      <c r="AD2918" s="11"/>
    </row>
    <row r="2919">
      <c r="A2919" s="10"/>
      <c r="B2919" s="10"/>
      <c r="C2919" s="10"/>
      <c r="D2919" s="10"/>
      <c r="E2919" s="10"/>
      <c r="F2919" s="11"/>
      <c r="G2919" s="11"/>
      <c r="H2919" s="11"/>
      <c r="I2919" s="11"/>
      <c r="J2919" s="11"/>
      <c r="K2919" s="11"/>
      <c r="L2919" s="12"/>
      <c r="M2919" s="11"/>
      <c r="N2919" s="11"/>
      <c r="O2919" s="13"/>
      <c r="P2919" s="14"/>
      <c r="Q2919" s="13"/>
      <c r="R2919" s="13"/>
      <c r="S2919" s="15"/>
      <c r="T2919" s="16"/>
      <c r="U2919" s="16"/>
      <c r="V2919" s="16"/>
      <c r="W2919" s="16"/>
      <c r="X2919" s="16"/>
      <c r="Y2919" s="11"/>
      <c r="Z2919" s="11"/>
      <c r="AA2919" s="11"/>
      <c r="AB2919" s="11"/>
      <c r="AC2919" s="11"/>
      <c r="AD2919" s="11"/>
    </row>
    <row r="2920">
      <c r="A2920" s="10"/>
      <c r="B2920" s="10"/>
      <c r="C2920" s="10"/>
      <c r="D2920" s="10"/>
      <c r="E2920" s="10"/>
      <c r="F2920" s="11"/>
      <c r="G2920" s="11"/>
      <c r="H2920" s="11"/>
      <c r="I2920" s="11"/>
      <c r="J2920" s="11"/>
      <c r="K2920" s="11"/>
      <c r="L2920" s="12"/>
      <c r="M2920" s="11"/>
      <c r="N2920" s="11"/>
      <c r="O2920" s="13"/>
      <c r="P2920" s="14"/>
      <c r="Q2920" s="13"/>
      <c r="R2920" s="13"/>
      <c r="S2920" s="15"/>
      <c r="T2920" s="16"/>
      <c r="U2920" s="16"/>
      <c r="V2920" s="16"/>
      <c r="W2920" s="16"/>
      <c r="X2920" s="16"/>
      <c r="Y2920" s="11"/>
      <c r="Z2920" s="11"/>
      <c r="AA2920" s="11"/>
      <c r="AB2920" s="11"/>
      <c r="AC2920" s="11"/>
      <c r="AD2920" s="11"/>
    </row>
    <row r="2921">
      <c r="A2921" s="10"/>
      <c r="B2921" s="10"/>
      <c r="C2921" s="10"/>
      <c r="D2921" s="10"/>
      <c r="E2921" s="10"/>
      <c r="F2921" s="11"/>
      <c r="G2921" s="11"/>
      <c r="H2921" s="11"/>
      <c r="I2921" s="11"/>
      <c r="J2921" s="11"/>
      <c r="K2921" s="11"/>
      <c r="L2921" s="12"/>
      <c r="M2921" s="11"/>
      <c r="N2921" s="11"/>
      <c r="O2921" s="13"/>
      <c r="P2921" s="14"/>
      <c r="Q2921" s="13"/>
      <c r="R2921" s="13"/>
      <c r="S2921" s="15"/>
      <c r="T2921" s="16"/>
      <c r="U2921" s="16"/>
      <c r="V2921" s="16"/>
      <c r="W2921" s="16"/>
      <c r="X2921" s="16"/>
      <c r="Y2921" s="11"/>
      <c r="Z2921" s="11"/>
      <c r="AA2921" s="11"/>
      <c r="AB2921" s="11"/>
      <c r="AC2921" s="11"/>
      <c r="AD2921" s="11"/>
    </row>
    <row r="2922">
      <c r="A2922" s="10"/>
      <c r="B2922" s="10"/>
      <c r="C2922" s="10"/>
      <c r="D2922" s="10"/>
      <c r="E2922" s="10"/>
      <c r="F2922" s="11"/>
      <c r="G2922" s="11"/>
      <c r="H2922" s="11"/>
      <c r="I2922" s="11"/>
      <c r="J2922" s="11"/>
      <c r="K2922" s="11"/>
      <c r="L2922" s="12"/>
      <c r="M2922" s="11"/>
      <c r="N2922" s="11"/>
      <c r="O2922" s="13"/>
      <c r="P2922" s="14"/>
      <c r="Q2922" s="13"/>
      <c r="R2922" s="13"/>
      <c r="S2922" s="15"/>
      <c r="T2922" s="16"/>
      <c r="U2922" s="16"/>
      <c r="V2922" s="16"/>
      <c r="W2922" s="16"/>
      <c r="X2922" s="16"/>
      <c r="Y2922" s="11"/>
      <c r="Z2922" s="11"/>
      <c r="AA2922" s="11"/>
      <c r="AB2922" s="11"/>
      <c r="AC2922" s="11"/>
      <c r="AD2922" s="11"/>
    </row>
    <row r="2923">
      <c r="A2923" s="10"/>
      <c r="B2923" s="10"/>
      <c r="C2923" s="10"/>
      <c r="D2923" s="10"/>
      <c r="E2923" s="10"/>
      <c r="F2923" s="11"/>
      <c r="G2923" s="11"/>
      <c r="H2923" s="11"/>
      <c r="I2923" s="11"/>
      <c r="J2923" s="11"/>
      <c r="K2923" s="11"/>
      <c r="L2923" s="12"/>
      <c r="M2923" s="11"/>
      <c r="N2923" s="11"/>
      <c r="O2923" s="13"/>
      <c r="P2923" s="14"/>
      <c r="Q2923" s="13"/>
      <c r="R2923" s="13"/>
      <c r="S2923" s="15"/>
      <c r="T2923" s="16"/>
      <c r="U2923" s="16"/>
      <c r="V2923" s="16"/>
      <c r="W2923" s="16"/>
      <c r="X2923" s="16"/>
      <c r="Y2923" s="11"/>
      <c r="Z2923" s="11"/>
      <c r="AA2923" s="11"/>
      <c r="AB2923" s="11"/>
      <c r="AC2923" s="11"/>
      <c r="AD2923" s="11"/>
    </row>
    <row r="2924">
      <c r="A2924" s="10"/>
      <c r="B2924" s="10"/>
      <c r="C2924" s="10"/>
      <c r="D2924" s="10"/>
      <c r="E2924" s="10"/>
      <c r="F2924" s="11"/>
      <c r="G2924" s="11"/>
      <c r="H2924" s="11"/>
      <c r="I2924" s="11"/>
      <c r="J2924" s="11"/>
      <c r="K2924" s="11"/>
      <c r="L2924" s="12"/>
      <c r="M2924" s="11"/>
      <c r="N2924" s="11"/>
      <c r="O2924" s="13"/>
      <c r="P2924" s="14"/>
      <c r="Q2924" s="13"/>
      <c r="R2924" s="13"/>
      <c r="S2924" s="15"/>
      <c r="T2924" s="16"/>
      <c r="U2924" s="16"/>
      <c r="V2924" s="16"/>
      <c r="W2924" s="16"/>
      <c r="X2924" s="16"/>
      <c r="Y2924" s="11"/>
      <c r="Z2924" s="11"/>
      <c r="AA2924" s="11"/>
      <c r="AB2924" s="11"/>
      <c r="AC2924" s="11"/>
      <c r="AD2924" s="11"/>
    </row>
    <row r="2925">
      <c r="A2925" s="10"/>
      <c r="B2925" s="10"/>
      <c r="C2925" s="10"/>
      <c r="D2925" s="10"/>
      <c r="E2925" s="10"/>
      <c r="F2925" s="11"/>
      <c r="G2925" s="11"/>
      <c r="H2925" s="11"/>
      <c r="I2925" s="11"/>
      <c r="J2925" s="11"/>
      <c r="K2925" s="11"/>
      <c r="L2925" s="12"/>
      <c r="M2925" s="11"/>
      <c r="N2925" s="11"/>
      <c r="O2925" s="13"/>
      <c r="P2925" s="14"/>
      <c r="Q2925" s="13"/>
      <c r="R2925" s="13"/>
      <c r="S2925" s="15"/>
      <c r="T2925" s="16"/>
      <c r="U2925" s="16"/>
      <c r="V2925" s="16"/>
      <c r="W2925" s="16"/>
      <c r="X2925" s="16"/>
      <c r="Y2925" s="11"/>
      <c r="Z2925" s="11"/>
      <c r="AA2925" s="11"/>
      <c r="AB2925" s="11"/>
      <c r="AC2925" s="11"/>
      <c r="AD2925" s="11"/>
    </row>
    <row r="2926">
      <c r="A2926" s="10"/>
      <c r="B2926" s="10"/>
      <c r="C2926" s="10"/>
      <c r="D2926" s="10"/>
      <c r="E2926" s="10"/>
      <c r="F2926" s="11"/>
      <c r="G2926" s="11"/>
      <c r="H2926" s="11"/>
      <c r="I2926" s="11"/>
      <c r="J2926" s="11"/>
      <c r="K2926" s="11"/>
      <c r="L2926" s="12"/>
      <c r="M2926" s="11"/>
      <c r="N2926" s="11"/>
      <c r="O2926" s="13"/>
      <c r="P2926" s="14"/>
      <c r="Q2926" s="13"/>
      <c r="R2926" s="13"/>
      <c r="S2926" s="15"/>
      <c r="T2926" s="16"/>
      <c r="U2926" s="16"/>
      <c r="V2926" s="16"/>
      <c r="W2926" s="16"/>
      <c r="X2926" s="16"/>
      <c r="Y2926" s="11"/>
      <c r="Z2926" s="11"/>
      <c r="AA2926" s="11"/>
      <c r="AB2926" s="11"/>
      <c r="AC2926" s="11"/>
      <c r="AD2926" s="11"/>
    </row>
    <row r="2927">
      <c r="A2927" s="10"/>
      <c r="B2927" s="10"/>
      <c r="C2927" s="10"/>
      <c r="D2927" s="10"/>
      <c r="E2927" s="10"/>
      <c r="F2927" s="11"/>
      <c r="G2927" s="11"/>
      <c r="H2927" s="11"/>
      <c r="I2927" s="11"/>
      <c r="J2927" s="11"/>
      <c r="K2927" s="11"/>
      <c r="L2927" s="12"/>
      <c r="M2927" s="11"/>
      <c r="N2927" s="11"/>
      <c r="O2927" s="13"/>
      <c r="P2927" s="14"/>
      <c r="Q2927" s="13"/>
      <c r="R2927" s="13"/>
      <c r="S2927" s="15"/>
      <c r="T2927" s="16"/>
      <c r="U2927" s="16"/>
      <c r="V2927" s="16"/>
      <c r="W2927" s="16"/>
      <c r="X2927" s="16"/>
      <c r="Y2927" s="11"/>
      <c r="Z2927" s="11"/>
      <c r="AA2927" s="11"/>
      <c r="AB2927" s="11"/>
      <c r="AC2927" s="11"/>
      <c r="AD2927" s="11"/>
    </row>
    <row r="2928">
      <c r="A2928" s="10"/>
      <c r="B2928" s="10"/>
      <c r="C2928" s="10"/>
      <c r="D2928" s="10"/>
      <c r="E2928" s="10"/>
      <c r="F2928" s="11"/>
      <c r="G2928" s="11"/>
      <c r="H2928" s="11"/>
      <c r="I2928" s="11"/>
      <c r="J2928" s="11"/>
      <c r="K2928" s="11"/>
      <c r="L2928" s="12"/>
      <c r="M2928" s="11"/>
      <c r="N2928" s="11"/>
      <c r="O2928" s="13"/>
      <c r="P2928" s="14"/>
      <c r="Q2928" s="13"/>
      <c r="R2928" s="13"/>
      <c r="S2928" s="15"/>
      <c r="T2928" s="16"/>
      <c r="U2928" s="16"/>
      <c r="V2928" s="16"/>
      <c r="W2928" s="16"/>
      <c r="X2928" s="16"/>
      <c r="Y2928" s="11"/>
      <c r="Z2928" s="11"/>
      <c r="AA2928" s="11"/>
      <c r="AB2928" s="11"/>
      <c r="AC2928" s="11"/>
      <c r="AD2928" s="11"/>
    </row>
    <row r="2929">
      <c r="A2929" s="10"/>
      <c r="B2929" s="10"/>
      <c r="C2929" s="10"/>
      <c r="D2929" s="10"/>
      <c r="E2929" s="10"/>
      <c r="F2929" s="11"/>
      <c r="G2929" s="11"/>
      <c r="H2929" s="11"/>
      <c r="I2929" s="11"/>
      <c r="J2929" s="11"/>
      <c r="K2929" s="11"/>
      <c r="L2929" s="12"/>
      <c r="M2929" s="11"/>
      <c r="N2929" s="11"/>
      <c r="O2929" s="13"/>
      <c r="P2929" s="14"/>
      <c r="Q2929" s="13"/>
      <c r="R2929" s="13"/>
      <c r="S2929" s="15"/>
      <c r="T2929" s="16"/>
      <c r="U2929" s="16"/>
      <c r="V2929" s="16"/>
      <c r="W2929" s="16"/>
      <c r="X2929" s="16"/>
      <c r="Y2929" s="11"/>
      <c r="Z2929" s="11"/>
      <c r="AA2929" s="11"/>
      <c r="AB2929" s="11"/>
      <c r="AC2929" s="11"/>
      <c r="AD2929" s="11"/>
    </row>
    <row r="2930">
      <c r="A2930" s="10"/>
      <c r="B2930" s="10"/>
      <c r="C2930" s="10"/>
      <c r="D2930" s="10"/>
      <c r="E2930" s="10"/>
      <c r="F2930" s="11"/>
      <c r="G2930" s="11"/>
      <c r="H2930" s="11"/>
      <c r="I2930" s="11"/>
      <c r="J2930" s="11"/>
      <c r="K2930" s="11"/>
      <c r="L2930" s="12"/>
      <c r="M2930" s="11"/>
      <c r="N2930" s="11"/>
      <c r="O2930" s="13"/>
      <c r="P2930" s="14"/>
      <c r="Q2930" s="13"/>
      <c r="R2930" s="13"/>
      <c r="S2930" s="15"/>
      <c r="T2930" s="16"/>
      <c r="U2930" s="16"/>
      <c r="V2930" s="16"/>
      <c r="W2930" s="16"/>
      <c r="X2930" s="16"/>
      <c r="Y2930" s="11"/>
      <c r="Z2930" s="11"/>
      <c r="AA2930" s="11"/>
      <c r="AB2930" s="11"/>
      <c r="AC2930" s="11"/>
      <c r="AD2930" s="11"/>
    </row>
    <row r="2931">
      <c r="A2931" s="10"/>
      <c r="B2931" s="10"/>
      <c r="C2931" s="10"/>
      <c r="D2931" s="10"/>
      <c r="E2931" s="10"/>
      <c r="F2931" s="11"/>
      <c r="G2931" s="11"/>
      <c r="H2931" s="11"/>
      <c r="I2931" s="11"/>
      <c r="J2931" s="11"/>
      <c r="K2931" s="11"/>
      <c r="L2931" s="12"/>
      <c r="M2931" s="11"/>
      <c r="N2931" s="11"/>
      <c r="O2931" s="13"/>
      <c r="P2931" s="14"/>
      <c r="Q2931" s="13"/>
      <c r="R2931" s="13"/>
      <c r="S2931" s="15"/>
      <c r="T2931" s="16"/>
      <c r="U2931" s="16"/>
      <c r="V2931" s="16"/>
      <c r="W2931" s="16"/>
      <c r="X2931" s="16"/>
      <c r="Y2931" s="11"/>
      <c r="Z2931" s="11"/>
      <c r="AA2931" s="11"/>
      <c r="AB2931" s="11"/>
      <c r="AC2931" s="11"/>
      <c r="AD2931" s="11"/>
    </row>
    <row r="2932">
      <c r="A2932" s="10"/>
      <c r="B2932" s="10"/>
      <c r="C2932" s="10"/>
      <c r="D2932" s="10"/>
      <c r="E2932" s="10"/>
      <c r="F2932" s="11"/>
      <c r="G2932" s="11"/>
      <c r="H2932" s="11"/>
      <c r="I2932" s="11"/>
      <c r="J2932" s="11"/>
      <c r="K2932" s="11"/>
      <c r="L2932" s="12"/>
      <c r="M2932" s="11"/>
      <c r="N2932" s="11"/>
      <c r="O2932" s="13"/>
      <c r="P2932" s="14"/>
      <c r="Q2932" s="13"/>
      <c r="R2932" s="13"/>
      <c r="S2932" s="15"/>
      <c r="T2932" s="16"/>
      <c r="U2932" s="16"/>
      <c r="V2932" s="16"/>
      <c r="W2932" s="16"/>
      <c r="X2932" s="16"/>
      <c r="Y2932" s="11"/>
      <c r="Z2932" s="11"/>
      <c r="AA2932" s="11"/>
      <c r="AB2932" s="11"/>
      <c r="AC2932" s="11"/>
      <c r="AD2932" s="11"/>
    </row>
    <row r="2933">
      <c r="A2933" s="10"/>
      <c r="B2933" s="10"/>
      <c r="C2933" s="10"/>
      <c r="D2933" s="10"/>
      <c r="E2933" s="10"/>
      <c r="F2933" s="11"/>
      <c r="G2933" s="11"/>
      <c r="H2933" s="11"/>
      <c r="I2933" s="11"/>
      <c r="J2933" s="11"/>
      <c r="K2933" s="11"/>
      <c r="L2933" s="12"/>
      <c r="M2933" s="11"/>
      <c r="N2933" s="11"/>
      <c r="O2933" s="13"/>
      <c r="P2933" s="14"/>
      <c r="Q2933" s="13"/>
      <c r="R2933" s="13"/>
      <c r="S2933" s="15"/>
      <c r="T2933" s="16"/>
      <c r="U2933" s="16"/>
      <c r="V2933" s="16"/>
      <c r="W2933" s="16"/>
      <c r="X2933" s="16"/>
      <c r="Y2933" s="11"/>
      <c r="Z2933" s="11"/>
      <c r="AA2933" s="11"/>
      <c r="AB2933" s="11"/>
      <c r="AC2933" s="11"/>
      <c r="AD2933" s="11"/>
    </row>
    <row r="2934">
      <c r="A2934" s="10"/>
      <c r="B2934" s="10"/>
      <c r="C2934" s="10"/>
      <c r="D2934" s="10"/>
      <c r="E2934" s="10"/>
      <c r="F2934" s="11"/>
      <c r="G2934" s="11"/>
      <c r="H2934" s="11"/>
      <c r="I2934" s="11"/>
      <c r="J2934" s="11"/>
      <c r="K2934" s="11"/>
      <c r="L2934" s="12"/>
      <c r="M2934" s="11"/>
      <c r="N2934" s="11"/>
      <c r="O2934" s="13"/>
      <c r="P2934" s="14"/>
      <c r="Q2934" s="13"/>
      <c r="R2934" s="13"/>
      <c r="S2934" s="15"/>
      <c r="T2934" s="16"/>
      <c r="U2934" s="16"/>
      <c r="V2934" s="16"/>
      <c r="W2934" s="16"/>
      <c r="X2934" s="16"/>
      <c r="Y2934" s="11"/>
      <c r="Z2934" s="11"/>
      <c r="AA2934" s="11"/>
      <c r="AB2934" s="11"/>
      <c r="AC2934" s="11"/>
      <c r="AD2934" s="11"/>
    </row>
    <row r="2935">
      <c r="A2935" s="10"/>
      <c r="B2935" s="10"/>
      <c r="C2935" s="10"/>
      <c r="D2935" s="10"/>
      <c r="E2935" s="10"/>
      <c r="F2935" s="11"/>
      <c r="G2935" s="11"/>
      <c r="H2935" s="11"/>
      <c r="I2935" s="11"/>
      <c r="J2935" s="11"/>
      <c r="K2935" s="11"/>
      <c r="L2935" s="12"/>
      <c r="M2935" s="11"/>
      <c r="N2935" s="11"/>
      <c r="O2935" s="13"/>
      <c r="P2935" s="14"/>
      <c r="Q2935" s="13"/>
      <c r="R2935" s="13"/>
      <c r="S2935" s="15"/>
      <c r="T2935" s="16"/>
      <c r="U2935" s="16"/>
      <c r="V2935" s="16"/>
      <c r="W2935" s="16"/>
      <c r="X2935" s="16"/>
      <c r="Y2935" s="11"/>
      <c r="Z2935" s="11"/>
      <c r="AA2935" s="11"/>
      <c r="AB2935" s="11"/>
      <c r="AC2935" s="11"/>
      <c r="AD2935" s="11"/>
    </row>
    <row r="2936">
      <c r="A2936" s="10"/>
      <c r="B2936" s="10"/>
      <c r="C2936" s="10"/>
      <c r="D2936" s="10"/>
      <c r="E2936" s="10"/>
      <c r="F2936" s="11"/>
      <c r="G2936" s="11"/>
      <c r="H2936" s="11"/>
      <c r="I2936" s="11"/>
      <c r="J2936" s="11"/>
      <c r="K2936" s="11"/>
      <c r="L2936" s="12"/>
      <c r="M2936" s="11"/>
      <c r="N2936" s="11"/>
      <c r="O2936" s="13"/>
      <c r="P2936" s="14"/>
      <c r="Q2936" s="13"/>
      <c r="R2936" s="13"/>
      <c r="S2936" s="15"/>
      <c r="T2936" s="16"/>
      <c r="U2936" s="16"/>
      <c r="V2936" s="16"/>
      <c r="W2936" s="16"/>
      <c r="X2936" s="16"/>
      <c r="Y2936" s="11"/>
      <c r="Z2936" s="11"/>
      <c r="AA2936" s="11"/>
      <c r="AB2936" s="11"/>
      <c r="AC2936" s="11"/>
      <c r="AD2936" s="11"/>
    </row>
    <row r="2937">
      <c r="A2937" s="10"/>
      <c r="B2937" s="10"/>
      <c r="C2937" s="10"/>
      <c r="D2937" s="10"/>
      <c r="E2937" s="10"/>
      <c r="F2937" s="11"/>
      <c r="G2937" s="11"/>
      <c r="H2937" s="11"/>
      <c r="I2937" s="11"/>
      <c r="J2937" s="11"/>
      <c r="K2937" s="11"/>
      <c r="L2937" s="12"/>
      <c r="M2937" s="11"/>
      <c r="N2937" s="11"/>
      <c r="O2937" s="13"/>
      <c r="P2937" s="14"/>
      <c r="Q2937" s="13"/>
      <c r="R2937" s="13"/>
      <c r="S2937" s="15"/>
      <c r="T2937" s="16"/>
      <c r="U2937" s="16"/>
      <c r="V2937" s="16"/>
      <c r="W2937" s="16"/>
      <c r="X2937" s="16"/>
      <c r="Y2937" s="11"/>
      <c r="Z2937" s="11"/>
      <c r="AA2937" s="11"/>
      <c r="AB2937" s="11"/>
      <c r="AC2937" s="11"/>
      <c r="AD2937" s="11"/>
    </row>
    <row r="2938">
      <c r="A2938" s="10"/>
      <c r="B2938" s="10"/>
      <c r="C2938" s="10"/>
      <c r="D2938" s="10"/>
      <c r="E2938" s="10"/>
      <c r="F2938" s="11"/>
      <c r="G2938" s="11"/>
      <c r="H2938" s="11"/>
      <c r="I2938" s="11"/>
      <c r="J2938" s="11"/>
      <c r="K2938" s="11"/>
      <c r="L2938" s="12"/>
      <c r="M2938" s="11"/>
      <c r="N2938" s="11"/>
      <c r="O2938" s="13"/>
      <c r="P2938" s="14"/>
      <c r="Q2938" s="13"/>
      <c r="R2938" s="13"/>
      <c r="S2938" s="15"/>
      <c r="T2938" s="16"/>
      <c r="U2938" s="16"/>
      <c r="V2938" s="16"/>
      <c r="W2938" s="16"/>
      <c r="X2938" s="16"/>
      <c r="Y2938" s="11"/>
      <c r="Z2938" s="11"/>
      <c r="AA2938" s="11"/>
      <c r="AB2938" s="11"/>
      <c r="AC2938" s="11"/>
      <c r="AD2938" s="11"/>
    </row>
    <row r="2939">
      <c r="A2939" s="10"/>
      <c r="B2939" s="10"/>
      <c r="C2939" s="10"/>
      <c r="D2939" s="10"/>
      <c r="E2939" s="10"/>
      <c r="F2939" s="11"/>
      <c r="G2939" s="11"/>
      <c r="H2939" s="11"/>
      <c r="I2939" s="11"/>
      <c r="J2939" s="11"/>
      <c r="K2939" s="11"/>
      <c r="L2939" s="12"/>
      <c r="M2939" s="11"/>
      <c r="N2939" s="11"/>
      <c r="O2939" s="13"/>
      <c r="P2939" s="14"/>
      <c r="Q2939" s="13"/>
      <c r="R2939" s="13"/>
      <c r="S2939" s="15"/>
      <c r="T2939" s="16"/>
      <c r="U2939" s="16"/>
      <c r="V2939" s="16"/>
      <c r="W2939" s="16"/>
      <c r="X2939" s="16"/>
      <c r="Y2939" s="11"/>
      <c r="Z2939" s="11"/>
      <c r="AA2939" s="11"/>
      <c r="AB2939" s="11"/>
      <c r="AC2939" s="11"/>
      <c r="AD2939" s="11"/>
    </row>
    <row r="2940">
      <c r="A2940" s="10"/>
      <c r="B2940" s="10"/>
      <c r="C2940" s="10"/>
      <c r="D2940" s="10"/>
      <c r="E2940" s="10"/>
      <c r="F2940" s="11"/>
      <c r="G2940" s="11"/>
      <c r="H2940" s="11"/>
      <c r="I2940" s="11"/>
      <c r="J2940" s="11"/>
      <c r="K2940" s="11"/>
      <c r="L2940" s="12"/>
      <c r="M2940" s="11"/>
      <c r="N2940" s="11"/>
      <c r="O2940" s="13"/>
      <c r="P2940" s="14"/>
      <c r="Q2940" s="13"/>
      <c r="R2940" s="13"/>
      <c r="S2940" s="15"/>
      <c r="T2940" s="16"/>
      <c r="U2940" s="16"/>
      <c r="V2940" s="16"/>
      <c r="W2940" s="16"/>
      <c r="X2940" s="16"/>
      <c r="Y2940" s="11"/>
      <c r="Z2940" s="11"/>
      <c r="AA2940" s="11"/>
      <c r="AB2940" s="11"/>
      <c r="AC2940" s="11"/>
      <c r="AD2940" s="11"/>
    </row>
    <row r="2941">
      <c r="A2941" s="10"/>
      <c r="B2941" s="10"/>
      <c r="C2941" s="10"/>
      <c r="D2941" s="10"/>
      <c r="E2941" s="10"/>
      <c r="F2941" s="11"/>
      <c r="G2941" s="11"/>
      <c r="H2941" s="11"/>
      <c r="I2941" s="11"/>
      <c r="J2941" s="11"/>
      <c r="K2941" s="11"/>
      <c r="L2941" s="12"/>
      <c r="M2941" s="11"/>
      <c r="N2941" s="11"/>
      <c r="O2941" s="13"/>
      <c r="P2941" s="14"/>
      <c r="Q2941" s="13"/>
      <c r="R2941" s="13"/>
      <c r="S2941" s="15"/>
      <c r="T2941" s="16"/>
      <c r="U2941" s="16"/>
      <c r="V2941" s="16"/>
      <c r="W2941" s="16"/>
      <c r="X2941" s="16"/>
      <c r="Y2941" s="11"/>
      <c r="Z2941" s="11"/>
      <c r="AA2941" s="11"/>
      <c r="AB2941" s="11"/>
      <c r="AC2941" s="11"/>
      <c r="AD2941" s="11"/>
    </row>
    <row r="2942">
      <c r="A2942" s="10"/>
      <c r="B2942" s="10"/>
      <c r="C2942" s="10"/>
      <c r="D2942" s="10"/>
      <c r="E2942" s="10"/>
      <c r="F2942" s="11"/>
      <c r="G2942" s="11"/>
      <c r="H2942" s="11"/>
      <c r="I2942" s="11"/>
      <c r="J2942" s="11"/>
      <c r="K2942" s="11"/>
      <c r="L2942" s="12"/>
      <c r="M2942" s="11"/>
      <c r="N2942" s="11"/>
      <c r="O2942" s="13"/>
      <c r="P2942" s="14"/>
      <c r="Q2942" s="13"/>
      <c r="R2942" s="13"/>
      <c r="S2942" s="15"/>
      <c r="T2942" s="16"/>
      <c r="U2942" s="16"/>
      <c r="V2942" s="16"/>
      <c r="W2942" s="16"/>
      <c r="X2942" s="16"/>
      <c r="Y2942" s="11"/>
      <c r="Z2942" s="11"/>
      <c r="AA2942" s="11"/>
      <c r="AB2942" s="11"/>
      <c r="AC2942" s="11"/>
      <c r="AD2942" s="11"/>
    </row>
    <row r="2943">
      <c r="A2943" s="10"/>
      <c r="B2943" s="10"/>
      <c r="C2943" s="10"/>
      <c r="D2943" s="10"/>
      <c r="E2943" s="10"/>
      <c r="F2943" s="11"/>
      <c r="G2943" s="11"/>
      <c r="H2943" s="11"/>
      <c r="I2943" s="11"/>
      <c r="J2943" s="11"/>
      <c r="K2943" s="11"/>
      <c r="L2943" s="12"/>
      <c r="M2943" s="11"/>
      <c r="N2943" s="11"/>
      <c r="O2943" s="13"/>
      <c r="P2943" s="14"/>
      <c r="Q2943" s="13"/>
      <c r="R2943" s="13"/>
      <c r="S2943" s="15"/>
      <c r="T2943" s="16"/>
      <c r="U2943" s="16"/>
      <c r="V2943" s="16"/>
      <c r="W2943" s="16"/>
      <c r="X2943" s="16"/>
      <c r="Y2943" s="11"/>
      <c r="Z2943" s="11"/>
      <c r="AA2943" s="11"/>
      <c r="AB2943" s="11"/>
      <c r="AC2943" s="11"/>
      <c r="AD2943" s="11"/>
    </row>
    <row r="2944">
      <c r="A2944" s="10"/>
      <c r="B2944" s="10"/>
      <c r="C2944" s="10"/>
      <c r="D2944" s="10"/>
      <c r="E2944" s="10"/>
      <c r="F2944" s="11"/>
      <c r="G2944" s="11"/>
      <c r="H2944" s="11"/>
      <c r="I2944" s="11"/>
      <c r="J2944" s="11"/>
      <c r="K2944" s="11"/>
      <c r="L2944" s="12"/>
      <c r="M2944" s="11"/>
      <c r="N2944" s="11"/>
      <c r="O2944" s="13"/>
      <c r="P2944" s="14"/>
      <c r="Q2944" s="13"/>
      <c r="R2944" s="13"/>
      <c r="S2944" s="15"/>
      <c r="T2944" s="16"/>
      <c r="U2944" s="16"/>
      <c r="V2944" s="16"/>
      <c r="W2944" s="16"/>
      <c r="X2944" s="16"/>
      <c r="Y2944" s="11"/>
      <c r="Z2944" s="11"/>
      <c r="AA2944" s="11"/>
      <c r="AB2944" s="11"/>
      <c r="AC2944" s="11"/>
      <c r="AD2944" s="11"/>
    </row>
    <row r="2945">
      <c r="A2945" s="10"/>
      <c r="B2945" s="10"/>
      <c r="C2945" s="10"/>
      <c r="D2945" s="10"/>
      <c r="E2945" s="10"/>
      <c r="F2945" s="11"/>
      <c r="G2945" s="11"/>
      <c r="H2945" s="11"/>
      <c r="I2945" s="11"/>
      <c r="J2945" s="11"/>
      <c r="K2945" s="11"/>
      <c r="L2945" s="12"/>
      <c r="M2945" s="11"/>
      <c r="N2945" s="11"/>
      <c r="O2945" s="13"/>
      <c r="P2945" s="14"/>
      <c r="Q2945" s="13"/>
      <c r="R2945" s="13"/>
      <c r="S2945" s="15"/>
      <c r="T2945" s="16"/>
      <c r="U2945" s="16"/>
      <c r="V2945" s="16"/>
      <c r="W2945" s="16"/>
      <c r="X2945" s="16"/>
      <c r="Y2945" s="11"/>
      <c r="Z2945" s="11"/>
      <c r="AA2945" s="11"/>
      <c r="AB2945" s="11"/>
      <c r="AC2945" s="11"/>
      <c r="AD2945" s="11"/>
    </row>
    <row r="2946">
      <c r="A2946" s="10"/>
      <c r="B2946" s="10"/>
      <c r="C2946" s="10"/>
      <c r="D2946" s="10"/>
      <c r="E2946" s="10"/>
      <c r="F2946" s="11"/>
      <c r="G2946" s="11"/>
      <c r="H2946" s="11"/>
      <c r="I2946" s="11"/>
      <c r="J2946" s="11"/>
      <c r="K2946" s="11"/>
      <c r="L2946" s="12"/>
      <c r="M2946" s="11"/>
      <c r="N2946" s="11"/>
      <c r="O2946" s="13"/>
      <c r="P2946" s="14"/>
      <c r="Q2946" s="13"/>
      <c r="R2946" s="13"/>
      <c r="S2946" s="15"/>
      <c r="T2946" s="16"/>
      <c r="U2946" s="16"/>
      <c r="V2946" s="16"/>
      <c r="W2946" s="16"/>
      <c r="X2946" s="16"/>
      <c r="Y2946" s="11"/>
      <c r="Z2946" s="11"/>
      <c r="AA2946" s="11"/>
      <c r="AB2946" s="11"/>
      <c r="AC2946" s="11"/>
      <c r="AD2946" s="11"/>
    </row>
    <row r="2947">
      <c r="A2947" s="10"/>
      <c r="B2947" s="10"/>
      <c r="C2947" s="10"/>
      <c r="D2947" s="10"/>
      <c r="E2947" s="10"/>
      <c r="F2947" s="11"/>
      <c r="G2947" s="11"/>
      <c r="H2947" s="11"/>
      <c r="I2947" s="11"/>
      <c r="J2947" s="11"/>
      <c r="K2947" s="11"/>
      <c r="L2947" s="12"/>
      <c r="M2947" s="11"/>
      <c r="N2947" s="11"/>
      <c r="O2947" s="13"/>
      <c r="P2947" s="14"/>
      <c r="Q2947" s="13"/>
      <c r="R2947" s="13"/>
      <c r="S2947" s="15"/>
      <c r="T2947" s="16"/>
      <c r="U2947" s="16"/>
      <c r="V2947" s="16"/>
      <c r="W2947" s="16"/>
      <c r="X2947" s="16"/>
      <c r="Y2947" s="11"/>
      <c r="Z2947" s="11"/>
      <c r="AA2947" s="11"/>
      <c r="AB2947" s="11"/>
      <c r="AC2947" s="11"/>
      <c r="AD2947" s="11"/>
    </row>
    <row r="2948">
      <c r="A2948" s="10"/>
      <c r="B2948" s="10"/>
      <c r="C2948" s="10"/>
      <c r="D2948" s="10"/>
      <c r="E2948" s="10"/>
      <c r="F2948" s="11"/>
      <c r="G2948" s="11"/>
      <c r="H2948" s="11"/>
      <c r="I2948" s="11"/>
      <c r="J2948" s="11"/>
      <c r="K2948" s="11"/>
      <c r="L2948" s="12"/>
      <c r="M2948" s="11"/>
      <c r="N2948" s="11"/>
      <c r="O2948" s="13"/>
      <c r="P2948" s="14"/>
      <c r="Q2948" s="13"/>
      <c r="R2948" s="13"/>
      <c r="S2948" s="15"/>
      <c r="T2948" s="16"/>
      <c r="U2948" s="16"/>
      <c r="V2948" s="16"/>
      <c r="W2948" s="16"/>
      <c r="X2948" s="16"/>
      <c r="Y2948" s="11"/>
      <c r="Z2948" s="11"/>
      <c r="AA2948" s="11"/>
      <c r="AB2948" s="11"/>
      <c r="AC2948" s="11"/>
      <c r="AD2948" s="11"/>
    </row>
    <row r="2949">
      <c r="A2949" s="10"/>
      <c r="B2949" s="10"/>
      <c r="C2949" s="10"/>
      <c r="D2949" s="10"/>
      <c r="E2949" s="10"/>
      <c r="F2949" s="11"/>
      <c r="G2949" s="11"/>
      <c r="H2949" s="11"/>
      <c r="I2949" s="11"/>
      <c r="J2949" s="11"/>
      <c r="K2949" s="11"/>
      <c r="L2949" s="12"/>
      <c r="M2949" s="11"/>
      <c r="N2949" s="11"/>
      <c r="O2949" s="13"/>
      <c r="P2949" s="14"/>
      <c r="Q2949" s="13"/>
      <c r="R2949" s="13"/>
      <c r="S2949" s="15"/>
      <c r="T2949" s="16"/>
      <c r="U2949" s="16"/>
      <c r="V2949" s="16"/>
      <c r="W2949" s="16"/>
      <c r="X2949" s="16"/>
      <c r="Y2949" s="11"/>
      <c r="Z2949" s="11"/>
      <c r="AA2949" s="11"/>
      <c r="AB2949" s="11"/>
      <c r="AC2949" s="11"/>
      <c r="AD2949" s="11"/>
    </row>
    <row r="2950">
      <c r="A2950" s="10"/>
      <c r="B2950" s="10"/>
      <c r="C2950" s="10"/>
      <c r="D2950" s="10"/>
      <c r="E2950" s="10"/>
      <c r="F2950" s="11"/>
      <c r="G2950" s="11"/>
      <c r="H2950" s="11"/>
      <c r="I2950" s="11"/>
      <c r="J2950" s="11"/>
      <c r="K2950" s="11"/>
      <c r="L2950" s="12"/>
      <c r="M2950" s="11"/>
      <c r="N2950" s="11"/>
      <c r="O2950" s="13"/>
      <c r="P2950" s="14"/>
      <c r="Q2950" s="13"/>
      <c r="R2950" s="13"/>
      <c r="S2950" s="15"/>
      <c r="T2950" s="16"/>
      <c r="U2950" s="16"/>
      <c r="V2950" s="16"/>
      <c r="W2950" s="16"/>
      <c r="X2950" s="16"/>
      <c r="Y2950" s="11"/>
      <c r="Z2950" s="11"/>
      <c r="AA2950" s="11"/>
      <c r="AB2950" s="11"/>
      <c r="AC2950" s="11"/>
      <c r="AD2950" s="11"/>
    </row>
    <row r="2951">
      <c r="A2951" s="10"/>
      <c r="B2951" s="10"/>
      <c r="C2951" s="10"/>
      <c r="D2951" s="10"/>
      <c r="E2951" s="10"/>
      <c r="F2951" s="11"/>
      <c r="G2951" s="11"/>
      <c r="H2951" s="11"/>
      <c r="I2951" s="11"/>
      <c r="J2951" s="11"/>
      <c r="K2951" s="11"/>
      <c r="L2951" s="12"/>
      <c r="M2951" s="11"/>
      <c r="N2951" s="11"/>
      <c r="O2951" s="13"/>
      <c r="P2951" s="14"/>
      <c r="Q2951" s="13"/>
      <c r="R2951" s="13"/>
      <c r="S2951" s="15"/>
      <c r="T2951" s="16"/>
      <c r="U2951" s="16"/>
      <c r="V2951" s="16"/>
      <c r="W2951" s="16"/>
      <c r="X2951" s="16"/>
      <c r="Y2951" s="11"/>
      <c r="Z2951" s="11"/>
      <c r="AA2951" s="11"/>
      <c r="AB2951" s="11"/>
      <c r="AC2951" s="11"/>
      <c r="AD2951" s="11"/>
    </row>
    <row r="2952">
      <c r="A2952" s="10"/>
      <c r="B2952" s="10"/>
      <c r="C2952" s="10"/>
      <c r="D2952" s="10"/>
      <c r="E2952" s="10"/>
      <c r="F2952" s="11"/>
      <c r="G2952" s="11"/>
      <c r="H2952" s="11"/>
      <c r="I2952" s="11"/>
      <c r="J2952" s="11"/>
      <c r="K2952" s="11"/>
      <c r="L2952" s="12"/>
      <c r="M2952" s="11"/>
      <c r="N2952" s="11"/>
      <c r="O2952" s="13"/>
      <c r="P2952" s="14"/>
      <c r="Q2952" s="13"/>
      <c r="R2952" s="13"/>
      <c r="S2952" s="15"/>
      <c r="T2952" s="16"/>
      <c r="U2952" s="16"/>
      <c r="V2952" s="16"/>
      <c r="W2952" s="16"/>
      <c r="X2952" s="16"/>
      <c r="Y2952" s="11"/>
      <c r="Z2952" s="11"/>
      <c r="AA2952" s="11"/>
      <c r="AB2952" s="11"/>
      <c r="AC2952" s="11"/>
      <c r="AD2952" s="11"/>
    </row>
    <row r="2953">
      <c r="A2953" s="10"/>
      <c r="B2953" s="10"/>
      <c r="C2953" s="10"/>
      <c r="D2953" s="10"/>
      <c r="E2953" s="10"/>
      <c r="F2953" s="11"/>
      <c r="G2953" s="11"/>
      <c r="H2953" s="11"/>
      <c r="I2953" s="11"/>
      <c r="J2953" s="11"/>
      <c r="K2953" s="11"/>
      <c r="L2953" s="12"/>
      <c r="M2953" s="11"/>
      <c r="N2953" s="11"/>
      <c r="O2953" s="13"/>
      <c r="P2953" s="14"/>
      <c r="Q2953" s="13"/>
      <c r="R2953" s="13"/>
      <c r="S2953" s="15"/>
      <c r="T2953" s="16"/>
      <c r="U2953" s="16"/>
      <c r="V2953" s="16"/>
      <c r="W2953" s="16"/>
      <c r="X2953" s="16"/>
      <c r="Y2953" s="11"/>
      <c r="Z2953" s="11"/>
      <c r="AA2953" s="11"/>
      <c r="AB2953" s="11"/>
      <c r="AC2953" s="11"/>
      <c r="AD2953" s="11"/>
    </row>
    <row r="2954">
      <c r="A2954" s="10"/>
      <c r="B2954" s="10"/>
      <c r="C2954" s="10"/>
      <c r="D2954" s="10"/>
      <c r="E2954" s="10"/>
      <c r="F2954" s="11"/>
      <c r="G2954" s="11"/>
      <c r="H2954" s="11"/>
      <c r="I2954" s="11"/>
      <c r="J2954" s="11"/>
      <c r="K2954" s="11"/>
      <c r="L2954" s="12"/>
      <c r="M2954" s="11"/>
      <c r="N2954" s="11"/>
      <c r="O2954" s="13"/>
      <c r="P2954" s="14"/>
      <c r="Q2954" s="13"/>
      <c r="R2954" s="13"/>
      <c r="S2954" s="15"/>
      <c r="T2954" s="16"/>
      <c r="U2954" s="16"/>
      <c r="V2954" s="16"/>
      <c r="W2954" s="16"/>
      <c r="X2954" s="16"/>
      <c r="Y2954" s="11"/>
      <c r="Z2954" s="11"/>
      <c r="AA2954" s="11"/>
      <c r="AB2954" s="11"/>
      <c r="AC2954" s="11"/>
      <c r="AD2954" s="11"/>
    </row>
    <row r="2955">
      <c r="A2955" s="10"/>
      <c r="B2955" s="10"/>
      <c r="C2955" s="10"/>
      <c r="D2955" s="10"/>
      <c r="E2955" s="10"/>
      <c r="F2955" s="11"/>
      <c r="G2955" s="11"/>
      <c r="H2955" s="11"/>
      <c r="I2955" s="11"/>
      <c r="J2955" s="11"/>
      <c r="K2955" s="11"/>
      <c r="L2955" s="12"/>
      <c r="M2955" s="11"/>
      <c r="N2955" s="11"/>
      <c r="O2955" s="13"/>
      <c r="P2955" s="14"/>
      <c r="Q2955" s="13"/>
      <c r="R2955" s="13"/>
      <c r="S2955" s="15"/>
      <c r="T2955" s="16"/>
      <c r="U2955" s="16"/>
      <c r="V2955" s="16"/>
      <c r="W2955" s="16"/>
      <c r="X2955" s="16"/>
      <c r="Y2955" s="11"/>
      <c r="Z2955" s="11"/>
      <c r="AA2955" s="11"/>
      <c r="AB2955" s="11"/>
      <c r="AC2955" s="11"/>
      <c r="AD2955" s="11"/>
    </row>
    <row r="2956">
      <c r="A2956" s="10"/>
      <c r="B2956" s="10"/>
      <c r="C2956" s="10"/>
      <c r="D2956" s="10"/>
      <c r="E2956" s="10"/>
      <c r="F2956" s="11"/>
      <c r="G2956" s="11"/>
      <c r="H2956" s="11"/>
      <c r="I2956" s="11"/>
      <c r="J2956" s="11"/>
      <c r="K2956" s="11"/>
      <c r="L2956" s="12"/>
      <c r="M2956" s="11"/>
      <c r="N2956" s="11"/>
      <c r="O2956" s="13"/>
      <c r="P2956" s="14"/>
      <c r="Q2956" s="13"/>
      <c r="R2956" s="13"/>
      <c r="S2956" s="15"/>
      <c r="T2956" s="16"/>
      <c r="U2956" s="16"/>
      <c r="V2956" s="16"/>
      <c r="W2956" s="16"/>
      <c r="X2956" s="16"/>
      <c r="Y2956" s="11"/>
      <c r="Z2956" s="11"/>
      <c r="AA2956" s="11"/>
      <c r="AB2956" s="11"/>
      <c r="AC2956" s="11"/>
      <c r="AD2956" s="11"/>
    </row>
    <row r="2957">
      <c r="A2957" s="10"/>
      <c r="B2957" s="10"/>
      <c r="C2957" s="10"/>
      <c r="D2957" s="10"/>
      <c r="E2957" s="10"/>
      <c r="F2957" s="11"/>
      <c r="G2957" s="11"/>
      <c r="H2957" s="11"/>
      <c r="I2957" s="11"/>
      <c r="J2957" s="11"/>
      <c r="K2957" s="11"/>
      <c r="L2957" s="12"/>
      <c r="M2957" s="11"/>
      <c r="N2957" s="11"/>
      <c r="O2957" s="13"/>
      <c r="P2957" s="14"/>
      <c r="Q2957" s="13"/>
      <c r="R2957" s="13"/>
      <c r="S2957" s="15"/>
      <c r="T2957" s="16"/>
      <c r="U2957" s="16"/>
      <c r="V2957" s="16"/>
      <c r="W2957" s="16"/>
      <c r="X2957" s="16"/>
      <c r="Y2957" s="11"/>
      <c r="Z2957" s="11"/>
      <c r="AA2957" s="11"/>
      <c r="AB2957" s="11"/>
      <c r="AC2957" s="11"/>
      <c r="AD2957" s="11"/>
    </row>
    <row r="2958">
      <c r="A2958" s="10"/>
      <c r="B2958" s="10"/>
      <c r="C2958" s="10"/>
      <c r="D2958" s="10"/>
      <c r="E2958" s="10"/>
      <c r="F2958" s="11"/>
      <c r="G2958" s="11"/>
      <c r="H2958" s="11"/>
      <c r="I2958" s="11"/>
      <c r="J2958" s="11"/>
      <c r="K2958" s="11"/>
      <c r="L2958" s="12"/>
      <c r="M2958" s="11"/>
      <c r="N2958" s="11"/>
      <c r="O2958" s="13"/>
      <c r="P2958" s="14"/>
      <c r="Q2958" s="13"/>
      <c r="R2958" s="13"/>
      <c r="S2958" s="15"/>
      <c r="T2958" s="16"/>
      <c r="U2958" s="16"/>
      <c r="V2958" s="16"/>
      <c r="W2958" s="16"/>
      <c r="X2958" s="16"/>
      <c r="Y2958" s="11"/>
      <c r="Z2958" s="11"/>
      <c r="AA2958" s="11"/>
      <c r="AB2958" s="11"/>
      <c r="AC2958" s="11"/>
      <c r="AD2958" s="11"/>
    </row>
    <row r="2959">
      <c r="A2959" s="10"/>
      <c r="B2959" s="10"/>
      <c r="C2959" s="10"/>
      <c r="D2959" s="10"/>
      <c r="E2959" s="10"/>
      <c r="F2959" s="11"/>
      <c r="G2959" s="11"/>
      <c r="H2959" s="11"/>
      <c r="I2959" s="11"/>
      <c r="J2959" s="11"/>
      <c r="K2959" s="11"/>
      <c r="L2959" s="12"/>
      <c r="M2959" s="11"/>
      <c r="N2959" s="11"/>
      <c r="O2959" s="13"/>
      <c r="P2959" s="14"/>
      <c r="Q2959" s="13"/>
      <c r="R2959" s="13"/>
      <c r="S2959" s="15"/>
      <c r="T2959" s="16"/>
      <c r="U2959" s="16"/>
      <c r="V2959" s="16"/>
      <c r="W2959" s="16"/>
      <c r="X2959" s="16"/>
      <c r="Y2959" s="11"/>
      <c r="Z2959" s="11"/>
      <c r="AA2959" s="11"/>
      <c r="AB2959" s="11"/>
      <c r="AC2959" s="11"/>
      <c r="AD2959" s="11"/>
    </row>
    <row r="2960">
      <c r="A2960" s="10"/>
      <c r="B2960" s="10"/>
      <c r="C2960" s="10"/>
      <c r="D2960" s="10"/>
      <c r="E2960" s="10"/>
      <c r="F2960" s="11"/>
      <c r="G2960" s="11"/>
      <c r="H2960" s="11"/>
      <c r="I2960" s="11"/>
      <c r="J2960" s="11"/>
      <c r="K2960" s="11"/>
      <c r="L2960" s="12"/>
      <c r="M2960" s="11"/>
      <c r="N2960" s="11"/>
      <c r="O2960" s="13"/>
      <c r="P2960" s="14"/>
      <c r="Q2960" s="13"/>
      <c r="R2960" s="13"/>
      <c r="S2960" s="15"/>
      <c r="T2960" s="16"/>
      <c r="U2960" s="16"/>
      <c r="V2960" s="16"/>
      <c r="W2960" s="16"/>
      <c r="X2960" s="16"/>
      <c r="Y2960" s="11"/>
      <c r="Z2960" s="11"/>
      <c r="AA2960" s="11"/>
      <c r="AB2960" s="11"/>
      <c r="AC2960" s="11"/>
      <c r="AD2960" s="11"/>
    </row>
    <row r="2961">
      <c r="A2961" s="10"/>
      <c r="B2961" s="10"/>
      <c r="C2961" s="10"/>
      <c r="D2961" s="10"/>
      <c r="E2961" s="10"/>
      <c r="F2961" s="11"/>
      <c r="G2961" s="11"/>
      <c r="H2961" s="11"/>
      <c r="I2961" s="11"/>
      <c r="J2961" s="11"/>
      <c r="K2961" s="11"/>
      <c r="L2961" s="12"/>
      <c r="M2961" s="11"/>
      <c r="N2961" s="11"/>
      <c r="O2961" s="13"/>
      <c r="P2961" s="14"/>
      <c r="Q2961" s="13"/>
      <c r="R2961" s="13"/>
      <c r="S2961" s="15"/>
      <c r="T2961" s="16"/>
      <c r="U2961" s="16"/>
      <c r="V2961" s="16"/>
      <c r="W2961" s="16"/>
      <c r="X2961" s="16"/>
      <c r="Y2961" s="11"/>
      <c r="Z2961" s="11"/>
      <c r="AA2961" s="11"/>
      <c r="AB2961" s="11"/>
      <c r="AC2961" s="11"/>
      <c r="AD2961" s="11"/>
    </row>
    <row r="2962">
      <c r="A2962" s="10"/>
      <c r="B2962" s="10"/>
      <c r="C2962" s="10"/>
      <c r="D2962" s="10"/>
      <c r="E2962" s="10"/>
      <c r="F2962" s="11"/>
      <c r="G2962" s="11"/>
      <c r="H2962" s="11"/>
      <c r="I2962" s="11"/>
      <c r="J2962" s="11"/>
      <c r="K2962" s="11"/>
      <c r="L2962" s="12"/>
      <c r="M2962" s="11"/>
      <c r="N2962" s="11"/>
      <c r="O2962" s="13"/>
      <c r="P2962" s="14"/>
      <c r="Q2962" s="13"/>
      <c r="R2962" s="13"/>
      <c r="S2962" s="15"/>
      <c r="T2962" s="16"/>
      <c r="U2962" s="16"/>
      <c r="V2962" s="16"/>
      <c r="W2962" s="16"/>
      <c r="X2962" s="16"/>
      <c r="Y2962" s="11"/>
      <c r="Z2962" s="11"/>
      <c r="AA2962" s="11"/>
      <c r="AB2962" s="11"/>
      <c r="AC2962" s="11"/>
      <c r="AD2962" s="11"/>
    </row>
    <row r="2963">
      <c r="A2963" s="10"/>
      <c r="B2963" s="10"/>
      <c r="C2963" s="10"/>
      <c r="D2963" s="10"/>
      <c r="E2963" s="10"/>
      <c r="F2963" s="11"/>
      <c r="G2963" s="11"/>
      <c r="H2963" s="11"/>
      <c r="I2963" s="11"/>
      <c r="J2963" s="11"/>
      <c r="K2963" s="11"/>
      <c r="L2963" s="12"/>
      <c r="M2963" s="11"/>
      <c r="N2963" s="11"/>
      <c r="O2963" s="13"/>
      <c r="P2963" s="14"/>
      <c r="Q2963" s="13"/>
      <c r="R2963" s="13"/>
      <c r="S2963" s="15"/>
      <c r="T2963" s="16"/>
      <c r="U2963" s="16"/>
      <c r="V2963" s="16"/>
      <c r="W2963" s="16"/>
      <c r="X2963" s="16"/>
      <c r="Y2963" s="11"/>
      <c r="Z2963" s="11"/>
      <c r="AA2963" s="11"/>
      <c r="AB2963" s="11"/>
      <c r="AC2963" s="11"/>
      <c r="AD2963" s="11"/>
    </row>
    <row r="2964">
      <c r="A2964" s="10"/>
      <c r="B2964" s="10"/>
      <c r="C2964" s="10"/>
      <c r="D2964" s="10"/>
      <c r="E2964" s="10"/>
      <c r="F2964" s="11"/>
      <c r="G2964" s="11"/>
      <c r="H2964" s="11"/>
      <c r="I2964" s="11"/>
      <c r="J2964" s="11"/>
      <c r="K2964" s="11"/>
      <c r="L2964" s="12"/>
      <c r="M2964" s="11"/>
      <c r="N2964" s="11"/>
      <c r="O2964" s="13"/>
      <c r="P2964" s="14"/>
      <c r="Q2964" s="13"/>
      <c r="R2964" s="13"/>
      <c r="S2964" s="15"/>
      <c r="T2964" s="16"/>
      <c r="U2964" s="16"/>
      <c r="V2964" s="16"/>
      <c r="W2964" s="16"/>
      <c r="X2964" s="16"/>
      <c r="Y2964" s="11"/>
      <c r="Z2964" s="11"/>
      <c r="AA2964" s="11"/>
      <c r="AB2964" s="11"/>
      <c r="AC2964" s="11"/>
      <c r="AD2964" s="11"/>
    </row>
    <row r="2965">
      <c r="A2965" s="10"/>
      <c r="B2965" s="10"/>
      <c r="C2965" s="10"/>
      <c r="D2965" s="10"/>
      <c r="E2965" s="10"/>
      <c r="F2965" s="11"/>
      <c r="G2965" s="11"/>
      <c r="H2965" s="11"/>
      <c r="I2965" s="11"/>
      <c r="J2965" s="11"/>
      <c r="K2965" s="11"/>
      <c r="L2965" s="12"/>
      <c r="M2965" s="11"/>
      <c r="N2965" s="11"/>
      <c r="O2965" s="13"/>
      <c r="P2965" s="14"/>
      <c r="Q2965" s="13"/>
      <c r="R2965" s="13"/>
      <c r="S2965" s="15"/>
      <c r="T2965" s="16"/>
      <c r="U2965" s="16"/>
      <c r="V2965" s="16"/>
      <c r="W2965" s="16"/>
      <c r="X2965" s="16"/>
      <c r="Y2965" s="11"/>
      <c r="Z2965" s="11"/>
      <c r="AA2965" s="11"/>
      <c r="AB2965" s="11"/>
      <c r="AC2965" s="11"/>
      <c r="AD2965" s="11"/>
    </row>
    <row r="2966">
      <c r="A2966" s="10"/>
      <c r="B2966" s="10"/>
      <c r="C2966" s="10"/>
      <c r="D2966" s="10"/>
      <c r="E2966" s="10"/>
      <c r="F2966" s="11"/>
      <c r="G2966" s="11"/>
      <c r="H2966" s="11"/>
      <c r="I2966" s="11"/>
      <c r="J2966" s="11"/>
      <c r="K2966" s="11"/>
      <c r="L2966" s="12"/>
      <c r="M2966" s="11"/>
      <c r="N2966" s="11"/>
      <c r="O2966" s="13"/>
      <c r="P2966" s="14"/>
      <c r="Q2966" s="13"/>
      <c r="R2966" s="13"/>
      <c r="S2966" s="15"/>
      <c r="T2966" s="16"/>
      <c r="U2966" s="16"/>
      <c r="V2966" s="16"/>
      <c r="W2966" s="16"/>
      <c r="X2966" s="16"/>
      <c r="Y2966" s="11"/>
      <c r="Z2966" s="11"/>
      <c r="AA2966" s="11"/>
      <c r="AB2966" s="11"/>
      <c r="AC2966" s="11"/>
      <c r="AD2966" s="11"/>
    </row>
    <row r="2967">
      <c r="A2967" s="10"/>
      <c r="B2967" s="10"/>
      <c r="C2967" s="10"/>
      <c r="D2967" s="10"/>
      <c r="E2967" s="10"/>
      <c r="F2967" s="11"/>
      <c r="G2967" s="11"/>
      <c r="H2967" s="11"/>
      <c r="I2967" s="11"/>
      <c r="J2967" s="11"/>
      <c r="K2967" s="11"/>
      <c r="L2967" s="12"/>
      <c r="M2967" s="11"/>
      <c r="N2967" s="11"/>
      <c r="O2967" s="13"/>
      <c r="P2967" s="14"/>
      <c r="Q2967" s="13"/>
      <c r="R2967" s="13"/>
      <c r="S2967" s="15"/>
      <c r="T2967" s="16"/>
      <c r="U2967" s="16"/>
      <c r="V2967" s="16"/>
      <c r="W2967" s="16"/>
      <c r="X2967" s="16"/>
      <c r="Y2967" s="11"/>
      <c r="Z2967" s="11"/>
      <c r="AA2967" s="11"/>
      <c r="AB2967" s="11"/>
      <c r="AC2967" s="11"/>
      <c r="AD2967" s="11"/>
    </row>
    <row r="2968">
      <c r="A2968" s="10"/>
      <c r="B2968" s="10"/>
      <c r="C2968" s="10"/>
      <c r="D2968" s="10"/>
      <c r="E2968" s="10"/>
      <c r="F2968" s="11"/>
      <c r="G2968" s="11"/>
      <c r="H2968" s="11"/>
      <c r="I2968" s="11"/>
      <c r="J2968" s="11"/>
      <c r="K2968" s="11"/>
      <c r="L2968" s="12"/>
      <c r="M2968" s="11"/>
      <c r="N2968" s="11"/>
      <c r="O2968" s="13"/>
      <c r="P2968" s="14"/>
      <c r="Q2968" s="13"/>
      <c r="R2968" s="13"/>
      <c r="S2968" s="15"/>
      <c r="T2968" s="16"/>
      <c r="U2968" s="16"/>
      <c r="V2968" s="16"/>
      <c r="W2968" s="16"/>
      <c r="X2968" s="16"/>
      <c r="Y2968" s="11"/>
      <c r="Z2968" s="11"/>
      <c r="AA2968" s="11"/>
      <c r="AB2968" s="11"/>
      <c r="AC2968" s="11"/>
      <c r="AD2968" s="11"/>
    </row>
    <row r="2969">
      <c r="A2969" s="10"/>
      <c r="B2969" s="10"/>
      <c r="C2969" s="10"/>
      <c r="D2969" s="10"/>
      <c r="E2969" s="10"/>
      <c r="F2969" s="11"/>
      <c r="G2969" s="11"/>
      <c r="H2969" s="11"/>
      <c r="I2969" s="11"/>
      <c r="J2969" s="11"/>
      <c r="K2969" s="11"/>
      <c r="L2969" s="12"/>
      <c r="M2969" s="11"/>
      <c r="N2969" s="11"/>
      <c r="O2969" s="13"/>
      <c r="P2969" s="14"/>
      <c r="Q2969" s="13"/>
      <c r="R2969" s="13"/>
      <c r="S2969" s="15"/>
      <c r="T2969" s="16"/>
      <c r="U2969" s="16"/>
      <c r="V2969" s="16"/>
      <c r="W2969" s="16"/>
      <c r="X2969" s="16"/>
      <c r="Y2969" s="11"/>
      <c r="Z2969" s="11"/>
      <c r="AA2969" s="11"/>
      <c r="AB2969" s="11"/>
      <c r="AC2969" s="11"/>
      <c r="AD2969" s="11"/>
    </row>
    <row r="2970">
      <c r="A2970" s="10"/>
      <c r="B2970" s="10"/>
      <c r="C2970" s="10"/>
      <c r="D2970" s="10"/>
      <c r="E2970" s="10"/>
      <c r="F2970" s="11"/>
      <c r="G2970" s="11"/>
      <c r="H2970" s="11"/>
      <c r="I2970" s="11"/>
      <c r="J2970" s="11"/>
      <c r="K2970" s="11"/>
      <c r="L2970" s="12"/>
      <c r="M2970" s="11"/>
      <c r="N2970" s="11"/>
      <c r="O2970" s="13"/>
      <c r="P2970" s="14"/>
      <c r="Q2970" s="13"/>
      <c r="R2970" s="13"/>
      <c r="S2970" s="15"/>
      <c r="T2970" s="16"/>
      <c r="U2970" s="16"/>
      <c r="V2970" s="16"/>
      <c r="W2970" s="16"/>
      <c r="X2970" s="16"/>
      <c r="Y2970" s="11"/>
      <c r="Z2970" s="11"/>
      <c r="AA2970" s="11"/>
      <c r="AB2970" s="11"/>
      <c r="AC2970" s="11"/>
      <c r="AD2970" s="11"/>
    </row>
    <row r="2971">
      <c r="A2971" s="10"/>
      <c r="B2971" s="10"/>
      <c r="C2971" s="10"/>
      <c r="D2971" s="10"/>
      <c r="E2971" s="10"/>
      <c r="F2971" s="11"/>
      <c r="G2971" s="11"/>
      <c r="H2971" s="11"/>
      <c r="I2971" s="11"/>
      <c r="J2971" s="11"/>
      <c r="K2971" s="11"/>
      <c r="L2971" s="12"/>
      <c r="M2971" s="11"/>
      <c r="N2971" s="11"/>
      <c r="O2971" s="13"/>
      <c r="P2971" s="14"/>
      <c r="Q2971" s="13"/>
      <c r="R2971" s="13"/>
      <c r="S2971" s="15"/>
      <c r="T2971" s="16"/>
      <c r="U2971" s="16"/>
      <c r="V2971" s="16"/>
      <c r="W2971" s="16"/>
      <c r="X2971" s="16"/>
      <c r="Y2971" s="11"/>
      <c r="Z2971" s="11"/>
      <c r="AA2971" s="11"/>
      <c r="AB2971" s="11"/>
      <c r="AC2971" s="11"/>
      <c r="AD2971" s="11"/>
    </row>
    <row r="2972">
      <c r="A2972" s="10"/>
      <c r="B2972" s="10"/>
      <c r="C2972" s="10"/>
      <c r="D2972" s="10"/>
      <c r="E2972" s="10"/>
      <c r="F2972" s="11"/>
      <c r="G2972" s="11"/>
      <c r="H2972" s="11"/>
      <c r="I2972" s="11"/>
      <c r="J2972" s="11"/>
      <c r="K2972" s="11"/>
      <c r="L2972" s="12"/>
      <c r="M2972" s="11"/>
      <c r="N2972" s="11"/>
      <c r="O2972" s="13"/>
      <c r="P2972" s="14"/>
      <c r="Q2972" s="13"/>
      <c r="R2972" s="13"/>
      <c r="S2972" s="15"/>
      <c r="T2972" s="16"/>
      <c r="U2972" s="16"/>
      <c r="V2972" s="16"/>
      <c r="W2972" s="16"/>
      <c r="X2972" s="16"/>
      <c r="Y2972" s="11"/>
      <c r="Z2972" s="11"/>
      <c r="AA2972" s="11"/>
      <c r="AB2972" s="11"/>
      <c r="AC2972" s="11"/>
      <c r="AD2972" s="11"/>
    </row>
    <row r="2973">
      <c r="A2973" s="10"/>
      <c r="B2973" s="10"/>
      <c r="C2973" s="10"/>
      <c r="D2973" s="10"/>
      <c r="E2973" s="10"/>
      <c r="F2973" s="11"/>
      <c r="G2973" s="11"/>
      <c r="H2973" s="11"/>
      <c r="I2973" s="11"/>
      <c r="J2973" s="11"/>
      <c r="K2973" s="11"/>
      <c r="L2973" s="12"/>
      <c r="M2973" s="11"/>
      <c r="N2973" s="11"/>
      <c r="O2973" s="13"/>
      <c r="P2973" s="14"/>
      <c r="Q2973" s="13"/>
      <c r="R2973" s="13"/>
      <c r="S2973" s="15"/>
      <c r="T2973" s="16"/>
      <c r="U2973" s="16"/>
      <c r="V2973" s="16"/>
      <c r="W2973" s="16"/>
      <c r="X2973" s="16"/>
      <c r="Y2973" s="11"/>
      <c r="Z2973" s="11"/>
      <c r="AA2973" s="11"/>
      <c r="AB2973" s="11"/>
      <c r="AC2973" s="11"/>
      <c r="AD2973" s="11"/>
    </row>
    <row r="2974">
      <c r="A2974" s="10"/>
      <c r="B2974" s="10"/>
      <c r="C2974" s="10"/>
      <c r="D2974" s="10"/>
      <c r="E2974" s="10"/>
      <c r="F2974" s="11"/>
      <c r="G2974" s="11"/>
      <c r="H2974" s="11"/>
      <c r="I2974" s="11"/>
      <c r="J2974" s="11"/>
      <c r="K2974" s="11"/>
      <c r="L2974" s="12"/>
      <c r="M2974" s="11"/>
      <c r="N2974" s="11"/>
      <c r="O2974" s="13"/>
      <c r="P2974" s="14"/>
      <c r="Q2974" s="13"/>
      <c r="R2974" s="13"/>
      <c r="S2974" s="15"/>
      <c r="T2974" s="16"/>
      <c r="U2974" s="16"/>
      <c r="V2974" s="16"/>
      <c r="W2974" s="16"/>
      <c r="X2974" s="16"/>
      <c r="Y2974" s="11"/>
      <c r="Z2974" s="11"/>
      <c r="AA2974" s="11"/>
      <c r="AB2974" s="11"/>
      <c r="AC2974" s="11"/>
      <c r="AD2974" s="11"/>
    </row>
    <row r="2975">
      <c r="A2975" s="10"/>
      <c r="B2975" s="10"/>
      <c r="C2975" s="10"/>
      <c r="D2975" s="10"/>
      <c r="E2975" s="10"/>
      <c r="F2975" s="11"/>
      <c r="G2975" s="11"/>
      <c r="H2975" s="11"/>
      <c r="I2975" s="11"/>
      <c r="J2975" s="11"/>
      <c r="K2975" s="11"/>
      <c r="L2975" s="12"/>
      <c r="M2975" s="11"/>
      <c r="N2975" s="11"/>
      <c r="O2975" s="13"/>
      <c r="P2975" s="14"/>
      <c r="Q2975" s="13"/>
      <c r="R2975" s="13"/>
      <c r="S2975" s="15"/>
      <c r="T2975" s="16"/>
      <c r="U2975" s="16"/>
      <c r="V2975" s="16"/>
      <c r="W2975" s="16"/>
      <c r="X2975" s="16"/>
      <c r="Y2975" s="11"/>
      <c r="Z2975" s="11"/>
      <c r="AA2975" s="11"/>
      <c r="AB2975" s="11"/>
      <c r="AC2975" s="11"/>
      <c r="AD2975" s="11"/>
    </row>
    <row r="2976">
      <c r="A2976" s="10"/>
      <c r="B2976" s="10"/>
      <c r="C2976" s="10"/>
      <c r="D2976" s="10"/>
      <c r="E2976" s="10"/>
      <c r="F2976" s="11"/>
      <c r="G2976" s="11"/>
      <c r="H2976" s="11"/>
      <c r="I2976" s="11"/>
      <c r="J2976" s="11"/>
      <c r="K2976" s="11"/>
      <c r="L2976" s="12"/>
      <c r="M2976" s="11"/>
      <c r="N2976" s="11"/>
      <c r="O2976" s="13"/>
      <c r="P2976" s="14"/>
      <c r="Q2976" s="13"/>
      <c r="R2976" s="13"/>
      <c r="S2976" s="15"/>
      <c r="T2976" s="16"/>
      <c r="U2976" s="16"/>
      <c r="V2976" s="16"/>
      <c r="W2976" s="16"/>
      <c r="X2976" s="16"/>
      <c r="Y2976" s="11"/>
      <c r="Z2976" s="11"/>
      <c r="AA2976" s="11"/>
      <c r="AB2976" s="11"/>
      <c r="AC2976" s="11"/>
      <c r="AD2976" s="11"/>
    </row>
    <row r="2977">
      <c r="A2977" s="10"/>
      <c r="B2977" s="10"/>
      <c r="C2977" s="10"/>
      <c r="D2977" s="10"/>
      <c r="E2977" s="10"/>
      <c r="F2977" s="11"/>
      <c r="G2977" s="11"/>
      <c r="H2977" s="11"/>
      <c r="I2977" s="11"/>
      <c r="J2977" s="11"/>
      <c r="K2977" s="11"/>
      <c r="L2977" s="12"/>
      <c r="M2977" s="11"/>
      <c r="N2977" s="11"/>
      <c r="O2977" s="13"/>
      <c r="P2977" s="14"/>
      <c r="Q2977" s="13"/>
      <c r="R2977" s="13"/>
      <c r="S2977" s="15"/>
      <c r="T2977" s="16"/>
      <c r="U2977" s="16"/>
      <c r="V2977" s="16"/>
      <c r="W2977" s="16"/>
      <c r="X2977" s="16"/>
      <c r="Y2977" s="11"/>
      <c r="Z2977" s="11"/>
      <c r="AA2977" s="11"/>
      <c r="AB2977" s="11"/>
      <c r="AC2977" s="11"/>
      <c r="AD2977" s="11"/>
    </row>
    <row r="2978">
      <c r="A2978" s="10"/>
      <c r="B2978" s="10"/>
      <c r="C2978" s="10"/>
      <c r="D2978" s="10"/>
      <c r="E2978" s="10"/>
      <c r="F2978" s="11"/>
      <c r="G2978" s="11"/>
      <c r="H2978" s="11"/>
      <c r="I2978" s="11"/>
      <c r="J2978" s="11"/>
      <c r="K2978" s="11"/>
      <c r="L2978" s="12"/>
      <c r="M2978" s="11"/>
      <c r="N2978" s="11"/>
      <c r="O2978" s="13"/>
      <c r="P2978" s="14"/>
      <c r="Q2978" s="13"/>
      <c r="R2978" s="13"/>
      <c r="S2978" s="15"/>
      <c r="T2978" s="16"/>
      <c r="U2978" s="16"/>
      <c r="V2978" s="16"/>
      <c r="W2978" s="16"/>
      <c r="X2978" s="16"/>
      <c r="Y2978" s="11"/>
      <c r="Z2978" s="11"/>
      <c r="AA2978" s="11"/>
      <c r="AB2978" s="11"/>
      <c r="AC2978" s="11"/>
      <c r="AD2978" s="11"/>
    </row>
    <row r="2979">
      <c r="A2979" s="10"/>
      <c r="B2979" s="10"/>
      <c r="C2979" s="10"/>
      <c r="D2979" s="10"/>
      <c r="E2979" s="10"/>
      <c r="F2979" s="11"/>
      <c r="G2979" s="11"/>
      <c r="H2979" s="11"/>
      <c r="I2979" s="11"/>
      <c r="J2979" s="11"/>
      <c r="K2979" s="11"/>
      <c r="L2979" s="12"/>
      <c r="M2979" s="11"/>
      <c r="N2979" s="11"/>
      <c r="O2979" s="13"/>
      <c r="P2979" s="14"/>
      <c r="Q2979" s="13"/>
      <c r="R2979" s="13"/>
      <c r="S2979" s="15"/>
      <c r="T2979" s="16"/>
      <c r="U2979" s="16"/>
      <c r="V2979" s="16"/>
      <c r="W2979" s="16"/>
      <c r="X2979" s="16"/>
      <c r="Y2979" s="11"/>
      <c r="Z2979" s="11"/>
      <c r="AA2979" s="11"/>
      <c r="AB2979" s="11"/>
      <c r="AC2979" s="11"/>
      <c r="AD2979" s="11"/>
    </row>
    <row r="2980">
      <c r="A2980" s="10"/>
      <c r="B2980" s="10"/>
      <c r="C2980" s="10"/>
      <c r="D2980" s="10"/>
      <c r="E2980" s="10"/>
      <c r="F2980" s="11"/>
      <c r="G2980" s="11"/>
      <c r="H2980" s="11"/>
      <c r="I2980" s="11"/>
      <c r="J2980" s="11"/>
      <c r="K2980" s="11"/>
      <c r="L2980" s="12"/>
      <c r="M2980" s="11"/>
      <c r="N2980" s="11"/>
      <c r="O2980" s="13"/>
      <c r="P2980" s="14"/>
      <c r="Q2980" s="13"/>
      <c r="R2980" s="13"/>
      <c r="S2980" s="15"/>
      <c r="T2980" s="16"/>
      <c r="U2980" s="16"/>
      <c r="V2980" s="16"/>
      <c r="W2980" s="16"/>
      <c r="X2980" s="16"/>
      <c r="Y2980" s="11"/>
      <c r="Z2980" s="11"/>
      <c r="AA2980" s="11"/>
      <c r="AB2980" s="11"/>
      <c r="AC2980" s="11"/>
      <c r="AD2980" s="11"/>
    </row>
    <row r="2981">
      <c r="A2981" s="10"/>
      <c r="B2981" s="10"/>
      <c r="C2981" s="10"/>
      <c r="D2981" s="10"/>
      <c r="E2981" s="10"/>
      <c r="F2981" s="11"/>
      <c r="G2981" s="11"/>
      <c r="H2981" s="11"/>
      <c r="I2981" s="11"/>
      <c r="J2981" s="11"/>
      <c r="K2981" s="11"/>
      <c r="L2981" s="12"/>
      <c r="M2981" s="11"/>
      <c r="N2981" s="11"/>
      <c r="O2981" s="13"/>
      <c r="P2981" s="14"/>
      <c r="Q2981" s="13"/>
      <c r="R2981" s="13"/>
      <c r="S2981" s="15"/>
      <c r="T2981" s="16"/>
      <c r="U2981" s="16"/>
      <c r="V2981" s="16"/>
      <c r="W2981" s="16"/>
      <c r="X2981" s="16"/>
      <c r="Y2981" s="11"/>
      <c r="Z2981" s="11"/>
      <c r="AA2981" s="11"/>
      <c r="AB2981" s="11"/>
      <c r="AC2981" s="11"/>
      <c r="AD2981" s="11"/>
    </row>
    <row r="2982">
      <c r="A2982" s="10"/>
      <c r="B2982" s="10"/>
      <c r="C2982" s="10"/>
      <c r="D2982" s="10"/>
      <c r="E2982" s="10"/>
      <c r="F2982" s="11"/>
      <c r="G2982" s="11"/>
      <c r="H2982" s="11"/>
      <c r="I2982" s="11"/>
      <c r="J2982" s="11"/>
      <c r="K2982" s="11"/>
      <c r="L2982" s="12"/>
      <c r="M2982" s="11"/>
      <c r="N2982" s="11"/>
      <c r="O2982" s="13"/>
      <c r="P2982" s="14"/>
      <c r="Q2982" s="13"/>
      <c r="R2982" s="13"/>
      <c r="S2982" s="15"/>
      <c r="T2982" s="16"/>
      <c r="U2982" s="16"/>
      <c r="V2982" s="16"/>
      <c r="W2982" s="16"/>
      <c r="X2982" s="16"/>
      <c r="Y2982" s="11"/>
      <c r="Z2982" s="11"/>
      <c r="AA2982" s="11"/>
      <c r="AB2982" s="11"/>
      <c r="AC2982" s="11"/>
      <c r="AD2982" s="11"/>
    </row>
    <row r="2983">
      <c r="A2983" s="10"/>
      <c r="B2983" s="10"/>
      <c r="C2983" s="10"/>
      <c r="D2983" s="10"/>
      <c r="E2983" s="10"/>
      <c r="F2983" s="11"/>
      <c r="G2983" s="11"/>
      <c r="H2983" s="11"/>
      <c r="I2983" s="11"/>
      <c r="J2983" s="11"/>
      <c r="K2983" s="11"/>
      <c r="L2983" s="12"/>
      <c r="M2983" s="11"/>
      <c r="N2983" s="11"/>
      <c r="O2983" s="13"/>
      <c r="P2983" s="14"/>
      <c r="Q2983" s="13"/>
      <c r="R2983" s="13"/>
      <c r="S2983" s="15"/>
      <c r="T2983" s="16"/>
      <c r="U2983" s="16"/>
      <c r="V2983" s="16"/>
      <c r="W2983" s="16"/>
      <c r="X2983" s="16"/>
      <c r="Y2983" s="11"/>
      <c r="Z2983" s="11"/>
      <c r="AA2983" s="11"/>
      <c r="AB2983" s="11"/>
      <c r="AC2983" s="11"/>
      <c r="AD2983" s="11"/>
    </row>
    <row r="2984">
      <c r="A2984" s="10"/>
      <c r="B2984" s="10"/>
      <c r="C2984" s="10"/>
      <c r="D2984" s="10"/>
      <c r="E2984" s="10"/>
      <c r="F2984" s="11"/>
      <c r="G2984" s="11"/>
      <c r="H2984" s="11"/>
      <c r="I2984" s="11"/>
      <c r="J2984" s="11"/>
      <c r="K2984" s="11"/>
      <c r="L2984" s="12"/>
      <c r="M2984" s="11"/>
      <c r="N2984" s="11"/>
      <c r="O2984" s="13"/>
      <c r="P2984" s="14"/>
      <c r="Q2984" s="13"/>
      <c r="R2984" s="13"/>
      <c r="S2984" s="15"/>
      <c r="T2984" s="16"/>
      <c r="U2984" s="16"/>
      <c r="V2984" s="16"/>
      <c r="W2984" s="16"/>
      <c r="X2984" s="16"/>
      <c r="Y2984" s="11"/>
      <c r="Z2984" s="11"/>
      <c r="AA2984" s="11"/>
      <c r="AB2984" s="11"/>
      <c r="AC2984" s="11"/>
      <c r="AD2984" s="11"/>
    </row>
    <row r="2985">
      <c r="A2985" s="10"/>
      <c r="B2985" s="10"/>
      <c r="C2985" s="10"/>
      <c r="D2985" s="10"/>
      <c r="E2985" s="10"/>
      <c r="F2985" s="11"/>
      <c r="G2985" s="11"/>
      <c r="H2985" s="11"/>
      <c r="I2985" s="11"/>
      <c r="J2985" s="11"/>
      <c r="K2985" s="11"/>
      <c r="L2985" s="12"/>
      <c r="M2985" s="11"/>
      <c r="N2985" s="11"/>
      <c r="O2985" s="13"/>
      <c r="P2985" s="14"/>
      <c r="Q2985" s="13"/>
      <c r="R2985" s="13"/>
      <c r="S2985" s="15"/>
      <c r="T2985" s="16"/>
      <c r="U2985" s="16"/>
      <c r="V2985" s="16"/>
      <c r="W2985" s="16"/>
      <c r="X2985" s="16"/>
      <c r="Y2985" s="11"/>
      <c r="Z2985" s="11"/>
      <c r="AA2985" s="11"/>
      <c r="AB2985" s="11"/>
      <c r="AC2985" s="11"/>
      <c r="AD2985" s="11"/>
    </row>
    <row r="2986">
      <c r="A2986" s="10"/>
      <c r="B2986" s="10"/>
      <c r="C2986" s="10"/>
      <c r="D2986" s="10"/>
      <c r="E2986" s="10"/>
      <c r="F2986" s="11"/>
      <c r="G2986" s="11"/>
      <c r="H2986" s="11"/>
      <c r="I2986" s="11"/>
      <c r="J2986" s="11"/>
      <c r="K2986" s="11"/>
      <c r="L2986" s="12"/>
      <c r="M2986" s="11"/>
      <c r="N2986" s="11"/>
      <c r="O2986" s="13"/>
      <c r="P2986" s="14"/>
      <c r="Q2986" s="13"/>
      <c r="R2986" s="13"/>
      <c r="S2986" s="15"/>
      <c r="T2986" s="16"/>
      <c r="U2986" s="16"/>
      <c r="V2986" s="16"/>
      <c r="W2986" s="16"/>
      <c r="X2986" s="16"/>
      <c r="Y2986" s="11"/>
      <c r="Z2986" s="11"/>
      <c r="AA2986" s="11"/>
      <c r="AB2986" s="11"/>
      <c r="AC2986" s="11"/>
      <c r="AD2986" s="11"/>
    </row>
    <row r="2987">
      <c r="A2987" s="10"/>
      <c r="B2987" s="10"/>
      <c r="C2987" s="10"/>
      <c r="D2987" s="10"/>
      <c r="E2987" s="10"/>
      <c r="F2987" s="11"/>
      <c r="G2987" s="11"/>
      <c r="H2987" s="11"/>
      <c r="I2987" s="11"/>
      <c r="J2987" s="11"/>
      <c r="K2987" s="11"/>
      <c r="L2987" s="12"/>
      <c r="M2987" s="11"/>
      <c r="N2987" s="11"/>
      <c r="O2987" s="13"/>
      <c r="P2987" s="14"/>
      <c r="Q2987" s="13"/>
      <c r="R2987" s="13"/>
      <c r="S2987" s="15"/>
      <c r="T2987" s="16"/>
      <c r="U2987" s="16"/>
      <c r="V2987" s="16"/>
      <c r="W2987" s="16"/>
      <c r="X2987" s="16"/>
      <c r="Y2987" s="11"/>
      <c r="Z2987" s="11"/>
      <c r="AA2987" s="11"/>
      <c r="AB2987" s="11"/>
      <c r="AC2987" s="11"/>
      <c r="AD2987" s="11"/>
    </row>
    <row r="2988">
      <c r="A2988" s="10"/>
      <c r="B2988" s="10"/>
      <c r="C2988" s="10"/>
      <c r="D2988" s="10"/>
      <c r="E2988" s="10"/>
      <c r="F2988" s="11"/>
      <c r="G2988" s="11"/>
      <c r="H2988" s="11"/>
      <c r="I2988" s="11"/>
      <c r="J2988" s="11"/>
      <c r="K2988" s="11"/>
      <c r="L2988" s="12"/>
      <c r="M2988" s="11"/>
      <c r="N2988" s="11"/>
      <c r="O2988" s="13"/>
      <c r="P2988" s="14"/>
      <c r="Q2988" s="13"/>
      <c r="R2988" s="13"/>
      <c r="S2988" s="15"/>
      <c r="T2988" s="16"/>
      <c r="U2988" s="16"/>
      <c r="V2988" s="16"/>
      <c r="W2988" s="16"/>
      <c r="X2988" s="16"/>
      <c r="Y2988" s="11"/>
      <c r="Z2988" s="11"/>
      <c r="AA2988" s="11"/>
      <c r="AB2988" s="11"/>
      <c r="AC2988" s="11"/>
      <c r="AD2988" s="11"/>
    </row>
    <row r="2989">
      <c r="A2989" s="10"/>
      <c r="B2989" s="10"/>
      <c r="C2989" s="10"/>
      <c r="D2989" s="10"/>
      <c r="E2989" s="10"/>
      <c r="F2989" s="11"/>
      <c r="G2989" s="11"/>
      <c r="H2989" s="11"/>
      <c r="I2989" s="11"/>
      <c r="J2989" s="11"/>
      <c r="K2989" s="11"/>
      <c r="L2989" s="12"/>
      <c r="M2989" s="11"/>
      <c r="N2989" s="11"/>
      <c r="O2989" s="13"/>
      <c r="P2989" s="14"/>
      <c r="Q2989" s="13"/>
      <c r="R2989" s="13"/>
      <c r="S2989" s="15"/>
      <c r="T2989" s="16"/>
      <c r="U2989" s="16"/>
      <c r="V2989" s="16"/>
      <c r="W2989" s="16"/>
      <c r="X2989" s="16"/>
      <c r="Y2989" s="11"/>
      <c r="Z2989" s="11"/>
      <c r="AA2989" s="11"/>
      <c r="AB2989" s="11"/>
      <c r="AC2989" s="11"/>
      <c r="AD2989" s="11"/>
    </row>
    <row r="2990">
      <c r="A2990" s="10"/>
      <c r="B2990" s="10"/>
      <c r="C2990" s="10"/>
      <c r="D2990" s="10"/>
      <c r="E2990" s="10"/>
      <c r="F2990" s="11"/>
      <c r="G2990" s="11"/>
      <c r="H2990" s="11"/>
      <c r="I2990" s="11"/>
      <c r="J2990" s="11"/>
      <c r="K2990" s="11"/>
      <c r="L2990" s="12"/>
      <c r="M2990" s="11"/>
      <c r="N2990" s="11"/>
      <c r="O2990" s="13"/>
      <c r="P2990" s="14"/>
      <c r="Q2990" s="13"/>
      <c r="R2990" s="13"/>
      <c r="S2990" s="15"/>
      <c r="T2990" s="16"/>
      <c r="U2990" s="16"/>
      <c r="V2990" s="16"/>
      <c r="W2990" s="16"/>
      <c r="X2990" s="16"/>
      <c r="Y2990" s="11"/>
      <c r="Z2990" s="11"/>
      <c r="AA2990" s="11"/>
      <c r="AB2990" s="11"/>
      <c r="AC2990" s="11"/>
      <c r="AD2990" s="11"/>
    </row>
    <row r="2991">
      <c r="A2991" s="10"/>
      <c r="B2991" s="10"/>
      <c r="C2991" s="10"/>
      <c r="D2991" s="10"/>
      <c r="E2991" s="10"/>
      <c r="F2991" s="11"/>
      <c r="G2991" s="11"/>
      <c r="H2991" s="11"/>
      <c r="I2991" s="11"/>
      <c r="J2991" s="11"/>
      <c r="K2991" s="11"/>
      <c r="L2991" s="12"/>
      <c r="M2991" s="11"/>
      <c r="N2991" s="11"/>
      <c r="O2991" s="13"/>
      <c r="P2991" s="14"/>
      <c r="Q2991" s="13"/>
      <c r="R2991" s="13"/>
      <c r="S2991" s="15"/>
      <c r="T2991" s="16"/>
      <c r="U2991" s="16"/>
      <c r="V2991" s="16"/>
      <c r="W2991" s="16"/>
      <c r="X2991" s="16"/>
      <c r="Y2991" s="11"/>
      <c r="Z2991" s="11"/>
      <c r="AA2991" s="11"/>
      <c r="AB2991" s="11"/>
      <c r="AC2991" s="11"/>
      <c r="AD2991" s="11"/>
    </row>
    <row r="2992">
      <c r="A2992" s="10"/>
      <c r="B2992" s="10"/>
      <c r="C2992" s="10"/>
      <c r="D2992" s="10"/>
      <c r="E2992" s="10"/>
      <c r="F2992" s="11"/>
      <c r="G2992" s="11"/>
      <c r="H2992" s="11"/>
      <c r="I2992" s="11"/>
      <c r="J2992" s="11"/>
      <c r="K2992" s="11"/>
      <c r="L2992" s="12"/>
      <c r="M2992" s="11"/>
      <c r="N2992" s="11"/>
      <c r="O2992" s="13"/>
      <c r="P2992" s="14"/>
      <c r="Q2992" s="13"/>
      <c r="R2992" s="13"/>
      <c r="S2992" s="15"/>
      <c r="T2992" s="16"/>
      <c r="U2992" s="16"/>
      <c r="V2992" s="16"/>
      <c r="W2992" s="16"/>
      <c r="X2992" s="16"/>
      <c r="Y2992" s="11"/>
      <c r="Z2992" s="11"/>
      <c r="AA2992" s="11"/>
      <c r="AB2992" s="11"/>
      <c r="AC2992" s="11"/>
      <c r="AD2992" s="11"/>
    </row>
    <row r="2993">
      <c r="A2993" s="10"/>
      <c r="B2993" s="10"/>
      <c r="C2993" s="10"/>
      <c r="D2993" s="10"/>
      <c r="E2993" s="10"/>
      <c r="F2993" s="11"/>
      <c r="G2993" s="11"/>
      <c r="H2993" s="11"/>
      <c r="I2993" s="11"/>
      <c r="J2993" s="11"/>
      <c r="K2993" s="11"/>
      <c r="L2993" s="12"/>
      <c r="M2993" s="11"/>
      <c r="N2993" s="11"/>
      <c r="O2993" s="13"/>
      <c r="P2993" s="14"/>
      <c r="Q2993" s="13"/>
      <c r="R2993" s="13"/>
      <c r="S2993" s="15"/>
      <c r="T2993" s="16"/>
      <c r="U2993" s="16"/>
      <c r="V2993" s="16"/>
      <c r="W2993" s="16"/>
      <c r="X2993" s="16"/>
      <c r="Y2993" s="11"/>
      <c r="Z2993" s="11"/>
      <c r="AA2993" s="11"/>
      <c r="AB2993" s="11"/>
      <c r="AC2993" s="11"/>
      <c r="AD2993" s="11"/>
    </row>
    <row r="2994">
      <c r="A2994" s="10"/>
      <c r="B2994" s="10"/>
      <c r="C2994" s="10"/>
      <c r="D2994" s="10"/>
      <c r="E2994" s="10"/>
      <c r="F2994" s="11"/>
      <c r="G2994" s="11"/>
      <c r="H2994" s="11"/>
      <c r="I2994" s="11"/>
      <c r="J2994" s="11"/>
      <c r="K2994" s="11"/>
      <c r="L2994" s="12"/>
      <c r="M2994" s="11"/>
      <c r="N2994" s="11"/>
      <c r="O2994" s="13"/>
      <c r="P2994" s="14"/>
      <c r="Q2994" s="13"/>
      <c r="R2994" s="13"/>
      <c r="S2994" s="15"/>
      <c r="T2994" s="16"/>
      <c r="U2994" s="16"/>
      <c r="V2994" s="16"/>
      <c r="W2994" s="16"/>
      <c r="X2994" s="16"/>
      <c r="Y2994" s="11"/>
      <c r="Z2994" s="11"/>
      <c r="AA2994" s="11"/>
      <c r="AB2994" s="11"/>
      <c r="AC2994" s="11"/>
      <c r="AD2994" s="11"/>
    </row>
    <row r="2995">
      <c r="A2995" s="10"/>
      <c r="B2995" s="10"/>
      <c r="C2995" s="10"/>
      <c r="D2995" s="10"/>
      <c r="E2995" s="10"/>
      <c r="F2995" s="11"/>
      <c r="G2995" s="11"/>
      <c r="H2995" s="11"/>
      <c r="I2995" s="11"/>
      <c r="J2995" s="11"/>
      <c r="K2995" s="11"/>
      <c r="L2995" s="12"/>
      <c r="M2995" s="11"/>
      <c r="N2995" s="11"/>
      <c r="O2995" s="13"/>
      <c r="P2995" s="14"/>
      <c r="Q2995" s="13"/>
      <c r="R2995" s="13"/>
      <c r="S2995" s="15"/>
      <c r="T2995" s="16"/>
      <c r="U2995" s="16"/>
      <c r="V2995" s="16"/>
      <c r="W2995" s="16"/>
      <c r="X2995" s="16"/>
      <c r="Y2995" s="11"/>
      <c r="Z2995" s="11"/>
      <c r="AA2995" s="11"/>
      <c r="AB2995" s="11"/>
      <c r="AC2995" s="11"/>
      <c r="AD2995" s="11"/>
    </row>
    <row r="2996">
      <c r="A2996" s="10"/>
      <c r="B2996" s="10"/>
      <c r="C2996" s="10"/>
      <c r="D2996" s="10"/>
      <c r="E2996" s="10"/>
      <c r="F2996" s="11"/>
      <c r="G2996" s="11"/>
      <c r="H2996" s="11"/>
      <c r="I2996" s="11"/>
      <c r="J2996" s="11"/>
      <c r="K2996" s="11"/>
      <c r="L2996" s="12"/>
      <c r="M2996" s="11"/>
      <c r="N2996" s="11"/>
      <c r="O2996" s="13"/>
      <c r="P2996" s="14"/>
      <c r="Q2996" s="13"/>
      <c r="R2996" s="13"/>
      <c r="S2996" s="15"/>
      <c r="T2996" s="16"/>
      <c r="U2996" s="16"/>
      <c r="V2996" s="16"/>
      <c r="W2996" s="16"/>
      <c r="X2996" s="16"/>
      <c r="Y2996" s="11"/>
      <c r="Z2996" s="11"/>
      <c r="AA2996" s="11"/>
      <c r="AB2996" s="11"/>
      <c r="AC2996" s="11"/>
      <c r="AD2996" s="11"/>
    </row>
    <row r="2997">
      <c r="A2997" s="10"/>
      <c r="B2997" s="10"/>
      <c r="C2997" s="10"/>
      <c r="D2997" s="10"/>
      <c r="E2997" s="10"/>
      <c r="F2997" s="11"/>
      <c r="G2997" s="11"/>
      <c r="H2997" s="11"/>
      <c r="I2997" s="11"/>
      <c r="J2997" s="11"/>
      <c r="K2997" s="11"/>
      <c r="L2997" s="12"/>
      <c r="M2997" s="11"/>
      <c r="N2997" s="11"/>
      <c r="O2997" s="13"/>
      <c r="P2997" s="14"/>
      <c r="Q2997" s="13"/>
      <c r="R2997" s="13"/>
      <c r="S2997" s="15"/>
      <c r="T2997" s="16"/>
      <c r="U2997" s="16"/>
      <c r="V2997" s="16"/>
      <c r="W2997" s="16"/>
      <c r="X2997" s="16"/>
      <c r="Y2997" s="11"/>
      <c r="Z2997" s="11"/>
      <c r="AA2997" s="11"/>
      <c r="AB2997" s="11"/>
      <c r="AC2997" s="11"/>
      <c r="AD2997" s="11"/>
    </row>
    <row r="2998">
      <c r="A2998" s="10"/>
      <c r="B2998" s="10"/>
      <c r="C2998" s="10"/>
      <c r="D2998" s="10"/>
      <c r="E2998" s="10"/>
      <c r="F2998" s="11"/>
      <c r="G2998" s="11"/>
      <c r="H2998" s="11"/>
      <c r="I2998" s="11"/>
      <c r="J2998" s="11"/>
      <c r="K2998" s="11"/>
      <c r="L2998" s="12"/>
      <c r="M2998" s="11"/>
      <c r="N2998" s="11"/>
      <c r="O2998" s="13"/>
      <c r="P2998" s="14"/>
      <c r="Q2998" s="13"/>
      <c r="R2998" s="13"/>
      <c r="S2998" s="15"/>
      <c r="T2998" s="16"/>
      <c r="U2998" s="16"/>
      <c r="V2998" s="16"/>
      <c r="W2998" s="16"/>
      <c r="X2998" s="16"/>
      <c r="Y2998" s="11"/>
      <c r="Z2998" s="11"/>
      <c r="AA2998" s="11"/>
      <c r="AB2998" s="11"/>
      <c r="AC2998" s="11"/>
      <c r="AD2998" s="11"/>
    </row>
    <row r="2999">
      <c r="A2999" s="10"/>
      <c r="B2999" s="10"/>
      <c r="C2999" s="10"/>
      <c r="D2999" s="10"/>
      <c r="E2999" s="10"/>
      <c r="F2999" s="11"/>
      <c r="G2999" s="11"/>
      <c r="H2999" s="11"/>
      <c r="I2999" s="11"/>
      <c r="J2999" s="11"/>
      <c r="K2999" s="11"/>
      <c r="L2999" s="12"/>
      <c r="M2999" s="11"/>
      <c r="N2999" s="11"/>
      <c r="O2999" s="13"/>
      <c r="P2999" s="14"/>
      <c r="Q2999" s="13"/>
      <c r="R2999" s="13"/>
      <c r="S2999" s="15"/>
      <c r="T2999" s="16"/>
      <c r="U2999" s="16"/>
      <c r="V2999" s="16"/>
      <c r="W2999" s="16"/>
      <c r="X2999" s="16"/>
      <c r="Y2999" s="11"/>
      <c r="Z2999" s="11"/>
      <c r="AA2999" s="11"/>
      <c r="AB2999" s="11"/>
      <c r="AC2999" s="11"/>
      <c r="AD2999" s="11"/>
    </row>
    <row r="3000">
      <c r="A3000" s="10"/>
      <c r="B3000" s="10"/>
      <c r="C3000" s="10"/>
      <c r="D3000" s="10"/>
      <c r="E3000" s="10"/>
      <c r="F3000" s="11"/>
      <c r="G3000" s="11"/>
      <c r="H3000" s="11"/>
      <c r="I3000" s="11"/>
      <c r="J3000" s="11"/>
      <c r="K3000" s="11"/>
      <c r="L3000" s="12"/>
      <c r="M3000" s="11"/>
      <c r="N3000" s="11"/>
      <c r="O3000" s="13"/>
      <c r="P3000" s="14"/>
      <c r="Q3000" s="13"/>
      <c r="R3000" s="13"/>
      <c r="S3000" s="15"/>
      <c r="T3000" s="16"/>
      <c r="U3000" s="16"/>
      <c r="V3000" s="16"/>
      <c r="W3000" s="16"/>
      <c r="X3000" s="16"/>
      <c r="Y3000" s="11"/>
      <c r="Z3000" s="11"/>
      <c r="AA3000" s="11"/>
      <c r="AB3000" s="11"/>
      <c r="AC3000" s="11"/>
      <c r="AD3000" s="11"/>
    </row>
    <row r="3001">
      <c r="A3001" s="10"/>
      <c r="B3001" s="10"/>
      <c r="C3001" s="10"/>
      <c r="D3001" s="10"/>
      <c r="E3001" s="10"/>
      <c r="F3001" s="11"/>
      <c r="G3001" s="11"/>
      <c r="H3001" s="11"/>
      <c r="I3001" s="11"/>
      <c r="J3001" s="11"/>
      <c r="K3001" s="11"/>
      <c r="L3001" s="12"/>
      <c r="M3001" s="11"/>
      <c r="N3001" s="11"/>
      <c r="O3001" s="13"/>
      <c r="P3001" s="14"/>
      <c r="Q3001" s="13"/>
      <c r="R3001" s="13"/>
      <c r="S3001" s="15"/>
      <c r="T3001" s="16"/>
      <c r="U3001" s="16"/>
      <c r="V3001" s="16"/>
      <c r="W3001" s="16"/>
      <c r="X3001" s="16"/>
      <c r="Y3001" s="11"/>
      <c r="Z3001" s="11"/>
      <c r="AA3001" s="11"/>
      <c r="AB3001" s="11"/>
      <c r="AC3001" s="11"/>
      <c r="AD3001" s="11"/>
    </row>
    <row r="3002">
      <c r="A3002" s="10"/>
      <c r="B3002" s="10"/>
      <c r="C3002" s="10"/>
      <c r="D3002" s="10"/>
      <c r="E3002" s="10"/>
      <c r="F3002" s="11"/>
      <c r="G3002" s="11"/>
      <c r="H3002" s="11"/>
      <c r="I3002" s="11"/>
      <c r="J3002" s="11"/>
      <c r="K3002" s="11"/>
      <c r="L3002" s="12"/>
      <c r="M3002" s="11"/>
      <c r="N3002" s="11"/>
      <c r="O3002" s="13"/>
      <c r="P3002" s="14"/>
      <c r="Q3002" s="13"/>
      <c r="R3002" s="13"/>
      <c r="S3002" s="15"/>
      <c r="T3002" s="16"/>
      <c r="U3002" s="16"/>
      <c r="V3002" s="16"/>
      <c r="W3002" s="16"/>
      <c r="X3002" s="16"/>
      <c r="Y3002" s="11"/>
      <c r="Z3002" s="11"/>
      <c r="AA3002" s="11"/>
      <c r="AB3002" s="11"/>
      <c r="AC3002" s="11"/>
      <c r="AD3002" s="11"/>
    </row>
    <row r="3003">
      <c r="A3003" s="10"/>
      <c r="B3003" s="10"/>
      <c r="C3003" s="10"/>
      <c r="D3003" s="10"/>
      <c r="E3003" s="10"/>
      <c r="F3003" s="11"/>
      <c r="G3003" s="11"/>
      <c r="H3003" s="11"/>
      <c r="I3003" s="11"/>
      <c r="J3003" s="11"/>
      <c r="K3003" s="11"/>
      <c r="L3003" s="12"/>
      <c r="M3003" s="11"/>
      <c r="N3003" s="11"/>
      <c r="O3003" s="13"/>
      <c r="P3003" s="14"/>
      <c r="Q3003" s="13"/>
      <c r="R3003" s="13"/>
      <c r="S3003" s="15"/>
      <c r="T3003" s="16"/>
      <c r="U3003" s="16"/>
      <c r="V3003" s="16"/>
      <c r="W3003" s="16"/>
      <c r="X3003" s="16"/>
      <c r="Y3003" s="11"/>
      <c r="Z3003" s="11"/>
      <c r="AA3003" s="11"/>
      <c r="AB3003" s="11"/>
      <c r="AC3003" s="11"/>
      <c r="AD3003" s="11"/>
    </row>
    <row r="3004">
      <c r="A3004" s="10"/>
      <c r="B3004" s="10"/>
      <c r="C3004" s="10"/>
      <c r="D3004" s="10"/>
      <c r="E3004" s="10"/>
      <c r="F3004" s="11"/>
      <c r="G3004" s="11"/>
      <c r="H3004" s="11"/>
      <c r="I3004" s="11"/>
      <c r="J3004" s="11"/>
      <c r="K3004" s="11"/>
      <c r="L3004" s="12"/>
      <c r="M3004" s="11"/>
      <c r="N3004" s="11"/>
      <c r="O3004" s="13"/>
      <c r="P3004" s="14"/>
      <c r="Q3004" s="13"/>
      <c r="R3004" s="13"/>
      <c r="S3004" s="15"/>
      <c r="T3004" s="16"/>
      <c r="U3004" s="16"/>
      <c r="V3004" s="16"/>
      <c r="W3004" s="16"/>
      <c r="X3004" s="16"/>
      <c r="Y3004" s="11"/>
      <c r="Z3004" s="11"/>
      <c r="AA3004" s="11"/>
      <c r="AB3004" s="11"/>
      <c r="AC3004" s="11"/>
      <c r="AD3004" s="11"/>
    </row>
    <row r="3005">
      <c r="A3005" s="10"/>
      <c r="B3005" s="10"/>
      <c r="C3005" s="10"/>
      <c r="D3005" s="10"/>
      <c r="E3005" s="10"/>
      <c r="F3005" s="11"/>
      <c r="G3005" s="11"/>
      <c r="H3005" s="11"/>
      <c r="I3005" s="11"/>
      <c r="J3005" s="11"/>
      <c r="K3005" s="11"/>
      <c r="L3005" s="12"/>
      <c r="M3005" s="11"/>
      <c r="N3005" s="11"/>
      <c r="O3005" s="13"/>
      <c r="P3005" s="14"/>
      <c r="Q3005" s="13"/>
      <c r="R3005" s="13"/>
      <c r="S3005" s="15"/>
      <c r="T3005" s="16"/>
      <c r="U3005" s="16"/>
      <c r="V3005" s="16"/>
      <c r="W3005" s="16"/>
      <c r="X3005" s="16"/>
      <c r="Y3005" s="11"/>
      <c r="Z3005" s="11"/>
      <c r="AA3005" s="11"/>
      <c r="AB3005" s="11"/>
      <c r="AC3005" s="11"/>
      <c r="AD3005" s="11"/>
    </row>
    <row r="3006">
      <c r="A3006" s="10"/>
      <c r="B3006" s="10"/>
      <c r="C3006" s="10"/>
      <c r="D3006" s="10"/>
      <c r="E3006" s="10"/>
      <c r="F3006" s="11"/>
      <c r="G3006" s="11"/>
      <c r="H3006" s="11"/>
      <c r="I3006" s="11"/>
      <c r="J3006" s="11"/>
      <c r="K3006" s="11"/>
      <c r="L3006" s="12"/>
      <c r="M3006" s="11"/>
      <c r="N3006" s="11"/>
      <c r="O3006" s="13"/>
      <c r="P3006" s="14"/>
      <c r="Q3006" s="13"/>
      <c r="R3006" s="13"/>
      <c r="S3006" s="15"/>
      <c r="T3006" s="16"/>
      <c r="U3006" s="16"/>
      <c r="V3006" s="16"/>
      <c r="W3006" s="16"/>
      <c r="X3006" s="16"/>
      <c r="Y3006" s="11"/>
      <c r="Z3006" s="11"/>
      <c r="AA3006" s="11"/>
      <c r="AB3006" s="11"/>
      <c r="AC3006" s="11"/>
      <c r="AD3006" s="11"/>
    </row>
    <row r="3007">
      <c r="A3007" s="10"/>
      <c r="B3007" s="10"/>
      <c r="C3007" s="10"/>
      <c r="D3007" s="10"/>
      <c r="E3007" s="10"/>
      <c r="F3007" s="11"/>
      <c r="G3007" s="11"/>
      <c r="H3007" s="11"/>
      <c r="I3007" s="11"/>
      <c r="J3007" s="11"/>
      <c r="K3007" s="11"/>
      <c r="L3007" s="12"/>
      <c r="M3007" s="11"/>
      <c r="N3007" s="11"/>
      <c r="O3007" s="13"/>
      <c r="P3007" s="14"/>
      <c r="Q3007" s="13"/>
      <c r="R3007" s="13"/>
      <c r="S3007" s="15"/>
      <c r="T3007" s="16"/>
      <c r="U3007" s="16"/>
      <c r="V3007" s="16"/>
      <c r="W3007" s="16"/>
      <c r="X3007" s="16"/>
      <c r="Y3007" s="11"/>
      <c r="Z3007" s="11"/>
      <c r="AA3007" s="11"/>
      <c r="AB3007" s="11"/>
      <c r="AC3007" s="11"/>
      <c r="AD3007" s="11"/>
    </row>
    <row r="3008">
      <c r="A3008" s="10"/>
      <c r="B3008" s="10"/>
      <c r="C3008" s="10"/>
      <c r="D3008" s="10"/>
      <c r="E3008" s="10"/>
      <c r="F3008" s="11"/>
      <c r="G3008" s="11"/>
      <c r="H3008" s="11"/>
      <c r="I3008" s="11"/>
      <c r="J3008" s="11"/>
      <c r="K3008" s="11"/>
      <c r="L3008" s="12"/>
      <c r="M3008" s="11"/>
      <c r="N3008" s="11"/>
      <c r="O3008" s="13"/>
      <c r="P3008" s="14"/>
      <c r="Q3008" s="13"/>
      <c r="R3008" s="13"/>
      <c r="S3008" s="15"/>
      <c r="T3008" s="16"/>
      <c r="U3008" s="16"/>
      <c r="V3008" s="16"/>
      <c r="W3008" s="16"/>
      <c r="X3008" s="16"/>
      <c r="Y3008" s="11"/>
      <c r="Z3008" s="11"/>
      <c r="AA3008" s="11"/>
      <c r="AB3008" s="11"/>
      <c r="AC3008" s="11"/>
      <c r="AD3008" s="11"/>
    </row>
    <row r="3009">
      <c r="A3009" s="10"/>
      <c r="B3009" s="10"/>
      <c r="C3009" s="10"/>
      <c r="D3009" s="10"/>
      <c r="E3009" s="10"/>
      <c r="F3009" s="11"/>
      <c r="G3009" s="11"/>
      <c r="H3009" s="11"/>
      <c r="I3009" s="11"/>
      <c r="J3009" s="11"/>
      <c r="K3009" s="11"/>
      <c r="L3009" s="12"/>
      <c r="M3009" s="11"/>
      <c r="N3009" s="11"/>
      <c r="O3009" s="13"/>
      <c r="P3009" s="14"/>
      <c r="Q3009" s="13"/>
      <c r="R3009" s="13"/>
      <c r="S3009" s="15"/>
      <c r="T3009" s="16"/>
      <c r="U3009" s="16"/>
      <c r="V3009" s="16"/>
      <c r="W3009" s="16"/>
      <c r="X3009" s="16"/>
      <c r="Y3009" s="11"/>
      <c r="Z3009" s="11"/>
      <c r="AA3009" s="11"/>
      <c r="AB3009" s="11"/>
      <c r="AC3009" s="11"/>
      <c r="AD3009" s="11"/>
    </row>
    <row r="3010">
      <c r="A3010" s="10"/>
      <c r="B3010" s="10"/>
      <c r="C3010" s="10"/>
      <c r="D3010" s="10"/>
      <c r="E3010" s="10"/>
      <c r="F3010" s="11"/>
      <c r="G3010" s="11"/>
      <c r="H3010" s="11"/>
      <c r="I3010" s="11"/>
      <c r="J3010" s="11"/>
      <c r="K3010" s="11"/>
      <c r="L3010" s="12"/>
      <c r="M3010" s="11"/>
      <c r="N3010" s="11"/>
      <c r="O3010" s="13"/>
      <c r="P3010" s="14"/>
      <c r="Q3010" s="13"/>
      <c r="R3010" s="13"/>
      <c r="S3010" s="15"/>
      <c r="T3010" s="16"/>
      <c r="U3010" s="16"/>
      <c r="V3010" s="16"/>
      <c r="W3010" s="16"/>
      <c r="X3010" s="16"/>
      <c r="Y3010" s="11"/>
      <c r="Z3010" s="11"/>
      <c r="AA3010" s="11"/>
      <c r="AB3010" s="11"/>
      <c r="AC3010" s="11"/>
      <c r="AD3010" s="11"/>
    </row>
    <row r="3011">
      <c r="A3011" s="10"/>
      <c r="B3011" s="10"/>
      <c r="C3011" s="10"/>
      <c r="D3011" s="10"/>
      <c r="E3011" s="10"/>
      <c r="F3011" s="11"/>
      <c r="G3011" s="11"/>
      <c r="H3011" s="11"/>
      <c r="I3011" s="11"/>
      <c r="J3011" s="11"/>
      <c r="K3011" s="11"/>
      <c r="L3011" s="12"/>
      <c r="M3011" s="11"/>
      <c r="N3011" s="11"/>
      <c r="O3011" s="13"/>
      <c r="P3011" s="14"/>
      <c r="Q3011" s="13"/>
      <c r="R3011" s="13"/>
      <c r="S3011" s="15"/>
      <c r="T3011" s="16"/>
      <c r="U3011" s="16"/>
      <c r="V3011" s="16"/>
      <c r="W3011" s="16"/>
      <c r="X3011" s="16"/>
      <c r="Y3011" s="11"/>
      <c r="Z3011" s="11"/>
      <c r="AA3011" s="11"/>
      <c r="AB3011" s="11"/>
      <c r="AC3011" s="11"/>
      <c r="AD3011" s="11"/>
    </row>
    <row r="3012">
      <c r="A3012" s="10"/>
      <c r="B3012" s="10"/>
      <c r="C3012" s="10"/>
      <c r="D3012" s="10"/>
      <c r="E3012" s="10"/>
      <c r="F3012" s="11"/>
      <c r="G3012" s="11"/>
      <c r="H3012" s="11"/>
      <c r="I3012" s="11"/>
      <c r="J3012" s="11"/>
      <c r="K3012" s="11"/>
      <c r="L3012" s="12"/>
      <c r="M3012" s="11"/>
      <c r="N3012" s="11"/>
      <c r="O3012" s="13"/>
      <c r="P3012" s="14"/>
      <c r="Q3012" s="13"/>
      <c r="R3012" s="13"/>
      <c r="S3012" s="15"/>
      <c r="T3012" s="16"/>
      <c r="U3012" s="16"/>
      <c r="V3012" s="16"/>
      <c r="W3012" s="16"/>
      <c r="X3012" s="16"/>
      <c r="Y3012" s="11"/>
      <c r="Z3012" s="11"/>
      <c r="AA3012" s="11"/>
      <c r="AB3012" s="11"/>
      <c r="AC3012" s="11"/>
      <c r="AD3012" s="11"/>
    </row>
    <row r="3013">
      <c r="A3013" s="10"/>
      <c r="B3013" s="10"/>
      <c r="C3013" s="10"/>
      <c r="D3013" s="10"/>
      <c r="E3013" s="10"/>
      <c r="F3013" s="11"/>
      <c r="G3013" s="11"/>
      <c r="H3013" s="11"/>
      <c r="I3013" s="11"/>
      <c r="J3013" s="11"/>
      <c r="K3013" s="11"/>
      <c r="L3013" s="12"/>
      <c r="M3013" s="11"/>
      <c r="N3013" s="11"/>
      <c r="O3013" s="13"/>
      <c r="P3013" s="14"/>
      <c r="Q3013" s="13"/>
      <c r="R3013" s="13"/>
      <c r="S3013" s="15"/>
      <c r="T3013" s="16"/>
      <c r="U3013" s="16"/>
      <c r="V3013" s="16"/>
      <c r="W3013" s="16"/>
      <c r="X3013" s="16"/>
      <c r="Y3013" s="11"/>
      <c r="Z3013" s="11"/>
      <c r="AA3013" s="11"/>
      <c r="AB3013" s="11"/>
      <c r="AC3013" s="11"/>
      <c r="AD3013" s="11"/>
    </row>
    <row r="3014">
      <c r="A3014" s="10"/>
      <c r="B3014" s="10"/>
      <c r="C3014" s="10"/>
      <c r="D3014" s="10"/>
      <c r="E3014" s="10"/>
      <c r="F3014" s="11"/>
      <c r="G3014" s="11"/>
      <c r="H3014" s="11"/>
      <c r="I3014" s="11"/>
      <c r="J3014" s="11"/>
      <c r="K3014" s="11"/>
      <c r="L3014" s="12"/>
      <c r="M3014" s="11"/>
      <c r="N3014" s="11"/>
      <c r="O3014" s="13"/>
      <c r="P3014" s="14"/>
      <c r="Q3014" s="13"/>
      <c r="R3014" s="13"/>
      <c r="S3014" s="15"/>
      <c r="T3014" s="16"/>
      <c r="U3014" s="16"/>
      <c r="V3014" s="16"/>
      <c r="W3014" s="16"/>
      <c r="X3014" s="16"/>
      <c r="Y3014" s="11"/>
      <c r="Z3014" s="11"/>
      <c r="AA3014" s="11"/>
      <c r="AB3014" s="11"/>
      <c r="AC3014" s="11"/>
      <c r="AD3014" s="11"/>
    </row>
    <row r="3015">
      <c r="A3015" s="10"/>
      <c r="B3015" s="10"/>
      <c r="C3015" s="10"/>
      <c r="D3015" s="10"/>
      <c r="E3015" s="10"/>
      <c r="F3015" s="11"/>
      <c r="G3015" s="11"/>
      <c r="H3015" s="11"/>
      <c r="I3015" s="11"/>
      <c r="J3015" s="11"/>
      <c r="K3015" s="11"/>
      <c r="L3015" s="12"/>
      <c r="M3015" s="11"/>
      <c r="N3015" s="11"/>
      <c r="O3015" s="13"/>
      <c r="P3015" s="14"/>
      <c r="Q3015" s="13"/>
      <c r="R3015" s="13"/>
      <c r="S3015" s="15"/>
      <c r="T3015" s="16"/>
      <c r="U3015" s="16"/>
      <c r="V3015" s="16"/>
      <c r="W3015" s="16"/>
      <c r="X3015" s="16"/>
      <c r="Y3015" s="11"/>
      <c r="Z3015" s="11"/>
      <c r="AA3015" s="11"/>
      <c r="AB3015" s="11"/>
      <c r="AC3015" s="11"/>
      <c r="AD3015" s="11"/>
    </row>
    <row r="3016">
      <c r="A3016" s="10"/>
      <c r="B3016" s="10"/>
      <c r="C3016" s="10"/>
      <c r="D3016" s="10"/>
      <c r="E3016" s="10"/>
      <c r="F3016" s="11"/>
      <c r="G3016" s="11"/>
      <c r="H3016" s="11"/>
      <c r="I3016" s="11"/>
      <c r="J3016" s="11"/>
      <c r="K3016" s="11"/>
      <c r="L3016" s="12"/>
      <c r="M3016" s="11"/>
      <c r="N3016" s="11"/>
      <c r="O3016" s="13"/>
      <c r="P3016" s="14"/>
      <c r="Q3016" s="13"/>
      <c r="R3016" s="13"/>
      <c r="S3016" s="15"/>
      <c r="T3016" s="16"/>
      <c r="U3016" s="16"/>
      <c r="V3016" s="16"/>
      <c r="W3016" s="16"/>
      <c r="X3016" s="16"/>
      <c r="Y3016" s="11"/>
      <c r="Z3016" s="11"/>
      <c r="AA3016" s="11"/>
      <c r="AB3016" s="11"/>
      <c r="AC3016" s="11"/>
      <c r="AD3016" s="11"/>
    </row>
    <row r="3017">
      <c r="A3017" s="10"/>
      <c r="B3017" s="10"/>
      <c r="C3017" s="10"/>
      <c r="D3017" s="10"/>
      <c r="E3017" s="10"/>
      <c r="F3017" s="11"/>
      <c r="G3017" s="11"/>
      <c r="H3017" s="11"/>
      <c r="I3017" s="11"/>
      <c r="J3017" s="11"/>
      <c r="K3017" s="11"/>
      <c r="L3017" s="12"/>
      <c r="M3017" s="11"/>
      <c r="N3017" s="11"/>
      <c r="O3017" s="13"/>
      <c r="P3017" s="14"/>
      <c r="Q3017" s="13"/>
      <c r="R3017" s="13"/>
      <c r="S3017" s="15"/>
      <c r="T3017" s="16"/>
      <c r="U3017" s="16"/>
      <c r="V3017" s="16"/>
      <c r="W3017" s="16"/>
      <c r="X3017" s="16"/>
      <c r="Y3017" s="11"/>
      <c r="Z3017" s="11"/>
      <c r="AA3017" s="11"/>
      <c r="AB3017" s="11"/>
      <c r="AC3017" s="11"/>
      <c r="AD3017" s="11"/>
    </row>
    <row r="3018">
      <c r="A3018" s="10"/>
      <c r="B3018" s="10"/>
      <c r="C3018" s="10"/>
      <c r="D3018" s="10"/>
      <c r="E3018" s="10"/>
      <c r="F3018" s="11"/>
      <c r="G3018" s="11"/>
      <c r="H3018" s="11"/>
      <c r="I3018" s="11"/>
      <c r="J3018" s="11"/>
      <c r="K3018" s="11"/>
      <c r="L3018" s="12"/>
      <c r="M3018" s="11"/>
      <c r="N3018" s="11"/>
      <c r="O3018" s="13"/>
      <c r="P3018" s="14"/>
      <c r="Q3018" s="13"/>
      <c r="R3018" s="13"/>
      <c r="S3018" s="15"/>
      <c r="T3018" s="16"/>
      <c r="U3018" s="16"/>
      <c r="V3018" s="16"/>
      <c r="W3018" s="16"/>
      <c r="X3018" s="16"/>
      <c r="Y3018" s="11"/>
      <c r="Z3018" s="11"/>
      <c r="AA3018" s="11"/>
      <c r="AB3018" s="11"/>
      <c r="AC3018" s="11"/>
      <c r="AD3018" s="11"/>
    </row>
    <row r="3019">
      <c r="A3019" s="10"/>
      <c r="B3019" s="10"/>
      <c r="C3019" s="10"/>
      <c r="D3019" s="10"/>
      <c r="E3019" s="10"/>
      <c r="F3019" s="11"/>
      <c r="G3019" s="11"/>
      <c r="H3019" s="11"/>
      <c r="I3019" s="11"/>
      <c r="J3019" s="11"/>
      <c r="K3019" s="11"/>
      <c r="L3019" s="12"/>
      <c r="M3019" s="11"/>
      <c r="N3019" s="11"/>
      <c r="O3019" s="13"/>
      <c r="P3019" s="14"/>
      <c r="Q3019" s="13"/>
      <c r="R3019" s="13"/>
      <c r="S3019" s="15"/>
      <c r="T3019" s="16"/>
      <c r="U3019" s="16"/>
      <c r="V3019" s="16"/>
      <c r="W3019" s="16"/>
      <c r="X3019" s="16"/>
      <c r="Y3019" s="11"/>
      <c r="Z3019" s="11"/>
      <c r="AA3019" s="11"/>
      <c r="AB3019" s="11"/>
      <c r="AC3019" s="11"/>
      <c r="AD3019" s="11"/>
    </row>
    <row r="3020">
      <c r="A3020" s="10"/>
      <c r="B3020" s="10"/>
      <c r="C3020" s="10"/>
      <c r="D3020" s="10"/>
      <c r="E3020" s="10"/>
      <c r="F3020" s="11"/>
      <c r="G3020" s="11"/>
      <c r="H3020" s="11"/>
      <c r="I3020" s="11"/>
      <c r="J3020" s="11"/>
      <c r="K3020" s="11"/>
      <c r="L3020" s="12"/>
      <c r="M3020" s="11"/>
      <c r="N3020" s="11"/>
      <c r="O3020" s="13"/>
      <c r="P3020" s="14"/>
      <c r="Q3020" s="13"/>
      <c r="R3020" s="13"/>
      <c r="S3020" s="15"/>
      <c r="T3020" s="16"/>
      <c r="U3020" s="16"/>
      <c r="V3020" s="16"/>
      <c r="W3020" s="16"/>
      <c r="X3020" s="16"/>
      <c r="Y3020" s="11"/>
      <c r="Z3020" s="11"/>
      <c r="AA3020" s="11"/>
      <c r="AB3020" s="11"/>
      <c r="AC3020" s="11"/>
      <c r="AD3020" s="11"/>
    </row>
    <row r="3021">
      <c r="A3021" s="10"/>
      <c r="B3021" s="10"/>
      <c r="C3021" s="10"/>
      <c r="D3021" s="10"/>
      <c r="E3021" s="10"/>
      <c r="F3021" s="11"/>
      <c r="G3021" s="11"/>
      <c r="H3021" s="11"/>
      <c r="I3021" s="11"/>
      <c r="J3021" s="11"/>
      <c r="K3021" s="11"/>
      <c r="L3021" s="12"/>
      <c r="M3021" s="11"/>
      <c r="N3021" s="11"/>
      <c r="O3021" s="13"/>
      <c r="P3021" s="14"/>
      <c r="Q3021" s="13"/>
      <c r="R3021" s="13"/>
      <c r="S3021" s="15"/>
      <c r="T3021" s="16"/>
      <c r="U3021" s="16"/>
      <c r="V3021" s="16"/>
      <c r="W3021" s="16"/>
      <c r="X3021" s="16"/>
      <c r="Y3021" s="11"/>
      <c r="Z3021" s="11"/>
      <c r="AA3021" s="11"/>
      <c r="AB3021" s="11"/>
      <c r="AC3021" s="11"/>
      <c r="AD3021" s="11"/>
    </row>
    <row r="3022">
      <c r="A3022" s="10"/>
      <c r="B3022" s="10"/>
      <c r="C3022" s="10"/>
      <c r="D3022" s="10"/>
      <c r="E3022" s="10"/>
      <c r="F3022" s="11"/>
      <c r="G3022" s="11"/>
      <c r="H3022" s="11"/>
      <c r="I3022" s="11"/>
      <c r="J3022" s="11"/>
      <c r="K3022" s="11"/>
      <c r="L3022" s="12"/>
      <c r="M3022" s="11"/>
      <c r="N3022" s="11"/>
      <c r="O3022" s="13"/>
      <c r="P3022" s="14"/>
      <c r="Q3022" s="13"/>
      <c r="R3022" s="13"/>
      <c r="S3022" s="15"/>
      <c r="T3022" s="16"/>
      <c r="U3022" s="16"/>
      <c r="V3022" s="16"/>
      <c r="W3022" s="16"/>
      <c r="X3022" s="16"/>
      <c r="Y3022" s="11"/>
      <c r="Z3022" s="11"/>
      <c r="AA3022" s="11"/>
      <c r="AB3022" s="11"/>
      <c r="AC3022" s="11"/>
      <c r="AD3022" s="11"/>
    </row>
    <row r="3023">
      <c r="A3023" s="10"/>
      <c r="B3023" s="10"/>
      <c r="C3023" s="10"/>
      <c r="D3023" s="10"/>
      <c r="E3023" s="10"/>
      <c r="F3023" s="11"/>
      <c r="G3023" s="11"/>
      <c r="H3023" s="11"/>
      <c r="I3023" s="11"/>
      <c r="J3023" s="11"/>
      <c r="K3023" s="11"/>
      <c r="L3023" s="12"/>
      <c r="M3023" s="11"/>
      <c r="N3023" s="11"/>
      <c r="O3023" s="13"/>
      <c r="P3023" s="14"/>
      <c r="Q3023" s="13"/>
      <c r="R3023" s="13"/>
      <c r="S3023" s="15"/>
      <c r="T3023" s="16"/>
      <c r="U3023" s="16"/>
      <c r="V3023" s="16"/>
      <c r="W3023" s="16"/>
      <c r="X3023" s="16"/>
      <c r="Y3023" s="11"/>
      <c r="Z3023" s="11"/>
      <c r="AA3023" s="11"/>
      <c r="AB3023" s="11"/>
      <c r="AC3023" s="11"/>
      <c r="AD3023" s="11"/>
    </row>
    <row r="3024">
      <c r="A3024" s="10"/>
      <c r="B3024" s="10"/>
      <c r="C3024" s="10"/>
      <c r="D3024" s="10"/>
      <c r="E3024" s="10"/>
      <c r="F3024" s="11"/>
      <c r="G3024" s="11"/>
      <c r="H3024" s="11"/>
      <c r="I3024" s="11"/>
      <c r="J3024" s="11"/>
      <c r="K3024" s="11"/>
      <c r="L3024" s="12"/>
      <c r="M3024" s="11"/>
      <c r="N3024" s="11"/>
      <c r="O3024" s="13"/>
      <c r="P3024" s="14"/>
      <c r="Q3024" s="13"/>
      <c r="R3024" s="13"/>
      <c r="S3024" s="15"/>
      <c r="T3024" s="16"/>
      <c r="U3024" s="16"/>
      <c r="V3024" s="16"/>
      <c r="W3024" s="16"/>
      <c r="X3024" s="16"/>
      <c r="Y3024" s="11"/>
      <c r="Z3024" s="11"/>
      <c r="AA3024" s="11"/>
      <c r="AB3024" s="11"/>
      <c r="AC3024" s="11"/>
      <c r="AD3024" s="11"/>
    </row>
    <row r="3025">
      <c r="A3025" s="10"/>
      <c r="B3025" s="10"/>
      <c r="C3025" s="10"/>
      <c r="D3025" s="10"/>
      <c r="E3025" s="10"/>
      <c r="F3025" s="11"/>
      <c r="G3025" s="11"/>
      <c r="H3025" s="11"/>
      <c r="I3025" s="11"/>
      <c r="J3025" s="11"/>
      <c r="K3025" s="11"/>
      <c r="L3025" s="12"/>
      <c r="M3025" s="11"/>
      <c r="N3025" s="11"/>
      <c r="O3025" s="13"/>
      <c r="P3025" s="14"/>
      <c r="Q3025" s="13"/>
      <c r="R3025" s="13"/>
      <c r="S3025" s="15"/>
      <c r="T3025" s="16"/>
      <c r="U3025" s="16"/>
      <c r="V3025" s="16"/>
      <c r="W3025" s="16"/>
      <c r="X3025" s="16"/>
      <c r="Y3025" s="11"/>
      <c r="Z3025" s="11"/>
      <c r="AA3025" s="11"/>
      <c r="AB3025" s="11"/>
      <c r="AC3025" s="11"/>
      <c r="AD3025" s="11"/>
    </row>
    <row r="3026">
      <c r="A3026" s="10"/>
      <c r="B3026" s="10"/>
      <c r="C3026" s="10"/>
      <c r="D3026" s="10"/>
      <c r="E3026" s="10"/>
      <c r="F3026" s="11"/>
      <c r="G3026" s="11"/>
      <c r="H3026" s="11"/>
      <c r="I3026" s="11"/>
      <c r="J3026" s="11"/>
      <c r="K3026" s="11"/>
      <c r="L3026" s="12"/>
      <c r="M3026" s="11"/>
      <c r="N3026" s="11"/>
      <c r="O3026" s="13"/>
      <c r="P3026" s="14"/>
      <c r="Q3026" s="13"/>
      <c r="R3026" s="13"/>
      <c r="S3026" s="15"/>
      <c r="T3026" s="16"/>
      <c r="U3026" s="16"/>
      <c r="V3026" s="16"/>
      <c r="W3026" s="16"/>
      <c r="X3026" s="16"/>
      <c r="Y3026" s="11"/>
      <c r="Z3026" s="11"/>
      <c r="AA3026" s="11"/>
      <c r="AB3026" s="11"/>
      <c r="AC3026" s="11"/>
      <c r="AD3026" s="11"/>
    </row>
    <row r="3027">
      <c r="A3027" s="10"/>
      <c r="B3027" s="10"/>
      <c r="C3027" s="10"/>
      <c r="D3027" s="10"/>
      <c r="E3027" s="10"/>
      <c r="F3027" s="11"/>
      <c r="G3027" s="11"/>
      <c r="H3027" s="11"/>
      <c r="I3027" s="11"/>
      <c r="J3027" s="11"/>
      <c r="K3027" s="11"/>
      <c r="L3027" s="12"/>
      <c r="M3027" s="11"/>
      <c r="N3027" s="11"/>
      <c r="O3027" s="13"/>
      <c r="P3027" s="14"/>
      <c r="Q3027" s="13"/>
      <c r="R3027" s="13"/>
      <c r="S3027" s="15"/>
      <c r="T3027" s="16"/>
      <c r="U3027" s="16"/>
      <c r="V3027" s="16"/>
      <c r="W3027" s="16"/>
      <c r="X3027" s="16"/>
      <c r="Y3027" s="11"/>
      <c r="Z3027" s="11"/>
      <c r="AA3027" s="11"/>
      <c r="AB3027" s="11"/>
      <c r="AC3027" s="11"/>
      <c r="AD3027" s="11"/>
    </row>
    <row r="3028">
      <c r="A3028" s="10"/>
      <c r="B3028" s="10"/>
      <c r="C3028" s="10"/>
      <c r="D3028" s="10"/>
      <c r="E3028" s="10"/>
      <c r="F3028" s="11"/>
      <c r="G3028" s="11"/>
      <c r="H3028" s="11"/>
      <c r="I3028" s="11"/>
      <c r="J3028" s="11"/>
      <c r="K3028" s="11"/>
      <c r="L3028" s="12"/>
      <c r="M3028" s="11"/>
      <c r="N3028" s="11"/>
      <c r="O3028" s="13"/>
      <c r="P3028" s="14"/>
      <c r="Q3028" s="13"/>
      <c r="R3028" s="13"/>
      <c r="S3028" s="15"/>
      <c r="T3028" s="16"/>
      <c r="U3028" s="16"/>
      <c r="V3028" s="16"/>
      <c r="W3028" s="16"/>
      <c r="X3028" s="16"/>
      <c r="Y3028" s="11"/>
      <c r="Z3028" s="11"/>
      <c r="AA3028" s="11"/>
      <c r="AB3028" s="11"/>
      <c r="AC3028" s="11"/>
      <c r="AD3028" s="11"/>
    </row>
    <row r="3029">
      <c r="A3029" s="10"/>
      <c r="B3029" s="10"/>
      <c r="C3029" s="10"/>
      <c r="D3029" s="10"/>
      <c r="E3029" s="10"/>
      <c r="F3029" s="11"/>
      <c r="G3029" s="11"/>
      <c r="H3029" s="11"/>
      <c r="I3029" s="11"/>
      <c r="J3029" s="11"/>
      <c r="K3029" s="11"/>
      <c r="L3029" s="12"/>
      <c r="M3029" s="11"/>
      <c r="N3029" s="11"/>
      <c r="O3029" s="13"/>
      <c r="P3029" s="14"/>
      <c r="Q3029" s="13"/>
      <c r="R3029" s="13"/>
      <c r="S3029" s="15"/>
      <c r="T3029" s="16"/>
      <c r="U3029" s="16"/>
      <c r="V3029" s="16"/>
      <c r="W3029" s="16"/>
      <c r="X3029" s="16"/>
      <c r="Y3029" s="11"/>
      <c r="Z3029" s="11"/>
      <c r="AA3029" s="11"/>
      <c r="AB3029" s="11"/>
      <c r="AC3029" s="11"/>
      <c r="AD3029" s="11"/>
    </row>
    <row r="3030">
      <c r="A3030" s="10"/>
      <c r="B3030" s="10"/>
      <c r="C3030" s="10"/>
      <c r="D3030" s="10"/>
      <c r="E3030" s="10"/>
      <c r="F3030" s="11"/>
      <c r="G3030" s="11"/>
      <c r="H3030" s="11"/>
      <c r="I3030" s="11"/>
      <c r="J3030" s="11"/>
      <c r="K3030" s="11"/>
      <c r="L3030" s="12"/>
      <c r="M3030" s="11"/>
      <c r="N3030" s="11"/>
      <c r="O3030" s="13"/>
      <c r="P3030" s="14"/>
      <c r="Q3030" s="13"/>
      <c r="R3030" s="13"/>
      <c r="S3030" s="15"/>
      <c r="T3030" s="16"/>
      <c r="U3030" s="16"/>
      <c r="V3030" s="16"/>
      <c r="W3030" s="16"/>
      <c r="X3030" s="16"/>
      <c r="Y3030" s="11"/>
      <c r="Z3030" s="11"/>
      <c r="AA3030" s="11"/>
      <c r="AB3030" s="11"/>
      <c r="AC3030" s="11"/>
      <c r="AD3030" s="11"/>
    </row>
    <row r="3031">
      <c r="A3031" s="10"/>
      <c r="B3031" s="10"/>
      <c r="C3031" s="10"/>
      <c r="D3031" s="10"/>
      <c r="E3031" s="10"/>
      <c r="F3031" s="11"/>
      <c r="G3031" s="11"/>
      <c r="H3031" s="11"/>
      <c r="I3031" s="11"/>
      <c r="J3031" s="11"/>
      <c r="K3031" s="11"/>
      <c r="L3031" s="12"/>
      <c r="M3031" s="11"/>
      <c r="N3031" s="11"/>
      <c r="O3031" s="13"/>
      <c r="P3031" s="14"/>
      <c r="Q3031" s="13"/>
      <c r="R3031" s="13"/>
      <c r="S3031" s="15"/>
      <c r="T3031" s="16"/>
      <c r="U3031" s="16"/>
      <c r="V3031" s="16"/>
      <c r="W3031" s="16"/>
      <c r="X3031" s="16"/>
      <c r="Y3031" s="11"/>
      <c r="Z3031" s="11"/>
      <c r="AA3031" s="11"/>
      <c r="AB3031" s="11"/>
      <c r="AC3031" s="11"/>
      <c r="AD3031" s="11"/>
    </row>
    <row r="3032">
      <c r="A3032" s="10"/>
      <c r="B3032" s="10"/>
      <c r="C3032" s="10"/>
      <c r="D3032" s="10"/>
      <c r="E3032" s="10"/>
      <c r="F3032" s="11"/>
      <c r="G3032" s="11"/>
      <c r="H3032" s="11"/>
      <c r="I3032" s="11"/>
      <c r="J3032" s="11"/>
      <c r="K3032" s="11"/>
      <c r="L3032" s="12"/>
      <c r="M3032" s="11"/>
      <c r="N3032" s="11"/>
      <c r="O3032" s="13"/>
      <c r="P3032" s="14"/>
      <c r="Q3032" s="13"/>
      <c r="R3032" s="13"/>
      <c r="S3032" s="15"/>
      <c r="T3032" s="16"/>
      <c r="U3032" s="16"/>
      <c r="V3032" s="16"/>
      <c r="W3032" s="16"/>
      <c r="X3032" s="16"/>
      <c r="Y3032" s="11"/>
      <c r="Z3032" s="11"/>
      <c r="AA3032" s="11"/>
      <c r="AB3032" s="11"/>
      <c r="AC3032" s="11"/>
      <c r="AD3032" s="11"/>
    </row>
    <row r="3033">
      <c r="A3033" s="10"/>
      <c r="B3033" s="10"/>
      <c r="C3033" s="10"/>
      <c r="D3033" s="10"/>
      <c r="E3033" s="10"/>
      <c r="F3033" s="11"/>
      <c r="G3033" s="11"/>
      <c r="H3033" s="11"/>
      <c r="I3033" s="11"/>
      <c r="J3033" s="11"/>
      <c r="K3033" s="11"/>
      <c r="L3033" s="12"/>
      <c r="M3033" s="11"/>
      <c r="N3033" s="11"/>
      <c r="O3033" s="13"/>
      <c r="P3033" s="14"/>
      <c r="Q3033" s="13"/>
      <c r="R3033" s="13"/>
      <c r="S3033" s="15"/>
      <c r="T3033" s="16"/>
      <c r="U3033" s="16"/>
      <c r="V3033" s="16"/>
      <c r="W3033" s="16"/>
      <c r="X3033" s="16"/>
      <c r="Y3033" s="11"/>
      <c r="Z3033" s="11"/>
      <c r="AA3033" s="11"/>
      <c r="AB3033" s="11"/>
      <c r="AC3033" s="11"/>
      <c r="AD3033" s="11"/>
    </row>
    <row r="3034">
      <c r="A3034" s="10"/>
      <c r="B3034" s="10"/>
      <c r="C3034" s="10"/>
      <c r="D3034" s="10"/>
      <c r="E3034" s="10"/>
      <c r="F3034" s="11"/>
      <c r="G3034" s="11"/>
      <c r="H3034" s="11"/>
      <c r="I3034" s="11"/>
      <c r="J3034" s="11"/>
      <c r="K3034" s="11"/>
      <c r="L3034" s="12"/>
      <c r="M3034" s="11"/>
      <c r="N3034" s="11"/>
      <c r="O3034" s="13"/>
      <c r="P3034" s="14"/>
      <c r="Q3034" s="13"/>
      <c r="R3034" s="13"/>
      <c r="S3034" s="15"/>
      <c r="T3034" s="16"/>
      <c r="U3034" s="16"/>
      <c r="V3034" s="16"/>
      <c r="W3034" s="16"/>
      <c r="X3034" s="16"/>
      <c r="Y3034" s="11"/>
      <c r="Z3034" s="11"/>
      <c r="AA3034" s="11"/>
      <c r="AB3034" s="11"/>
      <c r="AC3034" s="11"/>
      <c r="AD3034" s="11"/>
    </row>
    <row r="3035">
      <c r="A3035" s="10"/>
      <c r="B3035" s="10"/>
      <c r="C3035" s="10"/>
      <c r="D3035" s="10"/>
      <c r="E3035" s="10"/>
      <c r="F3035" s="11"/>
      <c r="G3035" s="11"/>
      <c r="H3035" s="11"/>
      <c r="I3035" s="11"/>
      <c r="J3035" s="11"/>
      <c r="K3035" s="11"/>
      <c r="L3035" s="12"/>
      <c r="M3035" s="11"/>
      <c r="N3035" s="11"/>
      <c r="O3035" s="13"/>
      <c r="P3035" s="14"/>
      <c r="Q3035" s="13"/>
      <c r="R3035" s="13"/>
      <c r="S3035" s="15"/>
      <c r="T3035" s="16"/>
      <c r="U3035" s="16"/>
      <c r="V3035" s="16"/>
      <c r="W3035" s="16"/>
      <c r="X3035" s="16"/>
      <c r="Y3035" s="11"/>
      <c r="Z3035" s="11"/>
      <c r="AA3035" s="11"/>
      <c r="AB3035" s="11"/>
      <c r="AC3035" s="11"/>
      <c r="AD3035" s="11"/>
    </row>
    <row r="3036">
      <c r="A3036" s="10"/>
      <c r="B3036" s="10"/>
      <c r="C3036" s="10"/>
      <c r="D3036" s="10"/>
      <c r="E3036" s="10"/>
      <c r="F3036" s="11"/>
      <c r="G3036" s="11"/>
      <c r="H3036" s="11"/>
      <c r="I3036" s="11"/>
      <c r="J3036" s="11"/>
      <c r="K3036" s="11"/>
      <c r="L3036" s="12"/>
      <c r="M3036" s="11"/>
      <c r="N3036" s="11"/>
      <c r="O3036" s="13"/>
      <c r="P3036" s="14"/>
      <c r="Q3036" s="13"/>
      <c r="R3036" s="13"/>
      <c r="S3036" s="15"/>
      <c r="T3036" s="16"/>
      <c r="U3036" s="16"/>
      <c r="V3036" s="16"/>
      <c r="W3036" s="16"/>
      <c r="X3036" s="16"/>
      <c r="Y3036" s="11"/>
      <c r="Z3036" s="11"/>
      <c r="AA3036" s="11"/>
      <c r="AB3036" s="11"/>
      <c r="AC3036" s="11"/>
      <c r="AD3036" s="11"/>
    </row>
    <row r="3037">
      <c r="A3037" s="10"/>
      <c r="B3037" s="10"/>
      <c r="C3037" s="10"/>
      <c r="D3037" s="10"/>
      <c r="E3037" s="10"/>
      <c r="F3037" s="11"/>
      <c r="G3037" s="11"/>
      <c r="H3037" s="11"/>
      <c r="I3037" s="11"/>
      <c r="J3037" s="11"/>
      <c r="K3037" s="11"/>
      <c r="L3037" s="12"/>
      <c r="M3037" s="11"/>
      <c r="N3037" s="11"/>
      <c r="O3037" s="13"/>
      <c r="P3037" s="14"/>
      <c r="Q3037" s="13"/>
      <c r="R3037" s="13"/>
      <c r="S3037" s="15"/>
      <c r="T3037" s="16"/>
      <c r="U3037" s="16"/>
      <c r="V3037" s="16"/>
      <c r="W3037" s="16"/>
      <c r="X3037" s="16"/>
      <c r="Y3037" s="11"/>
      <c r="Z3037" s="11"/>
      <c r="AA3037" s="11"/>
      <c r="AB3037" s="11"/>
      <c r="AC3037" s="11"/>
      <c r="AD3037" s="11"/>
    </row>
    <row r="3038">
      <c r="A3038" s="10"/>
      <c r="B3038" s="10"/>
      <c r="C3038" s="10"/>
      <c r="D3038" s="10"/>
      <c r="E3038" s="10"/>
      <c r="F3038" s="11"/>
      <c r="G3038" s="11"/>
      <c r="H3038" s="11"/>
      <c r="I3038" s="11"/>
      <c r="J3038" s="11"/>
      <c r="K3038" s="11"/>
      <c r="L3038" s="12"/>
      <c r="M3038" s="11"/>
      <c r="N3038" s="11"/>
      <c r="O3038" s="13"/>
      <c r="P3038" s="14"/>
      <c r="Q3038" s="13"/>
      <c r="R3038" s="13"/>
      <c r="S3038" s="15"/>
      <c r="T3038" s="16"/>
      <c r="U3038" s="16"/>
      <c r="V3038" s="16"/>
      <c r="W3038" s="16"/>
      <c r="X3038" s="16"/>
      <c r="Y3038" s="11"/>
      <c r="Z3038" s="11"/>
      <c r="AA3038" s="11"/>
      <c r="AB3038" s="11"/>
      <c r="AC3038" s="11"/>
      <c r="AD3038" s="11"/>
    </row>
    <row r="3039">
      <c r="A3039" s="10"/>
      <c r="B3039" s="10"/>
      <c r="C3039" s="10"/>
      <c r="D3039" s="10"/>
      <c r="E3039" s="10"/>
      <c r="F3039" s="11"/>
      <c r="G3039" s="11"/>
      <c r="H3039" s="11"/>
      <c r="I3039" s="11"/>
      <c r="J3039" s="11"/>
      <c r="K3039" s="11"/>
      <c r="L3039" s="12"/>
      <c r="M3039" s="11"/>
      <c r="N3039" s="11"/>
      <c r="O3039" s="13"/>
      <c r="P3039" s="14"/>
      <c r="Q3039" s="13"/>
      <c r="R3039" s="13"/>
      <c r="S3039" s="15"/>
      <c r="T3039" s="16"/>
      <c r="U3039" s="16"/>
      <c r="V3039" s="16"/>
      <c r="W3039" s="16"/>
      <c r="X3039" s="16"/>
      <c r="Y3039" s="11"/>
      <c r="Z3039" s="11"/>
      <c r="AA3039" s="11"/>
      <c r="AB3039" s="11"/>
      <c r="AC3039" s="11"/>
      <c r="AD3039" s="11"/>
    </row>
    <row r="3040">
      <c r="A3040" s="10"/>
      <c r="B3040" s="10"/>
      <c r="C3040" s="10"/>
      <c r="D3040" s="10"/>
      <c r="E3040" s="10"/>
      <c r="F3040" s="11"/>
      <c r="G3040" s="11"/>
      <c r="H3040" s="11"/>
      <c r="I3040" s="11"/>
      <c r="J3040" s="11"/>
      <c r="K3040" s="11"/>
      <c r="L3040" s="12"/>
      <c r="M3040" s="11"/>
      <c r="N3040" s="11"/>
      <c r="O3040" s="13"/>
      <c r="P3040" s="14"/>
      <c r="Q3040" s="13"/>
      <c r="R3040" s="13"/>
      <c r="S3040" s="15"/>
      <c r="T3040" s="16"/>
      <c r="U3040" s="16"/>
      <c r="V3040" s="16"/>
      <c r="W3040" s="16"/>
      <c r="X3040" s="16"/>
      <c r="Y3040" s="11"/>
      <c r="Z3040" s="11"/>
      <c r="AA3040" s="11"/>
      <c r="AB3040" s="11"/>
      <c r="AC3040" s="11"/>
      <c r="AD3040" s="11"/>
    </row>
    <row r="3041">
      <c r="A3041" s="10"/>
      <c r="B3041" s="10"/>
      <c r="C3041" s="10"/>
      <c r="D3041" s="10"/>
      <c r="E3041" s="10"/>
      <c r="F3041" s="11"/>
      <c r="G3041" s="11"/>
      <c r="H3041" s="11"/>
      <c r="I3041" s="11"/>
      <c r="J3041" s="11"/>
      <c r="K3041" s="11"/>
      <c r="L3041" s="12"/>
      <c r="M3041" s="11"/>
      <c r="N3041" s="11"/>
      <c r="O3041" s="13"/>
      <c r="P3041" s="14"/>
      <c r="Q3041" s="13"/>
      <c r="R3041" s="13"/>
      <c r="S3041" s="15"/>
      <c r="T3041" s="16"/>
      <c r="U3041" s="16"/>
      <c r="V3041" s="16"/>
      <c r="W3041" s="16"/>
      <c r="X3041" s="16"/>
      <c r="Y3041" s="11"/>
      <c r="Z3041" s="11"/>
      <c r="AA3041" s="11"/>
      <c r="AB3041" s="11"/>
      <c r="AC3041" s="11"/>
      <c r="AD3041" s="11"/>
    </row>
    <row r="3042">
      <c r="A3042" s="10"/>
      <c r="B3042" s="10"/>
      <c r="C3042" s="10"/>
      <c r="D3042" s="10"/>
      <c r="E3042" s="10"/>
      <c r="F3042" s="11"/>
      <c r="G3042" s="11"/>
      <c r="H3042" s="11"/>
      <c r="I3042" s="11"/>
      <c r="J3042" s="11"/>
      <c r="K3042" s="11"/>
      <c r="L3042" s="12"/>
      <c r="M3042" s="11"/>
      <c r="N3042" s="11"/>
      <c r="O3042" s="13"/>
      <c r="P3042" s="14"/>
      <c r="Q3042" s="13"/>
      <c r="R3042" s="13"/>
      <c r="S3042" s="15"/>
      <c r="T3042" s="16"/>
      <c r="U3042" s="16"/>
      <c r="V3042" s="16"/>
      <c r="W3042" s="16"/>
      <c r="X3042" s="16"/>
      <c r="Y3042" s="11"/>
      <c r="Z3042" s="11"/>
      <c r="AA3042" s="11"/>
      <c r="AB3042" s="11"/>
      <c r="AC3042" s="11"/>
      <c r="AD3042" s="11"/>
    </row>
    <row r="3043">
      <c r="A3043" s="10"/>
      <c r="B3043" s="10"/>
      <c r="C3043" s="10"/>
      <c r="D3043" s="10"/>
      <c r="E3043" s="10"/>
      <c r="F3043" s="11"/>
      <c r="G3043" s="11"/>
      <c r="H3043" s="11"/>
      <c r="I3043" s="11"/>
      <c r="J3043" s="11"/>
      <c r="K3043" s="11"/>
      <c r="L3043" s="12"/>
      <c r="M3043" s="11"/>
      <c r="N3043" s="11"/>
      <c r="O3043" s="13"/>
      <c r="P3043" s="14"/>
      <c r="Q3043" s="13"/>
      <c r="R3043" s="13"/>
      <c r="S3043" s="15"/>
      <c r="T3043" s="16"/>
      <c r="U3043" s="16"/>
      <c r="V3043" s="16"/>
      <c r="W3043" s="16"/>
      <c r="X3043" s="16"/>
      <c r="Y3043" s="11"/>
      <c r="Z3043" s="11"/>
      <c r="AA3043" s="11"/>
      <c r="AB3043" s="11"/>
      <c r="AC3043" s="11"/>
      <c r="AD3043" s="11"/>
    </row>
    <row r="3044">
      <c r="A3044" s="10"/>
      <c r="B3044" s="10"/>
      <c r="C3044" s="10"/>
      <c r="D3044" s="10"/>
      <c r="E3044" s="10"/>
      <c r="F3044" s="11"/>
      <c r="G3044" s="11"/>
      <c r="H3044" s="11"/>
      <c r="I3044" s="11"/>
      <c r="J3044" s="11"/>
      <c r="K3044" s="11"/>
      <c r="L3044" s="12"/>
      <c r="M3044" s="11"/>
      <c r="N3044" s="11"/>
      <c r="O3044" s="13"/>
      <c r="P3044" s="14"/>
      <c r="Q3044" s="13"/>
      <c r="R3044" s="13"/>
      <c r="S3044" s="15"/>
      <c r="T3044" s="16"/>
      <c r="U3044" s="16"/>
      <c r="V3044" s="16"/>
      <c r="W3044" s="16"/>
      <c r="X3044" s="16"/>
      <c r="Y3044" s="11"/>
      <c r="Z3044" s="11"/>
      <c r="AA3044" s="11"/>
      <c r="AB3044" s="11"/>
      <c r="AC3044" s="11"/>
      <c r="AD3044" s="11"/>
    </row>
    <row r="3045">
      <c r="A3045" s="10"/>
      <c r="B3045" s="10"/>
      <c r="C3045" s="10"/>
      <c r="D3045" s="10"/>
      <c r="E3045" s="10"/>
      <c r="F3045" s="11"/>
      <c r="G3045" s="11"/>
      <c r="H3045" s="11"/>
      <c r="I3045" s="11"/>
      <c r="J3045" s="11"/>
      <c r="K3045" s="11"/>
      <c r="L3045" s="12"/>
      <c r="M3045" s="11"/>
      <c r="N3045" s="11"/>
      <c r="O3045" s="13"/>
      <c r="P3045" s="14"/>
      <c r="Q3045" s="13"/>
      <c r="R3045" s="13"/>
      <c r="S3045" s="15"/>
      <c r="T3045" s="16"/>
      <c r="U3045" s="16"/>
      <c r="V3045" s="16"/>
      <c r="W3045" s="16"/>
      <c r="X3045" s="16"/>
      <c r="Y3045" s="11"/>
      <c r="Z3045" s="11"/>
      <c r="AA3045" s="11"/>
      <c r="AB3045" s="11"/>
      <c r="AC3045" s="11"/>
      <c r="AD3045" s="11"/>
    </row>
    <row r="3046">
      <c r="A3046" s="10"/>
      <c r="B3046" s="10"/>
      <c r="C3046" s="10"/>
      <c r="D3046" s="10"/>
      <c r="E3046" s="10"/>
      <c r="F3046" s="11"/>
      <c r="G3046" s="11"/>
      <c r="H3046" s="11"/>
      <c r="I3046" s="11"/>
      <c r="J3046" s="11"/>
      <c r="K3046" s="11"/>
      <c r="L3046" s="12"/>
      <c r="M3046" s="11"/>
      <c r="N3046" s="11"/>
      <c r="O3046" s="13"/>
      <c r="P3046" s="14"/>
      <c r="Q3046" s="13"/>
      <c r="R3046" s="13"/>
      <c r="S3046" s="15"/>
      <c r="T3046" s="16"/>
      <c r="U3046" s="16"/>
      <c r="V3046" s="16"/>
      <c r="W3046" s="16"/>
      <c r="X3046" s="16"/>
      <c r="Y3046" s="11"/>
      <c r="Z3046" s="11"/>
      <c r="AA3046" s="11"/>
      <c r="AB3046" s="11"/>
      <c r="AC3046" s="11"/>
      <c r="AD3046" s="11"/>
    </row>
    <row r="3047">
      <c r="A3047" s="10"/>
      <c r="B3047" s="10"/>
      <c r="C3047" s="10"/>
      <c r="D3047" s="10"/>
      <c r="E3047" s="10"/>
      <c r="F3047" s="11"/>
      <c r="G3047" s="11"/>
      <c r="H3047" s="11"/>
      <c r="I3047" s="11"/>
      <c r="J3047" s="11"/>
      <c r="K3047" s="11"/>
      <c r="L3047" s="12"/>
      <c r="M3047" s="11"/>
      <c r="N3047" s="11"/>
      <c r="O3047" s="13"/>
      <c r="P3047" s="14"/>
      <c r="Q3047" s="13"/>
      <c r="R3047" s="13"/>
      <c r="S3047" s="15"/>
      <c r="T3047" s="16"/>
      <c r="U3047" s="16"/>
      <c r="V3047" s="16"/>
      <c r="W3047" s="16"/>
      <c r="X3047" s="16"/>
      <c r="Y3047" s="11"/>
      <c r="Z3047" s="11"/>
      <c r="AA3047" s="11"/>
      <c r="AB3047" s="11"/>
      <c r="AC3047" s="11"/>
      <c r="AD3047" s="11"/>
    </row>
    <row r="3048">
      <c r="A3048" s="10"/>
      <c r="B3048" s="10"/>
      <c r="C3048" s="10"/>
      <c r="D3048" s="10"/>
      <c r="E3048" s="10"/>
      <c r="F3048" s="11"/>
      <c r="G3048" s="11"/>
      <c r="H3048" s="11"/>
      <c r="I3048" s="11"/>
      <c r="J3048" s="11"/>
      <c r="K3048" s="11"/>
      <c r="L3048" s="12"/>
      <c r="M3048" s="11"/>
      <c r="N3048" s="11"/>
      <c r="O3048" s="13"/>
      <c r="P3048" s="14"/>
      <c r="Q3048" s="13"/>
      <c r="R3048" s="13"/>
      <c r="S3048" s="15"/>
      <c r="T3048" s="16"/>
      <c r="U3048" s="16"/>
      <c r="V3048" s="16"/>
      <c r="W3048" s="16"/>
      <c r="X3048" s="16"/>
      <c r="Y3048" s="11"/>
      <c r="Z3048" s="11"/>
      <c r="AA3048" s="11"/>
      <c r="AB3048" s="11"/>
      <c r="AC3048" s="11"/>
      <c r="AD3048" s="11"/>
    </row>
    <row r="3049">
      <c r="A3049" s="10"/>
      <c r="B3049" s="10"/>
      <c r="C3049" s="10"/>
      <c r="D3049" s="10"/>
      <c r="E3049" s="10"/>
      <c r="F3049" s="11"/>
      <c r="G3049" s="11"/>
      <c r="H3049" s="11"/>
      <c r="I3049" s="11"/>
      <c r="J3049" s="11"/>
      <c r="K3049" s="11"/>
      <c r="L3049" s="12"/>
      <c r="M3049" s="11"/>
      <c r="N3049" s="11"/>
      <c r="O3049" s="13"/>
      <c r="P3049" s="14"/>
      <c r="Q3049" s="13"/>
      <c r="R3049" s="13"/>
      <c r="S3049" s="15"/>
      <c r="T3049" s="16"/>
      <c r="U3049" s="16"/>
      <c r="V3049" s="16"/>
      <c r="W3049" s="16"/>
      <c r="X3049" s="16"/>
      <c r="Y3049" s="11"/>
      <c r="Z3049" s="11"/>
      <c r="AA3049" s="11"/>
      <c r="AB3049" s="11"/>
      <c r="AC3049" s="11"/>
      <c r="AD3049" s="11"/>
    </row>
    <row r="3050">
      <c r="A3050" s="10"/>
      <c r="B3050" s="10"/>
      <c r="C3050" s="10"/>
      <c r="D3050" s="10"/>
      <c r="E3050" s="10"/>
      <c r="F3050" s="11"/>
      <c r="G3050" s="11"/>
      <c r="H3050" s="11"/>
      <c r="I3050" s="11"/>
      <c r="J3050" s="11"/>
      <c r="K3050" s="11"/>
      <c r="L3050" s="12"/>
      <c r="M3050" s="11"/>
      <c r="N3050" s="11"/>
      <c r="O3050" s="13"/>
      <c r="P3050" s="14"/>
      <c r="Q3050" s="13"/>
      <c r="R3050" s="13"/>
      <c r="S3050" s="15"/>
      <c r="T3050" s="16"/>
      <c r="U3050" s="16"/>
      <c r="V3050" s="16"/>
      <c r="W3050" s="16"/>
      <c r="X3050" s="16"/>
      <c r="Y3050" s="11"/>
      <c r="Z3050" s="11"/>
      <c r="AA3050" s="11"/>
      <c r="AB3050" s="11"/>
      <c r="AC3050" s="11"/>
      <c r="AD3050" s="11"/>
    </row>
    <row r="3051">
      <c r="A3051" s="10"/>
      <c r="B3051" s="10"/>
      <c r="C3051" s="10"/>
      <c r="D3051" s="10"/>
      <c r="E3051" s="10"/>
      <c r="F3051" s="11"/>
      <c r="G3051" s="11"/>
      <c r="H3051" s="11"/>
      <c r="I3051" s="11"/>
      <c r="J3051" s="11"/>
      <c r="K3051" s="11"/>
      <c r="L3051" s="12"/>
      <c r="M3051" s="11"/>
      <c r="N3051" s="11"/>
      <c r="O3051" s="13"/>
      <c r="P3051" s="14"/>
      <c r="Q3051" s="13"/>
      <c r="R3051" s="13"/>
      <c r="S3051" s="15"/>
      <c r="T3051" s="16"/>
      <c r="U3051" s="16"/>
      <c r="V3051" s="16"/>
      <c r="W3051" s="16"/>
      <c r="X3051" s="16"/>
      <c r="Y3051" s="11"/>
      <c r="Z3051" s="11"/>
      <c r="AA3051" s="11"/>
      <c r="AB3051" s="11"/>
      <c r="AC3051" s="11"/>
      <c r="AD3051" s="11"/>
    </row>
    <row r="3052">
      <c r="A3052" s="10"/>
      <c r="B3052" s="10"/>
      <c r="C3052" s="10"/>
      <c r="D3052" s="10"/>
      <c r="E3052" s="10"/>
      <c r="F3052" s="11"/>
      <c r="G3052" s="11"/>
      <c r="H3052" s="11"/>
      <c r="I3052" s="11"/>
      <c r="J3052" s="11"/>
      <c r="K3052" s="11"/>
      <c r="L3052" s="12"/>
      <c r="M3052" s="11"/>
      <c r="N3052" s="11"/>
      <c r="O3052" s="13"/>
      <c r="P3052" s="14"/>
      <c r="Q3052" s="13"/>
      <c r="R3052" s="13"/>
      <c r="S3052" s="15"/>
      <c r="T3052" s="16"/>
      <c r="U3052" s="16"/>
      <c r="V3052" s="16"/>
      <c r="W3052" s="16"/>
      <c r="X3052" s="16"/>
      <c r="Y3052" s="11"/>
      <c r="Z3052" s="11"/>
      <c r="AA3052" s="11"/>
      <c r="AB3052" s="11"/>
      <c r="AC3052" s="11"/>
      <c r="AD3052" s="11"/>
    </row>
    <row r="3053">
      <c r="A3053" s="10"/>
      <c r="B3053" s="10"/>
      <c r="C3053" s="10"/>
      <c r="D3053" s="10"/>
      <c r="E3053" s="10"/>
      <c r="F3053" s="11"/>
      <c r="G3053" s="11"/>
      <c r="H3053" s="11"/>
      <c r="I3053" s="11"/>
      <c r="J3053" s="11"/>
      <c r="K3053" s="11"/>
      <c r="L3053" s="12"/>
      <c r="M3053" s="11"/>
      <c r="N3053" s="11"/>
      <c r="O3053" s="13"/>
      <c r="P3053" s="14"/>
      <c r="Q3053" s="13"/>
      <c r="R3053" s="13"/>
      <c r="S3053" s="15"/>
      <c r="T3053" s="16"/>
      <c r="U3053" s="16"/>
      <c r="V3053" s="16"/>
      <c r="W3053" s="16"/>
      <c r="X3053" s="16"/>
      <c r="Y3053" s="11"/>
      <c r="Z3053" s="11"/>
      <c r="AA3053" s="11"/>
      <c r="AB3053" s="11"/>
      <c r="AC3053" s="11"/>
      <c r="AD3053" s="11"/>
    </row>
    <row r="3054">
      <c r="A3054" s="10"/>
      <c r="B3054" s="10"/>
      <c r="C3054" s="10"/>
      <c r="D3054" s="10"/>
      <c r="E3054" s="10"/>
      <c r="F3054" s="11"/>
      <c r="G3054" s="11"/>
      <c r="H3054" s="11"/>
      <c r="I3054" s="11"/>
      <c r="J3054" s="11"/>
      <c r="K3054" s="11"/>
      <c r="L3054" s="12"/>
      <c r="M3054" s="11"/>
      <c r="N3054" s="11"/>
      <c r="O3054" s="13"/>
      <c r="P3054" s="14"/>
      <c r="Q3054" s="13"/>
      <c r="R3054" s="13"/>
      <c r="S3054" s="15"/>
      <c r="T3054" s="16"/>
      <c r="U3054" s="16"/>
      <c r="V3054" s="16"/>
      <c r="W3054" s="16"/>
      <c r="X3054" s="16"/>
      <c r="Y3054" s="11"/>
      <c r="Z3054" s="11"/>
      <c r="AA3054" s="11"/>
      <c r="AB3054" s="11"/>
      <c r="AC3054" s="11"/>
      <c r="AD3054" s="11"/>
    </row>
    <row r="3055">
      <c r="A3055" s="10"/>
      <c r="B3055" s="10"/>
      <c r="C3055" s="10"/>
      <c r="D3055" s="10"/>
      <c r="E3055" s="10"/>
      <c r="F3055" s="11"/>
      <c r="G3055" s="11"/>
      <c r="H3055" s="11"/>
      <c r="I3055" s="11"/>
      <c r="J3055" s="11"/>
      <c r="K3055" s="11"/>
      <c r="L3055" s="12"/>
      <c r="M3055" s="11"/>
      <c r="N3055" s="11"/>
      <c r="O3055" s="13"/>
      <c r="P3055" s="14"/>
      <c r="Q3055" s="13"/>
      <c r="R3055" s="13"/>
      <c r="S3055" s="15"/>
      <c r="T3055" s="16"/>
      <c r="U3055" s="16"/>
      <c r="V3055" s="16"/>
      <c r="W3055" s="16"/>
      <c r="X3055" s="16"/>
      <c r="Y3055" s="11"/>
      <c r="Z3055" s="11"/>
      <c r="AA3055" s="11"/>
      <c r="AB3055" s="11"/>
      <c r="AC3055" s="11"/>
      <c r="AD3055" s="11"/>
    </row>
    <row r="3056">
      <c r="A3056" s="10"/>
      <c r="B3056" s="10"/>
      <c r="C3056" s="10"/>
      <c r="D3056" s="10"/>
      <c r="E3056" s="10"/>
      <c r="F3056" s="11"/>
      <c r="G3056" s="11"/>
      <c r="H3056" s="11"/>
      <c r="I3056" s="11"/>
      <c r="J3056" s="11"/>
      <c r="K3056" s="11"/>
      <c r="L3056" s="12"/>
      <c r="M3056" s="11"/>
      <c r="N3056" s="11"/>
      <c r="O3056" s="13"/>
      <c r="P3056" s="14"/>
      <c r="Q3056" s="13"/>
      <c r="R3056" s="13"/>
      <c r="S3056" s="15"/>
      <c r="T3056" s="16"/>
      <c r="U3056" s="16"/>
      <c r="V3056" s="16"/>
      <c r="W3056" s="16"/>
      <c r="X3056" s="16"/>
      <c r="Y3056" s="11"/>
      <c r="Z3056" s="11"/>
      <c r="AA3056" s="11"/>
      <c r="AB3056" s="11"/>
      <c r="AC3056" s="11"/>
      <c r="AD3056" s="11"/>
    </row>
    <row r="3057">
      <c r="A3057" s="10"/>
      <c r="B3057" s="10"/>
      <c r="C3057" s="10"/>
      <c r="D3057" s="10"/>
      <c r="E3057" s="10"/>
      <c r="F3057" s="11"/>
      <c r="G3057" s="11"/>
      <c r="H3057" s="11"/>
      <c r="I3057" s="11"/>
      <c r="J3057" s="11"/>
      <c r="K3057" s="11"/>
      <c r="L3057" s="12"/>
      <c r="M3057" s="11"/>
      <c r="N3057" s="11"/>
      <c r="O3057" s="13"/>
      <c r="P3057" s="14"/>
      <c r="Q3057" s="13"/>
      <c r="R3057" s="13"/>
      <c r="S3057" s="15"/>
      <c r="T3057" s="16"/>
      <c r="U3057" s="16"/>
      <c r="V3057" s="16"/>
      <c r="W3057" s="16"/>
      <c r="X3057" s="16"/>
      <c r="Y3057" s="11"/>
      <c r="Z3057" s="11"/>
      <c r="AA3057" s="11"/>
      <c r="AB3057" s="11"/>
      <c r="AC3057" s="11"/>
      <c r="AD3057" s="11"/>
    </row>
    <row r="3058">
      <c r="A3058" s="10"/>
      <c r="B3058" s="10"/>
      <c r="C3058" s="10"/>
      <c r="D3058" s="10"/>
      <c r="E3058" s="10"/>
      <c r="F3058" s="11"/>
      <c r="G3058" s="11"/>
      <c r="H3058" s="11"/>
      <c r="I3058" s="11"/>
      <c r="J3058" s="11"/>
      <c r="K3058" s="11"/>
      <c r="L3058" s="12"/>
      <c r="M3058" s="11"/>
      <c r="N3058" s="11"/>
      <c r="O3058" s="13"/>
      <c r="P3058" s="14"/>
      <c r="Q3058" s="13"/>
      <c r="R3058" s="13"/>
      <c r="S3058" s="15"/>
      <c r="T3058" s="16"/>
      <c r="U3058" s="16"/>
      <c r="V3058" s="16"/>
      <c r="W3058" s="16"/>
      <c r="X3058" s="16"/>
      <c r="Y3058" s="11"/>
      <c r="Z3058" s="11"/>
      <c r="AA3058" s="11"/>
      <c r="AB3058" s="11"/>
      <c r="AC3058" s="11"/>
      <c r="AD3058" s="11"/>
    </row>
    <row r="3059">
      <c r="A3059" s="10"/>
      <c r="B3059" s="10"/>
      <c r="C3059" s="10"/>
      <c r="D3059" s="10"/>
      <c r="E3059" s="10"/>
      <c r="F3059" s="11"/>
      <c r="G3059" s="11"/>
      <c r="H3059" s="11"/>
      <c r="I3059" s="11"/>
      <c r="J3059" s="11"/>
      <c r="K3059" s="11"/>
      <c r="L3059" s="12"/>
      <c r="M3059" s="11"/>
      <c r="N3059" s="11"/>
      <c r="O3059" s="13"/>
      <c r="P3059" s="14"/>
      <c r="Q3059" s="13"/>
      <c r="R3059" s="13"/>
      <c r="S3059" s="15"/>
      <c r="T3059" s="16"/>
      <c r="U3059" s="16"/>
      <c r="V3059" s="16"/>
      <c r="W3059" s="16"/>
      <c r="X3059" s="16"/>
      <c r="Y3059" s="11"/>
      <c r="Z3059" s="11"/>
      <c r="AA3059" s="11"/>
      <c r="AB3059" s="11"/>
      <c r="AC3059" s="11"/>
      <c r="AD3059" s="11"/>
    </row>
    <row r="3060">
      <c r="A3060" s="10"/>
      <c r="B3060" s="10"/>
      <c r="C3060" s="10"/>
      <c r="D3060" s="10"/>
      <c r="E3060" s="10"/>
      <c r="F3060" s="11"/>
      <c r="G3060" s="11"/>
      <c r="H3060" s="11"/>
      <c r="I3060" s="11"/>
      <c r="J3060" s="11"/>
      <c r="K3060" s="11"/>
      <c r="L3060" s="12"/>
      <c r="M3060" s="11"/>
      <c r="N3060" s="11"/>
      <c r="O3060" s="13"/>
      <c r="P3060" s="14"/>
      <c r="Q3060" s="13"/>
      <c r="R3060" s="13"/>
      <c r="S3060" s="15"/>
      <c r="T3060" s="16"/>
      <c r="U3060" s="16"/>
      <c r="V3060" s="16"/>
      <c r="W3060" s="16"/>
      <c r="X3060" s="16"/>
      <c r="Y3060" s="11"/>
      <c r="Z3060" s="11"/>
      <c r="AA3060" s="11"/>
      <c r="AB3060" s="11"/>
      <c r="AC3060" s="11"/>
      <c r="AD3060" s="11"/>
    </row>
    <row r="3061">
      <c r="A3061" s="10"/>
      <c r="B3061" s="10"/>
      <c r="C3061" s="10"/>
      <c r="D3061" s="10"/>
      <c r="E3061" s="10"/>
      <c r="F3061" s="11"/>
      <c r="G3061" s="11"/>
      <c r="H3061" s="11"/>
      <c r="I3061" s="11"/>
      <c r="J3061" s="11"/>
      <c r="K3061" s="11"/>
      <c r="L3061" s="12"/>
      <c r="M3061" s="11"/>
      <c r="N3061" s="11"/>
      <c r="O3061" s="13"/>
      <c r="P3061" s="14"/>
      <c r="Q3061" s="13"/>
      <c r="R3061" s="13"/>
      <c r="S3061" s="15"/>
      <c r="T3061" s="16"/>
      <c r="U3061" s="16"/>
      <c r="V3061" s="16"/>
      <c r="W3061" s="16"/>
      <c r="X3061" s="16"/>
      <c r="Y3061" s="11"/>
      <c r="Z3061" s="11"/>
      <c r="AA3061" s="11"/>
      <c r="AB3061" s="11"/>
      <c r="AC3061" s="11"/>
      <c r="AD3061" s="11"/>
    </row>
    <row r="3062">
      <c r="A3062" s="10"/>
      <c r="B3062" s="10"/>
      <c r="C3062" s="10"/>
      <c r="D3062" s="10"/>
      <c r="E3062" s="10"/>
      <c r="F3062" s="11"/>
      <c r="G3062" s="11"/>
      <c r="H3062" s="11"/>
      <c r="I3062" s="11"/>
      <c r="J3062" s="11"/>
      <c r="K3062" s="11"/>
      <c r="L3062" s="12"/>
      <c r="M3062" s="11"/>
      <c r="N3062" s="11"/>
      <c r="O3062" s="13"/>
      <c r="P3062" s="14"/>
      <c r="Q3062" s="13"/>
      <c r="R3062" s="13"/>
      <c r="S3062" s="15"/>
      <c r="T3062" s="16"/>
      <c r="U3062" s="16"/>
      <c r="V3062" s="16"/>
      <c r="W3062" s="16"/>
      <c r="X3062" s="16"/>
      <c r="Y3062" s="11"/>
      <c r="Z3062" s="11"/>
      <c r="AA3062" s="11"/>
      <c r="AB3062" s="11"/>
      <c r="AC3062" s="11"/>
      <c r="AD3062" s="11"/>
    </row>
    <row r="3063">
      <c r="A3063" s="10"/>
      <c r="B3063" s="10"/>
      <c r="C3063" s="10"/>
      <c r="D3063" s="10"/>
      <c r="E3063" s="10"/>
      <c r="F3063" s="11"/>
      <c r="G3063" s="11"/>
      <c r="H3063" s="11"/>
      <c r="I3063" s="11"/>
      <c r="J3063" s="11"/>
      <c r="K3063" s="11"/>
      <c r="L3063" s="12"/>
      <c r="M3063" s="11"/>
      <c r="N3063" s="11"/>
      <c r="O3063" s="13"/>
      <c r="P3063" s="14"/>
      <c r="Q3063" s="13"/>
      <c r="R3063" s="13"/>
      <c r="S3063" s="15"/>
      <c r="T3063" s="16"/>
      <c r="U3063" s="16"/>
      <c r="V3063" s="16"/>
      <c r="W3063" s="16"/>
      <c r="X3063" s="16"/>
      <c r="Y3063" s="11"/>
      <c r="Z3063" s="11"/>
      <c r="AA3063" s="11"/>
      <c r="AB3063" s="11"/>
      <c r="AC3063" s="11"/>
      <c r="AD3063" s="11"/>
    </row>
    <row r="3064">
      <c r="A3064" s="10"/>
      <c r="B3064" s="10"/>
      <c r="C3064" s="10"/>
      <c r="D3064" s="10"/>
      <c r="E3064" s="10"/>
      <c r="F3064" s="11"/>
      <c r="G3064" s="11"/>
      <c r="H3064" s="11"/>
      <c r="I3064" s="11"/>
      <c r="J3064" s="11"/>
      <c r="K3064" s="11"/>
      <c r="L3064" s="12"/>
      <c r="M3064" s="11"/>
      <c r="N3064" s="11"/>
      <c r="O3064" s="13"/>
      <c r="P3064" s="14"/>
      <c r="Q3064" s="13"/>
      <c r="R3064" s="13"/>
      <c r="S3064" s="15"/>
      <c r="T3064" s="16"/>
      <c r="U3064" s="16"/>
      <c r="V3064" s="16"/>
      <c r="W3064" s="16"/>
      <c r="X3064" s="16"/>
      <c r="Y3064" s="11"/>
      <c r="Z3064" s="11"/>
      <c r="AA3064" s="11"/>
      <c r="AB3064" s="11"/>
      <c r="AC3064" s="11"/>
      <c r="AD3064" s="11"/>
    </row>
    <row r="3065">
      <c r="A3065" s="10"/>
      <c r="B3065" s="10"/>
      <c r="C3065" s="10"/>
      <c r="D3065" s="10"/>
      <c r="E3065" s="10"/>
      <c r="F3065" s="11"/>
      <c r="G3065" s="11"/>
      <c r="H3065" s="11"/>
      <c r="I3065" s="11"/>
      <c r="J3065" s="11"/>
      <c r="K3065" s="11"/>
      <c r="L3065" s="12"/>
      <c r="M3065" s="11"/>
      <c r="N3065" s="11"/>
      <c r="O3065" s="13"/>
      <c r="P3065" s="14"/>
      <c r="Q3065" s="13"/>
      <c r="R3065" s="13"/>
      <c r="S3065" s="15"/>
      <c r="T3065" s="16"/>
      <c r="U3065" s="16"/>
      <c r="V3065" s="16"/>
      <c r="W3065" s="16"/>
      <c r="X3065" s="16"/>
      <c r="Y3065" s="11"/>
      <c r="Z3065" s="11"/>
      <c r="AA3065" s="11"/>
      <c r="AB3065" s="11"/>
      <c r="AC3065" s="11"/>
      <c r="AD3065" s="11"/>
    </row>
    <row r="3066">
      <c r="A3066" s="10"/>
      <c r="B3066" s="10"/>
      <c r="C3066" s="10"/>
      <c r="D3066" s="10"/>
      <c r="E3066" s="10"/>
      <c r="F3066" s="11"/>
      <c r="G3066" s="11"/>
      <c r="H3066" s="11"/>
      <c r="I3066" s="11"/>
      <c r="J3066" s="11"/>
      <c r="K3066" s="11"/>
      <c r="L3066" s="12"/>
      <c r="M3066" s="11"/>
      <c r="N3066" s="11"/>
      <c r="O3066" s="13"/>
      <c r="P3066" s="14"/>
      <c r="Q3066" s="13"/>
      <c r="R3066" s="13"/>
      <c r="S3066" s="15"/>
      <c r="T3066" s="16"/>
      <c r="U3066" s="16"/>
      <c r="V3066" s="16"/>
      <c r="W3066" s="16"/>
      <c r="X3066" s="16"/>
      <c r="Y3066" s="11"/>
      <c r="Z3066" s="11"/>
      <c r="AA3066" s="11"/>
      <c r="AB3066" s="11"/>
      <c r="AC3066" s="11"/>
      <c r="AD3066" s="11"/>
    </row>
    <row r="3067">
      <c r="A3067" s="10"/>
      <c r="B3067" s="10"/>
      <c r="C3067" s="10"/>
      <c r="D3067" s="10"/>
      <c r="E3067" s="10"/>
      <c r="F3067" s="11"/>
      <c r="G3067" s="11"/>
      <c r="H3067" s="11"/>
      <c r="I3067" s="11"/>
      <c r="J3067" s="11"/>
      <c r="K3067" s="11"/>
      <c r="L3067" s="12"/>
      <c r="M3067" s="11"/>
      <c r="N3067" s="11"/>
      <c r="O3067" s="13"/>
      <c r="P3067" s="14"/>
      <c r="Q3067" s="13"/>
      <c r="R3067" s="13"/>
      <c r="S3067" s="15"/>
      <c r="T3067" s="16"/>
      <c r="U3067" s="16"/>
      <c r="V3067" s="16"/>
      <c r="W3067" s="16"/>
      <c r="X3067" s="16"/>
      <c r="Y3067" s="11"/>
      <c r="Z3067" s="11"/>
      <c r="AA3067" s="11"/>
      <c r="AB3067" s="11"/>
      <c r="AC3067" s="11"/>
      <c r="AD3067" s="11"/>
    </row>
    <row r="3068">
      <c r="A3068" s="10"/>
      <c r="B3068" s="10"/>
      <c r="C3068" s="10"/>
      <c r="D3068" s="10"/>
      <c r="E3068" s="10"/>
      <c r="F3068" s="11"/>
      <c r="G3068" s="11"/>
      <c r="H3068" s="11"/>
      <c r="I3068" s="11"/>
      <c r="J3068" s="11"/>
      <c r="K3068" s="11"/>
      <c r="L3068" s="12"/>
      <c r="M3068" s="11"/>
      <c r="N3068" s="11"/>
      <c r="O3068" s="13"/>
      <c r="P3068" s="14"/>
      <c r="Q3068" s="13"/>
      <c r="R3068" s="13"/>
      <c r="S3068" s="15"/>
      <c r="T3068" s="16"/>
      <c r="U3068" s="16"/>
      <c r="V3068" s="16"/>
      <c r="W3068" s="16"/>
      <c r="X3068" s="16"/>
      <c r="Y3068" s="11"/>
      <c r="Z3068" s="11"/>
      <c r="AA3068" s="11"/>
      <c r="AB3068" s="11"/>
      <c r="AC3068" s="11"/>
      <c r="AD3068" s="11"/>
    </row>
    <row r="3069">
      <c r="A3069" s="10"/>
      <c r="B3069" s="10"/>
      <c r="C3069" s="10"/>
      <c r="D3069" s="10"/>
      <c r="E3069" s="10"/>
      <c r="F3069" s="11"/>
      <c r="G3069" s="11"/>
      <c r="H3069" s="11"/>
      <c r="I3069" s="11"/>
      <c r="J3069" s="11"/>
      <c r="K3069" s="11"/>
      <c r="L3069" s="12"/>
      <c r="M3069" s="11"/>
      <c r="N3069" s="11"/>
      <c r="O3069" s="13"/>
      <c r="P3069" s="14"/>
      <c r="Q3069" s="13"/>
      <c r="R3069" s="13"/>
      <c r="S3069" s="15"/>
      <c r="T3069" s="16"/>
      <c r="U3069" s="16"/>
      <c r="V3069" s="16"/>
      <c r="W3069" s="16"/>
      <c r="X3069" s="16"/>
      <c r="Y3069" s="11"/>
      <c r="Z3069" s="11"/>
      <c r="AA3069" s="11"/>
      <c r="AB3069" s="11"/>
      <c r="AC3069" s="11"/>
      <c r="AD3069" s="11"/>
    </row>
    <row r="3070">
      <c r="A3070" s="10"/>
      <c r="B3070" s="10"/>
      <c r="C3070" s="10"/>
      <c r="D3070" s="10"/>
      <c r="E3070" s="10"/>
      <c r="F3070" s="11"/>
      <c r="G3070" s="11"/>
      <c r="H3070" s="11"/>
      <c r="I3070" s="11"/>
      <c r="J3070" s="11"/>
      <c r="K3070" s="11"/>
      <c r="L3070" s="12"/>
      <c r="M3070" s="11"/>
      <c r="N3070" s="11"/>
      <c r="O3070" s="13"/>
      <c r="P3070" s="14"/>
      <c r="Q3070" s="13"/>
      <c r="R3070" s="13"/>
      <c r="S3070" s="15"/>
      <c r="T3070" s="16"/>
      <c r="U3070" s="16"/>
      <c r="V3070" s="16"/>
      <c r="W3070" s="16"/>
      <c r="X3070" s="16"/>
      <c r="Y3070" s="11"/>
      <c r="Z3070" s="11"/>
      <c r="AA3070" s="11"/>
      <c r="AB3070" s="11"/>
      <c r="AC3070" s="11"/>
      <c r="AD3070" s="11"/>
    </row>
    <row r="3071">
      <c r="A3071" s="10"/>
      <c r="B3071" s="10"/>
      <c r="C3071" s="10"/>
      <c r="D3071" s="10"/>
      <c r="E3071" s="10"/>
      <c r="F3071" s="11"/>
      <c r="G3071" s="11"/>
      <c r="H3071" s="11"/>
      <c r="I3071" s="11"/>
      <c r="J3071" s="11"/>
      <c r="K3071" s="11"/>
      <c r="L3071" s="12"/>
      <c r="M3071" s="11"/>
      <c r="N3071" s="11"/>
      <c r="O3071" s="13"/>
      <c r="P3071" s="14"/>
      <c r="Q3071" s="13"/>
      <c r="R3071" s="13"/>
      <c r="S3071" s="15"/>
      <c r="T3071" s="16"/>
      <c r="U3071" s="16"/>
      <c r="V3071" s="16"/>
      <c r="W3071" s="16"/>
      <c r="X3071" s="16"/>
      <c r="Y3071" s="11"/>
      <c r="Z3071" s="11"/>
      <c r="AA3071" s="11"/>
      <c r="AB3071" s="11"/>
      <c r="AC3071" s="11"/>
      <c r="AD3071" s="11"/>
    </row>
    <row r="3072">
      <c r="A3072" s="10"/>
      <c r="B3072" s="10"/>
      <c r="C3072" s="10"/>
      <c r="D3072" s="10"/>
      <c r="E3072" s="10"/>
      <c r="F3072" s="11"/>
      <c r="G3072" s="11"/>
      <c r="H3072" s="11"/>
      <c r="I3072" s="11"/>
      <c r="J3072" s="11"/>
      <c r="K3072" s="11"/>
      <c r="L3072" s="12"/>
      <c r="M3072" s="11"/>
      <c r="N3072" s="11"/>
      <c r="O3072" s="13"/>
      <c r="P3072" s="14"/>
      <c r="Q3072" s="13"/>
      <c r="R3072" s="13"/>
      <c r="S3072" s="15"/>
      <c r="T3072" s="16"/>
      <c r="U3072" s="16"/>
      <c r="V3072" s="16"/>
      <c r="W3072" s="16"/>
      <c r="X3072" s="16"/>
      <c r="Y3072" s="11"/>
      <c r="Z3072" s="11"/>
      <c r="AA3072" s="11"/>
      <c r="AB3072" s="11"/>
      <c r="AC3072" s="11"/>
      <c r="AD3072" s="11"/>
    </row>
    <row r="3073">
      <c r="A3073" s="10"/>
      <c r="B3073" s="10"/>
      <c r="C3073" s="10"/>
      <c r="D3073" s="10"/>
      <c r="E3073" s="10"/>
      <c r="F3073" s="11"/>
      <c r="G3073" s="11"/>
      <c r="H3073" s="11"/>
      <c r="I3073" s="11"/>
      <c r="J3073" s="11"/>
      <c r="K3073" s="11"/>
      <c r="L3073" s="12"/>
      <c r="M3073" s="11"/>
      <c r="N3073" s="11"/>
      <c r="O3073" s="13"/>
      <c r="P3073" s="14"/>
      <c r="Q3073" s="13"/>
      <c r="R3073" s="13"/>
      <c r="S3073" s="15"/>
      <c r="T3073" s="16"/>
      <c r="U3073" s="16"/>
      <c r="V3073" s="16"/>
      <c r="W3073" s="16"/>
      <c r="X3073" s="16"/>
      <c r="Y3073" s="11"/>
      <c r="Z3073" s="11"/>
      <c r="AA3073" s="11"/>
      <c r="AB3073" s="11"/>
      <c r="AC3073" s="11"/>
      <c r="AD3073" s="11"/>
    </row>
    <row r="3074">
      <c r="A3074" s="10"/>
      <c r="B3074" s="10"/>
      <c r="C3074" s="10"/>
      <c r="D3074" s="10"/>
      <c r="E3074" s="10"/>
      <c r="F3074" s="11"/>
      <c r="G3074" s="11"/>
      <c r="H3074" s="11"/>
      <c r="I3074" s="11"/>
      <c r="J3074" s="11"/>
      <c r="K3074" s="11"/>
      <c r="L3074" s="12"/>
      <c r="M3074" s="11"/>
      <c r="N3074" s="11"/>
      <c r="O3074" s="13"/>
      <c r="P3074" s="14"/>
      <c r="Q3074" s="13"/>
      <c r="R3074" s="13"/>
      <c r="S3074" s="15"/>
      <c r="T3074" s="16"/>
      <c r="U3074" s="16"/>
      <c r="V3074" s="16"/>
      <c r="W3074" s="16"/>
      <c r="X3074" s="16"/>
      <c r="Y3074" s="11"/>
      <c r="Z3074" s="11"/>
      <c r="AA3074" s="11"/>
      <c r="AB3074" s="11"/>
      <c r="AC3074" s="11"/>
      <c r="AD3074" s="11"/>
    </row>
    <row r="3075">
      <c r="A3075" s="10"/>
      <c r="B3075" s="10"/>
      <c r="C3075" s="10"/>
      <c r="D3075" s="10"/>
      <c r="E3075" s="10"/>
      <c r="F3075" s="11"/>
      <c r="G3075" s="11"/>
      <c r="H3075" s="11"/>
      <c r="I3075" s="11"/>
      <c r="J3075" s="11"/>
      <c r="K3075" s="11"/>
      <c r="L3075" s="12"/>
      <c r="M3075" s="11"/>
      <c r="N3075" s="11"/>
      <c r="O3075" s="13"/>
      <c r="P3075" s="14"/>
      <c r="Q3075" s="13"/>
      <c r="R3075" s="13"/>
      <c r="S3075" s="15"/>
      <c r="T3075" s="16"/>
      <c r="U3075" s="16"/>
      <c r="V3075" s="16"/>
      <c r="W3075" s="16"/>
      <c r="X3075" s="16"/>
      <c r="Y3075" s="11"/>
      <c r="Z3075" s="11"/>
      <c r="AA3075" s="11"/>
      <c r="AB3075" s="11"/>
      <c r="AC3075" s="11"/>
      <c r="AD3075" s="11"/>
    </row>
    <row r="3076">
      <c r="A3076" s="10"/>
      <c r="B3076" s="10"/>
      <c r="C3076" s="10"/>
      <c r="D3076" s="10"/>
      <c r="E3076" s="10"/>
      <c r="F3076" s="11"/>
      <c r="G3076" s="11"/>
      <c r="H3076" s="11"/>
      <c r="I3076" s="11"/>
      <c r="J3076" s="11"/>
      <c r="K3076" s="11"/>
      <c r="L3076" s="12"/>
      <c r="M3076" s="11"/>
      <c r="N3076" s="11"/>
      <c r="O3076" s="13"/>
      <c r="P3076" s="14"/>
      <c r="Q3076" s="13"/>
      <c r="R3076" s="13"/>
      <c r="S3076" s="15"/>
      <c r="T3076" s="16"/>
      <c r="U3076" s="16"/>
      <c r="V3076" s="16"/>
      <c r="W3076" s="16"/>
      <c r="X3076" s="16"/>
      <c r="Y3076" s="11"/>
      <c r="Z3076" s="11"/>
      <c r="AA3076" s="11"/>
      <c r="AB3076" s="11"/>
      <c r="AC3076" s="11"/>
      <c r="AD3076" s="11"/>
    </row>
    <row r="3077">
      <c r="A3077" s="10"/>
      <c r="B3077" s="10"/>
      <c r="C3077" s="10"/>
      <c r="D3077" s="10"/>
      <c r="E3077" s="10"/>
      <c r="F3077" s="11"/>
      <c r="G3077" s="11"/>
      <c r="H3077" s="11"/>
      <c r="I3077" s="11"/>
      <c r="J3077" s="11"/>
      <c r="K3077" s="11"/>
      <c r="L3077" s="12"/>
      <c r="M3077" s="11"/>
      <c r="N3077" s="11"/>
      <c r="O3077" s="13"/>
      <c r="P3077" s="14"/>
      <c r="Q3077" s="13"/>
      <c r="R3077" s="13"/>
      <c r="S3077" s="15"/>
      <c r="T3077" s="16"/>
      <c r="U3077" s="16"/>
      <c r="V3077" s="16"/>
      <c r="W3077" s="16"/>
      <c r="X3077" s="16"/>
      <c r="Y3077" s="11"/>
      <c r="Z3077" s="11"/>
      <c r="AA3077" s="11"/>
      <c r="AB3077" s="11"/>
      <c r="AC3077" s="11"/>
      <c r="AD3077" s="11"/>
    </row>
    <row r="3078">
      <c r="A3078" s="10"/>
      <c r="B3078" s="10"/>
      <c r="C3078" s="10"/>
      <c r="D3078" s="10"/>
      <c r="E3078" s="10"/>
      <c r="F3078" s="11"/>
      <c r="G3078" s="11"/>
      <c r="H3078" s="11"/>
      <c r="I3078" s="11"/>
      <c r="J3078" s="11"/>
      <c r="K3078" s="11"/>
      <c r="L3078" s="12"/>
      <c r="M3078" s="11"/>
      <c r="N3078" s="11"/>
      <c r="O3078" s="13"/>
      <c r="P3078" s="14"/>
      <c r="Q3078" s="13"/>
      <c r="R3078" s="13"/>
      <c r="S3078" s="15"/>
      <c r="T3078" s="16"/>
      <c r="U3078" s="16"/>
      <c r="V3078" s="16"/>
      <c r="W3078" s="16"/>
      <c r="X3078" s="16"/>
      <c r="Y3078" s="11"/>
      <c r="Z3078" s="11"/>
      <c r="AA3078" s="11"/>
      <c r="AB3078" s="11"/>
      <c r="AC3078" s="11"/>
      <c r="AD3078" s="11"/>
    </row>
    <row r="3079">
      <c r="A3079" s="10"/>
      <c r="B3079" s="10"/>
      <c r="C3079" s="10"/>
      <c r="D3079" s="10"/>
      <c r="E3079" s="10"/>
      <c r="F3079" s="11"/>
      <c r="G3079" s="11"/>
      <c r="H3079" s="11"/>
      <c r="I3079" s="11"/>
      <c r="J3079" s="11"/>
      <c r="K3079" s="11"/>
      <c r="L3079" s="12"/>
      <c r="M3079" s="11"/>
      <c r="N3079" s="11"/>
      <c r="O3079" s="13"/>
      <c r="P3079" s="14"/>
      <c r="Q3079" s="13"/>
      <c r="R3079" s="13"/>
      <c r="S3079" s="15"/>
      <c r="T3079" s="16"/>
      <c r="U3079" s="16"/>
      <c r="V3079" s="16"/>
      <c r="W3079" s="16"/>
      <c r="X3079" s="16"/>
      <c r="Y3079" s="11"/>
      <c r="Z3079" s="11"/>
      <c r="AA3079" s="11"/>
      <c r="AB3079" s="11"/>
      <c r="AC3079" s="11"/>
      <c r="AD3079" s="11"/>
    </row>
    <row r="3080">
      <c r="A3080" s="10"/>
      <c r="B3080" s="10"/>
      <c r="C3080" s="10"/>
      <c r="D3080" s="10"/>
      <c r="E3080" s="10"/>
      <c r="F3080" s="11"/>
      <c r="G3080" s="11"/>
      <c r="H3080" s="11"/>
      <c r="I3080" s="11"/>
      <c r="J3080" s="11"/>
      <c r="K3080" s="11"/>
      <c r="L3080" s="12"/>
      <c r="M3080" s="11"/>
      <c r="N3080" s="11"/>
      <c r="O3080" s="13"/>
      <c r="P3080" s="14"/>
      <c r="Q3080" s="13"/>
      <c r="R3080" s="13"/>
      <c r="S3080" s="15"/>
      <c r="T3080" s="16"/>
      <c r="U3080" s="16"/>
      <c r="V3080" s="16"/>
      <c r="W3080" s="16"/>
      <c r="X3080" s="16"/>
      <c r="Y3080" s="11"/>
      <c r="Z3080" s="11"/>
      <c r="AA3080" s="11"/>
      <c r="AB3080" s="11"/>
      <c r="AC3080" s="11"/>
      <c r="AD3080" s="11"/>
    </row>
    <row r="3081">
      <c r="A3081" s="10"/>
      <c r="B3081" s="10"/>
      <c r="C3081" s="10"/>
      <c r="D3081" s="10"/>
      <c r="E3081" s="10"/>
      <c r="F3081" s="11"/>
      <c r="G3081" s="11"/>
      <c r="H3081" s="11"/>
      <c r="I3081" s="11"/>
      <c r="J3081" s="11"/>
      <c r="K3081" s="11"/>
      <c r="L3081" s="12"/>
      <c r="M3081" s="11"/>
      <c r="N3081" s="11"/>
      <c r="O3081" s="13"/>
      <c r="P3081" s="14"/>
      <c r="Q3081" s="13"/>
      <c r="R3081" s="13"/>
      <c r="S3081" s="15"/>
      <c r="T3081" s="16"/>
      <c r="U3081" s="16"/>
      <c r="V3081" s="16"/>
      <c r="W3081" s="16"/>
      <c r="X3081" s="16"/>
      <c r="Y3081" s="11"/>
      <c r="Z3081" s="11"/>
      <c r="AA3081" s="11"/>
      <c r="AB3081" s="11"/>
      <c r="AC3081" s="11"/>
      <c r="AD3081" s="11"/>
    </row>
    <row r="3082">
      <c r="A3082" s="10"/>
      <c r="B3082" s="10"/>
      <c r="C3082" s="10"/>
      <c r="D3082" s="10"/>
      <c r="E3082" s="10"/>
      <c r="F3082" s="11"/>
      <c r="G3082" s="11"/>
      <c r="H3082" s="11"/>
      <c r="I3082" s="11"/>
      <c r="J3082" s="11"/>
      <c r="K3082" s="11"/>
      <c r="L3082" s="12"/>
      <c r="M3082" s="11"/>
      <c r="N3082" s="11"/>
      <c r="O3082" s="13"/>
      <c r="P3082" s="14"/>
      <c r="Q3082" s="13"/>
      <c r="R3082" s="13"/>
      <c r="S3082" s="15"/>
      <c r="T3082" s="16"/>
      <c r="U3082" s="16"/>
      <c r="V3082" s="16"/>
      <c r="W3082" s="16"/>
      <c r="X3082" s="16"/>
      <c r="Y3082" s="11"/>
      <c r="Z3082" s="11"/>
      <c r="AA3082" s="11"/>
      <c r="AB3082" s="11"/>
      <c r="AC3082" s="11"/>
      <c r="AD3082" s="11"/>
    </row>
    <row r="3083">
      <c r="A3083" s="10"/>
      <c r="B3083" s="10"/>
      <c r="C3083" s="10"/>
      <c r="D3083" s="10"/>
      <c r="E3083" s="10"/>
      <c r="F3083" s="11"/>
      <c r="G3083" s="11"/>
      <c r="H3083" s="11"/>
      <c r="I3083" s="11"/>
      <c r="J3083" s="11"/>
      <c r="K3083" s="11"/>
      <c r="L3083" s="12"/>
      <c r="M3083" s="11"/>
      <c r="N3083" s="11"/>
      <c r="O3083" s="13"/>
      <c r="P3083" s="14"/>
      <c r="Q3083" s="13"/>
      <c r="R3083" s="13"/>
      <c r="S3083" s="15"/>
      <c r="T3083" s="16"/>
      <c r="U3083" s="16"/>
      <c r="V3083" s="16"/>
      <c r="W3083" s="16"/>
      <c r="X3083" s="16"/>
      <c r="Y3083" s="11"/>
      <c r="Z3083" s="11"/>
      <c r="AA3083" s="11"/>
      <c r="AB3083" s="11"/>
      <c r="AC3083" s="11"/>
      <c r="AD3083" s="11"/>
    </row>
    <row r="3084">
      <c r="A3084" s="10"/>
      <c r="B3084" s="10"/>
      <c r="C3084" s="10"/>
      <c r="D3084" s="10"/>
      <c r="E3084" s="10"/>
      <c r="F3084" s="11"/>
      <c r="G3084" s="11"/>
      <c r="H3084" s="11"/>
      <c r="I3084" s="11"/>
      <c r="J3084" s="11"/>
      <c r="K3084" s="11"/>
      <c r="L3084" s="12"/>
      <c r="M3084" s="11"/>
      <c r="N3084" s="11"/>
      <c r="O3084" s="13"/>
      <c r="P3084" s="14"/>
      <c r="Q3084" s="13"/>
      <c r="R3084" s="13"/>
      <c r="S3084" s="15"/>
      <c r="T3084" s="16"/>
      <c r="U3084" s="16"/>
      <c r="V3084" s="16"/>
      <c r="W3084" s="16"/>
      <c r="X3084" s="16"/>
      <c r="Y3084" s="11"/>
      <c r="Z3084" s="11"/>
      <c r="AA3084" s="11"/>
      <c r="AB3084" s="11"/>
      <c r="AC3084" s="11"/>
      <c r="AD3084" s="11"/>
    </row>
    <row r="3085">
      <c r="A3085" s="10"/>
      <c r="B3085" s="10"/>
      <c r="C3085" s="10"/>
      <c r="D3085" s="10"/>
      <c r="E3085" s="10"/>
      <c r="F3085" s="11"/>
      <c r="G3085" s="11"/>
      <c r="H3085" s="11"/>
      <c r="I3085" s="11"/>
      <c r="J3085" s="11"/>
      <c r="K3085" s="11"/>
      <c r="L3085" s="12"/>
      <c r="M3085" s="11"/>
      <c r="N3085" s="11"/>
      <c r="O3085" s="13"/>
      <c r="P3085" s="14"/>
      <c r="Q3085" s="13"/>
      <c r="R3085" s="13"/>
      <c r="S3085" s="15"/>
      <c r="T3085" s="16"/>
      <c r="U3085" s="16"/>
      <c r="V3085" s="16"/>
      <c r="W3085" s="16"/>
      <c r="X3085" s="16"/>
      <c r="Y3085" s="11"/>
      <c r="Z3085" s="11"/>
      <c r="AA3085" s="11"/>
      <c r="AB3085" s="11"/>
      <c r="AC3085" s="11"/>
      <c r="AD3085" s="11"/>
    </row>
    <row r="3086">
      <c r="A3086" s="10"/>
      <c r="B3086" s="10"/>
      <c r="C3086" s="10"/>
      <c r="D3086" s="10"/>
      <c r="E3086" s="10"/>
      <c r="F3086" s="11"/>
      <c r="G3086" s="11"/>
      <c r="H3086" s="11"/>
      <c r="I3086" s="11"/>
      <c r="J3086" s="11"/>
      <c r="K3086" s="11"/>
      <c r="L3086" s="12"/>
      <c r="M3086" s="11"/>
      <c r="N3086" s="11"/>
      <c r="O3086" s="13"/>
      <c r="P3086" s="14"/>
      <c r="Q3086" s="13"/>
      <c r="R3086" s="13"/>
      <c r="S3086" s="15"/>
      <c r="T3086" s="16"/>
      <c r="U3086" s="16"/>
      <c r="V3086" s="16"/>
      <c r="W3086" s="16"/>
      <c r="X3086" s="16"/>
      <c r="Y3086" s="11"/>
      <c r="Z3086" s="11"/>
      <c r="AA3086" s="11"/>
      <c r="AB3086" s="11"/>
      <c r="AC3086" s="11"/>
      <c r="AD3086" s="11"/>
    </row>
    <row r="3087">
      <c r="A3087" s="10"/>
      <c r="B3087" s="10"/>
      <c r="C3087" s="10"/>
      <c r="D3087" s="10"/>
      <c r="E3087" s="10"/>
      <c r="F3087" s="11"/>
      <c r="G3087" s="11"/>
      <c r="H3087" s="11"/>
      <c r="I3087" s="11"/>
      <c r="J3087" s="11"/>
      <c r="K3087" s="11"/>
      <c r="L3087" s="12"/>
      <c r="M3087" s="11"/>
      <c r="N3087" s="11"/>
      <c r="O3087" s="13"/>
      <c r="P3087" s="14"/>
      <c r="Q3087" s="13"/>
      <c r="R3087" s="13"/>
      <c r="S3087" s="15"/>
      <c r="T3087" s="16"/>
      <c r="U3087" s="16"/>
      <c r="V3087" s="16"/>
      <c r="W3087" s="16"/>
      <c r="X3087" s="16"/>
      <c r="Y3087" s="11"/>
      <c r="Z3087" s="11"/>
      <c r="AA3087" s="11"/>
      <c r="AB3087" s="11"/>
      <c r="AC3087" s="11"/>
      <c r="AD3087" s="11"/>
    </row>
    <row r="3088">
      <c r="A3088" s="10"/>
      <c r="B3088" s="10"/>
      <c r="C3088" s="10"/>
      <c r="D3088" s="10"/>
      <c r="E3088" s="10"/>
      <c r="F3088" s="11"/>
      <c r="G3088" s="11"/>
      <c r="H3088" s="11"/>
      <c r="I3088" s="11"/>
      <c r="J3088" s="11"/>
      <c r="K3088" s="11"/>
      <c r="L3088" s="12"/>
      <c r="M3088" s="11"/>
      <c r="N3088" s="11"/>
      <c r="O3088" s="13"/>
      <c r="P3088" s="14"/>
      <c r="Q3088" s="13"/>
      <c r="R3088" s="13"/>
      <c r="S3088" s="15"/>
      <c r="T3088" s="16"/>
      <c r="U3088" s="16"/>
      <c r="V3088" s="16"/>
      <c r="W3088" s="16"/>
      <c r="X3088" s="16"/>
      <c r="Y3088" s="11"/>
      <c r="Z3088" s="11"/>
      <c r="AA3088" s="11"/>
      <c r="AB3088" s="11"/>
      <c r="AC3088" s="11"/>
      <c r="AD3088" s="11"/>
    </row>
    <row r="3089">
      <c r="A3089" s="10"/>
      <c r="B3089" s="10"/>
      <c r="C3089" s="10"/>
      <c r="D3089" s="10"/>
      <c r="E3089" s="10"/>
      <c r="F3089" s="11"/>
      <c r="G3089" s="11"/>
      <c r="H3089" s="11"/>
      <c r="I3089" s="11"/>
      <c r="J3089" s="11"/>
      <c r="K3089" s="11"/>
      <c r="L3089" s="12"/>
      <c r="M3089" s="11"/>
      <c r="N3089" s="11"/>
      <c r="O3089" s="13"/>
      <c r="P3089" s="14"/>
      <c r="Q3089" s="13"/>
      <c r="R3089" s="13"/>
      <c r="S3089" s="15"/>
      <c r="T3089" s="16"/>
      <c r="U3089" s="16"/>
      <c r="V3089" s="16"/>
      <c r="W3089" s="16"/>
      <c r="X3089" s="16"/>
      <c r="Y3089" s="11"/>
      <c r="Z3089" s="11"/>
      <c r="AA3089" s="11"/>
      <c r="AB3089" s="11"/>
      <c r="AC3089" s="11"/>
      <c r="AD3089" s="11"/>
    </row>
    <row r="3090">
      <c r="A3090" s="10"/>
      <c r="B3090" s="10"/>
      <c r="C3090" s="10"/>
      <c r="D3090" s="10"/>
      <c r="E3090" s="10"/>
      <c r="F3090" s="11"/>
      <c r="G3090" s="11"/>
      <c r="H3090" s="11"/>
      <c r="I3090" s="11"/>
      <c r="J3090" s="11"/>
      <c r="K3090" s="11"/>
      <c r="L3090" s="12"/>
      <c r="M3090" s="11"/>
      <c r="N3090" s="11"/>
      <c r="O3090" s="13"/>
      <c r="P3090" s="14"/>
      <c r="Q3090" s="13"/>
      <c r="R3090" s="13"/>
      <c r="S3090" s="15"/>
      <c r="T3090" s="16"/>
      <c r="U3090" s="16"/>
      <c r="V3090" s="16"/>
      <c r="W3090" s="16"/>
      <c r="X3090" s="16"/>
      <c r="Y3090" s="11"/>
      <c r="Z3090" s="11"/>
      <c r="AA3090" s="11"/>
      <c r="AB3090" s="11"/>
      <c r="AC3090" s="11"/>
      <c r="AD3090" s="11"/>
    </row>
    <row r="3091">
      <c r="A3091" s="10"/>
      <c r="B3091" s="10"/>
      <c r="C3091" s="10"/>
      <c r="D3091" s="10"/>
      <c r="E3091" s="10"/>
      <c r="F3091" s="11"/>
      <c r="G3091" s="11"/>
      <c r="H3091" s="11"/>
      <c r="I3091" s="11"/>
      <c r="J3091" s="11"/>
      <c r="K3091" s="11"/>
      <c r="L3091" s="12"/>
      <c r="M3091" s="11"/>
      <c r="N3091" s="11"/>
      <c r="O3091" s="13"/>
      <c r="P3091" s="14"/>
      <c r="Q3091" s="13"/>
      <c r="R3091" s="13"/>
      <c r="S3091" s="15"/>
      <c r="T3091" s="16"/>
      <c r="U3091" s="16"/>
      <c r="V3091" s="16"/>
      <c r="W3091" s="16"/>
      <c r="X3091" s="16"/>
      <c r="Y3091" s="11"/>
      <c r="Z3091" s="11"/>
      <c r="AA3091" s="11"/>
      <c r="AB3091" s="11"/>
      <c r="AC3091" s="11"/>
      <c r="AD3091" s="11"/>
    </row>
    <row r="3092">
      <c r="A3092" s="10"/>
      <c r="B3092" s="10"/>
      <c r="C3092" s="10"/>
      <c r="D3092" s="10"/>
      <c r="E3092" s="10"/>
      <c r="F3092" s="11"/>
      <c r="G3092" s="11"/>
      <c r="H3092" s="11"/>
      <c r="I3092" s="11"/>
      <c r="J3092" s="11"/>
      <c r="K3092" s="11"/>
      <c r="L3092" s="12"/>
      <c r="M3092" s="11"/>
      <c r="N3092" s="11"/>
      <c r="O3092" s="13"/>
      <c r="P3092" s="14"/>
      <c r="Q3092" s="13"/>
      <c r="R3092" s="13"/>
      <c r="S3092" s="15"/>
      <c r="T3092" s="16"/>
      <c r="U3092" s="16"/>
      <c r="V3092" s="16"/>
      <c r="W3092" s="16"/>
      <c r="X3092" s="16"/>
      <c r="Y3092" s="11"/>
      <c r="Z3092" s="11"/>
      <c r="AA3092" s="11"/>
      <c r="AB3092" s="11"/>
      <c r="AC3092" s="11"/>
      <c r="AD3092" s="11"/>
    </row>
    <row r="3093">
      <c r="A3093" s="10"/>
      <c r="B3093" s="10"/>
      <c r="C3093" s="10"/>
      <c r="D3093" s="10"/>
      <c r="E3093" s="10"/>
      <c r="F3093" s="11"/>
      <c r="G3093" s="11"/>
      <c r="H3093" s="11"/>
      <c r="I3093" s="11"/>
      <c r="J3093" s="11"/>
      <c r="K3093" s="11"/>
      <c r="L3093" s="12"/>
      <c r="M3093" s="11"/>
      <c r="N3093" s="11"/>
      <c r="O3093" s="13"/>
      <c r="P3093" s="14"/>
      <c r="Q3093" s="13"/>
      <c r="R3093" s="13"/>
      <c r="S3093" s="15"/>
      <c r="T3093" s="16"/>
      <c r="U3093" s="16"/>
      <c r="V3093" s="16"/>
      <c r="W3093" s="16"/>
      <c r="X3093" s="16"/>
      <c r="Y3093" s="11"/>
      <c r="Z3093" s="11"/>
      <c r="AA3093" s="11"/>
      <c r="AB3093" s="11"/>
      <c r="AC3093" s="11"/>
      <c r="AD3093" s="11"/>
    </row>
    <row r="3094">
      <c r="A3094" s="10"/>
      <c r="B3094" s="10"/>
      <c r="C3094" s="10"/>
      <c r="D3094" s="10"/>
      <c r="E3094" s="10"/>
      <c r="F3094" s="11"/>
      <c r="G3094" s="11"/>
      <c r="H3094" s="11"/>
      <c r="I3094" s="11"/>
      <c r="J3094" s="11"/>
      <c r="K3094" s="11"/>
      <c r="L3094" s="12"/>
      <c r="M3094" s="11"/>
      <c r="N3094" s="11"/>
      <c r="O3094" s="13"/>
      <c r="P3094" s="14"/>
      <c r="Q3094" s="13"/>
      <c r="R3094" s="13"/>
      <c r="S3094" s="15"/>
      <c r="T3094" s="16"/>
      <c r="U3094" s="16"/>
      <c r="V3094" s="16"/>
      <c r="W3094" s="16"/>
      <c r="X3094" s="16"/>
      <c r="Y3094" s="11"/>
      <c r="Z3094" s="11"/>
      <c r="AA3094" s="11"/>
      <c r="AB3094" s="11"/>
      <c r="AC3094" s="11"/>
      <c r="AD3094" s="11"/>
    </row>
    <row r="3095">
      <c r="A3095" s="10"/>
      <c r="B3095" s="10"/>
      <c r="C3095" s="10"/>
      <c r="D3095" s="10"/>
      <c r="E3095" s="10"/>
      <c r="F3095" s="11"/>
      <c r="G3095" s="11"/>
      <c r="H3095" s="11"/>
      <c r="I3095" s="11"/>
      <c r="J3095" s="11"/>
      <c r="K3095" s="11"/>
      <c r="L3095" s="12"/>
      <c r="M3095" s="11"/>
      <c r="N3095" s="11"/>
      <c r="O3095" s="13"/>
      <c r="P3095" s="14"/>
      <c r="Q3095" s="13"/>
      <c r="R3095" s="13"/>
      <c r="S3095" s="15"/>
      <c r="T3095" s="16"/>
      <c r="U3095" s="16"/>
      <c r="V3095" s="16"/>
      <c r="W3095" s="16"/>
      <c r="X3095" s="16"/>
      <c r="Y3095" s="11"/>
      <c r="Z3095" s="11"/>
      <c r="AA3095" s="11"/>
      <c r="AB3095" s="11"/>
      <c r="AC3095" s="11"/>
      <c r="AD3095" s="11"/>
    </row>
    <row r="3096">
      <c r="A3096" s="10"/>
      <c r="B3096" s="10"/>
      <c r="C3096" s="10"/>
      <c r="D3096" s="10"/>
      <c r="E3096" s="10"/>
      <c r="F3096" s="11"/>
      <c r="G3096" s="11"/>
      <c r="H3096" s="11"/>
      <c r="I3096" s="11"/>
      <c r="J3096" s="11"/>
      <c r="K3096" s="11"/>
      <c r="L3096" s="12"/>
      <c r="M3096" s="11"/>
      <c r="N3096" s="11"/>
      <c r="O3096" s="13"/>
      <c r="P3096" s="14"/>
      <c r="Q3096" s="13"/>
      <c r="R3096" s="13"/>
      <c r="S3096" s="15"/>
      <c r="T3096" s="16"/>
      <c r="U3096" s="16"/>
      <c r="V3096" s="16"/>
      <c r="W3096" s="16"/>
      <c r="X3096" s="16"/>
      <c r="Y3096" s="11"/>
      <c r="Z3096" s="11"/>
      <c r="AA3096" s="11"/>
      <c r="AB3096" s="11"/>
      <c r="AC3096" s="11"/>
      <c r="AD3096" s="11"/>
    </row>
    <row r="3097">
      <c r="A3097" s="10"/>
      <c r="B3097" s="10"/>
      <c r="C3097" s="10"/>
      <c r="D3097" s="10"/>
      <c r="E3097" s="10"/>
      <c r="F3097" s="11"/>
      <c r="G3097" s="11"/>
      <c r="H3097" s="11"/>
      <c r="I3097" s="11"/>
      <c r="J3097" s="11"/>
      <c r="K3097" s="11"/>
      <c r="L3097" s="12"/>
      <c r="M3097" s="11"/>
      <c r="N3097" s="11"/>
      <c r="O3097" s="13"/>
      <c r="P3097" s="14"/>
      <c r="Q3097" s="13"/>
      <c r="R3097" s="13"/>
      <c r="S3097" s="15"/>
      <c r="T3097" s="16"/>
      <c r="U3097" s="16"/>
      <c r="V3097" s="16"/>
      <c r="W3097" s="16"/>
      <c r="X3097" s="16"/>
      <c r="Y3097" s="11"/>
      <c r="Z3097" s="11"/>
      <c r="AA3097" s="11"/>
      <c r="AB3097" s="11"/>
      <c r="AC3097" s="11"/>
      <c r="AD3097" s="11"/>
    </row>
    <row r="3098">
      <c r="A3098" s="10"/>
      <c r="B3098" s="10"/>
      <c r="C3098" s="10"/>
      <c r="D3098" s="10"/>
      <c r="E3098" s="10"/>
      <c r="F3098" s="11"/>
      <c r="G3098" s="11"/>
      <c r="H3098" s="11"/>
      <c r="I3098" s="11"/>
      <c r="J3098" s="11"/>
      <c r="K3098" s="11"/>
      <c r="L3098" s="12"/>
      <c r="M3098" s="11"/>
      <c r="N3098" s="11"/>
      <c r="O3098" s="13"/>
      <c r="P3098" s="14"/>
      <c r="Q3098" s="13"/>
      <c r="R3098" s="13"/>
      <c r="S3098" s="15"/>
      <c r="T3098" s="16"/>
      <c r="U3098" s="16"/>
      <c r="V3098" s="16"/>
      <c r="W3098" s="16"/>
      <c r="X3098" s="16"/>
      <c r="Y3098" s="11"/>
      <c r="Z3098" s="11"/>
      <c r="AA3098" s="11"/>
      <c r="AB3098" s="11"/>
      <c r="AC3098" s="11"/>
      <c r="AD3098" s="11"/>
    </row>
    <row r="3099">
      <c r="A3099" s="10"/>
      <c r="B3099" s="10"/>
      <c r="C3099" s="10"/>
      <c r="D3099" s="10"/>
      <c r="E3099" s="10"/>
      <c r="F3099" s="11"/>
      <c r="G3099" s="11"/>
      <c r="H3099" s="11"/>
      <c r="I3099" s="11"/>
      <c r="J3099" s="11"/>
      <c r="K3099" s="11"/>
      <c r="L3099" s="12"/>
      <c r="M3099" s="11"/>
      <c r="N3099" s="11"/>
      <c r="O3099" s="13"/>
      <c r="P3099" s="14"/>
      <c r="Q3099" s="13"/>
      <c r="R3099" s="13"/>
      <c r="S3099" s="15"/>
      <c r="T3099" s="16"/>
      <c r="U3099" s="16"/>
      <c r="V3099" s="16"/>
      <c r="W3099" s="16"/>
      <c r="X3099" s="16"/>
      <c r="Y3099" s="11"/>
      <c r="Z3099" s="11"/>
      <c r="AA3099" s="11"/>
      <c r="AB3099" s="11"/>
      <c r="AC3099" s="11"/>
      <c r="AD3099" s="11"/>
    </row>
    <row r="3100">
      <c r="A3100" s="10"/>
      <c r="B3100" s="10"/>
      <c r="C3100" s="10"/>
      <c r="D3100" s="10"/>
      <c r="E3100" s="10"/>
      <c r="F3100" s="11"/>
      <c r="G3100" s="11"/>
      <c r="H3100" s="11"/>
      <c r="I3100" s="11"/>
      <c r="J3100" s="11"/>
      <c r="K3100" s="11"/>
      <c r="L3100" s="12"/>
      <c r="M3100" s="11"/>
      <c r="N3100" s="11"/>
      <c r="O3100" s="13"/>
      <c r="P3100" s="14"/>
      <c r="Q3100" s="13"/>
      <c r="R3100" s="13"/>
      <c r="S3100" s="15"/>
      <c r="T3100" s="16"/>
      <c r="U3100" s="16"/>
      <c r="V3100" s="16"/>
      <c r="W3100" s="16"/>
      <c r="X3100" s="16"/>
      <c r="Y3100" s="11"/>
      <c r="Z3100" s="11"/>
      <c r="AA3100" s="11"/>
      <c r="AB3100" s="11"/>
      <c r="AC3100" s="11"/>
      <c r="AD3100" s="11"/>
    </row>
    <row r="3101">
      <c r="A3101" s="10"/>
      <c r="B3101" s="10"/>
      <c r="C3101" s="10"/>
      <c r="D3101" s="10"/>
      <c r="E3101" s="10"/>
      <c r="F3101" s="11"/>
      <c r="G3101" s="11"/>
      <c r="H3101" s="11"/>
      <c r="I3101" s="11"/>
      <c r="J3101" s="11"/>
      <c r="K3101" s="11"/>
      <c r="L3101" s="12"/>
      <c r="M3101" s="11"/>
      <c r="N3101" s="11"/>
      <c r="O3101" s="13"/>
      <c r="P3101" s="14"/>
      <c r="Q3101" s="13"/>
      <c r="R3101" s="13"/>
      <c r="S3101" s="15"/>
      <c r="T3101" s="16"/>
      <c r="U3101" s="16"/>
      <c r="V3101" s="16"/>
      <c r="W3101" s="16"/>
      <c r="X3101" s="16"/>
      <c r="Y3101" s="11"/>
      <c r="Z3101" s="11"/>
      <c r="AA3101" s="11"/>
      <c r="AB3101" s="11"/>
      <c r="AC3101" s="11"/>
      <c r="AD3101" s="11"/>
    </row>
    <row r="3102">
      <c r="A3102" s="10"/>
      <c r="B3102" s="10"/>
      <c r="C3102" s="10"/>
      <c r="D3102" s="10"/>
      <c r="E3102" s="10"/>
      <c r="F3102" s="11"/>
      <c r="G3102" s="11"/>
      <c r="H3102" s="11"/>
      <c r="I3102" s="11"/>
      <c r="J3102" s="11"/>
      <c r="K3102" s="11"/>
      <c r="L3102" s="12"/>
      <c r="M3102" s="11"/>
      <c r="N3102" s="11"/>
      <c r="O3102" s="13"/>
      <c r="P3102" s="14"/>
      <c r="Q3102" s="13"/>
      <c r="R3102" s="13"/>
      <c r="S3102" s="15"/>
      <c r="T3102" s="16"/>
      <c r="U3102" s="16"/>
      <c r="V3102" s="16"/>
      <c r="W3102" s="16"/>
      <c r="X3102" s="16"/>
      <c r="Y3102" s="11"/>
      <c r="Z3102" s="11"/>
      <c r="AA3102" s="11"/>
      <c r="AB3102" s="11"/>
      <c r="AC3102" s="11"/>
      <c r="AD3102" s="11"/>
    </row>
    <row r="3103">
      <c r="A3103" s="10"/>
      <c r="B3103" s="10"/>
      <c r="C3103" s="10"/>
      <c r="D3103" s="10"/>
      <c r="E3103" s="10"/>
      <c r="F3103" s="11"/>
      <c r="G3103" s="11"/>
      <c r="H3103" s="11"/>
      <c r="I3103" s="11"/>
      <c r="J3103" s="11"/>
      <c r="K3103" s="11"/>
      <c r="L3103" s="12"/>
      <c r="M3103" s="11"/>
      <c r="N3103" s="11"/>
      <c r="O3103" s="13"/>
      <c r="P3103" s="14"/>
      <c r="Q3103" s="13"/>
      <c r="R3103" s="13"/>
      <c r="S3103" s="15"/>
      <c r="T3103" s="16"/>
      <c r="U3103" s="16"/>
      <c r="V3103" s="16"/>
      <c r="W3103" s="16"/>
      <c r="X3103" s="16"/>
      <c r="Y3103" s="11"/>
      <c r="Z3103" s="11"/>
      <c r="AA3103" s="11"/>
      <c r="AB3103" s="11"/>
      <c r="AC3103" s="11"/>
      <c r="AD3103" s="11"/>
    </row>
    <row r="3104">
      <c r="A3104" s="10"/>
      <c r="B3104" s="10"/>
      <c r="C3104" s="10"/>
      <c r="D3104" s="10"/>
      <c r="E3104" s="10"/>
      <c r="F3104" s="11"/>
      <c r="G3104" s="11"/>
      <c r="H3104" s="11"/>
      <c r="I3104" s="11"/>
      <c r="J3104" s="11"/>
      <c r="K3104" s="11"/>
      <c r="L3104" s="12"/>
      <c r="M3104" s="11"/>
      <c r="N3104" s="11"/>
      <c r="O3104" s="13"/>
      <c r="P3104" s="14"/>
      <c r="Q3104" s="13"/>
      <c r="R3104" s="13"/>
      <c r="S3104" s="15"/>
      <c r="T3104" s="16"/>
      <c r="U3104" s="16"/>
      <c r="V3104" s="16"/>
      <c r="W3104" s="16"/>
      <c r="X3104" s="16"/>
      <c r="Y3104" s="11"/>
      <c r="Z3104" s="11"/>
      <c r="AA3104" s="11"/>
      <c r="AB3104" s="11"/>
      <c r="AC3104" s="11"/>
      <c r="AD3104" s="11"/>
    </row>
    <row r="3105">
      <c r="A3105" s="10"/>
      <c r="B3105" s="10"/>
      <c r="C3105" s="10"/>
      <c r="D3105" s="10"/>
      <c r="E3105" s="10"/>
      <c r="F3105" s="11"/>
      <c r="G3105" s="11"/>
      <c r="H3105" s="11"/>
      <c r="I3105" s="11"/>
      <c r="J3105" s="11"/>
      <c r="K3105" s="11"/>
      <c r="L3105" s="12"/>
      <c r="M3105" s="11"/>
      <c r="N3105" s="11"/>
      <c r="O3105" s="13"/>
      <c r="P3105" s="14"/>
      <c r="Q3105" s="13"/>
      <c r="R3105" s="13"/>
      <c r="S3105" s="15"/>
      <c r="T3105" s="16"/>
      <c r="U3105" s="16"/>
      <c r="V3105" s="16"/>
      <c r="W3105" s="16"/>
      <c r="X3105" s="16"/>
      <c r="Y3105" s="11"/>
      <c r="Z3105" s="11"/>
      <c r="AA3105" s="11"/>
      <c r="AB3105" s="11"/>
      <c r="AC3105" s="11"/>
      <c r="AD3105" s="11"/>
    </row>
    <row r="3106">
      <c r="A3106" s="10"/>
      <c r="B3106" s="10"/>
      <c r="C3106" s="10"/>
      <c r="D3106" s="10"/>
      <c r="E3106" s="10"/>
      <c r="F3106" s="11"/>
      <c r="G3106" s="11"/>
      <c r="H3106" s="11"/>
      <c r="I3106" s="11"/>
      <c r="J3106" s="11"/>
      <c r="K3106" s="11"/>
      <c r="L3106" s="12"/>
      <c r="M3106" s="11"/>
      <c r="N3106" s="11"/>
      <c r="O3106" s="13"/>
      <c r="P3106" s="14"/>
      <c r="Q3106" s="13"/>
      <c r="R3106" s="13"/>
      <c r="S3106" s="15"/>
      <c r="T3106" s="16"/>
      <c r="U3106" s="16"/>
      <c r="V3106" s="16"/>
      <c r="W3106" s="16"/>
      <c r="X3106" s="16"/>
      <c r="Y3106" s="11"/>
      <c r="Z3106" s="11"/>
      <c r="AA3106" s="11"/>
      <c r="AB3106" s="11"/>
      <c r="AC3106" s="11"/>
      <c r="AD3106" s="11"/>
    </row>
    <row r="3107">
      <c r="A3107" s="10"/>
      <c r="B3107" s="10"/>
      <c r="C3107" s="10"/>
      <c r="D3107" s="10"/>
      <c r="E3107" s="10"/>
      <c r="F3107" s="11"/>
      <c r="G3107" s="11"/>
      <c r="H3107" s="11"/>
      <c r="I3107" s="11"/>
      <c r="J3107" s="11"/>
      <c r="K3107" s="11"/>
      <c r="L3107" s="12"/>
      <c r="M3107" s="11"/>
      <c r="N3107" s="11"/>
      <c r="O3107" s="13"/>
      <c r="P3107" s="14"/>
      <c r="Q3107" s="13"/>
      <c r="R3107" s="13"/>
      <c r="S3107" s="15"/>
      <c r="T3107" s="16"/>
      <c r="U3107" s="16"/>
      <c r="V3107" s="16"/>
      <c r="W3107" s="16"/>
      <c r="X3107" s="16"/>
      <c r="Y3107" s="11"/>
      <c r="Z3107" s="11"/>
      <c r="AA3107" s="11"/>
      <c r="AB3107" s="11"/>
      <c r="AC3107" s="11"/>
      <c r="AD3107" s="11"/>
    </row>
    <row r="3108">
      <c r="A3108" s="10"/>
      <c r="B3108" s="10"/>
      <c r="C3108" s="10"/>
      <c r="D3108" s="10"/>
      <c r="E3108" s="10"/>
      <c r="F3108" s="11"/>
      <c r="G3108" s="11"/>
      <c r="H3108" s="11"/>
      <c r="I3108" s="11"/>
      <c r="J3108" s="11"/>
      <c r="K3108" s="11"/>
      <c r="L3108" s="12"/>
      <c r="M3108" s="11"/>
      <c r="N3108" s="11"/>
      <c r="O3108" s="13"/>
      <c r="P3108" s="14"/>
      <c r="Q3108" s="13"/>
      <c r="R3108" s="13"/>
      <c r="S3108" s="15"/>
      <c r="T3108" s="16"/>
      <c r="U3108" s="16"/>
      <c r="V3108" s="16"/>
      <c r="W3108" s="16"/>
      <c r="X3108" s="16"/>
      <c r="Y3108" s="11"/>
      <c r="Z3108" s="11"/>
      <c r="AA3108" s="11"/>
      <c r="AB3108" s="11"/>
      <c r="AC3108" s="11"/>
      <c r="AD3108" s="11"/>
    </row>
    <row r="3109">
      <c r="A3109" s="10"/>
      <c r="B3109" s="10"/>
      <c r="C3109" s="10"/>
      <c r="D3109" s="10"/>
      <c r="E3109" s="10"/>
      <c r="F3109" s="11"/>
      <c r="G3109" s="11"/>
      <c r="H3109" s="11"/>
      <c r="I3109" s="11"/>
      <c r="J3109" s="11"/>
      <c r="K3109" s="11"/>
      <c r="L3109" s="12"/>
      <c r="M3109" s="11"/>
      <c r="N3109" s="11"/>
      <c r="O3109" s="13"/>
      <c r="P3109" s="14"/>
      <c r="Q3109" s="13"/>
      <c r="R3109" s="13"/>
      <c r="S3109" s="15"/>
      <c r="T3109" s="16"/>
      <c r="U3109" s="16"/>
      <c r="V3109" s="16"/>
      <c r="W3109" s="16"/>
      <c r="X3109" s="16"/>
      <c r="Y3109" s="11"/>
      <c r="Z3109" s="11"/>
      <c r="AA3109" s="11"/>
      <c r="AB3109" s="11"/>
      <c r="AC3109" s="11"/>
      <c r="AD3109" s="11"/>
    </row>
    <row r="3110">
      <c r="A3110" s="10"/>
      <c r="B3110" s="10"/>
      <c r="C3110" s="10"/>
      <c r="D3110" s="10"/>
      <c r="E3110" s="10"/>
      <c r="F3110" s="11"/>
      <c r="G3110" s="11"/>
      <c r="H3110" s="11"/>
      <c r="I3110" s="11"/>
      <c r="J3110" s="11"/>
      <c r="K3110" s="11"/>
      <c r="L3110" s="12"/>
      <c r="M3110" s="11"/>
      <c r="N3110" s="11"/>
      <c r="O3110" s="13"/>
      <c r="P3110" s="14"/>
      <c r="Q3110" s="13"/>
      <c r="R3110" s="13"/>
      <c r="S3110" s="15"/>
      <c r="T3110" s="16"/>
      <c r="U3110" s="16"/>
      <c r="V3110" s="16"/>
      <c r="W3110" s="16"/>
      <c r="X3110" s="16"/>
      <c r="Y3110" s="11"/>
      <c r="Z3110" s="11"/>
      <c r="AA3110" s="11"/>
      <c r="AB3110" s="11"/>
      <c r="AC3110" s="11"/>
      <c r="AD3110" s="11"/>
    </row>
    <row r="3111">
      <c r="A3111" s="10"/>
      <c r="B3111" s="10"/>
      <c r="C3111" s="10"/>
      <c r="D3111" s="10"/>
      <c r="E3111" s="10"/>
      <c r="F3111" s="11"/>
      <c r="G3111" s="11"/>
      <c r="H3111" s="11"/>
      <c r="I3111" s="11"/>
      <c r="J3111" s="11"/>
      <c r="K3111" s="11"/>
      <c r="L3111" s="12"/>
      <c r="M3111" s="11"/>
      <c r="N3111" s="11"/>
      <c r="O3111" s="13"/>
      <c r="P3111" s="14"/>
      <c r="Q3111" s="13"/>
      <c r="R3111" s="13"/>
      <c r="S3111" s="15"/>
      <c r="T3111" s="16"/>
      <c r="U3111" s="16"/>
      <c r="V3111" s="16"/>
      <c r="W3111" s="16"/>
      <c r="X3111" s="16"/>
      <c r="Y3111" s="11"/>
      <c r="Z3111" s="11"/>
      <c r="AA3111" s="11"/>
      <c r="AB3111" s="11"/>
      <c r="AC3111" s="11"/>
      <c r="AD3111" s="11"/>
    </row>
    <row r="3112">
      <c r="A3112" s="10"/>
      <c r="B3112" s="10"/>
      <c r="C3112" s="10"/>
      <c r="D3112" s="10"/>
      <c r="E3112" s="10"/>
      <c r="F3112" s="11"/>
      <c r="G3112" s="11"/>
      <c r="H3112" s="11"/>
      <c r="I3112" s="11"/>
      <c r="J3112" s="11"/>
      <c r="K3112" s="11"/>
      <c r="L3112" s="12"/>
      <c r="M3112" s="11"/>
      <c r="N3112" s="11"/>
      <c r="O3112" s="13"/>
      <c r="P3112" s="14"/>
      <c r="Q3112" s="13"/>
      <c r="R3112" s="13"/>
      <c r="S3112" s="15"/>
      <c r="T3112" s="16"/>
      <c r="U3112" s="16"/>
      <c r="V3112" s="16"/>
      <c r="W3112" s="16"/>
      <c r="X3112" s="16"/>
      <c r="Y3112" s="11"/>
      <c r="Z3112" s="11"/>
      <c r="AA3112" s="11"/>
      <c r="AB3112" s="11"/>
      <c r="AC3112" s="11"/>
      <c r="AD3112" s="11"/>
    </row>
    <row r="3113">
      <c r="A3113" s="10"/>
      <c r="B3113" s="10"/>
      <c r="C3113" s="10"/>
      <c r="D3113" s="10"/>
      <c r="E3113" s="10"/>
      <c r="F3113" s="11"/>
      <c r="G3113" s="11"/>
      <c r="H3113" s="11"/>
      <c r="I3113" s="11"/>
      <c r="J3113" s="11"/>
      <c r="K3113" s="11"/>
      <c r="L3113" s="12"/>
      <c r="M3113" s="11"/>
      <c r="N3113" s="11"/>
      <c r="O3113" s="13"/>
      <c r="P3113" s="14"/>
      <c r="Q3113" s="13"/>
      <c r="R3113" s="13"/>
      <c r="S3113" s="15"/>
      <c r="T3113" s="16"/>
      <c r="U3113" s="16"/>
      <c r="V3113" s="16"/>
      <c r="W3113" s="16"/>
      <c r="X3113" s="16"/>
      <c r="Y3113" s="11"/>
      <c r="Z3113" s="11"/>
      <c r="AA3113" s="11"/>
      <c r="AB3113" s="11"/>
      <c r="AC3113" s="11"/>
      <c r="AD3113" s="11"/>
    </row>
    <row r="3114">
      <c r="A3114" s="10"/>
      <c r="B3114" s="10"/>
      <c r="C3114" s="10"/>
      <c r="D3114" s="10"/>
      <c r="E3114" s="10"/>
      <c r="F3114" s="11"/>
      <c r="G3114" s="11"/>
      <c r="H3114" s="11"/>
      <c r="I3114" s="11"/>
      <c r="J3114" s="11"/>
      <c r="K3114" s="11"/>
      <c r="L3114" s="12"/>
      <c r="M3114" s="11"/>
      <c r="N3114" s="11"/>
      <c r="O3114" s="13"/>
      <c r="P3114" s="14"/>
      <c r="Q3114" s="13"/>
      <c r="R3114" s="13"/>
      <c r="S3114" s="15"/>
      <c r="T3114" s="16"/>
      <c r="U3114" s="16"/>
      <c r="V3114" s="16"/>
      <c r="W3114" s="16"/>
      <c r="X3114" s="16"/>
      <c r="Y3114" s="11"/>
      <c r="Z3114" s="11"/>
      <c r="AA3114" s="11"/>
      <c r="AB3114" s="11"/>
      <c r="AC3114" s="11"/>
      <c r="AD3114" s="11"/>
    </row>
    <row r="3115">
      <c r="A3115" s="10"/>
      <c r="B3115" s="10"/>
      <c r="C3115" s="10"/>
      <c r="D3115" s="10"/>
      <c r="E3115" s="10"/>
      <c r="F3115" s="11"/>
      <c r="G3115" s="11"/>
      <c r="H3115" s="11"/>
      <c r="I3115" s="11"/>
      <c r="J3115" s="11"/>
      <c r="K3115" s="11"/>
      <c r="L3115" s="12"/>
      <c r="M3115" s="11"/>
      <c r="N3115" s="11"/>
      <c r="O3115" s="13"/>
      <c r="P3115" s="14"/>
      <c r="Q3115" s="13"/>
      <c r="R3115" s="13"/>
      <c r="S3115" s="15"/>
      <c r="T3115" s="16"/>
      <c r="U3115" s="16"/>
      <c r="V3115" s="16"/>
      <c r="W3115" s="16"/>
      <c r="X3115" s="16"/>
      <c r="Y3115" s="11"/>
      <c r="Z3115" s="11"/>
      <c r="AA3115" s="11"/>
      <c r="AB3115" s="11"/>
      <c r="AC3115" s="11"/>
      <c r="AD3115" s="11"/>
    </row>
    <row r="3116">
      <c r="A3116" s="10"/>
      <c r="B3116" s="10"/>
      <c r="C3116" s="10"/>
      <c r="D3116" s="10"/>
      <c r="E3116" s="10"/>
      <c r="F3116" s="11"/>
      <c r="G3116" s="11"/>
      <c r="H3116" s="11"/>
      <c r="I3116" s="11"/>
      <c r="J3116" s="11"/>
      <c r="K3116" s="11"/>
      <c r="L3116" s="12"/>
      <c r="M3116" s="11"/>
      <c r="N3116" s="11"/>
      <c r="O3116" s="13"/>
      <c r="P3116" s="14"/>
      <c r="Q3116" s="13"/>
      <c r="R3116" s="13"/>
      <c r="S3116" s="15"/>
      <c r="T3116" s="16"/>
      <c r="U3116" s="16"/>
      <c r="V3116" s="16"/>
      <c r="W3116" s="16"/>
      <c r="X3116" s="16"/>
      <c r="Y3116" s="11"/>
      <c r="Z3116" s="11"/>
      <c r="AA3116" s="11"/>
      <c r="AB3116" s="11"/>
      <c r="AC3116" s="11"/>
      <c r="AD3116" s="11"/>
    </row>
    <row r="3117">
      <c r="A3117" s="10"/>
      <c r="B3117" s="10"/>
      <c r="C3117" s="10"/>
      <c r="D3117" s="10"/>
      <c r="E3117" s="10"/>
      <c r="F3117" s="11"/>
      <c r="G3117" s="11"/>
      <c r="H3117" s="11"/>
      <c r="I3117" s="11"/>
      <c r="J3117" s="11"/>
      <c r="K3117" s="11"/>
      <c r="L3117" s="12"/>
      <c r="M3117" s="11"/>
      <c r="N3117" s="11"/>
      <c r="O3117" s="13"/>
      <c r="P3117" s="14"/>
      <c r="Q3117" s="13"/>
      <c r="R3117" s="13"/>
      <c r="S3117" s="15"/>
      <c r="T3117" s="16"/>
      <c r="U3117" s="16"/>
      <c r="V3117" s="16"/>
      <c r="W3117" s="16"/>
      <c r="X3117" s="16"/>
      <c r="Y3117" s="11"/>
      <c r="Z3117" s="11"/>
      <c r="AA3117" s="11"/>
      <c r="AB3117" s="11"/>
      <c r="AC3117" s="11"/>
      <c r="AD3117" s="11"/>
    </row>
    <row r="3118">
      <c r="A3118" s="10"/>
      <c r="B3118" s="10"/>
      <c r="C3118" s="10"/>
      <c r="D3118" s="10"/>
      <c r="E3118" s="10"/>
      <c r="F3118" s="11"/>
      <c r="G3118" s="11"/>
      <c r="H3118" s="11"/>
      <c r="I3118" s="11"/>
      <c r="J3118" s="11"/>
      <c r="K3118" s="11"/>
      <c r="L3118" s="12"/>
      <c r="M3118" s="11"/>
      <c r="N3118" s="11"/>
      <c r="O3118" s="13"/>
      <c r="P3118" s="14"/>
      <c r="Q3118" s="13"/>
      <c r="R3118" s="13"/>
      <c r="S3118" s="15"/>
      <c r="T3118" s="16"/>
      <c r="U3118" s="16"/>
      <c r="V3118" s="16"/>
      <c r="W3118" s="16"/>
      <c r="X3118" s="16"/>
      <c r="Y3118" s="11"/>
      <c r="Z3118" s="11"/>
      <c r="AA3118" s="11"/>
      <c r="AB3118" s="11"/>
      <c r="AC3118" s="11"/>
      <c r="AD3118" s="11"/>
    </row>
    <row r="3119">
      <c r="A3119" s="10"/>
      <c r="B3119" s="10"/>
      <c r="C3119" s="10"/>
      <c r="D3119" s="10"/>
      <c r="E3119" s="10"/>
      <c r="F3119" s="11"/>
      <c r="G3119" s="11"/>
      <c r="H3119" s="11"/>
      <c r="I3119" s="11"/>
      <c r="J3119" s="11"/>
      <c r="K3119" s="11"/>
      <c r="L3119" s="12"/>
      <c r="M3119" s="11"/>
      <c r="N3119" s="11"/>
      <c r="O3119" s="13"/>
      <c r="P3119" s="14"/>
      <c r="Q3119" s="13"/>
      <c r="R3119" s="13"/>
      <c r="S3119" s="15"/>
      <c r="T3119" s="16"/>
      <c r="U3119" s="16"/>
      <c r="V3119" s="16"/>
      <c r="W3119" s="16"/>
      <c r="X3119" s="16"/>
      <c r="Y3119" s="11"/>
      <c r="Z3119" s="11"/>
      <c r="AA3119" s="11"/>
      <c r="AB3119" s="11"/>
      <c r="AC3119" s="11"/>
      <c r="AD3119" s="11"/>
    </row>
    <row r="3120">
      <c r="A3120" s="10"/>
      <c r="B3120" s="10"/>
      <c r="C3120" s="10"/>
      <c r="D3120" s="10"/>
      <c r="E3120" s="10"/>
      <c r="F3120" s="11"/>
      <c r="G3120" s="11"/>
      <c r="H3120" s="11"/>
      <c r="I3120" s="11"/>
      <c r="J3120" s="11"/>
      <c r="K3120" s="11"/>
      <c r="L3120" s="12"/>
      <c r="M3120" s="11"/>
      <c r="N3120" s="11"/>
      <c r="O3120" s="13"/>
      <c r="P3120" s="14"/>
      <c r="Q3120" s="13"/>
      <c r="R3120" s="13"/>
      <c r="S3120" s="15"/>
      <c r="T3120" s="16"/>
      <c r="U3120" s="16"/>
      <c r="V3120" s="16"/>
      <c r="W3120" s="16"/>
      <c r="X3120" s="16"/>
      <c r="Y3120" s="11"/>
      <c r="Z3120" s="11"/>
      <c r="AA3120" s="11"/>
      <c r="AB3120" s="11"/>
      <c r="AC3120" s="11"/>
      <c r="AD3120" s="11"/>
    </row>
    <row r="3121">
      <c r="A3121" s="10"/>
      <c r="B3121" s="10"/>
      <c r="C3121" s="10"/>
      <c r="D3121" s="10"/>
      <c r="E3121" s="10"/>
      <c r="F3121" s="11"/>
      <c r="G3121" s="11"/>
      <c r="H3121" s="11"/>
      <c r="I3121" s="11"/>
      <c r="J3121" s="11"/>
      <c r="K3121" s="11"/>
      <c r="L3121" s="12"/>
      <c r="M3121" s="11"/>
      <c r="N3121" s="11"/>
      <c r="O3121" s="13"/>
      <c r="P3121" s="14"/>
      <c r="Q3121" s="13"/>
      <c r="R3121" s="13"/>
      <c r="S3121" s="15"/>
      <c r="T3121" s="16"/>
      <c r="U3121" s="16"/>
      <c r="V3121" s="16"/>
      <c r="W3121" s="16"/>
      <c r="X3121" s="16"/>
      <c r="Y3121" s="11"/>
      <c r="Z3121" s="11"/>
      <c r="AA3121" s="11"/>
      <c r="AB3121" s="11"/>
      <c r="AC3121" s="11"/>
      <c r="AD3121" s="11"/>
    </row>
    <row r="3122">
      <c r="A3122" s="10"/>
      <c r="B3122" s="10"/>
      <c r="C3122" s="10"/>
      <c r="D3122" s="10"/>
      <c r="E3122" s="10"/>
      <c r="F3122" s="11"/>
      <c r="G3122" s="11"/>
      <c r="H3122" s="11"/>
      <c r="I3122" s="11"/>
      <c r="J3122" s="11"/>
      <c r="K3122" s="11"/>
      <c r="L3122" s="12"/>
      <c r="M3122" s="11"/>
      <c r="N3122" s="11"/>
      <c r="O3122" s="13"/>
      <c r="P3122" s="14"/>
      <c r="Q3122" s="13"/>
      <c r="R3122" s="13"/>
      <c r="S3122" s="15"/>
      <c r="T3122" s="16"/>
      <c r="U3122" s="16"/>
      <c r="V3122" s="16"/>
      <c r="W3122" s="16"/>
      <c r="X3122" s="16"/>
      <c r="Y3122" s="11"/>
      <c r="Z3122" s="11"/>
      <c r="AA3122" s="11"/>
      <c r="AB3122" s="11"/>
      <c r="AC3122" s="11"/>
      <c r="AD3122" s="11"/>
    </row>
    <row r="3123">
      <c r="A3123" s="10"/>
      <c r="B3123" s="10"/>
      <c r="C3123" s="10"/>
      <c r="D3123" s="10"/>
      <c r="E3123" s="10"/>
      <c r="F3123" s="11"/>
      <c r="G3123" s="11"/>
      <c r="H3123" s="11"/>
      <c r="I3123" s="11"/>
      <c r="J3123" s="11"/>
      <c r="K3123" s="11"/>
      <c r="L3123" s="12"/>
      <c r="M3123" s="11"/>
      <c r="N3123" s="11"/>
      <c r="O3123" s="13"/>
      <c r="P3123" s="14"/>
      <c r="Q3123" s="13"/>
      <c r="R3123" s="13"/>
      <c r="S3123" s="15"/>
      <c r="T3123" s="16"/>
      <c r="U3123" s="16"/>
      <c r="V3123" s="16"/>
      <c r="W3123" s="16"/>
      <c r="X3123" s="16"/>
      <c r="Y3123" s="11"/>
      <c r="Z3123" s="11"/>
      <c r="AA3123" s="11"/>
      <c r="AB3123" s="11"/>
      <c r="AC3123" s="11"/>
      <c r="AD3123" s="11"/>
    </row>
    <row r="3124">
      <c r="A3124" s="10"/>
      <c r="B3124" s="10"/>
      <c r="C3124" s="10"/>
      <c r="D3124" s="10"/>
      <c r="E3124" s="10"/>
      <c r="F3124" s="11"/>
      <c r="G3124" s="11"/>
      <c r="H3124" s="11"/>
      <c r="I3124" s="11"/>
      <c r="J3124" s="11"/>
      <c r="K3124" s="11"/>
      <c r="L3124" s="12"/>
      <c r="M3124" s="11"/>
      <c r="N3124" s="11"/>
      <c r="O3124" s="13"/>
      <c r="P3124" s="14"/>
      <c r="Q3124" s="13"/>
      <c r="R3124" s="13"/>
      <c r="S3124" s="15"/>
      <c r="T3124" s="16"/>
      <c r="U3124" s="16"/>
      <c r="V3124" s="16"/>
      <c r="W3124" s="16"/>
      <c r="X3124" s="16"/>
      <c r="Y3124" s="11"/>
      <c r="Z3124" s="11"/>
      <c r="AA3124" s="11"/>
      <c r="AB3124" s="11"/>
      <c r="AC3124" s="11"/>
      <c r="AD3124" s="11"/>
    </row>
    <row r="3125">
      <c r="A3125" s="10"/>
      <c r="B3125" s="10"/>
      <c r="C3125" s="10"/>
      <c r="D3125" s="10"/>
      <c r="E3125" s="10"/>
      <c r="F3125" s="11"/>
      <c r="G3125" s="11"/>
      <c r="H3125" s="11"/>
      <c r="I3125" s="11"/>
      <c r="J3125" s="11"/>
      <c r="K3125" s="11"/>
      <c r="L3125" s="12"/>
      <c r="M3125" s="11"/>
      <c r="N3125" s="11"/>
      <c r="O3125" s="13"/>
      <c r="P3125" s="14"/>
      <c r="Q3125" s="13"/>
      <c r="R3125" s="13"/>
      <c r="S3125" s="15"/>
      <c r="T3125" s="16"/>
      <c r="U3125" s="16"/>
      <c r="V3125" s="16"/>
      <c r="W3125" s="16"/>
      <c r="X3125" s="16"/>
      <c r="Y3125" s="11"/>
      <c r="Z3125" s="11"/>
      <c r="AA3125" s="11"/>
      <c r="AB3125" s="11"/>
      <c r="AC3125" s="11"/>
      <c r="AD3125" s="11"/>
    </row>
    <row r="3126">
      <c r="A3126" s="10"/>
      <c r="B3126" s="10"/>
      <c r="C3126" s="10"/>
      <c r="D3126" s="10"/>
      <c r="E3126" s="10"/>
      <c r="F3126" s="11"/>
      <c r="G3126" s="11"/>
      <c r="H3126" s="11"/>
      <c r="I3126" s="11"/>
      <c r="J3126" s="11"/>
      <c r="K3126" s="11"/>
      <c r="L3126" s="12"/>
      <c r="M3126" s="11"/>
      <c r="N3126" s="11"/>
      <c r="O3126" s="13"/>
      <c r="P3126" s="14"/>
      <c r="Q3126" s="13"/>
      <c r="R3126" s="13"/>
      <c r="S3126" s="15"/>
      <c r="T3126" s="16"/>
      <c r="U3126" s="16"/>
      <c r="V3126" s="16"/>
      <c r="W3126" s="16"/>
      <c r="X3126" s="16"/>
      <c r="Y3126" s="11"/>
      <c r="Z3126" s="11"/>
      <c r="AA3126" s="11"/>
      <c r="AB3126" s="11"/>
      <c r="AC3126" s="11"/>
      <c r="AD3126" s="11"/>
    </row>
    <row r="3127">
      <c r="A3127" s="10"/>
      <c r="B3127" s="10"/>
      <c r="C3127" s="10"/>
      <c r="D3127" s="10"/>
      <c r="E3127" s="10"/>
      <c r="F3127" s="11"/>
      <c r="G3127" s="11"/>
      <c r="H3127" s="11"/>
      <c r="I3127" s="11"/>
      <c r="J3127" s="11"/>
      <c r="K3127" s="11"/>
      <c r="L3127" s="12"/>
      <c r="M3127" s="11"/>
      <c r="N3127" s="11"/>
      <c r="O3127" s="13"/>
      <c r="P3127" s="14"/>
      <c r="Q3127" s="13"/>
      <c r="R3127" s="13"/>
      <c r="S3127" s="15"/>
      <c r="T3127" s="16"/>
      <c r="U3127" s="16"/>
      <c r="V3127" s="16"/>
      <c r="W3127" s="16"/>
      <c r="X3127" s="16"/>
      <c r="Y3127" s="11"/>
      <c r="Z3127" s="11"/>
      <c r="AA3127" s="11"/>
      <c r="AB3127" s="11"/>
      <c r="AC3127" s="11"/>
      <c r="AD3127" s="11"/>
    </row>
    <row r="3128">
      <c r="A3128" s="10"/>
      <c r="B3128" s="10"/>
      <c r="C3128" s="10"/>
      <c r="D3128" s="10"/>
      <c r="E3128" s="10"/>
      <c r="F3128" s="11"/>
      <c r="G3128" s="11"/>
      <c r="H3128" s="11"/>
      <c r="I3128" s="11"/>
      <c r="J3128" s="11"/>
      <c r="K3128" s="11"/>
      <c r="L3128" s="12"/>
      <c r="M3128" s="11"/>
      <c r="N3128" s="11"/>
      <c r="O3128" s="13"/>
      <c r="P3128" s="14"/>
      <c r="Q3128" s="13"/>
      <c r="R3128" s="13"/>
      <c r="S3128" s="15"/>
      <c r="T3128" s="16"/>
      <c r="U3128" s="16"/>
      <c r="V3128" s="16"/>
      <c r="W3128" s="16"/>
      <c r="X3128" s="16"/>
      <c r="Y3128" s="11"/>
      <c r="Z3128" s="11"/>
      <c r="AA3128" s="11"/>
      <c r="AB3128" s="11"/>
      <c r="AC3128" s="11"/>
      <c r="AD3128" s="11"/>
    </row>
    <row r="3129">
      <c r="A3129" s="10"/>
      <c r="B3129" s="10"/>
      <c r="C3129" s="10"/>
      <c r="D3129" s="10"/>
      <c r="E3129" s="10"/>
      <c r="F3129" s="11"/>
      <c r="G3129" s="11"/>
      <c r="H3129" s="11"/>
      <c r="I3129" s="11"/>
      <c r="J3129" s="11"/>
      <c r="K3129" s="11"/>
      <c r="L3129" s="12"/>
      <c r="M3129" s="11"/>
      <c r="N3129" s="11"/>
      <c r="O3129" s="13"/>
      <c r="P3129" s="14"/>
      <c r="Q3129" s="13"/>
      <c r="R3129" s="13"/>
      <c r="S3129" s="15"/>
      <c r="T3129" s="16"/>
      <c r="U3129" s="16"/>
      <c r="V3129" s="16"/>
      <c r="W3129" s="16"/>
      <c r="X3129" s="16"/>
      <c r="Y3129" s="11"/>
      <c r="Z3129" s="11"/>
      <c r="AA3129" s="11"/>
      <c r="AB3129" s="11"/>
      <c r="AC3129" s="11"/>
      <c r="AD3129" s="11"/>
    </row>
    <row r="3130">
      <c r="A3130" s="10"/>
      <c r="B3130" s="10"/>
      <c r="C3130" s="10"/>
      <c r="D3130" s="10"/>
      <c r="E3130" s="10"/>
      <c r="F3130" s="11"/>
      <c r="G3130" s="11"/>
      <c r="H3130" s="11"/>
      <c r="I3130" s="11"/>
      <c r="J3130" s="11"/>
      <c r="K3130" s="11"/>
      <c r="L3130" s="12"/>
      <c r="M3130" s="11"/>
      <c r="N3130" s="11"/>
      <c r="O3130" s="13"/>
      <c r="P3130" s="14"/>
      <c r="Q3130" s="13"/>
      <c r="R3130" s="13"/>
      <c r="S3130" s="15"/>
      <c r="T3130" s="16"/>
      <c r="U3130" s="16"/>
      <c r="V3130" s="16"/>
      <c r="W3130" s="16"/>
      <c r="X3130" s="16"/>
      <c r="Y3130" s="11"/>
      <c r="Z3130" s="11"/>
      <c r="AA3130" s="11"/>
      <c r="AB3130" s="11"/>
      <c r="AC3130" s="11"/>
      <c r="AD3130" s="11"/>
    </row>
    <row r="3131">
      <c r="A3131" s="10"/>
      <c r="B3131" s="10"/>
      <c r="C3131" s="10"/>
      <c r="D3131" s="10"/>
      <c r="E3131" s="10"/>
      <c r="F3131" s="11"/>
      <c r="G3131" s="11"/>
      <c r="H3131" s="11"/>
      <c r="I3131" s="11"/>
      <c r="J3131" s="11"/>
      <c r="K3131" s="11"/>
      <c r="L3131" s="12"/>
      <c r="M3131" s="11"/>
      <c r="N3131" s="11"/>
      <c r="O3131" s="13"/>
      <c r="P3131" s="14"/>
      <c r="Q3131" s="13"/>
      <c r="R3131" s="13"/>
      <c r="S3131" s="15"/>
      <c r="T3131" s="16"/>
      <c r="U3131" s="16"/>
      <c r="V3131" s="16"/>
      <c r="W3131" s="16"/>
      <c r="X3131" s="16"/>
      <c r="Y3131" s="11"/>
      <c r="Z3131" s="11"/>
      <c r="AA3131" s="11"/>
      <c r="AB3131" s="11"/>
      <c r="AC3131" s="11"/>
      <c r="AD3131" s="11"/>
    </row>
    <row r="3132">
      <c r="A3132" s="10"/>
      <c r="B3132" s="10"/>
      <c r="C3132" s="10"/>
      <c r="D3132" s="10"/>
      <c r="E3132" s="10"/>
      <c r="F3132" s="11"/>
      <c r="G3132" s="11"/>
      <c r="H3132" s="11"/>
      <c r="I3132" s="11"/>
      <c r="J3132" s="11"/>
      <c r="K3132" s="11"/>
      <c r="L3132" s="12"/>
      <c r="M3132" s="11"/>
      <c r="N3132" s="11"/>
      <c r="O3132" s="13"/>
      <c r="P3132" s="14"/>
      <c r="Q3132" s="13"/>
      <c r="R3132" s="13"/>
      <c r="S3132" s="15"/>
      <c r="T3132" s="16"/>
      <c r="U3132" s="16"/>
      <c r="V3132" s="16"/>
      <c r="W3132" s="16"/>
      <c r="X3132" s="16"/>
      <c r="Y3132" s="11"/>
      <c r="Z3132" s="11"/>
      <c r="AA3132" s="11"/>
      <c r="AB3132" s="11"/>
      <c r="AC3132" s="11"/>
      <c r="AD3132" s="11"/>
    </row>
    <row r="3133">
      <c r="A3133" s="10"/>
      <c r="B3133" s="10"/>
      <c r="C3133" s="10"/>
      <c r="D3133" s="10"/>
      <c r="E3133" s="10"/>
      <c r="F3133" s="11"/>
      <c r="G3133" s="11"/>
      <c r="H3133" s="11"/>
      <c r="I3133" s="11"/>
      <c r="J3133" s="11"/>
      <c r="K3133" s="11"/>
      <c r="L3133" s="12"/>
      <c r="M3133" s="11"/>
      <c r="N3133" s="11"/>
      <c r="O3133" s="13"/>
      <c r="P3133" s="14"/>
      <c r="Q3133" s="13"/>
      <c r="R3133" s="13"/>
      <c r="S3133" s="15"/>
      <c r="T3133" s="16"/>
      <c r="U3133" s="16"/>
      <c r="V3133" s="16"/>
      <c r="W3133" s="16"/>
      <c r="X3133" s="16"/>
      <c r="Y3133" s="11"/>
      <c r="Z3133" s="11"/>
      <c r="AA3133" s="11"/>
      <c r="AB3133" s="11"/>
      <c r="AC3133" s="11"/>
      <c r="AD3133" s="11"/>
    </row>
    <row r="3134">
      <c r="A3134" s="10"/>
      <c r="B3134" s="10"/>
      <c r="C3134" s="10"/>
      <c r="D3134" s="10"/>
      <c r="E3134" s="10"/>
      <c r="F3134" s="11"/>
      <c r="G3134" s="11"/>
      <c r="H3134" s="11"/>
      <c r="I3134" s="11"/>
      <c r="J3134" s="11"/>
      <c r="K3134" s="11"/>
      <c r="L3134" s="12"/>
      <c r="M3134" s="11"/>
      <c r="N3134" s="11"/>
      <c r="O3134" s="13"/>
      <c r="P3134" s="14"/>
      <c r="Q3134" s="13"/>
      <c r="R3134" s="13"/>
      <c r="S3134" s="15"/>
      <c r="T3134" s="16"/>
      <c r="U3134" s="16"/>
      <c r="V3134" s="16"/>
      <c r="W3134" s="16"/>
      <c r="X3134" s="16"/>
      <c r="Y3134" s="11"/>
      <c r="Z3134" s="11"/>
      <c r="AA3134" s="11"/>
      <c r="AB3134" s="11"/>
      <c r="AC3134" s="11"/>
      <c r="AD3134" s="11"/>
    </row>
    <row r="3135">
      <c r="A3135" s="10"/>
      <c r="B3135" s="10"/>
      <c r="C3135" s="10"/>
      <c r="D3135" s="10"/>
      <c r="E3135" s="10"/>
      <c r="F3135" s="11"/>
      <c r="G3135" s="11"/>
      <c r="H3135" s="11"/>
      <c r="I3135" s="11"/>
      <c r="J3135" s="11"/>
      <c r="K3135" s="11"/>
      <c r="L3135" s="12"/>
      <c r="M3135" s="11"/>
      <c r="N3135" s="11"/>
      <c r="O3135" s="13"/>
      <c r="P3135" s="14"/>
      <c r="Q3135" s="13"/>
      <c r="R3135" s="13"/>
      <c r="S3135" s="15"/>
      <c r="T3135" s="16"/>
      <c r="U3135" s="16"/>
      <c r="V3135" s="16"/>
      <c r="W3135" s="16"/>
      <c r="X3135" s="16"/>
      <c r="Y3135" s="11"/>
      <c r="Z3135" s="11"/>
      <c r="AA3135" s="11"/>
      <c r="AB3135" s="11"/>
      <c r="AC3135" s="11"/>
      <c r="AD3135" s="11"/>
    </row>
    <row r="3136">
      <c r="A3136" s="10"/>
      <c r="B3136" s="10"/>
      <c r="C3136" s="10"/>
      <c r="D3136" s="10"/>
      <c r="E3136" s="10"/>
      <c r="F3136" s="11"/>
      <c r="G3136" s="11"/>
      <c r="H3136" s="11"/>
      <c r="I3136" s="11"/>
      <c r="J3136" s="11"/>
      <c r="K3136" s="11"/>
      <c r="L3136" s="12"/>
      <c r="M3136" s="11"/>
      <c r="N3136" s="11"/>
      <c r="O3136" s="13"/>
      <c r="P3136" s="14"/>
      <c r="Q3136" s="13"/>
      <c r="R3136" s="13"/>
      <c r="S3136" s="15"/>
      <c r="T3136" s="16"/>
      <c r="U3136" s="16"/>
      <c r="V3136" s="16"/>
      <c r="W3136" s="16"/>
      <c r="X3136" s="16"/>
      <c r="Y3136" s="11"/>
      <c r="Z3136" s="11"/>
      <c r="AA3136" s="11"/>
      <c r="AB3136" s="11"/>
      <c r="AC3136" s="11"/>
      <c r="AD3136" s="11"/>
    </row>
    <row r="3137">
      <c r="A3137" s="10"/>
      <c r="B3137" s="10"/>
      <c r="C3137" s="10"/>
      <c r="D3137" s="10"/>
      <c r="E3137" s="10"/>
      <c r="F3137" s="11"/>
      <c r="G3137" s="11"/>
      <c r="H3137" s="11"/>
      <c r="I3137" s="11"/>
      <c r="J3137" s="11"/>
      <c r="K3137" s="11"/>
      <c r="L3137" s="12"/>
      <c r="M3137" s="11"/>
      <c r="N3137" s="11"/>
      <c r="O3137" s="13"/>
      <c r="P3137" s="14"/>
      <c r="Q3137" s="13"/>
      <c r="R3137" s="13"/>
      <c r="S3137" s="15"/>
      <c r="T3137" s="16"/>
      <c r="U3137" s="16"/>
      <c r="V3137" s="16"/>
      <c r="W3137" s="16"/>
      <c r="X3137" s="16"/>
      <c r="Y3137" s="11"/>
      <c r="Z3137" s="11"/>
      <c r="AA3137" s="11"/>
      <c r="AB3137" s="11"/>
      <c r="AC3137" s="11"/>
      <c r="AD3137" s="11"/>
    </row>
    <row r="3138">
      <c r="A3138" s="10"/>
      <c r="B3138" s="10"/>
      <c r="C3138" s="10"/>
      <c r="D3138" s="10"/>
      <c r="E3138" s="10"/>
      <c r="F3138" s="11"/>
      <c r="G3138" s="11"/>
      <c r="H3138" s="11"/>
      <c r="I3138" s="11"/>
      <c r="J3138" s="11"/>
      <c r="K3138" s="11"/>
      <c r="L3138" s="12"/>
      <c r="M3138" s="11"/>
      <c r="N3138" s="11"/>
      <c r="O3138" s="13"/>
      <c r="P3138" s="14"/>
      <c r="Q3138" s="13"/>
      <c r="R3138" s="13"/>
      <c r="S3138" s="15"/>
      <c r="T3138" s="16"/>
      <c r="U3138" s="16"/>
      <c r="V3138" s="16"/>
      <c r="W3138" s="16"/>
      <c r="X3138" s="16"/>
      <c r="Y3138" s="11"/>
      <c r="Z3138" s="11"/>
      <c r="AA3138" s="11"/>
      <c r="AB3138" s="11"/>
      <c r="AC3138" s="11"/>
      <c r="AD3138" s="11"/>
    </row>
    <row r="3139">
      <c r="A3139" s="10"/>
      <c r="B3139" s="10"/>
      <c r="C3139" s="10"/>
      <c r="D3139" s="10"/>
      <c r="E3139" s="10"/>
      <c r="F3139" s="11"/>
      <c r="G3139" s="11"/>
      <c r="H3139" s="11"/>
      <c r="I3139" s="11"/>
      <c r="J3139" s="11"/>
      <c r="K3139" s="11"/>
      <c r="L3139" s="12"/>
      <c r="M3139" s="11"/>
      <c r="N3139" s="11"/>
      <c r="O3139" s="13"/>
      <c r="P3139" s="14"/>
      <c r="Q3139" s="13"/>
      <c r="R3139" s="13"/>
      <c r="S3139" s="15"/>
      <c r="T3139" s="16"/>
      <c r="U3139" s="16"/>
      <c r="V3139" s="16"/>
      <c r="W3139" s="16"/>
      <c r="X3139" s="16"/>
      <c r="Y3139" s="11"/>
      <c r="Z3139" s="11"/>
      <c r="AA3139" s="11"/>
      <c r="AB3139" s="11"/>
      <c r="AC3139" s="11"/>
      <c r="AD3139" s="11"/>
    </row>
    <row r="3140">
      <c r="A3140" s="10"/>
      <c r="B3140" s="10"/>
      <c r="C3140" s="10"/>
      <c r="D3140" s="10"/>
      <c r="E3140" s="10"/>
      <c r="F3140" s="11"/>
      <c r="G3140" s="11"/>
      <c r="H3140" s="11"/>
      <c r="I3140" s="11"/>
      <c r="J3140" s="11"/>
      <c r="K3140" s="11"/>
      <c r="L3140" s="12"/>
      <c r="M3140" s="11"/>
      <c r="N3140" s="11"/>
      <c r="O3140" s="13"/>
      <c r="P3140" s="14"/>
      <c r="Q3140" s="13"/>
      <c r="R3140" s="13"/>
      <c r="S3140" s="15"/>
      <c r="T3140" s="16"/>
      <c r="U3140" s="16"/>
      <c r="V3140" s="16"/>
      <c r="W3140" s="16"/>
      <c r="X3140" s="16"/>
      <c r="Y3140" s="11"/>
      <c r="Z3140" s="11"/>
      <c r="AA3140" s="11"/>
      <c r="AB3140" s="11"/>
      <c r="AC3140" s="11"/>
      <c r="AD3140" s="11"/>
    </row>
    <row r="3141">
      <c r="A3141" s="10"/>
      <c r="B3141" s="10"/>
      <c r="C3141" s="10"/>
      <c r="D3141" s="10"/>
      <c r="E3141" s="10"/>
      <c r="F3141" s="11"/>
      <c r="G3141" s="11"/>
      <c r="H3141" s="11"/>
      <c r="I3141" s="11"/>
      <c r="J3141" s="11"/>
      <c r="K3141" s="11"/>
      <c r="L3141" s="12"/>
      <c r="M3141" s="11"/>
      <c r="N3141" s="11"/>
      <c r="O3141" s="13"/>
      <c r="P3141" s="14"/>
      <c r="Q3141" s="13"/>
      <c r="R3141" s="13"/>
      <c r="S3141" s="15"/>
      <c r="T3141" s="16"/>
      <c r="U3141" s="16"/>
      <c r="V3141" s="16"/>
      <c r="W3141" s="16"/>
      <c r="X3141" s="16"/>
      <c r="Y3141" s="11"/>
      <c r="Z3141" s="11"/>
      <c r="AA3141" s="11"/>
      <c r="AB3141" s="11"/>
      <c r="AC3141" s="11"/>
      <c r="AD3141" s="11"/>
    </row>
    <row r="3142">
      <c r="A3142" s="10"/>
      <c r="B3142" s="10"/>
      <c r="C3142" s="10"/>
      <c r="D3142" s="10"/>
      <c r="E3142" s="10"/>
      <c r="F3142" s="11"/>
      <c r="G3142" s="11"/>
      <c r="H3142" s="11"/>
      <c r="I3142" s="11"/>
      <c r="J3142" s="11"/>
      <c r="K3142" s="11"/>
      <c r="L3142" s="12"/>
      <c r="M3142" s="11"/>
      <c r="N3142" s="11"/>
      <c r="O3142" s="13"/>
      <c r="P3142" s="14"/>
      <c r="Q3142" s="13"/>
      <c r="R3142" s="13"/>
      <c r="S3142" s="15"/>
      <c r="T3142" s="16"/>
      <c r="U3142" s="16"/>
      <c r="V3142" s="16"/>
      <c r="W3142" s="16"/>
      <c r="X3142" s="16"/>
      <c r="Y3142" s="11"/>
      <c r="Z3142" s="11"/>
      <c r="AA3142" s="11"/>
      <c r="AB3142" s="11"/>
      <c r="AC3142" s="11"/>
      <c r="AD3142" s="11"/>
    </row>
    <row r="3143">
      <c r="A3143" s="10"/>
      <c r="B3143" s="10"/>
      <c r="C3143" s="10"/>
      <c r="D3143" s="10"/>
      <c r="E3143" s="10"/>
      <c r="F3143" s="11"/>
      <c r="G3143" s="11"/>
      <c r="H3143" s="11"/>
      <c r="I3143" s="11"/>
      <c r="J3143" s="11"/>
      <c r="K3143" s="11"/>
      <c r="L3143" s="12"/>
      <c r="M3143" s="11"/>
      <c r="N3143" s="11"/>
      <c r="O3143" s="13"/>
      <c r="P3143" s="14"/>
      <c r="Q3143" s="13"/>
      <c r="R3143" s="13"/>
      <c r="S3143" s="15"/>
      <c r="T3143" s="16"/>
      <c r="U3143" s="16"/>
      <c r="V3143" s="16"/>
      <c r="W3143" s="16"/>
      <c r="X3143" s="16"/>
      <c r="Y3143" s="11"/>
      <c r="Z3143" s="11"/>
      <c r="AA3143" s="11"/>
      <c r="AB3143" s="11"/>
      <c r="AC3143" s="11"/>
      <c r="AD3143" s="11"/>
    </row>
    <row r="3144">
      <c r="A3144" s="10"/>
      <c r="B3144" s="10"/>
      <c r="C3144" s="10"/>
      <c r="D3144" s="10"/>
      <c r="E3144" s="10"/>
      <c r="F3144" s="11"/>
      <c r="G3144" s="11"/>
      <c r="H3144" s="11"/>
      <c r="I3144" s="11"/>
      <c r="J3144" s="11"/>
      <c r="K3144" s="11"/>
      <c r="L3144" s="12"/>
      <c r="M3144" s="11"/>
      <c r="N3144" s="11"/>
      <c r="O3144" s="13"/>
      <c r="P3144" s="14"/>
      <c r="Q3144" s="13"/>
      <c r="R3144" s="13"/>
      <c r="S3144" s="15"/>
      <c r="T3144" s="16"/>
      <c r="U3144" s="16"/>
      <c r="V3144" s="16"/>
      <c r="W3144" s="16"/>
      <c r="X3144" s="16"/>
      <c r="Y3144" s="11"/>
      <c r="Z3144" s="11"/>
      <c r="AA3144" s="11"/>
      <c r="AB3144" s="11"/>
      <c r="AC3144" s="11"/>
      <c r="AD3144" s="11"/>
    </row>
    <row r="3145">
      <c r="A3145" s="10"/>
      <c r="B3145" s="10"/>
      <c r="C3145" s="10"/>
      <c r="D3145" s="10"/>
      <c r="E3145" s="10"/>
      <c r="F3145" s="11"/>
      <c r="G3145" s="11"/>
      <c r="H3145" s="11"/>
      <c r="I3145" s="11"/>
      <c r="J3145" s="11"/>
      <c r="K3145" s="11"/>
      <c r="L3145" s="12"/>
      <c r="M3145" s="11"/>
      <c r="N3145" s="11"/>
      <c r="O3145" s="13"/>
      <c r="P3145" s="14"/>
      <c r="Q3145" s="13"/>
      <c r="R3145" s="13"/>
      <c r="S3145" s="15"/>
      <c r="T3145" s="16"/>
      <c r="U3145" s="16"/>
      <c r="V3145" s="16"/>
      <c r="W3145" s="16"/>
      <c r="X3145" s="16"/>
      <c r="Y3145" s="11"/>
      <c r="Z3145" s="11"/>
      <c r="AA3145" s="11"/>
      <c r="AB3145" s="11"/>
      <c r="AC3145" s="11"/>
      <c r="AD3145" s="11"/>
    </row>
    <row r="3146">
      <c r="A3146" s="10"/>
      <c r="B3146" s="10"/>
      <c r="C3146" s="10"/>
      <c r="D3146" s="10"/>
      <c r="E3146" s="10"/>
      <c r="F3146" s="11"/>
      <c r="G3146" s="11"/>
      <c r="H3146" s="11"/>
      <c r="I3146" s="11"/>
      <c r="J3146" s="11"/>
      <c r="K3146" s="11"/>
      <c r="L3146" s="12"/>
      <c r="M3146" s="11"/>
      <c r="N3146" s="11"/>
      <c r="O3146" s="13"/>
      <c r="P3146" s="14"/>
      <c r="Q3146" s="13"/>
      <c r="R3146" s="13"/>
      <c r="S3146" s="15"/>
      <c r="T3146" s="16"/>
      <c r="U3146" s="16"/>
      <c r="V3146" s="16"/>
      <c r="W3146" s="16"/>
      <c r="X3146" s="16"/>
      <c r="Y3146" s="11"/>
      <c r="Z3146" s="11"/>
      <c r="AA3146" s="11"/>
      <c r="AB3146" s="11"/>
      <c r="AC3146" s="11"/>
      <c r="AD3146" s="11"/>
    </row>
    <row r="3147">
      <c r="A3147" s="10"/>
      <c r="B3147" s="10"/>
      <c r="C3147" s="10"/>
      <c r="D3147" s="10"/>
      <c r="E3147" s="10"/>
      <c r="F3147" s="11"/>
      <c r="G3147" s="11"/>
      <c r="H3147" s="11"/>
      <c r="I3147" s="11"/>
      <c r="J3147" s="11"/>
      <c r="K3147" s="11"/>
      <c r="L3147" s="12"/>
      <c r="M3147" s="11"/>
      <c r="N3147" s="11"/>
      <c r="O3147" s="13"/>
      <c r="P3147" s="14"/>
      <c r="Q3147" s="13"/>
      <c r="R3147" s="13"/>
      <c r="S3147" s="15"/>
      <c r="T3147" s="16"/>
      <c r="U3147" s="16"/>
      <c r="V3147" s="16"/>
      <c r="W3147" s="16"/>
      <c r="X3147" s="16"/>
      <c r="Y3147" s="11"/>
      <c r="Z3147" s="11"/>
      <c r="AA3147" s="11"/>
      <c r="AB3147" s="11"/>
      <c r="AC3147" s="11"/>
      <c r="AD3147" s="11"/>
    </row>
    <row r="3148">
      <c r="A3148" s="10"/>
      <c r="B3148" s="10"/>
      <c r="C3148" s="10"/>
      <c r="D3148" s="10"/>
      <c r="E3148" s="10"/>
      <c r="F3148" s="11"/>
      <c r="G3148" s="11"/>
      <c r="H3148" s="11"/>
      <c r="I3148" s="11"/>
      <c r="J3148" s="11"/>
      <c r="K3148" s="11"/>
      <c r="L3148" s="12"/>
      <c r="M3148" s="11"/>
      <c r="N3148" s="11"/>
      <c r="O3148" s="13"/>
      <c r="P3148" s="14"/>
      <c r="Q3148" s="13"/>
      <c r="R3148" s="13"/>
      <c r="S3148" s="15"/>
      <c r="T3148" s="16"/>
      <c r="U3148" s="16"/>
      <c r="V3148" s="16"/>
      <c r="W3148" s="16"/>
      <c r="X3148" s="16"/>
      <c r="Y3148" s="11"/>
      <c r="Z3148" s="11"/>
      <c r="AA3148" s="11"/>
      <c r="AB3148" s="11"/>
      <c r="AC3148" s="11"/>
      <c r="AD3148" s="11"/>
    </row>
    <row r="3149">
      <c r="A3149" s="10"/>
      <c r="B3149" s="10"/>
      <c r="C3149" s="10"/>
      <c r="D3149" s="10"/>
      <c r="E3149" s="10"/>
      <c r="F3149" s="11"/>
      <c r="G3149" s="11"/>
      <c r="H3149" s="11"/>
      <c r="I3149" s="11"/>
      <c r="J3149" s="11"/>
      <c r="K3149" s="11"/>
      <c r="L3149" s="12"/>
      <c r="M3149" s="11"/>
      <c r="N3149" s="11"/>
      <c r="O3149" s="13"/>
      <c r="P3149" s="14"/>
      <c r="Q3149" s="13"/>
      <c r="R3149" s="13"/>
      <c r="S3149" s="15"/>
      <c r="T3149" s="16"/>
      <c r="U3149" s="16"/>
      <c r="V3149" s="16"/>
      <c r="W3149" s="16"/>
      <c r="X3149" s="16"/>
      <c r="Y3149" s="11"/>
      <c r="Z3149" s="11"/>
      <c r="AA3149" s="11"/>
      <c r="AB3149" s="11"/>
      <c r="AC3149" s="11"/>
      <c r="AD3149" s="11"/>
    </row>
    <row r="3150">
      <c r="A3150" s="10"/>
      <c r="B3150" s="10"/>
      <c r="C3150" s="10"/>
      <c r="D3150" s="10"/>
      <c r="E3150" s="10"/>
      <c r="F3150" s="11"/>
      <c r="G3150" s="11"/>
      <c r="H3150" s="11"/>
      <c r="I3150" s="11"/>
      <c r="J3150" s="11"/>
      <c r="K3150" s="11"/>
      <c r="L3150" s="12"/>
      <c r="M3150" s="11"/>
      <c r="N3150" s="11"/>
      <c r="O3150" s="13"/>
      <c r="P3150" s="14"/>
      <c r="Q3150" s="13"/>
      <c r="R3150" s="13"/>
      <c r="S3150" s="15"/>
      <c r="T3150" s="16"/>
      <c r="U3150" s="16"/>
      <c r="V3150" s="16"/>
      <c r="W3150" s="16"/>
      <c r="X3150" s="16"/>
      <c r="Y3150" s="11"/>
      <c r="Z3150" s="11"/>
      <c r="AA3150" s="11"/>
      <c r="AB3150" s="11"/>
      <c r="AC3150" s="11"/>
      <c r="AD3150" s="11"/>
    </row>
    <row r="3151">
      <c r="A3151" s="10"/>
      <c r="B3151" s="10"/>
      <c r="C3151" s="10"/>
      <c r="D3151" s="10"/>
      <c r="E3151" s="10"/>
      <c r="F3151" s="11"/>
      <c r="G3151" s="11"/>
      <c r="H3151" s="11"/>
      <c r="I3151" s="11"/>
      <c r="J3151" s="11"/>
      <c r="K3151" s="11"/>
      <c r="L3151" s="12"/>
      <c r="M3151" s="11"/>
      <c r="N3151" s="11"/>
      <c r="O3151" s="13"/>
      <c r="P3151" s="14"/>
      <c r="Q3151" s="13"/>
      <c r="R3151" s="13"/>
      <c r="S3151" s="15"/>
      <c r="T3151" s="16"/>
      <c r="U3151" s="16"/>
      <c r="V3151" s="16"/>
      <c r="W3151" s="16"/>
      <c r="X3151" s="16"/>
      <c r="Y3151" s="11"/>
      <c r="Z3151" s="11"/>
      <c r="AA3151" s="11"/>
      <c r="AB3151" s="11"/>
      <c r="AC3151" s="11"/>
      <c r="AD3151" s="11"/>
    </row>
    <row r="3152">
      <c r="A3152" s="10"/>
      <c r="B3152" s="10"/>
      <c r="C3152" s="10"/>
      <c r="D3152" s="10"/>
      <c r="E3152" s="10"/>
      <c r="F3152" s="11"/>
      <c r="G3152" s="11"/>
      <c r="H3152" s="11"/>
      <c r="I3152" s="11"/>
      <c r="J3152" s="11"/>
      <c r="K3152" s="11"/>
      <c r="L3152" s="12"/>
      <c r="M3152" s="11"/>
      <c r="N3152" s="11"/>
      <c r="O3152" s="13"/>
      <c r="P3152" s="14"/>
      <c r="Q3152" s="13"/>
      <c r="R3152" s="13"/>
      <c r="S3152" s="15"/>
      <c r="T3152" s="16"/>
      <c r="U3152" s="16"/>
      <c r="V3152" s="16"/>
      <c r="W3152" s="16"/>
      <c r="X3152" s="16"/>
      <c r="Y3152" s="11"/>
      <c r="Z3152" s="11"/>
      <c r="AA3152" s="11"/>
      <c r="AB3152" s="11"/>
      <c r="AC3152" s="11"/>
      <c r="AD3152" s="11"/>
    </row>
    <row r="3153">
      <c r="A3153" s="10"/>
      <c r="B3153" s="10"/>
      <c r="C3153" s="10"/>
      <c r="D3153" s="10"/>
      <c r="E3153" s="10"/>
      <c r="F3153" s="11"/>
      <c r="G3153" s="11"/>
      <c r="H3153" s="11"/>
      <c r="I3153" s="11"/>
      <c r="J3153" s="11"/>
      <c r="K3153" s="11"/>
      <c r="L3153" s="12"/>
      <c r="M3153" s="11"/>
      <c r="N3153" s="11"/>
      <c r="O3153" s="13"/>
      <c r="P3153" s="14"/>
      <c r="Q3153" s="13"/>
      <c r="R3153" s="13"/>
      <c r="S3153" s="15"/>
      <c r="T3153" s="16"/>
      <c r="U3153" s="16"/>
      <c r="V3153" s="16"/>
      <c r="W3153" s="16"/>
      <c r="X3153" s="16"/>
      <c r="Y3153" s="11"/>
      <c r="Z3153" s="11"/>
      <c r="AA3153" s="11"/>
      <c r="AB3153" s="11"/>
      <c r="AC3153" s="11"/>
      <c r="AD3153" s="11"/>
    </row>
    <row r="3154">
      <c r="A3154" s="10"/>
      <c r="B3154" s="10"/>
      <c r="C3154" s="10"/>
      <c r="D3154" s="10"/>
      <c r="E3154" s="10"/>
      <c r="F3154" s="11"/>
      <c r="G3154" s="11"/>
      <c r="H3154" s="11"/>
      <c r="I3154" s="11"/>
      <c r="J3154" s="11"/>
      <c r="K3154" s="11"/>
      <c r="L3154" s="12"/>
      <c r="M3154" s="11"/>
      <c r="N3154" s="11"/>
      <c r="O3154" s="13"/>
      <c r="P3154" s="14"/>
      <c r="Q3154" s="13"/>
      <c r="R3154" s="13"/>
      <c r="S3154" s="15"/>
      <c r="T3154" s="16"/>
      <c r="U3154" s="16"/>
      <c r="V3154" s="16"/>
      <c r="W3154" s="16"/>
      <c r="X3154" s="16"/>
      <c r="Y3154" s="11"/>
      <c r="Z3154" s="11"/>
      <c r="AA3154" s="11"/>
      <c r="AB3154" s="11"/>
      <c r="AC3154" s="11"/>
      <c r="AD3154" s="11"/>
    </row>
    <row r="3155">
      <c r="A3155" s="10"/>
      <c r="B3155" s="10"/>
      <c r="C3155" s="10"/>
      <c r="D3155" s="10"/>
      <c r="E3155" s="10"/>
      <c r="F3155" s="11"/>
      <c r="G3155" s="11"/>
      <c r="H3155" s="11"/>
      <c r="I3155" s="11"/>
      <c r="J3155" s="11"/>
      <c r="K3155" s="11"/>
      <c r="L3155" s="12"/>
      <c r="M3155" s="11"/>
      <c r="N3155" s="11"/>
      <c r="O3155" s="13"/>
      <c r="P3155" s="14"/>
      <c r="Q3155" s="13"/>
      <c r="R3155" s="13"/>
      <c r="S3155" s="15"/>
      <c r="T3155" s="16"/>
      <c r="U3155" s="16"/>
      <c r="V3155" s="16"/>
      <c r="W3155" s="16"/>
      <c r="X3155" s="16"/>
      <c r="Y3155" s="11"/>
      <c r="Z3155" s="11"/>
      <c r="AA3155" s="11"/>
      <c r="AB3155" s="11"/>
      <c r="AC3155" s="11"/>
      <c r="AD3155" s="11"/>
    </row>
    <row r="3156">
      <c r="A3156" s="10"/>
      <c r="B3156" s="10"/>
      <c r="C3156" s="10"/>
      <c r="D3156" s="10"/>
      <c r="E3156" s="10"/>
      <c r="F3156" s="11"/>
      <c r="G3156" s="11"/>
      <c r="H3156" s="11"/>
      <c r="I3156" s="11"/>
      <c r="J3156" s="11"/>
      <c r="K3156" s="11"/>
      <c r="L3156" s="12"/>
      <c r="M3156" s="11"/>
      <c r="N3156" s="11"/>
      <c r="O3156" s="13"/>
      <c r="P3156" s="14"/>
      <c r="Q3156" s="13"/>
      <c r="R3156" s="13"/>
      <c r="S3156" s="15"/>
      <c r="T3156" s="16"/>
      <c r="U3156" s="16"/>
      <c r="V3156" s="16"/>
      <c r="W3156" s="16"/>
      <c r="X3156" s="16"/>
      <c r="Y3156" s="11"/>
      <c r="Z3156" s="11"/>
      <c r="AA3156" s="11"/>
      <c r="AB3156" s="11"/>
      <c r="AC3156" s="11"/>
      <c r="AD3156" s="11"/>
    </row>
    <row r="3157">
      <c r="A3157" s="10"/>
      <c r="B3157" s="10"/>
      <c r="C3157" s="10"/>
      <c r="D3157" s="10"/>
      <c r="E3157" s="10"/>
      <c r="F3157" s="11"/>
      <c r="G3157" s="11"/>
      <c r="H3157" s="11"/>
      <c r="I3157" s="11"/>
      <c r="J3157" s="11"/>
      <c r="K3157" s="11"/>
      <c r="L3157" s="12"/>
      <c r="M3157" s="11"/>
      <c r="N3157" s="11"/>
      <c r="O3157" s="13"/>
      <c r="P3157" s="14"/>
      <c r="Q3157" s="13"/>
      <c r="R3157" s="13"/>
      <c r="S3157" s="15"/>
      <c r="T3157" s="16"/>
      <c r="U3157" s="16"/>
      <c r="V3157" s="16"/>
      <c r="W3157" s="16"/>
      <c r="X3157" s="16"/>
      <c r="Y3157" s="11"/>
      <c r="Z3157" s="11"/>
      <c r="AA3157" s="11"/>
      <c r="AB3157" s="11"/>
      <c r="AC3157" s="11"/>
      <c r="AD3157" s="11"/>
    </row>
    <row r="3158">
      <c r="A3158" s="10"/>
      <c r="B3158" s="10"/>
      <c r="C3158" s="10"/>
      <c r="D3158" s="10"/>
      <c r="E3158" s="10"/>
      <c r="F3158" s="11"/>
      <c r="G3158" s="11"/>
      <c r="H3158" s="11"/>
      <c r="I3158" s="11"/>
      <c r="J3158" s="11"/>
      <c r="K3158" s="11"/>
      <c r="L3158" s="12"/>
      <c r="M3158" s="11"/>
      <c r="N3158" s="11"/>
      <c r="O3158" s="13"/>
      <c r="P3158" s="14"/>
      <c r="Q3158" s="13"/>
      <c r="R3158" s="13"/>
      <c r="S3158" s="15"/>
      <c r="T3158" s="16"/>
      <c r="U3158" s="16"/>
      <c r="V3158" s="16"/>
      <c r="W3158" s="16"/>
      <c r="X3158" s="16"/>
      <c r="Y3158" s="11"/>
      <c r="Z3158" s="11"/>
      <c r="AA3158" s="11"/>
      <c r="AB3158" s="11"/>
      <c r="AC3158" s="11"/>
      <c r="AD3158" s="11"/>
    </row>
    <row r="3159">
      <c r="A3159" s="10"/>
      <c r="B3159" s="10"/>
      <c r="C3159" s="10"/>
      <c r="D3159" s="10"/>
      <c r="E3159" s="10"/>
      <c r="F3159" s="11"/>
      <c r="G3159" s="11"/>
      <c r="H3159" s="11"/>
      <c r="I3159" s="11"/>
      <c r="J3159" s="11"/>
      <c r="K3159" s="11"/>
      <c r="L3159" s="12"/>
      <c r="M3159" s="11"/>
      <c r="N3159" s="11"/>
      <c r="O3159" s="13"/>
      <c r="P3159" s="14"/>
      <c r="Q3159" s="13"/>
      <c r="R3159" s="13"/>
      <c r="S3159" s="15"/>
      <c r="T3159" s="16"/>
      <c r="U3159" s="16"/>
      <c r="V3159" s="16"/>
      <c r="W3159" s="16"/>
      <c r="X3159" s="16"/>
      <c r="Y3159" s="11"/>
      <c r="Z3159" s="11"/>
      <c r="AA3159" s="11"/>
      <c r="AB3159" s="11"/>
      <c r="AC3159" s="11"/>
      <c r="AD3159" s="11"/>
    </row>
    <row r="3160">
      <c r="A3160" s="10"/>
      <c r="B3160" s="10"/>
      <c r="C3160" s="10"/>
      <c r="D3160" s="10"/>
      <c r="E3160" s="10"/>
      <c r="F3160" s="11"/>
      <c r="G3160" s="11"/>
      <c r="H3160" s="11"/>
      <c r="I3160" s="11"/>
      <c r="J3160" s="11"/>
      <c r="K3160" s="11"/>
      <c r="L3160" s="12"/>
      <c r="M3160" s="11"/>
      <c r="N3160" s="11"/>
      <c r="O3160" s="13"/>
      <c r="P3160" s="14"/>
      <c r="Q3160" s="13"/>
      <c r="R3160" s="13"/>
      <c r="S3160" s="15"/>
      <c r="T3160" s="16"/>
      <c r="U3160" s="16"/>
      <c r="V3160" s="16"/>
      <c r="W3160" s="16"/>
      <c r="X3160" s="16"/>
      <c r="Y3160" s="11"/>
      <c r="Z3160" s="11"/>
      <c r="AA3160" s="11"/>
      <c r="AB3160" s="11"/>
      <c r="AC3160" s="11"/>
      <c r="AD3160" s="11"/>
    </row>
    <row r="3161">
      <c r="A3161" s="10"/>
      <c r="B3161" s="10"/>
      <c r="C3161" s="10"/>
      <c r="D3161" s="10"/>
      <c r="E3161" s="10"/>
      <c r="F3161" s="11"/>
      <c r="G3161" s="11"/>
      <c r="H3161" s="11"/>
      <c r="I3161" s="11"/>
      <c r="J3161" s="11"/>
      <c r="K3161" s="11"/>
      <c r="L3161" s="12"/>
      <c r="M3161" s="11"/>
      <c r="N3161" s="11"/>
      <c r="O3161" s="13"/>
      <c r="P3161" s="14"/>
      <c r="Q3161" s="13"/>
      <c r="R3161" s="13"/>
      <c r="S3161" s="15"/>
      <c r="T3161" s="16"/>
      <c r="U3161" s="16"/>
      <c r="V3161" s="16"/>
      <c r="W3161" s="16"/>
      <c r="X3161" s="16"/>
      <c r="Y3161" s="11"/>
      <c r="Z3161" s="11"/>
      <c r="AA3161" s="11"/>
      <c r="AB3161" s="11"/>
      <c r="AC3161" s="11"/>
      <c r="AD3161" s="11"/>
    </row>
    <row r="3162">
      <c r="A3162" s="10"/>
      <c r="B3162" s="10"/>
      <c r="C3162" s="10"/>
      <c r="D3162" s="10"/>
      <c r="E3162" s="10"/>
      <c r="F3162" s="11"/>
      <c r="G3162" s="11"/>
      <c r="H3162" s="11"/>
      <c r="I3162" s="11"/>
      <c r="J3162" s="11"/>
      <c r="K3162" s="11"/>
      <c r="L3162" s="12"/>
      <c r="M3162" s="11"/>
      <c r="N3162" s="11"/>
      <c r="O3162" s="13"/>
      <c r="P3162" s="14"/>
      <c r="Q3162" s="13"/>
      <c r="R3162" s="13"/>
      <c r="S3162" s="15"/>
      <c r="T3162" s="16"/>
      <c r="U3162" s="16"/>
      <c r="V3162" s="16"/>
      <c r="W3162" s="16"/>
      <c r="X3162" s="16"/>
      <c r="Y3162" s="11"/>
      <c r="Z3162" s="11"/>
      <c r="AA3162" s="11"/>
      <c r="AB3162" s="11"/>
      <c r="AC3162" s="11"/>
      <c r="AD3162" s="11"/>
    </row>
    <row r="3163">
      <c r="A3163" s="10"/>
      <c r="B3163" s="10"/>
      <c r="C3163" s="10"/>
      <c r="D3163" s="10"/>
      <c r="E3163" s="10"/>
      <c r="F3163" s="11"/>
      <c r="G3163" s="11"/>
      <c r="H3163" s="11"/>
      <c r="I3163" s="11"/>
      <c r="J3163" s="11"/>
      <c r="K3163" s="11"/>
      <c r="L3163" s="12"/>
      <c r="M3163" s="11"/>
      <c r="N3163" s="11"/>
      <c r="O3163" s="13"/>
      <c r="P3163" s="14"/>
      <c r="Q3163" s="13"/>
      <c r="R3163" s="13"/>
      <c r="S3163" s="15"/>
      <c r="T3163" s="16"/>
      <c r="U3163" s="16"/>
      <c r="V3163" s="16"/>
      <c r="W3163" s="16"/>
      <c r="X3163" s="16"/>
      <c r="Y3163" s="11"/>
      <c r="Z3163" s="11"/>
      <c r="AA3163" s="11"/>
      <c r="AB3163" s="11"/>
      <c r="AC3163" s="11"/>
      <c r="AD3163" s="11"/>
    </row>
    <row r="3164">
      <c r="A3164" s="10"/>
      <c r="B3164" s="10"/>
      <c r="C3164" s="10"/>
      <c r="D3164" s="10"/>
      <c r="E3164" s="10"/>
      <c r="F3164" s="11"/>
      <c r="G3164" s="11"/>
      <c r="H3164" s="11"/>
      <c r="I3164" s="11"/>
      <c r="J3164" s="11"/>
      <c r="K3164" s="11"/>
      <c r="L3164" s="12"/>
      <c r="M3164" s="11"/>
      <c r="N3164" s="11"/>
      <c r="O3164" s="13"/>
      <c r="P3164" s="14"/>
      <c r="Q3164" s="13"/>
      <c r="R3164" s="13"/>
      <c r="S3164" s="15"/>
      <c r="T3164" s="16"/>
      <c r="U3164" s="16"/>
      <c r="V3164" s="16"/>
      <c r="W3164" s="16"/>
      <c r="X3164" s="16"/>
      <c r="Y3164" s="11"/>
      <c r="Z3164" s="11"/>
      <c r="AA3164" s="11"/>
      <c r="AB3164" s="11"/>
      <c r="AC3164" s="11"/>
      <c r="AD3164" s="11"/>
    </row>
    <row r="3165">
      <c r="A3165" s="10"/>
      <c r="B3165" s="10"/>
      <c r="C3165" s="10"/>
      <c r="D3165" s="10"/>
      <c r="E3165" s="10"/>
      <c r="F3165" s="11"/>
      <c r="G3165" s="11"/>
      <c r="H3165" s="11"/>
      <c r="I3165" s="11"/>
      <c r="J3165" s="11"/>
      <c r="K3165" s="11"/>
      <c r="L3165" s="12"/>
      <c r="M3165" s="11"/>
      <c r="N3165" s="11"/>
      <c r="O3165" s="13"/>
      <c r="P3165" s="14"/>
      <c r="Q3165" s="13"/>
      <c r="R3165" s="13"/>
      <c r="S3165" s="15"/>
      <c r="T3165" s="16"/>
      <c r="U3165" s="16"/>
      <c r="V3165" s="16"/>
      <c r="W3165" s="16"/>
      <c r="X3165" s="16"/>
      <c r="Y3165" s="11"/>
      <c r="Z3165" s="11"/>
      <c r="AA3165" s="11"/>
      <c r="AB3165" s="11"/>
      <c r="AC3165" s="11"/>
      <c r="AD3165" s="11"/>
    </row>
    <row r="3166">
      <c r="A3166" s="10"/>
      <c r="B3166" s="10"/>
      <c r="C3166" s="10"/>
      <c r="D3166" s="10"/>
      <c r="E3166" s="10"/>
      <c r="F3166" s="11"/>
      <c r="G3166" s="11"/>
      <c r="H3166" s="11"/>
      <c r="I3166" s="11"/>
      <c r="J3166" s="11"/>
      <c r="K3166" s="11"/>
      <c r="L3166" s="12"/>
      <c r="M3166" s="11"/>
      <c r="N3166" s="11"/>
      <c r="O3166" s="13"/>
      <c r="P3166" s="14"/>
      <c r="Q3166" s="13"/>
      <c r="R3166" s="13"/>
      <c r="S3166" s="15"/>
      <c r="T3166" s="16"/>
      <c r="U3166" s="16"/>
      <c r="V3166" s="16"/>
      <c r="W3166" s="16"/>
      <c r="X3166" s="16"/>
      <c r="Y3166" s="11"/>
      <c r="Z3166" s="11"/>
      <c r="AA3166" s="11"/>
      <c r="AB3166" s="11"/>
      <c r="AC3166" s="11"/>
      <c r="AD3166" s="11"/>
    </row>
    <row r="3167">
      <c r="A3167" s="10"/>
      <c r="B3167" s="10"/>
      <c r="C3167" s="10"/>
      <c r="D3167" s="10"/>
      <c r="E3167" s="10"/>
      <c r="F3167" s="11"/>
      <c r="G3167" s="11"/>
      <c r="H3167" s="11"/>
      <c r="I3167" s="11"/>
      <c r="J3167" s="11"/>
      <c r="K3167" s="11"/>
      <c r="L3167" s="12"/>
      <c r="M3167" s="11"/>
      <c r="N3167" s="11"/>
      <c r="O3167" s="13"/>
      <c r="P3167" s="14"/>
      <c r="Q3167" s="13"/>
      <c r="R3167" s="13"/>
      <c r="S3167" s="15"/>
      <c r="T3167" s="16"/>
      <c r="U3167" s="16"/>
      <c r="V3167" s="16"/>
      <c r="W3167" s="16"/>
      <c r="X3167" s="16"/>
      <c r="Y3167" s="11"/>
      <c r="Z3167" s="11"/>
      <c r="AA3167" s="11"/>
      <c r="AB3167" s="11"/>
      <c r="AC3167" s="11"/>
      <c r="AD3167" s="11"/>
    </row>
    <row r="3168">
      <c r="A3168" s="10"/>
      <c r="B3168" s="10"/>
      <c r="C3168" s="10"/>
      <c r="D3168" s="10"/>
      <c r="E3168" s="10"/>
      <c r="F3168" s="11"/>
      <c r="G3168" s="11"/>
      <c r="H3168" s="11"/>
      <c r="I3168" s="11"/>
      <c r="J3168" s="11"/>
      <c r="K3168" s="11"/>
      <c r="L3168" s="12"/>
      <c r="M3168" s="11"/>
      <c r="N3168" s="11"/>
      <c r="O3168" s="13"/>
      <c r="P3168" s="14"/>
      <c r="Q3168" s="13"/>
      <c r="R3168" s="13"/>
      <c r="S3168" s="15"/>
      <c r="T3168" s="16"/>
      <c r="U3168" s="16"/>
      <c r="V3168" s="16"/>
      <c r="W3168" s="16"/>
      <c r="X3168" s="16"/>
      <c r="Y3168" s="11"/>
      <c r="Z3168" s="11"/>
      <c r="AA3168" s="11"/>
      <c r="AB3168" s="11"/>
      <c r="AC3168" s="11"/>
      <c r="AD3168" s="11"/>
    </row>
    <row r="3169">
      <c r="A3169" s="10"/>
      <c r="B3169" s="10"/>
      <c r="C3169" s="10"/>
      <c r="D3169" s="10"/>
      <c r="E3169" s="10"/>
      <c r="F3169" s="11"/>
      <c r="G3169" s="11"/>
      <c r="H3169" s="11"/>
      <c r="I3169" s="11"/>
      <c r="J3169" s="11"/>
      <c r="K3169" s="11"/>
      <c r="L3169" s="12"/>
      <c r="M3169" s="11"/>
      <c r="N3169" s="11"/>
      <c r="O3169" s="13"/>
      <c r="P3169" s="14"/>
      <c r="Q3169" s="13"/>
      <c r="R3169" s="13"/>
      <c r="S3169" s="15"/>
      <c r="T3169" s="16"/>
      <c r="U3169" s="16"/>
      <c r="V3169" s="16"/>
      <c r="W3169" s="16"/>
      <c r="X3169" s="16"/>
      <c r="Y3169" s="11"/>
      <c r="Z3169" s="11"/>
      <c r="AA3169" s="11"/>
      <c r="AB3169" s="11"/>
      <c r="AC3169" s="11"/>
      <c r="AD3169" s="11"/>
    </row>
    <row r="3170">
      <c r="A3170" s="10"/>
      <c r="B3170" s="10"/>
      <c r="C3170" s="10"/>
      <c r="D3170" s="10"/>
      <c r="E3170" s="10"/>
      <c r="F3170" s="11"/>
      <c r="G3170" s="11"/>
      <c r="H3170" s="11"/>
      <c r="I3170" s="11"/>
      <c r="J3170" s="11"/>
      <c r="K3170" s="11"/>
      <c r="L3170" s="12"/>
      <c r="M3170" s="11"/>
      <c r="N3170" s="11"/>
      <c r="O3170" s="13"/>
      <c r="P3170" s="14"/>
      <c r="Q3170" s="13"/>
      <c r="R3170" s="13"/>
      <c r="S3170" s="15"/>
      <c r="T3170" s="16"/>
      <c r="U3170" s="16"/>
      <c r="V3170" s="16"/>
      <c r="W3170" s="16"/>
      <c r="X3170" s="16"/>
      <c r="Y3170" s="11"/>
      <c r="Z3170" s="11"/>
      <c r="AA3170" s="11"/>
      <c r="AB3170" s="11"/>
      <c r="AC3170" s="11"/>
      <c r="AD3170" s="11"/>
    </row>
    <row r="3171">
      <c r="A3171" s="10"/>
      <c r="B3171" s="10"/>
      <c r="C3171" s="10"/>
      <c r="D3171" s="10"/>
      <c r="E3171" s="10"/>
      <c r="F3171" s="11"/>
      <c r="G3171" s="11"/>
      <c r="H3171" s="11"/>
      <c r="I3171" s="11"/>
      <c r="J3171" s="11"/>
      <c r="K3171" s="11"/>
      <c r="L3171" s="12"/>
      <c r="M3171" s="11"/>
      <c r="N3171" s="11"/>
      <c r="O3171" s="13"/>
      <c r="P3171" s="14"/>
      <c r="Q3171" s="13"/>
      <c r="R3171" s="13"/>
      <c r="S3171" s="15"/>
      <c r="T3171" s="16"/>
      <c r="U3171" s="16"/>
      <c r="V3171" s="16"/>
      <c r="W3171" s="16"/>
      <c r="X3171" s="16"/>
      <c r="Y3171" s="11"/>
      <c r="Z3171" s="11"/>
      <c r="AA3171" s="11"/>
      <c r="AB3171" s="11"/>
      <c r="AC3171" s="11"/>
      <c r="AD3171" s="11"/>
    </row>
    <row r="3172">
      <c r="A3172" s="10"/>
      <c r="B3172" s="10"/>
      <c r="C3172" s="10"/>
      <c r="D3172" s="10"/>
      <c r="E3172" s="10"/>
      <c r="F3172" s="11"/>
      <c r="G3172" s="11"/>
      <c r="H3172" s="11"/>
      <c r="I3172" s="11"/>
      <c r="J3172" s="11"/>
      <c r="K3172" s="11"/>
      <c r="L3172" s="12"/>
      <c r="M3172" s="11"/>
      <c r="N3172" s="11"/>
      <c r="O3172" s="13"/>
      <c r="P3172" s="14"/>
      <c r="Q3172" s="13"/>
      <c r="R3172" s="13"/>
      <c r="S3172" s="15"/>
      <c r="T3172" s="16"/>
      <c r="U3172" s="16"/>
      <c r="V3172" s="16"/>
      <c r="W3172" s="16"/>
      <c r="X3172" s="16"/>
      <c r="Y3172" s="11"/>
      <c r="Z3172" s="11"/>
      <c r="AA3172" s="11"/>
      <c r="AB3172" s="11"/>
      <c r="AC3172" s="11"/>
      <c r="AD3172" s="11"/>
    </row>
    <row r="3173">
      <c r="A3173" s="10"/>
      <c r="B3173" s="10"/>
      <c r="C3173" s="10"/>
      <c r="D3173" s="10"/>
      <c r="E3173" s="10"/>
      <c r="F3173" s="11"/>
      <c r="G3173" s="11"/>
      <c r="H3173" s="11"/>
      <c r="I3173" s="11"/>
      <c r="J3173" s="11"/>
      <c r="K3173" s="11"/>
      <c r="L3173" s="12"/>
      <c r="M3173" s="11"/>
      <c r="N3173" s="11"/>
      <c r="O3173" s="13"/>
      <c r="P3173" s="14"/>
      <c r="Q3173" s="13"/>
      <c r="R3173" s="13"/>
      <c r="S3173" s="15"/>
      <c r="T3173" s="16"/>
      <c r="U3173" s="16"/>
      <c r="V3173" s="16"/>
      <c r="W3173" s="16"/>
      <c r="X3173" s="16"/>
      <c r="Y3173" s="11"/>
      <c r="Z3173" s="11"/>
      <c r="AA3173" s="11"/>
      <c r="AB3173" s="11"/>
      <c r="AC3173" s="11"/>
      <c r="AD3173" s="11"/>
    </row>
    <row r="3174">
      <c r="A3174" s="10"/>
      <c r="B3174" s="10"/>
      <c r="C3174" s="10"/>
      <c r="D3174" s="10"/>
      <c r="E3174" s="10"/>
      <c r="F3174" s="11"/>
      <c r="G3174" s="11"/>
      <c r="H3174" s="11"/>
      <c r="I3174" s="11"/>
      <c r="J3174" s="11"/>
      <c r="K3174" s="11"/>
      <c r="L3174" s="12"/>
      <c r="M3174" s="11"/>
      <c r="N3174" s="11"/>
      <c r="O3174" s="13"/>
      <c r="P3174" s="14"/>
      <c r="Q3174" s="13"/>
      <c r="R3174" s="13"/>
      <c r="S3174" s="15"/>
      <c r="T3174" s="16"/>
      <c r="U3174" s="16"/>
      <c r="V3174" s="16"/>
      <c r="W3174" s="16"/>
      <c r="X3174" s="16"/>
      <c r="Y3174" s="11"/>
      <c r="Z3174" s="11"/>
      <c r="AA3174" s="11"/>
      <c r="AB3174" s="11"/>
      <c r="AC3174" s="11"/>
      <c r="AD3174" s="11"/>
    </row>
    <row r="3175">
      <c r="A3175" s="10"/>
      <c r="B3175" s="10"/>
      <c r="C3175" s="10"/>
      <c r="D3175" s="10"/>
      <c r="E3175" s="10"/>
      <c r="F3175" s="11"/>
      <c r="G3175" s="11"/>
      <c r="H3175" s="11"/>
      <c r="I3175" s="11"/>
      <c r="J3175" s="11"/>
      <c r="K3175" s="11"/>
      <c r="L3175" s="12"/>
      <c r="M3175" s="11"/>
      <c r="N3175" s="11"/>
      <c r="O3175" s="13"/>
      <c r="P3175" s="14"/>
      <c r="Q3175" s="13"/>
      <c r="R3175" s="13"/>
      <c r="S3175" s="15"/>
      <c r="T3175" s="16"/>
      <c r="U3175" s="16"/>
      <c r="V3175" s="16"/>
      <c r="W3175" s="16"/>
      <c r="X3175" s="16"/>
      <c r="Y3175" s="11"/>
      <c r="Z3175" s="11"/>
      <c r="AA3175" s="11"/>
      <c r="AB3175" s="11"/>
      <c r="AC3175" s="11"/>
      <c r="AD3175" s="11"/>
    </row>
    <row r="3176">
      <c r="A3176" s="10"/>
      <c r="B3176" s="10"/>
      <c r="C3176" s="10"/>
      <c r="D3176" s="10"/>
      <c r="E3176" s="10"/>
      <c r="F3176" s="11"/>
      <c r="G3176" s="11"/>
      <c r="H3176" s="11"/>
      <c r="I3176" s="11"/>
      <c r="J3176" s="11"/>
      <c r="K3176" s="11"/>
      <c r="L3176" s="12"/>
      <c r="M3176" s="11"/>
      <c r="N3176" s="11"/>
      <c r="O3176" s="13"/>
      <c r="P3176" s="14"/>
      <c r="Q3176" s="13"/>
      <c r="R3176" s="13"/>
      <c r="S3176" s="15"/>
      <c r="T3176" s="16"/>
      <c r="U3176" s="16"/>
      <c r="V3176" s="16"/>
      <c r="W3176" s="16"/>
      <c r="X3176" s="16"/>
      <c r="Y3176" s="11"/>
      <c r="Z3176" s="11"/>
      <c r="AA3176" s="11"/>
      <c r="AB3176" s="11"/>
      <c r="AC3176" s="11"/>
      <c r="AD3176" s="11"/>
    </row>
    <row r="3177">
      <c r="A3177" s="10"/>
      <c r="B3177" s="10"/>
      <c r="C3177" s="10"/>
      <c r="D3177" s="10"/>
      <c r="E3177" s="10"/>
      <c r="F3177" s="11"/>
      <c r="G3177" s="11"/>
      <c r="H3177" s="11"/>
      <c r="I3177" s="11"/>
      <c r="J3177" s="11"/>
      <c r="K3177" s="11"/>
      <c r="L3177" s="12"/>
      <c r="M3177" s="11"/>
      <c r="N3177" s="11"/>
      <c r="O3177" s="13"/>
      <c r="P3177" s="14"/>
      <c r="Q3177" s="13"/>
      <c r="R3177" s="13"/>
      <c r="S3177" s="15"/>
      <c r="T3177" s="16"/>
      <c r="U3177" s="16"/>
      <c r="V3177" s="16"/>
      <c r="W3177" s="16"/>
      <c r="X3177" s="16"/>
      <c r="Y3177" s="11"/>
      <c r="Z3177" s="11"/>
      <c r="AA3177" s="11"/>
      <c r="AB3177" s="11"/>
      <c r="AC3177" s="11"/>
      <c r="AD3177" s="11"/>
    </row>
    <row r="3178">
      <c r="A3178" s="10"/>
      <c r="B3178" s="10"/>
      <c r="C3178" s="10"/>
      <c r="D3178" s="10"/>
      <c r="E3178" s="10"/>
      <c r="F3178" s="11"/>
      <c r="G3178" s="11"/>
      <c r="H3178" s="11"/>
      <c r="I3178" s="11"/>
      <c r="J3178" s="11"/>
      <c r="K3178" s="11"/>
      <c r="L3178" s="12"/>
      <c r="M3178" s="11"/>
      <c r="N3178" s="11"/>
      <c r="O3178" s="13"/>
      <c r="P3178" s="14"/>
      <c r="Q3178" s="13"/>
      <c r="R3178" s="13"/>
      <c r="S3178" s="15"/>
      <c r="T3178" s="16"/>
      <c r="U3178" s="16"/>
      <c r="V3178" s="16"/>
      <c r="W3178" s="16"/>
      <c r="X3178" s="16"/>
      <c r="Y3178" s="11"/>
      <c r="Z3178" s="11"/>
      <c r="AA3178" s="11"/>
      <c r="AB3178" s="11"/>
      <c r="AC3178" s="11"/>
      <c r="AD3178" s="11"/>
    </row>
    <row r="3179">
      <c r="A3179" s="10"/>
      <c r="B3179" s="10"/>
      <c r="C3179" s="10"/>
      <c r="D3179" s="10"/>
      <c r="E3179" s="10"/>
      <c r="F3179" s="11"/>
      <c r="G3179" s="11"/>
      <c r="H3179" s="11"/>
      <c r="I3179" s="11"/>
      <c r="J3179" s="11"/>
      <c r="K3179" s="11"/>
      <c r="L3179" s="12"/>
      <c r="M3179" s="11"/>
      <c r="N3179" s="11"/>
      <c r="O3179" s="13"/>
      <c r="P3179" s="14"/>
      <c r="Q3179" s="13"/>
      <c r="R3179" s="13"/>
      <c r="S3179" s="15"/>
      <c r="T3179" s="16"/>
      <c r="U3179" s="16"/>
      <c r="V3179" s="16"/>
      <c r="W3179" s="16"/>
      <c r="X3179" s="16"/>
      <c r="Y3179" s="11"/>
      <c r="Z3179" s="11"/>
      <c r="AA3179" s="11"/>
      <c r="AB3179" s="11"/>
      <c r="AC3179" s="11"/>
      <c r="AD3179" s="11"/>
    </row>
    <row r="3180">
      <c r="A3180" s="10"/>
      <c r="B3180" s="10"/>
      <c r="C3180" s="10"/>
      <c r="D3180" s="10"/>
      <c r="E3180" s="10"/>
      <c r="F3180" s="11"/>
      <c r="G3180" s="11"/>
      <c r="H3180" s="11"/>
      <c r="I3180" s="11"/>
      <c r="J3180" s="11"/>
      <c r="K3180" s="11"/>
      <c r="L3180" s="12"/>
      <c r="M3180" s="11"/>
      <c r="N3180" s="11"/>
      <c r="O3180" s="13"/>
      <c r="P3180" s="14"/>
      <c r="Q3180" s="13"/>
      <c r="R3180" s="13"/>
      <c r="S3180" s="15"/>
      <c r="T3180" s="16"/>
      <c r="U3180" s="16"/>
      <c r="V3180" s="16"/>
      <c r="W3180" s="16"/>
      <c r="X3180" s="16"/>
      <c r="Y3180" s="11"/>
      <c r="Z3180" s="11"/>
      <c r="AA3180" s="11"/>
      <c r="AB3180" s="11"/>
      <c r="AC3180" s="11"/>
      <c r="AD3180" s="11"/>
    </row>
    <row r="3181">
      <c r="A3181" s="10"/>
      <c r="B3181" s="10"/>
      <c r="C3181" s="10"/>
      <c r="D3181" s="10"/>
      <c r="E3181" s="10"/>
      <c r="F3181" s="11"/>
      <c r="G3181" s="11"/>
      <c r="H3181" s="11"/>
      <c r="I3181" s="11"/>
      <c r="J3181" s="11"/>
      <c r="K3181" s="11"/>
      <c r="L3181" s="12"/>
      <c r="M3181" s="11"/>
      <c r="N3181" s="11"/>
      <c r="O3181" s="13"/>
      <c r="P3181" s="14"/>
      <c r="Q3181" s="13"/>
      <c r="R3181" s="13"/>
      <c r="S3181" s="15"/>
      <c r="T3181" s="16"/>
      <c r="U3181" s="16"/>
      <c r="V3181" s="16"/>
      <c r="W3181" s="16"/>
      <c r="X3181" s="16"/>
      <c r="Y3181" s="11"/>
      <c r="Z3181" s="11"/>
      <c r="AA3181" s="11"/>
      <c r="AB3181" s="11"/>
      <c r="AC3181" s="11"/>
      <c r="AD3181" s="11"/>
    </row>
    <row r="3182">
      <c r="A3182" s="10"/>
      <c r="B3182" s="10"/>
      <c r="C3182" s="10"/>
      <c r="D3182" s="10"/>
      <c r="E3182" s="10"/>
      <c r="F3182" s="11"/>
      <c r="G3182" s="11"/>
      <c r="H3182" s="11"/>
      <c r="I3182" s="11"/>
      <c r="J3182" s="11"/>
      <c r="K3182" s="11"/>
      <c r="L3182" s="12"/>
      <c r="M3182" s="11"/>
      <c r="N3182" s="11"/>
      <c r="O3182" s="13"/>
      <c r="P3182" s="14"/>
      <c r="Q3182" s="13"/>
      <c r="R3182" s="13"/>
      <c r="S3182" s="15"/>
      <c r="T3182" s="16"/>
      <c r="U3182" s="16"/>
      <c r="V3182" s="16"/>
      <c r="W3182" s="16"/>
      <c r="X3182" s="16"/>
      <c r="Y3182" s="11"/>
      <c r="Z3182" s="11"/>
      <c r="AA3182" s="11"/>
      <c r="AB3182" s="11"/>
      <c r="AC3182" s="11"/>
      <c r="AD3182" s="11"/>
    </row>
    <row r="3183">
      <c r="A3183" s="10"/>
      <c r="B3183" s="10"/>
      <c r="C3183" s="10"/>
      <c r="D3183" s="10"/>
      <c r="E3183" s="10"/>
      <c r="F3183" s="11"/>
      <c r="G3183" s="11"/>
      <c r="H3183" s="11"/>
      <c r="I3183" s="11"/>
      <c r="J3183" s="11"/>
      <c r="K3183" s="11"/>
      <c r="L3183" s="12"/>
      <c r="M3183" s="11"/>
      <c r="N3183" s="11"/>
      <c r="O3183" s="13"/>
      <c r="P3183" s="14"/>
      <c r="Q3183" s="13"/>
      <c r="R3183" s="13"/>
      <c r="S3183" s="15"/>
      <c r="T3183" s="16"/>
      <c r="U3183" s="16"/>
      <c r="V3183" s="16"/>
      <c r="W3183" s="16"/>
      <c r="X3183" s="16"/>
      <c r="Y3183" s="11"/>
      <c r="Z3183" s="11"/>
      <c r="AA3183" s="11"/>
      <c r="AB3183" s="11"/>
      <c r="AC3183" s="11"/>
      <c r="AD3183" s="11"/>
    </row>
    <row r="3184">
      <c r="A3184" s="10"/>
      <c r="B3184" s="10"/>
      <c r="C3184" s="10"/>
      <c r="D3184" s="10"/>
      <c r="E3184" s="10"/>
      <c r="F3184" s="11"/>
      <c r="G3184" s="11"/>
      <c r="H3184" s="11"/>
      <c r="I3184" s="11"/>
      <c r="J3184" s="11"/>
      <c r="K3184" s="11"/>
      <c r="L3184" s="12"/>
      <c r="M3184" s="11"/>
      <c r="N3184" s="11"/>
      <c r="O3184" s="13"/>
      <c r="P3184" s="14"/>
      <c r="Q3184" s="13"/>
      <c r="R3184" s="13"/>
      <c r="S3184" s="15"/>
      <c r="T3184" s="16"/>
      <c r="U3184" s="16"/>
      <c r="V3184" s="16"/>
      <c r="W3184" s="16"/>
      <c r="X3184" s="16"/>
      <c r="Y3184" s="11"/>
      <c r="Z3184" s="11"/>
      <c r="AA3184" s="11"/>
      <c r="AB3184" s="11"/>
      <c r="AC3184" s="11"/>
      <c r="AD3184" s="11"/>
    </row>
    <row r="3185">
      <c r="A3185" s="10"/>
      <c r="B3185" s="10"/>
      <c r="C3185" s="10"/>
      <c r="D3185" s="10"/>
      <c r="E3185" s="10"/>
      <c r="F3185" s="11"/>
      <c r="G3185" s="11"/>
      <c r="H3185" s="11"/>
      <c r="I3185" s="11"/>
      <c r="J3185" s="11"/>
      <c r="K3185" s="11"/>
      <c r="L3185" s="12"/>
      <c r="M3185" s="11"/>
      <c r="N3185" s="11"/>
      <c r="O3185" s="13"/>
      <c r="P3185" s="14"/>
      <c r="Q3185" s="13"/>
      <c r="R3185" s="13"/>
      <c r="S3185" s="15"/>
      <c r="T3185" s="16"/>
      <c r="U3185" s="16"/>
      <c r="V3185" s="16"/>
      <c r="W3185" s="16"/>
      <c r="X3185" s="16"/>
      <c r="Y3185" s="11"/>
      <c r="Z3185" s="11"/>
      <c r="AA3185" s="11"/>
      <c r="AB3185" s="11"/>
      <c r="AC3185" s="11"/>
      <c r="AD3185" s="11"/>
    </row>
    <row r="3186">
      <c r="A3186" s="10"/>
      <c r="B3186" s="10"/>
      <c r="C3186" s="10"/>
      <c r="D3186" s="10"/>
      <c r="E3186" s="10"/>
      <c r="F3186" s="11"/>
      <c r="G3186" s="11"/>
      <c r="H3186" s="11"/>
      <c r="I3186" s="11"/>
      <c r="J3186" s="11"/>
      <c r="K3186" s="11"/>
      <c r="L3186" s="12"/>
      <c r="M3186" s="11"/>
      <c r="N3186" s="11"/>
      <c r="O3186" s="13"/>
      <c r="P3186" s="14"/>
      <c r="Q3186" s="13"/>
      <c r="R3186" s="13"/>
      <c r="S3186" s="15"/>
      <c r="T3186" s="16"/>
      <c r="U3186" s="16"/>
      <c r="V3186" s="16"/>
      <c r="W3186" s="16"/>
      <c r="X3186" s="16"/>
      <c r="Y3186" s="11"/>
      <c r="Z3186" s="11"/>
      <c r="AA3186" s="11"/>
      <c r="AB3186" s="11"/>
      <c r="AC3186" s="11"/>
      <c r="AD3186" s="11"/>
    </row>
    <row r="3187">
      <c r="A3187" s="10"/>
      <c r="B3187" s="10"/>
      <c r="C3187" s="10"/>
      <c r="D3187" s="10"/>
      <c r="E3187" s="10"/>
      <c r="F3187" s="11"/>
      <c r="G3187" s="11"/>
      <c r="H3187" s="11"/>
      <c r="I3187" s="11"/>
      <c r="J3187" s="11"/>
      <c r="K3187" s="11"/>
      <c r="L3187" s="12"/>
      <c r="M3187" s="11"/>
      <c r="N3187" s="11"/>
      <c r="O3187" s="13"/>
      <c r="P3187" s="14"/>
      <c r="Q3187" s="13"/>
      <c r="R3187" s="13"/>
      <c r="S3187" s="15"/>
      <c r="T3187" s="16"/>
      <c r="U3187" s="16"/>
      <c r="V3187" s="16"/>
      <c r="W3187" s="16"/>
      <c r="X3187" s="16"/>
      <c r="Y3187" s="11"/>
      <c r="Z3187" s="11"/>
      <c r="AA3187" s="11"/>
      <c r="AB3187" s="11"/>
      <c r="AC3187" s="11"/>
      <c r="AD3187" s="11"/>
    </row>
    <row r="3188">
      <c r="A3188" s="10"/>
      <c r="B3188" s="10"/>
      <c r="C3188" s="10"/>
      <c r="D3188" s="10"/>
      <c r="E3188" s="10"/>
      <c r="F3188" s="11"/>
      <c r="G3188" s="11"/>
      <c r="H3188" s="11"/>
      <c r="I3188" s="11"/>
      <c r="J3188" s="11"/>
      <c r="K3188" s="11"/>
      <c r="L3188" s="12"/>
      <c r="M3188" s="11"/>
      <c r="N3188" s="11"/>
      <c r="O3188" s="13"/>
      <c r="P3188" s="14"/>
      <c r="Q3188" s="13"/>
      <c r="R3188" s="13"/>
      <c r="S3188" s="15"/>
      <c r="T3188" s="16"/>
      <c r="U3188" s="16"/>
      <c r="V3188" s="16"/>
      <c r="W3188" s="16"/>
      <c r="X3188" s="16"/>
      <c r="Y3188" s="11"/>
      <c r="Z3188" s="11"/>
      <c r="AA3188" s="11"/>
      <c r="AB3188" s="11"/>
      <c r="AC3188" s="11"/>
      <c r="AD3188" s="11"/>
    </row>
    <row r="3189">
      <c r="A3189" s="10"/>
      <c r="B3189" s="10"/>
      <c r="C3189" s="10"/>
      <c r="D3189" s="10"/>
      <c r="E3189" s="10"/>
      <c r="F3189" s="11"/>
      <c r="G3189" s="11"/>
      <c r="H3189" s="11"/>
      <c r="I3189" s="11"/>
      <c r="J3189" s="11"/>
      <c r="K3189" s="11"/>
      <c r="L3189" s="12"/>
      <c r="M3189" s="11"/>
      <c r="N3189" s="11"/>
      <c r="O3189" s="13"/>
      <c r="P3189" s="14"/>
      <c r="Q3189" s="13"/>
      <c r="R3189" s="13"/>
      <c r="S3189" s="15"/>
      <c r="T3189" s="16"/>
      <c r="U3189" s="16"/>
      <c r="V3189" s="16"/>
      <c r="W3189" s="16"/>
      <c r="X3189" s="16"/>
      <c r="Y3189" s="11"/>
      <c r="Z3189" s="11"/>
      <c r="AA3189" s="11"/>
      <c r="AB3189" s="11"/>
      <c r="AC3189" s="11"/>
      <c r="AD3189" s="11"/>
    </row>
    <row r="3190">
      <c r="A3190" s="10"/>
      <c r="B3190" s="10"/>
      <c r="C3190" s="10"/>
      <c r="D3190" s="10"/>
      <c r="E3190" s="10"/>
      <c r="F3190" s="11"/>
      <c r="G3190" s="11"/>
      <c r="H3190" s="11"/>
      <c r="I3190" s="11"/>
      <c r="J3190" s="11"/>
      <c r="K3190" s="11"/>
      <c r="L3190" s="12"/>
      <c r="M3190" s="11"/>
      <c r="N3190" s="11"/>
      <c r="O3190" s="13"/>
      <c r="P3190" s="14"/>
      <c r="Q3190" s="13"/>
      <c r="R3190" s="13"/>
      <c r="S3190" s="15"/>
      <c r="T3190" s="16"/>
      <c r="U3190" s="16"/>
      <c r="V3190" s="16"/>
      <c r="W3190" s="16"/>
      <c r="X3190" s="16"/>
      <c r="Y3190" s="11"/>
      <c r="Z3190" s="11"/>
      <c r="AA3190" s="11"/>
      <c r="AB3190" s="11"/>
      <c r="AC3190" s="11"/>
      <c r="AD3190" s="11"/>
    </row>
    <row r="3191">
      <c r="A3191" s="10"/>
      <c r="B3191" s="10"/>
      <c r="C3191" s="10"/>
      <c r="D3191" s="10"/>
      <c r="E3191" s="10"/>
      <c r="F3191" s="11"/>
      <c r="G3191" s="11"/>
      <c r="H3191" s="11"/>
      <c r="I3191" s="11"/>
      <c r="J3191" s="11"/>
      <c r="K3191" s="11"/>
      <c r="L3191" s="12"/>
      <c r="M3191" s="11"/>
      <c r="N3191" s="11"/>
      <c r="O3191" s="13"/>
      <c r="P3191" s="14"/>
      <c r="Q3191" s="13"/>
      <c r="R3191" s="13"/>
      <c r="S3191" s="15"/>
      <c r="T3191" s="16"/>
      <c r="U3191" s="16"/>
      <c r="V3191" s="16"/>
      <c r="W3191" s="16"/>
      <c r="X3191" s="16"/>
      <c r="Y3191" s="11"/>
      <c r="Z3191" s="11"/>
      <c r="AA3191" s="11"/>
      <c r="AB3191" s="11"/>
      <c r="AC3191" s="11"/>
      <c r="AD3191" s="11"/>
    </row>
    <row r="3192">
      <c r="A3192" s="10"/>
      <c r="B3192" s="10"/>
      <c r="C3192" s="10"/>
      <c r="D3192" s="10"/>
      <c r="E3192" s="10"/>
      <c r="F3192" s="11"/>
      <c r="G3192" s="11"/>
      <c r="H3192" s="11"/>
      <c r="I3192" s="11"/>
      <c r="J3192" s="11"/>
      <c r="K3192" s="11"/>
      <c r="L3192" s="12"/>
      <c r="M3192" s="11"/>
      <c r="N3192" s="11"/>
      <c r="O3192" s="13"/>
      <c r="P3192" s="14"/>
      <c r="Q3192" s="13"/>
      <c r="R3192" s="13"/>
      <c r="S3192" s="15"/>
      <c r="T3192" s="16"/>
      <c r="U3192" s="16"/>
      <c r="V3192" s="16"/>
      <c r="W3192" s="16"/>
      <c r="X3192" s="16"/>
      <c r="Y3192" s="11"/>
      <c r="Z3192" s="11"/>
      <c r="AA3192" s="11"/>
      <c r="AB3192" s="11"/>
      <c r="AC3192" s="11"/>
      <c r="AD3192" s="11"/>
    </row>
    <row r="3193">
      <c r="A3193" s="10"/>
      <c r="B3193" s="10"/>
      <c r="C3193" s="10"/>
      <c r="D3193" s="10"/>
      <c r="E3193" s="10"/>
      <c r="F3193" s="11"/>
      <c r="G3193" s="11"/>
      <c r="H3193" s="11"/>
      <c r="I3193" s="11"/>
      <c r="J3193" s="11"/>
      <c r="K3193" s="11"/>
      <c r="L3193" s="12"/>
      <c r="M3193" s="11"/>
      <c r="N3193" s="11"/>
      <c r="O3193" s="13"/>
      <c r="P3193" s="14"/>
      <c r="Q3193" s="13"/>
      <c r="R3193" s="13"/>
      <c r="S3193" s="15"/>
      <c r="T3193" s="16"/>
      <c r="U3193" s="16"/>
      <c r="V3193" s="16"/>
      <c r="W3193" s="16"/>
      <c r="X3193" s="16"/>
      <c r="Y3193" s="11"/>
      <c r="Z3193" s="11"/>
      <c r="AA3193" s="11"/>
      <c r="AB3193" s="11"/>
      <c r="AC3193" s="11"/>
      <c r="AD3193" s="11"/>
    </row>
    <row r="3194">
      <c r="A3194" s="10"/>
      <c r="B3194" s="10"/>
      <c r="C3194" s="10"/>
      <c r="D3194" s="10"/>
      <c r="E3194" s="10"/>
      <c r="F3194" s="11"/>
      <c r="G3194" s="11"/>
      <c r="H3194" s="11"/>
      <c r="I3194" s="11"/>
      <c r="J3194" s="11"/>
      <c r="K3194" s="11"/>
      <c r="L3194" s="12"/>
      <c r="M3194" s="11"/>
      <c r="N3194" s="11"/>
      <c r="O3194" s="13"/>
      <c r="P3194" s="14"/>
      <c r="Q3194" s="13"/>
      <c r="R3194" s="13"/>
      <c r="S3194" s="15"/>
      <c r="T3194" s="16"/>
      <c r="U3194" s="16"/>
      <c r="V3194" s="16"/>
      <c r="W3194" s="16"/>
      <c r="X3194" s="16"/>
      <c r="Y3194" s="11"/>
      <c r="Z3194" s="11"/>
      <c r="AA3194" s="11"/>
      <c r="AB3194" s="11"/>
      <c r="AC3194" s="11"/>
      <c r="AD3194" s="11"/>
    </row>
    <row r="3195">
      <c r="A3195" s="10"/>
      <c r="B3195" s="10"/>
      <c r="C3195" s="10"/>
      <c r="D3195" s="10"/>
      <c r="E3195" s="10"/>
      <c r="F3195" s="11"/>
      <c r="G3195" s="11"/>
      <c r="H3195" s="11"/>
      <c r="I3195" s="11"/>
      <c r="J3195" s="11"/>
      <c r="K3195" s="11"/>
      <c r="L3195" s="12"/>
      <c r="M3195" s="11"/>
      <c r="N3195" s="11"/>
      <c r="O3195" s="13"/>
      <c r="P3195" s="14"/>
      <c r="Q3195" s="13"/>
      <c r="R3195" s="13"/>
      <c r="S3195" s="15"/>
      <c r="T3195" s="16"/>
      <c r="U3195" s="16"/>
      <c r="V3195" s="16"/>
      <c r="W3195" s="16"/>
      <c r="X3195" s="16"/>
      <c r="Y3195" s="11"/>
      <c r="Z3195" s="11"/>
      <c r="AA3195" s="11"/>
      <c r="AB3195" s="11"/>
      <c r="AC3195" s="11"/>
      <c r="AD3195" s="11"/>
    </row>
    <row r="3196">
      <c r="A3196" s="10"/>
      <c r="B3196" s="10"/>
      <c r="C3196" s="10"/>
      <c r="D3196" s="10"/>
      <c r="E3196" s="10"/>
      <c r="F3196" s="11"/>
      <c r="G3196" s="11"/>
      <c r="H3196" s="11"/>
      <c r="I3196" s="11"/>
      <c r="J3196" s="11"/>
      <c r="K3196" s="11"/>
      <c r="L3196" s="12"/>
      <c r="M3196" s="11"/>
      <c r="N3196" s="11"/>
      <c r="O3196" s="13"/>
      <c r="P3196" s="14"/>
      <c r="Q3196" s="13"/>
      <c r="R3196" s="13"/>
      <c r="S3196" s="15"/>
      <c r="T3196" s="16"/>
      <c r="U3196" s="16"/>
      <c r="V3196" s="16"/>
      <c r="W3196" s="16"/>
      <c r="X3196" s="16"/>
      <c r="Y3196" s="11"/>
      <c r="Z3196" s="11"/>
      <c r="AA3196" s="11"/>
      <c r="AB3196" s="11"/>
      <c r="AC3196" s="11"/>
      <c r="AD3196" s="11"/>
    </row>
    <row r="3197">
      <c r="A3197" s="10"/>
      <c r="B3197" s="10"/>
      <c r="C3197" s="10"/>
      <c r="D3197" s="10"/>
      <c r="E3197" s="10"/>
      <c r="F3197" s="11"/>
      <c r="G3197" s="11"/>
      <c r="H3197" s="11"/>
      <c r="I3197" s="11"/>
      <c r="J3197" s="11"/>
      <c r="K3197" s="11"/>
      <c r="L3197" s="12"/>
      <c r="M3197" s="11"/>
      <c r="N3197" s="11"/>
      <c r="O3197" s="13"/>
      <c r="P3197" s="14"/>
      <c r="Q3197" s="13"/>
      <c r="R3197" s="13"/>
      <c r="S3197" s="15"/>
      <c r="T3197" s="16"/>
      <c r="U3197" s="16"/>
      <c r="V3197" s="16"/>
      <c r="W3197" s="16"/>
      <c r="X3197" s="16"/>
      <c r="Y3197" s="11"/>
      <c r="Z3197" s="11"/>
      <c r="AA3197" s="11"/>
      <c r="AB3197" s="11"/>
      <c r="AC3197" s="11"/>
      <c r="AD3197" s="11"/>
    </row>
    <row r="3198">
      <c r="A3198" s="10"/>
      <c r="B3198" s="10"/>
      <c r="C3198" s="10"/>
      <c r="D3198" s="10"/>
      <c r="E3198" s="10"/>
      <c r="F3198" s="11"/>
      <c r="G3198" s="11"/>
      <c r="H3198" s="11"/>
      <c r="I3198" s="11"/>
      <c r="J3198" s="11"/>
      <c r="K3198" s="11"/>
      <c r="L3198" s="12"/>
      <c r="M3198" s="11"/>
      <c r="N3198" s="11"/>
      <c r="O3198" s="13"/>
      <c r="P3198" s="14"/>
      <c r="Q3198" s="13"/>
      <c r="R3198" s="13"/>
      <c r="S3198" s="15"/>
      <c r="T3198" s="16"/>
      <c r="U3198" s="16"/>
      <c r="V3198" s="16"/>
      <c r="W3198" s="16"/>
      <c r="X3198" s="16"/>
      <c r="Y3198" s="11"/>
      <c r="Z3198" s="11"/>
      <c r="AA3198" s="11"/>
      <c r="AB3198" s="11"/>
      <c r="AC3198" s="11"/>
      <c r="AD3198" s="11"/>
    </row>
    <row r="3199">
      <c r="A3199" s="10"/>
      <c r="B3199" s="10"/>
      <c r="C3199" s="10"/>
      <c r="D3199" s="10"/>
      <c r="E3199" s="10"/>
      <c r="F3199" s="11"/>
      <c r="G3199" s="11"/>
      <c r="H3199" s="11"/>
      <c r="I3199" s="11"/>
      <c r="J3199" s="11"/>
      <c r="K3199" s="11"/>
      <c r="L3199" s="12"/>
      <c r="M3199" s="11"/>
      <c r="N3199" s="11"/>
      <c r="O3199" s="13"/>
      <c r="P3199" s="14"/>
      <c r="Q3199" s="13"/>
      <c r="R3199" s="13"/>
      <c r="S3199" s="15"/>
      <c r="T3199" s="16"/>
      <c r="U3199" s="16"/>
      <c r="V3199" s="16"/>
      <c r="W3199" s="16"/>
      <c r="X3199" s="16"/>
      <c r="Y3199" s="11"/>
      <c r="Z3199" s="11"/>
      <c r="AA3199" s="11"/>
      <c r="AB3199" s="11"/>
      <c r="AC3199" s="11"/>
      <c r="AD3199" s="11"/>
    </row>
    <row r="3200">
      <c r="A3200" s="10"/>
      <c r="B3200" s="10"/>
      <c r="C3200" s="10"/>
      <c r="D3200" s="10"/>
      <c r="E3200" s="10"/>
      <c r="F3200" s="11"/>
      <c r="G3200" s="11"/>
      <c r="H3200" s="11"/>
      <c r="I3200" s="11"/>
      <c r="J3200" s="11"/>
      <c r="K3200" s="11"/>
      <c r="L3200" s="12"/>
      <c r="M3200" s="11"/>
      <c r="N3200" s="11"/>
      <c r="O3200" s="13"/>
      <c r="P3200" s="14"/>
      <c r="Q3200" s="13"/>
      <c r="R3200" s="13"/>
      <c r="S3200" s="15"/>
      <c r="T3200" s="16"/>
      <c r="U3200" s="16"/>
      <c r="V3200" s="16"/>
      <c r="W3200" s="16"/>
      <c r="X3200" s="16"/>
      <c r="Y3200" s="11"/>
      <c r="Z3200" s="11"/>
      <c r="AA3200" s="11"/>
      <c r="AB3200" s="11"/>
      <c r="AC3200" s="11"/>
      <c r="AD3200" s="11"/>
    </row>
    <row r="3201">
      <c r="A3201" s="10"/>
      <c r="B3201" s="10"/>
      <c r="C3201" s="10"/>
      <c r="D3201" s="10"/>
      <c r="E3201" s="10"/>
      <c r="F3201" s="11"/>
      <c r="G3201" s="11"/>
      <c r="H3201" s="11"/>
      <c r="I3201" s="11"/>
      <c r="J3201" s="11"/>
      <c r="K3201" s="11"/>
      <c r="L3201" s="12"/>
      <c r="M3201" s="11"/>
      <c r="N3201" s="11"/>
      <c r="O3201" s="13"/>
      <c r="P3201" s="14"/>
      <c r="Q3201" s="13"/>
      <c r="R3201" s="13"/>
      <c r="S3201" s="15"/>
      <c r="T3201" s="16"/>
      <c r="U3201" s="16"/>
      <c r="V3201" s="16"/>
      <c r="W3201" s="16"/>
      <c r="X3201" s="16"/>
      <c r="Y3201" s="11"/>
      <c r="Z3201" s="11"/>
      <c r="AA3201" s="11"/>
      <c r="AB3201" s="11"/>
      <c r="AC3201" s="11"/>
      <c r="AD3201" s="11"/>
    </row>
    <row r="3202">
      <c r="A3202" s="10"/>
      <c r="B3202" s="10"/>
      <c r="C3202" s="10"/>
      <c r="D3202" s="10"/>
      <c r="E3202" s="10"/>
      <c r="F3202" s="11"/>
      <c r="G3202" s="11"/>
      <c r="H3202" s="11"/>
      <c r="I3202" s="11"/>
      <c r="J3202" s="11"/>
      <c r="K3202" s="11"/>
      <c r="L3202" s="12"/>
      <c r="M3202" s="11"/>
      <c r="N3202" s="11"/>
      <c r="O3202" s="13"/>
      <c r="P3202" s="14"/>
      <c r="Q3202" s="13"/>
      <c r="R3202" s="13"/>
      <c r="S3202" s="15"/>
      <c r="T3202" s="16"/>
      <c r="U3202" s="16"/>
      <c r="V3202" s="16"/>
      <c r="W3202" s="16"/>
      <c r="X3202" s="16"/>
      <c r="Y3202" s="11"/>
      <c r="Z3202" s="11"/>
      <c r="AA3202" s="11"/>
      <c r="AB3202" s="11"/>
      <c r="AC3202" s="11"/>
      <c r="AD3202" s="11"/>
    </row>
    <row r="3203">
      <c r="A3203" s="10"/>
      <c r="B3203" s="10"/>
      <c r="C3203" s="10"/>
      <c r="D3203" s="10"/>
      <c r="E3203" s="10"/>
      <c r="F3203" s="11"/>
      <c r="G3203" s="11"/>
      <c r="H3203" s="11"/>
      <c r="I3203" s="11"/>
      <c r="J3203" s="11"/>
      <c r="K3203" s="11"/>
      <c r="L3203" s="12"/>
      <c r="M3203" s="11"/>
      <c r="N3203" s="11"/>
      <c r="O3203" s="13"/>
      <c r="P3203" s="14"/>
      <c r="Q3203" s="13"/>
      <c r="R3203" s="13"/>
      <c r="S3203" s="15"/>
      <c r="T3203" s="16"/>
      <c r="U3203" s="16"/>
      <c r="V3203" s="16"/>
      <c r="W3203" s="16"/>
      <c r="X3203" s="16"/>
      <c r="Y3203" s="11"/>
      <c r="Z3203" s="11"/>
      <c r="AA3203" s="11"/>
      <c r="AB3203" s="11"/>
      <c r="AC3203" s="11"/>
      <c r="AD3203" s="11"/>
    </row>
    <row r="3204">
      <c r="A3204" s="10"/>
      <c r="B3204" s="10"/>
      <c r="C3204" s="10"/>
      <c r="D3204" s="10"/>
      <c r="E3204" s="10"/>
      <c r="F3204" s="11"/>
      <c r="G3204" s="11"/>
      <c r="H3204" s="11"/>
      <c r="I3204" s="11"/>
      <c r="J3204" s="11"/>
      <c r="K3204" s="11"/>
      <c r="L3204" s="12"/>
      <c r="M3204" s="11"/>
      <c r="N3204" s="11"/>
      <c r="O3204" s="13"/>
      <c r="P3204" s="14"/>
      <c r="Q3204" s="13"/>
      <c r="R3204" s="13"/>
      <c r="S3204" s="15"/>
      <c r="T3204" s="16"/>
      <c r="U3204" s="16"/>
      <c r="V3204" s="16"/>
      <c r="W3204" s="16"/>
      <c r="X3204" s="16"/>
      <c r="Y3204" s="11"/>
      <c r="Z3204" s="11"/>
      <c r="AA3204" s="11"/>
      <c r="AB3204" s="11"/>
      <c r="AC3204" s="11"/>
      <c r="AD3204" s="11"/>
    </row>
    <row r="3205">
      <c r="A3205" s="10"/>
      <c r="B3205" s="10"/>
      <c r="C3205" s="10"/>
      <c r="D3205" s="10"/>
      <c r="E3205" s="10"/>
      <c r="F3205" s="11"/>
      <c r="G3205" s="11"/>
      <c r="H3205" s="11"/>
      <c r="I3205" s="11"/>
      <c r="J3205" s="11"/>
      <c r="K3205" s="11"/>
      <c r="L3205" s="12"/>
      <c r="M3205" s="11"/>
      <c r="N3205" s="11"/>
      <c r="O3205" s="13"/>
      <c r="P3205" s="14"/>
      <c r="Q3205" s="13"/>
      <c r="R3205" s="13"/>
      <c r="S3205" s="15"/>
      <c r="T3205" s="16"/>
      <c r="U3205" s="16"/>
      <c r="V3205" s="16"/>
      <c r="W3205" s="16"/>
      <c r="X3205" s="16"/>
      <c r="Y3205" s="11"/>
      <c r="Z3205" s="11"/>
      <c r="AA3205" s="11"/>
      <c r="AB3205" s="11"/>
      <c r="AC3205" s="11"/>
      <c r="AD3205" s="11"/>
    </row>
    <row r="3206">
      <c r="A3206" s="10"/>
      <c r="B3206" s="10"/>
      <c r="C3206" s="10"/>
      <c r="D3206" s="10"/>
      <c r="E3206" s="10"/>
      <c r="F3206" s="11"/>
      <c r="G3206" s="11"/>
      <c r="H3206" s="11"/>
      <c r="I3206" s="11"/>
      <c r="J3206" s="11"/>
      <c r="K3206" s="11"/>
      <c r="L3206" s="12"/>
      <c r="M3206" s="11"/>
      <c r="N3206" s="11"/>
      <c r="O3206" s="13"/>
      <c r="P3206" s="14"/>
      <c r="Q3206" s="13"/>
      <c r="R3206" s="13"/>
      <c r="S3206" s="15"/>
      <c r="T3206" s="16"/>
      <c r="U3206" s="16"/>
      <c r="V3206" s="16"/>
      <c r="W3206" s="16"/>
      <c r="X3206" s="16"/>
      <c r="Y3206" s="11"/>
      <c r="Z3206" s="11"/>
      <c r="AA3206" s="11"/>
      <c r="AB3206" s="11"/>
      <c r="AC3206" s="11"/>
      <c r="AD3206" s="11"/>
    </row>
    <row r="3207">
      <c r="A3207" s="10"/>
      <c r="B3207" s="10"/>
      <c r="C3207" s="10"/>
      <c r="D3207" s="10"/>
      <c r="E3207" s="10"/>
      <c r="F3207" s="11"/>
      <c r="G3207" s="11"/>
      <c r="H3207" s="11"/>
      <c r="I3207" s="11"/>
      <c r="J3207" s="11"/>
      <c r="K3207" s="11"/>
      <c r="L3207" s="12"/>
      <c r="M3207" s="11"/>
      <c r="N3207" s="11"/>
      <c r="O3207" s="13"/>
      <c r="P3207" s="14"/>
      <c r="Q3207" s="13"/>
      <c r="R3207" s="13"/>
      <c r="S3207" s="15"/>
      <c r="T3207" s="16"/>
      <c r="U3207" s="16"/>
      <c r="V3207" s="16"/>
      <c r="W3207" s="16"/>
      <c r="X3207" s="16"/>
      <c r="Y3207" s="11"/>
      <c r="Z3207" s="11"/>
      <c r="AA3207" s="11"/>
      <c r="AB3207" s="11"/>
      <c r="AC3207" s="11"/>
      <c r="AD3207" s="11"/>
    </row>
    <row r="3208">
      <c r="A3208" s="10"/>
      <c r="B3208" s="10"/>
      <c r="C3208" s="10"/>
      <c r="D3208" s="10"/>
      <c r="E3208" s="10"/>
      <c r="F3208" s="11"/>
      <c r="G3208" s="11"/>
      <c r="H3208" s="11"/>
      <c r="I3208" s="11"/>
      <c r="J3208" s="11"/>
      <c r="K3208" s="11"/>
      <c r="L3208" s="12"/>
      <c r="M3208" s="11"/>
      <c r="N3208" s="11"/>
      <c r="O3208" s="13"/>
      <c r="P3208" s="14"/>
      <c r="Q3208" s="13"/>
      <c r="R3208" s="13"/>
      <c r="S3208" s="15"/>
      <c r="T3208" s="16"/>
      <c r="U3208" s="16"/>
      <c r="V3208" s="16"/>
      <c r="W3208" s="16"/>
      <c r="X3208" s="16"/>
      <c r="Y3208" s="11"/>
      <c r="Z3208" s="11"/>
      <c r="AA3208" s="11"/>
      <c r="AB3208" s="11"/>
      <c r="AC3208" s="11"/>
      <c r="AD3208" s="11"/>
    </row>
    <row r="3209">
      <c r="A3209" s="10"/>
      <c r="B3209" s="10"/>
      <c r="C3209" s="10"/>
      <c r="D3209" s="10"/>
      <c r="E3209" s="10"/>
      <c r="F3209" s="11"/>
      <c r="G3209" s="11"/>
      <c r="H3209" s="11"/>
      <c r="I3209" s="11"/>
      <c r="J3209" s="11"/>
      <c r="K3209" s="11"/>
      <c r="L3209" s="12"/>
      <c r="M3209" s="11"/>
      <c r="N3209" s="11"/>
      <c r="O3209" s="13"/>
      <c r="P3209" s="14"/>
      <c r="Q3209" s="13"/>
      <c r="R3209" s="13"/>
      <c r="S3209" s="15"/>
      <c r="T3209" s="16"/>
      <c r="U3209" s="16"/>
      <c r="V3209" s="16"/>
      <c r="W3209" s="16"/>
      <c r="X3209" s="16"/>
      <c r="Y3209" s="11"/>
      <c r="Z3209" s="11"/>
      <c r="AA3209" s="11"/>
      <c r="AB3209" s="11"/>
      <c r="AC3209" s="11"/>
      <c r="AD3209" s="11"/>
    </row>
    <row r="3210">
      <c r="A3210" s="10"/>
      <c r="B3210" s="10"/>
      <c r="C3210" s="10"/>
      <c r="D3210" s="10"/>
      <c r="E3210" s="10"/>
      <c r="F3210" s="11"/>
      <c r="G3210" s="11"/>
      <c r="H3210" s="11"/>
      <c r="I3210" s="11"/>
      <c r="J3210" s="11"/>
      <c r="K3210" s="11"/>
      <c r="L3210" s="12"/>
      <c r="M3210" s="11"/>
      <c r="N3210" s="11"/>
      <c r="O3210" s="13"/>
      <c r="P3210" s="14"/>
      <c r="Q3210" s="13"/>
      <c r="R3210" s="13"/>
      <c r="S3210" s="15"/>
      <c r="T3210" s="16"/>
      <c r="U3210" s="16"/>
      <c r="V3210" s="16"/>
      <c r="W3210" s="16"/>
      <c r="X3210" s="16"/>
      <c r="Y3210" s="11"/>
      <c r="Z3210" s="11"/>
      <c r="AA3210" s="11"/>
      <c r="AB3210" s="11"/>
      <c r="AC3210" s="11"/>
      <c r="AD3210" s="11"/>
    </row>
    <row r="3211">
      <c r="A3211" s="10"/>
      <c r="B3211" s="10"/>
      <c r="C3211" s="10"/>
      <c r="D3211" s="10"/>
      <c r="E3211" s="10"/>
      <c r="F3211" s="11"/>
      <c r="G3211" s="11"/>
      <c r="H3211" s="11"/>
      <c r="I3211" s="11"/>
      <c r="J3211" s="11"/>
      <c r="K3211" s="11"/>
      <c r="L3211" s="12"/>
      <c r="M3211" s="11"/>
      <c r="N3211" s="11"/>
      <c r="O3211" s="13"/>
      <c r="P3211" s="14"/>
      <c r="Q3211" s="13"/>
      <c r="R3211" s="13"/>
      <c r="S3211" s="15"/>
      <c r="T3211" s="16"/>
      <c r="U3211" s="16"/>
      <c r="V3211" s="16"/>
      <c r="W3211" s="16"/>
      <c r="X3211" s="16"/>
      <c r="Y3211" s="11"/>
      <c r="Z3211" s="11"/>
      <c r="AA3211" s="11"/>
      <c r="AB3211" s="11"/>
      <c r="AC3211" s="11"/>
      <c r="AD3211" s="11"/>
    </row>
    <row r="3212">
      <c r="A3212" s="10"/>
      <c r="B3212" s="10"/>
      <c r="C3212" s="10"/>
      <c r="D3212" s="10"/>
      <c r="E3212" s="10"/>
      <c r="F3212" s="11"/>
      <c r="G3212" s="11"/>
      <c r="H3212" s="11"/>
      <c r="I3212" s="11"/>
      <c r="J3212" s="11"/>
      <c r="K3212" s="11"/>
      <c r="L3212" s="12"/>
      <c r="M3212" s="11"/>
      <c r="N3212" s="11"/>
      <c r="O3212" s="13"/>
      <c r="P3212" s="14"/>
      <c r="Q3212" s="13"/>
      <c r="R3212" s="13"/>
      <c r="S3212" s="15"/>
      <c r="T3212" s="16"/>
      <c r="U3212" s="16"/>
      <c r="V3212" s="16"/>
      <c r="W3212" s="16"/>
      <c r="X3212" s="16"/>
      <c r="Y3212" s="11"/>
      <c r="Z3212" s="11"/>
      <c r="AA3212" s="11"/>
      <c r="AB3212" s="11"/>
      <c r="AC3212" s="11"/>
      <c r="AD3212" s="11"/>
    </row>
    <row r="3213">
      <c r="A3213" s="10"/>
      <c r="B3213" s="10"/>
      <c r="C3213" s="10"/>
      <c r="D3213" s="10"/>
      <c r="E3213" s="10"/>
      <c r="F3213" s="11"/>
      <c r="G3213" s="11"/>
      <c r="H3213" s="11"/>
      <c r="I3213" s="11"/>
      <c r="J3213" s="11"/>
      <c r="K3213" s="11"/>
      <c r="L3213" s="12"/>
      <c r="M3213" s="11"/>
      <c r="N3213" s="11"/>
      <c r="O3213" s="13"/>
      <c r="P3213" s="14"/>
      <c r="Q3213" s="13"/>
      <c r="R3213" s="13"/>
      <c r="S3213" s="15"/>
      <c r="T3213" s="16"/>
      <c r="U3213" s="16"/>
      <c r="V3213" s="16"/>
      <c r="W3213" s="16"/>
      <c r="X3213" s="16"/>
      <c r="Y3213" s="11"/>
      <c r="Z3213" s="11"/>
      <c r="AA3213" s="11"/>
      <c r="AB3213" s="11"/>
      <c r="AC3213" s="11"/>
      <c r="AD3213" s="11"/>
    </row>
    <row r="3214">
      <c r="A3214" s="10"/>
      <c r="B3214" s="10"/>
      <c r="C3214" s="10"/>
      <c r="D3214" s="10"/>
      <c r="E3214" s="10"/>
      <c r="F3214" s="11"/>
      <c r="G3214" s="11"/>
      <c r="H3214" s="11"/>
      <c r="I3214" s="11"/>
      <c r="J3214" s="11"/>
      <c r="K3214" s="11"/>
      <c r="L3214" s="12"/>
      <c r="M3214" s="11"/>
      <c r="N3214" s="11"/>
      <c r="O3214" s="13"/>
      <c r="P3214" s="14"/>
      <c r="Q3214" s="13"/>
      <c r="R3214" s="13"/>
      <c r="S3214" s="15"/>
      <c r="T3214" s="16"/>
      <c r="U3214" s="16"/>
      <c r="V3214" s="16"/>
      <c r="W3214" s="16"/>
      <c r="X3214" s="16"/>
      <c r="Y3214" s="11"/>
      <c r="Z3214" s="11"/>
      <c r="AA3214" s="11"/>
      <c r="AB3214" s="11"/>
      <c r="AC3214" s="11"/>
      <c r="AD3214" s="11"/>
    </row>
    <row r="3215">
      <c r="A3215" s="10"/>
      <c r="B3215" s="10"/>
      <c r="C3215" s="10"/>
      <c r="D3215" s="10"/>
      <c r="E3215" s="10"/>
      <c r="F3215" s="11"/>
      <c r="G3215" s="11"/>
      <c r="H3215" s="11"/>
      <c r="I3215" s="11"/>
      <c r="J3215" s="11"/>
      <c r="K3215" s="11"/>
      <c r="L3215" s="12"/>
      <c r="M3215" s="11"/>
      <c r="N3215" s="11"/>
      <c r="O3215" s="13"/>
      <c r="P3215" s="14"/>
      <c r="Q3215" s="13"/>
      <c r="R3215" s="13"/>
      <c r="S3215" s="15"/>
      <c r="T3215" s="16"/>
      <c r="U3215" s="16"/>
      <c r="V3215" s="16"/>
      <c r="W3215" s="16"/>
      <c r="X3215" s="16"/>
      <c r="Y3215" s="11"/>
      <c r="Z3215" s="11"/>
      <c r="AA3215" s="11"/>
      <c r="AB3215" s="11"/>
      <c r="AC3215" s="11"/>
      <c r="AD3215" s="11"/>
    </row>
    <row r="3216">
      <c r="A3216" s="10"/>
      <c r="B3216" s="10"/>
      <c r="C3216" s="10"/>
      <c r="D3216" s="10"/>
      <c r="E3216" s="10"/>
      <c r="F3216" s="11"/>
      <c r="G3216" s="11"/>
      <c r="H3216" s="11"/>
      <c r="I3216" s="11"/>
      <c r="J3216" s="11"/>
      <c r="K3216" s="11"/>
      <c r="L3216" s="12"/>
      <c r="M3216" s="11"/>
      <c r="N3216" s="11"/>
      <c r="O3216" s="13"/>
      <c r="P3216" s="14"/>
      <c r="Q3216" s="13"/>
      <c r="R3216" s="13"/>
      <c r="S3216" s="15"/>
      <c r="T3216" s="16"/>
      <c r="U3216" s="16"/>
      <c r="V3216" s="16"/>
      <c r="W3216" s="16"/>
      <c r="X3216" s="16"/>
      <c r="Y3216" s="11"/>
      <c r="Z3216" s="11"/>
      <c r="AA3216" s="11"/>
      <c r="AB3216" s="11"/>
      <c r="AC3216" s="11"/>
      <c r="AD3216" s="11"/>
    </row>
    <row r="3217">
      <c r="A3217" s="10"/>
      <c r="B3217" s="10"/>
      <c r="C3217" s="10"/>
      <c r="D3217" s="10"/>
      <c r="E3217" s="10"/>
      <c r="F3217" s="11"/>
      <c r="G3217" s="11"/>
      <c r="H3217" s="11"/>
      <c r="I3217" s="11"/>
      <c r="J3217" s="11"/>
      <c r="K3217" s="11"/>
      <c r="L3217" s="12"/>
      <c r="M3217" s="11"/>
      <c r="N3217" s="11"/>
      <c r="O3217" s="13"/>
      <c r="P3217" s="14"/>
      <c r="Q3217" s="13"/>
      <c r="R3217" s="13"/>
      <c r="S3217" s="15"/>
      <c r="T3217" s="16"/>
      <c r="U3217" s="16"/>
      <c r="V3217" s="16"/>
      <c r="W3217" s="16"/>
      <c r="X3217" s="16"/>
      <c r="Y3217" s="11"/>
      <c r="Z3217" s="11"/>
      <c r="AA3217" s="11"/>
      <c r="AB3217" s="11"/>
      <c r="AC3217" s="11"/>
      <c r="AD3217" s="11"/>
    </row>
    <row r="3218">
      <c r="A3218" s="10"/>
      <c r="B3218" s="10"/>
      <c r="C3218" s="10"/>
      <c r="D3218" s="10"/>
      <c r="E3218" s="10"/>
      <c r="F3218" s="11"/>
      <c r="G3218" s="11"/>
      <c r="H3218" s="11"/>
      <c r="I3218" s="11"/>
      <c r="J3218" s="11"/>
      <c r="K3218" s="11"/>
      <c r="L3218" s="12"/>
      <c r="M3218" s="11"/>
      <c r="N3218" s="11"/>
      <c r="O3218" s="13"/>
      <c r="P3218" s="14"/>
      <c r="Q3218" s="13"/>
      <c r="R3218" s="13"/>
      <c r="S3218" s="15"/>
      <c r="T3218" s="16"/>
      <c r="U3218" s="16"/>
      <c r="V3218" s="16"/>
      <c r="W3218" s="16"/>
      <c r="X3218" s="16"/>
      <c r="Y3218" s="11"/>
      <c r="Z3218" s="11"/>
      <c r="AA3218" s="11"/>
      <c r="AB3218" s="11"/>
      <c r="AC3218" s="11"/>
      <c r="AD3218" s="11"/>
    </row>
    <row r="3219">
      <c r="A3219" s="10"/>
      <c r="B3219" s="10"/>
      <c r="C3219" s="10"/>
      <c r="D3219" s="10"/>
      <c r="E3219" s="10"/>
      <c r="F3219" s="11"/>
      <c r="G3219" s="11"/>
      <c r="H3219" s="11"/>
      <c r="I3219" s="11"/>
      <c r="J3219" s="11"/>
      <c r="K3219" s="11"/>
      <c r="L3219" s="12"/>
      <c r="M3219" s="11"/>
      <c r="N3219" s="11"/>
      <c r="O3219" s="13"/>
      <c r="P3219" s="14"/>
      <c r="Q3219" s="13"/>
      <c r="R3219" s="13"/>
      <c r="S3219" s="15"/>
      <c r="T3219" s="16"/>
      <c r="U3219" s="16"/>
      <c r="V3219" s="16"/>
      <c r="W3219" s="16"/>
      <c r="X3219" s="16"/>
      <c r="Y3219" s="11"/>
      <c r="Z3219" s="11"/>
      <c r="AA3219" s="11"/>
      <c r="AB3219" s="11"/>
      <c r="AC3219" s="11"/>
      <c r="AD3219" s="11"/>
    </row>
    <row r="3220">
      <c r="A3220" s="10"/>
      <c r="B3220" s="10"/>
      <c r="C3220" s="10"/>
      <c r="D3220" s="10"/>
      <c r="E3220" s="10"/>
      <c r="F3220" s="11"/>
      <c r="G3220" s="11"/>
      <c r="H3220" s="11"/>
      <c r="I3220" s="11"/>
      <c r="J3220" s="11"/>
      <c r="K3220" s="11"/>
      <c r="L3220" s="12"/>
      <c r="M3220" s="11"/>
      <c r="N3220" s="11"/>
      <c r="O3220" s="13"/>
      <c r="P3220" s="14"/>
      <c r="Q3220" s="13"/>
      <c r="R3220" s="13"/>
      <c r="S3220" s="15"/>
      <c r="T3220" s="16"/>
      <c r="U3220" s="16"/>
      <c r="V3220" s="16"/>
      <c r="W3220" s="16"/>
      <c r="X3220" s="16"/>
      <c r="Y3220" s="11"/>
      <c r="Z3220" s="11"/>
      <c r="AA3220" s="11"/>
      <c r="AB3220" s="11"/>
      <c r="AC3220" s="11"/>
      <c r="AD3220" s="11"/>
    </row>
    <row r="3221">
      <c r="A3221" s="10"/>
      <c r="B3221" s="10"/>
      <c r="C3221" s="10"/>
      <c r="D3221" s="10"/>
      <c r="E3221" s="10"/>
      <c r="F3221" s="11"/>
      <c r="G3221" s="11"/>
      <c r="H3221" s="11"/>
      <c r="I3221" s="11"/>
      <c r="J3221" s="11"/>
      <c r="K3221" s="11"/>
      <c r="L3221" s="12"/>
      <c r="M3221" s="11"/>
      <c r="N3221" s="11"/>
      <c r="O3221" s="13"/>
      <c r="P3221" s="14"/>
      <c r="Q3221" s="13"/>
      <c r="R3221" s="13"/>
      <c r="S3221" s="15"/>
      <c r="T3221" s="16"/>
      <c r="U3221" s="16"/>
      <c r="V3221" s="16"/>
      <c r="W3221" s="16"/>
      <c r="X3221" s="16"/>
      <c r="Y3221" s="11"/>
      <c r="Z3221" s="11"/>
      <c r="AA3221" s="11"/>
      <c r="AB3221" s="11"/>
      <c r="AC3221" s="11"/>
      <c r="AD3221" s="11"/>
    </row>
    <row r="3222">
      <c r="A3222" s="10"/>
      <c r="B3222" s="10"/>
      <c r="C3222" s="10"/>
      <c r="D3222" s="10"/>
      <c r="E3222" s="10"/>
      <c r="F3222" s="11"/>
      <c r="G3222" s="11"/>
      <c r="H3222" s="11"/>
      <c r="I3222" s="11"/>
      <c r="J3222" s="11"/>
      <c r="K3222" s="11"/>
      <c r="L3222" s="12"/>
      <c r="M3222" s="11"/>
      <c r="N3222" s="11"/>
      <c r="O3222" s="13"/>
      <c r="P3222" s="14"/>
      <c r="Q3222" s="13"/>
      <c r="R3222" s="13"/>
      <c r="S3222" s="15"/>
      <c r="T3222" s="16"/>
      <c r="U3222" s="16"/>
      <c r="V3222" s="16"/>
      <c r="W3222" s="16"/>
      <c r="X3222" s="16"/>
      <c r="Y3222" s="11"/>
      <c r="Z3222" s="11"/>
      <c r="AA3222" s="11"/>
      <c r="AB3222" s="11"/>
      <c r="AC3222" s="11"/>
      <c r="AD3222" s="11"/>
    </row>
    <row r="3223">
      <c r="A3223" s="10"/>
      <c r="B3223" s="10"/>
      <c r="C3223" s="10"/>
      <c r="D3223" s="10"/>
      <c r="E3223" s="10"/>
      <c r="F3223" s="11"/>
      <c r="G3223" s="11"/>
      <c r="H3223" s="11"/>
      <c r="I3223" s="11"/>
      <c r="J3223" s="11"/>
      <c r="K3223" s="11"/>
      <c r="L3223" s="12"/>
      <c r="M3223" s="11"/>
      <c r="N3223" s="11"/>
      <c r="O3223" s="13"/>
      <c r="P3223" s="14"/>
      <c r="Q3223" s="13"/>
      <c r="R3223" s="13"/>
      <c r="S3223" s="15"/>
      <c r="T3223" s="16"/>
      <c r="U3223" s="16"/>
      <c r="V3223" s="16"/>
      <c r="W3223" s="16"/>
      <c r="X3223" s="16"/>
      <c r="Y3223" s="11"/>
      <c r="Z3223" s="11"/>
      <c r="AA3223" s="11"/>
      <c r="AB3223" s="11"/>
      <c r="AC3223" s="11"/>
      <c r="AD3223" s="11"/>
    </row>
    <row r="3224">
      <c r="A3224" s="10"/>
      <c r="B3224" s="10"/>
      <c r="C3224" s="10"/>
      <c r="D3224" s="10"/>
      <c r="E3224" s="10"/>
      <c r="F3224" s="11"/>
      <c r="G3224" s="11"/>
      <c r="H3224" s="11"/>
      <c r="I3224" s="11"/>
      <c r="J3224" s="11"/>
      <c r="K3224" s="11"/>
      <c r="L3224" s="12"/>
      <c r="M3224" s="11"/>
      <c r="N3224" s="11"/>
      <c r="O3224" s="13"/>
      <c r="P3224" s="14"/>
      <c r="Q3224" s="13"/>
      <c r="R3224" s="13"/>
      <c r="S3224" s="15"/>
      <c r="T3224" s="16"/>
      <c r="U3224" s="16"/>
      <c r="V3224" s="16"/>
      <c r="W3224" s="16"/>
      <c r="X3224" s="16"/>
      <c r="Y3224" s="11"/>
      <c r="Z3224" s="11"/>
      <c r="AA3224" s="11"/>
      <c r="AB3224" s="11"/>
      <c r="AC3224" s="11"/>
      <c r="AD3224" s="11"/>
    </row>
    <row r="3225">
      <c r="A3225" s="10"/>
      <c r="B3225" s="10"/>
      <c r="C3225" s="10"/>
      <c r="D3225" s="10"/>
      <c r="E3225" s="10"/>
      <c r="F3225" s="11"/>
      <c r="G3225" s="11"/>
      <c r="H3225" s="11"/>
      <c r="I3225" s="11"/>
      <c r="J3225" s="11"/>
      <c r="K3225" s="11"/>
      <c r="L3225" s="12"/>
      <c r="M3225" s="11"/>
      <c r="N3225" s="11"/>
      <c r="O3225" s="13"/>
      <c r="P3225" s="14"/>
      <c r="Q3225" s="13"/>
      <c r="R3225" s="13"/>
      <c r="S3225" s="15"/>
      <c r="T3225" s="16"/>
      <c r="U3225" s="16"/>
      <c r="V3225" s="16"/>
      <c r="W3225" s="16"/>
      <c r="X3225" s="16"/>
      <c r="Y3225" s="11"/>
      <c r="Z3225" s="11"/>
      <c r="AA3225" s="11"/>
      <c r="AB3225" s="11"/>
      <c r="AC3225" s="11"/>
      <c r="AD3225" s="11"/>
    </row>
    <row r="3226">
      <c r="A3226" s="10"/>
      <c r="B3226" s="10"/>
      <c r="C3226" s="10"/>
      <c r="D3226" s="10"/>
      <c r="E3226" s="10"/>
      <c r="F3226" s="11"/>
      <c r="G3226" s="11"/>
      <c r="H3226" s="11"/>
      <c r="I3226" s="11"/>
      <c r="J3226" s="11"/>
      <c r="K3226" s="11"/>
      <c r="L3226" s="12"/>
      <c r="M3226" s="11"/>
      <c r="N3226" s="11"/>
      <c r="O3226" s="13"/>
      <c r="P3226" s="14"/>
      <c r="Q3226" s="13"/>
      <c r="R3226" s="13"/>
      <c r="S3226" s="15"/>
      <c r="T3226" s="16"/>
      <c r="U3226" s="16"/>
      <c r="V3226" s="16"/>
      <c r="W3226" s="16"/>
      <c r="X3226" s="16"/>
      <c r="Y3226" s="11"/>
      <c r="Z3226" s="11"/>
      <c r="AA3226" s="11"/>
      <c r="AB3226" s="11"/>
      <c r="AC3226" s="11"/>
      <c r="AD3226" s="11"/>
    </row>
    <row r="3227">
      <c r="A3227" s="10"/>
      <c r="B3227" s="10"/>
      <c r="C3227" s="10"/>
      <c r="D3227" s="10"/>
      <c r="E3227" s="10"/>
      <c r="F3227" s="11"/>
      <c r="G3227" s="11"/>
      <c r="H3227" s="11"/>
      <c r="I3227" s="11"/>
      <c r="J3227" s="11"/>
      <c r="K3227" s="11"/>
      <c r="L3227" s="12"/>
      <c r="M3227" s="11"/>
      <c r="N3227" s="11"/>
      <c r="O3227" s="13"/>
      <c r="P3227" s="14"/>
      <c r="Q3227" s="13"/>
      <c r="R3227" s="13"/>
      <c r="S3227" s="15"/>
      <c r="T3227" s="16"/>
      <c r="U3227" s="16"/>
      <c r="V3227" s="16"/>
      <c r="W3227" s="16"/>
      <c r="X3227" s="16"/>
      <c r="Y3227" s="11"/>
      <c r="Z3227" s="11"/>
      <c r="AA3227" s="11"/>
      <c r="AB3227" s="11"/>
      <c r="AC3227" s="11"/>
      <c r="AD3227" s="11"/>
    </row>
    <row r="3228">
      <c r="A3228" s="10"/>
      <c r="B3228" s="10"/>
      <c r="C3228" s="10"/>
      <c r="D3228" s="10"/>
      <c r="E3228" s="10"/>
      <c r="F3228" s="11"/>
      <c r="G3228" s="11"/>
      <c r="H3228" s="11"/>
      <c r="I3228" s="11"/>
      <c r="J3228" s="11"/>
      <c r="K3228" s="11"/>
      <c r="L3228" s="12"/>
      <c r="M3228" s="11"/>
      <c r="N3228" s="11"/>
      <c r="O3228" s="13"/>
      <c r="P3228" s="14"/>
      <c r="Q3228" s="13"/>
      <c r="R3228" s="13"/>
      <c r="S3228" s="15"/>
      <c r="T3228" s="16"/>
      <c r="U3228" s="16"/>
      <c r="V3228" s="16"/>
      <c r="W3228" s="16"/>
      <c r="X3228" s="16"/>
      <c r="Y3228" s="11"/>
      <c r="Z3228" s="11"/>
      <c r="AA3228" s="11"/>
      <c r="AB3228" s="11"/>
      <c r="AC3228" s="11"/>
      <c r="AD3228" s="11"/>
    </row>
    <row r="3229">
      <c r="A3229" s="10"/>
      <c r="B3229" s="10"/>
      <c r="C3229" s="10"/>
      <c r="D3229" s="10"/>
      <c r="E3229" s="10"/>
      <c r="F3229" s="11"/>
      <c r="G3229" s="11"/>
      <c r="H3229" s="11"/>
      <c r="I3229" s="11"/>
      <c r="J3229" s="11"/>
      <c r="K3229" s="11"/>
      <c r="L3229" s="12"/>
      <c r="M3229" s="11"/>
      <c r="N3229" s="11"/>
      <c r="O3229" s="13"/>
      <c r="P3229" s="14"/>
      <c r="Q3229" s="13"/>
      <c r="R3229" s="13"/>
      <c r="S3229" s="15"/>
      <c r="T3229" s="16"/>
      <c r="U3229" s="16"/>
      <c r="V3229" s="16"/>
      <c r="W3229" s="16"/>
      <c r="X3229" s="16"/>
      <c r="Y3229" s="11"/>
      <c r="Z3229" s="11"/>
      <c r="AA3229" s="11"/>
      <c r="AB3229" s="11"/>
      <c r="AC3229" s="11"/>
      <c r="AD3229" s="11"/>
    </row>
    <row r="3230">
      <c r="A3230" s="10"/>
      <c r="B3230" s="10"/>
      <c r="C3230" s="10"/>
      <c r="D3230" s="10"/>
      <c r="E3230" s="10"/>
      <c r="F3230" s="11"/>
      <c r="G3230" s="11"/>
      <c r="H3230" s="11"/>
      <c r="I3230" s="11"/>
      <c r="J3230" s="11"/>
      <c r="K3230" s="11"/>
      <c r="L3230" s="12"/>
      <c r="M3230" s="11"/>
      <c r="N3230" s="11"/>
      <c r="O3230" s="13"/>
      <c r="P3230" s="14"/>
      <c r="Q3230" s="13"/>
      <c r="R3230" s="13"/>
      <c r="S3230" s="15"/>
      <c r="T3230" s="16"/>
      <c r="U3230" s="16"/>
      <c r="V3230" s="16"/>
      <c r="W3230" s="16"/>
      <c r="X3230" s="16"/>
      <c r="Y3230" s="11"/>
      <c r="Z3230" s="11"/>
      <c r="AA3230" s="11"/>
      <c r="AB3230" s="11"/>
      <c r="AC3230" s="11"/>
      <c r="AD3230" s="11"/>
    </row>
    <row r="3231">
      <c r="A3231" s="10"/>
      <c r="B3231" s="10"/>
      <c r="C3231" s="10"/>
      <c r="D3231" s="10"/>
      <c r="E3231" s="10"/>
      <c r="F3231" s="11"/>
      <c r="G3231" s="11"/>
      <c r="H3231" s="11"/>
      <c r="I3231" s="11"/>
      <c r="J3231" s="11"/>
      <c r="K3231" s="11"/>
      <c r="L3231" s="12"/>
      <c r="M3231" s="11"/>
      <c r="N3231" s="11"/>
      <c r="O3231" s="13"/>
      <c r="P3231" s="14"/>
      <c r="Q3231" s="13"/>
      <c r="R3231" s="13"/>
      <c r="S3231" s="15"/>
      <c r="T3231" s="16"/>
      <c r="U3231" s="16"/>
      <c r="V3231" s="16"/>
      <c r="W3231" s="16"/>
      <c r="X3231" s="16"/>
      <c r="Y3231" s="11"/>
      <c r="Z3231" s="11"/>
      <c r="AA3231" s="11"/>
      <c r="AB3231" s="11"/>
      <c r="AC3231" s="11"/>
      <c r="AD3231" s="11"/>
    </row>
    <row r="3232">
      <c r="A3232" s="10"/>
      <c r="B3232" s="10"/>
      <c r="C3232" s="10"/>
      <c r="D3232" s="10"/>
      <c r="E3232" s="10"/>
      <c r="F3232" s="11"/>
      <c r="G3232" s="11"/>
      <c r="H3232" s="11"/>
      <c r="I3232" s="11"/>
      <c r="J3232" s="11"/>
      <c r="K3232" s="11"/>
      <c r="L3232" s="12"/>
      <c r="M3232" s="11"/>
      <c r="N3232" s="11"/>
      <c r="O3232" s="13"/>
      <c r="P3232" s="14"/>
      <c r="Q3232" s="13"/>
      <c r="R3232" s="13"/>
      <c r="S3232" s="15"/>
      <c r="T3232" s="16"/>
      <c r="U3232" s="16"/>
      <c r="V3232" s="16"/>
      <c r="W3232" s="16"/>
      <c r="X3232" s="16"/>
      <c r="Y3232" s="11"/>
      <c r="Z3232" s="11"/>
      <c r="AA3232" s="11"/>
      <c r="AB3232" s="11"/>
      <c r="AC3232" s="11"/>
      <c r="AD3232" s="11"/>
    </row>
    <row r="3233">
      <c r="A3233" s="10"/>
      <c r="B3233" s="10"/>
      <c r="C3233" s="10"/>
      <c r="D3233" s="10"/>
      <c r="E3233" s="10"/>
      <c r="F3233" s="11"/>
      <c r="G3233" s="11"/>
      <c r="H3233" s="11"/>
      <c r="I3233" s="11"/>
      <c r="J3233" s="11"/>
      <c r="K3233" s="11"/>
      <c r="L3233" s="12"/>
      <c r="M3233" s="11"/>
      <c r="N3233" s="11"/>
      <c r="O3233" s="13"/>
      <c r="P3233" s="14"/>
      <c r="Q3233" s="13"/>
      <c r="R3233" s="13"/>
      <c r="S3233" s="15"/>
      <c r="T3233" s="16"/>
      <c r="U3233" s="16"/>
      <c r="V3233" s="16"/>
      <c r="W3233" s="16"/>
      <c r="X3233" s="16"/>
      <c r="Y3233" s="11"/>
      <c r="Z3233" s="11"/>
      <c r="AA3233" s="11"/>
      <c r="AB3233" s="11"/>
      <c r="AC3233" s="11"/>
      <c r="AD3233" s="11"/>
    </row>
    <row r="3234">
      <c r="A3234" s="10"/>
      <c r="B3234" s="10"/>
      <c r="C3234" s="10"/>
      <c r="D3234" s="10"/>
      <c r="E3234" s="10"/>
      <c r="F3234" s="11"/>
      <c r="G3234" s="11"/>
      <c r="H3234" s="11"/>
      <c r="I3234" s="11"/>
      <c r="J3234" s="11"/>
      <c r="K3234" s="11"/>
      <c r="L3234" s="12"/>
      <c r="M3234" s="11"/>
      <c r="N3234" s="11"/>
      <c r="O3234" s="13"/>
      <c r="P3234" s="14"/>
      <c r="Q3234" s="13"/>
      <c r="R3234" s="13"/>
      <c r="S3234" s="15"/>
      <c r="T3234" s="16"/>
      <c r="U3234" s="16"/>
      <c r="V3234" s="16"/>
      <c r="W3234" s="16"/>
      <c r="X3234" s="16"/>
      <c r="Y3234" s="11"/>
      <c r="Z3234" s="11"/>
      <c r="AA3234" s="11"/>
      <c r="AB3234" s="11"/>
      <c r="AC3234" s="11"/>
      <c r="AD3234" s="11"/>
    </row>
    <row r="3235">
      <c r="A3235" s="10"/>
      <c r="B3235" s="10"/>
      <c r="C3235" s="10"/>
      <c r="D3235" s="10"/>
      <c r="E3235" s="10"/>
      <c r="F3235" s="11"/>
      <c r="G3235" s="11"/>
      <c r="H3235" s="11"/>
      <c r="I3235" s="11"/>
      <c r="J3235" s="11"/>
      <c r="K3235" s="11"/>
      <c r="L3235" s="12"/>
      <c r="M3235" s="11"/>
      <c r="N3235" s="11"/>
      <c r="O3235" s="13"/>
      <c r="P3235" s="14"/>
      <c r="Q3235" s="13"/>
      <c r="R3235" s="13"/>
      <c r="S3235" s="15"/>
      <c r="T3235" s="16"/>
      <c r="U3235" s="16"/>
      <c r="V3235" s="16"/>
      <c r="W3235" s="16"/>
      <c r="X3235" s="16"/>
      <c r="Y3235" s="11"/>
      <c r="Z3235" s="11"/>
      <c r="AA3235" s="11"/>
      <c r="AB3235" s="11"/>
      <c r="AC3235" s="11"/>
      <c r="AD3235" s="11"/>
    </row>
    <row r="3236">
      <c r="A3236" s="10"/>
      <c r="B3236" s="10"/>
      <c r="C3236" s="10"/>
      <c r="D3236" s="10"/>
      <c r="E3236" s="10"/>
      <c r="F3236" s="11"/>
      <c r="G3236" s="11"/>
      <c r="H3236" s="11"/>
      <c r="I3236" s="11"/>
      <c r="J3236" s="11"/>
      <c r="K3236" s="11"/>
      <c r="L3236" s="12"/>
      <c r="M3236" s="11"/>
      <c r="N3236" s="11"/>
      <c r="O3236" s="13"/>
      <c r="P3236" s="14"/>
      <c r="Q3236" s="13"/>
      <c r="R3236" s="13"/>
      <c r="S3236" s="15"/>
      <c r="T3236" s="16"/>
      <c r="U3236" s="16"/>
      <c r="V3236" s="16"/>
      <c r="W3236" s="16"/>
      <c r="X3236" s="16"/>
      <c r="Y3236" s="11"/>
      <c r="Z3236" s="11"/>
      <c r="AA3236" s="11"/>
      <c r="AB3236" s="11"/>
      <c r="AC3236" s="11"/>
      <c r="AD3236" s="11"/>
    </row>
    <row r="3237">
      <c r="A3237" s="10"/>
      <c r="B3237" s="10"/>
      <c r="C3237" s="10"/>
      <c r="D3237" s="10"/>
      <c r="E3237" s="10"/>
      <c r="F3237" s="11"/>
      <c r="G3237" s="11"/>
      <c r="H3237" s="11"/>
      <c r="I3237" s="11"/>
      <c r="J3237" s="11"/>
      <c r="K3237" s="11"/>
      <c r="L3237" s="12"/>
      <c r="M3237" s="11"/>
      <c r="N3237" s="11"/>
      <c r="O3237" s="13"/>
      <c r="P3237" s="14"/>
      <c r="Q3237" s="13"/>
      <c r="R3237" s="13"/>
      <c r="S3237" s="15"/>
      <c r="T3237" s="16"/>
      <c r="U3237" s="16"/>
      <c r="V3237" s="16"/>
      <c r="W3237" s="16"/>
      <c r="X3237" s="16"/>
      <c r="Y3237" s="11"/>
      <c r="Z3237" s="11"/>
      <c r="AA3237" s="11"/>
      <c r="AB3237" s="11"/>
      <c r="AC3237" s="11"/>
      <c r="AD3237" s="11"/>
    </row>
    <row r="3238">
      <c r="A3238" s="10"/>
      <c r="B3238" s="10"/>
      <c r="C3238" s="10"/>
      <c r="D3238" s="10"/>
      <c r="E3238" s="10"/>
      <c r="F3238" s="11"/>
      <c r="G3238" s="11"/>
      <c r="H3238" s="11"/>
      <c r="I3238" s="11"/>
      <c r="J3238" s="11"/>
      <c r="K3238" s="11"/>
      <c r="L3238" s="12"/>
      <c r="M3238" s="11"/>
      <c r="N3238" s="11"/>
      <c r="O3238" s="13"/>
      <c r="P3238" s="14"/>
      <c r="Q3238" s="13"/>
      <c r="R3238" s="13"/>
      <c r="S3238" s="15"/>
      <c r="T3238" s="16"/>
      <c r="U3238" s="16"/>
      <c r="V3238" s="16"/>
      <c r="W3238" s="16"/>
      <c r="X3238" s="16"/>
      <c r="Y3238" s="11"/>
      <c r="Z3238" s="11"/>
      <c r="AA3238" s="11"/>
      <c r="AB3238" s="11"/>
      <c r="AC3238" s="11"/>
      <c r="AD3238" s="11"/>
    </row>
    <row r="3239">
      <c r="A3239" s="10"/>
      <c r="B3239" s="10"/>
      <c r="C3239" s="10"/>
      <c r="D3239" s="10"/>
      <c r="E3239" s="10"/>
      <c r="F3239" s="11"/>
      <c r="G3239" s="11"/>
      <c r="H3239" s="11"/>
      <c r="I3239" s="11"/>
      <c r="J3239" s="11"/>
      <c r="K3239" s="11"/>
      <c r="L3239" s="12"/>
      <c r="M3239" s="11"/>
      <c r="N3239" s="11"/>
      <c r="O3239" s="13"/>
      <c r="P3239" s="14"/>
      <c r="Q3239" s="13"/>
      <c r="R3239" s="13"/>
      <c r="S3239" s="15"/>
      <c r="T3239" s="16"/>
      <c r="U3239" s="16"/>
      <c r="V3239" s="16"/>
      <c r="W3239" s="16"/>
      <c r="X3239" s="16"/>
      <c r="Y3239" s="11"/>
      <c r="Z3239" s="11"/>
      <c r="AA3239" s="11"/>
      <c r="AB3239" s="11"/>
      <c r="AC3239" s="11"/>
      <c r="AD3239" s="11"/>
    </row>
    <row r="3240">
      <c r="A3240" s="10"/>
      <c r="B3240" s="10"/>
      <c r="C3240" s="10"/>
      <c r="D3240" s="10"/>
      <c r="E3240" s="10"/>
      <c r="F3240" s="11"/>
      <c r="G3240" s="11"/>
      <c r="H3240" s="11"/>
      <c r="I3240" s="11"/>
      <c r="J3240" s="11"/>
      <c r="K3240" s="11"/>
      <c r="L3240" s="12"/>
      <c r="M3240" s="11"/>
      <c r="N3240" s="11"/>
      <c r="O3240" s="13"/>
      <c r="P3240" s="14"/>
      <c r="Q3240" s="13"/>
      <c r="R3240" s="13"/>
      <c r="S3240" s="15"/>
      <c r="T3240" s="16"/>
      <c r="U3240" s="16"/>
      <c r="V3240" s="16"/>
      <c r="W3240" s="16"/>
      <c r="X3240" s="16"/>
      <c r="Y3240" s="11"/>
      <c r="Z3240" s="11"/>
      <c r="AA3240" s="11"/>
      <c r="AB3240" s="11"/>
      <c r="AC3240" s="11"/>
      <c r="AD3240" s="11"/>
    </row>
    <row r="3241">
      <c r="A3241" s="10"/>
      <c r="B3241" s="10"/>
      <c r="C3241" s="10"/>
      <c r="D3241" s="10"/>
      <c r="E3241" s="10"/>
      <c r="F3241" s="11"/>
      <c r="G3241" s="11"/>
      <c r="H3241" s="11"/>
      <c r="I3241" s="11"/>
      <c r="J3241" s="11"/>
      <c r="K3241" s="11"/>
      <c r="L3241" s="12"/>
      <c r="M3241" s="11"/>
      <c r="N3241" s="11"/>
      <c r="O3241" s="13"/>
      <c r="P3241" s="14"/>
      <c r="Q3241" s="13"/>
      <c r="R3241" s="13"/>
      <c r="S3241" s="15"/>
      <c r="T3241" s="16"/>
      <c r="U3241" s="16"/>
      <c r="V3241" s="16"/>
      <c r="W3241" s="16"/>
      <c r="X3241" s="16"/>
      <c r="Y3241" s="11"/>
      <c r="Z3241" s="11"/>
      <c r="AA3241" s="11"/>
      <c r="AB3241" s="11"/>
      <c r="AC3241" s="11"/>
      <c r="AD3241" s="11"/>
    </row>
    <row r="3242">
      <c r="A3242" s="10"/>
      <c r="B3242" s="10"/>
      <c r="C3242" s="10"/>
      <c r="D3242" s="10"/>
      <c r="E3242" s="10"/>
      <c r="F3242" s="11"/>
      <c r="G3242" s="11"/>
      <c r="H3242" s="11"/>
      <c r="I3242" s="11"/>
      <c r="J3242" s="11"/>
      <c r="K3242" s="11"/>
      <c r="L3242" s="12"/>
      <c r="M3242" s="11"/>
      <c r="N3242" s="11"/>
      <c r="O3242" s="13"/>
      <c r="P3242" s="14"/>
      <c r="Q3242" s="13"/>
      <c r="R3242" s="13"/>
      <c r="S3242" s="15"/>
      <c r="T3242" s="16"/>
      <c r="U3242" s="16"/>
      <c r="V3242" s="16"/>
      <c r="W3242" s="16"/>
      <c r="X3242" s="16"/>
      <c r="Y3242" s="11"/>
      <c r="Z3242" s="11"/>
      <c r="AA3242" s="11"/>
      <c r="AB3242" s="11"/>
      <c r="AC3242" s="11"/>
      <c r="AD3242" s="11"/>
    </row>
    <row r="3243">
      <c r="A3243" s="10"/>
      <c r="B3243" s="10"/>
      <c r="C3243" s="10"/>
      <c r="D3243" s="10"/>
      <c r="E3243" s="10"/>
      <c r="F3243" s="11"/>
      <c r="G3243" s="11"/>
      <c r="H3243" s="11"/>
      <c r="I3243" s="11"/>
      <c r="J3243" s="11"/>
      <c r="K3243" s="11"/>
      <c r="L3243" s="12"/>
      <c r="M3243" s="11"/>
      <c r="N3243" s="11"/>
      <c r="O3243" s="13"/>
      <c r="P3243" s="14"/>
      <c r="Q3243" s="13"/>
      <c r="R3243" s="13"/>
      <c r="S3243" s="15"/>
      <c r="T3243" s="16"/>
      <c r="U3243" s="16"/>
      <c r="V3243" s="16"/>
      <c r="W3243" s="16"/>
      <c r="X3243" s="16"/>
      <c r="Y3243" s="11"/>
      <c r="Z3243" s="11"/>
      <c r="AA3243" s="11"/>
      <c r="AB3243" s="11"/>
      <c r="AC3243" s="11"/>
      <c r="AD3243" s="11"/>
    </row>
    <row r="3244">
      <c r="A3244" s="10"/>
      <c r="B3244" s="10"/>
      <c r="C3244" s="10"/>
      <c r="D3244" s="10"/>
      <c r="E3244" s="10"/>
      <c r="F3244" s="11"/>
      <c r="G3244" s="11"/>
      <c r="H3244" s="11"/>
      <c r="I3244" s="11"/>
      <c r="J3244" s="11"/>
      <c r="K3244" s="11"/>
      <c r="L3244" s="12"/>
      <c r="M3244" s="11"/>
      <c r="N3244" s="11"/>
      <c r="O3244" s="13"/>
      <c r="P3244" s="14"/>
      <c r="Q3244" s="13"/>
      <c r="R3244" s="13"/>
      <c r="S3244" s="15"/>
      <c r="T3244" s="16"/>
      <c r="U3244" s="16"/>
      <c r="V3244" s="16"/>
      <c r="W3244" s="16"/>
      <c r="X3244" s="16"/>
      <c r="Y3244" s="11"/>
      <c r="Z3244" s="11"/>
      <c r="AA3244" s="11"/>
      <c r="AB3244" s="11"/>
      <c r="AC3244" s="11"/>
      <c r="AD3244" s="11"/>
    </row>
    <row r="3245">
      <c r="A3245" s="10"/>
      <c r="B3245" s="10"/>
      <c r="C3245" s="10"/>
      <c r="D3245" s="10"/>
      <c r="E3245" s="10"/>
      <c r="F3245" s="11"/>
      <c r="G3245" s="11"/>
      <c r="H3245" s="11"/>
      <c r="I3245" s="11"/>
      <c r="J3245" s="11"/>
      <c r="K3245" s="11"/>
      <c r="L3245" s="12"/>
      <c r="M3245" s="11"/>
      <c r="N3245" s="11"/>
      <c r="O3245" s="13"/>
      <c r="P3245" s="14"/>
      <c r="Q3245" s="13"/>
      <c r="R3245" s="13"/>
      <c r="S3245" s="15"/>
      <c r="T3245" s="16"/>
      <c r="U3245" s="16"/>
      <c r="V3245" s="16"/>
      <c r="W3245" s="16"/>
      <c r="X3245" s="16"/>
      <c r="Y3245" s="11"/>
      <c r="Z3245" s="11"/>
      <c r="AA3245" s="11"/>
      <c r="AB3245" s="11"/>
      <c r="AC3245" s="11"/>
      <c r="AD3245" s="11"/>
    </row>
    <row r="3246">
      <c r="A3246" s="10"/>
      <c r="B3246" s="10"/>
      <c r="C3246" s="10"/>
      <c r="D3246" s="10"/>
      <c r="E3246" s="10"/>
      <c r="F3246" s="11"/>
      <c r="G3246" s="11"/>
      <c r="H3246" s="11"/>
      <c r="I3246" s="11"/>
      <c r="J3246" s="11"/>
      <c r="K3246" s="11"/>
      <c r="L3246" s="12"/>
      <c r="M3246" s="11"/>
      <c r="N3246" s="11"/>
      <c r="O3246" s="13"/>
      <c r="P3246" s="14"/>
      <c r="Q3246" s="13"/>
      <c r="R3246" s="13"/>
      <c r="S3246" s="15"/>
      <c r="T3246" s="16"/>
      <c r="U3246" s="16"/>
      <c r="V3246" s="16"/>
      <c r="W3246" s="16"/>
      <c r="X3246" s="16"/>
      <c r="Y3246" s="11"/>
      <c r="Z3246" s="11"/>
      <c r="AA3246" s="11"/>
      <c r="AB3246" s="11"/>
      <c r="AC3246" s="11"/>
      <c r="AD3246" s="11"/>
    </row>
    <row r="3247">
      <c r="A3247" s="10"/>
      <c r="B3247" s="10"/>
      <c r="C3247" s="10"/>
      <c r="D3247" s="10"/>
      <c r="E3247" s="10"/>
      <c r="F3247" s="11"/>
      <c r="G3247" s="11"/>
      <c r="H3247" s="11"/>
      <c r="I3247" s="11"/>
      <c r="J3247" s="11"/>
      <c r="K3247" s="11"/>
      <c r="L3247" s="12"/>
      <c r="M3247" s="11"/>
      <c r="N3247" s="11"/>
      <c r="O3247" s="13"/>
      <c r="P3247" s="14"/>
      <c r="Q3247" s="13"/>
      <c r="R3247" s="13"/>
      <c r="S3247" s="15"/>
      <c r="T3247" s="16"/>
      <c r="U3247" s="16"/>
      <c r="V3247" s="16"/>
      <c r="W3247" s="16"/>
      <c r="X3247" s="16"/>
      <c r="Y3247" s="11"/>
      <c r="Z3247" s="11"/>
      <c r="AA3247" s="11"/>
      <c r="AB3247" s="11"/>
      <c r="AC3247" s="11"/>
      <c r="AD3247" s="11"/>
    </row>
    <row r="3248">
      <c r="A3248" s="10"/>
      <c r="B3248" s="10"/>
      <c r="C3248" s="10"/>
      <c r="D3248" s="10"/>
      <c r="E3248" s="10"/>
      <c r="F3248" s="11"/>
      <c r="G3248" s="11"/>
      <c r="H3248" s="11"/>
      <c r="I3248" s="11"/>
      <c r="J3248" s="11"/>
      <c r="K3248" s="11"/>
      <c r="L3248" s="12"/>
      <c r="M3248" s="11"/>
      <c r="N3248" s="11"/>
      <c r="O3248" s="13"/>
      <c r="P3248" s="14"/>
      <c r="Q3248" s="13"/>
      <c r="R3248" s="13"/>
      <c r="S3248" s="15"/>
      <c r="T3248" s="16"/>
      <c r="U3248" s="16"/>
      <c r="V3248" s="16"/>
      <c r="W3248" s="16"/>
      <c r="X3248" s="16"/>
      <c r="Y3248" s="11"/>
      <c r="Z3248" s="11"/>
      <c r="AA3248" s="11"/>
      <c r="AB3248" s="11"/>
      <c r="AC3248" s="11"/>
      <c r="AD3248" s="11"/>
    </row>
    <row r="3249">
      <c r="A3249" s="10"/>
      <c r="B3249" s="10"/>
      <c r="C3249" s="10"/>
      <c r="D3249" s="10"/>
      <c r="E3249" s="10"/>
      <c r="F3249" s="11"/>
      <c r="G3249" s="11"/>
      <c r="H3249" s="11"/>
      <c r="I3249" s="11"/>
      <c r="J3249" s="11"/>
      <c r="K3249" s="11"/>
      <c r="L3249" s="12"/>
      <c r="M3249" s="11"/>
      <c r="N3249" s="11"/>
      <c r="O3249" s="13"/>
      <c r="P3249" s="14"/>
      <c r="Q3249" s="13"/>
      <c r="R3249" s="13"/>
      <c r="S3249" s="15"/>
      <c r="T3249" s="16"/>
      <c r="U3249" s="16"/>
      <c r="V3249" s="16"/>
      <c r="W3249" s="16"/>
      <c r="X3249" s="16"/>
      <c r="Y3249" s="11"/>
      <c r="Z3249" s="11"/>
      <c r="AA3249" s="11"/>
      <c r="AB3249" s="11"/>
      <c r="AC3249" s="11"/>
      <c r="AD3249" s="11"/>
    </row>
    <row r="3250">
      <c r="A3250" s="10"/>
      <c r="B3250" s="10"/>
      <c r="C3250" s="10"/>
      <c r="D3250" s="10"/>
      <c r="E3250" s="10"/>
      <c r="F3250" s="11"/>
      <c r="G3250" s="11"/>
      <c r="H3250" s="11"/>
      <c r="I3250" s="11"/>
      <c r="J3250" s="11"/>
      <c r="K3250" s="11"/>
      <c r="L3250" s="12"/>
      <c r="M3250" s="11"/>
      <c r="N3250" s="11"/>
      <c r="O3250" s="13"/>
      <c r="P3250" s="14"/>
      <c r="Q3250" s="13"/>
      <c r="R3250" s="13"/>
      <c r="S3250" s="15"/>
      <c r="T3250" s="16"/>
      <c r="U3250" s="16"/>
      <c r="V3250" s="16"/>
      <c r="W3250" s="16"/>
      <c r="X3250" s="16"/>
      <c r="Y3250" s="11"/>
      <c r="Z3250" s="11"/>
      <c r="AA3250" s="11"/>
      <c r="AB3250" s="11"/>
      <c r="AC3250" s="11"/>
      <c r="AD3250" s="11"/>
    </row>
    <row r="3251">
      <c r="A3251" s="10"/>
      <c r="B3251" s="10"/>
      <c r="C3251" s="10"/>
      <c r="D3251" s="10"/>
      <c r="E3251" s="10"/>
      <c r="F3251" s="11"/>
      <c r="G3251" s="11"/>
      <c r="H3251" s="11"/>
      <c r="I3251" s="11"/>
      <c r="J3251" s="11"/>
      <c r="K3251" s="11"/>
      <c r="L3251" s="12"/>
      <c r="M3251" s="11"/>
      <c r="N3251" s="11"/>
      <c r="O3251" s="13"/>
      <c r="P3251" s="14"/>
      <c r="Q3251" s="13"/>
      <c r="R3251" s="13"/>
      <c r="S3251" s="15"/>
      <c r="T3251" s="16"/>
      <c r="U3251" s="16"/>
      <c r="V3251" s="16"/>
      <c r="W3251" s="16"/>
      <c r="X3251" s="16"/>
      <c r="Y3251" s="11"/>
      <c r="Z3251" s="11"/>
      <c r="AA3251" s="11"/>
      <c r="AB3251" s="11"/>
      <c r="AC3251" s="11"/>
      <c r="AD3251" s="11"/>
    </row>
    <row r="3252">
      <c r="A3252" s="10"/>
      <c r="B3252" s="10"/>
      <c r="C3252" s="10"/>
      <c r="D3252" s="10"/>
      <c r="E3252" s="10"/>
      <c r="F3252" s="11"/>
      <c r="G3252" s="11"/>
      <c r="H3252" s="11"/>
      <c r="I3252" s="11"/>
      <c r="J3252" s="11"/>
      <c r="K3252" s="11"/>
      <c r="L3252" s="12"/>
      <c r="M3252" s="11"/>
      <c r="N3252" s="11"/>
      <c r="O3252" s="13"/>
      <c r="P3252" s="14"/>
      <c r="Q3252" s="13"/>
      <c r="R3252" s="13"/>
      <c r="S3252" s="15"/>
      <c r="T3252" s="16"/>
      <c r="U3252" s="16"/>
      <c r="V3252" s="16"/>
      <c r="W3252" s="16"/>
      <c r="X3252" s="16"/>
      <c r="Y3252" s="11"/>
      <c r="Z3252" s="11"/>
      <c r="AA3252" s="11"/>
      <c r="AB3252" s="11"/>
      <c r="AC3252" s="11"/>
      <c r="AD3252" s="11"/>
    </row>
    <row r="3253">
      <c r="A3253" s="10"/>
      <c r="B3253" s="10"/>
      <c r="C3253" s="10"/>
      <c r="D3253" s="10"/>
      <c r="E3253" s="10"/>
      <c r="F3253" s="11"/>
      <c r="G3253" s="11"/>
      <c r="H3253" s="11"/>
      <c r="I3253" s="11"/>
      <c r="J3253" s="11"/>
      <c r="K3253" s="11"/>
      <c r="L3253" s="12"/>
      <c r="M3253" s="11"/>
      <c r="N3253" s="11"/>
      <c r="O3253" s="13"/>
      <c r="P3253" s="14"/>
      <c r="Q3253" s="13"/>
      <c r="R3253" s="13"/>
      <c r="S3253" s="15"/>
      <c r="T3253" s="16"/>
      <c r="U3253" s="16"/>
      <c r="V3253" s="16"/>
      <c r="W3253" s="16"/>
      <c r="X3253" s="16"/>
      <c r="Y3253" s="11"/>
      <c r="Z3253" s="11"/>
      <c r="AA3253" s="11"/>
      <c r="AB3253" s="11"/>
      <c r="AC3253" s="11"/>
      <c r="AD3253" s="11"/>
    </row>
    <row r="3254">
      <c r="A3254" s="10"/>
      <c r="B3254" s="10"/>
      <c r="C3254" s="10"/>
      <c r="D3254" s="10"/>
      <c r="E3254" s="10"/>
      <c r="F3254" s="11"/>
      <c r="G3254" s="11"/>
      <c r="H3254" s="11"/>
      <c r="I3254" s="11"/>
      <c r="J3254" s="11"/>
      <c r="K3254" s="11"/>
      <c r="L3254" s="12"/>
      <c r="M3254" s="11"/>
      <c r="N3254" s="11"/>
      <c r="O3254" s="13"/>
      <c r="P3254" s="14"/>
      <c r="Q3254" s="13"/>
      <c r="R3254" s="13"/>
      <c r="S3254" s="15"/>
      <c r="T3254" s="16"/>
      <c r="U3254" s="16"/>
      <c r="V3254" s="16"/>
      <c r="W3254" s="16"/>
      <c r="X3254" s="16"/>
      <c r="Y3254" s="11"/>
      <c r="Z3254" s="11"/>
      <c r="AA3254" s="11"/>
      <c r="AB3254" s="11"/>
      <c r="AC3254" s="11"/>
      <c r="AD3254" s="11"/>
    </row>
    <row r="3255">
      <c r="A3255" s="10"/>
      <c r="B3255" s="10"/>
      <c r="C3255" s="10"/>
      <c r="D3255" s="10"/>
      <c r="E3255" s="10"/>
      <c r="F3255" s="11"/>
      <c r="G3255" s="11"/>
      <c r="H3255" s="11"/>
      <c r="I3255" s="11"/>
      <c r="J3255" s="11"/>
      <c r="K3255" s="11"/>
      <c r="L3255" s="12"/>
      <c r="M3255" s="11"/>
      <c r="N3255" s="11"/>
      <c r="O3255" s="13"/>
      <c r="P3255" s="14"/>
      <c r="Q3255" s="13"/>
      <c r="R3255" s="13"/>
      <c r="S3255" s="15"/>
      <c r="T3255" s="16"/>
      <c r="U3255" s="16"/>
      <c r="V3255" s="16"/>
      <c r="W3255" s="16"/>
      <c r="X3255" s="16"/>
      <c r="Y3255" s="11"/>
      <c r="Z3255" s="11"/>
      <c r="AA3255" s="11"/>
      <c r="AB3255" s="11"/>
      <c r="AC3255" s="11"/>
      <c r="AD3255" s="11"/>
    </row>
    <row r="3256">
      <c r="A3256" s="10"/>
      <c r="B3256" s="10"/>
      <c r="C3256" s="10"/>
      <c r="D3256" s="10"/>
      <c r="E3256" s="10"/>
      <c r="F3256" s="11"/>
      <c r="G3256" s="11"/>
      <c r="H3256" s="11"/>
      <c r="I3256" s="11"/>
      <c r="J3256" s="11"/>
      <c r="K3256" s="11"/>
      <c r="L3256" s="12"/>
      <c r="M3256" s="11"/>
      <c r="N3256" s="11"/>
      <c r="O3256" s="13"/>
      <c r="P3256" s="14"/>
      <c r="Q3256" s="13"/>
      <c r="R3256" s="13"/>
      <c r="S3256" s="15"/>
      <c r="T3256" s="16"/>
      <c r="U3256" s="16"/>
      <c r="V3256" s="16"/>
      <c r="W3256" s="16"/>
      <c r="X3256" s="16"/>
      <c r="Y3256" s="11"/>
      <c r="Z3256" s="11"/>
      <c r="AA3256" s="11"/>
      <c r="AB3256" s="11"/>
      <c r="AC3256" s="11"/>
      <c r="AD3256" s="11"/>
    </row>
    <row r="3257">
      <c r="A3257" s="10"/>
      <c r="B3257" s="10"/>
      <c r="C3257" s="10"/>
      <c r="D3257" s="10"/>
      <c r="E3257" s="10"/>
      <c r="F3257" s="11"/>
      <c r="G3257" s="11"/>
      <c r="H3257" s="11"/>
      <c r="I3257" s="11"/>
      <c r="J3257" s="11"/>
      <c r="K3257" s="11"/>
      <c r="L3257" s="12"/>
      <c r="M3257" s="11"/>
      <c r="N3257" s="11"/>
      <c r="O3257" s="13"/>
      <c r="P3257" s="14"/>
      <c r="Q3257" s="13"/>
      <c r="R3257" s="13"/>
      <c r="S3257" s="15"/>
      <c r="T3257" s="16"/>
      <c r="U3257" s="16"/>
      <c r="V3257" s="16"/>
      <c r="W3257" s="16"/>
      <c r="X3257" s="16"/>
      <c r="Y3257" s="11"/>
      <c r="Z3257" s="11"/>
      <c r="AA3257" s="11"/>
      <c r="AB3257" s="11"/>
      <c r="AC3257" s="11"/>
      <c r="AD3257" s="11"/>
    </row>
    <row r="3258">
      <c r="A3258" s="10"/>
      <c r="B3258" s="10"/>
      <c r="C3258" s="10"/>
      <c r="D3258" s="10"/>
      <c r="E3258" s="10"/>
      <c r="F3258" s="11"/>
      <c r="G3258" s="11"/>
      <c r="H3258" s="11"/>
      <c r="I3258" s="11"/>
      <c r="J3258" s="11"/>
      <c r="K3258" s="11"/>
      <c r="L3258" s="12"/>
      <c r="M3258" s="11"/>
      <c r="N3258" s="11"/>
      <c r="O3258" s="13"/>
      <c r="P3258" s="14"/>
      <c r="Q3258" s="13"/>
      <c r="R3258" s="13"/>
      <c r="S3258" s="15"/>
      <c r="T3258" s="16"/>
      <c r="U3258" s="16"/>
      <c r="V3258" s="16"/>
      <c r="W3258" s="16"/>
      <c r="X3258" s="16"/>
      <c r="Y3258" s="11"/>
      <c r="Z3258" s="11"/>
      <c r="AA3258" s="11"/>
      <c r="AB3258" s="11"/>
      <c r="AC3258" s="11"/>
      <c r="AD3258" s="11"/>
    </row>
    <row r="3259">
      <c r="A3259" s="10"/>
      <c r="B3259" s="10"/>
      <c r="C3259" s="10"/>
      <c r="D3259" s="10"/>
      <c r="E3259" s="10"/>
      <c r="F3259" s="11"/>
      <c r="G3259" s="11"/>
      <c r="H3259" s="11"/>
      <c r="I3259" s="11"/>
      <c r="J3259" s="11"/>
      <c r="K3259" s="11"/>
      <c r="L3259" s="12"/>
      <c r="M3259" s="11"/>
      <c r="N3259" s="11"/>
      <c r="O3259" s="13"/>
      <c r="P3259" s="14"/>
      <c r="Q3259" s="13"/>
      <c r="R3259" s="13"/>
      <c r="S3259" s="15"/>
      <c r="T3259" s="16"/>
      <c r="U3259" s="16"/>
      <c r="V3259" s="16"/>
      <c r="W3259" s="16"/>
      <c r="X3259" s="16"/>
      <c r="Y3259" s="11"/>
      <c r="Z3259" s="11"/>
      <c r="AA3259" s="11"/>
      <c r="AB3259" s="11"/>
      <c r="AC3259" s="11"/>
      <c r="AD3259" s="11"/>
    </row>
    <row r="3260">
      <c r="A3260" s="10"/>
      <c r="B3260" s="10"/>
      <c r="C3260" s="10"/>
      <c r="D3260" s="10"/>
      <c r="E3260" s="10"/>
      <c r="F3260" s="11"/>
      <c r="G3260" s="11"/>
      <c r="H3260" s="11"/>
      <c r="I3260" s="11"/>
      <c r="J3260" s="11"/>
      <c r="K3260" s="11"/>
      <c r="L3260" s="12"/>
      <c r="M3260" s="11"/>
      <c r="N3260" s="11"/>
      <c r="O3260" s="13"/>
      <c r="P3260" s="14"/>
      <c r="Q3260" s="13"/>
      <c r="R3260" s="13"/>
      <c r="S3260" s="15"/>
      <c r="T3260" s="16"/>
      <c r="U3260" s="16"/>
      <c r="V3260" s="16"/>
      <c r="W3260" s="16"/>
      <c r="X3260" s="16"/>
      <c r="Y3260" s="11"/>
      <c r="Z3260" s="11"/>
      <c r="AA3260" s="11"/>
      <c r="AB3260" s="11"/>
      <c r="AC3260" s="11"/>
      <c r="AD3260" s="11"/>
    </row>
    <row r="3261">
      <c r="A3261" s="10"/>
      <c r="B3261" s="10"/>
      <c r="C3261" s="10"/>
      <c r="D3261" s="10"/>
      <c r="E3261" s="10"/>
      <c r="F3261" s="11"/>
      <c r="G3261" s="11"/>
      <c r="H3261" s="11"/>
      <c r="I3261" s="11"/>
      <c r="J3261" s="11"/>
      <c r="K3261" s="11"/>
      <c r="L3261" s="12"/>
      <c r="M3261" s="11"/>
      <c r="N3261" s="11"/>
      <c r="O3261" s="13"/>
      <c r="P3261" s="14"/>
      <c r="Q3261" s="13"/>
      <c r="R3261" s="13"/>
      <c r="S3261" s="15"/>
      <c r="T3261" s="16"/>
      <c r="U3261" s="16"/>
      <c r="V3261" s="16"/>
      <c r="W3261" s="16"/>
      <c r="X3261" s="16"/>
      <c r="Y3261" s="11"/>
      <c r="Z3261" s="11"/>
      <c r="AA3261" s="11"/>
      <c r="AB3261" s="11"/>
      <c r="AC3261" s="11"/>
      <c r="AD3261" s="11"/>
    </row>
    <row r="3262">
      <c r="A3262" s="10"/>
      <c r="B3262" s="10"/>
      <c r="C3262" s="10"/>
      <c r="D3262" s="10"/>
      <c r="E3262" s="10"/>
      <c r="F3262" s="11"/>
      <c r="G3262" s="11"/>
      <c r="H3262" s="11"/>
      <c r="I3262" s="11"/>
      <c r="J3262" s="11"/>
      <c r="K3262" s="11"/>
      <c r="L3262" s="12"/>
      <c r="M3262" s="11"/>
      <c r="N3262" s="11"/>
      <c r="O3262" s="13"/>
      <c r="P3262" s="14"/>
      <c r="Q3262" s="13"/>
      <c r="R3262" s="13"/>
      <c r="S3262" s="15"/>
      <c r="T3262" s="16"/>
      <c r="U3262" s="16"/>
      <c r="V3262" s="16"/>
      <c r="W3262" s="16"/>
      <c r="X3262" s="16"/>
      <c r="Y3262" s="11"/>
      <c r="Z3262" s="11"/>
      <c r="AA3262" s="11"/>
      <c r="AB3262" s="11"/>
      <c r="AC3262" s="11"/>
      <c r="AD3262" s="11"/>
    </row>
    <row r="3263">
      <c r="A3263" s="10"/>
      <c r="B3263" s="10"/>
      <c r="C3263" s="10"/>
      <c r="D3263" s="10"/>
      <c r="E3263" s="10"/>
      <c r="F3263" s="11"/>
      <c r="G3263" s="11"/>
      <c r="H3263" s="11"/>
      <c r="I3263" s="11"/>
      <c r="J3263" s="11"/>
      <c r="K3263" s="11"/>
      <c r="L3263" s="12"/>
      <c r="M3263" s="11"/>
      <c r="N3263" s="11"/>
      <c r="O3263" s="13"/>
      <c r="P3263" s="14"/>
      <c r="Q3263" s="13"/>
      <c r="R3263" s="13"/>
      <c r="S3263" s="15"/>
      <c r="T3263" s="16"/>
      <c r="U3263" s="16"/>
      <c r="V3263" s="16"/>
      <c r="W3263" s="16"/>
      <c r="X3263" s="16"/>
      <c r="Y3263" s="11"/>
      <c r="Z3263" s="11"/>
      <c r="AA3263" s="11"/>
      <c r="AB3263" s="11"/>
      <c r="AC3263" s="11"/>
      <c r="AD3263" s="11"/>
    </row>
    <row r="3264">
      <c r="A3264" s="10"/>
      <c r="B3264" s="10"/>
      <c r="C3264" s="10"/>
      <c r="D3264" s="10"/>
      <c r="E3264" s="10"/>
      <c r="F3264" s="11"/>
      <c r="G3264" s="11"/>
      <c r="H3264" s="11"/>
      <c r="I3264" s="11"/>
      <c r="J3264" s="11"/>
      <c r="K3264" s="11"/>
      <c r="L3264" s="12"/>
      <c r="M3264" s="11"/>
      <c r="N3264" s="11"/>
      <c r="O3264" s="13"/>
      <c r="P3264" s="14"/>
      <c r="Q3264" s="13"/>
      <c r="R3264" s="13"/>
      <c r="S3264" s="15"/>
      <c r="T3264" s="16"/>
      <c r="U3264" s="16"/>
      <c r="V3264" s="16"/>
      <c r="W3264" s="16"/>
      <c r="X3264" s="16"/>
      <c r="Y3264" s="11"/>
      <c r="Z3264" s="11"/>
      <c r="AA3264" s="11"/>
      <c r="AB3264" s="11"/>
      <c r="AC3264" s="11"/>
      <c r="AD3264" s="11"/>
    </row>
    <row r="3265">
      <c r="A3265" s="10"/>
      <c r="B3265" s="10"/>
      <c r="C3265" s="10"/>
      <c r="D3265" s="10"/>
      <c r="E3265" s="10"/>
      <c r="F3265" s="11"/>
      <c r="G3265" s="11"/>
      <c r="H3265" s="11"/>
      <c r="I3265" s="11"/>
      <c r="J3265" s="11"/>
      <c r="K3265" s="11"/>
      <c r="L3265" s="12"/>
      <c r="M3265" s="11"/>
      <c r="N3265" s="11"/>
      <c r="O3265" s="13"/>
      <c r="P3265" s="14"/>
      <c r="Q3265" s="13"/>
      <c r="R3265" s="13"/>
      <c r="S3265" s="15"/>
      <c r="T3265" s="16"/>
      <c r="U3265" s="16"/>
      <c r="V3265" s="16"/>
      <c r="W3265" s="16"/>
      <c r="X3265" s="16"/>
      <c r="Y3265" s="11"/>
      <c r="Z3265" s="11"/>
      <c r="AA3265" s="11"/>
      <c r="AB3265" s="11"/>
      <c r="AC3265" s="11"/>
      <c r="AD3265" s="11"/>
    </row>
    <row r="3266">
      <c r="A3266" s="10"/>
      <c r="B3266" s="10"/>
      <c r="C3266" s="10"/>
      <c r="D3266" s="10"/>
      <c r="E3266" s="10"/>
      <c r="F3266" s="11"/>
      <c r="G3266" s="11"/>
      <c r="H3266" s="11"/>
      <c r="I3266" s="11"/>
      <c r="J3266" s="11"/>
      <c r="K3266" s="11"/>
      <c r="L3266" s="12"/>
      <c r="M3266" s="11"/>
      <c r="N3266" s="11"/>
      <c r="O3266" s="13"/>
      <c r="P3266" s="14"/>
      <c r="Q3266" s="13"/>
      <c r="R3266" s="13"/>
      <c r="S3266" s="15"/>
      <c r="T3266" s="16"/>
      <c r="U3266" s="16"/>
      <c r="V3266" s="16"/>
      <c r="W3266" s="16"/>
      <c r="X3266" s="16"/>
      <c r="Y3266" s="11"/>
      <c r="Z3266" s="11"/>
      <c r="AA3266" s="11"/>
      <c r="AB3266" s="11"/>
      <c r="AC3266" s="11"/>
      <c r="AD3266" s="11"/>
    </row>
    <row r="3267">
      <c r="A3267" s="10"/>
      <c r="B3267" s="10"/>
      <c r="C3267" s="10"/>
      <c r="D3267" s="10"/>
      <c r="E3267" s="10"/>
      <c r="F3267" s="11"/>
      <c r="G3267" s="11"/>
      <c r="H3267" s="11"/>
      <c r="I3267" s="11"/>
      <c r="J3267" s="11"/>
      <c r="K3267" s="11"/>
      <c r="L3267" s="12"/>
      <c r="M3267" s="11"/>
      <c r="N3267" s="11"/>
      <c r="O3267" s="13"/>
      <c r="P3267" s="14"/>
      <c r="Q3267" s="13"/>
      <c r="R3267" s="13"/>
      <c r="S3267" s="15"/>
      <c r="T3267" s="16"/>
      <c r="U3267" s="16"/>
      <c r="V3267" s="16"/>
      <c r="W3267" s="16"/>
      <c r="X3267" s="16"/>
      <c r="Y3267" s="11"/>
      <c r="Z3267" s="11"/>
      <c r="AA3267" s="11"/>
      <c r="AB3267" s="11"/>
      <c r="AC3267" s="11"/>
      <c r="AD3267" s="11"/>
    </row>
    <row r="3268">
      <c r="A3268" s="10"/>
      <c r="B3268" s="10"/>
      <c r="C3268" s="10"/>
      <c r="D3268" s="10"/>
      <c r="E3268" s="10"/>
      <c r="F3268" s="11"/>
      <c r="G3268" s="11"/>
      <c r="H3268" s="11"/>
      <c r="I3268" s="11"/>
      <c r="J3268" s="11"/>
      <c r="K3268" s="11"/>
      <c r="L3268" s="12"/>
      <c r="M3268" s="11"/>
      <c r="N3268" s="11"/>
      <c r="O3268" s="13"/>
      <c r="P3268" s="14"/>
      <c r="Q3268" s="13"/>
      <c r="R3268" s="13"/>
      <c r="S3268" s="15"/>
      <c r="T3268" s="16"/>
      <c r="U3268" s="16"/>
      <c r="V3268" s="16"/>
      <c r="W3268" s="16"/>
      <c r="X3268" s="16"/>
      <c r="Y3268" s="11"/>
      <c r="Z3268" s="11"/>
      <c r="AA3268" s="11"/>
      <c r="AB3268" s="11"/>
      <c r="AC3268" s="11"/>
      <c r="AD3268" s="11"/>
    </row>
    <row r="3269">
      <c r="A3269" s="10"/>
      <c r="B3269" s="10"/>
      <c r="C3269" s="10"/>
      <c r="D3269" s="10"/>
      <c r="E3269" s="10"/>
      <c r="F3269" s="11"/>
      <c r="G3269" s="11"/>
      <c r="H3269" s="11"/>
      <c r="I3269" s="11"/>
      <c r="J3269" s="11"/>
      <c r="K3269" s="11"/>
      <c r="L3269" s="12"/>
      <c r="M3269" s="11"/>
      <c r="N3269" s="11"/>
      <c r="O3269" s="13"/>
      <c r="P3269" s="14"/>
      <c r="Q3269" s="13"/>
      <c r="R3269" s="13"/>
      <c r="S3269" s="15"/>
      <c r="T3269" s="16"/>
      <c r="U3269" s="16"/>
      <c r="V3269" s="16"/>
      <c r="W3269" s="16"/>
      <c r="X3269" s="16"/>
      <c r="Y3269" s="11"/>
      <c r="Z3269" s="11"/>
      <c r="AA3269" s="11"/>
      <c r="AB3269" s="11"/>
      <c r="AC3269" s="11"/>
      <c r="AD3269" s="11"/>
    </row>
    <row r="3270">
      <c r="A3270" s="10"/>
      <c r="B3270" s="10"/>
      <c r="C3270" s="10"/>
      <c r="D3270" s="10"/>
      <c r="E3270" s="10"/>
      <c r="F3270" s="11"/>
      <c r="G3270" s="11"/>
      <c r="H3270" s="11"/>
      <c r="I3270" s="11"/>
      <c r="J3270" s="11"/>
      <c r="K3270" s="11"/>
      <c r="L3270" s="12"/>
      <c r="M3270" s="11"/>
      <c r="N3270" s="11"/>
      <c r="O3270" s="13"/>
      <c r="P3270" s="14"/>
      <c r="Q3270" s="13"/>
      <c r="R3270" s="13"/>
      <c r="S3270" s="15"/>
      <c r="T3270" s="16"/>
      <c r="U3270" s="16"/>
      <c r="V3270" s="16"/>
      <c r="W3270" s="16"/>
      <c r="X3270" s="16"/>
      <c r="Y3270" s="11"/>
      <c r="Z3270" s="11"/>
      <c r="AA3270" s="11"/>
      <c r="AB3270" s="11"/>
      <c r="AC3270" s="11"/>
      <c r="AD3270" s="11"/>
    </row>
    <row r="3271">
      <c r="A3271" s="10"/>
      <c r="B3271" s="10"/>
      <c r="C3271" s="10"/>
      <c r="D3271" s="10"/>
      <c r="E3271" s="10"/>
      <c r="F3271" s="11"/>
      <c r="G3271" s="11"/>
      <c r="H3271" s="11"/>
      <c r="I3271" s="11"/>
      <c r="J3271" s="11"/>
      <c r="K3271" s="11"/>
      <c r="L3271" s="12"/>
      <c r="M3271" s="11"/>
      <c r="N3271" s="11"/>
      <c r="O3271" s="13"/>
      <c r="P3271" s="14"/>
      <c r="Q3271" s="13"/>
      <c r="R3271" s="13"/>
      <c r="S3271" s="15"/>
      <c r="T3271" s="16"/>
      <c r="U3271" s="16"/>
      <c r="V3271" s="16"/>
      <c r="W3271" s="16"/>
      <c r="X3271" s="16"/>
      <c r="Y3271" s="11"/>
      <c r="Z3271" s="11"/>
      <c r="AA3271" s="11"/>
      <c r="AB3271" s="11"/>
      <c r="AC3271" s="11"/>
      <c r="AD3271" s="11"/>
    </row>
    <row r="3272">
      <c r="A3272" s="10"/>
      <c r="B3272" s="10"/>
      <c r="C3272" s="10"/>
      <c r="D3272" s="10"/>
      <c r="E3272" s="10"/>
      <c r="F3272" s="11"/>
      <c r="G3272" s="11"/>
      <c r="H3272" s="11"/>
      <c r="I3272" s="11"/>
      <c r="J3272" s="11"/>
      <c r="K3272" s="11"/>
      <c r="L3272" s="12"/>
      <c r="M3272" s="11"/>
      <c r="N3272" s="11"/>
      <c r="O3272" s="13"/>
      <c r="P3272" s="14"/>
      <c r="Q3272" s="13"/>
      <c r="R3272" s="13"/>
      <c r="S3272" s="15"/>
      <c r="T3272" s="16"/>
      <c r="U3272" s="16"/>
      <c r="V3272" s="16"/>
      <c r="W3272" s="16"/>
      <c r="X3272" s="16"/>
      <c r="Y3272" s="11"/>
      <c r="Z3272" s="11"/>
      <c r="AA3272" s="11"/>
      <c r="AB3272" s="11"/>
      <c r="AC3272" s="11"/>
      <c r="AD3272" s="11"/>
    </row>
    <row r="3273">
      <c r="A3273" s="10"/>
      <c r="B3273" s="10"/>
      <c r="C3273" s="10"/>
      <c r="D3273" s="10"/>
      <c r="E3273" s="10"/>
      <c r="F3273" s="11"/>
      <c r="G3273" s="11"/>
      <c r="H3273" s="11"/>
      <c r="I3273" s="11"/>
      <c r="J3273" s="11"/>
      <c r="K3273" s="11"/>
      <c r="L3273" s="12"/>
      <c r="M3273" s="11"/>
      <c r="N3273" s="11"/>
      <c r="O3273" s="13"/>
      <c r="P3273" s="14"/>
      <c r="Q3273" s="13"/>
      <c r="R3273" s="13"/>
      <c r="S3273" s="15"/>
      <c r="T3273" s="16"/>
      <c r="U3273" s="16"/>
      <c r="V3273" s="16"/>
      <c r="W3273" s="16"/>
      <c r="X3273" s="16"/>
      <c r="Y3273" s="11"/>
      <c r="Z3273" s="11"/>
      <c r="AA3273" s="11"/>
      <c r="AB3273" s="11"/>
      <c r="AC3273" s="11"/>
      <c r="AD3273" s="11"/>
    </row>
    <row r="3274">
      <c r="A3274" s="10"/>
      <c r="B3274" s="10"/>
      <c r="C3274" s="10"/>
      <c r="D3274" s="10"/>
      <c r="E3274" s="10"/>
      <c r="F3274" s="11"/>
      <c r="G3274" s="11"/>
      <c r="H3274" s="11"/>
      <c r="I3274" s="11"/>
      <c r="J3274" s="11"/>
      <c r="K3274" s="11"/>
      <c r="L3274" s="12"/>
      <c r="M3274" s="11"/>
      <c r="N3274" s="11"/>
      <c r="O3274" s="13"/>
      <c r="P3274" s="14"/>
      <c r="Q3274" s="13"/>
      <c r="R3274" s="13"/>
      <c r="S3274" s="15"/>
      <c r="T3274" s="16"/>
      <c r="U3274" s="16"/>
      <c r="V3274" s="16"/>
      <c r="W3274" s="16"/>
      <c r="X3274" s="16"/>
      <c r="Y3274" s="11"/>
      <c r="Z3274" s="11"/>
      <c r="AA3274" s="11"/>
      <c r="AB3274" s="11"/>
      <c r="AC3274" s="11"/>
      <c r="AD3274" s="11"/>
    </row>
    <row r="3275">
      <c r="A3275" s="10"/>
      <c r="B3275" s="10"/>
      <c r="C3275" s="10"/>
      <c r="D3275" s="10"/>
      <c r="E3275" s="10"/>
      <c r="F3275" s="11"/>
      <c r="G3275" s="11"/>
      <c r="H3275" s="11"/>
      <c r="I3275" s="11"/>
      <c r="J3275" s="11"/>
      <c r="K3275" s="11"/>
      <c r="L3275" s="12"/>
      <c r="M3275" s="11"/>
      <c r="N3275" s="11"/>
      <c r="O3275" s="13"/>
      <c r="P3275" s="14"/>
      <c r="Q3275" s="13"/>
      <c r="R3275" s="13"/>
      <c r="S3275" s="15"/>
      <c r="T3275" s="16"/>
      <c r="U3275" s="16"/>
      <c r="V3275" s="16"/>
      <c r="W3275" s="16"/>
      <c r="X3275" s="16"/>
      <c r="Y3275" s="11"/>
      <c r="Z3275" s="11"/>
      <c r="AA3275" s="11"/>
      <c r="AB3275" s="11"/>
      <c r="AC3275" s="11"/>
      <c r="AD3275" s="11"/>
    </row>
    <row r="3276">
      <c r="A3276" s="10"/>
      <c r="B3276" s="10"/>
      <c r="C3276" s="10"/>
      <c r="D3276" s="10"/>
      <c r="E3276" s="10"/>
      <c r="F3276" s="11"/>
      <c r="G3276" s="11"/>
      <c r="H3276" s="11"/>
      <c r="I3276" s="11"/>
      <c r="J3276" s="11"/>
      <c r="K3276" s="11"/>
      <c r="L3276" s="12"/>
      <c r="M3276" s="11"/>
      <c r="N3276" s="11"/>
      <c r="O3276" s="13"/>
      <c r="P3276" s="14"/>
      <c r="Q3276" s="13"/>
      <c r="R3276" s="13"/>
      <c r="S3276" s="15"/>
      <c r="T3276" s="16"/>
      <c r="U3276" s="16"/>
      <c r="V3276" s="16"/>
      <c r="W3276" s="16"/>
      <c r="X3276" s="16"/>
      <c r="Y3276" s="11"/>
      <c r="Z3276" s="11"/>
      <c r="AA3276" s="11"/>
      <c r="AB3276" s="11"/>
      <c r="AC3276" s="11"/>
      <c r="AD3276" s="11"/>
    </row>
    <row r="3277">
      <c r="A3277" s="10"/>
      <c r="B3277" s="10"/>
      <c r="C3277" s="10"/>
      <c r="D3277" s="10"/>
      <c r="E3277" s="10"/>
      <c r="F3277" s="11"/>
      <c r="G3277" s="11"/>
      <c r="H3277" s="11"/>
      <c r="I3277" s="11"/>
      <c r="J3277" s="11"/>
      <c r="K3277" s="11"/>
      <c r="L3277" s="12"/>
      <c r="M3277" s="11"/>
      <c r="N3277" s="11"/>
      <c r="O3277" s="13"/>
      <c r="P3277" s="14"/>
      <c r="Q3277" s="13"/>
      <c r="R3277" s="13"/>
      <c r="S3277" s="15"/>
      <c r="T3277" s="16"/>
      <c r="U3277" s="16"/>
      <c r="V3277" s="16"/>
      <c r="W3277" s="16"/>
      <c r="X3277" s="16"/>
      <c r="Y3277" s="11"/>
      <c r="Z3277" s="11"/>
      <c r="AA3277" s="11"/>
      <c r="AB3277" s="11"/>
      <c r="AC3277" s="11"/>
      <c r="AD3277" s="11"/>
    </row>
    <row r="3278">
      <c r="A3278" s="10"/>
      <c r="B3278" s="10"/>
      <c r="C3278" s="10"/>
      <c r="D3278" s="10"/>
      <c r="E3278" s="10"/>
      <c r="F3278" s="11"/>
      <c r="G3278" s="11"/>
      <c r="H3278" s="11"/>
      <c r="I3278" s="11"/>
      <c r="J3278" s="11"/>
      <c r="K3278" s="11"/>
      <c r="L3278" s="12"/>
      <c r="M3278" s="11"/>
      <c r="N3278" s="11"/>
      <c r="O3278" s="13"/>
      <c r="P3278" s="14"/>
      <c r="Q3278" s="13"/>
      <c r="R3278" s="13"/>
      <c r="S3278" s="15"/>
      <c r="T3278" s="16"/>
      <c r="U3278" s="16"/>
      <c r="V3278" s="16"/>
      <c r="W3278" s="16"/>
      <c r="X3278" s="16"/>
      <c r="Y3278" s="11"/>
      <c r="Z3278" s="11"/>
      <c r="AA3278" s="11"/>
      <c r="AB3278" s="11"/>
      <c r="AC3278" s="11"/>
      <c r="AD3278" s="11"/>
    </row>
    <row r="3279">
      <c r="A3279" s="10"/>
      <c r="B3279" s="10"/>
      <c r="C3279" s="10"/>
      <c r="D3279" s="10"/>
      <c r="E3279" s="10"/>
      <c r="F3279" s="11"/>
      <c r="G3279" s="11"/>
      <c r="H3279" s="11"/>
      <c r="I3279" s="11"/>
      <c r="J3279" s="11"/>
      <c r="K3279" s="11"/>
      <c r="L3279" s="12"/>
      <c r="M3279" s="11"/>
      <c r="N3279" s="11"/>
      <c r="O3279" s="13"/>
      <c r="P3279" s="14"/>
      <c r="Q3279" s="13"/>
      <c r="R3279" s="13"/>
      <c r="S3279" s="15"/>
      <c r="T3279" s="16"/>
      <c r="U3279" s="16"/>
      <c r="V3279" s="16"/>
      <c r="W3279" s="16"/>
      <c r="X3279" s="16"/>
      <c r="Y3279" s="11"/>
      <c r="Z3279" s="11"/>
      <c r="AA3279" s="11"/>
      <c r="AB3279" s="11"/>
      <c r="AC3279" s="11"/>
      <c r="AD3279" s="11"/>
    </row>
    <row r="3280">
      <c r="A3280" s="10"/>
      <c r="B3280" s="10"/>
      <c r="C3280" s="10"/>
      <c r="D3280" s="10"/>
      <c r="E3280" s="10"/>
      <c r="F3280" s="11"/>
      <c r="G3280" s="11"/>
      <c r="H3280" s="11"/>
      <c r="I3280" s="11"/>
      <c r="J3280" s="11"/>
      <c r="K3280" s="11"/>
      <c r="L3280" s="12"/>
      <c r="M3280" s="11"/>
      <c r="N3280" s="11"/>
      <c r="O3280" s="13"/>
      <c r="P3280" s="14"/>
      <c r="Q3280" s="13"/>
      <c r="R3280" s="13"/>
      <c r="S3280" s="15"/>
      <c r="T3280" s="16"/>
      <c r="U3280" s="16"/>
      <c r="V3280" s="16"/>
      <c r="W3280" s="16"/>
      <c r="X3280" s="16"/>
      <c r="Y3280" s="11"/>
      <c r="Z3280" s="11"/>
      <c r="AA3280" s="11"/>
      <c r="AB3280" s="11"/>
      <c r="AC3280" s="11"/>
      <c r="AD3280" s="11"/>
    </row>
    <row r="3281">
      <c r="A3281" s="10"/>
      <c r="B3281" s="10"/>
      <c r="C3281" s="10"/>
      <c r="D3281" s="10"/>
      <c r="E3281" s="10"/>
      <c r="F3281" s="11"/>
      <c r="G3281" s="11"/>
      <c r="H3281" s="11"/>
      <c r="I3281" s="11"/>
      <c r="J3281" s="11"/>
      <c r="K3281" s="11"/>
      <c r="L3281" s="12"/>
      <c r="M3281" s="11"/>
      <c r="N3281" s="11"/>
      <c r="O3281" s="13"/>
      <c r="P3281" s="14"/>
      <c r="Q3281" s="13"/>
      <c r="R3281" s="13"/>
      <c r="S3281" s="15"/>
      <c r="T3281" s="16"/>
      <c r="U3281" s="16"/>
      <c r="V3281" s="16"/>
      <c r="W3281" s="16"/>
      <c r="X3281" s="16"/>
      <c r="Y3281" s="11"/>
      <c r="Z3281" s="11"/>
      <c r="AA3281" s="11"/>
      <c r="AB3281" s="11"/>
      <c r="AC3281" s="11"/>
      <c r="AD3281" s="11"/>
    </row>
    <row r="3282">
      <c r="A3282" s="10"/>
      <c r="B3282" s="10"/>
      <c r="C3282" s="10"/>
      <c r="D3282" s="10"/>
      <c r="E3282" s="10"/>
      <c r="F3282" s="11"/>
      <c r="G3282" s="11"/>
      <c r="H3282" s="11"/>
      <c r="I3282" s="11"/>
      <c r="J3282" s="11"/>
      <c r="K3282" s="11"/>
      <c r="L3282" s="12"/>
      <c r="M3282" s="11"/>
      <c r="N3282" s="11"/>
      <c r="O3282" s="13"/>
      <c r="P3282" s="14"/>
      <c r="Q3282" s="13"/>
      <c r="R3282" s="13"/>
      <c r="S3282" s="15"/>
      <c r="T3282" s="16"/>
      <c r="U3282" s="16"/>
      <c r="V3282" s="16"/>
      <c r="W3282" s="16"/>
      <c r="X3282" s="16"/>
      <c r="Y3282" s="11"/>
      <c r="Z3282" s="11"/>
      <c r="AA3282" s="11"/>
      <c r="AB3282" s="11"/>
      <c r="AC3282" s="11"/>
      <c r="AD3282" s="11"/>
    </row>
    <row r="3283">
      <c r="A3283" s="10"/>
      <c r="B3283" s="10"/>
      <c r="C3283" s="10"/>
      <c r="D3283" s="10"/>
      <c r="E3283" s="10"/>
      <c r="F3283" s="11"/>
      <c r="G3283" s="11"/>
      <c r="H3283" s="11"/>
      <c r="I3283" s="11"/>
      <c r="J3283" s="11"/>
      <c r="K3283" s="11"/>
      <c r="L3283" s="12"/>
      <c r="M3283" s="11"/>
      <c r="N3283" s="11"/>
      <c r="O3283" s="13"/>
      <c r="P3283" s="14"/>
      <c r="Q3283" s="13"/>
      <c r="R3283" s="13"/>
      <c r="S3283" s="15"/>
      <c r="T3283" s="16"/>
      <c r="U3283" s="16"/>
      <c r="V3283" s="16"/>
      <c r="W3283" s="16"/>
      <c r="X3283" s="16"/>
      <c r="Y3283" s="11"/>
      <c r="Z3283" s="11"/>
      <c r="AA3283" s="11"/>
      <c r="AB3283" s="11"/>
      <c r="AC3283" s="11"/>
      <c r="AD3283" s="11"/>
    </row>
    <row r="3284">
      <c r="A3284" s="10"/>
      <c r="B3284" s="10"/>
      <c r="C3284" s="10"/>
      <c r="D3284" s="10"/>
      <c r="E3284" s="10"/>
      <c r="F3284" s="11"/>
      <c r="G3284" s="11"/>
      <c r="H3284" s="11"/>
      <c r="I3284" s="11"/>
      <c r="J3284" s="11"/>
      <c r="K3284" s="11"/>
      <c r="L3284" s="12"/>
      <c r="M3284" s="11"/>
      <c r="N3284" s="11"/>
      <c r="O3284" s="13"/>
      <c r="P3284" s="14"/>
      <c r="Q3284" s="13"/>
      <c r="R3284" s="13"/>
      <c r="S3284" s="15"/>
      <c r="T3284" s="16"/>
      <c r="U3284" s="16"/>
      <c r="V3284" s="16"/>
      <c r="W3284" s="16"/>
      <c r="X3284" s="16"/>
      <c r="Y3284" s="11"/>
      <c r="Z3284" s="11"/>
      <c r="AA3284" s="11"/>
      <c r="AB3284" s="11"/>
      <c r="AC3284" s="11"/>
      <c r="AD3284" s="11"/>
    </row>
    <row r="3285">
      <c r="A3285" s="10"/>
      <c r="B3285" s="10"/>
      <c r="C3285" s="10"/>
      <c r="D3285" s="10"/>
      <c r="E3285" s="10"/>
      <c r="F3285" s="11"/>
      <c r="G3285" s="11"/>
      <c r="H3285" s="11"/>
      <c r="I3285" s="11"/>
      <c r="J3285" s="11"/>
      <c r="K3285" s="11"/>
      <c r="L3285" s="12"/>
      <c r="M3285" s="11"/>
      <c r="N3285" s="11"/>
      <c r="O3285" s="13"/>
      <c r="P3285" s="14"/>
      <c r="Q3285" s="13"/>
      <c r="R3285" s="13"/>
      <c r="S3285" s="15"/>
      <c r="T3285" s="16"/>
      <c r="U3285" s="16"/>
      <c r="V3285" s="16"/>
      <c r="W3285" s="16"/>
      <c r="X3285" s="16"/>
      <c r="Y3285" s="11"/>
      <c r="Z3285" s="11"/>
      <c r="AA3285" s="11"/>
      <c r="AB3285" s="11"/>
      <c r="AC3285" s="11"/>
      <c r="AD3285" s="11"/>
    </row>
    <row r="3286">
      <c r="A3286" s="10"/>
      <c r="B3286" s="10"/>
      <c r="C3286" s="10"/>
      <c r="D3286" s="10"/>
      <c r="E3286" s="10"/>
      <c r="F3286" s="11"/>
      <c r="G3286" s="11"/>
      <c r="H3286" s="11"/>
      <c r="I3286" s="11"/>
      <c r="J3286" s="11"/>
      <c r="K3286" s="11"/>
      <c r="L3286" s="12"/>
      <c r="M3286" s="11"/>
      <c r="N3286" s="11"/>
      <c r="O3286" s="13"/>
      <c r="P3286" s="14"/>
      <c r="Q3286" s="13"/>
      <c r="R3286" s="13"/>
      <c r="S3286" s="15"/>
      <c r="T3286" s="16"/>
      <c r="U3286" s="16"/>
      <c r="V3286" s="16"/>
      <c r="W3286" s="16"/>
      <c r="X3286" s="16"/>
      <c r="Y3286" s="11"/>
      <c r="Z3286" s="11"/>
      <c r="AA3286" s="11"/>
      <c r="AB3286" s="11"/>
      <c r="AC3286" s="11"/>
      <c r="AD3286" s="11"/>
    </row>
  </sheetData>
  <conditionalFormatting sqref="A1:D3286">
    <cfRule type="expression" dxfId="3" priority="1">
      <formula>$A1="Amateur"</formula>
    </cfRule>
  </conditionalFormatting>
  <conditionalFormatting sqref="A1:D3286">
    <cfRule type="expression" dxfId="4" priority="2">
      <formula>$A1="Contender"</formula>
    </cfRule>
  </conditionalFormatting>
  <conditionalFormatting sqref="A1:D3286">
    <cfRule type="expression" dxfId="5" priority="3">
      <formula>$A1="Prospect"</formula>
    </cfRule>
  </conditionalFormatting>
  <conditionalFormatting sqref="A1:D3286">
    <cfRule type="expression" dxfId="6" priority="4">
      <formula>$A1="Challenger"</formula>
    </cfRule>
  </conditionalFormatting>
  <conditionalFormatting sqref="A1:D3286">
    <cfRule type="expression" dxfId="7" priority="5">
      <formula>$A1="Rival"</formula>
    </cfRule>
  </conditionalFormatting>
  <conditionalFormatting sqref="A1:D3286">
    <cfRule type="expression" dxfId="8" priority="6">
      <formula>$A1="Veteran"</formula>
    </cfRule>
  </conditionalFormatting>
  <conditionalFormatting sqref="A1:D3286">
    <cfRule type="expression" dxfId="9" priority="7">
      <formula>$A1="Elite"</formula>
    </cfRule>
  </conditionalFormatting>
  <conditionalFormatting sqref="A1:D3286">
    <cfRule type="expression" dxfId="10" priority="8">
      <formula>$A1="Master"</formula>
    </cfRule>
  </conditionalFormatting>
  <conditionalFormatting sqref="A1:D3286">
    <cfRule type="expression" dxfId="11" priority="9">
      <formula>$A1="Premier"</formula>
    </cfRule>
  </conditionalFormatting>
  <conditionalFormatting sqref="A1:I3286 J1:AD4 J6:AD3286">
    <cfRule type="containsBlanks" dxfId="12" priority="10">
      <formula>LEN(TRIM(A1))=0</formula>
    </cfRule>
  </conditionalFormatting>
  <conditionalFormatting sqref="E1:E3286">
    <cfRule type="cellIs" dxfId="6" priority="11" operator="equal">
      <formula>"Solar"</formula>
    </cfRule>
  </conditionalFormatting>
  <conditionalFormatting sqref="E1:E3286">
    <cfRule type="cellIs" dxfId="10" priority="12" operator="equal">
      <formula>"Lunar"</formula>
    </cfRule>
  </conditionalFormatting>
  <conditionalFormatting sqref="F1:F3286">
    <cfRule type="colorScale" priority="13">
      <colorScale>
        <cfvo type="min"/>
        <cfvo type="formula" val="50"/>
        <cfvo type="max"/>
        <color rgb="FFE06666"/>
        <color rgb="FFF6B26B"/>
        <color rgb="FF57BB8A"/>
      </colorScale>
    </cfRule>
  </conditionalFormatting>
  <conditionalFormatting sqref="G1:G3286">
    <cfRule type="colorScale" priority="14">
      <colorScale>
        <cfvo type="min"/>
        <cfvo type="formula" val="50"/>
        <cfvo type="max"/>
        <color rgb="FFE06666"/>
        <color rgb="FFF6B26B"/>
        <color rgb="FF57BB8A"/>
      </colorScale>
    </cfRule>
  </conditionalFormatting>
  <conditionalFormatting sqref="H1:H3286">
    <cfRule type="colorScale" priority="15">
      <colorScale>
        <cfvo type="min"/>
        <cfvo type="formula" val="50"/>
        <cfvo type="max"/>
        <color rgb="FFE06666"/>
        <color rgb="FFF6B26B"/>
        <color rgb="FF57BB8A"/>
      </colorScale>
    </cfRule>
  </conditionalFormatting>
  <conditionalFormatting sqref="I1:I3286">
    <cfRule type="colorScale" priority="16">
      <colorScale>
        <cfvo type="min"/>
        <cfvo type="percent" val="50"/>
        <cfvo type="max"/>
        <color rgb="FFE06666"/>
        <color rgb="FFFFD966"/>
        <color rgb="FF57BB8A"/>
      </colorScale>
    </cfRule>
  </conditionalFormatting>
  <conditionalFormatting sqref="J1:J3286">
    <cfRule type="colorScale" priority="17">
      <colorScale>
        <cfvo type="min"/>
        <cfvo type="percentile" val="50"/>
        <cfvo type="max"/>
        <color rgb="FFE06666"/>
        <color rgb="FFFFD966"/>
        <color rgb="FF57BB8A"/>
      </colorScale>
    </cfRule>
  </conditionalFormatting>
  <conditionalFormatting sqref="K1:K3286">
    <cfRule type="colorScale" priority="18">
      <colorScale>
        <cfvo type="min"/>
        <cfvo type="percent" val="50"/>
        <cfvo type="max"/>
        <color rgb="FF57BB8A"/>
        <color rgb="FFFFD966"/>
        <color rgb="FFE06666"/>
      </colorScale>
    </cfRule>
  </conditionalFormatting>
  <conditionalFormatting sqref="L1:L4 L6:L3286">
    <cfRule type="colorScale" priority="19">
      <colorScale>
        <cfvo type="min"/>
        <cfvo type="formula" val="0.5"/>
        <cfvo type="max"/>
        <color rgb="FFE06666"/>
        <color rgb="FFFFD966"/>
        <color rgb="FF57BB8A"/>
      </colorScale>
    </cfRule>
  </conditionalFormatting>
  <conditionalFormatting sqref="M1:M4 M6:M3286">
    <cfRule type="colorScale" priority="20">
      <colorScale>
        <cfvo type="min"/>
        <cfvo type="percentile" val="50"/>
        <cfvo type="max"/>
        <color rgb="FFE06666"/>
        <color rgb="FFFFD966"/>
        <color rgb="FF57BB8A"/>
      </colorScale>
    </cfRule>
  </conditionalFormatting>
  <conditionalFormatting sqref="N1:N4 N6:N3286">
    <cfRule type="colorScale" priority="21">
      <colorScale>
        <cfvo type="min"/>
        <cfvo type="percentile" val="50"/>
        <cfvo type="max"/>
        <color rgb="FFE06666"/>
        <color rgb="FFFFD966"/>
        <color rgb="FF57BB8A"/>
      </colorScale>
    </cfRule>
  </conditionalFormatting>
  <conditionalFormatting sqref="O1:O4 O6:O3286">
    <cfRule type="colorScale" priority="22">
      <colorScale>
        <cfvo type="min"/>
        <cfvo type="percentile" val="50"/>
        <cfvo type="max"/>
        <color rgb="FFE06666"/>
        <color rgb="FFFFD966"/>
        <color rgb="FF57BB8A"/>
      </colorScale>
    </cfRule>
  </conditionalFormatting>
  <conditionalFormatting sqref="P1:P4 P6:P3286">
    <cfRule type="colorScale" priority="23">
      <colorScale>
        <cfvo type="min"/>
        <cfvo type="percentile" val="50"/>
        <cfvo type="max"/>
        <color rgb="FFE06666"/>
        <color rgb="FFFFD966"/>
        <color rgb="FF57BB8A"/>
      </colorScale>
    </cfRule>
  </conditionalFormatting>
  <conditionalFormatting sqref="Q1:Q4 Q6:Q3286">
    <cfRule type="colorScale" priority="24">
      <colorScale>
        <cfvo type="min"/>
        <cfvo type="percentile" val="50"/>
        <cfvo type="max"/>
        <color rgb="FFE06666"/>
        <color rgb="FFFFD966"/>
        <color rgb="FF57BB8A"/>
      </colorScale>
    </cfRule>
  </conditionalFormatting>
  <conditionalFormatting sqref="R1:R4 R6:R3286">
    <cfRule type="colorScale" priority="25">
      <colorScale>
        <cfvo type="min"/>
        <cfvo type="percentile" val="50"/>
        <cfvo type="max"/>
        <color rgb="FFE06666"/>
        <color rgb="FFFFD966"/>
        <color rgb="FF57BB8A"/>
      </colorScale>
    </cfRule>
  </conditionalFormatting>
  <conditionalFormatting sqref="S1:S4 S6:S3286">
    <cfRule type="colorScale" priority="26">
      <colorScale>
        <cfvo type="min"/>
        <cfvo type="percentile" val="50"/>
        <cfvo type="max"/>
        <color rgb="FFE06666"/>
        <color rgb="FFFFD966"/>
        <color rgb="FF57BB8A"/>
      </colorScale>
    </cfRule>
  </conditionalFormatting>
  <conditionalFormatting sqref="T1:T4 T6:T3286">
    <cfRule type="colorScale" priority="27">
      <colorScale>
        <cfvo type="min"/>
        <cfvo type="percentile" val="50"/>
        <cfvo type="max"/>
        <color rgb="FFE06666"/>
        <color rgb="FFFFD966"/>
        <color rgb="FF57BB8A"/>
      </colorScale>
    </cfRule>
  </conditionalFormatting>
  <conditionalFormatting sqref="U1:U4 U6:U3286">
    <cfRule type="colorScale" priority="28">
      <colorScale>
        <cfvo type="min"/>
        <cfvo type="percentile" val="50"/>
        <cfvo type="max"/>
        <color rgb="FFE06666"/>
        <color rgb="FFFFD966"/>
        <color rgb="FF57BB8A"/>
      </colorScale>
    </cfRule>
  </conditionalFormatting>
  <conditionalFormatting sqref="Y1:Y4 Y6:Y3286">
    <cfRule type="colorScale" priority="29">
      <colorScale>
        <cfvo type="min"/>
        <cfvo type="max"/>
        <color rgb="FF999999"/>
        <color rgb="FF57BB8A"/>
      </colorScale>
    </cfRule>
  </conditionalFormatting>
  <conditionalFormatting sqref="Z1:Z4 Z6:Z3286">
    <cfRule type="colorScale" priority="30">
      <colorScale>
        <cfvo type="min"/>
        <cfvo type="max"/>
        <color rgb="FF999999"/>
        <color rgb="FF57BB8A"/>
      </colorScale>
    </cfRule>
  </conditionalFormatting>
  <conditionalFormatting sqref="AA1:AA4 AA6:AA3286">
    <cfRule type="colorScale" priority="31">
      <colorScale>
        <cfvo type="min"/>
        <cfvo type="max"/>
        <color rgb="FF999999"/>
        <color rgb="FF57BB8A"/>
      </colorScale>
    </cfRule>
  </conditionalFormatting>
  <conditionalFormatting sqref="V1:V4 V6:V3286">
    <cfRule type="colorScale" priority="32">
      <colorScale>
        <cfvo type="min"/>
        <cfvo type="percentile" val="50"/>
        <cfvo type="max"/>
        <color rgb="FFE06666"/>
        <color rgb="FFFFD966"/>
        <color rgb="FF57BB8A"/>
      </colorScale>
    </cfRule>
  </conditionalFormatting>
  <conditionalFormatting sqref="W1:W4 W6:W3286">
    <cfRule type="colorScale" priority="33">
      <colorScale>
        <cfvo type="min"/>
        <cfvo type="percentile" val="50"/>
        <cfvo type="max"/>
        <color rgb="FFE06666"/>
        <color rgb="FFFFD966"/>
        <color rgb="FF57BB8A"/>
      </colorScale>
    </cfRule>
  </conditionalFormatting>
  <conditionalFormatting sqref="X1:X4 X6:X3286">
    <cfRule type="colorScale" priority="34">
      <colorScale>
        <cfvo type="min"/>
        <cfvo type="percentile" val="50"/>
        <cfvo type="max"/>
        <color rgb="FFE06666"/>
        <color rgb="FFFFD966"/>
        <color rgb="FF57BB8A"/>
      </colorScale>
    </cfRule>
  </conditionalFormatting>
  <conditionalFormatting sqref="AA1:AB4 AA6:AB3286">
    <cfRule type="colorScale" priority="35">
      <colorScale>
        <cfvo type="min"/>
        <cfvo type="max"/>
        <color rgb="FF999999"/>
        <color rgb="FF57BB8A"/>
      </colorScale>
    </cfRule>
  </conditionalFormatting>
  <conditionalFormatting sqref="AC1:AC4 AC6:AC3286">
    <cfRule type="colorScale" priority="36">
      <colorScale>
        <cfvo type="min"/>
        <cfvo type="percentile" val="50"/>
        <cfvo type="max"/>
        <color rgb="FFE06666"/>
        <color rgb="FFFFD966"/>
        <color rgb="FF57BB8A"/>
      </colorScale>
    </cfRule>
  </conditionalFormatting>
  <conditionalFormatting sqref="AD1:AD4 AD6:AD3286">
    <cfRule type="colorScale" priority="37">
      <colorScale>
        <cfvo type="min"/>
        <cfvo type="percentile" val="50"/>
        <cfvo type="max"/>
        <color rgb="FFE06666"/>
        <color rgb="FFFFD966"/>
        <color rgb="FF57BB8A"/>
      </colorScale>
    </cfRule>
  </conditionalFormatting>
  <dataValidations>
    <dataValidation type="list" allowBlank="1" showErrorMessage="1" sqref="B2">
      <formula1>'Sorted RPV'!$B$5:$I$5</formula1>
    </dataValidation>
    <dataValidation type="list" allowBlank="1" showErrorMessage="1" sqref="B1">
      <formula1>"All,Premier,Master,Elite,Veteran,Rival,Challenger,Contender,Prospect,Amateur"</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tr">
        <f t="array" ref="A1:A809">UNIQUE('Sorted RPV'!B6:B1000)</f>
        <v>RSC008201</v>
      </c>
      <c r="B1" s="41">
        <f>COUNTA(A:A)</f>
        <v>808</v>
      </c>
    </row>
    <row r="2">
      <c r="A2" s="41" t="s">
        <v>69</v>
      </c>
    </row>
    <row r="3">
      <c r="A3" s="41" t="s">
        <v>70</v>
      </c>
    </row>
    <row r="4">
      <c r="A4" s="41" t="s">
        <v>71</v>
      </c>
    </row>
    <row r="5">
      <c r="A5" s="41" t="s">
        <v>72</v>
      </c>
    </row>
    <row r="6">
      <c r="A6" s="41" t="s">
        <v>73</v>
      </c>
    </row>
    <row r="7">
      <c r="A7" s="41" t="s">
        <v>74</v>
      </c>
    </row>
    <row r="8">
      <c r="A8" s="41" t="s">
        <v>75</v>
      </c>
    </row>
    <row r="9">
      <c r="A9" s="41" t="s">
        <v>76</v>
      </c>
    </row>
    <row r="10">
      <c r="A10" s="41" t="s">
        <v>77</v>
      </c>
    </row>
    <row r="11">
      <c r="A11" s="41" t="s">
        <v>78</v>
      </c>
    </row>
    <row r="12">
      <c r="A12" s="41" t="s">
        <v>79</v>
      </c>
    </row>
    <row r="13">
      <c r="A13" s="41" t="s">
        <v>80</v>
      </c>
    </row>
    <row r="14">
      <c r="A14" s="41" t="s">
        <v>81</v>
      </c>
    </row>
    <row r="15">
      <c r="A15" s="41" t="s">
        <v>82</v>
      </c>
    </row>
    <row r="16">
      <c r="A16" s="41" t="s">
        <v>83</v>
      </c>
    </row>
    <row r="17">
      <c r="A17" s="41" t="s">
        <v>84</v>
      </c>
    </row>
    <row r="18">
      <c r="A18" s="41" t="s">
        <v>85</v>
      </c>
    </row>
    <row r="19">
      <c r="A19" s="41" t="s">
        <v>86</v>
      </c>
    </row>
    <row r="20">
      <c r="A20" s="41" t="s">
        <v>87</v>
      </c>
    </row>
    <row r="21">
      <c r="A21" s="41" t="s">
        <v>88</v>
      </c>
    </row>
    <row r="22">
      <c r="A22" s="41" t="s">
        <v>89</v>
      </c>
    </row>
    <row r="23">
      <c r="A23" s="41" t="s">
        <v>90</v>
      </c>
    </row>
    <row r="24">
      <c r="A24" s="41" t="s">
        <v>91</v>
      </c>
    </row>
    <row r="25">
      <c r="A25" s="41" t="s">
        <v>92</v>
      </c>
    </row>
    <row r="26">
      <c r="A26" s="41" t="s">
        <v>93</v>
      </c>
    </row>
    <row r="27">
      <c r="A27" s="41" t="s">
        <v>94</v>
      </c>
    </row>
    <row r="28">
      <c r="A28" s="41" t="s">
        <v>95</v>
      </c>
    </row>
    <row r="29">
      <c r="A29" s="41" t="s">
        <v>96</v>
      </c>
    </row>
    <row r="30">
      <c r="A30" s="41" t="s">
        <v>97</v>
      </c>
    </row>
    <row r="31">
      <c r="A31" s="41" t="s">
        <v>98</v>
      </c>
    </row>
    <row r="32">
      <c r="A32" s="41" t="s">
        <v>99</v>
      </c>
    </row>
    <row r="33">
      <c r="A33" s="41" t="s">
        <v>100</v>
      </c>
    </row>
    <row r="34">
      <c r="A34" s="41" t="s">
        <v>101</v>
      </c>
    </row>
    <row r="35">
      <c r="A35" s="41" t="s">
        <v>102</v>
      </c>
    </row>
    <row r="36">
      <c r="A36" s="41" t="s">
        <v>103</v>
      </c>
    </row>
    <row r="37">
      <c r="A37" s="41" t="s">
        <v>104</v>
      </c>
    </row>
    <row r="38">
      <c r="A38" s="41" t="s">
        <v>105</v>
      </c>
    </row>
    <row r="39">
      <c r="A39" s="41" t="s">
        <v>106</v>
      </c>
    </row>
    <row r="40">
      <c r="A40" s="41" t="s">
        <v>107</v>
      </c>
    </row>
    <row r="41">
      <c r="A41" s="41" t="s">
        <v>108</v>
      </c>
    </row>
    <row r="42">
      <c r="A42" s="41" t="s">
        <v>109</v>
      </c>
    </row>
    <row r="43">
      <c r="A43" s="41" t="s">
        <v>110</v>
      </c>
    </row>
    <row r="44">
      <c r="A44" s="41" t="s">
        <v>111</v>
      </c>
    </row>
    <row r="45">
      <c r="A45" s="41" t="s">
        <v>112</v>
      </c>
    </row>
    <row r="46">
      <c r="A46" s="41" t="s">
        <v>113</v>
      </c>
    </row>
    <row r="47">
      <c r="A47" s="41" t="s">
        <v>114</v>
      </c>
    </row>
    <row r="48">
      <c r="A48" s="41" t="s">
        <v>115</v>
      </c>
    </row>
    <row r="49">
      <c r="A49" s="41" t="s">
        <v>116</v>
      </c>
    </row>
    <row r="50">
      <c r="A50" s="41" t="s">
        <v>117</v>
      </c>
    </row>
    <row r="51">
      <c r="A51" s="41" t="s">
        <v>118</v>
      </c>
    </row>
    <row r="52">
      <c r="A52" s="41" t="s">
        <v>119</v>
      </c>
    </row>
    <row r="53">
      <c r="A53" s="41" t="s">
        <v>120</v>
      </c>
    </row>
    <row r="54">
      <c r="A54" s="41" t="s">
        <v>121</v>
      </c>
    </row>
    <row r="55">
      <c r="A55" s="41" t="s">
        <v>122</v>
      </c>
    </row>
    <row r="56">
      <c r="A56" s="41" t="s">
        <v>123</v>
      </c>
    </row>
    <row r="57">
      <c r="A57" s="41" t="s">
        <v>124</v>
      </c>
    </row>
    <row r="58">
      <c r="A58" s="41" t="s">
        <v>125</v>
      </c>
    </row>
    <row r="59">
      <c r="A59" s="41" t="s">
        <v>126</v>
      </c>
    </row>
    <row r="60">
      <c r="A60" s="41" t="s">
        <v>127</v>
      </c>
    </row>
    <row r="61">
      <c r="A61" s="41" t="s">
        <v>128</v>
      </c>
    </row>
    <row r="62">
      <c r="A62" s="41" t="s">
        <v>129</v>
      </c>
    </row>
    <row r="63">
      <c r="A63" s="41" t="s">
        <v>130</v>
      </c>
    </row>
    <row r="64">
      <c r="A64" s="41" t="s">
        <v>131</v>
      </c>
    </row>
    <row r="65">
      <c r="A65" s="41" t="s">
        <v>132</v>
      </c>
    </row>
    <row r="66">
      <c r="A66" s="41" t="s">
        <v>133</v>
      </c>
    </row>
    <row r="67">
      <c r="A67" s="41" t="s">
        <v>134</v>
      </c>
    </row>
    <row r="68">
      <c r="A68" s="41" t="s">
        <v>135</v>
      </c>
    </row>
    <row r="69">
      <c r="A69" s="41" t="s">
        <v>136</v>
      </c>
    </row>
    <row r="70">
      <c r="A70" s="41" t="s">
        <v>137</v>
      </c>
    </row>
    <row r="71">
      <c r="A71" s="41" t="s">
        <v>138</v>
      </c>
    </row>
    <row r="72">
      <c r="A72" s="41" t="s">
        <v>139</v>
      </c>
    </row>
    <row r="73">
      <c r="A73" s="41" t="s">
        <v>140</v>
      </c>
    </row>
    <row r="74">
      <c r="A74" s="41" t="s">
        <v>141</v>
      </c>
    </row>
    <row r="75">
      <c r="A75" s="41" t="s">
        <v>142</v>
      </c>
    </row>
    <row r="76">
      <c r="A76" s="41" t="s">
        <v>143</v>
      </c>
    </row>
    <row r="77">
      <c r="A77" s="41" t="s">
        <v>144</v>
      </c>
    </row>
    <row r="78">
      <c r="A78" s="41" t="s">
        <v>145</v>
      </c>
    </row>
    <row r="79">
      <c r="A79" s="41" t="s">
        <v>146</v>
      </c>
    </row>
    <row r="80">
      <c r="A80" s="41" t="s">
        <v>147</v>
      </c>
    </row>
    <row r="81">
      <c r="A81" s="41" t="s">
        <v>148</v>
      </c>
    </row>
    <row r="82">
      <c r="A82" s="41" t="s">
        <v>149</v>
      </c>
    </row>
    <row r="83">
      <c r="A83" s="41" t="s">
        <v>150</v>
      </c>
    </row>
    <row r="84">
      <c r="A84" s="41" t="s">
        <v>151</v>
      </c>
    </row>
    <row r="85">
      <c r="A85" s="41" t="s">
        <v>152</v>
      </c>
    </row>
    <row r="86">
      <c r="A86" s="41" t="s">
        <v>153</v>
      </c>
    </row>
    <row r="87">
      <c r="A87" s="41" t="s">
        <v>154</v>
      </c>
    </row>
    <row r="88">
      <c r="A88" s="41" t="s">
        <v>155</v>
      </c>
    </row>
    <row r="89">
      <c r="A89" s="41" t="s">
        <v>156</v>
      </c>
    </row>
    <row r="90">
      <c r="A90" s="41" t="s">
        <v>157</v>
      </c>
    </row>
    <row r="91">
      <c r="A91" s="41" t="s">
        <v>158</v>
      </c>
    </row>
    <row r="92">
      <c r="A92" s="41" t="s">
        <v>159</v>
      </c>
    </row>
    <row r="93">
      <c r="A93" s="41" t="s">
        <v>160</v>
      </c>
    </row>
    <row r="94">
      <c r="A94" s="41" t="s">
        <v>161</v>
      </c>
    </row>
    <row r="95">
      <c r="A95" s="41" t="s">
        <v>162</v>
      </c>
    </row>
    <row r="96">
      <c r="A96" s="41" t="s">
        <v>163</v>
      </c>
    </row>
    <row r="97">
      <c r="A97" s="41" t="s">
        <v>164</v>
      </c>
    </row>
    <row r="98">
      <c r="A98" s="41" t="s">
        <v>165</v>
      </c>
    </row>
    <row r="99">
      <c r="A99" s="41" t="s">
        <v>166</v>
      </c>
    </row>
    <row r="100">
      <c r="A100" s="41" t="s">
        <v>167</v>
      </c>
    </row>
    <row r="101">
      <c r="A101" s="41" t="s">
        <v>168</v>
      </c>
    </row>
    <row r="102">
      <c r="A102" s="41" t="s">
        <v>169</v>
      </c>
    </row>
    <row r="103">
      <c r="A103" s="41" t="s">
        <v>170</v>
      </c>
    </row>
    <row r="104">
      <c r="A104" s="41" t="s">
        <v>171</v>
      </c>
    </row>
    <row r="105">
      <c r="A105" s="41" t="s">
        <v>172</v>
      </c>
    </row>
    <row r="106">
      <c r="A106" s="41" t="s">
        <v>173</v>
      </c>
    </row>
    <row r="107">
      <c r="A107" s="41" t="s">
        <v>174</v>
      </c>
    </row>
    <row r="108">
      <c r="A108" s="41" t="s">
        <v>175</v>
      </c>
    </row>
    <row r="109">
      <c r="A109" s="41" t="s">
        <v>176</v>
      </c>
    </row>
    <row r="110">
      <c r="A110" s="41" t="s">
        <v>177</v>
      </c>
    </row>
    <row r="111">
      <c r="A111" s="41" t="s">
        <v>178</v>
      </c>
    </row>
    <row r="112">
      <c r="A112" s="41" t="s">
        <v>179</v>
      </c>
    </row>
    <row r="113">
      <c r="A113" s="41" t="s">
        <v>180</v>
      </c>
    </row>
    <row r="114">
      <c r="A114" s="41" t="s">
        <v>181</v>
      </c>
    </row>
    <row r="115">
      <c r="A115" s="41" t="s">
        <v>182</v>
      </c>
    </row>
    <row r="116">
      <c r="A116" s="41" t="s">
        <v>183</v>
      </c>
    </row>
    <row r="117">
      <c r="A117" s="41" t="s">
        <v>184</v>
      </c>
    </row>
    <row r="118">
      <c r="A118" s="41" t="s">
        <v>185</v>
      </c>
    </row>
    <row r="119">
      <c r="A119" s="41" t="s">
        <v>186</v>
      </c>
    </row>
    <row r="120">
      <c r="A120" s="41" t="s">
        <v>187</v>
      </c>
    </row>
    <row r="121">
      <c r="A121" s="41" t="s">
        <v>188</v>
      </c>
    </row>
    <row r="122">
      <c r="A122" s="41" t="s">
        <v>189</v>
      </c>
    </row>
    <row r="123">
      <c r="A123" s="41" t="s">
        <v>190</v>
      </c>
    </row>
    <row r="124">
      <c r="A124" s="41" t="s">
        <v>191</v>
      </c>
    </row>
    <row r="125">
      <c r="A125" s="41" t="s">
        <v>192</v>
      </c>
    </row>
    <row r="126">
      <c r="A126" s="41" t="s">
        <v>193</v>
      </c>
    </row>
    <row r="127">
      <c r="A127" s="41" t="s">
        <v>194</v>
      </c>
    </row>
    <row r="128">
      <c r="A128" s="41" t="s">
        <v>195</v>
      </c>
    </row>
    <row r="129">
      <c r="A129" s="41" t="s">
        <v>196</v>
      </c>
    </row>
    <row r="130">
      <c r="A130" s="41" t="s">
        <v>197</v>
      </c>
    </row>
    <row r="131">
      <c r="A131" s="41" t="s">
        <v>198</v>
      </c>
    </row>
    <row r="132">
      <c r="A132" s="41" t="s">
        <v>199</v>
      </c>
    </row>
    <row r="133">
      <c r="A133" s="41" t="s">
        <v>200</v>
      </c>
    </row>
    <row r="134">
      <c r="A134" s="41" t="s">
        <v>201</v>
      </c>
    </row>
    <row r="135">
      <c r="A135" s="41" t="s">
        <v>202</v>
      </c>
    </row>
    <row r="136">
      <c r="A136" s="41" t="s">
        <v>203</v>
      </c>
    </row>
    <row r="137">
      <c r="A137" s="41" t="s">
        <v>204</v>
      </c>
    </row>
    <row r="138">
      <c r="A138" s="41" t="s">
        <v>205</v>
      </c>
    </row>
    <row r="139">
      <c r="A139" s="41" t="s">
        <v>206</v>
      </c>
    </row>
    <row r="140">
      <c r="A140" s="41" t="s">
        <v>207</v>
      </c>
    </row>
    <row r="141">
      <c r="A141" s="41" t="s">
        <v>208</v>
      </c>
    </row>
    <row r="142">
      <c r="A142" s="41" t="s">
        <v>209</v>
      </c>
    </row>
    <row r="143">
      <c r="A143" s="41" t="s">
        <v>210</v>
      </c>
    </row>
    <row r="144">
      <c r="A144" s="41" t="s">
        <v>211</v>
      </c>
    </row>
    <row r="145">
      <c r="A145" s="41" t="s">
        <v>212</v>
      </c>
    </row>
    <row r="146">
      <c r="A146" s="41" t="s">
        <v>213</v>
      </c>
    </row>
    <row r="147">
      <c r="A147" s="41" t="s">
        <v>214</v>
      </c>
    </row>
    <row r="148">
      <c r="A148" s="41" t="s">
        <v>215</v>
      </c>
    </row>
    <row r="149">
      <c r="A149" s="41" t="s">
        <v>216</v>
      </c>
    </row>
    <row r="150">
      <c r="A150" s="41" t="s">
        <v>217</v>
      </c>
    </row>
    <row r="151">
      <c r="A151" s="41" t="s">
        <v>218</v>
      </c>
    </row>
    <row r="152">
      <c r="A152" s="41" t="s">
        <v>219</v>
      </c>
    </row>
    <row r="153">
      <c r="A153" s="41" t="s">
        <v>220</v>
      </c>
    </row>
    <row r="154">
      <c r="A154" s="41" t="s">
        <v>221</v>
      </c>
    </row>
    <row r="155">
      <c r="A155" s="41" t="s">
        <v>222</v>
      </c>
    </row>
    <row r="156">
      <c r="A156" s="41" t="s">
        <v>223</v>
      </c>
    </row>
    <row r="157">
      <c r="A157" s="41" t="s">
        <v>224</v>
      </c>
    </row>
    <row r="158">
      <c r="A158" s="41" t="s">
        <v>225</v>
      </c>
    </row>
    <row r="159">
      <c r="A159" s="41" t="s">
        <v>226</v>
      </c>
    </row>
    <row r="160">
      <c r="A160" s="41" t="s">
        <v>227</v>
      </c>
    </row>
    <row r="161">
      <c r="A161" s="41" t="s">
        <v>228</v>
      </c>
    </row>
    <row r="162">
      <c r="A162" s="41" t="s">
        <v>229</v>
      </c>
    </row>
    <row r="163">
      <c r="A163" s="41" t="s">
        <v>230</v>
      </c>
    </row>
    <row r="164">
      <c r="A164" s="41" t="s">
        <v>231</v>
      </c>
    </row>
    <row r="165">
      <c r="A165" s="41" t="s">
        <v>232</v>
      </c>
    </row>
    <row r="166">
      <c r="A166" s="41" t="s">
        <v>233</v>
      </c>
    </row>
    <row r="167">
      <c r="A167" s="41" t="s">
        <v>234</v>
      </c>
    </row>
    <row r="168">
      <c r="A168" s="41" t="s">
        <v>235</v>
      </c>
    </row>
    <row r="169">
      <c r="A169" s="41" t="s">
        <v>236</v>
      </c>
    </row>
    <row r="170">
      <c r="A170" s="41" t="s">
        <v>237</v>
      </c>
    </row>
    <row r="171">
      <c r="A171" s="41" t="s">
        <v>238</v>
      </c>
    </row>
    <row r="172">
      <c r="A172" s="41" t="s">
        <v>239</v>
      </c>
    </row>
    <row r="173">
      <c r="A173" s="41" t="s">
        <v>240</v>
      </c>
    </row>
    <row r="174">
      <c r="A174" s="41" t="s">
        <v>241</v>
      </c>
    </row>
    <row r="175">
      <c r="A175" s="41" t="s">
        <v>242</v>
      </c>
    </row>
    <row r="176">
      <c r="A176" s="41" t="s">
        <v>243</v>
      </c>
    </row>
    <row r="177">
      <c r="A177" s="41" t="s">
        <v>244</v>
      </c>
    </row>
    <row r="178">
      <c r="A178" s="41" t="s">
        <v>245</v>
      </c>
    </row>
    <row r="179">
      <c r="A179" s="41" t="s">
        <v>246</v>
      </c>
    </row>
    <row r="180">
      <c r="A180" s="41" t="s">
        <v>247</v>
      </c>
    </row>
    <row r="181">
      <c r="A181" s="41" t="s">
        <v>248</v>
      </c>
    </row>
    <row r="182">
      <c r="A182" s="41" t="s">
        <v>249</v>
      </c>
    </row>
    <row r="183">
      <c r="A183" s="41" t="s">
        <v>250</v>
      </c>
    </row>
    <row r="184">
      <c r="A184" s="41" t="s">
        <v>251</v>
      </c>
    </row>
    <row r="185">
      <c r="A185" s="41" t="s">
        <v>252</v>
      </c>
    </row>
    <row r="186">
      <c r="A186" s="41" t="s">
        <v>253</v>
      </c>
    </row>
    <row r="187">
      <c r="A187" s="41" t="s">
        <v>254</v>
      </c>
    </row>
    <row r="188">
      <c r="A188" s="41" t="s">
        <v>255</v>
      </c>
    </row>
    <row r="189">
      <c r="A189" s="41" t="s">
        <v>256</v>
      </c>
    </row>
    <row r="190">
      <c r="A190" s="41" t="s">
        <v>257</v>
      </c>
    </row>
    <row r="191">
      <c r="A191" s="41" t="s">
        <v>258</v>
      </c>
    </row>
    <row r="192">
      <c r="A192" s="41" t="s">
        <v>259</v>
      </c>
    </row>
    <row r="193">
      <c r="A193" s="41" t="s">
        <v>260</v>
      </c>
    </row>
    <row r="194">
      <c r="A194" s="41" t="s">
        <v>261</v>
      </c>
    </row>
    <row r="195">
      <c r="A195" s="41" t="s">
        <v>262</v>
      </c>
    </row>
    <row r="196">
      <c r="A196" s="41" t="s">
        <v>263</v>
      </c>
    </row>
    <row r="197">
      <c r="A197" s="41" t="s">
        <v>264</v>
      </c>
    </row>
    <row r="198">
      <c r="A198" s="41" t="s">
        <v>265</v>
      </c>
    </row>
    <row r="199">
      <c r="A199" s="41" t="s">
        <v>266</v>
      </c>
    </row>
    <row r="200">
      <c r="A200" s="41" t="s">
        <v>267</v>
      </c>
    </row>
    <row r="201">
      <c r="A201" s="41" t="s">
        <v>268</v>
      </c>
    </row>
    <row r="202">
      <c r="A202" s="41" t="s">
        <v>269</v>
      </c>
    </row>
    <row r="203">
      <c r="A203" s="41" t="s">
        <v>270</v>
      </c>
    </row>
    <row r="204">
      <c r="A204" s="41" t="s">
        <v>271</v>
      </c>
    </row>
    <row r="205">
      <c r="A205" s="41" t="s">
        <v>272</v>
      </c>
    </row>
    <row r="206">
      <c r="A206" s="41" t="s">
        <v>273</v>
      </c>
    </row>
    <row r="207">
      <c r="A207" s="41" t="s">
        <v>274</v>
      </c>
    </row>
    <row r="208">
      <c r="A208" s="41" t="s">
        <v>275</v>
      </c>
    </row>
    <row r="209">
      <c r="A209" s="41" t="s">
        <v>276</v>
      </c>
    </row>
    <row r="210">
      <c r="A210" s="41" t="s">
        <v>277</v>
      </c>
    </row>
    <row r="211">
      <c r="A211" s="41" t="s">
        <v>278</v>
      </c>
    </row>
    <row r="212">
      <c r="A212" s="41" t="s">
        <v>279</v>
      </c>
    </row>
    <row r="213">
      <c r="A213" s="41" t="s">
        <v>280</v>
      </c>
    </row>
    <row r="214">
      <c r="A214" s="41" t="s">
        <v>281</v>
      </c>
    </row>
    <row r="215">
      <c r="A215" s="41" t="s">
        <v>282</v>
      </c>
    </row>
    <row r="216">
      <c r="A216" s="41" t="s">
        <v>283</v>
      </c>
    </row>
    <row r="217">
      <c r="A217" s="41" t="s">
        <v>284</v>
      </c>
    </row>
    <row r="218">
      <c r="A218" s="41" t="s">
        <v>285</v>
      </c>
    </row>
    <row r="219">
      <c r="A219" s="41" t="s">
        <v>286</v>
      </c>
    </row>
    <row r="220">
      <c r="A220" s="41" t="s">
        <v>287</v>
      </c>
    </row>
    <row r="221">
      <c r="A221" s="41" t="s">
        <v>288</v>
      </c>
    </row>
    <row r="222">
      <c r="A222" s="41" t="s">
        <v>289</v>
      </c>
    </row>
    <row r="223">
      <c r="A223" s="41" t="s">
        <v>290</v>
      </c>
    </row>
    <row r="224">
      <c r="A224" s="41" t="s">
        <v>291</v>
      </c>
    </row>
    <row r="225">
      <c r="A225" s="41" t="s">
        <v>292</v>
      </c>
    </row>
    <row r="226">
      <c r="A226" s="41" t="s">
        <v>293</v>
      </c>
    </row>
    <row r="227">
      <c r="A227" s="41" t="s">
        <v>294</v>
      </c>
    </row>
    <row r="228">
      <c r="A228" s="41" t="s">
        <v>295</v>
      </c>
    </row>
    <row r="229">
      <c r="A229" s="41" t="s">
        <v>296</v>
      </c>
    </row>
    <row r="230">
      <c r="A230" s="41" t="s">
        <v>297</v>
      </c>
    </row>
    <row r="231">
      <c r="A231" s="41" t="s">
        <v>298</v>
      </c>
    </row>
    <row r="232">
      <c r="A232" s="41" t="s">
        <v>299</v>
      </c>
    </row>
    <row r="233">
      <c r="A233" s="41" t="s">
        <v>300</v>
      </c>
    </row>
    <row r="234">
      <c r="A234" s="41" t="s">
        <v>301</v>
      </c>
    </row>
    <row r="235">
      <c r="A235" s="41" t="s">
        <v>302</v>
      </c>
    </row>
    <row r="236">
      <c r="A236" s="41" t="s">
        <v>303</v>
      </c>
    </row>
    <row r="237">
      <c r="A237" s="41" t="s">
        <v>304</v>
      </c>
    </row>
    <row r="238">
      <c r="A238" s="41" t="s">
        <v>305</v>
      </c>
    </row>
    <row r="239">
      <c r="A239" s="41" t="s">
        <v>306</v>
      </c>
    </row>
    <row r="240">
      <c r="A240" s="41" t="s">
        <v>307</v>
      </c>
    </row>
    <row r="241">
      <c r="A241" s="41" t="s">
        <v>308</v>
      </c>
    </row>
    <row r="242">
      <c r="A242" s="41" t="s">
        <v>309</v>
      </c>
    </row>
    <row r="243">
      <c r="A243" s="41" t="s">
        <v>310</v>
      </c>
    </row>
    <row r="244">
      <c r="A244" s="41" t="s">
        <v>311</v>
      </c>
    </row>
    <row r="245">
      <c r="A245" s="41" t="s">
        <v>312</v>
      </c>
    </row>
    <row r="246">
      <c r="A246" s="41" t="s">
        <v>313</v>
      </c>
    </row>
    <row r="247">
      <c r="A247" s="41" t="s">
        <v>314</v>
      </c>
    </row>
    <row r="248">
      <c r="A248" s="41" t="s">
        <v>315</v>
      </c>
    </row>
    <row r="249">
      <c r="A249" s="41" t="s">
        <v>316</v>
      </c>
    </row>
    <row r="250">
      <c r="A250" s="41" t="s">
        <v>317</v>
      </c>
    </row>
    <row r="251">
      <c r="A251" s="41" t="s">
        <v>318</v>
      </c>
    </row>
    <row r="252">
      <c r="A252" s="41" t="s">
        <v>319</v>
      </c>
    </row>
    <row r="253">
      <c r="A253" s="41" t="s">
        <v>320</v>
      </c>
    </row>
    <row r="254">
      <c r="A254" s="41" t="s">
        <v>321</v>
      </c>
    </row>
    <row r="255">
      <c r="A255" s="41" t="s">
        <v>322</v>
      </c>
    </row>
    <row r="256">
      <c r="A256" s="41" t="s">
        <v>323</v>
      </c>
    </row>
    <row r="257">
      <c r="A257" s="41" t="s">
        <v>324</v>
      </c>
    </row>
    <row r="258">
      <c r="A258" s="41" t="s">
        <v>325</v>
      </c>
    </row>
    <row r="259">
      <c r="A259" s="41" t="s">
        <v>326</v>
      </c>
    </row>
    <row r="260">
      <c r="A260" s="41" t="s">
        <v>327</v>
      </c>
    </row>
    <row r="261">
      <c r="A261" s="41" t="s">
        <v>328</v>
      </c>
    </row>
    <row r="262">
      <c r="A262" s="41" t="s">
        <v>329</v>
      </c>
    </row>
    <row r="263">
      <c r="A263" s="41" t="s">
        <v>330</v>
      </c>
    </row>
    <row r="264">
      <c r="A264" s="41" t="s">
        <v>331</v>
      </c>
    </row>
    <row r="265">
      <c r="A265" s="41" t="s">
        <v>332</v>
      </c>
    </row>
    <row r="266">
      <c r="A266" s="41" t="s">
        <v>333</v>
      </c>
    </row>
    <row r="267">
      <c r="A267" s="41" t="s">
        <v>334</v>
      </c>
    </row>
    <row r="268">
      <c r="A268" s="41" t="s">
        <v>335</v>
      </c>
    </row>
    <row r="269">
      <c r="A269" s="41" t="s">
        <v>336</v>
      </c>
    </row>
    <row r="270">
      <c r="A270" s="41" t="s">
        <v>337</v>
      </c>
    </row>
    <row r="271">
      <c r="A271" s="41" t="s">
        <v>338</v>
      </c>
    </row>
    <row r="272">
      <c r="A272" s="41" t="s">
        <v>339</v>
      </c>
    </row>
    <row r="273">
      <c r="A273" s="41" t="s">
        <v>340</v>
      </c>
    </row>
    <row r="274">
      <c r="A274" s="41" t="s">
        <v>341</v>
      </c>
    </row>
    <row r="275">
      <c r="A275" s="41" t="s">
        <v>342</v>
      </c>
    </row>
    <row r="276">
      <c r="A276" s="41" t="s">
        <v>343</v>
      </c>
    </row>
    <row r="277">
      <c r="A277" s="41" t="s">
        <v>344</v>
      </c>
    </row>
    <row r="278">
      <c r="A278" s="41" t="s">
        <v>345</v>
      </c>
    </row>
    <row r="279">
      <c r="A279" s="41" t="s">
        <v>346</v>
      </c>
    </row>
    <row r="280">
      <c r="A280" s="41" t="s">
        <v>347</v>
      </c>
    </row>
    <row r="281">
      <c r="A281" s="41" t="s">
        <v>348</v>
      </c>
    </row>
    <row r="282">
      <c r="A282" s="41" t="s">
        <v>349</v>
      </c>
    </row>
    <row r="283">
      <c r="A283" s="41" t="s">
        <v>350</v>
      </c>
    </row>
    <row r="284">
      <c r="A284" s="41" t="s">
        <v>351</v>
      </c>
    </row>
    <row r="285">
      <c r="A285" s="41" t="s">
        <v>352</v>
      </c>
    </row>
    <row r="286">
      <c r="A286" s="41" t="s">
        <v>353</v>
      </c>
    </row>
    <row r="287">
      <c r="A287" s="41" t="s">
        <v>354</v>
      </c>
    </row>
    <row r="288">
      <c r="A288" s="41" t="s">
        <v>355</v>
      </c>
    </row>
    <row r="289">
      <c r="A289" s="41" t="s">
        <v>356</v>
      </c>
    </row>
    <row r="290">
      <c r="A290" s="41" t="s">
        <v>357</v>
      </c>
    </row>
    <row r="291">
      <c r="A291" s="41" t="s">
        <v>358</v>
      </c>
    </row>
    <row r="292">
      <c r="A292" s="41" t="s">
        <v>359</v>
      </c>
    </row>
    <row r="293">
      <c r="A293" s="41" t="s">
        <v>360</v>
      </c>
    </row>
    <row r="294">
      <c r="A294" s="41" t="s">
        <v>361</v>
      </c>
    </row>
    <row r="295">
      <c r="A295" s="41" t="s">
        <v>362</v>
      </c>
    </row>
    <row r="296">
      <c r="A296" s="41" t="s">
        <v>363</v>
      </c>
    </row>
    <row r="297">
      <c r="A297" s="41" t="s">
        <v>364</v>
      </c>
    </row>
    <row r="298">
      <c r="A298" s="41" t="s">
        <v>365</v>
      </c>
    </row>
    <row r="299">
      <c r="A299" s="41" t="s">
        <v>366</v>
      </c>
    </row>
    <row r="300">
      <c r="A300" s="41" t="s">
        <v>367</v>
      </c>
    </row>
    <row r="301">
      <c r="A301" s="41" t="s">
        <v>368</v>
      </c>
    </row>
    <row r="302">
      <c r="A302" s="41" t="s">
        <v>369</v>
      </c>
    </row>
    <row r="303">
      <c r="A303" s="41" t="s">
        <v>370</v>
      </c>
    </row>
    <row r="304">
      <c r="A304" s="41" t="s">
        <v>371</v>
      </c>
    </row>
    <row r="305">
      <c r="A305" s="41" t="s">
        <v>372</v>
      </c>
    </row>
    <row r="306">
      <c r="A306" s="41" t="s">
        <v>373</v>
      </c>
    </row>
    <row r="307">
      <c r="A307" s="41" t="s">
        <v>374</v>
      </c>
    </row>
    <row r="308">
      <c r="A308" s="41" t="s">
        <v>375</v>
      </c>
    </row>
    <row r="309">
      <c r="A309" s="41" t="s">
        <v>376</v>
      </c>
    </row>
    <row r="310">
      <c r="A310" s="41" t="s">
        <v>377</v>
      </c>
    </row>
    <row r="311">
      <c r="A311" s="41" t="s">
        <v>378</v>
      </c>
    </row>
    <row r="312">
      <c r="A312" s="41" t="s">
        <v>379</v>
      </c>
    </row>
    <row r="313">
      <c r="A313" s="41" t="s">
        <v>380</v>
      </c>
    </row>
    <row r="314">
      <c r="A314" s="41" t="s">
        <v>381</v>
      </c>
    </row>
    <row r="315">
      <c r="A315" s="41" t="s">
        <v>382</v>
      </c>
    </row>
    <row r="316">
      <c r="A316" s="41" t="s">
        <v>383</v>
      </c>
    </row>
    <row r="317">
      <c r="A317" s="41" t="s">
        <v>384</v>
      </c>
    </row>
    <row r="318">
      <c r="A318" s="41" t="s">
        <v>385</v>
      </c>
    </row>
    <row r="319">
      <c r="A319" s="41" t="s">
        <v>386</v>
      </c>
    </row>
    <row r="320">
      <c r="A320" s="41" t="s">
        <v>387</v>
      </c>
    </row>
    <row r="321">
      <c r="A321" s="41" t="s">
        <v>388</v>
      </c>
    </row>
    <row r="322">
      <c r="A322" s="41" t="s">
        <v>389</v>
      </c>
    </row>
    <row r="323">
      <c r="A323" s="41" t="s">
        <v>390</v>
      </c>
    </row>
    <row r="324">
      <c r="A324" s="41" t="s">
        <v>391</v>
      </c>
    </row>
    <row r="325">
      <c r="A325" s="41" t="s">
        <v>392</v>
      </c>
    </row>
    <row r="326">
      <c r="A326" s="41" t="s">
        <v>393</v>
      </c>
    </row>
    <row r="327">
      <c r="A327" s="41" t="s">
        <v>394</v>
      </c>
    </row>
    <row r="328">
      <c r="A328" s="41" t="s">
        <v>395</v>
      </c>
    </row>
    <row r="329">
      <c r="A329" s="41" t="s">
        <v>396</v>
      </c>
    </row>
    <row r="330">
      <c r="A330" s="41" t="s">
        <v>397</v>
      </c>
    </row>
    <row r="331">
      <c r="A331" s="41" t="s">
        <v>398</v>
      </c>
    </row>
    <row r="332">
      <c r="A332" s="41" t="s">
        <v>399</v>
      </c>
    </row>
    <row r="333">
      <c r="A333" s="41" t="s">
        <v>400</v>
      </c>
    </row>
    <row r="334">
      <c r="A334" s="41" t="s">
        <v>401</v>
      </c>
    </row>
    <row r="335">
      <c r="A335" s="41" t="s">
        <v>402</v>
      </c>
    </row>
    <row r="336">
      <c r="A336" s="41" t="s">
        <v>403</v>
      </c>
    </row>
    <row r="337">
      <c r="A337" s="41" t="s">
        <v>404</v>
      </c>
    </row>
    <row r="338">
      <c r="A338" s="41" t="s">
        <v>405</v>
      </c>
    </row>
    <row r="339">
      <c r="A339" s="41" t="s">
        <v>406</v>
      </c>
    </row>
    <row r="340">
      <c r="A340" s="41" t="s">
        <v>407</v>
      </c>
    </row>
    <row r="341">
      <c r="A341" s="41" t="s">
        <v>408</v>
      </c>
    </row>
    <row r="342">
      <c r="A342" s="41" t="s">
        <v>409</v>
      </c>
    </row>
    <row r="343">
      <c r="A343" s="41" t="s">
        <v>410</v>
      </c>
    </row>
    <row r="344">
      <c r="A344" s="41" t="s">
        <v>411</v>
      </c>
    </row>
    <row r="345">
      <c r="A345" s="41" t="s">
        <v>412</v>
      </c>
    </row>
    <row r="346">
      <c r="A346" s="41" t="s">
        <v>413</v>
      </c>
    </row>
    <row r="347">
      <c r="A347" s="41" t="s">
        <v>414</v>
      </c>
    </row>
    <row r="348">
      <c r="A348" s="41" t="s">
        <v>415</v>
      </c>
    </row>
    <row r="349">
      <c r="A349" s="41" t="s">
        <v>416</v>
      </c>
    </row>
    <row r="350">
      <c r="A350" s="41" t="s">
        <v>417</v>
      </c>
    </row>
    <row r="351">
      <c r="A351" s="41" t="s">
        <v>418</v>
      </c>
    </row>
    <row r="352">
      <c r="A352" s="41" t="s">
        <v>419</v>
      </c>
    </row>
    <row r="353">
      <c r="A353" s="41" t="s">
        <v>420</v>
      </c>
    </row>
    <row r="354">
      <c r="A354" s="41" t="s">
        <v>421</v>
      </c>
    </row>
    <row r="355">
      <c r="A355" s="41" t="s">
        <v>422</v>
      </c>
    </row>
    <row r="356">
      <c r="A356" s="41" t="s">
        <v>423</v>
      </c>
    </row>
    <row r="357">
      <c r="A357" s="41" t="s">
        <v>424</v>
      </c>
    </row>
    <row r="358">
      <c r="A358" s="41" t="s">
        <v>425</v>
      </c>
    </row>
    <row r="359">
      <c r="A359" s="41" t="s">
        <v>426</v>
      </c>
    </row>
    <row r="360">
      <c r="A360" s="41" t="s">
        <v>427</v>
      </c>
    </row>
    <row r="361">
      <c r="A361" s="41" t="s">
        <v>428</v>
      </c>
    </row>
    <row r="362">
      <c r="A362" s="41" t="s">
        <v>429</v>
      </c>
    </row>
    <row r="363">
      <c r="A363" s="41" t="s">
        <v>430</v>
      </c>
    </row>
    <row r="364">
      <c r="A364" s="41" t="s">
        <v>431</v>
      </c>
    </row>
    <row r="365">
      <c r="A365" s="41" t="s">
        <v>432</v>
      </c>
    </row>
    <row r="366">
      <c r="A366" s="41" t="s">
        <v>433</v>
      </c>
    </row>
    <row r="367">
      <c r="A367" s="41" t="s">
        <v>434</v>
      </c>
    </row>
    <row r="368">
      <c r="A368" s="41" t="s">
        <v>435</v>
      </c>
    </row>
    <row r="369">
      <c r="A369" s="41" t="s">
        <v>436</v>
      </c>
    </row>
    <row r="370">
      <c r="A370" s="41" t="s">
        <v>437</v>
      </c>
    </row>
    <row r="371">
      <c r="A371" s="41" t="s">
        <v>438</v>
      </c>
    </row>
    <row r="372">
      <c r="A372" s="41" t="s">
        <v>439</v>
      </c>
    </row>
    <row r="373">
      <c r="A373" s="41" t="s">
        <v>440</v>
      </c>
    </row>
    <row r="374">
      <c r="A374" s="41" t="s">
        <v>441</v>
      </c>
    </row>
    <row r="375">
      <c r="A375" s="41" t="s">
        <v>442</v>
      </c>
    </row>
    <row r="376">
      <c r="A376" s="41" t="s">
        <v>443</v>
      </c>
    </row>
    <row r="377">
      <c r="A377" s="41" t="s">
        <v>444</v>
      </c>
    </row>
    <row r="378">
      <c r="A378" s="41" t="s">
        <v>445</v>
      </c>
    </row>
    <row r="379">
      <c r="A379" s="41" t="s">
        <v>446</v>
      </c>
    </row>
    <row r="380">
      <c r="A380" s="41" t="s">
        <v>447</v>
      </c>
    </row>
    <row r="381">
      <c r="A381" s="41" t="s">
        <v>448</v>
      </c>
    </row>
    <row r="382">
      <c r="A382" s="41" t="s">
        <v>449</v>
      </c>
    </row>
    <row r="383">
      <c r="A383" s="41" t="s">
        <v>450</v>
      </c>
    </row>
    <row r="384">
      <c r="A384" s="41" t="s">
        <v>451</v>
      </c>
    </row>
    <row r="385">
      <c r="A385" s="41" t="s">
        <v>452</v>
      </c>
    </row>
    <row r="386">
      <c r="A386" s="41" t="s">
        <v>453</v>
      </c>
    </row>
    <row r="387">
      <c r="A387" s="41" t="s">
        <v>454</v>
      </c>
    </row>
    <row r="388">
      <c r="A388" s="41" t="s">
        <v>455</v>
      </c>
    </row>
    <row r="389">
      <c r="A389" s="41" t="s">
        <v>456</v>
      </c>
    </row>
    <row r="390">
      <c r="A390" s="41" t="s">
        <v>457</v>
      </c>
    </row>
    <row r="391">
      <c r="A391" s="41" t="s">
        <v>458</v>
      </c>
    </row>
    <row r="392">
      <c r="A392" s="41" t="s">
        <v>459</v>
      </c>
    </row>
    <row r="393">
      <c r="A393" s="41" t="s">
        <v>460</v>
      </c>
    </row>
    <row r="394">
      <c r="A394" s="41" t="s">
        <v>461</v>
      </c>
    </row>
    <row r="395">
      <c r="A395" s="41" t="s">
        <v>462</v>
      </c>
    </row>
    <row r="396">
      <c r="A396" s="41" t="s">
        <v>463</v>
      </c>
    </row>
    <row r="397">
      <c r="A397" s="41" t="s">
        <v>464</v>
      </c>
    </row>
    <row r="398">
      <c r="A398" s="41" t="s">
        <v>465</v>
      </c>
    </row>
    <row r="399">
      <c r="A399" s="41" t="s">
        <v>466</v>
      </c>
    </row>
    <row r="400">
      <c r="A400" s="41" t="s">
        <v>467</v>
      </c>
    </row>
    <row r="401">
      <c r="A401" s="41" t="s">
        <v>468</v>
      </c>
    </row>
    <row r="402">
      <c r="A402" s="41" t="s">
        <v>469</v>
      </c>
    </row>
    <row r="403">
      <c r="A403" s="41" t="s">
        <v>470</v>
      </c>
    </row>
    <row r="404">
      <c r="A404" s="41" t="s">
        <v>471</v>
      </c>
    </row>
    <row r="405">
      <c r="A405" s="41" t="s">
        <v>472</v>
      </c>
    </row>
    <row r="406">
      <c r="A406" s="41" t="s">
        <v>473</v>
      </c>
    </row>
    <row r="407">
      <c r="A407" s="41" t="s">
        <v>474</v>
      </c>
    </row>
    <row r="408">
      <c r="A408" s="41" t="s">
        <v>475</v>
      </c>
    </row>
    <row r="409">
      <c r="A409" s="41" t="s">
        <v>476</v>
      </c>
    </row>
    <row r="410">
      <c r="A410" s="41" t="s">
        <v>477</v>
      </c>
    </row>
    <row r="411">
      <c r="A411" s="41" t="s">
        <v>478</v>
      </c>
    </row>
    <row r="412">
      <c r="A412" s="41" t="s">
        <v>479</v>
      </c>
    </row>
    <row r="413">
      <c r="A413" s="41" t="s">
        <v>480</v>
      </c>
    </row>
    <row r="414">
      <c r="A414" s="41" t="s">
        <v>481</v>
      </c>
    </row>
    <row r="415">
      <c r="A415" s="41" t="s">
        <v>482</v>
      </c>
    </row>
    <row r="416">
      <c r="A416" s="41" t="s">
        <v>483</v>
      </c>
    </row>
    <row r="417">
      <c r="A417" s="41" t="s">
        <v>484</v>
      </c>
    </row>
    <row r="418">
      <c r="A418" s="41" t="s">
        <v>485</v>
      </c>
    </row>
    <row r="419">
      <c r="A419" s="41" t="s">
        <v>486</v>
      </c>
    </row>
    <row r="420">
      <c r="A420" s="41" t="s">
        <v>487</v>
      </c>
    </row>
    <row r="421">
      <c r="A421" s="41" t="s">
        <v>488</v>
      </c>
    </row>
    <row r="422">
      <c r="A422" s="41" t="s">
        <v>489</v>
      </c>
    </row>
    <row r="423">
      <c r="A423" s="41" t="s">
        <v>490</v>
      </c>
    </row>
    <row r="424">
      <c r="A424" s="41" t="s">
        <v>491</v>
      </c>
    </row>
    <row r="425">
      <c r="A425" s="41" t="s">
        <v>492</v>
      </c>
    </row>
    <row r="426">
      <c r="A426" s="41" t="s">
        <v>493</v>
      </c>
    </row>
    <row r="427">
      <c r="A427" s="41" t="s">
        <v>494</v>
      </c>
    </row>
    <row r="428">
      <c r="A428" s="41" t="s">
        <v>495</v>
      </c>
    </row>
    <row r="429">
      <c r="A429" s="41" t="s">
        <v>496</v>
      </c>
    </row>
    <row r="430">
      <c r="A430" s="41" t="s">
        <v>497</v>
      </c>
    </row>
    <row r="431">
      <c r="A431" s="41" t="s">
        <v>498</v>
      </c>
    </row>
    <row r="432">
      <c r="A432" s="41" t="s">
        <v>499</v>
      </c>
    </row>
    <row r="433">
      <c r="A433" s="41" t="s">
        <v>500</v>
      </c>
    </row>
    <row r="434">
      <c r="A434" s="41" t="s">
        <v>501</v>
      </c>
    </row>
    <row r="435">
      <c r="A435" s="41" t="s">
        <v>502</v>
      </c>
    </row>
    <row r="436">
      <c r="A436" s="41" t="s">
        <v>503</v>
      </c>
    </row>
    <row r="437">
      <c r="A437" s="41" t="s">
        <v>504</v>
      </c>
    </row>
    <row r="438">
      <c r="A438" s="41" t="s">
        <v>505</v>
      </c>
    </row>
    <row r="439">
      <c r="A439" s="41" t="s">
        <v>506</v>
      </c>
    </row>
    <row r="440">
      <c r="A440" s="41" t="s">
        <v>507</v>
      </c>
    </row>
    <row r="441">
      <c r="A441" s="41" t="s">
        <v>508</v>
      </c>
    </row>
    <row r="442">
      <c r="A442" s="41" t="s">
        <v>509</v>
      </c>
    </row>
    <row r="443">
      <c r="A443" s="41" t="s">
        <v>510</v>
      </c>
    </row>
    <row r="444">
      <c r="A444" s="41" t="s">
        <v>511</v>
      </c>
    </row>
    <row r="445">
      <c r="A445" s="41" t="s">
        <v>512</v>
      </c>
    </row>
    <row r="446">
      <c r="A446" s="41" t="s">
        <v>513</v>
      </c>
    </row>
    <row r="447">
      <c r="A447" s="41" t="s">
        <v>514</v>
      </c>
    </row>
    <row r="448">
      <c r="A448" s="41" t="s">
        <v>515</v>
      </c>
    </row>
    <row r="449">
      <c r="A449" s="41" t="s">
        <v>516</v>
      </c>
    </row>
    <row r="450">
      <c r="A450" s="41" t="s">
        <v>517</v>
      </c>
    </row>
    <row r="451">
      <c r="A451" s="41" t="s">
        <v>518</v>
      </c>
    </row>
    <row r="452">
      <c r="A452" s="41" t="s">
        <v>519</v>
      </c>
    </row>
    <row r="453">
      <c r="A453" s="41" t="s">
        <v>520</v>
      </c>
    </row>
    <row r="454">
      <c r="A454" s="41" t="s">
        <v>521</v>
      </c>
    </row>
    <row r="455">
      <c r="A455" s="41" t="s">
        <v>522</v>
      </c>
    </row>
    <row r="456">
      <c r="A456" s="41" t="s">
        <v>523</v>
      </c>
    </row>
    <row r="457">
      <c r="A457" s="41" t="s">
        <v>524</v>
      </c>
    </row>
    <row r="458">
      <c r="A458" s="41" t="s">
        <v>525</v>
      </c>
    </row>
    <row r="459">
      <c r="A459" s="41" t="s">
        <v>526</v>
      </c>
    </row>
    <row r="460">
      <c r="A460" s="41" t="s">
        <v>527</v>
      </c>
    </row>
    <row r="461">
      <c r="A461" s="41" t="s">
        <v>528</v>
      </c>
    </row>
    <row r="462">
      <c r="A462" s="41" t="s">
        <v>529</v>
      </c>
    </row>
    <row r="463">
      <c r="A463" s="41" t="s">
        <v>530</v>
      </c>
    </row>
    <row r="464">
      <c r="A464" s="41" t="s">
        <v>531</v>
      </c>
    </row>
    <row r="465">
      <c r="A465" s="41" t="s">
        <v>532</v>
      </c>
    </row>
    <row r="466">
      <c r="A466" s="41" t="s">
        <v>533</v>
      </c>
    </row>
    <row r="467">
      <c r="A467" s="41" t="s">
        <v>534</v>
      </c>
    </row>
    <row r="468">
      <c r="A468" s="41" t="s">
        <v>535</v>
      </c>
    </row>
    <row r="469">
      <c r="A469" s="41" t="s">
        <v>536</v>
      </c>
    </row>
    <row r="470">
      <c r="A470" s="41" t="s">
        <v>537</v>
      </c>
    </row>
    <row r="471">
      <c r="A471" s="41" t="s">
        <v>538</v>
      </c>
    </row>
    <row r="472">
      <c r="A472" s="41" t="s">
        <v>539</v>
      </c>
    </row>
    <row r="473">
      <c r="A473" s="41" t="s">
        <v>540</v>
      </c>
    </row>
    <row r="474">
      <c r="A474" s="41" t="s">
        <v>541</v>
      </c>
    </row>
    <row r="475">
      <c r="A475" s="41" t="s">
        <v>542</v>
      </c>
    </row>
    <row r="476">
      <c r="A476" s="41" t="s">
        <v>543</v>
      </c>
    </row>
    <row r="477">
      <c r="A477" s="41" t="s">
        <v>544</v>
      </c>
    </row>
    <row r="478">
      <c r="A478" s="41" t="s">
        <v>545</v>
      </c>
    </row>
    <row r="479">
      <c r="A479" s="41" t="s">
        <v>546</v>
      </c>
    </row>
    <row r="480">
      <c r="A480" s="41" t="s">
        <v>547</v>
      </c>
    </row>
    <row r="481">
      <c r="A481" s="41" t="s">
        <v>548</v>
      </c>
    </row>
    <row r="482">
      <c r="A482" s="41" t="s">
        <v>549</v>
      </c>
    </row>
    <row r="483">
      <c r="A483" s="41" t="s">
        <v>550</v>
      </c>
    </row>
    <row r="484">
      <c r="A484" s="41" t="s">
        <v>551</v>
      </c>
    </row>
    <row r="485">
      <c r="A485" s="41" t="s">
        <v>552</v>
      </c>
    </row>
    <row r="486">
      <c r="A486" s="41" t="s">
        <v>553</v>
      </c>
    </row>
    <row r="487">
      <c r="A487" s="41" t="s">
        <v>554</v>
      </c>
    </row>
    <row r="488">
      <c r="A488" s="41" t="s">
        <v>555</v>
      </c>
    </row>
    <row r="489">
      <c r="A489" s="41" t="s">
        <v>556</v>
      </c>
    </row>
    <row r="490">
      <c r="A490" s="41" t="s">
        <v>557</v>
      </c>
    </row>
    <row r="491">
      <c r="A491" s="41" t="s">
        <v>558</v>
      </c>
    </row>
    <row r="492">
      <c r="A492" s="41" t="s">
        <v>559</v>
      </c>
    </row>
    <row r="493">
      <c r="A493" s="41" t="s">
        <v>560</v>
      </c>
    </row>
    <row r="494">
      <c r="A494" s="41" t="s">
        <v>561</v>
      </c>
    </row>
    <row r="495">
      <c r="A495" s="41" t="s">
        <v>562</v>
      </c>
    </row>
    <row r="496">
      <c r="A496" s="41" t="s">
        <v>563</v>
      </c>
    </row>
    <row r="497">
      <c r="A497" s="41" t="s">
        <v>564</v>
      </c>
    </row>
    <row r="498">
      <c r="A498" s="41" t="s">
        <v>565</v>
      </c>
    </row>
    <row r="499">
      <c r="A499" s="41" t="s">
        <v>566</v>
      </c>
    </row>
    <row r="500">
      <c r="A500" s="41" t="s">
        <v>567</v>
      </c>
    </row>
    <row r="501">
      <c r="A501" s="41" t="s">
        <v>568</v>
      </c>
    </row>
    <row r="502">
      <c r="A502" s="41" t="s">
        <v>569</v>
      </c>
    </row>
    <row r="503">
      <c r="A503" s="41" t="s">
        <v>570</v>
      </c>
    </row>
    <row r="504">
      <c r="A504" s="41" t="s">
        <v>571</v>
      </c>
    </row>
    <row r="505">
      <c r="A505" s="41" t="s">
        <v>572</v>
      </c>
    </row>
    <row r="506">
      <c r="A506" s="41" t="s">
        <v>573</v>
      </c>
    </row>
    <row r="507">
      <c r="A507" s="41" t="s">
        <v>574</v>
      </c>
    </row>
    <row r="508">
      <c r="A508" s="41" t="s">
        <v>575</v>
      </c>
    </row>
    <row r="509">
      <c r="A509" s="41" t="s">
        <v>576</v>
      </c>
    </row>
    <row r="510">
      <c r="A510" s="41" t="s">
        <v>577</v>
      </c>
    </row>
    <row r="511">
      <c r="A511" s="41" t="s">
        <v>578</v>
      </c>
    </row>
    <row r="512">
      <c r="A512" s="41" t="s">
        <v>579</v>
      </c>
    </row>
    <row r="513">
      <c r="A513" s="41" t="s">
        <v>580</v>
      </c>
    </row>
    <row r="514">
      <c r="A514" s="41" t="s">
        <v>581</v>
      </c>
    </row>
    <row r="515">
      <c r="A515" s="41" t="s">
        <v>582</v>
      </c>
    </row>
    <row r="516">
      <c r="A516" s="41" t="s">
        <v>583</v>
      </c>
    </row>
    <row r="517">
      <c r="A517" s="41" t="s">
        <v>584</v>
      </c>
    </row>
    <row r="518">
      <c r="A518" s="41" t="s">
        <v>585</v>
      </c>
    </row>
    <row r="519">
      <c r="A519" s="41" t="s">
        <v>586</v>
      </c>
    </row>
    <row r="520">
      <c r="A520" s="41" t="s">
        <v>587</v>
      </c>
    </row>
    <row r="521">
      <c r="A521" s="41" t="s">
        <v>588</v>
      </c>
    </row>
    <row r="522">
      <c r="A522" s="41" t="s">
        <v>589</v>
      </c>
    </row>
    <row r="523">
      <c r="A523" s="41" t="s">
        <v>590</v>
      </c>
    </row>
    <row r="524">
      <c r="A524" s="41" t="s">
        <v>591</v>
      </c>
    </row>
    <row r="525">
      <c r="A525" s="41" t="s">
        <v>592</v>
      </c>
    </row>
    <row r="526">
      <c r="A526" s="41" t="s">
        <v>593</v>
      </c>
    </row>
    <row r="527">
      <c r="A527" s="41" t="s">
        <v>594</v>
      </c>
    </row>
    <row r="528">
      <c r="A528" s="41" t="s">
        <v>595</v>
      </c>
    </row>
    <row r="529">
      <c r="A529" s="41" t="s">
        <v>596</v>
      </c>
    </row>
    <row r="530">
      <c r="A530" s="41" t="s">
        <v>597</v>
      </c>
    </row>
    <row r="531">
      <c r="A531" s="41" t="s">
        <v>598</v>
      </c>
    </row>
    <row r="532">
      <c r="A532" s="41" t="s">
        <v>599</v>
      </c>
    </row>
    <row r="533">
      <c r="A533" s="41" t="s">
        <v>600</v>
      </c>
    </row>
    <row r="534">
      <c r="A534" s="41" t="s">
        <v>601</v>
      </c>
    </row>
    <row r="535">
      <c r="A535" s="41" t="s">
        <v>602</v>
      </c>
    </row>
    <row r="536">
      <c r="A536" s="41" t="s">
        <v>603</v>
      </c>
    </row>
    <row r="537">
      <c r="A537" s="41" t="s">
        <v>604</v>
      </c>
    </row>
    <row r="538">
      <c r="A538" s="41" t="s">
        <v>605</v>
      </c>
    </row>
    <row r="539">
      <c r="A539" s="41" t="s">
        <v>606</v>
      </c>
    </row>
    <row r="540">
      <c r="A540" s="41" t="s">
        <v>607</v>
      </c>
    </row>
    <row r="541">
      <c r="A541" s="41" t="s">
        <v>608</v>
      </c>
    </row>
    <row r="542">
      <c r="A542" s="41" t="s">
        <v>609</v>
      </c>
    </row>
    <row r="543">
      <c r="A543" s="41" t="s">
        <v>610</v>
      </c>
    </row>
    <row r="544">
      <c r="A544" s="41" t="s">
        <v>611</v>
      </c>
    </row>
    <row r="545">
      <c r="A545" s="41" t="s">
        <v>612</v>
      </c>
    </row>
    <row r="546">
      <c r="A546" s="41" t="s">
        <v>613</v>
      </c>
    </row>
    <row r="547">
      <c r="A547" s="41" t="s">
        <v>614</v>
      </c>
    </row>
    <row r="548">
      <c r="A548" s="41" t="s">
        <v>615</v>
      </c>
    </row>
    <row r="549">
      <c r="A549" s="41" t="s">
        <v>616</v>
      </c>
    </row>
    <row r="550">
      <c r="A550" s="41" t="s">
        <v>617</v>
      </c>
    </row>
    <row r="551">
      <c r="A551" s="41" t="s">
        <v>618</v>
      </c>
    </row>
    <row r="552">
      <c r="A552" s="41" t="s">
        <v>619</v>
      </c>
    </row>
    <row r="553">
      <c r="A553" s="41" t="s">
        <v>620</v>
      </c>
    </row>
    <row r="554">
      <c r="A554" s="41" t="s">
        <v>621</v>
      </c>
    </row>
    <row r="555">
      <c r="A555" s="41" t="s">
        <v>622</v>
      </c>
    </row>
    <row r="556">
      <c r="A556" s="41" t="s">
        <v>623</v>
      </c>
    </row>
    <row r="557">
      <c r="A557" s="41" t="s">
        <v>624</v>
      </c>
    </row>
    <row r="558">
      <c r="A558" s="41" t="s">
        <v>625</v>
      </c>
    </row>
    <row r="559">
      <c r="A559" s="41" t="s">
        <v>626</v>
      </c>
    </row>
    <row r="560">
      <c r="A560" s="41" t="s">
        <v>627</v>
      </c>
    </row>
    <row r="561">
      <c r="A561" s="41" t="s">
        <v>628</v>
      </c>
    </row>
    <row r="562">
      <c r="A562" s="41" t="s">
        <v>629</v>
      </c>
    </row>
    <row r="563">
      <c r="A563" s="41" t="s">
        <v>630</v>
      </c>
    </row>
    <row r="564">
      <c r="A564" s="41" t="s">
        <v>631</v>
      </c>
    </row>
    <row r="565">
      <c r="A565" s="41" t="s">
        <v>632</v>
      </c>
    </row>
    <row r="566">
      <c r="A566" s="41" t="s">
        <v>633</v>
      </c>
    </row>
    <row r="567">
      <c r="A567" s="41" t="s">
        <v>634</v>
      </c>
    </row>
    <row r="568">
      <c r="A568" s="41" t="s">
        <v>635</v>
      </c>
    </row>
    <row r="569">
      <c r="A569" s="41" t="s">
        <v>636</v>
      </c>
    </row>
    <row r="570">
      <c r="A570" s="41" t="s">
        <v>637</v>
      </c>
    </row>
    <row r="571">
      <c r="A571" s="41" t="s">
        <v>638</v>
      </c>
    </row>
    <row r="572">
      <c r="A572" s="41" t="s">
        <v>639</v>
      </c>
    </row>
    <row r="573">
      <c r="A573" s="41" t="s">
        <v>640</v>
      </c>
    </row>
    <row r="574">
      <c r="A574" s="41" t="s">
        <v>641</v>
      </c>
    </row>
    <row r="575">
      <c r="A575" s="41" t="s">
        <v>642</v>
      </c>
    </row>
    <row r="576">
      <c r="A576" s="41" t="s">
        <v>643</v>
      </c>
    </row>
    <row r="577">
      <c r="A577" s="41" t="s">
        <v>644</v>
      </c>
    </row>
    <row r="578">
      <c r="A578" s="41" t="s">
        <v>645</v>
      </c>
    </row>
    <row r="579">
      <c r="A579" s="41" t="s">
        <v>646</v>
      </c>
    </row>
    <row r="580">
      <c r="A580" s="41" t="s">
        <v>647</v>
      </c>
    </row>
    <row r="581">
      <c r="A581" s="41" t="s">
        <v>648</v>
      </c>
    </row>
    <row r="582">
      <c r="A582" s="41" t="s">
        <v>649</v>
      </c>
    </row>
    <row r="583">
      <c r="A583" s="41" t="s">
        <v>650</v>
      </c>
    </row>
    <row r="584">
      <c r="A584" s="41" t="s">
        <v>651</v>
      </c>
    </row>
    <row r="585">
      <c r="A585" s="41" t="s">
        <v>652</v>
      </c>
    </row>
    <row r="586">
      <c r="A586" s="41" t="s">
        <v>653</v>
      </c>
    </row>
    <row r="587">
      <c r="A587" s="41" t="s">
        <v>654</v>
      </c>
    </row>
    <row r="588">
      <c r="A588" s="41" t="s">
        <v>655</v>
      </c>
    </row>
    <row r="589">
      <c r="A589" s="41" t="s">
        <v>656</v>
      </c>
    </row>
    <row r="590">
      <c r="A590" s="41" t="s">
        <v>657</v>
      </c>
    </row>
    <row r="591">
      <c r="A591" s="41" t="s">
        <v>658</v>
      </c>
    </row>
    <row r="592">
      <c r="A592" s="41" t="s">
        <v>659</v>
      </c>
    </row>
    <row r="593">
      <c r="A593" s="41" t="s">
        <v>660</v>
      </c>
    </row>
    <row r="594">
      <c r="A594" s="41" t="s">
        <v>661</v>
      </c>
    </row>
    <row r="595">
      <c r="A595" s="41" t="s">
        <v>662</v>
      </c>
    </row>
    <row r="596">
      <c r="A596" s="41" t="s">
        <v>663</v>
      </c>
    </row>
    <row r="597">
      <c r="A597" s="41" t="s">
        <v>664</v>
      </c>
    </row>
    <row r="598">
      <c r="A598" s="41" t="s">
        <v>665</v>
      </c>
    </row>
    <row r="599">
      <c r="A599" s="41" t="s">
        <v>666</v>
      </c>
    </row>
    <row r="600">
      <c r="A600" s="41" t="s">
        <v>667</v>
      </c>
    </row>
    <row r="601">
      <c r="A601" s="41" t="s">
        <v>668</v>
      </c>
    </row>
    <row r="602">
      <c r="A602" s="41" t="s">
        <v>669</v>
      </c>
    </row>
    <row r="603">
      <c r="A603" s="41" t="s">
        <v>670</v>
      </c>
    </row>
    <row r="604">
      <c r="A604" s="41" t="s">
        <v>671</v>
      </c>
    </row>
    <row r="605">
      <c r="A605" s="41" t="s">
        <v>672</v>
      </c>
    </row>
    <row r="606">
      <c r="A606" s="41" t="s">
        <v>673</v>
      </c>
    </row>
    <row r="607">
      <c r="A607" s="41" t="s">
        <v>674</v>
      </c>
    </row>
    <row r="608">
      <c r="A608" s="41" t="s">
        <v>675</v>
      </c>
    </row>
    <row r="609">
      <c r="A609" s="41" t="s">
        <v>676</v>
      </c>
    </row>
    <row r="610">
      <c r="A610" s="41" t="s">
        <v>677</v>
      </c>
    </row>
    <row r="611">
      <c r="A611" s="41" t="s">
        <v>678</v>
      </c>
    </row>
    <row r="612">
      <c r="A612" s="41" t="s">
        <v>679</v>
      </c>
    </row>
    <row r="613">
      <c r="A613" s="41" t="s">
        <v>680</v>
      </c>
    </row>
    <row r="614">
      <c r="A614" s="41" t="s">
        <v>681</v>
      </c>
    </row>
    <row r="615">
      <c r="A615" s="41" t="s">
        <v>682</v>
      </c>
    </row>
    <row r="616">
      <c r="A616" s="41" t="s">
        <v>683</v>
      </c>
    </row>
    <row r="617">
      <c r="A617" s="41" t="s">
        <v>684</v>
      </c>
    </row>
    <row r="618">
      <c r="A618" s="41" t="s">
        <v>685</v>
      </c>
    </row>
    <row r="619">
      <c r="A619" s="41" t="s">
        <v>686</v>
      </c>
    </row>
    <row r="620">
      <c r="A620" s="41" t="s">
        <v>687</v>
      </c>
    </row>
    <row r="621">
      <c r="A621" s="41" t="s">
        <v>688</v>
      </c>
    </row>
    <row r="622">
      <c r="A622" s="41" t="s">
        <v>689</v>
      </c>
    </row>
    <row r="623">
      <c r="A623" s="41" t="s">
        <v>690</v>
      </c>
    </row>
    <row r="624">
      <c r="A624" s="41" t="s">
        <v>691</v>
      </c>
    </row>
    <row r="625">
      <c r="A625" s="41" t="s">
        <v>692</v>
      </c>
    </row>
    <row r="626">
      <c r="A626" s="41" t="s">
        <v>693</v>
      </c>
    </row>
    <row r="627">
      <c r="A627" s="41" t="s">
        <v>694</v>
      </c>
    </row>
    <row r="628">
      <c r="A628" s="41" t="s">
        <v>695</v>
      </c>
    </row>
    <row r="629">
      <c r="A629" s="41" t="s">
        <v>696</v>
      </c>
    </row>
    <row r="630">
      <c r="A630" s="41" t="s">
        <v>697</v>
      </c>
    </row>
    <row r="631">
      <c r="A631" s="41" t="s">
        <v>698</v>
      </c>
    </row>
    <row r="632">
      <c r="A632" s="41" t="s">
        <v>699</v>
      </c>
    </row>
    <row r="633">
      <c r="A633" s="41" t="s">
        <v>700</v>
      </c>
    </row>
    <row r="634">
      <c r="A634" s="41" t="s">
        <v>701</v>
      </c>
    </row>
    <row r="635">
      <c r="A635" s="41" t="s">
        <v>702</v>
      </c>
    </row>
    <row r="636">
      <c r="A636" s="41" t="s">
        <v>703</v>
      </c>
    </row>
    <row r="637">
      <c r="A637" s="41" t="s">
        <v>704</v>
      </c>
    </row>
    <row r="638">
      <c r="A638" s="41" t="s">
        <v>705</v>
      </c>
    </row>
    <row r="639">
      <c r="A639" s="41" t="s">
        <v>706</v>
      </c>
    </row>
    <row r="640">
      <c r="A640" s="41" t="s">
        <v>707</v>
      </c>
    </row>
    <row r="641">
      <c r="A641" s="41" t="s">
        <v>708</v>
      </c>
    </row>
    <row r="642">
      <c r="A642" s="41" t="s">
        <v>709</v>
      </c>
    </row>
    <row r="643">
      <c r="A643" s="41" t="s">
        <v>710</v>
      </c>
    </row>
    <row r="644">
      <c r="A644" s="41" t="s">
        <v>711</v>
      </c>
    </row>
    <row r="645">
      <c r="A645" s="41" t="s">
        <v>712</v>
      </c>
    </row>
    <row r="646">
      <c r="A646" s="41" t="s">
        <v>713</v>
      </c>
    </row>
    <row r="647">
      <c r="A647" s="41" t="s">
        <v>714</v>
      </c>
    </row>
    <row r="648">
      <c r="A648" s="41" t="s">
        <v>715</v>
      </c>
    </row>
    <row r="649">
      <c r="A649" s="41" t="s">
        <v>716</v>
      </c>
    </row>
    <row r="650">
      <c r="A650" s="41" t="s">
        <v>717</v>
      </c>
    </row>
    <row r="651">
      <c r="A651" s="41" t="s">
        <v>718</v>
      </c>
    </row>
    <row r="652">
      <c r="A652" s="41" t="s">
        <v>719</v>
      </c>
    </row>
    <row r="653">
      <c r="A653" s="41" t="s">
        <v>720</v>
      </c>
    </row>
    <row r="654">
      <c r="A654" s="41" t="s">
        <v>721</v>
      </c>
    </row>
    <row r="655">
      <c r="A655" s="41" t="s">
        <v>722</v>
      </c>
    </row>
    <row r="656">
      <c r="A656" s="41" t="s">
        <v>723</v>
      </c>
    </row>
    <row r="657">
      <c r="A657" s="41" t="s">
        <v>724</v>
      </c>
    </row>
    <row r="658">
      <c r="A658" s="41" t="s">
        <v>725</v>
      </c>
    </row>
    <row r="659">
      <c r="A659" s="41" t="s">
        <v>726</v>
      </c>
    </row>
    <row r="660">
      <c r="A660" s="41" t="s">
        <v>727</v>
      </c>
    </row>
    <row r="661">
      <c r="A661" s="41" t="s">
        <v>728</v>
      </c>
    </row>
    <row r="662">
      <c r="A662" s="41" t="s">
        <v>729</v>
      </c>
    </row>
    <row r="663">
      <c r="A663" s="41" t="s">
        <v>730</v>
      </c>
    </row>
    <row r="664">
      <c r="A664" s="41" t="s">
        <v>731</v>
      </c>
    </row>
    <row r="665">
      <c r="A665" s="41" t="s">
        <v>732</v>
      </c>
    </row>
    <row r="666">
      <c r="A666" s="41" t="s">
        <v>733</v>
      </c>
    </row>
    <row r="667">
      <c r="A667" s="41" t="s">
        <v>734</v>
      </c>
    </row>
    <row r="668">
      <c r="A668" s="41" t="s">
        <v>735</v>
      </c>
    </row>
    <row r="669">
      <c r="A669" s="41" t="s">
        <v>736</v>
      </c>
    </row>
    <row r="670">
      <c r="A670" s="41" t="s">
        <v>737</v>
      </c>
    </row>
    <row r="671">
      <c r="A671" s="41" t="s">
        <v>738</v>
      </c>
    </row>
    <row r="672">
      <c r="A672" s="41" t="s">
        <v>739</v>
      </c>
    </row>
    <row r="673">
      <c r="A673" s="41" t="s">
        <v>740</v>
      </c>
    </row>
    <row r="674">
      <c r="A674" s="41" t="s">
        <v>741</v>
      </c>
    </row>
    <row r="675">
      <c r="A675" s="41" t="s">
        <v>742</v>
      </c>
    </row>
    <row r="676">
      <c r="A676" s="41" t="s">
        <v>743</v>
      </c>
    </row>
    <row r="677">
      <c r="A677" s="41" t="s">
        <v>744</v>
      </c>
    </row>
    <row r="678">
      <c r="A678" s="41" t="s">
        <v>745</v>
      </c>
    </row>
    <row r="679">
      <c r="A679" s="41" t="s">
        <v>746</v>
      </c>
    </row>
    <row r="680">
      <c r="A680" s="41" t="s">
        <v>747</v>
      </c>
    </row>
    <row r="681">
      <c r="A681" s="41" t="s">
        <v>748</v>
      </c>
    </row>
    <row r="682">
      <c r="A682" s="41" t="s">
        <v>749</v>
      </c>
    </row>
    <row r="683">
      <c r="A683" s="41" t="s">
        <v>750</v>
      </c>
    </row>
    <row r="684">
      <c r="A684" s="41" t="s">
        <v>751</v>
      </c>
    </row>
    <row r="685">
      <c r="A685" s="41" t="s">
        <v>752</v>
      </c>
    </row>
    <row r="686">
      <c r="A686" s="41" t="s">
        <v>753</v>
      </c>
    </row>
    <row r="687">
      <c r="A687" s="41" t="s">
        <v>754</v>
      </c>
    </row>
    <row r="688">
      <c r="A688" s="41" t="s">
        <v>755</v>
      </c>
    </row>
    <row r="689">
      <c r="A689" s="41" t="s">
        <v>756</v>
      </c>
    </row>
    <row r="690">
      <c r="A690" s="41" t="s">
        <v>757</v>
      </c>
    </row>
    <row r="691">
      <c r="A691" s="41" t="s">
        <v>758</v>
      </c>
    </row>
    <row r="692">
      <c r="A692" s="41" t="s">
        <v>759</v>
      </c>
    </row>
    <row r="693">
      <c r="A693" s="41" t="s">
        <v>760</v>
      </c>
    </row>
    <row r="694">
      <c r="A694" s="41" t="s">
        <v>761</v>
      </c>
    </row>
    <row r="695">
      <c r="A695" s="41" t="s">
        <v>762</v>
      </c>
    </row>
    <row r="696">
      <c r="A696" s="41" t="s">
        <v>763</v>
      </c>
    </row>
    <row r="697">
      <c r="A697" s="41" t="s">
        <v>764</v>
      </c>
    </row>
    <row r="698">
      <c r="A698" s="41" t="s">
        <v>765</v>
      </c>
    </row>
    <row r="699">
      <c r="A699" s="41" t="s">
        <v>766</v>
      </c>
    </row>
    <row r="700">
      <c r="A700" s="41" t="s">
        <v>767</v>
      </c>
    </row>
    <row r="701">
      <c r="A701" s="41" t="s">
        <v>768</v>
      </c>
    </row>
    <row r="702">
      <c r="A702" s="41" t="s">
        <v>769</v>
      </c>
    </row>
    <row r="703">
      <c r="A703" s="41" t="s">
        <v>770</v>
      </c>
    </row>
    <row r="704">
      <c r="A704" s="41" t="s">
        <v>771</v>
      </c>
    </row>
    <row r="705">
      <c r="A705" s="41" t="s">
        <v>772</v>
      </c>
    </row>
    <row r="706">
      <c r="A706" s="41" t="s">
        <v>773</v>
      </c>
    </row>
    <row r="707">
      <c r="A707" s="41" t="s">
        <v>774</v>
      </c>
    </row>
    <row r="708">
      <c r="A708" s="41" t="s">
        <v>775</v>
      </c>
    </row>
    <row r="709">
      <c r="A709" s="41" t="s">
        <v>776</v>
      </c>
    </row>
    <row r="710">
      <c r="A710" s="41" t="s">
        <v>777</v>
      </c>
    </row>
    <row r="711">
      <c r="A711" s="41" t="s">
        <v>778</v>
      </c>
    </row>
    <row r="712">
      <c r="A712" s="41" t="s">
        <v>779</v>
      </c>
    </row>
    <row r="713">
      <c r="A713" s="41" t="s">
        <v>780</v>
      </c>
    </row>
    <row r="714">
      <c r="A714" s="41" t="s">
        <v>781</v>
      </c>
    </row>
    <row r="715">
      <c r="A715" s="41" t="s">
        <v>782</v>
      </c>
    </row>
    <row r="716">
      <c r="A716" s="41" t="s">
        <v>783</v>
      </c>
    </row>
    <row r="717">
      <c r="A717" s="41" t="s">
        <v>784</v>
      </c>
    </row>
    <row r="718">
      <c r="A718" s="41" t="s">
        <v>785</v>
      </c>
    </row>
    <row r="719">
      <c r="A719" s="41" t="s">
        <v>786</v>
      </c>
    </row>
    <row r="720">
      <c r="A720" s="41" t="s">
        <v>787</v>
      </c>
    </row>
    <row r="721">
      <c r="A721" s="41" t="s">
        <v>788</v>
      </c>
    </row>
    <row r="722">
      <c r="A722" s="41" t="s">
        <v>789</v>
      </c>
    </row>
    <row r="723">
      <c r="A723" s="41" t="s">
        <v>790</v>
      </c>
    </row>
    <row r="724">
      <c r="A724" s="41" t="s">
        <v>791</v>
      </c>
    </row>
    <row r="725">
      <c r="A725" s="41" t="s">
        <v>792</v>
      </c>
    </row>
    <row r="726">
      <c r="A726" s="41" t="s">
        <v>793</v>
      </c>
    </row>
    <row r="727">
      <c r="A727" s="41" t="s">
        <v>794</v>
      </c>
    </row>
    <row r="728">
      <c r="A728" s="41" t="s">
        <v>795</v>
      </c>
    </row>
    <row r="729">
      <c r="A729" s="41" t="s">
        <v>796</v>
      </c>
    </row>
    <row r="730">
      <c r="A730" s="41" t="s">
        <v>797</v>
      </c>
    </row>
    <row r="731">
      <c r="A731" s="41" t="s">
        <v>798</v>
      </c>
    </row>
    <row r="732">
      <c r="A732" s="41" t="s">
        <v>799</v>
      </c>
    </row>
    <row r="733">
      <c r="A733" s="41" t="s">
        <v>800</v>
      </c>
    </row>
    <row r="734">
      <c r="A734" s="41" t="s">
        <v>801</v>
      </c>
    </row>
    <row r="735">
      <c r="A735" s="41" t="s">
        <v>802</v>
      </c>
    </row>
    <row r="736">
      <c r="A736" s="41" t="s">
        <v>803</v>
      </c>
    </row>
    <row r="737">
      <c r="A737" s="41" t="s">
        <v>804</v>
      </c>
    </row>
    <row r="738">
      <c r="A738" s="41" t="s">
        <v>805</v>
      </c>
    </row>
    <row r="739">
      <c r="A739" s="41" t="s">
        <v>806</v>
      </c>
    </row>
    <row r="740">
      <c r="A740" s="41" t="s">
        <v>807</v>
      </c>
    </row>
    <row r="741">
      <c r="A741" s="41" t="s">
        <v>808</v>
      </c>
    </row>
    <row r="742">
      <c r="A742" s="41" t="s">
        <v>809</v>
      </c>
    </row>
    <row r="743">
      <c r="A743" s="41" t="s">
        <v>810</v>
      </c>
    </row>
    <row r="744">
      <c r="A744" s="41" t="s">
        <v>811</v>
      </c>
    </row>
    <row r="745">
      <c r="A745" s="41" t="s">
        <v>812</v>
      </c>
    </row>
    <row r="746">
      <c r="A746" s="41" t="s">
        <v>813</v>
      </c>
    </row>
    <row r="747">
      <c r="A747" s="41" t="s">
        <v>814</v>
      </c>
    </row>
    <row r="748">
      <c r="A748" s="41" t="s">
        <v>815</v>
      </c>
    </row>
    <row r="749">
      <c r="A749" s="41" t="s">
        <v>816</v>
      </c>
    </row>
    <row r="750">
      <c r="A750" s="41" t="s">
        <v>817</v>
      </c>
    </row>
    <row r="751">
      <c r="A751" s="41" t="s">
        <v>818</v>
      </c>
    </row>
    <row r="752">
      <c r="A752" s="41" t="s">
        <v>819</v>
      </c>
    </row>
    <row r="753">
      <c r="A753" s="41" t="s">
        <v>820</v>
      </c>
    </row>
    <row r="754">
      <c r="A754" s="41" t="s">
        <v>821</v>
      </c>
    </row>
    <row r="755">
      <c r="A755" s="41" t="s">
        <v>822</v>
      </c>
    </row>
    <row r="756">
      <c r="A756" s="41" t="s">
        <v>823</v>
      </c>
    </row>
    <row r="757">
      <c r="A757" s="41" t="s">
        <v>824</v>
      </c>
    </row>
    <row r="758">
      <c r="A758" s="41" t="s">
        <v>825</v>
      </c>
    </row>
    <row r="759">
      <c r="A759" s="41" t="s">
        <v>826</v>
      </c>
    </row>
    <row r="760">
      <c r="A760" s="41" t="s">
        <v>827</v>
      </c>
    </row>
    <row r="761">
      <c r="A761" s="41" t="s">
        <v>828</v>
      </c>
    </row>
    <row r="762">
      <c r="A762" s="41" t="s">
        <v>829</v>
      </c>
    </row>
    <row r="763">
      <c r="A763" s="41" t="s">
        <v>830</v>
      </c>
    </row>
    <row r="764">
      <c r="A764" s="41" t="s">
        <v>831</v>
      </c>
    </row>
    <row r="765">
      <c r="A765" s="41" t="s">
        <v>832</v>
      </c>
    </row>
    <row r="766">
      <c r="A766" s="41" t="s">
        <v>833</v>
      </c>
    </row>
    <row r="767">
      <c r="A767" s="41" t="s">
        <v>834</v>
      </c>
    </row>
    <row r="768">
      <c r="A768" s="41" t="s">
        <v>835</v>
      </c>
    </row>
    <row r="769">
      <c r="A769" s="41" t="s">
        <v>836</v>
      </c>
    </row>
    <row r="770">
      <c r="A770" s="41" t="s">
        <v>837</v>
      </c>
    </row>
    <row r="771">
      <c r="A771" s="41" t="s">
        <v>838</v>
      </c>
    </row>
    <row r="772">
      <c r="A772" s="41" t="s">
        <v>839</v>
      </c>
    </row>
    <row r="773">
      <c r="A773" s="41" t="s">
        <v>840</v>
      </c>
    </row>
    <row r="774">
      <c r="A774" s="41" t="s">
        <v>841</v>
      </c>
    </row>
    <row r="775">
      <c r="A775" s="41" t="s">
        <v>842</v>
      </c>
    </row>
    <row r="776">
      <c r="A776" s="41" t="s">
        <v>843</v>
      </c>
    </row>
    <row r="777">
      <c r="A777" s="41" t="s">
        <v>844</v>
      </c>
    </row>
    <row r="778">
      <c r="A778" s="41" t="s">
        <v>845</v>
      </c>
    </row>
    <row r="779">
      <c r="A779" s="41" t="s">
        <v>846</v>
      </c>
    </row>
    <row r="780">
      <c r="A780" s="41" t="s">
        <v>847</v>
      </c>
    </row>
    <row r="781">
      <c r="A781" s="41" t="s">
        <v>848</v>
      </c>
    </row>
    <row r="782">
      <c r="A782" s="41" t="s">
        <v>849</v>
      </c>
    </row>
    <row r="783">
      <c r="A783" s="41" t="s">
        <v>850</v>
      </c>
    </row>
    <row r="784">
      <c r="A784" s="41" t="s">
        <v>851</v>
      </c>
    </row>
    <row r="785">
      <c r="A785" s="41" t="s">
        <v>852</v>
      </c>
    </row>
    <row r="786">
      <c r="A786" s="41" t="s">
        <v>853</v>
      </c>
    </row>
    <row r="787">
      <c r="A787" s="41" t="s">
        <v>854</v>
      </c>
    </row>
    <row r="788">
      <c r="A788" s="41" t="s">
        <v>855</v>
      </c>
    </row>
    <row r="789">
      <c r="A789" s="41" t="s">
        <v>856</v>
      </c>
    </row>
    <row r="790">
      <c r="A790" s="41" t="s">
        <v>857</v>
      </c>
    </row>
    <row r="791">
      <c r="A791" s="41" t="s">
        <v>858</v>
      </c>
    </row>
    <row r="792">
      <c r="A792" s="41" t="s">
        <v>859</v>
      </c>
    </row>
    <row r="793">
      <c r="A793" s="41" t="s">
        <v>860</v>
      </c>
    </row>
    <row r="794">
      <c r="A794" s="41" t="s">
        <v>861</v>
      </c>
    </row>
    <row r="795">
      <c r="A795" s="41" t="s">
        <v>862</v>
      </c>
    </row>
    <row r="796">
      <c r="A796" s="41" t="s">
        <v>863</v>
      </c>
    </row>
    <row r="797">
      <c r="A797" s="41" t="s">
        <v>864</v>
      </c>
    </row>
    <row r="798">
      <c r="A798" s="41" t="s">
        <v>865</v>
      </c>
    </row>
    <row r="799">
      <c r="A799" s="41" t="s">
        <v>866</v>
      </c>
    </row>
    <row r="800">
      <c r="A800" s="41" t="s">
        <v>867</v>
      </c>
    </row>
    <row r="801">
      <c r="A801" s="41" t="s">
        <v>868</v>
      </c>
    </row>
    <row r="802">
      <c r="A802" s="41" t="s">
        <v>869</v>
      </c>
    </row>
    <row r="803">
      <c r="A803" s="41" t="s">
        <v>870</v>
      </c>
    </row>
    <row r="804">
      <c r="A804" s="41" t="s">
        <v>871</v>
      </c>
    </row>
    <row r="805">
      <c r="A805" s="41" t="s">
        <v>872</v>
      </c>
    </row>
    <row r="806">
      <c r="A806" s="41" t="s">
        <v>873</v>
      </c>
    </row>
    <row r="807">
      <c r="A807" s="41" t="s">
        <v>874</v>
      </c>
    </row>
    <row r="808">
      <c r="A808" s="41" t="s">
        <v>875</v>
      </c>
    </row>
    <row r="809">
      <c r="A809"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22.0"/>
    <col customWidth="1" min="4" max="4" width="15.63"/>
    <col customWidth="1" min="6" max="10" width="12.63"/>
  </cols>
  <sheetData>
    <row r="1">
      <c r="A1" s="42" t="s">
        <v>5</v>
      </c>
      <c r="B1" s="43" t="s">
        <v>61</v>
      </c>
      <c r="C1" s="44" t="s">
        <v>1</v>
      </c>
      <c r="D1" s="45" t="s">
        <v>6</v>
      </c>
      <c r="E1" s="42" t="s">
        <v>10</v>
      </c>
      <c r="F1" s="46" t="s">
        <v>15</v>
      </c>
      <c r="G1" s="47" t="s">
        <v>23</v>
      </c>
      <c r="H1" s="48" t="s">
        <v>19</v>
      </c>
      <c r="I1" s="49" t="s">
        <v>12</v>
      </c>
      <c r="J1" s="50" t="s">
        <v>23</v>
      </c>
    </row>
    <row r="2">
      <c r="A2" s="51" t="str">
        <f>IFERROR(__xludf.DUMMYFUNCTION("sort(QUERY(IMPORTRANGE(Variables!B4, ""Player Stats!A2:J""),""select Col1, Col2, Col3, Col4, Col6, Col8, Col10""),1,true,6,false)"),"Amateur")</f>
        <v>Amateur</v>
      </c>
      <c r="B2" s="52" t="str">
        <f>IFERROR(__xludf.DUMMYFUNCTION("""COMPUTED_VALUE"""),"RSC008201")</f>
        <v>RSC008201</v>
      </c>
      <c r="C2" s="53" t="str">
        <f>IFERROR(__xludf.DUMMYFUNCTION("""COMPUTED_VALUE"""),"CatalystNEMO")</f>
        <v>CatalystNEMO</v>
      </c>
      <c r="D2" s="54" t="str">
        <f>IFERROR(__xludf.DUMMYFUNCTION("""COMPUTED_VALUE"""),"Bombers")</f>
        <v>Bombers</v>
      </c>
      <c r="E2" s="55" t="str">
        <f>IFERROR(__xludf.DUMMYFUNCTION("""COMPUTED_VALUE"""),"N/A")</f>
        <v>N/A</v>
      </c>
      <c r="F2" s="56">
        <f>IFERROR(__xludf.DUMMYFUNCTION("""COMPUTED_VALUE"""),152.0636508596478)</f>
        <v>152.0636509</v>
      </c>
      <c r="G2" s="57">
        <f>IFERROR(__xludf.DUMMYFUNCTION("""COMPUTED_VALUE"""),4.0)</f>
        <v>4</v>
      </c>
      <c r="H2" s="58">
        <f>IFERROR(__xludf.DUMMYFUNCTION("iferror(if(B2="""", ,filter('IDR Import'!D:D,'IDR Import'!A:A=B2,'IDR Import'!C:C=A2)),)"),126.93443064018042)</f>
        <v>126.9344306</v>
      </c>
      <c r="I2" s="58">
        <f t="array" ref="I2:I1501">if(H2:H1501="",F2:F1501 ,(F2:F1501+H2:H1501)/2)</f>
        <v>139.4990407</v>
      </c>
      <c r="J2" s="59">
        <f t="shared" ref="J2:J1501" si="1">G2</f>
        <v>4</v>
      </c>
    </row>
    <row r="3">
      <c r="A3" s="55" t="str">
        <f>IFERROR(__xludf.DUMMYFUNCTION("""COMPUTED_VALUE"""),"Amateur")</f>
        <v>Amateur</v>
      </c>
      <c r="B3" s="55" t="str">
        <f>IFERROR(__xludf.DUMMYFUNCTION("""COMPUTED_VALUE"""),"RSC008541")</f>
        <v>RSC008541</v>
      </c>
      <c r="C3" s="60" t="str">
        <f>IFERROR(__xludf.DUMMYFUNCTION("""COMPUTED_VALUE"""),"Jito1017")</f>
        <v>Jito1017</v>
      </c>
      <c r="D3" s="54" t="str">
        <f>IFERROR(__xludf.DUMMYFUNCTION("""COMPUTED_VALUE"""),"Electric Eels
Winter Fresh
Garlic Knots")</f>
        <v>Electric Eels
Winter Fresh
Garlic Knots</v>
      </c>
      <c r="E3" s="55" t="str">
        <f>IFERROR(__xludf.DUMMYFUNCTION("""COMPUTED_VALUE"""),"N/A
N/A
N/A")</f>
        <v>N/A
N/A
N/A</v>
      </c>
      <c r="F3" s="56">
        <f>IFERROR(__xludf.DUMMYFUNCTION("""COMPUTED_VALUE"""),131.21159464877658)</f>
        <v>131.2115946</v>
      </c>
      <c r="G3" s="57">
        <f>IFERROR(__xludf.DUMMYFUNCTION("""COMPUTED_VALUE"""),16.0)</f>
        <v>16</v>
      </c>
      <c r="H3" s="58">
        <f>IFERROR(__xludf.DUMMYFUNCTION("iferror(if(B3="""", ,filter('IDR Import'!D:D,'IDR Import'!A:A=B3,'IDR Import'!C:C=A3)),)"),98.55238766449756)</f>
        <v>98.55238766</v>
      </c>
      <c r="I3" s="58">
        <v>114.88199115663707</v>
      </c>
      <c r="J3" s="59">
        <f t="shared" si="1"/>
        <v>16</v>
      </c>
    </row>
    <row r="4">
      <c r="A4" s="55" t="str">
        <f>IFERROR(__xludf.DUMMYFUNCTION("""COMPUTED_VALUE"""),"Amateur")</f>
        <v>Amateur</v>
      </c>
      <c r="B4" s="55" t="str">
        <f>IFERROR(__xludf.DUMMYFUNCTION("""COMPUTED_VALUE"""),"RSC008178")</f>
        <v>RSC008178</v>
      </c>
      <c r="C4" s="60" t="str">
        <f>IFERROR(__xludf.DUMMYFUNCTION("""COMPUTED_VALUE"""),"Bigwigglystylezz")</f>
        <v>Bigwigglystylezz</v>
      </c>
      <c r="D4" s="54" t="str">
        <f>IFERROR(__xludf.DUMMYFUNCTION("""COMPUTED_VALUE"""),"Winter Fresh")</f>
        <v>Winter Fresh</v>
      </c>
      <c r="E4" s="55" t="str">
        <f>IFERROR(__xludf.DUMMYFUNCTION("""COMPUTED_VALUE"""),"N/A")</f>
        <v>N/A</v>
      </c>
      <c r="F4" s="56">
        <f>IFERROR(__xludf.DUMMYFUNCTION("""COMPUTED_VALUE"""),81.69571187198164)</f>
        <v>81.69571187</v>
      </c>
      <c r="G4" s="57">
        <f>IFERROR(__xludf.DUMMYFUNCTION("""COMPUTED_VALUE"""),43.0)</f>
        <v>43</v>
      </c>
      <c r="H4" s="58">
        <f>IFERROR(__xludf.DUMMYFUNCTION("iferror(if(B4="""", ,filter('IDR Import'!D:D,'IDR Import'!A:A=B4,'IDR Import'!C:C=A4)),)"),73.67911949155078)</f>
        <v>73.67911949</v>
      </c>
      <c r="I4" s="58">
        <v>77.68741568176621</v>
      </c>
      <c r="J4" s="59">
        <f t="shared" si="1"/>
        <v>43</v>
      </c>
    </row>
    <row r="5">
      <c r="A5" s="55" t="str">
        <f>IFERROR(__xludf.DUMMYFUNCTION("""COMPUTED_VALUE"""),"Amateur")</f>
        <v>Amateur</v>
      </c>
      <c r="B5" s="55" t="str">
        <f>IFERROR(__xludf.DUMMYFUNCTION("""COMPUTED_VALUE"""),"RSC007468")</f>
        <v>RSC007468</v>
      </c>
      <c r="C5" s="60" t="str">
        <f>IFERROR(__xludf.DUMMYFUNCTION("""COMPUTED_VALUE"""),"im_link42")</f>
        <v>im_link42</v>
      </c>
      <c r="D5" s="54" t="str">
        <f>IFERROR(__xludf.DUMMYFUNCTION("""COMPUTED_VALUE"""),"Kappa")</f>
        <v>Kappa</v>
      </c>
      <c r="E5" s="55" t="str">
        <f>IFERROR(__xludf.DUMMYFUNCTION("""COMPUTED_VALUE"""),"N/A")</f>
        <v>N/A</v>
      </c>
      <c r="F5" s="56">
        <f>IFERROR(__xludf.DUMMYFUNCTION("""COMPUTED_VALUE"""),80.84796465516943)</f>
        <v>80.84796466</v>
      </c>
      <c r="G5" s="57">
        <f>IFERROR(__xludf.DUMMYFUNCTION("""COMPUTED_VALUE"""),46.0)</f>
        <v>46</v>
      </c>
      <c r="H5" s="58">
        <f>IFERROR(__xludf.DUMMYFUNCTION("iferror(if(B5="""", ,filter('IDR Import'!D:D,'IDR Import'!A:A=B5,'IDR Import'!C:C=A5)),)"),67.6451175197777)</f>
        <v>67.64511752</v>
      </c>
      <c r="I5" s="58">
        <v>74.24654108747356</v>
      </c>
      <c r="J5" s="59">
        <f t="shared" si="1"/>
        <v>46</v>
      </c>
    </row>
    <row r="6">
      <c r="A6" s="55" t="str">
        <f>IFERROR(__xludf.DUMMYFUNCTION("""COMPUTED_VALUE"""),"Amateur")</f>
        <v>Amateur</v>
      </c>
      <c r="B6" s="55" t="str">
        <f>IFERROR(__xludf.DUMMYFUNCTION("""COMPUTED_VALUE"""),"RSC007571")</f>
        <v>RSC007571</v>
      </c>
      <c r="C6" s="60" t="str">
        <f>IFERROR(__xludf.DUMMYFUNCTION("""COMPUTED_VALUE"""),"StephM2_")</f>
        <v>StephM2_</v>
      </c>
      <c r="D6" s="54" t="str">
        <f>IFERROR(__xludf.DUMMYFUNCTION("""COMPUTED_VALUE"""),"Garlic Knots")</f>
        <v>Garlic Knots</v>
      </c>
      <c r="E6" s="55" t="str">
        <f>IFERROR(__xludf.DUMMYFUNCTION("""COMPUTED_VALUE"""),"N/A")</f>
        <v>N/A</v>
      </c>
      <c r="F6" s="56">
        <f>IFERROR(__xludf.DUMMYFUNCTION("""COMPUTED_VALUE"""),76.58843761915671)</f>
        <v>76.58843762</v>
      </c>
      <c r="G6" s="57">
        <f>IFERROR(__xludf.DUMMYFUNCTION("""COMPUTED_VALUE"""),47.0)</f>
        <v>47</v>
      </c>
      <c r="H6" s="58">
        <f>IFERROR(__xludf.DUMMYFUNCTION("iferror(if(B6="""", ,filter('IDR Import'!D:D,'IDR Import'!A:A=B6,'IDR Import'!C:C=A6)),)"),67.59713632398024)</f>
        <v>67.59713632</v>
      </c>
      <c r="I6" s="58">
        <v>72.09278697156847</v>
      </c>
      <c r="J6" s="59">
        <f t="shared" si="1"/>
        <v>47</v>
      </c>
    </row>
    <row r="7">
      <c r="A7" s="55" t="str">
        <f>IFERROR(__xludf.DUMMYFUNCTION("""COMPUTED_VALUE"""),"Amateur")</f>
        <v>Amateur</v>
      </c>
      <c r="B7" s="55" t="str">
        <f>IFERROR(__xludf.DUMMYFUNCTION("""COMPUTED_VALUE"""),"RSC007621")</f>
        <v>RSC007621</v>
      </c>
      <c r="C7" s="60" t="str">
        <f>IFERROR(__xludf.DUMMYFUNCTION("""COMPUTED_VALUE"""),"Classy-God57")</f>
        <v>Classy-God57</v>
      </c>
      <c r="D7" s="54" t="str">
        <f>IFERROR(__xludf.DUMMYFUNCTION("""COMPUTED_VALUE"""),"Winter Fresh")</f>
        <v>Winter Fresh</v>
      </c>
      <c r="E7" s="55" t="str">
        <f>IFERROR(__xludf.DUMMYFUNCTION("""COMPUTED_VALUE"""),"N/A")</f>
        <v>N/A</v>
      </c>
      <c r="F7" s="56">
        <f>IFERROR(__xludf.DUMMYFUNCTION("""COMPUTED_VALUE"""),75.87398555719933)</f>
        <v>75.87398556</v>
      </c>
      <c r="G7" s="57">
        <f>IFERROR(__xludf.DUMMYFUNCTION("""COMPUTED_VALUE"""),47.0)</f>
        <v>47</v>
      </c>
      <c r="H7" s="58">
        <f>IFERROR(__xludf.DUMMYFUNCTION("iferror(if(B7="""", ,filter('IDR Import'!D:D,'IDR Import'!A:A=B7,'IDR Import'!C:C=A7)),)"),71.38544653711753)</f>
        <v>71.38544654</v>
      </c>
      <c r="I7" s="58">
        <v>73.62971604715844</v>
      </c>
      <c r="J7" s="59">
        <f t="shared" si="1"/>
        <v>47</v>
      </c>
    </row>
    <row r="8">
      <c r="A8" s="55" t="str">
        <f>IFERROR(__xludf.DUMMYFUNCTION("""COMPUTED_VALUE"""),"Amateur")</f>
        <v>Amateur</v>
      </c>
      <c r="B8" s="55" t="str">
        <f>IFERROR(__xludf.DUMMYFUNCTION("""COMPUTED_VALUE"""),"RSC008441")</f>
        <v>RSC008441</v>
      </c>
      <c r="C8" s="60" t="str">
        <f>IFERROR(__xludf.DUMMYFUNCTION("""COMPUTED_VALUE"""),"Izumi._._.")</f>
        <v>Izumi._._.</v>
      </c>
      <c r="D8" s="54" t="str">
        <f>IFERROR(__xludf.DUMMYFUNCTION("""COMPUTED_VALUE"""),"HR Violation")</f>
        <v>HR Violation</v>
      </c>
      <c r="E8" s="55" t="str">
        <f>IFERROR(__xludf.DUMMYFUNCTION("""COMPUTED_VALUE"""),"N/A")</f>
        <v>N/A</v>
      </c>
      <c r="F8" s="56">
        <f>IFERROR(__xludf.DUMMYFUNCTION("""COMPUTED_VALUE"""),73.11410936672084)</f>
        <v>73.11410937</v>
      </c>
      <c r="G8" s="57">
        <f>IFERROR(__xludf.DUMMYFUNCTION("""COMPUTED_VALUE"""),56.0)</f>
        <v>56</v>
      </c>
      <c r="H8" s="58">
        <f>IFERROR(__xludf.DUMMYFUNCTION("iferror(if(B8="""", ,filter('IDR Import'!D:D,'IDR Import'!A:A=B8,'IDR Import'!C:C=A8)),)"),64.08128424845688)</f>
        <v>64.08128425</v>
      </c>
      <c r="I8" s="58">
        <v>68.59769680758886</v>
      </c>
      <c r="J8" s="59">
        <f t="shared" si="1"/>
        <v>56</v>
      </c>
    </row>
    <row r="9">
      <c r="A9" s="55" t="str">
        <f>IFERROR(__xludf.DUMMYFUNCTION("""COMPUTED_VALUE"""),"Amateur")</f>
        <v>Amateur</v>
      </c>
      <c r="B9" s="55" t="str">
        <f>IFERROR(__xludf.DUMMYFUNCTION("""COMPUTED_VALUE"""),"RSC008227")</f>
        <v>RSC008227</v>
      </c>
      <c r="C9" s="60" t="str">
        <f>IFERROR(__xludf.DUMMYFUNCTION("""COMPUTED_VALUE"""),"batman")</f>
        <v>batman</v>
      </c>
      <c r="D9" s="54" t="str">
        <f>IFERROR(__xludf.DUMMYFUNCTION("""COMPUTED_VALUE"""),"Electric Eels")</f>
        <v>Electric Eels</v>
      </c>
      <c r="E9" s="55" t="str">
        <f>IFERROR(__xludf.DUMMYFUNCTION("""COMPUTED_VALUE"""),"N/A")</f>
        <v>N/A</v>
      </c>
      <c r="F9" s="56">
        <f>IFERROR(__xludf.DUMMYFUNCTION("""COMPUTED_VALUE"""),71.51301738215024)</f>
        <v>71.51301738</v>
      </c>
      <c r="G9" s="57">
        <f>IFERROR(__xludf.DUMMYFUNCTION("""COMPUTED_VALUE"""),12.0)</f>
        <v>12</v>
      </c>
      <c r="H9" s="58">
        <f>IFERROR(__xludf.DUMMYFUNCTION("iferror(if(B9="""", ,filter('IDR Import'!D:D,'IDR Import'!A:A=B9,'IDR Import'!C:C=A9)),)"),62.75653641242059)</f>
        <v>62.75653641</v>
      </c>
      <c r="I9" s="58">
        <v>67.1347768972854</v>
      </c>
      <c r="J9" s="59">
        <f t="shared" si="1"/>
        <v>12</v>
      </c>
    </row>
    <row r="10">
      <c r="A10" s="55" t="str">
        <f>IFERROR(__xludf.DUMMYFUNCTION("""COMPUTED_VALUE"""),"Amateur")</f>
        <v>Amateur</v>
      </c>
      <c r="B10" s="55" t="str">
        <f>IFERROR(__xludf.DUMMYFUNCTION("""COMPUTED_VALUE"""),"RSC000086")</f>
        <v>RSC000086</v>
      </c>
      <c r="C10" s="60" t="str">
        <f>IFERROR(__xludf.DUMMYFUNCTION("""COMPUTED_VALUE"""),"Stale Popcorn")</f>
        <v>Stale Popcorn</v>
      </c>
      <c r="D10" s="54" t="str">
        <f>IFERROR(__xludf.DUMMYFUNCTION("""COMPUTED_VALUE"""),"Winter Fresh
HR Violation")</f>
        <v>Winter Fresh
HR Violation</v>
      </c>
      <c r="E10" s="55" t="str">
        <f>IFERROR(__xludf.DUMMYFUNCTION("""COMPUTED_VALUE"""),"N/A
N/A")</f>
        <v>N/A
N/A</v>
      </c>
      <c r="F10" s="56">
        <f>IFERROR(__xludf.DUMMYFUNCTION("""COMPUTED_VALUE"""),70.94856001035916)</f>
        <v>70.94856001</v>
      </c>
      <c r="G10" s="57">
        <f>IFERROR(__xludf.DUMMYFUNCTION("""COMPUTED_VALUE"""),32.0)</f>
        <v>32</v>
      </c>
      <c r="H10" s="58">
        <f>IFERROR(__xludf.DUMMYFUNCTION("iferror(if(B10="""", ,filter('IDR Import'!D:D,'IDR Import'!A:A=B10,'IDR Import'!C:C=A10)),)"),66.9422663409696)</f>
        <v>66.94226634</v>
      </c>
      <c r="I10" s="58">
        <v>68.94541317566438</v>
      </c>
      <c r="J10" s="59">
        <f t="shared" si="1"/>
        <v>32</v>
      </c>
    </row>
    <row r="11">
      <c r="A11" s="55" t="str">
        <f>IFERROR(__xludf.DUMMYFUNCTION("""COMPUTED_VALUE"""),"Amateur")</f>
        <v>Amateur</v>
      </c>
      <c r="B11" s="55" t="str">
        <f>IFERROR(__xludf.DUMMYFUNCTION("""COMPUTED_VALUE"""),"RSC000963")</f>
        <v>RSC000963</v>
      </c>
      <c r="C11" s="60" t="str">
        <f>IFERROR(__xludf.DUMMYFUNCTION("""COMPUTED_VALUE"""),"Sup3rm4n")</f>
        <v>Sup3rm4n</v>
      </c>
      <c r="D11" s="54" t="str">
        <f>IFERROR(__xludf.DUMMYFUNCTION("""COMPUTED_VALUE"""),"Bombers")</f>
        <v>Bombers</v>
      </c>
      <c r="E11" s="55" t="str">
        <f>IFERROR(__xludf.DUMMYFUNCTION("""COMPUTED_VALUE"""),"N/A")</f>
        <v>N/A</v>
      </c>
      <c r="F11" s="56">
        <f>IFERROR(__xludf.DUMMYFUNCTION("""COMPUTED_VALUE"""),69.69412017105158)</f>
        <v>69.69412017</v>
      </c>
      <c r="G11" s="57">
        <f>IFERROR(__xludf.DUMMYFUNCTION("""COMPUTED_VALUE"""),55.0)</f>
        <v>55</v>
      </c>
      <c r="H11" s="58">
        <f>IFERROR(__xludf.DUMMYFUNCTION("iferror(if(B11="""", ,filter('IDR Import'!D:D,'IDR Import'!A:A=B11,'IDR Import'!C:C=A11)),)"),67.41423923974222)</f>
        <v>67.41423924</v>
      </c>
      <c r="I11" s="58">
        <v>68.5541797053969</v>
      </c>
      <c r="J11" s="59">
        <f t="shared" si="1"/>
        <v>55</v>
      </c>
    </row>
    <row r="12">
      <c r="A12" s="55" t="str">
        <f>IFERROR(__xludf.DUMMYFUNCTION("""COMPUTED_VALUE"""),"Amateur")</f>
        <v>Amateur</v>
      </c>
      <c r="B12" s="55" t="str">
        <f>IFERROR(__xludf.DUMMYFUNCTION("""COMPUTED_VALUE"""),"RSC000654")</f>
        <v>RSC000654</v>
      </c>
      <c r="C12" s="60" t="str">
        <f>IFERROR(__xludf.DUMMYFUNCTION("""COMPUTED_VALUE"""),"Rocci")</f>
        <v>Rocci</v>
      </c>
      <c r="D12" s="54" t="str">
        <f>IFERROR(__xludf.DUMMYFUNCTION("""COMPUTED_VALUE"""),"Electric Eels")</f>
        <v>Electric Eels</v>
      </c>
      <c r="E12" s="55" t="str">
        <f>IFERROR(__xludf.DUMMYFUNCTION("""COMPUTED_VALUE"""),"N/A")</f>
        <v>N/A</v>
      </c>
      <c r="F12" s="56">
        <f>IFERROR(__xludf.DUMMYFUNCTION("""COMPUTED_VALUE"""),67.97782190763397)</f>
        <v>67.97782191</v>
      </c>
      <c r="G12" s="57">
        <f>IFERROR(__xludf.DUMMYFUNCTION("""COMPUTED_VALUE"""),4.0)</f>
        <v>4</v>
      </c>
      <c r="H12" s="58">
        <f>IFERROR(__xludf.DUMMYFUNCTION("iferror(if(B12="""", ,filter('IDR Import'!D:D,'IDR Import'!A:A=B12,'IDR Import'!C:C=A12)),)"),38.4757798476672)</f>
        <v>38.47577985</v>
      </c>
      <c r="I12" s="58">
        <v>53.22680087765058</v>
      </c>
      <c r="J12" s="59">
        <f t="shared" si="1"/>
        <v>4</v>
      </c>
    </row>
    <row r="13">
      <c r="A13" s="55" t="str">
        <f>IFERROR(__xludf.DUMMYFUNCTION("""COMPUTED_VALUE"""),"Amateur")</f>
        <v>Amateur</v>
      </c>
      <c r="B13" s="55" t="str">
        <f>IFERROR(__xludf.DUMMYFUNCTION("""COMPUTED_VALUE"""),"RSC008092")</f>
        <v>RSC008092</v>
      </c>
      <c r="C13" s="60" t="str">
        <f>IFERROR(__xludf.DUMMYFUNCTION("""COMPUTED_VALUE"""),"ImPodz")</f>
        <v>ImPodz</v>
      </c>
      <c r="D13" s="54" t="str">
        <f>IFERROR(__xludf.DUMMYFUNCTION("""COMPUTED_VALUE"""),"Electric Eels")</f>
        <v>Electric Eels</v>
      </c>
      <c r="E13" s="55" t="str">
        <f>IFERROR(__xludf.DUMMYFUNCTION("""COMPUTED_VALUE"""),"N/A")</f>
        <v>N/A</v>
      </c>
      <c r="F13" s="56">
        <f>IFERROR(__xludf.DUMMYFUNCTION("""COMPUTED_VALUE"""),64.13553882675204)</f>
        <v>64.13553883</v>
      </c>
      <c r="G13" s="57">
        <f>IFERROR(__xludf.DUMMYFUNCTION("""COMPUTED_VALUE"""),28.0)</f>
        <v>28</v>
      </c>
      <c r="H13" s="58">
        <f>IFERROR(__xludf.DUMMYFUNCTION("iferror(if(B13="""", ,filter('IDR Import'!D:D,'IDR Import'!A:A=B13,'IDR Import'!C:C=A13)),)"),59.7024205811802)</f>
        <v>59.70242058</v>
      </c>
      <c r="I13" s="58">
        <v>61.918979703966116</v>
      </c>
      <c r="J13" s="59">
        <f t="shared" si="1"/>
        <v>28</v>
      </c>
    </row>
    <row r="14">
      <c r="A14" s="55" t="str">
        <f>IFERROR(__xludf.DUMMYFUNCTION("""COMPUTED_VALUE"""),"Amateur")</f>
        <v>Amateur</v>
      </c>
      <c r="B14" s="55" t="str">
        <f>IFERROR(__xludf.DUMMYFUNCTION("""COMPUTED_VALUE"""),"RSC007270")</f>
        <v>RSC007270</v>
      </c>
      <c r="C14" s="60" t="str">
        <f>IFERROR(__xludf.DUMMYFUNCTION("""COMPUTED_VALUE"""),"D0pey killer")</f>
        <v>D0pey killer</v>
      </c>
      <c r="D14" s="54" t="str">
        <f>IFERROR(__xludf.DUMMYFUNCTION("""COMPUTED_VALUE"""),"Electric Eels")</f>
        <v>Electric Eels</v>
      </c>
      <c r="E14" s="55" t="str">
        <f>IFERROR(__xludf.DUMMYFUNCTION("""COMPUTED_VALUE"""),"N/A")</f>
        <v>N/A</v>
      </c>
      <c r="F14" s="56">
        <f>IFERROR(__xludf.DUMMYFUNCTION("""COMPUTED_VALUE"""),64.03248701807968)</f>
        <v>64.03248702</v>
      </c>
      <c r="G14" s="57">
        <f>IFERROR(__xludf.DUMMYFUNCTION("""COMPUTED_VALUE"""),48.0)</f>
        <v>48</v>
      </c>
      <c r="H14" s="58">
        <f>IFERROR(__xludf.DUMMYFUNCTION("iferror(if(B14="""", ,filter('IDR Import'!D:D,'IDR Import'!A:A=B14,'IDR Import'!C:C=A14)),)"),59.51264956267918)</f>
        <v>59.51264956</v>
      </c>
      <c r="I14" s="58">
        <v>61.772568290379425</v>
      </c>
      <c r="J14" s="59">
        <f t="shared" si="1"/>
        <v>48</v>
      </c>
    </row>
    <row r="15">
      <c r="A15" s="55" t="str">
        <f>IFERROR(__xludf.DUMMYFUNCTION("""COMPUTED_VALUE"""),"Amateur")</f>
        <v>Amateur</v>
      </c>
      <c r="B15" s="55" t="str">
        <f>IFERROR(__xludf.DUMMYFUNCTION("""COMPUTED_VALUE"""),"RSC008136")</f>
        <v>RSC008136</v>
      </c>
      <c r="C15" s="60" t="str">
        <f>IFERROR(__xludf.DUMMYFUNCTION("""COMPUTED_VALUE"""),"GeneralLeigh91")</f>
        <v>GeneralLeigh91</v>
      </c>
      <c r="D15" s="54" t="str">
        <f>IFERROR(__xludf.DUMMYFUNCTION("""COMPUTED_VALUE"""),"Winter Fresh
Chimera")</f>
        <v>Winter Fresh
Chimera</v>
      </c>
      <c r="E15" s="55" t="str">
        <f>IFERROR(__xludf.DUMMYFUNCTION("""COMPUTED_VALUE"""),"N/A
N/A")</f>
        <v>N/A
N/A</v>
      </c>
      <c r="F15" s="56">
        <f>IFERROR(__xludf.DUMMYFUNCTION("""COMPUTED_VALUE"""),62.23499587117157)</f>
        <v>62.23499587</v>
      </c>
      <c r="G15" s="57">
        <f>IFERROR(__xludf.DUMMYFUNCTION("""COMPUTED_VALUE"""),50.0)</f>
        <v>50</v>
      </c>
      <c r="H15" s="58">
        <f>IFERROR(__xludf.DUMMYFUNCTION("iferror(if(B15="""", ,filter('IDR Import'!D:D,'IDR Import'!A:A=B15,'IDR Import'!C:C=A15)),)"),66.60528714472376)</f>
        <v>66.60528714</v>
      </c>
      <c r="I15" s="58">
        <v>64.42014150794766</v>
      </c>
      <c r="J15" s="59">
        <f t="shared" si="1"/>
        <v>50</v>
      </c>
    </row>
    <row r="16">
      <c r="A16" s="55" t="str">
        <f>IFERROR(__xludf.DUMMYFUNCTION("""COMPUTED_VALUE"""),"Amateur")</f>
        <v>Amateur</v>
      </c>
      <c r="B16" s="55" t="str">
        <f>IFERROR(__xludf.DUMMYFUNCTION("""COMPUTED_VALUE"""),"RSC008193")</f>
        <v>RSC008193</v>
      </c>
      <c r="C16" s="60" t="str">
        <f>IFERROR(__xludf.DUMMYFUNCTION("""COMPUTED_VALUE"""),"RL Camaro")</f>
        <v>RL Camaro</v>
      </c>
      <c r="D16" s="54" t="str">
        <f>IFERROR(__xludf.DUMMYFUNCTION("""COMPUTED_VALUE"""),"Chimera")</f>
        <v>Chimera</v>
      </c>
      <c r="E16" s="55" t="str">
        <f>IFERROR(__xludf.DUMMYFUNCTION("""COMPUTED_VALUE"""),"N/A")</f>
        <v>N/A</v>
      </c>
      <c r="F16" s="56">
        <f>IFERROR(__xludf.DUMMYFUNCTION("""COMPUTED_VALUE"""),58.53108837612528)</f>
        <v>58.53108838</v>
      </c>
      <c r="G16" s="57">
        <f>IFERROR(__xludf.DUMMYFUNCTION("""COMPUTED_VALUE"""),51.0)</f>
        <v>51</v>
      </c>
      <c r="H16" s="58">
        <f>IFERROR(__xludf.DUMMYFUNCTION("iferror(if(B16="""", ,filter('IDR Import'!D:D,'IDR Import'!A:A=B16,'IDR Import'!C:C=A16)),)"),59.46436549120326)</f>
        <v>59.46436549</v>
      </c>
      <c r="I16" s="58">
        <v>58.99772693366427</v>
      </c>
      <c r="J16" s="59">
        <f t="shared" si="1"/>
        <v>51</v>
      </c>
    </row>
    <row r="17">
      <c r="A17" s="55" t="str">
        <f>IFERROR(__xludf.DUMMYFUNCTION("""COMPUTED_VALUE"""),"Amateur")</f>
        <v>Amateur</v>
      </c>
      <c r="B17" s="55" t="str">
        <f>IFERROR(__xludf.DUMMYFUNCTION("""COMPUTED_VALUE"""),"RSC007161")</f>
        <v>RSC007161</v>
      </c>
      <c r="C17" s="60" t="str">
        <f>IFERROR(__xludf.DUMMYFUNCTION("""COMPUTED_VALUE"""),"MrAnderpants")</f>
        <v>MrAnderpants</v>
      </c>
      <c r="D17" s="54" t="str">
        <f>IFERROR(__xludf.DUMMYFUNCTION("""COMPUTED_VALUE"""),"Winter Fresh
Electric Eels
Garlic Knots")</f>
        <v>Winter Fresh
Electric Eels
Garlic Knots</v>
      </c>
      <c r="E17" s="55" t="str">
        <f>IFERROR(__xludf.DUMMYFUNCTION("""COMPUTED_VALUE"""),"N/A
N/A
N/A")</f>
        <v>N/A
N/A
N/A</v>
      </c>
      <c r="F17" s="56">
        <f>IFERROR(__xludf.DUMMYFUNCTION("""COMPUTED_VALUE"""),58.43703465921884)</f>
        <v>58.43703466</v>
      </c>
      <c r="G17" s="57">
        <f>IFERROR(__xludf.DUMMYFUNCTION("""COMPUTED_VALUE"""),11.0)</f>
        <v>11</v>
      </c>
      <c r="H17" s="58">
        <f>IFERROR(__xludf.DUMMYFUNCTION("iferror(if(B17="""", ,filter('IDR Import'!D:D,'IDR Import'!A:A=B17,'IDR Import'!C:C=A17)),)"),48.72013659312971)</f>
        <v>48.72013659</v>
      </c>
      <c r="I17" s="58">
        <v>53.578585626174274</v>
      </c>
      <c r="J17" s="59">
        <f t="shared" si="1"/>
        <v>11</v>
      </c>
    </row>
    <row r="18">
      <c r="A18" s="55" t="str">
        <f>IFERROR(__xludf.DUMMYFUNCTION("""COMPUTED_VALUE"""),"Amateur")</f>
        <v>Amateur</v>
      </c>
      <c r="B18" s="55" t="str">
        <f>IFERROR(__xludf.DUMMYFUNCTION("""COMPUTED_VALUE"""),"RSC007852")</f>
        <v>RSC007852</v>
      </c>
      <c r="C18" s="60" t="str">
        <f>IFERROR(__xludf.DUMMYFUNCTION("""COMPUTED_VALUE"""),"Medicmac121")</f>
        <v>Medicmac121</v>
      </c>
      <c r="D18" s="54" t="str">
        <f>IFERROR(__xludf.DUMMYFUNCTION("""COMPUTED_VALUE"""),"Garlic Knots")</f>
        <v>Garlic Knots</v>
      </c>
      <c r="E18" s="55" t="str">
        <f>IFERROR(__xludf.DUMMYFUNCTION("""COMPUTED_VALUE"""),"N/A")</f>
        <v>N/A</v>
      </c>
      <c r="F18" s="56">
        <f>IFERROR(__xludf.DUMMYFUNCTION("""COMPUTED_VALUE"""),55.6750799410066)</f>
        <v>55.67507994</v>
      </c>
      <c r="G18" s="57">
        <f>IFERROR(__xludf.DUMMYFUNCTION("""COMPUTED_VALUE"""),44.0)</f>
        <v>44</v>
      </c>
      <c r="H18" s="58">
        <f>IFERROR(__xludf.DUMMYFUNCTION("iferror(if(B18="""", ,filter('IDR Import'!D:D,'IDR Import'!A:A=B18,'IDR Import'!C:C=A18)),)"),59.29091412043735)</f>
        <v>59.29091412</v>
      </c>
      <c r="I18" s="58">
        <v>57.482997030721975</v>
      </c>
      <c r="J18" s="59">
        <f t="shared" si="1"/>
        <v>44</v>
      </c>
    </row>
    <row r="19">
      <c r="A19" s="55" t="str">
        <f>IFERROR(__xludf.DUMMYFUNCTION("""COMPUTED_VALUE"""),"Amateur")</f>
        <v>Amateur</v>
      </c>
      <c r="B19" s="55" t="str">
        <f>IFERROR(__xludf.DUMMYFUNCTION("""COMPUTED_VALUE"""),"RSC006375")</f>
        <v>RSC006375</v>
      </c>
      <c r="C19" s="60" t="str">
        <f>IFERROR(__xludf.DUMMYFUNCTION("""COMPUTED_VALUE"""),"Rich-Rollin6060")</f>
        <v>Rich-Rollin6060</v>
      </c>
      <c r="D19" s="54" t="str">
        <f>IFERROR(__xludf.DUMMYFUNCTION("""COMPUTED_VALUE"""),"Garlic Knots")</f>
        <v>Garlic Knots</v>
      </c>
      <c r="E19" s="55" t="str">
        <f>IFERROR(__xludf.DUMMYFUNCTION("""COMPUTED_VALUE"""),"N/A")</f>
        <v>N/A</v>
      </c>
      <c r="F19" s="56">
        <f>IFERROR(__xludf.DUMMYFUNCTION("""COMPUTED_VALUE"""),54.59217446996295)</f>
        <v>54.59217447</v>
      </c>
      <c r="G19" s="57">
        <f>IFERROR(__xludf.DUMMYFUNCTION("""COMPUTED_VALUE"""),42.0)</f>
        <v>42</v>
      </c>
      <c r="H19" s="58">
        <f>IFERROR(__xludf.DUMMYFUNCTION("iferror(if(B19="""", ,filter('IDR Import'!D:D,'IDR Import'!A:A=B19,'IDR Import'!C:C=A19)),)"),55.72317975002479)</f>
        <v>55.72317975</v>
      </c>
      <c r="I19" s="58">
        <v>55.15767710999387</v>
      </c>
      <c r="J19" s="59">
        <f t="shared" si="1"/>
        <v>42</v>
      </c>
    </row>
    <row r="20">
      <c r="A20" s="55" t="str">
        <f>IFERROR(__xludf.DUMMYFUNCTION("""COMPUTED_VALUE"""),"Amateur")</f>
        <v>Amateur</v>
      </c>
      <c r="B20" s="55" t="str">
        <f>IFERROR(__xludf.DUMMYFUNCTION("""COMPUTED_VALUE"""),"RSC007581")</f>
        <v>RSC007581</v>
      </c>
      <c r="C20" s="60" t="str">
        <f>IFERROR(__xludf.DUMMYFUNCTION("""COMPUTED_VALUE"""),"Wrecklessjay02")</f>
        <v>Wrecklessjay02</v>
      </c>
      <c r="D20" s="54" t="str">
        <f>IFERROR(__xludf.DUMMYFUNCTION("""COMPUTED_VALUE"""),"Bombers")</f>
        <v>Bombers</v>
      </c>
      <c r="E20" s="55" t="str">
        <f>IFERROR(__xludf.DUMMYFUNCTION("""COMPUTED_VALUE"""),"N/A")</f>
        <v>N/A</v>
      </c>
      <c r="F20" s="56">
        <f>IFERROR(__xludf.DUMMYFUNCTION("""COMPUTED_VALUE"""),54.2014102094929)</f>
        <v>54.20141021</v>
      </c>
      <c r="G20" s="57">
        <f>IFERROR(__xludf.DUMMYFUNCTION("""COMPUTED_VALUE"""),47.0)</f>
        <v>47</v>
      </c>
      <c r="H20" s="58">
        <f>IFERROR(__xludf.DUMMYFUNCTION("iferror(if(B20="""", ,filter('IDR Import'!D:D,'IDR Import'!A:A=B20,'IDR Import'!C:C=A20)),)"),56.90245359791163)</f>
        <v>56.9024536</v>
      </c>
      <c r="I20" s="58">
        <v>55.55193190370227</v>
      </c>
      <c r="J20" s="59">
        <f t="shared" si="1"/>
        <v>47</v>
      </c>
    </row>
    <row r="21">
      <c r="A21" s="55" t="str">
        <f>IFERROR(__xludf.DUMMYFUNCTION("""COMPUTED_VALUE"""),"Amateur")</f>
        <v>Amateur</v>
      </c>
      <c r="B21" s="55" t="str">
        <f>IFERROR(__xludf.DUMMYFUNCTION("""COMPUTED_VALUE"""),"RSC002713")</f>
        <v>RSC002713</v>
      </c>
      <c r="C21" s="60" t="str">
        <f>IFERROR(__xludf.DUMMYFUNCTION("""COMPUTED_VALUE"""),"TimmyIU20")</f>
        <v>TimmyIU20</v>
      </c>
      <c r="D21" s="54" t="str">
        <f>IFERROR(__xludf.DUMMYFUNCTION("""COMPUTED_VALUE"""),"Winter Fresh
Electric Eels")</f>
        <v>Winter Fresh
Electric Eels</v>
      </c>
      <c r="E21" s="55" t="str">
        <f>IFERROR(__xludf.DUMMYFUNCTION("""COMPUTED_VALUE"""),"N/A
N/A")</f>
        <v>N/A
N/A</v>
      </c>
      <c r="F21" s="56">
        <f>IFERROR(__xludf.DUMMYFUNCTION("""COMPUTED_VALUE"""),53.93122557704734)</f>
        <v>53.93122558</v>
      </c>
      <c r="G21" s="57">
        <f>IFERROR(__xludf.DUMMYFUNCTION("""COMPUTED_VALUE"""),32.0)</f>
        <v>32</v>
      </c>
      <c r="H21" s="58">
        <f>IFERROR(__xludf.DUMMYFUNCTION("iferror(if(B21="""", ,filter('IDR Import'!D:D,'IDR Import'!A:A=B21,'IDR Import'!C:C=A21)),)"),57.864552560707395)</f>
        <v>57.86455256</v>
      </c>
      <c r="I21" s="58">
        <v>55.89788906887737</v>
      </c>
      <c r="J21" s="59">
        <f t="shared" si="1"/>
        <v>32</v>
      </c>
    </row>
    <row r="22">
      <c r="A22" s="55" t="str">
        <f>IFERROR(__xludf.DUMMYFUNCTION("""COMPUTED_VALUE"""),"Amateur")</f>
        <v>Amateur</v>
      </c>
      <c r="B22" s="55" t="str">
        <f>IFERROR(__xludf.DUMMYFUNCTION("""COMPUTED_VALUE"""),"RSC008327")</f>
        <v>RSC008327</v>
      </c>
      <c r="C22" s="60" t="str">
        <f>IFERROR(__xludf.DUMMYFUNCTION("""COMPUTED_VALUE"""),"tempo_rl_ttv")</f>
        <v>tempo_rl_ttv</v>
      </c>
      <c r="D22" s="54" t="str">
        <f>IFERROR(__xludf.DUMMYFUNCTION("""COMPUTED_VALUE"""),"Winter Fresh")</f>
        <v>Winter Fresh</v>
      </c>
      <c r="E22" s="55" t="str">
        <f>IFERROR(__xludf.DUMMYFUNCTION("""COMPUTED_VALUE"""),"N/A")</f>
        <v>N/A</v>
      </c>
      <c r="F22" s="56">
        <f>IFERROR(__xludf.DUMMYFUNCTION("""COMPUTED_VALUE"""),52.18672684751736)</f>
        <v>52.18672685</v>
      </c>
      <c r="G22" s="57">
        <f>IFERROR(__xludf.DUMMYFUNCTION("""COMPUTED_VALUE"""),36.0)</f>
        <v>36</v>
      </c>
      <c r="H22" s="58">
        <f>IFERROR(__xludf.DUMMYFUNCTION("iferror(if(B22="""", ,filter('IDR Import'!D:D,'IDR Import'!A:A=B22,'IDR Import'!C:C=A22)),)"),52.56746177606754)</f>
        <v>52.56746178</v>
      </c>
      <c r="I22" s="58">
        <v>52.37709431179245</v>
      </c>
      <c r="J22" s="59">
        <f t="shared" si="1"/>
        <v>36</v>
      </c>
    </row>
    <row r="23">
      <c r="A23" s="55" t="str">
        <f>IFERROR(__xludf.DUMMYFUNCTION("""COMPUTED_VALUE"""),"Amateur")</f>
        <v>Amateur</v>
      </c>
      <c r="B23" s="55" t="str">
        <f>IFERROR(__xludf.DUMMYFUNCTION("""COMPUTED_VALUE"""),"RSC008130")</f>
        <v>RSC008130</v>
      </c>
      <c r="C23" s="60" t="str">
        <f>IFERROR(__xludf.DUMMYFUNCTION("""COMPUTED_VALUE"""),"BeardedFrodo1")</f>
        <v>BeardedFrodo1</v>
      </c>
      <c r="D23" s="54" t="str">
        <f>IFERROR(__xludf.DUMMYFUNCTION("""COMPUTED_VALUE"""),"Bombers")</f>
        <v>Bombers</v>
      </c>
      <c r="E23" s="55" t="str">
        <f>IFERROR(__xludf.DUMMYFUNCTION("""COMPUTED_VALUE"""),"N/A")</f>
        <v>N/A</v>
      </c>
      <c r="F23" s="56">
        <f>IFERROR(__xludf.DUMMYFUNCTION("""COMPUTED_VALUE"""),48.96800980931988)</f>
        <v>48.96800981</v>
      </c>
      <c r="G23" s="57">
        <f>IFERROR(__xludf.DUMMYFUNCTION("""COMPUTED_VALUE"""),55.0)</f>
        <v>55</v>
      </c>
      <c r="H23" s="58">
        <f>IFERROR(__xludf.DUMMYFUNCTION("iferror(if(B23="""", ,filter('IDR Import'!D:D,'IDR Import'!A:A=B23,'IDR Import'!C:C=A23)),)"),55.56976004363583)</f>
        <v>55.56976004</v>
      </c>
      <c r="I23" s="58">
        <v>52.26888492647785</v>
      </c>
      <c r="J23" s="59">
        <f t="shared" si="1"/>
        <v>55</v>
      </c>
    </row>
    <row r="24">
      <c r="A24" s="55" t="str">
        <f>IFERROR(__xludf.DUMMYFUNCTION("""COMPUTED_VALUE"""),"Amateur")</f>
        <v>Amateur</v>
      </c>
      <c r="B24" s="55" t="str">
        <f>IFERROR(__xludf.DUMMYFUNCTION("""COMPUTED_VALUE"""),"RSC004462")</f>
        <v>RSC004462</v>
      </c>
      <c r="C24" s="60" t="str">
        <f>IFERROR(__xludf.DUMMYFUNCTION("""COMPUTED_VALUE"""),"Bbcomedian")</f>
        <v>Bbcomedian</v>
      </c>
      <c r="D24" s="54" t="str">
        <f>IFERROR(__xludf.DUMMYFUNCTION("""COMPUTED_VALUE"""),"Kappa")</f>
        <v>Kappa</v>
      </c>
      <c r="E24" s="55" t="str">
        <f>IFERROR(__xludf.DUMMYFUNCTION("""COMPUTED_VALUE"""),"N/A")</f>
        <v>N/A</v>
      </c>
      <c r="F24" s="56">
        <f>IFERROR(__xludf.DUMMYFUNCTION("""COMPUTED_VALUE"""),46.804496438714466)</f>
        <v>46.80449644</v>
      </c>
      <c r="G24" s="57">
        <f>IFERROR(__xludf.DUMMYFUNCTION("""COMPUTED_VALUE"""),55.0)</f>
        <v>55</v>
      </c>
      <c r="H24" s="58">
        <f>IFERROR(__xludf.DUMMYFUNCTION("iferror(if(B24="""", ,filter('IDR Import'!D:D,'IDR Import'!A:A=B24,'IDR Import'!C:C=A24)),)"),49.05231144007971)</f>
        <v>49.05231144</v>
      </c>
      <c r="I24" s="58">
        <v>47.928403939397086</v>
      </c>
      <c r="J24" s="59">
        <f t="shared" si="1"/>
        <v>55</v>
      </c>
    </row>
    <row r="25">
      <c r="A25" s="55" t="str">
        <f>IFERROR(__xludf.DUMMYFUNCTION("""COMPUTED_VALUE"""),"Amateur")</f>
        <v>Amateur</v>
      </c>
      <c r="B25" s="55" t="str">
        <f>IFERROR(__xludf.DUMMYFUNCTION("""COMPUTED_VALUE"""),"RSC007573")</f>
        <v>RSC007573</v>
      </c>
      <c r="C25" s="60" t="str">
        <f>IFERROR(__xludf.DUMMYFUNCTION("""COMPUTED_VALUE"""),"zag_42")</f>
        <v>zag_42</v>
      </c>
      <c r="D25" s="54" t="str">
        <f>IFERROR(__xludf.DUMMYFUNCTION("""COMPUTED_VALUE"""),"Garlic Knots")</f>
        <v>Garlic Knots</v>
      </c>
      <c r="E25" s="55" t="str">
        <f>IFERROR(__xludf.DUMMYFUNCTION("""COMPUTED_VALUE"""),"N/A")</f>
        <v>N/A</v>
      </c>
      <c r="F25" s="56">
        <f>IFERROR(__xludf.DUMMYFUNCTION("""COMPUTED_VALUE"""),44.616689583932)</f>
        <v>44.61668958</v>
      </c>
      <c r="G25" s="57">
        <f>IFERROR(__xludf.DUMMYFUNCTION("""COMPUTED_VALUE"""),27.0)</f>
        <v>27</v>
      </c>
      <c r="H25" s="58">
        <f>IFERROR(__xludf.DUMMYFUNCTION("iferror(if(B25="""", ,filter('IDR Import'!D:D,'IDR Import'!A:A=B25,'IDR Import'!C:C=A25)),)"),49.252886413310996)</f>
        <v>49.25288641</v>
      </c>
      <c r="I25" s="58">
        <v>46.9347879986215</v>
      </c>
      <c r="J25" s="59">
        <f t="shared" si="1"/>
        <v>27</v>
      </c>
    </row>
    <row r="26">
      <c r="A26" s="55" t="str">
        <f>IFERROR(__xludf.DUMMYFUNCTION("""COMPUTED_VALUE"""),"Amateur")</f>
        <v>Amateur</v>
      </c>
      <c r="B26" s="55" t="str">
        <f>IFERROR(__xludf.DUMMYFUNCTION("""COMPUTED_VALUE"""),"RSC008083")</f>
        <v>RSC008083</v>
      </c>
      <c r="C26" s="60" t="str">
        <f>IFERROR(__xludf.DUMMYFUNCTION("""COMPUTED_VALUE"""),"Rocketgirl_32")</f>
        <v>Rocketgirl_32</v>
      </c>
      <c r="D26" s="54" t="str">
        <f>IFERROR(__xludf.DUMMYFUNCTION("""COMPUTED_VALUE"""),"Legionaries")</f>
        <v>Legionaries</v>
      </c>
      <c r="E26" s="55" t="str">
        <f>IFERROR(__xludf.DUMMYFUNCTION("""COMPUTED_VALUE"""),"N/A")</f>
        <v>N/A</v>
      </c>
      <c r="F26" s="56">
        <f>IFERROR(__xludf.DUMMYFUNCTION("""COMPUTED_VALUE"""),44.453903579860835)</f>
        <v>44.45390358</v>
      </c>
      <c r="G26" s="57">
        <f>IFERROR(__xludf.DUMMYFUNCTION("""COMPUTED_VALUE"""),55.0)</f>
        <v>55</v>
      </c>
      <c r="H26" s="58">
        <f>IFERROR(__xludf.DUMMYFUNCTION("iferror(if(B26="""", ,filter('IDR Import'!D:D,'IDR Import'!A:A=B26,'IDR Import'!C:C=A26)),)"),39.203007185875975)</f>
        <v>39.20300719</v>
      </c>
      <c r="I26" s="58">
        <v>41.828455382868405</v>
      </c>
      <c r="J26" s="59">
        <f t="shared" si="1"/>
        <v>55</v>
      </c>
    </row>
    <row r="27">
      <c r="A27" s="55" t="str">
        <f>IFERROR(__xludf.DUMMYFUNCTION("""COMPUTED_VALUE"""),"Amateur")</f>
        <v>Amateur</v>
      </c>
      <c r="B27" s="55" t="str">
        <f>IFERROR(__xludf.DUMMYFUNCTION("""COMPUTED_VALUE"""),"RSC008131")</f>
        <v>RSC008131</v>
      </c>
      <c r="C27" s="60" t="str">
        <f>IFERROR(__xludf.DUMMYFUNCTION("""COMPUTED_VALUE"""),"chrisofspades")</f>
        <v>chrisofspades</v>
      </c>
      <c r="D27" s="54" t="str">
        <f>IFERROR(__xludf.DUMMYFUNCTION("""COMPUTED_VALUE"""),"HR Violation")</f>
        <v>HR Violation</v>
      </c>
      <c r="E27" s="55" t="str">
        <f>IFERROR(__xludf.DUMMYFUNCTION("""COMPUTED_VALUE"""),"N/A")</f>
        <v>N/A</v>
      </c>
      <c r="F27" s="56">
        <f>IFERROR(__xludf.DUMMYFUNCTION("""COMPUTED_VALUE"""),44.15908093947458)</f>
        <v>44.15908094</v>
      </c>
      <c r="G27" s="57">
        <f>IFERROR(__xludf.DUMMYFUNCTION("""COMPUTED_VALUE"""),36.0)</f>
        <v>36</v>
      </c>
      <c r="H27" s="58">
        <f>IFERROR(__xludf.DUMMYFUNCTION("iferror(if(B27="""", ,filter('IDR Import'!D:D,'IDR Import'!A:A=B27,'IDR Import'!C:C=A27)),)"),45.22767462395146)</f>
        <v>45.22767462</v>
      </c>
      <c r="I27" s="58">
        <v>44.69337778171302</v>
      </c>
      <c r="J27" s="59">
        <f t="shared" si="1"/>
        <v>36</v>
      </c>
    </row>
    <row r="28">
      <c r="A28" s="55" t="str">
        <f>IFERROR(__xludf.DUMMYFUNCTION("""COMPUTED_VALUE"""),"Amateur")</f>
        <v>Amateur</v>
      </c>
      <c r="B28" s="55" t="str">
        <f>IFERROR(__xludf.DUMMYFUNCTION("""COMPUTED_VALUE"""),"RSC008419")</f>
        <v>RSC008419</v>
      </c>
      <c r="C28" s="60" t="str">
        <f>IFERROR(__xludf.DUMMYFUNCTION("""COMPUTED_VALUE"""),"iSilently")</f>
        <v>iSilently</v>
      </c>
      <c r="D28" s="54" t="str">
        <f>IFERROR(__xludf.DUMMYFUNCTION("""COMPUTED_VALUE"""),"Chimera")</f>
        <v>Chimera</v>
      </c>
      <c r="E28" s="55" t="str">
        <f>IFERROR(__xludf.DUMMYFUNCTION("""COMPUTED_VALUE"""),"N/A")</f>
        <v>N/A</v>
      </c>
      <c r="F28" s="56">
        <f>IFERROR(__xludf.DUMMYFUNCTION("""COMPUTED_VALUE"""),43.17651051169967)</f>
        <v>43.17651051</v>
      </c>
      <c r="G28" s="57">
        <f>IFERROR(__xludf.DUMMYFUNCTION("""COMPUTED_VALUE"""),45.0)</f>
        <v>45</v>
      </c>
      <c r="H28" s="58">
        <f>IFERROR(__xludf.DUMMYFUNCTION("iferror(if(B28="""", ,filter('IDR Import'!D:D,'IDR Import'!A:A=B28,'IDR Import'!C:C=A28)),)"),46.117868291511904)</f>
        <v>46.11786829</v>
      </c>
      <c r="I28" s="58">
        <v>44.647189401605786</v>
      </c>
      <c r="J28" s="59">
        <f t="shared" si="1"/>
        <v>45</v>
      </c>
    </row>
    <row r="29">
      <c r="A29" s="55" t="str">
        <f>IFERROR(__xludf.DUMMYFUNCTION("""COMPUTED_VALUE"""),"Amateur")</f>
        <v>Amateur</v>
      </c>
      <c r="B29" s="55" t="str">
        <f>IFERROR(__xludf.DUMMYFUNCTION("""COMPUTED_VALUE"""),"RSC007216")</f>
        <v>RSC007216</v>
      </c>
      <c r="C29" s="60" t="str">
        <f>IFERROR(__xludf.DUMMYFUNCTION("""COMPUTED_VALUE"""),"ASAPxLEG")</f>
        <v>ASAPxLEG</v>
      </c>
      <c r="D29" s="54" t="str">
        <f>IFERROR(__xludf.DUMMYFUNCTION("""COMPUTED_VALUE"""),"Kappa")</f>
        <v>Kappa</v>
      </c>
      <c r="E29" s="55" t="str">
        <f>IFERROR(__xludf.DUMMYFUNCTION("""COMPUTED_VALUE"""),"N/A")</f>
        <v>N/A</v>
      </c>
      <c r="F29" s="56">
        <f>IFERROR(__xludf.DUMMYFUNCTION("""COMPUTED_VALUE"""),40.18903633607552)</f>
        <v>40.18903634</v>
      </c>
      <c r="G29" s="57">
        <f>IFERROR(__xludf.DUMMYFUNCTION("""COMPUTED_VALUE"""),51.0)</f>
        <v>51</v>
      </c>
      <c r="H29" s="58">
        <f>IFERROR(__xludf.DUMMYFUNCTION("iferror(if(B29="""", ,filter('IDR Import'!D:D,'IDR Import'!A:A=B29,'IDR Import'!C:C=A29)),)"),41.58982015505339)</f>
        <v>41.58982016</v>
      </c>
      <c r="I29" s="58">
        <v>40.88942824556445</v>
      </c>
      <c r="J29" s="59">
        <f t="shared" si="1"/>
        <v>51</v>
      </c>
    </row>
    <row r="30">
      <c r="A30" s="55" t="str">
        <f>IFERROR(__xludf.DUMMYFUNCTION("""COMPUTED_VALUE"""),"Amateur")</f>
        <v>Amateur</v>
      </c>
      <c r="B30" s="55" t="str">
        <f>IFERROR(__xludf.DUMMYFUNCTION("""COMPUTED_VALUE"""),"RSC007462")</f>
        <v>RSC007462</v>
      </c>
      <c r="C30" s="60" t="str">
        <f>IFERROR(__xludf.DUMMYFUNCTION("""COMPUTED_VALUE"""),"Lil DizNick")</f>
        <v>Lil DizNick</v>
      </c>
      <c r="D30" s="54" t="str">
        <f>IFERROR(__xludf.DUMMYFUNCTION("""COMPUTED_VALUE"""),"Winter Fresh")</f>
        <v>Winter Fresh</v>
      </c>
      <c r="E30" s="55" t="str">
        <f>IFERROR(__xludf.DUMMYFUNCTION("""COMPUTED_VALUE"""),"N/A")</f>
        <v>N/A</v>
      </c>
      <c r="F30" s="56">
        <f>IFERROR(__xludf.DUMMYFUNCTION("""COMPUTED_VALUE"""),35.230219589530975)</f>
        <v>35.23021959</v>
      </c>
      <c r="G30" s="57">
        <f>IFERROR(__xludf.DUMMYFUNCTION("""COMPUTED_VALUE"""),4.0)</f>
        <v>4</v>
      </c>
      <c r="H30" s="58">
        <f>IFERROR(__xludf.DUMMYFUNCTION("iferror(if(B30="""", ,filter('IDR Import'!D:D,'IDR Import'!A:A=B30,'IDR Import'!C:C=A30)),)"),30.15896447794128)</f>
        <v>30.15896448</v>
      </c>
      <c r="I30" s="58">
        <v>32.69459203373613</v>
      </c>
      <c r="J30" s="59">
        <f t="shared" si="1"/>
        <v>4</v>
      </c>
    </row>
    <row r="31">
      <c r="A31" s="55" t="str">
        <f>IFERROR(__xludf.DUMMYFUNCTION("""COMPUTED_VALUE"""),"Amateur")</f>
        <v>Amateur</v>
      </c>
      <c r="B31" s="55" t="str">
        <f>IFERROR(__xludf.DUMMYFUNCTION("""COMPUTED_VALUE"""),"RSC006137")</f>
        <v>RSC006137</v>
      </c>
      <c r="C31" s="60" t="str">
        <f>IFERROR(__xludf.DUMMYFUNCTION("""COMPUTED_VALUE"""),"FULLBL00DN8V")</f>
        <v>FULLBL00DN8V</v>
      </c>
      <c r="D31" s="54" t="str">
        <f>IFERROR(__xludf.DUMMYFUNCTION("""COMPUTED_VALUE"""),"Electric Eels")</f>
        <v>Electric Eels</v>
      </c>
      <c r="E31" s="55" t="str">
        <f>IFERROR(__xludf.DUMMYFUNCTION("""COMPUTED_VALUE"""),"N/A")</f>
        <v>N/A</v>
      </c>
      <c r="F31" s="56">
        <f>IFERROR(__xludf.DUMMYFUNCTION("""COMPUTED_VALUE"""),33.883042535929505)</f>
        <v>33.88304254</v>
      </c>
      <c r="G31" s="57">
        <f>IFERROR(__xludf.DUMMYFUNCTION("""COMPUTED_VALUE"""),28.0)</f>
        <v>28</v>
      </c>
      <c r="H31" s="58">
        <f>IFERROR(__xludf.DUMMYFUNCTION("iferror(if(B31="""", ,filter('IDR Import'!D:D,'IDR Import'!A:A=B31,'IDR Import'!C:C=A31)),)"),41.43308901386139)</f>
        <v>41.43308901</v>
      </c>
      <c r="I31" s="58">
        <v>37.65806577489545</v>
      </c>
      <c r="J31" s="59">
        <f t="shared" si="1"/>
        <v>28</v>
      </c>
    </row>
    <row r="32">
      <c r="A32" s="55" t="str">
        <f>IFERROR(__xludf.DUMMYFUNCTION("""COMPUTED_VALUE"""),"Amateur")</f>
        <v>Amateur</v>
      </c>
      <c r="B32" s="55" t="str">
        <f>IFERROR(__xludf.DUMMYFUNCTION("""COMPUTED_VALUE"""),"RSC007921")</f>
        <v>RSC007921</v>
      </c>
      <c r="C32" s="60" t="str">
        <f>IFERROR(__xludf.DUMMYFUNCTION("""COMPUTED_VALUE"""),"sXCyBeast")</f>
        <v>sXCyBeast</v>
      </c>
      <c r="D32" s="54" t="str">
        <f>IFERROR(__xludf.DUMMYFUNCTION("""COMPUTED_VALUE"""),"HR Violation")</f>
        <v>HR Violation</v>
      </c>
      <c r="E32" s="55" t="str">
        <f>IFERROR(__xludf.DUMMYFUNCTION("""COMPUTED_VALUE"""),"N/A")</f>
        <v>N/A</v>
      </c>
      <c r="F32" s="56">
        <f>IFERROR(__xludf.DUMMYFUNCTION("""COMPUTED_VALUE"""),30.355736398311503)</f>
        <v>30.3557364</v>
      </c>
      <c r="G32" s="57">
        <f>IFERROR(__xludf.DUMMYFUNCTION("""COMPUTED_VALUE"""),56.0)</f>
        <v>56</v>
      </c>
      <c r="H32" s="58">
        <f>IFERROR(__xludf.DUMMYFUNCTION("iferror(if(B32="""", ,filter('IDR Import'!D:D,'IDR Import'!A:A=B32,'IDR Import'!C:C=A32)),)"),40.44978159359282)</f>
        <v>40.44978159</v>
      </c>
      <c r="I32" s="58">
        <v>35.40275899595216</v>
      </c>
      <c r="J32" s="59">
        <f t="shared" si="1"/>
        <v>56</v>
      </c>
    </row>
    <row r="33">
      <c r="A33" s="55" t="str">
        <f>IFERROR(__xludf.DUMMYFUNCTION("""COMPUTED_VALUE"""),"Amateur")</f>
        <v>Amateur</v>
      </c>
      <c r="B33" s="55" t="str">
        <f>IFERROR(__xludf.DUMMYFUNCTION("""COMPUTED_VALUE"""),"RSC000323")</f>
        <v>RSC000323</v>
      </c>
      <c r="C33" s="60" t="str">
        <f>IFERROR(__xludf.DUMMYFUNCTION("""COMPUTED_VALUE"""),"Styk75")</f>
        <v>Styk75</v>
      </c>
      <c r="D33" s="54" t="str">
        <f>IFERROR(__xludf.DUMMYFUNCTION("""COMPUTED_VALUE"""),"Legionaries")</f>
        <v>Legionaries</v>
      </c>
      <c r="E33" s="55" t="str">
        <f>IFERROR(__xludf.DUMMYFUNCTION("""COMPUTED_VALUE"""),"N/A")</f>
        <v>N/A</v>
      </c>
      <c r="F33" s="56">
        <f>IFERROR(__xludf.DUMMYFUNCTION("""COMPUTED_VALUE"""),24.570478544163738)</f>
        <v>24.57047854</v>
      </c>
      <c r="G33" s="57">
        <f>IFERROR(__xludf.DUMMYFUNCTION("""COMPUTED_VALUE"""),49.0)</f>
        <v>49</v>
      </c>
      <c r="H33" s="58">
        <f>IFERROR(__xludf.DUMMYFUNCTION("iferror(if(B33="""", ,filter('IDR Import'!D:D,'IDR Import'!A:A=B33,'IDR Import'!C:C=A33)),)"),29.31093525791619)</f>
        <v>29.31093526</v>
      </c>
      <c r="I33" s="58">
        <v>26.940706901039963</v>
      </c>
      <c r="J33" s="59">
        <f t="shared" si="1"/>
        <v>49</v>
      </c>
    </row>
    <row r="34">
      <c r="A34" s="55" t="str">
        <f>IFERROR(__xludf.DUMMYFUNCTION("""COMPUTED_VALUE"""),"Amateur")</f>
        <v>Amateur</v>
      </c>
      <c r="B34" s="55" t="str">
        <f>IFERROR(__xludf.DUMMYFUNCTION("""COMPUTED_VALUE"""),"RSC008213")</f>
        <v>RSC008213</v>
      </c>
      <c r="C34" s="60" t="str">
        <f>IFERROR(__xludf.DUMMYFUNCTION("""COMPUTED_VALUE"""),"SeargD")</f>
        <v>SeargD</v>
      </c>
      <c r="D34" s="54" t="str">
        <f>IFERROR(__xludf.DUMMYFUNCTION("""COMPUTED_VALUE"""),"Legionaries")</f>
        <v>Legionaries</v>
      </c>
      <c r="E34" s="55" t="str">
        <f>IFERROR(__xludf.DUMMYFUNCTION("""COMPUTED_VALUE"""),"N/A")</f>
        <v>N/A</v>
      </c>
      <c r="F34" s="56">
        <f>IFERROR(__xludf.DUMMYFUNCTION("""COMPUTED_VALUE"""),22.820213277870728)</f>
        <v>22.82021328</v>
      </c>
      <c r="G34" s="57">
        <f>IFERROR(__xludf.DUMMYFUNCTION("""COMPUTED_VALUE"""),40.0)</f>
        <v>40</v>
      </c>
      <c r="H34" s="58">
        <f>IFERROR(__xludf.DUMMYFUNCTION("iferror(if(B34="""", ,filter('IDR Import'!D:D,'IDR Import'!A:A=B34,'IDR Import'!C:C=A34)),)"),28.723774346762678)</f>
        <v>28.72377435</v>
      </c>
      <c r="I34" s="58">
        <v>25.7719938123167</v>
      </c>
      <c r="J34" s="59">
        <f t="shared" si="1"/>
        <v>40</v>
      </c>
    </row>
    <row r="35">
      <c r="A35" s="55" t="str">
        <f>IFERROR(__xludf.DUMMYFUNCTION("""COMPUTED_VALUE"""),"Amateur")</f>
        <v>Amateur</v>
      </c>
      <c r="B35" s="55" t="str">
        <f>IFERROR(__xludf.DUMMYFUNCTION("""COMPUTED_VALUE"""),"RSC005472")</f>
        <v>RSC005472</v>
      </c>
      <c r="C35" s="60" t="str">
        <f>IFERROR(__xludf.DUMMYFUNCTION("""COMPUTED_VALUE"""),"EngynGameOver")</f>
        <v>EngynGameOver</v>
      </c>
      <c r="D35" s="54" t="str">
        <f>IFERROR(__xludf.DUMMYFUNCTION("""COMPUTED_VALUE"""),"Legionaries")</f>
        <v>Legionaries</v>
      </c>
      <c r="E35" s="55" t="str">
        <f>IFERROR(__xludf.DUMMYFUNCTION("""COMPUTED_VALUE"""),"N/A")</f>
        <v>N/A</v>
      </c>
      <c r="F35" s="56">
        <f>IFERROR(__xludf.DUMMYFUNCTION("""COMPUTED_VALUE"""),21.199162832317825)</f>
        <v>21.19916283</v>
      </c>
      <c r="G35" s="57">
        <f>IFERROR(__xludf.DUMMYFUNCTION("""COMPUTED_VALUE"""),21.0)</f>
        <v>21</v>
      </c>
      <c r="H35" s="58">
        <f>IFERROR(__xludf.DUMMYFUNCTION("iferror(if(B35="""", ,filter('IDR Import'!D:D,'IDR Import'!A:A=B35,'IDR Import'!C:C=A35)),)"),31.413022189205922)</f>
        <v>31.41302219</v>
      </c>
      <c r="I35" s="58">
        <v>26.30609251076187</v>
      </c>
      <c r="J35" s="59">
        <f t="shared" si="1"/>
        <v>21</v>
      </c>
    </row>
    <row r="36">
      <c r="A36" s="55" t="str">
        <f>IFERROR(__xludf.DUMMYFUNCTION("""COMPUTED_VALUE"""),"Amateur")</f>
        <v>Amateur</v>
      </c>
      <c r="B36" s="55" t="str">
        <f>IFERROR(__xludf.DUMMYFUNCTION("""COMPUTED_VALUE"""),"RSC008402")</f>
        <v>RSC008402</v>
      </c>
      <c r="C36" s="60" t="str">
        <f>IFERROR(__xludf.DUMMYFUNCTION("""COMPUTED_VALUE"""),"TTV/DucksNotKeys")</f>
        <v>TTV/DucksNotKeys</v>
      </c>
      <c r="D36" s="54" t="str">
        <f>IFERROR(__xludf.DUMMYFUNCTION("""COMPUTED_VALUE"""),"Chimera")</f>
        <v>Chimera</v>
      </c>
      <c r="E36" s="55" t="str">
        <f>IFERROR(__xludf.DUMMYFUNCTION("""COMPUTED_VALUE"""),"N/A")</f>
        <v>N/A</v>
      </c>
      <c r="F36" s="56">
        <f>IFERROR(__xludf.DUMMYFUNCTION("""COMPUTED_VALUE"""),18.788859598271056)</f>
        <v>18.7888596</v>
      </c>
      <c r="G36" s="57">
        <f>IFERROR(__xludf.DUMMYFUNCTION("""COMPUTED_VALUE"""),14.0)</f>
        <v>14</v>
      </c>
      <c r="H36" s="58">
        <f>IFERROR(__xludf.DUMMYFUNCTION("iferror(if(B36="""", ,filter('IDR Import'!D:D,'IDR Import'!A:A=B36,'IDR Import'!C:C=A36)),)"),27.646460537045737)</f>
        <v>27.64646054</v>
      </c>
      <c r="I36" s="58">
        <v>23.217660067658397</v>
      </c>
      <c r="J36" s="59">
        <f t="shared" si="1"/>
        <v>14</v>
      </c>
    </row>
    <row r="37">
      <c r="A37" s="55" t="str">
        <f>IFERROR(__xludf.DUMMYFUNCTION("""COMPUTED_VALUE"""),"Amateur")</f>
        <v>Amateur</v>
      </c>
      <c r="B37" s="55" t="str">
        <f>IFERROR(__xludf.DUMMYFUNCTION("""COMPUTED_VALUE"""),"RSC008151")</f>
        <v>RSC008151</v>
      </c>
      <c r="C37" s="60" t="str">
        <f>IFERROR(__xludf.DUMMYFUNCTION("""COMPUTED_VALUE"""),"Extrakrispybecky")</f>
        <v>Extrakrispybecky</v>
      </c>
      <c r="D37" s="54" t="str">
        <f>IFERROR(__xludf.DUMMYFUNCTION("""COMPUTED_VALUE"""),"Kappa")</f>
        <v>Kappa</v>
      </c>
      <c r="E37" s="55" t="str">
        <f>IFERROR(__xludf.DUMMYFUNCTION("""COMPUTED_VALUE"""),"N/A")</f>
        <v>N/A</v>
      </c>
      <c r="F37" s="56">
        <f>IFERROR(__xludf.DUMMYFUNCTION("""COMPUTED_VALUE"""),15.265513534116828)</f>
        <v>15.26551353</v>
      </c>
      <c r="G37" s="57">
        <f>IFERROR(__xludf.DUMMYFUNCTION("""COMPUTED_VALUE"""),16.0)</f>
        <v>16</v>
      </c>
      <c r="H37" s="58">
        <f>IFERROR(__xludf.DUMMYFUNCTION("iferror(if(B37="""", ,filter('IDR Import'!D:D,'IDR Import'!A:A=B37,'IDR Import'!C:C=A37)),)"),25.547063768002943)</f>
        <v>25.54706377</v>
      </c>
      <c r="I37" s="58">
        <v>20.406288651059885</v>
      </c>
      <c r="J37" s="59">
        <f t="shared" si="1"/>
        <v>16</v>
      </c>
    </row>
    <row r="38">
      <c r="A38" s="55" t="str">
        <f>IFERROR(__xludf.DUMMYFUNCTION("""COMPUTED_VALUE"""),"Amateur")</f>
        <v>Amateur</v>
      </c>
      <c r="B38" s="55" t="str">
        <f>IFERROR(__xludf.DUMMYFUNCTION("""COMPUTED_VALUE"""),"RSC007678")</f>
        <v>RSC007678</v>
      </c>
      <c r="C38" s="60" t="str">
        <f>IFERROR(__xludf.DUMMYFUNCTION("""COMPUTED_VALUE"""),"SavedHawk")</f>
        <v>SavedHawk</v>
      </c>
      <c r="D38" s="54" t="str">
        <f>IFERROR(__xludf.DUMMYFUNCTION("""COMPUTED_VALUE"""),"Winter Fresh")</f>
        <v>Winter Fresh</v>
      </c>
      <c r="E38" s="55" t="str">
        <f>IFERROR(__xludf.DUMMYFUNCTION("""COMPUTED_VALUE"""),"N/A")</f>
        <v>N/A</v>
      </c>
      <c r="F38" s="56">
        <f>IFERROR(__xludf.DUMMYFUNCTION("""COMPUTED_VALUE"""),-17.678656323291804)</f>
        <v>-17.67865632</v>
      </c>
      <c r="G38" s="57">
        <f>IFERROR(__xludf.DUMMYFUNCTION("""COMPUTED_VALUE"""),4.0)</f>
        <v>4</v>
      </c>
      <c r="H38" s="58">
        <f>IFERROR(__xludf.DUMMYFUNCTION("iferror(if(B38="""", ,filter('IDR Import'!D:D,'IDR Import'!A:A=B38,'IDR Import'!C:C=A38)),)"),-0.5509846670849612)</f>
        <v>-0.5509846671</v>
      </c>
      <c r="I38" s="58">
        <v>-9.114820495188383</v>
      </c>
      <c r="J38" s="59">
        <f t="shared" si="1"/>
        <v>4</v>
      </c>
    </row>
    <row r="39">
      <c r="A39" s="55" t="str">
        <f>IFERROR(__xludf.DUMMYFUNCTION("""COMPUTED_VALUE"""),"Amateur")</f>
        <v>Amateur</v>
      </c>
      <c r="B39" s="55" t="str">
        <f>IFERROR(__xludf.DUMMYFUNCTION("""COMPUTED_VALUE"""),"RSC006364")</f>
        <v>RSC006364</v>
      </c>
      <c r="C39" s="60" t="str">
        <f>IFERROR(__xludf.DUMMYFUNCTION("""COMPUTED_VALUE"""),"YT_rocketbrah")</f>
        <v>YT_rocketbrah</v>
      </c>
      <c r="D39" s="54" t="str">
        <f>IFERROR(__xludf.DUMMYFUNCTION("""COMPUTED_VALUE"""),"Legionaries")</f>
        <v>Legionaries</v>
      </c>
      <c r="E39" s="55" t="str">
        <f>IFERROR(__xludf.DUMMYFUNCTION("""COMPUTED_VALUE"""),"N/A")</f>
        <v>N/A</v>
      </c>
      <c r="F39" s="56">
        <f>IFERROR(__xludf.DUMMYFUNCTION("""COMPUTED_VALUE"""),-31.188058387739204)</f>
        <v>-31.18805839</v>
      </c>
      <c r="G39" s="57">
        <f>IFERROR(__xludf.DUMMYFUNCTION("""COMPUTED_VALUE"""),3.0)</f>
        <v>3</v>
      </c>
      <c r="H39" s="58">
        <f>IFERROR(__xludf.DUMMYFUNCTION("iferror(if(B39="""", ,filter('IDR Import'!D:D,'IDR Import'!A:A=B39,'IDR Import'!C:C=A39)),)"),-5.299303725534173)</f>
        <v>-5.299303726</v>
      </c>
      <c r="I39" s="58">
        <v>-18.24368105663669</v>
      </c>
      <c r="J39" s="59">
        <f t="shared" si="1"/>
        <v>3</v>
      </c>
    </row>
    <row r="40">
      <c r="A40" s="55" t="str">
        <f>IFERROR(__xludf.DUMMYFUNCTION("""COMPUTED_VALUE"""),"Amateur")</f>
        <v>Amateur</v>
      </c>
      <c r="B40" s="55" t="str">
        <f>IFERROR(__xludf.DUMMYFUNCTION("""COMPUTED_VALUE"""),"RSC008489")</f>
        <v>RSC008489</v>
      </c>
      <c r="C40" s="60" t="str">
        <f>IFERROR(__xludf.DUMMYFUNCTION("""COMPUTED_VALUE"""),"nacho_nachos2")</f>
        <v>nacho_nachos2</v>
      </c>
      <c r="D40" s="54" t="str">
        <f>IFERROR(__xludf.DUMMYFUNCTION("""COMPUTED_VALUE"""),"Bombers")</f>
        <v>Bombers</v>
      </c>
      <c r="E40" s="55" t="str">
        <f>IFERROR(__xludf.DUMMYFUNCTION("""COMPUTED_VALUE"""),"N/A")</f>
        <v>N/A</v>
      </c>
      <c r="F40" s="56">
        <f>IFERROR(__xludf.DUMMYFUNCTION("""COMPUTED_VALUE"""),-45.10097464478005)</f>
        <v>-45.10097464</v>
      </c>
      <c r="G40" s="57">
        <f>IFERROR(__xludf.DUMMYFUNCTION("""COMPUTED_VALUE"""),4.0)</f>
        <v>4</v>
      </c>
      <c r="H40" s="58">
        <f>IFERROR(__xludf.DUMMYFUNCTION("iferror(if(B40="""", ,filter('IDR Import'!D:D,'IDR Import'!A:A=B40,'IDR Import'!C:C=A40)),)"),-6.663296389554475)</f>
        <v>-6.66329639</v>
      </c>
      <c r="I40" s="58">
        <v>-25.882135517167264</v>
      </c>
      <c r="J40" s="59">
        <f t="shared" si="1"/>
        <v>4</v>
      </c>
    </row>
    <row r="41">
      <c r="A41" s="55" t="str">
        <f>IFERROR(__xludf.DUMMYFUNCTION("""COMPUTED_VALUE"""),"Challenger")</f>
        <v>Challenger</v>
      </c>
      <c r="B41" s="55" t="str">
        <f>IFERROR(__xludf.DUMMYFUNCTION("""COMPUTED_VALUE"""),"RSC006477")</f>
        <v>RSC006477</v>
      </c>
      <c r="C41" s="60" t="str">
        <f>IFERROR(__xludf.DUMMYFUNCTION("""COMPUTED_VALUE"""),"XtraCrispyRL")</f>
        <v>XtraCrispyRL</v>
      </c>
      <c r="D41" s="54" t="str">
        <f>IFERROR(__xludf.DUMMYFUNCTION("""COMPUTED_VALUE"""),"Void")</f>
        <v>Void</v>
      </c>
      <c r="E41" s="55" t="str">
        <f>IFERROR(__xludf.DUMMYFUNCTION("""COMPUTED_VALUE"""),"Solar")</f>
        <v>Solar</v>
      </c>
      <c r="F41" s="56">
        <f>IFERROR(__xludf.DUMMYFUNCTION("""COMPUTED_VALUE"""),93.6553865551164)</f>
        <v>93.65538656</v>
      </c>
      <c r="G41" s="57">
        <f>IFERROR(__xludf.DUMMYFUNCTION("""COMPUTED_VALUE"""),46.0)</f>
        <v>46</v>
      </c>
      <c r="H41" s="58">
        <f>IFERROR(__xludf.DUMMYFUNCTION("iferror(if(B41="""", ,filter('IDR Import'!D:D,'IDR Import'!A:A=B41,'IDR Import'!C:C=A41)),)"),99.00857746509288)</f>
        <v>99.00857747</v>
      </c>
      <c r="I41" s="58">
        <v>96.33198201010464</v>
      </c>
      <c r="J41" s="59">
        <f t="shared" si="1"/>
        <v>46</v>
      </c>
    </row>
    <row r="42">
      <c r="A42" s="55" t="str">
        <f>IFERROR(__xludf.DUMMYFUNCTION("""COMPUTED_VALUE"""),"Challenger")</f>
        <v>Challenger</v>
      </c>
      <c r="B42" s="55" t="str">
        <f>IFERROR(__xludf.DUMMYFUNCTION("""COMPUTED_VALUE"""),"RSC008288")</f>
        <v>RSC008288</v>
      </c>
      <c r="C42" s="60" t="str">
        <f>IFERROR(__xludf.DUMMYFUNCTION("""COMPUTED_VALUE"""),"WifiWFB")</f>
        <v>WifiWFB</v>
      </c>
      <c r="D42" s="54" t="str">
        <f>IFERROR(__xludf.DUMMYFUNCTION("""COMPUTED_VALUE"""),"Thunder Pups
Blitzars")</f>
        <v>Thunder Pups
Blitzars</v>
      </c>
      <c r="E42" s="55" t="str">
        <f>IFERROR(__xludf.DUMMYFUNCTION("""COMPUTED_VALUE"""),"Solar
Lunar")</f>
        <v>Solar
Lunar</v>
      </c>
      <c r="F42" s="56">
        <f>IFERROR(__xludf.DUMMYFUNCTION("""COMPUTED_VALUE"""),93.24830031633488)</f>
        <v>93.24830032</v>
      </c>
      <c r="G42" s="57">
        <f>IFERROR(__xludf.DUMMYFUNCTION("""COMPUTED_VALUE"""),36.0)</f>
        <v>36</v>
      </c>
      <c r="H42" s="58">
        <f>IFERROR(__xludf.DUMMYFUNCTION("iferror(if(B42="""", ,filter('IDR Import'!D:D,'IDR Import'!A:A=B42,'IDR Import'!C:C=A42)),)"),102.63537436929053)</f>
        <v>102.6353744</v>
      </c>
      <c r="I42" s="58">
        <v>97.9418373428127</v>
      </c>
      <c r="J42" s="59">
        <f t="shared" si="1"/>
        <v>36</v>
      </c>
    </row>
    <row r="43">
      <c r="A43" s="55" t="str">
        <f>IFERROR(__xludf.DUMMYFUNCTION("""COMPUTED_VALUE"""),"Challenger")</f>
        <v>Challenger</v>
      </c>
      <c r="B43" s="55" t="str">
        <f>IFERROR(__xludf.DUMMYFUNCTION("""COMPUTED_VALUE"""),"RSC008454")</f>
        <v>RSC008454</v>
      </c>
      <c r="C43" s="60" t="str">
        <f>IFERROR(__xludf.DUMMYFUNCTION("""COMPUTED_VALUE"""),"Worma")</f>
        <v>Worma</v>
      </c>
      <c r="D43" s="54" t="str">
        <f>IFERROR(__xludf.DUMMYFUNCTION("""COMPUTED_VALUE"""),"Blitzars")</f>
        <v>Blitzars</v>
      </c>
      <c r="E43" s="55" t="str">
        <f>IFERROR(__xludf.DUMMYFUNCTION("""COMPUTED_VALUE"""),"Lunar")</f>
        <v>Lunar</v>
      </c>
      <c r="F43" s="56">
        <f>IFERROR(__xludf.DUMMYFUNCTION("""COMPUTED_VALUE"""),88.74814519888562)</f>
        <v>88.7481452</v>
      </c>
      <c r="G43" s="57">
        <f>IFERROR(__xludf.DUMMYFUNCTION("""COMPUTED_VALUE"""),49.0)</f>
        <v>49</v>
      </c>
      <c r="H43" s="58">
        <f>IFERROR(__xludf.DUMMYFUNCTION("iferror(if(B43="""", ,filter('IDR Import'!D:D,'IDR Import'!A:A=B43,'IDR Import'!C:C=A43)),)"),90.26671848285659)</f>
        <v>90.26671848</v>
      </c>
      <c r="I43" s="58">
        <v>89.5074318408711</v>
      </c>
      <c r="J43" s="59">
        <f t="shared" si="1"/>
        <v>49</v>
      </c>
    </row>
    <row r="44">
      <c r="A44" s="55" t="str">
        <f>IFERROR(__xludf.DUMMYFUNCTION("""COMPUTED_VALUE"""),"Challenger")</f>
        <v>Challenger</v>
      </c>
      <c r="B44" s="55" t="str">
        <f>IFERROR(__xludf.DUMMYFUNCTION("""COMPUTED_VALUE"""),"RSC002412")</f>
        <v>RSC002412</v>
      </c>
      <c r="C44" s="60" t="str">
        <f>IFERROR(__xludf.DUMMYFUNCTION("""COMPUTED_VALUE"""),"Rosefanatic3615")</f>
        <v>Rosefanatic3615</v>
      </c>
      <c r="D44" s="54" t="str">
        <f>IFERROR(__xludf.DUMMYFUNCTION("""COMPUTED_VALUE"""),"Manticore")</f>
        <v>Manticore</v>
      </c>
      <c r="E44" s="55" t="str">
        <f>IFERROR(__xludf.DUMMYFUNCTION("""COMPUTED_VALUE"""),"Solar")</f>
        <v>Solar</v>
      </c>
      <c r="F44" s="56">
        <f>IFERROR(__xludf.DUMMYFUNCTION("""COMPUTED_VALUE"""),88.10121453576465)</f>
        <v>88.10121454</v>
      </c>
      <c r="G44" s="57">
        <f>IFERROR(__xludf.DUMMYFUNCTION("""COMPUTED_VALUE"""),56.0)</f>
        <v>56</v>
      </c>
      <c r="H44" s="58">
        <f>IFERROR(__xludf.DUMMYFUNCTION("iferror(if(B44="""", ,filter('IDR Import'!D:D,'IDR Import'!A:A=B44,'IDR Import'!C:C=A44)),)"),121.25973872794016)</f>
        <v>121.2597387</v>
      </c>
      <c r="I44" s="58">
        <v>104.6804766318524</v>
      </c>
      <c r="J44" s="59">
        <f t="shared" si="1"/>
        <v>56</v>
      </c>
    </row>
    <row r="45">
      <c r="A45" s="55" t="str">
        <f>IFERROR(__xludf.DUMMYFUNCTION("""COMPUTED_VALUE"""),"Challenger")</f>
        <v>Challenger</v>
      </c>
      <c r="B45" s="55" t="str">
        <f>IFERROR(__xludf.DUMMYFUNCTION("""COMPUTED_VALUE"""),"RSC008260")</f>
        <v>RSC008260</v>
      </c>
      <c r="C45" s="60" t="str">
        <f>IFERROR(__xludf.DUMMYFUNCTION("""COMPUTED_VALUE"""),"Crucified6856")</f>
        <v>Crucified6856</v>
      </c>
      <c r="D45" s="54" t="str">
        <f>IFERROR(__xludf.DUMMYFUNCTION("""COMPUTED_VALUE"""),"Glaciers")</f>
        <v>Glaciers</v>
      </c>
      <c r="E45" s="55" t="str">
        <f>IFERROR(__xludf.DUMMYFUNCTION("""COMPUTED_VALUE"""),"Solar")</f>
        <v>Solar</v>
      </c>
      <c r="F45" s="56">
        <f>IFERROR(__xludf.DUMMYFUNCTION("""COMPUTED_VALUE"""),85.79605027519656)</f>
        <v>85.79605028</v>
      </c>
      <c r="G45" s="57">
        <f>IFERROR(__xludf.DUMMYFUNCTION("""COMPUTED_VALUE"""),49.0)</f>
        <v>49</v>
      </c>
      <c r="H45" s="58">
        <f>IFERROR(__xludf.DUMMYFUNCTION("iferror(if(B45="""", ,filter('IDR Import'!D:D,'IDR Import'!A:A=B45,'IDR Import'!C:C=A45)),)"),79.26065397857461)</f>
        <v>79.26065398</v>
      </c>
      <c r="I45" s="58">
        <v>82.52835212688558</v>
      </c>
      <c r="J45" s="59">
        <f t="shared" si="1"/>
        <v>49</v>
      </c>
    </row>
    <row r="46">
      <c r="A46" s="55" t="str">
        <f>IFERROR(__xludf.DUMMYFUNCTION("""COMPUTED_VALUE"""),"Challenger")</f>
        <v>Challenger</v>
      </c>
      <c r="B46" s="55" t="str">
        <f>IFERROR(__xludf.DUMMYFUNCTION("""COMPUTED_VALUE"""),"RSC008026")</f>
        <v>RSC008026</v>
      </c>
      <c r="C46" s="60" t="str">
        <f>IFERROR(__xludf.DUMMYFUNCTION("""COMPUTED_VALUE"""),"Kanashìmi")</f>
        <v>Kanashìmi</v>
      </c>
      <c r="D46" s="54" t="str">
        <f>IFERROR(__xludf.DUMMYFUNCTION("""COMPUTED_VALUE"""),"Havarti Hustlers")</f>
        <v>Havarti Hustlers</v>
      </c>
      <c r="E46" s="55" t="str">
        <f>IFERROR(__xludf.DUMMYFUNCTION("""COMPUTED_VALUE"""),"Lunar")</f>
        <v>Lunar</v>
      </c>
      <c r="F46" s="56">
        <f>IFERROR(__xludf.DUMMYFUNCTION("""COMPUTED_VALUE"""),85.35127583604574)</f>
        <v>85.35127584</v>
      </c>
      <c r="G46" s="57">
        <f>IFERROR(__xludf.DUMMYFUNCTION("""COMPUTED_VALUE"""),4.0)</f>
        <v>4</v>
      </c>
      <c r="H46" s="58">
        <f>IFERROR(__xludf.DUMMYFUNCTION("iferror(if(B46="""", ,filter('IDR Import'!D:D,'IDR Import'!A:A=B46,'IDR Import'!C:C=A46)),)"),58.811696482268076)</f>
        <v>58.81169648</v>
      </c>
      <c r="I46" s="58">
        <v>72.08148615915691</v>
      </c>
      <c r="J46" s="59">
        <f t="shared" si="1"/>
        <v>4</v>
      </c>
    </row>
    <row r="47">
      <c r="A47" s="55" t="str">
        <f>IFERROR(__xludf.DUMMYFUNCTION("""COMPUTED_VALUE"""),"Challenger")</f>
        <v>Challenger</v>
      </c>
      <c r="B47" s="55" t="str">
        <f>IFERROR(__xludf.DUMMYFUNCTION("""COMPUTED_VALUE"""),"RSC008426")</f>
        <v>RSC008426</v>
      </c>
      <c r="C47" s="60" t="str">
        <f>IFERROR(__xludf.DUMMYFUNCTION("""COMPUTED_VALUE"""),"Midnight")</f>
        <v>Midnight</v>
      </c>
      <c r="D47" s="54" t="str">
        <f>IFERROR(__xludf.DUMMYFUNCTION("""COMPUTED_VALUE"""),"Warbirds")</f>
        <v>Warbirds</v>
      </c>
      <c r="E47" s="55" t="str">
        <f>IFERROR(__xludf.DUMMYFUNCTION("""COMPUTED_VALUE"""),"Lunar")</f>
        <v>Lunar</v>
      </c>
      <c r="F47" s="56">
        <f>IFERROR(__xludf.DUMMYFUNCTION("""COMPUTED_VALUE"""),81.92090532566553)</f>
        <v>81.92090533</v>
      </c>
      <c r="G47" s="57">
        <f>IFERROR(__xludf.DUMMYFUNCTION("""COMPUTED_VALUE"""),52.0)</f>
        <v>52</v>
      </c>
      <c r="H47" s="58">
        <f>IFERROR(__xludf.DUMMYFUNCTION("iferror(if(B47="""", ,filter('IDR Import'!D:D,'IDR Import'!A:A=B47,'IDR Import'!C:C=A47)),)"),90.77928271363535)</f>
        <v>90.77928271</v>
      </c>
      <c r="I47" s="58">
        <v>86.35009401965044</v>
      </c>
      <c r="J47" s="59">
        <f t="shared" si="1"/>
        <v>52</v>
      </c>
    </row>
    <row r="48">
      <c r="A48" s="55" t="str">
        <f>IFERROR(__xludf.DUMMYFUNCTION("""COMPUTED_VALUE"""),"Challenger")</f>
        <v>Challenger</v>
      </c>
      <c r="B48" s="55" t="str">
        <f>IFERROR(__xludf.DUMMYFUNCTION("""COMPUTED_VALUE"""),"RSC007370")</f>
        <v>RSC007370</v>
      </c>
      <c r="C48" s="60" t="str">
        <f>IFERROR(__xludf.DUMMYFUNCTION("""COMPUTED_VALUE"""),"Jarrod81535")</f>
        <v>Jarrod81535</v>
      </c>
      <c r="D48" s="54" t="str">
        <f>IFERROR(__xludf.DUMMYFUNCTION("""COMPUTED_VALUE"""),"Happy B-day Jess")</f>
        <v>Happy B-day Jess</v>
      </c>
      <c r="E48" s="55" t="str">
        <f>IFERROR(__xludf.DUMMYFUNCTION("""COMPUTED_VALUE"""),"Lunar")</f>
        <v>Lunar</v>
      </c>
      <c r="F48" s="56">
        <f>IFERROR(__xludf.DUMMYFUNCTION("""COMPUTED_VALUE"""),81.74498240728855)</f>
        <v>81.74498241</v>
      </c>
      <c r="G48" s="57">
        <f>IFERROR(__xludf.DUMMYFUNCTION("""COMPUTED_VALUE"""),54.0)</f>
        <v>54</v>
      </c>
      <c r="H48" s="58">
        <f>IFERROR(__xludf.DUMMYFUNCTION("iferror(if(B48="""", ,filter('IDR Import'!D:D,'IDR Import'!A:A=B48,'IDR Import'!C:C=A48)),)"),88.54498075690128)</f>
        <v>88.54498076</v>
      </c>
      <c r="I48" s="58">
        <v>85.14498158209491</v>
      </c>
      <c r="J48" s="59">
        <f t="shared" si="1"/>
        <v>54</v>
      </c>
    </row>
    <row r="49">
      <c r="A49" s="55" t="str">
        <f>IFERROR(__xludf.DUMMYFUNCTION("""COMPUTED_VALUE"""),"Challenger")</f>
        <v>Challenger</v>
      </c>
      <c r="B49" s="55" t="str">
        <f>IFERROR(__xludf.DUMMYFUNCTION("""COMPUTED_VALUE"""),"RSC006067")</f>
        <v>RSC006067</v>
      </c>
      <c r="C49" s="60" t="str">
        <f>IFERROR(__xludf.DUMMYFUNCTION("""COMPUTED_VALUE"""),"ShinxX403")</f>
        <v>ShinxX403</v>
      </c>
      <c r="D49" s="54" t="str">
        <f>IFERROR(__xludf.DUMMYFUNCTION("""COMPUTED_VALUE"""),"Panda Bears")</f>
        <v>Panda Bears</v>
      </c>
      <c r="E49" s="55" t="str">
        <f>IFERROR(__xludf.DUMMYFUNCTION("""COMPUTED_VALUE"""),"Solar")</f>
        <v>Solar</v>
      </c>
      <c r="F49" s="56">
        <f>IFERROR(__xludf.DUMMYFUNCTION("""COMPUTED_VALUE"""),80.29185194136352)</f>
        <v>80.29185194</v>
      </c>
      <c r="G49" s="57">
        <f>IFERROR(__xludf.DUMMYFUNCTION("""COMPUTED_VALUE"""),56.0)</f>
        <v>56</v>
      </c>
      <c r="H49" s="58">
        <f>IFERROR(__xludf.DUMMYFUNCTION("iferror(if(B49="""", ,filter('IDR Import'!D:D,'IDR Import'!A:A=B49,'IDR Import'!C:C=A49)),)"),92.23189699110125)</f>
        <v>92.23189699</v>
      </c>
      <c r="I49" s="58">
        <v>86.26187446623238</v>
      </c>
      <c r="J49" s="59">
        <f t="shared" si="1"/>
        <v>56</v>
      </c>
    </row>
    <row r="50">
      <c r="A50" s="55" t="str">
        <f>IFERROR(__xludf.DUMMYFUNCTION("""COMPUTED_VALUE"""),"Challenger")</f>
        <v>Challenger</v>
      </c>
      <c r="B50" s="55" t="str">
        <f>IFERROR(__xludf.DUMMYFUNCTION("""COMPUTED_VALUE"""),"RSC007153")</f>
        <v>RSC007153</v>
      </c>
      <c r="C50" s="60" t="str">
        <f>IFERROR(__xludf.DUMMYFUNCTION("""COMPUTED_VALUE"""),"Washyymann")</f>
        <v>Washyymann</v>
      </c>
      <c r="D50" s="54" t="str">
        <f>IFERROR(__xludf.DUMMYFUNCTION("""COMPUTED_VALUE"""),"Apple Associates")</f>
        <v>Apple Associates</v>
      </c>
      <c r="E50" s="55" t="str">
        <f>IFERROR(__xludf.DUMMYFUNCTION("""COMPUTED_VALUE"""),"Lunar")</f>
        <v>Lunar</v>
      </c>
      <c r="F50" s="56">
        <f>IFERROR(__xludf.DUMMYFUNCTION("""COMPUTED_VALUE"""),79.21995281086133)</f>
        <v>79.21995281</v>
      </c>
      <c r="G50" s="57">
        <f>IFERROR(__xludf.DUMMYFUNCTION("""COMPUTED_VALUE"""),23.0)</f>
        <v>23</v>
      </c>
      <c r="H50" s="58">
        <f>IFERROR(__xludf.DUMMYFUNCTION("iferror(if(B50="""", ,filter('IDR Import'!D:D,'IDR Import'!A:A=B50,'IDR Import'!C:C=A50)),)"),93.10883914764779)</f>
        <v>93.10883915</v>
      </c>
      <c r="I50" s="58">
        <v>86.16439597925455</v>
      </c>
      <c r="J50" s="59">
        <f t="shared" si="1"/>
        <v>23</v>
      </c>
    </row>
    <row r="51">
      <c r="A51" s="55" t="str">
        <f>IFERROR(__xludf.DUMMYFUNCTION("""COMPUTED_VALUE"""),"Challenger")</f>
        <v>Challenger</v>
      </c>
      <c r="B51" s="55" t="str">
        <f>IFERROR(__xludf.DUMMYFUNCTION("""COMPUTED_VALUE"""),"RSC006177")</f>
        <v>RSC006177</v>
      </c>
      <c r="C51" s="60" t="str">
        <f>IFERROR(__xludf.DUMMYFUNCTION("""COMPUTED_VALUE"""),"Flyerrr85")</f>
        <v>Flyerrr85</v>
      </c>
      <c r="D51" s="54" t="str">
        <f>IFERROR(__xludf.DUMMYFUNCTION("""COMPUTED_VALUE"""),"Corals
Warbirds")</f>
        <v>Corals
Warbirds</v>
      </c>
      <c r="E51" s="55" t="str">
        <f>IFERROR(__xludf.DUMMYFUNCTION("""COMPUTED_VALUE"""),"Lunar
Lunar")</f>
        <v>Lunar
Lunar</v>
      </c>
      <c r="F51" s="56">
        <f>IFERROR(__xludf.DUMMYFUNCTION("""COMPUTED_VALUE"""),78.36765099638839)</f>
        <v>78.367651</v>
      </c>
      <c r="G51" s="57">
        <f>IFERROR(__xludf.DUMMYFUNCTION("""COMPUTED_VALUE"""),56.0)</f>
        <v>56</v>
      </c>
      <c r="H51" s="58">
        <f>IFERROR(__xludf.DUMMYFUNCTION("iferror(if(B51="""", ,filter('IDR Import'!D:D,'IDR Import'!A:A=B51,'IDR Import'!C:C=A51)),)"),90.70248655901648)</f>
        <v>90.70248656</v>
      </c>
      <c r="I51" s="58">
        <v>84.53506877770243</v>
      </c>
      <c r="J51" s="59">
        <f t="shared" si="1"/>
        <v>56</v>
      </c>
    </row>
    <row r="52">
      <c r="A52" s="55" t="str">
        <f>IFERROR(__xludf.DUMMYFUNCTION("""COMPUTED_VALUE"""),"Challenger")</f>
        <v>Challenger</v>
      </c>
      <c r="B52" s="55" t="str">
        <f>IFERROR(__xludf.DUMMYFUNCTION("""COMPUTED_VALUE"""),"RSC006923")</f>
        <v>RSC006923</v>
      </c>
      <c r="C52" s="60" t="str">
        <f>IFERROR(__xludf.DUMMYFUNCTION("""COMPUTED_VALUE"""),"LostZealous")</f>
        <v>LostZealous</v>
      </c>
      <c r="D52" s="54" t="str">
        <f>IFERROR(__xludf.DUMMYFUNCTION("""COMPUTED_VALUE"""),"Zombies")</f>
        <v>Zombies</v>
      </c>
      <c r="E52" s="55" t="str">
        <f>IFERROR(__xludf.DUMMYFUNCTION("""COMPUTED_VALUE"""),"Lunar")</f>
        <v>Lunar</v>
      </c>
      <c r="F52" s="56">
        <f>IFERROR(__xludf.DUMMYFUNCTION("""COMPUTED_VALUE"""),77.79969488157144)</f>
        <v>77.79969488</v>
      </c>
      <c r="G52" s="57">
        <f>IFERROR(__xludf.DUMMYFUNCTION("""COMPUTED_VALUE"""),52.0)</f>
        <v>52</v>
      </c>
      <c r="H52" s="58">
        <f>IFERROR(__xludf.DUMMYFUNCTION("iferror(if(B52="""", ,filter('IDR Import'!D:D,'IDR Import'!A:A=B52,'IDR Import'!C:C=A52)),)"),71.3942844460365)</f>
        <v>71.39428445</v>
      </c>
      <c r="I52" s="58">
        <v>74.59698966380397</v>
      </c>
      <c r="J52" s="59">
        <f t="shared" si="1"/>
        <v>52</v>
      </c>
    </row>
    <row r="53">
      <c r="A53" s="55" t="str">
        <f>IFERROR(__xludf.DUMMYFUNCTION("""COMPUTED_VALUE"""),"Challenger")</f>
        <v>Challenger</v>
      </c>
      <c r="B53" s="55" t="str">
        <f>IFERROR(__xludf.DUMMYFUNCTION("""COMPUTED_VALUE"""),"RSC008078")</f>
        <v>RSC008078</v>
      </c>
      <c r="C53" s="60" t="str">
        <f>IFERROR(__xludf.DUMMYFUNCTION("""COMPUTED_VALUE"""),"ADV3RSE.")</f>
        <v>ADV3RSE.</v>
      </c>
      <c r="D53" s="54" t="str">
        <f>IFERROR(__xludf.DUMMYFUNCTION("""COMPUTED_VALUE"""),"Cooks")</f>
        <v>Cooks</v>
      </c>
      <c r="E53" s="55" t="str">
        <f>IFERROR(__xludf.DUMMYFUNCTION("""COMPUTED_VALUE"""),"Solar")</f>
        <v>Solar</v>
      </c>
      <c r="F53" s="56">
        <f>IFERROR(__xludf.DUMMYFUNCTION("""COMPUTED_VALUE"""),77.70065524177859)</f>
        <v>77.70065524</v>
      </c>
      <c r="G53" s="57">
        <f>IFERROR(__xludf.DUMMYFUNCTION("""COMPUTED_VALUE"""),54.0)</f>
        <v>54</v>
      </c>
      <c r="H53" s="58">
        <f>IFERROR(__xludf.DUMMYFUNCTION("iferror(if(B53="""", ,filter('IDR Import'!D:D,'IDR Import'!A:A=B53,'IDR Import'!C:C=A53)),)"),82.29311794363326)</f>
        <v>82.29311794</v>
      </c>
      <c r="I53" s="58">
        <v>79.99688659270592</v>
      </c>
      <c r="J53" s="59">
        <f t="shared" si="1"/>
        <v>54</v>
      </c>
    </row>
    <row r="54">
      <c r="A54" s="55" t="str">
        <f>IFERROR(__xludf.DUMMYFUNCTION("""COMPUTED_VALUE"""),"Challenger")</f>
        <v>Challenger</v>
      </c>
      <c r="B54" s="55" t="str">
        <f>IFERROR(__xludf.DUMMYFUNCTION("""COMPUTED_VALUE"""),"RSC007911")</f>
        <v>RSC007911</v>
      </c>
      <c r="C54" s="60" t="str">
        <f>IFERROR(__xludf.DUMMYFUNCTION("""COMPUTED_VALUE"""),"Redhood913011")</f>
        <v>Redhood913011</v>
      </c>
      <c r="D54" s="54" t="str">
        <f>IFERROR(__xludf.DUMMYFUNCTION("""COMPUTED_VALUE"""),"Gold Hoarders
Sirens")</f>
        <v>Gold Hoarders
Sirens</v>
      </c>
      <c r="E54" s="55" t="str">
        <f>IFERROR(__xludf.DUMMYFUNCTION("""COMPUTED_VALUE"""),"Lunar
Solar")</f>
        <v>Lunar
Solar</v>
      </c>
      <c r="F54" s="56">
        <f>IFERROR(__xludf.DUMMYFUNCTION("""COMPUTED_VALUE"""),77.44378719091824)</f>
        <v>77.44378719</v>
      </c>
      <c r="G54" s="57">
        <f>IFERROR(__xludf.DUMMYFUNCTION("""COMPUTED_VALUE"""),51.0)</f>
        <v>51</v>
      </c>
      <c r="H54" s="58">
        <f>IFERROR(__xludf.DUMMYFUNCTION("iferror(if(B54="""", ,filter('IDR Import'!D:D,'IDR Import'!A:A=B54,'IDR Import'!C:C=A54)),)"),68.18594118558426)</f>
        <v>68.18594119</v>
      </c>
      <c r="I54" s="58">
        <v>72.81486418825125</v>
      </c>
      <c r="J54" s="59">
        <f t="shared" si="1"/>
        <v>51</v>
      </c>
    </row>
    <row r="55">
      <c r="A55" s="55" t="str">
        <f>IFERROR(__xludf.DUMMYFUNCTION("""COMPUTED_VALUE"""),"Challenger")</f>
        <v>Challenger</v>
      </c>
      <c r="B55" s="55" t="str">
        <f>IFERROR(__xludf.DUMMYFUNCTION("""COMPUTED_VALUE"""),"RSC000014")</f>
        <v>RSC000014</v>
      </c>
      <c r="C55" s="60" t="str">
        <f>IFERROR(__xludf.DUMMYFUNCTION("""COMPUTED_VALUE"""),"Queue")</f>
        <v>Queue</v>
      </c>
      <c r="D55" s="54" t="str">
        <f>IFERROR(__xludf.DUMMYFUNCTION("""COMPUTED_VALUE"""),"Manticore")</f>
        <v>Manticore</v>
      </c>
      <c r="E55" s="55" t="str">
        <f>IFERROR(__xludf.DUMMYFUNCTION("""COMPUTED_VALUE"""),"Solar")</f>
        <v>Solar</v>
      </c>
      <c r="F55" s="56">
        <f>IFERROR(__xludf.DUMMYFUNCTION("""COMPUTED_VALUE"""),76.35887811433051)</f>
        <v>76.35887811</v>
      </c>
      <c r="G55" s="57">
        <f>IFERROR(__xludf.DUMMYFUNCTION("""COMPUTED_VALUE"""),56.0)</f>
        <v>56</v>
      </c>
      <c r="H55" s="58">
        <f>IFERROR(__xludf.DUMMYFUNCTION("iferror(if(B55="""", ,filter('IDR Import'!D:D,'IDR Import'!A:A=B55,'IDR Import'!C:C=A55)),)"),99.3637756685939)</f>
        <v>99.36377567</v>
      </c>
      <c r="I55" s="58">
        <v>87.8613268914622</v>
      </c>
      <c r="J55" s="59">
        <f t="shared" si="1"/>
        <v>56</v>
      </c>
    </row>
    <row r="56">
      <c r="A56" s="55" t="str">
        <f>IFERROR(__xludf.DUMMYFUNCTION("""COMPUTED_VALUE"""),"Challenger")</f>
        <v>Challenger</v>
      </c>
      <c r="B56" s="55" t="str">
        <f>IFERROR(__xludf.DUMMYFUNCTION("""COMPUTED_VALUE"""),"RSC008393")</f>
        <v>RSC008393</v>
      </c>
      <c r="C56" s="60" t="str">
        <f>IFERROR(__xludf.DUMMYFUNCTION("""COMPUTED_VALUE"""),"zerajule")</f>
        <v>zerajule</v>
      </c>
      <c r="D56" s="54" t="str">
        <f>IFERROR(__xludf.DUMMYFUNCTION("""COMPUTED_VALUE"""),"Olympic Knights")</f>
        <v>Olympic Knights</v>
      </c>
      <c r="E56" s="55" t="str">
        <f>IFERROR(__xludf.DUMMYFUNCTION("""COMPUTED_VALUE"""),"Solar")</f>
        <v>Solar</v>
      </c>
      <c r="F56" s="56">
        <f>IFERROR(__xludf.DUMMYFUNCTION("""COMPUTED_VALUE"""),75.79785460495914)</f>
        <v>75.7978546</v>
      </c>
      <c r="G56" s="57">
        <f>IFERROR(__xludf.DUMMYFUNCTION("""COMPUTED_VALUE"""),51.0)</f>
        <v>51</v>
      </c>
      <c r="H56" s="58">
        <f>IFERROR(__xludf.DUMMYFUNCTION("iferror(if(B56="""", ,filter('IDR Import'!D:D,'IDR Import'!A:A=B56,'IDR Import'!C:C=A56)),)"),83.09658587889813)</f>
        <v>83.09658588</v>
      </c>
      <c r="I56" s="58">
        <v>79.44722024192863</v>
      </c>
      <c r="J56" s="59">
        <f t="shared" si="1"/>
        <v>51</v>
      </c>
    </row>
    <row r="57">
      <c r="A57" s="55" t="str">
        <f>IFERROR(__xludf.DUMMYFUNCTION("""COMPUTED_VALUE"""),"Challenger")</f>
        <v>Challenger</v>
      </c>
      <c r="B57" s="55" t="str">
        <f>IFERROR(__xludf.DUMMYFUNCTION("""COMPUTED_VALUE"""),"RSC008415")</f>
        <v>RSC008415</v>
      </c>
      <c r="C57" s="60" t="str">
        <f>IFERROR(__xludf.DUMMYFUNCTION("""COMPUTED_VALUE"""),"StorchBurn")</f>
        <v>StorchBurn</v>
      </c>
      <c r="D57" s="54" t="str">
        <f>IFERROR(__xludf.DUMMYFUNCTION("""COMPUTED_VALUE"""),"Threshers")</f>
        <v>Threshers</v>
      </c>
      <c r="E57" s="55" t="str">
        <f>IFERROR(__xludf.DUMMYFUNCTION("""COMPUTED_VALUE"""),"Solar")</f>
        <v>Solar</v>
      </c>
      <c r="F57" s="56">
        <f>IFERROR(__xludf.DUMMYFUNCTION("""COMPUTED_VALUE"""),75.1123004508204)</f>
        <v>75.11230045</v>
      </c>
      <c r="G57" s="57">
        <f>IFERROR(__xludf.DUMMYFUNCTION("""COMPUTED_VALUE"""),56.0)</f>
        <v>56</v>
      </c>
      <c r="H57" s="58">
        <f>IFERROR(__xludf.DUMMYFUNCTION("iferror(if(B57="""", ,filter('IDR Import'!D:D,'IDR Import'!A:A=B57,'IDR Import'!C:C=A57)),)"),67.38582437982232)</f>
        <v>67.38582438</v>
      </c>
      <c r="I57" s="58">
        <v>71.24906241532136</v>
      </c>
      <c r="J57" s="59">
        <f t="shared" si="1"/>
        <v>56</v>
      </c>
    </row>
    <row r="58">
      <c r="A58" s="55" t="str">
        <f>IFERROR(__xludf.DUMMYFUNCTION("""COMPUTED_VALUE"""),"Challenger")</f>
        <v>Challenger</v>
      </c>
      <c r="B58" s="55" t="str">
        <f>IFERROR(__xludf.DUMMYFUNCTION("""COMPUTED_VALUE"""),"RSC005603")</f>
        <v>RSC005603</v>
      </c>
      <c r="C58" s="60" t="str">
        <f>IFERROR(__xludf.DUMMYFUNCTION("""COMPUTED_VALUE"""),"Meta.Rl-")</f>
        <v>Meta.Rl-</v>
      </c>
      <c r="D58" s="54" t="str">
        <f>IFERROR(__xludf.DUMMYFUNCTION("""COMPUTED_VALUE"""),"Insider Traders")</f>
        <v>Insider Traders</v>
      </c>
      <c r="E58" s="55" t="str">
        <f>IFERROR(__xludf.DUMMYFUNCTION("""COMPUTED_VALUE"""),"Lunar")</f>
        <v>Lunar</v>
      </c>
      <c r="F58" s="56">
        <f>IFERROR(__xludf.DUMMYFUNCTION("""COMPUTED_VALUE"""),74.9795526971508)</f>
        <v>74.9795527</v>
      </c>
      <c r="G58" s="57">
        <f>IFERROR(__xludf.DUMMYFUNCTION("""COMPUTED_VALUE"""),49.0)</f>
        <v>49</v>
      </c>
      <c r="H58" s="58">
        <f>IFERROR(__xludf.DUMMYFUNCTION("iferror(if(B58="""", ,filter('IDR Import'!D:D,'IDR Import'!A:A=B58,'IDR Import'!C:C=A58)),)"),75.63058155835999)</f>
        <v>75.63058156</v>
      </c>
      <c r="I58" s="58">
        <v>75.3050671277554</v>
      </c>
      <c r="J58" s="59">
        <f t="shared" si="1"/>
        <v>49</v>
      </c>
    </row>
    <row r="59">
      <c r="A59" s="55" t="str">
        <f>IFERROR(__xludf.DUMMYFUNCTION("""COMPUTED_VALUE"""),"Challenger")</f>
        <v>Challenger</v>
      </c>
      <c r="B59" s="55" t="str">
        <f>IFERROR(__xludf.DUMMYFUNCTION("""COMPUTED_VALUE"""),"RSC004618")</f>
        <v>RSC004618</v>
      </c>
      <c r="C59" s="60" t="str">
        <f>IFERROR(__xludf.DUMMYFUNCTION("""COMPUTED_VALUE"""),"Squirrel")</f>
        <v>Squirrel</v>
      </c>
      <c r="D59" s="54" t="str">
        <f>IFERROR(__xludf.DUMMYFUNCTION("""COMPUTED_VALUE"""),"Spearmint")</f>
        <v>Spearmint</v>
      </c>
      <c r="E59" s="55" t="str">
        <f>IFERROR(__xludf.DUMMYFUNCTION("""COMPUTED_VALUE"""),"Solar")</f>
        <v>Solar</v>
      </c>
      <c r="F59" s="56">
        <f>IFERROR(__xludf.DUMMYFUNCTION("""COMPUTED_VALUE"""),74.73891703429949)</f>
        <v>74.73891703</v>
      </c>
      <c r="G59" s="57">
        <f>IFERROR(__xludf.DUMMYFUNCTION("""COMPUTED_VALUE"""),38.0)</f>
        <v>38</v>
      </c>
      <c r="H59" s="58">
        <f>IFERROR(__xludf.DUMMYFUNCTION("iferror(if(B59="""", ,filter('IDR Import'!D:D,'IDR Import'!A:A=B59,'IDR Import'!C:C=A59)),)"),74.42172204519919)</f>
        <v>74.42172205</v>
      </c>
      <c r="I59" s="58">
        <v>74.58031953974934</v>
      </c>
      <c r="J59" s="59">
        <f t="shared" si="1"/>
        <v>38</v>
      </c>
    </row>
    <row r="60">
      <c r="A60" s="55" t="str">
        <f>IFERROR(__xludf.DUMMYFUNCTION("""COMPUTED_VALUE"""),"Challenger")</f>
        <v>Challenger</v>
      </c>
      <c r="B60" s="55" t="str">
        <f>IFERROR(__xludf.DUMMYFUNCTION("""COMPUTED_VALUE"""),"RSC007190")</f>
        <v>RSC007190</v>
      </c>
      <c r="C60" s="60" t="str">
        <f>IFERROR(__xludf.DUMMYFUNCTION("""COMPUTED_VALUE"""),"Cagiestsafe6")</f>
        <v>Cagiestsafe6</v>
      </c>
      <c r="D60" s="54" t="str">
        <f>IFERROR(__xludf.DUMMYFUNCTION("""COMPUTED_VALUE"""),"Thunder Pups")</f>
        <v>Thunder Pups</v>
      </c>
      <c r="E60" s="55" t="str">
        <f>IFERROR(__xludf.DUMMYFUNCTION("""COMPUTED_VALUE"""),"Solar")</f>
        <v>Solar</v>
      </c>
      <c r="F60" s="56">
        <f>IFERROR(__xludf.DUMMYFUNCTION("""COMPUTED_VALUE"""),74.28403222595922)</f>
        <v>74.28403223</v>
      </c>
      <c r="G60" s="57">
        <f>IFERROR(__xludf.DUMMYFUNCTION("""COMPUTED_VALUE"""),51.0)</f>
        <v>51</v>
      </c>
      <c r="H60" s="58">
        <f>IFERROR(__xludf.DUMMYFUNCTION("iferror(if(B60="""", ,filter('IDR Import'!D:D,'IDR Import'!A:A=B60,'IDR Import'!C:C=A60)),)"),78.35616460051017)</f>
        <v>78.3561646</v>
      </c>
      <c r="I60" s="58">
        <v>76.32009841323469</v>
      </c>
      <c r="J60" s="59">
        <f t="shared" si="1"/>
        <v>51</v>
      </c>
    </row>
    <row r="61">
      <c r="A61" s="55" t="str">
        <f>IFERROR(__xludf.DUMMYFUNCTION("""COMPUTED_VALUE"""),"Challenger")</f>
        <v>Challenger</v>
      </c>
      <c r="B61" s="55" t="str">
        <f>IFERROR(__xludf.DUMMYFUNCTION("""COMPUTED_VALUE"""),"RSC006240")</f>
        <v>RSC006240</v>
      </c>
      <c r="C61" s="60" t="str">
        <f>IFERROR(__xludf.DUMMYFUNCTION("""COMPUTED_VALUE"""),"Canadian Gamer")</f>
        <v>Canadian Gamer</v>
      </c>
      <c r="D61" s="54" t="str">
        <f>IFERROR(__xludf.DUMMYFUNCTION("""COMPUTED_VALUE"""),"Manticore")</f>
        <v>Manticore</v>
      </c>
      <c r="E61" s="55" t="str">
        <f>IFERROR(__xludf.DUMMYFUNCTION("""COMPUTED_VALUE"""),"Solar")</f>
        <v>Solar</v>
      </c>
      <c r="F61" s="56">
        <f>IFERROR(__xludf.DUMMYFUNCTION("""COMPUTED_VALUE"""),73.70759829650235)</f>
        <v>73.7075983</v>
      </c>
      <c r="G61" s="57">
        <f>IFERROR(__xludf.DUMMYFUNCTION("""COMPUTED_VALUE"""),52.0)</f>
        <v>52</v>
      </c>
      <c r="H61" s="58">
        <f>IFERROR(__xludf.DUMMYFUNCTION("iferror(if(B61="""", ,filter('IDR Import'!D:D,'IDR Import'!A:A=B61,'IDR Import'!C:C=A61)),)"),103.16323194465882)</f>
        <v>103.1632319</v>
      </c>
      <c r="I61" s="58">
        <v>88.43541512058059</v>
      </c>
      <c r="J61" s="59">
        <f t="shared" si="1"/>
        <v>52</v>
      </c>
    </row>
    <row r="62">
      <c r="A62" s="55" t="str">
        <f>IFERROR(__xludf.DUMMYFUNCTION("""COMPUTED_VALUE"""),"Challenger")</f>
        <v>Challenger</v>
      </c>
      <c r="B62" s="55" t="str">
        <f>IFERROR(__xludf.DUMMYFUNCTION("""COMPUTED_VALUE"""),"RSC006642")</f>
        <v>RSC006642</v>
      </c>
      <c r="C62" s="60" t="str">
        <f>IFERROR(__xludf.DUMMYFUNCTION("""COMPUTED_VALUE"""),"Zone Killa")</f>
        <v>Zone Killa</v>
      </c>
      <c r="D62" s="54" t="str">
        <f>IFERROR(__xludf.DUMMYFUNCTION("""COMPUTED_VALUE"""),"Apple Associates")</f>
        <v>Apple Associates</v>
      </c>
      <c r="E62" s="55" t="str">
        <f>IFERROR(__xludf.DUMMYFUNCTION("""COMPUTED_VALUE"""),"Lunar")</f>
        <v>Lunar</v>
      </c>
      <c r="F62" s="56">
        <f>IFERROR(__xludf.DUMMYFUNCTION("""COMPUTED_VALUE"""),72.18604082037102)</f>
        <v>72.18604082</v>
      </c>
      <c r="G62" s="57">
        <f>IFERROR(__xludf.DUMMYFUNCTION("""COMPUTED_VALUE"""),43.0)</f>
        <v>43</v>
      </c>
      <c r="H62" s="58">
        <f>IFERROR(__xludf.DUMMYFUNCTION("iferror(if(B62="""", ,filter('IDR Import'!D:D,'IDR Import'!A:A=B62,'IDR Import'!C:C=A62)),)"),66.8266253842831)</f>
        <v>66.82662538</v>
      </c>
      <c r="I62" s="58">
        <v>69.50633310232706</v>
      </c>
      <c r="J62" s="59">
        <f t="shared" si="1"/>
        <v>43</v>
      </c>
    </row>
    <row r="63">
      <c r="A63" s="55" t="str">
        <f>IFERROR(__xludf.DUMMYFUNCTION("""COMPUTED_VALUE"""),"Challenger")</f>
        <v>Challenger</v>
      </c>
      <c r="B63" s="55" t="str">
        <f>IFERROR(__xludf.DUMMYFUNCTION("""COMPUTED_VALUE"""),"RSC005570")</f>
        <v>RSC005570</v>
      </c>
      <c r="C63" s="60" t="str">
        <f>IFERROR(__xludf.DUMMYFUNCTION("""COMPUTED_VALUE"""),"Lupo")</f>
        <v>Lupo</v>
      </c>
      <c r="D63" s="54" t="str">
        <f>IFERROR(__xludf.DUMMYFUNCTION("""COMPUTED_VALUE"""),"Cooks")</f>
        <v>Cooks</v>
      </c>
      <c r="E63" s="55" t="str">
        <f>IFERROR(__xludf.DUMMYFUNCTION("""COMPUTED_VALUE"""),"Solar")</f>
        <v>Solar</v>
      </c>
      <c r="F63" s="56">
        <f>IFERROR(__xludf.DUMMYFUNCTION("""COMPUTED_VALUE"""),71.94851499555823)</f>
        <v>71.948515</v>
      </c>
      <c r="G63" s="57">
        <f>IFERROR(__xludf.DUMMYFUNCTION("""COMPUTED_VALUE"""),2.0)</f>
        <v>2</v>
      </c>
      <c r="H63" s="58">
        <f>IFERROR(__xludf.DUMMYFUNCTION("iferror(if(B63="""", ,filter('IDR Import'!D:D,'IDR Import'!A:A=B63,'IDR Import'!C:C=A63)),)"),99.17743400179151)</f>
        <v>99.177434</v>
      </c>
      <c r="I63" s="58">
        <v>85.56297449867486</v>
      </c>
      <c r="J63" s="59">
        <f t="shared" si="1"/>
        <v>2</v>
      </c>
    </row>
    <row r="64">
      <c r="A64" s="55" t="str">
        <f>IFERROR(__xludf.DUMMYFUNCTION("""COMPUTED_VALUE"""),"Challenger")</f>
        <v>Challenger</v>
      </c>
      <c r="B64" s="55" t="str">
        <f>IFERROR(__xludf.DUMMYFUNCTION("""COMPUTED_VALUE"""),"RSC008556")</f>
        <v>RSC008556</v>
      </c>
      <c r="C64" s="60" t="str">
        <f>IFERROR(__xludf.DUMMYFUNCTION("""COMPUTED_VALUE"""),"jizko")</f>
        <v>jizko</v>
      </c>
      <c r="D64" s="54" t="str">
        <f>IFERROR(__xludf.DUMMYFUNCTION("""COMPUTED_VALUE"""),"Scribes")</f>
        <v>Scribes</v>
      </c>
      <c r="E64" s="55" t="str">
        <f>IFERROR(__xludf.DUMMYFUNCTION("""COMPUTED_VALUE"""),"Lunar")</f>
        <v>Lunar</v>
      </c>
      <c r="F64" s="56">
        <f>IFERROR(__xludf.DUMMYFUNCTION("""COMPUTED_VALUE"""),71.03229317555906)</f>
        <v>71.03229318</v>
      </c>
      <c r="G64" s="57">
        <f>IFERROR(__xludf.DUMMYFUNCTION("""COMPUTED_VALUE"""),14.0)</f>
        <v>14</v>
      </c>
      <c r="H64" s="58">
        <f>IFERROR(__xludf.DUMMYFUNCTION("iferror(if(B64="""", ,filter('IDR Import'!D:D,'IDR Import'!A:A=B64,'IDR Import'!C:C=A64)),)"),53.886765811691575)</f>
        <v>53.88676581</v>
      </c>
      <c r="I64" s="58">
        <v>62.45952949362532</v>
      </c>
      <c r="J64" s="59">
        <f t="shared" si="1"/>
        <v>14</v>
      </c>
    </row>
    <row r="65">
      <c r="A65" s="55" t="str">
        <f>IFERROR(__xludf.DUMMYFUNCTION("""COMPUTED_VALUE"""),"Challenger")</f>
        <v>Challenger</v>
      </c>
      <c r="B65" s="55" t="str">
        <f>IFERROR(__xludf.DUMMYFUNCTION("""COMPUTED_VALUE"""),"RSC000922")</f>
        <v>RSC000922</v>
      </c>
      <c r="C65" s="60" t="str">
        <f>IFERROR(__xludf.DUMMYFUNCTION("""COMPUTED_VALUE"""),"D_e_r_k")</f>
        <v>D_e_r_k</v>
      </c>
      <c r="D65" s="54" t="str">
        <f>IFERROR(__xludf.DUMMYFUNCTION("""COMPUTED_VALUE"""),"Shade")</f>
        <v>Shade</v>
      </c>
      <c r="E65" s="55" t="str">
        <f>IFERROR(__xludf.DUMMYFUNCTION("""COMPUTED_VALUE"""),"Lunar")</f>
        <v>Lunar</v>
      </c>
      <c r="F65" s="56">
        <f>IFERROR(__xludf.DUMMYFUNCTION("""COMPUTED_VALUE"""),70.40614967116852)</f>
        <v>70.40614967</v>
      </c>
      <c r="G65" s="57">
        <f>IFERROR(__xludf.DUMMYFUNCTION("""COMPUTED_VALUE"""),53.0)</f>
        <v>53</v>
      </c>
      <c r="H65" s="58">
        <f>IFERROR(__xludf.DUMMYFUNCTION("iferror(if(B65="""", ,filter('IDR Import'!D:D,'IDR Import'!A:A=B65,'IDR Import'!C:C=A65)),)"),64.90913868954459)</f>
        <v>64.90913869</v>
      </c>
      <c r="I65" s="58">
        <v>67.65764418035656</v>
      </c>
      <c r="J65" s="59">
        <f t="shared" si="1"/>
        <v>53</v>
      </c>
    </row>
    <row r="66">
      <c r="A66" s="55" t="str">
        <f>IFERROR(__xludf.DUMMYFUNCTION("""COMPUTED_VALUE"""),"Challenger")</f>
        <v>Challenger</v>
      </c>
      <c r="B66" s="55" t="str">
        <f>IFERROR(__xludf.DUMMYFUNCTION("""COMPUTED_VALUE"""),"RSC003331")</f>
        <v>RSC003331</v>
      </c>
      <c r="C66" s="60" t="str">
        <f>IFERROR(__xludf.DUMMYFUNCTION("""COMPUTED_VALUE"""),"Frostii")</f>
        <v>Frostii</v>
      </c>
      <c r="D66" s="54" t="str">
        <f>IFERROR(__xludf.DUMMYFUNCTION("""COMPUTED_VALUE"""),"Chromatic Chaos")</f>
        <v>Chromatic Chaos</v>
      </c>
      <c r="E66" s="55" t="str">
        <f>IFERROR(__xludf.DUMMYFUNCTION("""COMPUTED_VALUE"""),"Solar")</f>
        <v>Solar</v>
      </c>
      <c r="F66" s="56">
        <f>IFERROR(__xludf.DUMMYFUNCTION("""COMPUTED_VALUE"""),69.86929546364675)</f>
        <v>69.86929546</v>
      </c>
      <c r="G66" s="57">
        <f>IFERROR(__xludf.DUMMYFUNCTION("""COMPUTED_VALUE"""),52.0)</f>
        <v>52</v>
      </c>
      <c r="H66" s="58">
        <f>IFERROR(__xludf.DUMMYFUNCTION("iferror(if(B66="""", ,filter('IDR Import'!D:D,'IDR Import'!A:A=B66,'IDR Import'!C:C=A66)),)"),64.66857904700012)</f>
        <v>64.66857905</v>
      </c>
      <c r="I66" s="58">
        <v>67.26893725532344</v>
      </c>
      <c r="J66" s="59">
        <f t="shared" si="1"/>
        <v>52</v>
      </c>
    </row>
    <row r="67">
      <c r="A67" s="55" t="str">
        <f>IFERROR(__xludf.DUMMYFUNCTION("""COMPUTED_VALUE"""),"Challenger")</f>
        <v>Challenger</v>
      </c>
      <c r="B67" s="55" t="str">
        <f>IFERROR(__xludf.DUMMYFUNCTION("""COMPUTED_VALUE"""),"RSC008251")</f>
        <v>RSC008251</v>
      </c>
      <c r="C67" s="60" t="str">
        <f>IFERROR(__xludf.DUMMYFUNCTION("""COMPUTED_VALUE"""),"Honey x Badger3")</f>
        <v>Honey x Badger3</v>
      </c>
      <c r="D67" s="54" t="str">
        <f>IFERROR(__xludf.DUMMYFUNCTION("""COMPUTED_VALUE"""),"Happy B-day Jess
Corals")</f>
        <v>Happy B-day Jess
Corals</v>
      </c>
      <c r="E67" s="55" t="str">
        <f>IFERROR(__xludf.DUMMYFUNCTION("""COMPUTED_VALUE"""),"Lunar
Lunar")</f>
        <v>Lunar
Lunar</v>
      </c>
      <c r="F67" s="56">
        <f>IFERROR(__xludf.DUMMYFUNCTION("""COMPUTED_VALUE"""),69.69736582525388)</f>
        <v>69.69736583</v>
      </c>
      <c r="G67" s="57">
        <f>IFERROR(__xludf.DUMMYFUNCTION("""COMPUTED_VALUE"""),40.0)</f>
        <v>40</v>
      </c>
      <c r="H67" s="58">
        <f>IFERROR(__xludf.DUMMYFUNCTION("iferror(if(B67="""", ,filter('IDR Import'!D:D,'IDR Import'!A:A=B67,'IDR Import'!C:C=A67)),)"),75.94619083331041)</f>
        <v>75.94619083</v>
      </c>
      <c r="I67" s="58">
        <v>72.82177832928215</v>
      </c>
      <c r="J67" s="59">
        <f t="shared" si="1"/>
        <v>40</v>
      </c>
    </row>
    <row r="68">
      <c r="A68" s="55" t="str">
        <f>IFERROR(__xludf.DUMMYFUNCTION("""COMPUTED_VALUE"""),"Challenger")</f>
        <v>Challenger</v>
      </c>
      <c r="B68" s="55" t="str">
        <f>IFERROR(__xludf.DUMMYFUNCTION("""COMPUTED_VALUE"""),"RSC003897")</f>
        <v>RSC003897</v>
      </c>
      <c r="C68" s="60" t="str">
        <f>IFERROR(__xludf.DUMMYFUNCTION("""COMPUTED_VALUE"""),"HalfieHour")</f>
        <v>HalfieHour</v>
      </c>
      <c r="D68" s="54" t="str">
        <f>IFERROR(__xludf.DUMMYFUNCTION("""COMPUTED_VALUE"""),"Jinyiwei
Insider Traders")</f>
        <v>Jinyiwei
Insider Traders</v>
      </c>
      <c r="E68" s="55" t="str">
        <f>IFERROR(__xludf.DUMMYFUNCTION("""COMPUTED_VALUE"""),"Lunar
Lunar")</f>
        <v>Lunar
Lunar</v>
      </c>
      <c r="F68" s="56">
        <f>IFERROR(__xludf.DUMMYFUNCTION("""COMPUTED_VALUE"""),68.28146996903791)</f>
        <v>68.28146997</v>
      </c>
      <c r="G68" s="57">
        <f>IFERROR(__xludf.DUMMYFUNCTION("""COMPUTED_VALUE"""),48.0)</f>
        <v>48</v>
      </c>
      <c r="H68" s="58">
        <f>IFERROR(__xludf.DUMMYFUNCTION("iferror(if(B68="""", ,filter('IDR Import'!D:D,'IDR Import'!A:A=B68,'IDR Import'!C:C=A68)),)"),64.42110741878615)</f>
        <v>64.42110742</v>
      </c>
      <c r="I68" s="58">
        <v>66.35128869391204</v>
      </c>
      <c r="J68" s="59">
        <f t="shared" si="1"/>
        <v>48</v>
      </c>
    </row>
    <row r="69">
      <c r="A69" s="55" t="str">
        <f>IFERROR(__xludf.DUMMYFUNCTION("""COMPUTED_VALUE"""),"Challenger")</f>
        <v>Challenger</v>
      </c>
      <c r="B69" s="55" t="str">
        <f>IFERROR(__xludf.DUMMYFUNCTION("""COMPUTED_VALUE"""),"RSC008466")</f>
        <v>RSC008466</v>
      </c>
      <c r="C69" s="60" t="str">
        <f>IFERROR(__xludf.DUMMYFUNCTION("""COMPUTED_VALUE"""),"Cwuzzy")</f>
        <v>Cwuzzy</v>
      </c>
      <c r="D69" s="54" t="str">
        <f>IFERROR(__xludf.DUMMYFUNCTION("""COMPUTED_VALUE"""),"Warbirds")</f>
        <v>Warbirds</v>
      </c>
      <c r="E69" s="55" t="str">
        <f>IFERROR(__xludf.DUMMYFUNCTION("""COMPUTED_VALUE"""),"Lunar")</f>
        <v>Lunar</v>
      </c>
      <c r="F69" s="56">
        <f>IFERROR(__xludf.DUMMYFUNCTION("""COMPUTED_VALUE"""),66.8132506883471)</f>
        <v>66.81325069</v>
      </c>
      <c r="G69" s="57">
        <f>IFERROR(__xludf.DUMMYFUNCTION("""COMPUTED_VALUE"""),8.0)</f>
        <v>8</v>
      </c>
      <c r="H69" s="58">
        <f>IFERROR(__xludf.DUMMYFUNCTION("iferror(if(B69="""", ,filter('IDR Import'!D:D,'IDR Import'!A:A=B69,'IDR Import'!C:C=A69)),)"),68.5131881293581)</f>
        <v>68.51318813</v>
      </c>
      <c r="I69" s="58">
        <v>67.6632194088526</v>
      </c>
      <c r="J69" s="59">
        <f t="shared" si="1"/>
        <v>8</v>
      </c>
    </row>
    <row r="70">
      <c r="A70" s="55" t="str">
        <f>IFERROR(__xludf.DUMMYFUNCTION("""COMPUTED_VALUE"""),"Challenger")</f>
        <v>Challenger</v>
      </c>
      <c r="B70" s="55" t="str">
        <f>IFERROR(__xludf.DUMMYFUNCTION("""COMPUTED_VALUE"""),"RSC002040")</f>
        <v>RSC002040</v>
      </c>
      <c r="C70" s="60" t="str">
        <f>IFERROR(__xludf.DUMMYFUNCTION("""COMPUTED_VALUE"""),"Scomps")</f>
        <v>Scomps</v>
      </c>
      <c r="D70" s="54" t="str">
        <f>IFERROR(__xludf.DUMMYFUNCTION("""COMPUTED_VALUE"""),"Warbirds
Decuriones")</f>
        <v>Warbirds
Decuriones</v>
      </c>
      <c r="E70" s="55" t="str">
        <f>IFERROR(__xludf.DUMMYFUNCTION("""COMPUTED_VALUE"""),"Lunar
Solar")</f>
        <v>Lunar
Solar</v>
      </c>
      <c r="F70" s="56">
        <f>IFERROR(__xludf.DUMMYFUNCTION("""COMPUTED_VALUE"""),65.69472706726299)</f>
        <v>65.69472707</v>
      </c>
      <c r="G70" s="57">
        <f>IFERROR(__xludf.DUMMYFUNCTION("""COMPUTED_VALUE"""),36.0)</f>
        <v>36</v>
      </c>
      <c r="H70" s="58">
        <f>IFERROR(__xludf.DUMMYFUNCTION("iferror(if(B70="""", ,filter('IDR Import'!D:D,'IDR Import'!A:A=B70,'IDR Import'!C:C=A70)),)"),65.26307773193)</f>
        <v>65.26307773</v>
      </c>
      <c r="I70" s="58">
        <v>65.47890239959649</v>
      </c>
      <c r="J70" s="59">
        <f t="shared" si="1"/>
        <v>36</v>
      </c>
    </row>
    <row r="71">
      <c r="A71" s="55" t="str">
        <f>IFERROR(__xludf.DUMMYFUNCTION("""COMPUTED_VALUE"""),"Challenger")</f>
        <v>Challenger</v>
      </c>
      <c r="B71" s="55" t="str">
        <f>IFERROR(__xludf.DUMMYFUNCTION("""COMPUTED_VALUE"""),"RSC002877")</f>
        <v>RSC002877</v>
      </c>
      <c r="C71" s="60" t="str">
        <f>IFERROR(__xludf.DUMMYFUNCTION("""COMPUTED_VALUE"""),"robophant")</f>
        <v>robophant</v>
      </c>
      <c r="D71" s="54" t="str">
        <f>IFERROR(__xludf.DUMMYFUNCTION("""COMPUTED_VALUE"""),"Decuriones")</f>
        <v>Decuriones</v>
      </c>
      <c r="E71" s="55" t="str">
        <f>IFERROR(__xludf.DUMMYFUNCTION("""COMPUTED_VALUE"""),"Solar")</f>
        <v>Solar</v>
      </c>
      <c r="F71" s="56">
        <f>IFERROR(__xludf.DUMMYFUNCTION("""COMPUTED_VALUE"""),64.56905905881939)</f>
        <v>64.56905906</v>
      </c>
      <c r="G71" s="57">
        <f>IFERROR(__xludf.DUMMYFUNCTION("""COMPUTED_VALUE"""),17.0)</f>
        <v>17</v>
      </c>
      <c r="H71" s="58">
        <f>IFERROR(__xludf.DUMMYFUNCTION("iferror(if(B71="""", ,filter('IDR Import'!D:D,'IDR Import'!A:A=B71,'IDR Import'!C:C=A71)),)"),59.14085087726892)</f>
        <v>59.14085088</v>
      </c>
      <c r="I71" s="58">
        <v>61.854954968044154</v>
      </c>
      <c r="J71" s="59">
        <f t="shared" si="1"/>
        <v>17</v>
      </c>
    </row>
    <row r="72">
      <c r="A72" s="55" t="str">
        <f>IFERROR(__xludf.DUMMYFUNCTION("""COMPUTED_VALUE"""),"Challenger")</f>
        <v>Challenger</v>
      </c>
      <c r="B72" s="55" t="str">
        <f>IFERROR(__xludf.DUMMYFUNCTION("""COMPUTED_VALUE"""),"RSC000967")</f>
        <v>RSC000967</v>
      </c>
      <c r="C72" s="60" t="str">
        <f>IFERROR(__xludf.DUMMYFUNCTION("""COMPUTED_VALUE"""),"birds aren't real")</f>
        <v>birds aren't real</v>
      </c>
      <c r="D72" s="54" t="str">
        <f>IFERROR(__xludf.DUMMYFUNCTION("""COMPUTED_VALUE"""),"Warthogs")</f>
        <v>Warthogs</v>
      </c>
      <c r="E72" s="55" t="str">
        <f>IFERROR(__xludf.DUMMYFUNCTION("""COMPUTED_VALUE"""),"Lunar")</f>
        <v>Lunar</v>
      </c>
      <c r="F72" s="56">
        <f>IFERROR(__xludf.DUMMYFUNCTION("""COMPUTED_VALUE"""),61.894204014989555)</f>
        <v>61.89420401</v>
      </c>
      <c r="G72" s="57">
        <f>IFERROR(__xludf.DUMMYFUNCTION("""COMPUTED_VALUE"""),24.0)</f>
        <v>24</v>
      </c>
      <c r="H72" s="58">
        <f>IFERROR(__xludf.DUMMYFUNCTION("iferror(if(B72="""", ,filter('IDR Import'!D:D,'IDR Import'!A:A=B72,'IDR Import'!C:C=A72)),)"),68.21061634226848)</f>
        <v>68.21061634</v>
      </c>
      <c r="I72" s="58">
        <v>65.05241017862902</v>
      </c>
      <c r="J72" s="59">
        <f t="shared" si="1"/>
        <v>24</v>
      </c>
    </row>
    <row r="73">
      <c r="A73" s="55" t="str">
        <f>IFERROR(__xludf.DUMMYFUNCTION("""COMPUTED_VALUE"""),"Challenger")</f>
        <v>Challenger</v>
      </c>
      <c r="B73" s="55" t="str">
        <f>IFERROR(__xludf.DUMMYFUNCTION("""COMPUTED_VALUE"""),"RSC000233")</f>
        <v>RSC000233</v>
      </c>
      <c r="C73" s="60" t="str">
        <f>IFERROR(__xludf.DUMMYFUNCTION("""COMPUTED_VALUE"""),"LilPrsnWithAnger")</f>
        <v>LilPrsnWithAnger</v>
      </c>
      <c r="D73" s="54" t="str">
        <f>IFERROR(__xludf.DUMMYFUNCTION("""COMPUTED_VALUE"""),"Corals")</f>
        <v>Corals</v>
      </c>
      <c r="E73" s="55" t="str">
        <f>IFERROR(__xludf.DUMMYFUNCTION("""COMPUTED_VALUE"""),"Lunar")</f>
        <v>Lunar</v>
      </c>
      <c r="F73" s="56">
        <f>IFERROR(__xludf.DUMMYFUNCTION("""COMPUTED_VALUE"""),61.840317208197796)</f>
        <v>61.84031721</v>
      </c>
      <c r="G73" s="57">
        <f>IFERROR(__xludf.DUMMYFUNCTION("""COMPUTED_VALUE"""),20.0)</f>
        <v>20</v>
      </c>
      <c r="H73" s="58">
        <f>IFERROR(__xludf.DUMMYFUNCTION("iferror(if(B73="""", ,filter('IDR Import'!D:D,'IDR Import'!A:A=B73,'IDR Import'!C:C=A73)),)"),75.05653990117439)</f>
        <v>75.0565399</v>
      </c>
      <c r="I73" s="58">
        <v>68.44842855468609</v>
      </c>
      <c r="J73" s="59">
        <f t="shared" si="1"/>
        <v>20</v>
      </c>
    </row>
    <row r="74">
      <c r="A74" s="55" t="str">
        <f>IFERROR(__xludf.DUMMYFUNCTION("""COMPUTED_VALUE"""),"Challenger")</f>
        <v>Challenger</v>
      </c>
      <c r="B74" s="55" t="str">
        <f>IFERROR(__xludf.DUMMYFUNCTION("""COMPUTED_VALUE"""),"RSC006769")</f>
        <v>RSC006769</v>
      </c>
      <c r="C74" s="60" t="str">
        <f>IFERROR(__xludf.DUMMYFUNCTION("""COMPUTED_VALUE"""),"baltostorm")</f>
        <v>baltostorm</v>
      </c>
      <c r="D74" s="54" t="str">
        <f>IFERROR(__xludf.DUMMYFUNCTION("""COMPUTED_VALUE"""),"Zombies")</f>
        <v>Zombies</v>
      </c>
      <c r="E74" s="55" t="str">
        <f>IFERROR(__xludf.DUMMYFUNCTION("""COMPUTED_VALUE"""),"Lunar")</f>
        <v>Lunar</v>
      </c>
      <c r="F74" s="56">
        <f>IFERROR(__xludf.DUMMYFUNCTION("""COMPUTED_VALUE"""),61.42739372663508)</f>
        <v>61.42739373</v>
      </c>
      <c r="G74" s="57">
        <f>IFERROR(__xludf.DUMMYFUNCTION("""COMPUTED_VALUE"""),32.0)</f>
        <v>32</v>
      </c>
      <c r="H74" s="58">
        <f>IFERROR(__xludf.DUMMYFUNCTION("iferror(if(B74="""", ,filter('IDR Import'!D:D,'IDR Import'!A:A=B74,'IDR Import'!C:C=A74)),)"),60.308098391887064)</f>
        <v>60.30809839</v>
      </c>
      <c r="I74" s="58">
        <v>60.86774605926107</v>
      </c>
      <c r="J74" s="59">
        <f t="shared" si="1"/>
        <v>32</v>
      </c>
    </row>
    <row r="75">
      <c r="A75" s="55" t="str">
        <f>IFERROR(__xludf.DUMMYFUNCTION("""COMPUTED_VALUE"""),"Challenger")</f>
        <v>Challenger</v>
      </c>
      <c r="B75" s="55" t="str">
        <f>IFERROR(__xludf.DUMMYFUNCTION("""COMPUTED_VALUE"""),"RSC006416")</f>
        <v>RSC006416</v>
      </c>
      <c r="C75" s="60" t="str">
        <f>IFERROR(__xludf.DUMMYFUNCTION("""COMPUTED_VALUE"""),"StaRazor")</f>
        <v>StaRazor</v>
      </c>
      <c r="D75" s="54" t="str">
        <f>IFERROR(__xludf.DUMMYFUNCTION("""COMPUTED_VALUE"""),"Thunder Pups
Warthogs")</f>
        <v>Thunder Pups
Warthogs</v>
      </c>
      <c r="E75" s="55" t="str">
        <f>IFERROR(__xludf.DUMMYFUNCTION("""COMPUTED_VALUE"""),"Solar
Lunar")</f>
        <v>Solar
Lunar</v>
      </c>
      <c r="F75" s="56">
        <f>IFERROR(__xludf.DUMMYFUNCTION("""COMPUTED_VALUE"""),61.26450736500315)</f>
        <v>61.26450737</v>
      </c>
      <c r="G75" s="57">
        <f>IFERROR(__xludf.DUMMYFUNCTION("""COMPUTED_VALUE"""),32.0)</f>
        <v>32</v>
      </c>
      <c r="H75" s="58">
        <f>IFERROR(__xludf.DUMMYFUNCTION("iferror(if(B75="""", ,filter('IDR Import'!D:D,'IDR Import'!A:A=B75,'IDR Import'!C:C=A75)),)"),69.15093525953216)</f>
        <v>69.15093526</v>
      </c>
      <c r="I75" s="58">
        <v>65.20772131226765</v>
      </c>
      <c r="J75" s="59">
        <f t="shared" si="1"/>
        <v>32</v>
      </c>
    </row>
    <row r="76">
      <c r="A76" s="55" t="str">
        <f>IFERROR(__xludf.DUMMYFUNCTION("""COMPUTED_VALUE"""),"Challenger")</f>
        <v>Challenger</v>
      </c>
      <c r="B76" s="55" t="str">
        <f>IFERROR(__xludf.DUMMYFUNCTION("""COMPUTED_VALUE"""),"RSC000499")</f>
        <v>RSC000499</v>
      </c>
      <c r="C76" s="60" t="str">
        <f>IFERROR(__xludf.DUMMYFUNCTION("""COMPUTED_VALUE"""),"johkev")</f>
        <v>johkev</v>
      </c>
      <c r="D76" s="54" t="str">
        <f>IFERROR(__xludf.DUMMYFUNCTION("""COMPUTED_VALUE"""),"Decuriones")</f>
        <v>Decuriones</v>
      </c>
      <c r="E76" s="55" t="str">
        <f>IFERROR(__xludf.DUMMYFUNCTION("""COMPUTED_VALUE"""),"Solar")</f>
        <v>Solar</v>
      </c>
      <c r="F76" s="56">
        <f>IFERROR(__xludf.DUMMYFUNCTION("""COMPUTED_VALUE"""),61.08690110037133)</f>
        <v>61.0869011</v>
      </c>
      <c r="G76" s="57">
        <f>IFERROR(__xludf.DUMMYFUNCTION("""COMPUTED_VALUE"""),43.0)</f>
        <v>43</v>
      </c>
      <c r="H76" s="58">
        <f>IFERROR(__xludf.DUMMYFUNCTION("iferror(if(B76="""", ,filter('IDR Import'!D:D,'IDR Import'!A:A=B76,'IDR Import'!C:C=A76)),)"),59.99673161788962)</f>
        <v>59.99673162</v>
      </c>
      <c r="I76" s="58">
        <v>60.54181635913048</v>
      </c>
      <c r="J76" s="59">
        <f t="shared" si="1"/>
        <v>43</v>
      </c>
    </row>
    <row r="77">
      <c r="A77" s="55" t="str">
        <f>IFERROR(__xludf.DUMMYFUNCTION("""COMPUTED_VALUE"""),"Challenger")</f>
        <v>Challenger</v>
      </c>
      <c r="B77" s="55" t="str">
        <f>IFERROR(__xludf.DUMMYFUNCTION("""COMPUTED_VALUE"""),"RSC007865")</f>
        <v>RSC007865</v>
      </c>
      <c r="C77" s="60" t="str">
        <f>IFERROR(__xludf.DUMMYFUNCTION("""COMPUTED_VALUE"""),"StoveMessiah")</f>
        <v>StoveMessiah</v>
      </c>
      <c r="D77" s="54" t="str">
        <f>IFERROR(__xludf.DUMMYFUNCTION("""COMPUTED_VALUE"""),"Stingrays")</f>
        <v>Stingrays</v>
      </c>
      <c r="E77" s="55" t="str">
        <f>IFERROR(__xludf.DUMMYFUNCTION("""COMPUTED_VALUE"""),"Lunar")</f>
        <v>Lunar</v>
      </c>
      <c r="F77" s="56">
        <f>IFERROR(__xludf.DUMMYFUNCTION("""COMPUTED_VALUE"""),60.77497387125234)</f>
        <v>60.77497387</v>
      </c>
      <c r="G77" s="57">
        <f>IFERROR(__xludf.DUMMYFUNCTION("""COMPUTED_VALUE"""),54.0)</f>
        <v>54</v>
      </c>
      <c r="H77" s="58">
        <f>IFERROR(__xludf.DUMMYFUNCTION("iferror(if(B77="""", ,filter('IDR Import'!D:D,'IDR Import'!A:A=B77,'IDR Import'!C:C=A77)),)"),75.31937367127131)</f>
        <v>75.31937367</v>
      </c>
      <c r="I77" s="58">
        <v>68.04717377126182</v>
      </c>
      <c r="J77" s="59">
        <f t="shared" si="1"/>
        <v>54</v>
      </c>
    </row>
    <row r="78">
      <c r="A78" s="55" t="str">
        <f>IFERROR(__xludf.DUMMYFUNCTION("""COMPUTED_VALUE"""),"Challenger")</f>
        <v>Challenger</v>
      </c>
      <c r="B78" s="55" t="str">
        <f>IFERROR(__xludf.DUMMYFUNCTION("""COMPUTED_VALUE"""),"RSC003694")</f>
        <v>RSC003694</v>
      </c>
      <c r="C78" s="60" t="str">
        <f>IFERROR(__xludf.DUMMYFUNCTION("""COMPUTED_VALUE"""),"TheCroctopus")</f>
        <v>TheCroctopus</v>
      </c>
      <c r="D78" s="54" t="str">
        <f>IFERROR(__xludf.DUMMYFUNCTION("""COMPUTED_VALUE"""),"Jinyiwei")</f>
        <v>Jinyiwei</v>
      </c>
      <c r="E78" s="55" t="str">
        <f>IFERROR(__xludf.DUMMYFUNCTION("""COMPUTED_VALUE"""),"Lunar")</f>
        <v>Lunar</v>
      </c>
      <c r="F78" s="56">
        <f>IFERROR(__xludf.DUMMYFUNCTION("""COMPUTED_VALUE"""),60.600675956112234)</f>
        <v>60.60067596</v>
      </c>
      <c r="G78" s="57">
        <f>IFERROR(__xludf.DUMMYFUNCTION("""COMPUTED_VALUE"""),34.0)</f>
        <v>34</v>
      </c>
      <c r="H78" s="58">
        <f>IFERROR(__xludf.DUMMYFUNCTION("iferror(if(B78="""", ,filter('IDR Import'!D:D,'IDR Import'!A:A=B78,'IDR Import'!C:C=A78)),)"),57.78739260297843)</f>
        <v>57.7873926</v>
      </c>
      <c r="I78" s="58">
        <v>59.194034279545335</v>
      </c>
      <c r="J78" s="59">
        <f t="shared" si="1"/>
        <v>34</v>
      </c>
    </row>
    <row r="79">
      <c r="A79" s="55" t="str">
        <f>IFERROR(__xludf.DUMMYFUNCTION("""COMPUTED_VALUE"""),"Challenger")</f>
        <v>Challenger</v>
      </c>
      <c r="B79" s="55" t="str">
        <f>IFERROR(__xludf.DUMMYFUNCTION("""COMPUTED_VALUE"""),"RSC007885")</f>
        <v>RSC007885</v>
      </c>
      <c r="C79" s="60" t="str">
        <f>IFERROR(__xludf.DUMMYFUNCTION("""COMPUTED_VALUE"""),"Larkspur")</f>
        <v>Larkspur</v>
      </c>
      <c r="D79" s="54" t="str">
        <f>IFERROR(__xludf.DUMMYFUNCTION("""COMPUTED_VALUE"""),"Stingrays")</f>
        <v>Stingrays</v>
      </c>
      <c r="E79" s="55" t="str">
        <f>IFERROR(__xludf.DUMMYFUNCTION("""COMPUTED_VALUE"""),"Lunar")</f>
        <v>Lunar</v>
      </c>
      <c r="F79" s="56">
        <f>IFERROR(__xludf.DUMMYFUNCTION("""COMPUTED_VALUE"""),60.46931745814024)</f>
        <v>60.46931746</v>
      </c>
      <c r="G79" s="57">
        <f>IFERROR(__xludf.DUMMYFUNCTION("""COMPUTED_VALUE"""),54.0)</f>
        <v>54</v>
      </c>
      <c r="H79" s="58">
        <f>IFERROR(__xludf.DUMMYFUNCTION("iferror(if(B79="""", ,filter('IDR Import'!D:D,'IDR Import'!A:A=B79,'IDR Import'!C:C=A79)),)"),76.98777531613933)</f>
        <v>76.98777532</v>
      </c>
      <c r="I79" s="58">
        <v>68.72854638713979</v>
      </c>
      <c r="J79" s="59">
        <f t="shared" si="1"/>
        <v>54</v>
      </c>
    </row>
    <row r="80">
      <c r="A80" s="55" t="str">
        <f>IFERROR(__xludf.DUMMYFUNCTION("""COMPUTED_VALUE"""),"Challenger")</f>
        <v>Challenger</v>
      </c>
      <c r="B80" s="55" t="str">
        <f>IFERROR(__xludf.DUMMYFUNCTION("""COMPUTED_VALUE"""),"RSC002897")</f>
        <v>RSC002897</v>
      </c>
      <c r="C80" s="60" t="str">
        <f>IFERROR(__xludf.DUMMYFUNCTION("""COMPUTED_VALUE"""),"VickyViksta")</f>
        <v>VickyViksta</v>
      </c>
      <c r="D80" s="54" t="str">
        <f>IFERROR(__xludf.DUMMYFUNCTION("""COMPUTED_VALUE"""),"Panda Bears")</f>
        <v>Panda Bears</v>
      </c>
      <c r="E80" s="55" t="str">
        <f>IFERROR(__xludf.DUMMYFUNCTION("""COMPUTED_VALUE"""),"Solar")</f>
        <v>Solar</v>
      </c>
      <c r="F80" s="56">
        <f>IFERROR(__xludf.DUMMYFUNCTION("""COMPUTED_VALUE"""),60.42741382356769)</f>
        <v>60.42741382</v>
      </c>
      <c r="G80" s="57">
        <f>IFERROR(__xludf.DUMMYFUNCTION("""COMPUTED_VALUE"""),55.0)</f>
        <v>55</v>
      </c>
      <c r="H80" s="58">
        <f>IFERROR(__xludf.DUMMYFUNCTION("iferror(if(B80="""", ,filter('IDR Import'!D:D,'IDR Import'!A:A=B80,'IDR Import'!C:C=A80)),)"),64.24281344496916)</f>
        <v>64.24281344</v>
      </c>
      <c r="I80" s="58">
        <v>62.335113634268424</v>
      </c>
      <c r="J80" s="59">
        <f t="shared" si="1"/>
        <v>55</v>
      </c>
    </row>
    <row r="81">
      <c r="A81" s="55" t="str">
        <f>IFERROR(__xludf.DUMMYFUNCTION("""COMPUTED_VALUE"""),"Challenger")</f>
        <v>Challenger</v>
      </c>
      <c r="B81" s="55" t="str">
        <f>IFERROR(__xludf.DUMMYFUNCTION("""COMPUTED_VALUE"""),"RSC007045")</f>
        <v>RSC007045</v>
      </c>
      <c r="C81" s="60" t="str">
        <f>IFERROR(__xludf.DUMMYFUNCTION("""COMPUTED_VALUE"""),"fetty_steve98")</f>
        <v>fetty_steve98</v>
      </c>
      <c r="D81" s="54" t="str">
        <f>IFERROR(__xludf.DUMMYFUNCTION("""COMPUTED_VALUE"""),"Threshers")</f>
        <v>Threshers</v>
      </c>
      <c r="E81" s="55" t="str">
        <f>IFERROR(__xludf.DUMMYFUNCTION("""COMPUTED_VALUE"""),"Solar")</f>
        <v>Solar</v>
      </c>
      <c r="F81" s="56">
        <f>IFERROR(__xludf.DUMMYFUNCTION("""COMPUTED_VALUE"""),59.961973015807196)</f>
        <v>59.96197302</v>
      </c>
      <c r="G81" s="57">
        <f>IFERROR(__xludf.DUMMYFUNCTION("""COMPUTED_VALUE"""),40.0)</f>
        <v>40</v>
      </c>
      <c r="H81" s="58">
        <f>IFERROR(__xludf.DUMMYFUNCTION("iferror(if(B81="""", ,filter('IDR Import'!D:D,'IDR Import'!A:A=B81,'IDR Import'!C:C=A81)),)"),58.90326579057535)</f>
        <v>58.90326579</v>
      </c>
      <c r="I81" s="58">
        <v>59.43261940319127</v>
      </c>
      <c r="J81" s="59">
        <f t="shared" si="1"/>
        <v>40</v>
      </c>
    </row>
    <row r="82">
      <c r="A82" s="55" t="str">
        <f>IFERROR(__xludf.DUMMYFUNCTION("""COMPUTED_VALUE"""),"Challenger")</f>
        <v>Challenger</v>
      </c>
      <c r="B82" s="55" t="str">
        <f>IFERROR(__xludf.DUMMYFUNCTION("""COMPUTED_VALUE"""),"RSC005859")</f>
        <v>RSC005859</v>
      </c>
      <c r="C82" s="60" t="str">
        <f>IFERROR(__xludf.DUMMYFUNCTION("""COMPUTED_VALUE"""),"LedTasso")</f>
        <v>LedTasso</v>
      </c>
      <c r="D82" s="54" t="str">
        <f>IFERROR(__xludf.DUMMYFUNCTION("""COMPUTED_VALUE"""),"Apple Associates")</f>
        <v>Apple Associates</v>
      </c>
      <c r="E82" s="55" t="str">
        <f>IFERROR(__xludf.DUMMYFUNCTION("""COMPUTED_VALUE"""),"Lunar")</f>
        <v>Lunar</v>
      </c>
      <c r="F82" s="56">
        <f>IFERROR(__xludf.DUMMYFUNCTION("""COMPUTED_VALUE"""),59.87717894906284)</f>
        <v>59.87717895</v>
      </c>
      <c r="G82" s="57">
        <f>IFERROR(__xludf.DUMMYFUNCTION("""COMPUTED_VALUE"""),56.0)</f>
        <v>56</v>
      </c>
      <c r="H82" s="58">
        <f>IFERROR(__xludf.DUMMYFUNCTION("iferror(if(B82="""", ,filter('IDR Import'!D:D,'IDR Import'!A:A=B82,'IDR Import'!C:C=A82)),)"),66.86209442210983)</f>
        <v>66.86209442</v>
      </c>
      <c r="I82" s="58">
        <v>63.369636685586336</v>
      </c>
      <c r="J82" s="59">
        <f t="shared" si="1"/>
        <v>56</v>
      </c>
    </row>
    <row r="83">
      <c r="A83" s="55" t="str">
        <f>IFERROR(__xludf.DUMMYFUNCTION("""COMPUTED_VALUE"""),"Challenger")</f>
        <v>Challenger</v>
      </c>
      <c r="B83" s="55" t="str">
        <f>IFERROR(__xludf.DUMMYFUNCTION("""COMPUTED_VALUE"""),"RSC008390")</f>
        <v>RSC008390</v>
      </c>
      <c r="C83" s="60" t="str">
        <f>IFERROR(__xludf.DUMMYFUNCTION("""COMPUTED_VALUE"""),"Cully")</f>
        <v>Cully</v>
      </c>
      <c r="D83" s="54" t="str">
        <f>IFERROR(__xludf.DUMMYFUNCTION("""COMPUTED_VALUE"""),"Olympic Knights")</f>
        <v>Olympic Knights</v>
      </c>
      <c r="E83" s="55" t="str">
        <f>IFERROR(__xludf.DUMMYFUNCTION("""COMPUTED_VALUE"""),"Solar")</f>
        <v>Solar</v>
      </c>
      <c r="F83" s="56">
        <f>IFERROR(__xludf.DUMMYFUNCTION("""COMPUTED_VALUE"""),59.65400205727964)</f>
        <v>59.65400206</v>
      </c>
      <c r="G83" s="57">
        <f>IFERROR(__xludf.DUMMYFUNCTION("""COMPUTED_VALUE"""),50.0)</f>
        <v>50</v>
      </c>
      <c r="H83" s="58">
        <f>IFERROR(__xludf.DUMMYFUNCTION("iferror(if(B83="""", ,filter('IDR Import'!D:D,'IDR Import'!A:A=B83,'IDR Import'!C:C=A83)),)"),64.01275461913451)</f>
        <v>64.01275462</v>
      </c>
      <c r="I83" s="58">
        <v>61.833378338207076</v>
      </c>
      <c r="J83" s="59">
        <f t="shared" si="1"/>
        <v>50</v>
      </c>
    </row>
    <row r="84">
      <c r="A84" s="55" t="str">
        <f>IFERROR(__xludf.DUMMYFUNCTION("""COMPUTED_VALUE"""),"Challenger")</f>
        <v>Challenger</v>
      </c>
      <c r="B84" s="55" t="str">
        <f>IFERROR(__xludf.DUMMYFUNCTION("""COMPUTED_VALUE"""),"RSC008103")</f>
        <v>RSC008103</v>
      </c>
      <c r="C84" s="60" t="str">
        <f>IFERROR(__xludf.DUMMYFUNCTION("""COMPUTED_VALUE"""),"AkTION")</f>
        <v>AkTION</v>
      </c>
      <c r="D84" s="54" t="str">
        <f>IFERROR(__xludf.DUMMYFUNCTION("""COMPUTED_VALUE"""),"Chromatic Chaos")</f>
        <v>Chromatic Chaos</v>
      </c>
      <c r="E84" s="55" t="str">
        <f>IFERROR(__xludf.DUMMYFUNCTION("""COMPUTED_VALUE"""),"Solar")</f>
        <v>Solar</v>
      </c>
      <c r="F84" s="56">
        <f>IFERROR(__xludf.DUMMYFUNCTION("""COMPUTED_VALUE"""),59.47543448419951)</f>
        <v>59.47543448</v>
      </c>
      <c r="G84" s="57">
        <f>IFERROR(__xludf.DUMMYFUNCTION("""COMPUTED_VALUE"""),53.0)</f>
        <v>53</v>
      </c>
      <c r="H84" s="58">
        <f>IFERROR(__xludf.DUMMYFUNCTION("iferror(if(B84="""", ,filter('IDR Import'!D:D,'IDR Import'!A:A=B84,'IDR Import'!C:C=A84)),)"),58.46615130677842)</f>
        <v>58.46615131</v>
      </c>
      <c r="I84" s="58">
        <v>58.97079289548897</v>
      </c>
      <c r="J84" s="59">
        <f t="shared" si="1"/>
        <v>53</v>
      </c>
    </row>
    <row r="85">
      <c r="A85" s="55" t="str">
        <f>IFERROR(__xludf.DUMMYFUNCTION("""COMPUTED_VALUE"""),"Challenger")</f>
        <v>Challenger</v>
      </c>
      <c r="B85" s="55" t="str">
        <f>IFERROR(__xludf.DUMMYFUNCTION("""COMPUTED_VALUE"""),"RSC008158")</f>
        <v>RSC008158</v>
      </c>
      <c r="C85" s="60" t="str">
        <f>IFERROR(__xludf.DUMMYFUNCTION("""COMPUTED_VALUE"""),"Twixxle_")</f>
        <v>Twixxle_</v>
      </c>
      <c r="D85" s="54" t="str">
        <f>IFERROR(__xludf.DUMMYFUNCTION("""COMPUTED_VALUE"""),"Shade")</f>
        <v>Shade</v>
      </c>
      <c r="E85" s="55" t="str">
        <f>IFERROR(__xludf.DUMMYFUNCTION("""COMPUTED_VALUE"""),"Lunar")</f>
        <v>Lunar</v>
      </c>
      <c r="F85" s="56">
        <f>IFERROR(__xludf.DUMMYFUNCTION("""COMPUTED_VALUE"""),59.29243588753477)</f>
        <v>59.29243589</v>
      </c>
      <c r="G85" s="57">
        <f>IFERROR(__xludf.DUMMYFUNCTION("""COMPUTED_VALUE"""),55.0)</f>
        <v>55</v>
      </c>
      <c r="H85" s="58">
        <f>IFERROR(__xludf.DUMMYFUNCTION("iferror(if(B85="""", ,filter('IDR Import'!D:D,'IDR Import'!A:A=B85,'IDR Import'!C:C=A85)),)"),63.022819826924554)</f>
        <v>63.02281983</v>
      </c>
      <c r="I85" s="58">
        <v>61.15762785722966</v>
      </c>
      <c r="J85" s="59">
        <f t="shared" si="1"/>
        <v>55</v>
      </c>
    </row>
    <row r="86">
      <c r="A86" s="55" t="str">
        <f>IFERROR(__xludf.DUMMYFUNCTION("""COMPUTED_VALUE"""),"Challenger")</f>
        <v>Challenger</v>
      </c>
      <c r="B86" s="55" t="str">
        <f>IFERROR(__xludf.DUMMYFUNCTION("""COMPUTED_VALUE"""),"RSC006669")</f>
        <v>RSC006669</v>
      </c>
      <c r="C86" s="60" t="str">
        <f>IFERROR(__xludf.DUMMYFUNCTION("""COMPUTED_VALUE"""),"xypheron")</f>
        <v>xypheron</v>
      </c>
      <c r="D86" s="54" t="str">
        <f>IFERROR(__xludf.DUMMYFUNCTION("""COMPUTED_VALUE"""),"Meat Lovers")</f>
        <v>Meat Lovers</v>
      </c>
      <c r="E86" s="55" t="str">
        <f>IFERROR(__xludf.DUMMYFUNCTION("""COMPUTED_VALUE"""),"Lunar")</f>
        <v>Lunar</v>
      </c>
      <c r="F86" s="56">
        <f>IFERROR(__xludf.DUMMYFUNCTION("""COMPUTED_VALUE"""),59.09742497518439)</f>
        <v>59.09742498</v>
      </c>
      <c r="G86" s="57">
        <f>IFERROR(__xludf.DUMMYFUNCTION("""COMPUTED_VALUE"""),28.0)</f>
        <v>28</v>
      </c>
      <c r="H86" s="58">
        <f>IFERROR(__xludf.DUMMYFUNCTION("iferror(if(B86="""", ,filter('IDR Import'!D:D,'IDR Import'!A:A=B86,'IDR Import'!C:C=A86)),)"),64.26866133150942)</f>
        <v>64.26866133</v>
      </c>
      <c r="I86" s="58">
        <v>61.6830431533469</v>
      </c>
      <c r="J86" s="59">
        <f t="shared" si="1"/>
        <v>28</v>
      </c>
    </row>
    <row r="87">
      <c r="A87" s="55" t="str">
        <f>IFERROR(__xludf.DUMMYFUNCTION("""COMPUTED_VALUE"""),"Challenger")</f>
        <v>Challenger</v>
      </c>
      <c r="B87" s="55" t="str">
        <f>IFERROR(__xludf.DUMMYFUNCTION("""COMPUTED_VALUE"""),"RSC008340")</f>
        <v>RSC008340</v>
      </c>
      <c r="C87" s="60" t="str">
        <f>IFERROR(__xludf.DUMMYFUNCTION("""COMPUTED_VALUE"""),"Slowsociety")</f>
        <v>Slowsociety</v>
      </c>
      <c r="D87" s="54" t="str">
        <f>IFERROR(__xludf.DUMMYFUNCTION("""COMPUTED_VALUE"""),"Void")</f>
        <v>Void</v>
      </c>
      <c r="E87" s="55" t="str">
        <f>IFERROR(__xludf.DUMMYFUNCTION("""COMPUTED_VALUE"""),"Solar")</f>
        <v>Solar</v>
      </c>
      <c r="F87" s="56">
        <f>IFERROR(__xludf.DUMMYFUNCTION("""COMPUTED_VALUE"""),58.456781725834134)</f>
        <v>58.45678173</v>
      </c>
      <c r="G87" s="57">
        <f>IFERROR(__xludf.DUMMYFUNCTION("""COMPUTED_VALUE"""),40.0)</f>
        <v>40</v>
      </c>
      <c r="H87" s="58">
        <f>IFERROR(__xludf.DUMMYFUNCTION("iferror(if(B87="""", ,filter('IDR Import'!D:D,'IDR Import'!A:A=B87,'IDR Import'!C:C=A87)),)"),69.30853915403655)</f>
        <v>69.30853915</v>
      </c>
      <c r="I87" s="58">
        <v>63.88266043993534</v>
      </c>
      <c r="J87" s="59">
        <f t="shared" si="1"/>
        <v>40</v>
      </c>
    </row>
    <row r="88">
      <c r="A88" s="55" t="str">
        <f>IFERROR(__xludf.DUMMYFUNCTION("""COMPUTED_VALUE"""),"Challenger")</f>
        <v>Challenger</v>
      </c>
      <c r="B88" s="55" t="str">
        <f>IFERROR(__xludf.DUMMYFUNCTION("""COMPUTED_VALUE"""),"RSC006092")</f>
        <v>RSC006092</v>
      </c>
      <c r="C88" s="60" t="str">
        <f>IFERROR(__xludf.DUMMYFUNCTION("""COMPUTED_VALUE"""),"Mick")</f>
        <v>Mick</v>
      </c>
      <c r="D88" s="54" t="str">
        <f>IFERROR(__xludf.DUMMYFUNCTION("""COMPUTED_VALUE"""),"Cooks")</f>
        <v>Cooks</v>
      </c>
      <c r="E88" s="55" t="str">
        <f>IFERROR(__xludf.DUMMYFUNCTION("""COMPUTED_VALUE"""),"Solar")</f>
        <v>Solar</v>
      </c>
      <c r="F88" s="56">
        <f>IFERROR(__xludf.DUMMYFUNCTION("""COMPUTED_VALUE"""),58.33092619122969)</f>
        <v>58.33092619</v>
      </c>
      <c r="G88" s="57">
        <f>IFERROR(__xludf.DUMMYFUNCTION("""COMPUTED_VALUE"""),52.0)</f>
        <v>52</v>
      </c>
      <c r="H88" s="58">
        <f>IFERROR(__xludf.DUMMYFUNCTION("iferror(if(B88="""", ,filter('IDR Import'!D:D,'IDR Import'!A:A=B88,'IDR Import'!C:C=A88)),)"),68.33318473995313)</f>
        <v>68.33318474</v>
      </c>
      <c r="I88" s="58">
        <v>63.33205546559141</v>
      </c>
      <c r="J88" s="59">
        <f t="shared" si="1"/>
        <v>52</v>
      </c>
    </row>
    <row r="89">
      <c r="A89" s="55" t="str">
        <f>IFERROR(__xludf.DUMMYFUNCTION("""COMPUTED_VALUE"""),"Challenger")</f>
        <v>Challenger</v>
      </c>
      <c r="B89" s="55" t="str">
        <f>IFERROR(__xludf.DUMMYFUNCTION("""COMPUTED_VALUE"""),"RSC007262")</f>
        <v>RSC007262</v>
      </c>
      <c r="C89" s="60" t="str">
        <f>IFERROR(__xludf.DUMMYFUNCTION("""COMPUTED_VALUE"""),"Vvreze")</f>
        <v>Vvreze</v>
      </c>
      <c r="D89" s="54" t="str">
        <f>IFERROR(__xludf.DUMMYFUNCTION("""COMPUTED_VALUE"""),"Thunder Pups")</f>
        <v>Thunder Pups</v>
      </c>
      <c r="E89" s="55" t="str">
        <f>IFERROR(__xludf.DUMMYFUNCTION("""COMPUTED_VALUE"""),"Solar")</f>
        <v>Solar</v>
      </c>
      <c r="F89" s="56">
        <f>IFERROR(__xludf.DUMMYFUNCTION("""COMPUTED_VALUE"""),57.85676825200813)</f>
        <v>57.85676825</v>
      </c>
      <c r="G89" s="57">
        <f>IFERROR(__xludf.DUMMYFUNCTION("""COMPUTED_VALUE"""),53.0)</f>
        <v>53</v>
      </c>
      <c r="H89" s="58">
        <f>IFERROR(__xludf.DUMMYFUNCTION("iferror(if(B89="""", ,filter('IDR Import'!D:D,'IDR Import'!A:A=B89,'IDR Import'!C:C=A89)),)"),65.17559776523186)</f>
        <v>65.17559777</v>
      </c>
      <c r="I89" s="58">
        <v>61.51618300861999</v>
      </c>
      <c r="J89" s="59">
        <f t="shared" si="1"/>
        <v>53</v>
      </c>
    </row>
    <row r="90">
      <c r="A90" s="55" t="str">
        <f>IFERROR(__xludf.DUMMYFUNCTION("""COMPUTED_VALUE"""),"Challenger")</f>
        <v>Challenger</v>
      </c>
      <c r="B90" s="55" t="str">
        <f>IFERROR(__xludf.DUMMYFUNCTION("""COMPUTED_VALUE"""),"RSC005663")</f>
        <v>RSC005663</v>
      </c>
      <c r="C90" s="60" t="str">
        <f>IFERROR(__xludf.DUMMYFUNCTION("""COMPUTED_VALUE"""),"Pure_Pusher")</f>
        <v>Pure_Pusher</v>
      </c>
      <c r="D90" s="54" t="str">
        <f>IFERROR(__xludf.DUMMYFUNCTION("""COMPUTED_VALUE"""),"Cooks")</f>
        <v>Cooks</v>
      </c>
      <c r="E90" s="55" t="str">
        <f>IFERROR(__xludf.DUMMYFUNCTION("""COMPUTED_VALUE"""),"Solar")</f>
        <v>Solar</v>
      </c>
      <c r="F90" s="56">
        <f>IFERROR(__xludf.DUMMYFUNCTION("""COMPUTED_VALUE"""),57.766460604709906)</f>
        <v>57.7664606</v>
      </c>
      <c r="G90" s="57">
        <f>IFERROR(__xludf.DUMMYFUNCTION("""COMPUTED_VALUE"""),55.0)</f>
        <v>55</v>
      </c>
      <c r="H90" s="58">
        <f>IFERROR(__xludf.DUMMYFUNCTION("iferror(if(B90="""", ,filter('IDR Import'!D:D,'IDR Import'!A:A=B90,'IDR Import'!C:C=A90)),)"),66.45765877892538)</f>
        <v>66.45765878</v>
      </c>
      <c r="I90" s="58">
        <v>62.11205969181764</v>
      </c>
      <c r="J90" s="59">
        <f t="shared" si="1"/>
        <v>55</v>
      </c>
    </row>
    <row r="91">
      <c r="A91" s="55" t="str">
        <f>IFERROR(__xludf.DUMMYFUNCTION("""COMPUTED_VALUE"""),"Challenger")</f>
        <v>Challenger</v>
      </c>
      <c r="B91" s="55" t="str">
        <f>IFERROR(__xludf.DUMMYFUNCTION("""COMPUTED_VALUE"""),"RSC006344")</f>
        <v>RSC006344</v>
      </c>
      <c r="C91" s="60" t="str">
        <f>IFERROR(__xludf.DUMMYFUNCTION("""COMPUTED_VALUE"""),"FerrisCrueller")</f>
        <v>FerrisCrueller</v>
      </c>
      <c r="D91" s="54" t="str">
        <f>IFERROR(__xludf.DUMMYFUNCTION("""COMPUTED_VALUE"""),"Insider Traders")</f>
        <v>Insider Traders</v>
      </c>
      <c r="E91" s="55" t="str">
        <f>IFERROR(__xludf.DUMMYFUNCTION("""COMPUTED_VALUE"""),"Lunar")</f>
        <v>Lunar</v>
      </c>
      <c r="F91" s="56">
        <f>IFERROR(__xludf.DUMMYFUNCTION("""COMPUTED_VALUE"""),57.628110680371584)</f>
        <v>57.62811068</v>
      </c>
      <c r="G91" s="57">
        <f>IFERROR(__xludf.DUMMYFUNCTION("""COMPUTED_VALUE"""),47.0)</f>
        <v>47</v>
      </c>
      <c r="H91" s="58">
        <f>IFERROR(__xludf.DUMMYFUNCTION("iferror(if(B91="""", ,filter('IDR Import'!D:D,'IDR Import'!A:A=B91,'IDR Import'!C:C=A91)),)"),66.10968276998908)</f>
        <v>66.10968277</v>
      </c>
      <c r="I91" s="58">
        <v>61.868896725180335</v>
      </c>
      <c r="J91" s="59">
        <f t="shared" si="1"/>
        <v>47</v>
      </c>
    </row>
    <row r="92">
      <c r="A92" s="55" t="str">
        <f>IFERROR(__xludf.DUMMYFUNCTION("""COMPUTED_VALUE"""),"Challenger")</f>
        <v>Challenger</v>
      </c>
      <c r="B92" s="55" t="str">
        <f>IFERROR(__xludf.DUMMYFUNCTION("""COMPUTED_VALUE"""),"RSC006908")</f>
        <v>RSC006908</v>
      </c>
      <c r="C92" s="60" t="str">
        <f>IFERROR(__xludf.DUMMYFUNCTION("""COMPUTED_VALUE"""),"OvrSizedFrog")</f>
        <v>OvrSizedFrog</v>
      </c>
      <c r="D92" s="54" t="str">
        <f>IFERROR(__xludf.DUMMYFUNCTION("""COMPUTED_VALUE"""),"Ryujin")</f>
        <v>Ryujin</v>
      </c>
      <c r="E92" s="55" t="str">
        <f>IFERROR(__xludf.DUMMYFUNCTION("""COMPUTED_VALUE"""),"Solar")</f>
        <v>Solar</v>
      </c>
      <c r="F92" s="56">
        <f>IFERROR(__xludf.DUMMYFUNCTION("""COMPUTED_VALUE"""),57.31736512404333)</f>
        <v>57.31736512</v>
      </c>
      <c r="G92" s="57">
        <f>IFERROR(__xludf.DUMMYFUNCTION("""COMPUTED_VALUE"""),40.0)</f>
        <v>40</v>
      </c>
      <c r="H92" s="58">
        <f>IFERROR(__xludf.DUMMYFUNCTION("iferror(if(B92="""", ,filter('IDR Import'!D:D,'IDR Import'!A:A=B92,'IDR Import'!C:C=A92)),)"),54.998771007749774)</f>
        <v>54.99877101</v>
      </c>
      <c r="I92" s="58">
        <v>56.15806806589655</v>
      </c>
      <c r="J92" s="59">
        <f t="shared" si="1"/>
        <v>40</v>
      </c>
    </row>
    <row r="93">
      <c r="A93" s="55" t="str">
        <f>IFERROR(__xludf.DUMMYFUNCTION("""COMPUTED_VALUE"""),"Challenger")</f>
        <v>Challenger</v>
      </c>
      <c r="B93" s="55" t="str">
        <f>IFERROR(__xludf.DUMMYFUNCTION("""COMPUTED_VALUE"""),"RSC003109")</f>
        <v>RSC003109</v>
      </c>
      <c r="C93" s="60" t="str">
        <f>IFERROR(__xludf.DUMMYFUNCTION("""COMPUTED_VALUE"""),"Kflip11")</f>
        <v>Kflip11</v>
      </c>
      <c r="D93" s="54" t="str">
        <f>IFERROR(__xludf.DUMMYFUNCTION("""COMPUTED_VALUE"""),"Stingrays")</f>
        <v>Stingrays</v>
      </c>
      <c r="E93" s="55" t="str">
        <f>IFERROR(__xludf.DUMMYFUNCTION("""COMPUTED_VALUE"""),"Lunar")</f>
        <v>Lunar</v>
      </c>
      <c r="F93" s="56">
        <f>IFERROR(__xludf.DUMMYFUNCTION("""COMPUTED_VALUE"""),56.73000694422143)</f>
        <v>56.73000694</v>
      </c>
      <c r="G93" s="57">
        <f>IFERROR(__xludf.DUMMYFUNCTION("""COMPUTED_VALUE"""),55.0)</f>
        <v>55</v>
      </c>
      <c r="H93" s="58">
        <f>IFERROR(__xludf.DUMMYFUNCTION("iferror(if(B93="""", ,filter('IDR Import'!D:D,'IDR Import'!A:A=B93,'IDR Import'!C:C=A93)),)"),70.64278830781464)</f>
        <v>70.64278831</v>
      </c>
      <c r="I93" s="58">
        <v>63.686397626018035</v>
      </c>
      <c r="J93" s="59">
        <f t="shared" si="1"/>
        <v>55</v>
      </c>
    </row>
    <row r="94">
      <c r="A94" s="55" t="str">
        <f>IFERROR(__xludf.DUMMYFUNCTION("""COMPUTED_VALUE"""),"Challenger")</f>
        <v>Challenger</v>
      </c>
      <c r="B94" s="55" t="str">
        <f>IFERROR(__xludf.DUMMYFUNCTION("""COMPUTED_VALUE"""),"RSC007284")</f>
        <v>RSC007284</v>
      </c>
      <c r="C94" s="60" t="str">
        <f>IFERROR(__xludf.DUMMYFUNCTION("""COMPUTED_VALUE"""),"7aco104")</f>
        <v>7aco104</v>
      </c>
      <c r="D94" s="54" t="str">
        <f>IFERROR(__xludf.DUMMYFUNCTION("""COMPUTED_VALUE"""),"Meat Lovers")</f>
        <v>Meat Lovers</v>
      </c>
      <c r="E94" s="55" t="str">
        <f>IFERROR(__xludf.DUMMYFUNCTION("""COMPUTED_VALUE"""),"Lunar")</f>
        <v>Lunar</v>
      </c>
      <c r="F94" s="56">
        <f>IFERROR(__xludf.DUMMYFUNCTION("""COMPUTED_VALUE"""),56.56195882468253)</f>
        <v>56.56195882</v>
      </c>
      <c r="G94" s="57">
        <f>IFERROR(__xludf.DUMMYFUNCTION("""COMPUTED_VALUE"""),52.0)</f>
        <v>52</v>
      </c>
      <c r="H94" s="58">
        <f>IFERROR(__xludf.DUMMYFUNCTION("iferror(if(B94="""", ,filter('IDR Import'!D:D,'IDR Import'!A:A=B94,'IDR Import'!C:C=A94)),)"),62.42532390202286)</f>
        <v>62.4253239</v>
      </c>
      <c r="I94" s="58">
        <v>59.493641363352694</v>
      </c>
      <c r="J94" s="59">
        <f t="shared" si="1"/>
        <v>52</v>
      </c>
    </row>
    <row r="95">
      <c r="A95" s="55" t="str">
        <f>IFERROR(__xludf.DUMMYFUNCTION("""COMPUTED_VALUE"""),"Challenger")</f>
        <v>Challenger</v>
      </c>
      <c r="B95" s="55" t="str">
        <f>IFERROR(__xludf.DUMMYFUNCTION("""COMPUTED_VALUE"""),"RSC007092")</f>
        <v>RSC007092</v>
      </c>
      <c r="C95" s="60" t="str">
        <f>IFERROR(__xludf.DUMMYFUNCTION("""COMPUTED_VALUE"""),"Minjaaa")</f>
        <v>Minjaaa</v>
      </c>
      <c r="D95" s="54" t="str">
        <f>IFERROR(__xludf.DUMMYFUNCTION("""COMPUTED_VALUE"""),"Ryujin")</f>
        <v>Ryujin</v>
      </c>
      <c r="E95" s="55" t="str">
        <f>IFERROR(__xludf.DUMMYFUNCTION("""COMPUTED_VALUE"""),"Solar")</f>
        <v>Solar</v>
      </c>
      <c r="F95" s="56">
        <f>IFERROR(__xludf.DUMMYFUNCTION("""COMPUTED_VALUE"""),56.51090948287133)</f>
        <v>56.51090948</v>
      </c>
      <c r="G95" s="57">
        <f>IFERROR(__xludf.DUMMYFUNCTION("""COMPUTED_VALUE"""),52.0)</f>
        <v>52</v>
      </c>
      <c r="H95" s="58">
        <f>IFERROR(__xludf.DUMMYFUNCTION("iferror(if(B95="""", ,filter('IDR Import'!D:D,'IDR Import'!A:A=B95,'IDR Import'!C:C=A95)),)"),54.12231199830326)</f>
        <v>54.122312</v>
      </c>
      <c r="I95" s="58">
        <v>55.31661074058729</v>
      </c>
      <c r="J95" s="59">
        <f t="shared" si="1"/>
        <v>52</v>
      </c>
    </row>
    <row r="96">
      <c r="A96" s="55" t="str">
        <f>IFERROR(__xludf.DUMMYFUNCTION("""COMPUTED_VALUE"""),"Challenger")</f>
        <v>Challenger</v>
      </c>
      <c r="B96" s="55" t="str">
        <f>IFERROR(__xludf.DUMMYFUNCTION("""COMPUTED_VALUE"""),"RSC008195")</f>
        <v>RSC008195</v>
      </c>
      <c r="C96" s="60" t="str">
        <f>IFERROR(__xludf.DUMMYFUNCTION("""COMPUTED_VALUE"""),"Preaux.")</f>
        <v>Preaux.</v>
      </c>
      <c r="D96" s="54" t="str">
        <f>IFERROR(__xludf.DUMMYFUNCTION("""COMPUTED_VALUE"""),"Sirens")</f>
        <v>Sirens</v>
      </c>
      <c r="E96" s="55" t="str">
        <f>IFERROR(__xludf.DUMMYFUNCTION("""COMPUTED_VALUE"""),"Solar")</f>
        <v>Solar</v>
      </c>
      <c r="F96" s="56">
        <f>IFERROR(__xludf.DUMMYFUNCTION("""COMPUTED_VALUE"""),56.49989766166472)</f>
        <v>56.49989766</v>
      </c>
      <c r="G96" s="57">
        <f>IFERROR(__xludf.DUMMYFUNCTION("""COMPUTED_VALUE"""),49.0)</f>
        <v>49</v>
      </c>
      <c r="H96" s="58">
        <f>IFERROR(__xludf.DUMMYFUNCTION("iferror(if(B96="""", ,filter('IDR Import'!D:D,'IDR Import'!A:A=B96,'IDR Import'!C:C=A96)),)"),45.21609751551068)</f>
        <v>45.21609752</v>
      </c>
      <c r="I96" s="58">
        <v>50.8579975885877</v>
      </c>
      <c r="J96" s="59">
        <f t="shared" si="1"/>
        <v>49</v>
      </c>
    </row>
    <row r="97">
      <c r="A97" s="55" t="str">
        <f>IFERROR(__xludf.DUMMYFUNCTION("""COMPUTED_VALUE"""),"Challenger")</f>
        <v>Challenger</v>
      </c>
      <c r="B97" s="55" t="str">
        <f>IFERROR(__xludf.DUMMYFUNCTION("""COMPUTED_VALUE"""),"RSC007518")</f>
        <v>RSC007518</v>
      </c>
      <c r="C97" s="60" t="str">
        <f>IFERROR(__xludf.DUMMYFUNCTION("""COMPUTED_VALUE"""),"LoneDrifter.")</f>
        <v>LoneDrifter.</v>
      </c>
      <c r="D97" s="54" t="str">
        <f>IFERROR(__xludf.DUMMYFUNCTION("""COMPUTED_VALUE"""),"Scribes")</f>
        <v>Scribes</v>
      </c>
      <c r="E97" s="55" t="str">
        <f>IFERROR(__xludf.DUMMYFUNCTION("""COMPUTED_VALUE"""),"Lunar")</f>
        <v>Lunar</v>
      </c>
      <c r="F97" s="56">
        <f>IFERROR(__xludf.DUMMYFUNCTION("""COMPUTED_VALUE"""),56.45091081343713)</f>
        <v>56.45091081</v>
      </c>
      <c r="G97" s="57">
        <f>IFERROR(__xludf.DUMMYFUNCTION("""COMPUTED_VALUE"""),56.0)</f>
        <v>56</v>
      </c>
      <c r="H97" s="58">
        <f>IFERROR(__xludf.DUMMYFUNCTION("iferror(if(B97="""", ,filter('IDR Import'!D:D,'IDR Import'!A:A=B97,'IDR Import'!C:C=A97)),)"),51.59007410530532)</f>
        <v>51.59007411</v>
      </c>
      <c r="I97" s="58">
        <v>54.020492459371226</v>
      </c>
      <c r="J97" s="59">
        <f t="shared" si="1"/>
        <v>56</v>
      </c>
    </row>
    <row r="98">
      <c r="A98" s="55" t="str">
        <f>IFERROR(__xludf.DUMMYFUNCTION("""COMPUTED_VALUE"""),"Challenger")</f>
        <v>Challenger</v>
      </c>
      <c r="B98" s="55" t="str">
        <f>IFERROR(__xludf.DUMMYFUNCTION("""COMPUTED_VALUE"""),"RSC008540")</f>
        <v>RSC008540</v>
      </c>
      <c r="C98" s="60" t="str">
        <f>IFERROR(__xludf.DUMMYFUNCTION("""COMPUTED_VALUE"""),"GG K-9")</f>
        <v>GG K-9</v>
      </c>
      <c r="D98" s="54" t="str">
        <f>IFERROR(__xludf.DUMMYFUNCTION("""COMPUTED_VALUE"""),"Havarti Hustlers")</f>
        <v>Havarti Hustlers</v>
      </c>
      <c r="E98" s="55" t="str">
        <f>IFERROR(__xludf.DUMMYFUNCTION("""COMPUTED_VALUE"""),"Lunar")</f>
        <v>Lunar</v>
      </c>
      <c r="F98" s="56">
        <f>IFERROR(__xludf.DUMMYFUNCTION("""COMPUTED_VALUE"""),55.841024215372464)</f>
        <v>55.84102422</v>
      </c>
      <c r="G98" s="57">
        <f>IFERROR(__xludf.DUMMYFUNCTION("""COMPUTED_VALUE"""),16.0)</f>
        <v>16</v>
      </c>
      <c r="H98" s="58">
        <f>IFERROR(__xludf.DUMMYFUNCTION("iferror(if(B98="""", ,filter('IDR Import'!D:D,'IDR Import'!A:A=B98,'IDR Import'!C:C=A98)),)"),49.48848895682039)</f>
        <v>49.48848896</v>
      </c>
      <c r="I98" s="58">
        <v>52.66475658609643</v>
      </c>
      <c r="J98" s="59">
        <f t="shared" si="1"/>
        <v>16</v>
      </c>
    </row>
    <row r="99">
      <c r="A99" s="55" t="str">
        <f>IFERROR(__xludf.DUMMYFUNCTION("""COMPUTED_VALUE"""),"Challenger")</f>
        <v>Challenger</v>
      </c>
      <c r="B99" s="55" t="str">
        <f>IFERROR(__xludf.DUMMYFUNCTION("""COMPUTED_VALUE"""),"RSC006495")</f>
        <v>RSC006495</v>
      </c>
      <c r="C99" s="60" t="str">
        <f>IFERROR(__xludf.DUMMYFUNCTION("""COMPUTED_VALUE"""),"Hype.56")</f>
        <v>Hype.56</v>
      </c>
      <c r="D99" s="54" t="str">
        <f>IFERROR(__xludf.DUMMYFUNCTION("""COMPUTED_VALUE"""),"Blitzars
Gold Hoarders")</f>
        <v>Blitzars
Gold Hoarders</v>
      </c>
      <c r="E99" s="55" t="str">
        <f>IFERROR(__xludf.DUMMYFUNCTION("""COMPUTED_VALUE"""),"Lunar
Lunar")</f>
        <v>Lunar
Lunar</v>
      </c>
      <c r="F99" s="56">
        <f>IFERROR(__xludf.DUMMYFUNCTION("""COMPUTED_VALUE"""),55.72520878107913)</f>
        <v>55.72520878</v>
      </c>
      <c r="G99" s="57">
        <f>IFERROR(__xludf.DUMMYFUNCTION("""COMPUTED_VALUE"""),38.0)</f>
        <v>38</v>
      </c>
      <c r="H99" s="58">
        <f>IFERROR(__xludf.DUMMYFUNCTION("iferror(if(B99="""", ,filter('IDR Import'!D:D,'IDR Import'!A:A=B99,'IDR Import'!C:C=A99)),)"),47.51783654549505)</f>
        <v>47.51783655</v>
      </c>
      <c r="I99" s="58">
        <v>51.621522663287095</v>
      </c>
      <c r="J99" s="59">
        <f t="shared" si="1"/>
        <v>38</v>
      </c>
    </row>
    <row r="100">
      <c r="A100" s="55" t="str">
        <f>IFERROR(__xludf.DUMMYFUNCTION("""COMPUTED_VALUE"""),"Challenger")</f>
        <v>Challenger</v>
      </c>
      <c r="B100" s="55" t="str">
        <f>IFERROR(__xludf.DUMMYFUNCTION("""COMPUTED_VALUE"""),"RSC007297")</f>
        <v>RSC007297</v>
      </c>
      <c r="C100" s="60" t="str">
        <f>IFERROR(__xludf.DUMMYFUNCTION("""COMPUTED_VALUE"""),"St-_-Marc")</f>
        <v>St-_-Marc</v>
      </c>
      <c r="D100" s="54" t="str">
        <f>IFERROR(__xludf.DUMMYFUNCTION("""COMPUTED_VALUE"""),"Warthogs")</f>
        <v>Warthogs</v>
      </c>
      <c r="E100" s="55" t="str">
        <f>IFERROR(__xludf.DUMMYFUNCTION("""COMPUTED_VALUE"""),"Lunar")</f>
        <v>Lunar</v>
      </c>
      <c r="F100" s="56">
        <f>IFERROR(__xludf.DUMMYFUNCTION("""COMPUTED_VALUE"""),55.5292478514039)</f>
        <v>55.52924785</v>
      </c>
      <c r="G100" s="57">
        <f>IFERROR(__xludf.DUMMYFUNCTION("""COMPUTED_VALUE"""),53.0)</f>
        <v>53</v>
      </c>
      <c r="H100" s="58">
        <f>IFERROR(__xludf.DUMMYFUNCTION("iferror(if(B100="""", ,filter('IDR Import'!D:D,'IDR Import'!A:A=B100,'IDR Import'!C:C=A100)),)"),52.88819703474076)</f>
        <v>52.88819703</v>
      </c>
      <c r="I100" s="58">
        <v>54.20872244307233</v>
      </c>
      <c r="J100" s="59">
        <f t="shared" si="1"/>
        <v>53</v>
      </c>
    </row>
    <row r="101">
      <c r="A101" s="55" t="str">
        <f>IFERROR(__xludf.DUMMYFUNCTION("""COMPUTED_VALUE"""),"Challenger")</f>
        <v>Challenger</v>
      </c>
      <c r="B101" s="55" t="str">
        <f>IFERROR(__xludf.DUMMYFUNCTION("""COMPUTED_VALUE"""),"RSC006187")</f>
        <v>RSC006187</v>
      </c>
      <c r="C101" s="60" t="str">
        <f>IFERROR(__xludf.DUMMYFUNCTION("""COMPUTED_VALUE"""),"1999 Toyota Camry")</f>
        <v>1999 Toyota Camry</v>
      </c>
      <c r="D101" s="54" t="str">
        <f>IFERROR(__xludf.DUMMYFUNCTION("""COMPUTED_VALUE"""),"Corals")</f>
        <v>Corals</v>
      </c>
      <c r="E101" s="55" t="str">
        <f>IFERROR(__xludf.DUMMYFUNCTION("""COMPUTED_VALUE"""),"Lunar")</f>
        <v>Lunar</v>
      </c>
      <c r="F101" s="56">
        <f>IFERROR(__xludf.DUMMYFUNCTION("""COMPUTED_VALUE"""),55.41350556425243)</f>
        <v>55.41350556</v>
      </c>
      <c r="G101" s="57">
        <f>IFERROR(__xludf.DUMMYFUNCTION("""COMPUTED_VALUE"""),11.0)</f>
        <v>11</v>
      </c>
      <c r="H101" s="58">
        <f>IFERROR(__xludf.DUMMYFUNCTION("iferror(if(B101="""", ,filter('IDR Import'!D:D,'IDR Import'!A:A=B101,'IDR Import'!C:C=A101)),)"),83.12324117907116)</f>
        <v>83.12324118</v>
      </c>
      <c r="I101" s="58">
        <v>69.2683733716618</v>
      </c>
      <c r="J101" s="59">
        <f t="shared" si="1"/>
        <v>11</v>
      </c>
    </row>
    <row r="102">
      <c r="A102" s="55" t="str">
        <f>IFERROR(__xludf.DUMMYFUNCTION("""COMPUTED_VALUE"""),"Challenger")</f>
        <v>Challenger</v>
      </c>
      <c r="B102" s="55" t="str">
        <f>IFERROR(__xludf.DUMMYFUNCTION("""COMPUTED_VALUE"""),"RSC008216")</f>
        <v>RSC008216</v>
      </c>
      <c r="C102" s="60" t="str">
        <f>IFERROR(__xludf.DUMMYFUNCTION("""COMPUTED_VALUE"""),"oBlueyRL")</f>
        <v>oBlueyRL</v>
      </c>
      <c r="D102" s="54" t="str">
        <f>IFERROR(__xludf.DUMMYFUNCTION("""COMPUTED_VALUE"""),"Warbirds")</f>
        <v>Warbirds</v>
      </c>
      <c r="E102" s="55" t="str">
        <f>IFERROR(__xludf.DUMMYFUNCTION("""COMPUTED_VALUE"""),"Lunar")</f>
        <v>Lunar</v>
      </c>
      <c r="F102" s="56">
        <f>IFERROR(__xludf.DUMMYFUNCTION("""COMPUTED_VALUE"""),55.05261290593055)</f>
        <v>55.05261291</v>
      </c>
      <c r="G102" s="57">
        <f>IFERROR(__xludf.DUMMYFUNCTION("""COMPUTED_VALUE"""),19.0)</f>
        <v>19</v>
      </c>
      <c r="H102" s="58">
        <f>IFERROR(__xludf.DUMMYFUNCTION("iferror(if(B102="""", ,filter('IDR Import'!D:D,'IDR Import'!A:A=B102,'IDR Import'!C:C=A102)),)"),72.69726775491077)</f>
        <v>72.69726775</v>
      </c>
      <c r="I102" s="58">
        <v>63.87494033042066</v>
      </c>
      <c r="J102" s="59">
        <f t="shared" si="1"/>
        <v>19</v>
      </c>
    </row>
    <row r="103">
      <c r="A103" s="55" t="str">
        <f>IFERROR(__xludf.DUMMYFUNCTION("""COMPUTED_VALUE"""),"Challenger")</f>
        <v>Challenger</v>
      </c>
      <c r="B103" s="55" t="str">
        <f>IFERROR(__xludf.DUMMYFUNCTION("""COMPUTED_VALUE"""),"RSC000357")</f>
        <v>RSC000357</v>
      </c>
      <c r="C103" s="60" t="str">
        <f>IFERROR(__xludf.DUMMYFUNCTION("""COMPUTED_VALUE"""),"Primed")</f>
        <v>Primed</v>
      </c>
      <c r="D103" s="54" t="str">
        <f>IFERROR(__xludf.DUMMYFUNCTION("""COMPUTED_VALUE"""),"Decuriones")</f>
        <v>Decuriones</v>
      </c>
      <c r="E103" s="55" t="str">
        <f>IFERROR(__xludf.DUMMYFUNCTION("""COMPUTED_VALUE"""),"Solar")</f>
        <v>Solar</v>
      </c>
      <c r="F103" s="56">
        <f>IFERROR(__xludf.DUMMYFUNCTION("""COMPUTED_VALUE"""),54.41838283907894)</f>
        <v>54.41838284</v>
      </c>
      <c r="G103" s="57">
        <f>IFERROR(__xludf.DUMMYFUNCTION("""COMPUTED_VALUE"""),45.0)</f>
        <v>45</v>
      </c>
      <c r="H103" s="58">
        <f>IFERROR(__xludf.DUMMYFUNCTION("iferror(if(B103="""", ,filter('IDR Import'!D:D,'IDR Import'!A:A=B103,'IDR Import'!C:C=A103)),)"),54.21354755792679)</f>
        <v>54.21354756</v>
      </c>
      <c r="I103" s="58">
        <v>54.315965198502866</v>
      </c>
      <c r="J103" s="59">
        <f t="shared" si="1"/>
        <v>45</v>
      </c>
    </row>
    <row r="104">
      <c r="A104" s="55" t="str">
        <f>IFERROR(__xludf.DUMMYFUNCTION("""COMPUTED_VALUE"""),"Challenger")</f>
        <v>Challenger</v>
      </c>
      <c r="B104" s="55" t="str">
        <f>IFERROR(__xludf.DUMMYFUNCTION("""COMPUTED_VALUE"""),"RSC008044")</f>
        <v>RSC008044</v>
      </c>
      <c r="C104" s="60" t="str">
        <f>IFERROR(__xludf.DUMMYFUNCTION("""COMPUTED_VALUE"""),"fender_bender2")</f>
        <v>fender_bender2</v>
      </c>
      <c r="D104" s="54" t="str">
        <f>IFERROR(__xludf.DUMMYFUNCTION("""COMPUTED_VALUE"""),"Olympic Knights")</f>
        <v>Olympic Knights</v>
      </c>
      <c r="E104" s="55" t="str">
        <f>IFERROR(__xludf.DUMMYFUNCTION("""COMPUTED_VALUE"""),"Solar")</f>
        <v>Solar</v>
      </c>
      <c r="F104" s="56">
        <f>IFERROR(__xludf.DUMMYFUNCTION("""COMPUTED_VALUE"""),54.34660432983185)</f>
        <v>54.34660433</v>
      </c>
      <c r="G104" s="57">
        <f>IFERROR(__xludf.DUMMYFUNCTION("""COMPUTED_VALUE"""),19.0)</f>
        <v>19</v>
      </c>
      <c r="H104" s="58">
        <f>IFERROR(__xludf.DUMMYFUNCTION("iferror(if(B104="""", ,filter('IDR Import'!D:D,'IDR Import'!A:A=B104,'IDR Import'!C:C=A104)),)"),60.43661834283129)</f>
        <v>60.43661834</v>
      </c>
      <c r="I104" s="58">
        <v>57.391611336331565</v>
      </c>
      <c r="J104" s="59">
        <f t="shared" si="1"/>
        <v>19</v>
      </c>
    </row>
    <row r="105">
      <c r="A105" s="55" t="str">
        <f>IFERROR(__xludf.DUMMYFUNCTION("""COMPUTED_VALUE"""),"Challenger")</f>
        <v>Challenger</v>
      </c>
      <c r="B105" s="55" t="str">
        <f>IFERROR(__xludf.DUMMYFUNCTION("""COMPUTED_VALUE"""),"RSC006346")</f>
        <v>RSC006346</v>
      </c>
      <c r="C105" s="60" t="str">
        <f>IFERROR(__xludf.DUMMYFUNCTION("""COMPUTED_VALUE"""),"MobBossCitrus")</f>
        <v>MobBossCitrus</v>
      </c>
      <c r="D105" s="54" t="str">
        <f>IFERROR(__xludf.DUMMYFUNCTION("""COMPUTED_VALUE"""),"Apple Associates")</f>
        <v>Apple Associates</v>
      </c>
      <c r="E105" s="55" t="str">
        <f>IFERROR(__xludf.DUMMYFUNCTION("""COMPUTED_VALUE"""),"Lunar")</f>
        <v>Lunar</v>
      </c>
      <c r="F105" s="56">
        <f>IFERROR(__xludf.DUMMYFUNCTION("""COMPUTED_VALUE"""),53.5432000314681)</f>
        <v>53.54320003</v>
      </c>
      <c r="G105" s="57">
        <f>IFERROR(__xludf.DUMMYFUNCTION("""COMPUTED_VALUE"""),46.0)</f>
        <v>46</v>
      </c>
      <c r="H105" s="58">
        <f>IFERROR(__xludf.DUMMYFUNCTION("iferror(if(B105="""", ,filter('IDR Import'!D:D,'IDR Import'!A:A=B105,'IDR Import'!C:C=A105)),)"),60.78820763688893)</f>
        <v>60.78820764</v>
      </c>
      <c r="I105" s="58">
        <v>57.165703834178515</v>
      </c>
      <c r="J105" s="59">
        <f t="shared" si="1"/>
        <v>46</v>
      </c>
    </row>
    <row r="106">
      <c r="A106" s="55" t="str">
        <f>IFERROR(__xludf.DUMMYFUNCTION("""COMPUTED_VALUE"""),"Challenger")</f>
        <v>Challenger</v>
      </c>
      <c r="B106" s="55" t="str">
        <f>IFERROR(__xludf.DUMMYFUNCTION("""COMPUTED_VALUE"""),"RSC003498")</f>
        <v>RSC003498</v>
      </c>
      <c r="C106" s="60" t="str">
        <f>IFERROR(__xludf.DUMMYFUNCTION("""COMPUTED_VALUE"""),"Merioch")</f>
        <v>Merioch</v>
      </c>
      <c r="D106" s="54" t="str">
        <f>IFERROR(__xludf.DUMMYFUNCTION("""COMPUTED_VALUE"""),"Insider Traders")</f>
        <v>Insider Traders</v>
      </c>
      <c r="E106" s="55" t="str">
        <f>IFERROR(__xludf.DUMMYFUNCTION("""COMPUTED_VALUE"""),"Lunar")</f>
        <v>Lunar</v>
      </c>
      <c r="F106" s="56">
        <f>IFERROR(__xludf.DUMMYFUNCTION("""COMPUTED_VALUE"""),53.538388729911325)</f>
        <v>53.53838873</v>
      </c>
      <c r="G106" s="57">
        <f>IFERROR(__xludf.DUMMYFUNCTION("""COMPUTED_VALUE"""),55.0)</f>
        <v>55</v>
      </c>
      <c r="H106" s="58">
        <f>IFERROR(__xludf.DUMMYFUNCTION("iferror(if(B106="""", ,filter('IDR Import'!D:D,'IDR Import'!A:A=B106,'IDR Import'!C:C=A106)),)"),51.69944223483955)</f>
        <v>51.69944223</v>
      </c>
      <c r="I106" s="58">
        <v>52.61891548237544</v>
      </c>
      <c r="J106" s="59">
        <f t="shared" si="1"/>
        <v>55</v>
      </c>
    </row>
    <row r="107">
      <c r="A107" s="55" t="str">
        <f>IFERROR(__xludf.DUMMYFUNCTION("""COMPUTED_VALUE"""),"Challenger")</f>
        <v>Challenger</v>
      </c>
      <c r="B107" s="55" t="str">
        <f>IFERROR(__xludf.DUMMYFUNCTION("""COMPUTED_VALUE"""),"RSC006322")</f>
        <v>RSC006322</v>
      </c>
      <c r="C107" s="60" t="str">
        <f>IFERROR(__xludf.DUMMYFUNCTION("""COMPUTED_VALUE"""),"Lorak")</f>
        <v>Lorak</v>
      </c>
      <c r="D107" s="54" t="str">
        <f>IFERROR(__xludf.DUMMYFUNCTION("""COMPUTED_VALUE"""),"Spearmint")</f>
        <v>Spearmint</v>
      </c>
      <c r="E107" s="55" t="str">
        <f>IFERROR(__xludf.DUMMYFUNCTION("""COMPUTED_VALUE"""),"Solar")</f>
        <v>Solar</v>
      </c>
      <c r="F107" s="56">
        <f>IFERROR(__xludf.DUMMYFUNCTION("""COMPUTED_VALUE"""),53.5068092383908)</f>
        <v>53.50680924</v>
      </c>
      <c r="G107" s="57">
        <f>IFERROR(__xludf.DUMMYFUNCTION("""COMPUTED_VALUE"""),56.0)</f>
        <v>56</v>
      </c>
      <c r="H107" s="58">
        <f>IFERROR(__xludf.DUMMYFUNCTION("iferror(if(B107="""", ,filter('IDR Import'!D:D,'IDR Import'!A:A=B107,'IDR Import'!C:C=A107)),)"),48.076947791022924)</f>
        <v>48.07694779</v>
      </c>
      <c r="I107" s="58">
        <v>50.791878514706866</v>
      </c>
      <c r="J107" s="59">
        <f t="shared" si="1"/>
        <v>56</v>
      </c>
    </row>
    <row r="108">
      <c r="A108" s="55" t="str">
        <f>IFERROR(__xludf.DUMMYFUNCTION("""COMPUTED_VALUE"""),"Challenger")</f>
        <v>Challenger</v>
      </c>
      <c r="B108" s="55" t="str">
        <f>IFERROR(__xludf.DUMMYFUNCTION("""COMPUTED_VALUE"""),"RSC007866")</f>
        <v>RSC007866</v>
      </c>
      <c r="C108" s="60" t="str">
        <f>IFERROR(__xludf.DUMMYFUNCTION("""COMPUTED_VALUE"""),"Swzyy GN")</f>
        <v>Swzyy GN</v>
      </c>
      <c r="D108" s="54" t="str">
        <f>IFERROR(__xludf.DUMMYFUNCTION("""COMPUTED_VALUE"""),"Metal")</f>
        <v>Metal</v>
      </c>
      <c r="E108" s="55" t="str">
        <f>IFERROR(__xludf.DUMMYFUNCTION("""COMPUTED_VALUE"""),"Solar")</f>
        <v>Solar</v>
      </c>
      <c r="F108" s="56">
        <f>IFERROR(__xludf.DUMMYFUNCTION("""COMPUTED_VALUE"""),51.90756173303922)</f>
        <v>51.90756173</v>
      </c>
      <c r="G108" s="57">
        <f>IFERROR(__xludf.DUMMYFUNCTION("""COMPUTED_VALUE"""),45.0)</f>
        <v>45</v>
      </c>
      <c r="H108" s="58">
        <f>IFERROR(__xludf.DUMMYFUNCTION("iferror(if(B108="""", ,filter('IDR Import'!D:D,'IDR Import'!A:A=B108,'IDR Import'!C:C=A108)),)"),41.94467873609261)</f>
        <v>41.94467874</v>
      </c>
      <c r="I108" s="58">
        <v>46.926120234565914</v>
      </c>
      <c r="J108" s="59">
        <f t="shared" si="1"/>
        <v>45</v>
      </c>
    </row>
    <row r="109">
      <c r="A109" s="55" t="str">
        <f>IFERROR(__xludf.DUMMYFUNCTION("""COMPUTED_VALUE"""),"Challenger")</f>
        <v>Challenger</v>
      </c>
      <c r="B109" s="55" t="str">
        <f>IFERROR(__xludf.DUMMYFUNCTION("""COMPUTED_VALUE"""),"RSC005909")</f>
        <v>RSC005909</v>
      </c>
      <c r="C109" s="60" t="str">
        <f>IFERROR(__xludf.DUMMYFUNCTION("""COMPUTED_VALUE"""),"YadiCraft")</f>
        <v>YadiCraft</v>
      </c>
      <c r="D109" s="54" t="str">
        <f>IFERROR(__xludf.DUMMYFUNCTION("""COMPUTED_VALUE"""),"Olympic Knights")</f>
        <v>Olympic Knights</v>
      </c>
      <c r="E109" s="55" t="str">
        <f>IFERROR(__xludf.DUMMYFUNCTION("""COMPUTED_VALUE"""),"Solar")</f>
        <v>Solar</v>
      </c>
      <c r="F109" s="56">
        <f>IFERROR(__xludf.DUMMYFUNCTION("""COMPUTED_VALUE"""),51.812361900992265)</f>
        <v>51.8123619</v>
      </c>
      <c r="G109" s="57">
        <f>IFERROR(__xludf.DUMMYFUNCTION("""COMPUTED_VALUE"""),36.0)</f>
        <v>36</v>
      </c>
      <c r="H109" s="58">
        <f>IFERROR(__xludf.DUMMYFUNCTION("iferror(if(B109="""", ,filter('IDR Import'!D:D,'IDR Import'!A:A=B109,'IDR Import'!C:C=A109)),)"),66.16863367299591)</f>
        <v>66.16863367</v>
      </c>
      <c r="I109" s="58">
        <v>58.990497786994084</v>
      </c>
      <c r="J109" s="59">
        <f t="shared" si="1"/>
        <v>36</v>
      </c>
    </row>
    <row r="110">
      <c r="A110" s="55" t="str">
        <f>IFERROR(__xludf.DUMMYFUNCTION("""COMPUTED_VALUE"""),"Challenger")</f>
        <v>Challenger</v>
      </c>
      <c r="B110" s="55" t="str">
        <f>IFERROR(__xludf.DUMMYFUNCTION("""COMPUTED_VALUE"""),"RSC007969")</f>
        <v>RSC007969</v>
      </c>
      <c r="C110" s="60" t="str">
        <f>IFERROR(__xludf.DUMMYFUNCTION("""COMPUTED_VALUE"""),"EcHo.rll")</f>
        <v>EcHo.rll</v>
      </c>
      <c r="D110" s="54" t="str">
        <f>IFERROR(__xludf.DUMMYFUNCTION("""COMPUTED_VALUE"""),"Sirens
Gold Hoarders")</f>
        <v>Sirens
Gold Hoarders</v>
      </c>
      <c r="E110" s="55" t="str">
        <f>IFERROR(__xludf.DUMMYFUNCTION("""COMPUTED_VALUE"""),"Solar
Lunar")</f>
        <v>Solar
Lunar</v>
      </c>
      <c r="F110" s="56">
        <f>IFERROR(__xludf.DUMMYFUNCTION("""COMPUTED_VALUE"""),51.69282916964779)</f>
        <v>51.69282917</v>
      </c>
      <c r="G110" s="57">
        <f>IFERROR(__xludf.DUMMYFUNCTION("""COMPUTED_VALUE"""),15.0)</f>
        <v>15</v>
      </c>
      <c r="H110" s="58">
        <f>IFERROR(__xludf.DUMMYFUNCTION("iferror(if(B110="""", ,filter('IDR Import'!D:D,'IDR Import'!A:A=B110,'IDR Import'!C:C=A110)),)"),29.106679079796997)</f>
        <v>29.10667908</v>
      </c>
      <c r="I110" s="58">
        <v>40.39975412472239</v>
      </c>
      <c r="J110" s="59">
        <f t="shared" si="1"/>
        <v>15</v>
      </c>
    </row>
    <row r="111">
      <c r="A111" s="55" t="str">
        <f>IFERROR(__xludf.DUMMYFUNCTION("""COMPUTED_VALUE"""),"Challenger")</f>
        <v>Challenger</v>
      </c>
      <c r="B111" s="55" t="str">
        <f>IFERROR(__xludf.DUMMYFUNCTION("""COMPUTED_VALUE"""),"RSC008357")</f>
        <v>RSC008357</v>
      </c>
      <c r="C111" s="60" t="str">
        <f>IFERROR(__xludf.DUMMYFUNCTION("""COMPUTED_VALUE"""),"tiagosan _")</f>
        <v>tiagosan _</v>
      </c>
      <c r="D111" s="54" t="str">
        <f>IFERROR(__xludf.DUMMYFUNCTION("""COMPUTED_VALUE"""),"Shade")</f>
        <v>Shade</v>
      </c>
      <c r="E111" s="55" t="str">
        <f>IFERROR(__xludf.DUMMYFUNCTION("""COMPUTED_VALUE"""),"Lunar")</f>
        <v>Lunar</v>
      </c>
      <c r="F111" s="56">
        <f>IFERROR(__xludf.DUMMYFUNCTION("""COMPUTED_VALUE"""),51.66445786951456)</f>
        <v>51.66445787</v>
      </c>
      <c r="G111" s="57">
        <f>IFERROR(__xludf.DUMMYFUNCTION("""COMPUTED_VALUE"""),43.0)</f>
        <v>43</v>
      </c>
      <c r="H111" s="58">
        <f>IFERROR(__xludf.DUMMYFUNCTION("iferror(if(B111="""", ,filter('IDR Import'!D:D,'IDR Import'!A:A=B111,'IDR Import'!C:C=A111)),)"),56.14825337138859)</f>
        <v>56.14825337</v>
      </c>
      <c r="I111" s="58">
        <v>53.90635562045158</v>
      </c>
      <c r="J111" s="59">
        <f t="shared" si="1"/>
        <v>43</v>
      </c>
    </row>
    <row r="112">
      <c r="A112" s="55" t="str">
        <f>IFERROR(__xludf.DUMMYFUNCTION("""COMPUTED_VALUE"""),"Challenger")</f>
        <v>Challenger</v>
      </c>
      <c r="B112" s="55" t="str">
        <f>IFERROR(__xludf.DUMMYFUNCTION("""COMPUTED_VALUE"""),"RSC000426")</f>
        <v>RSC000426</v>
      </c>
      <c r="C112" s="60" t="str">
        <f>IFERROR(__xludf.DUMMYFUNCTION("""COMPUTED_VALUE"""),"struttrl")</f>
        <v>struttrl</v>
      </c>
      <c r="D112" s="54" t="str">
        <f>IFERROR(__xludf.DUMMYFUNCTION("""COMPUTED_VALUE"""),"Scribes
Warbirds
Toucans
Glaciers
Warthogs")</f>
        <v>Scribes
Warbirds
Toucans
Glaciers
Warthogs</v>
      </c>
      <c r="E112" s="55" t="str">
        <f>IFERROR(__xludf.DUMMYFUNCTION("""COMPUTED_VALUE"""),"Lunar
Lunar
Solar
Solar
Lunar")</f>
        <v>Lunar
Lunar
Solar
Solar
Lunar</v>
      </c>
      <c r="F112" s="56">
        <f>IFERROR(__xludf.DUMMYFUNCTION("""COMPUTED_VALUE"""),51.03879406069503)</f>
        <v>51.03879406</v>
      </c>
      <c r="G112" s="57">
        <f>IFERROR(__xludf.DUMMYFUNCTION("""COMPUTED_VALUE"""),26.0)</f>
        <v>26</v>
      </c>
      <c r="H112" s="58">
        <f>IFERROR(__xludf.DUMMYFUNCTION("iferror(if(B112="""", ,filter('IDR Import'!D:D,'IDR Import'!A:A=B112,'IDR Import'!C:C=A112)),)"),38.52233093654476)</f>
        <v>38.52233094</v>
      </c>
      <c r="I112" s="58">
        <v>44.7805624986199</v>
      </c>
      <c r="J112" s="59">
        <f t="shared" si="1"/>
        <v>26</v>
      </c>
    </row>
    <row r="113">
      <c r="A113" s="55" t="str">
        <f>IFERROR(__xludf.DUMMYFUNCTION("""COMPUTED_VALUE"""),"Challenger")</f>
        <v>Challenger</v>
      </c>
      <c r="B113" s="55" t="str">
        <f>IFERROR(__xludf.DUMMYFUNCTION("""COMPUTED_VALUE"""),"RSC000347")</f>
        <v>RSC000347</v>
      </c>
      <c r="C113" s="60" t="str">
        <f>IFERROR(__xludf.DUMMYFUNCTION("""COMPUTED_VALUE"""),"Chris.")</f>
        <v>Chris.</v>
      </c>
      <c r="D113" s="54" t="str">
        <f>IFERROR(__xludf.DUMMYFUNCTION("""COMPUTED_VALUE"""),"Meat Lovers
Decuriones")</f>
        <v>Meat Lovers
Decuriones</v>
      </c>
      <c r="E113" s="55" t="str">
        <f>IFERROR(__xludf.DUMMYFUNCTION("""COMPUTED_VALUE"""),"Lunar
Solar")</f>
        <v>Lunar
Solar</v>
      </c>
      <c r="F113" s="56">
        <f>IFERROR(__xludf.DUMMYFUNCTION("""COMPUTED_VALUE"""),50.95919101279917)</f>
        <v>50.95919101</v>
      </c>
      <c r="G113" s="57">
        <f>IFERROR(__xludf.DUMMYFUNCTION("""COMPUTED_VALUE"""),5.0)</f>
        <v>5</v>
      </c>
      <c r="H113" s="58">
        <f>IFERROR(__xludf.DUMMYFUNCTION("iferror(if(B113="""", ,filter('IDR Import'!D:D,'IDR Import'!A:A=B113,'IDR Import'!C:C=A113)),)"),71.73118816835357)</f>
        <v>71.73118817</v>
      </c>
      <c r="I113" s="58">
        <v>61.34518959057637</v>
      </c>
      <c r="J113" s="59">
        <f t="shared" si="1"/>
        <v>5</v>
      </c>
    </row>
    <row r="114">
      <c r="A114" s="55" t="str">
        <f>IFERROR(__xludf.DUMMYFUNCTION("""COMPUTED_VALUE"""),"Challenger")</f>
        <v>Challenger</v>
      </c>
      <c r="B114" s="55" t="str">
        <f>IFERROR(__xludf.DUMMYFUNCTION("""COMPUTED_VALUE"""),"RSC001066")</f>
        <v>RSC001066</v>
      </c>
      <c r="C114" s="60" t="str">
        <f>IFERROR(__xludf.DUMMYFUNCTION("""COMPUTED_VALUE"""),"risu")</f>
        <v>risu</v>
      </c>
      <c r="D114" s="54" t="str">
        <f>IFERROR(__xludf.DUMMYFUNCTION("""COMPUTED_VALUE"""),"Toucans
Corals")</f>
        <v>Toucans
Corals</v>
      </c>
      <c r="E114" s="55" t="str">
        <f>IFERROR(__xludf.DUMMYFUNCTION("""COMPUTED_VALUE"""),"Solar
Lunar")</f>
        <v>Solar
Lunar</v>
      </c>
      <c r="F114" s="56">
        <f>IFERROR(__xludf.DUMMYFUNCTION("""COMPUTED_VALUE"""),50.844162847866606)</f>
        <v>50.84416285</v>
      </c>
      <c r="G114" s="57">
        <f>IFERROR(__xludf.DUMMYFUNCTION("""COMPUTED_VALUE"""),26.0)</f>
        <v>26</v>
      </c>
      <c r="H114" s="58">
        <f>IFERROR(__xludf.DUMMYFUNCTION("iferror(if(B114="""", ,filter('IDR Import'!D:D,'IDR Import'!A:A=B114,'IDR Import'!C:C=A114)),)"),45.65379329860244)</f>
        <v>45.6537933</v>
      </c>
      <c r="I114" s="58">
        <v>48.248978073234525</v>
      </c>
      <c r="J114" s="59">
        <f t="shared" si="1"/>
        <v>26</v>
      </c>
    </row>
    <row r="115">
      <c r="A115" s="55" t="str">
        <f>IFERROR(__xludf.DUMMYFUNCTION("""COMPUTED_VALUE"""),"Challenger")</f>
        <v>Challenger</v>
      </c>
      <c r="B115" s="55" t="str">
        <f>IFERROR(__xludf.DUMMYFUNCTION("""COMPUTED_VALUE"""),"RSC006659")</f>
        <v>RSC006659</v>
      </c>
      <c r="C115" s="60" t="str">
        <f>IFERROR(__xludf.DUMMYFUNCTION("""COMPUTED_VALUE"""),"ImZalama")</f>
        <v>ImZalama</v>
      </c>
      <c r="D115" s="54" t="str">
        <f>IFERROR(__xludf.DUMMYFUNCTION("""COMPUTED_VALUE"""),"Metal")</f>
        <v>Metal</v>
      </c>
      <c r="E115" s="55" t="str">
        <f>IFERROR(__xludf.DUMMYFUNCTION("""COMPUTED_VALUE"""),"Solar")</f>
        <v>Solar</v>
      </c>
      <c r="F115" s="56">
        <f>IFERROR(__xludf.DUMMYFUNCTION("""COMPUTED_VALUE"""),50.75439590904944)</f>
        <v>50.75439591</v>
      </c>
      <c r="G115" s="57">
        <f>IFERROR(__xludf.DUMMYFUNCTION("""COMPUTED_VALUE"""),50.0)</f>
        <v>50</v>
      </c>
      <c r="H115" s="58">
        <f>IFERROR(__xludf.DUMMYFUNCTION("iferror(if(B115="""", ,filter('IDR Import'!D:D,'IDR Import'!A:A=B115,'IDR Import'!C:C=A115)),)"),53.66601435055965)</f>
        <v>53.66601435</v>
      </c>
      <c r="I115" s="58">
        <v>52.21020512980455</v>
      </c>
      <c r="J115" s="59">
        <f t="shared" si="1"/>
        <v>50</v>
      </c>
    </row>
    <row r="116">
      <c r="A116" s="55" t="str">
        <f>IFERROR(__xludf.DUMMYFUNCTION("""COMPUTED_VALUE"""),"Challenger")</f>
        <v>Challenger</v>
      </c>
      <c r="B116" s="55" t="str">
        <f>IFERROR(__xludf.DUMMYFUNCTION("""COMPUTED_VALUE"""),"RSC008335")</f>
        <v>RSC008335</v>
      </c>
      <c r="C116" s="60" t="str">
        <f>IFERROR(__xludf.DUMMYFUNCTION("""COMPUTED_VALUE"""),"DLG_ToxicRatTrap")</f>
        <v>DLG_ToxicRatTrap</v>
      </c>
      <c r="D116" s="54" t="str">
        <f>IFERROR(__xludf.DUMMYFUNCTION("""COMPUTED_VALUE"""),"Glaciers")</f>
        <v>Glaciers</v>
      </c>
      <c r="E116" s="55" t="str">
        <f>IFERROR(__xludf.DUMMYFUNCTION("""COMPUTED_VALUE"""),"Solar")</f>
        <v>Solar</v>
      </c>
      <c r="F116" s="56">
        <f>IFERROR(__xludf.DUMMYFUNCTION("""COMPUTED_VALUE"""),50.66807912090937)</f>
        <v>50.66807912</v>
      </c>
      <c r="G116" s="57">
        <f>IFERROR(__xludf.DUMMYFUNCTION("""COMPUTED_VALUE"""),41.0)</f>
        <v>41</v>
      </c>
      <c r="H116" s="58">
        <f>IFERROR(__xludf.DUMMYFUNCTION("iferror(if(B116="""", ,filter('IDR Import'!D:D,'IDR Import'!A:A=B116,'IDR Import'!C:C=A116)),)"),53.34272673930913)</f>
        <v>53.34272674</v>
      </c>
      <c r="I116" s="58">
        <v>52.00540293010925</v>
      </c>
      <c r="J116" s="59">
        <f t="shared" si="1"/>
        <v>41</v>
      </c>
    </row>
    <row r="117">
      <c r="A117" s="55" t="str">
        <f>IFERROR(__xludf.DUMMYFUNCTION("""COMPUTED_VALUE"""),"Challenger")</f>
        <v>Challenger</v>
      </c>
      <c r="B117" s="55" t="str">
        <f>IFERROR(__xludf.DUMMYFUNCTION("""COMPUTED_VALUE"""),"RSC008111")</f>
        <v>RSC008111</v>
      </c>
      <c r="C117" s="60" t="str">
        <f>IFERROR(__xludf.DUMMYFUNCTION("""COMPUTED_VALUE"""),"Shadow_11Bravo")</f>
        <v>Shadow_11Bravo</v>
      </c>
      <c r="D117" s="54" t="str">
        <f>IFERROR(__xludf.DUMMYFUNCTION("""COMPUTED_VALUE"""),"Happy B-day Jess")</f>
        <v>Happy B-day Jess</v>
      </c>
      <c r="E117" s="55" t="str">
        <f>IFERROR(__xludf.DUMMYFUNCTION("""COMPUTED_VALUE"""),"Lunar")</f>
        <v>Lunar</v>
      </c>
      <c r="F117" s="56">
        <f>IFERROR(__xludf.DUMMYFUNCTION("""COMPUTED_VALUE"""),50.638750259253364)</f>
        <v>50.63875026</v>
      </c>
      <c r="G117" s="57">
        <f>IFERROR(__xludf.DUMMYFUNCTION("""COMPUTED_VALUE"""),30.0)</f>
        <v>30</v>
      </c>
      <c r="H117" s="58">
        <f>IFERROR(__xludf.DUMMYFUNCTION("iferror(if(B117="""", ,filter('IDR Import'!D:D,'IDR Import'!A:A=B117,'IDR Import'!C:C=A117)),)"),60.60008490016108)</f>
        <v>60.6000849</v>
      </c>
      <c r="I117" s="58">
        <v>55.61941757970722</v>
      </c>
      <c r="J117" s="59">
        <f t="shared" si="1"/>
        <v>30</v>
      </c>
    </row>
    <row r="118">
      <c r="A118" s="55" t="str">
        <f>IFERROR(__xludf.DUMMYFUNCTION("""COMPUTED_VALUE"""),"Challenger")</f>
        <v>Challenger</v>
      </c>
      <c r="B118" s="55" t="str">
        <f>IFERROR(__xludf.DUMMYFUNCTION("""COMPUTED_VALUE"""),"RSC005219")</f>
        <v>RSC005219</v>
      </c>
      <c r="C118" s="60" t="str">
        <f>IFERROR(__xludf.DUMMYFUNCTION("""COMPUTED_VALUE"""),"iargue")</f>
        <v>iargue</v>
      </c>
      <c r="D118" s="54" t="str">
        <f>IFERROR(__xludf.DUMMYFUNCTION("""COMPUTED_VALUE"""),"Shade")</f>
        <v>Shade</v>
      </c>
      <c r="E118" s="55" t="str">
        <f>IFERROR(__xludf.DUMMYFUNCTION("""COMPUTED_VALUE"""),"Lunar")</f>
        <v>Lunar</v>
      </c>
      <c r="F118" s="56">
        <f>IFERROR(__xludf.DUMMYFUNCTION("""COMPUTED_VALUE"""),50.27463057473527)</f>
        <v>50.27463057</v>
      </c>
      <c r="G118" s="57">
        <f>IFERROR(__xludf.DUMMYFUNCTION("""COMPUTED_VALUE"""),17.0)</f>
        <v>17</v>
      </c>
      <c r="H118" s="58">
        <f>IFERROR(__xludf.DUMMYFUNCTION("iferror(if(B118="""", ,filter('IDR Import'!D:D,'IDR Import'!A:A=B118,'IDR Import'!C:C=A118)),)"),41.70863496733148)</f>
        <v>41.70863497</v>
      </c>
      <c r="I118" s="58">
        <v>45.99163277103337</v>
      </c>
      <c r="J118" s="59">
        <f t="shared" si="1"/>
        <v>17</v>
      </c>
    </row>
    <row r="119">
      <c r="A119" s="55" t="str">
        <f>IFERROR(__xludf.DUMMYFUNCTION("""COMPUTED_VALUE"""),"Challenger")</f>
        <v>Challenger</v>
      </c>
      <c r="B119" s="55" t="str">
        <f>IFERROR(__xludf.DUMMYFUNCTION("""COMPUTED_VALUE"""),"RSC003900")</f>
        <v>RSC003900</v>
      </c>
      <c r="C119" s="60" t="str">
        <f>IFERROR(__xludf.DUMMYFUNCTION("""COMPUTED_VALUE"""),"Tryhard goblin")</f>
        <v>Tryhard goblin</v>
      </c>
      <c r="D119" s="54" t="str">
        <f>IFERROR(__xludf.DUMMYFUNCTION("""COMPUTED_VALUE"""),"Porch Pirates")</f>
        <v>Porch Pirates</v>
      </c>
      <c r="E119" s="55" t="str">
        <f>IFERROR(__xludf.DUMMYFUNCTION("""COMPUTED_VALUE"""),"Solar")</f>
        <v>Solar</v>
      </c>
      <c r="F119" s="56">
        <f>IFERROR(__xludf.DUMMYFUNCTION("""COMPUTED_VALUE"""),50.13842548789805)</f>
        <v>50.13842549</v>
      </c>
      <c r="G119" s="57">
        <f>IFERROR(__xludf.DUMMYFUNCTION("""COMPUTED_VALUE"""),52.0)</f>
        <v>52</v>
      </c>
      <c r="H119" s="58">
        <f>IFERROR(__xludf.DUMMYFUNCTION("iferror(if(B119="""", ,filter('IDR Import'!D:D,'IDR Import'!A:A=B119,'IDR Import'!C:C=A119)),)"),40.354535010715)</f>
        <v>40.35453501</v>
      </c>
      <c r="I119" s="58">
        <v>45.24648024930652</v>
      </c>
      <c r="J119" s="59">
        <f t="shared" si="1"/>
        <v>52</v>
      </c>
    </row>
    <row r="120">
      <c r="A120" s="55" t="str">
        <f>IFERROR(__xludf.DUMMYFUNCTION("""COMPUTED_VALUE"""),"Challenger")</f>
        <v>Challenger</v>
      </c>
      <c r="B120" s="55" t="str">
        <f>IFERROR(__xludf.DUMMYFUNCTION("""COMPUTED_VALUE"""),"RSC004498")</f>
        <v>RSC004498</v>
      </c>
      <c r="C120" s="60" t="str">
        <f>IFERROR(__xludf.DUMMYFUNCTION("""COMPUTED_VALUE"""),"S1r Duck")</f>
        <v>S1r Duck</v>
      </c>
      <c r="D120" s="54" t="str">
        <f>IFERROR(__xludf.DUMMYFUNCTION("""COMPUTED_VALUE"""),"Threshers")</f>
        <v>Threshers</v>
      </c>
      <c r="E120" s="55" t="str">
        <f>IFERROR(__xludf.DUMMYFUNCTION("""COMPUTED_VALUE"""),"Solar")</f>
        <v>Solar</v>
      </c>
      <c r="F120" s="56">
        <f>IFERROR(__xludf.DUMMYFUNCTION("""COMPUTED_VALUE"""),50.111667088098635)</f>
        <v>50.11166709</v>
      </c>
      <c r="G120" s="57">
        <f>IFERROR(__xludf.DUMMYFUNCTION("""COMPUTED_VALUE"""),4.0)</f>
        <v>4</v>
      </c>
      <c r="H120" s="58">
        <f>IFERROR(__xludf.DUMMYFUNCTION("iferror(if(B120="""", ,filter('IDR Import'!D:D,'IDR Import'!A:A=B120,'IDR Import'!C:C=A120)),)"),41.4240059697796)</f>
        <v>41.42400597</v>
      </c>
      <c r="I120" s="58">
        <v>45.767836528939114</v>
      </c>
      <c r="J120" s="59">
        <f t="shared" si="1"/>
        <v>4</v>
      </c>
    </row>
    <row r="121">
      <c r="A121" s="55" t="str">
        <f>IFERROR(__xludf.DUMMYFUNCTION("""COMPUTED_VALUE"""),"Challenger")</f>
        <v>Challenger</v>
      </c>
      <c r="B121" s="55" t="str">
        <f>IFERROR(__xludf.DUMMYFUNCTION("""COMPUTED_VALUE"""),"RSC004303")</f>
        <v>RSC004303</v>
      </c>
      <c r="C121" s="60" t="str">
        <f>IFERROR(__xludf.DUMMYFUNCTION("""COMPUTED_VALUE"""),"Shogun")</f>
        <v>Shogun</v>
      </c>
      <c r="D121" s="54" t="str">
        <f>IFERROR(__xludf.DUMMYFUNCTION("""COMPUTED_VALUE"""),"Happy B-day Jess")</f>
        <v>Happy B-day Jess</v>
      </c>
      <c r="E121" s="55" t="str">
        <f>IFERROR(__xludf.DUMMYFUNCTION("""COMPUTED_VALUE"""),"Lunar")</f>
        <v>Lunar</v>
      </c>
      <c r="F121" s="56">
        <f>IFERROR(__xludf.DUMMYFUNCTION("""COMPUTED_VALUE"""),49.64895587367024)</f>
        <v>49.64895587</v>
      </c>
      <c r="G121" s="57">
        <f>IFERROR(__xludf.DUMMYFUNCTION("""COMPUTED_VALUE"""),53.0)</f>
        <v>53</v>
      </c>
      <c r="H121" s="58">
        <f>IFERROR(__xludf.DUMMYFUNCTION("iferror(if(B121="""", ,filter('IDR Import'!D:D,'IDR Import'!A:A=B121,'IDR Import'!C:C=A121)),)"),56.253009397848345)</f>
        <v>56.2530094</v>
      </c>
      <c r="I121" s="58">
        <v>52.95098263575929</v>
      </c>
      <c r="J121" s="59">
        <f t="shared" si="1"/>
        <v>53</v>
      </c>
    </row>
    <row r="122">
      <c r="A122" s="55" t="str">
        <f>IFERROR(__xludf.DUMMYFUNCTION("""COMPUTED_VALUE"""),"Challenger")</f>
        <v>Challenger</v>
      </c>
      <c r="B122" s="55" t="str">
        <f>IFERROR(__xludf.DUMMYFUNCTION("""COMPUTED_VALUE"""),"RSC007816")</f>
        <v>RSC007816</v>
      </c>
      <c r="C122" s="60" t="str">
        <f>IFERROR(__xludf.DUMMYFUNCTION("""COMPUTED_VALUE"""),"Auty RL")</f>
        <v>Auty RL</v>
      </c>
      <c r="D122" s="54" t="str">
        <f>IFERROR(__xludf.DUMMYFUNCTION("""COMPUTED_VALUE"""),"Threshers")</f>
        <v>Threshers</v>
      </c>
      <c r="E122" s="55" t="str">
        <f>IFERROR(__xludf.DUMMYFUNCTION("""COMPUTED_VALUE"""),"Solar")</f>
        <v>Solar</v>
      </c>
      <c r="F122" s="56">
        <f>IFERROR(__xludf.DUMMYFUNCTION("""COMPUTED_VALUE"""),49.27457500345151)</f>
        <v>49.274575</v>
      </c>
      <c r="G122" s="57">
        <f>IFERROR(__xludf.DUMMYFUNCTION("""COMPUTED_VALUE"""),52.0)</f>
        <v>52</v>
      </c>
      <c r="H122" s="58">
        <f>IFERROR(__xludf.DUMMYFUNCTION("iferror(if(B122="""", ,filter('IDR Import'!D:D,'IDR Import'!A:A=B122,'IDR Import'!C:C=A122)),)"),49.21925758402669)</f>
        <v>49.21925758</v>
      </c>
      <c r="I122" s="58">
        <v>49.246916293739105</v>
      </c>
      <c r="J122" s="59">
        <f t="shared" si="1"/>
        <v>52</v>
      </c>
    </row>
    <row r="123">
      <c r="A123" s="55" t="str">
        <f>IFERROR(__xludf.DUMMYFUNCTION("""COMPUTED_VALUE"""),"Challenger")</f>
        <v>Challenger</v>
      </c>
      <c r="B123" s="55" t="str">
        <f>IFERROR(__xludf.DUMMYFUNCTION("""COMPUTED_VALUE"""),"RSC006308")</f>
        <v>RSC006308</v>
      </c>
      <c r="C123" s="60" t="str">
        <f>IFERROR(__xludf.DUMMYFUNCTION("""COMPUTED_VALUE"""),"SqueezySponge.")</f>
        <v>SqueezySponge.</v>
      </c>
      <c r="D123" s="54" t="str">
        <f>IFERROR(__xludf.DUMMYFUNCTION("""COMPUTED_VALUE"""),"Decuriones
Havarti Hustlers
Spearmint")</f>
        <v>Decuriones
Havarti Hustlers
Spearmint</v>
      </c>
      <c r="E123" s="55" t="str">
        <f>IFERROR(__xludf.DUMMYFUNCTION("""COMPUTED_VALUE"""),"Solar
Lunar
Solar")</f>
        <v>Solar
Lunar
Solar</v>
      </c>
      <c r="F123" s="56">
        <f>IFERROR(__xludf.DUMMYFUNCTION("""COMPUTED_VALUE"""),48.97707406712168)</f>
        <v>48.97707407</v>
      </c>
      <c r="G123" s="57">
        <f>IFERROR(__xludf.DUMMYFUNCTION("""COMPUTED_VALUE"""),53.0)</f>
        <v>53</v>
      </c>
      <c r="H123" s="58">
        <f>IFERROR(__xludf.DUMMYFUNCTION("iferror(if(B123="""", ,filter('IDR Import'!D:D,'IDR Import'!A:A=B123,'IDR Import'!C:C=A123)),)"),50.01815509211098)</f>
        <v>50.01815509</v>
      </c>
      <c r="I123" s="58">
        <v>49.497614579616325</v>
      </c>
      <c r="J123" s="59">
        <f t="shared" si="1"/>
        <v>53</v>
      </c>
    </row>
    <row r="124">
      <c r="A124" s="55" t="str">
        <f>IFERROR(__xludf.DUMMYFUNCTION("""COMPUTED_VALUE"""),"Challenger")</f>
        <v>Challenger</v>
      </c>
      <c r="B124" s="55" t="str">
        <f>IFERROR(__xludf.DUMMYFUNCTION("""COMPUTED_VALUE"""),"RSC008121")</f>
        <v>RSC008121</v>
      </c>
      <c r="C124" s="60" t="str">
        <f>IFERROR(__xludf.DUMMYFUNCTION("""COMPUTED_VALUE"""),"FlyDRCar")</f>
        <v>FlyDRCar</v>
      </c>
      <c r="D124" s="54" t="str">
        <f>IFERROR(__xludf.DUMMYFUNCTION("""COMPUTED_VALUE"""),"Jinyiwei
Meat Lovers
Warbirds
Corals")</f>
        <v>Jinyiwei
Meat Lovers
Warbirds
Corals</v>
      </c>
      <c r="E124" s="55" t="str">
        <f>IFERROR(__xludf.DUMMYFUNCTION("""COMPUTED_VALUE"""),"Lunar
Lunar
Lunar
Lunar")</f>
        <v>Lunar
Lunar
Lunar
Lunar</v>
      </c>
      <c r="F124" s="56">
        <f>IFERROR(__xludf.DUMMYFUNCTION("""COMPUTED_VALUE"""),48.78795931767366)</f>
        <v>48.78795932</v>
      </c>
      <c r="G124" s="57">
        <f>IFERROR(__xludf.DUMMYFUNCTION("""COMPUTED_VALUE"""),30.0)</f>
        <v>30</v>
      </c>
      <c r="H124" s="58">
        <f>IFERROR(__xludf.DUMMYFUNCTION("iferror(if(B124="""", ,filter('IDR Import'!D:D,'IDR Import'!A:A=B124,'IDR Import'!C:C=A124)),)"),54.65457858711305)</f>
        <v>54.65457859</v>
      </c>
      <c r="I124" s="58">
        <v>51.72126895239336</v>
      </c>
      <c r="J124" s="59">
        <f t="shared" si="1"/>
        <v>30</v>
      </c>
    </row>
    <row r="125">
      <c r="A125" s="55" t="str">
        <f>IFERROR(__xludf.DUMMYFUNCTION("""COMPUTED_VALUE"""),"Challenger")</f>
        <v>Challenger</v>
      </c>
      <c r="B125" s="55" t="str">
        <f>IFERROR(__xludf.DUMMYFUNCTION("""COMPUTED_VALUE"""),"RSC007502")</f>
        <v>RSC007502</v>
      </c>
      <c r="C125" s="60" t="str">
        <f>IFERROR(__xludf.DUMMYFUNCTION("""COMPUTED_VALUE"""),"Cr1m5on_RL")</f>
        <v>Cr1m5on_RL</v>
      </c>
      <c r="D125" s="54" t="str">
        <f>IFERROR(__xludf.DUMMYFUNCTION("""COMPUTED_VALUE"""),"Metal")</f>
        <v>Metal</v>
      </c>
      <c r="E125" s="55" t="str">
        <f>IFERROR(__xludf.DUMMYFUNCTION("""COMPUTED_VALUE"""),"Solar")</f>
        <v>Solar</v>
      </c>
      <c r="F125" s="56">
        <f>IFERROR(__xludf.DUMMYFUNCTION("""COMPUTED_VALUE"""),47.77880343232341)</f>
        <v>47.77880343</v>
      </c>
      <c r="G125" s="57">
        <f>IFERROR(__xludf.DUMMYFUNCTION("""COMPUTED_VALUE"""),45.0)</f>
        <v>45</v>
      </c>
      <c r="H125" s="58">
        <f>IFERROR(__xludf.DUMMYFUNCTION("iferror(if(B125="""", ,filter('IDR Import'!D:D,'IDR Import'!A:A=B125,'IDR Import'!C:C=A125)),)"),51.619888729321694)</f>
        <v>51.61988873</v>
      </c>
      <c r="I125" s="58">
        <v>49.69934608082255</v>
      </c>
      <c r="J125" s="59">
        <f t="shared" si="1"/>
        <v>45</v>
      </c>
    </row>
    <row r="126">
      <c r="A126" s="55" t="str">
        <f>IFERROR(__xludf.DUMMYFUNCTION("""COMPUTED_VALUE"""),"Challenger")</f>
        <v>Challenger</v>
      </c>
      <c r="B126" s="55" t="str">
        <f>IFERROR(__xludf.DUMMYFUNCTION("""COMPUTED_VALUE"""),"RSC008162")</f>
        <v>RSC008162</v>
      </c>
      <c r="C126" s="60" t="str">
        <f>IFERROR(__xludf.DUMMYFUNCTION("""COMPUTED_VALUE"""),"ThatHomieGageTTV")</f>
        <v>ThatHomieGageTTV</v>
      </c>
      <c r="D126" s="54" t="str">
        <f>IFERROR(__xludf.DUMMYFUNCTION("""COMPUTED_VALUE"""),"Spearmint")</f>
        <v>Spearmint</v>
      </c>
      <c r="E126" s="55" t="str">
        <f>IFERROR(__xludf.DUMMYFUNCTION("""COMPUTED_VALUE"""),"Solar")</f>
        <v>Solar</v>
      </c>
      <c r="F126" s="56">
        <f>IFERROR(__xludf.DUMMYFUNCTION("""COMPUTED_VALUE"""),47.560484084057364)</f>
        <v>47.56048408</v>
      </c>
      <c r="G126" s="57">
        <f>IFERROR(__xludf.DUMMYFUNCTION("""COMPUTED_VALUE"""),38.0)</f>
        <v>38</v>
      </c>
      <c r="H126" s="58">
        <f>IFERROR(__xludf.DUMMYFUNCTION("iferror(if(B126="""", ,filter('IDR Import'!D:D,'IDR Import'!A:A=B126,'IDR Import'!C:C=A126)),)"),48.62026959871864)</f>
        <v>48.6202696</v>
      </c>
      <c r="I126" s="58">
        <v>48.09037684138801</v>
      </c>
      <c r="J126" s="59">
        <f t="shared" si="1"/>
        <v>38</v>
      </c>
    </row>
    <row r="127">
      <c r="A127" s="55" t="str">
        <f>IFERROR(__xludf.DUMMYFUNCTION("""COMPUTED_VALUE"""),"Challenger")</f>
        <v>Challenger</v>
      </c>
      <c r="B127" s="55" t="str">
        <f>IFERROR(__xludf.DUMMYFUNCTION("""COMPUTED_VALUE"""),"RSC007692")</f>
        <v>RSC007692</v>
      </c>
      <c r="C127" s="60" t="str">
        <f>IFERROR(__xludf.DUMMYFUNCTION("""COMPUTED_VALUE"""),"Unc_DyLon")</f>
        <v>Unc_DyLon</v>
      </c>
      <c r="D127" s="54" t="str">
        <f>IFERROR(__xludf.DUMMYFUNCTION("""COMPUTED_VALUE"""),"Gold Hoarders
Meat Lovers")</f>
        <v>Gold Hoarders
Meat Lovers</v>
      </c>
      <c r="E127" s="55" t="str">
        <f>IFERROR(__xludf.DUMMYFUNCTION("""COMPUTED_VALUE"""),"Lunar
Lunar")</f>
        <v>Lunar
Lunar</v>
      </c>
      <c r="F127" s="56">
        <f>IFERROR(__xludf.DUMMYFUNCTION("""COMPUTED_VALUE"""),47.20532654450533)</f>
        <v>47.20532654</v>
      </c>
      <c r="G127" s="57">
        <f>IFERROR(__xludf.DUMMYFUNCTION("""COMPUTED_VALUE"""),51.0)</f>
        <v>51</v>
      </c>
      <c r="H127" s="58">
        <f>IFERROR(__xludf.DUMMYFUNCTION("iferror(if(B127="""", ,filter('IDR Import'!D:D,'IDR Import'!A:A=B127,'IDR Import'!C:C=A127)),)"),40.902480529228946)</f>
        <v>40.90248053</v>
      </c>
      <c r="I127" s="58">
        <v>44.05390353686714</v>
      </c>
      <c r="J127" s="59">
        <f t="shared" si="1"/>
        <v>51</v>
      </c>
    </row>
    <row r="128">
      <c r="A128" s="55" t="str">
        <f>IFERROR(__xludf.DUMMYFUNCTION("""COMPUTED_VALUE"""),"Challenger")</f>
        <v>Challenger</v>
      </c>
      <c r="B128" s="55" t="str">
        <f>IFERROR(__xludf.DUMMYFUNCTION("""COMPUTED_VALUE"""),"RSC008010")</f>
        <v>RSC008010</v>
      </c>
      <c r="C128" s="60" t="str">
        <f>IFERROR(__xludf.DUMMYFUNCTION("""COMPUTED_VALUE"""),"WamBamTYMan-")</f>
        <v>WamBamTYMan-</v>
      </c>
      <c r="D128" s="54" t="str">
        <f>IFERROR(__xludf.DUMMYFUNCTION("""COMPUTED_VALUE"""),"Warbirds")</f>
        <v>Warbirds</v>
      </c>
      <c r="E128" s="55" t="str">
        <f>IFERROR(__xludf.DUMMYFUNCTION("""COMPUTED_VALUE"""),"Lunar")</f>
        <v>Lunar</v>
      </c>
      <c r="F128" s="56">
        <f>IFERROR(__xludf.DUMMYFUNCTION("""COMPUTED_VALUE"""),46.93427179259437)</f>
        <v>46.93427179</v>
      </c>
      <c r="G128" s="57">
        <f>IFERROR(__xludf.DUMMYFUNCTION("""COMPUTED_VALUE"""),52.0)</f>
        <v>52</v>
      </c>
      <c r="H128" s="58">
        <f>IFERROR(__xludf.DUMMYFUNCTION("iferror(if(B128="""", ,filter('IDR Import'!D:D,'IDR Import'!A:A=B128,'IDR Import'!C:C=A128)),)"),67.896651191411)</f>
        <v>67.89665119</v>
      </c>
      <c r="I128" s="58">
        <v>57.415461492002684</v>
      </c>
      <c r="J128" s="59">
        <f t="shared" si="1"/>
        <v>52</v>
      </c>
    </row>
    <row r="129">
      <c r="A129" s="55" t="str">
        <f>IFERROR(__xludf.DUMMYFUNCTION("""COMPUTED_VALUE"""),"Challenger")</f>
        <v>Challenger</v>
      </c>
      <c r="B129" s="55" t="str">
        <f>IFERROR(__xludf.DUMMYFUNCTION("""COMPUTED_VALUE"""),"RSC005397")</f>
        <v>RSC005397</v>
      </c>
      <c r="C129" s="60" t="str">
        <f>IFERROR(__xludf.DUMMYFUNCTION("""COMPUTED_VALUE"""),"PridedBird3406")</f>
        <v>PridedBird3406</v>
      </c>
      <c r="D129" s="54" t="str">
        <f>IFERROR(__xludf.DUMMYFUNCTION("""COMPUTED_VALUE"""),"Glams")</f>
        <v>Glams</v>
      </c>
      <c r="E129" s="55" t="str">
        <f>IFERROR(__xludf.DUMMYFUNCTION("""COMPUTED_VALUE"""),"Lunar")</f>
        <v>Lunar</v>
      </c>
      <c r="F129" s="56">
        <f>IFERROR(__xludf.DUMMYFUNCTION("""COMPUTED_VALUE"""),45.90814304566256)</f>
        <v>45.90814305</v>
      </c>
      <c r="G129" s="57">
        <f>IFERROR(__xludf.DUMMYFUNCTION("""COMPUTED_VALUE"""),44.0)</f>
        <v>44</v>
      </c>
      <c r="H129" s="58">
        <f>IFERROR(__xludf.DUMMYFUNCTION("iferror(if(B129="""", ,filter('IDR Import'!D:D,'IDR Import'!A:A=B129,'IDR Import'!C:C=A129)),)"),36.991978553518926)</f>
        <v>36.99197855</v>
      </c>
      <c r="I129" s="58">
        <v>41.450060799590744</v>
      </c>
      <c r="J129" s="59">
        <f t="shared" si="1"/>
        <v>44</v>
      </c>
    </row>
    <row r="130">
      <c r="A130" s="55" t="str">
        <f>IFERROR(__xludf.DUMMYFUNCTION("""COMPUTED_VALUE"""),"Challenger")</f>
        <v>Challenger</v>
      </c>
      <c r="B130" s="55" t="str">
        <f>IFERROR(__xludf.DUMMYFUNCTION("""COMPUTED_VALUE"""),"RSC000221")</f>
        <v>RSC000221</v>
      </c>
      <c r="C130" s="60" t="str">
        <f>IFERROR(__xludf.DUMMYFUNCTION("""COMPUTED_VALUE"""),"Treefrog")</f>
        <v>Treefrog</v>
      </c>
      <c r="D130" s="54" t="str">
        <f>IFERROR(__xludf.DUMMYFUNCTION("""COMPUTED_VALUE"""),"Scribes")</f>
        <v>Scribes</v>
      </c>
      <c r="E130" s="55" t="str">
        <f>IFERROR(__xludf.DUMMYFUNCTION("""COMPUTED_VALUE"""),"Lunar")</f>
        <v>Lunar</v>
      </c>
      <c r="F130" s="56">
        <f>IFERROR(__xludf.DUMMYFUNCTION("""COMPUTED_VALUE"""),45.48675589896014)</f>
        <v>45.4867559</v>
      </c>
      <c r="G130" s="57">
        <f>IFERROR(__xludf.DUMMYFUNCTION("""COMPUTED_VALUE"""),44.0)</f>
        <v>44</v>
      </c>
      <c r="H130" s="58">
        <f>IFERROR(__xludf.DUMMYFUNCTION("iferror(if(B130="""", ,filter('IDR Import'!D:D,'IDR Import'!A:A=B130,'IDR Import'!C:C=A130)),)"),42.252027161176734)</f>
        <v>42.25202716</v>
      </c>
      <c r="I130" s="58">
        <v>43.86939153006844</v>
      </c>
      <c r="J130" s="59">
        <f t="shared" si="1"/>
        <v>44</v>
      </c>
    </row>
    <row r="131">
      <c r="A131" s="55" t="str">
        <f>IFERROR(__xludf.DUMMYFUNCTION("""COMPUTED_VALUE"""),"Challenger")</f>
        <v>Challenger</v>
      </c>
      <c r="B131" s="55" t="str">
        <f>IFERROR(__xludf.DUMMYFUNCTION("""COMPUTED_VALUE"""),"RSC003387")</f>
        <v>RSC003387</v>
      </c>
      <c r="C131" s="60" t="str">
        <f>IFERROR(__xludf.DUMMYFUNCTION("""COMPUTED_VALUE"""),"Redline")</f>
        <v>Redline</v>
      </c>
      <c r="D131" s="54" t="str">
        <f>IFERROR(__xludf.DUMMYFUNCTION("""COMPUTED_VALUE"""),"Havarti Hustlers")</f>
        <v>Havarti Hustlers</v>
      </c>
      <c r="E131" s="55" t="str">
        <f>IFERROR(__xludf.DUMMYFUNCTION("""COMPUTED_VALUE"""),"Lunar")</f>
        <v>Lunar</v>
      </c>
      <c r="F131" s="56">
        <f>IFERROR(__xludf.DUMMYFUNCTION("""COMPUTED_VALUE"""),44.6395774230147)</f>
        <v>44.63957742</v>
      </c>
      <c r="G131" s="57">
        <f>IFERROR(__xludf.DUMMYFUNCTION("""COMPUTED_VALUE"""),30.0)</f>
        <v>30</v>
      </c>
      <c r="H131" s="58">
        <f>IFERROR(__xludf.DUMMYFUNCTION("iferror(if(B131="""", ,filter('IDR Import'!D:D,'IDR Import'!A:A=B131,'IDR Import'!C:C=A131)),)"),42.8678594063104)</f>
        <v>42.86785941</v>
      </c>
      <c r="I131" s="58">
        <v>43.75371841466255</v>
      </c>
      <c r="J131" s="59">
        <f t="shared" si="1"/>
        <v>30</v>
      </c>
    </row>
    <row r="132">
      <c r="A132" s="55" t="str">
        <f>IFERROR(__xludf.DUMMYFUNCTION("""COMPUTED_VALUE"""),"Challenger")</f>
        <v>Challenger</v>
      </c>
      <c r="B132" s="55" t="str">
        <f>IFERROR(__xludf.DUMMYFUNCTION("""COMPUTED_VALUE"""),"RSC005136")</f>
        <v>RSC005136</v>
      </c>
      <c r="C132" s="60" t="str">
        <f>IFERROR(__xludf.DUMMYFUNCTION("""COMPUTED_VALUE"""),"tdogplayz")</f>
        <v>tdogplayz</v>
      </c>
      <c r="D132" s="54" t="str">
        <f>IFERROR(__xludf.DUMMYFUNCTION("""COMPUTED_VALUE"""),"Glams")</f>
        <v>Glams</v>
      </c>
      <c r="E132" s="55" t="str">
        <f>IFERROR(__xludf.DUMMYFUNCTION("""COMPUTED_VALUE"""),"Lunar")</f>
        <v>Lunar</v>
      </c>
      <c r="F132" s="56">
        <f>IFERROR(__xludf.DUMMYFUNCTION("""COMPUTED_VALUE"""),44.57427082418858)</f>
        <v>44.57427082</v>
      </c>
      <c r="G132" s="57">
        <f>IFERROR(__xludf.DUMMYFUNCTION("""COMPUTED_VALUE"""),50.0)</f>
        <v>50</v>
      </c>
      <c r="H132" s="58">
        <f>IFERROR(__xludf.DUMMYFUNCTION("iferror(if(B132="""", ,filter('IDR Import'!D:D,'IDR Import'!A:A=B132,'IDR Import'!C:C=A132)),)"),30.313055994341145)</f>
        <v>30.31305599</v>
      </c>
      <c r="I132" s="58">
        <v>37.443663409264865</v>
      </c>
      <c r="J132" s="59">
        <f t="shared" si="1"/>
        <v>50</v>
      </c>
    </row>
    <row r="133">
      <c r="A133" s="55" t="str">
        <f>IFERROR(__xludf.DUMMYFUNCTION("""COMPUTED_VALUE"""),"Challenger")</f>
        <v>Challenger</v>
      </c>
      <c r="B133" s="55" t="str">
        <f>IFERROR(__xludf.DUMMYFUNCTION("""COMPUTED_VALUE"""),"RSC006569")</f>
        <v>RSC006569</v>
      </c>
      <c r="C133" s="60" t="str">
        <f>IFERROR(__xludf.DUMMYFUNCTION("""COMPUTED_VALUE"""),"mulliganisoup")</f>
        <v>mulliganisoup</v>
      </c>
      <c r="D133" s="54" t="str">
        <f>IFERROR(__xludf.DUMMYFUNCTION("""COMPUTED_VALUE"""),"Gold Hoarders
Porch Pirates")</f>
        <v>Gold Hoarders
Porch Pirates</v>
      </c>
      <c r="E133" s="55" t="str">
        <f>IFERROR(__xludf.DUMMYFUNCTION("""COMPUTED_VALUE"""),"Lunar
Solar")</f>
        <v>Lunar
Solar</v>
      </c>
      <c r="F133" s="56">
        <f>IFERROR(__xludf.DUMMYFUNCTION("""COMPUTED_VALUE"""),44.00959846466458)</f>
        <v>44.00959846</v>
      </c>
      <c r="G133" s="57">
        <f>IFERROR(__xludf.DUMMYFUNCTION("""COMPUTED_VALUE"""),24.0)</f>
        <v>24</v>
      </c>
      <c r="H133" s="58">
        <f>IFERROR(__xludf.DUMMYFUNCTION("iferror(if(B133="""", ,filter('IDR Import'!D:D,'IDR Import'!A:A=B133,'IDR Import'!C:C=A133)),)"),32.807253240907826)</f>
        <v>32.80725324</v>
      </c>
      <c r="I133" s="58">
        <v>38.4084258527862</v>
      </c>
      <c r="J133" s="59">
        <f t="shared" si="1"/>
        <v>24</v>
      </c>
    </row>
    <row r="134">
      <c r="A134" s="55" t="str">
        <f>IFERROR(__xludf.DUMMYFUNCTION("""COMPUTED_VALUE"""),"Challenger")</f>
        <v>Challenger</v>
      </c>
      <c r="B134" s="55" t="str">
        <f>IFERROR(__xludf.DUMMYFUNCTION("""COMPUTED_VALUE"""),"RSC007525")</f>
        <v>RSC007525</v>
      </c>
      <c r="C134" s="60" t="str">
        <f>IFERROR(__xludf.DUMMYFUNCTION("""COMPUTED_VALUE"""),"BulletNote")</f>
        <v>BulletNote</v>
      </c>
      <c r="D134" s="54" t="str">
        <f>IFERROR(__xludf.DUMMYFUNCTION("""COMPUTED_VALUE"""),"Thunder Pups")</f>
        <v>Thunder Pups</v>
      </c>
      <c r="E134" s="55" t="str">
        <f>IFERROR(__xludf.DUMMYFUNCTION("""COMPUTED_VALUE"""),"Solar")</f>
        <v>Solar</v>
      </c>
      <c r="F134" s="56">
        <f>IFERROR(__xludf.DUMMYFUNCTION("""COMPUTED_VALUE"""),43.59732599729899)</f>
        <v>43.597326</v>
      </c>
      <c r="G134" s="57">
        <f>IFERROR(__xludf.DUMMYFUNCTION("""COMPUTED_VALUE"""),34.0)</f>
        <v>34</v>
      </c>
      <c r="H134" s="58">
        <f>IFERROR(__xludf.DUMMYFUNCTION("iferror(if(B134="""", ,filter('IDR Import'!D:D,'IDR Import'!A:A=B134,'IDR Import'!C:C=A134)),)"),41.61425561939143)</f>
        <v>41.61425562</v>
      </c>
      <c r="I134" s="58">
        <v>42.605790808345205</v>
      </c>
      <c r="J134" s="59">
        <f t="shared" si="1"/>
        <v>34</v>
      </c>
    </row>
    <row r="135">
      <c r="A135" s="55" t="str">
        <f>IFERROR(__xludf.DUMMYFUNCTION("""COMPUTED_VALUE"""),"Challenger")</f>
        <v>Challenger</v>
      </c>
      <c r="B135" s="55" t="str">
        <f>IFERROR(__xludf.DUMMYFUNCTION("""COMPUTED_VALUE"""),"RSC007568")</f>
        <v>RSC007568</v>
      </c>
      <c r="C135" s="60" t="str">
        <f>IFERROR(__xludf.DUMMYFUNCTION("""COMPUTED_VALUE"""),"Chills1912")</f>
        <v>Chills1912</v>
      </c>
      <c r="D135" s="54" t="str">
        <f>IFERROR(__xludf.DUMMYFUNCTION("""COMPUTED_VALUE"""),"Void")</f>
        <v>Void</v>
      </c>
      <c r="E135" s="55" t="str">
        <f>IFERROR(__xludf.DUMMYFUNCTION("""COMPUTED_VALUE"""),"Solar")</f>
        <v>Solar</v>
      </c>
      <c r="F135" s="56">
        <f>IFERROR(__xludf.DUMMYFUNCTION("""COMPUTED_VALUE"""),43.57002548606513)</f>
        <v>43.57002549</v>
      </c>
      <c r="G135" s="57">
        <f>IFERROR(__xludf.DUMMYFUNCTION("""COMPUTED_VALUE"""),47.0)</f>
        <v>47</v>
      </c>
      <c r="H135" s="58">
        <f>IFERROR(__xludf.DUMMYFUNCTION("iferror(if(B135="""", ,filter('IDR Import'!D:D,'IDR Import'!A:A=B135,'IDR Import'!C:C=A135)),)"),50.35642044541177)</f>
        <v>50.35642045</v>
      </c>
      <c r="I135" s="58">
        <v>46.96322296573845</v>
      </c>
      <c r="J135" s="59">
        <f t="shared" si="1"/>
        <v>47</v>
      </c>
    </row>
    <row r="136">
      <c r="A136" s="55" t="str">
        <f>IFERROR(__xludf.DUMMYFUNCTION("""COMPUTED_VALUE"""),"Challenger")</f>
        <v>Challenger</v>
      </c>
      <c r="B136" s="55" t="str">
        <f>IFERROR(__xludf.DUMMYFUNCTION("""COMPUTED_VALUE"""),"RSC006966")</f>
        <v>RSC006966</v>
      </c>
      <c r="C136" s="60" t="str">
        <f>IFERROR(__xludf.DUMMYFUNCTION("""COMPUTED_VALUE"""),"Pivot97")</f>
        <v>Pivot97</v>
      </c>
      <c r="D136" s="54" t="str">
        <f>IFERROR(__xludf.DUMMYFUNCTION("""COMPUTED_VALUE"""),"Havarti Hustlers")</f>
        <v>Havarti Hustlers</v>
      </c>
      <c r="E136" s="55" t="str">
        <f>IFERROR(__xludf.DUMMYFUNCTION("""COMPUTED_VALUE"""),"Lunar")</f>
        <v>Lunar</v>
      </c>
      <c r="F136" s="56">
        <f>IFERROR(__xludf.DUMMYFUNCTION("""COMPUTED_VALUE"""),43.27363510687596)</f>
        <v>43.27363511</v>
      </c>
      <c r="G136" s="57">
        <f>IFERROR(__xludf.DUMMYFUNCTION("""COMPUTED_VALUE"""),21.0)</f>
        <v>21</v>
      </c>
      <c r="H136" s="58">
        <f>IFERROR(__xludf.DUMMYFUNCTION("iferror(if(B136="""", ,filter('IDR Import'!D:D,'IDR Import'!A:A=B136,'IDR Import'!C:C=A136)),)"),33.38770265157977)</f>
        <v>33.38770265</v>
      </c>
      <c r="I136" s="58">
        <v>38.330668879227865</v>
      </c>
      <c r="J136" s="59">
        <f t="shared" si="1"/>
        <v>21</v>
      </c>
    </row>
    <row r="137">
      <c r="A137" s="55" t="str">
        <f>IFERROR(__xludf.DUMMYFUNCTION("""COMPUTED_VALUE"""),"Challenger")</f>
        <v>Challenger</v>
      </c>
      <c r="B137" s="55" t="str">
        <f>IFERROR(__xludf.DUMMYFUNCTION("""COMPUTED_VALUE"""),"RSC005884")</f>
        <v>RSC005884</v>
      </c>
      <c r="C137" s="60" t="str">
        <f>IFERROR(__xludf.DUMMYFUNCTION("""COMPUTED_VALUE"""),"Zachthebull36")</f>
        <v>Zachthebull36</v>
      </c>
      <c r="D137" s="54" t="str">
        <f>IFERROR(__xludf.DUMMYFUNCTION("""COMPUTED_VALUE"""),"Scribes")</f>
        <v>Scribes</v>
      </c>
      <c r="E137" s="55" t="str">
        <f>IFERROR(__xludf.DUMMYFUNCTION("""COMPUTED_VALUE"""),"Lunar")</f>
        <v>Lunar</v>
      </c>
      <c r="F137" s="56">
        <f>IFERROR(__xludf.DUMMYFUNCTION("""COMPUTED_VALUE"""),42.821980513395715)</f>
        <v>42.82198051</v>
      </c>
      <c r="G137" s="57">
        <f>IFERROR(__xludf.DUMMYFUNCTION("""COMPUTED_VALUE"""),40.0)</f>
        <v>40</v>
      </c>
      <c r="H137" s="58">
        <f>IFERROR(__xludf.DUMMYFUNCTION("iferror(if(B137="""", ,filter('IDR Import'!D:D,'IDR Import'!A:A=B137,'IDR Import'!C:C=A137)),)"),36.72623724783451)</f>
        <v>36.72623725</v>
      </c>
      <c r="I137" s="58">
        <v>39.77410888061512</v>
      </c>
      <c r="J137" s="59">
        <f t="shared" si="1"/>
        <v>40</v>
      </c>
    </row>
    <row r="138">
      <c r="A138" s="55" t="str">
        <f>IFERROR(__xludf.DUMMYFUNCTION("""COMPUTED_VALUE"""),"Challenger")</f>
        <v>Challenger</v>
      </c>
      <c r="B138" s="55" t="str">
        <f>IFERROR(__xludf.DUMMYFUNCTION("""COMPUTED_VALUE"""),"RSC003836")</f>
        <v>RSC003836</v>
      </c>
      <c r="C138" s="60" t="str">
        <f>IFERROR(__xludf.DUMMYFUNCTION("""COMPUTED_VALUE"""),"Chronicle")</f>
        <v>Chronicle</v>
      </c>
      <c r="D138" s="54" t="str">
        <f>IFERROR(__xludf.DUMMYFUNCTION("""COMPUTED_VALUE"""),"Warbirds
Toucans")</f>
        <v>Warbirds
Toucans</v>
      </c>
      <c r="E138" s="55" t="str">
        <f>IFERROR(__xludf.DUMMYFUNCTION("""COMPUTED_VALUE"""),"Lunar
Solar")</f>
        <v>Lunar
Solar</v>
      </c>
      <c r="F138" s="56">
        <f>IFERROR(__xludf.DUMMYFUNCTION("""COMPUTED_VALUE"""),42.610113445511566)</f>
        <v>42.61011345</v>
      </c>
      <c r="G138" s="57">
        <f>IFERROR(__xludf.DUMMYFUNCTION("""COMPUTED_VALUE"""),24.0)</f>
        <v>24</v>
      </c>
      <c r="H138" s="58">
        <f>IFERROR(__xludf.DUMMYFUNCTION("iferror(if(B138="""", ,filter('IDR Import'!D:D,'IDR Import'!A:A=B138,'IDR Import'!C:C=A138)),)"),17.47619431920669)</f>
        <v>17.47619432</v>
      </c>
      <c r="I138" s="58">
        <v>30.043153882359128</v>
      </c>
      <c r="J138" s="59">
        <f t="shared" si="1"/>
        <v>24</v>
      </c>
    </row>
    <row r="139">
      <c r="A139" s="55" t="str">
        <f>IFERROR(__xludf.DUMMYFUNCTION("""COMPUTED_VALUE"""),"Challenger")</f>
        <v>Challenger</v>
      </c>
      <c r="B139" s="55" t="str">
        <f>IFERROR(__xludf.DUMMYFUNCTION("""COMPUTED_VALUE"""),"RSC007141")</f>
        <v>RSC007141</v>
      </c>
      <c r="C139" s="60" t="str">
        <f>IFERROR(__xludf.DUMMYFUNCTION("""COMPUTED_VALUE"""),"Cuddlingus")</f>
        <v>Cuddlingus</v>
      </c>
      <c r="D139" s="54" t="str">
        <f>IFERROR(__xludf.DUMMYFUNCTION("""COMPUTED_VALUE"""),"Zombies")</f>
        <v>Zombies</v>
      </c>
      <c r="E139" s="55" t="str">
        <f>IFERROR(__xludf.DUMMYFUNCTION("""COMPUTED_VALUE"""),"Lunar")</f>
        <v>Lunar</v>
      </c>
      <c r="F139" s="56">
        <f>IFERROR(__xludf.DUMMYFUNCTION("""COMPUTED_VALUE"""),41.88466561074607)</f>
        <v>41.88466561</v>
      </c>
      <c r="G139" s="57">
        <f>IFERROR(__xludf.DUMMYFUNCTION("""COMPUTED_VALUE"""),40.0)</f>
        <v>40</v>
      </c>
      <c r="H139" s="58">
        <f>IFERROR(__xludf.DUMMYFUNCTION("iferror(if(B139="""", ,filter('IDR Import'!D:D,'IDR Import'!A:A=B139,'IDR Import'!C:C=A139)),)"),42.06323464773869)</f>
        <v>42.06323465</v>
      </c>
      <c r="I139" s="58">
        <v>41.97395012924238</v>
      </c>
      <c r="J139" s="59">
        <f t="shared" si="1"/>
        <v>40</v>
      </c>
    </row>
    <row r="140">
      <c r="A140" s="55" t="str">
        <f>IFERROR(__xludf.DUMMYFUNCTION("""COMPUTED_VALUE"""),"Challenger")</f>
        <v>Challenger</v>
      </c>
      <c r="B140" s="55" t="str">
        <f>IFERROR(__xludf.DUMMYFUNCTION("""COMPUTED_VALUE"""),"RSC008222")</f>
        <v>RSC008222</v>
      </c>
      <c r="C140" s="60" t="str">
        <f>IFERROR(__xludf.DUMMYFUNCTION("""COMPUTED_VALUE"""),"Alfredo")</f>
        <v>Alfredo</v>
      </c>
      <c r="D140" s="54" t="str">
        <f>IFERROR(__xludf.DUMMYFUNCTION("""COMPUTED_VALUE"""),"Jinyiwei")</f>
        <v>Jinyiwei</v>
      </c>
      <c r="E140" s="55" t="str">
        <f>IFERROR(__xludf.DUMMYFUNCTION("""COMPUTED_VALUE"""),"Lunar")</f>
        <v>Lunar</v>
      </c>
      <c r="F140" s="56">
        <f>IFERROR(__xludf.DUMMYFUNCTION("""COMPUTED_VALUE"""),41.07054595134364)</f>
        <v>41.07054595</v>
      </c>
      <c r="G140" s="57">
        <f>IFERROR(__xludf.DUMMYFUNCTION("""COMPUTED_VALUE"""),30.0)</f>
        <v>30</v>
      </c>
      <c r="H140" s="58">
        <f>IFERROR(__xludf.DUMMYFUNCTION("iferror(if(B140="""", ,filter('IDR Import'!D:D,'IDR Import'!A:A=B140,'IDR Import'!C:C=A140)),)"),41.890981918779886)</f>
        <v>41.89098192</v>
      </c>
      <c r="I140" s="58">
        <v>41.48076393506176</v>
      </c>
      <c r="J140" s="59">
        <f t="shared" si="1"/>
        <v>30</v>
      </c>
    </row>
    <row r="141">
      <c r="A141" s="55" t="str">
        <f>IFERROR(__xludf.DUMMYFUNCTION("""COMPUTED_VALUE"""),"Challenger")</f>
        <v>Challenger</v>
      </c>
      <c r="B141" s="55" t="str">
        <f>IFERROR(__xludf.DUMMYFUNCTION("""COMPUTED_VALUE"""),"RSC000053")</f>
        <v>RSC000053</v>
      </c>
      <c r="C141" s="60" t="str">
        <f>IFERROR(__xludf.DUMMYFUNCTION("""COMPUTED_VALUE"""),"its_lost")</f>
        <v>its_lost</v>
      </c>
      <c r="D141" s="54" t="str">
        <f>IFERROR(__xludf.DUMMYFUNCTION("""COMPUTED_VALUE"""),"Meat Lovers")</f>
        <v>Meat Lovers</v>
      </c>
      <c r="E141" s="55" t="str">
        <f>IFERROR(__xludf.DUMMYFUNCTION("""COMPUTED_VALUE"""),"Lunar")</f>
        <v>Lunar</v>
      </c>
      <c r="F141" s="56">
        <f>IFERROR(__xludf.DUMMYFUNCTION("""COMPUTED_VALUE"""),40.36025834154887)</f>
        <v>40.36025834</v>
      </c>
      <c r="G141" s="57">
        <f>IFERROR(__xludf.DUMMYFUNCTION("""COMPUTED_VALUE"""),47.0)</f>
        <v>47</v>
      </c>
      <c r="H141" s="58">
        <f>IFERROR(__xludf.DUMMYFUNCTION("iferror(if(B141="""", ,filter('IDR Import'!D:D,'IDR Import'!A:A=B141,'IDR Import'!C:C=A141)),)"),43.32951723310988)</f>
        <v>43.32951723</v>
      </c>
      <c r="I141" s="58">
        <v>41.84488778732938</v>
      </c>
      <c r="J141" s="59">
        <f t="shared" si="1"/>
        <v>47</v>
      </c>
    </row>
    <row r="142">
      <c r="A142" s="55" t="str">
        <f>IFERROR(__xludf.DUMMYFUNCTION("""COMPUTED_VALUE"""),"Challenger")</f>
        <v>Challenger</v>
      </c>
      <c r="B142" s="55" t="str">
        <f>IFERROR(__xludf.DUMMYFUNCTION("""COMPUTED_VALUE"""),"RSC006587")</f>
        <v>RSC006587</v>
      </c>
      <c r="C142" s="60" t="str">
        <f>IFERROR(__xludf.DUMMYFUNCTION("""COMPUTED_VALUE"""),"Enterprise15")</f>
        <v>Enterprise15</v>
      </c>
      <c r="D142" s="54" t="str">
        <f>IFERROR(__xludf.DUMMYFUNCTION("""COMPUTED_VALUE"""),"Warthogs")</f>
        <v>Warthogs</v>
      </c>
      <c r="E142" s="55" t="str">
        <f>IFERROR(__xludf.DUMMYFUNCTION("""COMPUTED_VALUE"""),"Lunar")</f>
        <v>Lunar</v>
      </c>
      <c r="F142" s="56">
        <f>IFERROR(__xludf.DUMMYFUNCTION("""COMPUTED_VALUE"""),40.16804306757865)</f>
        <v>40.16804307</v>
      </c>
      <c r="G142" s="57">
        <f>IFERROR(__xludf.DUMMYFUNCTION("""COMPUTED_VALUE"""),46.0)</f>
        <v>46</v>
      </c>
      <c r="H142" s="58">
        <f>IFERROR(__xludf.DUMMYFUNCTION("iferror(if(B142="""", ,filter('IDR Import'!D:D,'IDR Import'!A:A=B142,'IDR Import'!C:C=A142)),)"),28.84044476894479)</f>
        <v>28.84044477</v>
      </c>
      <c r="I142" s="58">
        <v>34.50424391826172</v>
      </c>
      <c r="J142" s="59">
        <f t="shared" si="1"/>
        <v>46</v>
      </c>
    </row>
    <row r="143">
      <c r="A143" s="55" t="str">
        <f>IFERROR(__xludf.DUMMYFUNCTION("""COMPUTED_VALUE"""),"Challenger")</f>
        <v>Challenger</v>
      </c>
      <c r="B143" s="55" t="str">
        <f>IFERROR(__xludf.DUMMYFUNCTION("""COMPUTED_VALUE"""),"RSC007537")</f>
        <v>RSC007537</v>
      </c>
      <c r="C143" s="60" t="str">
        <f>IFERROR(__xludf.DUMMYFUNCTION("""COMPUTED_VALUE"""),"yoshawatt")</f>
        <v>yoshawatt</v>
      </c>
      <c r="D143" s="54" t="str">
        <f>IFERROR(__xludf.DUMMYFUNCTION("""COMPUTED_VALUE"""),"Stingrays
Metal")</f>
        <v>Stingrays
Metal</v>
      </c>
      <c r="E143" s="55" t="str">
        <f>IFERROR(__xludf.DUMMYFUNCTION("""COMPUTED_VALUE"""),"Lunar
Solar")</f>
        <v>Lunar
Solar</v>
      </c>
      <c r="F143" s="56">
        <f>IFERROR(__xludf.DUMMYFUNCTION("""COMPUTED_VALUE"""),40.12940655614058)</f>
        <v>40.12940656</v>
      </c>
      <c r="G143" s="57">
        <f>IFERROR(__xludf.DUMMYFUNCTION("""COMPUTED_VALUE"""),29.0)</f>
        <v>29</v>
      </c>
      <c r="H143" s="58">
        <f>IFERROR(__xludf.DUMMYFUNCTION("iferror(if(B143="""", ,filter('IDR Import'!D:D,'IDR Import'!A:A=B143,'IDR Import'!C:C=A143)),)"),44.18001806085016)</f>
        <v>44.18001806</v>
      </c>
      <c r="I143" s="58">
        <v>42.15471230849537</v>
      </c>
      <c r="J143" s="59">
        <f t="shared" si="1"/>
        <v>29</v>
      </c>
    </row>
    <row r="144">
      <c r="A144" s="55" t="str">
        <f>IFERROR(__xludf.DUMMYFUNCTION("""COMPUTED_VALUE"""),"Challenger")</f>
        <v>Challenger</v>
      </c>
      <c r="B144" s="55" t="str">
        <f>IFERROR(__xludf.DUMMYFUNCTION("""COMPUTED_VALUE"""),"RSC000812")</f>
        <v>RSC000812</v>
      </c>
      <c r="C144" s="60" t="str">
        <f>IFERROR(__xludf.DUMMYFUNCTION("""COMPUTED_VALUE"""),"LustLizard")</f>
        <v>LustLizard</v>
      </c>
      <c r="D144" s="54" t="str">
        <f>IFERROR(__xludf.DUMMYFUNCTION("""COMPUTED_VALUE"""),"Chromatic Chaos")</f>
        <v>Chromatic Chaos</v>
      </c>
      <c r="E144" s="55" t="str">
        <f>IFERROR(__xludf.DUMMYFUNCTION("""COMPUTED_VALUE"""),"Solar")</f>
        <v>Solar</v>
      </c>
      <c r="F144" s="56">
        <f>IFERROR(__xludf.DUMMYFUNCTION("""COMPUTED_VALUE"""),39.650481794843536)</f>
        <v>39.65048179</v>
      </c>
      <c r="G144" s="57">
        <f>IFERROR(__xludf.DUMMYFUNCTION("""COMPUTED_VALUE"""),38.0)</f>
        <v>38</v>
      </c>
      <c r="H144" s="58">
        <f>IFERROR(__xludf.DUMMYFUNCTION("iferror(if(B144="""", ,filter('IDR Import'!D:D,'IDR Import'!A:A=B144,'IDR Import'!C:C=A144)),)"),43.117021974806555)</f>
        <v>43.11702197</v>
      </c>
      <c r="I144" s="58">
        <v>41.383751884825045</v>
      </c>
      <c r="J144" s="59">
        <f t="shared" si="1"/>
        <v>38</v>
      </c>
    </row>
    <row r="145">
      <c r="A145" s="55" t="str">
        <f>IFERROR(__xludf.DUMMYFUNCTION("""COMPUTED_VALUE"""),"Challenger")</f>
        <v>Challenger</v>
      </c>
      <c r="B145" s="55" t="str">
        <f>IFERROR(__xludf.DUMMYFUNCTION("""COMPUTED_VALUE"""),"RSC008188")</f>
        <v>RSC008188</v>
      </c>
      <c r="C145" s="60" t="str">
        <f>IFERROR(__xludf.DUMMYFUNCTION("""COMPUTED_VALUE"""),"SludgeMixFuzz")</f>
        <v>SludgeMixFuzz</v>
      </c>
      <c r="D145" s="54" t="str">
        <f>IFERROR(__xludf.DUMMYFUNCTION("""COMPUTED_VALUE"""),"Sirens")</f>
        <v>Sirens</v>
      </c>
      <c r="E145" s="55" t="str">
        <f>IFERROR(__xludf.DUMMYFUNCTION("""COMPUTED_VALUE"""),"Solar")</f>
        <v>Solar</v>
      </c>
      <c r="F145" s="56">
        <f>IFERROR(__xludf.DUMMYFUNCTION("""COMPUTED_VALUE"""),39.305706336351946)</f>
        <v>39.30570634</v>
      </c>
      <c r="G145" s="57">
        <f>IFERROR(__xludf.DUMMYFUNCTION("""COMPUTED_VALUE"""),45.0)</f>
        <v>45</v>
      </c>
      <c r="H145" s="58">
        <f>IFERROR(__xludf.DUMMYFUNCTION("iferror(if(B145="""", ,filter('IDR Import'!D:D,'IDR Import'!A:A=B145,'IDR Import'!C:C=A145)),)"),32.0194701806562)</f>
        <v>32.01947018</v>
      </c>
      <c r="I145" s="58">
        <v>35.66258825850407</v>
      </c>
      <c r="J145" s="59">
        <f t="shared" si="1"/>
        <v>45</v>
      </c>
    </row>
    <row r="146">
      <c r="A146" s="55" t="str">
        <f>IFERROR(__xludf.DUMMYFUNCTION("""COMPUTED_VALUE"""),"Challenger")</f>
        <v>Challenger</v>
      </c>
      <c r="B146" s="55" t="str">
        <f>IFERROR(__xludf.DUMMYFUNCTION("""COMPUTED_VALUE"""),"RSC006369")</f>
        <v>RSC006369</v>
      </c>
      <c r="C146" s="60" t="str">
        <f>IFERROR(__xludf.DUMMYFUNCTION("""COMPUTED_VALUE"""),"nate")</f>
        <v>nate</v>
      </c>
      <c r="D146" s="54" t="str">
        <f>IFERROR(__xludf.DUMMYFUNCTION("""COMPUTED_VALUE"""),"Spearmint")</f>
        <v>Spearmint</v>
      </c>
      <c r="E146" s="55" t="str">
        <f>IFERROR(__xludf.DUMMYFUNCTION("""COMPUTED_VALUE"""),"Solar")</f>
        <v>Solar</v>
      </c>
      <c r="F146" s="56">
        <f>IFERROR(__xludf.DUMMYFUNCTION("""COMPUTED_VALUE"""),39.20361522765789)</f>
        <v>39.20361523</v>
      </c>
      <c r="G146" s="57">
        <f>IFERROR(__xludf.DUMMYFUNCTION("""COMPUTED_VALUE"""),4.0)</f>
        <v>4</v>
      </c>
      <c r="H146" s="58">
        <f>IFERROR(__xludf.DUMMYFUNCTION("iferror(if(B146="""", ,filter('IDR Import'!D:D,'IDR Import'!A:A=B146,'IDR Import'!C:C=A146)),)"),42.89912647441512)</f>
        <v>42.89912647</v>
      </c>
      <c r="I146" s="58">
        <v>41.05137085103651</v>
      </c>
      <c r="J146" s="59">
        <f t="shared" si="1"/>
        <v>4</v>
      </c>
    </row>
    <row r="147">
      <c r="A147" s="55" t="str">
        <f>IFERROR(__xludf.DUMMYFUNCTION("""COMPUTED_VALUE"""),"Challenger")</f>
        <v>Challenger</v>
      </c>
      <c r="B147" s="55" t="str">
        <f>IFERROR(__xludf.DUMMYFUNCTION("""COMPUTED_VALUE"""),"RSC007431")</f>
        <v>RSC007431</v>
      </c>
      <c r="C147" s="60" t="str">
        <f>IFERROR(__xludf.DUMMYFUNCTION("""COMPUTED_VALUE"""),"xPotatodactylx")</f>
        <v>xPotatodactylx</v>
      </c>
      <c r="D147" s="54" t="str">
        <f>IFERROR(__xludf.DUMMYFUNCTION("""COMPUTED_VALUE"""),"Ryujin")</f>
        <v>Ryujin</v>
      </c>
      <c r="E147" s="55" t="str">
        <f>IFERROR(__xludf.DUMMYFUNCTION("""COMPUTED_VALUE"""),"Solar")</f>
        <v>Solar</v>
      </c>
      <c r="F147" s="56">
        <f>IFERROR(__xludf.DUMMYFUNCTION("""COMPUTED_VALUE"""),38.602329384401614)</f>
        <v>38.60232938</v>
      </c>
      <c r="G147" s="57">
        <f>IFERROR(__xludf.DUMMYFUNCTION("""COMPUTED_VALUE"""),46.0)</f>
        <v>46</v>
      </c>
      <c r="H147" s="58">
        <f>IFERROR(__xludf.DUMMYFUNCTION("iferror(if(B147="""", ,filter('IDR Import'!D:D,'IDR Import'!A:A=B147,'IDR Import'!C:C=A147)),)"),29.469151231074324)</f>
        <v>29.46915123</v>
      </c>
      <c r="I147" s="58">
        <v>34.03574030773797</v>
      </c>
      <c r="J147" s="59">
        <f t="shared" si="1"/>
        <v>46</v>
      </c>
    </row>
    <row r="148">
      <c r="A148" s="55" t="str">
        <f>IFERROR(__xludf.DUMMYFUNCTION("""COMPUTED_VALUE"""),"Challenger")</f>
        <v>Challenger</v>
      </c>
      <c r="B148" s="55" t="str">
        <f>IFERROR(__xludf.DUMMYFUNCTION("""COMPUTED_VALUE"""),"RSC007423")</f>
        <v>RSC007423</v>
      </c>
      <c r="C148" s="60" t="str">
        <f>IFERROR(__xludf.DUMMYFUNCTION("""COMPUTED_VALUE"""),"Valuedsquash465")</f>
        <v>Valuedsquash465</v>
      </c>
      <c r="D148" s="54" t="str">
        <f>IFERROR(__xludf.DUMMYFUNCTION("""COMPUTED_VALUE"""),"Porch Pirates
Decuriones
Warthogs")</f>
        <v>Porch Pirates
Decuriones
Warthogs</v>
      </c>
      <c r="E148" s="55" t="str">
        <f>IFERROR(__xludf.DUMMYFUNCTION("""COMPUTED_VALUE"""),"Solar
Solar
Lunar")</f>
        <v>Solar
Solar
Lunar</v>
      </c>
      <c r="F148" s="56">
        <f>IFERROR(__xludf.DUMMYFUNCTION("""COMPUTED_VALUE"""),38.06776137349543)</f>
        <v>38.06776137</v>
      </c>
      <c r="G148" s="57">
        <f>IFERROR(__xludf.DUMMYFUNCTION("""COMPUTED_VALUE"""),13.0)</f>
        <v>13</v>
      </c>
      <c r="H148" s="58">
        <f>IFERROR(__xludf.DUMMYFUNCTION("iferror(if(B148="""", ,filter('IDR Import'!D:D,'IDR Import'!A:A=B148,'IDR Import'!C:C=A148)),)"),43.362106249270035)</f>
        <v>43.36210625</v>
      </c>
      <c r="I148" s="58">
        <v>40.714933811382735</v>
      </c>
      <c r="J148" s="59">
        <f t="shared" si="1"/>
        <v>13</v>
      </c>
    </row>
    <row r="149">
      <c r="A149" s="55" t="str">
        <f>IFERROR(__xludf.DUMMYFUNCTION("""COMPUTED_VALUE"""),"Challenger")</f>
        <v>Challenger</v>
      </c>
      <c r="B149" s="55" t="str">
        <f>IFERROR(__xludf.DUMMYFUNCTION("""COMPUTED_VALUE"""),"RSC006586")</f>
        <v>RSC006586</v>
      </c>
      <c r="C149" s="60" t="str">
        <f>IFERROR(__xludf.DUMMYFUNCTION("""COMPUTED_VALUE"""),"dino_chick3n")</f>
        <v>dino_chick3n</v>
      </c>
      <c r="D149" s="54" t="str">
        <f>IFERROR(__xludf.DUMMYFUNCTION("""COMPUTED_VALUE"""),"Glams")</f>
        <v>Glams</v>
      </c>
      <c r="E149" s="55" t="str">
        <f>IFERROR(__xludf.DUMMYFUNCTION("""COMPUTED_VALUE"""),"Lunar")</f>
        <v>Lunar</v>
      </c>
      <c r="F149" s="56">
        <f>IFERROR(__xludf.DUMMYFUNCTION("""COMPUTED_VALUE"""),37.89446885393479)</f>
        <v>37.89446885</v>
      </c>
      <c r="G149" s="57">
        <f>IFERROR(__xludf.DUMMYFUNCTION("""COMPUTED_VALUE"""),36.0)</f>
        <v>36</v>
      </c>
      <c r="H149" s="58">
        <f>IFERROR(__xludf.DUMMYFUNCTION("iferror(if(B149="""", ,filter('IDR Import'!D:D,'IDR Import'!A:A=B149,'IDR Import'!C:C=A149)),)"),33.540073338286994)</f>
        <v>33.54007334</v>
      </c>
      <c r="I149" s="58">
        <v>35.71727109611089</v>
      </c>
      <c r="J149" s="59">
        <f t="shared" si="1"/>
        <v>36</v>
      </c>
    </row>
    <row r="150">
      <c r="A150" s="55" t="str">
        <f>IFERROR(__xludf.DUMMYFUNCTION("""COMPUTED_VALUE"""),"Challenger")</f>
        <v>Challenger</v>
      </c>
      <c r="B150" s="55" t="str">
        <f>IFERROR(__xludf.DUMMYFUNCTION("""COMPUTED_VALUE"""),"RSC008014")</f>
        <v>RSC008014</v>
      </c>
      <c r="C150" s="60" t="str">
        <f>IFERROR(__xludf.DUMMYFUNCTION("""COMPUTED_VALUE"""),"TweakingOut")</f>
        <v>TweakingOut</v>
      </c>
      <c r="D150" s="54" t="str">
        <f>IFERROR(__xludf.DUMMYFUNCTION("""COMPUTED_VALUE"""),"Havarti Hustlers")</f>
        <v>Havarti Hustlers</v>
      </c>
      <c r="E150" s="55" t="str">
        <f>IFERROR(__xludf.DUMMYFUNCTION("""COMPUTED_VALUE"""),"Lunar")</f>
        <v>Lunar</v>
      </c>
      <c r="F150" s="56">
        <f>IFERROR(__xludf.DUMMYFUNCTION("""COMPUTED_VALUE"""),37.600567969820496)</f>
        <v>37.60056797</v>
      </c>
      <c r="G150" s="57">
        <f>IFERROR(__xludf.DUMMYFUNCTION("""COMPUTED_VALUE"""),56.0)</f>
        <v>56</v>
      </c>
      <c r="H150" s="58">
        <f>IFERROR(__xludf.DUMMYFUNCTION("iferror(if(B150="""", ,filter('IDR Import'!D:D,'IDR Import'!A:A=B150,'IDR Import'!C:C=A150)),)"),26.621896896786115)</f>
        <v>26.6218969</v>
      </c>
      <c r="I150" s="58">
        <v>32.11123243330331</v>
      </c>
      <c r="J150" s="59">
        <f t="shared" si="1"/>
        <v>56</v>
      </c>
    </row>
    <row r="151">
      <c r="A151" s="55" t="str">
        <f>IFERROR(__xludf.DUMMYFUNCTION("""COMPUTED_VALUE"""),"Challenger")</f>
        <v>Challenger</v>
      </c>
      <c r="B151" s="55" t="str">
        <f>IFERROR(__xludf.DUMMYFUNCTION("""COMPUTED_VALUE"""),"RSC008120")</f>
        <v>RSC008120</v>
      </c>
      <c r="C151" s="60" t="str">
        <f>IFERROR(__xludf.DUMMYFUNCTION("""COMPUTED_VALUE"""),"spul4k")</f>
        <v>spul4k</v>
      </c>
      <c r="D151" s="54" t="str">
        <f>IFERROR(__xludf.DUMMYFUNCTION("""COMPUTED_VALUE"""),"Glaciers")</f>
        <v>Glaciers</v>
      </c>
      <c r="E151" s="55" t="str">
        <f>IFERROR(__xludf.DUMMYFUNCTION("""COMPUTED_VALUE"""),"Solar")</f>
        <v>Solar</v>
      </c>
      <c r="F151" s="56">
        <f>IFERROR(__xludf.DUMMYFUNCTION("""COMPUTED_VALUE"""),37.44603291758901)</f>
        <v>37.44603292</v>
      </c>
      <c r="G151" s="57">
        <f>IFERROR(__xludf.DUMMYFUNCTION("""COMPUTED_VALUE"""),40.0)</f>
        <v>40</v>
      </c>
      <c r="H151" s="58">
        <f>IFERROR(__xludf.DUMMYFUNCTION("iferror(if(B151="""", ,filter('IDR Import'!D:D,'IDR Import'!A:A=B151,'IDR Import'!C:C=A151)),)"),38.923793788397916)</f>
        <v>38.92379379</v>
      </c>
      <c r="I151" s="58">
        <v>38.18491335299346</v>
      </c>
      <c r="J151" s="59">
        <f t="shared" si="1"/>
        <v>40</v>
      </c>
    </row>
    <row r="152">
      <c r="A152" s="55" t="str">
        <f>IFERROR(__xludf.DUMMYFUNCTION("""COMPUTED_VALUE"""),"Challenger")</f>
        <v>Challenger</v>
      </c>
      <c r="B152" s="55" t="str">
        <f>IFERROR(__xludf.DUMMYFUNCTION("""COMPUTED_VALUE"""),"RSC006758")</f>
        <v>RSC006758</v>
      </c>
      <c r="C152" s="60" t="str">
        <f>IFERROR(__xludf.DUMMYFUNCTION("""COMPUTED_VALUE"""),"El Booger Sugar")</f>
        <v>El Booger Sugar</v>
      </c>
      <c r="D152" s="54" t="str">
        <f>IFERROR(__xludf.DUMMYFUNCTION("""COMPUTED_VALUE"""),"Havarti Hustlers
Decuriones")</f>
        <v>Havarti Hustlers
Decuriones</v>
      </c>
      <c r="E152" s="55" t="str">
        <f>IFERROR(__xludf.DUMMYFUNCTION("""COMPUTED_VALUE"""),"Lunar
Solar")</f>
        <v>Lunar
Solar</v>
      </c>
      <c r="F152" s="56">
        <f>IFERROR(__xludf.DUMMYFUNCTION("""COMPUTED_VALUE"""),37.385281723093286)</f>
        <v>37.38528172</v>
      </c>
      <c r="G152" s="57">
        <f>IFERROR(__xludf.DUMMYFUNCTION("""COMPUTED_VALUE"""),15.0)</f>
        <v>15</v>
      </c>
      <c r="H152" s="58">
        <f>IFERROR(__xludf.DUMMYFUNCTION("iferror(if(B152="""", ,filter('IDR Import'!D:D,'IDR Import'!A:A=B152,'IDR Import'!C:C=A152)),)"),31.1059221349037)</f>
        <v>31.10592213</v>
      </c>
      <c r="I152" s="58">
        <v>34.2456019289985</v>
      </c>
      <c r="J152" s="59">
        <f t="shared" si="1"/>
        <v>15</v>
      </c>
    </row>
    <row r="153">
      <c r="A153" s="55" t="str">
        <f>IFERROR(__xludf.DUMMYFUNCTION("""COMPUTED_VALUE"""),"Challenger")</f>
        <v>Challenger</v>
      </c>
      <c r="B153" s="55" t="str">
        <f>IFERROR(__xludf.DUMMYFUNCTION("""COMPUTED_VALUE"""),"RSC006353")</f>
        <v>RSC006353</v>
      </c>
      <c r="C153" s="60" t="str">
        <f>IFERROR(__xludf.DUMMYFUNCTION("""COMPUTED_VALUE"""),"Novarchite")</f>
        <v>Novarchite</v>
      </c>
      <c r="D153" s="54" t="str">
        <f>IFERROR(__xludf.DUMMYFUNCTION("""COMPUTED_VALUE"""),"Toucans")</f>
        <v>Toucans</v>
      </c>
      <c r="E153" s="55" t="str">
        <f>IFERROR(__xludf.DUMMYFUNCTION("""COMPUTED_VALUE"""),"Solar")</f>
        <v>Solar</v>
      </c>
      <c r="F153" s="56">
        <f>IFERROR(__xludf.DUMMYFUNCTION("""COMPUTED_VALUE"""),37.088121058232005)</f>
        <v>37.08812106</v>
      </c>
      <c r="G153" s="57">
        <f>IFERROR(__xludf.DUMMYFUNCTION("""COMPUTED_VALUE"""),41.0)</f>
        <v>41</v>
      </c>
      <c r="H153" s="58">
        <f>IFERROR(__xludf.DUMMYFUNCTION("iferror(if(B153="""", ,filter('IDR Import'!D:D,'IDR Import'!A:A=B153,'IDR Import'!C:C=A153)),)"),20.096585879582374)</f>
        <v>20.09658588</v>
      </c>
      <c r="I153" s="58">
        <v>28.59235346890719</v>
      </c>
      <c r="J153" s="59">
        <f t="shared" si="1"/>
        <v>41</v>
      </c>
    </row>
    <row r="154">
      <c r="A154" s="55" t="str">
        <f>IFERROR(__xludf.DUMMYFUNCTION("""COMPUTED_VALUE"""),"Challenger")</f>
        <v>Challenger</v>
      </c>
      <c r="B154" s="55" t="str">
        <f>IFERROR(__xludf.DUMMYFUNCTION("""COMPUTED_VALUE"""),"RSC003193")</f>
        <v>RSC003193</v>
      </c>
      <c r="C154" s="60" t="str">
        <f>IFERROR(__xludf.DUMMYFUNCTION("""COMPUTED_VALUE"""),"ShiftDrink")</f>
        <v>ShiftDrink</v>
      </c>
      <c r="D154" s="54" t="str">
        <f>IFERROR(__xludf.DUMMYFUNCTION("""COMPUTED_VALUE"""),"Porch Pirates")</f>
        <v>Porch Pirates</v>
      </c>
      <c r="E154" s="55" t="str">
        <f>IFERROR(__xludf.DUMMYFUNCTION("""COMPUTED_VALUE"""),"Solar")</f>
        <v>Solar</v>
      </c>
      <c r="F154" s="56">
        <f>IFERROR(__xludf.DUMMYFUNCTION("""COMPUTED_VALUE"""),37.00051734587403)</f>
        <v>37.00051735</v>
      </c>
      <c r="G154" s="57">
        <f>IFERROR(__xludf.DUMMYFUNCTION("""COMPUTED_VALUE"""),39.0)</f>
        <v>39</v>
      </c>
      <c r="H154" s="58">
        <f>IFERROR(__xludf.DUMMYFUNCTION("iferror(if(B154="""", ,filter('IDR Import'!D:D,'IDR Import'!A:A=B154,'IDR Import'!C:C=A154)),)"),27.22484997204542)</f>
        <v>27.22484997</v>
      </c>
      <c r="I154" s="58">
        <v>32.112683658959725</v>
      </c>
      <c r="J154" s="59">
        <f t="shared" si="1"/>
        <v>39</v>
      </c>
    </row>
    <row r="155">
      <c r="A155" s="55" t="str">
        <f>IFERROR(__xludf.DUMMYFUNCTION("""COMPUTED_VALUE"""),"Challenger")</f>
        <v>Challenger</v>
      </c>
      <c r="B155" s="55" t="str">
        <f>IFERROR(__xludf.DUMMYFUNCTION("""COMPUTED_VALUE"""),"RSC008365")</f>
        <v>RSC008365</v>
      </c>
      <c r="C155" s="60" t="str">
        <f>IFERROR(__xludf.DUMMYFUNCTION("""COMPUTED_VALUE"""),"ZonaHOMI")</f>
        <v>ZonaHOMI</v>
      </c>
      <c r="D155" s="54" t="str">
        <f>IFERROR(__xludf.DUMMYFUNCTION("""COMPUTED_VALUE"""),"Toucans
Sirens
Decuriones")</f>
        <v>Toucans
Sirens
Decuriones</v>
      </c>
      <c r="E155" s="55" t="str">
        <f>IFERROR(__xludf.DUMMYFUNCTION("""COMPUTED_VALUE"""),"Solar
Solar
Solar")</f>
        <v>Solar
Solar
Solar</v>
      </c>
      <c r="F155" s="56">
        <f>IFERROR(__xludf.DUMMYFUNCTION("""COMPUTED_VALUE"""),36.66168899564322)</f>
        <v>36.661689</v>
      </c>
      <c r="G155" s="57">
        <f>IFERROR(__xludf.DUMMYFUNCTION("""COMPUTED_VALUE"""),10.0)</f>
        <v>10</v>
      </c>
      <c r="H155" s="58">
        <f>IFERROR(__xludf.DUMMYFUNCTION("iferror(if(B155="""", ,filter('IDR Import'!D:D,'IDR Import'!A:A=B155,'IDR Import'!C:C=A155)),)"),15.988943884803255)</f>
        <v>15.98894388</v>
      </c>
      <c r="I155" s="58">
        <v>26.325316440223236</v>
      </c>
      <c r="J155" s="59">
        <f t="shared" si="1"/>
        <v>10</v>
      </c>
    </row>
    <row r="156">
      <c r="A156" s="55" t="str">
        <f>IFERROR(__xludf.DUMMYFUNCTION("""COMPUTED_VALUE"""),"Challenger")</f>
        <v>Challenger</v>
      </c>
      <c r="B156" s="55" t="str">
        <f>IFERROR(__xludf.DUMMYFUNCTION("""COMPUTED_VALUE"""),"RSC003335")</f>
        <v>RSC003335</v>
      </c>
      <c r="C156" s="60" t="str">
        <f>IFERROR(__xludf.DUMMYFUNCTION("""COMPUTED_VALUE"""),"xEaglex20x")</f>
        <v>xEaglex20x</v>
      </c>
      <c r="D156" s="54" t="str">
        <f>IFERROR(__xludf.DUMMYFUNCTION("""COMPUTED_VALUE"""),"Metal")</f>
        <v>Metal</v>
      </c>
      <c r="E156" s="55" t="str">
        <f>IFERROR(__xludf.DUMMYFUNCTION("""COMPUTED_VALUE"""),"Solar")</f>
        <v>Solar</v>
      </c>
      <c r="F156" s="56">
        <f>IFERROR(__xludf.DUMMYFUNCTION("""COMPUTED_VALUE"""),36.362738624050365)</f>
        <v>36.36273862</v>
      </c>
      <c r="G156" s="57">
        <f>IFERROR(__xludf.DUMMYFUNCTION("""COMPUTED_VALUE"""),4.0)</f>
        <v>4</v>
      </c>
      <c r="H156" s="58">
        <f>IFERROR(__xludf.DUMMYFUNCTION("iferror(if(B156="""", ,filter('IDR Import'!D:D,'IDR Import'!A:A=B156,'IDR Import'!C:C=A156)),)"),21.4961682923885)</f>
        <v>21.49616829</v>
      </c>
      <c r="I156" s="58">
        <v>28.929453458219434</v>
      </c>
      <c r="J156" s="59">
        <f t="shared" si="1"/>
        <v>4</v>
      </c>
    </row>
    <row r="157">
      <c r="A157" s="55" t="str">
        <f>IFERROR(__xludf.DUMMYFUNCTION("""COMPUTED_VALUE"""),"Challenger")</f>
        <v>Challenger</v>
      </c>
      <c r="B157" s="55" t="str">
        <f>IFERROR(__xludf.DUMMYFUNCTION("""COMPUTED_VALUE"""),"RSC006755")</f>
        <v>RSC006755</v>
      </c>
      <c r="C157" s="60" t="str">
        <f>IFERROR(__xludf.DUMMYFUNCTION("""COMPUTED_VALUE"""),"Fox_gt_400")</f>
        <v>Fox_gt_400</v>
      </c>
      <c r="D157" s="54" t="str">
        <f>IFERROR(__xludf.DUMMYFUNCTION("""COMPUTED_VALUE"""),"Spearmint
Corals
Jinyiwei")</f>
        <v>Spearmint
Corals
Jinyiwei</v>
      </c>
      <c r="E157" s="55" t="str">
        <f>IFERROR(__xludf.DUMMYFUNCTION("""COMPUTED_VALUE"""),"Solar
Lunar
Lunar")</f>
        <v>Solar
Lunar
Lunar</v>
      </c>
      <c r="F157" s="56">
        <f>IFERROR(__xludf.DUMMYFUNCTION("""COMPUTED_VALUE"""),36.02019221438982)</f>
        <v>36.02019221</v>
      </c>
      <c r="G157" s="57">
        <f>IFERROR(__xludf.DUMMYFUNCTION("""COMPUTED_VALUE"""),29.0)</f>
        <v>29</v>
      </c>
      <c r="H157" s="58">
        <f>IFERROR(__xludf.DUMMYFUNCTION("iferror(if(B157="""", ,filter('IDR Import'!D:D,'IDR Import'!A:A=B157,'IDR Import'!C:C=A157)),)"),34.92655346080305)</f>
        <v>34.92655346</v>
      </c>
      <c r="I157" s="58">
        <v>35.473372837596436</v>
      </c>
      <c r="J157" s="59">
        <f t="shared" si="1"/>
        <v>29</v>
      </c>
    </row>
    <row r="158">
      <c r="A158" s="55" t="str">
        <f>IFERROR(__xludf.DUMMYFUNCTION("""COMPUTED_VALUE"""),"Challenger")</f>
        <v>Challenger</v>
      </c>
      <c r="B158" s="55" t="str">
        <f>IFERROR(__xludf.DUMMYFUNCTION("""COMPUTED_VALUE"""),"RSC006262")</f>
        <v>RSC006262</v>
      </c>
      <c r="C158" s="60" t="str">
        <f>IFERROR(__xludf.DUMMYFUNCTION("""COMPUTED_VALUE"""),"Illusionchaos")</f>
        <v>Illusionchaos</v>
      </c>
      <c r="D158" s="54" t="str">
        <f>IFERROR(__xludf.DUMMYFUNCTION("""COMPUTED_VALUE"""),"Glams")</f>
        <v>Glams</v>
      </c>
      <c r="E158" s="55" t="str">
        <f>IFERROR(__xludf.DUMMYFUNCTION("""COMPUTED_VALUE"""),"Lunar")</f>
        <v>Lunar</v>
      </c>
      <c r="F158" s="56">
        <f>IFERROR(__xludf.DUMMYFUNCTION("""COMPUTED_VALUE"""),35.248421999604375)</f>
        <v>35.248422</v>
      </c>
      <c r="G158" s="57">
        <f>IFERROR(__xludf.DUMMYFUNCTION("""COMPUTED_VALUE"""),34.0)</f>
        <v>34</v>
      </c>
      <c r="H158" s="58">
        <f>IFERROR(__xludf.DUMMYFUNCTION("iferror(if(B158="""", ,filter('IDR Import'!D:D,'IDR Import'!A:A=B158,'IDR Import'!C:C=A158)),)"),20.703824970527684)</f>
        <v>20.70382497</v>
      </c>
      <c r="I158" s="58">
        <v>27.97612348506603</v>
      </c>
      <c r="J158" s="59">
        <f t="shared" si="1"/>
        <v>34</v>
      </c>
    </row>
    <row r="159">
      <c r="A159" s="55" t="str">
        <f>IFERROR(__xludf.DUMMYFUNCTION("""COMPUTED_VALUE"""),"Challenger")</f>
        <v>Challenger</v>
      </c>
      <c r="B159" s="55" t="str">
        <f>IFERROR(__xludf.DUMMYFUNCTION("""COMPUTED_VALUE"""),"RSC006667")</f>
        <v>RSC006667</v>
      </c>
      <c r="C159" s="60" t="str">
        <f>IFERROR(__xludf.DUMMYFUNCTION("""COMPUTED_VALUE"""),"GET2DACHOPPA5")</f>
        <v>GET2DACHOPPA5</v>
      </c>
      <c r="D159" s="54" t="str">
        <f>IFERROR(__xludf.DUMMYFUNCTION("""COMPUTED_VALUE"""),"Porch Pirates")</f>
        <v>Porch Pirates</v>
      </c>
      <c r="E159" s="55" t="str">
        <f>IFERROR(__xludf.DUMMYFUNCTION("""COMPUTED_VALUE"""),"Solar")</f>
        <v>Solar</v>
      </c>
      <c r="F159" s="56">
        <f>IFERROR(__xludf.DUMMYFUNCTION("""COMPUTED_VALUE"""),35.01391449428266)</f>
        <v>35.01391449</v>
      </c>
      <c r="G159" s="57">
        <f>IFERROR(__xludf.DUMMYFUNCTION("""COMPUTED_VALUE"""),23.0)</f>
        <v>23</v>
      </c>
      <c r="H159" s="58">
        <f>IFERROR(__xludf.DUMMYFUNCTION("iferror(if(B159="""", ,filter('IDR Import'!D:D,'IDR Import'!A:A=B159,'IDR Import'!C:C=A159)),)"),32.01719019651448)</f>
        <v>32.0171902</v>
      </c>
      <c r="I159" s="58">
        <v>33.51555234539857</v>
      </c>
      <c r="J159" s="59">
        <f t="shared" si="1"/>
        <v>23</v>
      </c>
    </row>
    <row r="160">
      <c r="A160" s="55" t="str">
        <f>IFERROR(__xludf.DUMMYFUNCTION("""COMPUTED_VALUE"""),"Challenger")</f>
        <v>Challenger</v>
      </c>
      <c r="B160" s="55" t="str">
        <f>IFERROR(__xludf.DUMMYFUNCTION("""COMPUTED_VALUE"""),"RSC008552")</f>
        <v>RSC008552</v>
      </c>
      <c r="C160" s="60" t="str">
        <f>IFERROR(__xludf.DUMMYFUNCTION("""COMPUTED_VALUE"""),"S0UL09")</f>
        <v>S0UL09</v>
      </c>
      <c r="D160" s="54" t="str">
        <f>IFERROR(__xludf.DUMMYFUNCTION("""COMPUTED_VALUE"""),"Glaciers")</f>
        <v>Glaciers</v>
      </c>
      <c r="E160" s="55" t="str">
        <f>IFERROR(__xludf.DUMMYFUNCTION("""COMPUTED_VALUE"""),"Solar")</f>
        <v>Solar</v>
      </c>
      <c r="F160" s="56">
        <f>IFERROR(__xludf.DUMMYFUNCTION("""COMPUTED_VALUE"""),34.99620944982006)</f>
        <v>34.99620945</v>
      </c>
      <c r="G160" s="57">
        <f>IFERROR(__xludf.DUMMYFUNCTION("""COMPUTED_VALUE"""),4.0)</f>
        <v>4</v>
      </c>
      <c r="H160" s="58">
        <f>IFERROR(__xludf.DUMMYFUNCTION("iferror(if(B160="""", ,filter('IDR Import'!D:D,'IDR Import'!A:A=B160,'IDR Import'!C:C=A160)),)"),30.78682531284864)</f>
        <v>30.78682531</v>
      </c>
      <c r="I160" s="58">
        <v>32.89151738133435</v>
      </c>
      <c r="J160" s="59">
        <f t="shared" si="1"/>
        <v>4</v>
      </c>
    </row>
    <row r="161">
      <c r="A161" s="55" t="str">
        <f>IFERROR(__xludf.DUMMYFUNCTION("""COMPUTED_VALUE"""),"Challenger")</f>
        <v>Challenger</v>
      </c>
      <c r="B161" s="55" t="str">
        <f>IFERROR(__xludf.DUMMYFUNCTION("""COMPUTED_VALUE"""),"RSC005608")</f>
        <v>RSC005608</v>
      </c>
      <c r="C161" s="60" t="str">
        <f>IFERROR(__xludf.DUMMYFUNCTION("""COMPUTED_VALUE"""),"wolverine36535")</f>
        <v>wolverine36535</v>
      </c>
      <c r="D161" s="54" t="str">
        <f>IFERROR(__xludf.DUMMYFUNCTION("""COMPUTED_VALUE"""),"Gold Hoarders
Cooks")</f>
        <v>Gold Hoarders
Cooks</v>
      </c>
      <c r="E161" s="55" t="str">
        <f>IFERROR(__xludf.DUMMYFUNCTION("""COMPUTED_VALUE"""),"Lunar
Solar")</f>
        <v>Lunar
Solar</v>
      </c>
      <c r="F161" s="56">
        <f>IFERROR(__xludf.DUMMYFUNCTION("""COMPUTED_VALUE"""),34.2926414495031)</f>
        <v>34.29264145</v>
      </c>
      <c r="G161" s="57">
        <f>IFERROR(__xludf.DUMMYFUNCTION("""COMPUTED_VALUE"""),40.0)</f>
        <v>40</v>
      </c>
      <c r="H161" s="58">
        <f>IFERROR(__xludf.DUMMYFUNCTION("iferror(if(B161="""", ,filter('IDR Import'!D:D,'IDR Import'!A:A=B161,'IDR Import'!C:C=A161)),)"),48.75913341331452)</f>
        <v>48.75913341</v>
      </c>
      <c r="I161" s="58">
        <v>41.52588743140881</v>
      </c>
      <c r="J161" s="59">
        <f t="shared" si="1"/>
        <v>40</v>
      </c>
    </row>
    <row r="162">
      <c r="A162" s="55" t="str">
        <f>IFERROR(__xludf.DUMMYFUNCTION("""COMPUTED_VALUE"""),"Challenger")</f>
        <v>Challenger</v>
      </c>
      <c r="B162" s="55" t="str">
        <f>IFERROR(__xludf.DUMMYFUNCTION("""COMPUTED_VALUE"""),"RSC004565")</f>
        <v>RSC004565</v>
      </c>
      <c r="C162" s="60" t="str">
        <f>IFERROR(__xludf.DUMMYFUNCTION("""COMPUTED_VALUE"""),"Ole.Mr.Bison.")</f>
        <v>Ole.Mr.Bison.</v>
      </c>
      <c r="D162" s="54" t="str">
        <f>IFERROR(__xludf.DUMMYFUNCTION("""COMPUTED_VALUE"""),"Panda Bears")</f>
        <v>Panda Bears</v>
      </c>
      <c r="E162" s="55" t="str">
        <f>IFERROR(__xludf.DUMMYFUNCTION("""COMPUTED_VALUE"""),"Solar")</f>
        <v>Solar</v>
      </c>
      <c r="F162" s="56">
        <f>IFERROR(__xludf.DUMMYFUNCTION("""COMPUTED_VALUE"""),34.14563563776398)</f>
        <v>34.14563564</v>
      </c>
      <c r="G162" s="57">
        <f>IFERROR(__xludf.DUMMYFUNCTION("""COMPUTED_VALUE"""),29.0)</f>
        <v>29</v>
      </c>
      <c r="H162" s="58">
        <f>IFERROR(__xludf.DUMMYFUNCTION("iferror(if(B162="""", ,filter('IDR Import'!D:D,'IDR Import'!A:A=B162,'IDR Import'!C:C=A162)),)"),46.47672858632427)</f>
        <v>46.47672859</v>
      </c>
      <c r="I162" s="58">
        <v>40.31118211204412</v>
      </c>
      <c r="J162" s="59">
        <f t="shared" si="1"/>
        <v>29</v>
      </c>
    </row>
    <row r="163">
      <c r="A163" s="55" t="str">
        <f>IFERROR(__xludf.DUMMYFUNCTION("""COMPUTED_VALUE"""),"Challenger")</f>
        <v>Challenger</v>
      </c>
      <c r="B163" s="55" t="str">
        <f>IFERROR(__xludf.DUMMYFUNCTION("""COMPUTED_VALUE"""),"RSC006784")</f>
        <v>RSC006784</v>
      </c>
      <c r="C163" s="60" t="str">
        <f>IFERROR(__xludf.DUMMYFUNCTION("""COMPUTED_VALUE"""),"KittyMeowMeow360")</f>
        <v>KittyMeowMeow360</v>
      </c>
      <c r="D163" s="54" t="str">
        <f>IFERROR(__xludf.DUMMYFUNCTION("""COMPUTED_VALUE"""),"Blitzars")</f>
        <v>Blitzars</v>
      </c>
      <c r="E163" s="55" t="str">
        <f>IFERROR(__xludf.DUMMYFUNCTION("""COMPUTED_VALUE"""),"Lunar")</f>
        <v>Lunar</v>
      </c>
      <c r="F163" s="56">
        <f>IFERROR(__xludf.DUMMYFUNCTION("""COMPUTED_VALUE"""),33.537123577051894)</f>
        <v>33.53712358</v>
      </c>
      <c r="G163" s="57">
        <f>IFERROR(__xludf.DUMMYFUNCTION("""COMPUTED_VALUE"""),47.0)</f>
        <v>47</v>
      </c>
      <c r="H163" s="58">
        <f>IFERROR(__xludf.DUMMYFUNCTION("iferror(if(B163="""", ,filter('IDR Import'!D:D,'IDR Import'!A:A=B163,'IDR Import'!C:C=A163)),)"),39.7817527914409)</f>
        <v>39.78175279</v>
      </c>
      <c r="I163" s="58">
        <v>36.6594381842464</v>
      </c>
      <c r="J163" s="59">
        <f t="shared" si="1"/>
        <v>47</v>
      </c>
    </row>
    <row r="164">
      <c r="A164" s="55" t="str">
        <f>IFERROR(__xludf.DUMMYFUNCTION("""COMPUTED_VALUE"""),"Challenger")</f>
        <v>Challenger</v>
      </c>
      <c r="B164" s="55" t="str">
        <f>IFERROR(__xludf.DUMMYFUNCTION("""COMPUTED_VALUE"""),"RSC005131")</f>
        <v>RSC005131</v>
      </c>
      <c r="C164" s="60" t="str">
        <f>IFERROR(__xludf.DUMMYFUNCTION("""COMPUTED_VALUE"""),"Loko Deputy")</f>
        <v>Loko Deputy</v>
      </c>
      <c r="D164" s="54" t="str">
        <f>IFERROR(__xludf.DUMMYFUNCTION("""COMPUTED_VALUE"""),"Ryujin")</f>
        <v>Ryujin</v>
      </c>
      <c r="E164" s="55" t="str">
        <f>IFERROR(__xludf.DUMMYFUNCTION("""COMPUTED_VALUE"""),"Solar")</f>
        <v>Solar</v>
      </c>
      <c r="F164" s="56">
        <f>IFERROR(__xludf.DUMMYFUNCTION("""COMPUTED_VALUE"""),32.06872198015813)</f>
        <v>32.06872198</v>
      </c>
      <c r="G164" s="57">
        <f>IFERROR(__xludf.DUMMYFUNCTION("""COMPUTED_VALUE"""),30.0)</f>
        <v>30</v>
      </c>
      <c r="H164" s="58">
        <f>IFERROR(__xludf.DUMMYFUNCTION("iferror(if(B164="""", ,filter('IDR Import'!D:D,'IDR Import'!A:A=B164,'IDR Import'!C:C=A164)),)"),21.725425160041507)</f>
        <v>21.72542516</v>
      </c>
      <c r="I164" s="58">
        <v>26.89707357009982</v>
      </c>
      <c r="J164" s="59">
        <f t="shared" si="1"/>
        <v>30</v>
      </c>
    </row>
    <row r="165">
      <c r="A165" s="55" t="str">
        <f>IFERROR(__xludf.DUMMYFUNCTION("""COMPUTED_VALUE"""),"Challenger")</f>
        <v>Challenger</v>
      </c>
      <c r="B165" s="55" t="str">
        <f>IFERROR(__xludf.DUMMYFUNCTION("""COMPUTED_VALUE"""),"RSC005018")</f>
        <v>RSC005018</v>
      </c>
      <c r="C165" s="60" t="str">
        <f>IFERROR(__xludf.DUMMYFUNCTION("""COMPUTED_VALUE"""),"Smitty")</f>
        <v>Smitty</v>
      </c>
      <c r="D165" s="54" t="str">
        <f>IFERROR(__xludf.DUMMYFUNCTION("""COMPUTED_VALUE"""),"Chromatic Chaos")</f>
        <v>Chromatic Chaos</v>
      </c>
      <c r="E165" s="55" t="str">
        <f>IFERROR(__xludf.DUMMYFUNCTION("""COMPUTED_VALUE"""),"Solar")</f>
        <v>Solar</v>
      </c>
      <c r="F165" s="56">
        <f>IFERROR(__xludf.DUMMYFUNCTION("""COMPUTED_VALUE"""),31.808756885616106)</f>
        <v>31.80875689</v>
      </c>
      <c r="G165" s="57">
        <f>IFERROR(__xludf.DUMMYFUNCTION("""COMPUTED_VALUE"""),25.0)</f>
        <v>25</v>
      </c>
      <c r="H165" s="58">
        <f>IFERROR(__xludf.DUMMYFUNCTION("iferror(if(B165="""", ,filter('IDR Import'!D:D,'IDR Import'!A:A=B165,'IDR Import'!C:C=A165)),)"),22.60265146593931)</f>
        <v>22.60265147</v>
      </c>
      <c r="I165" s="58">
        <v>27.205704175777708</v>
      </c>
      <c r="J165" s="59">
        <f t="shared" si="1"/>
        <v>25</v>
      </c>
    </row>
    <row r="166">
      <c r="A166" s="55" t="str">
        <f>IFERROR(__xludf.DUMMYFUNCTION("""COMPUTED_VALUE"""),"Challenger")</f>
        <v>Challenger</v>
      </c>
      <c r="B166" s="55" t="str">
        <f>IFERROR(__xludf.DUMMYFUNCTION("""COMPUTED_VALUE"""),"RSC000351")</f>
        <v>RSC000351</v>
      </c>
      <c r="C166" s="60" t="str">
        <f>IFERROR(__xludf.DUMMYFUNCTION("""COMPUTED_VALUE"""),"Mitzi")</f>
        <v>Mitzi</v>
      </c>
      <c r="D166" s="54" t="str">
        <f>IFERROR(__xludf.DUMMYFUNCTION("""COMPUTED_VALUE"""),"Porch Pirates")</f>
        <v>Porch Pirates</v>
      </c>
      <c r="E166" s="55" t="str">
        <f>IFERROR(__xludf.DUMMYFUNCTION("""COMPUTED_VALUE"""),"Solar")</f>
        <v>Solar</v>
      </c>
      <c r="F166" s="56">
        <f>IFERROR(__xludf.DUMMYFUNCTION("""COMPUTED_VALUE"""),31.23035478502666)</f>
        <v>31.23035479</v>
      </c>
      <c r="G166" s="57">
        <f>IFERROR(__xludf.DUMMYFUNCTION("""COMPUTED_VALUE"""),32.0)</f>
        <v>32</v>
      </c>
      <c r="H166" s="58">
        <f>IFERROR(__xludf.DUMMYFUNCTION("iferror(if(B166="""", ,filter('IDR Import'!D:D,'IDR Import'!A:A=B166,'IDR Import'!C:C=A166)),)"),29.5956631826782)</f>
        <v>29.59566318</v>
      </c>
      <c r="I166" s="58">
        <v>30.41300898385243</v>
      </c>
      <c r="J166" s="59">
        <f t="shared" si="1"/>
        <v>32</v>
      </c>
    </row>
    <row r="167">
      <c r="A167" s="55" t="str">
        <f>IFERROR(__xludf.DUMMYFUNCTION("""COMPUTED_VALUE"""),"Challenger")</f>
        <v>Challenger</v>
      </c>
      <c r="B167" s="55" t="str">
        <f>IFERROR(__xludf.DUMMYFUNCTION("""COMPUTED_VALUE"""),"RSC008031")</f>
        <v>RSC008031</v>
      </c>
      <c r="C167" s="60" t="str">
        <f>IFERROR(__xludf.DUMMYFUNCTION("""COMPUTED_VALUE"""),"timthebigone")</f>
        <v>timthebigone</v>
      </c>
      <c r="D167" s="54" t="str">
        <f>IFERROR(__xludf.DUMMYFUNCTION("""COMPUTED_VALUE"""),"Corals")</f>
        <v>Corals</v>
      </c>
      <c r="E167" s="55" t="str">
        <f>IFERROR(__xludf.DUMMYFUNCTION("""COMPUTED_VALUE"""),"Lunar")</f>
        <v>Lunar</v>
      </c>
      <c r="F167" s="56">
        <f>IFERROR(__xludf.DUMMYFUNCTION("""COMPUTED_VALUE"""),30.27045770846748)</f>
        <v>30.27045771</v>
      </c>
      <c r="G167" s="57">
        <f>IFERROR(__xludf.DUMMYFUNCTION("""COMPUTED_VALUE"""),11.0)</f>
        <v>11</v>
      </c>
      <c r="H167" s="58">
        <f>IFERROR(__xludf.DUMMYFUNCTION("iferror(if(B167="""", ,filter('IDR Import'!D:D,'IDR Import'!A:A=B167,'IDR Import'!C:C=A167)),)"),49.65540026366781)</f>
        <v>49.65540026</v>
      </c>
      <c r="I167" s="58">
        <v>39.962928986067645</v>
      </c>
      <c r="J167" s="59">
        <f t="shared" si="1"/>
        <v>11</v>
      </c>
    </row>
    <row r="168">
      <c r="A168" s="55" t="str">
        <f>IFERROR(__xludf.DUMMYFUNCTION("""COMPUTED_VALUE"""),"Challenger")</f>
        <v>Challenger</v>
      </c>
      <c r="B168" s="55" t="str">
        <f>IFERROR(__xludf.DUMMYFUNCTION("""COMPUTED_VALUE"""),"RSC002796")</f>
        <v>RSC002796</v>
      </c>
      <c r="C168" s="60" t="str">
        <f>IFERROR(__xludf.DUMMYFUNCTION("""COMPUTED_VALUE"""),"Carno")</f>
        <v>Carno</v>
      </c>
      <c r="D168" s="54" t="str">
        <f>IFERROR(__xludf.DUMMYFUNCTION("""COMPUTED_VALUE"""),"Zombies")</f>
        <v>Zombies</v>
      </c>
      <c r="E168" s="55" t="str">
        <f>IFERROR(__xludf.DUMMYFUNCTION("""COMPUTED_VALUE"""),"Lunar")</f>
        <v>Lunar</v>
      </c>
      <c r="F168" s="56">
        <f>IFERROR(__xludf.DUMMYFUNCTION("""COMPUTED_VALUE"""),30.016012262529213)</f>
        <v>30.01601226</v>
      </c>
      <c r="G168" s="57">
        <f>IFERROR(__xludf.DUMMYFUNCTION("""COMPUTED_VALUE"""),44.0)</f>
        <v>44</v>
      </c>
      <c r="H168" s="58">
        <f>IFERROR(__xludf.DUMMYFUNCTION("iferror(if(B168="""", ,filter('IDR Import'!D:D,'IDR Import'!A:A=B168,'IDR Import'!C:C=A168)),)"),22.2201720693804)</f>
        <v>22.22017207</v>
      </c>
      <c r="I168" s="58">
        <v>26.118092165954806</v>
      </c>
      <c r="J168" s="59">
        <f t="shared" si="1"/>
        <v>44</v>
      </c>
    </row>
    <row r="169">
      <c r="A169" s="55" t="str">
        <f>IFERROR(__xludf.DUMMYFUNCTION("""COMPUTED_VALUE"""),"Challenger")</f>
        <v>Challenger</v>
      </c>
      <c r="B169" s="55" t="str">
        <f>IFERROR(__xludf.DUMMYFUNCTION("""COMPUTED_VALUE"""),"RSC003737")</f>
        <v>RSC003737</v>
      </c>
      <c r="C169" s="60" t="str">
        <f>IFERROR(__xludf.DUMMYFUNCTION("""COMPUTED_VALUE"""),"MeOnDisplay")</f>
        <v>MeOnDisplay</v>
      </c>
      <c r="D169" s="54" t="str">
        <f>IFERROR(__xludf.DUMMYFUNCTION("""COMPUTED_VALUE"""),"Happy B-day Jess")</f>
        <v>Happy B-day Jess</v>
      </c>
      <c r="E169" s="55" t="str">
        <f>IFERROR(__xludf.DUMMYFUNCTION("""COMPUTED_VALUE"""),"Lunar")</f>
        <v>Lunar</v>
      </c>
      <c r="F169" s="56">
        <f>IFERROR(__xludf.DUMMYFUNCTION("""COMPUTED_VALUE"""),29.947814100005274)</f>
        <v>29.9478141</v>
      </c>
      <c r="G169" s="57">
        <f>IFERROR(__xludf.DUMMYFUNCTION("""COMPUTED_VALUE"""),11.0)</f>
        <v>11</v>
      </c>
      <c r="H169" s="58">
        <f>IFERROR(__xludf.DUMMYFUNCTION("iferror(if(B169="""", ,filter('IDR Import'!D:D,'IDR Import'!A:A=B169,'IDR Import'!C:C=A169)),)"),44.65373464888235)</f>
        <v>44.65373465</v>
      </c>
      <c r="I169" s="58">
        <v>37.30077437444381</v>
      </c>
      <c r="J169" s="59">
        <f t="shared" si="1"/>
        <v>11</v>
      </c>
    </row>
    <row r="170">
      <c r="A170" s="55" t="str">
        <f>IFERROR(__xludf.DUMMYFUNCTION("""COMPUTED_VALUE"""),"Challenger")</f>
        <v>Challenger</v>
      </c>
      <c r="B170" s="55" t="str">
        <f>IFERROR(__xludf.DUMMYFUNCTION("""COMPUTED_VALUE"""),"RSC008492")</f>
        <v>RSC008492</v>
      </c>
      <c r="C170" s="60" t="str">
        <f>IFERROR(__xludf.DUMMYFUNCTION("""COMPUTED_VALUE"""),"Unc_Rez")</f>
        <v>Unc_Rez</v>
      </c>
      <c r="D170" s="54" t="str">
        <f>IFERROR(__xludf.DUMMYFUNCTION("""COMPUTED_VALUE"""),"Panda Bears")</f>
        <v>Panda Bears</v>
      </c>
      <c r="E170" s="55" t="str">
        <f>IFERROR(__xludf.DUMMYFUNCTION("""COMPUTED_VALUE"""),"Solar")</f>
        <v>Solar</v>
      </c>
      <c r="F170" s="56">
        <f>IFERROR(__xludf.DUMMYFUNCTION("""COMPUTED_VALUE"""),29.765852627853803)</f>
        <v>29.76585263</v>
      </c>
      <c r="G170" s="57">
        <f>IFERROR(__xludf.DUMMYFUNCTION("""COMPUTED_VALUE"""),28.0)</f>
        <v>28</v>
      </c>
      <c r="H170" s="58">
        <f>IFERROR(__xludf.DUMMYFUNCTION("iferror(if(B170="""", ,filter('IDR Import'!D:D,'IDR Import'!A:A=B170,'IDR Import'!C:C=A170)),)"),32.71139008106822)</f>
        <v>32.71139008</v>
      </c>
      <c r="I170" s="58">
        <v>31.23862135446101</v>
      </c>
      <c r="J170" s="59">
        <f t="shared" si="1"/>
        <v>28</v>
      </c>
    </row>
    <row r="171">
      <c r="A171" s="55" t="str">
        <f>IFERROR(__xludf.DUMMYFUNCTION("""COMPUTED_VALUE"""),"Challenger")</f>
        <v>Challenger</v>
      </c>
      <c r="B171" s="55" t="str">
        <f>IFERROR(__xludf.DUMMYFUNCTION("""COMPUTED_VALUE"""),"RSC008218")</f>
        <v>RSC008218</v>
      </c>
      <c r="C171" s="60" t="str">
        <f>IFERROR(__xludf.DUMMYFUNCTION("""COMPUTED_VALUE"""),"Korrello")</f>
        <v>Korrello</v>
      </c>
      <c r="D171" s="54" t="str">
        <f>IFERROR(__xludf.DUMMYFUNCTION("""COMPUTED_VALUE"""),"Glaciers")</f>
        <v>Glaciers</v>
      </c>
      <c r="E171" s="55" t="str">
        <f>IFERROR(__xludf.DUMMYFUNCTION("""COMPUTED_VALUE"""),"Solar")</f>
        <v>Solar</v>
      </c>
      <c r="F171" s="56">
        <f>IFERROR(__xludf.DUMMYFUNCTION("""COMPUTED_VALUE"""),28.739393255637772)</f>
        <v>28.73939326</v>
      </c>
      <c r="G171" s="57">
        <f>IFERROR(__xludf.DUMMYFUNCTION("""COMPUTED_VALUE"""),30.0)</f>
        <v>30</v>
      </c>
      <c r="H171" s="58">
        <f>IFERROR(__xludf.DUMMYFUNCTION("iferror(if(B171="""", ,filter('IDR Import'!D:D,'IDR Import'!A:A=B171,'IDR Import'!C:C=A171)),)"),42.8401184392747)</f>
        <v>42.84011844</v>
      </c>
      <c r="I171" s="58">
        <v>35.789755847456235</v>
      </c>
      <c r="J171" s="59">
        <f t="shared" si="1"/>
        <v>30</v>
      </c>
    </row>
    <row r="172">
      <c r="A172" s="55" t="str">
        <f>IFERROR(__xludf.DUMMYFUNCTION("""COMPUTED_VALUE"""),"Challenger")</f>
        <v>Challenger</v>
      </c>
      <c r="B172" s="55" t="str">
        <f>IFERROR(__xludf.DUMMYFUNCTION("""COMPUTED_VALUE"""),"RSC002511")</f>
        <v>RSC002511</v>
      </c>
      <c r="C172" s="60" t="str">
        <f>IFERROR(__xludf.DUMMYFUNCTION("""COMPUTED_VALUE"""),"Moist_Games")</f>
        <v>Moist_Games</v>
      </c>
      <c r="D172" s="54" t="str">
        <f>IFERROR(__xludf.DUMMYFUNCTION("""COMPUTED_VALUE"""),"Gold Hoarders")</f>
        <v>Gold Hoarders</v>
      </c>
      <c r="E172" s="55" t="str">
        <f>IFERROR(__xludf.DUMMYFUNCTION("""COMPUTED_VALUE"""),"Lunar")</f>
        <v>Lunar</v>
      </c>
      <c r="F172" s="56">
        <f>IFERROR(__xludf.DUMMYFUNCTION("""COMPUTED_VALUE"""),28.493291152882904)</f>
        <v>28.49329115</v>
      </c>
      <c r="G172" s="57">
        <f>IFERROR(__xludf.DUMMYFUNCTION("""COMPUTED_VALUE"""),10.0)</f>
        <v>10</v>
      </c>
      <c r="H172" s="58">
        <f>IFERROR(__xludf.DUMMYFUNCTION("iferror(if(B172="""", ,filter('IDR Import'!D:D,'IDR Import'!A:A=B172,'IDR Import'!C:C=A172)),)"),-0.9295675685467089)</f>
        <v>-0.9295675685</v>
      </c>
      <c r="I172" s="58">
        <v>13.781861792168097</v>
      </c>
      <c r="J172" s="59">
        <f t="shared" si="1"/>
        <v>10</v>
      </c>
    </row>
    <row r="173">
      <c r="A173" s="55" t="str">
        <f>IFERROR(__xludf.DUMMYFUNCTION("""COMPUTED_VALUE"""),"Challenger")</f>
        <v>Challenger</v>
      </c>
      <c r="B173" s="55" t="str">
        <f>IFERROR(__xludf.DUMMYFUNCTION("""COMPUTED_VALUE"""),"RSC008473")</f>
        <v>RSC008473</v>
      </c>
      <c r="C173" s="60" t="str">
        <f>IFERROR(__xludf.DUMMYFUNCTION("""COMPUTED_VALUE"""),"korndoguwu")</f>
        <v>korndoguwu</v>
      </c>
      <c r="D173" s="54" t="str">
        <f>IFERROR(__xludf.DUMMYFUNCTION("""COMPUTED_VALUE"""),"Scribes
Gold Hoarders")</f>
        <v>Scribes
Gold Hoarders</v>
      </c>
      <c r="E173" s="55" t="str">
        <f>IFERROR(__xludf.DUMMYFUNCTION("""COMPUTED_VALUE"""),"Lunar
Lunar")</f>
        <v>Lunar
Lunar</v>
      </c>
      <c r="F173" s="56">
        <f>IFERROR(__xludf.DUMMYFUNCTION("""COMPUTED_VALUE"""),27.60725405348695)</f>
        <v>27.60725405</v>
      </c>
      <c r="G173" s="57">
        <f>IFERROR(__xludf.DUMMYFUNCTION("""COMPUTED_VALUE"""),10.0)</f>
        <v>10</v>
      </c>
      <c r="H173" s="58">
        <f>IFERROR(__xludf.DUMMYFUNCTION("iferror(if(B173="""", ,filter('IDR Import'!D:D,'IDR Import'!A:A=B173,'IDR Import'!C:C=A173)),)"),8.773182306872627)</f>
        <v>8.773182307</v>
      </c>
      <c r="I173" s="58">
        <v>18.19021818017979</v>
      </c>
      <c r="J173" s="59">
        <f t="shared" si="1"/>
        <v>10</v>
      </c>
    </row>
    <row r="174">
      <c r="A174" s="55" t="str">
        <f>IFERROR(__xludf.DUMMYFUNCTION("""COMPUTED_VALUE"""),"Challenger")</f>
        <v>Challenger</v>
      </c>
      <c r="B174" s="55" t="str">
        <f>IFERROR(__xludf.DUMMYFUNCTION("""COMPUTED_VALUE"""),"RSC005139")</f>
        <v>RSC005139</v>
      </c>
      <c r="C174" s="60" t="str">
        <f>IFERROR(__xludf.DUMMYFUNCTION("""COMPUTED_VALUE"""),"brillo_padd")</f>
        <v>brillo_padd</v>
      </c>
      <c r="D174" s="54" t="str">
        <f>IFERROR(__xludf.DUMMYFUNCTION("""COMPUTED_VALUE"""),"Toucans
Thunder Pups")</f>
        <v>Toucans
Thunder Pups</v>
      </c>
      <c r="E174" s="55" t="str">
        <f>IFERROR(__xludf.DUMMYFUNCTION("""COMPUTED_VALUE"""),"Solar
Solar")</f>
        <v>Solar
Solar</v>
      </c>
      <c r="F174" s="56">
        <f>IFERROR(__xludf.DUMMYFUNCTION("""COMPUTED_VALUE"""),25.920472352498265)</f>
        <v>25.92047235</v>
      </c>
      <c r="G174" s="57">
        <f>IFERROR(__xludf.DUMMYFUNCTION("""COMPUTED_VALUE"""),32.0)</f>
        <v>32</v>
      </c>
      <c r="H174" s="58">
        <f>IFERROR(__xludf.DUMMYFUNCTION("iferror(if(B174="""", ,filter('IDR Import'!D:D,'IDR Import'!A:A=B174,'IDR Import'!C:C=A174)),)"),31.766530506845257)</f>
        <v>31.76653051</v>
      </c>
      <c r="I174" s="58">
        <v>28.84350142967176</v>
      </c>
      <c r="J174" s="59">
        <f t="shared" si="1"/>
        <v>32</v>
      </c>
    </row>
    <row r="175">
      <c r="A175" s="55" t="str">
        <f>IFERROR(__xludf.DUMMYFUNCTION("""COMPUTED_VALUE"""),"Challenger")</f>
        <v>Challenger</v>
      </c>
      <c r="B175" s="55" t="str">
        <f>IFERROR(__xludf.DUMMYFUNCTION("""COMPUTED_VALUE"""),"RSC007442")</f>
        <v>RSC007442</v>
      </c>
      <c r="C175" s="60" t="str">
        <f>IFERROR(__xludf.DUMMYFUNCTION("""COMPUTED_VALUE"""),"willbong")</f>
        <v>willbong</v>
      </c>
      <c r="D175" s="54" t="str">
        <f>IFERROR(__xludf.DUMMYFUNCTION("""COMPUTED_VALUE"""),"Sirens
Spearmint
Toucans")</f>
        <v>Sirens
Spearmint
Toucans</v>
      </c>
      <c r="E175" s="55" t="str">
        <f>IFERROR(__xludf.DUMMYFUNCTION("""COMPUTED_VALUE"""),"Solar
Solar
Solar")</f>
        <v>Solar
Solar
Solar</v>
      </c>
      <c r="F175" s="56">
        <f>IFERROR(__xludf.DUMMYFUNCTION("""COMPUTED_VALUE"""),25.791393390159257)</f>
        <v>25.79139339</v>
      </c>
      <c r="G175" s="57">
        <f>IFERROR(__xludf.DUMMYFUNCTION("""COMPUTED_VALUE"""),31.0)</f>
        <v>31</v>
      </c>
      <c r="H175" s="58">
        <f>IFERROR(__xludf.DUMMYFUNCTION("iferror(if(B175="""", ,filter('IDR Import'!D:D,'IDR Import'!A:A=B175,'IDR Import'!C:C=A175)),)"),17.15633947163984)</f>
        <v>17.15633947</v>
      </c>
      <c r="I175" s="58">
        <v>21.473866430899548</v>
      </c>
      <c r="J175" s="59">
        <f t="shared" si="1"/>
        <v>31</v>
      </c>
    </row>
    <row r="176">
      <c r="A176" s="55" t="str">
        <f>IFERROR(__xludf.DUMMYFUNCTION("""COMPUTED_VALUE"""),"Challenger")</f>
        <v>Challenger</v>
      </c>
      <c r="B176" s="55" t="str">
        <f>IFERROR(__xludf.DUMMYFUNCTION("""COMPUTED_VALUE"""),"RSC007179")</f>
        <v>RSC007179</v>
      </c>
      <c r="C176" s="60" t="str">
        <f>IFERROR(__xludf.DUMMYFUNCTION("""COMPUTED_VALUE"""),"B0A._.")</f>
        <v>B0A._.</v>
      </c>
      <c r="D176" s="54" t="str">
        <f>IFERROR(__xludf.DUMMYFUNCTION("""COMPUTED_VALUE"""),"Jinyiwei")</f>
        <v>Jinyiwei</v>
      </c>
      <c r="E176" s="55" t="str">
        <f>IFERROR(__xludf.DUMMYFUNCTION("""COMPUTED_VALUE"""),"Lunar")</f>
        <v>Lunar</v>
      </c>
      <c r="F176" s="56">
        <f>IFERROR(__xludf.DUMMYFUNCTION("""COMPUTED_VALUE"""),24.937614532007903)</f>
        <v>24.93761453</v>
      </c>
      <c r="G176" s="57">
        <f>IFERROR(__xludf.DUMMYFUNCTION("""COMPUTED_VALUE"""),46.0)</f>
        <v>46</v>
      </c>
      <c r="H176" s="58">
        <f>IFERROR(__xludf.DUMMYFUNCTION("iferror(if(B176="""", ,filter('IDR Import'!D:D,'IDR Import'!A:A=B176,'IDR Import'!C:C=A176)),)"),20.467118329217506)</f>
        <v>20.46711833</v>
      </c>
      <c r="I176" s="58">
        <v>22.702366430612706</v>
      </c>
      <c r="J176" s="59">
        <f t="shared" si="1"/>
        <v>46</v>
      </c>
    </row>
    <row r="177">
      <c r="A177" s="55" t="str">
        <f>IFERROR(__xludf.DUMMYFUNCTION("""COMPUTED_VALUE"""),"Challenger")</f>
        <v>Challenger</v>
      </c>
      <c r="B177" s="55" t="str">
        <f>IFERROR(__xludf.DUMMYFUNCTION("""COMPUTED_VALUE"""),"RSC007178")</f>
        <v>RSC007178</v>
      </c>
      <c r="C177" s="60" t="str">
        <f>IFERROR(__xludf.DUMMYFUNCTION("""COMPUTED_VALUE"""),"littygriddy65")</f>
        <v>littygriddy65</v>
      </c>
      <c r="D177" s="54" t="str">
        <f>IFERROR(__xludf.DUMMYFUNCTION("""COMPUTED_VALUE"""),"Warthogs")</f>
        <v>Warthogs</v>
      </c>
      <c r="E177" s="55" t="str">
        <f>IFERROR(__xludf.DUMMYFUNCTION("""COMPUTED_VALUE"""),"Lunar")</f>
        <v>Lunar</v>
      </c>
      <c r="F177" s="56">
        <f>IFERROR(__xludf.DUMMYFUNCTION("""COMPUTED_VALUE"""),24.275987675767404)</f>
        <v>24.27598768</v>
      </c>
      <c r="G177" s="57">
        <f>IFERROR(__xludf.DUMMYFUNCTION("""COMPUTED_VALUE"""),8.0)</f>
        <v>8</v>
      </c>
      <c r="H177" s="58">
        <f>IFERROR(__xludf.DUMMYFUNCTION("iferror(if(B177="""", ,filter('IDR Import'!D:D,'IDR Import'!A:A=B177,'IDR Import'!C:C=A177)),)"),15.982208204957779)</f>
        <v>15.9822082</v>
      </c>
      <c r="I177" s="58">
        <v>20.12909794036259</v>
      </c>
      <c r="J177" s="59">
        <f t="shared" si="1"/>
        <v>8</v>
      </c>
    </row>
    <row r="178">
      <c r="A178" s="55" t="str">
        <f>IFERROR(__xludf.DUMMYFUNCTION("""COMPUTED_VALUE"""),"Challenger")</f>
        <v>Challenger</v>
      </c>
      <c r="B178" s="55" t="str">
        <f>IFERROR(__xludf.DUMMYFUNCTION("""COMPUTED_VALUE"""),"RSC006822")</f>
        <v>RSC006822</v>
      </c>
      <c r="C178" s="60" t="str">
        <f>IFERROR(__xludf.DUMMYFUNCTION("""COMPUTED_VALUE"""),"itsu_desu")</f>
        <v>itsu_desu</v>
      </c>
      <c r="D178" s="54" t="str">
        <f>IFERROR(__xludf.DUMMYFUNCTION("""COMPUTED_VALUE"""),"Void")</f>
        <v>Void</v>
      </c>
      <c r="E178" s="55" t="str">
        <f>IFERROR(__xludf.DUMMYFUNCTION("""COMPUTED_VALUE"""),"Solar")</f>
        <v>Solar</v>
      </c>
      <c r="F178" s="56">
        <f>IFERROR(__xludf.DUMMYFUNCTION("""COMPUTED_VALUE"""),24.21219005178384)</f>
        <v>24.21219005</v>
      </c>
      <c r="G178" s="57">
        <f>IFERROR(__xludf.DUMMYFUNCTION("""COMPUTED_VALUE"""),35.0)</f>
        <v>35</v>
      </c>
      <c r="H178" s="58">
        <f>IFERROR(__xludf.DUMMYFUNCTION("iferror(if(B178="""", ,filter('IDR Import'!D:D,'IDR Import'!A:A=B178,'IDR Import'!C:C=A178)),)"),40.082523971552284)</f>
        <v>40.08252397</v>
      </c>
      <c r="I178" s="58">
        <v>32.14735701166806</v>
      </c>
      <c r="J178" s="59">
        <f t="shared" si="1"/>
        <v>35</v>
      </c>
    </row>
    <row r="179">
      <c r="A179" s="55" t="str">
        <f>IFERROR(__xludf.DUMMYFUNCTION("""COMPUTED_VALUE"""),"Challenger")</f>
        <v>Challenger</v>
      </c>
      <c r="B179" s="55" t="str">
        <f>IFERROR(__xludf.DUMMYFUNCTION("""COMPUTED_VALUE"""),"RSC008237")</f>
        <v>RSC008237</v>
      </c>
      <c r="C179" s="60" t="str">
        <f>IFERROR(__xludf.DUMMYFUNCTION("""COMPUTED_VALUE"""),"SardonicOx")</f>
        <v>SardonicOx</v>
      </c>
      <c r="D179" s="54" t="str">
        <f>IFERROR(__xludf.DUMMYFUNCTION("""COMPUTED_VALUE"""),"Insider Traders")</f>
        <v>Insider Traders</v>
      </c>
      <c r="E179" s="55" t="str">
        <f>IFERROR(__xludf.DUMMYFUNCTION("""COMPUTED_VALUE"""),"Lunar")</f>
        <v>Lunar</v>
      </c>
      <c r="F179" s="56">
        <f>IFERROR(__xludf.DUMMYFUNCTION("""COMPUTED_VALUE"""),24.089141860985187)</f>
        <v>24.08914186</v>
      </c>
      <c r="G179" s="57">
        <f>IFERROR(__xludf.DUMMYFUNCTION("""COMPUTED_VALUE"""),13.0)</f>
        <v>13</v>
      </c>
      <c r="H179" s="58">
        <f>IFERROR(__xludf.DUMMYFUNCTION("iferror(if(B179="""", ,filter('IDR Import'!D:D,'IDR Import'!A:A=B179,'IDR Import'!C:C=A179)),)"),17.00599163103727)</f>
        <v>17.00599163</v>
      </c>
      <c r="I179" s="58">
        <v>20.547566746011228</v>
      </c>
      <c r="J179" s="59">
        <f t="shared" si="1"/>
        <v>13</v>
      </c>
    </row>
    <row r="180">
      <c r="A180" s="55" t="str">
        <f>IFERROR(__xludf.DUMMYFUNCTION("""COMPUTED_VALUE"""),"Challenger")</f>
        <v>Challenger</v>
      </c>
      <c r="B180" s="55" t="str">
        <f>IFERROR(__xludf.DUMMYFUNCTION("""COMPUTED_VALUE"""),"RSC003223")</f>
        <v>RSC003223</v>
      </c>
      <c r="C180" s="60" t="str">
        <f>IFERROR(__xludf.DUMMYFUNCTION("""COMPUTED_VALUE"""),"AZoroARK")</f>
        <v>AZoroARK</v>
      </c>
      <c r="D180" s="54" t="str">
        <f>IFERROR(__xludf.DUMMYFUNCTION("""COMPUTED_VALUE"""),"Meat Lovers")</f>
        <v>Meat Lovers</v>
      </c>
      <c r="E180" s="55" t="str">
        <f>IFERROR(__xludf.DUMMYFUNCTION("""COMPUTED_VALUE"""),"Lunar")</f>
        <v>Lunar</v>
      </c>
      <c r="F180" s="56">
        <f>IFERROR(__xludf.DUMMYFUNCTION("""COMPUTED_VALUE"""),23.12292238266701)</f>
        <v>23.12292238</v>
      </c>
      <c r="G180" s="57">
        <f>IFERROR(__xludf.DUMMYFUNCTION("""COMPUTED_VALUE"""),22.0)</f>
        <v>22</v>
      </c>
      <c r="H180" s="58">
        <f>IFERROR(__xludf.DUMMYFUNCTION("iferror(if(B180="""", ,filter('IDR Import'!D:D,'IDR Import'!A:A=B180,'IDR Import'!C:C=A180)),)"),28.926693378721314)</f>
        <v>28.92669338</v>
      </c>
      <c r="I180" s="58">
        <v>26.024807880694162</v>
      </c>
      <c r="J180" s="59">
        <f t="shared" si="1"/>
        <v>22</v>
      </c>
    </row>
    <row r="181">
      <c r="A181" s="55" t="str">
        <f>IFERROR(__xludf.DUMMYFUNCTION("""COMPUTED_VALUE"""),"Challenger")</f>
        <v>Challenger</v>
      </c>
      <c r="B181" s="55" t="str">
        <f>IFERROR(__xludf.DUMMYFUNCTION("""COMPUTED_VALUE"""),"RSC001820")</f>
        <v>RSC001820</v>
      </c>
      <c r="C181" s="60" t="str">
        <f>IFERROR(__xludf.DUMMYFUNCTION("""COMPUTED_VALUE"""),"YourEvilTwin")</f>
        <v>YourEvilTwin</v>
      </c>
      <c r="D181" s="54" t="str">
        <f>IFERROR(__xludf.DUMMYFUNCTION("""COMPUTED_VALUE"""),"Spearmint")</f>
        <v>Spearmint</v>
      </c>
      <c r="E181" s="55" t="str">
        <f>IFERROR(__xludf.DUMMYFUNCTION("""COMPUTED_VALUE"""),"Solar")</f>
        <v>Solar</v>
      </c>
      <c r="F181" s="56">
        <f>IFERROR(__xludf.DUMMYFUNCTION("""COMPUTED_VALUE"""),22.108303411946256)</f>
        <v>22.10830341</v>
      </c>
      <c r="G181" s="57">
        <f>IFERROR(__xludf.DUMMYFUNCTION("""COMPUTED_VALUE"""),10.0)</f>
        <v>10</v>
      </c>
      <c r="H181" s="58">
        <f>IFERROR(__xludf.DUMMYFUNCTION("iferror(if(B181="""", ,filter('IDR Import'!D:D,'IDR Import'!A:A=B181,'IDR Import'!C:C=A181)),)"),28.90818333392346)</f>
        <v>28.90818333</v>
      </c>
      <c r="I181" s="58">
        <v>25.508243372934857</v>
      </c>
      <c r="J181" s="59">
        <f t="shared" si="1"/>
        <v>10</v>
      </c>
    </row>
    <row r="182">
      <c r="A182" s="55" t="str">
        <f>IFERROR(__xludf.DUMMYFUNCTION("""COMPUTED_VALUE"""),"Challenger")</f>
        <v>Challenger</v>
      </c>
      <c r="B182" s="55" t="str">
        <f>IFERROR(__xludf.DUMMYFUNCTION("""COMPUTED_VALUE"""),"RSC008348")</f>
        <v>RSC008348</v>
      </c>
      <c r="C182" s="60" t="str">
        <f>IFERROR(__xludf.DUMMYFUNCTION("""COMPUTED_VALUE"""),"Shadows_ss")</f>
        <v>Shadows_ss</v>
      </c>
      <c r="D182" s="54" t="str">
        <f>IFERROR(__xludf.DUMMYFUNCTION("""COMPUTED_VALUE"""),"Sirens")</f>
        <v>Sirens</v>
      </c>
      <c r="E182" s="55" t="str">
        <f>IFERROR(__xludf.DUMMYFUNCTION("""COMPUTED_VALUE"""),"Solar")</f>
        <v>Solar</v>
      </c>
      <c r="F182" s="56">
        <f>IFERROR(__xludf.DUMMYFUNCTION("""COMPUTED_VALUE"""),21.09929527195958)</f>
        <v>21.09929527</v>
      </c>
      <c r="G182" s="57">
        <f>IFERROR(__xludf.DUMMYFUNCTION("""COMPUTED_VALUE"""),33.0)</f>
        <v>33</v>
      </c>
      <c r="H182" s="58">
        <f>IFERROR(__xludf.DUMMYFUNCTION("iferror(if(B182="""", ,filter('IDR Import'!D:D,'IDR Import'!A:A=B182,'IDR Import'!C:C=A182)),)"),20.137934283572616)</f>
        <v>20.13793428</v>
      </c>
      <c r="I182" s="58">
        <v>20.618614777766098</v>
      </c>
      <c r="J182" s="59">
        <f t="shared" si="1"/>
        <v>33</v>
      </c>
    </row>
    <row r="183">
      <c r="A183" s="55" t="str">
        <f>IFERROR(__xludf.DUMMYFUNCTION("""COMPUTED_VALUE"""),"Challenger")</f>
        <v>Challenger</v>
      </c>
      <c r="B183" s="55" t="str">
        <f>IFERROR(__xludf.DUMMYFUNCTION("""COMPUTED_VALUE"""),"RSC002911")</f>
        <v>RSC002911</v>
      </c>
      <c r="C183" s="60" t="str">
        <f>IFERROR(__xludf.DUMMYFUNCTION("""COMPUTED_VALUE"""),"Alextross")</f>
        <v>Alextross</v>
      </c>
      <c r="D183" s="54" t="str">
        <f>IFERROR(__xludf.DUMMYFUNCTION("""COMPUTED_VALUE"""),"Meat Lovers")</f>
        <v>Meat Lovers</v>
      </c>
      <c r="E183" s="55" t="str">
        <f>IFERROR(__xludf.DUMMYFUNCTION("""COMPUTED_VALUE"""),"Lunar")</f>
        <v>Lunar</v>
      </c>
      <c r="F183" s="56">
        <f>IFERROR(__xludf.DUMMYFUNCTION("""COMPUTED_VALUE"""),20.53105190288803)</f>
        <v>20.5310519</v>
      </c>
      <c r="G183" s="57">
        <f>IFERROR(__xludf.DUMMYFUNCTION("""COMPUTED_VALUE"""),1.0)</f>
        <v>1</v>
      </c>
      <c r="H183" s="58">
        <f>IFERROR(__xludf.DUMMYFUNCTION("iferror(if(B183="""", ,filter('IDR Import'!D:D,'IDR Import'!A:A=B183,'IDR Import'!C:C=A183)),)"),-15.764148760880005)</f>
        <v>-15.76414876</v>
      </c>
      <c r="I183" s="58">
        <v>2.383451571004013</v>
      </c>
      <c r="J183" s="59">
        <f t="shared" si="1"/>
        <v>1</v>
      </c>
    </row>
    <row r="184">
      <c r="A184" s="55" t="str">
        <f>IFERROR(__xludf.DUMMYFUNCTION("""COMPUTED_VALUE"""),"Challenger")</f>
        <v>Challenger</v>
      </c>
      <c r="B184" s="55" t="str">
        <f>IFERROR(__xludf.DUMMYFUNCTION("""COMPUTED_VALUE"""),"RSC003697")</f>
        <v>RSC003697</v>
      </c>
      <c r="C184" s="60" t="str">
        <f>IFERROR(__xludf.DUMMYFUNCTION("""COMPUTED_VALUE"""),"IBRN_Death")</f>
        <v>IBRN_Death</v>
      </c>
      <c r="D184" s="54" t="str">
        <f>IFERROR(__xludf.DUMMYFUNCTION("""COMPUTED_VALUE"""),"Blitzars")</f>
        <v>Blitzars</v>
      </c>
      <c r="E184" s="55" t="str">
        <f>IFERROR(__xludf.DUMMYFUNCTION("""COMPUTED_VALUE"""),"Lunar")</f>
        <v>Lunar</v>
      </c>
      <c r="F184" s="56">
        <f>IFERROR(__xludf.DUMMYFUNCTION("""COMPUTED_VALUE"""),20.2132865015075)</f>
        <v>20.2132865</v>
      </c>
      <c r="G184" s="57">
        <f>IFERROR(__xludf.DUMMYFUNCTION("""COMPUTED_VALUE"""),21.0)</f>
        <v>21</v>
      </c>
      <c r="H184" s="58">
        <f>IFERROR(__xludf.DUMMYFUNCTION("iferror(if(B184="""", ,filter('IDR Import'!D:D,'IDR Import'!A:A=B184,'IDR Import'!C:C=A184)),)"),13.112186831039239)</f>
        <v>13.11218683</v>
      </c>
      <c r="I184" s="58">
        <v>16.662736666273368</v>
      </c>
      <c r="J184" s="59">
        <f t="shared" si="1"/>
        <v>21</v>
      </c>
    </row>
    <row r="185">
      <c r="A185" s="55" t="str">
        <f>IFERROR(__xludf.DUMMYFUNCTION("""COMPUTED_VALUE"""),"Challenger")</f>
        <v>Challenger</v>
      </c>
      <c r="B185" s="55" t="str">
        <f>IFERROR(__xludf.DUMMYFUNCTION("""COMPUTED_VALUE"""),"RSC007165")</f>
        <v>RSC007165</v>
      </c>
      <c r="C185" s="60" t="str">
        <f>IFERROR(__xludf.DUMMYFUNCTION("""COMPUTED_VALUE"""),"BRG")</f>
        <v>BRG</v>
      </c>
      <c r="D185" s="54" t="str">
        <f>IFERROR(__xludf.DUMMYFUNCTION("""COMPUTED_VALUE"""),"Corals
Havarti Hustlers")</f>
        <v>Corals
Havarti Hustlers</v>
      </c>
      <c r="E185" s="55" t="str">
        <f>IFERROR(__xludf.DUMMYFUNCTION("""COMPUTED_VALUE"""),"Lunar
Lunar")</f>
        <v>Lunar
Lunar</v>
      </c>
      <c r="F185" s="56">
        <f>IFERROR(__xludf.DUMMYFUNCTION("""COMPUTED_VALUE"""),19.647583719396344)</f>
        <v>19.64758372</v>
      </c>
      <c r="G185" s="57">
        <f>IFERROR(__xludf.DUMMYFUNCTION("""COMPUTED_VALUE"""),40.0)</f>
        <v>40</v>
      </c>
      <c r="H185" s="58">
        <f>IFERROR(__xludf.DUMMYFUNCTION("iferror(if(B185="""", ,filter('IDR Import'!D:D,'IDR Import'!A:A=B185,'IDR Import'!C:C=A185)),)"),12.255793167189836)</f>
        <v>12.25579317</v>
      </c>
      <c r="I185" s="58">
        <v>15.95168844329309</v>
      </c>
      <c r="J185" s="59">
        <f t="shared" si="1"/>
        <v>40</v>
      </c>
    </row>
    <row r="186">
      <c r="A186" s="55" t="str">
        <f>IFERROR(__xludf.DUMMYFUNCTION("""COMPUTED_VALUE"""),"Challenger")</f>
        <v>Challenger</v>
      </c>
      <c r="B186" s="55" t="str">
        <f>IFERROR(__xludf.DUMMYFUNCTION("""COMPUTED_VALUE"""),"RSC008176")</f>
        <v>RSC008176</v>
      </c>
      <c r="C186" s="60" t="str">
        <f>IFERROR(__xludf.DUMMYFUNCTION("""COMPUTED_VALUE"""),"xLunarWolfx")</f>
        <v>xLunarWolfx</v>
      </c>
      <c r="D186" s="54" t="str">
        <f>IFERROR(__xludf.DUMMYFUNCTION("""COMPUTED_VALUE"""),"Toucans")</f>
        <v>Toucans</v>
      </c>
      <c r="E186" s="55" t="str">
        <f>IFERROR(__xludf.DUMMYFUNCTION("""COMPUTED_VALUE"""),"Solar")</f>
        <v>Solar</v>
      </c>
      <c r="F186" s="56">
        <f>IFERROR(__xludf.DUMMYFUNCTION("""COMPUTED_VALUE"""),16.51761695690761)</f>
        <v>16.51761696</v>
      </c>
      <c r="G186" s="57">
        <f>IFERROR(__xludf.DUMMYFUNCTION("""COMPUTED_VALUE"""),37.0)</f>
        <v>37</v>
      </c>
      <c r="H186" s="58">
        <f>IFERROR(__xludf.DUMMYFUNCTION("iferror(if(B186="""", ,filter('IDR Import'!D:D,'IDR Import'!A:A=B186,'IDR Import'!C:C=A186)),)"),-4.249197383262093)</f>
        <v>-4.249197383</v>
      </c>
      <c r="I186" s="58">
        <v>6.134209786822758</v>
      </c>
      <c r="J186" s="59">
        <f t="shared" si="1"/>
        <v>37</v>
      </c>
    </row>
    <row r="187">
      <c r="A187" s="55" t="str">
        <f>IFERROR(__xludf.DUMMYFUNCTION("""COMPUTED_VALUE"""),"Challenger")</f>
        <v>Challenger</v>
      </c>
      <c r="B187" s="55" t="str">
        <f>IFERROR(__xludf.DUMMYFUNCTION("""COMPUTED_VALUE"""),"RSC007955")</f>
        <v>RSC007955</v>
      </c>
      <c r="C187" s="60" t="str">
        <f>IFERROR(__xludf.DUMMYFUNCTION("""COMPUTED_VALUE"""),"JonathanVanDyk")</f>
        <v>JonathanVanDyk</v>
      </c>
      <c r="D187" s="54" t="str">
        <f>IFERROR(__xludf.DUMMYFUNCTION("""COMPUTED_VALUE"""),"Threshers")</f>
        <v>Threshers</v>
      </c>
      <c r="E187" s="55" t="str">
        <f>IFERROR(__xludf.DUMMYFUNCTION("""COMPUTED_VALUE"""),"Solar")</f>
        <v>Solar</v>
      </c>
      <c r="F187" s="56">
        <f>IFERROR(__xludf.DUMMYFUNCTION("""COMPUTED_VALUE"""),12.927939831007365)</f>
        <v>12.92793983</v>
      </c>
      <c r="G187" s="57">
        <f>IFERROR(__xludf.DUMMYFUNCTION("""COMPUTED_VALUE"""),16.0)</f>
        <v>16</v>
      </c>
      <c r="H187" s="58">
        <f>IFERROR(__xludf.DUMMYFUNCTION("iferror(if(B187="""", ,filter('IDR Import'!D:D,'IDR Import'!A:A=B187,'IDR Import'!C:C=A187)),)"),1.4705455561205696)</f>
        <v>1.470545556</v>
      </c>
      <c r="I187" s="58">
        <v>7.199242693563967</v>
      </c>
      <c r="J187" s="59">
        <f t="shared" si="1"/>
        <v>16</v>
      </c>
    </row>
    <row r="188">
      <c r="A188" s="55" t="str">
        <f>IFERROR(__xludf.DUMMYFUNCTION("""COMPUTED_VALUE"""),"Challenger")</f>
        <v>Challenger</v>
      </c>
      <c r="B188" s="55" t="str">
        <f>IFERROR(__xludf.DUMMYFUNCTION("""COMPUTED_VALUE"""),"RSC007271")</f>
        <v>RSC007271</v>
      </c>
      <c r="C188" s="60" t="str">
        <f>IFERROR(__xludf.DUMMYFUNCTION("""COMPUTED_VALUE"""),"Unc Darth")</f>
        <v>Unc Darth</v>
      </c>
      <c r="D188" s="54" t="str">
        <f>IFERROR(__xludf.DUMMYFUNCTION("""COMPUTED_VALUE"""),"Warthogs
Gold Hoarders")</f>
        <v>Warthogs
Gold Hoarders</v>
      </c>
      <c r="E188" s="55" t="str">
        <f>IFERROR(__xludf.DUMMYFUNCTION("""COMPUTED_VALUE"""),"Lunar
Lunar")</f>
        <v>Lunar
Lunar</v>
      </c>
      <c r="F188" s="56">
        <f>IFERROR(__xludf.DUMMYFUNCTION("""COMPUTED_VALUE"""),7.073437410730968)</f>
        <v>7.073437411</v>
      </c>
      <c r="G188" s="57">
        <f>IFERROR(__xludf.DUMMYFUNCTION("""COMPUTED_VALUE"""),18.0)</f>
        <v>18</v>
      </c>
      <c r="H188" s="58">
        <f>IFERROR(__xludf.DUMMYFUNCTION("iferror(if(B188="""", ,filter('IDR Import'!D:D,'IDR Import'!A:A=B188,'IDR Import'!C:C=A188)),)"),-11.26100020555588)</f>
        <v>-11.26100021</v>
      </c>
      <c r="I188" s="58">
        <v>-2.0937813974124566</v>
      </c>
      <c r="J188" s="59">
        <f t="shared" si="1"/>
        <v>18</v>
      </c>
    </row>
    <row r="189">
      <c r="A189" s="55" t="str">
        <f>IFERROR(__xludf.DUMMYFUNCTION("""COMPUTED_VALUE"""),"Challenger")</f>
        <v>Challenger</v>
      </c>
      <c r="B189" s="55" t="str">
        <f>IFERROR(__xludf.DUMMYFUNCTION("""COMPUTED_VALUE"""),"RSC002633")</f>
        <v>RSC002633</v>
      </c>
      <c r="C189" s="60" t="str">
        <f>IFERROR(__xludf.DUMMYFUNCTION("""COMPUTED_VALUE"""),"Gaboon")</f>
        <v>Gaboon</v>
      </c>
      <c r="D189" s="54" t="str">
        <f>IFERROR(__xludf.DUMMYFUNCTION("""COMPUTED_VALUE"""),"Manticore")</f>
        <v>Manticore</v>
      </c>
      <c r="E189" s="55" t="str">
        <f>IFERROR(__xludf.DUMMYFUNCTION("""COMPUTED_VALUE"""),"Solar")</f>
        <v>Solar</v>
      </c>
      <c r="F189" s="56">
        <f>IFERROR(__xludf.DUMMYFUNCTION("""COMPUTED_VALUE"""),-4.29994855522029)</f>
        <v>-4.299948555</v>
      </c>
      <c r="G189" s="57">
        <f>IFERROR(__xludf.DUMMYFUNCTION("""COMPUTED_VALUE"""),4.0)</f>
        <v>4</v>
      </c>
      <c r="H189" s="58">
        <f>IFERROR(__xludf.DUMMYFUNCTION("iferror(if(B189="""", ,filter('IDR Import'!D:D,'IDR Import'!A:A=B189,'IDR Import'!C:C=A189)),)"),5.264479656244653)</f>
        <v>5.264479656</v>
      </c>
      <c r="I189" s="58">
        <v>0.48226555051218156</v>
      </c>
      <c r="J189" s="59">
        <f t="shared" si="1"/>
        <v>4</v>
      </c>
    </row>
    <row r="190">
      <c r="A190" s="55" t="str">
        <f>IFERROR(__xludf.DUMMYFUNCTION("""COMPUTED_VALUE"""),"Challenger")</f>
        <v>Challenger</v>
      </c>
      <c r="B190" s="55" t="str">
        <f>IFERROR(__xludf.DUMMYFUNCTION("""COMPUTED_VALUE"""),"RSC008271")</f>
        <v>RSC008271</v>
      </c>
      <c r="C190" s="60" t="str">
        <f>IFERROR(__xludf.DUMMYFUNCTION("""COMPUTED_VALUE"""),"Zenitramx-_-")</f>
        <v>Zenitramx-_-</v>
      </c>
      <c r="D190" s="54" t="str">
        <f>IFERROR(__xludf.DUMMYFUNCTION("""COMPUTED_VALUE"""),"Glams")</f>
        <v>Glams</v>
      </c>
      <c r="E190" s="55" t="str">
        <f>IFERROR(__xludf.DUMMYFUNCTION("""COMPUTED_VALUE"""),"Lunar")</f>
        <v>Lunar</v>
      </c>
      <c r="F190" s="56">
        <f>IFERROR(__xludf.DUMMYFUNCTION("""COMPUTED_VALUE"""),-5.453139176310863)</f>
        <v>-5.453139176</v>
      </c>
      <c r="G190" s="57">
        <f>IFERROR(__xludf.DUMMYFUNCTION("""COMPUTED_VALUE"""),4.0)</f>
        <v>4</v>
      </c>
      <c r="H190" s="58">
        <f>IFERROR(__xludf.DUMMYFUNCTION("iferror(if(B190="""", ,filter('IDR Import'!D:D,'IDR Import'!A:A=B190,'IDR Import'!C:C=A190)),)"),-9.640784406444617)</f>
        <v>-9.640784406</v>
      </c>
      <c r="I190" s="58">
        <v>-7.54696179137774</v>
      </c>
      <c r="J190" s="59">
        <f t="shared" si="1"/>
        <v>4</v>
      </c>
    </row>
    <row r="191">
      <c r="A191" s="55" t="str">
        <f>IFERROR(__xludf.DUMMYFUNCTION("""COMPUTED_VALUE"""),"Elite")</f>
        <v>Elite</v>
      </c>
      <c r="B191" s="55" t="str">
        <f>IFERROR(__xludf.DUMMYFUNCTION("""COMPUTED_VALUE"""),"RSC007260")</f>
        <v>RSC007260</v>
      </c>
      <c r="C191" s="60" t="str">
        <f>IFERROR(__xludf.DUMMYFUNCTION("""COMPUTED_VALUE"""),"FlopMode.")</f>
        <v>FlopMode.</v>
      </c>
      <c r="D191" s="54" t="str">
        <f>IFERROR(__xludf.DUMMYFUNCTION("""COMPUTED_VALUE"""),"Afterburners")</f>
        <v>Afterburners</v>
      </c>
      <c r="E191" s="55" t="str">
        <f>IFERROR(__xludf.DUMMYFUNCTION("""COMPUTED_VALUE"""),"Lunar")</f>
        <v>Lunar</v>
      </c>
      <c r="F191" s="56">
        <f>IFERROR(__xludf.DUMMYFUNCTION("""COMPUTED_VALUE"""),96.82121190594107)</f>
        <v>96.82121191</v>
      </c>
      <c r="G191" s="57">
        <f>IFERROR(__xludf.DUMMYFUNCTION("""COMPUTED_VALUE"""),4.0)</f>
        <v>4</v>
      </c>
      <c r="H191" s="58">
        <f>IFERROR(__xludf.DUMMYFUNCTION("iferror(if(B191="""", ,filter('IDR Import'!D:D,'IDR Import'!A:A=B191,'IDR Import'!C:C=A191)),)"),114.10009001711452)</f>
        <v>114.10009</v>
      </c>
      <c r="I191" s="58">
        <v>105.46065096152779</v>
      </c>
      <c r="J191" s="59">
        <f t="shared" si="1"/>
        <v>4</v>
      </c>
    </row>
    <row r="192">
      <c r="A192" s="55" t="str">
        <f>IFERROR(__xludf.DUMMYFUNCTION("""COMPUTED_VALUE"""),"Elite")</f>
        <v>Elite</v>
      </c>
      <c r="B192" s="55" t="str">
        <f>IFERROR(__xludf.DUMMYFUNCTION("""COMPUTED_VALUE"""),"RSC006409")</f>
        <v>RSC006409</v>
      </c>
      <c r="C192" s="60" t="str">
        <f>IFERROR(__xludf.DUMMYFUNCTION("""COMPUTED_VALUE"""),"Reported.")</f>
        <v>Reported.</v>
      </c>
      <c r="D192" s="54" t="str">
        <f>IFERROR(__xludf.DUMMYFUNCTION("""COMPUTED_VALUE"""),"Great Whites")</f>
        <v>Great Whites</v>
      </c>
      <c r="E192" s="55" t="str">
        <f>IFERROR(__xludf.DUMMYFUNCTION("""COMPUTED_VALUE"""),"Solar")</f>
        <v>Solar</v>
      </c>
      <c r="F192" s="56">
        <f>IFERROR(__xludf.DUMMYFUNCTION("""COMPUTED_VALUE"""),93.35024295927946)</f>
        <v>93.35024296</v>
      </c>
      <c r="G192" s="57">
        <f>IFERROR(__xludf.DUMMYFUNCTION("""COMPUTED_VALUE"""),50.0)</f>
        <v>50</v>
      </c>
      <c r="H192" s="58">
        <f>IFERROR(__xludf.DUMMYFUNCTION("iferror(if(B192="""", ,filter('IDR Import'!D:D,'IDR Import'!A:A=B192,'IDR Import'!C:C=A192)),)"),89.55040849264208)</f>
        <v>89.55040849</v>
      </c>
      <c r="I192" s="58">
        <v>91.45032572596077</v>
      </c>
      <c r="J192" s="59">
        <f t="shared" si="1"/>
        <v>50</v>
      </c>
    </row>
    <row r="193">
      <c r="A193" s="55" t="str">
        <f>IFERROR(__xludf.DUMMYFUNCTION("""COMPUTED_VALUE"""),"Elite")</f>
        <v>Elite</v>
      </c>
      <c r="B193" s="55" t="str">
        <f>IFERROR(__xludf.DUMMYFUNCTION("""COMPUTED_VALUE"""),"RSC008362")</f>
        <v>RSC008362</v>
      </c>
      <c r="C193" s="60" t="str">
        <f>IFERROR(__xludf.DUMMYFUNCTION("""COMPUTED_VALUE"""),"flash!")</f>
        <v>flash!</v>
      </c>
      <c r="D193" s="54" t="str">
        <f>IFERROR(__xludf.DUMMYFUNCTION("""COMPUTED_VALUE"""),"Teddy Bears
Sloths")</f>
        <v>Teddy Bears
Sloths</v>
      </c>
      <c r="E193" s="55" t="str">
        <f>IFERROR(__xludf.DUMMYFUNCTION("""COMPUTED_VALUE"""),"Solar
Solar")</f>
        <v>Solar
Solar</v>
      </c>
      <c r="F193" s="56">
        <f>IFERROR(__xludf.DUMMYFUNCTION("""COMPUTED_VALUE"""),92.10187546443483)</f>
        <v>92.10187546</v>
      </c>
      <c r="G193" s="57">
        <f>IFERROR(__xludf.DUMMYFUNCTION("""COMPUTED_VALUE"""),40.0)</f>
        <v>40</v>
      </c>
      <c r="H193" s="58">
        <f>IFERROR(__xludf.DUMMYFUNCTION("iferror(if(B193="""", ,filter('IDR Import'!D:D,'IDR Import'!A:A=B193,'IDR Import'!C:C=A193)),)"),86.0042621255865)</f>
        <v>86.00426213</v>
      </c>
      <c r="I193" s="58">
        <v>89.05306879501066</v>
      </c>
      <c r="J193" s="59">
        <f t="shared" si="1"/>
        <v>40</v>
      </c>
    </row>
    <row r="194">
      <c r="A194" s="55" t="str">
        <f>IFERROR(__xludf.DUMMYFUNCTION("""COMPUTED_VALUE"""),"Elite")</f>
        <v>Elite</v>
      </c>
      <c r="B194" s="55" t="str">
        <f>IFERROR(__xludf.DUMMYFUNCTION("""COMPUTED_VALUE"""),"RSC006424")</f>
        <v>RSC006424</v>
      </c>
      <c r="C194" s="60" t="str">
        <f>IFERROR(__xludf.DUMMYFUNCTION("""COMPUTED_VALUE"""),"RSC Raven")</f>
        <v>RSC Raven</v>
      </c>
      <c r="D194" s="54" t="str">
        <f>IFERROR(__xludf.DUMMYFUNCTION("""COMPUTED_VALUE"""),"Peerless Scarred")</f>
        <v>Peerless Scarred</v>
      </c>
      <c r="E194" s="55" t="str">
        <f>IFERROR(__xludf.DUMMYFUNCTION("""COMPUTED_VALUE"""),"Solar")</f>
        <v>Solar</v>
      </c>
      <c r="F194" s="56">
        <f>IFERROR(__xludf.DUMMYFUNCTION("""COMPUTED_VALUE"""),90.23506353236303)</f>
        <v>90.23506353</v>
      </c>
      <c r="G194" s="57">
        <f>IFERROR(__xludf.DUMMYFUNCTION("""COMPUTED_VALUE"""),55.0)</f>
        <v>55</v>
      </c>
      <c r="H194" s="58">
        <f>IFERROR(__xludf.DUMMYFUNCTION("iferror(if(B194="""", ,filter('IDR Import'!D:D,'IDR Import'!A:A=B194,'IDR Import'!C:C=A194)),)"),86.64560235563991)</f>
        <v>86.64560236</v>
      </c>
      <c r="I194" s="58">
        <v>88.44033294400147</v>
      </c>
      <c r="J194" s="59">
        <f t="shared" si="1"/>
        <v>55</v>
      </c>
    </row>
    <row r="195">
      <c r="A195" s="55" t="str">
        <f>IFERROR(__xludf.DUMMYFUNCTION("""COMPUTED_VALUE"""),"Elite")</f>
        <v>Elite</v>
      </c>
      <c r="B195" s="55" t="str">
        <f>IFERROR(__xludf.DUMMYFUNCTION("""COMPUTED_VALUE"""),"RSC006985")</f>
        <v>RSC006985</v>
      </c>
      <c r="C195" s="60" t="str">
        <f>IFERROR(__xludf.DUMMYFUNCTION("""COMPUTED_VALUE"""),"not so jucy skep")</f>
        <v>not so jucy skep</v>
      </c>
      <c r="D195" s="54" t="str">
        <f>IFERROR(__xludf.DUMMYFUNCTION("""COMPUTED_VALUE"""),"Dragon")</f>
        <v>Dragon</v>
      </c>
      <c r="E195" s="55" t="str">
        <f>IFERROR(__xludf.DUMMYFUNCTION("""COMPUTED_VALUE"""),"Solar")</f>
        <v>Solar</v>
      </c>
      <c r="F195" s="56">
        <f>IFERROR(__xludf.DUMMYFUNCTION("""COMPUTED_VALUE"""),88.79533765720046)</f>
        <v>88.79533766</v>
      </c>
      <c r="G195" s="57">
        <f>IFERROR(__xludf.DUMMYFUNCTION("""COMPUTED_VALUE"""),48.0)</f>
        <v>48</v>
      </c>
      <c r="H195" s="58">
        <f>IFERROR(__xludf.DUMMYFUNCTION("iferror(if(B195="""", ,filter('IDR Import'!D:D,'IDR Import'!A:A=B195,'IDR Import'!C:C=A195)),)"),90.9665729538068)</f>
        <v>90.96657295</v>
      </c>
      <c r="I195" s="58">
        <v>89.88095530550363</v>
      </c>
      <c r="J195" s="59">
        <f t="shared" si="1"/>
        <v>48</v>
      </c>
    </row>
    <row r="196">
      <c r="A196" s="55" t="str">
        <f>IFERROR(__xludf.DUMMYFUNCTION("""COMPUTED_VALUE"""),"Elite")</f>
        <v>Elite</v>
      </c>
      <c r="B196" s="55" t="str">
        <f>IFERROR(__xludf.DUMMYFUNCTION("""COMPUTED_VALUE"""),"RSC000009")</f>
        <v>RSC000009</v>
      </c>
      <c r="C196" s="60" t="str">
        <f>IFERROR(__xludf.DUMMYFUNCTION("""COMPUTED_VALUE"""),"Timbo")</f>
        <v>Timbo</v>
      </c>
      <c r="D196" s="54" t="str">
        <f>IFERROR(__xludf.DUMMYFUNCTION("""COMPUTED_VALUE"""),"Menthol")</f>
        <v>Menthol</v>
      </c>
      <c r="E196" s="55" t="str">
        <f>IFERROR(__xludf.DUMMYFUNCTION("""COMPUTED_VALUE"""),"Solar")</f>
        <v>Solar</v>
      </c>
      <c r="F196" s="56">
        <f>IFERROR(__xludf.DUMMYFUNCTION("""COMPUTED_VALUE"""),87.20638390568658)</f>
        <v>87.20638391</v>
      </c>
      <c r="G196" s="57">
        <f>IFERROR(__xludf.DUMMYFUNCTION("""COMPUTED_VALUE"""),56.0)</f>
        <v>56</v>
      </c>
      <c r="H196" s="58">
        <f>IFERROR(__xludf.DUMMYFUNCTION("iferror(if(B196="""", ,filter('IDR Import'!D:D,'IDR Import'!A:A=B196,'IDR Import'!C:C=A196)),)"),91.40256609869482)</f>
        <v>91.4025661</v>
      </c>
      <c r="I196" s="58">
        <v>89.3044750021907</v>
      </c>
      <c r="J196" s="59">
        <f t="shared" si="1"/>
        <v>56</v>
      </c>
    </row>
    <row r="197">
      <c r="A197" s="55" t="str">
        <f>IFERROR(__xludf.DUMMYFUNCTION("""COMPUTED_VALUE"""),"Elite")</f>
        <v>Elite</v>
      </c>
      <c r="B197" s="55" t="str">
        <f>IFERROR(__xludf.DUMMYFUNCTION("""COMPUTED_VALUE"""),"RSC005524")</f>
        <v>RSC005524</v>
      </c>
      <c r="C197" s="60" t="str">
        <f>IFERROR(__xludf.DUMMYFUNCTION("""COMPUTED_VALUE"""),"RaunchyRomanian")</f>
        <v>RaunchyRomanian</v>
      </c>
      <c r="D197" s="54" t="str">
        <f>IFERROR(__xludf.DUMMYFUNCTION("""COMPUTED_VALUE"""),"Hydras")</f>
        <v>Hydras</v>
      </c>
      <c r="E197" s="55" t="str">
        <f>IFERROR(__xludf.DUMMYFUNCTION("""COMPUTED_VALUE"""),"Solar")</f>
        <v>Solar</v>
      </c>
      <c r="F197" s="56">
        <f>IFERROR(__xludf.DUMMYFUNCTION("""COMPUTED_VALUE"""),86.92611662891062)</f>
        <v>86.92611663</v>
      </c>
      <c r="G197" s="57">
        <f>IFERROR(__xludf.DUMMYFUNCTION("""COMPUTED_VALUE"""),56.0)</f>
        <v>56</v>
      </c>
      <c r="H197" s="58">
        <f>IFERROR(__xludf.DUMMYFUNCTION("iferror(if(B197="""", ,filter('IDR Import'!D:D,'IDR Import'!A:A=B197,'IDR Import'!C:C=A197)),)"),72.05839933199707)</f>
        <v>72.05839933</v>
      </c>
      <c r="I197" s="58">
        <v>79.49225798045384</v>
      </c>
      <c r="J197" s="59">
        <f t="shared" si="1"/>
        <v>56</v>
      </c>
    </row>
    <row r="198">
      <c r="A198" s="55" t="str">
        <f>IFERROR(__xludf.DUMMYFUNCTION("""COMPUTED_VALUE"""),"Elite")</f>
        <v>Elite</v>
      </c>
      <c r="B198" s="55" t="str">
        <f>IFERROR(__xludf.DUMMYFUNCTION("""COMPUTED_VALUE"""),"RSC007954")</f>
        <v>RSC007954</v>
      </c>
      <c r="C198" s="60" t="str">
        <f>IFERROR(__xludf.DUMMYFUNCTION("""COMPUTED_VALUE"""),"Killer")</f>
        <v>Killer</v>
      </c>
      <c r="D198" s="54" t="str">
        <f>IFERROR(__xludf.DUMMYFUNCTION("""COMPUTED_VALUE"""),"Gelato")</f>
        <v>Gelato</v>
      </c>
      <c r="E198" s="55" t="str">
        <f>IFERROR(__xludf.DUMMYFUNCTION("""COMPUTED_VALUE"""),"Lunar")</f>
        <v>Lunar</v>
      </c>
      <c r="F198" s="56">
        <f>IFERROR(__xludf.DUMMYFUNCTION("""COMPUTED_VALUE"""),86.53392610018435)</f>
        <v>86.5339261</v>
      </c>
      <c r="G198" s="57">
        <f>IFERROR(__xludf.DUMMYFUNCTION("""COMPUTED_VALUE"""),32.0)</f>
        <v>32</v>
      </c>
      <c r="H198" s="58">
        <f>IFERROR(__xludf.DUMMYFUNCTION("iferror(if(B198="""", ,filter('IDR Import'!D:D,'IDR Import'!A:A=B198,'IDR Import'!C:C=A198)),)"),88.4349199899153)</f>
        <v>88.43491999</v>
      </c>
      <c r="I198" s="58">
        <v>87.48442304504982</v>
      </c>
      <c r="J198" s="59">
        <f t="shared" si="1"/>
        <v>32</v>
      </c>
    </row>
    <row r="199">
      <c r="A199" s="55" t="str">
        <f>IFERROR(__xludf.DUMMYFUNCTION("""COMPUTED_VALUE"""),"Elite")</f>
        <v>Elite</v>
      </c>
      <c r="B199" s="55" t="str">
        <f>IFERROR(__xludf.DUMMYFUNCTION("""COMPUTED_VALUE"""),"RSC005709")</f>
        <v>RSC005709</v>
      </c>
      <c r="C199" s="60" t="str">
        <f>IFERROR(__xludf.DUMMYFUNCTION("""COMPUTED_VALUE"""),"ZavaRL")</f>
        <v>ZavaRL</v>
      </c>
      <c r="D199" s="54" t="str">
        <f>IFERROR(__xludf.DUMMYFUNCTION("""COMPUTED_VALUE"""),"Black-Holes
Praetorian Guard
Teddy Bears")</f>
        <v>Black-Holes
Praetorian Guard
Teddy Bears</v>
      </c>
      <c r="E199" s="55" t="str">
        <f>IFERROR(__xludf.DUMMYFUNCTION("""COMPUTED_VALUE"""),"Lunar
Solar
Solar")</f>
        <v>Lunar
Solar
Solar</v>
      </c>
      <c r="F199" s="56">
        <f>IFERROR(__xludf.DUMMYFUNCTION("""COMPUTED_VALUE"""),86.12680671850474)</f>
        <v>86.12680672</v>
      </c>
      <c r="G199" s="57">
        <f>IFERROR(__xludf.DUMMYFUNCTION("""COMPUTED_VALUE"""),21.0)</f>
        <v>21</v>
      </c>
      <c r="H199" s="58">
        <f>IFERROR(__xludf.DUMMYFUNCTION("iferror(if(B199="""", ,filter('IDR Import'!D:D,'IDR Import'!A:A=B199,'IDR Import'!C:C=A199)),)"),76.97497615350468)</f>
        <v>76.97497615</v>
      </c>
      <c r="I199" s="58">
        <v>81.55089143600472</v>
      </c>
      <c r="J199" s="59">
        <f t="shared" si="1"/>
        <v>21</v>
      </c>
    </row>
    <row r="200">
      <c r="A200" s="55" t="str">
        <f>IFERROR(__xludf.DUMMYFUNCTION("""COMPUTED_VALUE"""),"Elite")</f>
        <v>Elite</v>
      </c>
      <c r="B200" s="55" t="str">
        <f>IFERROR(__xludf.DUMMYFUNCTION("""COMPUTED_VALUE"""),"RSC006581")</f>
        <v>RSC006581</v>
      </c>
      <c r="C200" s="60" t="str">
        <f>IFERROR(__xludf.DUMMYFUNCTION("""COMPUTED_VALUE"""),"Light_Wigglebean")</f>
        <v>Light_Wigglebean</v>
      </c>
      <c r="D200" s="54" t="str">
        <f>IFERROR(__xludf.DUMMYFUNCTION("""COMPUTED_VALUE"""),"Black-Holes")</f>
        <v>Black-Holes</v>
      </c>
      <c r="E200" s="55" t="str">
        <f>IFERROR(__xludf.DUMMYFUNCTION("""COMPUTED_VALUE"""),"Lunar")</f>
        <v>Lunar</v>
      </c>
      <c r="F200" s="56">
        <f>IFERROR(__xludf.DUMMYFUNCTION("""COMPUTED_VALUE"""),83.91220470729564)</f>
        <v>83.91220471</v>
      </c>
      <c r="G200" s="57">
        <f>IFERROR(__xludf.DUMMYFUNCTION("""COMPUTED_VALUE"""),44.0)</f>
        <v>44</v>
      </c>
      <c r="H200" s="58">
        <f>IFERROR(__xludf.DUMMYFUNCTION("iferror(if(B200="""", ,filter('IDR Import'!D:D,'IDR Import'!A:A=B200,'IDR Import'!C:C=A200)),)"),84.04907088757025)</f>
        <v>84.04907089</v>
      </c>
      <c r="I200" s="58">
        <v>83.98063779743295</v>
      </c>
      <c r="J200" s="59">
        <f t="shared" si="1"/>
        <v>44</v>
      </c>
    </row>
    <row r="201">
      <c r="A201" s="55" t="str">
        <f>IFERROR(__xludf.DUMMYFUNCTION("""COMPUTED_VALUE"""),"Elite")</f>
        <v>Elite</v>
      </c>
      <c r="B201" s="55" t="str">
        <f>IFERROR(__xludf.DUMMYFUNCTION("""COMPUTED_VALUE"""),"RSC008255")</f>
        <v>RSC008255</v>
      </c>
      <c r="C201" s="60" t="str">
        <f>IFERROR(__xludf.DUMMYFUNCTION("""COMPUTED_VALUE"""),"Knabit")</f>
        <v>Knabit</v>
      </c>
      <c r="D201" s="54" t="str">
        <f>IFERROR(__xludf.DUMMYFUNCTION("""COMPUTED_VALUE"""),"Embezzlers")</f>
        <v>Embezzlers</v>
      </c>
      <c r="E201" s="55" t="str">
        <f>IFERROR(__xludf.DUMMYFUNCTION("""COMPUTED_VALUE"""),"Lunar")</f>
        <v>Lunar</v>
      </c>
      <c r="F201" s="56">
        <f>IFERROR(__xludf.DUMMYFUNCTION("""COMPUTED_VALUE"""),82.90325177831511)</f>
        <v>82.90325178</v>
      </c>
      <c r="G201" s="57">
        <f>IFERROR(__xludf.DUMMYFUNCTION("""COMPUTED_VALUE"""),52.0)</f>
        <v>52</v>
      </c>
      <c r="H201" s="58">
        <f>IFERROR(__xludf.DUMMYFUNCTION("iferror(if(B201="""", ,filter('IDR Import'!D:D,'IDR Import'!A:A=B201,'IDR Import'!C:C=A201)),)"),71.90445468175267)</f>
        <v>71.90445468</v>
      </c>
      <c r="I201" s="58">
        <v>77.40385323003389</v>
      </c>
      <c r="J201" s="59">
        <f t="shared" si="1"/>
        <v>52</v>
      </c>
    </row>
    <row r="202">
      <c r="A202" s="55" t="str">
        <f>IFERROR(__xludf.DUMMYFUNCTION("""COMPUTED_VALUE"""),"Elite")</f>
        <v>Elite</v>
      </c>
      <c r="B202" s="55" t="str">
        <f>IFERROR(__xludf.DUMMYFUNCTION("""COMPUTED_VALUE"""),"RSC006783")</f>
        <v>RSC006783</v>
      </c>
      <c r="C202" s="60" t="str">
        <f>IFERROR(__xludf.DUMMYFUNCTION("""COMPUTED_VALUE"""),"ImSouperGreat")</f>
        <v>ImSouperGreat</v>
      </c>
      <c r="D202" s="54" t="str">
        <f>IFERROR(__xludf.DUMMYFUNCTION("""COMPUTED_VALUE"""),"Great Whites")</f>
        <v>Great Whites</v>
      </c>
      <c r="E202" s="55" t="str">
        <f>IFERROR(__xludf.DUMMYFUNCTION("""COMPUTED_VALUE"""),"Solar")</f>
        <v>Solar</v>
      </c>
      <c r="F202" s="56">
        <f>IFERROR(__xludf.DUMMYFUNCTION("""COMPUTED_VALUE"""),80.30564625684544)</f>
        <v>80.30564626</v>
      </c>
      <c r="G202" s="57">
        <f>IFERROR(__xludf.DUMMYFUNCTION("""COMPUTED_VALUE"""),56.0)</f>
        <v>56</v>
      </c>
      <c r="H202" s="58">
        <f>IFERROR(__xludf.DUMMYFUNCTION("iferror(if(B202="""", ,filter('IDR Import'!D:D,'IDR Import'!A:A=B202,'IDR Import'!C:C=A202)),)"),80.9785910084896)</f>
        <v>80.97859101</v>
      </c>
      <c r="I202" s="58">
        <v>80.64211863266752</v>
      </c>
      <c r="J202" s="59">
        <f t="shared" si="1"/>
        <v>56</v>
      </c>
    </row>
    <row r="203">
      <c r="A203" s="55" t="str">
        <f>IFERROR(__xludf.DUMMYFUNCTION("""COMPUTED_VALUE"""),"Elite")</f>
        <v>Elite</v>
      </c>
      <c r="B203" s="55" t="str">
        <f>IFERROR(__xludf.DUMMYFUNCTION("""COMPUTED_VALUE"""),"RSC004966")</f>
        <v>RSC004966</v>
      </c>
      <c r="C203" s="60" t="str">
        <f>IFERROR(__xludf.DUMMYFUNCTION("""COMPUTED_VALUE"""),"Buck")</f>
        <v>Buck</v>
      </c>
      <c r="D203" s="54" t="str">
        <f>IFERROR(__xludf.DUMMYFUNCTION("""COMPUTED_VALUE"""),"Embezzlers")</f>
        <v>Embezzlers</v>
      </c>
      <c r="E203" s="55" t="str">
        <f>IFERROR(__xludf.DUMMYFUNCTION("""COMPUTED_VALUE"""),"Lunar")</f>
        <v>Lunar</v>
      </c>
      <c r="F203" s="56">
        <f>IFERROR(__xludf.DUMMYFUNCTION("""COMPUTED_VALUE"""),79.95980268473878)</f>
        <v>79.95980268</v>
      </c>
      <c r="G203" s="57">
        <f>IFERROR(__xludf.DUMMYFUNCTION("""COMPUTED_VALUE"""),34.0)</f>
        <v>34</v>
      </c>
      <c r="H203" s="58">
        <f>IFERROR(__xludf.DUMMYFUNCTION("iferror(if(B203="""", ,filter('IDR Import'!D:D,'IDR Import'!A:A=B203,'IDR Import'!C:C=A203)),)"),80.12296859673636)</f>
        <v>80.1229686</v>
      </c>
      <c r="I203" s="58">
        <v>80.04138564073756</v>
      </c>
      <c r="J203" s="59">
        <f t="shared" si="1"/>
        <v>34</v>
      </c>
    </row>
    <row r="204">
      <c r="A204" s="55" t="str">
        <f>IFERROR(__xludf.DUMMYFUNCTION("""COMPUTED_VALUE"""),"Elite")</f>
        <v>Elite</v>
      </c>
      <c r="B204" s="55" t="str">
        <f>IFERROR(__xludf.DUMMYFUNCTION("""COMPUTED_VALUE"""),"RSC005516")</f>
        <v>RSC005516</v>
      </c>
      <c r="C204" s="60" t="str">
        <f>IFERROR(__xludf.DUMMYFUNCTION("""COMPUTED_VALUE"""),"Pirate Princess Local!")</f>
        <v>Pirate Princess Local!</v>
      </c>
      <c r="D204" s="54" t="str">
        <f>IFERROR(__xludf.DUMMYFUNCTION("""COMPUTED_VALUE"""),"Praetorian Guard")</f>
        <v>Praetorian Guard</v>
      </c>
      <c r="E204" s="55" t="str">
        <f>IFERROR(__xludf.DUMMYFUNCTION("""COMPUTED_VALUE"""),"Solar")</f>
        <v>Solar</v>
      </c>
      <c r="F204" s="56">
        <f>IFERROR(__xludf.DUMMYFUNCTION("""COMPUTED_VALUE"""),79.3797694166827)</f>
        <v>79.37976942</v>
      </c>
      <c r="G204" s="57">
        <f>IFERROR(__xludf.DUMMYFUNCTION("""COMPUTED_VALUE"""),36.0)</f>
        <v>36</v>
      </c>
      <c r="H204" s="58">
        <f>IFERROR(__xludf.DUMMYFUNCTION("iferror(if(B204="""", ,filter('IDR Import'!D:D,'IDR Import'!A:A=B204,'IDR Import'!C:C=A204)),)"),76.48288443129175)</f>
        <v>76.48288443</v>
      </c>
      <c r="I204" s="58">
        <v>77.93132692398723</v>
      </c>
      <c r="J204" s="59">
        <f t="shared" si="1"/>
        <v>36</v>
      </c>
    </row>
    <row r="205">
      <c r="A205" s="55" t="str">
        <f>IFERROR(__xludf.DUMMYFUNCTION("""COMPUTED_VALUE"""),"Elite")</f>
        <v>Elite</v>
      </c>
      <c r="B205" s="55" t="str">
        <f>IFERROR(__xludf.DUMMYFUNCTION("""COMPUTED_VALUE"""),"RSC008155")</f>
        <v>RSC008155</v>
      </c>
      <c r="C205" s="60" t="str">
        <f>IFERROR(__xludf.DUMMYFUNCTION("""COMPUTED_VALUE"""),"WinterMajorChamp")</f>
        <v>WinterMajorChamp</v>
      </c>
      <c r="D205" s="54" t="str">
        <f>IFERROR(__xludf.DUMMYFUNCTION("""COMPUTED_VALUE"""),"Sloths")</f>
        <v>Sloths</v>
      </c>
      <c r="E205" s="55" t="str">
        <f>IFERROR(__xludf.DUMMYFUNCTION("""COMPUTED_VALUE"""),"Solar")</f>
        <v>Solar</v>
      </c>
      <c r="F205" s="56">
        <f>IFERROR(__xludf.DUMMYFUNCTION("""COMPUTED_VALUE"""),79.11839797547873)</f>
        <v>79.11839798</v>
      </c>
      <c r="G205" s="57">
        <f>IFERROR(__xludf.DUMMYFUNCTION("""COMPUTED_VALUE"""),52.0)</f>
        <v>52</v>
      </c>
      <c r="H205" s="58">
        <f>IFERROR(__xludf.DUMMYFUNCTION("iferror(if(B205="""", ,filter('IDR Import'!D:D,'IDR Import'!A:A=B205,'IDR Import'!C:C=A205)),)"),82.51001188460776)</f>
        <v>82.51001188</v>
      </c>
      <c r="I205" s="58">
        <v>80.81420493004325</v>
      </c>
      <c r="J205" s="59">
        <f t="shared" si="1"/>
        <v>52</v>
      </c>
    </row>
    <row r="206">
      <c r="A206" s="55" t="str">
        <f>IFERROR(__xludf.DUMMYFUNCTION("""COMPUTED_VALUE"""),"Elite")</f>
        <v>Elite</v>
      </c>
      <c r="B206" s="55" t="str">
        <f>IFERROR(__xludf.DUMMYFUNCTION("""COMPUTED_VALUE"""),"RSC008493")</f>
        <v>RSC008493</v>
      </c>
      <c r="C206" s="60" t="str">
        <f>IFERROR(__xludf.DUMMYFUNCTION("""COMPUTED_VALUE"""),"wntr.")</f>
        <v>wntr.</v>
      </c>
      <c r="D206" s="54" t="str">
        <f>IFERROR(__xludf.DUMMYFUNCTION("""COMPUTED_VALUE"""),"Ghastly Goombahs")</f>
        <v>Ghastly Goombahs</v>
      </c>
      <c r="E206" s="55" t="str">
        <f>IFERROR(__xludf.DUMMYFUNCTION("""COMPUTED_VALUE"""),"Lunar")</f>
        <v>Lunar</v>
      </c>
      <c r="F206" s="56">
        <f>IFERROR(__xludf.DUMMYFUNCTION("""COMPUTED_VALUE"""),77.57144704572671)</f>
        <v>77.57144705</v>
      </c>
      <c r="G206" s="57">
        <f>IFERROR(__xludf.DUMMYFUNCTION("""COMPUTED_VALUE"""),36.0)</f>
        <v>36</v>
      </c>
      <c r="H206" s="58">
        <f>IFERROR(__xludf.DUMMYFUNCTION("iferror(if(B206="""", ,filter('IDR Import'!D:D,'IDR Import'!A:A=B206,'IDR Import'!C:C=A206)),)"),78.80143940409101)</f>
        <v>78.8014394</v>
      </c>
      <c r="I206" s="58">
        <v>78.18644322490886</v>
      </c>
      <c r="J206" s="59">
        <f t="shared" si="1"/>
        <v>36</v>
      </c>
    </row>
    <row r="207">
      <c r="A207" s="55" t="str">
        <f>IFERROR(__xludf.DUMMYFUNCTION("""COMPUTED_VALUE"""),"Elite")</f>
        <v>Elite</v>
      </c>
      <c r="B207" s="55" t="str">
        <f>IFERROR(__xludf.DUMMYFUNCTION("""COMPUTED_VALUE"""),"RSC005236")</f>
        <v>RSC005236</v>
      </c>
      <c r="C207" s="60" t="str">
        <f>IFERROR(__xludf.DUMMYFUNCTION("""COMPUTED_VALUE"""),"Rozi-")</f>
        <v>Rozi-</v>
      </c>
      <c r="D207" s="54" t="str">
        <f>IFERROR(__xludf.DUMMYFUNCTION("""COMPUTED_VALUE"""),"Forest Cobra")</f>
        <v>Forest Cobra</v>
      </c>
      <c r="E207" s="55" t="str">
        <f>IFERROR(__xludf.DUMMYFUNCTION("""COMPUTED_VALUE"""),"Lunar")</f>
        <v>Lunar</v>
      </c>
      <c r="F207" s="56">
        <f>IFERROR(__xludf.DUMMYFUNCTION("""COMPUTED_VALUE"""),76.8306635551667)</f>
        <v>76.83066356</v>
      </c>
      <c r="G207" s="57">
        <f>IFERROR(__xludf.DUMMYFUNCTION("""COMPUTED_VALUE"""),49.0)</f>
        <v>49</v>
      </c>
      <c r="H207" s="58">
        <f>IFERROR(__xludf.DUMMYFUNCTION("iferror(if(B207="""", ,filter('IDR Import'!D:D,'IDR Import'!A:A=B207,'IDR Import'!C:C=A207)),)"),76.93333719637708)</f>
        <v>76.9333372</v>
      </c>
      <c r="I207" s="58">
        <v>76.8820003757719</v>
      </c>
      <c r="J207" s="59">
        <f t="shared" si="1"/>
        <v>49</v>
      </c>
    </row>
    <row r="208">
      <c r="A208" s="55" t="str">
        <f>IFERROR(__xludf.DUMMYFUNCTION("""COMPUTED_VALUE"""),"Elite")</f>
        <v>Elite</v>
      </c>
      <c r="B208" s="55" t="str">
        <f>IFERROR(__xludf.DUMMYFUNCTION("""COMPUTED_VALUE"""),"RSC007280")</f>
        <v>RSC007280</v>
      </c>
      <c r="C208" s="60" t="str">
        <f>IFERROR(__xludf.DUMMYFUNCTION("""COMPUTED_VALUE"""),"BallChasinq")</f>
        <v>BallChasinq</v>
      </c>
      <c r="D208" s="54" t="str">
        <f>IFERROR(__xludf.DUMMYFUNCTION("""COMPUTED_VALUE"""),"Dik-diks")</f>
        <v>Dik-diks</v>
      </c>
      <c r="E208" s="55" t="str">
        <f>IFERROR(__xludf.DUMMYFUNCTION("""COMPUTED_VALUE"""),"Lunar")</f>
        <v>Lunar</v>
      </c>
      <c r="F208" s="56">
        <f>IFERROR(__xludf.DUMMYFUNCTION("""COMPUTED_VALUE"""),76.74579007960455)</f>
        <v>76.74579008</v>
      </c>
      <c r="G208" s="57">
        <f>IFERROR(__xludf.DUMMYFUNCTION("""COMPUTED_VALUE"""),48.0)</f>
        <v>48</v>
      </c>
      <c r="H208" s="58">
        <f>IFERROR(__xludf.DUMMYFUNCTION("iferror(if(B208="""", ,filter('IDR Import'!D:D,'IDR Import'!A:A=B208,'IDR Import'!C:C=A208)),)"),67.70835886927424)</f>
        <v>67.70835887</v>
      </c>
      <c r="I208" s="58">
        <v>72.22707447443939</v>
      </c>
      <c r="J208" s="59">
        <f t="shared" si="1"/>
        <v>48</v>
      </c>
    </row>
    <row r="209">
      <c r="A209" s="55" t="str">
        <f>IFERROR(__xludf.DUMMYFUNCTION("""COMPUTED_VALUE"""),"Elite")</f>
        <v>Elite</v>
      </c>
      <c r="B209" s="55" t="str">
        <f>IFERROR(__xludf.DUMMYFUNCTION("""COMPUTED_VALUE"""),"RSC003412")</f>
        <v>RSC003412</v>
      </c>
      <c r="C209" s="60" t="str">
        <f>IFERROR(__xludf.DUMMYFUNCTION("""COMPUTED_VALUE"""),"Python")</f>
        <v>Python</v>
      </c>
      <c r="D209" s="54" t="str">
        <f>IFERROR(__xludf.DUMMYFUNCTION("""COMPUTED_VALUE"""),"Krakens
Immortals
Forest Cobra
Teddy Bears
Black-Holes
Forge Defenders")</f>
        <v>Krakens
Immortals
Forest Cobra
Teddy Bears
Black-Holes
Forge Defenders</v>
      </c>
      <c r="E209" s="55" t="str">
        <f>IFERROR(__xludf.DUMMYFUNCTION("""COMPUTED_VALUE"""),"Lunar
Lunar
Lunar
Solar
Lunar
Lunar")</f>
        <v>Lunar
Lunar
Lunar
Solar
Lunar
Lunar</v>
      </c>
      <c r="F209" s="56">
        <f>IFERROR(__xludf.DUMMYFUNCTION("""COMPUTED_VALUE"""),76.72910389866635)</f>
        <v>76.7291039</v>
      </c>
      <c r="G209" s="57">
        <f>IFERROR(__xludf.DUMMYFUNCTION("""COMPUTED_VALUE"""),41.0)</f>
        <v>41</v>
      </c>
      <c r="H209" s="58">
        <f>IFERROR(__xludf.DUMMYFUNCTION("iferror(if(B209="""", ,filter('IDR Import'!D:D,'IDR Import'!A:A=B209,'IDR Import'!C:C=A209)),)"),73.68547583607176)</f>
        <v>73.68547584</v>
      </c>
      <c r="I209" s="58">
        <v>75.20728986736906</v>
      </c>
      <c r="J209" s="59">
        <f t="shared" si="1"/>
        <v>41</v>
      </c>
    </row>
    <row r="210">
      <c r="A210" s="55" t="str">
        <f>IFERROR(__xludf.DUMMYFUNCTION("""COMPUTED_VALUE"""),"Elite")</f>
        <v>Elite</v>
      </c>
      <c r="B210" s="55" t="str">
        <f>IFERROR(__xludf.DUMMYFUNCTION("""COMPUTED_VALUE"""),"RSC007907")</f>
        <v>RSC007907</v>
      </c>
      <c r="C210" s="60" t="str">
        <f>IFERROR(__xludf.DUMMYFUNCTION("""COMPUTED_VALUE"""),"chazie.")</f>
        <v>chazie.</v>
      </c>
      <c r="D210" s="54" t="str">
        <f>IFERROR(__xludf.DUMMYFUNCTION("""COMPUTED_VALUE"""),"Praetorian Guard")</f>
        <v>Praetorian Guard</v>
      </c>
      <c r="E210" s="55" t="str">
        <f>IFERROR(__xludf.DUMMYFUNCTION("""COMPUTED_VALUE"""),"Solar")</f>
        <v>Solar</v>
      </c>
      <c r="F210" s="56">
        <f>IFERROR(__xludf.DUMMYFUNCTION("""COMPUTED_VALUE"""),73.93392468160769)</f>
        <v>73.93392468</v>
      </c>
      <c r="G210" s="57">
        <f>IFERROR(__xludf.DUMMYFUNCTION("""COMPUTED_VALUE"""),36.0)</f>
        <v>36</v>
      </c>
      <c r="H210" s="58">
        <f>IFERROR(__xludf.DUMMYFUNCTION("iferror(if(B210="""", ,filter('IDR Import'!D:D,'IDR Import'!A:A=B210,'IDR Import'!C:C=A210)),)"),66.5232953947395)</f>
        <v>66.52329539</v>
      </c>
      <c r="I210" s="58">
        <v>70.2286100381736</v>
      </c>
      <c r="J210" s="59">
        <f t="shared" si="1"/>
        <v>36</v>
      </c>
    </row>
    <row r="211">
      <c r="A211" s="55" t="str">
        <f>IFERROR(__xludf.DUMMYFUNCTION("""COMPUTED_VALUE"""),"Elite")</f>
        <v>Elite</v>
      </c>
      <c r="B211" s="55" t="str">
        <f>IFERROR(__xludf.DUMMYFUNCTION("""COMPUTED_VALUE"""),"RSC000344")</f>
        <v>RSC000344</v>
      </c>
      <c r="C211" s="60" t="str">
        <f>IFERROR(__xludf.DUMMYFUNCTION("""COMPUTED_VALUE"""),"Mezmer")</f>
        <v>Mezmer</v>
      </c>
      <c r="D211" s="54" t="str">
        <f>IFERROR(__xludf.DUMMYFUNCTION("""COMPUTED_VALUE"""),"Menthol")</f>
        <v>Menthol</v>
      </c>
      <c r="E211" s="55" t="str">
        <f>IFERROR(__xludf.DUMMYFUNCTION("""COMPUTED_VALUE"""),"Solar")</f>
        <v>Solar</v>
      </c>
      <c r="F211" s="56">
        <f>IFERROR(__xludf.DUMMYFUNCTION("""COMPUTED_VALUE"""),73.66967553110423)</f>
        <v>73.66967553</v>
      </c>
      <c r="G211" s="57">
        <f>IFERROR(__xludf.DUMMYFUNCTION("""COMPUTED_VALUE"""),56.0)</f>
        <v>56</v>
      </c>
      <c r="H211" s="58">
        <f>IFERROR(__xludf.DUMMYFUNCTION("iferror(if(B211="""", ,filter('IDR Import'!D:D,'IDR Import'!A:A=B211,'IDR Import'!C:C=A211)),)"),73.90493721058851)</f>
        <v>73.90493721</v>
      </c>
      <c r="I211" s="58">
        <v>73.78730637084638</v>
      </c>
      <c r="J211" s="59">
        <f t="shared" si="1"/>
        <v>56</v>
      </c>
    </row>
    <row r="212">
      <c r="A212" s="55" t="str">
        <f>IFERROR(__xludf.DUMMYFUNCTION("""COMPUTED_VALUE"""),"Elite")</f>
        <v>Elite</v>
      </c>
      <c r="B212" s="55" t="str">
        <f>IFERROR(__xludf.DUMMYFUNCTION("""COMPUTED_VALUE"""),"RSC008448")</f>
        <v>RSC008448</v>
      </c>
      <c r="C212" s="60" t="str">
        <f>IFERROR(__xludf.DUMMYFUNCTION("""COMPUTED_VALUE"""),"haz")</f>
        <v>haz</v>
      </c>
      <c r="D212" s="54" t="str">
        <f>IFERROR(__xludf.DUMMYFUNCTION("""COMPUTED_VALUE"""),"Black-Holes")</f>
        <v>Black-Holes</v>
      </c>
      <c r="E212" s="55" t="str">
        <f>IFERROR(__xludf.DUMMYFUNCTION("""COMPUTED_VALUE"""),"Lunar")</f>
        <v>Lunar</v>
      </c>
      <c r="F212" s="56">
        <f>IFERROR(__xludf.DUMMYFUNCTION("""COMPUTED_VALUE"""),73.33008258947129)</f>
        <v>73.33008259</v>
      </c>
      <c r="G212" s="57">
        <f>IFERROR(__xludf.DUMMYFUNCTION("""COMPUTED_VALUE"""),20.0)</f>
        <v>20</v>
      </c>
      <c r="H212" s="58">
        <f>IFERROR(__xludf.DUMMYFUNCTION("iferror(if(B212="""", ,filter('IDR Import'!D:D,'IDR Import'!A:A=B212,'IDR Import'!C:C=A212)),)"),65.45787083703601)</f>
        <v>65.45787084</v>
      </c>
      <c r="I212" s="58">
        <v>69.39397671325365</v>
      </c>
      <c r="J212" s="59">
        <f t="shared" si="1"/>
        <v>20</v>
      </c>
    </row>
    <row r="213">
      <c r="A213" s="55" t="str">
        <f>IFERROR(__xludf.DUMMYFUNCTION("""COMPUTED_VALUE"""),"Elite")</f>
        <v>Elite</v>
      </c>
      <c r="B213" s="55" t="str">
        <f>IFERROR(__xludf.DUMMYFUNCTION("""COMPUTED_VALUE"""),"RSC008221")</f>
        <v>RSC008221</v>
      </c>
      <c r="C213" s="60" t="str">
        <f>IFERROR(__xludf.DUMMYFUNCTION("""COMPUTED_VALUE"""),"KamdenRL")</f>
        <v>KamdenRL</v>
      </c>
      <c r="D213" s="54" t="str">
        <f>IFERROR(__xludf.DUMMYFUNCTION("""COMPUTED_VALUE"""),"Thrashers
Black-Holes
Hellhounds
Forest Cobra")</f>
        <v>Thrashers
Black-Holes
Hellhounds
Forest Cobra</v>
      </c>
      <c r="E213" s="55" t="str">
        <f>IFERROR(__xludf.DUMMYFUNCTION("""COMPUTED_VALUE"""),"Lunar
Lunar
Solar
Lunar")</f>
        <v>Lunar
Lunar
Solar
Lunar</v>
      </c>
      <c r="F213" s="56">
        <f>IFERROR(__xludf.DUMMYFUNCTION("""COMPUTED_VALUE"""),72.7819889463792)</f>
        <v>72.78198895</v>
      </c>
      <c r="G213" s="57">
        <f>IFERROR(__xludf.DUMMYFUNCTION("""COMPUTED_VALUE"""),18.0)</f>
        <v>18</v>
      </c>
      <c r="H213" s="58">
        <f>IFERROR(__xludf.DUMMYFUNCTION("iferror(if(B213="""", ,filter('IDR Import'!D:D,'IDR Import'!A:A=B213,'IDR Import'!C:C=A213)),)"),69.34320282210652)</f>
        <v>69.34320282</v>
      </c>
      <c r="I213" s="58">
        <v>71.06259588424285</v>
      </c>
      <c r="J213" s="59">
        <f t="shared" si="1"/>
        <v>18</v>
      </c>
    </row>
    <row r="214">
      <c r="A214" s="55" t="str">
        <f>IFERROR(__xludf.DUMMYFUNCTION("""COMPUTED_VALUE"""),"Elite")</f>
        <v>Elite</v>
      </c>
      <c r="B214" s="55" t="str">
        <f>IFERROR(__xludf.DUMMYFUNCTION("""COMPUTED_VALUE"""),"RSC004863")</f>
        <v>RSC004863</v>
      </c>
      <c r="C214" s="60" t="str">
        <f>IFERROR(__xludf.DUMMYFUNCTION("""COMPUTED_VALUE"""),"wicked")</f>
        <v>wicked</v>
      </c>
      <c r="D214" s="54" t="str">
        <f>IFERROR(__xludf.DUMMYFUNCTION("""COMPUTED_VALUE"""),"Despair")</f>
        <v>Despair</v>
      </c>
      <c r="E214" s="55" t="str">
        <f>IFERROR(__xludf.DUMMYFUNCTION("""COMPUTED_VALUE"""),"Lunar")</f>
        <v>Lunar</v>
      </c>
      <c r="F214" s="56">
        <f>IFERROR(__xludf.DUMMYFUNCTION("""COMPUTED_VALUE"""),72.47076271126792)</f>
        <v>72.47076271</v>
      </c>
      <c r="G214" s="57">
        <f>IFERROR(__xludf.DUMMYFUNCTION("""COMPUTED_VALUE"""),55.0)</f>
        <v>55</v>
      </c>
      <c r="H214" s="58">
        <f>IFERROR(__xludf.DUMMYFUNCTION("iferror(if(B214="""", ,filter('IDR Import'!D:D,'IDR Import'!A:A=B214,'IDR Import'!C:C=A214)),)"),76.7535750907579)</f>
        <v>76.75357509</v>
      </c>
      <c r="I214" s="58">
        <v>74.61216890101292</v>
      </c>
      <c r="J214" s="59">
        <f t="shared" si="1"/>
        <v>55</v>
      </c>
    </row>
    <row r="215">
      <c r="A215" s="55" t="str">
        <f>IFERROR(__xludf.DUMMYFUNCTION("""COMPUTED_VALUE"""),"Elite")</f>
        <v>Elite</v>
      </c>
      <c r="B215" s="55" t="str">
        <f>IFERROR(__xludf.DUMMYFUNCTION("""COMPUTED_VALUE"""),"RSC008420")</f>
        <v>RSC008420</v>
      </c>
      <c r="C215" s="60" t="str">
        <f>IFERROR(__xludf.DUMMYFUNCTION("""COMPUTED_VALUE"""),"Volkner")</f>
        <v>Volkner</v>
      </c>
      <c r="D215" s="54" t="str">
        <f>IFERROR(__xludf.DUMMYFUNCTION("""COMPUTED_VALUE"""),"Swordsman")</f>
        <v>Swordsman</v>
      </c>
      <c r="E215" s="55" t="str">
        <f>IFERROR(__xludf.DUMMYFUNCTION("""COMPUTED_VALUE"""),"Solar")</f>
        <v>Solar</v>
      </c>
      <c r="F215" s="56">
        <f>IFERROR(__xludf.DUMMYFUNCTION("""COMPUTED_VALUE"""),72.24305390633559)</f>
        <v>72.24305391</v>
      </c>
      <c r="G215" s="57">
        <f>IFERROR(__xludf.DUMMYFUNCTION("""COMPUTED_VALUE"""),56.0)</f>
        <v>56</v>
      </c>
      <c r="H215" s="58">
        <f>IFERROR(__xludf.DUMMYFUNCTION("iferror(if(B215="""", ,filter('IDR Import'!D:D,'IDR Import'!A:A=B215,'IDR Import'!C:C=A215)),)"),68.40637235045895)</f>
        <v>68.40637235</v>
      </c>
      <c r="I215" s="58">
        <v>70.32471312839726</v>
      </c>
      <c r="J215" s="59">
        <f t="shared" si="1"/>
        <v>56</v>
      </c>
    </row>
    <row r="216">
      <c r="A216" s="55" t="str">
        <f>IFERROR(__xludf.DUMMYFUNCTION("""COMPUTED_VALUE"""),"Elite")</f>
        <v>Elite</v>
      </c>
      <c r="B216" s="55" t="str">
        <f>IFERROR(__xludf.DUMMYFUNCTION("""COMPUTED_VALUE"""),"RSC007908")</f>
        <v>RSC007908</v>
      </c>
      <c r="C216" s="60" t="str">
        <f>IFERROR(__xludf.DUMMYFUNCTION("""COMPUTED_VALUE"""),"C01E01")</f>
        <v>C01E01</v>
      </c>
      <c r="D216" s="54" t="str">
        <f>IFERROR(__xludf.DUMMYFUNCTION("""COMPUTED_VALUE"""),"Hydras")</f>
        <v>Hydras</v>
      </c>
      <c r="E216" s="55" t="str">
        <f>IFERROR(__xludf.DUMMYFUNCTION("""COMPUTED_VALUE"""),"Solar")</f>
        <v>Solar</v>
      </c>
      <c r="F216" s="56">
        <f>IFERROR(__xludf.DUMMYFUNCTION("""COMPUTED_VALUE"""),71.93637812483476)</f>
        <v>71.93637812</v>
      </c>
      <c r="G216" s="57">
        <f>IFERROR(__xludf.DUMMYFUNCTION("""COMPUTED_VALUE"""),56.0)</f>
        <v>56</v>
      </c>
      <c r="H216" s="58">
        <f>IFERROR(__xludf.DUMMYFUNCTION("iferror(if(B216="""", ,filter('IDR Import'!D:D,'IDR Import'!A:A=B216,'IDR Import'!C:C=A216)),)"),69.33256853986595)</f>
        <v>69.33256854</v>
      </c>
      <c r="I216" s="58">
        <v>70.63447333235035</v>
      </c>
      <c r="J216" s="59">
        <f t="shared" si="1"/>
        <v>56</v>
      </c>
    </row>
    <row r="217">
      <c r="A217" s="55" t="str">
        <f>IFERROR(__xludf.DUMMYFUNCTION("""COMPUTED_VALUE"""),"Elite")</f>
        <v>Elite</v>
      </c>
      <c r="B217" s="55" t="str">
        <f>IFERROR(__xludf.DUMMYFUNCTION("""COMPUTED_VALUE"""),"RSC003178")</f>
        <v>RSC003178</v>
      </c>
      <c r="C217" s="60" t="str">
        <f>IFERROR(__xludf.DUMMYFUNCTION("""COMPUTED_VALUE"""),"Snack Time!")</f>
        <v>Snack Time!</v>
      </c>
      <c r="D217" s="54" t="str">
        <f>IFERROR(__xludf.DUMMYFUNCTION("""COMPUTED_VALUE"""),"Commanders
Ghastly Goombahs")</f>
        <v>Commanders
Ghastly Goombahs</v>
      </c>
      <c r="E217" s="55" t="str">
        <f>IFERROR(__xludf.DUMMYFUNCTION("""COMPUTED_VALUE"""),"Lunar
Lunar")</f>
        <v>Lunar
Lunar</v>
      </c>
      <c r="F217" s="56">
        <f>IFERROR(__xludf.DUMMYFUNCTION("""COMPUTED_VALUE"""),71.50142103086192)</f>
        <v>71.50142103</v>
      </c>
      <c r="G217" s="57">
        <f>IFERROR(__xludf.DUMMYFUNCTION("""COMPUTED_VALUE"""),56.0)</f>
        <v>56</v>
      </c>
      <c r="H217" s="58">
        <f>IFERROR(__xludf.DUMMYFUNCTION("iferror(if(B217="""", ,filter('IDR Import'!D:D,'IDR Import'!A:A=B217,'IDR Import'!C:C=A217)),)"),76.70467575164616)</f>
        <v>76.70467575</v>
      </c>
      <c r="I217" s="58">
        <v>74.10304839125405</v>
      </c>
      <c r="J217" s="59">
        <f t="shared" si="1"/>
        <v>56</v>
      </c>
    </row>
    <row r="218">
      <c r="A218" s="55" t="str">
        <f>IFERROR(__xludf.DUMMYFUNCTION("""COMPUTED_VALUE"""),"Elite")</f>
        <v>Elite</v>
      </c>
      <c r="B218" s="55" t="str">
        <f>IFERROR(__xludf.DUMMYFUNCTION("""COMPUTED_VALUE"""),"RSC000623")</f>
        <v>RSC000623</v>
      </c>
      <c r="C218" s="60" t="str">
        <f>IFERROR(__xludf.DUMMYFUNCTION("""COMPUTED_VALUE"""),"wall2wall3")</f>
        <v>wall2wall3</v>
      </c>
      <c r="D218" s="54" t="str">
        <f>IFERROR(__xludf.DUMMYFUNCTION("""COMPUTED_VALUE"""),"Great Whites")</f>
        <v>Great Whites</v>
      </c>
      <c r="E218" s="55" t="str">
        <f>IFERROR(__xludf.DUMMYFUNCTION("""COMPUTED_VALUE"""),"Solar")</f>
        <v>Solar</v>
      </c>
      <c r="F218" s="56">
        <f>IFERROR(__xludf.DUMMYFUNCTION("""COMPUTED_VALUE"""),71.47475753366035)</f>
        <v>71.47475753</v>
      </c>
      <c r="G218" s="57">
        <f>IFERROR(__xludf.DUMMYFUNCTION("""COMPUTED_VALUE"""),52.0)</f>
        <v>52</v>
      </c>
      <c r="H218" s="58">
        <f>IFERROR(__xludf.DUMMYFUNCTION("iferror(if(B218="""", ,filter('IDR Import'!D:D,'IDR Import'!A:A=B218,'IDR Import'!C:C=A218)),)"),75.52313676906587)</f>
        <v>75.52313677</v>
      </c>
      <c r="I218" s="58">
        <v>73.49894715136311</v>
      </c>
      <c r="J218" s="59">
        <f t="shared" si="1"/>
        <v>52</v>
      </c>
    </row>
    <row r="219">
      <c r="A219" s="55" t="str">
        <f>IFERROR(__xludf.DUMMYFUNCTION("""COMPUTED_VALUE"""),"Elite")</f>
        <v>Elite</v>
      </c>
      <c r="B219" s="55" t="str">
        <f>IFERROR(__xludf.DUMMYFUNCTION("""COMPUTED_VALUE"""),"RSC007642")</f>
        <v>RSC007642</v>
      </c>
      <c r="C219" s="60" t="str">
        <f>IFERROR(__xludf.DUMMYFUNCTION("""COMPUTED_VALUE"""),"Luminati7")</f>
        <v>Luminati7</v>
      </c>
      <c r="D219" s="54" t="str">
        <f>IFERROR(__xludf.DUMMYFUNCTION("""COMPUTED_VALUE"""),"Forest Cobra")</f>
        <v>Forest Cobra</v>
      </c>
      <c r="E219" s="55" t="str">
        <f>IFERROR(__xludf.DUMMYFUNCTION("""COMPUTED_VALUE"""),"Lunar")</f>
        <v>Lunar</v>
      </c>
      <c r="F219" s="56">
        <f>IFERROR(__xludf.DUMMYFUNCTION("""COMPUTED_VALUE"""),70.3504709125589)</f>
        <v>70.35047091</v>
      </c>
      <c r="G219" s="57">
        <f>IFERROR(__xludf.DUMMYFUNCTION("""COMPUTED_VALUE"""),55.0)</f>
        <v>55</v>
      </c>
      <c r="H219" s="58">
        <f>IFERROR(__xludf.DUMMYFUNCTION("iferror(if(B219="""", ,filter('IDR Import'!D:D,'IDR Import'!A:A=B219,'IDR Import'!C:C=A219)),)"),72.64033850957571)</f>
        <v>72.64033851</v>
      </c>
      <c r="I219" s="58">
        <v>71.49540471106731</v>
      </c>
      <c r="J219" s="59">
        <f t="shared" si="1"/>
        <v>55</v>
      </c>
    </row>
    <row r="220">
      <c r="A220" s="55" t="str">
        <f>IFERROR(__xludf.DUMMYFUNCTION("""COMPUTED_VALUE"""),"Elite")</f>
        <v>Elite</v>
      </c>
      <c r="B220" s="55" t="str">
        <f>IFERROR(__xludf.DUMMYFUNCTION("""COMPUTED_VALUE"""),"RSC004107")</f>
        <v>RSC004107</v>
      </c>
      <c r="C220" s="60" t="str">
        <f>IFERROR(__xludf.DUMMYFUNCTION("""COMPUTED_VALUE"""),"FlyFyre.")</f>
        <v>FlyFyre.</v>
      </c>
      <c r="D220" s="54" t="str">
        <f>IFERROR(__xludf.DUMMYFUNCTION("""COMPUTED_VALUE"""),"Praetorian Guard")</f>
        <v>Praetorian Guard</v>
      </c>
      <c r="E220" s="55" t="str">
        <f>IFERROR(__xludf.DUMMYFUNCTION("""COMPUTED_VALUE"""),"Solar")</f>
        <v>Solar</v>
      </c>
      <c r="F220" s="56">
        <f>IFERROR(__xludf.DUMMYFUNCTION("""COMPUTED_VALUE"""),70.18039494824731)</f>
        <v>70.18039495</v>
      </c>
      <c r="G220" s="57">
        <f>IFERROR(__xludf.DUMMYFUNCTION("""COMPUTED_VALUE"""),16.0)</f>
        <v>16</v>
      </c>
      <c r="H220" s="58">
        <f>IFERROR(__xludf.DUMMYFUNCTION("iferror(if(B220="""", ,filter('IDR Import'!D:D,'IDR Import'!A:A=B220,'IDR Import'!C:C=A220)),)"),73.05454431390207)</f>
        <v>73.05454431</v>
      </c>
      <c r="I220" s="58">
        <v>71.6174696310747</v>
      </c>
      <c r="J220" s="59">
        <f t="shared" si="1"/>
        <v>16</v>
      </c>
    </row>
    <row r="221">
      <c r="A221" s="55" t="str">
        <f>IFERROR(__xludf.DUMMYFUNCTION("""COMPUTED_VALUE"""),"Elite")</f>
        <v>Elite</v>
      </c>
      <c r="B221" s="55" t="str">
        <f>IFERROR(__xludf.DUMMYFUNCTION("""COMPUTED_VALUE"""),"RSC006193")</f>
        <v>RSC006193</v>
      </c>
      <c r="C221" s="60" t="str">
        <f>IFERROR(__xludf.DUMMYFUNCTION("""COMPUTED_VALUE"""),"Saucy Rexy")</f>
        <v>Saucy Rexy</v>
      </c>
      <c r="D221" s="54" t="str">
        <f>IFERROR(__xludf.DUMMYFUNCTION("""COMPUTED_VALUE"""),"Forest Cobra")</f>
        <v>Forest Cobra</v>
      </c>
      <c r="E221" s="55" t="str">
        <f>IFERROR(__xludf.DUMMYFUNCTION("""COMPUTED_VALUE"""),"Lunar")</f>
        <v>Lunar</v>
      </c>
      <c r="F221" s="56">
        <f>IFERROR(__xludf.DUMMYFUNCTION("""COMPUTED_VALUE"""),69.12949207555295)</f>
        <v>69.12949208</v>
      </c>
      <c r="G221" s="57">
        <f>IFERROR(__xludf.DUMMYFUNCTION("""COMPUTED_VALUE"""),51.0)</f>
        <v>51</v>
      </c>
      <c r="H221" s="58">
        <f>IFERROR(__xludf.DUMMYFUNCTION("iferror(if(B221="""", ,filter('IDR Import'!D:D,'IDR Import'!A:A=B221,'IDR Import'!C:C=A221)),)"),78.21033818752898)</f>
        <v>78.21033819</v>
      </c>
      <c r="I221" s="58">
        <v>73.66991513154096</v>
      </c>
      <c r="J221" s="59">
        <f t="shared" si="1"/>
        <v>51</v>
      </c>
    </row>
    <row r="222">
      <c r="A222" s="55" t="str">
        <f>IFERROR(__xludf.DUMMYFUNCTION("""COMPUTED_VALUE"""),"Elite")</f>
        <v>Elite</v>
      </c>
      <c r="B222" s="55" t="str">
        <f>IFERROR(__xludf.DUMMYFUNCTION("""COMPUTED_VALUE"""),"RSC005515")</f>
        <v>RSC005515</v>
      </c>
      <c r="C222" s="60" t="str">
        <f>IFERROR(__xludf.DUMMYFUNCTION("""COMPUTED_VALUE"""),"BaronTac0")</f>
        <v>BaronTac0</v>
      </c>
      <c r="D222" s="54" t="str">
        <f>IFERROR(__xludf.DUMMYFUNCTION("""COMPUTED_VALUE"""),"Embezzlers")</f>
        <v>Embezzlers</v>
      </c>
      <c r="E222" s="55" t="str">
        <f>IFERROR(__xludf.DUMMYFUNCTION("""COMPUTED_VALUE"""),"Lunar")</f>
        <v>Lunar</v>
      </c>
      <c r="F222" s="56">
        <f>IFERROR(__xludf.DUMMYFUNCTION("""COMPUTED_VALUE"""),68.99341049479804)</f>
        <v>68.99341049</v>
      </c>
      <c r="G222" s="57">
        <f>IFERROR(__xludf.DUMMYFUNCTION("""COMPUTED_VALUE"""),45.0)</f>
        <v>45</v>
      </c>
      <c r="H222" s="58">
        <f>IFERROR(__xludf.DUMMYFUNCTION("iferror(if(B222="""", ,filter('IDR Import'!D:D,'IDR Import'!A:A=B222,'IDR Import'!C:C=A222)),)"),58.88748666216341)</f>
        <v>58.88748666</v>
      </c>
      <c r="I222" s="58">
        <v>63.940448578480726</v>
      </c>
      <c r="J222" s="59">
        <f t="shared" si="1"/>
        <v>45</v>
      </c>
    </row>
    <row r="223">
      <c r="A223" s="55" t="str">
        <f>IFERROR(__xludf.DUMMYFUNCTION("""COMPUTED_VALUE"""),"Elite")</f>
        <v>Elite</v>
      </c>
      <c r="B223" s="55" t="str">
        <f>IFERROR(__xludf.DUMMYFUNCTION("""COMPUTED_VALUE"""),"RSC005274")</f>
        <v>RSC005274</v>
      </c>
      <c r="C223" s="60" t="str">
        <f>IFERROR(__xludf.DUMMYFUNCTION("""COMPUTED_VALUE"""),"KING.")</f>
        <v>KING.</v>
      </c>
      <c r="D223" s="54" t="str">
        <f>IFERROR(__xludf.DUMMYFUNCTION("""COMPUTED_VALUE"""),"Pixel Picassos")</f>
        <v>Pixel Picassos</v>
      </c>
      <c r="E223" s="55" t="str">
        <f>IFERROR(__xludf.DUMMYFUNCTION("""COMPUTED_VALUE"""),"Solar")</f>
        <v>Solar</v>
      </c>
      <c r="F223" s="56">
        <f>IFERROR(__xludf.DUMMYFUNCTION("""COMPUTED_VALUE"""),68.6957725458679)</f>
        <v>68.69577255</v>
      </c>
      <c r="G223" s="57">
        <f>IFERROR(__xludf.DUMMYFUNCTION("""COMPUTED_VALUE"""),56.0)</f>
        <v>56</v>
      </c>
      <c r="H223" s="58">
        <f>IFERROR(__xludf.DUMMYFUNCTION("iferror(if(B223="""", ,filter('IDR Import'!D:D,'IDR Import'!A:A=B223,'IDR Import'!C:C=A223)),)"),64.67726271688852)</f>
        <v>64.67726272</v>
      </c>
      <c r="I223" s="58">
        <v>66.68651763137821</v>
      </c>
      <c r="J223" s="59">
        <f t="shared" si="1"/>
        <v>56</v>
      </c>
    </row>
    <row r="224">
      <c r="A224" s="55" t="str">
        <f>IFERROR(__xludf.DUMMYFUNCTION("""COMPUTED_VALUE"""),"Elite")</f>
        <v>Elite</v>
      </c>
      <c r="B224" s="55" t="str">
        <f>IFERROR(__xludf.DUMMYFUNCTION("""COMPUTED_VALUE"""),"RSC007354")</f>
        <v>RSC007354</v>
      </c>
      <c r="C224" s="60" t="str">
        <f>IFERROR(__xludf.DUMMYFUNCTION("""COMPUTED_VALUE"""),"Fanatic")</f>
        <v>Fanatic</v>
      </c>
      <c r="D224" s="54" t="str">
        <f>IFERROR(__xludf.DUMMYFUNCTION("""COMPUTED_VALUE"""),"Hellhounds")</f>
        <v>Hellhounds</v>
      </c>
      <c r="E224" s="55" t="str">
        <f>IFERROR(__xludf.DUMMYFUNCTION("""COMPUTED_VALUE"""),"Solar")</f>
        <v>Solar</v>
      </c>
      <c r="F224" s="56">
        <f>IFERROR(__xludf.DUMMYFUNCTION("""COMPUTED_VALUE"""),68.54384614962947)</f>
        <v>68.54384615</v>
      </c>
      <c r="G224" s="57">
        <f>IFERROR(__xludf.DUMMYFUNCTION("""COMPUTED_VALUE"""),47.0)</f>
        <v>47</v>
      </c>
      <c r="H224" s="58">
        <f>IFERROR(__xludf.DUMMYFUNCTION("iferror(if(B224="""", ,filter('IDR Import'!D:D,'IDR Import'!A:A=B224,'IDR Import'!C:C=A224)),)"),64.46933330672867)</f>
        <v>64.46933331</v>
      </c>
      <c r="I224" s="58">
        <v>66.50658972817908</v>
      </c>
      <c r="J224" s="59">
        <f t="shared" si="1"/>
        <v>47</v>
      </c>
    </row>
    <row r="225">
      <c r="A225" s="55" t="str">
        <f>IFERROR(__xludf.DUMMYFUNCTION("""COMPUTED_VALUE"""),"Elite")</f>
        <v>Elite</v>
      </c>
      <c r="B225" s="55" t="str">
        <f>IFERROR(__xludf.DUMMYFUNCTION("""COMPUTED_VALUE"""),"RSC002498")</f>
        <v>RSC002498</v>
      </c>
      <c r="C225" s="60" t="str">
        <f>IFERROR(__xludf.DUMMYFUNCTION("""COMPUTED_VALUE"""),"Justin")</f>
        <v>Justin</v>
      </c>
      <c r="D225" s="54" t="str">
        <f>IFERROR(__xludf.DUMMYFUNCTION("""COMPUTED_VALUE"""),"Raptors
Frostbite
Gelato")</f>
        <v>Raptors
Frostbite
Gelato</v>
      </c>
      <c r="E225" s="55" t="str">
        <f>IFERROR(__xludf.DUMMYFUNCTION("""COMPUTED_VALUE"""),"Lunar
Solar
Lunar")</f>
        <v>Lunar
Solar
Lunar</v>
      </c>
      <c r="F225" s="56">
        <f>IFERROR(__xludf.DUMMYFUNCTION("""COMPUTED_VALUE"""),68.1487060682824)</f>
        <v>68.14870607</v>
      </c>
      <c r="G225" s="57">
        <f>IFERROR(__xludf.DUMMYFUNCTION("""COMPUTED_VALUE"""),28.0)</f>
        <v>28</v>
      </c>
      <c r="H225" s="58">
        <f>IFERROR(__xludf.DUMMYFUNCTION("iferror(if(B225="""", ,filter('IDR Import'!D:D,'IDR Import'!A:A=B225,'IDR Import'!C:C=A225)),)"),65.38722265949659)</f>
        <v>65.38722266</v>
      </c>
      <c r="I225" s="58">
        <v>66.76796436388949</v>
      </c>
      <c r="J225" s="59">
        <f t="shared" si="1"/>
        <v>28</v>
      </c>
    </row>
    <row r="226">
      <c r="A226" s="55" t="str">
        <f>IFERROR(__xludf.DUMMYFUNCTION("""COMPUTED_VALUE"""),"Elite")</f>
        <v>Elite</v>
      </c>
      <c r="B226" s="55" t="str">
        <f>IFERROR(__xludf.DUMMYFUNCTION("""COMPUTED_VALUE"""),"RSC003831")</f>
        <v>RSC003831</v>
      </c>
      <c r="C226" s="60" t="str">
        <f>IFERROR(__xludf.DUMMYFUNCTION("""COMPUTED_VALUE"""),"Aki")</f>
        <v>Aki</v>
      </c>
      <c r="D226" s="54" t="str">
        <f>IFERROR(__xludf.DUMMYFUNCTION("""COMPUTED_VALUE"""),"Ghastly Goombahs")</f>
        <v>Ghastly Goombahs</v>
      </c>
      <c r="E226" s="55" t="str">
        <f>IFERROR(__xludf.DUMMYFUNCTION("""COMPUTED_VALUE"""),"Lunar")</f>
        <v>Lunar</v>
      </c>
      <c r="F226" s="56">
        <f>IFERROR(__xludf.DUMMYFUNCTION("""COMPUTED_VALUE"""),67.96590140867816)</f>
        <v>67.96590141</v>
      </c>
      <c r="G226" s="57">
        <f>IFERROR(__xludf.DUMMYFUNCTION("""COMPUTED_VALUE"""),38.0)</f>
        <v>38</v>
      </c>
      <c r="H226" s="58">
        <f>IFERROR(__xludf.DUMMYFUNCTION("iferror(if(B226="""", ,filter('IDR Import'!D:D,'IDR Import'!A:A=B226,'IDR Import'!C:C=A226)),)"),70.71087643549971)</f>
        <v>70.71087644</v>
      </c>
      <c r="I226" s="58">
        <v>69.33838892208894</v>
      </c>
      <c r="J226" s="59">
        <f t="shared" si="1"/>
        <v>38</v>
      </c>
    </row>
    <row r="227">
      <c r="A227" s="55" t="str">
        <f>IFERROR(__xludf.DUMMYFUNCTION("""COMPUTED_VALUE"""),"Elite")</f>
        <v>Elite</v>
      </c>
      <c r="B227" s="55" t="str">
        <f>IFERROR(__xludf.DUMMYFUNCTION("""COMPUTED_VALUE"""),"RSC007269")</f>
        <v>RSC007269</v>
      </c>
      <c r="C227" s="60" t="str">
        <f>IFERROR(__xludf.DUMMYFUNCTION("""COMPUTED_VALUE"""),"Navik")</f>
        <v>Navik</v>
      </c>
      <c r="D227" s="54" t="str">
        <f>IFERROR(__xludf.DUMMYFUNCTION("""COMPUTED_VALUE"""),"Commanders")</f>
        <v>Commanders</v>
      </c>
      <c r="E227" s="55" t="str">
        <f>IFERROR(__xludf.DUMMYFUNCTION("""COMPUTED_VALUE"""),"Lunar")</f>
        <v>Lunar</v>
      </c>
      <c r="F227" s="56">
        <f>IFERROR(__xludf.DUMMYFUNCTION("""COMPUTED_VALUE"""),67.2563716534037)</f>
        <v>67.25637165</v>
      </c>
      <c r="G227" s="57">
        <f>IFERROR(__xludf.DUMMYFUNCTION("""COMPUTED_VALUE"""),56.0)</f>
        <v>56</v>
      </c>
      <c r="H227" s="58">
        <f>IFERROR(__xludf.DUMMYFUNCTION("iferror(if(B227="""", ,filter('IDR Import'!D:D,'IDR Import'!A:A=B227,'IDR Import'!C:C=A227)),)"),70.49504847514788)</f>
        <v>70.49504848</v>
      </c>
      <c r="I227" s="58">
        <v>68.8757100642758</v>
      </c>
      <c r="J227" s="59">
        <f t="shared" si="1"/>
        <v>56</v>
      </c>
    </row>
    <row r="228">
      <c r="A228" s="55" t="str">
        <f>IFERROR(__xludf.DUMMYFUNCTION("""COMPUTED_VALUE"""),"Elite")</f>
        <v>Elite</v>
      </c>
      <c r="B228" s="55" t="str">
        <f>IFERROR(__xludf.DUMMYFUNCTION("""COMPUTED_VALUE"""),"RSC003250")</f>
        <v>RSC003250</v>
      </c>
      <c r="C228" s="60" t="str">
        <f>IFERROR(__xludf.DUMMYFUNCTION("""COMPUTED_VALUE"""),"Chefty")</f>
        <v>Chefty</v>
      </c>
      <c r="D228" s="54" t="str">
        <f>IFERROR(__xludf.DUMMYFUNCTION("""COMPUTED_VALUE"""),"Thrashers
Gelato
Hydras")</f>
        <v>Thrashers
Gelato
Hydras</v>
      </c>
      <c r="E228" s="55" t="str">
        <f>IFERROR(__xludf.DUMMYFUNCTION("""COMPUTED_VALUE"""),"Lunar
Lunar
Solar")</f>
        <v>Lunar
Lunar
Solar</v>
      </c>
      <c r="F228" s="56">
        <f>IFERROR(__xludf.DUMMYFUNCTION("""COMPUTED_VALUE"""),66.66296897946076)</f>
        <v>66.66296898</v>
      </c>
      <c r="G228" s="57">
        <f>IFERROR(__xludf.DUMMYFUNCTION("""COMPUTED_VALUE"""),7.0)</f>
        <v>7</v>
      </c>
      <c r="H228" s="58">
        <f>IFERROR(__xludf.DUMMYFUNCTION("iferror(if(B228="""", ,filter('IDR Import'!D:D,'IDR Import'!A:A=B228,'IDR Import'!C:C=A228)),)"),69.18182614620486)</f>
        <v>69.18182615</v>
      </c>
      <c r="I228" s="58">
        <v>67.9223975628328</v>
      </c>
      <c r="J228" s="59">
        <f t="shared" si="1"/>
        <v>7</v>
      </c>
    </row>
    <row r="229">
      <c r="A229" s="55" t="str">
        <f>IFERROR(__xludf.DUMMYFUNCTION("""COMPUTED_VALUE"""),"Elite")</f>
        <v>Elite</v>
      </c>
      <c r="B229" s="55" t="str">
        <f>IFERROR(__xludf.DUMMYFUNCTION("""COMPUTED_VALUE"""),"RSC007514")</f>
        <v>RSC007514</v>
      </c>
      <c r="C229" s="60" t="str">
        <f>IFERROR(__xludf.DUMMYFUNCTION("""COMPUTED_VALUE"""),"Sauce_Boss_36")</f>
        <v>Sauce_Boss_36</v>
      </c>
      <c r="D229" s="54" t="str">
        <f>IFERROR(__xludf.DUMMYFUNCTION("""COMPUTED_VALUE"""),"Dragon")</f>
        <v>Dragon</v>
      </c>
      <c r="E229" s="55" t="str">
        <f>IFERROR(__xludf.DUMMYFUNCTION("""COMPUTED_VALUE"""),"Solar")</f>
        <v>Solar</v>
      </c>
      <c r="F229" s="56">
        <f>IFERROR(__xludf.DUMMYFUNCTION("""COMPUTED_VALUE"""),66.33185336904626)</f>
        <v>66.33185337</v>
      </c>
      <c r="G229" s="57">
        <f>IFERROR(__xludf.DUMMYFUNCTION("""COMPUTED_VALUE"""),41.0)</f>
        <v>41</v>
      </c>
      <c r="H229" s="58">
        <f>IFERROR(__xludf.DUMMYFUNCTION("iferror(if(B229="""", ,filter('IDR Import'!D:D,'IDR Import'!A:A=B229,'IDR Import'!C:C=A229)),)"),76.38923407792444)</f>
        <v>76.38923408</v>
      </c>
      <c r="I229" s="58">
        <v>71.36054372348535</v>
      </c>
      <c r="J229" s="59">
        <f t="shared" si="1"/>
        <v>41</v>
      </c>
    </row>
    <row r="230">
      <c r="A230" s="55" t="str">
        <f>IFERROR(__xludf.DUMMYFUNCTION("""COMPUTED_VALUE"""),"Elite")</f>
        <v>Elite</v>
      </c>
      <c r="B230" s="55" t="str">
        <f>IFERROR(__xludf.DUMMYFUNCTION("""COMPUTED_VALUE"""),"RSC005287")</f>
        <v>RSC005287</v>
      </c>
      <c r="C230" s="60" t="str">
        <f>IFERROR(__xludf.DUMMYFUNCTION("""COMPUTED_VALUE"""),"Sakuta")</f>
        <v>Sakuta</v>
      </c>
      <c r="D230" s="54" t="str">
        <f>IFERROR(__xludf.DUMMYFUNCTION("""COMPUTED_VALUE"""),"Forge Defenders")</f>
        <v>Forge Defenders</v>
      </c>
      <c r="E230" s="55" t="str">
        <f>IFERROR(__xludf.DUMMYFUNCTION("""COMPUTED_VALUE"""),"Lunar")</f>
        <v>Lunar</v>
      </c>
      <c r="F230" s="56">
        <f>IFERROR(__xludf.DUMMYFUNCTION("""COMPUTED_VALUE"""),65.91012652739364)</f>
        <v>65.91012653</v>
      </c>
      <c r="G230" s="57">
        <f>IFERROR(__xludf.DUMMYFUNCTION("""COMPUTED_VALUE"""),56.0)</f>
        <v>56</v>
      </c>
      <c r="H230" s="58">
        <f>IFERROR(__xludf.DUMMYFUNCTION("iferror(if(B230="""", ,filter('IDR Import'!D:D,'IDR Import'!A:A=B230,'IDR Import'!C:C=A230)),)"),54.65431354256486)</f>
        <v>54.65431354</v>
      </c>
      <c r="I230" s="58">
        <v>60.28222003497925</v>
      </c>
      <c r="J230" s="59">
        <f t="shared" si="1"/>
        <v>56</v>
      </c>
    </row>
    <row r="231">
      <c r="A231" s="55" t="str">
        <f>IFERROR(__xludf.DUMMYFUNCTION("""COMPUTED_VALUE"""),"Elite")</f>
        <v>Elite</v>
      </c>
      <c r="B231" s="55" t="str">
        <f>IFERROR(__xludf.DUMMYFUNCTION("""COMPUTED_VALUE"""),"RSC006259")</f>
        <v>RSC006259</v>
      </c>
      <c r="C231" s="60" t="str">
        <f>IFERROR(__xludf.DUMMYFUNCTION("""COMPUTED_VALUE"""),"mojomo (Goofy and Silly)")</f>
        <v>mojomo (Goofy and Silly)</v>
      </c>
      <c r="D231" s="54" t="str">
        <f>IFERROR(__xludf.DUMMYFUNCTION("""COMPUTED_VALUE"""),"Frostbite")</f>
        <v>Frostbite</v>
      </c>
      <c r="E231" s="55" t="str">
        <f>IFERROR(__xludf.DUMMYFUNCTION("""COMPUTED_VALUE"""),"Solar")</f>
        <v>Solar</v>
      </c>
      <c r="F231" s="56">
        <f>IFERROR(__xludf.DUMMYFUNCTION("""COMPUTED_VALUE"""),65.73790937564303)</f>
        <v>65.73790938</v>
      </c>
      <c r="G231" s="57">
        <f>IFERROR(__xludf.DUMMYFUNCTION("""COMPUTED_VALUE"""),52.0)</f>
        <v>52</v>
      </c>
      <c r="H231" s="58">
        <f>IFERROR(__xludf.DUMMYFUNCTION("iferror(if(B231="""", ,filter('IDR Import'!D:D,'IDR Import'!A:A=B231,'IDR Import'!C:C=A231)),)"),58.38721731510397)</f>
        <v>58.38721732</v>
      </c>
      <c r="I231" s="58">
        <v>62.0625633453735</v>
      </c>
      <c r="J231" s="59">
        <f t="shared" si="1"/>
        <v>52</v>
      </c>
    </row>
    <row r="232">
      <c r="A232" s="55" t="str">
        <f>IFERROR(__xludf.DUMMYFUNCTION("""COMPUTED_VALUE"""),"Elite")</f>
        <v>Elite</v>
      </c>
      <c r="B232" s="55" t="str">
        <f>IFERROR(__xludf.DUMMYFUNCTION("""COMPUTED_VALUE"""),"RSC004917")</f>
        <v>RSC004917</v>
      </c>
      <c r="C232" s="60" t="str">
        <f>IFERROR(__xludf.DUMMYFUNCTION("""COMPUTED_VALUE"""),"Nahzey")</f>
        <v>Nahzey</v>
      </c>
      <c r="D232" s="54" t="str">
        <f>IFERROR(__xludf.DUMMYFUNCTION("""COMPUTED_VALUE"""),"Immortals
Afterburners")</f>
        <v>Immortals
Afterburners</v>
      </c>
      <c r="E232" s="55" t="str">
        <f>IFERROR(__xludf.DUMMYFUNCTION("""COMPUTED_VALUE"""),"Lunar
Lunar")</f>
        <v>Lunar
Lunar</v>
      </c>
      <c r="F232" s="56">
        <f>IFERROR(__xludf.DUMMYFUNCTION("""COMPUTED_VALUE"""),65.62069612552675)</f>
        <v>65.62069613</v>
      </c>
      <c r="G232" s="57">
        <f>IFERROR(__xludf.DUMMYFUNCTION("""COMPUTED_VALUE"""),54.0)</f>
        <v>54</v>
      </c>
      <c r="H232" s="58">
        <f>IFERROR(__xludf.DUMMYFUNCTION("iferror(if(B232="""", ,filter('IDR Import'!D:D,'IDR Import'!A:A=B232,'IDR Import'!C:C=A232)),)"),72.62057706987842)</f>
        <v>72.62057707</v>
      </c>
      <c r="I232" s="58">
        <v>69.12063659770259</v>
      </c>
      <c r="J232" s="59">
        <f t="shared" si="1"/>
        <v>54</v>
      </c>
    </row>
    <row r="233">
      <c r="A233" s="55" t="str">
        <f>IFERROR(__xludf.DUMMYFUNCTION("""COMPUTED_VALUE"""),"Elite")</f>
        <v>Elite</v>
      </c>
      <c r="B233" s="55" t="str">
        <f>IFERROR(__xludf.DUMMYFUNCTION("""COMPUTED_VALUE"""),"RSC006877")</f>
        <v>RSC006877</v>
      </c>
      <c r="C233" s="60" t="str">
        <f>IFERROR(__xludf.DUMMYFUNCTION("""COMPUTED_VALUE"""),"Jolt")</f>
        <v>Jolt</v>
      </c>
      <c r="D233" s="54" t="str">
        <f>IFERROR(__xludf.DUMMYFUNCTION("""COMPUTED_VALUE"""),"Afterburners
Thrashers")</f>
        <v>Afterburners
Thrashers</v>
      </c>
      <c r="E233" s="55" t="str">
        <f>IFERROR(__xludf.DUMMYFUNCTION("""COMPUTED_VALUE"""),"Lunar
Lunar")</f>
        <v>Lunar
Lunar</v>
      </c>
      <c r="F233" s="56">
        <f>IFERROR(__xludf.DUMMYFUNCTION("""COMPUTED_VALUE"""),65.59180324167696)</f>
        <v>65.59180324</v>
      </c>
      <c r="G233" s="57">
        <f>IFERROR(__xludf.DUMMYFUNCTION("""COMPUTED_VALUE"""),48.0)</f>
        <v>48</v>
      </c>
      <c r="H233" s="58">
        <f>IFERROR(__xludf.DUMMYFUNCTION("iferror(if(B233="""", ,filter('IDR Import'!D:D,'IDR Import'!A:A=B233,'IDR Import'!C:C=A233)),)"),65.71718759387448)</f>
        <v>65.71718759</v>
      </c>
      <c r="I233" s="58">
        <v>65.65449541777572</v>
      </c>
      <c r="J233" s="59">
        <f t="shared" si="1"/>
        <v>48</v>
      </c>
    </row>
    <row r="234">
      <c r="A234" s="55" t="str">
        <f>IFERROR(__xludf.DUMMYFUNCTION("""COMPUTED_VALUE"""),"Elite")</f>
        <v>Elite</v>
      </c>
      <c r="B234" s="55" t="str">
        <f>IFERROR(__xludf.DUMMYFUNCTION("""COMPUTED_VALUE"""),"RSC005872")</f>
        <v>RSC005872</v>
      </c>
      <c r="C234" s="60" t="str">
        <f>IFERROR(__xludf.DUMMYFUNCTION("""COMPUTED_VALUE"""),"Ditto")</f>
        <v>Ditto</v>
      </c>
      <c r="D234" s="54" t="str">
        <f>IFERROR(__xludf.DUMMYFUNCTION("""COMPUTED_VALUE"""),"Dik-diks")</f>
        <v>Dik-diks</v>
      </c>
      <c r="E234" s="55" t="str">
        <f>IFERROR(__xludf.DUMMYFUNCTION("""COMPUTED_VALUE"""),"Lunar")</f>
        <v>Lunar</v>
      </c>
      <c r="F234" s="56">
        <f>IFERROR(__xludf.DUMMYFUNCTION("""COMPUTED_VALUE"""),65.28818430365669)</f>
        <v>65.2881843</v>
      </c>
      <c r="G234" s="57">
        <f>IFERROR(__xludf.DUMMYFUNCTION("""COMPUTED_VALUE"""),51.0)</f>
        <v>51</v>
      </c>
      <c r="H234" s="58">
        <f>IFERROR(__xludf.DUMMYFUNCTION("iferror(if(B234="""", ,filter('IDR Import'!D:D,'IDR Import'!A:A=B234,'IDR Import'!C:C=A234)),)"),68.03835571470756)</f>
        <v>68.03835571</v>
      </c>
      <c r="I234" s="58">
        <v>66.66327000918213</v>
      </c>
      <c r="J234" s="59">
        <f t="shared" si="1"/>
        <v>51</v>
      </c>
    </row>
    <row r="235">
      <c r="A235" s="55" t="str">
        <f>IFERROR(__xludf.DUMMYFUNCTION("""COMPUTED_VALUE"""),"Elite")</f>
        <v>Elite</v>
      </c>
      <c r="B235" s="55" t="str">
        <f>IFERROR(__xludf.DUMMYFUNCTION("""COMPUTED_VALUE"""),"RSC003082")</f>
        <v>RSC003082</v>
      </c>
      <c r="C235" s="60" t="str">
        <f>IFERROR(__xludf.DUMMYFUNCTION("""COMPUTED_VALUE"""),"Skulzy9")</f>
        <v>Skulzy9</v>
      </c>
      <c r="D235" s="54" t="str">
        <f>IFERROR(__xludf.DUMMYFUNCTION("""COMPUTED_VALUE"""),"Demons")</f>
        <v>Demons</v>
      </c>
      <c r="E235" s="55" t="str">
        <f>IFERROR(__xludf.DUMMYFUNCTION("""COMPUTED_VALUE"""),"Lunar")</f>
        <v>Lunar</v>
      </c>
      <c r="F235" s="56">
        <f>IFERROR(__xludf.DUMMYFUNCTION("""COMPUTED_VALUE"""),65.19852860950553)</f>
        <v>65.19852861</v>
      </c>
      <c r="G235" s="57">
        <f>IFERROR(__xludf.DUMMYFUNCTION("""COMPUTED_VALUE"""),39.0)</f>
        <v>39</v>
      </c>
      <c r="H235" s="58">
        <f>IFERROR(__xludf.DUMMYFUNCTION("iferror(if(B235="""", ,filter('IDR Import'!D:D,'IDR Import'!A:A=B235,'IDR Import'!C:C=A235)),)"),53.05634195449318)</f>
        <v>53.05634195</v>
      </c>
      <c r="I235" s="58">
        <v>59.127435281999354</v>
      </c>
      <c r="J235" s="59">
        <f t="shared" si="1"/>
        <v>39</v>
      </c>
    </row>
    <row r="236">
      <c r="A236" s="55" t="str">
        <f>IFERROR(__xludf.DUMMYFUNCTION("""COMPUTED_VALUE"""),"Elite")</f>
        <v>Elite</v>
      </c>
      <c r="B236" s="55" t="str">
        <f>IFERROR(__xludf.DUMMYFUNCTION("""COMPUTED_VALUE"""),"RSC005374")</f>
        <v>RSC005374</v>
      </c>
      <c r="C236" s="60" t="str">
        <f>IFERROR(__xludf.DUMMYFUNCTION("""COMPUTED_VALUE"""),"A Yapping Panda")</f>
        <v>A Yapping Panda</v>
      </c>
      <c r="D236" s="54" t="str">
        <f>IFERROR(__xludf.DUMMYFUNCTION("""COMPUTED_VALUE"""),"Orochi")</f>
        <v>Orochi</v>
      </c>
      <c r="E236" s="55" t="str">
        <f>IFERROR(__xludf.DUMMYFUNCTION("""COMPUTED_VALUE"""),"Solar")</f>
        <v>Solar</v>
      </c>
      <c r="F236" s="56">
        <f>IFERROR(__xludf.DUMMYFUNCTION("""COMPUTED_VALUE"""),65.18080328975563)</f>
        <v>65.18080329</v>
      </c>
      <c r="G236" s="57">
        <f>IFERROR(__xludf.DUMMYFUNCTION("""COMPUTED_VALUE"""),42.0)</f>
        <v>42</v>
      </c>
      <c r="H236" s="58">
        <f>IFERROR(__xludf.DUMMYFUNCTION("iferror(if(B236="""", ,filter('IDR Import'!D:D,'IDR Import'!A:A=B236,'IDR Import'!C:C=A236)),)"),64.83328266393961)</f>
        <v>64.83328266</v>
      </c>
      <c r="I236" s="58">
        <v>65.00704297684763</v>
      </c>
      <c r="J236" s="59">
        <f t="shared" si="1"/>
        <v>42</v>
      </c>
    </row>
    <row r="237">
      <c r="A237" s="55" t="str">
        <f>IFERROR(__xludf.DUMMYFUNCTION("""COMPUTED_VALUE"""),"Elite")</f>
        <v>Elite</v>
      </c>
      <c r="B237" s="55" t="str">
        <f>IFERROR(__xludf.DUMMYFUNCTION("""COMPUTED_VALUE"""),"RSC008503")</f>
        <v>RSC008503</v>
      </c>
      <c r="C237" s="60" t="str">
        <f>IFERROR(__xludf.DUMMYFUNCTION("""COMPUTED_VALUE"""),"Rick0810")</f>
        <v>Rick0810</v>
      </c>
      <c r="D237" s="54" t="str">
        <f>IFERROR(__xludf.DUMMYFUNCTION("""COMPUTED_VALUE"""),"Ghastly Goombahs
Commanders
Drive-by")</f>
        <v>Ghastly Goombahs
Commanders
Drive-by</v>
      </c>
      <c r="E237" s="55" t="str">
        <f>IFERROR(__xludf.DUMMYFUNCTION("""COMPUTED_VALUE"""),"Lunar
Lunar
Solar")</f>
        <v>Lunar
Lunar
Solar</v>
      </c>
      <c r="F237" s="56">
        <f>IFERROR(__xludf.DUMMYFUNCTION("""COMPUTED_VALUE"""),63.238061094936576)</f>
        <v>63.23806109</v>
      </c>
      <c r="G237" s="57">
        <f>IFERROR(__xludf.DUMMYFUNCTION("""COMPUTED_VALUE"""),10.0)</f>
        <v>10</v>
      </c>
      <c r="H237" s="58">
        <f>IFERROR(__xludf.DUMMYFUNCTION("iferror(if(B237="""", ,filter('IDR Import'!D:D,'IDR Import'!A:A=B237,'IDR Import'!C:C=A237)),)"),77.75034317086971)</f>
        <v>77.75034317</v>
      </c>
      <c r="I237" s="58">
        <v>70.49420213290314</v>
      </c>
      <c r="J237" s="59">
        <f t="shared" si="1"/>
        <v>10</v>
      </c>
    </row>
    <row r="238">
      <c r="A238" s="55" t="str">
        <f>IFERROR(__xludf.DUMMYFUNCTION("""COMPUTED_VALUE"""),"Elite")</f>
        <v>Elite</v>
      </c>
      <c r="B238" s="55" t="str">
        <f>IFERROR(__xludf.DUMMYFUNCTION("""COMPUTED_VALUE"""),"RSC003360")</f>
        <v>RSC003360</v>
      </c>
      <c r="C238" s="60" t="str">
        <f>IFERROR(__xludf.DUMMYFUNCTION("""COMPUTED_VALUE"""),"flossy")</f>
        <v>flossy</v>
      </c>
      <c r="D238" s="54" t="str">
        <f>IFERROR(__xludf.DUMMYFUNCTION("""COMPUTED_VALUE"""),"Dragon")</f>
        <v>Dragon</v>
      </c>
      <c r="E238" s="55" t="str">
        <f>IFERROR(__xludf.DUMMYFUNCTION("""COMPUTED_VALUE"""),"Solar")</f>
        <v>Solar</v>
      </c>
      <c r="F238" s="56">
        <f>IFERROR(__xludf.DUMMYFUNCTION("""COMPUTED_VALUE"""),62.84761727090523)</f>
        <v>62.84761727</v>
      </c>
      <c r="G238" s="57">
        <f>IFERROR(__xludf.DUMMYFUNCTION("""COMPUTED_VALUE"""),56.0)</f>
        <v>56</v>
      </c>
      <c r="H238" s="58">
        <f>IFERROR(__xludf.DUMMYFUNCTION("iferror(if(B238="""", ,filter('IDR Import'!D:D,'IDR Import'!A:A=B238,'IDR Import'!C:C=A238)),)"),78.53554134668691)</f>
        <v>78.53554135</v>
      </c>
      <c r="I238" s="58">
        <v>70.69157930879607</v>
      </c>
      <c r="J238" s="59">
        <f t="shared" si="1"/>
        <v>56</v>
      </c>
    </row>
    <row r="239">
      <c r="A239" s="55" t="str">
        <f>IFERROR(__xludf.DUMMYFUNCTION("""COMPUTED_VALUE"""),"Elite")</f>
        <v>Elite</v>
      </c>
      <c r="B239" s="55" t="str">
        <f>IFERROR(__xludf.DUMMYFUNCTION("""COMPUTED_VALUE"""),"RSC008488")</f>
        <v>RSC008488</v>
      </c>
      <c r="C239" s="60" t="str">
        <f>IFERROR(__xludf.DUMMYFUNCTION("""COMPUTED_VALUE"""),"J.Boosted")</f>
        <v>J.Boosted</v>
      </c>
      <c r="D239" s="54" t="str">
        <f>IFERROR(__xludf.DUMMYFUNCTION("""COMPUTED_VALUE"""),"Forge Defenders
Black-Holes")</f>
        <v>Forge Defenders
Black-Holes</v>
      </c>
      <c r="E239" s="55" t="str">
        <f>IFERROR(__xludf.DUMMYFUNCTION("""COMPUTED_VALUE"""),"Lunar
Lunar")</f>
        <v>Lunar
Lunar</v>
      </c>
      <c r="F239" s="56">
        <f>IFERROR(__xludf.DUMMYFUNCTION("""COMPUTED_VALUE"""),62.422822273584224)</f>
        <v>62.42282227</v>
      </c>
      <c r="G239" s="57">
        <f>IFERROR(__xludf.DUMMYFUNCTION("""COMPUTED_VALUE"""),49.0)</f>
        <v>49</v>
      </c>
      <c r="H239" s="58">
        <f>IFERROR(__xludf.DUMMYFUNCTION("iferror(if(B239="""", ,filter('IDR Import'!D:D,'IDR Import'!A:A=B239,'IDR Import'!C:C=A239)),)"),62.04963108599023)</f>
        <v>62.04963109</v>
      </c>
      <c r="I239" s="58">
        <v>62.23622667978722</v>
      </c>
      <c r="J239" s="59">
        <f t="shared" si="1"/>
        <v>49</v>
      </c>
    </row>
    <row r="240">
      <c r="A240" s="55" t="str">
        <f>IFERROR(__xludf.DUMMYFUNCTION("""COMPUTED_VALUE"""),"Elite")</f>
        <v>Elite</v>
      </c>
      <c r="B240" s="55" t="str">
        <f>IFERROR(__xludf.DUMMYFUNCTION("""COMPUTED_VALUE"""),"RSC000016")</f>
        <v>RSC000016</v>
      </c>
      <c r="C240" s="60" t="str">
        <f>IFERROR(__xludf.DUMMYFUNCTION("""COMPUTED_VALUE"""),"Beans")</f>
        <v>Beans</v>
      </c>
      <c r="D240" s="54" t="str">
        <f>IFERROR(__xludf.DUMMYFUNCTION("""COMPUTED_VALUE"""),"Embezzlers")</f>
        <v>Embezzlers</v>
      </c>
      <c r="E240" s="55" t="str">
        <f>IFERROR(__xludf.DUMMYFUNCTION("""COMPUTED_VALUE"""),"Lunar")</f>
        <v>Lunar</v>
      </c>
      <c r="F240" s="56">
        <f>IFERROR(__xludf.DUMMYFUNCTION("""COMPUTED_VALUE"""),61.83446437615501)</f>
        <v>61.83446438</v>
      </c>
      <c r="G240" s="57">
        <f>IFERROR(__xludf.DUMMYFUNCTION("""COMPUTED_VALUE"""),37.0)</f>
        <v>37</v>
      </c>
      <c r="H240" s="58">
        <f>IFERROR(__xludf.DUMMYFUNCTION("iferror(if(B240="""", ,filter('IDR Import'!D:D,'IDR Import'!A:A=B240,'IDR Import'!C:C=A240)),)"),60.05155213578971)</f>
        <v>60.05155214</v>
      </c>
      <c r="I240" s="58">
        <v>60.94300825597236</v>
      </c>
      <c r="J240" s="59">
        <f t="shared" si="1"/>
        <v>37</v>
      </c>
    </row>
    <row r="241">
      <c r="A241" s="55" t="str">
        <f>IFERROR(__xludf.DUMMYFUNCTION("""COMPUTED_VALUE"""),"Elite")</f>
        <v>Elite</v>
      </c>
      <c r="B241" s="55" t="str">
        <f>IFERROR(__xludf.DUMMYFUNCTION("""COMPUTED_VALUE"""),"RSC003709")</f>
        <v>RSC003709</v>
      </c>
      <c r="C241" s="60" t="str">
        <f>IFERROR(__xludf.DUMMYFUNCTION("""COMPUTED_VALUE"""),"donald.")</f>
        <v>donald.</v>
      </c>
      <c r="D241" s="54" t="str">
        <f>IFERROR(__xludf.DUMMYFUNCTION("""COMPUTED_VALUE"""),"Sloths")</f>
        <v>Sloths</v>
      </c>
      <c r="E241" s="55" t="str">
        <f>IFERROR(__xludf.DUMMYFUNCTION("""COMPUTED_VALUE"""),"Solar")</f>
        <v>Solar</v>
      </c>
      <c r="F241" s="56">
        <f>IFERROR(__xludf.DUMMYFUNCTION("""COMPUTED_VALUE"""),61.60074019301403)</f>
        <v>61.60074019</v>
      </c>
      <c r="G241" s="57">
        <f>IFERROR(__xludf.DUMMYFUNCTION("""COMPUTED_VALUE"""),48.0)</f>
        <v>48</v>
      </c>
      <c r="H241" s="58">
        <f>IFERROR(__xludf.DUMMYFUNCTION("iferror(if(B241="""", ,filter('IDR Import'!D:D,'IDR Import'!A:A=B241,'IDR Import'!C:C=A241)),)"),62.01581066067098)</f>
        <v>62.01581066</v>
      </c>
      <c r="I241" s="58">
        <v>61.808275426842506</v>
      </c>
      <c r="J241" s="59">
        <f t="shared" si="1"/>
        <v>48</v>
      </c>
    </row>
    <row r="242">
      <c r="A242" s="55" t="str">
        <f>IFERROR(__xludf.DUMMYFUNCTION("""COMPUTED_VALUE"""),"Elite")</f>
        <v>Elite</v>
      </c>
      <c r="B242" s="55" t="str">
        <f>IFERROR(__xludf.DUMMYFUNCTION("""COMPUTED_VALUE"""),"RSC002246")</f>
        <v>RSC002246</v>
      </c>
      <c r="C242" s="60" t="str">
        <f>IFERROR(__xludf.DUMMYFUNCTION("""COMPUTED_VALUE"""),"Dread")</f>
        <v>Dread</v>
      </c>
      <c r="D242" s="54" t="str">
        <f>IFERROR(__xludf.DUMMYFUNCTION("""COMPUTED_VALUE"""),"Gelato")</f>
        <v>Gelato</v>
      </c>
      <c r="E242" s="55" t="str">
        <f>IFERROR(__xludf.DUMMYFUNCTION("""COMPUTED_VALUE"""),"Lunar")</f>
        <v>Lunar</v>
      </c>
      <c r="F242" s="56">
        <f>IFERROR(__xludf.DUMMYFUNCTION("""COMPUTED_VALUE"""),61.38153977273825)</f>
        <v>61.38153977</v>
      </c>
      <c r="G242" s="57">
        <f>IFERROR(__xludf.DUMMYFUNCTION("""COMPUTED_VALUE"""),55.0)</f>
        <v>55</v>
      </c>
      <c r="H242" s="58">
        <f>IFERROR(__xludf.DUMMYFUNCTION("iferror(if(B242="""", ,filter('IDR Import'!D:D,'IDR Import'!A:A=B242,'IDR Import'!C:C=A242)),)"),66.53647203220505)</f>
        <v>66.53647203</v>
      </c>
      <c r="I242" s="58">
        <v>63.95900590247165</v>
      </c>
      <c r="J242" s="59">
        <f t="shared" si="1"/>
        <v>55</v>
      </c>
    </row>
    <row r="243">
      <c r="A243" s="55" t="str">
        <f>IFERROR(__xludf.DUMMYFUNCTION("""COMPUTED_VALUE"""),"Elite")</f>
        <v>Elite</v>
      </c>
      <c r="B243" s="55" t="str">
        <f>IFERROR(__xludf.DUMMYFUNCTION("""COMPUTED_VALUE"""),"RSC007846")</f>
        <v>RSC007846</v>
      </c>
      <c r="C243" s="60" t="str">
        <f>IFERROR(__xludf.DUMMYFUNCTION("""COMPUTED_VALUE"""),"Lovegreyhounds")</f>
        <v>Lovegreyhounds</v>
      </c>
      <c r="D243" s="54" t="str">
        <f>IFERROR(__xludf.DUMMYFUNCTION("""COMPUTED_VALUE"""),"Black-Holes")</f>
        <v>Black-Holes</v>
      </c>
      <c r="E243" s="55" t="str">
        <f>IFERROR(__xludf.DUMMYFUNCTION("""COMPUTED_VALUE"""),"Lunar")</f>
        <v>Lunar</v>
      </c>
      <c r="F243" s="56">
        <f>IFERROR(__xludf.DUMMYFUNCTION("""COMPUTED_VALUE"""),59.76536245787957)</f>
        <v>59.76536246</v>
      </c>
      <c r="G243" s="57">
        <f>IFERROR(__xludf.DUMMYFUNCTION("""COMPUTED_VALUE"""),46.0)</f>
        <v>46</v>
      </c>
      <c r="H243" s="58">
        <f>IFERROR(__xludf.DUMMYFUNCTION("iferror(if(B243="""", ,filter('IDR Import'!D:D,'IDR Import'!A:A=B243,'IDR Import'!C:C=A243)),)"),68.86863602638718)</f>
        <v>68.86863603</v>
      </c>
      <c r="I243" s="58">
        <v>64.31699924213338</v>
      </c>
      <c r="J243" s="59">
        <f t="shared" si="1"/>
        <v>46</v>
      </c>
    </row>
    <row r="244">
      <c r="A244" s="55" t="str">
        <f>IFERROR(__xludf.DUMMYFUNCTION("""COMPUTED_VALUE"""),"Elite")</f>
        <v>Elite</v>
      </c>
      <c r="B244" s="55" t="str">
        <f>IFERROR(__xludf.DUMMYFUNCTION("""COMPUTED_VALUE"""),"RSC007811")</f>
        <v>RSC007811</v>
      </c>
      <c r="C244" s="60" t="str">
        <f>IFERROR(__xludf.DUMMYFUNCTION("""COMPUTED_VALUE"""),"Gray")</f>
        <v>Gray</v>
      </c>
      <c r="D244" s="54" t="str">
        <f>IFERROR(__xludf.DUMMYFUNCTION("""COMPUTED_VALUE"""),"Sloths
Cotija Cartel")</f>
        <v>Sloths
Cotija Cartel</v>
      </c>
      <c r="E244" s="55" t="str">
        <f>IFERROR(__xludf.DUMMYFUNCTION("""COMPUTED_VALUE"""),"Solar
Lunar")</f>
        <v>Solar
Lunar</v>
      </c>
      <c r="F244" s="56">
        <f>IFERROR(__xludf.DUMMYFUNCTION("""COMPUTED_VALUE"""),58.319455543219156)</f>
        <v>58.31945554</v>
      </c>
      <c r="G244" s="57">
        <f>IFERROR(__xludf.DUMMYFUNCTION("""COMPUTED_VALUE"""),47.0)</f>
        <v>47</v>
      </c>
      <c r="H244" s="58">
        <f>IFERROR(__xludf.DUMMYFUNCTION("iferror(if(B244="""", ,filter('IDR Import'!D:D,'IDR Import'!A:A=B244,'IDR Import'!C:C=A244)),)"),60.096476166248024)</f>
        <v>60.09647617</v>
      </c>
      <c r="I244" s="58">
        <v>59.20796585473359</v>
      </c>
      <c r="J244" s="59">
        <f t="shared" si="1"/>
        <v>47</v>
      </c>
    </row>
    <row r="245">
      <c r="A245" s="55" t="str">
        <f>IFERROR(__xludf.DUMMYFUNCTION("""COMPUTED_VALUE"""),"Elite")</f>
        <v>Elite</v>
      </c>
      <c r="B245" s="55" t="str">
        <f>IFERROR(__xludf.DUMMYFUNCTION("""COMPUTED_VALUE"""),"RSC001889")</f>
        <v>RSC001889</v>
      </c>
      <c r="C245" s="60" t="str">
        <f>IFERROR(__xludf.DUMMYFUNCTION("""COMPUTED_VALUE"""),"Phelpsy")</f>
        <v>Phelpsy</v>
      </c>
      <c r="D245" s="54" t="str">
        <f>IFERROR(__xludf.DUMMYFUNCTION("""COMPUTED_VALUE"""),"Teddy Bears")</f>
        <v>Teddy Bears</v>
      </c>
      <c r="E245" s="55" t="str">
        <f>IFERROR(__xludf.DUMMYFUNCTION("""COMPUTED_VALUE"""),"Solar")</f>
        <v>Solar</v>
      </c>
      <c r="F245" s="56">
        <f>IFERROR(__xludf.DUMMYFUNCTION("""COMPUTED_VALUE"""),57.990160471035885)</f>
        <v>57.99016047</v>
      </c>
      <c r="G245" s="57">
        <f>IFERROR(__xludf.DUMMYFUNCTION("""COMPUTED_VALUE"""),54.0)</f>
        <v>54</v>
      </c>
      <c r="H245" s="58">
        <f>IFERROR(__xludf.DUMMYFUNCTION("iferror(if(B245="""", ,filter('IDR Import'!D:D,'IDR Import'!A:A=B245,'IDR Import'!C:C=A245)),)"),56.83798783382235)</f>
        <v>56.83798783</v>
      </c>
      <c r="I245" s="58">
        <v>57.41407415242912</v>
      </c>
      <c r="J245" s="59">
        <f t="shared" si="1"/>
        <v>54</v>
      </c>
    </row>
    <row r="246">
      <c r="A246" s="55" t="str">
        <f>IFERROR(__xludf.DUMMYFUNCTION("""COMPUTED_VALUE"""),"Elite")</f>
        <v>Elite</v>
      </c>
      <c r="B246" s="55" t="str">
        <f>IFERROR(__xludf.DUMMYFUNCTION("""COMPUTED_VALUE"""),"RSC008169")</f>
        <v>RSC008169</v>
      </c>
      <c r="C246" s="60" t="str">
        <f>IFERROR(__xludf.DUMMYFUNCTION("""COMPUTED_VALUE"""),"Trickter02")</f>
        <v>Trickter02</v>
      </c>
      <c r="D246" s="54" t="str">
        <f>IFERROR(__xludf.DUMMYFUNCTION("""COMPUTED_VALUE"""),"Swordsman")</f>
        <v>Swordsman</v>
      </c>
      <c r="E246" s="55" t="str">
        <f>IFERROR(__xludf.DUMMYFUNCTION("""COMPUTED_VALUE"""),"Solar")</f>
        <v>Solar</v>
      </c>
      <c r="F246" s="56">
        <f>IFERROR(__xludf.DUMMYFUNCTION("""COMPUTED_VALUE"""),57.84734216262795)</f>
        <v>57.84734216</v>
      </c>
      <c r="G246" s="57">
        <f>IFERROR(__xludf.DUMMYFUNCTION("""COMPUTED_VALUE"""),38.0)</f>
        <v>38</v>
      </c>
      <c r="H246" s="58">
        <f>IFERROR(__xludf.DUMMYFUNCTION("iferror(if(B246="""", ,filter('IDR Import'!D:D,'IDR Import'!A:A=B246,'IDR Import'!C:C=A246)),)"),68.69841346367934)</f>
        <v>68.69841346</v>
      </c>
      <c r="I246" s="58">
        <v>63.27287781315365</v>
      </c>
      <c r="J246" s="59">
        <f t="shared" si="1"/>
        <v>38</v>
      </c>
    </row>
    <row r="247">
      <c r="A247" s="55" t="str">
        <f>IFERROR(__xludf.DUMMYFUNCTION("""COMPUTED_VALUE"""),"Elite")</f>
        <v>Elite</v>
      </c>
      <c r="B247" s="55" t="str">
        <f>IFERROR(__xludf.DUMMYFUNCTION("""COMPUTED_VALUE"""),"RSC007383")</f>
        <v>RSC007383</v>
      </c>
      <c r="C247" s="60" t="str">
        <f>IFERROR(__xludf.DUMMYFUNCTION("""COMPUTED_VALUE"""),"ttv. blestbb")</f>
        <v>ttv. blestbb</v>
      </c>
      <c r="D247" s="54" t="str">
        <f>IFERROR(__xludf.DUMMYFUNCTION("""COMPUTED_VALUE"""),"Black-Holes
Orochi
Ghastly Goombahs")</f>
        <v>Black-Holes
Orochi
Ghastly Goombahs</v>
      </c>
      <c r="E247" s="55" t="str">
        <f>IFERROR(__xludf.DUMMYFUNCTION("""COMPUTED_VALUE"""),"Lunar
Solar
Lunar")</f>
        <v>Lunar
Solar
Lunar</v>
      </c>
      <c r="F247" s="56">
        <f>IFERROR(__xludf.DUMMYFUNCTION("""COMPUTED_VALUE"""),57.65893772260739)</f>
        <v>57.65893772</v>
      </c>
      <c r="G247" s="57">
        <f>IFERROR(__xludf.DUMMYFUNCTION("""COMPUTED_VALUE"""),23.0)</f>
        <v>23</v>
      </c>
      <c r="H247" s="58">
        <f>IFERROR(__xludf.DUMMYFUNCTION("iferror(if(B247="""", ,filter('IDR Import'!D:D,'IDR Import'!A:A=B247,'IDR Import'!C:C=A247)),)"),59.2045265297387)</f>
        <v>59.20452653</v>
      </c>
      <c r="I247" s="58">
        <v>58.431732126173046</v>
      </c>
      <c r="J247" s="59">
        <f t="shared" si="1"/>
        <v>23</v>
      </c>
    </row>
    <row r="248">
      <c r="A248" s="55" t="str">
        <f>IFERROR(__xludf.DUMMYFUNCTION("""COMPUTED_VALUE"""),"Elite")</f>
        <v>Elite</v>
      </c>
      <c r="B248" s="55" t="str">
        <f>IFERROR(__xludf.DUMMYFUNCTION("""COMPUTED_VALUE"""),"RSC007610")</f>
        <v>RSC007610</v>
      </c>
      <c r="C248" s="60" t="str">
        <f>IFERROR(__xludf.DUMMYFUNCTION("""COMPUTED_VALUE"""),"Halibut907")</f>
        <v>Halibut907</v>
      </c>
      <c r="D248" s="54" t="str">
        <f>IFERROR(__xludf.DUMMYFUNCTION("""COMPUTED_VALUE"""),"Sloths
Ghastly Goombahs")</f>
        <v>Sloths
Ghastly Goombahs</v>
      </c>
      <c r="E248" s="55" t="str">
        <f>IFERROR(__xludf.DUMMYFUNCTION("""COMPUTED_VALUE"""),"Solar
Lunar")</f>
        <v>Solar
Lunar</v>
      </c>
      <c r="F248" s="56">
        <f>IFERROR(__xludf.DUMMYFUNCTION("""COMPUTED_VALUE"""),57.33938257289275)</f>
        <v>57.33938257</v>
      </c>
      <c r="G248" s="57">
        <f>IFERROR(__xludf.DUMMYFUNCTION("""COMPUTED_VALUE"""),25.0)</f>
        <v>25</v>
      </c>
      <c r="H248" s="58">
        <f>IFERROR(__xludf.DUMMYFUNCTION("iferror(if(B248="""", ,filter('IDR Import'!D:D,'IDR Import'!A:A=B248,'IDR Import'!C:C=A248)),)"),51.67745952172635)</f>
        <v>51.67745952</v>
      </c>
      <c r="I248" s="58">
        <v>54.508421047309554</v>
      </c>
      <c r="J248" s="59">
        <f t="shared" si="1"/>
        <v>25</v>
      </c>
    </row>
    <row r="249">
      <c r="A249" s="55" t="str">
        <f>IFERROR(__xludf.DUMMYFUNCTION("""COMPUTED_VALUE"""),"Elite")</f>
        <v>Elite</v>
      </c>
      <c r="B249" s="55" t="str">
        <f>IFERROR(__xludf.DUMMYFUNCTION("""COMPUTED_VALUE"""),"RSC006278")</f>
        <v>RSC006278</v>
      </c>
      <c r="C249" s="60" t="str">
        <f>IFERROR(__xludf.DUMMYFUNCTION("""COMPUTED_VALUE"""),"DribblingPenguin")</f>
        <v>DribblingPenguin</v>
      </c>
      <c r="D249" s="54" t="str">
        <f>IFERROR(__xludf.DUMMYFUNCTION("""COMPUTED_VALUE"""),"Teddy Bears
Afterburners")</f>
        <v>Teddy Bears
Afterburners</v>
      </c>
      <c r="E249" s="55" t="str">
        <f>IFERROR(__xludf.DUMMYFUNCTION("""COMPUTED_VALUE"""),"Solar
Lunar")</f>
        <v>Solar
Lunar</v>
      </c>
      <c r="F249" s="56">
        <f>IFERROR(__xludf.DUMMYFUNCTION("""COMPUTED_VALUE"""),57.31590738947206)</f>
        <v>57.31590739</v>
      </c>
      <c r="G249" s="57">
        <f>IFERROR(__xludf.DUMMYFUNCTION("""COMPUTED_VALUE"""),10.0)</f>
        <v>10</v>
      </c>
      <c r="H249" s="58">
        <f>IFERROR(__xludf.DUMMYFUNCTION("iferror(if(B249="""", ,filter('IDR Import'!D:D,'IDR Import'!A:A=B249,'IDR Import'!C:C=A249)),)"),62.25771833184652)</f>
        <v>62.25771833</v>
      </c>
      <c r="I249" s="58">
        <v>59.78681286065929</v>
      </c>
      <c r="J249" s="59">
        <f t="shared" si="1"/>
        <v>10</v>
      </c>
    </row>
    <row r="250">
      <c r="A250" s="55" t="str">
        <f>IFERROR(__xludf.DUMMYFUNCTION("""COMPUTED_VALUE"""),"Elite")</f>
        <v>Elite</v>
      </c>
      <c r="B250" s="55" t="str">
        <f>IFERROR(__xludf.DUMMYFUNCTION("""COMPUTED_VALUE"""),"RSC008417")</f>
        <v>RSC008417</v>
      </c>
      <c r="C250" s="60" t="str">
        <f>IFERROR(__xludf.DUMMYFUNCTION("""COMPUTED_VALUE"""),"LC Spirit")</f>
        <v>LC Spirit</v>
      </c>
      <c r="D250" s="54" t="str">
        <f>IFERROR(__xludf.DUMMYFUNCTION("""COMPUTED_VALUE"""),"Fire")</f>
        <v>Fire</v>
      </c>
      <c r="E250" s="55" t="str">
        <f>IFERROR(__xludf.DUMMYFUNCTION("""COMPUTED_VALUE"""),"Solar")</f>
        <v>Solar</v>
      </c>
      <c r="F250" s="56">
        <f>IFERROR(__xludf.DUMMYFUNCTION("""COMPUTED_VALUE"""),57.22700421944183)</f>
        <v>57.22700422</v>
      </c>
      <c r="G250" s="57">
        <f>IFERROR(__xludf.DUMMYFUNCTION("""COMPUTED_VALUE"""),54.0)</f>
        <v>54</v>
      </c>
      <c r="H250" s="58">
        <f>IFERROR(__xludf.DUMMYFUNCTION("iferror(if(B250="""", ,filter('IDR Import'!D:D,'IDR Import'!A:A=B250,'IDR Import'!C:C=A250)),)"),51.17763931068594)</f>
        <v>51.17763931</v>
      </c>
      <c r="I250" s="58">
        <v>54.202321765063886</v>
      </c>
      <c r="J250" s="59">
        <f t="shared" si="1"/>
        <v>54</v>
      </c>
    </row>
    <row r="251">
      <c r="A251" s="55" t="str">
        <f>IFERROR(__xludf.DUMMYFUNCTION("""COMPUTED_VALUE"""),"Elite")</f>
        <v>Elite</v>
      </c>
      <c r="B251" s="55" t="str">
        <f>IFERROR(__xludf.DUMMYFUNCTION("""COMPUTED_VALUE"""),"RSC008198")</f>
        <v>RSC008198</v>
      </c>
      <c r="C251" s="60" t="str">
        <f>IFERROR(__xludf.DUMMYFUNCTION("""COMPUTED_VALUE"""),"Taiyo")</f>
        <v>Taiyo</v>
      </c>
      <c r="D251" s="54" t="str">
        <f>IFERROR(__xludf.DUMMYFUNCTION("""COMPUTED_VALUE"""),"Fire")</f>
        <v>Fire</v>
      </c>
      <c r="E251" s="55" t="str">
        <f>IFERROR(__xludf.DUMMYFUNCTION("""COMPUTED_VALUE"""),"Solar")</f>
        <v>Solar</v>
      </c>
      <c r="F251" s="56">
        <f>IFERROR(__xludf.DUMMYFUNCTION("""COMPUTED_VALUE"""),56.8427727189195)</f>
        <v>56.84277272</v>
      </c>
      <c r="G251" s="57">
        <f>IFERROR(__xludf.DUMMYFUNCTION("""COMPUTED_VALUE"""),52.0)</f>
        <v>52</v>
      </c>
      <c r="H251" s="58">
        <f>IFERROR(__xludf.DUMMYFUNCTION("iferror(if(B251="""", ,filter('IDR Import'!D:D,'IDR Import'!A:A=B251,'IDR Import'!C:C=A251)),)"),62.09101464130663)</f>
        <v>62.09101464</v>
      </c>
      <c r="I251" s="58">
        <v>59.46689368011306</v>
      </c>
      <c r="J251" s="59">
        <f t="shared" si="1"/>
        <v>52</v>
      </c>
    </row>
    <row r="252">
      <c r="A252" s="55" t="str">
        <f>IFERROR(__xludf.DUMMYFUNCTION("""COMPUTED_VALUE"""),"Elite")</f>
        <v>Elite</v>
      </c>
      <c r="B252" s="55" t="str">
        <f>IFERROR(__xludf.DUMMYFUNCTION("""COMPUTED_VALUE"""),"RSC006218")</f>
        <v>RSC006218</v>
      </c>
      <c r="C252" s="60" t="str">
        <f>IFERROR(__xludf.DUMMYFUNCTION("""COMPUTED_VALUE"""),"Stingray")</f>
        <v>Stingray</v>
      </c>
      <c r="D252" s="54" t="str">
        <f>IFERROR(__xludf.DUMMYFUNCTION("""COMPUTED_VALUE"""),"Afterburners
Hellhounds
Praetorian Guard")</f>
        <v>Afterburners
Hellhounds
Praetorian Guard</v>
      </c>
      <c r="E252" s="55" t="str">
        <f>IFERROR(__xludf.DUMMYFUNCTION("""COMPUTED_VALUE"""),"Lunar
Solar
Solar")</f>
        <v>Lunar
Solar
Solar</v>
      </c>
      <c r="F252" s="56">
        <f>IFERROR(__xludf.DUMMYFUNCTION("""COMPUTED_VALUE"""),56.480759985550364)</f>
        <v>56.48075999</v>
      </c>
      <c r="G252" s="57">
        <f>IFERROR(__xludf.DUMMYFUNCTION("""COMPUTED_VALUE"""),34.0)</f>
        <v>34</v>
      </c>
      <c r="H252" s="58">
        <f>IFERROR(__xludf.DUMMYFUNCTION("iferror(if(B252="""", ,filter('IDR Import'!D:D,'IDR Import'!A:A=B252,'IDR Import'!C:C=A252)),)"),48.130723270993904)</f>
        <v>48.13072327</v>
      </c>
      <c r="I252" s="58">
        <v>52.30574162827213</v>
      </c>
      <c r="J252" s="59">
        <f t="shared" si="1"/>
        <v>34</v>
      </c>
    </row>
    <row r="253">
      <c r="A253" s="55" t="str">
        <f>IFERROR(__xludf.DUMMYFUNCTION("""COMPUTED_VALUE"""),"Elite")</f>
        <v>Elite</v>
      </c>
      <c r="B253" s="55" t="str">
        <f>IFERROR(__xludf.DUMMYFUNCTION("""COMPUTED_VALUE"""),"RSC004214")</f>
        <v>RSC004214</v>
      </c>
      <c r="C253" s="60" t="str">
        <f>IFERROR(__xludf.DUMMYFUNCTION("""COMPUTED_VALUE"""),"Miserable")</f>
        <v>Miserable</v>
      </c>
      <c r="D253" s="54" t="str">
        <f>IFERROR(__xludf.DUMMYFUNCTION("""COMPUTED_VALUE"""),"Demons")</f>
        <v>Demons</v>
      </c>
      <c r="E253" s="55" t="str">
        <f>IFERROR(__xludf.DUMMYFUNCTION("""COMPUTED_VALUE"""),"Lunar")</f>
        <v>Lunar</v>
      </c>
      <c r="F253" s="56">
        <f>IFERROR(__xludf.DUMMYFUNCTION("""COMPUTED_VALUE"""),56.20629990063496)</f>
        <v>56.2062999</v>
      </c>
      <c r="G253" s="57">
        <f>IFERROR(__xludf.DUMMYFUNCTION("""COMPUTED_VALUE"""),51.0)</f>
        <v>51</v>
      </c>
      <c r="H253" s="58">
        <f>IFERROR(__xludf.DUMMYFUNCTION("iferror(if(B253="""", ,filter('IDR Import'!D:D,'IDR Import'!A:A=B253,'IDR Import'!C:C=A253)),)"),45.89310703494941)</f>
        <v>45.89310703</v>
      </c>
      <c r="I253" s="58">
        <v>51.049703467792185</v>
      </c>
      <c r="J253" s="59">
        <f t="shared" si="1"/>
        <v>51</v>
      </c>
    </row>
    <row r="254">
      <c r="A254" s="55" t="str">
        <f>IFERROR(__xludf.DUMMYFUNCTION("""COMPUTED_VALUE"""),"Elite")</f>
        <v>Elite</v>
      </c>
      <c r="B254" s="55" t="str">
        <f>IFERROR(__xludf.DUMMYFUNCTION("""COMPUTED_VALUE"""),"RSC008382")</f>
        <v>RSC008382</v>
      </c>
      <c r="C254" s="60" t="str">
        <f>IFERROR(__xludf.DUMMYFUNCTION("""COMPUTED_VALUE"""),"KiLo")</f>
        <v>KiLo</v>
      </c>
      <c r="D254" s="54" t="str">
        <f>IFERROR(__xludf.DUMMYFUNCTION("""COMPUTED_VALUE"""),"Dragon")</f>
        <v>Dragon</v>
      </c>
      <c r="E254" s="55" t="str">
        <f>IFERROR(__xludf.DUMMYFUNCTION("""COMPUTED_VALUE"""),"Solar")</f>
        <v>Solar</v>
      </c>
      <c r="F254" s="56">
        <f>IFERROR(__xludf.DUMMYFUNCTION("""COMPUTED_VALUE"""),56.03219114891404)</f>
        <v>56.03219115</v>
      </c>
      <c r="G254" s="57">
        <f>IFERROR(__xludf.DUMMYFUNCTION("""COMPUTED_VALUE"""),23.0)</f>
        <v>23</v>
      </c>
      <c r="H254" s="58">
        <f>IFERROR(__xludf.DUMMYFUNCTION("iferror(if(B254="""", ,filter('IDR Import'!D:D,'IDR Import'!A:A=B254,'IDR Import'!C:C=A254)),)"),56.753286440464294)</f>
        <v>56.75328644</v>
      </c>
      <c r="I254" s="58">
        <v>56.392738794689166</v>
      </c>
      <c r="J254" s="59">
        <f t="shared" si="1"/>
        <v>23</v>
      </c>
    </row>
    <row r="255">
      <c r="A255" s="55" t="str">
        <f>IFERROR(__xludf.DUMMYFUNCTION("""COMPUTED_VALUE"""),"Elite")</f>
        <v>Elite</v>
      </c>
      <c r="B255" s="55" t="str">
        <f>IFERROR(__xludf.DUMMYFUNCTION("""COMPUTED_VALUE"""),"RSC003427")</f>
        <v>RSC003427</v>
      </c>
      <c r="C255" s="60" t="str">
        <f>IFERROR(__xludf.DUMMYFUNCTION("""COMPUTED_VALUE"""),"(P|F)ineapple")</f>
        <v>(P|F)ineapple</v>
      </c>
      <c r="D255" s="54" t="str">
        <f>IFERROR(__xludf.DUMMYFUNCTION("""COMPUTED_VALUE"""),"Orochi")</f>
        <v>Orochi</v>
      </c>
      <c r="E255" s="55" t="str">
        <f>IFERROR(__xludf.DUMMYFUNCTION("""COMPUTED_VALUE"""),"Solar")</f>
        <v>Solar</v>
      </c>
      <c r="F255" s="56">
        <f>IFERROR(__xludf.DUMMYFUNCTION("""COMPUTED_VALUE"""),55.41503581148782)</f>
        <v>55.41503581</v>
      </c>
      <c r="G255" s="57">
        <f>IFERROR(__xludf.DUMMYFUNCTION("""COMPUTED_VALUE"""),50.0)</f>
        <v>50</v>
      </c>
      <c r="H255" s="58">
        <f>IFERROR(__xludf.DUMMYFUNCTION("iferror(if(B255="""", ,filter('IDR Import'!D:D,'IDR Import'!A:A=B255,'IDR Import'!C:C=A255)),)"),53.43159438378957)</f>
        <v>53.43159438</v>
      </c>
      <c r="I255" s="58">
        <v>54.42331509763869</v>
      </c>
      <c r="J255" s="59">
        <f t="shared" si="1"/>
        <v>50</v>
      </c>
    </row>
    <row r="256">
      <c r="A256" s="55" t="str">
        <f>IFERROR(__xludf.DUMMYFUNCTION("""COMPUTED_VALUE"""),"Elite")</f>
        <v>Elite</v>
      </c>
      <c r="B256" s="55" t="str">
        <f>IFERROR(__xludf.DUMMYFUNCTION("""COMPUTED_VALUE"""),"RSC000666")</f>
        <v>RSC000666</v>
      </c>
      <c r="C256" s="60" t="str">
        <f>IFERROR(__xludf.DUMMYFUNCTION("""COMPUTED_VALUE"""),"AEB311")</f>
        <v>AEB311</v>
      </c>
      <c r="D256" s="54" t="str">
        <f>IFERROR(__xludf.DUMMYFUNCTION("""COMPUTED_VALUE"""),"Despair")</f>
        <v>Despair</v>
      </c>
      <c r="E256" s="55" t="str">
        <f>IFERROR(__xludf.DUMMYFUNCTION("""COMPUTED_VALUE"""),"Lunar")</f>
        <v>Lunar</v>
      </c>
      <c r="F256" s="56">
        <f>IFERROR(__xludf.DUMMYFUNCTION("""COMPUTED_VALUE"""),55.1554666608268)</f>
        <v>55.15546666</v>
      </c>
      <c r="G256" s="57">
        <f>IFERROR(__xludf.DUMMYFUNCTION("""COMPUTED_VALUE"""),52.0)</f>
        <v>52</v>
      </c>
      <c r="H256" s="58">
        <f>IFERROR(__xludf.DUMMYFUNCTION("iferror(if(B256="""", ,filter('IDR Import'!D:D,'IDR Import'!A:A=B256,'IDR Import'!C:C=A256)),)"),61.74730807080689)</f>
        <v>61.74730807</v>
      </c>
      <c r="I256" s="58">
        <v>58.45138736581684</v>
      </c>
      <c r="J256" s="59">
        <f t="shared" si="1"/>
        <v>52</v>
      </c>
    </row>
    <row r="257">
      <c r="A257" s="55" t="str">
        <f>IFERROR(__xludf.DUMMYFUNCTION("""COMPUTED_VALUE"""),"Elite")</f>
        <v>Elite</v>
      </c>
      <c r="B257" s="55" t="str">
        <f>IFERROR(__xludf.DUMMYFUNCTION("""COMPUTED_VALUE"""),"RSC006273")</f>
        <v>RSC006273</v>
      </c>
      <c r="C257" s="60" t="str">
        <f>IFERROR(__xludf.DUMMYFUNCTION("""COMPUTED_VALUE"""),"chawes.")</f>
        <v>chawes.</v>
      </c>
      <c r="D257" s="54" t="str">
        <f>IFERROR(__xludf.DUMMYFUNCTION("""COMPUTED_VALUE"""),"Peerless Scarred")</f>
        <v>Peerless Scarred</v>
      </c>
      <c r="E257" s="55" t="str">
        <f>IFERROR(__xludf.DUMMYFUNCTION("""COMPUTED_VALUE"""),"Solar")</f>
        <v>Solar</v>
      </c>
      <c r="F257" s="56">
        <f>IFERROR(__xludf.DUMMYFUNCTION("""COMPUTED_VALUE"""),54.4115561295517)</f>
        <v>54.41155613</v>
      </c>
      <c r="G257" s="57">
        <f>IFERROR(__xludf.DUMMYFUNCTION("""COMPUTED_VALUE"""),34.0)</f>
        <v>34</v>
      </c>
      <c r="H257" s="58">
        <f>IFERROR(__xludf.DUMMYFUNCTION("iferror(if(B257="""", ,filter('IDR Import'!D:D,'IDR Import'!A:A=B257,'IDR Import'!C:C=A257)),)"),65.42347867618476)</f>
        <v>65.42347868</v>
      </c>
      <c r="I257" s="58">
        <v>59.91751740286823</v>
      </c>
      <c r="J257" s="59">
        <f t="shared" si="1"/>
        <v>34</v>
      </c>
    </row>
    <row r="258">
      <c r="A258" s="55" t="str">
        <f>IFERROR(__xludf.DUMMYFUNCTION("""COMPUTED_VALUE"""),"Elite")</f>
        <v>Elite</v>
      </c>
      <c r="B258" s="55" t="str">
        <f>IFERROR(__xludf.DUMMYFUNCTION("""COMPUTED_VALUE"""),"RSC002579")</f>
        <v>RSC002579</v>
      </c>
      <c r="C258" s="60" t="str">
        <f>IFERROR(__xludf.DUMMYFUNCTION("""COMPUTED_VALUE"""),"saltybikini")</f>
        <v>saltybikini</v>
      </c>
      <c r="D258" s="54" t="str">
        <f>IFERROR(__xludf.DUMMYFUNCTION("""COMPUTED_VALUE"""),"Sloths
Afterburners")</f>
        <v>Sloths
Afterburners</v>
      </c>
      <c r="E258" s="55" t="str">
        <f>IFERROR(__xludf.DUMMYFUNCTION("""COMPUTED_VALUE"""),"Solar
Lunar")</f>
        <v>Solar
Lunar</v>
      </c>
      <c r="F258" s="56">
        <f>IFERROR(__xludf.DUMMYFUNCTION("""COMPUTED_VALUE"""),54.32989273697051)</f>
        <v>54.32989274</v>
      </c>
      <c r="G258" s="57">
        <f>IFERROR(__xludf.DUMMYFUNCTION("""COMPUTED_VALUE"""),25.0)</f>
        <v>25</v>
      </c>
      <c r="H258" s="58">
        <f>IFERROR(__xludf.DUMMYFUNCTION("iferror(if(B258="""", ,filter('IDR Import'!D:D,'IDR Import'!A:A=B258,'IDR Import'!C:C=A258)),)"),52.886609024584224)</f>
        <v>52.88660902</v>
      </c>
      <c r="I258" s="58">
        <v>53.60825088077736</v>
      </c>
      <c r="J258" s="59">
        <f t="shared" si="1"/>
        <v>25</v>
      </c>
    </row>
    <row r="259">
      <c r="A259" s="55" t="str">
        <f>IFERROR(__xludf.DUMMYFUNCTION("""COMPUTED_VALUE"""),"Elite")</f>
        <v>Elite</v>
      </c>
      <c r="B259" s="55" t="str">
        <f>IFERROR(__xludf.DUMMYFUNCTION("""COMPUTED_VALUE"""),"RSC001292")</f>
        <v>RSC001292</v>
      </c>
      <c r="C259" s="60" t="str">
        <f>IFERROR(__xludf.DUMMYFUNCTION("""COMPUTED_VALUE"""),"flamethrowr")</f>
        <v>flamethrowr</v>
      </c>
      <c r="D259" s="54" t="str">
        <f>IFERROR(__xludf.DUMMYFUNCTION("""COMPUTED_VALUE"""),"Menthol")</f>
        <v>Menthol</v>
      </c>
      <c r="E259" s="55" t="str">
        <f>IFERROR(__xludf.DUMMYFUNCTION("""COMPUTED_VALUE"""),"Solar")</f>
        <v>Solar</v>
      </c>
      <c r="F259" s="56">
        <f>IFERROR(__xludf.DUMMYFUNCTION("""COMPUTED_VALUE"""),54.22140864299043)</f>
        <v>54.22140864</v>
      </c>
      <c r="G259" s="57">
        <f>IFERROR(__xludf.DUMMYFUNCTION("""COMPUTED_VALUE"""),56.0)</f>
        <v>56</v>
      </c>
      <c r="H259" s="58">
        <f>IFERROR(__xludf.DUMMYFUNCTION("iferror(if(B259="""", ,filter('IDR Import'!D:D,'IDR Import'!A:A=B259,'IDR Import'!C:C=A259)),)"),57.67336265523857)</f>
        <v>57.67336266</v>
      </c>
      <c r="I259" s="58">
        <v>55.9473856491145</v>
      </c>
      <c r="J259" s="59">
        <f t="shared" si="1"/>
        <v>56</v>
      </c>
    </row>
    <row r="260">
      <c r="A260" s="55" t="str">
        <f>IFERROR(__xludf.DUMMYFUNCTION("""COMPUTED_VALUE"""),"Elite")</f>
        <v>Elite</v>
      </c>
      <c r="B260" s="55" t="str">
        <f>IFERROR(__xludf.DUMMYFUNCTION("""COMPUTED_VALUE"""),"RSC002729")</f>
        <v>RSC002729</v>
      </c>
      <c r="C260" s="60" t="str">
        <f>IFERROR(__xludf.DUMMYFUNCTION("""COMPUTED_VALUE"""),"snugcore")</f>
        <v>snugcore</v>
      </c>
      <c r="D260" s="54" t="str">
        <f>IFERROR(__xludf.DUMMYFUNCTION("""COMPUTED_VALUE"""),"Thrashers")</f>
        <v>Thrashers</v>
      </c>
      <c r="E260" s="55" t="str">
        <f>IFERROR(__xludf.DUMMYFUNCTION("""COMPUTED_VALUE"""),"Lunar")</f>
        <v>Lunar</v>
      </c>
      <c r="F260" s="56">
        <f>IFERROR(__xludf.DUMMYFUNCTION("""COMPUTED_VALUE"""),54.096083000743924)</f>
        <v>54.096083</v>
      </c>
      <c r="G260" s="57">
        <f>IFERROR(__xludf.DUMMYFUNCTION("""COMPUTED_VALUE"""),56.0)</f>
        <v>56</v>
      </c>
      <c r="H260" s="58">
        <f>IFERROR(__xludf.DUMMYFUNCTION("iferror(if(B260="""", ,filter('IDR Import'!D:D,'IDR Import'!A:A=B260,'IDR Import'!C:C=A260)),)"),52.558542722941695)</f>
        <v>52.55854272</v>
      </c>
      <c r="I260" s="58">
        <v>53.32731286184281</v>
      </c>
      <c r="J260" s="59">
        <f t="shared" si="1"/>
        <v>56</v>
      </c>
    </row>
    <row r="261">
      <c r="A261" s="55" t="str">
        <f>IFERROR(__xludf.DUMMYFUNCTION("""COMPUTED_VALUE"""),"Elite")</f>
        <v>Elite</v>
      </c>
      <c r="B261" s="55" t="str">
        <f>IFERROR(__xludf.DUMMYFUNCTION("""COMPUTED_VALUE"""),"RSC008490")</f>
        <v>RSC008490</v>
      </c>
      <c r="C261" s="60" t="str">
        <f>IFERROR(__xludf.DUMMYFUNCTION("""COMPUTED_VALUE"""),"FrostBeard")</f>
        <v>FrostBeard</v>
      </c>
      <c r="D261" s="54" t="str">
        <f>IFERROR(__xludf.DUMMYFUNCTION("""COMPUTED_VALUE"""),"Desolation")</f>
        <v>Desolation</v>
      </c>
      <c r="E261" s="55" t="str">
        <f>IFERROR(__xludf.DUMMYFUNCTION("""COMPUTED_VALUE"""),"Solar")</f>
        <v>Solar</v>
      </c>
      <c r="F261" s="56">
        <f>IFERROR(__xludf.DUMMYFUNCTION("""COMPUTED_VALUE"""),53.800706990319554)</f>
        <v>53.80070699</v>
      </c>
      <c r="G261" s="57">
        <f>IFERROR(__xludf.DUMMYFUNCTION("""COMPUTED_VALUE"""),45.0)</f>
        <v>45</v>
      </c>
      <c r="H261" s="58">
        <f>IFERROR(__xludf.DUMMYFUNCTION("iferror(if(B261="""", ,filter('IDR Import'!D:D,'IDR Import'!A:A=B261,'IDR Import'!C:C=A261)),)"),60.857309161539916)</f>
        <v>60.85730916</v>
      </c>
      <c r="I261" s="58">
        <v>57.329008075929735</v>
      </c>
      <c r="J261" s="59">
        <f t="shared" si="1"/>
        <v>45</v>
      </c>
    </row>
    <row r="262">
      <c r="A262" s="55" t="str">
        <f>IFERROR(__xludf.DUMMYFUNCTION("""COMPUTED_VALUE"""),"Elite")</f>
        <v>Elite</v>
      </c>
      <c r="B262" s="55" t="str">
        <f>IFERROR(__xludf.DUMMYFUNCTION("""COMPUTED_VALUE"""),"RSC007486")</f>
        <v>RSC007486</v>
      </c>
      <c r="C262" s="60" t="str">
        <f>IFERROR(__xludf.DUMMYFUNCTION("""COMPUTED_VALUE"""),"kj")</f>
        <v>kj</v>
      </c>
      <c r="D262" s="54" t="str">
        <f>IFERROR(__xludf.DUMMYFUNCTION("""COMPUTED_VALUE"""),"Cotija Cartel")</f>
        <v>Cotija Cartel</v>
      </c>
      <c r="E262" s="55" t="str">
        <f>IFERROR(__xludf.DUMMYFUNCTION("""COMPUTED_VALUE"""),"Lunar")</f>
        <v>Lunar</v>
      </c>
      <c r="F262" s="56">
        <f>IFERROR(__xludf.DUMMYFUNCTION("""COMPUTED_VALUE"""),53.65196722057305)</f>
        <v>53.65196722</v>
      </c>
      <c r="G262" s="57">
        <f>IFERROR(__xludf.DUMMYFUNCTION("""COMPUTED_VALUE"""),4.0)</f>
        <v>4</v>
      </c>
      <c r="H262" s="58">
        <f>IFERROR(__xludf.DUMMYFUNCTION("iferror(if(B262="""", ,filter('IDR Import'!D:D,'IDR Import'!A:A=B262,'IDR Import'!C:C=A262)),)"),51.28631871500595)</f>
        <v>51.28631872</v>
      </c>
      <c r="I262" s="58">
        <v>52.469142967789494</v>
      </c>
      <c r="J262" s="59">
        <f t="shared" si="1"/>
        <v>4</v>
      </c>
    </row>
    <row r="263">
      <c r="A263" s="55" t="str">
        <f>IFERROR(__xludf.DUMMYFUNCTION("""COMPUTED_VALUE"""),"Elite")</f>
        <v>Elite</v>
      </c>
      <c r="B263" s="55" t="str">
        <f>IFERROR(__xludf.DUMMYFUNCTION("""COMPUTED_VALUE"""),"RSC007386")</f>
        <v>RSC007386</v>
      </c>
      <c r="C263" s="60" t="str">
        <f>IFERROR(__xludf.DUMMYFUNCTION("""COMPUTED_VALUE"""),"oddtrip")</f>
        <v>oddtrip</v>
      </c>
      <c r="D263" s="54" t="str">
        <f>IFERROR(__xludf.DUMMYFUNCTION("""COMPUTED_VALUE"""),"Despair")</f>
        <v>Despair</v>
      </c>
      <c r="E263" s="55" t="str">
        <f>IFERROR(__xludf.DUMMYFUNCTION("""COMPUTED_VALUE"""),"Lunar")</f>
        <v>Lunar</v>
      </c>
      <c r="F263" s="56">
        <f>IFERROR(__xludf.DUMMYFUNCTION("""COMPUTED_VALUE"""),53.48311231094986)</f>
        <v>53.48311231</v>
      </c>
      <c r="G263" s="57">
        <f>IFERROR(__xludf.DUMMYFUNCTION("""COMPUTED_VALUE"""),31.0)</f>
        <v>31</v>
      </c>
      <c r="H263" s="58">
        <f>IFERROR(__xludf.DUMMYFUNCTION("iferror(if(B263="""", ,filter('IDR Import'!D:D,'IDR Import'!A:A=B263,'IDR Import'!C:C=A263)),)"),60.90370141934021)</f>
        <v>60.90370142</v>
      </c>
      <c r="I263" s="58">
        <v>57.193406865145036</v>
      </c>
      <c r="J263" s="59">
        <f t="shared" si="1"/>
        <v>31</v>
      </c>
    </row>
    <row r="264">
      <c r="A264" s="55" t="str">
        <f>IFERROR(__xludf.DUMMYFUNCTION("""COMPUTED_VALUE"""),"Elite")</f>
        <v>Elite</v>
      </c>
      <c r="B264" s="55" t="str">
        <f>IFERROR(__xludf.DUMMYFUNCTION("""COMPUTED_VALUE"""),"RSC006417")</f>
        <v>RSC006417</v>
      </c>
      <c r="C264" s="60" t="str">
        <f>IFERROR(__xludf.DUMMYFUNCTION("""COMPUTED_VALUE"""),"TangentOgive")</f>
        <v>TangentOgive</v>
      </c>
      <c r="D264" s="54" t="str">
        <f>IFERROR(__xludf.DUMMYFUNCTION("""COMPUTED_VALUE"""),"Gelato")</f>
        <v>Gelato</v>
      </c>
      <c r="E264" s="55" t="str">
        <f>IFERROR(__xludf.DUMMYFUNCTION("""COMPUTED_VALUE"""),"Lunar")</f>
        <v>Lunar</v>
      </c>
      <c r="F264" s="56">
        <f>IFERROR(__xludf.DUMMYFUNCTION("""COMPUTED_VALUE"""),52.23505342216179)</f>
        <v>52.23505342</v>
      </c>
      <c r="G264" s="57">
        <f>IFERROR(__xludf.DUMMYFUNCTION("""COMPUTED_VALUE"""),6.0)</f>
        <v>6</v>
      </c>
      <c r="H264" s="58">
        <f>IFERROR(__xludf.DUMMYFUNCTION("iferror(if(B264="""", ,filter('IDR Import'!D:D,'IDR Import'!A:A=B264,'IDR Import'!C:C=A264)),)"),50.98752891519355)</f>
        <v>50.98752892</v>
      </c>
      <c r="I264" s="58">
        <v>51.61129116867767</v>
      </c>
      <c r="J264" s="59">
        <f t="shared" si="1"/>
        <v>6</v>
      </c>
    </row>
    <row r="265">
      <c r="A265" s="55" t="str">
        <f>IFERROR(__xludf.DUMMYFUNCTION("""COMPUTED_VALUE"""),"Elite")</f>
        <v>Elite</v>
      </c>
      <c r="B265" s="55" t="str">
        <f>IFERROR(__xludf.DUMMYFUNCTION("""COMPUTED_VALUE"""),"RSC008363")</f>
        <v>RSC008363</v>
      </c>
      <c r="C265" s="60" t="str">
        <f>IFERROR(__xludf.DUMMYFUNCTION("""COMPUTED_VALUE"""),"Jarrtsu")</f>
        <v>Jarrtsu</v>
      </c>
      <c r="D265" s="54" t="str">
        <f>IFERROR(__xludf.DUMMYFUNCTION("""COMPUTED_VALUE"""),"Krakens")</f>
        <v>Krakens</v>
      </c>
      <c r="E265" s="55" t="str">
        <f>IFERROR(__xludf.DUMMYFUNCTION("""COMPUTED_VALUE"""),"Lunar")</f>
        <v>Lunar</v>
      </c>
      <c r="F265" s="56">
        <f>IFERROR(__xludf.DUMMYFUNCTION("""COMPUTED_VALUE"""),52.185390028885756)</f>
        <v>52.18539003</v>
      </c>
      <c r="G265" s="57">
        <f>IFERROR(__xludf.DUMMYFUNCTION("""COMPUTED_VALUE"""),52.0)</f>
        <v>52</v>
      </c>
      <c r="H265" s="58">
        <f>IFERROR(__xludf.DUMMYFUNCTION("iferror(if(B265="""", ,filter('IDR Import'!D:D,'IDR Import'!A:A=B265,'IDR Import'!C:C=A265)),)"),46.531698112096365)</f>
        <v>46.53169811</v>
      </c>
      <c r="I265" s="58">
        <v>49.358544070491064</v>
      </c>
      <c r="J265" s="59">
        <f t="shared" si="1"/>
        <v>52</v>
      </c>
    </row>
    <row r="266">
      <c r="A266" s="55" t="str">
        <f>IFERROR(__xludf.DUMMYFUNCTION("""COMPUTED_VALUE"""),"Elite")</f>
        <v>Elite</v>
      </c>
      <c r="B266" s="55" t="str">
        <f>IFERROR(__xludf.DUMMYFUNCTION("""COMPUTED_VALUE"""),"RSC006378")</f>
        <v>RSC006378</v>
      </c>
      <c r="C266" s="60" t="str">
        <f>IFERROR(__xludf.DUMMYFUNCTION("""COMPUTED_VALUE"""),"depressed vibez")</f>
        <v>depressed vibez</v>
      </c>
      <c r="D266" s="54" t="str">
        <f>IFERROR(__xludf.DUMMYFUNCTION("""COMPUTED_VALUE"""),"Hellhounds
Drive-by")</f>
        <v>Hellhounds
Drive-by</v>
      </c>
      <c r="E266" s="55" t="str">
        <f>IFERROR(__xludf.DUMMYFUNCTION("""COMPUTED_VALUE"""),"Solar
Solar")</f>
        <v>Solar
Solar</v>
      </c>
      <c r="F266" s="56">
        <f>IFERROR(__xludf.DUMMYFUNCTION("""COMPUTED_VALUE"""),52.170931813763275)</f>
        <v>52.17093181</v>
      </c>
      <c r="G266" s="57">
        <f>IFERROR(__xludf.DUMMYFUNCTION("""COMPUTED_VALUE"""),23.0)</f>
        <v>23</v>
      </c>
      <c r="H266" s="58">
        <f>IFERROR(__xludf.DUMMYFUNCTION("iferror(if(B266="""", ,filter('IDR Import'!D:D,'IDR Import'!A:A=B266,'IDR Import'!C:C=A266)),)"),48.17689496298482)</f>
        <v>48.17689496</v>
      </c>
      <c r="I266" s="58">
        <v>50.17391338837405</v>
      </c>
      <c r="J266" s="59">
        <f t="shared" si="1"/>
        <v>23</v>
      </c>
    </row>
    <row r="267">
      <c r="A267" s="55" t="str">
        <f>IFERROR(__xludf.DUMMYFUNCTION("""COMPUTED_VALUE"""),"Elite")</f>
        <v>Elite</v>
      </c>
      <c r="B267" s="55" t="str">
        <f>IFERROR(__xludf.DUMMYFUNCTION("""COMPUTED_VALUE"""),"RSC005491")</f>
        <v>RSC005491</v>
      </c>
      <c r="C267" s="60" t="str">
        <f>IFERROR(__xludf.DUMMYFUNCTION("""COMPUTED_VALUE"""),"Jackowanou")</f>
        <v>Jackowanou</v>
      </c>
      <c r="D267" s="54" t="str">
        <f>IFERROR(__xludf.DUMMYFUNCTION("""COMPUTED_VALUE"""),"Teddy Bears")</f>
        <v>Teddy Bears</v>
      </c>
      <c r="E267" s="55" t="str">
        <f>IFERROR(__xludf.DUMMYFUNCTION("""COMPUTED_VALUE"""),"Solar")</f>
        <v>Solar</v>
      </c>
      <c r="F267" s="56">
        <f>IFERROR(__xludf.DUMMYFUNCTION("""COMPUTED_VALUE"""),52.135609650620765)</f>
        <v>52.13560965</v>
      </c>
      <c r="G267" s="57">
        <f>IFERROR(__xludf.DUMMYFUNCTION("""COMPUTED_VALUE"""),52.0)</f>
        <v>52</v>
      </c>
      <c r="H267" s="58">
        <f>IFERROR(__xludf.DUMMYFUNCTION("iferror(if(B267="""", ,filter('IDR Import'!D:D,'IDR Import'!A:A=B267,'IDR Import'!C:C=A267)),)"),53.62465931250395)</f>
        <v>53.62465931</v>
      </c>
      <c r="I267" s="58">
        <v>52.88013448156236</v>
      </c>
      <c r="J267" s="59">
        <f t="shared" si="1"/>
        <v>52</v>
      </c>
    </row>
    <row r="268">
      <c r="A268" s="55" t="str">
        <f>IFERROR(__xludf.DUMMYFUNCTION("""COMPUTED_VALUE"""),"Elite")</f>
        <v>Elite</v>
      </c>
      <c r="B268" s="55" t="str">
        <f>IFERROR(__xludf.DUMMYFUNCTION("""COMPUTED_VALUE"""),"RSC007855")</f>
        <v>RSC007855</v>
      </c>
      <c r="C268" s="60" t="str">
        <f>IFERROR(__xludf.DUMMYFUNCTION("""COMPUTED_VALUE"""),"Dub_Dill")</f>
        <v>Dub_Dill</v>
      </c>
      <c r="D268" s="54" t="str">
        <f>IFERROR(__xludf.DUMMYFUNCTION("""COMPUTED_VALUE"""),"Praetorian Guard
Afterburners")</f>
        <v>Praetorian Guard
Afterburners</v>
      </c>
      <c r="E268" s="55" t="str">
        <f>IFERROR(__xludf.DUMMYFUNCTION("""COMPUTED_VALUE"""),"Solar
Lunar")</f>
        <v>Solar
Lunar</v>
      </c>
      <c r="F268" s="56">
        <f>IFERROR(__xludf.DUMMYFUNCTION("""COMPUTED_VALUE"""),52.08595583585588)</f>
        <v>52.08595584</v>
      </c>
      <c r="G268" s="57">
        <f>IFERROR(__xludf.DUMMYFUNCTION("""COMPUTED_VALUE"""),37.0)</f>
        <v>37</v>
      </c>
      <c r="H268" s="58">
        <f>IFERROR(__xludf.DUMMYFUNCTION("iferror(if(B268="""", ,filter('IDR Import'!D:D,'IDR Import'!A:A=B268,'IDR Import'!C:C=A268)),)"),53.2750983792078)</f>
        <v>53.27509838</v>
      </c>
      <c r="I268" s="58">
        <v>52.68052710753184</v>
      </c>
      <c r="J268" s="59">
        <f t="shared" si="1"/>
        <v>37</v>
      </c>
    </row>
    <row r="269">
      <c r="A269" s="55" t="str">
        <f>IFERROR(__xludf.DUMMYFUNCTION("""COMPUTED_VALUE"""),"Elite")</f>
        <v>Elite</v>
      </c>
      <c r="B269" s="55" t="str">
        <f>IFERROR(__xludf.DUMMYFUNCTION("""COMPUTED_VALUE"""),"RSC007655")</f>
        <v>RSC007655</v>
      </c>
      <c r="C269" s="60" t="str">
        <f>IFERROR(__xludf.DUMMYFUNCTION("""COMPUTED_VALUE"""),"Geo")</f>
        <v>Geo</v>
      </c>
      <c r="D269" s="54" t="str">
        <f>IFERROR(__xludf.DUMMYFUNCTION("""COMPUTED_VALUE"""),"Orochi")</f>
        <v>Orochi</v>
      </c>
      <c r="E269" s="55" t="str">
        <f>IFERROR(__xludf.DUMMYFUNCTION("""COMPUTED_VALUE"""),"Solar")</f>
        <v>Solar</v>
      </c>
      <c r="F269" s="56">
        <f>IFERROR(__xludf.DUMMYFUNCTION("""COMPUTED_VALUE"""),51.625393737044604)</f>
        <v>51.62539374</v>
      </c>
      <c r="G269" s="57">
        <f>IFERROR(__xludf.DUMMYFUNCTION("""COMPUTED_VALUE"""),34.0)</f>
        <v>34</v>
      </c>
      <c r="H269" s="58">
        <f>IFERROR(__xludf.DUMMYFUNCTION("iferror(if(B269="""", ,filter('IDR Import'!D:D,'IDR Import'!A:A=B269,'IDR Import'!C:C=A269)),)"),49.13284716531875)</f>
        <v>49.13284717</v>
      </c>
      <c r="I269" s="58">
        <v>50.37912045118168</v>
      </c>
      <c r="J269" s="59">
        <f t="shared" si="1"/>
        <v>34</v>
      </c>
    </row>
    <row r="270">
      <c r="A270" s="55" t="str">
        <f>IFERROR(__xludf.DUMMYFUNCTION("""COMPUTED_VALUE"""),"Elite")</f>
        <v>Elite</v>
      </c>
      <c r="B270" s="55" t="str">
        <f>IFERROR(__xludf.DUMMYFUNCTION("""COMPUTED_VALUE"""),"RSC002892")</f>
        <v>RSC002892</v>
      </c>
      <c r="C270" s="60" t="str">
        <f>IFERROR(__xludf.DUMMYFUNCTION("""COMPUTED_VALUE"""),"nickm")</f>
        <v>nickm</v>
      </c>
      <c r="D270" s="54" t="str">
        <f>IFERROR(__xludf.DUMMYFUNCTION("""COMPUTED_VALUE"""),"Pixel Picassos")</f>
        <v>Pixel Picassos</v>
      </c>
      <c r="E270" s="55" t="str">
        <f>IFERROR(__xludf.DUMMYFUNCTION("""COMPUTED_VALUE"""),"Solar")</f>
        <v>Solar</v>
      </c>
      <c r="F270" s="56">
        <f>IFERROR(__xludf.DUMMYFUNCTION("""COMPUTED_VALUE"""),51.22553311334431)</f>
        <v>51.22553311</v>
      </c>
      <c r="G270" s="57">
        <f>IFERROR(__xludf.DUMMYFUNCTION("""COMPUTED_VALUE"""),48.0)</f>
        <v>48</v>
      </c>
      <c r="H270" s="58">
        <f>IFERROR(__xludf.DUMMYFUNCTION("iferror(if(B270="""", ,filter('IDR Import'!D:D,'IDR Import'!A:A=B270,'IDR Import'!C:C=A270)),)"),56.32978263899199)</f>
        <v>56.32978264</v>
      </c>
      <c r="I270" s="58">
        <v>53.77765787616815</v>
      </c>
      <c r="J270" s="59">
        <f t="shared" si="1"/>
        <v>48</v>
      </c>
    </row>
    <row r="271">
      <c r="A271" s="55" t="str">
        <f>IFERROR(__xludf.DUMMYFUNCTION("""COMPUTED_VALUE"""),"Elite")</f>
        <v>Elite</v>
      </c>
      <c r="B271" s="55" t="str">
        <f>IFERROR(__xludf.DUMMYFUNCTION("""COMPUTED_VALUE"""),"RSC005824")</f>
        <v>RSC005824</v>
      </c>
      <c r="C271" s="60" t="str">
        <f>IFERROR(__xludf.DUMMYFUNCTION("""COMPUTED_VALUE"""),"Bolts")</f>
        <v>Bolts</v>
      </c>
      <c r="D271" s="54" t="str">
        <f>IFERROR(__xludf.DUMMYFUNCTION("""COMPUTED_VALUE"""),"Sloths")</f>
        <v>Sloths</v>
      </c>
      <c r="E271" s="55" t="str">
        <f>IFERROR(__xludf.DUMMYFUNCTION("""COMPUTED_VALUE"""),"Solar")</f>
        <v>Solar</v>
      </c>
      <c r="F271" s="56">
        <f>IFERROR(__xludf.DUMMYFUNCTION("""COMPUTED_VALUE"""),51.00880505538225)</f>
        <v>51.00880506</v>
      </c>
      <c r="G271" s="57">
        <f>IFERROR(__xludf.DUMMYFUNCTION("""COMPUTED_VALUE"""),3.0)</f>
        <v>3</v>
      </c>
      <c r="H271" s="58">
        <f>IFERROR(__xludf.DUMMYFUNCTION("iferror(if(B271="""", ,filter('IDR Import'!D:D,'IDR Import'!A:A=B271,'IDR Import'!C:C=A271)),)"),57.16332860240138)</f>
        <v>57.1633286</v>
      </c>
      <c r="I271" s="58">
        <v>54.086066828891816</v>
      </c>
      <c r="J271" s="59">
        <f t="shared" si="1"/>
        <v>3</v>
      </c>
    </row>
    <row r="272">
      <c r="A272" s="55" t="str">
        <f>IFERROR(__xludf.DUMMYFUNCTION("""COMPUTED_VALUE"""),"Elite")</f>
        <v>Elite</v>
      </c>
      <c r="B272" s="55" t="str">
        <f>IFERROR(__xludf.DUMMYFUNCTION("""COMPUTED_VALUE"""),"RSC008479")</f>
        <v>RSC008479</v>
      </c>
      <c r="C272" s="60" t="str">
        <f>IFERROR(__xludf.DUMMYFUNCTION("""COMPUTED_VALUE"""),"Yaki")</f>
        <v>Yaki</v>
      </c>
      <c r="D272" s="54" t="str">
        <f>IFERROR(__xludf.DUMMYFUNCTION("""COMPUTED_VALUE"""),"Frostbite")</f>
        <v>Frostbite</v>
      </c>
      <c r="E272" s="55" t="str">
        <f>IFERROR(__xludf.DUMMYFUNCTION("""COMPUTED_VALUE"""),"Solar")</f>
        <v>Solar</v>
      </c>
      <c r="F272" s="56">
        <f>IFERROR(__xludf.DUMMYFUNCTION("""COMPUTED_VALUE"""),50.762495528210756)</f>
        <v>50.76249553</v>
      </c>
      <c r="G272" s="57">
        <f>IFERROR(__xludf.DUMMYFUNCTION("""COMPUTED_VALUE"""),52.0)</f>
        <v>52</v>
      </c>
      <c r="H272" s="58">
        <f>IFERROR(__xludf.DUMMYFUNCTION("iferror(if(B272="""", ,filter('IDR Import'!D:D,'IDR Import'!A:A=B272,'IDR Import'!C:C=A272)),)"),54.10758123611046)</f>
        <v>54.10758124</v>
      </c>
      <c r="I272" s="58">
        <v>52.43503838216061</v>
      </c>
      <c r="J272" s="59">
        <f t="shared" si="1"/>
        <v>52</v>
      </c>
    </row>
    <row r="273">
      <c r="A273" s="55" t="str">
        <f>IFERROR(__xludf.DUMMYFUNCTION("""COMPUTED_VALUE"""),"Elite")</f>
        <v>Elite</v>
      </c>
      <c r="B273" s="55" t="str">
        <f>IFERROR(__xludf.DUMMYFUNCTION("""COMPUTED_VALUE"""),"RSC002862")</f>
        <v>RSC002862</v>
      </c>
      <c r="C273" s="60" t="str">
        <f>IFERROR(__xludf.DUMMYFUNCTION("""COMPUTED_VALUE"""),"Doodle!")</f>
        <v>Doodle!</v>
      </c>
      <c r="D273" s="54" t="str">
        <f>IFERROR(__xludf.DUMMYFUNCTION("""COMPUTED_VALUE"""),"Drive-by
Ghastly Goombahs
Commanders")</f>
        <v>Drive-by
Ghastly Goombahs
Commanders</v>
      </c>
      <c r="E273" s="55" t="str">
        <f>IFERROR(__xludf.DUMMYFUNCTION("""COMPUTED_VALUE"""),"Solar
Lunar
Lunar")</f>
        <v>Solar
Lunar
Lunar</v>
      </c>
      <c r="F273" s="56">
        <f>IFERROR(__xludf.DUMMYFUNCTION("""COMPUTED_VALUE"""),50.615909418735036)</f>
        <v>50.61590942</v>
      </c>
      <c r="G273" s="57">
        <f>IFERROR(__xludf.DUMMYFUNCTION("""COMPUTED_VALUE"""),45.0)</f>
        <v>45</v>
      </c>
      <c r="H273" s="58">
        <f>IFERROR(__xludf.DUMMYFUNCTION("iferror(if(B273="""", ,filter('IDR Import'!D:D,'IDR Import'!A:A=B273,'IDR Import'!C:C=A273)),)"),53.28119788658184)</f>
        <v>53.28119789</v>
      </c>
      <c r="I273" s="58">
        <v>51.94855365265844</v>
      </c>
      <c r="J273" s="59">
        <f t="shared" si="1"/>
        <v>45</v>
      </c>
    </row>
    <row r="274">
      <c r="A274" s="55" t="str">
        <f>IFERROR(__xludf.DUMMYFUNCTION("""COMPUTED_VALUE"""),"Elite")</f>
        <v>Elite</v>
      </c>
      <c r="B274" s="55" t="str">
        <f>IFERROR(__xludf.DUMMYFUNCTION("""COMPUTED_VALUE"""),"RSC004889")</f>
        <v>RSC004889</v>
      </c>
      <c r="C274" s="60" t="str">
        <f>IFERROR(__xludf.DUMMYFUNCTION("""COMPUTED_VALUE"""),"Steeltoehammer")</f>
        <v>Steeltoehammer</v>
      </c>
      <c r="D274" s="54" t="str">
        <f>IFERROR(__xludf.DUMMYFUNCTION("""COMPUTED_VALUE"""),"Commanders")</f>
        <v>Commanders</v>
      </c>
      <c r="E274" s="55" t="str">
        <f>IFERROR(__xludf.DUMMYFUNCTION("""COMPUTED_VALUE"""),"Lunar")</f>
        <v>Lunar</v>
      </c>
      <c r="F274" s="56">
        <f>IFERROR(__xludf.DUMMYFUNCTION("""COMPUTED_VALUE"""),50.4814183650933)</f>
        <v>50.48141837</v>
      </c>
      <c r="G274" s="57">
        <f>IFERROR(__xludf.DUMMYFUNCTION("""COMPUTED_VALUE"""),8.0)</f>
        <v>8</v>
      </c>
      <c r="H274" s="58">
        <f>IFERROR(__xludf.DUMMYFUNCTION("iferror(if(B274="""", ,filter('IDR Import'!D:D,'IDR Import'!A:A=B274,'IDR Import'!C:C=A274)),)"),57.49711730219151)</f>
        <v>57.4971173</v>
      </c>
      <c r="I274" s="58">
        <v>53.9892678336424</v>
      </c>
      <c r="J274" s="59">
        <f t="shared" si="1"/>
        <v>8</v>
      </c>
    </row>
    <row r="275">
      <c r="A275" s="55" t="str">
        <f>IFERROR(__xludf.DUMMYFUNCTION("""COMPUTED_VALUE"""),"Elite")</f>
        <v>Elite</v>
      </c>
      <c r="B275" s="55" t="str">
        <f>IFERROR(__xludf.DUMMYFUNCTION("""COMPUTED_VALUE"""),"RSC005508")</f>
        <v>RSC005508</v>
      </c>
      <c r="C275" s="60" t="str">
        <f>IFERROR(__xludf.DUMMYFUNCTION("""COMPUTED_VALUE"""),"Lil Windex")</f>
        <v>Lil Windex</v>
      </c>
      <c r="D275" s="54" t="str">
        <f>IFERROR(__xludf.DUMMYFUNCTION("""COMPUTED_VALUE"""),"Pixel Picassos")</f>
        <v>Pixel Picassos</v>
      </c>
      <c r="E275" s="55" t="str">
        <f>IFERROR(__xludf.DUMMYFUNCTION("""COMPUTED_VALUE"""),"Solar")</f>
        <v>Solar</v>
      </c>
      <c r="F275" s="56">
        <f>IFERROR(__xludf.DUMMYFUNCTION("""COMPUTED_VALUE"""),50.282809366500324)</f>
        <v>50.28280937</v>
      </c>
      <c r="G275" s="57">
        <f>IFERROR(__xludf.DUMMYFUNCTION("""COMPUTED_VALUE"""),39.0)</f>
        <v>39</v>
      </c>
      <c r="H275" s="58">
        <f>IFERROR(__xludf.DUMMYFUNCTION("iferror(if(B275="""", ,filter('IDR Import'!D:D,'IDR Import'!A:A=B275,'IDR Import'!C:C=A275)),)"),51.072573222612355)</f>
        <v>51.07257322</v>
      </c>
      <c r="I275" s="58">
        <v>50.67769129455634</v>
      </c>
      <c r="J275" s="59">
        <f t="shared" si="1"/>
        <v>39</v>
      </c>
    </row>
    <row r="276">
      <c r="A276" s="55" t="str">
        <f>IFERROR(__xludf.DUMMYFUNCTION("""COMPUTED_VALUE"""),"Elite")</f>
        <v>Elite</v>
      </c>
      <c r="B276" s="55" t="str">
        <f>IFERROR(__xludf.DUMMYFUNCTION("""COMPUTED_VALUE"""),"RSC008200")</f>
        <v>RSC008200</v>
      </c>
      <c r="C276" s="60" t="str">
        <f>IFERROR(__xludf.DUMMYFUNCTION("""COMPUTED_VALUE"""),"Cloudburst")</f>
        <v>Cloudburst</v>
      </c>
      <c r="D276" s="54" t="str">
        <f>IFERROR(__xludf.DUMMYFUNCTION("""COMPUTED_VALUE"""),"Krakens")</f>
        <v>Krakens</v>
      </c>
      <c r="E276" s="55" t="str">
        <f>IFERROR(__xludf.DUMMYFUNCTION("""COMPUTED_VALUE"""),"Lunar")</f>
        <v>Lunar</v>
      </c>
      <c r="F276" s="56">
        <f>IFERROR(__xludf.DUMMYFUNCTION("""COMPUTED_VALUE"""),49.98692051909426)</f>
        <v>49.98692052</v>
      </c>
      <c r="G276" s="57">
        <f>IFERROR(__xludf.DUMMYFUNCTION("""COMPUTED_VALUE"""),47.0)</f>
        <v>47</v>
      </c>
      <c r="H276" s="58">
        <f>IFERROR(__xludf.DUMMYFUNCTION("iferror(if(B276="""", ,filter('IDR Import'!D:D,'IDR Import'!A:A=B276,'IDR Import'!C:C=A276)),)"),48.382251206357395)</f>
        <v>48.38225121</v>
      </c>
      <c r="I276" s="58">
        <v>49.184585862725825</v>
      </c>
      <c r="J276" s="59">
        <f t="shared" si="1"/>
        <v>47</v>
      </c>
    </row>
    <row r="277">
      <c r="A277" s="55" t="str">
        <f>IFERROR(__xludf.DUMMYFUNCTION("""COMPUTED_VALUE"""),"Elite")</f>
        <v>Elite</v>
      </c>
      <c r="B277" s="55" t="str">
        <f>IFERROR(__xludf.DUMMYFUNCTION("""COMPUTED_VALUE"""),"RSC002559")</f>
        <v>RSC002559</v>
      </c>
      <c r="C277" s="60" t="str">
        <f>IFERROR(__xludf.DUMMYFUNCTION("""COMPUTED_VALUE"""),"CommanderBoy")</f>
        <v>CommanderBoy</v>
      </c>
      <c r="D277" s="54" t="str">
        <f>IFERROR(__xludf.DUMMYFUNCTION("""COMPUTED_VALUE"""),"Drive-by
Thrashers")</f>
        <v>Drive-by
Thrashers</v>
      </c>
      <c r="E277" s="55" t="str">
        <f>IFERROR(__xludf.DUMMYFUNCTION("""COMPUTED_VALUE"""),"Solar
Lunar")</f>
        <v>Solar
Lunar</v>
      </c>
      <c r="F277" s="56">
        <f>IFERROR(__xludf.DUMMYFUNCTION("""COMPUTED_VALUE"""),49.951896819471514)</f>
        <v>49.95189682</v>
      </c>
      <c r="G277" s="57">
        <f>IFERROR(__xludf.DUMMYFUNCTION("""COMPUTED_VALUE"""),39.0)</f>
        <v>39</v>
      </c>
      <c r="H277" s="58">
        <f>IFERROR(__xludf.DUMMYFUNCTION("iferror(if(B277="""", ,filter('IDR Import'!D:D,'IDR Import'!A:A=B277,'IDR Import'!C:C=A277)),)"),51.09912317359691)</f>
        <v>51.09912317</v>
      </c>
      <c r="I277" s="58">
        <v>50.52550999653421</v>
      </c>
      <c r="J277" s="59">
        <f t="shared" si="1"/>
        <v>39</v>
      </c>
    </row>
    <row r="278">
      <c r="A278" s="55" t="str">
        <f>IFERROR(__xludf.DUMMYFUNCTION("""COMPUTED_VALUE"""),"Elite")</f>
        <v>Elite</v>
      </c>
      <c r="B278" s="55" t="str">
        <f>IFERROR(__xludf.DUMMYFUNCTION("""COMPUTED_VALUE"""),"RSC008089")</f>
        <v>RSC008089</v>
      </c>
      <c r="C278" s="60" t="str">
        <f>IFERROR(__xludf.DUMMYFUNCTION("""COMPUTED_VALUE"""),"SyrupBloodz")</f>
        <v>SyrupBloodz</v>
      </c>
      <c r="D278" s="54" t="str">
        <f>IFERROR(__xludf.DUMMYFUNCTION("""COMPUTED_VALUE"""),"Fire")</f>
        <v>Fire</v>
      </c>
      <c r="E278" s="55" t="str">
        <f>IFERROR(__xludf.DUMMYFUNCTION("""COMPUTED_VALUE"""),"Solar")</f>
        <v>Solar</v>
      </c>
      <c r="F278" s="56">
        <f>IFERROR(__xludf.DUMMYFUNCTION("""COMPUTED_VALUE"""),49.67883928020482)</f>
        <v>49.67883928</v>
      </c>
      <c r="G278" s="57">
        <f>IFERROR(__xludf.DUMMYFUNCTION("""COMPUTED_VALUE"""),10.0)</f>
        <v>10</v>
      </c>
      <c r="H278" s="58">
        <f>IFERROR(__xludf.DUMMYFUNCTION("iferror(if(B278="""", ,filter('IDR Import'!D:D,'IDR Import'!A:A=B278,'IDR Import'!C:C=A278)),)"),40.10187480331597)</f>
        <v>40.1018748</v>
      </c>
      <c r="I278" s="58">
        <v>44.890357041760396</v>
      </c>
      <c r="J278" s="59">
        <f t="shared" si="1"/>
        <v>10</v>
      </c>
    </row>
    <row r="279">
      <c r="A279" s="55" t="str">
        <f>IFERROR(__xludf.DUMMYFUNCTION("""COMPUTED_VALUE"""),"Elite")</f>
        <v>Elite</v>
      </c>
      <c r="B279" s="55" t="str">
        <f>IFERROR(__xludf.DUMMYFUNCTION("""COMPUTED_VALUE"""),"RSC003143")</f>
        <v>RSC003143</v>
      </c>
      <c r="C279" s="60" t="str">
        <f>IFERROR(__xludf.DUMMYFUNCTION("""COMPUTED_VALUE"""),"Dank._.")</f>
        <v>Dank._.</v>
      </c>
      <c r="D279" s="54" t="str">
        <f>IFERROR(__xludf.DUMMYFUNCTION("""COMPUTED_VALUE"""),"Hellhounds
Drive-by")</f>
        <v>Hellhounds
Drive-by</v>
      </c>
      <c r="E279" s="55" t="str">
        <f>IFERROR(__xludf.DUMMYFUNCTION("""COMPUTED_VALUE"""),"Solar
Solar")</f>
        <v>Solar
Solar</v>
      </c>
      <c r="F279" s="56">
        <f>IFERROR(__xludf.DUMMYFUNCTION("""COMPUTED_VALUE"""),49.475039723814966)</f>
        <v>49.47503972</v>
      </c>
      <c r="G279" s="57">
        <f>IFERROR(__xludf.DUMMYFUNCTION("""COMPUTED_VALUE"""),40.0)</f>
        <v>40</v>
      </c>
      <c r="H279" s="58">
        <f>IFERROR(__xludf.DUMMYFUNCTION("iferror(if(B279="""", ,filter('IDR Import'!D:D,'IDR Import'!A:A=B279,'IDR Import'!C:C=A279)),)"),40.566830853095595)</f>
        <v>40.56683085</v>
      </c>
      <c r="I279" s="58">
        <v>45.02093528845528</v>
      </c>
      <c r="J279" s="59">
        <f t="shared" si="1"/>
        <v>40</v>
      </c>
    </row>
    <row r="280">
      <c r="A280" s="55" t="str">
        <f>IFERROR(__xludf.DUMMYFUNCTION("""COMPUTED_VALUE"""),"Elite")</f>
        <v>Elite</v>
      </c>
      <c r="B280" s="55" t="str">
        <f>IFERROR(__xludf.DUMMYFUNCTION("""COMPUTED_VALUE"""),"RSC006723")</f>
        <v>RSC006723</v>
      </c>
      <c r="C280" s="60" t="str">
        <f>IFERROR(__xludf.DUMMYFUNCTION("""COMPUTED_VALUE"""),"ROCK_Sause")</f>
        <v>ROCK_Sause</v>
      </c>
      <c r="D280" s="54" t="str">
        <f>IFERROR(__xludf.DUMMYFUNCTION("""COMPUTED_VALUE"""),"Thrashers
Afterburners
Immortals")</f>
        <v>Thrashers
Afterburners
Immortals</v>
      </c>
      <c r="E280" s="55" t="str">
        <f>IFERROR(__xludf.DUMMYFUNCTION("""COMPUTED_VALUE"""),"Lunar
Lunar
Lunar")</f>
        <v>Lunar
Lunar
Lunar</v>
      </c>
      <c r="F280" s="56">
        <f>IFERROR(__xludf.DUMMYFUNCTION("""COMPUTED_VALUE"""),49.4680643588086)</f>
        <v>49.46806436</v>
      </c>
      <c r="G280" s="57">
        <f>IFERROR(__xludf.DUMMYFUNCTION("""COMPUTED_VALUE"""),48.0)</f>
        <v>48</v>
      </c>
      <c r="H280" s="58">
        <f>IFERROR(__xludf.DUMMYFUNCTION("iferror(if(B280="""", ,filter('IDR Import'!D:D,'IDR Import'!A:A=B280,'IDR Import'!C:C=A280)),)"),49.985905785166906)</f>
        <v>49.98590579</v>
      </c>
      <c r="I280" s="58">
        <v>49.726985071987755</v>
      </c>
      <c r="J280" s="59">
        <f t="shared" si="1"/>
        <v>48</v>
      </c>
    </row>
    <row r="281">
      <c r="A281" s="55" t="str">
        <f>IFERROR(__xludf.DUMMYFUNCTION("""COMPUTED_VALUE"""),"Elite")</f>
        <v>Elite</v>
      </c>
      <c r="B281" s="55" t="str">
        <f>IFERROR(__xludf.DUMMYFUNCTION("""COMPUTED_VALUE"""),"RSC006869")</f>
        <v>RSC006869</v>
      </c>
      <c r="C281" s="60" t="str">
        <f>IFERROR(__xludf.DUMMYFUNCTION("""COMPUTED_VALUE"""),"Flurry ^-^")</f>
        <v>Flurry ^-^</v>
      </c>
      <c r="D281" s="54" t="str">
        <f>IFERROR(__xludf.DUMMYFUNCTION("""COMPUTED_VALUE"""),"Dik-diks")</f>
        <v>Dik-diks</v>
      </c>
      <c r="E281" s="55" t="str">
        <f>IFERROR(__xludf.DUMMYFUNCTION("""COMPUTED_VALUE"""),"Lunar")</f>
        <v>Lunar</v>
      </c>
      <c r="F281" s="56">
        <f>IFERROR(__xludf.DUMMYFUNCTION("""COMPUTED_VALUE"""),49.230576969332745)</f>
        <v>49.23057697</v>
      </c>
      <c r="G281" s="57">
        <f>IFERROR(__xludf.DUMMYFUNCTION("""COMPUTED_VALUE"""),42.0)</f>
        <v>42</v>
      </c>
      <c r="H281" s="58">
        <f>IFERROR(__xludf.DUMMYFUNCTION("iferror(if(B281="""", ,filter('IDR Import'!D:D,'IDR Import'!A:A=B281,'IDR Import'!C:C=A281)),)"),58.67586489605795)</f>
        <v>58.6758649</v>
      </c>
      <c r="I281" s="58">
        <v>53.953220932695345</v>
      </c>
      <c r="J281" s="59">
        <f t="shared" si="1"/>
        <v>42</v>
      </c>
    </row>
    <row r="282">
      <c r="A282" s="55" t="str">
        <f>IFERROR(__xludf.DUMMYFUNCTION("""COMPUTED_VALUE"""),"Elite")</f>
        <v>Elite</v>
      </c>
      <c r="B282" s="55" t="str">
        <f>IFERROR(__xludf.DUMMYFUNCTION("""COMPUTED_VALUE"""),"RSC007470")</f>
        <v>RSC007470</v>
      </c>
      <c r="C282" s="60" t="str">
        <f>IFERROR(__xludf.DUMMYFUNCTION("""COMPUTED_VALUE"""),"Fused Gavin")</f>
        <v>Fused Gavin</v>
      </c>
      <c r="D282" s="54" t="str">
        <f>IFERROR(__xludf.DUMMYFUNCTION("""COMPUTED_VALUE"""),"Swordsman")</f>
        <v>Swordsman</v>
      </c>
      <c r="E282" s="55" t="str">
        <f>IFERROR(__xludf.DUMMYFUNCTION("""COMPUTED_VALUE"""),"Solar")</f>
        <v>Solar</v>
      </c>
      <c r="F282" s="56">
        <f>IFERROR(__xludf.DUMMYFUNCTION("""COMPUTED_VALUE"""),48.21198162532327)</f>
        <v>48.21198163</v>
      </c>
      <c r="G282" s="57">
        <f>IFERROR(__xludf.DUMMYFUNCTION("""COMPUTED_VALUE"""),23.0)</f>
        <v>23</v>
      </c>
      <c r="H282" s="58">
        <f>IFERROR(__xludf.DUMMYFUNCTION("iferror(if(B282="""", ,filter('IDR Import'!D:D,'IDR Import'!A:A=B282,'IDR Import'!C:C=A282)),)"),50.015892037478615)</f>
        <v>50.01589204</v>
      </c>
      <c r="I282" s="58">
        <v>49.11393683140094</v>
      </c>
      <c r="J282" s="59">
        <f t="shared" si="1"/>
        <v>23</v>
      </c>
    </row>
    <row r="283">
      <c r="A283" s="55" t="str">
        <f>IFERROR(__xludf.DUMMYFUNCTION("""COMPUTED_VALUE"""),"Elite")</f>
        <v>Elite</v>
      </c>
      <c r="B283" s="55" t="str">
        <f>IFERROR(__xludf.DUMMYFUNCTION("""COMPUTED_VALUE"""),"RSC004131")</f>
        <v>RSC004131</v>
      </c>
      <c r="C283" s="60" t="str">
        <f>IFERROR(__xludf.DUMMYFUNCTION("""COMPUTED_VALUE"""),"Poptart Pounder")</f>
        <v>Poptart Pounder</v>
      </c>
      <c r="D283" s="54" t="str">
        <f>IFERROR(__xludf.DUMMYFUNCTION("""COMPUTED_VALUE"""),"Ghastly Goombahs")</f>
        <v>Ghastly Goombahs</v>
      </c>
      <c r="E283" s="55" t="str">
        <f>IFERROR(__xludf.DUMMYFUNCTION("""COMPUTED_VALUE"""),"Lunar")</f>
        <v>Lunar</v>
      </c>
      <c r="F283" s="56">
        <f>IFERROR(__xludf.DUMMYFUNCTION("""COMPUTED_VALUE"""),47.85986154049588)</f>
        <v>47.85986154</v>
      </c>
      <c r="G283" s="57">
        <f>IFERROR(__xludf.DUMMYFUNCTION("""COMPUTED_VALUE"""),19.0)</f>
        <v>19</v>
      </c>
      <c r="H283" s="58">
        <f>IFERROR(__xludf.DUMMYFUNCTION("iferror(if(B283="""", ,filter('IDR Import'!D:D,'IDR Import'!A:A=B283,'IDR Import'!C:C=A283)),)"),61.60212039916478)</f>
        <v>61.6021204</v>
      </c>
      <c r="I283" s="58">
        <v>54.73099096983033</v>
      </c>
      <c r="J283" s="59">
        <f t="shared" si="1"/>
        <v>19</v>
      </c>
    </row>
    <row r="284">
      <c r="A284" s="55" t="str">
        <f>IFERROR(__xludf.DUMMYFUNCTION("""COMPUTED_VALUE"""),"Elite")</f>
        <v>Elite</v>
      </c>
      <c r="B284" s="55" t="str">
        <f>IFERROR(__xludf.DUMMYFUNCTION("""COMPUTED_VALUE"""),"RSC007629")</f>
        <v>RSC007629</v>
      </c>
      <c r="C284" s="60" t="str">
        <f>IFERROR(__xludf.DUMMYFUNCTION("""COMPUTED_VALUE"""),"Mochi")</f>
        <v>Mochi</v>
      </c>
      <c r="D284" s="54" t="str">
        <f>IFERROR(__xludf.DUMMYFUNCTION("""COMPUTED_VALUE"""),"Immortals
Krakens")</f>
        <v>Immortals
Krakens</v>
      </c>
      <c r="E284" s="55" t="str">
        <f>IFERROR(__xludf.DUMMYFUNCTION("""COMPUTED_VALUE"""),"Lunar
Lunar")</f>
        <v>Lunar
Lunar</v>
      </c>
      <c r="F284" s="56">
        <f>IFERROR(__xludf.DUMMYFUNCTION("""COMPUTED_VALUE"""),47.36686514934511)</f>
        <v>47.36686515</v>
      </c>
      <c r="G284" s="57">
        <f>IFERROR(__xludf.DUMMYFUNCTION("""COMPUTED_VALUE"""),23.0)</f>
        <v>23</v>
      </c>
      <c r="H284" s="58">
        <f>IFERROR(__xludf.DUMMYFUNCTION("iferror(if(B284="""", ,filter('IDR Import'!D:D,'IDR Import'!A:A=B284,'IDR Import'!C:C=A284)),)"),36.44198343118776)</f>
        <v>36.44198343</v>
      </c>
      <c r="I284" s="58">
        <v>41.904424290266434</v>
      </c>
      <c r="J284" s="59">
        <f t="shared" si="1"/>
        <v>23</v>
      </c>
    </row>
    <row r="285">
      <c r="A285" s="55" t="str">
        <f>IFERROR(__xludf.DUMMYFUNCTION("""COMPUTED_VALUE"""),"Elite")</f>
        <v>Elite</v>
      </c>
      <c r="B285" s="55" t="str">
        <f>IFERROR(__xludf.DUMMYFUNCTION("""COMPUTED_VALUE"""),"RSC008102")</f>
        <v>RSC008102</v>
      </c>
      <c r="C285" s="60" t="str">
        <f>IFERROR(__xludf.DUMMYFUNCTION("""COMPUTED_VALUE"""),"Talent?")</f>
        <v>Talent?</v>
      </c>
      <c r="D285" s="54" t="str">
        <f>IFERROR(__xludf.DUMMYFUNCTION("""COMPUTED_VALUE"""),"Cotija Cartel")</f>
        <v>Cotija Cartel</v>
      </c>
      <c r="E285" s="55" t="str">
        <f>IFERROR(__xludf.DUMMYFUNCTION("""COMPUTED_VALUE"""),"Lunar")</f>
        <v>Lunar</v>
      </c>
      <c r="F285" s="56">
        <f>IFERROR(__xludf.DUMMYFUNCTION("""COMPUTED_VALUE"""),47.235023636334745)</f>
        <v>47.23502364</v>
      </c>
      <c r="G285" s="57">
        <f>IFERROR(__xludf.DUMMYFUNCTION("""COMPUTED_VALUE"""),50.0)</f>
        <v>50</v>
      </c>
      <c r="H285" s="58">
        <f>IFERROR(__xludf.DUMMYFUNCTION("iferror(if(B285="""", ,filter('IDR Import'!D:D,'IDR Import'!A:A=B285,'IDR Import'!C:C=A285)),)"),47.10017125928332)</f>
        <v>47.10017126</v>
      </c>
      <c r="I285" s="58">
        <v>47.16759744780903</v>
      </c>
      <c r="J285" s="59">
        <f t="shared" si="1"/>
        <v>50</v>
      </c>
    </row>
    <row r="286">
      <c r="A286" s="55" t="str">
        <f>IFERROR(__xludf.DUMMYFUNCTION("""COMPUTED_VALUE"""),"Elite")</f>
        <v>Elite</v>
      </c>
      <c r="B286" s="55" t="str">
        <f>IFERROR(__xludf.DUMMYFUNCTION("""COMPUTED_VALUE"""),"RSC006947")</f>
        <v>RSC006947</v>
      </c>
      <c r="C286" s="60" t="str">
        <f>IFERROR(__xludf.DUMMYFUNCTION("""COMPUTED_VALUE"""),"HaZard")</f>
        <v>HaZard</v>
      </c>
      <c r="D286" s="54" t="str">
        <f>IFERROR(__xludf.DUMMYFUNCTION("""COMPUTED_VALUE"""),"Black-Holes
Hydras
Commanders")</f>
        <v>Black-Holes
Hydras
Commanders</v>
      </c>
      <c r="E286" s="55" t="str">
        <f>IFERROR(__xludf.DUMMYFUNCTION("""COMPUTED_VALUE"""),"Lunar
Solar
Lunar")</f>
        <v>Lunar
Solar
Lunar</v>
      </c>
      <c r="F286" s="56">
        <f>IFERROR(__xludf.DUMMYFUNCTION("""COMPUTED_VALUE"""),47.054274511529165)</f>
        <v>47.05427451</v>
      </c>
      <c r="G286" s="57">
        <f>IFERROR(__xludf.DUMMYFUNCTION("""COMPUTED_VALUE"""),43.0)</f>
        <v>43</v>
      </c>
      <c r="H286" s="58">
        <f>IFERROR(__xludf.DUMMYFUNCTION("iferror(if(B286="""", ,filter('IDR Import'!D:D,'IDR Import'!A:A=B286,'IDR Import'!C:C=A286)),)"),57.12880769593083)</f>
        <v>57.1288077</v>
      </c>
      <c r="I286" s="58">
        <v>52.091541103729995</v>
      </c>
      <c r="J286" s="59">
        <f t="shared" si="1"/>
        <v>43</v>
      </c>
    </row>
    <row r="287">
      <c r="A287" s="55" t="str">
        <f>IFERROR(__xludf.DUMMYFUNCTION("""COMPUTED_VALUE"""),"Elite")</f>
        <v>Elite</v>
      </c>
      <c r="B287" s="55" t="str">
        <f>IFERROR(__xludf.DUMMYFUNCTION("""COMPUTED_VALUE"""),"RSC008399")</f>
        <v>RSC008399</v>
      </c>
      <c r="C287" s="60" t="str">
        <f>IFERROR(__xludf.DUMMYFUNCTION("""COMPUTED_VALUE"""),"Tiz Samu")</f>
        <v>Tiz Samu</v>
      </c>
      <c r="D287" s="54" t="str">
        <f>IFERROR(__xludf.DUMMYFUNCTION("""COMPUTED_VALUE"""),"Praetorian Guard")</f>
        <v>Praetorian Guard</v>
      </c>
      <c r="E287" s="55" t="str">
        <f>IFERROR(__xludf.DUMMYFUNCTION("""COMPUTED_VALUE"""),"Solar")</f>
        <v>Solar</v>
      </c>
      <c r="F287" s="56">
        <f>IFERROR(__xludf.DUMMYFUNCTION("""COMPUTED_VALUE"""),46.85862196496623)</f>
        <v>46.85862196</v>
      </c>
      <c r="G287" s="57">
        <f>IFERROR(__xludf.DUMMYFUNCTION("""COMPUTED_VALUE"""),42.0)</f>
        <v>42</v>
      </c>
      <c r="H287" s="58">
        <f>IFERROR(__xludf.DUMMYFUNCTION("iferror(if(B287="""", ,filter('IDR Import'!D:D,'IDR Import'!A:A=B287,'IDR Import'!C:C=A287)),)"),51.00947583668227)</f>
        <v>51.00947584</v>
      </c>
      <c r="I287" s="58">
        <v>48.93404890082425</v>
      </c>
      <c r="J287" s="59">
        <f t="shared" si="1"/>
        <v>42</v>
      </c>
    </row>
    <row r="288">
      <c r="A288" s="55" t="str">
        <f>IFERROR(__xludf.DUMMYFUNCTION("""COMPUTED_VALUE"""),"Elite")</f>
        <v>Elite</v>
      </c>
      <c r="B288" s="55" t="str">
        <f>IFERROR(__xludf.DUMMYFUNCTION("""COMPUTED_VALUE"""),"RSC005373")</f>
        <v>RSC005373</v>
      </c>
      <c r="C288" s="60" t="str">
        <f>IFERROR(__xludf.DUMMYFUNCTION("""COMPUTED_VALUE"""),"dvorl.ttv")</f>
        <v>dvorl.ttv</v>
      </c>
      <c r="D288" s="54" t="str">
        <f>IFERROR(__xludf.DUMMYFUNCTION("""COMPUTED_VALUE"""),"Despair")</f>
        <v>Despair</v>
      </c>
      <c r="E288" s="55" t="str">
        <f>IFERROR(__xludf.DUMMYFUNCTION("""COMPUTED_VALUE"""),"Lunar")</f>
        <v>Lunar</v>
      </c>
      <c r="F288" s="56">
        <f>IFERROR(__xludf.DUMMYFUNCTION("""COMPUTED_VALUE"""),46.64867978484023)</f>
        <v>46.64867978</v>
      </c>
      <c r="G288" s="57">
        <f>IFERROR(__xludf.DUMMYFUNCTION("""COMPUTED_VALUE"""),30.0)</f>
        <v>30</v>
      </c>
      <c r="H288" s="58">
        <f>IFERROR(__xludf.DUMMYFUNCTION("iferror(if(B288="""", ,filter('IDR Import'!D:D,'IDR Import'!A:A=B288,'IDR Import'!C:C=A288)),)"),42.85230738305002)</f>
        <v>42.85230738</v>
      </c>
      <c r="I288" s="58">
        <v>44.75049358394513</v>
      </c>
      <c r="J288" s="59">
        <f t="shared" si="1"/>
        <v>30</v>
      </c>
    </row>
    <row r="289">
      <c r="A289" s="55" t="str">
        <f>IFERROR(__xludf.DUMMYFUNCTION("""COMPUTED_VALUE"""),"Elite")</f>
        <v>Elite</v>
      </c>
      <c r="B289" s="55" t="str">
        <f>IFERROR(__xludf.DUMMYFUNCTION("""COMPUTED_VALUE"""),"RSC000021")</f>
        <v>RSC000021</v>
      </c>
      <c r="C289" s="60" t="str">
        <f>IFERROR(__xludf.DUMMYFUNCTION("""COMPUTED_VALUE"""),"TyTy")</f>
        <v>TyTy</v>
      </c>
      <c r="D289" s="54" t="str">
        <f>IFERROR(__xludf.DUMMYFUNCTION("""COMPUTED_VALUE"""),"Hellhounds
Afterburners
Commanders")</f>
        <v>Hellhounds
Afterburners
Commanders</v>
      </c>
      <c r="E289" s="55" t="str">
        <f>IFERROR(__xludf.DUMMYFUNCTION("""COMPUTED_VALUE"""),"Solar
Lunar
Lunar")</f>
        <v>Solar
Lunar
Lunar</v>
      </c>
      <c r="F289" s="56">
        <f>IFERROR(__xludf.DUMMYFUNCTION("""COMPUTED_VALUE"""),46.641124917213844)</f>
        <v>46.64112492</v>
      </c>
      <c r="G289" s="57">
        <f>IFERROR(__xludf.DUMMYFUNCTION("""COMPUTED_VALUE"""),31.0)</f>
        <v>31</v>
      </c>
      <c r="H289" s="58">
        <f>IFERROR(__xludf.DUMMYFUNCTION("iferror(if(B289="""", ,filter('IDR Import'!D:D,'IDR Import'!A:A=B289,'IDR Import'!C:C=A289)),)"),44.21215692377628)</f>
        <v>44.21215692</v>
      </c>
      <c r="I289" s="58">
        <v>45.42664092049506</v>
      </c>
      <c r="J289" s="59">
        <f t="shared" si="1"/>
        <v>31</v>
      </c>
    </row>
    <row r="290">
      <c r="A290" s="55" t="str">
        <f>IFERROR(__xludf.DUMMYFUNCTION("""COMPUTED_VALUE"""),"Elite")</f>
        <v>Elite</v>
      </c>
      <c r="B290" s="55" t="str">
        <f>IFERROR(__xludf.DUMMYFUNCTION("""COMPUTED_VALUE"""),"RSC008461")</f>
        <v>RSC008461</v>
      </c>
      <c r="C290" s="60" t="str">
        <f>IFERROR(__xludf.DUMMYFUNCTION("""COMPUTED_VALUE"""),"Kos")</f>
        <v>Kos</v>
      </c>
      <c r="D290" s="54" t="str">
        <f>IFERROR(__xludf.DUMMYFUNCTION("""COMPUTED_VALUE"""),"Desolation")</f>
        <v>Desolation</v>
      </c>
      <c r="E290" s="55" t="str">
        <f>IFERROR(__xludf.DUMMYFUNCTION("""COMPUTED_VALUE"""),"Solar")</f>
        <v>Solar</v>
      </c>
      <c r="F290" s="56">
        <f>IFERROR(__xludf.DUMMYFUNCTION("""COMPUTED_VALUE"""),46.59470907104244)</f>
        <v>46.59470907</v>
      </c>
      <c r="G290" s="57">
        <f>IFERROR(__xludf.DUMMYFUNCTION("""COMPUTED_VALUE"""),55.0)</f>
        <v>55</v>
      </c>
      <c r="H290" s="58">
        <f>IFERROR(__xludf.DUMMYFUNCTION("iferror(if(B290="""", ,filter('IDR Import'!D:D,'IDR Import'!A:A=B290,'IDR Import'!C:C=A290)),)"),47.21356819015195)</f>
        <v>47.21356819</v>
      </c>
      <c r="I290" s="58">
        <v>46.904138630597195</v>
      </c>
      <c r="J290" s="59">
        <f t="shared" si="1"/>
        <v>55</v>
      </c>
    </row>
    <row r="291">
      <c r="A291" s="55" t="str">
        <f>IFERROR(__xludf.DUMMYFUNCTION("""COMPUTED_VALUE"""),"Elite")</f>
        <v>Elite</v>
      </c>
      <c r="B291" s="55" t="str">
        <f>IFERROR(__xludf.DUMMYFUNCTION("""COMPUTED_VALUE"""),"RSC006713")</f>
        <v>RSC006713</v>
      </c>
      <c r="C291" s="60" t="str">
        <f>IFERROR(__xludf.DUMMYFUNCTION("""COMPUTED_VALUE"""),"SGE Nemesis")</f>
        <v>SGE Nemesis</v>
      </c>
      <c r="D291" s="54" t="str">
        <f>IFERROR(__xludf.DUMMYFUNCTION("""COMPUTED_VALUE"""),"Peerless Scarred")</f>
        <v>Peerless Scarred</v>
      </c>
      <c r="E291" s="55" t="str">
        <f>IFERROR(__xludf.DUMMYFUNCTION("""COMPUTED_VALUE"""),"Solar")</f>
        <v>Solar</v>
      </c>
      <c r="F291" s="56">
        <f>IFERROR(__xludf.DUMMYFUNCTION("""COMPUTED_VALUE"""),46.26140484358703)</f>
        <v>46.26140484</v>
      </c>
      <c r="G291" s="57">
        <f>IFERROR(__xludf.DUMMYFUNCTION("""COMPUTED_VALUE"""),53.0)</f>
        <v>53</v>
      </c>
      <c r="H291" s="58">
        <f>IFERROR(__xludf.DUMMYFUNCTION("iferror(if(B291="""", ,filter('IDR Import'!D:D,'IDR Import'!A:A=B291,'IDR Import'!C:C=A291)),)"),55.2195668044813)</f>
        <v>55.2195668</v>
      </c>
      <c r="I291" s="58">
        <v>50.74048582403417</v>
      </c>
      <c r="J291" s="59">
        <f t="shared" si="1"/>
        <v>53</v>
      </c>
    </row>
    <row r="292">
      <c r="A292" s="55" t="str">
        <f>IFERROR(__xludf.DUMMYFUNCTION("""COMPUTED_VALUE"""),"Elite")</f>
        <v>Elite</v>
      </c>
      <c r="B292" s="55" t="str">
        <f>IFERROR(__xludf.DUMMYFUNCTION("""COMPUTED_VALUE"""),"RSC006490")</f>
        <v>RSC006490</v>
      </c>
      <c r="C292" s="60" t="str">
        <f>IFERROR(__xludf.DUMMYFUNCTION("""COMPUTED_VALUE"""),"Dayz")</f>
        <v>Dayz</v>
      </c>
      <c r="D292" s="54" t="str">
        <f>IFERROR(__xludf.DUMMYFUNCTION("""COMPUTED_VALUE"""),"Hellhounds")</f>
        <v>Hellhounds</v>
      </c>
      <c r="E292" s="55" t="str">
        <f>IFERROR(__xludf.DUMMYFUNCTION("""COMPUTED_VALUE"""),"Solar")</f>
        <v>Solar</v>
      </c>
      <c r="F292" s="56">
        <f>IFERROR(__xludf.DUMMYFUNCTION("""COMPUTED_VALUE"""),46.01725307690993)</f>
        <v>46.01725308</v>
      </c>
      <c r="G292" s="57">
        <f>IFERROR(__xludf.DUMMYFUNCTION("""COMPUTED_VALUE"""),4.0)</f>
        <v>4</v>
      </c>
      <c r="H292" s="58">
        <f>IFERROR(__xludf.DUMMYFUNCTION("iferror(if(B292="""", ,filter('IDR Import'!D:D,'IDR Import'!A:A=B292,'IDR Import'!C:C=A292)),)"),23.465017505671256)</f>
        <v>23.46501751</v>
      </c>
      <c r="I292" s="58">
        <v>34.74113529129059</v>
      </c>
      <c r="J292" s="59">
        <f t="shared" si="1"/>
        <v>4</v>
      </c>
    </row>
    <row r="293">
      <c r="A293" s="55" t="str">
        <f>IFERROR(__xludf.DUMMYFUNCTION("""COMPUTED_VALUE"""),"Elite")</f>
        <v>Elite</v>
      </c>
      <c r="B293" s="55" t="str">
        <f>IFERROR(__xludf.DUMMYFUNCTION("""COMPUTED_VALUE"""),"RSC007129")</f>
        <v>RSC007129</v>
      </c>
      <c r="C293" s="60" t="str">
        <f>IFERROR(__xludf.DUMMYFUNCTION("""COMPUTED_VALUE"""),"EKA Luminous")</f>
        <v>EKA Luminous</v>
      </c>
      <c r="D293" s="54" t="str">
        <f>IFERROR(__xludf.DUMMYFUNCTION("""COMPUTED_VALUE"""),"Forge Defenders")</f>
        <v>Forge Defenders</v>
      </c>
      <c r="E293" s="55" t="str">
        <f>IFERROR(__xludf.DUMMYFUNCTION("""COMPUTED_VALUE"""),"Lunar")</f>
        <v>Lunar</v>
      </c>
      <c r="F293" s="56">
        <f>IFERROR(__xludf.DUMMYFUNCTION("""COMPUTED_VALUE"""),45.33388421231944)</f>
        <v>45.33388421</v>
      </c>
      <c r="G293" s="57">
        <f>IFERROR(__xludf.DUMMYFUNCTION("""COMPUTED_VALUE"""),29.0)</f>
        <v>29</v>
      </c>
      <c r="H293" s="58">
        <f>IFERROR(__xludf.DUMMYFUNCTION("iferror(if(B293="""", ,filter('IDR Import'!D:D,'IDR Import'!A:A=B293,'IDR Import'!C:C=A293)),)"),44.56866044707415)</f>
        <v>44.56866045</v>
      </c>
      <c r="I293" s="58">
        <v>44.95127232969679</v>
      </c>
      <c r="J293" s="59">
        <f t="shared" si="1"/>
        <v>29</v>
      </c>
    </row>
    <row r="294">
      <c r="A294" s="55" t="str">
        <f>IFERROR(__xludf.DUMMYFUNCTION("""COMPUTED_VALUE"""),"Elite")</f>
        <v>Elite</v>
      </c>
      <c r="B294" s="55" t="str">
        <f>IFERROR(__xludf.DUMMYFUNCTION("""COMPUTED_VALUE"""),"RSC000767")</f>
        <v>RSC000767</v>
      </c>
      <c r="C294" s="60" t="str">
        <f>IFERROR(__xludf.DUMMYFUNCTION("""COMPUTED_VALUE"""),"Tragic")</f>
        <v>Tragic</v>
      </c>
      <c r="D294" s="54" t="str">
        <f>IFERROR(__xludf.DUMMYFUNCTION("""COMPUTED_VALUE"""),"Cotija Cartel")</f>
        <v>Cotija Cartel</v>
      </c>
      <c r="E294" s="55" t="str">
        <f>IFERROR(__xludf.DUMMYFUNCTION("""COMPUTED_VALUE"""),"Lunar")</f>
        <v>Lunar</v>
      </c>
      <c r="F294" s="56">
        <f>IFERROR(__xludf.DUMMYFUNCTION("""COMPUTED_VALUE"""),45.11357583356772)</f>
        <v>45.11357583</v>
      </c>
      <c r="G294" s="57">
        <f>IFERROR(__xludf.DUMMYFUNCTION("""COMPUTED_VALUE"""),31.0)</f>
        <v>31</v>
      </c>
      <c r="H294" s="58">
        <f>IFERROR(__xludf.DUMMYFUNCTION("iferror(if(B294="""", ,filter('IDR Import'!D:D,'IDR Import'!A:A=B294,'IDR Import'!C:C=A294)),)"),41.43642380247449)</f>
        <v>41.4364238</v>
      </c>
      <c r="I294" s="58">
        <v>43.27499981802111</v>
      </c>
      <c r="J294" s="59">
        <f t="shared" si="1"/>
        <v>31</v>
      </c>
    </row>
    <row r="295">
      <c r="A295" s="55" t="str">
        <f>IFERROR(__xludf.DUMMYFUNCTION("""COMPUTED_VALUE"""),"Elite")</f>
        <v>Elite</v>
      </c>
      <c r="B295" s="55" t="str">
        <f>IFERROR(__xludf.DUMMYFUNCTION("""COMPUTED_VALUE"""),"RSC008128")</f>
        <v>RSC008128</v>
      </c>
      <c r="C295" s="60" t="str">
        <f>IFERROR(__xludf.DUMMYFUNCTION("""COMPUTED_VALUE"""),"ThruStyler")</f>
        <v>ThruStyler</v>
      </c>
      <c r="D295" s="54" t="str">
        <f>IFERROR(__xludf.DUMMYFUNCTION("""COMPUTED_VALUE"""),"Orochi")</f>
        <v>Orochi</v>
      </c>
      <c r="E295" s="55" t="str">
        <f>IFERROR(__xludf.DUMMYFUNCTION("""COMPUTED_VALUE"""),"Solar")</f>
        <v>Solar</v>
      </c>
      <c r="F295" s="56">
        <f>IFERROR(__xludf.DUMMYFUNCTION("""COMPUTED_VALUE"""),44.9370899151542)</f>
        <v>44.93708992</v>
      </c>
      <c r="G295" s="57">
        <f>IFERROR(__xludf.DUMMYFUNCTION("""COMPUTED_VALUE"""),38.0)</f>
        <v>38</v>
      </c>
      <c r="H295" s="58">
        <f>IFERROR(__xludf.DUMMYFUNCTION("iferror(if(B295="""", ,filter('IDR Import'!D:D,'IDR Import'!A:A=B295,'IDR Import'!C:C=A295)),)"),43.60119198726391)</f>
        <v>43.60119199</v>
      </c>
      <c r="I295" s="58">
        <v>44.26914095120905</v>
      </c>
      <c r="J295" s="59">
        <f t="shared" si="1"/>
        <v>38</v>
      </c>
    </row>
    <row r="296">
      <c r="A296" s="55" t="str">
        <f>IFERROR(__xludf.DUMMYFUNCTION("""COMPUTED_VALUE"""),"Elite")</f>
        <v>Elite</v>
      </c>
      <c r="B296" s="55" t="str">
        <f>IFERROR(__xludf.DUMMYFUNCTION("""COMPUTED_VALUE"""),"RSC005469")</f>
        <v>RSC005469</v>
      </c>
      <c r="C296" s="60" t="str">
        <f>IFERROR(__xludf.DUMMYFUNCTION("""COMPUTED_VALUE"""),"Axlos (Goofy and Silly)")</f>
        <v>Axlos (Goofy and Silly)</v>
      </c>
      <c r="D296" s="54" t="str">
        <f>IFERROR(__xludf.DUMMYFUNCTION("""COMPUTED_VALUE"""),"Frostbite")</f>
        <v>Frostbite</v>
      </c>
      <c r="E296" s="55" t="str">
        <f>IFERROR(__xludf.DUMMYFUNCTION("""COMPUTED_VALUE"""),"Solar")</f>
        <v>Solar</v>
      </c>
      <c r="F296" s="56">
        <f>IFERROR(__xludf.DUMMYFUNCTION("""COMPUTED_VALUE"""),44.653442170617375)</f>
        <v>44.65344217</v>
      </c>
      <c r="G296" s="57">
        <f>IFERROR(__xludf.DUMMYFUNCTION("""COMPUTED_VALUE"""),39.0)</f>
        <v>39</v>
      </c>
      <c r="H296" s="58">
        <f>IFERROR(__xludf.DUMMYFUNCTION("iferror(if(B296="""", ,filter('IDR Import'!D:D,'IDR Import'!A:A=B296,'IDR Import'!C:C=A296)),)"),41.736120505674336)</f>
        <v>41.73612051</v>
      </c>
      <c r="I296" s="58">
        <v>43.19478133814586</v>
      </c>
      <c r="J296" s="59">
        <f t="shared" si="1"/>
        <v>39</v>
      </c>
    </row>
    <row r="297">
      <c r="A297" s="55" t="str">
        <f>IFERROR(__xludf.DUMMYFUNCTION("""COMPUTED_VALUE"""),"Elite")</f>
        <v>Elite</v>
      </c>
      <c r="B297" s="55" t="str">
        <f>IFERROR(__xludf.DUMMYFUNCTION("""COMPUTED_VALUE"""),"RSC002164")</f>
        <v>RSC002164</v>
      </c>
      <c r="C297" s="60" t="str">
        <f>IFERROR(__xludf.DUMMYFUNCTION("""COMPUTED_VALUE"""),"Dosia")</f>
        <v>Dosia</v>
      </c>
      <c r="D297" s="54" t="str">
        <f>IFERROR(__xludf.DUMMYFUNCTION("""COMPUTED_VALUE"""),"Drive-by
Hellhounds")</f>
        <v>Drive-by
Hellhounds</v>
      </c>
      <c r="E297" s="55" t="str">
        <f>IFERROR(__xludf.DUMMYFUNCTION("""COMPUTED_VALUE"""),"Solar
Solar")</f>
        <v>Solar
Solar</v>
      </c>
      <c r="F297" s="56">
        <f>IFERROR(__xludf.DUMMYFUNCTION("""COMPUTED_VALUE"""),43.386900444245015)</f>
        <v>43.38690044</v>
      </c>
      <c r="G297" s="57">
        <f>IFERROR(__xludf.DUMMYFUNCTION("""COMPUTED_VALUE"""),50.0)</f>
        <v>50</v>
      </c>
      <c r="H297" s="58">
        <f>IFERROR(__xludf.DUMMYFUNCTION("iferror(if(B297="""", ,filter('IDR Import'!D:D,'IDR Import'!A:A=B297,'IDR Import'!C:C=A297)),)"),49.35139201238814)</f>
        <v>49.35139201</v>
      </c>
      <c r="I297" s="58">
        <v>46.36914622831658</v>
      </c>
      <c r="J297" s="59">
        <f t="shared" si="1"/>
        <v>50</v>
      </c>
    </row>
    <row r="298">
      <c r="A298" s="55" t="str">
        <f>IFERROR(__xludf.DUMMYFUNCTION("""COMPUTED_VALUE"""),"Elite")</f>
        <v>Elite</v>
      </c>
      <c r="B298" s="55" t="str">
        <f>IFERROR(__xludf.DUMMYFUNCTION("""COMPUTED_VALUE"""),"RSC000787")</f>
        <v>RSC000787</v>
      </c>
      <c r="C298" s="60" t="str">
        <f>IFERROR(__xludf.DUMMYFUNCTION("""COMPUTED_VALUE"""),"buckle")</f>
        <v>buckle</v>
      </c>
      <c r="D298" s="54" t="str">
        <f>IFERROR(__xludf.DUMMYFUNCTION("""COMPUTED_VALUE"""),"Fire")</f>
        <v>Fire</v>
      </c>
      <c r="E298" s="55" t="str">
        <f>IFERROR(__xludf.DUMMYFUNCTION("""COMPUTED_VALUE"""),"Solar")</f>
        <v>Solar</v>
      </c>
      <c r="F298" s="56">
        <f>IFERROR(__xludf.DUMMYFUNCTION("""COMPUTED_VALUE"""),43.210542600437115)</f>
        <v>43.2105426</v>
      </c>
      <c r="G298" s="57">
        <f>IFERROR(__xludf.DUMMYFUNCTION("""COMPUTED_VALUE"""),52.0)</f>
        <v>52</v>
      </c>
      <c r="H298" s="58">
        <f>IFERROR(__xludf.DUMMYFUNCTION("iferror(if(B298="""", ,filter('IDR Import'!D:D,'IDR Import'!A:A=B298,'IDR Import'!C:C=A298)),)"),44.695281576010196)</f>
        <v>44.69528158</v>
      </c>
      <c r="I298" s="58">
        <v>43.952912088223655</v>
      </c>
      <c r="J298" s="59">
        <f t="shared" si="1"/>
        <v>52</v>
      </c>
    </row>
    <row r="299">
      <c r="A299" s="55" t="str">
        <f>IFERROR(__xludf.DUMMYFUNCTION("""COMPUTED_VALUE"""),"Elite")</f>
        <v>Elite</v>
      </c>
      <c r="B299" s="55" t="str">
        <f>IFERROR(__xludf.DUMMYFUNCTION("""COMPUTED_VALUE"""),"RSC008354")</f>
        <v>RSC008354</v>
      </c>
      <c r="C299" s="60" t="str">
        <f>IFERROR(__xludf.DUMMYFUNCTION("""COMPUTED_VALUE"""),"S3 TEK")</f>
        <v>S3 TEK</v>
      </c>
      <c r="D299" s="54" t="str">
        <f>IFERROR(__xludf.DUMMYFUNCTION("""COMPUTED_VALUE"""),"Afterburners")</f>
        <v>Afterburners</v>
      </c>
      <c r="E299" s="55" t="str">
        <f>IFERROR(__xludf.DUMMYFUNCTION("""COMPUTED_VALUE"""),"Lunar")</f>
        <v>Lunar</v>
      </c>
      <c r="F299" s="56">
        <f>IFERROR(__xludf.DUMMYFUNCTION("""COMPUTED_VALUE"""),42.66028856028193)</f>
        <v>42.66028856</v>
      </c>
      <c r="G299" s="57">
        <f>IFERROR(__xludf.DUMMYFUNCTION("""COMPUTED_VALUE"""),16.0)</f>
        <v>16</v>
      </c>
      <c r="H299" s="58">
        <f>IFERROR(__xludf.DUMMYFUNCTION("iferror(if(B299="""", ,filter('IDR Import'!D:D,'IDR Import'!A:A=B299,'IDR Import'!C:C=A299)),)"),42.12555738262381)</f>
        <v>42.12555738</v>
      </c>
      <c r="I299" s="58">
        <v>42.39292297145287</v>
      </c>
      <c r="J299" s="59">
        <f t="shared" si="1"/>
        <v>16</v>
      </c>
    </row>
    <row r="300">
      <c r="A300" s="55" t="str">
        <f>IFERROR(__xludf.DUMMYFUNCTION("""COMPUTED_VALUE"""),"Elite")</f>
        <v>Elite</v>
      </c>
      <c r="B300" s="55" t="str">
        <f>IFERROR(__xludf.DUMMYFUNCTION("""COMPUTED_VALUE"""),"RSC001986")</f>
        <v>RSC001986</v>
      </c>
      <c r="C300" s="60" t="str">
        <f>IFERROR(__xludf.DUMMYFUNCTION("""COMPUTED_VALUE"""),"Colinn")</f>
        <v>Colinn</v>
      </c>
      <c r="D300" s="54" t="str">
        <f>IFERROR(__xludf.DUMMYFUNCTION("""COMPUTED_VALUE"""),"Dik-diks")</f>
        <v>Dik-diks</v>
      </c>
      <c r="E300" s="55" t="str">
        <f>IFERROR(__xludf.DUMMYFUNCTION("""COMPUTED_VALUE"""),"Lunar")</f>
        <v>Lunar</v>
      </c>
      <c r="F300" s="56">
        <f>IFERROR(__xludf.DUMMYFUNCTION("""COMPUTED_VALUE"""),41.415738065717775)</f>
        <v>41.41573807</v>
      </c>
      <c r="G300" s="57">
        <f>IFERROR(__xludf.DUMMYFUNCTION("""COMPUTED_VALUE"""),14.0)</f>
        <v>14</v>
      </c>
      <c r="H300" s="58">
        <f>IFERROR(__xludf.DUMMYFUNCTION("iferror(if(B300="""", ,filter('IDR Import'!D:D,'IDR Import'!A:A=B300,'IDR Import'!C:C=A300)),)"),43.7223320334951)</f>
        <v>43.72233203</v>
      </c>
      <c r="I300" s="58">
        <v>42.56903504960644</v>
      </c>
      <c r="J300" s="59">
        <f t="shared" si="1"/>
        <v>14</v>
      </c>
    </row>
    <row r="301">
      <c r="A301" s="55" t="str">
        <f>IFERROR(__xludf.DUMMYFUNCTION("""COMPUTED_VALUE"""),"Elite")</f>
        <v>Elite</v>
      </c>
      <c r="B301" s="55" t="str">
        <f>IFERROR(__xludf.DUMMYFUNCTION("""COMPUTED_VALUE"""),"RSC008554")</f>
        <v>RSC008554</v>
      </c>
      <c r="C301" s="60" t="str">
        <f>IFERROR(__xludf.DUMMYFUNCTION("""COMPUTED_VALUE"""),"golden4789")</f>
        <v>golden4789</v>
      </c>
      <c r="D301" s="54" t="str">
        <f>IFERROR(__xludf.DUMMYFUNCTION("""COMPUTED_VALUE"""),"Desolation")</f>
        <v>Desolation</v>
      </c>
      <c r="E301" s="55" t="str">
        <f>IFERROR(__xludf.DUMMYFUNCTION("""COMPUTED_VALUE"""),"Solar")</f>
        <v>Solar</v>
      </c>
      <c r="F301" s="56">
        <f>IFERROR(__xludf.DUMMYFUNCTION("""COMPUTED_VALUE"""),41.06937384315305)</f>
        <v>41.06937384</v>
      </c>
      <c r="G301" s="57">
        <f>IFERROR(__xludf.DUMMYFUNCTION("""COMPUTED_VALUE"""),4.0)</f>
        <v>4</v>
      </c>
      <c r="H301" s="58">
        <f>IFERROR(__xludf.DUMMYFUNCTION("iferror(if(B301="""", ,filter('IDR Import'!D:D,'IDR Import'!A:A=B301,'IDR Import'!C:C=A301)),)"),38.126100761864166)</f>
        <v>38.12610076</v>
      </c>
      <c r="I301" s="58">
        <v>39.597737302508605</v>
      </c>
      <c r="J301" s="59">
        <f t="shared" si="1"/>
        <v>4</v>
      </c>
    </row>
    <row r="302">
      <c r="A302" s="55" t="str">
        <f>IFERROR(__xludf.DUMMYFUNCTION("""COMPUTED_VALUE"""),"Elite")</f>
        <v>Elite</v>
      </c>
      <c r="B302" s="55" t="str">
        <f>IFERROR(__xludf.DUMMYFUNCTION("""COMPUTED_VALUE"""),"RSC003561")</f>
        <v>RSC003561</v>
      </c>
      <c r="C302" s="60" t="str">
        <f>IFERROR(__xludf.DUMMYFUNCTION("""COMPUTED_VALUE"""),"Dooober")</f>
        <v>Dooober</v>
      </c>
      <c r="D302" s="54" t="str">
        <f>IFERROR(__xludf.DUMMYFUNCTION("""COMPUTED_VALUE"""),"Raptors")</f>
        <v>Raptors</v>
      </c>
      <c r="E302" s="55" t="str">
        <f>IFERROR(__xludf.DUMMYFUNCTION("""COMPUTED_VALUE"""),"Lunar")</f>
        <v>Lunar</v>
      </c>
      <c r="F302" s="56">
        <f>IFERROR(__xludf.DUMMYFUNCTION("""COMPUTED_VALUE"""),40.90593548103233)</f>
        <v>40.90593548</v>
      </c>
      <c r="G302" s="57">
        <f>IFERROR(__xludf.DUMMYFUNCTION("""COMPUTED_VALUE"""),33.0)</f>
        <v>33</v>
      </c>
      <c r="H302" s="58">
        <f>IFERROR(__xludf.DUMMYFUNCTION("iferror(if(B302="""", ,filter('IDR Import'!D:D,'IDR Import'!A:A=B302,'IDR Import'!C:C=A302)),)"),34.384977966846094)</f>
        <v>34.38497797</v>
      </c>
      <c r="I302" s="58">
        <v>37.64545672393921</v>
      </c>
      <c r="J302" s="59">
        <f t="shared" si="1"/>
        <v>33</v>
      </c>
    </row>
    <row r="303">
      <c r="A303" s="55" t="str">
        <f>IFERROR(__xludf.DUMMYFUNCTION("""COMPUTED_VALUE"""),"Elite")</f>
        <v>Elite</v>
      </c>
      <c r="B303" s="55" t="str">
        <f>IFERROR(__xludf.DUMMYFUNCTION("""COMPUTED_VALUE"""),"RSC007115")</f>
        <v>RSC007115</v>
      </c>
      <c r="C303" s="60" t="str">
        <f>IFERROR(__xludf.DUMMYFUNCTION("""COMPUTED_VALUE"""),"Zoomin")</f>
        <v>Zoomin</v>
      </c>
      <c r="D303" s="54" t="str">
        <f>IFERROR(__xludf.DUMMYFUNCTION("""COMPUTED_VALUE"""),"Raptors")</f>
        <v>Raptors</v>
      </c>
      <c r="E303" s="55" t="str">
        <f>IFERROR(__xludf.DUMMYFUNCTION("""COMPUTED_VALUE"""),"Lunar")</f>
        <v>Lunar</v>
      </c>
      <c r="F303" s="56">
        <f>IFERROR(__xludf.DUMMYFUNCTION("""COMPUTED_VALUE"""),40.53524281065464)</f>
        <v>40.53524281</v>
      </c>
      <c r="G303" s="57">
        <f>IFERROR(__xludf.DUMMYFUNCTION("""COMPUTED_VALUE"""),50.0)</f>
        <v>50</v>
      </c>
      <c r="H303" s="58">
        <f>IFERROR(__xludf.DUMMYFUNCTION("iferror(if(B303="""", ,filter('IDR Import'!D:D,'IDR Import'!A:A=B303,'IDR Import'!C:C=A303)),)"),28.845141992881103)</f>
        <v>28.84514199</v>
      </c>
      <c r="I303" s="58">
        <v>34.690192401767874</v>
      </c>
      <c r="J303" s="59">
        <f t="shared" si="1"/>
        <v>50</v>
      </c>
    </row>
    <row r="304">
      <c r="A304" s="55" t="str">
        <f>IFERROR(__xludf.DUMMYFUNCTION("""COMPUTED_VALUE"""),"Elite")</f>
        <v>Elite</v>
      </c>
      <c r="B304" s="55" t="str">
        <f>IFERROR(__xludf.DUMMYFUNCTION("""COMPUTED_VALUE"""),"RSC005464")</f>
        <v>RSC005464</v>
      </c>
      <c r="C304" s="60" t="str">
        <f>IFERROR(__xludf.DUMMYFUNCTION("""COMPUTED_VALUE"""),"taz.rm")</f>
        <v>taz.rm</v>
      </c>
      <c r="D304" s="54" t="str">
        <f>IFERROR(__xludf.DUMMYFUNCTION("""COMPUTED_VALUE"""),"Desolation")</f>
        <v>Desolation</v>
      </c>
      <c r="E304" s="55" t="str">
        <f>IFERROR(__xludf.DUMMYFUNCTION("""COMPUTED_VALUE"""),"Solar")</f>
        <v>Solar</v>
      </c>
      <c r="F304" s="56">
        <f>IFERROR(__xludf.DUMMYFUNCTION("""COMPUTED_VALUE"""),40.435947008633235)</f>
        <v>40.43594701</v>
      </c>
      <c r="G304" s="57">
        <f>IFERROR(__xludf.DUMMYFUNCTION("""COMPUTED_VALUE"""),27.0)</f>
        <v>27</v>
      </c>
      <c r="H304" s="58">
        <f>IFERROR(__xludf.DUMMYFUNCTION("iferror(if(B304="""", ,filter('IDR Import'!D:D,'IDR Import'!A:A=B304,'IDR Import'!C:C=A304)),)"),38.61328564396977)</f>
        <v>38.61328564</v>
      </c>
      <c r="I304" s="58">
        <v>39.5246163263015</v>
      </c>
      <c r="J304" s="59">
        <f t="shared" si="1"/>
        <v>27</v>
      </c>
    </row>
    <row r="305">
      <c r="A305" s="55" t="str">
        <f>IFERROR(__xludf.DUMMYFUNCTION("""COMPUTED_VALUE"""),"Elite")</f>
        <v>Elite</v>
      </c>
      <c r="B305" s="55" t="str">
        <f>IFERROR(__xludf.DUMMYFUNCTION("""COMPUTED_VALUE"""),"RSC007288")</f>
        <v>RSC007288</v>
      </c>
      <c r="C305" s="60" t="str">
        <f>IFERROR(__xludf.DUMMYFUNCTION("""COMPUTED_VALUE"""),"vTheTankMan")</f>
        <v>vTheTankMan</v>
      </c>
      <c r="D305" s="54" t="str">
        <f>IFERROR(__xludf.DUMMYFUNCTION("""COMPUTED_VALUE"""),"Krakens
Sloths")</f>
        <v>Krakens
Sloths</v>
      </c>
      <c r="E305" s="55" t="str">
        <f>IFERROR(__xludf.DUMMYFUNCTION("""COMPUTED_VALUE"""),"Lunar
Solar")</f>
        <v>Lunar
Solar</v>
      </c>
      <c r="F305" s="56">
        <f>IFERROR(__xludf.DUMMYFUNCTION("""COMPUTED_VALUE"""),40.171779101695265)</f>
        <v>40.1717791</v>
      </c>
      <c r="G305" s="57">
        <f>IFERROR(__xludf.DUMMYFUNCTION("""COMPUTED_VALUE"""),20.0)</f>
        <v>20</v>
      </c>
      <c r="H305" s="58">
        <f>IFERROR(__xludf.DUMMYFUNCTION("iferror(if(B305="""", ,filter('IDR Import'!D:D,'IDR Import'!A:A=B305,'IDR Import'!C:C=A305)),)"),37.81541230221014)</f>
        <v>37.8154123</v>
      </c>
      <c r="I305" s="58">
        <v>38.9935957019527</v>
      </c>
      <c r="J305" s="59">
        <f t="shared" si="1"/>
        <v>20</v>
      </c>
    </row>
    <row r="306">
      <c r="A306" s="55" t="str">
        <f>IFERROR(__xludf.DUMMYFUNCTION("""COMPUTED_VALUE"""),"Elite")</f>
        <v>Elite</v>
      </c>
      <c r="B306" s="55" t="str">
        <f>IFERROR(__xludf.DUMMYFUNCTION("""COMPUTED_VALUE"""),"RSC005308")</f>
        <v>RSC005308</v>
      </c>
      <c r="C306" s="60" t="str">
        <f>IFERROR(__xludf.DUMMYFUNCTION("""COMPUTED_VALUE"""),"6 lbs of Yeet")</f>
        <v>6 lbs of Yeet</v>
      </c>
      <c r="D306" s="54" t="str">
        <f>IFERROR(__xludf.DUMMYFUNCTION("""COMPUTED_VALUE"""),"Pixel Picassos")</f>
        <v>Pixel Picassos</v>
      </c>
      <c r="E306" s="55" t="str">
        <f>IFERROR(__xludf.DUMMYFUNCTION("""COMPUTED_VALUE"""),"Solar")</f>
        <v>Solar</v>
      </c>
      <c r="F306" s="56">
        <f>IFERROR(__xludf.DUMMYFUNCTION("""COMPUTED_VALUE"""),40.10134146004668)</f>
        <v>40.10134146</v>
      </c>
      <c r="G306" s="57">
        <f>IFERROR(__xludf.DUMMYFUNCTION("""COMPUTED_VALUE"""),25.0)</f>
        <v>25</v>
      </c>
      <c r="H306" s="58">
        <f>IFERROR(__xludf.DUMMYFUNCTION("iferror(if(B306="""", ,filter('IDR Import'!D:D,'IDR Import'!A:A=B306,'IDR Import'!C:C=A306)),)"),45.695574045174624)</f>
        <v>45.69557405</v>
      </c>
      <c r="I306" s="58">
        <v>42.89845775261065</v>
      </c>
      <c r="J306" s="59">
        <f t="shared" si="1"/>
        <v>25</v>
      </c>
    </row>
    <row r="307">
      <c r="A307" s="55" t="str">
        <f>IFERROR(__xludf.DUMMYFUNCTION("""COMPUTED_VALUE"""),"Elite")</f>
        <v>Elite</v>
      </c>
      <c r="B307" s="55" t="str">
        <f>IFERROR(__xludf.DUMMYFUNCTION("""COMPUTED_VALUE"""),"RSC008391")</f>
        <v>RSC008391</v>
      </c>
      <c r="C307" s="60" t="str">
        <f>IFERROR(__xludf.DUMMYFUNCTION("""COMPUTED_VALUE"""),"SirPeakzIV")</f>
        <v>SirPeakzIV</v>
      </c>
      <c r="D307" s="54" t="str">
        <f>IFERROR(__xludf.DUMMYFUNCTION("""COMPUTED_VALUE"""),"Cotija Cartel
Afterburners
Immortals")</f>
        <v>Cotija Cartel
Afterburners
Immortals</v>
      </c>
      <c r="E307" s="55" t="str">
        <f>IFERROR(__xludf.DUMMYFUNCTION("""COMPUTED_VALUE"""),"Lunar
Lunar
Lunar")</f>
        <v>Lunar
Lunar
Lunar</v>
      </c>
      <c r="F307" s="56">
        <f>IFERROR(__xludf.DUMMYFUNCTION("""COMPUTED_VALUE"""),40.09086760876977)</f>
        <v>40.09086761</v>
      </c>
      <c r="G307" s="57">
        <f>IFERROR(__xludf.DUMMYFUNCTION("""COMPUTED_VALUE"""),44.0)</f>
        <v>44</v>
      </c>
      <c r="H307" s="58">
        <f>IFERROR(__xludf.DUMMYFUNCTION("iferror(if(B307="""", ,filter('IDR Import'!D:D,'IDR Import'!A:A=B307,'IDR Import'!C:C=A307)),)"),45.4974430595832)</f>
        <v>45.49744306</v>
      </c>
      <c r="I307" s="58">
        <v>42.79415533417648</v>
      </c>
      <c r="J307" s="59">
        <f t="shared" si="1"/>
        <v>44</v>
      </c>
    </row>
    <row r="308">
      <c r="A308" s="55" t="str">
        <f>IFERROR(__xludf.DUMMYFUNCTION("""COMPUTED_VALUE"""),"Elite")</f>
        <v>Elite</v>
      </c>
      <c r="B308" s="55" t="str">
        <f>IFERROR(__xludf.DUMMYFUNCTION("""COMPUTED_VALUE"""),"RSC007688")</f>
        <v>RSC007688</v>
      </c>
      <c r="C308" s="60" t="str">
        <f>IFERROR(__xludf.DUMMYFUNCTION("""COMPUTED_VALUE"""),"Yami ^^")</f>
        <v>Yami ^^</v>
      </c>
      <c r="D308" s="54" t="str">
        <f>IFERROR(__xludf.DUMMYFUNCTION("""COMPUTED_VALUE"""),"Gelato")</f>
        <v>Gelato</v>
      </c>
      <c r="E308" s="55" t="str">
        <f>IFERROR(__xludf.DUMMYFUNCTION("""COMPUTED_VALUE"""),"Lunar")</f>
        <v>Lunar</v>
      </c>
      <c r="F308" s="56">
        <f>IFERROR(__xludf.DUMMYFUNCTION("""COMPUTED_VALUE"""),38.85049308846983)</f>
        <v>38.85049309</v>
      </c>
      <c r="G308" s="57">
        <f>IFERROR(__xludf.DUMMYFUNCTION("""COMPUTED_VALUE"""),56.0)</f>
        <v>56</v>
      </c>
      <c r="H308" s="58">
        <f>IFERROR(__xludf.DUMMYFUNCTION("iferror(if(B308="""", ,filter('IDR Import'!D:D,'IDR Import'!A:A=B308,'IDR Import'!C:C=A308)),)"),43.20385666813083)</f>
        <v>43.20385667</v>
      </c>
      <c r="I308" s="58">
        <v>41.02717487830033</v>
      </c>
      <c r="J308" s="59">
        <f t="shared" si="1"/>
        <v>56</v>
      </c>
    </row>
    <row r="309">
      <c r="A309" s="55" t="str">
        <f>IFERROR(__xludf.DUMMYFUNCTION("""COMPUTED_VALUE"""),"Elite")</f>
        <v>Elite</v>
      </c>
      <c r="B309" s="55" t="str">
        <f>IFERROR(__xludf.DUMMYFUNCTION("""COMPUTED_VALUE"""),"RSC008408")</f>
        <v>RSC008408</v>
      </c>
      <c r="C309" s="60" t="str">
        <f>IFERROR(__xludf.DUMMYFUNCTION("""COMPUTED_VALUE"""),"LoonaKami")</f>
        <v>LoonaKami</v>
      </c>
      <c r="D309" s="54" t="str">
        <f>IFERROR(__xludf.DUMMYFUNCTION("""COMPUTED_VALUE"""),"Peerless Scarred")</f>
        <v>Peerless Scarred</v>
      </c>
      <c r="E309" s="55" t="str">
        <f>IFERROR(__xludf.DUMMYFUNCTION("""COMPUTED_VALUE"""),"Solar")</f>
        <v>Solar</v>
      </c>
      <c r="F309" s="56">
        <f>IFERROR(__xludf.DUMMYFUNCTION("""COMPUTED_VALUE"""),38.84603261441252)</f>
        <v>38.84603261</v>
      </c>
      <c r="G309" s="57">
        <f>IFERROR(__xludf.DUMMYFUNCTION("""COMPUTED_VALUE"""),23.0)</f>
        <v>23</v>
      </c>
      <c r="H309" s="58">
        <f>IFERROR(__xludf.DUMMYFUNCTION("iferror(if(B309="""", ,filter('IDR Import'!D:D,'IDR Import'!A:A=B309,'IDR Import'!C:C=A309)),)"),38.7416898176944)</f>
        <v>38.74168982</v>
      </c>
      <c r="I309" s="58">
        <v>38.79386121605346</v>
      </c>
      <c r="J309" s="59">
        <f t="shared" si="1"/>
        <v>23</v>
      </c>
    </row>
    <row r="310">
      <c r="A310" s="55" t="str">
        <f>IFERROR(__xludf.DUMMYFUNCTION("""COMPUTED_VALUE"""),"Elite")</f>
        <v>Elite</v>
      </c>
      <c r="B310" s="55" t="str">
        <f>IFERROR(__xludf.DUMMYFUNCTION("""COMPUTED_VALUE"""),"RSC004767")</f>
        <v>RSC004767</v>
      </c>
      <c r="C310" s="60" t="str">
        <f>IFERROR(__xludf.DUMMYFUNCTION("""COMPUTED_VALUE"""),"NFURY8")</f>
        <v>NFURY8</v>
      </c>
      <c r="D310" s="54" t="str">
        <f>IFERROR(__xludf.DUMMYFUNCTION("""COMPUTED_VALUE"""),"Praetorian Guard
Black-Holes")</f>
        <v>Praetorian Guard
Black-Holes</v>
      </c>
      <c r="E310" s="55" t="str">
        <f>IFERROR(__xludf.DUMMYFUNCTION("""COMPUTED_VALUE"""),"Solar
Lunar")</f>
        <v>Solar
Lunar</v>
      </c>
      <c r="F310" s="56">
        <f>IFERROR(__xludf.DUMMYFUNCTION("""COMPUTED_VALUE"""),38.71885060202296)</f>
        <v>38.7188506</v>
      </c>
      <c r="G310" s="57">
        <f>IFERROR(__xludf.DUMMYFUNCTION("""COMPUTED_VALUE"""),12.0)</f>
        <v>12</v>
      </c>
      <c r="H310" s="58">
        <f>IFERROR(__xludf.DUMMYFUNCTION("iferror(if(B310="""", ,filter('IDR Import'!D:D,'IDR Import'!A:A=B310,'IDR Import'!C:C=A310)),)"),47.409476933218365)</f>
        <v>47.40947693</v>
      </c>
      <c r="I310" s="58">
        <v>43.06416376762066</v>
      </c>
      <c r="J310" s="59">
        <f t="shared" si="1"/>
        <v>12</v>
      </c>
    </row>
    <row r="311">
      <c r="A311" s="55" t="str">
        <f>IFERROR(__xludf.DUMMYFUNCTION("""COMPUTED_VALUE"""),"Elite")</f>
        <v>Elite</v>
      </c>
      <c r="B311" s="55" t="str">
        <f>IFERROR(__xludf.DUMMYFUNCTION("""COMPUTED_VALUE"""),"RSC006668")</f>
        <v>RSC006668</v>
      </c>
      <c r="C311" s="60" t="str">
        <f>IFERROR(__xludf.DUMMYFUNCTION("""COMPUTED_VALUE"""),"kamui")</f>
        <v>kamui</v>
      </c>
      <c r="D311" s="54" t="str">
        <f>IFERROR(__xludf.DUMMYFUNCTION("""COMPUTED_VALUE"""),"Commanders
Teddy Bears")</f>
        <v>Commanders
Teddy Bears</v>
      </c>
      <c r="E311" s="55" t="str">
        <f>IFERROR(__xludf.DUMMYFUNCTION("""COMPUTED_VALUE"""),"Lunar
Solar")</f>
        <v>Lunar
Solar</v>
      </c>
      <c r="F311" s="56">
        <f>IFERROR(__xludf.DUMMYFUNCTION("""COMPUTED_VALUE"""),38.68528703149394)</f>
        <v>38.68528703</v>
      </c>
      <c r="G311" s="57">
        <f>IFERROR(__xludf.DUMMYFUNCTION("""COMPUTED_VALUE"""),44.0)</f>
        <v>44</v>
      </c>
      <c r="H311" s="58">
        <f>IFERROR(__xludf.DUMMYFUNCTION("iferror(if(B311="""", ,filter('IDR Import'!D:D,'IDR Import'!A:A=B311,'IDR Import'!C:C=A311)),)"),42.06356162967474)</f>
        <v>42.06356163</v>
      </c>
      <c r="I311" s="58">
        <v>40.37442433058434</v>
      </c>
      <c r="J311" s="59">
        <f t="shared" si="1"/>
        <v>44</v>
      </c>
    </row>
    <row r="312">
      <c r="A312" s="55" t="str">
        <f>IFERROR(__xludf.DUMMYFUNCTION("""COMPUTED_VALUE"""),"Elite")</f>
        <v>Elite</v>
      </c>
      <c r="B312" s="55" t="str">
        <f>IFERROR(__xludf.DUMMYFUNCTION("""COMPUTED_VALUE"""),"RSC003272")</f>
        <v>RSC003272</v>
      </c>
      <c r="C312" s="60" t="str">
        <f>IFERROR(__xludf.DUMMYFUNCTION("""COMPUTED_VALUE"""),"jknop2")</f>
        <v>jknop2</v>
      </c>
      <c r="D312" s="54" t="str">
        <f>IFERROR(__xludf.DUMMYFUNCTION("""COMPUTED_VALUE"""),"Desolation")</f>
        <v>Desolation</v>
      </c>
      <c r="E312" s="55" t="str">
        <f>IFERROR(__xludf.DUMMYFUNCTION("""COMPUTED_VALUE"""),"Solar")</f>
        <v>Solar</v>
      </c>
      <c r="F312" s="56">
        <f>IFERROR(__xludf.DUMMYFUNCTION("""COMPUTED_VALUE"""),38.67377015152361)</f>
        <v>38.67377015</v>
      </c>
      <c r="G312" s="57">
        <f>IFERROR(__xludf.DUMMYFUNCTION("""COMPUTED_VALUE"""),33.0)</f>
        <v>33</v>
      </c>
      <c r="H312" s="58">
        <f>IFERROR(__xludf.DUMMYFUNCTION("iferror(if(B312="""", ,filter('IDR Import'!D:D,'IDR Import'!A:A=B312,'IDR Import'!C:C=A312)),)"),32.165819008899796)</f>
        <v>32.16581901</v>
      </c>
      <c r="I312" s="58">
        <v>35.4197945802117</v>
      </c>
      <c r="J312" s="59">
        <f t="shared" si="1"/>
        <v>33</v>
      </c>
    </row>
    <row r="313">
      <c r="A313" s="55" t="str">
        <f>IFERROR(__xludf.DUMMYFUNCTION("""COMPUTED_VALUE"""),"Elite")</f>
        <v>Elite</v>
      </c>
      <c r="B313" s="55" t="str">
        <f>IFERROR(__xludf.DUMMYFUNCTION("""COMPUTED_VALUE"""),"RSC007936")</f>
        <v>RSC007936</v>
      </c>
      <c r="C313" s="60" t="str">
        <f>IFERROR(__xludf.DUMMYFUNCTION("""COMPUTED_VALUE"""),"Crazics")</f>
        <v>Crazics</v>
      </c>
      <c r="D313" s="54" t="str">
        <f>IFERROR(__xludf.DUMMYFUNCTION("""COMPUTED_VALUE"""),"Cotija Cartel")</f>
        <v>Cotija Cartel</v>
      </c>
      <c r="E313" s="55" t="str">
        <f>IFERROR(__xludf.DUMMYFUNCTION("""COMPUTED_VALUE"""),"Lunar")</f>
        <v>Lunar</v>
      </c>
      <c r="F313" s="56">
        <f>IFERROR(__xludf.DUMMYFUNCTION("""COMPUTED_VALUE"""),38.66447779651033)</f>
        <v>38.6644778</v>
      </c>
      <c r="G313" s="57">
        <f>IFERROR(__xludf.DUMMYFUNCTION("""COMPUTED_VALUE"""),39.0)</f>
        <v>39</v>
      </c>
      <c r="H313" s="58">
        <f>IFERROR(__xludf.DUMMYFUNCTION("iferror(if(B313="""", ,filter('IDR Import'!D:D,'IDR Import'!A:A=B313,'IDR Import'!C:C=A313)),)"),38.12661154637689)</f>
        <v>38.12661155</v>
      </c>
      <c r="I313" s="58">
        <v>38.395544671443616</v>
      </c>
      <c r="J313" s="59">
        <f t="shared" si="1"/>
        <v>39</v>
      </c>
    </row>
    <row r="314">
      <c r="A314" s="55" t="str">
        <f>IFERROR(__xludf.DUMMYFUNCTION("""COMPUTED_VALUE"""),"Elite")</f>
        <v>Elite</v>
      </c>
      <c r="B314" s="55" t="str">
        <f>IFERROR(__xludf.DUMMYFUNCTION("""COMPUTED_VALUE"""),"RSC006448")</f>
        <v>RSC006448</v>
      </c>
      <c r="C314" s="60" t="str">
        <f>IFERROR(__xludf.DUMMYFUNCTION("""COMPUTED_VALUE"""),"M1TNS")</f>
        <v>M1TNS</v>
      </c>
      <c r="D314" s="54" t="str">
        <f>IFERROR(__xludf.DUMMYFUNCTION("""COMPUTED_VALUE"""),"Forge Defenders")</f>
        <v>Forge Defenders</v>
      </c>
      <c r="E314" s="55" t="str">
        <f>IFERROR(__xludf.DUMMYFUNCTION("""COMPUTED_VALUE"""),"Lunar")</f>
        <v>Lunar</v>
      </c>
      <c r="F314" s="56">
        <f>IFERROR(__xludf.DUMMYFUNCTION("""COMPUTED_VALUE"""),38.33874116430715)</f>
        <v>38.33874116</v>
      </c>
      <c r="G314" s="57">
        <f>IFERROR(__xludf.DUMMYFUNCTION("""COMPUTED_VALUE"""),28.0)</f>
        <v>28</v>
      </c>
      <c r="H314" s="58">
        <f>IFERROR(__xludf.DUMMYFUNCTION("iferror(if(B314="""", ,filter('IDR Import'!D:D,'IDR Import'!A:A=B314,'IDR Import'!C:C=A314)),)"),47.47436053495297)</f>
        <v>47.47436053</v>
      </c>
      <c r="I314" s="58">
        <v>42.906550849630065</v>
      </c>
      <c r="J314" s="59">
        <f t="shared" si="1"/>
        <v>28</v>
      </c>
    </row>
    <row r="315">
      <c r="A315" s="55" t="str">
        <f>IFERROR(__xludf.DUMMYFUNCTION("""COMPUTED_VALUE"""),"Elite")</f>
        <v>Elite</v>
      </c>
      <c r="B315" s="55" t="str">
        <f>IFERROR(__xludf.DUMMYFUNCTION("""COMPUTED_VALUE"""),"RSC000203")</f>
        <v>RSC000203</v>
      </c>
      <c r="C315" s="60" t="str">
        <f>IFERROR(__xludf.DUMMYFUNCTION("""COMPUTED_VALUE"""),"FrostyBrew")</f>
        <v>FrostyBrew</v>
      </c>
      <c r="D315" s="54" t="str">
        <f>IFERROR(__xludf.DUMMYFUNCTION("""COMPUTED_VALUE"""),"Demons")</f>
        <v>Demons</v>
      </c>
      <c r="E315" s="55" t="str">
        <f>IFERROR(__xludf.DUMMYFUNCTION("""COMPUTED_VALUE"""),"Lunar")</f>
        <v>Lunar</v>
      </c>
      <c r="F315" s="56">
        <f>IFERROR(__xludf.DUMMYFUNCTION("""COMPUTED_VALUE"""),38.249584368391595)</f>
        <v>38.24958437</v>
      </c>
      <c r="G315" s="57">
        <f>IFERROR(__xludf.DUMMYFUNCTION("""COMPUTED_VALUE"""),32.0)</f>
        <v>32</v>
      </c>
      <c r="H315" s="58">
        <f>IFERROR(__xludf.DUMMYFUNCTION("iferror(if(B315="""", ,filter('IDR Import'!D:D,'IDR Import'!A:A=B315,'IDR Import'!C:C=A315)),)"),30.77925041359486)</f>
        <v>30.77925041</v>
      </c>
      <c r="I315" s="58">
        <v>34.51441739099323</v>
      </c>
      <c r="J315" s="59">
        <f t="shared" si="1"/>
        <v>32</v>
      </c>
    </row>
    <row r="316">
      <c r="A316" s="55" t="str">
        <f>IFERROR(__xludf.DUMMYFUNCTION("""COMPUTED_VALUE"""),"Elite")</f>
        <v>Elite</v>
      </c>
      <c r="B316" s="55" t="str">
        <f>IFERROR(__xludf.DUMMYFUNCTION("""COMPUTED_VALUE"""),"RSC005754")</f>
        <v>RSC005754</v>
      </c>
      <c r="C316" s="60" t="str">
        <f>IFERROR(__xludf.DUMMYFUNCTION("""COMPUTED_VALUE"""),"Monty.")</f>
        <v>Monty.</v>
      </c>
      <c r="D316" s="54" t="str">
        <f>IFERROR(__xludf.DUMMYFUNCTION("""COMPUTED_VALUE"""),"Ghastly Goombahs")</f>
        <v>Ghastly Goombahs</v>
      </c>
      <c r="E316" s="55" t="str">
        <f>IFERROR(__xludf.DUMMYFUNCTION("""COMPUTED_VALUE"""),"Lunar")</f>
        <v>Lunar</v>
      </c>
      <c r="F316" s="56">
        <f>IFERROR(__xludf.DUMMYFUNCTION("""COMPUTED_VALUE"""),37.63961765436994)</f>
        <v>37.63961765</v>
      </c>
      <c r="G316" s="57">
        <f>IFERROR(__xludf.DUMMYFUNCTION("""COMPUTED_VALUE"""),11.0)</f>
        <v>11</v>
      </c>
      <c r="H316" s="58">
        <f>IFERROR(__xludf.DUMMYFUNCTION("iferror(if(B316="""", ,filter('IDR Import'!D:D,'IDR Import'!A:A=B316,'IDR Import'!C:C=A316)),)"),41.34721481530608)</f>
        <v>41.34721482</v>
      </c>
      <c r="I316" s="58">
        <v>39.49341623483801</v>
      </c>
      <c r="J316" s="59">
        <f t="shared" si="1"/>
        <v>11</v>
      </c>
    </row>
    <row r="317">
      <c r="A317" s="55" t="str">
        <f>IFERROR(__xludf.DUMMYFUNCTION("""COMPUTED_VALUE"""),"Elite")</f>
        <v>Elite</v>
      </c>
      <c r="B317" s="55" t="str">
        <f>IFERROR(__xludf.DUMMYFUNCTION("""COMPUTED_VALUE"""),"RSC001098")</f>
        <v>RSC001098</v>
      </c>
      <c r="C317" s="60" t="str">
        <f>IFERROR(__xludf.DUMMYFUNCTION("""COMPUTED_VALUE"""),"Wafe")</f>
        <v>Wafe</v>
      </c>
      <c r="D317" s="54" t="str">
        <f>IFERROR(__xludf.DUMMYFUNCTION("""COMPUTED_VALUE"""),"Thrashers
Hellhounds")</f>
        <v>Thrashers
Hellhounds</v>
      </c>
      <c r="E317" s="55" t="str">
        <f>IFERROR(__xludf.DUMMYFUNCTION("""COMPUTED_VALUE"""),"Lunar
Solar")</f>
        <v>Lunar
Solar</v>
      </c>
      <c r="F317" s="56">
        <f>IFERROR(__xludf.DUMMYFUNCTION("""COMPUTED_VALUE"""),37.53308091753335)</f>
        <v>37.53308092</v>
      </c>
      <c r="G317" s="57">
        <f>IFERROR(__xludf.DUMMYFUNCTION("""COMPUTED_VALUE"""),34.0)</f>
        <v>34</v>
      </c>
      <c r="H317" s="58">
        <f>IFERROR(__xludf.DUMMYFUNCTION("iferror(if(B317="""", ,filter('IDR Import'!D:D,'IDR Import'!A:A=B317,'IDR Import'!C:C=A317)),)"),34.486714702601425)</f>
        <v>34.4867147</v>
      </c>
      <c r="I317" s="58">
        <v>36.009897810067386</v>
      </c>
      <c r="J317" s="59">
        <f t="shared" si="1"/>
        <v>34</v>
      </c>
    </row>
    <row r="318">
      <c r="A318" s="55" t="str">
        <f>IFERROR(__xludf.DUMMYFUNCTION("""COMPUTED_VALUE"""),"Elite")</f>
        <v>Elite</v>
      </c>
      <c r="B318" s="55" t="str">
        <f>IFERROR(__xludf.DUMMYFUNCTION("""COMPUTED_VALUE"""),"RSC002425")</f>
        <v>RSC002425</v>
      </c>
      <c r="C318" s="60" t="str">
        <f>IFERROR(__xludf.DUMMYFUNCTION("""COMPUTED_VALUE"""),"Kourses")</f>
        <v>Kourses</v>
      </c>
      <c r="D318" s="54" t="str">
        <f>IFERROR(__xludf.DUMMYFUNCTION("""COMPUTED_VALUE"""),"Hydras")</f>
        <v>Hydras</v>
      </c>
      <c r="E318" s="55" t="str">
        <f>IFERROR(__xludf.DUMMYFUNCTION("""COMPUTED_VALUE"""),"Solar")</f>
        <v>Solar</v>
      </c>
      <c r="F318" s="56">
        <f>IFERROR(__xludf.DUMMYFUNCTION("""COMPUTED_VALUE"""),35.856467030227144)</f>
        <v>35.85646703</v>
      </c>
      <c r="G318" s="57">
        <f>IFERROR(__xludf.DUMMYFUNCTION("""COMPUTED_VALUE"""),2.0)</f>
        <v>2</v>
      </c>
      <c r="H318" s="58">
        <f>IFERROR(__xludf.DUMMYFUNCTION("iferror(if(B318="""", ,filter('IDR Import'!D:D,'IDR Import'!A:A=B318,'IDR Import'!C:C=A318)),)"),27.678292157978593)</f>
        <v>27.67829216</v>
      </c>
      <c r="I318" s="58">
        <v>31.76737959410287</v>
      </c>
      <c r="J318" s="59">
        <f t="shared" si="1"/>
        <v>2</v>
      </c>
    </row>
    <row r="319">
      <c r="A319" s="55" t="str">
        <f>IFERROR(__xludf.DUMMYFUNCTION("""COMPUTED_VALUE"""),"Elite")</f>
        <v>Elite</v>
      </c>
      <c r="B319" s="55" t="str">
        <f>IFERROR(__xludf.DUMMYFUNCTION("""COMPUTED_VALUE"""),"RSC007877")</f>
        <v>RSC007877</v>
      </c>
      <c r="C319" s="60" t="str">
        <f>IFERROR(__xludf.DUMMYFUNCTION("""COMPUTED_VALUE"""),"Torro")</f>
        <v>Torro</v>
      </c>
      <c r="D319" s="54" t="str">
        <f>IFERROR(__xludf.DUMMYFUNCTION("""COMPUTED_VALUE"""),"Dik-diks")</f>
        <v>Dik-diks</v>
      </c>
      <c r="E319" s="55" t="str">
        <f>IFERROR(__xludf.DUMMYFUNCTION("""COMPUTED_VALUE"""),"Lunar")</f>
        <v>Lunar</v>
      </c>
      <c r="F319" s="56">
        <f>IFERROR(__xludf.DUMMYFUNCTION("""COMPUTED_VALUE"""),34.26434650335487)</f>
        <v>34.2643465</v>
      </c>
      <c r="G319" s="57">
        <f>IFERROR(__xludf.DUMMYFUNCTION("""COMPUTED_VALUE"""),13.0)</f>
        <v>13</v>
      </c>
      <c r="H319" s="58">
        <f>IFERROR(__xludf.DUMMYFUNCTION("iferror(if(B319="""", ,filter('IDR Import'!D:D,'IDR Import'!A:A=B319,'IDR Import'!C:C=A319)),)"),20.154054128512122)</f>
        <v>20.15405413</v>
      </c>
      <c r="I319" s="58">
        <v>27.209200315933497</v>
      </c>
      <c r="J319" s="59">
        <f t="shared" si="1"/>
        <v>13</v>
      </c>
    </row>
    <row r="320">
      <c r="A320" s="55" t="str">
        <f>IFERROR(__xludf.DUMMYFUNCTION("""COMPUTED_VALUE"""),"Elite")</f>
        <v>Elite</v>
      </c>
      <c r="B320" s="55" t="str">
        <f>IFERROR(__xludf.DUMMYFUNCTION("""COMPUTED_VALUE"""),"RSC000183")</f>
        <v>RSC000183</v>
      </c>
      <c r="C320" s="60" t="str">
        <f>IFERROR(__xludf.DUMMYFUNCTION("""COMPUTED_VALUE"""),"Rex")</f>
        <v>Rex</v>
      </c>
      <c r="D320" s="54" t="str">
        <f>IFERROR(__xludf.DUMMYFUNCTION("""COMPUTED_VALUE"""),"Demons")</f>
        <v>Demons</v>
      </c>
      <c r="E320" s="55" t="str">
        <f>IFERROR(__xludf.DUMMYFUNCTION("""COMPUTED_VALUE"""),"Lunar")</f>
        <v>Lunar</v>
      </c>
      <c r="F320" s="56">
        <f>IFERROR(__xludf.DUMMYFUNCTION("""COMPUTED_VALUE"""),33.92531812392655)</f>
        <v>33.92531812</v>
      </c>
      <c r="G320" s="57">
        <f>IFERROR(__xludf.DUMMYFUNCTION("""COMPUTED_VALUE"""),42.0)</f>
        <v>42</v>
      </c>
      <c r="H320" s="58">
        <f>IFERROR(__xludf.DUMMYFUNCTION("iferror(if(B320="""", ,filter('IDR Import'!D:D,'IDR Import'!A:A=B320,'IDR Import'!C:C=A320)),)"),28.959013179613493)</f>
        <v>28.95901318</v>
      </c>
      <c r="I320" s="58">
        <v>31.442165651770022</v>
      </c>
      <c r="J320" s="59">
        <f t="shared" si="1"/>
        <v>42</v>
      </c>
    </row>
    <row r="321">
      <c r="A321" s="55" t="str">
        <f>IFERROR(__xludf.DUMMYFUNCTION("""COMPUTED_VALUE"""),"Elite")</f>
        <v>Elite</v>
      </c>
      <c r="B321" s="55" t="str">
        <f>IFERROR(__xludf.DUMMYFUNCTION("""COMPUTED_VALUE"""),"RSC003830")</f>
        <v>RSC003830</v>
      </c>
      <c r="C321" s="60" t="str">
        <f>IFERROR(__xludf.DUMMYFUNCTION("""COMPUTED_VALUE"""),"bradyK-")</f>
        <v>bradyK-</v>
      </c>
      <c r="D321" s="54" t="str">
        <f>IFERROR(__xludf.DUMMYFUNCTION("""COMPUTED_VALUE"""),"Great Whites")</f>
        <v>Great Whites</v>
      </c>
      <c r="E321" s="55" t="str">
        <f>IFERROR(__xludf.DUMMYFUNCTION("""COMPUTED_VALUE"""),"Solar")</f>
        <v>Solar</v>
      </c>
      <c r="F321" s="56">
        <f>IFERROR(__xludf.DUMMYFUNCTION("""COMPUTED_VALUE"""),33.370542557961045)</f>
        <v>33.37054256</v>
      </c>
      <c r="G321" s="57">
        <f>IFERROR(__xludf.DUMMYFUNCTION("""COMPUTED_VALUE"""),10.0)</f>
        <v>10</v>
      </c>
      <c r="H321" s="58">
        <f>IFERROR(__xludf.DUMMYFUNCTION("iferror(if(B321="""", ,filter('IDR Import'!D:D,'IDR Import'!A:A=B321,'IDR Import'!C:C=A321)),)"),52.61672076210705)</f>
        <v>52.61672076</v>
      </c>
      <c r="I321" s="58">
        <v>42.99363166003405</v>
      </c>
      <c r="J321" s="59">
        <f t="shared" si="1"/>
        <v>10</v>
      </c>
    </row>
    <row r="322">
      <c r="A322" s="55" t="str">
        <f>IFERROR(__xludf.DUMMYFUNCTION("""COMPUTED_VALUE"""),"Elite")</f>
        <v>Elite</v>
      </c>
      <c r="B322" s="55" t="str">
        <f>IFERROR(__xludf.DUMMYFUNCTION("""COMPUTED_VALUE"""),"RSC007187")</f>
        <v>RSC007187</v>
      </c>
      <c r="C322" s="60" t="str">
        <f>IFERROR(__xludf.DUMMYFUNCTION("""COMPUTED_VALUE"""),"Evil Gooby")</f>
        <v>Evil Gooby</v>
      </c>
      <c r="D322" s="54" t="str">
        <f>IFERROR(__xludf.DUMMYFUNCTION("""COMPUTED_VALUE"""),"Swordsman")</f>
        <v>Swordsman</v>
      </c>
      <c r="E322" s="55" t="str">
        <f>IFERROR(__xludf.DUMMYFUNCTION("""COMPUTED_VALUE"""),"Solar")</f>
        <v>Solar</v>
      </c>
      <c r="F322" s="56">
        <f>IFERROR(__xludf.DUMMYFUNCTION("""COMPUTED_VALUE"""),33.271186943403876)</f>
        <v>33.27118694</v>
      </c>
      <c r="G322" s="57">
        <f>IFERROR(__xludf.DUMMYFUNCTION("""COMPUTED_VALUE"""),51.0)</f>
        <v>51</v>
      </c>
      <c r="H322" s="58">
        <f>IFERROR(__xludf.DUMMYFUNCTION("iferror(if(B322="""", ,filter('IDR Import'!D:D,'IDR Import'!A:A=B322,'IDR Import'!C:C=A322)),)"),37.24678342589799)</f>
        <v>37.24678343</v>
      </c>
      <c r="I322" s="58">
        <v>35.25898518465093</v>
      </c>
      <c r="J322" s="59">
        <f t="shared" si="1"/>
        <v>51</v>
      </c>
    </row>
    <row r="323">
      <c r="A323" s="55" t="str">
        <f>IFERROR(__xludf.DUMMYFUNCTION("""COMPUTED_VALUE"""),"Elite")</f>
        <v>Elite</v>
      </c>
      <c r="B323" s="55" t="str">
        <f>IFERROR(__xludf.DUMMYFUNCTION("""COMPUTED_VALUE"""),"RSC006169")</f>
        <v>RSC006169</v>
      </c>
      <c r="C323" s="60" t="str">
        <f>IFERROR(__xludf.DUMMYFUNCTION("""COMPUTED_VALUE"""),"ExyRL.")</f>
        <v>ExyRL.</v>
      </c>
      <c r="D323" s="54" t="str">
        <f>IFERROR(__xludf.DUMMYFUNCTION("""COMPUTED_VALUE"""),"Drive-by
Krakens")</f>
        <v>Drive-by
Krakens</v>
      </c>
      <c r="E323" s="55" t="str">
        <f>IFERROR(__xludf.DUMMYFUNCTION("""COMPUTED_VALUE"""),"Solar
Lunar")</f>
        <v>Solar
Lunar</v>
      </c>
      <c r="F323" s="56">
        <f>IFERROR(__xludf.DUMMYFUNCTION("""COMPUTED_VALUE"""),31.777711967696685)</f>
        <v>31.77771197</v>
      </c>
      <c r="G323" s="57">
        <f>IFERROR(__xludf.DUMMYFUNCTION("""COMPUTED_VALUE"""),37.0)</f>
        <v>37</v>
      </c>
      <c r="H323" s="58">
        <f>IFERROR(__xludf.DUMMYFUNCTION("iferror(if(B323="""", ,filter('IDR Import'!D:D,'IDR Import'!A:A=B323,'IDR Import'!C:C=A323)),)"),30.553219326582315)</f>
        <v>30.55321933</v>
      </c>
      <c r="I323" s="58">
        <v>31.1654656471395</v>
      </c>
      <c r="J323" s="59">
        <f t="shared" si="1"/>
        <v>37</v>
      </c>
    </row>
    <row r="324">
      <c r="A324" s="55" t="str">
        <f>IFERROR(__xludf.DUMMYFUNCTION("""COMPUTED_VALUE"""),"Elite")</f>
        <v>Elite</v>
      </c>
      <c r="B324" s="55" t="str">
        <f>IFERROR(__xludf.DUMMYFUNCTION("""COMPUTED_VALUE"""),"RSC006484")</f>
        <v>RSC006484</v>
      </c>
      <c r="C324" s="60" t="str">
        <f>IFERROR(__xludf.DUMMYFUNCTION("""COMPUTED_VALUE"""),"AhmedSa-")</f>
        <v>AhmedSa-</v>
      </c>
      <c r="D324" s="54" t="str">
        <f>IFERROR(__xludf.DUMMYFUNCTION("""COMPUTED_VALUE"""),"Immortals")</f>
        <v>Immortals</v>
      </c>
      <c r="E324" s="55" t="str">
        <f>IFERROR(__xludf.DUMMYFUNCTION("""COMPUTED_VALUE"""),"Lunar")</f>
        <v>Lunar</v>
      </c>
      <c r="F324" s="56">
        <f>IFERROR(__xludf.DUMMYFUNCTION("""COMPUTED_VALUE"""),31.43003791237695)</f>
        <v>31.43003791</v>
      </c>
      <c r="G324" s="57">
        <f>IFERROR(__xludf.DUMMYFUNCTION("""COMPUTED_VALUE"""),48.0)</f>
        <v>48</v>
      </c>
      <c r="H324" s="58">
        <f>IFERROR(__xludf.DUMMYFUNCTION("iferror(if(B324="""", ,filter('IDR Import'!D:D,'IDR Import'!A:A=B324,'IDR Import'!C:C=A324)),)"),39.864924671120995)</f>
        <v>39.86492467</v>
      </c>
      <c r="I324" s="58">
        <v>35.647481291748974</v>
      </c>
      <c r="J324" s="59">
        <f t="shared" si="1"/>
        <v>48</v>
      </c>
    </row>
    <row r="325">
      <c r="A325" s="55" t="str">
        <f>IFERROR(__xludf.DUMMYFUNCTION("""COMPUTED_VALUE"""),"Elite")</f>
        <v>Elite</v>
      </c>
      <c r="B325" s="55" t="str">
        <f>IFERROR(__xludf.DUMMYFUNCTION("""COMPUTED_VALUE"""),"RSC007341")</f>
        <v>RSC007341</v>
      </c>
      <c r="C325" s="60" t="str">
        <f>IFERROR(__xludf.DUMMYFUNCTION("""COMPUTED_VALUE"""),"Squashy")</f>
        <v>Squashy</v>
      </c>
      <c r="D325" s="54" t="str">
        <f>IFERROR(__xludf.DUMMYFUNCTION("""COMPUTED_VALUE"""),"Raptors")</f>
        <v>Raptors</v>
      </c>
      <c r="E325" s="55" t="str">
        <f>IFERROR(__xludf.DUMMYFUNCTION("""COMPUTED_VALUE"""),"Lunar")</f>
        <v>Lunar</v>
      </c>
      <c r="F325" s="56">
        <f>IFERROR(__xludf.DUMMYFUNCTION("""COMPUTED_VALUE"""),30.77973657623972)</f>
        <v>30.77973658</v>
      </c>
      <c r="G325" s="57">
        <f>IFERROR(__xludf.DUMMYFUNCTION("""COMPUTED_VALUE"""),34.0)</f>
        <v>34</v>
      </c>
      <c r="H325" s="58">
        <f>IFERROR(__xludf.DUMMYFUNCTION("iferror(if(B325="""", ,filter('IDR Import'!D:D,'IDR Import'!A:A=B325,'IDR Import'!C:C=A325)),)"),15.245724129162305)</f>
        <v>15.24572413</v>
      </c>
      <c r="I325" s="58">
        <v>23.012730352701013</v>
      </c>
      <c r="J325" s="59">
        <f t="shared" si="1"/>
        <v>34</v>
      </c>
    </row>
    <row r="326">
      <c r="A326" s="55" t="str">
        <f>IFERROR(__xludf.DUMMYFUNCTION("""COMPUTED_VALUE"""),"Elite")</f>
        <v>Elite</v>
      </c>
      <c r="B326" s="55" t="str">
        <f>IFERROR(__xludf.DUMMYFUNCTION("""COMPUTED_VALUE"""),"RSC000690")</f>
        <v>RSC000690</v>
      </c>
      <c r="C326" s="60" t="str">
        <f>IFERROR(__xludf.DUMMYFUNCTION("""COMPUTED_VALUE"""),"paco")</f>
        <v>paco</v>
      </c>
      <c r="D326" s="54" t="str">
        <f>IFERROR(__xludf.DUMMYFUNCTION("""COMPUTED_VALUE"""),"Drive-by")</f>
        <v>Drive-by</v>
      </c>
      <c r="E326" s="55" t="str">
        <f>IFERROR(__xludf.DUMMYFUNCTION("""COMPUTED_VALUE"""),"Solar")</f>
        <v>Solar</v>
      </c>
      <c r="F326" s="56">
        <f>IFERROR(__xludf.DUMMYFUNCTION("""COMPUTED_VALUE"""),29.627683657476734)</f>
        <v>29.62768366</v>
      </c>
      <c r="G326" s="57">
        <f>IFERROR(__xludf.DUMMYFUNCTION("""COMPUTED_VALUE"""),11.0)</f>
        <v>11</v>
      </c>
      <c r="H326" s="58">
        <f>IFERROR(__xludf.DUMMYFUNCTION("iferror(if(B326="""", ,filter('IDR Import'!D:D,'IDR Import'!A:A=B326,'IDR Import'!C:C=A326)),)"),29.312466803706283)</f>
        <v>29.3124668</v>
      </c>
      <c r="I326" s="58">
        <v>29.470075230591508</v>
      </c>
      <c r="J326" s="59">
        <f t="shared" si="1"/>
        <v>11</v>
      </c>
    </row>
    <row r="327">
      <c r="A327" s="55" t="str">
        <f>IFERROR(__xludf.DUMMYFUNCTION("""COMPUTED_VALUE"""),"Elite")</f>
        <v>Elite</v>
      </c>
      <c r="B327" s="55" t="str">
        <f>IFERROR(__xludf.DUMMYFUNCTION("""COMPUTED_VALUE"""),"RSC000626")</f>
        <v>RSC000626</v>
      </c>
      <c r="C327" s="60" t="str">
        <f>IFERROR(__xludf.DUMMYFUNCTION("""COMPUTED_VALUE"""),"Canadian Things")</f>
        <v>Canadian Things</v>
      </c>
      <c r="D327" s="54" t="str">
        <f>IFERROR(__xludf.DUMMYFUNCTION("""COMPUTED_VALUE"""),"Desolation
Gelato")</f>
        <v>Desolation
Gelato</v>
      </c>
      <c r="E327" s="55" t="str">
        <f>IFERROR(__xludf.DUMMYFUNCTION("""COMPUTED_VALUE"""),"Solar
Lunar")</f>
        <v>Solar
Lunar</v>
      </c>
      <c r="F327" s="56">
        <f>IFERROR(__xludf.DUMMYFUNCTION("""COMPUTED_VALUE"""),27.725846043842413)</f>
        <v>27.72584604</v>
      </c>
      <c r="G327" s="57">
        <f>IFERROR(__xludf.DUMMYFUNCTION("""COMPUTED_VALUE"""),5.0)</f>
        <v>5</v>
      </c>
      <c r="H327" s="58">
        <f>IFERROR(__xludf.DUMMYFUNCTION("iferror(if(B327="""", ,filter('IDR Import'!D:D,'IDR Import'!A:A=B327,'IDR Import'!C:C=A327)),)"),26.462103530614144)</f>
        <v>26.46210353</v>
      </c>
      <c r="I327" s="58">
        <v>27.093974787228277</v>
      </c>
      <c r="J327" s="59">
        <f t="shared" si="1"/>
        <v>5</v>
      </c>
    </row>
    <row r="328">
      <c r="A328" s="55" t="str">
        <f>IFERROR(__xludf.DUMMYFUNCTION("""COMPUTED_VALUE"""),"Elite")</f>
        <v>Elite</v>
      </c>
      <c r="B328" s="55" t="str">
        <f>IFERROR(__xludf.DUMMYFUNCTION("""COMPUTED_VALUE"""),"RSC002544")</f>
        <v>RSC002544</v>
      </c>
      <c r="C328" s="60" t="str">
        <f>IFERROR(__xludf.DUMMYFUNCTION("""COMPUTED_VALUE"""),"ItsJusstJ.")</f>
        <v>ItsJusstJ.</v>
      </c>
      <c r="D328" s="54" t="str">
        <f>IFERROR(__xludf.DUMMYFUNCTION("""COMPUTED_VALUE"""),"Sloths")</f>
        <v>Sloths</v>
      </c>
      <c r="E328" s="55" t="str">
        <f>IFERROR(__xludf.DUMMYFUNCTION("""COMPUTED_VALUE"""),"Solar")</f>
        <v>Solar</v>
      </c>
      <c r="F328" s="56">
        <f>IFERROR(__xludf.DUMMYFUNCTION("""COMPUTED_VALUE"""),27.64170198410327)</f>
        <v>27.64170198</v>
      </c>
      <c r="G328" s="57">
        <f>IFERROR(__xludf.DUMMYFUNCTION("""COMPUTED_VALUE"""),1.0)</f>
        <v>1</v>
      </c>
      <c r="H328" s="58">
        <f>IFERROR(__xludf.DUMMYFUNCTION("iferror(if(B328="""", ,filter('IDR Import'!D:D,'IDR Import'!A:A=B328,'IDR Import'!C:C=A328)),)"),10.668419398294382)</f>
        <v>10.6684194</v>
      </c>
      <c r="I328" s="58">
        <v>19.155060691198827</v>
      </c>
      <c r="J328" s="59">
        <f t="shared" si="1"/>
        <v>1</v>
      </c>
    </row>
    <row r="329">
      <c r="A329" s="55" t="str">
        <f>IFERROR(__xludf.DUMMYFUNCTION("""COMPUTED_VALUE"""),"Elite")</f>
        <v>Elite</v>
      </c>
      <c r="B329" s="55" t="str">
        <f>IFERROR(__xludf.DUMMYFUNCTION("""COMPUTED_VALUE"""),"RSC003055")</f>
        <v>RSC003055</v>
      </c>
      <c r="C329" s="60" t="str">
        <f>IFERROR(__xludf.DUMMYFUNCTION("""COMPUTED_VALUE"""),"Lad")</f>
        <v>Lad</v>
      </c>
      <c r="D329" s="54" t="str">
        <f>IFERROR(__xludf.DUMMYFUNCTION("""COMPUTED_VALUE"""),"Ghastly Goombahs
Immortals")</f>
        <v>Ghastly Goombahs
Immortals</v>
      </c>
      <c r="E329" s="55" t="str">
        <f>IFERROR(__xludf.DUMMYFUNCTION("""COMPUTED_VALUE"""),"Lunar
Lunar")</f>
        <v>Lunar
Lunar</v>
      </c>
      <c r="F329" s="56">
        <f>IFERROR(__xludf.DUMMYFUNCTION("""COMPUTED_VALUE"""),27.526814010956148)</f>
        <v>27.52681401</v>
      </c>
      <c r="G329" s="57">
        <f>IFERROR(__xludf.DUMMYFUNCTION("""COMPUTED_VALUE"""),12.0)</f>
        <v>12</v>
      </c>
      <c r="H329" s="58">
        <f>IFERROR(__xludf.DUMMYFUNCTION("iferror(if(B329="""", ,filter('IDR Import'!D:D,'IDR Import'!A:A=B329,'IDR Import'!C:C=A329)),)"),42.34873865753004)</f>
        <v>42.34873866</v>
      </c>
      <c r="I329" s="58">
        <v>34.9377763342431</v>
      </c>
      <c r="J329" s="59">
        <f t="shared" si="1"/>
        <v>12</v>
      </c>
    </row>
    <row r="330">
      <c r="A330" s="55" t="str">
        <f>IFERROR(__xludf.DUMMYFUNCTION("""COMPUTED_VALUE"""),"Elite")</f>
        <v>Elite</v>
      </c>
      <c r="B330" s="55" t="str">
        <f>IFERROR(__xludf.DUMMYFUNCTION("""COMPUTED_VALUE"""),"RSC004109")</f>
        <v>RSC004109</v>
      </c>
      <c r="C330" s="60" t="str">
        <f>IFERROR(__xludf.DUMMYFUNCTION("""COMPUTED_VALUE"""),"Hawkish")</f>
        <v>Hawkish</v>
      </c>
      <c r="D330" s="54" t="str">
        <f>IFERROR(__xludf.DUMMYFUNCTION("""COMPUTED_VALUE"""),"Hydras")</f>
        <v>Hydras</v>
      </c>
      <c r="E330" s="55" t="str">
        <f>IFERROR(__xludf.DUMMYFUNCTION("""COMPUTED_VALUE"""),"Solar")</f>
        <v>Solar</v>
      </c>
      <c r="F330" s="56">
        <f>IFERROR(__xludf.DUMMYFUNCTION("""COMPUTED_VALUE"""),27.25016229866861)</f>
        <v>27.2501623</v>
      </c>
      <c r="G330" s="57">
        <f>IFERROR(__xludf.DUMMYFUNCTION("""COMPUTED_VALUE"""),19.0)</f>
        <v>19</v>
      </c>
      <c r="H330" s="58">
        <f>IFERROR(__xludf.DUMMYFUNCTION("iferror(if(B330="""", ,filter('IDR Import'!D:D,'IDR Import'!A:A=B330,'IDR Import'!C:C=A330)),)"),33.74109403403534)</f>
        <v>33.74109403</v>
      </c>
      <c r="I330" s="58">
        <v>30.495628166351977</v>
      </c>
      <c r="J330" s="59">
        <f t="shared" si="1"/>
        <v>19</v>
      </c>
    </row>
    <row r="331">
      <c r="A331" s="55" t="str">
        <f>IFERROR(__xludf.DUMMYFUNCTION("""COMPUTED_VALUE"""),"Elite")</f>
        <v>Elite</v>
      </c>
      <c r="B331" s="55" t="str">
        <f>IFERROR(__xludf.DUMMYFUNCTION("""COMPUTED_VALUE"""),"RSC008531")</f>
        <v>RSC008531</v>
      </c>
      <c r="C331" s="60" t="str">
        <f>IFERROR(__xludf.DUMMYFUNCTION("""COMPUTED_VALUE"""),"drkmist")</f>
        <v>drkmist</v>
      </c>
      <c r="D331" s="54" t="str">
        <f>IFERROR(__xludf.DUMMYFUNCTION("""COMPUTED_VALUE"""),"Sloths")</f>
        <v>Sloths</v>
      </c>
      <c r="E331" s="55" t="str">
        <f>IFERROR(__xludf.DUMMYFUNCTION("""COMPUTED_VALUE"""),"Solar")</f>
        <v>Solar</v>
      </c>
      <c r="F331" s="56">
        <f>IFERROR(__xludf.DUMMYFUNCTION("""COMPUTED_VALUE"""),25.74850375418848)</f>
        <v>25.74850375</v>
      </c>
      <c r="G331" s="57">
        <f>IFERROR(__xludf.DUMMYFUNCTION("""COMPUTED_VALUE"""),3.0)</f>
        <v>3</v>
      </c>
      <c r="H331" s="58">
        <f>IFERROR(__xludf.DUMMYFUNCTION("iferror(if(B331="""", ,filter('IDR Import'!D:D,'IDR Import'!A:A=B331,'IDR Import'!C:C=A331)),)"),51.446568721329)</f>
        <v>51.44656872</v>
      </c>
      <c r="I331" s="58">
        <v>38.59753623775874</v>
      </c>
      <c r="J331" s="59">
        <f t="shared" si="1"/>
        <v>3</v>
      </c>
    </row>
    <row r="332">
      <c r="A332" s="55" t="str">
        <f>IFERROR(__xludf.DUMMYFUNCTION("""COMPUTED_VALUE"""),"Elite")</f>
        <v>Elite</v>
      </c>
      <c r="B332" s="55" t="str">
        <f>IFERROR(__xludf.DUMMYFUNCTION("""COMPUTED_VALUE"""),"RSC007327")</f>
        <v>RSC007327</v>
      </c>
      <c r="C332" s="60" t="str">
        <f>IFERROR(__xludf.DUMMYFUNCTION("""COMPUTED_VALUE"""),"User-0ca0854f3f")</f>
        <v>User-0ca0854f3f</v>
      </c>
      <c r="D332" s="54" t="str">
        <f>IFERROR(__xludf.DUMMYFUNCTION("""COMPUTED_VALUE"""),"Black-Holes")</f>
        <v>Black-Holes</v>
      </c>
      <c r="E332" s="55" t="str">
        <f>IFERROR(__xludf.DUMMYFUNCTION("""COMPUTED_VALUE"""),"Lunar")</f>
        <v>Lunar</v>
      </c>
      <c r="F332" s="56">
        <f>IFERROR(__xludf.DUMMYFUNCTION("""COMPUTED_VALUE"""),24.082355516715303)</f>
        <v>24.08235552</v>
      </c>
      <c r="G332" s="57">
        <f>IFERROR(__xludf.DUMMYFUNCTION("""COMPUTED_VALUE"""),4.0)</f>
        <v>4</v>
      </c>
      <c r="H332" s="58">
        <f>IFERROR(__xludf.DUMMYFUNCTION("iferror(if(B332="""", ,filter('IDR Import'!D:D,'IDR Import'!A:A=B332,'IDR Import'!C:C=A332)),)"),22.039298326120328)</f>
        <v>22.03929833</v>
      </c>
      <c r="I332" s="58">
        <v>23.060826921417814</v>
      </c>
      <c r="J332" s="59">
        <f t="shared" si="1"/>
        <v>4</v>
      </c>
    </row>
    <row r="333">
      <c r="A333" s="55" t="str">
        <f>IFERROR(__xludf.DUMMYFUNCTION("""COMPUTED_VALUE"""),"Elite")</f>
        <v>Elite</v>
      </c>
      <c r="B333" s="55" t="str">
        <f>IFERROR(__xludf.DUMMYFUNCTION("""COMPUTED_VALUE"""),"RSC008403")</f>
        <v>RSC008403</v>
      </c>
      <c r="C333" s="60" t="str">
        <f>IFERROR(__xludf.DUMMYFUNCTION("""COMPUTED_VALUE"""),"mightie31")</f>
        <v>mightie31</v>
      </c>
      <c r="D333" s="54" t="str">
        <f>IFERROR(__xludf.DUMMYFUNCTION("""COMPUTED_VALUE"""),"Immortals
Raptors")</f>
        <v>Immortals
Raptors</v>
      </c>
      <c r="E333" s="55" t="str">
        <f>IFERROR(__xludf.DUMMYFUNCTION("""COMPUTED_VALUE"""),"Lunar
Lunar")</f>
        <v>Lunar
Lunar</v>
      </c>
      <c r="F333" s="56">
        <f>IFERROR(__xludf.DUMMYFUNCTION("""COMPUTED_VALUE"""),23.599915965423325)</f>
        <v>23.59991597</v>
      </c>
      <c r="G333" s="57">
        <f>IFERROR(__xludf.DUMMYFUNCTION("""COMPUTED_VALUE"""),32.0)</f>
        <v>32</v>
      </c>
      <c r="H333" s="58">
        <f>IFERROR(__xludf.DUMMYFUNCTION("iferror(if(B333="""", ,filter('IDR Import'!D:D,'IDR Import'!A:A=B333,'IDR Import'!C:C=A333)),)"),22.049227910084685)</f>
        <v>22.04922791</v>
      </c>
      <c r="I333" s="58">
        <v>22.824571937754005</v>
      </c>
      <c r="J333" s="59">
        <f t="shared" si="1"/>
        <v>32</v>
      </c>
    </row>
    <row r="334">
      <c r="A334" s="55" t="str">
        <f>IFERROR(__xludf.DUMMYFUNCTION("""COMPUTED_VALUE"""),"Elite")</f>
        <v>Elite</v>
      </c>
      <c r="B334" s="55" t="str">
        <f>IFERROR(__xludf.DUMMYFUNCTION("""COMPUTED_VALUE"""),"RSC008446")</f>
        <v>RSC008446</v>
      </c>
      <c r="C334" s="60" t="str">
        <f>IFERROR(__xludf.DUMMYFUNCTION("""COMPUTED_VALUE"""),"Rose_Havoc97")</f>
        <v>Rose_Havoc97</v>
      </c>
      <c r="D334" s="54" t="str">
        <f>IFERROR(__xludf.DUMMYFUNCTION("""COMPUTED_VALUE"""),"Hellhounds")</f>
        <v>Hellhounds</v>
      </c>
      <c r="E334" s="55" t="str">
        <f>IFERROR(__xludf.DUMMYFUNCTION("""COMPUTED_VALUE"""),"Solar")</f>
        <v>Solar</v>
      </c>
      <c r="F334" s="56">
        <f>IFERROR(__xludf.DUMMYFUNCTION("""COMPUTED_VALUE"""),23.503778125913616)</f>
        <v>23.50377813</v>
      </c>
      <c r="G334" s="57">
        <f>IFERROR(__xludf.DUMMYFUNCTION("""COMPUTED_VALUE"""),28.0)</f>
        <v>28</v>
      </c>
      <c r="H334" s="58">
        <f>IFERROR(__xludf.DUMMYFUNCTION("iferror(if(B334="""", ,filter('IDR Import'!D:D,'IDR Import'!A:A=B334,'IDR Import'!C:C=A334)),)"),34.30708454403388)</f>
        <v>34.30708454</v>
      </c>
      <c r="I334" s="58">
        <v>28.90543133497375</v>
      </c>
      <c r="J334" s="59">
        <f t="shared" si="1"/>
        <v>28</v>
      </c>
    </row>
    <row r="335">
      <c r="A335" s="55" t="str">
        <f>IFERROR(__xludf.DUMMYFUNCTION("""COMPUTED_VALUE"""),"Elite")</f>
        <v>Elite</v>
      </c>
      <c r="B335" s="55" t="str">
        <f>IFERROR(__xludf.DUMMYFUNCTION("""COMPUTED_VALUE"""),"RSC003953")</f>
        <v>RSC003953</v>
      </c>
      <c r="C335" s="60" t="str">
        <f>IFERROR(__xludf.DUMMYFUNCTION("""COMPUTED_VALUE"""),"JustHere4SalCap")</f>
        <v>JustHere4SalCap</v>
      </c>
      <c r="D335" s="54" t="str">
        <f>IFERROR(__xludf.DUMMYFUNCTION("""COMPUTED_VALUE"""),"Hellhounds")</f>
        <v>Hellhounds</v>
      </c>
      <c r="E335" s="55" t="str">
        <f>IFERROR(__xludf.DUMMYFUNCTION("""COMPUTED_VALUE"""),"Solar")</f>
        <v>Solar</v>
      </c>
      <c r="F335" s="56">
        <f>IFERROR(__xludf.DUMMYFUNCTION("""COMPUTED_VALUE"""),22.662609678077832)</f>
        <v>22.66260968</v>
      </c>
      <c r="G335" s="57">
        <f>IFERROR(__xludf.DUMMYFUNCTION("""COMPUTED_VALUE"""),14.0)</f>
        <v>14</v>
      </c>
      <c r="H335" s="58">
        <f>IFERROR(__xludf.DUMMYFUNCTION("iferror(if(B335="""", ,filter('IDR Import'!D:D,'IDR Import'!A:A=B335,'IDR Import'!C:C=A335)),)"),18.263336649541035)</f>
        <v>18.26333665</v>
      </c>
      <c r="I335" s="58">
        <v>20.462973163809433</v>
      </c>
      <c r="J335" s="59">
        <f t="shared" si="1"/>
        <v>14</v>
      </c>
    </row>
    <row r="336">
      <c r="A336" s="55" t="str">
        <f>IFERROR(__xludf.DUMMYFUNCTION("""COMPUTED_VALUE"""),"Elite")</f>
        <v>Elite</v>
      </c>
      <c r="B336" s="55" t="str">
        <f>IFERROR(__xludf.DUMMYFUNCTION("""COMPUTED_VALUE"""),"RSC007607")</f>
        <v>RSC007607</v>
      </c>
      <c r="C336" s="60" t="str">
        <f>IFERROR(__xludf.DUMMYFUNCTION("""COMPUTED_VALUE"""),"GameGang")</f>
        <v>GameGang</v>
      </c>
      <c r="D336" s="54" t="str">
        <f>IFERROR(__xludf.DUMMYFUNCTION("""COMPUTED_VALUE"""),"Raptors
Sloths")</f>
        <v>Raptors
Sloths</v>
      </c>
      <c r="E336" s="55" t="str">
        <f>IFERROR(__xludf.DUMMYFUNCTION("""COMPUTED_VALUE"""),"Lunar
Solar")</f>
        <v>Lunar
Solar</v>
      </c>
      <c r="F336" s="56">
        <f>IFERROR(__xludf.DUMMYFUNCTION("""COMPUTED_VALUE"""),20.51434885233588)</f>
        <v>20.51434885</v>
      </c>
      <c r="G336" s="57">
        <f>IFERROR(__xludf.DUMMYFUNCTION("""COMPUTED_VALUE"""),34.0)</f>
        <v>34</v>
      </c>
      <c r="H336" s="58">
        <f>IFERROR(__xludf.DUMMYFUNCTION("iferror(if(B336="""", ,filter('IDR Import'!D:D,'IDR Import'!A:A=B336,'IDR Import'!C:C=A336)),)"),21.93434409926539)</f>
        <v>21.9343441</v>
      </c>
      <c r="I336" s="58">
        <v>21.224346475800637</v>
      </c>
      <c r="J336" s="59">
        <f t="shared" si="1"/>
        <v>34</v>
      </c>
    </row>
    <row r="337">
      <c r="A337" s="55" t="str">
        <f>IFERROR(__xludf.DUMMYFUNCTION("""COMPUTED_VALUE"""),"Elite")</f>
        <v>Elite</v>
      </c>
      <c r="B337" s="55" t="str">
        <f>IFERROR(__xludf.DUMMYFUNCTION("""COMPUTED_VALUE"""),"RSC007930")</f>
        <v>RSC007930</v>
      </c>
      <c r="C337" s="60" t="str">
        <f>IFERROR(__xludf.DUMMYFUNCTION("""COMPUTED_VALUE"""),"Ziffy")</f>
        <v>Ziffy</v>
      </c>
      <c r="D337" s="54" t="str">
        <f>IFERROR(__xludf.DUMMYFUNCTION("""COMPUTED_VALUE"""),"Forest Cobra
Thrashers")</f>
        <v>Forest Cobra
Thrashers</v>
      </c>
      <c r="E337" s="55" t="str">
        <f>IFERROR(__xludf.DUMMYFUNCTION("""COMPUTED_VALUE"""),"Lunar
Lunar")</f>
        <v>Lunar
Lunar</v>
      </c>
      <c r="F337" s="56">
        <f>IFERROR(__xludf.DUMMYFUNCTION("""COMPUTED_VALUE"""),19.672573855118337)</f>
        <v>19.67257386</v>
      </c>
      <c r="G337" s="57">
        <f>IFERROR(__xludf.DUMMYFUNCTION("""COMPUTED_VALUE"""),7.0)</f>
        <v>7</v>
      </c>
      <c r="H337" s="58">
        <f>IFERROR(__xludf.DUMMYFUNCTION("iferror(if(B337="""", ,filter('IDR Import'!D:D,'IDR Import'!A:A=B337,'IDR Import'!C:C=A337)),)"),13.066735184148548)</f>
        <v>13.06673518</v>
      </c>
      <c r="I337" s="58">
        <v>16.369654519633443</v>
      </c>
      <c r="J337" s="59">
        <f t="shared" si="1"/>
        <v>7</v>
      </c>
    </row>
    <row r="338">
      <c r="A338" s="55" t="str">
        <f>IFERROR(__xludf.DUMMYFUNCTION("""COMPUTED_VALUE"""),"Elite")</f>
        <v>Elite</v>
      </c>
      <c r="B338" s="55" t="str">
        <f>IFERROR(__xludf.DUMMYFUNCTION("""COMPUTED_VALUE"""),"RSC008478")</f>
        <v>RSC008478</v>
      </c>
      <c r="C338" s="60" t="str">
        <f>IFERROR(__xludf.DUMMYFUNCTION("""COMPUTED_VALUE"""),"Inflict")</f>
        <v>Inflict</v>
      </c>
      <c r="D338" s="54" t="str">
        <f>IFERROR(__xludf.DUMMYFUNCTION("""COMPUTED_VALUE"""),"Teddy Bears")</f>
        <v>Teddy Bears</v>
      </c>
      <c r="E338" s="55" t="str">
        <f>IFERROR(__xludf.DUMMYFUNCTION("""COMPUTED_VALUE"""),"Solar")</f>
        <v>Solar</v>
      </c>
      <c r="F338" s="56">
        <f>IFERROR(__xludf.DUMMYFUNCTION("""COMPUTED_VALUE"""),19.372437805835602)</f>
        <v>19.37243781</v>
      </c>
      <c r="G338" s="57">
        <f>IFERROR(__xludf.DUMMYFUNCTION("""COMPUTED_VALUE"""),12.0)</f>
        <v>12</v>
      </c>
      <c r="H338" s="58">
        <f>IFERROR(__xludf.DUMMYFUNCTION("iferror(if(B338="""", ,filter('IDR Import'!D:D,'IDR Import'!A:A=B338,'IDR Import'!C:C=A338)),)"),14.619976036954277)</f>
        <v>14.61997604</v>
      </c>
      <c r="I338" s="58">
        <v>16.99620692139494</v>
      </c>
      <c r="J338" s="59">
        <f t="shared" si="1"/>
        <v>12</v>
      </c>
    </row>
    <row r="339">
      <c r="A339" s="55" t="str">
        <f>IFERROR(__xludf.DUMMYFUNCTION("""COMPUTED_VALUE"""),"Elite")</f>
        <v>Elite</v>
      </c>
      <c r="B339" s="55" t="str">
        <f>IFERROR(__xludf.DUMMYFUNCTION("""COMPUTED_VALUE"""),"RSC008525")</f>
        <v>RSC008525</v>
      </c>
      <c r="C339" s="60" t="str">
        <f>IFERROR(__xludf.DUMMYFUNCTION("""COMPUTED_VALUE"""),"tjdubya21")</f>
        <v>tjdubya21</v>
      </c>
      <c r="D339" s="54" t="str">
        <f>IFERROR(__xludf.DUMMYFUNCTION("""COMPUTED_VALUE"""),"Praetorian Guard")</f>
        <v>Praetorian Guard</v>
      </c>
      <c r="E339" s="55" t="str">
        <f>IFERROR(__xludf.DUMMYFUNCTION("""COMPUTED_VALUE"""),"Solar")</f>
        <v>Solar</v>
      </c>
      <c r="F339" s="56">
        <f>IFERROR(__xludf.DUMMYFUNCTION("""COMPUTED_VALUE"""),14.360984616548663)</f>
        <v>14.36098462</v>
      </c>
      <c r="G339" s="57">
        <f>IFERROR(__xludf.DUMMYFUNCTION("""COMPUTED_VALUE"""),6.0)</f>
        <v>6</v>
      </c>
      <c r="H339" s="58">
        <f>IFERROR(__xludf.DUMMYFUNCTION("iferror(if(B339="""", ,filter('IDR Import'!D:D,'IDR Import'!A:A=B339,'IDR Import'!C:C=A339)),)"),36.97127463124525)</f>
        <v>36.97127463</v>
      </c>
      <c r="I339" s="58">
        <v>25.666129623896957</v>
      </c>
      <c r="J339" s="59">
        <f t="shared" si="1"/>
        <v>6</v>
      </c>
    </row>
    <row r="340">
      <c r="A340" s="55" t="str">
        <f>IFERROR(__xludf.DUMMYFUNCTION("""COMPUTED_VALUE"""),"Elite")</f>
        <v>Elite</v>
      </c>
      <c r="B340" s="55" t="str">
        <f>IFERROR(__xludf.DUMMYFUNCTION("""COMPUTED_VALUE"""),"RSC007920")</f>
        <v>RSC007920</v>
      </c>
      <c r="C340" s="60" t="str">
        <f>IFERROR(__xludf.DUMMYFUNCTION("""COMPUTED_VALUE"""),"Ocular8")</f>
        <v>Ocular8</v>
      </c>
      <c r="D340" s="54" t="str">
        <f>IFERROR(__xludf.DUMMYFUNCTION("""COMPUTED_VALUE"""),"Krakens
Cotija Cartel")</f>
        <v>Krakens
Cotija Cartel</v>
      </c>
      <c r="E340" s="55" t="str">
        <f>IFERROR(__xludf.DUMMYFUNCTION("""COMPUTED_VALUE"""),"Lunar
Lunar")</f>
        <v>Lunar
Lunar</v>
      </c>
      <c r="F340" s="56">
        <f>IFERROR(__xludf.DUMMYFUNCTION("""COMPUTED_VALUE"""),11.871230451592048)</f>
        <v>11.87123045</v>
      </c>
      <c r="G340" s="57">
        <f>IFERROR(__xludf.DUMMYFUNCTION("""COMPUTED_VALUE"""),2.0)</f>
        <v>2</v>
      </c>
      <c r="H340" s="58">
        <f>IFERROR(__xludf.DUMMYFUNCTION("iferror(if(B340="""", ,filter('IDR Import'!D:D,'IDR Import'!A:A=B340,'IDR Import'!C:C=A340)),)"),-20.72514277066081)</f>
        <v>-20.72514277</v>
      </c>
      <c r="I340" s="58">
        <v>-4.426956159534381</v>
      </c>
      <c r="J340" s="59">
        <f t="shared" si="1"/>
        <v>2</v>
      </c>
    </row>
    <row r="341">
      <c r="A341" s="55" t="str">
        <f>IFERROR(__xludf.DUMMYFUNCTION("""COMPUTED_VALUE"""),"Elite")</f>
        <v>Elite</v>
      </c>
      <c r="B341" s="55" t="str">
        <f>IFERROR(__xludf.DUMMYFUNCTION("""COMPUTED_VALUE"""),"RSC002902")</f>
        <v>RSC002902</v>
      </c>
      <c r="C341" s="60" t="str">
        <f>IFERROR(__xludf.DUMMYFUNCTION("""COMPUTED_VALUE"""),"Stone-Dog Millionaire")</f>
        <v>Stone-Dog Millionaire</v>
      </c>
      <c r="D341" s="54" t="str">
        <f>IFERROR(__xludf.DUMMYFUNCTION("""COMPUTED_VALUE"""),"Praetorian Guard")</f>
        <v>Praetorian Guard</v>
      </c>
      <c r="E341" s="55" t="str">
        <f>IFERROR(__xludf.DUMMYFUNCTION("""COMPUTED_VALUE"""),"Solar")</f>
        <v>Solar</v>
      </c>
      <c r="F341" s="56">
        <f>IFERROR(__xludf.DUMMYFUNCTION("""COMPUTED_VALUE"""),11.82489754627764)</f>
        <v>11.82489755</v>
      </c>
      <c r="G341" s="57">
        <f>IFERROR(__xludf.DUMMYFUNCTION("""COMPUTED_VALUE"""),4.0)</f>
        <v>4</v>
      </c>
      <c r="H341" s="58">
        <f>IFERROR(__xludf.DUMMYFUNCTION("iferror(if(B341="""", ,filter('IDR Import'!D:D,'IDR Import'!A:A=B341,'IDR Import'!C:C=A341)),)"),17.875071907115753)</f>
        <v>17.87507191</v>
      </c>
      <c r="I341" s="58">
        <v>14.849984726696697</v>
      </c>
      <c r="J341" s="59">
        <f t="shared" si="1"/>
        <v>4</v>
      </c>
    </row>
    <row r="342">
      <c r="A342" s="55" t="str">
        <f>IFERROR(__xludf.DUMMYFUNCTION("""COMPUTED_VALUE"""),"Elite")</f>
        <v>Elite</v>
      </c>
      <c r="B342" s="55" t="str">
        <f>IFERROR(__xludf.DUMMYFUNCTION("""COMPUTED_VALUE"""),"RSC006018")</f>
        <v>RSC006018</v>
      </c>
      <c r="C342" s="60" t="str">
        <f>IFERROR(__xludf.DUMMYFUNCTION("""COMPUTED_VALUE"""),"Braamse")</f>
        <v>Braamse</v>
      </c>
      <c r="D342" s="54" t="str">
        <f>IFERROR(__xludf.DUMMYFUNCTION("""COMPUTED_VALUE"""),"Demons")</f>
        <v>Demons</v>
      </c>
      <c r="E342" s="55" t="str">
        <f>IFERROR(__xludf.DUMMYFUNCTION("""COMPUTED_VALUE"""),"Lunar")</f>
        <v>Lunar</v>
      </c>
      <c r="F342" s="56">
        <f>IFERROR(__xludf.DUMMYFUNCTION("""COMPUTED_VALUE"""),11.68368945363435)</f>
        <v>11.68368945</v>
      </c>
      <c r="G342" s="57">
        <f>IFERROR(__xludf.DUMMYFUNCTION("""COMPUTED_VALUE"""),4.0)</f>
        <v>4</v>
      </c>
      <c r="H342" s="58">
        <f>IFERROR(__xludf.DUMMYFUNCTION("iferror(if(B342="""", ,filter('IDR Import'!D:D,'IDR Import'!A:A=B342,'IDR Import'!C:C=A342)),)"),-7.128902374851485)</f>
        <v>-7.128902375</v>
      </c>
      <c r="I342" s="58">
        <v>2.277393539391433</v>
      </c>
      <c r="J342" s="59">
        <f t="shared" si="1"/>
        <v>4</v>
      </c>
    </row>
    <row r="343">
      <c r="A343" s="55" t="str">
        <f>IFERROR(__xludf.DUMMYFUNCTION("""COMPUTED_VALUE"""),"Elite")</f>
        <v>Elite</v>
      </c>
      <c r="B343" s="55" t="str">
        <f>IFERROR(__xludf.DUMMYFUNCTION("""COMPUTED_VALUE"""),"RSC008353")</f>
        <v>RSC008353</v>
      </c>
      <c r="C343" s="60" t="str">
        <f>IFERROR(__xludf.DUMMYFUNCTION("""COMPUTED_VALUE"""),"IcyWrenTTV")</f>
        <v>IcyWrenTTV</v>
      </c>
      <c r="D343" s="54" t="str">
        <f>IFERROR(__xludf.DUMMYFUNCTION("""COMPUTED_VALUE"""),"Drive-by")</f>
        <v>Drive-by</v>
      </c>
      <c r="E343" s="55" t="str">
        <f>IFERROR(__xludf.DUMMYFUNCTION("""COMPUTED_VALUE"""),"Solar")</f>
        <v>Solar</v>
      </c>
      <c r="F343" s="56">
        <f>IFERROR(__xludf.DUMMYFUNCTION("""COMPUTED_VALUE"""),4.637164271922174)</f>
        <v>4.637164272</v>
      </c>
      <c r="G343" s="57">
        <f>IFERROR(__xludf.DUMMYFUNCTION("""COMPUTED_VALUE"""),27.0)</f>
        <v>27</v>
      </c>
      <c r="H343" s="58">
        <f>IFERROR(__xludf.DUMMYFUNCTION("iferror(if(B343="""", ,filter('IDR Import'!D:D,'IDR Import'!A:A=B343,'IDR Import'!C:C=A343)),)"),6.78293398525274)</f>
        <v>6.782933985</v>
      </c>
      <c r="I343" s="58">
        <v>5.710049128587457</v>
      </c>
      <c r="J343" s="59">
        <f t="shared" si="1"/>
        <v>27</v>
      </c>
    </row>
    <row r="344">
      <c r="A344" s="55" t="str">
        <f>IFERROR(__xludf.DUMMYFUNCTION("""COMPUTED_VALUE"""),"Elite")</f>
        <v>Elite</v>
      </c>
      <c r="B344" s="55" t="str">
        <f>IFERROR(__xludf.DUMMYFUNCTION("""COMPUTED_VALUE"""),"RSC006700")</f>
        <v>RSC006700</v>
      </c>
      <c r="C344" s="60" t="str">
        <f>IFERROR(__xludf.DUMMYFUNCTION("""COMPUTED_VALUE"""),"Terx")</f>
        <v>Terx</v>
      </c>
      <c r="D344" s="54" t="str">
        <f>IFERROR(__xludf.DUMMYFUNCTION("""COMPUTED_VALUE"""),"Krakens")</f>
        <v>Krakens</v>
      </c>
      <c r="E344" s="55" t="str">
        <f>IFERROR(__xludf.DUMMYFUNCTION("""COMPUTED_VALUE"""),"Lunar")</f>
        <v>Lunar</v>
      </c>
      <c r="F344" s="56">
        <f>IFERROR(__xludf.DUMMYFUNCTION("""COMPUTED_VALUE"""),0.6351095732833727)</f>
        <v>0.6351095733</v>
      </c>
      <c r="G344" s="57">
        <f>IFERROR(__xludf.DUMMYFUNCTION("""COMPUTED_VALUE"""),18.0)</f>
        <v>18</v>
      </c>
      <c r="H344" s="58">
        <f>IFERROR(__xludf.DUMMYFUNCTION("iferror(if(B344="""", ,filter('IDR Import'!D:D,'IDR Import'!A:A=B344,'IDR Import'!C:C=A344)),)"),5.604808190766732)</f>
        <v>5.604808191</v>
      </c>
      <c r="I344" s="58">
        <v>3.1199588820250526</v>
      </c>
      <c r="J344" s="59">
        <f t="shared" si="1"/>
        <v>18</v>
      </c>
    </row>
    <row r="345">
      <c r="A345" s="55" t="str">
        <f>IFERROR(__xludf.DUMMYFUNCTION("""COMPUTED_VALUE"""),"Elite")</f>
        <v>Elite</v>
      </c>
      <c r="B345" s="55" t="str">
        <f>IFERROR(__xludf.DUMMYFUNCTION("""COMPUTED_VALUE"""),"RSC006613")</f>
        <v>RSC006613</v>
      </c>
      <c r="C345" s="60" t="str">
        <f>IFERROR(__xludf.DUMMYFUNCTION("""COMPUTED_VALUE"""),"cartman_-_")</f>
        <v>cartman_-_</v>
      </c>
      <c r="D345" s="54" t="str">
        <f>IFERROR(__xludf.DUMMYFUNCTION("""COMPUTED_VALUE"""),"Afterburners")</f>
        <v>Afterburners</v>
      </c>
      <c r="E345" s="55" t="str">
        <f>IFERROR(__xludf.DUMMYFUNCTION("""COMPUTED_VALUE"""),"Lunar")</f>
        <v>Lunar</v>
      </c>
      <c r="F345" s="56">
        <f>IFERROR(__xludf.DUMMYFUNCTION("""COMPUTED_VALUE"""),0.3457488151686263)</f>
        <v>0.3457488152</v>
      </c>
      <c r="G345" s="57">
        <f>IFERROR(__xludf.DUMMYFUNCTION("""COMPUTED_VALUE"""),4.0)</f>
        <v>4</v>
      </c>
      <c r="H345" s="58">
        <f>IFERROR(__xludf.DUMMYFUNCTION("iferror(if(B345="""", ,filter('IDR Import'!D:D,'IDR Import'!A:A=B345,'IDR Import'!C:C=A345)),)"),12.448858868557615)</f>
        <v>12.44885887</v>
      </c>
      <c r="I345" s="58">
        <v>6.3973038418631205</v>
      </c>
      <c r="J345" s="59">
        <f t="shared" si="1"/>
        <v>4</v>
      </c>
    </row>
    <row r="346">
      <c r="A346" s="55" t="str">
        <f>IFERROR(__xludf.DUMMYFUNCTION("""COMPUTED_VALUE"""),"Elite")</f>
        <v>Elite</v>
      </c>
      <c r="B346" s="55" t="str">
        <f>IFERROR(__xludf.DUMMYFUNCTION("""COMPUTED_VALUE"""),"RSC005959")</f>
        <v>RSC005959</v>
      </c>
      <c r="C346" s="60" t="str">
        <f>IFERROR(__xludf.DUMMYFUNCTION("""COMPUTED_VALUE"""),"Yurrbo?")</f>
        <v>Yurrbo?</v>
      </c>
      <c r="D346" s="54" t="str">
        <f>IFERROR(__xludf.DUMMYFUNCTION("""COMPUTED_VALUE"""),"Frostbite")</f>
        <v>Frostbite</v>
      </c>
      <c r="E346" s="55" t="str">
        <f>IFERROR(__xludf.DUMMYFUNCTION("""COMPUTED_VALUE"""),"Solar")</f>
        <v>Solar</v>
      </c>
      <c r="F346" s="56">
        <f>IFERROR(__xludf.DUMMYFUNCTION("""COMPUTED_VALUE"""),-1.5631560833579101)</f>
        <v>-1.563156083</v>
      </c>
      <c r="G346" s="57">
        <f>IFERROR(__xludf.DUMMYFUNCTION("""COMPUTED_VALUE"""),5.0)</f>
        <v>5</v>
      </c>
      <c r="H346" s="58">
        <f>IFERROR(__xludf.DUMMYFUNCTION("iferror(if(B346="""", ,filter('IDR Import'!D:D,'IDR Import'!A:A=B346,'IDR Import'!C:C=A346)),)"),-3.095747628478918)</f>
        <v>-3.095747628</v>
      </c>
      <c r="I346" s="58">
        <v>-2.329451855918414</v>
      </c>
      <c r="J346" s="59">
        <f t="shared" si="1"/>
        <v>5</v>
      </c>
    </row>
    <row r="347">
      <c r="A347" s="55" t="str">
        <f>IFERROR(__xludf.DUMMYFUNCTION("""COMPUTED_VALUE"""),"Elite")</f>
        <v>Elite</v>
      </c>
      <c r="B347" s="55" t="str">
        <f>IFERROR(__xludf.DUMMYFUNCTION("""COMPUTED_VALUE"""),"RSC008355")</f>
        <v>RSC008355</v>
      </c>
      <c r="C347" s="60" t="str">
        <f>IFERROR(__xludf.DUMMYFUNCTION("""COMPUTED_VALUE"""),"SmyrnaRL")</f>
        <v>SmyrnaRL</v>
      </c>
      <c r="D347" s="54" t="str">
        <f>IFERROR(__xludf.DUMMYFUNCTION("""COMPUTED_VALUE"""),"Sloths")</f>
        <v>Sloths</v>
      </c>
      <c r="E347" s="55" t="str">
        <f>IFERROR(__xludf.DUMMYFUNCTION("""COMPUTED_VALUE"""),"Solar")</f>
        <v>Solar</v>
      </c>
      <c r="F347" s="56">
        <f>IFERROR(__xludf.DUMMYFUNCTION("""COMPUTED_VALUE"""),-3.4676796203058515)</f>
        <v>-3.46767962</v>
      </c>
      <c r="G347" s="57">
        <f>IFERROR(__xludf.DUMMYFUNCTION("""COMPUTED_VALUE"""),4.0)</f>
        <v>4</v>
      </c>
      <c r="H347" s="58">
        <f>IFERROR(__xludf.DUMMYFUNCTION("iferror(if(B347="""", ,filter('IDR Import'!D:D,'IDR Import'!A:A=B347,'IDR Import'!C:C=A347)),)"),-5.549778087673317)</f>
        <v>-5.549778088</v>
      </c>
      <c r="I347" s="58">
        <v>-4.5087288539895845</v>
      </c>
      <c r="J347" s="59">
        <f t="shared" si="1"/>
        <v>4</v>
      </c>
    </row>
    <row r="348">
      <c r="A348" s="55" t="str">
        <f>IFERROR(__xludf.DUMMYFUNCTION("""COMPUTED_VALUE"""),"Elite")</f>
        <v>Elite</v>
      </c>
      <c r="B348" s="55" t="str">
        <f>IFERROR(__xludf.DUMMYFUNCTION("""COMPUTED_VALUE"""),"RSC008519")</f>
        <v>RSC008519</v>
      </c>
      <c r="C348" s="60" t="str">
        <f>IFERROR(__xludf.DUMMYFUNCTION("""COMPUTED_VALUE"""),"Juice_loffi")</f>
        <v>Juice_loffi</v>
      </c>
      <c r="D348" s="54" t="str">
        <f>IFERROR(__xludf.DUMMYFUNCTION("""COMPUTED_VALUE"""),"Praetorian Guard
Teddy Bears")</f>
        <v>Praetorian Guard
Teddy Bears</v>
      </c>
      <c r="E348" s="55" t="str">
        <f>IFERROR(__xludf.DUMMYFUNCTION("""COMPUTED_VALUE"""),"Solar
Solar")</f>
        <v>Solar
Solar</v>
      </c>
      <c r="F348" s="56">
        <f>IFERROR(__xludf.DUMMYFUNCTION("""COMPUTED_VALUE"""),-8.390526703443093)</f>
        <v>-8.390526703</v>
      </c>
      <c r="G348" s="57">
        <f>IFERROR(__xludf.DUMMYFUNCTION("""COMPUTED_VALUE"""),6.0)</f>
        <v>6</v>
      </c>
      <c r="H348" s="58">
        <f>IFERROR(__xludf.DUMMYFUNCTION("iferror(if(B348="""", ,filter('IDR Import'!D:D,'IDR Import'!A:A=B348,'IDR Import'!C:C=A348)),)"),-9.028045661726757)</f>
        <v>-9.028045662</v>
      </c>
      <c r="I348" s="58">
        <v>-8.709286182584925</v>
      </c>
      <c r="J348" s="59">
        <f t="shared" si="1"/>
        <v>6</v>
      </c>
    </row>
    <row r="349">
      <c r="A349" s="55" t="str">
        <f>IFERROR(__xludf.DUMMYFUNCTION("""COMPUTED_VALUE"""),"Elite")</f>
        <v>Elite</v>
      </c>
      <c r="B349" s="55" t="str">
        <f>IFERROR(__xludf.DUMMYFUNCTION("""COMPUTED_VALUE"""),"RSC008109")</f>
        <v>RSC008109</v>
      </c>
      <c r="C349" s="60" t="str">
        <f>IFERROR(__xludf.DUMMYFUNCTION("""COMPUTED_VALUE"""),"Tbrock")</f>
        <v>Tbrock</v>
      </c>
      <c r="D349" s="54" t="str">
        <f>IFERROR(__xludf.DUMMYFUNCTION("""COMPUTED_VALUE"""),"Drive-by")</f>
        <v>Drive-by</v>
      </c>
      <c r="E349" s="55" t="str">
        <f>IFERROR(__xludf.DUMMYFUNCTION("""COMPUTED_VALUE"""),"Solar")</f>
        <v>Solar</v>
      </c>
      <c r="F349" s="56">
        <f>IFERROR(__xludf.DUMMYFUNCTION("""COMPUTED_VALUE"""),-31.09728540027909)</f>
        <v>-31.0972854</v>
      </c>
      <c r="G349" s="57">
        <f>IFERROR(__xludf.DUMMYFUNCTION("""COMPUTED_VALUE"""),2.0)</f>
        <v>2</v>
      </c>
      <c r="H349" s="58">
        <f>IFERROR(__xludf.DUMMYFUNCTION("iferror(if(B349="""", ,filter('IDR Import'!D:D,'IDR Import'!A:A=B349,'IDR Import'!C:C=A349)),)"),-52.36381730041413)</f>
        <v>-52.3638173</v>
      </c>
      <c r="I349" s="58">
        <v>-41.73055135034661</v>
      </c>
      <c r="J349" s="59">
        <f t="shared" si="1"/>
        <v>2</v>
      </c>
    </row>
    <row r="350">
      <c r="A350" s="55" t="str">
        <f>IFERROR(__xludf.DUMMYFUNCTION("""COMPUTED_VALUE"""),"Elite")</f>
        <v>Elite</v>
      </c>
      <c r="B350" s="55" t="str">
        <f>IFERROR(__xludf.DUMMYFUNCTION("""COMPUTED_VALUE"""),"RSC000923")</f>
        <v>RSC000923</v>
      </c>
      <c r="C350" s="60" t="str">
        <f>IFERROR(__xludf.DUMMYFUNCTION("""COMPUTED_VALUE"""),"Stemantics")</f>
        <v>Stemantics</v>
      </c>
      <c r="D350" s="54" t="str">
        <f>IFERROR(__xludf.DUMMYFUNCTION("""COMPUTED_VALUE"""),"Drive-by")</f>
        <v>Drive-by</v>
      </c>
      <c r="E350" s="55" t="str">
        <f>IFERROR(__xludf.DUMMYFUNCTION("""COMPUTED_VALUE"""),"Solar")</f>
        <v>Solar</v>
      </c>
      <c r="F350" s="56">
        <f>IFERROR(__xludf.DUMMYFUNCTION("""COMPUTED_VALUE"""),-60.620961902336916)</f>
        <v>-60.6209619</v>
      </c>
      <c r="G350" s="57">
        <f>IFERROR(__xludf.DUMMYFUNCTION("""COMPUTED_VALUE"""),1.0)</f>
        <v>1</v>
      </c>
      <c r="H350" s="58">
        <f>IFERROR(__xludf.DUMMYFUNCTION("iferror(if(B350="""", ,filter('IDR Import'!D:D,'IDR Import'!A:A=B350,'IDR Import'!C:C=A350)),)"),-54.705693206943096)</f>
        <v>-54.70569321</v>
      </c>
      <c r="I350" s="58">
        <v>-57.663327554640006</v>
      </c>
      <c r="J350" s="59">
        <f t="shared" si="1"/>
        <v>1</v>
      </c>
    </row>
    <row r="351">
      <c r="A351" s="55" t="str">
        <f>IFERROR(__xludf.DUMMYFUNCTION("""COMPUTED_VALUE"""),"Master")</f>
        <v>Master</v>
      </c>
      <c r="B351" s="55" t="str">
        <f>IFERROR(__xludf.DUMMYFUNCTION("""COMPUTED_VALUE"""),"RSC004580")</f>
        <v>RSC004580</v>
      </c>
      <c r="C351" s="60" t="str">
        <f>IFERROR(__xludf.DUMMYFUNCTION("""COMPUTED_VALUE"""),"Static")</f>
        <v>Static</v>
      </c>
      <c r="D351" s="54" t="str">
        <f>IFERROR(__xludf.DUMMYFUNCTION("""COMPUTED_VALUE"""),"Spectres")</f>
        <v>Spectres</v>
      </c>
      <c r="E351" s="55" t="str">
        <f>IFERROR(__xludf.DUMMYFUNCTION("""COMPUTED_VALUE"""),"N/A")</f>
        <v>N/A</v>
      </c>
      <c r="F351" s="56">
        <f>IFERROR(__xludf.DUMMYFUNCTION("""COMPUTED_VALUE"""),103.45406722736885)</f>
        <v>103.4540672</v>
      </c>
      <c r="G351" s="57">
        <f>IFERROR(__xludf.DUMMYFUNCTION("""COMPUTED_VALUE"""),8.0)</f>
        <v>8</v>
      </c>
      <c r="H351" s="58">
        <f>IFERROR(__xludf.DUMMYFUNCTION("iferror(if(B351="""", ,filter('IDR Import'!D:D,'IDR Import'!A:A=B351,'IDR Import'!C:C=A351)),)"),106.03943825809502)</f>
        <v>106.0394383</v>
      </c>
      <c r="I351" s="58">
        <v>104.74675274273193</v>
      </c>
      <c r="J351" s="59">
        <f t="shared" si="1"/>
        <v>8</v>
      </c>
    </row>
    <row r="352">
      <c r="A352" s="55" t="str">
        <f>IFERROR(__xludf.DUMMYFUNCTION("""COMPUTED_VALUE"""),"Master")</f>
        <v>Master</v>
      </c>
      <c r="B352" s="55" t="str">
        <f>IFERROR(__xludf.DUMMYFUNCTION("""COMPUTED_VALUE"""),"RSC008285")</f>
        <v>RSC008285</v>
      </c>
      <c r="C352" s="60" t="str">
        <f>IFERROR(__xludf.DUMMYFUNCTION("""COMPUTED_VALUE"""),"ChiRho_-")</f>
        <v>ChiRho_-</v>
      </c>
      <c r="D352" s="54" t="str">
        <f>IFERROR(__xludf.DUMMYFUNCTION("""COMPUTED_VALUE"""),"Reapers")</f>
        <v>Reapers</v>
      </c>
      <c r="E352" s="55" t="str">
        <f>IFERROR(__xludf.DUMMYFUNCTION("""COMPUTED_VALUE"""),"N/A")</f>
        <v>N/A</v>
      </c>
      <c r="F352" s="56">
        <f>IFERROR(__xludf.DUMMYFUNCTION("""COMPUTED_VALUE"""),101.04645096304932)</f>
        <v>101.046451</v>
      </c>
      <c r="G352" s="57">
        <f>IFERROR(__xludf.DUMMYFUNCTION("""COMPUTED_VALUE"""),4.0)</f>
        <v>4</v>
      </c>
      <c r="H352" s="58">
        <f>IFERROR(__xludf.DUMMYFUNCTION("iferror(if(B352="""", ,filter('IDR Import'!D:D,'IDR Import'!A:A=B352,'IDR Import'!C:C=A352)),)"),72.6368379612378)</f>
        <v>72.63683796</v>
      </c>
      <c r="I352" s="58">
        <v>86.84164446214356</v>
      </c>
      <c r="J352" s="59">
        <f t="shared" si="1"/>
        <v>4</v>
      </c>
    </row>
    <row r="353">
      <c r="A353" s="55" t="str">
        <f>IFERROR(__xludf.DUMMYFUNCTION("""COMPUTED_VALUE"""),"Master")</f>
        <v>Master</v>
      </c>
      <c r="B353" s="55" t="str">
        <f>IFERROR(__xludf.DUMMYFUNCTION("""COMPUTED_VALUE"""),"RSC007893")</f>
        <v>RSC007893</v>
      </c>
      <c r="C353" s="60" t="str">
        <f>IFERROR(__xludf.DUMMYFUNCTION("""COMPUTED_VALUE"""),"solar722")</f>
        <v>solar722</v>
      </c>
      <c r="D353" s="54" t="str">
        <f>IFERROR(__xludf.DUMMYFUNCTION("""COMPUTED_VALUE"""),"Spectres")</f>
        <v>Spectres</v>
      </c>
      <c r="E353" s="55" t="str">
        <f>IFERROR(__xludf.DUMMYFUNCTION("""COMPUTED_VALUE"""),"N/A")</f>
        <v>N/A</v>
      </c>
      <c r="F353" s="56">
        <f>IFERROR(__xludf.DUMMYFUNCTION("""COMPUTED_VALUE"""),86.04982161117238)</f>
        <v>86.04982161</v>
      </c>
      <c r="G353" s="57">
        <f>IFERROR(__xludf.DUMMYFUNCTION("""COMPUTED_VALUE"""),48.0)</f>
        <v>48</v>
      </c>
      <c r="H353" s="58">
        <f>IFERROR(__xludf.DUMMYFUNCTION("iferror(if(B353="""", ,filter('IDR Import'!D:D,'IDR Import'!A:A=B353,'IDR Import'!C:C=A353)),)"),78.37513190305926)</f>
        <v>78.3751319</v>
      </c>
      <c r="I353" s="58">
        <v>82.21247675711581</v>
      </c>
      <c r="J353" s="59">
        <f t="shared" si="1"/>
        <v>48</v>
      </c>
    </row>
    <row r="354">
      <c r="A354" s="55" t="str">
        <f>IFERROR(__xludf.DUMMYFUNCTION("""COMPUTED_VALUE"""),"Master")</f>
        <v>Master</v>
      </c>
      <c r="B354" s="55" t="str">
        <f>IFERROR(__xludf.DUMMYFUNCTION("""COMPUTED_VALUE"""),"RSC005653")</f>
        <v>RSC005653</v>
      </c>
      <c r="C354" s="60" t="str">
        <f>IFERROR(__xludf.DUMMYFUNCTION("""COMPUTED_VALUE"""),"xim")</f>
        <v>xim</v>
      </c>
      <c r="D354" s="54" t="str">
        <f>IFERROR(__xludf.DUMMYFUNCTION("""COMPUTED_VALUE"""),"Reapers")</f>
        <v>Reapers</v>
      </c>
      <c r="E354" s="55" t="str">
        <f>IFERROR(__xludf.DUMMYFUNCTION("""COMPUTED_VALUE"""),"N/A")</f>
        <v>N/A</v>
      </c>
      <c r="F354" s="56">
        <f>IFERROR(__xludf.DUMMYFUNCTION("""COMPUTED_VALUE"""),84.70885805689848)</f>
        <v>84.70885806</v>
      </c>
      <c r="G354" s="57">
        <f>IFERROR(__xludf.DUMMYFUNCTION("""COMPUTED_VALUE"""),20.0)</f>
        <v>20</v>
      </c>
      <c r="H354" s="58">
        <f>IFERROR(__xludf.DUMMYFUNCTION("iferror(if(B354="""", ,filter('IDR Import'!D:D,'IDR Import'!A:A=B354,'IDR Import'!C:C=A354)),)"),66.01264469138798)</f>
        <v>66.01264469</v>
      </c>
      <c r="I354" s="58">
        <v>75.36075137414323</v>
      </c>
      <c r="J354" s="59">
        <f t="shared" si="1"/>
        <v>20</v>
      </c>
    </row>
    <row r="355">
      <c r="A355" s="55" t="str">
        <f>IFERROR(__xludf.DUMMYFUNCTION("""COMPUTED_VALUE"""),"Master")</f>
        <v>Master</v>
      </c>
      <c r="B355" s="55" t="str">
        <f>IFERROR(__xludf.DUMMYFUNCTION("""COMPUTED_VALUE"""),"RSC007282")</f>
        <v>RSC007282</v>
      </c>
      <c r="C355" s="60" t="str">
        <f>IFERROR(__xludf.DUMMYFUNCTION("""COMPUTED_VALUE"""),"kRs^^")</f>
        <v>kRs^^</v>
      </c>
      <c r="D355" s="54" t="str">
        <f>IFERROR(__xludf.DUMMYFUNCTION("""COMPUTED_VALUE"""),"Helicoprions")</f>
        <v>Helicoprions</v>
      </c>
      <c r="E355" s="55" t="str">
        <f>IFERROR(__xludf.DUMMYFUNCTION("""COMPUTED_VALUE"""),"N/A")</f>
        <v>N/A</v>
      </c>
      <c r="F355" s="56">
        <f>IFERROR(__xludf.DUMMYFUNCTION("""COMPUTED_VALUE"""),81.26009088532389)</f>
        <v>81.26009089</v>
      </c>
      <c r="G355" s="57">
        <f>IFERROR(__xludf.DUMMYFUNCTION("""COMPUTED_VALUE"""),44.0)</f>
        <v>44</v>
      </c>
      <c r="H355" s="58">
        <f>IFERROR(__xludf.DUMMYFUNCTION("iferror(if(B355="""", ,filter('IDR Import'!D:D,'IDR Import'!A:A=B355,'IDR Import'!C:C=A355)),)"),85.87898475019763)</f>
        <v>85.87898475</v>
      </c>
      <c r="I355" s="58">
        <v>83.56953781776076</v>
      </c>
      <c r="J355" s="59">
        <f t="shared" si="1"/>
        <v>44</v>
      </c>
    </row>
    <row r="356">
      <c r="A356" s="55" t="str">
        <f>IFERROR(__xludf.DUMMYFUNCTION("""COMPUTED_VALUE"""),"Master")</f>
        <v>Master</v>
      </c>
      <c r="B356" s="55" t="str">
        <f>IFERROR(__xludf.DUMMYFUNCTION("""COMPUTED_VALUE"""),"RSC007876")</f>
        <v>RSC007876</v>
      </c>
      <c r="C356" s="60" t="str">
        <f>IFERROR(__xludf.DUMMYFUNCTION("""COMPUTED_VALUE"""),"dwsn.")</f>
        <v>dwsn.</v>
      </c>
      <c r="D356" s="54" t="str">
        <f>IFERROR(__xludf.DUMMYFUNCTION("""COMPUTED_VALUE"""),"Helicoprions")</f>
        <v>Helicoprions</v>
      </c>
      <c r="E356" s="55" t="str">
        <f>IFERROR(__xludf.DUMMYFUNCTION("""COMPUTED_VALUE"""),"N/A")</f>
        <v>N/A</v>
      </c>
      <c r="F356" s="56">
        <f>IFERROR(__xludf.DUMMYFUNCTION("""COMPUTED_VALUE"""),80.72529825677628)</f>
        <v>80.72529826</v>
      </c>
      <c r="G356" s="57">
        <f>IFERROR(__xludf.DUMMYFUNCTION("""COMPUTED_VALUE"""),48.0)</f>
        <v>48</v>
      </c>
      <c r="H356" s="58">
        <f>IFERROR(__xludf.DUMMYFUNCTION("iferror(if(B356="""", ,filter('IDR Import'!D:D,'IDR Import'!A:A=B356,'IDR Import'!C:C=A356)),)"),74.78456187037229)</f>
        <v>74.78456187</v>
      </c>
      <c r="I356" s="58">
        <v>77.75493006357428</v>
      </c>
      <c r="J356" s="59">
        <f t="shared" si="1"/>
        <v>48</v>
      </c>
    </row>
    <row r="357">
      <c r="A357" s="55" t="str">
        <f>IFERROR(__xludf.DUMMYFUNCTION("""COMPUTED_VALUE"""),"Master")</f>
        <v>Master</v>
      </c>
      <c r="B357" s="55" t="str">
        <f>IFERROR(__xludf.DUMMYFUNCTION("""COMPUTED_VALUE"""),"RSC004132")</f>
        <v>RSC004132</v>
      </c>
      <c r="C357" s="60" t="str">
        <f>IFERROR(__xludf.DUMMYFUNCTION("""COMPUTED_VALUE"""),"RobFromCSA")</f>
        <v>RobFromCSA</v>
      </c>
      <c r="D357" s="54" t="str">
        <f>IFERROR(__xludf.DUMMYFUNCTION("""COMPUTED_VALUE"""),"Andromeda")</f>
        <v>Andromeda</v>
      </c>
      <c r="E357" s="55" t="str">
        <f>IFERROR(__xludf.DUMMYFUNCTION("""COMPUTED_VALUE"""),"N/A")</f>
        <v>N/A</v>
      </c>
      <c r="F357" s="56">
        <f>IFERROR(__xludf.DUMMYFUNCTION("""COMPUTED_VALUE"""),76.38883933334031)</f>
        <v>76.38883933</v>
      </c>
      <c r="G357" s="57">
        <f>IFERROR(__xludf.DUMMYFUNCTION("""COMPUTED_VALUE"""),56.0)</f>
        <v>56</v>
      </c>
      <c r="H357" s="58">
        <f>IFERROR(__xludf.DUMMYFUNCTION("iferror(if(B357="""", ,filter('IDR Import'!D:D,'IDR Import'!A:A=B357,'IDR Import'!C:C=A357)),)"),79.05084636167012)</f>
        <v>79.05084636</v>
      </c>
      <c r="I357" s="58">
        <v>77.71984284750522</v>
      </c>
      <c r="J357" s="59">
        <f t="shared" si="1"/>
        <v>56</v>
      </c>
    </row>
    <row r="358">
      <c r="A358" s="55" t="str">
        <f>IFERROR(__xludf.DUMMYFUNCTION("""COMPUTED_VALUE"""),"Master")</f>
        <v>Master</v>
      </c>
      <c r="B358" s="55" t="str">
        <f>IFERROR(__xludf.DUMMYFUNCTION("""COMPUTED_VALUE"""),"RSC007412")</f>
        <v>RSC007412</v>
      </c>
      <c r="C358" s="60" t="str">
        <f>IFERROR(__xludf.DUMMYFUNCTION("""COMPUTED_VALUE"""),"spuf.")</f>
        <v>spuf.</v>
      </c>
      <c r="D358" s="54" t="str">
        <f>IFERROR(__xludf.DUMMYFUNCTION("""COMPUTED_VALUE"""),"Care Bears")</f>
        <v>Care Bears</v>
      </c>
      <c r="E358" s="55" t="str">
        <f>IFERROR(__xludf.DUMMYFUNCTION("""COMPUTED_VALUE"""),"N/A")</f>
        <v>N/A</v>
      </c>
      <c r="F358" s="56">
        <f>IFERROR(__xludf.DUMMYFUNCTION("""COMPUTED_VALUE"""),76.16058311691712)</f>
        <v>76.16058312</v>
      </c>
      <c r="G358" s="57">
        <f>IFERROR(__xludf.DUMMYFUNCTION("""COMPUTED_VALUE"""),52.0)</f>
        <v>52</v>
      </c>
      <c r="H358" s="58">
        <f>IFERROR(__xludf.DUMMYFUNCTION("iferror(if(B358="""", ,filter('IDR Import'!D:D,'IDR Import'!A:A=B358,'IDR Import'!C:C=A358)),)"),69.70544563135371)</f>
        <v>69.70544563</v>
      </c>
      <c r="I358" s="58">
        <v>72.93301437413541</v>
      </c>
      <c r="J358" s="59">
        <f t="shared" si="1"/>
        <v>52</v>
      </c>
    </row>
    <row r="359">
      <c r="A359" s="55" t="str">
        <f>IFERROR(__xludf.DUMMYFUNCTION("""COMPUTED_VALUE"""),"Master")</f>
        <v>Master</v>
      </c>
      <c r="B359" s="55" t="str">
        <f>IFERROR(__xludf.DUMMYFUNCTION("""COMPUTED_VALUE"""),"RSC002888")</f>
        <v>RSC002888</v>
      </c>
      <c r="C359" s="60" t="str">
        <f>IFERROR(__xludf.DUMMYFUNCTION("""COMPUTED_VALUE"""),"kri0s")</f>
        <v>kri0s</v>
      </c>
      <c r="D359" s="54" t="str">
        <f>IFERROR(__xludf.DUMMYFUNCTION("""COMPUTED_VALUE"""),"Heinous Henchmen")</f>
        <v>Heinous Henchmen</v>
      </c>
      <c r="E359" s="55" t="str">
        <f>IFERROR(__xludf.DUMMYFUNCTION("""COMPUTED_VALUE"""),"N/A")</f>
        <v>N/A</v>
      </c>
      <c r="F359" s="56">
        <f>IFERROR(__xludf.DUMMYFUNCTION("""COMPUTED_VALUE"""),75.75704361083812)</f>
        <v>75.75704361</v>
      </c>
      <c r="G359" s="57">
        <f>IFERROR(__xludf.DUMMYFUNCTION("""COMPUTED_VALUE"""),8.0)</f>
        <v>8</v>
      </c>
      <c r="H359" s="58">
        <f>IFERROR(__xludf.DUMMYFUNCTION("iferror(if(B359="""", ,filter('IDR Import'!D:D,'IDR Import'!A:A=B359,'IDR Import'!C:C=A359)),)"),93.79965020863196)</f>
        <v>93.79965021</v>
      </c>
      <c r="I359" s="58">
        <v>84.77834690973503</v>
      </c>
      <c r="J359" s="59">
        <f t="shared" si="1"/>
        <v>8</v>
      </c>
    </row>
    <row r="360">
      <c r="A360" s="55" t="str">
        <f>IFERROR(__xludf.DUMMYFUNCTION("""COMPUTED_VALUE"""),"Master")</f>
        <v>Master</v>
      </c>
      <c r="B360" s="55" t="str">
        <f>IFERROR(__xludf.DUMMYFUNCTION("""COMPUTED_VALUE"""),"RSC004717")</f>
        <v>RSC004717</v>
      </c>
      <c r="C360" s="60" t="str">
        <f>IFERROR(__xludf.DUMMYFUNCTION("""COMPUTED_VALUE"""),"grip reaper")</f>
        <v>grip reaper</v>
      </c>
      <c r="D360" s="54" t="str">
        <f>IFERROR(__xludf.DUMMYFUNCTION("""COMPUTED_VALUE"""),"Heinous Henchmen")</f>
        <v>Heinous Henchmen</v>
      </c>
      <c r="E360" s="55" t="str">
        <f>IFERROR(__xludf.DUMMYFUNCTION("""COMPUTED_VALUE"""),"N/A")</f>
        <v>N/A</v>
      </c>
      <c r="F360" s="56">
        <f>IFERROR(__xludf.DUMMYFUNCTION("""COMPUTED_VALUE"""),74.64182998489883)</f>
        <v>74.64182998</v>
      </c>
      <c r="G360" s="57">
        <f>IFERROR(__xludf.DUMMYFUNCTION("""COMPUTED_VALUE"""),49.0)</f>
        <v>49</v>
      </c>
      <c r="H360" s="58">
        <f>IFERROR(__xludf.DUMMYFUNCTION("iferror(if(B360="""", ,filter('IDR Import'!D:D,'IDR Import'!A:A=B360,'IDR Import'!C:C=A360)),)"),54.892420235618125)</f>
        <v>54.89242024</v>
      </c>
      <c r="I360" s="58">
        <v>64.76712511025848</v>
      </c>
      <c r="J360" s="59">
        <f t="shared" si="1"/>
        <v>49</v>
      </c>
    </row>
    <row r="361">
      <c r="A361" s="55" t="str">
        <f>IFERROR(__xludf.DUMMYFUNCTION("""COMPUTED_VALUE"""),"Master")</f>
        <v>Master</v>
      </c>
      <c r="B361" s="55" t="str">
        <f>IFERROR(__xludf.DUMMYFUNCTION("""COMPUTED_VALUE"""),"RSC007565")</f>
        <v>RSC007565</v>
      </c>
      <c r="C361" s="60" t="str">
        <f>IFERROR(__xludf.DUMMYFUNCTION("""COMPUTED_VALUE"""),"AcX")</f>
        <v>AcX</v>
      </c>
      <c r="D361" s="54" t="str">
        <f>IFERROR(__xludf.DUMMYFUNCTION("""COMPUTED_VALUE"""),"Care Bears")</f>
        <v>Care Bears</v>
      </c>
      <c r="E361" s="55" t="str">
        <f>IFERROR(__xludf.DUMMYFUNCTION("""COMPUTED_VALUE"""),"N/A")</f>
        <v>N/A</v>
      </c>
      <c r="F361" s="56">
        <f>IFERROR(__xludf.DUMMYFUNCTION("""COMPUTED_VALUE"""),71.66333841322424)</f>
        <v>71.66333841</v>
      </c>
      <c r="G361" s="57">
        <f>IFERROR(__xludf.DUMMYFUNCTION("""COMPUTED_VALUE"""),51.0)</f>
        <v>51</v>
      </c>
      <c r="H361" s="58">
        <f>IFERROR(__xludf.DUMMYFUNCTION("iferror(if(B361="""", ,filter('IDR Import'!D:D,'IDR Import'!A:A=B361,'IDR Import'!C:C=A361)),)"),69.55571642166458)</f>
        <v>69.55571642</v>
      </c>
      <c r="I361" s="58">
        <v>70.60952741744441</v>
      </c>
      <c r="J361" s="59">
        <f t="shared" si="1"/>
        <v>51</v>
      </c>
    </row>
    <row r="362">
      <c r="A362" s="55" t="str">
        <f>IFERROR(__xludf.DUMMYFUNCTION("""COMPUTED_VALUE"""),"Master")</f>
        <v>Master</v>
      </c>
      <c r="B362" s="55" t="str">
        <f>IFERROR(__xludf.DUMMYFUNCTION("""COMPUTED_VALUE"""),"RSC005499")</f>
        <v>RSC005499</v>
      </c>
      <c r="C362" s="60" t="str">
        <f>IFERROR(__xludf.DUMMYFUNCTION("""COMPUTED_VALUE"""),"The Red R0cket")</f>
        <v>The Red R0cket</v>
      </c>
      <c r="D362" s="54" t="str">
        <f>IFERROR(__xludf.DUMMYFUNCTION("""COMPUTED_VALUE"""),"Heinous Henchmen")</f>
        <v>Heinous Henchmen</v>
      </c>
      <c r="E362" s="55" t="str">
        <f>IFERROR(__xludf.DUMMYFUNCTION("""COMPUTED_VALUE"""),"N/A")</f>
        <v>N/A</v>
      </c>
      <c r="F362" s="56">
        <f>IFERROR(__xludf.DUMMYFUNCTION("""COMPUTED_VALUE"""),68.67771955155197)</f>
        <v>68.67771955</v>
      </c>
      <c r="G362" s="57">
        <f>IFERROR(__xludf.DUMMYFUNCTION("""COMPUTED_VALUE"""),55.0)</f>
        <v>55</v>
      </c>
      <c r="H362" s="58">
        <f>IFERROR(__xludf.DUMMYFUNCTION("iferror(if(B362="""", ,filter('IDR Import'!D:D,'IDR Import'!A:A=B362,'IDR Import'!C:C=A362)),)"),68.04020549605886)</f>
        <v>68.0402055</v>
      </c>
      <c r="I362" s="58">
        <v>68.35896252380542</v>
      </c>
      <c r="J362" s="59">
        <f t="shared" si="1"/>
        <v>55</v>
      </c>
    </row>
    <row r="363">
      <c r="A363" s="55" t="str">
        <f>IFERROR(__xludf.DUMMYFUNCTION("""COMPUTED_VALUE"""),"Master")</f>
        <v>Master</v>
      </c>
      <c r="B363" s="55" t="str">
        <f>IFERROR(__xludf.DUMMYFUNCTION("""COMPUTED_VALUE"""),"RSC003008")</f>
        <v>RSC003008</v>
      </c>
      <c r="C363" s="60" t="str">
        <f>IFERROR(__xludf.DUMMYFUNCTION("""COMPUTED_VALUE"""),"GeneralZippy")</f>
        <v>GeneralZippy</v>
      </c>
      <c r="D363" s="54" t="str">
        <f>IFERROR(__xludf.DUMMYFUNCTION("""COMPUTED_VALUE"""),"Andromeda")</f>
        <v>Andromeda</v>
      </c>
      <c r="E363" s="55" t="str">
        <f>IFERROR(__xludf.DUMMYFUNCTION("""COMPUTED_VALUE"""),"N/A")</f>
        <v>N/A</v>
      </c>
      <c r="F363" s="56">
        <f>IFERROR(__xludf.DUMMYFUNCTION("""COMPUTED_VALUE"""),68.52242366836526)</f>
        <v>68.52242367</v>
      </c>
      <c r="G363" s="57">
        <f>IFERROR(__xludf.DUMMYFUNCTION("""COMPUTED_VALUE"""),56.0)</f>
        <v>56</v>
      </c>
      <c r="H363" s="58">
        <f>IFERROR(__xludf.DUMMYFUNCTION("iferror(if(B363="""", ,filter('IDR Import'!D:D,'IDR Import'!A:A=B363,'IDR Import'!C:C=A363)),)"),75.92839225600324)</f>
        <v>75.92839226</v>
      </c>
      <c r="I363" s="58">
        <v>72.22540796218425</v>
      </c>
      <c r="J363" s="59">
        <f t="shared" si="1"/>
        <v>56</v>
      </c>
    </row>
    <row r="364">
      <c r="A364" s="55" t="str">
        <f>IFERROR(__xludf.DUMMYFUNCTION("""COMPUTED_VALUE"""),"Master")</f>
        <v>Master</v>
      </c>
      <c r="B364" s="55" t="str">
        <f>IFERROR(__xludf.DUMMYFUNCTION("""COMPUTED_VALUE"""),"RSC006903")</f>
        <v>RSC006903</v>
      </c>
      <c r="C364" s="60" t="str">
        <f>IFERROR(__xludf.DUMMYFUNCTION("""COMPUTED_VALUE"""),"BobbyWitDatT00L")</f>
        <v>BobbyWitDatT00L</v>
      </c>
      <c r="D364" s="54" t="str">
        <f>IFERROR(__xludf.DUMMYFUNCTION("""COMPUTED_VALUE"""),"Heinous Henchmen")</f>
        <v>Heinous Henchmen</v>
      </c>
      <c r="E364" s="55" t="str">
        <f>IFERROR(__xludf.DUMMYFUNCTION("""COMPUTED_VALUE"""),"N/A")</f>
        <v>N/A</v>
      </c>
      <c r="F364" s="56">
        <f>IFERROR(__xludf.DUMMYFUNCTION("""COMPUTED_VALUE"""),68.21394416076879)</f>
        <v>68.21394416</v>
      </c>
      <c r="G364" s="57">
        <f>IFERROR(__xludf.DUMMYFUNCTION("""COMPUTED_VALUE"""),56.0)</f>
        <v>56</v>
      </c>
      <c r="H364" s="58">
        <f>IFERROR(__xludf.DUMMYFUNCTION("iferror(if(B364="""", ,filter('IDR Import'!D:D,'IDR Import'!A:A=B364,'IDR Import'!C:C=A364)),)"),62.16942940204784)</f>
        <v>62.1694294</v>
      </c>
      <c r="I364" s="58">
        <v>65.19168678140832</v>
      </c>
      <c r="J364" s="59">
        <f t="shared" si="1"/>
        <v>56</v>
      </c>
    </row>
    <row r="365">
      <c r="A365" s="55" t="str">
        <f>IFERROR(__xludf.DUMMYFUNCTION("""COMPUTED_VALUE"""),"Master")</f>
        <v>Master</v>
      </c>
      <c r="B365" s="55" t="str">
        <f>IFERROR(__xludf.DUMMYFUNCTION("""COMPUTED_VALUE"""),"RSC000799")</f>
        <v>RSC000799</v>
      </c>
      <c r="C365" s="60" t="str">
        <f>IFERROR(__xludf.DUMMYFUNCTION("""COMPUTED_VALUE"""),"Foam")</f>
        <v>Foam</v>
      </c>
      <c r="D365" s="54" t="str">
        <f>IFERROR(__xludf.DUMMYFUNCTION("""COMPUTED_VALUE"""),"Reapers")</f>
        <v>Reapers</v>
      </c>
      <c r="E365" s="55" t="str">
        <f>IFERROR(__xludf.DUMMYFUNCTION("""COMPUTED_VALUE"""),"N/A")</f>
        <v>N/A</v>
      </c>
      <c r="F365" s="56">
        <f>IFERROR(__xludf.DUMMYFUNCTION("""COMPUTED_VALUE"""),66.14381561517092)</f>
        <v>66.14381562</v>
      </c>
      <c r="G365" s="57">
        <f>IFERROR(__xludf.DUMMYFUNCTION("""COMPUTED_VALUE"""),42.0)</f>
        <v>42</v>
      </c>
      <c r="H365" s="58">
        <f>IFERROR(__xludf.DUMMYFUNCTION("iferror(if(B365="""", ,filter('IDR Import'!D:D,'IDR Import'!A:A=B365,'IDR Import'!C:C=A365)),)"),65.59595957460515)</f>
        <v>65.59595957</v>
      </c>
      <c r="I365" s="58">
        <v>65.86988759488804</v>
      </c>
      <c r="J365" s="59">
        <f t="shared" si="1"/>
        <v>42</v>
      </c>
    </row>
    <row r="366">
      <c r="A366" s="55" t="str">
        <f>IFERROR(__xludf.DUMMYFUNCTION("""COMPUTED_VALUE"""),"Master")</f>
        <v>Master</v>
      </c>
      <c r="B366" s="55" t="str">
        <f>IFERROR(__xludf.DUMMYFUNCTION("""COMPUTED_VALUE"""),"RSC005349")</f>
        <v>RSC005349</v>
      </c>
      <c r="C366" s="60" t="str">
        <f>IFERROR(__xludf.DUMMYFUNCTION("""COMPUTED_VALUE"""),"Rzemb1e")</f>
        <v>Rzemb1e</v>
      </c>
      <c r="D366" s="54" t="str">
        <f>IFERROR(__xludf.DUMMYFUNCTION("""COMPUTED_VALUE"""),"Lemurs")</f>
        <v>Lemurs</v>
      </c>
      <c r="E366" s="55" t="str">
        <f>IFERROR(__xludf.DUMMYFUNCTION("""COMPUTED_VALUE"""),"N/A")</f>
        <v>N/A</v>
      </c>
      <c r="F366" s="56">
        <f>IFERROR(__xludf.DUMMYFUNCTION("""COMPUTED_VALUE"""),65.70062428273447)</f>
        <v>65.70062428</v>
      </c>
      <c r="G366" s="57">
        <f>IFERROR(__xludf.DUMMYFUNCTION("""COMPUTED_VALUE"""),27.0)</f>
        <v>27</v>
      </c>
      <c r="H366" s="58">
        <f>IFERROR(__xludf.DUMMYFUNCTION("iferror(if(B366="""", ,filter('IDR Import'!D:D,'IDR Import'!A:A=B366,'IDR Import'!C:C=A366)),)"),64.22389239501396)</f>
        <v>64.2238924</v>
      </c>
      <c r="I366" s="58">
        <v>64.96225833887422</v>
      </c>
      <c r="J366" s="59">
        <f t="shared" si="1"/>
        <v>27</v>
      </c>
    </row>
    <row r="367">
      <c r="A367" s="55" t="str">
        <f>IFERROR(__xludf.DUMMYFUNCTION("""COMPUTED_VALUE"""),"Master")</f>
        <v>Master</v>
      </c>
      <c r="B367" s="55" t="str">
        <f>IFERROR(__xludf.DUMMYFUNCTION("""COMPUTED_VALUE"""),"RSC001243")</f>
        <v>RSC001243</v>
      </c>
      <c r="C367" s="60" t="str">
        <f>IFERROR(__xludf.DUMMYFUNCTION("""COMPUTED_VALUE"""),"Destin")</f>
        <v>Destin</v>
      </c>
      <c r="D367" s="54" t="str">
        <f>IFERROR(__xludf.DUMMYFUNCTION("""COMPUTED_VALUE"""),"Permafrost
Lemurs")</f>
        <v>Permafrost
Lemurs</v>
      </c>
      <c r="E367" s="55" t="str">
        <f>IFERROR(__xludf.DUMMYFUNCTION("""COMPUTED_VALUE"""),"N/A
N/A")</f>
        <v>N/A
N/A</v>
      </c>
      <c r="F367" s="56">
        <f>IFERROR(__xludf.DUMMYFUNCTION("""COMPUTED_VALUE"""),65.0403879880773)</f>
        <v>65.04038799</v>
      </c>
      <c r="G367" s="57">
        <f>IFERROR(__xludf.DUMMYFUNCTION("""COMPUTED_VALUE"""),32.0)</f>
        <v>32</v>
      </c>
      <c r="H367" s="58">
        <f>IFERROR(__xludf.DUMMYFUNCTION("iferror(if(B367="""", ,filter('IDR Import'!D:D,'IDR Import'!A:A=B367,'IDR Import'!C:C=A367)),)"),62.002325899357764)</f>
        <v>62.0023259</v>
      </c>
      <c r="I367" s="58">
        <v>63.521356943717535</v>
      </c>
      <c r="J367" s="59">
        <f t="shared" si="1"/>
        <v>32</v>
      </c>
    </row>
    <row r="368">
      <c r="A368" s="55" t="str">
        <f>IFERROR(__xludf.DUMMYFUNCTION("""COMPUTED_VALUE"""),"Master")</f>
        <v>Master</v>
      </c>
      <c r="B368" s="55" t="str">
        <f>IFERROR(__xludf.DUMMYFUNCTION("""COMPUTED_VALUE"""),"RSC004208")</f>
        <v>RSC004208</v>
      </c>
      <c r="C368" s="60" t="str">
        <f>IFERROR(__xludf.DUMMYFUNCTION("""COMPUTED_VALUE"""),"Super")</f>
        <v>Super</v>
      </c>
      <c r="D368" s="54" t="str">
        <f>IFERROR(__xludf.DUMMYFUNCTION("""COMPUTED_VALUE"""),"Care Bears")</f>
        <v>Care Bears</v>
      </c>
      <c r="E368" s="55" t="str">
        <f>IFERROR(__xludf.DUMMYFUNCTION("""COMPUTED_VALUE"""),"N/A")</f>
        <v>N/A</v>
      </c>
      <c r="F368" s="56">
        <f>IFERROR(__xludf.DUMMYFUNCTION("""COMPUTED_VALUE"""),64.40209102692185)</f>
        <v>64.40209103</v>
      </c>
      <c r="G368" s="57">
        <f>IFERROR(__xludf.DUMMYFUNCTION("""COMPUTED_VALUE"""),56.0)</f>
        <v>56</v>
      </c>
      <c r="H368" s="58">
        <f>IFERROR(__xludf.DUMMYFUNCTION("iferror(if(B368="""", ,filter('IDR Import'!D:D,'IDR Import'!A:A=B368,'IDR Import'!C:C=A368)),)"),67.49329720796362)</f>
        <v>67.49329721</v>
      </c>
      <c r="I368" s="58">
        <v>65.94769411744274</v>
      </c>
      <c r="J368" s="59">
        <f t="shared" si="1"/>
        <v>56</v>
      </c>
    </row>
    <row r="369">
      <c r="A369" s="55" t="str">
        <f>IFERROR(__xludf.DUMMYFUNCTION("""COMPUTED_VALUE"""),"Master")</f>
        <v>Master</v>
      </c>
      <c r="B369" s="55" t="str">
        <f>IFERROR(__xludf.DUMMYFUNCTION("""COMPUTED_VALUE"""),"RSC005690")</f>
        <v>RSC005690</v>
      </c>
      <c r="C369" s="60" t="str">
        <f>IFERROR(__xludf.DUMMYFUNCTION("""COMPUTED_VALUE"""),"DQ.")</f>
        <v>DQ.</v>
      </c>
      <c r="D369" s="54" t="str">
        <f>IFERROR(__xludf.DUMMYFUNCTION("""COMPUTED_VALUE"""),"Oblivion")</f>
        <v>Oblivion</v>
      </c>
      <c r="E369" s="55" t="str">
        <f>IFERROR(__xludf.DUMMYFUNCTION("""COMPUTED_VALUE"""),"N/A")</f>
        <v>N/A</v>
      </c>
      <c r="F369" s="56">
        <f>IFERROR(__xludf.DUMMYFUNCTION("""COMPUTED_VALUE"""),63.48430927826685)</f>
        <v>63.48430928</v>
      </c>
      <c r="G369" s="57">
        <f>IFERROR(__xludf.DUMMYFUNCTION("""COMPUTED_VALUE"""),42.0)</f>
        <v>42</v>
      </c>
      <c r="H369" s="58">
        <f>IFERROR(__xludf.DUMMYFUNCTION("iferror(if(B369="""", ,filter('IDR Import'!D:D,'IDR Import'!A:A=B369,'IDR Import'!C:C=A369)),)"),73.23800878271108)</f>
        <v>73.23800878</v>
      </c>
      <c r="I369" s="58">
        <v>68.36115903048896</v>
      </c>
      <c r="J369" s="59">
        <f t="shared" si="1"/>
        <v>42</v>
      </c>
    </row>
    <row r="370">
      <c r="A370" s="55" t="str">
        <f>IFERROR(__xludf.DUMMYFUNCTION("""COMPUTED_VALUE"""),"Master")</f>
        <v>Master</v>
      </c>
      <c r="B370" s="55" t="str">
        <f>IFERROR(__xludf.DUMMYFUNCTION("""COMPUTED_VALUE"""),"RSC006534")</f>
        <v>RSC006534</v>
      </c>
      <c r="C370" s="60" t="str">
        <f>IFERROR(__xludf.DUMMYFUNCTION("""COMPUTED_VALUE"""),"FIN0oo")</f>
        <v>FIN0oo</v>
      </c>
      <c r="D370" s="54" t="str">
        <f>IFERROR(__xludf.DUMMYFUNCTION("""COMPUTED_VALUE"""),"Kawaii")</f>
        <v>Kawaii</v>
      </c>
      <c r="E370" s="55" t="str">
        <f>IFERROR(__xludf.DUMMYFUNCTION("""COMPUTED_VALUE"""),"N/A")</f>
        <v>N/A</v>
      </c>
      <c r="F370" s="56">
        <f>IFERROR(__xludf.DUMMYFUNCTION("""COMPUTED_VALUE"""),62.97821879286485)</f>
        <v>62.97821879</v>
      </c>
      <c r="G370" s="57">
        <f>IFERROR(__xludf.DUMMYFUNCTION("""COMPUTED_VALUE"""),45.0)</f>
        <v>45</v>
      </c>
      <c r="H370" s="58">
        <f>IFERROR(__xludf.DUMMYFUNCTION("iferror(if(B370="""", ,filter('IDR Import'!D:D,'IDR Import'!A:A=B370,'IDR Import'!C:C=A370)),)"),73.47118139463615)</f>
        <v>73.47118139</v>
      </c>
      <c r="I370" s="58">
        <v>68.2247000937505</v>
      </c>
      <c r="J370" s="59">
        <f t="shared" si="1"/>
        <v>45</v>
      </c>
    </row>
    <row r="371">
      <c r="A371" s="55" t="str">
        <f>IFERROR(__xludf.DUMMYFUNCTION("""COMPUTED_VALUE"""),"Master")</f>
        <v>Master</v>
      </c>
      <c r="B371" s="55" t="str">
        <f>IFERROR(__xludf.DUMMYFUNCTION("""COMPUTED_VALUE"""),"RSC001357")</f>
        <v>RSC001357</v>
      </c>
      <c r="C371" s="60" t="str">
        <f>IFERROR(__xludf.DUMMYFUNCTION("""COMPUTED_VALUE"""),"bubblebuddy47")</f>
        <v>bubblebuddy47</v>
      </c>
      <c r="D371" s="54" t="str">
        <f>IFERROR(__xludf.DUMMYFUNCTION("""COMPUTED_VALUE"""),"Lemurs")</f>
        <v>Lemurs</v>
      </c>
      <c r="E371" s="55" t="str">
        <f>IFERROR(__xludf.DUMMYFUNCTION("""COMPUTED_VALUE"""),"N/A")</f>
        <v>N/A</v>
      </c>
      <c r="F371" s="56">
        <f>IFERROR(__xludf.DUMMYFUNCTION("""COMPUTED_VALUE"""),62.43555826869701)</f>
        <v>62.43555827</v>
      </c>
      <c r="G371" s="57">
        <f>IFERROR(__xludf.DUMMYFUNCTION("""COMPUTED_VALUE"""),4.0)</f>
        <v>4</v>
      </c>
      <c r="H371" s="58">
        <f>IFERROR(__xludf.DUMMYFUNCTION("iferror(if(B371="""", ,filter('IDR Import'!D:D,'IDR Import'!A:A=B371,'IDR Import'!C:C=A371)),)"),37.067914755970946)</f>
        <v>37.06791476</v>
      </c>
      <c r="I371" s="58">
        <v>49.75173651233398</v>
      </c>
      <c r="J371" s="59">
        <f t="shared" si="1"/>
        <v>4</v>
      </c>
    </row>
    <row r="372">
      <c r="A372" s="55" t="str">
        <f>IFERROR(__xludf.DUMMYFUNCTION("""COMPUTED_VALUE"""),"Master")</f>
        <v>Master</v>
      </c>
      <c r="B372" s="55" t="str">
        <f>IFERROR(__xludf.DUMMYFUNCTION("""COMPUTED_VALUE"""),"RSC001935")</f>
        <v>RSC001935</v>
      </c>
      <c r="C372" s="60" t="str">
        <f>IFERROR(__xludf.DUMMYFUNCTION("""COMPUTED_VALUE"""),"Kenobs")</f>
        <v>Kenobs</v>
      </c>
      <c r="D372" s="54" t="str">
        <f>IFERROR(__xludf.DUMMYFUNCTION("""COMPUTED_VALUE"""),"Oblivion
Lemurs")</f>
        <v>Oblivion
Lemurs</v>
      </c>
      <c r="E372" s="55" t="str">
        <f>IFERROR(__xludf.DUMMYFUNCTION("""COMPUTED_VALUE"""),"N/A
N/A")</f>
        <v>N/A
N/A</v>
      </c>
      <c r="F372" s="56">
        <f>IFERROR(__xludf.DUMMYFUNCTION("""COMPUTED_VALUE"""),61.141941092145075)</f>
        <v>61.14194109</v>
      </c>
      <c r="G372" s="57">
        <f>IFERROR(__xludf.DUMMYFUNCTION("""COMPUTED_VALUE"""),40.0)</f>
        <v>40</v>
      </c>
      <c r="H372" s="58">
        <f>IFERROR(__xludf.DUMMYFUNCTION("iferror(if(B372="""", ,filter('IDR Import'!D:D,'IDR Import'!A:A=B372,'IDR Import'!C:C=A372)),)"),54.38414977536589)</f>
        <v>54.38414978</v>
      </c>
      <c r="I372" s="58">
        <v>57.76304543375548</v>
      </c>
      <c r="J372" s="59">
        <f t="shared" si="1"/>
        <v>40</v>
      </c>
    </row>
    <row r="373">
      <c r="A373" s="55" t="str">
        <f>IFERROR(__xludf.DUMMYFUNCTION("""COMPUTED_VALUE"""),"Master")</f>
        <v>Master</v>
      </c>
      <c r="B373" s="55" t="str">
        <f>IFERROR(__xludf.DUMMYFUNCTION("""COMPUTED_VALUE"""),"RSC000739")</f>
        <v>RSC000739</v>
      </c>
      <c r="C373" s="60" t="str">
        <f>IFERROR(__xludf.DUMMYFUNCTION("""COMPUTED_VALUE"""),"Salty")</f>
        <v>Salty</v>
      </c>
      <c r="D373" s="54" t="str">
        <f>IFERROR(__xludf.DUMMYFUNCTION("""COMPUTED_VALUE"""),"Battle Masters
Lemurs")</f>
        <v>Battle Masters
Lemurs</v>
      </c>
      <c r="E373" s="55" t="str">
        <f>IFERROR(__xludf.DUMMYFUNCTION("""COMPUTED_VALUE"""),"N/A
N/A")</f>
        <v>N/A
N/A</v>
      </c>
      <c r="F373" s="56">
        <f>IFERROR(__xludf.DUMMYFUNCTION("""COMPUTED_VALUE"""),60.82837984808214)</f>
        <v>60.82837985</v>
      </c>
      <c r="G373" s="57">
        <f>IFERROR(__xludf.DUMMYFUNCTION("""COMPUTED_VALUE"""),11.0)</f>
        <v>11</v>
      </c>
      <c r="H373" s="58">
        <f>IFERROR(__xludf.DUMMYFUNCTION("iferror(if(B373="""", ,filter('IDR Import'!D:D,'IDR Import'!A:A=B373,'IDR Import'!C:C=A373)),)"),58.31879799718024)</f>
        <v>58.318798</v>
      </c>
      <c r="I373" s="58">
        <v>59.57358892263119</v>
      </c>
      <c r="J373" s="59">
        <f t="shared" si="1"/>
        <v>11</v>
      </c>
    </row>
    <row r="374">
      <c r="A374" s="55" t="str">
        <f>IFERROR(__xludf.DUMMYFUNCTION("""COMPUTED_VALUE"""),"Master")</f>
        <v>Master</v>
      </c>
      <c r="B374" s="55" t="str">
        <f>IFERROR(__xludf.DUMMYFUNCTION("""COMPUTED_VALUE"""),"RSC005290")</f>
        <v>RSC005290</v>
      </c>
      <c r="C374" s="60" t="str">
        <f>IFERROR(__xludf.DUMMYFUNCTION("""COMPUTED_VALUE"""),"IMOLDGREG67")</f>
        <v>IMOLDGREG67</v>
      </c>
      <c r="D374" s="54" t="str">
        <f>IFERROR(__xludf.DUMMYFUNCTION("""COMPUTED_VALUE"""),"Kawaii")</f>
        <v>Kawaii</v>
      </c>
      <c r="E374" s="55" t="str">
        <f>IFERROR(__xludf.DUMMYFUNCTION("""COMPUTED_VALUE"""),"N/A")</f>
        <v>N/A</v>
      </c>
      <c r="F374" s="56">
        <f>IFERROR(__xludf.DUMMYFUNCTION("""COMPUTED_VALUE"""),59.87159602692533)</f>
        <v>59.87159603</v>
      </c>
      <c r="G374" s="57">
        <f>IFERROR(__xludf.DUMMYFUNCTION("""COMPUTED_VALUE"""),34.0)</f>
        <v>34</v>
      </c>
      <c r="H374" s="58">
        <f>IFERROR(__xludf.DUMMYFUNCTION("iferror(if(B374="""", ,filter('IDR Import'!D:D,'IDR Import'!A:A=B374,'IDR Import'!C:C=A374)),)"),84.95496014259564)</f>
        <v>84.95496014</v>
      </c>
      <c r="I374" s="58">
        <v>72.41327808476049</v>
      </c>
      <c r="J374" s="59">
        <f t="shared" si="1"/>
        <v>34</v>
      </c>
    </row>
    <row r="375">
      <c r="A375" s="55" t="str">
        <f>IFERROR(__xludf.DUMMYFUNCTION("""COMPUTED_VALUE"""),"Master")</f>
        <v>Master</v>
      </c>
      <c r="B375" s="55" t="str">
        <f>IFERROR(__xludf.DUMMYFUNCTION("""COMPUTED_VALUE"""),"RSC008171")</f>
        <v>RSC008171</v>
      </c>
      <c r="C375" s="60" t="str">
        <f>IFERROR(__xludf.DUMMYFUNCTION("""COMPUTED_VALUE"""),"Shxde")</f>
        <v>Shxde</v>
      </c>
      <c r="D375" s="54" t="str">
        <f>IFERROR(__xludf.DUMMYFUNCTION("""COMPUTED_VALUE"""),"Fromunda Frauds")</f>
        <v>Fromunda Frauds</v>
      </c>
      <c r="E375" s="55" t="str">
        <f>IFERROR(__xludf.DUMMYFUNCTION("""COMPUTED_VALUE"""),"N/A")</f>
        <v>N/A</v>
      </c>
      <c r="F375" s="56">
        <f>IFERROR(__xludf.DUMMYFUNCTION("""COMPUTED_VALUE"""),58.22249904160408)</f>
        <v>58.22249904</v>
      </c>
      <c r="G375" s="57">
        <f>IFERROR(__xludf.DUMMYFUNCTION("""COMPUTED_VALUE"""),56.0)</f>
        <v>56</v>
      </c>
      <c r="H375" s="58">
        <f>IFERROR(__xludf.DUMMYFUNCTION("iferror(if(B375="""", ,filter('IDR Import'!D:D,'IDR Import'!A:A=B375,'IDR Import'!C:C=A375)),)"),62.62387632419092)</f>
        <v>62.62387632</v>
      </c>
      <c r="I375" s="58">
        <v>60.4231876828975</v>
      </c>
      <c r="J375" s="59">
        <f t="shared" si="1"/>
        <v>56</v>
      </c>
    </row>
    <row r="376">
      <c r="A376" s="55" t="str">
        <f>IFERROR(__xludf.DUMMYFUNCTION("""COMPUTED_VALUE"""),"Master")</f>
        <v>Master</v>
      </c>
      <c r="B376" s="55" t="str">
        <f>IFERROR(__xludf.DUMMYFUNCTION("""COMPUTED_VALUE"""),"RSC005899")</f>
        <v>RSC005899</v>
      </c>
      <c r="C376" s="60" t="str">
        <f>IFERROR(__xludf.DUMMYFUNCTION("""COMPUTED_VALUE"""),"DJDancingDuckGif")</f>
        <v>DJDancingDuckGif</v>
      </c>
      <c r="D376" s="54" t="str">
        <f>IFERROR(__xludf.DUMMYFUNCTION("""COMPUTED_VALUE"""),"Battle Masters
Kawaii")</f>
        <v>Battle Masters
Kawaii</v>
      </c>
      <c r="E376" s="55" t="str">
        <f>IFERROR(__xludf.DUMMYFUNCTION("""COMPUTED_VALUE"""),"N/A
N/A")</f>
        <v>N/A
N/A</v>
      </c>
      <c r="F376" s="56">
        <f>IFERROR(__xludf.DUMMYFUNCTION("""COMPUTED_VALUE"""),58.08096429529926)</f>
        <v>58.0809643</v>
      </c>
      <c r="G376" s="57">
        <f>IFERROR(__xludf.DUMMYFUNCTION("""COMPUTED_VALUE"""),44.0)</f>
        <v>44</v>
      </c>
      <c r="H376" s="58">
        <f>IFERROR(__xludf.DUMMYFUNCTION("iferror(if(B376="""", ,filter('IDR Import'!D:D,'IDR Import'!A:A=B376,'IDR Import'!C:C=A376)),)"),43.38030364303292)</f>
        <v>43.38030364</v>
      </c>
      <c r="I376" s="58">
        <v>50.73063396916609</v>
      </c>
      <c r="J376" s="59">
        <f t="shared" si="1"/>
        <v>44</v>
      </c>
    </row>
    <row r="377">
      <c r="A377" s="55" t="str">
        <f>IFERROR(__xludf.DUMMYFUNCTION("""COMPUTED_VALUE"""),"Master")</f>
        <v>Master</v>
      </c>
      <c r="B377" s="55" t="str">
        <f>IFERROR(__xludf.DUMMYFUNCTION("""COMPUTED_VALUE"""),"RSC003728")</f>
        <v>RSC003728</v>
      </c>
      <c r="C377" s="60" t="str">
        <f>IFERROR(__xludf.DUMMYFUNCTION("""COMPUTED_VALUE"""),"yillow")</f>
        <v>yillow</v>
      </c>
      <c r="D377" s="54" t="str">
        <f>IFERROR(__xludf.DUMMYFUNCTION("""COMPUTED_VALUE"""),"Lemurs
Permafrost")</f>
        <v>Lemurs
Permafrost</v>
      </c>
      <c r="E377" s="55" t="str">
        <f>IFERROR(__xludf.DUMMYFUNCTION("""COMPUTED_VALUE"""),"N/A
N/A")</f>
        <v>N/A
N/A</v>
      </c>
      <c r="F377" s="56">
        <f>IFERROR(__xludf.DUMMYFUNCTION("""COMPUTED_VALUE"""),57.986778854678256)</f>
        <v>57.98677885</v>
      </c>
      <c r="G377" s="57">
        <f>IFERROR(__xludf.DUMMYFUNCTION("""COMPUTED_VALUE"""),40.0)</f>
        <v>40</v>
      </c>
      <c r="H377" s="58">
        <f>IFERROR(__xludf.DUMMYFUNCTION("iferror(if(B377="""", ,filter('IDR Import'!D:D,'IDR Import'!A:A=B377,'IDR Import'!C:C=A377)),)"),48.93940998404988)</f>
        <v>48.93940998</v>
      </c>
      <c r="I377" s="58">
        <v>53.46309441936407</v>
      </c>
      <c r="J377" s="59">
        <f t="shared" si="1"/>
        <v>40</v>
      </c>
    </row>
    <row r="378">
      <c r="A378" s="55" t="str">
        <f>IFERROR(__xludf.DUMMYFUNCTION("""COMPUTED_VALUE"""),"Master")</f>
        <v>Master</v>
      </c>
      <c r="B378" s="55" t="str">
        <f>IFERROR(__xludf.DUMMYFUNCTION("""COMPUTED_VALUE"""),"RSC008242")</f>
        <v>RSC008242</v>
      </c>
      <c r="C378" s="60" t="str">
        <f>IFERROR(__xludf.DUMMYFUNCTION("""COMPUTED_VALUE"""),"Snipes")</f>
        <v>Snipes</v>
      </c>
      <c r="D378" s="54" t="str">
        <f>IFERROR(__xludf.DUMMYFUNCTION("""COMPUTED_VALUE"""),"Reapers")</f>
        <v>Reapers</v>
      </c>
      <c r="E378" s="55" t="str">
        <f>IFERROR(__xludf.DUMMYFUNCTION("""COMPUTED_VALUE"""),"N/A")</f>
        <v>N/A</v>
      </c>
      <c r="F378" s="56">
        <f>IFERROR(__xludf.DUMMYFUNCTION("""COMPUTED_VALUE"""),55.905772108253714)</f>
        <v>55.90577211</v>
      </c>
      <c r="G378" s="57">
        <f>IFERROR(__xludf.DUMMYFUNCTION("""COMPUTED_VALUE"""),53.0)</f>
        <v>53</v>
      </c>
      <c r="H378" s="58">
        <f>IFERROR(__xludf.DUMMYFUNCTION("iferror(if(B378="""", ,filter('IDR Import'!D:D,'IDR Import'!A:A=B378,'IDR Import'!C:C=A378)),)"),48.59985802722172)</f>
        <v>48.59985803</v>
      </c>
      <c r="I378" s="58">
        <v>52.252815067737714</v>
      </c>
      <c r="J378" s="59">
        <f t="shared" si="1"/>
        <v>53</v>
      </c>
    </row>
    <row r="379">
      <c r="A379" s="55" t="str">
        <f>IFERROR(__xludf.DUMMYFUNCTION("""COMPUTED_VALUE"""),"Master")</f>
        <v>Master</v>
      </c>
      <c r="B379" s="55" t="str">
        <f>IFERROR(__xludf.DUMMYFUNCTION("""COMPUTED_VALUE"""),"RSC005024")</f>
        <v>RSC005024</v>
      </c>
      <c r="C379" s="60" t="str">
        <f>IFERROR(__xludf.DUMMYFUNCTION("""COMPUTED_VALUE"""),"SSpekky")</f>
        <v>SSpekky</v>
      </c>
      <c r="D379" s="54" t="str">
        <f>IFERROR(__xludf.DUMMYFUNCTION("""COMPUTED_VALUE"""),"Reapers")</f>
        <v>Reapers</v>
      </c>
      <c r="E379" s="55" t="str">
        <f>IFERROR(__xludf.DUMMYFUNCTION("""COMPUTED_VALUE"""),"N/A")</f>
        <v>N/A</v>
      </c>
      <c r="F379" s="56">
        <f>IFERROR(__xludf.DUMMYFUNCTION("""COMPUTED_VALUE"""),55.26310835378887)</f>
        <v>55.26310835</v>
      </c>
      <c r="G379" s="57">
        <f>IFERROR(__xludf.DUMMYFUNCTION("""COMPUTED_VALUE"""),48.0)</f>
        <v>48</v>
      </c>
      <c r="H379" s="58">
        <f>IFERROR(__xludf.DUMMYFUNCTION("iferror(if(B379="""", ,filter('IDR Import'!D:D,'IDR Import'!A:A=B379,'IDR Import'!C:C=A379)),)"),58.49059896040086)</f>
        <v>58.49059896</v>
      </c>
      <c r="I379" s="58">
        <v>56.87685365709487</v>
      </c>
      <c r="J379" s="59">
        <f t="shared" si="1"/>
        <v>48</v>
      </c>
    </row>
    <row r="380">
      <c r="A380" s="55" t="str">
        <f>IFERROR(__xludf.DUMMYFUNCTION("""COMPUTED_VALUE"""),"Master")</f>
        <v>Master</v>
      </c>
      <c r="B380" s="55" t="str">
        <f>IFERROR(__xludf.DUMMYFUNCTION("""COMPUTED_VALUE"""),"RSC007558")</f>
        <v>RSC007558</v>
      </c>
      <c r="C380" s="60" t="str">
        <f>IFERROR(__xludf.DUMMYFUNCTION("""COMPUTED_VALUE"""),"Frijole")</f>
        <v>Frijole</v>
      </c>
      <c r="D380" s="54" t="str">
        <f>IFERROR(__xludf.DUMMYFUNCTION("""COMPUTED_VALUE"""),"Fromunda Frauds")</f>
        <v>Fromunda Frauds</v>
      </c>
      <c r="E380" s="55" t="str">
        <f>IFERROR(__xludf.DUMMYFUNCTION("""COMPUTED_VALUE"""),"N/A")</f>
        <v>N/A</v>
      </c>
      <c r="F380" s="56">
        <f>IFERROR(__xludf.DUMMYFUNCTION("""COMPUTED_VALUE"""),55.11052978401292)</f>
        <v>55.11052978</v>
      </c>
      <c r="G380" s="57">
        <f>IFERROR(__xludf.DUMMYFUNCTION("""COMPUTED_VALUE"""),51.0)</f>
        <v>51</v>
      </c>
      <c r="H380" s="58">
        <f>IFERROR(__xludf.DUMMYFUNCTION("iferror(if(B380="""", ,filter('IDR Import'!D:D,'IDR Import'!A:A=B380,'IDR Import'!C:C=A380)),)"),61.63930258425907)</f>
        <v>61.63930258</v>
      </c>
      <c r="I380" s="58">
        <v>58.374916184136</v>
      </c>
      <c r="J380" s="59">
        <f t="shared" si="1"/>
        <v>51</v>
      </c>
    </row>
    <row r="381">
      <c r="A381" s="55" t="str">
        <f>IFERROR(__xludf.DUMMYFUNCTION("""COMPUTED_VALUE"""),"Master")</f>
        <v>Master</v>
      </c>
      <c r="B381" s="55" t="str">
        <f>IFERROR(__xludf.DUMMYFUNCTION("""COMPUTED_VALUE"""),"RSC002490")</f>
        <v>RSC002490</v>
      </c>
      <c r="C381" s="60" t="str">
        <f>IFERROR(__xludf.DUMMYFUNCTION("""COMPUTED_VALUE"""),"6-7!")</f>
        <v>6-7!</v>
      </c>
      <c r="D381" s="54" t="str">
        <f>IFERROR(__xludf.DUMMYFUNCTION("""COMPUTED_VALUE"""),"Permafrost")</f>
        <v>Permafrost</v>
      </c>
      <c r="E381" s="55" t="str">
        <f>IFERROR(__xludf.DUMMYFUNCTION("""COMPUTED_VALUE"""),"N/A")</f>
        <v>N/A</v>
      </c>
      <c r="F381" s="56">
        <f>IFERROR(__xludf.DUMMYFUNCTION("""COMPUTED_VALUE"""),52.6848471924953)</f>
        <v>52.68484719</v>
      </c>
      <c r="G381" s="57">
        <f>IFERROR(__xludf.DUMMYFUNCTION("""COMPUTED_VALUE"""),48.0)</f>
        <v>48</v>
      </c>
      <c r="H381" s="58">
        <f>IFERROR(__xludf.DUMMYFUNCTION("iferror(if(B381="""", ,filter('IDR Import'!D:D,'IDR Import'!A:A=B381,'IDR Import'!C:C=A381)),)"),54.059280208025484)</f>
        <v>54.05928021</v>
      </c>
      <c r="I381" s="58">
        <v>53.37206370026039</v>
      </c>
      <c r="J381" s="59">
        <f t="shared" si="1"/>
        <v>48</v>
      </c>
    </row>
    <row r="382">
      <c r="A382" s="55" t="str">
        <f>IFERROR(__xludf.DUMMYFUNCTION("""COMPUTED_VALUE"""),"Master")</f>
        <v>Master</v>
      </c>
      <c r="B382" s="55" t="str">
        <f>IFERROR(__xludf.DUMMYFUNCTION("""COMPUTED_VALUE"""),"RSC001927")</f>
        <v>RSC001927</v>
      </c>
      <c r="C382" s="60" t="str">
        <f>IFERROR(__xludf.DUMMYFUNCTION("""COMPUTED_VALUE"""),"Ghxst")</f>
        <v>Ghxst</v>
      </c>
      <c r="D382" s="54" t="str">
        <f>IFERROR(__xludf.DUMMYFUNCTION("""COMPUTED_VALUE"""),"Permafrost")</f>
        <v>Permafrost</v>
      </c>
      <c r="E382" s="55" t="str">
        <f>IFERROR(__xludf.DUMMYFUNCTION("""COMPUTED_VALUE"""),"N/A")</f>
        <v>N/A</v>
      </c>
      <c r="F382" s="56">
        <f>IFERROR(__xludf.DUMMYFUNCTION("""COMPUTED_VALUE"""),50.08729090771073)</f>
        <v>50.08729091</v>
      </c>
      <c r="G382" s="57">
        <f>IFERROR(__xludf.DUMMYFUNCTION("""COMPUTED_VALUE"""),44.0)</f>
        <v>44</v>
      </c>
      <c r="H382" s="58">
        <f>IFERROR(__xludf.DUMMYFUNCTION("iferror(if(B382="""", ,filter('IDR Import'!D:D,'IDR Import'!A:A=B382,'IDR Import'!C:C=A382)),)"),42.54499402207633)</f>
        <v>42.54499402</v>
      </c>
      <c r="I382" s="58">
        <v>46.31614246489353</v>
      </c>
      <c r="J382" s="59">
        <f t="shared" si="1"/>
        <v>44</v>
      </c>
    </row>
    <row r="383">
      <c r="A383" s="55" t="str">
        <f>IFERROR(__xludf.DUMMYFUNCTION("""COMPUTED_VALUE"""),"Master")</f>
        <v>Master</v>
      </c>
      <c r="B383" s="55" t="str">
        <f>IFERROR(__xludf.DUMMYFUNCTION("""COMPUTED_VALUE"""),"RSC005705")</f>
        <v>RSC005705</v>
      </c>
      <c r="C383" s="60" t="str">
        <f>IFERROR(__xludf.DUMMYFUNCTION("""COMPUTED_VALUE"""),"Rapidz (Goofy and Silly)")</f>
        <v>Rapidz (Goofy and Silly)</v>
      </c>
      <c r="D383" s="54" t="str">
        <f>IFERROR(__xludf.DUMMYFUNCTION("""COMPUTED_VALUE"""),"Oblivion
Lemurs
Andromeda")</f>
        <v>Oblivion
Lemurs
Andromeda</v>
      </c>
      <c r="E383" s="55" t="str">
        <f>IFERROR(__xludf.DUMMYFUNCTION("""COMPUTED_VALUE"""),"N/A
N/A
N/A")</f>
        <v>N/A
N/A
N/A</v>
      </c>
      <c r="F383" s="56">
        <f>IFERROR(__xludf.DUMMYFUNCTION("""COMPUTED_VALUE"""),48.99478895657977)</f>
        <v>48.99478896</v>
      </c>
      <c r="G383" s="57">
        <f>IFERROR(__xludf.DUMMYFUNCTION("""COMPUTED_VALUE"""),32.0)</f>
        <v>32</v>
      </c>
      <c r="H383" s="58">
        <f>IFERROR(__xludf.DUMMYFUNCTION("iferror(if(B383="""", ,filter('IDR Import'!D:D,'IDR Import'!A:A=B383,'IDR Import'!C:C=A383)),)"),54.85019815443443)</f>
        <v>54.85019815</v>
      </c>
      <c r="I383" s="58">
        <v>51.9224935555071</v>
      </c>
      <c r="J383" s="59">
        <f t="shared" si="1"/>
        <v>32</v>
      </c>
    </row>
    <row r="384">
      <c r="A384" s="55" t="str">
        <f>IFERROR(__xludf.DUMMYFUNCTION("""COMPUTED_VALUE"""),"Master")</f>
        <v>Master</v>
      </c>
      <c r="B384" s="55" t="str">
        <f>IFERROR(__xludf.DUMMYFUNCTION("""COMPUTED_VALUE"""),"RSC004698")</f>
        <v>RSC004698</v>
      </c>
      <c r="C384" s="60" t="str">
        <f>IFERROR(__xludf.DUMMYFUNCTION("""COMPUTED_VALUE"""),"Slvr.")</f>
        <v>Slvr.</v>
      </c>
      <c r="D384" s="54" t="str">
        <f>IFERROR(__xludf.DUMMYFUNCTION("""COMPUTED_VALUE"""),"Oblivion")</f>
        <v>Oblivion</v>
      </c>
      <c r="E384" s="55" t="str">
        <f>IFERROR(__xludf.DUMMYFUNCTION("""COMPUTED_VALUE"""),"N/A")</f>
        <v>N/A</v>
      </c>
      <c r="F384" s="56">
        <f>IFERROR(__xludf.DUMMYFUNCTION("""COMPUTED_VALUE"""),48.92993579559455)</f>
        <v>48.9299358</v>
      </c>
      <c r="G384" s="57">
        <f>IFERROR(__xludf.DUMMYFUNCTION("""COMPUTED_VALUE"""),44.0)</f>
        <v>44</v>
      </c>
      <c r="H384" s="58">
        <f>IFERROR(__xludf.DUMMYFUNCTION("iferror(if(B384="""", ,filter('IDR Import'!D:D,'IDR Import'!A:A=B384,'IDR Import'!C:C=A384)),)"),47.37242589207393)</f>
        <v>47.37242589</v>
      </c>
      <c r="I384" s="58">
        <v>48.15118084383424</v>
      </c>
      <c r="J384" s="59">
        <f t="shared" si="1"/>
        <v>44</v>
      </c>
    </row>
    <row r="385">
      <c r="A385" s="55" t="str">
        <f>IFERROR(__xludf.DUMMYFUNCTION("""COMPUTED_VALUE"""),"Master")</f>
        <v>Master</v>
      </c>
      <c r="B385" s="55" t="str">
        <f>IFERROR(__xludf.DUMMYFUNCTION("""COMPUTED_VALUE"""),"RSC003445")</f>
        <v>RSC003445</v>
      </c>
      <c r="C385" s="60" t="str">
        <f>IFERROR(__xludf.DUMMYFUNCTION("""COMPUTED_VALUE"""),"bosco")</f>
        <v>bosco</v>
      </c>
      <c r="D385" s="54" t="str">
        <f>IFERROR(__xludf.DUMMYFUNCTION("""COMPUTED_VALUE"""),"Lemurs
Kawaii
Helicoprions")</f>
        <v>Lemurs
Kawaii
Helicoprions</v>
      </c>
      <c r="E385" s="55" t="str">
        <f>IFERROR(__xludf.DUMMYFUNCTION("""COMPUTED_VALUE"""),"N/A
N/A
N/A")</f>
        <v>N/A
N/A
N/A</v>
      </c>
      <c r="F385" s="56">
        <f>IFERROR(__xludf.DUMMYFUNCTION("""COMPUTED_VALUE"""),48.21795033269317)</f>
        <v>48.21795033</v>
      </c>
      <c r="G385" s="57">
        <f>IFERROR(__xludf.DUMMYFUNCTION("""COMPUTED_VALUE"""),12.0)</f>
        <v>12</v>
      </c>
      <c r="H385" s="58">
        <f>IFERROR(__xludf.DUMMYFUNCTION("iferror(if(B385="""", ,filter('IDR Import'!D:D,'IDR Import'!A:A=B385,'IDR Import'!C:C=A385)),)"),37.53626040150368)</f>
        <v>37.5362604</v>
      </c>
      <c r="I385" s="58">
        <v>42.87710536709842</v>
      </c>
      <c r="J385" s="59">
        <f t="shared" si="1"/>
        <v>12</v>
      </c>
    </row>
    <row r="386">
      <c r="A386" s="55" t="str">
        <f>IFERROR(__xludf.DUMMYFUNCTION("""COMPUTED_VALUE"""),"Master")</f>
        <v>Master</v>
      </c>
      <c r="B386" s="55" t="str">
        <f>IFERROR(__xludf.DUMMYFUNCTION("""COMPUTED_VALUE"""),"RSC000657")</f>
        <v>RSC000657</v>
      </c>
      <c r="C386" s="60" t="str">
        <f>IFERROR(__xludf.DUMMYFUNCTION("""COMPUTED_VALUE"""),"Saucey")</f>
        <v>Saucey</v>
      </c>
      <c r="D386" s="54" t="str">
        <f>IFERROR(__xludf.DUMMYFUNCTION("""COMPUTED_VALUE"""),"Fromunda Frauds")</f>
        <v>Fromunda Frauds</v>
      </c>
      <c r="E386" s="55" t="str">
        <f>IFERROR(__xludf.DUMMYFUNCTION("""COMPUTED_VALUE"""),"N/A")</f>
        <v>N/A</v>
      </c>
      <c r="F386" s="56">
        <f>IFERROR(__xludf.DUMMYFUNCTION("""COMPUTED_VALUE"""),48.15766722176771)</f>
        <v>48.15766722</v>
      </c>
      <c r="G386" s="57">
        <f>IFERROR(__xludf.DUMMYFUNCTION("""COMPUTED_VALUE"""),48.0)</f>
        <v>48</v>
      </c>
      <c r="H386" s="58">
        <f>IFERROR(__xludf.DUMMYFUNCTION("iferror(if(B386="""", ,filter('IDR Import'!D:D,'IDR Import'!A:A=B386,'IDR Import'!C:C=A386)),)"),50.629858627339004)</f>
        <v>50.62985863</v>
      </c>
      <c r="I386" s="58">
        <v>49.39376292455336</v>
      </c>
      <c r="J386" s="59">
        <f t="shared" si="1"/>
        <v>48</v>
      </c>
    </row>
    <row r="387">
      <c r="A387" s="55" t="str">
        <f>IFERROR(__xludf.DUMMYFUNCTION("""COMPUTED_VALUE"""),"Master")</f>
        <v>Master</v>
      </c>
      <c r="B387" s="55" t="str">
        <f>IFERROR(__xludf.DUMMYFUNCTION("""COMPUTED_VALUE"""),"RSC000330")</f>
        <v>RSC000330</v>
      </c>
      <c r="C387" s="60" t="str">
        <f>IFERROR(__xludf.DUMMYFUNCTION("""COMPUTED_VALUE"""),"Infinite")</f>
        <v>Infinite</v>
      </c>
      <c r="D387" s="54" t="str">
        <f>IFERROR(__xludf.DUMMYFUNCTION("""COMPUTED_VALUE"""),"Oblivion")</f>
        <v>Oblivion</v>
      </c>
      <c r="E387" s="55" t="str">
        <f>IFERROR(__xludf.DUMMYFUNCTION("""COMPUTED_VALUE"""),"N/A")</f>
        <v>N/A</v>
      </c>
      <c r="F387" s="56">
        <f>IFERROR(__xludf.DUMMYFUNCTION("""COMPUTED_VALUE"""),48.140285991594205)</f>
        <v>48.14028599</v>
      </c>
      <c r="G387" s="57">
        <f>IFERROR(__xludf.DUMMYFUNCTION("""COMPUTED_VALUE"""),42.0)</f>
        <v>42</v>
      </c>
      <c r="H387" s="58">
        <f>IFERROR(__xludf.DUMMYFUNCTION("iferror(if(B387="""", ,filter('IDR Import'!D:D,'IDR Import'!A:A=B387,'IDR Import'!C:C=A387)),)"),41.082062353827766)</f>
        <v>41.08206235</v>
      </c>
      <c r="I387" s="58">
        <v>44.61117417271099</v>
      </c>
      <c r="J387" s="59">
        <f t="shared" si="1"/>
        <v>42</v>
      </c>
    </row>
    <row r="388">
      <c r="A388" s="55" t="str">
        <f>IFERROR(__xludf.DUMMYFUNCTION("""COMPUTED_VALUE"""),"Master")</f>
        <v>Master</v>
      </c>
      <c r="B388" s="55" t="str">
        <f>IFERROR(__xludf.DUMMYFUNCTION("""COMPUTED_VALUE"""),"RSC006087")</f>
        <v>RSC006087</v>
      </c>
      <c r="C388" s="60" t="str">
        <f>IFERROR(__xludf.DUMMYFUNCTION("""COMPUTED_VALUE"""),"DoorTK")</f>
        <v>DoorTK</v>
      </c>
      <c r="D388" s="54" t="str">
        <f>IFERROR(__xludf.DUMMYFUNCTION("""COMPUTED_VALUE"""),"Lemurs")</f>
        <v>Lemurs</v>
      </c>
      <c r="E388" s="55" t="str">
        <f>IFERROR(__xludf.DUMMYFUNCTION("""COMPUTED_VALUE"""),"N/A")</f>
        <v>N/A</v>
      </c>
      <c r="F388" s="56">
        <f>IFERROR(__xludf.DUMMYFUNCTION("""COMPUTED_VALUE"""),48.11536678380678)</f>
        <v>48.11536678</v>
      </c>
      <c r="G388" s="57">
        <f>IFERROR(__xludf.DUMMYFUNCTION("""COMPUTED_VALUE"""),49.0)</f>
        <v>49</v>
      </c>
      <c r="H388" s="58">
        <f>IFERROR(__xludf.DUMMYFUNCTION("iferror(if(B388="""", ,filter('IDR Import'!D:D,'IDR Import'!A:A=B388,'IDR Import'!C:C=A388)),)"),55.297609959638095)</f>
        <v>55.29760996</v>
      </c>
      <c r="I388" s="58">
        <v>51.706488371722436</v>
      </c>
      <c r="J388" s="59">
        <f t="shared" si="1"/>
        <v>49</v>
      </c>
    </row>
    <row r="389">
      <c r="A389" s="55" t="str">
        <f>IFERROR(__xludf.DUMMYFUNCTION("""COMPUTED_VALUE"""),"Master")</f>
        <v>Master</v>
      </c>
      <c r="B389" s="55" t="str">
        <f>IFERROR(__xludf.DUMMYFUNCTION("""COMPUTED_VALUE"""),"RSC007166")</f>
        <v>RSC007166</v>
      </c>
      <c r="C389" s="60" t="str">
        <f>IFERROR(__xludf.DUMMYFUNCTION("""COMPUTED_VALUE"""),"nelz")</f>
        <v>nelz</v>
      </c>
      <c r="D389" s="54" t="str">
        <f>IFERROR(__xludf.DUMMYFUNCTION("""COMPUTED_VALUE"""),"Helicoprions")</f>
        <v>Helicoprions</v>
      </c>
      <c r="E389" s="55" t="str">
        <f>IFERROR(__xludf.DUMMYFUNCTION("""COMPUTED_VALUE"""),"N/A")</f>
        <v>N/A</v>
      </c>
      <c r="F389" s="56">
        <f>IFERROR(__xludf.DUMMYFUNCTION("""COMPUTED_VALUE"""),48.06208047400098)</f>
        <v>48.06208047</v>
      </c>
      <c r="G389" s="57">
        <f>IFERROR(__xludf.DUMMYFUNCTION("""COMPUTED_VALUE"""),48.0)</f>
        <v>48</v>
      </c>
      <c r="H389" s="58">
        <f>IFERROR(__xludf.DUMMYFUNCTION("iferror(if(B389="""", ,filter('IDR Import'!D:D,'IDR Import'!A:A=B389,'IDR Import'!C:C=A389)),)"),46.42187047125282)</f>
        <v>46.42187047</v>
      </c>
      <c r="I389" s="58">
        <v>47.2419754726269</v>
      </c>
      <c r="J389" s="59">
        <f t="shared" si="1"/>
        <v>48</v>
      </c>
    </row>
    <row r="390">
      <c r="A390" s="55" t="str">
        <f>IFERROR(__xludf.DUMMYFUNCTION("""COMPUTED_VALUE"""),"Master")</f>
        <v>Master</v>
      </c>
      <c r="B390" s="55" t="str">
        <f>IFERROR(__xludf.DUMMYFUNCTION("""COMPUTED_VALUE"""),"RSC005234")</f>
        <v>RSC005234</v>
      </c>
      <c r="C390" s="60" t="str">
        <f>IFERROR(__xludf.DUMMYFUNCTION("""COMPUTED_VALUE"""),"Hirsch")</f>
        <v>Hirsch</v>
      </c>
      <c r="D390" s="54" t="str">
        <f>IFERROR(__xludf.DUMMYFUNCTION("""COMPUTED_VALUE"""),"Oblivion")</f>
        <v>Oblivion</v>
      </c>
      <c r="E390" s="55" t="str">
        <f>IFERROR(__xludf.DUMMYFUNCTION("""COMPUTED_VALUE"""),"N/A")</f>
        <v>N/A</v>
      </c>
      <c r="F390" s="56">
        <f>IFERROR(__xludf.DUMMYFUNCTION("""COMPUTED_VALUE"""),47.93259132411976)</f>
        <v>47.93259132</v>
      </c>
      <c r="G390" s="57">
        <f>IFERROR(__xludf.DUMMYFUNCTION("""COMPUTED_VALUE"""),30.0)</f>
        <v>30</v>
      </c>
      <c r="H390" s="58">
        <f>IFERROR(__xludf.DUMMYFUNCTION("iferror(if(B390="""", ,filter('IDR Import'!D:D,'IDR Import'!A:A=B390,'IDR Import'!C:C=A390)),)"),37.41723678945241)</f>
        <v>37.41723679</v>
      </c>
      <c r="I390" s="58">
        <v>42.674914056786086</v>
      </c>
      <c r="J390" s="59">
        <f t="shared" si="1"/>
        <v>30</v>
      </c>
    </row>
    <row r="391">
      <c r="A391" s="55" t="str">
        <f>IFERROR(__xludf.DUMMYFUNCTION("""COMPUTED_VALUE"""),"Master")</f>
        <v>Master</v>
      </c>
      <c r="B391" s="55" t="str">
        <f>IFERROR(__xludf.DUMMYFUNCTION("""COMPUTED_VALUE"""),"RSC000714")</f>
        <v>RSC000714</v>
      </c>
      <c r="C391" s="60" t="str">
        <f>IFERROR(__xludf.DUMMYFUNCTION("""COMPUTED_VALUE"""),"duffy")</f>
        <v>duffy</v>
      </c>
      <c r="D391" s="54" t="str">
        <f>IFERROR(__xludf.DUMMYFUNCTION("""COMPUTED_VALUE"""),"Kawaii")</f>
        <v>Kawaii</v>
      </c>
      <c r="E391" s="55" t="str">
        <f>IFERROR(__xludf.DUMMYFUNCTION("""COMPUTED_VALUE"""),"N/A")</f>
        <v>N/A</v>
      </c>
      <c r="F391" s="56">
        <f>IFERROR(__xludf.DUMMYFUNCTION("""COMPUTED_VALUE"""),46.336744018000594)</f>
        <v>46.33674402</v>
      </c>
      <c r="G391" s="57">
        <f>IFERROR(__xludf.DUMMYFUNCTION("""COMPUTED_VALUE"""),12.0)</f>
        <v>12</v>
      </c>
      <c r="H391" s="58">
        <f>IFERROR(__xludf.DUMMYFUNCTION("iferror(if(B391="""", ,filter('IDR Import'!D:D,'IDR Import'!A:A=B391,'IDR Import'!C:C=A391)),)"),56.94187167118143)</f>
        <v>56.94187167</v>
      </c>
      <c r="I391" s="58">
        <v>51.639307844591016</v>
      </c>
      <c r="J391" s="59">
        <f t="shared" si="1"/>
        <v>12</v>
      </c>
    </row>
    <row r="392">
      <c r="A392" s="55" t="str">
        <f>IFERROR(__xludf.DUMMYFUNCTION("""COMPUTED_VALUE"""),"Master")</f>
        <v>Master</v>
      </c>
      <c r="B392" s="55" t="str">
        <f>IFERROR(__xludf.DUMMYFUNCTION("""COMPUTED_VALUE"""),"RSC007099")</f>
        <v>RSC007099</v>
      </c>
      <c r="C392" s="60" t="str">
        <f>IFERROR(__xludf.DUMMYFUNCTION("""COMPUTED_VALUE"""),"clankerh8er49")</f>
        <v>clankerh8er49</v>
      </c>
      <c r="D392" s="54" t="str">
        <f>IFERROR(__xludf.DUMMYFUNCTION("""COMPUTED_VALUE"""),"Battle Masters")</f>
        <v>Battle Masters</v>
      </c>
      <c r="E392" s="55" t="str">
        <f>IFERROR(__xludf.DUMMYFUNCTION("""COMPUTED_VALUE"""),"N/A")</f>
        <v>N/A</v>
      </c>
      <c r="F392" s="56">
        <f>IFERROR(__xludf.DUMMYFUNCTION("""COMPUTED_VALUE"""),46.081713636524924)</f>
        <v>46.08171364</v>
      </c>
      <c r="G392" s="57">
        <f>IFERROR(__xludf.DUMMYFUNCTION("""COMPUTED_VALUE"""),12.0)</f>
        <v>12</v>
      </c>
      <c r="H392" s="58">
        <f>IFERROR(__xludf.DUMMYFUNCTION("iferror(if(B392="""", ,filter('IDR Import'!D:D,'IDR Import'!A:A=B392,'IDR Import'!C:C=A392)),)"),49.00697355288775)</f>
        <v>49.00697355</v>
      </c>
      <c r="I392" s="58">
        <v>47.54434359470633</v>
      </c>
      <c r="J392" s="59">
        <f t="shared" si="1"/>
        <v>12</v>
      </c>
    </row>
    <row r="393">
      <c r="A393" s="55" t="str">
        <f>IFERROR(__xludf.DUMMYFUNCTION("""COMPUTED_VALUE"""),"Master")</f>
        <v>Master</v>
      </c>
      <c r="B393" s="55" t="str">
        <f>IFERROR(__xludf.DUMMYFUNCTION("""COMPUTED_VALUE"""),"RSC007295")</f>
        <v>RSC007295</v>
      </c>
      <c r="C393" s="60" t="str">
        <f>IFERROR(__xludf.DUMMYFUNCTION("""COMPUTED_VALUE"""),"TheLegendaryChance")</f>
        <v>TheLegendaryChance</v>
      </c>
      <c r="D393" s="54" t="str">
        <f>IFERROR(__xludf.DUMMYFUNCTION("""COMPUTED_VALUE"""),"Battle Masters")</f>
        <v>Battle Masters</v>
      </c>
      <c r="E393" s="55" t="str">
        <f>IFERROR(__xludf.DUMMYFUNCTION("""COMPUTED_VALUE"""),"N/A")</f>
        <v>N/A</v>
      </c>
      <c r="F393" s="56">
        <f>IFERROR(__xludf.DUMMYFUNCTION("""COMPUTED_VALUE"""),44.513038718180745)</f>
        <v>44.51303872</v>
      </c>
      <c r="G393" s="57">
        <f>IFERROR(__xludf.DUMMYFUNCTION("""COMPUTED_VALUE"""),38.0)</f>
        <v>38</v>
      </c>
      <c r="H393" s="58">
        <f>IFERROR(__xludf.DUMMYFUNCTION("iferror(if(B393="""", ,filter('IDR Import'!D:D,'IDR Import'!A:A=B393,'IDR Import'!C:C=A393)),)"),44.13031725676522)</f>
        <v>44.13031726</v>
      </c>
      <c r="I393" s="58">
        <v>44.32167798747298</v>
      </c>
      <c r="J393" s="59">
        <f t="shared" si="1"/>
        <v>38</v>
      </c>
    </row>
    <row r="394">
      <c r="A394" s="55" t="str">
        <f>IFERROR(__xludf.DUMMYFUNCTION("""COMPUTED_VALUE"""),"Master")</f>
        <v>Master</v>
      </c>
      <c r="B394" s="55" t="str">
        <f>IFERROR(__xludf.DUMMYFUNCTION("""COMPUTED_VALUE"""),"RSC007941")</f>
        <v>RSC007941</v>
      </c>
      <c r="C394" s="60" t="str">
        <f>IFERROR(__xludf.DUMMYFUNCTION("""COMPUTED_VALUE"""),"Shepherd")</f>
        <v>Shepherd</v>
      </c>
      <c r="D394" s="54" t="str">
        <f>IFERROR(__xludf.DUMMYFUNCTION("""COMPUTED_VALUE"""),"Spectres")</f>
        <v>Spectres</v>
      </c>
      <c r="E394" s="55" t="str">
        <f>IFERROR(__xludf.DUMMYFUNCTION("""COMPUTED_VALUE"""),"N/A")</f>
        <v>N/A</v>
      </c>
      <c r="F394" s="56">
        <f>IFERROR(__xludf.DUMMYFUNCTION("""COMPUTED_VALUE"""),35.348226280092476)</f>
        <v>35.34822628</v>
      </c>
      <c r="G394" s="57">
        <f>IFERROR(__xludf.DUMMYFUNCTION("""COMPUTED_VALUE"""),36.0)</f>
        <v>36</v>
      </c>
      <c r="H394" s="58">
        <f>IFERROR(__xludf.DUMMYFUNCTION("iferror(if(B394="""", ,filter('IDR Import'!D:D,'IDR Import'!A:A=B394,'IDR Import'!C:C=A394)),)"),37.94733355400686)</f>
        <v>37.94733355</v>
      </c>
      <c r="I394" s="58">
        <v>36.64777991704967</v>
      </c>
      <c r="J394" s="59">
        <f t="shared" si="1"/>
        <v>36</v>
      </c>
    </row>
    <row r="395">
      <c r="A395" s="55" t="str">
        <f>IFERROR(__xludf.DUMMYFUNCTION("""COMPUTED_VALUE"""),"Master")</f>
        <v>Master</v>
      </c>
      <c r="B395" s="55" t="str">
        <f>IFERROR(__xludf.DUMMYFUNCTION("""COMPUTED_VALUE"""),"RSC007868")</f>
        <v>RSC007868</v>
      </c>
      <c r="C395" s="60" t="str">
        <f>IFERROR(__xludf.DUMMYFUNCTION("""COMPUTED_VALUE"""),"(Jay)")</f>
        <v>(Jay)</v>
      </c>
      <c r="D395" s="54" t="str">
        <f>IFERROR(__xludf.DUMMYFUNCTION("""COMPUTED_VALUE"""),"Andromeda
Reapers
Battle Masters")</f>
        <v>Andromeda
Reapers
Battle Masters</v>
      </c>
      <c r="E395" s="55" t="str">
        <f>IFERROR(__xludf.DUMMYFUNCTION("""COMPUTED_VALUE"""),"N/A
N/A
N/A")</f>
        <v>N/A
N/A
N/A</v>
      </c>
      <c r="F395" s="56">
        <f>IFERROR(__xludf.DUMMYFUNCTION("""COMPUTED_VALUE"""),34.72724856461013)</f>
        <v>34.72724856</v>
      </c>
      <c r="G395" s="57">
        <f>IFERROR(__xludf.DUMMYFUNCTION("""COMPUTED_VALUE"""),28.0)</f>
        <v>28</v>
      </c>
      <c r="H395" s="58">
        <f>IFERROR(__xludf.DUMMYFUNCTION("iferror(if(B395="""", ,filter('IDR Import'!D:D,'IDR Import'!A:A=B395,'IDR Import'!C:C=A395)),)"),37.36303116661342)</f>
        <v>37.36303117</v>
      </c>
      <c r="I395" s="58">
        <v>36.04513986561177</v>
      </c>
      <c r="J395" s="59">
        <f t="shared" si="1"/>
        <v>28</v>
      </c>
    </row>
    <row r="396">
      <c r="A396" s="55" t="str">
        <f>IFERROR(__xludf.DUMMYFUNCTION("""COMPUTED_VALUE"""),"Master")</f>
        <v>Master</v>
      </c>
      <c r="B396" s="55" t="str">
        <f>IFERROR(__xludf.DUMMYFUNCTION("""COMPUTED_VALUE"""),"RSC001055")</f>
        <v>RSC001055</v>
      </c>
      <c r="C396" s="60" t="str">
        <f>IFERROR(__xludf.DUMMYFUNCTION("""COMPUTED_VALUE"""),"Scotti")</f>
        <v>Scotti</v>
      </c>
      <c r="D396" s="54" t="str">
        <f>IFERROR(__xludf.DUMMYFUNCTION("""COMPUTED_VALUE"""),"Battle Masters")</f>
        <v>Battle Masters</v>
      </c>
      <c r="E396" s="55" t="str">
        <f>IFERROR(__xludf.DUMMYFUNCTION("""COMPUTED_VALUE"""),"N/A")</f>
        <v>N/A</v>
      </c>
      <c r="F396" s="56">
        <f>IFERROR(__xludf.DUMMYFUNCTION("""COMPUTED_VALUE"""),31.855462866504855)</f>
        <v>31.85546287</v>
      </c>
      <c r="G396" s="57">
        <f>IFERROR(__xludf.DUMMYFUNCTION("""COMPUTED_VALUE"""),26.0)</f>
        <v>26</v>
      </c>
      <c r="H396" s="58">
        <f>IFERROR(__xludf.DUMMYFUNCTION("iferror(if(B396="""", ,filter('IDR Import'!D:D,'IDR Import'!A:A=B396,'IDR Import'!C:C=A396)),)"),21.35215748912781)</f>
        <v>21.35215749</v>
      </c>
      <c r="I396" s="58">
        <v>26.60381017781633</v>
      </c>
      <c r="J396" s="59">
        <f t="shared" si="1"/>
        <v>26</v>
      </c>
    </row>
    <row r="397">
      <c r="A397" s="55" t="str">
        <f>IFERROR(__xludf.DUMMYFUNCTION("""COMPUTED_VALUE"""),"Master")</f>
        <v>Master</v>
      </c>
      <c r="B397" s="55" t="str">
        <f>IFERROR(__xludf.DUMMYFUNCTION("""COMPUTED_VALUE"""),"RSC002620")</f>
        <v>RSC002620</v>
      </c>
      <c r="C397" s="60" t="str">
        <f>IFERROR(__xludf.DUMMYFUNCTION("""COMPUTED_VALUE"""),"Instnt")</f>
        <v>Instnt</v>
      </c>
      <c r="D397" s="54" t="str">
        <f>IFERROR(__xludf.DUMMYFUNCTION("""COMPUTED_VALUE"""),"Permafrost")</f>
        <v>Permafrost</v>
      </c>
      <c r="E397" s="55" t="str">
        <f>IFERROR(__xludf.DUMMYFUNCTION("""COMPUTED_VALUE"""),"N/A")</f>
        <v>N/A</v>
      </c>
      <c r="F397" s="56">
        <f>IFERROR(__xludf.DUMMYFUNCTION("""COMPUTED_VALUE"""),30.521354199002293)</f>
        <v>30.5213542</v>
      </c>
      <c r="G397" s="57">
        <f>IFERROR(__xludf.DUMMYFUNCTION("""COMPUTED_VALUE"""),8.0)</f>
        <v>8</v>
      </c>
      <c r="H397" s="58">
        <f>IFERROR(__xludf.DUMMYFUNCTION("iferror(if(B397="""", ,filter('IDR Import'!D:D,'IDR Import'!A:A=B397,'IDR Import'!C:C=A397)),)"),17.211377773774203)</f>
        <v>17.21137777</v>
      </c>
      <c r="I397" s="58">
        <v>23.866365986388246</v>
      </c>
      <c r="J397" s="59">
        <f t="shared" si="1"/>
        <v>8</v>
      </c>
    </row>
    <row r="398">
      <c r="A398" s="55" t="str">
        <f>IFERROR(__xludf.DUMMYFUNCTION("""COMPUTED_VALUE"""),"Master")</f>
        <v>Master</v>
      </c>
      <c r="B398" s="55" t="str">
        <f>IFERROR(__xludf.DUMMYFUNCTION("""COMPUTED_VALUE"""),"RSC008539")</f>
        <v>RSC008539</v>
      </c>
      <c r="C398" s="60" t="str">
        <f>IFERROR(__xludf.DUMMYFUNCTION("""COMPUTED_VALUE"""),"Shune.")</f>
        <v>Shune.</v>
      </c>
      <c r="D398" s="54" t="str">
        <f>IFERROR(__xludf.DUMMYFUNCTION("""COMPUTED_VALUE"""),"Battle Masters")</f>
        <v>Battle Masters</v>
      </c>
      <c r="E398" s="55" t="str">
        <f>IFERROR(__xludf.DUMMYFUNCTION("""COMPUTED_VALUE"""),"N/A")</f>
        <v>N/A</v>
      </c>
      <c r="F398" s="56">
        <f>IFERROR(__xludf.DUMMYFUNCTION("""COMPUTED_VALUE"""),29.122706958908456)</f>
        <v>29.12270696</v>
      </c>
      <c r="G398" s="57">
        <f>IFERROR(__xludf.DUMMYFUNCTION("""COMPUTED_VALUE"""),23.0)</f>
        <v>23</v>
      </c>
      <c r="H398" s="58">
        <f>IFERROR(__xludf.DUMMYFUNCTION("iferror(if(B398="""", ,filter('IDR Import'!D:D,'IDR Import'!A:A=B398,'IDR Import'!C:C=A398)),)"),23.80220740012222)</f>
        <v>23.8022074</v>
      </c>
      <c r="I398" s="58">
        <v>26.46245717951534</v>
      </c>
      <c r="J398" s="59">
        <f t="shared" si="1"/>
        <v>23</v>
      </c>
    </row>
    <row r="399">
      <c r="A399" s="55" t="str">
        <f>IFERROR(__xludf.DUMMYFUNCTION("""COMPUTED_VALUE"""),"Master")</f>
        <v>Master</v>
      </c>
      <c r="B399" s="55" t="str">
        <f>IFERROR(__xludf.DUMMYFUNCTION("""COMPUTED_VALUE"""),"RSC003323")</f>
        <v>RSC003323</v>
      </c>
      <c r="C399" s="60" t="str">
        <f>IFERROR(__xludf.DUMMYFUNCTION("""COMPUTED_VALUE"""),"Boog McCroog")</f>
        <v>Boog McCroog</v>
      </c>
      <c r="D399" s="54" t="str">
        <f>IFERROR(__xludf.DUMMYFUNCTION("""COMPUTED_VALUE"""),"Spectres")</f>
        <v>Spectres</v>
      </c>
      <c r="E399" s="55" t="str">
        <f>IFERROR(__xludf.DUMMYFUNCTION("""COMPUTED_VALUE"""),"N/A")</f>
        <v>N/A</v>
      </c>
      <c r="F399" s="56">
        <f>IFERROR(__xludf.DUMMYFUNCTION("""COMPUTED_VALUE"""),28.37945223433278)</f>
        <v>28.37945223</v>
      </c>
      <c r="G399" s="57">
        <f>IFERROR(__xludf.DUMMYFUNCTION("""COMPUTED_VALUE"""),50.0)</f>
        <v>50</v>
      </c>
      <c r="H399" s="58">
        <f>IFERROR(__xludf.DUMMYFUNCTION("iferror(if(B399="""", ,filter('IDR Import'!D:D,'IDR Import'!A:A=B399,'IDR Import'!C:C=A399)),)"),26.304577750137337)</f>
        <v>26.30457775</v>
      </c>
      <c r="I399" s="58">
        <v>27.342014992235057</v>
      </c>
      <c r="J399" s="59">
        <f t="shared" si="1"/>
        <v>50</v>
      </c>
    </row>
    <row r="400">
      <c r="A400" s="55" t="str">
        <f>IFERROR(__xludf.DUMMYFUNCTION("""COMPUTED_VALUE"""),"Master")</f>
        <v>Master</v>
      </c>
      <c r="B400" s="55" t="str">
        <f>IFERROR(__xludf.DUMMYFUNCTION("""COMPUTED_VALUE"""),"RSC005298")</f>
        <v>RSC005298</v>
      </c>
      <c r="C400" s="60" t="str">
        <f>IFERROR(__xludf.DUMMYFUNCTION("""COMPUTED_VALUE"""),"Kaisaroh")</f>
        <v>Kaisaroh</v>
      </c>
      <c r="D400" s="54" t="str">
        <f>IFERROR(__xludf.DUMMYFUNCTION("""COMPUTED_VALUE"""),"Care Bears")</f>
        <v>Care Bears</v>
      </c>
      <c r="E400" s="55" t="str">
        <f>IFERROR(__xludf.DUMMYFUNCTION("""COMPUTED_VALUE"""),"N/A")</f>
        <v>N/A</v>
      </c>
      <c r="F400" s="56">
        <f>IFERROR(__xludf.DUMMYFUNCTION("""COMPUTED_VALUE"""),25.429615329068486)</f>
        <v>25.42961533</v>
      </c>
      <c r="G400" s="57">
        <f>IFERROR(__xludf.DUMMYFUNCTION("""COMPUTED_VALUE"""),9.0)</f>
        <v>9</v>
      </c>
      <c r="H400" s="58">
        <f>IFERROR(__xludf.DUMMYFUNCTION("iferror(if(B400="""", ,filter('IDR Import'!D:D,'IDR Import'!A:A=B400,'IDR Import'!C:C=A400)),)"),64.62637997782846)</f>
        <v>64.62637998</v>
      </c>
      <c r="I400" s="58">
        <v>45.02799765344847</v>
      </c>
      <c r="J400" s="59">
        <f t="shared" si="1"/>
        <v>9</v>
      </c>
    </row>
    <row r="401">
      <c r="A401" s="55" t="str">
        <f>IFERROR(__xludf.DUMMYFUNCTION("""COMPUTED_VALUE"""),"Master")</f>
        <v>Master</v>
      </c>
      <c r="B401" s="55" t="str">
        <f>IFERROR(__xludf.DUMMYFUNCTION("""COMPUTED_VALUE"""),"RSC003125")</f>
        <v>RSC003125</v>
      </c>
      <c r="C401" s="60" t="str">
        <f>IFERROR(__xludf.DUMMYFUNCTION("""COMPUTED_VALUE"""),"GrandPlat")</f>
        <v>GrandPlat</v>
      </c>
      <c r="D401" s="54" t="str">
        <f>IFERROR(__xludf.DUMMYFUNCTION("""COMPUTED_VALUE"""),"Andromeda")</f>
        <v>Andromeda</v>
      </c>
      <c r="E401" s="55" t="str">
        <f>IFERROR(__xludf.DUMMYFUNCTION("""COMPUTED_VALUE"""),"N/A")</f>
        <v>N/A</v>
      </c>
      <c r="F401" s="56">
        <f>IFERROR(__xludf.DUMMYFUNCTION("""COMPUTED_VALUE"""),24.472950378932968)</f>
        <v>24.47295038</v>
      </c>
      <c r="G401" s="57">
        <f>IFERROR(__xludf.DUMMYFUNCTION("""COMPUTED_VALUE"""),22.0)</f>
        <v>22</v>
      </c>
      <c r="H401" s="58">
        <f>IFERROR(__xludf.DUMMYFUNCTION("iferror(if(B401="""", ,filter('IDR Import'!D:D,'IDR Import'!A:A=B401,'IDR Import'!C:C=A401)),)"),30.022276940127934)</f>
        <v>30.02227694</v>
      </c>
      <c r="I401" s="58">
        <v>27.24761365953045</v>
      </c>
      <c r="J401" s="59">
        <f t="shared" si="1"/>
        <v>22</v>
      </c>
    </row>
    <row r="402">
      <c r="A402" s="55" t="str">
        <f>IFERROR(__xludf.DUMMYFUNCTION("""COMPUTED_VALUE"""),"Master")</f>
        <v>Master</v>
      </c>
      <c r="B402" s="55" t="str">
        <f>IFERROR(__xludf.DUMMYFUNCTION("""COMPUTED_VALUE"""),"RSC007494")</f>
        <v>RSC007494</v>
      </c>
      <c r="C402" s="60" t="str">
        <f>IFERROR(__xludf.DUMMYFUNCTION("""COMPUTED_VALUE"""),"C-Loupe")</f>
        <v>C-Loupe</v>
      </c>
      <c r="D402" s="54" t="str">
        <f>IFERROR(__xludf.DUMMYFUNCTION("""COMPUTED_VALUE"""),"Helicoprions")</f>
        <v>Helicoprions</v>
      </c>
      <c r="E402" s="55" t="str">
        <f>IFERROR(__xludf.DUMMYFUNCTION("""COMPUTED_VALUE"""),"N/A")</f>
        <v>N/A</v>
      </c>
      <c r="F402" s="56">
        <f>IFERROR(__xludf.DUMMYFUNCTION("""COMPUTED_VALUE"""),24.364754706795583)</f>
        <v>24.36475471</v>
      </c>
      <c r="G402" s="57">
        <f>IFERROR(__xludf.DUMMYFUNCTION("""COMPUTED_VALUE"""),20.0)</f>
        <v>20</v>
      </c>
      <c r="H402" s="58">
        <f>IFERROR(__xludf.DUMMYFUNCTION("iferror(if(B402="""", ,filter('IDR Import'!D:D,'IDR Import'!A:A=B402,'IDR Import'!C:C=A402)),)"),35.62756819836507)</f>
        <v>35.6275682</v>
      </c>
      <c r="I402" s="58">
        <v>29.996161452580324</v>
      </c>
      <c r="J402" s="59">
        <f t="shared" si="1"/>
        <v>20</v>
      </c>
    </row>
    <row r="403">
      <c r="A403" s="55" t="str">
        <f>IFERROR(__xludf.DUMMYFUNCTION("""COMPUTED_VALUE"""),"Master")</f>
        <v>Master</v>
      </c>
      <c r="B403" s="55" t="str">
        <f>IFERROR(__xludf.DUMMYFUNCTION("""COMPUTED_VALUE"""),"RSC005220")</f>
        <v>RSC005220</v>
      </c>
      <c r="C403" s="60" t="str">
        <f>IFERROR(__xludf.DUMMYFUNCTION("""COMPUTED_VALUE"""),"Swax")</f>
        <v>Swax</v>
      </c>
      <c r="D403" s="54" t="str">
        <f>IFERROR(__xludf.DUMMYFUNCTION("""COMPUTED_VALUE"""),"Spectres")</f>
        <v>Spectres</v>
      </c>
      <c r="E403" s="55" t="str">
        <f>IFERROR(__xludf.DUMMYFUNCTION("""COMPUTED_VALUE"""),"N/A")</f>
        <v>N/A</v>
      </c>
      <c r="F403" s="56">
        <f>IFERROR(__xludf.DUMMYFUNCTION("""COMPUTED_VALUE"""),19.42423272030383)</f>
        <v>19.42423272</v>
      </c>
      <c r="G403" s="57">
        <f>IFERROR(__xludf.DUMMYFUNCTION("""COMPUTED_VALUE"""),26.0)</f>
        <v>26</v>
      </c>
      <c r="H403" s="58">
        <f>IFERROR(__xludf.DUMMYFUNCTION("iferror(if(B403="""", ,filter('IDR Import'!D:D,'IDR Import'!A:A=B403,'IDR Import'!C:C=A403)),)"),27.1037662438394)</f>
        <v>27.10376624</v>
      </c>
      <c r="I403" s="58">
        <v>23.263999482071615</v>
      </c>
      <c r="J403" s="59">
        <f t="shared" si="1"/>
        <v>26</v>
      </c>
    </row>
    <row r="404">
      <c r="A404" s="55" t="str">
        <f>IFERROR(__xludf.DUMMYFUNCTION("""COMPUTED_VALUE"""),"Master")</f>
        <v>Master</v>
      </c>
      <c r="B404" s="55" t="str">
        <f>IFERROR(__xludf.DUMMYFUNCTION("""COMPUTED_VALUE"""),"RSC000200")</f>
        <v>RSC000200</v>
      </c>
      <c r="C404" s="60" t="str">
        <f>IFERROR(__xludf.DUMMYFUNCTION("""COMPUTED_VALUE"""),"Jonezy")</f>
        <v>Jonezy</v>
      </c>
      <c r="D404" s="54" t="str">
        <f>IFERROR(__xludf.DUMMYFUNCTION("""COMPUTED_VALUE"""),"Oblivion")</f>
        <v>Oblivion</v>
      </c>
      <c r="E404" s="55" t="str">
        <f>IFERROR(__xludf.DUMMYFUNCTION("""COMPUTED_VALUE"""),"N/A")</f>
        <v>N/A</v>
      </c>
      <c r="F404" s="56">
        <f>IFERROR(__xludf.DUMMYFUNCTION("""COMPUTED_VALUE"""),17.413697201118232)</f>
        <v>17.4136972</v>
      </c>
      <c r="G404" s="57">
        <f>IFERROR(__xludf.DUMMYFUNCTION("""COMPUTED_VALUE"""),2.0)</f>
        <v>2</v>
      </c>
      <c r="H404" s="58">
        <f>IFERROR(__xludf.DUMMYFUNCTION("iferror(if(B404="""", ,filter('IDR Import'!D:D,'IDR Import'!A:A=B404,'IDR Import'!C:C=A404)),)"),33.77073854093527)</f>
        <v>33.77073854</v>
      </c>
      <c r="I404" s="58">
        <v>25.59221787102675</v>
      </c>
      <c r="J404" s="59">
        <f t="shared" si="1"/>
        <v>2</v>
      </c>
    </row>
    <row r="405">
      <c r="A405" s="55" t="str">
        <f>IFERROR(__xludf.DUMMYFUNCTION("""COMPUTED_VALUE"""),"Master")</f>
        <v>Master</v>
      </c>
      <c r="B405" s="55" t="str">
        <f>IFERROR(__xludf.DUMMYFUNCTION("""COMPUTED_VALUE"""),"RSC008330")</f>
        <v>RSC008330</v>
      </c>
      <c r="C405" s="60" t="str">
        <f>IFERROR(__xludf.DUMMYFUNCTION("""COMPUTED_VALUE"""),"Jammin")</f>
        <v>Jammin</v>
      </c>
      <c r="D405" s="54" t="str">
        <f>IFERROR(__xludf.DUMMYFUNCTION("""COMPUTED_VALUE"""),"Kawaii")</f>
        <v>Kawaii</v>
      </c>
      <c r="E405" s="55" t="str">
        <f>IFERROR(__xludf.DUMMYFUNCTION("""COMPUTED_VALUE"""),"N/A")</f>
        <v>N/A</v>
      </c>
      <c r="F405" s="56">
        <f>IFERROR(__xludf.DUMMYFUNCTION("""COMPUTED_VALUE"""),14.491420895252546)</f>
        <v>14.4914209</v>
      </c>
      <c r="G405" s="57">
        <f>IFERROR(__xludf.DUMMYFUNCTION("""COMPUTED_VALUE"""),25.0)</f>
        <v>25</v>
      </c>
      <c r="H405" s="58">
        <f>IFERROR(__xludf.DUMMYFUNCTION("iferror(if(B405="""", ,filter('IDR Import'!D:D,'IDR Import'!A:A=B405,'IDR Import'!C:C=A405)),)"),26.099277324619496)</f>
        <v>26.09927732</v>
      </c>
      <c r="I405" s="58">
        <v>20.29534910993602</v>
      </c>
      <c r="J405" s="59">
        <f t="shared" si="1"/>
        <v>25</v>
      </c>
    </row>
    <row r="406">
      <c r="A406" s="55" t="str">
        <f>IFERROR(__xludf.DUMMYFUNCTION("""COMPUTED_VALUE"""),"Master")</f>
        <v>Master</v>
      </c>
      <c r="B406" s="55" t="str">
        <f>IFERROR(__xludf.DUMMYFUNCTION("""COMPUTED_VALUE"""),"RSC008368")</f>
        <v>RSC008368</v>
      </c>
      <c r="C406" s="60" t="str">
        <f>IFERROR(__xludf.DUMMYFUNCTION("""COMPUTED_VALUE"""),"taLz.")</f>
        <v>taLz.</v>
      </c>
      <c r="D406" s="54" t="str">
        <f>IFERROR(__xludf.DUMMYFUNCTION("""COMPUTED_VALUE"""),"Fromunda Frauds")</f>
        <v>Fromunda Frauds</v>
      </c>
      <c r="E406" s="55" t="str">
        <f>IFERROR(__xludf.DUMMYFUNCTION("""COMPUTED_VALUE"""),"N/A")</f>
        <v>N/A</v>
      </c>
      <c r="F406" s="56">
        <f>IFERROR(__xludf.DUMMYFUNCTION("""COMPUTED_VALUE"""),13.366830232101243)</f>
        <v>13.36683023</v>
      </c>
      <c r="G406" s="57">
        <f>IFERROR(__xludf.DUMMYFUNCTION("""COMPUTED_VALUE"""),13.0)</f>
        <v>13</v>
      </c>
      <c r="H406" s="58">
        <f>IFERROR(__xludf.DUMMYFUNCTION("iferror(if(B406="""", ,filter('IDR Import'!D:D,'IDR Import'!A:A=B406,'IDR Import'!C:C=A406)),)"),-16.58930899462706)</f>
        <v>-16.58930899</v>
      </c>
      <c r="I406" s="58">
        <v>-1.6112393812629087</v>
      </c>
      <c r="J406" s="59">
        <f t="shared" si="1"/>
        <v>13</v>
      </c>
    </row>
    <row r="407">
      <c r="A407" s="55" t="str">
        <f>IFERROR(__xludf.DUMMYFUNCTION("""COMPUTED_VALUE"""),"Master")</f>
        <v>Master</v>
      </c>
      <c r="B407" s="55" t="str">
        <f>IFERROR(__xludf.DUMMYFUNCTION("""COMPUTED_VALUE"""),"RSC003986")</f>
        <v>RSC003986</v>
      </c>
      <c r="C407" s="60" t="str">
        <f>IFERROR(__xludf.DUMMYFUNCTION("""COMPUTED_VALUE"""),"✪ Reprise")</f>
        <v>✪ Reprise</v>
      </c>
      <c r="D407" s="54" t="str">
        <f>IFERROR(__xludf.DUMMYFUNCTION("""COMPUTED_VALUE"""),"Helicoprions")</f>
        <v>Helicoprions</v>
      </c>
      <c r="E407" s="55" t="str">
        <f>IFERROR(__xludf.DUMMYFUNCTION("""COMPUTED_VALUE"""),"N/A")</f>
        <v>N/A</v>
      </c>
      <c r="F407" s="56">
        <f>IFERROR(__xludf.DUMMYFUNCTION("""COMPUTED_VALUE"""),0.7605523080048826)</f>
        <v>0.760552308</v>
      </c>
      <c r="G407" s="57">
        <f>IFERROR(__xludf.DUMMYFUNCTION("""COMPUTED_VALUE"""),4.0)</f>
        <v>4</v>
      </c>
      <c r="H407" s="58">
        <f>IFERROR(__xludf.DUMMYFUNCTION("iferror(if(B407="""", ,filter('IDR Import'!D:D,'IDR Import'!A:A=B407,'IDR Import'!C:C=A407)),)"),12.56512897448114)</f>
        <v>12.56512897</v>
      </c>
      <c r="I407" s="58">
        <v>6.662840641243012</v>
      </c>
      <c r="J407" s="59">
        <f t="shared" si="1"/>
        <v>4</v>
      </c>
    </row>
    <row r="408">
      <c r="A408" s="55" t="str">
        <f>IFERROR(__xludf.DUMMYFUNCTION("""COMPUTED_VALUE"""),"Master")</f>
        <v>Master</v>
      </c>
      <c r="B408" s="55" t="str">
        <f>IFERROR(__xludf.DUMMYFUNCTION("""COMPUTED_VALUE"""),"RSC008500")</f>
        <v>RSC008500</v>
      </c>
      <c r="C408" s="60" t="str">
        <f>IFERROR(__xludf.DUMMYFUNCTION("""COMPUTED_VALUE"""),"Alejandro55")</f>
        <v>Alejandro55</v>
      </c>
      <c r="D408" s="54" t="str">
        <f>IFERROR(__xludf.DUMMYFUNCTION("""COMPUTED_VALUE"""),"Lemurs
Battle Masters")</f>
        <v>Lemurs
Battle Masters</v>
      </c>
      <c r="E408" s="55" t="str">
        <f>IFERROR(__xludf.DUMMYFUNCTION("""COMPUTED_VALUE"""),"N/A
N/A")</f>
        <v>N/A
N/A</v>
      </c>
      <c r="F408" s="56">
        <f>IFERROR(__xludf.DUMMYFUNCTION("""COMPUTED_VALUE"""),-2.018387281329346)</f>
        <v>-2.018387281</v>
      </c>
      <c r="G408" s="57">
        <f>IFERROR(__xludf.DUMMYFUNCTION("""COMPUTED_VALUE"""),6.0)</f>
        <v>6</v>
      </c>
      <c r="H408" s="58">
        <f>IFERROR(__xludf.DUMMYFUNCTION("iferror(if(B408="""", ,filter('IDR Import'!D:D,'IDR Import'!A:A=B408,'IDR Import'!C:C=A408)),)"),-2.1580840414918896)</f>
        <v>-2.158084041</v>
      </c>
      <c r="I408" s="58">
        <v>-2.088235661410618</v>
      </c>
      <c r="J408" s="59">
        <f t="shared" si="1"/>
        <v>6</v>
      </c>
    </row>
    <row r="409">
      <c r="A409" s="55" t="str">
        <f>IFERROR(__xludf.DUMMYFUNCTION("""COMPUTED_VALUE"""),"Master")</f>
        <v>Master</v>
      </c>
      <c r="B409" s="55" t="str">
        <f>IFERROR(__xludf.DUMMYFUNCTION("""COMPUTED_VALUE"""),"RSC003792")</f>
        <v>RSC003792</v>
      </c>
      <c r="C409" s="60" t="str">
        <f>IFERROR(__xludf.DUMMYFUNCTION("""COMPUTED_VALUE"""),"Calcifiree")</f>
        <v>Calcifiree</v>
      </c>
      <c r="D409" s="54" t="str">
        <f>IFERROR(__xludf.DUMMYFUNCTION("""COMPUTED_VALUE"""),"Lemurs")</f>
        <v>Lemurs</v>
      </c>
      <c r="E409" s="55" t="str">
        <f>IFERROR(__xludf.DUMMYFUNCTION("""COMPUTED_VALUE"""),"N/A")</f>
        <v>N/A</v>
      </c>
      <c r="F409" s="56">
        <f>IFERROR(__xludf.DUMMYFUNCTION("""COMPUTED_VALUE"""),-12.419611470419078)</f>
        <v>-12.41961147</v>
      </c>
      <c r="G409" s="57">
        <f>IFERROR(__xludf.DUMMYFUNCTION("""COMPUTED_VALUE"""),3.0)</f>
        <v>3</v>
      </c>
      <c r="H409" s="58">
        <f>IFERROR(__xludf.DUMMYFUNCTION("iferror(if(B409="""", ,filter('IDR Import'!D:D,'IDR Import'!A:A=B409,'IDR Import'!C:C=A409)),)"),7.649125837045794)</f>
        <v>7.649125837</v>
      </c>
      <c r="I409" s="58">
        <v>-2.3852428166866417</v>
      </c>
      <c r="J409" s="59">
        <f t="shared" si="1"/>
        <v>3</v>
      </c>
    </row>
    <row r="410">
      <c r="A410" s="55" t="str">
        <f>IFERROR(__xludf.DUMMYFUNCTION("""COMPUTED_VALUE"""),"Master")</f>
        <v>Master</v>
      </c>
      <c r="B410" s="55" t="str">
        <f>IFERROR(__xludf.DUMMYFUNCTION("""COMPUTED_VALUE"""),"RSC006569")</f>
        <v>RSC006569</v>
      </c>
      <c r="C410" s="60" t="str">
        <f>IFERROR(__xludf.DUMMYFUNCTION("""COMPUTED_VALUE"""),"mulliganisoup")</f>
        <v>mulliganisoup</v>
      </c>
      <c r="D410" s="54" t="str">
        <f>IFERROR(__xludf.DUMMYFUNCTION("""COMPUTED_VALUE"""),"Battle Masters")</f>
        <v>Battle Masters</v>
      </c>
      <c r="E410" s="55" t="str">
        <f>IFERROR(__xludf.DUMMYFUNCTION("""COMPUTED_VALUE"""),"N/A")</f>
        <v>N/A</v>
      </c>
      <c r="F410" s="56">
        <f>IFERROR(__xludf.DUMMYFUNCTION("""COMPUTED_VALUE"""),-31.36169097436718)</f>
        <v>-31.36169097</v>
      </c>
      <c r="G410" s="57">
        <f>IFERROR(__xludf.DUMMYFUNCTION("""COMPUTED_VALUE"""),4.0)</f>
        <v>4</v>
      </c>
      <c r="H410" s="58">
        <f>IFERROR(__xludf.DUMMYFUNCTION("iferror(if(B410="""", ,filter('IDR Import'!D:D,'IDR Import'!A:A=B410,'IDR Import'!C:C=A410)),)"),-21.282056391317326)</f>
        <v>-21.28205639</v>
      </c>
      <c r="I410" s="58">
        <v>-26.321873682842252</v>
      </c>
      <c r="J410" s="59">
        <f t="shared" si="1"/>
        <v>4</v>
      </c>
    </row>
    <row r="411">
      <c r="A411" s="55" t="str">
        <f>IFERROR(__xludf.DUMMYFUNCTION("""COMPUTED_VALUE"""),"Premier")</f>
        <v>Premier</v>
      </c>
      <c r="B411" s="55" t="str">
        <f>IFERROR(__xludf.DUMMYFUNCTION("""COMPUTED_VALUE"""),"RSC007071")</f>
        <v>RSC007071</v>
      </c>
      <c r="C411" s="60" t="str">
        <f>IFERROR(__xludf.DUMMYFUNCTION("""COMPUTED_VALUE"""),"Ankur")</f>
        <v>Ankur</v>
      </c>
      <c r="D411" s="54" t="str">
        <f>IFERROR(__xludf.DUMMYFUNCTION("""COMPUTED_VALUE"""),"Interstellar")</f>
        <v>Interstellar</v>
      </c>
      <c r="E411" s="55" t="str">
        <f>IFERROR(__xludf.DUMMYFUNCTION("""COMPUTED_VALUE"""),"N/A")</f>
        <v>N/A</v>
      </c>
      <c r="F411" s="56">
        <f>IFERROR(__xludf.DUMMYFUNCTION("""COMPUTED_VALUE"""),113.06088063975272)</f>
        <v>113.0608806</v>
      </c>
      <c r="G411" s="57">
        <f>IFERROR(__xludf.DUMMYFUNCTION("""COMPUTED_VALUE"""),4.0)</f>
        <v>4</v>
      </c>
      <c r="H411" s="58">
        <f>IFERROR(__xludf.DUMMYFUNCTION("iferror(if(B411="""", ,filter('IDR Import'!D:D,'IDR Import'!A:A=B411,'IDR Import'!C:C=A411)),)"),141.11265138106162)</f>
        <v>141.1126514</v>
      </c>
      <c r="I411" s="58">
        <v>127.08676601040717</v>
      </c>
      <c r="J411" s="59">
        <f t="shared" si="1"/>
        <v>4</v>
      </c>
    </row>
    <row r="412">
      <c r="A412" s="55" t="str">
        <f>IFERROR(__xludf.DUMMYFUNCTION("""COMPUTED_VALUE"""),"Premier")</f>
        <v>Premier</v>
      </c>
      <c r="B412" s="55" t="str">
        <f>IFERROR(__xludf.DUMMYFUNCTION("""COMPUTED_VALUE"""),"RSC007460")</f>
        <v>RSC007460</v>
      </c>
      <c r="C412" s="60" t="str">
        <f>IFERROR(__xludf.DUMMYFUNCTION("""COMPUTED_VALUE"""),"mogiiuh")</f>
        <v>mogiiuh</v>
      </c>
      <c r="D412" s="54" t="str">
        <f>IFERROR(__xludf.DUMMYFUNCTION("""COMPUTED_VALUE"""),"Punks")</f>
        <v>Punks</v>
      </c>
      <c r="E412" s="55" t="str">
        <f>IFERROR(__xludf.DUMMYFUNCTION("""COMPUTED_VALUE"""),"N/A")</f>
        <v>N/A</v>
      </c>
      <c r="F412" s="56">
        <f>IFERROR(__xludf.DUMMYFUNCTION("""COMPUTED_VALUE"""),92.30678728535236)</f>
        <v>92.30678729</v>
      </c>
      <c r="G412" s="57">
        <f>IFERROR(__xludf.DUMMYFUNCTION("""COMPUTED_VALUE"""),20.0)</f>
        <v>20</v>
      </c>
      <c r="H412" s="58">
        <f>IFERROR(__xludf.DUMMYFUNCTION("iferror(if(B412="""", ,filter('IDR Import'!D:D,'IDR Import'!A:A=B412,'IDR Import'!C:C=A412)),)"),89.86532163775782)</f>
        <v>89.86532164</v>
      </c>
      <c r="I412" s="58">
        <v>91.08605446155508</v>
      </c>
      <c r="J412" s="59">
        <f t="shared" si="1"/>
        <v>20</v>
      </c>
    </row>
    <row r="413">
      <c r="A413" s="55" t="str">
        <f>IFERROR(__xludf.DUMMYFUNCTION("""COMPUTED_VALUE"""),"Premier")</f>
        <v>Premier</v>
      </c>
      <c r="B413" s="55" t="str">
        <f>IFERROR(__xludf.DUMMYFUNCTION("""COMPUTED_VALUE"""),"RSC008343")</f>
        <v>RSC008343</v>
      </c>
      <c r="C413" s="60" t="str">
        <f>IFERROR(__xludf.DUMMYFUNCTION("""COMPUTED_VALUE"""),"surreal")</f>
        <v>surreal</v>
      </c>
      <c r="D413" s="54" t="str">
        <f>IFERROR(__xludf.DUMMYFUNCTION("""COMPUTED_VALUE"""),"Capybaras")</f>
        <v>Capybaras</v>
      </c>
      <c r="E413" s="55" t="str">
        <f>IFERROR(__xludf.DUMMYFUNCTION("""COMPUTED_VALUE"""),"N/A")</f>
        <v>N/A</v>
      </c>
      <c r="F413" s="56">
        <f>IFERROR(__xludf.DUMMYFUNCTION("""COMPUTED_VALUE"""),89.74301269595509)</f>
        <v>89.7430127</v>
      </c>
      <c r="G413" s="57">
        <f>IFERROR(__xludf.DUMMYFUNCTION("""COMPUTED_VALUE"""),47.0)</f>
        <v>47</v>
      </c>
      <c r="H413" s="58">
        <f>IFERROR(__xludf.DUMMYFUNCTION("iferror(if(B413="""", ,filter('IDR Import'!D:D,'IDR Import'!A:A=B413,'IDR Import'!C:C=A413)),)"),80.63641030723284)</f>
        <v>80.63641031</v>
      </c>
      <c r="I413" s="58">
        <v>85.18971150159396</v>
      </c>
      <c r="J413" s="59">
        <f t="shared" si="1"/>
        <v>47</v>
      </c>
    </row>
    <row r="414">
      <c r="A414" s="55" t="str">
        <f>IFERROR(__xludf.DUMMYFUNCTION("""COMPUTED_VALUE"""),"Premier")</f>
        <v>Premier</v>
      </c>
      <c r="B414" s="55" t="str">
        <f>IFERROR(__xludf.DUMMYFUNCTION("""COMPUTED_VALUE"""),"RSC000381")</f>
        <v>RSC000381</v>
      </c>
      <c r="C414" s="60" t="str">
        <f>IFERROR(__xludf.DUMMYFUNCTION("""COMPUTED_VALUE"""),"Noriko")</f>
        <v>Noriko</v>
      </c>
      <c r="D414" s="54" t="str">
        <f>IFERROR(__xludf.DUMMYFUNCTION("""COMPUTED_VALUE"""),"Gummy Bears")</f>
        <v>Gummy Bears</v>
      </c>
      <c r="E414" s="55" t="str">
        <f>IFERROR(__xludf.DUMMYFUNCTION("""COMPUTED_VALUE"""),"N/A")</f>
        <v>N/A</v>
      </c>
      <c r="F414" s="56">
        <f>IFERROR(__xludf.DUMMYFUNCTION("""COMPUTED_VALUE"""),72.94750489576663)</f>
        <v>72.9475049</v>
      </c>
      <c r="G414" s="57">
        <f>IFERROR(__xludf.DUMMYFUNCTION("""COMPUTED_VALUE"""),41.0)</f>
        <v>41</v>
      </c>
      <c r="H414" s="58">
        <f>IFERROR(__xludf.DUMMYFUNCTION("iferror(if(B414="""", ,filter('IDR Import'!D:D,'IDR Import'!A:A=B414,'IDR Import'!C:C=A414)),)"),65.49788390606497)</f>
        <v>65.49788391</v>
      </c>
      <c r="I414" s="58">
        <v>69.2226944009158</v>
      </c>
      <c r="J414" s="59">
        <f t="shared" si="1"/>
        <v>41</v>
      </c>
    </row>
    <row r="415">
      <c r="A415" s="55" t="str">
        <f>IFERROR(__xludf.DUMMYFUNCTION("""COMPUTED_VALUE"""),"Premier")</f>
        <v>Premier</v>
      </c>
      <c r="B415" s="55" t="str">
        <f>IFERROR(__xludf.DUMMYFUNCTION("""COMPUTED_VALUE"""),"RSC007845")</f>
        <v>RSC007845</v>
      </c>
      <c r="C415" s="60" t="str">
        <f>IFERROR(__xludf.DUMMYFUNCTION("""COMPUTED_VALUE"""),"Enchanted")</f>
        <v>Enchanted</v>
      </c>
      <c r="D415" s="54" t="str">
        <f>IFERROR(__xludf.DUMMYFUNCTION("""COMPUTED_VALUE"""),"Leviathans")</f>
        <v>Leviathans</v>
      </c>
      <c r="E415" s="55" t="str">
        <f>IFERROR(__xludf.DUMMYFUNCTION("""COMPUTED_VALUE"""),"N/A")</f>
        <v>N/A</v>
      </c>
      <c r="F415" s="56">
        <f>IFERROR(__xludf.DUMMYFUNCTION("""COMPUTED_VALUE"""),72.9239549383627)</f>
        <v>72.92395494</v>
      </c>
      <c r="G415" s="57">
        <f>IFERROR(__xludf.DUMMYFUNCTION("""COMPUTED_VALUE"""),36.0)</f>
        <v>36</v>
      </c>
      <c r="H415" s="58">
        <f>IFERROR(__xludf.DUMMYFUNCTION("iferror(if(B415="""", ,filter('IDR Import'!D:D,'IDR Import'!A:A=B415,'IDR Import'!C:C=A415)),)"),77.63506563666677)</f>
        <v>77.63506564</v>
      </c>
      <c r="I415" s="58">
        <v>75.27951028751474</v>
      </c>
      <c r="J415" s="59">
        <f t="shared" si="1"/>
        <v>36</v>
      </c>
    </row>
    <row r="416">
      <c r="A416" s="55" t="str">
        <f>IFERROR(__xludf.DUMMYFUNCTION("""COMPUTED_VALUE"""),"Premier")</f>
        <v>Premier</v>
      </c>
      <c r="B416" s="55" t="str">
        <f>IFERROR(__xludf.DUMMYFUNCTION("""COMPUTED_VALUE"""),"RSC000181")</f>
        <v>RSC000181</v>
      </c>
      <c r="C416" s="60" t="str">
        <f>IFERROR(__xludf.DUMMYFUNCTION("""COMPUTED_VALUE"""),"Eclipse")</f>
        <v>Eclipse</v>
      </c>
      <c r="D416" s="54" t="str">
        <f>IFERROR(__xludf.DUMMYFUNCTION("""COMPUTED_VALUE"""),"Gummy Bears")</f>
        <v>Gummy Bears</v>
      </c>
      <c r="E416" s="55" t="str">
        <f>IFERROR(__xludf.DUMMYFUNCTION("""COMPUTED_VALUE"""),"N/A")</f>
        <v>N/A</v>
      </c>
      <c r="F416" s="56">
        <f>IFERROR(__xludf.DUMMYFUNCTION("""COMPUTED_VALUE"""),69.63540545549257)</f>
        <v>69.63540546</v>
      </c>
      <c r="G416" s="57">
        <f>IFERROR(__xludf.DUMMYFUNCTION("""COMPUTED_VALUE"""),50.0)</f>
        <v>50</v>
      </c>
      <c r="H416" s="58">
        <f>IFERROR(__xludf.DUMMYFUNCTION("iferror(if(B416="""", ,filter('IDR Import'!D:D,'IDR Import'!A:A=B416,'IDR Import'!C:C=A416)),)"),65.35052468765922)</f>
        <v>65.35052469</v>
      </c>
      <c r="I416" s="58">
        <v>67.4929650715759</v>
      </c>
      <c r="J416" s="59">
        <f t="shared" si="1"/>
        <v>50</v>
      </c>
    </row>
    <row r="417">
      <c r="A417" s="55" t="str">
        <f>IFERROR(__xludf.DUMMYFUNCTION("""COMPUTED_VALUE"""),"Premier")</f>
        <v>Premier</v>
      </c>
      <c r="B417" s="55" t="str">
        <f>IFERROR(__xludf.DUMMYFUNCTION("""COMPUTED_VALUE"""),"RSC005920")</f>
        <v>RSC005920</v>
      </c>
      <c r="C417" s="60" t="str">
        <f>IFERROR(__xludf.DUMMYFUNCTION("""COMPUTED_VALUE"""),"Roxy")</f>
        <v>Roxy</v>
      </c>
      <c r="D417" s="54" t="str">
        <f>IFERROR(__xludf.DUMMYFUNCTION("""COMPUTED_VALUE"""),"Super Clusters")</f>
        <v>Super Clusters</v>
      </c>
      <c r="E417" s="55" t="str">
        <f>IFERROR(__xludf.DUMMYFUNCTION("""COMPUTED_VALUE"""),"N/A")</f>
        <v>N/A</v>
      </c>
      <c r="F417" s="56">
        <f>IFERROR(__xludf.DUMMYFUNCTION("""COMPUTED_VALUE"""),67.88411460207396)</f>
        <v>67.8841146</v>
      </c>
      <c r="G417" s="57">
        <f>IFERROR(__xludf.DUMMYFUNCTION("""COMPUTED_VALUE"""),28.0)</f>
        <v>28</v>
      </c>
      <c r="H417" s="58">
        <f>IFERROR(__xludf.DUMMYFUNCTION("iferror(if(B417="""", ,filter('IDR Import'!D:D,'IDR Import'!A:A=B417,'IDR Import'!C:C=A417)),)"),70.3183506804065)</f>
        <v>70.31835068</v>
      </c>
      <c r="I417" s="58">
        <v>69.10123264124023</v>
      </c>
      <c r="J417" s="59">
        <f t="shared" si="1"/>
        <v>28</v>
      </c>
    </row>
    <row r="418">
      <c r="A418" s="55" t="str">
        <f>IFERROR(__xludf.DUMMYFUNCTION("""COMPUTED_VALUE"""),"Premier")</f>
        <v>Premier</v>
      </c>
      <c r="B418" s="55" t="str">
        <f>IFERROR(__xludf.DUMMYFUNCTION("""COMPUTED_VALUE"""),"RSC004215")</f>
        <v>RSC004215</v>
      </c>
      <c r="C418" s="60" t="str">
        <f>IFERROR(__xludf.DUMMYFUNCTION("""COMPUTED_VALUE"""),"Tsheg")</f>
        <v>Tsheg</v>
      </c>
      <c r="D418" s="54" t="str">
        <f>IFERROR(__xludf.DUMMYFUNCTION("""COMPUTED_VALUE"""),"Capybaras")</f>
        <v>Capybaras</v>
      </c>
      <c r="E418" s="55" t="str">
        <f>IFERROR(__xludf.DUMMYFUNCTION("""COMPUTED_VALUE"""),"N/A")</f>
        <v>N/A</v>
      </c>
      <c r="F418" s="56">
        <f>IFERROR(__xludf.DUMMYFUNCTION("""COMPUTED_VALUE"""),67.59536186496804)</f>
        <v>67.59536186</v>
      </c>
      <c r="G418" s="57">
        <f>IFERROR(__xludf.DUMMYFUNCTION("""COMPUTED_VALUE"""),43.0)</f>
        <v>43</v>
      </c>
      <c r="H418" s="58">
        <f>IFERROR(__xludf.DUMMYFUNCTION("iferror(if(B418="""", ,filter('IDR Import'!D:D,'IDR Import'!A:A=B418,'IDR Import'!C:C=A418)),)"),72.51833656982251)</f>
        <v>72.51833657</v>
      </c>
      <c r="I418" s="58">
        <v>70.05684921739527</v>
      </c>
      <c r="J418" s="59">
        <f t="shared" si="1"/>
        <v>43</v>
      </c>
    </row>
    <row r="419">
      <c r="A419" s="55" t="str">
        <f>IFERROR(__xludf.DUMMYFUNCTION("""COMPUTED_VALUE"""),"Premier")</f>
        <v>Premier</v>
      </c>
      <c r="B419" s="55" t="str">
        <f>IFERROR(__xludf.DUMMYFUNCTION("""COMPUTED_VALUE"""),"RSC008244")</f>
        <v>RSC008244</v>
      </c>
      <c r="C419" s="60" t="str">
        <f>IFERROR(__xludf.DUMMYFUNCTION("""COMPUTED_VALUE"""),"Oghma")</f>
        <v>Oghma</v>
      </c>
      <c r="D419" s="54" t="str">
        <f>IFERROR(__xludf.DUMMYFUNCTION("""COMPUTED_VALUE"""),"Crooked Capos")</f>
        <v>Crooked Capos</v>
      </c>
      <c r="E419" s="55" t="str">
        <f>IFERROR(__xludf.DUMMYFUNCTION("""COMPUTED_VALUE"""),"N/A")</f>
        <v>N/A</v>
      </c>
      <c r="F419" s="56">
        <f>IFERROR(__xludf.DUMMYFUNCTION("""COMPUTED_VALUE"""),65.56338486734823)</f>
        <v>65.56338487</v>
      </c>
      <c r="G419" s="57">
        <f>IFERROR(__xludf.DUMMYFUNCTION("""COMPUTED_VALUE"""),42.0)</f>
        <v>42</v>
      </c>
      <c r="H419" s="58">
        <f>IFERROR(__xludf.DUMMYFUNCTION("iferror(if(B419="""", ,filter('IDR Import'!D:D,'IDR Import'!A:A=B419,'IDR Import'!C:C=A419)),)"),63.71346681196809)</f>
        <v>63.71346681</v>
      </c>
      <c r="I419" s="58">
        <v>64.63842583965817</v>
      </c>
      <c r="J419" s="59">
        <f t="shared" si="1"/>
        <v>42</v>
      </c>
    </row>
    <row r="420">
      <c r="A420" s="55" t="str">
        <f>IFERROR(__xludf.DUMMYFUNCTION("""COMPUTED_VALUE"""),"Premier")</f>
        <v>Premier</v>
      </c>
      <c r="B420" s="55" t="str">
        <f>IFERROR(__xludf.DUMMYFUNCTION("""COMPUTED_VALUE"""),"RSC003780")</f>
        <v>RSC003780</v>
      </c>
      <c r="C420" s="60" t="str">
        <f>IFERROR(__xludf.DUMMYFUNCTION("""COMPUTED_VALUE"""),"Fayzan ibn Balish")</f>
        <v>Fayzan ibn Balish</v>
      </c>
      <c r="D420" s="54" t="str">
        <f>IFERROR(__xludf.DUMMYFUNCTION("""COMPUTED_VALUE"""),"Gummy Bears
Punks")</f>
        <v>Gummy Bears
Punks</v>
      </c>
      <c r="E420" s="55" t="str">
        <f>IFERROR(__xludf.DUMMYFUNCTION("""COMPUTED_VALUE"""),"N/A
N/A")</f>
        <v>N/A
N/A</v>
      </c>
      <c r="F420" s="56">
        <f>IFERROR(__xludf.DUMMYFUNCTION("""COMPUTED_VALUE"""),64.65824395607649)</f>
        <v>64.65824396</v>
      </c>
      <c r="G420" s="57">
        <f>IFERROR(__xludf.DUMMYFUNCTION("""COMPUTED_VALUE"""),16.0)</f>
        <v>16</v>
      </c>
      <c r="H420" s="58">
        <f>IFERROR(__xludf.DUMMYFUNCTION("iferror(if(B420="""", ,filter('IDR Import'!D:D,'IDR Import'!A:A=B420,'IDR Import'!C:C=A420)),)"),58.80743560661096)</f>
        <v>58.80743561</v>
      </c>
      <c r="I420" s="58">
        <v>61.73283978134373</v>
      </c>
      <c r="J420" s="59">
        <f t="shared" si="1"/>
        <v>16</v>
      </c>
    </row>
    <row r="421">
      <c r="A421" s="55" t="str">
        <f>IFERROR(__xludf.DUMMYFUNCTION("""COMPUTED_VALUE"""),"Premier")</f>
        <v>Premier</v>
      </c>
      <c r="B421" s="55" t="str">
        <f>IFERROR(__xludf.DUMMYFUNCTION("""COMPUTED_VALUE"""),"RSC004090")</f>
        <v>RSC004090</v>
      </c>
      <c r="C421" s="60" t="str">
        <f>IFERROR(__xludf.DUMMYFUNCTION("""COMPUTED_VALUE"""),"LikeWisse")</f>
        <v>LikeWisse</v>
      </c>
      <c r="D421" s="54" t="str">
        <f>IFERROR(__xludf.DUMMYFUNCTION("""COMPUTED_VALUE"""),"Super Clusters")</f>
        <v>Super Clusters</v>
      </c>
      <c r="E421" s="55" t="str">
        <f>IFERROR(__xludf.DUMMYFUNCTION("""COMPUTED_VALUE"""),"N/A")</f>
        <v>N/A</v>
      </c>
      <c r="F421" s="56">
        <f>IFERROR(__xludf.DUMMYFUNCTION("""COMPUTED_VALUE"""),63.792540914794884)</f>
        <v>63.79254091</v>
      </c>
      <c r="G421" s="57">
        <f>IFERROR(__xludf.DUMMYFUNCTION("""COMPUTED_VALUE"""),56.0)</f>
        <v>56</v>
      </c>
      <c r="H421" s="58">
        <f>IFERROR(__xludf.DUMMYFUNCTION("iferror(if(B421="""", ,filter('IDR Import'!D:D,'IDR Import'!A:A=B421,'IDR Import'!C:C=A421)),)"),73.47091994281436)</f>
        <v>73.47091994</v>
      </c>
      <c r="I421" s="58">
        <v>68.63173042880462</v>
      </c>
      <c r="J421" s="59">
        <f t="shared" si="1"/>
        <v>56</v>
      </c>
    </row>
    <row r="422">
      <c r="A422" s="55" t="str">
        <f>IFERROR(__xludf.DUMMYFUNCTION("""COMPUTED_VALUE"""),"Premier")</f>
        <v>Premier</v>
      </c>
      <c r="B422" s="55" t="str">
        <f>IFERROR(__xludf.DUMMYFUNCTION("""COMPUTED_VALUE"""),"RSC007174")</f>
        <v>RSC007174</v>
      </c>
      <c r="C422" s="60" t="str">
        <f>IFERROR(__xludf.DUMMYFUNCTION("""COMPUTED_VALUE"""),"LMNS")</f>
        <v>LMNS</v>
      </c>
      <c r="D422" s="54" t="str">
        <f>IFERROR(__xludf.DUMMYFUNCTION("""COMPUTED_VALUE"""),"Super Clusters")</f>
        <v>Super Clusters</v>
      </c>
      <c r="E422" s="55" t="str">
        <f>IFERROR(__xludf.DUMMYFUNCTION("""COMPUTED_VALUE"""),"N/A")</f>
        <v>N/A</v>
      </c>
      <c r="F422" s="56">
        <f>IFERROR(__xludf.DUMMYFUNCTION("""COMPUTED_VALUE"""),63.26301282048227)</f>
        <v>63.26301282</v>
      </c>
      <c r="G422" s="57">
        <f>IFERROR(__xludf.DUMMYFUNCTION("""COMPUTED_VALUE"""),16.0)</f>
        <v>16</v>
      </c>
      <c r="H422" s="58">
        <f>IFERROR(__xludf.DUMMYFUNCTION("iferror(if(B422="""", ,filter('IDR Import'!D:D,'IDR Import'!A:A=B422,'IDR Import'!C:C=A422)),)"),74.1371861864523)</f>
        <v>74.13718619</v>
      </c>
      <c r="I422" s="58">
        <v>68.70009950346729</v>
      </c>
      <c r="J422" s="59">
        <f t="shared" si="1"/>
        <v>16</v>
      </c>
    </row>
    <row r="423">
      <c r="A423" s="55" t="str">
        <f>IFERROR(__xludf.DUMMYFUNCTION("""COMPUTED_VALUE"""),"Premier")</f>
        <v>Premier</v>
      </c>
      <c r="B423" s="55" t="str">
        <f>IFERROR(__xludf.DUMMYFUNCTION("""COMPUTED_VALUE"""),"RSC002714")</f>
        <v>RSC002714</v>
      </c>
      <c r="C423" s="60" t="str">
        <f>IFERROR(__xludf.DUMMYFUNCTION("""COMPUTED_VALUE"""),"Andy")</f>
        <v>Andy</v>
      </c>
      <c r="D423" s="54" t="str">
        <f>IFERROR(__xludf.DUMMYFUNCTION("""COMPUTED_VALUE"""),"Crooked Capos")</f>
        <v>Crooked Capos</v>
      </c>
      <c r="E423" s="55" t="str">
        <f>IFERROR(__xludf.DUMMYFUNCTION("""COMPUTED_VALUE"""),"N/A")</f>
        <v>N/A</v>
      </c>
      <c r="F423" s="56">
        <f>IFERROR(__xludf.DUMMYFUNCTION("""COMPUTED_VALUE"""),61.121237678858336)</f>
        <v>61.12123768</v>
      </c>
      <c r="G423" s="57">
        <f>IFERROR(__xludf.DUMMYFUNCTION("""COMPUTED_VALUE"""),47.0)</f>
        <v>47</v>
      </c>
      <c r="H423" s="58">
        <f>IFERROR(__xludf.DUMMYFUNCTION("iferror(if(B423="""", ,filter('IDR Import'!D:D,'IDR Import'!A:A=B423,'IDR Import'!C:C=A423)),)"),59.23450835382755)</f>
        <v>59.23450835</v>
      </c>
      <c r="I423" s="58">
        <v>60.17787301634294</v>
      </c>
      <c r="J423" s="59">
        <f t="shared" si="1"/>
        <v>47</v>
      </c>
    </row>
    <row r="424">
      <c r="A424" s="55" t="str">
        <f>IFERROR(__xludf.DUMMYFUNCTION("""COMPUTED_VALUE"""),"Premier")</f>
        <v>Premier</v>
      </c>
      <c r="B424" s="55" t="str">
        <f>IFERROR(__xludf.DUMMYFUNCTION("""COMPUTED_VALUE"""),"RSC004580")</f>
        <v>RSC004580</v>
      </c>
      <c r="C424" s="60" t="str">
        <f>IFERROR(__xludf.DUMMYFUNCTION("""COMPUTED_VALUE"""),"Static")</f>
        <v>Static</v>
      </c>
      <c r="D424" s="54" t="str">
        <f>IFERROR(__xludf.DUMMYFUNCTION("""COMPUTED_VALUE"""),"Feta Forgers")</f>
        <v>Feta Forgers</v>
      </c>
      <c r="E424" s="55" t="str">
        <f>IFERROR(__xludf.DUMMYFUNCTION("""COMPUTED_VALUE"""),"N/A")</f>
        <v>N/A</v>
      </c>
      <c r="F424" s="56">
        <f>IFERROR(__xludf.DUMMYFUNCTION("""COMPUTED_VALUE"""),59.58770107546289)</f>
        <v>59.58770108</v>
      </c>
      <c r="G424" s="57">
        <f>IFERROR(__xludf.DUMMYFUNCTION("""COMPUTED_VALUE"""),25.0)</f>
        <v>25</v>
      </c>
      <c r="H424" s="58">
        <f>IFERROR(__xludf.DUMMYFUNCTION("iferror(if(B424="""", ,filter('IDR Import'!D:D,'IDR Import'!A:A=B424,'IDR Import'!C:C=A424)),)"),65.36416390273466)</f>
        <v>65.3641639</v>
      </c>
      <c r="I424" s="58">
        <v>62.475932489098774</v>
      </c>
      <c r="J424" s="59">
        <f t="shared" si="1"/>
        <v>25</v>
      </c>
    </row>
    <row r="425">
      <c r="A425" s="55" t="str">
        <f>IFERROR(__xludf.DUMMYFUNCTION("""COMPUTED_VALUE"""),"Premier")</f>
        <v>Premier</v>
      </c>
      <c r="B425" s="55" t="str">
        <f>IFERROR(__xludf.DUMMYFUNCTION("""COMPUTED_VALUE"""),"RSC002062")</f>
        <v>RSC002062</v>
      </c>
      <c r="C425" s="60" t="str">
        <f>IFERROR(__xludf.DUMMYFUNCTION("""COMPUTED_VALUE"""),"Qundar al-Din")</f>
        <v>Qundar al-Din</v>
      </c>
      <c r="D425" s="54" t="str">
        <f>IFERROR(__xludf.DUMMYFUNCTION("""COMPUTED_VALUE"""),"Punks")</f>
        <v>Punks</v>
      </c>
      <c r="E425" s="55" t="str">
        <f>IFERROR(__xludf.DUMMYFUNCTION("""COMPUTED_VALUE"""),"N/A")</f>
        <v>N/A</v>
      </c>
      <c r="F425" s="56">
        <f>IFERROR(__xludf.DUMMYFUNCTION("""COMPUTED_VALUE"""),57.88737713995138)</f>
        <v>57.88737714</v>
      </c>
      <c r="G425" s="57">
        <f>IFERROR(__xludf.DUMMYFUNCTION("""COMPUTED_VALUE"""),12.0)</f>
        <v>12</v>
      </c>
      <c r="H425" s="58">
        <f>IFERROR(__xludf.DUMMYFUNCTION("iferror(if(B425="""", ,filter('IDR Import'!D:D,'IDR Import'!A:A=B425,'IDR Import'!C:C=A425)),)"),61.20167634103461)</f>
        <v>61.20167634</v>
      </c>
      <c r="I425" s="58">
        <v>59.544526740493</v>
      </c>
      <c r="J425" s="59">
        <f t="shared" si="1"/>
        <v>12</v>
      </c>
    </row>
    <row r="426">
      <c r="A426" s="55" t="str">
        <f>IFERROR(__xludf.DUMMYFUNCTION("""COMPUTED_VALUE"""),"Premier")</f>
        <v>Premier</v>
      </c>
      <c r="B426" s="55" t="str">
        <f>IFERROR(__xludf.DUMMYFUNCTION("""COMPUTED_VALUE"""),"RSC007718")</f>
        <v>RSC007718</v>
      </c>
      <c r="C426" s="60" t="str">
        <f>IFERROR(__xludf.DUMMYFUNCTION("""COMPUTED_VALUE"""),"dxge")</f>
        <v>dxge</v>
      </c>
      <c r="D426" s="54" t="str">
        <f>IFERROR(__xludf.DUMMYFUNCTION("""COMPUTED_VALUE"""),"Gummy Bears
Capybaras")</f>
        <v>Gummy Bears
Capybaras</v>
      </c>
      <c r="E426" s="55" t="str">
        <f>IFERROR(__xludf.DUMMYFUNCTION("""COMPUTED_VALUE"""),"N/A
N/A")</f>
        <v>N/A
N/A</v>
      </c>
      <c r="F426" s="56">
        <f>IFERROR(__xludf.DUMMYFUNCTION("""COMPUTED_VALUE"""),57.22185913681954)</f>
        <v>57.22185914</v>
      </c>
      <c r="G426" s="57">
        <f>IFERROR(__xludf.DUMMYFUNCTION("""COMPUTED_VALUE"""),8.0)</f>
        <v>8</v>
      </c>
      <c r="H426" s="58">
        <f>IFERROR(__xludf.DUMMYFUNCTION("iferror(if(B426="""", ,filter('IDR Import'!D:D,'IDR Import'!A:A=B426,'IDR Import'!C:C=A426)),)"),56.524133670177605)</f>
        <v>56.52413367</v>
      </c>
      <c r="I426" s="58">
        <v>56.872996403498576</v>
      </c>
      <c r="J426" s="59">
        <f t="shared" si="1"/>
        <v>8</v>
      </c>
    </row>
    <row r="427">
      <c r="A427" s="55" t="str">
        <f>IFERROR(__xludf.DUMMYFUNCTION("""COMPUTED_VALUE"""),"Premier")</f>
        <v>Premier</v>
      </c>
      <c r="B427" s="55" t="str">
        <f>IFERROR(__xludf.DUMMYFUNCTION("""COMPUTED_VALUE"""),"RSC007330")</f>
        <v>RSC007330</v>
      </c>
      <c r="C427" s="60" t="str">
        <f>IFERROR(__xludf.DUMMYFUNCTION("""COMPUTED_VALUE"""),"Spooky")</f>
        <v>Spooky</v>
      </c>
      <c r="D427" s="54" t="str">
        <f>IFERROR(__xludf.DUMMYFUNCTION("""COMPUTED_VALUE"""),"Capybaras")</f>
        <v>Capybaras</v>
      </c>
      <c r="E427" s="55" t="str">
        <f>IFERROR(__xludf.DUMMYFUNCTION("""COMPUTED_VALUE"""),"N/A")</f>
        <v>N/A</v>
      </c>
      <c r="F427" s="56">
        <f>IFERROR(__xludf.DUMMYFUNCTION("""COMPUTED_VALUE"""),55.82845377543993)</f>
        <v>55.82845378</v>
      </c>
      <c r="G427" s="57">
        <f>IFERROR(__xludf.DUMMYFUNCTION("""COMPUTED_VALUE"""),10.0)</f>
        <v>10</v>
      </c>
      <c r="H427" s="58">
        <f>IFERROR(__xludf.DUMMYFUNCTION("iferror(if(B427="""", ,filter('IDR Import'!D:D,'IDR Import'!A:A=B427,'IDR Import'!C:C=A427)),)"),50.499634058708814)</f>
        <v>50.49963406</v>
      </c>
      <c r="I427" s="58">
        <v>53.16404391707437</v>
      </c>
      <c r="J427" s="59">
        <f t="shared" si="1"/>
        <v>10</v>
      </c>
    </row>
    <row r="428">
      <c r="A428" s="55" t="str">
        <f>IFERROR(__xludf.DUMMYFUNCTION("""COMPUTED_VALUE"""),"Premier")</f>
        <v>Premier</v>
      </c>
      <c r="B428" s="55" t="str">
        <f>IFERROR(__xludf.DUMMYFUNCTION("""COMPUTED_VALUE"""),"RSC008424")</f>
        <v>RSC008424</v>
      </c>
      <c r="C428" s="60" t="str">
        <f>IFERROR(__xludf.DUMMYFUNCTION("""COMPUTED_VALUE"""),"Kev.")</f>
        <v>Kev.</v>
      </c>
      <c r="D428" s="54" t="str">
        <f>IFERROR(__xludf.DUMMYFUNCTION("""COMPUTED_VALUE"""),"Leviathans
Feta Forgers")</f>
        <v>Leviathans
Feta Forgers</v>
      </c>
      <c r="E428" s="55" t="str">
        <f>IFERROR(__xludf.DUMMYFUNCTION("""COMPUTED_VALUE"""),"N/A
N/A")</f>
        <v>N/A
N/A</v>
      </c>
      <c r="F428" s="56">
        <f>IFERROR(__xludf.DUMMYFUNCTION("""COMPUTED_VALUE"""),55.12206010179486)</f>
        <v>55.1220601</v>
      </c>
      <c r="G428" s="57">
        <f>IFERROR(__xludf.DUMMYFUNCTION("""COMPUTED_VALUE"""),5.0)</f>
        <v>5</v>
      </c>
      <c r="H428" s="58">
        <f>IFERROR(__xludf.DUMMYFUNCTION("iferror(if(B428="""", ,filter('IDR Import'!D:D,'IDR Import'!A:A=B428,'IDR Import'!C:C=A428)),)"),32.22798123407678)</f>
        <v>32.22798123</v>
      </c>
      <c r="I428" s="58">
        <v>43.67502066793582</v>
      </c>
      <c r="J428" s="59">
        <f t="shared" si="1"/>
        <v>5</v>
      </c>
    </row>
    <row r="429">
      <c r="A429" s="55" t="str">
        <f>IFERROR(__xludf.DUMMYFUNCTION("""COMPUTED_VALUE"""),"Premier")</f>
        <v>Premier</v>
      </c>
      <c r="B429" s="55" t="str">
        <f>IFERROR(__xludf.DUMMYFUNCTION("""COMPUTED_VALUE"""),"RSC003749")</f>
        <v>RSC003749</v>
      </c>
      <c r="C429" s="60" t="str">
        <f>IFERROR(__xludf.DUMMYFUNCTION("""COMPUTED_VALUE"""),"Rule")</f>
        <v>Rule</v>
      </c>
      <c r="D429" s="54" t="str">
        <f>IFERROR(__xludf.DUMMYFUNCTION("""COMPUTED_VALUE"""),"Crooked Capos")</f>
        <v>Crooked Capos</v>
      </c>
      <c r="E429" s="55" t="str">
        <f>IFERROR(__xludf.DUMMYFUNCTION("""COMPUTED_VALUE"""),"N/A")</f>
        <v>N/A</v>
      </c>
      <c r="F429" s="56">
        <f>IFERROR(__xludf.DUMMYFUNCTION("""COMPUTED_VALUE"""),55.03428991619917)</f>
        <v>55.03428992</v>
      </c>
      <c r="G429" s="57">
        <f>IFERROR(__xludf.DUMMYFUNCTION("""COMPUTED_VALUE"""),33.0)</f>
        <v>33</v>
      </c>
      <c r="H429" s="58">
        <f>IFERROR(__xludf.DUMMYFUNCTION("iferror(if(B429="""", ,filter('IDR Import'!D:D,'IDR Import'!A:A=B429,'IDR Import'!C:C=A429)),)"),64.29584224440089)</f>
        <v>64.29584224</v>
      </c>
      <c r="I429" s="58">
        <v>59.66506608030003</v>
      </c>
      <c r="J429" s="59">
        <f t="shared" si="1"/>
        <v>33</v>
      </c>
    </row>
    <row r="430">
      <c r="A430" s="55" t="str">
        <f>IFERROR(__xludf.DUMMYFUNCTION("""COMPUTED_VALUE"""),"Premier")</f>
        <v>Premier</v>
      </c>
      <c r="B430" s="55" t="str">
        <f>IFERROR(__xludf.DUMMYFUNCTION("""COMPUTED_VALUE"""),"RSC008139")</f>
        <v>RSC008139</v>
      </c>
      <c r="C430" s="60" t="str">
        <f>IFERROR(__xludf.DUMMYFUNCTION("""COMPUTED_VALUE"""),"Oibu")</f>
        <v>Oibu</v>
      </c>
      <c r="D430" s="54" t="str">
        <f>IFERROR(__xludf.DUMMYFUNCTION("""COMPUTED_VALUE"""),"Capybaras
Interstellar
Feta Forgers")</f>
        <v>Capybaras
Interstellar
Feta Forgers</v>
      </c>
      <c r="E430" s="55" t="str">
        <f>IFERROR(__xludf.DUMMYFUNCTION("""COMPUTED_VALUE"""),"N/A
N/A
N/A")</f>
        <v>N/A
N/A
N/A</v>
      </c>
      <c r="F430" s="56">
        <f>IFERROR(__xludf.DUMMYFUNCTION("""COMPUTED_VALUE"""),54.42642871198701)</f>
        <v>54.42642871</v>
      </c>
      <c r="G430" s="57">
        <f>IFERROR(__xludf.DUMMYFUNCTION("""COMPUTED_VALUE"""),35.0)</f>
        <v>35</v>
      </c>
      <c r="H430" s="58">
        <f>IFERROR(__xludf.DUMMYFUNCTION("iferror(if(B430="""", ,filter('IDR Import'!D:D,'IDR Import'!A:A=B430,'IDR Import'!C:C=A430)),)"),55.620958410312504)</f>
        <v>55.62095841</v>
      </c>
      <c r="I430" s="58">
        <v>55.023693561149756</v>
      </c>
      <c r="J430" s="59">
        <f t="shared" si="1"/>
        <v>35</v>
      </c>
    </row>
    <row r="431">
      <c r="A431" s="55" t="str">
        <f>IFERROR(__xludf.DUMMYFUNCTION("""COMPUTED_VALUE"""),"Premier")</f>
        <v>Premier</v>
      </c>
      <c r="B431" s="55" t="str">
        <f>IFERROR(__xludf.DUMMYFUNCTION("""COMPUTED_VALUE"""),"RSC000579")</f>
        <v>RSC000579</v>
      </c>
      <c r="C431" s="60" t="str">
        <f>IFERROR(__xludf.DUMMYFUNCTION("""COMPUTED_VALUE"""),"Cryptt.")</f>
        <v>Cryptt.</v>
      </c>
      <c r="D431" s="54" t="str">
        <f>IFERROR(__xludf.DUMMYFUNCTION("""COMPUTED_VALUE"""),"Capybaras")</f>
        <v>Capybaras</v>
      </c>
      <c r="E431" s="55" t="str">
        <f>IFERROR(__xludf.DUMMYFUNCTION("""COMPUTED_VALUE"""),"N/A")</f>
        <v>N/A</v>
      </c>
      <c r="F431" s="56">
        <f>IFERROR(__xludf.DUMMYFUNCTION("""COMPUTED_VALUE"""),53.74813744130868)</f>
        <v>53.74813744</v>
      </c>
      <c r="G431" s="57">
        <f>IFERROR(__xludf.DUMMYFUNCTION("""COMPUTED_VALUE"""),51.0)</f>
        <v>51</v>
      </c>
      <c r="H431" s="58">
        <f>IFERROR(__xludf.DUMMYFUNCTION("iferror(if(B431="""", ,filter('IDR Import'!D:D,'IDR Import'!A:A=B431,'IDR Import'!C:C=A431)),)"),55.39866497874509)</f>
        <v>55.39866498</v>
      </c>
      <c r="I431" s="58">
        <v>54.57340121002689</v>
      </c>
      <c r="J431" s="59">
        <f t="shared" si="1"/>
        <v>51</v>
      </c>
    </row>
    <row r="432">
      <c r="A432" s="55" t="str">
        <f>IFERROR(__xludf.DUMMYFUNCTION("""COMPUTED_VALUE"""),"Premier")</f>
        <v>Premier</v>
      </c>
      <c r="B432" s="55" t="str">
        <f>IFERROR(__xludf.DUMMYFUNCTION("""COMPUTED_VALUE"""),"RSC005170")</f>
        <v>RSC005170</v>
      </c>
      <c r="C432" s="60" t="str">
        <f>IFERROR(__xludf.DUMMYFUNCTION("""COMPUTED_VALUE"""),"FrenchyNF")</f>
        <v>FrenchyNF</v>
      </c>
      <c r="D432" s="54" t="str">
        <f>IFERROR(__xludf.DUMMYFUNCTION("""COMPUTED_VALUE"""),"Interstellar
Crooked Capos
Feta Forgers")</f>
        <v>Interstellar
Crooked Capos
Feta Forgers</v>
      </c>
      <c r="E432" s="55" t="str">
        <f>IFERROR(__xludf.DUMMYFUNCTION("""COMPUTED_VALUE"""),"N/A
N/A
N/A")</f>
        <v>N/A
N/A
N/A</v>
      </c>
      <c r="F432" s="56">
        <f>IFERROR(__xludf.DUMMYFUNCTION("""COMPUTED_VALUE"""),53.2663551890321)</f>
        <v>53.26635519</v>
      </c>
      <c r="G432" s="57">
        <f>IFERROR(__xludf.DUMMYFUNCTION("""COMPUTED_VALUE"""),25.0)</f>
        <v>25</v>
      </c>
      <c r="H432" s="58">
        <f>IFERROR(__xludf.DUMMYFUNCTION("iferror(if(B432="""", ,filter('IDR Import'!D:D,'IDR Import'!A:A=B432,'IDR Import'!C:C=A432)),)"),56.10058176724049)</f>
        <v>56.10058177</v>
      </c>
      <c r="I432" s="58">
        <v>54.68346847813629</v>
      </c>
      <c r="J432" s="59">
        <f t="shared" si="1"/>
        <v>25</v>
      </c>
    </row>
    <row r="433">
      <c r="A433" s="55" t="str">
        <f>IFERROR(__xludf.DUMMYFUNCTION("""COMPUTED_VALUE"""),"Premier")</f>
        <v>Premier</v>
      </c>
      <c r="B433" s="55" t="str">
        <f>IFERROR(__xludf.DUMMYFUNCTION("""COMPUTED_VALUE"""),"RSC004138")</f>
        <v>RSC004138</v>
      </c>
      <c r="C433" s="60" t="str">
        <f>IFERROR(__xludf.DUMMYFUNCTION("""COMPUTED_VALUE"""),"ghoosstyyyyyyy")</f>
        <v>ghoosstyyyyyyy</v>
      </c>
      <c r="D433" s="54" t="str">
        <f>IFERROR(__xludf.DUMMYFUNCTION("""COMPUTED_VALUE"""),"Super Clusters
Feta Forgers")</f>
        <v>Super Clusters
Feta Forgers</v>
      </c>
      <c r="E433" s="55" t="str">
        <f>IFERROR(__xludf.DUMMYFUNCTION("""COMPUTED_VALUE"""),"N/A
N/A")</f>
        <v>N/A
N/A</v>
      </c>
      <c r="F433" s="56">
        <f>IFERROR(__xludf.DUMMYFUNCTION("""COMPUTED_VALUE"""),50.541192682882006)</f>
        <v>50.54119268</v>
      </c>
      <c r="G433" s="57">
        <f>IFERROR(__xludf.DUMMYFUNCTION("""COMPUTED_VALUE"""),21.0)</f>
        <v>21</v>
      </c>
      <c r="H433" s="58">
        <f>IFERROR(__xludf.DUMMYFUNCTION("iferror(if(B433="""", ,filter('IDR Import'!D:D,'IDR Import'!A:A=B433,'IDR Import'!C:C=A433)),)"),53.15821115829646)</f>
        <v>53.15821116</v>
      </c>
      <c r="I433" s="58">
        <v>51.84970192058923</v>
      </c>
      <c r="J433" s="59">
        <f t="shared" si="1"/>
        <v>21</v>
      </c>
    </row>
    <row r="434">
      <c r="A434" s="55" t="str">
        <f>IFERROR(__xludf.DUMMYFUNCTION("""COMPUTED_VALUE"""),"Premier")</f>
        <v>Premier</v>
      </c>
      <c r="B434" s="55" t="str">
        <f>IFERROR(__xludf.DUMMYFUNCTION("""COMPUTED_VALUE"""),"RSC006889")</f>
        <v>RSC006889</v>
      </c>
      <c r="C434" s="60" t="str">
        <f>IFERROR(__xludf.DUMMYFUNCTION("""COMPUTED_VALUE"""),"Jay")</f>
        <v>Jay</v>
      </c>
      <c r="D434" s="54" t="str">
        <f>IFERROR(__xludf.DUMMYFUNCTION("""COMPUTED_VALUE"""),"Leviathans")</f>
        <v>Leviathans</v>
      </c>
      <c r="E434" s="55" t="str">
        <f>IFERROR(__xludf.DUMMYFUNCTION("""COMPUTED_VALUE"""),"N/A")</f>
        <v>N/A</v>
      </c>
      <c r="F434" s="56">
        <f>IFERROR(__xludf.DUMMYFUNCTION("""COMPUTED_VALUE"""),48.82473364804944)</f>
        <v>48.82473365</v>
      </c>
      <c r="G434" s="57">
        <f>IFERROR(__xludf.DUMMYFUNCTION("""COMPUTED_VALUE"""),24.0)</f>
        <v>24</v>
      </c>
      <c r="H434" s="58">
        <f>IFERROR(__xludf.DUMMYFUNCTION("iferror(if(B434="""", ,filter('IDR Import'!D:D,'IDR Import'!A:A=B434,'IDR Import'!C:C=A434)),)"),58.48455773795622)</f>
        <v>58.48455774</v>
      </c>
      <c r="I434" s="58">
        <v>53.654645693002834</v>
      </c>
      <c r="J434" s="59">
        <f t="shared" si="1"/>
        <v>24</v>
      </c>
    </row>
    <row r="435">
      <c r="A435" s="55" t="str">
        <f>IFERROR(__xludf.DUMMYFUNCTION("""COMPUTED_VALUE"""),"Premier")</f>
        <v>Premier</v>
      </c>
      <c r="B435" s="55" t="str">
        <f>IFERROR(__xludf.DUMMYFUNCTION("""COMPUTED_VALUE"""),"RSC004149")</f>
        <v>RSC004149</v>
      </c>
      <c r="C435" s="60" t="str">
        <f>IFERROR(__xludf.DUMMYFUNCTION("""COMPUTED_VALUE"""),"insanity")</f>
        <v>insanity</v>
      </c>
      <c r="D435" s="54" t="str">
        <f>IFERROR(__xludf.DUMMYFUNCTION("""COMPUTED_VALUE"""),"Super Clusters")</f>
        <v>Super Clusters</v>
      </c>
      <c r="E435" s="55" t="str">
        <f>IFERROR(__xludf.DUMMYFUNCTION("""COMPUTED_VALUE"""),"N/A")</f>
        <v>N/A</v>
      </c>
      <c r="F435" s="56">
        <f>IFERROR(__xludf.DUMMYFUNCTION("""COMPUTED_VALUE"""),46.90204124272587)</f>
        <v>46.90204124</v>
      </c>
      <c r="G435" s="57">
        <f>IFERROR(__xludf.DUMMYFUNCTION("""COMPUTED_VALUE"""),52.0)</f>
        <v>52</v>
      </c>
      <c r="H435" s="58">
        <f>IFERROR(__xludf.DUMMYFUNCTION("iferror(if(B435="""", ,filter('IDR Import'!D:D,'IDR Import'!A:A=B435,'IDR Import'!C:C=A435)),)"),49.667991258615494)</f>
        <v>49.66799126</v>
      </c>
      <c r="I435" s="58">
        <v>48.28501625067068</v>
      </c>
      <c r="J435" s="59">
        <f t="shared" si="1"/>
        <v>52</v>
      </c>
    </row>
    <row r="436">
      <c r="A436" s="55" t="str">
        <f>IFERROR(__xludf.DUMMYFUNCTION("""COMPUTED_VALUE"""),"Premier")</f>
        <v>Premier</v>
      </c>
      <c r="B436" s="55" t="str">
        <f>IFERROR(__xludf.DUMMYFUNCTION("""COMPUTED_VALUE"""),"RSC006677")</f>
        <v>RSC006677</v>
      </c>
      <c r="C436" s="60" t="str">
        <f>IFERROR(__xludf.DUMMYFUNCTION("""COMPUTED_VALUE"""),"Luigi")</f>
        <v>Luigi</v>
      </c>
      <c r="D436" s="54" t="str">
        <f>IFERROR(__xludf.DUMMYFUNCTION("""COMPUTED_VALUE"""),"Interstellar")</f>
        <v>Interstellar</v>
      </c>
      <c r="E436" s="55" t="str">
        <f>IFERROR(__xludf.DUMMYFUNCTION("""COMPUTED_VALUE"""),"N/A")</f>
        <v>N/A</v>
      </c>
      <c r="F436" s="56">
        <f>IFERROR(__xludf.DUMMYFUNCTION("""COMPUTED_VALUE"""),44.755908421071425)</f>
        <v>44.75590842</v>
      </c>
      <c r="G436" s="57">
        <f>IFERROR(__xludf.DUMMYFUNCTION("""COMPUTED_VALUE"""),48.0)</f>
        <v>48</v>
      </c>
      <c r="H436" s="58">
        <f>IFERROR(__xludf.DUMMYFUNCTION("iferror(if(B436="""", ,filter('IDR Import'!D:D,'IDR Import'!A:A=B436,'IDR Import'!C:C=A436)),)"),36.232244345705766)</f>
        <v>36.23224435</v>
      </c>
      <c r="I436" s="58">
        <v>40.494076383388595</v>
      </c>
      <c r="J436" s="59">
        <f t="shared" si="1"/>
        <v>48</v>
      </c>
    </row>
    <row r="437">
      <c r="A437" s="55" t="str">
        <f>IFERROR(__xludf.DUMMYFUNCTION("""COMPUTED_VALUE"""),"Premier")</f>
        <v>Premier</v>
      </c>
      <c r="B437" s="55" t="str">
        <f>IFERROR(__xludf.DUMMYFUNCTION("""COMPUTED_VALUE"""),"RSC008604")</f>
        <v>RSC008604</v>
      </c>
      <c r="C437" s="60" t="str">
        <f>IFERROR(__xludf.DUMMYFUNCTION("""COMPUTED_VALUE"""),"grogǃ")</f>
        <v>grogǃ</v>
      </c>
      <c r="D437" s="54" t="str">
        <f>IFERROR(__xludf.DUMMYFUNCTION("""COMPUTED_VALUE"""),"Feta Forgers")</f>
        <v>Feta Forgers</v>
      </c>
      <c r="E437" s="55" t="str">
        <f>IFERROR(__xludf.DUMMYFUNCTION("""COMPUTED_VALUE"""),"N/A")</f>
        <v>N/A</v>
      </c>
      <c r="F437" s="56">
        <f>IFERROR(__xludf.DUMMYFUNCTION("""COMPUTED_VALUE"""),44.438493868779716)</f>
        <v>44.43849387</v>
      </c>
      <c r="G437" s="57">
        <f>IFERROR(__xludf.DUMMYFUNCTION("""COMPUTED_VALUE"""),4.0)</f>
        <v>4</v>
      </c>
      <c r="H437" s="58">
        <f>IFERROR(__xludf.DUMMYFUNCTION("iferror(if(B437="""", ,filter('IDR Import'!D:D,'IDR Import'!A:A=B437,'IDR Import'!C:C=A437)),)"),31.15593944039609)</f>
        <v>31.15593944</v>
      </c>
      <c r="I437" s="58">
        <v>37.7972166545879</v>
      </c>
      <c r="J437" s="59">
        <f t="shared" si="1"/>
        <v>4</v>
      </c>
    </row>
    <row r="438">
      <c r="A438" s="55" t="str">
        <f>IFERROR(__xludf.DUMMYFUNCTION("""COMPUTED_VALUE"""),"Premier")</f>
        <v>Premier</v>
      </c>
      <c r="B438" s="55" t="str">
        <f>IFERROR(__xludf.DUMMYFUNCTION("""COMPUTED_VALUE"""),"RSC002050")</f>
        <v>RSC002050</v>
      </c>
      <c r="C438" s="60" t="str">
        <f>IFERROR(__xludf.DUMMYFUNCTION("""COMPUTED_VALUE"""),"Goobz")</f>
        <v>Goobz</v>
      </c>
      <c r="D438" s="54" t="str">
        <f>IFERROR(__xludf.DUMMYFUNCTION("""COMPUTED_VALUE"""),"Punks
Capybaras")</f>
        <v>Punks
Capybaras</v>
      </c>
      <c r="E438" s="55" t="str">
        <f>IFERROR(__xludf.DUMMYFUNCTION("""COMPUTED_VALUE"""),"N/A
N/A")</f>
        <v>N/A
N/A</v>
      </c>
      <c r="F438" s="56">
        <f>IFERROR(__xludf.DUMMYFUNCTION("""COMPUTED_VALUE"""),43.571345505323436)</f>
        <v>43.57134551</v>
      </c>
      <c r="G438" s="57">
        <f>IFERROR(__xludf.DUMMYFUNCTION("""COMPUTED_VALUE"""),30.0)</f>
        <v>30</v>
      </c>
      <c r="H438" s="58">
        <f>IFERROR(__xludf.DUMMYFUNCTION("iferror(if(B438="""", ,filter('IDR Import'!D:D,'IDR Import'!A:A=B438,'IDR Import'!C:C=A438)),)"),37.52572764523618)</f>
        <v>37.52572765</v>
      </c>
      <c r="I438" s="58">
        <v>40.54853657527981</v>
      </c>
      <c r="J438" s="59">
        <f t="shared" si="1"/>
        <v>30</v>
      </c>
    </row>
    <row r="439">
      <c r="A439" s="55" t="str">
        <f>IFERROR(__xludf.DUMMYFUNCTION("""COMPUTED_VALUE"""),"Premier")</f>
        <v>Premier</v>
      </c>
      <c r="B439" s="55" t="str">
        <f>IFERROR(__xludf.DUMMYFUNCTION("""COMPUTED_VALUE"""),"RSC006952")</f>
        <v>RSC006952</v>
      </c>
      <c r="C439" s="60" t="str">
        <f>IFERROR(__xludf.DUMMYFUNCTION("""COMPUTED_VALUE"""),"end of navegelion")</f>
        <v>end of navegelion</v>
      </c>
      <c r="D439" s="54" t="str">
        <f>IFERROR(__xludf.DUMMYFUNCTION("""COMPUTED_VALUE"""),"Punks")</f>
        <v>Punks</v>
      </c>
      <c r="E439" s="55" t="str">
        <f>IFERROR(__xludf.DUMMYFUNCTION("""COMPUTED_VALUE"""),"N/A")</f>
        <v>N/A</v>
      </c>
      <c r="F439" s="56">
        <f>IFERROR(__xludf.DUMMYFUNCTION("""COMPUTED_VALUE"""),42.04129289566968)</f>
        <v>42.0412929</v>
      </c>
      <c r="G439" s="57">
        <f>IFERROR(__xludf.DUMMYFUNCTION("""COMPUTED_VALUE"""),40.0)</f>
        <v>40</v>
      </c>
      <c r="H439" s="58">
        <f>IFERROR(__xludf.DUMMYFUNCTION("iferror(if(B439="""", ,filter('IDR Import'!D:D,'IDR Import'!A:A=B439,'IDR Import'!C:C=A439)),)"),39.885763383664916)</f>
        <v>39.88576338</v>
      </c>
      <c r="I439" s="58">
        <v>40.9635281396673</v>
      </c>
      <c r="J439" s="59">
        <f t="shared" si="1"/>
        <v>40</v>
      </c>
    </row>
    <row r="440">
      <c r="A440" s="55" t="str">
        <f>IFERROR(__xludf.DUMMYFUNCTION("""COMPUTED_VALUE"""),"Premier")</f>
        <v>Premier</v>
      </c>
      <c r="B440" s="55" t="str">
        <f>IFERROR(__xludf.DUMMYFUNCTION("""COMPUTED_VALUE"""),"RSC000618")</f>
        <v>RSC000618</v>
      </c>
      <c r="C440" s="60" t="str">
        <f>IFERROR(__xludf.DUMMYFUNCTION("""COMPUTED_VALUE"""),"Taelo")</f>
        <v>Taelo</v>
      </c>
      <c r="D440" s="54" t="str">
        <f>IFERROR(__xludf.DUMMYFUNCTION("""COMPUTED_VALUE"""),"Interstellar
Super Clusters")</f>
        <v>Interstellar
Super Clusters</v>
      </c>
      <c r="E440" s="55" t="str">
        <f>IFERROR(__xludf.DUMMYFUNCTION("""COMPUTED_VALUE"""),"N/A
N/A")</f>
        <v>N/A
N/A</v>
      </c>
      <c r="F440" s="56">
        <f>IFERROR(__xludf.DUMMYFUNCTION("""COMPUTED_VALUE"""),41.35953705625866)</f>
        <v>41.35953706</v>
      </c>
      <c r="G440" s="57">
        <f>IFERROR(__xludf.DUMMYFUNCTION("""COMPUTED_VALUE"""),56.0)</f>
        <v>56</v>
      </c>
      <c r="H440" s="58">
        <f>IFERROR(__xludf.DUMMYFUNCTION("iferror(if(B440="""", ,filter('IDR Import'!D:D,'IDR Import'!A:A=B440,'IDR Import'!C:C=A440)),)"),42.61881876358929)</f>
        <v>42.61881876</v>
      </c>
      <c r="I440" s="58">
        <v>41.989177909923974</v>
      </c>
      <c r="J440" s="59">
        <f t="shared" si="1"/>
        <v>56</v>
      </c>
    </row>
    <row r="441">
      <c r="A441" s="55" t="str">
        <f>IFERROR(__xludf.DUMMYFUNCTION("""COMPUTED_VALUE"""),"Premier")</f>
        <v>Premier</v>
      </c>
      <c r="B441" s="55" t="str">
        <f>IFERROR(__xludf.DUMMYFUNCTION("""COMPUTED_VALUE"""),"RSC001114")</f>
        <v>RSC001114</v>
      </c>
      <c r="C441" s="60" t="str">
        <f>IFERROR(__xludf.DUMMYFUNCTION("""COMPUTED_VALUE"""),"ASHES.")</f>
        <v>ASHES.</v>
      </c>
      <c r="D441" s="54" t="str">
        <f>IFERROR(__xludf.DUMMYFUNCTION("""COMPUTED_VALUE"""),"Interstellar")</f>
        <v>Interstellar</v>
      </c>
      <c r="E441" s="55" t="str">
        <f>IFERROR(__xludf.DUMMYFUNCTION("""COMPUTED_VALUE"""),"N/A")</f>
        <v>N/A</v>
      </c>
      <c r="F441" s="56">
        <f>IFERROR(__xludf.DUMMYFUNCTION("""COMPUTED_VALUE"""),40.58473149216566)</f>
        <v>40.58473149</v>
      </c>
      <c r="G441" s="57">
        <f>IFERROR(__xludf.DUMMYFUNCTION("""COMPUTED_VALUE"""),48.0)</f>
        <v>48</v>
      </c>
      <c r="H441" s="58">
        <f>IFERROR(__xludf.DUMMYFUNCTION("iferror(if(B441="""", ,filter('IDR Import'!D:D,'IDR Import'!A:A=B441,'IDR Import'!C:C=A441)),)"),43.695395787235114)</f>
        <v>43.69539579</v>
      </c>
      <c r="I441" s="58">
        <v>42.14006363970039</v>
      </c>
      <c r="J441" s="59">
        <f t="shared" si="1"/>
        <v>48</v>
      </c>
    </row>
    <row r="442">
      <c r="A442" s="55" t="str">
        <f>IFERROR(__xludf.DUMMYFUNCTION("""COMPUTED_VALUE"""),"Premier")</f>
        <v>Premier</v>
      </c>
      <c r="B442" s="55" t="str">
        <f>IFERROR(__xludf.DUMMYFUNCTION("""COMPUTED_VALUE"""),"RSC001903")</f>
        <v>RSC001903</v>
      </c>
      <c r="C442" s="60" t="str">
        <f>IFERROR(__xludf.DUMMYFUNCTION("""COMPUTED_VALUE"""),"Plasma")</f>
        <v>Plasma</v>
      </c>
      <c r="D442" s="54" t="str">
        <f>IFERROR(__xludf.DUMMYFUNCTION("""COMPUTED_VALUE"""),"Crooked Capos")</f>
        <v>Crooked Capos</v>
      </c>
      <c r="E442" s="55" t="str">
        <f>IFERROR(__xludf.DUMMYFUNCTION("""COMPUTED_VALUE"""),"N/A")</f>
        <v>N/A</v>
      </c>
      <c r="F442" s="56">
        <f>IFERROR(__xludf.DUMMYFUNCTION("""COMPUTED_VALUE"""),40.40569622374351)</f>
        <v>40.40569622</v>
      </c>
      <c r="G442" s="57">
        <f>IFERROR(__xludf.DUMMYFUNCTION("""COMPUTED_VALUE"""),35.0)</f>
        <v>35</v>
      </c>
      <c r="H442" s="58">
        <f>IFERROR(__xludf.DUMMYFUNCTION("iferror(if(B442="""", ,filter('IDR Import'!D:D,'IDR Import'!A:A=B442,'IDR Import'!C:C=A442)),)"),33.2533728574935)</f>
        <v>33.25337286</v>
      </c>
      <c r="I442" s="58">
        <v>36.82953454061851</v>
      </c>
      <c r="J442" s="59">
        <f t="shared" si="1"/>
        <v>35</v>
      </c>
    </row>
    <row r="443">
      <c r="A443" s="55" t="str">
        <f>IFERROR(__xludf.DUMMYFUNCTION("""COMPUTED_VALUE"""),"Premier")</f>
        <v>Premier</v>
      </c>
      <c r="B443" s="55" t="str">
        <f>IFERROR(__xludf.DUMMYFUNCTION("""COMPUTED_VALUE"""),"RSC001977")</f>
        <v>RSC001977</v>
      </c>
      <c r="C443" s="60" t="str">
        <f>IFERROR(__xludf.DUMMYFUNCTION("""COMPUTED_VALUE"""),"T.")</f>
        <v>T.</v>
      </c>
      <c r="D443" s="54" t="str">
        <f>IFERROR(__xludf.DUMMYFUNCTION("""COMPUTED_VALUE"""),"Feta Forgers")</f>
        <v>Feta Forgers</v>
      </c>
      <c r="E443" s="55" t="str">
        <f>IFERROR(__xludf.DUMMYFUNCTION("""COMPUTED_VALUE"""),"N/A")</f>
        <v>N/A</v>
      </c>
      <c r="F443" s="56">
        <f>IFERROR(__xludf.DUMMYFUNCTION("""COMPUTED_VALUE"""),39.71126798655992)</f>
        <v>39.71126799</v>
      </c>
      <c r="G443" s="57">
        <f>IFERROR(__xludf.DUMMYFUNCTION("""COMPUTED_VALUE"""),45.0)</f>
        <v>45</v>
      </c>
      <c r="H443" s="58">
        <f>IFERROR(__xludf.DUMMYFUNCTION("iferror(if(B443="""", ,filter('IDR Import'!D:D,'IDR Import'!A:A=B443,'IDR Import'!C:C=A443)),)"),29.33959257291134)</f>
        <v>29.33959257</v>
      </c>
      <c r="I443" s="58">
        <v>34.52543027973563</v>
      </c>
      <c r="J443" s="59">
        <f t="shared" si="1"/>
        <v>45</v>
      </c>
    </row>
    <row r="444">
      <c r="A444" s="55" t="str">
        <f>IFERROR(__xludf.DUMMYFUNCTION("""COMPUTED_VALUE"""),"Premier")</f>
        <v>Premier</v>
      </c>
      <c r="B444" s="55" t="str">
        <f>IFERROR(__xludf.DUMMYFUNCTION("""COMPUTED_VALUE"""),"RSC008413")</f>
        <v>RSC008413</v>
      </c>
      <c r="C444" s="60" t="str">
        <f>IFERROR(__xludf.DUMMYFUNCTION("""COMPUTED_VALUE"""),"Duck")</f>
        <v>Duck</v>
      </c>
      <c r="D444" s="54" t="str">
        <f>IFERROR(__xludf.DUMMYFUNCTION("""COMPUTED_VALUE"""),"Leviathans")</f>
        <v>Leviathans</v>
      </c>
      <c r="E444" s="55" t="str">
        <f>IFERROR(__xludf.DUMMYFUNCTION("""COMPUTED_VALUE"""),"N/A")</f>
        <v>N/A</v>
      </c>
      <c r="F444" s="56">
        <f>IFERROR(__xludf.DUMMYFUNCTION("""COMPUTED_VALUE"""),38.231242382207554)</f>
        <v>38.23124238</v>
      </c>
      <c r="G444" s="57">
        <f>IFERROR(__xludf.DUMMYFUNCTION("""COMPUTED_VALUE"""),48.0)</f>
        <v>48</v>
      </c>
      <c r="H444" s="58">
        <f>IFERROR(__xludf.DUMMYFUNCTION("iferror(if(B444="""", ,filter('IDR Import'!D:D,'IDR Import'!A:A=B444,'IDR Import'!C:C=A444)),)"),40.331250319626285)</f>
        <v>40.33125032</v>
      </c>
      <c r="I444" s="58">
        <v>39.281246350916916</v>
      </c>
      <c r="J444" s="59">
        <f t="shared" si="1"/>
        <v>48</v>
      </c>
    </row>
    <row r="445">
      <c r="A445" s="55" t="str">
        <f>IFERROR(__xludf.DUMMYFUNCTION("""COMPUTED_VALUE"""),"Premier")</f>
        <v>Premier</v>
      </c>
      <c r="B445" s="55" t="str">
        <f>IFERROR(__xludf.DUMMYFUNCTION("""COMPUTED_VALUE"""),"RSC005340")</f>
        <v>RSC005340</v>
      </c>
      <c r="C445" s="60" t="str">
        <f>IFERROR(__xludf.DUMMYFUNCTION("""COMPUTED_VALUE"""),"Mystikal")</f>
        <v>Mystikal</v>
      </c>
      <c r="D445" s="54" t="str">
        <f>IFERROR(__xludf.DUMMYFUNCTION("""COMPUTED_VALUE"""),"Gummy Bears")</f>
        <v>Gummy Bears</v>
      </c>
      <c r="E445" s="55" t="str">
        <f>IFERROR(__xludf.DUMMYFUNCTION("""COMPUTED_VALUE"""),"N/A")</f>
        <v>N/A</v>
      </c>
      <c r="F445" s="56">
        <f>IFERROR(__xludf.DUMMYFUNCTION("""COMPUTED_VALUE"""),36.39261719793572)</f>
        <v>36.3926172</v>
      </c>
      <c r="G445" s="57">
        <f>IFERROR(__xludf.DUMMYFUNCTION("""COMPUTED_VALUE"""),44.0)</f>
        <v>44</v>
      </c>
      <c r="H445" s="58">
        <f>IFERROR(__xludf.DUMMYFUNCTION("iferror(if(B445="""", ,filter('IDR Import'!D:D,'IDR Import'!A:A=B445,'IDR Import'!C:C=A445)),)"),39.02169839098516)</f>
        <v>39.02169839</v>
      </c>
      <c r="I445" s="58">
        <v>37.70715779446044</v>
      </c>
      <c r="J445" s="59">
        <f t="shared" si="1"/>
        <v>44</v>
      </c>
    </row>
    <row r="446">
      <c r="A446" s="55" t="str">
        <f>IFERROR(__xludf.DUMMYFUNCTION("""COMPUTED_VALUE"""),"Premier")</f>
        <v>Premier</v>
      </c>
      <c r="B446" s="55" t="str">
        <f>IFERROR(__xludf.DUMMYFUNCTION("""COMPUTED_VALUE"""),"RSC003804")</f>
        <v>RSC003804</v>
      </c>
      <c r="C446" s="60" t="str">
        <f>IFERROR(__xludf.DUMMYFUNCTION("""COMPUTED_VALUE"""),"ayylo")</f>
        <v>ayylo</v>
      </c>
      <c r="D446" s="54" t="str">
        <f>IFERROR(__xludf.DUMMYFUNCTION("""COMPUTED_VALUE"""),"Feta Forgers
Super Clusters
Crooked Capos")</f>
        <v>Feta Forgers
Super Clusters
Crooked Capos</v>
      </c>
      <c r="E446" s="55" t="str">
        <f>IFERROR(__xludf.DUMMYFUNCTION("""COMPUTED_VALUE"""),"N/A
N/A
N/A")</f>
        <v>N/A
N/A
N/A</v>
      </c>
      <c r="F446" s="56">
        <f>IFERROR(__xludf.DUMMYFUNCTION("""COMPUTED_VALUE"""),35.75522784897029)</f>
        <v>35.75522785</v>
      </c>
      <c r="G446" s="57">
        <f>IFERROR(__xludf.DUMMYFUNCTION("""COMPUTED_VALUE"""),23.0)</f>
        <v>23</v>
      </c>
      <c r="H446" s="58">
        <f>IFERROR(__xludf.DUMMYFUNCTION("iferror(if(B446="""", ,filter('IDR Import'!D:D,'IDR Import'!A:A=B446,'IDR Import'!C:C=A446)),)"),34.528069140856)</f>
        <v>34.52806914</v>
      </c>
      <c r="I446" s="58">
        <v>35.14164849491314</v>
      </c>
      <c r="J446" s="59">
        <f t="shared" si="1"/>
        <v>23</v>
      </c>
    </row>
    <row r="447">
      <c r="A447" s="55" t="str">
        <f>IFERROR(__xludf.DUMMYFUNCTION("""COMPUTED_VALUE"""),"Premier")</f>
        <v>Premier</v>
      </c>
      <c r="B447" s="55" t="str">
        <f>IFERROR(__xludf.DUMMYFUNCTION("""COMPUTED_VALUE"""),"RSC005320")</f>
        <v>RSC005320</v>
      </c>
      <c r="C447" s="60" t="str">
        <f>IFERROR(__xludf.DUMMYFUNCTION("""COMPUTED_VALUE"""),"MaggieZerua")</f>
        <v>MaggieZerua</v>
      </c>
      <c r="D447" s="54" t="str">
        <f>IFERROR(__xludf.DUMMYFUNCTION("""COMPUTED_VALUE"""),"Leviathans")</f>
        <v>Leviathans</v>
      </c>
      <c r="E447" s="55" t="str">
        <f>IFERROR(__xludf.DUMMYFUNCTION("""COMPUTED_VALUE"""),"N/A")</f>
        <v>N/A</v>
      </c>
      <c r="F447" s="56">
        <f>IFERROR(__xludf.DUMMYFUNCTION("""COMPUTED_VALUE"""),35.753285196502446)</f>
        <v>35.7532852</v>
      </c>
      <c r="G447" s="57">
        <f>IFERROR(__xludf.DUMMYFUNCTION("""COMPUTED_VALUE"""),35.0)</f>
        <v>35</v>
      </c>
      <c r="H447" s="58">
        <f>IFERROR(__xludf.DUMMYFUNCTION("iferror(if(B447="""", ,filter('IDR Import'!D:D,'IDR Import'!A:A=B447,'IDR Import'!C:C=A447)),)"),40.819310189028755)</f>
        <v>40.81931019</v>
      </c>
      <c r="I447" s="58">
        <v>38.2862976927656</v>
      </c>
      <c r="J447" s="59">
        <f t="shared" si="1"/>
        <v>35</v>
      </c>
    </row>
    <row r="448">
      <c r="A448" s="55" t="str">
        <f>IFERROR(__xludf.DUMMYFUNCTION("""COMPUTED_VALUE"""),"Premier")</f>
        <v>Premier</v>
      </c>
      <c r="B448" s="55" t="str">
        <f>IFERROR(__xludf.DUMMYFUNCTION("""COMPUTED_VALUE"""),"RSC008347")</f>
        <v>RSC008347</v>
      </c>
      <c r="C448" s="60" t="str">
        <f>IFERROR(__xludf.DUMMYFUNCTION("""COMPUTED_VALUE"""),"kor")</f>
        <v>kor</v>
      </c>
      <c r="D448" s="54" t="str">
        <f>IFERROR(__xludf.DUMMYFUNCTION("""COMPUTED_VALUE"""),"Feta Forgers")</f>
        <v>Feta Forgers</v>
      </c>
      <c r="E448" s="55" t="str">
        <f>IFERROR(__xludf.DUMMYFUNCTION("""COMPUTED_VALUE"""),"N/A")</f>
        <v>N/A</v>
      </c>
      <c r="F448" s="56">
        <f>IFERROR(__xludf.DUMMYFUNCTION("""COMPUTED_VALUE"""),24.862290836316376)</f>
        <v>24.86229084</v>
      </c>
      <c r="G448" s="57">
        <f>IFERROR(__xludf.DUMMYFUNCTION("""COMPUTED_VALUE"""),4.0)</f>
        <v>4</v>
      </c>
      <c r="H448" s="58">
        <f>IFERROR(__xludf.DUMMYFUNCTION("iferror(if(B448="""", ,filter('IDR Import'!D:D,'IDR Import'!A:A=B448,'IDR Import'!C:C=A448)),)"),21.222862892605924)</f>
        <v>21.22286289</v>
      </c>
      <c r="I448" s="58">
        <v>23.04257686446115</v>
      </c>
      <c r="J448" s="59">
        <f t="shared" si="1"/>
        <v>4</v>
      </c>
    </row>
    <row r="449">
      <c r="A449" s="55" t="str">
        <f>IFERROR(__xludf.DUMMYFUNCTION("""COMPUTED_VALUE"""),"Premier")</f>
        <v>Premier</v>
      </c>
      <c r="B449" s="55" t="str">
        <f>IFERROR(__xludf.DUMMYFUNCTION("""COMPUTED_VALUE"""),"RSC008285")</f>
        <v>RSC008285</v>
      </c>
      <c r="C449" s="60" t="str">
        <f>IFERROR(__xludf.DUMMYFUNCTION("""COMPUTED_VALUE"""),"ChiRho_-")</f>
        <v>ChiRho_-</v>
      </c>
      <c r="D449" s="54" t="str">
        <f>IFERROR(__xludf.DUMMYFUNCTION("""COMPUTED_VALUE"""),"Leviathans")</f>
        <v>Leviathans</v>
      </c>
      <c r="E449" s="55" t="str">
        <f>IFERROR(__xludf.DUMMYFUNCTION("""COMPUTED_VALUE"""),"N/A")</f>
        <v>N/A</v>
      </c>
      <c r="F449" s="56">
        <f>IFERROR(__xludf.DUMMYFUNCTION("""COMPUTED_VALUE"""),19.112760719084598)</f>
        <v>19.11276072</v>
      </c>
      <c r="G449" s="57">
        <f>IFERROR(__xludf.DUMMYFUNCTION("""COMPUTED_VALUE"""),12.0)</f>
        <v>12</v>
      </c>
      <c r="H449" s="58">
        <f>IFERROR(__xludf.DUMMYFUNCTION("iferror(if(B449="""", ,filter('IDR Import'!D:D,'IDR Import'!A:A=B449,'IDR Import'!C:C=A449)),)"),17.3041148931364)</f>
        <v>17.30411489</v>
      </c>
      <c r="I449" s="58">
        <v>18.2084378061105</v>
      </c>
      <c r="J449" s="59">
        <f t="shared" si="1"/>
        <v>12</v>
      </c>
    </row>
    <row r="450">
      <c r="A450" s="55" t="str">
        <f>IFERROR(__xludf.DUMMYFUNCTION("""COMPUTED_VALUE"""),"Premier")</f>
        <v>Premier</v>
      </c>
      <c r="B450" s="55" t="str">
        <f>IFERROR(__xludf.DUMMYFUNCTION("""COMPUTED_VALUE"""),"RSC008094")</f>
        <v>RSC008094</v>
      </c>
      <c r="C450" s="60" t="str">
        <f>IFERROR(__xludf.DUMMYFUNCTION("""COMPUTED_VALUE"""),"JoshuaNaoki")</f>
        <v>JoshuaNaoki</v>
      </c>
      <c r="D450" s="54" t="str">
        <f>IFERROR(__xludf.DUMMYFUNCTION("""COMPUTED_VALUE"""),"Punks
Gummy Bears")</f>
        <v>Punks
Gummy Bears</v>
      </c>
      <c r="E450" s="55" t="str">
        <f>IFERROR(__xludf.DUMMYFUNCTION("""COMPUTED_VALUE"""),"N/A
N/A")</f>
        <v>N/A
N/A</v>
      </c>
      <c r="F450" s="56">
        <f>IFERROR(__xludf.DUMMYFUNCTION("""COMPUTED_VALUE"""),16.717677893026156)</f>
        <v>16.71767789</v>
      </c>
      <c r="G450" s="57">
        <f>IFERROR(__xludf.DUMMYFUNCTION("""COMPUTED_VALUE"""),49.0)</f>
        <v>49</v>
      </c>
      <c r="H450" s="58">
        <f>IFERROR(__xludf.DUMMYFUNCTION("iferror(if(B450="""", ,filter('IDR Import'!D:D,'IDR Import'!A:A=B450,'IDR Import'!C:C=A450)),)"),19.36559219800348)</f>
        <v>19.3655922</v>
      </c>
      <c r="I450" s="58">
        <v>18.041635045514816</v>
      </c>
      <c r="J450" s="59">
        <f t="shared" si="1"/>
        <v>49</v>
      </c>
    </row>
    <row r="451">
      <c r="A451" s="55" t="str">
        <f>IFERROR(__xludf.DUMMYFUNCTION("""COMPUTED_VALUE"""),"Premier")</f>
        <v>Premier</v>
      </c>
      <c r="B451" s="55" t="str">
        <f>IFERROR(__xludf.DUMMYFUNCTION("""COMPUTED_VALUE"""),"RSC000996")</f>
        <v>RSC000996</v>
      </c>
      <c r="C451" s="60" t="str">
        <f>IFERROR(__xludf.DUMMYFUNCTION("""COMPUTED_VALUE"""),"GreenSleeves")</f>
        <v>GreenSleeves</v>
      </c>
      <c r="D451" s="54" t="str">
        <f>IFERROR(__xludf.DUMMYFUNCTION("""COMPUTED_VALUE"""),"Gummy Bears")</f>
        <v>Gummy Bears</v>
      </c>
      <c r="E451" s="55" t="str">
        <f>IFERROR(__xludf.DUMMYFUNCTION("""COMPUTED_VALUE"""),"N/A")</f>
        <v>N/A</v>
      </c>
      <c r="F451" s="56">
        <f>IFERROR(__xludf.DUMMYFUNCTION("""COMPUTED_VALUE"""),13.998625223419367)</f>
        <v>13.99862522</v>
      </c>
      <c r="G451" s="57">
        <f>IFERROR(__xludf.DUMMYFUNCTION("""COMPUTED_VALUE"""),14.0)</f>
        <v>14</v>
      </c>
      <c r="H451" s="58">
        <f>IFERROR(__xludf.DUMMYFUNCTION("iferror(if(B451="""", ,filter('IDR Import'!D:D,'IDR Import'!A:A=B451,'IDR Import'!C:C=A451)),)"),5.837616560378315)</f>
        <v>5.83761656</v>
      </c>
      <c r="I451" s="58">
        <v>9.918120891898841</v>
      </c>
      <c r="J451" s="59">
        <f t="shared" si="1"/>
        <v>14</v>
      </c>
    </row>
    <row r="452">
      <c r="A452" s="55" t="str">
        <f>IFERROR(__xludf.DUMMYFUNCTION("""COMPUTED_VALUE"""),"Premier")</f>
        <v>Premier</v>
      </c>
      <c r="B452" s="55" t="str">
        <f>IFERROR(__xludf.DUMMYFUNCTION("""COMPUTED_VALUE"""),"RSC007924")</f>
        <v>RSC007924</v>
      </c>
      <c r="C452" s="60" t="str">
        <f>IFERROR(__xludf.DUMMYFUNCTION("""COMPUTED_VALUE"""),"Kaorix")</f>
        <v>Kaorix</v>
      </c>
      <c r="D452" s="54" t="str">
        <f>IFERROR(__xludf.DUMMYFUNCTION("""COMPUTED_VALUE"""),"Interstellar")</f>
        <v>Interstellar</v>
      </c>
      <c r="E452" s="55" t="str">
        <f>IFERROR(__xludf.DUMMYFUNCTION("""COMPUTED_VALUE"""),"N/A")</f>
        <v>N/A</v>
      </c>
      <c r="F452" s="56">
        <f>IFERROR(__xludf.DUMMYFUNCTION("""COMPUTED_VALUE"""),13.846537227426225)</f>
        <v>13.84653723</v>
      </c>
      <c r="G452" s="57">
        <f>IFERROR(__xludf.DUMMYFUNCTION("""COMPUTED_VALUE"""),12.0)</f>
        <v>12</v>
      </c>
      <c r="H452" s="58">
        <f>IFERROR(__xludf.DUMMYFUNCTION("iferror(if(B452="""", ,filter('IDR Import'!D:D,'IDR Import'!A:A=B452,'IDR Import'!C:C=A452)),)"),4.523711638573232)</f>
        <v>4.523711639</v>
      </c>
      <c r="I452" s="58">
        <v>9.185124432999729</v>
      </c>
      <c r="J452" s="59">
        <f t="shared" si="1"/>
        <v>12</v>
      </c>
    </row>
    <row r="453">
      <c r="A453" s="55" t="str">
        <f>IFERROR(__xludf.DUMMYFUNCTION("""COMPUTED_VALUE"""),"Premier")</f>
        <v>Premier</v>
      </c>
      <c r="B453" s="55" t="str">
        <f>IFERROR(__xludf.DUMMYFUNCTION("""COMPUTED_VALUE"""),"RSC005187")</f>
        <v>RSC005187</v>
      </c>
      <c r="C453" s="60" t="str">
        <f>IFERROR(__xludf.DUMMYFUNCTION("""COMPUTED_VALUE"""),"Karistafir al-nadim")</f>
        <v>Karistafir al-nadim</v>
      </c>
      <c r="D453" s="54" t="str">
        <f>IFERROR(__xludf.DUMMYFUNCTION("""COMPUTED_VALUE"""),"Punks")</f>
        <v>Punks</v>
      </c>
      <c r="E453" s="55" t="str">
        <f>IFERROR(__xludf.DUMMYFUNCTION("""COMPUTED_VALUE"""),"N/A")</f>
        <v>N/A</v>
      </c>
      <c r="F453" s="56">
        <f>IFERROR(__xludf.DUMMYFUNCTION("""COMPUTED_VALUE"""),8.066476715109914)</f>
        <v>8.066476715</v>
      </c>
      <c r="G453" s="57">
        <f>IFERROR(__xludf.DUMMYFUNCTION("""COMPUTED_VALUE"""),12.0)</f>
        <v>12</v>
      </c>
      <c r="H453" s="58">
        <f>IFERROR(__xludf.DUMMYFUNCTION("iferror(if(B453="""", ,filter('IDR Import'!D:D,'IDR Import'!A:A=B453,'IDR Import'!C:C=A453)),)"),19.64579718873419)</f>
        <v>19.64579719</v>
      </c>
      <c r="I453" s="58">
        <v>13.856136951922052</v>
      </c>
      <c r="J453" s="59">
        <f t="shared" si="1"/>
        <v>12</v>
      </c>
    </row>
    <row r="454">
      <c r="A454" s="55" t="str">
        <f>IFERROR(__xludf.DUMMYFUNCTION("""COMPUTED_VALUE"""),"Premier")</f>
        <v>Premier</v>
      </c>
      <c r="B454" s="55" t="str">
        <f>IFERROR(__xludf.DUMMYFUNCTION("""COMPUTED_VALUE"""),"RSC000657")</f>
        <v>RSC000657</v>
      </c>
      <c r="C454" s="60" t="str">
        <f>IFERROR(__xludf.DUMMYFUNCTION("""COMPUTED_VALUE"""),"Saucey")</f>
        <v>Saucey</v>
      </c>
      <c r="D454" s="54" t="str">
        <f>IFERROR(__xludf.DUMMYFUNCTION("""COMPUTED_VALUE"""),"Feta Forgers")</f>
        <v>Feta Forgers</v>
      </c>
      <c r="E454" s="55" t="str">
        <f>IFERROR(__xludf.DUMMYFUNCTION("""COMPUTED_VALUE"""),"N/A")</f>
        <v>N/A</v>
      </c>
      <c r="F454" s="56">
        <f>IFERROR(__xludf.DUMMYFUNCTION("""COMPUTED_VALUE"""),7.508912633492571)</f>
        <v>7.508912633</v>
      </c>
      <c r="G454" s="57">
        <f>IFERROR(__xludf.DUMMYFUNCTION("""COMPUTED_VALUE"""),2.0)</f>
        <v>2</v>
      </c>
      <c r="H454" s="58">
        <f>IFERROR(__xludf.DUMMYFUNCTION("iferror(if(B454="""", ,filter('IDR Import'!D:D,'IDR Import'!A:A=B454,'IDR Import'!C:C=A454)),)"),12.850663321194688)</f>
        <v>12.85066332</v>
      </c>
      <c r="I454" s="58">
        <v>10.17978797734363</v>
      </c>
      <c r="J454" s="59">
        <f t="shared" si="1"/>
        <v>2</v>
      </c>
    </row>
    <row r="455">
      <c r="A455" s="55" t="str">
        <f>IFERROR(__xludf.DUMMYFUNCTION("""COMPUTED_VALUE"""),"Prospect")</f>
        <v>Prospect</v>
      </c>
      <c r="B455" s="55" t="str">
        <f>IFERROR(__xludf.DUMMYFUNCTION("""COMPUTED_VALUE"""),"RSC000379")</f>
        <v>RSC000379</v>
      </c>
      <c r="C455" s="60" t="str">
        <f>IFERROR(__xludf.DUMMYFUNCTION("""COMPUTED_VALUE"""),"DrizzyJ")</f>
        <v>DrizzyJ</v>
      </c>
      <c r="D455" s="54" t="str">
        <f>IFERROR(__xludf.DUMMYFUNCTION("""COMPUTED_VALUE"""),"Hostile Takeover")</f>
        <v>Hostile Takeover</v>
      </c>
      <c r="E455" s="55" t="str">
        <f>IFERROR(__xludf.DUMMYFUNCTION("""COMPUTED_VALUE"""),"N/A")</f>
        <v>N/A</v>
      </c>
      <c r="F455" s="56">
        <f>IFERROR(__xludf.DUMMYFUNCTION("""COMPUTED_VALUE"""),104.36252148415554)</f>
        <v>104.3625215</v>
      </c>
      <c r="G455" s="57">
        <f>IFERROR(__xludf.DUMMYFUNCTION("""COMPUTED_VALUE"""),52.0)</f>
        <v>52</v>
      </c>
      <c r="H455" s="58">
        <f>IFERROR(__xludf.DUMMYFUNCTION("iferror(if(B455="""", ,filter('IDR Import'!D:D,'IDR Import'!A:A=B455,'IDR Import'!C:C=A455)),)"),119.23921706082918)</f>
        <v>119.2392171</v>
      </c>
      <c r="I455" s="58">
        <v>111.80086927249235</v>
      </c>
      <c r="J455" s="59">
        <f t="shared" si="1"/>
        <v>52</v>
      </c>
    </row>
    <row r="456">
      <c r="A456" s="55" t="str">
        <f>IFERROR(__xludf.DUMMYFUNCTION("""COMPUTED_VALUE"""),"Prospect")</f>
        <v>Prospect</v>
      </c>
      <c r="B456" s="55" t="str">
        <f>IFERROR(__xludf.DUMMYFUNCTION("""COMPUTED_VALUE"""),"RSC005335")</f>
        <v>RSC005335</v>
      </c>
      <c r="C456" s="60" t="str">
        <f>IFERROR(__xludf.DUMMYFUNCTION("""COMPUTED_VALUE"""),"R4p")</f>
        <v>R4p</v>
      </c>
      <c r="D456" s="54" t="str">
        <f>IFERROR(__xludf.DUMMYFUNCTION("""COMPUTED_VALUE"""),"Turbulence")</f>
        <v>Turbulence</v>
      </c>
      <c r="E456" s="55" t="str">
        <f>IFERROR(__xludf.DUMMYFUNCTION("""COMPUTED_VALUE"""),"N/A")</f>
        <v>N/A</v>
      </c>
      <c r="F456" s="56">
        <f>IFERROR(__xludf.DUMMYFUNCTION("""COMPUTED_VALUE"""),76.02064970025693)</f>
        <v>76.0206497</v>
      </c>
      <c r="G456" s="57">
        <f>IFERROR(__xludf.DUMMYFUNCTION("""COMPUTED_VALUE"""),1.0)</f>
        <v>1</v>
      </c>
      <c r="H456" s="58">
        <f>IFERROR(__xludf.DUMMYFUNCTION("iferror(if(B456="""", ,filter('IDR Import'!D:D,'IDR Import'!A:A=B456,'IDR Import'!C:C=A456)),)"),53.69541628054815)</f>
        <v>53.69541628</v>
      </c>
      <c r="I456" s="58">
        <v>64.85803299040253</v>
      </c>
      <c r="J456" s="59">
        <f t="shared" si="1"/>
        <v>1</v>
      </c>
    </row>
    <row r="457">
      <c r="A457" s="55" t="str">
        <f>IFERROR(__xludf.DUMMYFUNCTION("""COMPUTED_VALUE"""),"Prospect")</f>
        <v>Prospect</v>
      </c>
      <c r="B457" s="55" t="str">
        <f>IFERROR(__xludf.DUMMYFUNCTION("""COMPUTED_VALUE"""),"RSC003429")</f>
        <v>RSC003429</v>
      </c>
      <c r="C457" s="60" t="str">
        <f>IFERROR(__xludf.DUMMYFUNCTION("""COMPUTED_VALUE"""),"Gambit")</f>
        <v>Gambit</v>
      </c>
      <c r="D457" s="54" t="str">
        <f>IFERROR(__xludf.DUMMYFUNCTION("""COMPUTED_VALUE"""),"Tanuki")</f>
        <v>Tanuki</v>
      </c>
      <c r="E457" s="55" t="str">
        <f>IFERROR(__xludf.DUMMYFUNCTION("""COMPUTED_VALUE"""),"N/A")</f>
        <v>N/A</v>
      </c>
      <c r="F457" s="56">
        <f>IFERROR(__xludf.DUMMYFUNCTION("""COMPUTED_VALUE"""),74.42311133343325)</f>
        <v>74.42311133</v>
      </c>
      <c r="G457" s="57">
        <f>IFERROR(__xludf.DUMMYFUNCTION("""COMPUTED_VALUE"""),47.0)</f>
        <v>47</v>
      </c>
      <c r="H457" s="58">
        <f>IFERROR(__xludf.DUMMYFUNCTION("iferror(if(B457="""", ,filter('IDR Import'!D:D,'IDR Import'!A:A=B457,'IDR Import'!C:C=A457)),)"),66.86303401514239)</f>
        <v>66.86303402</v>
      </c>
      <c r="I457" s="58">
        <v>70.64307267428782</v>
      </c>
      <c r="J457" s="59">
        <f t="shared" si="1"/>
        <v>47</v>
      </c>
    </row>
    <row r="458">
      <c r="A458" s="55" t="str">
        <f>IFERROR(__xludf.DUMMYFUNCTION("""COMPUTED_VALUE"""),"Prospect")</f>
        <v>Prospect</v>
      </c>
      <c r="B458" s="55" t="str">
        <f>IFERROR(__xludf.DUMMYFUNCTION("""COMPUTED_VALUE"""),"RSC001619")</f>
        <v>RSC001619</v>
      </c>
      <c r="C458" s="60" t="str">
        <f>IFERROR(__xludf.DUMMYFUNCTION("""COMPUTED_VALUE"""),"Rob")</f>
        <v>Rob</v>
      </c>
      <c r="D458" s="54" t="str">
        <f>IFERROR(__xludf.DUMMYFUNCTION("""COMPUTED_VALUE"""),"Griffin")</f>
        <v>Griffin</v>
      </c>
      <c r="E458" s="55" t="str">
        <f>IFERROR(__xludf.DUMMYFUNCTION("""COMPUTED_VALUE"""),"N/A")</f>
        <v>N/A</v>
      </c>
      <c r="F458" s="56">
        <f>IFERROR(__xludf.DUMMYFUNCTION("""COMPUTED_VALUE"""),74.1277353332915)</f>
        <v>74.12773533</v>
      </c>
      <c r="G458" s="57">
        <f>IFERROR(__xludf.DUMMYFUNCTION("""COMPUTED_VALUE"""),56.0)</f>
        <v>56</v>
      </c>
      <c r="H458" s="58">
        <f>IFERROR(__xludf.DUMMYFUNCTION("iferror(if(B458="""", ,filter('IDR Import'!D:D,'IDR Import'!A:A=B458,'IDR Import'!C:C=A458)),)"),73.7133292249561)</f>
        <v>73.71332922</v>
      </c>
      <c r="I458" s="58">
        <v>73.92053227912379</v>
      </c>
      <c r="J458" s="59">
        <f t="shared" si="1"/>
        <v>56</v>
      </c>
    </row>
    <row r="459">
      <c r="A459" s="55" t="str">
        <f>IFERROR(__xludf.DUMMYFUNCTION("""COMPUTED_VALUE"""),"Prospect")</f>
        <v>Prospect</v>
      </c>
      <c r="B459" s="55" t="str">
        <f>IFERROR(__xludf.DUMMYFUNCTION("""COMPUTED_VALUE"""),"RSC002494")</f>
        <v>RSC002494</v>
      </c>
      <c r="C459" s="60" t="str">
        <f>IFERROR(__xludf.DUMMYFUNCTION("""COMPUTED_VALUE"""),"lone wolf")</f>
        <v>lone wolf</v>
      </c>
      <c r="D459" s="54" t="str">
        <f>IFERROR(__xludf.DUMMYFUNCTION("""COMPUTED_VALUE"""),"Hawaiian Pizza")</f>
        <v>Hawaiian Pizza</v>
      </c>
      <c r="E459" s="55" t="str">
        <f>IFERROR(__xludf.DUMMYFUNCTION("""COMPUTED_VALUE"""),"N/A")</f>
        <v>N/A</v>
      </c>
      <c r="F459" s="56">
        <f>IFERROR(__xludf.DUMMYFUNCTION("""COMPUTED_VALUE"""),72.90147234634703)</f>
        <v>72.90147235</v>
      </c>
      <c r="G459" s="57">
        <f>IFERROR(__xludf.DUMMYFUNCTION("""COMPUTED_VALUE"""),39.0)</f>
        <v>39</v>
      </c>
      <c r="H459" s="58">
        <f>IFERROR(__xludf.DUMMYFUNCTION("iferror(if(B459="""", ,filter('IDR Import'!D:D,'IDR Import'!A:A=B459,'IDR Import'!C:C=A459)),)"),80.59772362117498)</f>
        <v>80.59772362</v>
      </c>
      <c r="I459" s="58">
        <v>76.749597983761</v>
      </c>
      <c r="J459" s="59">
        <f t="shared" si="1"/>
        <v>39</v>
      </c>
    </row>
    <row r="460">
      <c r="A460" s="55" t="str">
        <f>IFERROR(__xludf.DUMMYFUNCTION("""COMPUTED_VALUE"""),"Prospect")</f>
        <v>Prospect</v>
      </c>
      <c r="B460" s="55" t="str">
        <f>IFERROR(__xludf.DUMMYFUNCTION("""COMPUTED_VALUE"""),"RSC008447")</f>
        <v>RSC008447</v>
      </c>
      <c r="C460" s="60" t="str">
        <f>IFERROR(__xludf.DUMMYFUNCTION("""COMPUTED_VALUE"""),"jim2jam")</f>
        <v>jim2jam</v>
      </c>
      <c r="D460" s="54" t="str">
        <f>IFERROR(__xludf.DUMMYFUNCTION("""COMPUTED_VALUE"""),"Skeletons")</f>
        <v>Skeletons</v>
      </c>
      <c r="E460" s="55" t="str">
        <f>IFERROR(__xludf.DUMMYFUNCTION("""COMPUTED_VALUE"""),"N/A")</f>
        <v>N/A</v>
      </c>
      <c r="F460" s="56">
        <f>IFERROR(__xludf.DUMMYFUNCTION("""COMPUTED_VALUE"""),71.80124003288276)</f>
        <v>71.80124003</v>
      </c>
      <c r="G460" s="57">
        <f>IFERROR(__xludf.DUMMYFUNCTION("""COMPUTED_VALUE"""),1.0)</f>
        <v>1</v>
      </c>
      <c r="H460" s="58">
        <f>IFERROR(__xludf.DUMMYFUNCTION("iferror(if(B460="""", ,filter('IDR Import'!D:D,'IDR Import'!A:A=B460,'IDR Import'!C:C=A460)),)"),35.59300996913369)</f>
        <v>35.59300997</v>
      </c>
      <c r="I460" s="58">
        <v>53.697125001008224</v>
      </c>
      <c r="J460" s="59">
        <f t="shared" si="1"/>
        <v>1</v>
      </c>
    </row>
    <row r="461">
      <c r="A461" s="55" t="str">
        <f>IFERROR(__xludf.DUMMYFUNCTION("""COMPUTED_VALUE"""),"Prospect")</f>
        <v>Prospect</v>
      </c>
      <c r="B461" s="55" t="str">
        <f>IFERROR(__xludf.DUMMYFUNCTION("""COMPUTED_VALUE"""),"RSC008418")</f>
        <v>RSC008418</v>
      </c>
      <c r="C461" s="60" t="str">
        <f>IFERROR(__xludf.DUMMYFUNCTION("""COMPUTED_VALUE"""),"I _amDan")</f>
        <v>I _amDan</v>
      </c>
      <c r="D461" s="54" t="str">
        <f>IFERROR(__xludf.DUMMYFUNCTION("""COMPUTED_VALUE"""),"Honey Badgers")</f>
        <v>Honey Badgers</v>
      </c>
      <c r="E461" s="55" t="str">
        <f>IFERROR(__xludf.DUMMYFUNCTION("""COMPUTED_VALUE"""),"N/A")</f>
        <v>N/A</v>
      </c>
      <c r="F461" s="56">
        <f>IFERROR(__xludf.DUMMYFUNCTION("""COMPUTED_VALUE"""),69.65432766585391)</f>
        <v>69.65432767</v>
      </c>
      <c r="G461" s="57">
        <f>IFERROR(__xludf.DUMMYFUNCTION("""COMPUTED_VALUE"""),20.0)</f>
        <v>20</v>
      </c>
      <c r="H461" s="58">
        <f>IFERROR(__xludf.DUMMYFUNCTION("iferror(if(B461="""", ,filter('IDR Import'!D:D,'IDR Import'!A:A=B461,'IDR Import'!C:C=A461)),)"),63.912302872025535)</f>
        <v>63.91230287</v>
      </c>
      <c r="I461" s="58">
        <v>66.78331526893973</v>
      </c>
      <c r="J461" s="59">
        <f t="shared" si="1"/>
        <v>20</v>
      </c>
    </row>
    <row r="462">
      <c r="A462" s="55" t="str">
        <f>IFERROR(__xludf.DUMMYFUNCTION("""COMPUTED_VALUE"""),"Prospect")</f>
        <v>Prospect</v>
      </c>
      <c r="B462" s="55" t="str">
        <f>IFERROR(__xludf.DUMMYFUNCTION("""COMPUTED_VALUE"""),"RSC008431")</f>
        <v>RSC008431</v>
      </c>
      <c r="C462" s="60" t="str">
        <f>IFERROR(__xludf.DUMMYFUNCTION("""COMPUTED_VALUE"""),"Wildragon112")</f>
        <v>Wildragon112</v>
      </c>
      <c r="D462" s="54" t="str">
        <f>IFERROR(__xludf.DUMMYFUNCTION("""COMPUTED_VALUE"""),"Turbulence")</f>
        <v>Turbulence</v>
      </c>
      <c r="E462" s="55" t="str">
        <f>IFERROR(__xludf.DUMMYFUNCTION("""COMPUTED_VALUE"""),"N/A")</f>
        <v>N/A</v>
      </c>
      <c r="F462" s="56">
        <f>IFERROR(__xludf.DUMMYFUNCTION("""COMPUTED_VALUE"""),69.2591684517925)</f>
        <v>69.25916845</v>
      </c>
      <c r="G462" s="57">
        <f>IFERROR(__xludf.DUMMYFUNCTION("""COMPUTED_VALUE"""),50.0)</f>
        <v>50</v>
      </c>
      <c r="H462" s="58">
        <f>IFERROR(__xludf.DUMMYFUNCTION("iferror(if(B462="""", ,filter('IDR Import'!D:D,'IDR Import'!A:A=B462,'IDR Import'!C:C=A462)),)"),72.9116990650626)</f>
        <v>72.91169907</v>
      </c>
      <c r="I462" s="58">
        <v>71.08543375842756</v>
      </c>
      <c r="J462" s="59">
        <f t="shared" si="1"/>
        <v>50</v>
      </c>
    </row>
    <row r="463">
      <c r="A463" s="55" t="str">
        <f>IFERROR(__xludf.DUMMYFUNCTION("""COMPUTED_VALUE"""),"Prospect")</f>
        <v>Prospect</v>
      </c>
      <c r="B463" s="55" t="str">
        <f>IFERROR(__xludf.DUMMYFUNCTION("""COMPUTED_VALUE"""),"RSC007520")</f>
        <v>RSC007520</v>
      </c>
      <c r="C463" s="60" t="str">
        <f>IFERROR(__xludf.DUMMYFUNCTION("""COMPUTED_VALUE"""),"Blitzzzzz.")</f>
        <v>Blitzzzzz.</v>
      </c>
      <c r="D463" s="54" t="str">
        <f>IFERROR(__xludf.DUMMYFUNCTION("""COMPUTED_VALUE"""),"Honey Badgers
Hostile Takeover")</f>
        <v>Honey Badgers
Hostile Takeover</v>
      </c>
      <c r="E463" s="55" t="str">
        <f>IFERROR(__xludf.DUMMYFUNCTION("""COMPUTED_VALUE"""),"N/A
N/A")</f>
        <v>N/A
N/A</v>
      </c>
      <c r="F463" s="56">
        <f>IFERROR(__xludf.DUMMYFUNCTION("""COMPUTED_VALUE"""),68.52439593763631)</f>
        <v>68.52439594</v>
      </c>
      <c r="G463" s="57">
        <f>IFERROR(__xludf.DUMMYFUNCTION("""COMPUTED_VALUE"""),56.0)</f>
        <v>56</v>
      </c>
      <c r="H463" s="58">
        <f>IFERROR(__xludf.DUMMYFUNCTION("iferror(if(B463="""", ,filter('IDR Import'!D:D,'IDR Import'!A:A=B463,'IDR Import'!C:C=A463)),)"),73.24016735393631)</f>
        <v>73.24016735</v>
      </c>
      <c r="I463" s="58">
        <v>70.88228164578632</v>
      </c>
      <c r="J463" s="59">
        <f t="shared" si="1"/>
        <v>56</v>
      </c>
    </row>
    <row r="464">
      <c r="A464" s="55" t="str">
        <f>IFERROR(__xludf.DUMMYFUNCTION("""COMPUTED_VALUE"""),"Prospect")</f>
        <v>Prospect</v>
      </c>
      <c r="B464" s="55" t="str">
        <f>IFERROR(__xludf.DUMMYFUNCTION("""COMPUTED_VALUE"""),"RSC008278")</f>
        <v>RSC008278</v>
      </c>
      <c r="C464" s="60" t="str">
        <f>IFERROR(__xludf.DUMMYFUNCTION("""COMPUTED_VALUE"""),"tacosbruh1299")</f>
        <v>tacosbruh1299</v>
      </c>
      <c r="D464" s="54" t="str">
        <f>IFERROR(__xludf.DUMMYFUNCTION("""COMPUTED_VALUE"""),"Tanuki")</f>
        <v>Tanuki</v>
      </c>
      <c r="E464" s="55" t="str">
        <f>IFERROR(__xludf.DUMMYFUNCTION("""COMPUTED_VALUE"""),"N/A")</f>
        <v>N/A</v>
      </c>
      <c r="F464" s="56">
        <f>IFERROR(__xludf.DUMMYFUNCTION("""COMPUTED_VALUE"""),67.57779250931962)</f>
        <v>67.57779251</v>
      </c>
      <c r="G464" s="57">
        <f>IFERROR(__xludf.DUMMYFUNCTION("""COMPUTED_VALUE"""),52.0)</f>
        <v>52</v>
      </c>
      <c r="H464" s="58">
        <f>IFERROR(__xludf.DUMMYFUNCTION("iferror(if(B464="""", ,filter('IDR Import'!D:D,'IDR Import'!A:A=B464,'IDR Import'!C:C=A464)),)"),49.352151701970946)</f>
        <v>49.3521517</v>
      </c>
      <c r="I464" s="58">
        <v>58.46497210564529</v>
      </c>
      <c r="J464" s="59">
        <f t="shared" si="1"/>
        <v>52</v>
      </c>
    </row>
    <row r="465">
      <c r="A465" s="55" t="str">
        <f>IFERROR(__xludf.DUMMYFUNCTION("""COMPUTED_VALUE"""),"Prospect")</f>
        <v>Prospect</v>
      </c>
      <c r="B465" s="55" t="str">
        <f>IFERROR(__xludf.DUMMYFUNCTION("""COMPUTED_VALUE"""),"RSC008323")</f>
        <v>RSC008323</v>
      </c>
      <c r="C465" s="60" t="str">
        <f>IFERROR(__xludf.DUMMYFUNCTION("""COMPUTED_VALUE"""),"Fireburner.")</f>
        <v>Fireburner.</v>
      </c>
      <c r="D465" s="54" t="str">
        <f>IFERROR(__xludf.DUMMYFUNCTION("""COMPUTED_VALUE"""),"Piranhas")</f>
        <v>Piranhas</v>
      </c>
      <c r="E465" s="55" t="str">
        <f>IFERROR(__xludf.DUMMYFUNCTION("""COMPUTED_VALUE"""),"N/A")</f>
        <v>N/A</v>
      </c>
      <c r="F465" s="56">
        <f>IFERROR(__xludf.DUMMYFUNCTION("""COMPUTED_VALUE"""),67.56813289182236)</f>
        <v>67.56813289</v>
      </c>
      <c r="G465" s="57">
        <f>IFERROR(__xludf.DUMMYFUNCTION("""COMPUTED_VALUE"""),33.0)</f>
        <v>33</v>
      </c>
      <c r="H465" s="58">
        <f>IFERROR(__xludf.DUMMYFUNCTION("iferror(if(B465="""", ,filter('IDR Import'!D:D,'IDR Import'!A:A=B465,'IDR Import'!C:C=A465)),)"),65.80658067653717)</f>
        <v>65.80658068</v>
      </c>
      <c r="I465" s="58">
        <v>66.68735678417977</v>
      </c>
      <c r="J465" s="59">
        <f t="shared" si="1"/>
        <v>33</v>
      </c>
    </row>
    <row r="466">
      <c r="A466" s="55" t="str">
        <f>IFERROR(__xludf.DUMMYFUNCTION("""COMPUTED_VALUE"""),"Prospect")</f>
        <v>Prospect</v>
      </c>
      <c r="B466" s="55" t="str">
        <f>IFERROR(__xludf.DUMMYFUNCTION("""COMPUTED_VALUE"""),"RSC008187")</f>
        <v>RSC008187</v>
      </c>
      <c r="C466" s="60" t="str">
        <f>IFERROR(__xludf.DUMMYFUNCTION("""COMPUTED_VALUE"""),"Tonini08")</f>
        <v>Tonini08</v>
      </c>
      <c r="D466" s="54" t="str">
        <f>IFERROR(__xludf.DUMMYFUNCTION("""COMPUTED_VALUE"""),"Blacktips")</f>
        <v>Blacktips</v>
      </c>
      <c r="E466" s="55" t="str">
        <f>IFERROR(__xludf.DUMMYFUNCTION("""COMPUTED_VALUE"""),"N/A")</f>
        <v>N/A</v>
      </c>
      <c r="F466" s="56">
        <f>IFERROR(__xludf.DUMMYFUNCTION("""COMPUTED_VALUE"""),67.56432110744812)</f>
        <v>67.56432111</v>
      </c>
      <c r="G466" s="57">
        <f>IFERROR(__xludf.DUMMYFUNCTION("""COMPUTED_VALUE"""),55.0)</f>
        <v>55</v>
      </c>
      <c r="H466" s="58">
        <f>IFERROR(__xludf.DUMMYFUNCTION("iferror(if(B466="""", ,filter('IDR Import'!D:D,'IDR Import'!A:A=B466,'IDR Import'!C:C=A466)),)"),74.13827020046662)</f>
        <v>74.1382702</v>
      </c>
      <c r="I466" s="58">
        <v>70.85129565395738</v>
      </c>
      <c r="J466" s="59">
        <f t="shared" si="1"/>
        <v>55</v>
      </c>
    </row>
    <row r="467">
      <c r="A467" s="55" t="str">
        <f>IFERROR(__xludf.DUMMYFUNCTION("""COMPUTED_VALUE"""),"Prospect")</f>
        <v>Prospect</v>
      </c>
      <c r="B467" s="55" t="str">
        <f>IFERROR(__xludf.DUMMYFUNCTION("""COMPUTED_VALUE"""),"RSC008147")</f>
        <v>RSC008147</v>
      </c>
      <c r="C467" s="60" t="str">
        <f>IFERROR(__xludf.DUMMYFUNCTION("""COMPUTED_VALUE"""),"CrucialUrchin")</f>
        <v>CrucialUrchin</v>
      </c>
      <c r="D467" s="54" t="str">
        <f>IFERROR(__xludf.DUMMYFUNCTION("""COMPUTED_VALUE"""),"Skeletons")</f>
        <v>Skeletons</v>
      </c>
      <c r="E467" s="55" t="str">
        <f>IFERROR(__xludf.DUMMYFUNCTION("""COMPUTED_VALUE"""),"N/A")</f>
        <v>N/A</v>
      </c>
      <c r="F467" s="56">
        <f>IFERROR(__xludf.DUMMYFUNCTION("""COMPUTED_VALUE"""),67.38717972572519)</f>
        <v>67.38717973</v>
      </c>
      <c r="G467" s="57">
        <f>IFERROR(__xludf.DUMMYFUNCTION("""COMPUTED_VALUE"""),9.0)</f>
        <v>9</v>
      </c>
      <c r="H467" s="58">
        <f>IFERROR(__xludf.DUMMYFUNCTION("iferror(if(B467="""", ,filter('IDR Import'!D:D,'IDR Import'!A:A=B467,'IDR Import'!C:C=A467)),)"),65.78345844738807)</f>
        <v>65.78345845</v>
      </c>
      <c r="I467" s="58">
        <v>66.58531908655664</v>
      </c>
      <c r="J467" s="59">
        <f t="shared" si="1"/>
        <v>9</v>
      </c>
    </row>
    <row r="468">
      <c r="A468" s="55" t="str">
        <f>IFERROR(__xludf.DUMMYFUNCTION("""COMPUTED_VALUE"""),"Prospect")</f>
        <v>Prospect</v>
      </c>
      <c r="B468" s="55" t="str">
        <f>IFERROR(__xludf.DUMMYFUNCTION("""COMPUTED_VALUE"""),"RSC008106")</f>
        <v>RSC008106</v>
      </c>
      <c r="C468" s="60" t="str">
        <f>IFERROR(__xludf.DUMMYFUNCTION("""COMPUTED_VALUE"""),"M0USE_1")</f>
        <v>M0USE_1</v>
      </c>
      <c r="D468" s="54" t="str">
        <f>IFERROR(__xludf.DUMMYFUNCTION("""COMPUTED_VALUE"""),"Blacktips")</f>
        <v>Blacktips</v>
      </c>
      <c r="E468" s="55" t="str">
        <f>IFERROR(__xludf.DUMMYFUNCTION("""COMPUTED_VALUE"""),"N/A")</f>
        <v>N/A</v>
      </c>
      <c r="F468" s="56">
        <f>IFERROR(__xludf.DUMMYFUNCTION("""COMPUTED_VALUE"""),67.22667969103776)</f>
        <v>67.22667969</v>
      </c>
      <c r="G468" s="57">
        <f>IFERROR(__xludf.DUMMYFUNCTION("""COMPUTED_VALUE"""),56.0)</f>
        <v>56</v>
      </c>
      <c r="H468" s="58">
        <f>IFERROR(__xludf.DUMMYFUNCTION("iferror(if(B468="""", ,filter('IDR Import'!D:D,'IDR Import'!A:A=B468,'IDR Import'!C:C=A468)),)"),70.80573311154137)</f>
        <v>70.80573311</v>
      </c>
      <c r="I468" s="58">
        <v>69.01620640128957</v>
      </c>
      <c r="J468" s="59">
        <f t="shared" si="1"/>
        <v>56</v>
      </c>
    </row>
    <row r="469">
      <c r="A469" s="55" t="str">
        <f>IFERROR(__xludf.DUMMYFUNCTION("""COMPUTED_VALUE"""),"Prospect")</f>
        <v>Prospect</v>
      </c>
      <c r="B469" s="55" t="str">
        <f>IFERROR(__xludf.DUMMYFUNCTION("""COMPUTED_VALUE"""),"RSC008257")</f>
        <v>RSC008257</v>
      </c>
      <c r="C469" s="60" t="str">
        <f>IFERROR(__xludf.DUMMYFUNCTION("""COMPUTED_VALUE"""),"Arana6059")</f>
        <v>Arana6059</v>
      </c>
      <c r="D469" s="54" t="str">
        <f>IFERROR(__xludf.DUMMYFUNCTION("""COMPUTED_VALUE"""),"Piranhas
Turbulence")</f>
        <v>Piranhas
Turbulence</v>
      </c>
      <c r="E469" s="55" t="str">
        <f>IFERROR(__xludf.DUMMYFUNCTION("""COMPUTED_VALUE"""),"N/A
N/A")</f>
        <v>N/A
N/A</v>
      </c>
      <c r="F469" s="56">
        <f>IFERROR(__xludf.DUMMYFUNCTION("""COMPUTED_VALUE"""),63.99182587045749)</f>
        <v>63.99182587</v>
      </c>
      <c r="G469" s="57">
        <f>IFERROR(__xludf.DUMMYFUNCTION("""COMPUTED_VALUE"""),31.0)</f>
        <v>31</v>
      </c>
      <c r="H469" s="58">
        <f>IFERROR(__xludf.DUMMYFUNCTION("iferror(if(B469="""", ,filter('IDR Import'!D:D,'IDR Import'!A:A=B469,'IDR Import'!C:C=A469)),)"),87.29457494176441)</f>
        <v>87.29457494</v>
      </c>
      <c r="I469" s="58">
        <v>75.64320040611095</v>
      </c>
      <c r="J469" s="59">
        <f t="shared" si="1"/>
        <v>31</v>
      </c>
    </row>
    <row r="470">
      <c r="A470" s="55" t="str">
        <f>IFERROR(__xludf.DUMMYFUNCTION("""COMPUTED_VALUE"""),"Prospect")</f>
        <v>Prospect</v>
      </c>
      <c r="B470" s="55" t="str">
        <f>IFERROR(__xludf.DUMMYFUNCTION("""COMPUTED_VALUE"""),"RSC008245")</f>
        <v>RSC008245</v>
      </c>
      <c r="C470" s="60" t="str">
        <f>IFERROR(__xludf.DUMMYFUNCTION("""COMPUTED_VALUE"""),"j_durv")</f>
        <v>j_durv</v>
      </c>
      <c r="D470" s="54" t="str">
        <f>IFERROR(__xludf.DUMMYFUNCTION("""COMPUTED_VALUE"""),"Hawaiian Pizza")</f>
        <v>Hawaiian Pizza</v>
      </c>
      <c r="E470" s="55" t="str">
        <f>IFERROR(__xludf.DUMMYFUNCTION("""COMPUTED_VALUE"""),"N/A")</f>
        <v>N/A</v>
      </c>
      <c r="F470" s="56">
        <f>IFERROR(__xludf.DUMMYFUNCTION("""COMPUTED_VALUE"""),63.22039619924958)</f>
        <v>63.2203962</v>
      </c>
      <c r="G470" s="57">
        <f>IFERROR(__xludf.DUMMYFUNCTION("""COMPUTED_VALUE"""),49.0)</f>
        <v>49</v>
      </c>
      <c r="H470" s="58">
        <f>IFERROR(__xludf.DUMMYFUNCTION("iferror(if(B470="""", ,filter('IDR Import'!D:D,'IDR Import'!A:A=B470,'IDR Import'!C:C=A470)),)"),64.87207055792842)</f>
        <v>64.87207056</v>
      </c>
      <c r="I470" s="58">
        <v>64.046233378589</v>
      </c>
      <c r="J470" s="59">
        <f t="shared" si="1"/>
        <v>49</v>
      </c>
    </row>
    <row r="471">
      <c r="A471" s="55" t="str">
        <f>IFERROR(__xludf.DUMMYFUNCTION("""COMPUTED_VALUE"""),"Prospect")</f>
        <v>Prospect</v>
      </c>
      <c r="B471" s="55" t="str">
        <f>IFERROR(__xludf.DUMMYFUNCTION("""COMPUTED_VALUE"""),"RSC006919")</f>
        <v>RSC006919</v>
      </c>
      <c r="C471" s="60" t="str">
        <f>IFERROR(__xludf.DUMMYFUNCTION("""COMPUTED_VALUE"""),"rinny_b0y")</f>
        <v>rinny_b0y</v>
      </c>
      <c r="D471" s="54" t="str">
        <f>IFERROR(__xludf.DUMMYFUNCTION("""COMPUTED_VALUE"""),"Hostile Takeover")</f>
        <v>Hostile Takeover</v>
      </c>
      <c r="E471" s="55" t="str">
        <f>IFERROR(__xludf.DUMMYFUNCTION("""COMPUTED_VALUE"""),"N/A")</f>
        <v>N/A</v>
      </c>
      <c r="F471" s="56">
        <f>IFERROR(__xludf.DUMMYFUNCTION("""COMPUTED_VALUE"""),62.750757243198606)</f>
        <v>62.75075724</v>
      </c>
      <c r="G471" s="57">
        <f>IFERROR(__xludf.DUMMYFUNCTION("""COMPUTED_VALUE"""),39.0)</f>
        <v>39</v>
      </c>
      <c r="H471" s="58">
        <f>IFERROR(__xludf.DUMMYFUNCTION("iferror(if(B471="""", ,filter('IDR Import'!D:D,'IDR Import'!A:A=B471,'IDR Import'!C:C=A471)),)"),84.85012689668736)</f>
        <v>84.8501269</v>
      </c>
      <c r="I471" s="58">
        <v>73.80044206994299</v>
      </c>
      <c r="J471" s="59">
        <f t="shared" si="1"/>
        <v>39</v>
      </c>
    </row>
    <row r="472">
      <c r="A472" s="55" t="str">
        <f>IFERROR(__xludf.DUMMYFUNCTION("""COMPUTED_VALUE"""),"Prospect")</f>
        <v>Prospect</v>
      </c>
      <c r="B472" s="55" t="str">
        <f>IFERROR(__xludf.DUMMYFUNCTION("""COMPUTED_VALUE"""),"RSC004012")</f>
        <v>RSC004012</v>
      </c>
      <c r="C472" s="60" t="str">
        <f>IFERROR(__xludf.DUMMYFUNCTION("""COMPUTED_VALUE"""),"kgfan3")</f>
        <v>kgfan3</v>
      </c>
      <c r="D472" s="54" t="str">
        <f>IFERROR(__xludf.DUMMYFUNCTION("""COMPUTED_VALUE"""),"Griffin")</f>
        <v>Griffin</v>
      </c>
      <c r="E472" s="55" t="str">
        <f>IFERROR(__xludf.DUMMYFUNCTION("""COMPUTED_VALUE"""),"N/A")</f>
        <v>N/A</v>
      </c>
      <c r="F472" s="56">
        <f>IFERROR(__xludf.DUMMYFUNCTION("""COMPUTED_VALUE"""),61.991505602784486)</f>
        <v>61.9915056</v>
      </c>
      <c r="G472" s="57">
        <f>IFERROR(__xludf.DUMMYFUNCTION("""COMPUTED_VALUE"""),56.0)</f>
        <v>56</v>
      </c>
      <c r="H472" s="58">
        <f>IFERROR(__xludf.DUMMYFUNCTION("iferror(if(B472="""", ,filter('IDR Import'!D:D,'IDR Import'!A:A=B472,'IDR Import'!C:C=A472)),)"),61.42723830706388)</f>
        <v>61.42723831</v>
      </c>
      <c r="I472" s="58">
        <v>61.70937195492418</v>
      </c>
      <c r="J472" s="59">
        <f t="shared" si="1"/>
        <v>56</v>
      </c>
    </row>
    <row r="473">
      <c r="A473" s="55" t="str">
        <f>IFERROR(__xludf.DUMMYFUNCTION("""COMPUTED_VALUE"""),"Prospect")</f>
        <v>Prospect</v>
      </c>
      <c r="B473" s="55" t="str">
        <f>IFERROR(__xludf.DUMMYFUNCTION("""COMPUTED_VALUE"""),"RSC008470")</f>
        <v>RSC008470</v>
      </c>
      <c r="C473" s="60" t="str">
        <f>IFERROR(__xludf.DUMMYFUNCTION("""COMPUTED_VALUE"""),"ReaperXD97")</f>
        <v>ReaperXD97</v>
      </c>
      <c r="D473" s="54" t="str">
        <f>IFERROR(__xludf.DUMMYFUNCTION("""COMPUTED_VALUE"""),"Honey Badgers")</f>
        <v>Honey Badgers</v>
      </c>
      <c r="E473" s="55" t="str">
        <f>IFERROR(__xludf.DUMMYFUNCTION("""COMPUTED_VALUE"""),"N/A")</f>
        <v>N/A</v>
      </c>
      <c r="F473" s="56">
        <f>IFERROR(__xludf.DUMMYFUNCTION("""COMPUTED_VALUE"""),61.90326210483779)</f>
        <v>61.9032621</v>
      </c>
      <c r="G473" s="57">
        <f>IFERROR(__xludf.DUMMYFUNCTION("""COMPUTED_VALUE"""),39.0)</f>
        <v>39</v>
      </c>
      <c r="H473" s="58">
        <f>IFERROR(__xludf.DUMMYFUNCTION("iferror(if(B473="""", ,filter('IDR Import'!D:D,'IDR Import'!A:A=B473,'IDR Import'!C:C=A473)),)"),55.7859619873755)</f>
        <v>55.78596199</v>
      </c>
      <c r="I473" s="58">
        <v>58.84461204610665</v>
      </c>
      <c r="J473" s="59">
        <f t="shared" si="1"/>
        <v>39</v>
      </c>
    </row>
    <row r="474">
      <c r="A474" s="55" t="str">
        <f>IFERROR(__xludf.DUMMYFUNCTION("""COMPUTED_VALUE"""),"Prospect")</f>
        <v>Prospect</v>
      </c>
      <c r="B474" s="55" t="str">
        <f>IFERROR(__xludf.DUMMYFUNCTION("""COMPUTED_VALUE"""),"RSC007515")</f>
        <v>RSC007515</v>
      </c>
      <c r="C474" s="60" t="str">
        <f>IFERROR(__xludf.DUMMYFUNCTION("""COMPUTED_VALUE"""),"superstrikzz")</f>
        <v>superstrikzz</v>
      </c>
      <c r="D474" s="54" t="str">
        <f>IFERROR(__xludf.DUMMYFUNCTION("""COMPUTED_VALUE"""),"Principales")</f>
        <v>Principales</v>
      </c>
      <c r="E474" s="55" t="str">
        <f>IFERROR(__xludf.DUMMYFUNCTION("""COMPUTED_VALUE"""),"N/A")</f>
        <v>N/A</v>
      </c>
      <c r="F474" s="56">
        <f>IFERROR(__xludf.DUMMYFUNCTION("""COMPUTED_VALUE"""),61.165998403407585)</f>
        <v>61.1659984</v>
      </c>
      <c r="G474" s="57">
        <f>IFERROR(__xludf.DUMMYFUNCTION("""COMPUTED_VALUE"""),50.0)</f>
        <v>50</v>
      </c>
      <c r="H474" s="58">
        <f>IFERROR(__xludf.DUMMYFUNCTION("iferror(if(B474="""", ,filter('IDR Import'!D:D,'IDR Import'!A:A=B474,'IDR Import'!C:C=A474)),)"),66.30557537991609)</f>
        <v>66.30557538</v>
      </c>
      <c r="I474" s="58">
        <v>63.73578689166184</v>
      </c>
      <c r="J474" s="59">
        <f t="shared" si="1"/>
        <v>50</v>
      </c>
    </row>
    <row r="475">
      <c r="A475" s="55" t="str">
        <f>IFERROR(__xludf.DUMMYFUNCTION("""COMPUTED_VALUE"""),"Prospect")</f>
        <v>Prospect</v>
      </c>
      <c r="B475" s="55" t="str">
        <f>IFERROR(__xludf.DUMMYFUNCTION("""COMPUTED_VALUE"""),"RSC008337")</f>
        <v>RSC008337</v>
      </c>
      <c r="C475" s="60" t="str">
        <f>IFERROR(__xludf.DUMMYFUNCTION("""COMPUTED_VALUE"""),"Bblaazee.")</f>
        <v>Bblaazee.</v>
      </c>
      <c r="D475" s="54" t="str">
        <f>IFERROR(__xludf.DUMMYFUNCTION("""COMPUTED_VALUE"""),"Piranhas")</f>
        <v>Piranhas</v>
      </c>
      <c r="E475" s="55" t="str">
        <f>IFERROR(__xludf.DUMMYFUNCTION("""COMPUTED_VALUE"""),"N/A")</f>
        <v>N/A</v>
      </c>
      <c r="F475" s="56">
        <f>IFERROR(__xludf.DUMMYFUNCTION("""COMPUTED_VALUE"""),59.59014139058457)</f>
        <v>59.59014139</v>
      </c>
      <c r="G475" s="57">
        <f>IFERROR(__xludf.DUMMYFUNCTION("""COMPUTED_VALUE"""),39.0)</f>
        <v>39</v>
      </c>
      <c r="H475" s="58">
        <f>IFERROR(__xludf.DUMMYFUNCTION("iferror(if(B475="""", ,filter('IDR Import'!D:D,'IDR Import'!A:A=B475,'IDR Import'!C:C=A475)),)"),51.02009729079174)</f>
        <v>51.02009729</v>
      </c>
      <c r="I475" s="58">
        <v>55.30511934068815</v>
      </c>
      <c r="J475" s="59">
        <f t="shared" si="1"/>
        <v>39</v>
      </c>
    </row>
    <row r="476">
      <c r="A476" s="55" t="str">
        <f>IFERROR(__xludf.DUMMYFUNCTION("""COMPUTED_VALUE"""),"Prospect")</f>
        <v>Prospect</v>
      </c>
      <c r="B476" s="55" t="str">
        <f>IFERROR(__xludf.DUMMYFUNCTION("""COMPUTED_VALUE"""),"RSC007372")</f>
        <v>RSC007372</v>
      </c>
      <c r="C476" s="60" t="str">
        <f>IFERROR(__xludf.DUMMYFUNCTION("""COMPUTED_VALUE"""),"Zirr_Grzzlr_onTT")</f>
        <v>Zirr_Grzzlr_onTT</v>
      </c>
      <c r="D476" s="54" t="str">
        <f>IFERROR(__xludf.DUMMYFUNCTION("""COMPUTED_VALUE"""),"Tic Tacs
Piranhas")</f>
        <v>Tic Tacs
Piranhas</v>
      </c>
      <c r="E476" s="55" t="str">
        <f>IFERROR(__xludf.DUMMYFUNCTION("""COMPUTED_VALUE"""),"N/A
N/A")</f>
        <v>N/A
N/A</v>
      </c>
      <c r="F476" s="56">
        <f>IFERROR(__xludf.DUMMYFUNCTION("""COMPUTED_VALUE"""),58.72758329384774)</f>
        <v>58.72758329</v>
      </c>
      <c r="G476" s="57">
        <f>IFERROR(__xludf.DUMMYFUNCTION("""COMPUTED_VALUE"""),56.0)</f>
        <v>56</v>
      </c>
      <c r="H476" s="58">
        <f>IFERROR(__xludf.DUMMYFUNCTION("iferror(if(B476="""", ,filter('IDR Import'!D:D,'IDR Import'!A:A=B476,'IDR Import'!C:C=A476)),)"),73.95382484508382)</f>
        <v>73.95382485</v>
      </c>
      <c r="I476" s="58">
        <v>66.34070406946577</v>
      </c>
      <c r="J476" s="59">
        <f t="shared" si="1"/>
        <v>56</v>
      </c>
    </row>
    <row r="477">
      <c r="A477" s="55" t="str">
        <f>IFERROR(__xludf.DUMMYFUNCTION("""COMPUTED_VALUE"""),"Prospect")</f>
        <v>Prospect</v>
      </c>
      <c r="B477" s="55" t="str">
        <f>IFERROR(__xludf.DUMMYFUNCTION("""COMPUTED_VALUE"""),"RSC007958")</f>
        <v>RSC007958</v>
      </c>
      <c r="C477" s="60" t="str">
        <f>IFERROR(__xludf.DUMMYFUNCTION("""COMPUTED_VALUE"""),"SE AT WORK")</f>
        <v>SE AT WORK</v>
      </c>
      <c r="D477" s="54" t="str">
        <f>IFERROR(__xludf.DUMMYFUNCTION("""COMPUTED_VALUE"""),"Tic Tacs")</f>
        <v>Tic Tacs</v>
      </c>
      <c r="E477" s="55" t="str">
        <f>IFERROR(__xludf.DUMMYFUNCTION("""COMPUTED_VALUE"""),"N/A")</f>
        <v>N/A</v>
      </c>
      <c r="F477" s="56">
        <f>IFERROR(__xludf.DUMMYFUNCTION("""COMPUTED_VALUE"""),58.01233026161175)</f>
        <v>58.01233026</v>
      </c>
      <c r="G477" s="57">
        <f>IFERROR(__xludf.DUMMYFUNCTION("""COMPUTED_VALUE"""),48.0)</f>
        <v>48</v>
      </c>
      <c r="H477" s="58">
        <f>IFERROR(__xludf.DUMMYFUNCTION("iferror(if(B477="""", ,filter('IDR Import'!D:D,'IDR Import'!A:A=B477,'IDR Import'!C:C=A477)),)"),65.60644422729496)</f>
        <v>65.60644423</v>
      </c>
      <c r="I477" s="58">
        <v>61.809387244453355</v>
      </c>
      <c r="J477" s="59">
        <f t="shared" si="1"/>
        <v>48</v>
      </c>
    </row>
    <row r="478">
      <c r="A478" s="55" t="str">
        <f>IFERROR(__xludf.DUMMYFUNCTION("""COMPUTED_VALUE"""),"Prospect")</f>
        <v>Prospect</v>
      </c>
      <c r="B478" s="55" t="str">
        <f>IFERROR(__xludf.DUMMYFUNCTION("""COMPUTED_VALUE"""),"RSC008370")</f>
        <v>RSC008370</v>
      </c>
      <c r="C478" s="60" t="str">
        <f>IFERROR(__xludf.DUMMYFUNCTION("""COMPUTED_VALUE"""),"Precision")</f>
        <v>Precision</v>
      </c>
      <c r="D478" s="54" t="str">
        <f>IFERROR(__xludf.DUMMYFUNCTION("""COMPUTED_VALUE"""),"Hawaiian Pizza
Piranhas
Tic Tacs")</f>
        <v>Hawaiian Pizza
Piranhas
Tic Tacs</v>
      </c>
      <c r="E478" s="55" t="str">
        <f>IFERROR(__xludf.DUMMYFUNCTION("""COMPUTED_VALUE"""),"N/A
N/A
N/A")</f>
        <v>N/A
N/A
N/A</v>
      </c>
      <c r="F478" s="56">
        <f>IFERROR(__xludf.DUMMYFUNCTION("""COMPUTED_VALUE"""),57.90628346844688)</f>
        <v>57.90628347</v>
      </c>
      <c r="G478" s="57">
        <f>IFERROR(__xludf.DUMMYFUNCTION("""COMPUTED_VALUE"""),40.0)</f>
        <v>40</v>
      </c>
      <c r="H478" s="58">
        <f>IFERROR(__xludf.DUMMYFUNCTION("iferror(if(B478="""", ,filter('IDR Import'!D:D,'IDR Import'!A:A=B478,'IDR Import'!C:C=A478)),)"),48.39195687031621)</f>
        <v>48.39195687</v>
      </c>
      <c r="I478" s="58">
        <v>53.14912016938155</v>
      </c>
      <c r="J478" s="59">
        <f t="shared" si="1"/>
        <v>40</v>
      </c>
    </row>
    <row r="479">
      <c r="A479" s="55" t="str">
        <f>IFERROR(__xludf.DUMMYFUNCTION("""COMPUTED_VALUE"""),"Prospect")</f>
        <v>Prospect</v>
      </c>
      <c r="B479" s="55" t="str">
        <f>IFERROR(__xludf.DUMMYFUNCTION("""COMPUTED_VALUE"""),"RSC007886")</f>
        <v>RSC007886</v>
      </c>
      <c r="C479" s="60" t="str">
        <f>IFERROR(__xludf.DUMMYFUNCTION("""COMPUTED_VALUE"""),"Dino incarnate")</f>
        <v>Dino incarnate</v>
      </c>
      <c r="D479" s="54" t="str">
        <f>IFERROR(__xludf.DUMMYFUNCTION("""COMPUTED_VALUE"""),"Hostile Takeover
Skeletons")</f>
        <v>Hostile Takeover
Skeletons</v>
      </c>
      <c r="E479" s="55" t="str">
        <f>IFERROR(__xludf.DUMMYFUNCTION("""COMPUTED_VALUE"""),"N/A
N/A")</f>
        <v>N/A
N/A</v>
      </c>
      <c r="F479" s="56">
        <f>IFERROR(__xludf.DUMMYFUNCTION("""COMPUTED_VALUE"""),57.46277391456526)</f>
        <v>57.46277391</v>
      </c>
      <c r="G479" s="57">
        <f>IFERROR(__xludf.DUMMYFUNCTION("""COMPUTED_VALUE"""),48.0)</f>
        <v>48</v>
      </c>
      <c r="H479" s="58">
        <f>IFERROR(__xludf.DUMMYFUNCTION("iferror(if(B479="""", ,filter('IDR Import'!D:D,'IDR Import'!A:A=B479,'IDR Import'!C:C=A479)),)"),65.44753980760237)</f>
        <v>65.44753981</v>
      </c>
      <c r="I479" s="58">
        <v>61.455156861083815</v>
      </c>
      <c r="J479" s="59">
        <f t="shared" si="1"/>
        <v>48</v>
      </c>
    </row>
    <row r="480">
      <c r="A480" s="55" t="str">
        <f>IFERROR(__xludf.DUMMYFUNCTION("""COMPUTED_VALUE"""),"Prospect")</f>
        <v>Prospect</v>
      </c>
      <c r="B480" s="55" t="str">
        <f>IFERROR(__xludf.DUMMYFUNCTION("""COMPUTED_VALUE"""),"RSC002408")</f>
        <v>RSC002408</v>
      </c>
      <c r="C480" s="60" t="str">
        <f>IFERROR(__xludf.DUMMYFUNCTION("""COMPUTED_VALUE"""),"Gmoney")</f>
        <v>Gmoney</v>
      </c>
      <c r="D480" s="54" t="str">
        <f>IFERROR(__xludf.DUMMYFUNCTION("""COMPUTED_VALUE"""),"Tic Tacs
Earth")</f>
        <v>Tic Tacs
Earth</v>
      </c>
      <c r="E480" s="55" t="str">
        <f>IFERROR(__xludf.DUMMYFUNCTION("""COMPUTED_VALUE"""),"N/A
N/A")</f>
        <v>N/A
N/A</v>
      </c>
      <c r="F480" s="56">
        <f>IFERROR(__xludf.DUMMYFUNCTION("""COMPUTED_VALUE"""),57.284556449876334)</f>
        <v>57.28455645</v>
      </c>
      <c r="G480" s="57">
        <f>IFERROR(__xludf.DUMMYFUNCTION("""COMPUTED_VALUE"""),55.0)</f>
        <v>55</v>
      </c>
      <c r="H480" s="58">
        <f>IFERROR(__xludf.DUMMYFUNCTION("iferror(if(B480="""", ,filter('IDR Import'!D:D,'IDR Import'!A:A=B480,'IDR Import'!C:C=A480)),)"),61.941048305233906)</f>
        <v>61.94104831</v>
      </c>
      <c r="I480" s="58">
        <v>59.61280237755512</v>
      </c>
      <c r="J480" s="59">
        <f t="shared" si="1"/>
        <v>55</v>
      </c>
    </row>
    <row r="481">
      <c r="A481" s="55" t="str">
        <f>IFERROR(__xludf.DUMMYFUNCTION("""COMPUTED_VALUE"""),"Prospect")</f>
        <v>Prospect</v>
      </c>
      <c r="B481" s="55" t="str">
        <f>IFERROR(__xludf.DUMMYFUNCTION("""COMPUTED_VALUE"""),"RSC005252")</f>
        <v>RSC005252</v>
      </c>
      <c r="C481" s="60" t="str">
        <f>IFERROR(__xludf.DUMMYFUNCTION("""COMPUTED_VALUE"""),"MysticMax07")</f>
        <v>MysticMax07</v>
      </c>
      <c r="D481" s="54" t="str">
        <f>IFERROR(__xludf.DUMMYFUNCTION("""COMPUTED_VALUE"""),"Earth")</f>
        <v>Earth</v>
      </c>
      <c r="E481" s="55" t="str">
        <f>IFERROR(__xludf.DUMMYFUNCTION("""COMPUTED_VALUE"""),"N/A")</f>
        <v>N/A</v>
      </c>
      <c r="F481" s="56">
        <f>IFERROR(__xludf.DUMMYFUNCTION("""COMPUTED_VALUE"""),55.603611793406344)</f>
        <v>55.60361179</v>
      </c>
      <c r="G481" s="57">
        <f>IFERROR(__xludf.DUMMYFUNCTION("""COMPUTED_VALUE"""),55.0)</f>
        <v>55</v>
      </c>
      <c r="H481" s="58">
        <f>IFERROR(__xludf.DUMMYFUNCTION("iferror(if(B481="""", ,filter('IDR Import'!D:D,'IDR Import'!A:A=B481,'IDR Import'!C:C=A481)),)"),53.75147787554934)</f>
        <v>53.75147788</v>
      </c>
      <c r="I481" s="58">
        <v>54.67754483447784</v>
      </c>
      <c r="J481" s="59">
        <f t="shared" si="1"/>
        <v>55</v>
      </c>
    </row>
    <row r="482">
      <c r="A482" s="55" t="str">
        <f>IFERROR(__xludf.DUMMYFUNCTION("""COMPUTED_VALUE"""),"Prospect")</f>
        <v>Prospect</v>
      </c>
      <c r="B482" s="55" t="str">
        <f>IFERROR(__xludf.DUMMYFUNCTION("""COMPUTED_VALUE"""),"RSC006404")</f>
        <v>RSC006404</v>
      </c>
      <c r="C482" s="60" t="str">
        <f>IFERROR(__xludf.DUMMYFUNCTION("""COMPUTED_VALUE"""),"Protocol")</f>
        <v>Protocol</v>
      </c>
      <c r="D482" s="54" t="str">
        <f>IFERROR(__xludf.DUMMYFUNCTION("""COMPUTED_VALUE"""),"Turbulence
Skeletons")</f>
        <v>Turbulence
Skeletons</v>
      </c>
      <c r="E482" s="55" t="str">
        <f>IFERROR(__xludf.DUMMYFUNCTION("""COMPUTED_VALUE"""),"N/A
N/A")</f>
        <v>N/A
N/A</v>
      </c>
      <c r="F482" s="56">
        <f>IFERROR(__xludf.DUMMYFUNCTION("""COMPUTED_VALUE"""),53.55629365824612)</f>
        <v>53.55629366</v>
      </c>
      <c r="G482" s="57">
        <f>IFERROR(__xludf.DUMMYFUNCTION("""COMPUTED_VALUE"""),6.0)</f>
        <v>6</v>
      </c>
      <c r="H482" s="58">
        <f>IFERROR(__xludf.DUMMYFUNCTION("iferror(if(B482="""", ,filter('IDR Import'!D:D,'IDR Import'!A:A=B482,'IDR Import'!C:C=A482)),)"),13.499615324918416)</f>
        <v>13.49961532</v>
      </c>
      <c r="I482" s="58">
        <v>33.527954491582264</v>
      </c>
      <c r="J482" s="59">
        <f t="shared" si="1"/>
        <v>6</v>
      </c>
    </row>
    <row r="483">
      <c r="A483" s="55" t="str">
        <f>IFERROR(__xludf.DUMMYFUNCTION("""COMPUTED_VALUE"""),"Prospect")</f>
        <v>Prospect</v>
      </c>
      <c r="B483" s="55" t="str">
        <f>IFERROR(__xludf.DUMMYFUNCTION("""COMPUTED_VALUE"""),"RSC000686")</f>
        <v>RSC000686</v>
      </c>
      <c r="C483" s="60" t="str">
        <f>IFERROR(__xludf.DUMMYFUNCTION("""COMPUTED_VALUE"""),"mom jeans xl")</f>
        <v>mom jeans xl</v>
      </c>
      <c r="D483" s="54" t="str">
        <f>IFERROR(__xludf.DUMMYFUNCTION("""COMPUTED_VALUE"""),"Blacktips")</f>
        <v>Blacktips</v>
      </c>
      <c r="E483" s="55" t="str">
        <f>IFERROR(__xludf.DUMMYFUNCTION("""COMPUTED_VALUE"""),"N/A")</f>
        <v>N/A</v>
      </c>
      <c r="F483" s="56">
        <f>IFERROR(__xludf.DUMMYFUNCTION("""COMPUTED_VALUE"""),52.970168877818985)</f>
        <v>52.97016888</v>
      </c>
      <c r="G483" s="57">
        <f>IFERROR(__xludf.DUMMYFUNCTION("""COMPUTED_VALUE"""),44.0)</f>
        <v>44</v>
      </c>
      <c r="H483" s="58">
        <f>IFERROR(__xludf.DUMMYFUNCTION("iferror(if(B483="""", ,filter('IDR Import'!D:D,'IDR Import'!A:A=B483,'IDR Import'!C:C=A483)),)"),74.37901876304339)</f>
        <v>74.37901876</v>
      </c>
      <c r="I483" s="58">
        <v>63.674593820431184</v>
      </c>
      <c r="J483" s="59">
        <f t="shared" si="1"/>
        <v>44</v>
      </c>
    </row>
    <row r="484">
      <c r="A484" s="55" t="str">
        <f>IFERROR(__xludf.DUMMYFUNCTION("""COMPUTED_VALUE"""),"Prospect")</f>
        <v>Prospect</v>
      </c>
      <c r="B484" s="55" t="str">
        <f>IFERROR(__xludf.DUMMYFUNCTION("""COMPUTED_VALUE"""),"RSC008110")</f>
        <v>RSC008110</v>
      </c>
      <c r="C484" s="60" t="str">
        <f>IFERROR(__xludf.DUMMYFUNCTION("""COMPUTED_VALUE"""),"IrishHawk27")</f>
        <v>IrishHawk27</v>
      </c>
      <c r="D484" s="54" t="str">
        <f>IFERROR(__xludf.DUMMYFUNCTION("""COMPUTED_VALUE"""),"Skeletons
Honey Badgers
Hostile Takeover")</f>
        <v>Skeletons
Honey Badgers
Hostile Takeover</v>
      </c>
      <c r="E484" s="55" t="str">
        <f>IFERROR(__xludf.DUMMYFUNCTION("""COMPUTED_VALUE"""),"N/A
N/A
N/A")</f>
        <v>N/A
N/A
N/A</v>
      </c>
      <c r="F484" s="56">
        <f>IFERROR(__xludf.DUMMYFUNCTION("""COMPUTED_VALUE"""),51.669736765253944)</f>
        <v>51.66973677</v>
      </c>
      <c r="G484" s="57">
        <f>IFERROR(__xludf.DUMMYFUNCTION("""COMPUTED_VALUE"""),28.0)</f>
        <v>28</v>
      </c>
      <c r="H484" s="58">
        <f>IFERROR(__xludf.DUMMYFUNCTION("iferror(if(B484="""", ,filter('IDR Import'!D:D,'IDR Import'!A:A=B484,'IDR Import'!C:C=A484)),)"),58.32404534063537)</f>
        <v>58.32404534</v>
      </c>
      <c r="I484" s="58">
        <v>54.99689105294466</v>
      </c>
      <c r="J484" s="59">
        <f t="shared" si="1"/>
        <v>28</v>
      </c>
    </row>
    <row r="485">
      <c r="A485" s="55" t="str">
        <f>IFERROR(__xludf.DUMMYFUNCTION("""COMPUTED_VALUE"""),"Prospect")</f>
        <v>Prospect</v>
      </c>
      <c r="B485" s="55" t="str">
        <f>IFERROR(__xludf.DUMMYFUNCTION("""COMPUTED_VALUE"""),"RSC007899")</f>
        <v>RSC007899</v>
      </c>
      <c r="C485" s="60" t="str">
        <f>IFERROR(__xludf.DUMMYFUNCTION("""COMPUTED_VALUE"""),"SeaSpay182009")</f>
        <v>SeaSpay182009</v>
      </c>
      <c r="D485" s="54" t="str">
        <f>IFERROR(__xludf.DUMMYFUNCTION("""COMPUTED_VALUE"""),"Turbulence")</f>
        <v>Turbulence</v>
      </c>
      <c r="E485" s="55" t="str">
        <f>IFERROR(__xludf.DUMMYFUNCTION("""COMPUTED_VALUE"""),"N/A")</f>
        <v>N/A</v>
      </c>
      <c r="F485" s="56">
        <f>IFERROR(__xludf.DUMMYFUNCTION("""COMPUTED_VALUE"""),51.53914456717692)</f>
        <v>51.53914457</v>
      </c>
      <c r="G485" s="57">
        <f>IFERROR(__xludf.DUMMYFUNCTION("""COMPUTED_VALUE"""),31.0)</f>
        <v>31</v>
      </c>
      <c r="H485" s="58">
        <f>IFERROR(__xludf.DUMMYFUNCTION("iferror(if(B485="""", ,filter('IDR Import'!D:D,'IDR Import'!A:A=B485,'IDR Import'!C:C=A485)),)"),63.037023618999584)</f>
        <v>63.03702362</v>
      </c>
      <c r="I485" s="58">
        <v>57.28808409308825</v>
      </c>
      <c r="J485" s="59">
        <f t="shared" si="1"/>
        <v>31</v>
      </c>
    </row>
    <row r="486">
      <c r="A486" s="55" t="str">
        <f>IFERROR(__xludf.DUMMYFUNCTION("""COMPUTED_VALUE"""),"Prospect")</f>
        <v>Prospect</v>
      </c>
      <c r="B486" s="55" t="str">
        <f>IFERROR(__xludf.DUMMYFUNCTION("""COMPUTED_VALUE"""),"RSC006251")</f>
        <v>RSC006251</v>
      </c>
      <c r="C486" s="60" t="str">
        <f>IFERROR(__xludf.DUMMYFUNCTION("""COMPUTED_VALUE"""),"MiniTechniks")</f>
        <v>MiniTechniks</v>
      </c>
      <c r="D486" s="54" t="str">
        <f>IFERROR(__xludf.DUMMYFUNCTION("""COMPUTED_VALUE"""),"Piranhas
Hawaiian Pizza")</f>
        <v>Piranhas
Hawaiian Pizza</v>
      </c>
      <c r="E486" s="55" t="str">
        <f>IFERROR(__xludf.DUMMYFUNCTION("""COMPUTED_VALUE"""),"N/A
N/A")</f>
        <v>N/A
N/A</v>
      </c>
      <c r="F486" s="56">
        <f>IFERROR(__xludf.DUMMYFUNCTION("""COMPUTED_VALUE"""),51.43496598814992)</f>
        <v>51.43496599</v>
      </c>
      <c r="G486" s="57">
        <f>IFERROR(__xludf.DUMMYFUNCTION("""COMPUTED_VALUE"""),41.0)</f>
        <v>41</v>
      </c>
      <c r="H486" s="58">
        <f>IFERROR(__xludf.DUMMYFUNCTION("iferror(if(B486="""", ,filter('IDR Import'!D:D,'IDR Import'!A:A=B486,'IDR Import'!C:C=A486)),)"),60.07318881852102)</f>
        <v>60.07318882</v>
      </c>
      <c r="I486" s="58">
        <v>55.75407740333547</v>
      </c>
      <c r="J486" s="59">
        <f t="shared" si="1"/>
        <v>41</v>
      </c>
    </row>
    <row r="487">
      <c r="A487" s="55" t="str">
        <f>IFERROR(__xludf.DUMMYFUNCTION("""COMPUTED_VALUE"""),"Prospect")</f>
        <v>Prospect</v>
      </c>
      <c r="B487" s="55" t="str">
        <f>IFERROR(__xludf.DUMMYFUNCTION("""COMPUTED_VALUE"""),"RSC004509")</f>
        <v>RSC004509</v>
      </c>
      <c r="C487" s="60" t="str">
        <f>IFERROR(__xludf.DUMMYFUNCTION("""COMPUTED_VALUE"""),"tazlien")</f>
        <v>tazlien</v>
      </c>
      <c r="D487" s="54" t="str">
        <f>IFERROR(__xludf.DUMMYFUNCTION("""COMPUTED_VALUE"""),"Turbulence
Piranhas")</f>
        <v>Turbulence
Piranhas</v>
      </c>
      <c r="E487" s="55" t="str">
        <f>IFERROR(__xludf.DUMMYFUNCTION("""COMPUTED_VALUE"""),"N/A
N/A")</f>
        <v>N/A
N/A</v>
      </c>
      <c r="F487" s="56">
        <f>IFERROR(__xludf.DUMMYFUNCTION("""COMPUTED_VALUE"""),48.235993429442274)</f>
        <v>48.23599343</v>
      </c>
      <c r="G487" s="57">
        <f>IFERROR(__xludf.DUMMYFUNCTION("""COMPUTED_VALUE"""),15.0)</f>
        <v>15</v>
      </c>
      <c r="H487" s="58">
        <f>IFERROR(__xludf.DUMMYFUNCTION("iferror(if(B487="""", ,filter('IDR Import'!D:D,'IDR Import'!A:A=B487,'IDR Import'!C:C=A487)),)"),55.990597110770864)</f>
        <v>55.99059711</v>
      </c>
      <c r="I487" s="58">
        <v>52.11329527010657</v>
      </c>
      <c r="J487" s="59">
        <f t="shared" si="1"/>
        <v>15</v>
      </c>
    </row>
    <row r="488">
      <c r="A488" s="55" t="str">
        <f>IFERROR(__xludf.DUMMYFUNCTION("""COMPUTED_VALUE"""),"Prospect")</f>
        <v>Prospect</v>
      </c>
      <c r="B488" s="55" t="str">
        <f>IFERROR(__xludf.DUMMYFUNCTION("""COMPUTED_VALUE"""),"RSC006256")</f>
        <v>RSC006256</v>
      </c>
      <c r="C488" s="60" t="str">
        <f>IFERROR(__xludf.DUMMYFUNCTION("""COMPUTED_VALUE"""),"Casca .")</f>
        <v>Casca .</v>
      </c>
      <c r="D488" s="54" t="str">
        <f>IFERROR(__xludf.DUMMYFUNCTION("""COMPUTED_VALUE"""),"Griffin")</f>
        <v>Griffin</v>
      </c>
      <c r="E488" s="55" t="str">
        <f>IFERROR(__xludf.DUMMYFUNCTION("""COMPUTED_VALUE"""),"N/A")</f>
        <v>N/A</v>
      </c>
      <c r="F488" s="56">
        <f>IFERROR(__xludf.DUMMYFUNCTION("""COMPUTED_VALUE"""),47.895719788967114)</f>
        <v>47.89571979</v>
      </c>
      <c r="G488" s="57">
        <f>IFERROR(__xludf.DUMMYFUNCTION("""COMPUTED_VALUE"""),56.0)</f>
        <v>56</v>
      </c>
      <c r="H488" s="58">
        <f>IFERROR(__xludf.DUMMYFUNCTION("iferror(if(B488="""", ,filter('IDR Import'!D:D,'IDR Import'!A:A=B488,'IDR Import'!C:C=A488)),)"),54.31992577543638)</f>
        <v>54.31992578</v>
      </c>
      <c r="I488" s="58">
        <v>51.10782278220175</v>
      </c>
      <c r="J488" s="59">
        <f t="shared" si="1"/>
        <v>56</v>
      </c>
    </row>
    <row r="489">
      <c r="A489" s="55" t="str">
        <f>IFERROR(__xludf.DUMMYFUNCTION("""COMPUTED_VALUE"""),"Prospect")</f>
        <v>Prospect</v>
      </c>
      <c r="B489" s="55" t="str">
        <f>IFERROR(__xludf.DUMMYFUNCTION("""COMPUTED_VALUE"""),"RSC005550")</f>
        <v>RSC005550</v>
      </c>
      <c r="C489" s="60" t="str">
        <f>IFERROR(__xludf.DUMMYFUNCTION("""COMPUTED_VALUE"""),"Shraggaholic")</f>
        <v>Shraggaholic</v>
      </c>
      <c r="D489" s="54" t="str">
        <f>IFERROR(__xludf.DUMMYFUNCTION("""COMPUTED_VALUE"""),"Earth")</f>
        <v>Earth</v>
      </c>
      <c r="E489" s="55" t="str">
        <f>IFERROR(__xludf.DUMMYFUNCTION("""COMPUTED_VALUE"""),"N/A")</f>
        <v>N/A</v>
      </c>
      <c r="F489" s="56">
        <f>IFERROR(__xludf.DUMMYFUNCTION("""COMPUTED_VALUE"""),45.28425564293328)</f>
        <v>45.28425564</v>
      </c>
      <c r="G489" s="57">
        <f>IFERROR(__xludf.DUMMYFUNCTION("""COMPUTED_VALUE"""),53.0)</f>
        <v>53</v>
      </c>
      <c r="H489" s="58">
        <f>IFERROR(__xludf.DUMMYFUNCTION("iferror(if(B489="""", ,filter('IDR Import'!D:D,'IDR Import'!A:A=B489,'IDR Import'!C:C=A489)),)"),42.63878657431152)</f>
        <v>42.63878657</v>
      </c>
      <c r="I489" s="58">
        <v>43.9615211086224</v>
      </c>
      <c r="J489" s="59">
        <f t="shared" si="1"/>
        <v>53</v>
      </c>
    </row>
    <row r="490">
      <c r="A490" s="55" t="str">
        <f>IFERROR(__xludf.DUMMYFUNCTION("""COMPUTED_VALUE"""),"Prospect")</f>
        <v>Prospect</v>
      </c>
      <c r="B490" s="55" t="str">
        <f>IFERROR(__xludf.DUMMYFUNCTION("""COMPUTED_VALUE"""),"RSC008471")</f>
        <v>RSC008471</v>
      </c>
      <c r="C490" s="60" t="str">
        <f>IFERROR(__xludf.DUMMYFUNCTION("""COMPUTED_VALUE"""),"TrytonsShadow95")</f>
        <v>TrytonsShadow95</v>
      </c>
      <c r="D490" s="54" t="str">
        <f>IFERROR(__xludf.DUMMYFUNCTION("""COMPUTED_VALUE"""),"Principales")</f>
        <v>Principales</v>
      </c>
      <c r="E490" s="55" t="str">
        <f>IFERROR(__xludf.DUMMYFUNCTION("""COMPUTED_VALUE"""),"N/A")</f>
        <v>N/A</v>
      </c>
      <c r="F490" s="56">
        <f>IFERROR(__xludf.DUMMYFUNCTION("""COMPUTED_VALUE"""),44.58605012874445)</f>
        <v>44.58605013</v>
      </c>
      <c r="G490" s="57">
        <f>IFERROR(__xludf.DUMMYFUNCTION("""COMPUTED_VALUE"""),36.0)</f>
        <v>36</v>
      </c>
      <c r="H490" s="58">
        <f>IFERROR(__xludf.DUMMYFUNCTION("iferror(if(B490="""", ,filter('IDR Import'!D:D,'IDR Import'!A:A=B490,'IDR Import'!C:C=A490)),)"),52.100287608570824)</f>
        <v>52.10028761</v>
      </c>
      <c r="I490" s="58">
        <v>48.34316886865764</v>
      </c>
      <c r="J490" s="59">
        <f t="shared" si="1"/>
        <v>36</v>
      </c>
    </row>
    <row r="491">
      <c r="A491" s="55" t="str">
        <f>IFERROR(__xludf.DUMMYFUNCTION("""COMPUTED_VALUE"""),"Prospect")</f>
        <v>Prospect</v>
      </c>
      <c r="B491" s="55" t="str">
        <f>IFERROR(__xludf.DUMMYFUNCTION("""COMPUTED_VALUE"""),"RSC008153")</f>
        <v>RSC008153</v>
      </c>
      <c r="C491" s="60" t="str">
        <f>IFERROR(__xludf.DUMMYFUNCTION("""COMPUTED_VALUE"""),"Tyson_WA")</f>
        <v>Tyson_WA</v>
      </c>
      <c r="D491" s="54" t="str">
        <f>IFERROR(__xludf.DUMMYFUNCTION("""COMPUTED_VALUE"""),"Skeletons
Tic Tacs
Earth")</f>
        <v>Skeletons
Tic Tacs
Earth</v>
      </c>
      <c r="E491" s="55" t="str">
        <f>IFERROR(__xludf.DUMMYFUNCTION("""COMPUTED_VALUE"""),"N/A
N/A
N/A")</f>
        <v>N/A
N/A
N/A</v>
      </c>
      <c r="F491" s="56">
        <f>IFERROR(__xludf.DUMMYFUNCTION("""COMPUTED_VALUE"""),44.552819886737254)</f>
        <v>44.55281989</v>
      </c>
      <c r="G491" s="57">
        <f>IFERROR(__xludf.DUMMYFUNCTION("""COMPUTED_VALUE"""),22.0)</f>
        <v>22</v>
      </c>
      <c r="H491" s="58">
        <f>IFERROR(__xludf.DUMMYFUNCTION("iferror(if(B491="""", ,filter('IDR Import'!D:D,'IDR Import'!A:A=B491,'IDR Import'!C:C=A491)),)"),45.86345335247999)</f>
        <v>45.86345335</v>
      </c>
      <c r="I491" s="58">
        <v>45.208136619608624</v>
      </c>
      <c r="J491" s="59">
        <f t="shared" si="1"/>
        <v>22</v>
      </c>
    </row>
    <row r="492">
      <c r="A492" s="55" t="str">
        <f>IFERROR(__xludf.DUMMYFUNCTION("""COMPUTED_VALUE"""),"Prospect")</f>
        <v>Prospect</v>
      </c>
      <c r="B492" s="55" t="str">
        <f>IFERROR(__xludf.DUMMYFUNCTION("""COMPUTED_VALUE"""),"RSC008451")</f>
        <v>RSC008451</v>
      </c>
      <c r="C492" s="60" t="str">
        <f>IFERROR(__xludf.DUMMYFUNCTION("""COMPUTED_VALUE"""),"RyGuy2flie")</f>
        <v>RyGuy2flie</v>
      </c>
      <c r="D492" s="54" t="str">
        <f>IFERROR(__xludf.DUMMYFUNCTION("""COMPUTED_VALUE"""),"Hostile Takeover")</f>
        <v>Hostile Takeover</v>
      </c>
      <c r="E492" s="55" t="str">
        <f>IFERROR(__xludf.DUMMYFUNCTION("""COMPUTED_VALUE"""),"N/A")</f>
        <v>N/A</v>
      </c>
      <c r="F492" s="56">
        <f>IFERROR(__xludf.DUMMYFUNCTION("""COMPUTED_VALUE"""),43.55553729519979)</f>
        <v>43.5555373</v>
      </c>
      <c r="G492" s="57">
        <f>IFERROR(__xludf.DUMMYFUNCTION("""COMPUTED_VALUE"""),33.0)</f>
        <v>33</v>
      </c>
      <c r="H492" s="58">
        <f>IFERROR(__xludf.DUMMYFUNCTION("iferror(if(B492="""", ,filter('IDR Import'!D:D,'IDR Import'!A:A=B492,'IDR Import'!C:C=A492)),)"),60.82738437459247)</f>
        <v>60.82738437</v>
      </c>
      <c r="I492" s="58">
        <v>52.191460834896134</v>
      </c>
      <c r="J492" s="59">
        <f t="shared" si="1"/>
        <v>33</v>
      </c>
    </row>
    <row r="493">
      <c r="A493" s="55" t="str">
        <f>IFERROR(__xludf.DUMMYFUNCTION("""COMPUTED_VALUE"""),"Prospect")</f>
        <v>Prospect</v>
      </c>
      <c r="B493" s="55" t="str">
        <f>IFERROR(__xludf.DUMMYFUNCTION("""COMPUTED_VALUE"""),"RSC006880")</f>
        <v>RSC006880</v>
      </c>
      <c r="C493" s="60" t="str">
        <f>IFERROR(__xludf.DUMMYFUNCTION("""COMPUTED_VALUE"""),"Kenjicat17")</f>
        <v>Kenjicat17</v>
      </c>
      <c r="D493" s="54" t="str">
        <f>IFERROR(__xludf.DUMMYFUNCTION("""COMPUTED_VALUE"""),"Principales")</f>
        <v>Principales</v>
      </c>
      <c r="E493" s="55" t="str">
        <f>IFERROR(__xludf.DUMMYFUNCTION("""COMPUTED_VALUE"""),"N/A")</f>
        <v>N/A</v>
      </c>
      <c r="F493" s="56">
        <f>IFERROR(__xludf.DUMMYFUNCTION("""COMPUTED_VALUE"""),39.04255557086678)</f>
        <v>39.04255557</v>
      </c>
      <c r="G493" s="57">
        <f>IFERROR(__xludf.DUMMYFUNCTION("""COMPUTED_VALUE"""),41.0)</f>
        <v>41</v>
      </c>
      <c r="H493" s="58">
        <f>IFERROR(__xludf.DUMMYFUNCTION("iferror(if(B493="""", ,filter('IDR Import'!D:D,'IDR Import'!A:A=B493,'IDR Import'!C:C=A493)),)"),49.905722233190225)</f>
        <v>49.90572223</v>
      </c>
      <c r="I493" s="58">
        <v>44.4741389020285</v>
      </c>
      <c r="J493" s="59">
        <f t="shared" si="1"/>
        <v>41</v>
      </c>
    </row>
    <row r="494">
      <c r="A494" s="55" t="str">
        <f>IFERROR(__xludf.DUMMYFUNCTION("""COMPUTED_VALUE"""),"Prospect")</f>
        <v>Prospect</v>
      </c>
      <c r="B494" s="55" t="str">
        <f>IFERROR(__xludf.DUMMYFUNCTION("""COMPUTED_VALUE"""),"RSC005870")</f>
        <v>RSC005870</v>
      </c>
      <c r="C494" s="60" t="str">
        <f>IFERROR(__xludf.DUMMYFUNCTION("""COMPUTED_VALUE"""),"Evil twin")</f>
        <v>Evil twin</v>
      </c>
      <c r="D494" s="54" t="str">
        <f>IFERROR(__xludf.DUMMYFUNCTION("""COMPUTED_VALUE"""),"Tanuki")</f>
        <v>Tanuki</v>
      </c>
      <c r="E494" s="55" t="str">
        <f>IFERROR(__xludf.DUMMYFUNCTION("""COMPUTED_VALUE"""),"N/A")</f>
        <v>N/A</v>
      </c>
      <c r="F494" s="56">
        <f>IFERROR(__xludf.DUMMYFUNCTION("""COMPUTED_VALUE"""),38.43277291688716)</f>
        <v>38.43277292</v>
      </c>
      <c r="G494" s="57">
        <f>IFERROR(__xludf.DUMMYFUNCTION("""COMPUTED_VALUE"""),20.0)</f>
        <v>20</v>
      </c>
      <c r="H494" s="58">
        <f>IFERROR(__xludf.DUMMYFUNCTION("iferror(if(B494="""", ,filter('IDR Import'!D:D,'IDR Import'!A:A=B494,'IDR Import'!C:C=A494)),)"),30.123114860971107)</f>
        <v>30.12311486</v>
      </c>
      <c r="I494" s="58">
        <v>34.27794388892913</v>
      </c>
      <c r="J494" s="59">
        <f t="shared" si="1"/>
        <v>20</v>
      </c>
    </row>
    <row r="495">
      <c r="A495" s="55" t="str">
        <f>IFERROR(__xludf.DUMMYFUNCTION("""COMPUTED_VALUE"""),"Prospect")</f>
        <v>Prospect</v>
      </c>
      <c r="B495" s="55" t="str">
        <f>IFERROR(__xludf.DUMMYFUNCTION("""COMPUTED_VALUE"""),"RSC004879")</f>
        <v>RSC004879</v>
      </c>
      <c r="C495" s="60" t="str">
        <f>IFERROR(__xludf.DUMMYFUNCTION("""COMPUTED_VALUE"""),"DefNotMongo.")</f>
        <v>DefNotMongo.</v>
      </c>
      <c r="D495" s="54" t="str">
        <f>IFERROR(__xludf.DUMMYFUNCTION("""COMPUTED_VALUE"""),"Skeletons
Turbulence")</f>
        <v>Skeletons
Turbulence</v>
      </c>
      <c r="E495" s="55" t="str">
        <f>IFERROR(__xludf.DUMMYFUNCTION("""COMPUTED_VALUE"""),"N/A
N/A")</f>
        <v>N/A
N/A</v>
      </c>
      <c r="F495" s="56">
        <f>IFERROR(__xludf.DUMMYFUNCTION("""COMPUTED_VALUE"""),38.11333602039092)</f>
        <v>38.11333602</v>
      </c>
      <c r="G495" s="57">
        <f>IFERROR(__xludf.DUMMYFUNCTION("""COMPUTED_VALUE"""),21.0)</f>
        <v>21</v>
      </c>
      <c r="H495" s="58">
        <f>IFERROR(__xludf.DUMMYFUNCTION("iferror(if(B495="""", ,filter('IDR Import'!D:D,'IDR Import'!A:A=B495,'IDR Import'!C:C=A495)),)"),33.1792268784332)</f>
        <v>33.17922688</v>
      </c>
      <c r="I495" s="58">
        <v>35.64628144941206</v>
      </c>
      <c r="J495" s="59">
        <f t="shared" si="1"/>
        <v>21</v>
      </c>
    </row>
    <row r="496">
      <c r="A496" s="55" t="str">
        <f>IFERROR(__xludf.DUMMYFUNCTION("""COMPUTED_VALUE"""),"Prospect")</f>
        <v>Prospect</v>
      </c>
      <c r="B496" s="55" t="str">
        <f>IFERROR(__xludf.DUMMYFUNCTION("""COMPUTED_VALUE"""),"RSC005974")</f>
        <v>RSC005974</v>
      </c>
      <c r="C496" s="60" t="str">
        <f>IFERROR(__xludf.DUMMYFUNCTION("""COMPUTED_VALUE"""),"Angry-Hermit")</f>
        <v>Angry-Hermit</v>
      </c>
      <c r="D496" s="54" t="str">
        <f>IFERROR(__xludf.DUMMYFUNCTION("""COMPUTED_VALUE"""),"Turbulence")</f>
        <v>Turbulence</v>
      </c>
      <c r="E496" s="55" t="str">
        <f>IFERROR(__xludf.DUMMYFUNCTION("""COMPUTED_VALUE"""),"N/A")</f>
        <v>N/A</v>
      </c>
      <c r="F496" s="56">
        <f>IFERROR(__xludf.DUMMYFUNCTION("""COMPUTED_VALUE"""),36.49373421183563)</f>
        <v>36.49373421</v>
      </c>
      <c r="G496" s="57">
        <f>IFERROR(__xludf.DUMMYFUNCTION("""COMPUTED_VALUE"""),36.0)</f>
        <v>36</v>
      </c>
      <c r="H496" s="58">
        <f>IFERROR(__xludf.DUMMYFUNCTION("iferror(if(B496="""", ,filter('IDR Import'!D:D,'IDR Import'!A:A=B496,'IDR Import'!C:C=A496)),)"),35.11449393600799)</f>
        <v>35.11449394</v>
      </c>
      <c r="I496" s="58">
        <v>35.80411407392181</v>
      </c>
      <c r="J496" s="59">
        <f t="shared" si="1"/>
        <v>36</v>
      </c>
    </row>
    <row r="497">
      <c r="A497" s="55" t="str">
        <f>IFERROR(__xludf.DUMMYFUNCTION("""COMPUTED_VALUE"""),"Prospect")</f>
        <v>Prospect</v>
      </c>
      <c r="B497" s="55" t="str">
        <f>IFERROR(__xludf.DUMMYFUNCTION("""COMPUTED_VALUE"""),"RSC006439")</f>
        <v>RSC006439</v>
      </c>
      <c r="C497" s="60" t="str">
        <f>IFERROR(__xludf.DUMMYFUNCTION("""COMPUTED_VALUE"""),"S E L.")</f>
        <v>S E L.</v>
      </c>
      <c r="D497" s="54" t="str">
        <f>IFERROR(__xludf.DUMMYFUNCTION("""COMPUTED_VALUE"""),"Hawaiian Pizza")</f>
        <v>Hawaiian Pizza</v>
      </c>
      <c r="E497" s="55" t="str">
        <f>IFERROR(__xludf.DUMMYFUNCTION("""COMPUTED_VALUE"""),"N/A")</f>
        <v>N/A</v>
      </c>
      <c r="F497" s="56">
        <f>IFERROR(__xludf.DUMMYFUNCTION("""COMPUTED_VALUE"""),36.47716076809229)</f>
        <v>36.47716077</v>
      </c>
      <c r="G497" s="57">
        <f>IFERROR(__xludf.DUMMYFUNCTION("""COMPUTED_VALUE"""),37.0)</f>
        <v>37</v>
      </c>
      <c r="H497" s="58">
        <f>IFERROR(__xludf.DUMMYFUNCTION("iferror(if(B497="""", ,filter('IDR Import'!D:D,'IDR Import'!A:A=B497,'IDR Import'!C:C=A497)),)"),41.56191668313326)</f>
        <v>41.56191668</v>
      </c>
      <c r="I497" s="58">
        <v>39.019538725612776</v>
      </c>
      <c r="J497" s="59">
        <f t="shared" si="1"/>
        <v>37</v>
      </c>
    </row>
    <row r="498">
      <c r="A498" s="55" t="str">
        <f>IFERROR(__xludf.DUMMYFUNCTION("""COMPUTED_VALUE"""),"Prospect")</f>
        <v>Prospect</v>
      </c>
      <c r="B498" s="55" t="str">
        <f>IFERROR(__xludf.DUMMYFUNCTION("""COMPUTED_VALUE"""),"RSC007874")</f>
        <v>RSC007874</v>
      </c>
      <c r="C498" s="60" t="str">
        <f>IFERROR(__xludf.DUMMYFUNCTION("""COMPUTED_VALUE"""),"Salty Num Num")</f>
        <v>Salty Num Num</v>
      </c>
      <c r="D498" s="54" t="str">
        <f>IFERROR(__xludf.DUMMYFUNCTION("""COMPUTED_VALUE"""),"Skeletons")</f>
        <v>Skeletons</v>
      </c>
      <c r="E498" s="55" t="str">
        <f>IFERROR(__xludf.DUMMYFUNCTION("""COMPUTED_VALUE"""),"N/A")</f>
        <v>N/A</v>
      </c>
      <c r="F498" s="56">
        <f>IFERROR(__xludf.DUMMYFUNCTION("""COMPUTED_VALUE"""),36.20937438071534)</f>
        <v>36.20937438</v>
      </c>
      <c r="G498" s="57">
        <f>IFERROR(__xludf.DUMMYFUNCTION("""COMPUTED_VALUE"""),19.0)</f>
        <v>19</v>
      </c>
      <c r="H498" s="58">
        <f>IFERROR(__xludf.DUMMYFUNCTION("iferror(if(B498="""", ,filter('IDR Import'!D:D,'IDR Import'!A:A=B498,'IDR Import'!C:C=A498)),)"),13.842964547231148)</f>
        <v>13.84296455</v>
      </c>
      <c r="I498" s="58">
        <v>25.026169463973243</v>
      </c>
      <c r="J498" s="59">
        <f t="shared" si="1"/>
        <v>19</v>
      </c>
    </row>
    <row r="499">
      <c r="A499" s="55" t="str">
        <f>IFERROR(__xludf.DUMMYFUNCTION("""COMPUTED_VALUE"""),"Prospect")</f>
        <v>Prospect</v>
      </c>
      <c r="B499" s="55" t="str">
        <f>IFERROR(__xludf.DUMMYFUNCTION("""COMPUTED_VALUE"""),"RSC007464")</f>
        <v>RSC007464</v>
      </c>
      <c r="C499" s="60" t="str">
        <f>IFERROR(__xludf.DUMMYFUNCTION("""COMPUTED_VALUE"""),"MoonKnight2")</f>
        <v>MoonKnight2</v>
      </c>
      <c r="D499" s="54" t="str">
        <f>IFERROR(__xludf.DUMMYFUNCTION("""COMPUTED_VALUE"""),"Honey Badgers")</f>
        <v>Honey Badgers</v>
      </c>
      <c r="E499" s="55" t="str">
        <f>IFERROR(__xludf.DUMMYFUNCTION("""COMPUTED_VALUE"""),"N/A")</f>
        <v>N/A</v>
      </c>
      <c r="F499" s="56">
        <f>IFERROR(__xludf.DUMMYFUNCTION("""COMPUTED_VALUE"""),35.86807243393539)</f>
        <v>35.86807243</v>
      </c>
      <c r="G499" s="57">
        <f>IFERROR(__xludf.DUMMYFUNCTION("""COMPUTED_VALUE"""),42.0)</f>
        <v>42</v>
      </c>
      <c r="H499" s="58">
        <f>IFERROR(__xludf.DUMMYFUNCTION("iferror(if(B499="""", ,filter('IDR Import'!D:D,'IDR Import'!A:A=B499,'IDR Import'!C:C=A499)),)"),40.66067932262952)</f>
        <v>40.66067932</v>
      </c>
      <c r="I499" s="58">
        <v>38.26437587828245</v>
      </c>
      <c r="J499" s="59">
        <f t="shared" si="1"/>
        <v>42</v>
      </c>
    </row>
    <row r="500">
      <c r="A500" s="55" t="str">
        <f>IFERROR(__xludf.DUMMYFUNCTION("""COMPUTED_VALUE"""),"Prospect")</f>
        <v>Prospect</v>
      </c>
      <c r="B500" s="55" t="str">
        <f>IFERROR(__xludf.DUMMYFUNCTION("""COMPUTED_VALUE"""),"RSC006461")</f>
        <v>RSC006461</v>
      </c>
      <c r="C500" s="60" t="str">
        <f>IFERROR(__xludf.DUMMYFUNCTION("""COMPUTED_VALUE"""),"Cynical89")</f>
        <v>Cynical89</v>
      </c>
      <c r="D500" s="54" t="str">
        <f>IFERROR(__xludf.DUMMYFUNCTION("""COMPUTED_VALUE"""),"Tanuki")</f>
        <v>Tanuki</v>
      </c>
      <c r="E500" s="55" t="str">
        <f>IFERROR(__xludf.DUMMYFUNCTION("""COMPUTED_VALUE"""),"N/A")</f>
        <v>N/A</v>
      </c>
      <c r="F500" s="56">
        <f>IFERROR(__xludf.DUMMYFUNCTION("""COMPUTED_VALUE"""),35.58562187067084)</f>
        <v>35.58562187</v>
      </c>
      <c r="G500" s="57">
        <f>IFERROR(__xludf.DUMMYFUNCTION("""COMPUTED_VALUE"""),49.0)</f>
        <v>49</v>
      </c>
      <c r="H500" s="58">
        <f>IFERROR(__xludf.DUMMYFUNCTION("iferror(if(B500="""", ,filter('IDR Import'!D:D,'IDR Import'!A:A=B500,'IDR Import'!C:C=A500)),)"),28.85054360480925)</f>
        <v>28.8505436</v>
      </c>
      <c r="I500" s="58">
        <v>32.21808273774005</v>
      </c>
      <c r="J500" s="59">
        <f t="shared" si="1"/>
        <v>49</v>
      </c>
    </row>
    <row r="501">
      <c r="A501" s="55" t="str">
        <f>IFERROR(__xludf.DUMMYFUNCTION("""COMPUTED_VALUE"""),"Prospect")</f>
        <v>Prospect</v>
      </c>
      <c r="B501" s="55" t="str">
        <f>IFERROR(__xludf.DUMMYFUNCTION("""COMPUTED_VALUE"""),"RSC000989")</f>
        <v>RSC000989</v>
      </c>
      <c r="C501" s="60" t="str">
        <f>IFERROR(__xludf.DUMMYFUNCTION("""COMPUTED_VALUE"""),"Piky Life88")</f>
        <v>Piky Life88</v>
      </c>
      <c r="D501" s="54" t="str">
        <f>IFERROR(__xludf.DUMMYFUNCTION("""COMPUTED_VALUE"""),"Earth")</f>
        <v>Earth</v>
      </c>
      <c r="E501" s="55" t="str">
        <f>IFERROR(__xludf.DUMMYFUNCTION("""COMPUTED_VALUE"""),"N/A")</f>
        <v>N/A</v>
      </c>
      <c r="F501" s="56">
        <f>IFERROR(__xludf.DUMMYFUNCTION("""COMPUTED_VALUE"""),28.938011586759664)</f>
        <v>28.93801159</v>
      </c>
      <c r="G501" s="57">
        <f>IFERROR(__xludf.DUMMYFUNCTION("""COMPUTED_VALUE"""),31.0)</f>
        <v>31</v>
      </c>
      <c r="H501" s="58">
        <f>IFERROR(__xludf.DUMMYFUNCTION("iferror(if(B501="""", ,filter('IDR Import'!D:D,'IDR Import'!A:A=B501,'IDR Import'!C:C=A501)),)"),39.437536607350395)</f>
        <v>39.43753661</v>
      </c>
      <c r="I501" s="58">
        <v>34.187774097055026</v>
      </c>
      <c r="J501" s="59">
        <f t="shared" si="1"/>
        <v>31</v>
      </c>
    </row>
    <row r="502">
      <c r="A502" s="55" t="str">
        <f>IFERROR(__xludf.DUMMYFUNCTION("""COMPUTED_VALUE"""),"Prospect")</f>
        <v>Prospect</v>
      </c>
      <c r="B502" s="55" t="str">
        <f>IFERROR(__xludf.DUMMYFUNCTION("""COMPUTED_VALUE"""),"RSC006422")</f>
        <v>RSC006422</v>
      </c>
      <c r="C502" s="60" t="str">
        <f>IFERROR(__xludf.DUMMYFUNCTION("""COMPUTED_VALUE"""),"HuggingThor")</f>
        <v>HuggingThor</v>
      </c>
      <c r="D502" s="54" t="str">
        <f>IFERROR(__xludf.DUMMYFUNCTION("""COMPUTED_VALUE"""),"Blacktips
Tic Tacs")</f>
        <v>Blacktips
Tic Tacs</v>
      </c>
      <c r="E502" s="55" t="str">
        <f>IFERROR(__xludf.DUMMYFUNCTION("""COMPUTED_VALUE"""),"N/A
N/A")</f>
        <v>N/A
N/A</v>
      </c>
      <c r="F502" s="56">
        <f>IFERROR(__xludf.DUMMYFUNCTION("""COMPUTED_VALUE"""),28.578342374714687)</f>
        <v>28.57834237</v>
      </c>
      <c r="G502" s="57">
        <f>IFERROR(__xludf.DUMMYFUNCTION("""COMPUTED_VALUE"""),5.0)</f>
        <v>5</v>
      </c>
      <c r="H502" s="58">
        <f>IFERROR(__xludf.DUMMYFUNCTION("iferror(if(B502="""", ,filter('IDR Import'!D:D,'IDR Import'!A:A=B502,'IDR Import'!C:C=A502)),)"),8.985546469680322)</f>
        <v>8.98554647</v>
      </c>
      <c r="I502" s="58">
        <v>18.781944422197505</v>
      </c>
      <c r="J502" s="59">
        <f t="shared" si="1"/>
        <v>5</v>
      </c>
    </row>
    <row r="503">
      <c r="A503" s="55" t="str">
        <f>IFERROR(__xludf.DUMMYFUNCTION("""COMPUTED_VALUE"""),"Prospect")</f>
        <v>Prospect</v>
      </c>
      <c r="B503" s="55" t="str">
        <f>IFERROR(__xludf.DUMMYFUNCTION("""COMPUTED_VALUE"""),"RSC005714")</f>
        <v>RSC005714</v>
      </c>
      <c r="C503" s="60" t="str">
        <f>IFERROR(__xludf.DUMMYFUNCTION("""COMPUTED_VALUE"""),"T_i_m_o_g")</f>
        <v>T_i_m_o_g</v>
      </c>
      <c r="D503" s="54" t="str">
        <f>IFERROR(__xludf.DUMMYFUNCTION("""COMPUTED_VALUE"""),"Principales")</f>
        <v>Principales</v>
      </c>
      <c r="E503" s="55" t="str">
        <f>IFERROR(__xludf.DUMMYFUNCTION("""COMPUTED_VALUE"""),"N/A")</f>
        <v>N/A</v>
      </c>
      <c r="F503" s="56">
        <f>IFERROR(__xludf.DUMMYFUNCTION("""COMPUTED_VALUE"""),28.066884980407313)</f>
        <v>28.06688498</v>
      </c>
      <c r="G503" s="57">
        <f>IFERROR(__xludf.DUMMYFUNCTION("""COMPUTED_VALUE"""),41.0)</f>
        <v>41</v>
      </c>
      <c r="H503" s="58">
        <f>IFERROR(__xludf.DUMMYFUNCTION("iferror(if(B503="""", ,filter('IDR Import'!D:D,'IDR Import'!A:A=B503,'IDR Import'!C:C=A503)),)"),28.358346072336293)</f>
        <v>28.35834607</v>
      </c>
      <c r="I503" s="58">
        <v>28.212615526371803</v>
      </c>
      <c r="J503" s="59">
        <f t="shared" si="1"/>
        <v>41</v>
      </c>
    </row>
    <row r="504">
      <c r="A504" s="55" t="str">
        <f>IFERROR(__xludf.DUMMYFUNCTION("""COMPUTED_VALUE"""),"Prospect")</f>
        <v>Prospect</v>
      </c>
      <c r="B504" s="55" t="str">
        <f>IFERROR(__xludf.DUMMYFUNCTION("""COMPUTED_VALUE"""),"RSC007918")</f>
        <v>RSC007918</v>
      </c>
      <c r="C504" s="60" t="str">
        <f>IFERROR(__xludf.DUMMYFUNCTION("""COMPUTED_VALUE"""),"TheBLKBoy")</f>
        <v>TheBLKBoy</v>
      </c>
      <c r="D504" s="54" t="str">
        <f>IFERROR(__xludf.DUMMYFUNCTION("""COMPUTED_VALUE"""),"Tic Tacs
Skeletons")</f>
        <v>Tic Tacs
Skeletons</v>
      </c>
      <c r="E504" s="55" t="str">
        <f>IFERROR(__xludf.DUMMYFUNCTION("""COMPUTED_VALUE"""),"N/A
N/A")</f>
        <v>N/A
N/A</v>
      </c>
      <c r="F504" s="56">
        <f>IFERROR(__xludf.DUMMYFUNCTION("""COMPUTED_VALUE"""),27.601644976579355)</f>
        <v>27.60164498</v>
      </c>
      <c r="G504" s="57">
        <f>IFERROR(__xludf.DUMMYFUNCTION("""COMPUTED_VALUE"""),33.0)</f>
        <v>33</v>
      </c>
      <c r="H504" s="58">
        <f>IFERROR(__xludf.DUMMYFUNCTION("iferror(if(B504="""", ,filter('IDR Import'!D:D,'IDR Import'!A:A=B504,'IDR Import'!C:C=A504)),)"),16.5225155961557)</f>
        <v>16.5225156</v>
      </c>
      <c r="I504" s="58">
        <v>22.062080286367525</v>
      </c>
      <c r="J504" s="59">
        <f t="shared" si="1"/>
        <v>33</v>
      </c>
    </row>
    <row r="505">
      <c r="A505" s="55" t="str">
        <f>IFERROR(__xludf.DUMMYFUNCTION("""COMPUTED_VALUE"""),"Prospect")</f>
        <v>Prospect</v>
      </c>
      <c r="B505" s="55" t="str">
        <f>IFERROR(__xludf.DUMMYFUNCTION("""COMPUTED_VALUE"""),"RSC008379")</f>
        <v>RSC008379</v>
      </c>
      <c r="C505" s="60" t="str">
        <f>IFERROR(__xludf.DUMMYFUNCTION("""COMPUTED_VALUE"""),"Caiman")</f>
        <v>Caiman</v>
      </c>
      <c r="D505" s="54" t="str">
        <f>IFERROR(__xludf.DUMMYFUNCTION("""COMPUTED_VALUE"""),"Piranhas")</f>
        <v>Piranhas</v>
      </c>
      <c r="E505" s="55" t="str">
        <f>IFERROR(__xludf.DUMMYFUNCTION("""COMPUTED_VALUE"""),"N/A")</f>
        <v>N/A</v>
      </c>
      <c r="F505" s="56">
        <f>IFERROR(__xludf.DUMMYFUNCTION("""COMPUTED_VALUE"""),27.493595567984944)</f>
        <v>27.49359557</v>
      </c>
      <c r="G505" s="57">
        <f>IFERROR(__xludf.DUMMYFUNCTION("""COMPUTED_VALUE"""),38.0)</f>
        <v>38</v>
      </c>
      <c r="H505" s="58">
        <f>IFERROR(__xludf.DUMMYFUNCTION("iferror(if(B505="""", ,filter('IDR Import'!D:D,'IDR Import'!A:A=B505,'IDR Import'!C:C=A505)),)"),31.316745886227032)</f>
        <v>31.31674589</v>
      </c>
      <c r="I505" s="58">
        <v>29.40517072710599</v>
      </c>
      <c r="J505" s="59">
        <f t="shared" si="1"/>
        <v>38</v>
      </c>
    </row>
    <row r="506">
      <c r="A506" s="55" t="str">
        <f>IFERROR(__xludf.DUMMYFUNCTION("""COMPUTED_VALUE"""),"Prospect")</f>
        <v>Prospect</v>
      </c>
      <c r="B506" s="55" t="str">
        <f>IFERROR(__xludf.DUMMYFUNCTION("""COMPUTED_VALUE"""),"RSC008435")</f>
        <v>RSC008435</v>
      </c>
      <c r="C506" s="60" t="str">
        <f>IFERROR(__xludf.DUMMYFUNCTION("""COMPUTED_VALUE"""),"ReformedMike")</f>
        <v>ReformedMike</v>
      </c>
      <c r="D506" s="54" t="str">
        <f>IFERROR(__xludf.DUMMYFUNCTION("""COMPUTED_VALUE"""),"Skeletons")</f>
        <v>Skeletons</v>
      </c>
      <c r="E506" s="55" t="str">
        <f>IFERROR(__xludf.DUMMYFUNCTION("""COMPUTED_VALUE"""),"N/A")</f>
        <v>N/A</v>
      </c>
      <c r="F506" s="56">
        <f>IFERROR(__xludf.DUMMYFUNCTION("""COMPUTED_VALUE"""),22.385123999506202)</f>
        <v>22.385124</v>
      </c>
      <c r="G506" s="57">
        <f>IFERROR(__xludf.DUMMYFUNCTION("""COMPUTED_VALUE"""),14.0)</f>
        <v>14</v>
      </c>
      <c r="H506" s="58">
        <f>IFERROR(__xludf.DUMMYFUNCTION("iferror(if(B506="""", ,filter('IDR Import'!D:D,'IDR Import'!A:A=B506,'IDR Import'!C:C=A506)),)"),13.550213617136684)</f>
        <v>13.55021362</v>
      </c>
      <c r="I506" s="58">
        <v>17.96766880832144</v>
      </c>
      <c r="J506" s="59">
        <f t="shared" si="1"/>
        <v>14</v>
      </c>
    </row>
    <row r="507">
      <c r="A507" s="55" t="str">
        <f>IFERROR(__xludf.DUMMYFUNCTION("""COMPUTED_VALUE"""),"Prospect")</f>
        <v>Prospect</v>
      </c>
      <c r="B507" s="55" t="str">
        <f>IFERROR(__xludf.DUMMYFUNCTION("""COMPUTED_VALUE"""),"RSC005527")</f>
        <v>RSC005527</v>
      </c>
      <c r="C507" s="60" t="str">
        <f>IFERROR(__xludf.DUMMYFUNCTION("""COMPUTED_VALUE"""),"Colossus4203316")</f>
        <v>Colossus4203316</v>
      </c>
      <c r="D507" s="54" t="str">
        <f>IFERROR(__xludf.DUMMYFUNCTION("""COMPUTED_VALUE"""),"Skeletons
Tic Tacs")</f>
        <v>Skeletons
Tic Tacs</v>
      </c>
      <c r="E507" s="55" t="str">
        <f>IFERROR(__xludf.DUMMYFUNCTION("""COMPUTED_VALUE"""),"N/A
N/A")</f>
        <v>N/A
N/A</v>
      </c>
      <c r="F507" s="56">
        <f>IFERROR(__xludf.DUMMYFUNCTION("""COMPUTED_VALUE"""),10.844929209950642)</f>
        <v>10.84492921</v>
      </c>
      <c r="G507" s="57">
        <f>IFERROR(__xludf.DUMMYFUNCTION("""COMPUTED_VALUE"""),40.0)</f>
        <v>40</v>
      </c>
      <c r="H507" s="58">
        <f>IFERROR(__xludf.DUMMYFUNCTION("iferror(if(B507="""", ,filter('IDR Import'!D:D,'IDR Import'!A:A=B507,'IDR Import'!C:C=A507)),)"),0.5023034372670452)</f>
        <v>0.5023034373</v>
      </c>
      <c r="I507" s="58">
        <v>5.673616323608844</v>
      </c>
      <c r="J507" s="59">
        <f t="shared" si="1"/>
        <v>40</v>
      </c>
    </row>
    <row r="508">
      <c r="A508" s="55" t="str">
        <f>IFERROR(__xludf.DUMMYFUNCTION("""COMPUTED_VALUE"""),"Prospect")</f>
        <v>Prospect</v>
      </c>
      <c r="B508" s="55" t="str">
        <f>IFERROR(__xludf.DUMMYFUNCTION("""COMPUTED_VALUE"""),"RSC006381")</f>
        <v>RSC006381</v>
      </c>
      <c r="C508" s="60" t="str">
        <f>IFERROR(__xludf.DUMMYFUNCTION("""COMPUTED_VALUE"""),"YERP_YERP02")</f>
        <v>YERP_YERP02</v>
      </c>
      <c r="D508" s="54" t="str">
        <f>IFERROR(__xludf.DUMMYFUNCTION("""COMPUTED_VALUE"""),"Piranhas
Honey Badgers")</f>
        <v>Piranhas
Honey Badgers</v>
      </c>
      <c r="E508" s="55" t="str">
        <f>IFERROR(__xludf.DUMMYFUNCTION("""COMPUTED_VALUE"""),"N/A
N/A")</f>
        <v>N/A
N/A</v>
      </c>
      <c r="F508" s="56">
        <f>IFERROR(__xludf.DUMMYFUNCTION("""COMPUTED_VALUE"""),6.552793763575309)</f>
        <v>6.552793764</v>
      </c>
      <c r="G508" s="57">
        <f>IFERROR(__xludf.DUMMYFUNCTION("""COMPUTED_VALUE"""),24.0)</f>
        <v>24</v>
      </c>
      <c r="H508" s="58">
        <f>IFERROR(__xludf.DUMMYFUNCTION("iferror(if(B508="""", ,filter('IDR Import'!D:D,'IDR Import'!A:A=B508,'IDR Import'!C:C=A508)),)"),6.092913241161568)</f>
        <v>6.092913241</v>
      </c>
      <c r="I508" s="58">
        <v>6.322853502368439</v>
      </c>
      <c r="J508" s="59">
        <f t="shared" si="1"/>
        <v>24</v>
      </c>
    </row>
    <row r="509">
      <c r="A509" s="55" t="str">
        <f>IFERROR(__xludf.DUMMYFUNCTION("""COMPUTED_VALUE"""),"Prospect")</f>
        <v>Prospect</v>
      </c>
      <c r="B509" s="55" t="str">
        <f>IFERROR(__xludf.DUMMYFUNCTION("""COMPUTED_VALUE"""),"RSC007513")</f>
        <v>RSC007513</v>
      </c>
      <c r="C509" s="60" t="str">
        <f>IFERROR(__xludf.DUMMYFUNCTION("""COMPUTED_VALUE"""),"Russ")</f>
        <v>Russ</v>
      </c>
      <c r="D509" s="54" t="str">
        <f>IFERROR(__xludf.DUMMYFUNCTION("""COMPUTED_VALUE"""),"Earth")</f>
        <v>Earth</v>
      </c>
      <c r="E509" s="55" t="str">
        <f>IFERROR(__xludf.DUMMYFUNCTION("""COMPUTED_VALUE"""),"N/A")</f>
        <v>N/A</v>
      </c>
      <c r="F509" s="56">
        <f>IFERROR(__xludf.DUMMYFUNCTION("""COMPUTED_VALUE"""),0.2581042308302983)</f>
        <v>0.2581042308</v>
      </c>
      <c r="G509" s="57">
        <f>IFERROR(__xludf.DUMMYFUNCTION("""COMPUTED_VALUE"""),19.0)</f>
        <v>19</v>
      </c>
      <c r="H509" s="58">
        <f>IFERROR(__xludf.DUMMYFUNCTION("iferror(if(B509="""", ,filter('IDR Import'!D:D,'IDR Import'!A:A=B509,'IDR Import'!C:C=A509)),)"),-5.368837991782904)</f>
        <v>-5.368837992</v>
      </c>
      <c r="I509" s="58">
        <v>-2.555366880476303</v>
      </c>
      <c r="J509" s="59">
        <f t="shared" si="1"/>
        <v>19</v>
      </c>
    </row>
    <row r="510">
      <c r="A510" s="55" t="str">
        <f>IFERROR(__xludf.DUMMYFUNCTION("""COMPUTED_VALUE"""),"Prospect")</f>
        <v>Prospect</v>
      </c>
      <c r="B510" s="55" t="str">
        <f>IFERROR(__xludf.DUMMYFUNCTION("""COMPUTED_VALUE"""),"RSC008126")</f>
        <v>RSC008126</v>
      </c>
      <c r="C510" s="60" t="str">
        <f>IFERROR(__xludf.DUMMYFUNCTION("""COMPUTED_VALUE"""),"Zuuhan")</f>
        <v>Zuuhan</v>
      </c>
      <c r="D510" s="54" t="str">
        <f>IFERROR(__xludf.DUMMYFUNCTION("""COMPUTED_VALUE"""),"Blacktips")</f>
        <v>Blacktips</v>
      </c>
      <c r="E510" s="55" t="str">
        <f>IFERROR(__xludf.DUMMYFUNCTION("""COMPUTED_VALUE"""),"N/A")</f>
        <v>N/A</v>
      </c>
      <c r="F510" s="56">
        <f>IFERROR(__xludf.DUMMYFUNCTION("""COMPUTED_VALUE"""),-10.232499099650418)</f>
        <v>-10.2324991</v>
      </c>
      <c r="G510" s="57">
        <f>IFERROR(__xludf.DUMMYFUNCTION("""COMPUTED_VALUE"""),9.0)</f>
        <v>9</v>
      </c>
      <c r="H510" s="58">
        <f>IFERROR(__xludf.DUMMYFUNCTION("iferror(if(B510="""", ,filter('IDR Import'!D:D,'IDR Import'!A:A=B510,'IDR Import'!C:C=A510)),)"),0.010697442460831041)</f>
        <v>0.01069744246</v>
      </c>
      <c r="I510" s="58">
        <v>-5.110900828594794</v>
      </c>
      <c r="J510" s="59">
        <f t="shared" si="1"/>
        <v>9</v>
      </c>
    </row>
    <row r="511">
      <c r="A511" s="55" t="str">
        <f>IFERROR(__xludf.DUMMYFUNCTION("""COMPUTED_VALUE"""),"Rival")</f>
        <v>Rival</v>
      </c>
      <c r="B511" s="55" t="str">
        <f>IFERROR(__xludf.DUMMYFUNCTION("""COMPUTED_VALUE"""),"RSC008249")</f>
        <v>RSC008249</v>
      </c>
      <c r="C511" s="60" t="str">
        <f>IFERROR(__xludf.DUMMYFUNCTION("""COMPUTED_VALUE"""),"imtobad00")</f>
        <v>imtobad00</v>
      </c>
      <c r="D511" s="54" t="str">
        <f>IFERROR(__xludf.DUMMYFUNCTION("""COMPUTED_VALUE"""),"Lightning")</f>
        <v>Lightning</v>
      </c>
      <c r="E511" s="55" t="str">
        <f>IFERROR(__xludf.DUMMYFUNCTION("""COMPUTED_VALUE"""),"Lunar")</f>
        <v>Lunar</v>
      </c>
      <c r="F511" s="56">
        <f>IFERROR(__xludf.DUMMYFUNCTION("""COMPUTED_VALUE"""),124.3094488056981)</f>
        <v>124.3094488</v>
      </c>
      <c r="G511" s="57">
        <f>IFERROR(__xludf.DUMMYFUNCTION("""COMPUTED_VALUE"""),2.0)</f>
        <v>2</v>
      </c>
      <c r="H511" s="58">
        <f>IFERROR(__xludf.DUMMYFUNCTION("iferror(if(B511="""", ,filter('IDR Import'!D:D,'IDR Import'!A:A=B511,'IDR Import'!C:C=A511)),)"),73.10476593448954)</f>
        <v>73.10476593</v>
      </c>
      <c r="I511" s="58">
        <v>98.70710737009381</v>
      </c>
      <c r="J511" s="59">
        <f t="shared" si="1"/>
        <v>2</v>
      </c>
    </row>
    <row r="512">
      <c r="A512" s="55" t="str">
        <f>IFERROR(__xludf.DUMMYFUNCTION("""COMPUTED_VALUE"""),"Rival")</f>
        <v>Rival</v>
      </c>
      <c r="B512" s="55" t="str">
        <f>IFERROR(__xludf.DUMMYFUNCTION("""COMPUTED_VALUE"""),"RSC006733")</f>
        <v>RSC006733</v>
      </c>
      <c r="C512" s="60" t="str">
        <f>IFERROR(__xludf.DUMMYFUNCTION("""COMPUTED_VALUE"""),"RL Rust")</f>
        <v>RL Rust</v>
      </c>
      <c r="D512" s="54" t="str">
        <f>IFERROR(__xludf.DUMMYFUNCTION("""COMPUTED_VALUE"""),"Primo")</f>
        <v>Primo</v>
      </c>
      <c r="E512" s="55" t="str">
        <f>IFERROR(__xludf.DUMMYFUNCTION("""COMPUTED_VALUE"""),"Solar")</f>
        <v>Solar</v>
      </c>
      <c r="F512" s="56">
        <f>IFERROR(__xludf.DUMMYFUNCTION("""COMPUTED_VALUE"""),102.44462353152053)</f>
        <v>102.4446235</v>
      </c>
      <c r="G512" s="57">
        <f>IFERROR(__xludf.DUMMYFUNCTION("""COMPUTED_VALUE"""),56.0)</f>
        <v>56</v>
      </c>
      <c r="H512" s="58">
        <f>IFERROR(__xludf.DUMMYFUNCTION("iferror(if(B512="""", ,filter('IDR Import'!D:D,'IDR Import'!A:A=B512,'IDR Import'!C:C=A512)),)"),99.22757585743952)</f>
        <v>99.22757586</v>
      </c>
      <c r="I512" s="58">
        <v>100.83609969448003</v>
      </c>
      <c r="J512" s="59">
        <f t="shared" si="1"/>
        <v>56</v>
      </c>
    </row>
    <row r="513">
      <c r="A513" s="55" t="str">
        <f>IFERROR(__xludf.DUMMYFUNCTION("""COMPUTED_VALUE"""),"Rival")</f>
        <v>Rival</v>
      </c>
      <c r="B513" s="55" t="str">
        <f>IFERROR(__xludf.DUMMYFUNCTION("""COMPUTED_VALUE"""),"RSC008440")</f>
        <v>RSC008440</v>
      </c>
      <c r="C513" s="60" t="str">
        <f>IFERROR(__xludf.DUMMYFUNCTION("""COMPUTED_VALUE"""),"Keriel_Cereal")</f>
        <v>Keriel_Cereal</v>
      </c>
      <c r="D513" s="54" t="str">
        <f>IFERROR(__xludf.DUMMYFUNCTION("""COMPUTED_VALUE"""),"Hippos")</f>
        <v>Hippos</v>
      </c>
      <c r="E513" s="55" t="str">
        <f>IFERROR(__xludf.DUMMYFUNCTION("""COMPUTED_VALUE"""),"Lunar")</f>
        <v>Lunar</v>
      </c>
      <c r="F513" s="56">
        <f>IFERROR(__xludf.DUMMYFUNCTION("""COMPUTED_VALUE"""),94.34579739638225)</f>
        <v>94.3457974</v>
      </c>
      <c r="G513" s="57">
        <f>IFERROR(__xludf.DUMMYFUNCTION("""COMPUTED_VALUE"""),56.0)</f>
        <v>56</v>
      </c>
      <c r="H513" s="58">
        <f>IFERROR(__xludf.DUMMYFUNCTION("iferror(if(B513="""", ,filter('IDR Import'!D:D,'IDR Import'!A:A=B513,'IDR Import'!C:C=A513)),)"),90.54872376329169)</f>
        <v>90.54872376</v>
      </c>
      <c r="I513" s="58">
        <v>92.44726057983698</v>
      </c>
      <c r="J513" s="59">
        <f t="shared" si="1"/>
        <v>56</v>
      </c>
    </row>
    <row r="514">
      <c r="A514" s="55" t="str">
        <f>IFERROR(__xludf.DUMMYFUNCTION("""COMPUTED_VALUE"""),"Rival")</f>
        <v>Rival</v>
      </c>
      <c r="B514" s="55" t="str">
        <f>IFERROR(__xludf.DUMMYFUNCTION("""COMPUTED_VALUE"""),"RSC007035")</f>
        <v>RSC007035</v>
      </c>
      <c r="C514" s="60" t="str">
        <f>IFERROR(__xludf.DUMMYFUNCTION("""COMPUTED_VALUE"""),"swah-")</f>
        <v>swah-</v>
      </c>
      <c r="D514" s="54" t="str">
        <f>IFERROR(__xludf.DUMMYFUNCTION("""COMPUTED_VALUE"""),"Phoenix")</f>
        <v>Phoenix</v>
      </c>
      <c r="E514" s="55" t="str">
        <f>IFERROR(__xludf.DUMMYFUNCTION("""COMPUTED_VALUE"""),"Solar")</f>
        <v>Solar</v>
      </c>
      <c r="F514" s="56">
        <f>IFERROR(__xludf.DUMMYFUNCTION("""COMPUTED_VALUE"""),93.67255446281067)</f>
        <v>93.67255446</v>
      </c>
      <c r="G514" s="57">
        <f>IFERROR(__xludf.DUMMYFUNCTION("""COMPUTED_VALUE"""),35.0)</f>
        <v>35</v>
      </c>
      <c r="H514" s="58">
        <f>IFERROR(__xludf.DUMMYFUNCTION("iferror(if(B514="""", ,filter('IDR Import'!D:D,'IDR Import'!A:A=B514,'IDR Import'!C:C=A514)),)"),110.36332254384078)</f>
        <v>110.3633225</v>
      </c>
      <c r="I514" s="58">
        <v>102.01793850332572</v>
      </c>
      <c r="J514" s="59">
        <f t="shared" si="1"/>
        <v>35</v>
      </c>
    </row>
    <row r="515">
      <c r="A515" s="55" t="str">
        <f>IFERROR(__xludf.DUMMYFUNCTION("""COMPUTED_VALUE"""),"Rival")</f>
        <v>Rival</v>
      </c>
      <c r="B515" s="55" t="str">
        <f>IFERROR(__xludf.DUMMYFUNCTION("""COMPUTED_VALUE"""),"RSC007317")</f>
        <v>RSC007317</v>
      </c>
      <c r="C515" s="60" t="str">
        <f>IFERROR(__xludf.DUMMYFUNCTION("""COMPUTED_VALUE"""),"TheDarkHero77")</f>
        <v>TheDarkHero77</v>
      </c>
      <c r="D515" s="54" t="str">
        <f>IFERROR(__xludf.DUMMYFUNCTION("""COMPUTED_VALUE"""),"Tax Evaders
Asiago Arsonists")</f>
        <v>Tax Evaders
Asiago Arsonists</v>
      </c>
      <c r="E515" s="55" t="str">
        <f>IFERROR(__xludf.DUMMYFUNCTION("""COMPUTED_VALUE"""),"Lunar
Lunar")</f>
        <v>Lunar
Lunar</v>
      </c>
      <c r="F515" s="56">
        <f>IFERROR(__xludf.DUMMYFUNCTION("""COMPUTED_VALUE"""),91.79893072352893)</f>
        <v>91.79893072</v>
      </c>
      <c r="G515" s="57">
        <f>IFERROR(__xludf.DUMMYFUNCTION("""COMPUTED_VALUE"""),52.0)</f>
        <v>52</v>
      </c>
      <c r="H515" s="58">
        <f>IFERROR(__xludf.DUMMYFUNCTION("iferror(if(B515="""", ,filter('IDR Import'!D:D,'IDR Import'!A:A=B515,'IDR Import'!C:C=A515)),)"),87.33692284065688)</f>
        <v>87.33692284</v>
      </c>
      <c r="I515" s="58">
        <v>89.56792678209291</v>
      </c>
      <c r="J515" s="59">
        <f t="shared" si="1"/>
        <v>52</v>
      </c>
    </row>
    <row r="516">
      <c r="A516" s="55" t="str">
        <f>IFERROR(__xludf.DUMMYFUNCTION("""COMPUTED_VALUE"""),"Rival")</f>
        <v>Rival</v>
      </c>
      <c r="B516" s="55" t="str">
        <f>IFERROR(__xludf.DUMMYFUNCTION("""COMPUTED_VALUE"""),"RSC000156")</f>
        <v>RSC000156</v>
      </c>
      <c r="C516" s="60" t="str">
        <f>IFERROR(__xludf.DUMMYFUNCTION("""COMPUTED_VALUE"""),"Drupenson")</f>
        <v>Drupenson</v>
      </c>
      <c r="D516" s="54" t="str">
        <f>IFERROR(__xludf.DUMMYFUNCTION("""COMPUTED_VALUE"""),"Hue Heroes")</f>
        <v>Hue Heroes</v>
      </c>
      <c r="E516" s="55" t="str">
        <f>IFERROR(__xludf.DUMMYFUNCTION("""COMPUTED_VALUE"""),"Solar")</f>
        <v>Solar</v>
      </c>
      <c r="F516" s="56">
        <f>IFERROR(__xludf.DUMMYFUNCTION("""COMPUTED_VALUE"""),89.11918702619542)</f>
        <v>89.11918703</v>
      </c>
      <c r="G516" s="57">
        <f>IFERROR(__xludf.DUMMYFUNCTION("""COMPUTED_VALUE"""),39.0)</f>
        <v>39</v>
      </c>
      <c r="H516" s="58">
        <f>IFERROR(__xludf.DUMMYFUNCTION("iferror(if(B516="""", ,filter('IDR Import'!D:D,'IDR Import'!A:A=B516,'IDR Import'!C:C=A516)),)"),91.96264452512509)</f>
        <v>91.96264453</v>
      </c>
      <c r="I516" s="58">
        <v>90.54091577566025</v>
      </c>
      <c r="J516" s="59">
        <f t="shared" si="1"/>
        <v>39</v>
      </c>
    </row>
    <row r="517">
      <c r="A517" s="55" t="str">
        <f>IFERROR(__xludf.DUMMYFUNCTION("""COMPUTED_VALUE"""),"Rival")</f>
        <v>Rival</v>
      </c>
      <c r="B517" s="55" t="str">
        <f>IFERROR(__xludf.DUMMYFUNCTION("""COMPUTED_VALUE"""),"RSC008582")</f>
        <v>RSC008582</v>
      </c>
      <c r="C517" s="60" t="str">
        <f>IFERROR(__xludf.DUMMYFUNCTION("""COMPUTED_VALUE"""),"ZeXeR-_-")</f>
        <v>ZeXeR-_-</v>
      </c>
      <c r="D517" s="54" t="str">
        <f>IFERROR(__xludf.DUMMYFUNCTION("""COMPUTED_VALUE"""),"Ocelots")</f>
        <v>Ocelots</v>
      </c>
      <c r="E517" s="55" t="str">
        <f>IFERROR(__xludf.DUMMYFUNCTION("""COMPUTED_VALUE"""),"Solar")</f>
        <v>Solar</v>
      </c>
      <c r="F517" s="56">
        <f>IFERROR(__xludf.DUMMYFUNCTION("""COMPUTED_VALUE"""),84.82789574338068)</f>
        <v>84.82789574</v>
      </c>
      <c r="G517" s="57">
        <f>IFERROR(__xludf.DUMMYFUNCTION("""COMPUTED_VALUE"""),4.0)</f>
        <v>4</v>
      </c>
      <c r="H517" s="58">
        <f>IFERROR(__xludf.DUMMYFUNCTION("iferror(if(B517="""", ,filter('IDR Import'!D:D,'IDR Import'!A:A=B517,'IDR Import'!C:C=A517)),)"),85.09255587783242)</f>
        <v>85.09255588</v>
      </c>
      <c r="I517" s="58">
        <v>84.96022581060654</v>
      </c>
      <c r="J517" s="59">
        <f t="shared" si="1"/>
        <v>4</v>
      </c>
    </row>
    <row r="518">
      <c r="A518" s="55" t="str">
        <f>IFERROR(__xludf.DUMMYFUNCTION("""COMPUTED_VALUE"""),"Rival")</f>
        <v>Rival</v>
      </c>
      <c r="B518" s="55" t="str">
        <f>IFERROR(__xludf.DUMMYFUNCTION("""COMPUTED_VALUE"""),"RSC005703")</f>
        <v>RSC005703</v>
      </c>
      <c r="C518" s="60" t="str">
        <f>IFERROR(__xludf.DUMMYFUNCTION("""COMPUTED_VALUE"""),"ShoddyWolfman")</f>
        <v>ShoddyWolfman</v>
      </c>
      <c r="D518" s="54" t="str">
        <f>IFERROR(__xludf.DUMMYFUNCTION("""COMPUTED_VALUE"""),"Scramjets")</f>
        <v>Scramjets</v>
      </c>
      <c r="E518" s="55" t="str">
        <f>IFERROR(__xludf.DUMMYFUNCTION("""COMPUTED_VALUE"""),"Lunar")</f>
        <v>Lunar</v>
      </c>
      <c r="F518" s="56">
        <f>IFERROR(__xludf.DUMMYFUNCTION("""COMPUTED_VALUE"""),82.82262260747288)</f>
        <v>82.82262261</v>
      </c>
      <c r="G518" s="57">
        <f>IFERROR(__xludf.DUMMYFUNCTION("""COMPUTED_VALUE"""),54.0)</f>
        <v>54</v>
      </c>
      <c r="H518" s="58">
        <f>IFERROR(__xludf.DUMMYFUNCTION("iferror(if(B518="""", ,filter('IDR Import'!D:D,'IDR Import'!A:A=B518,'IDR Import'!C:C=A518)),)"),91.32283028911525)</f>
        <v>91.32283029</v>
      </c>
      <c r="I518" s="58">
        <v>87.07272644829406</v>
      </c>
      <c r="J518" s="59">
        <f t="shared" si="1"/>
        <v>54</v>
      </c>
    </row>
    <row r="519">
      <c r="A519" s="55" t="str">
        <f>IFERROR(__xludf.DUMMYFUNCTION("""COMPUTED_VALUE"""),"Rival")</f>
        <v>Rival</v>
      </c>
      <c r="B519" s="55" t="str">
        <f>IFERROR(__xludf.DUMMYFUNCTION("""COMPUTED_VALUE"""),"RSC007093")</f>
        <v>RSC007093</v>
      </c>
      <c r="C519" s="60" t="str">
        <f>IFERROR(__xludf.DUMMYFUNCTION("""COMPUTED_VALUE"""),"Mangy")</f>
        <v>Mangy</v>
      </c>
      <c r="D519" s="54" t="str">
        <f>IFERROR(__xludf.DUMMYFUNCTION("""COMPUTED_VALUE"""),"Dracos")</f>
        <v>Dracos</v>
      </c>
      <c r="E519" s="55" t="str">
        <f>IFERROR(__xludf.DUMMYFUNCTION("""COMPUTED_VALUE"""),"Solar")</f>
        <v>Solar</v>
      </c>
      <c r="F519" s="56">
        <f>IFERROR(__xludf.DUMMYFUNCTION("""COMPUTED_VALUE"""),82.12576273067776)</f>
        <v>82.12576273</v>
      </c>
      <c r="G519" s="57">
        <f>IFERROR(__xludf.DUMMYFUNCTION("""COMPUTED_VALUE"""),4.0)</f>
        <v>4</v>
      </c>
      <c r="H519" s="58">
        <f>IFERROR(__xludf.DUMMYFUNCTION("iferror(if(B519="""", ,filter('IDR Import'!D:D,'IDR Import'!A:A=B519,'IDR Import'!C:C=A519)),)"),106.66343950434131)</f>
        <v>106.6634395</v>
      </c>
      <c r="I519" s="58">
        <v>94.39460111750954</v>
      </c>
      <c r="J519" s="59">
        <f t="shared" si="1"/>
        <v>4</v>
      </c>
    </row>
    <row r="520">
      <c r="A520" s="55" t="str">
        <f>IFERROR(__xludf.DUMMYFUNCTION("""COMPUTED_VALUE"""),"Rival")</f>
        <v>Rival</v>
      </c>
      <c r="B520" s="55" t="str">
        <f>IFERROR(__xludf.DUMMYFUNCTION("""COMPUTED_VALUE"""),"RSC008603")</f>
        <v>RSC008603</v>
      </c>
      <c r="C520" s="60" t="str">
        <f>IFERROR(__xludf.DUMMYFUNCTION("""COMPUTED_VALUE"""),"garrydacarry")</f>
        <v>garrydacarry</v>
      </c>
      <c r="D520" s="54" t="str">
        <f>IFERROR(__xludf.DUMMYFUNCTION("""COMPUTED_VALUE"""),"Dracos")</f>
        <v>Dracos</v>
      </c>
      <c r="E520" s="55" t="str">
        <f>IFERROR(__xludf.DUMMYFUNCTION("""COMPUTED_VALUE"""),"Solar")</f>
        <v>Solar</v>
      </c>
      <c r="F520" s="56">
        <f>IFERROR(__xludf.DUMMYFUNCTION("""COMPUTED_VALUE"""),81.92056436133169)</f>
        <v>81.92056436</v>
      </c>
      <c r="G520" s="57">
        <f>IFERROR(__xludf.DUMMYFUNCTION("""COMPUTED_VALUE"""),4.0)</f>
        <v>4</v>
      </c>
      <c r="H520" s="58">
        <f>IFERROR(__xludf.DUMMYFUNCTION("iferror(if(B520="""", ,filter('IDR Import'!D:D,'IDR Import'!A:A=B520,'IDR Import'!C:C=A520)),)"),86.46062630201004)</f>
        <v>86.4606263</v>
      </c>
      <c r="I520" s="58">
        <v>84.19059533167086</v>
      </c>
      <c r="J520" s="59">
        <f t="shared" si="1"/>
        <v>4</v>
      </c>
    </row>
    <row r="521">
      <c r="A521" s="55" t="str">
        <f>IFERROR(__xludf.DUMMYFUNCTION("""COMPUTED_VALUE"""),"Rival")</f>
        <v>Rival</v>
      </c>
      <c r="B521" s="55" t="str">
        <f>IFERROR(__xludf.DUMMYFUNCTION("""COMPUTED_VALUE"""),"RSC007831")</f>
        <v>RSC007831</v>
      </c>
      <c r="C521" s="60" t="str">
        <f>IFERROR(__xludf.DUMMYFUNCTION("""COMPUTED_VALUE"""),"Havox.RL")</f>
        <v>Havox.RL</v>
      </c>
      <c r="D521" s="54" t="str">
        <f>IFERROR(__xludf.DUMMYFUNCTION("""COMPUTED_VALUE"""),"Hue Heroes")</f>
        <v>Hue Heroes</v>
      </c>
      <c r="E521" s="55" t="str">
        <f>IFERROR(__xludf.DUMMYFUNCTION("""COMPUTED_VALUE"""),"Solar")</f>
        <v>Solar</v>
      </c>
      <c r="F521" s="56">
        <f>IFERROR(__xludf.DUMMYFUNCTION("""COMPUTED_VALUE"""),80.66919281112624)</f>
        <v>80.66919281</v>
      </c>
      <c r="G521" s="57">
        <f>IFERROR(__xludf.DUMMYFUNCTION("""COMPUTED_VALUE"""),52.0)</f>
        <v>52</v>
      </c>
      <c r="H521" s="58">
        <f>IFERROR(__xludf.DUMMYFUNCTION("iferror(if(B521="""", ,filter('IDR Import'!D:D,'IDR Import'!A:A=B521,'IDR Import'!C:C=A521)),)"),71.92210468621786)</f>
        <v>71.92210469</v>
      </c>
      <c r="I521" s="58">
        <v>76.29564874867205</v>
      </c>
      <c r="J521" s="59">
        <f t="shared" si="1"/>
        <v>52</v>
      </c>
    </row>
    <row r="522">
      <c r="A522" s="55" t="str">
        <f>IFERROR(__xludf.DUMMYFUNCTION("""COMPUTED_VALUE"""),"Rival")</f>
        <v>Rival</v>
      </c>
      <c r="B522" s="55" t="str">
        <f>IFERROR(__xludf.DUMMYFUNCTION("""COMPUTED_VALUE"""),"RSC007625")</f>
        <v>RSC007625</v>
      </c>
      <c r="C522" s="60" t="str">
        <f>IFERROR(__xludf.DUMMYFUNCTION("""COMPUTED_VALUE"""),"assassin_funny.")</f>
        <v>assassin_funny.</v>
      </c>
      <c r="D522" s="54" t="str">
        <f>IFERROR(__xludf.DUMMYFUNCTION("""COMPUTED_VALUE"""),"Wind")</f>
        <v>Wind</v>
      </c>
      <c r="E522" s="55" t="str">
        <f>IFERROR(__xludf.DUMMYFUNCTION("""COMPUTED_VALUE"""),"Solar")</f>
        <v>Solar</v>
      </c>
      <c r="F522" s="56">
        <f>IFERROR(__xludf.DUMMYFUNCTION("""COMPUTED_VALUE"""),79.69857871899899)</f>
        <v>79.69857872</v>
      </c>
      <c r="G522" s="57">
        <f>IFERROR(__xludf.DUMMYFUNCTION("""COMPUTED_VALUE"""),51.0)</f>
        <v>51</v>
      </c>
      <c r="H522" s="58">
        <f>IFERROR(__xludf.DUMMYFUNCTION("iferror(if(B522="""", ,filter('IDR Import'!D:D,'IDR Import'!A:A=B522,'IDR Import'!C:C=A522)),)"),91.20835396197464)</f>
        <v>91.20835396</v>
      </c>
      <c r="I522" s="58">
        <v>85.45346634048681</v>
      </c>
      <c r="J522" s="59">
        <f t="shared" si="1"/>
        <v>51</v>
      </c>
    </row>
    <row r="523">
      <c r="A523" s="55" t="str">
        <f>IFERROR(__xludf.DUMMYFUNCTION("""COMPUTED_VALUE"""),"Rival")</f>
        <v>Rival</v>
      </c>
      <c r="B523" s="55" t="str">
        <f>IFERROR(__xludf.DUMMYFUNCTION("""COMPUTED_VALUE"""),"RSC005265")</f>
        <v>RSC005265</v>
      </c>
      <c r="C523" s="60" t="str">
        <f>IFERROR(__xludf.DUMMYFUNCTION("""COMPUTED_VALUE"""),"doctorprofessor_")</f>
        <v>doctorprofessor_</v>
      </c>
      <c r="D523" s="54" t="str">
        <f>IFERROR(__xludf.DUMMYFUNCTION("""COMPUTED_VALUE"""),"Centuriones")</f>
        <v>Centuriones</v>
      </c>
      <c r="E523" s="55" t="str">
        <f>IFERROR(__xludf.DUMMYFUNCTION("""COMPUTED_VALUE"""),"Solar")</f>
        <v>Solar</v>
      </c>
      <c r="F523" s="56">
        <f>IFERROR(__xludf.DUMMYFUNCTION("""COMPUTED_VALUE"""),78.51384505611207)</f>
        <v>78.51384506</v>
      </c>
      <c r="G523" s="57">
        <f>IFERROR(__xludf.DUMMYFUNCTION("""COMPUTED_VALUE"""),52.0)</f>
        <v>52</v>
      </c>
      <c r="H523" s="58">
        <f>IFERROR(__xludf.DUMMYFUNCTION("iferror(if(B523="""", ,filter('IDR Import'!D:D,'IDR Import'!A:A=B523,'IDR Import'!C:C=A523)),)"),78.49635199141586)</f>
        <v>78.49635199</v>
      </c>
      <c r="I523" s="58">
        <v>78.50509852376396</v>
      </c>
      <c r="J523" s="59">
        <f t="shared" si="1"/>
        <v>52</v>
      </c>
    </row>
    <row r="524">
      <c r="A524" s="55" t="str">
        <f>IFERROR(__xludf.DUMMYFUNCTION("""COMPUTED_VALUE"""),"Rival")</f>
        <v>Rival</v>
      </c>
      <c r="B524" s="55" t="str">
        <f>IFERROR(__xludf.DUMMYFUNCTION("""COMPUTED_VALUE"""),"RSC008290")</f>
        <v>RSC008290</v>
      </c>
      <c r="C524" s="60" t="str">
        <f>IFERROR(__xludf.DUMMYFUNCTION("""COMPUTED_VALUE"""),"KrsOneTwoThree1")</f>
        <v>KrsOneTwoThree1</v>
      </c>
      <c r="D524" s="54" t="str">
        <f>IFERROR(__xludf.DUMMYFUNCTION("""COMPUTED_VALUE"""),"Lightning")</f>
        <v>Lightning</v>
      </c>
      <c r="E524" s="55" t="str">
        <f>IFERROR(__xludf.DUMMYFUNCTION("""COMPUTED_VALUE"""),"Lunar")</f>
        <v>Lunar</v>
      </c>
      <c r="F524" s="56">
        <f>IFERROR(__xludf.DUMMYFUNCTION("""COMPUTED_VALUE"""),76.0876493644781)</f>
        <v>76.08764936</v>
      </c>
      <c r="G524" s="57">
        <f>IFERROR(__xludf.DUMMYFUNCTION("""COMPUTED_VALUE"""),56.0)</f>
        <v>56</v>
      </c>
      <c r="H524" s="58">
        <f>IFERROR(__xludf.DUMMYFUNCTION("iferror(if(B524="""", ,filter('IDR Import'!D:D,'IDR Import'!A:A=B524,'IDR Import'!C:C=A524)),)"),61.227136844328946)</f>
        <v>61.22713684</v>
      </c>
      <c r="I524" s="58">
        <v>68.65739310440352</v>
      </c>
      <c r="J524" s="59">
        <f t="shared" si="1"/>
        <v>56</v>
      </c>
    </row>
    <row r="525">
      <c r="A525" s="55" t="str">
        <f>IFERROR(__xludf.DUMMYFUNCTION("""COMPUTED_VALUE"""),"Rival")</f>
        <v>Rival</v>
      </c>
      <c r="B525" s="55" t="str">
        <f>IFERROR(__xludf.DUMMYFUNCTION("""COMPUTED_VALUE"""),"RSC008557")</f>
        <v>RSC008557</v>
      </c>
      <c r="C525" s="60" t="str">
        <f>IFERROR(__xludf.DUMMYFUNCTION("""COMPUTED_VALUE"""),"lurx bad at rl")</f>
        <v>lurx bad at rl</v>
      </c>
      <c r="D525" s="54" t="str">
        <f>IFERROR(__xludf.DUMMYFUNCTION("""COMPUTED_VALUE"""),"Dracos
Phoenix")</f>
        <v>Dracos
Phoenix</v>
      </c>
      <c r="E525" s="55" t="str">
        <f>IFERROR(__xludf.DUMMYFUNCTION("""COMPUTED_VALUE"""),"Solar
Solar")</f>
        <v>Solar
Solar</v>
      </c>
      <c r="F525" s="56">
        <f>IFERROR(__xludf.DUMMYFUNCTION("""COMPUTED_VALUE"""),76.07587753925657)</f>
        <v>76.07587754</v>
      </c>
      <c r="G525" s="57">
        <f>IFERROR(__xludf.DUMMYFUNCTION("""COMPUTED_VALUE"""),20.0)</f>
        <v>20</v>
      </c>
      <c r="H525" s="58">
        <f>IFERROR(__xludf.DUMMYFUNCTION("iferror(if(B525="""", ,filter('IDR Import'!D:D,'IDR Import'!A:A=B525,'IDR Import'!C:C=A525)),)"),83.22045580719936)</f>
        <v>83.22045581</v>
      </c>
      <c r="I525" s="58">
        <v>79.64816667322796</v>
      </c>
      <c r="J525" s="59">
        <f t="shared" si="1"/>
        <v>20</v>
      </c>
    </row>
    <row r="526">
      <c r="A526" s="55" t="str">
        <f>IFERROR(__xludf.DUMMYFUNCTION("""COMPUTED_VALUE"""),"Rival")</f>
        <v>Rival</v>
      </c>
      <c r="B526" s="55" t="str">
        <f>IFERROR(__xludf.DUMMYFUNCTION("""COMPUTED_VALUE"""),"RSC004536")</f>
        <v>RSC004536</v>
      </c>
      <c r="C526" s="60" t="str">
        <f>IFERROR(__xludf.DUMMYFUNCTION("""COMPUTED_VALUE"""),"Grim")</f>
        <v>Grim</v>
      </c>
      <c r="D526" s="54" t="str">
        <f>IFERROR(__xludf.DUMMYFUNCTION("""COMPUTED_VALUE"""),"Centuriones")</f>
        <v>Centuriones</v>
      </c>
      <c r="E526" s="55" t="str">
        <f>IFERROR(__xludf.DUMMYFUNCTION("""COMPUTED_VALUE"""),"Solar")</f>
        <v>Solar</v>
      </c>
      <c r="F526" s="56">
        <f>IFERROR(__xludf.DUMMYFUNCTION("""COMPUTED_VALUE"""),75.5839003147626)</f>
        <v>75.58390031</v>
      </c>
      <c r="G526" s="57">
        <f>IFERROR(__xludf.DUMMYFUNCTION("""COMPUTED_VALUE"""),28.0)</f>
        <v>28</v>
      </c>
      <c r="H526" s="58">
        <f>IFERROR(__xludf.DUMMYFUNCTION("iferror(if(B526="""", ,filter('IDR Import'!D:D,'IDR Import'!A:A=B526,'IDR Import'!C:C=A526)),)"),86.62243419715973)</f>
        <v>86.6224342</v>
      </c>
      <c r="I526" s="58">
        <v>81.10316725596117</v>
      </c>
      <c r="J526" s="59">
        <f t="shared" si="1"/>
        <v>28</v>
      </c>
    </row>
    <row r="527">
      <c r="A527" s="55" t="str">
        <f>IFERROR(__xludf.DUMMYFUNCTION("""COMPUTED_VALUE"""),"Rival")</f>
        <v>Rival</v>
      </c>
      <c r="B527" s="55" t="str">
        <f>IFERROR(__xludf.DUMMYFUNCTION("""COMPUTED_VALUE"""),"RSC006770")</f>
        <v>RSC006770</v>
      </c>
      <c r="C527" s="60" t="str">
        <f>IFERROR(__xludf.DUMMYFUNCTION("""COMPUTED_VALUE"""),"ExecutivePowers")</f>
        <v>ExecutivePowers</v>
      </c>
      <c r="D527" s="54" t="str">
        <f>IFERROR(__xludf.DUMMYFUNCTION("""COMPUTED_VALUE"""),"Guards")</f>
        <v>Guards</v>
      </c>
      <c r="E527" s="55" t="str">
        <f>IFERROR(__xludf.DUMMYFUNCTION("""COMPUTED_VALUE"""),"Lunar")</f>
        <v>Lunar</v>
      </c>
      <c r="F527" s="56">
        <f>IFERROR(__xludf.DUMMYFUNCTION("""COMPUTED_VALUE"""),74.2370866036801)</f>
        <v>74.2370866</v>
      </c>
      <c r="G527" s="57">
        <f>IFERROR(__xludf.DUMMYFUNCTION("""COMPUTED_VALUE"""),48.0)</f>
        <v>48</v>
      </c>
      <c r="H527" s="58">
        <f>IFERROR(__xludf.DUMMYFUNCTION("iferror(if(B527="""", ,filter('IDR Import'!D:D,'IDR Import'!A:A=B527,'IDR Import'!C:C=A527)),)"),65.16558753441942)</f>
        <v>65.16558753</v>
      </c>
      <c r="I527" s="58">
        <v>69.70133706904976</v>
      </c>
      <c r="J527" s="59">
        <f t="shared" si="1"/>
        <v>48</v>
      </c>
    </row>
    <row r="528">
      <c r="A528" s="55" t="str">
        <f>IFERROR(__xludf.DUMMYFUNCTION("""COMPUTED_VALUE"""),"Rival")</f>
        <v>Rival</v>
      </c>
      <c r="B528" s="55" t="str">
        <f>IFERROR(__xludf.DUMMYFUNCTION("""COMPUTED_VALUE"""),"RSC005873")</f>
        <v>RSC005873</v>
      </c>
      <c r="C528" s="60" t="str">
        <f>IFERROR(__xludf.DUMMYFUNCTION("""COMPUTED_VALUE"""),"Gama The Dwarf")</f>
        <v>Gama The Dwarf</v>
      </c>
      <c r="D528" s="54" t="str">
        <f>IFERROR(__xludf.DUMMYFUNCTION("""COMPUTED_VALUE"""),"Mining Legion")</f>
        <v>Mining Legion</v>
      </c>
      <c r="E528" s="55" t="str">
        <f>IFERROR(__xludf.DUMMYFUNCTION("""COMPUTED_VALUE"""),"Lunar")</f>
        <v>Lunar</v>
      </c>
      <c r="F528" s="56">
        <f>IFERROR(__xludf.DUMMYFUNCTION("""COMPUTED_VALUE"""),73.83209886424791)</f>
        <v>73.83209886</v>
      </c>
      <c r="G528" s="57">
        <f>IFERROR(__xludf.DUMMYFUNCTION("""COMPUTED_VALUE"""),56.0)</f>
        <v>56</v>
      </c>
      <c r="H528" s="58">
        <f>IFERROR(__xludf.DUMMYFUNCTION("iferror(if(B528="""", ,filter('IDR Import'!D:D,'IDR Import'!A:A=B528,'IDR Import'!C:C=A528)),)"),78.39497610536813)</f>
        <v>78.39497611</v>
      </c>
      <c r="I528" s="58">
        <v>76.11353748480802</v>
      </c>
      <c r="J528" s="59">
        <f t="shared" si="1"/>
        <v>56</v>
      </c>
    </row>
    <row r="529">
      <c r="A529" s="55" t="str">
        <f>IFERROR(__xludf.DUMMYFUNCTION("""COMPUTED_VALUE"""),"Rival")</f>
        <v>Rival</v>
      </c>
      <c r="B529" s="55" t="str">
        <f>IFERROR(__xludf.DUMMYFUNCTION("""COMPUTED_VALUE"""),"RSC008360")</f>
        <v>RSC008360</v>
      </c>
      <c r="C529" s="60" t="str">
        <f>IFERROR(__xludf.DUMMYFUNCTION("""COMPUTED_VALUE"""),"Merk890")</f>
        <v>Merk890</v>
      </c>
      <c r="D529" s="54" t="str">
        <f>IFERROR(__xludf.DUMMYFUNCTION("""COMPUTED_VALUE"""),"Lightning")</f>
        <v>Lightning</v>
      </c>
      <c r="E529" s="55" t="str">
        <f>IFERROR(__xludf.DUMMYFUNCTION("""COMPUTED_VALUE"""),"Lunar")</f>
        <v>Lunar</v>
      </c>
      <c r="F529" s="56">
        <f>IFERROR(__xludf.DUMMYFUNCTION("""COMPUTED_VALUE"""),72.44231214328913)</f>
        <v>72.44231214</v>
      </c>
      <c r="G529" s="57">
        <f>IFERROR(__xludf.DUMMYFUNCTION("""COMPUTED_VALUE"""),44.0)</f>
        <v>44</v>
      </c>
      <c r="H529" s="58">
        <f>IFERROR(__xludf.DUMMYFUNCTION("iferror(if(B529="""", ,filter('IDR Import'!D:D,'IDR Import'!A:A=B529,'IDR Import'!C:C=A529)),)"),72.0425544444557)</f>
        <v>72.04255444</v>
      </c>
      <c r="I529" s="58">
        <v>72.24243329387241</v>
      </c>
      <c r="J529" s="59">
        <f t="shared" si="1"/>
        <v>44</v>
      </c>
    </row>
    <row r="530">
      <c r="A530" s="55" t="str">
        <f>IFERROR(__xludf.DUMMYFUNCTION("""COMPUTED_VALUE"""),"Rival")</f>
        <v>Rival</v>
      </c>
      <c r="B530" s="55" t="str">
        <f>IFERROR(__xludf.DUMMYFUNCTION("""COMPUTED_VALUE"""),"RSC005834")</f>
        <v>RSC005834</v>
      </c>
      <c r="C530" s="60" t="str">
        <f>IFERROR(__xludf.DUMMYFUNCTION("""COMPUTED_VALUE"""),"IIIYummyIII")</f>
        <v>IIIYummyIII</v>
      </c>
      <c r="D530" s="54" t="str">
        <f>IFERROR(__xludf.DUMMYFUNCTION("""COMPUTED_VALUE"""),"Hot Wings")</f>
        <v>Hot Wings</v>
      </c>
      <c r="E530" s="55" t="str">
        <f>IFERROR(__xludf.DUMMYFUNCTION("""COMPUTED_VALUE"""),"Lunar")</f>
        <v>Lunar</v>
      </c>
      <c r="F530" s="56">
        <f>IFERROR(__xludf.DUMMYFUNCTION("""COMPUTED_VALUE"""),71.61909081794137)</f>
        <v>71.61909082</v>
      </c>
      <c r="G530" s="57">
        <f>IFERROR(__xludf.DUMMYFUNCTION("""COMPUTED_VALUE"""),54.0)</f>
        <v>54</v>
      </c>
      <c r="H530" s="58">
        <f>IFERROR(__xludf.DUMMYFUNCTION("iferror(if(B530="""", ,filter('IDR Import'!D:D,'IDR Import'!A:A=B530,'IDR Import'!C:C=A530)),)"),71.94989476990114)</f>
        <v>71.94989477</v>
      </c>
      <c r="I530" s="58">
        <v>71.78449279392126</v>
      </c>
      <c r="J530" s="59">
        <f t="shared" si="1"/>
        <v>54</v>
      </c>
    </row>
    <row r="531">
      <c r="A531" s="55" t="str">
        <f>IFERROR(__xludf.DUMMYFUNCTION("""COMPUTED_VALUE"""),"Rival")</f>
        <v>Rival</v>
      </c>
      <c r="B531" s="55" t="str">
        <f>IFERROR(__xludf.DUMMYFUNCTION("""COMPUTED_VALUE"""),"RSC006678")</f>
        <v>RSC006678</v>
      </c>
      <c r="C531" s="60" t="str">
        <f>IFERROR(__xludf.DUMMYFUNCTION("""COMPUTED_VALUE"""),"EyeSucka")</f>
        <v>EyeSucka</v>
      </c>
      <c r="D531" s="54" t="str">
        <f>IFERROR(__xludf.DUMMYFUNCTION("""COMPUTED_VALUE"""),"Mining Legion")</f>
        <v>Mining Legion</v>
      </c>
      <c r="E531" s="55" t="str">
        <f>IFERROR(__xludf.DUMMYFUNCTION("""COMPUTED_VALUE"""),"Lunar")</f>
        <v>Lunar</v>
      </c>
      <c r="F531" s="56">
        <f>IFERROR(__xludf.DUMMYFUNCTION("""COMPUTED_VALUE"""),71.56644893258171)</f>
        <v>71.56644893</v>
      </c>
      <c r="G531" s="57">
        <f>IFERROR(__xludf.DUMMYFUNCTION("""COMPUTED_VALUE"""),52.0)</f>
        <v>52</v>
      </c>
      <c r="H531" s="58">
        <f>IFERROR(__xludf.DUMMYFUNCTION("iferror(if(B531="""", ,filter('IDR Import'!D:D,'IDR Import'!A:A=B531,'IDR Import'!C:C=A531)),)"),79.09827906649144)</f>
        <v>79.09827907</v>
      </c>
      <c r="I531" s="58">
        <v>75.33236399953657</v>
      </c>
      <c r="J531" s="59">
        <f t="shared" si="1"/>
        <v>52</v>
      </c>
    </row>
    <row r="532">
      <c r="A532" s="55" t="str">
        <f>IFERROR(__xludf.DUMMYFUNCTION("""COMPUTED_VALUE"""),"Rival")</f>
        <v>Rival</v>
      </c>
      <c r="B532" s="55" t="str">
        <f>IFERROR(__xludf.DUMMYFUNCTION("""COMPUTED_VALUE"""),"RSC006774")</f>
        <v>RSC006774</v>
      </c>
      <c r="C532" s="60" t="str">
        <f>IFERROR(__xludf.DUMMYFUNCTION("""COMPUTED_VALUE"""),"JazzMagic.")</f>
        <v>JazzMagic.</v>
      </c>
      <c r="D532" s="54" t="str">
        <f>IFERROR(__xludf.DUMMYFUNCTION("""COMPUTED_VALUE"""),"Ruthless Racket")</f>
        <v>Ruthless Racket</v>
      </c>
      <c r="E532" s="55" t="str">
        <f>IFERROR(__xludf.DUMMYFUNCTION("""COMPUTED_VALUE"""),"Lunar")</f>
        <v>Lunar</v>
      </c>
      <c r="F532" s="56">
        <f>IFERROR(__xludf.DUMMYFUNCTION("""COMPUTED_VALUE"""),69.69305421917049)</f>
        <v>69.69305422</v>
      </c>
      <c r="G532" s="57">
        <f>IFERROR(__xludf.DUMMYFUNCTION("""COMPUTED_VALUE"""),55.0)</f>
        <v>55</v>
      </c>
      <c r="H532" s="58">
        <f>IFERROR(__xludf.DUMMYFUNCTION("iferror(if(B532="""", ,filter('IDR Import'!D:D,'IDR Import'!A:A=B532,'IDR Import'!C:C=A532)),)"),59.90446262284779)</f>
        <v>59.90446262</v>
      </c>
      <c r="I532" s="58">
        <v>64.79875842100914</v>
      </c>
      <c r="J532" s="59">
        <f t="shared" si="1"/>
        <v>55</v>
      </c>
    </row>
    <row r="533">
      <c r="A533" s="55" t="str">
        <f>IFERROR(__xludf.DUMMYFUNCTION("""COMPUTED_VALUE"""),"Rival")</f>
        <v>Rival</v>
      </c>
      <c r="B533" s="55" t="str">
        <f>IFERROR(__xludf.DUMMYFUNCTION("""COMPUTED_VALUE"""),"RSC007487")</f>
        <v>RSC007487</v>
      </c>
      <c r="C533" s="60" t="str">
        <f>IFERROR(__xludf.DUMMYFUNCTION("""COMPUTED_VALUE"""),"YoloOnTinder")</f>
        <v>YoloOnTinder</v>
      </c>
      <c r="D533" s="54" t="str">
        <f>IFERROR(__xludf.DUMMYFUNCTION("""COMPUTED_VALUE"""),"Liars")</f>
        <v>Liars</v>
      </c>
      <c r="E533" s="55" t="str">
        <f>IFERROR(__xludf.DUMMYFUNCTION("""COMPUTED_VALUE"""),"Solar")</f>
        <v>Solar</v>
      </c>
      <c r="F533" s="56">
        <f>IFERROR(__xludf.DUMMYFUNCTION("""COMPUTED_VALUE"""),69.53040925056108)</f>
        <v>69.53040925</v>
      </c>
      <c r="G533" s="57">
        <f>IFERROR(__xludf.DUMMYFUNCTION("""COMPUTED_VALUE"""),4.0)</f>
        <v>4</v>
      </c>
      <c r="H533" s="58">
        <f>IFERROR(__xludf.DUMMYFUNCTION("iferror(if(B533="""", ,filter('IDR Import'!D:D,'IDR Import'!A:A=B533,'IDR Import'!C:C=A533)),)"),66.86988912868944)</f>
        <v>66.86988913</v>
      </c>
      <c r="I533" s="58">
        <v>68.20014918962525</v>
      </c>
      <c r="J533" s="59">
        <f t="shared" si="1"/>
        <v>4</v>
      </c>
    </row>
    <row r="534">
      <c r="A534" s="55" t="str">
        <f>IFERROR(__xludf.DUMMYFUNCTION("""COMPUTED_VALUE"""),"Rival")</f>
        <v>Rival</v>
      </c>
      <c r="B534" s="55" t="str">
        <f>IFERROR(__xludf.DUMMYFUNCTION("""COMPUTED_VALUE"""),"RSC004452")</f>
        <v>RSC004452</v>
      </c>
      <c r="C534" s="60" t="str">
        <f>IFERROR(__xludf.DUMMYFUNCTION("""COMPUTED_VALUE"""),"sleepzey")</f>
        <v>sleepzey</v>
      </c>
      <c r="D534" s="54" t="str">
        <f>IFERROR(__xludf.DUMMYFUNCTION("""COMPUTED_VALUE"""),"Black Ice")</f>
        <v>Black Ice</v>
      </c>
      <c r="E534" s="55" t="str">
        <f>IFERROR(__xludf.DUMMYFUNCTION("""COMPUTED_VALUE"""),"Solar")</f>
        <v>Solar</v>
      </c>
      <c r="F534" s="56">
        <f>IFERROR(__xludf.DUMMYFUNCTION("""COMPUTED_VALUE"""),69.24128214707277)</f>
        <v>69.24128215</v>
      </c>
      <c r="G534" s="57">
        <f>IFERROR(__xludf.DUMMYFUNCTION("""COMPUTED_VALUE"""),40.0)</f>
        <v>40</v>
      </c>
      <c r="H534" s="58">
        <f>IFERROR(__xludf.DUMMYFUNCTION("iferror(if(B534="""", ,filter('IDR Import'!D:D,'IDR Import'!A:A=B534,'IDR Import'!C:C=A534)),)"),62.944567310251976)</f>
        <v>62.94456731</v>
      </c>
      <c r="I534" s="58">
        <v>66.09292472866237</v>
      </c>
      <c r="J534" s="59">
        <f t="shared" si="1"/>
        <v>40</v>
      </c>
    </row>
    <row r="535">
      <c r="A535" s="55" t="str">
        <f>IFERROR(__xludf.DUMMYFUNCTION("""COMPUTED_VALUE"""),"Rival")</f>
        <v>Rival</v>
      </c>
      <c r="B535" s="55" t="str">
        <f>IFERROR(__xludf.DUMMYFUNCTION("""COMPUTED_VALUE"""),"RSC008234")</f>
        <v>RSC008234</v>
      </c>
      <c r="C535" s="60" t="str">
        <f>IFERROR(__xludf.DUMMYFUNCTION("""COMPUTED_VALUE"""),"Its_Bran")</f>
        <v>Its_Bran</v>
      </c>
      <c r="D535" s="54" t="str">
        <f>IFERROR(__xludf.DUMMYFUNCTION("""COMPUTED_VALUE"""),"Asiago Arsonists")</f>
        <v>Asiago Arsonists</v>
      </c>
      <c r="E535" s="55" t="str">
        <f>IFERROR(__xludf.DUMMYFUNCTION("""COMPUTED_VALUE"""),"Lunar")</f>
        <v>Lunar</v>
      </c>
      <c r="F535" s="56">
        <f>IFERROR(__xludf.DUMMYFUNCTION("""COMPUTED_VALUE"""),68.52869275396387)</f>
        <v>68.52869275</v>
      </c>
      <c r="G535" s="57">
        <f>IFERROR(__xludf.DUMMYFUNCTION("""COMPUTED_VALUE"""),46.0)</f>
        <v>46</v>
      </c>
      <c r="H535" s="58">
        <f>IFERROR(__xludf.DUMMYFUNCTION("iferror(if(B535="""", ,filter('IDR Import'!D:D,'IDR Import'!A:A=B535,'IDR Import'!C:C=A535)),)"),73.19897307110155)</f>
        <v>73.19897307</v>
      </c>
      <c r="I535" s="58">
        <v>70.8638329125327</v>
      </c>
      <c r="J535" s="59">
        <f t="shared" si="1"/>
        <v>46</v>
      </c>
    </row>
    <row r="536">
      <c r="A536" s="55" t="str">
        <f>IFERROR(__xludf.DUMMYFUNCTION("""COMPUTED_VALUE"""),"Rival")</f>
        <v>Rival</v>
      </c>
      <c r="B536" s="55" t="str">
        <f>IFERROR(__xludf.DUMMYFUNCTION("""COMPUTED_VALUE"""),"RSC008405")</f>
        <v>RSC008405</v>
      </c>
      <c r="C536" s="60" t="str">
        <f>IFERROR(__xludf.DUMMYFUNCTION("""COMPUTED_VALUE"""),"gxcid")</f>
        <v>gxcid</v>
      </c>
      <c r="D536" s="54" t="str">
        <f>IFERROR(__xludf.DUMMYFUNCTION("""COMPUTED_VALUE"""),"Barracudas")</f>
        <v>Barracudas</v>
      </c>
      <c r="E536" s="55" t="str">
        <f>IFERROR(__xludf.DUMMYFUNCTION("""COMPUTED_VALUE"""),"Lunar")</f>
        <v>Lunar</v>
      </c>
      <c r="F536" s="56">
        <f>IFERROR(__xludf.DUMMYFUNCTION("""COMPUTED_VALUE"""),68.00276708863893)</f>
        <v>68.00276709</v>
      </c>
      <c r="G536" s="57">
        <f>IFERROR(__xludf.DUMMYFUNCTION("""COMPUTED_VALUE"""),40.0)</f>
        <v>40</v>
      </c>
      <c r="H536" s="58">
        <f>IFERROR(__xludf.DUMMYFUNCTION("iferror(if(B536="""", ,filter('IDR Import'!D:D,'IDR Import'!A:A=B536,'IDR Import'!C:C=A536)),)"),78.78997328398327)</f>
        <v>78.78997328</v>
      </c>
      <c r="I536" s="58">
        <v>73.3963701863111</v>
      </c>
      <c r="J536" s="59">
        <f t="shared" si="1"/>
        <v>40</v>
      </c>
    </row>
    <row r="537">
      <c r="A537" s="55" t="str">
        <f>IFERROR(__xludf.DUMMYFUNCTION("""COMPUTED_VALUE"""),"Rival")</f>
        <v>Rival</v>
      </c>
      <c r="B537" s="55" t="str">
        <f>IFERROR(__xludf.DUMMYFUNCTION("""COMPUTED_VALUE"""),"RSC007549")</f>
        <v>RSC007549</v>
      </c>
      <c r="C537" s="60" t="str">
        <f>IFERROR(__xludf.DUMMYFUNCTION("""COMPUTED_VALUE"""),"Whiffy_RL")</f>
        <v>Whiffy_RL</v>
      </c>
      <c r="D537" s="54" t="str">
        <f>IFERROR(__xludf.DUMMYFUNCTION("""COMPUTED_VALUE"""),"Scramjets")</f>
        <v>Scramjets</v>
      </c>
      <c r="E537" s="55" t="str">
        <f>IFERROR(__xludf.DUMMYFUNCTION("""COMPUTED_VALUE"""),"Lunar")</f>
        <v>Lunar</v>
      </c>
      <c r="F537" s="56">
        <f>IFERROR(__xludf.DUMMYFUNCTION("""COMPUTED_VALUE"""),67.8920940954142)</f>
        <v>67.8920941</v>
      </c>
      <c r="G537" s="57">
        <f>IFERROR(__xludf.DUMMYFUNCTION("""COMPUTED_VALUE"""),13.0)</f>
        <v>13</v>
      </c>
      <c r="H537" s="58">
        <f>IFERROR(__xludf.DUMMYFUNCTION("iferror(if(B537="""", ,filter('IDR Import'!D:D,'IDR Import'!A:A=B537,'IDR Import'!C:C=A537)),)"),48.22960438956457)</f>
        <v>48.22960439</v>
      </c>
      <c r="I537" s="58">
        <v>58.06084924248938</v>
      </c>
      <c r="J537" s="59">
        <f t="shared" si="1"/>
        <v>13</v>
      </c>
    </row>
    <row r="538">
      <c r="A538" s="55" t="str">
        <f>IFERROR(__xludf.DUMMYFUNCTION("""COMPUTED_VALUE"""),"Rival")</f>
        <v>Rival</v>
      </c>
      <c r="B538" s="55" t="str">
        <f>IFERROR(__xludf.DUMMYFUNCTION("""COMPUTED_VALUE"""),"RSC006209")</f>
        <v>RSC006209</v>
      </c>
      <c r="C538" s="60" t="str">
        <f>IFERROR(__xludf.DUMMYFUNCTION("""COMPUTED_VALUE"""),"Celiscy")</f>
        <v>Celiscy</v>
      </c>
      <c r="D538" s="54" t="str">
        <f>IFERROR(__xludf.DUMMYFUNCTION("""COMPUTED_VALUE"""),"Nightfall
Tax Evaders")</f>
        <v>Nightfall
Tax Evaders</v>
      </c>
      <c r="E538" s="55" t="str">
        <f>IFERROR(__xludf.DUMMYFUNCTION("""COMPUTED_VALUE"""),"Lunar
Lunar")</f>
        <v>Lunar
Lunar</v>
      </c>
      <c r="F538" s="56">
        <f>IFERROR(__xludf.DUMMYFUNCTION("""COMPUTED_VALUE"""),67.59126577151048)</f>
        <v>67.59126577</v>
      </c>
      <c r="G538" s="57">
        <f>IFERROR(__xludf.DUMMYFUNCTION("""COMPUTED_VALUE"""),52.0)</f>
        <v>52</v>
      </c>
      <c r="H538" s="58">
        <f>IFERROR(__xludf.DUMMYFUNCTION("iferror(if(B538="""", ,filter('IDR Import'!D:D,'IDR Import'!A:A=B538,'IDR Import'!C:C=A538)),)"),64.46640472659504)</f>
        <v>64.46640473</v>
      </c>
      <c r="I538" s="58">
        <v>66.02883524905276</v>
      </c>
      <c r="J538" s="59">
        <f t="shared" si="1"/>
        <v>52</v>
      </c>
    </row>
    <row r="539">
      <c r="A539" s="55" t="str">
        <f>IFERROR(__xludf.DUMMYFUNCTION("""COMPUTED_VALUE"""),"Rival")</f>
        <v>Rival</v>
      </c>
      <c r="B539" s="55" t="str">
        <f>IFERROR(__xludf.DUMMYFUNCTION("""COMPUTED_VALUE"""),"RSC005885")</f>
        <v>RSC005885</v>
      </c>
      <c r="C539" s="60" t="str">
        <f>IFERROR(__xludf.DUMMYFUNCTION("""COMPUTED_VALUE"""),"noot")</f>
        <v>noot</v>
      </c>
      <c r="D539" s="54" t="str">
        <f>IFERROR(__xludf.DUMMYFUNCTION("""COMPUTED_VALUE"""),"Quasars")</f>
        <v>Quasars</v>
      </c>
      <c r="E539" s="55" t="str">
        <f>IFERROR(__xludf.DUMMYFUNCTION("""COMPUTED_VALUE"""),"Lunar")</f>
        <v>Lunar</v>
      </c>
      <c r="F539" s="56">
        <f>IFERROR(__xludf.DUMMYFUNCTION("""COMPUTED_VALUE"""),67.04024726311877)</f>
        <v>67.04024726</v>
      </c>
      <c r="G539" s="57">
        <f>IFERROR(__xludf.DUMMYFUNCTION("""COMPUTED_VALUE"""),52.0)</f>
        <v>52</v>
      </c>
      <c r="H539" s="58">
        <f>IFERROR(__xludf.DUMMYFUNCTION("iferror(if(B539="""", ,filter('IDR Import'!D:D,'IDR Import'!A:A=B539,'IDR Import'!C:C=A539)),)"),62.22309970563949)</f>
        <v>62.22309971</v>
      </c>
      <c r="I539" s="58">
        <v>64.63167348437914</v>
      </c>
      <c r="J539" s="59">
        <f t="shared" si="1"/>
        <v>52</v>
      </c>
    </row>
    <row r="540">
      <c r="A540" s="55" t="str">
        <f>IFERROR(__xludf.DUMMYFUNCTION("""COMPUTED_VALUE"""),"Rival")</f>
        <v>Rival</v>
      </c>
      <c r="B540" s="55" t="str">
        <f>IFERROR(__xludf.DUMMYFUNCTION("""COMPUTED_VALUE"""),"RSC003411")</f>
        <v>RSC003411</v>
      </c>
      <c r="C540" s="60" t="str">
        <f>IFERROR(__xludf.DUMMYFUNCTION("""COMPUTED_VALUE"""),"levibullrush")</f>
        <v>levibullrush</v>
      </c>
      <c r="D540" s="54" t="str">
        <f>IFERROR(__xludf.DUMMYFUNCTION("""COMPUTED_VALUE"""),"Quasars")</f>
        <v>Quasars</v>
      </c>
      <c r="E540" s="55" t="str">
        <f>IFERROR(__xludf.DUMMYFUNCTION("""COMPUTED_VALUE"""),"Lunar")</f>
        <v>Lunar</v>
      </c>
      <c r="F540" s="56">
        <f>IFERROR(__xludf.DUMMYFUNCTION("""COMPUTED_VALUE"""),66.80217720650951)</f>
        <v>66.80217721</v>
      </c>
      <c r="G540" s="57">
        <f>IFERROR(__xludf.DUMMYFUNCTION("""COMPUTED_VALUE"""),7.0)</f>
        <v>7</v>
      </c>
      <c r="H540" s="58">
        <f>IFERROR(__xludf.DUMMYFUNCTION("iferror(if(B540="""", ,filter('IDR Import'!D:D,'IDR Import'!A:A=B540,'IDR Import'!C:C=A540)),)"),87.20637415822577)</f>
        <v>87.20637416</v>
      </c>
      <c r="I540" s="58">
        <v>77.00427568236765</v>
      </c>
      <c r="J540" s="59">
        <f t="shared" si="1"/>
        <v>7</v>
      </c>
    </row>
    <row r="541">
      <c r="A541" s="55" t="str">
        <f>IFERROR(__xludf.DUMMYFUNCTION("""COMPUTED_VALUE"""),"Rival")</f>
        <v>Rival</v>
      </c>
      <c r="B541" s="55" t="str">
        <f>IFERROR(__xludf.DUMMYFUNCTION("""COMPUTED_VALUE"""),"RSC000519")</f>
        <v>RSC000519</v>
      </c>
      <c r="C541" s="60" t="str">
        <f>IFERROR(__xludf.DUMMYFUNCTION("""COMPUTED_VALUE"""),"bovi")</f>
        <v>bovi</v>
      </c>
      <c r="D541" s="54" t="str">
        <f>IFERROR(__xludf.DUMMYFUNCTION("""COMPUTED_VALUE"""),"Dracos")</f>
        <v>Dracos</v>
      </c>
      <c r="E541" s="55" t="str">
        <f>IFERROR(__xludf.DUMMYFUNCTION("""COMPUTED_VALUE"""),"Solar")</f>
        <v>Solar</v>
      </c>
      <c r="F541" s="56">
        <f>IFERROR(__xludf.DUMMYFUNCTION("""COMPUTED_VALUE"""),66.61279777277927)</f>
        <v>66.61279777</v>
      </c>
      <c r="G541" s="57">
        <f>IFERROR(__xludf.DUMMYFUNCTION("""COMPUTED_VALUE"""),56.0)</f>
        <v>56</v>
      </c>
      <c r="H541" s="58">
        <f>IFERROR(__xludf.DUMMYFUNCTION("iferror(if(B541="""", ,filter('IDR Import'!D:D,'IDR Import'!A:A=B541,'IDR Import'!C:C=A541)),)"),58.9592340145465)</f>
        <v>58.95923401</v>
      </c>
      <c r="I541" s="58">
        <v>62.78601589366289</v>
      </c>
      <c r="J541" s="59">
        <f t="shared" si="1"/>
        <v>56</v>
      </c>
    </row>
    <row r="542">
      <c r="A542" s="55" t="str">
        <f>IFERROR(__xludf.DUMMYFUNCTION("""COMPUTED_VALUE"""),"Rival")</f>
        <v>Rival</v>
      </c>
      <c r="B542" s="55" t="str">
        <f>IFERROR(__xludf.DUMMYFUNCTION("""COMPUTED_VALUE"""),"RSC000367")</f>
        <v>RSC000367</v>
      </c>
      <c r="C542" s="60" t="str">
        <f>IFERROR(__xludf.DUMMYFUNCTION("""COMPUTED_VALUE"""),"Pana")</f>
        <v>Pana</v>
      </c>
      <c r="D542" s="54" t="str">
        <f>IFERROR(__xludf.DUMMYFUNCTION("""COMPUTED_VALUE"""),"Scramjets")</f>
        <v>Scramjets</v>
      </c>
      <c r="E542" s="55" t="str">
        <f>IFERROR(__xludf.DUMMYFUNCTION("""COMPUTED_VALUE"""),"Lunar")</f>
        <v>Lunar</v>
      </c>
      <c r="F542" s="56">
        <f>IFERROR(__xludf.DUMMYFUNCTION("""COMPUTED_VALUE"""),66.31005921467147)</f>
        <v>66.31005921</v>
      </c>
      <c r="G542" s="57">
        <f>IFERROR(__xludf.DUMMYFUNCTION("""COMPUTED_VALUE"""),28.0)</f>
        <v>28</v>
      </c>
      <c r="H542" s="58">
        <f>IFERROR(__xludf.DUMMYFUNCTION("iferror(if(B542="""", ,filter('IDR Import'!D:D,'IDR Import'!A:A=B542,'IDR Import'!C:C=A542)),)"),85.07472802954479)</f>
        <v>85.07472803</v>
      </c>
      <c r="I542" s="58">
        <v>75.69239362210813</v>
      </c>
      <c r="J542" s="59">
        <f t="shared" si="1"/>
        <v>28</v>
      </c>
    </row>
    <row r="543">
      <c r="A543" s="55" t="str">
        <f>IFERROR(__xludf.DUMMYFUNCTION("""COMPUTED_VALUE"""),"Rival")</f>
        <v>Rival</v>
      </c>
      <c r="B543" s="55" t="str">
        <f>IFERROR(__xludf.DUMMYFUNCTION("""COMPUTED_VALUE"""),"RSC002267")</f>
        <v>RSC002267</v>
      </c>
      <c r="C543" s="60" t="str">
        <f>IFERROR(__xludf.DUMMYFUNCTION("""COMPUTED_VALUE"""),"Dooqal")</f>
        <v>Dooqal</v>
      </c>
      <c r="D543" s="54" t="str">
        <f>IFERROR(__xludf.DUMMYFUNCTION("""COMPUTED_VALUE"""),"Heavy Metal")</f>
        <v>Heavy Metal</v>
      </c>
      <c r="E543" s="55" t="str">
        <f>IFERROR(__xludf.DUMMYFUNCTION("""COMPUTED_VALUE"""),"Lunar")</f>
        <v>Lunar</v>
      </c>
      <c r="F543" s="56">
        <f>IFERROR(__xludf.DUMMYFUNCTION("""COMPUTED_VALUE"""),66.12601907230406)</f>
        <v>66.12601907</v>
      </c>
      <c r="G543" s="57">
        <f>IFERROR(__xludf.DUMMYFUNCTION("""COMPUTED_VALUE"""),46.0)</f>
        <v>46</v>
      </c>
      <c r="H543" s="58">
        <f>IFERROR(__xludf.DUMMYFUNCTION("iferror(if(B543="""", ,filter('IDR Import'!D:D,'IDR Import'!A:A=B543,'IDR Import'!C:C=A543)),)"),61.24797258290649)</f>
        <v>61.24797258</v>
      </c>
      <c r="I543" s="58">
        <v>63.68699582760527</v>
      </c>
      <c r="J543" s="59">
        <f t="shared" si="1"/>
        <v>46</v>
      </c>
    </row>
    <row r="544">
      <c r="A544" s="55" t="str">
        <f>IFERROR(__xludf.DUMMYFUNCTION("""COMPUTED_VALUE"""),"Rival")</f>
        <v>Rival</v>
      </c>
      <c r="B544" s="55" t="str">
        <f>IFERROR(__xludf.DUMMYFUNCTION("""COMPUTED_VALUE"""),"RSC007144")</f>
        <v>RSC007144</v>
      </c>
      <c r="C544" s="60" t="str">
        <f>IFERROR(__xludf.DUMMYFUNCTION("""COMPUTED_VALUE"""),"The_Killerwon")</f>
        <v>The_Killerwon</v>
      </c>
      <c r="D544" s="54" t="str">
        <f>IFERROR(__xludf.DUMMYFUNCTION("""COMPUTED_VALUE"""),"Gaboons")</f>
        <v>Gaboons</v>
      </c>
      <c r="E544" s="55" t="str">
        <f>IFERROR(__xludf.DUMMYFUNCTION("""COMPUTED_VALUE"""),"Lunar")</f>
        <v>Lunar</v>
      </c>
      <c r="F544" s="56">
        <f>IFERROR(__xludf.DUMMYFUNCTION("""COMPUTED_VALUE"""),66.03368797657313)</f>
        <v>66.03368798</v>
      </c>
      <c r="G544" s="57">
        <f>IFERROR(__xludf.DUMMYFUNCTION("""COMPUTED_VALUE"""),49.0)</f>
        <v>49</v>
      </c>
      <c r="H544" s="58">
        <f>IFERROR(__xludf.DUMMYFUNCTION("iferror(if(B544="""", ,filter('IDR Import'!D:D,'IDR Import'!A:A=B544,'IDR Import'!C:C=A544)),)"),63.73718463556604)</f>
        <v>63.73718464</v>
      </c>
      <c r="I544" s="58">
        <v>64.88543630606958</v>
      </c>
      <c r="J544" s="59">
        <f t="shared" si="1"/>
        <v>49</v>
      </c>
    </row>
    <row r="545">
      <c r="A545" s="55" t="str">
        <f>IFERROR(__xludf.DUMMYFUNCTION("""COMPUTED_VALUE"""),"Rival")</f>
        <v>Rival</v>
      </c>
      <c r="B545" s="55" t="str">
        <f>IFERROR(__xludf.DUMMYFUNCTION("""COMPUTED_VALUE"""),"RSC006464")</f>
        <v>RSC006464</v>
      </c>
      <c r="C545" s="60" t="str">
        <f>IFERROR(__xludf.DUMMYFUNCTION("""COMPUTED_VALUE"""),"vAirwick")</f>
        <v>vAirwick</v>
      </c>
      <c r="D545" s="54" t="str">
        <f>IFERROR(__xludf.DUMMYFUNCTION("""COMPUTED_VALUE"""),"Hammerheads")</f>
        <v>Hammerheads</v>
      </c>
      <c r="E545" s="55" t="str">
        <f>IFERROR(__xludf.DUMMYFUNCTION("""COMPUTED_VALUE"""),"Solar")</f>
        <v>Solar</v>
      </c>
      <c r="F545" s="56">
        <f>IFERROR(__xludf.DUMMYFUNCTION("""COMPUTED_VALUE"""),65.69853611180606)</f>
        <v>65.69853611</v>
      </c>
      <c r="G545" s="57">
        <f>IFERROR(__xludf.DUMMYFUNCTION("""COMPUTED_VALUE"""),41.0)</f>
        <v>41</v>
      </c>
      <c r="H545" s="58">
        <f>IFERROR(__xludf.DUMMYFUNCTION("iferror(if(B545="""", ,filter('IDR Import'!D:D,'IDR Import'!A:A=B545,'IDR Import'!C:C=A545)),)"),64.07291078345041)</f>
        <v>64.07291078</v>
      </c>
      <c r="I545" s="58">
        <v>64.88572344762824</v>
      </c>
      <c r="J545" s="59">
        <f t="shared" si="1"/>
        <v>41</v>
      </c>
    </row>
    <row r="546">
      <c r="A546" s="55" t="str">
        <f>IFERROR(__xludf.DUMMYFUNCTION("""COMPUTED_VALUE"""),"Rival")</f>
        <v>Rival</v>
      </c>
      <c r="B546" s="55" t="str">
        <f>IFERROR(__xludf.DUMMYFUNCTION("""COMPUTED_VALUE"""),"RSC001330")</f>
        <v>RSC001330</v>
      </c>
      <c r="C546" s="60" t="str">
        <f>IFERROR(__xludf.DUMMYFUNCTION("""COMPUTED_VALUE"""),"Blissful Beluga")</f>
        <v>Blissful Beluga</v>
      </c>
      <c r="D546" s="54" t="str">
        <f>IFERROR(__xludf.DUMMYFUNCTION("""COMPUTED_VALUE"""),"Howlers")</f>
        <v>Howlers</v>
      </c>
      <c r="E546" s="55" t="str">
        <f>IFERROR(__xludf.DUMMYFUNCTION("""COMPUTED_VALUE"""),"Solar")</f>
        <v>Solar</v>
      </c>
      <c r="F546" s="56">
        <f>IFERROR(__xludf.DUMMYFUNCTION("""COMPUTED_VALUE"""),65.5867660289232)</f>
        <v>65.58676603</v>
      </c>
      <c r="G546" s="57">
        <f>IFERROR(__xludf.DUMMYFUNCTION("""COMPUTED_VALUE"""),19.0)</f>
        <v>19</v>
      </c>
      <c r="H546" s="58">
        <f>IFERROR(__xludf.DUMMYFUNCTION("iferror(if(B546="""", ,filter('IDR Import'!D:D,'IDR Import'!A:A=B546,'IDR Import'!C:C=A546)),)"),67.67008486290513)</f>
        <v>67.67008486</v>
      </c>
      <c r="I546" s="58">
        <v>66.62842544591416</v>
      </c>
      <c r="J546" s="59">
        <f t="shared" si="1"/>
        <v>19</v>
      </c>
    </row>
    <row r="547">
      <c r="A547" s="55" t="str">
        <f>IFERROR(__xludf.DUMMYFUNCTION("""COMPUTED_VALUE"""),"Rival")</f>
        <v>Rival</v>
      </c>
      <c r="B547" s="55" t="str">
        <f>IFERROR(__xludf.DUMMYFUNCTION("""COMPUTED_VALUE"""),"RSC005150")</f>
        <v>RSC005150</v>
      </c>
      <c r="C547" s="60" t="str">
        <f>IFERROR(__xludf.DUMMYFUNCTION("""COMPUTED_VALUE"""),"Galatiq")</f>
        <v>Galatiq</v>
      </c>
      <c r="D547" s="54" t="str">
        <f>IFERROR(__xludf.DUMMYFUNCTION("""COMPUTED_VALUE"""),"Samurai")</f>
        <v>Samurai</v>
      </c>
      <c r="E547" s="55" t="str">
        <f>IFERROR(__xludf.DUMMYFUNCTION("""COMPUTED_VALUE"""),"Lunar")</f>
        <v>Lunar</v>
      </c>
      <c r="F547" s="56">
        <f>IFERROR(__xludf.DUMMYFUNCTION("""COMPUTED_VALUE"""),64.91589425513263)</f>
        <v>64.91589426</v>
      </c>
      <c r="G547" s="57">
        <f>IFERROR(__xludf.DUMMYFUNCTION("""COMPUTED_VALUE"""),8.0)</f>
        <v>8</v>
      </c>
      <c r="H547" s="58">
        <f>IFERROR(__xludf.DUMMYFUNCTION("iferror(if(B547="""", ,filter('IDR Import'!D:D,'IDR Import'!A:A=B547,'IDR Import'!C:C=A547)),)"),87.29539960278404)</f>
        <v>87.2953996</v>
      </c>
      <c r="I547" s="58">
        <v>76.10564692895834</v>
      </c>
      <c r="J547" s="59">
        <f t="shared" si="1"/>
        <v>8</v>
      </c>
    </row>
    <row r="548">
      <c r="A548" s="55" t="str">
        <f>IFERROR(__xludf.DUMMYFUNCTION("""COMPUTED_VALUE"""),"Rival")</f>
        <v>Rival</v>
      </c>
      <c r="B548" s="55" t="str">
        <f>IFERROR(__xludf.DUMMYFUNCTION("""COMPUTED_VALUE"""),"RSC002841")</f>
        <v>RSC002841</v>
      </c>
      <c r="C548" s="60" t="str">
        <f>IFERROR(__xludf.DUMMYFUNCTION("""COMPUTED_VALUE"""),"dyl")</f>
        <v>dyl</v>
      </c>
      <c r="D548" s="54" t="str">
        <f>IFERROR(__xludf.DUMMYFUNCTION("""COMPUTED_VALUE"""),"Barracudas")</f>
        <v>Barracudas</v>
      </c>
      <c r="E548" s="55" t="str">
        <f>IFERROR(__xludf.DUMMYFUNCTION("""COMPUTED_VALUE"""),"Lunar")</f>
        <v>Lunar</v>
      </c>
      <c r="F548" s="56">
        <f>IFERROR(__xludf.DUMMYFUNCTION("""COMPUTED_VALUE"""),64.49591452014542)</f>
        <v>64.49591452</v>
      </c>
      <c r="G548" s="57">
        <f>IFERROR(__xludf.DUMMYFUNCTION("""COMPUTED_VALUE"""),12.0)</f>
        <v>12</v>
      </c>
      <c r="H548" s="58">
        <f>IFERROR(__xludf.DUMMYFUNCTION("iferror(if(B548="""", ,filter('IDR Import'!D:D,'IDR Import'!A:A=B548,'IDR Import'!C:C=A548)),)"),61.4240118961022)</f>
        <v>61.4240119</v>
      </c>
      <c r="I548" s="58">
        <v>62.95996320812381</v>
      </c>
      <c r="J548" s="59">
        <f t="shared" si="1"/>
        <v>12</v>
      </c>
    </row>
    <row r="549">
      <c r="A549" s="55" t="str">
        <f>IFERROR(__xludf.DUMMYFUNCTION("""COMPUTED_VALUE"""),"Rival")</f>
        <v>Rival</v>
      </c>
      <c r="B549" s="55" t="str">
        <f>IFERROR(__xludf.DUMMYFUNCTION("""COMPUTED_VALUE"""),"RSC003017")</f>
        <v>RSC003017</v>
      </c>
      <c r="C549" s="60" t="str">
        <f>IFERROR(__xludf.DUMMYFUNCTION("""COMPUTED_VALUE"""),"AlanShoreEsq")</f>
        <v>AlanShoreEsq</v>
      </c>
      <c r="D549" s="54" t="str">
        <f>IFERROR(__xludf.DUMMYFUNCTION("""COMPUTED_VALUE"""),"Heavy Metal
Samurai")</f>
        <v>Heavy Metal
Samurai</v>
      </c>
      <c r="E549" s="55" t="str">
        <f>IFERROR(__xludf.DUMMYFUNCTION("""COMPUTED_VALUE"""),"Lunar
Lunar")</f>
        <v>Lunar
Lunar</v>
      </c>
      <c r="F549" s="56">
        <f>IFERROR(__xludf.DUMMYFUNCTION("""COMPUTED_VALUE"""),63.796980606133594)</f>
        <v>63.79698061</v>
      </c>
      <c r="G549" s="57">
        <f>IFERROR(__xludf.DUMMYFUNCTION("""COMPUTED_VALUE"""),7.0)</f>
        <v>7</v>
      </c>
      <c r="H549" s="58">
        <f>IFERROR(__xludf.DUMMYFUNCTION("iferror(if(B549="""", ,filter('IDR Import'!D:D,'IDR Import'!A:A=B549,'IDR Import'!C:C=A549)),)"),30.533558437359236)</f>
        <v>30.53355844</v>
      </c>
      <c r="I549" s="58">
        <v>47.16526952174642</v>
      </c>
      <c r="J549" s="59">
        <f t="shared" si="1"/>
        <v>7</v>
      </c>
    </row>
    <row r="550">
      <c r="A550" s="55" t="str">
        <f>IFERROR(__xludf.DUMMYFUNCTION("""COMPUTED_VALUE"""),"Rival")</f>
        <v>Rival</v>
      </c>
      <c r="B550" s="55" t="str">
        <f>IFERROR(__xludf.DUMMYFUNCTION("""COMPUTED_VALUE"""),"RSC000441")</f>
        <v>RSC000441</v>
      </c>
      <c r="C550" s="60" t="str">
        <f>IFERROR(__xludf.DUMMYFUNCTION("""COMPUTED_VALUE"""),"Wolfocus")</f>
        <v>Wolfocus</v>
      </c>
      <c r="D550" s="54" t="str">
        <f>IFERROR(__xludf.DUMMYFUNCTION("""COMPUTED_VALUE"""),"Black Ice")</f>
        <v>Black Ice</v>
      </c>
      <c r="E550" s="55" t="str">
        <f>IFERROR(__xludf.DUMMYFUNCTION("""COMPUTED_VALUE"""),"Solar")</f>
        <v>Solar</v>
      </c>
      <c r="F550" s="56">
        <f>IFERROR(__xludf.DUMMYFUNCTION("""COMPUTED_VALUE"""),63.13620478967104)</f>
        <v>63.13620479</v>
      </c>
      <c r="G550" s="57">
        <f>IFERROR(__xludf.DUMMYFUNCTION("""COMPUTED_VALUE"""),39.0)</f>
        <v>39</v>
      </c>
      <c r="H550" s="58">
        <f>IFERROR(__xludf.DUMMYFUNCTION("iferror(if(B550="""", ,filter('IDR Import'!D:D,'IDR Import'!A:A=B550,'IDR Import'!C:C=A550)),)"),75.75183416312281)</f>
        <v>75.75183416</v>
      </c>
      <c r="I550" s="58">
        <v>69.44401947639693</v>
      </c>
      <c r="J550" s="59">
        <f t="shared" si="1"/>
        <v>39</v>
      </c>
    </row>
    <row r="551">
      <c r="A551" s="55" t="str">
        <f>IFERROR(__xludf.DUMMYFUNCTION("""COMPUTED_VALUE"""),"Rival")</f>
        <v>Rival</v>
      </c>
      <c r="B551" s="55" t="str">
        <f>IFERROR(__xludf.DUMMYFUNCTION("""COMPUTED_VALUE"""),"RSC005752")</f>
        <v>RSC005752</v>
      </c>
      <c r="C551" s="60" t="str">
        <f>IFERROR(__xludf.DUMMYFUNCTION("""COMPUTED_VALUE"""),"Surge85")</f>
        <v>Surge85</v>
      </c>
      <c r="D551" s="54" t="str">
        <f>IFERROR(__xludf.DUMMYFUNCTION("""COMPUTED_VALUE"""),"Asiago Arsonists
Tax Evaders
Nightfall")</f>
        <v>Asiago Arsonists
Tax Evaders
Nightfall</v>
      </c>
      <c r="E551" s="55" t="str">
        <f>IFERROR(__xludf.DUMMYFUNCTION("""COMPUTED_VALUE"""),"Lunar
Lunar
Lunar")</f>
        <v>Lunar
Lunar
Lunar</v>
      </c>
      <c r="F551" s="56">
        <f>IFERROR(__xludf.DUMMYFUNCTION("""COMPUTED_VALUE"""),62.888780084292165)</f>
        <v>62.88878008</v>
      </c>
      <c r="G551" s="57">
        <f>IFERROR(__xludf.DUMMYFUNCTION("""COMPUTED_VALUE"""),52.0)</f>
        <v>52</v>
      </c>
      <c r="H551" s="58">
        <f>IFERROR(__xludf.DUMMYFUNCTION("iferror(if(B551="""", ,filter('IDR Import'!D:D,'IDR Import'!A:A=B551,'IDR Import'!C:C=A551)),)"),44.78098126161641)</f>
        <v>44.78098126</v>
      </c>
      <c r="I551" s="58">
        <v>53.834880672954284</v>
      </c>
      <c r="J551" s="59">
        <f t="shared" si="1"/>
        <v>52</v>
      </c>
    </row>
    <row r="552">
      <c r="A552" s="55" t="str">
        <f>IFERROR(__xludf.DUMMYFUNCTION("""COMPUTED_VALUE"""),"Rival")</f>
        <v>Rival</v>
      </c>
      <c r="B552" s="55" t="str">
        <f>IFERROR(__xludf.DUMMYFUNCTION("""COMPUTED_VALUE"""),"RSC008217")</f>
        <v>RSC008217</v>
      </c>
      <c r="C552" s="60" t="str">
        <f>IFERROR(__xludf.DUMMYFUNCTION("""COMPUTED_VALUE"""),"Legitmrmouse")</f>
        <v>Legitmrmouse</v>
      </c>
      <c r="D552" s="54" t="str">
        <f>IFERROR(__xludf.DUMMYFUNCTION("""COMPUTED_VALUE"""),"Polar Bears")</f>
        <v>Polar Bears</v>
      </c>
      <c r="E552" s="55" t="str">
        <f>IFERROR(__xludf.DUMMYFUNCTION("""COMPUTED_VALUE"""),"Solar")</f>
        <v>Solar</v>
      </c>
      <c r="F552" s="56">
        <f>IFERROR(__xludf.DUMMYFUNCTION("""COMPUTED_VALUE"""),62.221217978683846)</f>
        <v>62.22121798</v>
      </c>
      <c r="G552" s="57">
        <f>IFERROR(__xludf.DUMMYFUNCTION("""COMPUTED_VALUE"""),53.0)</f>
        <v>53</v>
      </c>
      <c r="H552" s="58">
        <f>IFERROR(__xludf.DUMMYFUNCTION("iferror(if(B552="""", ,filter('IDR Import'!D:D,'IDR Import'!A:A=B552,'IDR Import'!C:C=A552)),)"),57.29798213487247)</f>
        <v>57.29798213</v>
      </c>
      <c r="I552" s="58">
        <v>59.759600056778154</v>
      </c>
      <c r="J552" s="59">
        <f t="shared" si="1"/>
        <v>53</v>
      </c>
    </row>
    <row r="553">
      <c r="A553" s="55" t="str">
        <f>IFERROR(__xludf.DUMMYFUNCTION("""COMPUTED_VALUE"""),"Rival")</f>
        <v>Rival</v>
      </c>
      <c r="B553" s="55" t="str">
        <f>IFERROR(__xludf.DUMMYFUNCTION("""COMPUTED_VALUE"""),"RSC007604")</f>
        <v>RSC007604</v>
      </c>
      <c r="C553" s="60" t="str">
        <f>IFERROR(__xludf.DUMMYFUNCTION("""COMPUTED_VALUE"""),"RiisenJT")</f>
        <v>RiisenJT</v>
      </c>
      <c r="D553" s="54" t="str">
        <f>IFERROR(__xludf.DUMMYFUNCTION("""COMPUTED_VALUE"""),"Ocelots
Wind")</f>
        <v>Ocelots
Wind</v>
      </c>
      <c r="E553" s="55" t="str">
        <f>IFERROR(__xludf.DUMMYFUNCTION("""COMPUTED_VALUE"""),"Solar
Solar")</f>
        <v>Solar
Solar</v>
      </c>
      <c r="F553" s="56">
        <f>IFERROR(__xludf.DUMMYFUNCTION("""COMPUTED_VALUE"""),61.93334547988412)</f>
        <v>61.93334548</v>
      </c>
      <c r="G553" s="57">
        <f>IFERROR(__xludf.DUMMYFUNCTION("""COMPUTED_VALUE"""),41.0)</f>
        <v>41</v>
      </c>
      <c r="H553" s="58">
        <f>IFERROR(__xludf.DUMMYFUNCTION("iferror(if(B553="""", ,filter('IDR Import'!D:D,'IDR Import'!A:A=B553,'IDR Import'!C:C=A553)),)"),73.69816356320233)</f>
        <v>73.69816356</v>
      </c>
      <c r="I553" s="58">
        <v>67.81575452154323</v>
      </c>
      <c r="J553" s="59">
        <f t="shared" si="1"/>
        <v>41</v>
      </c>
    </row>
    <row r="554">
      <c r="A554" s="55" t="str">
        <f>IFERROR(__xludf.DUMMYFUNCTION("""COMPUTED_VALUE"""),"Rival")</f>
        <v>Rival</v>
      </c>
      <c r="B554" s="55" t="str">
        <f>IFERROR(__xludf.DUMMYFUNCTION("""COMPUTED_VALUE"""),"RSC006543")</f>
        <v>RSC006543</v>
      </c>
      <c r="C554" s="60" t="str">
        <f>IFERROR(__xludf.DUMMYFUNCTION("""COMPUTED_VALUE"""),"MasonJar")</f>
        <v>MasonJar</v>
      </c>
      <c r="D554" s="54" t="str">
        <f>IFERROR(__xludf.DUMMYFUNCTION("""COMPUTED_VALUE"""),"Ocelots")</f>
        <v>Ocelots</v>
      </c>
      <c r="E554" s="55" t="str">
        <f>IFERROR(__xludf.DUMMYFUNCTION("""COMPUTED_VALUE"""),"Solar")</f>
        <v>Solar</v>
      </c>
      <c r="F554" s="56">
        <f>IFERROR(__xludf.DUMMYFUNCTION("""COMPUTED_VALUE"""),61.82760665161497)</f>
        <v>61.82760665</v>
      </c>
      <c r="G554" s="57">
        <f>IFERROR(__xludf.DUMMYFUNCTION("""COMPUTED_VALUE"""),39.0)</f>
        <v>39</v>
      </c>
      <c r="H554" s="58">
        <f>IFERROR(__xludf.DUMMYFUNCTION("iferror(if(B554="""", ,filter('IDR Import'!D:D,'IDR Import'!A:A=B554,'IDR Import'!C:C=A554)),)"),41.948214584594794)</f>
        <v>41.94821458</v>
      </c>
      <c r="I554" s="58">
        <v>51.88791061810488</v>
      </c>
      <c r="J554" s="59">
        <f t="shared" si="1"/>
        <v>39</v>
      </c>
    </row>
    <row r="555">
      <c r="A555" s="55" t="str">
        <f>IFERROR(__xludf.DUMMYFUNCTION("""COMPUTED_VALUE"""),"Rival")</f>
        <v>Rival</v>
      </c>
      <c r="B555" s="55" t="str">
        <f>IFERROR(__xludf.DUMMYFUNCTION("""COMPUTED_VALUE"""),"RSC005386")</f>
        <v>RSC005386</v>
      </c>
      <c r="C555" s="60" t="str">
        <f>IFERROR(__xludf.DUMMYFUNCTION("""COMPUTED_VALUE"""),"Danub")</f>
        <v>Danub</v>
      </c>
      <c r="D555" s="54" t="str">
        <f>IFERROR(__xludf.DUMMYFUNCTION("""COMPUTED_VALUE"""),"Phantoms")</f>
        <v>Phantoms</v>
      </c>
      <c r="E555" s="55" t="str">
        <f>IFERROR(__xludf.DUMMYFUNCTION("""COMPUTED_VALUE"""),"Lunar")</f>
        <v>Lunar</v>
      </c>
      <c r="F555" s="56">
        <f>IFERROR(__xludf.DUMMYFUNCTION("""COMPUTED_VALUE"""),61.44285238419172)</f>
        <v>61.44285238</v>
      </c>
      <c r="G555" s="57">
        <f>IFERROR(__xludf.DUMMYFUNCTION("""COMPUTED_VALUE"""),42.0)</f>
        <v>42</v>
      </c>
      <c r="H555" s="58">
        <f>IFERROR(__xludf.DUMMYFUNCTION("iferror(if(B555="""", ,filter('IDR Import'!D:D,'IDR Import'!A:A=B555,'IDR Import'!C:C=A555)),)"),54.17819816805246)</f>
        <v>54.17819817</v>
      </c>
      <c r="I555" s="58">
        <v>57.81052527612209</v>
      </c>
      <c r="J555" s="59">
        <f t="shared" si="1"/>
        <v>42</v>
      </c>
    </row>
    <row r="556">
      <c r="A556" s="55" t="str">
        <f>IFERROR(__xludf.DUMMYFUNCTION("""COMPUTED_VALUE"""),"Rival")</f>
        <v>Rival</v>
      </c>
      <c r="B556" s="55" t="str">
        <f>IFERROR(__xludf.DUMMYFUNCTION("""COMPUTED_VALUE"""),"RSC005827")</f>
        <v>RSC005827</v>
      </c>
      <c r="C556" s="60" t="str">
        <f>IFERROR(__xludf.DUMMYFUNCTION("""COMPUTED_VALUE"""),"Machi")</f>
        <v>Machi</v>
      </c>
      <c r="D556" s="54" t="str">
        <f>IFERROR(__xludf.DUMMYFUNCTION("""COMPUTED_VALUE"""),"Ocelots")</f>
        <v>Ocelots</v>
      </c>
      <c r="E556" s="55" t="str">
        <f>IFERROR(__xludf.DUMMYFUNCTION("""COMPUTED_VALUE"""),"Solar")</f>
        <v>Solar</v>
      </c>
      <c r="F556" s="56">
        <f>IFERROR(__xludf.DUMMYFUNCTION("""COMPUTED_VALUE"""),61.08667875633823)</f>
        <v>61.08667876</v>
      </c>
      <c r="G556" s="57">
        <f>IFERROR(__xludf.DUMMYFUNCTION("""COMPUTED_VALUE"""),12.0)</f>
        <v>12</v>
      </c>
      <c r="H556" s="58">
        <f>IFERROR(__xludf.DUMMYFUNCTION("iferror(if(B556="""", ,filter('IDR Import'!D:D,'IDR Import'!A:A=B556,'IDR Import'!C:C=A556)),)"),51.7284785952007)</f>
        <v>51.7284786</v>
      </c>
      <c r="I556" s="58">
        <v>56.407578675769464</v>
      </c>
      <c r="J556" s="59">
        <f t="shared" si="1"/>
        <v>12</v>
      </c>
    </row>
    <row r="557">
      <c r="A557" s="55" t="str">
        <f>IFERROR(__xludf.DUMMYFUNCTION("""COMPUTED_VALUE"""),"Rival")</f>
        <v>Rival</v>
      </c>
      <c r="B557" s="55" t="str">
        <f>IFERROR(__xludf.DUMMYFUNCTION("""COMPUTED_VALUE"""),"RSC001720")</f>
        <v>RSC001720</v>
      </c>
      <c r="C557" s="60" t="str">
        <f>IFERROR(__xludf.DUMMYFUNCTION("""COMPUTED_VALUE"""),"SUPERDUPERBAM")</f>
        <v>SUPERDUPERBAM</v>
      </c>
      <c r="D557" s="54" t="str">
        <f>IFERROR(__xludf.DUMMYFUNCTION("""COMPUTED_VALUE"""),"Lightning
Gaboons
Centuriones
Tax Evaders
Heavy Metal
Guards")</f>
        <v>Lightning
Gaboons
Centuriones
Tax Evaders
Heavy Metal
Guards</v>
      </c>
      <c r="E557" s="55" t="str">
        <f>IFERROR(__xludf.DUMMYFUNCTION("""COMPUTED_VALUE"""),"Lunar
Lunar
Solar
Lunar
Lunar
Lunar")</f>
        <v>Lunar
Lunar
Solar
Lunar
Lunar
Lunar</v>
      </c>
      <c r="F557" s="56">
        <f>IFERROR(__xludf.DUMMYFUNCTION("""COMPUTED_VALUE"""),60.5544957103385)</f>
        <v>60.55449571</v>
      </c>
      <c r="G557" s="57">
        <f>IFERROR(__xludf.DUMMYFUNCTION("""COMPUTED_VALUE"""),24.0)</f>
        <v>24</v>
      </c>
      <c r="H557" s="58">
        <f>IFERROR(__xludf.DUMMYFUNCTION("iferror(if(B557="""", ,filter('IDR Import'!D:D,'IDR Import'!A:A=B557,'IDR Import'!C:C=A557)),)"),62.404049363512385)</f>
        <v>62.40404936</v>
      </c>
      <c r="I557" s="58">
        <v>61.47927253692544</v>
      </c>
      <c r="J557" s="59">
        <f t="shared" si="1"/>
        <v>24</v>
      </c>
    </row>
    <row r="558">
      <c r="A558" s="55" t="str">
        <f>IFERROR(__xludf.DUMMYFUNCTION("""COMPUTED_VALUE"""),"Rival")</f>
        <v>Rival</v>
      </c>
      <c r="B558" s="55" t="str">
        <f>IFERROR(__xludf.DUMMYFUNCTION("""COMPUTED_VALUE"""),"RSC007613")</f>
        <v>RSC007613</v>
      </c>
      <c r="C558" s="60" t="str">
        <f>IFERROR(__xludf.DUMMYFUNCTION("""COMPUTED_VALUE"""),"Squatch70")</f>
        <v>Squatch70</v>
      </c>
      <c r="D558" s="54" t="str">
        <f>IFERROR(__xludf.DUMMYFUNCTION("""COMPUTED_VALUE"""),"Howlers")</f>
        <v>Howlers</v>
      </c>
      <c r="E558" s="55" t="str">
        <f>IFERROR(__xludf.DUMMYFUNCTION("""COMPUTED_VALUE"""),"Solar")</f>
        <v>Solar</v>
      </c>
      <c r="F558" s="56">
        <f>IFERROR(__xludf.DUMMYFUNCTION("""COMPUTED_VALUE"""),60.19926525286341)</f>
        <v>60.19926525</v>
      </c>
      <c r="G558" s="57">
        <f>IFERROR(__xludf.DUMMYFUNCTION("""COMPUTED_VALUE"""),53.0)</f>
        <v>53</v>
      </c>
      <c r="H558" s="58">
        <f>IFERROR(__xludf.DUMMYFUNCTION("iferror(if(B558="""", ,filter('IDR Import'!D:D,'IDR Import'!A:A=B558,'IDR Import'!C:C=A558)),)"),66.75760118091085)</f>
        <v>66.75760118</v>
      </c>
      <c r="I558" s="58">
        <v>63.47843321688713</v>
      </c>
      <c r="J558" s="59">
        <f t="shared" si="1"/>
        <v>53</v>
      </c>
    </row>
    <row r="559">
      <c r="A559" s="55" t="str">
        <f>IFERROR(__xludf.DUMMYFUNCTION("""COMPUTED_VALUE"""),"Rival")</f>
        <v>Rival</v>
      </c>
      <c r="B559" s="55" t="str">
        <f>IFERROR(__xludf.DUMMYFUNCTION("""COMPUTED_VALUE"""),"RSC006072")</f>
        <v>RSC006072</v>
      </c>
      <c r="C559" s="60" t="str">
        <f>IFERROR(__xludf.DUMMYFUNCTION("""COMPUTED_VALUE"""),"AveX InceptionZ")</f>
        <v>AveX InceptionZ</v>
      </c>
      <c r="D559" s="54" t="str">
        <f>IFERROR(__xludf.DUMMYFUNCTION("""COMPUTED_VALUE"""),"Kitsune")</f>
        <v>Kitsune</v>
      </c>
      <c r="E559" s="55" t="str">
        <f>IFERROR(__xludf.DUMMYFUNCTION("""COMPUTED_VALUE"""),"Solar")</f>
        <v>Solar</v>
      </c>
      <c r="F559" s="56">
        <f>IFERROR(__xludf.DUMMYFUNCTION("""COMPUTED_VALUE"""),60.11291081270869)</f>
        <v>60.11291081</v>
      </c>
      <c r="G559" s="57">
        <f>IFERROR(__xludf.DUMMYFUNCTION("""COMPUTED_VALUE"""),48.0)</f>
        <v>48</v>
      </c>
      <c r="H559" s="58">
        <f>IFERROR(__xludf.DUMMYFUNCTION("iferror(if(B559="""", ,filter('IDR Import'!D:D,'IDR Import'!A:A=B559,'IDR Import'!C:C=A559)),)"),53.271232713048896)</f>
        <v>53.27123271</v>
      </c>
      <c r="I559" s="58">
        <v>56.6920717628788</v>
      </c>
      <c r="J559" s="59">
        <f t="shared" si="1"/>
        <v>48</v>
      </c>
    </row>
    <row r="560">
      <c r="A560" s="55" t="str">
        <f>IFERROR(__xludf.DUMMYFUNCTION("""COMPUTED_VALUE"""),"Rival")</f>
        <v>Rival</v>
      </c>
      <c r="B560" s="55" t="str">
        <f>IFERROR(__xludf.DUMMYFUNCTION("""COMPUTED_VALUE"""),"RSC006935")</f>
        <v>RSC006935</v>
      </c>
      <c r="C560" s="60" t="str">
        <f>IFERROR(__xludf.DUMMYFUNCTION("""COMPUTED_VALUE"""),"Bazzinga")</f>
        <v>Bazzinga</v>
      </c>
      <c r="D560" s="54" t="str">
        <f>IFERROR(__xludf.DUMMYFUNCTION("""COMPUTED_VALUE"""),"Lacuna")</f>
        <v>Lacuna</v>
      </c>
      <c r="E560" s="55" t="str">
        <f>IFERROR(__xludf.DUMMYFUNCTION("""COMPUTED_VALUE"""),"Solar")</f>
        <v>Solar</v>
      </c>
      <c r="F560" s="56">
        <f>IFERROR(__xludf.DUMMYFUNCTION("""COMPUTED_VALUE"""),60.06231599771014)</f>
        <v>60.062316</v>
      </c>
      <c r="G560" s="57">
        <f>IFERROR(__xludf.DUMMYFUNCTION("""COMPUTED_VALUE"""),55.0)</f>
        <v>55</v>
      </c>
      <c r="H560" s="58">
        <f>IFERROR(__xludf.DUMMYFUNCTION("iferror(if(B560="""", ,filter('IDR Import'!D:D,'IDR Import'!A:A=B560,'IDR Import'!C:C=A560)),)"),66.03540639645739)</f>
        <v>66.0354064</v>
      </c>
      <c r="I560" s="58">
        <v>63.04886119708377</v>
      </c>
      <c r="J560" s="59">
        <f t="shared" si="1"/>
        <v>55</v>
      </c>
    </row>
    <row r="561">
      <c r="A561" s="55" t="str">
        <f>IFERROR(__xludf.DUMMYFUNCTION("""COMPUTED_VALUE"""),"Rival")</f>
        <v>Rival</v>
      </c>
      <c r="B561" s="55" t="str">
        <f>IFERROR(__xludf.DUMMYFUNCTION("""COMPUTED_VALUE"""),"RSC006625")</f>
        <v>RSC006625</v>
      </c>
      <c r="C561" s="60" t="str">
        <f>IFERROR(__xludf.DUMMYFUNCTION("""COMPUTED_VALUE"""),"FrogDrivesCar")</f>
        <v>FrogDrivesCar</v>
      </c>
      <c r="D561" s="54" t="str">
        <f>IFERROR(__xludf.DUMMYFUNCTION("""COMPUTED_VALUE"""),"Mining Legion")</f>
        <v>Mining Legion</v>
      </c>
      <c r="E561" s="55" t="str">
        <f>IFERROR(__xludf.DUMMYFUNCTION("""COMPUTED_VALUE"""),"Lunar")</f>
        <v>Lunar</v>
      </c>
      <c r="F561" s="56">
        <f>IFERROR(__xludf.DUMMYFUNCTION("""COMPUTED_VALUE"""),59.75398531247133)</f>
        <v>59.75398531</v>
      </c>
      <c r="G561" s="57">
        <f>IFERROR(__xludf.DUMMYFUNCTION("""COMPUTED_VALUE"""),36.0)</f>
        <v>36</v>
      </c>
      <c r="H561" s="58">
        <f>IFERROR(__xludf.DUMMYFUNCTION("iferror(if(B561="""", ,filter('IDR Import'!D:D,'IDR Import'!A:A=B561,'IDR Import'!C:C=A561)),)"),73.6893659781883)</f>
        <v>73.68936598</v>
      </c>
      <c r="I561" s="58">
        <v>66.72167564532981</v>
      </c>
      <c r="J561" s="59">
        <f t="shared" si="1"/>
        <v>36</v>
      </c>
    </row>
    <row r="562">
      <c r="A562" s="55" t="str">
        <f>IFERROR(__xludf.DUMMYFUNCTION("""COMPUTED_VALUE"""),"Rival")</f>
        <v>Rival</v>
      </c>
      <c r="B562" s="55" t="str">
        <f>IFERROR(__xludf.DUMMYFUNCTION("""COMPUTED_VALUE"""),"RSC008487")</f>
        <v>RSC008487</v>
      </c>
      <c r="C562" s="60" t="str">
        <f>IFERROR(__xludf.DUMMYFUNCTION("""COMPUTED_VALUE"""),"S3 UniQ")</f>
        <v>S3 UniQ</v>
      </c>
      <c r="D562" s="54" t="str">
        <f>IFERROR(__xludf.DUMMYFUNCTION("""COMPUTED_VALUE"""),"Samurai
Tax Evaders
Phantoms
Ruthless Racket")</f>
        <v>Samurai
Tax Evaders
Phantoms
Ruthless Racket</v>
      </c>
      <c r="E562" s="55" t="str">
        <f>IFERROR(__xludf.DUMMYFUNCTION("""COMPUTED_VALUE"""),"Lunar
Lunar
Lunar
Lunar")</f>
        <v>Lunar
Lunar
Lunar
Lunar</v>
      </c>
      <c r="F562" s="56">
        <f>IFERROR(__xludf.DUMMYFUNCTION("""COMPUTED_VALUE"""),59.63905424774159)</f>
        <v>59.63905425</v>
      </c>
      <c r="G562" s="57">
        <f>IFERROR(__xludf.DUMMYFUNCTION("""COMPUTED_VALUE"""),50.0)</f>
        <v>50</v>
      </c>
      <c r="H562" s="58">
        <f>IFERROR(__xludf.DUMMYFUNCTION("iferror(if(B562="""", ,filter('IDR Import'!D:D,'IDR Import'!A:A=B562,'IDR Import'!C:C=A562)),)"),59.6067832801195)</f>
        <v>59.60678328</v>
      </c>
      <c r="I562" s="58">
        <v>59.62291876393054</v>
      </c>
      <c r="J562" s="59">
        <f t="shared" si="1"/>
        <v>50</v>
      </c>
    </row>
    <row r="563">
      <c r="A563" s="55" t="str">
        <f>IFERROR(__xludf.DUMMYFUNCTION("""COMPUTED_VALUE"""),"Rival")</f>
        <v>Rival</v>
      </c>
      <c r="B563" s="55" t="str">
        <f>IFERROR(__xludf.DUMMYFUNCTION("""COMPUTED_VALUE"""),"RSC000136")</f>
        <v>RSC000136</v>
      </c>
      <c r="C563" s="60" t="str">
        <f>IFERROR(__xludf.DUMMYFUNCTION("""COMPUTED_VALUE"""),"Blun")</f>
        <v>Blun</v>
      </c>
      <c r="D563" s="54" t="str">
        <f>IFERROR(__xludf.DUMMYFUNCTION("""COMPUTED_VALUE"""),"Hue Heroes")</f>
        <v>Hue Heroes</v>
      </c>
      <c r="E563" s="55" t="str">
        <f>IFERROR(__xludf.DUMMYFUNCTION("""COMPUTED_VALUE"""),"Solar")</f>
        <v>Solar</v>
      </c>
      <c r="F563" s="56">
        <f>IFERROR(__xludf.DUMMYFUNCTION("""COMPUTED_VALUE"""),59.46737285927097)</f>
        <v>59.46737286</v>
      </c>
      <c r="G563" s="57">
        <f>IFERROR(__xludf.DUMMYFUNCTION("""COMPUTED_VALUE"""),43.0)</f>
        <v>43</v>
      </c>
      <c r="H563" s="58">
        <f>IFERROR(__xludf.DUMMYFUNCTION("iferror(if(B563="""", ,filter('IDR Import'!D:D,'IDR Import'!A:A=B563,'IDR Import'!C:C=A563)),)"),67.69614696049683)</f>
        <v>67.69614696</v>
      </c>
      <c r="I563" s="58">
        <v>63.5817599098839</v>
      </c>
      <c r="J563" s="59">
        <f t="shared" si="1"/>
        <v>43</v>
      </c>
    </row>
    <row r="564">
      <c r="A564" s="55" t="str">
        <f>IFERROR(__xludf.DUMMYFUNCTION("""COMPUTED_VALUE"""),"Rival")</f>
        <v>Rival</v>
      </c>
      <c r="B564" s="55" t="str">
        <f>IFERROR(__xludf.DUMMYFUNCTION("""COMPUTED_VALUE"""),"RSC008507")</f>
        <v>RSC008507</v>
      </c>
      <c r="C564" s="60" t="str">
        <f>IFERROR(__xludf.DUMMYFUNCTION("""COMPUTED_VALUE"""),"Unc Jeebs")</f>
        <v>Unc Jeebs</v>
      </c>
      <c r="D564" s="54" t="str">
        <f>IFERROR(__xludf.DUMMYFUNCTION("""COMPUTED_VALUE"""),"Lacuna
Scramjets")</f>
        <v>Lacuna
Scramjets</v>
      </c>
      <c r="E564" s="55" t="str">
        <f>IFERROR(__xludf.DUMMYFUNCTION("""COMPUTED_VALUE"""),"Solar
Lunar")</f>
        <v>Solar
Lunar</v>
      </c>
      <c r="F564" s="56">
        <f>IFERROR(__xludf.DUMMYFUNCTION("""COMPUTED_VALUE"""),59.35241772359233)</f>
        <v>59.35241772</v>
      </c>
      <c r="G564" s="57">
        <f>IFERROR(__xludf.DUMMYFUNCTION("""COMPUTED_VALUE"""),37.0)</f>
        <v>37</v>
      </c>
      <c r="H564" s="58">
        <f>IFERROR(__xludf.DUMMYFUNCTION("iferror(if(B564="""", ,filter('IDR Import'!D:D,'IDR Import'!A:A=B564,'IDR Import'!C:C=A564)),)"),65.77135185894655)</f>
        <v>65.77135186</v>
      </c>
      <c r="I564" s="58">
        <v>62.561884791269435</v>
      </c>
      <c r="J564" s="59">
        <f t="shared" si="1"/>
        <v>37</v>
      </c>
    </row>
    <row r="565">
      <c r="A565" s="55" t="str">
        <f>IFERROR(__xludf.DUMMYFUNCTION("""COMPUTED_VALUE"""),"Rival")</f>
        <v>Rival</v>
      </c>
      <c r="B565" s="55" t="str">
        <f>IFERROR(__xludf.DUMMYFUNCTION("""COMPUTED_VALUE"""),"RSC008138")</f>
        <v>RSC008138</v>
      </c>
      <c r="C565" s="60" t="str">
        <f>IFERROR(__xludf.DUMMYFUNCTION("""COMPUTED_VALUE"""),"Skillz Issue")</f>
        <v>Skillz Issue</v>
      </c>
      <c r="D565" s="54" t="str">
        <f>IFERROR(__xludf.DUMMYFUNCTION("""COMPUTED_VALUE"""),"Samurai
Quasars")</f>
        <v>Samurai
Quasars</v>
      </c>
      <c r="E565" s="55" t="str">
        <f>IFERROR(__xludf.DUMMYFUNCTION("""COMPUTED_VALUE"""),"Lunar
Lunar")</f>
        <v>Lunar
Lunar</v>
      </c>
      <c r="F565" s="56">
        <f>IFERROR(__xludf.DUMMYFUNCTION("""COMPUTED_VALUE"""),58.91150839940731)</f>
        <v>58.9115084</v>
      </c>
      <c r="G565" s="57">
        <f>IFERROR(__xludf.DUMMYFUNCTION("""COMPUTED_VALUE"""),35.0)</f>
        <v>35</v>
      </c>
      <c r="H565" s="58">
        <f>IFERROR(__xludf.DUMMYFUNCTION("iferror(if(B565="""", ,filter('IDR Import'!D:D,'IDR Import'!A:A=B565,'IDR Import'!C:C=A565)),)"),54.7814100368658)</f>
        <v>54.78141004</v>
      </c>
      <c r="I565" s="58">
        <v>56.84645921813656</v>
      </c>
      <c r="J565" s="59">
        <f t="shared" si="1"/>
        <v>35</v>
      </c>
    </row>
    <row r="566">
      <c r="A566" s="55" t="str">
        <f>IFERROR(__xludf.DUMMYFUNCTION("""COMPUTED_VALUE"""),"Rival")</f>
        <v>Rival</v>
      </c>
      <c r="B566" s="55" t="str">
        <f>IFERROR(__xludf.DUMMYFUNCTION("""COMPUTED_VALUE"""),"RSC008173")</f>
        <v>RSC008173</v>
      </c>
      <c r="C566" s="60" t="str">
        <f>IFERROR(__xludf.DUMMYFUNCTION("""COMPUTED_VALUE"""),"Wild Thing")</f>
        <v>Wild Thing</v>
      </c>
      <c r="D566" s="54" t="str">
        <f>IFERROR(__xludf.DUMMYFUNCTION("""COMPUTED_VALUE"""),"Primo")</f>
        <v>Primo</v>
      </c>
      <c r="E566" s="55" t="str">
        <f>IFERROR(__xludf.DUMMYFUNCTION("""COMPUTED_VALUE"""),"Solar")</f>
        <v>Solar</v>
      </c>
      <c r="F566" s="56">
        <f>IFERROR(__xludf.DUMMYFUNCTION("""COMPUTED_VALUE"""),58.74497518457866)</f>
        <v>58.74497518</v>
      </c>
      <c r="G566" s="57">
        <f>IFERROR(__xludf.DUMMYFUNCTION("""COMPUTED_VALUE"""),55.0)</f>
        <v>55</v>
      </c>
      <c r="H566" s="58">
        <f>IFERROR(__xludf.DUMMYFUNCTION("iferror(if(B566="""", ,filter('IDR Import'!D:D,'IDR Import'!A:A=B566,'IDR Import'!C:C=A566)),)"),69.40534216975314)</f>
        <v>69.40534217</v>
      </c>
      <c r="I566" s="58">
        <v>64.0751586771659</v>
      </c>
      <c r="J566" s="59">
        <f t="shared" si="1"/>
        <v>55</v>
      </c>
    </row>
    <row r="567">
      <c r="A567" s="55" t="str">
        <f>IFERROR(__xludf.DUMMYFUNCTION("""COMPUTED_VALUE"""),"Rival")</f>
        <v>Rival</v>
      </c>
      <c r="B567" s="55" t="str">
        <f>IFERROR(__xludf.DUMMYFUNCTION("""COMPUTED_VALUE"""),"RSC008119")</f>
        <v>RSC008119</v>
      </c>
      <c r="C567" s="60" t="str">
        <f>IFERROR(__xludf.DUMMYFUNCTION("""COMPUTED_VALUE"""),"SlimmySlimReaper")</f>
        <v>SlimmySlimReaper</v>
      </c>
      <c r="D567" s="54" t="str">
        <f>IFERROR(__xludf.DUMMYFUNCTION("""COMPUTED_VALUE"""),"Tax Evaders
Black Ice
Barracudas
Liars")</f>
        <v>Tax Evaders
Black Ice
Barracudas
Liars</v>
      </c>
      <c r="E567" s="55" t="str">
        <f>IFERROR(__xludf.DUMMYFUNCTION("""COMPUTED_VALUE"""),"Lunar
Solar
Lunar
Solar")</f>
        <v>Lunar
Solar
Lunar
Solar</v>
      </c>
      <c r="F567" s="56">
        <f>IFERROR(__xludf.DUMMYFUNCTION("""COMPUTED_VALUE"""),58.733612049473706)</f>
        <v>58.73361205</v>
      </c>
      <c r="G567" s="57">
        <f>IFERROR(__xludf.DUMMYFUNCTION("""COMPUTED_VALUE"""),16.0)</f>
        <v>16</v>
      </c>
      <c r="H567" s="58">
        <f>IFERROR(__xludf.DUMMYFUNCTION("iferror(if(B567="""", ,filter('IDR Import'!D:D,'IDR Import'!A:A=B567,'IDR Import'!C:C=A567)),)"),54.428584824272164)</f>
        <v>54.42858482</v>
      </c>
      <c r="I567" s="58">
        <v>56.581098436872935</v>
      </c>
      <c r="J567" s="59">
        <f t="shared" si="1"/>
        <v>16</v>
      </c>
    </row>
    <row r="568">
      <c r="A568" s="55" t="str">
        <f>IFERROR(__xludf.DUMMYFUNCTION("""COMPUTED_VALUE"""),"Rival")</f>
        <v>Rival</v>
      </c>
      <c r="B568" s="55" t="str">
        <f>IFERROR(__xludf.DUMMYFUNCTION("""COMPUTED_VALUE"""),"RSC006187")</f>
        <v>RSC006187</v>
      </c>
      <c r="C568" s="60" t="str">
        <f>IFERROR(__xludf.DUMMYFUNCTION("""COMPUTED_VALUE"""),"1999 Toyota Camry")</f>
        <v>1999 Toyota Camry</v>
      </c>
      <c r="D568" s="54" t="str">
        <f>IFERROR(__xludf.DUMMYFUNCTION("""COMPUTED_VALUE"""),"Gaboons")</f>
        <v>Gaboons</v>
      </c>
      <c r="E568" s="55" t="str">
        <f>IFERROR(__xludf.DUMMYFUNCTION("""COMPUTED_VALUE"""),"Lunar")</f>
        <v>Lunar</v>
      </c>
      <c r="F568" s="56">
        <f>IFERROR(__xludf.DUMMYFUNCTION("""COMPUTED_VALUE"""),58.11622792148878)</f>
        <v>58.11622792</v>
      </c>
      <c r="G568" s="57">
        <f>IFERROR(__xludf.DUMMYFUNCTION("""COMPUTED_VALUE"""),16.0)</f>
        <v>16</v>
      </c>
      <c r="H568" s="58">
        <f>IFERROR(__xludf.DUMMYFUNCTION("iferror(if(B568="""", ,filter('IDR Import'!D:D,'IDR Import'!A:A=B568,'IDR Import'!C:C=A568)),)"),69.53756442171503)</f>
        <v>69.53756442</v>
      </c>
      <c r="I568" s="58">
        <v>63.8268961716019</v>
      </c>
      <c r="J568" s="59">
        <f t="shared" si="1"/>
        <v>16</v>
      </c>
    </row>
    <row r="569">
      <c r="A569" s="55" t="str">
        <f>IFERROR(__xludf.DUMMYFUNCTION("""COMPUTED_VALUE"""),"Rival")</f>
        <v>Rival</v>
      </c>
      <c r="B569" s="55" t="str">
        <f>IFERROR(__xludf.DUMMYFUNCTION("""COMPUTED_VALUE"""),"RSC008191")</f>
        <v>RSC008191</v>
      </c>
      <c r="C569" s="60" t="str">
        <f>IFERROR(__xludf.DUMMYFUNCTION("""COMPUTED_VALUE"""),"Crowbar7570")</f>
        <v>Crowbar7570</v>
      </c>
      <c r="D569" s="54" t="str">
        <f>IFERROR(__xludf.DUMMYFUNCTION("""COMPUTED_VALUE"""),"Guards")</f>
        <v>Guards</v>
      </c>
      <c r="E569" s="55" t="str">
        <f>IFERROR(__xludf.DUMMYFUNCTION("""COMPUTED_VALUE"""),"Lunar")</f>
        <v>Lunar</v>
      </c>
      <c r="F569" s="56">
        <f>IFERROR(__xludf.DUMMYFUNCTION("""COMPUTED_VALUE"""),57.88462574620497)</f>
        <v>57.88462575</v>
      </c>
      <c r="G569" s="57">
        <f>IFERROR(__xludf.DUMMYFUNCTION("""COMPUTED_VALUE"""),43.0)</f>
        <v>43</v>
      </c>
      <c r="H569" s="58">
        <f>IFERROR(__xludf.DUMMYFUNCTION("iferror(if(B569="""", ,filter('IDR Import'!D:D,'IDR Import'!A:A=B569,'IDR Import'!C:C=A569)),)"),55.758437526420245)</f>
        <v>55.75843753</v>
      </c>
      <c r="I569" s="58">
        <v>56.821531636312606</v>
      </c>
      <c r="J569" s="59">
        <f t="shared" si="1"/>
        <v>43</v>
      </c>
    </row>
    <row r="570">
      <c r="A570" s="55" t="str">
        <f>IFERROR(__xludf.DUMMYFUNCTION("""COMPUTED_VALUE"""),"Rival")</f>
        <v>Rival</v>
      </c>
      <c r="B570" s="55" t="str">
        <f>IFERROR(__xludf.DUMMYFUNCTION("""COMPUTED_VALUE"""),"RSC007960")</f>
        <v>RSC007960</v>
      </c>
      <c r="C570" s="60" t="str">
        <f>IFERROR(__xludf.DUMMYFUNCTION("""COMPUTED_VALUE"""),"Kayo")</f>
        <v>Kayo</v>
      </c>
      <c r="D570" s="54" t="str">
        <f>IFERROR(__xludf.DUMMYFUNCTION("""COMPUTED_VALUE"""),"Scramjets")</f>
        <v>Scramjets</v>
      </c>
      <c r="E570" s="55" t="str">
        <f>IFERROR(__xludf.DUMMYFUNCTION("""COMPUTED_VALUE"""),"Lunar")</f>
        <v>Lunar</v>
      </c>
      <c r="F570" s="56">
        <f>IFERROR(__xludf.DUMMYFUNCTION("""COMPUTED_VALUE"""),57.769160459465375)</f>
        <v>57.76916046</v>
      </c>
      <c r="G570" s="57">
        <f>IFERROR(__xludf.DUMMYFUNCTION("""COMPUTED_VALUE"""),48.0)</f>
        <v>48</v>
      </c>
      <c r="H570" s="58">
        <f>IFERROR(__xludf.DUMMYFUNCTION("iferror(if(B570="""", ,filter('IDR Import'!D:D,'IDR Import'!A:A=B570,'IDR Import'!C:C=A570)),)"),67.45897958626955)</f>
        <v>67.45897959</v>
      </c>
      <c r="I570" s="58">
        <v>62.614070022867466</v>
      </c>
      <c r="J570" s="59">
        <f t="shared" si="1"/>
        <v>48</v>
      </c>
    </row>
    <row r="571">
      <c r="A571" s="55" t="str">
        <f>IFERROR(__xludf.DUMMYFUNCTION("""COMPUTED_VALUE"""),"Rival")</f>
        <v>Rival</v>
      </c>
      <c r="B571" s="55" t="str">
        <f>IFERROR(__xludf.DUMMYFUNCTION("""COMPUTED_VALUE"""),"RSC007624")</f>
        <v>RSC007624</v>
      </c>
      <c r="C571" s="60" t="str">
        <f>IFERROR(__xludf.DUMMYFUNCTION("""COMPUTED_VALUE"""),"Extended")</f>
        <v>Extended</v>
      </c>
      <c r="D571" s="54" t="str">
        <f>IFERROR(__xludf.DUMMYFUNCTION("""COMPUTED_VALUE"""),"Heavy Metal
Primo")</f>
        <v>Heavy Metal
Primo</v>
      </c>
      <c r="E571" s="55" t="str">
        <f>IFERROR(__xludf.DUMMYFUNCTION("""COMPUTED_VALUE"""),"Lunar
Solar")</f>
        <v>Lunar
Solar</v>
      </c>
      <c r="F571" s="56">
        <f>IFERROR(__xludf.DUMMYFUNCTION("""COMPUTED_VALUE"""),55.53856510282033)</f>
        <v>55.5385651</v>
      </c>
      <c r="G571" s="57">
        <f>IFERROR(__xludf.DUMMYFUNCTION("""COMPUTED_VALUE"""),31.0)</f>
        <v>31</v>
      </c>
      <c r="H571" s="58">
        <f>IFERROR(__xludf.DUMMYFUNCTION("iferror(if(B571="""", ,filter('IDR Import'!D:D,'IDR Import'!A:A=B571,'IDR Import'!C:C=A571)),)"),57.85620695450789)</f>
        <v>57.85620695</v>
      </c>
      <c r="I571" s="58">
        <v>56.69738602866411</v>
      </c>
      <c r="J571" s="59">
        <f t="shared" si="1"/>
        <v>31</v>
      </c>
    </row>
    <row r="572">
      <c r="A572" s="55" t="str">
        <f>IFERROR(__xludf.DUMMYFUNCTION("""COMPUTED_VALUE"""),"Rival")</f>
        <v>Rival</v>
      </c>
      <c r="B572" s="55" t="str">
        <f>IFERROR(__xludf.DUMMYFUNCTION("""COMPUTED_VALUE"""),"RSC005523")</f>
        <v>RSC005523</v>
      </c>
      <c r="C572" s="60" t="str">
        <f>IFERROR(__xludf.DUMMYFUNCTION("""COMPUTED_VALUE"""),"Laguna")</f>
        <v>Laguna</v>
      </c>
      <c r="D572" s="54" t="str">
        <f>IFERROR(__xludf.DUMMYFUNCTION("""COMPUTED_VALUE"""),"Hippos")</f>
        <v>Hippos</v>
      </c>
      <c r="E572" s="55" t="str">
        <f>IFERROR(__xludf.DUMMYFUNCTION("""COMPUTED_VALUE"""),"Lunar")</f>
        <v>Lunar</v>
      </c>
      <c r="F572" s="56">
        <f>IFERROR(__xludf.DUMMYFUNCTION("""COMPUTED_VALUE"""),55.43064547020448)</f>
        <v>55.43064547</v>
      </c>
      <c r="G572" s="57">
        <f>IFERROR(__xludf.DUMMYFUNCTION("""COMPUTED_VALUE"""),56.0)</f>
        <v>56</v>
      </c>
      <c r="H572" s="58">
        <f>IFERROR(__xludf.DUMMYFUNCTION("iferror(if(B572="""", ,filter('IDR Import'!D:D,'IDR Import'!A:A=B572,'IDR Import'!C:C=A572)),)"),61.1786390184633)</f>
        <v>61.17863902</v>
      </c>
      <c r="I572" s="58">
        <v>58.30464224433389</v>
      </c>
      <c r="J572" s="59">
        <f t="shared" si="1"/>
        <v>56</v>
      </c>
    </row>
    <row r="573">
      <c r="A573" s="55" t="str">
        <f>IFERROR(__xludf.DUMMYFUNCTION("""COMPUTED_VALUE"""),"Rival")</f>
        <v>Rival</v>
      </c>
      <c r="B573" s="55" t="str">
        <f>IFERROR(__xludf.DUMMYFUNCTION("""COMPUTED_VALUE"""),"RSC002809")</f>
        <v>RSC002809</v>
      </c>
      <c r="C573" s="60" t="str">
        <f>IFERROR(__xludf.DUMMYFUNCTION("""COMPUTED_VALUE"""),"bubles")</f>
        <v>bubles</v>
      </c>
      <c r="D573" s="54" t="str">
        <f>IFERROR(__xludf.DUMMYFUNCTION("""COMPUTED_VALUE"""),"Quasars
Liars")</f>
        <v>Quasars
Liars</v>
      </c>
      <c r="E573" s="55" t="str">
        <f>IFERROR(__xludf.DUMMYFUNCTION("""COMPUTED_VALUE"""),"Lunar
Solar")</f>
        <v>Lunar
Solar</v>
      </c>
      <c r="F573" s="56">
        <f>IFERROR(__xludf.DUMMYFUNCTION("""COMPUTED_VALUE"""),55.25611481230821)</f>
        <v>55.25611481</v>
      </c>
      <c r="G573" s="57">
        <f>IFERROR(__xludf.DUMMYFUNCTION("""COMPUTED_VALUE"""),43.0)</f>
        <v>43</v>
      </c>
      <c r="H573" s="58">
        <f>IFERROR(__xludf.DUMMYFUNCTION("iferror(if(B573="""", ,filter('IDR Import'!D:D,'IDR Import'!A:A=B573,'IDR Import'!C:C=A573)),)"),57.30030122379206)</f>
        <v>57.30030122</v>
      </c>
      <c r="I573" s="58">
        <v>56.27820801805014</v>
      </c>
      <c r="J573" s="59">
        <f t="shared" si="1"/>
        <v>43</v>
      </c>
    </row>
    <row r="574">
      <c r="A574" s="55" t="str">
        <f>IFERROR(__xludf.DUMMYFUNCTION("""COMPUTED_VALUE"""),"Rival")</f>
        <v>Rival</v>
      </c>
      <c r="B574" s="55" t="str">
        <f>IFERROR(__xludf.DUMMYFUNCTION("""COMPUTED_VALUE"""),"RSC008442")</f>
        <v>RSC008442</v>
      </c>
      <c r="C574" s="60" t="str">
        <f>IFERROR(__xludf.DUMMYFUNCTION("""COMPUTED_VALUE"""),"Billionninja")</f>
        <v>Billionninja</v>
      </c>
      <c r="D574" s="54" t="str">
        <f>IFERROR(__xludf.DUMMYFUNCTION("""COMPUTED_VALUE"""),"Ocelots")</f>
        <v>Ocelots</v>
      </c>
      <c r="E574" s="55" t="str">
        <f>IFERROR(__xludf.DUMMYFUNCTION("""COMPUTED_VALUE"""),"Solar")</f>
        <v>Solar</v>
      </c>
      <c r="F574" s="56">
        <f>IFERROR(__xludf.DUMMYFUNCTION("""COMPUTED_VALUE"""),54.926981326892616)</f>
        <v>54.92698133</v>
      </c>
      <c r="G574" s="57">
        <f>IFERROR(__xludf.DUMMYFUNCTION("""COMPUTED_VALUE"""),36.0)</f>
        <v>36</v>
      </c>
      <c r="H574" s="58">
        <f>IFERROR(__xludf.DUMMYFUNCTION("iferror(if(B574="""", ,filter('IDR Import'!D:D,'IDR Import'!A:A=B574,'IDR Import'!C:C=A574)),)"),40.95275103769286)</f>
        <v>40.95275104</v>
      </c>
      <c r="I574" s="58">
        <v>47.93986618229274</v>
      </c>
      <c r="J574" s="59">
        <f t="shared" si="1"/>
        <v>36</v>
      </c>
    </row>
    <row r="575">
      <c r="A575" s="55" t="str">
        <f>IFERROR(__xludf.DUMMYFUNCTION("""COMPUTED_VALUE"""),"Rival")</f>
        <v>Rival</v>
      </c>
      <c r="B575" s="55" t="str">
        <f>IFERROR(__xludf.DUMMYFUNCTION("""COMPUTED_VALUE"""),"RSC004844")</f>
        <v>RSC004844</v>
      </c>
      <c r="C575" s="60" t="str">
        <f>IFERROR(__xludf.DUMMYFUNCTION("""COMPUTED_VALUE"""),"Calicat01")</f>
        <v>Calicat01</v>
      </c>
      <c r="D575" s="54" t="str">
        <f>IFERROR(__xludf.DUMMYFUNCTION("""COMPUTED_VALUE"""),"Centuriones")</f>
        <v>Centuriones</v>
      </c>
      <c r="E575" s="55" t="str">
        <f>IFERROR(__xludf.DUMMYFUNCTION("""COMPUTED_VALUE"""),"Solar")</f>
        <v>Solar</v>
      </c>
      <c r="F575" s="56">
        <f>IFERROR(__xludf.DUMMYFUNCTION("""COMPUTED_VALUE"""),54.86387285016315)</f>
        <v>54.86387285</v>
      </c>
      <c r="G575" s="57">
        <f>IFERROR(__xludf.DUMMYFUNCTION("""COMPUTED_VALUE"""),31.0)</f>
        <v>31</v>
      </c>
      <c r="H575" s="58">
        <f>IFERROR(__xludf.DUMMYFUNCTION("iferror(if(B575="""", ,filter('IDR Import'!D:D,'IDR Import'!A:A=B575,'IDR Import'!C:C=A575)),)"),61.29735246654159)</f>
        <v>61.29735247</v>
      </c>
      <c r="I575" s="58">
        <v>58.080612658352365</v>
      </c>
      <c r="J575" s="59">
        <f t="shared" si="1"/>
        <v>31</v>
      </c>
    </row>
    <row r="576">
      <c r="A576" s="55" t="str">
        <f>IFERROR(__xludf.DUMMYFUNCTION("""COMPUTED_VALUE"""),"Rival")</f>
        <v>Rival</v>
      </c>
      <c r="B576" s="55" t="str">
        <f>IFERROR(__xludf.DUMMYFUNCTION("""COMPUTED_VALUE"""),"RSC007453")</f>
        <v>RSC007453</v>
      </c>
      <c r="C576" s="60" t="str">
        <f>IFERROR(__xludf.DUMMYFUNCTION("""COMPUTED_VALUE"""),"TheDoy420")</f>
        <v>TheDoy420</v>
      </c>
      <c r="D576" s="54" t="str">
        <f>IFERROR(__xludf.DUMMYFUNCTION("""COMPUTED_VALUE"""),"Gaboons
Polar Ice")</f>
        <v>Gaboons
Polar Ice</v>
      </c>
      <c r="E576" s="55" t="str">
        <f>IFERROR(__xludf.DUMMYFUNCTION("""COMPUTED_VALUE"""),"Lunar
Solar")</f>
        <v>Lunar
Solar</v>
      </c>
      <c r="F576" s="56">
        <f>IFERROR(__xludf.DUMMYFUNCTION("""COMPUTED_VALUE"""),54.821968887339025)</f>
        <v>54.82196889</v>
      </c>
      <c r="G576" s="57">
        <f>IFERROR(__xludf.DUMMYFUNCTION("""COMPUTED_VALUE"""),13.0)</f>
        <v>13</v>
      </c>
      <c r="H576" s="58">
        <f>IFERROR(__xludf.DUMMYFUNCTION("iferror(if(B576="""", ,filter('IDR Import'!D:D,'IDR Import'!A:A=B576,'IDR Import'!C:C=A576)),)"),48.971814230810054)</f>
        <v>48.97181423</v>
      </c>
      <c r="I576" s="58">
        <v>51.89689155907454</v>
      </c>
      <c r="J576" s="59">
        <f t="shared" si="1"/>
        <v>13</v>
      </c>
    </row>
    <row r="577">
      <c r="A577" s="55" t="str">
        <f>IFERROR(__xludf.DUMMYFUNCTION("""COMPUTED_VALUE"""),"Rival")</f>
        <v>Rival</v>
      </c>
      <c r="B577" s="55" t="str">
        <f>IFERROR(__xludf.DUMMYFUNCTION("""COMPUTED_VALUE"""),"RSC008484")</f>
        <v>RSC008484</v>
      </c>
      <c r="C577" s="60" t="str">
        <f>IFERROR(__xludf.DUMMYFUNCTION("""COMPUTED_VALUE"""),"PshycoNot")</f>
        <v>PshycoNot</v>
      </c>
      <c r="D577" s="54" t="str">
        <f>IFERROR(__xludf.DUMMYFUNCTION("""COMPUTED_VALUE"""),"Lacuna")</f>
        <v>Lacuna</v>
      </c>
      <c r="E577" s="55" t="str">
        <f>IFERROR(__xludf.DUMMYFUNCTION("""COMPUTED_VALUE"""),"Solar")</f>
        <v>Solar</v>
      </c>
      <c r="F577" s="56">
        <f>IFERROR(__xludf.DUMMYFUNCTION("""COMPUTED_VALUE"""),54.48934289229478)</f>
        <v>54.48934289</v>
      </c>
      <c r="G577" s="57">
        <f>IFERROR(__xludf.DUMMYFUNCTION("""COMPUTED_VALUE"""),13.0)</f>
        <v>13</v>
      </c>
      <c r="H577" s="58">
        <f>IFERROR(__xludf.DUMMYFUNCTION("iferror(if(B577="""", ,filter('IDR Import'!D:D,'IDR Import'!A:A=B577,'IDR Import'!C:C=A577)),)"),64.63897282875205)</f>
        <v>64.63897283</v>
      </c>
      <c r="I577" s="58">
        <v>59.56415786052341</v>
      </c>
      <c r="J577" s="59">
        <f t="shared" si="1"/>
        <v>13</v>
      </c>
    </row>
    <row r="578">
      <c r="A578" s="55" t="str">
        <f>IFERROR(__xludf.DUMMYFUNCTION("""COMPUTED_VALUE"""),"Rival")</f>
        <v>Rival</v>
      </c>
      <c r="B578" s="55" t="str">
        <f>IFERROR(__xludf.DUMMYFUNCTION("""COMPUTED_VALUE"""),"RSC005300")</f>
        <v>RSC005300</v>
      </c>
      <c r="C578" s="60" t="str">
        <f>IFERROR(__xludf.DUMMYFUNCTION("""COMPUTED_VALUE"""),"Riko")</f>
        <v>Riko</v>
      </c>
      <c r="D578" s="54" t="str">
        <f>IFERROR(__xludf.DUMMYFUNCTION("""COMPUTED_VALUE"""),"Hammerheads
Barracudas")</f>
        <v>Hammerheads
Barracudas</v>
      </c>
      <c r="E578" s="55" t="str">
        <f>IFERROR(__xludf.DUMMYFUNCTION("""COMPUTED_VALUE"""),"Solar
Lunar")</f>
        <v>Solar
Lunar</v>
      </c>
      <c r="F578" s="56">
        <f>IFERROR(__xludf.DUMMYFUNCTION("""COMPUTED_VALUE"""),54.44586224419682)</f>
        <v>54.44586224</v>
      </c>
      <c r="G578" s="57">
        <f>IFERROR(__xludf.DUMMYFUNCTION("""COMPUTED_VALUE"""),55.0)</f>
        <v>55</v>
      </c>
      <c r="H578" s="58">
        <f>IFERROR(__xludf.DUMMYFUNCTION("iferror(if(B578="""", ,filter('IDR Import'!D:D,'IDR Import'!A:A=B578,'IDR Import'!C:C=A578)),)"),65.19826212145645)</f>
        <v>65.19826212</v>
      </c>
      <c r="I578" s="58">
        <v>59.822062182826635</v>
      </c>
      <c r="J578" s="59">
        <f t="shared" si="1"/>
        <v>55</v>
      </c>
    </row>
    <row r="579">
      <c r="A579" s="55" t="str">
        <f>IFERROR(__xludf.DUMMYFUNCTION("""COMPUTED_VALUE"""),"Rival")</f>
        <v>Rival</v>
      </c>
      <c r="B579" s="55" t="str">
        <f>IFERROR(__xludf.DUMMYFUNCTION("""COMPUTED_VALUE"""),"RSC008465")</f>
        <v>RSC008465</v>
      </c>
      <c r="C579" s="60" t="str">
        <f>IFERROR(__xludf.DUMMYFUNCTION("""COMPUTED_VALUE"""),"IncorrectTerror")</f>
        <v>IncorrectTerror</v>
      </c>
      <c r="D579" s="54" t="str">
        <f>IFERROR(__xludf.DUMMYFUNCTION("""COMPUTED_VALUE"""),"Wind")</f>
        <v>Wind</v>
      </c>
      <c r="E579" s="55" t="str">
        <f>IFERROR(__xludf.DUMMYFUNCTION("""COMPUTED_VALUE"""),"Solar")</f>
        <v>Solar</v>
      </c>
      <c r="F579" s="56">
        <f>IFERROR(__xludf.DUMMYFUNCTION("""COMPUTED_VALUE"""),54.1629173274305)</f>
        <v>54.16291733</v>
      </c>
      <c r="G579" s="57">
        <f>IFERROR(__xludf.DUMMYFUNCTION("""COMPUTED_VALUE"""),46.0)</f>
        <v>46</v>
      </c>
      <c r="H579" s="58">
        <f>IFERROR(__xludf.DUMMYFUNCTION("iferror(if(B579="""", ,filter('IDR Import'!D:D,'IDR Import'!A:A=B579,'IDR Import'!C:C=A579)),)"),57.11609196681136)</f>
        <v>57.11609197</v>
      </c>
      <c r="I579" s="58">
        <v>55.63950464712093</v>
      </c>
      <c r="J579" s="59">
        <f t="shared" si="1"/>
        <v>46</v>
      </c>
    </row>
    <row r="580">
      <c r="A580" s="55" t="str">
        <f>IFERROR(__xludf.DUMMYFUNCTION("""COMPUTED_VALUE"""),"Rival")</f>
        <v>Rival</v>
      </c>
      <c r="B580" s="55" t="str">
        <f>IFERROR(__xludf.DUMMYFUNCTION("""COMPUTED_VALUE"""),"RSC004888")</f>
        <v>RSC004888</v>
      </c>
      <c r="C580" s="60" t="str">
        <f>IFERROR(__xludf.DUMMYFUNCTION("""COMPUTED_VALUE"""),"AgentAnime07")</f>
        <v>AgentAnime07</v>
      </c>
      <c r="D580" s="54" t="str">
        <f>IFERROR(__xludf.DUMMYFUNCTION("""COMPUTED_VALUE"""),"Polar Bears")</f>
        <v>Polar Bears</v>
      </c>
      <c r="E580" s="55" t="str">
        <f>IFERROR(__xludf.DUMMYFUNCTION("""COMPUTED_VALUE"""),"Solar")</f>
        <v>Solar</v>
      </c>
      <c r="F580" s="56">
        <f>IFERROR(__xludf.DUMMYFUNCTION("""COMPUTED_VALUE"""),53.06665784532077)</f>
        <v>53.06665785</v>
      </c>
      <c r="G580" s="57">
        <f>IFERROR(__xludf.DUMMYFUNCTION("""COMPUTED_VALUE"""),39.0)</f>
        <v>39</v>
      </c>
      <c r="H580" s="58">
        <f>IFERROR(__xludf.DUMMYFUNCTION("iferror(if(B580="""", ,filter('IDR Import'!D:D,'IDR Import'!A:A=B580,'IDR Import'!C:C=A580)),)"),47.59419539083672)</f>
        <v>47.59419539</v>
      </c>
      <c r="I580" s="58">
        <v>50.33042661807875</v>
      </c>
      <c r="J580" s="59">
        <f t="shared" si="1"/>
        <v>39</v>
      </c>
    </row>
    <row r="581">
      <c r="A581" s="55" t="str">
        <f>IFERROR(__xludf.DUMMYFUNCTION("""COMPUTED_VALUE"""),"Rival")</f>
        <v>Rival</v>
      </c>
      <c r="B581" s="55" t="str">
        <f>IFERROR(__xludf.DUMMYFUNCTION("""COMPUTED_VALUE"""),"RSC000331")</f>
        <v>RSC000331</v>
      </c>
      <c r="C581" s="60" t="str">
        <f>IFERROR(__xludf.DUMMYFUNCTION("""COMPUTED_VALUE"""),"Turtle_Supreme")</f>
        <v>Turtle_Supreme</v>
      </c>
      <c r="D581" s="54" t="str">
        <f>IFERROR(__xludf.DUMMYFUNCTION("""COMPUTED_VALUE"""),"Gaboons")</f>
        <v>Gaboons</v>
      </c>
      <c r="E581" s="55" t="str">
        <f>IFERROR(__xludf.DUMMYFUNCTION("""COMPUTED_VALUE"""),"Lunar")</f>
        <v>Lunar</v>
      </c>
      <c r="F581" s="56">
        <f>IFERROR(__xludf.DUMMYFUNCTION("""COMPUTED_VALUE"""),53.05886045690634)</f>
        <v>53.05886046</v>
      </c>
      <c r="G581" s="57">
        <f>IFERROR(__xludf.DUMMYFUNCTION("""COMPUTED_VALUE"""),52.0)</f>
        <v>52</v>
      </c>
      <c r="H581" s="58">
        <f>IFERROR(__xludf.DUMMYFUNCTION("iferror(if(B581="""", ,filter('IDR Import'!D:D,'IDR Import'!A:A=B581,'IDR Import'!C:C=A581)),)"),44.60032069955045)</f>
        <v>44.6003207</v>
      </c>
      <c r="I581" s="58">
        <v>48.82959057822839</v>
      </c>
      <c r="J581" s="59">
        <f t="shared" si="1"/>
        <v>52</v>
      </c>
    </row>
    <row r="582">
      <c r="A582" s="55" t="str">
        <f>IFERROR(__xludf.DUMMYFUNCTION("""COMPUTED_VALUE"""),"Rival")</f>
        <v>Rival</v>
      </c>
      <c r="B582" s="55" t="str">
        <f>IFERROR(__xludf.DUMMYFUNCTION("""COMPUTED_VALUE"""),"RSC005978")</f>
        <v>RSC005978</v>
      </c>
      <c r="C582" s="60" t="str">
        <f>IFERROR(__xludf.DUMMYFUNCTION("""COMPUTED_VALUE"""),"Xdraco0")</f>
        <v>Xdraco0</v>
      </c>
      <c r="D582" s="54" t="str">
        <f>IFERROR(__xludf.DUMMYFUNCTION("""COMPUTED_VALUE"""),"Purrgatory")</f>
        <v>Purrgatory</v>
      </c>
      <c r="E582" s="55" t="str">
        <f>IFERROR(__xludf.DUMMYFUNCTION("""COMPUTED_VALUE"""),"Solar")</f>
        <v>Solar</v>
      </c>
      <c r="F582" s="56">
        <f>IFERROR(__xludf.DUMMYFUNCTION("""COMPUTED_VALUE"""),52.790690556543495)</f>
        <v>52.79069056</v>
      </c>
      <c r="G582" s="57">
        <f>IFERROR(__xludf.DUMMYFUNCTION("""COMPUTED_VALUE"""),47.0)</f>
        <v>47</v>
      </c>
      <c r="H582" s="58">
        <f>IFERROR(__xludf.DUMMYFUNCTION("iferror(if(B582="""", ,filter('IDR Import'!D:D,'IDR Import'!A:A=B582,'IDR Import'!C:C=A582)),)"),60.39508209467989)</f>
        <v>60.39508209</v>
      </c>
      <c r="I582" s="58">
        <v>56.592886325611694</v>
      </c>
      <c r="J582" s="59">
        <f t="shared" si="1"/>
        <v>47</v>
      </c>
    </row>
    <row r="583">
      <c r="A583" s="55" t="str">
        <f>IFERROR(__xludf.DUMMYFUNCTION("""COMPUTED_VALUE"""),"Rival")</f>
        <v>Rival</v>
      </c>
      <c r="B583" s="55" t="str">
        <f>IFERROR(__xludf.DUMMYFUNCTION("""COMPUTED_VALUE"""),"RSC006748")</f>
        <v>RSC006748</v>
      </c>
      <c r="C583" s="60" t="str">
        <f>IFERROR(__xludf.DUMMYFUNCTION("""COMPUTED_VALUE"""),"Llamaboy101")</f>
        <v>Llamaboy101</v>
      </c>
      <c r="D583" s="54" t="str">
        <f>IFERROR(__xludf.DUMMYFUNCTION("""COMPUTED_VALUE"""),"Guards")</f>
        <v>Guards</v>
      </c>
      <c r="E583" s="55" t="str">
        <f>IFERROR(__xludf.DUMMYFUNCTION("""COMPUTED_VALUE"""),"Lunar")</f>
        <v>Lunar</v>
      </c>
      <c r="F583" s="56">
        <f>IFERROR(__xludf.DUMMYFUNCTION("""COMPUTED_VALUE"""),52.75503757929544)</f>
        <v>52.75503758</v>
      </c>
      <c r="G583" s="57">
        <f>IFERROR(__xludf.DUMMYFUNCTION("""COMPUTED_VALUE"""),24.0)</f>
        <v>24</v>
      </c>
      <c r="H583" s="58">
        <f>IFERROR(__xludf.DUMMYFUNCTION("iferror(if(B583="""", ,filter('IDR Import'!D:D,'IDR Import'!A:A=B583,'IDR Import'!C:C=A583)),)"),49.4926588810164)</f>
        <v>49.49265888</v>
      </c>
      <c r="I583" s="58">
        <v>51.12384823015592</v>
      </c>
      <c r="J583" s="59">
        <f t="shared" si="1"/>
        <v>24</v>
      </c>
    </row>
    <row r="584">
      <c r="A584" s="55" t="str">
        <f>IFERROR(__xludf.DUMMYFUNCTION("""COMPUTED_VALUE"""),"Rival")</f>
        <v>Rival</v>
      </c>
      <c r="B584" s="55" t="str">
        <f>IFERROR(__xludf.DUMMYFUNCTION("""COMPUTED_VALUE"""),"RSC008259")</f>
        <v>RSC008259</v>
      </c>
      <c r="C584" s="60" t="str">
        <f>IFERROR(__xludf.DUMMYFUNCTION("""COMPUTED_VALUE"""),"Puma")</f>
        <v>Puma</v>
      </c>
      <c r="D584" s="54" t="str">
        <f>IFERROR(__xludf.DUMMYFUNCTION("""COMPUTED_VALUE"""),"Samurai")</f>
        <v>Samurai</v>
      </c>
      <c r="E584" s="55" t="str">
        <f>IFERROR(__xludf.DUMMYFUNCTION("""COMPUTED_VALUE"""),"Lunar")</f>
        <v>Lunar</v>
      </c>
      <c r="F584" s="56">
        <f>IFERROR(__xludf.DUMMYFUNCTION("""COMPUTED_VALUE"""),52.57341163494043)</f>
        <v>52.57341163</v>
      </c>
      <c r="G584" s="57">
        <f>IFERROR(__xludf.DUMMYFUNCTION("""COMPUTED_VALUE"""),39.0)</f>
        <v>39</v>
      </c>
      <c r="H584" s="58">
        <f>IFERROR(__xludf.DUMMYFUNCTION("iferror(if(B584="""", ,filter('IDR Import'!D:D,'IDR Import'!A:A=B584,'IDR Import'!C:C=A584)),)"),57.123350278300094)</f>
        <v>57.12335028</v>
      </c>
      <c r="I584" s="58">
        <v>54.84838095662026</v>
      </c>
      <c r="J584" s="59">
        <f t="shared" si="1"/>
        <v>39</v>
      </c>
    </row>
    <row r="585">
      <c r="A585" s="55" t="str">
        <f>IFERROR(__xludf.DUMMYFUNCTION("""COMPUTED_VALUE"""),"Rival")</f>
        <v>Rival</v>
      </c>
      <c r="B585" s="55" t="str">
        <f>IFERROR(__xludf.DUMMYFUNCTION("""COMPUTED_VALUE"""),"RSC008000")</f>
        <v>RSC008000</v>
      </c>
      <c r="C585" s="60" t="str">
        <f>IFERROR(__xludf.DUMMYFUNCTION("""COMPUTED_VALUE"""),"ChefHoffy")</f>
        <v>ChefHoffy</v>
      </c>
      <c r="D585" s="54" t="str">
        <f>IFERROR(__xludf.DUMMYFUNCTION("""COMPUTED_VALUE"""),"Kitsune")</f>
        <v>Kitsune</v>
      </c>
      <c r="E585" s="55" t="str">
        <f>IFERROR(__xludf.DUMMYFUNCTION("""COMPUTED_VALUE"""),"Solar")</f>
        <v>Solar</v>
      </c>
      <c r="F585" s="56">
        <f>IFERROR(__xludf.DUMMYFUNCTION("""COMPUTED_VALUE"""),52.57217557703972)</f>
        <v>52.57217558</v>
      </c>
      <c r="G585" s="57">
        <f>IFERROR(__xludf.DUMMYFUNCTION("""COMPUTED_VALUE"""),56.0)</f>
        <v>56</v>
      </c>
      <c r="H585" s="58">
        <f>IFERROR(__xludf.DUMMYFUNCTION("iferror(if(B585="""", ,filter('IDR Import'!D:D,'IDR Import'!A:A=B585,'IDR Import'!C:C=A585)),)"),52.44474088615721)</f>
        <v>52.44474089</v>
      </c>
      <c r="I585" s="58">
        <v>52.50845823159847</v>
      </c>
      <c r="J585" s="59">
        <f t="shared" si="1"/>
        <v>56</v>
      </c>
    </row>
    <row r="586">
      <c r="A586" s="55" t="str">
        <f>IFERROR(__xludf.DUMMYFUNCTION("""COMPUTED_VALUE"""),"Rival")</f>
        <v>Rival</v>
      </c>
      <c r="B586" s="55" t="str">
        <f>IFERROR(__xludf.DUMMYFUNCTION("""COMPUTED_VALUE"""),"RSC007256")</f>
        <v>RSC007256</v>
      </c>
      <c r="C586" s="60" t="str">
        <f>IFERROR(__xludf.DUMMYFUNCTION("""COMPUTED_VALUE"""),"Destined Odst666")</f>
        <v>Destined Odst666</v>
      </c>
      <c r="D586" s="54" t="str">
        <f>IFERROR(__xludf.DUMMYFUNCTION("""COMPUTED_VALUE"""),"Hot Wings
Lacuna")</f>
        <v>Hot Wings
Lacuna</v>
      </c>
      <c r="E586" s="55" t="str">
        <f>IFERROR(__xludf.DUMMYFUNCTION("""COMPUTED_VALUE"""),"Lunar
Solar")</f>
        <v>Lunar
Solar</v>
      </c>
      <c r="F586" s="56">
        <f>IFERROR(__xludf.DUMMYFUNCTION("""COMPUTED_VALUE"""),52.531275806448555)</f>
        <v>52.53127581</v>
      </c>
      <c r="G586" s="57">
        <f>IFERROR(__xludf.DUMMYFUNCTION("""COMPUTED_VALUE"""),52.0)</f>
        <v>52</v>
      </c>
      <c r="H586" s="58">
        <f>IFERROR(__xludf.DUMMYFUNCTION("iferror(if(B586="""", ,filter('IDR Import'!D:D,'IDR Import'!A:A=B586,'IDR Import'!C:C=A586)),)"),57.58687393232053)</f>
        <v>57.58687393</v>
      </c>
      <c r="I586" s="58">
        <v>55.059074869384546</v>
      </c>
      <c r="J586" s="59">
        <f t="shared" si="1"/>
        <v>52</v>
      </c>
    </row>
    <row r="587">
      <c r="A587" s="55" t="str">
        <f>IFERROR(__xludf.DUMMYFUNCTION("""COMPUTED_VALUE"""),"Rival")</f>
        <v>Rival</v>
      </c>
      <c r="B587" s="55" t="str">
        <f>IFERROR(__xludf.DUMMYFUNCTION("""COMPUTED_VALUE"""),"RSC002960")</f>
        <v>RSC002960</v>
      </c>
      <c r="C587" s="60" t="str">
        <f>IFERROR(__xludf.DUMMYFUNCTION("""COMPUTED_VALUE"""),"Shrek Is The Best Anime")</f>
        <v>Shrek Is The Best Anime</v>
      </c>
      <c r="D587" s="54" t="str">
        <f>IFERROR(__xludf.DUMMYFUNCTION("""COMPUTED_VALUE"""),"Centuriones")</f>
        <v>Centuriones</v>
      </c>
      <c r="E587" s="55" t="str">
        <f>IFERROR(__xludf.DUMMYFUNCTION("""COMPUTED_VALUE"""),"Solar")</f>
        <v>Solar</v>
      </c>
      <c r="F587" s="56">
        <f>IFERROR(__xludf.DUMMYFUNCTION("""COMPUTED_VALUE"""),52.28018033778776)</f>
        <v>52.28018034</v>
      </c>
      <c r="G587" s="57">
        <f>IFERROR(__xludf.DUMMYFUNCTION("""COMPUTED_VALUE"""),53.0)</f>
        <v>53</v>
      </c>
      <c r="H587" s="58">
        <f>IFERROR(__xludf.DUMMYFUNCTION("iferror(if(B587="""", ,filter('IDR Import'!D:D,'IDR Import'!A:A=B587,'IDR Import'!C:C=A587)),)"),58.73627803885504)</f>
        <v>58.73627804</v>
      </c>
      <c r="I587" s="58">
        <v>55.5082291883214</v>
      </c>
      <c r="J587" s="59">
        <f t="shared" si="1"/>
        <v>53</v>
      </c>
    </row>
    <row r="588">
      <c r="A588" s="55" t="str">
        <f>IFERROR(__xludf.DUMMYFUNCTION("""COMPUTED_VALUE"""),"Rival")</f>
        <v>Rival</v>
      </c>
      <c r="B588" s="55" t="str">
        <f>IFERROR(__xludf.DUMMYFUNCTION("""COMPUTED_VALUE"""),"RSC006832")</f>
        <v>RSC006832</v>
      </c>
      <c r="C588" s="60" t="str">
        <f>IFERROR(__xludf.DUMMYFUNCTION("""COMPUTED_VALUE"""),"Pandaliciously")</f>
        <v>Pandaliciously</v>
      </c>
      <c r="D588" s="54" t="str">
        <f>IFERROR(__xludf.DUMMYFUNCTION("""COMPUTED_VALUE"""),"Phoenix")</f>
        <v>Phoenix</v>
      </c>
      <c r="E588" s="55" t="str">
        <f>IFERROR(__xludf.DUMMYFUNCTION("""COMPUTED_VALUE"""),"Solar")</f>
        <v>Solar</v>
      </c>
      <c r="F588" s="56">
        <f>IFERROR(__xludf.DUMMYFUNCTION("""COMPUTED_VALUE"""),51.83281817249039)</f>
        <v>51.83281817</v>
      </c>
      <c r="G588" s="57">
        <f>IFERROR(__xludf.DUMMYFUNCTION("""COMPUTED_VALUE"""),48.0)</f>
        <v>48</v>
      </c>
      <c r="H588" s="58">
        <f>IFERROR(__xludf.DUMMYFUNCTION("iferror(if(B588="""", ,filter('IDR Import'!D:D,'IDR Import'!A:A=B588,'IDR Import'!C:C=A588)),)"),64.83752826544853)</f>
        <v>64.83752827</v>
      </c>
      <c r="I588" s="58">
        <v>58.33517321896946</v>
      </c>
      <c r="J588" s="59">
        <f t="shared" si="1"/>
        <v>48</v>
      </c>
    </row>
    <row r="589">
      <c r="A589" s="55" t="str">
        <f>IFERROR(__xludf.DUMMYFUNCTION("""COMPUTED_VALUE"""),"Rival")</f>
        <v>Rival</v>
      </c>
      <c r="B589" s="55" t="str">
        <f>IFERROR(__xludf.DUMMYFUNCTION("""COMPUTED_VALUE"""),"RSC006489")</f>
        <v>RSC006489</v>
      </c>
      <c r="C589" s="60" t="str">
        <f>IFERROR(__xludf.DUMMYFUNCTION("""COMPUTED_VALUE"""),"bayylock")</f>
        <v>bayylock</v>
      </c>
      <c r="D589" s="54" t="str">
        <f>IFERROR(__xludf.DUMMYFUNCTION("""COMPUTED_VALUE"""),"Hot Wings")</f>
        <v>Hot Wings</v>
      </c>
      <c r="E589" s="55" t="str">
        <f>IFERROR(__xludf.DUMMYFUNCTION("""COMPUTED_VALUE"""),"Lunar")</f>
        <v>Lunar</v>
      </c>
      <c r="F589" s="56">
        <f>IFERROR(__xludf.DUMMYFUNCTION("""COMPUTED_VALUE"""),51.379052672432856)</f>
        <v>51.37905267</v>
      </c>
      <c r="G589" s="57">
        <f>IFERROR(__xludf.DUMMYFUNCTION("""COMPUTED_VALUE"""),45.0)</f>
        <v>45</v>
      </c>
      <c r="H589" s="58">
        <f>IFERROR(__xludf.DUMMYFUNCTION("iferror(if(B589="""", ,filter('IDR Import'!D:D,'IDR Import'!A:A=B589,'IDR Import'!C:C=A589)),)"),60.16599458590056)</f>
        <v>60.16599459</v>
      </c>
      <c r="I589" s="58">
        <v>55.77252362916671</v>
      </c>
      <c r="J589" s="59">
        <f t="shared" si="1"/>
        <v>45</v>
      </c>
    </row>
    <row r="590">
      <c r="A590" s="55" t="str">
        <f>IFERROR(__xludf.DUMMYFUNCTION("""COMPUTED_VALUE"""),"Rival")</f>
        <v>Rival</v>
      </c>
      <c r="B590" s="55" t="str">
        <f>IFERROR(__xludf.DUMMYFUNCTION("""COMPUTED_VALUE"""),"RSC002427")</f>
        <v>RSC002427</v>
      </c>
      <c r="C590" s="60" t="str">
        <f>IFERROR(__xludf.DUMMYFUNCTION("""COMPUTED_VALUE"""),"Free.")</f>
        <v>Free.</v>
      </c>
      <c r="D590" s="54" t="str">
        <f>IFERROR(__xludf.DUMMYFUNCTION("""COMPUTED_VALUE"""),"Samurai
Hammerheads")</f>
        <v>Samurai
Hammerheads</v>
      </c>
      <c r="E590" s="55" t="str">
        <f>IFERROR(__xludf.DUMMYFUNCTION("""COMPUTED_VALUE"""),"Lunar
Solar")</f>
        <v>Lunar
Solar</v>
      </c>
      <c r="F590" s="56">
        <f>IFERROR(__xludf.DUMMYFUNCTION("""COMPUTED_VALUE"""),51.155668063170374)</f>
        <v>51.15566806</v>
      </c>
      <c r="G590" s="57">
        <f>IFERROR(__xludf.DUMMYFUNCTION("""COMPUTED_VALUE"""),40.0)</f>
        <v>40</v>
      </c>
      <c r="H590" s="58">
        <f>IFERROR(__xludf.DUMMYFUNCTION("iferror(if(B590="""", ,filter('IDR Import'!D:D,'IDR Import'!A:A=B590,'IDR Import'!C:C=A590)),)"),47.32587602176183)</f>
        <v>47.32587602</v>
      </c>
      <c r="I590" s="58">
        <v>49.240772042466105</v>
      </c>
      <c r="J590" s="59">
        <f t="shared" si="1"/>
        <v>40</v>
      </c>
    </row>
    <row r="591">
      <c r="A591" s="55" t="str">
        <f>IFERROR(__xludf.DUMMYFUNCTION("""COMPUTED_VALUE"""),"Rival")</f>
        <v>Rival</v>
      </c>
      <c r="B591" s="55" t="str">
        <f>IFERROR(__xludf.DUMMYFUNCTION("""COMPUTED_VALUE"""),"RSC004188")</f>
        <v>RSC004188</v>
      </c>
      <c r="C591" s="60" t="str">
        <f>IFERROR(__xludf.DUMMYFUNCTION("""COMPUTED_VALUE"""),"wntr/x")</f>
        <v>wntr/x</v>
      </c>
      <c r="D591" s="54" t="str">
        <f>IFERROR(__xludf.DUMMYFUNCTION("""COMPUTED_VALUE"""),"Tax Evaders")</f>
        <v>Tax Evaders</v>
      </c>
      <c r="E591" s="55" t="str">
        <f>IFERROR(__xludf.DUMMYFUNCTION("""COMPUTED_VALUE"""),"Lunar")</f>
        <v>Lunar</v>
      </c>
      <c r="F591" s="56">
        <f>IFERROR(__xludf.DUMMYFUNCTION("""COMPUTED_VALUE"""),50.83885749542253)</f>
        <v>50.8388575</v>
      </c>
      <c r="G591" s="57">
        <f>IFERROR(__xludf.DUMMYFUNCTION("""COMPUTED_VALUE"""),44.0)</f>
        <v>44</v>
      </c>
      <c r="H591" s="58">
        <f>IFERROR(__xludf.DUMMYFUNCTION("iferror(if(B591="""", ,filter('IDR Import'!D:D,'IDR Import'!A:A=B591,'IDR Import'!C:C=A591)),)"),40.482749456613945)</f>
        <v>40.48274946</v>
      </c>
      <c r="I591" s="58">
        <v>45.66080347601824</v>
      </c>
      <c r="J591" s="59">
        <f t="shared" si="1"/>
        <v>44</v>
      </c>
    </row>
    <row r="592">
      <c r="A592" s="55" t="str">
        <f>IFERROR(__xludf.DUMMYFUNCTION("""COMPUTED_VALUE"""),"Rival")</f>
        <v>Rival</v>
      </c>
      <c r="B592" s="55" t="str">
        <f>IFERROR(__xludf.DUMMYFUNCTION("""COMPUTED_VALUE"""),"RSC005059")</f>
        <v>RSC005059</v>
      </c>
      <c r="C592" s="60" t="str">
        <f>IFERROR(__xludf.DUMMYFUNCTION("""COMPUTED_VALUE"""),"t4")</f>
        <v>t4</v>
      </c>
      <c r="D592" s="54" t="str">
        <f>IFERROR(__xludf.DUMMYFUNCTION("""COMPUTED_VALUE"""),"Hippos")</f>
        <v>Hippos</v>
      </c>
      <c r="E592" s="55" t="str">
        <f>IFERROR(__xludf.DUMMYFUNCTION("""COMPUTED_VALUE"""),"Lunar")</f>
        <v>Lunar</v>
      </c>
      <c r="F592" s="56">
        <f>IFERROR(__xludf.DUMMYFUNCTION("""COMPUTED_VALUE"""),50.78155399869447)</f>
        <v>50.781554</v>
      </c>
      <c r="G592" s="57">
        <f>IFERROR(__xludf.DUMMYFUNCTION("""COMPUTED_VALUE"""),27.0)</f>
        <v>27</v>
      </c>
      <c r="H592" s="58">
        <f>IFERROR(__xludf.DUMMYFUNCTION("iferror(if(B592="""", ,filter('IDR Import'!D:D,'IDR Import'!A:A=B592,'IDR Import'!C:C=A592)),)"),65.92964482095731)</f>
        <v>65.92964482</v>
      </c>
      <c r="I592" s="58">
        <v>58.355599409825885</v>
      </c>
      <c r="J592" s="59">
        <f t="shared" si="1"/>
        <v>27</v>
      </c>
    </row>
    <row r="593">
      <c r="A593" s="55" t="str">
        <f>IFERROR(__xludf.DUMMYFUNCTION("""COMPUTED_VALUE"""),"Rival")</f>
        <v>Rival</v>
      </c>
      <c r="B593" s="55" t="str">
        <f>IFERROR(__xludf.DUMMYFUNCTION("""COMPUTED_VALUE"""),"RSC004665")</f>
        <v>RSC004665</v>
      </c>
      <c r="C593" s="60" t="str">
        <f>IFERROR(__xludf.DUMMYFUNCTION("""COMPUTED_VALUE"""),"xPrism")</f>
        <v>xPrism</v>
      </c>
      <c r="D593" s="54" t="str">
        <f>IFERROR(__xludf.DUMMYFUNCTION("""COMPUTED_VALUE"""),"Hot Wings")</f>
        <v>Hot Wings</v>
      </c>
      <c r="E593" s="55" t="str">
        <f>IFERROR(__xludf.DUMMYFUNCTION("""COMPUTED_VALUE"""),"Lunar")</f>
        <v>Lunar</v>
      </c>
      <c r="F593" s="56">
        <f>IFERROR(__xludf.DUMMYFUNCTION("""COMPUTED_VALUE"""),50.70331878024736)</f>
        <v>50.70331878</v>
      </c>
      <c r="G593" s="57">
        <f>IFERROR(__xludf.DUMMYFUNCTION("""COMPUTED_VALUE"""),42.0)</f>
        <v>42</v>
      </c>
      <c r="H593" s="58">
        <f>IFERROR(__xludf.DUMMYFUNCTION("iferror(if(B593="""", ,filter('IDR Import'!D:D,'IDR Import'!A:A=B593,'IDR Import'!C:C=A593)),)"),45.46838880314667)</f>
        <v>45.4683888</v>
      </c>
      <c r="I593" s="58">
        <v>48.08585379169701</v>
      </c>
      <c r="J593" s="59">
        <f t="shared" si="1"/>
        <v>42</v>
      </c>
    </row>
    <row r="594">
      <c r="A594" s="55" t="str">
        <f>IFERROR(__xludf.DUMMYFUNCTION("""COMPUTED_VALUE"""),"Rival")</f>
        <v>Rival</v>
      </c>
      <c r="B594" s="55" t="str">
        <f>IFERROR(__xludf.DUMMYFUNCTION("""COMPUTED_VALUE"""),"RSC008293")</f>
        <v>RSC008293</v>
      </c>
      <c r="C594" s="60" t="str">
        <f>IFERROR(__xludf.DUMMYFUNCTION("""COMPUTED_VALUE"""),"Tall_28")</f>
        <v>Tall_28</v>
      </c>
      <c r="D594" s="54" t="str">
        <f>IFERROR(__xludf.DUMMYFUNCTION("""COMPUTED_VALUE"""),"Nightfall")</f>
        <v>Nightfall</v>
      </c>
      <c r="E594" s="55" t="str">
        <f>IFERROR(__xludf.DUMMYFUNCTION("""COMPUTED_VALUE"""),"Lunar")</f>
        <v>Lunar</v>
      </c>
      <c r="F594" s="56">
        <f>IFERROR(__xludf.DUMMYFUNCTION("""COMPUTED_VALUE"""),50.67971518950899)</f>
        <v>50.67971519</v>
      </c>
      <c r="G594" s="57">
        <f>IFERROR(__xludf.DUMMYFUNCTION("""COMPUTED_VALUE"""),34.0)</f>
        <v>34</v>
      </c>
      <c r="H594" s="58">
        <f>IFERROR(__xludf.DUMMYFUNCTION("iferror(if(B594="""", ,filter('IDR Import'!D:D,'IDR Import'!A:A=B594,'IDR Import'!C:C=A594)),)"),47.31127835062626)</f>
        <v>47.31127835</v>
      </c>
      <c r="I594" s="58">
        <v>48.995496770067625</v>
      </c>
      <c r="J594" s="59">
        <f t="shared" si="1"/>
        <v>34</v>
      </c>
    </row>
    <row r="595">
      <c r="A595" s="55" t="str">
        <f>IFERROR(__xludf.DUMMYFUNCTION("""COMPUTED_VALUE"""),"Rival")</f>
        <v>Rival</v>
      </c>
      <c r="B595" s="55" t="str">
        <f>IFERROR(__xludf.DUMMYFUNCTION("""COMPUTED_VALUE"""),"RSC007600")</f>
        <v>RSC007600</v>
      </c>
      <c r="C595" s="60" t="str">
        <f>IFERROR(__xludf.DUMMYFUNCTION("""COMPUTED_VALUE"""),"CN Tyson")</f>
        <v>CN Tyson</v>
      </c>
      <c r="D595" s="54" t="str">
        <f>IFERROR(__xludf.DUMMYFUNCTION("""COMPUTED_VALUE"""),"Howlers")</f>
        <v>Howlers</v>
      </c>
      <c r="E595" s="55" t="str">
        <f>IFERROR(__xludf.DUMMYFUNCTION("""COMPUTED_VALUE"""),"Solar")</f>
        <v>Solar</v>
      </c>
      <c r="F595" s="56">
        <f>IFERROR(__xludf.DUMMYFUNCTION("""COMPUTED_VALUE"""),50.643408799484604)</f>
        <v>50.6434088</v>
      </c>
      <c r="G595" s="57">
        <f>IFERROR(__xludf.DUMMYFUNCTION("""COMPUTED_VALUE"""),41.0)</f>
        <v>41</v>
      </c>
      <c r="H595" s="58">
        <f>IFERROR(__xludf.DUMMYFUNCTION("iferror(if(B595="""", ,filter('IDR Import'!D:D,'IDR Import'!A:A=B595,'IDR Import'!C:C=A595)),)"),56.07056573064801)</f>
        <v>56.07056573</v>
      </c>
      <c r="I595" s="58">
        <v>53.35698726506631</v>
      </c>
      <c r="J595" s="59">
        <f t="shared" si="1"/>
        <v>41</v>
      </c>
    </row>
    <row r="596">
      <c r="A596" s="55" t="str">
        <f>IFERROR(__xludf.DUMMYFUNCTION("""COMPUTED_VALUE"""),"Rival")</f>
        <v>Rival</v>
      </c>
      <c r="B596" s="55" t="str">
        <f>IFERROR(__xludf.DUMMYFUNCTION("""COMPUTED_VALUE"""),"RSC008331")</f>
        <v>RSC008331</v>
      </c>
      <c r="C596" s="60" t="str">
        <f>IFERROR(__xludf.DUMMYFUNCTION("""COMPUTED_VALUE"""),"Hanz Simmer")</f>
        <v>Hanz Simmer</v>
      </c>
      <c r="D596" s="54" t="str">
        <f>IFERROR(__xludf.DUMMYFUNCTION("""COMPUTED_VALUE"""),"Quasars")</f>
        <v>Quasars</v>
      </c>
      <c r="E596" s="55" t="str">
        <f>IFERROR(__xludf.DUMMYFUNCTION("""COMPUTED_VALUE"""),"Lunar")</f>
        <v>Lunar</v>
      </c>
      <c r="F596" s="56">
        <f>IFERROR(__xludf.DUMMYFUNCTION("""COMPUTED_VALUE"""),50.586329407989645)</f>
        <v>50.58632941</v>
      </c>
      <c r="G596" s="57">
        <f>IFERROR(__xludf.DUMMYFUNCTION("""COMPUTED_VALUE"""),38.0)</f>
        <v>38</v>
      </c>
      <c r="H596" s="58">
        <f>IFERROR(__xludf.DUMMYFUNCTION("iferror(if(B596="""", ,filter('IDR Import'!D:D,'IDR Import'!A:A=B596,'IDR Import'!C:C=A596)),)"),52.51803969244786)</f>
        <v>52.51803969</v>
      </c>
      <c r="I596" s="58">
        <v>51.552184550218755</v>
      </c>
      <c r="J596" s="59">
        <f t="shared" si="1"/>
        <v>38</v>
      </c>
    </row>
    <row r="597">
      <c r="A597" s="55" t="str">
        <f>IFERROR(__xludf.DUMMYFUNCTION("""COMPUTED_VALUE"""),"Rival")</f>
        <v>Rival</v>
      </c>
      <c r="B597" s="55" t="str">
        <f>IFERROR(__xludf.DUMMYFUNCTION("""COMPUTED_VALUE"""),"RSC007307")</f>
        <v>RSC007307</v>
      </c>
      <c r="C597" s="60" t="str">
        <f>IFERROR(__xludf.DUMMYFUNCTION("""COMPUTED_VALUE"""),"Jmh187-")</f>
        <v>Jmh187-</v>
      </c>
      <c r="D597" s="54" t="str">
        <f>IFERROR(__xludf.DUMMYFUNCTION("""COMPUTED_VALUE"""),"Nightfall")</f>
        <v>Nightfall</v>
      </c>
      <c r="E597" s="55" t="str">
        <f>IFERROR(__xludf.DUMMYFUNCTION("""COMPUTED_VALUE"""),"Lunar")</f>
        <v>Lunar</v>
      </c>
      <c r="F597" s="56">
        <f>IFERROR(__xludf.DUMMYFUNCTION("""COMPUTED_VALUE"""),50.14775142674608)</f>
        <v>50.14775143</v>
      </c>
      <c r="G597" s="57">
        <f>IFERROR(__xludf.DUMMYFUNCTION("""COMPUTED_VALUE"""),31.0)</f>
        <v>31</v>
      </c>
      <c r="H597" s="58">
        <f>IFERROR(__xludf.DUMMYFUNCTION("iferror(if(B597="""", ,filter('IDR Import'!D:D,'IDR Import'!A:A=B597,'IDR Import'!C:C=A597)),)"),55.80606564366684)</f>
        <v>55.80606564</v>
      </c>
      <c r="I597" s="58">
        <v>52.97690853520646</v>
      </c>
      <c r="J597" s="59">
        <f t="shared" si="1"/>
        <v>31</v>
      </c>
    </row>
    <row r="598">
      <c r="A598" s="55" t="str">
        <f>IFERROR(__xludf.DUMMYFUNCTION("""COMPUTED_VALUE"""),"Rival")</f>
        <v>Rival</v>
      </c>
      <c r="B598" s="55" t="str">
        <f>IFERROR(__xludf.DUMMYFUNCTION("""COMPUTED_VALUE"""),"RSC007897")</f>
        <v>RSC007897</v>
      </c>
      <c r="C598" s="60" t="str">
        <f>IFERROR(__xludf.DUMMYFUNCTION("""COMPUTED_VALUE"""),"Synnicall")</f>
        <v>Synnicall</v>
      </c>
      <c r="D598" s="54" t="str">
        <f>IFERROR(__xludf.DUMMYFUNCTION("""COMPUTED_VALUE"""),"Purrgatory")</f>
        <v>Purrgatory</v>
      </c>
      <c r="E598" s="55" t="str">
        <f>IFERROR(__xludf.DUMMYFUNCTION("""COMPUTED_VALUE"""),"Solar")</f>
        <v>Solar</v>
      </c>
      <c r="F598" s="56">
        <f>IFERROR(__xludf.DUMMYFUNCTION("""COMPUTED_VALUE"""),49.64159975821826)</f>
        <v>49.64159976</v>
      </c>
      <c r="G598" s="57">
        <f>IFERROR(__xludf.DUMMYFUNCTION("""COMPUTED_VALUE"""),46.0)</f>
        <v>46</v>
      </c>
      <c r="H598" s="58">
        <f>IFERROR(__xludf.DUMMYFUNCTION("iferror(if(B598="""", ,filter('IDR Import'!D:D,'IDR Import'!A:A=B598,'IDR Import'!C:C=A598)),)"),51.65967348076157)</f>
        <v>51.65967348</v>
      </c>
      <c r="I598" s="58">
        <v>50.650636619489916</v>
      </c>
      <c r="J598" s="59">
        <f t="shared" si="1"/>
        <v>46</v>
      </c>
    </row>
    <row r="599">
      <c r="A599" s="55" t="str">
        <f>IFERROR(__xludf.DUMMYFUNCTION("""COMPUTED_VALUE"""),"Rival")</f>
        <v>Rival</v>
      </c>
      <c r="B599" s="55" t="str">
        <f>IFERROR(__xludf.DUMMYFUNCTION("""COMPUTED_VALUE"""),"RSC002931")</f>
        <v>RSC002931</v>
      </c>
      <c r="C599" s="60" t="str">
        <f>IFERROR(__xludf.DUMMYFUNCTION("""COMPUTED_VALUE"""),"Reeky")</f>
        <v>Reeky</v>
      </c>
      <c r="D599" s="54" t="str">
        <f>IFERROR(__xludf.DUMMYFUNCTION("""COMPUTED_VALUE"""),"Mining Legion
Tax Evaders")</f>
        <v>Mining Legion
Tax Evaders</v>
      </c>
      <c r="E599" s="55" t="str">
        <f>IFERROR(__xludf.DUMMYFUNCTION("""COMPUTED_VALUE"""),"Lunar
Lunar")</f>
        <v>Lunar
Lunar</v>
      </c>
      <c r="F599" s="56">
        <f>IFERROR(__xludf.DUMMYFUNCTION("""COMPUTED_VALUE"""),49.60536455856229)</f>
        <v>49.60536456</v>
      </c>
      <c r="G599" s="57">
        <f>IFERROR(__xludf.DUMMYFUNCTION("""COMPUTED_VALUE"""),23.0)</f>
        <v>23</v>
      </c>
      <c r="H599" s="58">
        <f>IFERROR(__xludf.DUMMYFUNCTION("iferror(if(B599="""", ,filter('IDR Import'!D:D,'IDR Import'!A:A=B599,'IDR Import'!C:C=A599)),)"),48.38759106127997)</f>
        <v>48.38759106</v>
      </c>
      <c r="I599" s="58">
        <v>48.99647780992113</v>
      </c>
      <c r="J599" s="59">
        <f t="shared" si="1"/>
        <v>23</v>
      </c>
    </row>
    <row r="600">
      <c r="A600" s="55" t="str">
        <f>IFERROR(__xludf.DUMMYFUNCTION("""COMPUTED_VALUE"""),"Rival")</f>
        <v>Rival</v>
      </c>
      <c r="B600" s="55" t="str">
        <f>IFERROR(__xludf.DUMMYFUNCTION("""COMPUTED_VALUE"""),"RSC006212")</f>
        <v>RSC006212</v>
      </c>
      <c r="C600" s="60" t="str">
        <f>IFERROR(__xludf.DUMMYFUNCTION("""COMPUTED_VALUE"""),"Kingtutt97")</f>
        <v>Kingtutt97</v>
      </c>
      <c r="D600" s="54" t="str">
        <f>IFERROR(__xludf.DUMMYFUNCTION("""COMPUTED_VALUE"""),"Polar Bears")</f>
        <v>Polar Bears</v>
      </c>
      <c r="E600" s="55" t="str">
        <f>IFERROR(__xludf.DUMMYFUNCTION("""COMPUTED_VALUE"""),"Solar")</f>
        <v>Solar</v>
      </c>
      <c r="F600" s="56">
        <f>IFERROR(__xludf.DUMMYFUNCTION("""COMPUTED_VALUE"""),49.56808241168544)</f>
        <v>49.56808241</v>
      </c>
      <c r="G600" s="57">
        <f>IFERROR(__xludf.DUMMYFUNCTION("""COMPUTED_VALUE"""),51.0)</f>
        <v>51</v>
      </c>
      <c r="H600" s="58">
        <f>IFERROR(__xludf.DUMMYFUNCTION("iferror(if(B600="""", ,filter('IDR Import'!D:D,'IDR Import'!A:A=B600,'IDR Import'!C:C=A600)),)"),54.73825558232474)</f>
        <v>54.73825558</v>
      </c>
      <c r="I600" s="58">
        <v>52.15316899700509</v>
      </c>
      <c r="J600" s="59">
        <f t="shared" si="1"/>
        <v>51</v>
      </c>
    </row>
    <row r="601">
      <c r="A601" s="55" t="str">
        <f>IFERROR(__xludf.DUMMYFUNCTION("""COMPUTED_VALUE"""),"Rival")</f>
        <v>Rival</v>
      </c>
      <c r="B601" s="55" t="str">
        <f>IFERROR(__xludf.DUMMYFUNCTION("""COMPUTED_VALUE"""),"RSC006069")</f>
        <v>RSC006069</v>
      </c>
      <c r="C601" s="60" t="str">
        <f>IFERROR(__xludf.DUMMYFUNCTION("""COMPUTED_VALUE"""),"PoupSoup")</f>
        <v>PoupSoup</v>
      </c>
      <c r="D601" s="54" t="str">
        <f>IFERROR(__xludf.DUMMYFUNCTION("""COMPUTED_VALUE"""),"Howlers")</f>
        <v>Howlers</v>
      </c>
      <c r="E601" s="55" t="str">
        <f>IFERROR(__xludf.DUMMYFUNCTION("""COMPUTED_VALUE"""),"Solar")</f>
        <v>Solar</v>
      </c>
      <c r="F601" s="56">
        <f>IFERROR(__xludf.DUMMYFUNCTION("""COMPUTED_VALUE"""),49.2889259637275)</f>
        <v>49.28892596</v>
      </c>
      <c r="G601" s="57">
        <f>IFERROR(__xludf.DUMMYFUNCTION("""COMPUTED_VALUE"""),55.0)</f>
        <v>55</v>
      </c>
      <c r="H601" s="58">
        <f>IFERROR(__xludf.DUMMYFUNCTION("iferror(if(B601="""", ,filter('IDR Import'!D:D,'IDR Import'!A:A=B601,'IDR Import'!C:C=A601)),)"),50.26028687663356)</f>
        <v>50.26028688</v>
      </c>
      <c r="I601" s="58">
        <v>49.77460642018053</v>
      </c>
      <c r="J601" s="59">
        <f t="shared" si="1"/>
        <v>55</v>
      </c>
    </row>
    <row r="602">
      <c r="A602" s="55" t="str">
        <f>IFERROR(__xludf.DUMMYFUNCTION("""COMPUTED_VALUE"""),"Rival")</f>
        <v>Rival</v>
      </c>
      <c r="B602" s="55" t="str">
        <f>IFERROR(__xludf.DUMMYFUNCTION("""COMPUTED_VALUE"""),"RSC002415")</f>
        <v>RSC002415</v>
      </c>
      <c r="C602" s="60" t="str">
        <f>IFERROR(__xludf.DUMMYFUNCTION("""COMPUTED_VALUE"""),"Goum")</f>
        <v>Goum</v>
      </c>
      <c r="D602" s="54" t="str">
        <f>IFERROR(__xludf.DUMMYFUNCTION("""COMPUTED_VALUE"""),"Lacuna
Gaboons")</f>
        <v>Lacuna
Gaboons</v>
      </c>
      <c r="E602" s="55" t="str">
        <f>IFERROR(__xludf.DUMMYFUNCTION("""COMPUTED_VALUE"""),"Solar
Lunar")</f>
        <v>Solar
Lunar</v>
      </c>
      <c r="F602" s="56">
        <f>IFERROR(__xludf.DUMMYFUNCTION("""COMPUTED_VALUE"""),49.05074886250104)</f>
        <v>49.05074886</v>
      </c>
      <c r="G602" s="57">
        <f>IFERROR(__xludf.DUMMYFUNCTION("""COMPUTED_VALUE"""),12.0)</f>
        <v>12</v>
      </c>
      <c r="H602" s="58">
        <f>IFERROR(__xludf.DUMMYFUNCTION("iferror(if(B602="""", ,filter('IDR Import'!D:D,'IDR Import'!A:A=B602,'IDR Import'!C:C=A602)),)"),50.43426494907009)</f>
        <v>50.43426495</v>
      </c>
      <c r="I602" s="58">
        <v>49.74250690578556</v>
      </c>
      <c r="J602" s="59">
        <f t="shared" si="1"/>
        <v>12</v>
      </c>
    </row>
    <row r="603">
      <c r="A603" s="55" t="str">
        <f>IFERROR(__xludf.DUMMYFUNCTION("""COMPUTED_VALUE"""),"Rival")</f>
        <v>Rival</v>
      </c>
      <c r="B603" s="55" t="str">
        <f>IFERROR(__xludf.DUMMYFUNCTION("""COMPUTED_VALUE"""),"RSC005507")</f>
        <v>RSC005507</v>
      </c>
      <c r="C603" s="60" t="str">
        <f>IFERROR(__xludf.DUMMYFUNCTION("""COMPUTED_VALUE"""),"T Sant")</f>
        <v>T Sant</v>
      </c>
      <c r="D603" s="54" t="str">
        <f>IFERROR(__xludf.DUMMYFUNCTION("""COMPUTED_VALUE"""),"Primo")</f>
        <v>Primo</v>
      </c>
      <c r="E603" s="55" t="str">
        <f>IFERROR(__xludf.DUMMYFUNCTION("""COMPUTED_VALUE"""),"Solar")</f>
        <v>Solar</v>
      </c>
      <c r="F603" s="56">
        <f>IFERROR(__xludf.DUMMYFUNCTION("""COMPUTED_VALUE"""),48.64897478917111)</f>
        <v>48.64897479</v>
      </c>
      <c r="G603" s="57">
        <f>IFERROR(__xludf.DUMMYFUNCTION("""COMPUTED_VALUE"""),52.0)</f>
        <v>52</v>
      </c>
      <c r="H603" s="58">
        <f>IFERROR(__xludf.DUMMYFUNCTION("iferror(if(B603="""", ,filter('IDR Import'!D:D,'IDR Import'!A:A=B603,'IDR Import'!C:C=A603)),)"),53.924953739215624)</f>
        <v>53.92495374</v>
      </c>
      <c r="I603" s="58">
        <v>51.28696426419337</v>
      </c>
      <c r="J603" s="59">
        <f t="shared" si="1"/>
        <v>52</v>
      </c>
    </row>
    <row r="604">
      <c r="A604" s="55" t="str">
        <f>IFERROR(__xludf.DUMMYFUNCTION("""COMPUTED_VALUE"""),"Rival")</f>
        <v>Rival</v>
      </c>
      <c r="B604" s="55" t="str">
        <f>IFERROR(__xludf.DUMMYFUNCTION("""COMPUTED_VALUE"""),"RSC003536")</f>
        <v>RSC003536</v>
      </c>
      <c r="C604" s="60" t="str">
        <f>IFERROR(__xludf.DUMMYFUNCTION("""COMPUTED_VALUE"""),"Charlemagne")</f>
        <v>Charlemagne</v>
      </c>
      <c r="D604" s="54" t="str">
        <f>IFERROR(__xludf.DUMMYFUNCTION("""COMPUTED_VALUE"""),"Tax Evaders")</f>
        <v>Tax Evaders</v>
      </c>
      <c r="E604" s="55" t="str">
        <f>IFERROR(__xludf.DUMMYFUNCTION("""COMPUTED_VALUE"""),"Lunar")</f>
        <v>Lunar</v>
      </c>
      <c r="F604" s="56">
        <f>IFERROR(__xludf.DUMMYFUNCTION("""COMPUTED_VALUE"""),48.03753753503336)</f>
        <v>48.03753754</v>
      </c>
      <c r="G604" s="57">
        <f>IFERROR(__xludf.DUMMYFUNCTION("""COMPUTED_VALUE"""),41.0)</f>
        <v>41</v>
      </c>
      <c r="H604" s="58">
        <f>IFERROR(__xludf.DUMMYFUNCTION("iferror(if(B604="""", ,filter('IDR Import'!D:D,'IDR Import'!A:A=B604,'IDR Import'!C:C=A604)),)"),38.63200853076722)</f>
        <v>38.63200853</v>
      </c>
      <c r="I604" s="58">
        <v>43.33477303290029</v>
      </c>
      <c r="J604" s="59">
        <f t="shared" si="1"/>
        <v>41</v>
      </c>
    </row>
    <row r="605">
      <c r="A605" s="55" t="str">
        <f>IFERROR(__xludf.DUMMYFUNCTION("""COMPUTED_VALUE"""),"Rival")</f>
        <v>Rival</v>
      </c>
      <c r="B605" s="55" t="str">
        <f>IFERROR(__xludf.DUMMYFUNCTION("""COMPUTED_VALUE"""),"RSC007222")</f>
        <v>RSC007222</v>
      </c>
      <c r="C605" s="60" t="str">
        <f>IFERROR(__xludf.DUMMYFUNCTION("""COMPUTED_VALUE"""),"S3EZ")</f>
        <v>S3EZ</v>
      </c>
      <c r="D605" s="54" t="str">
        <f>IFERROR(__xludf.DUMMYFUNCTION("""COMPUTED_VALUE"""),"Hue Heroes")</f>
        <v>Hue Heroes</v>
      </c>
      <c r="E605" s="55" t="str">
        <f>IFERROR(__xludf.DUMMYFUNCTION("""COMPUTED_VALUE"""),"Solar")</f>
        <v>Solar</v>
      </c>
      <c r="F605" s="56">
        <f>IFERROR(__xludf.DUMMYFUNCTION("""COMPUTED_VALUE"""),47.15314971403055)</f>
        <v>47.15314971</v>
      </c>
      <c r="G605" s="57">
        <f>IFERROR(__xludf.DUMMYFUNCTION("""COMPUTED_VALUE"""),34.0)</f>
        <v>34</v>
      </c>
      <c r="H605" s="58">
        <f>IFERROR(__xludf.DUMMYFUNCTION("iferror(if(B605="""", ,filter('IDR Import'!D:D,'IDR Import'!A:A=B605,'IDR Import'!C:C=A605)),)"),45.655621009499164)</f>
        <v>45.65562101</v>
      </c>
      <c r="I605" s="58">
        <v>46.40438536176485</v>
      </c>
      <c r="J605" s="59">
        <f t="shared" si="1"/>
        <v>34</v>
      </c>
    </row>
    <row r="606">
      <c r="A606" s="55" t="str">
        <f>IFERROR(__xludf.DUMMYFUNCTION("""COMPUTED_VALUE"""),"Rival")</f>
        <v>Rival</v>
      </c>
      <c r="B606" s="55" t="str">
        <f>IFERROR(__xludf.DUMMYFUNCTION("""COMPUTED_VALUE"""),"RSC007590")</f>
        <v>RSC007590</v>
      </c>
      <c r="C606" s="60" t="str">
        <f>IFERROR(__xludf.DUMMYFUNCTION("""COMPUTED_VALUE"""),"DonkeyPancakes2")</f>
        <v>DonkeyPancakes2</v>
      </c>
      <c r="D606" s="54" t="str">
        <f>IFERROR(__xludf.DUMMYFUNCTION("""COMPUTED_VALUE"""),"Hippos")</f>
        <v>Hippos</v>
      </c>
      <c r="E606" s="55" t="str">
        <f>IFERROR(__xludf.DUMMYFUNCTION("""COMPUTED_VALUE"""),"Lunar")</f>
        <v>Lunar</v>
      </c>
      <c r="F606" s="56">
        <f>IFERROR(__xludf.DUMMYFUNCTION("""COMPUTED_VALUE"""),47.15089752295113)</f>
        <v>47.15089752</v>
      </c>
      <c r="G606" s="57">
        <f>IFERROR(__xludf.DUMMYFUNCTION("""COMPUTED_VALUE"""),29.0)</f>
        <v>29</v>
      </c>
      <c r="H606" s="58">
        <f>IFERROR(__xludf.DUMMYFUNCTION("iferror(if(B606="""", ,filter('IDR Import'!D:D,'IDR Import'!A:A=B606,'IDR Import'!C:C=A606)),)"),51.524405644855904)</f>
        <v>51.52440564</v>
      </c>
      <c r="I606" s="58">
        <v>49.337651583903515</v>
      </c>
      <c r="J606" s="59">
        <f t="shared" si="1"/>
        <v>29</v>
      </c>
    </row>
    <row r="607">
      <c r="A607" s="55" t="str">
        <f>IFERROR(__xludf.DUMMYFUNCTION("""COMPUTED_VALUE"""),"Rival")</f>
        <v>Rival</v>
      </c>
      <c r="B607" s="55" t="str">
        <f>IFERROR(__xludf.DUMMYFUNCTION("""COMPUTED_VALUE"""),"RSC007904")</f>
        <v>RSC007904</v>
      </c>
      <c r="C607" s="60" t="str">
        <f>IFERROR(__xludf.DUMMYFUNCTION("""COMPUTED_VALUE"""),"branthedan")</f>
        <v>branthedan</v>
      </c>
      <c r="D607" s="54" t="str">
        <f>IFERROR(__xludf.DUMMYFUNCTION("""COMPUTED_VALUE"""),"Purrgatory")</f>
        <v>Purrgatory</v>
      </c>
      <c r="E607" s="55" t="str">
        <f>IFERROR(__xludf.DUMMYFUNCTION("""COMPUTED_VALUE"""),"Solar")</f>
        <v>Solar</v>
      </c>
      <c r="F607" s="56">
        <f>IFERROR(__xludf.DUMMYFUNCTION("""COMPUTED_VALUE"""),45.7708258605703)</f>
        <v>45.77082586</v>
      </c>
      <c r="G607" s="57">
        <f>IFERROR(__xludf.DUMMYFUNCTION("""COMPUTED_VALUE"""),55.0)</f>
        <v>55</v>
      </c>
      <c r="H607" s="58">
        <f>IFERROR(__xludf.DUMMYFUNCTION("iferror(if(B607="""", ,filter('IDR Import'!D:D,'IDR Import'!A:A=B607,'IDR Import'!C:C=A607)),)"),43.41096246733511)</f>
        <v>43.41096247</v>
      </c>
      <c r="I607" s="58">
        <v>44.590894163952704</v>
      </c>
      <c r="J607" s="59">
        <f t="shared" si="1"/>
        <v>55</v>
      </c>
    </row>
    <row r="608">
      <c r="A608" s="55" t="str">
        <f>IFERROR(__xludf.DUMMYFUNCTION("""COMPUTED_VALUE"""),"Rival")</f>
        <v>Rival</v>
      </c>
      <c r="B608" s="55" t="str">
        <f>IFERROR(__xludf.DUMMYFUNCTION("""COMPUTED_VALUE"""),"RSC008154")</f>
        <v>RSC008154</v>
      </c>
      <c r="C608" s="60" t="str">
        <f>IFERROR(__xludf.DUMMYFUNCTION("""COMPUTED_VALUE"""),"Blurrryy.")</f>
        <v>Blurrryy.</v>
      </c>
      <c r="D608" s="54" t="str">
        <f>IFERROR(__xludf.DUMMYFUNCTION("""COMPUTED_VALUE"""),"Phantoms")</f>
        <v>Phantoms</v>
      </c>
      <c r="E608" s="55" t="str">
        <f>IFERROR(__xludf.DUMMYFUNCTION("""COMPUTED_VALUE"""),"Lunar")</f>
        <v>Lunar</v>
      </c>
      <c r="F608" s="56">
        <f>IFERROR(__xludf.DUMMYFUNCTION("""COMPUTED_VALUE"""),45.29570213706807)</f>
        <v>45.29570214</v>
      </c>
      <c r="G608" s="57">
        <f>IFERROR(__xludf.DUMMYFUNCTION("""COMPUTED_VALUE"""),37.0)</f>
        <v>37</v>
      </c>
      <c r="H608" s="58">
        <f>IFERROR(__xludf.DUMMYFUNCTION("iferror(if(B608="""", ,filter('IDR Import'!D:D,'IDR Import'!A:A=B608,'IDR Import'!C:C=A608)),)"),37.18511091941819)</f>
        <v>37.18511092</v>
      </c>
      <c r="I608" s="58">
        <v>41.24040652824313</v>
      </c>
      <c r="J608" s="59">
        <f t="shared" si="1"/>
        <v>37</v>
      </c>
    </row>
    <row r="609">
      <c r="A609" s="55" t="str">
        <f>IFERROR(__xludf.DUMMYFUNCTION("""COMPUTED_VALUE"""),"Rival")</f>
        <v>Rival</v>
      </c>
      <c r="B609" s="55" t="str">
        <f>IFERROR(__xludf.DUMMYFUNCTION("""COMPUTED_VALUE"""),"RSC001358")</f>
        <v>RSC001358</v>
      </c>
      <c r="C609" s="60" t="str">
        <f>IFERROR(__xludf.DUMMYFUNCTION("""COMPUTED_VALUE"""),"Cob")</f>
        <v>Cob</v>
      </c>
      <c r="D609" s="54" t="str">
        <f>IFERROR(__xludf.DUMMYFUNCTION("""COMPUTED_VALUE"""),"Phoenix
Dracos")</f>
        <v>Phoenix
Dracos</v>
      </c>
      <c r="E609" s="55" t="str">
        <f>IFERROR(__xludf.DUMMYFUNCTION("""COMPUTED_VALUE"""),"Solar
Solar")</f>
        <v>Solar
Solar</v>
      </c>
      <c r="F609" s="56">
        <f>IFERROR(__xludf.DUMMYFUNCTION("""COMPUTED_VALUE"""),44.823992174945595)</f>
        <v>44.82399217</v>
      </c>
      <c r="G609" s="57">
        <f>IFERROR(__xludf.DUMMYFUNCTION("""COMPUTED_VALUE"""),52.0)</f>
        <v>52</v>
      </c>
      <c r="H609" s="58">
        <f>IFERROR(__xludf.DUMMYFUNCTION("iferror(if(B609="""", ,filter('IDR Import'!D:D,'IDR Import'!A:A=B609,'IDR Import'!C:C=A609)),)"),41.87335860093633)</f>
        <v>41.8733586</v>
      </c>
      <c r="I609" s="58">
        <v>43.34867538794096</v>
      </c>
      <c r="J609" s="59">
        <f t="shared" si="1"/>
        <v>52</v>
      </c>
    </row>
    <row r="610">
      <c r="A610" s="55" t="str">
        <f>IFERROR(__xludf.DUMMYFUNCTION("""COMPUTED_VALUE"""),"Rival")</f>
        <v>Rival</v>
      </c>
      <c r="B610" s="55" t="str">
        <f>IFERROR(__xludf.DUMMYFUNCTION("""COMPUTED_VALUE"""),"RSC001082")</f>
        <v>RSC001082</v>
      </c>
      <c r="C610" s="60" t="str">
        <f>IFERROR(__xludf.DUMMYFUNCTION("""COMPUTED_VALUE"""),"Tuxedo Marx")</f>
        <v>Tuxedo Marx</v>
      </c>
      <c r="D610" s="54" t="str">
        <f>IFERROR(__xludf.DUMMYFUNCTION("""COMPUTED_VALUE"""),"Asiago Arsonists")</f>
        <v>Asiago Arsonists</v>
      </c>
      <c r="E610" s="55" t="str">
        <f>IFERROR(__xludf.DUMMYFUNCTION("""COMPUTED_VALUE"""),"Lunar")</f>
        <v>Lunar</v>
      </c>
      <c r="F610" s="56">
        <f>IFERROR(__xludf.DUMMYFUNCTION("""COMPUTED_VALUE"""),44.77690592614586)</f>
        <v>44.77690593</v>
      </c>
      <c r="G610" s="57">
        <f>IFERROR(__xludf.DUMMYFUNCTION("""COMPUTED_VALUE"""),22.0)</f>
        <v>22</v>
      </c>
      <c r="H610" s="58">
        <f>IFERROR(__xludf.DUMMYFUNCTION("iferror(if(B610="""", ,filter('IDR Import'!D:D,'IDR Import'!A:A=B610,'IDR Import'!C:C=A610)),)"),42.722939939121964)</f>
        <v>42.72293994</v>
      </c>
      <c r="I610" s="58">
        <v>43.74992293263391</v>
      </c>
      <c r="J610" s="59">
        <f t="shared" si="1"/>
        <v>22</v>
      </c>
    </row>
    <row r="611">
      <c r="A611" s="55" t="str">
        <f>IFERROR(__xludf.DUMMYFUNCTION("""COMPUTED_VALUE"""),"Rival")</f>
        <v>Rival</v>
      </c>
      <c r="B611" s="55" t="str">
        <f>IFERROR(__xludf.DUMMYFUNCTION("""COMPUTED_VALUE"""),"RSC000796")</f>
        <v>RSC000796</v>
      </c>
      <c r="C611" s="60" t="str">
        <f>IFERROR(__xludf.DUMMYFUNCTION("""COMPUTED_VALUE"""),"hoyci")</f>
        <v>hoyci</v>
      </c>
      <c r="D611" s="54" t="str">
        <f>IFERROR(__xludf.DUMMYFUNCTION("""COMPUTED_VALUE"""),"Dracos
Nightfall")</f>
        <v>Dracos
Nightfall</v>
      </c>
      <c r="E611" s="55" t="str">
        <f>IFERROR(__xludf.DUMMYFUNCTION("""COMPUTED_VALUE"""),"Solar
Lunar")</f>
        <v>Solar
Lunar</v>
      </c>
      <c r="F611" s="56">
        <f>IFERROR(__xludf.DUMMYFUNCTION("""COMPUTED_VALUE"""),44.57566638616366)</f>
        <v>44.57566639</v>
      </c>
      <c r="G611" s="57">
        <f>IFERROR(__xludf.DUMMYFUNCTION("""COMPUTED_VALUE"""),21.0)</f>
        <v>21</v>
      </c>
      <c r="H611" s="58">
        <f>IFERROR(__xludf.DUMMYFUNCTION("iferror(if(B611="""", ,filter('IDR Import'!D:D,'IDR Import'!A:A=B611,'IDR Import'!C:C=A611)),)"),46.716454022827016)</f>
        <v>46.71645402</v>
      </c>
      <c r="I611" s="58">
        <v>45.64606020449534</v>
      </c>
      <c r="J611" s="59">
        <f t="shared" si="1"/>
        <v>21</v>
      </c>
    </row>
    <row r="612">
      <c r="A612" s="55" t="str">
        <f>IFERROR(__xludf.DUMMYFUNCTION("""COMPUTED_VALUE"""),"Rival")</f>
        <v>Rival</v>
      </c>
      <c r="B612" s="55" t="str">
        <f>IFERROR(__xludf.DUMMYFUNCTION("""COMPUTED_VALUE"""),"RSC001893")</f>
        <v>RSC001893</v>
      </c>
      <c r="C612" s="60" t="str">
        <f>IFERROR(__xludf.DUMMYFUNCTION("""COMPUTED_VALUE"""),"cjax")</f>
        <v>cjax</v>
      </c>
      <c r="D612" s="54" t="str">
        <f>IFERROR(__xludf.DUMMYFUNCTION("""COMPUTED_VALUE"""),"Hammerheads
Samurai")</f>
        <v>Hammerheads
Samurai</v>
      </c>
      <c r="E612" s="55" t="str">
        <f>IFERROR(__xludf.DUMMYFUNCTION("""COMPUTED_VALUE"""),"Solar
Lunar")</f>
        <v>Solar
Lunar</v>
      </c>
      <c r="F612" s="56">
        <f>IFERROR(__xludf.DUMMYFUNCTION("""COMPUTED_VALUE"""),44.53818318195235)</f>
        <v>44.53818318</v>
      </c>
      <c r="G612" s="57">
        <f>IFERROR(__xludf.DUMMYFUNCTION("""COMPUTED_VALUE"""),43.0)</f>
        <v>43</v>
      </c>
      <c r="H612" s="58">
        <f>IFERROR(__xludf.DUMMYFUNCTION("iferror(if(B612="""", ,filter('IDR Import'!D:D,'IDR Import'!A:A=B612,'IDR Import'!C:C=A612)),)"),51.6878020390805)</f>
        <v>51.68780204</v>
      </c>
      <c r="I612" s="58">
        <v>48.11299261051643</v>
      </c>
      <c r="J612" s="59">
        <f t="shared" si="1"/>
        <v>43</v>
      </c>
    </row>
    <row r="613">
      <c r="A613" s="55" t="str">
        <f>IFERROR(__xludf.DUMMYFUNCTION("""COMPUTED_VALUE"""),"Rival")</f>
        <v>Rival</v>
      </c>
      <c r="B613" s="55" t="str">
        <f>IFERROR(__xludf.DUMMYFUNCTION("""COMPUTED_VALUE"""),"RSC006910")</f>
        <v>RSC006910</v>
      </c>
      <c r="C613" s="60" t="str">
        <f>IFERROR(__xludf.DUMMYFUNCTION("""COMPUTED_VALUE"""),"Swanny2.0")</f>
        <v>Swanny2.0</v>
      </c>
      <c r="D613" s="54" t="str">
        <f>IFERROR(__xludf.DUMMYFUNCTION("""COMPUTED_VALUE"""),"Liars")</f>
        <v>Liars</v>
      </c>
      <c r="E613" s="55" t="str">
        <f>IFERROR(__xludf.DUMMYFUNCTION("""COMPUTED_VALUE"""),"Solar")</f>
        <v>Solar</v>
      </c>
      <c r="F613" s="56">
        <f>IFERROR(__xludf.DUMMYFUNCTION("""COMPUTED_VALUE"""),44.407154815393916)</f>
        <v>44.40715482</v>
      </c>
      <c r="G613" s="57">
        <f>IFERROR(__xludf.DUMMYFUNCTION("""COMPUTED_VALUE"""),44.0)</f>
        <v>44</v>
      </c>
      <c r="H613" s="58">
        <f>IFERROR(__xludf.DUMMYFUNCTION("iferror(if(B613="""", ,filter('IDR Import'!D:D,'IDR Import'!A:A=B613,'IDR Import'!C:C=A613)),)"),31.77591524051971)</f>
        <v>31.77591524</v>
      </c>
      <c r="I613" s="58">
        <v>38.09153502795681</v>
      </c>
      <c r="J613" s="59">
        <f t="shared" si="1"/>
        <v>44</v>
      </c>
    </row>
    <row r="614">
      <c r="A614" s="55" t="str">
        <f>IFERROR(__xludf.DUMMYFUNCTION("""COMPUTED_VALUE"""),"Rival")</f>
        <v>Rival</v>
      </c>
      <c r="B614" s="55" t="str">
        <f>IFERROR(__xludf.DUMMYFUNCTION("""COMPUTED_VALUE"""),"RSC002413")</f>
        <v>RSC002413</v>
      </c>
      <c r="C614" s="60" t="str">
        <f>IFERROR(__xludf.DUMMYFUNCTION("""COMPUTED_VALUE"""),"dafiya711")</f>
        <v>dafiya711</v>
      </c>
      <c r="D614" s="54" t="str">
        <f>IFERROR(__xludf.DUMMYFUNCTION("""COMPUTED_VALUE"""),"Liars
Barracudas")</f>
        <v>Liars
Barracudas</v>
      </c>
      <c r="E614" s="55" t="str">
        <f>IFERROR(__xludf.DUMMYFUNCTION("""COMPUTED_VALUE"""),"Solar
Lunar")</f>
        <v>Solar
Lunar</v>
      </c>
      <c r="F614" s="56">
        <f>IFERROR(__xludf.DUMMYFUNCTION("""COMPUTED_VALUE"""),44.06508631985791)</f>
        <v>44.06508632</v>
      </c>
      <c r="G614" s="57">
        <f>IFERROR(__xludf.DUMMYFUNCTION("""COMPUTED_VALUE"""),20.0)</f>
        <v>20</v>
      </c>
      <c r="H614" s="58">
        <f>IFERROR(__xludf.DUMMYFUNCTION("iferror(if(B614="""", ,filter('IDR Import'!D:D,'IDR Import'!A:A=B614,'IDR Import'!C:C=A614)),)"),51.902546286122295)</f>
        <v>51.90254629</v>
      </c>
      <c r="I614" s="58">
        <v>47.98381630299011</v>
      </c>
      <c r="J614" s="59">
        <f t="shared" si="1"/>
        <v>20</v>
      </c>
    </row>
    <row r="615">
      <c r="A615" s="55" t="str">
        <f>IFERROR(__xludf.DUMMYFUNCTION("""COMPUTED_VALUE"""),"Rival")</f>
        <v>Rival</v>
      </c>
      <c r="B615" s="55" t="str">
        <f>IFERROR(__xludf.DUMMYFUNCTION("""COMPUTED_VALUE"""),"RSC008341")</f>
        <v>RSC008341</v>
      </c>
      <c r="C615" s="60" t="str">
        <f>IFERROR(__xludf.DUMMYFUNCTION("""COMPUTED_VALUE"""),"haileyset")</f>
        <v>haileyset</v>
      </c>
      <c r="D615" s="54" t="str">
        <f>IFERROR(__xludf.DUMMYFUNCTION("""COMPUTED_VALUE"""),"Hammerheads")</f>
        <v>Hammerheads</v>
      </c>
      <c r="E615" s="55" t="str">
        <f>IFERROR(__xludf.DUMMYFUNCTION("""COMPUTED_VALUE"""),"Solar")</f>
        <v>Solar</v>
      </c>
      <c r="F615" s="56">
        <f>IFERROR(__xludf.DUMMYFUNCTION("""COMPUTED_VALUE"""),43.88169575172275)</f>
        <v>43.88169575</v>
      </c>
      <c r="G615" s="57">
        <f>IFERROR(__xludf.DUMMYFUNCTION("""COMPUTED_VALUE"""),55.0)</f>
        <v>55</v>
      </c>
      <c r="H615" s="58">
        <f>IFERROR(__xludf.DUMMYFUNCTION("iferror(if(B615="""", ,filter('IDR Import'!D:D,'IDR Import'!A:A=B615,'IDR Import'!C:C=A615)),)"),36.46728848655461)</f>
        <v>36.46728849</v>
      </c>
      <c r="I615" s="58">
        <v>40.17449211913868</v>
      </c>
      <c r="J615" s="59">
        <f t="shared" si="1"/>
        <v>55</v>
      </c>
    </row>
    <row r="616">
      <c r="A616" s="55" t="str">
        <f>IFERROR(__xludf.DUMMYFUNCTION("""COMPUTED_VALUE"""),"Rival")</f>
        <v>Rival</v>
      </c>
      <c r="B616" s="55" t="str">
        <f>IFERROR(__xludf.DUMMYFUNCTION("""COMPUTED_VALUE"""),"RSC006017")</f>
        <v>RSC006017</v>
      </c>
      <c r="C616" s="60" t="str">
        <f>IFERROR(__xludf.DUMMYFUNCTION("""COMPUTED_VALUE"""),"Dondo RF")</f>
        <v>Dondo RF</v>
      </c>
      <c r="D616" s="54" t="str">
        <f>IFERROR(__xludf.DUMMYFUNCTION("""COMPUTED_VALUE"""),"Kitsune")</f>
        <v>Kitsune</v>
      </c>
      <c r="E616" s="55" t="str">
        <f>IFERROR(__xludf.DUMMYFUNCTION("""COMPUTED_VALUE"""),"Solar")</f>
        <v>Solar</v>
      </c>
      <c r="F616" s="56">
        <f>IFERROR(__xludf.DUMMYFUNCTION("""COMPUTED_VALUE"""),43.84857998969404)</f>
        <v>43.84857999</v>
      </c>
      <c r="G616" s="57">
        <f>IFERROR(__xludf.DUMMYFUNCTION("""COMPUTED_VALUE"""),52.0)</f>
        <v>52</v>
      </c>
      <c r="H616" s="58">
        <f>IFERROR(__xludf.DUMMYFUNCTION("iferror(if(B616="""", ,filter('IDR Import'!D:D,'IDR Import'!A:A=B616,'IDR Import'!C:C=A616)),)"),41.71473988789161)</f>
        <v>41.71473989</v>
      </c>
      <c r="I616" s="58">
        <v>42.78165993879283</v>
      </c>
      <c r="J616" s="59">
        <f t="shared" si="1"/>
        <v>52</v>
      </c>
    </row>
    <row r="617">
      <c r="A617" s="55" t="str">
        <f>IFERROR(__xludf.DUMMYFUNCTION("""COMPUTED_VALUE"""),"Rival")</f>
        <v>Rival</v>
      </c>
      <c r="B617" s="55" t="str">
        <f>IFERROR(__xludf.DUMMYFUNCTION("""COMPUTED_VALUE"""),"RSC006753")</f>
        <v>RSC006753</v>
      </c>
      <c r="C617" s="60" t="str">
        <f>IFERROR(__xludf.DUMMYFUNCTION("""COMPUTED_VALUE"""),"wakinguptomoney.")</f>
        <v>wakinguptomoney.</v>
      </c>
      <c r="D617" s="54" t="str">
        <f>IFERROR(__xludf.DUMMYFUNCTION("""COMPUTED_VALUE"""),"Ocelots")</f>
        <v>Ocelots</v>
      </c>
      <c r="E617" s="55" t="str">
        <f>IFERROR(__xludf.DUMMYFUNCTION("""COMPUTED_VALUE"""),"Solar")</f>
        <v>Solar</v>
      </c>
      <c r="F617" s="56">
        <f>IFERROR(__xludf.DUMMYFUNCTION("""COMPUTED_VALUE"""),43.4828732226055)</f>
        <v>43.48287322</v>
      </c>
      <c r="G617" s="57">
        <f>IFERROR(__xludf.DUMMYFUNCTION("""COMPUTED_VALUE"""),13.0)</f>
        <v>13</v>
      </c>
      <c r="H617" s="58">
        <f>IFERROR(__xludf.DUMMYFUNCTION("iferror(if(B617="""", ,filter('IDR Import'!D:D,'IDR Import'!A:A=B617,'IDR Import'!C:C=A617)),)"),41.15246796684301)</f>
        <v>41.15246797</v>
      </c>
      <c r="I617" s="58">
        <v>42.317670594724255</v>
      </c>
      <c r="J617" s="59">
        <f t="shared" si="1"/>
        <v>13</v>
      </c>
    </row>
    <row r="618">
      <c r="A618" s="55" t="str">
        <f>IFERROR(__xludf.DUMMYFUNCTION("""COMPUTED_VALUE"""),"Rival")</f>
        <v>Rival</v>
      </c>
      <c r="B618" s="55" t="str">
        <f>IFERROR(__xludf.DUMMYFUNCTION("""COMPUTED_VALUE"""),"RSC007560")</f>
        <v>RSC007560</v>
      </c>
      <c r="C618" s="60" t="str">
        <f>IFERROR(__xludf.DUMMYFUNCTION("""COMPUTED_VALUE"""),"ObiWan_Can_O_Bee")</f>
        <v>ObiWan_Can_O_Bee</v>
      </c>
      <c r="D618" s="54" t="str">
        <f>IFERROR(__xludf.DUMMYFUNCTION("""COMPUTED_VALUE"""),"Nightfall")</f>
        <v>Nightfall</v>
      </c>
      <c r="E618" s="55" t="str">
        <f>IFERROR(__xludf.DUMMYFUNCTION("""COMPUTED_VALUE"""),"Lunar")</f>
        <v>Lunar</v>
      </c>
      <c r="F618" s="56">
        <f>IFERROR(__xludf.DUMMYFUNCTION("""COMPUTED_VALUE"""),42.255627143731346)</f>
        <v>42.25562714</v>
      </c>
      <c r="G618" s="57">
        <f>IFERROR(__xludf.DUMMYFUNCTION("""COMPUTED_VALUE"""),47.0)</f>
        <v>47</v>
      </c>
      <c r="H618" s="58">
        <f>IFERROR(__xludf.DUMMYFUNCTION("iferror(if(B618="""", ,filter('IDR Import'!D:D,'IDR Import'!A:A=B618,'IDR Import'!C:C=A618)),)"),39.794465145991666)</f>
        <v>39.79446515</v>
      </c>
      <c r="I618" s="58">
        <v>41.025046144861506</v>
      </c>
      <c r="J618" s="59">
        <f t="shared" si="1"/>
        <v>47</v>
      </c>
    </row>
    <row r="619">
      <c r="A619" s="55" t="str">
        <f>IFERROR(__xludf.DUMMYFUNCTION("""COMPUTED_VALUE"""),"Rival")</f>
        <v>Rival</v>
      </c>
      <c r="B619" s="55" t="str">
        <f>IFERROR(__xludf.DUMMYFUNCTION("""COMPUTED_VALUE"""),"RSC002982")</f>
        <v>RSC002982</v>
      </c>
      <c r="C619" s="60" t="str">
        <f>IFERROR(__xludf.DUMMYFUNCTION("""COMPUTED_VALUE"""),"AyoChil1")</f>
        <v>AyoChil1</v>
      </c>
      <c r="D619" s="54" t="str">
        <f>IFERROR(__xludf.DUMMYFUNCTION("""COMPUTED_VALUE"""),"Barracudas")</f>
        <v>Barracudas</v>
      </c>
      <c r="E619" s="55" t="str">
        <f>IFERROR(__xludf.DUMMYFUNCTION("""COMPUTED_VALUE"""),"Lunar")</f>
        <v>Lunar</v>
      </c>
      <c r="F619" s="56">
        <f>IFERROR(__xludf.DUMMYFUNCTION("""COMPUTED_VALUE"""),42.00551440842766)</f>
        <v>42.00551441</v>
      </c>
      <c r="G619" s="57">
        <f>IFERROR(__xludf.DUMMYFUNCTION("""COMPUTED_VALUE"""),52.0)</f>
        <v>52</v>
      </c>
      <c r="H619" s="58">
        <f>IFERROR(__xludf.DUMMYFUNCTION("iferror(if(B619="""", ,filter('IDR Import'!D:D,'IDR Import'!A:A=B619,'IDR Import'!C:C=A619)),)"),48.5733066298643)</f>
        <v>48.57330663</v>
      </c>
      <c r="I619" s="58">
        <v>45.289410519145974</v>
      </c>
      <c r="J619" s="59">
        <f t="shared" si="1"/>
        <v>52</v>
      </c>
    </row>
    <row r="620">
      <c r="A620" s="55" t="str">
        <f>IFERROR(__xludf.DUMMYFUNCTION("""COMPUTED_VALUE"""),"Rival")</f>
        <v>Rival</v>
      </c>
      <c r="B620" s="55" t="str">
        <f>IFERROR(__xludf.DUMMYFUNCTION("""COMPUTED_VALUE"""),"RSC006691")</f>
        <v>RSC006691</v>
      </c>
      <c r="C620" s="60" t="str">
        <f>IFERROR(__xludf.DUMMYFUNCTION("""COMPUTED_VALUE"""),"Jixer")</f>
        <v>Jixer</v>
      </c>
      <c r="D620" s="54" t="str">
        <f>IFERROR(__xludf.DUMMYFUNCTION("""COMPUTED_VALUE"""),"Tax Evaders")</f>
        <v>Tax Evaders</v>
      </c>
      <c r="E620" s="55" t="str">
        <f>IFERROR(__xludf.DUMMYFUNCTION("""COMPUTED_VALUE"""),"Lunar")</f>
        <v>Lunar</v>
      </c>
      <c r="F620" s="56">
        <f>IFERROR(__xludf.DUMMYFUNCTION("""COMPUTED_VALUE"""),41.99179482894341)</f>
        <v>41.99179483</v>
      </c>
      <c r="G620" s="57">
        <f>IFERROR(__xludf.DUMMYFUNCTION("""COMPUTED_VALUE"""),3.0)</f>
        <v>3</v>
      </c>
      <c r="H620" s="58">
        <f>IFERROR(__xludf.DUMMYFUNCTION("iferror(if(B620="""", ,filter('IDR Import'!D:D,'IDR Import'!A:A=B620,'IDR Import'!C:C=A620)),)"),34.170919276542854)</f>
        <v>34.17091928</v>
      </c>
      <c r="I620" s="58">
        <v>38.08135705274313</v>
      </c>
      <c r="J620" s="59">
        <f t="shared" si="1"/>
        <v>3</v>
      </c>
    </row>
    <row r="621">
      <c r="A621" s="55" t="str">
        <f>IFERROR(__xludf.DUMMYFUNCTION("""COMPUTED_VALUE"""),"Rival")</f>
        <v>Rival</v>
      </c>
      <c r="B621" s="55" t="str">
        <f>IFERROR(__xludf.DUMMYFUNCTION("""COMPUTED_VALUE"""),"RSC008502")</f>
        <v>RSC008502</v>
      </c>
      <c r="C621" s="60" t="str">
        <f>IFERROR(__xludf.DUMMYFUNCTION("""COMPUTED_VALUE"""),"Jetwind17")</f>
        <v>Jetwind17</v>
      </c>
      <c r="D621" s="54" t="str">
        <f>IFERROR(__xludf.DUMMYFUNCTION("""COMPUTED_VALUE"""),"Heavy Metal")</f>
        <v>Heavy Metal</v>
      </c>
      <c r="E621" s="55" t="str">
        <f>IFERROR(__xludf.DUMMYFUNCTION("""COMPUTED_VALUE"""),"Lunar")</f>
        <v>Lunar</v>
      </c>
      <c r="F621" s="56">
        <f>IFERROR(__xludf.DUMMYFUNCTION("""COMPUTED_VALUE"""),41.468211417802735)</f>
        <v>41.46821142</v>
      </c>
      <c r="G621" s="57">
        <f>IFERROR(__xludf.DUMMYFUNCTION("""COMPUTED_VALUE"""),20.0)</f>
        <v>20</v>
      </c>
      <c r="H621" s="58">
        <f>IFERROR(__xludf.DUMMYFUNCTION("iferror(if(B621="""", ,filter('IDR Import'!D:D,'IDR Import'!A:A=B621,'IDR Import'!C:C=A621)),)"),42.2397092792538)</f>
        <v>42.23970928</v>
      </c>
      <c r="I621" s="58">
        <v>41.85396034852827</v>
      </c>
      <c r="J621" s="59">
        <f t="shared" si="1"/>
        <v>20</v>
      </c>
    </row>
    <row r="622">
      <c r="A622" s="55" t="str">
        <f>IFERROR(__xludf.DUMMYFUNCTION("""COMPUTED_VALUE"""),"Rival")</f>
        <v>Rival</v>
      </c>
      <c r="B622" s="55" t="str">
        <f>IFERROR(__xludf.DUMMYFUNCTION("""COMPUTED_VALUE"""),"RSC007546")</f>
        <v>RSC007546</v>
      </c>
      <c r="C622" s="60" t="str">
        <f>IFERROR(__xludf.DUMMYFUNCTION("""COMPUTED_VALUE"""),"N0TTopmarx")</f>
        <v>N0TTopmarx</v>
      </c>
      <c r="D622" s="54" t="str">
        <f>IFERROR(__xludf.DUMMYFUNCTION("""COMPUTED_VALUE"""),"Wind
Black Ice")</f>
        <v>Wind
Black Ice</v>
      </c>
      <c r="E622" s="55" t="str">
        <f>IFERROR(__xludf.DUMMYFUNCTION("""COMPUTED_VALUE"""),"Solar
Solar")</f>
        <v>Solar
Solar</v>
      </c>
      <c r="F622" s="56">
        <f>IFERROR(__xludf.DUMMYFUNCTION("""COMPUTED_VALUE"""),41.22068178335641)</f>
        <v>41.22068178</v>
      </c>
      <c r="G622" s="57">
        <f>IFERROR(__xludf.DUMMYFUNCTION("""COMPUTED_VALUE"""),28.0)</f>
        <v>28</v>
      </c>
      <c r="H622" s="58">
        <f>IFERROR(__xludf.DUMMYFUNCTION("iferror(if(B622="""", ,filter('IDR Import'!D:D,'IDR Import'!A:A=B622,'IDR Import'!C:C=A622)),)"),44.07051740425989)</f>
        <v>44.0705174</v>
      </c>
      <c r="I622" s="58">
        <v>42.64559959380815</v>
      </c>
      <c r="J622" s="59">
        <f t="shared" si="1"/>
        <v>28</v>
      </c>
    </row>
    <row r="623">
      <c r="A623" s="55" t="str">
        <f>IFERROR(__xludf.DUMMYFUNCTION("""COMPUTED_VALUE"""),"Rival")</f>
        <v>Rival</v>
      </c>
      <c r="B623" s="55" t="str">
        <f>IFERROR(__xludf.DUMMYFUNCTION("""COMPUTED_VALUE"""),"RSC000828")</f>
        <v>RSC000828</v>
      </c>
      <c r="C623" s="60" t="str">
        <f>IFERROR(__xludf.DUMMYFUNCTION("""COMPUTED_VALUE"""),"MattViaAirwaves")</f>
        <v>MattViaAirwaves</v>
      </c>
      <c r="D623" s="54" t="str">
        <f>IFERROR(__xludf.DUMMYFUNCTION("""COMPUTED_VALUE"""),"Polar Ice")</f>
        <v>Polar Ice</v>
      </c>
      <c r="E623" s="55" t="str">
        <f>IFERROR(__xludf.DUMMYFUNCTION("""COMPUTED_VALUE"""),"Solar")</f>
        <v>Solar</v>
      </c>
      <c r="F623" s="56">
        <f>IFERROR(__xludf.DUMMYFUNCTION("""COMPUTED_VALUE"""),40.74999388495545)</f>
        <v>40.74999388</v>
      </c>
      <c r="G623" s="57">
        <f>IFERROR(__xludf.DUMMYFUNCTION("""COMPUTED_VALUE"""),54.0)</f>
        <v>54</v>
      </c>
      <c r="H623" s="58">
        <f>IFERROR(__xludf.DUMMYFUNCTION("iferror(if(B623="""", ,filter('IDR Import'!D:D,'IDR Import'!A:A=B623,'IDR Import'!C:C=A623)),)"),29.878919915933626)</f>
        <v>29.87891992</v>
      </c>
      <c r="I623" s="58">
        <v>35.31445690044454</v>
      </c>
      <c r="J623" s="59">
        <f t="shared" si="1"/>
        <v>54</v>
      </c>
    </row>
    <row r="624">
      <c r="A624" s="55" t="str">
        <f>IFERROR(__xludf.DUMMYFUNCTION("""COMPUTED_VALUE"""),"Rival")</f>
        <v>Rival</v>
      </c>
      <c r="B624" s="55" t="str">
        <f>IFERROR(__xludf.DUMMYFUNCTION("""COMPUTED_VALUE"""),"RSC000025")</f>
        <v>RSC000025</v>
      </c>
      <c r="C624" s="60" t="str">
        <f>IFERROR(__xludf.DUMMYFUNCTION("""COMPUTED_VALUE"""),"Slayerof666")</f>
        <v>Slayerof666</v>
      </c>
      <c r="D624" s="54" t="str">
        <f>IFERROR(__xludf.DUMMYFUNCTION("""COMPUTED_VALUE"""),"Purrgatory")</f>
        <v>Purrgatory</v>
      </c>
      <c r="E624" s="55" t="str">
        <f>IFERROR(__xludf.DUMMYFUNCTION("""COMPUTED_VALUE"""),"Solar")</f>
        <v>Solar</v>
      </c>
      <c r="F624" s="56">
        <f>IFERROR(__xludf.DUMMYFUNCTION("""COMPUTED_VALUE"""),40.030497161532985)</f>
        <v>40.03049716</v>
      </c>
      <c r="G624" s="57">
        <f>IFERROR(__xludf.DUMMYFUNCTION("""COMPUTED_VALUE"""),20.0)</f>
        <v>20</v>
      </c>
      <c r="H624" s="58">
        <f>IFERROR(__xludf.DUMMYFUNCTION("iferror(if(B624="""", ,filter('IDR Import'!D:D,'IDR Import'!A:A=B624,'IDR Import'!C:C=A624)),)"),54.3706561027523)</f>
        <v>54.3706561</v>
      </c>
      <c r="I624" s="58">
        <v>47.20057663214264</v>
      </c>
      <c r="J624" s="59">
        <f t="shared" si="1"/>
        <v>20</v>
      </c>
    </row>
    <row r="625">
      <c r="A625" s="55" t="str">
        <f>IFERROR(__xludf.DUMMYFUNCTION("""COMPUTED_VALUE"""),"Rival")</f>
        <v>Rival</v>
      </c>
      <c r="B625" s="55" t="str">
        <f>IFERROR(__xludf.DUMMYFUNCTION("""COMPUTED_VALUE"""),"RSC006777")</f>
        <v>RSC006777</v>
      </c>
      <c r="C625" s="60" t="str">
        <f>IFERROR(__xludf.DUMMYFUNCTION("""COMPUTED_VALUE"""),"AlteredSp4rky")</f>
        <v>AlteredSp4rky</v>
      </c>
      <c r="D625" s="54" t="str">
        <f>IFERROR(__xludf.DUMMYFUNCTION("""COMPUTED_VALUE"""),"Ruthless Racket")</f>
        <v>Ruthless Racket</v>
      </c>
      <c r="E625" s="55" t="str">
        <f>IFERROR(__xludf.DUMMYFUNCTION("""COMPUTED_VALUE"""),"Lunar")</f>
        <v>Lunar</v>
      </c>
      <c r="F625" s="56">
        <f>IFERROR(__xludf.DUMMYFUNCTION("""COMPUTED_VALUE"""),39.80799242191888)</f>
        <v>39.80799242</v>
      </c>
      <c r="G625" s="57">
        <f>IFERROR(__xludf.DUMMYFUNCTION("""COMPUTED_VALUE"""),46.0)</f>
        <v>46</v>
      </c>
      <c r="H625" s="58">
        <f>IFERROR(__xludf.DUMMYFUNCTION("iferror(if(B625="""", ,filter('IDR Import'!D:D,'IDR Import'!A:A=B625,'IDR Import'!C:C=A625)),)"),35.788297713567054)</f>
        <v>35.78829771</v>
      </c>
      <c r="I625" s="58">
        <v>37.798145067742965</v>
      </c>
      <c r="J625" s="59">
        <f t="shared" si="1"/>
        <v>46</v>
      </c>
    </row>
    <row r="626">
      <c r="A626" s="55" t="str">
        <f>IFERROR(__xludf.DUMMYFUNCTION("""COMPUTED_VALUE"""),"Rival")</f>
        <v>Rival</v>
      </c>
      <c r="B626" s="55" t="str">
        <f>IFERROR(__xludf.DUMMYFUNCTION("""COMPUTED_VALUE"""),"RSC007961")</f>
        <v>RSC007961</v>
      </c>
      <c r="C626" s="60" t="str">
        <f>IFERROR(__xludf.DUMMYFUNCTION("""COMPUTED_VALUE"""),"Skrilpp")</f>
        <v>Skrilpp</v>
      </c>
      <c r="D626" s="54" t="str">
        <f>IFERROR(__xludf.DUMMYFUNCTION("""COMPUTED_VALUE"""),"Lacuna
Black Ice
Scramjets")</f>
        <v>Lacuna
Black Ice
Scramjets</v>
      </c>
      <c r="E626" s="55" t="str">
        <f>IFERROR(__xludf.DUMMYFUNCTION("""COMPUTED_VALUE"""),"Solar
Solar
Lunar")</f>
        <v>Solar
Solar
Lunar</v>
      </c>
      <c r="F626" s="56">
        <f>IFERROR(__xludf.DUMMYFUNCTION("""COMPUTED_VALUE"""),39.68253900607405)</f>
        <v>39.68253901</v>
      </c>
      <c r="G626" s="57">
        <f>IFERROR(__xludf.DUMMYFUNCTION("""COMPUTED_VALUE"""),10.0)</f>
        <v>10</v>
      </c>
      <c r="H626" s="58">
        <f>IFERROR(__xludf.DUMMYFUNCTION("iferror(if(B626="""", ,filter('IDR Import'!D:D,'IDR Import'!A:A=B626,'IDR Import'!C:C=A626)),)"),44.97828564504418)</f>
        <v>44.97828565</v>
      </c>
      <c r="I626" s="58">
        <v>42.33041232555912</v>
      </c>
      <c r="J626" s="59">
        <f t="shared" si="1"/>
        <v>10</v>
      </c>
    </row>
    <row r="627">
      <c r="A627" s="55" t="str">
        <f>IFERROR(__xludf.DUMMYFUNCTION("""COMPUTED_VALUE"""),"Rival")</f>
        <v>Rival</v>
      </c>
      <c r="B627" s="55" t="str">
        <f>IFERROR(__xludf.DUMMYFUNCTION("""COMPUTED_VALUE"""),"RSC008226")</f>
        <v>RSC008226</v>
      </c>
      <c r="C627" s="60" t="str">
        <f>IFERROR(__xludf.DUMMYFUNCTION("""COMPUTED_VALUE"""),"OurStevie")</f>
        <v>OurStevie</v>
      </c>
      <c r="D627" s="54" t="str">
        <f>IFERROR(__xludf.DUMMYFUNCTION("""COMPUTED_VALUE"""),"Phoenix")</f>
        <v>Phoenix</v>
      </c>
      <c r="E627" s="55" t="str">
        <f>IFERROR(__xludf.DUMMYFUNCTION("""COMPUTED_VALUE"""),"Solar")</f>
        <v>Solar</v>
      </c>
      <c r="F627" s="56">
        <f>IFERROR(__xludf.DUMMYFUNCTION("""COMPUTED_VALUE"""),39.44463897443237)</f>
        <v>39.44463897</v>
      </c>
      <c r="G627" s="57">
        <f>IFERROR(__xludf.DUMMYFUNCTION("""COMPUTED_VALUE"""),33.0)</f>
        <v>33</v>
      </c>
      <c r="H627" s="58">
        <f>IFERROR(__xludf.DUMMYFUNCTION("iferror(if(B627="""", ,filter('IDR Import'!D:D,'IDR Import'!A:A=B627,'IDR Import'!C:C=A627)),)"),53.77591066631114)</f>
        <v>53.77591067</v>
      </c>
      <c r="I627" s="58">
        <v>46.61027482037176</v>
      </c>
      <c r="J627" s="59">
        <f t="shared" si="1"/>
        <v>33</v>
      </c>
    </row>
    <row r="628">
      <c r="A628" s="55" t="str">
        <f>IFERROR(__xludf.DUMMYFUNCTION("""COMPUTED_VALUE"""),"Rival")</f>
        <v>Rival</v>
      </c>
      <c r="B628" s="55" t="str">
        <f>IFERROR(__xludf.DUMMYFUNCTION("""COMPUTED_VALUE"""),"RSC005289")</f>
        <v>RSC005289</v>
      </c>
      <c r="C628" s="60" t="str">
        <f>IFERROR(__xludf.DUMMYFUNCTION("""COMPUTED_VALUE"""),"Gilly-_")</f>
        <v>Gilly-_</v>
      </c>
      <c r="D628" s="54" t="str">
        <f>IFERROR(__xludf.DUMMYFUNCTION("""COMPUTED_VALUE"""),"Black Ice")</f>
        <v>Black Ice</v>
      </c>
      <c r="E628" s="55" t="str">
        <f>IFERROR(__xludf.DUMMYFUNCTION("""COMPUTED_VALUE"""),"Solar")</f>
        <v>Solar</v>
      </c>
      <c r="F628" s="56">
        <f>IFERROR(__xludf.DUMMYFUNCTION("""COMPUTED_VALUE"""),39.32298358753839)</f>
        <v>39.32298359</v>
      </c>
      <c r="G628" s="57">
        <f>IFERROR(__xludf.DUMMYFUNCTION("""COMPUTED_VALUE"""),42.0)</f>
        <v>42</v>
      </c>
      <c r="H628" s="58">
        <f>IFERROR(__xludf.DUMMYFUNCTION("iferror(if(B628="""", ,filter('IDR Import'!D:D,'IDR Import'!A:A=B628,'IDR Import'!C:C=A628)),)"),36.615694166631535)</f>
        <v>36.61569417</v>
      </c>
      <c r="I628" s="58">
        <v>37.969338877084965</v>
      </c>
      <c r="J628" s="59">
        <f t="shared" si="1"/>
        <v>42</v>
      </c>
    </row>
    <row r="629">
      <c r="A629" s="55" t="str">
        <f>IFERROR(__xludf.DUMMYFUNCTION("""COMPUTED_VALUE"""),"Rival")</f>
        <v>Rival</v>
      </c>
      <c r="B629" s="55" t="str">
        <f>IFERROR(__xludf.DUMMYFUNCTION("""COMPUTED_VALUE"""),"RSC008533")</f>
        <v>RSC008533</v>
      </c>
      <c r="C629" s="60" t="str">
        <f>IFERROR(__xludf.DUMMYFUNCTION("""COMPUTED_VALUE"""),"Malik_P4")</f>
        <v>Malik_P4</v>
      </c>
      <c r="D629" s="54" t="str">
        <f>IFERROR(__xludf.DUMMYFUNCTION("""COMPUTED_VALUE"""),"Lightning")</f>
        <v>Lightning</v>
      </c>
      <c r="E629" s="55" t="str">
        <f>IFERROR(__xludf.DUMMYFUNCTION("""COMPUTED_VALUE"""),"Lunar")</f>
        <v>Lunar</v>
      </c>
      <c r="F629" s="56">
        <f>IFERROR(__xludf.DUMMYFUNCTION("""COMPUTED_VALUE"""),38.7914093658389)</f>
        <v>38.79140937</v>
      </c>
      <c r="G629" s="57">
        <f>IFERROR(__xludf.DUMMYFUNCTION("""COMPUTED_VALUE"""),28.0)</f>
        <v>28</v>
      </c>
      <c r="H629" s="58">
        <f>IFERROR(__xludf.DUMMYFUNCTION("iferror(if(B629="""", ,filter('IDR Import'!D:D,'IDR Import'!A:A=B629,'IDR Import'!C:C=A629)),)"),47.00983304860631)</f>
        <v>47.00983305</v>
      </c>
      <c r="I629" s="58">
        <v>42.900621207222606</v>
      </c>
      <c r="J629" s="59">
        <f t="shared" si="1"/>
        <v>28</v>
      </c>
    </row>
    <row r="630">
      <c r="A630" s="55" t="str">
        <f>IFERROR(__xludf.DUMMYFUNCTION("""COMPUTED_VALUE"""),"Rival")</f>
        <v>Rival</v>
      </c>
      <c r="B630" s="55" t="str">
        <f>IFERROR(__xludf.DUMMYFUNCTION("""COMPUTED_VALUE"""),"RSC007753")</f>
        <v>RSC007753</v>
      </c>
      <c r="C630" s="60" t="str">
        <f>IFERROR(__xludf.DUMMYFUNCTION("""COMPUTED_VALUE"""),"Chromebook")</f>
        <v>Chromebook</v>
      </c>
      <c r="D630" s="54" t="str">
        <f>IFERROR(__xludf.DUMMYFUNCTION("""COMPUTED_VALUE"""),"Scramjets")</f>
        <v>Scramjets</v>
      </c>
      <c r="E630" s="55" t="str">
        <f>IFERROR(__xludf.DUMMYFUNCTION("""COMPUTED_VALUE"""),"Lunar")</f>
        <v>Lunar</v>
      </c>
      <c r="F630" s="56">
        <f>IFERROR(__xludf.DUMMYFUNCTION("""COMPUTED_VALUE"""),37.32569241753202)</f>
        <v>37.32569242</v>
      </c>
      <c r="G630" s="57">
        <f>IFERROR(__xludf.DUMMYFUNCTION("""COMPUTED_VALUE"""),4.0)</f>
        <v>4</v>
      </c>
      <c r="H630" s="58">
        <f>IFERROR(__xludf.DUMMYFUNCTION("iferror(if(B630="""", ,filter('IDR Import'!D:D,'IDR Import'!A:A=B630,'IDR Import'!C:C=A630)),)"),35.02438635696985)</f>
        <v>35.02438636</v>
      </c>
      <c r="I630" s="58">
        <v>36.17503938725093</v>
      </c>
      <c r="J630" s="59">
        <f t="shared" si="1"/>
        <v>4</v>
      </c>
    </row>
    <row r="631">
      <c r="A631" s="55" t="str">
        <f>IFERROR(__xludf.DUMMYFUNCTION("""COMPUTED_VALUE"""),"Rival")</f>
        <v>Rival</v>
      </c>
      <c r="B631" s="55" t="str">
        <f>IFERROR(__xludf.DUMMYFUNCTION("""COMPUTED_VALUE"""),"RSC006883")</f>
        <v>RSC006883</v>
      </c>
      <c r="C631" s="60" t="str">
        <f>IFERROR(__xludf.DUMMYFUNCTION("""COMPUTED_VALUE"""),"Kit")</f>
        <v>Kit</v>
      </c>
      <c r="D631" s="54" t="str">
        <f>IFERROR(__xludf.DUMMYFUNCTION("""COMPUTED_VALUE"""),"Liars")</f>
        <v>Liars</v>
      </c>
      <c r="E631" s="55" t="str">
        <f>IFERROR(__xludf.DUMMYFUNCTION("""COMPUTED_VALUE"""),"Solar")</f>
        <v>Solar</v>
      </c>
      <c r="F631" s="56">
        <f>IFERROR(__xludf.DUMMYFUNCTION("""COMPUTED_VALUE"""),37.14813037902534)</f>
        <v>37.14813038</v>
      </c>
      <c r="G631" s="57">
        <f>IFERROR(__xludf.DUMMYFUNCTION("""COMPUTED_VALUE"""),51.0)</f>
        <v>51</v>
      </c>
      <c r="H631" s="58">
        <f>IFERROR(__xludf.DUMMYFUNCTION("iferror(if(B631="""", ,filter('IDR Import'!D:D,'IDR Import'!A:A=B631,'IDR Import'!C:C=A631)),)"),35.21677761027453)</f>
        <v>35.21677761</v>
      </c>
      <c r="I631" s="58">
        <v>36.18245399464993</v>
      </c>
      <c r="J631" s="59">
        <f t="shared" si="1"/>
        <v>51</v>
      </c>
    </row>
    <row r="632">
      <c r="A632" s="55" t="str">
        <f>IFERROR(__xludf.DUMMYFUNCTION("""COMPUTED_VALUE"""),"Rival")</f>
        <v>Rival</v>
      </c>
      <c r="B632" s="55" t="str">
        <f>IFERROR(__xludf.DUMMYFUNCTION("""COMPUTED_VALUE"""),"RSC003118")</f>
        <v>RSC003118</v>
      </c>
      <c r="C632" s="60" t="str">
        <f>IFERROR(__xludf.DUMMYFUNCTION("""COMPUTED_VALUE"""),"Mysty")</f>
        <v>Mysty</v>
      </c>
      <c r="D632" s="54" t="str">
        <f>IFERROR(__xludf.DUMMYFUNCTION("""COMPUTED_VALUE"""),"Polar Ice
Wind
Lacuna")</f>
        <v>Polar Ice
Wind
Lacuna</v>
      </c>
      <c r="E632" s="55" t="str">
        <f>IFERROR(__xludf.DUMMYFUNCTION("""COMPUTED_VALUE"""),"Solar
Solar
Solar")</f>
        <v>Solar
Solar
Solar</v>
      </c>
      <c r="F632" s="56">
        <f>IFERROR(__xludf.DUMMYFUNCTION("""COMPUTED_VALUE"""),36.37652464873168)</f>
        <v>36.37652465</v>
      </c>
      <c r="G632" s="57">
        <f>IFERROR(__xludf.DUMMYFUNCTION("""COMPUTED_VALUE"""),50.0)</f>
        <v>50</v>
      </c>
      <c r="H632" s="58">
        <f>IFERROR(__xludf.DUMMYFUNCTION("iferror(if(B632="""", ,filter('IDR Import'!D:D,'IDR Import'!A:A=B632,'IDR Import'!C:C=A632)),)"),31.274653871114594)</f>
        <v>31.27465387</v>
      </c>
      <c r="I632" s="58">
        <v>33.825589259923134</v>
      </c>
      <c r="J632" s="59">
        <f t="shared" si="1"/>
        <v>50</v>
      </c>
    </row>
    <row r="633">
      <c r="A633" s="55" t="str">
        <f>IFERROR(__xludf.DUMMYFUNCTION("""COMPUTED_VALUE"""),"Rival")</f>
        <v>Rival</v>
      </c>
      <c r="B633" s="55" t="str">
        <f>IFERROR(__xludf.DUMMYFUNCTION("""COMPUTED_VALUE"""),"RSC008517")</f>
        <v>RSC008517</v>
      </c>
      <c r="C633" s="60" t="str">
        <f>IFERROR(__xludf.DUMMYFUNCTION("""COMPUTED_VALUE"""),"MOX jori")</f>
        <v>MOX jori</v>
      </c>
      <c r="D633" s="54" t="str">
        <f>IFERROR(__xludf.DUMMYFUNCTION("""COMPUTED_VALUE"""),"Kitsune")</f>
        <v>Kitsune</v>
      </c>
      <c r="E633" s="55" t="str">
        <f>IFERROR(__xludf.DUMMYFUNCTION("""COMPUTED_VALUE"""),"Solar")</f>
        <v>Solar</v>
      </c>
      <c r="F633" s="56">
        <f>IFERROR(__xludf.DUMMYFUNCTION("""COMPUTED_VALUE"""),36.18213898825711)</f>
        <v>36.18213899</v>
      </c>
      <c r="G633" s="57">
        <f>IFERROR(__xludf.DUMMYFUNCTION("""COMPUTED_VALUE"""),10.0)</f>
        <v>10</v>
      </c>
      <c r="H633" s="58">
        <f>IFERROR(__xludf.DUMMYFUNCTION("iferror(if(B633="""", ,filter('IDR Import'!D:D,'IDR Import'!A:A=B633,'IDR Import'!C:C=A633)),)"),44.5218342024903)</f>
        <v>44.5218342</v>
      </c>
      <c r="I633" s="58">
        <v>40.3519865953737</v>
      </c>
      <c r="J633" s="59">
        <f t="shared" si="1"/>
        <v>10</v>
      </c>
    </row>
    <row r="634">
      <c r="A634" s="55" t="str">
        <f>IFERROR(__xludf.DUMMYFUNCTION("""COMPUTED_VALUE"""),"Rival")</f>
        <v>Rival</v>
      </c>
      <c r="B634" s="55" t="str">
        <f>IFERROR(__xludf.DUMMYFUNCTION("""COMPUTED_VALUE"""),"RSC006643")</f>
        <v>RSC006643</v>
      </c>
      <c r="C634" s="60" t="str">
        <f>IFERROR(__xludf.DUMMYFUNCTION("""COMPUTED_VALUE"""),"Napkhan")</f>
        <v>Napkhan</v>
      </c>
      <c r="D634" s="54" t="str">
        <f>IFERROR(__xludf.DUMMYFUNCTION("""COMPUTED_VALUE"""),"Ruthless Racket")</f>
        <v>Ruthless Racket</v>
      </c>
      <c r="E634" s="55" t="str">
        <f>IFERROR(__xludf.DUMMYFUNCTION("""COMPUTED_VALUE"""),"Lunar")</f>
        <v>Lunar</v>
      </c>
      <c r="F634" s="56">
        <f>IFERROR(__xludf.DUMMYFUNCTION("""COMPUTED_VALUE"""),35.612443955867406)</f>
        <v>35.61244396</v>
      </c>
      <c r="G634" s="57">
        <f>IFERROR(__xludf.DUMMYFUNCTION("""COMPUTED_VALUE"""),22.0)</f>
        <v>22</v>
      </c>
      <c r="H634" s="58">
        <f>IFERROR(__xludf.DUMMYFUNCTION("iferror(if(B634="""", ,filter('IDR Import'!D:D,'IDR Import'!A:A=B634,'IDR Import'!C:C=A634)),)"),24.6257697442054)</f>
        <v>24.62576974</v>
      </c>
      <c r="I634" s="58">
        <v>30.119106850036403</v>
      </c>
      <c r="J634" s="59">
        <f t="shared" si="1"/>
        <v>22</v>
      </c>
    </row>
    <row r="635">
      <c r="A635" s="55" t="str">
        <f>IFERROR(__xludf.DUMMYFUNCTION("""COMPUTED_VALUE"""),"Rival")</f>
        <v>Rival</v>
      </c>
      <c r="B635" s="55" t="str">
        <f>IFERROR(__xludf.DUMMYFUNCTION("""COMPUTED_VALUE"""),"RSC005475")</f>
        <v>RSC005475</v>
      </c>
      <c r="C635" s="60" t="str">
        <f>IFERROR(__xludf.DUMMYFUNCTION("""COMPUTED_VALUE"""),"Envy")</f>
        <v>Envy</v>
      </c>
      <c r="D635" s="54" t="str">
        <f>IFERROR(__xludf.DUMMYFUNCTION("""COMPUTED_VALUE"""),"Liars")</f>
        <v>Liars</v>
      </c>
      <c r="E635" s="55" t="str">
        <f>IFERROR(__xludf.DUMMYFUNCTION("""COMPUTED_VALUE"""),"Solar")</f>
        <v>Solar</v>
      </c>
      <c r="F635" s="56">
        <f>IFERROR(__xludf.DUMMYFUNCTION("""COMPUTED_VALUE"""),35.43400976327174)</f>
        <v>35.43400976</v>
      </c>
      <c r="G635" s="57">
        <f>IFERROR(__xludf.DUMMYFUNCTION("""COMPUTED_VALUE"""),8.0)</f>
        <v>8</v>
      </c>
      <c r="H635" s="58">
        <f>IFERROR(__xludf.DUMMYFUNCTION("iferror(if(B635="""", ,filter('IDR Import'!D:D,'IDR Import'!A:A=B635,'IDR Import'!C:C=A635)),)"),31.964311776456245)</f>
        <v>31.96431178</v>
      </c>
      <c r="I635" s="58">
        <v>33.699160769863994</v>
      </c>
      <c r="J635" s="59">
        <f t="shared" si="1"/>
        <v>8</v>
      </c>
    </row>
    <row r="636">
      <c r="A636" s="55" t="str">
        <f>IFERROR(__xludf.DUMMYFUNCTION("""COMPUTED_VALUE"""),"Rival")</f>
        <v>Rival</v>
      </c>
      <c r="B636" s="55" t="str">
        <f>IFERROR(__xludf.DUMMYFUNCTION("""COMPUTED_VALUE"""),"RSC002128")</f>
        <v>RSC002128</v>
      </c>
      <c r="C636" s="60" t="str">
        <f>IFERROR(__xludf.DUMMYFUNCTION("""COMPUTED_VALUE"""),"Velo")</f>
        <v>Velo</v>
      </c>
      <c r="D636" s="54" t="str">
        <f>IFERROR(__xludf.DUMMYFUNCTION("""COMPUTED_VALUE"""),"Lightning")</f>
        <v>Lightning</v>
      </c>
      <c r="E636" s="55" t="str">
        <f>IFERROR(__xludf.DUMMYFUNCTION("""COMPUTED_VALUE"""),"Lunar")</f>
        <v>Lunar</v>
      </c>
      <c r="F636" s="56">
        <f>IFERROR(__xludf.DUMMYFUNCTION("""COMPUTED_VALUE"""),35.281303627616055)</f>
        <v>35.28130363</v>
      </c>
      <c r="G636" s="57">
        <f>IFERROR(__xludf.DUMMYFUNCTION("""COMPUTED_VALUE"""),26.0)</f>
        <v>26</v>
      </c>
      <c r="H636" s="58">
        <f>IFERROR(__xludf.DUMMYFUNCTION("iferror(if(B636="""", ,filter('IDR Import'!D:D,'IDR Import'!A:A=B636,'IDR Import'!C:C=A636)),)"),28.619867785845706)</f>
        <v>28.61986779</v>
      </c>
      <c r="I636" s="58">
        <v>31.95058570673088</v>
      </c>
      <c r="J636" s="59">
        <f t="shared" si="1"/>
        <v>26</v>
      </c>
    </row>
    <row r="637">
      <c r="A637" s="55" t="str">
        <f>IFERROR(__xludf.DUMMYFUNCTION("""COMPUTED_VALUE"""),"Rival")</f>
        <v>Rival</v>
      </c>
      <c r="B637" s="55" t="str">
        <f>IFERROR(__xludf.DUMMYFUNCTION("""COMPUTED_VALUE"""),"RSC008192")</f>
        <v>RSC008192</v>
      </c>
      <c r="C637" s="60" t="str">
        <f>IFERROR(__xludf.DUMMYFUNCTION("""COMPUTED_VALUE"""),"Alpha Dingo")</f>
        <v>Alpha Dingo</v>
      </c>
      <c r="D637" s="54" t="str">
        <f>IFERROR(__xludf.DUMMYFUNCTION("""COMPUTED_VALUE"""),"Hammerheads")</f>
        <v>Hammerheads</v>
      </c>
      <c r="E637" s="55" t="str">
        <f>IFERROR(__xludf.DUMMYFUNCTION("""COMPUTED_VALUE"""),"Solar")</f>
        <v>Solar</v>
      </c>
      <c r="F637" s="56">
        <f>IFERROR(__xludf.DUMMYFUNCTION("""COMPUTED_VALUE"""),34.68437787113091)</f>
        <v>34.68437787</v>
      </c>
      <c r="G637" s="57">
        <f>IFERROR(__xludf.DUMMYFUNCTION("""COMPUTED_VALUE"""),38.0)</f>
        <v>38</v>
      </c>
      <c r="H637" s="58">
        <f>IFERROR(__xludf.DUMMYFUNCTION("iferror(if(B637="""", ,filter('IDR Import'!D:D,'IDR Import'!A:A=B637,'IDR Import'!C:C=A637)),)"),30.73129014100803)</f>
        <v>30.73129014</v>
      </c>
      <c r="I637" s="58">
        <v>32.707834006069476</v>
      </c>
      <c r="J637" s="59">
        <f t="shared" si="1"/>
        <v>38</v>
      </c>
    </row>
    <row r="638">
      <c r="A638" s="55" t="str">
        <f>IFERROR(__xludf.DUMMYFUNCTION("""COMPUTED_VALUE"""),"Rival")</f>
        <v>Rival</v>
      </c>
      <c r="B638" s="55" t="str">
        <f>IFERROR(__xludf.DUMMYFUNCTION("""COMPUTED_VALUE"""),"RSC008537")</f>
        <v>RSC008537</v>
      </c>
      <c r="C638" s="60" t="str">
        <f>IFERROR(__xludf.DUMMYFUNCTION("""COMPUTED_VALUE"""),"SirSqwilly")</f>
        <v>SirSqwilly</v>
      </c>
      <c r="D638" s="54" t="str">
        <f>IFERROR(__xludf.DUMMYFUNCTION("""COMPUTED_VALUE"""),"Heavy Metal
Ocelots")</f>
        <v>Heavy Metal
Ocelots</v>
      </c>
      <c r="E638" s="55" t="str">
        <f>IFERROR(__xludf.DUMMYFUNCTION("""COMPUTED_VALUE"""),"Lunar
Solar")</f>
        <v>Lunar
Solar</v>
      </c>
      <c r="F638" s="56">
        <f>IFERROR(__xludf.DUMMYFUNCTION("""COMPUTED_VALUE"""),34.679576582533024)</f>
        <v>34.67957658</v>
      </c>
      <c r="G638" s="57">
        <f>IFERROR(__xludf.DUMMYFUNCTION("""COMPUTED_VALUE"""),17.0)</f>
        <v>17</v>
      </c>
      <c r="H638" s="58">
        <f>IFERROR(__xludf.DUMMYFUNCTION("iferror(if(B638="""", ,filter('IDR Import'!D:D,'IDR Import'!A:A=B638,'IDR Import'!C:C=A638)),)"),33.595245791004935)</f>
        <v>33.59524579</v>
      </c>
      <c r="I638" s="58">
        <v>34.13741118676898</v>
      </c>
      <c r="J638" s="59">
        <f t="shared" si="1"/>
        <v>17</v>
      </c>
    </row>
    <row r="639">
      <c r="A639" s="55" t="str">
        <f>IFERROR(__xludf.DUMMYFUNCTION("""COMPUTED_VALUE"""),"Rival")</f>
        <v>Rival</v>
      </c>
      <c r="B639" s="55" t="str">
        <f>IFERROR(__xludf.DUMMYFUNCTION("""COMPUTED_VALUE"""),"RSC000813")</f>
        <v>RSC000813</v>
      </c>
      <c r="C639" s="60" t="str">
        <f>IFERROR(__xludf.DUMMYFUNCTION("""COMPUTED_VALUE"""),"Ziggy.")</f>
        <v>Ziggy.</v>
      </c>
      <c r="D639" s="54" t="str">
        <f>IFERROR(__xludf.DUMMYFUNCTION("""COMPUTED_VALUE"""),"Dracos")</f>
        <v>Dracos</v>
      </c>
      <c r="E639" s="55" t="str">
        <f>IFERROR(__xludf.DUMMYFUNCTION("""COMPUTED_VALUE"""),"Solar")</f>
        <v>Solar</v>
      </c>
      <c r="F639" s="56">
        <f>IFERROR(__xludf.DUMMYFUNCTION("""COMPUTED_VALUE"""),33.81050815337437)</f>
        <v>33.81050815</v>
      </c>
      <c r="G639" s="57">
        <f>IFERROR(__xludf.DUMMYFUNCTION("""COMPUTED_VALUE"""),12.0)</f>
        <v>12</v>
      </c>
      <c r="H639" s="58">
        <f>IFERROR(__xludf.DUMMYFUNCTION("iferror(if(B639="""", ,filter('IDR Import'!D:D,'IDR Import'!A:A=B639,'IDR Import'!C:C=A639)),)"),49.17008316718149)</f>
        <v>49.17008317</v>
      </c>
      <c r="I639" s="58">
        <v>41.49029566027793</v>
      </c>
      <c r="J639" s="59">
        <f t="shared" si="1"/>
        <v>12</v>
      </c>
    </row>
    <row r="640">
      <c r="A640" s="55" t="str">
        <f>IFERROR(__xludf.DUMMYFUNCTION("""COMPUTED_VALUE"""),"Rival")</f>
        <v>Rival</v>
      </c>
      <c r="B640" s="55" t="str">
        <f>IFERROR(__xludf.DUMMYFUNCTION("""COMPUTED_VALUE"""),"RSC005521")</f>
        <v>RSC005521</v>
      </c>
      <c r="C640" s="60" t="str">
        <f>IFERROR(__xludf.DUMMYFUNCTION("""COMPUTED_VALUE"""),"Mr. MeOnDisplay")</f>
        <v>Mr. MeOnDisplay</v>
      </c>
      <c r="D640" s="54" t="str">
        <f>IFERROR(__xludf.DUMMYFUNCTION("""COMPUTED_VALUE"""),"Heavy Metal
Lacuna
Dracos
Black Ice
Barracudas")</f>
        <v>Heavy Metal
Lacuna
Dracos
Black Ice
Barracudas</v>
      </c>
      <c r="E640" s="55" t="str">
        <f>IFERROR(__xludf.DUMMYFUNCTION("""COMPUTED_VALUE"""),"Lunar
Solar
Solar
Solar
Lunar")</f>
        <v>Lunar
Solar
Solar
Solar
Lunar</v>
      </c>
      <c r="F640" s="56">
        <f>IFERROR(__xludf.DUMMYFUNCTION("""COMPUTED_VALUE"""),33.73384739590894)</f>
        <v>33.7338474</v>
      </c>
      <c r="G640" s="57">
        <f>IFERROR(__xludf.DUMMYFUNCTION("""COMPUTED_VALUE"""),24.0)</f>
        <v>24</v>
      </c>
      <c r="H640" s="58">
        <f>IFERROR(__xludf.DUMMYFUNCTION("iferror(if(B640="""", ,filter('IDR Import'!D:D,'IDR Import'!A:A=B640,'IDR Import'!C:C=A640)),)"),25.890703881080917)</f>
        <v>25.89070388</v>
      </c>
      <c r="I640" s="58">
        <v>29.812275638494928</v>
      </c>
      <c r="J640" s="59">
        <f t="shared" si="1"/>
        <v>24</v>
      </c>
    </row>
    <row r="641">
      <c r="A641" s="55" t="str">
        <f>IFERROR(__xludf.DUMMYFUNCTION("""COMPUTED_VALUE"""),"Rival")</f>
        <v>Rival</v>
      </c>
      <c r="B641" s="55" t="str">
        <f>IFERROR(__xludf.DUMMYFUNCTION("""COMPUTED_VALUE"""),"RSC004177")</f>
        <v>RSC004177</v>
      </c>
      <c r="C641" s="60" t="str">
        <f>IFERROR(__xludf.DUMMYFUNCTION("""COMPUTED_VALUE"""),"Abeillonnaise")</f>
        <v>Abeillonnaise</v>
      </c>
      <c r="D641" s="54" t="str">
        <f>IFERROR(__xludf.DUMMYFUNCTION("""COMPUTED_VALUE"""),"Black Ice
Dracos")</f>
        <v>Black Ice
Dracos</v>
      </c>
      <c r="E641" s="55" t="str">
        <f>IFERROR(__xludf.DUMMYFUNCTION("""COMPUTED_VALUE"""),"Solar
Solar")</f>
        <v>Solar
Solar</v>
      </c>
      <c r="F641" s="56">
        <f>IFERROR(__xludf.DUMMYFUNCTION("""COMPUTED_VALUE"""),33.556399046932256)</f>
        <v>33.55639905</v>
      </c>
      <c r="G641" s="57">
        <f>IFERROR(__xludf.DUMMYFUNCTION("""COMPUTED_VALUE"""),18.0)</f>
        <v>18</v>
      </c>
      <c r="H641" s="58">
        <f>IFERROR(__xludf.DUMMYFUNCTION("iferror(if(B641="""", ,filter('IDR Import'!D:D,'IDR Import'!A:A=B641,'IDR Import'!C:C=A641)),)"),39.14418348531968)</f>
        <v>39.14418349</v>
      </c>
      <c r="I641" s="58">
        <v>36.350291266125964</v>
      </c>
      <c r="J641" s="59">
        <f t="shared" si="1"/>
        <v>18</v>
      </c>
    </row>
    <row r="642">
      <c r="A642" s="55" t="str">
        <f>IFERROR(__xludf.DUMMYFUNCTION("""COMPUTED_VALUE"""),"Rival")</f>
        <v>Rival</v>
      </c>
      <c r="B642" s="55" t="str">
        <f>IFERROR(__xludf.DUMMYFUNCTION("""COMPUTED_VALUE"""),"RSC007294")</f>
        <v>RSC007294</v>
      </c>
      <c r="C642" s="60" t="str">
        <f>IFERROR(__xludf.DUMMYFUNCTION("""COMPUTED_VALUE"""),"CF0UR_")</f>
        <v>CF0UR_</v>
      </c>
      <c r="D642" s="54" t="str">
        <f>IFERROR(__xludf.DUMMYFUNCTION("""COMPUTED_VALUE"""),"Dracos")</f>
        <v>Dracos</v>
      </c>
      <c r="E642" s="55" t="str">
        <f>IFERROR(__xludf.DUMMYFUNCTION("""COMPUTED_VALUE"""),"Solar")</f>
        <v>Solar</v>
      </c>
      <c r="F642" s="56">
        <f>IFERROR(__xludf.DUMMYFUNCTION("""COMPUTED_VALUE"""),33.281749732217776)</f>
        <v>33.28174973</v>
      </c>
      <c r="G642" s="57">
        <f>IFERROR(__xludf.DUMMYFUNCTION("""COMPUTED_VALUE"""),24.0)</f>
        <v>24</v>
      </c>
      <c r="H642" s="58">
        <f>IFERROR(__xludf.DUMMYFUNCTION("iferror(if(B642="""", ,filter('IDR Import'!D:D,'IDR Import'!A:A=B642,'IDR Import'!C:C=A642)),)"),29.888592713970567)</f>
        <v>29.88859271</v>
      </c>
      <c r="I642" s="58">
        <v>31.58517122309417</v>
      </c>
      <c r="J642" s="59">
        <f t="shared" si="1"/>
        <v>24</v>
      </c>
    </row>
    <row r="643">
      <c r="A643" s="55" t="str">
        <f>IFERROR(__xludf.DUMMYFUNCTION("""COMPUTED_VALUE"""),"Rival")</f>
        <v>Rival</v>
      </c>
      <c r="B643" s="55" t="str">
        <f>IFERROR(__xludf.DUMMYFUNCTION("""COMPUTED_VALUE"""),"RSC007065")</f>
        <v>RSC007065</v>
      </c>
      <c r="C643" s="60" t="str">
        <f>IFERROR(__xludf.DUMMYFUNCTION("""COMPUTED_VALUE"""),"Rampage")</f>
        <v>Rampage</v>
      </c>
      <c r="D643" s="54" t="str">
        <f>IFERROR(__xludf.DUMMYFUNCTION("""COMPUTED_VALUE"""),"Hot Wings")</f>
        <v>Hot Wings</v>
      </c>
      <c r="E643" s="55" t="str">
        <f>IFERROR(__xludf.DUMMYFUNCTION("""COMPUTED_VALUE"""),"Lunar")</f>
        <v>Lunar</v>
      </c>
      <c r="F643" s="56">
        <f>IFERROR(__xludf.DUMMYFUNCTION("""COMPUTED_VALUE"""),32.651271283525574)</f>
        <v>32.65127128</v>
      </c>
      <c r="G643" s="57">
        <f>IFERROR(__xludf.DUMMYFUNCTION("""COMPUTED_VALUE"""),23.0)</f>
        <v>23</v>
      </c>
      <c r="H643" s="58">
        <f>IFERROR(__xludf.DUMMYFUNCTION("iferror(if(B643="""", ,filter('IDR Import'!D:D,'IDR Import'!A:A=B643,'IDR Import'!C:C=A643)),)"),40.720500306951784)</f>
        <v>40.72050031</v>
      </c>
      <c r="I643" s="58">
        <v>36.685885795238676</v>
      </c>
      <c r="J643" s="59">
        <f t="shared" si="1"/>
        <v>23</v>
      </c>
    </row>
    <row r="644">
      <c r="A644" s="55" t="str">
        <f>IFERROR(__xludf.DUMMYFUNCTION("""COMPUTED_VALUE"""),"Rival")</f>
        <v>Rival</v>
      </c>
      <c r="B644" s="55" t="str">
        <f>IFERROR(__xludf.DUMMYFUNCTION("""COMPUTED_VALUE"""),"RSC002320")</f>
        <v>RSC002320</v>
      </c>
      <c r="C644" s="60" t="str">
        <f>IFERROR(__xludf.DUMMYFUNCTION("""COMPUTED_VALUE"""),"JoeExotic")</f>
        <v>JoeExotic</v>
      </c>
      <c r="D644" s="54" t="str">
        <f>IFERROR(__xludf.DUMMYFUNCTION("""COMPUTED_VALUE"""),"Polar Ice")</f>
        <v>Polar Ice</v>
      </c>
      <c r="E644" s="55" t="str">
        <f>IFERROR(__xludf.DUMMYFUNCTION("""COMPUTED_VALUE"""),"Solar")</f>
        <v>Solar</v>
      </c>
      <c r="F644" s="56">
        <f>IFERROR(__xludf.DUMMYFUNCTION("""COMPUTED_VALUE"""),30.953746008574658)</f>
        <v>30.95374601</v>
      </c>
      <c r="G644" s="57">
        <f>IFERROR(__xludf.DUMMYFUNCTION("""COMPUTED_VALUE"""),54.0)</f>
        <v>54</v>
      </c>
      <c r="H644" s="58">
        <f>IFERROR(__xludf.DUMMYFUNCTION("iferror(if(B644="""", ,filter('IDR Import'!D:D,'IDR Import'!A:A=B644,'IDR Import'!C:C=A644)),)"),21.060675857297916)</f>
        <v>21.06067586</v>
      </c>
      <c r="I644" s="58">
        <v>26.00721093293629</v>
      </c>
      <c r="J644" s="59">
        <f t="shared" si="1"/>
        <v>54</v>
      </c>
    </row>
    <row r="645">
      <c r="A645" s="55" t="str">
        <f>IFERROR(__xludf.DUMMYFUNCTION("""COMPUTED_VALUE"""),"Rival")</f>
        <v>Rival</v>
      </c>
      <c r="B645" s="55" t="str">
        <f>IFERROR(__xludf.DUMMYFUNCTION("""COMPUTED_VALUE"""),"RSC005526")</f>
        <v>RSC005526</v>
      </c>
      <c r="C645" s="60" t="str">
        <f>IFERROR(__xludf.DUMMYFUNCTION("""COMPUTED_VALUE"""),"Vortex3524")</f>
        <v>Vortex3524</v>
      </c>
      <c r="D645" s="54" t="str">
        <f>IFERROR(__xludf.DUMMYFUNCTION("""COMPUTED_VALUE"""),"Phantoms")</f>
        <v>Phantoms</v>
      </c>
      <c r="E645" s="55" t="str">
        <f>IFERROR(__xludf.DUMMYFUNCTION("""COMPUTED_VALUE"""),"Lunar")</f>
        <v>Lunar</v>
      </c>
      <c r="F645" s="56">
        <f>IFERROR(__xludf.DUMMYFUNCTION("""COMPUTED_VALUE"""),30.645530324621976)</f>
        <v>30.64553032</v>
      </c>
      <c r="G645" s="57">
        <f>IFERROR(__xludf.DUMMYFUNCTION("""COMPUTED_VALUE"""),44.0)</f>
        <v>44</v>
      </c>
      <c r="H645" s="58">
        <f>IFERROR(__xludf.DUMMYFUNCTION("iferror(if(B645="""", ,filter('IDR Import'!D:D,'IDR Import'!A:A=B645,'IDR Import'!C:C=A645)),)"),30.485392214195272)</f>
        <v>30.48539221</v>
      </c>
      <c r="I645" s="58">
        <v>30.565461269408623</v>
      </c>
      <c r="J645" s="59">
        <f t="shared" si="1"/>
        <v>44</v>
      </c>
    </row>
    <row r="646">
      <c r="A646" s="55" t="str">
        <f>IFERROR(__xludf.DUMMYFUNCTION("""COMPUTED_VALUE"""),"Rival")</f>
        <v>Rival</v>
      </c>
      <c r="B646" s="55" t="str">
        <f>IFERROR(__xludf.DUMMYFUNCTION("""COMPUTED_VALUE"""),"RSC000335")</f>
        <v>RSC000335</v>
      </c>
      <c r="C646" s="60" t="str">
        <f>IFERROR(__xludf.DUMMYFUNCTION("""COMPUTED_VALUE"""),"PostMstrGeneral")</f>
        <v>PostMstrGeneral</v>
      </c>
      <c r="D646" s="54" t="str">
        <f>IFERROR(__xludf.DUMMYFUNCTION("""COMPUTED_VALUE"""),"Lightning
Tax Evaders
Liars
Mining Legion")</f>
        <v>Lightning
Tax Evaders
Liars
Mining Legion</v>
      </c>
      <c r="E646" s="55" t="str">
        <f>IFERROR(__xludf.DUMMYFUNCTION("""COMPUTED_VALUE"""),"Lunar
Lunar
Solar
Lunar")</f>
        <v>Lunar
Lunar
Solar
Lunar</v>
      </c>
      <c r="F646" s="56">
        <f>IFERROR(__xludf.DUMMYFUNCTION("""COMPUTED_VALUE"""),30.4768592583661)</f>
        <v>30.47685926</v>
      </c>
      <c r="G646" s="57">
        <f>IFERROR(__xludf.DUMMYFUNCTION("""COMPUTED_VALUE"""),31.0)</f>
        <v>31</v>
      </c>
      <c r="H646" s="58">
        <f>IFERROR(__xludf.DUMMYFUNCTION("iferror(if(B646="""", ,filter('IDR Import'!D:D,'IDR Import'!A:A=B646,'IDR Import'!C:C=A646)),)"),21.025276508196566)</f>
        <v>21.02527651</v>
      </c>
      <c r="I646" s="58">
        <v>25.751067883281333</v>
      </c>
      <c r="J646" s="59">
        <f t="shared" si="1"/>
        <v>31</v>
      </c>
    </row>
    <row r="647">
      <c r="A647" s="55" t="str">
        <f>IFERROR(__xludf.DUMMYFUNCTION("""COMPUTED_VALUE"""),"Rival")</f>
        <v>Rival</v>
      </c>
      <c r="B647" s="55" t="str">
        <f>IFERROR(__xludf.DUMMYFUNCTION("""COMPUTED_VALUE"""),"RSC007824")</f>
        <v>RSC007824</v>
      </c>
      <c r="C647" s="60" t="str">
        <f>IFERROR(__xludf.DUMMYFUNCTION("""COMPUTED_VALUE"""),"Akki402")</f>
        <v>Akki402</v>
      </c>
      <c r="D647" s="54" t="str">
        <f>IFERROR(__xludf.DUMMYFUNCTION("""COMPUTED_VALUE"""),"Quasars
Lacuna
Wind
Samurai
Phoenix")</f>
        <v>Quasars
Lacuna
Wind
Samurai
Phoenix</v>
      </c>
      <c r="E647" s="55" t="str">
        <f>IFERROR(__xludf.DUMMYFUNCTION("""COMPUTED_VALUE"""),"Lunar
Solar
Solar
Lunar
Solar")</f>
        <v>Lunar
Solar
Solar
Lunar
Solar</v>
      </c>
      <c r="F647" s="56">
        <f>IFERROR(__xludf.DUMMYFUNCTION("""COMPUTED_VALUE"""),28.252323964852767)</f>
        <v>28.25232396</v>
      </c>
      <c r="G647" s="57">
        <f>IFERROR(__xludf.DUMMYFUNCTION("""COMPUTED_VALUE"""),28.0)</f>
        <v>28</v>
      </c>
      <c r="H647" s="58">
        <f>IFERROR(__xludf.DUMMYFUNCTION("iferror(if(B647="""", ,filter('IDR Import'!D:D,'IDR Import'!A:A=B647,'IDR Import'!C:C=A647)),)"),27.39028193388465)</f>
        <v>27.39028193</v>
      </c>
      <c r="I647" s="58">
        <v>27.821302949368707</v>
      </c>
      <c r="J647" s="59">
        <f t="shared" si="1"/>
        <v>28</v>
      </c>
    </row>
    <row r="648">
      <c r="A648" s="55" t="str">
        <f>IFERROR(__xludf.DUMMYFUNCTION("""COMPUTED_VALUE"""),"Rival")</f>
        <v>Rival</v>
      </c>
      <c r="B648" s="55" t="str">
        <f>IFERROR(__xludf.DUMMYFUNCTION("""COMPUTED_VALUE"""),"RSC006928")</f>
        <v>RSC006928</v>
      </c>
      <c r="C648" s="60" t="str">
        <f>IFERROR(__xludf.DUMMYFUNCTION("""COMPUTED_VALUE"""),"Thunderbolt")</f>
        <v>Thunderbolt</v>
      </c>
      <c r="D648" s="54" t="str">
        <f>IFERROR(__xludf.DUMMYFUNCTION("""COMPUTED_VALUE"""),"Asiago Arsonists")</f>
        <v>Asiago Arsonists</v>
      </c>
      <c r="E648" s="55" t="str">
        <f>IFERROR(__xludf.DUMMYFUNCTION("""COMPUTED_VALUE"""),"Lunar")</f>
        <v>Lunar</v>
      </c>
      <c r="F648" s="56">
        <f>IFERROR(__xludf.DUMMYFUNCTION("""COMPUTED_VALUE"""),27.276545446961684)</f>
        <v>27.27654545</v>
      </c>
      <c r="G648" s="57">
        <f>IFERROR(__xludf.DUMMYFUNCTION("""COMPUTED_VALUE"""),48.0)</f>
        <v>48</v>
      </c>
      <c r="H648" s="58">
        <f>IFERROR(__xludf.DUMMYFUNCTION("iferror(if(B648="""", ,filter('IDR Import'!D:D,'IDR Import'!A:A=B648,'IDR Import'!C:C=A648)),)"),37.705087263825206)</f>
        <v>37.70508726</v>
      </c>
      <c r="I648" s="58">
        <v>32.49081635539345</v>
      </c>
      <c r="J648" s="59">
        <f t="shared" si="1"/>
        <v>48</v>
      </c>
    </row>
    <row r="649">
      <c r="A649" s="55" t="str">
        <f>IFERROR(__xludf.DUMMYFUNCTION("""COMPUTED_VALUE"""),"Rival")</f>
        <v>Rival</v>
      </c>
      <c r="B649" s="55" t="str">
        <f>IFERROR(__xludf.DUMMYFUNCTION("""COMPUTED_VALUE"""),"RSC004670")</f>
        <v>RSC004670</v>
      </c>
      <c r="C649" s="60" t="str">
        <f>IFERROR(__xludf.DUMMYFUNCTION("""COMPUTED_VALUE"""),"CarnageWolfBite")</f>
        <v>CarnageWolfBite</v>
      </c>
      <c r="D649" s="54" t="str">
        <f>IFERROR(__xludf.DUMMYFUNCTION("""COMPUTED_VALUE"""),"Samurai")</f>
        <v>Samurai</v>
      </c>
      <c r="E649" s="55" t="str">
        <f>IFERROR(__xludf.DUMMYFUNCTION("""COMPUTED_VALUE"""),"Lunar")</f>
        <v>Lunar</v>
      </c>
      <c r="F649" s="56">
        <f>IFERROR(__xludf.DUMMYFUNCTION("""COMPUTED_VALUE"""),27.117341550829728)</f>
        <v>27.11734155</v>
      </c>
      <c r="G649" s="57">
        <f>IFERROR(__xludf.DUMMYFUNCTION("""COMPUTED_VALUE"""),38.0)</f>
        <v>38</v>
      </c>
      <c r="H649" s="58">
        <f>IFERROR(__xludf.DUMMYFUNCTION("iferror(if(B649="""", ,filter('IDR Import'!D:D,'IDR Import'!A:A=B649,'IDR Import'!C:C=A649)),)"),23.59511783666916)</f>
        <v>23.59511784</v>
      </c>
      <c r="I649" s="58">
        <v>25.356229693749444</v>
      </c>
      <c r="J649" s="59">
        <f t="shared" si="1"/>
        <v>38</v>
      </c>
    </row>
    <row r="650">
      <c r="A650" s="55" t="str">
        <f>IFERROR(__xludf.DUMMYFUNCTION("""COMPUTED_VALUE"""),"Rival")</f>
        <v>Rival</v>
      </c>
      <c r="B650" s="55" t="str">
        <f>IFERROR(__xludf.DUMMYFUNCTION("""COMPUTED_VALUE"""),"RSC008045")</f>
        <v>RSC008045</v>
      </c>
      <c r="C650" s="60" t="str">
        <f>IFERROR(__xludf.DUMMYFUNCTION("""COMPUTED_VALUE"""),"Uncaringfool230")</f>
        <v>Uncaringfool230</v>
      </c>
      <c r="D650" s="54" t="str">
        <f>IFERROR(__xludf.DUMMYFUNCTION("""COMPUTED_VALUE"""),"Scramjets")</f>
        <v>Scramjets</v>
      </c>
      <c r="E650" s="55" t="str">
        <f>IFERROR(__xludf.DUMMYFUNCTION("""COMPUTED_VALUE"""),"Lunar")</f>
        <v>Lunar</v>
      </c>
      <c r="F650" s="56">
        <f>IFERROR(__xludf.DUMMYFUNCTION("""COMPUTED_VALUE"""),27.099703949786544)</f>
        <v>27.09970395</v>
      </c>
      <c r="G650" s="57">
        <f>IFERROR(__xludf.DUMMYFUNCTION("""COMPUTED_VALUE"""),6.0)</f>
        <v>6</v>
      </c>
      <c r="H650" s="58">
        <f>IFERROR(__xludf.DUMMYFUNCTION("iferror(if(B650="""", ,filter('IDR Import'!D:D,'IDR Import'!A:A=B650,'IDR Import'!C:C=A650)),)"),26.201700284628235)</f>
        <v>26.20170028</v>
      </c>
      <c r="I650" s="58">
        <v>26.650702117207388</v>
      </c>
      <c r="J650" s="59">
        <f t="shared" si="1"/>
        <v>6</v>
      </c>
    </row>
    <row r="651">
      <c r="A651" s="55" t="str">
        <f>IFERROR(__xludf.DUMMYFUNCTION("""COMPUTED_VALUE"""),"Rival")</f>
        <v>Rival</v>
      </c>
      <c r="B651" s="55" t="str">
        <f>IFERROR(__xludf.DUMMYFUNCTION("""COMPUTED_VALUE"""),"RSC008443")</f>
        <v>RSC008443</v>
      </c>
      <c r="C651" s="60" t="str">
        <f>IFERROR(__xludf.DUMMYFUNCTION("""COMPUTED_VALUE"""),"cow")</f>
        <v>cow</v>
      </c>
      <c r="D651" s="54" t="str">
        <f>IFERROR(__xludf.DUMMYFUNCTION("""COMPUTED_VALUE"""),"Mining Legion
Gaboons
Liars")</f>
        <v>Mining Legion
Gaboons
Liars</v>
      </c>
      <c r="E651" s="55" t="str">
        <f>IFERROR(__xludf.DUMMYFUNCTION("""COMPUTED_VALUE"""),"Lunar
Lunar
Solar")</f>
        <v>Lunar
Lunar
Solar</v>
      </c>
      <c r="F651" s="56">
        <f>IFERROR(__xludf.DUMMYFUNCTION("""COMPUTED_VALUE"""),26.74567541477088)</f>
        <v>26.74567541</v>
      </c>
      <c r="G651" s="57">
        <f>IFERROR(__xludf.DUMMYFUNCTION("""COMPUTED_VALUE"""),23.0)</f>
        <v>23</v>
      </c>
      <c r="H651" s="58">
        <f>IFERROR(__xludf.DUMMYFUNCTION("iferror(if(B651="""", ,filter('IDR Import'!D:D,'IDR Import'!A:A=B651,'IDR Import'!C:C=A651)),)"),23.351026119089212)</f>
        <v>23.35102612</v>
      </c>
      <c r="I651" s="58">
        <v>25.048350766930046</v>
      </c>
      <c r="J651" s="59">
        <f t="shared" si="1"/>
        <v>23</v>
      </c>
    </row>
    <row r="652">
      <c r="A652" s="55" t="str">
        <f>IFERROR(__xludf.DUMMYFUNCTION("""COMPUTED_VALUE"""),"Rival")</f>
        <v>Rival</v>
      </c>
      <c r="B652" s="55" t="str">
        <f>IFERROR(__xludf.DUMMYFUNCTION("""COMPUTED_VALUE"""),"RSC007201")</f>
        <v>RSC007201</v>
      </c>
      <c r="C652" s="60" t="str">
        <f>IFERROR(__xludf.DUMMYFUNCTION("""COMPUTED_VALUE"""),"FallenAngel")</f>
        <v>FallenAngel</v>
      </c>
      <c r="D652" s="54" t="str">
        <f>IFERROR(__xludf.DUMMYFUNCTION("""COMPUTED_VALUE"""),"Heavy Metal")</f>
        <v>Heavy Metal</v>
      </c>
      <c r="E652" s="55" t="str">
        <f>IFERROR(__xludf.DUMMYFUNCTION("""COMPUTED_VALUE"""),"Lunar")</f>
        <v>Lunar</v>
      </c>
      <c r="F652" s="56">
        <f>IFERROR(__xludf.DUMMYFUNCTION("""COMPUTED_VALUE"""),25.36316295239833)</f>
        <v>25.36316295</v>
      </c>
      <c r="G652" s="57">
        <f>IFERROR(__xludf.DUMMYFUNCTION("""COMPUTED_VALUE"""),44.0)</f>
        <v>44</v>
      </c>
      <c r="H652" s="58">
        <f>IFERROR(__xludf.DUMMYFUNCTION("iferror(if(B652="""", ,filter('IDR Import'!D:D,'IDR Import'!A:A=B652,'IDR Import'!C:C=A652)),)"),24.005230388214027)</f>
        <v>24.00523039</v>
      </c>
      <c r="I652" s="58">
        <v>24.68419667030618</v>
      </c>
      <c r="J652" s="59">
        <f t="shared" si="1"/>
        <v>44</v>
      </c>
    </row>
    <row r="653">
      <c r="A653" s="55" t="str">
        <f>IFERROR(__xludf.DUMMYFUNCTION("""COMPUTED_VALUE"""),"Rival")</f>
        <v>Rival</v>
      </c>
      <c r="B653" s="55" t="str">
        <f>IFERROR(__xludf.DUMMYFUNCTION("""COMPUTED_VALUE"""),"RSC005253")</f>
        <v>RSC005253</v>
      </c>
      <c r="C653" s="60" t="str">
        <f>IFERROR(__xludf.DUMMYFUNCTION("""COMPUTED_VALUE"""),"dinnindu")</f>
        <v>dinnindu</v>
      </c>
      <c r="D653" s="54" t="str">
        <f>IFERROR(__xludf.DUMMYFUNCTION("""COMPUTED_VALUE"""),"Wind")</f>
        <v>Wind</v>
      </c>
      <c r="E653" s="55" t="str">
        <f>IFERROR(__xludf.DUMMYFUNCTION("""COMPUTED_VALUE"""),"Solar")</f>
        <v>Solar</v>
      </c>
      <c r="F653" s="56">
        <f>IFERROR(__xludf.DUMMYFUNCTION("""COMPUTED_VALUE"""),23.234138843397943)</f>
        <v>23.23413884</v>
      </c>
      <c r="G653" s="57">
        <f>IFERROR(__xludf.DUMMYFUNCTION("""COMPUTED_VALUE"""),18.0)</f>
        <v>18</v>
      </c>
      <c r="H653" s="58">
        <f>IFERROR(__xludf.DUMMYFUNCTION("iferror(if(B653="""", ,filter('IDR Import'!D:D,'IDR Import'!A:A=B653,'IDR Import'!C:C=A653)),)"),28.63135087060053)</f>
        <v>28.63135087</v>
      </c>
      <c r="I653" s="58">
        <v>25.932744856999236</v>
      </c>
      <c r="J653" s="59">
        <f t="shared" si="1"/>
        <v>18</v>
      </c>
    </row>
    <row r="654">
      <c r="A654" s="55" t="str">
        <f>IFERROR(__xludf.DUMMYFUNCTION("""COMPUTED_VALUE"""),"Rival")</f>
        <v>Rival</v>
      </c>
      <c r="B654" s="55" t="str">
        <f>IFERROR(__xludf.DUMMYFUNCTION("""COMPUTED_VALUE"""),"RSC000111")</f>
        <v>RSC000111</v>
      </c>
      <c r="C654" s="60" t="str">
        <f>IFERROR(__xludf.DUMMYFUNCTION("""COMPUTED_VALUE"""),"Wheelchair {LFLegs}")</f>
        <v>Wheelchair {LFLegs}</v>
      </c>
      <c r="D654" s="54" t="str">
        <f>IFERROR(__xludf.DUMMYFUNCTION("""COMPUTED_VALUE"""),"Primo
Liars
Ocelots")</f>
        <v>Primo
Liars
Ocelots</v>
      </c>
      <c r="E654" s="55" t="str">
        <f>IFERROR(__xludf.DUMMYFUNCTION("""COMPUTED_VALUE"""),"Solar
Solar
Solar")</f>
        <v>Solar
Solar
Solar</v>
      </c>
      <c r="F654" s="56">
        <f>IFERROR(__xludf.DUMMYFUNCTION("""COMPUTED_VALUE"""),22.9475312677333)</f>
        <v>22.94753127</v>
      </c>
      <c r="G654" s="57">
        <f>IFERROR(__xludf.DUMMYFUNCTION("""COMPUTED_VALUE"""),11.0)</f>
        <v>11</v>
      </c>
      <c r="H654" s="58">
        <f>IFERROR(__xludf.DUMMYFUNCTION("iferror(if(B654="""", ,filter('IDR Import'!D:D,'IDR Import'!A:A=B654,'IDR Import'!C:C=A654)),)"),19.816614368887812)</f>
        <v>19.81661437</v>
      </c>
      <c r="I654" s="58">
        <v>21.382072818310554</v>
      </c>
      <c r="J654" s="59">
        <f t="shared" si="1"/>
        <v>11</v>
      </c>
    </row>
    <row r="655">
      <c r="A655" s="55" t="str">
        <f>IFERROR(__xludf.DUMMYFUNCTION("""COMPUTED_VALUE"""),"Rival")</f>
        <v>Rival</v>
      </c>
      <c r="B655" s="55" t="str">
        <f>IFERROR(__xludf.DUMMYFUNCTION("""COMPUTED_VALUE"""),"RSC000938")</f>
        <v>RSC000938</v>
      </c>
      <c r="C655" s="60" t="str">
        <f>IFERROR(__xludf.DUMMYFUNCTION("""COMPUTED_VALUE"""),"Nukem_IV")</f>
        <v>Nukem_IV</v>
      </c>
      <c r="D655" s="54" t="str">
        <f>IFERROR(__xludf.DUMMYFUNCTION("""COMPUTED_VALUE"""),"Ruthless Racket
Liars")</f>
        <v>Ruthless Racket
Liars</v>
      </c>
      <c r="E655" s="55" t="str">
        <f>IFERROR(__xludf.DUMMYFUNCTION("""COMPUTED_VALUE"""),"Lunar
Solar")</f>
        <v>Lunar
Solar</v>
      </c>
      <c r="F655" s="56">
        <f>IFERROR(__xludf.DUMMYFUNCTION("""COMPUTED_VALUE"""),21.475216917247273)</f>
        <v>21.47521692</v>
      </c>
      <c r="G655" s="57">
        <f>IFERROR(__xludf.DUMMYFUNCTION("""COMPUTED_VALUE"""),11.0)</f>
        <v>11</v>
      </c>
      <c r="H655" s="58">
        <f>IFERROR(__xludf.DUMMYFUNCTION("iferror(if(B655="""", ,filter('IDR Import'!D:D,'IDR Import'!A:A=B655,'IDR Import'!C:C=A655)),)"),12.454233708270088)</f>
        <v>12.45423371</v>
      </c>
      <c r="I655" s="58">
        <v>16.96472531275868</v>
      </c>
      <c r="J655" s="59">
        <f t="shared" si="1"/>
        <v>11</v>
      </c>
    </row>
    <row r="656">
      <c r="A656" s="55" t="str">
        <f>IFERROR(__xludf.DUMMYFUNCTION("""COMPUTED_VALUE"""),"Rival")</f>
        <v>Rival</v>
      </c>
      <c r="B656" s="55" t="str">
        <f>IFERROR(__xludf.DUMMYFUNCTION("""COMPUTED_VALUE"""),"RSC006225")</f>
        <v>RSC006225</v>
      </c>
      <c r="C656" s="60" t="str">
        <f>IFERROR(__xludf.DUMMYFUNCTION("""COMPUTED_VALUE"""),"renightly")</f>
        <v>renightly</v>
      </c>
      <c r="D656" s="54" t="str">
        <f>IFERROR(__xludf.DUMMYFUNCTION("""COMPUTED_VALUE"""),"Polar Bears")</f>
        <v>Polar Bears</v>
      </c>
      <c r="E656" s="55" t="str">
        <f>IFERROR(__xludf.DUMMYFUNCTION("""COMPUTED_VALUE"""),"Solar")</f>
        <v>Solar</v>
      </c>
      <c r="F656" s="56">
        <f>IFERROR(__xludf.DUMMYFUNCTION("""COMPUTED_VALUE"""),20.982104517871274)</f>
        <v>20.98210452</v>
      </c>
      <c r="G656" s="57">
        <f>IFERROR(__xludf.DUMMYFUNCTION("""COMPUTED_VALUE"""),25.0)</f>
        <v>25</v>
      </c>
      <c r="H656" s="58">
        <f>IFERROR(__xludf.DUMMYFUNCTION("iferror(if(B656="""", ,filter('IDR Import'!D:D,'IDR Import'!A:A=B656,'IDR Import'!C:C=A656)),)"),28.588702116781633)</f>
        <v>28.58870212</v>
      </c>
      <c r="I656" s="58">
        <v>24.785403317326455</v>
      </c>
      <c r="J656" s="59">
        <f t="shared" si="1"/>
        <v>25</v>
      </c>
    </row>
    <row r="657">
      <c r="A657" s="55" t="str">
        <f>IFERROR(__xludf.DUMMYFUNCTION("""COMPUTED_VALUE"""),"Rival")</f>
        <v>Rival</v>
      </c>
      <c r="B657" s="55" t="str">
        <f>IFERROR(__xludf.DUMMYFUNCTION("""COMPUTED_VALUE"""),"RSC005154")</f>
        <v>RSC005154</v>
      </c>
      <c r="C657" s="60" t="str">
        <f>IFERROR(__xludf.DUMMYFUNCTION("""COMPUTED_VALUE"""),"TacoBae")</f>
        <v>TacoBae</v>
      </c>
      <c r="D657" s="54" t="str">
        <f>IFERROR(__xludf.DUMMYFUNCTION("""COMPUTED_VALUE"""),"Guards")</f>
        <v>Guards</v>
      </c>
      <c r="E657" s="55" t="str">
        <f>IFERROR(__xludf.DUMMYFUNCTION("""COMPUTED_VALUE"""),"Lunar")</f>
        <v>Lunar</v>
      </c>
      <c r="F657" s="56">
        <f>IFERROR(__xludf.DUMMYFUNCTION("""COMPUTED_VALUE"""),20.702209006345473)</f>
        <v>20.70220901</v>
      </c>
      <c r="G657" s="57">
        <f>IFERROR(__xludf.DUMMYFUNCTION("""COMPUTED_VALUE"""),37.0)</f>
        <v>37</v>
      </c>
      <c r="H657" s="58">
        <f>IFERROR(__xludf.DUMMYFUNCTION("iferror(if(B657="""", ,filter('IDR Import'!D:D,'IDR Import'!A:A=B657,'IDR Import'!C:C=A657)),)"),20.459783604635255)</f>
        <v>20.4597836</v>
      </c>
      <c r="I657" s="58">
        <v>20.580996305490366</v>
      </c>
      <c r="J657" s="59">
        <f t="shared" si="1"/>
        <v>37</v>
      </c>
    </row>
    <row r="658">
      <c r="A658" s="55" t="str">
        <f>IFERROR(__xludf.DUMMYFUNCTION("""COMPUTED_VALUE"""),"Rival")</f>
        <v>Rival</v>
      </c>
      <c r="B658" s="55" t="str">
        <f>IFERROR(__xludf.DUMMYFUNCTION("""COMPUTED_VALUE"""),"RSC006159")</f>
        <v>RSC006159</v>
      </c>
      <c r="C658" s="60" t="str">
        <f>IFERROR(__xludf.DUMMYFUNCTION("""COMPUTED_VALUE"""),"courtesan")</f>
        <v>courtesan</v>
      </c>
      <c r="D658" s="54" t="str">
        <f>IFERROR(__xludf.DUMMYFUNCTION("""COMPUTED_VALUE"""),"Heavy Metal")</f>
        <v>Heavy Metal</v>
      </c>
      <c r="E658" s="55" t="str">
        <f>IFERROR(__xludf.DUMMYFUNCTION("""COMPUTED_VALUE"""),"Lunar")</f>
        <v>Lunar</v>
      </c>
      <c r="F658" s="56">
        <f>IFERROR(__xludf.DUMMYFUNCTION("""COMPUTED_VALUE"""),18.754388486936985)</f>
        <v>18.75438849</v>
      </c>
      <c r="G658" s="57">
        <f>IFERROR(__xludf.DUMMYFUNCTION("""COMPUTED_VALUE"""),13.0)</f>
        <v>13</v>
      </c>
      <c r="H658" s="58">
        <f>IFERROR(__xludf.DUMMYFUNCTION("iferror(if(B658="""", ,filter('IDR Import'!D:D,'IDR Import'!A:A=B658,'IDR Import'!C:C=A658)),)"),17.916116499849224)</f>
        <v>17.9161165</v>
      </c>
      <c r="I658" s="58">
        <v>18.335252493393106</v>
      </c>
      <c r="J658" s="59">
        <f t="shared" si="1"/>
        <v>13</v>
      </c>
    </row>
    <row r="659">
      <c r="A659" s="55" t="str">
        <f>IFERROR(__xludf.DUMMYFUNCTION("""COMPUTED_VALUE"""),"Rival")</f>
        <v>Rival</v>
      </c>
      <c r="B659" s="55" t="str">
        <f>IFERROR(__xludf.DUMMYFUNCTION("""COMPUTED_VALUE"""),"RSC002177")</f>
        <v>RSC002177</v>
      </c>
      <c r="C659" s="60" t="str">
        <f>IFERROR(__xludf.DUMMYFUNCTION("""COMPUTED_VALUE"""),"Slygo21")</f>
        <v>Slygo21</v>
      </c>
      <c r="D659" s="54" t="str">
        <f>IFERROR(__xludf.DUMMYFUNCTION("""COMPUTED_VALUE"""),"Black Ice")</f>
        <v>Black Ice</v>
      </c>
      <c r="E659" s="55" t="str">
        <f>IFERROR(__xludf.DUMMYFUNCTION("""COMPUTED_VALUE"""),"Solar")</f>
        <v>Solar</v>
      </c>
      <c r="F659" s="56">
        <f>IFERROR(__xludf.DUMMYFUNCTION("""COMPUTED_VALUE"""),18.071203928955498)</f>
        <v>18.07120393</v>
      </c>
      <c r="G659" s="57">
        <f>IFERROR(__xludf.DUMMYFUNCTION("""COMPUTED_VALUE"""),6.0)</f>
        <v>6</v>
      </c>
      <c r="H659" s="58">
        <f>IFERROR(__xludf.DUMMYFUNCTION("iferror(if(B659="""", ,filter('IDR Import'!D:D,'IDR Import'!A:A=B659,'IDR Import'!C:C=A659)),)"),18.526099481524394)</f>
        <v>18.52609948</v>
      </c>
      <c r="I659" s="58">
        <v>18.298651705239948</v>
      </c>
      <c r="J659" s="59">
        <f t="shared" si="1"/>
        <v>6</v>
      </c>
    </row>
    <row r="660">
      <c r="A660" s="55" t="str">
        <f>IFERROR(__xludf.DUMMYFUNCTION("""COMPUTED_VALUE"""),"Rival")</f>
        <v>Rival</v>
      </c>
      <c r="B660" s="55" t="str">
        <f>IFERROR(__xludf.DUMMYFUNCTION("""COMPUTED_VALUE"""),"RSC001202")</f>
        <v>RSC001202</v>
      </c>
      <c r="C660" s="60" t="str">
        <f>IFERROR(__xludf.DUMMYFUNCTION("""COMPUTED_VALUE"""),"Clown Sandwich")</f>
        <v>Clown Sandwich</v>
      </c>
      <c r="D660" s="54" t="str">
        <f>IFERROR(__xludf.DUMMYFUNCTION("""COMPUTED_VALUE"""),"Gaboons")</f>
        <v>Gaboons</v>
      </c>
      <c r="E660" s="55" t="str">
        <f>IFERROR(__xludf.DUMMYFUNCTION("""COMPUTED_VALUE"""),"Lunar")</f>
        <v>Lunar</v>
      </c>
      <c r="F660" s="56">
        <f>IFERROR(__xludf.DUMMYFUNCTION("""COMPUTED_VALUE"""),17.392747849489396)</f>
        <v>17.39274785</v>
      </c>
      <c r="G660" s="57">
        <f>IFERROR(__xludf.DUMMYFUNCTION("""COMPUTED_VALUE"""),14.0)</f>
        <v>14</v>
      </c>
      <c r="H660" s="58">
        <f>IFERROR(__xludf.DUMMYFUNCTION("iferror(if(B660="""", ,filter('IDR Import'!D:D,'IDR Import'!A:A=B660,'IDR Import'!C:C=A660)),)"),2.495871878811627)</f>
        <v>2.495871879</v>
      </c>
      <c r="I660" s="58">
        <v>9.944309864150512</v>
      </c>
      <c r="J660" s="59">
        <f t="shared" si="1"/>
        <v>14</v>
      </c>
    </row>
    <row r="661">
      <c r="A661" s="55" t="str">
        <f>IFERROR(__xludf.DUMMYFUNCTION("""COMPUTED_VALUE"""),"Rival")</f>
        <v>Rival</v>
      </c>
      <c r="B661" s="55" t="str">
        <f>IFERROR(__xludf.DUMMYFUNCTION("""COMPUTED_VALUE"""),"RSC008135")</f>
        <v>RSC008135</v>
      </c>
      <c r="C661" s="60" t="str">
        <f>IFERROR(__xludf.DUMMYFUNCTION("""COMPUTED_VALUE"""),"Ezio_256")</f>
        <v>Ezio_256</v>
      </c>
      <c r="D661" s="54" t="str">
        <f>IFERROR(__xludf.DUMMYFUNCTION("""COMPUTED_VALUE"""),"Phantoms")</f>
        <v>Phantoms</v>
      </c>
      <c r="E661" s="55" t="str">
        <f>IFERROR(__xludf.DUMMYFUNCTION("""COMPUTED_VALUE"""),"Lunar")</f>
        <v>Lunar</v>
      </c>
      <c r="F661" s="56">
        <f>IFERROR(__xludf.DUMMYFUNCTION("""COMPUTED_VALUE"""),12.648564969902253)</f>
        <v>12.64856497</v>
      </c>
      <c r="G661" s="57">
        <f>IFERROR(__xludf.DUMMYFUNCTION("""COMPUTED_VALUE"""),35.0)</f>
        <v>35</v>
      </c>
      <c r="H661" s="58">
        <f>IFERROR(__xludf.DUMMYFUNCTION("iferror(if(B661="""", ,filter('IDR Import'!D:D,'IDR Import'!A:A=B661,'IDR Import'!C:C=A661)),)"),3.80830140925449)</f>
        <v>3.808301409</v>
      </c>
      <c r="I661" s="58">
        <v>8.228433189578372</v>
      </c>
      <c r="J661" s="59">
        <f t="shared" si="1"/>
        <v>35</v>
      </c>
    </row>
    <row r="662">
      <c r="A662" s="55" t="str">
        <f>IFERROR(__xludf.DUMMYFUNCTION("""COMPUTED_VALUE"""),"Rival")</f>
        <v>Rival</v>
      </c>
      <c r="B662" s="55" t="str">
        <f>IFERROR(__xludf.DUMMYFUNCTION("""COMPUTED_VALUE"""),"RSC007406")</f>
        <v>RSC007406</v>
      </c>
      <c r="C662" s="60" t="str">
        <f>IFERROR(__xludf.DUMMYFUNCTION("""COMPUTED_VALUE"""),"junior1000gsxr")</f>
        <v>junior1000gsxr</v>
      </c>
      <c r="D662" s="54" t="str">
        <f>IFERROR(__xludf.DUMMYFUNCTION("""COMPUTED_VALUE"""),"Kitsune
Quasars")</f>
        <v>Kitsune
Quasars</v>
      </c>
      <c r="E662" s="55" t="str">
        <f>IFERROR(__xludf.DUMMYFUNCTION("""COMPUTED_VALUE"""),"Solar
Lunar")</f>
        <v>Solar
Lunar</v>
      </c>
      <c r="F662" s="56">
        <f>IFERROR(__xludf.DUMMYFUNCTION("""COMPUTED_VALUE"""),10.339722739465444)</f>
        <v>10.33972274</v>
      </c>
      <c r="G662" s="57">
        <f>IFERROR(__xludf.DUMMYFUNCTION("""COMPUTED_VALUE"""),10.0)</f>
        <v>10</v>
      </c>
      <c r="H662" s="58">
        <f>IFERROR(__xludf.DUMMYFUNCTION("iferror(if(B662="""", ,filter('IDR Import'!D:D,'IDR Import'!A:A=B662,'IDR Import'!C:C=A662)),)"),12.638847432012007)</f>
        <v>12.63884743</v>
      </c>
      <c r="I662" s="58">
        <v>11.489285085738725</v>
      </c>
      <c r="J662" s="59">
        <f t="shared" si="1"/>
        <v>10</v>
      </c>
    </row>
    <row r="663">
      <c r="A663" s="55" t="str">
        <f>IFERROR(__xludf.DUMMYFUNCTION("""COMPUTED_VALUE"""),"Rival")</f>
        <v>Rival</v>
      </c>
      <c r="B663" s="55" t="str">
        <f>IFERROR(__xludf.DUMMYFUNCTION("""COMPUTED_VALUE"""),"RSC006747")</f>
        <v>RSC006747</v>
      </c>
      <c r="C663" s="60" t="str">
        <f>IFERROR(__xludf.DUMMYFUNCTION("""COMPUTED_VALUE"""),"Panda")</f>
        <v>Panda</v>
      </c>
      <c r="D663" s="54" t="str">
        <f>IFERROR(__xludf.DUMMYFUNCTION("""COMPUTED_VALUE"""),"Ocelots")</f>
        <v>Ocelots</v>
      </c>
      <c r="E663" s="55" t="str">
        <f>IFERROR(__xludf.DUMMYFUNCTION("""COMPUTED_VALUE"""),"Solar")</f>
        <v>Solar</v>
      </c>
      <c r="F663" s="56">
        <f>IFERROR(__xludf.DUMMYFUNCTION("""COMPUTED_VALUE"""),9.913161504832246)</f>
        <v>9.913161505</v>
      </c>
      <c r="G663" s="57">
        <f>IFERROR(__xludf.DUMMYFUNCTION("""COMPUTED_VALUE"""),44.0)</f>
        <v>44</v>
      </c>
      <c r="H663" s="58">
        <f>IFERROR(__xludf.DUMMYFUNCTION("iferror(if(B663="""", ,filter('IDR Import'!D:D,'IDR Import'!A:A=B663,'IDR Import'!C:C=A663)),)"),13.733398334389065)</f>
        <v>13.73339833</v>
      </c>
      <c r="I663" s="58">
        <v>11.823279919610655</v>
      </c>
      <c r="J663" s="59">
        <f t="shared" si="1"/>
        <v>44</v>
      </c>
    </row>
    <row r="664">
      <c r="A664" s="55" t="str">
        <f>IFERROR(__xludf.DUMMYFUNCTION("""COMPUTED_VALUE"""),"Rival")</f>
        <v>Rival</v>
      </c>
      <c r="B664" s="55" t="str">
        <f>IFERROR(__xludf.DUMMYFUNCTION("""COMPUTED_VALUE"""),"RSC006755")</f>
        <v>RSC006755</v>
      </c>
      <c r="C664" s="60" t="str">
        <f>IFERROR(__xludf.DUMMYFUNCTION("""COMPUTED_VALUE"""),"Fox_gt_400")</f>
        <v>Fox_gt_400</v>
      </c>
      <c r="D664" s="54" t="str">
        <f>IFERROR(__xludf.DUMMYFUNCTION("""COMPUTED_VALUE"""),"Gaboons")</f>
        <v>Gaboons</v>
      </c>
      <c r="E664" s="55" t="str">
        <f>IFERROR(__xludf.DUMMYFUNCTION("""COMPUTED_VALUE"""),"Lunar")</f>
        <v>Lunar</v>
      </c>
      <c r="F664" s="56">
        <f>IFERROR(__xludf.DUMMYFUNCTION("""COMPUTED_VALUE"""),7.838425111574082)</f>
        <v>7.838425112</v>
      </c>
      <c r="G664" s="57">
        <f>IFERROR(__xludf.DUMMYFUNCTION("""COMPUTED_VALUE"""),4.0)</f>
        <v>4</v>
      </c>
      <c r="H664" s="58">
        <f>IFERROR(__xludf.DUMMYFUNCTION("iferror(if(B664="""", ,filter('IDR Import'!D:D,'IDR Import'!A:A=B664,'IDR Import'!C:C=A664)),)"),15.969363259225219)</f>
        <v>15.96936326</v>
      </c>
      <c r="I664" s="58">
        <v>11.90389418539965</v>
      </c>
      <c r="J664" s="59">
        <f t="shared" si="1"/>
        <v>4</v>
      </c>
    </row>
    <row r="665">
      <c r="A665" s="55" t="str">
        <f>IFERROR(__xludf.DUMMYFUNCTION("""COMPUTED_VALUE"""),"Rival")</f>
        <v>Rival</v>
      </c>
      <c r="B665" s="55" t="str">
        <f>IFERROR(__xludf.DUMMYFUNCTION("""COMPUTED_VALUE"""),"RSC000347")</f>
        <v>RSC000347</v>
      </c>
      <c r="C665" s="60" t="str">
        <f>IFERROR(__xludf.DUMMYFUNCTION("""COMPUTED_VALUE"""),"Chris.")</f>
        <v>Chris.</v>
      </c>
      <c r="D665" s="54" t="str">
        <f>IFERROR(__xludf.DUMMYFUNCTION("""COMPUTED_VALUE"""),"Polar Ice
Mining Legion")</f>
        <v>Polar Ice
Mining Legion</v>
      </c>
      <c r="E665" s="55" t="str">
        <f>IFERROR(__xludf.DUMMYFUNCTION("""COMPUTED_VALUE"""),"Solar
Lunar")</f>
        <v>Solar
Lunar</v>
      </c>
      <c r="F665" s="56">
        <f>IFERROR(__xludf.DUMMYFUNCTION("""COMPUTED_VALUE"""),-3.73847056596113)</f>
        <v>-3.738470566</v>
      </c>
      <c r="G665" s="57">
        <f>IFERROR(__xludf.DUMMYFUNCTION("""COMPUTED_VALUE"""),5.0)</f>
        <v>5</v>
      </c>
      <c r="H665" s="58">
        <f>IFERROR(__xludf.DUMMYFUNCTION("iferror(if(B665="""", ,filter('IDR Import'!D:D,'IDR Import'!A:A=B665,'IDR Import'!C:C=A665)),)"),-23.590844280450412)</f>
        <v>-23.59084428</v>
      </c>
      <c r="I665" s="58">
        <v>-13.664657423205771</v>
      </c>
      <c r="J665" s="59">
        <f t="shared" si="1"/>
        <v>5</v>
      </c>
    </row>
    <row r="666">
      <c r="A666" s="55" t="str">
        <f>IFERROR(__xludf.DUMMYFUNCTION("""COMPUTED_VALUE"""),"Rival")</f>
        <v>Rival</v>
      </c>
      <c r="B666" s="55" t="str">
        <f>IFERROR(__xludf.DUMMYFUNCTION("""COMPUTED_VALUE"""),"RSC008162")</f>
        <v>RSC008162</v>
      </c>
      <c r="C666" s="60" t="str">
        <f>IFERROR(__xludf.DUMMYFUNCTION("""COMPUTED_VALUE"""),"ThatHomieGageTTV")</f>
        <v>ThatHomieGageTTV</v>
      </c>
      <c r="D666" s="54" t="str">
        <f>IFERROR(__xludf.DUMMYFUNCTION("""COMPUTED_VALUE"""),"Polar Ice")</f>
        <v>Polar Ice</v>
      </c>
      <c r="E666" s="55" t="str">
        <f>IFERROR(__xludf.DUMMYFUNCTION("""COMPUTED_VALUE"""),"Solar")</f>
        <v>Solar</v>
      </c>
      <c r="F666" s="56">
        <f>IFERROR(__xludf.DUMMYFUNCTION("""COMPUTED_VALUE"""),-5.998380372491951)</f>
        <v>-5.998380372</v>
      </c>
      <c r="G666" s="57">
        <f>IFERROR(__xludf.DUMMYFUNCTION("""COMPUTED_VALUE"""),11.0)</f>
        <v>11</v>
      </c>
      <c r="H666" s="58">
        <f>IFERROR(__xludf.DUMMYFUNCTION("iferror(if(B666="""", ,filter('IDR Import'!D:D,'IDR Import'!A:A=B666,'IDR Import'!C:C=A666)),)"),-21.262691942778247)</f>
        <v>-21.26269194</v>
      </c>
      <c r="I666" s="58">
        <v>-13.630536157635099</v>
      </c>
      <c r="J666" s="59">
        <f t="shared" si="1"/>
        <v>11</v>
      </c>
    </row>
    <row r="667">
      <c r="A667" s="55" t="str">
        <f>IFERROR(__xludf.DUMMYFUNCTION("""COMPUTED_VALUE"""),"Rival")</f>
        <v>Rival</v>
      </c>
      <c r="B667" s="55" t="str">
        <f>IFERROR(__xludf.DUMMYFUNCTION("""COMPUTED_VALUE"""),"RSC008543")</f>
        <v>RSC008543</v>
      </c>
      <c r="C667" s="60" t="str">
        <f>IFERROR(__xludf.DUMMYFUNCTION("""COMPUTED_VALUE"""),"T1Ta")</f>
        <v>T1Ta</v>
      </c>
      <c r="D667" s="54" t="str">
        <f>IFERROR(__xludf.DUMMYFUNCTION("""COMPUTED_VALUE"""),"Black Ice")</f>
        <v>Black Ice</v>
      </c>
      <c r="E667" s="55" t="str">
        <f>IFERROR(__xludf.DUMMYFUNCTION("""COMPUTED_VALUE"""),"Solar")</f>
        <v>Solar</v>
      </c>
      <c r="F667" s="56">
        <f>IFERROR(__xludf.DUMMYFUNCTION("""COMPUTED_VALUE"""),-37.532185232175024)</f>
        <v>-37.53218523</v>
      </c>
      <c r="G667" s="57">
        <f>IFERROR(__xludf.DUMMYFUNCTION("""COMPUTED_VALUE"""),4.0)</f>
        <v>4</v>
      </c>
      <c r="H667" s="58">
        <f>IFERROR(__xludf.DUMMYFUNCTION("iferror(if(B667="""", ,filter('IDR Import'!D:D,'IDR Import'!A:A=B667,'IDR Import'!C:C=A667)),)"),-40.22240616727335)</f>
        <v>-40.22240617</v>
      </c>
      <c r="I667" s="58">
        <v>-38.877295699724186</v>
      </c>
      <c r="J667" s="59">
        <f t="shared" si="1"/>
        <v>4</v>
      </c>
    </row>
    <row r="668">
      <c r="A668" s="55" t="str">
        <f>IFERROR(__xludf.DUMMYFUNCTION("""COMPUTED_VALUE"""),"Rival")</f>
        <v>Rival</v>
      </c>
      <c r="B668" s="55" t="str">
        <f>IFERROR(__xludf.DUMMYFUNCTION("""COMPUTED_VALUE"""),"RSC008489")</f>
        <v>RSC008489</v>
      </c>
      <c r="C668" s="60" t="str">
        <f>IFERROR(__xludf.DUMMYFUNCTION("""COMPUTED_VALUE"""),"nacho_nachos2")</f>
        <v>nacho_nachos2</v>
      </c>
      <c r="D668" s="54" t="str">
        <f>IFERROR(__xludf.DUMMYFUNCTION("""COMPUTED_VALUE"""),"Scramjets")</f>
        <v>Scramjets</v>
      </c>
      <c r="E668" s="55" t="str">
        <f>IFERROR(__xludf.DUMMYFUNCTION("""COMPUTED_VALUE"""),"Lunar")</f>
        <v>Lunar</v>
      </c>
      <c r="F668" s="56">
        <f>IFERROR(__xludf.DUMMYFUNCTION("""COMPUTED_VALUE"""),-64.86683498278467)</f>
        <v>-64.86683498</v>
      </c>
      <c r="G668" s="57">
        <f>IFERROR(__xludf.DUMMYFUNCTION("""COMPUTED_VALUE"""),2.0)</f>
        <v>2</v>
      </c>
      <c r="H668" s="58">
        <f>IFERROR(__xludf.DUMMYFUNCTION("iferror(if(B668="""", ,filter('IDR Import'!D:D,'IDR Import'!A:A=B668,'IDR Import'!C:C=A668)),)"),-57.92999381796842)</f>
        <v>-57.92999382</v>
      </c>
      <c r="I668" s="58">
        <v>-61.398414400376545</v>
      </c>
      <c r="J668" s="59">
        <f t="shared" si="1"/>
        <v>2</v>
      </c>
    </row>
    <row r="669">
      <c r="A669" s="55" t="str">
        <f>IFERROR(__xludf.DUMMYFUNCTION("""COMPUTED_VALUE"""),"Veteran")</f>
        <v>Veteran</v>
      </c>
      <c r="B669" s="55" t="str">
        <f>IFERROR(__xludf.DUMMYFUNCTION("""COMPUTED_VALUE"""),"RSC008599")</f>
        <v>RSC008599</v>
      </c>
      <c r="C669" s="60" t="str">
        <f>IFERROR(__xludf.DUMMYFUNCTION("""COMPUTED_VALUE"""),"p4rka.")</f>
        <v>p4rka.</v>
      </c>
      <c r="D669" s="54" t="str">
        <f>IFERROR(__xludf.DUMMYFUNCTION("""COMPUTED_VALUE"""),"Fer-de-Lance")</f>
        <v>Fer-de-Lance</v>
      </c>
      <c r="E669" s="55" t="str">
        <f>IFERROR(__xludf.DUMMYFUNCTION("""COMPUTED_VALUE"""),"Lunar")</f>
        <v>Lunar</v>
      </c>
      <c r="F669" s="56">
        <f>IFERROR(__xludf.DUMMYFUNCTION("""COMPUTED_VALUE"""),117.51463044441157)</f>
        <v>117.5146304</v>
      </c>
      <c r="G669" s="57">
        <f>IFERROR(__xludf.DUMMYFUNCTION("""COMPUTED_VALUE"""),4.0)</f>
        <v>4</v>
      </c>
      <c r="H669" s="58">
        <f>IFERROR(__xludf.DUMMYFUNCTION("iferror(if(B669="""", ,filter('IDR Import'!D:D,'IDR Import'!A:A=B669,'IDR Import'!C:C=A669)),)"),102.23464411676426)</f>
        <v>102.2346441</v>
      </c>
      <c r="I669" s="58">
        <v>109.8746372805879</v>
      </c>
      <c r="J669" s="59">
        <f t="shared" si="1"/>
        <v>4</v>
      </c>
    </row>
    <row r="670">
      <c r="A670" s="55" t="str">
        <f>IFERROR(__xludf.DUMMYFUNCTION("""COMPUTED_VALUE"""),"Veteran")</f>
        <v>Veteran</v>
      </c>
      <c r="B670" s="55" t="str">
        <f>IFERROR(__xludf.DUMMYFUNCTION("""COMPUTED_VALUE"""),"RSC004035")</f>
        <v>RSC004035</v>
      </c>
      <c r="C670" s="60" t="str">
        <f>IFERROR(__xludf.DUMMYFUNCTION("""COMPUTED_VALUE"""),"Timmy_-_")</f>
        <v>Timmy_-_</v>
      </c>
      <c r="D670" s="54" t="str">
        <f>IFERROR(__xludf.DUMMYFUNCTION("""COMPUTED_VALUE"""),"Dogfight")</f>
        <v>Dogfight</v>
      </c>
      <c r="E670" s="55" t="str">
        <f>IFERROR(__xludf.DUMMYFUNCTION("""COMPUTED_VALUE"""),"Lunar")</f>
        <v>Lunar</v>
      </c>
      <c r="F670" s="56">
        <f>IFERROR(__xludf.DUMMYFUNCTION("""COMPUTED_VALUE"""),107.27528656403467)</f>
        <v>107.2752866</v>
      </c>
      <c r="G670" s="57">
        <f>IFERROR(__xludf.DUMMYFUNCTION("""COMPUTED_VALUE"""),56.0)</f>
        <v>56</v>
      </c>
      <c r="H670" s="58">
        <f>IFERROR(__xludf.DUMMYFUNCTION("iferror(if(B670="""", ,filter('IDR Import'!D:D,'IDR Import'!A:A=B670,'IDR Import'!C:C=A670)),)"),110.66826622382504)</f>
        <v>110.6682662</v>
      </c>
      <c r="I670" s="58">
        <v>108.97177639392986</v>
      </c>
      <c r="J670" s="59">
        <f t="shared" si="1"/>
        <v>56</v>
      </c>
    </row>
    <row r="671">
      <c r="A671" s="55" t="str">
        <f>IFERROR(__xludf.DUMMYFUNCTION("""COMPUTED_VALUE"""),"Veteran")</f>
        <v>Veteran</v>
      </c>
      <c r="B671" s="55" t="str">
        <f>IFERROR(__xludf.DUMMYFUNCTION("""COMPUTED_VALUE"""),"RSC007501")</f>
        <v>RSC007501</v>
      </c>
      <c r="C671" s="60" t="str">
        <f>IFERROR(__xludf.DUMMYFUNCTION("""COMPUTED_VALUE"""),"RAW MUSHROOMS")</f>
        <v>RAW MUSHROOMS</v>
      </c>
      <c r="D671" s="54" t="str">
        <f>IFERROR(__xludf.DUMMYFUNCTION("""COMPUTED_VALUE"""),"Supernova")</f>
        <v>Supernova</v>
      </c>
      <c r="E671" s="55" t="str">
        <f>IFERROR(__xludf.DUMMYFUNCTION("""COMPUTED_VALUE"""),"Lunar")</f>
        <v>Lunar</v>
      </c>
      <c r="F671" s="56">
        <f>IFERROR(__xludf.DUMMYFUNCTION("""COMPUTED_VALUE"""),106.41942094177594)</f>
        <v>106.4194209</v>
      </c>
      <c r="G671" s="57">
        <f>IFERROR(__xludf.DUMMYFUNCTION("""COMPUTED_VALUE"""),4.0)</f>
        <v>4</v>
      </c>
      <c r="H671" s="58">
        <f>IFERROR(__xludf.DUMMYFUNCTION("iferror(if(B671="""", ,filter('IDR Import'!D:D,'IDR Import'!A:A=B671,'IDR Import'!C:C=A671)),)"),64.25225390066997)</f>
        <v>64.2522539</v>
      </c>
      <c r="I671" s="58">
        <v>85.33583742122295</v>
      </c>
      <c r="J671" s="59">
        <f t="shared" si="1"/>
        <v>4</v>
      </c>
    </row>
    <row r="672">
      <c r="A672" s="55" t="str">
        <f>IFERROR(__xludf.DUMMYFUNCTION("""COMPUTED_VALUE"""),"Veteran")</f>
        <v>Veteran</v>
      </c>
      <c r="B672" s="55" t="str">
        <f>IFERROR(__xludf.DUMMYFUNCTION("""COMPUTED_VALUE"""),"RSC008428")</f>
        <v>RSC008428</v>
      </c>
      <c r="C672" s="60" t="str">
        <f>IFERROR(__xludf.DUMMYFUNCTION("""COMPUTED_VALUE"""),"PG_THE3RD")</f>
        <v>PG_THE3RD</v>
      </c>
      <c r="D672" s="54" t="str">
        <f>IFERROR(__xludf.DUMMYFUNCTION("""COMPUTED_VALUE"""),"Supernova")</f>
        <v>Supernova</v>
      </c>
      <c r="E672" s="55" t="str">
        <f>IFERROR(__xludf.DUMMYFUNCTION("""COMPUTED_VALUE"""),"Lunar")</f>
        <v>Lunar</v>
      </c>
      <c r="F672" s="56">
        <f>IFERROR(__xludf.DUMMYFUNCTION("""COMPUTED_VALUE"""),99.48789636144399)</f>
        <v>99.48789636</v>
      </c>
      <c r="G672" s="57">
        <f>IFERROR(__xludf.DUMMYFUNCTION("""COMPUTED_VALUE"""),51.0)</f>
        <v>51</v>
      </c>
      <c r="H672" s="58">
        <f>IFERROR(__xludf.DUMMYFUNCTION("iferror(if(B672="""", ,filter('IDR Import'!D:D,'IDR Import'!A:A=B672,'IDR Import'!C:C=A672)),)"),112.77750744856135)</f>
        <v>112.7775074</v>
      </c>
      <c r="I672" s="58">
        <v>106.13270190500268</v>
      </c>
      <c r="J672" s="59">
        <f t="shared" si="1"/>
        <v>51</v>
      </c>
    </row>
    <row r="673">
      <c r="A673" s="55" t="str">
        <f>IFERROR(__xludf.DUMMYFUNCTION("""COMPUTED_VALUE"""),"Veteran")</f>
        <v>Veteran</v>
      </c>
      <c r="B673" s="55" t="str">
        <f>IFERROR(__xludf.DUMMYFUNCTION("""COMPUTED_VALUE"""),"RSC000200")</f>
        <v>RSC000200</v>
      </c>
      <c r="C673" s="60" t="str">
        <f>IFERROR(__xludf.DUMMYFUNCTION("""COMPUTED_VALUE"""),"Jonezy")</f>
        <v>Jonezy</v>
      </c>
      <c r="D673" s="54" t="str">
        <f>IFERROR(__xludf.DUMMYFUNCTION("""COMPUTED_VALUE"""),"Singularity")</f>
        <v>Singularity</v>
      </c>
      <c r="E673" s="55" t="str">
        <f>IFERROR(__xludf.DUMMYFUNCTION("""COMPUTED_VALUE"""),"Solar")</f>
        <v>Solar</v>
      </c>
      <c r="F673" s="56">
        <f>IFERROR(__xludf.DUMMYFUNCTION("""COMPUTED_VALUE"""),91.45319636239755)</f>
        <v>91.45319636</v>
      </c>
      <c r="G673" s="57">
        <f>IFERROR(__xludf.DUMMYFUNCTION("""COMPUTED_VALUE"""),12.0)</f>
        <v>12</v>
      </c>
      <c r="H673" s="58">
        <f>IFERROR(__xludf.DUMMYFUNCTION("iferror(if(B673="""", ,filter('IDR Import'!D:D,'IDR Import'!A:A=B673,'IDR Import'!C:C=A673)),)"),86.33078091762772)</f>
        <v>86.33078092</v>
      </c>
      <c r="I673" s="58">
        <v>88.89198864001264</v>
      </c>
      <c r="J673" s="59">
        <f t="shared" si="1"/>
        <v>12</v>
      </c>
    </row>
    <row r="674">
      <c r="A674" s="55" t="str">
        <f>IFERROR(__xludf.DUMMYFUNCTION("""COMPUTED_VALUE"""),"Veteran")</f>
        <v>Veteran</v>
      </c>
      <c r="B674" s="55" t="str">
        <f>IFERROR(__xludf.DUMMYFUNCTION("""COMPUTED_VALUE"""),"RSC008369")</f>
        <v>RSC008369</v>
      </c>
      <c r="C674" s="60" t="str">
        <f>IFERROR(__xludf.DUMMYFUNCTION("""COMPUTED_VALUE"""),"EternalJinx")</f>
        <v>EternalJinx</v>
      </c>
      <c r="D674" s="54" t="str">
        <f>IFERROR(__xludf.DUMMYFUNCTION("""COMPUTED_VALUE"""),"Dogfight")</f>
        <v>Dogfight</v>
      </c>
      <c r="E674" s="55" t="str">
        <f>IFERROR(__xludf.DUMMYFUNCTION("""COMPUTED_VALUE"""),"Lunar")</f>
        <v>Lunar</v>
      </c>
      <c r="F674" s="56">
        <f>IFERROR(__xludf.DUMMYFUNCTION("""COMPUTED_VALUE"""),84.71250888762934)</f>
        <v>84.71250889</v>
      </c>
      <c r="G674" s="57">
        <f>IFERROR(__xludf.DUMMYFUNCTION("""COMPUTED_VALUE"""),36.0)</f>
        <v>36</v>
      </c>
      <c r="H674" s="58">
        <f>IFERROR(__xludf.DUMMYFUNCTION("iferror(if(B674="""", ,filter('IDR Import'!D:D,'IDR Import'!A:A=B674,'IDR Import'!C:C=A674)),)"),107.75466720739081)</f>
        <v>107.7546672</v>
      </c>
      <c r="I674" s="58">
        <v>96.23358804751007</v>
      </c>
      <c r="J674" s="59">
        <f t="shared" si="1"/>
        <v>36</v>
      </c>
    </row>
    <row r="675">
      <c r="A675" s="55" t="str">
        <f>IFERROR(__xludf.DUMMYFUNCTION("""COMPUTED_VALUE"""),"Veteran")</f>
        <v>Veteran</v>
      </c>
      <c r="B675" s="55" t="str">
        <f>IFERROR(__xludf.DUMMYFUNCTION("""COMPUTED_VALUE"""),"RSC007856")</f>
        <v>RSC007856</v>
      </c>
      <c r="C675" s="60" t="str">
        <f>IFERROR(__xludf.DUMMYFUNCTION("""COMPUTED_VALUE"""),"Captain Daddy")</f>
        <v>Captain Daddy</v>
      </c>
      <c r="D675" s="54" t="str">
        <f>IFERROR(__xludf.DUMMYFUNCTION("""COMPUTED_VALUE"""),"Lycans")</f>
        <v>Lycans</v>
      </c>
      <c r="E675" s="55" t="str">
        <f>IFERROR(__xludf.DUMMYFUNCTION("""COMPUTED_VALUE"""),"Solar")</f>
        <v>Solar</v>
      </c>
      <c r="F675" s="56">
        <f>IFERROR(__xludf.DUMMYFUNCTION("""COMPUTED_VALUE"""),84.63815760183705)</f>
        <v>84.6381576</v>
      </c>
      <c r="G675" s="57">
        <f>IFERROR(__xludf.DUMMYFUNCTION("""COMPUTED_VALUE"""),54.0)</f>
        <v>54</v>
      </c>
      <c r="H675" s="58">
        <f>IFERROR(__xludf.DUMMYFUNCTION("iferror(if(B675="""", ,filter('IDR Import'!D:D,'IDR Import'!A:A=B675,'IDR Import'!C:C=A675)),)"),83.86553863312781)</f>
        <v>83.86553863</v>
      </c>
      <c r="I675" s="58">
        <v>84.25184811748244</v>
      </c>
      <c r="J675" s="59">
        <f t="shared" si="1"/>
        <v>54</v>
      </c>
    </row>
    <row r="676">
      <c r="A676" s="55" t="str">
        <f>IFERROR(__xludf.DUMMYFUNCTION("""COMPUTED_VALUE"""),"Veteran")</f>
        <v>Veteran</v>
      </c>
      <c r="B676" s="55" t="str">
        <f>IFERROR(__xludf.DUMMYFUNCTION("""COMPUTED_VALUE"""),"RSC008351")</f>
        <v>RSC008351</v>
      </c>
      <c r="C676" s="60" t="str">
        <f>IFERROR(__xludf.DUMMYFUNCTION("""COMPUTED_VALUE"""),"trendy &lt;3")</f>
        <v>trendy &lt;3</v>
      </c>
      <c r="D676" s="54" t="str">
        <f>IFERROR(__xludf.DUMMYFUNCTION("""COMPUTED_VALUE"""),"White Collars")</f>
        <v>White Collars</v>
      </c>
      <c r="E676" s="55" t="str">
        <f>IFERROR(__xludf.DUMMYFUNCTION("""COMPUTED_VALUE"""),"Lunar")</f>
        <v>Lunar</v>
      </c>
      <c r="F676" s="56">
        <f>IFERROR(__xludf.DUMMYFUNCTION("""COMPUTED_VALUE"""),83.86629108112116)</f>
        <v>83.86629108</v>
      </c>
      <c r="G676" s="57">
        <f>IFERROR(__xludf.DUMMYFUNCTION("""COMPUTED_VALUE"""),56.0)</f>
        <v>56</v>
      </c>
      <c r="H676" s="58">
        <f>IFERROR(__xludf.DUMMYFUNCTION("iferror(if(B676="""", ,filter('IDR Import'!D:D,'IDR Import'!A:A=B676,'IDR Import'!C:C=A676)),)"),75.17556986930664)</f>
        <v>75.17556987</v>
      </c>
      <c r="I676" s="58">
        <v>79.5209304752139</v>
      </c>
      <c r="J676" s="59">
        <f t="shared" si="1"/>
        <v>56</v>
      </c>
    </row>
    <row r="677">
      <c r="A677" s="55" t="str">
        <f>IFERROR(__xludf.DUMMYFUNCTION("""COMPUTED_VALUE"""),"Veteran")</f>
        <v>Veteran</v>
      </c>
      <c r="B677" s="55" t="str">
        <f>IFERROR(__xludf.DUMMYFUNCTION("""COMPUTED_VALUE"""),"RSC002706")</f>
        <v>RSC002706</v>
      </c>
      <c r="C677" s="60" t="str">
        <f>IFERROR(__xludf.DUMMYFUNCTION("""COMPUTED_VALUE"""),"Zarthon77")</f>
        <v>Zarthon77</v>
      </c>
      <c r="D677" s="54" t="str">
        <f>IFERROR(__xludf.DUMMYFUNCTION("""COMPUTED_VALUE"""),"Sons of Ares")</f>
        <v>Sons of Ares</v>
      </c>
      <c r="E677" s="55" t="str">
        <f>IFERROR(__xludf.DUMMYFUNCTION("""COMPUTED_VALUE"""),"Solar")</f>
        <v>Solar</v>
      </c>
      <c r="F677" s="56">
        <f>IFERROR(__xludf.DUMMYFUNCTION("""COMPUTED_VALUE"""),82.1641939623182)</f>
        <v>82.16419396</v>
      </c>
      <c r="G677" s="57">
        <f>IFERROR(__xludf.DUMMYFUNCTION("""COMPUTED_VALUE"""),52.0)</f>
        <v>52</v>
      </c>
      <c r="H677" s="58">
        <f>IFERROR(__xludf.DUMMYFUNCTION("iferror(if(B677="""", ,filter('IDR Import'!D:D,'IDR Import'!A:A=B677,'IDR Import'!C:C=A677)),)"),81.02575049698657)</f>
        <v>81.0257505</v>
      </c>
      <c r="I677" s="58">
        <v>81.59497222965238</v>
      </c>
      <c r="J677" s="59">
        <f t="shared" si="1"/>
        <v>52</v>
      </c>
    </row>
    <row r="678">
      <c r="A678" s="55" t="str">
        <f>IFERROR(__xludf.DUMMYFUNCTION("""COMPUTED_VALUE"""),"Veteran")</f>
        <v>Veteran</v>
      </c>
      <c r="B678" s="55" t="str">
        <f>IFERROR(__xludf.DUMMYFUNCTION("""COMPUTED_VALUE"""),"RSC007131")</f>
        <v>RSC007131</v>
      </c>
      <c r="C678" s="60" t="str">
        <f>IFERROR(__xludf.DUMMYFUNCTION("""COMPUTED_VALUE"""),"BankShark")</f>
        <v>BankShark</v>
      </c>
      <c r="D678" s="54" t="str">
        <f>IFERROR(__xludf.DUMMYFUNCTION("""COMPUTED_VALUE"""),"Makos")</f>
        <v>Makos</v>
      </c>
      <c r="E678" s="55" t="str">
        <f>IFERROR(__xludf.DUMMYFUNCTION("""COMPUTED_VALUE"""),"Solar")</f>
        <v>Solar</v>
      </c>
      <c r="F678" s="56">
        <f>IFERROR(__xludf.DUMMYFUNCTION("""COMPUTED_VALUE"""),81.78808972104191)</f>
        <v>81.78808972</v>
      </c>
      <c r="G678" s="57">
        <f>IFERROR(__xludf.DUMMYFUNCTION("""COMPUTED_VALUE"""),55.0)</f>
        <v>55</v>
      </c>
      <c r="H678" s="58">
        <f>IFERROR(__xludf.DUMMYFUNCTION("iferror(if(B678="""", ,filter('IDR Import'!D:D,'IDR Import'!A:A=B678,'IDR Import'!C:C=A678)),)"),82.84715439990777)</f>
        <v>82.8471544</v>
      </c>
      <c r="I678" s="58">
        <v>82.31762206047483</v>
      </c>
      <c r="J678" s="59">
        <f t="shared" si="1"/>
        <v>55</v>
      </c>
    </row>
    <row r="679">
      <c r="A679" s="55" t="str">
        <f>IFERROR(__xludf.DUMMYFUNCTION("""COMPUTED_VALUE"""),"Veteran")</f>
        <v>Veteran</v>
      </c>
      <c r="B679" s="55" t="str">
        <f>IFERROR(__xludf.DUMMYFUNCTION("""COMPUTED_VALUE"""),"RSC006060")</f>
        <v>RSC006060</v>
      </c>
      <c r="C679" s="60" t="str">
        <f>IFERROR(__xludf.DUMMYFUNCTION("""COMPUTED_VALUE"""),"WP_Merciless")</f>
        <v>WP_Merciless</v>
      </c>
      <c r="D679" s="54" t="str">
        <f>IFERROR(__xludf.DUMMYFUNCTION("""COMPUTED_VALUE"""),"Lycans")</f>
        <v>Lycans</v>
      </c>
      <c r="E679" s="55" t="str">
        <f>IFERROR(__xludf.DUMMYFUNCTION("""COMPUTED_VALUE"""),"Solar")</f>
        <v>Solar</v>
      </c>
      <c r="F679" s="56">
        <f>IFERROR(__xludf.DUMMYFUNCTION("""COMPUTED_VALUE"""),81.52837491368803)</f>
        <v>81.52837491</v>
      </c>
      <c r="G679" s="57">
        <f>IFERROR(__xludf.DUMMYFUNCTION("""COMPUTED_VALUE"""),40.0)</f>
        <v>40</v>
      </c>
      <c r="H679" s="58">
        <f>IFERROR(__xludf.DUMMYFUNCTION("iferror(if(B679="""", ,filter('IDR Import'!D:D,'IDR Import'!A:A=B679,'IDR Import'!C:C=A679)),)"),83.42445652326326)</f>
        <v>83.42445652</v>
      </c>
      <c r="I679" s="58">
        <v>82.47641571847564</v>
      </c>
      <c r="J679" s="59">
        <f t="shared" si="1"/>
        <v>40</v>
      </c>
    </row>
    <row r="680">
      <c r="A680" s="55" t="str">
        <f>IFERROR(__xludf.DUMMYFUNCTION("""COMPUTED_VALUE"""),"Veteran")</f>
        <v>Veteran</v>
      </c>
      <c r="B680" s="55" t="str">
        <f>IFERROR(__xludf.DUMMYFUNCTION("""COMPUTED_VALUE"""),"RSC005210")</f>
        <v>RSC005210</v>
      </c>
      <c r="C680" s="60" t="str">
        <f>IFERROR(__xludf.DUMMYFUNCTION("""COMPUTED_VALUE"""),"baldmanstreamer")</f>
        <v>baldmanstreamer</v>
      </c>
      <c r="D680" s="54" t="str">
        <f>IFERROR(__xludf.DUMMYFUNCTION("""COMPUTED_VALUE"""),"Mosaic Maestros
Legati")</f>
        <v>Mosaic Maestros
Legati</v>
      </c>
      <c r="E680" s="55" t="str">
        <f>IFERROR(__xludf.DUMMYFUNCTION("""COMPUTED_VALUE"""),"Solar
Solar")</f>
        <v>Solar
Solar</v>
      </c>
      <c r="F680" s="56">
        <f>IFERROR(__xludf.DUMMYFUNCTION("""COMPUTED_VALUE"""),79.10813652975753)</f>
        <v>79.10813653</v>
      </c>
      <c r="G680" s="57">
        <f>IFERROR(__xludf.DUMMYFUNCTION("""COMPUTED_VALUE"""),46.0)</f>
        <v>46</v>
      </c>
      <c r="H680" s="58">
        <f>IFERROR(__xludf.DUMMYFUNCTION("iferror(if(B680="""", ,filter('IDR Import'!D:D,'IDR Import'!A:A=B680,'IDR Import'!C:C=A680)),)"),90.72497650178647)</f>
        <v>90.7249765</v>
      </c>
      <c r="I680" s="58">
        <v>84.916556515772</v>
      </c>
      <c r="J680" s="59">
        <f t="shared" si="1"/>
        <v>46</v>
      </c>
    </row>
    <row r="681">
      <c r="A681" s="55" t="str">
        <f>IFERROR(__xludf.DUMMYFUNCTION("""COMPUTED_VALUE"""),"Veteran")</f>
        <v>Veteran</v>
      </c>
      <c r="B681" s="55" t="str">
        <f>IFERROR(__xludf.DUMMYFUNCTION("""COMPUTED_VALUE"""),"RSC006945")</f>
        <v>RSC006945</v>
      </c>
      <c r="C681" s="60" t="str">
        <f>IFERROR(__xludf.DUMMYFUNCTION("""COMPUTED_VALUE"""),"nuummite")</f>
        <v>nuummite</v>
      </c>
      <c r="D681" s="54" t="str">
        <f>IFERROR(__xludf.DUMMYFUNCTION("""COMPUTED_VALUE"""),"Gargoyle")</f>
        <v>Gargoyle</v>
      </c>
      <c r="E681" s="55" t="str">
        <f>IFERROR(__xludf.DUMMYFUNCTION("""COMPUTED_VALUE"""),"Solar")</f>
        <v>Solar</v>
      </c>
      <c r="F681" s="56">
        <f>IFERROR(__xludf.DUMMYFUNCTION("""COMPUTED_VALUE"""),77.82661975897257)</f>
        <v>77.82661976</v>
      </c>
      <c r="G681" s="57">
        <f>IFERROR(__xludf.DUMMYFUNCTION("""COMPUTED_VALUE"""),51.0)</f>
        <v>51</v>
      </c>
      <c r="H681" s="58">
        <f>IFERROR(__xludf.DUMMYFUNCTION("iferror(if(B681="""", ,filter('IDR Import'!D:D,'IDR Import'!A:A=B681,'IDR Import'!C:C=A681)),)"),90.79790754822014)</f>
        <v>90.79790755</v>
      </c>
      <c r="I681" s="58">
        <v>84.31226365359635</v>
      </c>
      <c r="J681" s="59">
        <f t="shared" si="1"/>
        <v>51</v>
      </c>
    </row>
    <row r="682">
      <c r="A682" s="55" t="str">
        <f>IFERROR(__xludf.DUMMYFUNCTION("""COMPUTED_VALUE"""),"Veteran")</f>
        <v>Veteran</v>
      </c>
      <c r="B682" s="55" t="str">
        <f>IFERROR(__xludf.DUMMYFUNCTION("""COMPUTED_VALUE"""),"RSC001199")</f>
        <v>RSC001199</v>
      </c>
      <c r="C682" s="60" t="str">
        <f>IFERROR(__xludf.DUMMYFUNCTION("""COMPUTED_VALUE"""),"Classy")</f>
        <v>Classy</v>
      </c>
      <c r="D682" s="54" t="str">
        <f>IFERROR(__xludf.DUMMYFUNCTION("""COMPUTED_VALUE"""),"Water")</f>
        <v>Water</v>
      </c>
      <c r="E682" s="55" t="str">
        <f>IFERROR(__xludf.DUMMYFUNCTION("""COMPUTED_VALUE"""),"Solar")</f>
        <v>Solar</v>
      </c>
      <c r="F682" s="56">
        <f>IFERROR(__xludf.DUMMYFUNCTION("""COMPUTED_VALUE"""),76.92735547135779)</f>
        <v>76.92735547</v>
      </c>
      <c r="G682" s="57">
        <f>IFERROR(__xludf.DUMMYFUNCTION("""COMPUTED_VALUE"""),54.0)</f>
        <v>54</v>
      </c>
      <c r="H682" s="58">
        <f>IFERROR(__xludf.DUMMYFUNCTION("iferror(if(B682="""", ,filter('IDR Import'!D:D,'IDR Import'!A:A=B682,'IDR Import'!C:C=A682)),)"),86.14613663804438)</f>
        <v>86.14613664</v>
      </c>
      <c r="I682" s="58">
        <v>81.53674605470108</v>
      </c>
      <c r="J682" s="59">
        <f t="shared" si="1"/>
        <v>54</v>
      </c>
    </row>
    <row r="683">
      <c r="A683" s="55" t="str">
        <f>IFERROR(__xludf.DUMMYFUNCTION("""COMPUTED_VALUE"""),"Veteran")</f>
        <v>Veteran</v>
      </c>
      <c r="B683" s="55" t="str">
        <f>IFERROR(__xludf.DUMMYFUNCTION("""COMPUTED_VALUE"""),"RSC008452")</f>
        <v>RSC008452</v>
      </c>
      <c r="C683" s="60" t="str">
        <f>IFERROR(__xludf.DUMMYFUNCTION("""COMPUTED_VALUE"""),"pxiruu")</f>
        <v>pxiruu</v>
      </c>
      <c r="D683" s="54" t="str">
        <f>IFERROR(__xludf.DUMMYFUNCTION("""COMPUTED_VALUE"""),"Giant Squids")</f>
        <v>Giant Squids</v>
      </c>
      <c r="E683" s="55" t="str">
        <f>IFERROR(__xludf.DUMMYFUNCTION("""COMPUTED_VALUE"""),"Lunar")</f>
        <v>Lunar</v>
      </c>
      <c r="F683" s="56">
        <f>IFERROR(__xludf.DUMMYFUNCTION("""COMPUTED_VALUE"""),75.72125106621857)</f>
        <v>75.72125107</v>
      </c>
      <c r="G683" s="57">
        <f>IFERROR(__xludf.DUMMYFUNCTION("""COMPUTED_VALUE"""),51.0)</f>
        <v>51</v>
      </c>
      <c r="H683" s="58">
        <f>IFERROR(__xludf.DUMMYFUNCTION("iferror(if(B683="""", ,filter('IDR Import'!D:D,'IDR Import'!A:A=B683,'IDR Import'!C:C=A683)),)"),79.14035285188325)</f>
        <v>79.14035285</v>
      </c>
      <c r="I683" s="58">
        <v>77.43080195905091</v>
      </c>
      <c r="J683" s="59">
        <f t="shared" si="1"/>
        <v>51</v>
      </c>
    </row>
    <row r="684">
      <c r="A684" s="55" t="str">
        <f>IFERROR(__xludf.DUMMYFUNCTION("""COMPUTED_VALUE"""),"Veteran")</f>
        <v>Veteran</v>
      </c>
      <c r="B684" s="55" t="str">
        <f>IFERROR(__xludf.DUMMYFUNCTION("""COMPUTED_VALUE"""),"RSC008494")</f>
        <v>RSC008494</v>
      </c>
      <c r="C684" s="60" t="str">
        <f>IFERROR(__xludf.DUMMYFUNCTION("""COMPUTED_VALUE"""),"//Ronx")</f>
        <v>//Ronx</v>
      </c>
      <c r="D684" s="54" t="str">
        <f>IFERROR(__xludf.DUMMYFUNCTION("""COMPUTED_VALUE"""),"Dread")</f>
        <v>Dread</v>
      </c>
      <c r="E684" s="55" t="str">
        <f>IFERROR(__xludf.DUMMYFUNCTION("""COMPUTED_VALUE"""),"Lunar")</f>
        <v>Lunar</v>
      </c>
      <c r="F684" s="56">
        <f>IFERROR(__xludf.DUMMYFUNCTION("""COMPUTED_VALUE"""),74.8255968072606)</f>
        <v>74.82559681</v>
      </c>
      <c r="G684" s="57">
        <f>IFERROR(__xludf.DUMMYFUNCTION("""COMPUTED_VALUE"""),54.0)</f>
        <v>54</v>
      </c>
      <c r="H684" s="58">
        <f>IFERROR(__xludf.DUMMYFUNCTION("iferror(if(B684="""", ,filter('IDR Import'!D:D,'IDR Import'!A:A=B684,'IDR Import'!C:C=A684)),)"),77.34156306175491)</f>
        <v>77.34156306</v>
      </c>
      <c r="I684" s="58">
        <v>76.08357993450775</v>
      </c>
      <c r="J684" s="59">
        <f t="shared" si="1"/>
        <v>54</v>
      </c>
    </row>
    <row r="685">
      <c r="A685" s="55" t="str">
        <f>IFERROR(__xludf.DUMMYFUNCTION("""COMPUTED_VALUE"""),"Veteran")</f>
        <v>Veteran</v>
      </c>
      <c r="B685" s="55" t="str">
        <f>IFERROR(__xludf.DUMMYFUNCTION("""COMPUTED_VALUE"""),"RSC006613")</f>
        <v>RSC006613</v>
      </c>
      <c r="C685" s="60" t="str">
        <f>IFERROR(__xludf.DUMMYFUNCTION("""COMPUTED_VALUE"""),"cartman_-_")</f>
        <v>cartman_-_</v>
      </c>
      <c r="D685" s="54" t="str">
        <f>IFERROR(__xludf.DUMMYFUNCTION("""COMPUTED_VALUE"""),"Dogfight")</f>
        <v>Dogfight</v>
      </c>
      <c r="E685" s="55" t="str">
        <f>IFERROR(__xludf.DUMMYFUNCTION("""COMPUTED_VALUE"""),"Lunar")</f>
        <v>Lunar</v>
      </c>
      <c r="F685" s="56">
        <f>IFERROR(__xludf.DUMMYFUNCTION("""COMPUTED_VALUE"""),74.63255032310877)</f>
        <v>74.63255032</v>
      </c>
      <c r="G685" s="57">
        <f>IFERROR(__xludf.DUMMYFUNCTION("""COMPUTED_VALUE"""),52.0)</f>
        <v>52</v>
      </c>
      <c r="H685" s="58">
        <f>IFERROR(__xludf.DUMMYFUNCTION("iferror(if(B685="""", ,filter('IDR Import'!D:D,'IDR Import'!A:A=B685,'IDR Import'!C:C=A685)),)"),84.52978786688303)</f>
        <v>84.52978787</v>
      </c>
      <c r="I685" s="58">
        <v>79.5811690949959</v>
      </c>
      <c r="J685" s="59">
        <f t="shared" si="1"/>
        <v>52</v>
      </c>
    </row>
    <row r="686">
      <c r="A686" s="55" t="str">
        <f>IFERROR(__xludf.DUMMYFUNCTION("""COMPUTED_VALUE"""),"Veteran")</f>
        <v>Veteran</v>
      </c>
      <c r="B686" s="55" t="str">
        <f>IFERROR(__xludf.DUMMYFUNCTION("""COMPUTED_VALUE"""),"RSC005482")</f>
        <v>RSC005482</v>
      </c>
      <c r="C686" s="60" t="str">
        <f>IFERROR(__xludf.DUMMYFUNCTION("""COMPUTED_VALUE"""),"Benny!")</f>
        <v>Benny!</v>
      </c>
      <c r="D686" s="54" t="str">
        <f>IFERROR(__xludf.DUMMYFUNCTION("""COMPUTED_VALUE"""),"Gorillas")</f>
        <v>Gorillas</v>
      </c>
      <c r="E686" s="55" t="str">
        <f>IFERROR(__xludf.DUMMYFUNCTION("""COMPUTED_VALUE"""),"Solar")</f>
        <v>Solar</v>
      </c>
      <c r="F686" s="56">
        <f>IFERROR(__xludf.DUMMYFUNCTION("""COMPUTED_VALUE"""),74.14010063762444)</f>
        <v>74.14010064</v>
      </c>
      <c r="G686" s="57">
        <f>IFERROR(__xludf.DUMMYFUNCTION("""COMPUTED_VALUE"""),48.0)</f>
        <v>48</v>
      </c>
      <c r="H686" s="58">
        <f>IFERROR(__xludf.DUMMYFUNCTION("iferror(if(B686="""", ,filter('IDR Import'!D:D,'IDR Import'!A:A=B686,'IDR Import'!C:C=A686)),)"),59.37996467027779)</f>
        <v>59.37996467</v>
      </c>
      <c r="I686" s="58">
        <v>66.76003265395111</v>
      </c>
      <c r="J686" s="59">
        <f t="shared" si="1"/>
        <v>48</v>
      </c>
    </row>
    <row r="687">
      <c r="A687" s="55" t="str">
        <f>IFERROR(__xludf.DUMMYFUNCTION("""COMPUTED_VALUE"""),"Veteran")</f>
        <v>Veteran</v>
      </c>
      <c r="B687" s="55" t="str">
        <f>IFERROR(__xludf.DUMMYFUNCTION("""COMPUTED_VALUE"""),"RSC005682")</f>
        <v>RSC005682</v>
      </c>
      <c r="C687" s="60" t="str">
        <f>IFERROR(__xludf.DUMMYFUNCTION("""COMPUTED_VALUE"""),"S_ckz")</f>
        <v>S_ckz</v>
      </c>
      <c r="D687" s="54" t="str">
        <f>IFERROR(__xludf.DUMMYFUNCTION("""COMPUTED_VALUE"""),"Giraffes")</f>
        <v>Giraffes</v>
      </c>
      <c r="E687" s="55" t="str">
        <f>IFERROR(__xludf.DUMMYFUNCTION("""COMPUTED_VALUE"""),"Lunar")</f>
        <v>Lunar</v>
      </c>
      <c r="F687" s="56">
        <f>IFERROR(__xludf.DUMMYFUNCTION("""COMPUTED_VALUE"""),74.07335305406737)</f>
        <v>74.07335305</v>
      </c>
      <c r="G687" s="57">
        <f>IFERROR(__xludf.DUMMYFUNCTION("""COMPUTED_VALUE"""),48.0)</f>
        <v>48</v>
      </c>
      <c r="H687" s="58">
        <f>IFERROR(__xludf.DUMMYFUNCTION("iferror(if(B687="""", ,filter('IDR Import'!D:D,'IDR Import'!A:A=B687,'IDR Import'!C:C=A687)),)"),78.66797446342702)</f>
        <v>78.66797446</v>
      </c>
      <c r="I687" s="58">
        <v>76.37066375874718</v>
      </c>
      <c r="J687" s="59">
        <f t="shared" si="1"/>
        <v>48</v>
      </c>
    </row>
    <row r="688">
      <c r="A688" s="55" t="str">
        <f>IFERROR(__xludf.DUMMYFUNCTION("""COMPUTED_VALUE"""),"Veteran")</f>
        <v>Veteran</v>
      </c>
      <c r="B688" s="55" t="str">
        <f>IFERROR(__xludf.DUMMYFUNCTION("""COMPUTED_VALUE"""),"RSC007594")</f>
        <v>RSC007594</v>
      </c>
      <c r="C688" s="60" t="str">
        <f>IFERROR(__xludf.DUMMYFUNCTION("""COMPUTED_VALUE"""),"Notbeanrl")</f>
        <v>Notbeanrl</v>
      </c>
      <c r="D688" s="54" t="str">
        <f>IFERROR(__xludf.DUMMYFUNCTION("""COMPUTED_VALUE"""),"Blacksmiths")</f>
        <v>Blacksmiths</v>
      </c>
      <c r="E688" s="55" t="str">
        <f>IFERROR(__xludf.DUMMYFUNCTION("""COMPUTED_VALUE"""),"Lunar")</f>
        <v>Lunar</v>
      </c>
      <c r="F688" s="56">
        <f>IFERROR(__xludf.DUMMYFUNCTION("""COMPUTED_VALUE"""),74.06592212920089)</f>
        <v>74.06592213</v>
      </c>
      <c r="G688" s="57">
        <f>IFERROR(__xludf.DUMMYFUNCTION("""COMPUTED_VALUE"""),52.0)</f>
        <v>52</v>
      </c>
      <c r="H688" s="58">
        <f>IFERROR(__xludf.DUMMYFUNCTION("iferror(if(B688="""", ,filter('IDR Import'!D:D,'IDR Import'!A:A=B688,'IDR Import'!C:C=A688)),)"),82.98972048500912)</f>
        <v>82.98972049</v>
      </c>
      <c r="I688" s="58">
        <v>78.527821307105</v>
      </c>
      <c r="J688" s="59">
        <f t="shared" si="1"/>
        <v>52</v>
      </c>
    </row>
    <row r="689">
      <c r="A689" s="55" t="str">
        <f>IFERROR(__xludf.DUMMYFUNCTION("""COMPUTED_VALUE"""),"Veteran")</f>
        <v>Veteran</v>
      </c>
      <c r="B689" s="55" t="str">
        <f>IFERROR(__xludf.DUMMYFUNCTION("""COMPUTED_VALUE"""),"RSC007660")</f>
        <v>RSC007660</v>
      </c>
      <c r="C689" s="60" t="str">
        <f>IFERROR(__xludf.DUMMYFUNCTION("""COMPUTED_VALUE"""),"Shraxl")</f>
        <v>Shraxl</v>
      </c>
      <c r="D689" s="54" t="str">
        <f>IFERROR(__xludf.DUMMYFUNCTION("""COMPUTED_VALUE"""),"Mages")</f>
        <v>Mages</v>
      </c>
      <c r="E689" s="55" t="str">
        <f>IFERROR(__xludf.DUMMYFUNCTION("""COMPUTED_VALUE"""),"Lunar")</f>
        <v>Lunar</v>
      </c>
      <c r="F689" s="56">
        <f>IFERROR(__xludf.DUMMYFUNCTION("""COMPUTED_VALUE"""),74.0355202281646)</f>
        <v>74.03552023</v>
      </c>
      <c r="G689" s="57">
        <f>IFERROR(__xludf.DUMMYFUNCTION("""COMPUTED_VALUE"""),52.0)</f>
        <v>52</v>
      </c>
      <c r="H689" s="58">
        <f>IFERROR(__xludf.DUMMYFUNCTION("iferror(if(B689="""", ,filter('IDR Import'!D:D,'IDR Import'!A:A=B689,'IDR Import'!C:C=A689)),)"),80.24737705206718)</f>
        <v>80.24737705</v>
      </c>
      <c r="I689" s="58">
        <v>77.1414486401159</v>
      </c>
      <c r="J689" s="59">
        <f t="shared" si="1"/>
        <v>52</v>
      </c>
    </row>
    <row r="690">
      <c r="A690" s="55" t="str">
        <f>IFERROR(__xludf.DUMMYFUNCTION("""COMPUTED_VALUE"""),"Veteran")</f>
        <v>Veteran</v>
      </c>
      <c r="B690" s="55" t="str">
        <f>IFERROR(__xludf.DUMMYFUNCTION("""COMPUTED_VALUE"""),"RSC004165")</f>
        <v>RSC004165</v>
      </c>
      <c r="C690" s="60" t="str">
        <f>IFERROR(__xludf.DUMMYFUNCTION("""COMPUTED_VALUE"""),"Absolutely TOR")</f>
        <v>Absolutely TOR</v>
      </c>
      <c r="D690" s="54" t="str">
        <f>IFERROR(__xludf.DUMMYFUNCTION("""COMPUTED_VALUE"""),"Cannoli")</f>
        <v>Cannoli</v>
      </c>
      <c r="E690" s="55" t="str">
        <f>IFERROR(__xludf.DUMMYFUNCTION("""COMPUTED_VALUE"""),"Lunar")</f>
        <v>Lunar</v>
      </c>
      <c r="F690" s="56">
        <f>IFERROR(__xludf.DUMMYFUNCTION("""COMPUTED_VALUE"""),71.20883130530072)</f>
        <v>71.20883131</v>
      </c>
      <c r="G690" s="57">
        <f>IFERROR(__xludf.DUMMYFUNCTION("""COMPUTED_VALUE"""),54.0)</f>
        <v>54</v>
      </c>
      <c r="H690" s="58">
        <f>IFERROR(__xludf.DUMMYFUNCTION("iferror(if(B690="""", ,filter('IDR Import'!D:D,'IDR Import'!A:A=B690,'IDR Import'!C:C=A690)),)"),72.67354315260754)</f>
        <v>72.67354315</v>
      </c>
      <c r="I690" s="58">
        <v>71.94118722895413</v>
      </c>
      <c r="J690" s="59">
        <f t="shared" si="1"/>
        <v>54</v>
      </c>
    </row>
    <row r="691">
      <c r="A691" s="55" t="str">
        <f>IFERROR(__xludf.DUMMYFUNCTION("""COMPUTED_VALUE"""),"Veteran")</f>
        <v>Veteran</v>
      </c>
      <c r="B691" s="55" t="str">
        <f>IFERROR(__xludf.DUMMYFUNCTION("""COMPUTED_VALUE"""),"RSC005655")</f>
        <v>RSC005655</v>
      </c>
      <c r="C691" s="60" t="str">
        <f>IFERROR(__xludf.DUMMYFUNCTION("""COMPUTED_VALUE"""),"Oneplayamaker")</f>
        <v>Oneplayamaker</v>
      </c>
      <c r="D691" s="54" t="str">
        <f>IFERROR(__xludf.DUMMYFUNCTION("""COMPUTED_VALUE"""),"Gargoyle")</f>
        <v>Gargoyle</v>
      </c>
      <c r="E691" s="55" t="str">
        <f>IFERROR(__xludf.DUMMYFUNCTION("""COMPUTED_VALUE"""),"Solar")</f>
        <v>Solar</v>
      </c>
      <c r="F691" s="56">
        <f>IFERROR(__xludf.DUMMYFUNCTION("""COMPUTED_VALUE"""),70.8134275356805)</f>
        <v>70.81342754</v>
      </c>
      <c r="G691" s="57">
        <f>IFERROR(__xludf.DUMMYFUNCTION("""COMPUTED_VALUE"""),43.0)</f>
        <v>43</v>
      </c>
      <c r="H691" s="58">
        <f>IFERROR(__xludf.DUMMYFUNCTION("iferror(if(B691="""", ,filter('IDR Import'!D:D,'IDR Import'!A:A=B691,'IDR Import'!C:C=A691)),)"),72.08163306791468)</f>
        <v>72.08163307</v>
      </c>
      <c r="I691" s="58">
        <v>71.4475303017976</v>
      </c>
      <c r="J691" s="59">
        <f t="shared" si="1"/>
        <v>43</v>
      </c>
    </row>
    <row r="692">
      <c r="A692" s="55" t="str">
        <f>IFERROR(__xludf.DUMMYFUNCTION("""COMPUTED_VALUE"""),"Veteran")</f>
        <v>Veteran</v>
      </c>
      <c r="B692" s="55" t="str">
        <f>IFERROR(__xludf.DUMMYFUNCTION("""COMPUTED_VALUE"""),"RSC002906")</f>
        <v>RSC002906</v>
      </c>
      <c r="C692" s="60" t="str">
        <f>IFERROR(__xludf.DUMMYFUNCTION("""COMPUTED_VALUE"""),"PackRL")</f>
        <v>PackRL</v>
      </c>
      <c r="D692" s="54" t="str">
        <f>IFERROR(__xludf.DUMMYFUNCTION("""COMPUTED_VALUE"""),"Avalanche")</f>
        <v>Avalanche</v>
      </c>
      <c r="E692" s="55" t="str">
        <f>IFERROR(__xludf.DUMMYFUNCTION("""COMPUTED_VALUE"""),"Solar")</f>
        <v>Solar</v>
      </c>
      <c r="F692" s="56">
        <f>IFERROR(__xludf.DUMMYFUNCTION("""COMPUTED_VALUE"""),70.69922025463322)</f>
        <v>70.69922025</v>
      </c>
      <c r="G692" s="57">
        <f>IFERROR(__xludf.DUMMYFUNCTION("""COMPUTED_VALUE"""),40.0)</f>
        <v>40</v>
      </c>
      <c r="H692" s="58">
        <f>IFERROR(__xludf.DUMMYFUNCTION("iferror(if(B692="""", ,filter('IDR Import'!D:D,'IDR Import'!A:A=B692,'IDR Import'!C:C=A692)),)"),73.3775035384071)</f>
        <v>73.37750354</v>
      </c>
      <c r="I692" s="58">
        <v>72.03836189652016</v>
      </c>
      <c r="J692" s="59">
        <f t="shared" si="1"/>
        <v>40</v>
      </c>
    </row>
    <row r="693">
      <c r="A693" s="55" t="str">
        <f>IFERROR(__xludf.DUMMYFUNCTION("""COMPUTED_VALUE"""),"Veteran")</f>
        <v>Veteran</v>
      </c>
      <c r="B693" s="55" t="str">
        <f>IFERROR(__xludf.DUMMYFUNCTION("""COMPUTED_VALUE"""),"RSC008553")</f>
        <v>RSC008553</v>
      </c>
      <c r="C693" s="60" t="str">
        <f>IFERROR(__xludf.DUMMYFUNCTION("""COMPUTED_VALUE"""),"Choco")</f>
        <v>Choco</v>
      </c>
      <c r="D693" s="54" t="str">
        <f>IFERROR(__xludf.DUMMYFUNCTION("""COMPUTED_VALUE"""),"Avalanche
Nighthawks
Gouda Gangsters
Mosaic Maestros
Merciless Mob")</f>
        <v>Avalanche
Nighthawks
Gouda Gangsters
Mosaic Maestros
Merciless Mob</v>
      </c>
      <c r="E693" s="55" t="str">
        <f>IFERROR(__xludf.DUMMYFUNCTION("""COMPUTED_VALUE"""),"Solar
Lunar
Lunar
Solar
Lunar")</f>
        <v>Solar
Lunar
Lunar
Solar
Lunar</v>
      </c>
      <c r="F693" s="56">
        <f>IFERROR(__xludf.DUMMYFUNCTION("""COMPUTED_VALUE"""),69.8647134251062)</f>
        <v>69.86471343</v>
      </c>
      <c r="G693" s="57">
        <f>IFERROR(__xludf.DUMMYFUNCTION("""COMPUTED_VALUE"""),24.0)</f>
        <v>24</v>
      </c>
      <c r="H693" s="58">
        <f>IFERROR(__xludf.DUMMYFUNCTION("iferror(if(B693="""", ,filter('IDR Import'!D:D,'IDR Import'!A:A=B693,'IDR Import'!C:C=A693)),)"),67.87436401752726)</f>
        <v>67.87436402</v>
      </c>
      <c r="I693" s="58">
        <v>68.86953872131673</v>
      </c>
      <c r="J693" s="59">
        <f t="shared" si="1"/>
        <v>24</v>
      </c>
    </row>
    <row r="694">
      <c r="A694" s="55" t="str">
        <f>IFERROR(__xludf.DUMMYFUNCTION("""COMPUTED_VALUE"""),"Veteran")</f>
        <v>Veteran</v>
      </c>
      <c r="B694" s="55" t="str">
        <f>IFERROR(__xludf.DUMMYFUNCTION("""COMPUTED_VALUE"""),"RSC008422")</f>
        <v>RSC008422</v>
      </c>
      <c r="C694" s="60" t="str">
        <f>IFERROR(__xludf.DUMMYFUNCTION("""COMPUTED_VALUE"""),"carszin")</f>
        <v>carszin</v>
      </c>
      <c r="D694" s="54" t="str">
        <f>IFERROR(__xludf.DUMMYFUNCTION("""COMPUTED_VALUE"""),"Gouda Gangsters
Berserkers")</f>
        <v>Gouda Gangsters
Berserkers</v>
      </c>
      <c r="E694" s="55" t="str">
        <f>IFERROR(__xludf.DUMMYFUNCTION("""COMPUTED_VALUE"""),"Lunar
Lunar")</f>
        <v>Lunar
Lunar</v>
      </c>
      <c r="F694" s="56">
        <f>IFERROR(__xludf.DUMMYFUNCTION("""COMPUTED_VALUE"""),69.69072543223936)</f>
        <v>69.69072543</v>
      </c>
      <c r="G694" s="57">
        <f>IFERROR(__xludf.DUMMYFUNCTION("""COMPUTED_VALUE"""),24.0)</f>
        <v>24</v>
      </c>
      <c r="H694" s="58">
        <f>IFERROR(__xludf.DUMMYFUNCTION("iferror(if(B694="""", ,filter('IDR Import'!D:D,'IDR Import'!A:A=B694,'IDR Import'!C:C=A694)),)"),69.79937312122917)</f>
        <v>69.79937312</v>
      </c>
      <c r="I694" s="58">
        <v>69.74504927673426</v>
      </c>
      <c r="J694" s="59">
        <f t="shared" si="1"/>
        <v>24</v>
      </c>
    </row>
    <row r="695">
      <c r="A695" s="55" t="str">
        <f>IFERROR(__xludf.DUMMYFUNCTION("""COMPUTED_VALUE"""),"Veteran")</f>
        <v>Veteran</v>
      </c>
      <c r="B695" s="55" t="str">
        <f>IFERROR(__xludf.DUMMYFUNCTION("""COMPUTED_VALUE"""),"RSC006290")</f>
        <v>RSC006290</v>
      </c>
      <c r="C695" s="60" t="str">
        <f>IFERROR(__xludf.DUMMYFUNCTION("""COMPUTED_VALUE"""),"Dirt D Dan")</f>
        <v>Dirt D Dan</v>
      </c>
      <c r="D695" s="54" t="str">
        <f>IFERROR(__xludf.DUMMYFUNCTION("""COMPUTED_VALUE"""),"Giant Squids")</f>
        <v>Giant Squids</v>
      </c>
      <c r="E695" s="55" t="str">
        <f>IFERROR(__xludf.DUMMYFUNCTION("""COMPUTED_VALUE"""),"Lunar")</f>
        <v>Lunar</v>
      </c>
      <c r="F695" s="56">
        <f>IFERROR(__xludf.DUMMYFUNCTION("""COMPUTED_VALUE"""),69.56809931988435)</f>
        <v>69.56809932</v>
      </c>
      <c r="G695" s="57">
        <f>IFERROR(__xludf.DUMMYFUNCTION("""COMPUTED_VALUE"""),36.0)</f>
        <v>36</v>
      </c>
      <c r="H695" s="58">
        <f>IFERROR(__xludf.DUMMYFUNCTION("iferror(if(B695="""", ,filter('IDR Import'!D:D,'IDR Import'!A:A=B695,'IDR Import'!C:C=A695)),)"),74.18329574511776)</f>
        <v>74.18329575</v>
      </c>
      <c r="I695" s="58">
        <v>71.87569753250105</v>
      </c>
      <c r="J695" s="59">
        <f t="shared" si="1"/>
        <v>36</v>
      </c>
    </row>
    <row r="696">
      <c r="A696" s="55" t="str">
        <f>IFERROR(__xludf.DUMMYFUNCTION("""COMPUTED_VALUE"""),"Veteran")</f>
        <v>Veteran</v>
      </c>
      <c r="B696" s="55" t="str">
        <f>IFERROR(__xludf.DUMMYFUNCTION("""COMPUTED_VALUE"""),"RSC006140")</f>
        <v>RSC006140</v>
      </c>
      <c r="C696" s="60" t="str">
        <f>IFERROR(__xludf.DUMMYFUNCTION("""COMPUTED_VALUE"""),"Jay_Kay99")</f>
        <v>Jay_Kay99</v>
      </c>
      <c r="D696" s="54" t="str">
        <f>IFERROR(__xludf.DUMMYFUNCTION("""COMPUTED_VALUE"""),"Blacksmiths")</f>
        <v>Blacksmiths</v>
      </c>
      <c r="E696" s="55" t="str">
        <f>IFERROR(__xludf.DUMMYFUNCTION("""COMPUTED_VALUE"""),"Lunar")</f>
        <v>Lunar</v>
      </c>
      <c r="F696" s="56">
        <f>IFERROR(__xludf.DUMMYFUNCTION("""COMPUTED_VALUE"""),69.55257101494423)</f>
        <v>69.55257101</v>
      </c>
      <c r="G696" s="57">
        <f>IFERROR(__xludf.DUMMYFUNCTION("""COMPUTED_VALUE"""),54.0)</f>
        <v>54</v>
      </c>
      <c r="H696" s="58">
        <f>IFERROR(__xludf.DUMMYFUNCTION("iferror(if(B696="""", ,filter('IDR Import'!D:D,'IDR Import'!A:A=B696,'IDR Import'!C:C=A696)),)"),69.42977241732619)</f>
        <v>69.42977242</v>
      </c>
      <c r="I696" s="58">
        <v>69.49117171613521</v>
      </c>
      <c r="J696" s="59">
        <f t="shared" si="1"/>
        <v>54</v>
      </c>
    </row>
    <row r="697">
      <c r="A697" s="55" t="str">
        <f>IFERROR(__xludf.DUMMYFUNCTION("""COMPUTED_VALUE"""),"Veteran")</f>
        <v>Veteran</v>
      </c>
      <c r="B697" s="55" t="str">
        <f>IFERROR(__xludf.DUMMYFUNCTION("""COMPUTED_VALUE"""),"RSC002330")</f>
        <v>RSC002330</v>
      </c>
      <c r="C697" s="60" t="str">
        <f>IFERROR(__xludf.DUMMYFUNCTION("""COMPUTED_VALUE"""),"JesterGG")</f>
        <v>JesterGG</v>
      </c>
      <c r="D697" s="54" t="str">
        <f>IFERROR(__xludf.DUMMYFUNCTION("""COMPUTED_VALUE"""),"Grizzly Bears")</f>
        <v>Grizzly Bears</v>
      </c>
      <c r="E697" s="55" t="str">
        <f>IFERROR(__xludf.DUMMYFUNCTION("""COMPUTED_VALUE"""),"Solar")</f>
        <v>Solar</v>
      </c>
      <c r="F697" s="56">
        <f>IFERROR(__xludf.DUMMYFUNCTION("""COMPUTED_VALUE"""),69.34900672075209)</f>
        <v>69.34900672</v>
      </c>
      <c r="G697" s="57">
        <f>IFERROR(__xludf.DUMMYFUNCTION("""COMPUTED_VALUE"""),35.0)</f>
        <v>35</v>
      </c>
      <c r="H697" s="58">
        <f>IFERROR(__xludf.DUMMYFUNCTION("iferror(if(B697="""", ,filter('IDR Import'!D:D,'IDR Import'!A:A=B697,'IDR Import'!C:C=A697)),)"),61.550357022029786)</f>
        <v>61.55035702</v>
      </c>
      <c r="I697" s="58">
        <v>65.44968187139094</v>
      </c>
      <c r="J697" s="59">
        <f t="shared" si="1"/>
        <v>35</v>
      </c>
    </row>
    <row r="698">
      <c r="A698" s="55" t="str">
        <f>IFERROR(__xludf.DUMMYFUNCTION("""COMPUTED_VALUE"""),"Veteran")</f>
        <v>Veteran</v>
      </c>
      <c r="B698" s="55" t="str">
        <f>IFERROR(__xludf.DUMMYFUNCTION("""COMPUTED_VALUE"""),"RSC000320")</f>
        <v>RSC000320</v>
      </c>
      <c r="C698" s="60" t="str">
        <f>IFERROR(__xludf.DUMMYFUNCTION("""COMPUTED_VALUE"""),"ryanawesome_")</f>
        <v>ryanawesome_</v>
      </c>
      <c r="D698" s="54" t="str">
        <f>IFERROR(__xludf.DUMMYFUNCTION("""COMPUTED_VALUE"""),"Nighthawks")</f>
        <v>Nighthawks</v>
      </c>
      <c r="E698" s="55" t="str">
        <f>IFERROR(__xludf.DUMMYFUNCTION("""COMPUTED_VALUE"""),"Lunar")</f>
        <v>Lunar</v>
      </c>
      <c r="F698" s="56">
        <f>IFERROR(__xludf.DUMMYFUNCTION("""COMPUTED_VALUE"""),69.19672499010824)</f>
        <v>69.19672499</v>
      </c>
      <c r="G698" s="57">
        <f>IFERROR(__xludf.DUMMYFUNCTION("""COMPUTED_VALUE"""),52.0)</f>
        <v>52</v>
      </c>
      <c r="H698" s="58">
        <f>IFERROR(__xludf.DUMMYFUNCTION("iferror(if(B698="""", ,filter('IDR Import'!D:D,'IDR Import'!A:A=B698,'IDR Import'!C:C=A698)),)"),70.35210604923728)</f>
        <v>70.35210605</v>
      </c>
      <c r="I698" s="58">
        <v>69.77441551967276</v>
      </c>
      <c r="J698" s="59">
        <f t="shared" si="1"/>
        <v>52</v>
      </c>
    </row>
    <row r="699">
      <c r="A699" s="55" t="str">
        <f>IFERROR(__xludf.DUMMYFUNCTION("""COMPUTED_VALUE"""),"Veteran")</f>
        <v>Veteran</v>
      </c>
      <c r="B699" s="55" t="str">
        <f>IFERROR(__xludf.DUMMYFUNCTION("""COMPUTED_VALUE"""),"RSC002780")</f>
        <v>RSC002780</v>
      </c>
      <c r="C699" s="60" t="str">
        <f>IFERROR(__xludf.DUMMYFUNCTION("""COMPUTED_VALUE"""),"Lickadoss77")</f>
        <v>Lickadoss77</v>
      </c>
      <c r="D699" s="54" t="str">
        <f>IFERROR(__xludf.DUMMYFUNCTION("""COMPUTED_VALUE"""),"Water")</f>
        <v>Water</v>
      </c>
      <c r="E699" s="55" t="str">
        <f>IFERROR(__xludf.DUMMYFUNCTION("""COMPUTED_VALUE"""),"Solar")</f>
        <v>Solar</v>
      </c>
      <c r="F699" s="56">
        <f>IFERROR(__xludf.DUMMYFUNCTION("""COMPUTED_VALUE"""),69.01603423545747)</f>
        <v>69.01603424</v>
      </c>
      <c r="G699" s="57">
        <f>IFERROR(__xludf.DUMMYFUNCTION("""COMPUTED_VALUE"""),56.0)</f>
        <v>56</v>
      </c>
      <c r="H699" s="58">
        <f>IFERROR(__xludf.DUMMYFUNCTION("iferror(if(B699="""", ,filter('IDR Import'!D:D,'IDR Import'!A:A=B699,'IDR Import'!C:C=A699)),)"),78.97685082069387)</f>
        <v>78.97685082</v>
      </c>
      <c r="I699" s="58">
        <v>73.99644252807568</v>
      </c>
      <c r="J699" s="59">
        <f t="shared" si="1"/>
        <v>56</v>
      </c>
    </row>
    <row r="700">
      <c r="A700" s="55" t="str">
        <f>IFERROR(__xludf.DUMMYFUNCTION("""COMPUTED_VALUE"""),"Veteran")</f>
        <v>Veteran</v>
      </c>
      <c r="B700" s="55" t="str">
        <f>IFERROR(__xludf.DUMMYFUNCTION("""COMPUTED_VALUE"""),"RSC008433")</f>
        <v>RSC008433</v>
      </c>
      <c r="C700" s="60" t="str">
        <f>IFERROR(__xludf.DUMMYFUNCTION("""COMPUTED_VALUE"""),"Headshotn")</f>
        <v>Headshotn</v>
      </c>
      <c r="D700" s="54" t="str">
        <f>IFERROR(__xludf.DUMMYFUNCTION("""COMPUTED_VALUE"""),"Shadow Tails
Dread")</f>
        <v>Shadow Tails
Dread</v>
      </c>
      <c r="E700" s="55" t="str">
        <f>IFERROR(__xludf.DUMMYFUNCTION("""COMPUTED_VALUE"""),"Solar
Lunar")</f>
        <v>Solar
Lunar</v>
      </c>
      <c r="F700" s="56">
        <f>IFERROR(__xludf.DUMMYFUNCTION("""COMPUTED_VALUE"""),68.76110859597112)</f>
        <v>68.7611086</v>
      </c>
      <c r="G700" s="57">
        <f>IFERROR(__xludf.DUMMYFUNCTION("""COMPUTED_VALUE"""),40.0)</f>
        <v>40</v>
      </c>
      <c r="H700" s="58">
        <f>IFERROR(__xludf.DUMMYFUNCTION("iferror(if(B700="""", ,filter('IDR Import'!D:D,'IDR Import'!A:A=B700,'IDR Import'!C:C=A700)),)"),73.15219880161649)</f>
        <v>73.1521988</v>
      </c>
      <c r="I700" s="58">
        <v>70.95665369879382</v>
      </c>
      <c r="J700" s="59">
        <f t="shared" si="1"/>
        <v>40</v>
      </c>
    </row>
    <row r="701">
      <c r="A701" s="55" t="str">
        <f>IFERROR(__xludf.DUMMYFUNCTION("""COMPUTED_VALUE"""),"Veteran")</f>
        <v>Veteran</v>
      </c>
      <c r="B701" s="55" t="str">
        <f>IFERROR(__xludf.DUMMYFUNCTION("""COMPUTED_VALUE"""),"RSC008432")</f>
        <v>RSC008432</v>
      </c>
      <c r="C701" s="60" t="str">
        <f>IFERROR(__xludf.DUMMYFUNCTION("""COMPUTED_VALUE"""),"Doinkers.")</f>
        <v>Doinkers.</v>
      </c>
      <c r="D701" s="54" t="str">
        <f>IFERROR(__xludf.DUMMYFUNCTION("""COMPUTED_VALUE"""),"Giraffes")</f>
        <v>Giraffes</v>
      </c>
      <c r="E701" s="55" t="str">
        <f>IFERROR(__xludf.DUMMYFUNCTION("""COMPUTED_VALUE"""),"Lunar")</f>
        <v>Lunar</v>
      </c>
      <c r="F701" s="56">
        <f>IFERROR(__xludf.DUMMYFUNCTION("""COMPUTED_VALUE"""),68.36573876810562)</f>
        <v>68.36573877</v>
      </c>
      <c r="G701" s="57">
        <f>IFERROR(__xludf.DUMMYFUNCTION("""COMPUTED_VALUE"""),33.0)</f>
        <v>33</v>
      </c>
      <c r="H701" s="58">
        <f>IFERROR(__xludf.DUMMYFUNCTION("iferror(if(B701="""", ,filter('IDR Import'!D:D,'IDR Import'!A:A=B701,'IDR Import'!C:C=A701)),)"),73.138846968651)</f>
        <v>73.13884697</v>
      </c>
      <c r="I701" s="58">
        <v>70.7522928683783</v>
      </c>
      <c r="J701" s="59">
        <f t="shared" si="1"/>
        <v>33</v>
      </c>
    </row>
    <row r="702">
      <c r="A702" s="55" t="str">
        <f>IFERROR(__xludf.DUMMYFUNCTION("""COMPUTED_VALUE"""),"Veteran")</f>
        <v>Veteran</v>
      </c>
      <c r="B702" s="55" t="str">
        <f>IFERROR(__xludf.DUMMYFUNCTION("""COMPUTED_VALUE"""),"RSC005577")</f>
        <v>RSC005577</v>
      </c>
      <c r="C702" s="60" t="str">
        <f>IFERROR(__xludf.DUMMYFUNCTION("""COMPUTED_VALUE"""),"Ryan.")</f>
        <v>Ryan.</v>
      </c>
      <c r="D702" s="54" t="str">
        <f>IFERROR(__xludf.DUMMYFUNCTION("""COMPUTED_VALUE"""),"Navigators
Lycans")</f>
        <v>Navigators
Lycans</v>
      </c>
      <c r="E702" s="55" t="str">
        <f>IFERROR(__xludf.DUMMYFUNCTION("""COMPUTED_VALUE"""),"Solar
Solar")</f>
        <v>Solar
Solar</v>
      </c>
      <c r="F702" s="56">
        <f>IFERROR(__xludf.DUMMYFUNCTION("""COMPUTED_VALUE"""),68.14358216627168)</f>
        <v>68.14358217</v>
      </c>
      <c r="G702" s="57">
        <f>IFERROR(__xludf.DUMMYFUNCTION("""COMPUTED_VALUE"""),37.0)</f>
        <v>37</v>
      </c>
      <c r="H702" s="58">
        <f>IFERROR(__xludf.DUMMYFUNCTION("iferror(if(B702="""", ,filter('IDR Import'!D:D,'IDR Import'!A:A=B702,'IDR Import'!C:C=A702)),)"),63.7702876982092)</f>
        <v>63.7702877</v>
      </c>
      <c r="I702" s="58">
        <v>65.95693493224044</v>
      </c>
      <c r="J702" s="59">
        <f t="shared" si="1"/>
        <v>37</v>
      </c>
    </row>
    <row r="703">
      <c r="A703" s="55" t="str">
        <f>IFERROR(__xludf.DUMMYFUNCTION("""COMPUTED_VALUE"""),"Veteran")</f>
        <v>Veteran</v>
      </c>
      <c r="B703" s="55" t="str">
        <f>IFERROR(__xludf.DUMMYFUNCTION("""COMPUTED_VALUE"""),"RSC008535")</f>
        <v>RSC008535</v>
      </c>
      <c r="C703" s="60" t="str">
        <f>IFERROR(__xludf.DUMMYFUNCTION("""COMPUTED_VALUE"""),"recon21savege")</f>
        <v>recon21savege</v>
      </c>
      <c r="D703" s="54" t="str">
        <f>IFERROR(__xludf.DUMMYFUNCTION("""COMPUTED_VALUE"""),"Gouda Gangsters")</f>
        <v>Gouda Gangsters</v>
      </c>
      <c r="E703" s="55" t="str">
        <f>IFERROR(__xludf.DUMMYFUNCTION("""COMPUTED_VALUE"""),"Lunar")</f>
        <v>Lunar</v>
      </c>
      <c r="F703" s="56">
        <f>IFERROR(__xludf.DUMMYFUNCTION("""COMPUTED_VALUE"""),67.80409633246046)</f>
        <v>67.80409633</v>
      </c>
      <c r="G703" s="57">
        <f>IFERROR(__xludf.DUMMYFUNCTION("""COMPUTED_VALUE"""),16.0)</f>
        <v>16</v>
      </c>
      <c r="H703" s="58">
        <f>IFERROR(__xludf.DUMMYFUNCTION("iferror(if(B703="""", ,filter('IDR Import'!D:D,'IDR Import'!A:A=B703,'IDR Import'!C:C=A703)),)"),49.85094001571408)</f>
        <v>49.85094002</v>
      </c>
      <c r="I703" s="58">
        <v>58.827518174087274</v>
      </c>
      <c r="J703" s="59">
        <f t="shared" si="1"/>
        <v>16</v>
      </c>
    </row>
    <row r="704">
      <c r="A704" s="55" t="str">
        <f>IFERROR(__xludf.DUMMYFUNCTION("""COMPUTED_VALUE"""),"Veteran")</f>
        <v>Veteran</v>
      </c>
      <c r="B704" s="55" t="str">
        <f>IFERROR(__xludf.DUMMYFUNCTION("""COMPUTED_VALUE"""),"RSC003113")</f>
        <v>RSC003113</v>
      </c>
      <c r="C704" s="60" t="str">
        <f>IFERROR(__xludf.DUMMYFUNCTION("""COMPUTED_VALUE"""),"Nebulade")</f>
        <v>Nebulade</v>
      </c>
      <c r="D704" s="54" t="str">
        <f>IFERROR(__xludf.DUMMYFUNCTION("""COMPUTED_VALUE"""),"Berserkers")</f>
        <v>Berserkers</v>
      </c>
      <c r="E704" s="55" t="str">
        <f>IFERROR(__xludf.DUMMYFUNCTION("""COMPUTED_VALUE"""),"Lunar")</f>
        <v>Lunar</v>
      </c>
      <c r="F704" s="56">
        <f>IFERROR(__xludf.DUMMYFUNCTION("""COMPUTED_VALUE"""),67.55734496956748)</f>
        <v>67.55734497</v>
      </c>
      <c r="G704" s="57">
        <f>IFERROR(__xludf.DUMMYFUNCTION("""COMPUTED_VALUE"""),56.0)</f>
        <v>56</v>
      </c>
      <c r="H704" s="58">
        <f>IFERROR(__xludf.DUMMYFUNCTION("iferror(if(B704="""", ,filter('IDR Import'!D:D,'IDR Import'!A:A=B704,'IDR Import'!C:C=A704)),)"),85.459824767139)</f>
        <v>85.45982477</v>
      </c>
      <c r="I704" s="58">
        <v>76.50858486835324</v>
      </c>
      <c r="J704" s="59">
        <f t="shared" si="1"/>
        <v>56</v>
      </c>
    </row>
    <row r="705">
      <c r="A705" s="55" t="str">
        <f>IFERROR(__xludf.DUMMYFUNCTION("""COMPUTED_VALUE"""),"Veteran")</f>
        <v>Veteran</v>
      </c>
      <c r="B705" s="55" t="str">
        <f>IFERROR(__xludf.DUMMYFUNCTION("""COMPUTED_VALUE"""),"RSC002937")</f>
        <v>RSC002937</v>
      </c>
      <c r="C705" s="60" t="str">
        <f>IFERROR(__xludf.DUMMYFUNCTION("""COMPUTED_VALUE"""),"SirTommyNoble")</f>
        <v>SirTommyNoble</v>
      </c>
      <c r="D705" s="54" t="str">
        <f>IFERROR(__xludf.DUMMYFUNCTION("""COMPUTED_VALUE"""),"Peppermint
Shadow Tails")</f>
        <v>Peppermint
Shadow Tails</v>
      </c>
      <c r="E705" s="55" t="str">
        <f>IFERROR(__xludf.DUMMYFUNCTION("""COMPUTED_VALUE"""),"Solar
Solar")</f>
        <v>Solar
Solar</v>
      </c>
      <c r="F705" s="56">
        <f>IFERROR(__xludf.DUMMYFUNCTION("""COMPUTED_VALUE"""),67.5060975779264)</f>
        <v>67.50609758</v>
      </c>
      <c r="G705" s="57">
        <f>IFERROR(__xludf.DUMMYFUNCTION("""COMPUTED_VALUE"""),50.0)</f>
        <v>50</v>
      </c>
      <c r="H705" s="58">
        <f>IFERROR(__xludf.DUMMYFUNCTION("iferror(if(B705="""", ,filter('IDR Import'!D:D,'IDR Import'!A:A=B705,'IDR Import'!C:C=A705)),)"),52.91011077356956)</f>
        <v>52.91011077</v>
      </c>
      <c r="I705" s="58">
        <v>60.20810417574798</v>
      </c>
      <c r="J705" s="59">
        <f t="shared" si="1"/>
        <v>50</v>
      </c>
    </row>
    <row r="706">
      <c r="A706" s="55" t="str">
        <f>IFERROR(__xludf.DUMMYFUNCTION("""COMPUTED_VALUE"""),"Veteran")</f>
        <v>Veteran</v>
      </c>
      <c r="B706" s="55" t="str">
        <f>IFERROR(__xludf.DUMMYFUNCTION("""COMPUTED_VALUE"""),"RSC002209")</f>
        <v>RSC002209</v>
      </c>
      <c r="C706" s="60" t="str">
        <f>IFERROR(__xludf.DUMMYFUNCTION("""COMPUTED_VALUE"""),"Panick")</f>
        <v>Panick</v>
      </c>
      <c r="D706" s="54" t="str">
        <f>IFERROR(__xludf.DUMMYFUNCTION("""COMPUTED_VALUE"""),"Makos")</f>
        <v>Makos</v>
      </c>
      <c r="E706" s="55" t="str">
        <f>IFERROR(__xludf.DUMMYFUNCTION("""COMPUTED_VALUE"""),"Solar")</f>
        <v>Solar</v>
      </c>
      <c r="F706" s="56">
        <f>IFERROR(__xludf.DUMMYFUNCTION("""COMPUTED_VALUE"""),66.7948759068369)</f>
        <v>66.79487591</v>
      </c>
      <c r="G706" s="57">
        <f>IFERROR(__xludf.DUMMYFUNCTION("""COMPUTED_VALUE"""),52.0)</f>
        <v>52</v>
      </c>
      <c r="H706" s="58">
        <f>IFERROR(__xludf.DUMMYFUNCTION("iferror(if(B706="""", ,filter('IDR Import'!D:D,'IDR Import'!A:A=B706,'IDR Import'!C:C=A706)),)"),72.96548488759707)</f>
        <v>72.96548489</v>
      </c>
      <c r="I706" s="58">
        <v>69.88018039721698</v>
      </c>
      <c r="J706" s="59">
        <f t="shared" si="1"/>
        <v>52</v>
      </c>
    </row>
    <row r="707">
      <c r="A707" s="55" t="str">
        <f>IFERROR(__xludf.DUMMYFUNCTION("""COMPUTED_VALUE"""),"Veteran")</f>
        <v>Veteran</v>
      </c>
      <c r="B707" s="55" t="str">
        <f>IFERROR(__xludf.DUMMYFUNCTION("""COMPUTED_VALUE"""),"RSC005934")</f>
        <v>RSC005934</v>
      </c>
      <c r="C707" s="60" t="str">
        <f>IFERROR(__xludf.DUMMYFUNCTION("""COMPUTED_VALUE"""),"TheodoreThe2")</f>
        <v>TheodoreThe2</v>
      </c>
      <c r="D707" s="54" t="str">
        <f>IFERROR(__xludf.DUMMYFUNCTION("""COMPUTED_VALUE"""),"Shadow Tails
White Collars")</f>
        <v>Shadow Tails
White Collars</v>
      </c>
      <c r="E707" s="55" t="str">
        <f>IFERROR(__xludf.DUMMYFUNCTION("""COMPUTED_VALUE"""),"Solar
Lunar")</f>
        <v>Solar
Lunar</v>
      </c>
      <c r="F707" s="56">
        <f>IFERROR(__xludf.DUMMYFUNCTION("""COMPUTED_VALUE"""),66.45068241798755)</f>
        <v>66.45068242</v>
      </c>
      <c r="G707" s="57">
        <f>IFERROR(__xludf.DUMMYFUNCTION("""COMPUTED_VALUE"""),15.0)</f>
        <v>15</v>
      </c>
      <c r="H707" s="58">
        <f>IFERROR(__xludf.DUMMYFUNCTION("iferror(if(B707="""", ,filter('IDR Import'!D:D,'IDR Import'!A:A=B707,'IDR Import'!C:C=A707)),)"),61.117772619233506)</f>
        <v>61.11777262</v>
      </c>
      <c r="I707" s="58">
        <v>63.78422751861053</v>
      </c>
      <c r="J707" s="59">
        <f t="shared" si="1"/>
        <v>15</v>
      </c>
    </row>
    <row r="708">
      <c r="A708" s="55" t="str">
        <f>IFERROR(__xludf.DUMMYFUNCTION("""COMPUTED_VALUE"""),"Veteran")</f>
        <v>Veteran</v>
      </c>
      <c r="B708" s="55" t="str">
        <f>IFERROR(__xludf.DUMMYFUNCTION("""COMPUTED_VALUE"""),"RSC003238")</f>
        <v>RSC003238</v>
      </c>
      <c r="C708" s="60" t="str">
        <f>IFERROR(__xludf.DUMMYFUNCTION("""COMPUTED_VALUE"""),"Kanye_West_ 2028")</f>
        <v>Kanye_West_ 2028</v>
      </c>
      <c r="D708" s="54" t="str">
        <f>IFERROR(__xludf.DUMMYFUNCTION("""COMPUTED_VALUE"""),"Supernova")</f>
        <v>Supernova</v>
      </c>
      <c r="E708" s="55" t="str">
        <f>IFERROR(__xludf.DUMMYFUNCTION("""COMPUTED_VALUE"""),"Lunar")</f>
        <v>Lunar</v>
      </c>
      <c r="F708" s="56">
        <f>IFERROR(__xludf.DUMMYFUNCTION("""COMPUTED_VALUE"""),65.45399849499026)</f>
        <v>65.45399849</v>
      </c>
      <c r="G708" s="57">
        <f>IFERROR(__xludf.DUMMYFUNCTION("""COMPUTED_VALUE"""),55.0)</f>
        <v>55</v>
      </c>
      <c r="H708" s="58">
        <f>IFERROR(__xludf.DUMMYFUNCTION("iferror(if(B708="""", ,filter('IDR Import'!D:D,'IDR Import'!A:A=B708,'IDR Import'!C:C=A708)),)"),74.337623080262)</f>
        <v>74.33762308</v>
      </c>
      <c r="I708" s="58">
        <v>69.89581078762613</v>
      </c>
      <c r="J708" s="59">
        <f t="shared" si="1"/>
        <v>55</v>
      </c>
    </row>
    <row r="709">
      <c r="A709" s="55" t="str">
        <f>IFERROR(__xludf.DUMMYFUNCTION("""COMPUTED_VALUE"""),"Veteran")</f>
        <v>Veteran</v>
      </c>
      <c r="B709" s="55" t="str">
        <f>IFERROR(__xludf.DUMMYFUNCTION("""COMPUTED_VALUE"""),"RSC008455")</f>
        <v>RSC008455</v>
      </c>
      <c r="C709" s="60" t="str">
        <f>IFERROR(__xludf.DUMMYFUNCTION("""COMPUTED_VALUE"""),"Craque")</f>
        <v>Craque</v>
      </c>
      <c r="D709" s="54" t="str">
        <f>IFERROR(__xludf.DUMMYFUNCTION("""COMPUTED_VALUE"""),"Grizzly Bears")</f>
        <v>Grizzly Bears</v>
      </c>
      <c r="E709" s="55" t="str">
        <f>IFERROR(__xludf.DUMMYFUNCTION("""COMPUTED_VALUE"""),"Solar")</f>
        <v>Solar</v>
      </c>
      <c r="F709" s="56">
        <f>IFERROR(__xludf.DUMMYFUNCTION("""COMPUTED_VALUE"""),65.11220067689196)</f>
        <v>65.11220068</v>
      </c>
      <c r="G709" s="57">
        <f>IFERROR(__xludf.DUMMYFUNCTION("""COMPUTED_VALUE"""),52.0)</f>
        <v>52</v>
      </c>
      <c r="H709" s="58">
        <f>IFERROR(__xludf.DUMMYFUNCTION("iferror(if(B709="""", ,filter('IDR Import'!D:D,'IDR Import'!A:A=B709,'IDR Import'!C:C=A709)),)"),46.26428017589022)</f>
        <v>46.26428018</v>
      </c>
      <c r="I709" s="58">
        <v>55.68824042639109</v>
      </c>
      <c r="J709" s="59">
        <f t="shared" si="1"/>
        <v>52</v>
      </c>
    </row>
    <row r="710">
      <c r="A710" s="55" t="str">
        <f>IFERROR(__xludf.DUMMYFUNCTION("""COMPUTED_VALUE"""),"Veteran")</f>
        <v>Veteran</v>
      </c>
      <c r="B710" s="55" t="str">
        <f>IFERROR(__xludf.DUMMYFUNCTION("""COMPUTED_VALUE"""),"RSC006320")</f>
        <v>RSC006320</v>
      </c>
      <c r="C710" s="60" t="str">
        <f>IFERROR(__xludf.DUMMYFUNCTION("""COMPUTED_VALUE"""),"Escape_Plan1")</f>
        <v>Escape_Plan1</v>
      </c>
      <c r="D710" s="54" t="str">
        <f>IFERROR(__xludf.DUMMYFUNCTION("""COMPUTED_VALUE"""),"Kirin")</f>
        <v>Kirin</v>
      </c>
      <c r="E710" s="55" t="str">
        <f>IFERROR(__xludf.DUMMYFUNCTION("""COMPUTED_VALUE"""),"Solar")</f>
        <v>Solar</v>
      </c>
      <c r="F710" s="56">
        <f>IFERROR(__xludf.DUMMYFUNCTION("""COMPUTED_VALUE"""),63.99471495990902)</f>
        <v>63.99471496</v>
      </c>
      <c r="G710" s="57">
        <f>IFERROR(__xludf.DUMMYFUNCTION("""COMPUTED_VALUE"""),46.0)</f>
        <v>46</v>
      </c>
      <c r="H710" s="58">
        <f>IFERROR(__xludf.DUMMYFUNCTION("iferror(if(B710="""", ,filter('IDR Import'!D:D,'IDR Import'!A:A=B710,'IDR Import'!C:C=A710)),)"),60.14207752288179)</f>
        <v>60.14207752</v>
      </c>
      <c r="I710" s="58">
        <v>62.068396241395405</v>
      </c>
      <c r="J710" s="59">
        <f t="shared" si="1"/>
        <v>46</v>
      </c>
    </row>
    <row r="711">
      <c r="A711" s="55" t="str">
        <f>IFERROR(__xludf.DUMMYFUNCTION("""COMPUTED_VALUE"""),"Veteran")</f>
        <v>Veteran</v>
      </c>
      <c r="B711" s="55" t="str">
        <f>IFERROR(__xludf.DUMMYFUNCTION("""COMPUTED_VALUE"""),"RSC008376")</f>
        <v>RSC008376</v>
      </c>
      <c r="C711" s="60" t="str">
        <f>IFERROR(__xludf.DUMMYFUNCTION("""COMPUTED_VALUE"""),"Storytime")</f>
        <v>Storytime</v>
      </c>
      <c r="D711" s="54" t="str">
        <f>IFERROR(__xludf.DUMMYFUNCTION("""COMPUTED_VALUE"""),"Berserkers")</f>
        <v>Berserkers</v>
      </c>
      <c r="E711" s="55" t="str">
        <f>IFERROR(__xludf.DUMMYFUNCTION("""COMPUTED_VALUE"""),"Lunar")</f>
        <v>Lunar</v>
      </c>
      <c r="F711" s="56">
        <f>IFERROR(__xludf.DUMMYFUNCTION("""COMPUTED_VALUE"""),63.49547391233498)</f>
        <v>63.49547391</v>
      </c>
      <c r="G711" s="57">
        <f>IFERROR(__xludf.DUMMYFUNCTION("""COMPUTED_VALUE"""),56.0)</f>
        <v>56</v>
      </c>
      <c r="H711" s="58">
        <f>IFERROR(__xludf.DUMMYFUNCTION("iferror(if(B711="""", ,filter('IDR Import'!D:D,'IDR Import'!A:A=B711,'IDR Import'!C:C=A711)),)"),73.3613185345804)</f>
        <v>73.36131853</v>
      </c>
      <c r="I711" s="58">
        <v>68.4283962234577</v>
      </c>
      <c r="J711" s="59">
        <f t="shared" si="1"/>
        <v>56</v>
      </c>
    </row>
    <row r="712">
      <c r="A712" s="55" t="str">
        <f>IFERROR(__xludf.DUMMYFUNCTION("""COMPUTED_VALUE"""),"Veteran")</f>
        <v>Veteran</v>
      </c>
      <c r="B712" s="55" t="str">
        <f>IFERROR(__xludf.DUMMYFUNCTION("""COMPUTED_VALUE"""),"RSC007582")</f>
        <v>RSC007582</v>
      </c>
      <c r="C712" s="60" t="str">
        <f>IFERROR(__xludf.DUMMYFUNCTION("""COMPUTED_VALUE"""),"Wavy")</f>
        <v>Wavy</v>
      </c>
      <c r="D712" s="54" t="str">
        <f>IFERROR(__xludf.DUMMYFUNCTION("""COMPUTED_VALUE"""),"Lycans")</f>
        <v>Lycans</v>
      </c>
      <c r="E712" s="55" t="str">
        <f>IFERROR(__xludf.DUMMYFUNCTION("""COMPUTED_VALUE"""),"Solar")</f>
        <v>Solar</v>
      </c>
      <c r="F712" s="56">
        <f>IFERROR(__xludf.DUMMYFUNCTION("""COMPUTED_VALUE"""),62.79104553007627)</f>
        <v>62.79104553</v>
      </c>
      <c r="G712" s="57">
        <f>IFERROR(__xludf.DUMMYFUNCTION("""COMPUTED_VALUE"""),49.0)</f>
        <v>49</v>
      </c>
      <c r="H712" s="58">
        <f>IFERROR(__xludf.DUMMYFUNCTION("iferror(if(B712="""", ,filter('IDR Import'!D:D,'IDR Import'!A:A=B712,'IDR Import'!C:C=A712)),)"),70.64478614652046)</f>
        <v>70.64478615</v>
      </c>
      <c r="I712" s="58">
        <v>66.71791583829837</v>
      </c>
      <c r="J712" s="59">
        <f t="shared" si="1"/>
        <v>49</v>
      </c>
    </row>
    <row r="713">
      <c r="A713" s="55" t="str">
        <f>IFERROR(__xludf.DUMMYFUNCTION("""COMPUTED_VALUE"""),"Veteran")</f>
        <v>Veteran</v>
      </c>
      <c r="B713" s="55" t="str">
        <f>IFERROR(__xludf.DUMMYFUNCTION("""COMPUTED_VALUE"""),"RSC007512")</f>
        <v>RSC007512</v>
      </c>
      <c r="C713" s="60" t="str">
        <f>IFERROR(__xludf.DUMMYFUNCTION("""COMPUTED_VALUE"""),"BigGreenRL")</f>
        <v>BigGreenRL</v>
      </c>
      <c r="D713" s="54" t="str">
        <f>IFERROR(__xludf.DUMMYFUNCTION("""COMPUTED_VALUE"""),"Mosaic Maestros")</f>
        <v>Mosaic Maestros</v>
      </c>
      <c r="E713" s="55" t="str">
        <f>IFERROR(__xludf.DUMMYFUNCTION("""COMPUTED_VALUE"""),"Solar")</f>
        <v>Solar</v>
      </c>
      <c r="F713" s="56">
        <f>IFERROR(__xludf.DUMMYFUNCTION("""COMPUTED_VALUE"""),62.49288159869446)</f>
        <v>62.4928816</v>
      </c>
      <c r="G713" s="57">
        <f>IFERROR(__xludf.DUMMYFUNCTION("""COMPUTED_VALUE"""),44.0)</f>
        <v>44</v>
      </c>
      <c r="H713" s="58">
        <f>IFERROR(__xludf.DUMMYFUNCTION("iferror(if(B713="""", ,filter('IDR Import'!D:D,'IDR Import'!A:A=B713,'IDR Import'!C:C=A713)),)"),50.64946997754172)</f>
        <v>50.64946998</v>
      </c>
      <c r="I713" s="58">
        <v>56.57117578811809</v>
      </c>
      <c r="J713" s="59">
        <f t="shared" si="1"/>
        <v>44</v>
      </c>
    </row>
    <row r="714">
      <c r="A714" s="55" t="str">
        <f>IFERROR(__xludf.DUMMYFUNCTION("""COMPUTED_VALUE"""),"Veteran")</f>
        <v>Veteran</v>
      </c>
      <c r="B714" s="55" t="str">
        <f>IFERROR(__xludf.DUMMYFUNCTION("""COMPUTED_VALUE"""),"RSC008170")</f>
        <v>RSC008170</v>
      </c>
      <c r="C714" s="60" t="str">
        <f>IFERROR(__xludf.DUMMYFUNCTION("""COMPUTED_VALUE"""),"Hypernova")</f>
        <v>Hypernova</v>
      </c>
      <c r="D714" s="54" t="str">
        <f>IFERROR(__xludf.DUMMYFUNCTION("""COMPUTED_VALUE"""),"Nighthawks")</f>
        <v>Nighthawks</v>
      </c>
      <c r="E714" s="55" t="str">
        <f>IFERROR(__xludf.DUMMYFUNCTION("""COMPUTED_VALUE"""),"Lunar")</f>
        <v>Lunar</v>
      </c>
      <c r="F714" s="56">
        <f>IFERROR(__xludf.DUMMYFUNCTION("""COMPUTED_VALUE"""),61.840695386672905)</f>
        <v>61.84069539</v>
      </c>
      <c r="G714" s="57">
        <f>IFERROR(__xludf.DUMMYFUNCTION("""COMPUTED_VALUE"""),41.0)</f>
        <v>41</v>
      </c>
      <c r="H714" s="58">
        <f>IFERROR(__xludf.DUMMYFUNCTION("iferror(if(B714="""", ,filter('IDR Import'!D:D,'IDR Import'!A:A=B714,'IDR Import'!C:C=A714)),)"),70.20055478244751)</f>
        <v>70.20055478</v>
      </c>
      <c r="I714" s="58">
        <v>66.02062508456021</v>
      </c>
      <c r="J714" s="59">
        <f t="shared" si="1"/>
        <v>41</v>
      </c>
    </row>
    <row r="715">
      <c r="A715" s="55" t="str">
        <f>IFERROR(__xludf.DUMMYFUNCTION("""COMPUTED_VALUE"""),"Veteran")</f>
        <v>Veteran</v>
      </c>
      <c r="B715" s="55" t="str">
        <f>IFERROR(__xludf.DUMMYFUNCTION("""COMPUTED_VALUE"""),"RSC000550")</f>
        <v>RSC000550</v>
      </c>
      <c r="C715" s="60" t="str">
        <f>IFERROR(__xludf.DUMMYFUNCTION("""COMPUTED_VALUE"""),"ARJ")</f>
        <v>ARJ</v>
      </c>
      <c r="D715" s="54" t="str">
        <f>IFERROR(__xludf.DUMMYFUNCTION("""COMPUTED_VALUE"""),"Giraffes")</f>
        <v>Giraffes</v>
      </c>
      <c r="E715" s="55" t="str">
        <f>IFERROR(__xludf.DUMMYFUNCTION("""COMPUTED_VALUE"""),"Lunar")</f>
        <v>Lunar</v>
      </c>
      <c r="F715" s="56">
        <f>IFERROR(__xludf.DUMMYFUNCTION("""COMPUTED_VALUE"""),61.15678335110965)</f>
        <v>61.15678335</v>
      </c>
      <c r="G715" s="57">
        <f>IFERROR(__xludf.DUMMYFUNCTION("""COMPUTED_VALUE"""),35.0)</f>
        <v>35</v>
      </c>
      <c r="H715" s="58">
        <f>IFERROR(__xludf.DUMMYFUNCTION("iferror(if(B715="""", ,filter('IDR Import'!D:D,'IDR Import'!A:A=B715,'IDR Import'!C:C=A715)),)"),71.85763205983405)</f>
        <v>71.85763206</v>
      </c>
      <c r="I715" s="58">
        <v>66.50720770547184</v>
      </c>
      <c r="J715" s="59">
        <f t="shared" si="1"/>
        <v>35</v>
      </c>
    </row>
    <row r="716">
      <c r="A716" s="55" t="str">
        <f>IFERROR(__xludf.DUMMYFUNCTION("""COMPUTED_VALUE"""),"Veteran")</f>
        <v>Veteran</v>
      </c>
      <c r="B716" s="55" t="str">
        <f>IFERROR(__xludf.DUMMYFUNCTION("""COMPUTED_VALUE"""),"RSC007482")</f>
        <v>RSC007482</v>
      </c>
      <c r="C716" s="60" t="str">
        <f>IFERROR(__xludf.DUMMYFUNCTION("""COMPUTED_VALUE"""),"MyTyranosaur")</f>
        <v>MyTyranosaur</v>
      </c>
      <c r="D716" s="54" t="str">
        <f>IFERROR(__xludf.DUMMYFUNCTION("""COMPUTED_VALUE"""),"Fer-de-Lance")</f>
        <v>Fer-de-Lance</v>
      </c>
      <c r="E716" s="55" t="str">
        <f>IFERROR(__xludf.DUMMYFUNCTION("""COMPUTED_VALUE"""),"Lunar")</f>
        <v>Lunar</v>
      </c>
      <c r="F716" s="56">
        <f>IFERROR(__xludf.DUMMYFUNCTION("""COMPUTED_VALUE"""),60.64684559054932)</f>
        <v>60.64684559</v>
      </c>
      <c r="G716" s="57">
        <f>IFERROR(__xludf.DUMMYFUNCTION("""COMPUTED_VALUE"""),37.0)</f>
        <v>37</v>
      </c>
      <c r="H716" s="58">
        <f>IFERROR(__xludf.DUMMYFUNCTION("iferror(if(B716="""", ,filter('IDR Import'!D:D,'IDR Import'!A:A=B716,'IDR Import'!C:C=A716)),)"),61.7086329531709)</f>
        <v>61.70863295</v>
      </c>
      <c r="I716" s="58">
        <v>61.177739271860105</v>
      </c>
      <c r="J716" s="59">
        <f t="shared" si="1"/>
        <v>37</v>
      </c>
    </row>
    <row r="717">
      <c r="A717" s="55" t="str">
        <f>IFERROR(__xludf.DUMMYFUNCTION("""COMPUTED_VALUE"""),"Veteran")</f>
        <v>Veteran</v>
      </c>
      <c r="B717" s="55" t="str">
        <f>IFERROR(__xludf.DUMMYFUNCTION("""COMPUTED_VALUE"""),"RSC008165")</f>
        <v>RSC008165</v>
      </c>
      <c r="C717" s="60" t="str">
        <f>IFERROR(__xludf.DUMMYFUNCTION("""COMPUTED_VALUE"""),"JoJo-sepy")</f>
        <v>JoJo-sepy</v>
      </c>
      <c r="D717" s="54" t="str">
        <f>IFERROR(__xludf.DUMMYFUNCTION("""COMPUTED_VALUE"""),"Water")</f>
        <v>Water</v>
      </c>
      <c r="E717" s="55" t="str">
        <f>IFERROR(__xludf.DUMMYFUNCTION("""COMPUTED_VALUE"""),"Solar")</f>
        <v>Solar</v>
      </c>
      <c r="F717" s="56">
        <f>IFERROR(__xludf.DUMMYFUNCTION("""COMPUTED_VALUE"""),60.63904683631827)</f>
        <v>60.63904684</v>
      </c>
      <c r="G717" s="57">
        <f>IFERROR(__xludf.DUMMYFUNCTION("""COMPUTED_VALUE"""),56.0)</f>
        <v>56</v>
      </c>
      <c r="H717" s="58">
        <f>IFERROR(__xludf.DUMMYFUNCTION("iferror(if(B717="""", ,filter('IDR Import'!D:D,'IDR Import'!A:A=B717,'IDR Import'!C:C=A717)),)"),74.11821533282466)</f>
        <v>74.11821533</v>
      </c>
      <c r="I717" s="58">
        <v>67.37863108457147</v>
      </c>
      <c r="J717" s="59">
        <f t="shared" si="1"/>
        <v>56</v>
      </c>
    </row>
    <row r="718">
      <c r="A718" s="55" t="str">
        <f>IFERROR(__xludf.DUMMYFUNCTION("""COMPUTED_VALUE"""),"Veteran")</f>
        <v>Veteran</v>
      </c>
      <c r="B718" s="55" t="str">
        <f>IFERROR(__xludf.DUMMYFUNCTION("""COMPUTED_VALUE"""),"RSC008508")</f>
        <v>RSC008508</v>
      </c>
      <c r="C718" s="60" t="str">
        <f>IFERROR(__xludf.DUMMYFUNCTION("""COMPUTED_VALUE"""),"Flame_RL10")</f>
        <v>Flame_RL10</v>
      </c>
      <c r="D718" s="54" t="str">
        <f>IFERROR(__xludf.DUMMYFUNCTION("""COMPUTED_VALUE"""),"Grizzly Bears")</f>
        <v>Grizzly Bears</v>
      </c>
      <c r="E718" s="55" t="str">
        <f>IFERROR(__xludf.DUMMYFUNCTION("""COMPUTED_VALUE"""),"Solar")</f>
        <v>Solar</v>
      </c>
      <c r="F718" s="56">
        <f>IFERROR(__xludf.DUMMYFUNCTION("""COMPUTED_VALUE"""),60.51665576801849)</f>
        <v>60.51665577</v>
      </c>
      <c r="G718" s="57">
        <f>IFERROR(__xludf.DUMMYFUNCTION("""COMPUTED_VALUE"""),4.0)</f>
        <v>4</v>
      </c>
      <c r="H718" s="58">
        <f>IFERROR(__xludf.DUMMYFUNCTION("iferror(if(B718="""", ,filter('IDR Import'!D:D,'IDR Import'!A:A=B718,'IDR Import'!C:C=A718)),)"),55.214222033423255)</f>
        <v>55.21422203</v>
      </c>
      <c r="I718" s="58">
        <v>57.865438900720875</v>
      </c>
      <c r="J718" s="59">
        <f t="shared" si="1"/>
        <v>4</v>
      </c>
    </row>
    <row r="719">
      <c r="A719" s="55" t="str">
        <f>IFERROR(__xludf.DUMMYFUNCTION("""COMPUTED_VALUE"""),"Veteran")</f>
        <v>Veteran</v>
      </c>
      <c r="B719" s="55" t="str">
        <f>IFERROR(__xludf.DUMMYFUNCTION("""COMPUTED_VALUE"""),"RSC007756")</f>
        <v>RSC007756</v>
      </c>
      <c r="C719" s="60" t="str">
        <f>IFERROR(__xludf.DUMMYFUNCTION("""COMPUTED_VALUE"""),"Taunt")</f>
        <v>Taunt</v>
      </c>
      <c r="D719" s="54" t="str">
        <f>IFERROR(__xludf.DUMMYFUNCTION("""COMPUTED_VALUE"""),"Berserkers")</f>
        <v>Berserkers</v>
      </c>
      <c r="E719" s="55" t="str">
        <f>IFERROR(__xludf.DUMMYFUNCTION("""COMPUTED_VALUE"""),"Lunar")</f>
        <v>Lunar</v>
      </c>
      <c r="F719" s="56">
        <f>IFERROR(__xludf.DUMMYFUNCTION("""COMPUTED_VALUE"""),60.361983238941804)</f>
        <v>60.36198324</v>
      </c>
      <c r="G719" s="57">
        <f>IFERROR(__xludf.DUMMYFUNCTION("""COMPUTED_VALUE"""),40.0)</f>
        <v>40</v>
      </c>
      <c r="H719" s="58">
        <f>IFERROR(__xludf.DUMMYFUNCTION("iferror(if(B719="""", ,filter('IDR Import'!D:D,'IDR Import'!A:A=B719,'IDR Import'!C:C=A719)),)"),66.3333001315894)</f>
        <v>66.33330013</v>
      </c>
      <c r="I719" s="58">
        <v>63.3476416852656</v>
      </c>
      <c r="J719" s="59">
        <f t="shared" si="1"/>
        <v>40</v>
      </c>
    </row>
    <row r="720">
      <c r="A720" s="55" t="str">
        <f>IFERROR(__xludf.DUMMYFUNCTION("""COMPUTED_VALUE"""),"Veteran")</f>
        <v>Veteran</v>
      </c>
      <c r="B720" s="55" t="str">
        <f>IFERROR(__xludf.DUMMYFUNCTION("""COMPUTED_VALUE"""),"RSC008320")</f>
        <v>RSC008320</v>
      </c>
      <c r="C720" s="60" t="str">
        <f>IFERROR(__xludf.DUMMYFUNCTION("""COMPUTED_VALUE"""),"Jhammy.")</f>
        <v>Jhammy.</v>
      </c>
      <c r="D720" s="54" t="str">
        <f>IFERROR(__xludf.DUMMYFUNCTION("""COMPUTED_VALUE"""),"Street Rats")</f>
        <v>Street Rats</v>
      </c>
      <c r="E720" s="55" t="str">
        <f>IFERROR(__xludf.DUMMYFUNCTION("""COMPUTED_VALUE"""),"Solar")</f>
        <v>Solar</v>
      </c>
      <c r="F720" s="56">
        <f>IFERROR(__xludf.DUMMYFUNCTION("""COMPUTED_VALUE"""),60.175528521947015)</f>
        <v>60.17552852</v>
      </c>
      <c r="G720" s="57">
        <f>IFERROR(__xludf.DUMMYFUNCTION("""COMPUTED_VALUE"""),53.0)</f>
        <v>53</v>
      </c>
      <c r="H720" s="58">
        <f>IFERROR(__xludf.DUMMYFUNCTION("iferror(if(B720="""", ,filter('IDR Import'!D:D,'IDR Import'!A:A=B720,'IDR Import'!C:C=A720)),)"),53.172942821202916)</f>
        <v>53.17294282</v>
      </c>
      <c r="I720" s="58">
        <v>56.67423567157496</v>
      </c>
      <c r="J720" s="59">
        <f t="shared" si="1"/>
        <v>53</v>
      </c>
    </row>
    <row r="721">
      <c r="A721" s="55" t="str">
        <f>IFERROR(__xludf.DUMMYFUNCTION("""COMPUTED_VALUE"""),"Veteran")</f>
        <v>Veteran</v>
      </c>
      <c r="B721" s="55" t="str">
        <f>IFERROR(__xludf.DUMMYFUNCTION("""COMPUTED_VALUE"""),"RSC008325")</f>
        <v>RSC008325</v>
      </c>
      <c r="C721" s="60" t="str">
        <f>IFERROR(__xludf.DUMMYFUNCTION("""COMPUTED_VALUE"""),"Jxc1zz")</f>
        <v>Jxc1zz</v>
      </c>
      <c r="D721" s="54" t="str">
        <f>IFERROR(__xludf.DUMMYFUNCTION("""COMPUTED_VALUE"""),"Singularity")</f>
        <v>Singularity</v>
      </c>
      <c r="E721" s="55" t="str">
        <f>IFERROR(__xludf.DUMMYFUNCTION("""COMPUTED_VALUE"""),"Solar")</f>
        <v>Solar</v>
      </c>
      <c r="F721" s="56">
        <f>IFERROR(__xludf.DUMMYFUNCTION("""COMPUTED_VALUE"""),60.13090636869121)</f>
        <v>60.13090637</v>
      </c>
      <c r="G721" s="57">
        <f>IFERROR(__xludf.DUMMYFUNCTION("""COMPUTED_VALUE"""),12.0)</f>
        <v>12</v>
      </c>
      <c r="H721" s="58">
        <f>IFERROR(__xludf.DUMMYFUNCTION("iferror(if(B721="""", ,filter('IDR Import'!D:D,'IDR Import'!A:A=B721,'IDR Import'!C:C=A721)),)"),52.516762277617985)</f>
        <v>52.51676228</v>
      </c>
      <c r="I721" s="58">
        <v>56.3238343231546</v>
      </c>
      <c r="J721" s="59">
        <f t="shared" si="1"/>
        <v>12</v>
      </c>
    </row>
    <row r="722">
      <c r="A722" s="55" t="str">
        <f>IFERROR(__xludf.DUMMYFUNCTION("""COMPUTED_VALUE"""),"Veteran")</f>
        <v>Veteran</v>
      </c>
      <c r="B722" s="55" t="str">
        <f>IFERROR(__xludf.DUMMYFUNCTION("""COMPUTED_VALUE"""),"RSC000314")</f>
        <v>RSC000314</v>
      </c>
      <c r="C722" s="60" t="str">
        <f>IFERROR(__xludf.DUMMYFUNCTION("""COMPUTED_VALUE"""),"Yoza")</f>
        <v>Yoza</v>
      </c>
      <c r="D722" s="54" t="str">
        <f>IFERROR(__xludf.DUMMYFUNCTION("""COMPUTED_VALUE"""),"Kirin
Gouda Gangsters")</f>
        <v>Kirin
Gouda Gangsters</v>
      </c>
      <c r="E722" s="55" t="str">
        <f>IFERROR(__xludf.DUMMYFUNCTION("""COMPUTED_VALUE"""),"Solar
Lunar")</f>
        <v>Solar
Lunar</v>
      </c>
      <c r="F722" s="56">
        <f>IFERROR(__xludf.DUMMYFUNCTION("""COMPUTED_VALUE"""),59.79441785812568)</f>
        <v>59.79441786</v>
      </c>
      <c r="G722" s="57">
        <f>IFERROR(__xludf.DUMMYFUNCTION("""COMPUTED_VALUE"""),54.0)</f>
        <v>54</v>
      </c>
      <c r="H722" s="58">
        <f>IFERROR(__xludf.DUMMYFUNCTION("iferror(if(B722="""", ,filter('IDR Import'!D:D,'IDR Import'!A:A=B722,'IDR Import'!C:C=A722)),)"),54.53330467682685)</f>
        <v>54.53330468</v>
      </c>
      <c r="I722" s="58">
        <v>57.163861267476264</v>
      </c>
      <c r="J722" s="59">
        <f t="shared" si="1"/>
        <v>54</v>
      </c>
    </row>
    <row r="723">
      <c r="A723" s="55" t="str">
        <f>IFERROR(__xludf.DUMMYFUNCTION("""COMPUTED_VALUE"""),"Veteran")</f>
        <v>Veteran</v>
      </c>
      <c r="B723" s="55" t="str">
        <f>IFERROR(__xludf.DUMMYFUNCTION("""COMPUTED_VALUE"""),"RSC002453")</f>
        <v>RSC002453</v>
      </c>
      <c r="C723" s="60" t="str">
        <f>IFERROR(__xludf.DUMMYFUNCTION("""COMPUTED_VALUE"""),"Ghostie")</f>
        <v>Ghostie</v>
      </c>
      <c r="D723" s="54" t="str">
        <f>IFERROR(__xludf.DUMMYFUNCTION("""COMPUTED_VALUE"""),"Mages")</f>
        <v>Mages</v>
      </c>
      <c r="E723" s="55" t="str">
        <f>IFERROR(__xludf.DUMMYFUNCTION("""COMPUTED_VALUE"""),"Lunar")</f>
        <v>Lunar</v>
      </c>
      <c r="F723" s="56">
        <f>IFERROR(__xludf.DUMMYFUNCTION("""COMPUTED_VALUE"""),58.97993027999985)</f>
        <v>58.97993028</v>
      </c>
      <c r="G723" s="57">
        <f>IFERROR(__xludf.DUMMYFUNCTION("""COMPUTED_VALUE"""),4.0)</f>
        <v>4</v>
      </c>
      <c r="H723" s="58">
        <f>IFERROR(__xludf.DUMMYFUNCTION("iferror(if(B723="""", ,filter('IDR Import'!D:D,'IDR Import'!A:A=B723,'IDR Import'!C:C=A723)),)"),59.78265802651393)</f>
        <v>59.78265803</v>
      </c>
      <c r="I723" s="58">
        <v>59.38129415325689</v>
      </c>
      <c r="J723" s="59">
        <f t="shared" si="1"/>
        <v>4</v>
      </c>
    </row>
    <row r="724">
      <c r="A724" s="55" t="str">
        <f>IFERROR(__xludf.DUMMYFUNCTION("""COMPUTED_VALUE"""),"Veteran")</f>
        <v>Veteran</v>
      </c>
      <c r="B724" s="55" t="str">
        <f>IFERROR(__xludf.DUMMYFUNCTION("""COMPUTED_VALUE"""),"RSC007331")</f>
        <v>RSC007331</v>
      </c>
      <c r="C724" s="60" t="str">
        <f>IFERROR(__xludf.DUMMYFUNCTION("""COMPUTED_VALUE"""),"Ikigai")</f>
        <v>Ikigai</v>
      </c>
      <c r="D724" s="54" t="str">
        <f>IFERROR(__xludf.DUMMYFUNCTION("""COMPUTED_VALUE"""),"Banshees")</f>
        <v>Banshees</v>
      </c>
      <c r="E724" s="55" t="str">
        <f>IFERROR(__xludf.DUMMYFUNCTION("""COMPUTED_VALUE"""),"Lunar")</f>
        <v>Lunar</v>
      </c>
      <c r="F724" s="56">
        <f>IFERROR(__xludf.DUMMYFUNCTION("""COMPUTED_VALUE"""),58.901771153114176)</f>
        <v>58.90177115</v>
      </c>
      <c r="G724" s="57">
        <f>IFERROR(__xludf.DUMMYFUNCTION("""COMPUTED_VALUE"""),43.0)</f>
        <v>43</v>
      </c>
      <c r="H724" s="58">
        <f>IFERROR(__xludf.DUMMYFUNCTION("iferror(if(B724="""", ,filter('IDR Import'!D:D,'IDR Import'!A:A=B724,'IDR Import'!C:C=A724)),)"),58.1905419529246)</f>
        <v>58.19054195</v>
      </c>
      <c r="I724" s="58">
        <v>58.54615655301939</v>
      </c>
      <c r="J724" s="59">
        <f t="shared" si="1"/>
        <v>43</v>
      </c>
    </row>
    <row r="725">
      <c r="A725" s="55" t="str">
        <f>IFERROR(__xludf.DUMMYFUNCTION("""COMPUTED_VALUE"""),"Veteran")</f>
        <v>Veteran</v>
      </c>
      <c r="B725" s="55" t="str">
        <f>IFERROR(__xludf.DUMMYFUNCTION("""COMPUTED_VALUE"""),"RSC008104")</f>
        <v>RSC008104</v>
      </c>
      <c r="C725" s="60" t="str">
        <f>IFERROR(__xludf.DUMMYFUNCTION("""COMPUTED_VALUE"""),"M0NKEE .")</f>
        <v>M0NKEE .</v>
      </c>
      <c r="D725" s="54" t="str">
        <f>IFERROR(__xludf.DUMMYFUNCTION("""COMPUTED_VALUE"""),"Sons of Ares")</f>
        <v>Sons of Ares</v>
      </c>
      <c r="E725" s="55" t="str">
        <f>IFERROR(__xludf.DUMMYFUNCTION("""COMPUTED_VALUE"""),"Solar")</f>
        <v>Solar</v>
      </c>
      <c r="F725" s="56">
        <f>IFERROR(__xludf.DUMMYFUNCTION("""COMPUTED_VALUE"""),58.29871467740501)</f>
        <v>58.29871468</v>
      </c>
      <c r="G725" s="57">
        <f>IFERROR(__xludf.DUMMYFUNCTION("""COMPUTED_VALUE"""),52.0)</f>
        <v>52</v>
      </c>
      <c r="H725" s="58">
        <f>IFERROR(__xludf.DUMMYFUNCTION("iferror(if(B725="""", ,filter('IDR Import'!D:D,'IDR Import'!A:A=B725,'IDR Import'!C:C=A725)),)"),57.3109566782701)</f>
        <v>57.31095668</v>
      </c>
      <c r="I725" s="58">
        <v>57.80483567783756</v>
      </c>
      <c r="J725" s="59">
        <f t="shared" si="1"/>
        <v>52</v>
      </c>
    </row>
    <row r="726">
      <c r="A726" s="55" t="str">
        <f>IFERROR(__xludf.DUMMYFUNCTION("""COMPUTED_VALUE"""),"Veteran")</f>
        <v>Veteran</v>
      </c>
      <c r="B726" s="55" t="str">
        <f>IFERROR(__xludf.DUMMYFUNCTION("""COMPUTED_VALUE"""),"RSC008231")</f>
        <v>RSC008231</v>
      </c>
      <c r="C726" s="60" t="str">
        <f>IFERROR(__xludf.DUMMYFUNCTION("""COMPUTED_VALUE"""),"Afino")</f>
        <v>Afino</v>
      </c>
      <c r="D726" s="54" t="str">
        <f>IFERROR(__xludf.DUMMYFUNCTION("""COMPUTED_VALUE"""),"Nighthawks
Grizzly Bears")</f>
        <v>Nighthawks
Grizzly Bears</v>
      </c>
      <c r="E726" s="55" t="str">
        <f>IFERROR(__xludf.DUMMYFUNCTION("""COMPUTED_VALUE"""),"Lunar
Solar")</f>
        <v>Lunar
Solar</v>
      </c>
      <c r="F726" s="56">
        <f>IFERROR(__xludf.DUMMYFUNCTION("""COMPUTED_VALUE"""),58.227648808669976)</f>
        <v>58.22764881</v>
      </c>
      <c r="G726" s="57">
        <f>IFERROR(__xludf.DUMMYFUNCTION("""COMPUTED_VALUE"""),37.0)</f>
        <v>37</v>
      </c>
      <c r="H726" s="58">
        <f>IFERROR(__xludf.DUMMYFUNCTION("iferror(if(B726="""", ,filter('IDR Import'!D:D,'IDR Import'!A:A=B726,'IDR Import'!C:C=A726)),)"),54.56064974662402)</f>
        <v>54.56064975</v>
      </c>
      <c r="I726" s="58">
        <v>56.394149277647</v>
      </c>
      <c r="J726" s="59">
        <f t="shared" si="1"/>
        <v>37</v>
      </c>
    </row>
    <row r="727">
      <c r="A727" s="55" t="str">
        <f>IFERROR(__xludf.DUMMYFUNCTION("""COMPUTED_VALUE"""),"Veteran")</f>
        <v>Veteran</v>
      </c>
      <c r="B727" s="55" t="str">
        <f>IFERROR(__xludf.DUMMYFUNCTION("""COMPUTED_VALUE"""),"RSC002668")</f>
        <v>RSC002668</v>
      </c>
      <c r="C727" s="60" t="str">
        <f>IFERROR(__xludf.DUMMYFUNCTION("""COMPUTED_VALUE"""),"Azorh &lt;3")</f>
        <v>Azorh &lt;3</v>
      </c>
      <c r="D727" s="54" t="str">
        <f>IFERROR(__xludf.DUMMYFUNCTION("""COMPUTED_VALUE"""),"Fer-de-Lance")</f>
        <v>Fer-de-Lance</v>
      </c>
      <c r="E727" s="55" t="str">
        <f>IFERROR(__xludf.DUMMYFUNCTION("""COMPUTED_VALUE"""),"Lunar")</f>
        <v>Lunar</v>
      </c>
      <c r="F727" s="56">
        <f>IFERROR(__xludf.DUMMYFUNCTION("""COMPUTED_VALUE"""),57.887675881024606)</f>
        <v>57.88767588</v>
      </c>
      <c r="G727" s="57">
        <f>IFERROR(__xludf.DUMMYFUNCTION("""COMPUTED_VALUE"""),49.0)</f>
        <v>49</v>
      </c>
      <c r="H727" s="58">
        <f>IFERROR(__xludf.DUMMYFUNCTION("iferror(if(B727="""", ,filter('IDR Import'!D:D,'IDR Import'!A:A=B727,'IDR Import'!C:C=A727)),)"),59.03591282641936)</f>
        <v>59.03591283</v>
      </c>
      <c r="I727" s="58">
        <v>58.461794353721984</v>
      </c>
      <c r="J727" s="59">
        <f t="shared" si="1"/>
        <v>49</v>
      </c>
    </row>
    <row r="728">
      <c r="A728" s="55" t="str">
        <f>IFERROR(__xludf.DUMMYFUNCTION("""COMPUTED_VALUE"""),"Veteran")</f>
        <v>Veteran</v>
      </c>
      <c r="B728" s="55" t="str">
        <f>IFERROR(__xludf.DUMMYFUNCTION("""COMPUTED_VALUE"""),"RSC008384")</f>
        <v>RSC008384</v>
      </c>
      <c r="C728" s="60" t="str">
        <f>IFERROR(__xludf.DUMMYFUNCTION("""COMPUTED_VALUE"""),"NotLuke9")</f>
        <v>NotLuke9</v>
      </c>
      <c r="D728" s="54" t="str">
        <f>IFERROR(__xludf.DUMMYFUNCTION("""COMPUTED_VALUE"""),"Mages")</f>
        <v>Mages</v>
      </c>
      <c r="E728" s="55" t="str">
        <f>IFERROR(__xludf.DUMMYFUNCTION("""COMPUTED_VALUE"""),"Lunar")</f>
        <v>Lunar</v>
      </c>
      <c r="F728" s="56">
        <f>IFERROR(__xludf.DUMMYFUNCTION("""COMPUTED_VALUE"""),56.88727038526756)</f>
        <v>56.88727039</v>
      </c>
      <c r="G728" s="57">
        <f>IFERROR(__xludf.DUMMYFUNCTION("""COMPUTED_VALUE"""),44.0)</f>
        <v>44</v>
      </c>
      <c r="H728" s="58">
        <f>IFERROR(__xludf.DUMMYFUNCTION("iferror(if(B728="""", ,filter('IDR Import'!D:D,'IDR Import'!A:A=B728,'IDR Import'!C:C=A728)),)"),71.57861916815727)</f>
        <v>71.57861917</v>
      </c>
      <c r="I728" s="58">
        <v>64.23294477671242</v>
      </c>
      <c r="J728" s="59">
        <f t="shared" si="1"/>
        <v>44</v>
      </c>
    </row>
    <row r="729">
      <c r="A729" s="55" t="str">
        <f>IFERROR(__xludf.DUMMYFUNCTION("""COMPUTED_VALUE"""),"Veteran")</f>
        <v>Veteran</v>
      </c>
      <c r="B729" s="55" t="str">
        <f>IFERROR(__xludf.DUMMYFUNCTION("""COMPUTED_VALUE"""),"RSC004239")</f>
        <v>RSC004239</v>
      </c>
      <c r="C729" s="60" t="str">
        <f>IFERROR(__xludf.DUMMYFUNCTION("""COMPUTED_VALUE"""),"Nitro")</f>
        <v>Nitro</v>
      </c>
      <c r="D729" s="54" t="str">
        <f>IFERROR(__xludf.DUMMYFUNCTION("""COMPUTED_VALUE"""),"Gouda Gangsters
Kirin")</f>
        <v>Gouda Gangsters
Kirin</v>
      </c>
      <c r="E729" s="55" t="str">
        <f>IFERROR(__xludf.DUMMYFUNCTION("""COMPUTED_VALUE"""),"Lunar
Solar")</f>
        <v>Lunar
Solar</v>
      </c>
      <c r="F729" s="56">
        <f>IFERROR(__xludf.DUMMYFUNCTION("""COMPUTED_VALUE"""),56.86205845437583)</f>
        <v>56.86205845</v>
      </c>
      <c r="G729" s="57">
        <f>IFERROR(__xludf.DUMMYFUNCTION("""COMPUTED_VALUE"""),56.0)</f>
        <v>56</v>
      </c>
      <c r="H729" s="58">
        <f>IFERROR(__xludf.DUMMYFUNCTION("iferror(if(B729="""", ,filter('IDR Import'!D:D,'IDR Import'!A:A=B729,'IDR Import'!C:C=A729)),)"),57.936885941335085)</f>
        <v>57.93688594</v>
      </c>
      <c r="I729" s="58">
        <v>57.39947219785546</v>
      </c>
      <c r="J729" s="59">
        <f t="shared" si="1"/>
        <v>56</v>
      </c>
    </row>
    <row r="730">
      <c r="A730" s="55" t="str">
        <f>IFERROR(__xludf.DUMMYFUNCTION("""COMPUTED_VALUE"""),"Veteran")</f>
        <v>Veteran</v>
      </c>
      <c r="B730" s="55" t="str">
        <f>IFERROR(__xludf.DUMMYFUNCTION("""COMPUTED_VALUE"""),"RSC008400")</f>
        <v>RSC008400</v>
      </c>
      <c r="C730" s="60" t="str">
        <f>IFERROR(__xludf.DUMMYFUNCTION("""COMPUTED_VALUE"""),"Itzmoose")</f>
        <v>Itzmoose</v>
      </c>
      <c r="D730" s="54" t="str">
        <f>IFERROR(__xludf.DUMMYFUNCTION("""COMPUTED_VALUE"""),"Peppermint
Merciless Mob")</f>
        <v>Peppermint
Merciless Mob</v>
      </c>
      <c r="E730" s="55" t="str">
        <f>IFERROR(__xludf.DUMMYFUNCTION("""COMPUTED_VALUE"""),"Solar
Lunar")</f>
        <v>Solar
Lunar</v>
      </c>
      <c r="F730" s="56">
        <f>IFERROR(__xludf.DUMMYFUNCTION("""COMPUTED_VALUE"""),56.78908913198944)</f>
        <v>56.78908913</v>
      </c>
      <c r="G730" s="57">
        <f>IFERROR(__xludf.DUMMYFUNCTION("""COMPUTED_VALUE"""),19.0)</f>
        <v>19</v>
      </c>
      <c r="H730" s="58">
        <f>IFERROR(__xludf.DUMMYFUNCTION("iferror(if(B730="""", ,filter('IDR Import'!D:D,'IDR Import'!A:A=B730,'IDR Import'!C:C=A730)),)"),46.244930862134844)</f>
        <v>46.24493086</v>
      </c>
      <c r="I730" s="58">
        <v>51.51700999706215</v>
      </c>
      <c r="J730" s="59">
        <f t="shared" si="1"/>
        <v>19</v>
      </c>
    </row>
    <row r="731">
      <c r="A731" s="55" t="str">
        <f>IFERROR(__xludf.DUMMYFUNCTION("""COMPUTED_VALUE"""),"Veteran")</f>
        <v>Veteran</v>
      </c>
      <c r="B731" s="55" t="str">
        <f>IFERROR(__xludf.DUMMYFUNCTION("""COMPUTED_VALUE"""),"RSC002295")</f>
        <v>RSC002295</v>
      </c>
      <c r="C731" s="60" t="str">
        <f>IFERROR(__xludf.DUMMYFUNCTION("""COMPUTED_VALUE"""),"DEMOralize")</f>
        <v>DEMOralize</v>
      </c>
      <c r="D731" s="54" t="str">
        <f>IFERROR(__xludf.DUMMYFUNCTION("""COMPUTED_VALUE"""),"Legati")</f>
        <v>Legati</v>
      </c>
      <c r="E731" s="55" t="str">
        <f>IFERROR(__xludf.DUMMYFUNCTION("""COMPUTED_VALUE"""),"Solar")</f>
        <v>Solar</v>
      </c>
      <c r="F731" s="56">
        <f>IFERROR(__xludf.DUMMYFUNCTION("""COMPUTED_VALUE"""),56.72812331565353)</f>
        <v>56.72812332</v>
      </c>
      <c r="G731" s="57">
        <f>IFERROR(__xludf.DUMMYFUNCTION("""COMPUTED_VALUE"""),52.0)</f>
        <v>52</v>
      </c>
      <c r="H731" s="58">
        <f>IFERROR(__xludf.DUMMYFUNCTION("iferror(if(B731="""", ,filter('IDR Import'!D:D,'IDR Import'!A:A=B731,'IDR Import'!C:C=A731)),)"),57.12694271941327)</f>
        <v>57.12694272</v>
      </c>
      <c r="I731" s="58">
        <v>56.9275330175334</v>
      </c>
      <c r="J731" s="59">
        <f t="shared" si="1"/>
        <v>52</v>
      </c>
    </row>
    <row r="732">
      <c r="A732" s="55" t="str">
        <f>IFERROR(__xludf.DUMMYFUNCTION("""COMPUTED_VALUE"""),"Veteran")</f>
        <v>Veteran</v>
      </c>
      <c r="B732" s="55" t="str">
        <f>IFERROR(__xludf.DUMMYFUNCTION("""COMPUTED_VALUE"""),"RSC000731")</f>
        <v>RSC000731</v>
      </c>
      <c r="C732" s="60" t="str">
        <f>IFERROR(__xludf.DUMMYFUNCTION("""COMPUTED_VALUE"""),"mm2")</f>
        <v>mm2</v>
      </c>
      <c r="D732" s="54" t="str">
        <f>IFERROR(__xludf.DUMMYFUNCTION("""COMPUTED_VALUE"""),"Navigators")</f>
        <v>Navigators</v>
      </c>
      <c r="E732" s="55" t="str">
        <f>IFERROR(__xludf.DUMMYFUNCTION("""COMPUTED_VALUE"""),"Solar")</f>
        <v>Solar</v>
      </c>
      <c r="F732" s="56">
        <f>IFERROR(__xludf.DUMMYFUNCTION("""COMPUTED_VALUE"""),55.811077586787704)</f>
        <v>55.81107759</v>
      </c>
      <c r="G732" s="57">
        <f>IFERROR(__xludf.DUMMYFUNCTION("""COMPUTED_VALUE"""),22.0)</f>
        <v>22</v>
      </c>
      <c r="H732" s="58">
        <f>IFERROR(__xludf.DUMMYFUNCTION("iferror(if(B732="""", ,filter('IDR Import'!D:D,'IDR Import'!A:A=B732,'IDR Import'!C:C=A732)),)"),46.11440288089922)</f>
        <v>46.11440288</v>
      </c>
      <c r="I732" s="58">
        <v>50.96274023384346</v>
      </c>
      <c r="J732" s="59">
        <f t="shared" si="1"/>
        <v>22</v>
      </c>
    </row>
    <row r="733">
      <c r="A733" s="55" t="str">
        <f>IFERROR(__xludf.DUMMYFUNCTION("""COMPUTED_VALUE"""),"Veteran")</f>
        <v>Veteran</v>
      </c>
      <c r="B733" s="55" t="str">
        <f>IFERROR(__xludf.DUMMYFUNCTION("""COMPUTED_VALUE"""),"RSC004367")</f>
        <v>RSC004367</v>
      </c>
      <c r="C733" s="60" t="str">
        <f>IFERROR(__xludf.DUMMYFUNCTION("""COMPUTED_VALUE"""),"pr.c")</f>
        <v>pr.c</v>
      </c>
      <c r="D733" s="54" t="str">
        <f>IFERROR(__xludf.DUMMYFUNCTION("""COMPUTED_VALUE"""),"Shadow Tails
Peppermint
White Collars")</f>
        <v>Shadow Tails
Peppermint
White Collars</v>
      </c>
      <c r="E733" s="55" t="str">
        <f>IFERROR(__xludf.DUMMYFUNCTION("""COMPUTED_VALUE"""),"Solar
Solar
Lunar")</f>
        <v>Solar
Solar
Lunar</v>
      </c>
      <c r="F733" s="56">
        <f>IFERROR(__xludf.DUMMYFUNCTION("""COMPUTED_VALUE"""),54.929767189666514)</f>
        <v>54.92976719</v>
      </c>
      <c r="G733" s="57">
        <f>IFERROR(__xludf.DUMMYFUNCTION("""COMPUTED_VALUE"""),41.0)</f>
        <v>41</v>
      </c>
      <c r="H733" s="58">
        <f>IFERROR(__xludf.DUMMYFUNCTION("iferror(if(B733="""", ,filter('IDR Import'!D:D,'IDR Import'!A:A=B733,'IDR Import'!C:C=A733)),)"),53.622901426306655)</f>
        <v>53.62290143</v>
      </c>
      <c r="I733" s="58">
        <v>54.27633430798659</v>
      </c>
      <c r="J733" s="59">
        <f t="shared" si="1"/>
        <v>41</v>
      </c>
    </row>
    <row r="734">
      <c r="A734" s="55" t="str">
        <f>IFERROR(__xludf.DUMMYFUNCTION("""COMPUTED_VALUE"""),"Veteran")</f>
        <v>Veteran</v>
      </c>
      <c r="B734" s="55" t="str">
        <f>IFERROR(__xludf.DUMMYFUNCTION("""COMPUTED_VALUE"""),"RSC005257")</f>
        <v>RSC005257</v>
      </c>
      <c r="C734" s="60" t="str">
        <f>IFERROR(__xludf.DUMMYFUNCTION("""COMPUTED_VALUE"""),"P0pfgf")</f>
        <v>P0pfgf</v>
      </c>
      <c r="D734" s="54" t="str">
        <f>IFERROR(__xludf.DUMMYFUNCTION("""COMPUTED_VALUE"""),"Sons of Ares")</f>
        <v>Sons of Ares</v>
      </c>
      <c r="E734" s="55" t="str">
        <f>IFERROR(__xludf.DUMMYFUNCTION("""COMPUTED_VALUE"""),"Solar")</f>
        <v>Solar</v>
      </c>
      <c r="F734" s="56">
        <f>IFERROR(__xludf.DUMMYFUNCTION("""COMPUTED_VALUE"""),54.87305854627266)</f>
        <v>54.87305855</v>
      </c>
      <c r="G734" s="57">
        <f>IFERROR(__xludf.DUMMYFUNCTION("""COMPUTED_VALUE"""),54.0)</f>
        <v>54</v>
      </c>
      <c r="H734" s="58">
        <f>IFERROR(__xludf.DUMMYFUNCTION("iferror(if(B734="""", ,filter('IDR Import'!D:D,'IDR Import'!A:A=B734,'IDR Import'!C:C=A734)),)"),54.46500031080454)</f>
        <v>54.46500031</v>
      </c>
      <c r="I734" s="58">
        <v>54.6690294285386</v>
      </c>
      <c r="J734" s="59">
        <f t="shared" si="1"/>
        <v>54</v>
      </c>
    </row>
    <row r="735">
      <c r="A735" s="55" t="str">
        <f>IFERROR(__xludf.DUMMYFUNCTION("""COMPUTED_VALUE"""),"Veteran")</f>
        <v>Veteran</v>
      </c>
      <c r="B735" s="55" t="str">
        <f>IFERROR(__xludf.DUMMYFUNCTION("""COMPUTED_VALUE"""),"RSC000724")</f>
        <v>RSC000724</v>
      </c>
      <c r="C735" s="60" t="str">
        <f>IFERROR(__xludf.DUMMYFUNCTION("""COMPUTED_VALUE"""),"dunnie14")</f>
        <v>dunnie14</v>
      </c>
      <c r="D735" s="54" t="str">
        <f>IFERROR(__xludf.DUMMYFUNCTION("""COMPUTED_VALUE"""),"White Collars
Folks")</f>
        <v>White Collars
Folks</v>
      </c>
      <c r="E735" s="55" t="str">
        <f>IFERROR(__xludf.DUMMYFUNCTION("""COMPUTED_VALUE"""),"Lunar
Lunar")</f>
        <v>Lunar
Lunar</v>
      </c>
      <c r="F735" s="56">
        <f>IFERROR(__xludf.DUMMYFUNCTION("""COMPUTED_VALUE"""),54.52211211849355)</f>
        <v>54.52211212</v>
      </c>
      <c r="G735" s="57">
        <f>IFERROR(__xludf.DUMMYFUNCTION("""COMPUTED_VALUE"""),41.0)</f>
        <v>41</v>
      </c>
      <c r="H735" s="58">
        <f>IFERROR(__xludf.DUMMYFUNCTION("iferror(if(B735="""", ,filter('IDR Import'!D:D,'IDR Import'!A:A=B735,'IDR Import'!C:C=A735)),)"),45.357853779437235)</f>
        <v>45.35785378</v>
      </c>
      <c r="I735" s="58">
        <v>49.939982948965394</v>
      </c>
      <c r="J735" s="59">
        <f t="shared" si="1"/>
        <v>41</v>
      </c>
    </row>
    <row r="736">
      <c r="A736" s="55" t="str">
        <f>IFERROR(__xludf.DUMMYFUNCTION("""COMPUTED_VALUE"""),"Veteran")</f>
        <v>Veteran</v>
      </c>
      <c r="B736" s="55" t="str">
        <f>IFERROR(__xludf.DUMMYFUNCTION("""COMPUTED_VALUE"""),"RSC001487")</f>
        <v>RSC001487</v>
      </c>
      <c r="C736" s="60" t="str">
        <f>IFERROR(__xludf.DUMMYFUNCTION("""COMPUTED_VALUE"""),"M1ke1sMy1ke")</f>
        <v>M1ke1sMy1ke</v>
      </c>
      <c r="D736" s="54" t="str">
        <f>IFERROR(__xludf.DUMMYFUNCTION("""COMPUTED_VALUE"""),"Nighthawks")</f>
        <v>Nighthawks</v>
      </c>
      <c r="E736" s="55" t="str">
        <f>IFERROR(__xludf.DUMMYFUNCTION("""COMPUTED_VALUE"""),"Lunar")</f>
        <v>Lunar</v>
      </c>
      <c r="F736" s="56">
        <f>IFERROR(__xludf.DUMMYFUNCTION("""COMPUTED_VALUE"""),54.11107909468028)</f>
        <v>54.11107909</v>
      </c>
      <c r="G736" s="57">
        <f>IFERROR(__xludf.DUMMYFUNCTION("""COMPUTED_VALUE"""),46.0)</f>
        <v>46</v>
      </c>
      <c r="H736" s="58">
        <f>IFERROR(__xludf.DUMMYFUNCTION("iferror(if(B736="""", ,filter('IDR Import'!D:D,'IDR Import'!A:A=B736,'IDR Import'!C:C=A736)),)"),60.79003081554362)</f>
        <v>60.79003082</v>
      </c>
      <c r="I736" s="58">
        <v>57.450554955111954</v>
      </c>
      <c r="J736" s="59">
        <f t="shared" si="1"/>
        <v>46</v>
      </c>
    </row>
    <row r="737">
      <c r="A737" s="55" t="str">
        <f>IFERROR(__xludf.DUMMYFUNCTION("""COMPUTED_VALUE"""),"Veteran")</f>
        <v>Veteran</v>
      </c>
      <c r="B737" s="55" t="str">
        <f>IFERROR(__xludf.DUMMYFUNCTION("""COMPUTED_VALUE"""),"RSC005165")</f>
        <v>RSC005165</v>
      </c>
      <c r="C737" s="60" t="str">
        <f>IFERROR(__xludf.DUMMYFUNCTION("""COMPUTED_VALUE"""),"Lucas")</f>
        <v>Lucas</v>
      </c>
      <c r="D737" s="54" t="str">
        <f>IFERROR(__xludf.DUMMYFUNCTION("""COMPUTED_VALUE"""),"Avalanche")</f>
        <v>Avalanche</v>
      </c>
      <c r="E737" s="55" t="str">
        <f>IFERROR(__xludf.DUMMYFUNCTION("""COMPUTED_VALUE"""),"Solar")</f>
        <v>Solar</v>
      </c>
      <c r="F737" s="56">
        <f>IFERROR(__xludf.DUMMYFUNCTION("""COMPUTED_VALUE"""),53.84596346835968)</f>
        <v>53.84596347</v>
      </c>
      <c r="G737" s="57">
        <f>IFERROR(__xludf.DUMMYFUNCTION("""COMPUTED_VALUE"""),56.0)</f>
        <v>56</v>
      </c>
      <c r="H737" s="58">
        <f>IFERROR(__xludf.DUMMYFUNCTION("iferror(if(B737="""", ,filter('IDR Import'!D:D,'IDR Import'!A:A=B737,'IDR Import'!C:C=A737)),)"),59.64415324728428)</f>
        <v>59.64415325</v>
      </c>
      <c r="I737" s="58">
        <v>56.745058357821975</v>
      </c>
      <c r="J737" s="59">
        <f t="shared" si="1"/>
        <v>56</v>
      </c>
    </row>
    <row r="738">
      <c r="A738" s="55" t="str">
        <f>IFERROR(__xludf.DUMMYFUNCTION("""COMPUTED_VALUE"""),"Veteran")</f>
        <v>Veteran</v>
      </c>
      <c r="B738" s="55" t="str">
        <f>IFERROR(__xludf.DUMMYFUNCTION("""COMPUTED_VALUE"""),"RSC003815")</f>
        <v>RSC003815</v>
      </c>
      <c r="C738" s="60" t="str">
        <f>IFERROR(__xludf.DUMMYFUNCTION("""COMPUTED_VALUE"""),"WashedDonk")</f>
        <v>WashedDonk</v>
      </c>
      <c r="D738" s="54" t="str">
        <f>IFERROR(__xludf.DUMMYFUNCTION("""COMPUTED_VALUE"""),"Grizzly Bears
Nighthawks")</f>
        <v>Grizzly Bears
Nighthawks</v>
      </c>
      <c r="E738" s="55" t="str">
        <f>IFERROR(__xludf.DUMMYFUNCTION("""COMPUTED_VALUE"""),"Solar
Lunar")</f>
        <v>Solar
Lunar</v>
      </c>
      <c r="F738" s="56">
        <f>IFERROR(__xludf.DUMMYFUNCTION("""COMPUTED_VALUE"""),53.153657499237)</f>
        <v>53.1536575</v>
      </c>
      <c r="G738" s="57">
        <f>IFERROR(__xludf.DUMMYFUNCTION("""COMPUTED_VALUE"""),27.0)</f>
        <v>27</v>
      </c>
      <c r="H738" s="58">
        <f>IFERROR(__xludf.DUMMYFUNCTION("iferror(if(B738="""", ,filter('IDR Import'!D:D,'IDR Import'!A:A=B738,'IDR Import'!C:C=A738)),)"),45.1800283604387)</f>
        <v>45.18002836</v>
      </c>
      <c r="I738" s="58">
        <v>49.16684292983785</v>
      </c>
      <c r="J738" s="59">
        <f t="shared" si="1"/>
        <v>27</v>
      </c>
    </row>
    <row r="739">
      <c r="A739" s="55" t="str">
        <f>IFERROR(__xludf.DUMMYFUNCTION("""COMPUTED_VALUE"""),"Veteran")</f>
        <v>Veteran</v>
      </c>
      <c r="B739" s="55" t="str">
        <f>IFERROR(__xludf.DUMMYFUNCTION("""COMPUTED_VALUE"""),"RSC006401")</f>
        <v>RSC006401</v>
      </c>
      <c r="C739" s="60" t="str">
        <f>IFERROR(__xludf.DUMMYFUNCTION("""COMPUTED_VALUE"""),"SHAdohwj_")</f>
        <v>SHAdohwj_</v>
      </c>
      <c r="D739" s="54" t="str">
        <f>IFERROR(__xludf.DUMMYFUNCTION("""COMPUTED_VALUE"""),"Dread")</f>
        <v>Dread</v>
      </c>
      <c r="E739" s="55" t="str">
        <f>IFERROR(__xludf.DUMMYFUNCTION("""COMPUTED_VALUE"""),"Lunar")</f>
        <v>Lunar</v>
      </c>
      <c r="F739" s="56">
        <f>IFERROR(__xludf.DUMMYFUNCTION("""COMPUTED_VALUE"""),53.07434211799019)</f>
        <v>53.07434212</v>
      </c>
      <c r="G739" s="57">
        <f>IFERROR(__xludf.DUMMYFUNCTION("""COMPUTED_VALUE"""),11.0)</f>
        <v>11</v>
      </c>
      <c r="H739" s="58">
        <f>IFERROR(__xludf.DUMMYFUNCTION("iferror(if(B739="""", ,filter('IDR Import'!D:D,'IDR Import'!A:A=B739,'IDR Import'!C:C=A739)),)"),55.25333051039113)</f>
        <v>55.25333051</v>
      </c>
      <c r="I739" s="58">
        <v>54.16383631419066</v>
      </c>
      <c r="J739" s="59">
        <f t="shared" si="1"/>
        <v>11</v>
      </c>
    </row>
    <row r="740">
      <c r="A740" s="55" t="str">
        <f>IFERROR(__xludf.DUMMYFUNCTION("""COMPUTED_VALUE"""),"Veteran")</f>
        <v>Veteran</v>
      </c>
      <c r="B740" s="55" t="str">
        <f>IFERROR(__xludf.DUMMYFUNCTION("""COMPUTED_VALUE"""),"RSC000774")</f>
        <v>RSC000774</v>
      </c>
      <c r="C740" s="60" t="str">
        <f>IFERROR(__xludf.DUMMYFUNCTION("""COMPUTED_VALUE"""),"Earth")</f>
        <v>Earth</v>
      </c>
      <c r="D740" s="54" t="str">
        <f>IFERROR(__xludf.DUMMYFUNCTION("""COMPUTED_VALUE"""),"Merciless Mob")</f>
        <v>Merciless Mob</v>
      </c>
      <c r="E740" s="55" t="str">
        <f>IFERROR(__xludf.DUMMYFUNCTION("""COMPUTED_VALUE"""),"Lunar")</f>
        <v>Lunar</v>
      </c>
      <c r="F740" s="56">
        <f>IFERROR(__xludf.DUMMYFUNCTION("""COMPUTED_VALUE"""),53.03610008550089)</f>
        <v>53.03610009</v>
      </c>
      <c r="G740" s="57">
        <f>IFERROR(__xludf.DUMMYFUNCTION("""COMPUTED_VALUE"""),32.0)</f>
        <v>32</v>
      </c>
      <c r="H740" s="58">
        <f>IFERROR(__xludf.DUMMYFUNCTION("iferror(if(B740="""", ,filter('IDR Import'!D:D,'IDR Import'!A:A=B740,'IDR Import'!C:C=A740)),)"),53.2855549308033)</f>
        <v>53.28555493</v>
      </c>
      <c r="I740" s="58">
        <v>53.160827508152096</v>
      </c>
      <c r="J740" s="59">
        <f t="shared" si="1"/>
        <v>32</v>
      </c>
    </row>
    <row r="741">
      <c r="A741" s="55" t="str">
        <f>IFERROR(__xludf.DUMMYFUNCTION("""COMPUTED_VALUE"""),"Veteran")</f>
        <v>Veteran</v>
      </c>
      <c r="B741" s="55" t="str">
        <f>IFERROR(__xludf.DUMMYFUNCTION("""COMPUTED_VALUE"""),"RSC006312")</f>
        <v>RSC006312</v>
      </c>
      <c r="C741" s="60" t="str">
        <f>IFERROR(__xludf.DUMMYFUNCTION("""COMPUTED_VALUE"""),"Cognitixn")</f>
        <v>Cognitixn</v>
      </c>
      <c r="D741" s="54" t="str">
        <f>IFERROR(__xludf.DUMMYFUNCTION("""COMPUTED_VALUE"""),"White Collars")</f>
        <v>White Collars</v>
      </c>
      <c r="E741" s="55" t="str">
        <f>IFERROR(__xludf.DUMMYFUNCTION("""COMPUTED_VALUE"""),"Lunar")</f>
        <v>Lunar</v>
      </c>
      <c r="F741" s="56">
        <f>IFERROR(__xludf.DUMMYFUNCTION("""COMPUTED_VALUE"""),53.003975956952885)</f>
        <v>53.00397596</v>
      </c>
      <c r="G741" s="57">
        <f>IFERROR(__xludf.DUMMYFUNCTION("""COMPUTED_VALUE"""),54.0)</f>
        <v>54</v>
      </c>
      <c r="H741" s="58">
        <f>IFERROR(__xludf.DUMMYFUNCTION("iferror(if(B741="""", ,filter('IDR Import'!D:D,'IDR Import'!A:A=B741,'IDR Import'!C:C=A741)),)"),44.002496057797075)</f>
        <v>44.00249606</v>
      </c>
      <c r="I741" s="58">
        <v>48.50323600737498</v>
      </c>
      <c r="J741" s="59">
        <f t="shared" si="1"/>
        <v>54</v>
      </c>
    </row>
    <row r="742">
      <c r="A742" s="55" t="str">
        <f>IFERROR(__xludf.DUMMYFUNCTION("""COMPUTED_VALUE"""),"Veteran")</f>
        <v>Veteran</v>
      </c>
      <c r="B742" s="55" t="str">
        <f>IFERROR(__xludf.DUMMYFUNCTION("""COMPUTED_VALUE"""),"RSC003416")</f>
        <v>RSC003416</v>
      </c>
      <c r="C742" s="60" t="str">
        <f>IFERROR(__xludf.DUMMYFUNCTION("""COMPUTED_VALUE"""),"DrSkimMilk")</f>
        <v>DrSkimMilk</v>
      </c>
      <c r="D742" s="54" t="str">
        <f>IFERROR(__xludf.DUMMYFUNCTION("""COMPUTED_VALUE"""),"Merciless Mob")</f>
        <v>Merciless Mob</v>
      </c>
      <c r="E742" s="55" t="str">
        <f>IFERROR(__xludf.DUMMYFUNCTION("""COMPUTED_VALUE"""),"Lunar")</f>
        <v>Lunar</v>
      </c>
      <c r="F742" s="56">
        <f>IFERROR(__xludf.DUMMYFUNCTION("""COMPUTED_VALUE"""),52.95219885055912)</f>
        <v>52.95219885</v>
      </c>
      <c r="G742" s="57">
        <f>IFERROR(__xludf.DUMMYFUNCTION("""COMPUTED_VALUE"""),47.0)</f>
        <v>47</v>
      </c>
      <c r="H742" s="58">
        <f>IFERROR(__xludf.DUMMYFUNCTION("iferror(if(B742="""", ,filter('IDR Import'!D:D,'IDR Import'!A:A=B742,'IDR Import'!C:C=A742)),)"),56.04334995047728)</f>
        <v>56.04334995</v>
      </c>
      <c r="I742" s="58">
        <v>54.497774400518196</v>
      </c>
      <c r="J742" s="59">
        <f t="shared" si="1"/>
        <v>47</v>
      </c>
    </row>
    <row r="743">
      <c r="A743" s="55" t="str">
        <f>IFERROR(__xludf.DUMMYFUNCTION("""COMPUTED_VALUE"""),"Veteran")</f>
        <v>Veteran</v>
      </c>
      <c r="B743" s="55" t="str">
        <f>IFERROR(__xludf.DUMMYFUNCTION("""COMPUTED_VALUE"""),"RSC007202")</f>
        <v>RSC007202</v>
      </c>
      <c r="C743" s="60" t="str">
        <f>IFERROR(__xludf.DUMMYFUNCTION("""COMPUTED_VALUE"""),"GreatHonda")</f>
        <v>GreatHonda</v>
      </c>
      <c r="D743" s="54" t="str">
        <f>IFERROR(__xludf.DUMMYFUNCTION("""COMPUTED_VALUE"""),"Gargoyle")</f>
        <v>Gargoyle</v>
      </c>
      <c r="E743" s="55" t="str">
        <f>IFERROR(__xludf.DUMMYFUNCTION("""COMPUTED_VALUE"""),"Solar")</f>
        <v>Solar</v>
      </c>
      <c r="F743" s="56">
        <f>IFERROR(__xludf.DUMMYFUNCTION("""COMPUTED_VALUE"""),52.05622806140909)</f>
        <v>52.05622806</v>
      </c>
      <c r="G743" s="57">
        <f>IFERROR(__xludf.DUMMYFUNCTION("""COMPUTED_VALUE"""),48.0)</f>
        <v>48</v>
      </c>
      <c r="H743" s="58">
        <f>IFERROR(__xludf.DUMMYFUNCTION("iferror(if(B743="""", ,filter('IDR Import'!D:D,'IDR Import'!A:A=B743,'IDR Import'!C:C=A743)),)"),55.09011408539662)</f>
        <v>55.09011409</v>
      </c>
      <c r="I743" s="58">
        <v>53.573171073402854</v>
      </c>
      <c r="J743" s="59">
        <f t="shared" si="1"/>
        <v>48</v>
      </c>
    </row>
    <row r="744">
      <c r="A744" s="55" t="str">
        <f>IFERROR(__xludf.DUMMYFUNCTION("""COMPUTED_VALUE"""),"Veteran")</f>
        <v>Veteran</v>
      </c>
      <c r="B744" s="55" t="str">
        <f>IFERROR(__xludf.DUMMYFUNCTION("""COMPUTED_VALUE"""),"RSC002930")</f>
        <v>RSC002930</v>
      </c>
      <c r="C744" s="60" t="str">
        <f>IFERROR(__xludf.DUMMYFUNCTION("""COMPUTED_VALUE"""),"voakes")</f>
        <v>voakes</v>
      </c>
      <c r="D744" s="54" t="str">
        <f>IFERROR(__xludf.DUMMYFUNCTION("""COMPUTED_VALUE"""),"Shadow Tails
Peppermint
Avalanche")</f>
        <v>Shadow Tails
Peppermint
Avalanche</v>
      </c>
      <c r="E744" s="55" t="str">
        <f>IFERROR(__xludf.DUMMYFUNCTION("""COMPUTED_VALUE"""),"Solar
Solar
Solar")</f>
        <v>Solar
Solar
Solar</v>
      </c>
      <c r="F744" s="56">
        <f>IFERROR(__xludf.DUMMYFUNCTION("""COMPUTED_VALUE"""),52.032258676205686)</f>
        <v>52.03225868</v>
      </c>
      <c r="G744" s="57">
        <f>IFERROR(__xludf.DUMMYFUNCTION("""COMPUTED_VALUE"""),54.0)</f>
        <v>54</v>
      </c>
      <c r="H744" s="58">
        <f>IFERROR(__xludf.DUMMYFUNCTION("iferror(if(B744="""", ,filter('IDR Import'!D:D,'IDR Import'!A:A=B744,'IDR Import'!C:C=A744)),)"),48.32817088879489)</f>
        <v>48.32817089</v>
      </c>
      <c r="I744" s="58">
        <v>50.180214782500286</v>
      </c>
      <c r="J744" s="59">
        <f t="shared" si="1"/>
        <v>54</v>
      </c>
    </row>
    <row r="745">
      <c r="A745" s="55" t="str">
        <f>IFERROR(__xludf.DUMMYFUNCTION("""COMPUTED_VALUE"""),"Veteran")</f>
        <v>Veteran</v>
      </c>
      <c r="B745" s="55" t="str">
        <f>IFERROR(__xludf.DUMMYFUNCTION("""COMPUTED_VALUE"""),"RSC003333")</f>
        <v>RSC003333</v>
      </c>
      <c r="C745" s="60" t="str">
        <f>IFERROR(__xludf.DUMMYFUNCTION("""COMPUTED_VALUE"""),"Mike The Ox")</f>
        <v>Mike The Ox</v>
      </c>
      <c r="D745" s="54" t="str">
        <f>IFERROR(__xludf.DUMMYFUNCTION("""COMPUTED_VALUE"""),"Gargoyle")</f>
        <v>Gargoyle</v>
      </c>
      <c r="E745" s="55" t="str">
        <f>IFERROR(__xludf.DUMMYFUNCTION("""COMPUTED_VALUE"""),"Solar")</f>
        <v>Solar</v>
      </c>
      <c r="F745" s="56">
        <f>IFERROR(__xludf.DUMMYFUNCTION("""COMPUTED_VALUE"""),51.834766714765756)</f>
        <v>51.83476671</v>
      </c>
      <c r="G745" s="57">
        <f>IFERROR(__xludf.DUMMYFUNCTION("""COMPUTED_VALUE"""),1.0)</f>
        <v>1</v>
      </c>
      <c r="H745" s="58">
        <f>IFERROR(__xludf.DUMMYFUNCTION("iferror(if(B745="""", ,filter('IDR Import'!D:D,'IDR Import'!A:A=B745,'IDR Import'!C:C=A745)),)"),47.663074395486134)</f>
        <v>47.6630744</v>
      </c>
      <c r="I745" s="58">
        <v>49.74892055512595</v>
      </c>
      <c r="J745" s="59">
        <f t="shared" si="1"/>
        <v>1</v>
      </c>
    </row>
    <row r="746">
      <c r="A746" s="55" t="str">
        <f>IFERROR(__xludf.DUMMYFUNCTION("""COMPUTED_VALUE"""),"Veteran")</f>
        <v>Veteran</v>
      </c>
      <c r="B746" s="55" t="str">
        <f>IFERROR(__xludf.DUMMYFUNCTION("""COMPUTED_VALUE"""),"RSC008524")</f>
        <v>RSC008524</v>
      </c>
      <c r="C746" s="60" t="str">
        <f>IFERROR(__xludf.DUMMYFUNCTION("""COMPUTED_VALUE"""),"ṽex")</f>
        <v>ṽex</v>
      </c>
      <c r="D746" s="54" t="str">
        <f>IFERROR(__xludf.DUMMYFUNCTION("""COMPUTED_VALUE"""),"Singularity")</f>
        <v>Singularity</v>
      </c>
      <c r="E746" s="55" t="str">
        <f>IFERROR(__xludf.DUMMYFUNCTION("""COMPUTED_VALUE"""),"Solar")</f>
        <v>Solar</v>
      </c>
      <c r="F746" s="56">
        <f>IFERROR(__xludf.DUMMYFUNCTION("""COMPUTED_VALUE"""),51.795245947408844)</f>
        <v>51.79524595</v>
      </c>
      <c r="G746" s="57">
        <f>IFERROR(__xludf.DUMMYFUNCTION("""COMPUTED_VALUE"""),4.0)</f>
        <v>4</v>
      </c>
      <c r="H746" s="58">
        <f>IFERROR(__xludf.DUMMYFUNCTION("iferror(if(B746="""", ,filter('IDR Import'!D:D,'IDR Import'!A:A=B746,'IDR Import'!C:C=A746)),)"),24.378845792507654)</f>
        <v>24.37884579</v>
      </c>
      <c r="I746" s="58">
        <v>38.087045869958246</v>
      </c>
      <c r="J746" s="59">
        <f t="shared" si="1"/>
        <v>4</v>
      </c>
    </row>
    <row r="747">
      <c r="A747" s="55" t="str">
        <f>IFERROR(__xludf.DUMMYFUNCTION("""COMPUTED_VALUE"""),"Veteran")</f>
        <v>Veteran</v>
      </c>
      <c r="B747" s="55" t="str">
        <f>IFERROR(__xludf.DUMMYFUNCTION("""COMPUTED_VALUE"""),"RSC004220")</f>
        <v>RSC004220</v>
      </c>
      <c r="C747" s="60" t="str">
        <f>IFERROR(__xludf.DUMMYFUNCTION("""COMPUTED_VALUE"""),"Logixaal")</f>
        <v>Logixaal</v>
      </c>
      <c r="D747" s="54" t="str">
        <f>IFERROR(__xludf.DUMMYFUNCTION("""COMPUTED_VALUE"""),"Makos")</f>
        <v>Makos</v>
      </c>
      <c r="E747" s="55" t="str">
        <f>IFERROR(__xludf.DUMMYFUNCTION("""COMPUTED_VALUE"""),"Solar")</f>
        <v>Solar</v>
      </c>
      <c r="F747" s="56">
        <f>IFERROR(__xludf.DUMMYFUNCTION("""COMPUTED_VALUE"""),51.70000437119173)</f>
        <v>51.70000437</v>
      </c>
      <c r="G747" s="57">
        <f>IFERROR(__xludf.DUMMYFUNCTION("""COMPUTED_VALUE"""),56.0)</f>
        <v>56</v>
      </c>
      <c r="H747" s="58">
        <f>IFERROR(__xludf.DUMMYFUNCTION("iferror(if(B747="""", ,filter('IDR Import'!D:D,'IDR Import'!A:A=B747,'IDR Import'!C:C=A747)),)"),59.00439739564309)</f>
        <v>59.0043974</v>
      </c>
      <c r="I747" s="58">
        <v>55.35220088341741</v>
      </c>
      <c r="J747" s="59">
        <f t="shared" si="1"/>
        <v>56</v>
      </c>
    </row>
    <row r="748">
      <c r="A748" s="55" t="str">
        <f>IFERROR(__xludf.DUMMYFUNCTION("""COMPUTED_VALUE"""),"Veteran")</f>
        <v>Veteran</v>
      </c>
      <c r="B748" s="55" t="str">
        <f>IFERROR(__xludf.DUMMYFUNCTION("""COMPUTED_VALUE"""),"RSC007720")</f>
        <v>RSC007720</v>
      </c>
      <c r="C748" s="60" t="str">
        <f>IFERROR(__xludf.DUMMYFUNCTION("""COMPUTED_VALUE"""),"trock")</f>
        <v>trock</v>
      </c>
      <c r="D748" s="54" t="str">
        <f>IFERROR(__xludf.DUMMYFUNCTION("""COMPUTED_VALUE"""),"Dread")</f>
        <v>Dread</v>
      </c>
      <c r="E748" s="55" t="str">
        <f>IFERROR(__xludf.DUMMYFUNCTION("""COMPUTED_VALUE"""),"Lunar")</f>
        <v>Lunar</v>
      </c>
      <c r="F748" s="56">
        <f>IFERROR(__xludf.DUMMYFUNCTION("""COMPUTED_VALUE"""),51.63264476964072)</f>
        <v>51.63264477</v>
      </c>
      <c r="G748" s="57">
        <f>IFERROR(__xludf.DUMMYFUNCTION("""COMPUTED_VALUE"""),52.0)</f>
        <v>52</v>
      </c>
      <c r="H748" s="58">
        <f>IFERROR(__xludf.DUMMYFUNCTION("iferror(if(B748="""", ,filter('IDR Import'!D:D,'IDR Import'!A:A=B748,'IDR Import'!C:C=A748)),)"),52.9381632726148)</f>
        <v>52.93816327</v>
      </c>
      <c r="I748" s="58">
        <v>52.28540402112776</v>
      </c>
      <c r="J748" s="59">
        <f t="shared" si="1"/>
        <v>52</v>
      </c>
    </row>
    <row r="749">
      <c r="A749" s="55" t="str">
        <f>IFERROR(__xludf.DUMMYFUNCTION("""COMPUTED_VALUE"""),"Veteran")</f>
        <v>Veteran</v>
      </c>
      <c r="B749" s="55" t="str">
        <f>IFERROR(__xludf.DUMMYFUNCTION("""COMPUTED_VALUE"""),"RSC008527")</f>
        <v>RSC008527</v>
      </c>
      <c r="C749" s="60" t="str">
        <f>IFERROR(__xludf.DUMMYFUNCTION("""COMPUTED_VALUE"""),"HouseHoldNugg")</f>
        <v>HouseHoldNugg</v>
      </c>
      <c r="D749" s="54" t="str">
        <f>IFERROR(__xludf.DUMMYFUNCTION("""COMPUTED_VALUE"""),"Shadow Tails")</f>
        <v>Shadow Tails</v>
      </c>
      <c r="E749" s="55" t="str">
        <f>IFERROR(__xludf.DUMMYFUNCTION("""COMPUTED_VALUE"""),"Solar")</f>
        <v>Solar</v>
      </c>
      <c r="F749" s="56">
        <f>IFERROR(__xludf.DUMMYFUNCTION("""COMPUTED_VALUE"""),51.488367907080445)</f>
        <v>51.48836791</v>
      </c>
      <c r="G749" s="57">
        <f>IFERROR(__xludf.DUMMYFUNCTION("""COMPUTED_VALUE"""),18.0)</f>
        <v>18</v>
      </c>
      <c r="H749" s="58">
        <f>IFERROR(__xludf.DUMMYFUNCTION("iferror(if(B749="""", ,filter('IDR Import'!D:D,'IDR Import'!A:A=B749,'IDR Import'!C:C=A749)),)"),41.740975396449805)</f>
        <v>41.7409754</v>
      </c>
      <c r="I749" s="58">
        <v>46.61467165176512</v>
      </c>
      <c r="J749" s="59">
        <f t="shared" si="1"/>
        <v>18</v>
      </c>
    </row>
    <row r="750">
      <c r="A750" s="55" t="str">
        <f>IFERROR(__xludf.DUMMYFUNCTION("""COMPUTED_VALUE"""),"Veteran")</f>
        <v>Veteran</v>
      </c>
      <c r="B750" s="55" t="str">
        <f>IFERROR(__xludf.DUMMYFUNCTION("""COMPUTED_VALUE"""),"RSC004872")</f>
        <v>RSC004872</v>
      </c>
      <c r="C750" s="60" t="str">
        <f>IFERROR(__xludf.DUMMYFUNCTION("""COMPUTED_VALUE"""),"JustLaben")</f>
        <v>JustLaben</v>
      </c>
      <c r="D750" s="54" t="str">
        <f>IFERROR(__xludf.DUMMYFUNCTION("""COMPUTED_VALUE"""),"Cannoli")</f>
        <v>Cannoli</v>
      </c>
      <c r="E750" s="55" t="str">
        <f>IFERROR(__xludf.DUMMYFUNCTION("""COMPUTED_VALUE"""),"Lunar")</f>
        <v>Lunar</v>
      </c>
      <c r="F750" s="56">
        <f>IFERROR(__xludf.DUMMYFUNCTION("""COMPUTED_VALUE"""),51.150519320537576)</f>
        <v>51.15051932</v>
      </c>
      <c r="G750" s="57">
        <f>IFERROR(__xludf.DUMMYFUNCTION("""COMPUTED_VALUE"""),44.0)</f>
        <v>44</v>
      </c>
      <c r="H750" s="58">
        <f>IFERROR(__xludf.DUMMYFUNCTION("iferror(if(B750="""", ,filter('IDR Import'!D:D,'IDR Import'!A:A=B750,'IDR Import'!C:C=A750)),)"),52.8441295811069)</f>
        <v>52.84412958</v>
      </c>
      <c r="I750" s="58">
        <v>51.997324450822234</v>
      </c>
      <c r="J750" s="59">
        <f t="shared" si="1"/>
        <v>44</v>
      </c>
    </row>
    <row r="751">
      <c r="A751" s="55" t="str">
        <f>IFERROR(__xludf.DUMMYFUNCTION("""COMPUTED_VALUE"""),"Veteran")</f>
        <v>Veteran</v>
      </c>
      <c r="B751" s="55" t="str">
        <f>IFERROR(__xludf.DUMMYFUNCTION("""COMPUTED_VALUE"""),"RSC006490")</f>
        <v>RSC006490</v>
      </c>
      <c r="C751" s="60" t="str">
        <f>IFERROR(__xludf.DUMMYFUNCTION("""COMPUTED_VALUE"""),"Dayz")</f>
        <v>Dayz</v>
      </c>
      <c r="D751" s="54" t="str">
        <f>IFERROR(__xludf.DUMMYFUNCTION("""COMPUTED_VALUE"""),"Shadow Tails")</f>
        <v>Shadow Tails</v>
      </c>
      <c r="E751" s="55" t="str">
        <f>IFERROR(__xludf.DUMMYFUNCTION("""COMPUTED_VALUE"""),"Solar")</f>
        <v>Solar</v>
      </c>
      <c r="F751" s="56">
        <f>IFERROR(__xludf.DUMMYFUNCTION("""COMPUTED_VALUE"""),50.93759080492892)</f>
        <v>50.9375908</v>
      </c>
      <c r="G751" s="57">
        <f>IFERROR(__xludf.DUMMYFUNCTION("""COMPUTED_VALUE"""),45.0)</f>
        <v>45</v>
      </c>
      <c r="H751" s="58">
        <f>IFERROR(__xludf.DUMMYFUNCTION("iferror(if(B751="""", ,filter('IDR Import'!D:D,'IDR Import'!A:A=B751,'IDR Import'!C:C=A751)),)"),45.646216354081034)</f>
        <v>45.64621635</v>
      </c>
      <c r="I751" s="58">
        <v>48.291903579504975</v>
      </c>
      <c r="J751" s="59">
        <f t="shared" si="1"/>
        <v>45</v>
      </c>
    </row>
    <row r="752">
      <c r="A752" s="55" t="str">
        <f>IFERROR(__xludf.DUMMYFUNCTION("""COMPUTED_VALUE"""),"Veteran")</f>
        <v>Veteran</v>
      </c>
      <c r="B752" s="55" t="str">
        <f>IFERROR(__xludf.DUMMYFUNCTION("""COMPUTED_VALUE"""),"RSC000926")</f>
        <v>RSC000926</v>
      </c>
      <c r="C752" s="60" t="str">
        <f>IFERROR(__xludf.DUMMYFUNCTION("""COMPUTED_VALUE"""),"SlmRnchr")</f>
        <v>SlmRnchr</v>
      </c>
      <c r="D752" s="54" t="str">
        <f>IFERROR(__xludf.DUMMYFUNCTION("""COMPUTED_VALUE"""),"Banshees")</f>
        <v>Banshees</v>
      </c>
      <c r="E752" s="55" t="str">
        <f>IFERROR(__xludf.DUMMYFUNCTION("""COMPUTED_VALUE"""),"Lunar")</f>
        <v>Lunar</v>
      </c>
      <c r="F752" s="56">
        <f>IFERROR(__xludf.DUMMYFUNCTION("""COMPUTED_VALUE"""),50.8040774817971)</f>
        <v>50.80407748</v>
      </c>
      <c r="G752" s="57">
        <f>IFERROR(__xludf.DUMMYFUNCTION("""COMPUTED_VALUE"""),55.0)</f>
        <v>55</v>
      </c>
      <c r="H752" s="58">
        <f>IFERROR(__xludf.DUMMYFUNCTION("iferror(if(B752="""", ,filter('IDR Import'!D:D,'IDR Import'!A:A=B752,'IDR Import'!C:C=A752)),)"),43.65684169547373)</f>
        <v>43.6568417</v>
      </c>
      <c r="I752" s="58">
        <v>47.23045958863541</v>
      </c>
      <c r="J752" s="59">
        <f t="shared" si="1"/>
        <v>55</v>
      </c>
    </row>
    <row r="753">
      <c r="A753" s="55" t="str">
        <f>IFERROR(__xludf.DUMMYFUNCTION("""COMPUTED_VALUE"""),"Veteran")</f>
        <v>Veteran</v>
      </c>
      <c r="B753" s="55" t="str">
        <f>IFERROR(__xludf.DUMMYFUNCTION("""COMPUTED_VALUE"""),"RSC008172")</f>
        <v>RSC008172</v>
      </c>
      <c r="C753" s="60" t="str">
        <f>IFERROR(__xludf.DUMMYFUNCTION("""COMPUTED_VALUE"""),"Vera")</f>
        <v>Vera</v>
      </c>
      <c r="D753" s="54" t="str">
        <f>IFERROR(__xludf.DUMMYFUNCTION("""COMPUTED_VALUE"""),"Giant Squids
Lycans")</f>
        <v>Giant Squids
Lycans</v>
      </c>
      <c r="E753" s="55" t="str">
        <f>IFERROR(__xludf.DUMMYFUNCTION("""COMPUTED_VALUE"""),"Lunar
Solar")</f>
        <v>Lunar
Solar</v>
      </c>
      <c r="F753" s="56">
        <f>IFERROR(__xludf.DUMMYFUNCTION("""COMPUTED_VALUE"""),50.27738846389102)</f>
        <v>50.27738846</v>
      </c>
      <c r="G753" s="57">
        <f>IFERROR(__xludf.DUMMYFUNCTION("""COMPUTED_VALUE"""),11.0)</f>
        <v>11</v>
      </c>
      <c r="H753" s="58">
        <f>IFERROR(__xludf.DUMMYFUNCTION("iferror(if(B753="""", ,filter('IDR Import'!D:D,'IDR Import'!A:A=B753,'IDR Import'!C:C=A753)),)"),57.23334797969526)</f>
        <v>57.23334798</v>
      </c>
      <c r="I753" s="58">
        <v>53.75536822179314</v>
      </c>
      <c r="J753" s="59">
        <f t="shared" si="1"/>
        <v>11</v>
      </c>
    </row>
    <row r="754">
      <c r="A754" s="55" t="str">
        <f>IFERROR(__xludf.DUMMYFUNCTION("""COMPUTED_VALUE"""),"Veteran")</f>
        <v>Veteran</v>
      </c>
      <c r="B754" s="55" t="str">
        <f>IFERROR(__xludf.DUMMYFUNCTION("""COMPUTED_VALUE"""),"RSC007358")</f>
        <v>RSC007358</v>
      </c>
      <c r="C754" s="60" t="str">
        <f>IFERROR(__xludf.DUMMYFUNCTION("""COMPUTED_VALUE"""),"Tropicalshortsba")</f>
        <v>Tropicalshortsba</v>
      </c>
      <c r="D754" s="54" t="str">
        <f>IFERROR(__xludf.DUMMYFUNCTION("""COMPUTED_VALUE"""),"Giant Squids")</f>
        <v>Giant Squids</v>
      </c>
      <c r="E754" s="55" t="str">
        <f>IFERROR(__xludf.DUMMYFUNCTION("""COMPUTED_VALUE"""),"Lunar")</f>
        <v>Lunar</v>
      </c>
      <c r="F754" s="56">
        <f>IFERROR(__xludf.DUMMYFUNCTION("""COMPUTED_VALUE"""),49.99895267649267)</f>
        <v>49.99895268</v>
      </c>
      <c r="G754" s="57">
        <f>IFERROR(__xludf.DUMMYFUNCTION("""COMPUTED_VALUE"""),50.0)</f>
        <v>50</v>
      </c>
      <c r="H754" s="58">
        <f>IFERROR(__xludf.DUMMYFUNCTION("iferror(if(B754="""", ,filter('IDR Import'!D:D,'IDR Import'!A:A=B754,'IDR Import'!C:C=A754)),)"),56.90933052477075)</f>
        <v>56.90933052</v>
      </c>
      <c r="I754" s="58">
        <v>53.454141600631715</v>
      </c>
      <c r="J754" s="59">
        <f t="shared" si="1"/>
        <v>50</v>
      </c>
    </row>
    <row r="755">
      <c r="A755" s="55" t="str">
        <f>IFERROR(__xludf.DUMMYFUNCTION("""COMPUTED_VALUE"""),"Veteran")</f>
        <v>Veteran</v>
      </c>
      <c r="B755" s="55" t="str">
        <f>IFERROR(__xludf.DUMMYFUNCTION("""COMPUTED_VALUE"""),"RSC008373")</f>
        <v>RSC008373</v>
      </c>
      <c r="C755" s="60" t="str">
        <f>IFERROR(__xludf.DUMMYFUNCTION("""COMPUTED_VALUE"""),"jhonko")</f>
        <v>jhonko</v>
      </c>
      <c r="D755" s="54" t="str">
        <f>IFERROR(__xludf.DUMMYFUNCTION("""COMPUTED_VALUE"""),"Blacksmiths")</f>
        <v>Blacksmiths</v>
      </c>
      <c r="E755" s="55" t="str">
        <f>IFERROR(__xludf.DUMMYFUNCTION("""COMPUTED_VALUE"""),"Lunar")</f>
        <v>Lunar</v>
      </c>
      <c r="F755" s="56">
        <f>IFERROR(__xludf.DUMMYFUNCTION("""COMPUTED_VALUE"""),49.99784455797911)</f>
        <v>49.99784456</v>
      </c>
      <c r="G755" s="57">
        <f>IFERROR(__xludf.DUMMYFUNCTION("""COMPUTED_VALUE"""),50.0)</f>
        <v>50</v>
      </c>
      <c r="H755" s="58">
        <f>IFERROR(__xludf.DUMMYFUNCTION("iferror(if(B755="""", ,filter('IDR Import'!D:D,'IDR Import'!A:A=B755,'IDR Import'!C:C=A755)),)"),49.3215142242951)</f>
        <v>49.32151422</v>
      </c>
      <c r="I755" s="58">
        <v>49.659679391137104</v>
      </c>
      <c r="J755" s="59">
        <f t="shared" si="1"/>
        <v>50</v>
      </c>
    </row>
    <row r="756">
      <c r="A756" s="55" t="str">
        <f>IFERROR(__xludf.DUMMYFUNCTION("""COMPUTED_VALUE"""),"Veteran")</f>
        <v>Veteran</v>
      </c>
      <c r="B756" s="55" t="str">
        <f>IFERROR(__xludf.DUMMYFUNCTION("""COMPUTED_VALUE"""),"RSC007850")</f>
        <v>RSC007850</v>
      </c>
      <c r="C756" s="60" t="str">
        <f>IFERROR(__xludf.DUMMYFUNCTION("""COMPUTED_VALUE"""),"harp NO boost")</f>
        <v>harp NO boost</v>
      </c>
      <c r="D756" s="54" t="str">
        <f>IFERROR(__xludf.DUMMYFUNCTION("""COMPUTED_VALUE"""),"Cannoli")</f>
        <v>Cannoli</v>
      </c>
      <c r="E756" s="55" t="str">
        <f>IFERROR(__xludf.DUMMYFUNCTION("""COMPUTED_VALUE"""),"Lunar")</f>
        <v>Lunar</v>
      </c>
      <c r="F756" s="56">
        <f>IFERROR(__xludf.DUMMYFUNCTION("""COMPUTED_VALUE"""),49.649774988708494)</f>
        <v>49.64977499</v>
      </c>
      <c r="G756" s="57">
        <f>IFERROR(__xludf.DUMMYFUNCTION("""COMPUTED_VALUE"""),52.0)</f>
        <v>52</v>
      </c>
      <c r="H756" s="58">
        <f>IFERROR(__xludf.DUMMYFUNCTION("iferror(if(B756="""", ,filter('IDR Import'!D:D,'IDR Import'!A:A=B756,'IDR Import'!C:C=A756)),)"),54.02956969437838)</f>
        <v>54.02956969</v>
      </c>
      <c r="I756" s="58">
        <v>51.839672341543434</v>
      </c>
      <c r="J756" s="59">
        <f t="shared" si="1"/>
        <v>52</v>
      </c>
    </row>
    <row r="757">
      <c r="A757" s="55" t="str">
        <f>IFERROR(__xludf.DUMMYFUNCTION("""COMPUTED_VALUE"""),"Veteran")</f>
        <v>Veteran</v>
      </c>
      <c r="B757" s="55" t="str">
        <f>IFERROR(__xludf.DUMMYFUNCTION("""COMPUTED_VALUE"""),"RSC006314")</f>
        <v>RSC006314</v>
      </c>
      <c r="C757" s="60" t="str">
        <f>IFERROR(__xludf.DUMMYFUNCTION("""COMPUTED_VALUE"""),"Mimetic")</f>
        <v>Mimetic</v>
      </c>
      <c r="D757" s="54" t="str">
        <f>IFERROR(__xludf.DUMMYFUNCTION("""COMPUTED_VALUE"""),"Avalanche
Peppermint")</f>
        <v>Avalanche
Peppermint</v>
      </c>
      <c r="E757" s="55" t="str">
        <f>IFERROR(__xludf.DUMMYFUNCTION("""COMPUTED_VALUE"""),"Solar
Solar")</f>
        <v>Solar
Solar</v>
      </c>
      <c r="F757" s="56">
        <f>IFERROR(__xludf.DUMMYFUNCTION("""COMPUTED_VALUE"""),49.24872428788111)</f>
        <v>49.24872429</v>
      </c>
      <c r="G757" s="57">
        <f>IFERROR(__xludf.DUMMYFUNCTION("""COMPUTED_VALUE"""),47.0)</f>
        <v>47</v>
      </c>
      <c r="H757" s="58">
        <f>IFERROR(__xludf.DUMMYFUNCTION("iferror(if(B757="""", ,filter('IDR Import'!D:D,'IDR Import'!A:A=B757,'IDR Import'!C:C=A757)),)"),62.16364210623261)</f>
        <v>62.16364211</v>
      </c>
      <c r="I757" s="58">
        <v>55.70618319705686</v>
      </c>
      <c r="J757" s="59">
        <f t="shared" si="1"/>
        <v>47</v>
      </c>
    </row>
    <row r="758">
      <c r="A758" s="55" t="str">
        <f>IFERROR(__xludf.DUMMYFUNCTION("""COMPUTED_VALUE"""),"Veteran")</f>
        <v>Veteran</v>
      </c>
      <c r="B758" s="55" t="str">
        <f>IFERROR(__xludf.DUMMYFUNCTION("""COMPUTED_VALUE"""),"RSC007475")</f>
        <v>RSC007475</v>
      </c>
      <c r="C758" s="60" t="str">
        <f>IFERROR(__xludf.DUMMYFUNCTION("""COMPUTED_VALUE"""),"spposse")</f>
        <v>spposse</v>
      </c>
      <c r="D758" s="54" t="str">
        <f>IFERROR(__xludf.DUMMYFUNCTION("""COMPUTED_VALUE"""),"Dread")</f>
        <v>Dread</v>
      </c>
      <c r="E758" s="55" t="str">
        <f>IFERROR(__xludf.DUMMYFUNCTION("""COMPUTED_VALUE"""),"Lunar")</f>
        <v>Lunar</v>
      </c>
      <c r="F758" s="56">
        <f>IFERROR(__xludf.DUMMYFUNCTION("""COMPUTED_VALUE"""),49.10340617083842)</f>
        <v>49.10340617</v>
      </c>
      <c r="G758" s="57">
        <f>IFERROR(__xludf.DUMMYFUNCTION("""COMPUTED_VALUE"""),12.0)</f>
        <v>12</v>
      </c>
      <c r="H758" s="58">
        <f>IFERROR(__xludf.DUMMYFUNCTION("iferror(if(B758="""", ,filter('IDR Import'!D:D,'IDR Import'!A:A=B758,'IDR Import'!C:C=A758)),)"),45.64923374221727)</f>
        <v>45.64923374</v>
      </c>
      <c r="I758" s="58">
        <v>47.376319956527844</v>
      </c>
      <c r="J758" s="59">
        <f t="shared" si="1"/>
        <v>12</v>
      </c>
    </row>
    <row r="759">
      <c r="A759" s="55" t="str">
        <f>IFERROR(__xludf.DUMMYFUNCTION("""COMPUTED_VALUE"""),"Veteran")</f>
        <v>Veteran</v>
      </c>
      <c r="B759" s="55" t="str">
        <f>IFERROR(__xludf.DUMMYFUNCTION("""COMPUTED_VALUE"""),"RSC006823")</f>
        <v>RSC006823</v>
      </c>
      <c r="C759" s="60" t="str">
        <f>IFERROR(__xludf.DUMMYFUNCTION("""COMPUTED_VALUE"""),"Onirltv")</f>
        <v>Onirltv</v>
      </c>
      <c r="D759" s="54" t="str">
        <f>IFERROR(__xludf.DUMMYFUNCTION("""COMPUTED_VALUE"""),"Peppermint")</f>
        <v>Peppermint</v>
      </c>
      <c r="E759" s="55" t="str">
        <f>IFERROR(__xludf.DUMMYFUNCTION("""COMPUTED_VALUE"""),"Solar")</f>
        <v>Solar</v>
      </c>
      <c r="F759" s="56">
        <f>IFERROR(__xludf.DUMMYFUNCTION("""COMPUTED_VALUE"""),48.62507369851767)</f>
        <v>48.6250737</v>
      </c>
      <c r="G759" s="57">
        <f>IFERROR(__xludf.DUMMYFUNCTION("""COMPUTED_VALUE"""),8.0)</f>
        <v>8</v>
      </c>
      <c r="H759" s="58">
        <f>IFERROR(__xludf.DUMMYFUNCTION("iferror(if(B759="""", ,filter('IDR Import'!D:D,'IDR Import'!A:A=B759,'IDR Import'!C:C=A759)),)"),42.65488984852378)</f>
        <v>42.65488985</v>
      </c>
      <c r="I759" s="58">
        <v>45.639981773520724</v>
      </c>
      <c r="J759" s="59">
        <f t="shared" si="1"/>
        <v>8</v>
      </c>
    </row>
    <row r="760">
      <c r="A760" s="55" t="str">
        <f>IFERROR(__xludf.DUMMYFUNCTION("""COMPUTED_VALUE"""),"Veteran")</f>
        <v>Veteran</v>
      </c>
      <c r="B760" s="55" t="str">
        <f>IFERROR(__xludf.DUMMYFUNCTION("""COMPUTED_VALUE"""),"RSC008460")</f>
        <v>RSC008460</v>
      </c>
      <c r="C760" s="60" t="str">
        <f>IFERROR(__xludf.DUMMYFUNCTION("""COMPUTED_VALUE"""),"Murleaux")</f>
        <v>Murleaux</v>
      </c>
      <c r="D760" s="54" t="str">
        <f>IFERROR(__xludf.DUMMYFUNCTION("""COMPUTED_VALUE"""),"Folks")</f>
        <v>Folks</v>
      </c>
      <c r="E760" s="55" t="str">
        <f>IFERROR(__xludf.DUMMYFUNCTION("""COMPUTED_VALUE"""),"Lunar")</f>
        <v>Lunar</v>
      </c>
      <c r="F760" s="56">
        <f>IFERROR(__xludf.DUMMYFUNCTION("""COMPUTED_VALUE"""),48.37337360533531)</f>
        <v>48.37337361</v>
      </c>
      <c r="G760" s="57">
        <f>IFERROR(__xludf.DUMMYFUNCTION("""COMPUTED_VALUE"""),51.0)</f>
        <v>51</v>
      </c>
      <c r="H760" s="58">
        <f>IFERROR(__xludf.DUMMYFUNCTION("iferror(if(B760="""", ,filter('IDR Import'!D:D,'IDR Import'!A:A=B760,'IDR Import'!C:C=A760)),)"),35.382250349924675)</f>
        <v>35.38225035</v>
      </c>
      <c r="I760" s="58">
        <v>41.87781197762999</v>
      </c>
      <c r="J760" s="59">
        <f t="shared" si="1"/>
        <v>51</v>
      </c>
    </row>
    <row r="761">
      <c r="A761" s="55" t="str">
        <f>IFERROR(__xludf.DUMMYFUNCTION("""COMPUTED_VALUE"""),"Veteran")</f>
        <v>Veteran</v>
      </c>
      <c r="B761" s="55" t="str">
        <f>IFERROR(__xludf.DUMMYFUNCTION("""COMPUTED_VALUE"""),"RSC008052")</f>
        <v>RSC008052</v>
      </c>
      <c r="C761" s="60" t="str">
        <f>IFERROR(__xludf.DUMMYFUNCTION("""COMPUTED_VALUE"""),"CrypticTide.")</f>
        <v>CrypticTide.</v>
      </c>
      <c r="D761" s="54" t="str">
        <f>IFERROR(__xludf.DUMMYFUNCTION("""COMPUTED_VALUE"""),"Fer-de-Lance")</f>
        <v>Fer-de-Lance</v>
      </c>
      <c r="E761" s="55" t="str">
        <f>IFERROR(__xludf.DUMMYFUNCTION("""COMPUTED_VALUE"""),"Lunar")</f>
        <v>Lunar</v>
      </c>
      <c r="F761" s="56">
        <f>IFERROR(__xludf.DUMMYFUNCTION("""COMPUTED_VALUE"""),48.03895691249405)</f>
        <v>48.03895691</v>
      </c>
      <c r="G761" s="57">
        <f>IFERROR(__xludf.DUMMYFUNCTION("""COMPUTED_VALUE"""),4.0)</f>
        <v>4</v>
      </c>
      <c r="H761" s="58">
        <f>IFERROR(__xludf.DUMMYFUNCTION("iferror(if(B761="""", ,filter('IDR Import'!D:D,'IDR Import'!A:A=B761,'IDR Import'!C:C=A761)),)"),39.74648921645268)</f>
        <v>39.74648922</v>
      </c>
      <c r="I761" s="58">
        <v>43.892723064473365</v>
      </c>
      <c r="J761" s="59">
        <f t="shared" si="1"/>
        <v>4</v>
      </c>
    </row>
    <row r="762">
      <c r="A762" s="55" t="str">
        <f>IFERROR(__xludf.DUMMYFUNCTION("""COMPUTED_VALUE"""),"Veteran")</f>
        <v>Veteran</v>
      </c>
      <c r="B762" s="55" t="str">
        <f>IFERROR(__xludf.DUMMYFUNCTION("""COMPUTED_VALUE"""),"RSC003904")</f>
        <v>RSC003904</v>
      </c>
      <c r="C762" s="60" t="str">
        <f>IFERROR(__xludf.DUMMYFUNCTION("""COMPUTED_VALUE"""),"Tyyphoon454")</f>
        <v>Tyyphoon454</v>
      </c>
      <c r="D762" s="54" t="str">
        <f>IFERROR(__xludf.DUMMYFUNCTION("""COMPUTED_VALUE"""),"Dogfight")</f>
        <v>Dogfight</v>
      </c>
      <c r="E762" s="55" t="str">
        <f>IFERROR(__xludf.DUMMYFUNCTION("""COMPUTED_VALUE"""),"Lunar")</f>
        <v>Lunar</v>
      </c>
      <c r="F762" s="56">
        <f>IFERROR(__xludf.DUMMYFUNCTION("""COMPUTED_VALUE"""),47.98009310584315)</f>
        <v>47.98009311</v>
      </c>
      <c r="G762" s="57">
        <f>IFERROR(__xludf.DUMMYFUNCTION("""COMPUTED_VALUE"""),24.0)</f>
        <v>24</v>
      </c>
      <c r="H762" s="58">
        <f>IFERROR(__xludf.DUMMYFUNCTION("iferror(if(B762="""", ,filter('IDR Import'!D:D,'IDR Import'!A:A=B762,'IDR Import'!C:C=A762)),)"),48.606993777209645)</f>
        <v>48.60699378</v>
      </c>
      <c r="I762" s="58">
        <v>48.293543441526396</v>
      </c>
      <c r="J762" s="59">
        <f t="shared" si="1"/>
        <v>24</v>
      </c>
    </row>
    <row r="763">
      <c r="A763" s="55" t="str">
        <f>IFERROR(__xludf.DUMMYFUNCTION("""COMPUTED_VALUE"""),"Veteran")</f>
        <v>Veteran</v>
      </c>
      <c r="B763" s="55" t="str">
        <f>IFERROR(__xludf.DUMMYFUNCTION("""COMPUTED_VALUE"""),"RSC007173")</f>
        <v>RSC007173</v>
      </c>
      <c r="C763" s="60" t="str">
        <f>IFERROR(__xludf.DUMMYFUNCTION("""COMPUTED_VALUE"""),"mr_marino_")</f>
        <v>mr_marino_</v>
      </c>
      <c r="D763" s="54" t="str">
        <f>IFERROR(__xludf.DUMMYFUNCTION("""COMPUTED_VALUE"""),"Fer-de-Lance")</f>
        <v>Fer-de-Lance</v>
      </c>
      <c r="E763" s="55" t="str">
        <f>IFERROR(__xludf.DUMMYFUNCTION("""COMPUTED_VALUE"""),"Lunar")</f>
        <v>Lunar</v>
      </c>
      <c r="F763" s="56">
        <f>IFERROR(__xludf.DUMMYFUNCTION("""COMPUTED_VALUE"""),47.87710720017304)</f>
        <v>47.8771072</v>
      </c>
      <c r="G763" s="57">
        <f>IFERROR(__xludf.DUMMYFUNCTION("""COMPUTED_VALUE"""),50.0)</f>
        <v>50</v>
      </c>
      <c r="H763" s="58">
        <f>IFERROR(__xludf.DUMMYFUNCTION("iferror(if(B763="""", ,filter('IDR Import'!D:D,'IDR Import'!A:A=B763,'IDR Import'!C:C=A763)),)"),47.048050533964165)</f>
        <v>47.04805053</v>
      </c>
      <c r="I763" s="58">
        <v>47.4625788670686</v>
      </c>
      <c r="J763" s="59">
        <f t="shared" si="1"/>
        <v>50</v>
      </c>
    </row>
    <row r="764">
      <c r="A764" s="55" t="str">
        <f>IFERROR(__xludf.DUMMYFUNCTION("""COMPUTED_VALUE"""),"Veteran")</f>
        <v>Veteran</v>
      </c>
      <c r="B764" s="55" t="str">
        <f>IFERROR(__xludf.DUMMYFUNCTION("""COMPUTED_VALUE"""),"RSC004394")</f>
        <v>RSC004394</v>
      </c>
      <c r="C764" s="60" t="str">
        <f>IFERROR(__xludf.DUMMYFUNCTION("""COMPUTED_VALUE"""),"chis")</f>
        <v>chis</v>
      </c>
      <c r="D764" s="54" t="str">
        <f>IFERROR(__xludf.DUMMYFUNCTION("""COMPUTED_VALUE"""),"Gouda Gangsters")</f>
        <v>Gouda Gangsters</v>
      </c>
      <c r="E764" s="55" t="str">
        <f>IFERROR(__xludf.DUMMYFUNCTION("""COMPUTED_VALUE"""),"Lunar")</f>
        <v>Lunar</v>
      </c>
      <c r="F764" s="56">
        <f>IFERROR(__xludf.DUMMYFUNCTION("""COMPUTED_VALUE"""),47.77333768751502)</f>
        <v>47.77333769</v>
      </c>
      <c r="G764" s="57">
        <f>IFERROR(__xludf.DUMMYFUNCTION("""COMPUTED_VALUE"""),48.0)</f>
        <v>48</v>
      </c>
      <c r="H764" s="58">
        <f>IFERROR(__xludf.DUMMYFUNCTION("iferror(if(B764="""", ,filter('IDR Import'!D:D,'IDR Import'!A:A=B764,'IDR Import'!C:C=A764)),)"),51.83768693912168)</f>
        <v>51.83768694</v>
      </c>
      <c r="I764" s="58">
        <v>49.805512313318346</v>
      </c>
      <c r="J764" s="59">
        <f t="shared" si="1"/>
        <v>48</v>
      </c>
    </row>
    <row r="765">
      <c r="A765" s="55" t="str">
        <f>IFERROR(__xludf.DUMMYFUNCTION("""COMPUTED_VALUE"""),"Veteran")</f>
        <v>Veteran</v>
      </c>
      <c r="B765" s="55" t="str">
        <f>IFERROR(__xludf.DUMMYFUNCTION("""COMPUTED_VALUE"""),"RSC003945")</f>
        <v>RSC003945</v>
      </c>
      <c r="C765" s="60" t="str">
        <f>IFERROR(__xludf.DUMMYFUNCTION("""COMPUTED_VALUE"""),"Gaw1f3d")</f>
        <v>Gaw1f3d</v>
      </c>
      <c r="D765" s="54" t="str">
        <f>IFERROR(__xludf.DUMMYFUNCTION("""COMPUTED_VALUE"""),"Navigators")</f>
        <v>Navigators</v>
      </c>
      <c r="E765" s="55" t="str">
        <f>IFERROR(__xludf.DUMMYFUNCTION("""COMPUTED_VALUE"""),"Solar")</f>
        <v>Solar</v>
      </c>
      <c r="F765" s="56">
        <f>IFERROR(__xludf.DUMMYFUNCTION("""COMPUTED_VALUE"""),47.053507019295466)</f>
        <v>47.05350702</v>
      </c>
      <c r="G765" s="57">
        <f>IFERROR(__xludf.DUMMYFUNCTION("""COMPUTED_VALUE"""),42.0)</f>
        <v>42</v>
      </c>
      <c r="H765" s="58">
        <f>IFERROR(__xludf.DUMMYFUNCTION("iferror(if(B765="""", ,filter('IDR Import'!D:D,'IDR Import'!A:A=B765,'IDR Import'!C:C=A765)),)"),47.21780164484861)</f>
        <v>47.21780164</v>
      </c>
      <c r="I765" s="58">
        <v>47.135654332072036</v>
      </c>
      <c r="J765" s="59">
        <f t="shared" si="1"/>
        <v>42</v>
      </c>
    </row>
    <row r="766">
      <c r="A766" s="55" t="str">
        <f>IFERROR(__xludf.DUMMYFUNCTION("""COMPUTED_VALUE"""),"Veteran")</f>
        <v>Veteran</v>
      </c>
      <c r="B766" s="55" t="str">
        <f>IFERROR(__xludf.DUMMYFUNCTION("""COMPUTED_VALUE"""),"RSC008536")</f>
        <v>RSC008536</v>
      </c>
      <c r="C766" s="60" t="str">
        <f>IFERROR(__xludf.DUMMYFUNCTION("""COMPUTED_VALUE"""),"Synbad-")</f>
        <v>Synbad-</v>
      </c>
      <c r="D766" s="54" t="str">
        <f>IFERROR(__xludf.DUMMYFUNCTION("""COMPUTED_VALUE"""),"White Collars
Peppermint")</f>
        <v>White Collars
Peppermint</v>
      </c>
      <c r="E766" s="55" t="str">
        <f>IFERROR(__xludf.DUMMYFUNCTION("""COMPUTED_VALUE"""),"Lunar
Solar")</f>
        <v>Lunar
Solar</v>
      </c>
      <c r="F766" s="56">
        <f>IFERROR(__xludf.DUMMYFUNCTION("""COMPUTED_VALUE"""),46.87481919325053)</f>
        <v>46.87481919</v>
      </c>
      <c r="G766" s="57">
        <f>IFERROR(__xludf.DUMMYFUNCTION("""COMPUTED_VALUE"""),28.0)</f>
        <v>28</v>
      </c>
      <c r="H766" s="58">
        <f>IFERROR(__xludf.DUMMYFUNCTION("iferror(if(B766="""", ,filter('IDR Import'!D:D,'IDR Import'!A:A=B766,'IDR Import'!C:C=A766)),)"),37.58140357388421)</f>
        <v>37.58140357</v>
      </c>
      <c r="I766" s="58">
        <v>42.22811138356737</v>
      </c>
      <c r="J766" s="59">
        <f t="shared" si="1"/>
        <v>28</v>
      </c>
    </row>
    <row r="767">
      <c r="A767" s="55" t="str">
        <f>IFERROR(__xludf.DUMMYFUNCTION("""COMPUTED_VALUE"""),"Veteran")</f>
        <v>Veteran</v>
      </c>
      <c r="B767" s="55" t="str">
        <f>IFERROR(__xludf.DUMMYFUNCTION("""COMPUTED_VALUE"""),"RSC006000")</f>
        <v>RSC006000</v>
      </c>
      <c r="C767" s="60" t="str">
        <f>IFERROR(__xludf.DUMMYFUNCTION("""COMPUTED_VALUE"""),"janixity.")</f>
        <v>janixity.</v>
      </c>
      <c r="D767" s="54" t="str">
        <f>IFERROR(__xludf.DUMMYFUNCTION("""COMPUTED_VALUE"""),"Grizzly Bears
Singularity")</f>
        <v>Grizzly Bears
Singularity</v>
      </c>
      <c r="E767" s="55" t="str">
        <f>IFERROR(__xludf.DUMMYFUNCTION("""COMPUTED_VALUE"""),"Solar
Solar")</f>
        <v>Solar
Solar</v>
      </c>
      <c r="F767" s="56">
        <f>IFERROR(__xludf.DUMMYFUNCTION("""COMPUTED_VALUE"""),46.76529920809678)</f>
        <v>46.76529921</v>
      </c>
      <c r="G767" s="57">
        <f>IFERROR(__xludf.DUMMYFUNCTION("""COMPUTED_VALUE"""),42.0)</f>
        <v>42</v>
      </c>
      <c r="H767" s="58">
        <f>IFERROR(__xludf.DUMMYFUNCTION("iferror(if(B767="""", ,filter('IDR Import'!D:D,'IDR Import'!A:A=B767,'IDR Import'!C:C=A767)),)"),42.80857538045378)</f>
        <v>42.80857538</v>
      </c>
      <c r="I767" s="58">
        <v>44.786937294275276</v>
      </c>
      <c r="J767" s="59">
        <f t="shared" si="1"/>
        <v>42</v>
      </c>
    </row>
    <row r="768">
      <c r="A768" s="55" t="str">
        <f>IFERROR(__xludf.DUMMYFUNCTION("""COMPUTED_VALUE"""),"Veteran")</f>
        <v>Veteran</v>
      </c>
      <c r="B768" s="55" t="str">
        <f>IFERROR(__xludf.DUMMYFUNCTION("""COMPUTED_VALUE"""),"RSC006654")</f>
        <v>RSC006654</v>
      </c>
      <c r="C768" s="60" t="str">
        <f>IFERROR(__xludf.DUMMYFUNCTION("""COMPUTED_VALUE"""),"Chicken")</f>
        <v>Chicken</v>
      </c>
      <c r="D768" s="54" t="str">
        <f>IFERROR(__xludf.DUMMYFUNCTION("""COMPUTED_VALUE"""),"Gorillas")</f>
        <v>Gorillas</v>
      </c>
      <c r="E768" s="55" t="str">
        <f>IFERROR(__xludf.DUMMYFUNCTION("""COMPUTED_VALUE"""),"Solar")</f>
        <v>Solar</v>
      </c>
      <c r="F768" s="56">
        <f>IFERROR(__xludf.DUMMYFUNCTION("""COMPUTED_VALUE"""),46.06160824940492)</f>
        <v>46.06160825</v>
      </c>
      <c r="G768" s="57">
        <f>IFERROR(__xludf.DUMMYFUNCTION("""COMPUTED_VALUE"""),52.0)</f>
        <v>52</v>
      </c>
      <c r="H768" s="58">
        <f>IFERROR(__xludf.DUMMYFUNCTION("iferror(if(B768="""", ,filter('IDR Import'!D:D,'IDR Import'!A:A=B768,'IDR Import'!C:C=A768)),)"),38.60085254504483)</f>
        <v>38.60085255</v>
      </c>
      <c r="I768" s="58">
        <v>42.33123039722487</v>
      </c>
      <c r="J768" s="59">
        <f t="shared" si="1"/>
        <v>52</v>
      </c>
    </row>
    <row r="769">
      <c r="A769" s="55" t="str">
        <f>IFERROR(__xludf.DUMMYFUNCTION("""COMPUTED_VALUE"""),"Veteran")</f>
        <v>Veteran</v>
      </c>
      <c r="B769" s="55" t="str">
        <f>IFERROR(__xludf.DUMMYFUNCTION("""COMPUTED_VALUE"""),"RSC003104")</f>
        <v>RSC003104</v>
      </c>
      <c r="C769" s="60" t="str">
        <f>IFERROR(__xludf.DUMMYFUNCTION("""COMPUTED_VALUE"""),"nizz")</f>
        <v>nizz</v>
      </c>
      <c r="D769" s="54" t="str">
        <f>IFERROR(__xludf.DUMMYFUNCTION("""COMPUTED_VALUE"""),"Folks")</f>
        <v>Folks</v>
      </c>
      <c r="E769" s="55" t="str">
        <f>IFERROR(__xludf.DUMMYFUNCTION("""COMPUTED_VALUE"""),"Lunar")</f>
        <v>Lunar</v>
      </c>
      <c r="F769" s="56">
        <f>IFERROR(__xludf.DUMMYFUNCTION("""COMPUTED_VALUE"""),45.67966873563021)</f>
        <v>45.67966874</v>
      </c>
      <c r="G769" s="57">
        <f>IFERROR(__xludf.DUMMYFUNCTION("""COMPUTED_VALUE"""),21.0)</f>
        <v>21</v>
      </c>
      <c r="H769" s="58">
        <f>IFERROR(__xludf.DUMMYFUNCTION("iferror(if(B769="""", ,filter('IDR Import'!D:D,'IDR Import'!A:A=B769,'IDR Import'!C:C=A769)),)"),49.66282728333066)</f>
        <v>49.66282728</v>
      </c>
      <c r="I769" s="58">
        <v>47.671248009480436</v>
      </c>
      <c r="J769" s="59">
        <f t="shared" si="1"/>
        <v>21</v>
      </c>
    </row>
    <row r="770">
      <c r="A770" s="55" t="str">
        <f>IFERROR(__xludf.DUMMYFUNCTION("""COMPUTED_VALUE"""),"Veteran")</f>
        <v>Veteran</v>
      </c>
      <c r="B770" s="55" t="str">
        <f>IFERROR(__xludf.DUMMYFUNCTION("""COMPUTED_VALUE"""),"RSC008116")</f>
        <v>RSC008116</v>
      </c>
      <c r="C770" s="60" t="str">
        <f>IFERROR(__xludf.DUMMYFUNCTION("""COMPUTED_VALUE"""),"Jake")</f>
        <v>Jake</v>
      </c>
      <c r="D770" s="54" t="str">
        <f>IFERROR(__xludf.DUMMYFUNCTION("""COMPUTED_VALUE"""),"Merciless Mob")</f>
        <v>Merciless Mob</v>
      </c>
      <c r="E770" s="55" t="str">
        <f>IFERROR(__xludf.DUMMYFUNCTION("""COMPUTED_VALUE"""),"Lunar")</f>
        <v>Lunar</v>
      </c>
      <c r="F770" s="56">
        <f>IFERROR(__xludf.DUMMYFUNCTION("""COMPUTED_VALUE"""),45.07486196175423)</f>
        <v>45.07486196</v>
      </c>
      <c r="G770" s="57">
        <f>IFERROR(__xludf.DUMMYFUNCTION("""COMPUTED_VALUE"""),48.0)</f>
        <v>48</v>
      </c>
      <c r="H770" s="58">
        <f>IFERROR(__xludf.DUMMYFUNCTION("iferror(if(B770="""", ,filter('IDR Import'!D:D,'IDR Import'!A:A=B770,'IDR Import'!C:C=A770)),)"),46.59284853280023)</f>
        <v>46.59284853</v>
      </c>
      <c r="I770" s="58">
        <v>45.83385524727723</v>
      </c>
      <c r="J770" s="59">
        <f t="shared" si="1"/>
        <v>48</v>
      </c>
    </row>
    <row r="771">
      <c r="A771" s="55" t="str">
        <f>IFERROR(__xludf.DUMMYFUNCTION("""COMPUTED_VALUE"""),"Veteran")</f>
        <v>Veteran</v>
      </c>
      <c r="B771" s="55" t="str">
        <f>IFERROR(__xludf.DUMMYFUNCTION("""COMPUTED_VALUE"""),"RSC006938")</f>
        <v>RSC006938</v>
      </c>
      <c r="C771" s="60" t="str">
        <f>IFERROR(__xludf.DUMMYFUNCTION("""COMPUTED_VALUE"""),"Soda. .")</f>
        <v>Soda. .</v>
      </c>
      <c r="D771" s="54" t="str">
        <f>IFERROR(__xludf.DUMMYFUNCTION("""COMPUTED_VALUE"""),"Navigators")</f>
        <v>Navigators</v>
      </c>
      <c r="E771" s="55" t="str">
        <f>IFERROR(__xludf.DUMMYFUNCTION("""COMPUTED_VALUE"""),"Solar")</f>
        <v>Solar</v>
      </c>
      <c r="F771" s="56">
        <f>IFERROR(__xludf.DUMMYFUNCTION("""COMPUTED_VALUE"""),42.488037566375155)</f>
        <v>42.48803757</v>
      </c>
      <c r="G771" s="57">
        <f>IFERROR(__xludf.DUMMYFUNCTION("""COMPUTED_VALUE"""),32.0)</f>
        <v>32</v>
      </c>
      <c r="H771" s="58">
        <f>IFERROR(__xludf.DUMMYFUNCTION("iferror(if(B771="""", ,filter('IDR Import'!D:D,'IDR Import'!A:A=B771,'IDR Import'!C:C=A771)),)"),44.52096737712536)</f>
        <v>44.52096738</v>
      </c>
      <c r="I771" s="58">
        <v>43.50450247175026</v>
      </c>
      <c r="J771" s="59">
        <f t="shared" si="1"/>
        <v>32</v>
      </c>
    </row>
    <row r="772">
      <c r="A772" s="55" t="str">
        <f>IFERROR(__xludf.DUMMYFUNCTION("""COMPUTED_VALUE"""),"Veteran")</f>
        <v>Veteran</v>
      </c>
      <c r="B772" s="55" t="str">
        <f>IFERROR(__xludf.DUMMYFUNCTION("""COMPUTED_VALUE"""),"RSC002730")</f>
        <v>RSC002730</v>
      </c>
      <c r="C772" s="60" t="str">
        <f>IFERROR(__xludf.DUMMYFUNCTION("""COMPUTED_VALUE"""),"Aquap")</f>
        <v>Aquap</v>
      </c>
      <c r="D772" s="54" t="str">
        <f>IFERROR(__xludf.DUMMYFUNCTION("""COMPUTED_VALUE"""),"Navigators")</f>
        <v>Navigators</v>
      </c>
      <c r="E772" s="55" t="str">
        <f>IFERROR(__xludf.DUMMYFUNCTION("""COMPUTED_VALUE"""),"Solar")</f>
        <v>Solar</v>
      </c>
      <c r="F772" s="56">
        <f>IFERROR(__xludf.DUMMYFUNCTION("""COMPUTED_VALUE"""),42.23872169929372)</f>
        <v>42.2387217</v>
      </c>
      <c r="G772" s="57">
        <f>IFERROR(__xludf.DUMMYFUNCTION("""COMPUTED_VALUE"""),39.0)</f>
        <v>39</v>
      </c>
      <c r="H772" s="58">
        <f>IFERROR(__xludf.DUMMYFUNCTION("iferror(if(B772="""", ,filter('IDR Import'!D:D,'IDR Import'!A:A=B772,'IDR Import'!C:C=A772)),)"),46.76277502665947)</f>
        <v>46.76277503</v>
      </c>
      <c r="I772" s="58">
        <v>44.500748362976594</v>
      </c>
      <c r="J772" s="59">
        <f t="shared" si="1"/>
        <v>39</v>
      </c>
    </row>
    <row r="773">
      <c r="A773" s="55" t="str">
        <f>IFERROR(__xludf.DUMMYFUNCTION("""COMPUTED_VALUE"""),"Veteran")</f>
        <v>Veteran</v>
      </c>
      <c r="B773" s="55" t="str">
        <f>IFERROR(__xludf.DUMMYFUNCTION("""COMPUTED_VALUE"""),"RSC007186")</f>
        <v>RSC007186</v>
      </c>
      <c r="C773" s="60" t="str">
        <f>IFERROR(__xludf.DUMMYFUNCTION("""COMPUTED_VALUE"""),"Bushier Brow")</f>
        <v>Bushier Brow</v>
      </c>
      <c r="D773" s="54" t="str">
        <f>IFERROR(__xludf.DUMMYFUNCTION("""COMPUTED_VALUE"""),"Singularity")</f>
        <v>Singularity</v>
      </c>
      <c r="E773" s="55" t="str">
        <f>IFERROR(__xludf.DUMMYFUNCTION("""COMPUTED_VALUE"""),"Solar")</f>
        <v>Solar</v>
      </c>
      <c r="F773" s="56">
        <f>IFERROR(__xludf.DUMMYFUNCTION("""COMPUTED_VALUE"""),41.65133547631507)</f>
        <v>41.65133548</v>
      </c>
      <c r="G773" s="57">
        <f>IFERROR(__xludf.DUMMYFUNCTION("""COMPUTED_VALUE"""),51.0)</f>
        <v>51</v>
      </c>
      <c r="H773" s="58">
        <f>IFERROR(__xludf.DUMMYFUNCTION("iferror(if(B773="""", ,filter('IDR Import'!D:D,'IDR Import'!A:A=B773,'IDR Import'!C:C=A773)),)"),30.052092489922906)</f>
        <v>30.05209249</v>
      </c>
      <c r="I773" s="58">
        <v>35.851713983118984</v>
      </c>
      <c r="J773" s="59">
        <f t="shared" si="1"/>
        <v>51</v>
      </c>
    </row>
    <row r="774">
      <c r="A774" s="55" t="str">
        <f>IFERROR(__xludf.DUMMYFUNCTION("""COMPUTED_VALUE"""),"Veteran")</f>
        <v>Veteran</v>
      </c>
      <c r="B774" s="55" t="str">
        <f>IFERROR(__xludf.DUMMYFUNCTION("""COMPUTED_VALUE"""),"RSC006315")</f>
        <v>RSC006315</v>
      </c>
      <c r="C774" s="60" t="str">
        <f>IFERROR(__xludf.DUMMYFUNCTION("""COMPUTED_VALUE"""),"BIGbadBULLMAN13")</f>
        <v>BIGbadBULLMAN13</v>
      </c>
      <c r="D774" s="54" t="str">
        <f>IFERROR(__xludf.DUMMYFUNCTION("""COMPUTED_VALUE"""),"Kirin")</f>
        <v>Kirin</v>
      </c>
      <c r="E774" s="55" t="str">
        <f>IFERROR(__xludf.DUMMYFUNCTION("""COMPUTED_VALUE"""),"Solar")</f>
        <v>Solar</v>
      </c>
      <c r="F774" s="56">
        <f>IFERROR(__xludf.DUMMYFUNCTION("""COMPUTED_VALUE"""),41.20169079115681)</f>
        <v>41.20169079</v>
      </c>
      <c r="G774" s="57">
        <f>IFERROR(__xludf.DUMMYFUNCTION("""COMPUTED_VALUE"""),30.0)</f>
        <v>30</v>
      </c>
      <c r="H774" s="58">
        <f>IFERROR(__xludf.DUMMYFUNCTION("iferror(if(B774="""", ,filter('IDR Import'!D:D,'IDR Import'!A:A=B774,'IDR Import'!C:C=A774)),)"),42.52740675885798)</f>
        <v>42.52740676</v>
      </c>
      <c r="I774" s="58">
        <v>41.86454877500739</v>
      </c>
      <c r="J774" s="59">
        <f t="shared" si="1"/>
        <v>30</v>
      </c>
    </row>
    <row r="775">
      <c r="A775" s="55" t="str">
        <f>IFERROR(__xludf.DUMMYFUNCTION("""COMPUTED_VALUE"""),"Veteran")</f>
        <v>Veteran</v>
      </c>
      <c r="B775" s="55" t="str">
        <f>IFERROR(__xludf.DUMMYFUNCTION("""COMPUTED_VALUE"""),"RSC000851")</f>
        <v>RSC000851</v>
      </c>
      <c r="C775" s="60" t="str">
        <f>IFERROR(__xludf.DUMMYFUNCTION("""COMPUTED_VALUE"""),"JoeZ")</f>
        <v>JoeZ</v>
      </c>
      <c r="D775" s="54" t="str">
        <f>IFERROR(__xludf.DUMMYFUNCTION("""COMPUTED_VALUE"""),"Street Rats")</f>
        <v>Street Rats</v>
      </c>
      <c r="E775" s="55" t="str">
        <f>IFERROR(__xludf.DUMMYFUNCTION("""COMPUTED_VALUE"""),"Solar")</f>
        <v>Solar</v>
      </c>
      <c r="F775" s="56">
        <f>IFERROR(__xludf.DUMMYFUNCTION("""COMPUTED_VALUE"""),41.07951822522337)</f>
        <v>41.07951823</v>
      </c>
      <c r="G775" s="57">
        <f>IFERROR(__xludf.DUMMYFUNCTION("""COMPUTED_VALUE"""),49.0)</f>
        <v>49</v>
      </c>
      <c r="H775" s="58">
        <f>IFERROR(__xludf.DUMMYFUNCTION("iferror(if(B775="""", ,filter('IDR Import'!D:D,'IDR Import'!A:A=B775,'IDR Import'!C:C=A775)),)"),45.724225810783295)</f>
        <v>45.72422581</v>
      </c>
      <c r="I775" s="58">
        <v>43.40187201800333</v>
      </c>
      <c r="J775" s="59">
        <f t="shared" si="1"/>
        <v>49</v>
      </c>
    </row>
    <row r="776">
      <c r="A776" s="55" t="str">
        <f>IFERROR(__xludf.DUMMYFUNCTION("""COMPUTED_VALUE"""),"Veteran")</f>
        <v>Veteran</v>
      </c>
      <c r="B776" s="55" t="str">
        <f>IFERROR(__xludf.DUMMYFUNCTION("""COMPUTED_VALUE"""),"RSC008115")</f>
        <v>RSC008115</v>
      </c>
      <c r="C776" s="60" t="str">
        <f>IFERROR(__xludf.DUMMYFUNCTION("""COMPUTED_VALUE"""),"Glint")</f>
        <v>Glint</v>
      </c>
      <c r="D776" s="54" t="str">
        <f>IFERROR(__xludf.DUMMYFUNCTION("""COMPUTED_VALUE"""),"Mages")</f>
        <v>Mages</v>
      </c>
      <c r="E776" s="55" t="str">
        <f>IFERROR(__xludf.DUMMYFUNCTION("""COMPUTED_VALUE"""),"Lunar")</f>
        <v>Lunar</v>
      </c>
      <c r="F776" s="56">
        <f>IFERROR(__xludf.DUMMYFUNCTION("""COMPUTED_VALUE"""),41.07876416137624)</f>
        <v>41.07876416</v>
      </c>
      <c r="G776" s="57">
        <f>IFERROR(__xludf.DUMMYFUNCTION("""COMPUTED_VALUE"""),52.0)</f>
        <v>52</v>
      </c>
      <c r="H776" s="58">
        <f>IFERROR(__xludf.DUMMYFUNCTION("iferror(if(B776="""", ,filter('IDR Import'!D:D,'IDR Import'!A:A=B776,'IDR Import'!C:C=A776)),)"),53.428867687328946)</f>
        <v>53.42886769</v>
      </c>
      <c r="I776" s="58">
        <v>47.253815924352594</v>
      </c>
      <c r="J776" s="59">
        <f t="shared" si="1"/>
        <v>52</v>
      </c>
    </row>
    <row r="777">
      <c r="A777" s="55" t="str">
        <f>IFERROR(__xludf.DUMMYFUNCTION("""COMPUTED_VALUE"""),"Veteran")</f>
        <v>Veteran</v>
      </c>
      <c r="B777" s="55" t="str">
        <f>IFERROR(__xludf.DUMMYFUNCTION("""COMPUTED_VALUE"""),"RSC006018")</f>
        <v>RSC006018</v>
      </c>
      <c r="C777" s="60" t="str">
        <f>IFERROR(__xludf.DUMMYFUNCTION("""COMPUTED_VALUE"""),"Braamse")</f>
        <v>Braamse</v>
      </c>
      <c r="D777" s="54" t="str">
        <f>IFERROR(__xludf.DUMMYFUNCTION("""COMPUTED_VALUE"""),"Banshees")</f>
        <v>Banshees</v>
      </c>
      <c r="E777" s="55" t="str">
        <f>IFERROR(__xludf.DUMMYFUNCTION("""COMPUTED_VALUE"""),"Lunar")</f>
        <v>Lunar</v>
      </c>
      <c r="F777" s="56">
        <f>IFERROR(__xludf.DUMMYFUNCTION("""COMPUTED_VALUE"""),40.692862069393065)</f>
        <v>40.69286207</v>
      </c>
      <c r="G777" s="57">
        <f>IFERROR(__xludf.DUMMYFUNCTION("""COMPUTED_VALUE"""),25.0)</f>
        <v>25</v>
      </c>
      <c r="H777" s="58">
        <f>IFERROR(__xludf.DUMMYFUNCTION("iferror(if(B777="""", ,filter('IDR Import'!D:D,'IDR Import'!A:A=B777,'IDR Import'!C:C=A777)),)"),23.397608638522698)</f>
        <v>23.39760864</v>
      </c>
      <c r="I777" s="58">
        <v>32.04523535395788</v>
      </c>
      <c r="J777" s="59">
        <f t="shared" si="1"/>
        <v>25</v>
      </c>
    </row>
    <row r="778">
      <c r="A778" s="55" t="str">
        <f>IFERROR(__xludf.DUMMYFUNCTION("""COMPUTED_VALUE"""),"Veteran")</f>
        <v>Veteran</v>
      </c>
      <c r="B778" s="55" t="str">
        <f>IFERROR(__xludf.DUMMYFUNCTION("""COMPUTED_VALUE"""),"RSC008463")</f>
        <v>RSC008463</v>
      </c>
      <c r="C778" s="60" t="str">
        <f>IFERROR(__xludf.DUMMYFUNCTION("""COMPUTED_VALUE"""),"KryptWard")</f>
        <v>KryptWard</v>
      </c>
      <c r="D778" s="54" t="str">
        <f>IFERROR(__xludf.DUMMYFUNCTION("""COMPUTED_VALUE"""),"Mosaic Maestros")</f>
        <v>Mosaic Maestros</v>
      </c>
      <c r="E778" s="55" t="str">
        <f>IFERROR(__xludf.DUMMYFUNCTION("""COMPUTED_VALUE"""),"Solar")</f>
        <v>Solar</v>
      </c>
      <c r="F778" s="56">
        <f>IFERROR(__xludf.DUMMYFUNCTION("""COMPUTED_VALUE"""),40.63615797585253)</f>
        <v>40.63615798</v>
      </c>
      <c r="G778" s="57">
        <f>IFERROR(__xludf.DUMMYFUNCTION("""COMPUTED_VALUE"""),49.0)</f>
        <v>49</v>
      </c>
      <c r="H778" s="58">
        <f>IFERROR(__xludf.DUMMYFUNCTION("iferror(if(B778="""", ,filter('IDR Import'!D:D,'IDR Import'!A:A=B778,'IDR Import'!C:C=A778)),)"),44.345739847857104)</f>
        <v>44.34573985</v>
      </c>
      <c r="I778" s="58">
        <v>42.490948911854815</v>
      </c>
      <c r="J778" s="59">
        <f t="shared" si="1"/>
        <v>49</v>
      </c>
    </row>
    <row r="779">
      <c r="A779" s="55" t="str">
        <f>IFERROR(__xludf.DUMMYFUNCTION("""COMPUTED_VALUE"""),"Veteran")</f>
        <v>Veteran</v>
      </c>
      <c r="B779" s="55" t="str">
        <f>IFERROR(__xludf.DUMMYFUNCTION("""COMPUTED_VALUE"""),"RSC007213")</f>
        <v>RSC007213</v>
      </c>
      <c r="C779" s="60" t="str">
        <f>IFERROR(__xludf.DUMMYFUNCTION("""COMPUTED_VALUE"""),"Pythronex")</f>
        <v>Pythronex</v>
      </c>
      <c r="D779" s="54" t="str">
        <f>IFERROR(__xludf.DUMMYFUNCTION("""COMPUTED_VALUE"""),"Mosaic Maestros
Makos
Shadow Tails")</f>
        <v>Mosaic Maestros
Makos
Shadow Tails</v>
      </c>
      <c r="E779" s="55" t="str">
        <f>IFERROR(__xludf.DUMMYFUNCTION("""COMPUTED_VALUE"""),"Solar
Solar
Solar")</f>
        <v>Solar
Solar
Solar</v>
      </c>
      <c r="F779" s="56">
        <f>IFERROR(__xludf.DUMMYFUNCTION("""COMPUTED_VALUE"""),40.472402157350274)</f>
        <v>40.47240216</v>
      </c>
      <c r="G779" s="57">
        <f>IFERROR(__xludf.DUMMYFUNCTION("""COMPUTED_VALUE"""),24.0)</f>
        <v>24</v>
      </c>
      <c r="H779" s="58">
        <f>IFERROR(__xludf.DUMMYFUNCTION("iferror(if(B779="""", ,filter('IDR Import'!D:D,'IDR Import'!A:A=B779,'IDR Import'!C:C=A779)),)"),34.76085632371261)</f>
        <v>34.76085632</v>
      </c>
      <c r="I779" s="58">
        <v>37.61662924053144</v>
      </c>
      <c r="J779" s="59">
        <f t="shared" si="1"/>
        <v>24</v>
      </c>
    </row>
    <row r="780">
      <c r="A780" s="55" t="str">
        <f>IFERROR(__xludf.DUMMYFUNCTION("""COMPUTED_VALUE"""),"Veteran")</f>
        <v>Veteran</v>
      </c>
      <c r="B780" s="55" t="str">
        <f>IFERROR(__xludf.DUMMYFUNCTION("""COMPUTED_VALUE"""),"RSC008211")</f>
        <v>RSC008211</v>
      </c>
      <c r="C780" s="60" t="str">
        <f>IFERROR(__xludf.DUMMYFUNCTION("""COMPUTED_VALUE"""),"Astro-HxIIFire")</f>
        <v>Astro-HxIIFire</v>
      </c>
      <c r="D780" s="54" t="str">
        <f>IFERROR(__xludf.DUMMYFUNCTION("""COMPUTED_VALUE"""),"Legati")</f>
        <v>Legati</v>
      </c>
      <c r="E780" s="55" t="str">
        <f>IFERROR(__xludf.DUMMYFUNCTION("""COMPUTED_VALUE"""),"Solar")</f>
        <v>Solar</v>
      </c>
      <c r="F780" s="56">
        <f>IFERROR(__xludf.DUMMYFUNCTION("""COMPUTED_VALUE"""),40.27848402598463)</f>
        <v>40.27848403</v>
      </c>
      <c r="G780" s="57">
        <f>IFERROR(__xludf.DUMMYFUNCTION("""COMPUTED_VALUE"""),7.0)</f>
        <v>7</v>
      </c>
      <c r="H780" s="58">
        <f>IFERROR(__xludf.DUMMYFUNCTION("iferror(if(B780="""", ,filter('IDR Import'!D:D,'IDR Import'!A:A=B780,'IDR Import'!C:C=A780)),)"),30.677716203325406)</f>
        <v>30.6777162</v>
      </c>
      <c r="I780" s="58">
        <v>35.47810011465502</v>
      </c>
      <c r="J780" s="59">
        <f t="shared" si="1"/>
        <v>7</v>
      </c>
    </row>
    <row r="781">
      <c r="A781" s="55" t="str">
        <f>IFERROR(__xludf.DUMMYFUNCTION("""COMPUTED_VALUE"""),"Veteran")</f>
        <v>Veteran</v>
      </c>
      <c r="B781" s="55" t="str">
        <f>IFERROR(__xludf.DUMMYFUNCTION("""COMPUTED_VALUE"""),"RSC002902")</f>
        <v>RSC002902</v>
      </c>
      <c r="C781" s="60" t="str">
        <f>IFERROR(__xludf.DUMMYFUNCTION("""COMPUTED_VALUE"""),"Stone-Dog Millionaire")</f>
        <v>Stone-Dog Millionaire</v>
      </c>
      <c r="D781" s="54" t="str">
        <f>IFERROR(__xludf.DUMMYFUNCTION("""COMPUTED_VALUE"""),"Legati")</f>
        <v>Legati</v>
      </c>
      <c r="E781" s="55" t="str">
        <f>IFERROR(__xludf.DUMMYFUNCTION("""COMPUTED_VALUE"""),"Solar")</f>
        <v>Solar</v>
      </c>
      <c r="F781" s="56">
        <f>IFERROR(__xludf.DUMMYFUNCTION("""COMPUTED_VALUE"""),39.66677751695626)</f>
        <v>39.66677752</v>
      </c>
      <c r="G781" s="57">
        <f>IFERROR(__xludf.DUMMYFUNCTION("""COMPUTED_VALUE"""),40.0)</f>
        <v>40</v>
      </c>
      <c r="H781" s="58">
        <f>IFERROR(__xludf.DUMMYFUNCTION("iferror(if(B781="""", ,filter('IDR Import'!D:D,'IDR Import'!A:A=B781,'IDR Import'!C:C=A781)),)"),44.89000093586139)</f>
        <v>44.89000094</v>
      </c>
      <c r="I781" s="58">
        <v>42.27838922640882</v>
      </c>
      <c r="J781" s="59">
        <f t="shared" si="1"/>
        <v>40</v>
      </c>
    </row>
    <row r="782">
      <c r="A782" s="55" t="str">
        <f>IFERROR(__xludf.DUMMYFUNCTION("""COMPUTED_VALUE"""),"Veteran")</f>
        <v>Veteran</v>
      </c>
      <c r="B782" s="55" t="str">
        <f>IFERROR(__xludf.DUMMYFUNCTION("""COMPUTED_VALUE"""),"RSC006174")</f>
        <v>RSC006174</v>
      </c>
      <c r="C782" s="60" t="str">
        <f>IFERROR(__xludf.DUMMYFUNCTION("""COMPUTED_VALUE"""),"I like bananas")</f>
        <v>I like bananas</v>
      </c>
      <c r="D782" s="54" t="str">
        <f>IFERROR(__xludf.DUMMYFUNCTION("""COMPUTED_VALUE"""),"Mages
Legati")</f>
        <v>Mages
Legati</v>
      </c>
      <c r="E782" s="55" t="str">
        <f>IFERROR(__xludf.DUMMYFUNCTION("""COMPUTED_VALUE"""),"Lunar
Solar")</f>
        <v>Lunar
Solar</v>
      </c>
      <c r="F782" s="56">
        <f>IFERROR(__xludf.DUMMYFUNCTION("""COMPUTED_VALUE"""),39.33818570209244)</f>
        <v>39.3381857</v>
      </c>
      <c r="G782" s="57">
        <f>IFERROR(__xludf.DUMMYFUNCTION("""COMPUTED_VALUE"""),22.0)</f>
        <v>22</v>
      </c>
      <c r="H782" s="58">
        <f>IFERROR(__xludf.DUMMYFUNCTION("iferror(if(B782="""", ,filter('IDR Import'!D:D,'IDR Import'!A:A=B782,'IDR Import'!C:C=A782)),)"),45.680792545694324)</f>
        <v>45.68079255</v>
      </c>
      <c r="I782" s="58">
        <v>42.50948912389338</v>
      </c>
      <c r="J782" s="59">
        <f t="shared" si="1"/>
        <v>22</v>
      </c>
    </row>
    <row r="783">
      <c r="A783" s="55" t="str">
        <f>IFERROR(__xludf.DUMMYFUNCTION("""COMPUTED_VALUE"""),"Veteran")</f>
        <v>Veteran</v>
      </c>
      <c r="B783" s="55" t="str">
        <f>IFERROR(__xludf.DUMMYFUNCTION("""COMPUTED_VALUE"""),"RSC006199")</f>
        <v>RSC006199</v>
      </c>
      <c r="C783" s="60" t="str">
        <f>IFERROR(__xludf.DUMMYFUNCTION("""COMPUTED_VALUE"""),"Irozuh-")</f>
        <v>Irozuh-</v>
      </c>
      <c r="D783" s="54" t="str">
        <f>IFERROR(__xludf.DUMMYFUNCTION("""COMPUTED_VALUE"""),"Giant Squids")</f>
        <v>Giant Squids</v>
      </c>
      <c r="E783" s="55" t="str">
        <f>IFERROR(__xludf.DUMMYFUNCTION("""COMPUTED_VALUE"""),"Lunar")</f>
        <v>Lunar</v>
      </c>
      <c r="F783" s="56">
        <f>IFERROR(__xludf.DUMMYFUNCTION("""COMPUTED_VALUE"""),38.66274948728364)</f>
        <v>38.66274949</v>
      </c>
      <c r="G783" s="57">
        <f>IFERROR(__xludf.DUMMYFUNCTION("""COMPUTED_VALUE"""),29.0)</f>
        <v>29</v>
      </c>
      <c r="H783" s="58">
        <f>IFERROR(__xludf.DUMMYFUNCTION("iferror(if(B783="""", ,filter('IDR Import'!D:D,'IDR Import'!A:A=B783,'IDR Import'!C:C=A783)),)"),36.952576791188875)</f>
        <v>36.95257679</v>
      </c>
      <c r="I783" s="58">
        <v>37.807663139236254</v>
      </c>
      <c r="J783" s="59">
        <f t="shared" si="1"/>
        <v>29</v>
      </c>
    </row>
    <row r="784">
      <c r="A784" s="55" t="str">
        <f>IFERROR(__xludf.DUMMYFUNCTION("""COMPUTED_VALUE"""),"Veteran")</f>
        <v>Veteran</v>
      </c>
      <c r="B784" s="55" t="str">
        <f>IFERROR(__xludf.DUMMYFUNCTION("""COMPUTED_VALUE"""),"RSC007143")</f>
        <v>RSC007143</v>
      </c>
      <c r="C784" s="60" t="str">
        <f>IFERROR(__xludf.DUMMYFUNCTION("""COMPUTED_VALUE"""),"OmniMurders")</f>
        <v>OmniMurders</v>
      </c>
      <c r="D784" s="54" t="str">
        <f>IFERROR(__xludf.DUMMYFUNCTION("""COMPUTED_VALUE"""),"Folks
Banshees
Peppermint")</f>
        <v>Folks
Banshees
Peppermint</v>
      </c>
      <c r="E784" s="55" t="str">
        <f>IFERROR(__xludf.DUMMYFUNCTION("""COMPUTED_VALUE"""),"Lunar
Lunar
Solar")</f>
        <v>Lunar
Lunar
Solar</v>
      </c>
      <c r="F784" s="56">
        <f>IFERROR(__xludf.DUMMYFUNCTION("""COMPUTED_VALUE"""),38.63813529833575)</f>
        <v>38.6381353</v>
      </c>
      <c r="G784" s="57">
        <f>IFERROR(__xludf.DUMMYFUNCTION("""COMPUTED_VALUE"""),32.0)</f>
        <v>32</v>
      </c>
      <c r="H784" s="58">
        <f>IFERROR(__xludf.DUMMYFUNCTION("iferror(if(B784="""", ,filter('IDR Import'!D:D,'IDR Import'!A:A=B784,'IDR Import'!C:C=A784)),)"),27.116982887605936)</f>
        <v>27.11698289</v>
      </c>
      <c r="I784" s="58">
        <v>32.87755909297084</v>
      </c>
      <c r="J784" s="59">
        <f t="shared" si="1"/>
        <v>32</v>
      </c>
    </row>
    <row r="785">
      <c r="A785" s="55" t="str">
        <f>IFERROR(__xludf.DUMMYFUNCTION("""COMPUTED_VALUE"""),"Veteran")</f>
        <v>Veteran</v>
      </c>
      <c r="B785" s="55" t="str">
        <f>IFERROR(__xludf.DUMMYFUNCTION("""COMPUTED_VALUE"""),"RSC005505")</f>
        <v>RSC005505</v>
      </c>
      <c r="C785" s="60" t="str">
        <f>IFERROR(__xludf.DUMMYFUNCTION("""COMPUTED_VALUE"""),"The_Wheelman_95")</f>
        <v>The_Wheelman_95</v>
      </c>
      <c r="D785" s="54" t="str">
        <f>IFERROR(__xludf.DUMMYFUNCTION("""COMPUTED_VALUE"""),"Merciless Mob")</f>
        <v>Merciless Mob</v>
      </c>
      <c r="E785" s="55" t="str">
        <f>IFERROR(__xludf.DUMMYFUNCTION("""COMPUTED_VALUE"""),"Lunar")</f>
        <v>Lunar</v>
      </c>
      <c r="F785" s="56">
        <f>IFERROR(__xludf.DUMMYFUNCTION("""COMPUTED_VALUE"""),38.61412924720798)</f>
        <v>38.61412925</v>
      </c>
      <c r="G785" s="57">
        <f>IFERROR(__xludf.DUMMYFUNCTION("""COMPUTED_VALUE"""),25.0)</f>
        <v>25</v>
      </c>
      <c r="H785" s="58">
        <f>IFERROR(__xludf.DUMMYFUNCTION("iferror(if(B785="""", ,filter('IDR Import'!D:D,'IDR Import'!A:A=B785,'IDR Import'!C:C=A785)),)"),45.969745469684774)</f>
        <v>45.96974547</v>
      </c>
      <c r="I785" s="58">
        <v>42.291937358446376</v>
      </c>
      <c r="J785" s="59">
        <f t="shared" si="1"/>
        <v>25</v>
      </c>
    </row>
    <row r="786">
      <c r="A786" s="55" t="str">
        <f>IFERROR(__xludf.DUMMYFUNCTION("""COMPUTED_VALUE"""),"Veteran")</f>
        <v>Veteran</v>
      </c>
      <c r="B786" s="55" t="str">
        <f>IFERROR(__xludf.DUMMYFUNCTION("""COMPUTED_VALUE"""),"RSC007293")</f>
        <v>RSC007293</v>
      </c>
      <c r="C786" s="60" t="str">
        <f>IFERROR(__xludf.DUMMYFUNCTION("""COMPUTED_VALUE"""),"YtExplixiit")</f>
        <v>YtExplixiit</v>
      </c>
      <c r="D786" s="54" t="str">
        <f>IFERROR(__xludf.DUMMYFUNCTION("""COMPUTED_VALUE"""),"Berserkers")</f>
        <v>Berserkers</v>
      </c>
      <c r="E786" s="55" t="str">
        <f>IFERROR(__xludf.DUMMYFUNCTION("""COMPUTED_VALUE"""),"Lunar")</f>
        <v>Lunar</v>
      </c>
      <c r="F786" s="56">
        <f>IFERROR(__xludf.DUMMYFUNCTION("""COMPUTED_VALUE"""),37.10184926959806)</f>
        <v>37.10184927</v>
      </c>
      <c r="G786" s="57">
        <f>IFERROR(__xludf.DUMMYFUNCTION("""COMPUTED_VALUE"""),8.0)</f>
        <v>8</v>
      </c>
      <c r="H786" s="58">
        <f>IFERROR(__xludf.DUMMYFUNCTION("iferror(if(B786="""", ,filter('IDR Import'!D:D,'IDR Import'!A:A=B786,'IDR Import'!C:C=A786)),)"),66.64161929007422)</f>
        <v>66.64161929</v>
      </c>
      <c r="I786" s="58">
        <v>51.87173427983614</v>
      </c>
      <c r="J786" s="59">
        <f t="shared" si="1"/>
        <v>8</v>
      </c>
    </row>
    <row r="787">
      <c r="A787" s="55" t="str">
        <f>IFERROR(__xludf.DUMMYFUNCTION("""COMPUTED_VALUE"""),"Veteran")</f>
        <v>Veteran</v>
      </c>
      <c r="B787" s="55" t="str">
        <f>IFERROR(__xludf.DUMMYFUNCTION("""COMPUTED_VALUE"""),"RSC000981")</f>
        <v>RSC000981</v>
      </c>
      <c r="C787" s="60" t="str">
        <f>IFERROR(__xludf.DUMMYFUNCTION("""COMPUTED_VALUE"""),"Crimson")</f>
        <v>Crimson</v>
      </c>
      <c r="D787" s="54" t="str">
        <f>IFERROR(__xludf.DUMMYFUNCTION("""COMPUTED_VALUE"""),"Legati
Folks")</f>
        <v>Legati
Folks</v>
      </c>
      <c r="E787" s="55" t="str">
        <f>IFERROR(__xludf.DUMMYFUNCTION("""COMPUTED_VALUE"""),"Solar
Lunar")</f>
        <v>Solar
Lunar</v>
      </c>
      <c r="F787" s="56">
        <f>IFERROR(__xludf.DUMMYFUNCTION("""COMPUTED_VALUE"""),36.74074265268128)</f>
        <v>36.74074265</v>
      </c>
      <c r="G787" s="57">
        <f>IFERROR(__xludf.DUMMYFUNCTION("""COMPUTED_VALUE"""),37.0)</f>
        <v>37</v>
      </c>
      <c r="H787" s="58">
        <f>IFERROR(__xludf.DUMMYFUNCTION("iferror(if(B787="""", ,filter('IDR Import'!D:D,'IDR Import'!A:A=B787,'IDR Import'!C:C=A787)),)"),32.001072301679116)</f>
        <v>32.0010723</v>
      </c>
      <c r="I787" s="58">
        <v>34.3709074771802</v>
      </c>
      <c r="J787" s="59">
        <f t="shared" si="1"/>
        <v>37</v>
      </c>
    </row>
    <row r="788">
      <c r="A788" s="55" t="str">
        <f>IFERROR(__xludf.DUMMYFUNCTION("""COMPUTED_VALUE"""),"Veteran")</f>
        <v>Veteran</v>
      </c>
      <c r="B788" s="55" t="str">
        <f>IFERROR(__xludf.DUMMYFUNCTION("""COMPUTED_VALUE"""),"RSC007062")</f>
        <v>RSC007062</v>
      </c>
      <c r="C788" s="60" t="str">
        <f>IFERROR(__xludf.DUMMYFUNCTION("""COMPUTED_VALUE"""),"Ice Phoenix")</f>
        <v>Ice Phoenix</v>
      </c>
      <c r="D788" s="54" t="str">
        <f>IFERROR(__xludf.DUMMYFUNCTION("""COMPUTED_VALUE"""),"Street Rats")</f>
        <v>Street Rats</v>
      </c>
      <c r="E788" s="55" t="str">
        <f>IFERROR(__xludf.DUMMYFUNCTION("""COMPUTED_VALUE"""),"Solar")</f>
        <v>Solar</v>
      </c>
      <c r="F788" s="56">
        <f>IFERROR(__xludf.DUMMYFUNCTION("""COMPUTED_VALUE"""),36.49895717510053)</f>
        <v>36.49895718</v>
      </c>
      <c r="G788" s="57">
        <f>IFERROR(__xludf.DUMMYFUNCTION("""COMPUTED_VALUE"""),29.0)</f>
        <v>29</v>
      </c>
      <c r="H788" s="58">
        <f>IFERROR(__xludf.DUMMYFUNCTION("iferror(if(B788="""", ,filter('IDR Import'!D:D,'IDR Import'!A:A=B788,'IDR Import'!C:C=A788)),)"),32.61305376408242)</f>
        <v>32.61305376</v>
      </c>
      <c r="I788" s="58">
        <v>34.556005469591476</v>
      </c>
      <c r="J788" s="59">
        <f t="shared" si="1"/>
        <v>29</v>
      </c>
    </row>
    <row r="789">
      <c r="A789" s="55" t="str">
        <f>IFERROR(__xludf.DUMMYFUNCTION("""COMPUTED_VALUE"""),"Veteran")</f>
        <v>Veteran</v>
      </c>
      <c r="B789" s="55" t="str">
        <f>IFERROR(__xludf.DUMMYFUNCTION("""COMPUTED_VALUE"""),"RSC006089")</f>
        <v>RSC006089</v>
      </c>
      <c r="C789" s="60" t="str">
        <f>IFERROR(__xludf.DUMMYFUNCTION("""COMPUTED_VALUE"""),"ZeroPop11")</f>
        <v>ZeroPop11</v>
      </c>
      <c r="D789" s="54" t="str">
        <f>IFERROR(__xludf.DUMMYFUNCTION("""COMPUTED_VALUE"""),"Street Rats")</f>
        <v>Street Rats</v>
      </c>
      <c r="E789" s="55" t="str">
        <f>IFERROR(__xludf.DUMMYFUNCTION("""COMPUTED_VALUE"""),"Solar")</f>
        <v>Solar</v>
      </c>
      <c r="F789" s="56">
        <f>IFERROR(__xludf.DUMMYFUNCTION("""COMPUTED_VALUE"""),36.09955252051613)</f>
        <v>36.09955252</v>
      </c>
      <c r="G789" s="57">
        <f>IFERROR(__xludf.DUMMYFUNCTION("""COMPUTED_VALUE"""),34.0)</f>
        <v>34</v>
      </c>
      <c r="H789" s="58">
        <f>IFERROR(__xludf.DUMMYFUNCTION("iferror(if(B789="""", ,filter('IDR Import'!D:D,'IDR Import'!A:A=B789,'IDR Import'!C:C=A789)),)"),28.996663905481984)</f>
        <v>28.99666391</v>
      </c>
      <c r="I789" s="58">
        <v>32.548108212999054</v>
      </c>
      <c r="J789" s="59">
        <f t="shared" si="1"/>
        <v>34</v>
      </c>
    </row>
    <row r="790">
      <c r="A790" s="55" t="str">
        <f>IFERROR(__xludf.DUMMYFUNCTION("""COMPUTED_VALUE"""),"Veteran")</f>
        <v>Veteran</v>
      </c>
      <c r="B790" s="55" t="str">
        <f>IFERROR(__xludf.DUMMYFUNCTION("""COMPUTED_VALUE"""),"RSC008364")</f>
        <v>RSC008364</v>
      </c>
      <c r="C790" s="60" t="str">
        <f>IFERROR(__xludf.DUMMYFUNCTION("""COMPUTED_VALUE"""),"Ken Whiffey Jr.")</f>
        <v>Ken Whiffey Jr.</v>
      </c>
      <c r="D790" s="54" t="str">
        <f>IFERROR(__xludf.DUMMYFUNCTION("""COMPUTED_VALUE"""),"Giraffes")</f>
        <v>Giraffes</v>
      </c>
      <c r="E790" s="55" t="str">
        <f>IFERROR(__xludf.DUMMYFUNCTION("""COMPUTED_VALUE"""),"Lunar")</f>
        <v>Lunar</v>
      </c>
      <c r="F790" s="56">
        <f>IFERROR(__xludf.DUMMYFUNCTION("""COMPUTED_VALUE"""),35.62371447837424)</f>
        <v>35.62371448</v>
      </c>
      <c r="G790" s="57">
        <f>IFERROR(__xludf.DUMMYFUNCTION("""COMPUTED_VALUE"""),36.0)</f>
        <v>36</v>
      </c>
      <c r="H790" s="58">
        <f>IFERROR(__xludf.DUMMYFUNCTION("iferror(if(B790="""", ,filter('IDR Import'!D:D,'IDR Import'!A:A=B790,'IDR Import'!C:C=A790)),)"),30.70118257895849)</f>
        <v>30.70118258</v>
      </c>
      <c r="I790" s="58">
        <v>33.16244852866637</v>
      </c>
      <c r="J790" s="59">
        <f t="shared" si="1"/>
        <v>36</v>
      </c>
    </row>
    <row r="791">
      <c r="A791" s="55" t="str">
        <f>IFERROR(__xludf.DUMMYFUNCTION("""COMPUTED_VALUE"""),"Veteran")</f>
        <v>Veteran</v>
      </c>
      <c r="B791" s="55" t="str">
        <f>IFERROR(__xludf.DUMMYFUNCTION("""COMPUTED_VALUE"""),"RSC007555")</f>
        <v>RSC007555</v>
      </c>
      <c r="C791" s="60" t="str">
        <f>IFERROR(__xludf.DUMMYFUNCTION("""COMPUTED_VALUE"""),"cjastr0-")</f>
        <v>cjastr0-</v>
      </c>
      <c r="D791" s="54" t="str">
        <f>IFERROR(__xludf.DUMMYFUNCTION("""COMPUTED_VALUE"""),"Gouda Gangsters")</f>
        <v>Gouda Gangsters</v>
      </c>
      <c r="E791" s="55" t="str">
        <f>IFERROR(__xludf.DUMMYFUNCTION("""COMPUTED_VALUE"""),"Lunar")</f>
        <v>Lunar</v>
      </c>
      <c r="F791" s="56">
        <f>IFERROR(__xludf.DUMMYFUNCTION("""COMPUTED_VALUE"""),34.836443533825566)</f>
        <v>34.83644353</v>
      </c>
      <c r="G791" s="57">
        <f>IFERROR(__xludf.DUMMYFUNCTION("""COMPUTED_VALUE"""),24.0)</f>
        <v>24</v>
      </c>
      <c r="H791" s="58">
        <f>IFERROR(__xludf.DUMMYFUNCTION("iferror(if(B791="""", ,filter('IDR Import'!D:D,'IDR Import'!A:A=B791,'IDR Import'!C:C=A791)),)"),31.910921169750235)</f>
        <v>31.91092117</v>
      </c>
      <c r="I791" s="58">
        <v>33.3736823517879</v>
      </c>
      <c r="J791" s="59">
        <f t="shared" si="1"/>
        <v>24</v>
      </c>
    </row>
    <row r="792">
      <c r="A792" s="55" t="str">
        <f>IFERROR(__xludf.DUMMYFUNCTION("""COMPUTED_VALUE"""),"Veteran")</f>
        <v>Veteran</v>
      </c>
      <c r="B792" s="55" t="str">
        <f>IFERROR(__xludf.DUMMYFUNCTION("""COMPUTED_VALUE"""),"RSC007618")</f>
        <v>RSC007618</v>
      </c>
      <c r="C792" s="60" t="str">
        <f>IFERROR(__xludf.DUMMYFUNCTION("""COMPUTED_VALUE"""),"Robbie")</f>
        <v>Robbie</v>
      </c>
      <c r="D792" s="54" t="str">
        <f>IFERROR(__xludf.DUMMYFUNCTION("""COMPUTED_VALUE"""),"Blacksmiths")</f>
        <v>Blacksmiths</v>
      </c>
      <c r="E792" s="55" t="str">
        <f>IFERROR(__xludf.DUMMYFUNCTION("""COMPUTED_VALUE"""),"Lunar")</f>
        <v>Lunar</v>
      </c>
      <c r="F792" s="56">
        <f>IFERROR(__xludf.DUMMYFUNCTION("""COMPUTED_VALUE"""),34.15940571401075)</f>
        <v>34.15940571</v>
      </c>
      <c r="G792" s="57">
        <f>IFERROR(__xludf.DUMMYFUNCTION("""COMPUTED_VALUE"""),12.0)</f>
        <v>12</v>
      </c>
      <c r="H792" s="58">
        <f>IFERROR(__xludf.DUMMYFUNCTION("iferror(if(B792="""", ,filter('IDR Import'!D:D,'IDR Import'!A:A=B792,'IDR Import'!C:C=A792)),)"),29.515364017093766)</f>
        <v>29.51536402</v>
      </c>
      <c r="I792" s="58">
        <v>31.83738486555226</v>
      </c>
      <c r="J792" s="59">
        <f t="shared" si="1"/>
        <v>12</v>
      </c>
    </row>
    <row r="793">
      <c r="A793" s="55" t="str">
        <f>IFERROR(__xludf.DUMMYFUNCTION("""COMPUTED_VALUE"""),"Veteran")</f>
        <v>Veteran</v>
      </c>
      <c r="B793" s="55" t="str">
        <f>IFERROR(__xludf.DUMMYFUNCTION("""COMPUTED_VALUE"""),"RSC000182")</f>
        <v>RSC000182</v>
      </c>
      <c r="C793" s="60" t="str">
        <f>IFERROR(__xludf.DUMMYFUNCTION("""COMPUTED_VALUE"""),"Goose")</f>
        <v>Goose</v>
      </c>
      <c r="D793" s="54" t="str">
        <f>IFERROR(__xludf.DUMMYFUNCTION("""COMPUTED_VALUE"""),"Banshees")</f>
        <v>Banshees</v>
      </c>
      <c r="E793" s="55" t="str">
        <f>IFERROR(__xludf.DUMMYFUNCTION("""COMPUTED_VALUE"""),"Lunar")</f>
        <v>Lunar</v>
      </c>
      <c r="F793" s="56">
        <f>IFERROR(__xludf.DUMMYFUNCTION("""COMPUTED_VALUE"""),34.042098135281236)</f>
        <v>34.04209814</v>
      </c>
      <c r="G793" s="57">
        <f>IFERROR(__xludf.DUMMYFUNCTION("""COMPUTED_VALUE"""),41.0)</f>
        <v>41</v>
      </c>
      <c r="H793" s="58">
        <f>IFERROR(__xludf.DUMMYFUNCTION("iferror(if(B793="""", ,filter('IDR Import'!D:D,'IDR Import'!A:A=B793,'IDR Import'!C:C=A793)),)"),40.42180655615265)</f>
        <v>40.42180656</v>
      </c>
      <c r="I793" s="58">
        <v>37.23195234571695</v>
      </c>
      <c r="J793" s="59">
        <f t="shared" si="1"/>
        <v>41</v>
      </c>
    </row>
    <row r="794">
      <c r="A794" s="55" t="str">
        <f>IFERROR(__xludf.DUMMYFUNCTION("""COMPUTED_VALUE"""),"Veteran")</f>
        <v>Veteran</v>
      </c>
      <c r="B794" s="55" t="str">
        <f>IFERROR(__xludf.DUMMYFUNCTION("""COMPUTED_VALUE"""),"RSC007906")</f>
        <v>RSC007906</v>
      </c>
      <c r="C794" s="60" t="str">
        <f>IFERROR(__xludf.DUMMYFUNCTION("""COMPUTED_VALUE"""),"Vaz1fy.")</f>
        <v>Vaz1fy.</v>
      </c>
      <c r="D794" s="54" t="str">
        <f>IFERROR(__xludf.DUMMYFUNCTION("""COMPUTED_VALUE"""),"Supernova")</f>
        <v>Supernova</v>
      </c>
      <c r="E794" s="55" t="str">
        <f>IFERROR(__xludf.DUMMYFUNCTION("""COMPUTED_VALUE"""),"Lunar")</f>
        <v>Lunar</v>
      </c>
      <c r="F794" s="56">
        <f>IFERROR(__xludf.DUMMYFUNCTION("""COMPUTED_VALUE"""),32.893052337855075)</f>
        <v>32.89305234</v>
      </c>
      <c r="G794" s="57">
        <f>IFERROR(__xludf.DUMMYFUNCTION("""COMPUTED_VALUE"""),43.0)</f>
        <v>43</v>
      </c>
      <c r="H794" s="58">
        <f>IFERROR(__xludf.DUMMYFUNCTION("iferror(if(B794="""", ,filter('IDR Import'!D:D,'IDR Import'!A:A=B794,'IDR Import'!C:C=A794)),)"),61.865351484861044)</f>
        <v>61.86535148</v>
      </c>
      <c r="I794" s="58">
        <v>47.37920191135806</v>
      </c>
      <c r="J794" s="59">
        <f t="shared" si="1"/>
        <v>43</v>
      </c>
    </row>
    <row r="795">
      <c r="A795" s="55" t="str">
        <f>IFERROR(__xludf.DUMMYFUNCTION("""COMPUTED_VALUE"""),"Veteran")</f>
        <v>Veteran</v>
      </c>
      <c r="B795" s="55" t="str">
        <f>IFERROR(__xludf.DUMMYFUNCTION("""COMPUTED_VALUE"""),"RSC005314")</f>
        <v>RSC005314</v>
      </c>
      <c r="C795" s="60" t="str">
        <f>IFERROR(__xludf.DUMMYFUNCTION("""COMPUTED_VALUE"""),"daggumbigfeet")</f>
        <v>daggumbigfeet</v>
      </c>
      <c r="D795" s="54" t="str">
        <f>IFERROR(__xludf.DUMMYFUNCTION("""COMPUTED_VALUE"""),"Mosaic Maestros")</f>
        <v>Mosaic Maestros</v>
      </c>
      <c r="E795" s="55" t="str">
        <f>IFERROR(__xludf.DUMMYFUNCTION("""COMPUTED_VALUE"""),"Solar")</f>
        <v>Solar</v>
      </c>
      <c r="F795" s="56">
        <f>IFERROR(__xludf.DUMMYFUNCTION("""COMPUTED_VALUE"""),32.400803890100505)</f>
        <v>32.40080389</v>
      </c>
      <c r="G795" s="57">
        <f>IFERROR(__xludf.DUMMYFUNCTION("""COMPUTED_VALUE"""),21.0)</f>
        <v>21</v>
      </c>
      <c r="H795" s="58">
        <f>IFERROR(__xludf.DUMMYFUNCTION("iferror(if(B795="""", ,filter('IDR Import'!D:D,'IDR Import'!A:A=B795,'IDR Import'!C:C=A795)),)"),31.459369140638845)</f>
        <v>31.45936914</v>
      </c>
      <c r="I795" s="58">
        <v>31.930086515369673</v>
      </c>
      <c r="J795" s="59">
        <f t="shared" si="1"/>
        <v>21</v>
      </c>
    </row>
    <row r="796">
      <c r="A796" s="55" t="str">
        <f>IFERROR(__xludf.DUMMYFUNCTION("""COMPUTED_VALUE"""),"Veteran")</f>
        <v>Veteran</v>
      </c>
      <c r="B796" s="55" t="str">
        <f>IFERROR(__xludf.DUMMYFUNCTION("""COMPUTED_VALUE"""),"RSC005355")</f>
        <v>RSC005355</v>
      </c>
      <c r="C796" s="60" t="str">
        <f>IFERROR(__xludf.DUMMYFUNCTION("""COMPUTED_VALUE"""),"Armando")</f>
        <v>Armando</v>
      </c>
      <c r="D796" s="54" t="str">
        <f>IFERROR(__xludf.DUMMYFUNCTION("""COMPUTED_VALUE"""),"Gorillas")</f>
        <v>Gorillas</v>
      </c>
      <c r="E796" s="55" t="str">
        <f>IFERROR(__xludf.DUMMYFUNCTION("""COMPUTED_VALUE"""),"Solar")</f>
        <v>Solar</v>
      </c>
      <c r="F796" s="56">
        <f>IFERROR(__xludf.DUMMYFUNCTION("""COMPUTED_VALUE"""),31.134559727090494)</f>
        <v>31.13455973</v>
      </c>
      <c r="G796" s="57">
        <f>IFERROR(__xludf.DUMMYFUNCTION("""COMPUTED_VALUE"""),40.0)</f>
        <v>40</v>
      </c>
      <c r="H796" s="58">
        <f>IFERROR(__xludf.DUMMYFUNCTION("iferror(if(B796="""", ,filter('IDR Import'!D:D,'IDR Import'!A:A=B796,'IDR Import'!C:C=A796)),)"),24.65863530398397)</f>
        <v>24.6586353</v>
      </c>
      <c r="I796" s="58">
        <v>27.89659751553723</v>
      </c>
      <c r="J796" s="59">
        <f t="shared" si="1"/>
        <v>40</v>
      </c>
    </row>
    <row r="797">
      <c r="A797" s="55" t="str">
        <f>IFERROR(__xludf.DUMMYFUNCTION("""COMPUTED_VALUE"""),"Veteran")</f>
        <v>Veteran</v>
      </c>
      <c r="B797" s="55" t="str">
        <f>IFERROR(__xludf.DUMMYFUNCTION("""COMPUTED_VALUE"""),"RSC008344")</f>
        <v>RSC008344</v>
      </c>
      <c r="C797" s="60" t="str">
        <f>IFERROR(__xludf.DUMMYFUNCTION("""COMPUTED_VALUE"""),"RealRoice_IsGetz")</f>
        <v>RealRoice_IsGetz</v>
      </c>
      <c r="D797" s="54" t="str">
        <f>IFERROR(__xludf.DUMMYFUNCTION("""COMPUTED_VALUE"""),"Singularity")</f>
        <v>Singularity</v>
      </c>
      <c r="E797" s="55" t="str">
        <f>IFERROR(__xludf.DUMMYFUNCTION("""COMPUTED_VALUE"""),"Solar")</f>
        <v>Solar</v>
      </c>
      <c r="F797" s="56">
        <f>IFERROR(__xludf.DUMMYFUNCTION("""COMPUTED_VALUE"""),30.642856023422397)</f>
        <v>30.64285602</v>
      </c>
      <c r="G797" s="57">
        <f>IFERROR(__xludf.DUMMYFUNCTION("""COMPUTED_VALUE"""),49.0)</f>
        <v>49</v>
      </c>
      <c r="H797" s="58">
        <f>IFERROR(__xludf.DUMMYFUNCTION("iferror(if(B797="""", ,filter('IDR Import'!D:D,'IDR Import'!A:A=B797,'IDR Import'!C:C=A797)),)"),34.18501030223064)</f>
        <v>34.1850103</v>
      </c>
      <c r="I797" s="58">
        <v>32.41393316282652</v>
      </c>
      <c r="J797" s="59">
        <f t="shared" si="1"/>
        <v>49</v>
      </c>
    </row>
    <row r="798">
      <c r="A798" s="55" t="str">
        <f>IFERROR(__xludf.DUMMYFUNCTION("""COMPUTED_VALUE"""),"Veteran")</f>
        <v>Veteran</v>
      </c>
      <c r="B798" s="55" t="str">
        <f>IFERROR(__xludf.DUMMYFUNCTION("""COMPUTED_VALUE"""),"RSC004997")</f>
        <v>RSC004997</v>
      </c>
      <c r="C798" s="60" t="str">
        <f>IFERROR(__xludf.DUMMYFUNCTION("""COMPUTED_VALUE"""),"Evelynnx")</f>
        <v>Evelynnx</v>
      </c>
      <c r="D798" s="54" t="str">
        <f>IFERROR(__xludf.DUMMYFUNCTION("""COMPUTED_VALUE"""),"Peppermint
Avalanche
Giraffes")</f>
        <v>Peppermint
Avalanche
Giraffes</v>
      </c>
      <c r="E798" s="55" t="str">
        <f>IFERROR(__xludf.DUMMYFUNCTION("""COMPUTED_VALUE"""),"Solar
Solar
Lunar")</f>
        <v>Solar
Solar
Lunar</v>
      </c>
      <c r="F798" s="56">
        <f>IFERROR(__xludf.DUMMYFUNCTION("""COMPUTED_VALUE"""),30.05363477771575)</f>
        <v>30.05363478</v>
      </c>
      <c r="G798" s="57">
        <f>IFERROR(__xludf.DUMMYFUNCTION("""COMPUTED_VALUE"""),9.0)</f>
        <v>9</v>
      </c>
      <c r="H798" s="58">
        <f>IFERROR(__xludf.DUMMYFUNCTION("iferror(if(B798="""", ,filter('IDR Import'!D:D,'IDR Import'!A:A=B798,'IDR Import'!C:C=A798)),)"),33.72341281613856)</f>
        <v>33.72341282</v>
      </c>
      <c r="I798" s="58">
        <v>31.888523796927156</v>
      </c>
      <c r="J798" s="59">
        <f t="shared" si="1"/>
        <v>9</v>
      </c>
    </row>
    <row r="799">
      <c r="A799" s="55" t="str">
        <f>IFERROR(__xludf.DUMMYFUNCTION("""COMPUTED_VALUE"""),"Veteran")</f>
        <v>Veteran</v>
      </c>
      <c r="B799" s="55" t="str">
        <f>IFERROR(__xludf.DUMMYFUNCTION("""COMPUTED_VALUE"""),"RSC006639")</f>
        <v>RSC006639</v>
      </c>
      <c r="C799" s="60" t="str">
        <f>IFERROR(__xludf.DUMMYFUNCTION("""COMPUTED_VALUE"""),"Zxphyr")</f>
        <v>Zxphyr</v>
      </c>
      <c r="D799" s="54" t="str">
        <f>IFERROR(__xludf.DUMMYFUNCTION("""COMPUTED_VALUE"""),"Avalanche")</f>
        <v>Avalanche</v>
      </c>
      <c r="E799" s="55" t="str">
        <f>IFERROR(__xludf.DUMMYFUNCTION("""COMPUTED_VALUE"""),"Solar")</f>
        <v>Solar</v>
      </c>
      <c r="F799" s="56">
        <f>IFERROR(__xludf.DUMMYFUNCTION("""COMPUTED_VALUE"""),29.59411443066825)</f>
        <v>29.59411443</v>
      </c>
      <c r="G799" s="57">
        <f>IFERROR(__xludf.DUMMYFUNCTION("""COMPUTED_VALUE"""),12.0)</f>
        <v>12</v>
      </c>
      <c r="H799" s="58">
        <f>IFERROR(__xludf.DUMMYFUNCTION("iferror(if(B799="""", ,filter('IDR Import'!D:D,'IDR Import'!A:A=B799,'IDR Import'!C:C=A799)),)"),14.698727931184933)</f>
        <v>14.69872793</v>
      </c>
      <c r="I799" s="58">
        <v>22.14642118092659</v>
      </c>
      <c r="J799" s="59">
        <f t="shared" si="1"/>
        <v>12</v>
      </c>
    </row>
    <row r="800">
      <c r="A800" s="55" t="str">
        <f>IFERROR(__xludf.DUMMYFUNCTION("""COMPUTED_VALUE"""),"Veteran")</f>
        <v>Veteran</v>
      </c>
      <c r="B800" s="55" t="str">
        <f>IFERROR(__xludf.DUMMYFUNCTION("""COMPUTED_VALUE"""),"RSC007373")</f>
        <v>RSC007373</v>
      </c>
      <c r="C800" s="60" t="str">
        <f>IFERROR(__xludf.DUMMYFUNCTION("""COMPUTED_VALUE"""),"pug")</f>
        <v>pug</v>
      </c>
      <c r="D800" s="54" t="str">
        <f>IFERROR(__xludf.DUMMYFUNCTION("""COMPUTED_VALUE"""),"Gargoyle")</f>
        <v>Gargoyle</v>
      </c>
      <c r="E800" s="55" t="str">
        <f>IFERROR(__xludf.DUMMYFUNCTION("""COMPUTED_VALUE"""),"Solar")</f>
        <v>Solar</v>
      </c>
      <c r="F800" s="56">
        <f>IFERROR(__xludf.DUMMYFUNCTION("""COMPUTED_VALUE"""),26.76562712110572)</f>
        <v>26.76562712</v>
      </c>
      <c r="G800" s="57">
        <f>IFERROR(__xludf.DUMMYFUNCTION("""COMPUTED_VALUE"""),13.0)</f>
        <v>13</v>
      </c>
      <c r="H800" s="58">
        <f>IFERROR(__xludf.DUMMYFUNCTION("iferror(if(B800="""", ,filter('IDR Import'!D:D,'IDR Import'!A:A=B800,'IDR Import'!C:C=A800)),)"),47.049694409362594)</f>
        <v>47.04969441</v>
      </c>
      <c r="I800" s="58">
        <v>36.907660765234155</v>
      </c>
      <c r="J800" s="59">
        <f t="shared" si="1"/>
        <v>13</v>
      </c>
    </row>
    <row r="801">
      <c r="A801" s="55" t="str">
        <f>IFERROR(__xludf.DUMMYFUNCTION("""COMPUTED_VALUE"""),"Veteran")</f>
        <v>Veteran</v>
      </c>
      <c r="B801" s="55" t="str">
        <f>IFERROR(__xludf.DUMMYFUNCTION("""COMPUTED_VALUE"""),"RSC006976")</f>
        <v>RSC006976</v>
      </c>
      <c r="C801" s="60" t="str">
        <f>IFERROR(__xludf.DUMMYFUNCTION("""COMPUTED_VALUE"""),"Slendda")</f>
        <v>Slendda</v>
      </c>
      <c r="D801" s="54" t="str">
        <f>IFERROR(__xludf.DUMMYFUNCTION("""COMPUTED_VALUE"""),"Cannoli")</f>
        <v>Cannoli</v>
      </c>
      <c r="E801" s="55" t="str">
        <f>IFERROR(__xludf.DUMMYFUNCTION("""COMPUTED_VALUE"""),"Lunar")</f>
        <v>Lunar</v>
      </c>
      <c r="F801" s="56">
        <f>IFERROR(__xludf.DUMMYFUNCTION("""COMPUTED_VALUE"""),25.82730427444385)</f>
        <v>25.82730427</v>
      </c>
      <c r="G801" s="57">
        <f>IFERROR(__xludf.DUMMYFUNCTION("""COMPUTED_VALUE"""),18.0)</f>
        <v>18</v>
      </c>
      <c r="H801" s="58">
        <f>IFERROR(__xludf.DUMMYFUNCTION("iferror(if(B801="""", ,filter('IDR Import'!D:D,'IDR Import'!A:A=B801,'IDR Import'!C:C=A801)),)"),15.490573104598212)</f>
        <v>15.4905731</v>
      </c>
      <c r="I801" s="58">
        <v>20.65893868952103</v>
      </c>
      <c r="J801" s="59">
        <f t="shared" si="1"/>
        <v>18</v>
      </c>
    </row>
    <row r="802">
      <c r="A802" s="55" t="str">
        <f>IFERROR(__xludf.DUMMYFUNCTION("""COMPUTED_VALUE"""),"Veteran")</f>
        <v>Veteran</v>
      </c>
      <c r="B802" s="55" t="str">
        <f>IFERROR(__xludf.DUMMYFUNCTION("""COMPUTED_VALUE"""),"RSC007861")</f>
        <v>RSC007861</v>
      </c>
      <c r="C802" s="60" t="str">
        <f>IFERROR(__xludf.DUMMYFUNCTION("""COMPUTED_VALUE"""),"xmanyaknow")</f>
        <v>xmanyaknow</v>
      </c>
      <c r="D802" s="54" t="str">
        <f>IFERROR(__xludf.DUMMYFUNCTION("""COMPUTED_VALUE"""),"Sons of Ares")</f>
        <v>Sons of Ares</v>
      </c>
      <c r="E802" s="55" t="str">
        <f>IFERROR(__xludf.DUMMYFUNCTION("""COMPUTED_VALUE"""),"Solar")</f>
        <v>Solar</v>
      </c>
      <c r="F802" s="56">
        <f>IFERROR(__xludf.DUMMYFUNCTION("""COMPUTED_VALUE"""),25.635641646416286)</f>
        <v>25.63564165</v>
      </c>
      <c r="G802" s="57">
        <f>IFERROR(__xludf.DUMMYFUNCTION("""COMPUTED_VALUE"""),10.0)</f>
        <v>10</v>
      </c>
      <c r="H802" s="58">
        <f>IFERROR(__xludf.DUMMYFUNCTION("iferror(if(B802="""", ,filter('IDR Import'!D:D,'IDR Import'!A:A=B802,'IDR Import'!C:C=A802)),)"),42.734218778393824)</f>
        <v>42.73421878</v>
      </c>
      <c r="I802" s="58">
        <v>34.18493021240506</v>
      </c>
      <c r="J802" s="59">
        <f t="shared" si="1"/>
        <v>10</v>
      </c>
    </row>
    <row r="803">
      <c r="A803" s="55" t="str">
        <f>IFERROR(__xludf.DUMMYFUNCTION("""COMPUTED_VALUE"""),"Veteran")</f>
        <v>Veteran</v>
      </c>
      <c r="B803" s="55" t="str">
        <f>IFERROR(__xludf.DUMMYFUNCTION("""COMPUTED_VALUE"""),"RSC005294")</f>
        <v>RSC005294</v>
      </c>
      <c r="C803" s="60" t="str">
        <f>IFERROR(__xludf.DUMMYFUNCTION("""COMPUTED_VALUE"""),"mogulmaniac5480")</f>
        <v>mogulmaniac5480</v>
      </c>
      <c r="D803" s="54" t="str">
        <f>IFERROR(__xludf.DUMMYFUNCTION("""COMPUTED_VALUE"""),"Gorillas")</f>
        <v>Gorillas</v>
      </c>
      <c r="E803" s="55" t="str">
        <f>IFERROR(__xludf.DUMMYFUNCTION("""COMPUTED_VALUE"""),"Solar")</f>
        <v>Solar</v>
      </c>
      <c r="F803" s="56">
        <f>IFERROR(__xludf.DUMMYFUNCTION("""COMPUTED_VALUE"""),24.33044076202546)</f>
        <v>24.33044076</v>
      </c>
      <c r="G803" s="57">
        <f>IFERROR(__xludf.DUMMYFUNCTION("""COMPUTED_VALUE"""),16.0)</f>
        <v>16</v>
      </c>
      <c r="H803" s="58">
        <f>IFERROR(__xludf.DUMMYFUNCTION("iferror(if(B803="""", ,filter('IDR Import'!D:D,'IDR Import'!A:A=B803,'IDR Import'!C:C=A803)),)"),20.147958893817318)</f>
        <v>20.14795889</v>
      </c>
      <c r="I803" s="58">
        <v>22.23919982792139</v>
      </c>
      <c r="J803" s="59">
        <f t="shared" si="1"/>
        <v>16</v>
      </c>
    </row>
    <row r="804">
      <c r="A804" s="55" t="str">
        <f>IFERROR(__xludf.DUMMYFUNCTION("""COMPUTED_VALUE"""),"Veteran")</f>
        <v>Veteran</v>
      </c>
      <c r="B804" s="55" t="str">
        <f>IFERROR(__xludf.DUMMYFUNCTION("""COMPUTED_VALUE"""),"RSC004385")</f>
        <v>RSC004385</v>
      </c>
      <c r="C804" s="60" t="str">
        <f>IFERROR(__xludf.DUMMYFUNCTION("""COMPUTED_VALUE"""),"Braybaum02")</f>
        <v>Braybaum02</v>
      </c>
      <c r="D804" s="54" t="str">
        <f>IFERROR(__xludf.DUMMYFUNCTION("""COMPUTED_VALUE"""),"Peppermint")</f>
        <v>Peppermint</v>
      </c>
      <c r="E804" s="55" t="str">
        <f>IFERROR(__xludf.DUMMYFUNCTION("""COMPUTED_VALUE"""),"Solar")</f>
        <v>Solar</v>
      </c>
      <c r="F804" s="56">
        <f>IFERROR(__xludf.DUMMYFUNCTION("""COMPUTED_VALUE"""),24.09670600288502)</f>
        <v>24.096706</v>
      </c>
      <c r="G804" s="57">
        <f>IFERROR(__xludf.DUMMYFUNCTION("""COMPUTED_VALUE"""),20.0)</f>
        <v>20</v>
      </c>
      <c r="H804" s="58">
        <f>IFERROR(__xludf.DUMMYFUNCTION("iferror(if(B804="""", ,filter('IDR Import'!D:D,'IDR Import'!A:A=B804,'IDR Import'!C:C=A804)),)"),14.316361164891823)</f>
        <v>14.31636116</v>
      </c>
      <c r="I804" s="58">
        <v>19.206533583888422</v>
      </c>
      <c r="J804" s="59">
        <f t="shared" si="1"/>
        <v>20</v>
      </c>
    </row>
    <row r="805">
      <c r="A805" s="55" t="str">
        <f>IFERROR(__xludf.DUMMYFUNCTION("""COMPUTED_VALUE"""),"Veteran")</f>
        <v>Veteran</v>
      </c>
      <c r="B805" s="55" t="str">
        <f>IFERROR(__xludf.DUMMYFUNCTION("""COMPUTED_VALUE"""),"RSC001091")</f>
        <v>RSC001091</v>
      </c>
      <c r="C805" s="60" t="str">
        <f>IFERROR(__xludf.DUMMYFUNCTION("""COMPUTED_VALUE"""),"stealthman777")</f>
        <v>stealthman777</v>
      </c>
      <c r="D805" s="54" t="str">
        <f>IFERROR(__xludf.DUMMYFUNCTION("""COMPUTED_VALUE"""),"Kirin")</f>
        <v>Kirin</v>
      </c>
      <c r="E805" s="55" t="str">
        <f>IFERROR(__xludf.DUMMYFUNCTION("""COMPUTED_VALUE"""),"Solar")</f>
        <v>Solar</v>
      </c>
      <c r="F805" s="56">
        <f>IFERROR(__xludf.DUMMYFUNCTION("""COMPUTED_VALUE"""),20.629792911287293)</f>
        <v>20.62979291</v>
      </c>
      <c r="G805" s="57">
        <f>IFERROR(__xludf.DUMMYFUNCTION("""COMPUTED_VALUE"""),36.0)</f>
        <v>36</v>
      </c>
      <c r="H805" s="58">
        <f>IFERROR(__xludf.DUMMYFUNCTION("iferror(if(B805="""", ,filter('IDR Import'!D:D,'IDR Import'!A:A=B805,'IDR Import'!C:C=A805)),)"),14.94029709443555)</f>
        <v>14.94029709</v>
      </c>
      <c r="I805" s="58">
        <v>17.785045002861423</v>
      </c>
      <c r="J805" s="59">
        <f t="shared" si="1"/>
        <v>36</v>
      </c>
    </row>
    <row r="806">
      <c r="A806" s="55" t="str">
        <f>IFERROR(__xludf.DUMMYFUNCTION("""COMPUTED_VALUE"""),"Veteran")</f>
        <v>Veteran</v>
      </c>
      <c r="B806" s="55" t="str">
        <f>IFERROR(__xludf.DUMMYFUNCTION("""COMPUTED_VALUE"""),"RSC003122")</f>
        <v>RSC003122</v>
      </c>
      <c r="C806" s="60" t="str">
        <f>IFERROR(__xludf.DUMMYFUNCTION("""COMPUTED_VALUE"""),"Kovalchuk")</f>
        <v>Kovalchuk</v>
      </c>
      <c r="D806" s="54" t="str">
        <f>IFERROR(__xludf.DUMMYFUNCTION("""COMPUTED_VALUE"""),"Supernova
Fer-de-Lance
Folks")</f>
        <v>Supernova
Fer-de-Lance
Folks</v>
      </c>
      <c r="E806" s="55" t="str">
        <f>IFERROR(__xludf.DUMMYFUNCTION("""COMPUTED_VALUE"""),"Lunar
Lunar
Lunar")</f>
        <v>Lunar
Lunar
Lunar</v>
      </c>
      <c r="F806" s="56">
        <f>IFERROR(__xludf.DUMMYFUNCTION("""COMPUTED_VALUE"""),20.40927117245262)</f>
        <v>20.40927117</v>
      </c>
      <c r="G806" s="57">
        <f>IFERROR(__xludf.DUMMYFUNCTION("""COMPUTED_VALUE"""),12.0)</f>
        <v>12</v>
      </c>
      <c r="H806" s="58">
        <f>IFERROR(__xludf.DUMMYFUNCTION("iferror(if(B806="""", ,filter('IDR Import'!D:D,'IDR Import'!A:A=B806,'IDR Import'!C:C=A806)),)"),22.06496419097918)</f>
        <v>22.06496419</v>
      </c>
      <c r="I806" s="58">
        <v>21.2371176817159</v>
      </c>
      <c r="J806" s="59">
        <f t="shared" si="1"/>
        <v>12</v>
      </c>
    </row>
    <row r="807">
      <c r="A807" s="55" t="str">
        <f>IFERROR(__xludf.DUMMYFUNCTION("""COMPUTED_VALUE"""),"Veteran")</f>
        <v>Veteran</v>
      </c>
      <c r="B807" s="55" t="str">
        <f>IFERROR(__xludf.DUMMYFUNCTION("""COMPUTED_VALUE"""),"RSC005438")</f>
        <v>RSC005438</v>
      </c>
      <c r="C807" s="60" t="str">
        <f>IFERROR(__xludf.DUMMYFUNCTION("""COMPUTED_VALUE"""),"ForestmanChubs")</f>
        <v>ForestmanChubs</v>
      </c>
      <c r="D807" s="54" t="str">
        <f>IFERROR(__xludf.DUMMYFUNCTION("""COMPUTED_VALUE"""),"Kirin
Avalanche")</f>
        <v>Kirin
Avalanche</v>
      </c>
      <c r="E807" s="55" t="str">
        <f>IFERROR(__xludf.DUMMYFUNCTION("""COMPUTED_VALUE"""),"Solar
Solar")</f>
        <v>Solar
Solar</v>
      </c>
      <c r="F807" s="56">
        <f>IFERROR(__xludf.DUMMYFUNCTION("""COMPUTED_VALUE"""),19.68884915962924)</f>
        <v>19.68884916</v>
      </c>
      <c r="G807" s="57">
        <f>IFERROR(__xludf.DUMMYFUNCTION("""COMPUTED_VALUE"""),6.0)</f>
        <v>6</v>
      </c>
      <c r="H807" s="58">
        <f>IFERROR(__xludf.DUMMYFUNCTION("iferror(if(B807="""", ,filter('IDR Import'!D:D,'IDR Import'!A:A=B807,'IDR Import'!C:C=A807)),)"),19.86322291775852)</f>
        <v>19.86322292</v>
      </c>
      <c r="I807" s="58">
        <v>19.77603603869388</v>
      </c>
      <c r="J807" s="59">
        <f t="shared" si="1"/>
        <v>6</v>
      </c>
    </row>
    <row r="808">
      <c r="A808" s="55" t="str">
        <f>IFERROR(__xludf.DUMMYFUNCTION("""COMPUTED_VALUE"""),"Veteran")</f>
        <v>Veteran</v>
      </c>
      <c r="B808" s="55" t="str">
        <f>IFERROR(__xludf.DUMMYFUNCTION("""COMPUTED_VALUE"""),"RSC005689")</f>
        <v>RSC005689</v>
      </c>
      <c r="C808" s="60" t="str">
        <f>IFERROR(__xludf.DUMMYFUNCTION("""COMPUTED_VALUE"""),"Wntr")</f>
        <v>Wntr</v>
      </c>
      <c r="D808" s="54" t="str">
        <f>IFERROR(__xludf.DUMMYFUNCTION("""COMPUTED_VALUE"""),"Berserkers")</f>
        <v>Berserkers</v>
      </c>
      <c r="E808" s="55" t="str">
        <f>IFERROR(__xludf.DUMMYFUNCTION("""COMPUTED_VALUE"""),"Lunar")</f>
        <v>Lunar</v>
      </c>
      <c r="F808" s="56">
        <f>IFERROR(__xludf.DUMMYFUNCTION("""COMPUTED_VALUE"""),19.461651777937565)</f>
        <v>19.46165178</v>
      </c>
      <c r="G808" s="57">
        <f>IFERROR(__xludf.DUMMYFUNCTION("""COMPUTED_VALUE"""),4.0)</f>
        <v>4</v>
      </c>
      <c r="H808" s="58">
        <f>IFERROR(__xludf.DUMMYFUNCTION("iferror(if(B808="""", ,filter('IDR Import'!D:D,'IDR Import'!A:A=B808,'IDR Import'!C:C=A808)),)"),39.23113979840825)</f>
        <v>39.2311398</v>
      </c>
      <c r="I808" s="58">
        <v>29.346395788172906</v>
      </c>
      <c r="J808" s="59">
        <f t="shared" si="1"/>
        <v>4</v>
      </c>
    </row>
    <row r="809">
      <c r="A809" s="55" t="str">
        <f>IFERROR(__xludf.DUMMYFUNCTION("""COMPUTED_VALUE"""),"Veteran")</f>
        <v>Veteran</v>
      </c>
      <c r="B809" s="55" t="str">
        <f>IFERROR(__xludf.DUMMYFUNCTION("""COMPUTED_VALUE"""),"RSC008562")</f>
        <v>RSC008562</v>
      </c>
      <c r="C809" s="60" t="str">
        <f>IFERROR(__xludf.DUMMYFUNCTION("""COMPUTED_VALUE"""),"lul za za")</f>
        <v>lul za za</v>
      </c>
      <c r="D809" s="54" t="str">
        <f>IFERROR(__xludf.DUMMYFUNCTION("""COMPUTED_VALUE"""),"Supernova
Peppermint")</f>
        <v>Supernova
Peppermint</v>
      </c>
      <c r="E809" s="55" t="str">
        <f>IFERROR(__xludf.DUMMYFUNCTION("""COMPUTED_VALUE"""),"Lunar
Solar")</f>
        <v>Lunar
Solar</v>
      </c>
      <c r="F809" s="56">
        <f>IFERROR(__xludf.DUMMYFUNCTION("""COMPUTED_VALUE"""),18.263560202238565)</f>
        <v>18.2635602</v>
      </c>
      <c r="G809" s="57">
        <f>IFERROR(__xludf.DUMMYFUNCTION("""COMPUTED_VALUE"""),7.0)</f>
        <v>7</v>
      </c>
      <c r="H809" s="58">
        <f>IFERROR(__xludf.DUMMYFUNCTION("iferror(if(B809="""", ,filter('IDR Import'!D:D,'IDR Import'!A:A=B809,'IDR Import'!C:C=A809)),)"),0.40294608208738225)</f>
        <v>0.4029460821</v>
      </c>
      <c r="I809" s="58">
        <v>9.333253142162974</v>
      </c>
      <c r="J809" s="59">
        <f t="shared" si="1"/>
        <v>7</v>
      </c>
    </row>
    <row r="810">
      <c r="A810" s="55" t="str">
        <f>IFERROR(__xludf.DUMMYFUNCTION("""COMPUTED_VALUE"""),"Veteran")</f>
        <v>Veteran</v>
      </c>
      <c r="B810" s="55" t="str">
        <f>IFERROR(__xludf.DUMMYFUNCTION("""COMPUTED_VALUE"""),"RSC007070")</f>
        <v>RSC007070</v>
      </c>
      <c r="C810" s="60" t="str">
        <f>IFERROR(__xludf.DUMMYFUNCTION("""COMPUTED_VALUE"""),"demha.")</f>
        <v>demha.</v>
      </c>
      <c r="D810" s="54" t="str">
        <f>IFERROR(__xludf.DUMMYFUNCTION("""COMPUTED_VALUE"""),"White Collars")</f>
        <v>White Collars</v>
      </c>
      <c r="E810" s="55" t="str">
        <f>IFERROR(__xludf.DUMMYFUNCTION("""COMPUTED_VALUE"""),"Lunar")</f>
        <v>Lunar</v>
      </c>
      <c r="F810" s="56">
        <f>IFERROR(__xludf.DUMMYFUNCTION("""COMPUTED_VALUE"""),18.060812782152908)</f>
        <v>18.06081278</v>
      </c>
      <c r="G810" s="57">
        <f>IFERROR(__xludf.DUMMYFUNCTION("""COMPUTED_VALUE"""),3.0)</f>
        <v>3</v>
      </c>
      <c r="H810" s="58">
        <f>IFERROR(__xludf.DUMMYFUNCTION("iferror(if(B810="""", ,filter('IDR Import'!D:D,'IDR Import'!A:A=B810,'IDR Import'!C:C=A810)),)"),25.13348011521692)</f>
        <v>25.13348012</v>
      </c>
      <c r="I810" s="58">
        <v>21.597146448684914</v>
      </c>
      <c r="J810" s="59">
        <f t="shared" si="1"/>
        <v>3</v>
      </c>
    </row>
    <row r="811">
      <c r="A811" s="55" t="str">
        <f>IFERROR(__xludf.DUMMYFUNCTION("""COMPUTED_VALUE"""),"Veteran")</f>
        <v>Veteran</v>
      </c>
      <c r="B811" s="55" t="str">
        <f>IFERROR(__xludf.DUMMYFUNCTION("""COMPUTED_VALUE"""),"RSC004970")</f>
        <v>RSC004970</v>
      </c>
      <c r="C811" s="60" t="str">
        <f>IFERROR(__xludf.DUMMYFUNCTION("""COMPUTED_VALUE"""),"Tgunn05")</f>
        <v>Tgunn05</v>
      </c>
      <c r="D811" s="54" t="str">
        <f>IFERROR(__xludf.DUMMYFUNCTION("""COMPUTED_VALUE"""),"Folks
Peppermint")</f>
        <v>Folks
Peppermint</v>
      </c>
      <c r="E811" s="55" t="str">
        <f>IFERROR(__xludf.DUMMYFUNCTION("""COMPUTED_VALUE"""),"Lunar
Solar")</f>
        <v>Lunar
Solar</v>
      </c>
      <c r="F811" s="56">
        <f>IFERROR(__xludf.DUMMYFUNCTION("""COMPUTED_VALUE"""),17.710641044983163)</f>
        <v>17.71064104</v>
      </c>
      <c r="G811" s="57">
        <f>IFERROR(__xludf.DUMMYFUNCTION("""COMPUTED_VALUE"""),34.0)</f>
        <v>34</v>
      </c>
      <c r="H811" s="58">
        <f>IFERROR(__xludf.DUMMYFUNCTION("iferror(if(B811="""", ,filter('IDR Import'!D:D,'IDR Import'!A:A=B811,'IDR Import'!C:C=A811)),)"),14.478686876342763)</f>
        <v>14.47868688</v>
      </c>
      <c r="I811" s="58">
        <v>16.094663960662963</v>
      </c>
      <c r="J811" s="59">
        <f t="shared" si="1"/>
        <v>34</v>
      </c>
    </row>
    <row r="812">
      <c r="A812" s="55" t="str">
        <f>IFERROR(__xludf.DUMMYFUNCTION("""COMPUTED_VALUE"""),"Veteran")</f>
        <v>Veteran</v>
      </c>
      <c r="B812" s="55" t="str">
        <f>IFERROR(__xludf.DUMMYFUNCTION("""COMPUTED_VALUE"""),"RSC008592")</f>
        <v>RSC008592</v>
      </c>
      <c r="C812" s="60" t="str">
        <f>IFERROR(__xludf.DUMMYFUNCTION("""COMPUTED_VALUE"""),"Rezcoh")</f>
        <v>Rezcoh</v>
      </c>
      <c r="D812" s="54" t="str">
        <f>IFERROR(__xludf.DUMMYFUNCTION("""COMPUTED_VALUE"""),"Peppermint")</f>
        <v>Peppermint</v>
      </c>
      <c r="E812" s="55" t="str">
        <f>IFERROR(__xludf.DUMMYFUNCTION("""COMPUTED_VALUE"""),"Solar")</f>
        <v>Solar</v>
      </c>
      <c r="F812" s="56">
        <f>IFERROR(__xludf.DUMMYFUNCTION("""COMPUTED_VALUE"""),17.505765805921783)</f>
        <v>17.50576581</v>
      </c>
      <c r="G812" s="57">
        <f>IFERROR(__xludf.DUMMYFUNCTION("""COMPUTED_VALUE"""),4.0)</f>
        <v>4</v>
      </c>
      <c r="H812" s="58">
        <f>IFERROR(__xludf.DUMMYFUNCTION("iferror(if(B812="""", ,filter('IDR Import'!D:D,'IDR Import'!A:A=B812,'IDR Import'!C:C=A812)),)"),21.655016799161363)</f>
        <v>21.6550168</v>
      </c>
      <c r="I812" s="58">
        <v>19.58039130254157</v>
      </c>
      <c r="J812" s="59">
        <f t="shared" si="1"/>
        <v>4</v>
      </c>
    </row>
    <row r="813">
      <c r="A813" s="55" t="str">
        <f>IFERROR(__xludf.DUMMYFUNCTION("""COMPUTED_VALUE"""),"Veteran")</f>
        <v>Veteran</v>
      </c>
      <c r="B813" s="55" t="str">
        <f>IFERROR(__xludf.DUMMYFUNCTION("""COMPUTED_VALUE"""),"RSC006428")</f>
        <v>RSC006428</v>
      </c>
      <c r="C813" s="60" t="str">
        <f>IFERROR(__xludf.DUMMYFUNCTION("""COMPUTED_VALUE"""),"SniperWarrior007")</f>
        <v>SniperWarrior007</v>
      </c>
      <c r="D813" s="54" t="str">
        <f>IFERROR(__xludf.DUMMYFUNCTION("""COMPUTED_VALUE"""),"Peppermint")</f>
        <v>Peppermint</v>
      </c>
      <c r="E813" s="55" t="str">
        <f>IFERROR(__xludf.DUMMYFUNCTION("""COMPUTED_VALUE"""),"Solar")</f>
        <v>Solar</v>
      </c>
      <c r="F813" s="56">
        <f>IFERROR(__xludf.DUMMYFUNCTION("""COMPUTED_VALUE"""),17.361759042931794)</f>
        <v>17.36175904</v>
      </c>
      <c r="G813" s="57">
        <f>IFERROR(__xludf.DUMMYFUNCTION("""COMPUTED_VALUE"""),8.0)</f>
        <v>8</v>
      </c>
      <c r="H813" s="58">
        <f>IFERROR(__xludf.DUMMYFUNCTION("iferror(if(B813="""", ,filter('IDR Import'!D:D,'IDR Import'!A:A=B813,'IDR Import'!C:C=A813)),)"),9.285110987485211)</f>
        <v>9.285110987</v>
      </c>
      <c r="I813" s="58">
        <v>13.323435015208503</v>
      </c>
      <c r="J813" s="59">
        <f t="shared" si="1"/>
        <v>8</v>
      </c>
    </row>
    <row r="814">
      <c r="A814" s="55" t="str">
        <f>IFERROR(__xludf.DUMMYFUNCTION("""COMPUTED_VALUE"""),"Veteran")</f>
        <v>Veteran</v>
      </c>
      <c r="B814" s="55" t="str">
        <f>IFERROR(__xludf.DUMMYFUNCTION("""COMPUTED_VALUE"""),"RSC008411")</f>
        <v>RSC008411</v>
      </c>
      <c r="C814" s="60" t="str">
        <f>IFERROR(__xludf.DUMMYFUNCTION("""COMPUTED_VALUE"""),"cosmo6430")</f>
        <v>cosmo6430</v>
      </c>
      <c r="D814" s="54" t="str">
        <f>IFERROR(__xludf.DUMMYFUNCTION("""COMPUTED_VALUE"""),"Dread
Singularity")</f>
        <v>Dread
Singularity</v>
      </c>
      <c r="E814" s="55" t="str">
        <f>IFERROR(__xludf.DUMMYFUNCTION("""COMPUTED_VALUE"""),"Lunar
Solar")</f>
        <v>Lunar
Solar</v>
      </c>
      <c r="F814" s="56">
        <f>IFERROR(__xludf.DUMMYFUNCTION("""COMPUTED_VALUE"""),14.66997627668006)</f>
        <v>14.66997628</v>
      </c>
      <c r="G814" s="57">
        <f>IFERROR(__xludf.DUMMYFUNCTION("""COMPUTED_VALUE"""),23.0)</f>
        <v>23</v>
      </c>
      <c r="H814" s="58">
        <f>IFERROR(__xludf.DUMMYFUNCTION("iferror(if(B814="""", ,filter('IDR Import'!D:D,'IDR Import'!A:A=B814,'IDR Import'!C:C=A814)),)"),1.4988245456100202)</f>
        <v>1.498824546</v>
      </c>
      <c r="I814" s="58">
        <v>8.08440041114504</v>
      </c>
      <c r="J814" s="59">
        <f t="shared" si="1"/>
        <v>23</v>
      </c>
    </row>
    <row r="815">
      <c r="A815" s="55" t="str">
        <f>IFERROR(__xludf.DUMMYFUNCTION("""COMPUTED_VALUE"""),"Veteran")</f>
        <v>Veteran</v>
      </c>
      <c r="B815" s="55" t="str">
        <f>IFERROR(__xludf.DUMMYFUNCTION("""COMPUTED_VALUE"""),"RSC003255")</f>
        <v>RSC003255</v>
      </c>
      <c r="C815" s="60" t="str">
        <f>IFERROR(__xludf.DUMMYFUNCTION("""COMPUTED_VALUE"""),"cozyboy")</f>
        <v>cozyboy</v>
      </c>
      <c r="D815" s="54" t="str">
        <f>IFERROR(__xludf.DUMMYFUNCTION("""COMPUTED_VALUE"""),"Supernova")</f>
        <v>Supernova</v>
      </c>
      <c r="E815" s="55" t="str">
        <f>IFERROR(__xludf.DUMMYFUNCTION("""COMPUTED_VALUE"""),"Lunar")</f>
        <v>Lunar</v>
      </c>
      <c r="F815" s="56">
        <f>IFERROR(__xludf.DUMMYFUNCTION("""COMPUTED_VALUE"""),11.656169035371384)</f>
        <v>11.65616904</v>
      </c>
      <c r="G815" s="57">
        <f>IFERROR(__xludf.DUMMYFUNCTION("""COMPUTED_VALUE"""),4.0)</f>
        <v>4</v>
      </c>
      <c r="H815" s="58">
        <f>IFERROR(__xludf.DUMMYFUNCTION("iferror(if(B815="""", ,filter('IDR Import'!D:D,'IDR Import'!A:A=B815,'IDR Import'!C:C=A815)),)"),30.46363455871767)</f>
        <v>30.46363456</v>
      </c>
      <c r="I815" s="58">
        <v>21.059901797044525</v>
      </c>
      <c r="J815" s="59">
        <f t="shared" si="1"/>
        <v>4</v>
      </c>
    </row>
    <row r="816">
      <c r="A816" s="55" t="str">
        <f>IFERROR(__xludf.DUMMYFUNCTION("""COMPUTED_VALUE"""),"Veteran")</f>
        <v>Veteran</v>
      </c>
      <c r="B816" s="55" t="str">
        <f>IFERROR(__xludf.DUMMYFUNCTION("""COMPUTED_VALUE"""),"RSC000848")</f>
        <v>RSC000848</v>
      </c>
      <c r="C816" s="60" t="str">
        <f>IFERROR(__xludf.DUMMYFUNCTION("""COMPUTED_VALUE"""),"WittingHalo64")</f>
        <v>WittingHalo64</v>
      </c>
      <c r="D816" s="54" t="str">
        <f>IFERROR(__xludf.DUMMYFUNCTION("""COMPUTED_VALUE"""),"Water")</f>
        <v>Water</v>
      </c>
      <c r="E816" s="55" t="str">
        <f>IFERROR(__xludf.DUMMYFUNCTION("""COMPUTED_VALUE"""),"Solar")</f>
        <v>Solar</v>
      </c>
      <c r="F816" s="56">
        <f>IFERROR(__xludf.DUMMYFUNCTION("""COMPUTED_VALUE"""),9.770923396387417)</f>
        <v>9.770923396</v>
      </c>
      <c r="G816" s="57">
        <f>IFERROR(__xludf.DUMMYFUNCTION("""COMPUTED_VALUE"""),2.0)</f>
        <v>2</v>
      </c>
      <c r="H816" s="58">
        <f>IFERROR(__xludf.DUMMYFUNCTION("iferror(if(B816="""", ,filter('IDR Import'!D:D,'IDR Import'!A:A=B816,'IDR Import'!C:C=A816)),)"),9.387599887624845)</f>
        <v>9.387599888</v>
      </c>
      <c r="I816" s="58">
        <v>9.57926164200613</v>
      </c>
      <c r="J816" s="59">
        <f t="shared" si="1"/>
        <v>2</v>
      </c>
    </row>
    <row r="817">
      <c r="A817" s="55" t="str">
        <f>IFERROR(__xludf.DUMMYFUNCTION("""COMPUTED_VALUE"""),"Veteran")</f>
        <v>Veteran</v>
      </c>
      <c r="B817" s="55" t="str">
        <f>IFERROR(__xludf.DUMMYFUNCTION("""COMPUTED_VALUE"""),"RSC006949")</f>
        <v>RSC006949</v>
      </c>
      <c r="C817" s="60" t="str">
        <f>IFERROR(__xludf.DUMMYFUNCTION("""COMPUTED_VALUE"""),"oiNio")</f>
        <v>oiNio</v>
      </c>
      <c r="D817" s="54" t="str">
        <f>IFERROR(__xludf.DUMMYFUNCTION("""COMPUTED_VALUE"""),"White Collars")</f>
        <v>White Collars</v>
      </c>
      <c r="E817" s="55" t="str">
        <f>IFERROR(__xludf.DUMMYFUNCTION("""COMPUTED_VALUE"""),"Lunar")</f>
        <v>Lunar</v>
      </c>
      <c r="F817" s="56">
        <f>IFERROR(__xludf.DUMMYFUNCTION("""COMPUTED_VALUE"""),8.34994452549303)</f>
        <v>8.349944525</v>
      </c>
      <c r="G817" s="57">
        <f>IFERROR(__xludf.DUMMYFUNCTION("""COMPUTED_VALUE"""),4.0)</f>
        <v>4</v>
      </c>
      <c r="H817" s="58">
        <f>IFERROR(__xludf.DUMMYFUNCTION("iferror(if(B817="""", ,filter('IDR Import'!D:D,'IDR Import'!A:A=B817,'IDR Import'!C:C=A817)),)"),18.07917288813569)</f>
        <v>18.07917289</v>
      </c>
      <c r="I817" s="58">
        <v>13.21455870681436</v>
      </c>
      <c r="J817" s="59">
        <f t="shared" si="1"/>
        <v>4</v>
      </c>
    </row>
    <row r="818">
      <c r="A818" s="55" t="str">
        <f>IFERROR(__xludf.DUMMYFUNCTION("""COMPUTED_VALUE"""),"Veteran")</f>
        <v>Veteran</v>
      </c>
      <c r="B818" s="55" t="str">
        <f>IFERROR(__xludf.DUMMYFUNCTION("""COMPUTED_VALUE"""),"RSC008548")</f>
        <v>RSC008548</v>
      </c>
      <c r="C818" s="60" t="str">
        <f>IFERROR(__xludf.DUMMYFUNCTION("""COMPUTED_VALUE"""),"Slinkxyz")</f>
        <v>Slinkxyz</v>
      </c>
      <c r="D818" s="54" t="str">
        <f>IFERROR(__xludf.DUMMYFUNCTION("""COMPUTED_VALUE"""),"Peppermint
Makos
Shadow Tails")</f>
        <v>Peppermint
Makos
Shadow Tails</v>
      </c>
      <c r="E818" s="55" t="str">
        <f>IFERROR(__xludf.DUMMYFUNCTION("""COMPUTED_VALUE"""),"Solar
Solar
Solar")</f>
        <v>Solar
Solar
Solar</v>
      </c>
      <c r="F818" s="56">
        <f>IFERROR(__xludf.DUMMYFUNCTION("""COMPUTED_VALUE"""),6.8710610963918555)</f>
        <v>6.871061096</v>
      </c>
      <c r="G818" s="57">
        <f>IFERROR(__xludf.DUMMYFUNCTION("""COMPUTED_VALUE"""),12.0)</f>
        <v>12</v>
      </c>
      <c r="H818" s="58">
        <f>IFERROR(__xludf.DUMMYFUNCTION("iferror(if(B818="""", ,filter('IDR Import'!D:D,'IDR Import'!A:A=B818,'IDR Import'!C:C=A818)),)"),13.644231502068145)</f>
        <v>13.6442315</v>
      </c>
      <c r="I818" s="58">
        <v>10.25764629923</v>
      </c>
      <c r="J818" s="59">
        <f t="shared" si="1"/>
        <v>12</v>
      </c>
    </row>
    <row r="819">
      <c r="A819" s="55" t="str">
        <f>IFERROR(__xludf.DUMMYFUNCTION("""COMPUTED_VALUE"""),"Veteran")</f>
        <v>Veteran</v>
      </c>
      <c r="B819" s="55" t="str">
        <f>IFERROR(__xludf.DUMMYFUNCTION("""COMPUTED_VALUE"""),"RSC007576")</f>
        <v>RSC007576</v>
      </c>
      <c r="C819" s="60" t="str">
        <f>IFERROR(__xludf.DUMMYFUNCTION("""COMPUTED_VALUE"""),"CxldHeartedJess")</f>
        <v>CxldHeartedJess</v>
      </c>
      <c r="D819" s="54" t="str">
        <f>IFERROR(__xludf.DUMMYFUNCTION("""COMPUTED_VALUE"""),"Peppermint")</f>
        <v>Peppermint</v>
      </c>
      <c r="E819" s="55" t="str">
        <f>IFERROR(__xludf.DUMMYFUNCTION("""COMPUTED_VALUE"""),"Solar")</f>
        <v>Solar</v>
      </c>
      <c r="F819" s="56">
        <f>IFERROR(__xludf.DUMMYFUNCTION("""COMPUTED_VALUE"""),6.71988344905963)</f>
        <v>6.719883449</v>
      </c>
      <c r="G819" s="57">
        <f>IFERROR(__xludf.DUMMYFUNCTION("""COMPUTED_VALUE"""),8.0)</f>
        <v>8</v>
      </c>
      <c r="H819" s="58">
        <f>IFERROR(__xludf.DUMMYFUNCTION("iferror(if(B819="""", ,filter('IDR Import'!D:D,'IDR Import'!A:A=B819,'IDR Import'!C:C=A819)),)"),7.675488800934609)</f>
        <v>7.675488801</v>
      </c>
      <c r="I819" s="58">
        <v>7.197686124997119</v>
      </c>
      <c r="J819" s="59">
        <f t="shared" si="1"/>
        <v>8</v>
      </c>
    </row>
    <row r="820">
      <c r="A820" s="55" t="str">
        <f>IFERROR(__xludf.DUMMYFUNCTION("""COMPUTED_VALUE"""),"Veteran")</f>
        <v>Veteran</v>
      </c>
      <c r="B820" s="55" t="str">
        <f>IFERROR(__xludf.DUMMYFUNCTION("""COMPUTED_VALUE"""),"RSC008505")</f>
        <v>RSC008505</v>
      </c>
      <c r="C820" s="60" t="str">
        <f>IFERROR(__xludf.DUMMYFUNCTION("""COMPUTED_VALUE"""),"SpicyShinobi")</f>
        <v>SpicyShinobi</v>
      </c>
      <c r="D820" s="54" t="str">
        <f>IFERROR(__xludf.DUMMYFUNCTION("""COMPUTED_VALUE"""),"Grizzly Bears")</f>
        <v>Grizzly Bears</v>
      </c>
      <c r="E820" s="55" t="str">
        <f>IFERROR(__xludf.DUMMYFUNCTION("""COMPUTED_VALUE"""),"Solar")</f>
        <v>Solar</v>
      </c>
      <c r="F820" s="56">
        <f>IFERROR(__xludf.DUMMYFUNCTION("""COMPUTED_VALUE"""),5.759671443494767)</f>
        <v>5.759671443</v>
      </c>
      <c r="G820" s="57">
        <f>IFERROR(__xludf.DUMMYFUNCTION("""COMPUTED_VALUE"""),7.0)</f>
        <v>7</v>
      </c>
      <c r="H820" s="58">
        <f>IFERROR(__xludf.DUMMYFUNCTION("iferror(if(B820="""", ,filter('IDR Import'!D:D,'IDR Import'!A:A=B820,'IDR Import'!C:C=A820)),)"),-14.140400988513022)</f>
        <v>-14.14040099</v>
      </c>
      <c r="I820" s="58">
        <v>-4.1903647725091275</v>
      </c>
      <c r="J820" s="59">
        <f t="shared" si="1"/>
        <v>7</v>
      </c>
    </row>
    <row r="821">
      <c r="A821" s="55" t="str">
        <f>IFERROR(__xludf.DUMMYFUNCTION("""COMPUTED_VALUE"""),"Veteran")</f>
        <v>Veteran</v>
      </c>
      <c r="B821" s="55" t="str">
        <f>IFERROR(__xludf.DUMMYFUNCTION("""COMPUTED_VALUE"""),"RSC005246")</f>
        <v>RSC005246</v>
      </c>
      <c r="C821" s="60" t="str">
        <f>IFERROR(__xludf.DUMMYFUNCTION("""COMPUTED_VALUE"""),"Irishhhh")</f>
        <v>Irishhhh</v>
      </c>
      <c r="D821" s="54" t="str">
        <f>IFERROR(__xludf.DUMMYFUNCTION("""COMPUTED_VALUE"""),"Mosaic Maestros")</f>
        <v>Mosaic Maestros</v>
      </c>
      <c r="E821" s="55" t="str">
        <f>IFERROR(__xludf.DUMMYFUNCTION("""COMPUTED_VALUE"""),"Solar")</f>
        <v>Solar</v>
      </c>
      <c r="F821" s="56">
        <f>IFERROR(__xludf.DUMMYFUNCTION("""COMPUTED_VALUE"""),2.0193462115721346)</f>
        <v>2.019346212</v>
      </c>
      <c r="G821" s="57">
        <f>IFERROR(__xludf.DUMMYFUNCTION("""COMPUTED_VALUE"""),30.0)</f>
        <v>30</v>
      </c>
      <c r="H821" s="58">
        <f>IFERROR(__xludf.DUMMYFUNCTION("iferror(if(B821="""", ,filter('IDR Import'!D:D,'IDR Import'!A:A=B821,'IDR Import'!C:C=A821)),)"),-4.592551219331142)</f>
        <v>-4.592551219</v>
      </c>
      <c r="I821" s="58">
        <v>-1.2866025038795037</v>
      </c>
      <c r="J821" s="59">
        <f t="shared" si="1"/>
        <v>30</v>
      </c>
    </row>
    <row r="822">
      <c r="A822" s="55" t="str">
        <f>IFERROR(__xludf.DUMMYFUNCTION("""COMPUTED_VALUE"""),"Veteran")</f>
        <v>Veteran</v>
      </c>
      <c r="B822" s="55" t="str">
        <f>IFERROR(__xludf.DUMMYFUNCTION("""COMPUTED_VALUE"""),"RSC006794")</f>
        <v>RSC006794</v>
      </c>
      <c r="C822" s="60" t="str">
        <f>IFERROR(__xludf.DUMMYFUNCTION("""COMPUTED_VALUE"""),"HI7MAN305")</f>
        <v>HI7MAN305</v>
      </c>
      <c r="D822" s="54" t="str">
        <f>IFERROR(__xludf.DUMMYFUNCTION("""COMPUTED_VALUE"""),"Peppermint
Fer-de-Lance")</f>
        <v>Peppermint
Fer-de-Lance</v>
      </c>
      <c r="E822" s="55" t="str">
        <f>IFERROR(__xludf.DUMMYFUNCTION("""COMPUTED_VALUE"""),"Solar
Lunar")</f>
        <v>Solar
Lunar</v>
      </c>
      <c r="F822" s="56">
        <f>IFERROR(__xludf.DUMMYFUNCTION("""COMPUTED_VALUE"""),-2.277105711753137)</f>
        <v>-2.277105712</v>
      </c>
      <c r="G822" s="57">
        <f>IFERROR(__xludf.DUMMYFUNCTION("""COMPUTED_VALUE"""),27.0)</f>
        <v>27</v>
      </c>
      <c r="H822" s="58">
        <f>IFERROR(__xludf.DUMMYFUNCTION("iferror(if(B822="""", ,filter('IDR Import'!D:D,'IDR Import'!A:A=B822,'IDR Import'!C:C=A822)),)"),-1.2348662553171437)</f>
        <v>-1.234866255</v>
      </c>
      <c r="I822" s="58">
        <v>-1.7559859835351403</v>
      </c>
      <c r="J822" s="59">
        <f t="shared" si="1"/>
        <v>27</v>
      </c>
    </row>
    <row r="823">
      <c r="A823" s="55" t="str">
        <f>IFERROR(__xludf.DUMMYFUNCTION("""COMPUTED_VALUE"""),"Veteran")</f>
        <v>Veteran</v>
      </c>
      <c r="B823" s="55" t="str">
        <f>IFERROR(__xludf.DUMMYFUNCTION("""COMPUTED_VALUE"""),"RSC006187")</f>
        <v>RSC006187</v>
      </c>
      <c r="C823" s="60" t="str">
        <f>IFERROR(__xludf.DUMMYFUNCTION("""COMPUTED_VALUE"""),"1999 Toyota Camry")</f>
        <v>1999 Toyota Camry</v>
      </c>
      <c r="D823" s="54" t="str">
        <f>IFERROR(__xludf.DUMMYFUNCTION("""COMPUTED_VALUE"""),"Fer-de-Lance")</f>
        <v>Fer-de-Lance</v>
      </c>
      <c r="E823" s="55" t="str">
        <f>IFERROR(__xludf.DUMMYFUNCTION("""COMPUTED_VALUE"""),"Lunar")</f>
        <v>Lunar</v>
      </c>
      <c r="F823" s="56">
        <f>IFERROR(__xludf.DUMMYFUNCTION("""COMPUTED_VALUE"""),-29.31076914484143)</f>
        <v>-29.31076914</v>
      </c>
      <c r="G823" s="57">
        <f>IFERROR(__xludf.DUMMYFUNCTION("""COMPUTED_VALUE"""),4.0)</f>
        <v>4</v>
      </c>
      <c r="H823" s="58">
        <f>IFERROR(__xludf.DUMMYFUNCTION("iferror(if(B823="""", ,filter('IDR Import'!D:D,'IDR Import'!A:A=B823,'IDR Import'!C:C=A823)),)"),-22.789495571118863)</f>
        <v>-22.78949557</v>
      </c>
      <c r="I823" s="58">
        <v>-26.050132357980146</v>
      </c>
      <c r="J823" s="59">
        <f t="shared" si="1"/>
        <v>4</v>
      </c>
    </row>
    <row r="824">
      <c r="A824" s="55" t="str">
        <f>IFERROR(__xludf.DUMMYFUNCTION("""COMPUTED_VALUE"""),"Veteran")</f>
        <v>Veteran</v>
      </c>
      <c r="B824" s="55" t="str">
        <f>IFERROR(__xludf.DUMMYFUNCTION("""COMPUTED_VALUE"""),"RSC003456")</f>
        <v>RSC003456</v>
      </c>
      <c r="C824" s="60" t="str">
        <f>IFERROR(__xludf.DUMMYFUNCTION("""COMPUTED_VALUE"""),"Brainman_18")</f>
        <v>Brainman_18</v>
      </c>
      <c r="D824" s="54" t="str">
        <f>IFERROR(__xludf.DUMMYFUNCTION("""COMPUTED_VALUE"""),"Fer-de-Lance")</f>
        <v>Fer-de-Lance</v>
      </c>
      <c r="E824" s="55" t="str">
        <f>IFERROR(__xludf.DUMMYFUNCTION("""COMPUTED_VALUE"""),"Lunar")</f>
        <v>Lunar</v>
      </c>
      <c r="F824" s="56">
        <f>IFERROR(__xludf.DUMMYFUNCTION("""COMPUTED_VALUE"""),-46.44828864070732)</f>
        <v>-46.44828864</v>
      </c>
      <c r="G824" s="57">
        <f>IFERROR(__xludf.DUMMYFUNCTION("""COMPUTED_VALUE"""),2.0)</f>
        <v>2</v>
      </c>
      <c r="H824" s="58">
        <f>IFERROR(__xludf.DUMMYFUNCTION("iferror(if(B824="""", ,filter('IDR Import'!D:D,'IDR Import'!A:A=B824,'IDR Import'!C:C=A824)),)"),-32.893030532092354)</f>
        <v>-32.89303053</v>
      </c>
      <c r="I824" s="58">
        <v>-39.670659586399836</v>
      </c>
      <c r="J824" s="59">
        <f t="shared" si="1"/>
        <v>2</v>
      </c>
    </row>
    <row r="825">
      <c r="A825" s="55"/>
      <c r="B825" s="55"/>
      <c r="C825" s="60"/>
      <c r="D825" s="54"/>
      <c r="E825" s="55"/>
      <c r="F825" s="56"/>
      <c r="G825" s="57"/>
      <c r="H825" s="58" t="str">
        <f>IFERROR(__xludf.DUMMYFUNCTION("iferror(if(B825="""", ,filter('IDR Import'!D:D,'IDR Import'!A:A=B825,'IDR Import'!C:C=A825)),)"),"")</f>
        <v/>
      </c>
      <c r="I825" s="58"/>
      <c r="J825" s="59" t="str">
        <f t="shared" si="1"/>
        <v/>
      </c>
    </row>
    <row r="826">
      <c r="A826" s="55"/>
      <c r="B826" s="55"/>
      <c r="C826" s="60"/>
      <c r="D826" s="54"/>
      <c r="E826" s="55"/>
      <c r="F826" s="56"/>
      <c r="G826" s="57"/>
      <c r="H826" s="58" t="str">
        <f>IFERROR(__xludf.DUMMYFUNCTION("iferror(if(B826="""", ,filter('IDR Import'!D:D,'IDR Import'!A:A=B826,'IDR Import'!C:C=A826)),)"),"")</f>
        <v/>
      </c>
      <c r="I826" s="58"/>
      <c r="J826" s="59" t="str">
        <f t="shared" si="1"/>
        <v/>
      </c>
    </row>
    <row r="827">
      <c r="A827" s="55"/>
      <c r="B827" s="55"/>
      <c r="C827" s="60"/>
      <c r="D827" s="54"/>
      <c r="E827" s="55"/>
      <c r="F827" s="56"/>
      <c r="G827" s="57"/>
      <c r="H827" s="58" t="str">
        <f>IFERROR(__xludf.DUMMYFUNCTION("iferror(if(B827="""", ,filter('IDR Import'!D:D,'IDR Import'!A:A=B827,'IDR Import'!C:C=A827)),)"),"")</f>
        <v/>
      </c>
      <c r="I827" s="58"/>
      <c r="J827" s="59" t="str">
        <f t="shared" si="1"/>
        <v/>
      </c>
    </row>
    <row r="828">
      <c r="A828" s="55"/>
      <c r="B828" s="55"/>
      <c r="C828" s="60"/>
      <c r="D828" s="54"/>
      <c r="E828" s="55"/>
      <c r="F828" s="56"/>
      <c r="G828" s="57"/>
      <c r="H828" s="58" t="str">
        <f>IFERROR(__xludf.DUMMYFUNCTION("iferror(if(B828="""", ,filter('IDR Import'!D:D,'IDR Import'!A:A=B828,'IDR Import'!C:C=A828)),)"),"")</f>
        <v/>
      </c>
      <c r="I828" s="58"/>
      <c r="J828" s="59" t="str">
        <f t="shared" si="1"/>
        <v/>
      </c>
    </row>
    <row r="829">
      <c r="A829" s="55"/>
      <c r="B829" s="55"/>
      <c r="C829" s="60"/>
      <c r="D829" s="54"/>
      <c r="E829" s="55"/>
      <c r="F829" s="56"/>
      <c r="G829" s="57"/>
      <c r="H829" s="58" t="str">
        <f>IFERROR(__xludf.DUMMYFUNCTION("iferror(if(B829="""", ,filter('IDR Import'!D:D,'IDR Import'!A:A=B829,'IDR Import'!C:C=A829)),)"),"")</f>
        <v/>
      </c>
      <c r="I829" s="58"/>
      <c r="J829" s="59" t="str">
        <f t="shared" si="1"/>
        <v/>
      </c>
    </row>
    <row r="830">
      <c r="A830" s="55"/>
      <c r="B830" s="55"/>
      <c r="C830" s="60"/>
      <c r="D830" s="54"/>
      <c r="E830" s="55"/>
      <c r="F830" s="56"/>
      <c r="G830" s="57"/>
      <c r="H830" s="58" t="str">
        <f>IFERROR(__xludf.DUMMYFUNCTION("iferror(if(B830="""", ,filter('IDR Import'!D:D,'IDR Import'!A:A=B830,'IDR Import'!C:C=A830)),)"),"")</f>
        <v/>
      </c>
      <c r="I830" s="58"/>
      <c r="J830" s="59" t="str">
        <f t="shared" si="1"/>
        <v/>
      </c>
    </row>
    <row r="831">
      <c r="A831" s="55"/>
      <c r="B831" s="55"/>
      <c r="C831" s="60"/>
      <c r="D831" s="54"/>
      <c r="E831" s="55"/>
      <c r="F831" s="56"/>
      <c r="G831" s="57"/>
      <c r="H831" s="58" t="str">
        <f>IFERROR(__xludf.DUMMYFUNCTION("iferror(if(B831="""", ,filter('IDR Import'!D:D,'IDR Import'!A:A=B831,'IDR Import'!C:C=A831)),)"),"")</f>
        <v/>
      </c>
      <c r="I831" s="58"/>
      <c r="J831" s="59" t="str">
        <f t="shared" si="1"/>
        <v/>
      </c>
    </row>
    <row r="832">
      <c r="A832" s="55"/>
      <c r="B832" s="55"/>
      <c r="C832" s="60"/>
      <c r="D832" s="54"/>
      <c r="E832" s="55"/>
      <c r="F832" s="56"/>
      <c r="G832" s="57"/>
      <c r="H832" s="58" t="str">
        <f>IFERROR(__xludf.DUMMYFUNCTION("iferror(if(B832="""", ,filter('IDR Import'!D:D,'IDR Import'!A:A=B832,'IDR Import'!C:C=A832)),)"),"")</f>
        <v/>
      </c>
      <c r="I832" s="58"/>
      <c r="J832" s="59" t="str">
        <f t="shared" si="1"/>
        <v/>
      </c>
    </row>
    <row r="833">
      <c r="A833" s="55"/>
      <c r="B833" s="55"/>
      <c r="C833" s="60"/>
      <c r="D833" s="54"/>
      <c r="E833" s="55"/>
      <c r="F833" s="56"/>
      <c r="G833" s="57"/>
      <c r="H833" s="58" t="str">
        <f>IFERROR(__xludf.DUMMYFUNCTION("iferror(if(B833="""", ,filter('IDR Import'!D:D,'IDR Import'!A:A=B833,'IDR Import'!C:C=A833)),)"),"")</f>
        <v/>
      </c>
      <c r="I833" s="58"/>
      <c r="J833" s="59" t="str">
        <f t="shared" si="1"/>
        <v/>
      </c>
    </row>
    <row r="834">
      <c r="A834" s="55"/>
      <c r="B834" s="55"/>
      <c r="C834" s="60"/>
      <c r="D834" s="54"/>
      <c r="E834" s="55"/>
      <c r="F834" s="56"/>
      <c r="G834" s="57"/>
      <c r="H834" s="58" t="str">
        <f>IFERROR(__xludf.DUMMYFUNCTION("iferror(if(B834="""", ,filter('IDR Import'!D:D,'IDR Import'!A:A=B834,'IDR Import'!C:C=A834)),)"),"")</f>
        <v/>
      </c>
      <c r="I834" s="58"/>
      <c r="J834" s="59" t="str">
        <f t="shared" si="1"/>
        <v/>
      </c>
    </row>
    <row r="835">
      <c r="A835" s="55"/>
      <c r="B835" s="55"/>
      <c r="C835" s="60"/>
      <c r="D835" s="54"/>
      <c r="E835" s="55"/>
      <c r="F835" s="56"/>
      <c r="G835" s="57"/>
      <c r="H835" s="58" t="str">
        <f>IFERROR(__xludf.DUMMYFUNCTION("iferror(if(B835="""", ,filter('IDR Import'!D:D,'IDR Import'!A:A=B835,'IDR Import'!C:C=A835)),)"),"")</f>
        <v/>
      </c>
      <c r="I835" s="58"/>
      <c r="J835" s="59" t="str">
        <f t="shared" si="1"/>
        <v/>
      </c>
    </row>
    <row r="836">
      <c r="A836" s="55"/>
      <c r="B836" s="55"/>
      <c r="C836" s="60"/>
      <c r="D836" s="54"/>
      <c r="E836" s="55"/>
      <c r="F836" s="56"/>
      <c r="G836" s="57"/>
      <c r="H836" s="58" t="str">
        <f>IFERROR(__xludf.DUMMYFUNCTION("iferror(if(B836="""", ,filter('IDR Import'!D:D,'IDR Import'!A:A=B836,'IDR Import'!C:C=A836)),)"),"")</f>
        <v/>
      </c>
      <c r="I836" s="58"/>
      <c r="J836" s="59" t="str">
        <f t="shared" si="1"/>
        <v/>
      </c>
    </row>
    <row r="837">
      <c r="A837" s="55"/>
      <c r="B837" s="55"/>
      <c r="C837" s="60"/>
      <c r="D837" s="54"/>
      <c r="E837" s="55"/>
      <c r="F837" s="56"/>
      <c r="G837" s="57"/>
      <c r="H837" s="58" t="str">
        <f>IFERROR(__xludf.DUMMYFUNCTION("iferror(if(B837="""", ,filter('IDR Import'!D:D,'IDR Import'!A:A=B837,'IDR Import'!C:C=A837)),)"),"")</f>
        <v/>
      </c>
      <c r="I837" s="58"/>
      <c r="J837" s="59" t="str">
        <f t="shared" si="1"/>
        <v/>
      </c>
    </row>
    <row r="838">
      <c r="A838" s="55"/>
      <c r="B838" s="55"/>
      <c r="C838" s="60"/>
      <c r="D838" s="54"/>
      <c r="E838" s="55"/>
      <c r="F838" s="56"/>
      <c r="G838" s="57"/>
      <c r="H838" s="58" t="str">
        <f>IFERROR(__xludf.DUMMYFUNCTION("iferror(if(B838="""", ,filter('IDR Import'!D:D,'IDR Import'!A:A=B838,'IDR Import'!C:C=A838)),)"),"")</f>
        <v/>
      </c>
      <c r="I838" s="58"/>
      <c r="J838" s="59" t="str">
        <f t="shared" si="1"/>
        <v/>
      </c>
    </row>
    <row r="839">
      <c r="A839" s="55"/>
      <c r="B839" s="55"/>
      <c r="C839" s="60"/>
      <c r="D839" s="54"/>
      <c r="E839" s="55"/>
      <c r="F839" s="56"/>
      <c r="G839" s="57"/>
      <c r="H839" s="58" t="str">
        <f>IFERROR(__xludf.DUMMYFUNCTION("iferror(if(B839="""", ,filter('IDR Import'!D:D,'IDR Import'!A:A=B839,'IDR Import'!C:C=A839)),)"),"")</f>
        <v/>
      </c>
      <c r="I839" s="58"/>
      <c r="J839" s="59" t="str">
        <f t="shared" si="1"/>
        <v/>
      </c>
    </row>
    <row r="840">
      <c r="A840" s="55"/>
      <c r="B840" s="55"/>
      <c r="C840" s="60"/>
      <c r="D840" s="54"/>
      <c r="E840" s="55"/>
      <c r="F840" s="56"/>
      <c r="G840" s="57"/>
      <c r="H840" s="58" t="str">
        <f>IFERROR(__xludf.DUMMYFUNCTION("iferror(if(B840="""", ,filter('IDR Import'!D:D,'IDR Import'!A:A=B840,'IDR Import'!C:C=A840)),)"),"")</f>
        <v/>
      </c>
      <c r="I840" s="58"/>
      <c r="J840" s="59" t="str">
        <f t="shared" si="1"/>
        <v/>
      </c>
    </row>
    <row r="841">
      <c r="A841" s="55"/>
      <c r="B841" s="55"/>
      <c r="C841" s="60"/>
      <c r="D841" s="54"/>
      <c r="E841" s="55"/>
      <c r="F841" s="56"/>
      <c r="G841" s="57"/>
      <c r="H841" s="58" t="str">
        <f>IFERROR(__xludf.DUMMYFUNCTION("iferror(if(B841="""", ,filter('IDR Import'!D:D,'IDR Import'!A:A=B841,'IDR Import'!C:C=A841)),)"),"")</f>
        <v/>
      </c>
      <c r="I841" s="58"/>
      <c r="J841" s="59" t="str">
        <f t="shared" si="1"/>
        <v/>
      </c>
    </row>
    <row r="842">
      <c r="A842" s="55"/>
      <c r="B842" s="55"/>
      <c r="C842" s="60"/>
      <c r="D842" s="54"/>
      <c r="E842" s="55"/>
      <c r="F842" s="56"/>
      <c r="G842" s="57"/>
      <c r="H842" s="58" t="str">
        <f>IFERROR(__xludf.DUMMYFUNCTION("iferror(if(B842="""", ,filter('IDR Import'!D:D,'IDR Import'!A:A=B842,'IDR Import'!C:C=A842)),)"),"")</f>
        <v/>
      </c>
      <c r="I842" s="58"/>
      <c r="J842" s="59" t="str">
        <f t="shared" si="1"/>
        <v/>
      </c>
    </row>
    <row r="843">
      <c r="A843" s="55"/>
      <c r="B843" s="55"/>
      <c r="C843" s="60"/>
      <c r="D843" s="54"/>
      <c r="E843" s="55"/>
      <c r="F843" s="56"/>
      <c r="G843" s="57"/>
      <c r="H843" s="58" t="str">
        <f>IFERROR(__xludf.DUMMYFUNCTION("iferror(if(B843="""", ,filter('IDR Import'!D:D,'IDR Import'!A:A=B843,'IDR Import'!C:C=A843)),)"),"")</f>
        <v/>
      </c>
      <c r="I843" s="58"/>
      <c r="J843" s="59" t="str">
        <f t="shared" si="1"/>
        <v/>
      </c>
    </row>
    <row r="844">
      <c r="A844" s="55"/>
      <c r="B844" s="55"/>
      <c r="C844" s="60"/>
      <c r="D844" s="54"/>
      <c r="E844" s="55"/>
      <c r="F844" s="56"/>
      <c r="G844" s="57"/>
      <c r="H844" s="58" t="str">
        <f>IFERROR(__xludf.DUMMYFUNCTION("iferror(if(B844="""", ,filter('IDR Import'!D:D,'IDR Import'!A:A=B844,'IDR Import'!C:C=A844)),)"),"")</f>
        <v/>
      </c>
      <c r="I844" s="58"/>
      <c r="J844" s="59" t="str">
        <f t="shared" si="1"/>
        <v/>
      </c>
    </row>
    <row r="845">
      <c r="A845" s="55"/>
      <c r="B845" s="55"/>
      <c r="C845" s="60"/>
      <c r="D845" s="54"/>
      <c r="E845" s="55"/>
      <c r="F845" s="56"/>
      <c r="G845" s="57"/>
      <c r="H845" s="58" t="str">
        <f>IFERROR(__xludf.DUMMYFUNCTION("iferror(if(B845="""", ,filter('IDR Import'!D:D,'IDR Import'!A:A=B845,'IDR Import'!C:C=A845)),)"),"")</f>
        <v/>
      </c>
      <c r="I845" s="58"/>
      <c r="J845" s="59" t="str">
        <f t="shared" si="1"/>
        <v/>
      </c>
    </row>
    <row r="846">
      <c r="A846" s="55"/>
      <c r="B846" s="55"/>
      <c r="C846" s="60"/>
      <c r="D846" s="54"/>
      <c r="E846" s="55"/>
      <c r="F846" s="56"/>
      <c r="G846" s="57"/>
      <c r="H846" s="58" t="str">
        <f>IFERROR(__xludf.DUMMYFUNCTION("iferror(if(B846="""", ,filter('IDR Import'!D:D,'IDR Import'!A:A=B846,'IDR Import'!C:C=A846)),)"),"")</f>
        <v/>
      </c>
      <c r="I846" s="58"/>
      <c r="J846" s="59" t="str">
        <f t="shared" si="1"/>
        <v/>
      </c>
    </row>
    <row r="847">
      <c r="A847" s="55"/>
      <c r="B847" s="55"/>
      <c r="C847" s="60"/>
      <c r="D847" s="54"/>
      <c r="E847" s="55"/>
      <c r="F847" s="56"/>
      <c r="G847" s="57"/>
      <c r="H847" s="58" t="str">
        <f>IFERROR(__xludf.DUMMYFUNCTION("iferror(if(B847="""", ,filter('IDR Import'!D:D,'IDR Import'!A:A=B847,'IDR Import'!C:C=A847)),)"),"")</f>
        <v/>
      </c>
      <c r="I847" s="58"/>
      <c r="J847" s="59" t="str">
        <f t="shared" si="1"/>
        <v/>
      </c>
    </row>
    <row r="848">
      <c r="A848" s="55"/>
      <c r="B848" s="55"/>
      <c r="C848" s="60"/>
      <c r="D848" s="54"/>
      <c r="E848" s="55"/>
      <c r="F848" s="56"/>
      <c r="G848" s="57"/>
      <c r="H848" s="58" t="str">
        <f>IFERROR(__xludf.DUMMYFUNCTION("iferror(if(B848="""", ,filter('IDR Import'!D:D,'IDR Import'!A:A=B848,'IDR Import'!C:C=A848)),)"),"")</f>
        <v/>
      </c>
      <c r="I848" s="58"/>
      <c r="J848" s="59" t="str">
        <f t="shared" si="1"/>
        <v/>
      </c>
    </row>
    <row r="849">
      <c r="A849" s="55"/>
      <c r="B849" s="55"/>
      <c r="C849" s="60"/>
      <c r="D849" s="54"/>
      <c r="E849" s="55"/>
      <c r="F849" s="56"/>
      <c r="G849" s="57"/>
      <c r="H849" s="58" t="str">
        <f>IFERROR(__xludf.DUMMYFUNCTION("iferror(if(B849="""", ,filter('IDR Import'!D:D,'IDR Import'!A:A=B849,'IDR Import'!C:C=A849)),)"),"")</f>
        <v/>
      </c>
      <c r="I849" s="58"/>
      <c r="J849" s="59" t="str">
        <f t="shared" si="1"/>
        <v/>
      </c>
    </row>
    <row r="850">
      <c r="A850" s="55"/>
      <c r="B850" s="55"/>
      <c r="C850" s="60"/>
      <c r="D850" s="54"/>
      <c r="E850" s="55"/>
      <c r="F850" s="56"/>
      <c r="G850" s="57"/>
      <c r="H850" s="58" t="str">
        <f>IFERROR(__xludf.DUMMYFUNCTION("iferror(if(B850="""", ,filter('IDR Import'!D:D,'IDR Import'!A:A=B850,'IDR Import'!C:C=A850)),)"),"")</f>
        <v/>
      </c>
      <c r="I850" s="58"/>
      <c r="J850" s="59" t="str">
        <f t="shared" si="1"/>
        <v/>
      </c>
    </row>
    <row r="851">
      <c r="A851" s="55"/>
      <c r="B851" s="55"/>
      <c r="C851" s="60"/>
      <c r="D851" s="54"/>
      <c r="E851" s="55"/>
      <c r="F851" s="56"/>
      <c r="G851" s="57"/>
      <c r="H851" s="58" t="str">
        <f>IFERROR(__xludf.DUMMYFUNCTION("iferror(if(B851="""", ,filter('IDR Import'!D:D,'IDR Import'!A:A=B851,'IDR Import'!C:C=A851)),)"),"")</f>
        <v/>
      </c>
      <c r="I851" s="58"/>
      <c r="J851" s="59" t="str">
        <f t="shared" si="1"/>
        <v/>
      </c>
    </row>
    <row r="852">
      <c r="A852" s="55"/>
      <c r="B852" s="55"/>
      <c r="C852" s="60"/>
      <c r="D852" s="54"/>
      <c r="E852" s="55"/>
      <c r="F852" s="56"/>
      <c r="G852" s="57"/>
      <c r="H852" s="58" t="str">
        <f>IFERROR(__xludf.DUMMYFUNCTION("iferror(if(B852="""", ,filter('IDR Import'!D:D,'IDR Import'!A:A=B852,'IDR Import'!C:C=A852)),)"),"")</f>
        <v/>
      </c>
      <c r="I852" s="58"/>
      <c r="J852" s="59" t="str">
        <f t="shared" si="1"/>
        <v/>
      </c>
    </row>
    <row r="853">
      <c r="A853" s="55"/>
      <c r="B853" s="55"/>
      <c r="C853" s="60"/>
      <c r="D853" s="54"/>
      <c r="E853" s="55"/>
      <c r="F853" s="56"/>
      <c r="G853" s="57"/>
      <c r="H853" s="58" t="str">
        <f>IFERROR(__xludf.DUMMYFUNCTION("iferror(if(B853="""", ,filter('IDR Import'!D:D,'IDR Import'!A:A=B853,'IDR Import'!C:C=A853)),)"),"")</f>
        <v/>
      </c>
      <c r="I853" s="58"/>
      <c r="J853" s="59" t="str">
        <f t="shared" si="1"/>
        <v/>
      </c>
    </row>
    <row r="854">
      <c r="A854" s="55"/>
      <c r="B854" s="55"/>
      <c r="C854" s="60"/>
      <c r="D854" s="54"/>
      <c r="E854" s="55"/>
      <c r="F854" s="56"/>
      <c r="G854" s="57"/>
      <c r="H854" s="58" t="str">
        <f>IFERROR(__xludf.DUMMYFUNCTION("iferror(if(B854="""", ,filter('IDR Import'!D:D,'IDR Import'!A:A=B854,'IDR Import'!C:C=A854)),)"),"")</f>
        <v/>
      </c>
      <c r="I854" s="58"/>
      <c r="J854" s="59" t="str">
        <f t="shared" si="1"/>
        <v/>
      </c>
    </row>
    <row r="855">
      <c r="A855" s="55"/>
      <c r="B855" s="55"/>
      <c r="C855" s="60"/>
      <c r="D855" s="54"/>
      <c r="E855" s="55"/>
      <c r="F855" s="56"/>
      <c r="G855" s="57"/>
      <c r="H855" s="58" t="str">
        <f>IFERROR(__xludf.DUMMYFUNCTION("iferror(if(B855="""", ,filter('IDR Import'!D:D,'IDR Import'!A:A=B855,'IDR Import'!C:C=A855)),)"),"")</f>
        <v/>
      </c>
      <c r="I855" s="58"/>
      <c r="J855" s="59" t="str">
        <f t="shared" si="1"/>
        <v/>
      </c>
    </row>
    <row r="856">
      <c r="A856" s="55"/>
      <c r="B856" s="55"/>
      <c r="C856" s="60"/>
      <c r="D856" s="54"/>
      <c r="E856" s="55"/>
      <c r="F856" s="56"/>
      <c r="G856" s="57"/>
      <c r="H856" s="58" t="str">
        <f>IFERROR(__xludf.DUMMYFUNCTION("iferror(if(B856="""", ,filter('IDR Import'!D:D,'IDR Import'!A:A=B856,'IDR Import'!C:C=A856)),)"),"")</f>
        <v/>
      </c>
      <c r="I856" s="58"/>
      <c r="J856" s="59" t="str">
        <f t="shared" si="1"/>
        <v/>
      </c>
    </row>
    <row r="857">
      <c r="A857" s="55"/>
      <c r="B857" s="55"/>
      <c r="C857" s="60"/>
      <c r="D857" s="54"/>
      <c r="E857" s="55"/>
      <c r="F857" s="56"/>
      <c r="G857" s="57"/>
      <c r="H857" s="58" t="str">
        <f>IFERROR(__xludf.DUMMYFUNCTION("iferror(if(B857="""", ,filter('IDR Import'!D:D,'IDR Import'!A:A=B857,'IDR Import'!C:C=A857)),)"),"")</f>
        <v/>
      </c>
      <c r="I857" s="58"/>
      <c r="J857" s="59" t="str">
        <f t="shared" si="1"/>
        <v/>
      </c>
    </row>
    <row r="858">
      <c r="A858" s="55"/>
      <c r="B858" s="55"/>
      <c r="C858" s="60"/>
      <c r="D858" s="54"/>
      <c r="E858" s="55"/>
      <c r="F858" s="56"/>
      <c r="G858" s="57"/>
      <c r="H858" s="58" t="str">
        <f>IFERROR(__xludf.DUMMYFUNCTION("iferror(if(B858="""", ,filter('IDR Import'!D:D,'IDR Import'!A:A=B858,'IDR Import'!C:C=A858)),)"),"")</f>
        <v/>
      </c>
      <c r="I858" s="58"/>
      <c r="J858" s="59" t="str">
        <f t="shared" si="1"/>
        <v/>
      </c>
    </row>
    <row r="859">
      <c r="A859" s="55"/>
      <c r="B859" s="55"/>
      <c r="C859" s="60"/>
      <c r="D859" s="54"/>
      <c r="E859" s="55"/>
      <c r="F859" s="56"/>
      <c r="G859" s="57"/>
      <c r="H859" s="58" t="str">
        <f>IFERROR(__xludf.DUMMYFUNCTION("iferror(if(B859="""", ,filter('IDR Import'!D:D,'IDR Import'!A:A=B859,'IDR Import'!C:C=A859)),)"),"")</f>
        <v/>
      </c>
      <c r="I859" s="58"/>
      <c r="J859" s="59" t="str">
        <f t="shared" si="1"/>
        <v/>
      </c>
    </row>
    <row r="860">
      <c r="A860" s="55"/>
      <c r="B860" s="55"/>
      <c r="C860" s="60"/>
      <c r="D860" s="54"/>
      <c r="E860" s="55"/>
      <c r="F860" s="56"/>
      <c r="G860" s="57"/>
      <c r="H860" s="58" t="str">
        <f>IFERROR(__xludf.DUMMYFUNCTION("iferror(if(B860="""", ,filter('IDR Import'!D:D,'IDR Import'!A:A=B860,'IDR Import'!C:C=A860)),)"),"")</f>
        <v/>
      </c>
      <c r="I860" s="58"/>
      <c r="J860" s="59" t="str">
        <f t="shared" si="1"/>
        <v/>
      </c>
    </row>
    <row r="861">
      <c r="A861" s="55"/>
      <c r="B861" s="55"/>
      <c r="C861" s="60"/>
      <c r="D861" s="54"/>
      <c r="E861" s="55"/>
      <c r="F861" s="56"/>
      <c r="G861" s="57"/>
      <c r="H861" s="58" t="str">
        <f>IFERROR(__xludf.DUMMYFUNCTION("iferror(if(B861="""", ,filter('IDR Import'!D:D,'IDR Import'!A:A=B861,'IDR Import'!C:C=A861)),)"),"")</f>
        <v/>
      </c>
      <c r="I861" s="58"/>
      <c r="J861" s="59" t="str">
        <f t="shared" si="1"/>
        <v/>
      </c>
    </row>
    <row r="862">
      <c r="A862" s="55"/>
      <c r="B862" s="55"/>
      <c r="C862" s="60"/>
      <c r="D862" s="54"/>
      <c r="E862" s="55"/>
      <c r="F862" s="56"/>
      <c r="G862" s="57"/>
      <c r="H862" s="58" t="str">
        <f>IFERROR(__xludf.DUMMYFUNCTION("iferror(if(B862="""", ,filter('IDR Import'!D:D,'IDR Import'!A:A=B862,'IDR Import'!C:C=A862)),)"),"")</f>
        <v/>
      </c>
      <c r="I862" s="58"/>
      <c r="J862" s="59" t="str">
        <f t="shared" si="1"/>
        <v/>
      </c>
    </row>
    <row r="863">
      <c r="A863" s="55"/>
      <c r="B863" s="55"/>
      <c r="C863" s="60"/>
      <c r="D863" s="54"/>
      <c r="E863" s="55"/>
      <c r="F863" s="56"/>
      <c r="G863" s="57"/>
      <c r="H863" s="58" t="str">
        <f>IFERROR(__xludf.DUMMYFUNCTION("iferror(if(B863="""", ,filter('IDR Import'!D:D,'IDR Import'!A:A=B863,'IDR Import'!C:C=A863)),)"),"")</f>
        <v/>
      </c>
      <c r="I863" s="58"/>
      <c r="J863" s="59" t="str">
        <f t="shared" si="1"/>
        <v/>
      </c>
    </row>
    <row r="864">
      <c r="A864" s="55"/>
      <c r="B864" s="55"/>
      <c r="C864" s="60"/>
      <c r="D864" s="54"/>
      <c r="E864" s="55"/>
      <c r="F864" s="56"/>
      <c r="G864" s="57"/>
      <c r="H864" s="58" t="str">
        <f>IFERROR(__xludf.DUMMYFUNCTION("iferror(if(B864="""", ,filter('IDR Import'!D:D,'IDR Import'!A:A=B864,'IDR Import'!C:C=A864)),)"),"")</f>
        <v/>
      </c>
      <c r="I864" s="58"/>
      <c r="J864" s="59" t="str">
        <f t="shared" si="1"/>
        <v/>
      </c>
    </row>
    <row r="865">
      <c r="A865" s="55"/>
      <c r="B865" s="55"/>
      <c r="C865" s="60"/>
      <c r="D865" s="54"/>
      <c r="E865" s="55"/>
      <c r="F865" s="56"/>
      <c r="G865" s="57"/>
      <c r="H865" s="58" t="str">
        <f>IFERROR(__xludf.DUMMYFUNCTION("iferror(if(B865="""", ,filter('IDR Import'!D:D,'IDR Import'!A:A=B865,'IDR Import'!C:C=A865)),)"),"")</f>
        <v/>
      </c>
      <c r="I865" s="58"/>
      <c r="J865" s="59" t="str">
        <f t="shared" si="1"/>
        <v/>
      </c>
    </row>
    <row r="866">
      <c r="A866" s="55"/>
      <c r="B866" s="55"/>
      <c r="C866" s="60"/>
      <c r="D866" s="54"/>
      <c r="E866" s="55"/>
      <c r="F866" s="56"/>
      <c r="G866" s="57"/>
      <c r="H866" s="58" t="str">
        <f>IFERROR(__xludf.DUMMYFUNCTION("iferror(if(B866="""", ,filter('IDR Import'!D:D,'IDR Import'!A:A=B866,'IDR Import'!C:C=A866)),)"),"")</f>
        <v/>
      </c>
      <c r="I866" s="58"/>
      <c r="J866" s="59" t="str">
        <f t="shared" si="1"/>
        <v/>
      </c>
    </row>
    <row r="867">
      <c r="A867" s="55"/>
      <c r="B867" s="55"/>
      <c r="C867" s="60"/>
      <c r="D867" s="54"/>
      <c r="E867" s="55"/>
      <c r="F867" s="56"/>
      <c r="G867" s="57"/>
      <c r="H867" s="58" t="str">
        <f>IFERROR(__xludf.DUMMYFUNCTION("iferror(if(B867="""", ,filter('IDR Import'!D:D,'IDR Import'!A:A=B867,'IDR Import'!C:C=A867)),)"),"")</f>
        <v/>
      </c>
      <c r="I867" s="58"/>
      <c r="J867" s="59" t="str">
        <f t="shared" si="1"/>
        <v/>
      </c>
    </row>
    <row r="868">
      <c r="A868" s="55"/>
      <c r="B868" s="55"/>
      <c r="C868" s="60"/>
      <c r="D868" s="54"/>
      <c r="E868" s="55"/>
      <c r="F868" s="56"/>
      <c r="G868" s="57"/>
      <c r="H868" s="58" t="str">
        <f>IFERROR(__xludf.DUMMYFUNCTION("iferror(if(B868="""", ,filter('IDR Import'!D:D,'IDR Import'!A:A=B868,'IDR Import'!C:C=A868)),)"),"")</f>
        <v/>
      </c>
      <c r="I868" s="58"/>
      <c r="J868" s="59" t="str">
        <f t="shared" si="1"/>
        <v/>
      </c>
    </row>
    <row r="869">
      <c r="A869" s="55"/>
      <c r="B869" s="55"/>
      <c r="C869" s="60"/>
      <c r="D869" s="54"/>
      <c r="E869" s="55"/>
      <c r="F869" s="56"/>
      <c r="G869" s="57"/>
      <c r="H869" s="58" t="str">
        <f>IFERROR(__xludf.DUMMYFUNCTION("iferror(if(B869="""", ,filter('IDR Import'!D:D,'IDR Import'!A:A=B869,'IDR Import'!C:C=A869)),)"),"")</f>
        <v/>
      </c>
      <c r="I869" s="58"/>
      <c r="J869" s="59" t="str">
        <f t="shared" si="1"/>
        <v/>
      </c>
    </row>
    <row r="870">
      <c r="A870" s="55"/>
      <c r="B870" s="55"/>
      <c r="C870" s="60"/>
      <c r="D870" s="54"/>
      <c r="E870" s="55"/>
      <c r="F870" s="56"/>
      <c r="G870" s="57"/>
      <c r="H870" s="58" t="str">
        <f>IFERROR(__xludf.DUMMYFUNCTION("iferror(if(B870="""", ,filter('IDR Import'!D:D,'IDR Import'!A:A=B870,'IDR Import'!C:C=A870)),)"),"")</f>
        <v/>
      </c>
      <c r="I870" s="58"/>
      <c r="J870" s="59" t="str">
        <f t="shared" si="1"/>
        <v/>
      </c>
    </row>
    <row r="871">
      <c r="A871" s="55"/>
      <c r="B871" s="55"/>
      <c r="C871" s="60"/>
      <c r="D871" s="54"/>
      <c r="E871" s="55"/>
      <c r="F871" s="56"/>
      <c r="G871" s="57"/>
      <c r="H871" s="58" t="str">
        <f>IFERROR(__xludf.DUMMYFUNCTION("iferror(if(B871="""", ,filter('IDR Import'!D:D,'IDR Import'!A:A=B871,'IDR Import'!C:C=A871)),)"),"")</f>
        <v/>
      </c>
      <c r="I871" s="58"/>
      <c r="J871" s="59" t="str">
        <f t="shared" si="1"/>
        <v/>
      </c>
    </row>
    <row r="872">
      <c r="A872" s="55"/>
      <c r="B872" s="55"/>
      <c r="C872" s="60"/>
      <c r="D872" s="54"/>
      <c r="E872" s="55"/>
      <c r="F872" s="56"/>
      <c r="G872" s="57"/>
      <c r="H872" s="58" t="str">
        <f>IFERROR(__xludf.DUMMYFUNCTION("iferror(if(B872="""", ,filter('IDR Import'!D:D,'IDR Import'!A:A=B872,'IDR Import'!C:C=A872)),)"),"")</f>
        <v/>
      </c>
      <c r="I872" s="58"/>
      <c r="J872" s="59" t="str">
        <f t="shared" si="1"/>
        <v/>
      </c>
    </row>
    <row r="873">
      <c r="A873" s="55"/>
      <c r="B873" s="55"/>
      <c r="C873" s="60"/>
      <c r="D873" s="54"/>
      <c r="E873" s="55"/>
      <c r="F873" s="56"/>
      <c r="G873" s="57"/>
      <c r="H873" s="58" t="str">
        <f>IFERROR(__xludf.DUMMYFUNCTION("iferror(if(B873="""", ,filter('IDR Import'!D:D,'IDR Import'!A:A=B873,'IDR Import'!C:C=A873)),)"),"")</f>
        <v/>
      </c>
      <c r="I873" s="58"/>
      <c r="J873" s="59" t="str">
        <f t="shared" si="1"/>
        <v/>
      </c>
    </row>
    <row r="874">
      <c r="A874" s="55"/>
      <c r="B874" s="55"/>
      <c r="C874" s="60"/>
      <c r="D874" s="54"/>
      <c r="E874" s="55"/>
      <c r="F874" s="56"/>
      <c r="G874" s="57"/>
      <c r="H874" s="58" t="str">
        <f>IFERROR(__xludf.DUMMYFUNCTION("iferror(if(B874="""", ,filter('IDR Import'!D:D,'IDR Import'!A:A=B874,'IDR Import'!C:C=A874)),)"),"")</f>
        <v/>
      </c>
      <c r="I874" s="58"/>
      <c r="J874" s="59" t="str">
        <f t="shared" si="1"/>
        <v/>
      </c>
    </row>
    <row r="875">
      <c r="A875" s="55"/>
      <c r="B875" s="55"/>
      <c r="C875" s="60"/>
      <c r="D875" s="54"/>
      <c r="E875" s="55"/>
      <c r="F875" s="56"/>
      <c r="G875" s="57"/>
      <c r="H875" s="58" t="str">
        <f>IFERROR(__xludf.DUMMYFUNCTION("iferror(if(B875="""", ,filter('IDR Import'!D:D,'IDR Import'!A:A=B875,'IDR Import'!C:C=A875)),)"),"")</f>
        <v/>
      </c>
      <c r="I875" s="58"/>
      <c r="J875" s="59" t="str">
        <f t="shared" si="1"/>
        <v/>
      </c>
    </row>
    <row r="876">
      <c r="A876" s="55"/>
      <c r="B876" s="55"/>
      <c r="C876" s="60"/>
      <c r="D876" s="54"/>
      <c r="E876" s="55"/>
      <c r="F876" s="56"/>
      <c r="G876" s="57"/>
      <c r="H876" s="58" t="str">
        <f>IFERROR(__xludf.DUMMYFUNCTION("iferror(if(B876="""", ,filter('IDR Import'!D:D,'IDR Import'!A:A=B876,'IDR Import'!C:C=A876)),)"),"")</f>
        <v/>
      </c>
      <c r="I876" s="58"/>
      <c r="J876" s="59" t="str">
        <f t="shared" si="1"/>
        <v/>
      </c>
    </row>
    <row r="877">
      <c r="A877" s="55"/>
      <c r="B877" s="55"/>
      <c r="C877" s="60"/>
      <c r="D877" s="54"/>
      <c r="E877" s="55"/>
      <c r="F877" s="56"/>
      <c r="G877" s="57"/>
      <c r="H877" s="58" t="str">
        <f>IFERROR(__xludf.DUMMYFUNCTION("iferror(if(B877="""", ,filter('IDR Import'!D:D,'IDR Import'!A:A=B877,'IDR Import'!C:C=A877)),)"),"")</f>
        <v/>
      </c>
      <c r="I877" s="58"/>
      <c r="J877" s="59" t="str">
        <f t="shared" si="1"/>
        <v/>
      </c>
    </row>
    <row r="878">
      <c r="A878" s="55"/>
      <c r="B878" s="55"/>
      <c r="C878" s="60"/>
      <c r="D878" s="54"/>
      <c r="E878" s="55"/>
      <c r="F878" s="56"/>
      <c r="G878" s="57"/>
      <c r="H878" s="58" t="str">
        <f>IFERROR(__xludf.DUMMYFUNCTION("iferror(if(B878="""", ,filter('IDR Import'!D:D,'IDR Import'!A:A=B878,'IDR Import'!C:C=A878)),)"),"")</f>
        <v/>
      </c>
      <c r="I878" s="58"/>
      <c r="J878" s="59" t="str">
        <f t="shared" si="1"/>
        <v/>
      </c>
    </row>
    <row r="879">
      <c r="A879" s="55"/>
      <c r="B879" s="55"/>
      <c r="C879" s="60"/>
      <c r="D879" s="54"/>
      <c r="E879" s="55"/>
      <c r="F879" s="56"/>
      <c r="G879" s="57"/>
      <c r="H879" s="58" t="str">
        <f>IFERROR(__xludf.DUMMYFUNCTION("iferror(if(B879="""", ,filter('IDR Import'!D:D,'IDR Import'!A:A=B879,'IDR Import'!C:C=A879)),)"),"")</f>
        <v/>
      </c>
      <c r="I879" s="58"/>
      <c r="J879" s="59" t="str">
        <f t="shared" si="1"/>
        <v/>
      </c>
    </row>
    <row r="880">
      <c r="A880" s="55"/>
      <c r="B880" s="55"/>
      <c r="C880" s="60"/>
      <c r="D880" s="54"/>
      <c r="E880" s="55"/>
      <c r="F880" s="56"/>
      <c r="G880" s="57"/>
      <c r="H880" s="58" t="str">
        <f>IFERROR(__xludf.DUMMYFUNCTION("iferror(if(B880="""", ,filter('IDR Import'!D:D,'IDR Import'!A:A=B880,'IDR Import'!C:C=A880)),)"),"")</f>
        <v/>
      </c>
      <c r="I880" s="58"/>
      <c r="J880" s="59" t="str">
        <f t="shared" si="1"/>
        <v/>
      </c>
    </row>
    <row r="881">
      <c r="A881" s="55"/>
      <c r="B881" s="55"/>
      <c r="C881" s="60"/>
      <c r="D881" s="54"/>
      <c r="E881" s="55"/>
      <c r="F881" s="56"/>
      <c r="G881" s="57"/>
      <c r="H881" s="58" t="str">
        <f>IFERROR(__xludf.DUMMYFUNCTION("iferror(if(B881="""", ,filter('IDR Import'!D:D,'IDR Import'!A:A=B881,'IDR Import'!C:C=A881)),)"),"")</f>
        <v/>
      </c>
      <c r="I881" s="58"/>
      <c r="J881" s="59" t="str">
        <f t="shared" si="1"/>
        <v/>
      </c>
    </row>
    <row r="882">
      <c r="A882" s="55"/>
      <c r="B882" s="55"/>
      <c r="C882" s="60"/>
      <c r="D882" s="54"/>
      <c r="E882" s="55"/>
      <c r="F882" s="56"/>
      <c r="G882" s="57"/>
      <c r="H882" s="58" t="str">
        <f>IFERROR(__xludf.DUMMYFUNCTION("iferror(if(B882="""", ,filter('IDR Import'!D:D,'IDR Import'!A:A=B882,'IDR Import'!C:C=A882)),)"),"")</f>
        <v/>
      </c>
      <c r="I882" s="58"/>
      <c r="J882" s="59" t="str">
        <f t="shared" si="1"/>
        <v/>
      </c>
    </row>
    <row r="883">
      <c r="A883" s="55"/>
      <c r="B883" s="55"/>
      <c r="C883" s="60"/>
      <c r="D883" s="54"/>
      <c r="E883" s="55"/>
      <c r="F883" s="56"/>
      <c r="G883" s="57"/>
      <c r="H883" s="58" t="str">
        <f>IFERROR(__xludf.DUMMYFUNCTION("iferror(if(B883="""", ,filter('IDR Import'!D:D,'IDR Import'!A:A=B883,'IDR Import'!C:C=A883)),)"),"")</f>
        <v/>
      </c>
      <c r="I883" s="58"/>
      <c r="J883" s="59" t="str">
        <f t="shared" si="1"/>
        <v/>
      </c>
    </row>
    <row r="884">
      <c r="A884" s="55"/>
      <c r="B884" s="55"/>
      <c r="C884" s="60"/>
      <c r="D884" s="54"/>
      <c r="E884" s="55"/>
      <c r="F884" s="56"/>
      <c r="G884" s="57"/>
      <c r="H884" s="58" t="str">
        <f>IFERROR(__xludf.DUMMYFUNCTION("iferror(if(B884="""", ,filter('IDR Import'!D:D,'IDR Import'!A:A=B884,'IDR Import'!C:C=A884)),)"),"")</f>
        <v/>
      </c>
      <c r="I884" s="58"/>
      <c r="J884" s="59" t="str">
        <f t="shared" si="1"/>
        <v/>
      </c>
    </row>
    <row r="885">
      <c r="A885" s="55"/>
      <c r="B885" s="55"/>
      <c r="C885" s="60"/>
      <c r="D885" s="54"/>
      <c r="E885" s="55"/>
      <c r="F885" s="56"/>
      <c r="G885" s="57"/>
      <c r="H885" s="58" t="str">
        <f>IFERROR(__xludf.DUMMYFUNCTION("iferror(if(B885="""", ,filter('IDR Import'!D:D,'IDR Import'!A:A=B885,'IDR Import'!C:C=A885)),)"),"")</f>
        <v/>
      </c>
      <c r="I885" s="58"/>
      <c r="J885" s="59" t="str">
        <f t="shared" si="1"/>
        <v/>
      </c>
    </row>
    <row r="886">
      <c r="A886" s="55"/>
      <c r="B886" s="55"/>
      <c r="C886" s="60"/>
      <c r="D886" s="54"/>
      <c r="E886" s="55"/>
      <c r="F886" s="56"/>
      <c r="G886" s="57"/>
      <c r="H886" s="58" t="str">
        <f>IFERROR(__xludf.DUMMYFUNCTION("iferror(if(B886="""", ,filter('IDR Import'!D:D,'IDR Import'!A:A=B886,'IDR Import'!C:C=A886)),)"),"")</f>
        <v/>
      </c>
      <c r="I886" s="58"/>
      <c r="J886" s="59" t="str">
        <f t="shared" si="1"/>
        <v/>
      </c>
    </row>
    <row r="887">
      <c r="A887" s="55"/>
      <c r="B887" s="55"/>
      <c r="C887" s="60"/>
      <c r="D887" s="54"/>
      <c r="E887" s="55"/>
      <c r="F887" s="56"/>
      <c r="G887" s="57"/>
      <c r="H887" s="58" t="str">
        <f>IFERROR(__xludf.DUMMYFUNCTION("iferror(if(B887="""", ,filter('IDR Import'!D:D,'IDR Import'!A:A=B887,'IDR Import'!C:C=A887)),)"),"")</f>
        <v/>
      </c>
      <c r="I887" s="58"/>
      <c r="J887" s="59" t="str">
        <f t="shared" si="1"/>
        <v/>
      </c>
    </row>
    <row r="888">
      <c r="A888" s="55"/>
      <c r="B888" s="55"/>
      <c r="C888" s="60"/>
      <c r="D888" s="54"/>
      <c r="E888" s="55"/>
      <c r="F888" s="56"/>
      <c r="G888" s="57"/>
      <c r="H888" s="58" t="str">
        <f>IFERROR(__xludf.DUMMYFUNCTION("iferror(if(B888="""", ,filter('IDR Import'!D:D,'IDR Import'!A:A=B888,'IDR Import'!C:C=A888)),)"),"")</f>
        <v/>
      </c>
      <c r="I888" s="58"/>
      <c r="J888" s="59" t="str">
        <f t="shared" si="1"/>
        <v/>
      </c>
    </row>
    <row r="889">
      <c r="A889" s="55"/>
      <c r="B889" s="55"/>
      <c r="C889" s="60"/>
      <c r="D889" s="54"/>
      <c r="E889" s="55"/>
      <c r="F889" s="56"/>
      <c r="G889" s="57"/>
      <c r="H889" s="58" t="str">
        <f>IFERROR(__xludf.DUMMYFUNCTION("iferror(if(B889="""", ,filter('IDR Import'!D:D,'IDR Import'!A:A=B889,'IDR Import'!C:C=A889)),)"),"")</f>
        <v/>
      </c>
      <c r="I889" s="58"/>
      <c r="J889" s="59" t="str">
        <f t="shared" si="1"/>
        <v/>
      </c>
    </row>
    <row r="890">
      <c r="A890" s="55"/>
      <c r="B890" s="55"/>
      <c r="C890" s="60"/>
      <c r="D890" s="54"/>
      <c r="E890" s="55"/>
      <c r="F890" s="56"/>
      <c r="G890" s="57"/>
      <c r="H890" s="58" t="str">
        <f>IFERROR(__xludf.DUMMYFUNCTION("iferror(if(B890="""", ,filter('IDR Import'!D:D,'IDR Import'!A:A=B890,'IDR Import'!C:C=A890)),)"),"")</f>
        <v/>
      </c>
      <c r="I890" s="58"/>
      <c r="J890" s="59" t="str">
        <f t="shared" si="1"/>
        <v/>
      </c>
    </row>
    <row r="891">
      <c r="A891" s="55"/>
      <c r="B891" s="55"/>
      <c r="C891" s="60"/>
      <c r="D891" s="54"/>
      <c r="E891" s="55"/>
      <c r="F891" s="56"/>
      <c r="G891" s="57"/>
      <c r="H891" s="58" t="str">
        <f>IFERROR(__xludf.DUMMYFUNCTION("iferror(if(B891="""", ,filter('IDR Import'!D:D,'IDR Import'!A:A=B891,'IDR Import'!C:C=A891)),)"),"")</f>
        <v/>
      </c>
      <c r="I891" s="58"/>
      <c r="J891" s="59" t="str">
        <f t="shared" si="1"/>
        <v/>
      </c>
    </row>
    <row r="892">
      <c r="A892" s="55"/>
      <c r="B892" s="55"/>
      <c r="C892" s="60"/>
      <c r="D892" s="54"/>
      <c r="E892" s="55"/>
      <c r="F892" s="56"/>
      <c r="G892" s="57"/>
      <c r="H892" s="58" t="str">
        <f>IFERROR(__xludf.DUMMYFUNCTION("iferror(if(B892="""", ,filter('IDR Import'!D:D,'IDR Import'!A:A=B892,'IDR Import'!C:C=A892)),)"),"")</f>
        <v/>
      </c>
      <c r="I892" s="58"/>
      <c r="J892" s="59" t="str">
        <f t="shared" si="1"/>
        <v/>
      </c>
    </row>
    <row r="893">
      <c r="A893" s="55"/>
      <c r="B893" s="55"/>
      <c r="C893" s="60"/>
      <c r="D893" s="54"/>
      <c r="E893" s="55"/>
      <c r="F893" s="56"/>
      <c r="G893" s="57"/>
      <c r="H893" s="58" t="str">
        <f>IFERROR(__xludf.DUMMYFUNCTION("iferror(if(B893="""", ,filter('IDR Import'!D:D,'IDR Import'!A:A=B893,'IDR Import'!C:C=A893)),)"),"")</f>
        <v/>
      </c>
      <c r="I893" s="58"/>
      <c r="J893" s="59" t="str">
        <f t="shared" si="1"/>
        <v/>
      </c>
    </row>
    <row r="894">
      <c r="A894" s="55"/>
      <c r="B894" s="55"/>
      <c r="C894" s="60"/>
      <c r="D894" s="54"/>
      <c r="E894" s="55"/>
      <c r="F894" s="56"/>
      <c r="G894" s="57"/>
      <c r="H894" s="58" t="str">
        <f>IFERROR(__xludf.DUMMYFUNCTION("iferror(if(B894="""", ,filter('IDR Import'!D:D,'IDR Import'!A:A=B894,'IDR Import'!C:C=A894)),)"),"")</f>
        <v/>
      </c>
      <c r="I894" s="58"/>
      <c r="J894" s="59" t="str">
        <f t="shared" si="1"/>
        <v/>
      </c>
    </row>
    <row r="895">
      <c r="A895" s="55"/>
      <c r="B895" s="55"/>
      <c r="C895" s="60"/>
      <c r="D895" s="54"/>
      <c r="E895" s="55"/>
      <c r="F895" s="56"/>
      <c r="G895" s="57"/>
      <c r="H895" s="58" t="str">
        <f>IFERROR(__xludf.DUMMYFUNCTION("iferror(if(B895="""", ,filter('IDR Import'!D:D,'IDR Import'!A:A=B895,'IDR Import'!C:C=A895)),)"),"")</f>
        <v/>
      </c>
      <c r="I895" s="58"/>
      <c r="J895" s="59" t="str">
        <f t="shared" si="1"/>
        <v/>
      </c>
    </row>
    <row r="896">
      <c r="A896" s="55"/>
      <c r="B896" s="55"/>
      <c r="C896" s="60"/>
      <c r="D896" s="54"/>
      <c r="E896" s="55"/>
      <c r="F896" s="56"/>
      <c r="G896" s="57"/>
      <c r="H896" s="58" t="str">
        <f>IFERROR(__xludf.DUMMYFUNCTION("iferror(if(B896="""", ,filter('IDR Import'!D:D,'IDR Import'!A:A=B896,'IDR Import'!C:C=A896)),)"),"")</f>
        <v/>
      </c>
      <c r="I896" s="58"/>
      <c r="J896" s="59" t="str">
        <f t="shared" si="1"/>
        <v/>
      </c>
    </row>
    <row r="897">
      <c r="A897" s="55"/>
      <c r="B897" s="55"/>
      <c r="C897" s="60"/>
      <c r="D897" s="54"/>
      <c r="E897" s="55"/>
      <c r="F897" s="56"/>
      <c r="G897" s="57"/>
      <c r="H897" s="58" t="str">
        <f>IFERROR(__xludf.DUMMYFUNCTION("iferror(if(B897="""", ,filter('IDR Import'!D:D,'IDR Import'!A:A=B897,'IDR Import'!C:C=A897)),)"),"")</f>
        <v/>
      </c>
      <c r="I897" s="58"/>
      <c r="J897" s="59" t="str">
        <f t="shared" si="1"/>
        <v/>
      </c>
    </row>
    <row r="898">
      <c r="A898" s="55"/>
      <c r="B898" s="55"/>
      <c r="C898" s="60"/>
      <c r="D898" s="54"/>
      <c r="E898" s="55"/>
      <c r="F898" s="56"/>
      <c r="G898" s="57"/>
      <c r="H898" s="58" t="str">
        <f>IFERROR(__xludf.DUMMYFUNCTION("iferror(if(B898="""", ,filter('IDR Import'!D:D,'IDR Import'!A:A=B898,'IDR Import'!C:C=A898)),)"),"")</f>
        <v/>
      </c>
      <c r="I898" s="58"/>
      <c r="J898" s="59" t="str">
        <f t="shared" si="1"/>
        <v/>
      </c>
    </row>
    <row r="899">
      <c r="A899" s="55"/>
      <c r="B899" s="55"/>
      <c r="C899" s="60"/>
      <c r="D899" s="54"/>
      <c r="E899" s="55"/>
      <c r="F899" s="56"/>
      <c r="G899" s="57"/>
      <c r="H899" s="58" t="str">
        <f>IFERROR(__xludf.DUMMYFUNCTION("iferror(if(B899="""", ,filter('IDR Import'!D:D,'IDR Import'!A:A=B899,'IDR Import'!C:C=A899)),)"),"")</f>
        <v/>
      </c>
      <c r="I899" s="58"/>
      <c r="J899" s="59" t="str">
        <f t="shared" si="1"/>
        <v/>
      </c>
    </row>
    <row r="900">
      <c r="A900" s="55"/>
      <c r="B900" s="55"/>
      <c r="C900" s="60"/>
      <c r="D900" s="54"/>
      <c r="E900" s="55"/>
      <c r="F900" s="56"/>
      <c r="G900" s="57"/>
      <c r="H900" s="58" t="str">
        <f>IFERROR(__xludf.DUMMYFUNCTION("iferror(if(B900="""", ,filter('IDR Import'!D:D,'IDR Import'!A:A=B900,'IDR Import'!C:C=A900)),)"),"")</f>
        <v/>
      </c>
      <c r="I900" s="58"/>
      <c r="J900" s="59" t="str">
        <f t="shared" si="1"/>
        <v/>
      </c>
    </row>
    <row r="901">
      <c r="A901" s="55"/>
      <c r="B901" s="55"/>
      <c r="C901" s="60"/>
      <c r="D901" s="54"/>
      <c r="E901" s="55"/>
      <c r="F901" s="56"/>
      <c r="G901" s="57"/>
      <c r="H901" s="58" t="str">
        <f>IFERROR(__xludf.DUMMYFUNCTION("iferror(if(B901="""", ,filter('IDR Import'!D:D,'IDR Import'!A:A=B901,'IDR Import'!C:C=A901)),)"),"")</f>
        <v/>
      </c>
      <c r="I901" s="58"/>
      <c r="J901" s="59" t="str">
        <f t="shared" si="1"/>
        <v/>
      </c>
    </row>
    <row r="902">
      <c r="A902" s="55"/>
      <c r="B902" s="55"/>
      <c r="C902" s="60"/>
      <c r="D902" s="54"/>
      <c r="E902" s="55"/>
      <c r="F902" s="56"/>
      <c r="G902" s="57"/>
      <c r="H902" s="58" t="str">
        <f>IFERROR(__xludf.DUMMYFUNCTION("iferror(if(B902="""", ,filter('IDR Import'!D:D,'IDR Import'!A:A=B902,'IDR Import'!C:C=A902)),)"),"")</f>
        <v/>
      </c>
      <c r="I902" s="58"/>
      <c r="J902" s="59" t="str">
        <f t="shared" si="1"/>
        <v/>
      </c>
    </row>
    <row r="903">
      <c r="A903" s="55"/>
      <c r="B903" s="55"/>
      <c r="C903" s="60"/>
      <c r="D903" s="54"/>
      <c r="E903" s="55"/>
      <c r="F903" s="56"/>
      <c r="G903" s="57"/>
      <c r="H903" s="58" t="str">
        <f>IFERROR(__xludf.DUMMYFUNCTION("iferror(if(B903="""", ,filter('IDR Import'!D:D,'IDR Import'!A:A=B903,'IDR Import'!C:C=A903)),)"),"")</f>
        <v/>
      </c>
      <c r="I903" s="58"/>
      <c r="J903" s="59" t="str">
        <f t="shared" si="1"/>
        <v/>
      </c>
    </row>
    <row r="904">
      <c r="A904" s="55"/>
      <c r="B904" s="55"/>
      <c r="C904" s="60"/>
      <c r="D904" s="54"/>
      <c r="E904" s="55"/>
      <c r="F904" s="56"/>
      <c r="G904" s="57"/>
      <c r="H904" s="58" t="str">
        <f>IFERROR(__xludf.DUMMYFUNCTION("iferror(if(B904="""", ,filter('IDR Import'!D:D,'IDR Import'!A:A=B904,'IDR Import'!C:C=A904)),)"),"")</f>
        <v/>
      </c>
      <c r="I904" s="58"/>
      <c r="J904" s="59" t="str">
        <f t="shared" si="1"/>
        <v/>
      </c>
    </row>
    <row r="905">
      <c r="A905" s="55"/>
      <c r="B905" s="55"/>
      <c r="C905" s="60"/>
      <c r="D905" s="54"/>
      <c r="E905" s="55"/>
      <c r="F905" s="56"/>
      <c r="G905" s="57"/>
      <c r="H905" s="58" t="str">
        <f>IFERROR(__xludf.DUMMYFUNCTION("iferror(if(B905="""", ,filter('IDR Import'!D:D,'IDR Import'!A:A=B905,'IDR Import'!C:C=A905)),)"),"")</f>
        <v/>
      </c>
      <c r="I905" s="58"/>
      <c r="J905" s="59" t="str">
        <f t="shared" si="1"/>
        <v/>
      </c>
    </row>
    <row r="906">
      <c r="A906" s="55"/>
      <c r="B906" s="55"/>
      <c r="C906" s="60"/>
      <c r="D906" s="54"/>
      <c r="E906" s="55"/>
      <c r="F906" s="56"/>
      <c r="G906" s="57"/>
      <c r="H906" s="58" t="str">
        <f>IFERROR(__xludf.DUMMYFUNCTION("iferror(if(B906="""", ,filter('IDR Import'!D:D,'IDR Import'!A:A=B906,'IDR Import'!C:C=A906)),)"),"")</f>
        <v/>
      </c>
      <c r="I906" s="58"/>
      <c r="J906" s="59" t="str">
        <f t="shared" si="1"/>
        <v/>
      </c>
    </row>
    <row r="907">
      <c r="A907" s="55"/>
      <c r="B907" s="55"/>
      <c r="C907" s="60"/>
      <c r="D907" s="54"/>
      <c r="E907" s="55"/>
      <c r="F907" s="56"/>
      <c r="G907" s="57"/>
      <c r="H907" s="58" t="str">
        <f>IFERROR(__xludf.DUMMYFUNCTION("iferror(if(B907="""", ,filter('IDR Import'!D:D,'IDR Import'!A:A=B907,'IDR Import'!C:C=A907)),)"),"")</f>
        <v/>
      </c>
      <c r="I907" s="58"/>
      <c r="J907" s="59" t="str">
        <f t="shared" si="1"/>
        <v/>
      </c>
    </row>
    <row r="908">
      <c r="A908" s="55"/>
      <c r="B908" s="55"/>
      <c r="C908" s="60"/>
      <c r="D908" s="54"/>
      <c r="E908" s="55"/>
      <c r="F908" s="56"/>
      <c r="G908" s="57"/>
      <c r="H908" s="58" t="str">
        <f>IFERROR(__xludf.DUMMYFUNCTION("iferror(if(B908="""", ,filter('IDR Import'!D:D,'IDR Import'!A:A=B908,'IDR Import'!C:C=A908)),)"),"")</f>
        <v/>
      </c>
      <c r="I908" s="58"/>
      <c r="J908" s="59" t="str">
        <f t="shared" si="1"/>
        <v/>
      </c>
    </row>
    <row r="909">
      <c r="A909" s="55"/>
      <c r="B909" s="55"/>
      <c r="C909" s="60"/>
      <c r="D909" s="54"/>
      <c r="E909" s="55"/>
      <c r="F909" s="56"/>
      <c r="G909" s="57"/>
      <c r="H909" s="58" t="str">
        <f>IFERROR(__xludf.DUMMYFUNCTION("iferror(if(B909="""", ,filter('IDR Import'!D:D,'IDR Import'!A:A=B909,'IDR Import'!C:C=A909)),)"),"")</f>
        <v/>
      </c>
      <c r="I909" s="58"/>
      <c r="J909" s="59" t="str">
        <f t="shared" si="1"/>
        <v/>
      </c>
    </row>
    <row r="910">
      <c r="A910" s="55"/>
      <c r="B910" s="55"/>
      <c r="C910" s="60"/>
      <c r="D910" s="54"/>
      <c r="E910" s="55"/>
      <c r="F910" s="56"/>
      <c r="G910" s="57"/>
      <c r="H910" s="58" t="str">
        <f>IFERROR(__xludf.DUMMYFUNCTION("iferror(if(B910="""", ,filter('IDR Import'!D:D,'IDR Import'!A:A=B910,'IDR Import'!C:C=A910)),)"),"")</f>
        <v/>
      </c>
      <c r="I910" s="58"/>
      <c r="J910" s="59" t="str">
        <f t="shared" si="1"/>
        <v/>
      </c>
    </row>
    <row r="911">
      <c r="A911" s="55"/>
      <c r="B911" s="55"/>
      <c r="C911" s="60"/>
      <c r="D911" s="54"/>
      <c r="E911" s="55"/>
      <c r="F911" s="56"/>
      <c r="G911" s="57"/>
      <c r="H911" s="58" t="str">
        <f>IFERROR(__xludf.DUMMYFUNCTION("iferror(if(B911="""", ,filter('IDR Import'!D:D,'IDR Import'!A:A=B911,'IDR Import'!C:C=A911)),)"),"")</f>
        <v/>
      </c>
      <c r="I911" s="58"/>
      <c r="J911" s="59" t="str">
        <f t="shared" si="1"/>
        <v/>
      </c>
    </row>
    <row r="912">
      <c r="A912" s="55"/>
      <c r="B912" s="55"/>
      <c r="C912" s="60"/>
      <c r="D912" s="54"/>
      <c r="E912" s="55"/>
      <c r="F912" s="56"/>
      <c r="G912" s="57"/>
      <c r="H912" s="58" t="str">
        <f>IFERROR(__xludf.DUMMYFUNCTION("iferror(if(B912="""", ,filter('IDR Import'!D:D,'IDR Import'!A:A=B912,'IDR Import'!C:C=A912)),)"),"")</f>
        <v/>
      </c>
      <c r="I912" s="58"/>
      <c r="J912" s="59" t="str">
        <f t="shared" si="1"/>
        <v/>
      </c>
    </row>
    <row r="913">
      <c r="A913" s="55"/>
      <c r="B913" s="55"/>
      <c r="C913" s="60"/>
      <c r="D913" s="54"/>
      <c r="E913" s="55"/>
      <c r="F913" s="56"/>
      <c r="G913" s="57"/>
      <c r="H913" s="58" t="str">
        <f>IFERROR(__xludf.DUMMYFUNCTION("iferror(if(B913="""", ,filter('IDR Import'!D:D,'IDR Import'!A:A=B913,'IDR Import'!C:C=A913)),)"),"")</f>
        <v/>
      </c>
      <c r="I913" s="58"/>
      <c r="J913" s="59" t="str">
        <f t="shared" si="1"/>
        <v/>
      </c>
    </row>
    <row r="914">
      <c r="A914" s="55"/>
      <c r="B914" s="55"/>
      <c r="C914" s="60"/>
      <c r="D914" s="54"/>
      <c r="E914" s="55"/>
      <c r="F914" s="56"/>
      <c r="G914" s="57"/>
      <c r="H914" s="58" t="str">
        <f>IFERROR(__xludf.DUMMYFUNCTION("iferror(if(B914="""", ,filter('IDR Import'!D:D,'IDR Import'!A:A=B914,'IDR Import'!C:C=A914)),)"),"")</f>
        <v/>
      </c>
      <c r="I914" s="58"/>
      <c r="J914" s="59" t="str">
        <f t="shared" si="1"/>
        <v/>
      </c>
    </row>
    <row r="915">
      <c r="A915" s="55"/>
      <c r="B915" s="55"/>
      <c r="C915" s="60"/>
      <c r="D915" s="54"/>
      <c r="E915" s="55"/>
      <c r="F915" s="56"/>
      <c r="G915" s="57"/>
      <c r="H915" s="58" t="str">
        <f>IFERROR(__xludf.DUMMYFUNCTION("iferror(if(B915="""", ,filter('IDR Import'!D:D,'IDR Import'!A:A=B915,'IDR Import'!C:C=A915)),)"),"")</f>
        <v/>
      </c>
      <c r="I915" s="58"/>
      <c r="J915" s="59" t="str">
        <f t="shared" si="1"/>
        <v/>
      </c>
    </row>
    <row r="916">
      <c r="A916" s="55"/>
      <c r="B916" s="55"/>
      <c r="C916" s="60"/>
      <c r="D916" s="54"/>
      <c r="E916" s="55"/>
      <c r="F916" s="56"/>
      <c r="G916" s="57"/>
      <c r="H916" s="58" t="str">
        <f>IFERROR(__xludf.DUMMYFUNCTION("iferror(if(B916="""", ,filter('IDR Import'!D:D,'IDR Import'!A:A=B916,'IDR Import'!C:C=A916)),)"),"")</f>
        <v/>
      </c>
      <c r="I916" s="58"/>
      <c r="J916" s="59" t="str">
        <f t="shared" si="1"/>
        <v/>
      </c>
    </row>
    <row r="917">
      <c r="A917" s="55"/>
      <c r="B917" s="55"/>
      <c r="C917" s="60"/>
      <c r="D917" s="54"/>
      <c r="E917" s="55"/>
      <c r="F917" s="56"/>
      <c r="G917" s="57"/>
      <c r="H917" s="58" t="str">
        <f>IFERROR(__xludf.DUMMYFUNCTION("iferror(if(B917="""", ,filter('IDR Import'!D:D,'IDR Import'!A:A=B917,'IDR Import'!C:C=A917)),)"),"")</f>
        <v/>
      </c>
      <c r="I917" s="58"/>
      <c r="J917" s="59" t="str">
        <f t="shared" si="1"/>
        <v/>
      </c>
    </row>
    <row r="918">
      <c r="A918" s="55"/>
      <c r="B918" s="55"/>
      <c r="C918" s="60"/>
      <c r="D918" s="54"/>
      <c r="E918" s="55"/>
      <c r="F918" s="56"/>
      <c r="G918" s="57"/>
      <c r="H918" s="58" t="str">
        <f>IFERROR(__xludf.DUMMYFUNCTION("iferror(if(B918="""", ,filter('IDR Import'!D:D,'IDR Import'!A:A=B918,'IDR Import'!C:C=A918)),)"),"")</f>
        <v/>
      </c>
      <c r="I918" s="58"/>
      <c r="J918" s="59" t="str">
        <f t="shared" si="1"/>
        <v/>
      </c>
    </row>
    <row r="919">
      <c r="A919" s="55"/>
      <c r="B919" s="55"/>
      <c r="C919" s="60"/>
      <c r="D919" s="54"/>
      <c r="E919" s="55"/>
      <c r="F919" s="56"/>
      <c r="G919" s="57"/>
      <c r="H919" s="58" t="str">
        <f>IFERROR(__xludf.DUMMYFUNCTION("iferror(if(B919="""", ,filter('IDR Import'!D:D,'IDR Import'!A:A=B919,'IDR Import'!C:C=A919)),)"),"")</f>
        <v/>
      </c>
      <c r="I919" s="58"/>
      <c r="J919" s="59" t="str">
        <f t="shared" si="1"/>
        <v/>
      </c>
    </row>
    <row r="920">
      <c r="A920" s="55"/>
      <c r="B920" s="55"/>
      <c r="C920" s="60"/>
      <c r="D920" s="54"/>
      <c r="E920" s="55"/>
      <c r="F920" s="56"/>
      <c r="G920" s="57"/>
      <c r="H920" s="58" t="str">
        <f>IFERROR(__xludf.DUMMYFUNCTION("iferror(if(B920="""", ,filter('IDR Import'!D:D,'IDR Import'!A:A=B920,'IDR Import'!C:C=A920)),)"),"")</f>
        <v/>
      </c>
      <c r="I920" s="58"/>
      <c r="J920" s="59" t="str">
        <f t="shared" si="1"/>
        <v/>
      </c>
    </row>
    <row r="921">
      <c r="A921" s="55"/>
      <c r="B921" s="55"/>
      <c r="C921" s="60"/>
      <c r="D921" s="54"/>
      <c r="E921" s="55"/>
      <c r="F921" s="56"/>
      <c r="G921" s="57"/>
      <c r="H921" s="58" t="str">
        <f>IFERROR(__xludf.DUMMYFUNCTION("iferror(if(B921="""", ,filter('IDR Import'!D:D,'IDR Import'!A:A=B921,'IDR Import'!C:C=A921)),)"),"")</f>
        <v/>
      </c>
      <c r="I921" s="58"/>
      <c r="J921" s="59" t="str">
        <f t="shared" si="1"/>
        <v/>
      </c>
    </row>
    <row r="922">
      <c r="A922" s="55"/>
      <c r="B922" s="55"/>
      <c r="C922" s="60"/>
      <c r="D922" s="54"/>
      <c r="E922" s="55"/>
      <c r="F922" s="56"/>
      <c r="G922" s="57"/>
      <c r="H922" s="58" t="str">
        <f>IFERROR(__xludf.DUMMYFUNCTION("iferror(if(B922="""", ,filter('IDR Import'!D:D,'IDR Import'!A:A=B922,'IDR Import'!C:C=A922)),)"),"")</f>
        <v/>
      </c>
      <c r="I922" s="58"/>
      <c r="J922" s="59" t="str">
        <f t="shared" si="1"/>
        <v/>
      </c>
    </row>
    <row r="923">
      <c r="A923" s="55"/>
      <c r="B923" s="55"/>
      <c r="C923" s="60"/>
      <c r="D923" s="54"/>
      <c r="E923" s="55"/>
      <c r="F923" s="56"/>
      <c r="G923" s="57"/>
      <c r="H923" s="58" t="str">
        <f>IFERROR(__xludf.DUMMYFUNCTION("iferror(if(B923="""", ,filter('IDR Import'!D:D,'IDR Import'!A:A=B923,'IDR Import'!C:C=A923)),)"),"")</f>
        <v/>
      </c>
      <c r="I923" s="58"/>
      <c r="J923" s="59" t="str">
        <f t="shared" si="1"/>
        <v/>
      </c>
    </row>
    <row r="924">
      <c r="A924" s="55"/>
      <c r="B924" s="55"/>
      <c r="C924" s="60"/>
      <c r="D924" s="54"/>
      <c r="E924" s="55"/>
      <c r="F924" s="56"/>
      <c r="G924" s="57"/>
      <c r="H924" s="58" t="str">
        <f>IFERROR(__xludf.DUMMYFUNCTION("iferror(if(B924="""", ,filter('IDR Import'!D:D,'IDR Import'!A:A=B924,'IDR Import'!C:C=A924)),)"),"")</f>
        <v/>
      </c>
      <c r="I924" s="58"/>
      <c r="J924" s="59" t="str">
        <f t="shared" si="1"/>
        <v/>
      </c>
    </row>
    <row r="925">
      <c r="A925" s="55"/>
      <c r="B925" s="55"/>
      <c r="C925" s="60"/>
      <c r="D925" s="54"/>
      <c r="E925" s="55"/>
      <c r="F925" s="56"/>
      <c r="G925" s="57"/>
      <c r="H925" s="58" t="str">
        <f>IFERROR(__xludf.DUMMYFUNCTION("iferror(if(B925="""", ,filter('IDR Import'!D:D,'IDR Import'!A:A=B925,'IDR Import'!C:C=A925)),)"),"")</f>
        <v/>
      </c>
      <c r="I925" s="58"/>
      <c r="J925" s="59" t="str">
        <f t="shared" si="1"/>
        <v/>
      </c>
    </row>
    <row r="926">
      <c r="A926" s="55"/>
      <c r="B926" s="55"/>
      <c r="C926" s="60"/>
      <c r="D926" s="54"/>
      <c r="E926" s="55"/>
      <c r="F926" s="56"/>
      <c r="G926" s="57"/>
      <c r="H926" s="58" t="str">
        <f>IFERROR(__xludf.DUMMYFUNCTION("iferror(if(B926="""", ,filter('IDR Import'!D:D,'IDR Import'!A:A=B926,'IDR Import'!C:C=A926)),)"),"")</f>
        <v/>
      </c>
      <c r="I926" s="58"/>
      <c r="J926" s="59" t="str">
        <f t="shared" si="1"/>
        <v/>
      </c>
    </row>
    <row r="927">
      <c r="A927" s="55"/>
      <c r="B927" s="55"/>
      <c r="C927" s="60"/>
      <c r="D927" s="54"/>
      <c r="E927" s="55"/>
      <c r="F927" s="56"/>
      <c r="G927" s="57"/>
      <c r="H927" s="58" t="str">
        <f>IFERROR(__xludf.DUMMYFUNCTION("iferror(if(B927="""", ,filter('IDR Import'!D:D,'IDR Import'!A:A=B927,'IDR Import'!C:C=A927)),)"),"")</f>
        <v/>
      </c>
      <c r="I927" s="58"/>
      <c r="J927" s="59" t="str">
        <f t="shared" si="1"/>
        <v/>
      </c>
    </row>
    <row r="928">
      <c r="A928" s="55"/>
      <c r="B928" s="55"/>
      <c r="C928" s="60"/>
      <c r="D928" s="54"/>
      <c r="E928" s="55"/>
      <c r="F928" s="56"/>
      <c r="G928" s="57"/>
      <c r="H928" s="58" t="str">
        <f>IFERROR(__xludf.DUMMYFUNCTION("iferror(if(B928="""", ,filter('IDR Import'!D:D,'IDR Import'!A:A=B928,'IDR Import'!C:C=A928)),)"),"")</f>
        <v/>
      </c>
      <c r="I928" s="58"/>
      <c r="J928" s="59" t="str">
        <f t="shared" si="1"/>
        <v/>
      </c>
    </row>
    <row r="929">
      <c r="A929" s="55"/>
      <c r="B929" s="55"/>
      <c r="C929" s="60"/>
      <c r="D929" s="54"/>
      <c r="E929" s="55"/>
      <c r="F929" s="56"/>
      <c r="G929" s="57"/>
      <c r="H929" s="58" t="str">
        <f>IFERROR(__xludf.DUMMYFUNCTION("iferror(if(B929="""", ,filter('IDR Import'!D:D,'IDR Import'!A:A=B929,'IDR Import'!C:C=A929)),)"),"")</f>
        <v/>
      </c>
      <c r="I929" s="58"/>
      <c r="J929" s="59" t="str">
        <f t="shared" si="1"/>
        <v/>
      </c>
    </row>
    <row r="930">
      <c r="A930" s="55"/>
      <c r="B930" s="55"/>
      <c r="C930" s="60"/>
      <c r="D930" s="54"/>
      <c r="E930" s="55"/>
      <c r="F930" s="56"/>
      <c r="G930" s="57"/>
      <c r="H930" s="58" t="str">
        <f>IFERROR(__xludf.DUMMYFUNCTION("iferror(if(B930="""", ,filter('IDR Import'!D:D,'IDR Import'!A:A=B930,'IDR Import'!C:C=A930)),)"),"")</f>
        <v/>
      </c>
      <c r="I930" s="58"/>
      <c r="J930" s="59" t="str">
        <f t="shared" si="1"/>
        <v/>
      </c>
    </row>
    <row r="931">
      <c r="A931" s="55"/>
      <c r="B931" s="55"/>
      <c r="C931" s="60"/>
      <c r="D931" s="54"/>
      <c r="E931" s="55"/>
      <c r="F931" s="56"/>
      <c r="G931" s="57"/>
      <c r="H931" s="58" t="str">
        <f>IFERROR(__xludf.DUMMYFUNCTION("iferror(if(B931="""", ,filter('IDR Import'!D:D,'IDR Import'!A:A=B931,'IDR Import'!C:C=A931)),)"),"")</f>
        <v/>
      </c>
      <c r="I931" s="58"/>
      <c r="J931" s="59" t="str">
        <f t="shared" si="1"/>
        <v/>
      </c>
    </row>
    <row r="932">
      <c r="A932" s="55"/>
      <c r="B932" s="55"/>
      <c r="C932" s="60"/>
      <c r="D932" s="54"/>
      <c r="E932" s="55"/>
      <c r="F932" s="56"/>
      <c r="G932" s="57"/>
      <c r="H932" s="58" t="str">
        <f>IFERROR(__xludf.DUMMYFUNCTION("iferror(if(B932="""", ,filter('IDR Import'!D:D,'IDR Import'!A:A=B932,'IDR Import'!C:C=A932)),)"),"")</f>
        <v/>
      </c>
      <c r="I932" s="58"/>
      <c r="J932" s="59" t="str">
        <f t="shared" si="1"/>
        <v/>
      </c>
    </row>
    <row r="933">
      <c r="A933" s="55"/>
      <c r="B933" s="55"/>
      <c r="C933" s="60"/>
      <c r="D933" s="54"/>
      <c r="E933" s="55"/>
      <c r="F933" s="56"/>
      <c r="G933" s="57"/>
      <c r="H933" s="58" t="str">
        <f>IFERROR(__xludf.DUMMYFUNCTION("iferror(if(B933="""", ,filter('IDR Import'!D:D,'IDR Import'!A:A=B933,'IDR Import'!C:C=A933)),)"),"")</f>
        <v/>
      </c>
      <c r="I933" s="58"/>
      <c r="J933" s="59" t="str">
        <f t="shared" si="1"/>
        <v/>
      </c>
    </row>
    <row r="934">
      <c r="A934" s="55"/>
      <c r="B934" s="55"/>
      <c r="C934" s="60"/>
      <c r="D934" s="54"/>
      <c r="E934" s="55"/>
      <c r="F934" s="56"/>
      <c r="G934" s="57"/>
      <c r="H934" s="58" t="str">
        <f>IFERROR(__xludf.DUMMYFUNCTION("iferror(if(B934="""", ,filter('IDR Import'!D:D,'IDR Import'!A:A=B934,'IDR Import'!C:C=A934)),)"),"")</f>
        <v/>
      </c>
      <c r="I934" s="58"/>
      <c r="J934" s="59" t="str">
        <f t="shared" si="1"/>
        <v/>
      </c>
    </row>
    <row r="935">
      <c r="A935" s="55"/>
      <c r="B935" s="55"/>
      <c r="C935" s="60"/>
      <c r="D935" s="54"/>
      <c r="E935" s="55"/>
      <c r="F935" s="56"/>
      <c r="G935" s="57"/>
      <c r="H935" s="58" t="str">
        <f>IFERROR(__xludf.DUMMYFUNCTION("iferror(if(B935="""", ,filter('IDR Import'!D:D,'IDR Import'!A:A=B935,'IDR Import'!C:C=A935)),)"),"")</f>
        <v/>
      </c>
      <c r="I935" s="58"/>
      <c r="J935" s="59" t="str">
        <f t="shared" si="1"/>
        <v/>
      </c>
    </row>
    <row r="936">
      <c r="A936" s="55"/>
      <c r="B936" s="55"/>
      <c r="C936" s="60"/>
      <c r="D936" s="54"/>
      <c r="E936" s="55"/>
      <c r="F936" s="56"/>
      <c r="G936" s="57"/>
      <c r="H936" s="58" t="str">
        <f>IFERROR(__xludf.DUMMYFUNCTION("iferror(if(B936="""", ,filter('IDR Import'!D:D,'IDR Import'!A:A=B936,'IDR Import'!C:C=A936)),)"),"")</f>
        <v/>
      </c>
      <c r="I936" s="58"/>
      <c r="J936" s="59" t="str">
        <f t="shared" si="1"/>
        <v/>
      </c>
    </row>
    <row r="937">
      <c r="A937" s="55"/>
      <c r="B937" s="55"/>
      <c r="C937" s="60"/>
      <c r="D937" s="54"/>
      <c r="E937" s="55"/>
      <c r="F937" s="56"/>
      <c r="G937" s="57"/>
      <c r="H937" s="58" t="str">
        <f>IFERROR(__xludf.DUMMYFUNCTION("iferror(if(B937="""", ,filter('IDR Import'!D:D,'IDR Import'!A:A=B937,'IDR Import'!C:C=A937)),)"),"")</f>
        <v/>
      </c>
      <c r="I937" s="58"/>
      <c r="J937" s="59" t="str">
        <f t="shared" si="1"/>
        <v/>
      </c>
    </row>
    <row r="938">
      <c r="A938" s="55"/>
      <c r="B938" s="55"/>
      <c r="C938" s="60"/>
      <c r="D938" s="54"/>
      <c r="E938" s="55"/>
      <c r="F938" s="56"/>
      <c r="G938" s="57"/>
      <c r="H938" s="58" t="str">
        <f>IFERROR(__xludf.DUMMYFUNCTION("iferror(if(B938="""", ,filter('IDR Import'!D:D,'IDR Import'!A:A=B938,'IDR Import'!C:C=A938)),)"),"")</f>
        <v/>
      </c>
      <c r="I938" s="58"/>
      <c r="J938" s="59" t="str">
        <f t="shared" si="1"/>
        <v/>
      </c>
    </row>
    <row r="939">
      <c r="A939" s="55"/>
      <c r="B939" s="55"/>
      <c r="C939" s="60"/>
      <c r="D939" s="54"/>
      <c r="E939" s="55"/>
      <c r="F939" s="56"/>
      <c r="G939" s="57"/>
      <c r="H939" s="58" t="str">
        <f>IFERROR(__xludf.DUMMYFUNCTION("iferror(if(B939="""", ,filter('IDR Import'!D:D,'IDR Import'!A:A=B939,'IDR Import'!C:C=A939)),)"),"")</f>
        <v/>
      </c>
      <c r="I939" s="58"/>
      <c r="J939" s="59" t="str">
        <f t="shared" si="1"/>
        <v/>
      </c>
    </row>
    <row r="940">
      <c r="A940" s="55"/>
      <c r="B940" s="55"/>
      <c r="C940" s="60"/>
      <c r="D940" s="54"/>
      <c r="E940" s="55"/>
      <c r="F940" s="56"/>
      <c r="G940" s="57"/>
      <c r="H940" s="58" t="str">
        <f>IFERROR(__xludf.DUMMYFUNCTION("iferror(if(B940="""", ,filter('IDR Import'!D:D,'IDR Import'!A:A=B940,'IDR Import'!C:C=A940)),)"),"")</f>
        <v/>
      </c>
      <c r="I940" s="58"/>
      <c r="J940" s="59" t="str">
        <f t="shared" si="1"/>
        <v/>
      </c>
    </row>
    <row r="941">
      <c r="A941" s="55"/>
      <c r="B941" s="55"/>
      <c r="C941" s="60"/>
      <c r="D941" s="54"/>
      <c r="E941" s="55"/>
      <c r="F941" s="56"/>
      <c r="G941" s="57"/>
      <c r="H941" s="58" t="str">
        <f>IFERROR(__xludf.DUMMYFUNCTION("iferror(if(B941="""", ,filter('IDR Import'!D:D,'IDR Import'!A:A=B941,'IDR Import'!C:C=A941)),)"),"")</f>
        <v/>
      </c>
      <c r="I941" s="58"/>
      <c r="J941" s="59" t="str">
        <f t="shared" si="1"/>
        <v/>
      </c>
    </row>
    <row r="942">
      <c r="A942" s="55"/>
      <c r="B942" s="55"/>
      <c r="C942" s="60"/>
      <c r="D942" s="54"/>
      <c r="E942" s="55"/>
      <c r="F942" s="56"/>
      <c r="G942" s="57"/>
      <c r="H942" s="58" t="str">
        <f>IFERROR(__xludf.DUMMYFUNCTION("iferror(if(B942="""", ,filter('IDR Import'!D:D,'IDR Import'!A:A=B942,'IDR Import'!C:C=A942)),)"),"")</f>
        <v/>
      </c>
      <c r="I942" s="58"/>
      <c r="J942" s="59" t="str">
        <f t="shared" si="1"/>
        <v/>
      </c>
    </row>
    <row r="943">
      <c r="A943" s="55"/>
      <c r="B943" s="55"/>
      <c r="C943" s="60"/>
      <c r="D943" s="54"/>
      <c r="E943" s="55"/>
      <c r="F943" s="56"/>
      <c r="G943" s="57"/>
      <c r="H943" s="58" t="str">
        <f>IFERROR(__xludf.DUMMYFUNCTION("iferror(if(B943="""", ,filter('IDR Import'!D:D,'IDR Import'!A:A=B943,'IDR Import'!C:C=A943)),)"),"")</f>
        <v/>
      </c>
      <c r="I943" s="58"/>
      <c r="J943" s="59" t="str">
        <f t="shared" si="1"/>
        <v/>
      </c>
    </row>
    <row r="944">
      <c r="A944" s="61"/>
      <c r="B944" s="55"/>
      <c r="C944" s="60"/>
      <c r="D944" s="54"/>
      <c r="E944" s="55"/>
      <c r="F944" s="56"/>
      <c r="G944" s="57"/>
      <c r="H944" s="58" t="str">
        <f>IFERROR(__xludf.DUMMYFUNCTION("iferror(if(B944="""", ,filter('IDR Import'!D:D,'IDR Import'!A:A=B944,'IDR Import'!C:C=A944)),)"),"")</f>
        <v/>
      </c>
      <c r="I944" s="58"/>
      <c r="J944" s="59" t="str">
        <f t="shared" si="1"/>
        <v/>
      </c>
    </row>
    <row r="945">
      <c r="A945" s="55"/>
      <c r="B945" s="55"/>
      <c r="C945" s="60"/>
      <c r="D945" s="54"/>
      <c r="E945" s="55"/>
      <c r="F945" s="56"/>
      <c r="G945" s="57"/>
      <c r="H945" s="58" t="str">
        <f>IFERROR(__xludf.DUMMYFUNCTION("iferror(if(B945="""", ,filter('IDR Import'!D:D,'IDR Import'!A:A=B945,'IDR Import'!C:C=A945)),)"),"")</f>
        <v/>
      </c>
      <c r="I945" s="58"/>
      <c r="J945" s="59" t="str">
        <f t="shared" si="1"/>
        <v/>
      </c>
    </row>
    <row r="946">
      <c r="A946" s="55"/>
      <c r="B946" s="55"/>
      <c r="C946" s="60"/>
      <c r="D946" s="54"/>
      <c r="E946" s="55"/>
      <c r="F946" s="56"/>
      <c r="G946" s="57"/>
      <c r="H946" s="58" t="str">
        <f>IFERROR(__xludf.DUMMYFUNCTION("iferror(if(B946="""", ,filter('IDR Import'!D:D,'IDR Import'!A:A=B946,'IDR Import'!C:C=A946)),)"),"")</f>
        <v/>
      </c>
      <c r="I946" s="58"/>
      <c r="J946" s="59" t="str">
        <f t="shared" si="1"/>
        <v/>
      </c>
    </row>
    <row r="947">
      <c r="A947" s="55"/>
      <c r="B947" s="55"/>
      <c r="C947" s="60"/>
      <c r="D947" s="54"/>
      <c r="E947" s="55"/>
      <c r="F947" s="56"/>
      <c r="G947" s="57"/>
      <c r="H947" s="58" t="str">
        <f>IFERROR(__xludf.DUMMYFUNCTION("iferror(if(B947="""", ,filter('IDR Import'!D:D,'IDR Import'!A:A=B947,'IDR Import'!C:C=A947)),)"),"")</f>
        <v/>
      </c>
      <c r="I947" s="58"/>
      <c r="J947" s="59" t="str">
        <f t="shared" si="1"/>
        <v/>
      </c>
    </row>
    <row r="948">
      <c r="A948" s="55"/>
      <c r="B948" s="55"/>
      <c r="C948" s="60"/>
      <c r="D948" s="54"/>
      <c r="E948" s="55"/>
      <c r="F948" s="56"/>
      <c r="G948" s="57"/>
      <c r="H948" s="58" t="str">
        <f>IFERROR(__xludf.DUMMYFUNCTION("iferror(if(B948="""", ,filter('IDR Import'!D:D,'IDR Import'!A:A=B948,'IDR Import'!C:C=A948)),)"),"")</f>
        <v/>
      </c>
      <c r="I948" s="58"/>
      <c r="J948" s="59" t="str">
        <f t="shared" si="1"/>
        <v/>
      </c>
    </row>
    <row r="949">
      <c r="A949" s="55"/>
      <c r="B949" s="55"/>
      <c r="C949" s="60"/>
      <c r="D949" s="54"/>
      <c r="E949" s="55"/>
      <c r="F949" s="56"/>
      <c r="G949" s="57"/>
      <c r="H949" s="58" t="str">
        <f>IFERROR(__xludf.DUMMYFUNCTION("iferror(if(B949="""", ,filter('IDR Import'!D:D,'IDR Import'!A:A=B949,'IDR Import'!C:C=A949)),)"),"")</f>
        <v/>
      </c>
      <c r="I949" s="58"/>
      <c r="J949" s="59" t="str">
        <f t="shared" si="1"/>
        <v/>
      </c>
    </row>
    <row r="950">
      <c r="A950" s="55"/>
      <c r="B950" s="55"/>
      <c r="C950" s="60"/>
      <c r="D950" s="54"/>
      <c r="E950" s="55"/>
      <c r="F950" s="56"/>
      <c r="G950" s="57"/>
      <c r="H950" s="58" t="str">
        <f>IFERROR(__xludf.DUMMYFUNCTION("iferror(if(B950="""", ,filter('IDR Import'!D:D,'IDR Import'!A:A=B950,'IDR Import'!C:C=A950)),)"),"")</f>
        <v/>
      </c>
      <c r="I950" s="58"/>
      <c r="J950" s="59" t="str">
        <f t="shared" si="1"/>
        <v/>
      </c>
    </row>
    <row r="951">
      <c r="A951" s="55"/>
      <c r="B951" s="55"/>
      <c r="C951" s="60"/>
      <c r="D951" s="54"/>
      <c r="E951" s="55"/>
      <c r="F951" s="56"/>
      <c r="G951" s="57"/>
      <c r="H951" s="58" t="str">
        <f>IFERROR(__xludf.DUMMYFUNCTION("iferror(if(B951="""", ,filter('IDR Import'!D:D,'IDR Import'!A:A=B951,'IDR Import'!C:C=A951)),)"),"")</f>
        <v/>
      </c>
      <c r="I951" s="58"/>
      <c r="J951" s="59" t="str">
        <f t="shared" si="1"/>
        <v/>
      </c>
    </row>
    <row r="952">
      <c r="A952" s="55"/>
      <c r="B952" s="55"/>
      <c r="C952" s="60"/>
      <c r="D952" s="54"/>
      <c r="E952" s="55"/>
      <c r="F952" s="56"/>
      <c r="G952" s="57"/>
      <c r="H952" s="58" t="str">
        <f>IFERROR(__xludf.DUMMYFUNCTION("iferror(if(B952="""", ,filter('IDR Import'!D:D,'IDR Import'!A:A=B952,'IDR Import'!C:C=A952)),)"),"")</f>
        <v/>
      </c>
      <c r="I952" s="58"/>
      <c r="J952" s="59" t="str">
        <f t="shared" si="1"/>
        <v/>
      </c>
    </row>
    <row r="953">
      <c r="A953" s="55"/>
      <c r="B953" s="55"/>
      <c r="C953" s="60"/>
      <c r="D953" s="54"/>
      <c r="E953" s="55"/>
      <c r="F953" s="56"/>
      <c r="G953" s="57"/>
      <c r="H953" s="58" t="str">
        <f>IFERROR(__xludf.DUMMYFUNCTION("iferror(if(B953="""", ,filter('IDR Import'!D:D,'IDR Import'!A:A=B953,'IDR Import'!C:C=A953)),)"),"")</f>
        <v/>
      </c>
      <c r="I953" s="58"/>
      <c r="J953" s="59" t="str">
        <f t="shared" si="1"/>
        <v/>
      </c>
    </row>
    <row r="954">
      <c r="A954" s="55"/>
      <c r="B954" s="55"/>
      <c r="C954" s="60"/>
      <c r="D954" s="54"/>
      <c r="E954" s="55"/>
      <c r="F954" s="56"/>
      <c r="G954" s="57"/>
      <c r="H954" s="58" t="str">
        <f>IFERROR(__xludf.DUMMYFUNCTION("iferror(if(B954="""", ,filter('IDR Import'!D:D,'IDR Import'!A:A=B954,'IDR Import'!C:C=A954)),)"),"")</f>
        <v/>
      </c>
      <c r="I954" s="58"/>
      <c r="J954" s="59" t="str">
        <f t="shared" si="1"/>
        <v/>
      </c>
    </row>
    <row r="955">
      <c r="A955" s="55"/>
      <c r="B955" s="55"/>
      <c r="C955" s="60"/>
      <c r="D955" s="54"/>
      <c r="E955" s="55"/>
      <c r="F955" s="56"/>
      <c r="G955" s="57"/>
      <c r="H955" s="58" t="str">
        <f>IFERROR(__xludf.DUMMYFUNCTION("iferror(if(B955="""", ,filter('IDR Import'!D:D,'IDR Import'!A:A=B955,'IDR Import'!C:C=A955)),)"),"")</f>
        <v/>
      </c>
      <c r="I955" s="58"/>
      <c r="J955" s="59" t="str">
        <f t="shared" si="1"/>
        <v/>
      </c>
    </row>
    <row r="956">
      <c r="A956" s="55"/>
      <c r="B956" s="55"/>
      <c r="C956" s="60"/>
      <c r="D956" s="54"/>
      <c r="E956" s="55"/>
      <c r="F956" s="56"/>
      <c r="G956" s="57"/>
      <c r="H956" s="58" t="str">
        <f>IFERROR(__xludf.DUMMYFUNCTION("iferror(if(B956="""", ,filter('IDR Import'!D:D,'IDR Import'!A:A=B956,'IDR Import'!C:C=A956)),)"),"")</f>
        <v/>
      </c>
      <c r="I956" s="58"/>
      <c r="J956" s="59" t="str">
        <f t="shared" si="1"/>
        <v/>
      </c>
    </row>
    <row r="957">
      <c r="A957" s="55"/>
      <c r="B957" s="55"/>
      <c r="C957" s="60"/>
      <c r="D957" s="54"/>
      <c r="E957" s="55"/>
      <c r="F957" s="56"/>
      <c r="G957" s="57"/>
      <c r="H957" s="58" t="str">
        <f>IFERROR(__xludf.DUMMYFUNCTION("iferror(if(B957="""", ,filter('IDR Import'!D:D,'IDR Import'!A:A=B957,'IDR Import'!C:C=A957)),)"),"")</f>
        <v/>
      </c>
      <c r="I957" s="58"/>
      <c r="J957" s="59" t="str">
        <f t="shared" si="1"/>
        <v/>
      </c>
    </row>
    <row r="958">
      <c r="A958" s="55"/>
      <c r="B958" s="55"/>
      <c r="C958" s="60"/>
      <c r="D958" s="54"/>
      <c r="E958" s="55"/>
      <c r="F958" s="56"/>
      <c r="G958" s="57"/>
      <c r="H958" s="58" t="str">
        <f>IFERROR(__xludf.DUMMYFUNCTION("iferror(if(B958="""", ,filter('IDR Import'!D:D,'IDR Import'!A:A=B958,'IDR Import'!C:C=A958)),)"),"")</f>
        <v/>
      </c>
      <c r="I958" s="58"/>
      <c r="J958" s="59" t="str">
        <f t="shared" si="1"/>
        <v/>
      </c>
    </row>
    <row r="959">
      <c r="A959" s="55"/>
      <c r="B959" s="55"/>
      <c r="C959" s="60"/>
      <c r="D959" s="54"/>
      <c r="E959" s="55"/>
      <c r="F959" s="56"/>
      <c r="G959" s="57"/>
      <c r="H959" s="58" t="str">
        <f>IFERROR(__xludf.DUMMYFUNCTION("iferror(if(B959="""", ,filter('IDR Import'!D:D,'IDR Import'!A:A=B959,'IDR Import'!C:C=A959)),)"),"")</f>
        <v/>
      </c>
      <c r="I959" s="58"/>
      <c r="J959" s="59" t="str">
        <f t="shared" si="1"/>
        <v/>
      </c>
    </row>
    <row r="960">
      <c r="A960" s="55"/>
      <c r="B960" s="55"/>
      <c r="C960" s="60"/>
      <c r="D960" s="54"/>
      <c r="E960" s="55"/>
      <c r="F960" s="56"/>
      <c r="G960" s="57"/>
      <c r="H960" s="58" t="str">
        <f>IFERROR(__xludf.DUMMYFUNCTION("iferror(if(B960="""", ,filter('IDR Import'!D:D,'IDR Import'!A:A=B960,'IDR Import'!C:C=A960)),)"),"")</f>
        <v/>
      </c>
      <c r="I960" s="58"/>
      <c r="J960" s="59" t="str">
        <f t="shared" si="1"/>
        <v/>
      </c>
    </row>
    <row r="961">
      <c r="A961" s="55"/>
      <c r="B961" s="55"/>
      <c r="C961" s="60"/>
      <c r="D961" s="54"/>
      <c r="E961" s="55"/>
      <c r="F961" s="56"/>
      <c r="G961" s="57"/>
      <c r="H961" s="58" t="str">
        <f>IFERROR(__xludf.DUMMYFUNCTION("iferror(if(B961="""", ,filter('IDR Import'!D:D,'IDR Import'!A:A=B961,'IDR Import'!C:C=A961)),)"),"")</f>
        <v/>
      </c>
      <c r="I961" s="58"/>
      <c r="J961" s="59" t="str">
        <f t="shared" si="1"/>
        <v/>
      </c>
    </row>
    <row r="962">
      <c r="A962" s="55"/>
      <c r="B962" s="55"/>
      <c r="C962" s="60"/>
      <c r="D962" s="54"/>
      <c r="E962" s="55"/>
      <c r="F962" s="56"/>
      <c r="G962" s="57"/>
      <c r="H962" s="58" t="str">
        <f>IFERROR(__xludf.DUMMYFUNCTION("iferror(if(B962="""", ,filter('IDR Import'!D:D,'IDR Import'!A:A=B962,'IDR Import'!C:C=A962)),)"),"")</f>
        <v/>
      </c>
      <c r="I962" s="58"/>
      <c r="J962" s="59" t="str">
        <f t="shared" si="1"/>
        <v/>
      </c>
    </row>
    <row r="963">
      <c r="A963" s="55"/>
      <c r="B963" s="55"/>
      <c r="C963" s="60"/>
      <c r="D963" s="54"/>
      <c r="E963" s="55"/>
      <c r="F963" s="56"/>
      <c r="G963" s="57"/>
      <c r="H963" s="58" t="str">
        <f>IFERROR(__xludf.DUMMYFUNCTION("iferror(if(B963="""", ,filter('IDR Import'!D:D,'IDR Import'!A:A=B963,'IDR Import'!C:C=A963)),)"),"")</f>
        <v/>
      </c>
      <c r="I963" s="58"/>
      <c r="J963" s="59" t="str">
        <f t="shared" si="1"/>
        <v/>
      </c>
    </row>
    <row r="964">
      <c r="A964" s="55"/>
      <c r="B964" s="55"/>
      <c r="C964" s="60"/>
      <c r="D964" s="54"/>
      <c r="E964" s="55"/>
      <c r="F964" s="56"/>
      <c r="G964" s="57"/>
      <c r="H964" s="58" t="str">
        <f>IFERROR(__xludf.DUMMYFUNCTION("iferror(if(B964="""", ,filter('IDR Import'!D:D,'IDR Import'!A:A=B964,'IDR Import'!C:C=A964)),)"),"")</f>
        <v/>
      </c>
      <c r="I964" s="58"/>
      <c r="J964" s="59" t="str">
        <f t="shared" si="1"/>
        <v/>
      </c>
    </row>
    <row r="965">
      <c r="A965" s="55"/>
      <c r="B965" s="55"/>
      <c r="C965" s="60"/>
      <c r="D965" s="54"/>
      <c r="E965" s="55"/>
      <c r="F965" s="56"/>
      <c r="G965" s="57"/>
      <c r="H965" s="58" t="str">
        <f>IFERROR(__xludf.DUMMYFUNCTION("iferror(if(B965="""", ,filter('IDR Import'!D:D,'IDR Import'!A:A=B965,'IDR Import'!C:C=A965)),)"),"")</f>
        <v/>
      </c>
      <c r="I965" s="58"/>
      <c r="J965" s="59" t="str">
        <f t="shared" si="1"/>
        <v/>
      </c>
    </row>
    <row r="966">
      <c r="A966" s="55"/>
      <c r="B966" s="55"/>
      <c r="C966" s="60"/>
      <c r="D966" s="54"/>
      <c r="E966" s="55"/>
      <c r="F966" s="56"/>
      <c r="G966" s="57"/>
      <c r="H966" s="58" t="str">
        <f>IFERROR(__xludf.DUMMYFUNCTION("iferror(if(B966="""", ,filter('IDR Import'!D:D,'IDR Import'!A:A=B966,'IDR Import'!C:C=A966)),)"),"")</f>
        <v/>
      </c>
      <c r="I966" s="58"/>
      <c r="J966" s="59" t="str">
        <f t="shared" si="1"/>
        <v/>
      </c>
    </row>
    <row r="967">
      <c r="A967" s="55"/>
      <c r="B967" s="55"/>
      <c r="C967" s="60"/>
      <c r="D967" s="54"/>
      <c r="E967" s="55"/>
      <c r="F967" s="56"/>
      <c r="G967" s="57"/>
      <c r="H967" s="58" t="str">
        <f>IFERROR(__xludf.DUMMYFUNCTION("iferror(if(B967="""", ,filter('IDR Import'!D:D,'IDR Import'!A:A=B967,'IDR Import'!C:C=A967)),)"),"")</f>
        <v/>
      </c>
      <c r="I967" s="58"/>
      <c r="J967" s="59" t="str">
        <f t="shared" si="1"/>
        <v/>
      </c>
    </row>
    <row r="968">
      <c r="A968" s="55"/>
      <c r="B968" s="55"/>
      <c r="C968" s="60"/>
      <c r="D968" s="54"/>
      <c r="E968" s="55"/>
      <c r="F968" s="56"/>
      <c r="G968" s="57"/>
      <c r="H968" s="58" t="str">
        <f>IFERROR(__xludf.DUMMYFUNCTION("iferror(if(B968="""", ,filter('IDR Import'!D:D,'IDR Import'!A:A=B968,'IDR Import'!C:C=A968)),)"),"")</f>
        <v/>
      </c>
      <c r="I968" s="58"/>
      <c r="J968" s="59" t="str">
        <f t="shared" si="1"/>
        <v/>
      </c>
    </row>
    <row r="969">
      <c r="A969" s="55"/>
      <c r="B969" s="55"/>
      <c r="C969" s="60"/>
      <c r="D969" s="54"/>
      <c r="E969" s="55"/>
      <c r="F969" s="56"/>
      <c r="G969" s="57"/>
      <c r="H969" s="58" t="str">
        <f>IFERROR(__xludf.DUMMYFUNCTION("iferror(if(B969="""", ,filter('IDR Import'!D:D,'IDR Import'!A:A=B969,'IDR Import'!C:C=A969)),)"),"")</f>
        <v/>
      </c>
      <c r="I969" s="58"/>
      <c r="J969" s="59" t="str">
        <f t="shared" si="1"/>
        <v/>
      </c>
    </row>
    <row r="970">
      <c r="A970" s="55"/>
      <c r="B970" s="55"/>
      <c r="C970" s="60"/>
      <c r="D970" s="54"/>
      <c r="E970" s="55"/>
      <c r="F970" s="56"/>
      <c r="G970" s="57"/>
      <c r="H970" s="58" t="str">
        <f>IFERROR(__xludf.DUMMYFUNCTION("iferror(if(B970="""", ,filter('IDR Import'!D:D,'IDR Import'!A:A=B970,'IDR Import'!C:C=A970)),)"),"")</f>
        <v/>
      </c>
      <c r="I970" s="58"/>
      <c r="J970" s="59" t="str">
        <f t="shared" si="1"/>
        <v/>
      </c>
    </row>
    <row r="971">
      <c r="A971" s="55"/>
      <c r="B971" s="55"/>
      <c r="C971" s="60"/>
      <c r="D971" s="54"/>
      <c r="E971" s="55"/>
      <c r="F971" s="56"/>
      <c r="G971" s="57"/>
      <c r="H971" s="58" t="str">
        <f>IFERROR(__xludf.DUMMYFUNCTION("iferror(if(B971="""", ,filter('IDR Import'!D:D,'IDR Import'!A:A=B971,'IDR Import'!C:C=A971)),)"),"")</f>
        <v/>
      </c>
      <c r="I971" s="58"/>
      <c r="J971" s="59" t="str">
        <f t="shared" si="1"/>
        <v/>
      </c>
    </row>
    <row r="972">
      <c r="A972" s="55"/>
      <c r="B972" s="55"/>
      <c r="C972" s="60"/>
      <c r="D972" s="54"/>
      <c r="E972" s="55"/>
      <c r="F972" s="56"/>
      <c r="G972" s="57"/>
      <c r="H972" s="58" t="str">
        <f>IFERROR(__xludf.DUMMYFUNCTION("iferror(if(B972="""", ,filter('IDR Import'!D:D,'IDR Import'!A:A=B972,'IDR Import'!C:C=A972)),)"),"")</f>
        <v/>
      </c>
      <c r="I972" s="58"/>
      <c r="J972" s="59" t="str">
        <f t="shared" si="1"/>
        <v/>
      </c>
    </row>
    <row r="973">
      <c r="A973" s="55"/>
      <c r="B973" s="55"/>
      <c r="C973" s="60"/>
      <c r="D973" s="54"/>
      <c r="E973" s="55"/>
      <c r="F973" s="56"/>
      <c r="G973" s="57"/>
      <c r="H973" s="58" t="str">
        <f>IFERROR(__xludf.DUMMYFUNCTION("iferror(if(B973="""", ,filter('IDR Import'!D:D,'IDR Import'!A:A=B973,'IDR Import'!C:C=A973)),)"),"")</f>
        <v/>
      </c>
      <c r="I973" s="58"/>
      <c r="J973" s="59" t="str">
        <f t="shared" si="1"/>
        <v/>
      </c>
    </row>
    <row r="974">
      <c r="A974" s="55"/>
      <c r="B974" s="55"/>
      <c r="C974" s="60"/>
      <c r="D974" s="54"/>
      <c r="E974" s="55"/>
      <c r="F974" s="56"/>
      <c r="G974" s="57"/>
      <c r="H974" s="58" t="str">
        <f>IFERROR(__xludf.DUMMYFUNCTION("iferror(if(B974="""", ,filter('IDR Import'!D:D,'IDR Import'!A:A=B974,'IDR Import'!C:C=A974)),)"),"")</f>
        <v/>
      </c>
      <c r="I974" s="58"/>
      <c r="J974" s="59" t="str">
        <f t="shared" si="1"/>
        <v/>
      </c>
    </row>
    <row r="975">
      <c r="A975" s="55"/>
      <c r="B975" s="55"/>
      <c r="C975" s="60"/>
      <c r="D975" s="54"/>
      <c r="E975" s="55"/>
      <c r="F975" s="56"/>
      <c r="G975" s="57"/>
      <c r="H975" s="58" t="str">
        <f>IFERROR(__xludf.DUMMYFUNCTION("iferror(if(B975="""", ,filter('IDR Import'!D:D,'IDR Import'!A:A=B975,'IDR Import'!C:C=A975)),)"),"")</f>
        <v/>
      </c>
      <c r="I975" s="58"/>
      <c r="J975" s="59" t="str">
        <f t="shared" si="1"/>
        <v/>
      </c>
    </row>
    <row r="976">
      <c r="A976" s="55"/>
      <c r="B976" s="55"/>
      <c r="C976" s="60"/>
      <c r="D976" s="54"/>
      <c r="E976" s="55"/>
      <c r="F976" s="56"/>
      <c r="G976" s="57"/>
      <c r="H976" s="58" t="str">
        <f>IFERROR(__xludf.DUMMYFUNCTION("iferror(if(B976="""", ,filter('IDR Import'!D:D,'IDR Import'!A:A=B976,'IDR Import'!C:C=A976)),)"),"")</f>
        <v/>
      </c>
      <c r="I976" s="58"/>
      <c r="J976" s="59" t="str">
        <f t="shared" si="1"/>
        <v/>
      </c>
    </row>
    <row r="977">
      <c r="A977" s="55"/>
      <c r="B977" s="55"/>
      <c r="C977" s="60"/>
      <c r="D977" s="54"/>
      <c r="E977" s="55"/>
      <c r="F977" s="56"/>
      <c r="G977" s="57"/>
      <c r="H977" s="58" t="str">
        <f>IFERROR(__xludf.DUMMYFUNCTION("iferror(if(B977="""", ,filter('IDR Import'!D:D,'IDR Import'!A:A=B977,'IDR Import'!C:C=A977)),)"),"")</f>
        <v/>
      </c>
      <c r="I977" s="58"/>
      <c r="J977" s="59" t="str">
        <f t="shared" si="1"/>
        <v/>
      </c>
    </row>
    <row r="978">
      <c r="A978" s="55"/>
      <c r="B978" s="55"/>
      <c r="C978" s="60"/>
      <c r="D978" s="54"/>
      <c r="E978" s="55"/>
      <c r="F978" s="56"/>
      <c r="G978" s="57"/>
      <c r="H978" s="58" t="str">
        <f>IFERROR(__xludf.DUMMYFUNCTION("iferror(if(B978="""", ,filter('IDR Import'!D:D,'IDR Import'!A:A=B978,'IDR Import'!C:C=A978)),)"),"")</f>
        <v/>
      </c>
      <c r="I978" s="58"/>
      <c r="J978" s="59" t="str">
        <f t="shared" si="1"/>
        <v/>
      </c>
    </row>
    <row r="979">
      <c r="A979" s="55"/>
      <c r="B979" s="55"/>
      <c r="C979" s="60"/>
      <c r="D979" s="54"/>
      <c r="E979" s="55"/>
      <c r="F979" s="56"/>
      <c r="G979" s="57"/>
      <c r="H979" s="58" t="str">
        <f>IFERROR(__xludf.DUMMYFUNCTION("iferror(if(B979="""", ,filter('IDR Import'!D:D,'IDR Import'!A:A=B979,'IDR Import'!C:C=A979)),)"),"")</f>
        <v/>
      </c>
      <c r="I979" s="58"/>
      <c r="J979" s="59" t="str">
        <f t="shared" si="1"/>
        <v/>
      </c>
    </row>
    <row r="980">
      <c r="A980" s="55"/>
      <c r="B980" s="55"/>
      <c r="C980" s="60"/>
      <c r="D980" s="54"/>
      <c r="E980" s="55"/>
      <c r="F980" s="56"/>
      <c r="G980" s="57"/>
      <c r="H980" s="58" t="str">
        <f>IFERROR(__xludf.DUMMYFUNCTION("iferror(if(B980="""", ,filter('IDR Import'!D:D,'IDR Import'!A:A=B980,'IDR Import'!C:C=A980)),)"),"")</f>
        <v/>
      </c>
      <c r="I980" s="58"/>
      <c r="J980" s="59" t="str">
        <f t="shared" si="1"/>
        <v/>
      </c>
    </row>
    <row r="981">
      <c r="A981" s="55"/>
      <c r="B981" s="55"/>
      <c r="C981" s="60"/>
      <c r="D981" s="54"/>
      <c r="E981" s="55"/>
      <c r="F981" s="56"/>
      <c r="G981" s="57"/>
      <c r="H981" s="58" t="str">
        <f>IFERROR(__xludf.DUMMYFUNCTION("iferror(if(B981="""", ,filter('IDR Import'!D:D,'IDR Import'!A:A=B981,'IDR Import'!C:C=A981)),)"),"")</f>
        <v/>
      </c>
      <c r="I981" s="58"/>
      <c r="J981" s="59" t="str">
        <f t="shared" si="1"/>
        <v/>
      </c>
    </row>
    <row r="982">
      <c r="A982" s="55"/>
      <c r="B982" s="55"/>
      <c r="C982" s="60"/>
      <c r="D982" s="54"/>
      <c r="E982" s="55"/>
      <c r="F982" s="56"/>
      <c r="G982" s="57"/>
      <c r="H982" s="58" t="str">
        <f>IFERROR(__xludf.DUMMYFUNCTION("iferror(if(B982="""", ,filter('IDR Import'!D:D,'IDR Import'!A:A=B982,'IDR Import'!C:C=A982)),)"),"")</f>
        <v/>
      </c>
      <c r="I982" s="58"/>
      <c r="J982" s="59" t="str">
        <f t="shared" si="1"/>
        <v/>
      </c>
    </row>
    <row r="983">
      <c r="A983" s="55"/>
      <c r="B983" s="55"/>
      <c r="C983" s="60"/>
      <c r="D983" s="54"/>
      <c r="E983" s="55"/>
      <c r="F983" s="56"/>
      <c r="G983" s="57"/>
      <c r="H983" s="58" t="str">
        <f>IFERROR(__xludf.DUMMYFUNCTION("iferror(if(B983="""", ,filter('IDR Import'!D:D,'IDR Import'!A:A=B983,'IDR Import'!C:C=A983)),)"),"")</f>
        <v/>
      </c>
      <c r="I983" s="58"/>
      <c r="J983" s="59" t="str">
        <f t="shared" si="1"/>
        <v/>
      </c>
    </row>
    <row r="984">
      <c r="A984" s="55"/>
      <c r="B984" s="55"/>
      <c r="C984" s="60"/>
      <c r="D984" s="54"/>
      <c r="E984" s="55"/>
      <c r="F984" s="56"/>
      <c r="G984" s="57"/>
      <c r="H984" s="58" t="str">
        <f>IFERROR(__xludf.DUMMYFUNCTION("iferror(if(B984="""", ,filter('IDR Import'!D:D,'IDR Import'!A:A=B984,'IDR Import'!C:C=A984)),)"),"")</f>
        <v/>
      </c>
      <c r="I984" s="58"/>
      <c r="J984" s="59" t="str">
        <f t="shared" si="1"/>
        <v/>
      </c>
    </row>
    <row r="985">
      <c r="A985" s="55"/>
      <c r="B985" s="55"/>
      <c r="C985" s="60"/>
      <c r="D985" s="54"/>
      <c r="E985" s="55"/>
      <c r="F985" s="56"/>
      <c r="G985" s="57"/>
      <c r="H985" s="58" t="str">
        <f>IFERROR(__xludf.DUMMYFUNCTION("iferror(if(B985="""", ,filter('IDR Import'!D:D,'IDR Import'!A:A=B985,'IDR Import'!C:C=A985)),)"),"")</f>
        <v/>
      </c>
      <c r="I985" s="58"/>
      <c r="J985" s="59" t="str">
        <f t="shared" si="1"/>
        <v/>
      </c>
    </row>
    <row r="986">
      <c r="A986" s="55"/>
      <c r="B986" s="55"/>
      <c r="C986" s="60"/>
      <c r="D986" s="54"/>
      <c r="E986" s="55"/>
      <c r="F986" s="56"/>
      <c r="G986" s="57"/>
      <c r="H986" s="58" t="str">
        <f>IFERROR(__xludf.DUMMYFUNCTION("iferror(if(B986="""", ,filter('IDR Import'!D:D,'IDR Import'!A:A=B986,'IDR Import'!C:C=A986)),)"),"")</f>
        <v/>
      </c>
      <c r="I986" s="58"/>
      <c r="J986" s="59" t="str">
        <f t="shared" si="1"/>
        <v/>
      </c>
    </row>
    <row r="987">
      <c r="A987" s="55"/>
      <c r="B987" s="55"/>
      <c r="C987" s="60"/>
      <c r="D987" s="54"/>
      <c r="E987" s="55"/>
      <c r="F987" s="56"/>
      <c r="G987" s="57"/>
      <c r="H987" s="58" t="str">
        <f>IFERROR(__xludf.DUMMYFUNCTION("iferror(if(B987="""", ,filter('IDR Import'!D:D,'IDR Import'!A:A=B987,'IDR Import'!C:C=A987)),)"),"")</f>
        <v/>
      </c>
      <c r="I987" s="58"/>
      <c r="J987" s="59" t="str">
        <f t="shared" si="1"/>
        <v/>
      </c>
    </row>
    <row r="988">
      <c r="A988" s="55"/>
      <c r="B988" s="55"/>
      <c r="C988" s="60"/>
      <c r="D988" s="54"/>
      <c r="E988" s="55"/>
      <c r="F988" s="56"/>
      <c r="G988" s="57"/>
      <c r="H988" s="58" t="str">
        <f>IFERROR(__xludf.DUMMYFUNCTION("iferror(if(B988="""", ,filter('IDR Import'!D:D,'IDR Import'!A:A=B988,'IDR Import'!C:C=A988)),)"),"")</f>
        <v/>
      </c>
      <c r="I988" s="58"/>
      <c r="J988" s="59" t="str">
        <f t="shared" si="1"/>
        <v/>
      </c>
    </row>
    <row r="989">
      <c r="A989" s="55"/>
      <c r="B989" s="55"/>
      <c r="C989" s="60"/>
      <c r="D989" s="54"/>
      <c r="E989" s="55"/>
      <c r="F989" s="56"/>
      <c r="G989" s="57"/>
      <c r="H989" s="58" t="str">
        <f>IFERROR(__xludf.DUMMYFUNCTION("iferror(if(B989="""", ,filter('IDR Import'!D:D,'IDR Import'!A:A=B989,'IDR Import'!C:C=A989)),)"),"")</f>
        <v/>
      </c>
      <c r="I989" s="58"/>
      <c r="J989" s="59" t="str">
        <f t="shared" si="1"/>
        <v/>
      </c>
    </row>
    <row r="990">
      <c r="A990" s="55"/>
      <c r="B990" s="55"/>
      <c r="C990" s="60"/>
      <c r="D990" s="54"/>
      <c r="E990" s="55"/>
      <c r="F990" s="56"/>
      <c r="G990" s="57"/>
      <c r="H990" s="58" t="str">
        <f>IFERROR(__xludf.DUMMYFUNCTION("iferror(if(B990="""", ,filter('IDR Import'!D:D,'IDR Import'!A:A=B990,'IDR Import'!C:C=A990)),)"),"")</f>
        <v/>
      </c>
      <c r="I990" s="58"/>
      <c r="J990" s="59" t="str">
        <f t="shared" si="1"/>
        <v/>
      </c>
    </row>
    <row r="991">
      <c r="A991" s="55"/>
      <c r="B991" s="55"/>
      <c r="C991" s="60"/>
      <c r="D991" s="54"/>
      <c r="E991" s="55"/>
      <c r="F991" s="56"/>
      <c r="G991" s="57"/>
      <c r="H991" s="58" t="str">
        <f>IFERROR(__xludf.DUMMYFUNCTION("iferror(if(B991="""", ,filter('IDR Import'!D:D,'IDR Import'!A:A=B991,'IDR Import'!C:C=A991)),)"),"")</f>
        <v/>
      </c>
      <c r="I991" s="58"/>
      <c r="J991" s="59" t="str">
        <f t="shared" si="1"/>
        <v/>
      </c>
    </row>
    <row r="992">
      <c r="A992" s="55"/>
      <c r="B992" s="55"/>
      <c r="C992" s="60"/>
      <c r="D992" s="54"/>
      <c r="E992" s="55"/>
      <c r="F992" s="56"/>
      <c r="G992" s="57"/>
      <c r="H992" s="58" t="str">
        <f>IFERROR(__xludf.DUMMYFUNCTION("iferror(if(B992="""", ,filter('IDR Import'!D:D,'IDR Import'!A:A=B992,'IDR Import'!C:C=A992)),)"),"")</f>
        <v/>
      </c>
      <c r="I992" s="58"/>
      <c r="J992" s="59" t="str">
        <f t="shared" si="1"/>
        <v/>
      </c>
    </row>
    <row r="993">
      <c r="A993" s="55"/>
      <c r="B993" s="55"/>
      <c r="C993" s="60"/>
      <c r="D993" s="54"/>
      <c r="E993" s="55"/>
      <c r="F993" s="56"/>
      <c r="G993" s="57"/>
      <c r="H993" s="58" t="str">
        <f>IFERROR(__xludf.DUMMYFUNCTION("iferror(if(B993="""", ,filter('IDR Import'!D:D,'IDR Import'!A:A=B993,'IDR Import'!C:C=A993)),)"),"")</f>
        <v/>
      </c>
      <c r="I993" s="58"/>
      <c r="J993" s="59" t="str">
        <f t="shared" si="1"/>
        <v/>
      </c>
    </row>
    <row r="994">
      <c r="A994" s="55"/>
      <c r="B994" s="55"/>
      <c r="C994" s="60"/>
      <c r="D994" s="54"/>
      <c r="E994" s="55"/>
      <c r="F994" s="56"/>
      <c r="G994" s="57"/>
      <c r="H994" s="58" t="str">
        <f>IFERROR(__xludf.DUMMYFUNCTION("iferror(if(B994="""", ,filter('IDR Import'!D:D,'IDR Import'!A:A=B994,'IDR Import'!C:C=A994)),)"),"")</f>
        <v/>
      </c>
      <c r="I994" s="58"/>
      <c r="J994" s="59" t="str">
        <f t="shared" si="1"/>
        <v/>
      </c>
    </row>
    <row r="995">
      <c r="A995" s="55"/>
      <c r="B995" s="55"/>
      <c r="C995" s="60"/>
      <c r="D995" s="54"/>
      <c r="E995" s="55"/>
      <c r="F995" s="56"/>
      <c r="G995" s="57"/>
      <c r="H995" s="58" t="str">
        <f>IFERROR(__xludf.DUMMYFUNCTION("iferror(if(B995="""", ,filter('IDR Import'!D:D,'IDR Import'!A:A=B995,'IDR Import'!C:C=A995)),)"),"")</f>
        <v/>
      </c>
      <c r="I995" s="58"/>
      <c r="J995" s="59" t="str">
        <f t="shared" si="1"/>
        <v/>
      </c>
    </row>
    <row r="996">
      <c r="A996" s="55"/>
      <c r="B996" s="55"/>
      <c r="C996" s="60"/>
      <c r="D996" s="54"/>
      <c r="E996" s="55"/>
      <c r="F996" s="56"/>
      <c r="G996" s="57"/>
      <c r="H996" s="58" t="str">
        <f>IFERROR(__xludf.DUMMYFUNCTION("iferror(if(B996="""", ,filter('IDR Import'!D:D,'IDR Import'!A:A=B996,'IDR Import'!C:C=A996)),)"),"")</f>
        <v/>
      </c>
      <c r="I996" s="58"/>
      <c r="J996" s="59" t="str">
        <f t="shared" si="1"/>
        <v/>
      </c>
    </row>
    <row r="997">
      <c r="A997" s="55"/>
      <c r="B997" s="55"/>
      <c r="C997" s="60"/>
      <c r="D997" s="54"/>
      <c r="E997" s="55"/>
      <c r="F997" s="56"/>
      <c r="G997" s="57"/>
      <c r="H997" s="58" t="str">
        <f>IFERROR(__xludf.DUMMYFUNCTION("iferror(if(B997="""", ,filter('IDR Import'!D:D,'IDR Import'!A:A=B997,'IDR Import'!C:C=A997)),)"),"")</f>
        <v/>
      </c>
      <c r="I997" s="58"/>
      <c r="J997" s="59" t="str">
        <f t="shared" si="1"/>
        <v/>
      </c>
    </row>
    <row r="998">
      <c r="A998" s="55"/>
      <c r="B998" s="55"/>
      <c r="C998" s="60"/>
      <c r="D998" s="54"/>
      <c r="E998" s="55"/>
      <c r="F998" s="56"/>
      <c r="G998" s="57"/>
      <c r="H998" s="58" t="str">
        <f>IFERROR(__xludf.DUMMYFUNCTION("iferror(if(B998="""", ,filter('IDR Import'!D:D,'IDR Import'!A:A=B998,'IDR Import'!C:C=A998)),)"),"")</f>
        <v/>
      </c>
      <c r="I998" s="58"/>
      <c r="J998" s="59" t="str">
        <f t="shared" si="1"/>
        <v/>
      </c>
    </row>
    <row r="999">
      <c r="A999" s="55"/>
      <c r="B999" s="55"/>
      <c r="C999" s="60"/>
      <c r="D999" s="54"/>
      <c r="E999" s="55"/>
      <c r="F999" s="56"/>
      <c r="G999" s="57"/>
      <c r="H999" s="58" t="str">
        <f>IFERROR(__xludf.DUMMYFUNCTION("iferror(if(B999="""", ,filter('IDR Import'!D:D,'IDR Import'!A:A=B999,'IDR Import'!C:C=A999)),)"),"")</f>
        <v/>
      </c>
      <c r="I999" s="58"/>
      <c r="J999" s="59" t="str">
        <f t="shared" si="1"/>
        <v/>
      </c>
    </row>
    <row r="1000">
      <c r="A1000" s="55"/>
      <c r="B1000" s="55"/>
      <c r="C1000" s="60"/>
      <c r="D1000" s="54"/>
      <c r="E1000" s="55"/>
      <c r="F1000" s="56"/>
      <c r="G1000" s="57"/>
      <c r="H1000" s="58" t="str">
        <f>IFERROR(__xludf.DUMMYFUNCTION("iferror(if(B1000="""", ,filter('IDR Import'!D:D,'IDR Import'!A:A=B1000,'IDR Import'!C:C=A1000)),)"),"")</f>
        <v/>
      </c>
      <c r="I1000" s="58"/>
      <c r="J1000" s="59" t="str">
        <f t="shared" si="1"/>
        <v/>
      </c>
    </row>
    <row r="1001">
      <c r="A1001" s="55"/>
      <c r="B1001" s="55"/>
      <c r="C1001" s="60"/>
      <c r="D1001" s="54"/>
      <c r="E1001" s="55"/>
      <c r="F1001" s="62"/>
      <c r="G1001" s="57"/>
      <c r="H1001" s="58" t="str">
        <f>IFERROR(__xludf.DUMMYFUNCTION("iferror(if(B1001="""", ,filter('IDR Import'!D:D,'IDR Import'!A:A=B1001,'IDR Import'!C:C=A1001)),)"),"")</f>
        <v/>
      </c>
      <c r="I1001" s="58"/>
      <c r="J1001" s="59" t="str">
        <f t="shared" si="1"/>
        <v/>
      </c>
    </row>
    <row r="1002">
      <c r="A1002" s="55"/>
      <c r="B1002" s="55"/>
      <c r="C1002" s="60"/>
      <c r="D1002" s="54"/>
      <c r="E1002" s="55"/>
      <c r="F1002" s="62"/>
      <c r="G1002" s="57"/>
      <c r="H1002" s="58" t="str">
        <f>IFERROR(__xludf.DUMMYFUNCTION("iferror(if(B1002="""", ,filter('IDR Import'!D:D,'IDR Import'!A:A=B1002,'IDR Import'!C:C=A1002)),)"),"")</f>
        <v/>
      </c>
      <c r="I1002" s="58"/>
      <c r="J1002" s="59" t="str">
        <f t="shared" si="1"/>
        <v/>
      </c>
    </row>
    <row r="1003">
      <c r="A1003" s="55"/>
      <c r="B1003" s="55"/>
      <c r="C1003" s="60"/>
      <c r="D1003" s="54"/>
      <c r="E1003" s="55"/>
      <c r="F1003" s="62"/>
      <c r="G1003" s="57"/>
      <c r="H1003" s="58" t="str">
        <f>IFERROR(__xludf.DUMMYFUNCTION("iferror(if(B1003="""", ,filter('IDR Import'!D:D,'IDR Import'!A:A=B1003,'IDR Import'!C:C=A1003)),)"),"")</f>
        <v/>
      </c>
      <c r="I1003" s="58"/>
      <c r="J1003" s="59" t="str">
        <f t="shared" si="1"/>
        <v/>
      </c>
    </row>
    <row r="1004">
      <c r="A1004" s="55"/>
      <c r="B1004" s="55"/>
      <c r="C1004" s="60"/>
      <c r="D1004" s="54"/>
      <c r="E1004" s="55"/>
      <c r="F1004" s="62"/>
      <c r="G1004" s="57"/>
      <c r="H1004" s="58" t="str">
        <f>IFERROR(__xludf.DUMMYFUNCTION("iferror(if(B1004="""", ,filter('IDR Import'!D:D,'IDR Import'!A:A=B1004,'IDR Import'!C:C=A1004)),)"),"")</f>
        <v/>
      </c>
      <c r="I1004" s="58"/>
      <c r="J1004" s="59" t="str">
        <f t="shared" si="1"/>
        <v/>
      </c>
    </row>
    <row r="1005">
      <c r="A1005" s="55"/>
      <c r="B1005" s="55"/>
      <c r="C1005" s="60"/>
      <c r="D1005" s="54"/>
      <c r="E1005" s="55"/>
      <c r="F1005" s="62"/>
      <c r="G1005" s="57"/>
      <c r="H1005" s="58" t="str">
        <f>IFERROR(__xludf.DUMMYFUNCTION("iferror(if(B1005="""", ,filter('IDR Import'!D:D,'IDR Import'!A:A=B1005,'IDR Import'!C:C=A1005)),)"),"")</f>
        <v/>
      </c>
      <c r="I1005" s="58"/>
      <c r="J1005" s="59" t="str">
        <f t="shared" si="1"/>
        <v/>
      </c>
    </row>
    <row r="1006">
      <c r="A1006" s="55"/>
      <c r="B1006" s="55"/>
      <c r="C1006" s="60"/>
      <c r="D1006" s="54"/>
      <c r="E1006" s="55"/>
      <c r="F1006" s="62"/>
      <c r="G1006" s="57"/>
      <c r="H1006" s="58" t="str">
        <f>IFERROR(__xludf.DUMMYFUNCTION("iferror(if(B1006="""", ,filter('IDR Import'!D:D,'IDR Import'!A:A=B1006,'IDR Import'!C:C=A1006)),)"),"")</f>
        <v/>
      </c>
      <c r="I1006" s="58"/>
      <c r="J1006" s="59" t="str">
        <f t="shared" si="1"/>
        <v/>
      </c>
    </row>
    <row r="1007">
      <c r="A1007" s="55"/>
      <c r="B1007" s="55"/>
      <c r="C1007" s="60"/>
      <c r="D1007" s="54"/>
      <c r="E1007" s="55"/>
      <c r="F1007" s="62"/>
      <c r="G1007" s="57"/>
      <c r="H1007" s="58" t="str">
        <f>IFERROR(__xludf.DUMMYFUNCTION("iferror(if(B1007="""", ,filter('IDR Import'!D:D,'IDR Import'!A:A=B1007,'IDR Import'!C:C=A1007)),)"),"")</f>
        <v/>
      </c>
      <c r="I1007" s="58"/>
      <c r="J1007" s="59" t="str">
        <f t="shared" si="1"/>
        <v/>
      </c>
    </row>
    <row r="1008">
      <c r="A1008" s="55"/>
      <c r="B1008" s="55"/>
      <c r="C1008" s="60"/>
      <c r="D1008" s="54"/>
      <c r="E1008" s="55"/>
      <c r="F1008" s="62"/>
      <c r="G1008" s="57"/>
      <c r="H1008" s="58" t="str">
        <f>IFERROR(__xludf.DUMMYFUNCTION("iferror(if(B1008="""", ,filter('IDR Import'!D:D,'IDR Import'!A:A=B1008,'IDR Import'!C:C=A1008)),)"),"")</f>
        <v/>
      </c>
      <c r="I1008" s="58"/>
      <c r="J1008" s="59" t="str">
        <f t="shared" si="1"/>
        <v/>
      </c>
    </row>
    <row r="1009">
      <c r="A1009" s="55"/>
      <c r="B1009" s="55"/>
      <c r="C1009" s="60"/>
      <c r="D1009" s="54"/>
      <c r="E1009" s="55"/>
      <c r="F1009" s="62"/>
      <c r="G1009" s="57"/>
      <c r="H1009" s="58" t="str">
        <f>IFERROR(__xludf.DUMMYFUNCTION("iferror(if(B1009="""", ,filter('IDR Import'!D:D,'IDR Import'!A:A=B1009,'IDR Import'!C:C=A1009)),)"),"")</f>
        <v/>
      </c>
      <c r="I1009" s="58"/>
      <c r="J1009" s="59" t="str">
        <f t="shared" si="1"/>
        <v/>
      </c>
    </row>
    <row r="1010">
      <c r="A1010" s="55"/>
      <c r="B1010" s="55"/>
      <c r="C1010" s="60"/>
      <c r="D1010" s="54"/>
      <c r="E1010" s="55"/>
      <c r="F1010" s="62"/>
      <c r="G1010" s="57"/>
      <c r="H1010" s="58" t="str">
        <f>IFERROR(__xludf.DUMMYFUNCTION("iferror(if(B1010="""", ,filter('IDR Import'!D:D,'IDR Import'!A:A=B1010,'IDR Import'!C:C=A1010)),)"),"")</f>
        <v/>
      </c>
      <c r="I1010" s="58"/>
      <c r="J1010" s="59" t="str">
        <f t="shared" si="1"/>
        <v/>
      </c>
    </row>
    <row r="1011">
      <c r="A1011" s="55"/>
      <c r="B1011" s="55"/>
      <c r="C1011" s="60"/>
      <c r="D1011" s="54"/>
      <c r="E1011" s="55"/>
      <c r="F1011" s="62"/>
      <c r="G1011" s="57"/>
      <c r="H1011" s="58" t="str">
        <f>IFERROR(__xludf.DUMMYFUNCTION("iferror(if(B1011="""", ,filter('IDR Import'!D:D,'IDR Import'!A:A=B1011,'IDR Import'!C:C=A1011)),)"),"")</f>
        <v/>
      </c>
      <c r="I1011" s="58"/>
      <c r="J1011" s="59" t="str">
        <f t="shared" si="1"/>
        <v/>
      </c>
    </row>
    <row r="1012">
      <c r="A1012" s="55"/>
      <c r="B1012" s="55"/>
      <c r="C1012" s="60"/>
      <c r="D1012" s="54"/>
      <c r="E1012" s="55"/>
      <c r="F1012" s="62"/>
      <c r="G1012" s="57"/>
      <c r="H1012" s="58" t="str">
        <f>IFERROR(__xludf.DUMMYFUNCTION("iferror(if(B1012="""", ,filter('IDR Import'!D:D,'IDR Import'!A:A=B1012,'IDR Import'!C:C=A1012)),)"),"")</f>
        <v/>
      </c>
      <c r="I1012" s="58"/>
      <c r="J1012" s="59" t="str">
        <f t="shared" si="1"/>
        <v/>
      </c>
    </row>
    <row r="1013">
      <c r="A1013" s="55"/>
      <c r="B1013" s="55"/>
      <c r="C1013" s="60"/>
      <c r="D1013" s="54"/>
      <c r="E1013" s="55"/>
      <c r="F1013" s="62"/>
      <c r="G1013" s="57"/>
      <c r="H1013" s="58" t="str">
        <f>IFERROR(__xludf.DUMMYFUNCTION("iferror(if(B1013="""", ,filter('IDR Import'!D:D,'IDR Import'!A:A=B1013,'IDR Import'!C:C=A1013)),)"),"")</f>
        <v/>
      </c>
      <c r="I1013" s="58"/>
      <c r="J1013" s="59" t="str">
        <f t="shared" si="1"/>
        <v/>
      </c>
    </row>
    <row r="1014">
      <c r="A1014" s="55"/>
      <c r="B1014" s="55"/>
      <c r="C1014" s="60"/>
      <c r="D1014" s="54"/>
      <c r="E1014" s="55"/>
      <c r="F1014" s="62"/>
      <c r="G1014" s="57"/>
      <c r="H1014" s="58" t="str">
        <f>IFERROR(__xludf.DUMMYFUNCTION("iferror(if(B1014="""", ,filter('IDR Import'!D:D,'IDR Import'!A:A=B1014,'IDR Import'!C:C=A1014)),)"),"")</f>
        <v/>
      </c>
      <c r="I1014" s="58"/>
      <c r="J1014" s="59" t="str">
        <f t="shared" si="1"/>
        <v/>
      </c>
    </row>
    <row r="1015">
      <c r="A1015" s="55"/>
      <c r="B1015" s="55"/>
      <c r="C1015" s="60"/>
      <c r="D1015" s="54"/>
      <c r="E1015" s="55"/>
      <c r="F1015" s="62"/>
      <c r="G1015" s="57"/>
      <c r="H1015" s="58" t="str">
        <f>IFERROR(__xludf.DUMMYFUNCTION("iferror(if(B1015="""", ,filter('IDR Import'!D:D,'IDR Import'!A:A=B1015,'IDR Import'!C:C=A1015)),)"),"")</f>
        <v/>
      </c>
      <c r="I1015" s="58"/>
      <c r="J1015" s="59" t="str">
        <f t="shared" si="1"/>
        <v/>
      </c>
    </row>
    <row r="1016">
      <c r="A1016" s="55"/>
      <c r="B1016" s="55"/>
      <c r="C1016" s="60"/>
      <c r="D1016" s="54"/>
      <c r="E1016" s="55"/>
      <c r="F1016" s="62"/>
      <c r="G1016" s="57"/>
      <c r="H1016" s="58" t="str">
        <f>IFERROR(__xludf.DUMMYFUNCTION("iferror(if(B1016="""", ,filter('IDR Import'!D:D,'IDR Import'!A:A=B1016,'IDR Import'!C:C=A1016)),)"),"")</f>
        <v/>
      </c>
      <c r="I1016" s="58"/>
      <c r="J1016" s="59" t="str">
        <f t="shared" si="1"/>
        <v/>
      </c>
    </row>
    <row r="1017">
      <c r="A1017" s="55"/>
      <c r="B1017" s="55"/>
      <c r="C1017" s="60"/>
      <c r="D1017" s="54"/>
      <c r="E1017" s="55"/>
      <c r="F1017" s="62"/>
      <c r="G1017" s="57"/>
      <c r="H1017" s="58" t="str">
        <f>IFERROR(__xludf.DUMMYFUNCTION("iferror(if(B1017="""", ,filter('IDR Import'!D:D,'IDR Import'!A:A=B1017,'IDR Import'!C:C=A1017)),)"),"")</f>
        <v/>
      </c>
      <c r="I1017" s="58"/>
      <c r="J1017" s="59" t="str">
        <f t="shared" si="1"/>
        <v/>
      </c>
    </row>
    <row r="1018">
      <c r="A1018" s="55"/>
      <c r="B1018" s="55"/>
      <c r="C1018" s="60"/>
      <c r="D1018" s="54"/>
      <c r="E1018" s="55"/>
      <c r="F1018" s="62"/>
      <c r="G1018" s="57"/>
      <c r="H1018" s="58" t="str">
        <f>IFERROR(__xludf.DUMMYFUNCTION("iferror(if(B1018="""", ,filter('IDR Import'!D:D,'IDR Import'!A:A=B1018,'IDR Import'!C:C=A1018)),)"),"")</f>
        <v/>
      </c>
      <c r="I1018" s="58"/>
      <c r="J1018" s="59" t="str">
        <f t="shared" si="1"/>
        <v/>
      </c>
    </row>
    <row r="1019">
      <c r="A1019" s="55"/>
      <c r="B1019" s="55"/>
      <c r="C1019" s="60"/>
      <c r="D1019" s="54"/>
      <c r="E1019" s="55"/>
      <c r="F1019" s="62"/>
      <c r="G1019" s="57"/>
      <c r="H1019" s="58" t="str">
        <f>IFERROR(__xludf.DUMMYFUNCTION("iferror(if(B1019="""", ,filter('IDR Import'!D:D,'IDR Import'!A:A=B1019,'IDR Import'!C:C=A1019)),)"),"")</f>
        <v/>
      </c>
      <c r="I1019" s="58"/>
      <c r="J1019" s="59" t="str">
        <f t="shared" si="1"/>
        <v/>
      </c>
    </row>
    <row r="1020">
      <c r="A1020" s="55"/>
      <c r="B1020" s="55"/>
      <c r="C1020" s="60"/>
      <c r="D1020" s="54"/>
      <c r="E1020" s="55"/>
      <c r="F1020" s="62"/>
      <c r="G1020" s="57"/>
      <c r="H1020" s="58" t="str">
        <f>IFERROR(__xludf.DUMMYFUNCTION("iferror(if(B1020="""", ,filter('IDR Import'!D:D,'IDR Import'!A:A=B1020,'IDR Import'!C:C=A1020)),)"),"")</f>
        <v/>
      </c>
      <c r="I1020" s="58"/>
      <c r="J1020" s="59" t="str">
        <f t="shared" si="1"/>
        <v/>
      </c>
    </row>
    <row r="1021">
      <c r="A1021" s="55"/>
      <c r="B1021" s="55"/>
      <c r="C1021" s="60"/>
      <c r="D1021" s="54"/>
      <c r="E1021" s="55"/>
      <c r="F1021" s="62"/>
      <c r="G1021" s="57"/>
      <c r="H1021" s="58" t="str">
        <f>IFERROR(__xludf.DUMMYFUNCTION("iferror(if(B1021="""", ,filter('IDR Import'!D:D,'IDR Import'!A:A=B1021,'IDR Import'!C:C=A1021)),)"),"")</f>
        <v/>
      </c>
      <c r="I1021" s="58"/>
      <c r="J1021" s="59" t="str">
        <f t="shared" si="1"/>
        <v/>
      </c>
    </row>
    <row r="1022">
      <c r="A1022" s="55"/>
      <c r="B1022" s="55"/>
      <c r="C1022" s="60"/>
      <c r="D1022" s="54"/>
      <c r="E1022" s="55"/>
      <c r="F1022" s="62"/>
      <c r="G1022" s="57"/>
      <c r="H1022" s="58" t="str">
        <f>IFERROR(__xludf.DUMMYFUNCTION("iferror(if(B1022="""", ,filter('IDR Import'!D:D,'IDR Import'!A:A=B1022,'IDR Import'!C:C=A1022)),)"),"")</f>
        <v/>
      </c>
      <c r="I1022" s="58"/>
      <c r="J1022" s="59" t="str">
        <f t="shared" si="1"/>
        <v/>
      </c>
    </row>
    <row r="1023">
      <c r="A1023" s="55"/>
      <c r="B1023" s="55"/>
      <c r="C1023" s="60"/>
      <c r="D1023" s="54"/>
      <c r="E1023" s="55"/>
      <c r="F1023" s="62"/>
      <c r="G1023" s="57"/>
      <c r="H1023" s="58" t="str">
        <f>IFERROR(__xludf.DUMMYFUNCTION("iferror(if(B1023="""", ,filter('IDR Import'!D:D,'IDR Import'!A:A=B1023,'IDR Import'!C:C=A1023)),)"),"")</f>
        <v/>
      </c>
      <c r="I1023" s="58"/>
      <c r="J1023" s="59" t="str">
        <f t="shared" si="1"/>
        <v/>
      </c>
    </row>
    <row r="1024">
      <c r="A1024" s="55"/>
      <c r="B1024" s="55"/>
      <c r="C1024" s="60"/>
      <c r="D1024" s="54"/>
      <c r="E1024" s="55"/>
      <c r="F1024" s="62"/>
      <c r="G1024" s="57"/>
      <c r="H1024" s="58" t="str">
        <f>IFERROR(__xludf.DUMMYFUNCTION("iferror(if(B1024="""", ,filter('IDR Import'!D:D,'IDR Import'!A:A=B1024,'IDR Import'!C:C=A1024)),)"),"")</f>
        <v/>
      </c>
      <c r="I1024" s="58"/>
      <c r="J1024" s="59" t="str">
        <f t="shared" si="1"/>
        <v/>
      </c>
    </row>
    <row r="1025">
      <c r="A1025" s="55"/>
      <c r="B1025" s="55"/>
      <c r="C1025" s="60"/>
      <c r="D1025" s="54"/>
      <c r="E1025" s="55"/>
      <c r="F1025" s="62"/>
      <c r="G1025" s="57"/>
      <c r="H1025" s="58" t="str">
        <f>IFERROR(__xludf.DUMMYFUNCTION("iferror(if(B1025="""", ,filter('IDR Import'!D:D,'IDR Import'!A:A=B1025,'IDR Import'!C:C=A1025)),)"),"")</f>
        <v/>
      </c>
      <c r="I1025" s="58"/>
      <c r="J1025" s="59" t="str">
        <f t="shared" si="1"/>
        <v/>
      </c>
    </row>
    <row r="1026">
      <c r="A1026" s="55"/>
      <c r="B1026" s="55"/>
      <c r="C1026" s="60"/>
      <c r="D1026" s="54"/>
      <c r="E1026" s="55"/>
      <c r="F1026" s="62"/>
      <c r="G1026" s="57"/>
      <c r="H1026" s="58" t="str">
        <f>IFERROR(__xludf.DUMMYFUNCTION("iferror(if(B1026="""", ,filter('IDR Import'!D:D,'IDR Import'!A:A=B1026,'IDR Import'!C:C=A1026)),)"),"")</f>
        <v/>
      </c>
      <c r="I1026" s="58"/>
      <c r="J1026" s="59" t="str">
        <f t="shared" si="1"/>
        <v/>
      </c>
    </row>
    <row r="1027">
      <c r="A1027" s="55"/>
      <c r="B1027" s="55"/>
      <c r="C1027" s="60"/>
      <c r="D1027" s="54"/>
      <c r="E1027" s="55"/>
      <c r="F1027" s="62"/>
      <c r="G1027" s="57"/>
      <c r="H1027" s="58" t="str">
        <f>IFERROR(__xludf.DUMMYFUNCTION("iferror(if(B1027="""", ,filter('IDR Import'!D:D,'IDR Import'!A:A=B1027,'IDR Import'!C:C=A1027)),)"),"")</f>
        <v/>
      </c>
      <c r="I1027" s="58"/>
      <c r="J1027" s="59" t="str">
        <f t="shared" si="1"/>
        <v/>
      </c>
    </row>
    <row r="1028">
      <c r="A1028" s="55"/>
      <c r="B1028" s="55"/>
      <c r="C1028" s="60"/>
      <c r="D1028" s="54"/>
      <c r="E1028" s="55"/>
      <c r="F1028" s="62"/>
      <c r="G1028" s="57"/>
      <c r="H1028" s="58" t="str">
        <f>IFERROR(__xludf.DUMMYFUNCTION("iferror(if(B1028="""", ,filter('IDR Import'!D:D,'IDR Import'!A:A=B1028,'IDR Import'!C:C=A1028)),)"),"")</f>
        <v/>
      </c>
      <c r="I1028" s="58"/>
      <c r="J1028" s="59" t="str">
        <f t="shared" si="1"/>
        <v/>
      </c>
    </row>
    <row r="1029">
      <c r="A1029" s="55"/>
      <c r="B1029" s="55"/>
      <c r="C1029" s="60"/>
      <c r="D1029" s="54"/>
      <c r="E1029" s="55"/>
      <c r="F1029" s="62"/>
      <c r="G1029" s="57"/>
      <c r="H1029" s="58" t="str">
        <f>IFERROR(__xludf.DUMMYFUNCTION("iferror(if(B1029="""", ,filter('IDR Import'!D:D,'IDR Import'!A:A=B1029,'IDR Import'!C:C=A1029)),)"),"")</f>
        <v/>
      </c>
      <c r="I1029" s="58"/>
      <c r="J1029" s="59" t="str">
        <f t="shared" si="1"/>
        <v/>
      </c>
    </row>
    <row r="1030">
      <c r="A1030" s="55"/>
      <c r="B1030" s="55"/>
      <c r="C1030" s="60"/>
      <c r="D1030" s="54"/>
      <c r="E1030" s="55"/>
      <c r="F1030" s="62"/>
      <c r="G1030" s="57"/>
      <c r="H1030" s="58" t="str">
        <f>IFERROR(__xludf.DUMMYFUNCTION("iferror(if(B1030="""", ,filter('IDR Import'!D:D,'IDR Import'!A:A=B1030,'IDR Import'!C:C=A1030)),)"),"")</f>
        <v/>
      </c>
      <c r="I1030" s="58"/>
      <c r="J1030" s="59" t="str">
        <f t="shared" si="1"/>
        <v/>
      </c>
    </row>
    <row r="1031">
      <c r="A1031" s="55"/>
      <c r="B1031" s="55"/>
      <c r="C1031" s="60"/>
      <c r="D1031" s="54"/>
      <c r="E1031" s="55"/>
      <c r="F1031" s="62"/>
      <c r="G1031" s="57"/>
      <c r="H1031" s="58" t="str">
        <f>IFERROR(__xludf.DUMMYFUNCTION("iferror(if(B1031="""", ,filter('IDR Import'!D:D,'IDR Import'!A:A=B1031,'IDR Import'!C:C=A1031)),)"),"")</f>
        <v/>
      </c>
      <c r="I1031" s="58"/>
      <c r="J1031" s="59" t="str">
        <f t="shared" si="1"/>
        <v/>
      </c>
    </row>
    <row r="1032">
      <c r="A1032" s="55"/>
      <c r="B1032" s="55"/>
      <c r="C1032" s="60"/>
      <c r="D1032" s="54"/>
      <c r="E1032" s="55"/>
      <c r="F1032" s="62"/>
      <c r="G1032" s="57"/>
      <c r="H1032" s="58" t="str">
        <f>IFERROR(__xludf.DUMMYFUNCTION("iferror(if(B1032="""", ,filter('IDR Import'!D:D,'IDR Import'!A:A=B1032,'IDR Import'!C:C=A1032)),)"),"")</f>
        <v/>
      </c>
      <c r="I1032" s="58"/>
      <c r="J1032" s="59" t="str">
        <f t="shared" si="1"/>
        <v/>
      </c>
    </row>
    <row r="1033">
      <c r="A1033" s="55"/>
      <c r="B1033" s="55"/>
      <c r="C1033" s="60"/>
      <c r="D1033" s="54"/>
      <c r="E1033" s="55"/>
      <c r="F1033" s="62"/>
      <c r="G1033" s="57"/>
      <c r="H1033" s="58" t="str">
        <f>IFERROR(__xludf.DUMMYFUNCTION("iferror(if(B1033="""", ,filter('IDR Import'!D:D,'IDR Import'!A:A=B1033,'IDR Import'!C:C=A1033)),)"),"")</f>
        <v/>
      </c>
      <c r="I1033" s="58"/>
      <c r="J1033" s="59" t="str">
        <f t="shared" si="1"/>
        <v/>
      </c>
    </row>
    <row r="1034">
      <c r="A1034" s="55"/>
      <c r="B1034" s="55"/>
      <c r="C1034" s="60"/>
      <c r="D1034" s="54"/>
      <c r="E1034" s="55"/>
      <c r="F1034" s="62"/>
      <c r="G1034" s="57"/>
      <c r="H1034" s="58" t="str">
        <f>IFERROR(__xludf.DUMMYFUNCTION("iferror(if(B1034="""", ,filter('IDR Import'!D:D,'IDR Import'!A:A=B1034,'IDR Import'!C:C=A1034)),)"),"")</f>
        <v/>
      </c>
      <c r="I1034" s="58"/>
      <c r="J1034" s="59" t="str">
        <f t="shared" si="1"/>
        <v/>
      </c>
    </row>
    <row r="1035">
      <c r="A1035" s="55"/>
      <c r="B1035" s="55"/>
      <c r="C1035" s="60"/>
      <c r="D1035" s="54"/>
      <c r="E1035" s="55"/>
      <c r="F1035" s="62"/>
      <c r="G1035" s="57"/>
      <c r="H1035" s="58" t="str">
        <f>IFERROR(__xludf.DUMMYFUNCTION("iferror(if(B1035="""", ,filter('IDR Import'!D:D,'IDR Import'!A:A=B1035,'IDR Import'!C:C=A1035)),)"),"")</f>
        <v/>
      </c>
      <c r="I1035" s="58"/>
      <c r="J1035" s="59" t="str">
        <f t="shared" si="1"/>
        <v/>
      </c>
    </row>
    <row r="1036">
      <c r="A1036" s="55"/>
      <c r="B1036" s="55"/>
      <c r="C1036" s="60"/>
      <c r="D1036" s="54"/>
      <c r="E1036" s="55"/>
      <c r="F1036" s="62"/>
      <c r="G1036" s="57"/>
      <c r="H1036" s="58" t="str">
        <f>IFERROR(__xludf.DUMMYFUNCTION("iferror(if(B1036="""", ,filter('IDR Import'!D:D,'IDR Import'!A:A=B1036,'IDR Import'!C:C=A1036)),)"),"")</f>
        <v/>
      </c>
      <c r="I1036" s="58"/>
      <c r="J1036" s="59" t="str">
        <f t="shared" si="1"/>
        <v/>
      </c>
    </row>
    <row r="1037">
      <c r="A1037" s="55"/>
      <c r="B1037" s="55"/>
      <c r="C1037" s="60"/>
      <c r="D1037" s="54"/>
      <c r="E1037" s="55"/>
      <c r="F1037" s="62"/>
      <c r="G1037" s="57"/>
      <c r="H1037" s="58" t="str">
        <f>IFERROR(__xludf.DUMMYFUNCTION("iferror(if(B1037="""", ,filter('IDR Import'!D:D,'IDR Import'!A:A=B1037,'IDR Import'!C:C=A1037)),)"),"")</f>
        <v/>
      </c>
      <c r="I1037" s="58"/>
      <c r="J1037" s="59" t="str">
        <f t="shared" si="1"/>
        <v/>
      </c>
    </row>
    <row r="1038">
      <c r="A1038" s="55"/>
      <c r="B1038" s="55"/>
      <c r="C1038" s="60"/>
      <c r="D1038" s="54"/>
      <c r="E1038" s="55"/>
      <c r="F1038" s="62"/>
      <c r="G1038" s="57"/>
      <c r="H1038" s="58" t="str">
        <f>IFERROR(__xludf.DUMMYFUNCTION("iferror(if(B1038="""", ,filter('IDR Import'!D:D,'IDR Import'!A:A=B1038,'IDR Import'!C:C=A1038)),)"),"")</f>
        <v/>
      </c>
      <c r="I1038" s="58"/>
      <c r="J1038" s="59" t="str">
        <f t="shared" si="1"/>
        <v/>
      </c>
    </row>
    <row r="1039">
      <c r="A1039" s="55"/>
      <c r="B1039" s="55"/>
      <c r="C1039" s="60"/>
      <c r="D1039" s="54"/>
      <c r="E1039" s="55"/>
      <c r="F1039" s="62"/>
      <c r="G1039" s="57"/>
      <c r="H1039" s="58" t="str">
        <f>IFERROR(__xludf.DUMMYFUNCTION("iferror(if(B1039="""", ,filter('IDR Import'!D:D,'IDR Import'!A:A=B1039,'IDR Import'!C:C=A1039)),)"),"")</f>
        <v/>
      </c>
      <c r="I1039" s="58"/>
      <c r="J1039" s="59" t="str">
        <f t="shared" si="1"/>
        <v/>
      </c>
    </row>
    <row r="1040">
      <c r="A1040" s="55"/>
      <c r="B1040" s="55"/>
      <c r="C1040" s="60"/>
      <c r="D1040" s="54"/>
      <c r="E1040" s="55"/>
      <c r="F1040" s="62"/>
      <c r="G1040" s="57"/>
      <c r="H1040" s="58" t="str">
        <f>IFERROR(__xludf.DUMMYFUNCTION("iferror(if(B1040="""", ,filter('IDR Import'!D:D,'IDR Import'!A:A=B1040,'IDR Import'!C:C=A1040)),)"),"")</f>
        <v/>
      </c>
      <c r="I1040" s="58"/>
      <c r="J1040" s="59" t="str">
        <f t="shared" si="1"/>
        <v/>
      </c>
    </row>
    <row r="1041">
      <c r="A1041" s="55"/>
      <c r="B1041" s="55"/>
      <c r="C1041" s="60"/>
      <c r="D1041" s="54"/>
      <c r="E1041" s="55"/>
      <c r="F1041" s="62"/>
      <c r="G1041" s="57"/>
      <c r="H1041" s="58" t="str">
        <f>IFERROR(__xludf.DUMMYFUNCTION("iferror(if(B1041="""", ,filter('IDR Import'!D:D,'IDR Import'!A:A=B1041,'IDR Import'!C:C=A1041)),)"),"")</f>
        <v/>
      </c>
      <c r="I1041" s="58"/>
      <c r="J1041" s="59" t="str">
        <f t="shared" si="1"/>
        <v/>
      </c>
    </row>
    <row r="1042">
      <c r="A1042" s="55"/>
      <c r="B1042" s="55"/>
      <c r="C1042" s="60"/>
      <c r="D1042" s="54"/>
      <c r="E1042" s="55"/>
      <c r="F1042" s="62"/>
      <c r="G1042" s="57"/>
      <c r="H1042" s="58" t="str">
        <f>IFERROR(__xludf.DUMMYFUNCTION("iferror(if(B1042="""", ,filter('IDR Import'!D:D,'IDR Import'!A:A=B1042,'IDR Import'!C:C=A1042)),)"),"")</f>
        <v/>
      </c>
      <c r="I1042" s="58"/>
      <c r="J1042" s="59" t="str">
        <f t="shared" si="1"/>
        <v/>
      </c>
    </row>
    <row r="1043">
      <c r="A1043" s="55"/>
      <c r="B1043" s="55"/>
      <c r="C1043" s="60"/>
      <c r="D1043" s="54"/>
      <c r="E1043" s="55"/>
      <c r="F1043" s="62"/>
      <c r="G1043" s="57"/>
      <c r="H1043" s="58" t="str">
        <f>IFERROR(__xludf.DUMMYFUNCTION("iferror(if(B1043="""", ,filter('IDR Import'!D:D,'IDR Import'!A:A=B1043,'IDR Import'!C:C=A1043)),)"),"")</f>
        <v/>
      </c>
      <c r="I1043" s="58"/>
      <c r="J1043" s="59" t="str">
        <f t="shared" si="1"/>
        <v/>
      </c>
    </row>
    <row r="1044">
      <c r="A1044" s="55"/>
      <c r="B1044" s="55"/>
      <c r="C1044" s="60"/>
      <c r="D1044" s="54"/>
      <c r="E1044" s="55"/>
      <c r="F1044" s="62"/>
      <c r="G1044" s="57"/>
      <c r="H1044" s="58" t="str">
        <f>IFERROR(__xludf.DUMMYFUNCTION("iferror(if(B1044="""", ,filter('IDR Import'!D:D,'IDR Import'!A:A=B1044,'IDR Import'!C:C=A1044)),)"),"")</f>
        <v/>
      </c>
      <c r="I1044" s="58"/>
      <c r="J1044" s="59" t="str">
        <f t="shared" si="1"/>
        <v/>
      </c>
    </row>
    <row r="1045">
      <c r="A1045" s="55"/>
      <c r="B1045" s="55"/>
      <c r="C1045" s="60"/>
      <c r="D1045" s="54"/>
      <c r="E1045" s="55"/>
      <c r="F1045" s="62"/>
      <c r="G1045" s="57"/>
      <c r="H1045" s="58" t="str">
        <f>IFERROR(__xludf.DUMMYFUNCTION("iferror(if(B1045="""", ,filter('IDR Import'!D:D,'IDR Import'!A:A=B1045,'IDR Import'!C:C=A1045)),)"),"")</f>
        <v/>
      </c>
      <c r="I1045" s="58"/>
      <c r="J1045" s="59" t="str">
        <f t="shared" si="1"/>
        <v/>
      </c>
    </row>
    <row r="1046">
      <c r="A1046" s="55"/>
      <c r="B1046" s="55"/>
      <c r="C1046" s="60"/>
      <c r="D1046" s="54"/>
      <c r="E1046" s="55"/>
      <c r="F1046" s="62"/>
      <c r="G1046" s="57"/>
      <c r="H1046" s="58" t="str">
        <f>IFERROR(__xludf.DUMMYFUNCTION("iferror(if(B1046="""", ,filter('IDR Import'!D:D,'IDR Import'!A:A=B1046,'IDR Import'!C:C=A1046)),)"),"")</f>
        <v/>
      </c>
      <c r="I1046" s="58"/>
      <c r="J1046" s="59" t="str">
        <f t="shared" si="1"/>
        <v/>
      </c>
    </row>
    <row r="1047">
      <c r="A1047" s="55"/>
      <c r="B1047" s="55"/>
      <c r="C1047" s="60"/>
      <c r="D1047" s="54"/>
      <c r="E1047" s="55"/>
      <c r="F1047" s="62"/>
      <c r="G1047" s="57"/>
      <c r="H1047" s="58" t="str">
        <f>IFERROR(__xludf.DUMMYFUNCTION("iferror(if(B1047="""", ,filter('IDR Import'!D:D,'IDR Import'!A:A=B1047,'IDR Import'!C:C=A1047)),)"),"")</f>
        <v/>
      </c>
      <c r="I1047" s="58"/>
      <c r="J1047" s="59" t="str">
        <f t="shared" si="1"/>
        <v/>
      </c>
    </row>
    <row r="1048">
      <c r="A1048" s="55"/>
      <c r="B1048" s="55"/>
      <c r="C1048" s="60"/>
      <c r="D1048" s="54"/>
      <c r="E1048" s="55"/>
      <c r="F1048" s="62"/>
      <c r="G1048" s="57"/>
      <c r="H1048" s="58" t="str">
        <f>IFERROR(__xludf.DUMMYFUNCTION("iferror(if(B1048="""", ,filter('IDR Import'!D:D,'IDR Import'!A:A=B1048,'IDR Import'!C:C=A1048)),)"),"")</f>
        <v/>
      </c>
      <c r="I1048" s="58"/>
      <c r="J1048" s="59" t="str">
        <f t="shared" si="1"/>
        <v/>
      </c>
    </row>
    <row r="1049">
      <c r="A1049" s="55"/>
      <c r="B1049" s="55"/>
      <c r="C1049" s="60"/>
      <c r="D1049" s="54"/>
      <c r="E1049" s="55"/>
      <c r="F1049" s="62"/>
      <c r="G1049" s="57"/>
      <c r="H1049" s="58" t="str">
        <f>IFERROR(__xludf.DUMMYFUNCTION("iferror(if(B1049="""", ,filter('IDR Import'!D:D,'IDR Import'!A:A=B1049,'IDR Import'!C:C=A1049)),)"),"")</f>
        <v/>
      </c>
      <c r="I1049" s="58"/>
      <c r="J1049" s="59" t="str">
        <f t="shared" si="1"/>
        <v/>
      </c>
    </row>
    <row r="1050">
      <c r="A1050" s="55"/>
      <c r="B1050" s="55"/>
      <c r="C1050" s="60"/>
      <c r="D1050" s="54"/>
      <c r="E1050" s="55"/>
      <c r="F1050" s="62"/>
      <c r="G1050" s="57"/>
      <c r="H1050" s="58" t="str">
        <f>IFERROR(__xludf.DUMMYFUNCTION("iferror(if(B1050="""", ,filter('IDR Import'!D:D,'IDR Import'!A:A=B1050,'IDR Import'!C:C=A1050)),)"),"")</f>
        <v/>
      </c>
      <c r="I1050" s="58"/>
      <c r="J1050" s="59" t="str">
        <f t="shared" si="1"/>
        <v/>
      </c>
    </row>
    <row r="1051">
      <c r="A1051" s="55"/>
      <c r="B1051" s="55"/>
      <c r="C1051" s="60"/>
      <c r="D1051" s="54"/>
      <c r="E1051" s="55"/>
      <c r="F1051" s="62"/>
      <c r="G1051" s="57"/>
      <c r="H1051" s="58" t="str">
        <f>IFERROR(__xludf.DUMMYFUNCTION("iferror(if(B1051="""", ,filter('IDR Import'!D:D,'IDR Import'!A:A=B1051,'IDR Import'!C:C=A1051)),)"),"")</f>
        <v/>
      </c>
      <c r="I1051" s="58"/>
      <c r="J1051" s="59" t="str">
        <f t="shared" si="1"/>
        <v/>
      </c>
    </row>
    <row r="1052">
      <c r="A1052" s="55"/>
      <c r="B1052" s="55"/>
      <c r="C1052" s="60"/>
      <c r="D1052" s="54"/>
      <c r="E1052" s="55"/>
      <c r="F1052" s="62"/>
      <c r="G1052" s="57"/>
      <c r="H1052" s="58" t="str">
        <f>IFERROR(__xludf.DUMMYFUNCTION("iferror(if(B1052="""", ,filter('IDR Import'!D:D,'IDR Import'!A:A=B1052,'IDR Import'!C:C=A1052)),)"),"")</f>
        <v/>
      </c>
      <c r="I1052" s="58"/>
      <c r="J1052" s="59" t="str">
        <f t="shared" si="1"/>
        <v/>
      </c>
    </row>
    <row r="1053">
      <c r="A1053" s="55"/>
      <c r="B1053" s="55"/>
      <c r="C1053" s="60"/>
      <c r="D1053" s="54"/>
      <c r="E1053" s="55"/>
      <c r="F1053" s="62"/>
      <c r="G1053" s="57"/>
      <c r="H1053" s="58" t="str">
        <f>IFERROR(__xludf.DUMMYFUNCTION("iferror(if(B1053="""", ,filter('IDR Import'!D:D,'IDR Import'!A:A=B1053,'IDR Import'!C:C=A1053)),)"),"")</f>
        <v/>
      </c>
      <c r="I1053" s="58"/>
      <c r="J1053" s="59" t="str">
        <f t="shared" si="1"/>
        <v/>
      </c>
    </row>
    <row r="1054">
      <c r="A1054" s="55"/>
      <c r="B1054" s="55"/>
      <c r="C1054" s="60"/>
      <c r="D1054" s="54"/>
      <c r="E1054" s="55"/>
      <c r="F1054" s="62"/>
      <c r="G1054" s="57"/>
      <c r="H1054" s="58" t="str">
        <f>IFERROR(__xludf.DUMMYFUNCTION("iferror(if(B1054="""", ,filter('IDR Import'!D:D,'IDR Import'!A:A=B1054,'IDR Import'!C:C=A1054)),)"),"")</f>
        <v/>
      </c>
      <c r="I1054" s="58"/>
      <c r="J1054" s="59" t="str">
        <f t="shared" si="1"/>
        <v/>
      </c>
    </row>
    <row r="1055">
      <c r="A1055" s="55"/>
      <c r="B1055" s="55"/>
      <c r="C1055" s="60"/>
      <c r="D1055" s="54"/>
      <c r="E1055" s="55"/>
      <c r="F1055" s="62"/>
      <c r="G1055" s="57"/>
      <c r="H1055" s="58" t="str">
        <f>IFERROR(__xludf.DUMMYFUNCTION("iferror(if(B1055="""", ,filter('IDR Import'!D:D,'IDR Import'!A:A=B1055,'IDR Import'!C:C=A1055)),)"),"")</f>
        <v/>
      </c>
      <c r="I1055" s="58"/>
      <c r="J1055" s="59" t="str">
        <f t="shared" si="1"/>
        <v/>
      </c>
    </row>
    <row r="1056">
      <c r="A1056" s="55"/>
      <c r="B1056" s="55"/>
      <c r="C1056" s="60"/>
      <c r="D1056" s="54"/>
      <c r="E1056" s="55"/>
      <c r="F1056" s="62"/>
      <c r="G1056" s="57"/>
      <c r="H1056" s="58" t="str">
        <f>IFERROR(__xludf.DUMMYFUNCTION("iferror(if(B1056="""", ,filter('IDR Import'!D:D,'IDR Import'!A:A=B1056,'IDR Import'!C:C=A1056)),)"),"")</f>
        <v/>
      </c>
      <c r="I1056" s="58"/>
      <c r="J1056" s="59" t="str">
        <f t="shared" si="1"/>
        <v/>
      </c>
    </row>
    <row r="1057">
      <c r="A1057" s="55"/>
      <c r="B1057" s="55"/>
      <c r="C1057" s="60"/>
      <c r="D1057" s="54"/>
      <c r="E1057" s="55"/>
      <c r="F1057" s="62"/>
      <c r="G1057" s="57"/>
      <c r="H1057" s="58" t="str">
        <f>IFERROR(__xludf.DUMMYFUNCTION("iferror(if(B1057="""", ,filter('IDR Import'!D:D,'IDR Import'!A:A=B1057,'IDR Import'!C:C=A1057)),)"),"")</f>
        <v/>
      </c>
      <c r="I1057" s="58"/>
      <c r="J1057" s="59" t="str">
        <f t="shared" si="1"/>
        <v/>
      </c>
    </row>
    <row r="1058">
      <c r="A1058" s="55"/>
      <c r="B1058" s="55"/>
      <c r="C1058" s="60"/>
      <c r="D1058" s="54"/>
      <c r="E1058" s="55"/>
      <c r="F1058" s="62"/>
      <c r="G1058" s="57"/>
      <c r="H1058" s="58" t="str">
        <f>IFERROR(__xludf.DUMMYFUNCTION("iferror(if(B1058="""", ,filter('IDR Import'!D:D,'IDR Import'!A:A=B1058,'IDR Import'!C:C=A1058)),)"),"")</f>
        <v/>
      </c>
      <c r="I1058" s="58"/>
      <c r="J1058" s="59" t="str">
        <f t="shared" si="1"/>
        <v/>
      </c>
    </row>
    <row r="1059">
      <c r="A1059" s="55"/>
      <c r="B1059" s="55"/>
      <c r="C1059" s="60"/>
      <c r="D1059" s="54"/>
      <c r="E1059" s="55"/>
      <c r="F1059" s="62"/>
      <c r="G1059" s="57"/>
      <c r="H1059" s="58" t="str">
        <f>IFERROR(__xludf.DUMMYFUNCTION("iferror(if(B1059="""", ,filter('IDR Import'!D:D,'IDR Import'!A:A=B1059,'IDR Import'!C:C=A1059)),)"),"")</f>
        <v/>
      </c>
      <c r="I1059" s="58"/>
      <c r="J1059" s="59" t="str">
        <f t="shared" si="1"/>
        <v/>
      </c>
    </row>
    <row r="1060">
      <c r="A1060" s="55"/>
      <c r="B1060" s="55"/>
      <c r="C1060" s="60"/>
      <c r="D1060" s="54"/>
      <c r="E1060" s="55"/>
      <c r="F1060" s="62"/>
      <c r="G1060" s="57"/>
      <c r="H1060" s="58" t="str">
        <f>IFERROR(__xludf.DUMMYFUNCTION("iferror(if(B1060="""", ,filter('IDR Import'!D:D,'IDR Import'!A:A=B1060,'IDR Import'!C:C=A1060)),)"),"")</f>
        <v/>
      </c>
      <c r="I1060" s="58"/>
      <c r="J1060" s="59" t="str">
        <f t="shared" si="1"/>
        <v/>
      </c>
    </row>
    <row r="1061">
      <c r="A1061" s="55"/>
      <c r="B1061" s="55"/>
      <c r="C1061" s="60"/>
      <c r="D1061" s="54"/>
      <c r="E1061" s="55"/>
      <c r="F1061" s="62"/>
      <c r="G1061" s="57"/>
      <c r="H1061" s="58" t="str">
        <f>IFERROR(__xludf.DUMMYFUNCTION("iferror(if(B1061="""", ,filter('IDR Import'!D:D,'IDR Import'!A:A=B1061,'IDR Import'!C:C=A1061)),)"),"")</f>
        <v/>
      </c>
      <c r="I1061" s="58"/>
      <c r="J1061" s="59" t="str">
        <f t="shared" si="1"/>
        <v/>
      </c>
    </row>
    <row r="1062">
      <c r="A1062" s="55"/>
      <c r="B1062" s="55"/>
      <c r="C1062" s="60"/>
      <c r="D1062" s="54"/>
      <c r="E1062" s="55"/>
      <c r="F1062" s="62"/>
      <c r="G1062" s="57"/>
      <c r="H1062" s="58" t="str">
        <f>IFERROR(__xludf.DUMMYFUNCTION("iferror(if(B1062="""", ,filter('IDR Import'!D:D,'IDR Import'!A:A=B1062,'IDR Import'!C:C=A1062)),)"),"")</f>
        <v/>
      </c>
      <c r="I1062" s="58"/>
      <c r="J1062" s="59" t="str">
        <f t="shared" si="1"/>
        <v/>
      </c>
    </row>
    <row r="1063">
      <c r="A1063" s="55"/>
      <c r="B1063" s="55"/>
      <c r="C1063" s="60"/>
      <c r="D1063" s="54"/>
      <c r="E1063" s="55"/>
      <c r="F1063" s="62"/>
      <c r="G1063" s="57"/>
      <c r="H1063" s="58" t="str">
        <f>IFERROR(__xludf.DUMMYFUNCTION("iferror(if(B1063="""", ,filter('IDR Import'!D:D,'IDR Import'!A:A=B1063,'IDR Import'!C:C=A1063)),)"),"")</f>
        <v/>
      </c>
      <c r="I1063" s="58"/>
      <c r="J1063" s="59" t="str">
        <f t="shared" si="1"/>
        <v/>
      </c>
    </row>
    <row r="1064">
      <c r="A1064" s="55"/>
      <c r="B1064" s="55"/>
      <c r="C1064" s="60"/>
      <c r="D1064" s="54"/>
      <c r="E1064" s="55"/>
      <c r="F1064" s="62"/>
      <c r="G1064" s="57"/>
      <c r="H1064" s="58" t="str">
        <f>IFERROR(__xludf.DUMMYFUNCTION("iferror(if(B1064="""", ,filter('IDR Import'!D:D,'IDR Import'!A:A=B1064,'IDR Import'!C:C=A1064)),)"),"")</f>
        <v/>
      </c>
      <c r="I1064" s="58"/>
      <c r="J1064" s="59" t="str">
        <f t="shared" si="1"/>
        <v/>
      </c>
    </row>
    <row r="1065">
      <c r="A1065" s="55"/>
      <c r="B1065" s="55"/>
      <c r="C1065" s="60"/>
      <c r="D1065" s="54"/>
      <c r="E1065" s="55"/>
      <c r="F1065" s="62"/>
      <c r="G1065" s="57"/>
      <c r="H1065" s="58" t="str">
        <f>IFERROR(__xludf.DUMMYFUNCTION("iferror(if(B1065="""", ,filter('IDR Import'!D:D,'IDR Import'!A:A=B1065,'IDR Import'!C:C=A1065)),)"),"")</f>
        <v/>
      </c>
      <c r="I1065" s="58"/>
      <c r="J1065" s="59" t="str">
        <f t="shared" si="1"/>
        <v/>
      </c>
    </row>
    <row r="1066">
      <c r="A1066" s="55"/>
      <c r="B1066" s="55"/>
      <c r="C1066" s="60"/>
      <c r="D1066" s="54"/>
      <c r="E1066" s="55"/>
      <c r="F1066" s="62"/>
      <c r="G1066" s="57"/>
      <c r="H1066" s="58" t="str">
        <f>IFERROR(__xludf.DUMMYFUNCTION("iferror(if(B1066="""", ,filter('IDR Import'!D:D,'IDR Import'!A:A=B1066,'IDR Import'!C:C=A1066)),)"),"")</f>
        <v/>
      </c>
      <c r="I1066" s="58"/>
      <c r="J1066" s="59" t="str">
        <f t="shared" si="1"/>
        <v/>
      </c>
    </row>
    <row r="1067">
      <c r="A1067" s="55"/>
      <c r="B1067" s="55"/>
      <c r="C1067" s="60"/>
      <c r="D1067" s="54"/>
      <c r="E1067" s="55"/>
      <c r="F1067" s="62"/>
      <c r="G1067" s="57"/>
      <c r="H1067" s="58" t="str">
        <f>IFERROR(__xludf.DUMMYFUNCTION("iferror(if(B1067="""", ,filter('IDR Import'!D:D,'IDR Import'!A:A=B1067,'IDR Import'!C:C=A1067)),)"),"")</f>
        <v/>
      </c>
      <c r="I1067" s="58"/>
      <c r="J1067" s="59" t="str">
        <f t="shared" si="1"/>
        <v/>
      </c>
    </row>
    <row r="1068">
      <c r="A1068" s="55"/>
      <c r="B1068" s="55"/>
      <c r="C1068" s="60"/>
      <c r="D1068" s="54"/>
      <c r="E1068" s="55"/>
      <c r="F1068" s="62"/>
      <c r="G1068" s="57"/>
      <c r="H1068" s="58" t="str">
        <f>IFERROR(__xludf.DUMMYFUNCTION("iferror(if(B1068="""", ,filter('IDR Import'!D:D,'IDR Import'!A:A=B1068,'IDR Import'!C:C=A1068)),)"),"")</f>
        <v/>
      </c>
      <c r="I1068" s="58"/>
      <c r="J1068" s="59" t="str">
        <f t="shared" si="1"/>
        <v/>
      </c>
    </row>
    <row r="1069">
      <c r="A1069" s="55"/>
      <c r="B1069" s="55"/>
      <c r="C1069" s="60"/>
      <c r="D1069" s="54"/>
      <c r="E1069" s="55"/>
      <c r="F1069" s="62"/>
      <c r="G1069" s="57"/>
      <c r="H1069" s="58" t="str">
        <f>IFERROR(__xludf.DUMMYFUNCTION("iferror(if(B1069="""", ,filter('IDR Import'!D:D,'IDR Import'!A:A=B1069,'IDR Import'!C:C=A1069)),)"),"")</f>
        <v/>
      </c>
      <c r="I1069" s="58"/>
      <c r="J1069" s="59" t="str">
        <f t="shared" si="1"/>
        <v/>
      </c>
    </row>
    <row r="1070">
      <c r="A1070" s="55"/>
      <c r="B1070" s="55"/>
      <c r="C1070" s="60"/>
      <c r="D1070" s="54"/>
      <c r="E1070" s="55"/>
      <c r="F1070" s="62"/>
      <c r="G1070" s="57"/>
      <c r="H1070" s="58" t="str">
        <f>IFERROR(__xludf.DUMMYFUNCTION("iferror(if(B1070="""", ,filter('IDR Import'!D:D,'IDR Import'!A:A=B1070,'IDR Import'!C:C=A1070)),)"),"")</f>
        <v/>
      </c>
      <c r="I1070" s="58"/>
      <c r="J1070" s="59" t="str">
        <f t="shared" si="1"/>
        <v/>
      </c>
    </row>
    <row r="1071">
      <c r="A1071" s="55"/>
      <c r="B1071" s="55"/>
      <c r="C1071" s="60"/>
      <c r="D1071" s="54"/>
      <c r="E1071" s="55"/>
      <c r="F1071" s="62"/>
      <c r="G1071" s="57"/>
      <c r="H1071" s="58" t="str">
        <f>IFERROR(__xludf.DUMMYFUNCTION("iferror(if(B1071="""", ,filter('IDR Import'!D:D,'IDR Import'!A:A=B1071,'IDR Import'!C:C=A1071)),)"),"")</f>
        <v/>
      </c>
      <c r="I1071" s="58"/>
      <c r="J1071" s="59" t="str">
        <f t="shared" si="1"/>
        <v/>
      </c>
    </row>
    <row r="1072">
      <c r="A1072" s="55"/>
      <c r="B1072" s="55"/>
      <c r="C1072" s="60"/>
      <c r="D1072" s="54"/>
      <c r="E1072" s="55"/>
      <c r="F1072" s="62"/>
      <c r="G1072" s="57"/>
      <c r="H1072" s="58" t="str">
        <f>IFERROR(__xludf.DUMMYFUNCTION("iferror(if(B1072="""", ,filter('IDR Import'!D:D,'IDR Import'!A:A=B1072,'IDR Import'!C:C=A1072)),)"),"")</f>
        <v/>
      </c>
      <c r="I1072" s="58"/>
      <c r="J1072" s="59" t="str">
        <f t="shared" si="1"/>
        <v/>
      </c>
    </row>
    <row r="1073">
      <c r="A1073" s="55"/>
      <c r="B1073" s="55"/>
      <c r="C1073" s="60"/>
      <c r="D1073" s="54"/>
      <c r="E1073" s="55"/>
      <c r="F1073" s="62"/>
      <c r="G1073" s="57"/>
      <c r="H1073" s="58" t="str">
        <f>IFERROR(__xludf.DUMMYFUNCTION("iferror(if(B1073="""", ,filter('IDR Import'!D:D,'IDR Import'!A:A=B1073,'IDR Import'!C:C=A1073)),)"),"")</f>
        <v/>
      </c>
      <c r="I1073" s="58"/>
      <c r="J1073" s="59" t="str">
        <f t="shared" si="1"/>
        <v/>
      </c>
    </row>
    <row r="1074">
      <c r="A1074" s="55"/>
      <c r="B1074" s="55"/>
      <c r="C1074" s="60"/>
      <c r="D1074" s="54"/>
      <c r="E1074" s="55"/>
      <c r="F1074" s="62"/>
      <c r="G1074" s="57"/>
      <c r="H1074" s="58" t="str">
        <f>IFERROR(__xludf.DUMMYFUNCTION("iferror(if(B1074="""", ,filter('IDR Import'!D:D,'IDR Import'!A:A=B1074,'IDR Import'!C:C=A1074)),)"),"")</f>
        <v/>
      </c>
      <c r="I1074" s="58"/>
      <c r="J1074" s="59" t="str">
        <f t="shared" si="1"/>
        <v/>
      </c>
    </row>
    <row r="1075">
      <c r="A1075" s="55"/>
      <c r="B1075" s="55"/>
      <c r="C1075" s="60"/>
      <c r="D1075" s="54"/>
      <c r="E1075" s="55"/>
      <c r="F1075" s="62"/>
      <c r="G1075" s="57"/>
      <c r="H1075" s="58" t="str">
        <f>IFERROR(__xludf.DUMMYFUNCTION("iferror(if(B1075="""", ,filter('IDR Import'!D:D,'IDR Import'!A:A=B1075,'IDR Import'!C:C=A1075)),)"),"")</f>
        <v/>
      </c>
      <c r="I1075" s="58"/>
      <c r="J1075" s="59" t="str">
        <f t="shared" si="1"/>
        <v/>
      </c>
    </row>
    <row r="1076">
      <c r="A1076" s="55"/>
      <c r="B1076" s="55"/>
      <c r="C1076" s="60"/>
      <c r="D1076" s="54"/>
      <c r="E1076" s="55"/>
      <c r="F1076" s="62"/>
      <c r="G1076" s="57"/>
      <c r="H1076" s="58" t="str">
        <f>IFERROR(__xludf.DUMMYFUNCTION("iferror(if(B1076="""", ,filter('IDR Import'!D:D,'IDR Import'!A:A=B1076,'IDR Import'!C:C=A1076)),)"),"")</f>
        <v/>
      </c>
      <c r="I1076" s="58"/>
      <c r="J1076" s="59" t="str">
        <f t="shared" si="1"/>
        <v/>
      </c>
    </row>
    <row r="1077">
      <c r="A1077" s="55"/>
      <c r="B1077" s="55"/>
      <c r="C1077" s="60"/>
      <c r="D1077" s="54"/>
      <c r="E1077" s="55"/>
      <c r="F1077" s="62"/>
      <c r="G1077" s="57"/>
      <c r="H1077" s="58" t="str">
        <f>IFERROR(__xludf.DUMMYFUNCTION("iferror(if(B1077="""", ,filter('IDR Import'!D:D,'IDR Import'!A:A=B1077,'IDR Import'!C:C=A1077)),)"),"")</f>
        <v/>
      </c>
      <c r="I1077" s="58"/>
      <c r="J1077" s="59" t="str">
        <f t="shared" si="1"/>
        <v/>
      </c>
    </row>
    <row r="1078">
      <c r="A1078" s="55"/>
      <c r="B1078" s="55"/>
      <c r="C1078" s="60"/>
      <c r="D1078" s="54"/>
      <c r="E1078" s="55"/>
      <c r="F1078" s="62"/>
      <c r="G1078" s="57"/>
      <c r="H1078" s="58" t="str">
        <f>IFERROR(__xludf.DUMMYFUNCTION("iferror(if(B1078="""", ,filter('IDR Import'!D:D,'IDR Import'!A:A=B1078,'IDR Import'!C:C=A1078)),)"),"")</f>
        <v/>
      </c>
      <c r="I1078" s="58"/>
      <c r="J1078" s="59" t="str">
        <f t="shared" si="1"/>
        <v/>
      </c>
    </row>
    <row r="1079">
      <c r="A1079" s="55"/>
      <c r="B1079" s="55"/>
      <c r="C1079" s="60"/>
      <c r="D1079" s="54"/>
      <c r="E1079" s="55"/>
      <c r="F1079" s="62"/>
      <c r="G1079" s="57"/>
      <c r="H1079" s="58" t="str">
        <f>IFERROR(__xludf.DUMMYFUNCTION("iferror(if(B1079="""", ,filter('IDR Import'!D:D,'IDR Import'!A:A=B1079,'IDR Import'!C:C=A1079)),)"),"")</f>
        <v/>
      </c>
      <c r="I1079" s="58"/>
      <c r="J1079" s="59" t="str">
        <f t="shared" si="1"/>
        <v/>
      </c>
    </row>
    <row r="1080">
      <c r="A1080" s="55"/>
      <c r="B1080" s="55"/>
      <c r="C1080" s="60"/>
      <c r="D1080" s="54"/>
      <c r="E1080" s="55"/>
      <c r="F1080" s="62"/>
      <c r="G1080" s="57"/>
      <c r="H1080" s="58" t="str">
        <f>IFERROR(__xludf.DUMMYFUNCTION("iferror(if(B1080="""", ,filter('IDR Import'!D:D,'IDR Import'!A:A=B1080,'IDR Import'!C:C=A1080)),)"),"")</f>
        <v/>
      </c>
      <c r="I1080" s="58"/>
      <c r="J1080" s="59" t="str">
        <f t="shared" si="1"/>
        <v/>
      </c>
    </row>
    <row r="1081">
      <c r="A1081" s="55"/>
      <c r="B1081" s="55"/>
      <c r="C1081" s="60"/>
      <c r="D1081" s="54"/>
      <c r="E1081" s="55"/>
      <c r="F1081" s="62"/>
      <c r="G1081" s="57"/>
      <c r="H1081" s="58" t="str">
        <f>IFERROR(__xludf.DUMMYFUNCTION("iferror(if(B1081="""", ,filter('IDR Import'!D:D,'IDR Import'!A:A=B1081,'IDR Import'!C:C=A1081)),)"),"")</f>
        <v/>
      </c>
      <c r="I1081" s="58"/>
      <c r="J1081" s="59" t="str">
        <f t="shared" si="1"/>
        <v/>
      </c>
    </row>
    <row r="1082">
      <c r="A1082" s="55"/>
      <c r="B1082" s="55"/>
      <c r="C1082" s="60"/>
      <c r="D1082" s="54"/>
      <c r="E1082" s="55"/>
      <c r="F1082" s="62"/>
      <c r="G1082" s="57"/>
      <c r="H1082" s="58" t="str">
        <f>IFERROR(__xludf.DUMMYFUNCTION("iferror(if(B1082="""", ,filter('IDR Import'!D:D,'IDR Import'!A:A=B1082,'IDR Import'!C:C=A1082)),)"),"")</f>
        <v/>
      </c>
      <c r="I1082" s="58"/>
      <c r="J1082" s="59" t="str">
        <f t="shared" si="1"/>
        <v/>
      </c>
    </row>
    <row r="1083">
      <c r="A1083" s="55"/>
      <c r="B1083" s="55"/>
      <c r="C1083" s="60"/>
      <c r="D1083" s="54"/>
      <c r="E1083" s="55"/>
      <c r="F1083" s="62"/>
      <c r="G1083" s="57"/>
      <c r="H1083" s="58" t="str">
        <f>IFERROR(__xludf.DUMMYFUNCTION("iferror(if(B1083="""", ,filter('IDR Import'!D:D,'IDR Import'!A:A=B1083,'IDR Import'!C:C=A1083)),)"),"")</f>
        <v/>
      </c>
      <c r="I1083" s="58"/>
      <c r="J1083" s="59" t="str">
        <f t="shared" si="1"/>
        <v/>
      </c>
    </row>
    <row r="1084">
      <c r="A1084" s="55"/>
      <c r="B1084" s="55"/>
      <c r="C1084" s="60"/>
      <c r="D1084" s="54"/>
      <c r="E1084" s="55"/>
      <c r="F1084" s="62"/>
      <c r="G1084" s="57"/>
      <c r="H1084" s="58" t="str">
        <f>IFERROR(__xludf.DUMMYFUNCTION("iferror(if(B1084="""", ,filter('IDR Import'!D:D,'IDR Import'!A:A=B1084,'IDR Import'!C:C=A1084)),)"),"")</f>
        <v/>
      </c>
      <c r="I1084" s="58"/>
      <c r="J1084" s="59" t="str">
        <f t="shared" si="1"/>
        <v/>
      </c>
    </row>
    <row r="1085">
      <c r="A1085" s="55"/>
      <c r="B1085" s="55"/>
      <c r="C1085" s="60"/>
      <c r="D1085" s="54"/>
      <c r="E1085" s="55"/>
      <c r="F1085" s="62"/>
      <c r="G1085" s="57"/>
      <c r="H1085" s="58" t="str">
        <f>IFERROR(__xludf.DUMMYFUNCTION("iferror(if(B1085="""", ,filter('IDR Import'!D:D,'IDR Import'!A:A=B1085,'IDR Import'!C:C=A1085)),)"),"")</f>
        <v/>
      </c>
      <c r="I1085" s="58"/>
      <c r="J1085" s="59" t="str">
        <f t="shared" si="1"/>
        <v/>
      </c>
    </row>
    <row r="1086">
      <c r="A1086" s="55"/>
      <c r="B1086" s="55"/>
      <c r="C1086" s="60"/>
      <c r="D1086" s="54"/>
      <c r="E1086" s="55"/>
      <c r="F1086" s="62"/>
      <c r="G1086" s="57"/>
      <c r="H1086" s="58" t="str">
        <f>IFERROR(__xludf.DUMMYFUNCTION("iferror(if(B1086="""", ,filter('IDR Import'!D:D,'IDR Import'!A:A=B1086,'IDR Import'!C:C=A1086)),)"),"")</f>
        <v/>
      </c>
      <c r="I1086" s="58"/>
      <c r="J1086" s="59" t="str">
        <f t="shared" si="1"/>
        <v/>
      </c>
    </row>
    <row r="1087">
      <c r="A1087" s="55"/>
      <c r="B1087" s="55"/>
      <c r="C1087" s="60"/>
      <c r="D1087" s="54"/>
      <c r="E1087" s="55"/>
      <c r="F1087" s="62"/>
      <c r="G1087" s="57"/>
      <c r="H1087" s="58" t="str">
        <f>IFERROR(__xludf.DUMMYFUNCTION("iferror(if(B1087="""", ,filter('IDR Import'!D:D,'IDR Import'!A:A=B1087,'IDR Import'!C:C=A1087)),)"),"")</f>
        <v/>
      </c>
      <c r="I1087" s="58"/>
      <c r="J1087" s="59" t="str">
        <f t="shared" si="1"/>
        <v/>
      </c>
    </row>
    <row r="1088">
      <c r="A1088" s="55"/>
      <c r="B1088" s="55"/>
      <c r="C1088" s="60"/>
      <c r="D1088" s="54"/>
      <c r="E1088" s="55"/>
      <c r="F1088" s="62"/>
      <c r="G1088" s="57"/>
      <c r="H1088" s="58" t="str">
        <f>IFERROR(__xludf.DUMMYFUNCTION("iferror(if(B1088="""", ,filter('IDR Import'!D:D,'IDR Import'!A:A=B1088,'IDR Import'!C:C=A1088)),)"),"")</f>
        <v/>
      </c>
      <c r="I1088" s="58"/>
      <c r="J1088" s="59" t="str">
        <f t="shared" si="1"/>
        <v/>
      </c>
    </row>
    <row r="1089">
      <c r="A1089" s="55"/>
      <c r="B1089" s="55"/>
      <c r="C1089" s="60"/>
      <c r="D1089" s="54"/>
      <c r="E1089" s="55"/>
      <c r="F1089" s="62"/>
      <c r="G1089" s="57"/>
      <c r="H1089" s="58" t="str">
        <f>IFERROR(__xludf.DUMMYFUNCTION("iferror(if(B1089="""", ,filter('IDR Import'!D:D,'IDR Import'!A:A=B1089,'IDR Import'!C:C=A1089)),)"),"")</f>
        <v/>
      </c>
      <c r="I1089" s="58"/>
      <c r="J1089" s="59" t="str">
        <f t="shared" si="1"/>
        <v/>
      </c>
    </row>
    <row r="1090">
      <c r="A1090" s="55"/>
      <c r="B1090" s="55"/>
      <c r="C1090" s="60"/>
      <c r="D1090" s="54"/>
      <c r="E1090" s="55"/>
      <c r="F1090" s="62"/>
      <c r="G1090" s="57"/>
      <c r="H1090" s="58" t="str">
        <f>IFERROR(__xludf.DUMMYFUNCTION("iferror(if(B1090="""", ,filter('IDR Import'!D:D,'IDR Import'!A:A=B1090,'IDR Import'!C:C=A1090)),)"),"")</f>
        <v/>
      </c>
      <c r="I1090" s="58"/>
      <c r="J1090" s="59" t="str">
        <f t="shared" si="1"/>
        <v/>
      </c>
    </row>
    <row r="1091">
      <c r="A1091" s="55"/>
      <c r="B1091" s="55"/>
      <c r="C1091" s="60"/>
      <c r="D1091" s="54"/>
      <c r="E1091" s="55"/>
      <c r="F1091" s="62"/>
      <c r="G1091" s="57"/>
      <c r="H1091" s="58" t="str">
        <f>IFERROR(__xludf.DUMMYFUNCTION("iferror(if(B1091="""", ,filter('IDR Import'!D:D,'IDR Import'!A:A=B1091,'IDR Import'!C:C=A1091)),)"),"")</f>
        <v/>
      </c>
      <c r="I1091" s="58"/>
      <c r="J1091" s="59" t="str">
        <f t="shared" si="1"/>
        <v/>
      </c>
    </row>
    <row r="1092">
      <c r="A1092" s="55"/>
      <c r="B1092" s="55"/>
      <c r="C1092" s="60"/>
      <c r="D1092" s="54"/>
      <c r="E1092" s="55"/>
      <c r="F1092" s="62"/>
      <c r="G1092" s="57"/>
      <c r="H1092" s="58" t="str">
        <f>IFERROR(__xludf.DUMMYFUNCTION("iferror(if(B1092="""", ,filter('IDR Import'!D:D,'IDR Import'!A:A=B1092,'IDR Import'!C:C=A1092)),)"),"")</f>
        <v/>
      </c>
      <c r="I1092" s="58"/>
      <c r="J1092" s="59" t="str">
        <f t="shared" si="1"/>
        <v/>
      </c>
    </row>
    <row r="1093">
      <c r="A1093" s="55"/>
      <c r="B1093" s="55"/>
      <c r="C1093" s="60"/>
      <c r="D1093" s="54"/>
      <c r="E1093" s="55"/>
      <c r="F1093" s="62"/>
      <c r="G1093" s="57"/>
      <c r="H1093" s="58" t="str">
        <f>IFERROR(__xludf.DUMMYFUNCTION("iferror(if(B1093="""", ,filter('IDR Import'!D:D,'IDR Import'!A:A=B1093,'IDR Import'!C:C=A1093)),)"),"")</f>
        <v/>
      </c>
      <c r="I1093" s="58"/>
      <c r="J1093" s="59" t="str">
        <f t="shared" si="1"/>
        <v/>
      </c>
    </row>
    <row r="1094">
      <c r="A1094" s="55"/>
      <c r="B1094" s="55"/>
      <c r="C1094" s="60"/>
      <c r="D1094" s="54"/>
      <c r="E1094" s="55"/>
      <c r="F1094" s="62"/>
      <c r="G1094" s="57"/>
      <c r="H1094" s="58" t="str">
        <f>IFERROR(__xludf.DUMMYFUNCTION("iferror(if(B1094="""", ,filter('IDR Import'!D:D,'IDR Import'!A:A=B1094,'IDR Import'!C:C=A1094)),)"),"")</f>
        <v/>
      </c>
      <c r="I1094" s="58"/>
      <c r="J1094" s="59" t="str">
        <f t="shared" si="1"/>
        <v/>
      </c>
    </row>
    <row r="1095">
      <c r="A1095" s="55"/>
      <c r="B1095" s="55"/>
      <c r="C1095" s="60"/>
      <c r="D1095" s="54"/>
      <c r="E1095" s="55"/>
      <c r="F1095" s="62"/>
      <c r="G1095" s="57"/>
      <c r="H1095" s="58" t="str">
        <f>IFERROR(__xludf.DUMMYFUNCTION("iferror(if(B1095="""", ,filter('IDR Import'!D:D,'IDR Import'!A:A=B1095,'IDR Import'!C:C=A1095)),)"),"")</f>
        <v/>
      </c>
      <c r="I1095" s="58"/>
      <c r="J1095" s="59" t="str">
        <f t="shared" si="1"/>
        <v/>
      </c>
    </row>
    <row r="1096">
      <c r="A1096" s="55"/>
      <c r="B1096" s="55"/>
      <c r="C1096" s="60"/>
      <c r="D1096" s="54"/>
      <c r="E1096" s="55"/>
      <c r="F1096" s="62"/>
      <c r="G1096" s="57"/>
      <c r="H1096" s="58" t="str">
        <f>IFERROR(__xludf.DUMMYFUNCTION("iferror(if(B1096="""", ,filter('IDR Import'!D:D,'IDR Import'!A:A=B1096,'IDR Import'!C:C=A1096)),)"),"")</f>
        <v/>
      </c>
      <c r="I1096" s="58"/>
      <c r="J1096" s="59" t="str">
        <f t="shared" si="1"/>
        <v/>
      </c>
    </row>
    <row r="1097">
      <c r="A1097" s="55"/>
      <c r="B1097" s="55"/>
      <c r="C1097" s="60"/>
      <c r="D1097" s="54"/>
      <c r="E1097" s="55"/>
      <c r="F1097" s="62"/>
      <c r="G1097" s="57"/>
      <c r="H1097" s="58" t="str">
        <f>IFERROR(__xludf.DUMMYFUNCTION("iferror(if(B1097="""", ,filter('IDR Import'!D:D,'IDR Import'!A:A=B1097,'IDR Import'!C:C=A1097)),)"),"")</f>
        <v/>
      </c>
      <c r="I1097" s="58"/>
      <c r="J1097" s="59" t="str">
        <f t="shared" si="1"/>
        <v/>
      </c>
    </row>
    <row r="1098">
      <c r="A1098" s="55"/>
      <c r="B1098" s="55"/>
      <c r="C1098" s="60"/>
      <c r="D1098" s="54"/>
      <c r="E1098" s="55"/>
      <c r="F1098" s="62"/>
      <c r="G1098" s="57"/>
      <c r="H1098" s="58" t="str">
        <f>IFERROR(__xludf.DUMMYFUNCTION("iferror(if(B1098="""", ,filter('IDR Import'!D:D,'IDR Import'!A:A=B1098,'IDR Import'!C:C=A1098)),)"),"")</f>
        <v/>
      </c>
      <c r="I1098" s="58"/>
      <c r="J1098" s="59" t="str">
        <f t="shared" si="1"/>
        <v/>
      </c>
    </row>
    <row r="1099">
      <c r="A1099" s="55"/>
      <c r="B1099" s="55"/>
      <c r="C1099" s="60"/>
      <c r="D1099" s="54"/>
      <c r="E1099" s="55"/>
      <c r="F1099" s="62"/>
      <c r="G1099" s="57"/>
      <c r="H1099" s="58" t="str">
        <f>IFERROR(__xludf.DUMMYFUNCTION("iferror(if(B1099="""", ,filter('IDR Import'!D:D,'IDR Import'!A:A=B1099,'IDR Import'!C:C=A1099)),)"),"")</f>
        <v/>
      </c>
      <c r="I1099" s="58"/>
      <c r="J1099" s="59" t="str">
        <f t="shared" si="1"/>
        <v/>
      </c>
    </row>
    <row r="1100">
      <c r="A1100" s="55"/>
      <c r="B1100" s="55"/>
      <c r="C1100" s="60"/>
      <c r="D1100" s="54"/>
      <c r="E1100" s="55"/>
      <c r="F1100" s="62"/>
      <c r="G1100" s="57"/>
      <c r="H1100" s="58" t="str">
        <f>IFERROR(__xludf.DUMMYFUNCTION("iferror(if(B1100="""", ,filter('IDR Import'!D:D,'IDR Import'!A:A=B1100,'IDR Import'!C:C=A1100)),)"),"")</f>
        <v/>
      </c>
      <c r="I1100" s="58"/>
      <c r="J1100" s="59" t="str">
        <f t="shared" si="1"/>
        <v/>
      </c>
    </row>
    <row r="1101">
      <c r="A1101" s="55"/>
      <c r="B1101" s="55"/>
      <c r="C1101" s="60"/>
      <c r="D1101" s="54"/>
      <c r="E1101" s="55"/>
      <c r="F1101" s="62"/>
      <c r="G1101" s="57"/>
      <c r="H1101" s="58" t="str">
        <f>IFERROR(__xludf.DUMMYFUNCTION("iferror(if(B1101="""", ,filter('IDR Import'!D:D,'IDR Import'!A:A=B1101,'IDR Import'!C:C=A1101)),)"),"")</f>
        <v/>
      </c>
      <c r="I1101" s="58"/>
      <c r="J1101" s="59" t="str">
        <f t="shared" si="1"/>
        <v/>
      </c>
    </row>
    <row r="1102">
      <c r="A1102" s="55"/>
      <c r="B1102" s="55"/>
      <c r="C1102" s="60"/>
      <c r="D1102" s="54"/>
      <c r="E1102" s="55"/>
      <c r="F1102" s="62"/>
      <c r="G1102" s="57"/>
      <c r="H1102" s="58" t="str">
        <f>IFERROR(__xludf.DUMMYFUNCTION("iferror(if(B1102="""", ,filter('IDR Import'!D:D,'IDR Import'!A:A=B1102,'IDR Import'!C:C=A1102)),)"),"")</f>
        <v/>
      </c>
      <c r="I1102" s="58"/>
      <c r="J1102" s="59" t="str">
        <f t="shared" si="1"/>
        <v/>
      </c>
    </row>
    <row r="1103">
      <c r="A1103" s="55"/>
      <c r="B1103" s="55"/>
      <c r="C1103" s="60"/>
      <c r="D1103" s="54"/>
      <c r="E1103" s="55"/>
      <c r="F1103" s="62"/>
      <c r="G1103" s="57"/>
      <c r="H1103" s="58" t="str">
        <f>IFERROR(__xludf.DUMMYFUNCTION("iferror(if(B1103="""", ,filter('IDR Import'!D:D,'IDR Import'!A:A=B1103,'IDR Import'!C:C=A1103)),)"),"")</f>
        <v/>
      </c>
      <c r="I1103" s="58"/>
      <c r="J1103" s="59" t="str">
        <f t="shared" si="1"/>
        <v/>
      </c>
    </row>
    <row r="1104">
      <c r="A1104" s="55"/>
      <c r="B1104" s="55"/>
      <c r="C1104" s="60"/>
      <c r="D1104" s="54"/>
      <c r="E1104" s="55"/>
      <c r="F1104" s="62"/>
      <c r="G1104" s="57"/>
      <c r="H1104" s="58" t="str">
        <f>IFERROR(__xludf.DUMMYFUNCTION("iferror(if(B1104="""", ,filter('IDR Import'!D:D,'IDR Import'!A:A=B1104,'IDR Import'!C:C=A1104)),)"),"")</f>
        <v/>
      </c>
      <c r="I1104" s="58"/>
      <c r="J1104" s="59" t="str">
        <f t="shared" si="1"/>
        <v/>
      </c>
    </row>
    <row r="1105">
      <c r="A1105" s="55"/>
      <c r="B1105" s="55"/>
      <c r="C1105" s="60"/>
      <c r="D1105" s="54"/>
      <c r="E1105" s="55"/>
      <c r="F1105" s="62"/>
      <c r="G1105" s="57"/>
      <c r="H1105" s="58" t="str">
        <f>IFERROR(__xludf.DUMMYFUNCTION("iferror(if(B1105="""", ,filter('IDR Import'!D:D,'IDR Import'!A:A=B1105,'IDR Import'!C:C=A1105)),)"),"")</f>
        <v/>
      </c>
      <c r="I1105" s="58"/>
      <c r="J1105" s="59" t="str">
        <f t="shared" si="1"/>
        <v/>
      </c>
    </row>
    <row r="1106">
      <c r="A1106" s="55"/>
      <c r="B1106" s="55"/>
      <c r="C1106" s="60"/>
      <c r="D1106" s="54"/>
      <c r="E1106" s="55"/>
      <c r="F1106" s="62"/>
      <c r="G1106" s="57"/>
      <c r="H1106" s="58" t="str">
        <f>IFERROR(__xludf.DUMMYFUNCTION("iferror(if(B1106="""", ,filter('IDR Import'!D:D,'IDR Import'!A:A=B1106,'IDR Import'!C:C=A1106)),)"),"")</f>
        <v/>
      </c>
      <c r="I1106" s="58"/>
      <c r="J1106" s="59" t="str">
        <f t="shared" si="1"/>
        <v/>
      </c>
    </row>
    <row r="1107">
      <c r="A1107" s="55"/>
      <c r="B1107" s="55"/>
      <c r="C1107" s="60"/>
      <c r="D1107" s="54"/>
      <c r="E1107" s="55"/>
      <c r="F1107" s="62"/>
      <c r="G1107" s="57"/>
      <c r="H1107" s="58" t="str">
        <f>IFERROR(__xludf.DUMMYFUNCTION("iferror(if(B1107="""", ,filter('IDR Import'!D:D,'IDR Import'!A:A=B1107,'IDR Import'!C:C=A1107)),)"),"")</f>
        <v/>
      </c>
      <c r="I1107" s="58"/>
      <c r="J1107" s="59" t="str">
        <f t="shared" si="1"/>
        <v/>
      </c>
    </row>
    <row r="1108">
      <c r="A1108" s="55"/>
      <c r="B1108" s="55"/>
      <c r="C1108" s="60"/>
      <c r="D1108" s="54"/>
      <c r="E1108" s="55"/>
      <c r="F1108" s="62"/>
      <c r="G1108" s="57"/>
      <c r="H1108" s="58" t="str">
        <f>IFERROR(__xludf.DUMMYFUNCTION("iferror(if(B1108="""", ,filter('IDR Import'!D:D,'IDR Import'!A:A=B1108,'IDR Import'!C:C=A1108)),)"),"")</f>
        <v/>
      </c>
      <c r="I1108" s="58"/>
      <c r="J1108" s="59" t="str">
        <f t="shared" si="1"/>
        <v/>
      </c>
    </row>
    <row r="1109">
      <c r="A1109" s="55"/>
      <c r="B1109" s="55"/>
      <c r="C1109" s="60"/>
      <c r="D1109" s="54"/>
      <c r="E1109" s="55"/>
      <c r="F1109" s="62"/>
      <c r="G1109" s="57"/>
      <c r="H1109" s="58" t="str">
        <f>IFERROR(__xludf.DUMMYFUNCTION("iferror(if(B1109="""", ,filter('IDR Import'!D:D,'IDR Import'!A:A=B1109,'IDR Import'!C:C=A1109)),)"),"")</f>
        <v/>
      </c>
      <c r="I1109" s="58"/>
      <c r="J1109" s="59" t="str">
        <f t="shared" si="1"/>
        <v/>
      </c>
    </row>
    <row r="1110">
      <c r="A1110" s="55"/>
      <c r="B1110" s="55"/>
      <c r="C1110" s="60"/>
      <c r="D1110" s="54"/>
      <c r="E1110" s="55"/>
      <c r="F1110" s="62"/>
      <c r="G1110" s="57"/>
      <c r="H1110" s="58" t="str">
        <f>IFERROR(__xludf.DUMMYFUNCTION("iferror(if(B1110="""", ,filter('IDR Import'!D:D,'IDR Import'!A:A=B1110,'IDR Import'!C:C=A1110)),)"),"")</f>
        <v/>
      </c>
      <c r="I1110" s="58"/>
      <c r="J1110" s="59" t="str">
        <f t="shared" si="1"/>
        <v/>
      </c>
    </row>
    <row r="1111">
      <c r="A1111" s="55"/>
      <c r="B1111" s="55"/>
      <c r="C1111" s="60"/>
      <c r="D1111" s="54"/>
      <c r="E1111" s="55"/>
      <c r="F1111" s="62"/>
      <c r="G1111" s="57"/>
      <c r="H1111" s="58" t="str">
        <f>IFERROR(__xludf.DUMMYFUNCTION("iferror(if(B1111="""", ,filter('IDR Import'!D:D,'IDR Import'!A:A=B1111,'IDR Import'!C:C=A1111)),)"),"")</f>
        <v/>
      </c>
      <c r="I1111" s="58"/>
      <c r="J1111" s="59" t="str">
        <f t="shared" si="1"/>
        <v/>
      </c>
    </row>
    <row r="1112">
      <c r="A1112" s="55"/>
      <c r="B1112" s="55"/>
      <c r="C1112" s="60"/>
      <c r="D1112" s="54"/>
      <c r="E1112" s="55"/>
      <c r="F1112" s="62"/>
      <c r="G1112" s="57"/>
      <c r="H1112" s="58" t="str">
        <f>IFERROR(__xludf.DUMMYFUNCTION("iferror(if(B1112="""", ,filter('IDR Import'!D:D,'IDR Import'!A:A=B1112,'IDR Import'!C:C=A1112)),)"),"")</f>
        <v/>
      </c>
      <c r="I1112" s="58"/>
      <c r="J1112" s="59" t="str">
        <f t="shared" si="1"/>
        <v/>
      </c>
    </row>
    <row r="1113">
      <c r="A1113" s="55"/>
      <c r="B1113" s="55"/>
      <c r="C1113" s="60"/>
      <c r="D1113" s="54"/>
      <c r="E1113" s="55"/>
      <c r="F1113" s="62"/>
      <c r="G1113" s="57"/>
      <c r="H1113" s="58" t="str">
        <f>IFERROR(__xludf.DUMMYFUNCTION("iferror(if(B1113="""", ,filter('IDR Import'!D:D,'IDR Import'!A:A=B1113,'IDR Import'!C:C=A1113)),)"),"")</f>
        <v/>
      </c>
      <c r="I1113" s="58"/>
      <c r="J1113" s="59" t="str">
        <f t="shared" si="1"/>
        <v/>
      </c>
    </row>
    <row r="1114">
      <c r="A1114" s="55"/>
      <c r="B1114" s="55"/>
      <c r="C1114" s="60"/>
      <c r="D1114" s="54"/>
      <c r="E1114" s="55"/>
      <c r="F1114" s="62"/>
      <c r="G1114" s="57"/>
      <c r="H1114" s="58" t="str">
        <f>IFERROR(__xludf.DUMMYFUNCTION("iferror(if(B1114="""", ,filter('IDR Import'!D:D,'IDR Import'!A:A=B1114,'IDR Import'!C:C=A1114)),)"),"")</f>
        <v/>
      </c>
      <c r="I1114" s="58"/>
      <c r="J1114" s="59" t="str">
        <f t="shared" si="1"/>
        <v/>
      </c>
    </row>
    <row r="1115">
      <c r="A1115" s="55"/>
      <c r="B1115" s="55"/>
      <c r="C1115" s="60"/>
      <c r="D1115" s="54"/>
      <c r="E1115" s="55"/>
      <c r="F1115" s="62"/>
      <c r="G1115" s="57"/>
      <c r="H1115" s="58" t="str">
        <f>IFERROR(__xludf.DUMMYFUNCTION("iferror(if(B1115="""", ,filter('IDR Import'!D:D,'IDR Import'!A:A=B1115,'IDR Import'!C:C=A1115)),)"),"")</f>
        <v/>
      </c>
      <c r="I1115" s="58"/>
      <c r="J1115" s="59" t="str">
        <f t="shared" si="1"/>
        <v/>
      </c>
    </row>
    <row r="1116">
      <c r="A1116" s="55"/>
      <c r="B1116" s="55"/>
      <c r="C1116" s="60"/>
      <c r="D1116" s="54"/>
      <c r="E1116" s="55"/>
      <c r="F1116" s="62"/>
      <c r="G1116" s="57"/>
      <c r="H1116" s="58" t="str">
        <f>IFERROR(__xludf.DUMMYFUNCTION("iferror(if(B1116="""", ,filter('IDR Import'!D:D,'IDR Import'!A:A=B1116,'IDR Import'!C:C=A1116)),)"),"")</f>
        <v/>
      </c>
      <c r="I1116" s="58"/>
      <c r="J1116" s="59" t="str">
        <f t="shared" si="1"/>
        <v/>
      </c>
    </row>
    <row r="1117">
      <c r="A1117" s="55"/>
      <c r="B1117" s="55"/>
      <c r="C1117" s="60"/>
      <c r="D1117" s="54"/>
      <c r="E1117" s="55"/>
      <c r="F1117" s="62"/>
      <c r="G1117" s="57"/>
      <c r="H1117" s="58" t="str">
        <f>IFERROR(__xludf.DUMMYFUNCTION("iferror(if(B1117="""", ,filter('IDR Import'!D:D,'IDR Import'!A:A=B1117,'IDR Import'!C:C=A1117)),)"),"")</f>
        <v/>
      </c>
      <c r="I1117" s="58"/>
      <c r="J1117" s="59" t="str">
        <f t="shared" si="1"/>
        <v/>
      </c>
    </row>
    <row r="1118">
      <c r="A1118" s="55"/>
      <c r="B1118" s="55"/>
      <c r="C1118" s="60"/>
      <c r="D1118" s="54"/>
      <c r="E1118" s="55"/>
      <c r="F1118" s="62"/>
      <c r="G1118" s="57"/>
      <c r="H1118" s="58" t="str">
        <f>IFERROR(__xludf.DUMMYFUNCTION("iferror(if(B1118="""", ,filter('IDR Import'!D:D,'IDR Import'!A:A=B1118,'IDR Import'!C:C=A1118)),)"),"")</f>
        <v/>
      </c>
      <c r="I1118" s="58"/>
      <c r="J1118" s="59" t="str">
        <f t="shared" si="1"/>
        <v/>
      </c>
    </row>
    <row r="1119">
      <c r="A1119" s="55"/>
      <c r="B1119" s="55"/>
      <c r="C1119" s="60"/>
      <c r="D1119" s="54"/>
      <c r="E1119" s="55"/>
      <c r="F1119" s="62"/>
      <c r="G1119" s="57"/>
      <c r="H1119" s="58" t="str">
        <f>IFERROR(__xludf.DUMMYFUNCTION("iferror(if(B1119="""", ,filter('IDR Import'!D:D,'IDR Import'!A:A=B1119,'IDR Import'!C:C=A1119)),)"),"")</f>
        <v/>
      </c>
      <c r="I1119" s="58"/>
      <c r="J1119" s="59" t="str">
        <f t="shared" si="1"/>
        <v/>
      </c>
    </row>
    <row r="1120">
      <c r="A1120" s="55"/>
      <c r="B1120" s="55"/>
      <c r="C1120" s="60"/>
      <c r="D1120" s="54"/>
      <c r="E1120" s="55"/>
      <c r="F1120" s="62"/>
      <c r="G1120" s="57"/>
      <c r="H1120" s="58" t="str">
        <f>IFERROR(__xludf.DUMMYFUNCTION("iferror(if(B1120="""", ,filter('IDR Import'!D:D,'IDR Import'!A:A=B1120,'IDR Import'!C:C=A1120)),)"),"")</f>
        <v/>
      </c>
      <c r="I1120" s="58"/>
      <c r="J1120" s="59" t="str">
        <f t="shared" si="1"/>
        <v/>
      </c>
    </row>
    <row r="1121">
      <c r="A1121" s="55"/>
      <c r="B1121" s="55"/>
      <c r="C1121" s="60"/>
      <c r="D1121" s="54"/>
      <c r="E1121" s="55"/>
      <c r="F1121" s="62"/>
      <c r="G1121" s="57"/>
      <c r="H1121" s="58" t="str">
        <f>IFERROR(__xludf.DUMMYFUNCTION("iferror(if(B1121="""", ,filter('IDR Import'!D:D,'IDR Import'!A:A=B1121,'IDR Import'!C:C=A1121)),)"),"")</f>
        <v/>
      </c>
      <c r="I1121" s="58"/>
      <c r="J1121" s="59" t="str">
        <f t="shared" si="1"/>
        <v/>
      </c>
    </row>
    <row r="1122">
      <c r="A1122" s="55"/>
      <c r="B1122" s="55"/>
      <c r="C1122" s="60"/>
      <c r="D1122" s="54"/>
      <c r="E1122" s="55"/>
      <c r="F1122" s="62"/>
      <c r="G1122" s="57"/>
      <c r="H1122" s="58" t="str">
        <f>IFERROR(__xludf.DUMMYFUNCTION("iferror(if(B1122="""", ,filter('IDR Import'!D:D,'IDR Import'!A:A=B1122,'IDR Import'!C:C=A1122)),)"),"")</f>
        <v/>
      </c>
      <c r="I1122" s="58"/>
      <c r="J1122" s="59" t="str">
        <f t="shared" si="1"/>
        <v/>
      </c>
    </row>
    <row r="1123">
      <c r="A1123" s="55"/>
      <c r="B1123" s="55"/>
      <c r="C1123" s="60"/>
      <c r="D1123" s="54"/>
      <c r="E1123" s="55"/>
      <c r="F1123" s="62"/>
      <c r="G1123" s="57"/>
      <c r="H1123" s="58" t="str">
        <f>IFERROR(__xludf.DUMMYFUNCTION("iferror(if(B1123="""", ,filter('IDR Import'!D:D,'IDR Import'!A:A=B1123,'IDR Import'!C:C=A1123)),)"),"")</f>
        <v/>
      </c>
      <c r="I1123" s="58"/>
      <c r="J1123" s="59" t="str">
        <f t="shared" si="1"/>
        <v/>
      </c>
    </row>
    <row r="1124">
      <c r="A1124" s="55"/>
      <c r="B1124" s="55"/>
      <c r="C1124" s="60"/>
      <c r="D1124" s="54"/>
      <c r="E1124" s="55"/>
      <c r="F1124" s="62"/>
      <c r="G1124" s="57"/>
      <c r="H1124" s="58" t="str">
        <f>IFERROR(__xludf.DUMMYFUNCTION("iferror(if(B1124="""", ,filter('IDR Import'!D:D,'IDR Import'!A:A=B1124,'IDR Import'!C:C=A1124)),)"),"")</f>
        <v/>
      </c>
      <c r="I1124" s="58"/>
      <c r="J1124" s="59" t="str">
        <f t="shared" si="1"/>
        <v/>
      </c>
    </row>
    <row r="1125">
      <c r="A1125" s="55"/>
      <c r="B1125" s="55"/>
      <c r="C1125" s="60"/>
      <c r="D1125" s="54"/>
      <c r="E1125" s="55"/>
      <c r="F1125" s="62"/>
      <c r="G1125" s="57"/>
      <c r="H1125" s="58" t="str">
        <f>IFERROR(__xludf.DUMMYFUNCTION("iferror(if(B1125="""", ,filter('IDR Import'!D:D,'IDR Import'!A:A=B1125,'IDR Import'!C:C=A1125)),)"),"")</f>
        <v/>
      </c>
      <c r="I1125" s="58"/>
      <c r="J1125" s="59" t="str">
        <f t="shared" si="1"/>
        <v/>
      </c>
    </row>
    <row r="1126">
      <c r="A1126" s="55"/>
      <c r="B1126" s="55"/>
      <c r="C1126" s="60"/>
      <c r="D1126" s="54"/>
      <c r="E1126" s="55"/>
      <c r="F1126" s="62"/>
      <c r="G1126" s="57"/>
      <c r="H1126" s="58" t="str">
        <f>IFERROR(__xludf.DUMMYFUNCTION("iferror(if(B1126="""", ,filter('IDR Import'!D:D,'IDR Import'!A:A=B1126,'IDR Import'!C:C=A1126)),)"),"")</f>
        <v/>
      </c>
      <c r="I1126" s="58"/>
      <c r="J1126" s="59" t="str">
        <f t="shared" si="1"/>
        <v/>
      </c>
    </row>
    <row r="1127">
      <c r="A1127" s="55"/>
      <c r="B1127" s="55"/>
      <c r="C1127" s="60"/>
      <c r="D1127" s="54"/>
      <c r="E1127" s="55"/>
      <c r="F1127" s="62"/>
      <c r="G1127" s="57"/>
      <c r="H1127" s="58" t="str">
        <f>IFERROR(__xludf.DUMMYFUNCTION("iferror(if(B1127="""", ,filter('IDR Import'!D:D,'IDR Import'!A:A=B1127,'IDR Import'!C:C=A1127)),)"),"")</f>
        <v/>
      </c>
      <c r="I1127" s="58"/>
      <c r="J1127" s="59" t="str">
        <f t="shared" si="1"/>
        <v/>
      </c>
    </row>
    <row r="1128">
      <c r="A1128" s="55"/>
      <c r="B1128" s="55"/>
      <c r="C1128" s="60"/>
      <c r="D1128" s="54"/>
      <c r="E1128" s="55"/>
      <c r="F1128" s="62"/>
      <c r="G1128" s="57"/>
      <c r="H1128" s="58" t="str">
        <f>IFERROR(__xludf.DUMMYFUNCTION("iferror(if(B1128="""", ,filter('IDR Import'!D:D,'IDR Import'!A:A=B1128,'IDR Import'!C:C=A1128)),)"),"")</f>
        <v/>
      </c>
      <c r="I1128" s="58"/>
      <c r="J1128" s="59" t="str">
        <f t="shared" si="1"/>
        <v/>
      </c>
    </row>
    <row r="1129">
      <c r="A1129" s="55"/>
      <c r="B1129" s="55"/>
      <c r="C1129" s="60"/>
      <c r="D1129" s="54"/>
      <c r="E1129" s="55"/>
      <c r="F1129" s="62"/>
      <c r="G1129" s="57"/>
      <c r="H1129" s="58" t="str">
        <f>IFERROR(__xludf.DUMMYFUNCTION("iferror(if(B1129="""", ,filter('IDR Import'!D:D,'IDR Import'!A:A=B1129,'IDR Import'!C:C=A1129)),)"),"")</f>
        <v/>
      </c>
      <c r="I1129" s="58"/>
      <c r="J1129" s="59" t="str">
        <f t="shared" si="1"/>
        <v/>
      </c>
    </row>
    <row r="1130">
      <c r="A1130" s="55"/>
      <c r="B1130" s="55"/>
      <c r="C1130" s="60"/>
      <c r="D1130" s="54"/>
      <c r="E1130" s="55"/>
      <c r="F1130" s="62"/>
      <c r="G1130" s="57"/>
      <c r="H1130" s="58" t="str">
        <f>IFERROR(__xludf.DUMMYFUNCTION("iferror(if(B1130="""", ,filter('IDR Import'!D:D,'IDR Import'!A:A=B1130,'IDR Import'!C:C=A1130)),)"),"")</f>
        <v/>
      </c>
      <c r="I1130" s="58"/>
      <c r="J1130" s="59" t="str">
        <f t="shared" si="1"/>
        <v/>
      </c>
    </row>
    <row r="1131">
      <c r="A1131" s="55"/>
      <c r="B1131" s="55"/>
      <c r="C1131" s="60"/>
      <c r="D1131" s="54"/>
      <c r="E1131" s="55"/>
      <c r="F1131" s="62"/>
      <c r="G1131" s="57"/>
      <c r="H1131" s="58" t="str">
        <f>IFERROR(__xludf.DUMMYFUNCTION("iferror(if(B1131="""", ,filter('IDR Import'!D:D,'IDR Import'!A:A=B1131,'IDR Import'!C:C=A1131)),)"),"")</f>
        <v/>
      </c>
      <c r="I1131" s="58"/>
      <c r="J1131" s="59" t="str">
        <f t="shared" si="1"/>
        <v/>
      </c>
    </row>
    <row r="1132">
      <c r="A1132" s="55"/>
      <c r="B1132" s="55"/>
      <c r="C1132" s="60"/>
      <c r="D1132" s="54"/>
      <c r="E1132" s="55"/>
      <c r="F1132" s="62"/>
      <c r="G1132" s="57"/>
      <c r="H1132" s="58" t="str">
        <f>IFERROR(__xludf.DUMMYFUNCTION("iferror(if(B1132="""", ,filter('IDR Import'!D:D,'IDR Import'!A:A=B1132,'IDR Import'!C:C=A1132)),)"),"")</f>
        <v/>
      </c>
      <c r="I1132" s="58"/>
      <c r="J1132" s="59" t="str">
        <f t="shared" si="1"/>
        <v/>
      </c>
    </row>
    <row r="1133">
      <c r="A1133" s="55"/>
      <c r="B1133" s="55"/>
      <c r="C1133" s="60"/>
      <c r="D1133" s="54"/>
      <c r="E1133" s="55"/>
      <c r="F1133" s="62"/>
      <c r="G1133" s="57"/>
      <c r="H1133" s="58" t="str">
        <f>IFERROR(__xludf.DUMMYFUNCTION("iferror(if(B1133="""", ,filter('IDR Import'!D:D,'IDR Import'!A:A=B1133,'IDR Import'!C:C=A1133)),)"),"")</f>
        <v/>
      </c>
      <c r="I1133" s="58"/>
      <c r="J1133" s="59" t="str">
        <f t="shared" si="1"/>
        <v/>
      </c>
    </row>
    <row r="1134">
      <c r="A1134" s="55"/>
      <c r="B1134" s="55"/>
      <c r="C1134" s="60"/>
      <c r="D1134" s="54"/>
      <c r="E1134" s="55"/>
      <c r="F1134" s="62"/>
      <c r="G1134" s="57"/>
      <c r="H1134" s="58" t="str">
        <f>IFERROR(__xludf.DUMMYFUNCTION("iferror(if(B1134="""", ,filter('IDR Import'!D:D,'IDR Import'!A:A=B1134,'IDR Import'!C:C=A1134)),)"),"")</f>
        <v/>
      </c>
      <c r="I1134" s="58"/>
      <c r="J1134" s="59" t="str">
        <f t="shared" si="1"/>
        <v/>
      </c>
    </row>
    <row r="1135">
      <c r="A1135" s="55"/>
      <c r="B1135" s="55"/>
      <c r="C1135" s="60"/>
      <c r="D1135" s="54"/>
      <c r="E1135" s="55"/>
      <c r="F1135" s="62"/>
      <c r="G1135" s="57"/>
      <c r="H1135" s="58" t="str">
        <f>IFERROR(__xludf.DUMMYFUNCTION("iferror(if(B1135="""", ,filter('IDR Import'!D:D,'IDR Import'!A:A=B1135,'IDR Import'!C:C=A1135)),)"),"")</f>
        <v/>
      </c>
      <c r="I1135" s="58"/>
      <c r="J1135" s="59" t="str">
        <f t="shared" si="1"/>
        <v/>
      </c>
    </row>
    <row r="1136">
      <c r="A1136" s="55"/>
      <c r="B1136" s="55"/>
      <c r="C1136" s="60"/>
      <c r="D1136" s="54"/>
      <c r="E1136" s="55"/>
      <c r="F1136" s="62"/>
      <c r="G1136" s="57"/>
      <c r="H1136" s="58" t="str">
        <f>IFERROR(__xludf.DUMMYFUNCTION("iferror(if(B1136="""", ,filter('IDR Import'!D:D,'IDR Import'!A:A=B1136,'IDR Import'!C:C=A1136)),)"),"")</f>
        <v/>
      </c>
      <c r="I1136" s="58"/>
      <c r="J1136" s="59" t="str">
        <f t="shared" si="1"/>
        <v/>
      </c>
    </row>
    <row r="1137">
      <c r="A1137" s="55"/>
      <c r="B1137" s="55"/>
      <c r="C1137" s="60"/>
      <c r="D1137" s="54"/>
      <c r="E1137" s="55"/>
      <c r="F1137" s="62"/>
      <c r="G1137" s="57"/>
      <c r="H1137" s="58" t="str">
        <f>IFERROR(__xludf.DUMMYFUNCTION("iferror(if(B1137="""", ,filter('IDR Import'!D:D,'IDR Import'!A:A=B1137,'IDR Import'!C:C=A1137)),)"),"")</f>
        <v/>
      </c>
      <c r="I1137" s="58"/>
      <c r="J1137" s="59" t="str">
        <f t="shared" si="1"/>
        <v/>
      </c>
    </row>
    <row r="1138">
      <c r="A1138" s="55"/>
      <c r="B1138" s="55"/>
      <c r="C1138" s="60"/>
      <c r="D1138" s="54"/>
      <c r="E1138" s="55"/>
      <c r="F1138" s="62"/>
      <c r="G1138" s="57"/>
      <c r="H1138" s="58" t="str">
        <f>IFERROR(__xludf.DUMMYFUNCTION("iferror(if(B1138="""", ,filter('IDR Import'!D:D,'IDR Import'!A:A=B1138,'IDR Import'!C:C=A1138)),)"),"")</f>
        <v/>
      </c>
      <c r="I1138" s="58"/>
      <c r="J1138" s="59" t="str">
        <f t="shared" si="1"/>
        <v/>
      </c>
    </row>
    <row r="1139">
      <c r="A1139" s="55"/>
      <c r="B1139" s="55"/>
      <c r="C1139" s="60"/>
      <c r="D1139" s="54"/>
      <c r="E1139" s="55"/>
      <c r="F1139" s="62"/>
      <c r="G1139" s="57"/>
      <c r="H1139" s="58" t="str">
        <f>IFERROR(__xludf.DUMMYFUNCTION("iferror(if(B1139="""", ,filter('IDR Import'!D:D,'IDR Import'!A:A=B1139,'IDR Import'!C:C=A1139)),)"),"")</f>
        <v/>
      </c>
      <c r="I1139" s="58"/>
      <c r="J1139" s="59" t="str">
        <f t="shared" si="1"/>
        <v/>
      </c>
    </row>
    <row r="1140">
      <c r="A1140" s="55"/>
      <c r="B1140" s="55"/>
      <c r="C1140" s="60"/>
      <c r="D1140" s="54"/>
      <c r="E1140" s="55"/>
      <c r="F1140" s="62"/>
      <c r="G1140" s="57"/>
      <c r="H1140" s="58" t="str">
        <f>IFERROR(__xludf.DUMMYFUNCTION("iferror(if(B1140="""", ,filter('IDR Import'!D:D,'IDR Import'!A:A=B1140,'IDR Import'!C:C=A1140)),)"),"")</f>
        <v/>
      </c>
      <c r="I1140" s="58"/>
      <c r="J1140" s="59" t="str">
        <f t="shared" si="1"/>
        <v/>
      </c>
    </row>
    <row r="1141">
      <c r="A1141" s="55"/>
      <c r="B1141" s="55"/>
      <c r="C1141" s="60"/>
      <c r="D1141" s="54"/>
      <c r="E1141" s="55"/>
      <c r="F1141" s="62"/>
      <c r="G1141" s="57"/>
      <c r="H1141" s="58" t="str">
        <f>IFERROR(__xludf.DUMMYFUNCTION("iferror(if(B1141="""", ,filter('IDR Import'!D:D,'IDR Import'!A:A=B1141,'IDR Import'!C:C=A1141)),)"),"")</f>
        <v/>
      </c>
      <c r="I1141" s="58"/>
      <c r="J1141" s="59" t="str">
        <f t="shared" si="1"/>
        <v/>
      </c>
    </row>
    <row r="1142">
      <c r="A1142" s="55"/>
      <c r="B1142" s="55"/>
      <c r="C1142" s="60"/>
      <c r="D1142" s="54"/>
      <c r="E1142" s="55"/>
      <c r="F1142" s="62"/>
      <c r="G1142" s="57"/>
      <c r="H1142" s="58" t="str">
        <f>IFERROR(__xludf.DUMMYFUNCTION("iferror(if(B1142="""", ,filter('IDR Import'!D:D,'IDR Import'!A:A=B1142,'IDR Import'!C:C=A1142)),)"),"")</f>
        <v/>
      </c>
      <c r="I1142" s="58"/>
      <c r="J1142" s="59" t="str">
        <f t="shared" si="1"/>
        <v/>
      </c>
    </row>
    <row r="1143">
      <c r="A1143" s="55"/>
      <c r="B1143" s="55"/>
      <c r="C1143" s="60"/>
      <c r="D1143" s="54"/>
      <c r="E1143" s="55"/>
      <c r="F1143" s="62"/>
      <c r="G1143" s="57"/>
      <c r="H1143" s="58" t="str">
        <f>IFERROR(__xludf.DUMMYFUNCTION("iferror(if(B1143="""", ,filter('IDR Import'!D:D,'IDR Import'!A:A=B1143,'IDR Import'!C:C=A1143)),)"),"")</f>
        <v/>
      </c>
      <c r="I1143" s="58"/>
      <c r="J1143" s="59" t="str">
        <f t="shared" si="1"/>
        <v/>
      </c>
    </row>
    <row r="1144">
      <c r="A1144" s="55"/>
      <c r="B1144" s="55"/>
      <c r="C1144" s="60"/>
      <c r="D1144" s="54"/>
      <c r="E1144" s="55"/>
      <c r="F1144" s="62"/>
      <c r="G1144" s="57"/>
      <c r="H1144" s="58" t="str">
        <f>IFERROR(__xludf.DUMMYFUNCTION("iferror(if(B1144="""", ,filter('IDR Import'!D:D,'IDR Import'!A:A=B1144,'IDR Import'!C:C=A1144)),)"),"")</f>
        <v/>
      </c>
      <c r="I1144" s="58"/>
      <c r="J1144" s="59" t="str">
        <f t="shared" si="1"/>
        <v/>
      </c>
    </row>
    <row r="1145">
      <c r="A1145" s="55"/>
      <c r="B1145" s="55"/>
      <c r="C1145" s="60"/>
      <c r="D1145" s="54"/>
      <c r="E1145" s="55"/>
      <c r="F1145" s="62"/>
      <c r="G1145" s="57"/>
      <c r="H1145" s="58" t="str">
        <f>IFERROR(__xludf.DUMMYFUNCTION("iferror(if(B1145="""", ,filter('IDR Import'!D:D,'IDR Import'!A:A=B1145,'IDR Import'!C:C=A1145)),)"),"")</f>
        <v/>
      </c>
      <c r="I1145" s="58"/>
      <c r="J1145" s="59" t="str">
        <f t="shared" si="1"/>
        <v/>
      </c>
    </row>
    <row r="1146">
      <c r="A1146" s="55"/>
      <c r="B1146" s="55"/>
      <c r="C1146" s="60"/>
      <c r="D1146" s="54"/>
      <c r="E1146" s="55"/>
      <c r="F1146" s="62"/>
      <c r="G1146" s="57"/>
      <c r="H1146" s="58" t="str">
        <f>IFERROR(__xludf.DUMMYFUNCTION("iferror(if(B1146="""", ,filter('IDR Import'!D:D,'IDR Import'!A:A=B1146,'IDR Import'!C:C=A1146)),)"),"")</f>
        <v/>
      </c>
      <c r="I1146" s="58"/>
      <c r="J1146" s="59" t="str">
        <f t="shared" si="1"/>
        <v/>
      </c>
    </row>
    <row r="1147">
      <c r="A1147" s="55"/>
      <c r="B1147" s="55"/>
      <c r="C1147" s="60"/>
      <c r="D1147" s="54"/>
      <c r="E1147" s="55"/>
      <c r="F1147" s="62"/>
      <c r="G1147" s="57"/>
      <c r="H1147" s="58" t="str">
        <f>IFERROR(__xludf.DUMMYFUNCTION("iferror(if(B1147="""", ,filter('IDR Import'!D:D,'IDR Import'!A:A=B1147,'IDR Import'!C:C=A1147)),)"),"")</f>
        <v/>
      </c>
      <c r="I1147" s="58"/>
      <c r="J1147" s="59" t="str">
        <f t="shared" si="1"/>
        <v/>
      </c>
    </row>
    <row r="1148">
      <c r="A1148" s="55"/>
      <c r="B1148" s="55"/>
      <c r="C1148" s="60"/>
      <c r="D1148" s="54"/>
      <c r="E1148" s="55"/>
      <c r="F1148" s="62"/>
      <c r="G1148" s="57"/>
      <c r="H1148" s="58" t="str">
        <f>IFERROR(__xludf.DUMMYFUNCTION("iferror(if(B1148="""", ,filter('IDR Import'!D:D,'IDR Import'!A:A=B1148,'IDR Import'!C:C=A1148)),)"),"")</f>
        <v/>
      </c>
      <c r="I1148" s="58"/>
      <c r="J1148" s="59" t="str">
        <f t="shared" si="1"/>
        <v/>
      </c>
    </row>
    <row r="1149">
      <c r="A1149" s="55"/>
      <c r="B1149" s="55"/>
      <c r="C1149" s="60"/>
      <c r="D1149" s="54"/>
      <c r="E1149" s="55"/>
      <c r="F1149" s="62"/>
      <c r="G1149" s="57"/>
      <c r="H1149" s="58" t="str">
        <f>IFERROR(__xludf.DUMMYFUNCTION("iferror(if(B1149="""", ,filter('IDR Import'!D:D,'IDR Import'!A:A=B1149,'IDR Import'!C:C=A1149)),)"),"")</f>
        <v/>
      </c>
      <c r="I1149" s="58"/>
      <c r="J1149" s="59" t="str">
        <f t="shared" si="1"/>
        <v/>
      </c>
    </row>
    <row r="1150">
      <c r="A1150" s="55"/>
      <c r="B1150" s="55"/>
      <c r="C1150" s="60"/>
      <c r="D1150" s="54"/>
      <c r="E1150" s="55"/>
      <c r="F1150" s="62"/>
      <c r="G1150" s="57"/>
      <c r="H1150" s="58" t="str">
        <f>IFERROR(__xludf.DUMMYFUNCTION("iferror(if(B1150="""", ,filter('IDR Import'!D:D,'IDR Import'!A:A=B1150,'IDR Import'!C:C=A1150)),)"),"")</f>
        <v/>
      </c>
      <c r="I1150" s="58"/>
      <c r="J1150" s="59" t="str">
        <f t="shared" si="1"/>
        <v/>
      </c>
    </row>
    <row r="1151">
      <c r="A1151" s="55"/>
      <c r="B1151" s="55"/>
      <c r="C1151" s="60"/>
      <c r="D1151" s="54"/>
      <c r="E1151" s="55"/>
      <c r="F1151" s="62"/>
      <c r="G1151" s="57"/>
      <c r="H1151" s="58" t="str">
        <f>IFERROR(__xludf.DUMMYFUNCTION("iferror(if(B1151="""", ,filter('IDR Import'!D:D,'IDR Import'!A:A=B1151,'IDR Import'!C:C=A1151)),)"),"")</f>
        <v/>
      </c>
      <c r="I1151" s="58"/>
      <c r="J1151" s="59" t="str">
        <f t="shared" si="1"/>
        <v/>
      </c>
    </row>
    <row r="1152">
      <c r="A1152" s="55"/>
      <c r="B1152" s="55"/>
      <c r="C1152" s="60"/>
      <c r="D1152" s="54"/>
      <c r="E1152" s="55"/>
      <c r="F1152" s="62"/>
      <c r="G1152" s="57"/>
      <c r="H1152" s="58" t="str">
        <f>IFERROR(__xludf.DUMMYFUNCTION("iferror(if(B1152="""", ,filter('IDR Import'!D:D,'IDR Import'!A:A=B1152,'IDR Import'!C:C=A1152)),)"),"")</f>
        <v/>
      </c>
      <c r="I1152" s="58"/>
      <c r="J1152" s="59" t="str">
        <f t="shared" si="1"/>
        <v/>
      </c>
    </row>
    <row r="1153">
      <c r="A1153" s="55"/>
      <c r="B1153" s="55"/>
      <c r="C1153" s="60"/>
      <c r="D1153" s="54"/>
      <c r="E1153" s="55"/>
      <c r="F1153" s="62"/>
      <c r="G1153" s="57"/>
      <c r="H1153" s="58" t="str">
        <f>IFERROR(__xludf.DUMMYFUNCTION("iferror(if(B1153="""", ,filter('IDR Import'!D:D,'IDR Import'!A:A=B1153,'IDR Import'!C:C=A1153)),)"),"")</f>
        <v/>
      </c>
      <c r="I1153" s="58"/>
      <c r="J1153" s="59" t="str">
        <f t="shared" si="1"/>
        <v/>
      </c>
    </row>
    <row r="1154">
      <c r="A1154" s="55"/>
      <c r="B1154" s="55"/>
      <c r="C1154" s="60"/>
      <c r="D1154" s="54"/>
      <c r="E1154" s="55"/>
      <c r="F1154" s="62"/>
      <c r="G1154" s="57"/>
      <c r="H1154" s="58" t="str">
        <f>IFERROR(__xludf.DUMMYFUNCTION("iferror(if(B1154="""", ,filter('IDR Import'!D:D,'IDR Import'!A:A=B1154,'IDR Import'!C:C=A1154)),)"),"")</f>
        <v/>
      </c>
      <c r="I1154" s="58"/>
      <c r="J1154" s="59" t="str">
        <f t="shared" si="1"/>
        <v/>
      </c>
    </row>
    <row r="1155">
      <c r="A1155" s="55"/>
      <c r="B1155" s="55"/>
      <c r="C1155" s="60"/>
      <c r="D1155" s="54"/>
      <c r="E1155" s="55"/>
      <c r="F1155" s="62"/>
      <c r="G1155" s="57"/>
      <c r="H1155" s="58" t="str">
        <f>IFERROR(__xludf.DUMMYFUNCTION("iferror(if(B1155="""", ,filter('IDR Import'!D:D,'IDR Import'!A:A=B1155,'IDR Import'!C:C=A1155)),)"),"")</f>
        <v/>
      </c>
      <c r="I1155" s="58"/>
      <c r="J1155" s="59" t="str">
        <f t="shared" si="1"/>
        <v/>
      </c>
    </row>
    <row r="1156">
      <c r="A1156" s="55"/>
      <c r="B1156" s="55"/>
      <c r="C1156" s="60"/>
      <c r="D1156" s="54"/>
      <c r="E1156" s="55"/>
      <c r="F1156" s="62"/>
      <c r="G1156" s="57"/>
      <c r="H1156" s="58" t="str">
        <f>IFERROR(__xludf.DUMMYFUNCTION("iferror(if(B1156="""", ,filter('IDR Import'!D:D,'IDR Import'!A:A=B1156,'IDR Import'!C:C=A1156)),)"),"")</f>
        <v/>
      </c>
      <c r="I1156" s="58"/>
      <c r="J1156" s="59" t="str">
        <f t="shared" si="1"/>
        <v/>
      </c>
    </row>
    <row r="1157">
      <c r="A1157" s="55"/>
      <c r="B1157" s="55"/>
      <c r="C1157" s="60"/>
      <c r="D1157" s="54"/>
      <c r="E1157" s="55"/>
      <c r="F1157" s="62"/>
      <c r="G1157" s="57"/>
      <c r="H1157" s="58" t="str">
        <f>IFERROR(__xludf.DUMMYFUNCTION("iferror(if(B1157="""", ,filter('IDR Import'!D:D,'IDR Import'!A:A=B1157,'IDR Import'!C:C=A1157)),)"),"")</f>
        <v/>
      </c>
      <c r="I1157" s="58"/>
      <c r="J1157" s="59" t="str">
        <f t="shared" si="1"/>
        <v/>
      </c>
    </row>
    <row r="1158">
      <c r="A1158" s="55"/>
      <c r="B1158" s="55"/>
      <c r="C1158" s="60"/>
      <c r="D1158" s="54"/>
      <c r="E1158" s="55"/>
      <c r="F1158" s="62"/>
      <c r="G1158" s="57"/>
      <c r="H1158" s="58" t="str">
        <f>IFERROR(__xludf.DUMMYFUNCTION("iferror(if(B1158="""", ,filter('IDR Import'!D:D,'IDR Import'!A:A=B1158,'IDR Import'!C:C=A1158)),)"),"")</f>
        <v/>
      </c>
      <c r="I1158" s="58"/>
      <c r="J1158" s="59" t="str">
        <f t="shared" si="1"/>
        <v/>
      </c>
    </row>
    <row r="1159">
      <c r="A1159" s="55"/>
      <c r="B1159" s="55"/>
      <c r="C1159" s="60"/>
      <c r="D1159" s="54"/>
      <c r="E1159" s="55"/>
      <c r="F1159" s="62"/>
      <c r="G1159" s="57"/>
      <c r="H1159" s="58" t="str">
        <f>IFERROR(__xludf.DUMMYFUNCTION("iferror(if(B1159="""", ,filter('IDR Import'!D:D,'IDR Import'!A:A=B1159,'IDR Import'!C:C=A1159)),)"),"")</f>
        <v/>
      </c>
      <c r="I1159" s="58"/>
      <c r="J1159" s="59" t="str">
        <f t="shared" si="1"/>
        <v/>
      </c>
    </row>
    <row r="1160">
      <c r="A1160" s="55"/>
      <c r="B1160" s="55"/>
      <c r="C1160" s="60"/>
      <c r="D1160" s="54"/>
      <c r="E1160" s="55"/>
      <c r="F1160" s="62"/>
      <c r="G1160" s="57"/>
      <c r="H1160" s="58" t="str">
        <f>IFERROR(__xludf.DUMMYFUNCTION("iferror(if(B1160="""", ,filter('IDR Import'!D:D,'IDR Import'!A:A=B1160,'IDR Import'!C:C=A1160)),)"),"")</f>
        <v/>
      </c>
      <c r="I1160" s="58"/>
      <c r="J1160" s="59" t="str">
        <f t="shared" si="1"/>
        <v/>
      </c>
    </row>
    <row r="1161">
      <c r="A1161" s="55"/>
      <c r="B1161" s="55"/>
      <c r="C1161" s="60"/>
      <c r="D1161" s="54"/>
      <c r="E1161" s="55"/>
      <c r="F1161" s="62"/>
      <c r="G1161" s="57"/>
      <c r="H1161" s="58" t="str">
        <f>IFERROR(__xludf.DUMMYFUNCTION("iferror(if(B1161="""", ,filter('IDR Import'!D:D,'IDR Import'!A:A=B1161,'IDR Import'!C:C=A1161)),)"),"")</f>
        <v/>
      </c>
      <c r="I1161" s="58"/>
      <c r="J1161" s="59" t="str">
        <f t="shared" si="1"/>
        <v/>
      </c>
    </row>
    <row r="1162">
      <c r="A1162" s="55"/>
      <c r="B1162" s="55"/>
      <c r="C1162" s="60"/>
      <c r="D1162" s="54"/>
      <c r="E1162" s="55"/>
      <c r="F1162" s="62"/>
      <c r="G1162" s="57"/>
      <c r="H1162" s="58" t="str">
        <f>IFERROR(__xludf.DUMMYFUNCTION("iferror(if(B1162="""", ,filter('IDR Import'!D:D,'IDR Import'!A:A=B1162,'IDR Import'!C:C=A1162)),)"),"")</f>
        <v/>
      </c>
      <c r="I1162" s="58"/>
      <c r="J1162" s="59" t="str">
        <f t="shared" si="1"/>
        <v/>
      </c>
    </row>
    <row r="1163">
      <c r="A1163" s="55"/>
      <c r="B1163" s="55"/>
      <c r="C1163" s="60"/>
      <c r="D1163" s="54"/>
      <c r="E1163" s="55"/>
      <c r="F1163" s="62"/>
      <c r="G1163" s="57"/>
      <c r="H1163" s="58" t="str">
        <f>IFERROR(__xludf.DUMMYFUNCTION("iferror(if(B1163="""", ,filter('IDR Import'!D:D,'IDR Import'!A:A=B1163,'IDR Import'!C:C=A1163)),)"),"")</f>
        <v/>
      </c>
      <c r="I1163" s="58"/>
      <c r="J1163" s="59" t="str">
        <f t="shared" si="1"/>
        <v/>
      </c>
    </row>
    <row r="1164">
      <c r="A1164" s="55"/>
      <c r="B1164" s="55"/>
      <c r="C1164" s="60"/>
      <c r="D1164" s="54"/>
      <c r="E1164" s="55"/>
      <c r="F1164" s="62"/>
      <c r="G1164" s="57"/>
      <c r="H1164" s="58" t="str">
        <f>IFERROR(__xludf.DUMMYFUNCTION("iferror(if(B1164="""", ,filter('IDR Import'!D:D,'IDR Import'!A:A=B1164,'IDR Import'!C:C=A1164)),)"),"")</f>
        <v/>
      </c>
      <c r="I1164" s="58"/>
      <c r="J1164" s="59" t="str">
        <f t="shared" si="1"/>
        <v/>
      </c>
    </row>
    <row r="1165">
      <c r="A1165" s="55"/>
      <c r="B1165" s="55"/>
      <c r="C1165" s="60"/>
      <c r="D1165" s="54"/>
      <c r="E1165" s="55"/>
      <c r="F1165" s="62"/>
      <c r="G1165" s="57"/>
      <c r="H1165" s="58" t="str">
        <f>IFERROR(__xludf.DUMMYFUNCTION("iferror(if(B1165="""", ,filter('IDR Import'!D:D,'IDR Import'!A:A=B1165,'IDR Import'!C:C=A1165)),)"),"")</f>
        <v/>
      </c>
      <c r="I1165" s="58"/>
      <c r="J1165" s="59" t="str">
        <f t="shared" si="1"/>
        <v/>
      </c>
    </row>
    <row r="1166">
      <c r="A1166" s="55"/>
      <c r="B1166" s="55"/>
      <c r="C1166" s="60"/>
      <c r="D1166" s="54"/>
      <c r="E1166" s="55"/>
      <c r="F1166" s="62"/>
      <c r="G1166" s="57"/>
      <c r="H1166" s="58" t="str">
        <f>IFERROR(__xludf.DUMMYFUNCTION("iferror(if(B1166="""", ,filter('IDR Import'!D:D,'IDR Import'!A:A=B1166,'IDR Import'!C:C=A1166)),)"),"")</f>
        <v/>
      </c>
      <c r="I1166" s="58"/>
      <c r="J1166" s="59" t="str">
        <f t="shared" si="1"/>
        <v/>
      </c>
    </row>
    <row r="1167">
      <c r="A1167" s="55"/>
      <c r="B1167" s="55"/>
      <c r="C1167" s="60"/>
      <c r="D1167" s="54"/>
      <c r="E1167" s="55"/>
      <c r="F1167" s="62"/>
      <c r="G1167" s="57"/>
      <c r="H1167" s="58" t="str">
        <f>IFERROR(__xludf.DUMMYFUNCTION("iferror(if(B1167="""", ,filter('IDR Import'!D:D,'IDR Import'!A:A=B1167,'IDR Import'!C:C=A1167)),)"),"")</f>
        <v/>
      </c>
      <c r="I1167" s="58"/>
      <c r="J1167" s="59" t="str">
        <f t="shared" si="1"/>
        <v/>
      </c>
    </row>
    <row r="1168">
      <c r="A1168" s="55"/>
      <c r="B1168" s="55"/>
      <c r="C1168" s="60"/>
      <c r="D1168" s="54"/>
      <c r="E1168" s="55"/>
      <c r="F1168" s="62"/>
      <c r="G1168" s="57"/>
      <c r="H1168" s="58" t="str">
        <f>IFERROR(__xludf.DUMMYFUNCTION("iferror(if(B1168="""", ,filter('IDR Import'!D:D,'IDR Import'!A:A=B1168,'IDR Import'!C:C=A1168)),)"),"")</f>
        <v/>
      </c>
      <c r="I1168" s="58"/>
      <c r="J1168" s="59" t="str">
        <f t="shared" si="1"/>
        <v/>
      </c>
    </row>
    <row r="1169">
      <c r="A1169" s="55"/>
      <c r="B1169" s="55"/>
      <c r="C1169" s="60"/>
      <c r="D1169" s="54"/>
      <c r="E1169" s="55"/>
      <c r="F1169" s="62"/>
      <c r="G1169" s="57"/>
      <c r="H1169" s="58" t="str">
        <f>IFERROR(__xludf.DUMMYFUNCTION("iferror(if(B1169="""", ,filter('IDR Import'!D:D,'IDR Import'!A:A=B1169,'IDR Import'!C:C=A1169)),)"),"")</f>
        <v/>
      </c>
      <c r="I1169" s="58"/>
      <c r="J1169" s="59" t="str">
        <f t="shared" si="1"/>
        <v/>
      </c>
    </row>
    <row r="1170">
      <c r="A1170" s="55"/>
      <c r="B1170" s="55"/>
      <c r="C1170" s="60"/>
      <c r="D1170" s="54"/>
      <c r="E1170" s="55"/>
      <c r="F1170" s="62"/>
      <c r="G1170" s="57"/>
      <c r="H1170" s="58" t="str">
        <f>IFERROR(__xludf.DUMMYFUNCTION("iferror(if(B1170="""", ,filter('IDR Import'!D:D,'IDR Import'!A:A=B1170,'IDR Import'!C:C=A1170)),)"),"")</f>
        <v/>
      </c>
      <c r="I1170" s="58"/>
      <c r="J1170" s="59" t="str">
        <f t="shared" si="1"/>
        <v/>
      </c>
    </row>
    <row r="1171">
      <c r="A1171" s="55"/>
      <c r="B1171" s="55"/>
      <c r="C1171" s="60"/>
      <c r="D1171" s="54"/>
      <c r="E1171" s="55"/>
      <c r="F1171" s="62"/>
      <c r="G1171" s="57"/>
      <c r="H1171" s="58" t="str">
        <f>IFERROR(__xludf.DUMMYFUNCTION("iferror(if(B1171="""", ,filter('IDR Import'!D:D,'IDR Import'!A:A=B1171,'IDR Import'!C:C=A1171)),)"),"")</f>
        <v/>
      </c>
      <c r="I1171" s="58"/>
      <c r="J1171" s="59" t="str">
        <f t="shared" si="1"/>
        <v/>
      </c>
    </row>
    <row r="1172">
      <c r="A1172" s="55"/>
      <c r="B1172" s="55"/>
      <c r="C1172" s="60"/>
      <c r="D1172" s="54"/>
      <c r="E1172" s="55"/>
      <c r="F1172" s="62"/>
      <c r="G1172" s="57"/>
      <c r="H1172" s="58" t="str">
        <f>IFERROR(__xludf.DUMMYFUNCTION("iferror(if(B1172="""", ,filter('IDR Import'!D:D,'IDR Import'!A:A=B1172,'IDR Import'!C:C=A1172)),)"),"")</f>
        <v/>
      </c>
      <c r="I1172" s="58"/>
      <c r="J1172" s="59" t="str">
        <f t="shared" si="1"/>
        <v/>
      </c>
    </row>
    <row r="1173">
      <c r="A1173" s="55"/>
      <c r="B1173" s="55"/>
      <c r="C1173" s="60"/>
      <c r="D1173" s="54"/>
      <c r="E1173" s="55"/>
      <c r="F1173" s="62"/>
      <c r="G1173" s="57"/>
      <c r="H1173" s="58" t="str">
        <f>IFERROR(__xludf.DUMMYFUNCTION("iferror(if(B1173="""", ,filter('IDR Import'!D:D,'IDR Import'!A:A=B1173,'IDR Import'!C:C=A1173)),)"),"")</f>
        <v/>
      </c>
      <c r="I1173" s="58"/>
      <c r="J1173" s="59" t="str">
        <f t="shared" si="1"/>
        <v/>
      </c>
    </row>
    <row r="1174">
      <c r="A1174" s="55"/>
      <c r="B1174" s="55"/>
      <c r="C1174" s="60"/>
      <c r="D1174" s="54"/>
      <c r="E1174" s="55"/>
      <c r="F1174" s="62"/>
      <c r="G1174" s="57"/>
      <c r="H1174" s="58" t="str">
        <f>IFERROR(__xludf.DUMMYFUNCTION("iferror(if(B1174="""", ,filter('IDR Import'!D:D,'IDR Import'!A:A=B1174,'IDR Import'!C:C=A1174)),)"),"")</f>
        <v/>
      </c>
      <c r="I1174" s="58"/>
      <c r="J1174" s="59" t="str">
        <f t="shared" si="1"/>
        <v/>
      </c>
    </row>
    <row r="1175">
      <c r="A1175" s="55"/>
      <c r="B1175" s="55"/>
      <c r="C1175" s="60"/>
      <c r="D1175" s="54"/>
      <c r="E1175" s="55"/>
      <c r="F1175" s="62"/>
      <c r="G1175" s="57"/>
      <c r="H1175" s="58" t="str">
        <f>IFERROR(__xludf.DUMMYFUNCTION("iferror(if(B1175="""", ,filter('IDR Import'!D:D,'IDR Import'!A:A=B1175,'IDR Import'!C:C=A1175)),)"),"")</f>
        <v/>
      </c>
      <c r="I1175" s="58"/>
      <c r="J1175" s="59" t="str">
        <f t="shared" si="1"/>
        <v/>
      </c>
    </row>
    <row r="1176">
      <c r="A1176" s="55"/>
      <c r="B1176" s="55"/>
      <c r="C1176" s="60"/>
      <c r="D1176" s="54"/>
      <c r="E1176" s="55"/>
      <c r="F1176" s="62"/>
      <c r="G1176" s="57"/>
      <c r="H1176" s="58" t="str">
        <f>IFERROR(__xludf.DUMMYFUNCTION("iferror(if(B1176="""", ,filter('IDR Import'!D:D,'IDR Import'!A:A=B1176,'IDR Import'!C:C=A1176)),)"),"")</f>
        <v/>
      </c>
      <c r="I1176" s="58"/>
      <c r="J1176" s="59" t="str">
        <f t="shared" si="1"/>
        <v/>
      </c>
    </row>
    <row r="1177">
      <c r="A1177" s="55"/>
      <c r="B1177" s="55"/>
      <c r="C1177" s="60"/>
      <c r="D1177" s="54"/>
      <c r="E1177" s="55"/>
      <c r="F1177" s="62"/>
      <c r="G1177" s="57"/>
      <c r="H1177" s="58" t="str">
        <f>IFERROR(__xludf.DUMMYFUNCTION("iferror(if(B1177="""", ,filter('IDR Import'!D:D,'IDR Import'!A:A=B1177,'IDR Import'!C:C=A1177)),)"),"")</f>
        <v/>
      </c>
      <c r="I1177" s="58"/>
      <c r="J1177" s="59" t="str">
        <f t="shared" si="1"/>
        <v/>
      </c>
    </row>
    <row r="1178">
      <c r="A1178" s="55"/>
      <c r="B1178" s="55"/>
      <c r="C1178" s="60"/>
      <c r="D1178" s="54"/>
      <c r="E1178" s="55"/>
      <c r="F1178" s="62"/>
      <c r="G1178" s="57"/>
      <c r="H1178" s="58" t="str">
        <f>IFERROR(__xludf.DUMMYFUNCTION("iferror(if(B1178="""", ,filter('IDR Import'!D:D,'IDR Import'!A:A=B1178,'IDR Import'!C:C=A1178)),)"),"")</f>
        <v/>
      </c>
      <c r="I1178" s="58"/>
      <c r="J1178" s="59" t="str">
        <f t="shared" si="1"/>
        <v/>
      </c>
    </row>
    <row r="1179">
      <c r="A1179" s="55"/>
      <c r="B1179" s="55"/>
      <c r="C1179" s="60"/>
      <c r="D1179" s="54"/>
      <c r="E1179" s="55"/>
      <c r="F1179" s="62"/>
      <c r="G1179" s="57"/>
      <c r="H1179" s="58" t="str">
        <f>IFERROR(__xludf.DUMMYFUNCTION("iferror(if(B1179="""", ,filter('IDR Import'!D:D,'IDR Import'!A:A=B1179,'IDR Import'!C:C=A1179)),)"),"")</f>
        <v/>
      </c>
      <c r="I1179" s="58"/>
      <c r="J1179" s="59" t="str">
        <f t="shared" si="1"/>
        <v/>
      </c>
    </row>
    <row r="1180">
      <c r="A1180" s="55"/>
      <c r="B1180" s="55"/>
      <c r="C1180" s="60"/>
      <c r="D1180" s="54"/>
      <c r="E1180" s="55"/>
      <c r="F1180" s="62"/>
      <c r="G1180" s="57"/>
      <c r="H1180" s="58" t="str">
        <f>IFERROR(__xludf.DUMMYFUNCTION("iferror(if(B1180="""", ,filter('IDR Import'!D:D,'IDR Import'!A:A=B1180,'IDR Import'!C:C=A1180)),)"),"")</f>
        <v/>
      </c>
      <c r="I1180" s="58"/>
      <c r="J1180" s="59" t="str">
        <f t="shared" si="1"/>
        <v/>
      </c>
    </row>
    <row r="1181">
      <c r="A1181" s="55"/>
      <c r="B1181" s="55"/>
      <c r="C1181" s="60"/>
      <c r="D1181" s="54"/>
      <c r="E1181" s="55"/>
      <c r="F1181" s="62"/>
      <c r="G1181" s="57"/>
      <c r="H1181" s="58" t="str">
        <f>IFERROR(__xludf.DUMMYFUNCTION("iferror(if(B1181="""", ,filter('IDR Import'!D:D,'IDR Import'!A:A=B1181,'IDR Import'!C:C=A1181)),)"),"")</f>
        <v/>
      </c>
      <c r="I1181" s="58"/>
      <c r="J1181" s="59" t="str">
        <f t="shared" si="1"/>
        <v/>
      </c>
    </row>
    <row r="1182">
      <c r="A1182" s="55"/>
      <c r="B1182" s="55"/>
      <c r="C1182" s="60"/>
      <c r="D1182" s="54"/>
      <c r="E1182" s="55"/>
      <c r="F1182" s="62"/>
      <c r="G1182" s="57"/>
      <c r="H1182" s="58" t="str">
        <f>IFERROR(__xludf.DUMMYFUNCTION("iferror(if(B1182="""", ,filter('IDR Import'!D:D,'IDR Import'!A:A=B1182,'IDR Import'!C:C=A1182)),)"),"")</f>
        <v/>
      </c>
      <c r="I1182" s="58"/>
      <c r="J1182" s="59" t="str">
        <f t="shared" si="1"/>
        <v/>
      </c>
    </row>
    <row r="1183">
      <c r="A1183" s="55"/>
      <c r="B1183" s="55"/>
      <c r="C1183" s="60"/>
      <c r="D1183" s="54"/>
      <c r="E1183" s="55"/>
      <c r="F1183" s="62"/>
      <c r="G1183" s="57"/>
      <c r="H1183" s="58" t="str">
        <f>IFERROR(__xludf.DUMMYFUNCTION("iferror(if(B1183="""", ,filter('IDR Import'!D:D,'IDR Import'!A:A=B1183,'IDR Import'!C:C=A1183)),)"),"")</f>
        <v/>
      </c>
      <c r="I1183" s="58"/>
      <c r="J1183" s="59" t="str">
        <f t="shared" si="1"/>
        <v/>
      </c>
    </row>
    <row r="1184">
      <c r="A1184" s="55"/>
      <c r="B1184" s="55"/>
      <c r="C1184" s="60"/>
      <c r="D1184" s="54"/>
      <c r="E1184" s="55"/>
      <c r="F1184" s="62"/>
      <c r="G1184" s="57"/>
      <c r="H1184" s="58" t="str">
        <f>IFERROR(__xludf.DUMMYFUNCTION("iferror(if(B1184="""", ,filter('IDR Import'!D:D,'IDR Import'!A:A=B1184,'IDR Import'!C:C=A1184)),)"),"")</f>
        <v/>
      </c>
      <c r="I1184" s="58"/>
      <c r="J1184" s="59" t="str">
        <f t="shared" si="1"/>
        <v/>
      </c>
    </row>
    <row r="1185">
      <c r="A1185" s="55"/>
      <c r="B1185" s="55"/>
      <c r="C1185" s="60"/>
      <c r="D1185" s="54"/>
      <c r="E1185" s="55"/>
      <c r="F1185" s="62"/>
      <c r="G1185" s="57"/>
      <c r="H1185" s="58" t="str">
        <f>IFERROR(__xludf.DUMMYFUNCTION("iferror(if(B1185="""", ,filter('IDR Import'!D:D,'IDR Import'!A:A=B1185,'IDR Import'!C:C=A1185)),)"),"")</f>
        <v/>
      </c>
      <c r="I1185" s="58"/>
      <c r="J1185" s="59" t="str">
        <f t="shared" si="1"/>
        <v/>
      </c>
    </row>
    <row r="1186">
      <c r="A1186" s="55"/>
      <c r="B1186" s="55"/>
      <c r="C1186" s="60"/>
      <c r="D1186" s="54"/>
      <c r="E1186" s="55"/>
      <c r="F1186" s="62"/>
      <c r="G1186" s="57"/>
      <c r="H1186" s="58" t="str">
        <f>IFERROR(__xludf.DUMMYFUNCTION("iferror(if(B1186="""", ,filter('IDR Import'!D:D,'IDR Import'!A:A=B1186,'IDR Import'!C:C=A1186)),)"),"")</f>
        <v/>
      </c>
      <c r="I1186" s="58"/>
      <c r="J1186" s="59" t="str">
        <f t="shared" si="1"/>
        <v/>
      </c>
    </row>
    <row r="1187">
      <c r="A1187" s="55"/>
      <c r="B1187" s="55"/>
      <c r="C1187" s="60"/>
      <c r="D1187" s="54"/>
      <c r="E1187" s="55"/>
      <c r="F1187" s="62"/>
      <c r="G1187" s="57"/>
      <c r="H1187" s="58" t="str">
        <f>IFERROR(__xludf.DUMMYFUNCTION("iferror(if(B1187="""", ,filter('IDR Import'!D:D,'IDR Import'!A:A=B1187,'IDR Import'!C:C=A1187)),)"),"")</f>
        <v/>
      </c>
      <c r="I1187" s="58"/>
      <c r="J1187" s="59" t="str">
        <f t="shared" si="1"/>
        <v/>
      </c>
    </row>
    <row r="1188">
      <c r="A1188" s="55"/>
      <c r="B1188" s="55"/>
      <c r="C1188" s="60"/>
      <c r="D1188" s="54"/>
      <c r="E1188" s="55"/>
      <c r="F1188" s="62"/>
      <c r="G1188" s="57"/>
      <c r="H1188" s="58" t="str">
        <f>IFERROR(__xludf.DUMMYFUNCTION("iferror(if(B1188="""", ,filter('IDR Import'!D:D,'IDR Import'!A:A=B1188,'IDR Import'!C:C=A1188)),)"),"")</f>
        <v/>
      </c>
      <c r="I1188" s="58"/>
      <c r="J1188" s="59" t="str">
        <f t="shared" si="1"/>
        <v/>
      </c>
    </row>
    <row r="1189">
      <c r="A1189" s="55"/>
      <c r="B1189" s="55"/>
      <c r="C1189" s="60"/>
      <c r="D1189" s="54"/>
      <c r="E1189" s="55"/>
      <c r="F1189" s="62"/>
      <c r="G1189" s="57"/>
      <c r="H1189" s="58" t="str">
        <f>IFERROR(__xludf.DUMMYFUNCTION("iferror(if(B1189="""", ,filter('IDR Import'!D:D,'IDR Import'!A:A=B1189,'IDR Import'!C:C=A1189)),)"),"")</f>
        <v/>
      </c>
      <c r="I1189" s="58"/>
      <c r="J1189" s="59" t="str">
        <f t="shared" si="1"/>
        <v/>
      </c>
    </row>
    <row r="1190">
      <c r="A1190" s="55"/>
      <c r="B1190" s="55"/>
      <c r="C1190" s="60"/>
      <c r="D1190" s="54"/>
      <c r="E1190" s="55"/>
      <c r="F1190" s="62"/>
      <c r="G1190" s="57"/>
      <c r="H1190" s="58" t="str">
        <f>IFERROR(__xludf.DUMMYFUNCTION("iferror(if(B1190="""", ,filter('IDR Import'!D:D,'IDR Import'!A:A=B1190,'IDR Import'!C:C=A1190)),)"),"")</f>
        <v/>
      </c>
      <c r="I1190" s="58"/>
      <c r="J1190" s="59" t="str">
        <f t="shared" si="1"/>
        <v/>
      </c>
    </row>
    <row r="1191">
      <c r="A1191" s="55"/>
      <c r="B1191" s="55"/>
      <c r="C1191" s="60"/>
      <c r="D1191" s="54"/>
      <c r="E1191" s="55"/>
      <c r="F1191" s="62"/>
      <c r="G1191" s="57"/>
      <c r="H1191" s="58" t="str">
        <f>IFERROR(__xludf.DUMMYFUNCTION("iferror(if(B1191="""", ,filter('IDR Import'!D:D,'IDR Import'!A:A=B1191,'IDR Import'!C:C=A1191)),)"),"")</f>
        <v/>
      </c>
      <c r="I1191" s="58"/>
      <c r="J1191" s="59" t="str">
        <f t="shared" si="1"/>
        <v/>
      </c>
    </row>
    <row r="1192">
      <c r="A1192" s="55"/>
      <c r="B1192" s="55"/>
      <c r="C1192" s="60"/>
      <c r="D1192" s="54"/>
      <c r="E1192" s="55"/>
      <c r="F1192" s="62"/>
      <c r="G1192" s="57"/>
      <c r="H1192" s="58" t="str">
        <f>IFERROR(__xludf.DUMMYFUNCTION("iferror(if(B1192="""", ,filter('IDR Import'!D:D,'IDR Import'!A:A=B1192,'IDR Import'!C:C=A1192)),)"),"")</f>
        <v/>
      </c>
      <c r="I1192" s="58"/>
      <c r="J1192" s="59" t="str">
        <f t="shared" si="1"/>
        <v/>
      </c>
    </row>
    <row r="1193">
      <c r="A1193" s="55"/>
      <c r="B1193" s="55"/>
      <c r="C1193" s="60"/>
      <c r="D1193" s="54"/>
      <c r="E1193" s="55"/>
      <c r="F1193" s="62"/>
      <c r="G1193" s="57"/>
      <c r="H1193" s="58" t="str">
        <f>IFERROR(__xludf.DUMMYFUNCTION("iferror(if(B1193="""", ,filter('IDR Import'!D:D,'IDR Import'!A:A=B1193,'IDR Import'!C:C=A1193)),)"),"")</f>
        <v/>
      </c>
      <c r="I1193" s="58"/>
      <c r="J1193" s="59" t="str">
        <f t="shared" si="1"/>
        <v/>
      </c>
    </row>
    <row r="1194">
      <c r="A1194" s="55"/>
      <c r="B1194" s="55"/>
      <c r="C1194" s="60"/>
      <c r="D1194" s="54"/>
      <c r="E1194" s="55"/>
      <c r="F1194" s="62"/>
      <c r="G1194" s="57"/>
      <c r="H1194" s="58" t="str">
        <f>IFERROR(__xludf.DUMMYFUNCTION("iferror(if(B1194="""", ,filter('IDR Import'!D:D,'IDR Import'!A:A=B1194,'IDR Import'!C:C=A1194)),)"),"")</f>
        <v/>
      </c>
      <c r="I1194" s="58"/>
      <c r="J1194" s="59" t="str">
        <f t="shared" si="1"/>
        <v/>
      </c>
    </row>
    <row r="1195">
      <c r="A1195" s="55"/>
      <c r="B1195" s="55"/>
      <c r="C1195" s="60"/>
      <c r="D1195" s="54"/>
      <c r="E1195" s="55"/>
      <c r="F1195" s="62"/>
      <c r="G1195" s="57"/>
      <c r="H1195" s="58" t="str">
        <f>IFERROR(__xludf.DUMMYFUNCTION("iferror(if(B1195="""", ,filter('IDR Import'!D:D,'IDR Import'!A:A=B1195,'IDR Import'!C:C=A1195)),)"),"")</f>
        <v/>
      </c>
      <c r="I1195" s="58"/>
      <c r="J1195" s="59" t="str">
        <f t="shared" si="1"/>
        <v/>
      </c>
    </row>
    <row r="1196">
      <c r="A1196" s="55"/>
      <c r="B1196" s="55"/>
      <c r="C1196" s="60"/>
      <c r="D1196" s="54"/>
      <c r="E1196" s="55"/>
      <c r="F1196" s="62"/>
      <c r="G1196" s="57"/>
      <c r="H1196" s="58" t="str">
        <f>IFERROR(__xludf.DUMMYFUNCTION("iferror(if(B1196="""", ,filter('IDR Import'!D:D,'IDR Import'!A:A=B1196,'IDR Import'!C:C=A1196)),)"),"")</f>
        <v/>
      </c>
      <c r="I1196" s="58"/>
      <c r="J1196" s="59" t="str">
        <f t="shared" si="1"/>
        <v/>
      </c>
    </row>
    <row r="1197">
      <c r="A1197" s="55"/>
      <c r="B1197" s="55"/>
      <c r="C1197" s="60"/>
      <c r="D1197" s="54"/>
      <c r="E1197" s="55"/>
      <c r="F1197" s="62"/>
      <c r="G1197" s="57"/>
      <c r="H1197" s="58" t="str">
        <f>IFERROR(__xludf.DUMMYFUNCTION("iferror(if(B1197="""", ,filter('IDR Import'!D:D,'IDR Import'!A:A=B1197,'IDR Import'!C:C=A1197)),)"),"")</f>
        <v/>
      </c>
      <c r="I1197" s="58"/>
      <c r="J1197" s="59" t="str">
        <f t="shared" si="1"/>
        <v/>
      </c>
    </row>
    <row r="1198">
      <c r="A1198" s="55"/>
      <c r="B1198" s="55"/>
      <c r="C1198" s="60"/>
      <c r="D1198" s="54"/>
      <c r="E1198" s="55"/>
      <c r="F1198" s="62"/>
      <c r="G1198" s="57"/>
      <c r="H1198" s="58" t="str">
        <f>IFERROR(__xludf.DUMMYFUNCTION("iferror(if(B1198="""", ,filter('IDR Import'!D:D,'IDR Import'!A:A=B1198,'IDR Import'!C:C=A1198)),)"),"")</f>
        <v/>
      </c>
      <c r="I1198" s="58"/>
      <c r="J1198" s="59" t="str">
        <f t="shared" si="1"/>
        <v/>
      </c>
    </row>
    <row r="1199">
      <c r="A1199" s="55"/>
      <c r="B1199" s="55"/>
      <c r="C1199" s="60"/>
      <c r="D1199" s="54"/>
      <c r="E1199" s="55"/>
      <c r="F1199" s="62"/>
      <c r="G1199" s="57"/>
      <c r="H1199" s="58" t="str">
        <f>IFERROR(__xludf.DUMMYFUNCTION("iferror(if(B1199="""", ,filter('IDR Import'!D:D,'IDR Import'!A:A=B1199,'IDR Import'!C:C=A1199)),)"),"")</f>
        <v/>
      </c>
      <c r="I1199" s="58"/>
      <c r="J1199" s="59" t="str">
        <f t="shared" si="1"/>
        <v/>
      </c>
    </row>
    <row r="1200">
      <c r="A1200" s="55"/>
      <c r="B1200" s="55"/>
      <c r="C1200" s="60"/>
      <c r="D1200" s="54"/>
      <c r="E1200" s="55"/>
      <c r="F1200" s="62"/>
      <c r="G1200" s="57"/>
      <c r="H1200" s="58" t="str">
        <f>IFERROR(__xludf.DUMMYFUNCTION("iferror(if(B1200="""", ,filter('IDR Import'!D:D,'IDR Import'!A:A=B1200,'IDR Import'!C:C=A1200)),)"),"")</f>
        <v/>
      </c>
      <c r="I1200" s="58"/>
      <c r="J1200" s="59" t="str">
        <f t="shared" si="1"/>
        <v/>
      </c>
    </row>
    <row r="1201">
      <c r="A1201" s="55"/>
      <c r="B1201" s="55"/>
      <c r="C1201" s="60"/>
      <c r="D1201" s="54"/>
      <c r="E1201" s="55"/>
      <c r="F1201" s="62"/>
      <c r="G1201" s="57"/>
      <c r="H1201" s="58" t="str">
        <f>IFERROR(__xludf.DUMMYFUNCTION("iferror(if(B1201="""", ,filter('IDR Import'!D:D,'IDR Import'!A:A=B1201,'IDR Import'!C:C=A1201)),)"),"")</f>
        <v/>
      </c>
      <c r="I1201" s="58"/>
      <c r="J1201" s="59" t="str">
        <f t="shared" si="1"/>
        <v/>
      </c>
    </row>
    <row r="1202">
      <c r="A1202" s="55"/>
      <c r="B1202" s="55"/>
      <c r="C1202" s="60"/>
      <c r="D1202" s="54"/>
      <c r="E1202" s="55"/>
      <c r="F1202" s="62"/>
      <c r="G1202" s="57"/>
      <c r="H1202" s="58" t="str">
        <f>IFERROR(__xludf.DUMMYFUNCTION("iferror(if(B1202="""", ,filter('IDR Import'!D:D,'IDR Import'!A:A=B1202,'IDR Import'!C:C=A1202)),)"),"")</f>
        <v/>
      </c>
      <c r="I1202" s="58"/>
      <c r="J1202" s="59" t="str">
        <f t="shared" si="1"/>
        <v/>
      </c>
    </row>
    <row r="1203">
      <c r="A1203" s="55"/>
      <c r="B1203" s="55"/>
      <c r="C1203" s="60"/>
      <c r="D1203" s="54"/>
      <c r="E1203" s="55"/>
      <c r="F1203" s="62"/>
      <c r="G1203" s="57"/>
      <c r="H1203" s="58" t="str">
        <f>IFERROR(__xludf.DUMMYFUNCTION("iferror(if(B1203="""", ,filter('IDR Import'!D:D,'IDR Import'!A:A=B1203,'IDR Import'!C:C=A1203)),)"),"")</f>
        <v/>
      </c>
      <c r="I1203" s="58"/>
      <c r="J1203" s="59" t="str">
        <f t="shared" si="1"/>
        <v/>
      </c>
    </row>
    <row r="1204">
      <c r="A1204" s="55"/>
      <c r="B1204" s="55"/>
      <c r="C1204" s="60"/>
      <c r="D1204" s="54"/>
      <c r="E1204" s="55"/>
      <c r="F1204" s="62"/>
      <c r="G1204" s="57"/>
      <c r="H1204" s="58" t="str">
        <f>IFERROR(__xludf.DUMMYFUNCTION("iferror(if(B1204="""", ,filter('IDR Import'!D:D,'IDR Import'!A:A=B1204,'IDR Import'!C:C=A1204)),)"),"")</f>
        <v/>
      </c>
      <c r="I1204" s="58"/>
      <c r="J1204" s="59" t="str">
        <f t="shared" si="1"/>
        <v/>
      </c>
    </row>
    <row r="1205">
      <c r="A1205" s="55"/>
      <c r="B1205" s="55"/>
      <c r="C1205" s="60"/>
      <c r="D1205" s="54"/>
      <c r="E1205" s="55"/>
      <c r="F1205" s="62"/>
      <c r="G1205" s="57"/>
      <c r="H1205" s="58" t="str">
        <f>IFERROR(__xludf.DUMMYFUNCTION("iferror(if(B1205="""", ,filter('IDR Import'!D:D,'IDR Import'!A:A=B1205,'IDR Import'!C:C=A1205)),)"),"")</f>
        <v/>
      </c>
      <c r="I1205" s="58"/>
      <c r="J1205" s="59" t="str">
        <f t="shared" si="1"/>
        <v/>
      </c>
    </row>
    <row r="1206">
      <c r="A1206" s="55"/>
      <c r="B1206" s="55"/>
      <c r="C1206" s="60"/>
      <c r="D1206" s="54"/>
      <c r="E1206" s="55"/>
      <c r="F1206" s="62"/>
      <c r="G1206" s="57"/>
      <c r="H1206" s="58" t="str">
        <f>IFERROR(__xludf.DUMMYFUNCTION("iferror(if(B1206="""", ,filter('IDR Import'!D:D,'IDR Import'!A:A=B1206,'IDR Import'!C:C=A1206)),)"),"")</f>
        <v/>
      </c>
      <c r="I1206" s="58"/>
      <c r="J1206" s="59" t="str">
        <f t="shared" si="1"/>
        <v/>
      </c>
    </row>
    <row r="1207">
      <c r="A1207" s="55"/>
      <c r="B1207" s="55"/>
      <c r="C1207" s="60"/>
      <c r="D1207" s="54"/>
      <c r="E1207" s="55"/>
      <c r="F1207" s="62"/>
      <c r="G1207" s="57"/>
      <c r="H1207" s="58" t="str">
        <f>IFERROR(__xludf.DUMMYFUNCTION("iferror(if(B1207="""", ,filter('IDR Import'!D:D,'IDR Import'!A:A=B1207,'IDR Import'!C:C=A1207)),)"),"")</f>
        <v/>
      </c>
      <c r="I1207" s="58"/>
      <c r="J1207" s="59" t="str">
        <f t="shared" si="1"/>
        <v/>
      </c>
    </row>
    <row r="1208">
      <c r="A1208" s="55"/>
      <c r="B1208" s="55"/>
      <c r="C1208" s="60"/>
      <c r="D1208" s="54"/>
      <c r="E1208" s="55"/>
      <c r="F1208" s="62"/>
      <c r="G1208" s="57"/>
      <c r="H1208" s="58" t="str">
        <f>IFERROR(__xludf.DUMMYFUNCTION("iferror(if(B1208="""", ,filter('IDR Import'!D:D,'IDR Import'!A:A=B1208,'IDR Import'!C:C=A1208)),)"),"")</f>
        <v/>
      </c>
      <c r="I1208" s="58"/>
      <c r="J1208" s="59" t="str">
        <f t="shared" si="1"/>
        <v/>
      </c>
    </row>
    <row r="1209">
      <c r="A1209" s="55"/>
      <c r="B1209" s="55"/>
      <c r="C1209" s="60"/>
      <c r="D1209" s="54"/>
      <c r="E1209" s="55"/>
      <c r="F1209" s="62"/>
      <c r="G1209" s="57"/>
      <c r="H1209" s="58" t="str">
        <f>IFERROR(__xludf.DUMMYFUNCTION("iferror(if(B1209="""", ,filter('IDR Import'!D:D,'IDR Import'!A:A=B1209,'IDR Import'!C:C=A1209)),)"),"")</f>
        <v/>
      </c>
      <c r="I1209" s="58"/>
      <c r="J1209" s="59" t="str">
        <f t="shared" si="1"/>
        <v/>
      </c>
    </row>
    <row r="1210">
      <c r="A1210" s="55"/>
      <c r="B1210" s="55"/>
      <c r="C1210" s="60"/>
      <c r="D1210" s="54"/>
      <c r="E1210" s="55"/>
      <c r="F1210" s="62"/>
      <c r="G1210" s="57"/>
      <c r="H1210" s="58" t="str">
        <f>IFERROR(__xludf.DUMMYFUNCTION("iferror(if(B1210="""", ,filter('IDR Import'!D:D,'IDR Import'!A:A=B1210,'IDR Import'!C:C=A1210)),)"),"")</f>
        <v/>
      </c>
      <c r="I1210" s="58"/>
      <c r="J1210" s="59" t="str">
        <f t="shared" si="1"/>
        <v/>
      </c>
    </row>
    <row r="1211">
      <c r="A1211" s="55"/>
      <c r="B1211" s="55"/>
      <c r="C1211" s="60"/>
      <c r="D1211" s="54"/>
      <c r="E1211" s="55"/>
      <c r="F1211" s="62"/>
      <c r="G1211" s="57"/>
      <c r="H1211" s="58" t="str">
        <f>IFERROR(__xludf.DUMMYFUNCTION("iferror(if(B1211="""", ,filter('IDR Import'!D:D,'IDR Import'!A:A=B1211,'IDR Import'!C:C=A1211)),)"),"")</f>
        <v/>
      </c>
      <c r="I1211" s="58"/>
      <c r="J1211" s="59" t="str">
        <f t="shared" si="1"/>
        <v/>
      </c>
    </row>
    <row r="1212">
      <c r="A1212" s="55"/>
      <c r="B1212" s="55"/>
      <c r="C1212" s="60"/>
      <c r="D1212" s="54"/>
      <c r="E1212" s="55"/>
      <c r="F1212" s="62"/>
      <c r="G1212" s="57"/>
      <c r="H1212" s="58" t="str">
        <f>IFERROR(__xludf.DUMMYFUNCTION("iferror(if(B1212="""", ,filter('IDR Import'!D:D,'IDR Import'!A:A=B1212,'IDR Import'!C:C=A1212)),)"),"")</f>
        <v/>
      </c>
      <c r="I1212" s="58"/>
      <c r="J1212" s="59" t="str">
        <f t="shared" si="1"/>
        <v/>
      </c>
    </row>
    <row r="1213">
      <c r="A1213" s="55"/>
      <c r="B1213" s="55"/>
      <c r="C1213" s="60"/>
      <c r="D1213" s="54"/>
      <c r="E1213" s="55"/>
      <c r="F1213" s="62"/>
      <c r="G1213" s="57"/>
      <c r="H1213" s="58" t="str">
        <f>IFERROR(__xludf.DUMMYFUNCTION("iferror(if(B1213="""", ,filter('IDR Import'!D:D,'IDR Import'!A:A=B1213,'IDR Import'!C:C=A1213)),)"),"")</f>
        <v/>
      </c>
      <c r="I1213" s="58"/>
      <c r="J1213" s="59" t="str">
        <f t="shared" si="1"/>
        <v/>
      </c>
    </row>
    <row r="1214">
      <c r="A1214" s="55"/>
      <c r="B1214" s="55"/>
      <c r="C1214" s="60"/>
      <c r="D1214" s="54"/>
      <c r="E1214" s="55"/>
      <c r="F1214" s="62"/>
      <c r="G1214" s="57"/>
      <c r="H1214" s="58" t="str">
        <f>IFERROR(__xludf.DUMMYFUNCTION("iferror(if(B1214="""", ,filter('IDR Import'!D:D,'IDR Import'!A:A=B1214,'IDR Import'!C:C=A1214)),)"),"")</f>
        <v/>
      </c>
      <c r="I1214" s="58"/>
      <c r="J1214" s="59" t="str">
        <f t="shared" si="1"/>
        <v/>
      </c>
    </row>
    <row r="1215">
      <c r="A1215" s="55"/>
      <c r="B1215" s="55"/>
      <c r="C1215" s="60"/>
      <c r="D1215" s="54"/>
      <c r="E1215" s="55"/>
      <c r="F1215" s="62"/>
      <c r="G1215" s="57"/>
      <c r="H1215" s="58" t="str">
        <f>IFERROR(__xludf.DUMMYFUNCTION("iferror(if(B1215="""", ,filter('IDR Import'!D:D,'IDR Import'!A:A=B1215,'IDR Import'!C:C=A1215)),)"),"")</f>
        <v/>
      </c>
      <c r="I1215" s="58"/>
      <c r="J1215" s="59" t="str">
        <f t="shared" si="1"/>
        <v/>
      </c>
    </row>
    <row r="1216">
      <c r="A1216" s="55"/>
      <c r="B1216" s="55"/>
      <c r="C1216" s="60"/>
      <c r="D1216" s="54"/>
      <c r="E1216" s="55"/>
      <c r="F1216" s="62"/>
      <c r="G1216" s="57"/>
      <c r="H1216" s="58" t="str">
        <f>IFERROR(__xludf.DUMMYFUNCTION("iferror(if(B1216="""", ,filter('IDR Import'!D:D,'IDR Import'!A:A=B1216,'IDR Import'!C:C=A1216)),)"),"")</f>
        <v/>
      </c>
      <c r="I1216" s="58"/>
      <c r="J1216" s="59" t="str">
        <f t="shared" si="1"/>
        <v/>
      </c>
    </row>
    <row r="1217">
      <c r="A1217" s="55"/>
      <c r="B1217" s="55"/>
      <c r="C1217" s="60"/>
      <c r="D1217" s="54"/>
      <c r="E1217" s="55"/>
      <c r="F1217" s="62"/>
      <c r="G1217" s="57"/>
      <c r="H1217" s="58" t="str">
        <f>IFERROR(__xludf.DUMMYFUNCTION("iferror(if(B1217="""", ,filter('IDR Import'!D:D,'IDR Import'!A:A=B1217,'IDR Import'!C:C=A1217)),)"),"")</f>
        <v/>
      </c>
      <c r="I1217" s="58"/>
      <c r="J1217" s="59" t="str">
        <f t="shared" si="1"/>
        <v/>
      </c>
    </row>
    <row r="1218">
      <c r="A1218" s="55"/>
      <c r="B1218" s="55"/>
      <c r="C1218" s="60"/>
      <c r="D1218" s="54"/>
      <c r="E1218" s="55"/>
      <c r="F1218" s="62"/>
      <c r="G1218" s="57"/>
      <c r="H1218" s="58" t="str">
        <f>IFERROR(__xludf.DUMMYFUNCTION("iferror(if(B1218="""", ,filter('IDR Import'!D:D,'IDR Import'!A:A=B1218,'IDR Import'!C:C=A1218)),)"),"")</f>
        <v/>
      </c>
      <c r="I1218" s="58"/>
      <c r="J1218" s="59" t="str">
        <f t="shared" si="1"/>
        <v/>
      </c>
    </row>
    <row r="1219">
      <c r="A1219" s="55"/>
      <c r="B1219" s="55"/>
      <c r="C1219" s="60"/>
      <c r="D1219" s="54"/>
      <c r="E1219" s="55"/>
      <c r="F1219" s="62"/>
      <c r="G1219" s="57"/>
      <c r="H1219" s="58" t="str">
        <f>IFERROR(__xludf.DUMMYFUNCTION("iferror(if(B1219="""", ,filter('IDR Import'!D:D,'IDR Import'!A:A=B1219,'IDR Import'!C:C=A1219)),)"),"")</f>
        <v/>
      </c>
      <c r="I1219" s="58"/>
      <c r="J1219" s="59" t="str">
        <f t="shared" si="1"/>
        <v/>
      </c>
    </row>
    <row r="1220">
      <c r="A1220" s="55"/>
      <c r="B1220" s="55"/>
      <c r="C1220" s="60"/>
      <c r="D1220" s="54"/>
      <c r="E1220" s="55"/>
      <c r="F1220" s="62"/>
      <c r="G1220" s="57"/>
      <c r="H1220" s="58" t="str">
        <f>IFERROR(__xludf.DUMMYFUNCTION("iferror(if(B1220="""", ,filter('IDR Import'!D:D,'IDR Import'!A:A=B1220,'IDR Import'!C:C=A1220)),)"),"")</f>
        <v/>
      </c>
      <c r="I1220" s="58"/>
      <c r="J1220" s="59" t="str">
        <f t="shared" si="1"/>
        <v/>
      </c>
    </row>
    <row r="1221">
      <c r="A1221" s="55"/>
      <c r="B1221" s="55"/>
      <c r="C1221" s="60"/>
      <c r="D1221" s="54"/>
      <c r="E1221" s="55"/>
      <c r="F1221" s="62"/>
      <c r="G1221" s="57"/>
      <c r="H1221" s="58" t="str">
        <f>IFERROR(__xludf.DUMMYFUNCTION("iferror(if(B1221="""", ,filter('IDR Import'!D:D,'IDR Import'!A:A=B1221,'IDR Import'!C:C=A1221)),)"),"")</f>
        <v/>
      </c>
      <c r="I1221" s="58"/>
      <c r="J1221" s="59" t="str">
        <f t="shared" si="1"/>
        <v/>
      </c>
    </row>
    <row r="1222">
      <c r="A1222" s="55"/>
      <c r="B1222" s="55"/>
      <c r="C1222" s="60"/>
      <c r="D1222" s="54"/>
      <c r="E1222" s="55"/>
      <c r="F1222" s="62"/>
      <c r="G1222" s="57"/>
      <c r="H1222" s="58" t="str">
        <f>IFERROR(__xludf.DUMMYFUNCTION("iferror(if(B1222="""", ,filter('IDR Import'!D:D,'IDR Import'!A:A=B1222,'IDR Import'!C:C=A1222)),)"),"")</f>
        <v/>
      </c>
      <c r="I1222" s="58"/>
      <c r="J1222" s="59" t="str">
        <f t="shared" si="1"/>
        <v/>
      </c>
    </row>
    <row r="1223">
      <c r="A1223" s="55"/>
      <c r="B1223" s="55"/>
      <c r="C1223" s="60"/>
      <c r="D1223" s="54"/>
      <c r="E1223" s="55"/>
      <c r="F1223" s="62"/>
      <c r="G1223" s="57"/>
      <c r="H1223" s="58" t="str">
        <f>IFERROR(__xludf.DUMMYFUNCTION("iferror(if(B1223="""", ,filter('IDR Import'!D:D,'IDR Import'!A:A=B1223,'IDR Import'!C:C=A1223)),)"),"")</f>
        <v/>
      </c>
      <c r="I1223" s="58"/>
      <c r="J1223" s="59" t="str">
        <f t="shared" si="1"/>
        <v/>
      </c>
    </row>
    <row r="1224">
      <c r="A1224" s="55"/>
      <c r="B1224" s="55"/>
      <c r="C1224" s="60"/>
      <c r="D1224" s="54"/>
      <c r="E1224" s="55"/>
      <c r="F1224" s="62"/>
      <c r="G1224" s="57"/>
      <c r="H1224" s="58" t="str">
        <f>IFERROR(__xludf.DUMMYFUNCTION("iferror(if(B1224="""", ,filter('IDR Import'!D:D,'IDR Import'!A:A=B1224,'IDR Import'!C:C=A1224)),)"),"")</f>
        <v/>
      </c>
      <c r="I1224" s="58"/>
      <c r="J1224" s="59" t="str">
        <f t="shared" si="1"/>
        <v/>
      </c>
    </row>
    <row r="1225">
      <c r="A1225" s="55"/>
      <c r="B1225" s="55"/>
      <c r="C1225" s="60"/>
      <c r="D1225" s="54"/>
      <c r="E1225" s="55"/>
      <c r="F1225" s="62"/>
      <c r="G1225" s="57"/>
      <c r="H1225" s="58" t="str">
        <f>IFERROR(__xludf.DUMMYFUNCTION("iferror(if(B1225="""", ,filter('IDR Import'!D:D,'IDR Import'!A:A=B1225,'IDR Import'!C:C=A1225)),)"),"")</f>
        <v/>
      </c>
      <c r="I1225" s="58"/>
      <c r="J1225" s="59" t="str">
        <f t="shared" si="1"/>
        <v/>
      </c>
    </row>
    <row r="1226">
      <c r="A1226" s="55"/>
      <c r="B1226" s="55"/>
      <c r="C1226" s="60"/>
      <c r="D1226" s="54"/>
      <c r="E1226" s="55"/>
      <c r="F1226" s="62"/>
      <c r="G1226" s="57"/>
      <c r="H1226" s="58" t="str">
        <f>IFERROR(__xludf.DUMMYFUNCTION("iferror(if(B1226="""", ,filter('IDR Import'!D:D,'IDR Import'!A:A=B1226,'IDR Import'!C:C=A1226)),)"),"")</f>
        <v/>
      </c>
      <c r="I1226" s="58"/>
      <c r="J1226" s="59" t="str">
        <f t="shared" si="1"/>
        <v/>
      </c>
    </row>
    <row r="1227">
      <c r="A1227" s="55"/>
      <c r="B1227" s="55"/>
      <c r="C1227" s="60"/>
      <c r="D1227" s="54"/>
      <c r="E1227" s="55"/>
      <c r="F1227" s="62"/>
      <c r="G1227" s="57"/>
      <c r="H1227" s="58" t="str">
        <f>IFERROR(__xludf.DUMMYFUNCTION("iferror(if(B1227="""", ,filter('IDR Import'!D:D,'IDR Import'!A:A=B1227,'IDR Import'!C:C=A1227)),)"),"")</f>
        <v/>
      </c>
      <c r="I1227" s="58"/>
      <c r="J1227" s="59" t="str">
        <f t="shared" si="1"/>
        <v/>
      </c>
    </row>
    <row r="1228">
      <c r="A1228" s="55"/>
      <c r="B1228" s="55"/>
      <c r="C1228" s="60"/>
      <c r="D1228" s="54"/>
      <c r="E1228" s="55"/>
      <c r="F1228" s="62"/>
      <c r="G1228" s="57"/>
      <c r="H1228" s="58" t="str">
        <f>IFERROR(__xludf.DUMMYFUNCTION("iferror(if(B1228="""", ,filter('IDR Import'!D:D,'IDR Import'!A:A=B1228,'IDR Import'!C:C=A1228)),)"),"")</f>
        <v/>
      </c>
      <c r="I1228" s="58"/>
      <c r="J1228" s="59" t="str">
        <f t="shared" si="1"/>
        <v/>
      </c>
    </row>
    <row r="1229">
      <c r="A1229" s="55"/>
      <c r="B1229" s="55"/>
      <c r="C1229" s="60"/>
      <c r="D1229" s="54"/>
      <c r="E1229" s="55"/>
      <c r="F1229" s="62"/>
      <c r="G1229" s="57"/>
      <c r="H1229" s="58" t="str">
        <f>IFERROR(__xludf.DUMMYFUNCTION("iferror(if(B1229="""", ,filter('IDR Import'!D:D,'IDR Import'!A:A=B1229,'IDR Import'!C:C=A1229)),)"),"")</f>
        <v/>
      </c>
      <c r="I1229" s="58"/>
      <c r="J1229" s="59" t="str">
        <f t="shared" si="1"/>
        <v/>
      </c>
    </row>
    <row r="1230">
      <c r="A1230" s="55"/>
      <c r="B1230" s="55"/>
      <c r="C1230" s="60"/>
      <c r="D1230" s="54"/>
      <c r="E1230" s="55"/>
      <c r="F1230" s="62"/>
      <c r="G1230" s="57"/>
      <c r="H1230" s="58" t="str">
        <f>IFERROR(__xludf.DUMMYFUNCTION("iferror(if(B1230="""", ,filter('IDR Import'!D:D,'IDR Import'!A:A=B1230,'IDR Import'!C:C=A1230)),)"),"")</f>
        <v/>
      </c>
      <c r="I1230" s="58"/>
      <c r="J1230" s="59" t="str">
        <f t="shared" si="1"/>
        <v/>
      </c>
    </row>
    <row r="1231">
      <c r="A1231" s="55"/>
      <c r="B1231" s="55"/>
      <c r="C1231" s="60"/>
      <c r="D1231" s="54"/>
      <c r="E1231" s="55"/>
      <c r="F1231" s="62"/>
      <c r="G1231" s="57"/>
      <c r="H1231" s="58" t="str">
        <f>IFERROR(__xludf.DUMMYFUNCTION("iferror(if(B1231="""", ,filter('IDR Import'!D:D,'IDR Import'!A:A=B1231,'IDR Import'!C:C=A1231)),)"),"")</f>
        <v/>
      </c>
      <c r="I1231" s="58"/>
      <c r="J1231" s="59" t="str">
        <f t="shared" si="1"/>
        <v/>
      </c>
    </row>
    <row r="1232">
      <c r="A1232" s="55"/>
      <c r="B1232" s="55"/>
      <c r="C1232" s="60"/>
      <c r="D1232" s="54"/>
      <c r="E1232" s="55"/>
      <c r="F1232" s="62"/>
      <c r="G1232" s="57"/>
      <c r="H1232" s="58" t="str">
        <f>IFERROR(__xludf.DUMMYFUNCTION("iferror(if(B1232="""", ,filter('IDR Import'!D:D,'IDR Import'!A:A=B1232,'IDR Import'!C:C=A1232)),)"),"")</f>
        <v/>
      </c>
      <c r="I1232" s="58"/>
      <c r="J1232" s="59" t="str">
        <f t="shared" si="1"/>
        <v/>
      </c>
    </row>
    <row r="1233">
      <c r="A1233" s="55"/>
      <c r="B1233" s="55"/>
      <c r="C1233" s="60"/>
      <c r="D1233" s="54"/>
      <c r="E1233" s="55"/>
      <c r="F1233" s="62"/>
      <c r="G1233" s="57"/>
      <c r="H1233" s="58" t="str">
        <f>IFERROR(__xludf.DUMMYFUNCTION("iferror(if(B1233="""", ,filter('IDR Import'!D:D,'IDR Import'!A:A=B1233,'IDR Import'!C:C=A1233)),)"),"")</f>
        <v/>
      </c>
      <c r="I1233" s="58"/>
      <c r="J1233" s="59" t="str">
        <f t="shared" si="1"/>
        <v/>
      </c>
    </row>
    <row r="1234">
      <c r="A1234" s="55"/>
      <c r="B1234" s="55"/>
      <c r="C1234" s="60"/>
      <c r="D1234" s="54"/>
      <c r="E1234" s="55"/>
      <c r="F1234" s="62"/>
      <c r="G1234" s="57"/>
      <c r="H1234" s="58" t="str">
        <f>IFERROR(__xludf.DUMMYFUNCTION("iferror(if(B1234="""", ,filter('IDR Import'!D:D,'IDR Import'!A:A=B1234,'IDR Import'!C:C=A1234)),)"),"")</f>
        <v/>
      </c>
      <c r="I1234" s="58"/>
      <c r="J1234" s="59" t="str">
        <f t="shared" si="1"/>
        <v/>
      </c>
    </row>
    <row r="1235">
      <c r="A1235" s="55"/>
      <c r="B1235" s="55"/>
      <c r="C1235" s="60"/>
      <c r="D1235" s="54"/>
      <c r="E1235" s="55"/>
      <c r="F1235" s="62"/>
      <c r="G1235" s="57"/>
      <c r="H1235" s="58" t="str">
        <f>IFERROR(__xludf.DUMMYFUNCTION("iferror(if(B1235="""", ,filter('IDR Import'!D:D,'IDR Import'!A:A=B1235,'IDR Import'!C:C=A1235)),)"),"")</f>
        <v/>
      </c>
      <c r="I1235" s="58"/>
      <c r="J1235" s="59" t="str">
        <f t="shared" si="1"/>
        <v/>
      </c>
    </row>
    <row r="1236">
      <c r="A1236" s="55"/>
      <c r="B1236" s="55"/>
      <c r="C1236" s="60"/>
      <c r="D1236" s="54"/>
      <c r="E1236" s="55"/>
      <c r="F1236" s="62"/>
      <c r="G1236" s="57"/>
      <c r="H1236" s="58" t="str">
        <f>IFERROR(__xludf.DUMMYFUNCTION("iferror(if(B1236="""", ,filter('IDR Import'!D:D,'IDR Import'!A:A=B1236,'IDR Import'!C:C=A1236)),)"),"")</f>
        <v/>
      </c>
      <c r="I1236" s="58"/>
      <c r="J1236" s="59" t="str">
        <f t="shared" si="1"/>
        <v/>
      </c>
    </row>
    <row r="1237">
      <c r="A1237" s="55"/>
      <c r="B1237" s="55"/>
      <c r="C1237" s="60"/>
      <c r="D1237" s="54"/>
      <c r="E1237" s="55"/>
      <c r="F1237" s="62"/>
      <c r="G1237" s="57"/>
      <c r="H1237" s="58" t="str">
        <f>IFERROR(__xludf.DUMMYFUNCTION("iferror(if(B1237="""", ,filter('IDR Import'!D:D,'IDR Import'!A:A=B1237,'IDR Import'!C:C=A1237)),)"),"")</f>
        <v/>
      </c>
      <c r="I1237" s="58"/>
      <c r="J1237" s="59" t="str">
        <f t="shared" si="1"/>
        <v/>
      </c>
    </row>
    <row r="1238">
      <c r="A1238" s="55"/>
      <c r="B1238" s="55"/>
      <c r="C1238" s="60"/>
      <c r="D1238" s="54"/>
      <c r="E1238" s="55"/>
      <c r="F1238" s="62"/>
      <c r="G1238" s="57"/>
      <c r="H1238" s="58" t="str">
        <f>IFERROR(__xludf.DUMMYFUNCTION("iferror(if(B1238="""", ,filter('IDR Import'!D:D,'IDR Import'!A:A=B1238,'IDR Import'!C:C=A1238)),)"),"")</f>
        <v/>
      </c>
      <c r="I1238" s="58"/>
      <c r="J1238" s="59" t="str">
        <f t="shared" si="1"/>
        <v/>
      </c>
    </row>
    <row r="1239">
      <c r="A1239" s="55"/>
      <c r="B1239" s="55"/>
      <c r="C1239" s="60"/>
      <c r="D1239" s="54"/>
      <c r="E1239" s="55"/>
      <c r="F1239" s="62"/>
      <c r="G1239" s="57"/>
      <c r="H1239" s="58" t="str">
        <f>IFERROR(__xludf.DUMMYFUNCTION("iferror(if(B1239="""", ,filter('IDR Import'!D:D,'IDR Import'!A:A=B1239,'IDR Import'!C:C=A1239)),)"),"")</f>
        <v/>
      </c>
      <c r="I1239" s="58"/>
      <c r="J1239" s="59" t="str">
        <f t="shared" si="1"/>
        <v/>
      </c>
    </row>
    <row r="1240">
      <c r="A1240" s="55"/>
      <c r="B1240" s="55"/>
      <c r="C1240" s="60"/>
      <c r="D1240" s="54"/>
      <c r="E1240" s="55"/>
      <c r="F1240" s="62"/>
      <c r="G1240" s="57"/>
      <c r="H1240" s="58" t="str">
        <f>IFERROR(__xludf.DUMMYFUNCTION("iferror(if(B1240="""", ,filter('IDR Import'!D:D,'IDR Import'!A:A=B1240,'IDR Import'!C:C=A1240)),)"),"")</f>
        <v/>
      </c>
      <c r="I1240" s="58"/>
      <c r="J1240" s="59" t="str">
        <f t="shared" si="1"/>
        <v/>
      </c>
    </row>
    <row r="1241">
      <c r="A1241" s="55"/>
      <c r="B1241" s="55"/>
      <c r="C1241" s="60"/>
      <c r="D1241" s="54"/>
      <c r="E1241" s="55"/>
      <c r="F1241" s="62"/>
      <c r="G1241" s="57"/>
      <c r="H1241" s="58" t="str">
        <f>IFERROR(__xludf.DUMMYFUNCTION("iferror(if(B1241="""", ,filter('IDR Import'!D:D,'IDR Import'!A:A=B1241,'IDR Import'!C:C=A1241)),)"),"")</f>
        <v/>
      </c>
      <c r="I1241" s="58"/>
      <c r="J1241" s="59" t="str">
        <f t="shared" si="1"/>
        <v/>
      </c>
    </row>
    <row r="1242">
      <c r="A1242" s="55"/>
      <c r="B1242" s="55"/>
      <c r="C1242" s="60"/>
      <c r="D1242" s="54"/>
      <c r="E1242" s="55"/>
      <c r="F1242" s="62"/>
      <c r="G1242" s="57"/>
      <c r="H1242" s="58" t="str">
        <f>IFERROR(__xludf.DUMMYFUNCTION("iferror(if(B1242="""", ,filter('IDR Import'!D:D,'IDR Import'!A:A=B1242,'IDR Import'!C:C=A1242)),)"),"")</f>
        <v/>
      </c>
      <c r="I1242" s="58"/>
      <c r="J1242" s="59" t="str">
        <f t="shared" si="1"/>
        <v/>
      </c>
    </row>
    <row r="1243">
      <c r="A1243" s="55"/>
      <c r="B1243" s="55"/>
      <c r="C1243" s="60"/>
      <c r="D1243" s="54"/>
      <c r="E1243" s="55"/>
      <c r="F1243" s="62"/>
      <c r="G1243" s="57"/>
      <c r="H1243" s="58" t="str">
        <f>IFERROR(__xludf.DUMMYFUNCTION("iferror(if(B1243="""", ,filter('IDR Import'!D:D,'IDR Import'!A:A=B1243,'IDR Import'!C:C=A1243)),)"),"")</f>
        <v/>
      </c>
      <c r="I1243" s="58"/>
      <c r="J1243" s="59" t="str">
        <f t="shared" si="1"/>
        <v/>
      </c>
    </row>
    <row r="1244">
      <c r="A1244" s="55"/>
      <c r="B1244" s="55"/>
      <c r="C1244" s="60"/>
      <c r="D1244" s="54"/>
      <c r="E1244" s="55"/>
      <c r="F1244" s="62"/>
      <c r="G1244" s="57"/>
      <c r="H1244" s="58" t="str">
        <f>IFERROR(__xludf.DUMMYFUNCTION("iferror(if(B1244="""", ,filter('IDR Import'!D:D,'IDR Import'!A:A=B1244,'IDR Import'!C:C=A1244)),)"),"")</f>
        <v/>
      </c>
      <c r="I1244" s="58"/>
      <c r="J1244" s="59" t="str">
        <f t="shared" si="1"/>
        <v/>
      </c>
    </row>
    <row r="1245">
      <c r="A1245" s="55"/>
      <c r="B1245" s="55"/>
      <c r="C1245" s="60"/>
      <c r="D1245" s="54"/>
      <c r="E1245" s="55"/>
      <c r="F1245" s="62"/>
      <c r="G1245" s="57"/>
      <c r="H1245" s="58" t="str">
        <f>IFERROR(__xludf.DUMMYFUNCTION("iferror(if(B1245="""", ,filter('IDR Import'!D:D,'IDR Import'!A:A=B1245,'IDR Import'!C:C=A1245)),)"),"")</f>
        <v/>
      </c>
      <c r="I1245" s="58"/>
      <c r="J1245" s="59" t="str">
        <f t="shared" si="1"/>
        <v/>
      </c>
    </row>
    <row r="1246">
      <c r="A1246" s="55"/>
      <c r="B1246" s="55"/>
      <c r="C1246" s="60"/>
      <c r="D1246" s="54"/>
      <c r="E1246" s="55"/>
      <c r="F1246" s="62"/>
      <c r="G1246" s="57"/>
      <c r="H1246" s="58" t="str">
        <f>IFERROR(__xludf.DUMMYFUNCTION("iferror(if(B1246="""", ,filter('IDR Import'!D:D,'IDR Import'!A:A=B1246,'IDR Import'!C:C=A1246)),)"),"")</f>
        <v/>
      </c>
      <c r="I1246" s="58"/>
      <c r="J1246" s="59" t="str">
        <f t="shared" si="1"/>
        <v/>
      </c>
    </row>
    <row r="1247">
      <c r="A1247" s="55"/>
      <c r="B1247" s="55"/>
      <c r="C1247" s="60"/>
      <c r="D1247" s="54"/>
      <c r="E1247" s="55"/>
      <c r="F1247" s="62"/>
      <c r="G1247" s="57"/>
      <c r="H1247" s="58" t="str">
        <f>IFERROR(__xludf.DUMMYFUNCTION("iferror(if(B1247="""", ,filter('IDR Import'!D:D,'IDR Import'!A:A=B1247,'IDR Import'!C:C=A1247)),)"),"")</f>
        <v/>
      </c>
      <c r="I1247" s="58"/>
      <c r="J1247" s="59" t="str">
        <f t="shared" si="1"/>
        <v/>
      </c>
    </row>
    <row r="1248">
      <c r="A1248" s="55"/>
      <c r="B1248" s="55"/>
      <c r="C1248" s="60"/>
      <c r="D1248" s="54"/>
      <c r="E1248" s="55"/>
      <c r="F1248" s="62"/>
      <c r="G1248" s="57"/>
      <c r="H1248" s="58" t="str">
        <f>IFERROR(__xludf.DUMMYFUNCTION("iferror(if(B1248="""", ,filter('IDR Import'!D:D,'IDR Import'!A:A=B1248,'IDR Import'!C:C=A1248)),)"),"")</f>
        <v/>
      </c>
      <c r="I1248" s="58"/>
      <c r="J1248" s="59" t="str">
        <f t="shared" si="1"/>
        <v/>
      </c>
    </row>
    <row r="1249">
      <c r="A1249" s="55"/>
      <c r="B1249" s="55"/>
      <c r="C1249" s="60"/>
      <c r="D1249" s="54"/>
      <c r="E1249" s="55"/>
      <c r="F1249" s="62"/>
      <c r="G1249" s="57"/>
      <c r="H1249" s="58" t="str">
        <f>IFERROR(__xludf.DUMMYFUNCTION("iferror(if(B1249="""", ,filter('IDR Import'!D:D,'IDR Import'!A:A=B1249,'IDR Import'!C:C=A1249)),)"),"")</f>
        <v/>
      </c>
      <c r="I1249" s="58"/>
      <c r="J1249" s="59" t="str">
        <f t="shared" si="1"/>
        <v/>
      </c>
    </row>
    <row r="1250">
      <c r="A1250" s="55"/>
      <c r="B1250" s="55"/>
      <c r="C1250" s="60"/>
      <c r="D1250" s="54"/>
      <c r="E1250" s="55"/>
      <c r="F1250" s="62"/>
      <c r="G1250" s="57"/>
      <c r="H1250" s="58" t="str">
        <f>IFERROR(__xludf.DUMMYFUNCTION("iferror(if(B1250="""", ,filter('IDR Import'!D:D,'IDR Import'!A:A=B1250,'IDR Import'!C:C=A1250)),)"),"")</f>
        <v/>
      </c>
      <c r="I1250" s="58"/>
      <c r="J1250" s="59" t="str">
        <f t="shared" si="1"/>
        <v/>
      </c>
    </row>
    <row r="1251">
      <c r="A1251" s="55"/>
      <c r="B1251" s="55"/>
      <c r="C1251" s="60"/>
      <c r="D1251" s="54"/>
      <c r="E1251" s="55"/>
      <c r="F1251" s="62"/>
      <c r="G1251" s="57"/>
      <c r="H1251" s="58" t="str">
        <f>IFERROR(__xludf.DUMMYFUNCTION("iferror(if(B1251="""", ,filter('IDR Import'!D:D,'IDR Import'!A:A=B1251,'IDR Import'!C:C=A1251)),)"),"")</f>
        <v/>
      </c>
      <c r="I1251" s="58"/>
      <c r="J1251" s="59" t="str">
        <f t="shared" si="1"/>
        <v/>
      </c>
    </row>
    <row r="1252">
      <c r="A1252" s="55"/>
      <c r="B1252" s="55"/>
      <c r="C1252" s="60"/>
      <c r="D1252" s="54"/>
      <c r="E1252" s="55"/>
      <c r="F1252" s="62"/>
      <c r="G1252" s="57"/>
      <c r="H1252" s="58" t="str">
        <f>IFERROR(__xludf.DUMMYFUNCTION("iferror(if(B1252="""", ,filter('IDR Import'!D:D,'IDR Import'!A:A=B1252,'IDR Import'!C:C=A1252)),)"),"")</f>
        <v/>
      </c>
      <c r="I1252" s="58"/>
      <c r="J1252" s="59" t="str">
        <f t="shared" si="1"/>
        <v/>
      </c>
    </row>
    <row r="1253">
      <c r="A1253" s="55"/>
      <c r="B1253" s="55"/>
      <c r="C1253" s="60"/>
      <c r="D1253" s="54"/>
      <c r="E1253" s="55"/>
      <c r="F1253" s="62"/>
      <c r="G1253" s="57"/>
      <c r="H1253" s="58" t="str">
        <f>IFERROR(__xludf.DUMMYFUNCTION("iferror(if(B1253="""", ,filter('IDR Import'!D:D,'IDR Import'!A:A=B1253,'IDR Import'!C:C=A1253)),)"),"")</f>
        <v/>
      </c>
      <c r="I1253" s="58"/>
      <c r="J1253" s="59" t="str">
        <f t="shared" si="1"/>
        <v/>
      </c>
    </row>
    <row r="1254">
      <c r="A1254" s="55"/>
      <c r="B1254" s="55"/>
      <c r="C1254" s="60"/>
      <c r="D1254" s="54"/>
      <c r="E1254" s="55"/>
      <c r="F1254" s="62"/>
      <c r="G1254" s="57"/>
      <c r="H1254" s="58" t="str">
        <f>IFERROR(__xludf.DUMMYFUNCTION("iferror(if(B1254="""", ,filter('IDR Import'!D:D,'IDR Import'!A:A=B1254,'IDR Import'!C:C=A1254)),)"),"")</f>
        <v/>
      </c>
      <c r="I1254" s="58"/>
      <c r="J1254" s="59" t="str">
        <f t="shared" si="1"/>
        <v/>
      </c>
    </row>
    <row r="1255">
      <c r="A1255" s="55"/>
      <c r="B1255" s="55"/>
      <c r="C1255" s="60"/>
      <c r="D1255" s="54"/>
      <c r="E1255" s="55"/>
      <c r="F1255" s="62"/>
      <c r="G1255" s="57"/>
      <c r="H1255" s="58" t="str">
        <f>IFERROR(__xludf.DUMMYFUNCTION("iferror(if(B1255="""", ,filter('IDR Import'!D:D,'IDR Import'!A:A=B1255,'IDR Import'!C:C=A1255)),)"),"")</f>
        <v/>
      </c>
      <c r="I1255" s="58"/>
      <c r="J1255" s="59" t="str">
        <f t="shared" si="1"/>
        <v/>
      </c>
    </row>
    <row r="1256">
      <c r="A1256" s="55"/>
      <c r="B1256" s="55"/>
      <c r="C1256" s="60"/>
      <c r="D1256" s="54"/>
      <c r="E1256" s="55"/>
      <c r="F1256" s="62"/>
      <c r="G1256" s="57"/>
      <c r="H1256" s="58" t="str">
        <f>IFERROR(__xludf.DUMMYFUNCTION("iferror(if(B1256="""", ,filter('IDR Import'!D:D,'IDR Import'!A:A=B1256,'IDR Import'!C:C=A1256)),)"),"")</f>
        <v/>
      </c>
      <c r="I1256" s="58"/>
      <c r="J1256" s="59" t="str">
        <f t="shared" si="1"/>
        <v/>
      </c>
    </row>
    <row r="1257">
      <c r="A1257" s="55"/>
      <c r="B1257" s="55"/>
      <c r="C1257" s="60"/>
      <c r="D1257" s="54"/>
      <c r="E1257" s="55"/>
      <c r="F1257" s="62"/>
      <c r="G1257" s="57"/>
      <c r="H1257" s="58" t="str">
        <f>IFERROR(__xludf.DUMMYFUNCTION("iferror(if(B1257="""", ,filter('IDR Import'!D:D,'IDR Import'!A:A=B1257,'IDR Import'!C:C=A1257)),)"),"")</f>
        <v/>
      </c>
      <c r="I1257" s="58"/>
      <c r="J1257" s="59" t="str">
        <f t="shared" si="1"/>
        <v/>
      </c>
    </row>
    <row r="1258">
      <c r="A1258" s="55"/>
      <c r="B1258" s="55"/>
      <c r="C1258" s="60"/>
      <c r="D1258" s="54"/>
      <c r="E1258" s="55"/>
      <c r="F1258" s="62"/>
      <c r="G1258" s="57"/>
      <c r="H1258" s="58" t="str">
        <f>IFERROR(__xludf.DUMMYFUNCTION("iferror(if(B1258="""", ,filter('IDR Import'!D:D,'IDR Import'!A:A=B1258,'IDR Import'!C:C=A1258)),)"),"")</f>
        <v/>
      </c>
      <c r="I1258" s="58"/>
      <c r="J1258" s="59" t="str">
        <f t="shared" si="1"/>
        <v/>
      </c>
    </row>
    <row r="1259">
      <c r="A1259" s="55"/>
      <c r="B1259" s="55"/>
      <c r="C1259" s="60"/>
      <c r="D1259" s="54"/>
      <c r="E1259" s="55"/>
      <c r="F1259" s="62"/>
      <c r="G1259" s="57"/>
      <c r="H1259" s="58" t="str">
        <f>IFERROR(__xludf.DUMMYFUNCTION("iferror(if(B1259="""", ,filter('IDR Import'!D:D,'IDR Import'!A:A=B1259,'IDR Import'!C:C=A1259)),)"),"")</f>
        <v/>
      </c>
      <c r="I1259" s="58"/>
      <c r="J1259" s="59" t="str">
        <f t="shared" si="1"/>
        <v/>
      </c>
    </row>
    <row r="1260">
      <c r="A1260" s="55"/>
      <c r="B1260" s="55"/>
      <c r="C1260" s="60"/>
      <c r="D1260" s="54"/>
      <c r="E1260" s="55"/>
      <c r="F1260" s="62"/>
      <c r="G1260" s="57"/>
      <c r="H1260" s="58" t="str">
        <f>IFERROR(__xludf.DUMMYFUNCTION("iferror(if(B1260="""", ,filter('IDR Import'!D:D,'IDR Import'!A:A=B1260,'IDR Import'!C:C=A1260)),)"),"")</f>
        <v/>
      </c>
      <c r="I1260" s="58"/>
      <c r="J1260" s="59" t="str">
        <f t="shared" si="1"/>
        <v/>
      </c>
    </row>
    <row r="1261">
      <c r="A1261" s="55"/>
      <c r="B1261" s="55"/>
      <c r="C1261" s="60"/>
      <c r="D1261" s="54"/>
      <c r="E1261" s="55"/>
      <c r="F1261" s="62"/>
      <c r="G1261" s="57"/>
      <c r="H1261" s="58" t="str">
        <f>IFERROR(__xludf.DUMMYFUNCTION("iferror(if(B1261="""", ,filter('IDR Import'!D:D,'IDR Import'!A:A=B1261,'IDR Import'!C:C=A1261)),)"),"")</f>
        <v/>
      </c>
      <c r="I1261" s="58"/>
      <c r="J1261" s="59" t="str">
        <f t="shared" si="1"/>
        <v/>
      </c>
    </row>
    <row r="1262">
      <c r="A1262" s="55"/>
      <c r="B1262" s="55"/>
      <c r="C1262" s="60"/>
      <c r="D1262" s="54"/>
      <c r="E1262" s="55"/>
      <c r="F1262" s="62"/>
      <c r="G1262" s="57"/>
      <c r="H1262" s="58" t="str">
        <f>IFERROR(__xludf.DUMMYFUNCTION("iferror(if(B1262="""", ,filter('IDR Import'!D:D,'IDR Import'!A:A=B1262,'IDR Import'!C:C=A1262)),)"),"")</f>
        <v/>
      </c>
      <c r="I1262" s="58"/>
      <c r="J1262" s="59" t="str">
        <f t="shared" si="1"/>
        <v/>
      </c>
    </row>
    <row r="1263">
      <c r="A1263" s="55"/>
      <c r="B1263" s="55"/>
      <c r="C1263" s="60"/>
      <c r="D1263" s="54"/>
      <c r="E1263" s="55"/>
      <c r="F1263" s="62"/>
      <c r="G1263" s="57"/>
      <c r="H1263" s="58" t="str">
        <f>IFERROR(__xludf.DUMMYFUNCTION("iferror(if(B1263="""", ,filter('IDR Import'!D:D,'IDR Import'!A:A=B1263,'IDR Import'!C:C=A1263)),)"),"")</f>
        <v/>
      </c>
      <c r="I1263" s="58"/>
      <c r="J1263" s="59" t="str">
        <f t="shared" si="1"/>
        <v/>
      </c>
    </row>
    <row r="1264">
      <c r="A1264" s="55"/>
      <c r="B1264" s="55"/>
      <c r="C1264" s="60"/>
      <c r="D1264" s="54"/>
      <c r="E1264" s="55"/>
      <c r="F1264" s="62"/>
      <c r="G1264" s="57"/>
      <c r="H1264" s="58" t="str">
        <f>IFERROR(__xludf.DUMMYFUNCTION("iferror(if(B1264="""", ,filter('IDR Import'!D:D,'IDR Import'!A:A=B1264,'IDR Import'!C:C=A1264)),)"),"")</f>
        <v/>
      </c>
      <c r="I1264" s="58"/>
      <c r="J1264" s="59" t="str">
        <f t="shared" si="1"/>
        <v/>
      </c>
    </row>
    <row r="1265">
      <c r="A1265" s="55"/>
      <c r="B1265" s="55"/>
      <c r="C1265" s="60"/>
      <c r="D1265" s="54"/>
      <c r="E1265" s="55"/>
      <c r="F1265" s="62"/>
      <c r="G1265" s="57"/>
      <c r="H1265" s="58" t="str">
        <f>IFERROR(__xludf.DUMMYFUNCTION("iferror(if(B1265="""", ,filter('IDR Import'!D:D,'IDR Import'!A:A=B1265,'IDR Import'!C:C=A1265)),)"),"")</f>
        <v/>
      </c>
      <c r="I1265" s="58"/>
      <c r="J1265" s="59" t="str">
        <f t="shared" si="1"/>
        <v/>
      </c>
    </row>
    <row r="1266">
      <c r="A1266" s="55"/>
      <c r="B1266" s="55"/>
      <c r="C1266" s="60"/>
      <c r="D1266" s="54"/>
      <c r="E1266" s="55"/>
      <c r="F1266" s="62"/>
      <c r="G1266" s="57"/>
      <c r="H1266" s="58" t="str">
        <f>IFERROR(__xludf.DUMMYFUNCTION("iferror(if(B1266="""", ,filter('IDR Import'!D:D,'IDR Import'!A:A=B1266,'IDR Import'!C:C=A1266)),)"),"")</f>
        <v/>
      </c>
      <c r="I1266" s="58"/>
      <c r="J1266" s="59" t="str">
        <f t="shared" si="1"/>
        <v/>
      </c>
    </row>
    <row r="1267">
      <c r="A1267" s="55"/>
      <c r="B1267" s="55"/>
      <c r="C1267" s="60"/>
      <c r="D1267" s="54"/>
      <c r="E1267" s="55"/>
      <c r="F1267" s="62"/>
      <c r="G1267" s="57"/>
      <c r="H1267" s="58" t="str">
        <f>IFERROR(__xludf.DUMMYFUNCTION("iferror(if(B1267="""", ,filter('IDR Import'!D:D,'IDR Import'!A:A=B1267,'IDR Import'!C:C=A1267)),)"),"")</f>
        <v/>
      </c>
      <c r="I1267" s="58"/>
      <c r="J1267" s="59" t="str">
        <f t="shared" si="1"/>
        <v/>
      </c>
    </row>
    <row r="1268">
      <c r="A1268" s="55"/>
      <c r="B1268" s="55"/>
      <c r="C1268" s="60"/>
      <c r="D1268" s="54"/>
      <c r="E1268" s="55"/>
      <c r="F1268" s="62"/>
      <c r="G1268" s="57"/>
      <c r="H1268" s="58" t="str">
        <f>IFERROR(__xludf.DUMMYFUNCTION("iferror(if(B1268="""", ,filter('IDR Import'!D:D,'IDR Import'!A:A=B1268,'IDR Import'!C:C=A1268)),)"),"")</f>
        <v/>
      </c>
      <c r="I1268" s="58"/>
      <c r="J1268" s="59" t="str">
        <f t="shared" si="1"/>
        <v/>
      </c>
    </row>
    <row r="1269">
      <c r="A1269" s="55"/>
      <c r="B1269" s="55"/>
      <c r="C1269" s="60"/>
      <c r="D1269" s="54"/>
      <c r="E1269" s="55"/>
      <c r="F1269" s="62"/>
      <c r="G1269" s="57"/>
      <c r="H1269" s="58" t="str">
        <f>IFERROR(__xludf.DUMMYFUNCTION("iferror(if(B1269="""", ,filter('IDR Import'!D:D,'IDR Import'!A:A=B1269,'IDR Import'!C:C=A1269)),)"),"")</f>
        <v/>
      </c>
      <c r="I1269" s="58"/>
      <c r="J1269" s="59" t="str">
        <f t="shared" si="1"/>
        <v/>
      </c>
    </row>
    <row r="1270">
      <c r="A1270" s="55"/>
      <c r="B1270" s="55"/>
      <c r="C1270" s="60"/>
      <c r="D1270" s="54"/>
      <c r="E1270" s="55"/>
      <c r="F1270" s="62"/>
      <c r="G1270" s="57"/>
      <c r="H1270" s="58" t="str">
        <f>IFERROR(__xludf.DUMMYFUNCTION("iferror(if(B1270="""", ,filter('IDR Import'!D:D,'IDR Import'!A:A=B1270,'IDR Import'!C:C=A1270)),)"),"")</f>
        <v/>
      </c>
      <c r="I1270" s="58"/>
      <c r="J1270" s="59" t="str">
        <f t="shared" si="1"/>
        <v/>
      </c>
    </row>
    <row r="1271">
      <c r="A1271" s="55"/>
      <c r="B1271" s="55"/>
      <c r="C1271" s="60"/>
      <c r="D1271" s="54"/>
      <c r="E1271" s="55"/>
      <c r="F1271" s="62"/>
      <c r="G1271" s="57"/>
      <c r="H1271" s="58" t="str">
        <f>IFERROR(__xludf.DUMMYFUNCTION("iferror(if(B1271="""", ,filter('IDR Import'!D:D,'IDR Import'!A:A=B1271,'IDR Import'!C:C=A1271)),)"),"")</f>
        <v/>
      </c>
      <c r="I1271" s="58"/>
      <c r="J1271" s="59" t="str">
        <f t="shared" si="1"/>
        <v/>
      </c>
    </row>
    <row r="1272">
      <c r="A1272" s="55"/>
      <c r="B1272" s="55"/>
      <c r="C1272" s="60"/>
      <c r="D1272" s="54"/>
      <c r="E1272" s="55"/>
      <c r="F1272" s="62"/>
      <c r="G1272" s="57"/>
      <c r="H1272" s="58" t="str">
        <f>IFERROR(__xludf.DUMMYFUNCTION("iferror(if(B1272="""", ,filter('IDR Import'!D:D,'IDR Import'!A:A=B1272,'IDR Import'!C:C=A1272)),)"),"")</f>
        <v/>
      </c>
      <c r="I1272" s="58"/>
      <c r="J1272" s="59" t="str">
        <f t="shared" si="1"/>
        <v/>
      </c>
    </row>
    <row r="1273">
      <c r="A1273" s="55"/>
      <c r="B1273" s="55"/>
      <c r="C1273" s="60"/>
      <c r="D1273" s="54"/>
      <c r="E1273" s="55"/>
      <c r="F1273" s="62"/>
      <c r="G1273" s="57"/>
      <c r="H1273" s="58" t="str">
        <f>IFERROR(__xludf.DUMMYFUNCTION("iferror(if(B1273="""", ,filter('IDR Import'!D:D,'IDR Import'!A:A=B1273,'IDR Import'!C:C=A1273)),)"),"")</f>
        <v/>
      </c>
      <c r="I1273" s="58"/>
      <c r="J1273" s="59" t="str">
        <f t="shared" si="1"/>
        <v/>
      </c>
    </row>
    <row r="1274">
      <c r="A1274" s="55"/>
      <c r="B1274" s="55"/>
      <c r="C1274" s="60"/>
      <c r="D1274" s="54"/>
      <c r="E1274" s="55"/>
      <c r="F1274" s="62"/>
      <c r="G1274" s="57"/>
      <c r="H1274" s="58" t="str">
        <f>IFERROR(__xludf.DUMMYFUNCTION("iferror(if(B1274="""", ,filter('IDR Import'!D:D,'IDR Import'!A:A=B1274,'IDR Import'!C:C=A1274)),)"),"")</f>
        <v/>
      </c>
      <c r="I1274" s="58"/>
      <c r="J1274" s="59" t="str">
        <f t="shared" si="1"/>
        <v/>
      </c>
    </row>
    <row r="1275">
      <c r="A1275" s="55"/>
      <c r="B1275" s="55"/>
      <c r="C1275" s="60"/>
      <c r="D1275" s="54"/>
      <c r="E1275" s="55"/>
      <c r="F1275" s="62"/>
      <c r="G1275" s="57"/>
      <c r="H1275" s="58" t="str">
        <f>IFERROR(__xludf.DUMMYFUNCTION("iferror(if(B1275="""", ,filter('IDR Import'!D:D,'IDR Import'!A:A=B1275,'IDR Import'!C:C=A1275)),)"),"")</f>
        <v/>
      </c>
      <c r="I1275" s="58"/>
      <c r="J1275" s="59" t="str">
        <f t="shared" si="1"/>
        <v/>
      </c>
    </row>
    <row r="1276">
      <c r="A1276" s="55"/>
      <c r="B1276" s="55"/>
      <c r="C1276" s="60"/>
      <c r="D1276" s="54"/>
      <c r="E1276" s="55"/>
      <c r="F1276" s="62"/>
      <c r="G1276" s="57"/>
      <c r="H1276" s="58" t="str">
        <f>IFERROR(__xludf.DUMMYFUNCTION("iferror(if(B1276="""", ,filter('IDR Import'!D:D,'IDR Import'!A:A=B1276,'IDR Import'!C:C=A1276)),)"),"")</f>
        <v/>
      </c>
      <c r="I1276" s="58"/>
      <c r="J1276" s="59" t="str">
        <f t="shared" si="1"/>
        <v/>
      </c>
    </row>
    <row r="1277">
      <c r="A1277" s="55"/>
      <c r="B1277" s="55"/>
      <c r="C1277" s="60"/>
      <c r="D1277" s="54"/>
      <c r="E1277" s="55"/>
      <c r="F1277" s="62"/>
      <c r="G1277" s="57"/>
      <c r="H1277" s="58" t="str">
        <f>IFERROR(__xludf.DUMMYFUNCTION("iferror(if(B1277="""", ,filter('IDR Import'!D:D,'IDR Import'!A:A=B1277,'IDR Import'!C:C=A1277)),)"),"")</f>
        <v/>
      </c>
      <c r="I1277" s="58"/>
      <c r="J1277" s="59" t="str">
        <f t="shared" si="1"/>
        <v/>
      </c>
    </row>
    <row r="1278">
      <c r="A1278" s="55"/>
      <c r="B1278" s="55"/>
      <c r="C1278" s="60"/>
      <c r="D1278" s="54"/>
      <c r="E1278" s="55"/>
      <c r="F1278" s="62"/>
      <c r="G1278" s="57"/>
      <c r="H1278" s="58" t="str">
        <f>IFERROR(__xludf.DUMMYFUNCTION("iferror(if(B1278="""", ,filter('IDR Import'!D:D,'IDR Import'!A:A=B1278,'IDR Import'!C:C=A1278)),)"),"")</f>
        <v/>
      </c>
      <c r="I1278" s="58"/>
      <c r="J1278" s="59" t="str">
        <f t="shared" si="1"/>
        <v/>
      </c>
    </row>
    <row r="1279">
      <c r="A1279" s="55"/>
      <c r="B1279" s="55"/>
      <c r="C1279" s="60"/>
      <c r="D1279" s="54"/>
      <c r="E1279" s="55"/>
      <c r="F1279" s="62"/>
      <c r="G1279" s="57"/>
      <c r="H1279" s="58" t="str">
        <f>IFERROR(__xludf.DUMMYFUNCTION("iferror(if(B1279="""", ,filter('IDR Import'!D:D,'IDR Import'!A:A=B1279,'IDR Import'!C:C=A1279)),)"),"")</f>
        <v/>
      </c>
      <c r="I1279" s="58"/>
      <c r="J1279" s="59" t="str">
        <f t="shared" si="1"/>
        <v/>
      </c>
    </row>
    <row r="1280">
      <c r="A1280" s="55"/>
      <c r="B1280" s="55"/>
      <c r="C1280" s="60"/>
      <c r="D1280" s="54"/>
      <c r="E1280" s="55"/>
      <c r="F1280" s="62"/>
      <c r="G1280" s="57"/>
      <c r="H1280" s="58" t="str">
        <f>IFERROR(__xludf.DUMMYFUNCTION("iferror(if(B1280="""", ,filter('IDR Import'!D:D,'IDR Import'!A:A=B1280,'IDR Import'!C:C=A1280)),)"),"")</f>
        <v/>
      </c>
      <c r="I1280" s="58"/>
      <c r="J1280" s="59" t="str">
        <f t="shared" si="1"/>
        <v/>
      </c>
    </row>
    <row r="1281">
      <c r="A1281" s="55"/>
      <c r="B1281" s="55"/>
      <c r="C1281" s="60"/>
      <c r="D1281" s="54"/>
      <c r="E1281" s="55"/>
      <c r="F1281" s="62"/>
      <c r="G1281" s="57"/>
      <c r="H1281" s="58" t="str">
        <f>IFERROR(__xludf.DUMMYFUNCTION("iferror(if(B1281="""", ,filter('IDR Import'!D:D,'IDR Import'!A:A=B1281,'IDR Import'!C:C=A1281)),)"),"")</f>
        <v/>
      </c>
      <c r="I1281" s="58"/>
      <c r="J1281" s="59" t="str">
        <f t="shared" si="1"/>
        <v/>
      </c>
    </row>
    <row r="1282">
      <c r="A1282" s="55"/>
      <c r="B1282" s="55"/>
      <c r="C1282" s="60"/>
      <c r="D1282" s="54"/>
      <c r="E1282" s="55"/>
      <c r="F1282" s="62"/>
      <c r="G1282" s="57"/>
      <c r="H1282" s="58" t="str">
        <f>IFERROR(__xludf.DUMMYFUNCTION("iferror(if(B1282="""", ,filter('IDR Import'!D:D,'IDR Import'!A:A=B1282,'IDR Import'!C:C=A1282)),)"),"")</f>
        <v/>
      </c>
      <c r="I1282" s="58"/>
      <c r="J1282" s="59" t="str">
        <f t="shared" si="1"/>
        <v/>
      </c>
    </row>
    <row r="1283">
      <c r="A1283" s="55"/>
      <c r="B1283" s="55"/>
      <c r="C1283" s="60"/>
      <c r="D1283" s="54"/>
      <c r="E1283" s="55"/>
      <c r="F1283" s="62"/>
      <c r="G1283" s="57"/>
      <c r="H1283" s="58" t="str">
        <f>IFERROR(__xludf.DUMMYFUNCTION("iferror(if(B1283="""", ,filter('IDR Import'!D:D,'IDR Import'!A:A=B1283,'IDR Import'!C:C=A1283)),)"),"")</f>
        <v/>
      </c>
      <c r="I1283" s="58"/>
      <c r="J1283" s="59" t="str">
        <f t="shared" si="1"/>
        <v/>
      </c>
    </row>
    <row r="1284">
      <c r="A1284" s="55"/>
      <c r="B1284" s="55"/>
      <c r="C1284" s="60"/>
      <c r="D1284" s="54"/>
      <c r="E1284" s="55"/>
      <c r="F1284" s="62"/>
      <c r="G1284" s="57"/>
      <c r="H1284" s="58" t="str">
        <f>IFERROR(__xludf.DUMMYFUNCTION("iferror(if(B1284="""", ,filter('IDR Import'!D:D,'IDR Import'!A:A=B1284,'IDR Import'!C:C=A1284)),)"),"")</f>
        <v/>
      </c>
      <c r="I1284" s="58"/>
      <c r="J1284" s="59" t="str">
        <f t="shared" si="1"/>
        <v/>
      </c>
    </row>
    <row r="1285">
      <c r="A1285" s="55"/>
      <c r="B1285" s="55"/>
      <c r="C1285" s="60"/>
      <c r="D1285" s="54"/>
      <c r="E1285" s="55"/>
      <c r="F1285" s="62"/>
      <c r="G1285" s="57"/>
      <c r="H1285" s="58" t="str">
        <f>IFERROR(__xludf.DUMMYFUNCTION("iferror(if(B1285="""", ,filter('IDR Import'!D:D,'IDR Import'!A:A=B1285,'IDR Import'!C:C=A1285)),)"),"")</f>
        <v/>
      </c>
      <c r="I1285" s="58"/>
      <c r="J1285" s="59" t="str">
        <f t="shared" si="1"/>
        <v/>
      </c>
    </row>
    <row r="1286">
      <c r="A1286" s="55"/>
      <c r="B1286" s="55"/>
      <c r="C1286" s="60"/>
      <c r="D1286" s="54"/>
      <c r="E1286" s="55"/>
      <c r="F1286" s="62"/>
      <c r="G1286" s="57"/>
      <c r="H1286" s="58" t="str">
        <f>IFERROR(__xludf.DUMMYFUNCTION("iferror(if(B1286="""", ,filter('IDR Import'!D:D,'IDR Import'!A:A=B1286,'IDR Import'!C:C=A1286)),)"),"")</f>
        <v/>
      </c>
      <c r="I1286" s="58"/>
      <c r="J1286" s="59" t="str">
        <f t="shared" si="1"/>
        <v/>
      </c>
    </row>
    <row r="1287">
      <c r="A1287" s="55"/>
      <c r="B1287" s="55"/>
      <c r="C1287" s="60"/>
      <c r="D1287" s="54"/>
      <c r="E1287" s="55"/>
      <c r="F1287" s="62"/>
      <c r="G1287" s="57"/>
      <c r="H1287" s="58" t="str">
        <f>IFERROR(__xludf.DUMMYFUNCTION("iferror(if(B1287="""", ,filter('IDR Import'!D:D,'IDR Import'!A:A=B1287,'IDR Import'!C:C=A1287)),)"),"")</f>
        <v/>
      </c>
      <c r="I1287" s="58"/>
      <c r="J1287" s="59" t="str">
        <f t="shared" si="1"/>
        <v/>
      </c>
    </row>
    <row r="1288">
      <c r="A1288" s="55"/>
      <c r="B1288" s="55"/>
      <c r="C1288" s="60"/>
      <c r="D1288" s="54"/>
      <c r="E1288" s="55"/>
      <c r="F1288" s="62"/>
      <c r="G1288" s="57"/>
      <c r="H1288" s="58" t="str">
        <f>IFERROR(__xludf.DUMMYFUNCTION("iferror(if(B1288="""", ,filter('IDR Import'!D:D,'IDR Import'!A:A=B1288,'IDR Import'!C:C=A1288)),)"),"")</f>
        <v/>
      </c>
      <c r="I1288" s="58"/>
      <c r="J1288" s="59" t="str">
        <f t="shared" si="1"/>
        <v/>
      </c>
    </row>
    <row r="1289">
      <c r="A1289" s="55"/>
      <c r="B1289" s="55"/>
      <c r="C1289" s="60"/>
      <c r="D1289" s="54"/>
      <c r="E1289" s="55"/>
      <c r="F1289" s="62"/>
      <c r="G1289" s="57"/>
      <c r="H1289" s="58" t="str">
        <f>IFERROR(__xludf.DUMMYFUNCTION("iferror(if(B1289="""", ,filter('IDR Import'!D:D,'IDR Import'!A:A=B1289,'IDR Import'!C:C=A1289)),)"),"")</f>
        <v/>
      </c>
      <c r="I1289" s="58"/>
      <c r="J1289" s="59" t="str">
        <f t="shared" si="1"/>
        <v/>
      </c>
    </row>
    <row r="1290">
      <c r="A1290" s="55"/>
      <c r="B1290" s="55"/>
      <c r="C1290" s="60"/>
      <c r="D1290" s="54"/>
      <c r="E1290" s="55"/>
      <c r="F1290" s="62"/>
      <c r="G1290" s="57"/>
      <c r="H1290" s="58" t="str">
        <f>IFERROR(__xludf.DUMMYFUNCTION("iferror(if(B1290="""", ,filter('IDR Import'!D:D,'IDR Import'!A:A=B1290,'IDR Import'!C:C=A1290)),)"),"")</f>
        <v/>
      </c>
      <c r="I1290" s="58"/>
      <c r="J1290" s="59" t="str">
        <f t="shared" si="1"/>
        <v/>
      </c>
    </row>
    <row r="1291">
      <c r="A1291" s="55"/>
      <c r="B1291" s="55"/>
      <c r="C1291" s="60"/>
      <c r="D1291" s="54"/>
      <c r="E1291" s="55"/>
      <c r="F1291" s="62"/>
      <c r="G1291" s="57"/>
      <c r="H1291" s="58" t="str">
        <f>IFERROR(__xludf.DUMMYFUNCTION("iferror(if(B1291="""", ,filter('IDR Import'!D:D,'IDR Import'!A:A=B1291,'IDR Import'!C:C=A1291)),)"),"")</f>
        <v/>
      </c>
      <c r="I1291" s="58"/>
      <c r="J1291" s="59" t="str">
        <f t="shared" si="1"/>
        <v/>
      </c>
    </row>
    <row r="1292">
      <c r="A1292" s="55"/>
      <c r="B1292" s="55"/>
      <c r="C1292" s="60"/>
      <c r="D1292" s="54"/>
      <c r="E1292" s="55"/>
      <c r="F1292" s="62"/>
      <c r="G1292" s="57"/>
      <c r="H1292" s="58" t="str">
        <f>IFERROR(__xludf.DUMMYFUNCTION("iferror(if(B1292="""", ,filter('IDR Import'!D:D,'IDR Import'!A:A=B1292,'IDR Import'!C:C=A1292)),)"),"")</f>
        <v/>
      </c>
      <c r="I1292" s="58"/>
      <c r="J1292" s="59" t="str">
        <f t="shared" si="1"/>
        <v/>
      </c>
    </row>
    <row r="1293">
      <c r="A1293" s="55"/>
      <c r="B1293" s="55"/>
      <c r="C1293" s="60"/>
      <c r="D1293" s="54"/>
      <c r="E1293" s="55"/>
      <c r="F1293" s="62"/>
      <c r="G1293" s="57"/>
      <c r="H1293" s="58" t="str">
        <f>IFERROR(__xludf.DUMMYFUNCTION("iferror(if(B1293="""", ,filter('IDR Import'!D:D,'IDR Import'!A:A=B1293,'IDR Import'!C:C=A1293)),)"),"")</f>
        <v/>
      </c>
      <c r="I1293" s="58"/>
      <c r="J1293" s="59" t="str">
        <f t="shared" si="1"/>
        <v/>
      </c>
    </row>
    <row r="1294">
      <c r="A1294" s="55"/>
      <c r="B1294" s="55"/>
      <c r="C1294" s="60"/>
      <c r="D1294" s="54"/>
      <c r="E1294" s="55"/>
      <c r="F1294" s="62"/>
      <c r="G1294" s="57"/>
      <c r="H1294" s="58" t="str">
        <f>IFERROR(__xludf.DUMMYFUNCTION("iferror(if(B1294="""", ,filter('IDR Import'!D:D,'IDR Import'!A:A=B1294,'IDR Import'!C:C=A1294)),)"),"")</f>
        <v/>
      </c>
      <c r="I1294" s="58"/>
      <c r="J1294" s="59" t="str">
        <f t="shared" si="1"/>
        <v/>
      </c>
    </row>
    <row r="1295">
      <c r="A1295" s="55"/>
      <c r="B1295" s="55"/>
      <c r="C1295" s="60"/>
      <c r="D1295" s="54"/>
      <c r="E1295" s="55"/>
      <c r="F1295" s="62"/>
      <c r="G1295" s="57"/>
      <c r="H1295" s="58" t="str">
        <f>IFERROR(__xludf.DUMMYFUNCTION("iferror(if(B1295="""", ,filter('IDR Import'!D:D,'IDR Import'!A:A=B1295,'IDR Import'!C:C=A1295)),)"),"")</f>
        <v/>
      </c>
      <c r="I1295" s="58"/>
      <c r="J1295" s="59" t="str">
        <f t="shared" si="1"/>
        <v/>
      </c>
    </row>
    <row r="1296">
      <c r="A1296" s="55"/>
      <c r="B1296" s="55"/>
      <c r="C1296" s="60"/>
      <c r="D1296" s="54"/>
      <c r="E1296" s="55"/>
      <c r="F1296" s="62"/>
      <c r="G1296" s="57"/>
      <c r="H1296" s="58" t="str">
        <f>IFERROR(__xludf.DUMMYFUNCTION("iferror(if(B1296="""", ,filter('IDR Import'!D:D,'IDR Import'!A:A=B1296,'IDR Import'!C:C=A1296)),)"),"")</f>
        <v/>
      </c>
      <c r="I1296" s="58"/>
      <c r="J1296" s="59" t="str">
        <f t="shared" si="1"/>
        <v/>
      </c>
    </row>
    <row r="1297">
      <c r="A1297" s="55"/>
      <c r="B1297" s="55"/>
      <c r="C1297" s="60"/>
      <c r="D1297" s="54"/>
      <c r="E1297" s="55"/>
      <c r="F1297" s="62"/>
      <c r="G1297" s="57"/>
      <c r="H1297" s="58" t="str">
        <f>IFERROR(__xludf.DUMMYFUNCTION("iferror(if(B1297="""", ,filter('IDR Import'!D:D,'IDR Import'!A:A=B1297,'IDR Import'!C:C=A1297)),)"),"")</f>
        <v/>
      </c>
      <c r="I1297" s="58"/>
      <c r="J1297" s="59" t="str">
        <f t="shared" si="1"/>
        <v/>
      </c>
    </row>
    <row r="1298">
      <c r="A1298" s="55"/>
      <c r="B1298" s="55"/>
      <c r="C1298" s="60"/>
      <c r="D1298" s="54"/>
      <c r="E1298" s="55"/>
      <c r="F1298" s="62"/>
      <c r="G1298" s="57"/>
      <c r="H1298" s="58" t="str">
        <f>IFERROR(__xludf.DUMMYFUNCTION("iferror(if(B1298="""", ,filter('IDR Import'!D:D,'IDR Import'!A:A=B1298,'IDR Import'!C:C=A1298)),)"),"")</f>
        <v/>
      </c>
      <c r="I1298" s="58"/>
      <c r="J1298" s="59" t="str">
        <f t="shared" si="1"/>
        <v/>
      </c>
    </row>
    <row r="1299">
      <c r="A1299" s="55"/>
      <c r="B1299" s="55"/>
      <c r="C1299" s="60"/>
      <c r="D1299" s="54"/>
      <c r="E1299" s="55"/>
      <c r="F1299" s="62"/>
      <c r="G1299" s="57"/>
      <c r="H1299" s="58" t="str">
        <f>IFERROR(__xludf.DUMMYFUNCTION("iferror(if(B1299="""", ,filter('IDR Import'!D:D,'IDR Import'!A:A=B1299,'IDR Import'!C:C=A1299)),)"),"")</f>
        <v/>
      </c>
      <c r="I1299" s="58"/>
      <c r="J1299" s="59" t="str">
        <f t="shared" si="1"/>
        <v/>
      </c>
    </row>
    <row r="1300">
      <c r="A1300" s="55"/>
      <c r="B1300" s="55"/>
      <c r="C1300" s="60"/>
      <c r="D1300" s="54"/>
      <c r="E1300" s="55"/>
      <c r="F1300" s="62"/>
      <c r="G1300" s="57"/>
      <c r="H1300" s="58" t="str">
        <f>IFERROR(__xludf.DUMMYFUNCTION("iferror(if(B1300="""", ,filter('IDR Import'!D:D,'IDR Import'!A:A=B1300,'IDR Import'!C:C=A1300)),)"),"")</f>
        <v/>
      </c>
      <c r="I1300" s="58"/>
      <c r="J1300" s="59" t="str">
        <f t="shared" si="1"/>
        <v/>
      </c>
    </row>
    <row r="1301">
      <c r="A1301" s="55"/>
      <c r="B1301" s="55"/>
      <c r="C1301" s="60"/>
      <c r="D1301" s="54"/>
      <c r="E1301" s="55"/>
      <c r="F1301" s="62"/>
      <c r="G1301" s="57"/>
      <c r="H1301" s="58" t="str">
        <f>IFERROR(__xludf.DUMMYFUNCTION("iferror(if(B1301="""", ,filter('IDR Import'!D:D,'IDR Import'!A:A=B1301,'IDR Import'!C:C=A1301)),)"),"")</f>
        <v/>
      </c>
      <c r="I1301" s="58"/>
      <c r="J1301" s="59" t="str">
        <f t="shared" si="1"/>
        <v/>
      </c>
    </row>
    <row r="1302">
      <c r="A1302" s="55"/>
      <c r="B1302" s="55"/>
      <c r="C1302" s="60"/>
      <c r="D1302" s="54"/>
      <c r="E1302" s="55"/>
      <c r="F1302" s="62"/>
      <c r="G1302" s="57"/>
      <c r="H1302" s="58" t="str">
        <f>IFERROR(__xludf.DUMMYFUNCTION("iferror(if(B1302="""", ,filter('IDR Import'!D:D,'IDR Import'!A:A=B1302,'IDR Import'!C:C=A1302)),)"),"")</f>
        <v/>
      </c>
      <c r="I1302" s="58"/>
      <c r="J1302" s="59" t="str">
        <f t="shared" si="1"/>
        <v/>
      </c>
    </row>
    <row r="1303">
      <c r="A1303" s="55"/>
      <c r="B1303" s="55"/>
      <c r="C1303" s="60"/>
      <c r="D1303" s="54"/>
      <c r="E1303" s="55"/>
      <c r="F1303" s="62"/>
      <c r="G1303" s="57"/>
      <c r="H1303" s="58" t="str">
        <f>IFERROR(__xludf.DUMMYFUNCTION("iferror(if(B1303="""", ,filter('IDR Import'!D:D,'IDR Import'!A:A=B1303,'IDR Import'!C:C=A1303)),)"),"")</f>
        <v/>
      </c>
      <c r="I1303" s="58"/>
      <c r="J1303" s="59" t="str">
        <f t="shared" si="1"/>
        <v/>
      </c>
    </row>
    <row r="1304">
      <c r="A1304" s="55"/>
      <c r="B1304" s="55"/>
      <c r="C1304" s="60"/>
      <c r="D1304" s="54"/>
      <c r="E1304" s="55"/>
      <c r="F1304" s="62"/>
      <c r="G1304" s="57"/>
      <c r="H1304" s="58" t="str">
        <f>IFERROR(__xludf.DUMMYFUNCTION("iferror(if(B1304="""", ,filter('IDR Import'!D:D,'IDR Import'!A:A=B1304,'IDR Import'!C:C=A1304)),)"),"")</f>
        <v/>
      </c>
      <c r="I1304" s="58"/>
      <c r="J1304" s="59" t="str">
        <f t="shared" si="1"/>
        <v/>
      </c>
    </row>
    <row r="1305">
      <c r="A1305" s="55"/>
      <c r="B1305" s="55"/>
      <c r="C1305" s="60"/>
      <c r="D1305" s="54"/>
      <c r="E1305" s="55"/>
      <c r="F1305" s="62"/>
      <c r="G1305" s="57"/>
      <c r="H1305" s="58" t="str">
        <f>IFERROR(__xludf.DUMMYFUNCTION("iferror(if(B1305="""", ,filter('IDR Import'!D:D,'IDR Import'!A:A=B1305,'IDR Import'!C:C=A1305)),)"),"")</f>
        <v/>
      </c>
      <c r="I1305" s="58"/>
      <c r="J1305" s="59" t="str">
        <f t="shared" si="1"/>
        <v/>
      </c>
    </row>
    <row r="1306">
      <c r="A1306" s="55"/>
      <c r="B1306" s="55"/>
      <c r="C1306" s="60"/>
      <c r="D1306" s="54"/>
      <c r="E1306" s="55"/>
      <c r="F1306" s="62"/>
      <c r="G1306" s="57"/>
      <c r="H1306" s="58" t="str">
        <f>IFERROR(__xludf.DUMMYFUNCTION("iferror(if(B1306="""", ,filter('IDR Import'!D:D,'IDR Import'!A:A=B1306,'IDR Import'!C:C=A1306)),)"),"")</f>
        <v/>
      </c>
      <c r="I1306" s="58"/>
      <c r="J1306" s="59" t="str">
        <f t="shared" si="1"/>
        <v/>
      </c>
    </row>
    <row r="1307">
      <c r="A1307" s="55"/>
      <c r="B1307" s="55"/>
      <c r="C1307" s="60"/>
      <c r="D1307" s="54"/>
      <c r="E1307" s="55"/>
      <c r="F1307" s="62"/>
      <c r="G1307" s="57"/>
      <c r="H1307" s="58" t="str">
        <f>IFERROR(__xludf.DUMMYFUNCTION("iferror(if(B1307="""", ,filter('IDR Import'!D:D,'IDR Import'!A:A=B1307,'IDR Import'!C:C=A1307)),)"),"")</f>
        <v/>
      </c>
      <c r="I1307" s="58"/>
      <c r="J1307" s="59" t="str">
        <f t="shared" si="1"/>
        <v/>
      </c>
    </row>
    <row r="1308">
      <c r="A1308" s="55"/>
      <c r="B1308" s="55"/>
      <c r="C1308" s="60"/>
      <c r="D1308" s="54"/>
      <c r="E1308" s="55"/>
      <c r="F1308" s="62"/>
      <c r="G1308" s="57"/>
      <c r="H1308" s="58" t="str">
        <f>IFERROR(__xludf.DUMMYFUNCTION("iferror(if(B1308="""", ,filter('IDR Import'!D:D,'IDR Import'!A:A=B1308,'IDR Import'!C:C=A1308)),)"),"")</f>
        <v/>
      </c>
      <c r="I1308" s="58"/>
      <c r="J1308" s="59" t="str">
        <f t="shared" si="1"/>
        <v/>
      </c>
    </row>
    <row r="1309">
      <c r="A1309" s="55"/>
      <c r="B1309" s="55"/>
      <c r="C1309" s="60"/>
      <c r="D1309" s="54"/>
      <c r="E1309" s="55"/>
      <c r="F1309" s="62"/>
      <c r="G1309" s="57"/>
      <c r="H1309" s="58" t="str">
        <f>IFERROR(__xludf.DUMMYFUNCTION("iferror(if(B1309="""", ,filter('IDR Import'!D:D,'IDR Import'!A:A=B1309,'IDR Import'!C:C=A1309)),)"),"")</f>
        <v/>
      </c>
      <c r="I1309" s="58"/>
      <c r="J1309" s="59" t="str">
        <f t="shared" si="1"/>
        <v/>
      </c>
    </row>
    <row r="1310">
      <c r="A1310" s="55"/>
      <c r="B1310" s="55"/>
      <c r="C1310" s="60"/>
      <c r="D1310" s="54"/>
      <c r="E1310" s="55"/>
      <c r="F1310" s="62"/>
      <c r="G1310" s="57"/>
      <c r="H1310" s="58" t="str">
        <f>IFERROR(__xludf.DUMMYFUNCTION("iferror(if(B1310="""", ,filter('IDR Import'!D:D,'IDR Import'!A:A=B1310,'IDR Import'!C:C=A1310)),)"),"")</f>
        <v/>
      </c>
      <c r="I1310" s="58"/>
      <c r="J1310" s="59" t="str">
        <f t="shared" si="1"/>
        <v/>
      </c>
    </row>
    <row r="1311">
      <c r="A1311" s="55"/>
      <c r="B1311" s="55"/>
      <c r="C1311" s="60"/>
      <c r="D1311" s="54"/>
      <c r="E1311" s="55"/>
      <c r="F1311" s="62"/>
      <c r="G1311" s="57"/>
      <c r="H1311" s="58" t="str">
        <f>IFERROR(__xludf.DUMMYFUNCTION("iferror(if(B1311="""", ,filter('IDR Import'!D:D,'IDR Import'!A:A=B1311,'IDR Import'!C:C=A1311)),)"),"")</f>
        <v/>
      </c>
      <c r="I1311" s="58"/>
      <c r="J1311" s="59" t="str">
        <f t="shared" si="1"/>
        <v/>
      </c>
    </row>
    <row r="1312">
      <c r="A1312" s="55"/>
      <c r="B1312" s="55"/>
      <c r="C1312" s="60"/>
      <c r="D1312" s="54"/>
      <c r="E1312" s="55"/>
      <c r="F1312" s="62"/>
      <c r="G1312" s="57"/>
      <c r="H1312" s="58" t="str">
        <f>IFERROR(__xludf.DUMMYFUNCTION("iferror(if(B1312="""", ,filter('IDR Import'!D:D,'IDR Import'!A:A=B1312,'IDR Import'!C:C=A1312)),)"),"")</f>
        <v/>
      </c>
      <c r="I1312" s="58"/>
      <c r="J1312" s="59" t="str">
        <f t="shared" si="1"/>
        <v/>
      </c>
    </row>
    <row r="1313">
      <c r="A1313" s="55"/>
      <c r="B1313" s="55"/>
      <c r="C1313" s="60"/>
      <c r="D1313" s="54"/>
      <c r="E1313" s="55"/>
      <c r="F1313" s="62"/>
      <c r="G1313" s="57"/>
      <c r="H1313" s="58" t="str">
        <f>IFERROR(__xludf.DUMMYFUNCTION("iferror(if(B1313="""", ,filter('IDR Import'!D:D,'IDR Import'!A:A=B1313,'IDR Import'!C:C=A1313)),)"),"")</f>
        <v/>
      </c>
      <c r="I1313" s="58"/>
      <c r="J1313" s="59" t="str">
        <f t="shared" si="1"/>
        <v/>
      </c>
    </row>
    <row r="1314">
      <c r="A1314" s="55"/>
      <c r="B1314" s="55"/>
      <c r="C1314" s="60"/>
      <c r="D1314" s="54"/>
      <c r="E1314" s="55"/>
      <c r="F1314" s="62"/>
      <c r="G1314" s="57"/>
      <c r="H1314" s="58" t="str">
        <f>IFERROR(__xludf.DUMMYFUNCTION("iferror(if(B1314="""", ,filter('IDR Import'!D:D,'IDR Import'!A:A=B1314,'IDR Import'!C:C=A1314)),)"),"")</f>
        <v/>
      </c>
      <c r="I1314" s="58"/>
      <c r="J1314" s="59" t="str">
        <f t="shared" si="1"/>
        <v/>
      </c>
    </row>
    <row r="1315">
      <c r="A1315" s="55"/>
      <c r="B1315" s="55"/>
      <c r="C1315" s="60"/>
      <c r="D1315" s="54"/>
      <c r="E1315" s="55"/>
      <c r="F1315" s="62"/>
      <c r="G1315" s="57"/>
      <c r="H1315" s="58" t="str">
        <f>IFERROR(__xludf.DUMMYFUNCTION("iferror(if(B1315="""", ,filter('IDR Import'!D:D,'IDR Import'!A:A=B1315,'IDR Import'!C:C=A1315)),)"),"")</f>
        <v/>
      </c>
      <c r="I1315" s="58"/>
      <c r="J1315" s="59" t="str">
        <f t="shared" si="1"/>
        <v/>
      </c>
    </row>
    <row r="1316">
      <c r="A1316" s="55"/>
      <c r="B1316" s="55"/>
      <c r="C1316" s="60"/>
      <c r="D1316" s="54"/>
      <c r="E1316" s="55"/>
      <c r="F1316" s="62"/>
      <c r="G1316" s="57"/>
      <c r="H1316" s="58" t="str">
        <f>IFERROR(__xludf.DUMMYFUNCTION("iferror(if(B1316="""", ,filter('IDR Import'!D:D,'IDR Import'!A:A=B1316,'IDR Import'!C:C=A1316)),)"),"")</f>
        <v/>
      </c>
      <c r="I1316" s="58"/>
      <c r="J1316" s="59" t="str">
        <f t="shared" si="1"/>
        <v/>
      </c>
    </row>
    <row r="1317">
      <c r="A1317" s="55"/>
      <c r="B1317" s="55"/>
      <c r="C1317" s="60"/>
      <c r="D1317" s="54"/>
      <c r="E1317" s="55"/>
      <c r="F1317" s="62"/>
      <c r="G1317" s="57"/>
      <c r="H1317" s="58" t="str">
        <f>IFERROR(__xludf.DUMMYFUNCTION("iferror(if(B1317="""", ,filter('IDR Import'!D:D,'IDR Import'!A:A=B1317,'IDR Import'!C:C=A1317)),)"),"")</f>
        <v/>
      </c>
      <c r="I1317" s="58"/>
      <c r="J1317" s="59" t="str">
        <f t="shared" si="1"/>
        <v/>
      </c>
    </row>
    <row r="1318">
      <c r="A1318" s="55"/>
      <c r="B1318" s="55"/>
      <c r="C1318" s="60"/>
      <c r="D1318" s="54"/>
      <c r="E1318" s="55"/>
      <c r="F1318" s="62"/>
      <c r="G1318" s="57"/>
      <c r="H1318" s="58" t="str">
        <f>IFERROR(__xludf.DUMMYFUNCTION("iferror(if(B1318="""", ,filter('IDR Import'!D:D,'IDR Import'!A:A=B1318,'IDR Import'!C:C=A1318)),)"),"")</f>
        <v/>
      </c>
      <c r="I1318" s="58"/>
      <c r="J1318" s="59" t="str">
        <f t="shared" si="1"/>
        <v/>
      </c>
    </row>
    <row r="1319">
      <c r="A1319" s="55"/>
      <c r="B1319" s="55"/>
      <c r="C1319" s="60"/>
      <c r="D1319" s="54"/>
      <c r="E1319" s="55"/>
      <c r="F1319" s="62"/>
      <c r="G1319" s="57"/>
      <c r="H1319" s="58" t="str">
        <f>IFERROR(__xludf.DUMMYFUNCTION("iferror(if(B1319="""", ,filter('IDR Import'!D:D,'IDR Import'!A:A=B1319,'IDR Import'!C:C=A1319)),)"),"")</f>
        <v/>
      </c>
      <c r="I1319" s="58"/>
      <c r="J1319" s="59" t="str">
        <f t="shared" si="1"/>
        <v/>
      </c>
    </row>
    <row r="1320">
      <c r="A1320" s="55"/>
      <c r="B1320" s="55"/>
      <c r="C1320" s="60"/>
      <c r="D1320" s="54"/>
      <c r="E1320" s="55"/>
      <c r="F1320" s="62"/>
      <c r="G1320" s="57"/>
      <c r="H1320" s="58" t="str">
        <f>IFERROR(__xludf.DUMMYFUNCTION("iferror(if(B1320="""", ,filter('IDR Import'!D:D,'IDR Import'!A:A=B1320,'IDR Import'!C:C=A1320)),)"),"")</f>
        <v/>
      </c>
      <c r="I1320" s="58"/>
      <c r="J1320" s="59" t="str">
        <f t="shared" si="1"/>
        <v/>
      </c>
    </row>
    <row r="1321">
      <c r="A1321" s="55"/>
      <c r="B1321" s="55"/>
      <c r="C1321" s="60"/>
      <c r="D1321" s="54"/>
      <c r="E1321" s="55"/>
      <c r="F1321" s="62"/>
      <c r="G1321" s="57"/>
      <c r="H1321" s="58" t="str">
        <f>IFERROR(__xludf.DUMMYFUNCTION("iferror(if(B1321="""", ,filter('IDR Import'!D:D,'IDR Import'!A:A=B1321,'IDR Import'!C:C=A1321)),)"),"")</f>
        <v/>
      </c>
      <c r="I1321" s="58"/>
      <c r="J1321" s="59" t="str">
        <f t="shared" si="1"/>
        <v/>
      </c>
    </row>
    <row r="1322">
      <c r="A1322" s="55"/>
      <c r="B1322" s="55"/>
      <c r="C1322" s="60"/>
      <c r="D1322" s="54"/>
      <c r="E1322" s="55"/>
      <c r="F1322" s="62"/>
      <c r="G1322" s="57"/>
      <c r="H1322" s="58" t="str">
        <f>IFERROR(__xludf.DUMMYFUNCTION("iferror(if(B1322="""", ,filter('IDR Import'!D:D,'IDR Import'!A:A=B1322,'IDR Import'!C:C=A1322)),)"),"")</f>
        <v/>
      </c>
      <c r="I1322" s="58"/>
      <c r="J1322" s="59" t="str">
        <f t="shared" si="1"/>
        <v/>
      </c>
    </row>
    <row r="1323">
      <c r="A1323" s="55"/>
      <c r="B1323" s="55"/>
      <c r="C1323" s="60"/>
      <c r="D1323" s="54"/>
      <c r="E1323" s="55"/>
      <c r="F1323" s="62"/>
      <c r="G1323" s="57"/>
      <c r="H1323" s="58" t="str">
        <f>IFERROR(__xludf.DUMMYFUNCTION("iferror(if(B1323="""", ,filter('IDR Import'!D:D,'IDR Import'!A:A=B1323,'IDR Import'!C:C=A1323)),)"),"")</f>
        <v/>
      </c>
      <c r="I1323" s="58"/>
      <c r="J1323" s="59" t="str">
        <f t="shared" si="1"/>
        <v/>
      </c>
    </row>
    <row r="1324">
      <c r="A1324" s="55"/>
      <c r="B1324" s="55"/>
      <c r="C1324" s="60"/>
      <c r="D1324" s="54"/>
      <c r="E1324" s="55"/>
      <c r="F1324" s="62"/>
      <c r="G1324" s="57"/>
      <c r="H1324" s="58" t="str">
        <f>IFERROR(__xludf.DUMMYFUNCTION("iferror(if(B1324="""", ,filter('IDR Import'!D:D,'IDR Import'!A:A=B1324,'IDR Import'!C:C=A1324)),)"),"")</f>
        <v/>
      </c>
      <c r="I1324" s="58"/>
      <c r="J1324" s="59" t="str">
        <f t="shared" si="1"/>
        <v/>
      </c>
    </row>
    <row r="1325">
      <c r="A1325" s="55"/>
      <c r="B1325" s="55"/>
      <c r="C1325" s="60"/>
      <c r="D1325" s="54"/>
      <c r="E1325" s="55"/>
      <c r="F1325" s="62"/>
      <c r="G1325" s="57"/>
      <c r="H1325" s="58" t="str">
        <f>IFERROR(__xludf.DUMMYFUNCTION("iferror(if(B1325="""", ,filter('IDR Import'!D:D,'IDR Import'!A:A=B1325,'IDR Import'!C:C=A1325)),)"),"")</f>
        <v/>
      </c>
      <c r="I1325" s="58"/>
      <c r="J1325" s="59" t="str">
        <f t="shared" si="1"/>
        <v/>
      </c>
    </row>
    <row r="1326">
      <c r="A1326" s="55"/>
      <c r="B1326" s="55"/>
      <c r="C1326" s="60"/>
      <c r="D1326" s="54"/>
      <c r="E1326" s="55"/>
      <c r="F1326" s="62"/>
      <c r="G1326" s="57"/>
      <c r="H1326" s="58" t="str">
        <f>IFERROR(__xludf.DUMMYFUNCTION("iferror(if(B1326="""", ,filter('IDR Import'!D:D,'IDR Import'!A:A=B1326,'IDR Import'!C:C=A1326)),)"),"")</f>
        <v/>
      </c>
      <c r="I1326" s="58"/>
      <c r="J1326" s="59" t="str">
        <f t="shared" si="1"/>
        <v/>
      </c>
    </row>
    <row r="1327">
      <c r="A1327" s="55"/>
      <c r="B1327" s="55"/>
      <c r="C1327" s="60"/>
      <c r="D1327" s="54"/>
      <c r="E1327" s="55"/>
      <c r="F1327" s="62"/>
      <c r="G1327" s="57"/>
      <c r="H1327" s="58" t="str">
        <f>IFERROR(__xludf.DUMMYFUNCTION("iferror(if(B1327="""", ,filter('IDR Import'!D:D,'IDR Import'!A:A=B1327,'IDR Import'!C:C=A1327)),)"),"")</f>
        <v/>
      </c>
      <c r="I1327" s="58"/>
      <c r="J1327" s="59" t="str">
        <f t="shared" si="1"/>
        <v/>
      </c>
    </row>
    <row r="1328">
      <c r="A1328" s="55"/>
      <c r="B1328" s="55"/>
      <c r="C1328" s="60"/>
      <c r="D1328" s="54"/>
      <c r="E1328" s="55"/>
      <c r="F1328" s="62"/>
      <c r="G1328" s="57"/>
      <c r="H1328" s="58" t="str">
        <f>IFERROR(__xludf.DUMMYFUNCTION("iferror(if(B1328="""", ,filter('IDR Import'!D:D,'IDR Import'!A:A=B1328,'IDR Import'!C:C=A1328)),)"),"")</f>
        <v/>
      </c>
      <c r="I1328" s="58"/>
      <c r="J1328" s="59" t="str">
        <f t="shared" si="1"/>
        <v/>
      </c>
    </row>
    <row r="1329">
      <c r="A1329" s="55"/>
      <c r="B1329" s="55"/>
      <c r="C1329" s="60"/>
      <c r="D1329" s="54"/>
      <c r="E1329" s="55"/>
      <c r="F1329" s="62"/>
      <c r="G1329" s="57"/>
      <c r="H1329" s="58" t="str">
        <f>IFERROR(__xludf.DUMMYFUNCTION("iferror(if(B1329="""", ,filter('IDR Import'!D:D,'IDR Import'!A:A=B1329,'IDR Import'!C:C=A1329)),)"),"")</f>
        <v/>
      </c>
      <c r="I1329" s="58"/>
      <c r="J1329" s="59" t="str">
        <f t="shared" si="1"/>
        <v/>
      </c>
    </row>
    <row r="1330">
      <c r="A1330" s="55"/>
      <c r="B1330" s="55"/>
      <c r="C1330" s="60"/>
      <c r="D1330" s="54"/>
      <c r="E1330" s="55"/>
      <c r="F1330" s="62"/>
      <c r="G1330" s="57"/>
      <c r="H1330" s="58" t="str">
        <f>IFERROR(__xludf.DUMMYFUNCTION("iferror(if(B1330="""", ,filter('IDR Import'!D:D,'IDR Import'!A:A=B1330,'IDR Import'!C:C=A1330)),)"),"")</f>
        <v/>
      </c>
      <c r="I1330" s="58"/>
      <c r="J1330" s="59" t="str">
        <f t="shared" si="1"/>
        <v/>
      </c>
    </row>
    <row r="1331">
      <c r="A1331" s="55"/>
      <c r="B1331" s="55"/>
      <c r="C1331" s="60"/>
      <c r="D1331" s="54"/>
      <c r="E1331" s="55"/>
      <c r="F1331" s="62"/>
      <c r="G1331" s="57"/>
      <c r="H1331" s="58" t="str">
        <f>IFERROR(__xludf.DUMMYFUNCTION("iferror(if(B1331="""", ,filter('IDR Import'!D:D,'IDR Import'!A:A=B1331,'IDR Import'!C:C=A1331)),)"),"")</f>
        <v/>
      </c>
      <c r="I1331" s="58"/>
      <c r="J1331" s="59" t="str">
        <f t="shared" si="1"/>
        <v/>
      </c>
    </row>
    <row r="1332">
      <c r="A1332" s="55"/>
      <c r="B1332" s="55"/>
      <c r="C1332" s="60"/>
      <c r="D1332" s="54"/>
      <c r="E1332" s="55"/>
      <c r="F1332" s="62"/>
      <c r="G1332" s="57"/>
      <c r="H1332" s="58" t="str">
        <f>IFERROR(__xludf.DUMMYFUNCTION("iferror(if(B1332="""", ,filter('IDR Import'!D:D,'IDR Import'!A:A=B1332,'IDR Import'!C:C=A1332)),)"),"")</f>
        <v/>
      </c>
      <c r="I1332" s="58"/>
      <c r="J1332" s="59" t="str">
        <f t="shared" si="1"/>
        <v/>
      </c>
    </row>
    <row r="1333">
      <c r="A1333" s="55"/>
      <c r="B1333" s="55"/>
      <c r="C1333" s="60"/>
      <c r="D1333" s="54"/>
      <c r="E1333" s="55"/>
      <c r="F1333" s="62"/>
      <c r="G1333" s="57"/>
      <c r="H1333" s="58" t="str">
        <f>IFERROR(__xludf.DUMMYFUNCTION("iferror(if(B1333="""", ,filter('IDR Import'!D:D,'IDR Import'!A:A=B1333,'IDR Import'!C:C=A1333)),)"),"")</f>
        <v/>
      </c>
      <c r="I1333" s="58"/>
      <c r="J1333" s="59" t="str">
        <f t="shared" si="1"/>
        <v/>
      </c>
    </row>
    <row r="1334">
      <c r="A1334" s="55"/>
      <c r="B1334" s="55"/>
      <c r="C1334" s="60"/>
      <c r="D1334" s="54"/>
      <c r="E1334" s="55"/>
      <c r="F1334" s="62"/>
      <c r="G1334" s="57"/>
      <c r="H1334" s="58" t="str">
        <f>IFERROR(__xludf.DUMMYFUNCTION("iferror(if(B1334="""", ,filter('IDR Import'!D:D,'IDR Import'!A:A=B1334,'IDR Import'!C:C=A1334)),)"),"")</f>
        <v/>
      </c>
      <c r="I1334" s="58"/>
      <c r="J1334" s="59" t="str">
        <f t="shared" si="1"/>
        <v/>
      </c>
    </row>
    <row r="1335">
      <c r="A1335" s="55"/>
      <c r="B1335" s="55"/>
      <c r="C1335" s="60"/>
      <c r="D1335" s="54"/>
      <c r="E1335" s="55"/>
      <c r="F1335" s="62"/>
      <c r="G1335" s="57"/>
      <c r="H1335" s="58" t="str">
        <f>IFERROR(__xludf.DUMMYFUNCTION("iferror(if(B1335="""", ,filter('IDR Import'!D:D,'IDR Import'!A:A=B1335,'IDR Import'!C:C=A1335)),)"),"")</f>
        <v/>
      </c>
      <c r="I1335" s="58"/>
      <c r="J1335" s="59" t="str">
        <f t="shared" si="1"/>
        <v/>
      </c>
    </row>
    <row r="1336">
      <c r="A1336" s="55"/>
      <c r="B1336" s="55"/>
      <c r="C1336" s="60"/>
      <c r="D1336" s="54"/>
      <c r="E1336" s="55"/>
      <c r="F1336" s="62"/>
      <c r="G1336" s="57"/>
      <c r="H1336" s="58" t="str">
        <f>IFERROR(__xludf.DUMMYFUNCTION("iferror(if(B1336="""", ,filter('IDR Import'!D:D,'IDR Import'!A:A=B1336,'IDR Import'!C:C=A1336)),)"),"")</f>
        <v/>
      </c>
      <c r="I1336" s="58"/>
      <c r="J1336" s="59" t="str">
        <f t="shared" si="1"/>
        <v/>
      </c>
    </row>
    <row r="1337">
      <c r="A1337" s="55"/>
      <c r="B1337" s="55"/>
      <c r="C1337" s="60"/>
      <c r="D1337" s="54"/>
      <c r="E1337" s="55"/>
      <c r="F1337" s="62"/>
      <c r="G1337" s="57"/>
      <c r="H1337" s="58" t="str">
        <f>IFERROR(__xludf.DUMMYFUNCTION("iferror(if(B1337="""", ,filter('IDR Import'!D:D,'IDR Import'!A:A=B1337,'IDR Import'!C:C=A1337)),)"),"")</f>
        <v/>
      </c>
      <c r="I1337" s="58"/>
      <c r="J1337" s="59" t="str">
        <f t="shared" si="1"/>
        <v/>
      </c>
    </row>
    <row r="1338">
      <c r="A1338" s="55"/>
      <c r="B1338" s="55"/>
      <c r="C1338" s="60"/>
      <c r="D1338" s="54"/>
      <c r="E1338" s="55"/>
      <c r="F1338" s="62"/>
      <c r="G1338" s="57"/>
      <c r="H1338" s="58" t="str">
        <f>IFERROR(__xludf.DUMMYFUNCTION("iferror(if(B1338="""", ,filter('IDR Import'!D:D,'IDR Import'!A:A=B1338,'IDR Import'!C:C=A1338)),)"),"")</f>
        <v/>
      </c>
      <c r="I1338" s="58"/>
      <c r="J1338" s="59" t="str">
        <f t="shared" si="1"/>
        <v/>
      </c>
    </row>
    <row r="1339">
      <c r="A1339" s="55"/>
      <c r="B1339" s="55"/>
      <c r="C1339" s="60"/>
      <c r="D1339" s="54"/>
      <c r="E1339" s="55"/>
      <c r="F1339" s="62"/>
      <c r="G1339" s="57"/>
      <c r="H1339" s="58" t="str">
        <f>IFERROR(__xludf.DUMMYFUNCTION("iferror(if(B1339="""", ,filter('IDR Import'!D:D,'IDR Import'!A:A=B1339,'IDR Import'!C:C=A1339)),)"),"")</f>
        <v/>
      </c>
      <c r="I1339" s="58"/>
      <c r="J1339" s="59" t="str">
        <f t="shared" si="1"/>
        <v/>
      </c>
    </row>
    <row r="1340">
      <c r="A1340" s="55"/>
      <c r="B1340" s="55"/>
      <c r="C1340" s="60"/>
      <c r="D1340" s="54"/>
      <c r="E1340" s="55"/>
      <c r="F1340" s="62"/>
      <c r="G1340" s="57"/>
      <c r="H1340" s="58" t="str">
        <f>IFERROR(__xludf.DUMMYFUNCTION("iferror(if(B1340="""", ,filter('IDR Import'!D:D,'IDR Import'!A:A=B1340,'IDR Import'!C:C=A1340)),)"),"")</f>
        <v/>
      </c>
      <c r="I1340" s="58"/>
      <c r="J1340" s="59" t="str">
        <f t="shared" si="1"/>
        <v/>
      </c>
    </row>
    <row r="1341">
      <c r="A1341" s="55"/>
      <c r="B1341" s="55"/>
      <c r="C1341" s="60"/>
      <c r="D1341" s="54"/>
      <c r="E1341" s="55"/>
      <c r="F1341" s="62"/>
      <c r="G1341" s="57"/>
      <c r="H1341" s="58" t="str">
        <f>IFERROR(__xludf.DUMMYFUNCTION("iferror(if(B1341="""", ,filter('IDR Import'!D:D,'IDR Import'!A:A=B1341,'IDR Import'!C:C=A1341)),)"),"")</f>
        <v/>
      </c>
      <c r="I1341" s="58"/>
      <c r="J1341" s="59" t="str">
        <f t="shared" si="1"/>
        <v/>
      </c>
    </row>
    <row r="1342">
      <c r="A1342" s="55"/>
      <c r="B1342" s="55"/>
      <c r="C1342" s="60"/>
      <c r="D1342" s="54"/>
      <c r="E1342" s="55"/>
      <c r="F1342" s="62"/>
      <c r="G1342" s="57"/>
      <c r="H1342" s="58" t="str">
        <f>IFERROR(__xludf.DUMMYFUNCTION("iferror(if(B1342="""", ,filter('IDR Import'!D:D,'IDR Import'!A:A=B1342,'IDR Import'!C:C=A1342)),)"),"")</f>
        <v/>
      </c>
      <c r="I1342" s="58"/>
      <c r="J1342" s="59" t="str">
        <f t="shared" si="1"/>
        <v/>
      </c>
    </row>
    <row r="1343">
      <c r="A1343" s="55"/>
      <c r="B1343" s="55"/>
      <c r="C1343" s="60"/>
      <c r="D1343" s="54"/>
      <c r="E1343" s="55"/>
      <c r="F1343" s="62"/>
      <c r="G1343" s="57"/>
      <c r="H1343" s="58" t="str">
        <f>IFERROR(__xludf.DUMMYFUNCTION("iferror(if(B1343="""", ,filter('IDR Import'!D:D,'IDR Import'!A:A=B1343,'IDR Import'!C:C=A1343)),)"),"")</f>
        <v/>
      </c>
      <c r="I1343" s="58"/>
      <c r="J1343" s="59" t="str">
        <f t="shared" si="1"/>
        <v/>
      </c>
    </row>
    <row r="1344">
      <c r="A1344" s="55"/>
      <c r="B1344" s="55"/>
      <c r="C1344" s="60"/>
      <c r="D1344" s="54"/>
      <c r="E1344" s="55"/>
      <c r="F1344" s="62"/>
      <c r="G1344" s="57"/>
      <c r="H1344" s="58" t="str">
        <f>IFERROR(__xludf.DUMMYFUNCTION("iferror(if(B1344="""", ,filter('IDR Import'!D:D,'IDR Import'!A:A=B1344,'IDR Import'!C:C=A1344)),)"),"")</f>
        <v/>
      </c>
      <c r="I1344" s="58"/>
      <c r="J1344" s="59" t="str">
        <f t="shared" si="1"/>
        <v/>
      </c>
    </row>
    <row r="1345">
      <c r="A1345" s="55"/>
      <c r="B1345" s="55"/>
      <c r="C1345" s="60"/>
      <c r="D1345" s="54"/>
      <c r="E1345" s="55"/>
      <c r="F1345" s="62"/>
      <c r="G1345" s="57"/>
      <c r="H1345" s="58" t="str">
        <f>IFERROR(__xludf.DUMMYFUNCTION("iferror(if(B1345="""", ,filter('IDR Import'!D:D,'IDR Import'!A:A=B1345,'IDR Import'!C:C=A1345)),)"),"")</f>
        <v/>
      </c>
      <c r="I1345" s="58"/>
      <c r="J1345" s="59" t="str">
        <f t="shared" si="1"/>
        <v/>
      </c>
    </row>
    <row r="1346">
      <c r="A1346" s="55"/>
      <c r="B1346" s="55"/>
      <c r="C1346" s="60"/>
      <c r="D1346" s="54"/>
      <c r="E1346" s="55"/>
      <c r="F1346" s="62"/>
      <c r="G1346" s="57"/>
      <c r="H1346" s="58" t="str">
        <f>IFERROR(__xludf.DUMMYFUNCTION("iferror(if(B1346="""", ,filter('IDR Import'!D:D,'IDR Import'!A:A=B1346,'IDR Import'!C:C=A1346)),)"),"")</f>
        <v/>
      </c>
      <c r="I1346" s="58"/>
      <c r="J1346" s="59" t="str">
        <f t="shared" si="1"/>
        <v/>
      </c>
    </row>
    <row r="1347">
      <c r="A1347" s="55"/>
      <c r="B1347" s="55"/>
      <c r="C1347" s="60"/>
      <c r="D1347" s="54"/>
      <c r="E1347" s="55"/>
      <c r="F1347" s="62"/>
      <c r="G1347" s="57"/>
      <c r="H1347" s="58" t="str">
        <f>IFERROR(__xludf.DUMMYFUNCTION("iferror(if(B1347="""", ,filter('IDR Import'!D:D,'IDR Import'!A:A=B1347,'IDR Import'!C:C=A1347)),)"),"")</f>
        <v/>
      </c>
      <c r="I1347" s="58"/>
      <c r="J1347" s="59" t="str">
        <f t="shared" si="1"/>
        <v/>
      </c>
    </row>
    <row r="1348">
      <c r="A1348" s="55"/>
      <c r="B1348" s="55"/>
      <c r="C1348" s="60"/>
      <c r="D1348" s="54"/>
      <c r="E1348" s="55"/>
      <c r="F1348" s="62"/>
      <c r="G1348" s="57"/>
      <c r="H1348" s="58" t="str">
        <f>IFERROR(__xludf.DUMMYFUNCTION("iferror(if(B1348="""", ,filter('IDR Import'!D:D,'IDR Import'!A:A=B1348,'IDR Import'!C:C=A1348)),)"),"")</f>
        <v/>
      </c>
      <c r="I1348" s="58"/>
      <c r="J1348" s="59" t="str">
        <f t="shared" si="1"/>
        <v/>
      </c>
    </row>
    <row r="1349">
      <c r="A1349" s="55"/>
      <c r="B1349" s="55"/>
      <c r="C1349" s="60"/>
      <c r="D1349" s="54"/>
      <c r="E1349" s="55"/>
      <c r="F1349" s="62"/>
      <c r="G1349" s="57"/>
      <c r="H1349" s="58" t="str">
        <f>IFERROR(__xludf.DUMMYFUNCTION("iferror(if(B1349="""", ,filter('IDR Import'!D:D,'IDR Import'!A:A=B1349,'IDR Import'!C:C=A1349)),)"),"")</f>
        <v/>
      </c>
      <c r="I1349" s="58"/>
      <c r="J1349" s="59" t="str">
        <f t="shared" si="1"/>
        <v/>
      </c>
    </row>
    <row r="1350">
      <c r="A1350" s="55"/>
      <c r="B1350" s="55"/>
      <c r="C1350" s="60"/>
      <c r="D1350" s="54"/>
      <c r="E1350" s="55"/>
      <c r="F1350" s="62"/>
      <c r="G1350" s="57"/>
      <c r="H1350" s="58" t="str">
        <f>IFERROR(__xludf.DUMMYFUNCTION("iferror(if(B1350="""", ,filter('IDR Import'!D:D,'IDR Import'!A:A=B1350,'IDR Import'!C:C=A1350)),)"),"")</f>
        <v/>
      </c>
      <c r="I1350" s="58"/>
      <c r="J1350" s="59" t="str">
        <f t="shared" si="1"/>
        <v/>
      </c>
    </row>
    <row r="1351">
      <c r="A1351" s="55"/>
      <c r="B1351" s="55"/>
      <c r="C1351" s="60"/>
      <c r="D1351" s="54"/>
      <c r="E1351" s="55"/>
      <c r="F1351" s="62"/>
      <c r="G1351" s="57"/>
      <c r="H1351" s="58" t="str">
        <f>IFERROR(__xludf.DUMMYFUNCTION("iferror(if(B1351="""", ,filter('IDR Import'!D:D,'IDR Import'!A:A=B1351,'IDR Import'!C:C=A1351)),)"),"")</f>
        <v/>
      </c>
      <c r="I1351" s="58"/>
      <c r="J1351" s="59" t="str">
        <f t="shared" si="1"/>
        <v/>
      </c>
    </row>
    <row r="1352">
      <c r="A1352" s="55"/>
      <c r="B1352" s="55"/>
      <c r="C1352" s="60"/>
      <c r="D1352" s="54"/>
      <c r="E1352" s="55"/>
      <c r="F1352" s="62"/>
      <c r="G1352" s="57"/>
      <c r="H1352" s="58" t="str">
        <f>IFERROR(__xludf.DUMMYFUNCTION("iferror(if(B1352="""", ,filter('IDR Import'!D:D,'IDR Import'!A:A=B1352,'IDR Import'!C:C=A1352)),)"),"")</f>
        <v/>
      </c>
      <c r="I1352" s="58"/>
      <c r="J1352" s="59" t="str">
        <f t="shared" si="1"/>
        <v/>
      </c>
    </row>
    <row r="1353">
      <c r="A1353" s="55"/>
      <c r="B1353" s="55"/>
      <c r="C1353" s="60"/>
      <c r="D1353" s="54"/>
      <c r="E1353" s="55"/>
      <c r="F1353" s="62"/>
      <c r="G1353" s="57"/>
      <c r="H1353" s="58" t="str">
        <f>IFERROR(__xludf.DUMMYFUNCTION("iferror(if(B1353="""", ,filter('IDR Import'!D:D,'IDR Import'!A:A=B1353,'IDR Import'!C:C=A1353)),)"),"")</f>
        <v/>
      </c>
      <c r="I1353" s="58"/>
      <c r="J1353" s="59" t="str">
        <f t="shared" si="1"/>
        <v/>
      </c>
    </row>
    <row r="1354">
      <c r="A1354" s="55"/>
      <c r="B1354" s="55"/>
      <c r="C1354" s="60"/>
      <c r="D1354" s="54"/>
      <c r="E1354" s="55"/>
      <c r="F1354" s="62"/>
      <c r="G1354" s="57"/>
      <c r="H1354" s="58" t="str">
        <f>IFERROR(__xludf.DUMMYFUNCTION("iferror(if(B1354="""", ,filter('IDR Import'!D:D,'IDR Import'!A:A=B1354,'IDR Import'!C:C=A1354)),)"),"")</f>
        <v/>
      </c>
      <c r="I1354" s="58"/>
      <c r="J1354" s="59" t="str">
        <f t="shared" si="1"/>
        <v/>
      </c>
    </row>
    <row r="1355">
      <c r="A1355" s="55"/>
      <c r="B1355" s="55"/>
      <c r="C1355" s="60"/>
      <c r="D1355" s="54"/>
      <c r="E1355" s="55"/>
      <c r="F1355" s="62"/>
      <c r="G1355" s="57"/>
      <c r="H1355" s="58" t="str">
        <f>IFERROR(__xludf.DUMMYFUNCTION("iferror(if(B1355="""", ,filter('IDR Import'!D:D,'IDR Import'!A:A=B1355,'IDR Import'!C:C=A1355)),)"),"")</f>
        <v/>
      </c>
      <c r="I1355" s="58"/>
      <c r="J1355" s="59" t="str">
        <f t="shared" si="1"/>
        <v/>
      </c>
    </row>
    <row r="1356">
      <c r="A1356" s="55"/>
      <c r="B1356" s="55"/>
      <c r="C1356" s="60"/>
      <c r="D1356" s="54"/>
      <c r="E1356" s="55"/>
      <c r="F1356" s="62"/>
      <c r="G1356" s="57"/>
      <c r="H1356" s="58" t="str">
        <f>IFERROR(__xludf.DUMMYFUNCTION("iferror(if(B1356="""", ,filter('IDR Import'!D:D,'IDR Import'!A:A=B1356,'IDR Import'!C:C=A1356)),)"),"")</f>
        <v/>
      </c>
      <c r="I1356" s="58"/>
      <c r="J1356" s="59" t="str">
        <f t="shared" si="1"/>
        <v/>
      </c>
    </row>
    <row r="1357">
      <c r="A1357" s="55"/>
      <c r="B1357" s="55"/>
      <c r="C1357" s="60"/>
      <c r="D1357" s="54"/>
      <c r="E1357" s="55"/>
      <c r="F1357" s="62"/>
      <c r="G1357" s="57"/>
      <c r="H1357" s="58" t="str">
        <f>IFERROR(__xludf.DUMMYFUNCTION("iferror(if(B1357="""", ,filter('IDR Import'!D:D,'IDR Import'!A:A=B1357,'IDR Import'!C:C=A1357)),)"),"")</f>
        <v/>
      </c>
      <c r="I1357" s="58"/>
      <c r="J1357" s="59" t="str">
        <f t="shared" si="1"/>
        <v/>
      </c>
    </row>
    <row r="1358">
      <c r="A1358" s="55"/>
      <c r="B1358" s="55"/>
      <c r="C1358" s="60"/>
      <c r="D1358" s="54"/>
      <c r="E1358" s="55"/>
      <c r="F1358" s="62"/>
      <c r="G1358" s="57"/>
      <c r="H1358" s="58" t="str">
        <f>IFERROR(__xludf.DUMMYFUNCTION("iferror(if(B1358="""", ,filter('IDR Import'!D:D,'IDR Import'!A:A=B1358,'IDR Import'!C:C=A1358)),)"),"")</f>
        <v/>
      </c>
      <c r="I1358" s="58"/>
      <c r="J1358" s="59" t="str">
        <f t="shared" si="1"/>
        <v/>
      </c>
    </row>
    <row r="1359">
      <c r="A1359" s="55"/>
      <c r="B1359" s="55"/>
      <c r="C1359" s="60"/>
      <c r="D1359" s="54"/>
      <c r="E1359" s="55"/>
      <c r="F1359" s="62"/>
      <c r="G1359" s="57"/>
      <c r="H1359" s="58" t="str">
        <f>IFERROR(__xludf.DUMMYFUNCTION("iferror(if(B1359="""", ,filter('IDR Import'!D:D,'IDR Import'!A:A=B1359,'IDR Import'!C:C=A1359)),)"),"")</f>
        <v/>
      </c>
      <c r="I1359" s="58"/>
      <c r="J1359" s="59" t="str">
        <f t="shared" si="1"/>
        <v/>
      </c>
    </row>
    <row r="1360">
      <c r="A1360" s="55"/>
      <c r="B1360" s="55"/>
      <c r="C1360" s="60"/>
      <c r="D1360" s="54"/>
      <c r="E1360" s="55"/>
      <c r="F1360" s="62"/>
      <c r="G1360" s="57"/>
      <c r="H1360" s="58" t="str">
        <f>IFERROR(__xludf.DUMMYFUNCTION("iferror(if(B1360="""", ,filter('IDR Import'!D:D,'IDR Import'!A:A=B1360,'IDR Import'!C:C=A1360)),)"),"")</f>
        <v/>
      </c>
      <c r="I1360" s="58"/>
      <c r="J1360" s="59" t="str">
        <f t="shared" si="1"/>
        <v/>
      </c>
    </row>
    <row r="1361">
      <c r="A1361" s="55"/>
      <c r="B1361" s="55"/>
      <c r="C1361" s="60"/>
      <c r="D1361" s="54"/>
      <c r="E1361" s="55"/>
      <c r="F1361" s="62"/>
      <c r="G1361" s="57"/>
      <c r="H1361" s="58" t="str">
        <f>IFERROR(__xludf.DUMMYFUNCTION("iferror(if(B1361="""", ,filter('IDR Import'!D:D,'IDR Import'!A:A=B1361,'IDR Import'!C:C=A1361)),)"),"")</f>
        <v/>
      </c>
      <c r="I1361" s="58"/>
      <c r="J1361" s="59" t="str">
        <f t="shared" si="1"/>
        <v/>
      </c>
    </row>
    <row r="1362">
      <c r="A1362" s="55"/>
      <c r="B1362" s="55"/>
      <c r="C1362" s="60"/>
      <c r="D1362" s="54"/>
      <c r="E1362" s="55"/>
      <c r="F1362" s="62"/>
      <c r="G1362" s="57"/>
      <c r="H1362" s="58" t="str">
        <f>IFERROR(__xludf.DUMMYFUNCTION("iferror(if(B1362="""", ,filter('IDR Import'!D:D,'IDR Import'!A:A=B1362,'IDR Import'!C:C=A1362)),)"),"")</f>
        <v/>
      </c>
      <c r="I1362" s="58"/>
      <c r="J1362" s="59" t="str">
        <f t="shared" si="1"/>
        <v/>
      </c>
    </row>
    <row r="1363">
      <c r="A1363" s="55"/>
      <c r="B1363" s="55"/>
      <c r="C1363" s="60"/>
      <c r="D1363" s="54"/>
      <c r="E1363" s="55"/>
      <c r="F1363" s="62"/>
      <c r="G1363" s="57"/>
      <c r="H1363" s="58" t="str">
        <f>IFERROR(__xludf.DUMMYFUNCTION("iferror(if(B1363="""", ,filter('IDR Import'!D:D,'IDR Import'!A:A=B1363,'IDR Import'!C:C=A1363)),)"),"")</f>
        <v/>
      </c>
      <c r="I1363" s="58"/>
      <c r="J1363" s="59" t="str">
        <f t="shared" si="1"/>
        <v/>
      </c>
    </row>
    <row r="1364">
      <c r="A1364" s="55"/>
      <c r="B1364" s="55"/>
      <c r="C1364" s="60"/>
      <c r="D1364" s="54"/>
      <c r="E1364" s="55"/>
      <c r="F1364" s="62"/>
      <c r="G1364" s="57"/>
      <c r="H1364" s="58" t="str">
        <f>IFERROR(__xludf.DUMMYFUNCTION("iferror(if(B1364="""", ,filter('IDR Import'!D:D,'IDR Import'!A:A=B1364,'IDR Import'!C:C=A1364)),)"),"")</f>
        <v/>
      </c>
      <c r="I1364" s="58"/>
      <c r="J1364" s="59" t="str">
        <f t="shared" si="1"/>
        <v/>
      </c>
    </row>
    <row r="1365">
      <c r="A1365" s="55"/>
      <c r="B1365" s="55"/>
      <c r="C1365" s="60"/>
      <c r="D1365" s="54"/>
      <c r="E1365" s="55"/>
      <c r="F1365" s="62"/>
      <c r="G1365" s="57"/>
      <c r="H1365" s="58" t="str">
        <f>IFERROR(__xludf.DUMMYFUNCTION("iferror(if(B1365="""", ,filter('IDR Import'!D:D,'IDR Import'!A:A=B1365,'IDR Import'!C:C=A1365)),)"),"")</f>
        <v/>
      </c>
      <c r="I1365" s="58"/>
      <c r="J1365" s="59" t="str">
        <f t="shared" si="1"/>
        <v/>
      </c>
    </row>
    <row r="1366">
      <c r="A1366" s="55"/>
      <c r="B1366" s="55"/>
      <c r="C1366" s="60"/>
      <c r="D1366" s="54"/>
      <c r="E1366" s="55"/>
      <c r="F1366" s="62"/>
      <c r="G1366" s="57"/>
      <c r="H1366" s="58" t="str">
        <f>IFERROR(__xludf.DUMMYFUNCTION("iferror(if(B1366="""", ,filter('IDR Import'!D:D,'IDR Import'!A:A=B1366,'IDR Import'!C:C=A1366)),)"),"")</f>
        <v/>
      </c>
      <c r="I1366" s="58"/>
      <c r="J1366" s="59" t="str">
        <f t="shared" si="1"/>
        <v/>
      </c>
    </row>
    <row r="1367">
      <c r="A1367" s="55"/>
      <c r="B1367" s="55"/>
      <c r="C1367" s="60"/>
      <c r="D1367" s="54"/>
      <c r="E1367" s="55"/>
      <c r="F1367" s="62"/>
      <c r="G1367" s="57"/>
      <c r="H1367" s="58" t="str">
        <f>IFERROR(__xludf.DUMMYFUNCTION("iferror(if(B1367="""", ,filter('IDR Import'!D:D,'IDR Import'!A:A=B1367,'IDR Import'!C:C=A1367)),)"),"")</f>
        <v/>
      </c>
      <c r="I1367" s="58"/>
      <c r="J1367" s="59" t="str">
        <f t="shared" si="1"/>
        <v/>
      </c>
    </row>
    <row r="1368">
      <c r="A1368" s="55"/>
      <c r="B1368" s="55"/>
      <c r="C1368" s="60"/>
      <c r="D1368" s="54"/>
      <c r="E1368" s="55"/>
      <c r="F1368" s="62"/>
      <c r="G1368" s="57"/>
      <c r="H1368" s="58" t="str">
        <f>IFERROR(__xludf.DUMMYFUNCTION("iferror(if(B1368="""", ,filter('IDR Import'!D:D,'IDR Import'!A:A=B1368,'IDR Import'!C:C=A1368)),)"),"")</f>
        <v/>
      </c>
      <c r="I1368" s="58"/>
      <c r="J1368" s="59" t="str">
        <f t="shared" si="1"/>
        <v/>
      </c>
    </row>
    <row r="1369">
      <c r="A1369" s="55"/>
      <c r="B1369" s="55"/>
      <c r="C1369" s="60"/>
      <c r="D1369" s="54"/>
      <c r="E1369" s="55"/>
      <c r="F1369" s="62"/>
      <c r="G1369" s="57"/>
      <c r="H1369" s="58" t="str">
        <f>IFERROR(__xludf.DUMMYFUNCTION("iferror(if(B1369="""", ,filter('IDR Import'!D:D,'IDR Import'!A:A=B1369,'IDR Import'!C:C=A1369)),)"),"")</f>
        <v/>
      </c>
      <c r="I1369" s="58"/>
      <c r="J1369" s="59" t="str">
        <f t="shared" si="1"/>
        <v/>
      </c>
    </row>
    <row r="1370">
      <c r="A1370" s="55"/>
      <c r="B1370" s="55"/>
      <c r="C1370" s="60"/>
      <c r="D1370" s="54"/>
      <c r="E1370" s="55"/>
      <c r="F1370" s="62"/>
      <c r="G1370" s="57"/>
      <c r="H1370" s="58" t="str">
        <f>IFERROR(__xludf.DUMMYFUNCTION("iferror(if(B1370="""", ,filter('IDR Import'!D:D,'IDR Import'!A:A=B1370,'IDR Import'!C:C=A1370)),)"),"")</f>
        <v/>
      </c>
      <c r="I1370" s="58"/>
      <c r="J1370" s="59" t="str">
        <f t="shared" si="1"/>
        <v/>
      </c>
    </row>
    <row r="1371">
      <c r="A1371" s="55"/>
      <c r="B1371" s="55"/>
      <c r="C1371" s="60"/>
      <c r="D1371" s="54"/>
      <c r="E1371" s="55"/>
      <c r="F1371" s="62"/>
      <c r="G1371" s="57"/>
      <c r="H1371" s="58" t="str">
        <f>IFERROR(__xludf.DUMMYFUNCTION("iferror(if(B1371="""", ,filter('IDR Import'!D:D,'IDR Import'!A:A=B1371,'IDR Import'!C:C=A1371)),)"),"")</f>
        <v/>
      </c>
      <c r="I1371" s="58"/>
      <c r="J1371" s="59" t="str">
        <f t="shared" si="1"/>
        <v/>
      </c>
    </row>
    <row r="1372">
      <c r="A1372" s="55"/>
      <c r="B1372" s="55"/>
      <c r="C1372" s="60"/>
      <c r="D1372" s="54"/>
      <c r="E1372" s="55"/>
      <c r="F1372" s="62"/>
      <c r="G1372" s="57"/>
      <c r="H1372" s="58" t="str">
        <f>IFERROR(__xludf.DUMMYFUNCTION("iferror(if(B1372="""", ,filter('IDR Import'!D:D,'IDR Import'!A:A=B1372,'IDR Import'!C:C=A1372)),)"),"")</f>
        <v/>
      </c>
      <c r="I1372" s="58"/>
      <c r="J1372" s="59" t="str">
        <f t="shared" si="1"/>
        <v/>
      </c>
    </row>
    <row r="1373">
      <c r="A1373" s="55"/>
      <c r="B1373" s="55"/>
      <c r="C1373" s="60"/>
      <c r="D1373" s="54"/>
      <c r="E1373" s="55"/>
      <c r="F1373" s="62"/>
      <c r="G1373" s="57"/>
      <c r="H1373" s="58" t="str">
        <f>IFERROR(__xludf.DUMMYFUNCTION("iferror(if(B1373="""", ,filter('IDR Import'!D:D,'IDR Import'!A:A=B1373,'IDR Import'!C:C=A1373)),)"),"")</f>
        <v/>
      </c>
      <c r="I1373" s="58"/>
      <c r="J1373" s="59" t="str">
        <f t="shared" si="1"/>
        <v/>
      </c>
    </row>
    <row r="1374">
      <c r="A1374" s="55"/>
      <c r="B1374" s="55"/>
      <c r="C1374" s="60"/>
      <c r="D1374" s="54"/>
      <c r="E1374" s="55"/>
      <c r="F1374" s="62"/>
      <c r="G1374" s="57"/>
      <c r="H1374" s="58" t="str">
        <f>IFERROR(__xludf.DUMMYFUNCTION("iferror(if(B1374="""", ,filter('IDR Import'!D:D,'IDR Import'!A:A=B1374,'IDR Import'!C:C=A1374)),)"),"")</f>
        <v/>
      </c>
      <c r="I1374" s="58"/>
      <c r="J1374" s="59" t="str">
        <f t="shared" si="1"/>
        <v/>
      </c>
    </row>
    <row r="1375">
      <c r="A1375" s="55"/>
      <c r="B1375" s="55"/>
      <c r="C1375" s="60"/>
      <c r="D1375" s="54"/>
      <c r="E1375" s="55"/>
      <c r="F1375" s="62"/>
      <c r="G1375" s="57"/>
      <c r="H1375" s="58" t="str">
        <f>IFERROR(__xludf.DUMMYFUNCTION("iferror(if(B1375="""", ,filter('IDR Import'!D:D,'IDR Import'!A:A=B1375,'IDR Import'!C:C=A1375)),)"),"")</f>
        <v/>
      </c>
      <c r="I1375" s="58"/>
      <c r="J1375" s="59" t="str">
        <f t="shared" si="1"/>
        <v/>
      </c>
    </row>
    <row r="1376">
      <c r="A1376" s="55"/>
      <c r="B1376" s="55"/>
      <c r="C1376" s="60"/>
      <c r="D1376" s="54"/>
      <c r="E1376" s="55"/>
      <c r="F1376" s="62"/>
      <c r="G1376" s="57"/>
      <c r="H1376" s="58" t="str">
        <f>IFERROR(__xludf.DUMMYFUNCTION("iferror(if(B1376="""", ,filter('IDR Import'!D:D,'IDR Import'!A:A=B1376,'IDR Import'!C:C=A1376)),)"),"")</f>
        <v/>
      </c>
      <c r="I1376" s="58"/>
      <c r="J1376" s="59" t="str">
        <f t="shared" si="1"/>
        <v/>
      </c>
    </row>
    <row r="1377">
      <c r="A1377" s="55"/>
      <c r="B1377" s="55"/>
      <c r="C1377" s="60"/>
      <c r="D1377" s="54"/>
      <c r="E1377" s="55"/>
      <c r="F1377" s="62"/>
      <c r="G1377" s="57"/>
      <c r="H1377" s="58" t="str">
        <f>IFERROR(__xludf.DUMMYFUNCTION("iferror(if(B1377="""", ,filter('IDR Import'!D:D,'IDR Import'!A:A=B1377,'IDR Import'!C:C=A1377)),)"),"")</f>
        <v/>
      </c>
      <c r="I1377" s="58"/>
      <c r="J1377" s="59" t="str">
        <f t="shared" si="1"/>
        <v/>
      </c>
    </row>
    <row r="1378">
      <c r="A1378" s="55"/>
      <c r="B1378" s="55"/>
      <c r="C1378" s="60"/>
      <c r="D1378" s="54"/>
      <c r="E1378" s="55"/>
      <c r="F1378" s="62"/>
      <c r="G1378" s="57"/>
      <c r="H1378" s="58" t="str">
        <f>IFERROR(__xludf.DUMMYFUNCTION("iferror(if(B1378="""", ,filter('IDR Import'!D:D,'IDR Import'!A:A=B1378,'IDR Import'!C:C=A1378)),)"),"")</f>
        <v/>
      </c>
      <c r="I1378" s="58"/>
      <c r="J1378" s="59" t="str">
        <f t="shared" si="1"/>
        <v/>
      </c>
    </row>
    <row r="1379">
      <c r="A1379" s="55"/>
      <c r="B1379" s="55"/>
      <c r="C1379" s="60"/>
      <c r="D1379" s="54"/>
      <c r="E1379" s="55"/>
      <c r="F1379" s="62"/>
      <c r="G1379" s="57"/>
      <c r="H1379" s="58" t="str">
        <f>IFERROR(__xludf.DUMMYFUNCTION("iferror(if(B1379="""", ,filter('IDR Import'!D:D,'IDR Import'!A:A=B1379,'IDR Import'!C:C=A1379)),)"),"")</f>
        <v/>
      </c>
      <c r="I1379" s="58"/>
      <c r="J1379" s="59" t="str">
        <f t="shared" si="1"/>
        <v/>
      </c>
    </row>
    <row r="1380">
      <c r="A1380" s="55"/>
      <c r="B1380" s="55"/>
      <c r="C1380" s="60"/>
      <c r="D1380" s="54"/>
      <c r="E1380" s="55"/>
      <c r="F1380" s="62"/>
      <c r="G1380" s="57"/>
      <c r="H1380" s="58" t="str">
        <f>IFERROR(__xludf.DUMMYFUNCTION("iferror(if(B1380="""", ,filter('IDR Import'!D:D,'IDR Import'!A:A=B1380,'IDR Import'!C:C=A1380)),)"),"")</f>
        <v/>
      </c>
      <c r="I1380" s="58"/>
      <c r="J1380" s="59" t="str">
        <f t="shared" si="1"/>
        <v/>
      </c>
    </row>
    <row r="1381">
      <c r="A1381" s="55"/>
      <c r="B1381" s="55"/>
      <c r="C1381" s="60"/>
      <c r="D1381" s="54"/>
      <c r="E1381" s="55"/>
      <c r="F1381" s="62"/>
      <c r="G1381" s="57"/>
      <c r="H1381" s="58" t="str">
        <f>IFERROR(__xludf.DUMMYFUNCTION("iferror(if(B1381="""", ,filter('IDR Import'!D:D,'IDR Import'!A:A=B1381,'IDR Import'!C:C=A1381)),)"),"")</f>
        <v/>
      </c>
      <c r="I1381" s="58"/>
      <c r="J1381" s="59" t="str">
        <f t="shared" si="1"/>
        <v/>
      </c>
    </row>
    <row r="1382">
      <c r="A1382" s="55"/>
      <c r="B1382" s="55"/>
      <c r="C1382" s="60"/>
      <c r="D1382" s="54"/>
      <c r="E1382" s="55"/>
      <c r="F1382" s="62"/>
      <c r="G1382" s="57"/>
      <c r="H1382" s="58" t="str">
        <f>IFERROR(__xludf.DUMMYFUNCTION("iferror(if(B1382="""", ,filter('IDR Import'!D:D,'IDR Import'!A:A=B1382,'IDR Import'!C:C=A1382)),)"),"")</f>
        <v/>
      </c>
      <c r="I1382" s="58"/>
      <c r="J1382" s="59" t="str">
        <f t="shared" si="1"/>
        <v/>
      </c>
    </row>
    <row r="1383">
      <c r="A1383" s="55"/>
      <c r="B1383" s="55"/>
      <c r="C1383" s="60"/>
      <c r="D1383" s="54"/>
      <c r="E1383" s="55"/>
      <c r="F1383" s="62"/>
      <c r="G1383" s="57"/>
      <c r="H1383" s="58" t="str">
        <f>IFERROR(__xludf.DUMMYFUNCTION("iferror(if(B1383="""", ,filter('IDR Import'!D:D,'IDR Import'!A:A=B1383,'IDR Import'!C:C=A1383)),)"),"")</f>
        <v/>
      </c>
      <c r="I1383" s="58"/>
      <c r="J1383" s="59" t="str">
        <f t="shared" si="1"/>
        <v/>
      </c>
    </row>
    <row r="1384">
      <c r="A1384" s="55"/>
      <c r="B1384" s="55"/>
      <c r="C1384" s="60"/>
      <c r="D1384" s="54"/>
      <c r="E1384" s="55"/>
      <c r="F1384" s="62"/>
      <c r="G1384" s="57"/>
      <c r="H1384" s="58" t="str">
        <f>IFERROR(__xludf.DUMMYFUNCTION("iferror(if(B1384="""", ,filter('IDR Import'!D:D,'IDR Import'!A:A=B1384,'IDR Import'!C:C=A1384)),)"),"")</f>
        <v/>
      </c>
      <c r="I1384" s="58"/>
      <c r="J1384" s="59" t="str">
        <f t="shared" si="1"/>
        <v/>
      </c>
    </row>
    <row r="1385">
      <c r="A1385" s="55"/>
      <c r="B1385" s="55"/>
      <c r="C1385" s="60"/>
      <c r="D1385" s="54"/>
      <c r="E1385" s="55"/>
      <c r="F1385" s="62"/>
      <c r="G1385" s="57"/>
      <c r="H1385" s="58" t="str">
        <f>IFERROR(__xludf.DUMMYFUNCTION("iferror(if(B1385="""", ,filter('IDR Import'!D:D,'IDR Import'!A:A=B1385,'IDR Import'!C:C=A1385)),)"),"")</f>
        <v/>
      </c>
      <c r="I1385" s="58"/>
      <c r="J1385" s="59" t="str">
        <f t="shared" si="1"/>
        <v/>
      </c>
    </row>
    <row r="1386">
      <c r="A1386" s="55"/>
      <c r="B1386" s="55"/>
      <c r="C1386" s="60"/>
      <c r="D1386" s="54"/>
      <c r="E1386" s="55"/>
      <c r="F1386" s="62"/>
      <c r="G1386" s="57"/>
      <c r="H1386" s="58" t="str">
        <f>IFERROR(__xludf.DUMMYFUNCTION("iferror(if(B1386="""", ,filter('IDR Import'!D:D,'IDR Import'!A:A=B1386,'IDR Import'!C:C=A1386)),)"),"")</f>
        <v/>
      </c>
      <c r="I1386" s="58"/>
      <c r="J1386" s="59" t="str">
        <f t="shared" si="1"/>
        <v/>
      </c>
    </row>
    <row r="1387">
      <c r="A1387" s="55"/>
      <c r="B1387" s="55"/>
      <c r="C1387" s="60"/>
      <c r="D1387" s="54"/>
      <c r="E1387" s="55"/>
      <c r="F1387" s="62"/>
      <c r="G1387" s="57"/>
      <c r="H1387" s="58" t="str">
        <f>IFERROR(__xludf.DUMMYFUNCTION("iferror(if(B1387="""", ,filter('IDR Import'!D:D,'IDR Import'!A:A=B1387,'IDR Import'!C:C=A1387)),)"),"")</f>
        <v/>
      </c>
      <c r="I1387" s="58"/>
      <c r="J1387" s="59" t="str">
        <f t="shared" si="1"/>
        <v/>
      </c>
    </row>
    <row r="1388">
      <c r="A1388" s="55"/>
      <c r="B1388" s="55"/>
      <c r="C1388" s="60"/>
      <c r="D1388" s="54"/>
      <c r="E1388" s="55"/>
      <c r="F1388" s="62"/>
      <c r="G1388" s="57"/>
      <c r="H1388" s="58" t="str">
        <f>IFERROR(__xludf.DUMMYFUNCTION("iferror(if(B1388="""", ,filter('IDR Import'!D:D,'IDR Import'!A:A=B1388,'IDR Import'!C:C=A1388)),)"),"")</f>
        <v/>
      </c>
      <c r="I1388" s="58"/>
      <c r="J1388" s="59" t="str">
        <f t="shared" si="1"/>
        <v/>
      </c>
    </row>
    <row r="1389">
      <c r="A1389" s="55"/>
      <c r="B1389" s="55"/>
      <c r="C1389" s="60"/>
      <c r="D1389" s="54"/>
      <c r="E1389" s="55"/>
      <c r="F1389" s="62"/>
      <c r="G1389" s="57"/>
      <c r="H1389" s="58" t="str">
        <f>IFERROR(__xludf.DUMMYFUNCTION("iferror(if(B1389="""", ,filter('IDR Import'!D:D,'IDR Import'!A:A=B1389,'IDR Import'!C:C=A1389)),)"),"")</f>
        <v/>
      </c>
      <c r="I1389" s="58"/>
      <c r="J1389" s="59" t="str">
        <f t="shared" si="1"/>
        <v/>
      </c>
    </row>
    <row r="1390">
      <c r="A1390" s="55"/>
      <c r="B1390" s="55"/>
      <c r="C1390" s="60"/>
      <c r="D1390" s="54"/>
      <c r="E1390" s="55"/>
      <c r="F1390" s="62"/>
      <c r="G1390" s="57"/>
      <c r="H1390" s="58" t="str">
        <f>IFERROR(__xludf.DUMMYFUNCTION("iferror(if(B1390="""", ,filter('IDR Import'!D:D,'IDR Import'!A:A=B1390,'IDR Import'!C:C=A1390)),)"),"")</f>
        <v/>
      </c>
      <c r="I1390" s="58"/>
      <c r="J1390" s="59" t="str">
        <f t="shared" si="1"/>
        <v/>
      </c>
    </row>
    <row r="1391">
      <c r="A1391" s="55"/>
      <c r="B1391" s="55"/>
      <c r="C1391" s="60"/>
      <c r="D1391" s="54"/>
      <c r="E1391" s="55"/>
      <c r="F1391" s="62"/>
      <c r="G1391" s="57"/>
      <c r="H1391" s="58" t="str">
        <f>IFERROR(__xludf.DUMMYFUNCTION("iferror(if(B1391="""", ,filter('IDR Import'!D:D,'IDR Import'!A:A=B1391,'IDR Import'!C:C=A1391)),)"),"")</f>
        <v/>
      </c>
      <c r="I1391" s="58"/>
      <c r="J1391" s="59" t="str">
        <f t="shared" si="1"/>
        <v/>
      </c>
    </row>
    <row r="1392">
      <c r="A1392" s="55"/>
      <c r="B1392" s="55"/>
      <c r="C1392" s="60"/>
      <c r="D1392" s="54"/>
      <c r="E1392" s="55"/>
      <c r="F1392" s="62"/>
      <c r="G1392" s="57"/>
      <c r="H1392" s="58" t="str">
        <f>IFERROR(__xludf.DUMMYFUNCTION("iferror(if(B1392="""", ,filter('IDR Import'!D:D,'IDR Import'!A:A=B1392,'IDR Import'!C:C=A1392)),)"),"")</f>
        <v/>
      </c>
      <c r="I1392" s="58"/>
      <c r="J1392" s="59" t="str">
        <f t="shared" si="1"/>
        <v/>
      </c>
    </row>
    <row r="1393">
      <c r="A1393" s="55"/>
      <c r="B1393" s="55"/>
      <c r="C1393" s="60"/>
      <c r="D1393" s="54"/>
      <c r="E1393" s="55"/>
      <c r="F1393" s="62"/>
      <c r="G1393" s="57"/>
      <c r="H1393" s="58" t="str">
        <f>IFERROR(__xludf.DUMMYFUNCTION("iferror(if(B1393="""", ,filter('IDR Import'!D:D,'IDR Import'!A:A=B1393,'IDR Import'!C:C=A1393)),)"),"")</f>
        <v/>
      </c>
      <c r="I1393" s="58"/>
      <c r="J1393" s="59" t="str">
        <f t="shared" si="1"/>
        <v/>
      </c>
    </row>
    <row r="1394">
      <c r="A1394" s="55"/>
      <c r="B1394" s="55"/>
      <c r="C1394" s="60"/>
      <c r="D1394" s="54"/>
      <c r="E1394" s="55"/>
      <c r="F1394" s="62"/>
      <c r="G1394" s="57"/>
      <c r="H1394" s="58" t="str">
        <f>IFERROR(__xludf.DUMMYFUNCTION("iferror(if(B1394="""", ,filter('IDR Import'!D:D,'IDR Import'!A:A=B1394,'IDR Import'!C:C=A1394)),)"),"")</f>
        <v/>
      </c>
      <c r="I1394" s="58"/>
      <c r="J1394" s="59" t="str">
        <f t="shared" si="1"/>
        <v/>
      </c>
    </row>
    <row r="1395">
      <c r="A1395" s="55"/>
      <c r="B1395" s="55"/>
      <c r="C1395" s="60"/>
      <c r="D1395" s="54"/>
      <c r="E1395" s="55"/>
      <c r="F1395" s="62"/>
      <c r="G1395" s="57"/>
      <c r="H1395" s="58" t="str">
        <f>IFERROR(__xludf.DUMMYFUNCTION("iferror(if(B1395="""", ,filter('IDR Import'!D:D,'IDR Import'!A:A=B1395,'IDR Import'!C:C=A1395)),)"),"")</f>
        <v/>
      </c>
      <c r="I1395" s="58"/>
      <c r="J1395" s="59" t="str">
        <f t="shared" si="1"/>
        <v/>
      </c>
    </row>
    <row r="1396">
      <c r="A1396" s="55"/>
      <c r="B1396" s="55"/>
      <c r="C1396" s="60"/>
      <c r="D1396" s="54"/>
      <c r="E1396" s="55"/>
      <c r="F1396" s="62"/>
      <c r="G1396" s="57"/>
      <c r="H1396" s="58" t="str">
        <f>IFERROR(__xludf.DUMMYFUNCTION("iferror(if(B1396="""", ,filter('IDR Import'!D:D,'IDR Import'!A:A=B1396,'IDR Import'!C:C=A1396)),)"),"")</f>
        <v/>
      </c>
      <c r="I1396" s="58"/>
      <c r="J1396" s="59" t="str">
        <f t="shared" si="1"/>
        <v/>
      </c>
    </row>
    <row r="1397">
      <c r="A1397" s="55"/>
      <c r="B1397" s="55"/>
      <c r="C1397" s="60"/>
      <c r="D1397" s="54"/>
      <c r="E1397" s="55"/>
      <c r="F1397" s="62"/>
      <c r="G1397" s="57"/>
      <c r="H1397" s="58" t="str">
        <f>IFERROR(__xludf.DUMMYFUNCTION("iferror(if(B1397="""", ,filter('IDR Import'!D:D,'IDR Import'!A:A=B1397,'IDR Import'!C:C=A1397)),)"),"")</f>
        <v/>
      </c>
      <c r="I1397" s="58"/>
      <c r="J1397" s="59" t="str">
        <f t="shared" si="1"/>
        <v/>
      </c>
    </row>
    <row r="1398">
      <c r="A1398" s="55"/>
      <c r="B1398" s="55"/>
      <c r="C1398" s="60"/>
      <c r="D1398" s="54"/>
      <c r="E1398" s="55"/>
      <c r="F1398" s="62"/>
      <c r="G1398" s="57"/>
      <c r="H1398" s="58" t="str">
        <f>IFERROR(__xludf.DUMMYFUNCTION("iferror(if(B1398="""", ,filter('IDR Import'!D:D,'IDR Import'!A:A=B1398,'IDR Import'!C:C=A1398)),)"),"")</f>
        <v/>
      </c>
      <c r="I1398" s="58"/>
      <c r="J1398" s="59" t="str">
        <f t="shared" si="1"/>
        <v/>
      </c>
    </row>
    <row r="1399">
      <c r="A1399" s="55"/>
      <c r="B1399" s="55"/>
      <c r="C1399" s="60"/>
      <c r="D1399" s="54"/>
      <c r="E1399" s="55"/>
      <c r="F1399" s="62"/>
      <c r="G1399" s="57"/>
      <c r="H1399" s="58" t="str">
        <f>IFERROR(__xludf.DUMMYFUNCTION("iferror(if(B1399="""", ,filter('IDR Import'!D:D,'IDR Import'!A:A=B1399,'IDR Import'!C:C=A1399)),)"),"")</f>
        <v/>
      </c>
      <c r="I1399" s="58"/>
      <c r="J1399" s="59" t="str">
        <f t="shared" si="1"/>
        <v/>
      </c>
    </row>
    <row r="1400">
      <c r="A1400" s="55"/>
      <c r="B1400" s="55"/>
      <c r="C1400" s="60"/>
      <c r="D1400" s="54"/>
      <c r="E1400" s="55"/>
      <c r="F1400" s="62"/>
      <c r="G1400" s="57"/>
      <c r="H1400" s="58" t="str">
        <f>IFERROR(__xludf.DUMMYFUNCTION("iferror(if(B1400="""", ,filter('IDR Import'!D:D,'IDR Import'!A:A=B1400,'IDR Import'!C:C=A1400)),)"),"")</f>
        <v/>
      </c>
      <c r="I1400" s="58"/>
      <c r="J1400" s="59" t="str">
        <f t="shared" si="1"/>
        <v/>
      </c>
    </row>
    <row r="1401">
      <c r="A1401" s="55"/>
      <c r="B1401" s="55"/>
      <c r="C1401" s="60"/>
      <c r="D1401" s="54"/>
      <c r="E1401" s="55"/>
      <c r="F1401" s="62"/>
      <c r="G1401" s="57"/>
      <c r="H1401" s="58" t="str">
        <f>IFERROR(__xludf.DUMMYFUNCTION("iferror(if(B1401="""", ,filter('IDR Import'!D:D,'IDR Import'!A:A=B1401,'IDR Import'!C:C=A1401)),)"),"")</f>
        <v/>
      </c>
      <c r="I1401" s="58"/>
      <c r="J1401" s="59" t="str">
        <f t="shared" si="1"/>
        <v/>
      </c>
    </row>
    <row r="1402">
      <c r="A1402" s="55"/>
      <c r="B1402" s="55"/>
      <c r="C1402" s="60"/>
      <c r="D1402" s="54"/>
      <c r="E1402" s="55"/>
      <c r="F1402" s="62"/>
      <c r="G1402" s="57"/>
      <c r="H1402" s="58" t="str">
        <f>IFERROR(__xludf.DUMMYFUNCTION("iferror(if(B1402="""", ,filter('IDR Import'!D:D,'IDR Import'!A:A=B1402,'IDR Import'!C:C=A1402)),)"),"")</f>
        <v/>
      </c>
      <c r="I1402" s="58"/>
      <c r="J1402" s="59" t="str">
        <f t="shared" si="1"/>
        <v/>
      </c>
    </row>
    <row r="1403">
      <c r="A1403" s="55"/>
      <c r="B1403" s="55"/>
      <c r="C1403" s="60"/>
      <c r="D1403" s="54"/>
      <c r="E1403" s="55"/>
      <c r="F1403" s="62"/>
      <c r="G1403" s="57"/>
      <c r="H1403" s="58" t="str">
        <f>IFERROR(__xludf.DUMMYFUNCTION("iferror(if(B1403="""", ,filter('IDR Import'!D:D,'IDR Import'!A:A=B1403,'IDR Import'!C:C=A1403)),)"),"")</f>
        <v/>
      </c>
      <c r="I1403" s="58"/>
      <c r="J1403" s="59" t="str">
        <f t="shared" si="1"/>
        <v/>
      </c>
    </row>
    <row r="1404">
      <c r="A1404" s="55"/>
      <c r="B1404" s="55"/>
      <c r="C1404" s="60"/>
      <c r="D1404" s="54"/>
      <c r="E1404" s="55"/>
      <c r="F1404" s="62"/>
      <c r="G1404" s="57"/>
      <c r="H1404" s="58" t="str">
        <f>IFERROR(__xludf.DUMMYFUNCTION("iferror(if(B1404="""", ,filter('IDR Import'!D:D,'IDR Import'!A:A=B1404,'IDR Import'!C:C=A1404)),)"),"")</f>
        <v/>
      </c>
      <c r="I1404" s="58"/>
      <c r="J1404" s="59" t="str">
        <f t="shared" si="1"/>
        <v/>
      </c>
    </row>
    <row r="1405">
      <c r="A1405" s="55"/>
      <c r="B1405" s="55"/>
      <c r="C1405" s="60"/>
      <c r="D1405" s="54"/>
      <c r="E1405" s="55"/>
      <c r="F1405" s="62"/>
      <c r="G1405" s="57"/>
      <c r="H1405" s="58" t="str">
        <f>IFERROR(__xludf.DUMMYFUNCTION("iferror(if(B1405="""", ,filter('IDR Import'!D:D,'IDR Import'!A:A=B1405,'IDR Import'!C:C=A1405)),)"),"")</f>
        <v/>
      </c>
      <c r="I1405" s="58"/>
      <c r="J1405" s="59" t="str">
        <f t="shared" si="1"/>
        <v/>
      </c>
    </row>
    <row r="1406">
      <c r="A1406" s="55"/>
      <c r="B1406" s="55"/>
      <c r="C1406" s="60"/>
      <c r="D1406" s="54"/>
      <c r="E1406" s="55"/>
      <c r="F1406" s="62"/>
      <c r="G1406" s="57"/>
      <c r="H1406" s="58" t="str">
        <f>IFERROR(__xludf.DUMMYFUNCTION("iferror(if(B1406="""", ,filter('IDR Import'!D:D,'IDR Import'!A:A=B1406,'IDR Import'!C:C=A1406)),)"),"")</f>
        <v/>
      </c>
      <c r="I1406" s="58"/>
      <c r="J1406" s="59" t="str">
        <f t="shared" si="1"/>
        <v/>
      </c>
    </row>
    <row r="1407">
      <c r="A1407" s="55"/>
      <c r="B1407" s="55"/>
      <c r="C1407" s="60"/>
      <c r="D1407" s="54"/>
      <c r="E1407" s="55"/>
      <c r="F1407" s="62"/>
      <c r="G1407" s="57"/>
      <c r="H1407" s="58" t="str">
        <f>IFERROR(__xludf.DUMMYFUNCTION("iferror(if(B1407="""", ,filter('IDR Import'!D:D,'IDR Import'!A:A=B1407,'IDR Import'!C:C=A1407)),)"),"")</f>
        <v/>
      </c>
      <c r="I1407" s="58"/>
      <c r="J1407" s="59" t="str">
        <f t="shared" si="1"/>
        <v/>
      </c>
    </row>
    <row r="1408">
      <c r="A1408" s="55"/>
      <c r="B1408" s="55"/>
      <c r="C1408" s="60"/>
      <c r="D1408" s="54"/>
      <c r="E1408" s="55"/>
      <c r="F1408" s="62"/>
      <c r="G1408" s="57"/>
      <c r="H1408" s="58" t="str">
        <f>IFERROR(__xludf.DUMMYFUNCTION("iferror(if(B1408="""", ,filter('IDR Import'!D:D,'IDR Import'!A:A=B1408,'IDR Import'!C:C=A1408)),)"),"")</f>
        <v/>
      </c>
      <c r="I1408" s="58"/>
      <c r="J1408" s="59" t="str">
        <f t="shared" si="1"/>
        <v/>
      </c>
    </row>
    <row r="1409">
      <c r="A1409" s="55"/>
      <c r="B1409" s="55"/>
      <c r="C1409" s="60"/>
      <c r="D1409" s="54"/>
      <c r="E1409" s="55"/>
      <c r="F1409" s="62"/>
      <c r="G1409" s="57"/>
      <c r="H1409" s="58" t="str">
        <f>IFERROR(__xludf.DUMMYFUNCTION("iferror(if(B1409="""", ,filter('IDR Import'!D:D,'IDR Import'!A:A=B1409,'IDR Import'!C:C=A1409)),)"),"")</f>
        <v/>
      </c>
      <c r="I1409" s="58"/>
      <c r="J1409" s="59" t="str">
        <f t="shared" si="1"/>
        <v/>
      </c>
    </row>
    <row r="1410">
      <c r="A1410" s="55"/>
      <c r="B1410" s="55"/>
      <c r="C1410" s="60"/>
      <c r="D1410" s="54"/>
      <c r="E1410" s="55"/>
      <c r="F1410" s="62"/>
      <c r="G1410" s="57"/>
      <c r="H1410" s="58" t="str">
        <f>IFERROR(__xludf.DUMMYFUNCTION("iferror(if(B1410="""", ,filter('IDR Import'!D:D,'IDR Import'!A:A=B1410,'IDR Import'!C:C=A1410)),)"),"")</f>
        <v/>
      </c>
      <c r="I1410" s="58"/>
      <c r="J1410" s="59" t="str">
        <f t="shared" si="1"/>
        <v/>
      </c>
    </row>
    <row r="1411">
      <c r="A1411" s="55"/>
      <c r="B1411" s="55"/>
      <c r="C1411" s="60"/>
      <c r="D1411" s="54"/>
      <c r="E1411" s="55"/>
      <c r="F1411" s="62"/>
      <c r="G1411" s="57"/>
      <c r="H1411" s="58" t="str">
        <f>IFERROR(__xludf.DUMMYFUNCTION("iferror(if(B1411="""", ,filter('IDR Import'!D:D,'IDR Import'!A:A=B1411,'IDR Import'!C:C=A1411)),)"),"")</f>
        <v/>
      </c>
      <c r="I1411" s="58"/>
      <c r="J1411" s="59" t="str">
        <f t="shared" si="1"/>
        <v/>
      </c>
    </row>
    <row r="1412">
      <c r="A1412" s="55"/>
      <c r="B1412" s="55"/>
      <c r="C1412" s="60"/>
      <c r="D1412" s="54"/>
      <c r="E1412" s="55"/>
      <c r="F1412" s="62"/>
      <c r="G1412" s="57"/>
      <c r="H1412" s="58" t="str">
        <f>IFERROR(__xludf.DUMMYFUNCTION("iferror(if(B1412="""", ,filter('IDR Import'!D:D,'IDR Import'!A:A=B1412,'IDR Import'!C:C=A1412)),)"),"")</f>
        <v/>
      </c>
      <c r="I1412" s="58"/>
      <c r="J1412" s="59" t="str">
        <f t="shared" si="1"/>
        <v/>
      </c>
    </row>
    <row r="1413">
      <c r="A1413" s="55"/>
      <c r="B1413" s="55"/>
      <c r="C1413" s="60"/>
      <c r="D1413" s="54"/>
      <c r="E1413" s="55"/>
      <c r="F1413" s="62"/>
      <c r="G1413" s="57"/>
      <c r="H1413" s="58" t="str">
        <f>IFERROR(__xludf.DUMMYFUNCTION("iferror(if(B1413="""", ,filter('IDR Import'!D:D,'IDR Import'!A:A=B1413,'IDR Import'!C:C=A1413)),)"),"")</f>
        <v/>
      </c>
      <c r="I1413" s="58"/>
      <c r="J1413" s="59" t="str">
        <f t="shared" si="1"/>
        <v/>
      </c>
    </row>
    <row r="1414">
      <c r="A1414" s="55"/>
      <c r="B1414" s="55"/>
      <c r="C1414" s="60"/>
      <c r="D1414" s="54"/>
      <c r="E1414" s="55"/>
      <c r="F1414" s="62"/>
      <c r="G1414" s="57"/>
      <c r="H1414" s="58" t="str">
        <f>IFERROR(__xludf.DUMMYFUNCTION("iferror(if(B1414="""", ,filter('IDR Import'!D:D,'IDR Import'!A:A=B1414,'IDR Import'!C:C=A1414)),)"),"")</f>
        <v/>
      </c>
      <c r="I1414" s="58"/>
      <c r="J1414" s="59" t="str">
        <f t="shared" si="1"/>
        <v/>
      </c>
    </row>
    <row r="1415">
      <c r="A1415" s="55"/>
      <c r="B1415" s="55"/>
      <c r="C1415" s="60"/>
      <c r="D1415" s="54"/>
      <c r="E1415" s="55"/>
      <c r="F1415" s="62"/>
      <c r="G1415" s="57"/>
      <c r="H1415" s="58" t="str">
        <f>IFERROR(__xludf.DUMMYFUNCTION("iferror(if(B1415="""", ,filter('IDR Import'!D:D,'IDR Import'!A:A=B1415,'IDR Import'!C:C=A1415)),)"),"")</f>
        <v/>
      </c>
      <c r="I1415" s="58"/>
      <c r="J1415" s="59" t="str">
        <f t="shared" si="1"/>
        <v/>
      </c>
    </row>
    <row r="1416">
      <c r="A1416" s="55"/>
      <c r="B1416" s="55"/>
      <c r="C1416" s="60"/>
      <c r="D1416" s="54"/>
      <c r="E1416" s="55"/>
      <c r="F1416" s="62"/>
      <c r="G1416" s="57"/>
      <c r="H1416" s="58" t="str">
        <f>IFERROR(__xludf.DUMMYFUNCTION("iferror(if(B1416="""", ,filter('IDR Import'!D:D,'IDR Import'!A:A=B1416,'IDR Import'!C:C=A1416)),)"),"")</f>
        <v/>
      </c>
      <c r="I1416" s="58"/>
      <c r="J1416" s="59" t="str">
        <f t="shared" si="1"/>
        <v/>
      </c>
    </row>
    <row r="1417">
      <c r="A1417" s="55"/>
      <c r="B1417" s="55"/>
      <c r="C1417" s="60"/>
      <c r="D1417" s="54"/>
      <c r="E1417" s="55"/>
      <c r="F1417" s="62"/>
      <c r="G1417" s="57"/>
      <c r="H1417" s="58" t="str">
        <f>IFERROR(__xludf.DUMMYFUNCTION("iferror(if(B1417="""", ,filter('IDR Import'!D:D,'IDR Import'!A:A=B1417,'IDR Import'!C:C=A1417)),)"),"")</f>
        <v/>
      </c>
      <c r="I1417" s="58"/>
      <c r="J1417" s="59" t="str">
        <f t="shared" si="1"/>
        <v/>
      </c>
    </row>
    <row r="1418">
      <c r="A1418" s="55"/>
      <c r="B1418" s="55"/>
      <c r="C1418" s="60"/>
      <c r="D1418" s="54"/>
      <c r="E1418" s="55"/>
      <c r="F1418" s="62"/>
      <c r="G1418" s="57"/>
      <c r="H1418" s="58" t="str">
        <f>IFERROR(__xludf.DUMMYFUNCTION("iferror(if(B1418="""", ,filter('IDR Import'!D:D,'IDR Import'!A:A=B1418,'IDR Import'!C:C=A1418)),)"),"")</f>
        <v/>
      </c>
      <c r="I1418" s="58"/>
      <c r="J1418" s="59" t="str">
        <f t="shared" si="1"/>
        <v/>
      </c>
    </row>
    <row r="1419">
      <c r="A1419" s="55"/>
      <c r="B1419" s="55"/>
      <c r="C1419" s="60"/>
      <c r="D1419" s="54"/>
      <c r="E1419" s="55"/>
      <c r="F1419" s="62"/>
      <c r="G1419" s="57"/>
      <c r="H1419" s="58" t="str">
        <f>IFERROR(__xludf.DUMMYFUNCTION("iferror(if(B1419="""", ,filter('IDR Import'!D:D,'IDR Import'!A:A=B1419,'IDR Import'!C:C=A1419)),)"),"")</f>
        <v/>
      </c>
      <c r="I1419" s="58"/>
      <c r="J1419" s="59" t="str">
        <f t="shared" si="1"/>
        <v/>
      </c>
    </row>
    <row r="1420">
      <c r="A1420" s="55"/>
      <c r="B1420" s="55"/>
      <c r="C1420" s="60"/>
      <c r="D1420" s="54"/>
      <c r="E1420" s="55"/>
      <c r="F1420" s="62"/>
      <c r="G1420" s="57"/>
      <c r="H1420" s="58" t="str">
        <f>IFERROR(__xludf.DUMMYFUNCTION("iferror(if(B1420="""", ,filter('IDR Import'!D:D,'IDR Import'!A:A=B1420,'IDR Import'!C:C=A1420)),)"),"")</f>
        <v/>
      </c>
      <c r="I1420" s="58"/>
      <c r="J1420" s="59" t="str">
        <f t="shared" si="1"/>
        <v/>
      </c>
    </row>
    <row r="1421">
      <c r="A1421" s="55"/>
      <c r="B1421" s="55"/>
      <c r="C1421" s="60"/>
      <c r="D1421" s="54"/>
      <c r="E1421" s="55"/>
      <c r="F1421" s="62"/>
      <c r="G1421" s="57"/>
      <c r="H1421" s="58" t="str">
        <f>IFERROR(__xludf.DUMMYFUNCTION("iferror(if(B1421="""", ,filter('IDR Import'!D:D,'IDR Import'!A:A=B1421,'IDR Import'!C:C=A1421)),)"),"")</f>
        <v/>
      </c>
      <c r="I1421" s="58"/>
      <c r="J1421" s="59" t="str">
        <f t="shared" si="1"/>
        <v/>
      </c>
    </row>
    <row r="1422">
      <c r="A1422" s="55"/>
      <c r="B1422" s="55"/>
      <c r="C1422" s="60"/>
      <c r="D1422" s="54"/>
      <c r="E1422" s="55"/>
      <c r="F1422" s="62"/>
      <c r="G1422" s="57"/>
      <c r="H1422" s="58" t="str">
        <f>IFERROR(__xludf.DUMMYFUNCTION("iferror(if(B1422="""", ,filter('IDR Import'!D:D,'IDR Import'!A:A=B1422,'IDR Import'!C:C=A1422)),)"),"")</f>
        <v/>
      </c>
      <c r="I1422" s="58"/>
      <c r="J1422" s="59" t="str">
        <f t="shared" si="1"/>
        <v/>
      </c>
    </row>
    <row r="1423">
      <c r="A1423" s="55"/>
      <c r="B1423" s="55"/>
      <c r="C1423" s="60"/>
      <c r="D1423" s="54"/>
      <c r="E1423" s="55"/>
      <c r="F1423" s="62"/>
      <c r="G1423" s="57"/>
      <c r="H1423" s="58" t="str">
        <f>IFERROR(__xludf.DUMMYFUNCTION("iferror(if(B1423="""", ,filter('IDR Import'!D:D,'IDR Import'!A:A=B1423,'IDR Import'!C:C=A1423)),)"),"")</f>
        <v/>
      </c>
      <c r="I1423" s="58"/>
      <c r="J1423" s="59" t="str">
        <f t="shared" si="1"/>
        <v/>
      </c>
    </row>
    <row r="1424">
      <c r="A1424" s="55"/>
      <c r="B1424" s="55"/>
      <c r="C1424" s="60"/>
      <c r="D1424" s="54"/>
      <c r="E1424" s="55"/>
      <c r="F1424" s="62"/>
      <c r="G1424" s="57"/>
      <c r="H1424" s="58" t="str">
        <f>IFERROR(__xludf.DUMMYFUNCTION("iferror(if(B1424="""", ,filter('IDR Import'!D:D,'IDR Import'!A:A=B1424,'IDR Import'!C:C=A1424)),)"),"")</f>
        <v/>
      </c>
      <c r="I1424" s="58"/>
      <c r="J1424" s="59" t="str">
        <f t="shared" si="1"/>
        <v/>
      </c>
    </row>
    <row r="1425">
      <c r="A1425" s="55"/>
      <c r="B1425" s="55"/>
      <c r="C1425" s="60"/>
      <c r="D1425" s="54"/>
      <c r="E1425" s="55"/>
      <c r="F1425" s="62"/>
      <c r="G1425" s="57"/>
      <c r="H1425" s="58" t="str">
        <f>IFERROR(__xludf.DUMMYFUNCTION("iferror(if(B1425="""", ,filter('IDR Import'!D:D,'IDR Import'!A:A=B1425,'IDR Import'!C:C=A1425)),)"),"")</f>
        <v/>
      </c>
      <c r="I1425" s="58"/>
      <c r="J1425" s="59" t="str">
        <f t="shared" si="1"/>
        <v/>
      </c>
    </row>
    <row r="1426">
      <c r="A1426" s="55"/>
      <c r="B1426" s="55"/>
      <c r="C1426" s="60"/>
      <c r="D1426" s="54"/>
      <c r="E1426" s="55"/>
      <c r="F1426" s="62"/>
      <c r="G1426" s="57"/>
      <c r="H1426" s="58" t="str">
        <f>IFERROR(__xludf.DUMMYFUNCTION("iferror(if(B1426="""", ,filter('IDR Import'!D:D,'IDR Import'!A:A=B1426,'IDR Import'!C:C=A1426)),)"),"")</f>
        <v/>
      </c>
      <c r="I1426" s="58"/>
      <c r="J1426" s="59" t="str">
        <f t="shared" si="1"/>
        <v/>
      </c>
    </row>
    <row r="1427">
      <c r="A1427" s="55"/>
      <c r="B1427" s="55"/>
      <c r="C1427" s="60"/>
      <c r="D1427" s="54"/>
      <c r="E1427" s="55"/>
      <c r="F1427" s="62"/>
      <c r="G1427" s="57"/>
      <c r="H1427" s="58" t="str">
        <f>IFERROR(__xludf.DUMMYFUNCTION("iferror(if(B1427="""", ,filter('IDR Import'!D:D,'IDR Import'!A:A=B1427,'IDR Import'!C:C=A1427)),)"),"")</f>
        <v/>
      </c>
      <c r="I1427" s="58"/>
      <c r="J1427" s="59" t="str">
        <f t="shared" si="1"/>
        <v/>
      </c>
    </row>
    <row r="1428">
      <c r="A1428" s="55"/>
      <c r="B1428" s="55"/>
      <c r="C1428" s="60"/>
      <c r="D1428" s="54"/>
      <c r="E1428" s="55"/>
      <c r="F1428" s="62"/>
      <c r="G1428" s="57"/>
      <c r="H1428" s="58" t="str">
        <f>IFERROR(__xludf.DUMMYFUNCTION("iferror(if(B1428="""", ,filter('IDR Import'!D:D,'IDR Import'!A:A=B1428,'IDR Import'!C:C=A1428)),)"),"")</f>
        <v/>
      </c>
      <c r="I1428" s="58"/>
      <c r="J1428" s="59" t="str">
        <f t="shared" si="1"/>
        <v/>
      </c>
    </row>
    <row r="1429">
      <c r="A1429" s="55"/>
      <c r="B1429" s="55"/>
      <c r="C1429" s="60"/>
      <c r="D1429" s="54"/>
      <c r="E1429" s="55"/>
      <c r="F1429" s="62"/>
      <c r="G1429" s="57"/>
      <c r="H1429" s="58" t="str">
        <f>IFERROR(__xludf.DUMMYFUNCTION("iferror(if(B1429="""", ,filter('IDR Import'!D:D,'IDR Import'!A:A=B1429,'IDR Import'!C:C=A1429)),)"),"")</f>
        <v/>
      </c>
      <c r="I1429" s="58"/>
      <c r="J1429" s="59" t="str">
        <f t="shared" si="1"/>
        <v/>
      </c>
    </row>
    <row r="1430">
      <c r="A1430" s="55"/>
      <c r="B1430" s="55"/>
      <c r="C1430" s="60"/>
      <c r="D1430" s="54"/>
      <c r="E1430" s="55"/>
      <c r="F1430" s="62"/>
      <c r="G1430" s="57"/>
      <c r="H1430" s="58" t="str">
        <f>IFERROR(__xludf.DUMMYFUNCTION("iferror(if(B1430="""", ,filter('IDR Import'!D:D,'IDR Import'!A:A=B1430,'IDR Import'!C:C=A1430)),)"),"")</f>
        <v/>
      </c>
      <c r="I1430" s="58"/>
      <c r="J1430" s="59" t="str">
        <f t="shared" si="1"/>
        <v/>
      </c>
    </row>
    <row r="1431">
      <c r="A1431" s="55"/>
      <c r="B1431" s="55"/>
      <c r="C1431" s="60"/>
      <c r="D1431" s="54"/>
      <c r="E1431" s="55"/>
      <c r="F1431" s="62"/>
      <c r="G1431" s="57"/>
      <c r="H1431" s="58" t="str">
        <f>IFERROR(__xludf.DUMMYFUNCTION("iferror(if(B1431="""", ,filter('IDR Import'!D:D,'IDR Import'!A:A=B1431,'IDR Import'!C:C=A1431)),)"),"")</f>
        <v/>
      </c>
      <c r="I1431" s="58"/>
      <c r="J1431" s="59" t="str">
        <f t="shared" si="1"/>
        <v/>
      </c>
    </row>
    <row r="1432">
      <c r="A1432" s="55"/>
      <c r="B1432" s="55"/>
      <c r="C1432" s="60"/>
      <c r="D1432" s="54"/>
      <c r="E1432" s="55"/>
      <c r="F1432" s="62"/>
      <c r="G1432" s="57"/>
      <c r="H1432" s="58" t="str">
        <f>IFERROR(__xludf.DUMMYFUNCTION("iferror(if(B1432="""", ,filter('IDR Import'!D:D,'IDR Import'!A:A=B1432,'IDR Import'!C:C=A1432)),)"),"")</f>
        <v/>
      </c>
      <c r="I1432" s="58"/>
      <c r="J1432" s="59" t="str">
        <f t="shared" si="1"/>
        <v/>
      </c>
    </row>
    <row r="1433">
      <c r="A1433" s="55"/>
      <c r="B1433" s="55"/>
      <c r="C1433" s="60"/>
      <c r="D1433" s="54"/>
      <c r="E1433" s="55"/>
      <c r="F1433" s="62"/>
      <c r="G1433" s="57"/>
      <c r="H1433" s="58" t="str">
        <f>IFERROR(__xludf.DUMMYFUNCTION("iferror(if(B1433="""", ,filter('IDR Import'!D:D,'IDR Import'!A:A=B1433,'IDR Import'!C:C=A1433)),)"),"")</f>
        <v/>
      </c>
      <c r="I1433" s="58"/>
      <c r="J1433" s="59" t="str">
        <f t="shared" si="1"/>
        <v/>
      </c>
    </row>
    <row r="1434">
      <c r="A1434" s="55"/>
      <c r="B1434" s="55"/>
      <c r="C1434" s="60"/>
      <c r="D1434" s="54"/>
      <c r="E1434" s="55"/>
      <c r="F1434" s="62"/>
      <c r="G1434" s="57"/>
      <c r="H1434" s="58" t="str">
        <f>IFERROR(__xludf.DUMMYFUNCTION("iferror(if(B1434="""", ,filter('IDR Import'!D:D,'IDR Import'!A:A=B1434,'IDR Import'!C:C=A1434)),)"),"")</f>
        <v/>
      </c>
      <c r="I1434" s="58"/>
      <c r="J1434" s="59" t="str">
        <f t="shared" si="1"/>
        <v/>
      </c>
    </row>
    <row r="1435">
      <c r="A1435" s="55"/>
      <c r="B1435" s="55"/>
      <c r="C1435" s="60"/>
      <c r="D1435" s="54"/>
      <c r="E1435" s="55"/>
      <c r="F1435" s="62"/>
      <c r="G1435" s="57"/>
      <c r="H1435" s="58" t="str">
        <f>IFERROR(__xludf.DUMMYFUNCTION("iferror(if(B1435="""", ,filter('IDR Import'!D:D,'IDR Import'!A:A=B1435,'IDR Import'!C:C=A1435)),)"),"")</f>
        <v/>
      </c>
      <c r="I1435" s="58"/>
      <c r="J1435" s="59" t="str">
        <f t="shared" si="1"/>
        <v/>
      </c>
    </row>
    <row r="1436">
      <c r="A1436" s="55"/>
      <c r="B1436" s="55"/>
      <c r="C1436" s="60"/>
      <c r="D1436" s="54"/>
      <c r="E1436" s="55"/>
      <c r="F1436" s="62"/>
      <c r="G1436" s="57"/>
      <c r="H1436" s="58" t="str">
        <f>IFERROR(__xludf.DUMMYFUNCTION("iferror(if(B1436="""", ,filter('IDR Import'!D:D,'IDR Import'!A:A=B1436,'IDR Import'!C:C=A1436)),)"),"")</f>
        <v/>
      </c>
      <c r="I1436" s="58"/>
      <c r="J1436" s="59" t="str">
        <f t="shared" si="1"/>
        <v/>
      </c>
    </row>
    <row r="1437">
      <c r="A1437" s="55"/>
      <c r="B1437" s="55"/>
      <c r="C1437" s="60"/>
      <c r="D1437" s="54"/>
      <c r="E1437" s="55"/>
      <c r="F1437" s="62"/>
      <c r="G1437" s="57"/>
      <c r="H1437" s="58" t="str">
        <f>IFERROR(__xludf.DUMMYFUNCTION("iferror(if(B1437="""", ,filter('IDR Import'!D:D,'IDR Import'!A:A=B1437,'IDR Import'!C:C=A1437)),)"),"")</f>
        <v/>
      </c>
      <c r="I1437" s="58"/>
      <c r="J1437" s="59" t="str">
        <f t="shared" si="1"/>
        <v/>
      </c>
    </row>
    <row r="1438">
      <c r="A1438" s="55"/>
      <c r="B1438" s="55"/>
      <c r="C1438" s="60"/>
      <c r="D1438" s="54"/>
      <c r="E1438" s="55"/>
      <c r="F1438" s="62"/>
      <c r="G1438" s="57"/>
      <c r="H1438" s="58" t="str">
        <f>IFERROR(__xludf.DUMMYFUNCTION("iferror(if(B1438="""", ,filter('IDR Import'!D:D,'IDR Import'!A:A=B1438,'IDR Import'!C:C=A1438)),)"),"")</f>
        <v/>
      </c>
      <c r="I1438" s="58"/>
      <c r="J1438" s="59" t="str">
        <f t="shared" si="1"/>
        <v/>
      </c>
    </row>
    <row r="1439">
      <c r="A1439" s="55"/>
      <c r="B1439" s="55"/>
      <c r="C1439" s="60"/>
      <c r="D1439" s="54"/>
      <c r="E1439" s="55"/>
      <c r="F1439" s="62"/>
      <c r="G1439" s="57"/>
      <c r="H1439" s="58" t="str">
        <f>IFERROR(__xludf.DUMMYFUNCTION("iferror(if(B1439="""", ,filter('IDR Import'!D:D,'IDR Import'!A:A=B1439,'IDR Import'!C:C=A1439)),)"),"")</f>
        <v/>
      </c>
      <c r="I1439" s="58"/>
      <c r="J1439" s="59" t="str">
        <f t="shared" si="1"/>
        <v/>
      </c>
    </row>
    <row r="1440">
      <c r="A1440" s="55"/>
      <c r="B1440" s="55"/>
      <c r="C1440" s="60"/>
      <c r="D1440" s="54"/>
      <c r="E1440" s="55"/>
      <c r="F1440" s="62"/>
      <c r="G1440" s="57"/>
      <c r="H1440" s="58" t="str">
        <f>IFERROR(__xludf.DUMMYFUNCTION("iferror(if(B1440="""", ,filter('IDR Import'!D:D,'IDR Import'!A:A=B1440,'IDR Import'!C:C=A1440)),)"),"")</f>
        <v/>
      </c>
      <c r="I1440" s="58"/>
      <c r="J1440" s="59" t="str">
        <f t="shared" si="1"/>
        <v/>
      </c>
    </row>
    <row r="1441">
      <c r="A1441" s="55"/>
      <c r="B1441" s="55"/>
      <c r="C1441" s="60"/>
      <c r="D1441" s="54"/>
      <c r="E1441" s="55"/>
      <c r="F1441" s="62"/>
      <c r="G1441" s="57"/>
      <c r="H1441" s="58" t="str">
        <f>IFERROR(__xludf.DUMMYFUNCTION("iferror(if(B1441="""", ,filter('IDR Import'!D:D,'IDR Import'!A:A=B1441,'IDR Import'!C:C=A1441)),)"),"")</f>
        <v/>
      </c>
      <c r="I1441" s="58"/>
      <c r="J1441" s="59" t="str">
        <f t="shared" si="1"/>
        <v/>
      </c>
    </row>
    <row r="1442">
      <c r="A1442" s="55"/>
      <c r="B1442" s="55"/>
      <c r="C1442" s="60"/>
      <c r="D1442" s="54"/>
      <c r="E1442" s="55"/>
      <c r="F1442" s="62"/>
      <c r="G1442" s="57"/>
      <c r="H1442" s="58" t="str">
        <f>IFERROR(__xludf.DUMMYFUNCTION("iferror(if(B1442="""", ,filter('IDR Import'!D:D,'IDR Import'!A:A=B1442,'IDR Import'!C:C=A1442)),)"),"")</f>
        <v/>
      </c>
      <c r="I1442" s="58"/>
      <c r="J1442" s="59" t="str">
        <f t="shared" si="1"/>
        <v/>
      </c>
    </row>
    <row r="1443">
      <c r="A1443" s="55"/>
      <c r="B1443" s="55"/>
      <c r="C1443" s="60"/>
      <c r="D1443" s="54"/>
      <c r="E1443" s="55"/>
      <c r="F1443" s="62"/>
      <c r="G1443" s="57"/>
      <c r="H1443" s="58" t="str">
        <f>IFERROR(__xludf.DUMMYFUNCTION("iferror(if(B1443="""", ,filter('IDR Import'!D:D,'IDR Import'!A:A=B1443,'IDR Import'!C:C=A1443)),)"),"")</f>
        <v/>
      </c>
      <c r="I1443" s="58"/>
      <c r="J1443" s="59" t="str">
        <f t="shared" si="1"/>
        <v/>
      </c>
    </row>
    <row r="1444">
      <c r="A1444" s="55"/>
      <c r="B1444" s="55"/>
      <c r="C1444" s="60"/>
      <c r="D1444" s="54"/>
      <c r="E1444" s="55"/>
      <c r="F1444" s="62"/>
      <c r="G1444" s="57"/>
      <c r="H1444" s="58" t="str">
        <f>IFERROR(__xludf.DUMMYFUNCTION("iferror(if(B1444="""", ,filter('IDR Import'!D:D,'IDR Import'!A:A=B1444,'IDR Import'!C:C=A1444)),)"),"")</f>
        <v/>
      </c>
      <c r="I1444" s="58"/>
      <c r="J1444" s="59" t="str">
        <f t="shared" si="1"/>
        <v/>
      </c>
    </row>
    <row r="1445">
      <c r="A1445" s="55"/>
      <c r="B1445" s="55"/>
      <c r="C1445" s="60"/>
      <c r="D1445" s="54"/>
      <c r="E1445" s="55"/>
      <c r="F1445" s="62"/>
      <c r="G1445" s="57"/>
      <c r="H1445" s="58" t="str">
        <f>IFERROR(__xludf.DUMMYFUNCTION("iferror(if(B1445="""", ,filter('IDR Import'!D:D,'IDR Import'!A:A=B1445,'IDR Import'!C:C=A1445)),)"),"")</f>
        <v/>
      </c>
      <c r="I1445" s="58"/>
      <c r="J1445" s="59" t="str">
        <f t="shared" si="1"/>
        <v/>
      </c>
    </row>
    <row r="1446">
      <c r="A1446" s="55"/>
      <c r="B1446" s="55"/>
      <c r="C1446" s="60"/>
      <c r="D1446" s="54"/>
      <c r="E1446" s="55"/>
      <c r="F1446" s="62"/>
      <c r="G1446" s="57"/>
      <c r="H1446" s="58" t="str">
        <f>IFERROR(__xludf.DUMMYFUNCTION("iferror(if(B1446="""", ,filter('IDR Import'!D:D,'IDR Import'!A:A=B1446,'IDR Import'!C:C=A1446)),)"),"")</f>
        <v/>
      </c>
      <c r="I1446" s="58"/>
      <c r="J1446" s="59" t="str">
        <f t="shared" si="1"/>
        <v/>
      </c>
    </row>
    <row r="1447">
      <c r="A1447" s="55"/>
      <c r="B1447" s="55"/>
      <c r="C1447" s="60"/>
      <c r="D1447" s="54"/>
      <c r="E1447" s="55"/>
      <c r="F1447" s="62"/>
      <c r="G1447" s="57"/>
      <c r="H1447" s="58" t="str">
        <f>IFERROR(__xludf.DUMMYFUNCTION("iferror(if(B1447="""", ,filter('IDR Import'!D:D,'IDR Import'!A:A=B1447,'IDR Import'!C:C=A1447)),)"),"")</f>
        <v/>
      </c>
      <c r="I1447" s="58"/>
      <c r="J1447" s="59" t="str">
        <f t="shared" si="1"/>
        <v/>
      </c>
    </row>
    <row r="1448">
      <c r="A1448" s="55"/>
      <c r="B1448" s="55"/>
      <c r="C1448" s="60"/>
      <c r="D1448" s="54"/>
      <c r="E1448" s="55"/>
      <c r="F1448" s="62"/>
      <c r="G1448" s="57"/>
      <c r="H1448" s="58" t="str">
        <f>IFERROR(__xludf.DUMMYFUNCTION("iferror(if(B1448="""", ,filter('IDR Import'!D:D,'IDR Import'!A:A=B1448,'IDR Import'!C:C=A1448)),)"),"")</f>
        <v/>
      </c>
      <c r="I1448" s="58"/>
      <c r="J1448" s="59" t="str">
        <f t="shared" si="1"/>
        <v/>
      </c>
    </row>
    <row r="1449">
      <c r="A1449" s="55"/>
      <c r="B1449" s="55"/>
      <c r="C1449" s="60"/>
      <c r="D1449" s="54"/>
      <c r="E1449" s="55"/>
      <c r="F1449" s="62"/>
      <c r="G1449" s="57"/>
      <c r="H1449" s="58" t="str">
        <f>IFERROR(__xludf.DUMMYFUNCTION("iferror(if(B1449="""", ,filter('IDR Import'!D:D,'IDR Import'!A:A=B1449,'IDR Import'!C:C=A1449)),)"),"")</f>
        <v/>
      </c>
      <c r="I1449" s="58"/>
      <c r="J1449" s="59" t="str">
        <f t="shared" si="1"/>
        <v/>
      </c>
    </row>
    <row r="1450">
      <c r="A1450" s="55"/>
      <c r="B1450" s="55"/>
      <c r="C1450" s="60"/>
      <c r="D1450" s="54"/>
      <c r="E1450" s="55"/>
      <c r="F1450" s="62"/>
      <c r="G1450" s="57"/>
      <c r="H1450" s="58" t="str">
        <f>IFERROR(__xludf.DUMMYFUNCTION("iferror(if(B1450="""", ,filter('IDR Import'!D:D,'IDR Import'!A:A=B1450,'IDR Import'!C:C=A1450)),)"),"")</f>
        <v/>
      </c>
      <c r="I1450" s="58"/>
      <c r="J1450" s="59" t="str">
        <f t="shared" si="1"/>
        <v/>
      </c>
    </row>
    <row r="1451">
      <c r="A1451" s="55"/>
      <c r="B1451" s="55"/>
      <c r="C1451" s="60"/>
      <c r="D1451" s="54"/>
      <c r="E1451" s="55"/>
      <c r="F1451" s="62"/>
      <c r="G1451" s="57"/>
      <c r="H1451" s="58" t="str">
        <f>IFERROR(__xludf.DUMMYFUNCTION("iferror(if(B1451="""", ,filter('IDR Import'!D:D,'IDR Import'!A:A=B1451,'IDR Import'!C:C=A1451)),)"),"")</f>
        <v/>
      </c>
      <c r="I1451" s="58"/>
      <c r="J1451" s="59" t="str">
        <f t="shared" si="1"/>
        <v/>
      </c>
    </row>
    <row r="1452">
      <c r="A1452" s="55"/>
      <c r="B1452" s="55"/>
      <c r="C1452" s="60"/>
      <c r="D1452" s="54"/>
      <c r="E1452" s="55"/>
      <c r="F1452" s="62"/>
      <c r="G1452" s="57"/>
      <c r="H1452" s="58" t="str">
        <f>IFERROR(__xludf.DUMMYFUNCTION("iferror(if(B1452="""", ,filter('IDR Import'!D:D,'IDR Import'!A:A=B1452,'IDR Import'!C:C=A1452)),)"),"")</f>
        <v/>
      </c>
      <c r="I1452" s="58"/>
      <c r="J1452" s="59" t="str">
        <f t="shared" si="1"/>
        <v/>
      </c>
    </row>
    <row r="1453">
      <c r="A1453" s="55"/>
      <c r="B1453" s="55"/>
      <c r="C1453" s="60"/>
      <c r="D1453" s="54"/>
      <c r="E1453" s="55"/>
      <c r="F1453" s="62"/>
      <c r="G1453" s="57"/>
      <c r="H1453" s="58" t="str">
        <f>IFERROR(__xludf.DUMMYFUNCTION("iferror(if(B1453="""", ,filter('IDR Import'!D:D,'IDR Import'!A:A=B1453,'IDR Import'!C:C=A1453)),)"),"")</f>
        <v/>
      </c>
      <c r="I1453" s="58"/>
      <c r="J1453" s="59" t="str">
        <f t="shared" si="1"/>
        <v/>
      </c>
    </row>
    <row r="1454">
      <c r="A1454" s="55"/>
      <c r="B1454" s="55"/>
      <c r="C1454" s="60"/>
      <c r="D1454" s="54"/>
      <c r="E1454" s="55"/>
      <c r="F1454" s="62"/>
      <c r="G1454" s="57"/>
      <c r="H1454" s="58" t="str">
        <f>IFERROR(__xludf.DUMMYFUNCTION("iferror(if(B1454="""", ,filter('IDR Import'!D:D,'IDR Import'!A:A=B1454,'IDR Import'!C:C=A1454)),)"),"")</f>
        <v/>
      </c>
      <c r="I1454" s="58"/>
      <c r="J1454" s="59" t="str">
        <f t="shared" si="1"/>
        <v/>
      </c>
    </row>
    <row r="1455">
      <c r="A1455" s="55"/>
      <c r="B1455" s="55"/>
      <c r="C1455" s="60"/>
      <c r="D1455" s="54"/>
      <c r="E1455" s="55"/>
      <c r="F1455" s="62"/>
      <c r="G1455" s="57"/>
      <c r="H1455" s="58" t="str">
        <f>IFERROR(__xludf.DUMMYFUNCTION("iferror(if(B1455="""", ,filter('IDR Import'!D:D,'IDR Import'!A:A=B1455,'IDR Import'!C:C=A1455)),)"),"")</f>
        <v/>
      </c>
      <c r="I1455" s="58"/>
      <c r="J1455" s="59" t="str">
        <f t="shared" si="1"/>
        <v/>
      </c>
    </row>
    <row r="1456">
      <c r="A1456" s="55"/>
      <c r="B1456" s="55"/>
      <c r="C1456" s="60"/>
      <c r="D1456" s="54"/>
      <c r="E1456" s="55"/>
      <c r="F1456" s="62"/>
      <c r="G1456" s="57"/>
      <c r="H1456" s="58" t="str">
        <f>IFERROR(__xludf.DUMMYFUNCTION("iferror(if(B1456="""", ,filter('IDR Import'!D:D,'IDR Import'!A:A=B1456,'IDR Import'!C:C=A1456)),)"),"")</f>
        <v/>
      </c>
      <c r="I1456" s="58"/>
      <c r="J1456" s="59" t="str">
        <f t="shared" si="1"/>
        <v/>
      </c>
    </row>
    <row r="1457">
      <c r="A1457" s="55"/>
      <c r="B1457" s="55"/>
      <c r="C1457" s="60"/>
      <c r="D1457" s="54"/>
      <c r="E1457" s="55"/>
      <c r="F1457" s="62"/>
      <c r="G1457" s="57"/>
      <c r="H1457" s="58" t="str">
        <f>IFERROR(__xludf.DUMMYFUNCTION("iferror(if(B1457="""", ,filter('IDR Import'!D:D,'IDR Import'!A:A=B1457,'IDR Import'!C:C=A1457)),)"),"")</f>
        <v/>
      </c>
      <c r="I1457" s="58"/>
      <c r="J1457" s="59" t="str">
        <f t="shared" si="1"/>
        <v/>
      </c>
    </row>
    <row r="1458">
      <c r="A1458" s="55"/>
      <c r="B1458" s="55"/>
      <c r="C1458" s="60"/>
      <c r="D1458" s="54"/>
      <c r="E1458" s="55"/>
      <c r="F1458" s="62"/>
      <c r="G1458" s="57"/>
      <c r="H1458" s="58" t="str">
        <f>IFERROR(__xludf.DUMMYFUNCTION("iferror(if(B1458="""", ,filter('IDR Import'!D:D,'IDR Import'!A:A=B1458,'IDR Import'!C:C=A1458)),)"),"")</f>
        <v/>
      </c>
      <c r="I1458" s="58"/>
      <c r="J1458" s="59" t="str">
        <f t="shared" si="1"/>
        <v/>
      </c>
    </row>
    <row r="1459">
      <c r="A1459" s="55"/>
      <c r="B1459" s="55"/>
      <c r="C1459" s="60"/>
      <c r="D1459" s="54"/>
      <c r="E1459" s="55"/>
      <c r="F1459" s="62"/>
      <c r="G1459" s="57"/>
      <c r="H1459" s="58" t="str">
        <f>IFERROR(__xludf.DUMMYFUNCTION("iferror(if(B1459="""", ,filter('IDR Import'!D:D,'IDR Import'!A:A=B1459,'IDR Import'!C:C=A1459)),)"),"")</f>
        <v/>
      </c>
      <c r="I1459" s="58"/>
      <c r="J1459" s="59" t="str">
        <f t="shared" si="1"/>
        <v/>
      </c>
    </row>
    <row r="1460">
      <c r="A1460" s="55"/>
      <c r="B1460" s="55"/>
      <c r="C1460" s="60"/>
      <c r="D1460" s="54"/>
      <c r="E1460" s="55"/>
      <c r="F1460" s="62"/>
      <c r="G1460" s="57"/>
      <c r="H1460" s="58" t="str">
        <f>IFERROR(__xludf.DUMMYFUNCTION("iferror(if(B1460="""", ,filter('IDR Import'!D:D,'IDR Import'!A:A=B1460,'IDR Import'!C:C=A1460)),)"),"")</f>
        <v/>
      </c>
      <c r="I1460" s="58"/>
      <c r="J1460" s="59" t="str">
        <f t="shared" si="1"/>
        <v/>
      </c>
    </row>
    <row r="1461">
      <c r="A1461" s="55"/>
      <c r="B1461" s="55"/>
      <c r="C1461" s="60"/>
      <c r="D1461" s="54"/>
      <c r="E1461" s="55"/>
      <c r="F1461" s="62"/>
      <c r="G1461" s="57"/>
      <c r="H1461" s="58" t="str">
        <f>IFERROR(__xludf.DUMMYFUNCTION("iferror(if(B1461="""", ,filter('IDR Import'!D:D,'IDR Import'!A:A=B1461,'IDR Import'!C:C=A1461)),)"),"")</f>
        <v/>
      </c>
      <c r="I1461" s="58"/>
      <c r="J1461" s="59" t="str">
        <f t="shared" si="1"/>
        <v/>
      </c>
    </row>
    <row r="1462">
      <c r="A1462" s="55"/>
      <c r="B1462" s="55"/>
      <c r="C1462" s="60"/>
      <c r="D1462" s="54"/>
      <c r="E1462" s="55"/>
      <c r="F1462" s="62"/>
      <c r="G1462" s="57"/>
      <c r="H1462" s="58" t="str">
        <f>IFERROR(__xludf.DUMMYFUNCTION("iferror(if(B1462="""", ,filter('IDR Import'!D:D,'IDR Import'!A:A=B1462,'IDR Import'!C:C=A1462)),)"),"")</f>
        <v/>
      </c>
      <c r="I1462" s="58"/>
      <c r="J1462" s="59" t="str">
        <f t="shared" si="1"/>
        <v/>
      </c>
    </row>
    <row r="1463">
      <c r="A1463" s="55"/>
      <c r="B1463" s="55"/>
      <c r="C1463" s="60"/>
      <c r="D1463" s="54"/>
      <c r="E1463" s="55"/>
      <c r="F1463" s="62"/>
      <c r="G1463" s="57"/>
      <c r="H1463" s="58" t="str">
        <f>IFERROR(__xludf.DUMMYFUNCTION("iferror(if(B1463="""", ,filter('IDR Import'!D:D,'IDR Import'!A:A=B1463,'IDR Import'!C:C=A1463)),)"),"")</f>
        <v/>
      </c>
      <c r="I1463" s="58"/>
      <c r="J1463" s="59" t="str">
        <f t="shared" si="1"/>
        <v/>
      </c>
    </row>
    <row r="1464">
      <c r="A1464" s="55"/>
      <c r="B1464" s="55"/>
      <c r="C1464" s="60"/>
      <c r="D1464" s="54"/>
      <c r="E1464" s="55"/>
      <c r="F1464" s="62"/>
      <c r="G1464" s="57"/>
      <c r="H1464" s="58" t="str">
        <f>IFERROR(__xludf.DUMMYFUNCTION("iferror(if(B1464="""", ,filter('IDR Import'!D:D,'IDR Import'!A:A=B1464,'IDR Import'!C:C=A1464)),)"),"")</f>
        <v/>
      </c>
      <c r="I1464" s="58"/>
      <c r="J1464" s="59" t="str">
        <f t="shared" si="1"/>
        <v/>
      </c>
    </row>
    <row r="1465">
      <c r="A1465" s="55"/>
      <c r="B1465" s="55"/>
      <c r="C1465" s="60"/>
      <c r="D1465" s="54"/>
      <c r="E1465" s="55"/>
      <c r="F1465" s="62"/>
      <c r="G1465" s="57"/>
      <c r="H1465" s="58" t="str">
        <f>IFERROR(__xludf.DUMMYFUNCTION("iferror(if(B1465="""", ,filter('IDR Import'!D:D,'IDR Import'!A:A=B1465,'IDR Import'!C:C=A1465)),)"),"")</f>
        <v/>
      </c>
      <c r="I1465" s="58"/>
      <c r="J1465" s="59" t="str">
        <f t="shared" si="1"/>
        <v/>
      </c>
    </row>
    <row r="1466">
      <c r="A1466" s="55"/>
      <c r="B1466" s="55"/>
      <c r="C1466" s="60"/>
      <c r="D1466" s="54"/>
      <c r="E1466" s="55"/>
      <c r="F1466" s="62"/>
      <c r="G1466" s="57"/>
      <c r="H1466" s="58" t="str">
        <f>IFERROR(__xludf.DUMMYFUNCTION("iferror(if(B1466="""", ,filter('IDR Import'!D:D,'IDR Import'!A:A=B1466,'IDR Import'!C:C=A1466)),)"),"")</f>
        <v/>
      </c>
      <c r="I1466" s="58"/>
      <c r="J1466" s="59" t="str">
        <f t="shared" si="1"/>
        <v/>
      </c>
    </row>
    <row r="1467">
      <c r="A1467" s="55"/>
      <c r="B1467" s="55"/>
      <c r="C1467" s="60"/>
      <c r="D1467" s="54"/>
      <c r="E1467" s="55"/>
      <c r="F1467" s="62"/>
      <c r="G1467" s="57"/>
      <c r="H1467" s="58" t="str">
        <f>IFERROR(__xludf.DUMMYFUNCTION("iferror(if(B1467="""", ,filter('IDR Import'!D:D,'IDR Import'!A:A=B1467,'IDR Import'!C:C=A1467)),)"),"")</f>
        <v/>
      </c>
      <c r="I1467" s="58"/>
      <c r="J1467" s="59" t="str">
        <f t="shared" si="1"/>
        <v/>
      </c>
    </row>
    <row r="1468">
      <c r="A1468" s="55"/>
      <c r="B1468" s="55"/>
      <c r="C1468" s="60"/>
      <c r="D1468" s="54"/>
      <c r="E1468" s="55"/>
      <c r="F1468" s="62"/>
      <c r="G1468" s="57"/>
      <c r="H1468" s="58" t="str">
        <f>IFERROR(__xludf.DUMMYFUNCTION("iferror(if(B1468="""", ,filter('IDR Import'!D:D,'IDR Import'!A:A=B1468,'IDR Import'!C:C=A1468)),)"),"")</f>
        <v/>
      </c>
      <c r="I1468" s="58"/>
      <c r="J1468" s="59" t="str">
        <f t="shared" si="1"/>
        <v/>
      </c>
    </row>
    <row r="1469">
      <c r="A1469" s="55"/>
      <c r="B1469" s="55"/>
      <c r="C1469" s="60"/>
      <c r="D1469" s="54"/>
      <c r="E1469" s="55"/>
      <c r="F1469" s="62"/>
      <c r="G1469" s="57"/>
      <c r="H1469" s="58" t="str">
        <f>IFERROR(__xludf.DUMMYFUNCTION("iferror(if(B1469="""", ,filter('IDR Import'!D:D,'IDR Import'!A:A=B1469,'IDR Import'!C:C=A1469)),)"),"")</f>
        <v/>
      </c>
      <c r="I1469" s="58"/>
      <c r="J1469" s="59" t="str">
        <f t="shared" si="1"/>
        <v/>
      </c>
    </row>
    <row r="1470">
      <c r="A1470" s="55"/>
      <c r="B1470" s="55"/>
      <c r="C1470" s="60"/>
      <c r="D1470" s="54"/>
      <c r="E1470" s="55"/>
      <c r="F1470" s="62"/>
      <c r="G1470" s="57"/>
      <c r="H1470" s="58" t="str">
        <f>IFERROR(__xludf.DUMMYFUNCTION("iferror(if(B1470="""", ,filter('IDR Import'!D:D,'IDR Import'!A:A=B1470,'IDR Import'!C:C=A1470)),)"),"")</f>
        <v/>
      </c>
      <c r="I1470" s="58"/>
      <c r="J1470" s="59" t="str">
        <f t="shared" si="1"/>
        <v/>
      </c>
    </row>
    <row r="1471">
      <c r="A1471" s="55"/>
      <c r="B1471" s="55"/>
      <c r="C1471" s="60"/>
      <c r="D1471" s="54"/>
      <c r="E1471" s="55"/>
      <c r="F1471" s="62"/>
      <c r="G1471" s="57"/>
      <c r="H1471" s="58" t="str">
        <f>IFERROR(__xludf.DUMMYFUNCTION("iferror(if(B1471="""", ,filter('IDR Import'!D:D,'IDR Import'!A:A=B1471,'IDR Import'!C:C=A1471)),)"),"")</f>
        <v/>
      </c>
      <c r="I1471" s="58"/>
      <c r="J1471" s="59" t="str">
        <f t="shared" si="1"/>
        <v/>
      </c>
    </row>
    <row r="1472">
      <c r="A1472" s="55"/>
      <c r="B1472" s="55"/>
      <c r="C1472" s="60"/>
      <c r="D1472" s="54"/>
      <c r="E1472" s="55"/>
      <c r="F1472" s="62"/>
      <c r="G1472" s="57"/>
      <c r="H1472" s="58" t="str">
        <f>IFERROR(__xludf.DUMMYFUNCTION("iferror(if(B1472="""", ,filter('IDR Import'!D:D,'IDR Import'!A:A=B1472,'IDR Import'!C:C=A1472)),)"),"")</f>
        <v/>
      </c>
      <c r="I1472" s="58"/>
      <c r="J1472" s="59" t="str">
        <f t="shared" si="1"/>
        <v/>
      </c>
    </row>
    <row r="1473">
      <c r="A1473" s="55"/>
      <c r="B1473" s="55"/>
      <c r="C1473" s="60"/>
      <c r="D1473" s="54"/>
      <c r="E1473" s="55"/>
      <c r="F1473" s="62"/>
      <c r="G1473" s="57"/>
      <c r="H1473" s="58" t="str">
        <f>IFERROR(__xludf.DUMMYFUNCTION("iferror(if(B1473="""", ,filter('IDR Import'!D:D,'IDR Import'!A:A=B1473,'IDR Import'!C:C=A1473)),)"),"")</f>
        <v/>
      </c>
      <c r="I1473" s="58"/>
      <c r="J1473" s="59" t="str">
        <f t="shared" si="1"/>
        <v/>
      </c>
    </row>
    <row r="1474">
      <c r="A1474" s="55"/>
      <c r="B1474" s="55"/>
      <c r="C1474" s="60"/>
      <c r="D1474" s="54"/>
      <c r="E1474" s="55"/>
      <c r="F1474" s="62"/>
      <c r="G1474" s="57"/>
      <c r="H1474" s="58" t="str">
        <f>IFERROR(__xludf.DUMMYFUNCTION("iferror(if(B1474="""", ,filter('IDR Import'!D:D,'IDR Import'!A:A=B1474,'IDR Import'!C:C=A1474)),)"),"")</f>
        <v/>
      </c>
      <c r="I1474" s="58"/>
      <c r="J1474" s="59" t="str">
        <f t="shared" si="1"/>
        <v/>
      </c>
    </row>
    <row r="1475">
      <c r="A1475" s="55"/>
      <c r="B1475" s="55"/>
      <c r="C1475" s="60"/>
      <c r="D1475" s="54"/>
      <c r="E1475" s="55"/>
      <c r="F1475" s="62"/>
      <c r="G1475" s="57"/>
      <c r="H1475" s="58" t="str">
        <f>IFERROR(__xludf.DUMMYFUNCTION("iferror(if(B1475="""", ,filter('IDR Import'!D:D,'IDR Import'!A:A=B1475,'IDR Import'!C:C=A1475)),)"),"")</f>
        <v/>
      </c>
      <c r="I1475" s="58"/>
      <c r="J1475" s="59" t="str">
        <f t="shared" si="1"/>
        <v/>
      </c>
    </row>
    <row r="1476">
      <c r="A1476" s="55"/>
      <c r="B1476" s="55"/>
      <c r="C1476" s="60"/>
      <c r="D1476" s="54"/>
      <c r="E1476" s="55"/>
      <c r="F1476" s="62"/>
      <c r="G1476" s="57"/>
      <c r="H1476" s="58" t="str">
        <f>IFERROR(__xludf.DUMMYFUNCTION("iferror(if(B1476="""", ,filter('IDR Import'!D:D,'IDR Import'!A:A=B1476,'IDR Import'!C:C=A1476)),)"),"")</f>
        <v/>
      </c>
      <c r="I1476" s="58"/>
      <c r="J1476" s="59" t="str">
        <f t="shared" si="1"/>
        <v/>
      </c>
    </row>
    <row r="1477">
      <c r="A1477" s="55"/>
      <c r="B1477" s="55"/>
      <c r="C1477" s="60"/>
      <c r="D1477" s="54"/>
      <c r="E1477" s="55"/>
      <c r="F1477" s="62"/>
      <c r="G1477" s="57"/>
      <c r="H1477" s="58" t="str">
        <f>IFERROR(__xludf.DUMMYFUNCTION("iferror(if(B1477="""", ,filter('IDR Import'!D:D,'IDR Import'!A:A=B1477,'IDR Import'!C:C=A1477)),)"),"")</f>
        <v/>
      </c>
      <c r="I1477" s="58"/>
      <c r="J1477" s="59" t="str">
        <f t="shared" si="1"/>
        <v/>
      </c>
    </row>
    <row r="1478">
      <c r="A1478" s="55"/>
      <c r="B1478" s="55"/>
      <c r="C1478" s="60"/>
      <c r="D1478" s="54"/>
      <c r="E1478" s="55"/>
      <c r="F1478" s="62"/>
      <c r="G1478" s="57"/>
      <c r="H1478" s="58" t="str">
        <f>IFERROR(__xludf.DUMMYFUNCTION("iferror(if(B1478="""", ,filter('IDR Import'!D:D,'IDR Import'!A:A=B1478,'IDR Import'!C:C=A1478)),)"),"")</f>
        <v/>
      </c>
      <c r="I1478" s="58"/>
      <c r="J1478" s="59" t="str">
        <f t="shared" si="1"/>
        <v/>
      </c>
    </row>
    <row r="1479">
      <c r="A1479" s="55"/>
      <c r="B1479" s="55"/>
      <c r="C1479" s="60"/>
      <c r="D1479" s="54"/>
      <c r="E1479" s="55"/>
      <c r="F1479" s="62"/>
      <c r="G1479" s="57"/>
      <c r="H1479" s="58" t="str">
        <f>IFERROR(__xludf.DUMMYFUNCTION("iferror(if(B1479="""", ,filter('IDR Import'!D:D,'IDR Import'!A:A=B1479,'IDR Import'!C:C=A1479)),)"),"")</f>
        <v/>
      </c>
      <c r="I1479" s="58"/>
      <c r="J1479" s="59" t="str">
        <f t="shared" si="1"/>
        <v/>
      </c>
    </row>
    <row r="1480">
      <c r="A1480" s="55"/>
      <c r="B1480" s="55"/>
      <c r="C1480" s="60"/>
      <c r="D1480" s="54"/>
      <c r="E1480" s="55"/>
      <c r="F1480" s="62"/>
      <c r="G1480" s="57"/>
      <c r="H1480" s="58" t="str">
        <f>IFERROR(__xludf.DUMMYFUNCTION("iferror(if(B1480="""", ,filter('IDR Import'!D:D,'IDR Import'!A:A=B1480,'IDR Import'!C:C=A1480)),)"),"")</f>
        <v/>
      </c>
      <c r="I1480" s="58"/>
      <c r="J1480" s="59" t="str">
        <f t="shared" si="1"/>
        <v/>
      </c>
    </row>
    <row r="1481">
      <c r="A1481" s="55"/>
      <c r="B1481" s="55"/>
      <c r="C1481" s="60"/>
      <c r="D1481" s="54"/>
      <c r="E1481" s="55"/>
      <c r="F1481" s="62"/>
      <c r="G1481" s="57"/>
      <c r="H1481" s="58" t="str">
        <f>IFERROR(__xludf.DUMMYFUNCTION("iferror(if(B1481="""", ,filter('IDR Import'!D:D,'IDR Import'!A:A=B1481,'IDR Import'!C:C=A1481)),)"),"")</f>
        <v/>
      </c>
      <c r="I1481" s="58"/>
      <c r="J1481" s="59" t="str">
        <f t="shared" si="1"/>
        <v/>
      </c>
    </row>
    <row r="1482">
      <c r="A1482" s="55"/>
      <c r="B1482" s="55"/>
      <c r="C1482" s="60"/>
      <c r="D1482" s="54"/>
      <c r="E1482" s="55"/>
      <c r="F1482" s="62"/>
      <c r="G1482" s="57"/>
      <c r="H1482" s="58" t="str">
        <f>IFERROR(__xludf.DUMMYFUNCTION("iferror(if(B1482="""", ,filter('IDR Import'!D:D,'IDR Import'!A:A=B1482,'IDR Import'!C:C=A1482)),)"),"")</f>
        <v/>
      </c>
      <c r="I1482" s="58"/>
      <c r="J1482" s="59" t="str">
        <f t="shared" si="1"/>
        <v/>
      </c>
    </row>
    <row r="1483">
      <c r="A1483" s="55"/>
      <c r="B1483" s="55"/>
      <c r="C1483" s="60"/>
      <c r="D1483" s="54"/>
      <c r="E1483" s="55"/>
      <c r="F1483" s="62"/>
      <c r="G1483" s="57"/>
      <c r="H1483" s="58" t="str">
        <f>IFERROR(__xludf.DUMMYFUNCTION("iferror(if(B1483="""", ,filter('IDR Import'!D:D,'IDR Import'!A:A=B1483,'IDR Import'!C:C=A1483)),)"),"")</f>
        <v/>
      </c>
      <c r="I1483" s="58"/>
      <c r="J1483" s="59" t="str">
        <f t="shared" si="1"/>
        <v/>
      </c>
    </row>
    <row r="1484">
      <c r="A1484" s="55"/>
      <c r="B1484" s="55"/>
      <c r="C1484" s="60"/>
      <c r="D1484" s="54"/>
      <c r="E1484" s="55"/>
      <c r="F1484" s="62"/>
      <c r="G1484" s="57"/>
      <c r="H1484" s="58" t="str">
        <f>IFERROR(__xludf.DUMMYFUNCTION("iferror(if(B1484="""", ,filter('IDR Import'!D:D,'IDR Import'!A:A=B1484,'IDR Import'!C:C=A1484)),)"),"")</f>
        <v/>
      </c>
      <c r="I1484" s="58"/>
      <c r="J1484" s="59" t="str">
        <f t="shared" si="1"/>
        <v/>
      </c>
    </row>
    <row r="1485">
      <c r="A1485" s="55"/>
      <c r="B1485" s="55"/>
      <c r="C1485" s="60"/>
      <c r="D1485" s="54"/>
      <c r="E1485" s="55"/>
      <c r="F1485" s="62"/>
      <c r="G1485" s="57"/>
      <c r="H1485" s="58" t="str">
        <f>IFERROR(__xludf.DUMMYFUNCTION("iferror(if(B1485="""", ,filter('IDR Import'!D:D,'IDR Import'!A:A=B1485,'IDR Import'!C:C=A1485)),)"),"")</f>
        <v/>
      </c>
      <c r="I1485" s="58"/>
      <c r="J1485" s="59" t="str">
        <f t="shared" si="1"/>
        <v/>
      </c>
    </row>
    <row r="1486">
      <c r="A1486" s="55"/>
      <c r="B1486" s="55"/>
      <c r="C1486" s="60"/>
      <c r="D1486" s="54"/>
      <c r="E1486" s="55"/>
      <c r="F1486" s="62"/>
      <c r="G1486" s="57"/>
      <c r="H1486" s="58" t="str">
        <f>IFERROR(__xludf.DUMMYFUNCTION("iferror(if(B1486="""", ,filter('IDR Import'!D:D,'IDR Import'!A:A=B1486,'IDR Import'!C:C=A1486)),)"),"")</f>
        <v/>
      </c>
      <c r="I1486" s="58"/>
      <c r="J1486" s="59" t="str">
        <f t="shared" si="1"/>
        <v/>
      </c>
    </row>
    <row r="1487">
      <c r="A1487" s="55"/>
      <c r="B1487" s="55"/>
      <c r="C1487" s="60"/>
      <c r="D1487" s="54"/>
      <c r="E1487" s="55"/>
      <c r="F1487" s="62"/>
      <c r="G1487" s="57"/>
      <c r="H1487" s="58" t="str">
        <f>IFERROR(__xludf.DUMMYFUNCTION("iferror(if(B1487="""", ,filter('IDR Import'!D:D,'IDR Import'!A:A=B1487,'IDR Import'!C:C=A1487)),)"),"")</f>
        <v/>
      </c>
      <c r="I1487" s="58"/>
      <c r="J1487" s="59" t="str">
        <f t="shared" si="1"/>
        <v/>
      </c>
    </row>
    <row r="1488">
      <c r="A1488" s="55"/>
      <c r="B1488" s="55"/>
      <c r="C1488" s="60"/>
      <c r="D1488" s="54"/>
      <c r="E1488" s="55"/>
      <c r="F1488" s="62"/>
      <c r="G1488" s="57"/>
      <c r="H1488" s="58" t="str">
        <f>IFERROR(__xludf.DUMMYFUNCTION("iferror(if(B1488="""", ,filter('IDR Import'!D:D,'IDR Import'!A:A=B1488,'IDR Import'!C:C=A1488)),)"),"")</f>
        <v/>
      </c>
      <c r="I1488" s="58"/>
      <c r="J1488" s="59" t="str">
        <f t="shared" si="1"/>
        <v/>
      </c>
    </row>
    <row r="1489">
      <c r="A1489" s="55"/>
      <c r="B1489" s="55"/>
      <c r="C1489" s="60"/>
      <c r="D1489" s="54"/>
      <c r="E1489" s="55"/>
      <c r="F1489" s="62"/>
      <c r="G1489" s="57"/>
      <c r="H1489" s="58" t="str">
        <f>IFERROR(__xludf.DUMMYFUNCTION("iferror(if(B1489="""", ,filter('IDR Import'!D:D,'IDR Import'!A:A=B1489,'IDR Import'!C:C=A1489)),)"),"")</f>
        <v/>
      </c>
      <c r="I1489" s="58"/>
      <c r="J1489" s="59" t="str">
        <f t="shared" si="1"/>
        <v/>
      </c>
    </row>
    <row r="1490">
      <c r="A1490" s="55"/>
      <c r="B1490" s="55"/>
      <c r="C1490" s="60"/>
      <c r="D1490" s="54"/>
      <c r="E1490" s="55"/>
      <c r="F1490" s="62"/>
      <c r="G1490" s="57"/>
      <c r="H1490" s="58" t="str">
        <f>IFERROR(__xludf.DUMMYFUNCTION("iferror(if(B1490="""", ,filter('IDR Import'!D:D,'IDR Import'!A:A=B1490,'IDR Import'!C:C=A1490)),)"),"")</f>
        <v/>
      </c>
      <c r="I1490" s="58"/>
      <c r="J1490" s="59" t="str">
        <f t="shared" si="1"/>
        <v/>
      </c>
    </row>
    <row r="1491">
      <c r="A1491" s="55"/>
      <c r="B1491" s="55"/>
      <c r="C1491" s="60"/>
      <c r="D1491" s="54"/>
      <c r="E1491" s="55"/>
      <c r="F1491" s="62"/>
      <c r="G1491" s="57"/>
      <c r="H1491" s="58" t="str">
        <f>IFERROR(__xludf.DUMMYFUNCTION("iferror(if(B1491="""", ,filter('IDR Import'!D:D,'IDR Import'!A:A=B1491,'IDR Import'!C:C=A1491)),)"),"")</f>
        <v/>
      </c>
      <c r="I1491" s="58"/>
      <c r="J1491" s="59" t="str">
        <f t="shared" si="1"/>
        <v/>
      </c>
    </row>
    <row r="1492">
      <c r="A1492" s="55"/>
      <c r="B1492" s="55"/>
      <c r="C1492" s="60"/>
      <c r="D1492" s="54"/>
      <c r="E1492" s="55"/>
      <c r="F1492" s="62"/>
      <c r="G1492" s="57"/>
      <c r="H1492" s="58" t="str">
        <f>IFERROR(__xludf.DUMMYFUNCTION("iferror(if(B1492="""", ,filter('IDR Import'!D:D,'IDR Import'!A:A=B1492,'IDR Import'!C:C=A1492)),)"),"")</f>
        <v/>
      </c>
      <c r="I1492" s="58"/>
      <c r="J1492" s="59" t="str">
        <f t="shared" si="1"/>
        <v/>
      </c>
    </row>
    <row r="1493">
      <c r="A1493" s="55"/>
      <c r="B1493" s="55"/>
      <c r="C1493" s="60"/>
      <c r="D1493" s="54"/>
      <c r="E1493" s="55"/>
      <c r="F1493" s="62"/>
      <c r="G1493" s="57"/>
      <c r="H1493" s="58" t="str">
        <f>IFERROR(__xludf.DUMMYFUNCTION("iferror(if(B1493="""", ,filter('IDR Import'!D:D,'IDR Import'!A:A=B1493,'IDR Import'!C:C=A1493)),)"),"")</f>
        <v/>
      </c>
      <c r="I1493" s="58"/>
      <c r="J1493" s="59" t="str">
        <f t="shared" si="1"/>
        <v/>
      </c>
    </row>
    <row r="1494">
      <c r="A1494" s="55"/>
      <c r="B1494" s="55"/>
      <c r="C1494" s="60"/>
      <c r="D1494" s="54"/>
      <c r="E1494" s="55"/>
      <c r="F1494" s="62"/>
      <c r="G1494" s="57"/>
      <c r="H1494" s="58" t="str">
        <f>IFERROR(__xludf.DUMMYFUNCTION("iferror(if(B1494="""", ,filter('IDR Import'!D:D,'IDR Import'!A:A=B1494,'IDR Import'!C:C=A1494)),)"),"")</f>
        <v/>
      </c>
      <c r="I1494" s="58"/>
      <c r="J1494" s="59" t="str">
        <f t="shared" si="1"/>
        <v/>
      </c>
    </row>
    <row r="1495">
      <c r="A1495" s="55"/>
      <c r="B1495" s="55"/>
      <c r="C1495" s="60"/>
      <c r="D1495" s="54"/>
      <c r="E1495" s="55"/>
      <c r="F1495" s="62"/>
      <c r="G1495" s="57"/>
      <c r="H1495" s="58" t="str">
        <f>IFERROR(__xludf.DUMMYFUNCTION("iferror(if(B1495="""", ,filter('IDR Import'!D:D,'IDR Import'!A:A=B1495,'IDR Import'!C:C=A1495)),)"),"")</f>
        <v/>
      </c>
      <c r="I1495" s="58"/>
      <c r="J1495" s="59" t="str">
        <f t="shared" si="1"/>
        <v/>
      </c>
    </row>
    <row r="1496">
      <c r="A1496" s="55"/>
      <c r="B1496" s="55"/>
      <c r="C1496" s="60"/>
      <c r="D1496" s="54"/>
      <c r="E1496" s="55"/>
      <c r="F1496" s="62"/>
      <c r="G1496" s="57"/>
      <c r="H1496" s="58" t="str">
        <f>IFERROR(__xludf.DUMMYFUNCTION("iferror(if(B1496="""", ,filter('IDR Import'!D:D,'IDR Import'!A:A=B1496,'IDR Import'!C:C=A1496)),)"),"")</f>
        <v/>
      </c>
      <c r="I1496" s="58"/>
      <c r="J1496" s="59" t="str">
        <f t="shared" si="1"/>
        <v/>
      </c>
    </row>
    <row r="1497">
      <c r="A1497" s="55"/>
      <c r="B1497" s="55"/>
      <c r="C1497" s="60"/>
      <c r="D1497" s="54"/>
      <c r="E1497" s="55"/>
      <c r="F1497" s="62"/>
      <c r="G1497" s="57"/>
      <c r="H1497" s="58" t="str">
        <f>IFERROR(__xludf.DUMMYFUNCTION("iferror(if(B1497="""", ,filter('IDR Import'!D:D,'IDR Import'!A:A=B1497,'IDR Import'!C:C=A1497)),)"),"")</f>
        <v/>
      </c>
      <c r="I1497" s="58"/>
      <c r="J1497" s="59" t="str">
        <f t="shared" si="1"/>
        <v/>
      </c>
    </row>
    <row r="1498">
      <c r="A1498" s="55"/>
      <c r="B1498" s="55"/>
      <c r="C1498" s="60"/>
      <c r="D1498" s="54"/>
      <c r="E1498" s="55"/>
      <c r="F1498" s="62"/>
      <c r="G1498" s="57"/>
      <c r="H1498" s="58" t="str">
        <f>IFERROR(__xludf.DUMMYFUNCTION("iferror(if(B1498="""", ,filter('IDR Import'!D:D,'IDR Import'!A:A=B1498,'IDR Import'!C:C=A1498)),)"),"")</f>
        <v/>
      </c>
      <c r="I1498" s="58"/>
      <c r="J1498" s="59" t="str">
        <f t="shared" si="1"/>
        <v/>
      </c>
    </row>
    <row r="1499">
      <c r="A1499" s="55"/>
      <c r="B1499" s="55"/>
      <c r="C1499" s="60"/>
      <c r="D1499" s="54"/>
      <c r="E1499" s="55"/>
      <c r="F1499" s="62"/>
      <c r="G1499" s="57"/>
      <c r="H1499" s="58" t="str">
        <f>IFERROR(__xludf.DUMMYFUNCTION("iferror(if(B1499="""", ,filter('IDR Import'!D:D,'IDR Import'!A:A=B1499,'IDR Import'!C:C=A1499)),)"),"")</f>
        <v/>
      </c>
      <c r="I1499" s="58"/>
      <c r="J1499" s="59" t="str">
        <f t="shared" si="1"/>
        <v/>
      </c>
    </row>
    <row r="1500">
      <c r="A1500" s="55"/>
      <c r="B1500" s="55"/>
      <c r="C1500" s="60"/>
      <c r="D1500" s="54"/>
      <c r="E1500" s="55"/>
      <c r="F1500" s="62"/>
      <c r="G1500" s="57"/>
      <c r="H1500" s="58" t="str">
        <f>IFERROR(__xludf.DUMMYFUNCTION("iferror(if(B1500="""", ,filter('IDR Import'!D:D,'IDR Import'!A:A=B1500,'IDR Import'!C:C=A1500)),)"),"")</f>
        <v/>
      </c>
      <c r="I1500" s="58"/>
      <c r="J1500" s="59" t="str">
        <f t="shared" si="1"/>
        <v/>
      </c>
    </row>
    <row r="1501">
      <c r="A1501" s="55"/>
      <c r="B1501" s="55"/>
      <c r="C1501" s="60"/>
      <c r="D1501" s="54"/>
      <c r="E1501" s="55"/>
      <c r="F1501" s="62"/>
      <c r="G1501" s="57"/>
      <c r="H1501" s="58" t="str">
        <f>IFERROR(__xludf.DUMMYFUNCTION("iferror(if(B1501="""", ,filter('IDR Import'!D:D,'IDR Import'!A:A=B1501,'IDR Import'!C:C=A1501)),)"),"")</f>
        <v/>
      </c>
      <c r="I1501" s="58"/>
      <c r="J1501" s="59" t="str">
        <f t="shared" si="1"/>
        <v/>
      </c>
    </row>
  </sheetData>
  <conditionalFormatting sqref="I1:I1501">
    <cfRule type="colorScale" priority="1">
      <colorScale>
        <cfvo type="min"/>
        <cfvo type="formula" val="50"/>
        <cfvo type="max"/>
        <color rgb="FFE67C73"/>
        <color rgb="FFCCCCCC"/>
        <color rgb="FF57BB8A"/>
      </colorScale>
    </cfRule>
  </conditionalFormatting>
  <conditionalFormatting sqref="H1:H1501">
    <cfRule type="colorScale" priority="2">
      <colorScale>
        <cfvo type="min"/>
        <cfvo type="formula" val="50"/>
        <cfvo type="max"/>
        <color rgb="FFE67C73"/>
        <color rgb="FFCCCCCC"/>
        <color rgb="FF57BB8A"/>
      </colorScale>
    </cfRule>
  </conditionalFormatting>
  <conditionalFormatting sqref="F1:F1501">
    <cfRule type="colorScale" priority="3">
      <colorScale>
        <cfvo type="min"/>
        <cfvo type="formula" val="50"/>
        <cfvo type="max"/>
        <color rgb="FFE67C73"/>
        <color rgb="FFCCCCCC"/>
        <color rgb="FF57BB8A"/>
      </colorScale>
    </cfRule>
  </conditionalFormatting>
  <conditionalFormatting sqref="A1:D1501">
    <cfRule type="expression" dxfId="3" priority="4">
      <formula>$A1="Amateur"</formula>
    </cfRule>
  </conditionalFormatting>
  <conditionalFormatting sqref="J1:J1501">
    <cfRule type="colorScale" priority="5">
      <colorScale>
        <cfvo type="min"/>
        <cfvo type="percent" val="50"/>
        <cfvo type="max"/>
        <color rgb="FFE67C73"/>
        <color rgb="FFCCCCCC"/>
        <color rgb="FF57BB8A"/>
      </colorScale>
    </cfRule>
  </conditionalFormatting>
  <conditionalFormatting sqref="A1:D1501">
    <cfRule type="expression" dxfId="4" priority="6">
      <formula>$A1="Contender"</formula>
    </cfRule>
  </conditionalFormatting>
  <conditionalFormatting sqref="A1:D1501">
    <cfRule type="expression" dxfId="5" priority="7">
      <formula>$A1="Prospect"</formula>
    </cfRule>
  </conditionalFormatting>
  <conditionalFormatting sqref="A1:D1501">
    <cfRule type="expression" dxfId="6" priority="8">
      <formula>$A1="Challenger"</formula>
    </cfRule>
  </conditionalFormatting>
  <conditionalFormatting sqref="A1:D1501">
    <cfRule type="expression" dxfId="7" priority="9">
      <formula>$A1="Rival"</formula>
    </cfRule>
  </conditionalFormatting>
  <conditionalFormatting sqref="A1:D1501">
    <cfRule type="expression" dxfId="8" priority="10">
      <formula>$A1="Veteran"</formula>
    </cfRule>
  </conditionalFormatting>
  <conditionalFormatting sqref="A1:D1501">
    <cfRule type="expression" dxfId="9" priority="11">
      <formula>$A1="Elite"</formula>
    </cfRule>
  </conditionalFormatting>
  <conditionalFormatting sqref="A1:D1501">
    <cfRule type="expression" dxfId="10" priority="12">
      <formula>$A1="Master"</formula>
    </cfRule>
  </conditionalFormatting>
  <conditionalFormatting sqref="A1:D1501">
    <cfRule type="expression" dxfId="11" priority="13">
      <formula>$A1="Premier"</formula>
    </cfRule>
  </conditionalFormatting>
  <conditionalFormatting sqref="A1:J1501">
    <cfRule type="containsBlanks" dxfId="12" priority="14">
      <formula>LEN(TRIM(A1))=0</formula>
    </cfRule>
  </conditionalFormatting>
  <conditionalFormatting sqref="E1:E1501">
    <cfRule type="cellIs" dxfId="10" priority="15" operator="equal">
      <formula>"Lunar"</formula>
    </cfRule>
  </conditionalFormatting>
  <conditionalFormatting sqref="E1:E1501">
    <cfRule type="cellIs" dxfId="6" priority="16" operator="equal">
      <formula>"Solar"</formula>
    </cfRule>
  </conditionalFormatting>
  <conditionalFormatting sqref="E1:E1501">
    <cfRule type="cellIs" dxfId="14" priority="17" operator="equal">
      <formula>"N/A"</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14.75"/>
    <col customWidth="1" min="2" max="2" width="10.13"/>
    <col customWidth="1" min="3" max="3" width="19.38"/>
    <col customWidth="1" min="4" max="4" width="15.63"/>
    <col customWidth="1" min="5" max="5" width="10.13"/>
    <col customWidth="1" min="6" max="25" width="7.0"/>
    <col customWidth="1" min="26" max="26" width="8.38"/>
    <col customWidth="1" min="27" max="27" width="9.75"/>
    <col customWidth="1" min="28" max="30" width="7.0"/>
  </cols>
  <sheetData>
    <row r="1">
      <c r="A1" s="7" t="s">
        <v>58</v>
      </c>
      <c r="B1" s="8" t="s">
        <v>59</v>
      </c>
      <c r="C1" s="9"/>
      <c r="D1" s="9"/>
      <c r="E1" s="10"/>
      <c r="F1" s="11"/>
      <c r="G1" s="11"/>
      <c r="H1" s="11"/>
      <c r="I1" s="11"/>
      <c r="J1" s="11"/>
      <c r="K1" s="11"/>
      <c r="L1" s="12"/>
      <c r="M1" s="11"/>
      <c r="N1" s="11"/>
      <c r="O1" s="13"/>
      <c r="P1" s="14"/>
      <c r="Q1" s="13"/>
      <c r="R1" s="13"/>
      <c r="S1" s="15"/>
      <c r="T1" s="16"/>
      <c r="U1" s="16"/>
      <c r="V1" s="16"/>
      <c r="W1" s="16"/>
      <c r="X1" s="16"/>
      <c r="Y1" s="11"/>
      <c r="Z1" s="11"/>
      <c r="AA1" s="11"/>
      <c r="AB1" s="11"/>
      <c r="AC1" s="11"/>
      <c r="AD1" s="11"/>
    </row>
    <row r="2">
      <c r="A2" s="17" t="s">
        <v>58</v>
      </c>
      <c r="B2" s="8" t="s">
        <v>12</v>
      </c>
      <c r="C2" s="10"/>
      <c r="D2" s="10"/>
      <c r="E2" s="10"/>
      <c r="F2" s="11"/>
      <c r="G2" s="11"/>
      <c r="H2" s="11"/>
      <c r="I2" s="11"/>
      <c r="J2" s="11"/>
      <c r="K2" s="11"/>
      <c r="L2" s="12"/>
      <c r="M2" s="11"/>
      <c r="N2" s="11"/>
      <c r="O2" s="13"/>
      <c r="P2" s="14"/>
      <c r="Q2" s="13"/>
      <c r="R2" s="13"/>
      <c r="S2" s="15"/>
      <c r="T2" s="16"/>
      <c r="U2" s="16"/>
      <c r="V2" s="16"/>
      <c r="W2" s="16"/>
      <c r="X2" s="16"/>
      <c r="Y2" s="11"/>
      <c r="Z2" s="11"/>
      <c r="AA2" s="11"/>
      <c r="AB2" s="11"/>
      <c r="AC2" s="11"/>
      <c r="AD2" s="11"/>
    </row>
    <row r="3">
      <c r="A3" s="17" t="s">
        <v>60</v>
      </c>
      <c r="B3" s="18" t="b">
        <v>0</v>
      </c>
      <c r="C3" s="10"/>
      <c r="D3" s="10"/>
      <c r="E3" s="10"/>
      <c r="F3" s="11"/>
      <c r="G3" s="11"/>
      <c r="H3" s="11"/>
      <c r="I3" s="11"/>
      <c r="J3" s="11"/>
      <c r="K3" s="11"/>
      <c r="L3" s="12"/>
      <c r="M3" s="11"/>
      <c r="N3" s="11"/>
      <c r="O3" s="13"/>
      <c r="P3" s="14"/>
      <c r="Q3" s="13"/>
      <c r="R3" s="13"/>
      <c r="S3" s="15"/>
      <c r="T3" s="16"/>
      <c r="U3" s="16"/>
      <c r="V3" s="16"/>
      <c r="W3" s="16"/>
      <c r="X3" s="16"/>
      <c r="Y3" s="11"/>
      <c r="Z3" s="11"/>
      <c r="AA3" s="11"/>
      <c r="AB3" s="11"/>
      <c r="AC3" s="11"/>
      <c r="AD3" s="11"/>
    </row>
    <row r="4">
      <c r="A4" s="10"/>
      <c r="B4" s="10"/>
      <c r="C4" s="10"/>
      <c r="D4" s="10"/>
      <c r="E4" s="10"/>
      <c r="F4" s="11"/>
      <c r="G4" s="11"/>
      <c r="H4" s="11"/>
      <c r="I4" s="11"/>
      <c r="J4" s="11"/>
      <c r="K4" s="11"/>
      <c r="L4" s="12"/>
      <c r="M4" s="11"/>
      <c r="N4" s="11"/>
      <c r="O4" s="13"/>
      <c r="P4" s="14"/>
      <c r="Q4" s="13"/>
      <c r="R4" s="13"/>
      <c r="S4" s="15"/>
      <c r="T4" s="16"/>
      <c r="U4" s="16"/>
      <c r="V4" s="16"/>
      <c r="W4" s="16"/>
      <c r="X4" s="16"/>
      <c r="Y4" s="11"/>
      <c r="Z4" s="11"/>
      <c r="AA4" s="11"/>
      <c r="AB4" s="11"/>
      <c r="AC4" s="11"/>
      <c r="AD4" s="11"/>
    </row>
    <row r="5">
      <c r="A5" s="19" t="str">
        <f t="array" ref="A5">'Aggregate Playoff RPV'!C1</f>
        <v>Tier</v>
      </c>
      <c r="B5" s="17" t="s">
        <v>61</v>
      </c>
      <c r="C5" s="17" t="s">
        <v>1</v>
      </c>
      <c r="D5" s="20" t="s">
        <v>62</v>
      </c>
      <c r="E5" s="21" t="s">
        <v>10</v>
      </c>
      <c r="F5" s="22" t="s">
        <v>15</v>
      </c>
      <c r="G5" s="23" t="s">
        <v>19</v>
      </c>
      <c r="H5" s="24" t="s">
        <v>12</v>
      </c>
      <c r="I5" s="25" t="s">
        <v>23</v>
      </c>
      <c r="J5" s="26" t="s">
        <v>26</v>
      </c>
      <c r="K5" s="26" t="s">
        <v>28</v>
      </c>
      <c r="L5" s="27" t="s">
        <v>63</v>
      </c>
      <c r="M5" s="28" t="s">
        <v>33</v>
      </c>
      <c r="N5" s="28" t="s">
        <v>36</v>
      </c>
      <c r="O5" s="29" t="s">
        <v>40</v>
      </c>
      <c r="P5" s="28" t="s">
        <v>43</v>
      </c>
      <c r="Q5" s="29" t="s">
        <v>46</v>
      </c>
      <c r="R5" s="28" t="s">
        <v>49</v>
      </c>
      <c r="S5" s="30" t="s">
        <v>50</v>
      </c>
      <c r="T5" s="31" t="s">
        <v>38</v>
      </c>
      <c r="U5" s="32" t="s">
        <v>41</v>
      </c>
      <c r="V5" s="31" t="s">
        <v>44</v>
      </c>
      <c r="W5" s="31" t="s">
        <v>47</v>
      </c>
      <c r="X5" s="33" t="s">
        <v>64</v>
      </c>
      <c r="Y5" s="34" t="s">
        <v>65</v>
      </c>
      <c r="Z5" s="34" t="s">
        <v>66</v>
      </c>
      <c r="AA5" s="34" t="s">
        <v>67</v>
      </c>
      <c r="AB5" s="34" t="s">
        <v>68</v>
      </c>
      <c r="AC5" s="35" t="s">
        <v>52</v>
      </c>
      <c r="AD5" s="35" t="s">
        <v>55</v>
      </c>
    </row>
    <row r="6">
      <c r="A6" s="10" t="str">
        <f>IFERROR(__xludf.DUMMYFUNCTION("SORT(FILTER({'Aggregate Playoff RPV'!C2:C2001,'Aggregate Playoff RPV'!A2:B2001,'Aggregate Playoff RPV'!D2:F2001,'Aggregate Playoff RPV'!H2:J2001},IF(B1=""All"",'Aggregate Playoff RPV'!A2:A2001&lt;&gt;"""",'Aggregate Playoff RPV'!C2:C2001=B1)),1,1,MATCH(B2,5:5,0"&amp;"),B3)"),"#N/A")</f>
        <v>#N/A</v>
      </c>
      <c r="B6" s="10"/>
      <c r="C6" s="10"/>
      <c r="D6" s="10"/>
      <c r="E6" s="10"/>
      <c r="F6" s="11"/>
      <c r="G6" s="11"/>
      <c r="H6" s="11"/>
      <c r="I6" s="11"/>
      <c r="J6" s="11" t="str">
        <f>IFERROR(__xludf.DUMMYFUNCTION("iferror(if($B6="""", ,filter(Playoff_Stats!F:Z,Playoff_Stats!A:A=$B6,Playoff_Stats!B:B=$A6)))"),"")</f>
        <v/>
      </c>
      <c r="K6" s="11"/>
      <c r="L6" s="12"/>
      <c r="M6" s="11"/>
      <c r="N6" s="11"/>
      <c r="O6" s="13"/>
      <c r="P6" s="14"/>
      <c r="Q6" s="13"/>
      <c r="R6" s="13"/>
      <c r="S6" s="15"/>
      <c r="T6" s="16"/>
      <c r="U6" s="16"/>
      <c r="V6" s="16"/>
      <c r="W6" s="16"/>
      <c r="X6" s="16"/>
      <c r="Y6" s="11"/>
      <c r="Z6" s="11"/>
      <c r="AA6" s="11"/>
      <c r="AB6" s="39"/>
      <c r="AC6" s="39"/>
      <c r="AD6" s="39"/>
    </row>
    <row r="7">
      <c r="A7" s="10"/>
      <c r="B7" s="10"/>
      <c r="C7" s="10"/>
      <c r="D7" s="10"/>
      <c r="E7" s="10"/>
      <c r="F7" s="11"/>
      <c r="G7" s="11"/>
      <c r="H7" s="11"/>
      <c r="I7" s="11"/>
      <c r="J7" s="11" t="str">
        <f>IFERROR(__xludf.DUMMYFUNCTION("iferror(if($B7="""", ,filter(Playoff_Stats!F:Z,Playoff_Stats!A:A=$B7,Playoff_Stats!B:B=$A7)))"),"")</f>
        <v/>
      </c>
      <c r="K7" s="11"/>
      <c r="L7" s="12"/>
      <c r="M7" s="11"/>
      <c r="N7" s="11"/>
      <c r="O7" s="13"/>
      <c r="P7" s="14"/>
      <c r="Q7" s="13"/>
      <c r="R7" s="13"/>
      <c r="S7" s="15"/>
      <c r="T7" s="16"/>
      <c r="U7" s="16"/>
      <c r="V7" s="16"/>
      <c r="W7" s="16"/>
      <c r="X7" s="16"/>
      <c r="Y7" s="11"/>
      <c r="Z7" s="11"/>
      <c r="AA7" s="11"/>
      <c r="AB7" s="11"/>
      <c r="AC7" s="11"/>
      <c r="AD7" s="11"/>
    </row>
    <row r="8">
      <c r="A8" s="10"/>
      <c r="B8" s="10"/>
      <c r="C8" s="10"/>
      <c r="D8" s="10"/>
      <c r="E8" s="10"/>
      <c r="F8" s="11"/>
      <c r="G8" s="11"/>
      <c r="H8" s="11"/>
      <c r="I8" s="11"/>
      <c r="J8" s="11" t="str">
        <f>IFERROR(__xludf.DUMMYFUNCTION("iferror(if($B8="""", ,filter(Playoff_Stats!F:Z,Playoff_Stats!A:A=$B8,Playoff_Stats!B:B=$A8)))"),"")</f>
        <v/>
      </c>
      <c r="K8" s="11"/>
      <c r="L8" s="12"/>
      <c r="M8" s="11"/>
      <c r="N8" s="11"/>
      <c r="O8" s="13"/>
      <c r="P8" s="14"/>
      <c r="Q8" s="63" t="s">
        <v>876</v>
      </c>
      <c r="R8" s="13"/>
      <c r="S8" s="15"/>
      <c r="T8" s="16"/>
      <c r="U8" s="16"/>
      <c r="V8" s="16"/>
      <c r="W8" s="16"/>
      <c r="X8" s="16"/>
      <c r="Y8" s="11"/>
      <c r="Z8" s="11"/>
      <c r="AA8" s="11"/>
      <c r="AB8" s="11"/>
      <c r="AC8" s="11"/>
      <c r="AD8" s="11"/>
    </row>
    <row r="9">
      <c r="A9" s="10"/>
      <c r="B9" s="10"/>
      <c r="C9" s="10"/>
      <c r="D9" s="10"/>
      <c r="E9" s="10"/>
      <c r="F9" s="11"/>
      <c r="G9" s="11"/>
      <c r="H9" s="11"/>
      <c r="I9" s="11"/>
      <c r="J9" s="11" t="str">
        <f>IFERROR(__xludf.DUMMYFUNCTION("iferror(if($B9="""", ,filter(Playoff_Stats!F:Z,Playoff_Stats!A:A=$B9,Playoff_Stats!B:B=$A9)))"),"")</f>
        <v/>
      </c>
      <c r="K9" s="11"/>
      <c r="L9" s="12"/>
      <c r="M9" s="11"/>
      <c r="N9" s="11"/>
      <c r="O9" s="13"/>
      <c r="P9" s="14"/>
      <c r="Q9" s="13"/>
      <c r="R9" s="13"/>
      <c r="S9" s="15"/>
      <c r="T9" s="16"/>
      <c r="U9" s="16"/>
      <c r="V9" s="16"/>
      <c r="W9" s="16"/>
      <c r="X9" s="16"/>
      <c r="Y9" s="11"/>
      <c r="Z9" s="11"/>
      <c r="AA9" s="11"/>
      <c r="AB9" s="11"/>
      <c r="AC9" s="11"/>
      <c r="AD9" s="11"/>
    </row>
    <row r="10">
      <c r="A10" s="10"/>
      <c r="B10" s="10"/>
      <c r="C10" s="10"/>
      <c r="D10" s="10"/>
      <c r="E10" s="10"/>
      <c r="F10" s="11"/>
      <c r="G10" s="11"/>
      <c r="H10" s="11"/>
      <c r="I10" s="11"/>
      <c r="J10" s="11" t="str">
        <f>IFERROR(__xludf.DUMMYFUNCTION("iferror(if($B10="""", ,filter(Playoff_Stats!F:Z,Playoff_Stats!A:A=$B10,Playoff_Stats!B:B=$A10)))"),"")</f>
        <v/>
      </c>
      <c r="K10" s="11"/>
      <c r="L10" s="12"/>
      <c r="M10" s="11"/>
      <c r="N10" s="11"/>
      <c r="O10" s="13"/>
      <c r="P10" s="14"/>
      <c r="Q10" s="13"/>
      <c r="R10" s="13"/>
      <c r="S10" s="15"/>
      <c r="T10" s="16"/>
      <c r="U10" s="16"/>
      <c r="V10" s="16"/>
      <c r="W10" s="16"/>
      <c r="X10" s="16"/>
      <c r="Y10" s="11"/>
      <c r="Z10" s="11"/>
      <c r="AA10" s="11"/>
      <c r="AB10" s="11"/>
      <c r="AC10" s="11"/>
      <c r="AD10" s="11"/>
    </row>
    <row r="11">
      <c r="A11" s="10"/>
      <c r="B11" s="10"/>
      <c r="C11" s="10"/>
      <c r="D11" s="10"/>
      <c r="E11" s="10"/>
      <c r="F11" s="11"/>
      <c r="G11" s="11"/>
      <c r="H11" s="11"/>
      <c r="I11" s="11"/>
      <c r="J11" s="11" t="str">
        <f>IFERROR(__xludf.DUMMYFUNCTION("iferror(if($B11="""", ,filter(Playoff_Stats!F:Z,Playoff_Stats!A:A=$B11,Playoff_Stats!B:B=$A11)))"),"")</f>
        <v/>
      </c>
      <c r="K11" s="11"/>
      <c r="L11" s="12"/>
      <c r="M11" s="11"/>
      <c r="N11" s="11"/>
      <c r="O11" s="13"/>
      <c r="P11" s="14"/>
      <c r="Q11" s="13"/>
      <c r="R11" s="13"/>
      <c r="S11" s="15"/>
      <c r="T11" s="16"/>
      <c r="U11" s="16"/>
      <c r="V11" s="16"/>
      <c r="W11" s="16"/>
      <c r="X11" s="16"/>
      <c r="Y11" s="11"/>
      <c r="Z11" s="11"/>
      <c r="AA11" s="11"/>
      <c r="AB11" s="11"/>
      <c r="AC11" s="11"/>
      <c r="AD11" s="11"/>
    </row>
    <row r="12">
      <c r="A12" s="10"/>
      <c r="B12" s="10"/>
      <c r="C12" s="10"/>
      <c r="D12" s="10"/>
      <c r="E12" s="10"/>
      <c r="F12" s="11"/>
      <c r="G12" s="11"/>
      <c r="H12" s="11"/>
      <c r="I12" s="11"/>
      <c r="J12" s="11" t="str">
        <f>IFERROR(__xludf.DUMMYFUNCTION("iferror(if($B12="""", ,filter(Playoff_Stats!F:Z,Playoff_Stats!A:A=$B12,Playoff_Stats!B:B=$A12)))"),"")</f>
        <v/>
      </c>
      <c r="K12" s="11"/>
      <c r="L12" s="12"/>
      <c r="M12" s="11"/>
      <c r="N12" s="11"/>
      <c r="O12" s="13"/>
      <c r="P12" s="14"/>
      <c r="Q12" s="13"/>
      <c r="R12" s="13"/>
      <c r="S12" s="15"/>
      <c r="T12" s="16"/>
      <c r="U12" s="16"/>
      <c r="V12" s="16"/>
      <c r="W12" s="16"/>
      <c r="X12" s="16"/>
      <c r="Y12" s="11"/>
      <c r="Z12" s="11"/>
      <c r="AA12" s="11"/>
      <c r="AB12" s="11"/>
      <c r="AC12" s="11"/>
      <c r="AD12" s="11"/>
    </row>
    <row r="13">
      <c r="A13" s="10"/>
      <c r="B13" s="10"/>
      <c r="C13" s="10"/>
      <c r="D13" s="10"/>
      <c r="E13" s="10"/>
      <c r="F13" s="11"/>
      <c r="G13" s="11"/>
      <c r="H13" s="11"/>
      <c r="I13" s="11"/>
      <c r="J13" s="11" t="str">
        <f>IFERROR(__xludf.DUMMYFUNCTION("iferror(if($B13="""", ,filter(Playoff_Stats!F:Z,Playoff_Stats!A:A=$B13,Playoff_Stats!B:B=$A13)))"),"")</f>
        <v/>
      </c>
      <c r="K13" s="11"/>
      <c r="L13" s="12"/>
      <c r="M13" s="11"/>
      <c r="N13" s="11"/>
      <c r="O13" s="13"/>
      <c r="P13" s="14"/>
      <c r="Q13" s="13"/>
      <c r="R13" s="13"/>
      <c r="S13" s="15"/>
      <c r="T13" s="16"/>
      <c r="U13" s="16"/>
      <c r="V13" s="16"/>
      <c r="W13" s="16"/>
      <c r="X13" s="16"/>
      <c r="Y13" s="11"/>
      <c r="Z13" s="11"/>
      <c r="AA13" s="11"/>
      <c r="AB13" s="11"/>
      <c r="AC13" s="11"/>
      <c r="AD13" s="11"/>
    </row>
    <row r="14">
      <c r="A14" s="10"/>
      <c r="B14" s="10"/>
      <c r="C14" s="10"/>
      <c r="D14" s="10"/>
      <c r="E14" s="10"/>
      <c r="F14" s="11"/>
      <c r="G14" s="11"/>
      <c r="H14" s="11"/>
      <c r="I14" s="11"/>
      <c r="J14" s="11" t="str">
        <f>IFERROR(__xludf.DUMMYFUNCTION("iferror(if($B14="""", ,filter(Playoff_Stats!F:Z,Playoff_Stats!A:A=$B14,Playoff_Stats!B:B=$A14)))"),"")</f>
        <v/>
      </c>
      <c r="K14" s="11"/>
      <c r="L14" s="12"/>
      <c r="M14" s="11"/>
      <c r="N14" s="11"/>
      <c r="O14" s="13"/>
      <c r="P14" s="14"/>
      <c r="Q14" s="13"/>
      <c r="R14" s="13"/>
      <c r="S14" s="15"/>
      <c r="T14" s="16"/>
      <c r="U14" s="16"/>
      <c r="V14" s="16"/>
      <c r="W14" s="16"/>
      <c r="X14" s="16"/>
      <c r="Y14" s="11"/>
      <c r="Z14" s="11"/>
      <c r="AA14" s="11"/>
      <c r="AB14" s="11"/>
      <c r="AC14" s="11"/>
      <c r="AD14" s="11"/>
    </row>
    <row r="15">
      <c r="A15" s="10"/>
      <c r="B15" s="10"/>
      <c r="C15" s="10"/>
      <c r="D15" s="10"/>
      <c r="E15" s="10"/>
      <c r="F15" s="11"/>
      <c r="G15" s="11"/>
      <c r="H15" s="11"/>
      <c r="I15" s="11"/>
      <c r="J15" s="11" t="str">
        <f>IFERROR(__xludf.DUMMYFUNCTION("iferror(if($B15="""", ,filter(Playoff_Stats!F:Z,Playoff_Stats!A:A=$B15,Playoff_Stats!B:B=$A15)))"),"")</f>
        <v/>
      </c>
      <c r="K15" s="11"/>
      <c r="L15" s="12"/>
      <c r="M15" s="11"/>
      <c r="N15" s="11"/>
      <c r="O15" s="13"/>
      <c r="P15" s="14"/>
      <c r="Q15" s="13"/>
      <c r="R15" s="13"/>
      <c r="S15" s="15"/>
      <c r="T15" s="16"/>
      <c r="U15" s="16"/>
      <c r="V15" s="16"/>
      <c r="W15" s="16"/>
      <c r="X15" s="16"/>
      <c r="Y15" s="11"/>
      <c r="Z15" s="11"/>
      <c r="AA15" s="11"/>
      <c r="AB15" s="11"/>
      <c r="AC15" s="11"/>
      <c r="AD15" s="11"/>
    </row>
    <row r="16">
      <c r="A16" s="10"/>
      <c r="B16" s="10"/>
      <c r="C16" s="10"/>
      <c r="D16" s="10"/>
      <c r="E16" s="10"/>
      <c r="F16" s="11"/>
      <c r="G16" s="11"/>
      <c r="H16" s="11"/>
      <c r="I16" s="11"/>
      <c r="J16" s="11" t="str">
        <f>IFERROR(__xludf.DUMMYFUNCTION("iferror(if($B16="""", ,filter(Playoff_Stats!F:Z,Playoff_Stats!A:A=$B16,Playoff_Stats!B:B=$A16)))"),"")</f>
        <v/>
      </c>
      <c r="K16" s="11"/>
      <c r="L16" s="12"/>
      <c r="M16" s="11"/>
      <c r="N16" s="11"/>
      <c r="O16" s="13"/>
      <c r="P16" s="14"/>
      <c r="Q16" s="13"/>
      <c r="R16" s="13"/>
      <c r="S16" s="15"/>
      <c r="T16" s="16"/>
      <c r="U16" s="16"/>
      <c r="V16" s="16"/>
      <c r="W16" s="16"/>
      <c r="X16" s="16"/>
      <c r="Y16" s="11"/>
      <c r="Z16" s="11"/>
      <c r="AA16" s="11"/>
      <c r="AB16" s="11"/>
      <c r="AC16" s="11"/>
      <c r="AD16" s="11"/>
    </row>
    <row r="17">
      <c r="A17" s="10"/>
      <c r="B17" s="10"/>
      <c r="C17" s="10"/>
      <c r="D17" s="10"/>
      <c r="E17" s="10"/>
      <c r="F17" s="11"/>
      <c r="G17" s="11"/>
      <c r="H17" s="11"/>
      <c r="I17" s="11"/>
      <c r="J17" s="11" t="str">
        <f>IFERROR(__xludf.DUMMYFUNCTION("iferror(if($B17="""", ,filter(Playoff_Stats!F:Z,Playoff_Stats!A:A=$B17,Playoff_Stats!B:B=$A17)))"),"")</f>
        <v/>
      </c>
      <c r="K17" s="11"/>
      <c r="L17" s="12"/>
      <c r="M17" s="11"/>
      <c r="N17" s="11"/>
      <c r="O17" s="13"/>
      <c r="P17" s="14"/>
      <c r="Q17" s="13"/>
      <c r="R17" s="13"/>
      <c r="S17" s="15"/>
      <c r="T17" s="16"/>
      <c r="U17" s="16"/>
      <c r="V17" s="16"/>
      <c r="W17" s="16"/>
      <c r="X17" s="16"/>
      <c r="Y17" s="11"/>
      <c r="Z17" s="11"/>
      <c r="AA17" s="11"/>
      <c r="AB17" s="11"/>
      <c r="AC17" s="11"/>
      <c r="AD17" s="11"/>
    </row>
    <row r="18">
      <c r="A18" s="10"/>
      <c r="B18" s="10"/>
      <c r="C18" s="10"/>
      <c r="D18" s="10"/>
      <c r="E18" s="10"/>
      <c r="F18" s="11"/>
      <c r="G18" s="11"/>
      <c r="H18" s="11"/>
      <c r="I18" s="11"/>
      <c r="J18" s="11" t="str">
        <f>IFERROR(__xludf.DUMMYFUNCTION("iferror(if($B18="""", ,filter(Playoff_Stats!F:Z,Playoff_Stats!A:A=$B18,Playoff_Stats!B:B=$A18)))"),"")</f>
        <v/>
      </c>
      <c r="K18" s="11"/>
      <c r="L18" s="12"/>
      <c r="M18" s="11"/>
      <c r="N18" s="11"/>
      <c r="O18" s="13"/>
      <c r="P18" s="14"/>
      <c r="Q18" s="13"/>
      <c r="R18" s="13"/>
      <c r="S18" s="15"/>
      <c r="T18" s="16"/>
      <c r="U18" s="16"/>
      <c r="V18" s="16"/>
      <c r="W18" s="16"/>
      <c r="X18" s="16"/>
      <c r="Y18" s="11"/>
      <c r="Z18" s="11"/>
      <c r="AA18" s="11"/>
      <c r="AB18" s="11"/>
      <c r="AC18" s="11"/>
      <c r="AD18" s="11"/>
    </row>
    <row r="19">
      <c r="A19" s="10"/>
      <c r="B19" s="10"/>
      <c r="C19" s="10"/>
      <c r="D19" s="10"/>
      <c r="E19" s="10"/>
      <c r="F19" s="11"/>
      <c r="G19" s="11"/>
      <c r="H19" s="11"/>
      <c r="I19" s="11"/>
      <c r="J19" s="11" t="str">
        <f>IFERROR(__xludf.DUMMYFUNCTION("iferror(if($B19="""", ,filter(Playoff_Stats!F:Z,Playoff_Stats!A:A=$B19,Playoff_Stats!B:B=$A19)))"),"")</f>
        <v/>
      </c>
      <c r="K19" s="11"/>
      <c r="L19" s="12"/>
      <c r="M19" s="11"/>
      <c r="N19" s="11"/>
      <c r="O19" s="13"/>
      <c r="P19" s="14"/>
      <c r="Q19" s="13"/>
      <c r="R19" s="13"/>
      <c r="S19" s="15"/>
      <c r="T19" s="16"/>
      <c r="U19" s="16"/>
      <c r="V19" s="16"/>
      <c r="W19" s="16"/>
      <c r="X19" s="16"/>
      <c r="Y19" s="11"/>
      <c r="Z19" s="11"/>
      <c r="AA19" s="11"/>
      <c r="AB19" s="11"/>
      <c r="AC19" s="11"/>
      <c r="AD19" s="11"/>
    </row>
    <row r="20">
      <c r="A20" s="10"/>
      <c r="B20" s="10"/>
      <c r="C20" s="10"/>
      <c r="D20" s="10"/>
      <c r="E20" s="10"/>
      <c r="F20" s="11"/>
      <c r="G20" s="11"/>
      <c r="H20" s="11"/>
      <c r="I20" s="11"/>
      <c r="J20" s="11" t="str">
        <f>IFERROR(__xludf.DUMMYFUNCTION("iferror(if($B20="""", ,filter(Playoff_Stats!F:Z,Playoff_Stats!A:A=$B20,Playoff_Stats!B:B=$A20)))"),"")</f>
        <v/>
      </c>
      <c r="K20" s="11"/>
      <c r="L20" s="12"/>
      <c r="M20" s="11"/>
      <c r="N20" s="11"/>
      <c r="O20" s="13"/>
      <c r="P20" s="14"/>
      <c r="Q20" s="13"/>
      <c r="R20" s="13"/>
      <c r="S20" s="15"/>
      <c r="T20" s="16"/>
      <c r="U20" s="16"/>
      <c r="V20" s="16"/>
      <c r="W20" s="16"/>
      <c r="X20" s="16"/>
      <c r="Y20" s="11"/>
      <c r="Z20" s="11"/>
      <c r="AA20" s="11"/>
      <c r="AB20" s="11"/>
      <c r="AC20" s="11"/>
      <c r="AD20" s="11"/>
    </row>
    <row r="21">
      <c r="A21" s="10"/>
      <c r="B21" s="10"/>
      <c r="C21" s="10"/>
      <c r="D21" s="10"/>
      <c r="E21" s="10"/>
      <c r="F21" s="11"/>
      <c r="G21" s="11"/>
      <c r="H21" s="11"/>
      <c r="I21" s="11"/>
      <c r="J21" s="11" t="str">
        <f>IFERROR(__xludf.DUMMYFUNCTION("iferror(if($B21="""", ,filter(Playoff_Stats!F:Z,Playoff_Stats!A:A=$B21,Playoff_Stats!B:B=$A21)))"),"")</f>
        <v/>
      </c>
      <c r="K21" s="11"/>
      <c r="L21" s="12"/>
      <c r="M21" s="11"/>
      <c r="N21" s="11"/>
      <c r="O21" s="13"/>
      <c r="P21" s="14"/>
      <c r="Q21" s="13"/>
      <c r="R21" s="13"/>
      <c r="S21" s="15"/>
      <c r="T21" s="16"/>
      <c r="U21" s="16"/>
      <c r="V21" s="16"/>
      <c r="W21" s="16"/>
      <c r="X21" s="16"/>
      <c r="Y21" s="11"/>
      <c r="Z21" s="11"/>
      <c r="AA21" s="11"/>
      <c r="AB21" s="11"/>
      <c r="AC21" s="11"/>
      <c r="AD21" s="11"/>
    </row>
    <row r="22">
      <c r="A22" s="10"/>
      <c r="B22" s="10"/>
      <c r="C22" s="10"/>
      <c r="D22" s="10"/>
      <c r="E22" s="10"/>
      <c r="F22" s="11"/>
      <c r="G22" s="11"/>
      <c r="H22" s="11"/>
      <c r="I22" s="11"/>
      <c r="J22" s="11" t="str">
        <f>IFERROR(__xludf.DUMMYFUNCTION("iferror(if($B22="""", ,filter(Playoff_Stats!F:Z,Playoff_Stats!A:A=$B22,Playoff_Stats!B:B=$A22)))"),"")</f>
        <v/>
      </c>
      <c r="K22" s="11"/>
      <c r="L22" s="12"/>
      <c r="M22" s="11"/>
      <c r="N22" s="11"/>
      <c r="O22" s="13"/>
      <c r="P22" s="14"/>
      <c r="Q22" s="13"/>
      <c r="R22" s="13"/>
      <c r="S22" s="15"/>
      <c r="T22" s="16"/>
      <c r="U22" s="16"/>
      <c r="V22" s="16"/>
      <c r="W22" s="16"/>
      <c r="X22" s="16"/>
      <c r="Y22" s="11"/>
      <c r="Z22" s="11"/>
      <c r="AA22" s="11"/>
      <c r="AB22" s="11"/>
      <c r="AC22" s="11"/>
      <c r="AD22" s="11"/>
    </row>
    <row r="23">
      <c r="A23" s="10"/>
      <c r="B23" s="10"/>
      <c r="C23" s="10"/>
      <c r="D23" s="10"/>
      <c r="E23" s="10"/>
      <c r="F23" s="11"/>
      <c r="G23" s="11"/>
      <c r="H23" s="11"/>
      <c r="I23" s="11"/>
      <c r="J23" s="11" t="str">
        <f>IFERROR(__xludf.DUMMYFUNCTION("iferror(if($B23="""", ,filter(Playoff_Stats!F:Z,Playoff_Stats!A:A=$B23,Playoff_Stats!B:B=$A23)))"),"")</f>
        <v/>
      </c>
      <c r="K23" s="11"/>
      <c r="L23" s="12"/>
      <c r="M23" s="11"/>
      <c r="N23" s="11"/>
      <c r="O23" s="13"/>
      <c r="P23" s="14"/>
      <c r="Q23" s="13"/>
      <c r="R23" s="13"/>
      <c r="S23" s="15"/>
      <c r="T23" s="16"/>
      <c r="U23" s="16"/>
      <c r="V23" s="16"/>
      <c r="W23" s="16"/>
      <c r="X23" s="16"/>
      <c r="Y23" s="11"/>
      <c r="Z23" s="11"/>
      <c r="AA23" s="11"/>
      <c r="AB23" s="11"/>
      <c r="AC23" s="11"/>
      <c r="AD23" s="11"/>
    </row>
    <row r="24">
      <c r="A24" s="10"/>
      <c r="B24" s="10"/>
      <c r="C24" s="10"/>
      <c r="D24" s="10"/>
      <c r="E24" s="10"/>
      <c r="F24" s="11"/>
      <c r="G24" s="11"/>
      <c r="H24" s="11"/>
      <c r="I24" s="11"/>
      <c r="J24" s="11" t="str">
        <f>IFERROR(__xludf.DUMMYFUNCTION("iferror(if($B24="""", ,filter(Playoff_Stats!F:Z,Playoff_Stats!A:A=$B24,Playoff_Stats!B:B=$A24)))"),"")</f>
        <v/>
      </c>
      <c r="K24" s="11"/>
      <c r="L24" s="12"/>
      <c r="M24" s="11"/>
      <c r="N24" s="11"/>
      <c r="O24" s="13"/>
      <c r="P24" s="14"/>
      <c r="Q24" s="13"/>
      <c r="R24" s="13"/>
      <c r="S24" s="15"/>
      <c r="T24" s="16"/>
      <c r="U24" s="16"/>
      <c r="V24" s="16"/>
      <c r="W24" s="16"/>
      <c r="X24" s="16"/>
      <c r="Y24" s="11"/>
      <c r="Z24" s="11"/>
      <c r="AA24" s="11"/>
      <c r="AB24" s="11"/>
      <c r="AC24" s="11"/>
      <c r="AD24" s="11"/>
    </row>
    <row r="25">
      <c r="A25" s="10"/>
      <c r="B25" s="10"/>
      <c r="C25" s="10"/>
      <c r="D25" s="10"/>
      <c r="E25" s="10"/>
      <c r="F25" s="11"/>
      <c r="G25" s="11"/>
      <c r="H25" s="11"/>
      <c r="I25" s="11"/>
      <c r="J25" s="11" t="str">
        <f>IFERROR(__xludf.DUMMYFUNCTION("iferror(if($B25="""", ,filter(Playoff_Stats!F:Z,Playoff_Stats!A:A=$B25,Playoff_Stats!B:B=$A25)))"),"")</f>
        <v/>
      </c>
      <c r="K25" s="11"/>
      <c r="L25" s="12"/>
      <c r="M25" s="11"/>
      <c r="N25" s="11"/>
      <c r="O25" s="13"/>
      <c r="P25" s="14"/>
      <c r="Q25" s="13"/>
      <c r="R25" s="13"/>
      <c r="S25" s="15"/>
      <c r="T25" s="16"/>
      <c r="U25" s="16"/>
      <c r="V25" s="16"/>
      <c r="W25" s="16"/>
      <c r="X25" s="16"/>
      <c r="Y25" s="11"/>
      <c r="Z25" s="11"/>
      <c r="AA25" s="11"/>
      <c r="AB25" s="11"/>
      <c r="AC25" s="11"/>
      <c r="AD25" s="11"/>
    </row>
    <row r="26">
      <c r="A26" s="10"/>
      <c r="B26" s="10"/>
      <c r="C26" s="10"/>
      <c r="D26" s="10"/>
      <c r="E26" s="10"/>
      <c r="F26" s="11"/>
      <c r="G26" s="11"/>
      <c r="H26" s="11"/>
      <c r="I26" s="11"/>
      <c r="J26" s="11" t="str">
        <f>IFERROR(__xludf.DUMMYFUNCTION("iferror(if($B26="""", ,filter(Playoff_Stats!F:Z,Playoff_Stats!A:A=$B26,Playoff_Stats!B:B=$A26)))"),"")</f>
        <v/>
      </c>
      <c r="K26" s="11"/>
      <c r="L26" s="12"/>
      <c r="M26" s="11"/>
      <c r="N26" s="11"/>
      <c r="O26" s="13"/>
      <c r="P26" s="14"/>
      <c r="Q26" s="13"/>
      <c r="R26" s="13"/>
      <c r="S26" s="15"/>
      <c r="T26" s="16"/>
      <c r="U26" s="16"/>
      <c r="V26" s="16"/>
      <c r="W26" s="16"/>
      <c r="X26" s="16"/>
      <c r="Y26" s="11"/>
      <c r="Z26" s="11"/>
      <c r="AA26" s="11"/>
      <c r="AB26" s="11"/>
      <c r="AC26" s="11"/>
      <c r="AD26" s="11"/>
    </row>
    <row r="27">
      <c r="A27" s="10"/>
      <c r="B27" s="10"/>
      <c r="C27" s="10"/>
      <c r="D27" s="10"/>
      <c r="E27" s="10"/>
      <c r="F27" s="11"/>
      <c r="G27" s="11"/>
      <c r="H27" s="11"/>
      <c r="I27" s="11"/>
      <c r="J27" s="11" t="str">
        <f>IFERROR(__xludf.DUMMYFUNCTION("iferror(if($B27="""", ,filter(Playoff_Stats!F:Z,Playoff_Stats!A:A=$B27,Playoff_Stats!B:B=$A27)))"),"")</f>
        <v/>
      </c>
      <c r="K27" s="11"/>
      <c r="L27" s="12"/>
      <c r="M27" s="11"/>
      <c r="N27" s="11"/>
      <c r="O27" s="13"/>
      <c r="P27" s="14"/>
      <c r="Q27" s="13"/>
      <c r="R27" s="13"/>
      <c r="S27" s="15"/>
      <c r="T27" s="16"/>
      <c r="U27" s="16"/>
      <c r="V27" s="16"/>
      <c r="W27" s="16"/>
      <c r="X27" s="16"/>
      <c r="Y27" s="11"/>
      <c r="Z27" s="11"/>
      <c r="AA27" s="11"/>
      <c r="AB27" s="11"/>
      <c r="AC27" s="11"/>
      <c r="AD27" s="11"/>
    </row>
    <row r="28">
      <c r="A28" s="10"/>
      <c r="B28" s="10"/>
      <c r="C28" s="10"/>
      <c r="D28" s="10"/>
      <c r="E28" s="10"/>
      <c r="F28" s="11"/>
      <c r="G28" s="11"/>
      <c r="H28" s="11"/>
      <c r="I28" s="11"/>
      <c r="J28" s="11" t="str">
        <f>IFERROR(__xludf.DUMMYFUNCTION("iferror(if($B28="""", ,filter(Playoff_Stats!F:Z,Playoff_Stats!A:A=$B28,Playoff_Stats!B:B=$A28)))"),"")</f>
        <v/>
      </c>
      <c r="K28" s="11"/>
      <c r="L28" s="12"/>
      <c r="M28" s="11"/>
      <c r="N28" s="11"/>
      <c r="O28" s="13"/>
      <c r="P28" s="14"/>
      <c r="Q28" s="13"/>
      <c r="R28" s="13"/>
      <c r="S28" s="15"/>
      <c r="T28" s="16"/>
      <c r="U28" s="16"/>
      <c r="V28" s="16"/>
      <c r="W28" s="16"/>
      <c r="X28" s="16"/>
      <c r="Y28" s="11"/>
      <c r="Z28" s="11"/>
      <c r="AA28" s="11"/>
      <c r="AB28" s="11"/>
      <c r="AC28" s="11"/>
      <c r="AD28" s="11"/>
    </row>
    <row r="29">
      <c r="A29" s="10"/>
      <c r="B29" s="10"/>
      <c r="C29" s="10"/>
      <c r="D29" s="10"/>
      <c r="E29" s="10"/>
      <c r="F29" s="11"/>
      <c r="G29" s="11"/>
      <c r="H29" s="11"/>
      <c r="I29" s="11"/>
      <c r="J29" s="11" t="str">
        <f>IFERROR(__xludf.DUMMYFUNCTION("iferror(if($B29="""", ,filter(Playoff_Stats!F:Z,Playoff_Stats!A:A=$B29,Playoff_Stats!B:B=$A29)))"),"")</f>
        <v/>
      </c>
      <c r="K29" s="11"/>
      <c r="L29" s="12"/>
      <c r="M29" s="11"/>
      <c r="N29" s="11"/>
      <c r="O29" s="13"/>
      <c r="P29" s="14"/>
      <c r="Q29" s="13"/>
      <c r="R29" s="13"/>
      <c r="S29" s="15"/>
      <c r="T29" s="16"/>
      <c r="U29" s="16"/>
      <c r="V29" s="16"/>
      <c r="W29" s="16"/>
      <c r="X29" s="16"/>
      <c r="Y29" s="11"/>
      <c r="Z29" s="11"/>
      <c r="AA29" s="11"/>
      <c r="AB29" s="11"/>
      <c r="AC29" s="11"/>
      <c r="AD29" s="11"/>
    </row>
    <row r="30">
      <c r="A30" s="10"/>
      <c r="B30" s="10"/>
      <c r="C30" s="10"/>
      <c r="D30" s="10"/>
      <c r="E30" s="10"/>
      <c r="F30" s="11"/>
      <c r="G30" s="11"/>
      <c r="H30" s="11"/>
      <c r="I30" s="11"/>
      <c r="J30" s="11" t="str">
        <f>IFERROR(__xludf.DUMMYFUNCTION("iferror(if($B30="""", ,filter(Playoff_Stats!F:Z,Playoff_Stats!A:A=$B30,Playoff_Stats!B:B=$A30)))"),"")</f>
        <v/>
      </c>
      <c r="K30" s="11"/>
      <c r="L30" s="12"/>
      <c r="M30" s="11"/>
      <c r="N30" s="11"/>
      <c r="O30" s="13"/>
      <c r="P30" s="14"/>
      <c r="Q30" s="13"/>
      <c r="R30" s="13"/>
      <c r="S30" s="15"/>
      <c r="T30" s="16"/>
      <c r="U30" s="16"/>
      <c r="V30" s="16"/>
      <c r="W30" s="16"/>
      <c r="X30" s="16"/>
      <c r="Y30" s="11"/>
      <c r="Z30" s="11"/>
      <c r="AA30" s="11"/>
      <c r="AB30" s="11"/>
      <c r="AC30" s="11"/>
      <c r="AD30" s="11"/>
    </row>
    <row r="31">
      <c r="A31" s="10"/>
      <c r="B31" s="10"/>
      <c r="C31" s="10"/>
      <c r="D31" s="10"/>
      <c r="E31" s="10"/>
      <c r="F31" s="11"/>
      <c r="G31" s="11"/>
      <c r="H31" s="11"/>
      <c r="I31" s="11"/>
      <c r="J31" s="11" t="str">
        <f>IFERROR(__xludf.DUMMYFUNCTION("iferror(if($B31="""", ,filter(Playoff_Stats!F:Z,Playoff_Stats!A:A=$B31,Playoff_Stats!B:B=$A31)))"),"")</f>
        <v/>
      </c>
      <c r="K31" s="11"/>
      <c r="L31" s="12"/>
      <c r="M31" s="11"/>
      <c r="N31" s="11"/>
      <c r="O31" s="13"/>
      <c r="P31" s="14"/>
      <c r="Q31" s="13"/>
      <c r="R31" s="13"/>
      <c r="S31" s="15"/>
      <c r="T31" s="16"/>
      <c r="U31" s="16"/>
      <c r="V31" s="16"/>
      <c r="W31" s="16"/>
      <c r="X31" s="16"/>
      <c r="Y31" s="11"/>
      <c r="Z31" s="11"/>
      <c r="AA31" s="11"/>
      <c r="AB31" s="11"/>
      <c r="AC31" s="11"/>
      <c r="AD31" s="11"/>
    </row>
    <row r="32">
      <c r="A32" s="10"/>
      <c r="B32" s="10"/>
      <c r="C32" s="10"/>
      <c r="D32" s="10"/>
      <c r="E32" s="10"/>
      <c r="F32" s="11"/>
      <c r="G32" s="11"/>
      <c r="H32" s="11"/>
      <c r="I32" s="11"/>
      <c r="J32" s="11" t="str">
        <f>IFERROR(__xludf.DUMMYFUNCTION("iferror(if($B32="""", ,filter(Playoff_Stats!F:Z,Playoff_Stats!A:A=$B32,Playoff_Stats!B:B=$A32)))"),"")</f>
        <v/>
      </c>
      <c r="K32" s="11"/>
      <c r="L32" s="12"/>
      <c r="M32" s="11"/>
      <c r="N32" s="11"/>
      <c r="O32" s="13"/>
      <c r="P32" s="14"/>
      <c r="Q32" s="13"/>
      <c r="R32" s="13"/>
      <c r="S32" s="15"/>
      <c r="T32" s="16"/>
      <c r="U32" s="16"/>
      <c r="V32" s="16"/>
      <c r="W32" s="16"/>
      <c r="X32" s="16"/>
      <c r="Y32" s="11"/>
      <c r="Z32" s="11"/>
      <c r="AA32" s="11"/>
      <c r="AB32" s="11"/>
      <c r="AC32" s="11"/>
      <c r="AD32" s="11"/>
    </row>
    <row r="33">
      <c r="A33" s="10"/>
      <c r="B33" s="10"/>
      <c r="C33" s="10"/>
      <c r="D33" s="10"/>
      <c r="E33" s="10"/>
      <c r="F33" s="11"/>
      <c r="G33" s="11"/>
      <c r="H33" s="11"/>
      <c r="I33" s="11"/>
      <c r="J33" s="11" t="str">
        <f>IFERROR(__xludf.DUMMYFUNCTION("iferror(if($B33="""", ,filter(Playoff_Stats!F:Z,Playoff_Stats!A:A=$B33,Playoff_Stats!B:B=$A33)))"),"")</f>
        <v/>
      </c>
      <c r="K33" s="11"/>
      <c r="L33" s="12"/>
      <c r="M33" s="11"/>
      <c r="N33" s="11"/>
      <c r="O33" s="13"/>
      <c r="P33" s="14"/>
      <c r="Q33" s="13"/>
      <c r="R33" s="13"/>
      <c r="S33" s="15"/>
      <c r="T33" s="16"/>
      <c r="U33" s="16"/>
      <c r="V33" s="16"/>
      <c r="W33" s="16"/>
      <c r="X33" s="16"/>
      <c r="Y33" s="11"/>
      <c r="Z33" s="11"/>
      <c r="AA33" s="11"/>
      <c r="AB33" s="11"/>
      <c r="AC33" s="11"/>
      <c r="AD33" s="11"/>
    </row>
    <row r="34">
      <c r="A34" s="10"/>
      <c r="B34" s="10"/>
      <c r="C34" s="10"/>
      <c r="D34" s="10"/>
      <c r="E34" s="10"/>
      <c r="F34" s="11"/>
      <c r="G34" s="11"/>
      <c r="H34" s="11"/>
      <c r="I34" s="11"/>
      <c r="J34" s="11" t="str">
        <f>IFERROR(__xludf.DUMMYFUNCTION("iferror(if($B34="""", ,filter(Playoff_Stats!F:Z,Playoff_Stats!A:A=$B34,Playoff_Stats!B:B=$A34)))"),"")</f>
        <v/>
      </c>
      <c r="K34" s="11"/>
      <c r="L34" s="12"/>
      <c r="M34" s="11"/>
      <c r="N34" s="11"/>
      <c r="O34" s="13"/>
      <c r="P34" s="14"/>
      <c r="Q34" s="13"/>
      <c r="R34" s="13"/>
      <c r="S34" s="15"/>
      <c r="T34" s="16"/>
      <c r="U34" s="16"/>
      <c r="V34" s="16"/>
      <c r="W34" s="16"/>
      <c r="X34" s="16"/>
      <c r="Y34" s="11"/>
      <c r="Z34" s="11"/>
      <c r="AA34" s="11"/>
      <c r="AB34" s="11"/>
      <c r="AC34" s="11"/>
      <c r="AD34" s="11"/>
    </row>
    <row r="35">
      <c r="A35" s="10"/>
      <c r="B35" s="10"/>
      <c r="C35" s="10"/>
      <c r="D35" s="10"/>
      <c r="E35" s="10"/>
      <c r="F35" s="11"/>
      <c r="G35" s="11"/>
      <c r="H35" s="11"/>
      <c r="I35" s="11"/>
      <c r="J35" s="11" t="str">
        <f>IFERROR(__xludf.DUMMYFUNCTION("iferror(if($B35="""", ,filter(Playoff_Stats!F:Z,Playoff_Stats!A:A=$B35,Playoff_Stats!B:B=$A35)))"),"")</f>
        <v/>
      </c>
      <c r="K35" s="11"/>
      <c r="L35" s="12"/>
      <c r="M35" s="11"/>
      <c r="N35" s="11"/>
      <c r="O35" s="13"/>
      <c r="P35" s="14"/>
      <c r="Q35" s="13"/>
      <c r="R35" s="13"/>
      <c r="S35" s="15"/>
      <c r="T35" s="16"/>
      <c r="U35" s="16"/>
      <c r="V35" s="16"/>
      <c r="W35" s="16"/>
      <c r="X35" s="16"/>
      <c r="Y35" s="11"/>
      <c r="Z35" s="11"/>
      <c r="AA35" s="11"/>
      <c r="AB35" s="11"/>
      <c r="AC35" s="11"/>
      <c r="AD35" s="11"/>
    </row>
    <row r="36">
      <c r="A36" s="10"/>
      <c r="B36" s="10"/>
      <c r="C36" s="10"/>
      <c r="D36" s="10"/>
      <c r="E36" s="10"/>
      <c r="F36" s="11"/>
      <c r="G36" s="11"/>
      <c r="H36" s="11"/>
      <c r="I36" s="11"/>
      <c r="J36" s="11" t="str">
        <f>IFERROR(__xludf.DUMMYFUNCTION("iferror(if($B36="""", ,filter(Playoff_Stats!F:Z,Playoff_Stats!A:A=$B36,Playoff_Stats!B:B=$A36)))"),"")</f>
        <v/>
      </c>
      <c r="K36" s="11"/>
      <c r="L36" s="12"/>
      <c r="M36" s="11"/>
      <c r="N36" s="11"/>
      <c r="O36" s="13"/>
      <c r="P36" s="14"/>
      <c r="Q36" s="13"/>
      <c r="R36" s="13"/>
      <c r="S36" s="15"/>
      <c r="T36" s="16"/>
      <c r="U36" s="16"/>
      <c r="V36" s="16"/>
      <c r="W36" s="16"/>
      <c r="X36" s="16"/>
      <c r="Y36" s="11"/>
      <c r="Z36" s="11"/>
      <c r="AA36" s="11"/>
      <c r="AB36" s="11"/>
      <c r="AC36" s="11"/>
      <c r="AD36" s="11"/>
    </row>
    <row r="37">
      <c r="A37" s="10"/>
      <c r="B37" s="10"/>
      <c r="C37" s="10"/>
      <c r="D37" s="10"/>
      <c r="E37" s="10"/>
      <c r="F37" s="11"/>
      <c r="G37" s="11"/>
      <c r="H37" s="11"/>
      <c r="I37" s="11"/>
      <c r="J37" s="11" t="str">
        <f>IFERROR(__xludf.DUMMYFUNCTION("iferror(if($B37="""", ,filter(Playoff_Stats!F:Z,Playoff_Stats!A:A=$B37,Playoff_Stats!B:B=$A37)))"),"")</f>
        <v/>
      </c>
      <c r="K37" s="11"/>
      <c r="L37" s="12"/>
      <c r="M37" s="11"/>
      <c r="N37" s="11"/>
      <c r="O37" s="13"/>
      <c r="P37" s="14"/>
      <c r="Q37" s="13"/>
      <c r="R37" s="13"/>
      <c r="S37" s="15"/>
      <c r="T37" s="16"/>
      <c r="U37" s="16"/>
      <c r="V37" s="16"/>
      <c r="W37" s="16"/>
      <c r="X37" s="16"/>
      <c r="Y37" s="11"/>
      <c r="Z37" s="11"/>
      <c r="AA37" s="11"/>
      <c r="AB37" s="11"/>
      <c r="AC37" s="11"/>
      <c r="AD37" s="11"/>
    </row>
    <row r="38">
      <c r="A38" s="10"/>
      <c r="B38" s="10"/>
      <c r="C38" s="10"/>
      <c r="D38" s="10"/>
      <c r="E38" s="10"/>
      <c r="F38" s="11"/>
      <c r="G38" s="11"/>
      <c r="H38" s="11"/>
      <c r="I38" s="11"/>
      <c r="J38" s="11" t="str">
        <f>IFERROR(__xludf.DUMMYFUNCTION("iferror(if($B38="""", ,filter(Playoff_Stats!F:Z,Playoff_Stats!A:A=$B38,Playoff_Stats!B:B=$A38)))"),"")</f>
        <v/>
      </c>
      <c r="K38" s="11"/>
      <c r="L38" s="12"/>
      <c r="M38" s="11"/>
      <c r="N38" s="11"/>
      <c r="O38" s="13"/>
      <c r="P38" s="14"/>
      <c r="Q38" s="13"/>
      <c r="R38" s="13"/>
      <c r="S38" s="15"/>
      <c r="T38" s="16"/>
      <c r="U38" s="16"/>
      <c r="V38" s="16"/>
      <c r="W38" s="16"/>
      <c r="X38" s="16"/>
      <c r="Y38" s="11"/>
      <c r="Z38" s="11"/>
      <c r="AA38" s="11"/>
      <c r="AB38" s="11"/>
      <c r="AC38" s="11"/>
      <c r="AD38" s="11"/>
    </row>
    <row r="39">
      <c r="A39" s="10"/>
      <c r="B39" s="10"/>
      <c r="C39" s="10"/>
      <c r="D39" s="10"/>
      <c r="E39" s="10"/>
      <c r="F39" s="11"/>
      <c r="G39" s="11"/>
      <c r="H39" s="11"/>
      <c r="I39" s="11"/>
      <c r="J39" s="11" t="str">
        <f>IFERROR(__xludf.DUMMYFUNCTION("iferror(if($B39="""", ,filter(Playoff_Stats!F:Z,Playoff_Stats!A:A=$B39,Playoff_Stats!B:B=$A39)))"),"")</f>
        <v/>
      </c>
      <c r="K39" s="11"/>
      <c r="L39" s="12"/>
      <c r="M39" s="11"/>
      <c r="N39" s="11"/>
      <c r="O39" s="13"/>
      <c r="P39" s="14"/>
      <c r="Q39" s="13"/>
      <c r="R39" s="13"/>
      <c r="S39" s="15"/>
      <c r="T39" s="16"/>
      <c r="U39" s="16"/>
      <c r="V39" s="16"/>
      <c r="W39" s="16"/>
      <c r="X39" s="16"/>
      <c r="Y39" s="11"/>
      <c r="Z39" s="11"/>
      <c r="AA39" s="11"/>
      <c r="AB39" s="11"/>
      <c r="AC39" s="11"/>
      <c r="AD39" s="11"/>
    </row>
    <row r="40">
      <c r="A40" s="10"/>
      <c r="B40" s="10"/>
      <c r="C40" s="10"/>
      <c r="D40" s="10"/>
      <c r="E40" s="10"/>
      <c r="F40" s="11"/>
      <c r="G40" s="11"/>
      <c r="H40" s="11"/>
      <c r="I40" s="11"/>
      <c r="J40" s="11" t="str">
        <f>IFERROR(__xludf.DUMMYFUNCTION("iferror(if($B40="""", ,filter(Playoff_Stats!F:Z,Playoff_Stats!A:A=$B40,Playoff_Stats!B:B=$A40)))"),"")</f>
        <v/>
      </c>
      <c r="K40" s="11"/>
      <c r="L40" s="12"/>
      <c r="M40" s="11"/>
      <c r="N40" s="11"/>
      <c r="O40" s="13"/>
      <c r="P40" s="14"/>
      <c r="Q40" s="13"/>
      <c r="R40" s="13"/>
      <c r="S40" s="15"/>
      <c r="T40" s="16"/>
      <c r="U40" s="16"/>
      <c r="V40" s="16"/>
      <c r="W40" s="16"/>
      <c r="X40" s="16"/>
      <c r="Y40" s="11"/>
      <c r="Z40" s="11"/>
      <c r="AA40" s="11"/>
      <c r="AB40" s="11"/>
      <c r="AC40" s="11"/>
      <c r="AD40" s="11"/>
    </row>
    <row r="41">
      <c r="A41" s="10"/>
      <c r="B41" s="10"/>
      <c r="C41" s="10"/>
      <c r="D41" s="10"/>
      <c r="E41" s="10"/>
      <c r="F41" s="11"/>
      <c r="G41" s="11"/>
      <c r="H41" s="11"/>
      <c r="I41" s="11"/>
      <c r="J41" s="11" t="str">
        <f>IFERROR(__xludf.DUMMYFUNCTION("iferror(if($B41="""", ,filter(Playoff_Stats!F:Z,Playoff_Stats!A:A=$B41,Playoff_Stats!B:B=$A41)))"),"")</f>
        <v/>
      </c>
      <c r="K41" s="11"/>
      <c r="L41" s="12"/>
      <c r="M41" s="11"/>
      <c r="N41" s="11"/>
      <c r="O41" s="13"/>
      <c r="P41" s="14"/>
      <c r="Q41" s="13"/>
      <c r="R41" s="13"/>
      <c r="S41" s="15"/>
      <c r="T41" s="16"/>
      <c r="U41" s="16"/>
      <c r="V41" s="16"/>
      <c r="W41" s="16"/>
      <c r="X41" s="16"/>
      <c r="Y41" s="11"/>
      <c r="Z41" s="11"/>
      <c r="AA41" s="11"/>
      <c r="AB41" s="11"/>
      <c r="AC41" s="11"/>
      <c r="AD41" s="11"/>
    </row>
    <row r="42">
      <c r="A42" s="10"/>
      <c r="B42" s="10"/>
      <c r="C42" s="10"/>
      <c r="D42" s="10"/>
      <c r="E42" s="10"/>
      <c r="F42" s="11"/>
      <c r="G42" s="11"/>
      <c r="H42" s="11"/>
      <c r="I42" s="11"/>
      <c r="J42" s="11" t="str">
        <f>IFERROR(__xludf.DUMMYFUNCTION("iferror(if($B42="""", ,filter(Playoff_Stats!F:Z,Playoff_Stats!A:A=$B42,Playoff_Stats!B:B=$A42)))"),"")</f>
        <v/>
      </c>
      <c r="K42" s="11"/>
      <c r="L42" s="12"/>
      <c r="M42" s="11"/>
      <c r="N42" s="11"/>
      <c r="O42" s="13"/>
      <c r="P42" s="14"/>
      <c r="Q42" s="13"/>
      <c r="R42" s="13"/>
      <c r="S42" s="15"/>
      <c r="T42" s="16"/>
      <c r="U42" s="16"/>
      <c r="V42" s="16"/>
      <c r="W42" s="16"/>
      <c r="X42" s="16"/>
      <c r="Y42" s="11"/>
      <c r="Z42" s="11"/>
      <c r="AA42" s="11"/>
      <c r="AB42" s="11"/>
      <c r="AC42" s="11"/>
      <c r="AD42" s="11"/>
    </row>
    <row r="43">
      <c r="A43" s="10"/>
      <c r="B43" s="10"/>
      <c r="C43" s="10"/>
      <c r="D43" s="10"/>
      <c r="E43" s="10"/>
      <c r="F43" s="11"/>
      <c r="G43" s="11"/>
      <c r="H43" s="11"/>
      <c r="I43" s="11"/>
      <c r="J43" s="11" t="str">
        <f>IFERROR(__xludf.DUMMYFUNCTION("iferror(if($B43="""", ,filter(Playoff_Stats!F:Z,Playoff_Stats!A:A=$B43,Playoff_Stats!B:B=$A43)))"),"")</f>
        <v/>
      </c>
      <c r="K43" s="11"/>
      <c r="L43" s="12"/>
      <c r="M43" s="11"/>
      <c r="N43" s="11"/>
      <c r="O43" s="13"/>
      <c r="P43" s="14"/>
      <c r="Q43" s="13"/>
      <c r="R43" s="13"/>
      <c r="S43" s="15"/>
      <c r="T43" s="16"/>
      <c r="U43" s="16"/>
      <c r="V43" s="16"/>
      <c r="W43" s="16"/>
      <c r="X43" s="16"/>
      <c r="Y43" s="11"/>
      <c r="Z43" s="11"/>
      <c r="AA43" s="11"/>
      <c r="AB43" s="11"/>
      <c r="AC43" s="11"/>
      <c r="AD43" s="11"/>
    </row>
    <row r="44">
      <c r="A44" s="10"/>
      <c r="B44" s="10"/>
      <c r="C44" s="10"/>
      <c r="D44" s="10"/>
      <c r="E44" s="10"/>
      <c r="F44" s="11"/>
      <c r="G44" s="11"/>
      <c r="H44" s="11"/>
      <c r="I44" s="11"/>
      <c r="J44" s="11" t="str">
        <f>IFERROR(__xludf.DUMMYFUNCTION("iferror(if($B44="""", ,filter(Playoff_Stats!F:Z,Playoff_Stats!A:A=$B44,Playoff_Stats!B:B=$A44)))"),"")</f>
        <v/>
      </c>
      <c r="K44" s="11"/>
      <c r="L44" s="12"/>
      <c r="M44" s="11"/>
      <c r="N44" s="11"/>
      <c r="O44" s="13"/>
      <c r="P44" s="14"/>
      <c r="Q44" s="13"/>
      <c r="R44" s="13"/>
      <c r="S44" s="15"/>
      <c r="T44" s="16"/>
      <c r="U44" s="16"/>
      <c r="V44" s="16"/>
      <c r="W44" s="16"/>
      <c r="X44" s="16"/>
      <c r="Y44" s="11"/>
      <c r="Z44" s="11"/>
      <c r="AA44" s="11"/>
      <c r="AB44" s="11"/>
      <c r="AC44" s="11"/>
      <c r="AD44" s="11"/>
    </row>
    <row r="45">
      <c r="A45" s="10"/>
      <c r="B45" s="10"/>
      <c r="C45" s="10"/>
      <c r="D45" s="10"/>
      <c r="E45" s="10"/>
      <c r="F45" s="11"/>
      <c r="G45" s="11"/>
      <c r="H45" s="11"/>
      <c r="I45" s="11"/>
      <c r="J45" s="11" t="str">
        <f>IFERROR(__xludf.DUMMYFUNCTION("iferror(if($B45="""", ,filter(Playoff_Stats!F:Z,Playoff_Stats!A:A=$B45,Playoff_Stats!B:B=$A45)))"),"")</f>
        <v/>
      </c>
      <c r="K45" s="11"/>
      <c r="L45" s="12"/>
      <c r="M45" s="11"/>
      <c r="N45" s="11"/>
      <c r="O45" s="13"/>
      <c r="P45" s="14"/>
      <c r="Q45" s="13"/>
      <c r="R45" s="13"/>
      <c r="S45" s="15"/>
      <c r="T45" s="16"/>
      <c r="U45" s="16"/>
      <c r="V45" s="16"/>
      <c r="W45" s="16"/>
      <c r="X45" s="16"/>
      <c r="Y45" s="11"/>
      <c r="Z45" s="11"/>
      <c r="AA45" s="11"/>
      <c r="AB45" s="11"/>
      <c r="AC45" s="11"/>
      <c r="AD45" s="11"/>
    </row>
    <row r="46">
      <c r="A46" s="10"/>
      <c r="B46" s="10"/>
      <c r="C46" s="10"/>
      <c r="D46" s="10"/>
      <c r="E46" s="10"/>
      <c r="F46" s="11"/>
      <c r="G46" s="11"/>
      <c r="H46" s="11"/>
      <c r="I46" s="11"/>
      <c r="J46" s="11" t="str">
        <f>IFERROR(__xludf.DUMMYFUNCTION("iferror(if($B46="""", ,filter(Playoff_Stats!F:Z,Playoff_Stats!A:A=$B46,Playoff_Stats!B:B=$A46)))"),"")</f>
        <v/>
      </c>
      <c r="K46" s="11"/>
      <c r="L46" s="12"/>
      <c r="M46" s="11"/>
      <c r="N46" s="11"/>
      <c r="O46" s="13"/>
      <c r="P46" s="14"/>
      <c r="Q46" s="13"/>
      <c r="R46" s="13"/>
      <c r="S46" s="15"/>
      <c r="T46" s="16"/>
      <c r="U46" s="16"/>
      <c r="V46" s="16"/>
      <c r="W46" s="16"/>
      <c r="X46" s="16"/>
      <c r="Y46" s="11"/>
      <c r="Z46" s="11"/>
      <c r="AA46" s="11"/>
      <c r="AB46" s="11"/>
      <c r="AC46" s="11"/>
      <c r="AD46" s="11"/>
    </row>
    <row r="47">
      <c r="A47" s="10"/>
      <c r="B47" s="10"/>
      <c r="C47" s="10"/>
      <c r="D47" s="10"/>
      <c r="E47" s="10"/>
      <c r="F47" s="11"/>
      <c r="G47" s="11"/>
      <c r="H47" s="11"/>
      <c r="I47" s="11"/>
      <c r="J47" s="11" t="str">
        <f>IFERROR(__xludf.DUMMYFUNCTION("iferror(if($B47="""", ,filter(Playoff_Stats!F:Z,Playoff_Stats!A:A=$B47,Playoff_Stats!B:B=$A47)))"),"")</f>
        <v/>
      </c>
      <c r="K47" s="11"/>
      <c r="L47" s="12"/>
      <c r="M47" s="11"/>
      <c r="N47" s="11"/>
      <c r="O47" s="13"/>
      <c r="P47" s="14"/>
      <c r="Q47" s="13"/>
      <c r="R47" s="13"/>
      <c r="S47" s="15"/>
      <c r="T47" s="16"/>
      <c r="U47" s="16"/>
      <c r="V47" s="16"/>
      <c r="W47" s="16"/>
      <c r="X47" s="16"/>
      <c r="Y47" s="11"/>
      <c r="Z47" s="11"/>
      <c r="AA47" s="11"/>
      <c r="AB47" s="11"/>
      <c r="AC47" s="11"/>
      <c r="AD47" s="11"/>
    </row>
    <row r="48">
      <c r="A48" s="10"/>
      <c r="B48" s="10"/>
      <c r="C48" s="10"/>
      <c r="D48" s="10"/>
      <c r="E48" s="10"/>
      <c r="F48" s="11"/>
      <c r="G48" s="11"/>
      <c r="H48" s="11"/>
      <c r="I48" s="11"/>
      <c r="J48" s="11" t="str">
        <f>IFERROR(__xludf.DUMMYFUNCTION("iferror(if($B48="""", ,filter(Playoff_Stats!F:Z,Playoff_Stats!A:A=$B48,Playoff_Stats!B:B=$A48)))"),"")</f>
        <v/>
      </c>
      <c r="K48" s="11"/>
      <c r="L48" s="12"/>
      <c r="M48" s="11"/>
      <c r="N48" s="11"/>
      <c r="O48" s="13"/>
      <c r="P48" s="14"/>
      <c r="Q48" s="13"/>
      <c r="R48" s="13"/>
      <c r="S48" s="15"/>
      <c r="T48" s="16"/>
      <c r="U48" s="16"/>
      <c r="V48" s="16"/>
      <c r="W48" s="16"/>
      <c r="X48" s="16"/>
      <c r="Y48" s="11"/>
      <c r="Z48" s="11"/>
      <c r="AA48" s="11"/>
      <c r="AB48" s="11"/>
      <c r="AC48" s="11"/>
      <c r="AD48" s="11"/>
    </row>
    <row r="49">
      <c r="A49" s="10"/>
      <c r="B49" s="10"/>
      <c r="C49" s="10"/>
      <c r="D49" s="10"/>
      <c r="E49" s="10"/>
      <c r="F49" s="11"/>
      <c r="G49" s="11"/>
      <c r="H49" s="11"/>
      <c r="I49" s="11"/>
      <c r="J49" s="11" t="str">
        <f>IFERROR(__xludf.DUMMYFUNCTION("iferror(if($B49="""", ,filter(Playoff_Stats!F:Z,Playoff_Stats!A:A=$B49,Playoff_Stats!B:B=$A49)))"),"")</f>
        <v/>
      </c>
      <c r="K49" s="11"/>
      <c r="L49" s="12"/>
      <c r="M49" s="11"/>
      <c r="N49" s="11"/>
      <c r="O49" s="13"/>
      <c r="P49" s="14"/>
      <c r="Q49" s="13"/>
      <c r="R49" s="13"/>
      <c r="S49" s="15"/>
      <c r="T49" s="16"/>
      <c r="U49" s="16"/>
      <c r="V49" s="16"/>
      <c r="W49" s="16"/>
      <c r="X49" s="16"/>
      <c r="Y49" s="11"/>
      <c r="Z49" s="11"/>
      <c r="AA49" s="11"/>
      <c r="AB49" s="11"/>
      <c r="AC49" s="11"/>
      <c r="AD49" s="11"/>
    </row>
    <row r="50">
      <c r="A50" s="10"/>
      <c r="B50" s="10"/>
      <c r="C50" s="10"/>
      <c r="D50" s="10"/>
      <c r="E50" s="10"/>
      <c r="F50" s="11"/>
      <c r="G50" s="11"/>
      <c r="H50" s="11"/>
      <c r="I50" s="11"/>
      <c r="J50" s="11" t="str">
        <f>IFERROR(__xludf.DUMMYFUNCTION("iferror(if($B50="""", ,filter(Playoff_Stats!F:Z,Playoff_Stats!A:A=$B50,Playoff_Stats!B:B=$A50)))"),"")</f>
        <v/>
      </c>
      <c r="K50" s="11"/>
      <c r="L50" s="12"/>
      <c r="M50" s="11"/>
      <c r="N50" s="11"/>
      <c r="O50" s="13"/>
      <c r="P50" s="14"/>
      <c r="Q50" s="13"/>
      <c r="R50" s="13"/>
      <c r="S50" s="15"/>
      <c r="T50" s="16"/>
      <c r="U50" s="16"/>
      <c r="V50" s="16"/>
      <c r="W50" s="16"/>
      <c r="X50" s="16"/>
      <c r="Y50" s="11"/>
      <c r="Z50" s="11"/>
      <c r="AA50" s="11"/>
      <c r="AB50" s="11"/>
      <c r="AC50" s="11"/>
      <c r="AD50" s="11"/>
    </row>
    <row r="51">
      <c r="A51" s="10"/>
      <c r="B51" s="10"/>
      <c r="C51" s="10"/>
      <c r="D51" s="10"/>
      <c r="E51" s="10"/>
      <c r="F51" s="11"/>
      <c r="G51" s="11"/>
      <c r="H51" s="11"/>
      <c r="I51" s="11"/>
      <c r="J51" s="11" t="str">
        <f>IFERROR(__xludf.DUMMYFUNCTION("iferror(if($B51="""", ,filter(Playoff_Stats!F:Z,Playoff_Stats!A:A=$B51,Playoff_Stats!B:B=$A51)))"),"")</f>
        <v/>
      </c>
      <c r="K51" s="11"/>
      <c r="L51" s="12"/>
      <c r="M51" s="11"/>
      <c r="N51" s="11"/>
      <c r="O51" s="13"/>
      <c r="P51" s="14"/>
      <c r="Q51" s="13"/>
      <c r="R51" s="13"/>
      <c r="S51" s="15"/>
      <c r="T51" s="16"/>
      <c r="U51" s="16"/>
      <c r="V51" s="16"/>
      <c r="W51" s="16"/>
      <c r="X51" s="16"/>
      <c r="Y51" s="11"/>
      <c r="Z51" s="11"/>
      <c r="AA51" s="11"/>
      <c r="AB51" s="11"/>
      <c r="AC51" s="11"/>
      <c r="AD51" s="11"/>
    </row>
    <row r="52">
      <c r="A52" s="10"/>
      <c r="B52" s="10"/>
      <c r="C52" s="10"/>
      <c r="D52" s="10"/>
      <c r="E52" s="10"/>
      <c r="F52" s="11"/>
      <c r="G52" s="11"/>
      <c r="H52" s="11"/>
      <c r="I52" s="11"/>
      <c r="J52" s="11" t="str">
        <f>IFERROR(__xludf.DUMMYFUNCTION("iferror(if($B52="""", ,filter(Playoff_Stats!F:Z,Playoff_Stats!A:A=$B52,Playoff_Stats!B:B=$A52)))"),"")</f>
        <v/>
      </c>
      <c r="K52" s="11"/>
      <c r="L52" s="12"/>
      <c r="M52" s="11"/>
      <c r="N52" s="11"/>
      <c r="O52" s="13"/>
      <c r="P52" s="14"/>
      <c r="Q52" s="13"/>
      <c r="R52" s="13"/>
      <c r="S52" s="15"/>
      <c r="T52" s="16"/>
      <c r="U52" s="16"/>
      <c r="V52" s="16"/>
      <c r="W52" s="16"/>
      <c r="X52" s="16"/>
      <c r="Y52" s="11"/>
      <c r="Z52" s="11"/>
      <c r="AA52" s="11"/>
      <c r="AB52" s="11"/>
      <c r="AC52" s="11"/>
      <c r="AD52" s="11"/>
    </row>
    <row r="53">
      <c r="A53" s="10"/>
      <c r="B53" s="10"/>
      <c r="C53" s="10"/>
      <c r="D53" s="10"/>
      <c r="E53" s="10"/>
      <c r="F53" s="11"/>
      <c r="G53" s="11"/>
      <c r="H53" s="11"/>
      <c r="I53" s="11"/>
      <c r="J53" s="11" t="str">
        <f>IFERROR(__xludf.DUMMYFUNCTION("iferror(if($B53="""", ,filter(Playoff_Stats!F:Z,Playoff_Stats!A:A=$B53,Playoff_Stats!B:B=$A53)))"),"")</f>
        <v/>
      </c>
      <c r="K53" s="11"/>
      <c r="L53" s="12"/>
      <c r="M53" s="11"/>
      <c r="N53" s="11"/>
      <c r="O53" s="13"/>
      <c r="P53" s="14"/>
      <c r="Q53" s="13"/>
      <c r="R53" s="13"/>
      <c r="S53" s="15"/>
      <c r="T53" s="16"/>
      <c r="U53" s="16"/>
      <c r="V53" s="16"/>
      <c r="W53" s="16"/>
      <c r="X53" s="16"/>
      <c r="Y53" s="11"/>
      <c r="Z53" s="11"/>
      <c r="AA53" s="11"/>
      <c r="AB53" s="11"/>
      <c r="AC53" s="11"/>
      <c r="AD53" s="11"/>
    </row>
    <row r="54">
      <c r="A54" s="10"/>
      <c r="B54" s="10"/>
      <c r="C54" s="10"/>
      <c r="D54" s="10"/>
      <c r="E54" s="10"/>
      <c r="F54" s="11"/>
      <c r="G54" s="11"/>
      <c r="H54" s="11"/>
      <c r="I54" s="11"/>
      <c r="J54" s="11" t="str">
        <f>IFERROR(__xludf.DUMMYFUNCTION("iferror(if($B54="""", ,filter(Playoff_Stats!F:Z,Playoff_Stats!A:A=$B54,Playoff_Stats!B:B=$A54)))"),"")</f>
        <v/>
      </c>
      <c r="K54" s="11"/>
      <c r="L54" s="12"/>
      <c r="M54" s="11"/>
      <c r="N54" s="11"/>
      <c r="O54" s="13"/>
      <c r="P54" s="14"/>
      <c r="Q54" s="13"/>
      <c r="R54" s="13"/>
      <c r="S54" s="15"/>
      <c r="T54" s="16"/>
      <c r="U54" s="16"/>
      <c r="V54" s="16"/>
      <c r="W54" s="16"/>
      <c r="X54" s="16"/>
      <c r="Y54" s="11"/>
      <c r="Z54" s="11"/>
      <c r="AA54" s="11"/>
      <c r="AB54" s="11"/>
      <c r="AC54" s="11"/>
      <c r="AD54" s="11"/>
    </row>
    <row r="55">
      <c r="A55" s="10"/>
      <c r="B55" s="10"/>
      <c r="C55" s="10"/>
      <c r="D55" s="10"/>
      <c r="E55" s="10"/>
      <c r="F55" s="11"/>
      <c r="G55" s="11"/>
      <c r="H55" s="11"/>
      <c r="I55" s="11"/>
      <c r="J55" s="11" t="str">
        <f>IFERROR(__xludf.DUMMYFUNCTION("iferror(if($B55="""", ,filter(Playoff_Stats!F:Z,Playoff_Stats!A:A=$B55,Playoff_Stats!B:B=$A55)))"),"")</f>
        <v/>
      </c>
      <c r="K55" s="11"/>
      <c r="L55" s="12"/>
      <c r="M55" s="11"/>
      <c r="N55" s="11"/>
      <c r="O55" s="13"/>
      <c r="P55" s="14"/>
      <c r="Q55" s="13"/>
      <c r="R55" s="13"/>
      <c r="S55" s="15"/>
      <c r="T55" s="16"/>
      <c r="U55" s="16"/>
      <c r="V55" s="16"/>
      <c r="W55" s="16"/>
      <c r="X55" s="16"/>
      <c r="Y55" s="11"/>
      <c r="Z55" s="11"/>
      <c r="AA55" s="11"/>
      <c r="AB55" s="11"/>
      <c r="AC55" s="11"/>
      <c r="AD55" s="11"/>
    </row>
    <row r="56">
      <c r="A56" s="10"/>
      <c r="B56" s="10"/>
      <c r="C56" s="10"/>
      <c r="D56" s="10"/>
      <c r="E56" s="10"/>
      <c r="F56" s="11"/>
      <c r="G56" s="11"/>
      <c r="H56" s="11"/>
      <c r="I56" s="11"/>
      <c r="J56" s="11" t="str">
        <f>IFERROR(__xludf.DUMMYFUNCTION("iferror(if($B56="""", ,filter(Playoff_Stats!F:Z,Playoff_Stats!A:A=$B56,Playoff_Stats!B:B=$A56)))"),"")</f>
        <v/>
      </c>
      <c r="K56" s="11"/>
      <c r="L56" s="12"/>
      <c r="M56" s="11"/>
      <c r="N56" s="11"/>
      <c r="O56" s="13"/>
      <c r="P56" s="14"/>
      <c r="Q56" s="13"/>
      <c r="R56" s="13"/>
      <c r="S56" s="15"/>
      <c r="T56" s="16"/>
      <c r="U56" s="16"/>
      <c r="V56" s="16"/>
      <c r="W56" s="16"/>
      <c r="X56" s="16"/>
      <c r="Y56" s="11"/>
      <c r="Z56" s="11"/>
      <c r="AA56" s="11"/>
      <c r="AB56" s="11"/>
      <c r="AC56" s="11"/>
      <c r="AD56" s="11"/>
    </row>
    <row r="57">
      <c r="A57" s="10"/>
      <c r="B57" s="10"/>
      <c r="C57" s="10"/>
      <c r="D57" s="10"/>
      <c r="E57" s="10"/>
      <c r="F57" s="11"/>
      <c r="G57" s="11"/>
      <c r="H57" s="11"/>
      <c r="I57" s="11"/>
      <c r="J57" s="11" t="str">
        <f>IFERROR(__xludf.DUMMYFUNCTION("iferror(if($B57="""", ,filter(Playoff_Stats!F:Z,Playoff_Stats!A:A=$B57,Playoff_Stats!B:B=$A57)))"),"")</f>
        <v/>
      </c>
      <c r="K57" s="11"/>
      <c r="L57" s="12"/>
      <c r="M57" s="11"/>
      <c r="N57" s="11"/>
      <c r="O57" s="13"/>
      <c r="P57" s="14"/>
      <c r="Q57" s="13"/>
      <c r="R57" s="13"/>
      <c r="S57" s="15"/>
      <c r="T57" s="16"/>
      <c r="U57" s="16"/>
      <c r="V57" s="16"/>
      <c r="W57" s="16"/>
      <c r="X57" s="16"/>
      <c r="Y57" s="11"/>
      <c r="Z57" s="11"/>
      <c r="AA57" s="11"/>
      <c r="AB57" s="11"/>
      <c r="AC57" s="11"/>
      <c r="AD57" s="11"/>
    </row>
    <row r="58">
      <c r="A58" s="10"/>
      <c r="B58" s="10"/>
      <c r="C58" s="10"/>
      <c r="D58" s="10"/>
      <c r="E58" s="10"/>
      <c r="F58" s="11"/>
      <c r="G58" s="11"/>
      <c r="H58" s="11"/>
      <c r="I58" s="11"/>
      <c r="J58" s="11" t="str">
        <f>IFERROR(__xludf.DUMMYFUNCTION("iferror(if($B58="""", ,filter(Playoff_Stats!F:Z,Playoff_Stats!A:A=$B58,Playoff_Stats!B:B=$A58)))"),"")</f>
        <v/>
      </c>
      <c r="K58" s="11"/>
      <c r="L58" s="12"/>
      <c r="M58" s="11"/>
      <c r="N58" s="11"/>
      <c r="O58" s="13"/>
      <c r="P58" s="14"/>
      <c r="Q58" s="13"/>
      <c r="R58" s="13"/>
      <c r="S58" s="15"/>
      <c r="T58" s="16"/>
      <c r="U58" s="16"/>
      <c r="V58" s="16"/>
      <c r="W58" s="16"/>
      <c r="X58" s="16"/>
      <c r="Y58" s="11"/>
      <c r="Z58" s="11"/>
      <c r="AA58" s="11"/>
      <c r="AB58" s="11"/>
      <c r="AC58" s="11"/>
      <c r="AD58" s="11"/>
    </row>
    <row r="59">
      <c r="A59" s="10"/>
      <c r="B59" s="10"/>
      <c r="C59" s="10"/>
      <c r="D59" s="10"/>
      <c r="E59" s="10"/>
      <c r="F59" s="11"/>
      <c r="G59" s="11"/>
      <c r="H59" s="11"/>
      <c r="I59" s="11"/>
      <c r="J59" s="11" t="str">
        <f>IFERROR(__xludf.DUMMYFUNCTION("iferror(if($B59="""", ,filter(Playoff_Stats!F:Z,Playoff_Stats!A:A=$B59,Playoff_Stats!B:B=$A59)))"),"")</f>
        <v/>
      </c>
      <c r="K59" s="11"/>
      <c r="L59" s="12"/>
      <c r="M59" s="11"/>
      <c r="N59" s="11"/>
      <c r="O59" s="13"/>
      <c r="P59" s="14"/>
      <c r="Q59" s="13"/>
      <c r="R59" s="13"/>
      <c r="S59" s="15"/>
      <c r="T59" s="16"/>
      <c r="U59" s="16"/>
      <c r="V59" s="16"/>
      <c r="W59" s="16"/>
      <c r="X59" s="16"/>
      <c r="Y59" s="11"/>
      <c r="Z59" s="11"/>
      <c r="AA59" s="11"/>
      <c r="AB59" s="11"/>
      <c r="AC59" s="11"/>
      <c r="AD59" s="11"/>
    </row>
    <row r="60">
      <c r="A60" s="10"/>
      <c r="B60" s="10"/>
      <c r="C60" s="10"/>
      <c r="D60" s="10"/>
      <c r="E60" s="10"/>
      <c r="F60" s="11"/>
      <c r="G60" s="11"/>
      <c r="H60" s="11"/>
      <c r="I60" s="11"/>
      <c r="J60" s="11" t="str">
        <f>IFERROR(__xludf.DUMMYFUNCTION("iferror(if($B60="""", ,filter(Playoff_Stats!F:Z,Playoff_Stats!A:A=$B60,Playoff_Stats!B:B=$A60)))"),"")</f>
        <v/>
      </c>
      <c r="K60" s="11"/>
      <c r="L60" s="12"/>
      <c r="M60" s="11"/>
      <c r="N60" s="11"/>
      <c r="O60" s="13"/>
      <c r="P60" s="14"/>
      <c r="Q60" s="13"/>
      <c r="R60" s="13"/>
      <c r="S60" s="15"/>
      <c r="T60" s="16"/>
      <c r="U60" s="16"/>
      <c r="V60" s="16"/>
      <c r="W60" s="16"/>
      <c r="X60" s="16"/>
      <c r="Y60" s="11"/>
      <c r="Z60" s="11"/>
      <c r="AA60" s="11"/>
      <c r="AB60" s="11"/>
      <c r="AC60" s="11"/>
      <c r="AD60" s="11"/>
    </row>
    <row r="61">
      <c r="A61" s="10"/>
      <c r="B61" s="10"/>
      <c r="C61" s="10"/>
      <c r="D61" s="10"/>
      <c r="E61" s="10"/>
      <c r="F61" s="11"/>
      <c r="G61" s="11"/>
      <c r="H61" s="11"/>
      <c r="I61" s="11"/>
      <c r="J61" s="11" t="str">
        <f>IFERROR(__xludf.DUMMYFUNCTION("iferror(if($B61="""", ,filter(Playoff_Stats!F:Z,Playoff_Stats!A:A=$B61,Playoff_Stats!B:B=$A61)))"),"")</f>
        <v/>
      </c>
      <c r="K61" s="11"/>
      <c r="L61" s="12"/>
      <c r="M61" s="11"/>
      <c r="N61" s="11"/>
      <c r="O61" s="13"/>
      <c r="P61" s="14"/>
      <c r="Q61" s="13"/>
      <c r="R61" s="13"/>
      <c r="S61" s="15"/>
      <c r="T61" s="16"/>
      <c r="U61" s="16"/>
      <c r="V61" s="16"/>
      <c r="W61" s="16"/>
      <c r="X61" s="16"/>
      <c r="Y61" s="11"/>
      <c r="Z61" s="11"/>
      <c r="AA61" s="11"/>
      <c r="AB61" s="11"/>
      <c r="AC61" s="11"/>
      <c r="AD61" s="11"/>
    </row>
    <row r="62">
      <c r="A62" s="10"/>
      <c r="B62" s="10"/>
      <c r="C62" s="10"/>
      <c r="D62" s="10"/>
      <c r="E62" s="10"/>
      <c r="F62" s="11"/>
      <c r="G62" s="11"/>
      <c r="H62" s="11"/>
      <c r="I62" s="11"/>
      <c r="J62" s="11" t="str">
        <f>IFERROR(__xludf.DUMMYFUNCTION("iferror(if($B62="""", ,filter(Playoff_Stats!F:Z,Playoff_Stats!A:A=$B62,Playoff_Stats!B:B=$A62)))"),"")</f>
        <v/>
      </c>
      <c r="K62" s="11"/>
      <c r="L62" s="12"/>
      <c r="M62" s="11"/>
      <c r="N62" s="11"/>
      <c r="O62" s="13"/>
      <c r="P62" s="14"/>
      <c r="Q62" s="13"/>
      <c r="R62" s="13"/>
      <c r="S62" s="15"/>
      <c r="T62" s="16"/>
      <c r="U62" s="16"/>
      <c r="V62" s="16"/>
      <c r="W62" s="16"/>
      <c r="X62" s="16"/>
      <c r="Y62" s="11"/>
      <c r="Z62" s="11"/>
      <c r="AA62" s="11"/>
      <c r="AB62" s="11"/>
      <c r="AC62" s="11"/>
      <c r="AD62" s="11"/>
    </row>
    <row r="63">
      <c r="A63" s="10"/>
      <c r="B63" s="10"/>
      <c r="C63" s="10"/>
      <c r="D63" s="10"/>
      <c r="E63" s="10"/>
      <c r="F63" s="11"/>
      <c r="G63" s="11"/>
      <c r="H63" s="11"/>
      <c r="I63" s="11"/>
      <c r="J63" s="11" t="str">
        <f>IFERROR(__xludf.DUMMYFUNCTION("iferror(if($B63="""", ,filter(Playoff_Stats!F:Z,Playoff_Stats!A:A=$B63,Playoff_Stats!B:B=$A63)))"),"")</f>
        <v/>
      </c>
      <c r="K63" s="11"/>
      <c r="L63" s="12"/>
      <c r="M63" s="11"/>
      <c r="N63" s="11"/>
      <c r="O63" s="13"/>
      <c r="P63" s="14"/>
      <c r="Q63" s="13"/>
      <c r="R63" s="13"/>
      <c r="S63" s="15"/>
      <c r="T63" s="16"/>
      <c r="U63" s="16"/>
      <c r="V63" s="16"/>
      <c r="W63" s="16"/>
      <c r="X63" s="16"/>
      <c r="Y63" s="11"/>
      <c r="Z63" s="11"/>
      <c r="AA63" s="11"/>
      <c r="AB63" s="11"/>
      <c r="AC63" s="11"/>
      <c r="AD63" s="11"/>
    </row>
    <row r="64">
      <c r="A64" s="10"/>
      <c r="B64" s="10"/>
      <c r="C64" s="10"/>
      <c r="D64" s="10"/>
      <c r="E64" s="10"/>
      <c r="F64" s="11"/>
      <c r="G64" s="11"/>
      <c r="H64" s="11"/>
      <c r="I64" s="11"/>
      <c r="J64" s="11" t="str">
        <f>IFERROR(__xludf.DUMMYFUNCTION("iferror(if($B64="""", ,filter(Playoff_Stats!F:Z,Playoff_Stats!A:A=$B64,Playoff_Stats!B:B=$A64)))"),"")</f>
        <v/>
      </c>
      <c r="K64" s="11"/>
      <c r="L64" s="12"/>
      <c r="M64" s="11"/>
      <c r="N64" s="11"/>
      <c r="O64" s="13"/>
      <c r="P64" s="14"/>
      <c r="Q64" s="13"/>
      <c r="R64" s="13"/>
      <c r="S64" s="15"/>
      <c r="T64" s="16"/>
      <c r="U64" s="16"/>
      <c r="V64" s="16"/>
      <c r="W64" s="16"/>
      <c r="X64" s="16"/>
      <c r="Y64" s="11"/>
      <c r="Z64" s="11"/>
      <c r="AA64" s="11"/>
      <c r="AB64" s="11"/>
      <c r="AC64" s="11"/>
      <c r="AD64" s="11"/>
    </row>
    <row r="65">
      <c r="A65" s="10"/>
      <c r="B65" s="10"/>
      <c r="C65" s="10"/>
      <c r="D65" s="10"/>
      <c r="E65" s="10"/>
      <c r="F65" s="11"/>
      <c r="G65" s="11"/>
      <c r="H65" s="11"/>
      <c r="I65" s="11"/>
      <c r="J65" s="11" t="str">
        <f>IFERROR(__xludf.DUMMYFUNCTION("iferror(if($B65="""", ,filter(Playoff_Stats!F:Z,Playoff_Stats!A:A=$B65,Playoff_Stats!B:B=$A65)))"),"")</f>
        <v/>
      </c>
      <c r="K65" s="11"/>
      <c r="L65" s="12"/>
      <c r="M65" s="11"/>
      <c r="N65" s="11"/>
      <c r="O65" s="13"/>
      <c r="P65" s="14"/>
      <c r="Q65" s="13"/>
      <c r="R65" s="13"/>
      <c r="S65" s="15"/>
      <c r="T65" s="16"/>
      <c r="U65" s="16"/>
      <c r="V65" s="16"/>
      <c r="W65" s="16"/>
      <c r="X65" s="16"/>
      <c r="Y65" s="11"/>
      <c r="Z65" s="11"/>
      <c r="AA65" s="11"/>
      <c r="AB65" s="11"/>
      <c r="AC65" s="11"/>
      <c r="AD65" s="11"/>
    </row>
    <row r="66">
      <c r="A66" s="10"/>
      <c r="B66" s="10"/>
      <c r="C66" s="10"/>
      <c r="D66" s="10"/>
      <c r="E66" s="10"/>
      <c r="F66" s="11"/>
      <c r="G66" s="11"/>
      <c r="H66" s="11"/>
      <c r="I66" s="11"/>
      <c r="J66" s="11" t="str">
        <f>IFERROR(__xludf.DUMMYFUNCTION("iferror(if($B66="""", ,filter(Playoff_Stats!F:Z,Playoff_Stats!A:A=$B66,Playoff_Stats!B:B=$A66)))"),"")</f>
        <v/>
      </c>
      <c r="K66" s="11"/>
      <c r="L66" s="12"/>
      <c r="M66" s="11"/>
      <c r="N66" s="11"/>
      <c r="O66" s="13"/>
      <c r="P66" s="14"/>
      <c r="Q66" s="13"/>
      <c r="R66" s="13"/>
      <c r="S66" s="15"/>
      <c r="T66" s="16"/>
      <c r="U66" s="16"/>
      <c r="V66" s="16"/>
      <c r="W66" s="16"/>
      <c r="X66" s="16"/>
      <c r="Y66" s="11"/>
      <c r="Z66" s="11"/>
      <c r="AA66" s="11"/>
      <c r="AB66" s="11"/>
      <c r="AC66" s="11"/>
      <c r="AD66" s="11"/>
    </row>
    <row r="67">
      <c r="A67" s="10"/>
      <c r="B67" s="10"/>
      <c r="C67" s="10"/>
      <c r="D67" s="10"/>
      <c r="E67" s="10"/>
      <c r="F67" s="11"/>
      <c r="G67" s="11"/>
      <c r="H67" s="11"/>
      <c r="I67" s="11"/>
      <c r="J67" s="11" t="str">
        <f>IFERROR(__xludf.DUMMYFUNCTION("iferror(if($B67="""", ,filter(Playoff_Stats!F:Z,Playoff_Stats!A:A=$B67,Playoff_Stats!B:B=$A67)))"),"")</f>
        <v/>
      </c>
      <c r="K67" s="11"/>
      <c r="L67" s="12"/>
      <c r="M67" s="11"/>
      <c r="N67" s="11"/>
      <c r="O67" s="13"/>
      <c r="P67" s="14"/>
      <c r="Q67" s="13"/>
      <c r="R67" s="13"/>
      <c r="S67" s="15"/>
      <c r="T67" s="16"/>
      <c r="U67" s="16"/>
      <c r="V67" s="16"/>
      <c r="W67" s="16"/>
      <c r="X67" s="16"/>
      <c r="Y67" s="11"/>
      <c r="Z67" s="11"/>
      <c r="AA67" s="11"/>
      <c r="AB67" s="11"/>
      <c r="AC67" s="11"/>
      <c r="AD67" s="11"/>
    </row>
    <row r="68">
      <c r="A68" s="10"/>
      <c r="B68" s="10"/>
      <c r="C68" s="10"/>
      <c r="D68" s="10"/>
      <c r="E68" s="10"/>
      <c r="F68" s="11"/>
      <c r="G68" s="11"/>
      <c r="H68" s="11"/>
      <c r="I68" s="11"/>
      <c r="J68" s="11" t="str">
        <f>IFERROR(__xludf.DUMMYFUNCTION("iferror(if($B68="""", ,filter(Playoff_Stats!F:Z,Playoff_Stats!A:A=$B68,Playoff_Stats!B:B=$A68)))"),"")</f>
        <v/>
      </c>
      <c r="K68" s="11"/>
      <c r="L68" s="12"/>
      <c r="M68" s="11"/>
      <c r="N68" s="11"/>
      <c r="O68" s="13"/>
      <c r="P68" s="14"/>
      <c r="Q68" s="13"/>
      <c r="R68" s="13"/>
      <c r="S68" s="15"/>
      <c r="T68" s="16"/>
      <c r="U68" s="16"/>
      <c r="V68" s="16"/>
      <c r="W68" s="16"/>
      <c r="X68" s="16"/>
      <c r="Y68" s="11"/>
      <c r="Z68" s="11"/>
      <c r="AA68" s="11"/>
      <c r="AB68" s="11"/>
      <c r="AC68" s="11"/>
      <c r="AD68" s="11"/>
    </row>
    <row r="69">
      <c r="A69" s="10"/>
      <c r="B69" s="10"/>
      <c r="C69" s="10"/>
      <c r="D69" s="10"/>
      <c r="E69" s="10"/>
      <c r="F69" s="11"/>
      <c r="G69" s="11"/>
      <c r="H69" s="11"/>
      <c r="I69" s="11"/>
      <c r="J69" s="11" t="str">
        <f>IFERROR(__xludf.DUMMYFUNCTION("iferror(if($B69="""", ,filter(Playoff_Stats!F:Z,Playoff_Stats!A:A=$B69,Playoff_Stats!B:B=$A69)))"),"")</f>
        <v/>
      </c>
      <c r="K69" s="11"/>
      <c r="L69" s="12"/>
      <c r="M69" s="11"/>
      <c r="N69" s="11"/>
      <c r="O69" s="13"/>
      <c r="P69" s="14"/>
      <c r="Q69" s="13"/>
      <c r="R69" s="13"/>
      <c r="S69" s="15"/>
      <c r="T69" s="16"/>
      <c r="U69" s="16"/>
      <c r="V69" s="16"/>
      <c r="W69" s="16"/>
      <c r="X69" s="16"/>
      <c r="Y69" s="11"/>
      <c r="Z69" s="11"/>
      <c r="AA69" s="11"/>
      <c r="AB69" s="11"/>
      <c r="AC69" s="11"/>
      <c r="AD69" s="11"/>
    </row>
    <row r="70">
      <c r="A70" s="10"/>
      <c r="B70" s="10"/>
      <c r="C70" s="10"/>
      <c r="D70" s="10"/>
      <c r="E70" s="10"/>
      <c r="F70" s="11"/>
      <c r="G70" s="11"/>
      <c r="H70" s="11"/>
      <c r="I70" s="11"/>
      <c r="J70" s="11" t="str">
        <f>IFERROR(__xludf.DUMMYFUNCTION("iferror(if($B70="""", ,filter(Playoff_Stats!F:Z,Playoff_Stats!A:A=$B70,Playoff_Stats!B:B=$A70)))"),"")</f>
        <v/>
      </c>
      <c r="K70" s="11"/>
      <c r="L70" s="12"/>
      <c r="M70" s="11"/>
      <c r="N70" s="11"/>
      <c r="O70" s="13"/>
      <c r="P70" s="14"/>
      <c r="Q70" s="13"/>
      <c r="R70" s="13"/>
      <c r="S70" s="15"/>
      <c r="T70" s="16"/>
      <c r="U70" s="16"/>
      <c r="V70" s="16"/>
      <c r="W70" s="16"/>
      <c r="X70" s="16"/>
      <c r="Y70" s="11"/>
      <c r="Z70" s="11"/>
      <c r="AA70" s="11"/>
      <c r="AB70" s="11"/>
      <c r="AC70" s="11"/>
      <c r="AD70" s="11"/>
    </row>
    <row r="71">
      <c r="A71" s="10"/>
      <c r="B71" s="10"/>
      <c r="C71" s="10"/>
      <c r="D71" s="10"/>
      <c r="E71" s="10"/>
      <c r="F71" s="11"/>
      <c r="G71" s="11"/>
      <c r="H71" s="11"/>
      <c r="I71" s="11"/>
      <c r="J71" s="11" t="str">
        <f>IFERROR(__xludf.DUMMYFUNCTION("iferror(if($B71="""", ,filter(Playoff_Stats!F:Z,Playoff_Stats!A:A=$B71,Playoff_Stats!B:B=$A71)))"),"")</f>
        <v/>
      </c>
      <c r="K71" s="11"/>
      <c r="L71" s="12"/>
      <c r="M71" s="11"/>
      <c r="N71" s="11"/>
      <c r="O71" s="13"/>
      <c r="P71" s="14"/>
      <c r="Q71" s="13"/>
      <c r="R71" s="13"/>
      <c r="S71" s="15"/>
      <c r="T71" s="16"/>
      <c r="U71" s="16"/>
      <c r="V71" s="16"/>
      <c r="W71" s="16"/>
      <c r="X71" s="16"/>
      <c r="Y71" s="11"/>
      <c r="Z71" s="11"/>
      <c r="AA71" s="11"/>
      <c r="AB71" s="11"/>
      <c r="AC71" s="11"/>
      <c r="AD71" s="11"/>
    </row>
    <row r="72">
      <c r="A72" s="10"/>
      <c r="B72" s="10"/>
      <c r="C72" s="10"/>
      <c r="D72" s="10"/>
      <c r="E72" s="10"/>
      <c r="F72" s="11"/>
      <c r="G72" s="11"/>
      <c r="H72" s="11"/>
      <c r="I72" s="11"/>
      <c r="J72" s="11" t="str">
        <f>IFERROR(__xludf.DUMMYFUNCTION("iferror(if($B72="""", ,filter(Playoff_Stats!F:Z,Playoff_Stats!A:A=$B72,Playoff_Stats!B:B=$A72)))"),"")</f>
        <v/>
      </c>
      <c r="K72" s="11"/>
      <c r="L72" s="12"/>
      <c r="M72" s="11"/>
      <c r="N72" s="11"/>
      <c r="O72" s="13"/>
      <c r="P72" s="14"/>
      <c r="Q72" s="13"/>
      <c r="R72" s="13"/>
      <c r="S72" s="15"/>
      <c r="T72" s="16"/>
      <c r="U72" s="16"/>
      <c r="V72" s="16"/>
      <c r="W72" s="16"/>
      <c r="X72" s="16"/>
      <c r="Y72" s="11"/>
      <c r="Z72" s="11"/>
      <c r="AA72" s="11"/>
      <c r="AB72" s="11"/>
      <c r="AC72" s="11"/>
      <c r="AD72" s="11"/>
    </row>
    <row r="73">
      <c r="A73" s="10"/>
      <c r="B73" s="10"/>
      <c r="C73" s="10"/>
      <c r="D73" s="10"/>
      <c r="E73" s="10"/>
      <c r="F73" s="11"/>
      <c r="G73" s="11"/>
      <c r="H73" s="11"/>
      <c r="I73" s="11"/>
      <c r="J73" s="11" t="str">
        <f>IFERROR(__xludf.DUMMYFUNCTION("iferror(if($B73="""", ,filter(Playoff_Stats!F:Z,Playoff_Stats!A:A=$B73,Playoff_Stats!B:B=$A73)))"),"")</f>
        <v/>
      </c>
      <c r="K73" s="11"/>
      <c r="L73" s="12"/>
      <c r="M73" s="11"/>
      <c r="N73" s="11"/>
      <c r="O73" s="13"/>
      <c r="P73" s="14"/>
      <c r="Q73" s="13"/>
      <c r="R73" s="13"/>
      <c r="S73" s="15"/>
      <c r="T73" s="16"/>
      <c r="U73" s="16"/>
      <c r="V73" s="16"/>
      <c r="W73" s="16"/>
      <c r="X73" s="16"/>
      <c r="Y73" s="11"/>
      <c r="Z73" s="11"/>
      <c r="AA73" s="11"/>
      <c r="AB73" s="11"/>
      <c r="AC73" s="11"/>
      <c r="AD73" s="11"/>
    </row>
    <row r="74">
      <c r="A74" s="10"/>
      <c r="B74" s="10"/>
      <c r="C74" s="10"/>
      <c r="D74" s="10"/>
      <c r="E74" s="10"/>
      <c r="F74" s="11"/>
      <c r="G74" s="11"/>
      <c r="H74" s="11"/>
      <c r="I74" s="11"/>
      <c r="J74" s="11" t="str">
        <f>IFERROR(__xludf.DUMMYFUNCTION("iferror(if($B74="""", ,filter(Playoff_Stats!F:Z,Playoff_Stats!A:A=$B74,Playoff_Stats!B:B=$A74)))"),"")</f>
        <v/>
      </c>
      <c r="K74" s="11"/>
      <c r="L74" s="12"/>
      <c r="M74" s="11"/>
      <c r="N74" s="11"/>
      <c r="O74" s="13"/>
      <c r="P74" s="14"/>
      <c r="Q74" s="13"/>
      <c r="R74" s="13"/>
      <c r="S74" s="15"/>
      <c r="T74" s="16"/>
      <c r="U74" s="16"/>
      <c r="V74" s="16"/>
      <c r="W74" s="16"/>
      <c r="X74" s="16"/>
      <c r="Y74" s="11"/>
      <c r="Z74" s="11"/>
      <c r="AA74" s="11"/>
      <c r="AB74" s="11"/>
      <c r="AC74" s="11"/>
      <c r="AD74" s="11"/>
    </row>
    <row r="75">
      <c r="A75" s="10"/>
      <c r="B75" s="10"/>
      <c r="C75" s="10"/>
      <c r="D75" s="10"/>
      <c r="E75" s="10"/>
      <c r="F75" s="11"/>
      <c r="G75" s="11"/>
      <c r="H75" s="11"/>
      <c r="I75" s="11"/>
      <c r="J75" s="11" t="str">
        <f>IFERROR(__xludf.DUMMYFUNCTION("iferror(if($B75="""", ,filter(Playoff_Stats!F:Z,Playoff_Stats!A:A=$B75,Playoff_Stats!B:B=$A75)))"),"")</f>
        <v/>
      </c>
      <c r="K75" s="11"/>
      <c r="L75" s="12"/>
      <c r="M75" s="11"/>
      <c r="N75" s="11"/>
      <c r="O75" s="13"/>
      <c r="P75" s="14"/>
      <c r="Q75" s="13"/>
      <c r="R75" s="13"/>
      <c r="S75" s="15"/>
      <c r="T75" s="16"/>
      <c r="U75" s="16"/>
      <c r="V75" s="16"/>
      <c r="W75" s="16"/>
      <c r="X75" s="16"/>
      <c r="Y75" s="11"/>
      <c r="Z75" s="11"/>
      <c r="AA75" s="11"/>
      <c r="AB75" s="11"/>
      <c r="AC75" s="11"/>
      <c r="AD75" s="11"/>
    </row>
    <row r="76">
      <c r="A76" s="10"/>
      <c r="B76" s="10"/>
      <c r="C76" s="10"/>
      <c r="D76" s="10"/>
      <c r="E76" s="10"/>
      <c r="F76" s="11"/>
      <c r="G76" s="11"/>
      <c r="H76" s="11"/>
      <c r="I76" s="11"/>
      <c r="J76" s="11" t="str">
        <f>IFERROR(__xludf.DUMMYFUNCTION("iferror(if($B76="""", ,filter(Playoff_Stats!F:Z,Playoff_Stats!A:A=$B76,Playoff_Stats!B:B=$A76)))"),"")</f>
        <v/>
      </c>
      <c r="K76" s="11"/>
      <c r="L76" s="12"/>
      <c r="M76" s="11"/>
      <c r="N76" s="11"/>
      <c r="O76" s="13"/>
      <c r="P76" s="14"/>
      <c r="Q76" s="13"/>
      <c r="R76" s="13"/>
      <c r="S76" s="15"/>
      <c r="T76" s="16"/>
      <c r="U76" s="16"/>
      <c r="V76" s="16"/>
      <c r="W76" s="16"/>
      <c r="X76" s="16"/>
      <c r="Y76" s="11"/>
      <c r="Z76" s="11"/>
      <c r="AA76" s="11"/>
      <c r="AB76" s="11"/>
      <c r="AC76" s="11"/>
      <c r="AD76" s="11"/>
    </row>
    <row r="77">
      <c r="A77" s="10"/>
      <c r="B77" s="10"/>
      <c r="C77" s="10"/>
      <c r="D77" s="10"/>
      <c r="E77" s="10"/>
      <c r="F77" s="11"/>
      <c r="G77" s="11"/>
      <c r="H77" s="11"/>
      <c r="I77" s="11"/>
      <c r="J77" s="11" t="str">
        <f>IFERROR(__xludf.DUMMYFUNCTION("iferror(if($B77="""", ,filter(Playoff_Stats!F:Z,Playoff_Stats!A:A=$B77,Playoff_Stats!B:B=$A77)))"),"")</f>
        <v/>
      </c>
      <c r="K77" s="11"/>
      <c r="L77" s="12"/>
      <c r="M77" s="11"/>
      <c r="N77" s="11"/>
      <c r="O77" s="13"/>
      <c r="P77" s="14"/>
      <c r="Q77" s="13"/>
      <c r="R77" s="13"/>
      <c r="S77" s="15"/>
      <c r="T77" s="16"/>
      <c r="U77" s="16"/>
      <c r="V77" s="16"/>
      <c r="W77" s="16"/>
      <c r="X77" s="16"/>
      <c r="Y77" s="11"/>
      <c r="Z77" s="11"/>
      <c r="AA77" s="11"/>
      <c r="AB77" s="11"/>
      <c r="AC77" s="11"/>
      <c r="AD77" s="11"/>
    </row>
    <row r="78">
      <c r="A78" s="10"/>
      <c r="B78" s="10"/>
      <c r="C78" s="10"/>
      <c r="D78" s="10"/>
      <c r="E78" s="10"/>
      <c r="F78" s="11"/>
      <c r="G78" s="11"/>
      <c r="H78" s="11"/>
      <c r="I78" s="11"/>
      <c r="J78" s="11" t="str">
        <f>IFERROR(__xludf.DUMMYFUNCTION("iferror(if($B78="""", ,filter(Playoff_Stats!F:Z,Playoff_Stats!A:A=$B78,Playoff_Stats!B:B=$A78)))"),"")</f>
        <v/>
      </c>
      <c r="K78" s="11"/>
      <c r="L78" s="12"/>
      <c r="M78" s="11"/>
      <c r="N78" s="11"/>
      <c r="O78" s="13"/>
      <c r="P78" s="14"/>
      <c r="Q78" s="13"/>
      <c r="R78" s="13"/>
      <c r="S78" s="15"/>
      <c r="T78" s="16"/>
      <c r="U78" s="16"/>
      <c r="V78" s="16"/>
      <c r="W78" s="16"/>
      <c r="X78" s="16"/>
      <c r="Y78" s="11"/>
      <c r="Z78" s="11"/>
      <c r="AA78" s="11"/>
      <c r="AB78" s="11"/>
      <c r="AC78" s="11"/>
      <c r="AD78" s="11"/>
    </row>
    <row r="79">
      <c r="A79" s="10"/>
      <c r="B79" s="10"/>
      <c r="C79" s="10"/>
      <c r="D79" s="10"/>
      <c r="E79" s="10"/>
      <c r="F79" s="11"/>
      <c r="G79" s="11"/>
      <c r="H79" s="11"/>
      <c r="I79" s="11"/>
      <c r="J79" s="11" t="str">
        <f>IFERROR(__xludf.DUMMYFUNCTION("iferror(if($B79="""", ,filter(Playoff_Stats!F:Z,Playoff_Stats!A:A=$B79,Playoff_Stats!B:B=$A79)))"),"")</f>
        <v/>
      </c>
      <c r="K79" s="11"/>
      <c r="L79" s="12"/>
      <c r="M79" s="11"/>
      <c r="N79" s="11"/>
      <c r="O79" s="13"/>
      <c r="P79" s="14"/>
      <c r="Q79" s="13"/>
      <c r="R79" s="13"/>
      <c r="S79" s="15"/>
      <c r="T79" s="16"/>
      <c r="U79" s="16"/>
      <c r="V79" s="16"/>
      <c r="W79" s="16"/>
      <c r="X79" s="16"/>
      <c r="Y79" s="11"/>
      <c r="Z79" s="11"/>
      <c r="AA79" s="11"/>
      <c r="AB79" s="11"/>
      <c r="AC79" s="11"/>
      <c r="AD79" s="11"/>
    </row>
    <row r="80">
      <c r="A80" s="10"/>
      <c r="B80" s="10"/>
      <c r="C80" s="10"/>
      <c r="D80" s="10"/>
      <c r="E80" s="10"/>
      <c r="F80" s="11"/>
      <c r="G80" s="11"/>
      <c r="H80" s="11"/>
      <c r="I80" s="11"/>
      <c r="J80" s="11" t="str">
        <f>IFERROR(__xludf.DUMMYFUNCTION("iferror(if($B80="""", ,filter(Playoff_Stats!F:Z,Playoff_Stats!A:A=$B80,Playoff_Stats!B:B=$A80)))"),"")</f>
        <v/>
      </c>
      <c r="K80" s="11"/>
      <c r="L80" s="12"/>
      <c r="M80" s="11"/>
      <c r="N80" s="11"/>
      <c r="O80" s="13"/>
      <c r="P80" s="14"/>
      <c r="Q80" s="13"/>
      <c r="R80" s="13"/>
      <c r="S80" s="15"/>
      <c r="T80" s="16"/>
      <c r="U80" s="16"/>
      <c r="V80" s="16"/>
      <c r="W80" s="16"/>
      <c r="X80" s="16"/>
      <c r="Y80" s="11"/>
      <c r="Z80" s="11"/>
      <c r="AA80" s="11"/>
      <c r="AB80" s="11"/>
      <c r="AC80" s="11"/>
      <c r="AD80" s="11"/>
    </row>
    <row r="81">
      <c r="A81" s="10"/>
      <c r="B81" s="10"/>
      <c r="C81" s="10"/>
      <c r="D81" s="10"/>
      <c r="E81" s="10"/>
      <c r="F81" s="11"/>
      <c r="G81" s="11"/>
      <c r="H81" s="11"/>
      <c r="I81" s="11"/>
      <c r="J81" s="11" t="str">
        <f>IFERROR(__xludf.DUMMYFUNCTION("iferror(if($B81="""", ,filter(Playoff_Stats!F:Z,Playoff_Stats!A:A=$B81,Playoff_Stats!B:B=$A81)))"),"")</f>
        <v/>
      </c>
      <c r="K81" s="11"/>
      <c r="L81" s="12"/>
      <c r="M81" s="11"/>
      <c r="N81" s="11"/>
      <c r="O81" s="13"/>
      <c r="P81" s="14"/>
      <c r="Q81" s="13"/>
      <c r="R81" s="13"/>
      <c r="S81" s="15"/>
      <c r="T81" s="16"/>
      <c r="U81" s="16"/>
      <c r="V81" s="16"/>
      <c r="W81" s="16"/>
      <c r="X81" s="16"/>
      <c r="Y81" s="11"/>
      <c r="Z81" s="11"/>
      <c r="AA81" s="11"/>
      <c r="AB81" s="11"/>
      <c r="AC81" s="11"/>
      <c r="AD81" s="11"/>
    </row>
    <row r="82">
      <c r="A82" s="10"/>
      <c r="B82" s="10"/>
      <c r="C82" s="10"/>
      <c r="D82" s="10"/>
      <c r="E82" s="10"/>
      <c r="F82" s="11"/>
      <c r="G82" s="11"/>
      <c r="H82" s="11"/>
      <c r="I82" s="11"/>
      <c r="J82" s="11" t="str">
        <f>IFERROR(__xludf.DUMMYFUNCTION("iferror(if($B82="""", ,filter(Playoff_Stats!F:Z,Playoff_Stats!A:A=$B82,Playoff_Stats!B:B=$A82)))"),"")</f>
        <v/>
      </c>
      <c r="K82" s="11"/>
      <c r="L82" s="12"/>
      <c r="M82" s="11"/>
      <c r="N82" s="11"/>
      <c r="O82" s="13"/>
      <c r="P82" s="14"/>
      <c r="Q82" s="13"/>
      <c r="R82" s="13"/>
      <c r="S82" s="15"/>
      <c r="T82" s="16"/>
      <c r="U82" s="16"/>
      <c r="V82" s="16"/>
      <c r="W82" s="16"/>
      <c r="X82" s="16"/>
      <c r="Y82" s="11"/>
      <c r="Z82" s="11"/>
      <c r="AA82" s="11"/>
      <c r="AB82" s="11"/>
      <c r="AC82" s="11"/>
      <c r="AD82" s="11"/>
    </row>
    <row r="83">
      <c r="A83" s="10"/>
      <c r="B83" s="10"/>
      <c r="C83" s="10"/>
      <c r="D83" s="10"/>
      <c r="E83" s="10"/>
      <c r="F83" s="11"/>
      <c r="G83" s="11"/>
      <c r="H83" s="11"/>
      <c r="I83" s="11"/>
      <c r="J83" s="11" t="str">
        <f>IFERROR(__xludf.DUMMYFUNCTION("iferror(if($B83="""", ,filter(Playoff_Stats!F:Z,Playoff_Stats!A:A=$B83,Playoff_Stats!B:B=$A83)))"),"")</f>
        <v/>
      </c>
      <c r="K83" s="11"/>
      <c r="L83" s="12"/>
      <c r="M83" s="11"/>
      <c r="N83" s="11"/>
      <c r="O83" s="13"/>
      <c r="P83" s="14"/>
      <c r="Q83" s="13"/>
      <c r="R83" s="13"/>
      <c r="S83" s="15"/>
      <c r="T83" s="16"/>
      <c r="U83" s="16"/>
      <c r="V83" s="16"/>
      <c r="W83" s="16"/>
      <c r="X83" s="16"/>
      <c r="Y83" s="11"/>
      <c r="Z83" s="11"/>
      <c r="AA83" s="11"/>
      <c r="AB83" s="11"/>
      <c r="AC83" s="11"/>
      <c r="AD83" s="11"/>
    </row>
    <row r="84">
      <c r="A84" s="10"/>
      <c r="B84" s="10"/>
      <c r="C84" s="10"/>
      <c r="D84" s="10"/>
      <c r="E84" s="10"/>
      <c r="F84" s="11"/>
      <c r="G84" s="11"/>
      <c r="H84" s="11"/>
      <c r="I84" s="11"/>
      <c r="J84" s="11" t="str">
        <f>IFERROR(__xludf.DUMMYFUNCTION("iferror(if($B84="""", ,filter(Playoff_Stats!F:Z,Playoff_Stats!A:A=$B84,Playoff_Stats!B:B=$A84)))"),"")</f>
        <v/>
      </c>
      <c r="K84" s="11"/>
      <c r="L84" s="12"/>
      <c r="M84" s="11"/>
      <c r="N84" s="11"/>
      <c r="O84" s="13"/>
      <c r="P84" s="14"/>
      <c r="Q84" s="13"/>
      <c r="R84" s="13"/>
      <c r="S84" s="15"/>
      <c r="T84" s="16"/>
      <c r="U84" s="16"/>
      <c r="V84" s="16"/>
      <c r="W84" s="16"/>
      <c r="X84" s="16"/>
      <c r="Y84" s="11"/>
      <c r="Z84" s="11"/>
      <c r="AA84" s="11"/>
      <c r="AB84" s="11"/>
      <c r="AC84" s="11"/>
      <c r="AD84" s="11"/>
    </row>
    <row r="85">
      <c r="A85" s="10"/>
      <c r="B85" s="10"/>
      <c r="C85" s="10"/>
      <c r="D85" s="10"/>
      <c r="E85" s="10"/>
      <c r="F85" s="11"/>
      <c r="G85" s="11"/>
      <c r="H85" s="11"/>
      <c r="I85" s="11"/>
      <c r="J85" s="11" t="str">
        <f>IFERROR(__xludf.DUMMYFUNCTION("iferror(if($B85="""", ,filter(Playoff_Stats!F:Z,Playoff_Stats!A:A=$B85,Playoff_Stats!B:B=$A85)))"),"")</f>
        <v/>
      </c>
      <c r="K85" s="11"/>
      <c r="L85" s="12"/>
      <c r="M85" s="11"/>
      <c r="N85" s="11"/>
      <c r="O85" s="13"/>
      <c r="P85" s="14"/>
      <c r="Q85" s="13"/>
      <c r="R85" s="13"/>
      <c r="S85" s="15"/>
      <c r="T85" s="16"/>
      <c r="U85" s="16"/>
      <c r="V85" s="16"/>
      <c r="W85" s="16"/>
      <c r="X85" s="16"/>
      <c r="Y85" s="11"/>
      <c r="Z85" s="11"/>
      <c r="AA85" s="11"/>
      <c r="AB85" s="11"/>
      <c r="AC85" s="11"/>
      <c r="AD85" s="11"/>
    </row>
    <row r="86">
      <c r="A86" s="10"/>
      <c r="B86" s="10"/>
      <c r="C86" s="10"/>
      <c r="D86" s="10"/>
      <c r="E86" s="10"/>
      <c r="F86" s="11"/>
      <c r="G86" s="11"/>
      <c r="H86" s="11"/>
      <c r="I86" s="11"/>
      <c r="J86" s="11" t="str">
        <f>IFERROR(__xludf.DUMMYFUNCTION("iferror(if($B86="""", ,filter(Playoff_Stats!F:Z,Playoff_Stats!A:A=$B86,Playoff_Stats!B:B=$A86)))"),"")</f>
        <v/>
      </c>
      <c r="K86" s="11"/>
      <c r="L86" s="12"/>
      <c r="M86" s="11"/>
      <c r="N86" s="11"/>
      <c r="O86" s="13"/>
      <c r="P86" s="14"/>
      <c r="Q86" s="13"/>
      <c r="R86" s="13"/>
      <c r="S86" s="15"/>
      <c r="T86" s="16"/>
      <c r="U86" s="16"/>
      <c r="V86" s="16"/>
      <c r="W86" s="16"/>
      <c r="X86" s="16"/>
      <c r="Y86" s="11"/>
      <c r="Z86" s="11"/>
      <c r="AA86" s="11"/>
      <c r="AB86" s="11"/>
      <c r="AC86" s="11"/>
      <c r="AD86" s="11"/>
    </row>
    <row r="87">
      <c r="A87" s="10"/>
      <c r="B87" s="10"/>
      <c r="C87" s="10"/>
      <c r="D87" s="10"/>
      <c r="E87" s="10"/>
      <c r="F87" s="11"/>
      <c r="G87" s="11"/>
      <c r="H87" s="11"/>
      <c r="I87" s="11"/>
      <c r="J87" s="11" t="str">
        <f>IFERROR(__xludf.DUMMYFUNCTION("iferror(if($B87="""", ,filter(Playoff_Stats!F:Z,Playoff_Stats!A:A=$B87,Playoff_Stats!B:B=$A87)))"),"")</f>
        <v/>
      </c>
      <c r="K87" s="11"/>
      <c r="L87" s="12"/>
      <c r="M87" s="11"/>
      <c r="N87" s="11"/>
      <c r="O87" s="13"/>
      <c r="P87" s="14"/>
      <c r="Q87" s="13"/>
      <c r="R87" s="13"/>
      <c r="S87" s="15"/>
      <c r="T87" s="16"/>
      <c r="U87" s="16"/>
      <c r="V87" s="16"/>
      <c r="W87" s="16"/>
      <c r="X87" s="16"/>
      <c r="Y87" s="11"/>
      <c r="Z87" s="11"/>
      <c r="AA87" s="11"/>
      <c r="AB87" s="11"/>
      <c r="AC87" s="11"/>
      <c r="AD87" s="11"/>
    </row>
    <row r="88">
      <c r="A88" s="10"/>
      <c r="B88" s="10"/>
      <c r="C88" s="10"/>
      <c r="D88" s="10"/>
      <c r="E88" s="10"/>
      <c r="F88" s="11"/>
      <c r="G88" s="11"/>
      <c r="H88" s="11"/>
      <c r="I88" s="11"/>
      <c r="J88" s="11" t="str">
        <f>IFERROR(__xludf.DUMMYFUNCTION("iferror(if($B88="""", ,filter(Playoff_Stats!F:Z,Playoff_Stats!A:A=$B88,Playoff_Stats!B:B=$A88)))"),"")</f>
        <v/>
      </c>
      <c r="K88" s="11"/>
      <c r="L88" s="12"/>
      <c r="M88" s="11"/>
      <c r="N88" s="11"/>
      <c r="O88" s="13"/>
      <c r="P88" s="14"/>
      <c r="Q88" s="13"/>
      <c r="R88" s="13"/>
      <c r="S88" s="15"/>
      <c r="T88" s="16"/>
      <c r="U88" s="16"/>
      <c r="V88" s="16"/>
      <c r="W88" s="16"/>
      <c r="X88" s="16"/>
      <c r="Y88" s="11"/>
      <c r="Z88" s="11"/>
      <c r="AA88" s="11"/>
      <c r="AB88" s="11"/>
      <c r="AC88" s="11"/>
      <c r="AD88" s="11"/>
    </row>
    <row r="89">
      <c r="A89" s="10"/>
      <c r="B89" s="10"/>
      <c r="C89" s="10"/>
      <c r="D89" s="10"/>
      <c r="E89" s="10"/>
      <c r="F89" s="11"/>
      <c r="G89" s="11"/>
      <c r="H89" s="11"/>
      <c r="I89" s="11"/>
      <c r="J89" s="11" t="str">
        <f>IFERROR(__xludf.DUMMYFUNCTION("iferror(if($B89="""", ,filter(Playoff_Stats!F:Z,Playoff_Stats!A:A=$B89,Playoff_Stats!B:B=$A89)))"),"")</f>
        <v/>
      </c>
      <c r="K89" s="11"/>
      <c r="L89" s="12"/>
      <c r="M89" s="11"/>
      <c r="N89" s="11"/>
      <c r="O89" s="13"/>
      <c r="P89" s="14"/>
      <c r="Q89" s="13"/>
      <c r="R89" s="13"/>
      <c r="S89" s="15"/>
      <c r="T89" s="16"/>
      <c r="U89" s="16"/>
      <c r="V89" s="16"/>
      <c r="W89" s="16"/>
      <c r="X89" s="16"/>
      <c r="Y89" s="11"/>
      <c r="Z89" s="11"/>
      <c r="AA89" s="11"/>
      <c r="AB89" s="11"/>
      <c r="AC89" s="11"/>
      <c r="AD89" s="11"/>
    </row>
    <row r="90">
      <c r="A90" s="10"/>
      <c r="B90" s="10"/>
      <c r="C90" s="10"/>
      <c r="D90" s="10"/>
      <c r="E90" s="10"/>
      <c r="F90" s="11"/>
      <c r="G90" s="11"/>
      <c r="H90" s="11"/>
      <c r="I90" s="11"/>
      <c r="J90" s="11" t="str">
        <f>IFERROR(__xludf.DUMMYFUNCTION("iferror(if($B90="""", ,filter(Playoff_Stats!F:Z,Playoff_Stats!A:A=$B90,Playoff_Stats!B:B=$A90)))"),"")</f>
        <v/>
      </c>
      <c r="K90" s="11"/>
      <c r="L90" s="12"/>
      <c r="M90" s="11"/>
      <c r="N90" s="11"/>
      <c r="O90" s="13"/>
      <c r="P90" s="14"/>
      <c r="Q90" s="13"/>
      <c r="R90" s="13"/>
      <c r="S90" s="15"/>
      <c r="T90" s="16"/>
      <c r="U90" s="16"/>
      <c r="V90" s="16"/>
      <c r="W90" s="16"/>
      <c r="X90" s="16"/>
      <c r="Y90" s="11"/>
      <c r="Z90" s="11"/>
      <c r="AA90" s="11"/>
      <c r="AB90" s="11"/>
      <c r="AC90" s="11"/>
      <c r="AD90" s="11"/>
    </row>
    <row r="91">
      <c r="A91" s="10"/>
      <c r="B91" s="10"/>
      <c r="C91" s="10"/>
      <c r="D91" s="10"/>
      <c r="E91" s="10"/>
      <c r="F91" s="11"/>
      <c r="G91" s="11"/>
      <c r="H91" s="11"/>
      <c r="I91" s="11"/>
      <c r="J91" s="11" t="str">
        <f>IFERROR(__xludf.DUMMYFUNCTION("iferror(if($B91="""", ,filter(Playoff_Stats!F:Z,Playoff_Stats!A:A=$B91,Playoff_Stats!B:B=$A91)))"),"")</f>
        <v/>
      </c>
      <c r="K91" s="11"/>
      <c r="L91" s="12"/>
      <c r="M91" s="11"/>
      <c r="N91" s="11"/>
      <c r="O91" s="13"/>
      <c r="P91" s="14"/>
      <c r="Q91" s="13"/>
      <c r="R91" s="13"/>
      <c r="S91" s="15"/>
      <c r="T91" s="16"/>
      <c r="U91" s="16"/>
      <c r="V91" s="16"/>
      <c r="W91" s="16"/>
      <c r="X91" s="16"/>
      <c r="Y91" s="11"/>
      <c r="Z91" s="11"/>
      <c r="AA91" s="11"/>
      <c r="AB91" s="11"/>
      <c r="AC91" s="11"/>
      <c r="AD91" s="11"/>
    </row>
    <row r="92">
      <c r="A92" s="10"/>
      <c r="B92" s="10"/>
      <c r="C92" s="10"/>
      <c r="D92" s="10"/>
      <c r="E92" s="10"/>
      <c r="F92" s="11"/>
      <c r="G92" s="11"/>
      <c r="H92" s="11"/>
      <c r="I92" s="11"/>
      <c r="J92" s="11" t="str">
        <f>IFERROR(__xludf.DUMMYFUNCTION("iferror(if($B92="""", ,filter(Playoff_Stats!F:Z,Playoff_Stats!A:A=$B92,Playoff_Stats!B:B=$A92)))"),"")</f>
        <v/>
      </c>
      <c r="K92" s="11"/>
      <c r="L92" s="12"/>
      <c r="M92" s="11"/>
      <c r="N92" s="11"/>
      <c r="O92" s="13"/>
      <c r="P92" s="14"/>
      <c r="Q92" s="13"/>
      <c r="R92" s="13"/>
      <c r="S92" s="15"/>
      <c r="T92" s="16"/>
      <c r="U92" s="16"/>
      <c r="V92" s="16"/>
      <c r="W92" s="16"/>
      <c r="X92" s="16"/>
      <c r="Y92" s="11"/>
      <c r="Z92" s="11"/>
      <c r="AA92" s="11"/>
      <c r="AB92" s="11"/>
      <c r="AC92" s="11"/>
      <c r="AD92" s="11"/>
    </row>
    <row r="93">
      <c r="A93" s="10"/>
      <c r="B93" s="10"/>
      <c r="C93" s="10"/>
      <c r="D93" s="10"/>
      <c r="E93" s="10"/>
      <c r="F93" s="11"/>
      <c r="G93" s="11"/>
      <c r="H93" s="11"/>
      <c r="I93" s="11"/>
      <c r="J93" s="11" t="str">
        <f>IFERROR(__xludf.DUMMYFUNCTION("iferror(if($B93="""", ,filter(Playoff_Stats!F:Z,Playoff_Stats!A:A=$B93,Playoff_Stats!B:B=$A93)))"),"")</f>
        <v/>
      </c>
      <c r="K93" s="11"/>
      <c r="L93" s="12"/>
      <c r="M93" s="11"/>
      <c r="N93" s="11"/>
      <c r="O93" s="13"/>
      <c r="P93" s="14"/>
      <c r="Q93" s="13"/>
      <c r="R93" s="13"/>
      <c r="S93" s="15"/>
      <c r="T93" s="16"/>
      <c r="U93" s="16"/>
      <c r="V93" s="16"/>
      <c r="W93" s="16"/>
      <c r="X93" s="16"/>
      <c r="Y93" s="11"/>
      <c r="Z93" s="11"/>
      <c r="AA93" s="11"/>
      <c r="AB93" s="11"/>
      <c r="AC93" s="11"/>
      <c r="AD93" s="11"/>
    </row>
    <row r="94">
      <c r="A94" s="10"/>
      <c r="B94" s="10"/>
      <c r="C94" s="10"/>
      <c r="D94" s="10"/>
      <c r="E94" s="10"/>
      <c r="F94" s="11"/>
      <c r="G94" s="11"/>
      <c r="H94" s="11"/>
      <c r="I94" s="11"/>
      <c r="J94" s="11" t="str">
        <f>IFERROR(__xludf.DUMMYFUNCTION("iferror(if($B94="""", ,filter(Playoff_Stats!F:Z,Playoff_Stats!A:A=$B94,Playoff_Stats!B:B=$A94)))"),"")</f>
        <v/>
      </c>
      <c r="K94" s="11"/>
      <c r="L94" s="12"/>
      <c r="M94" s="11"/>
      <c r="N94" s="11"/>
      <c r="O94" s="13"/>
      <c r="P94" s="14"/>
      <c r="Q94" s="13"/>
      <c r="R94" s="13"/>
      <c r="S94" s="15"/>
      <c r="T94" s="16"/>
      <c r="U94" s="16"/>
      <c r="V94" s="16"/>
      <c r="W94" s="16"/>
      <c r="X94" s="16"/>
      <c r="Y94" s="11"/>
      <c r="Z94" s="11"/>
      <c r="AA94" s="11"/>
      <c r="AB94" s="11"/>
      <c r="AC94" s="11"/>
      <c r="AD94" s="11"/>
    </row>
    <row r="95">
      <c r="A95" s="10"/>
      <c r="B95" s="10"/>
      <c r="C95" s="10"/>
      <c r="D95" s="10"/>
      <c r="E95" s="10"/>
      <c r="F95" s="11"/>
      <c r="G95" s="11"/>
      <c r="H95" s="11"/>
      <c r="I95" s="11"/>
      <c r="J95" s="11" t="str">
        <f>IFERROR(__xludf.DUMMYFUNCTION("iferror(if($B95="""", ,filter(Playoff_Stats!F:Z,Playoff_Stats!A:A=$B95,Playoff_Stats!B:B=$A95)))"),"")</f>
        <v/>
      </c>
      <c r="K95" s="11"/>
      <c r="L95" s="12"/>
      <c r="M95" s="11"/>
      <c r="N95" s="11"/>
      <c r="O95" s="13"/>
      <c r="P95" s="14"/>
      <c r="Q95" s="13"/>
      <c r="R95" s="13"/>
      <c r="S95" s="15"/>
      <c r="T95" s="16"/>
      <c r="U95" s="16"/>
      <c r="V95" s="16"/>
      <c r="W95" s="16"/>
      <c r="X95" s="16"/>
      <c r="Y95" s="11"/>
      <c r="Z95" s="11"/>
      <c r="AA95" s="11"/>
      <c r="AB95" s="11"/>
      <c r="AC95" s="11"/>
      <c r="AD95" s="11"/>
    </row>
    <row r="96">
      <c r="A96" s="10"/>
      <c r="B96" s="10"/>
      <c r="C96" s="10"/>
      <c r="D96" s="10"/>
      <c r="E96" s="10"/>
      <c r="F96" s="11"/>
      <c r="G96" s="11"/>
      <c r="H96" s="11"/>
      <c r="I96" s="11"/>
      <c r="J96" s="11" t="str">
        <f>IFERROR(__xludf.DUMMYFUNCTION("iferror(if($B96="""", ,filter(Playoff_Stats!F:Z,Playoff_Stats!A:A=$B96,Playoff_Stats!B:B=$A96)))"),"")</f>
        <v/>
      </c>
      <c r="K96" s="11"/>
      <c r="L96" s="12"/>
      <c r="M96" s="11"/>
      <c r="N96" s="11"/>
      <c r="O96" s="13"/>
      <c r="P96" s="14"/>
      <c r="Q96" s="13"/>
      <c r="R96" s="13"/>
      <c r="S96" s="15"/>
      <c r="T96" s="16"/>
      <c r="U96" s="16"/>
      <c r="V96" s="16"/>
      <c r="W96" s="16"/>
      <c r="X96" s="16"/>
      <c r="Y96" s="11"/>
      <c r="Z96" s="11"/>
      <c r="AA96" s="11"/>
      <c r="AB96" s="11"/>
      <c r="AC96" s="11"/>
      <c r="AD96" s="11"/>
    </row>
    <row r="97">
      <c r="A97" s="10"/>
      <c r="B97" s="10"/>
      <c r="C97" s="10"/>
      <c r="D97" s="10"/>
      <c r="E97" s="10"/>
      <c r="F97" s="11"/>
      <c r="G97" s="11"/>
      <c r="H97" s="11"/>
      <c r="I97" s="11"/>
      <c r="J97" s="11" t="str">
        <f>IFERROR(__xludf.DUMMYFUNCTION("iferror(if($B97="""", ,filter(Playoff_Stats!F:Z,Playoff_Stats!A:A=$B97,Playoff_Stats!B:B=$A97)))"),"")</f>
        <v/>
      </c>
      <c r="K97" s="11"/>
      <c r="L97" s="12"/>
      <c r="M97" s="11"/>
      <c r="N97" s="11"/>
      <c r="O97" s="13"/>
      <c r="P97" s="14"/>
      <c r="Q97" s="13"/>
      <c r="R97" s="13"/>
      <c r="S97" s="15"/>
      <c r="T97" s="16"/>
      <c r="U97" s="16"/>
      <c r="V97" s="16"/>
      <c r="W97" s="16"/>
      <c r="X97" s="16"/>
      <c r="Y97" s="11"/>
      <c r="Z97" s="11"/>
      <c r="AA97" s="11"/>
      <c r="AB97" s="11"/>
      <c r="AC97" s="11"/>
      <c r="AD97" s="11"/>
    </row>
    <row r="98">
      <c r="A98" s="10"/>
      <c r="B98" s="10"/>
      <c r="C98" s="10"/>
      <c r="D98" s="10"/>
      <c r="E98" s="10"/>
      <c r="F98" s="11"/>
      <c r="G98" s="11"/>
      <c r="H98" s="11"/>
      <c r="I98" s="11"/>
      <c r="J98" s="11" t="str">
        <f>IFERROR(__xludf.DUMMYFUNCTION("iferror(if($B98="""", ,filter(Playoff_Stats!F:Z,Playoff_Stats!A:A=$B98,Playoff_Stats!B:B=$A98)))"),"")</f>
        <v/>
      </c>
      <c r="K98" s="11"/>
      <c r="L98" s="12"/>
      <c r="M98" s="11"/>
      <c r="N98" s="11"/>
      <c r="O98" s="13"/>
      <c r="P98" s="14"/>
      <c r="Q98" s="13"/>
      <c r="R98" s="13"/>
      <c r="S98" s="15"/>
      <c r="T98" s="16"/>
      <c r="U98" s="16"/>
      <c r="V98" s="16"/>
      <c r="W98" s="16"/>
      <c r="X98" s="16"/>
      <c r="Y98" s="11"/>
      <c r="Z98" s="11"/>
      <c r="AA98" s="11"/>
      <c r="AB98" s="11"/>
      <c r="AC98" s="11"/>
      <c r="AD98" s="11"/>
    </row>
    <row r="99">
      <c r="A99" s="10"/>
      <c r="B99" s="10"/>
      <c r="C99" s="10"/>
      <c r="D99" s="10"/>
      <c r="E99" s="10"/>
      <c r="F99" s="11"/>
      <c r="G99" s="11"/>
      <c r="H99" s="11"/>
      <c r="I99" s="11"/>
      <c r="J99" s="11" t="str">
        <f>IFERROR(__xludf.DUMMYFUNCTION("iferror(if($B99="""", ,filter(Playoff_Stats!F:Z,Playoff_Stats!A:A=$B99,Playoff_Stats!B:B=$A99)))"),"")</f>
        <v/>
      </c>
      <c r="K99" s="11"/>
      <c r="L99" s="12"/>
      <c r="M99" s="11"/>
      <c r="N99" s="11"/>
      <c r="O99" s="13"/>
      <c r="P99" s="14"/>
      <c r="Q99" s="13"/>
      <c r="R99" s="13"/>
      <c r="S99" s="15"/>
      <c r="T99" s="16"/>
      <c r="U99" s="16"/>
      <c r="V99" s="16"/>
      <c r="W99" s="16"/>
      <c r="X99" s="16"/>
      <c r="Y99" s="11"/>
      <c r="Z99" s="11"/>
      <c r="AA99" s="11"/>
      <c r="AB99" s="11"/>
      <c r="AC99" s="11"/>
      <c r="AD99" s="11"/>
    </row>
    <row r="100">
      <c r="A100" s="10"/>
      <c r="B100" s="10"/>
      <c r="C100" s="10"/>
      <c r="D100" s="10"/>
      <c r="E100" s="10"/>
      <c r="F100" s="11"/>
      <c r="G100" s="11"/>
      <c r="H100" s="11"/>
      <c r="I100" s="11"/>
      <c r="J100" s="11" t="str">
        <f>IFERROR(__xludf.DUMMYFUNCTION("iferror(if($B100="""", ,filter(Playoff_Stats!F:Z,Playoff_Stats!A:A=$B100,Playoff_Stats!B:B=$A100)))"),"")</f>
        <v/>
      </c>
      <c r="K100" s="11"/>
      <c r="L100" s="12"/>
      <c r="M100" s="11"/>
      <c r="N100" s="11"/>
      <c r="O100" s="13"/>
      <c r="P100" s="14"/>
      <c r="Q100" s="13"/>
      <c r="R100" s="13"/>
      <c r="S100" s="15"/>
      <c r="T100" s="16"/>
      <c r="U100" s="16"/>
      <c r="V100" s="16"/>
      <c r="W100" s="16"/>
      <c r="X100" s="16"/>
      <c r="Y100" s="11"/>
      <c r="Z100" s="11"/>
      <c r="AA100" s="11"/>
      <c r="AB100" s="11"/>
      <c r="AC100" s="11"/>
      <c r="AD100" s="11"/>
    </row>
    <row r="101">
      <c r="A101" s="10"/>
      <c r="B101" s="10"/>
      <c r="C101" s="10"/>
      <c r="D101" s="10"/>
      <c r="E101" s="10"/>
      <c r="F101" s="11"/>
      <c r="G101" s="11"/>
      <c r="H101" s="11"/>
      <c r="I101" s="11"/>
      <c r="J101" s="11" t="str">
        <f>IFERROR(__xludf.DUMMYFUNCTION("iferror(if($B101="""", ,filter(Playoff_Stats!F:Z,Playoff_Stats!A:A=$B101,Playoff_Stats!B:B=$A101)))"),"")</f>
        <v/>
      </c>
      <c r="K101" s="11"/>
      <c r="L101" s="12"/>
      <c r="M101" s="11"/>
      <c r="N101" s="11"/>
      <c r="O101" s="13"/>
      <c r="P101" s="14"/>
      <c r="Q101" s="13"/>
      <c r="R101" s="13"/>
      <c r="S101" s="15"/>
      <c r="T101" s="16"/>
      <c r="U101" s="16"/>
      <c r="V101" s="16"/>
      <c r="W101" s="16"/>
      <c r="X101" s="16"/>
      <c r="Y101" s="11"/>
      <c r="Z101" s="11"/>
      <c r="AA101" s="11"/>
      <c r="AB101" s="11"/>
      <c r="AC101" s="11"/>
      <c r="AD101" s="11"/>
    </row>
    <row r="102">
      <c r="A102" s="10"/>
      <c r="B102" s="10"/>
      <c r="C102" s="10"/>
      <c r="D102" s="10"/>
      <c r="E102" s="10"/>
      <c r="F102" s="11"/>
      <c r="G102" s="11"/>
      <c r="H102" s="11"/>
      <c r="I102" s="11"/>
      <c r="J102" s="11" t="str">
        <f>IFERROR(__xludf.DUMMYFUNCTION("iferror(if($B102="""", ,filter(Playoff_Stats!F:Z,Playoff_Stats!A:A=$B102,Playoff_Stats!B:B=$A102)))"),"")</f>
        <v/>
      </c>
      <c r="K102" s="11"/>
      <c r="L102" s="12"/>
      <c r="M102" s="11"/>
      <c r="N102" s="11"/>
      <c r="O102" s="13"/>
      <c r="P102" s="14"/>
      <c r="Q102" s="13"/>
      <c r="R102" s="13"/>
      <c r="S102" s="15"/>
      <c r="T102" s="16"/>
      <c r="U102" s="16"/>
      <c r="V102" s="16"/>
      <c r="W102" s="16"/>
      <c r="X102" s="16"/>
      <c r="Y102" s="11"/>
      <c r="Z102" s="11"/>
      <c r="AA102" s="11"/>
      <c r="AB102" s="11"/>
      <c r="AC102" s="11"/>
      <c r="AD102" s="11"/>
    </row>
    <row r="103">
      <c r="A103" s="10"/>
      <c r="B103" s="10"/>
      <c r="C103" s="10"/>
      <c r="D103" s="10"/>
      <c r="E103" s="10"/>
      <c r="F103" s="11"/>
      <c r="G103" s="11"/>
      <c r="H103" s="11"/>
      <c r="I103" s="11"/>
      <c r="J103" s="11" t="str">
        <f>IFERROR(__xludf.DUMMYFUNCTION("iferror(if($B103="""", ,filter(Playoff_Stats!F:Z,Playoff_Stats!A:A=$B103,Playoff_Stats!B:B=$A103)))"),"")</f>
        <v/>
      </c>
      <c r="K103" s="11"/>
      <c r="L103" s="12"/>
      <c r="M103" s="11"/>
      <c r="N103" s="11"/>
      <c r="O103" s="13"/>
      <c r="P103" s="14"/>
      <c r="Q103" s="13"/>
      <c r="R103" s="13"/>
      <c r="S103" s="15"/>
      <c r="T103" s="16"/>
      <c r="U103" s="16"/>
      <c r="V103" s="16"/>
      <c r="W103" s="16"/>
      <c r="X103" s="16"/>
      <c r="Y103" s="11"/>
      <c r="Z103" s="11"/>
      <c r="AA103" s="11"/>
      <c r="AB103" s="11"/>
      <c r="AC103" s="11"/>
      <c r="AD103" s="11"/>
    </row>
    <row r="104">
      <c r="A104" s="10"/>
      <c r="B104" s="10"/>
      <c r="C104" s="10"/>
      <c r="D104" s="10"/>
      <c r="E104" s="10"/>
      <c r="F104" s="11"/>
      <c r="G104" s="11"/>
      <c r="H104" s="11"/>
      <c r="I104" s="11"/>
      <c r="J104" s="11" t="str">
        <f>IFERROR(__xludf.DUMMYFUNCTION("iferror(if($B104="""", ,filter(Playoff_Stats!F:Z,Playoff_Stats!A:A=$B104,Playoff_Stats!B:B=$A104)))"),"")</f>
        <v/>
      </c>
      <c r="K104" s="11"/>
      <c r="L104" s="12"/>
      <c r="M104" s="11"/>
      <c r="N104" s="11"/>
      <c r="O104" s="13"/>
      <c r="P104" s="14"/>
      <c r="Q104" s="13"/>
      <c r="R104" s="13"/>
      <c r="S104" s="15"/>
      <c r="T104" s="16"/>
      <c r="U104" s="16"/>
      <c r="V104" s="16"/>
      <c r="W104" s="16"/>
      <c r="X104" s="16"/>
      <c r="Y104" s="11"/>
      <c r="Z104" s="11"/>
      <c r="AA104" s="11"/>
      <c r="AB104" s="11"/>
      <c r="AC104" s="11"/>
      <c r="AD104" s="11"/>
    </row>
    <row r="105">
      <c r="A105" s="10"/>
      <c r="B105" s="10"/>
      <c r="C105" s="10"/>
      <c r="D105" s="10"/>
      <c r="E105" s="10"/>
      <c r="F105" s="11"/>
      <c r="G105" s="11"/>
      <c r="H105" s="11"/>
      <c r="I105" s="11"/>
      <c r="J105" s="11" t="str">
        <f>IFERROR(__xludf.DUMMYFUNCTION("iferror(if($B105="""", ,filter(Playoff_Stats!F:Z,Playoff_Stats!A:A=$B105,Playoff_Stats!B:B=$A105)))"),"")</f>
        <v/>
      </c>
      <c r="K105" s="11"/>
      <c r="L105" s="12"/>
      <c r="M105" s="11"/>
      <c r="N105" s="11"/>
      <c r="O105" s="13"/>
      <c r="P105" s="14"/>
      <c r="Q105" s="13"/>
      <c r="R105" s="13"/>
      <c r="S105" s="15"/>
      <c r="T105" s="16"/>
      <c r="U105" s="16"/>
      <c r="V105" s="16"/>
      <c r="W105" s="16"/>
      <c r="X105" s="16"/>
      <c r="Y105" s="11"/>
      <c r="Z105" s="11"/>
      <c r="AA105" s="11"/>
      <c r="AB105" s="11"/>
      <c r="AC105" s="11"/>
      <c r="AD105" s="11"/>
    </row>
    <row r="106">
      <c r="A106" s="10"/>
      <c r="B106" s="10"/>
      <c r="C106" s="10"/>
      <c r="D106" s="10"/>
      <c r="E106" s="10"/>
      <c r="F106" s="11"/>
      <c r="G106" s="11"/>
      <c r="H106" s="11"/>
      <c r="I106" s="11"/>
      <c r="J106" s="11" t="str">
        <f>IFERROR(__xludf.DUMMYFUNCTION("iferror(if($B106="""", ,filter(Playoff_Stats!F:Z,Playoff_Stats!A:A=$B106,Playoff_Stats!B:B=$A106)))"),"")</f>
        <v/>
      </c>
      <c r="K106" s="11"/>
      <c r="L106" s="12"/>
      <c r="M106" s="11"/>
      <c r="N106" s="11"/>
      <c r="O106" s="13"/>
      <c r="P106" s="14"/>
      <c r="Q106" s="13"/>
      <c r="R106" s="13"/>
      <c r="S106" s="15"/>
      <c r="T106" s="16"/>
      <c r="U106" s="16"/>
      <c r="V106" s="16"/>
      <c r="W106" s="16"/>
      <c r="X106" s="16"/>
      <c r="Y106" s="11"/>
      <c r="Z106" s="11"/>
      <c r="AA106" s="11"/>
      <c r="AB106" s="11"/>
      <c r="AC106" s="11"/>
      <c r="AD106" s="11"/>
    </row>
    <row r="107">
      <c r="A107" s="10"/>
      <c r="B107" s="10"/>
      <c r="C107" s="10"/>
      <c r="D107" s="10"/>
      <c r="E107" s="10"/>
      <c r="F107" s="11"/>
      <c r="G107" s="11"/>
      <c r="H107" s="11"/>
      <c r="I107" s="11"/>
      <c r="J107" s="11" t="str">
        <f>IFERROR(__xludf.DUMMYFUNCTION("iferror(if($B107="""", ,filter(Playoff_Stats!F:Z,Playoff_Stats!A:A=$B107,Playoff_Stats!B:B=$A107)))"),"")</f>
        <v/>
      </c>
      <c r="K107" s="11"/>
      <c r="L107" s="12"/>
      <c r="M107" s="11"/>
      <c r="N107" s="11"/>
      <c r="O107" s="13"/>
      <c r="P107" s="14"/>
      <c r="Q107" s="13"/>
      <c r="R107" s="13"/>
      <c r="S107" s="15"/>
      <c r="T107" s="16"/>
      <c r="U107" s="16"/>
      <c r="V107" s="16"/>
      <c r="W107" s="16"/>
      <c r="X107" s="16"/>
      <c r="Y107" s="11"/>
      <c r="Z107" s="11"/>
      <c r="AA107" s="11"/>
      <c r="AB107" s="11"/>
      <c r="AC107" s="11"/>
      <c r="AD107" s="11"/>
    </row>
    <row r="108">
      <c r="A108" s="10"/>
      <c r="B108" s="10"/>
      <c r="C108" s="10"/>
      <c r="D108" s="10"/>
      <c r="E108" s="10"/>
      <c r="F108" s="11"/>
      <c r="G108" s="11"/>
      <c r="H108" s="11"/>
      <c r="I108" s="11"/>
      <c r="J108" s="11" t="str">
        <f>IFERROR(__xludf.DUMMYFUNCTION("iferror(if($B108="""", ,filter(Playoff_Stats!F:Z,Playoff_Stats!A:A=$B108,Playoff_Stats!B:B=$A108)))"),"")</f>
        <v/>
      </c>
      <c r="K108" s="11"/>
      <c r="L108" s="12"/>
      <c r="M108" s="11"/>
      <c r="N108" s="11"/>
      <c r="O108" s="13"/>
      <c r="P108" s="14"/>
      <c r="Q108" s="13"/>
      <c r="R108" s="13"/>
      <c r="S108" s="15"/>
      <c r="T108" s="16"/>
      <c r="U108" s="16"/>
      <c r="V108" s="16"/>
      <c r="W108" s="16"/>
      <c r="X108" s="16"/>
      <c r="Y108" s="11"/>
      <c r="Z108" s="11"/>
      <c r="AA108" s="11"/>
      <c r="AB108" s="11"/>
      <c r="AC108" s="11"/>
      <c r="AD108" s="11"/>
    </row>
    <row r="109">
      <c r="A109" s="10"/>
      <c r="B109" s="10"/>
      <c r="C109" s="10"/>
      <c r="D109" s="10"/>
      <c r="E109" s="10"/>
      <c r="F109" s="11"/>
      <c r="G109" s="11"/>
      <c r="H109" s="11"/>
      <c r="I109" s="11"/>
      <c r="J109" s="11" t="str">
        <f>IFERROR(__xludf.DUMMYFUNCTION("iferror(if($B109="""", ,filter(Playoff_Stats!F:Z,Playoff_Stats!A:A=$B109,Playoff_Stats!B:B=$A109)))"),"")</f>
        <v/>
      </c>
      <c r="K109" s="11"/>
      <c r="L109" s="12"/>
      <c r="M109" s="11"/>
      <c r="N109" s="11"/>
      <c r="O109" s="13"/>
      <c r="P109" s="14"/>
      <c r="Q109" s="13"/>
      <c r="R109" s="13"/>
      <c r="S109" s="15"/>
      <c r="T109" s="16"/>
      <c r="U109" s="16"/>
      <c r="V109" s="16"/>
      <c r="W109" s="16"/>
      <c r="X109" s="16"/>
      <c r="Y109" s="11"/>
      <c r="Z109" s="11"/>
      <c r="AA109" s="11"/>
      <c r="AB109" s="11"/>
      <c r="AC109" s="11"/>
      <c r="AD109" s="11"/>
    </row>
    <row r="110">
      <c r="A110" s="10"/>
      <c r="B110" s="10"/>
      <c r="C110" s="10"/>
      <c r="D110" s="10"/>
      <c r="E110" s="10"/>
      <c r="F110" s="11"/>
      <c r="G110" s="11"/>
      <c r="H110" s="11"/>
      <c r="I110" s="11"/>
      <c r="J110" s="11" t="str">
        <f>IFERROR(__xludf.DUMMYFUNCTION("iferror(if($B110="""", ,filter(Playoff_Stats!F:Z,Playoff_Stats!A:A=$B110,Playoff_Stats!B:B=$A110)))"),"")</f>
        <v/>
      </c>
      <c r="K110" s="11"/>
      <c r="L110" s="12"/>
      <c r="M110" s="11"/>
      <c r="N110" s="11"/>
      <c r="O110" s="13"/>
      <c r="P110" s="14"/>
      <c r="Q110" s="13"/>
      <c r="R110" s="13"/>
      <c r="S110" s="15"/>
      <c r="T110" s="16"/>
      <c r="U110" s="16"/>
      <c r="V110" s="16"/>
      <c r="W110" s="16"/>
      <c r="X110" s="16"/>
      <c r="Y110" s="11"/>
      <c r="Z110" s="11"/>
      <c r="AA110" s="11"/>
      <c r="AB110" s="11"/>
      <c r="AC110" s="11"/>
      <c r="AD110" s="11"/>
    </row>
    <row r="111">
      <c r="A111" s="10"/>
      <c r="B111" s="10"/>
      <c r="C111" s="10"/>
      <c r="D111" s="10"/>
      <c r="E111" s="10"/>
      <c r="F111" s="11"/>
      <c r="G111" s="11"/>
      <c r="H111" s="11"/>
      <c r="I111" s="11"/>
      <c r="J111" s="11" t="str">
        <f>IFERROR(__xludf.DUMMYFUNCTION("iferror(if($B111="""", ,filter(Playoff_Stats!F:Z,Playoff_Stats!A:A=$B111,Playoff_Stats!B:B=$A111)))"),"")</f>
        <v/>
      </c>
      <c r="K111" s="11"/>
      <c r="L111" s="12"/>
      <c r="M111" s="11"/>
      <c r="N111" s="11"/>
      <c r="O111" s="13"/>
      <c r="P111" s="14"/>
      <c r="Q111" s="13"/>
      <c r="R111" s="13"/>
      <c r="S111" s="15"/>
      <c r="T111" s="16"/>
      <c r="U111" s="16"/>
      <c r="V111" s="16"/>
      <c r="W111" s="16"/>
      <c r="X111" s="16"/>
      <c r="Y111" s="11"/>
      <c r="Z111" s="11"/>
      <c r="AA111" s="11"/>
      <c r="AB111" s="11"/>
      <c r="AC111" s="11"/>
      <c r="AD111" s="11"/>
    </row>
    <row r="112">
      <c r="A112" s="10"/>
      <c r="B112" s="10"/>
      <c r="C112" s="10"/>
      <c r="D112" s="10"/>
      <c r="E112" s="10"/>
      <c r="F112" s="11"/>
      <c r="G112" s="11"/>
      <c r="H112" s="11"/>
      <c r="I112" s="11"/>
      <c r="J112" s="11" t="str">
        <f>IFERROR(__xludf.DUMMYFUNCTION("iferror(if($B112="""", ,filter(Playoff_Stats!F:Z,Playoff_Stats!A:A=$B112,Playoff_Stats!B:B=$A112)))"),"")</f>
        <v/>
      </c>
      <c r="K112" s="11"/>
      <c r="L112" s="12"/>
      <c r="M112" s="11"/>
      <c r="N112" s="11"/>
      <c r="O112" s="13"/>
      <c r="P112" s="14"/>
      <c r="Q112" s="13"/>
      <c r="R112" s="13"/>
      <c r="S112" s="15"/>
      <c r="T112" s="16"/>
      <c r="U112" s="16"/>
      <c r="V112" s="16"/>
      <c r="W112" s="16"/>
      <c r="X112" s="16"/>
      <c r="Y112" s="11"/>
      <c r="Z112" s="11"/>
      <c r="AA112" s="11"/>
      <c r="AB112" s="11"/>
      <c r="AC112" s="11"/>
      <c r="AD112" s="11"/>
    </row>
    <row r="113">
      <c r="A113" s="10"/>
      <c r="B113" s="10"/>
      <c r="C113" s="10"/>
      <c r="D113" s="10"/>
      <c r="E113" s="10"/>
      <c r="F113" s="11"/>
      <c r="G113" s="11"/>
      <c r="H113" s="11"/>
      <c r="I113" s="11"/>
      <c r="J113" s="11" t="str">
        <f>IFERROR(__xludf.DUMMYFUNCTION("iferror(if($B113="""", ,filter(Playoff_Stats!F:Z,Playoff_Stats!A:A=$B113,Playoff_Stats!B:B=$A113)))"),"")</f>
        <v/>
      </c>
      <c r="K113" s="11"/>
      <c r="L113" s="12"/>
      <c r="M113" s="11"/>
      <c r="N113" s="11"/>
      <c r="O113" s="13"/>
      <c r="P113" s="14"/>
      <c r="Q113" s="13"/>
      <c r="R113" s="13"/>
      <c r="S113" s="15"/>
      <c r="T113" s="16"/>
      <c r="U113" s="16"/>
      <c r="V113" s="16"/>
      <c r="W113" s="16"/>
      <c r="X113" s="16"/>
      <c r="Y113" s="11"/>
      <c r="Z113" s="11"/>
      <c r="AA113" s="11"/>
      <c r="AB113" s="11"/>
      <c r="AC113" s="11"/>
      <c r="AD113" s="11"/>
    </row>
    <row r="114">
      <c r="A114" s="10"/>
      <c r="B114" s="10"/>
      <c r="C114" s="10"/>
      <c r="D114" s="10"/>
      <c r="E114" s="10"/>
      <c r="F114" s="11"/>
      <c r="G114" s="11"/>
      <c r="H114" s="11"/>
      <c r="I114" s="11"/>
      <c r="J114" s="11" t="str">
        <f>IFERROR(__xludf.DUMMYFUNCTION("iferror(if($B114="""", ,filter(Playoff_Stats!F:Z,Playoff_Stats!A:A=$B114,Playoff_Stats!B:B=$A114)))"),"")</f>
        <v/>
      </c>
      <c r="K114" s="11"/>
      <c r="L114" s="12"/>
      <c r="M114" s="11"/>
      <c r="N114" s="11"/>
      <c r="O114" s="13"/>
      <c r="P114" s="14"/>
      <c r="Q114" s="13"/>
      <c r="R114" s="13"/>
      <c r="S114" s="15"/>
      <c r="T114" s="16"/>
      <c r="U114" s="16"/>
      <c r="V114" s="16"/>
      <c r="W114" s="16"/>
      <c r="X114" s="16"/>
      <c r="Y114" s="11"/>
      <c r="Z114" s="11"/>
      <c r="AA114" s="11"/>
      <c r="AB114" s="11"/>
      <c r="AC114" s="11"/>
      <c r="AD114" s="11"/>
    </row>
    <row r="115">
      <c r="A115" s="10"/>
      <c r="B115" s="10"/>
      <c r="C115" s="10"/>
      <c r="D115" s="10"/>
      <c r="E115" s="10"/>
      <c r="F115" s="11"/>
      <c r="G115" s="11"/>
      <c r="H115" s="11"/>
      <c r="I115" s="11"/>
      <c r="J115" s="11" t="str">
        <f>IFERROR(__xludf.DUMMYFUNCTION("iferror(if($B115="""", ,filter(Playoff_Stats!F:Z,Playoff_Stats!A:A=$B115,Playoff_Stats!B:B=$A115)))"),"")</f>
        <v/>
      </c>
      <c r="K115" s="11"/>
      <c r="L115" s="12"/>
      <c r="M115" s="11"/>
      <c r="N115" s="11"/>
      <c r="O115" s="13"/>
      <c r="P115" s="14"/>
      <c r="Q115" s="13"/>
      <c r="R115" s="13"/>
      <c r="S115" s="15"/>
      <c r="T115" s="16"/>
      <c r="U115" s="16"/>
      <c r="V115" s="16"/>
      <c r="W115" s="16"/>
      <c r="X115" s="16"/>
      <c r="Y115" s="11"/>
      <c r="Z115" s="11"/>
      <c r="AA115" s="11"/>
      <c r="AB115" s="11"/>
      <c r="AC115" s="11"/>
      <c r="AD115" s="11"/>
    </row>
    <row r="116">
      <c r="A116" s="10"/>
      <c r="B116" s="10"/>
      <c r="C116" s="10"/>
      <c r="D116" s="10"/>
      <c r="E116" s="10"/>
      <c r="F116" s="11"/>
      <c r="G116" s="11"/>
      <c r="H116" s="11"/>
      <c r="I116" s="11"/>
      <c r="J116" s="11" t="str">
        <f>IFERROR(__xludf.DUMMYFUNCTION("iferror(if($B116="""", ,filter(Playoff_Stats!F:Z,Playoff_Stats!A:A=$B116,Playoff_Stats!B:B=$A116)))"),"")</f>
        <v/>
      </c>
      <c r="K116" s="11"/>
      <c r="L116" s="12"/>
      <c r="M116" s="11"/>
      <c r="N116" s="11"/>
      <c r="O116" s="13"/>
      <c r="P116" s="14"/>
      <c r="Q116" s="13"/>
      <c r="R116" s="13"/>
      <c r="S116" s="15"/>
      <c r="T116" s="16"/>
      <c r="U116" s="16"/>
      <c r="V116" s="16"/>
      <c r="W116" s="16"/>
      <c r="X116" s="16"/>
      <c r="Y116" s="11"/>
      <c r="Z116" s="11"/>
      <c r="AA116" s="11"/>
      <c r="AB116" s="11"/>
      <c r="AC116" s="11"/>
      <c r="AD116" s="11"/>
    </row>
    <row r="117">
      <c r="A117" s="10"/>
      <c r="B117" s="10"/>
      <c r="C117" s="10"/>
      <c r="D117" s="10"/>
      <c r="E117" s="10"/>
      <c r="F117" s="11"/>
      <c r="G117" s="11"/>
      <c r="H117" s="11"/>
      <c r="I117" s="11"/>
      <c r="J117" s="11" t="str">
        <f>IFERROR(__xludf.DUMMYFUNCTION("iferror(if($B117="""", ,filter(Playoff_Stats!F:Z,Playoff_Stats!A:A=$B117,Playoff_Stats!B:B=$A117)))"),"")</f>
        <v/>
      </c>
      <c r="K117" s="11"/>
      <c r="L117" s="12"/>
      <c r="M117" s="11"/>
      <c r="N117" s="11"/>
      <c r="O117" s="13"/>
      <c r="P117" s="14"/>
      <c r="Q117" s="13"/>
      <c r="R117" s="13"/>
      <c r="S117" s="15"/>
      <c r="T117" s="16"/>
      <c r="U117" s="16"/>
      <c r="V117" s="16"/>
      <c r="W117" s="16"/>
      <c r="X117" s="16"/>
      <c r="Y117" s="11"/>
      <c r="Z117" s="11"/>
      <c r="AA117" s="11"/>
      <c r="AB117" s="11"/>
      <c r="AC117" s="11"/>
      <c r="AD117" s="11"/>
    </row>
    <row r="118">
      <c r="A118" s="10"/>
      <c r="B118" s="10"/>
      <c r="C118" s="10"/>
      <c r="D118" s="10"/>
      <c r="E118" s="10"/>
      <c r="F118" s="11"/>
      <c r="G118" s="11"/>
      <c r="H118" s="11"/>
      <c r="I118" s="11"/>
      <c r="J118" s="11" t="str">
        <f>IFERROR(__xludf.DUMMYFUNCTION("iferror(if($B118="""", ,filter(Playoff_Stats!F:Z,Playoff_Stats!A:A=$B118,Playoff_Stats!B:B=$A118)))"),"")</f>
        <v/>
      </c>
      <c r="K118" s="11"/>
      <c r="L118" s="12"/>
      <c r="M118" s="11"/>
      <c r="N118" s="11"/>
      <c r="O118" s="13"/>
      <c r="P118" s="14"/>
      <c r="Q118" s="13"/>
      <c r="R118" s="13"/>
      <c r="S118" s="15"/>
      <c r="T118" s="16"/>
      <c r="U118" s="16"/>
      <c r="V118" s="16"/>
      <c r="W118" s="16"/>
      <c r="X118" s="16"/>
      <c r="Y118" s="11"/>
      <c r="Z118" s="11"/>
      <c r="AA118" s="11"/>
      <c r="AB118" s="11"/>
      <c r="AC118" s="11"/>
      <c r="AD118" s="11"/>
    </row>
    <row r="119">
      <c r="A119" s="10"/>
      <c r="B119" s="10"/>
      <c r="C119" s="10"/>
      <c r="D119" s="10"/>
      <c r="E119" s="10"/>
      <c r="F119" s="11"/>
      <c r="G119" s="11"/>
      <c r="H119" s="11"/>
      <c r="I119" s="11"/>
      <c r="J119" s="11" t="str">
        <f>IFERROR(__xludf.DUMMYFUNCTION("iferror(if($B119="""", ,filter(Playoff_Stats!F:Z,Playoff_Stats!A:A=$B119,Playoff_Stats!B:B=$A119)))"),"")</f>
        <v/>
      </c>
      <c r="K119" s="11"/>
      <c r="L119" s="12"/>
      <c r="M119" s="11"/>
      <c r="N119" s="11"/>
      <c r="O119" s="13"/>
      <c r="P119" s="14"/>
      <c r="Q119" s="13"/>
      <c r="R119" s="13"/>
      <c r="S119" s="15"/>
      <c r="T119" s="16"/>
      <c r="U119" s="16"/>
      <c r="V119" s="16"/>
      <c r="W119" s="16"/>
      <c r="X119" s="16"/>
      <c r="Y119" s="11"/>
      <c r="Z119" s="11"/>
      <c r="AA119" s="11"/>
      <c r="AB119" s="11"/>
      <c r="AC119" s="11"/>
      <c r="AD119" s="11"/>
    </row>
    <row r="120">
      <c r="A120" s="10"/>
      <c r="B120" s="10"/>
      <c r="C120" s="10"/>
      <c r="D120" s="10"/>
      <c r="E120" s="10"/>
      <c r="F120" s="11"/>
      <c r="G120" s="11"/>
      <c r="H120" s="11"/>
      <c r="I120" s="11"/>
      <c r="J120" s="11" t="str">
        <f>IFERROR(__xludf.DUMMYFUNCTION("iferror(if($B120="""", ,filter(Playoff_Stats!F:Z,Playoff_Stats!A:A=$B120,Playoff_Stats!B:B=$A120)))"),"")</f>
        <v/>
      </c>
      <c r="K120" s="11"/>
      <c r="L120" s="12"/>
      <c r="M120" s="11"/>
      <c r="N120" s="11"/>
      <c r="O120" s="13"/>
      <c r="P120" s="14"/>
      <c r="Q120" s="13"/>
      <c r="R120" s="13"/>
      <c r="S120" s="15"/>
      <c r="T120" s="16"/>
      <c r="U120" s="16"/>
      <c r="V120" s="16"/>
      <c r="W120" s="16"/>
      <c r="X120" s="16"/>
      <c r="Y120" s="11"/>
      <c r="Z120" s="11"/>
      <c r="AA120" s="11"/>
      <c r="AB120" s="11"/>
      <c r="AC120" s="11"/>
      <c r="AD120" s="11"/>
    </row>
    <row r="121">
      <c r="A121" s="10"/>
      <c r="B121" s="10"/>
      <c r="C121" s="10"/>
      <c r="D121" s="10"/>
      <c r="E121" s="10"/>
      <c r="F121" s="11"/>
      <c r="G121" s="11"/>
      <c r="H121" s="11"/>
      <c r="I121" s="11"/>
      <c r="J121" s="11" t="str">
        <f>IFERROR(__xludf.DUMMYFUNCTION("iferror(if($B121="""", ,filter(Playoff_Stats!F:Z,Playoff_Stats!A:A=$B121,Playoff_Stats!B:B=$A121)))"),"")</f>
        <v/>
      </c>
      <c r="K121" s="11"/>
      <c r="L121" s="12"/>
      <c r="M121" s="11"/>
      <c r="N121" s="11"/>
      <c r="O121" s="13"/>
      <c r="P121" s="14"/>
      <c r="Q121" s="13"/>
      <c r="R121" s="13"/>
      <c r="S121" s="15"/>
      <c r="T121" s="16"/>
      <c r="U121" s="16"/>
      <c r="V121" s="16"/>
      <c r="W121" s="16"/>
      <c r="X121" s="16"/>
      <c r="Y121" s="11"/>
      <c r="Z121" s="11"/>
      <c r="AA121" s="11"/>
      <c r="AB121" s="11"/>
      <c r="AC121" s="11"/>
      <c r="AD121" s="11"/>
    </row>
    <row r="122">
      <c r="A122" s="10"/>
      <c r="B122" s="10"/>
      <c r="C122" s="10"/>
      <c r="D122" s="10"/>
      <c r="E122" s="10"/>
      <c r="F122" s="11"/>
      <c r="G122" s="11"/>
      <c r="H122" s="11"/>
      <c r="I122" s="11"/>
      <c r="J122" s="11" t="str">
        <f>IFERROR(__xludf.DUMMYFUNCTION("iferror(if($B122="""", ,filter(Playoff_Stats!F:Z,Playoff_Stats!A:A=$B122,Playoff_Stats!B:B=$A122)))"),"")</f>
        <v/>
      </c>
      <c r="K122" s="11"/>
      <c r="L122" s="12"/>
      <c r="M122" s="11"/>
      <c r="N122" s="11"/>
      <c r="O122" s="13"/>
      <c r="P122" s="14"/>
      <c r="Q122" s="13"/>
      <c r="R122" s="13"/>
      <c r="S122" s="15"/>
      <c r="T122" s="16"/>
      <c r="U122" s="16"/>
      <c r="V122" s="16"/>
      <c r="W122" s="16"/>
      <c r="X122" s="16"/>
      <c r="Y122" s="11"/>
      <c r="Z122" s="11"/>
      <c r="AA122" s="11"/>
      <c r="AB122" s="11"/>
      <c r="AC122" s="11"/>
      <c r="AD122" s="11"/>
    </row>
    <row r="123">
      <c r="A123" s="10"/>
      <c r="B123" s="10"/>
      <c r="C123" s="10"/>
      <c r="D123" s="10"/>
      <c r="E123" s="10"/>
      <c r="F123" s="11"/>
      <c r="G123" s="11"/>
      <c r="H123" s="11"/>
      <c r="I123" s="11"/>
      <c r="J123" s="11" t="str">
        <f>IFERROR(__xludf.DUMMYFUNCTION("iferror(if($B123="""", ,filter(Playoff_Stats!F:Z,Playoff_Stats!A:A=$B123,Playoff_Stats!B:B=$A123)))"),"")</f>
        <v/>
      </c>
      <c r="K123" s="11"/>
      <c r="L123" s="12"/>
      <c r="M123" s="11"/>
      <c r="N123" s="11"/>
      <c r="O123" s="13"/>
      <c r="P123" s="14"/>
      <c r="Q123" s="13"/>
      <c r="R123" s="13"/>
      <c r="S123" s="15"/>
      <c r="T123" s="16"/>
      <c r="U123" s="16"/>
      <c r="V123" s="16"/>
      <c r="W123" s="16"/>
      <c r="X123" s="16"/>
      <c r="Y123" s="11"/>
      <c r="Z123" s="11"/>
      <c r="AA123" s="11"/>
      <c r="AB123" s="11"/>
      <c r="AC123" s="11"/>
      <c r="AD123" s="11"/>
    </row>
    <row r="124">
      <c r="A124" s="10"/>
      <c r="B124" s="10"/>
      <c r="C124" s="10"/>
      <c r="D124" s="10"/>
      <c r="E124" s="10"/>
      <c r="F124" s="11"/>
      <c r="G124" s="11"/>
      <c r="H124" s="11"/>
      <c r="I124" s="11"/>
      <c r="J124" s="11" t="str">
        <f>IFERROR(__xludf.DUMMYFUNCTION("iferror(if($B124="""", ,filter(Playoff_Stats!F:Z,Playoff_Stats!A:A=$B124,Playoff_Stats!B:B=$A124)))"),"")</f>
        <v/>
      </c>
      <c r="K124" s="11"/>
      <c r="L124" s="12"/>
      <c r="M124" s="11"/>
      <c r="N124" s="11"/>
      <c r="O124" s="13"/>
      <c r="P124" s="14"/>
      <c r="Q124" s="13"/>
      <c r="R124" s="13"/>
      <c r="S124" s="15"/>
      <c r="T124" s="16"/>
      <c r="U124" s="16"/>
      <c r="V124" s="16"/>
      <c r="W124" s="16"/>
      <c r="X124" s="16"/>
      <c r="Y124" s="11"/>
      <c r="Z124" s="11"/>
      <c r="AA124" s="11"/>
      <c r="AB124" s="11"/>
      <c r="AC124" s="11"/>
      <c r="AD124" s="11"/>
    </row>
    <row r="125">
      <c r="A125" s="10"/>
      <c r="B125" s="10"/>
      <c r="C125" s="10"/>
      <c r="D125" s="10"/>
      <c r="E125" s="10"/>
      <c r="F125" s="11"/>
      <c r="G125" s="11"/>
      <c r="H125" s="11"/>
      <c r="I125" s="11"/>
      <c r="J125" s="11" t="str">
        <f>IFERROR(__xludf.DUMMYFUNCTION("iferror(if($B125="""", ,filter(Playoff_Stats!F:Z,Playoff_Stats!A:A=$B125,Playoff_Stats!B:B=$A125)))"),"")</f>
        <v/>
      </c>
      <c r="K125" s="11"/>
      <c r="L125" s="12"/>
      <c r="M125" s="11"/>
      <c r="N125" s="11"/>
      <c r="O125" s="13"/>
      <c r="P125" s="14"/>
      <c r="Q125" s="13"/>
      <c r="R125" s="13"/>
      <c r="S125" s="15"/>
      <c r="T125" s="16"/>
      <c r="U125" s="16"/>
      <c r="V125" s="16"/>
      <c r="W125" s="16"/>
      <c r="X125" s="16"/>
      <c r="Y125" s="11"/>
      <c r="Z125" s="11"/>
      <c r="AA125" s="11"/>
      <c r="AB125" s="11"/>
      <c r="AC125" s="11"/>
      <c r="AD125" s="11"/>
    </row>
    <row r="126">
      <c r="A126" s="10"/>
      <c r="B126" s="10"/>
      <c r="C126" s="10"/>
      <c r="D126" s="10"/>
      <c r="E126" s="10"/>
      <c r="F126" s="11"/>
      <c r="G126" s="11"/>
      <c r="H126" s="11"/>
      <c r="I126" s="11"/>
      <c r="J126" s="11" t="str">
        <f>IFERROR(__xludf.DUMMYFUNCTION("iferror(if($B126="""", ,filter(Playoff_Stats!F:Z,Playoff_Stats!A:A=$B126,Playoff_Stats!B:B=$A126)))"),"")</f>
        <v/>
      </c>
      <c r="K126" s="11"/>
      <c r="L126" s="12"/>
      <c r="M126" s="11"/>
      <c r="N126" s="11"/>
      <c r="O126" s="13"/>
      <c r="P126" s="14"/>
      <c r="Q126" s="13"/>
      <c r="R126" s="13"/>
      <c r="S126" s="15"/>
      <c r="T126" s="16"/>
      <c r="U126" s="16"/>
      <c r="V126" s="16"/>
      <c r="W126" s="16"/>
      <c r="X126" s="16"/>
      <c r="Y126" s="11"/>
      <c r="Z126" s="11"/>
      <c r="AA126" s="11"/>
      <c r="AB126" s="11"/>
      <c r="AC126" s="11"/>
      <c r="AD126" s="11"/>
    </row>
    <row r="127">
      <c r="A127" s="10"/>
      <c r="B127" s="10"/>
      <c r="C127" s="10"/>
      <c r="D127" s="10"/>
      <c r="E127" s="10"/>
      <c r="F127" s="11"/>
      <c r="G127" s="11"/>
      <c r="H127" s="11"/>
      <c r="I127" s="11"/>
      <c r="J127" s="11" t="str">
        <f>IFERROR(__xludf.DUMMYFUNCTION("iferror(if($B127="""", ,filter(Playoff_Stats!F:Z,Playoff_Stats!A:A=$B127,Playoff_Stats!B:B=$A127)))"),"")</f>
        <v/>
      </c>
      <c r="K127" s="11"/>
      <c r="L127" s="12"/>
      <c r="M127" s="11"/>
      <c r="N127" s="11"/>
      <c r="O127" s="13"/>
      <c r="P127" s="14"/>
      <c r="Q127" s="13"/>
      <c r="R127" s="13"/>
      <c r="S127" s="15"/>
      <c r="T127" s="16"/>
      <c r="U127" s="16"/>
      <c r="V127" s="16"/>
      <c r="W127" s="16"/>
      <c r="X127" s="16"/>
      <c r="Y127" s="11"/>
      <c r="Z127" s="11"/>
      <c r="AA127" s="11"/>
      <c r="AB127" s="11"/>
      <c r="AC127" s="11"/>
      <c r="AD127" s="11"/>
    </row>
    <row r="128">
      <c r="A128" s="10"/>
      <c r="B128" s="10"/>
      <c r="C128" s="10"/>
      <c r="D128" s="10"/>
      <c r="E128" s="10"/>
      <c r="F128" s="11"/>
      <c r="G128" s="11"/>
      <c r="H128" s="11"/>
      <c r="I128" s="11"/>
      <c r="J128" s="11" t="str">
        <f>IFERROR(__xludf.DUMMYFUNCTION("iferror(if($B128="""", ,filter(Playoff_Stats!F:Z,Playoff_Stats!A:A=$B128,Playoff_Stats!B:B=$A128)))"),"")</f>
        <v/>
      </c>
      <c r="K128" s="11"/>
      <c r="L128" s="12"/>
      <c r="M128" s="11"/>
      <c r="N128" s="11"/>
      <c r="O128" s="13"/>
      <c r="P128" s="14"/>
      <c r="Q128" s="13"/>
      <c r="R128" s="13"/>
      <c r="S128" s="15"/>
      <c r="T128" s="16"/>
      <c r="U128" s="16"/>
      <c r="V128" s="16"/>
      <c r="W128" s="16"/>
      <c r="X128" s="16"/>
      <c r="Y128" s="11"/>
      <c r="Z128" s="11"/>
      <c r="AA128" s="11"/>
      <c r="AB128" s="11"/>
      <c r="AC128" s="11"/>
      <c r="AD128" s="11"/>
    </row>
    <row r="129">
      <c r="A129" s="10"/>
      <c r="B129" s="10"/>
      <c r="C129" s="10"/>
      <c r="D129" s="10"/>
      <c r="E129" s="10"/>
      <c r="F129" s="11"/>
      <c r="G129" s="11"/>
      <c r="H129" s="11"/>
      <c r="I129" s="11"/>
      <c r="J129" s="11" t="str">
        <f>IFERROR(__xludf.DUMMYFUNCTION("iferror(if($B129="""", ,filter(Playoff_Stats!F:Z,Playoff_Stats!A:A=$B129,Playoff_Stats!B:B=$A129)))"),"")</f>
        <v/>
      </c>
      <c r="K129" s="11"/>
      <c r="L129" s="12"/>
      <c r="M129" s="11"/>
      <c r="N129" s="11"/>
      <c r="O129" s="13"/>
      <c r="P129" s="14"/>
      <c r="Q129" s="13"/>
      <c r="R129" s="13"/>
      <c r="S129" s="15"/>
      <c r="T129" s="16"/>
      <c r="U129" s="16"/>
      <c r="V129" s="16"/>
      <c r="W129" s="16"/>
      <c r="X129" s="16"/>
      <c r="Y129" s="11"/>
      <c r="Z129" s="11"/>
      <c r="AA129" s="11"/>
      <c r="AB129" s="11"/>
      <c r="AC129" s="11"/>
      <c r="AD129" s="11"/>
    </row>
    <row r="130">
      <c r="A130" s="10"/>
      <c r="B130" s="10"/>
      <c r="C130" s="10"/>
      <c r="D130" s="10"/>
      <c r="E130" s="10"/>
      <c r="F130" s="11"/>
      <c r="G130" s="11"/>
      <c r="H130" s="11"/>
      <c r="I130" s="11"/>
      <c r="J130" s="11" t="str">
        <f>IFERROR(__xludf.DUMMYFUNCTION("iferror(if($B130="""", ,filter(Playoff_Stats!F:Z,Playoff_Stats!A:A=$B130,Playoff_Stats!B:B=$A130)))"),"")</f>
        <v/>
      </c>
      <c r="K130" s="11"/>
      <c r="L130" s="12"/>
      <c r="M130" s="11"/>
      <c r="N130" s="11"/>
      <c r="O130" s="13"/>
      <c r="P130" s="14"/>
      <c r="Q130" s="13"/>
      <c r="R130" s="13"/>
      <c r="S130" s="15"/>
      <c r="T130" s="16"/>
      <c r="U130" s="16"/>
      <c r="V130" s="16"/>
      <c r="W130" s="16"/>
      <c r="X130" s="16"/>
      <c r="Y130" s="11"/>
      <c r="Z130" s="11"/>
      <c r="AA130" s="11"/>
      <c r="AB130" s="11"/>
      <c r="AC130" s="11"/>
      <c r="AD130" s="11"/>
    </row>
    <row r="131">
      <c r="A131" s="10"/>
      <c r="B131" s="10"/>
      <c r="C131" s="10"/>
      <c r="D131" s="10"/>
      <c r="E131" s="10"/>
      <c r="F131" s="11"/>
      <c r="G131" s="11"/>
      <c r="H131" s="11"/>
      <c r="I131" s="11"/>
      <c r="J131" s="11" t="str">
        <f>IFERROR(__xludf.DUMMYFUNCTION("iferror(if($B131="""", ,filter(Playoff_Stats!F:Z,Playoff_Stats!A:A=$B131,Playoff_Stats!B:B=$A131)))"),"")</f>
        <v/>
      </c>
      <c r="K131" s="11"/>
      <c r="L131" s="12"/>
      <c r="M131" s="11"/>
      <c r="N131" s="11"/>
      <c r="O131" s="13"/>
      <c r="P131" s="14"/>
      <c r="Q131" s="13"/>
      <c r="R131" s="13"/>
      <c r="S131" s="15"/>
      <c r="T131" s="16"/>
      <c r="U131" s="16"/>
      <c r="V131" s="16"/>
      <c r="W131" s="16"/>
      <c r="X131" s="16"/>
      <c r="Y131" s="11"/>
      <c r="Z131" s="11"/>
      <c r="AA131" s="11"/>
      <c r="AB131" s="11"/>
      <c r="AC131" s="11"/>
      <c r="AD131" s="11"/>
    </row>
    <row r="132">
      <c r="A132" s="10"/>
      <c r="B132" s="10"/>
      <c r="C132" s="10"/>
      <c r="D132" s="10"/>
      <c r="E132" s="10"/>
      <c r="F132" s="11"/>
      <c r="G132" s="11"/>
      <c r="H132" s="11"/>
      <c r="I132" s="11"/>
      <c r="J132" s="11" t="str">
        <f>IFERROR(__xludf.DUMMYFUNCTION("iferror(if($B132="""", ,filter(Playoff_Stats!F:Z,Playoff_Stats!A:A=$B132,Playoff_Stats!B:B=$A132)))"),"")</f>
        <v/>
      </c>
      <c r="K132" s="11"/>
      <c r="L132" s="12"/>
      <c r="M132" s="11"/>
      <c r="N132" s="11"/>
      <c r="O132" s="13"/>
      <c r="P132" s="14"/>
      <c r="Q132" s="13"/>
      <c r="R132" s="13"/>
      <c r="S132" s="15"/>
      <c r="T132" s="16"/>
      <c r="U132" s="16"/>
      <c r="V132" s="16"/>
      <c r="W132" s="16"/>
      <c r="X132" s="16"/>
      <c r="Y132" s="11"/>
      <c r="Z132" s="11"/>
      <c r="AA132" s="11"/>
      <c r="AB132" s="11"/>
      <c r="AC132" s="11"/>
      <c r="AD132" s="11"/>
    </row>
    <row r="133">
      <c r="A133" s="10"/>
      <c r="B133" s="10"/>
      <c r="C133" s="10"/>
      <c r="D133" s="10"/>
      <c r="E133" s="10"/>
      <c r="F133" s="11"/>
      <c r="G133" s="11"/>
      <c r="H133" s="11"/>
      <c r="I133" s="11"/>
      <c r="J133" s="11" t="str">
        <f>IFERROR(__xludf.DUMMYFUNCTION("iferror(if($B133="""", ,filter(Playoff_Stats!F:Z,Playoff_Stats!A:A=$B133,Playoff_Stats!B:B=$A133)))"),"")</f>
        <v/>
      </c>
      <c r="K133" s="11"/>
      <c r="L133" s="12"/>
      <c r="M133" s="11"/>
      <c r="N133" s="11"/>
      <c r="O133" s="13"/>
      <c r="P133" s="14"/>
      <c r="Q133" s="13"/>
      <c r="R133" s="13"/>
      <c r="S133" s="15"/>
      <c r="T133" s="16"/>
      <c r="U133" s="16"/>
      <c r="V133" s="16"/>
      <c r="W133" s="16"/>
      <c r="X133" s="16"/>
      <c r="Y133" s="11"/>
      <c r="Z133" s="11"/>
      <c r="AA133" s="11"/>
      <c r="AB133" s="11"/>
      <c r="AC133" s="11"/>
      <c r="AD133" s="11"/>
    </row>
    <row r="134">
      <c r="A134" s="10"/>
      <c r="B134" s="10"/>
      <c r="C134" s="10"/>
      <c r="D134" s="10"/>
      <c r="E134" s="10"/>
      <c r="F134" s="11"/>
      <c r="G134" s="11"/>
      <c r="H134" s="11"/>
      <c r="I134" s="11"/>
      <c r="J134" s="11" t="str">
        <f>IFERROR(__xludf.DUMMYFUNCTION("iferror(if($B134="""", ,filter(Playoff_Stats!F:Z,Playoff_Stats!A:A=$B134,Playoff_Stats!B:B=$A134)))"),"")</f>
        <v/>
      </c>
      <c r="K134" s="11"/>
      <c r="L134" s="12"/>
      <c r="M134" s="11"/>
      <c r="N134" s="11"/>
      <c r="O134" s="13"/>
      <c r="P134" s="14"/>
      <c r="Q134" s="13"/>
      <c r="R134" s="13"/>
      <c r="S134" s="15"/>
      <c r="T134" s="16"/>
      <c r="U134" s="16"/>
      <c r="V134" s="16"/>
      <c r="W134" s="16"/>
      <c r="X134" s="16"/>
      <c r="Y134" s="11"/>
      <c r="Z134" s="11"/>
      <c r="AA134" s="11"/>
      <c r="AB134" s="11"/>
      <c r="AC134" s="11"/>
      <c r="AD134" s="11"/>
    </row>
    <row r="135">
      <c r="A135" s="10"/>
      <c r="B135" s="10"/>
      <c r="C135" s="10"/>
      <c r="D135" s="10"/>
      <c r="E135" s="10"/>
      <c r="F135" s="11"/>
      <c r="G135" s="11"/>
      <c r="H135" s="11"/>
      <c r="I135" s="11"/>
      <c r="J135" s="11" t="str">
        <f>IFERROR(__xludf.DUMMYFUNCTION("iferror(if($B135="""", ,filter(Playoff_Stats!F:Z,Playoff_Stats!A:A=$B135,Playoff_Stats!B:B=$A135)))"),"")</f>
        <v/>
      </c>
      <c r="K135" s="11"/>
      <c r="L135" s="12"/>
      <c r="M135" s="11"/>
      <c r="N135" s="11"/>
      <c r="O135" s="13"/>
      <c r="P135" s="14"/>
      <c r="Q135" s="13"/>
      <c r="R135" s="13"/>
      <c r="S135" s="15"/>
      <c r="T135" s="16"/>
      <c r="U135" s="16"/>
      <c r="V135" s="16"/>
      <c r="W135" s="16"/>
      <c r="X135" s="16"/>
      <c r="Y135" s="11"/>
      <c r="Z135" s="11"/>
      <c r="AA135" s="11"/>
      <c r="AB135" s="11"/>
      <c r="AC135" s="11"/>
      <c r="AD135" s="11"/>
    </row>
    <row r="136">
      <c r="A136" s="10"/>
      <c r="B136" s="10"/>
      <c r="C136" s="10"/>
      <c r="D136" s="10"/>
      <c r="E136" s="10"/>
      <c r="F136" s="11"/>
      <c r="G136" s="11"/>
      <c r="H136" s="11"/>
      <c r="I136" s="11"/>
      <c r="J136" s="11" t="str">
        <f>IFERROR(__xludf.DUMMYFUNCTION("iferror(if($B136="""", ,filter(Playoff_Stats!F:Z,Playoff_Stats!A:A=$B136,Playoff_Stats!B:B=$A136)))"),"")</f>
        <v/>
      </c>
      <c r="K136" s="11"/>
      <c r="L136" s="12"/>
      <c r="M136" s="11"/>
      <c r="N136" s="11"/>
      <c r="O136" s="13"/>
      <c r="P136" s="14"/>
      <c r="Q136" s="13"/>
      <c r="R136" s="13"/>
      <c r="S136" s="15"/>
      <c r="T136" s="16"/>
      <c r="U136" s="16"/>
      <c r="V136" s="16"/>
      <c r="W136" s="16"/>
      <c r="X136" s="16"/>
      <c r="Y136" s="11"/>
      <c r="Z136" s="11"/>
      <c r="AA136" s="11"/>
      <c r="AB136" s="11"/>
      <c r="AC136" s="11"/>
      <c r="AD136" s="11"/>
    </row>
    <row r="137">
      <c r="A137" s="10"/>
      <c r="B137" s="10"/>
      <c r="C137" s="10"/>
      <c r="D137" s="10"/>
      <c r="E137" s="10"/>
      <c r="F137" s="11"/>
      <c r="G137" s="11"/>
      <c r="H137" s="11"/>
      <c r="I137" s="11"/>
      <c r="J137" s="11" t="str">
        <f>IFERROR(__xludf.DUMMYFUNCTION("iferror(if($B137="""", ,filter(Playoff_Stats!F:Z,Playoff_Stats!A:A=$B137,Playoff_Stats!B:B=$A137)))"),"")</f>
        <v/>
      </c>
      <c r="K137" s="11"/>
      <c r="L137" s="12"/>
      <c r="M137" s="11"/>
      <c r="N137" s="11"/>
      <c r="O137" s="13"/>
      <c r="P137" s="14"/>
      <c r="Q137" s="13"/>
      <c r="R137" s="13"/>
      <c r="S137" s="15"/>
      <c r="T137" s="16"/>
      <c r="U137" s="16"/>
      <c r="V137" s="16"/>
      <c r="W137" s="16"/>
      <c r="X137" s="16"/>
      <c r="Y137" s="11"/>
      <c r="Z137" s="11"/>
      <c r="AA137" s="11"/>
      <c r="AB137" s="11"/>
      <c r="AC137" s="11"/>
      <c r="AD137" s="11"/>
    </row>
    <row r="138">
      <c r="A138" s="10"/>
      <c r="B138" s="10"/>
      <c r="C138" s="10"/>
      <c r="D138" s="10"/>
      <c r="E138" s="10"/>
      <c r="F138" s="11"/>
      <c r="G138" s="11"/>
      <c r="H138" s="11"/>
      <c r="I138" s="11"/>
      <c r="J138" s="11" t="str">
        <f>IFERROR(__xludf.DUMMYFUNCTION("iferror(if($B138="""", ,filter(Playoff_Stats!F:Z,Playoff_Stats!A:A=$B138,Playoff_Stats!B:B=$A138)))"),"")</f>
        <v/>
      </c>
      <c r="K138" s="11"/>
      <c r="L138" s="12"/>
      <c r="M138" s="11"/>
      <c r="N138" s="11"/>
      <c r="O138" s="13"/>
      <c r="P138" s="14"/>
      <c r="Q138" s="13"/>
      <c r="R138" s="13"/>
      <c r="S138" s="15"/>
      <c r="T138" s="16"/>
      <c r="U138" s="16"/>
      <c r="V138" s="16"/>
      <c r="W138" s="16"/>
      <c r="X138" s="16"/>
      <c r="Y138" s="11"/>
      <c r="Z138" s="11"/>
      <c r="AA138" s="11"/>
      <c r="AB138" s="11"/>
      <c r="AC138" s="11"/>
      <c r="AD138" s="11"/>
    </row>
    <row r="139">
      <c r="A139" s="10"/>
      <c r="B139" s="10"/>
      <c r="C139" s="10"/>
      <c r="D139" s="10"/>
      <c r="E139" s="10"/>
      <c r="F139" s="11"/>
      <c r="G139" s="11"/>
      <c r="H139" s="11"/>
      <c r="I139" s="11"/>
      <c r="J139" s="11" t="str">
        <f>IFERROR(__xludf.DUMMYFUNCTION("iferror(if($B139="""", ,filter(Playoff_Stats!F:Z,Playoff_Stats!A:A=$B139,Playoff_Stats!B:B=$A139)))"),"")</f>
        <v/>
      </c>
      <c r="K139" s="11"/>
      <c r="L139" s="12"/>
      <c r="M139" s="11"/>
      <c r="N139" s="11"/>
      <c r="O139" s="13"/>
      <c r="P139" s="14"/>
      <c r="Q139" s="13"/>
      <c r="R139" s="13"/>
      <c r="S139" s="15"/>
      <c r="T139" s="16"/>
      <c r="U139" s="16"/>
      <c r="V139" s="16"/>
      <c r="W139" s="16"/>
      <c r="X139" s="16"/>
      <c r="Y139" s="11"/>
      <c r="Z139" s="11"/>
      <c r="AA139" s="11"/>
      <c r="AB139" s="11"/>
      <c r="AC139" s="11"/>
      <c r="AD139" s="11"/>
    </row>
    <row r="140">
      <c r="A140" s="10"/>
      <c r="B140" s="10"/>
      <c r="C140" s="10"/>
      <c r="D140" s="10"/>
      <c r="E140" s="10"/>
      <c r="F140" s="11"/>
      <c r="G140" s="11"/>
      <c r="H140" s="11"/>
      <c r="I140" s="11"/>
      <c r="J140" s="11" t="str">
        <f>IFERROR(__xludf.DUMMYFUNCTION("iferror(if($B140="""", ,filter(Playoff_Stats!F:Z,Playoff_Stats!A:A=$B140,Playoff_Stats!B:B=$A140)))"),"")</f>
        <v/>
      </c>
      <c r="K140" s="11"/>
      <c r="L140" s="12"/>
      <c r="M140" s="11"/>
      <c r="N140" s="11"/>
      <c r="O140" s="13"/>
      <c r="P140" s="14"/>
      <c r="Q140" s="13"/>
      <c r="R140" s="13"/>
      <c r="S140" s="15"/>
      <c r="T140" s="16"/>
      <c r="U140" s="16"/>
      <c r="V140" s="16"/>
      <c r="W140" s="16"/>
      <c r="X140" s="16"/>
      <c r="Y140" s="11"/>
      <c r="Z140" s="11"/>
      <c r="AA140" s="11"/>
      <c r="AB140" s="11"/>
      <c r="AC140" s="11"/>
      <c r="AD140" s="11"/>
    </row>
    <row r="141">
      <c r="A141" s="10"/>
      <c r="B141" s="10"/>
      <c r="C141" s="10"/>
      <c r="D141" s="10"/>
      <c r="E141" s="10"/>
      <c r="F141" s="11"/>
      <c r="G141" s="11"/>
      <c r="H141" s="11"/>
      <c r="I141" s="11"/>
      <c r="J141" s="11" t="str">
        <f>IFERROR(__xludf.DUMMYFUNCTION("iferror(if($B141="""", ,filter(Playoff_Stats!F:Z,Playoff_Stats!A:A=$B141,Playoff_Stats!B:B=$A141)))"),"")</f>
        <v/>
      </c>
      <c r="K141" s="11"/>
      <c r="L141" s="12"/>
      <c r="M141" s="11"/>
      <c r="N141" s="11"/>
      <c r="O141" s="13"/>
      <c r="P141" s="14"/>
      <c r="Q141" s="13"/>
      <c r="R141" s="13"/>
      <c r="S141" s="15"/>
      <c r="T141" s="16"/>
      <c r="U141" s="16"/>
      <c r="V141" s="16"/>
      <c r="W141" s="16"/>
      <c r="X141" s="16"/>
      <c r="Y141" s="11"/>
      <c r="Z141" s="11"/>
      <c r="AA141" s="11"/>
      <c r="AB141" s="11"/>
      <c r="AC141" s="11"/>
      <c r="AD141" s="11"/>
    </row>
    <row r="142">
      <c r="A142" s="10"/>
      <c r="B142" s="10"/>
      <c r="C142" s="10"/>
      <c r="D142" s="10"/>
      <c r="E142" s="10"/>
      <c r="F142" s="11"/>
      <c r="G142" s="11"/>
      <c r="H142" s="11"/>
      <c r="I142" s="11"/>
      <c r="J142" s="11" t="str">
        <f>IFERROR(__xludf.DUMMYFUNCTION("iferror(if($B142="""", ,filter(Playoff_Stats!F:Z,Playoff_Stats!A:A=$B142,Playoff_Stats!B:B=$A142)))"),"")</f>
        <v/>
      </c>
      <c r="K142" s="11"/>
      <c r="L142" s="12"/>
      <c r="M142" s="11"/>
      <c r="N142" s="11"/>
      <c r="O142" s="13"/>
      <c r="P142" s="14"/>
      <c r="Q142" s="13"/>
      <c r="R142" s="13"/>
      <c r="S142" s="15"/>
      <c r="T142" s="16"/>
      <c r="U142" s="16"/>
      <c r="V142" s="16"/>
      <c r="W142" s="16"/>
      <c r="X142" s="16"/>
      <c r="Y142" s="11"/>
      <c r="Z142" s="11"/>
      <c r="AA142" s="11"/>
      <c r="AB142" s="11"/>
      <c r="AC142" s="11"/>
      <c r="AD142" s="11"/>
    </row>
    <row r="143">
      <c r="A143" s="10"/>
      <c r="B143" s="10"/>
      <c r="C143" s="10"/>
      <c r="D143" s="10"/>
      <c r="E143" s="10"/>
      <c r="F143" s="11"/>
      <c r="G143" s="11"/>
      <c r="H143" s="11"/>
      <c r="I143" s="11"/>
      <c r="J143" s="11" t="str">
        <f>IFERROR(__xludf.DUMMYFUNCTION("iferror(if($B143="""", ,filter(Playoff_Stats!F:Z,Playoff_Stats!A:A=$B143,Playoff_Stats!B:B=$A143)))"),"")</f>
        <v/>
      </c>
      <c r="K143" s="11"/>
      <c r="L143" s="12"/>
      <c r="M143" s="11"/>
      <c r="N143" s="11"/>
      <c r="O143" s="13"/>
      <c r="P143" s="14"/>
      <c r="Q143" s="13"/>
      <c r="R143" s="13"/>
      <c r="S143" s="15"/>
      <c r="T143" s="16"/>
      <c r="U143" s="16"/>
      <c r="V143" s="16"/>
      <c r="W143" s="16"/>
      <c r="X143" s="16"/>
      <c r="Y143" s="11"/>
      <c r="Z143" s="11"/>
      <c r="AA143" s="11"/>
      <c r="AB143" s="11"/>
      <c r="AC143" s="11"/>
      <c r="AD143" s="11"/>
    </row>
    <row r="144">
      <c r="A144" s="10"/>
      <c r="B144" s="10"/>
      <c r="C144" s="10"/>
      <c r="D144" s="10"/>
      <c r="E144" s="10"/>
      <c r="F144" s="11"/>
      <c r="G144" s="11"/>
      <c r="H144" s="11"/>
      <c r="I144" s="11"/>
      <c r="J144" s="11" t="str">
        <f>IFERROR(__xludf.DUMMYFUNCTION("iferror(if($B144="""", ,filter(Playoff_Stats!F:Z,Playoff_Stats!A:A=$B144,Playoff_Stats!B:B=$A144)))"),"")</f>
        <v/>
      </c>
      <c r="K144" s="11"/>
      <c r="L144" s="12"/>
      <c r="M144" s="11"/>
      <c r="N144" s="11"/>
      <c r="O144" s="13"/>
      <c r="P144" s="14"/>
      <c r="Q144" s="13"/>
      <c r="R144" s="13"/>
      <c r="S144" s="15"/>
      <c r="T144" s="16"/>
      <c r="U144" s="16"/>
      <c r="V144" s="16"/>
      <c r="W144" s="16"/>
      <c r="X144" s="16"/>
      <c r="Y144" s="11"/>
      <c r="Z144" s="11"/>
      <c r="AA144" s="11"/>
      <c r="AB144" s="11"/>
      <c r="AC144" s="11"/>
      <c r="AD144" s="11"/>
    </row>
    <row r="145">
      <c r="A145" s="10"/>
      <c r="B145" s="10"/>
      <c r="C145" s="10"/>
      <c r="D145" s="10"/>
      <c r="E145" s="10"/>
      <c r="F145" s="11"/>
      <c r="G145" s="11"/>
      <c r="H145" s="11"/>
      <c r="I145" s="11"/>
      <c r="J145" s="11" t="str">
        <f>IFERROR(__xludf.DUMMYFUNCTION("iferror(if($B145="""", ,filter(Playoff_Stats!F:Z,Playoff_Stats!A:A=$B145,Playoff_Stats!B:B=$A145)))"),"")</f>
        <v/>
      </c>
      <c r="K145" s="11"/>
      <c r="L145" s="12"/>
      <c r="M145" s="11"/>
      <c r="N145" s="11"/>
      <c r="O145" s="13"/>
      <c r="P145" s="14"/>
      <c r="Q145" s="13"/>
      <c r="R145" s="13"/>
      <c r="S145" s="15"/>
      <c r="T145" s="16"/>
      <c r="U145" s="16"/>
      <c r="V145" s="16"/>
      <c r="W145" s="16"/>
      <c r="X145" s="16"/>
      <c r="Y145" s="11"/>
      <c r="Z145" s="11"/>
      <c r="AA145" s="11"/>
      <c r="AB145" s="11"/>
      <c r="AC145" s="11"/>
      <c r="AD145" s="11"/>
    </row>
    <row r="146">
      <c r="A146" s="10"/>
      <c r="B146" s="10"/>
      <c r="C146" s="10"/>
      <c r="D146" s="10"/>
      <c r="E146" s="10"/>
      <c r="F146" s="11"/>
      <c r="G146" s="11"/>
      <c r="H146" s="11"/>
      <c r="I146" s="11"/>
      <c r="J146" s="11" t="str">
        <f>IFERROR(__xludf.DUMMYFUNCTION("iferror(if($B146="""", ,filter(Playoff_Stats!F:Z,Playoff_Stats!A:A=$B146,Playoff_Stats!B:B=$A146)))"),"")</f>
        <v/>
      </c>
      <c r="K146" s="11"/>
      <c r="L146" s="12"/>
      <c r="M146" s="11"/>
      <c r="N146" s="11"/>
      <c r="O146" s="13"/>
      <c r="P146" s="14"/>
      <c r="Q146" s="13"/>
      <c r="R146" s="13"/>
      <c r="S146" s="15"/>
      <c r="T146" s="16"/>
      <c r="U146" s="16"/>
      <c r="V146" s="16"/>
      <c r="W146" s="16"/>
      <c r="X146" s="16"/>
      <c r="Y146" s="11"/>
      <c r="Z146" s="11"/>
      <c r="AA146" s="11"/>
      <c r="AB146" s="11"/>
      <c r="AC146" s="11"/>
      <c r="AD146" s="11"/>
    </row>
    <row r="147">
      <c r="A147" s="10"/>
      <c r="B147" s="10"/>
      <c r="C147" s="10"/>
      <c r="D147" s="10"/>
      <c r="E147" s="10"/>
      <c r="F147" s="11"/>
      <c r="G147" s="11"/>
      <c r="H147" s="11"/>
      <c r="I147" s="11"/>
      <c r="J147" s="11" t="str">
        <f>IFERROR(__xludf.DUMMYFUNCTION("iferror(if($B147="""", ,filter(Playoff_Stats!F:Z,Playoff_Stats!A:A=$B147,Playoff_Stats!B:B=$A147)))"),"")</f>
        <v/>
      </c>
      <c r="K147" s="11"/>
      <c r="L147" s="12"/>
      <c r="M147" s="11"/>
      <c r="N147" s="11"/>
      <c r="O147" s="13"/>
      <c r="P147" s="14"/>
      <c r="Q147" s="13"/>
      <c r="R147" s="13"/>
      <c r="S147" s="15"/>
      <c r="T147" s="16"/>
      <c r="U147" s="16"/>
      <c r="V147" s="16"/>
      <c r="W147" s="16"/>
      <c r="X147" s="16"/>
      <c r="Y147" s="11"/>
      <c r="Z147" s="11"/>
      <c r="AA147" s="11"/>
      <c r="AB147" s="11"/>
      <c r="AC147" s="11"/>
      <c r="AD147" s="11"/>
    </row>
    <row r="148">
      <c r="A148" s="10"/>
      <c r="B148" s="10"/>
      <c r="C148" s="10"/>
      <c r="D148" s="10"/>
      <c r="E148" s="10"/>
      <c r="F148" s="11"/>
      <c r="G148" s="11"/>
      <c r="H148" s="11"/>
      <c r="I148" s="11"/>
      <c r="J148" s="11" t="str">
        <f>IFERROR(__xludf.DUMMYFUNCTION("iferror(if($B148="""", ,filter(Playoff_Stats!F:Z,Playoff_Stats!A:A=$B148,Playoff_Stats!B:B=$A148)))"),"")</f>
        <v/>
      </c>
      <c r="K148" s="11"/>
      <c r="L148" s="12"/>
      <c r="M148" s="11"/>
      <c r="N148" s="11"/>
      <c r="O148" s="13"/>
      <c r="P148" s="14"/>
      <c r="Q148" s="13"/>
      <c r="R148" s="13"/>
      <c r="S148" s="15"/>
      <c r="T148" s="16"/>
      <c r="U148" s="16"/>
      <c r="V148" s="16"/>
      <c r="W148" s="16"/>
      <c r="X148" s="16"/>
      <c r="Y148" s="11"/>
      <c r="Z148" s="11"/>
      <c r="AA148" s="11"/>
      <c r="AB148" s="11"/>
      <c r="AC148" s="11"/>
      <c r="AD148" s="11"/>
    </row>
    <row r="149">
      <c r="A149" s="10"/>
      <c r="B149" s="10"/>
      <c r="C149" s="10"/>
      <c r="D149" s="10"/>
      <c r="E149" s="10"/>
      <c r="F149" s="11"/>
      <c r="G149" s="11"/>
      <c r="H149" s="11"/>
      <c r="I149" s="11"/>
      <c r="J149" s="11" t="str">
        <f>IFERROR(__xludf.DUMMYFUNCTION("iferror(if($B149="""", ,filter(Playoff_Stats!F:Z,Playoff_Stats!A:A=$B149,Playoff_Stats!B:B=$A149)))"),"")</f>
        <v/>
      </c>
      <c r="K149" s="11"/>
      <c r="L149" s="12"/>
      <c r="M149" s="11"/>
      <c r="N149" s="11"/>
      <c r="O149" s="13"/>
      <c r="P149" s="14"/>
      <c r="Q149" s="13"/>
      <c r="R149" s="13"/>
      <c r="S149" s="15"/>
      <c r="T149" s="16"/>
      <c r="U149" s="16"/>
      <c r="V149" s="16"/>
      <c r="W149" s="16"/>
      <c r="X149" s="16"/>
      <c r="Y149" s="11"/>
      <c r="Z149" s="11"/>
      <c r="AA149" s="11"/>
      <c r="AB149" s="11"/>
      <c r="AC149" s="11"/>
      <c r="AD149" s="11"/>
    </row>
    <row r="150">
      <c r="A150" s="10"/>
      <c r="B150" s="10"/>
      <c r="C150" s="10"/>
      <c r="D150" s="10"/>
      <c r="E150" s="10"/>
      <c r="F150" s="11"/>
      <c r="G150" s="11"/>
      <c r="H150" s="11"/>
      <c r="I150" s="11"/>
      <c r="J150" s="11" t="str">
        <f>IFERROR(__xludf.DUMMYFUNCTION("iferror(if($B150="""", ,filter(Playoff_Stats!F:Z,Playoff_Stats!A:A=$B150,Playoff_Stats!B:B=$A150)))"),"")</f>
        <v/>
      </c>
      <c r="K150" s="11"/>
      <c r="L150" s="12"/>
      <c r="M150" s="11"/>
      <c r="N150" s="11"/>
      <c r="O150" s="13"/>
      <c r="P150" s="14"/>
      <c r="Q150" s="13"/>
      <c r="R150" s="13"/>
      <c r="S150" s="15"/>
      <c r="T150" s="16"/>
      <c r="U150" s="16"/>
      <c r="V150" s="16"/>
      <c r="W150" s="16"/>
      <c r="X150" s="16"/>
      <c r="Y150" s="11"/>
      <c r="Z150" s="11"/>
      <c r="AA150" s="11"/>
      <c r="AB150" s="11"/>
      <c r="AC150" s="11"/>
      <c r="AD150" s="11"/>
    </row>
    <row r="151">
      <c r="A151" s="10"/>
      <c r="B151" s="10"/>
      <c r="C151" s="10"/>
      <c r="D151" s="10"/>
      <c r="E151" s="10"/>
      <c r="F151" s="11"/>
      <c r="G151" s="11"/>
      <c r="H151" s="11"/>
      <c r="I151" s="11"/>
      <c r="J151" s="11" t="str">
        <f>IFERROR(__xludf.DUMMYFUNCTION("iferror(if($B151="""", ,filter(Playoff_Stats!F:Z,Playoff_Stats!A:A=$B151,Playoff_Stats!B:B=$A151)))"),"")</f>
        <v/>
      </c>
      <c r="K151" s="11"/>
      <c r="L151" s="12"/>
      <c r="M151" s="11"/>
      <c r="N151" s="11"/>
      <c r="O151" s="13"/>
      <c r="P151" s="14"/>
      <c r="Q151" s="13"/>
      <c r="R151" s="13"/>
      <c r="S151" s="15"/>
      <c r="T151" s="16"/>
      <c r="U151" s="16"/>
      <c r="V151" s="16"/>
      <c r="W151" s="16"/>
      <c r="X151" s="16"/>
      <c r="Y151" s="11"/>
      <c r="Z151" s="11"/>
      <c r="AA151" s="11"/>
      <c r="AB151" s="11"/>
      <c r="AC151" s="11"/>
      <c r="AD151" s="11"/>
    </row>
    <row r="152">
      <c r="A152" s="10"/>
      <c r="B152" s="10"/>
      <c r="C152" s="10"/>
      <c r="D152" s="10"/>
      <c r="E152" s="10"/>
      <c r="F152" s="11"/>
      <c r="G152" s="11"/>
      <c r="H152" s="11"/>
      <c r="I152" s="11"/>
      <c r="J152" s="11" t="str">
        <f>IFERROR(__xludf.DUMMYFUNCTION("iferror(if($B152="""", ,filter(Playoff_Stats!F:Z,Playoff_Stats!A:A=$B152,Playoff_Stats!B:B=$A152)))"),"")</f>
        <v/>
      </c>
      <c r="K152" s="11"/>
      <c r="L152" s="12"/>
      <c r="M152" s="11"/>
      <c r="N152" s="11"/>
      <c r="O152" s="13"/>
      <c r="P152" s="14"/>
      <c r="Q152" s="13"/>
      <c r="R152" s="13"/>
      <c r="S152" s="15"/>
      <c r="T152" s="16"/>
      <c r="U152" s="16"/>
      <c r="V152" s="16"/>
      <c r="W152" s="16"/>
      <c r="X152" s="16"/>
      <c r="Y152" s="11"/>
      <c r="Z152" s="11"/>
      <c r="AA152" s="11"/>
      <c r="AB152" s="11"/>
      <c r="AC152" s="11"/>
      <c r="AD152" s="11"/>
    </row>
    <row r="153">
      <c r="A153" s="10"/>
      <c r="B153" s="10"/>
      <c r="C153" s="10"/>
      <c r="D153" s="10"/>
      <c r="E153" s="10"/>
      <c r="F153" s="11"/>
      <c r="G153" s="11"/>
      <c r="H153" s="11"/>
      <c r="I153" s="11"/>
      <c r="J153" s="11" t="str">
        <f>IFERROR(__xludf.DUMMYFUNCTION("iferror(if($B153="""", ,filter(Playoff_Stats!F:Z,Playoff_Stats!A:A=$B153,Playoff_Stats!B:B=$A153)))"),"")</f>
        <v/>
      </c>
      <c r="K153" s="11"/>
      <c r="L153" s="12"/>
      <c r="M153" s="11"/>
      <c r="N153" s="11"/>
      <c r="O153" s="13"/>
      <c r="P153" s="14"/>
      <c r="Q153" s="13"/>
      <c r="R153" s="13"/>
      <c r="S153" s="15"/>
      <c r="T153" s="16"/>
      <c r="U153" s="16"/>
      <c r="V153" s="16"/>
      <c r="W153" s="16"/>
      <c r="X153" s="16"/>
      <c r="Y153" s="11"/>
      <c r="Z153" s="11"/>
      <c r="AA153" s="11"/>
      <c r="AB153" s="11"/>
      <c r="AC153" s="11"/>
      <c r="AD153" s="11"/>
    </row>
    <row r="154">
      <c r="A154" s="10"/>
      <c r="B154" s="10"/>
      <c r="C154" s="10"/>
      <c r="D154" s="10"/>
      <c r="E154" s="10"/>
      <c r="F154" s="11"/>
      <c r="G154" s="11"/>
      <c r="H154" s="11"/>
      <c r="I154" s="11"/>
      <c r="J154" s="11" t="str">
        <f>IFERROR(__xludf.DUMMYFUNCTION("iferror(if($B154="""", ,filter(Playoff_Stats!F:Z,Playoff_Stats!A:A=$B154,Playoff_Stats!B:B=$A154)))"),"")</f>
        <v/>
      </c>
      <c r="K154" s="11"/>
      <c r="L154" s="12"/>
      <c r="M154" s="11"/>
      <c r="N154" s="11"/>
      <c r="O154" s="13"/>
      <c r="P154" s="14"/>
      <c r="Q154" s="13"/>
      <c r="R154" s="13"/>
      <c r="S154" s="15"/>
      <c r="T154" s="16"/>
      <c r="U154" s="16"/>
      <c r="V154" s="16"/>
      <c r="W154" s="16"/>
      <c r="X154" s="16"/>
      <c r="Y154" s="11"/>
      <c r="Z154" s="11"/>
      <c r="AA154" s="11"/>
      <c r="AB154" s="11"/>
      <c r="AC154" s="11"/>
      <c r="AD154" s="11"/>
    </row>
    <row r="155">
      <c r="A155" s="10"/>
      <c r="B155" s="10"/>
      <c r="C155" s="10"/>
      <c r="D155" s="10"/>
      <c r="E155" s="10"/>
      <c r="F155" s="11"/>
      <c r="G155" s="11"/>
      <c r="H155" s="11"/>
      <c r="I155" s="11"/>
      <c r="J155" s="11" t="str">
        <f>IFERROR(__xludf.DUMMYFUNCTION("iferror(if($B155="""", ,filter(Playoff_Stats!F:Z,Playoff_Stats!A:A=$B155,Playoff_Stats!B:B=$A155)))"),"")</f>
        <v/>
      </c>
      <c r="K155" s="11"/>
      <c r="L155" s="12"/>
      <c r="M155" s="11"/>
      <c r="N155" s="11"/>
      <c r="O155" s="13"/>
      <c r="P155" s="14"/>
      <c r="Q155" s="13"/>
      <c r="R155" s="13"/>
      <c r="S155" s="15"/>
      <c r="T155" s="16"/>
      <c r="U155" s="16"/>
      <c r="V155" s="16"/>
      <c r="W155" s="16"/>
      <c r="X155" s="16"/>
      <c r="Y155" s="11"/>
      <c r="Z155" s="11"/>
      <c r="AA155" s="11"/>
      <c r="AB155" s="11"/>
      <c r="AC155" s="11"/>
      <c r="AD155" s="11"/>
    </row>
    <row r="156">
      <c r="A156" s="10"/>
      <c r="B156" s="10"/>
      <c r="C156" s="10"/>
      <c r="D156" s="10"/>
      <c r="E156" s="10"/>
      <c r="F156" s="11"/>
      <c r="G156" s="11"/>
      <c r="H156" s="11"/>
      <c r="I156" s="11"/>
      <c r="J156" s="11" t="str">
        <f>IFERROR(__xludf.DUMMYFUNCTION("iferror(if($B156="""", ,filter(Playoff_Stats!F:Z,Playoff_Stats!A:A=$B156,Playoff_Stats!B:B=$A156)))"),"")</f>
        <v/>
      </c>
      <c r="K156" s="11"/>
      <c r="L156" s="12"/>
      <c r="M156" s="11"/>
      <c r="N156" s="11"/>
      <c r="O156" s="13"/>
      <c r="P156" s="14"/>
      <c r="Q156" s="13"/>
      <c r="R156" s="13"/>
      <c r="S156" s="15"/>
      <c r="T156" s="16"/>
      <c r="U156" s="16"/>
      <c r="V156" s="16"/>
      <c r="W156" s="16"/>
      <c r="X156" s="16"/>
      <c r="Y156" s="11"/>
      <c r="Z156" s="11"/>
      <c r="AA156" s="11"/>
      <c r="AB156" s="11"/>
      <c r="AC156" s="11"/>
      <c r="AD156" s="11"/>
    </row>
    <row r="157">
      <c r="A157" s="10"/>
      <c r="B157" s="10"/>
      <c r="C157" s="10"/>
      <c r="D157" s="10"/>
      <c r="E157" s="10"/>
      <c r="F157" s="11"/>
      <c r="G157" s="11"/>
      <c r="H157" s="11"/>
      <c r="I157" s="11"/>
      <c r="J157" s="11" t="str">
        <f>IFERROR(__xludf.DUMMYFUNCTION("iferror(if($B157="""", ,filter(Playoff_Stats!F:Z,Playoff_Stats!A:A=$B157,Playoff_Stats!B:B=$A157)))"),"")</f>
        <v/>
      </c>
      <c r="K157" s="11"/>
      <c r="L157" s="12"/>
      <c r="M157" s="11"/>
      <c r="N157" s="11"/>
      <c r="O157" s="13"/>
      <c r="P157" s="14"/>
      <c r="Q157" s="13"/>
      <c r="R157" s="13"/>
      <c r="S157" s="15"/>
      <c r="T157" s="16"/>
      <c r="U157" s="16"/>
      <c r="V157" s="16"/>
      <c r="W157" s="16"/>
      <c r="X157" s="16"/>
      <c r="Y157" s="11"/>
      <c r="Z157" s="11"/>
      <c r="AA157" s="11"/>
      <c r="AB157" s="11"/>
      <c r="AC157" s="11"/>
      <c r="AD157" s="11"/>
    </row>
    <row r="158">
      <c r="A158" s="10"/>
      <c r="B158" s="10"/>
      <c r="C158" s="10"/>
      <c r="D158" s="10"/>
      <c r="E158" s="10"/>
      <c r="F158" s="11"/>
      <c r="G158" s="11"/>
      <c r="H158" s="11"/>
      <c r="I158" s="11"/>
      <c r="J158" s="11" t="str">
        <f>IFERROR(__xludf.DUMMYFUNCTION("iferror(if($B158="""", ,filter(Playoff_Stats!F:Z,Playoff_Stats!A:A=$B158,Playoff_Stats!B:B=$A158)))"),"")</f>
        <v/>
      </c>
      <c r="K158" s="11"/>
      <c r="L158" s="12"/>
      <c r="M158" s="11"/>
      <c r="N158" s="11"/>
      <c r="O158" s="13"/>
      <c r="P158" s="14"/>
      <c r="Q158" s="13"/>
      <c r="R158" s="13"/>
      <c r="S158" s="15"/>
      <c r="T158" s="16"/>
      <c r="U158" s="16"/>
      <c r="V158" s="16"/>
      <c r="W158" s="16"/>
      <c r="X158" s="16"/>
      <c r="Y158" s="11"/>
      <c r="Z158" s="11"/>
      <c r="AA158" s="11"/>
      <c r="AB158" s="11"/>
      <c r="AC158" s="11"/>
      <c r="AD158" s="11"/>
    </row>
    <row r="159">
      <c r="A159" s="10"/>
      <c r="B159" s="10"/>
      <c r="C159" s="10"/>
      <c r="D159" s="10"/>
      <c r="E159" s="10"/>
      <c r="F159" s="11"/>
      <c r="G159" s="11"/>
      <c r="H159" s="11"/>
      <c r="I159" s="11"/>
      <c r="J159" s="11" t="str">
        <f>IFERROR(__xludf.DUMMYFUNCTION("iferror(if($B159="""", ,filter(Playoff_Stats!F:Z,Playoff_Stats!A:A=$B159,Playoff_Stats!B:B=$A159)))"),"")</f>
        <v/>
      </c>
      <c r="K159" s="11"/>
      <c r="L159" s="12"/>
      <c r="M159" s="11"/>
      <c r="N159" s="11"/>
      <c r="O159" s="13"/>
      <c r="P159" s="14"/>
      <c r="Q159" s="13"/>
      <c r="R159" s="13"/>
      <c r="S159" s="15"/>
      <c r="T159" s="16"/>
      <c r="U159" s="16"/>
      <c r="V159" s="16"/>
      <c r="W159" s="16"/>
      <c r="X159" s="16"/>
      <c r="Y159" s="11"/>
      <c r="Z159" s="11"/>
      <c r="AA159" s="11"/>
      <c r="AB159" s="11"/>
      <c r="AC159" s="11"/>
      <c r="AD159" s="11"/>
    </row>
    <row r="160">
      <c r="A160" s="10"/>
      <c r="B160" s="10"/>
      <c r="C160" s="10"/>
      <c r="D160" s="10"/>
      <c r="E160" s="10"/>
      <c r="F160" s="11"/>
      <c r="G160" s="11"/>
      <c r="H160" s="11"/>
      <c r="I160" s="11"/>
      <c r="J160" s="11" t="str">
        <f>IFERROR(__xludf.DUMMYFUNCTION("iferror(if($B160="""", ,filter(Playoff_Stats!F:Z,Playoff_Stats!A:A=$B160,Playoff_Stats!B:B=$A160)))"),"")</f>
        <v/>
      </c>
      <c r="K160" s="11"/>
      <c r="L160" s="12"/>
      <c r="M160" s="11"/>
      <c r="N160" s="11"/>
      <c r="O160" s="13"/>
      <c r="P160" s="14"/>
      <c r="Q160" s="13"/>
      <c r="R160" s="13"/>
      <c r="S160" s="15"/>
      <c r="T160" s="16"/>
      <c r="U160" s="16"/>
      <c r="V160" s="16"/>
      <c r="W160" s="16"/>
      <c r="X160" s="16"/>
      <c r="Y160" s="11"/>
      <c r="Z160" s="11"/>
      <c r="AA160" s="11"/>
      <c r="AB160" s="11"/>
      <c r="AC160" s="11"/>
      <c r="AD160" s="11"/>
    </row>
    <row r="161">
      <c r="A161" s="10"/>
      <c r="B161" s="10"/>
      <c r="C161" s="10"/>
      <c r="D161" s="10"/>
      <c r="E161" s="10"/>
      <c r="F161" s="11"/>
      <c r="G161" s="11"/>
      <c r="H161" s="11"/>
      <c r="I161" s="11"/>
      <c r="J161" s="11" t="str">
        <f>IFERROR(__xludf.DUMMYFUNCTION("iferror(if($B161="""", ,filter(Playoff_Stats!F:Z,Playoff_Stats!A:A=$B161,Playoff_Stats!B:B=$A161)))"),"")</f>
        <v/>
      </c>
      <c r="K161" s="11"/>
      <c r="L161" s="12"/>
      <c r="M161" s="11"/>
      <c r="N161" s="11"/>
      <c r="O161" s="13"/>
      <c r="P161" s="14"/>
      <c r="Q161" s="13"/>
      <c r="R161" s="13"/>
      <c r="S161" s="15"/>
      <c r="T161" s="16"/>
      <c r="U161" s="16"/>
      <c r="V161" s="16"/>
      <c r="W161" s="16"/>
      <c r="X161" s="16"/>
      <c r="Y161" s="11"/>
      <c r="Z161" s="11"/>
      <c r="AA161" s="11"/>
      <c r="AB161" s="11"/>
      <c r="AC161" s="11"/>
      <c r="AD161" s="11"/>
    </row>
    <row r="162">
      <c r="A162" s="10"/>
      <c r="B162" s="10"/>
      <c r="C162" s="10"/>
      <c r="D162" s="10"/>
      <c r="E162" s="10"/>
      <c r="F162" s="11"/>
      <c r="G162" s="11"/>
      <c r="H162" s="11"/>
      <c r="I162" s="11"/>
      <c r="J162" s="11" t="str">
        <f>IFERROR(__xludf.DUMMYFUNCTION("iferror(if($B162="""", ,filter(Playoff_Stats!F:Z,Playoff_Stats!A:A=$B162,Playoff_Stats!B:B=$A162)))"),"")</f>
        <v/>
      </c>
      <c r="K162" s="11"/>
      <c r="L162" s="12"/>
      <c r="M162" s="11"/>
      <c r="N162" s="11"/>
      <c r="O162" s="13"/>
      <c r="P162" s="14"/>
      <c r="Q162" s="13"/>
      <c r="R162" s="13"/>
      <c r="S162" s="15"/>
      <c r="T162" s="16"/>
      <c r="U162" s="16"/>
      <c r="V162" s="16"/>
      <c r="W162" s="16"/>
      <c r="X162" s="16"/>
      <c r="Y162" s="11"/>
      <c r="Z162" s="11"/>
      <c r="AA162" s="11"/>
      <c r="AB162" s="11"/>
      <c r="AC162" s="11"/>
      <c r="AD162" s="11"/>
    </row>
    <row r="163">
      <c r="A163" s="10"/>
      <c r="B163" s="10"/>
      <c r="C163" s="10"/>
      <c r="D163" s="10"/>
      <c r="E163" s="10"/>
      <c r="F163" s="11"/>
      <c r="G163" s="11"/>
      <c r="H163" s="11"/>
      <c r="I163" s="11"/>
      <c r="J163" s="11" t="str">
        <f>IFERROR(__xludf.DUMMYFUNCTION("iferror(if($B163="""", ,filter(Playoff_Stats!F:Z,Playoff_Stats!A:A=$B163,Playoff_Stats!B:B=$A163)))"),"")</f>
        <v/>
      </c>
      <c r="K163" s="11"/>
      <c r="L163" s="12"/>
      <c r="M163" s="11"/>
      <c r="N163" s="11"/>
      <c r="O163" s="13"/>
      <c r="P163" s="14"/>
      <c r="Q163" s="13"/>
      <c r="R163" s="13"/>
      <c r="S163" s="15"/>
      <c r="T163" s="16"/>
      <c r="U163" s="16"/>
      <c r="V163" s="16"/>
      <c r="W163" s="16"/>
      <c r="X163" s="16"/>
      <c r="Y163" s="11"/>
      <c r="Z163" s="11"/>
      <c r="AA163" s="11"/>
      <c r="AB163" s="11"/>
      <c r="AC163" s="11"/>
      <c r="AD163" s="11"/>
    </row>
    <row r="164">
      <c r="A164" s="10"/>
      <c r="B164" s="10"/>
      <c r="C164" s="10"/>
      <c r="D164" s="10"/>
      <c r="E164" s="10"/>
      <c r="F164" s="11"/>
      <c r="G164" s="11"/>
      <c r="H164" s="11"/>
      <c r="I164" s="11"/>
      <c r="J164" s="11" t="str">
        <f>IFERROR(__xludf.DUMMYFUNCTION("iferror(if($B164="""", ,filter(Playoff_Stats!F:Z,Playoff_Stats!A:A=$B164,Playoff_Stats!B:B=$A164)))"),"")</f>
        <v/>
      </c>
      <c r="K164" s="11"/>
      <c r="L164" s="12"/>
      <c r="M164" s="11"/>
      <c r="N164" s="11"/>
      <c r="O164" s="13"/>
      <c r="P164" s="14"/>
      <c r="Q164" s="13"/>
      <c r="R164" s="13"/>
      <c r="S164" s="15"/>
      <c r="T164" s="16"/>
      <c r="U164" s="16"/>
      <c r="V164" s="16"/>
      <c r="W164" s="16"/>
      <c r="X164" s="16"/>
      <c r="Y164" s="11"/>
      <c r="Z164" s="11"/>
      <c r="AA164" s="11"/>
      <c r="AB164" s="11"/>
      <c r="AC164" s="11"/>
      <c r="AD164" s="11"/>
    </row>
    <row r="165">
      <c r="A165" s="10"/>
      <c r="B165" s="10"/>
      <c r="C165" s="10"/>
      <c r="D165" s="10"/>
      <c r="E165" s="10"/>
      <c r="F165" s="11"/>
      <c r="G165" s="11"/>
      <c r="H165" s="11"/>
      <c r="I165" s="11"/>
      <c r="J165" s="11" t="str">
        <f>IFERROR(__xludf.DUMMYFUNCTION("iferror(if($B165="""", ,filter(Playoff_Stats!F:Z,Playoff_Stats!A:A=$B165,Playoff_Stats!B:B=$A165)))"),"")</f>
        <v/>
      </c>
      <c r="K165" s="11"/>
      <c r="L165" s="12"/>
      <c r="M165" s="11"/>
      <c r="N165" s="11"/>
      <c r="O165" s="13"/>
      <c r="P165" s="14"/>
      <c r="Q165" s="13"/>
      <c r="R165" s="13"/>
      <c r="S165" s="15"/>
      <c r="T165" s="16"/>
      <c r="U165" s="16"/>
      <c r="V165" s="16"/>
      <c r="W165" s="16"/>
      <c r="X165" s="16"/>
      <c r="Y165" s="11"/>
      <c r="Z165" s="11"/>
      <c r="AA165" s="11"/>
      <c r="AB165" s="11"/>
      <c r="AC165" s="11"/>
      <c r="AD165" s="11"/>
    </row>
    <row r="166">
      <c r="A166" s="10"/>
      <c r="B166" s="10"/>
      <c r="C166" s="10"/>
      <c r="D166" s="10"/>
      <c r="E166" s="10"/>
      <c r="F166" s="11"/>
      <c r="G166" s="11"/>
      <c r="H166" s="11"/>
      <c r="I166" s="11"/>
      <c r="J166" s="11" t="str">
        <f>IFERROR(__xludf.DUMMYFUNCTION("iferror(if($B166="""", ,filter(Playoff_Stats!F:Z,Playoff_Stats!A:A=$B166,Playoff_Stats!B:B=$A166)))"),"")</f>
        <v/>
      </c>
      <c r="K166" s="11"/>
      <c r="L166" s="12"/>
      <c r="M166" s="11"/>
      <c r="N166" s="11"/>
      <c r="O166" s="13"/>
      <c r="P166" s="14"/>
      <c r="Q166" s="13"/>
      <c r="R166" s="13"/>
      <c r="S166" s="15"/>
      <c r="T166" s="16"/>
      <c r="U166" s="16"/>
      <c r="V166" s="16"/>
      <c r="W166" s="16"/>
      <c r="X166" s="16"/>
      <c r="Y166" s="11"/>
      <c r="Z166" s="11"/>
      <c r="AA166" s="11"/>
      <c r="AB166" s="11"/>
      <c r="AC166" s="11"/>
      <c r="AD166" s="11"/>
    </row>
    <row r="167">
      <c r="A167" s="10"/>
      <c r="B167" s="10"/>
      <c r="C167" s="10"/>
      <c r="D167" s="10"/>
      <c r="E167" s="10"/>
      <c r="F167" s="11"/>
      <c r="G167" s="11"/>
      <c r="H167" s="11"/>
      <c r="I167" s="11"/>
      <c r="J167" s="11" t="str">
        <f>IFERROR(__xludf.DUMMYFUNCTION("iferror(if($B167="""", ,filter(Playoff_Stats!F:Z,Playoff_Stats!A:A=$B167,Playoff_Stats!B:B=$A167)))"),"")</f>
        <v/>
      </c>
      <c r="K167" s="11"/>
      <c r="L167" s="12"/>
      <c r="M167" s="11"/>
      <c r="N167" s="11"/>
      <c r="O167" s="13"/>
      <c r="P167" s="14"/>
      <c r="Q167" s="13"/>
      <c r="R167" s="13"/>
      <c r="S167" s="15"/>
      <c r="T167" s="16"/>
      <c r="U167" s="16"/>
      <c r="V167" s="16"/>
      <c r="W167" s="16"/>
      <c r="X167" s="16"/>
      <c r="Y167" s="11"/>
      <c r="Z167" s="11"/>
      <c r="AA167" s="11"/>
      <c r="AB167" s="11"/>
      <c r="AC167" s="11"/>
      <c r="AD167" s="11"/>
    </row>
    <row r="168">
      <c r="A168" s="10"/>
      <c r="B168" s="10"/>
      <c r="C168" s="10"/>
      <c r="D168" s="10"/>
      <c r="E168" s="10"/>
      <c r="F168" s="11"/>
      <c r="G168" s="11"/>
      <c r="H168" s="11"/>
      <c r="I168" s="11"/>
      <c r="J168" s="11" t="str">
        <f>IFERROR(__xludf.DUMMYFUNCTION("iferror(if($B168="""", ,filter(Playoff_Stats!F:Z,Playoff_Stats!A:A=$B168,Playoff_Stats!B:B=$A168)))"),"")</f>
        <v/>
      </c>
      <c r="K168" s="11"/>
      <c r="L168" s="12"/>
      <c r="M168" s="11"/>
      <c r="N168" s="11"/>
      <c r="O168" s="13"/>
      <c r="P168" s="14"/>
      <c r="Q168" s="13"/>
      <c r="R168" s="13"/>
      <c r="S168" s="15"/>
      <c r="T168" s="16"/>
      <c r="U168" s="16"/>
      <c r="V168" s="16"/>
      <c r="W168" s="16"/>
      <c r="X168" s="16"/>
      <c r="Y168" s="11"/>
      <c r="Z168" s="11"/>
      <c r="AA168" s="11"/>
      <c r="AB168" s="11"/>
      <c r="AC168" s="11"/>
      <c r="AD168" s="11"/>
    </row>
    <row r="169">
      <c r="A169" s="10"/>
      <c r="B169" s="10"/>
      <c r="C169" s="10"/>
      <c r="D169" s="10"/>
      <c r="E169" s="10"/>
      <c r="F169" s="11"/>
      <c r="G169" s="11"/>
      <c r="H169" s="11"/>
      <c r="I169" s="11"/>
      <c r="J169" s="11" t="str">
        <f>IFERROR(__xludf.DUMMYFUNCTION("iferror(if($B169="""", ,filter(Playoff_Stats!F:Z,Playoff_Stats!A:A=$B169,Playoff_Stats!B:B=$A169)))"),"")</f>
        <v/>
      </c>
      <c r="K169" s="11"/>
      <c r="L169" s="12"/>
      <c r="M169" s="11"/>
      <c r="N169" s="11"/>
      <c r="O169" s="13"/>
      <c r="P169" s="14"/>
      <c r="Q169" s="13"/>
      <c r="R169" s="13"/>
      <c r="S169" s="15"/>
      <c r="T169" s="16"/>
      <c r="U169" s="16"/>
      <c r="V169" s="16"/>
      <c r="W169" s="16"/>
      <c r="X169" s="16"/>
      <c r="Y169" s="11"/>
      <c r="Z169" s="11"/>
      <c r="AA169" s="11"/>
      <c r="AB169" s="11"/>
      <c r="AC169" s="11"/>
      <c r="AD169" s="11"/>
    </row>
    <row r="170">
      <c r="A170" s="10"/>
      <c r="B170" s="10"/>
      <c r="C170" s="10"/>
      <c r="D170" s="10"/>
      <c r="E170" s="10"/>
      <c r="F170" s="11"/>
      <c r="G170" s="11"/>
      <c r="H170" s="11"/>
      <c r="I170" s="11"/>
      <c r="J170" s="11" t="str">
        <f>IFERROR(__xludf.DUMMYFUNCTION("iferror(if($B170="""", ,filter(Playoff_Stats!F:Z,Playoff_Stats!A:A=$B170,Playoff_Stats!B:B=$A170)))"),"")</f>
        <v/>
      </c>
      <c r="K170" s="11"/>
      <c r="L170" s="12"/>
      <c r="M170" s="11"/>
      <c r="N170" s="11"/>
      <c r="O170" s="13"/>
      <c r="P170" s="14"/>
      <c r="Q170" s="13"/>
      <c r="R170" s="13"/>
      <c r="S170" s="15"/>
      <c r="T170" s="16"/>
      <c r="U170" s="16"/>
      <c r="V170" s="16"/>
      <c r="W170" s="16"/>
      <c r="X170" s="16"/>
      <c r="Y170" s="11"/>
      <c r="Z170" s="11"/>
      <c r="AA170" s="11"/>
      <c r="AB170" s="11"/>
      <c r="AC170" s="11"/>
      <c r="AD170" s="11"/>
    </row>
    <row r="171">
      <c r="A171" s="10"/>
      <c r="B171" s="10"/>
      <c r="C171" s="10"/>
      <c r="D171" s="10"/>
      <c r="E171" s="10"/>
      <c r="F171" s="11"/>
      <c r="G171" s="11"/>
      <c r="H171" s="11"/>
      <c r="I171" s="11"/>
      <c r="J171" s="11" t="str">
        <f>IFERROR(__xludf.DUMMYFUNCTION("iferror(if($B171="""", ,filter(Playoff_Stats!F:Z,Playoff_Stats!A:A=$B171,Playoff_Stats!B:B=$A171)))"),"")</f>
        <v/>
      </c>
      <c r="K171" s="11"/>
      <c r="L171" s="12"/>
      <c r="M171" s="11"/>
      <c r="N171" s="11"/>
      <c r="O171" s="13"/>
      <c r="P171" s="14"/>
      <c r="Q171" s="13"/>
      <c r="R171" s="13"/>
      <c r="S171" s="15"/>
      <c r="T171" s="16"/>
      <c r="U171" s="16"/>
      <c r="V171" s="16"/>
      <c r="W171" s="16"/>
      <c r="X171" s="16"/>
      <c r="Y171" s="11"/>
      <c r="Z171" s="11"/>
      <c r="AA171" s="11"/>
      <c r="AB171" s="11"/>
      <c r="AC171" s="11"/>
      <c r="AD171" s="11"/>
    </row>
    <row r="172">
      <c r="A172" s="10"/>
      <c r="B172" s="10"/>
      <c r="C172" s="10"/>
      <c r="D172" s="10"/>
      <c r="E172" s="10"/>
      <c r="F172" s="11"/>
      <c r="G172" s="11"/>
      <c r="H172" s="11"/>
      <c r="I172" s="11"/>
      <c r="J172" s="11" t="str">
        <f>IFERROR(__xludf.DUMMYFUNCTION("iferror(if($B172="""", ,filter(Playoff_Stats!F:Z,Playoff_Stats!A:A=$B172,Playoff_Stats!B:B=$A172)))"),"")</f>
        <v/>
      </c>
      <c r="K172" s="11"/>
      <c r="L172" s="12"/>
      <c r="M172" s="11"/>
      <c r="N172" s="11"/>
      <c r="O172" s="13"/>
      <c r="P172" s="14"/>
      <c r="Q172" s="13"/>
      <c r="R172" s="13"/>
      <c r="S172" s="15"/>
      <c r="T172" s="16"/>
      <c r="U172" s="16"/>
      <c r="V172" s="16"/>
      <c r="W172" s="16"/>
      <c r="X172" s="16"/>
      <c r="Y172" s="11"/>
      <c r="Z172" s="11"/>
      <c r="AA172" s="11"/>
      <c r="AB172" s="11"/>
      <c r="AC172" s="11"/>
      <c r="AD172" s="11"/>
    </row>
    <row r="173">
      <c r="A173" s="10"/>
      <c r="B173" s="10"/>
      <c r="C173" s="10"/>
      <c r="D173" s="10"/>
      <c r="E173" s="10"/>
      <c r="F173" s="11"/>
      <c r="G173" s="11"/>
      <c r="H173" s="11"/>
      <c r="I173" s="11"/>
      <c r="J173" s="11" t="str">
        <f>IFERROR(__xludf.DUMMYFUNCTION("iferror(if($B173="""", ,filter(Playoff_Stats!F:Z,Playoff_Stats!A:A=$B173,Playoff_Stats!B:B=$A173)))"),"")</f>
        <v/>
      </c>
      <c r="K173" s="11"/>
      <c r="L173" s="12"/>
      <c r="M173" s="11"/>
      <c r="N173" s="11"/>
      <c r="O173" s="13"/>
      <c r="P173" s="14"/>
      <c r="Q173" s="13"/>
      <c r="R173" s="13"/>
      <c r="S173" s="15"/>
      <c r="T173" s="16"/>
      <c r="U173" s="16"/>
      <c r="V173" s="16"/>
      <c r="W173" s="16"/>
      <c r="X173" s="16"/>
      <c r="Y173" s="11"/>
      <c r="Z173" s="11"/>
      <c r="AA173" s="11"/>
      <c r="AB173" s="11"/>
      <c r="AC173" s="11"/>
      <c r="AD173" s="11"/>
    </row>
    <row r="174">
      <c r="A174" s="10"/>
      <c r="B174" s="10"/>
      <c r="C174" s="10"/>
      <c r="D174" s="10"/>
      <c r="E174" s="10"/>
      <c r="F174" s="11"/>
      <c r="G174" s="11"/>
      <c r="H174" s="11"/>
      <c r="I174" s="11"/>
      <c r="J174" s="11" t="str">
        <f>IFERROR(__xludf.DUMMYFUNCTION("iferror(if($B174="""", ,filter(Playoff_Stats!F:Z,Playoff_Stats!A:A=$B174,Playoff_Stats!B:B=$A174)))"),"")</f>
        <v/>
      </c>
      <c r="K174" s="11"/>
      <c r="L174" s="12"/>
      <c r="M174" s="11"/>
      <c r="N174" s="11"/>
      <c r="O174" s="13"/>
      <c r="P174" s="14"/>
      <c r="Q174" s="13"/>
      <c r="R174" s="13"/>
      <c r="S174" s="15"/>
      <c r="T174" s="16"/>
      <c r="U174" s="16"/>
      <c r="V174" s="16"/>
      <c r="W174" s="16"/>
      <c r="X174" s="16"/>
      <c r="Y174" s="11"/>
      <c r="Z174" s="11"/>
      <c r="AA174" s="11"/>
      <c r="AB174" s="11"/>
      <c r="AC174" s="11"/>
      <c r="AD174" s="11"/>
    </row>
    <row r="175">
      <c r="A175" s="10"/>
      <c r="B175" s="10"/>
      <c r="C175" s="10"/>
      <c r="D175" s="10"/>
      <c r="E175" s="10"/>
      <c r="F175" s="11"/>
      <c r="G175" s="11"/>
      <c r="H175" s="11"/>
      <c r="I175" s="11"/>
      <c r="J175" s="11" t="str">
        <f>IFERROR(__xludf.DUMMYFUNCTION("iferror(if($B175="""", ,filter(Playoff_Stats!F:Z,Playoff_Stats!A:A=$B175,Playoff_Stats!B:B=$A175)))"),"")</f>
        <v/>
      </c>
      <c r="K175" s="11"/>
      <c r="L175" s="12"/>
      <c r="M175" s="11"/>
      <c r="N175" s="11"/>
      <c r="O175" s="13"/>
      <c r="P175" s="14"/>
      <c r="Q175" s="13"/>
      <c r="R175" s="13"/>
      <c r="S175" s="15"/>
      <c r="T175" s="16"/>
      <c r="U175" s="16"/>
      <c r="V175" s="16"/>
      <c r="W175" s="16"/>
      <c r="X175" s="16"/>
      <c r="Y175" s="11"/>
      <c r="Z175" s="11"/>
      <c r="AA175" s="11"/>
      <c r="AB175" s="11"/>
      <c r="AC175" s="11"/>
      <c r="AD175" s="11"/>
    </row>
    <row r="176">
      <c r="A176" s="10"/>
      <c r="B176" s="10"/>
      <c r="C176" s="10"/>
      <c r="D176" s="10"/>
      <c r="E176" s="10"/>
      <c r="F176" s="11"/>
      <c r="G176" s="11"/>
      <c r="H176" s="11"/>
      <c r="I176" s="11"/>
      <c r="J176" s="11" t="str">
        <f>IFERROR(__xludf.DUMMYFUNCTION("iferror(if($B176="""", ,filter(Playoff_Stats!F:Z,Playoff_Stats!A:A=$B176,Playoff_Stats!B:B=$A176)))"),"")</f>
        <v/>
      </c>
      <c r="K176" s="11"/>
      <c r="L176" s="12"/>
      <c r="M176" s="11"/>
      <c r="N176" s="11"/>
      <c r="O176" s="13"/>
      <c r="P176" s="14"/>
      <c r="Q176" s="13"/>
      <c r="R176" s="13"/>
      <c r="S176" s="15"/>
      <c r="T176" s="16"/>
      <c r="U176" s="16"/>
      <c r="V176" s="16"/>
      <c r="W176" s="16"/>
      <c r="X176" s="16"/>
      <c r="Y176" s="11"/>
      <c r="Z176" s="11"/>
      <c r="AA176" s="11"/>
      <c r="AB176" s="11"/>
      <c r="AC176" s="11"/>
      <c r="AD176" s="11"/>
    </row>
    <row r="177">
      <c r="A177" s="10"/>
      <c r="B177" s="10"/>
      <c r="C177" s="10"/>
      <c r="D177" s="10"/>
      <c r="E177" s="10"/>
      <c r="F177" s="11"/>
      <c r="G177" s="11"/>
      <c r="H177" s="11"/>
      <c r="I177" s="11"/>
      <c r="J177" s="11" t="str">
        <f>IFERROR(__xludf.DUMMYFUNCTION("iferror(if($B177="""", ,filter(Playoff_Stats!F:Z,Playoff_Stats!A:A=$B177,Playoff_Stats!B:B=$A177)))"),"")</f>
        <v/>
      </c>
      <c r="K177" s="11"/>
      <c r="L177" s="12"/>
      <c r="M177" s="11"/>
      <c r="N177" s="11"/>
      <c r="O177" s="13"/>
      <c r="P177" s="14"/>
      <c r="Q177" s="13"/>
      <c r="R177" s="13"/>
      <c r="S177" s="15"/>
      <c r="T177" s="16"/>
      <c r="U177" s="16"/>
      <c r="V177" s="16"/>
      <c r="W177" s="16"/>
      <c r="X177" s="16"/>
      <c r="Y177" s="11"/>
      <c r="Z177" s="11"/>
      <c r="AA177" s="11"/>
      <c r="AB177" s="11"/>
      <c r="AC177" s="11"/>
      <c r="AD177" s="11"/>
    </row>
    <row r="178">
      <c r="A178" s="10"/>
      <c r="B178" s="10"/>
      <c r="C178" s="10"/>
      <c r="D178" s="10"/>
      <c r="E178" s="10"/>
      <c r="F178" s="11"/>
      <c r="G178" s="11"/>
      <c r="H178" s="11"/>
      <c r="I178" s="11"/>
      <c r="J178" s="11" t="str">
        <f>IFERROR(__xludf.DUMMYFUNCTION("iferror(if($B178="""", ,filter(Playoff_Stats!F:Z,Playoff_Stats!A:A=$B178,Playoff_Stats!B:B=$A178)))"),"")</f>
        <v/>
      </c>
      <c r="K178" s="11"/>
      <c r="L178" s="12"/>
      <c r="M178" s="11"/>
      <c r="N178" s="11"/>
      <c r="O178" s="13"/>
      <c r="P178" s="14"/>
      <c r="Q178" s="13"/>
      <c r="R178" s="13"/>
      <c r="S178" s="15"/>
      <c r="T178" s="16"/>
      <c r="U178" s="16"/>
      <c r="V178" s="16"/>
      <c r="W178" s="16"/>
      <c r="X178" s="16"/>
      <c r="Y178" s="11"/>
      <c r="Z178" s="11"/>
      <c r="AA178" s="11"/>
      <c r="AB178" s="11"/>
      <c r="AC178" s="11"/>
      <c r="AD178" s="11"/>
    </row>
    <row r="179">
      <c r="A179" s="10"/>
      <c r="B179" s="10"/>
      <c r="C179" s="10"/>
      <c r="D179" s="10"/>
      <c r="E179" s="10"/>
      <c r="F179" s="11"/>
      <c r="G179" s="11"/>
      <c r="H179" s="11"/>
      <c r="I179" s="11"/>
      <c r="J179" s="11" t="str">
        <f>IFERROR(__xludf.DUMMYFUNCTION("iferror(if($B179="""", ,filter(Playoff_Stats!F:Z,Playoff_Stats!A:A=$B179,Playoff_Stats!B:B=$A179)))"),"")</f>
        <v/>
      </c>
      <c r="K179" s="11"/>
      <c r="L179" s="12"/>
      <c r="M179" s="11"/>
      <c r="N179" s="11"/>
      <c r="O179" s="13"/>
      <c r="P179" s="14"/>
      <c r="Q179" s="13"/>
      <c r="R179" s="13"/>
      <c r="S179" s="15"/>
      <c r="T179" s="16"/>
      <c r="U179" s="16"/>
      <c r="V179" s="16"/>
      <c r="W179" s="16"/>
      <c r="X179" s="16"/>
      <c r="Y179" s="11"/>
      <c r="Z179" s="11"/>
      <c r="AA179" s="11"/>
      <c r="AB179" s="11"/>
      <c r="AC179" s="11"/>
      <c r="AD179" s="11"/>
    </row>
    <row r="180">
      <c r="A180" s="10"/>
      <c r="B180" s="10"/>
      <c r="C180" s="10"/>
      <c r="D180" s="10"/>
      <c r="E180" s="10"/>
      <c r="F180" s="11"/>
      <c r="G180" s="11"/>
      <c r="H180" s="11"/>
      <c r="I180" s="11"/>
      <c r="J180" s="11" t="str">
        <f>IFERROR(__xludf.DUMMYFUNCTION("iferror(if($B180="""", ,filter(Playoff_Stats!F:Z,Playoff_Stats!A:A=$B180,Playoff_Stats!B:B=$A180)))"),"")</f>
        <v/>
      </c>
      <c r="K180" s="11"/>
      <c r="L180" s="12"/>
      <c r="M180" s="11"/>
      <c r="N180" s="11"/>
      <c r="O180" s="13"/>
      <c r="P180" s="14"/>
      <c r="Q180" s="13"/>
      <c r="R180" s="13"/>
      <c r="S180" s="15"/>
      <c r="T180" s="16"/>
      <c r="U180" s="16"/>
      <c r="V180" s="16"/>
      <c r="W180" s="16"/>
      <c r="X180" s="16"/>
      <c r="Y180" s="11"/>
      <c r="Z180" s="11"/>
      <c r="AA180" s="11"/>
      <c r="AB180" s="11"/>
      <c r="AC180" s="11"/>
      <c r="AD180" s="11"/>
    </row>
    <row r="181">
      <c r="A181" s="10"/>
      <c r="B181" s="10"/>
      <c r="C181" s="10"/>
      <c r="D181" s="10"/>
      <c r="E181" s="10"/>
      <c r="F181" s="11"/>
      <c r="G181" s="11"/>
      <c r="H181" s="11"/>
      <c r="I181" s="11"/>
      <c r="J181" s="11" t="str">
        <f>IFERROR(__xludf.DUMMYFUNCTION("iferror(if($B181="""", ,filter(Playoff_Stats!F:Z,Playoff_Stats!A:A=$B181,Playoff_Stats!B:B=$A181)))"),"")</f>
        <v/>
      </c>
      <c r="K181" s="11"/>
      <c r="L181" s="12"/>
      <c r="M181" s="11"/>
      <c r="N181" s="11"/>
      <c r="O181" s="13"/>
      <c r="P181" s="14"/>
      <c r="Q181" s="13"/>
      <c r="R181" s="13"/>
      <c r="S181" s="15"/>
      <c r="T181" s="16"/>
      <c r="U181" s="16"/>
      <c r="V181" s="16"/>
      <c r="W181" s="16"/>
      <c r="X181" s="16"/>
      <c r="Y181" s="11"/>
      <c r="Z181" s="11"/>
      <c r="AA181" s="11"/>
      <c r="AB181" s="11"/>
      <c r="AC181" s="11"/>
      <c r="AD181" s="11"/>
    </row>
    <row r="182">
      <c r="A182" s="10"/>
      <c r="B182" s="10"/>
      <c r="C182" s="10"/>
      <c r="D182" s="10"/>
      <c r="E182" s="10"/>
      <c r="F182" s="11"/>
      <c r="G182" s="11"/>
      <c r="H182" s="11"/>
      <c r="I182" s="11"/>
      <c r="J182" s="11" t="str">
        <f>IFERROR(__xludf.DUMMYFUNCTION("iferror(if($B182="""", ,filter(Playoff_Stats!F:Z,Playoff_Stats!A:A=$B182,Playoff_Stats!B:B=$A182)))"),"")</f>
        <v/>
      </c>
      <c r="K182" s="11"/>
      <c r="L182" s="12"/>
      <c r="M182" s="11"/>
      <c r="N182" s="11"/>
      <c r="O182" s="13"/>
      <c r="P182" s="14"/>
      <c r="Q182" s="13"/>
      <c r="R182" s="13"/>
      <c r="S182" s="15"/>
      <c r="T182" s="16"/>
      <c r="U182" s="16"/>
      <c r="V182" s="16"/>
      <c r="W182" s="16"/>
      <c r="X182" s="16"/>
      <c r="Y182" s="11"/>
      <c r="Z182" s="11"/>
      <c r="AA182" s="11"/>
      <c r="AB182" s="11"/>
      <c r="AC182" s="11"/>
      <c r="AD182" s="11"/>
    </row>
    <row r="183">
      <c r="A183" s="10"/>
      <c r="B183" s="10"/>
      <c r="C183" s="10"/>
      <c r="D183" s="10"/>
      <c r="E183" s="10"/>
      <c r="F183" s="11"/>
      <c r="G183" s="11"/>
      <c r="H183" s="11"/>
      <c r="I183" s="11"/>
      <c r="J183" s="11" t="str">
        <f>IFERROR(__xludf.DUMMYFUNCTION("iferror(if($B183="""", ,filter(Playoff_Stats!F:Z,Playoff_Stats!A:A=$B183,Playoff_Stats!B:B=$A183)))"),"")</f>
        <v/>
      </c>
      <c r="K183" s="11"/>
      <c r="L183" s="12"/>
      <c r="M183" s="11"/>
      <c r="N183" s="11"/>
      <c r="O183" s="13"/>
      <c r="P183" s="14"/>
      <c r="Q183" s="13"/>
      <c r="R183" s="13"/>
      <c r="S183" s="15"/>
      <c r="T183" s="16"/>
      <c r="U183" s="16"/>
      <c r="V183" s="16"/>
      <c r="W183" s="16"/>
      <c r="X183" s="16"/>
      <c r="Y183" s="11"/>
      <c r="Z183" s="11"/>
      <c r="AA183" s="11"/>
      <c r="AB183" s="11"/>
      <c r="AC183" s="11"/>
      <c r="AD183" s="11"/>
    </row>
    <row r="184">
      <c r="A184" s="10"/>
      <c r="B184" s="10"/>
      <c r="C184" s="10"/>
      <c r="D184" s="10"/>
      <c r="E184" s="10"/>
      <c r="F184" s="11"/>
      <c r="G184" s="11"/>
      <c r="H184" s="11"/>
      <c r="I184" s="11"/>
      <c r="J184" s="11" t="str">
        <f>IFERROR(__xludf.DUMMYFUNCTION("iferror(if($B184="""", ,filter(Playoff_Stats!F:Z,Playoff_Stats!A:A=$B184,Playoff_Stats!B:B=$A184)))"),"")</f>
        <v/>
      </c>
      <c r="K184" s="11"/>
      <c r="L184" s="12"/>
      <c r="M184" s="11"/>
      <c r="N184" s="11"/>
      <c r="O184" s="13"/>
      <c r="P184" s="14"/>
      <c r="Q184" s="13"/>
      <c r="R184" s="13"/>
      <c r="S184" s="15"/>
      <c r="T184" s="16"/>
      <c r="U184" s="16"/>
      <c r="V184" s="16"/>
      <c r="W184" s="16"/>
      <c r="X184" s="16"/>
      <c r="Y184" s="11"/>
      <c r="Z184" s="11"/>
      <c r="AA184" s="11"/>
      <c r="AB184" s="11"/>
      <c r="AC184" s="11"/>
      <c r="AD184" s="11"/>
    </row>
    <row r="185">
      <c r="A185" s="10"/>
      <c r="B185" s="10"/>
      <c r="C185" s="10"/>
      <c r="D185" s="10"/>
      <c r="E185" s="10"/>
      <c r="F185" s="11"/>
      <c r="G185" s="11"/>
      <c r="H185" s="11"/>
      <c r="I185" s="11"/>
      <c r="J185" s="11" t="str">
        <f>IFERROR(__xludf.DUMMYFUNCTION("iferror(if($B185="""", ,filter(Playoff_Stats!F:Z,Playoff_Stats!A:A=$B185,Playoff_Stats!B:B=$A185)))"),"")</f>
        <v/>
      </c>
      <c r="K185" s="11"/>
      <c r="L185" s="12"/>
      <c r="M185" s="11"/>
      <c r="N185" s="11"/>
      <c r="O185" s="13"/>
      <c r="P185" s="14"/>
      <c r="Q185" s="13"/>
      <c r="R185" s="13"/>
      <c r="S185" s="15"/>
      <c r="T185" s="16"/>
      <c r="U185" s="16"/>
      <c r="V185" s="16"/>
      <c r="W185" s="16"/>
      <c r="X185" s="16"/>
      <c r="Y185" s="11"/>
      <c r="Z185" s="11"/>
      <c r="AA185" s="11"/>
      <c r="AB185" s="11"/>
      <c r="AC185" s="11"/>
      <c r="AD185" s="11"/>
    </row>
    <row r="186">
      <c r="A186" s="10"/>
      <c r="B186" s="10"/>
      <c r="C186" s="10"/>
      <c r="D186" s="10"/>
      <c r="E186" s="10"/>
      <c r="F186" s="11"/>
      <c r="G186" s="11"/>
      <c r="H186" s="11"/>
      <c r="I186" s="11"/>
      <c r="J186" s="11" t="str">
        <f>IFERROR(__xludf.DUMMYFUNCTION("iferror(if($B186="""", ,filter(Playoff_Stats!F:Z,Playoff_Stats!A:A=$B186,Playoff_Stats!B:B=$A186)))"),"")</f>
        <v/>
      </c>
      <c r="K186" s="11"/>
      <c r="L186" s="12"/>
      <c r="M186" s="11"/>
      <c r="N186" s="11"/>
      <c r="O186" s="13"/>
      <c r="P186" s="14"/>
      <c r="Q186" s="13"/>
      <c r="R186" s="13"/>
      <c r="S186" s="15"/>
      <c r="T186" s="16"/>
      <c r="U186" s="16"/>
      <c r="V186" s="16"/>
      <c r="W186" s="16"/>
      <c r="X186" s="16"/>
      <c r="Y186" s="11"/>
      <c r="Z186" s="11"/>
      <c r="AA186" s="11"/>
      <c r="AB186" s="11"/>
      <c r="AC186" s="11"/>
      <c r="AD186" s="11"/>
    </row>
    <row r="187">
      <c r="A187" s="10"/>
      <c r="B187" s="10"/>
      <c r="C187" s="10"/>
      <c r="D187" s="10"/>
      <c r="E187" s="10"/>
      <c r="F187" s="11"/>
      <c r="G187" s="11"/>
      <c r="H187" s="11"/>
      <c r="I187" s="11"/>
      <c r="J187" s="11" t="str">
        <f>IFERROR(__xludf.DUMMYFUNCTION("iferror(if($B187="""", ,filter(Playoff_Stats!F:Z,Playoff_Stats!A:A=$B187,Playoff_Stats!B:B=$A187)))"),"")</f>
        <v/>
      </c>
      <c r="K187" s="11"/>
      <c r="L187" s="12"/>
      <c r="M187" s="11"/>
      <c r="N187" s="11"/>
      <c r="O187" s="13"/>
      <c r="P187" s="14"/>
      <c r="Q187" s="13"/>
      <c r="R187" s="13"/>
      <c r="S187" s="15"/>
      <c r="T187" s="16"/>
      <c r="U187" s="16"/>
      <c r="V187" s="16"/>
      <c r="W187" s="16"/>
      <c r="X187" s="16"/>
      <c r="Y187" s="11"/>
      <c r="Z187" s="11"/>
      <c r="AA187" s="11"/>
      <c r="AB187" s="11"/>
      <c r="AC187" s="11"/>
      <c r="AD187" s="11"/>
    </row>
    <row r="188">
      <c r="A188" s="10"/>
      <c r="B188" s="10"/>
      <c r="C188" s="10"/>
      <c r="D188" s="10"/>
      <c r="E188" s="10"/>
      <c r="F188" s="11"/>
      <c r="G188" s="11"/>
      <c r="H188" s="11"/>
      <c r="I188" s="11"/>
      <c r="J188" s="11" t="str">
        <f>IFERROR(__xludf.DUMMYFUNCTION("iferror(if($B188="""", ,filter(Playoff_Stats!F:Z,Playoff_Stats!A:A=$B188,Playoff_Stats!B:B=$A188)))"),"")</f>
        <v/>
      </c>
      <c r="K188" s="11"/>
      <c r="L188" s="12"/>
      <c r="M188" s="11"/>
      <c r="N188" s="11"/>
      <c r="O188" s="13"/>
      <c r="P188" s="14"/>
      <c r="Q188" s="13"/>
      <c r="R188" s="13"/>
      <c r="S188" s="15"/>
      <c r="T188" s="16"/>
      <c r="U188" s="16"/>
      <c r="V188" s="16"/>
      <c r="W188" s="16"/>
      <c r="X188" s="16"/>
      <c r="Y188" s="11"/>
      <c r="Z188" s="11"/>
      <c r="AA188" s="11"/>
      <c r="AB188" s="11"/>
      <c r="AC188" s="11"/>
      <c r="AD188" s="11"/>
    </row>
    <row r="189">
      <c r="A189" s="10"/>
      <c r="B189" s="10"/>
      <c r="C189" s="10"/>
      <c r="D189" s="10"/>
      <c r="E189" s="10"/>
      <c r="F189" s="11"/>
      <c r="G189" s="11"/>
      <c r="H189" s="11"/>
      <c r="I189" s="11"/>
      <c r="J189" s="11" t="str">
        <f>IFERROR(__xludf.DUMMYFUNCTION("iferror(if($B189="""", ,filter(Playoff_Stats!F:Z,Playoff_Stats!A:A=$B189,Playoff_Stats!B:B=$A189)))"),"")</f>
        <v/>
      </c>
      <c r="K189" s="11"/>
      <c r="L189" s="12"/>
      <c r="M189" s="11"/>
      <c r="N189" s="11"/>
      <c r="O189" s="13"/>
      <c r="P189" s="14"/>
      <c r="Q189" s="13"/>
      <c r="R189" s="13"/>
      <c r="S189" s="15"/>
      <c r="T189" s="16"/>
      <c r="U189" s="16"/>
      <c r="V189" s="16"/>
      <c r="W189" s="16"/>
      <c r="X189" s="16"/>
      <c r="Y189" s="11"/>
      <c r="Z189" s="11"/>
      <c r="AA189" s="11"/>
      <c r="AB189" s="11"/>
      <c r="AC189" s="11"/>
      <c r="AD189" s="11"/>
    </row>
    <row r="190">
      <c r="A190" s="10"/>
      <c r="B190" s="10"/>
      <c r="C190" s="10"/>
      <c r="D190" s="10"/>
      <c r="E190" s="10"/>
      <c r="F190" s="11"/>
      <c r="G190" s="11"/>
      <c r="H190" s="11"/>
      <c r="I190" s="11"/>
      <c r="J190" s="11" t="str">
        <f>IFERROR(__xludf.DUMMYFUNCTION("iferror(if($B190="""", ,filter(Playoff_Stats!F:Z,Playoff_Stats!A:A=$B190,Playoff_Stats!B:B=$A190)))"),"")</f>
        <v/>
      </c>
      <c r="K190" s="11"/>
      <c r="L190" s="12"/>
      <c r="M190" s="11"/>
      <c r="N190" s="11"/>
      <c r="O190" s="13"/>
      <c r="P190" s="14"/>
      <c r="Q190" s="13"/>
      <c r="R190" s="13"/>
      <c r="S190" s="15"/>
      <c r="T190" s="16"/>
      <c r="U190" s="16"/>
      <c r="V190" s="16"/>
      <c r="W190" s="16"/>
      <c r="X190" s="16"/>
      <c r="Y190" s="11"/>
      <c r="Z190" s="11"/>
      <c r="AA190" s="11"/>
      <c r="AB190" s="11"/>
      <c r="AC190" s="11"/>
      <c r="AD190" s="11"/>
    </row>
    <row r="191">
      <c r="A191" s="10"/>
      <c r="B191" s="10"/>
      <c r="C191" s="10"/>
      <c r="D191" s="10"/>
      <c r="E191" s="10"/>
      <c r="F191" s="11"/>
      <c r="G191" s="11"/>
      <c r="H191" s="11"/>
      <c r="I191" s="11"/>
      <c r="J191" s="11" t="str">
        <f>IFERROR(__xludf.DUMMYFUNCTION("iferror(if($B191="""", ,filter(Playoff_Stats!F:Z,Playoff_Stats!A:A=$B191,Playoff_Stats!B:B=$A191)))"),"")</f>
        <v/>
      </c>
      <c r="K191" s="11"/>
      <c r="L191" s="12"/>
      <c r="M191" s="11"/>
      <c r="N191" s="11"/>
      <c r="O191" s="13"/>
      <c r="P191" s="14"/>
      <c r="Q191" s="13"/>
      <c r="R191" s="13"/>
      <c r="S191" s="15"/>
      <c r="T191" s="16"/>
      <c r="U191" s="16"/>
      <c r="V191" s="16"/>
      <c r="W191" s="16"/>
      <c r="X191" s="16"/>
      <c r="Y191" s="11"/>
      <c r="Z191" s="11"/>
      <c r="AA191" s="11"/>
      <c r="AB191" s="11"/>
      <c r="AC191" s="11"/>
      <c r="AD191" s="11"/>
    </row>
    <row r="192">
      <c r="A192" s="10"/>
      <c r="B192" s="10"/>
      <c r="C192" s="10"/>
      <c r="D192" s="10"/>
      <c r="E192" s="10"/>
      <c r="F192" s="11"/>
      <c r="G192" s="11"/>
      <c r="H192" s="11"/>
      <c r="I192" s="11"/>
      <c r="J192" s="11" t="str">
        <f>IFERROR(__xludf.DUMMYFUNCTION("iferror(if($B192="""", ,filter(Playoff_Stats!F:Z,Playoff_Stats!A:A=$B192,Playoff_Stats!B:B=$A192)))"),"")</f>
        <v/>
      </c>
      <c r="K192" s="11"/>
      <c r="L192" s="12"/>
      <c r="M192" s="11"/>
      <c r="N192" s="11"/>
      <c r="O192" s="13"/>
      <c r="P192" s="14"/>
      <c r="Q192" s="13"/>
      <c r="R192" s="13"/>
      <c r="S192" s="15"/>
      <c r="T192" s="16"/>
      <c r="U192" s="16"/>
      <c r="V192" s="16"/>
      <c r="W192" s="16"/>
      <c r="X192" s="16"/>
      <c r="Y192" s="11"/>
      <c r="Z192" s="11"/>
      <c r="AA192" s="11"/>
      <c r="AB192" s="11"/>
      <c r="AC192" s="11"/>
      <c r="AD192" s="11"/>
    </row>
    <row r="193">
      <c r="A193" s="10"/>
      <c r="B193" s="10"/>
      <c r="C193" s="10"/>
      <c r="D193" s="10"/>
      <c r="E193" s="10"/>
      <c r="F193" s="11"/>
      <c r="G193" s="11"/>
      <c r="H193" s="11"/>
      <c r="I193" s="11"/>
      <c r="J193" s="11" t="str">
        <f>IFERROR(__xludf.DUMMYFUNCTION("iferror(if($B193="""", ,filter(Playoff_Stats!F:Z,Playoff_Stats!A:A=$B193,Playoff_Stats!B:B=$A193)))"),"")</f>
        <v/>
      </c>
      <c r="K193" s="11"/>
      <c r="L193" s="12"/>
      <c r="M193" s="11"/>
      <c r="N193" s="11"/>
      <c r="O193" s="13"/>
      <c r="P193" s="14"/>
      <c r="Q193" s="13"/>
      <c r="R193" s="13"/>
      <c r="S193" s="15"/>
      <c r="T193" s="16"/>
      <c r="U193" s="16"/>
      <c r="V193" s="16"/>
      <c r="W193" s="16"/>
      <c r="X193" s="16"/>
      <c r="Y193" s="11"/>
      <c r="Z193" s="11"/>
      <c r="AA193" s="11"/>
      <c r="AB193" s="11"/>
      <c r="AC193" s="11"/>
      <c r="AD193" s="11"/>
    </row>
    <row r="194">
      <c r="A194" s="10"/>
      <c r="B194" s="10"/>
      <c r="C194" s="10"/>
      <c r="D194" s="10"/>
      <c r="E194" s="10"/>
      <c r="F194" s="11"/>
      <c r="G194" s="11"/>
      <c r="H194" s="11"/>
      <c r="I194" s="11"/>
      <c r="J194" s="11" t="str">
        <f>IFERROR(__xludf.DUMMYFUNCTION("iferror(if($B194="""", ,filter(Playoff_Stats!F:Z,Playoff_Stats!A:A=$B194,Playoff_Stats!B:B=$A194)))"),"")</f>
        <v/>
      </c>
      <c r="K194" s="11"/>
      <c r="L194" s="12"/>
      <c r="M194" s="11"/>
      <c r="N194" s="11"/>
      <c r="O194" s="13"/>
      <c r="P194" s="14"/>
      <c r="Q194" s="13"/>
      <c r="R194" s="13"/>
      <c r="S194" s="15"/>
      <c r="T194" s="16"/>
      <c r="U194" s="16"/>
      <c r="V194" s="16"/>
      <c r="W194" s="16"/>
      <c r="X194" s="16"/>
      <c r="Y194" s="11"/>
      <c r="Z194" s="11"/>
      <c r="AA194" s="11"/>
      <c r="AB194" s="11"/>
      <c r="AC194" s="11"/>
      <c r="AD194" s="11"/>
    </row>
    <row r="195">
      <c r="A195" s="10"/>
      <c r="B195" s="10"/>
      <c r="C195" s="10"/>
      <c r="D195" s="10"/>
      <c r="E195" s="10"/>
      <c r="F195" s="11"/>
      <c r="G195" s="11"/>
      <c r="H195" s="11"/>
      <c r="I195" s="11"/>
      <c r="J195" s="11" t="str">
        <f>IFERROR(__xludf.DUMMYFUNCTION("iferror(if($B195="""", ,filter(Playoff_Stats!F:Z,Playoff_Stats!A:A=$B195,Playoff_Stats!B:B=$A195)))"),"")</f>
        <v/>
      </c>
      <c r="K195" s="11"/>
      <c r="L195" s="12"/>
      <c r="M195" s="11"/>
      <c r="N195" s="11"/>
      <c r="O195" s="13"/>
      <c r="P195" s="14"/>
      <c r="Q195" s="13"/>
      <c r="R195" s="13"/>
      <c r="S195" s="15"/>
      <c r="T195" s="16"/>
      <c r="U195" s="16"/>
      <c r="V195" s="16"/>
      <c r="W195" s="16"/>
      <c r="X195" s="16"/>
      <c r="Y195" s="11"/>
      <c r="Z195" s="11"/>
      <c r="AA195" s="11"/>
      <c r="AB195" s="11"/>
      <c r="AC195" s="11"/>
      <c r="AD195" s="11"/>
    </row>
    <row r="196">
      <c r="A196" s="10"/>
      <c r="B196" s="10"/>
      <c r="C196" s="10"/>
      <c r="D196" s="10"/>
      <c r="E196" s="10"/>
      <c r="F196" s="11"/>
      <c r="G196" s="11"/>
      <c r="H196" s="11"/>
      <c r="I196" s="11"/>
      <c r="J196" s="11" t="str">
        <f>IFERROR(__xludf.DUMMYFUNCTION("iferror(if($B196="""", ,filter(Playoff_Stats!F:Z,Playoff_Stats!A:A=$B196,Playoff_Stats!B:B=$A196)))"),"")</f>
        <v/>
      </c>
      <c r="K196" s="11"/>
      <c r="L196" s="12"/>
      <c r="M196" s="11"/>
      <c r="N196" s="11"/>
      <c r="O196" s="13"/>
      <c r="P196" s="14"/>
      <c r="Q196" s="13"/>
      <c r="R196" s="13"/>
      <c r="S196" s="15"/>
      <c r="T196" s="16"/>
      <c r="U196" s="16"/>
      <c r="V196" s="16"/>
      <c r="W196" s="16"/>
      <c r="X196" s="16"/>
      <c r="Y196" s="11"/>
      <c r="Z196" s="11"/>
      <c r="AA196" s="11"/>
      <c r="AB196" s="11"/>
      <c r="AC196" s="11"/>
      <c r="AD196" s="11"/>
    </row>
    <row r="197">
      <c r="A197" s="10"/>
      <c r="B197" s="10"/>
      <c r="C197" s="10"/>
      <c r="D197" s="10"/>
      <c r="E197" s="10"/>
      <c r="F197" s="11"/>
      <c r="G197" s="11"/>
      <c r="H197" s="11"/>
      <c r="I197" s="11"/>
      <c r="J197" s="11" t="str">
        <f>IFERROR(__xludf.DUMMYFUNCTION("iferror(if($B197="""", ,filter(Playoff_Stats!F:Z,Playoff_Stats!A:A=$B197,Playoff_Stats!B:B=$A197)))"),"")</f>
        <v/>
      </c>
      <c r="K197" s="11"/>
      <c r="L197" s="12"/>
      <c r="M197" s="11"/>
      <c r="N197" s="11"/>
      <c r="O197" s="13"/>
      <c r="P197" s="14"/>
      <c r="Q197" s="13"/>
      <c r="R197" s="13"/>
      <c r="S197" s="15"/>
      <c r="T197" s="16"/>
      <c r="U197" s="16"/>
      <c r="V197" s="16"/>
      <c r="W197" s="16"/>
      <c r="X197" s="16"/>
      <c r="Y197" s="11"/>
      <c r="Z197" s="11"/>
      <c r="AA197" s="11"/>
      <c r="AB197" s="11"/>
      <c r="AC197" s="11"/>
      <c r="AD197" s="11"/>
    </row>
    <row r="198">
      <c r="A198" s="10"/>
      <c r="B198" s="10"/>
      <c r="C198" s="10"/>
      <c r="D198" s="10"/>
      <c r="E198" s="10"/>
      <c r="F198" s="11"/>
      <c r="G198" s="11"/>
      <c r="H198" s="11"/>
      <c r="I198" s="11"/>
      <c r="J198" s="11" t="str">
        <f>IFERROR(__xludf.DUMMYFUNCTION("iferror(if($B198="""", ,filter(Playoff_Stats!F:Z,Playoff_Stats!A:A=$B198,Playoff_Stats!B:B=$A198)))"),"")</f>
        <v/>
      </c>
      <c r="K198" s="11"/>
      <c r="L198" s="12"/>
      <c r="M198" s="11"/>
      <c r="N198" s="11"/>
      <c r="O198" s="13"/>
      <c r="P198" s="14"/>
      <c r="Q198" s="13"/>
      <c r="R198" s="13"/>
      <c r="S198" s="15"/>
      <c r="T198" s="16"/>
      <c r="U198" s="16"/>
      <c r="V198" s="16"/>
      <c r="W198" s="16"/>
      <c r="X198" s="16"/>
      <c r="Y198" s="11"/>
      <c r="Z198" s="11"/>
      <c r="AA198" s="11"/>
      <c r="AB198" s="11"/>
      <c r="AC198" s="11"/>
      <c r="AD198" s="11"/>
    </row>
    <row r="199">
      <c r="A199" s="10"/>
      <c r="B199" s="10"/>
      <c r="C199" s="10"/>
      <c r="D199" s="10"/>
      <c r="E199" s="10"/>
      <c r="F199" s="11"/>
      <c r="G199" s="11"/>
      <c r="H199" s="11"/>
      <c r="I199" s="11"/>
      <c r="J199" s="11" t="str">
        <f>IFERROR(__xludf.DUMMYFUNCTION("iferror(if($B199="""", ,filter(Playoff_Stats!F:Z,Playoff_Stats!A:A=$B199,Playoff_Stats!B:B=$A199)))"),"")</f>
        <v/>
      </c>
      <c r="K199" s="11"/>
      <c r="L199" s="12"/>
      <c r="M199" s="11"/>
      <c r="N199" s="11"/>
      <c r="O199" s="13"/>
      <c r="P199" s="14"/>
      <c r="Q199" s="13"/>
      <c r="R199" s="13"/>
      <c r="S199" s="15"/>
      <c r="T199" s="16"/>
      <c r="U199" s="16"/>
      <c r="V199" s="16"/>
      <c r="W199" s="16"/>
      <c r="X199" s="16"/>
      <c r="Y199" s="11"/>
      <c r="Z199" s="11"/>
      <c r="AA199" s="11"/>
      <c r="AB199" s="11"/>
      <c r="AC199" s="11"/>
      <c r="AD199" s="11"/>
    </row>
    <row r="200">
      <c r="A200" s="10"/>
      <c r="B200" s="10"/>
      <c r="C200" s="10"/>
      <c r="D200" s="10"/>
      <c r="E200" s="10"/>
      <c r="F200" s="11"/>
      <c r="G200" s="11"/>
      <c r="H200" s="11"/>
      <c r="I200" s="11"/>
      <c r="J200" s="11" t="str">
        <f>IFERROR(__xludf.DUMMYFUNCTION("iferror(if($B200="""", ,filter(Playoff_Stats!F:Z,Playoff_Stats!A:A=$B200,Playoff_Stats!B:B=$A200)))"),"")</f>
        <v/>
      </c>
      <c r="K200" s="11"/>
      <c r="L200" s="12"/>
      <c r="M200" s="11"/>
      <c r="N200" s="11"/>
      <c r="O200" s="13"/>
      <c r="P200" s="14"/>
      <c r="Q200" s="13"/>
      <c r="R200" s="13"/>
      <c r="S200" s="15"/>
      <c r="T200" s="16"/>
      <c r="U200" s="16"/>
      <c r="V200" s="16"/>
      <c r="W200" s="16"/>
      <c r="X200" s="16"/>
      <c r="Y200" s="11"/>
      <c r="Z200" s="11"/>
      <c r="AA200" s="11"/>
      <c r="AB200" s="11"/>
      <c r="AC200" s="11"/>
      <c r="AD200" s="11"/>
    </row>
    <row r="201">
      <c r="A201" s="10"/>
      <c r="B201" s="10"/>
      <c r="C201" s="10"/>
      <c r="D201" s="10"/>
      <c r="E201" s="10"/>
      <c r="F201" s="11"/>
      <c r="G201" s="11"/>
      <c r="H201" s="11"/>
      <c r="I201" s="11"/>
      <c r="J201" s="11" t="str">
        <f>IFERROR(__xludf.DUMMYFUNCTION("iferror(if($B201="""", ,filter(Playoff_Stats!F:Z,Playoff_Stats!A:A=$B201,Playoff_Stats!B:B=$A201)))"),"")</f>
        <v/>
      </c>
      <c r="K201" s="11"/>
      <c r="L201" s="12"/>
      <c r="M201" s="11"/>
      <c r="N201" s="11"/>
      <c r="O201" s="13"/>
      <c r="P201" s="14"/>
      <c r="Q201" s="13"/>
      <c r="R201" s="13"/>
      <c r="S201" s="15"/>
      <c r="T201" s="16"/>
      <c r="U201" s="16"/>
      <c r="V201" s="16"/>
      <c r="W201" s="16"/>
      <c r="X201" s="16"/>
      <c r="Y201" s="11"/>
      <c r="Z201" s="11"/>
      <c r="AA201" s="11"/>
      <c r="AB201" s="11"/>
      <c r="AC201" s="11"/>
      <c r="AD201" s="11"/>
    </row>
    <row r="202">
      <c r="A202" s="10"/>
      <c r="B202" s="10"/>
      <c r="C202" s="10"/>
      <c r="D202" s="10"/>
      <c r="E202" s="10"/>
      <c r="F202" s="11"/>
      <c r="G202" s="11"/>
      <c r="H202" s="11"/>
      <c r="I202" s="11"/>
      <c r="J202" s="11" t="str">
        <f>IFERROR(__xludf.DUMMYFUNCTION("iferror(if($B202="""", ,filter(Playoff_Stats!F:Z,Playoff_Stats!A:A=$B202,Playoff_Stats!B:B=$A202)))"),"")</f>
        <v/>
      </c>
      <c r="K202" s="11"/>
      <c r="L202" s="12"/>
      <c r="M202" s="11"/>
      <c r="N202" s="11"/>
      <c r="O202" s="13"/>
      <c r="P202" s="14"/>
      <c r="Q202" s="13"/>
      <c r="R202" s="13"/>
      <c r="S202" s="15"/>
      <c r="T202" s="16"/>
      <c r="U202" s="16"/>
      <c r="V202" s="16"/>
      <c r="W202" s="16"/>
      <c r="X202" s="16"/>
      <c r="Y202" s="11"/>
      <c r="Z202" s="11"/>
      <c r="AA202" s="11"/>
      <c r="AB202" s="11"/>
      <c r="AC202" s="11"/>
      <c r="AD202" s="11"/>
    </row>
    <row r="203">
      <c r="A203" s="10"/>
      <c r="B203" s="10"/>
      <c r="C203" s="10"/>
      <c r="D203" s="10"/>
      <c r="E203" s="10"/>
      <c r="F203" s="11"/>
      <c r="G203" s="11"/>
      <c r="H203" s="11"/>
      <c r="I203" s="11"/>
      <c r="J203" s="11" t="str">
        <f>IFERROR(__xludf.DUMMYFUNCTION("iferror(if($B203="""", ,filter(Playoff_Stats!F:Z,Playoff_Stats!A:A=$B203,Playoff_Stats!B:B=$A203)))"),"")</f>
        <v/>
      </c>
      <c r="K203" s="11"/>
      <c r="L203" s="12"/>
      <c r="M203" s="11"/>
      <c r="N203" s="11"/>
      <c r="O203" s="13"/>
      <c r="P203" s="14"/>
      <c r="Q203" s="13"/>
      <c r="R203" s="13"/>
      <c r="S203" s="15"/>
      <c r="T203" s="16"/>
      <c r="U203" s="16"/>
      <c r="V203" s="16"/>
      <c r="W203" s="16"/>
      <c r="X203" s="16"/>
      <c r="Y203" s="11"/>
      <c r="Z203" s="11"/>
      <c r="AA203" s="11"/>
      <c r="AB203" s="11"/>
      <c r="AC203" s="11"/>
      <c r="AD203" s="11"/>
    </row>
    <row r="204">
      <c r="A204" s="10"/>
      <c r="B204" s="10"/>
      <c r="C204" s="10"/>
      <c r="D204" s="10"/>
      <c r="E204" s="10"/>
      <c r="F204" s="11"/>
      <c r="G204" s="11"/>
      <c r="H204" s="11"/>
      <c r="I204" s="11"/>
      <c r="J204" s="11" t="str">
        <f>IFERROR(__xludf.DUMMYFUNCTION("iferror(if($B204="""", ,filter(Playoff_Stats!F:Z,Playoff_Stats!A:A=$B204,Playoff_Stats!B:B=$A204)))"),"")</f>
        <v/>
      </c>
      <c r="K204" s="11"/>
      <c r="L204" s="12"/>
      <c r="M204" s="11"/>
      <c r="N204" s="11"/>
      <c r="O204" s="13"/>
      <c r="P204" s="14"/>
      <c r="Q204" s="13"/>
      <c r="R204" s="13"/>
      <c r="S204" s="15"/>
      <c r="T204" s="16"/>
      <c r="U204" s="16"/>
      <c r="V204" s="16"/>
      <c r="W204" s="16"/>
      <c r="X204" s="16"/>
      <c r="Y204" s="11"/>
      <c r="Z204" s="11"/>
      <c r="AA204" s="11"/>
      <c r="AB204" s="11"/>
      <c r="AC204" s="11"/>
      <c r="AD204" s="11"/>
    </row>
    <row r="205">
      <c r="A205" s="10"/>
      <c r="B205" s="10"/>
      <c r="C205" s="10"/>
      <c r="D205" s="10"/>
      <c r="E205" s="10"/>
      <c r="F205" s="11"/>
      <c r="G205" s="11"/>
      <c r="H205" s="11"/>
      <c r="I205" s="11"/>
      <c r="J205" s="11" t="str">
        <f>IFERROR(__xludf.DUMMYFUNCTION("iferror(if($B205="""", ,filter(Playoff_Stats!F:Z,Playoff_Stats!A:A=$B205,Playoff_Stats!B:B=$A205)))"),"")</f>
        <v/>
      </c>
      <c r="K205" s="11"/>
      <c r="L205" s="12"/>
      <c r="M205" s="11"/>
      <c r="N205" s="11"/>
      <c r="O205" s="13"/>
      <c r="P205" s="14"/>
      <c r="Q205" s="13"/>
      <c r="R205" s="13"/>
      <c r="S205" s="15"/>
      <c r="T205" s="16"/>
      <c r="U205" s="16"/>
      <c r="V205" s="16"/>
      <c r="W205" s="16"/>
      <c r="X205" s="16"/>
      <c r="Y205" s="11"/>
      <c r="Z205" s="11"/>
      <c r="AA205" s="11"/>
      <c r="AB205" s="11"/>
      <c r="AC205" s="11"/>
      <c r="AD205" s="11"/>
    </row>
    <row r="206">
      <c r="A206" s="10"/>
      <c r="B206" s="10"/>
      <c r="C206" s="10"/>
      <c r="D206" s="10"/>
      <c r="E206" s="10"/>
      <c r="F206" s="11"/>
      <c r="G206" s="11"/>
      <c r="H206" s="11"/>
      <c r="I206" s="11"/>
      <c r="J206" s="11" t="str">
        <f>IFERROR(__xludf.DUMMYFUNCTION("iferror(if($B206="""", ,filter(Playoff_Stats!F:Z,Playoff_Stats!A:A=$B206,Playoff_Stats!B:B=$A206)))"),"")</f>
        <v/>
      </c>
      <c r="K206" s="11"/>
      <c r="L206" s="12"/>
      <c r="M206" s="11"/>
      <c r="N206" s="11"/>
      <c r="O206" s="13"/>
      <c r="P206" s="14"/>
      <c r="Q206" s="13"/>
      <c r="R206" s="13"/>
      <c r="S206" s="15"/>
      <c r="T206" s="16"/>
      <c r="U206" s="16"/>
      <c r="V206" s="16"/>
      <c r="W206" s="16"/>
      <c r="X206" s="16"/>
      <c r="Y206" s="11"/>
      <c r="Z206" s="11"/>
      <c r="AA206" s="11"/>
      <c r="AB206" s="11"/>
      <c r="AC206" s="11"/>
      <c r="AD206" s="11"/>
    </row>
    <row r="207">
      <c r="A207" s="10"/>
      <c r="B207" s="10"/>
      <c r="C207" s="10"/>
      <c r="D207" s="10"/>
      <c r="E207" s="10"/>
      <c r="F207" s="11"/>
      <c r="G207" s="11"/>
      <c r="H207" s="11"/>
      <c r="I207" s="11"/>
      <c r="J207" s="11" t="str">
        <f>IFERROR(__xludf.DUMMYFUNCTION("iferror(if($B207="""", ,filter(Playoff_Stats!F:Z,Playoff_Stats!A:A=$B207,Playoff_Stats!B:B=$A207)))"),"")</f>
        <v/>
      </c>
      <c r="K207" s="11"/>
      <c r="L207" s="12"/>
      <c r="M207" s="11"/>
      <c r="N207" s="11"/>
      <c r="O207" s="13"/>
      <c r="P207" s="14"/>
      <c r="Q207" s="13"/>
      <c r="R207" s="13"/>
      <c r="S207" s="15"/>
      <c r="T207" s="16"/>
      <c r="U207" s="16"/>
      <c r="V207" s="16"/>
      <c r="W207" s="16"/>
      <c r="X207" s="16"/>
      <c r="Y207" s="11"/>
      <c r="Z207" s="11"/>
      <c r="AA207" s="11"/>
      <c r="AB207" s="11"/>
      <c r="AC207" s="11"/>
      <c r="AD207" s="11"/>
    </row>
    <row r="208">
      <c r="A208" s="10"/>
      <c r="B208" s="10"/>
      <c r="C208" s="10"/>
      <c r="D208" s="10"/>
      <c r="E208" s="10"/>
      <c r="F208" s="11"/>
      <c r="G208" s="11"/>
      <c r="H208" s="11"/>
      <c r="I208" s="11"/>
      <c r="J208" s="11" t="str">
        <f>IFERROR(__xludf.DUMMYFUNCTION("iferror(if($B208="""", ,filter(Playoff_Stats!F:Z,Playoff_Stats!A:A=$B208,Playoff_Stats!B:B=$A208)))"),"")</f>
        <v/>
      </c>
      <c r="K208" s="11"/>
      <c r="L208" s="12"/>
      <c r="M208" s="11"/>
      <c r="N208" s="11"/>
      <c r="O208" s="13"/>
      <c r="P208" s="14"/>
      <c r="Q208" s="13"/>
      <c r="R208" s="13"/>
      <c r="S208" s="15"/>
      <c r="T208" s="16"/>
      <c r="U208" s="16"/>
      <c r="V208" s="16"/>
      <c r="W208" s="16"/>
      <c r="X208" s="16"/>
      <c r="Y208" s="11"/>
      <c r="Z208" s="11"/>
      <c r="AA208" s="11"/>
      <c r="AB208" s="11"/>
      <c r="AC208" s="11"/>
      <c r="AD208" s="11"/>
    </row>
    <row r="209">
      <c r="A209" s="10"/>
      <c r="B209" s="10"/>
      <c r="C209" s="10"/>
      <c r="D209" s="10"/>
      <c r="E209" s="10"/>
      <c r="F209" s="11"/>
      <c r="G209" s="11"/>
      <c r="H209" s="11"/>
      <c r="I209" s="11"/>
      <c r="J209" s="11" t="str">
        <f>IFERROR(__xludf.DUMMYFUNCTION("iferror(if($B209="""", ,filter(Playoff_Stats!F:Z,Playoff_Stats!A:A=$B209,Playoff_Stats!B:B=$A209)))"),"")</f>
        <v/>
      </c>
      <c r="K209" s="11"/>
      <c r="L209" s="12"/>
      <c r="M209" s="11"/>
      <c r="N209" s="11"/>
      <c r="O209" s="13"/>
      <c r="P209" s="14"/>
      <c r="Q209" s="13"/>
      <c r="R209" s="13"/>
      <c r="S209" s="15"/>
      <c r="T209" s="16"/>
      <c r="U209" s="16"/>
      <c r="V209" s="16"/>
      <c r="W209" s="16"/>
      <c r="X209" s="16"/>
      <c r="Y209" s="11"/>
      <c r="Z209" s="11"/>
      <c r="AA209" s="11"/>
      <c r="AB209" s="11"/>
      <c r="AC209" s="11"/>
      <c r="AD209" s="11"/>
    </row>
    <row r="210">
      <c r="A210" s="10"/>
      <c r="B210" s="10"/>
      <c r="C210" s="10"/>
      <c r="D210" s="10"/>
      <c r="E210" s="10"/>
      <c r="F210" s="11"/>
      <c r="G210" s="11"/>
      <c r="H210" s="11"/>
      <c r="I210" s="11"/>
      <c r="J210" s="11" t="str">
        <f>IFERROR(__xludf.DUMMYFUNCTION("iferror(if($B210="""", ,filter(Playoff_Stats!F:Z,Playoff_Stats!A:A=$B210,Playoff_Stats!B:B=$A210)))"),"")</f>
        <v/>
      </c>
      <c r="K210" s="11"/>
      <c r="L210" s="12"/>
      <c r="M210" s="11"/>
      <c r="N210" s="11"/>
      <c r="O210" s="13"/>
      <c r="P210" s="14"/>
      <c r="Q210" s="13"/>
      <c r="R210" s="13"/>
      <c r="S210" s="15"/>
      <c r="T210" s="16"/>
      <c r="U210" s="16"/>
      <c r="V210" s="16"/>
      <c r="W210" s="16"/>
      <c r="X210" s="16"/>
      <c r="Y210" s="11"/>
      <c r="Z210" s="11"/>
      <c r="AA210" s="11"/>
      <c r="AB210" s="11"/>
      <c r="AC210" s="11"/>
      <c r="AD210" s="11"/>
    </row>
    <row r="211">
      <c r="A211" s="10"/>
      <c r="B211" s="10"/>
      <c r="C211" s="10"/>
      <c r="D211" s="10"/>
      <c r="E211" s="10"/>
      <c r="F211" s="11"/>
      <c r="G211" s="11"/>
      <c r="H211" s="11"/>
      <c r="I211" s="11"/>
      <c r="J211" s="11" t="str">
        <f>IFERROR(__xludf.DUMMYFUNCTION("iferror(if($B211="""", ,filter(Playoff_Stats!F:Z,Playoff_Stats!A:A=$B211,Playoff_Stats!B:B=$A211)))"),"")</f>
        <v/>
      </c>
      <c r="K211" s="11"/>
      <c r="L211" s="12"/>
      <c r="M211" s="11"/>
      <c r="N211" s="11"/>
      <c r="O211" s="13"/>
      <c r="P211" s="14"/>
      <c r="Q211" s="13"/>
      <c r="R211" s="13"/>
      <c r="S211" s="15"/>
      <c r="T211" s="16"/>
      <c r="U211" s="16"/>
      <c r="V211" s="16"/>
      <c r="W211" s="16"/>
      <c r="X211" s="16"/>
      <c r="Y211" s="11"/>
      <c r="Z211" s="11"/>
      <c r="AA211" s="11"/>
      <c r="AB211" s="11"/>
      <c r="AC211" s="11"/>
      <c r="AD211" s="11"/>
    </row>
    <row r="212">
      <c r="A212" s="10"/>
      <c r="B212" s="10"/>
      <c r="C212" s="10"/>
      <c r="D212" s="10"/>
      <c r="E212" s="10"/>
      <c r="F212" s="11"/>
      <c r="G212" s="11"/>
      <c r="H212" s="11"/>
      <c r="I212" s="11"/>
      <c r="J212" s="11" t="str">
        <f>IFERROR(__xludf.DUMMYFUNCTION("iferror(if($B212="""", ,filter(Playoff_Stats!F:Z,Playoff_Stats!A:A=$B212,Playoff_Stats!B:B=$A212)))"),"")</f>
        <v/>
      </c>
      <c r="K212" s="11"/>
      <c r="L212" s="12"/>
      <c r="M212" s="11"/>
      <c r="N212" s="11"/>
      <c r="O212" s="13"/>
      <c r="P212" s="14"/>
      <c r="Q212" s="13"/>
      <c r="R212" s="13"/>
      <c r="S212" s="15"/>
      <c r="T212" s="16"/>
      <c r="U212" s="16"/>
      <c r="V212" s="16"/>
      <c r="W212" s="16"/>
      <c r="X212" s="16"/>
      <c r="Y212" s="11"/>
      <c r="Z212" s="11"/>
      <c r="AA212" s="11"/>
      <c r="AB212" s="11"/>
      <c r="AC212" s="11"/>
      <c r="AD212" s="11"/>
    </row>
    <row r="213">
      <c r="A213" s="10"/>
      <c r="B213" s="10"/>
      <c r="C213" s="10"/>
      <c r="D213" s="10"/>
      <c r="E213" s="10"/>
      <c r="F213" s="11"/>
      <c r="G213" s="11"/>
      <c r="H213" s="11"/>
      <c r="I213" s="11"/>
      <c r="J213" s="11" t="str">
        <f>IFERROR(__xludf.DUMMYFUNCTION("iferror(if($B213="""", ,filter(Playoff_Stats!F:Z,Playoff_Stats!A:A=$B213,Playoff_Stats!B:B=$A213)))"),"")</f>
        <v/>
      </c>
      <c r="K213" s="11"/>
      <c r="L213" s="12"/>
      <c r="M213" s="11"/>
      <c r="N213" s="11"/>
      <c r="O213" s="13"/>
      <c r="P213" s="14"/>
      <c r="Q213" s="13"/>
      <c r="R213" s="13"/>
      <c r="S213" s="15"/>
      <c r="T213" s="16"/>
      <c r="U213" s="16"/>
      <c r="V213" s="16"/>
      <c r="W213" s="16"/>
      <c r="X213" s="16"/>
      <c r="Y213" s="11"/>
      <c r="Z213" s="11"/>
      <c r="AA213" s="11"/>
      <c r="AB213" s="11"/>
      <c r="AC213" s="11"/>
      <c r="AD213" s="11"/>
    </row>
    <row r="214">
      <c r="A214" s="10"/>
      <c r="B214" s="10"/>
      <c r="C214" s="10"/>
      <c r="D214" s="10"/>
      <c r="E214" s="10"/>
      <c r="F214" s="11"/>
      <c r="G214" s="11"/>
      <c r="H214" s="11"/>
      <c r="I214" s="11"/>
      <c r="J214" s="11" t="str">
        <f>IFERROR(__xludf.DUMMYFUNCTION("iferror(if($B214="""", ,filter(Playoff_Stats!F:Z,Playoff_Stats!A:A=$B214,Playoff_Stats!B:B=$A214)))"),"")</f>
        <v/>
      </c>
      <c r="K214" s="11"/>
      <c r="L214" s="12"/>
      <c r="M214" s="11"/>
      <c r="N214" s="11"/>
      <c r="O214" s="13"/>
      <c r="P214" s="14"/>
      <c r="Q214" s="13"/>
      <c r="R214" s="13"/>
      <c r="S214" s="15"/>
      <c r="T214" s="16"/>
      <c r="U214" s="16"/>
      <c r="V214" s="16"/>
      <c r="W214" s="16"/>
      <c r="X214" s="16"/>
      <c r="Y214" s="11"/>
      <c r="Z214" s="11"/>
      <c r="AA214" s="11"/>
      <c r="AB214" s="11"/>
      <c r="AC214" s="11"/>
      <c r="AD214" s="11"/>
    </row>
    <row r="215">
      <c r="A215" s="10"/>
      <c r="B215" s="10"/>
      <c r="C215" s="10"/>
      <c r="D215" s="10"/>
      <c r="E215" s="10"/>
      <c r="F215" s="11"/>
      <c r="G215" s="11"/>
      <c r="H215" s="11"/>
      <c r="I215" s="11"/>
      <c r="J215" s="11" t="str">
        <f>IFERROR(__xludf.DUMMYFUNCTION("iferror(if($B215="""", ,filter(Playoff_Stats!F:Z,Playoff_Stats!A:A=$B215,Playoff_Stats!B:B=$A215)))"),"")</f>
        <v/>
      </c>
      <c r="K215" s="11"/>
      <c r="L215" s="12"/>
      <c r="M215" s="11"/>
      <c r="N215" s="11"/>
      <c r="O215" s="13"/>
      <c r="P215" s="14"/>
      <c r="Q215" s="13"/>
      <c r="R215" s="13"/>
      <c r="S215" s="15"/>
      <c r="T215" s="16"/>
      <c r="U215" s="16"/>
      <c r="V215" s="16"/>
      <c r="W215" s="16"/>
      <c r="X215" s="16"/>
      <c r="Y215" s="11"/>
      <c r="Z215" s="11"/>
      <c r="AA215" s="11"/>
      <c r="AB215" s="11"/>
      <c r="AC215" s="11"/>
      <c r="AD215" s="11"/>
    </row>
    <row r="216">
      <c r="A216" s="10"/>
      <c r="B216" s="10"/>
      <c r="C216" s="10"/>
      <c r="D216" s="10"/>
      <c r="E216" s="10"/>
      <c r="F216" s="11"/>
      <c r="G216" s="11"/>
      <c r="H216" s="11"/>
      <c r="I216" s="11"/>
      <c r="J216" s="11" t="str">
        <f>IFERROR(__xludf.DUMMYFUNCTION("iferror(if($B216="""", ,filter(Playoff_Stats!F:Z,Playoff_Stats!A:A=$B216,Playoff_Stats!B:B=$A216)))"),"")</f>
        <v/>
      </c>
      <c r="K216" s="11"/>
      <c r="L216" s="12"/>
      <c r="M216" s="11"/>
      <c r="N216" s="11"/>
      <c r="O216" s="13"/>
      <c r="P216" s="14"/>
      <c r="Q216" s="13"/>
      <c r="R216" s="13"/>
      <c r="S216" s="15"/>
      <c r="T216" s="16"/>
      <c r="U216" s="16"/>
      <c r="V216" s="16"/>
      <c r="W216" s="16"/>
      <c r="X216" s="16"/>
      <c r="Y216" s="11"/>
      <c r="Z216" s="11"/>
      <c r="AA216" s="11"/>
      <c r="AB216" s="11"/>
      <c r="AC216" s="11"/>
      <c r="AD216" s="11"/>
    </row>
    <row r="217">
      <c r="A217" s="10"/>
      <c r="B217" s="10"/>
      <c r="C217" s="10"/>
      <c r="D217" s="10"/>
      <c r="E217" s="10"/>
      <c r="F217" s="11"/>
      <c r="G217" s="11"/>
      <c r="H217" s="11"/>
      <c r="I217" s="11"/>
      <c r="J217" s="11" t="str">
        <f>IFERROR(__xludf.DUMMYFUNCTION("iferror(if($B217="""", ,filter(Playoff_Stats!F:Z,Playoff_Stats!A:A=$B217,Playoff_Stats!B:B=$A217)))"),"")</f>
        <v/>
      </c>
      <c r="K217" s="11"/>
      <c r="L217" s="12"/>
      <c r="M217" s="11"/>
      <c r="N217" s="11"/>
      <c r="O217" s="13"/>
      <c r="P217" s="14"/>
      <c r="Q217" s="13"/>
      <c r="R217" s="13"/>
      <c r="S217" s="15"/>
      <c r="T217" s="16"/>
      <c r="U217" s="16"/>
      <c r="V217" s="16"/>
      <c r="W217" s="16"/>
      <c r="X217" s="16"/>
      <c r="Y217" s="11"/>
      <c r="Z217" s="11"/>
      <c r="AA217" s="11"/>
      <c r="AB217" s="11"/>
      <c r="AC217" s="11"/>
      <c r="AD217" s="11"/>
    </row>
    <row r="218">
      <c r="A218" s="10"/>
      <c r="B218" s="10"/>
      <c r="C218" s="10"/>
      <c r="D218" s="10"/>
      <c r="E218" s="10"/>
      <c r="F218" s="11"/>
      <c r="G218" s="11"/>
      <c r="H218" s="11"/>
      <c r="I218" s="11"/>
      <c r="J218" s="11" t="str">
        <f>IFERROR(__xludf.DUMMYFUNCTION("iferror(if($B218="""", ,filter(Playoff_Stats!F:Z,Playoff_Stats!A:A=$B218,Playoff_Stats!B:B=$A218)))"),"")</f>
        <v/>
      </c>
      <c r="K218" s="11"/>
      <c r="L218" s="12"/>
      <c r="M218" s="11"/>
      <c r="N218" s="11"/>
      <c r="O218" s="13"/>
      <c r="P218" s="14"/>
      <c r="Q218" s="13"/>
      <c r="R218" s="13"/>
      <c r="S218" s="15"/>
      <c r="T218" s="16"/>
      <c r="U218" s="16"/>
      <c r="V218" s="16"/>
      <c r="W218" s="16"/>
      <c r="X218" s="16"/>
      <c r="Y218" s="11"/>
      <c r="Z218" s="11"/>
      <c r="AA218" s="11"/>
      <c r="AB218" s="11"/>
      <c r="AC218" s="11"/>
      <c r="AD218" s="11"/>
    </row>
    <row r="219">
      <c r="A219" s="10"/>
      <c r="B219" s="10"/>
      <c r="C219" s="10"/>
      <c r="D219" s="10"/>
      <c r="E219" s="10"/>
      <c r="F219" s="11"/>
      <c r="G219" s="11"/>
      <c r="H219" s="11"/>
      <c r="I219" s="11"/>
      <c r="J219" s="11" t="str">
        <f>IFERROR(__xludf.DUMMYFUNCTION("iferror(if($B219="""", ,filter(Playoff_Stats!F:Z,Playoff_Stats!A:A=$B219,Playoff_Stats!B:B=$A219)))"),"")</f>
        <v/>
      </c>
      <c r="K219" s="11"/>
      <c r="L219" s="12"/>
      <c r="M219" s="11"/>
      <c r="N219" s="11"/>
      <c r="O219" s="13"/>
      <c r="P219" s="14"/>
      <c r="Q219" s="13"/>
      <c r="R219" s="13"/>
      <c r="S219" s="15"/>
      <c r="T219" s="16"/>
      <c r="U219" s="16"/>
      <c r="V219" s="16"/>
      <c r="W219" s="16"/>
      <c r="X219" s="16"/>
      <c r="Y219" s="11"/>
      <c r="Z219" s="11"/>
      <c r="AA219" s="11"/>
      <c r="AB219" s="11"/>
      <c r="AC219" s="11"/>
      <c r="AD219" s="11"/>
    </row>
    <row r="220">
      <c r="A220" s="10"/>
      <c r="B220" s="10"/>
      <c r="C220" s="10"/>
      <c r="D220" s="10"/>
      <c r="E220" s="10"/>
      <c r="F220" s="11"/>
      <c r="G220" s="11"/>
      <c r="H220" s="11"/>
      <c r="I220" s="11"/>
      <c r="J220" s="11" t="str">
        <f>IFERROR(__xludf.DUMMYFUNCTION("iferror(if($B220="""", ,filter(Playoff_Stats!F:Z,Playoff_Stats!A:A=$B220,Playoff_Stats!B:B=$A220)))"),"")</f>
        <v/>
      </c>
      <c r="K220" s="11"/>
      <c r="L220" s="12"/>
      <c r="M220" s="11"/>
      <c r="N220" s="11"/>
      <c r="O220" s="13"/>
      <c r="P220" s="14"/>
      <c r="Q220" s="13"/>
      <c r="R220" s="13"/>
      <c r="S220" s="15"/>
      <c r="T220" s="16"/>
      <c r="U220" s="16"/>
      <c r="V220" s="16"/>
      <c r="W220" s="16"/>
      <c r="X220" s="16"/>
      <c r="Y220" s="11"/>
      <c r="Z220" s="11"/>
      <c r="AA220" s="11"/>
      <c r="AB220" s="11"/>
      <c r="AC220" s="11"/>
      <c r="AD220" s="11"/>
    </row>
    <row r="221">
      <c r="A221" s="10"/>
      <c r="B221" s="10"/>
      <c r="C221" s="10"/>
      <c r="D221" s="10"/>
      <c r="E221" s="10"/>
      <c r="F221" s="11"/>
      <c r="G221" s="11"/>
      <c r="H221" s="11"/>
      <c r="I221" s="11"/>
      <c r="J221" s="11" t="str">
        <f>IFERROR(__xludf.DUMMYFUNCTION("iferror(if($B221="""", ,filter(Playoff_Stats!F:Z,Playoff_Stats!A:A=$B221,Playoff_Stats!B:B=$A221)))"),"")</f>
        <v/>
      </c>
      <c r="K221" s="11"/>
      <c r="L221" s="12"/>
      <c r="M221" s="11"/>
      <c r="N221" s="11"/>
      <c r="O221" s="13"/>
      <c r="P221" s="14"/>
      <c r="Q221" s="13"/>
      <c r="R221" s="13"/>
      <c r="S221" s="15"/>
      <c r="T221" s="16"/>
      <c r="U221" s="16"/>
      <c r="V221" s="16"/>
      <c r="W221" s="16"/>
      <c r="X221" s="16"/>
      <c r="Y221" s="11"/>
      <c r="Z221" s="11"/>
      <c r="AA221" s="11"/>
      <c r="AB221" s="11"/>
      <c r="AC221" s="11"/>
      <c r="AD221" s="11"/>
    </row>
    <row r="222">
      <c r="A222" s="10"/>
      <c r="B222" s="10"/>
      <c r="C222" s="10"/>
      <c r="D222" s="10"/>
      <c r="E222" s="10"/>
      <c r="F222" s="11"/>
      <c r="G222" s="11"/>
      <c r="H222" s="11"/>
      <c r="I222" s="11"/>
      <c r="J222" s="11" t="str">
        <f>IFERROR(__xludf.DUMMYFUNCTION("iferror(if($B222="""", ,filter(Playoff_Stats!F:Z,Playoff_Stats!A:A=$B222,Playoff_Stats!B:B=$A222)))"),"")</f>
        <v/>
      </c>
      <c r="K222" s="11"/>
      <c r="L222" s="12"/>
      <c r="M222" s="11"/>
      <c r="N222" s="11"/>
      <c r="O222" s="13"/>
      <c r="P222" s="14"/>
      <c r="Q222" s="13"/>
      <c r="R222" s="13"/>
      <c r="S222" s="15"/>
      <c r="T222" s="16"/>
      <c r="U222" s="16"/>
      <c r="V222" s="16"/>
      <c r="W222" s="16"/>
      <c r="X222" s="16"/>
      <c r="Y222" s="11"/>
      <c r="Z222" s="11"/>
      <c r="AA222" s="11"/>
      <c r="AB222" s="11"/>
      <c r="AC222" s="11"/>
      <c r="AD222" s="11"/>
    </row>
    <row r="223">
      <c r="A223" s="10"/>
      <c r="B223" s="10"/>
      <c r="C223" s="10"/>
      <c r="D223" s="10"/>
      <c r="E223" s="10"/>
      <c r="F223" s="11"/>
      <c r="G223" s="11"/>
      <c r="H223" s="11"/>
      <c r="I223" s="11"/>
      <c r="J223" s="11" t="str">
        <f>IFERROR(__xludf.DUMMYFUNCTION("iferror(if($B223="""", ,filter(Playoff_Stats!F:Z,Playoff_Stats!A:A=$B223,Playoff_Stats!B:B=$A223)))"),"")</f>
        <v/>
      </c>
      <c r="K223" s="11"/>
      <c r="L223" s="12"/>
      <c r="M223" s="11"/>
      <c r="N223" s="11"/>
      <c r="O223" s="13"/>
      <c r="P223" s="14"/>
      <c r="Q223" s="13"/>
      <c r="R223" s="13"/>
      <c r="S223" s="15"/>
      <c r="T223" s="16"/>
      <c r="U223" s="16"/>
      <c r="V223" s="16"/>
      <c r="W223" s="16"/>
      <c r="X223" s="16"/>
      <c r="Y223" s="11"/>
      <c r="Z223" s="11"/>
      <c r="AA223" s="11"/>
      <c r="AB223" s="11"/>
      <c r="AC223" s="11"/>
      <c r="AD223" s="11"/>
    </row>
    <row r="224">
      <c r="A224" s="10"/>
      <c r="B224" s="10"/>
      <c r="C224" s="10"/>
      <c r="D224" s="10"/>
      <c r="E224" s="10"/>
      <c r="F224" s="11"/>
      <c r="G224" s="11"/>
      <c r="H224" s="11"/>
      <c r="I224" s="11"/>
      <c r="J224" s="11" t="str">
        <f>IFERROR(__xludf.DUMMYFUNCTION("iferror(if($B224="""", ,filter(Playoff_Stats!F:Z,Playoff_Stats!A:A=$B224,Playoff_Stats!B:B=$A224)))"),"")</f>
        <v/>
      </c>
      <c r="K224" s="11"/>
      <c r="L224" s="12"/>
      <c r="M224" s="11"/>
      <c r="N224" s="11"/>
      <c r="O224" s="13"/>
      <c r="P224" s="14"/>
      <c r="Q224" s="13"/>
      <c r="R224" s="13"/>
      <c r="S224" s="15"/>
      <c r="T224" s="16"/>
      <c r="U224" s="16"/>
      <c r="V224" s="16"/>
      <c r="W224" s="16"/>
      <c r="X224" s="16"/>
      <c r="Y224" s="11"/>
      <c r="Z224" s="11"/>
      <c r="AA224" s="11"/>
      <c r="AB224" s="11"/>
      <c r="AC224" s="11"/>
      <c r="AD224" s="11"/>
    </row>
    <row r="225">
      <c r="A225" s="10"/>
      <c r="B225" s="10"/>
      <c r="C225" s="10"/>
      <c r="D225" s="10"/>
      <c r="E225" s="10"/>
      <c r="F225" s="11"/>
      <c r="G225" s="11"/>
      <c r="H225" s="11"/>
      <c r="I225" s="11"/>
      <c r="J225" s="11" t="str">
        <f>IFERROR(__xludf.DUMMYFUNCTION("iferror(if($B225="""", ,filter(Playoff_Stats!F:Z,Playoff_Stats!A:A=$B225,Playoff_Stats!B:B=$A225)))"),"")</f>
        <v/>
      </c>
      <c r="K225" s="11"/>
      <c r="L225" s="12"/>
      <c r="M225" s="11"/>
      <c r="N225" s="11"/>
      <c r="O225" s="13"/>
      <c r="P225" s="14"/>
      <c r="Q225" s="13"/>
      <c r="R225" s="13"/>
      <c r="S225" s="15"/>
      <c r="T225" s="16"/>
      <c r="U225" s="16"/>
      <c r="V225" s="16"/>
      <c r="W225" s="16"/>
      <c r="X225" s="16"/>
      <c r="Y225" s="11"/>
      <c r="Z225" s="11"/>
      <c r="AA225" s="11"/>
      <c r="AB225" s="11"/>
      <c r="AC225" s="11"/>
      <c r="AD225" s="11"/>
    </row>
    <row r="226">
      <c r="A226" s="10"/>
      <c r="B226" s="10"/>
      <c r="C226" s="10"/>
      <c r="D226" s="10"/>
      <c r="E226" s="10"/>
      <c r="F226" s="11"/>
      <c r="G226" s="11"/>
      <c r="H226" s="11"/>
      <c r="I226" s="11"/>
      <c r="J226" s="11" t="str">
        <f>IFERROR(__xludf.DUMMYFUNCTION("iferror(if($B226="""", ,filter(Playoff_Stats!F:Z,Playoff_Stats!A:A=$B226,Playoff_Stats!B:B=$A226)))"),"")</f>
        <v/>
      </c>
      <c r="K226" s="11"/>
      <c r="L226" s="12"/>
      <c r="M226" s="11"/>
      <c r="N226" s="11"/>
      <c r="O226" s="13"/>
      <c r="P226" s="14"/>
      <c r="Q226" s="13"/>
      <c r="R226" s="13"/>
      <c r="S226" s="15"/>
      <c r="T226" s="16"/>
      <c r="U226" s="16"/>
      <c r="V226" s="16"/>
      <c r="W226" s="16"/>
      <c r="X226" s="16"/>
      <c r="Y226" s="11"/>
      <c r="Z226" s="11"/>
      <c r="AA226" s="11"/>
      <c r="AB226" s="11"/>
      <c r="AC226" s="11"/>
      <c r="AD226" s="11"/>
    </row>
    <row r="227">
      <c r="A227" s="10"/>
      <c r="B227" s="10"/>
      <c r="C227" s="10"/>
      <c r="D227" s="10"/>
      <c r="E227" s="10"/>
      <c r="F227" s="11"/>
      <c r="G227" s="11"/>
      <c r="H227" s="11"/>
      <c r="I227" s="11"/>
      <c r="J227" s="11" t="str">
        <f>IFERROR(__xludf.DUMMYFUNCTION("iferror(if($B227="""", ,filter(Playoff_Stats!F:Z,Playoff_Stats!A:A=$B227,Playoff_Stats!B:B=$A227)))"),"")</f>
        <v/>
      </c>
      <c r="K227" s="11"/>
      <c r="L227" s="12"/>
      <c r="M227" s="11"/>
      <c r="N227" s="11"/>
      <c r="O227" s="13"/>
      <c r="P227" s="14"/>
      <c r="Q227" s="13"/>
      <c r="R227" s="13"/>
      <c r="S227" s="15"/>
      <c r="T227" s="16"/>
      <c r="U227" s="16"/>
      <c r="V227" s="16"/>
      <c r="W227" s="16"/>
      <c r="X227" s="16"/>
      <c r="Y227" s="11"/>
      <c r="Z227" s="11"/>
      <c r="AA227" s="11"/>
      <c r="AB227" s="11"/>
      <c r="AC227" s="11"/>
      <c r="AD227" s="11"/>
    </row>
    <row r="228">
      <c r="A228" s="10"/>
      <c r="B228" s="10"/>
      <c r="C228" s="10"/>
      <c r="D228" s="10"/>
      <c r="E228" s="10"/>
      <c r="F228" s="11"/>
      <c r="G228" s="11"/>
      <c r="H228" s="11"/>
      <c r="I228" s="11"/>
      <c r="J228" s="11" t="str">
        <f>IFERROR(__xludf.DUMMYFUNCTION("iferror(if($B228="""", ,filter(Playoff_Stats!F:Z,Playoff_Stats!A:A=$B228,Playoff_Stats!B:B=$A228)))"),"")</f>
        <v/>
      </c>
      <c r="K228" s="11"/>
      <c r="L228" s="12"/>
      <c r="M228" s="11"/>
      <c r="N228" s="11"/>
      <c r="O228" s="13"/>
      <c r="P228" s="14"/>
      <c r="Q228" s="13"/>
      <c r="R228" s="13"/>
      <c r="S228" s="15"/>
      <c r="T228" s="16"/>
      <c r="U228" s="16"/>
      <c r="V228" s="16"/>
      <c r="W228" s="16"/>
      <c r="X228" s="16"/>
      <c r="Y228" s="11"/>
      <c r="Z228" s="11"/>
      <c r="AA228" s="11"/>
      <c r="AB228" s="11"/>
      <c r="AC228" s="11"/>
      <c r="AD228" s="11"/>
    </row>
    <row r="229">
      <c r="A229" s="10"/>
      <c r="B229" s="10"/>
      <c r="C229" s="10"/>
      <c r="D229" s="10"/>
      <c r="E229" s="10"/>
      <c r="F229" s="11"/>
      <c r="G229" s="11"/>
      <c r="H229" s="11"/>
      <c r="I229" s="11"/>
      <c r="J229" s="11" t="str">
        <f>IFERROR(__xludf.DUMMYFUNCTION("iferror(if($B229="""", ,filter(Playoff_Stats!F:Z,Playoff_Stats!A:A=$B229,Playoff_Stats!B:B=$A229)))"),"")</f>
        <v/>
      </c>
      <c r="K229" s="11"/>
      <c r="L229" s="12"/>
      <c r="M229" s="11"/>
      <c r="N229" s="11"/>
      <c r="O229" s="13"/>
      <c r="P229" s="14"/>
      <c r="Q229" s="13"/>
      <c r="R229" s="13"/>
      <c r="S229" s="15"/>
      <c r="T229" s="16"/>
      <c r="U229" s="16"/>
      <c r="V229" s="16"/>
      <c r="W229" s="16"/>
      <c r="X229" s="16"/>
      <c r="Y229" s="11"/>
      <c r="Z229" s="11"/>
      <c r="AA229" s="11"/>
      <c r="AB229" s="11"/>
      <c r="AC229" s="11"/>
      <c r="AD229" s="11"/>
    </row>
    <row r="230">
      <c r="A230" s="10"/>
      <c r="B230" s="10"/>
      <c r="C230" s="10"/>
      <c r="D230" s="10"/>
      <c r="E230" s="10"/>
      <c r="F230" s="11"/>
      <c r="G230" s="11"/>
      <c r="H230" s="11"/>
      <c r="I230" s="11"/>
      <c r="J230" s="11" t="str">
        <f>IFERROR(__xludf.DUMMYFUNCTION("iferror(if($B230="""", ,filter(Playoff_Stats!F:Z,Playoff_Stats!A:A=$B230,Playoff_Stats!B:B=$A230)))"),"")</f>
        <v/>
      </c>
      <c r="K230" s="11"/>
      <c r="L230" s="12"/>
      <c r="M230" s="11"/>
      <c r="N230" s="11"/>
      <c r="O230" s="13"/>
      <c r="P230" s="14"/>
      <c r="Q230" s="13"/>
      <c r="R230" s="13"/>
      <c r="S230" s="15"/>
      <c r="T230" s="16"/>
      <c r="U230" s="16"/>
      <c r="V230" s="16"/>
      <c r="W230" s="16"/>
      <c r="X230" s="16"/>
      <c r="Y230" s="11"/>
      <c r="Z230" s="11"/>
      <c r="AA230" s="11"/>
      <c r="AB230" s="11"/>
      <c r="AC230" s="11"/>
      <c r="AD230" s="11"/>
    </row>
    <row r="231">
      <c r="A231" s="10"/>
      <c r="B231" s="10"/>
      <c r="C231" s="10"/>
      <c r="D231" s="10"/>
      <c r="E231" s="10"/>
      <c r="F231" s="11"/>
      <c r="G231" s="11"/>
      <c r="H231" s="11"/>
      <c r="I231" s="11"/>
      <c r="J231" s="11" t="str">
        <f>IFERROR(__xludf.DUMMYFUNCTION("iferror(if($B231="""", ,filter(Playoff_Stats!F:Z,Playoff_Stats!A:A=$B231,Playoff_Stats!B:B=$A231)))"),"")</f>
        <v/>
      </c>
      <c r="K231" s="11"/>
      <c r="L231" s="12"/>
      <c r="M231" s="11"/>
      <c r="N231" s="11"/>
      <c r="O231" s="13"/>
      <c r="P231" s="14"/>
      <c r="Q231" s="13"/>
      <c r="R231" s="13"/>
      <c r="S231" s="15"/>
      <c r="T231" s="16"/>
      <c r="U231" s="16"/>
      <c r="V231" s="16"/>
      <c r="W231" s="16"/>
      <c r="X231" s="16"/>
      <c r="Y231" s="11"/>
      <c r="Z231" s="11"/>
      <c r="AA231" s="11"/>
      <c r="AB231" s="11"/>
      <c r="AC231" s="11"/>
      <c r="AD231" s="11"/>
    </row>
    <row r="232">
      <c r="A232" s="10"/>
      <c r="B232" s="10"/>
      <c r="C232" s="10"/>
      <c r="D232" s="10"/>
      <c r="E232" s="10"/>
      <c r="F232" s="11"/>
      <c r="G232" s="11"/>
      <c r="H232" s="11"/>
      <c r="I232" s="11"/>
      <c r="J232" s="11" t="str">
        <f>IFERROR(__xludf.DUMMYFUNCTION("iferror(if($B232="""", ,filter(Playoff_Stats!F:Z,Playoff_Stats!A:A=$B232,Playoff_Stats!B:B=$A232)))"),"")</f>
        <v/>
      </c>
      <c r="K232" s="11"/>
      <c r="L232" s="12"/>
      <c r="M232" s="11"/>
      <c r="N232" s="11"/>
      <c r="O232" s="13"/>
      <c r="P232" s="14"/>
      <c r="Q232" s="13"/>
      <c r="R232" s="13"/>
      <c r="S232" s="15"/>
      <c r="T232" s="16"/>
      <c r="U232" s="16"/>
      <c r="V232" s="16"/>
      <c r="W232" s="16"/>
      <c r="X232" s="16"/>
      <c r="Y232" s="11"/>
      <c r="Z232" s="11"/>
      <c r="AA232" s="11"/>
      <c r="AB232" s="11"/>
      <c r="AC232" s="11"/>
      <c r="AD232" s="11"/>
    </row>
    <row r="233">
      <c r="A233" s="10"/>
      <c r="B233" s="10"/>
      <c r="C233" s="10"/>
      <c r="D233" s="10"/>
      <c r="E233" s="10"/>
      <c r="F233" s="11"/>
      <c r="G233" s="11"/>
      <c r="H233" s="11"/>
      <c r="I233" s="11"/>
      <c r="J233" s="11" t="str">
        <f>IFERROR(__xludf.DUMMYFUNCTION("iferror(if($B233="""", ,filter(Playoff_Stats!F:Z,Playoff_Stats!A:A=$B233,Playoff_Stats!B:B=$A233)))"),"")</f>
        <v/>
      </c>
      <c r="K233" s="11"/>
      <c r="L233" s="12"/>
      <c r="M233" s="11"/>
      <c r="N233" s="11"/>
      <c r="O233" s="13"/>
      <c r="P233" s="14"/>
      <c r="Q233" s="13"/>
      <c r="R233" s="13"/>
      <c r="S233" s="15"/>
      <c r="T233" s="16"/>
      <c r="U233" s="16"/>
      <c r="V233" s="16"/>
      <c r="W233" s="16"/>
      <c r="X233" s="16"/>
      <c r="Y233" s="11"/>
      <c r="Z233" s="11"/>
      <c r="AA233" s="11"/>
      <c r="AB233" s="11"/>
      <c r="AC233" s="11"/>
      <c r="AD233" s="11"/>
    </row>
    <row r="234">
      <c r="A234" s="10"/>
      <c r="B234" s="10"/>
      <c r="C234" s="10"/>
      <c r="D234" s="10"/>
      <c r="E234" s="10"/>
      <c r="F234" s="11"/>
      <c r="G234" s="11"/>
      <c r="H234" s="11"/>
      <c r="I234" s="11"/>
      <c r="J234" s="11" t="str">
        <f>IFERROR(__xludf.DUMMYFUNCTION("iferror(if($B234="""", ,filter(Playoff_Stats!F:Z,Playoff_Stats!A:A=$B234,Playoff_Stats!B:B=$A234)))"),"")</f>
        <v/>
      </c>
      <c r="K234" s="11"/>
      <c r="L234" s="12"/>
      <c r="M234" s="11"/>
      <c r="N234" s="11"/>
      <c r="O234" s="13"/>
      <c r="P234" s="14"/>
      <c r="Q234" s="13"/>
      <c r="R234" s="13"/>
      <c r="S234" s="15"/>
      <c r="T234" s="16"/>
      <c r="U234" s="16"/>
      <c r="V234" s="16"/>
      <c r="W234" s="16"/>
      <c r="X234" s="16"/>
      <c r="Y234" s="11"/>
      <c r="Z234" s="11"/>
      <c r="AA234" s="11"/>
      <c r="AB234" s="11"/>
      <c r="AC234" s="11"/>
      <c r="AD234" s="11"/>
    </row>
    <row r="235">
      <c r="A235" s="10"/>
      <c r="B235" s="10"/>
      <c r="C235" s="10"/>
      <c r="D235" s="10"/>
      <c r="E235" s="10"/>
      <c r="F235" s="11"/>
      <c r="G235" s="11"/>
      <c r="H235" s="11"/>
      <c r="I235" s="11"/>
      <c r="J235" s="11" t="str">
        <f>IFERROR(__xludf.DUMMYFUNCTION("iferror(if($B235="""", ,filter(Playoff_Stats!F:Z,Playoff_Stats!A:A=$B235,Playoff_Stats!B:B=$A235)))"),"")</f>
        <v/>
      </c>
      <c r="K235" s="11"/>
      <c r="L235" s="12"/>
      <c r="M235" s="11"/>
      <c r="N235" s="11"/>
      <c r="O235" s="13"/>
      <c r="P235" s="14"/>
      <c r="Q235" s="13"/>
      <c r="R235" s="13"/>
      <c r="S235" s="15"/>
      <c r="T235" s="16"/>
      <c r="U235" s="16"/>
      <c r="V235" s="16"/>
      <c r="W235" s="16"/>
      <c r="X235" s="16"/>
      <c r="Y235" s="11"/>
      <c r="Z235" s="11"/>
      <c r="AA235" s="11"/>
      <c r="AB235" s="11"/>
      <c r="AC235" s="11"/>
      <c r="AD235" s="11"/>
    </row>
    <row r="236">
      <c r="A236" s="10"/>
      <c r="B236" s="10"/>
      <c r="C236" s="10"/>
      <c r="D236" s="10"/>
      <c r="E236" s="10"/>
      <c r="F236" s="11"/>
      <c r="G236" s="11"/>
      <c r="H236" s="11"/>
      <c r="I236" s="11"/>
      <c r="J236" s="11" t="str">
        <f>IFERROR(__xludf.DUMMYFUNCTION("iferror(if($B236="""", ,filter(Playoff_Stats!F:Z,Playoff_Stats!A:A=$B236,Playoff_Stats!B:B=$A236)))"),"")</f>
        <v/>
      </c>
      <c r="K236" s="11"/>
      <c r="L236" s="12"/>
      <c r="M236" s="11"/>
      <c r="N236" s="11"/>
      <c r="O236" s="13"/>
      <c r="P236" s="14"/>
      <c r="Q236" s="13"/>
      <c r="R236" s="13"/>
      <c r="S236" s="15"/>
      <c r="T236" s="16"/>
      <c r="U236" s="16"/>
      <c r="V236" s="16"/>
      <c r="W236" s="16"/>
      <c r="X236" s="16"/>
      <c r="Y236" s="11"/>
      <c r="Z236" s="11"/>
      <c r="AA236" s="11"/>
      <c r="AB236" s="11"/>
      <c r="AC236" s="11"/>
      <c r="AD236" s="11"/>
    </row>
    <row r="237">
      <c r="A237" s="10"/>
      <c r="B237" s="10"/>
      <c r="C237" s="10"/>
      <c r="D237" s="10"/>
      <c r="E237" s="10"/>
      <c r="F237" s="11"/>
      <c r="G237" s="11"/>
      <c r="H237" s="11"/>
      <c r="I237" s="11"/>
      <c r="J237" s="11" t="str">
        <f>IFERROR(__xludf.DUMMYFUNCTION("iferror(if($B237="""", ,filter(Playoff_Stats!F:Z,Playoff_Stats!A:A=$B237,Playoff_Stats!B:B=$A237)))"),"")</f>
        <v/>
      </c>
      <c r="K237" s="11"/>
      <c r="L237" s="12"/>
      <c r="M237" s="11"/>
      <c r="N237" s="11"/>
      <c r="O237" s="13"/>
      <c r="P237" s="14"/>
      <c r="Q237" s="13"/>
      <c r="R237" s="13"/>
      <c r="S237" s="15"/>
      <c r="T237" s="16"/>
      <c r="U237" s="16"/>
      <c r="V237" s="16"/>
      <c r="W237" s="16"/>
      <c r="X237" s="16"/>
      <c r="Y237" s="11"/>
      <c r="Z237" s="11"/>
      <c r="AA237" s="11"/>
      <c r="AB237" s="11"/>
      <c r="AC237" s="11"/>
      <c r="AD237" s="11"/>
    </row>
    <row r="238">
      <c r="A238" s="10"/>
      <c r="B238" s="10"/>
      <c r="C238" s="10"/>
      <c r="D238" s="10"/>
      <c r="E238" s="10"/>
      <c r="F238" s="11"/>
      <c r="G238" s="11"/>
      <c r="H238" s="11"/>
      <c r="I238" s="11"/>
      <c r="J238" s="11" t="str">
        <f>IFERROR(__xludf.DUMMYFUNCTION("iferror(if($B238="""", ,filter(Playoff_Stats!F:Z,Playoff_Stats!A:A=$B238,Playoff_Stats!B:B=$A238)))"),"")</f>
        <v/>
      </c>
      <c r="K238" s="11"/>
      <c r="L238" s="12"/>
      <c r="M238" s="11"/>
      <c r="N238" s="11"/>
      <c r="O238" s="13"/>
      <c r="P238" s="14"/>
      <c r="Q238" s="13"/>
      <c r="R238" s="13"/>
      <c r="S238" s="15"/>
      <c r="T238" s="16"/>
      <c r="U238" s="16"/>
      <c r="V238" s="16"/>
      <c r="W238" s="16"/>
      <c r="X238" s="16"/>
      <c r="Y238" s="11"/>
      <c r="Z238" s="11"/>
      <c r="AA238" s="11"/>
      <c r="AB238" s="11"/>
      <c r="AC238" s="11"/>
      <c r="AD238" s="11"/>
    </row>
    <row r="239">
      <c r="A239" s="10"/>
      <c r="B239" s="10"/>
      <c r="C239" s="10"/>
      <c r="D239" s="10"/>
      <c r="E239" s="10"/>
      <c r="F239" s="11"/>
      <c r="G239" s="11"/>
      <c r="H239" s="11"/>
      <c r="I239" s="11"/>
      <c r="J239" s="11" t="str">
        <f>IFERROR(__xludf.DUMMYFUNCTION("iferror(if($B239="""", ,filter(Playoff_Stats!F:Z,Playoff_Stats!A:A=$B239,Playoff_Stats!B:B=$A239)))"),"")</f>
        <v/>
      </c>
      <c r="K239" s="11"/>
      <c r="L239" s="12"/>
      <c r="M239" s="11"/>
      <c r="N239" s="11"/>
      <c r="O239" s="13"/>
      <c r="P239" s="14"/>
      <c r="Q239" s="13"/>
      <c r="R239" s="13"/>
      <c r="S239" s="15"/>
      <c r="T239" s="16"/>
      <c r="U239" s="16"/>
      <c r="V239" s="16"/>
      <c r="W239" s="16"/>
      <c r="X239" s="16"/>
      <c r="Y239" s="11"/>
      <c r="Z239" s="11"/>
      <c r="AA239" s="11"/>
      <c r="AB239" s="11"/>
      <c r="AC239" s="11"/>
      <c r="AD239" s="11"/>
    </row>
    <row r="240">
      <c r="A240" s="10"/>
      <c r="B240" s="10"/>
      <c r="C240" s="10"/>
      <c r="D240" s="10"/>
      <c r="E240" s="10"/>
      <c r="F240" s="11"/>
      <c r="G240" s="11"/>
      <c r="H240" s="11"/>
      <c r="I240" s="11"/>
      <c r="J240" s="11" t="str">
        <f>IFERROR(__xludf.DUMMYFUNCTION("iferror(if($B240="""", ,filter(Playoff_Stats!F:Z,Playoff_Stats!A:A=$B240,Playoff_Stats!B:B=$A240)))"),"")</f>
        <v/>
      </c>
      <c r="K240" s="11"/>
      <c r="L240" s="12"/>
      <c r="M240" s="11"/>
      <c r="N240" s="11"/>
      <c r="O240" s="13"/>
      <c r="P240" s="14"/>
      <c r="Q240" s="13"/>
      <c r="R240" s="13"/>
      <c r="S240" s="15"/>
      <c r="T240" s="16"/>
      <c r="U240" s="16"/>
      <c r="V240" s="16"/>
      <c r="W240" s="16"/>
      <c r="X240" s="16"/>
      <c r="Y240" s="11"/>
      <c r="Z240" s="11"/>
      <c r="AA240" s="11"/>
      <c r="AB240" s="11"/>
      <c r="AC240" s="11"/>
      <c r="AD240" s="11"/>
    </row>
    <row r="241">
      <c r="A241" s="10"/>
      <c r="B241" s="10"/>
      <c r="C241" s="10"/>
      <c r="D241" s="10"/>
      <c r="E241" s="10"/>
      <c r="F241" s="11"/>
      <c r="G241" s="11"/>
      <c r="H241" s="11"/>
      <c r="I241" s="11"/>
      <c r="J241" s="11" t="str">
        <f>IFERROR(__xludf.DUMMYFUNCTION("iferror(if($B241="""", ,filter(Playoff_Stats!F:Z,Playoff_Stats!A:A=$B241,Playoff_Stats!B:B=$A241)))"),"")</f>
        <v/>
      </c>
      <c r="K241" s="11"/>
      <c r="L241" s="12"/>
      <c r="M241" s="11"/>
      <c r="N241" s="11"/>
      <c r="O241" s="13"/>
      <c r="P241" s="14"/>
      <c r="Q241" s="13"/>
      <c r="R241" s="13"/>
      <c r="S241" s="15"/>
      <c r="T241" s="16"/>
      <c r="U241" s="16"/>
      <c r="V241" s="16"/>
      <c r="W241" s="16"/>
      <c r="X241" s="16"/>
      <c r="Y241" s="11"/>
      <c r="Z241" s="11"/>
      <c r="AA241" s="11"/>
      <c r="AB241" s="11"/>
      <c r="AC241" s="11"/>
      <c r="AD241" s="11"/>
    </row>
    <row r="242">
      <c r="A242" s="10"/>
      <c r="B242" s="10"/>
      <c r="C242" s="10"/>
      <c r="D242" s="10"/>
      <c r="E242" s="10"/>
      <c r="F242" s="11"/>
      <c r="G242" s="11"/>
      <c r="H242" s="11"/>
      <c r="I242" s="11"/>
      <c r="J242" s="11" t="str">
        <f>IFERROR(__xludf.DUMMYFUNCTION("iferror(if($B242="""", ,filter(Playoff_Stats!F:Z,Playoff_Stats!A:A=$B242,Playoff_Stats!B:B=$A242)))"),"")</f>
        <v/>
      </c>
      <c r="K242" s="11"/>
      <c r="L242" s="12"/>
      <c r="M242" s="11"/>
      <c r="N242" s="11"/>
      <c r="O242" s="13"/>
      <c r="P242" s="14"/>
      <c r="Q242" s="13"/>
      <c r="R242" s="13"/>
      <c r="S242" s="15"/>
      <c r="T242" s="16"/>
      <c r="U242" s="16"/>
      <c r="V242" s="16"/>
      <c r="W242" s="16"/>
      <c r="X242" s="16"/>
      <c r="Y242" s="11"/>
      <c r="Z242" s="11"/>
      <c r="AA242" s="11"/>
      <c r="AB242" s="11"/>
      <c r="AC242" s="11"/>
      <c r="AD242" s="11"/>
    </row>
    <row r="243">
      <c r="A243" s="10"/>
      <c r="B243" s="10"/>
      <c r="C243" s="10"/>
      <c r="D243" s="10"/>
      <c r="E243" s="10"/>
      <c r="F243" s="11"/>
      <c r="G243" s="11"/>
      <c r="H243" s="11"/>
      <c r="I243" s="11"/>
      <c r="J243" s="11" t="str">
        <f>IFERROR(__xludf.DUMMYFUNCTION("iferror(if($B243="""", ,filter(Playoff_Stats!F:Z,Playoff_Stats!A:A=$B243,Playoff_Stats!B:B=$A243)))"),"")</f>
        <v/>
      </c>
      <c r="K243" s="11"/>
      <c r="L243" s="12"/>
      <c r="M243" s="11"/>
      <c r="N243" s="11"/>
      <c r="O243" s="13"/>
      <c r="P243" s="14"/>
      <c r="Q243" s="13"/>
      <c r="R243" s="13"/>
      <c r="S243" s="15"/>
      <c r="T243" s="16"/>
      <c r="U243" s="16"/>
      <c r="V243" s="16"/>
      <c r="W243" s="16"/>
      <c r="X243" s="16"/>
      <c r="Y243" s="11"/>
      <c r="Z243" s="11"/>
      <c r="AA243" s="11"/>
      <c r="AB243" s="11"/>
      <c r="AC243" s="11"/>
      <c r="AD243" s="11"/>
    </row>
    <row r="244">
      <c r="A244" s="10"/>
      <c r="B244" s="10"/>
      <c r="C244" s="10"/>
      <c r="D244" s="10"/>
      <c r="E244" s="10"/>
      <c r="F244" s="11"/>
      <c r="G244" s="11"/>
      <c r="H244" s="11"/>
      <c r="I244" s="11"/>
      <c r="J244" s="11" t="str">
        <f>IFERROR(__xludf.DUMMYFUNCTION("iferror(if($B244="""", ,filter(Playoff_Stats!F:Z,Playoff_Stats!A:A=$B244,Playoff_Stats!B:B=$A244)))"),"")</f>
        <v/>
      </c>
      <c r="K244" s="11"/>
      <c r="L244" s="12"/>
      <c r="M244" s="11"/>
      <c r="N244" s="11"/>
      <c r="O244" s="13"/>
      <c r="P244" s="14"/>
      <c r="Q244" s="13"/>
      <c r="R244" s="13"/>
      <c r="S244" s="15"/>
      <c r="T244" s="16"/>
      <c r="U244" s="16"/>
      <c r="V244" s="16"/>
      <c r="W244" s="16"/>
      <c r="X244" s="16"/>
      <c r="Y244" s="11"/>
      <c r="Z244" s="11"/>
      <c r="AA244" s="11"/>
      <c r="AB244" s="11"/>
      <c r="AC244" s="11"/>
      <c r="AD244" s="11"/>
    </row>
    <row r="245">
      <c r="A245" s="10"/>
      <c r="B245" s="10"/>
      <c r="C245" s="10"/>
      <c r="D245" s="10"/>
      <c r="E245" s="10"/>
      <c r="F245" s="11"/>
      <c r="G245" s="11"/>
      <c r="H245" s="11"/>
      <c r="I245" s="11"/>
      <c r="J245" s="11" t="str">
        <f>IFERROR(__xludf.DUMMYFUNCTION("iferror(if($B245="""", ,filter(Playoff_Stats!F:Z,Playoff_Stats!A:A=$B245,Playoff_Stats!B:B=$A245)))"),"")</f>
        <v/>
      </c>
      <c r="K245" s="11"/>
      <c r="L245" s="12"/>
      <c r="M245" s="11"/>
      <c r="N245" s="11"/>
      <c r="O245" s="13"/>
      <c r="P245" s="14"/>
      <c r="Q245" s="13"/>
      <c r="R245" s="13"/>
      <c r="S245" s="15"/>
      <c r="T245" s="16"/>
      <c r="U245" s="16"/>
      <c r="V245" s="16"/>
      <c r="W245" s="16"/>
      <c r="X245" s="16"/>
      <c r="Y245" s="11"/>
      <c r="Z245" s="11"/>
      <c r="AA245" s="11"/>
      <c r="AB245" s="11"/>
      <c r="AC245" s="11"/>
      <c r="AD245" s="11"/>
    </row>
    <row r="246">
      <c r="A246" s="10"/>
      <c r="B246" s="10"/>
      <c r="C246" s="10"/>
      <c r="D246" s="10"/>
      <c r="E246" s="10"/>
      <c r="F246" s="11"/>
      <c r="G246" s="11"/>
      <c r="H246" s="11"/>
      <c r="I246" s="11"/>
      <c r="J246" s="11" t="str">
        <f>IFERROR(__xludf.DUMMYFUNCTION("iferror(if($B246="""", ,filter(Playoff_Stats!F:Z,Playoff_Stats!A:A=$B246,Playoff_Stats!B:B=$A246)))"),"")</f>
        <v/>
      </c>
      <c r="K246" s="11"/>
      <c r="L246" s="12"/>
      <c r="M246" s="11"/>
      <c r="N246" s="11"/>
      <c r="O246" s="13"/>
      <c r="P246" s="14"/>
      <c r="Q246" s="13"/>
      <c r="R246" s="13"/>
      <c r="S246" s="15"/>
      <c r="T246" s="16"/>
      <c r="U246" s="16"/>
      <c r="V246" s="16"/>
      <c r="W246" s="16"/>
      <c r="X246" s="16"/>
      <c r="Y246" s="11"/>
      <c r="Z246" s="11"/>
      <c r="AA246" s="11"/>
      <c r="AB246" s="11"/>
      <c r="AC246" s="11"/>
      <c r="AD246" s="11"/>
    </row>
    <row r="247">
      <c r="A247" s="10"/>
      <c r="B247" s="10"/>
      <c r="C247" s="10"/>
      <c r="D247" s="10"/>
      <c r="E247" s="10"/>
      <c r="F247" s="11"/>
      <c r="G247" s="11"/>
      <c r="H247" s="11"/>
      <c r="I247" s="11"/>
      <c r="J247" s="11" t="str">
        <f>IFERROR(__xludf.DUMMYFUNCTION("iferror(if($B247="""", ,filter(Playoff_Stats!F:Z,Playoff_Stats!A:A=$B247,Playoff_Stats!B:B=$A247)))"),"")</f>
        <v/>
      </c>
      <c r="K247" s="11"/>
      <c r="L247" s="12"/>
      <c r="M247" s="11"/>
      <c r="N247" s="11"/>
      <c r="O247" s="13"/>
      <c r="P247" s="14"/>
      <c r="Q247" s="13"/>
      <c r="R247" s="13"/>
      <c r="S247" s="15"/>
      <c r="T247" s="16"/>
      <c r="U247" s="16"/>
      <c r="V247" s="16"/>
      <c r="W247" s="16"/>
      <c r="X247" s="16"/>
      <c r="Y247" s="11"/>
      <c r="Z247" s="11"/>
      <c r="AA247" s="11"/>
      <c r="AB247" s="11"/>
      <c r="AC247" s="11"/>
      <c r="AD247" s="11"/>
    </row>
    <row r="248">
      <c r="A248" s="10"/>
      <c r="B248" s="10"/>
      <c r="C248" s="10"/>
      <c r="D248" s="10"/>
      <c r="E248" s="10"/>
      <c r="F248" s="11"/>
      <c r="G248" s="11"/>
      <c r="H248" s="11"/>
      <c r="I248" s="11"/>
      <c r="J248" s="11" t="str">
        <f>IFERROR(__xludf.DUMMYFUNCTION("iferror(if($B248="""", ,filter(Playoff_Stats!F:Z,Playoff_Stats!A:A=$B248,Playoff_Stats!B:B=$A248)))"),"")</f>
        <v/>
      </c>
      <c r="K248" s="11"/>
      <c r="L248" s="12"/>
      <c r="M248" s="11"/>
      <c r="N248" s="11"/>
      <c r="O248" s="13"/>
      <c r="P248" s="14"/>
      <c r="Q248" s="13"/>
      <c r="R248" s="13"/>
      <c r="S248" s="15"/>
      <c r="T248" s="16"/>
      <c r="U248" s="16"/>
      <c r="V248" s="16"/>
      <c r="W248" s="16"/>
      <c r="X248" s="16"/>
      <c r="Y248" s="11"/>
      <c r="Z248" s="11"/>
      <c r="AA248" s="11"/>
      <c r="AB248" s="11"/>
      <c r="AC248" s="11"/>
      <c r="AD248" s="11"/>
    </row>
    <row r="249">
      <c r="A249" s="10"/>
      <c r="B249" s="10"/>
      <c r="C249" s="10"/>
      <c r="D249" s="10"/>
      <c r="E249" s="10"/>
      <c r="F249" s="11"/>
      <c r="G249" s="11"/>
      <c r="H249" s="11"/>
      <c r="I249" s="11"/>
      <c r="J249" s="11" t="str">
        <f>IFERROR(__xludf.DUMMYFUNCTION("iferror(if($B249="""", ,filter(Playoff_Stats!F:Z,Playoff_Stats!A:A=$B249,Playoff_Stats!B:B=$A249)))"),"")</f>
        <v/>
      </c>
      <c r="K249" s="11"/>
      <c r="L249" s="12"/>
      <c r="M249" s="11"/>
      <c r="N249" s="11"/>
      <c r="O249" s="13"/>
      <c r="P249" s="14"/>
      <c r="Q249" s="13"/>
      <c r="R249" s="13"/>
      <c r="S249" s="15"/>
      <c r="T249" s="16"/>
      <c r="U249" s="16"/>
      <c r="V249" s="16"/>
      <c r="W249" s="16"/>
      <c r="X249" s="16"/>
      <c r="Y249" s="11"/>
      <c r="Z249" s="11"/>
      <c r="AA249" s="11"/>
      <c r="AB249" s="11"/>
      <c r="AC249" s="11"/>
      <c r="AD249" s="11"/>
    </row>
    <row r="250">
      <c r="A250" s="10"/>
      <c r="B250" s="10"/>
      <c r="C250" s="10"/>
      <c r="D250" s="10"/>
      <c r="E250" s="10"/>
      <c r="F250" s="11"/>
      <c r="G250" s="11"/>
      <c r="H250" s="11"/>
      <c r="I250" s="11"/>
      <c r="J250" s="11" t="str">
        <f>IFERROR(__xludf.DUMMYFUNCTION("iferror(if($B250="""", ,filter(Playoff_Stats!F:Z,Playoff_Stats!A:A=$B250,Playoff_Stats!B:B=$A250)))"),"")</f>
        <v/>
      </c>
      <c r="K250" s="11"/>
      <c r="L250" s="12"/>
      <c r="M250" s="11"/>
      <c r="N250" s="11"/>
      <c r="O250" s="13"/>
      <c r="P250" s="14"/>
      <c r="Q250" s="13"/>
      <c r="R250" s="13"/>
      <c r="S250" s="15"/>
      <c r="T250" s="16"/>
      <c r="U250" s="16"/>
      <c r="V250" s="16"/>
      <c r="W250" s="16"/>
      <c r="X250" s="16"/>
      <c r="Y250" s="11"/>
      <c r="Z250" s="11"/>
      <c r="AA250" s="11"/>
      <c r="AB250" s="11"/>
      <c r="AC250" s="11"/>
      <c r="AD250" s="11"/>
    </row>
    <row r="251">
      <c r="A251" s="10"/>
      <c r="B251" s="10"/>
      <c r="C251" s="10"/>
      <c r="D251" s="10"/>
      <c r="E251" s="10"/>
      <c r="F251" s="11"/>
      <c r="G251" s="11"/>
      <c r="H251" s="11"/>
      <c r="I251" s="11"/>
      <c r="J251" s="11" t="str">
        <f>IFERROR(__xludf.DUMMYFUNCTION("iferror(if($B251="""", ,filter(Playoff_Stats!F:Z,Playoff_Stats!A:A=$B251,Playoff_Stats!B:B=$A251)))"),"")</f>
        <v/>
      </c>
      <c r="K251" s="11"/>
      <c r="L251" s="12"/>
      <c r="M251" s="11"/>
      <c r="N251" s="11"/>
      <c r="O251" s="13"/>
      <c r="P251" s="14"/>
      <c r="Q251" s="13"/>
      <c r="R251" s="13"/>
      <c r="S251" s="15"/>
      <c r="T251" s="16"/>
      <c r="U251" s="16"/>
      <c r="V251" s="16"/>
      <c r="W251" s="16"/>
      <c r="X251" s="16"/>
      <c r="Y251" s="11"/>
      <c r="Z251" s="11"/>
      <c r="AA251" s="11"/>
      <c r="AB251" s="11"/>
      <c r="AC251" s="11"/>
      <c r="AD251" s="11"/>
    </row>
    <row r="252">
      <c r="A252" s="10"/>
      <c r="B252" s="10"/>
      <c r="C252" s="10"/>
      <c r="D252" s="10"/>
      <c r="E252" s="10"/>
      <c r="F252" s="11"/>
      <c r="G252" s="11"/>
      <c r="H252" s="11"/>
      <c r="I252" s="11"/>
      <c r="J252" s="11" t="str">
        <f>IFERROR(__xludf.DUMMYFUNCTION("iferror(if($B252="""", ,filter(Playoff_Stats!F:Z,Playoff_Stats!A:A=$B252,Playoff_Stats!B:B=$A252)))"),"")</f>
        <v/>
      </c>
      <c r="K252" s="11"/>
      <c r="L252" s="12"/>
      <c r="M252" s="11"/>
      <c r="N252" s="11"/>
      <c r="O252" s="13"/>
      <c r="P252" s="14"/>
      <c r="Q252" s="13"/>
      <c r="R252" s="13"/>
      <c r="S252" s="15"/>
      <c r="T252" s="16"/>
      <c r="U252" s="16"/>
      <c r="V252" s="16"/>
      <c r="W252" s="16"/>
      <c r="X252" s="16"/>
      <c r="Y252" s="11"/>
      <c r="Z252" s="11"/>
      <c r="AA252" s="11"/>
      <c r="AB252" s="11"/>
      <c r="AC252" s="11"/>
      <c r="AD252" s="11"/>
    </row>
    <row r="253">
      <c r="A253" s="10"/>
      <c r="B253" s="10"/>
      <c r="C253" s="10"/>
      <c r="D253" s="10"/>
      <c r="E253" s="10"/>
      <c r="F253" s="11"/>
      <c r="G253" s="11"/>
      <c r="H253" s="11"/>
      <c r="I253" s="11"/>
      <c r="J253" s="11" t="str">
        <f>IFERROR(__xludf.DUMMYFUNCTION("iferror(if($B253="""", ,filter(Playoff_Stats!F:Z,Playoff_Stats!A:A=$B253,Playoff_Stats!B:B=$A253)))"),"")</f>
        <v/>
      </c>
      <c r="K253" s="11"/>
      <c r="L253" s="12"/>
      <c r="M253" s="11"/>
      <c r="N253" s="11"/>
      <c r="O253" s="13"/>
      <c r="P253" s="14"/>
      <c r="Q253" s="13"/>
      <c r="R253" s="13"/>
      <c r="S253" s="15"/>
      <c r="T253" s="16"/>
      <c r="U253" s="16"/>
      <c r="V253" s="16"/>
      <c r="W253" s="16"/>
      <c r="X253" s="16"/>
      <c r="Y253" s="11"/>
      <c r="Z253" s="11"/>
      <c r="AA253" s="11"/>
      <c r="AB253" s="11"/>
      <c r="AC253" s="11"/>
      <c r="AD253" s="11"/>
    </row>
    <row r="254">
      <c r="A254" s="10"/>
      <c r="B254" s="10"/>
      <c r="C254" s="10"/>
      <c r="D254" s="10"/>
      <c r="E254" s="10"/>
      <c r="F254" s="11"/>
      <c r="G254" s="11"/>
      <c r="H254" s="11"/>
      <c r="I254" s="11"/>
      <c r="J254" s="11" t="str">
        <f>IFERROR(__xludf.DUMMYFUNCTION("iferror(if($B254="""", ,filter(Playoff_Stats!F:Z,Playoff_Stats!A:A=$B254,Playoff_Stats!B:B=$A254)))"),"")</f>
        <v/>
      </c>
      <c r="K254" s="11"/>
      <c r="L254" s="12"/>
      <c r="M254" s="11"/>
      <c r="N254" s="11"/>
      <c r="O254" s="13"/>
      <c r="P254" s="14"/>
      <c r="Q254" s="13"/>
      <c r="R254" s="13"/>
      <c r="S254" s="15"/>
      <c r="T254" s="16"/>
      <c r="U254" s="16"/>
      <c r="V254" s="16"/>
      <c r="W254" s="16"/>
      <c r="X254" s="16"/>
      <c r="Y254" s="11"/>
      <c r="Z254" s="11"/>
      <c r="AA254" s="11"/>
      <c r="AB254" s="11"/>
      <c r="AC254" s="11"/>
      <c r="AD254" s="11"/>
    </row>
    <row r="255">
      <c r="A255" s="10"/>
      <c r="B255" s="10"/>
      <c r="C255" s="10"/>
      <c r="D255" s="10"/>
      <c r="E255" s="10"/>
      <c r="F255" s="11"/>
      <c r="G255" s="11"/>
      <c r="H255" s="11"/>
      <c r="I255" s="11"/>
      <c r="J255" s="11" t="str">
        <f>IFERROR(__xludf.DUMMYFUNCTION("iferror(if($B255="""", ,filter(Playoff_Stats!F:Z,Playoff_Stats!A:A=$B255,Playoff_Stats!B:B=$A255)))"),"")</f>
        <v/>
      </c>
      <c r="K255" s="11"/>
      <c r="L255" s="12"/>
      <c r="M255" s="11"/>
      <c r="N255" s="11"/>
      <c r="O255" s="13"/>
      <c r="P255" s="14"/>
      <c r="Q255" s="13"/>
      <c r="R255" s="13"/>
      <c r="S255" s="15"/>
      <c r="T255" s="16"/>
      <c r="U255" s="16"/>
      <c r="V255" s="16"/>
      <c r="W255" s="16"/>
      <c r="X255" s="16"/>
      <c r="Y255" s="11"/>
      <c r="Z255" s="11"/>
      <c r="AA255" s="11"/>
      <c r="AB255" s="11"/>
      <c r="AC255" s="11"/>
      <c r="AD255" s="11"/>
    </row>
    <row r="256">
      <c r="A256" s="10"/>
      <c r="B256" s="10"/>
      <c r="C256" s="10"/>
      <c r="D256" s="10"/>
      <c r="E256" s="10"/>
      <c r="F256" s="11"/>
      <c r="G256" s="11"/>
      <c r="H256" s="11"/>
      <c r="I256" s="11"/>
      <c r="J256" s="11" t="str">
        <f>IFERROR(__xludf.DUMMYFUNCTION("iferror(if($B256="""", ,filter(Playoff_Stats!F:Z,Playoff_Stats!A:A=$B256,Playoff_Stats!B:B=$A256)))"),"")</f>
        <v/>
      </c>
      <c r="K256" s="11"/>
      <c r="L256" s="12"/>
      <c r="M256" s="11"/>
      <c r="N256" s="11"/>
      <c r="O256" s="13"/>
      <c r="P256" s="14"/>
      <c r="Q256" s="13"/>
      <c r="R256" s="13"/>
      <c r="S256" s="15"/>
      <c r="T256" s="16"/>
      <c r="U256" s="16"/>
      <c r="V256" s="16"/>
      <c r="W256" s="16"/>
      <c r="X256" s="16"/>
      <c r="Y256" s="11"/>
      <c r="Z256" s="11"/>
      <c r="AA256" s="11"/>
      <c r="AB256" s="11"/>
      <c r="AC256" s="11"/>
      <c r="AD256" s="11"/>
    </row>
    <row r="257">
      <c r="A257" s="10"/>
      <c r="B257" s="10"/>
      <c r="C257" s="10"/>
      <c r="D257" s="10"/>
      <c r="E257" s="10"/>
      <c r="F257" s="11"/>
      <c r="G257" s="11"/>
      <c r="H257" s="11"/>
      <c r="I257" s="11"/>
      <c r="J257" s="11" t="str">
        <f>IFERROR(__xludf.DUMMYFUNCTION("iferror(if($B257="""", ,filter(Playoff_Stats!F:Z,Playoff_Stats!A:A=$B257,Playoff_Stats!B:B=$A257)))"),"")</f>
        <v/>
      </c>
      <c r="K257" s="11"/>
      <c r="L257" s="12"/>
      <c r="M257" s="11"/>
      <c r="N257" s="11"/>
      <c r="O257" s="13"/>
      <c r="P257" s="14"/>
      <c r="Q257" s="13"/>
      <c r="R257" s="13"/>
      <c r="S257" s="15"/>
      <c r="T257" s="16"/>
      <c r="U257" s="16"/>
      <c r="V257" s="16"/>
      <c r="W257" s="16"/>
      <c r="X257" s="16"/>
      <c r="Y257" s="11"/>
      <c r="Z257" s="11"/>
      <c r="AA257" s="11"/>
      <c r="AB257" s="11"/>
      <c r="AC257" s="11"/>
      <c r="AD257" s="11"/>
    </row>
    <row r="258">
      <c r="A258" s="10"/>
      <c r="B258" s="10"/>
      <c r="C258" s="10"/>
      <c r="D258" s="10"/>
      <c r="E258" s="10"/>
      <c r="F258" s="11"/>
      <c r="G258" s="11"/>
      <c r="H258" s="11"/>
      <c r="I258" s="11"/>
      <c r="J258" s="11" t="str">
        <f>IFERROR(__xludf.DUMMYFUNCTION("iferror(if($B258="""", ,filter(Playoff_Stats!F:Z,Playoff_Stats!A:A=$B258,Playoff_Stats!B:B=$A258)))"),"")</f>
        <v/>
      </c>
      <c r="K258" s="11"/>
      <c r="L258" s="12"/>
      <c r="M258" s="11"/>
      <c r="N258" s="11"/>
      <c r="O258" s="13"/>
      <c r="P258" s="14"/>
      <c r="Q258" s="13"/>
      <c r="R258" s="13"/>
      <c r="S258" s="15"/>
      <c r="T258" s="16"/>
      <c r="U258" s="16"/>
      <c r="V258" s="16"/>
      <c r="W258" s="16"/>
      <c r="X258" s="16"/>
      <c r="Y258" s="11"/>
      <c r="Z258" s="11"/>
      <c r="AA258" s="11"/>
      <c r="AB258" s="11"/>
      <c r="AC258" s="11"/>
      <c r="AD258" s="11"/>
    </row>
    <row r="259">
      <c r="A259" s="10"/>
      <c r="B259" s="10"/>
      <c r="C259" s="10"/>
      <c r="D259" s="10"/>
      <c r="E259" s="10"/>
      <c r="F259" s="11"/>
      <c r="G259" s="11"/>
      <c r="H259" s="11"/>
      <c r="I259" s="11"/>
      <c r="J259" s="11" t="str">
        <f>IFERROR(__xludf.DUMMYFUNCTION("iferror(if($B259="""", ,filter(Playoff_Stats!F:Z,Playoff_Stats!A:A=$B259,Playoff_Stats!B:B=$A259)))"),"")</f>
        <v/>
      </c>
      <c r="K259" s="11"/>
      <c r="L259" s="12"/>
      <c r="M259" s="11"/>
      <c r="N259" s="11"/>
      <c r="O259" s="13"/>
      <c r="P259" s="14"/>
      <c r="Q259" s="13"/>
      <c r="R259" s="13"/>
      <c r="S259" s="15"/>
      <c r="T259" s="16"/>
      <c r="U259" s="16"/>
      <c r="V259" s="16"/>
      <c r="W259" s="16"/>
      <c r="X259" s="16"/>
      <c r="Y259" s="11"/>
      <c r="Z259" s="11"/>
      <c r="AA259" s="11"/>
      <c r="AB259" s="11"/>
      <c r="AC259" s="11"/>
      <c r="AD259" s="11"/>
    </row>
    <row r="260">
      <c r="A260" s="10"/>
      <c r="B260" s="10"/>
      <c r="C260" s="10"/>
      <c r="D260" s="10"/>
      <c r="E260" s="10"/>
      <c r="F260" s="11"/>
      <c r="G260" s="11"/>
      <c r="H260" s="11"/>
      <c r="I260" s="11"/>
      <c r="J260" s="11" t="str">
        <f>IFERROR(__xludf.DUMMYFUNCTION("iferror(if($B260="""", ,filter(Playoff_Stats!F:Z,Playoff_Stats!A:A=$B260,Playoff_Stats!B:B=$A260)))"),"")</f>
        <v/>
      </c>
      <c r="K260" s="11"/>
      <c r="L260" s="12"/>
      <c r="M260" s="11"/>
      <c r="N260" s="11"/>
      <c r="O260" s="13"/>
      <c r="P260" s="14"/>
      <c r="Q260" s="13"/>
      <c r="R260" s="13"/>
      <c r="S260" s="15"/>
      <c r="T260" s="16"/>
      <c r="U260" s="16"/>
      <c r="V260" s="16"/>
      <c r="W260" s="16"/>
      <c r="X260" s="16"/>
      <c r="Y260" s="11"/>
      <c r="Z260" s="11"/>
      <c r="AA260" s="11"/>
      <c r="AB260" s="11"/>
      <c r="AC260" s="11"/>
      <c r="AD260" s="11"/>
    </row>
    <row r="261">
      <c r="A261" s="10"/>
      <c r="B261" s="10"/>
      <c r="C261" s="10"/>
      <c r="D261" s="10"/>
      <c r="E261" s="10"/>
      <c r="F261" s="11"/>
      <c r="G261" s="11"/>
      <c r="H261" s="11"/>
      <c r="I261" s="11"/>
      <c r="J261" s="11" t="str">
        <f>IFERROR(__xludf.DUMMYFUNCTION("iferror(if($B261="""", ,filter(Playoff_Stats!F:Z,Playoff_Stats!A:A=$B261,Playoff_Stats!B:B=$A261)))"),"")</f>
        <v/>
      </c>
      <c r="K261" s="11"/>
      <c r="L261" s="12"/>
      <c r="M261" s="11"/>
      <c r="N261" s="11"/>
      <c r="O261" s="13"/>
      <c r="P261" s="14"/>
      <c r="Q261" s="13"/>
      <c r="R261" s="13"/>
      <c r="S261" s="15"/>
      <c r="T261" s="16"/>
      <c r="U261" s="16"/>
      <c r="V261" s="16"/>
      <c r="W261" s="16"/>
      <c r="X261" s="16"/>
      <c r="Y261" s="11"/>
      <c r="Z261" s="11"/>
      <c r="AA261" s="11"/>
      <c r="AB261" s="11"/>
      <c r="AC261" s="11"/>
      <c r="AD261" s="11"/>
    </row>
    <row r="262">
      <c r="A262" s="10"/>
      <c r="B262" s="10"/>
      <c r="C262" s="10"/>
      <c r="D262" s="10"/>
      <c r="E262" s="10"/>
      <c r="F262" s="11"/>
      <c r="G262" s="11"/>
      <c r="H262" s="11"/>
      <c r="I262" s="11"/>
      <c r="J262" s="11" t="str">
        <f>IFERROR(__xludf.DUMMYFUNCTION("iferror(if($B262="""", ,filter(Playoff_Stats!F:Z,Playoff_Stats!A:A=$B262,Playoff_Stats!B:B=$A262)))"),"")</f>
        <v/>
      </c>
      <c r="K262" s="11"/>
      <c r="L262" s="12"/>
      <c r="M262" s="11"/>
      <c r="N262" s="11"/>
      <c r="O262" s="13"/>
      <c r="P262" s="14"/>
      <c r="Q262" s="13"/>
      <c r="R262" s="13"/>
      <c r="S262" s="15"/>
      <c r="T262" s="16"/>
      <c r="U262" s="16"/>
      <c r="V262" s="16"/>
      <c r="W262" s="16"/>
      <c r="X262" s="16"/>
      <c r="Y262" s="11"/>
      <c r="Z262" s="11"/>
      <c r="AA262" s="11"/>
      <c r="AB262" s="11"/>
      <c r="AC262" s="11"/>
      <c r="AD262" s="11"/>
    </row>
    <row r="263">
      <c r="A263" s="10"/>
      <c r="B263" s="10"/>
      <c r="C263" s="10"/>
      <c r="D263" s="10"/>
      <c r="E263" s="10"/>
      <c r="F263" s="11"/>
      <c r="G263" s="11"/>
      <c r="H263" s="11"/>
      <c r="I263" s="11"/>
      <c r="J263" s="11" t="str">
        <f>IFERROR(__xludf.DUMMYFUNCTION("iferror(if($B263="""", ,filter(Playoff_Stats!F:Z,Playoff_Stats!A:A=$B263,Playoff_Stats!B:B=$A263)))"),"")</f>
        <v/>
      </c>
      <c r="K263" s="11"/>
      <c r="L263" s="12"/>
      <c r="M263" s="11"/>
      <c r="N263" s="11"/>
      <c r="O263" s="13"/>
      <c r="P263" s="14"/>
      <c r="Q263" s="13"/>
      <c r="R263" s="13"/>
      <c r="S263" s="15"/>
      <c r="T263" s="16"/>
      <c r="U263" s="16"/>
      <c r="V263" s="16"/>
      <c r="W263" s="16"/>
      <c r="X263" s="16"/>
      <c r="Y263" s="11"/>
      <c r="Z263" s="11"/>
      <c r="AA263" s="11"/>
      <c r="AB263" s="11"/>
      <c r="AC263" s="11"/>
      <c r="AD263" s="11"/>
    </row>
    <row r="264">
      <c r="A264" s="10"/>
      <c r="B264" s="10"/>
      <c r="C264" s="10"/>
      <c r="D264" s="10"/>
      <c r="E264" s="10"/>
      <c r="F264" s="11"/>
      <c r="G264" s="11"/>
      <c r="H264" s="11"/>
      <c r="I264" s="11"/>
      <c r="J264" s="11" t="str">
        <f>IFERROR(__xludf.DUMMYFUNCTION("iferror(if($B264="""", ,filter(Playoff_Stats!F:Z,Playoff_Stats!A:A=$B264,Playoff_Stats!B:B=$A264)))"),"")</f>
        <v/>
      </c>
      <c r="K264" s="11"/>
      <c r="L264" s="12"/>
      <c r="M264" s="11"/>
      <c r="N264" s="11"/>
      <c r="O264" s="13"/>
      <c r="P264" s="14"/>
      <c r="Q264" s="13"/>
      <c r="R264" s="13"/>
      <c r="S264" s="15"/>
      <c r="T264" s="16"/>
      <c r="U264" s="16"/>
      <c r="V264" s="16"/>
      <c r="W264" s="16"/>
      <c r="X264" s="16"/>
      <c r="Y264" s="11"/>
      <c r="Z264" s="11"/>
      <c r="AA264" s="11"/>
      <c r="AB264" s="11"/>
      <c r="AC264" s="11"/>
      <c r="AD264" s="11"/>
    </row>
    <row r="265">
      <c r="A265" s="10"/>
      <c r="B265" s="10"/>
      <c r="C265" s="10"/>
      <c r="D265" s="10"/>
      <c r="E265" s="10"/>
      <c r="F265" s="11"/>
      <c r="G265" s="11"/>
      <c r="H265" s="11"/>
      <c r="I265" s="11"/>
      <c r="J265" s="11" t="str">
        <f>IFERROR(__xludf.DUMMYFUNCTION("iferror(if($B265="""", ,filter(Playoff_Stats!F:Z,Playoff_Stats!A:A=$B265,Playoff_Stats!B:B=$A265)))"),"")</f>
        <v/>
      </c>
      <c r="K265" s="11"/>
      <c r="L265" s="12"/>
      <c r="M265" s="11"/>
      <c r="N265" s="11"/>
      <c r="O265" s="13"/>
      <c r="P265" s="14"/>
      <c r="Q265" s="13"/>
      <c r="R265" s="13"/>
      <c r="S265" s="15"/>
      <c r="T265" s="16"/>
      <c r="U265" s="16"/>
      <c r="V265" s="16"/>
      <c r="W265" s="16"/>
      <c r="X265" s="16"/>
      <c r="Y265" s="11"/>
      <c r="Z265" s="11"/>
      <c r="AA265" s="11"/>
      <c r="AB265" s="11"/>
      <c r="AC265" s="11"/>
      <c r="AD265" s="11"/>
    </row>
    <row r="266">
      <c r="A266" s="10"/>
      <c r="B266" s="10"/>
      <c r="C266" s="10"/>
      <c r="D266" s="10"/>
      <c r="E266" s="10"/>
      <c r="F266" s="11"/>
      <c r="G266" s="11"/>
      <c r="H266" s="11"/>
      <c r="I266" s="11"/>
      <c r="J266" s="11" t="str">
        <f>IFERROR(__xludf.DUMMYFUNCTION("iferror(if($B266="""", ,filter(Playoff_Stats!F:Z,Playoff_Stats!A:A=$B266,Playoff_Stats!B:B=$A266)))"),"")</f>
        <v/>
      </c>
      <c r="K266" s="11"/>
      <c r="L266" s="12"/>
      <c r="M266" s="11"/>
      <c r="N266" s="11"/>
      <c r="O266" s="13"/>
      <c r="P266" s="14"/>
      <c r="Q266" s="13"/>
      <c r="R266" s="13"/>
      <c r="S266" s="15"/>
      <c r="T266" s="16"/>
      <c r="U266" s="16"/>
      <c r="V266" s="16"/>
      <c r="W266" s="16"/>
      <c r="X266" s="16"/>
      <c r="Y266" s="11"/>
      <c r="Z266" s="11"/>
      <c r="AA266" s="11"/>
      <c r="AB266" s="11"/>
      <c r="AC266" s="11"/>
      <c r="AD266" s="11"/>
    </row>
    <row r="267">
      <c r="A267" s="10"/>
      <c r="B267" s="10"/>
      <c r="C267" s="10"/>
      <c r="D267" s="10"/>
      <c r="E267" s="10"/>
      <c r="F267" s="11"/>
      <c r="G267" s="11"/>
      <c r="H267" s="11"/>
      <c r="I267" s="11"/>
      <c r="J267" s="11" t="str">
        <f>IFERROR(__xludf.DUMMYFUNCTION("iferror(if($B267="""", ,filter(Playoff_Stats!F:Z,Playoff_Stats!A:A=$B267,Playoff_Stats!B:B=$A267)))"),"")</f>
        <v/>
      </c>
      <c r="K267" s="11"/>
      <c r="L267" s="12"/>
      <c r="M267" s="11"/>
      <c r="N267" s="11"/>
      <c r="O267" s="13"/>
      <c r="P267" s="14"/>
      <c r="Q267" s="13"/>
      <c r="R267" s="13"/>
      <c r="S267" s="15"/>
      <c r="T267" s="16"/>
      <c r="U267" s="16"/>
      <c r="V267" s="16"/>
      <c r="W267" s="16"/>
      <c r="X267" s="16"/>
      <c r="Y267" s="11"/>
      <c r="Z267" s="11"/>
      <c r="AA267" s="11"/>
      <c r="AB267" s="11"/>
      <c r="AC267" s="11"/>
      <c r="AD267" s="11"/>
    </row>
    <row r="268">
      <c r="A268" s="10"/>
      <c r="B268" s="10"/>
      <c r="C268" s="10"/>
      <c r="D268" s="10"/>
      <c r="E268" s="10"/>
      <c r="F268" s="11"/>
      <c r="G268" s="11"/>
      <c r="H268" s="11"/>
      <c r="I268" s="11"/>
      <c r="J268" s="11" t="str">
        <f>IFERROR(__xludf.DUMMYFUNCTION("iferror(if($B268="""", ,filter(Playoff_Stats!F:Z,Playoff_Stats!A:A=$B268,Playoff_Stats!B:B=$A268)))"),"")</f>
        <v/>
      </c>
      <c r="K268" s="11"/>
      <c r="L268" s="12"/>
      <c r="M268" s="11"/>
      <c r="N268" s="11"/>
      <c r="O268" s="13"/>
      <c r="P268" s="14"/>
      <c r="Q268" s="13"/>
      <c r="R268" s="13"/>
      <c r="S268" s="15"/>
      <c r="T268" s="16"/>
      <c r="U268" s="16"/>
      <c r="V268" s="16"/>
      <c r="W268" s="16"/>
      <c r="X268" s="16"/>
      <c r="Y268" s="11"/>
      <c r="Z268" s="11"/>
      <c r="AA268" s="11"/>
      <c r="AB268" s="11"/>
      <c r="AC268" s="11"/>
      <c r="AD268" s="11"/>
    </row>
    <row r="269">
      <c r="A269" s="10"/>
      <c r="B269" s="10"/>
      <c r="C269" s="10"/>
      <c r="D269" s="10"/>
      <c r="E269" s="10"/>
      <c r="F269" s="11"/>
      <c r="G269" s="11"/>
      <c r="H269" s="11"/>
      <c r="I269" s="11"/>
      <c r="J269" s="11" t="str">
        <f>IFERROR(__xludf.DUMMYFUNCTION("iferror(if($B269="""", ,filter(Playoff_Stats!F:Z,Playoff_Stats!A:A=$B269,Playoff_Stats!B:B=$A269)))"),"")</f>
        <v/>
      </c>
      <c r="K269" s="11"/>
      <c r="L269" s="12"/>
      <c r="M269" s="11"/>
      <c r="N269" s="11"/>
      <c r="O269" s="13"/>
      <c r="P269" s="14"/>
      <c r="Q269" s="13"/>
      <c r="R269" s="13"/>
      <c r="S269" s="15"/>
      <c r="T269" s="16"/>
      <c r="U269" s="16"/>
      <c r="V269" s="16"/>
      <c r="W269" s="16"/>
      <c r="X269" s="16"/>
      <c r="Y269" s="11"/>
      <c r="Z269" s="11"/>
      <c r="AA269" s="11"/>
      <c r="AB269" s="11"/>
      <c r="AC269" s="11"/>
      <c r="AD269" s="11"/>
    </row>
    <row r="270">
      <c r="A270" s="10"/>
      <c r="B270" s="10"/>
      <c r="C270" s="10"/>
      <c r="D270" s="10"/>
      <c r="E270" s="10"/>
      <c r="F270" s="11"/>
      <c r="G270" s="11"/>
      <c r="H270" s="11"/>
      <c r="I270" s="11"/>
      <c r="J270" s="11" t="str">
        <f>IFERROR(__xludf.DUMMYFUNCTION("iferror(if($B270="""", ,filter(Playoff_Stats!F:Z,Playoff_Stats!A:A=$B270,Playoff_Stats!B:B=$A270)))"),"")</f>
        <v/>
      </c>
      <c r="K270" s="11"/>
      <c r="L270" s="12"/>
      <c r="M270" s="11"/>
      <c r="N270" s="11"/>
      <c r="O270" s="13"/>
      <c r="P270" s="14"/>
      <c r="Q270" s="13"/>
      <c r="R270" s="13"/>
      <c r="S270" s="15"/>
      <c r="T270" s="16"/>
      <c r="U270" s="16"/>
      <c r="V270" s="16"/>
      <c r="W270" s="16"/>
      <c r="X270" s="16"/>
      <c r="Y270" s="11"/>
      <c r="Z270" s="11"/>
      <c r="AA270" s="11"/>
      <c r="AB270" s="11"/>
      <c r="AC270" s="11"/>
      <c r="AD270" s="11"/>
    </row>
    <row r="271">
      <c r="A271" s="10"/>
      <c r="B271" s="10"/>
      <c r="C271" s="10"/>
      <c r="D271" s="10"/>
      <c r="E271" s="10"/>
      <c r="F271" s="11"/>
      <c r="G271" s="11"/>
      <c r="H271" s="11"/>
      <c r="I271" s="11"/>
      <c r="J271" s="11" t="str">
        <f>IFERROR(__xludf.DUMMYFUNCTION("iferror(if($B271="""", ,filter(Playoff_Stats!F:Z,Playoff_Stats!A:A=$B271,Playoff_Stats!B:B=$A271)))"),"")</f>
        <v/>
      </c>
      <c r="K271" s="11"/>
      <c r="L271" s="12"/>
      <c r="M271" s="11"/>
      <c r="N271" s="11"/>
      <c r="O271" s="13"/>
      <c r="P271" s="14"/>
      <c r="Q271" s="13"/>
      <c r="R271" s="13"/>
      <c r="S271" s="15"/>
      <c r="T271" s="16"/>
      <c r="U271" s="16"/>
      <c r="V271" s="16"/>
      <c r="W271" s="16"/>
      <c r="X271" s="16"/>
      <c r="Y271" s="11"/>
      <c r="Z271" s="11"/>
      <c r="AA271" s="11"/>
      <c r="AB271" s="11"/>
      <c r="AC271" s="11"/>
      <c r="AD271" s="11"/>
    </row>
    <row r="272">
      <c r="A272" s="10"/>
      <c r="B272" s="10"/>
      <c r="C272" s="10"/>
      <c r="D272" s="10"/>
      <c r="E272" s="10"/>
      <c r="F272" s="11"/>
      <c r="G272" s="11"/>
      <c r="H272" s="11"/>
      <c r="I272" s="11"/>
      <c r="J272" s="11" t="str">
        <f>IFERROR(__xludf.DUMMYFUNCTION("iferror(if($B272="""", ,filter(Playoff_Stats!F:Z,Playoff_Stats!A:A=$B272,Playoff_Stats!B:B=$A272)))"),"")</f>
        <v/>
      </c>
      <c r="K272" s="11"/>
      <c r="L272" s="12"/>
      <c r="M272" s="11"/>
      <c r="N272" s="11"/>
      <c r="O272" s="13"/>
      <c r="P272" s="14"/>
      <c r="Q272" s="13"/>
      <c r="R272" s="13"/>
      <c r="S272" s="15"/>
      <c r="T272" s="16"/>
      <c r="U272" s="16"/>
      <c r="V272" s="16"/>
      <c r="W272" s="16"/>
      <c r="X272" s="16"/>
      <c r="Y272" s="11"/>
      <c r="Z272" s="11"/>
      <c r="AA272" s="11"/>
      <c r="AB272" s="11"/>
      <c r="AC272" s="11"/>
      <c r="AD272" s="11"/>
    </row>
    <row r="273">
      <c r="A273" s="10"/>
      <c r="B273" s="10"/>
      <c r="C273" s="10"/>
      <c r="D273" s="10"/>
      <c r="E273" s="10"/>
      <c r="F273" s="11"/>
      <c r="G273" s="11"/>
      <c r="H273" s="11"/>
      <c r="I273" s="11"/>
      <c r="J273" s="11" t="str">
        <f>IFERROR(__xludf.DUMMYFUNCTION("iferror(if($B273="""", ,filter(Playoff_Stats!F:Z,Playoff_Stats!A:A=$B273,Playoff_Stats!B:B=$A273)))"),"")</f>
        <v/>
      </c>
      <c r="K273" s="11"/>
      <c r="L273" s="12"/>
      <c r="M273" s="11"/>
      <c r="N273" s="11"/>
      <c r="O273" s="13"/>
      <c r="P273" s="14"/>
      <c r="Q273" s="13"/>
      <c r="R273" s="13"/>
      <c r="S273" s="15"/>
      <c r="T273" s="16"/>
      <c r="U273" s="16"/>
      <c r="V273" s="16"/>
      <c r="W273" s="16"/>
      <c r="X273" s="16"/>
      <c r="Y273" s="11"/>
      <c r="Z273" s="11"/>
      <c r="AA273" s="11"/>
      <c r="AB273" s="11"/>
      <c r="AC273" s="11"/>
      <c r="AD273" s="11"/>
    </row>
    <row r="274">
      <c r="A274" s="10"/>
      <c r="B274" s="10"/>
      <c r="C274" s="10"/>
      <c r="D274" s="10"/>
      <c r="E274" s="10"/>
      <c r="F274" s="11"/>
      <c r="G274" s="11"/>
      <c r="H274" s="11"/>
      <c r="I274" s="11"/>
      <c r="J274" s="11" t="str">
        <f>IFERROR(__xludf.DUMMYFUNCTION("iferror(if($B274="""", ,filter(Playoff_Stats!F:Z,Playoff_Stats!A:A=$B274,Playoff_Stats!B:B=$A274)))"),"")</f>
        <v/>
      </c>
      <c r="K274" s="11"/>
      <c r="L274" s="12"/>
      <c r="M274" s="11"/>
      <c r="N274" s="11"/>
      <c r="O274" s="13"/>
      <c r="P274" s="14"/>
      <c r="Q274" s="13"/>
      <c r="R274" s="13"/>
      <c r="S274" s="15"/>
      <c r="T274" s="16"/>
      <c r="U274" s="16"/>
      <c r="V274" s="16"/>
      <c r="W274" s="16"/>
      <c r="X274" s="16"/>
      <c r="Y274" s="11"/>
      <c r="Z274" s="11"/>
      <c r="AA274" s="11"/>
      <c r="AB274" s="11"/>
      <c r="AC274" s="11"/>
      <c r="AD274" s="11"/>
    </row>
    <row r="275">
      <c r="A275" s="10"/>
      <c r="B275" s="10"/>
      <c r="C275" s="10"/>
      <c r="D275" s="10"/>
      <c r="E275" s="10"/>
      <c r="F275" s="11"/>
      <c r="G275" s="11"/>
      <c r="H275" s="11"/>
      <c r="I275" s="11"/>
      <c r="J275" s="11" t="str">
        <f>IFERROR(__xludf.DUMMYFUNCTION("iferror(if($B275="""", ,filter(Playoff_Stats!F:Z,Playoff_Stats!A:A=$B275,Playoff_Stats!B:B=$A275)))"),"")</f>
        <v/>
      </c>
      <c r="K275" s="11"/>
      <c r="L275" s="12"/>
      <c r="M275" s="11"/>
      <c r="N275" s="11"/>
      <c r="O275" s="13"/>
      <c r="P275" s="14"/>
      <c r="Q275" s="13"/>
      <c r="R275" s="13"/>
      <c r="S275" s="15"/>
      <c r="T275" s="16"/>
      <c r="U275" s="16"/>
      <c r="V275" s="16"/>
      <c r="W275" s="16"/>
      <c r="X275" s="16"/>
      <c r="Y275" s="11"/>
      <c r="Z275" s="11"/>
      <c r="AA275" s="11"/>
      <c r="AB275" s="11"/>
      <c r="AC275" s="11"/>
      <c r="AD275" s="11"/>
    </row>
    <row r="276">
      <c r="A276" s="10"/>
      <c r="B276" s="10"/>
      <c r="C276" s="10"/>
      <c r="D276" s="10"/>
      <c r="E276" s="10"/>
      <c r="F276" s="11"/>
      <c r="G276" s="11"/>
      <c r="H276" s="11"/>
      <c r="I276" s="11"/>
      <c r="J276" s="11" t="str">
        <f>IFERROR(__xludf.DUMMYFUNCTION("iferror(if($B276="""", ,filter(Playoff_Stats!F:Z,Playoff_Stats!A:A=$B276,Playoff_Stats!B:B=$A276)))"),"")</f>
        <v/>
      </c>
      <c r="K276" s="11"/>
      <c r="L276" s="12"/>
      <c r="M276" s="11"/>
      <c r="N276" s="11"/>
      <c r="O276" s="13"/>
      <c r="P276" s="14"/>
      <c r="Q276" s="13"/>
      <c r="R276" s="13"/>
      <c r="S276" s="15"/>
      <c r="T276" s="16"/>
      <c r="U276" s="16"/>
      <c r="V276" s="16"/>
      <c r="W276" s="16"/>
      <c r="X276" s="16"/>
      <c r="Y276" s="11"/>
      <c r="Z276" s="11"/>
      <c r="AA276" s="11"/>
      <c r="AB276" s="11"/>
      <c r="AC276" s="11"/>
      <c r="AD276" s="11"/>
    </row>
    <row r="277">
      <c r="A277" s="10"/>
      <c r="B277" s="10"/>
      <c r="C277" s="10"/>
      <c r="D277" s="10"/>
      <c r="E277" s="10"/>
      <c r="F277" s="11"/>
      <c r="G277" s="11"/>
      <c r="H277" s="11"/>
      <c r="I277" s="11"/>
      <c r="J277" s="11" t="str">
        <f>IFERROR(__xludf.DUMMYFUNCTION("iferror(if($B277="""", ,filter(Playoff_Stats!F:Z,Playoff_Stats!A:A=$B277,Playoff_Stats!B:B=$A277)))"),"")</f>
        <v/>
      </c>
      <c r="K277" s="11"/>
      <c r="L277" s="12"/>
      <c r="M277" s="11"/>
      <c r="N277" s="11"/>
      <c r="O277" s="13"/>
      <c r="P277" s="14"/>
      <c r="Q277" s="13"/>
      <c r="R277" s="13"/>
      <c r="S277" s="15"/>
      <c r="T277" s="16"/>
      <c r="U277" s="16"/>
      <c r="V277" s="16"/>
      <c r="W277" s="16"/>
      <c r="X277" s="16"/>
      <c r="Y277" s="11"/>
      <c r="Z277" s="11"/>
      <c r="AA277" s="11"/>
      <c r="AB277" s="11"/>
      <c r="AC277" s="11"/>
      <c r="AD277" s="11"/>
    </row>
    <row r="278">
      <c r="A278" s="10"/>
      <c r="B278" s="10"/>
      <c r="C278" s="10"/>
      <c r="D278" s="10"/>
      <c r="E278" s="10"/>
      <c r="F278" s="11"/>
      <c r="G278" s="11"/>
      <c r="H278" s="11"/>
      <c r="I278" s="11"/>
      <c r="J278" s="11" t="str">
        <f>IFERROR(__xludf.DUMMYFUNCTION("iferror(if($B278="""", ,filter(Playoff_Stats!F:Z,Playoff_Stats!A:A=$B278,Playoff_Stats!B:B=$A278)))"),"")</f>
        <v/>
      </c>
      <c r="K278" s="11"/>
      <c r="L278" s="12"/>
      <c r="M278" s="11"/>
      <c r="N278" s="11"/>
      <c r="O278" s="13"/>
      <c r="P278" s="14"/>
      <c r="Q278" s="13"/>
      <c r="R278" s="13"/>
      <c r="S278" s="15"/>
      <c r="T278" s="16"/>
      <c r="U278" s="16"/>
      <c r="V278" s="16"/>
      <c r="W278" s="16"/>
      <c r="X278" s="16"/>
      <c r="Y278" s="11"/>
      <c r="Z278" s="11"/>
      <c r="AA278" s="11"/>
      <c r="AB278" s="11"/>
      <c r="AC278" s="11"/>
      <c r="AD278" s="11"/>
    </row>
    <row r="279">
      <c r="A279" s="10"/>
      <c r="B279" s="10"/>
      <c r="C279" s="10"/>
      <c r="D279" s="10"/>
      <c r="E279" s="10"/>
      <c r="F279" s="11"/>
      <c r="G279" s="11"/>
      <c r="H279" s="11"/>
      <c r="I279" s="11"/>
      <c r="J279" s="11" t="str">
        <f>IFERROR(__xludf.DUMMYFUNCTION("iferror(if($B279="""", ,filter(Playoff_Stats!F:Z,Playoff_Stats!A:A=$B279,Playoff_Stats!B:B=$A279)))"),"")</f>
        <v/>
      </c>
      <c r="K279" s="11"/>
      <c r="L279" s="12"/>
      <c r="M279" s="11"/>
      <c r="N279" s="11"/>
      <c r="O279" s="13"/>
      <c r="P279" s="14"/>
      <c r="Q279" s="13"/>
      <c r="R279" s="13"/>
      <c r="S279" s="15"/>
      <c r="T279" s="16"/>
      <c r="U279" s="16"/>
      <c r="V279" s="16"/>
      <c r="W279" s="16"/>
      <c r="X279" s="16"/>
      <c r="Y279" s="11"/>
      <c r="Z279" s="11"/>
      <c r="AA279" s="11"/>
      <c r="AB279" s="11"/>
      <c r="AC279" s="11"/>
      <c r="AD279" s="11"/>
    </row>
    <row r="280">
      <c r="A280" s="10"/>
      <c r="B280" s="10"/>
      <c r="C280" s="10"/>
      <c r="D280" s="10"/>
      <c r="E280" s="10"/>
      <c r="F280" s="11"/>
      <c r="G280" s="11"/>
      <c r="H280" s="11"/>
      <c r="I280" s="11"/>
      <c r="J280" s="11" t="str">
        <f>IFERROR(__xludf.DUMMYFUNCTION("iferror(if($B280="""", ,filter(Playoff_Stats!F:Z,Playoff_Stats!A:A=$B280,Playoff_Stats!B:B=$A280)))"),"")</f>
        <v/>
      </c>
      <c r="K280" s="11"/>
      <c r="L280" s="12"/>
      <c r="M280" s="11"/>
      <c r="N280" s="11"/>
      <c r="O280" s="13"/>
      <c r="P280" s="14"/>
      <c r="Q280" s="13"/>
      <c r="R280" s="13"/>
      <c r="S280" s="15"/>
      <c r="T280" s="16"/>
      <c r="U280" s="16"/>
      <c r="V280" s="16"/>
      <c r="W280" s="16"/>
      <c r="X280" s="16"/>
      <c r="Y280" s="11"/>
      <c r="Z280" s="11"/>
      <c r="AA280" s="11"/>
      <c r="AB280" s="11"/>
      <c r="AC280" s="11"/>
      <c r="AD280" s="11"/>
    </row>
    <row r="281">
      <c r="A281" s="10"/>
      <c r="B281" s="10"/>
      <c r="C281" s="10"/>
      <c r="D281" s="10"/>
      <c r="E281" s="10"/>
      <c r="F281" s="11"/>
      <c r="G281" s="11"/>
      <c r="H281" s="11"/>
      <c r="I281" s="11"/>
      <c r="J281" s="11" t="str">
        <f>IFERROR(__xludf.DUMMYFUNCTION("iferror(if($B281="""", ,filter(Playoff_Stats!F:Z,Playoff_Stats!A:A=$B281,Playoff_Stats!B:B=$A281)))"),"")</f>
        <v/>
      </c>
      <c r="K281" s="11"/>
      <c r="L281" s="12"/>
      <c r="M281" s="11"/>
      <c r="N281" s="11"/>
      <c r="O281" s="13"/>
      <c r="P281" s="14"/>
      <c r="Q281" s="13"/>
      <c r="R281" s="13"/>
      <c r="S281" s="15"/>
      <c r="T281" s="16"/>
      <c r="U281" s="16"/>
      <c r="V281" s="16"/>
      <c r="W281" s="16"/>
      <c r="X281" s="16"/>
      <c r="Y281" s="11"/>
      <c r="Z281" s="11"/>
      <c r="AA281" s="11"/>
      <c r="AB281" s="11"/>
      <c r="AC281" s="11"/>
      <c r="AD281" s="11"/>
    </row>
    <row r="282">
      <c r="A282" s="10"/>
      <c r="B282" s="10"/>
      <c r="C282" s="10"/>
      <c r="D282" s="10"/>
      <c r="E282" s="10"/>
      <c r="F282" s="11"/>
      <c r="G282" s="11"/>
      <c r="H282" s="11"/>
      <c r="I282" s="11"/>
      <c r="J282" s="11" t="str">
        <f>IFERROR(__xludf.DUMMYFUNCTION("iferror(if($B282="""", ,filter(Playoff_Stats!F:Z,Playoff_Stats!A:A=$B282,Playoff_Stats!B:B=$A282)))"),"")</f>
        <v/>
      </c>
      <c r="K282" s="11"/>
      <c r="L282" s="12"/>
      <c r="M282" s="11"/>
      <c r="N282" s="11"/>
      <c r="O282" s="13"/>
      <c r="P282" s="14"/>
      <c r="Q282" s="13"/>
      <c r="R282" s="13"/>
      <c r="S282" s="15"/>
      <c r="T282" s="16"/>
      <c r="U282" s="16"/>
      <c r="V282" s="16"/>
      <c r="W282" s="16"/>
      <c r="X282" s="16"/>
      <c r="Y282" s="11"/>
      <c r="Z282" s="11"/>
      <c r="AA282" s="11"/>
      <c r="AB282" s="11"/>
      <c r="AC282" s="11"/>
      <c r="AD282" s="11"/>
    </row>
    <row r="283">
      <c r="A283" s="10"/>
      <c r="B283" s="10"/>
      <c r="C283" s="10"/>
      <c r="D283" s="10"/>
      <c r="E283" s="10"/>
      <c r="F283" s="11"/>
      <c r="G283" s="11"/>
      <c r="H283" s="11"/>
      <c r="I283" s="11"/>
      <c r="J283" s="11" t="str">
        <f>IFERROR(__xludf.DUMMYFUNCTION("iferror(if($B283="""", ,filter(Playoff_Stats!F:Z,Playoff_Stats!A:A=$B283,Playoff_Stats!B:B=$A283)))"),"")</f>
        <v/>
      </c>
      <c r="K283" s="11"/>
      <c r="L283" s="12"/>
      <c r="M283" s="11"/>
      <c r="N283" s="11"/>
      <c r="O283" s="13"/>
      <c r="P283" s="14"/>
      <c r="Q283" s="13"/>
      <c r="R283" s="13"/>
      <c r="S283" s="15"/>
      <c r="T283" s="16"/>
      <c r="U283" s="16"/>
      <c r="V283" s="16"/>
      <c r="W283" s="16"/>
      <c r="X283" s="16"/>
      <c r="Y283" s="11"/>
      <c r="Z283" s="11"/>
      <c r="AA283" s="11"/>
      <c r="AB283" s="11"/>
      <c r="AC283" s="11"/>
      <c r="AD283" s="11"/>
    </row>
    <row r="284">
      <c r="A284" s="10"/>
      <c r="B284" s="10"/>
      <c r="C284" s="10"/>
      <c r="D284" s="10"/>
      <c r="E284" s="10"/>
      <c r="F284" s="11"/>
      <c r="G284" s="11"/>
      <c r="H284" s="11"/>
      <c r="I284" s="11"/>
      <c r="J284" s="11" t="str">
        <f>IFERROR(__xludf.DUMMYFUNCTION("iferror(if($B284="""", ,filter(Playoff_Stats!F:Z,Playoff_Stats!A:A=$B284,Playoff_Stats!B:B=$A284)))"),"")</f>
        <v/>
      </c>
      <c r="K284" s="11"/>
      <c r="L284" s="12"/>
      <c r="M284" s="11"/>
      <c r="N284" s="11"/>
      <c r="O284" s="13"/>
      <c r="P284" s="14"/>
      <c r="Q284" s="13"/>
      <c r="R284" s="13"/>
      <c r="S284" s="15"/>
      <c r="T284" s="16"/>
      <c r="U284" s="16"/>
      <c r="V284" s="16"/>
      <c r="W284" s="16"/>
      <c r="X284" s="16"/>
      <c r="Y284" s="11"/>
      <c r="Z284" s="11"/>
      <c r="AA284" s="11"/>
      <c r="AB284" s="11"/>
      <c r="AC284" s="11"/>
      <c r="AD284" s="11"/>
    </row>
    <row r="285">
      <c r="A285" s="10"/>
      <c r="B285" s="10"/>
      <c r="C285" s="10"/>
      <c r="D285" s="10"/>
      <c r="E285" s="10"/>
      <c r="F285" s="11"/>
      <c r="G285" s="11"/>
      <c r="H285" s="11"/>
      <c r="I285" s="11"/>
      <c r="J285" s="11" t="str">
        <f>IFERROR(__xludf.DUMMYFUNCTION("iferror(if($B285="""", ,filter(Playoff_Stats!F:Z,Playoff_Stats!A:A=$B285,Playoff_Stats!B:B=$A285)))"),"")</f>
        <v/>
      </c>
      <c r="K285" s="11"/>
      <c r="L285" s="12"/>
      <c r="M285" s="11"/>
      <c r="N285" s="11"/>
      <c r="O285" s="13"/>
      <c r="P285" s="14"/>
      <c r="Q285" s="13"/>
      <c r="R285" s="13"/>
      <c r="S285" s="15"/>
      <c r="T285" s="16"/>
      <c r="U285" s="16"/>
      <c r="V285" s="16"/>
      <c r="W285" s="16"/>
      <c r="X285" s="16"/>
      <c r="Y285" s="11"/>
      <c r="Z285" s="11"/>
      <c r="AA285" s="11"/>
      <c r="AB285" s="11"/>
      <c r="AC285" s="11"/>
      <c r="AD285" s="11"/>
    </row>
    <row r="286">
      <c r="A286" s="10"/>
      <c r="B286" s="10"/>
      <c r="C286" s="10"/>
      <c r="D286" s="10"/>
      <c r="E286" s="10"/>
      <c r="F286" s="11"/>
      <c r="G286" s="11"/>
      <c r="H286" s="11"/>
      <c r="I286" s="11"/>
      <c r="J286" s="11" t="str">
        <f>IFERROR(__xludf.DUMMYFUNCTION("iferror(if($B286="""", ,filter(Playoff_Stats!F:Z,Playoff_Stats!A:A=$B286,Playoff_Stats!B:B=$A286)))"),"")</f>
        <v/>
      </c>
      <c r="K286" s="11"/>
      <c r="L286" s="12"/>
      <c r="M286" s="11"/>
      <c r="N286" s="11"/>
      <c r="O286" s="13"/>
      <c r="P286" s="14"/>
      <c r="Q286" s="13"/>
      <c r="R286" s="13"/>
      <c r="S286" s="15"/>
      <c r="T286" s="16"/>
      <c r="U286" s="16"/>
      <c r="V286" s="16"/>
      <c r="W286" s="16"/>
      <c r="X286" s="16"/>
      <c r="Y286" s="11"/>
      <c r="Z286" s="11"/>
      <c r="AA286" s="11"/>
      <c r="AB286" s="11"/>
      <c r="AC286" s="11"/>
      <c r="AD286" s="11"/>
    </row>
    <row r="287">
      <c r="A287" s="10"/>
      <c r="B287" s="10"/>
      <c r="C287" s="10"/>
      <c r="D287" s="10"/>
      <c r="E287" s="10"/>
      <c r="F287" s="11"/>
      <c r="G287" s="11"/>
      <c r="H287" s="11"/>
      <c r="I287" s="11"/>
      <c r="J287" s="11" t="str">
        <f>IFERROR(__xludf.DUMMYFUNCTION("iferror(if($B287="""", ,filter(Playoff_Stats!F:Z,Playoff_Stats!A:A=$B287,Playoff_Stats!B:B=$A287)))"),"")</f>
        <v/>
      </c>
      <c r="K287" s="11"/>
      <c r="L287" s="12"/>
      <c r="M287" s="11"/>
      <c r="N287" s="11"/>
      <c r="O287" s="13"/>
      <c r="P287" s="14"/>
      <c r="Q287" s="13"/>
      <c r="R287" s="13"/>
      <c r="S287" s="15"/>
      <c r="T287" s="16"/>
      <c r="U287" s="16"/>
      <c r="V287" s="16"/>
      <c r="W287" s="16"/>
      <c r="X287" s="16"/>
      <c r="Y287" s="11"/>
      <c r="Z287" s="11"/>
      <c r="AA287" s="11"/>
      <c r="AB287" s="11"/>
      <c r="AC287" s="11"/>
      <c r="AD287" s="11"/>
    </row>
    <row r="288">
      <c r="A288" s="10"/>
      <c r="B288" s="10"/>
      <c r="C288" s="10"/>
      <c r="D288" s="10"/>
      <c r="E288" s="10"/>
      <c r="F288" s="11"/>
      <c r="G288" s="11"/>
      <c r="H288" s="11"/>
      <c r="I288" s="11"/>
      <c r="J288" s="11" t="str">
        <f>IFERROR(__xludf.DUMMYFUNCTION("iferror(if($B288="""", ,filter(Playoff_Stats!F:Z,Playoff_Stats!A:A=$B288,Playoff_Stats!B:B=$A288)))"),"")</f>
        <v/>
      </c>
      <c r="K288" s="11"/>
      <c r="L288" s="12"/>
      <c r="M288" s="11"/>
      <c r="N288" s="11"/>
      <c r="O288" s="13"/>
      <c r="P288" s="14"/>
      <c r="Q288" s="13"/>
      <c r="R288" s="13"/>
      <c r="S288" s="15"/>
      <c r="T288" s="16"/>
      <c r="U288" s="16"/>
      <c r="V288" s="16"/>
      <c r="W288" s="16"/>
      <c r="X288" s="16"/>
      <c r="Y288" s="11"/>
      <c r="Z288" s="11"/>
      <c r="AA288" s="11"/>
      <c r="AB288" s="11"/>
      <c r="AC288" s="11"/>
      <c r="AD288" s="11"/>
    </row>
    <row r="289">
      <c r="A289" s="10"/>
      <c r="B289" s="10"/>
      <c r="C289" s="10"/>
      <c r="D289" s="10"/>
      <c r="E289" s="10"/>
      <c r="F289" s="11"/>
      <c r="G289" s="11"/>
      <c r="H289" s="11"/>
      <c r="I289" s="11"/>
      <c r="J289" s="11" t="str">
        <f>IFERROR(__xludf.DUMMYFUNCTION("iferror(if($B289="""", ,filter(Playoff_Stats!F:Z,Playoff_Stats!A:A=$B289,Playoff_Stats!B:B=$A289)))"),"")</f>
        <v/>
      </c>
      <c r="K289" s="11"/>
      <c r="L289" s="12"/>
      <c r="M289" s="11"/>
      <c r="N289" s="11"/>
      <c r="O289" s="13"/>
      <c r="P289" s="14"/>
      <c r="Q289" s="13"/>
      <c r="R289" s="13"/>
      <c r="S289" s="15"/>
      <c r="T289" s="16"/>
      <c r="U289" s="16"/>
      <c r="V289" s="16"/>
      <c r="W289" s="16"/>
      <c r="X289" s="16"/>
      <c r="Y289" s="11"/>
      <c r="Z289" s="11"/>
      <c r="AA289" s="11"/>
      <c r="AB289" s="11"/>
      <c r="AC289" s="11"/>
      <c r="AD289" s="11"/>
    </row>
    <row r="290">
      <c r="A290" s="10"/>
      <c r="B290" s="10"/>
      <c r="C290" s="10"/>
      <c r="D290" s="10"/>
      <c r="E290" s="10"/>
      <c r="F290" s="11"/>
      <c r="G290" s="11"/>
      <c r="H290" s="11"/>
      <c r="I290" s="11"/>
      <c r="J290" s="11" t="str">
        <f>IFERROR(__xludf.DUMMYFUNCTION("iferror(if($B290="""", ,filter(Playoff_Stats!F:Z,Playoff_Stats!A:A=$B290,Playoff_Stats!B:B=$A290)))"),"")</f>
        <v/>
      </c>
      <c r="K290" s="11"/>
      <c r="L290" s="12"/>
      <c r="M290" s="11"/>
      <c r="N290" s="11"/>
      <c r="O290" s="13"/>
      <c r="P290" s="14"/>
      <c r="Q290" s="13"/>
      <c r="R290" s="13"/>
      <c r="S290" s="15"/>
      <c r="T290" s="16"/>
      <c r="U290" s="16"/>
      <c r="V290" s="16"/>
      <c r="W290" s="16"/>
      <c r="X290" s="16"/>
      <c r="Y290" s="11"/>
      <c r="Z290" s="11"/>
      <c r="AA290" s="11"/>
      <c r="AB290" s="11"/>
      <c r="AC290" s="11"/>
      <c r="AD290" s="11"/>
    </row>
    <row r="291">
      <c r="A291" s="10"/>
      <c r="B291" s="10"/>
      <c r="C291" s="10"/>
      <c r="D291" s="10"/>
      <c r="E291" s="10"/>
      <c r="F291" s="11"/>
      <c r="G291" s="11"/>
      <c r="H291" s="11"/>
      <c r="I291" s="11"/>
      <c r="J291" s="11" t="str">
        <f>IFERROR(__xludf.DUMMYFUNCTION("iferror(if($B291="""", ,filter(Playoff_Stats!F:Z,Playoff_Stats!A:A=$B291,Playoff_Stats!B:B=$A291)))"),"")</f>
        <v/>
      </c>
      <c r="K291" s="11"/>
      <c r="L291" s="12"/>
      <c r="M291" s="11"/>
      <c r="N291" s="11"/>
      <c r="O291" s="13"/>
      <c r="P291" s="14"/>
      <c r="Q291" s="13"/>
      <c r="R291" s="13"/>
      <c r="S291" s="15"/>
      <c r="T291" s="16"/>
      <c r="U291" s="16"/>
      <c r="V291" s="16"/>
      <c r="W291" s="16"/>
      <c r="X291" s="16"/>
      <c r="Y291" s="11"/>
      <c r="Z291" s="11"/>
      <c r="AA291" s="11"/>
      <c r="AB291" s="11"/>
      <c r="AC291" s="11"/>
      <c r="AD291" s="11"/>
    </row>
    <row r="292">
      <c r="A292" s="10"/>
      <c r="B292" s="10"/>
      <c r="C292" s="10"/>
      <c r="D292" s="10"/>
      <c r="E292" s="10"/>
      <c r="F292" s="11"/>
      <c r="G292" s="11"/>
      <c r="H292" s="11"/>
      <c r="I292" s="11"/>
      <c r="J292" s="11" t="str">
        <f>IFERROR(__xludf.DUMMYFUNCTION("iferror(if($B292="""", ,filter(Playoff_Stats!F:Z,Playoff_Stats!A:A=$B292,Playoff_Stats!B:B=$A292)))"),"")</f>
        <v/>
      </c>
      <c r="K292" s="11"/>
      <c r="L292" s="12"/>
      <c r="M292" s="11"/>
      <c r="N292" s="11"/>
      <c r="O292" s="13"/>
      <c r="P292" s="14"/>
      <c r="Q292" s="13"/>
      <c r="R292" s="13"/>
      <c r="S292" s="15"/>
      <c r="T292" s="16"/>
      <c r="U292" s="16"/>
      <c r="V292" s="16"/>
      <c r="W292" s="16"/>
      <c r="X292" s="16"/>
      <c r="Y292" s="11"/>
      <c r="Z292" s="11"/>
      <c r="AA292" s="11"/>
      <c r="AB292" s="11"/>
      <c r="AC292" s="11"/>
      <c r="AD292" s="11"/>
    </row>
    <row r="293">
      <c r="A293" s="10"/>
      <c r="B293" s="10"/>
      <c r="C293" s="10"/>
      <c r="D293" s="10"/>
      <c r="E293" s="10"/>
      <c r="F293" s="11"/>
      <c r="G293" s="11"/>
      <c r="H293" s="11"/>
      <c r="I293" s="11"/>
      <c r="J293" s="11" t="str">
        <f>IFERROR(__xludf.DUMMYFUNCTION("iferror(if($B293="""", ,filter(Playoff_Stats!F:Z,Playoff_Stats!A:A=$B293,Playoff_Stats!B:B=$A293)))"),"")</f>
        <v/>
      </c>
      <c r="K293" s="11"/>
      <c r="L293" s="12"/>
      <c r="M293" s="11"/>
      <c r="N293" s="11"/>
      <c r="O293" s="13"/>
      <c r="P293" s="14"/>
      <c r="Q293" s="13"/>
      <c r="R293" s="13"/>
      <c r="S293" s="15"/>
      <c r="T293" s="16"/>
      <c r="U293" s="16"/>
      <c r="V293" s="16"/>
      <c r="W293" s="16"/>
      <c r="X293" s="16"/>
      <c r="Y293" s="11"/>
      <c r="Z293" s="11"/>
      <c r="AA293" s="11"/>
      <c r="AB293" s="11"/>
      <c r="AC293" s="11"/>
      <c r="AD293" s="11"/>
    </row>
    <row r="294">
      <c r="A294" s="10"/>
      <c r="B294" s="10"/>
      <c r="C294" s="10"/>
      <c r="D294" s="10"/>
      <c r="E294" s="10"/>
      <c r="F294" s="11"/>
      <c r="G294" s="11"/>
      <c r="H294" s="11"/>
      <c r="I294" s="11"/>
      <c r="J294" s="11" t="str">
        <f>IFERROR(__xludf.DUMMYFUNCTION("iferror(if($B294="""", ,filter(Playoff_Stats!F:Z,Playoff_Stats!A:A=$B294,Playoff_Stats!B:B=$A294)))"),"")</f>
        <v/>
      </c>
      <c r="K294" s="11"/>
      <c r="L294" s="12"/>
      <c r="M294" s="11"/>
      <c r="N294" s="11"/>
      <c r="O294" s="13"/>
      <c r="P294" s="14"/>
      <c r="Q294" s="13"/>
      <c r="R294" s="13"/>
      <c r="S294" s="15"/>
      <c r="T294" s="16"/>
      <c r="U294" s="16"/>
      <c r="V294" s="16"/>
      <c r="W294" s="16"/>
      <c r="X294" s="16"/>
      <c r="Y294" s="11"/>
      <c r="Z294" s="11"/>
      <c r="AA294" s="11"/>
      <c r="AB294" s="11"/>
      <c r="AC294" s="11"/>
      <c r="AD294" s="11"/>
    </row>
    <row r="295">
      <c r="A295" s="10"/>
      <c r="B295" s="10"/>
      <c r="C295" s="10"/>
      <c r="D295" s="10"/>
      <c r="E295" s="10"/>
      <c r="F295" s="11"/>
      <c r="G295" s="11"/>
      <c r="H295" s="11"/>
      <c r="I295" s="11"/>
      <c r="J295" s="11" t="str">
        <f>IFERROR(__xludf.DUMMYFUNCTION("iferror(if($B295="""", ,filter(Playoff_Stats!F:Z,Playoff_Stats!A:A=$B295,Playoff_Stats!B:B=$A295)))"),"")</f>
        <v/>
      </c>
      <c r="K295" s="11"/>
      <c r="L295" s="12"/>
      <c r="M295" s="11"/>
      <c r="N295" s="11"/>
      <c r="O295" s="13"/>
      <c r="P295" s="14"/>
      <c r="Q295" s="13"/>
      <c r="R295" s="13"/>
      <c r="S295" s="15"/>
      <c r="T295" s="16"/>
      <c r="U295" s="16"/>
      <c r="V295" s="16"/>
      <c r="W295" s="16"/>
      <c r="X295" s="16"/>
      <c r="Y295" s="11"/>
      <c r="Z295" s="11"/>
      <c r="AA295" s="11"/>
      <c r="AB295" s="11"/>
      <c r="AC295" s="11"/>
      <c r="AD295" s="11"/>
    </row>
    <row r="296">
      <c r="A296" s="10"/>
      <c r="B296" s="10"/>
      <c r="C296" s="10"/>
      <c r="D296" s="10"/>
      <c r="E296" s="10"/>
      <c r="F296" s="11"/>
      <c r="G296" s="11"/>
      <c r="H296" s="11"/>
      <c r="I296" s="11"/>
      <c r="J296" s="11" t="str">
        <f>IFERROR(__xludf.DUMMYFUNCTION("iferror(if($B296="""", ,filter(Playoff_Stats!F:Z,Playoff_Stats!A:A=$B296,Playoff_Stats!B:B=$A296)))"),"")</f>
        <v/>
      </c>
      <c r="K296" s="11"/>
      <c r="L296" s="12"/>
      <c r="M296" s="11"/>
      <c r="N296" s="11"/>
      <c r="O296" s="13"/>
      <c r="P296" s="14"/>
      <c r="Q296" s="13"/>
      <c r="R296" s="13"/>
      <c r="S296" s="15"/>
      <c r="T296" s="16"/>
      <c r="U296" s="16"/>
      <c r="V296" s="16"/>
      <c r="W296" s="16"/>
      <c r="X296" s="16"/>
      <c r="Y296" s="11"/>
      <c r="Z296" s="11"/>
      <c r="AA296" s="11"/>
      <c r="AB296" s="11"/>
      <c r="AC296" s="11"/>
      <c r="AD296" s="11"/>
    </row>
    <row r="297">
      <c r="A297" s="10"/>
      <c r="B297" s="10"/>
      <c r="C297" s="10"/>
      <c r="D297" s="10"/>
      <c r="E297" s="10"/>
      <c r="F297" s="11"/>
      <c r="G297" s="11"/>
      <c r="H297" s="11"/>
      <c r="I297" s="11"/>
      <c r="J297" s="11" t="str">
        <f>IFERROR(__xludf.DUMMYFUNCTION("iferror(if($B297="""", ,filter(Playoff_Stats!F:Z,Playoff_Stats!A:A=$B297,Playoff_Stats!B:B=$A297)))"),"")</f>
        <v/>
      </c>
      <c r="K297" s="11"/>
      <c r="L297" s="12"/>
      <c r="M297" s="11"/>
      <c r="N297" s="11"/>
      <c r="O297" s="13"/>
      <c r="P297" s="14"/>
      <c r="Q297" s="13"/>
      <c r="R297" s="13"/>
      <c r="S297" s="15"/>
      <c r="T297" s="16"/>
      <c r="U297" s="16"/>
      <c r="V297" s="16"/>
      <c r="W297" s="16"/>
      <c r="X297" s="16"/>
      <c r="Y297" s="11"/>
      <c r="Z297" s="11"/>
      <c r="AA297" s="11"/>
      <c r="AB297" s="11"/>
      <c r="AC297" s="11"/>
      <c r="AD297" s="11"/>
    </row>
    <row r="298">
      <c r="A298" s="10"/>
      <c r="B298" s="10"/>
      <c r="C298" s="10"/>
      <c r="D298" s="10"/>
      <c r="E298" s="10"/>
      <c r="F298" s="11"/>
      <c r="G298" s="11"/>
      <c r="H298" s="11"/>
      <c r="I298" s="11"/>
      <c r="J298" s="11" t="str">
        <f>IFERROR(__xludf.DUMMYFUNCTION("iferror(if($B298="""", ,filter(Playoff_Stats!F:Z,Playoff_Stats!A:A=$B298,Playoff_Stats!B:B=$A298)))"),"")</f>
        <v/>
      </c>
      <c r="K298" s="11"/>
      <c r="L298" s="12"/>
      <c r="M298" s="11"/>
      <c r="N298" s="11"/>
      <c r="O298" s="13"/>
      <c r="P298" s="14"/>
      <c r="Q298" s="13"/>
      <c r="R298" s="13"/>
      <c r="S298" s="15"/>
      <c r="T298" s="16"/>
      <c r="U298" s="16"/>
      <c r="V298" s="16"/>
      <c r="W298" s="16"/>
      <c r="X298" s="16"/>
      <c r="Y298" s="11"/>
      <c r="Z298" s="11"/>
      <c r="AA298" s="11"/>
      <c r="AB298" s="11"/>
      <c r="AC298" s="11"/>
      <c r="AD298" s="11"/>
    </row>
    <row r="299">
      <c r="A299" s="10"/>
      <c r="B299" s="10"/>
      <c r="C299" s="10"/>
      <c r="D299" s="10"/>
      <c r="E299" s="10"/>
      <c r="F299" s="11"/>
      <c r="G299" s="11"/>
      <c r="H299" s="11"/>
      <c r="I299" s="11"/>
      <c r="J299" s="11" t="str">
        <f>IFERROR(__xludf.DUMMYFUNCTION("iferror(if($B299="""", ,filter(Playoff_Stats!F:Z,Playoff_Stats!A:A=$B299,Playoff_Stats!B:B=$A299)))"),"")</f>
        <v/>
      </c>
      <c r="K299" s="11"/>
      <c r="L299" s="12"/>
      <c r="M299" s="11"/>
      <c r="N299" s="11"/>
      <c r="O299" s="13"/>
      <c r="P299" s="14"/>
      <c r="Q299" s="13"/>
      <c r="R299" s="13"/>
      <c r="S299" s="15"/>
      <c r="T299" s="16"/>
      <c r="U299" s="16"/>
      <c r="V299" s="16"/>
      <c r="W299" s="16"/>
      <c r="X299" s="16"/>
      <c r="Y299" s="11"/>
      <c r="Z299" s="11"/>
      <c r="AA299" s="11"/>
      <c r="AB299" s="11"/>
      <c r="AC299" s="11"/>
      <c r="AD299" s="11"/>
    </row>
    <row r="300">
      <c r="A300" s="10"/>
      <c r="B300" s="10"/>
      <c r="C300" s="10"/>
      <c r="D300" s="10"/>
      <c r="E300" s="10"/>
      <c r="F300" s="11"/>
      <c r="G300" s="11"/>
      <c r="H300" s="11"/>
      <c r="I300" s="11"/>
      <c r="J300" s="11" t="str">
        <f>IFERROR(__xludf.DUMMYFUNCTION("iferror(if($B300="""", ,filter(Playoff_Stats!F:Z,Playoff_Stats!A:A=$B300,Playoff_Stats!B:B=$A300)))"),"")</f>
        <v/>
      </c>
      <c r="K300" s="11"/>
      <c r="L300" s="12"/>
      <c r="M300" s="11"/>
      <c r="N300" s="11"/>
      <c r="O300" s="13"/>
      <c r="P300" s="14"/>
      <c r="Q300" s="13"/>
      <c r="R300" s="13"/>
      <c r="S300" s="15"/>
      <c r="T300" s="16"/>
      <c r="U300" s="16"/>
      <c r="V300" s="16"/>
      <c r="W300" s="16"/>
      <c r="X300" s="16"/>
      <c r="Y300" s="11"/>
      <c r="Z300" s="11"/>
      <c r="AA300" s="11"/>
      <c r="AB300" s="11"/>
      <c r="AC300" s="11"/>
      <c r="AD300" s="11"/>
    </row>
    <row r="301">
      <c r="A301" s="10"/>
      <c r="B301" s="10"/>
      <c r="C301" s="10"/>
      <c r="D301" s="10"/>
      <c r="E301" s="10"/>
      <c r="F301" s="11"/>
      <c r="G301" s="11"/>
      <c r="H301" s="11"/>
      <c r="I301" s="11"/>
      <c r="J301" s="11" t="str">
        <f>IFERROR(__xludf.DUMMYFUNCTION("iferror(if($B301="""", ,filter(Playoff_Stats!F:Z,Playoff_Stats!A:A=$B301,Playoff_Stats!B:B=$A301)))"),"")</f>
        <v/>
      </c>
      <c r="K301" s="11"/>
      <c r="L301" s="12"/>
      <c r="M301" s="11"/>
      <c r="N301" s="11"/>
      <c r="O301" s="13"/>
      <c r="P301" s="14"/>
      <c r="Q301" s="13"/>
      <c r="R301" s="13"/>
      <c r="S301" s="15"/>
      <c r="T301" s="16"/>
      <c r="U301" s="16"/>
      <c r="V301" s="16"/>
      <c r="W301" s="16"/>
      <c r="X301" s="16"/>
      <c r="Y301" s="11"/>
      <c r="Z301" s="11"/>
      <c r="AA301" s="11"/>
      <c r="AB301" s="11"/>
      <c r="AC301" s="11"/>
      <c r="AD301" s="11"/>
    </row>
    <row r="302">
      <c r="A302" s="10"/>
      <c r="B302" s="10"/>
      <c r="C302" s="10"/>
      <c r="D302" s="10"/>
      <c r="E302" s="10"/>
      <c r="F302" s="11"/>
      <c r="G302" s="11"/>
      <c r="H302" s="11"/>
      <c r="I302" s="11"/>
      <c r="J302" s="11" t="str">
        <f>IFERROR(__xludf.DUMMYFUNCTION("iferror(if($B302="""", ,filter(Playoff_Stats!F:Z,Playoff_Stats!A:A=$B302,Playoff_Stats!B:B=$A302)))"),"")</f>
        <v/>
      </c>
      <c r="K302" s="11"/>
      <c r="L302" s="12"/>
      <c r="M302" s="11"/>
      <c r="N302" s="11"/>
      <c r="O302" s="13"/>
      <c r="P302" s="14"/>
      <c r="Q302" s="13"/>
      <c r="R302" s="13"/>
      <c r="S302" s="15"/>
      <c r="T302" s="16"/>
      <c r="U302" s="16"/>
      <c r="V302" s="16"/>
      <c r="W302" s="16"/>
      <c r="X302" s="16"/>
      <c r="Y302" s="11"/>
      <c r="Z302" s="11"/>
      <c r="AA302" s="11"/>
      <c r="AB302" s="11"/>
      <c r="AC302" s="11"/>
      <c r="AD302" s="11"/>
    </row>
    <row r="303">
      <c r="A303" s="10"/>
      <c r="B303" s="10"/>
      <c r="C303" s="10"/>
      <c r="D303" s="10"/>
      <c r="E303" s="10"/>
      <c r="F303" s="11"/>
      <c r="G303" s="11"/>
      <c r="H303" s="11"/>
      <c r="I303" s="11"/>
      <c r="J303" s="11" t="str">
        <f>IFERROR(__xludf.DUMMYFUNCTION("iferror(if($B303="""", ,filter(Playoff_Stats!F:Z,Playoff_Stats!A:A=$B303,Playoff_Stats!B:B=$A303)))"),"")</f>
        <v/>
      </c>
      <c r="K303" s="11"/>
      <c r="L303" s="12"/>
      <c r="M303" s="11"/>
      <c r="N303" s="11"/>
      <c r="O303" s="13"/>
      <c r="P303" s="14"/>
      <c r="Q303" s="13"/>
      <c r="R303" s="13"/>
      <c r="S303" s="15"/>
      <c r="T303" s="16"/>
      <c r="U303" s="16"/>
      <c r="V303" s="16"/>
      <c r="W303" s="16"/>
      <c r="X303" s="16"/>
      <c r="Y303" s="11"/>
      <c r="Z303" s="11"/>
      <c r="AA303" s="11"/>
      <c r="AB303" s="11"/>
      <c r="AC303" s="11"/>
      <c r="AD303" s="11"/>
    </row>
    <row r="304">
      <c r="A304" s="10"/>
      <c r="B304" s="10"/>
      <c r="C304" s="10"/>
      <c r="D304" s="10"/>
      <c r="E304" s="10"/>
      <c r="F304" s="11"/>
      <c r="G304" s="11"/>
      <c r="H304" s="11"/>
      <c r="I304" s="11"/>
      <c r="J304" s="11" t="str">
        <f>IFERROR(__xludf.DUMMYFUNCTION("iferror(if($B304="""", ,filter(Playoff_Stats!F:Z,Playoff_Stats!A:A=$B304,Playoff_Stats!B:B=$A304)))"),"")</f>
        <v/>
      </c>
      <c r="K304" s="11"/>
      <c r="L304" s="12"/>
      <c r="M304" s="11"/>
      <c r="N304" s="11"/>
      <c r="O304" s="13"/>
      <c r="P304" s="14"/>
      <c r="Q304" s="13"/>
      <c r="R304" s="13"/>
      <c r="S304" s="15"/>
      <c r="T304" s="16"/>
      <c r="U304" s="16"/>
      <c r="V304" s="16"/>
      <c r="W304" s="16"/>
      <c r="X304" s="16"/>
      <c r="Y304" s="11"/>
      <c r="Z304" s="11"/>
      <c r="AA304" s="11"/>
      <c r="AB304" s="11"/>
      <c r="AC304" s="11"/>
      <c r="AD304" s="11"/>
    </row>
    <row r="305">
      <c r="A305" s="10"/>
      <c r="B305" s="10"/>
      <c r="C305" s="10"/>
      <c r="D305" s="10"/>
      <c r="E305" s="10"/>
      <c r="F305" s="11"/>
      <c r="G305" s="11"/>
      <c r="H305" s="11"/>
      <c r="I305" s="11"/>
      <c r="J305" s="11" t="str">
        <f>IFERROR(__xludf.DUMMYFUNCTION("iferror(if($B305="""", ,filter(Playoff_Stats!F:Z,Playoff_Stats!A:A=$B305,Playoff_Stats!B:B=$A305)))"),"")</f>
        <v/>
      </c>
      <c r="K305" s="11"/>
      <c r="L305" s="12"/>
      <c r="M305" s="11"/>
      <c r="N305" s="11"/>
      <c r="O305" s="13"/>
      <c r="P305" s="14"/>
      <c r="Q305" s="13"/>
      <c r="R305" s="13"/>
      <c r="S305" s="15"/>
      <c r="T305" s="16"/>
      <c r="U305" s="16"/>
      <c r="V305" s="16"/>
      <c r="W305" s="16"/>
      <c r="X305" s="16"/>
      <c r="Y305" s="11"/>
      <c r="Z305" s="11"/>
      <c r="AA305" s="11"/>
      <c r="AB305" s="11"/>
      <c r="AC305" s="11"/>
      <c r="AD305" s="11"/>
    </row>
    <row r="306">
      <c r="A306" s="10"/>
      <c r="B306" s="10"/>
      <c r="C306" s="10"/>
      <c r="D306" s="10"/>
      <c r="E306" s="10"/>
      <c r="F306" s="11"/>
      <c r="G306" s="11"/>
      <c r="H306" s="11"/>
      <c r="I306" s="11"/>
      <c r="J306" s="11" t="str">
        <f>IFERROR(__xludf.DUMMYFUNCTION("iferror(if($B306="""", ,filter(Playoff_Stats!F:Z,Playoff_Stats!A:A=$B306,Playoff_Stats!B:B=$A306)))"),"")</f>
        <v/>
      </c>
      <c r="K306" s="11"/>
      <c r="L306" s="12"/>
      <c r="M306" s="11"/>
      <c r="N306" s="11"/>
      <c r="O306" s="13"/>
      <c r="P306" s="14"/>
      <c r="Q306" s="13"/>
      <c r="R306" s="13"/>
      <c r="S306" s="15"/>
      <c r="T306" s="16"/>
      <c r="U306" s="16"/>
      <c r="V306" s="16"/>
      <c r="W306" s="16"/>
      <c r="X306" s="16"/>
      <c r="Y306" s="11"/>
      <c r="Z306" s="11"/>
      <c r="AA306" s="11"/>
      <c r="AB306" s="11"/>
      <c r="AC306" s="11"/>
      <c r="AD306" s="11"/>
    </row>
    <row r="307">
      <c r="A307" s="10"/>
      <c r="B307" s="10"/>
      <c r="C307" s="10"/>
      <c r="D307" s="10"/>
      <c r="E307" s="10"/>
      <c r="F307" s="11"/>
      <c r="G307" s="11"/>
      <c r="H307" s="11"/>
      <c r="I307" s="11"/>
      <c r="J307" s="11" t="str">
        <f>IFERROR(__xludf.DUMMYFUNCTION("iferror(if($B307="""", ,filter(Playoff_Stats!F:Z,Playoff_Stats!A:A=$B307,Playoff_Stats!B:B=$A307)))"),"")</f>
        <v/>
      </c>
      <c r="K307" s="11"/>
      <c r="L307" s="12"/>
      <c r="M307" s="11"/>
      <c r="N307" s="11"/>
      <c r="O307" s="13"/>
      <c r="P307" s="14"/>
      <c r="Q307" s="13"/>
      <c r="R307" s="13"/>
      <c r="S307" s="15"/>
      <c r="T307" s="16"/>
      <c r="U307" s="16"/>
      <c r="V307" s="16"/>
      <c r="W307" s="16"/>
      <c r="X307" s="16"/>
      <c r="Y307" s="11"/>
      <c r="Z307" s="11"/>
      <c r="AA307" s="11"/>
      <c r="AB307" s="11"/>
      <c r="AC307" s="11"/>
      <c r="AD307" s="11"/>
    </row>
    <row r="308">
      <c r="A308" s="10"/>
      <c r="B308" s="10"/>
      <c r="C308" s="10"/>
      <c r="D308" s="10"/>
      <c r="E308" s="10"/>
      <c r="F308" s="11"/>
      <c r="G308" s="11"/>
      <c r="H308" s="11"/>
      <c r="I308" s="11"/>
      <c r="J308" s="11" t="str">
        <f>IFERROR(__xludf.DUMMYFUNCTION("iferror(if($B308="""", ,filter(Playoff_Stats!F:Z,Playoff_Stats!A:A=$B308,Playoff_Stats!B:B=$A308)))"),"")</f>
        <v/>
      </c>
      <c r="K308" s="11"/>
      <c r="L308" s="12"/>
      <c r="M308" s="11"/>
      <c r="N308" s="11"/>
      <c r="O308" s="13"/>
      <c r="P308" s="14"/>
      <c r="Q308" s="13"/>
      <c r="R308" s="13"/>
      <c r="S308" s="15"/>
      <c r="T308" s="16"/>
      <c r="U308" s="16"/>
      <c r="V308" s="16"/>
      <c r="W308" s="16"/>
      <c r="X308" s="16"/>
      <c r="Y308" s="11"/>
      <c r="Z308" s="11"/>
      <c r="AA308" s="11"/>
      <c r="AB308" s="11"/>
      <c r="AC308" s="11"/>
      <c r="AD308" s="11"/>
    </row>
    <row r="309">
      <c r="A309" s="10"/>
      <c r="B309" s="10"/>
      <c r="C309" s="10"/>
      <c r="D309" s="10"/>
      <c r="E309" s="10"/>
      <c r="F309" s="11"/>
      <c r="G309" s="11"/>
      <c r="H309" s="11"/>
      <c r="I309" s="11"/>
      <c r="J309" s="11" t="str">
        <f>IFERROR(__xludf.DUMMYFUNCTION("iferror(if($B309="""", ,filter(Playoff_Stats!F:Z,Playoff_Stats!A:A=$B309,Playoff_Stats!B:B=$A309)))"),"")</f>
        <v/>
      </c>
      <c r="K309" s="11"/>
      <c r="L309" s="12"/>
      <c r="M309" s="11"/>
      <c r="N309" s="11"/>
      <c r="O309" s="13"/>
      <c r="P309" s="14"/>
      <c r="Q309" s="13"/>
      <c r="R309" s="13"/>
      <c r="S309" s="15"/>
      <c r="T309" s="16"/>
      <c r="U309" s="16"/>
      <c r="V309" s="16"/>
      <c r="W309" s="16"/>
      <c r="X309" s="16"/>
      <c r="Y309" s="11"/>
      <c r="Z309" s="11"/>
      <c r="AA309" s="11"/>
      <c r="AB309" s="11"/>
      <c r="AC309" s="11"/>
      <c r="AD309" s="11"/>
    </row>
    <row r="310">
      <c r="A310" s="10"/>
      <c r="B310" s="10"/>
      <c r="C310" s="10"/>
      <c r="D310" s="10"/>
      <c r="E310" s="10"/>
      <c r="F310" s="11"/>
      <c r="G310" s="11"/>
      <c r="H310" s="11"/>
      <c r="I310" s="11"/>
      <c r="J310" s="11" t="str">
        <f>IFERROR(__xludf.DUMMYFUNCTION("iferror(if($B310="""", ,filter(Playoff_Stats!F:Z,Playoff_Stats!A:A=$B310,Playoff_Stats!B:B=$A310)))"),"")</f>
        <v/>
      </c>
      <c r="K310" s="11"/>
      <c r="L310" s="12"/>
      <c r="M310" s="11"/>
      <c r="N310" s="11"/>
      <c r="O310" s="13"/>
      <c r="P310" s="14"/>
      <c r="Q310" s="13"/>
      <c r="R310" s="13"/>
      <c r="S310" s="15"/>
      <c r="T310" s="16"/>
      <c r="U310" s="16"/>
      <c r="V310" s="16"/>
      <c r="W310" s="16"/>
      <c r="X310" s="16"/>
      <c r="Y310" s="11"/>
      <c r="Z310" s="11"/>
      <c r="AA310" s="11"/>
      <c r="AB310" s="11"/>
      <c r="AC310" s="11"/>
      <c r="AD310" s="11"/>
    </row>
    <row r="311">
      <c r="A311" s="10"/>
      <c r="B311" s="10"/>
      <c r="C311" s="10"/>
      <c r="D311" s="10"/>
      <c r="E311" s="10"/>
      <c r="F311" s="11"/>
      <c r="G311" s="11"/>
      <c r="H311" s="11"/>
      <c r="I311" s="11"/>
      <c r="J311" s="11" t="str">
        <f>IFERROR(__xludf.DUMMYFUNCTION("iferror(if($B311="""", ,filter(Playoff_Stats!F:Z,Playoff_Stats!A:A=$B311,Playoff_Stats!B:B=$A311)))"),"")</f>
        <v/>
      </c>
      <c r="K311" s="11"/>
      <c r="L311" s="12"/>
      <c r="M311" s="11"/>
      <c r="N311" s="11"/>
      <c r="O311" s="13"/>
      <c r="P311" s="14"/>
      <c r="Q311" s="13"/>
      <c r="R311" s="13"/>
      <c r="S311" s="15"/>
      <c r="T311" s="16"/>
      <c r="U311" s="16"/>
      <c r="V311" s="16"/>
      <c r="W311" s="16"/>
      <c r="X311" s="16"/>
      <c r="Y311" s="11"/>
      <c r="Z311" s="11"/>
      <c r="AA311" s="11"/>
      <c r="AB311" s="11"/>
      <c r="AC311" s="11"/>
      <c r="AD311" s="11"/>
    </row>
    <row r="312">
      <c r="A312" s="10"/>
      <c r="B312" s="10"/>
      <c r="C312" s="10"/>
      <c r="D312" s="10"/>
      <c r="E312" s="10"/>
      <c r="F312" s="11"/>
      <c r="G312" s="11"/>
      <c r="H312" s="11"/>
      <c r="I312" s="11"/>
      <c r="J312" s="11" t="str">
        <f>IFERROR(__xludf.DUMMYFUNCTION("iferror(if($B312="""", ,filter(Playoff_Stats!F:Z,Playoff_Stats!A:A=$B312,Playoff_Stats!B:B=$A312)))"),"")</f>
        <v/>
      </c>
      <c r="K312" s="11"/>
      <c r="L312" s="12"/>
      <c r="M312" s="11"/>
      <c r="N312" s="11"/>
      <c r="O312" s="13"/>
      <c r="P312" s="14"/>
      <c r="Q312" s="13"/>
      <c r="R312" s="13"/>
      <c r="S312" s="15"/>
      <c r="T312" s="16"/>
      <c r="U312" s="16"/>
      <c r="V312" s="16"/>
      <c r="W312" s="16"/>
      <c r="X312" s="16"/>
      <c r="Y312" s="11"/>
      <c r="Z312" s="11"/>
      <c r="AA312" s="11"/>
      <c r="AB312" s="11"/>
      <c r="AC312" s="11"/>
      <c r="AD312" s="11"/>
    </row>
    <row r="313">
      <c r="A313" s="10"/>
      <c r="B313" s="10"/>
      <c r="C313" s="10"/>
      <c r="D313" s="10"/>
      <c r="E313" s="10"/>
      <c r="F313" s="11"/>
      <c r="G313" s="11"/>
      <c r="H313" s="11"/>
      <c r="I313" s="11"/>
      <c r="J313" s="11" t="str">
        <f>IFERROR(__xludf.DUMMYFUNCTION("iferror(if($B313="""", ,filter(Playoff_Stats!F:Z,Playoff_Stats!A:A=$B313,Playoff_Stats!B:B=$A313)))"),"")</f>
        <v/>
      </c>
      <c r="K313" s="11"/>
      <c r="L313" s="12"/>
      <c r="M313" s="11"/>
      <c r="N313" s="11"/>
      <c r="O313" s="13"/>
      <c r="P313" s="14"/>
      <c r="Q313" s="13"/>
      <c r="R313" s="13"/>
      <c r="S313" s="15"/>
      <c r="T313" s="16"/>
      <c r="U313" s="16"/>
      <c r="V313" s="16"/>
      <c r="W313" s="16"/>
      <c r="X313" s="16"/>
      <c r="Y313" s="11"/>
      <c r="Z313" s="11"/>
      <c r="AA313" s="11"/>
      <c r="AB313" s="11"/>
      <c r="AC313" s="11"/>
      <c r="AD313" s="11"/>
    </row>
    <row r="314">
      <c r="A314" s="10"/>
      <c r="B314" s="10"/>
      <c r="C314" s="10"/>
      <c r="D314" s="10"/>
      <c r="E314" s="10"/>
      <c r="F314" s="11"/>
      <c r="G314" s="11"/>
      <c r="H314" s="11"/>
      <c r="I314" s="11"/>
      <c r="J314" s="11" t="str">
        <f>IFERROR(__xludf.DUMMYFUNCTION("iferror(if($B314="""", ,filter(Playoff_Stats!F:Z,Playoff_Stats!A:A=$B314,Playoff_Stats!B:B=$A314)))"),"")</f>
        <v/>
      </c>
      <c r="K314" s="11"/>
      <c r="L314" s="12"/>
      <c r="M314" s="11"/>
      <c r="N314" s="11"/>
      <c r="O314" s="13"/>
      <c r="P314" s="14"/>
      <c r="Q314" s="13"/>
      <c r="R314" s="13"/>
      <c r="S314" s="15"/>
      <c r="T314" s="16"/>
      <c r="U314" s="16"/>
      <c r="V314" s="16"/>
      <c r="W314" s="16"/>
      <c r="X314" s="16"/>
      <c r="Y314" s="11"/>
      <c r="Z314" s="11"/>
      <c r="AA314" s="11"/>
      <c r="AB314" s="11"/>
      <c r="AC314" s="11"/>
      <c r="AD314" s="11"/>
    </row>
    <row r="315">
      <c r="A315" s="10"/>
      <c r="B315" s="10"/>
      <c r="C315" s="10"/>
      <c r="D315" s="10"/>
      <c r="E315" s="10"/>
      <c r="F315" s="11"/>
      <c r="G315" s="11"/>
      <c r="H315" s="11"/>
      <c r="I315" s="11"/>
      <c r="J315" s="11" t="str">
        <f>IFERROR(__xludf.DUMMYFUNCTION("iferror(if($B315="""", ,filter(Playoff_Stats!F:Z,Playoff_Stats!A:A=$B315,Playoff_Stats!B:B=$A315)))"),"")</f>
        <v/>
      </c>
      <c r="K315" s="11"/>
      <c r="L315" s="12"/>
      <c r="M315" s="11"/>
      <c r="N315" s="11"/>
      <c r="O315" s="13"/>
      <c r="P315" s="14"/>
      <c r="Q315" s="13"/>
      <c r="R315" s="13"/>
      <c r="S315" s="15"/>
      <c r="T315" s="16"/>
      <c r="U315" s="16"/>
      <c r="V315" s="16"/>
      <c r="W315" s="16"/>
      <c r="X315" s="16"/>
      <c r="Y315" s="11"/>
      <c r="Z315" s="11"/>
      <c r="AA315" s="11"/>
      <c r="AB315" s="11"/>
      <c r="AC315" s="11"/>
      <c r="AD315" s="11"/>
    </row>
    <row r="316">
      <c r="A316" s="10"/>
      <c r="B316" s="10"/>
      <c r="C316" s="10"/>
      <c r="D316" s="10"/>
      <c r="E316" s="10"/>
      <c r="F316" s="11"/>
      <c r="G316" s="11"/>
      <c r="H316" s="11"/>
      <c r="I316" s="11"/>
      <c r="J316" s="11" t="str">
        <f>IFERROR(__xludf.DUMMYFUNCTION("iferror(if($B316="""", ,filter(Playoff_Stats!F:Z,Playoff_Stats!A:A=$B316,Playoff_Stats!B:B=$A316)))"),"")</f>
        <v/>
      </c>
      <c r="K316" s="11"/>
      <c r="L316" s="12"/>
      <c r="M316" s="11"/>
      <c r="N316" s="11"/>
      <c r="O316" s="13"/>
      <c r="P316" s="14"/>
      <c r="Q316" s="13"/>
      <c r="R316" s="13"/>
      <c r="S316" s="15"/>
      <c r="T316" s="16"/>
      <c r="U316" s="16"/>
      <c r="V316" s="16"/>
      <c r="W316" s="16"/>
      <c r="X316" s="16"/>
      <c r="Y316" s="11"/>
      <c r="Z316" s="11"/>
      <c r="AA316" s="11"/>
      <c r="AB316" s="11"/>
      <c r="AC316" s="11"/>
      <c r="AD316" s="11"/>
    </row>
    <row r="317">
      <c r="A317" s="10"/>
      <c r="B317" s="10"/>
      <c r="C317" s="10"/>
      <c r="D317" s="10"/>
      <c r="E317" s="10"/>
      <c r="F317" s="11"/>
      <c r="G317" s="11"/>
      <c r="H317" s="11"/>
      <c r="I317" s="11"/>
      <c r="J317" s="11" t="str">
        <f>IFERROR(__xludf.DUMMYFUNCTION("iferror(if($B317="""", ,filter(Playoff_Stats!F:Z,Playoff_Stats!A:A=$B317,Playoff_Stats!B:B=$A317)))"),"")</f>
        <v/>
      </c>
      <c r="K317" s="11"/>
      <c r="L317" s="12"/>
      <c r="M317" s="11"/>
      <c r="N317" s="11"/>
      <c r="O317" s="13"/>
      <c r="P317" s="14"/>
      <c r="Q317" s="13"/>
      <c r="R317" s="13"/>
      <c r="S317" s="15"/>
      <c r="T317" s="16"/>
      <c r="U317" s="16"/>
      <c r="V317" s="16"/>
      <c r="W317" s="16"/>
      <c r="X317" s="16"/>
      <c r="Y317" s="11"/>
      <c r="Z317" s="11"/>
      <c r="AA317" s="11"/>
      <c r="AB317" s="11"/>
      <c r="AC317" s="11"/>
      <c r="AD317" s="11"/>
    </row>
    <row r="318">
      <c r="A318" s="10"/>
      <c r="B318" s="10"/>
      <c r="C318" s="10"/>
      <c r="D318" s="10"/>
      <c r="E318" s="10"/>
      <c r="F318" s="11"/>
      <c r="G318" s="11"/>
      <c r="H318" s="11"/>
      <c r="I318" s="11"/>
      <c r="J318" s="11" t="str">
        <f>IFERROR(__xludf.DUMMYFUNCTION("iferror(if($B318="""", ,filter(Playoff_Stats!F:Z,Playoff_Stats!A:A=$B318,Playoff_Stats!B:B=$A318)))"),"")</f>
        <v/>
      </c>
      <c r="K318" s="11"/>
      <c r="L318" s="12"/>
      <c r="M318" s="11"/>
      <c r="N318" s="11"/>
      <c r="O318" s="13"/>
      <c r="P318" s="14"/>
      <c r="Q318" s="13"/>
      <c r="R318" s="13"/>
      <c r="S318" s="15"/>
      <c r="T318" s="16"/>
      <c r="U318" s="16"/>
      <c r="V318" s="16"/>
      <c r="W318" s="16"/>
      <c r="X318" s="16"/>
      <c r="Y318" s="11"/>
      <c r="Z318" s="11"/>
      <c r="AA318" s="11"/>
      <c r="AB318" s="11"/>
      <c r="AC318" s="11"/>
      <c r="AD318" s="11"/>
    </row>
    <row r="319">
      <c r="A319" s="10"/>
      <c r="B319" s="10"/>
      <c r="C319" s="10"/>
      <c r="D319" s="10"/>
      <c r="E319" s="10"/>
      <c r="F319" s="11"/>
      <c r="G319" s="11"/>
      <c r="H319" s="11"/>
      <c r="I319" s="11"/>
      <c r="J319" s="11" t="str">
        <f>IFERROR(__xludf.DUMMYFUNCTION("iferror(if($B319="""", ,filter(Playoff_Stats!F:Z,Playoff_Stats!A:A=$B319,Playoff_Stats!B:B=$A319)))"),"")</f>
        <v/>
      </c>
      <c r="K319" s="11"/>
      <c r="L319" s="12"/>
      <c r="M319" s="11"/>
      <c r="N319" s="11"/>
      <c r="O319" s="13"/>
      <c r="P319" s="14"/>
      <c r="Q319" s="13"/>
      <c r="R319" s="13"/>
      <c r="S319" s="15"/>
      <c r="T319" s="16"/>
      <c r="U319" s="16"/>
      <c r="V319" s="16"/>
      <c r="W319" s="16"/>
      <c r="X319" s="16"/>
      <c r="Y319" s="11"/>
      <c r="Z319" s="11"/>
      <c r="AA319" s="11"/>
      <c r="AB319" s="11"/>
      <c r="AC319" s="11"/>
      <c r="AD319" s="11"/>
    </row>
    <row r="320">
      <c r="A320" s="10"/>
      <c r="B320" s="10"/>
      <c r="C320" s="10"/>
      <c r="D320" s="10"/>
      <c r="E320" s="10"/>
      <c r="F320" s="11"/>
      <c r="G320" s="11"/>
      <c r="H320" s="11"/>
      <c r="I320" s="11"/>
      <c r="J320" s="11" t="str">
        <f>IFERROR(__xludf.DUMMYFUNCTION("iferror(if($B320="""", ,filter(Playoff_Stats!F:Z,Playoff_Stats!A:A=$B320,Playoff_Stats!B:B=$A320)))"),"")</f>
        <v/>
      </c>
      <c r="K320" s="11"/>
      <c r="L320" s="12"/>
      <c r="M320" s="11"/>
      <c r="N320" s="11"/>
      <c r="O320" s="13"/>
      <c r="P320" s="14"/>
      <c r="Q320" s="13"/>
      <c r="R320" s="13"/>
      <c r="S320" s="15"/>
      <c r="T320" s="16"/>
      <c r="U320" s="16"/>
      <c r="V320" s="16"/>
      <c r="W320" s="16"/>
      <c r="X320" s="16"/>
      <c r="Y320" s="11"/>
      <c r="Z320" s="11"/>
      <c r="AA320" s="11"/>
      <c r="AB320" s="11"/>
      <c r="AC320" s="11"/>
      <c r="AD320" s="11"/>
    </row>
    <row r="321">
      <c r="A321" s="10"/>
      <c r="B321" s="10"/>
      <c r="C321" s="10"/>
      <c r="D321" s="10"/>
      <c r="E321" s="10"/>
      <c r="F321" s="11"/>
      <c r="G321" s="11"/>
      <c r="H321" s="11"/>
      <c r="I321" s="11"/>
      <c r="J321" s="11" t="str">
        <f>IFERROR(__xludf.DUMMYFUNCTION("iferror(if($B321="""", ,filter(Playoff_Stats!F:Z,Playoff_Stats!A:A=$B321,Playoff_Stats!B:B=$A321)))"),"")</f>
        <v/>
      </c>
      <c r="K321" s="11"/>
      <c r="L321" s="12"/>
      <c r="M321" s="11"/>
      <c r="N321" s="11"/>
      <c r="O321" s="13"/>
      <c r="P321" s="14"/>
      <c r="Q321" s="13"/>
      <c r="R321" s="13"/>
      <c r="S321" s="15"/>
      <c r="T321" s="16"/>
      <c r="U321" s="16"/>
      <c r="V321" s="16"/>
      <c r="W321" s="16"/>
      <c r="X321" s="16"/>
      <c r="Y321" s="11"/>
      <c r="Z321" s="11"/>
      <c r="AA321" s="11"/>
      <c r="AB321" s="11"/>
      <c r="AC321" s="11"/>
      <c r="AD321" s="11"/>
    </row>
    <row r="322">
      <c r="A322" s="10"/>
      <c r="B322" s="10"/>
      <c r="C322" s="10"/>
      <c r="D322" s="10"/>
      <c r="E322" s="10"/>
      <c r="F322" s="11"/>
      <c r="G322" s="11"/>
      <c r="H322" s="11"/>
      <c r="I322" s="11"/>
      <c r="J322" s="11" t="str">
        <f>IFERROR(__xludf.DUMMYFUNCTION("iferror(if($B322="""", ,filter(Playoff_Stats!F:Z,Playoff_Stats!A:A=$B322,Playoff_Stats!B:B=$A322)))"),"")</f>
        <v/>
      </c>
      <c r="K322" s="11"/>
      <c r="L322" s="12"/>
      <c r="M322" s="11"/>
      <c r="N322" s="11"/>
      <c r="O322" s="13"/>
      <c r="P322" s="14"/>
      <c r="Q322" s="13"/>
      <c r="R322" s="13"/>
      <c r="S322" s="15"/>
      <c r="T322" s="16"/>
      <c r="U322" s="16"/>
      <c r="V322" s="16"/>
      <c r="W322" s="16"/>
      <c r="X322" s="16"/>
      <c r="Y322" s="11"/>
      <c r="Z322" s="11"/>
      <c r="AA322" s="11"/>
      <c r="AB322" s="11"/>
      <c r="AC322" s="11"/>
      <c r="AD322" s="11"/>
    </row>
    <row r="323">
      <c r="A323" s="10"/>
      <c r="B323" s="10"/>
      <c r="C323" s="10"/>
      <c r="D323" s="10"/>
      <c r="E323" s="10"/>
      <c r="F323" s="11"/>
      <c r="G323" s="11"/>
      <c r="H323" s="11"/>
      <c r="I323" s="11"/>
      <c r="J323" s="11" t="str">
        <f>IFERROR(__xludf.DUMMYFUNCTION("iferror(if($B323="""", ,filter(Playoff_Stats!F:Z,Playoff_Stats!A:A=$B323,Playoff_Stats!B:B=$A323)))"),"")</f>
        <v/>
      </c>
      <c r="K323" s="11"/>
      <c r="L323" s="12"/>
      <c r="M323" s="11"/>
      <c r="N323" s="11"/>
      <c r="O323" s="13"/>
      <c r="P323" s="14"/>
      <c r="Q323" s="13"/>
      <c r="R323" s="13"/>
      <c r="S323" s="15"/>
      <c r="T323" s="16"/>
      <c r="U323" s="16"/>
      <c r="V323" s="16"/>
      <c r="W323" s="16"/>
      <c r="X323" s="16"/>
      <c r="Y323" s="11"/>
      <c r="Z323" s="11"/>
      <c r="AA323" s="11"/>
      <c r="AB323" s="11"/>
      <c r="AC323" s="11"/>
      <c r="AD323" s="11"/>
    </row>
    <row r="324">
      <c r="A324" s="10"/>
      <c r="B324" s="10"/>
      <c r="C324" s="10"/>
      <c r="D324" s="10"/>
      <c r="E324" s="10"/>
      <c r="F324" s="11"/>
      <c r="G324" s="11"/>
      <c r="H324" s="11"/>
      <c r="I324" s="11"/>
      <c r="J324" s="11" t="str">
        <f>IFERROR(__xludf.DUMMYFUNCTION("iferror(if($B324="""", ,filter(Playoff_Stats!F:Z,Playoff_Stats!A:A=$B324,Playoff_Stats!B:B=$A324)))"),"")</f>
        <v/>
      </c>
      <c r="K324" s="11"/>
      <c r="L324" s="12"/>
      <c r="M324" s="11"/>
      <c r="N324" s="11"/>
      <c r="O324" s="13"/>
      <c r="P324" s="14"/>
      <c r="Q324" s="13"/>
      <c r="R324" s="13"/>
      <c r="S324" s="15"/>
      <c r="T324" s="16"/>
      <c r="U324" s="16"/>
      <c r="V324" s="16"/>
      <c r="W324" s="16"/>
      <c r="X324" s="16"/>
      <c r="Y324" s="11"/>
      <c r="Z324" s="11"/>
      <c r="AA324" s="11"/>
      <c r="AB324" s="11"/>
      <c r="AC324" s="11"/>
      <c r="AD324" s="11"/>
    </row>
    <row r="325">
      <c r="A325" s="10"/>
      <c r="B325" s="10"/>
      <c r="C325" s="10"/>
      <c r="D325" s="10"/>
      <c r="E325" s="10"/>
      <c r="F325" s="11"/>
      <c r="G325" s="11"/>
      <c r="H325" s="11"/>
      <c r="I325" s="11"/>
      <c r="J325" s="11" t="str">
        <f>IFERROR(__xludf.DUMMYFUNCTION("iferror(if($B325="""", ,filter(Playoff_Stats!F:Z,Playoff_Stats!A:A=$B325,Playoff_Stats!B:B=$A325)))"),"")</f>
        <v/>
      </c>
      <c r="K325" s="11"/>
      <c r="L325" s="12"/>
      <c r="M325" s="11"/>
      <c r="N325" s="11"/>
      <c r="O325" s="13"/>
      <c r="P325" s="14"/>
      <c r="Q325" s="13"/>
      <c r="R325" s="13"/>
      <c r="S325" s="15"/>
      <c r="T325" s="16"/>
      <c r="U325" s="16"/>
      <c r="V325" s="16"/>
      <c r="W325" s="16"/>
      <c r="X325" s="16"/>
      <c r="Y325" s="11"/>
      <c r="Z325" s="11"/>
      <c r="AA325" s="11"/>
      <c r="AB325" s="11"/>
      <c r="AC325" s="11"/>
      <c r="AD325" s="11"/>
    </row>
    <row r="326">
      <c r="A326" s="10"/>
      <c r="B326" s="10"/>
      <c r="C326" s="10"/>
      <c r="D326" s="10"/>
      <c r="E326" s="10"/>
      <c r="F326" s="11"/>
      <c r="G326" s="11"/>
      <c r="H326" s="11"/>
      <c r="I326" s="11"/>
      <c r="J326" s="11" t="str">
        <f>IFERROR(__xludf.DUMMYFUNCTION("iferror(if($B326="""", ,filter(Playoff_Stats!F:Z,Playoff_Stats!A:A=$B326,Playoff_Stats!B:B=$A326)))"),"")</f>
        <v/>
      </c>
      <c r="K326" s="11"/>
      <c r="L326" s="12"/>
      <c r="M326" s="11"/>
      <c r="N326" s="11"/>
      <c r="O326" s="13"/>
      <c r="P326" s="14"/>
      <c r="Q326" s="13"/>
      <c r="R326" s="13"/>
      <c r="S326" s="15"/>
      <c r="T326" s="16"/>
      <c r="U326" s="16"/>
      <c r="V326" s="16"/>
      <c r="W326" s="16"/>
      <c r="X326" s="16"/>
      <c r="Y326" s="11"/>
      <c r="Z326" s="11"/>
      <c r="AA326" s="11"/>
      <c r="AB326" s="11"/>
      <c r="AC326" s="11"/>
      <c r="AD326" s="11"/>
    </row>
    <row r="327">
      <c r="A327" s="10"/>
      <c r="B327" s="10"/>
      <c r="C327" s="10"/>
      <c r="D327" s="10"/>
      <c r="E327" s="10"/>
      <c r="F327" s="11"/>
      <c r="G327" s="11"/>
      <c r="H327" s="11"/>
      <c r="I327" s="11"/>
      <c r="J327" s="11" t="str">
        <f>IFERROR(__xludf.DUMMYFUNCTION("iferror(if($B327="""", ,filter(Playoff_Stats!F:Z,Playoff_Stats!A:A=$B327,Playoff_Stats!B:B=$A327)))"),"")</f>
        <v/>
      </c>
      <c r="K327" s="11"/>
      <c r="L327" s="12"/>
      <c r="M327" s="11"/>
      <c r="N327" s="11"/>
      <c r="O327" s="13"/>
      <c r="P327" s="14"/>
      <c r="Q327" s="13"/>
      <c r="R327" s="13"/>
      <c r="S327" s="15"/>
      <c r="T327" s="16"/>
      <c r="U327" s="16"/>
      <c r="V327" s="16"/>
      <c r="W327" s="16"/>
      <c r="X327" s="16"/>
      <c r="Y327" s="11"/>
      <c r="Z327" s="11"/>
      <c r="AA327" s="11"/>
      <c r="AB327" s="11"/>
      <c r="AC327" s="11"/>
      <c r="AD327" s="11"/>
    </row>
    <row r="328">
      <c r="A328" s="10"/>
      <c r="B328" s="10"/>
      <c r="C328" s="10"/>
      <c r="D328" s="10"/>
      <c r="E328" s="10"/>
      <c r="F328" s="11"/>
      <c r="G328" s="11"/>
      <c r="H328" s="11"/>
      <c r="I328" s="11"/>
      <c r="J328" s="11" t="str">
        <f>IFERROR(__xludf.DUMMYFUNCTION("iferror(if($B328="""", ,filter(Playoff_Stats!F:Z,Playoff_Stats!A:A=$B328,Playoff_Stats!B:B=$A328)))"),"")</f>
        <v/>
      </c>
      <c r="K328" s="11"/>
      <c r="L328" s="12"/>
      <c r="M328" s="11"/>
      <c r="N328" s="11"/>
      <c r="O328" s="13"/>
      <c r="P328" s="14"/>
      <c r="Q328" s="13"/>
      <c r="R328" s="13"/>
      <c r="S328" s="15"/>
      <c r="T328" s="16"/>
      <c r="U328" s="16"/>
      <c r="V328" s="16"/>
      <c r="W328" s="16"/>
      <c r="X328" s="16"/>
      <c r="Y328" s="11"/>
      <c r="Z328" s="11"/>
      <c r="AA328" s="11"/>
      <c r="AB328" s="11"/>
      <c r="AC328" s="11"/>
      <c r="AD328" s="11"/>
    </row>
    <row r="329">
      <c r="A329" s="10"/>
      <c r="B329" s="10"/>
      <c r="C329" s="10"/>
      <c r="D329" s="10"/>
      <c r="E329" s="10"/>
      <c r="F329" s="11"/>
      <c r="G329" s="11"/>
      <c r="H329" s="11"/>
      <c r="I329" s="11"/>
      <c r="J329" s="11" t="str">
        <f>IFERROR(__xludf.DUMMYFUNCTION("iferror(if($B329="""", ,filter(Playoff_Stats!F:Z,Playoff_Stats!A:A=$B329,Playoff_Stats!B:B=$A329)))"),"")</f>
        <v/>
      </c>
      <c r="K329" s="11"/>
      <c r="L329" s="12"/>
      <c r="M329" s="11"/>
      <c r="N329" s="11"/>
      <c r="O329" s="13"/>
      <c r="P329" s="14"/>
      <c r="Q329" s="13"/>
      <c r="R329" s="13"/>
      <c r="S329" s="15"/>
      <c r="T329" s="16"/>
      <c r="U329" s="16"/>
      <c r="V329" s="16"/>
      <c r="W329" s="16"/>
      <c r="X329" s="16"/>
      <c r="Y329" s="11"/>
      <c r="Z329" s="11"/>
      <c r="AA329" s="11"/>
      <c r="AB329" s="11"/>
      <c r="AC329" s="11"/>
      <c r="AD329" s="11"/>
    </row>
    <row r="330">
      <c r="A330" s="10"/>
      <c r="B330" s="10"/>
      <c r="C330" s="10"/>
      <c r="D330" s="10"/>
      <c r="E330" s="10"/>
      <c r="F330" s="11"/>
      <c r="G330" s="11"/>
      <c r="H330" s="11"/>
      <c r="I330" s="11"/>
      <c r="J330" s="11" t="str">
        <f>IFERROR(__xludf.DUMMYFUNCTION("iferror(if($B330="""", ,filter(Playoff_Stats!F:Z,Playoff_Stats!A:A=$B330,Playoff_Stats!B:B=$A330)))"),"")</f>
        <v/>
      </c>
      <c r="K330" s="11"/>
      <c r="L330" s="12"/>
      <c r="M330" s="11"/>
      <c r="N330" s="11"/>
      <c r="O330" s="13"/>
      <c r="P330" s="14"/>
      <c r="Q330" s="13"/>
      <c r="R330" s="13"/>
      <c r="S330" s="15"/>
      <c r="T330" s="16"/>
      <c r="U330" s="16"/>
      <c r="V330" s="16"/>
      <c r="W330" s="16"/>
      <c r="X330" s="16"/>
      <c r="Y330" s="11"/>
      <c r="Z330" s="11"/>
      <c r="AA330" s="11"/>
      <c r="AB330" s="11"/>
      <c r="AC330" s="11"/>
      <c r="AD330" s="11"/>
    </row>
    <row r="331">
      <c r="A331" s="10"/>
      <c r="B331" s="10"/>
      <c r="C331" s="10"/>
      <c r="D331" s="10"/>
      <c r="E331" s="10"/>
      <c r="F331" s="11"/>
      <c r="G331" s="11"/>
      <c r="H331" s="11"/>
      <c r="I331" s="11"/>
      <c r="J331" s="11" t="str">
        <f>IFERROR(__xludf.DUMMYFUNCTION("iferror(if($B331="""", ,filter(Playoff_Stats!F:Z,Playoff_Stats!A:A=$B331,Playoff_Stats!B:B=$A331)))"),"")</f>
        <v/>
      </c>
      <c r="K331" s="11"/>
      <c r="L331" s="12"/>
      <c r="M331" s="11"/>
      <c r="N331" s="11"/>
      <c r="O331" s="13"/>
      <c r="P331" s="14"/>
      <c r="Q331" s="13"/>
      <c r="R331" s="13"/>
      <c r="S331" s="15"/>
      <c r="T331" s="16"/>
      <c r="U331" s="16"/>
      <c r="V331" s="16"/>
      <c r="W331" s="16"/>
      <c r="X331" s="16"/>
      <c r="Y331" s="11"/>
      <c r="Z331" s="11"/>
      <c r="AA331" s="11"/>
      <c r="AB331" s="11"/>
      <c r="AC331" s="11"/>
      <c r="AD331" s="11"/>
    </row>
    <row r="332">
      <c r="A332" s="10"/>
      <c r="B332" s="10"/>
      <c r="C332" s="10"/>
      <c r="D332" s="10"/>
      <c r="E332" s="10"/>
      <c r="F332" s="11"/>
      <c r="G332" s="11"/>
      <c r="H332" s="11"/>
      <c r="I332" s="11"/>
      <c r="J332" s="11" t="str">
        <f>IFERROR(__xludf.DUMMYFUNCTION("iferror(if($B332="""", ,filter(Playoff_Stats!F:Z,Playoff_Stats!A:A=$B332,Playoff_Stats!B:B=$A332)))"),"")</f>
        <v/>
      </c>
      <c r="K332" s="11"/>
      <c r="L332" s="12"/>
      <c r="M332" s="11"/>
      <c r="N332" s="11"/>
      <c r="O332" s="13"/>
      <c r="P332" s="14"/>
      <c r="Q332" s="13"/>
      <c r="R332" s="13"/>
      <c r="S332" s="15"/>
      <c r="T332" s="16"/>
      <c r="U332" s="16"/>
      <c r="V332" s="16"/>
      <c r="W332" s="16"/>
      <c r="X332" s="16"/>
      <c r="Y332" s="11"/>
      <c r="Z332" s="11"/>
      <c r="AA332" s="11"/>
      <c r="AB332" s="11"/>
      <c r="AC332" s="11"/>
      <c r="AD332" s="11"/>
    </row>
    <row r="333">
      <c r="A333" s="10"/>
      <c r="B333" s="10"/>
      <c r="C333" s="10"/>
      <c r="D333" s="10"/>
      <c r="E333" s="10"/>
      <c r="F333" s="11"/>
      <c r="G333" s="11"/>
      <c r="H333" s="11"/>
      <c r="I333" s="11"/>
      <c r="J333" s="11" t="str">
        <f>IFERROR(__xludf.DUMMYFUNCTION("iferror(if($B333="""", ,filter(Playoff_Stats!F:Z,Playoff_Stats!A:A=$B333,Playoff_Stats!B:B=$A333)))"),"")</f>
        <v/>
      </c>
      <c r="K333" s="11"/>
      <c r="L333" s="12"/>
      <c r="M333" s="11"/>
      <c r="N333" s="11"/>
      <c r="O333" s="13"/>
      <c r="P333" s="14"/>
      <c r="Q333" s="13"/>
      <c r="R333" s="13"/>
      <c r="S333" s="15"/>
      <c r="T333" s="16"/>
      <c r="U333" s="16"/>
      <c r="V333" s="16"/>
      <c r="W333" s="16"/>
      <c r="X333" s="16"/>
      <c r="Y333" s="11"/>
      <c r="Z333" s="11"/>
      <c r="AA333" s="11"/>
      <c r="AB333" s="11"/>
      <c r="AC333" s="11"/>
      <c r="AD333" s="11"/>
    </row>
    <row r="334">
      <c r="A334" s="10"/>
      <c r="B334" s="10"/>
      <c r="C334" s="10"/>
      <c r="D334" s="10"/>
      <c r="E334" s="10"/>
      <c r="F334" s="11"/>
      <c r="G334" s="11"/>
      <c r="H334" s="11"/>
      <c r="I334" s="11"/>
      <c r="J334" s="11" t="str">
        <f>IFERROR(__xludf.DUMMYFUNCTION("iferror(if($B334="""", ,filter(Playoff_Stats!F:Z,Playoff_Stats!A:A=$B334,Playoff_Stats!B:B=$A334)))"),"")</f>
        <v/>
      </c>
      <c r="K334" s="11"/>
      <c r="L334" s="12"/>
      <c r="M334" s="11"/>
      <c r="N334" s="11"/>
      <c r="O334" s="13"/>
      <c r="P334" s="14"/>
      <c r="Q334" s="13"/>
      <c r="R334" s="13"/>
      <c r="S334" s="15"/>
      <c r="T334" s="16"/>
      <c r="U334" s="16"/>
      <c r="V334" s="16"/>
      <c r="W334" s="16"/>
      <c r="X334" s="16"/>
      <c r="Y334" s="11"/>
      <c r="Z334" s="11"/>
      <c r="AA334" s="11"/>
      <c r="AB334" s="11"/>
      <c r="AC334" s="11"/>
      <c r="AD334" s="11"/>
    </row>
    <row r="335">
      <c r="A335" s="10"/>
      <c r="B335" s="10"/>
      <c r="C335" s="10"/>
      <c r="D335" s="10"/>
      <c r="E335" s="10"/>
      <c r="F335" s="11"/>
      <c r="G335" s="11"/>
      <c r="H335" s="11"/>
      <c r="I335" s="11"/>
      <c r="J335" s="11" t="str">
        <f>IFERROR(__xludf.DUMMYFUNCTION("iferror(if($B335="""", ,filter(Playoff_Stats!F:Z,Playoff_Stats!A:A=$B335,Playoff_Stats!B:B=$A335)))"),"")</f>
        <v/>
      </c>
      <c r="K335" s="11"/>
      <c r="L335" s="12"/>
      <c r="M335" s="11"/>
      <c r="N335" s="11"/>
      <c r="O335" s="13"/>
      <c r="P335" s="14"/>
      <c r="Q335" s="13"/>
      <c r="R335" s="13"/>
      <c r="S335" s="15"/>
      <c r="T335" s="16"/>
      <c r="U335" s="16"/>
      <c r="V335" s="16"/>
      <c r="W335" s="16"/>
      <c r="X335" s="16"/>
      <c r="Y335" s="11"/>
      <c r="Z335" s="11"/>
      <c r="AA335" s="11"/>
      <c r="AB335" s="11"/>
      <c r="AC335" s="11"/>
      <c r="AD335" s="11"/>
    </row>
    <row r="336">
      <c r="A336" s="10"/>
      <c r="B336" s="10"/>
      <c r="C336" s="10"/>
      <c r="D336" s="10"/>
      <c r="E336" s="10"/>
      <c r="F336" s="11"/>
      <c r="G336" s="11"/>
      <c r="H336" s="11"/>
      <c r="I336" s="11"/>
      <c r="J336" s="11" t="str">
        <f>IFERROR(__xludf.DUMMYFUNCTION("iferror(if($B336="""", ,filter(Playoff_Stats!F:Z,Playoff_Stats!A:A=$B336,Playoff_Stats!B:B=$A336)))"),"")</f>
        <v/>
      </c>
      <c r="K336" s="11"/>
      <c r="L336" s="12"/>
      <c r="M336" s="11"/>
      <c r="N336" s="11"/>
      <c r="O336" s="13"/>
      <c r="P336" s="14"/>
      <c r="Q336" s="13"/>
      <c r="R336" s="13"/>
      <c r="S336" s="15"/>
      <c r="T336" s="16"/>
      <c r="U336" s="16"/>
      <c r="V336" s="16"/>
      <c r="W336" s="16"/>
      <c r="X336" s="16"/>
      <c r="Y336" s="11"/>
      <c r="Z336" s="11"/>
      <c r="AA336" s="11"/>
      <c r="AB336" s="11"/>
      <c r="AC336" s="11"/>
      <c r="AD336" s="11"/>
    </row>
    <row r="337">
      <c r="A337" s="10"/>
      <c r="B337" s="10"/>
      <c r="C337" s="10"/>
      <c r="D337" s="10"/>
      <c r="E337" s="10"/>
      <c r="F337" s="11"/>
      <c r="G337" s="11"/>
      <c r="H337" s="11"/>
      <c r="I337" s="11"/>
      <c r="J337" s="11" t="str">
        <f>IFERROR(__xludf.DUMMYFUNCTION("iferror(if($B337="""", ,filter(Playoff_Stats!F:Z,Playoff_Stats!A:A=$B337,Playoff_Stats!B:B=$A337)))"),"")</f>
        <v/>
      </c>
      <c r="K337" s="11"/>
      <c r="L337" s="12"/>
      <c r="M337" s="11"/>
      <c r="N337" s="11"/>
      <c r="O337" s="13"/>
      <c r="P337" s="14"/>
      <c r="Q337" s="13"/>
      <c r="R337" s="13"/>
      <c r="S337" s="15"/>
      <c r="T337" s="16"/>
      <c r="U337" s="16"/>
      <c r="V337" s="16"/>
      <c r="W337" s="16"/>
      <c r="X337" s="16"/>
      <c r="Y337" s="11"/>
      <c r="Z337" s="11"/>
      <c r="AA337" s="11"/>
      <c r="AB337" s="11"/>
      <c r="AC337" s="11"/>
      <c r="AD337" s="11"/>
    </row>
    <row r="338">
      <c r="A338" s="10"/>
      <c r="B338" s="10"/>
      <c r="C338" s="10"/>
      <c r="D338" s="10"/>
      <c r="E338" s="10"/>
      <c r="F338" s="11"/>
      <c r="G338" s="11"/>
      <c r="H338" s="11"/>
      <c r="I338" s="11"/>
      <c r="J338" s="11" t="str">
        <f>IFERROR(__xludf.DUMMYFUNCTION("iferror(if($B338="""", ,filter(Playoff_Stats!F:Z,Playoff_Stats!A:A=$B338,Playoff_Stats!B:B=$A338)))"),"")</f>
        <v/>
      </c>
      <c r="K338" s="11"/>
      <c r="L338" s="12"/>
      <c r="M338" s="11"/>
      <c r="N338" s="11"/>
      <c r="O338" s="13"/>
      <c r="P338" s="14"/>
      <c r="Q338" s="13"/>
      <c r="R338" s="13"/>
      <c r="S338" s="15"/>
      <c r="T338" s="16"/>
      <c r="U338" s="16"/>
      <c r="V338" s="16"/>
      <c r="W338" s="16"/>
      <c r="X338" s="16"/>
      <c r="Y338" s="11"/>
      <c r="Z338" s="11"/>
      <c r="AA338" s="11"/>
      <c r="AB338" s="11"/>
      <c r="AC338" s="11"/>
      <c r="AD338" s="11"/>
    </row>
    <row r="339">
      <c r="A339" s="10"/>
      <c r="B339" s="10"/>
      <c r="C339" s="10"/>
      <c r="D339" s="10"/>
      <c r="E339" s="10"/>
      <c r="F339" s="11"/>
      <c r="G339" s="11"/>
      <c r="H339" s="11"/>
      <c r="I339" s="11"/>
      <c r="J339" s="11" t="str">
        <f>IFERROR(__xludf.DUMMYFUNCTION("iferror(if($B339="""", ,filter(Playoff_Stats!F:Z,Playoff_Stats!A:A=$B339,Playoff_Stats!B:B=$A339)))"),"")</f>
        <v/>
      </c>
      <c r="K339" s="11"/>
      <c r="L339" s="12"/>
      <c r="M339" s="11"/>
      <c r="N339" s="11"/>
      <c r="O339" s="13"/>
      <c r="P339" s="14"/>
      <c r="Q339" s="13"/>
      <c r="R339" s="13"/>
      <c r="S339" s="15"/>
      <c r="T339" s="16"/>
      <c r="U339" s="16"/>
      <c r="V339" s="16"/>
      <c r="W339" s="16"/>
      <c r="X339" s="16"/>
      <c r="Y339" s="11"/>
      <c r="Z339" s="11"/>
      <c r="AA339" s="11"/>
      <c r="AB339" s="11"/>
      <c r="AC339" s="11"/>
      <c r="AD339" s="11"/>
    </row>
    <row r="340">
      <c r="A340" s="10"/>
      <c r="B340" s="10"/>
      <c r="C340" s="10"/>
      <c r="D340" s="10"/>
      <c r="E340" s="10"/>
      <c r="F340" s="11"/>
      <c r="G340" s="11"/>
      <c r="H340" s="11"/>
      <c r="I340" s="11"/>
      <c r="J340" s="11" t="str">
        <f>IFERROR(__xludf.DUMMYFUNCTION("iferror(if($B340="""", ,filter(Playoff_Stats!F:Z,Playoff_Stats!A:A=$B340,Playoff_Stats!B:B=$A340)))"),"")</f>
        <v/>
      </c>
      <c r="K340" s="11"/>
      <c r="L340" s="12"/>
      <c r="M340" s="11"/>
      <c r="N340" s="11"/>
      <c r="O340" s="13"/>
      <c r="P340" s="14"/>
      <c r="Q340" s="13"/>
      <c r="R340" s="13"/>
      <c r="S340" s="15"/>
      <c r="T340" s="16"/>
      <c r="U340" s="16"/>
      <c r="V340" s="16"/>
      <c r="W340" s="16"/>
      <c r="X340" s="16"/>
      <c r="Y340" s="11"/>
      <c r="Z340" s="11"/>
      <c r="AA340" s="11"/>
      <c r="AB340" s="11"/>
      <c r="AC340" s="11"/>
      <c r="AD340" s="11"/>
    </row>
    <row r="341">
      <c r="A341" s="10"/>
      <c r="B341" s="10"/>
      <c r="C341" s="10"/>
      <c r="D341" s="10"/>
      <c r="E341" s="10"/>
      <c r="F341" s="11"/>
      <c r="G341" s="11"/>
      <c r="H341" s="11"/>
      <c r="I341" s="11"/>
      <c r="J341" s="11" t="str">
        <f>IFERROR(__xludf.DUMMYFUNCTION("iferror(if($B341="""", ,filter(Playoff_Stats!F:Z,Playoff_Stats!A:A=$B341,Playoff_Stats!B:B=$A341)))"),"")</f>
        <v/>
      </c>
      <c r="K341" s="11"/>
      <c r="L341" s="12"/>
      <c r="M341" s="11"/>
      <c r="N341" s="11"/>
      <c r="O341" s="13"/>
      <c r="P341" s="14"/>
      <c r="Q341" s="13"/>
      <c r="R341" s="13"/>
      <c r="S341" s="15"/>
      <c r="T341" s="16"/>
      <c r="U341" s="16"/>
      <c r="V341" s="16"/>
      <c r="W341" s="16"/>
      <c r="X341" s="16"/>
      <c r="Y341" s="11"/>
      <c r="Z341" s="11"/>
      <c r="AA341" s="11"/>
      <c r="AB341" s="11"/>
      <c r="AC341" s="11"/>
      <c r="AD341" s="11"/>
    </row>
    <row r="342">
      <c r="A342" s="10"/>
      <c r="B342" s="10"/>
      <c r="C342" s="10"/>
      <c r="D342" s="10"/>
      <c r="E342" s="10"/>
      <c r="F342" s="11"/>
      <c r="G342" s="11"/>
      <c r="H342" s="11"/>
      <c r="I342" s="11"/>
      <c r="J342" s="11" t="str">
        <f>IFERROR(__xludf.DUMMYFUNCTION("iferror(if($B342="""", ,filter(Playoff_Stats!F:Z,Playoff_Stats!A:A=$B342,Playoff_Stats!B:B=$A342)))"),"")</f>
        <v/>
      </c>
      <c r="K342" s="11"/>
      <c r="L342" s="12"/>
      <c r="M342" s="11"/>
      <c r="N342" s="11"/>
      <c r="O342" s="13"/>
      <c r="P342" s="14"/>
      <c r="Q342" s="13"/>
      <c r="R342" s="13"/>
      <c r="S342" s="15"/>
      <c r="T342" s="16"/>
      <c r="U342" s="16"/>
      <c r="V342" s="16"/>
      <c r="W342" s="16"/>
      <c r="X342" s="16"/>
      <c r="Y342" s="11"/>
      <c r="Z342" s="11"/>
      <c r="AA342" s="11"/>
      <c r="AB342" s="11"/>
      <c r="AC342" s="11"/>
      <c r="AD342" s="11"/>
    </row>
    <row r="343">
      <c r="A343" s="10"/>
      <c r="B343" s="10"/>
      <c r="C343" s="10"/>
      <c r="D343" s="10"/>
      <c r="E343" s="10"/>
      <c r="F343" s="11"/>
      <c r="G343" s="11"/>
      <c r="H343" s="11"/>
      <c r="I343" s="11"/>
      <c r="J343" s="11" t="str">
        <f>IFERROR(__xludf.DUMMYFUNCTION("iferror(if($B343="""", ,filter(Playoff_Stats!F:Z,Playoff_Stats!A:A=$B343,Playoff_Stats!B:B=$A343)))"),"")</f>
        <v/>
      </c>
      <c r="K343" s="11"/>
      <c r="L343" s="12"/>
      <c r="M343" s="11"/>
      <c r="N343" s="11"/>
      <c r="O343" s="13"/>
      <c r="P343" s="14"/>
      <c r="Q343" s="13"/>
      <c r="R343" s="13"/>
      <c r="S343" s="15"/>
      <c r="T343" s="16"/>
      <c r="U343" s="16"/>
      <c r="V343" s="16"/>
      <c r="W343" s="16"/>
      <c r="X343" s="16"/>
      <c r="Y343" s="11"/>
      <c r="Z343" s="11"/>
      <c r="AA343" s="11"/>
      <c r="AB343" s="11"/>
      <c r="AC343" s="11"/>
      <c r="AD343" s="11"/>
    </row>
    <row r="344">
      <c r="A344" s="10"/>
      <c r="B344" s="10"/>
      <c r="C344" s="10"/>
      <c r="D344" s="10"/>
      <c r="E344" s="10"/>
      <c r="F344" s="11"/>
      <c r="G344" s="11"/>
      <c r="H344" s="11"/>
      <c r="I344" s="11"/>
      <c r="J344" s="11" t="str">
        <f>IFERROR(__xludf.DUMMYFUNCTION("iferror(if($B344="""", ,filter(Playoff_Stats!F:Z,Playoff_Stats!A:A=$B344,Playoff_Stats!B:B=$A344)))"),"")</f>
        <v/>
      </c>
      <c r="K344" s="11"/>
      <c r="L344" s="12"/>
      <c r="M344" s="11"/>
      <c r="N344" s="11"/>
      <c r="O344" s="13"/>
      <c r="P344" s="14"/>
      <c r="Q344" s="13"/>
      <c r="R344" s="13"/>
      <c r="S344" s="15"/>
      <c r="T344" s="16"/>
      <c r="U344" s="16"/>
      <c r="V344" s="16"/>
      <c r="W344" s="16"/>
      <c r="X344" s="16"/>
      <c r="Y344" s="11"/>
      <c r="Z344" s="11"/>
      <c r="AA344" s="11"/>
      <c r="AB344" s="11"/>
      <c r="AC344" s="11"/>
      <c r="AD344" s="11"/>
    </row>
    <row r="345">
      <c r="A345" s="10"/>
      <c r="B345" s="10"/>
      <c r="C345" s="10"/>
      <c r="D345" s="10"/>
      <c r="E345" s="10"/>
      <c r="F345" s="11"/>
      <c r="G345" s="11"/>
      <c r="H345" s="11"/>
      <c r="I345" s="11"/>
      <c r="J345" s="11" t="str">
        <f>IFERROR(__xludf.DUMMYFUNCTION("iferror(if($B345="""", ,filter(Playoff_Stats!F:Z,Playoff_Stats!A:A=$B345,Playoff_Stats!B:B=$A345)))"),"")</f>
        <v/>
      </c>
      <c r="K345" s="11"/>
      <c r="L345" s="12"/>
      <c r="M345" s="11"/>
      <c r="N345" s="11"/>
      <c r="O345" s="13"/>
      <c r="P345" s="14"/>
      <c r="Q345" s="13"/>
      <c r="R345" s="13"/>
      <c r="S345" s="15"/>
      <c r="T345" s="16"/>
      <c r="U345" s="16"/>
      <c r="V345" s="16"/>
      <c r="W345" s="16"/>
      <c r="X345" s="16"/>
      <c r="Y345" s="11"/>
      <c r="Z345" s="11"/>
      <c r="AA345" s="11"/>
      <c r="AB345" s="11"/>
      <c r="AC345" s="11"/>
      <c r="AD345" s="11"/>
    </row>
    <row r="346">
      <c r="A346" s="10"/>
      <c r="B346" s="10"/>
      <c r="C346" s="10"/>
      <c r="D346" s="10"/>
      <c r="E346" s="10"/>
      <c r="F346" s="11"/>
      <c r="G346" s="11"/>
      <c r="H346" s="11"/>
      <c r="I346" s="11"/>
      <c r="J346" s="11" t="str">
        <f>IFERROR(__xludf.DUMMYFUNCTION("iferror(if($B346="""", ,filter(Playoff_Stats!F:Z,Playoff_Stats!A:A=$B346,Playoff_Stats!B:B=$A346)))"),"")</f>
        <v/>
      </c>
      <c r="K346" s="11"/>
      <c r="L346" s="12"/>
      <c r="M346" s="11"/>
      <c r="N346" s="11"/>
      <c r="O346" s="13"/>
      <c r="P346" s="14"/>
      <c r="Q346" s="13"/>
      <c r="R346" s="13"/>
      <c r="S346" s="15"/>
      <c r="T346" s="16"/>
      <c r="U346" s="16"/>
      <c r="V346" s="16"/>
      <c r="W346" s="16"/>
      <c r="X346" s="16"/>
      <c r="Y346" s="11"/>
      <c r="Z346" s="11"/>
      <c r="AA346" s="11"/>
      <c r="AB346" s="11"/>
      <c r="AC346" s="11"/>
      <c r="AD346" s="11"/>
    </row>
    <row r="347">
      <c r="A347" s="10"/>
      <c r="B347" s="10"/>
      <c r="C347" s="10"/>
      <c r="D347" s="10"/>
      <c r="E347" s="10"/>
      <c r="F347" s="11"/>
      <c r="G347" s="11"/>
      <c r="H347" s="11"/>
      <c r="I347" s="11"/>
      <c r="J347" s="11" t="str">
        <f>IFERROR(__xludf.DUMMYFUNCTION("iferror(if($B347="""", ,filter(Playoff_Stats!F:Z,Playoff_Stats!A:A=$B347,Playoff_Stats!B:B=$A347)))"),"")</f>
        <v/>
      </c>
      <c r="K347" s="11"/>
      <c r="L347" s="12"/>
      <c r="M347" s="11"/>
      <c r="N347" s="11"/>
      <c r="O347" s="13"/>
      <c r="P347" s="14"/>
      <c r="Q347" s="13"/>
      <c r="R347" s="13"/>
      <c r="S347" s="15"/>
      <c r="T347" s="16"/>
      <c r="U347" s="16"/>
      <c r="V347" s="16"/>
      <c r="W347" s="16"/>
      <c r="X347" s="16"/>
      <c r="Y347" s="11"/>
      <c r="Z347" s="11"/>
      <c r="AA347" s="11"/>
      <c r="AB347" s="11"/>
      <c r="AC347" s="11"/>
      <c r="AD347" s="11"/>
    </row>
    <row r="348">
      <c r="A348" s="10"/>
      <c r="B348" s="10"/>
      <c r="C348" s="10"/>
      <c r="D348" s="10"/>
      <c r="E348" s="10"/>
      <c r="F348" s="11"/>
      <c r="G348" s="11"/>
      <c r="H348" s="11"/>
      <c r="I348" s="11"/>
      <c r="J348" s="11" t="str">
        <f>IFERROR(__xludf.DUMMYFUNCTION("iferror(if($B348="""", ,filter(Playoff_Stats!F:Z,Playoff_Stats!A:A=$B348,Playoff_Stats!B:B=$A348)))"),"")</f>
        <v/>
      </c>
      <c r="K348" s="11"/>
      <c r="L348" s="12"/>
      <c r="M348" s="11"/>
      <c r="N348" s="11"/>
      <c r="O348" s="13"/>
      <c r="P348" s="14"/>
      <c r="Q348" s="13"/>
      <c r="R348" s="13"/>
      <c r="S348" s="15"/>
      <c r="T348" s="16"/>
      <c r="U348" s="16"/>
      <c r="V348" s="16"/>
      <c r="W348" s="16"/>
      <c r="X348" s="16"/>
      <c r="Y348" s="11"/>
      <c r="Z348" s="11"/>
      <c r="AA348" s="11"/>
      <c r="AB348" s="11"/>
      <c r="AC348" s="11"/>
      <c r="AD348" s="11"/>
    </row>
    <row r="349">
      <c r="A349" s="10"/>
      <c r="B349" s="10"/>
      <c r="C349" s="10"/>
      <c r="D349" s="10"/>
      <c r="E349" s="10"/>
      <c r="F349" s="11"/>
      <c r="G349" s="11"/>
      <c r="H349" s="11"/>
      <c r="I349" s="11"/>
      <c r="J349" s="11" t="str">
        <f>IFERROR(__xludf.DUMMYFUNCTION("iferror(if($B349="""", ,filter(Playoff_Stats!F:Z,Playoff_Stats!A:A=$B349,Playoff_Stats!B:B=$A349)))"),"")</f>
        <v/>
      </c>
      <c r="K349" s="11"/>
      <c r="L349" s="12"/>
      <c r="M349" s="11"/>
      <c r="N349" s="11"/>
      <c r="O349" s="13"/>
      <c r="P349" s="14"/>
      <c r="Q349" s="13"/>
      <c r="R349" s="13"/>
      <c r="S349" s="15"/>
      <c r="T349" s="16"/>
      <c r="U349" s="16"/>
      <c r="V349" s="16"/>
      <c r="W349" s="16"/>
      <c r="X349" s="16"/>
      <c r="Y349" s="11"/>
      <c r="Z349" s="11"/>
      <c r="AA349" s="11"/>
      <c r="AB349" s="11"/>
      <c r="AC349" s="11"/>
      <c r="AD349" s="11"/>
    </row>
    <row r="350">
      <c r="A350" s="10"/>
      <c r="B350" s="10"/>
      <c r="C350" s="10"/>
      <c r="D350" s="10"/>
      <c r="E350" s="10"/>
      <c r="F350" s="11"/>
      <c r="G350" s="11"/>
      <c r="H350" s="11"/>
      <c r="I350" s="11"/>
      <c r="J350" s="11" t="str">
        <f>IFERROR(__xludf.DUMMYFUNCTION("iferror(if($B350="""", ,filter(Playoff_Stats!F:Z,Playoff_Stats!A:A=$B350,Playoff_Stats!B:B=$A350)))"),"")</f>
        <v/>
      </c>
      <c r="K350" s="11"/>
      <c r="L350" s="12"/>
      <c r="M350" s="11"/>
      <c r="N350" s="11"/>
      <c r="O350" s="13"/>
      <c r="P350" s="14"/>
      <c r="Q350" s="13"/>
      <c r="R350" s="13"/>
      <c r="S350" s="15"/>
      <c r="T350" s="16"/>
      <c r="U350" s="16"/>
      <c r="V350" s="16"/>
      <c r="W350" s="16"/>
      <c r="X350" s="16"/>
      <c r="Y350" s="11"/>
      <c r="Z350" s="11"/>
      <c r="AA350" s="11"/>
      <c r="AB350" s="11"/>
      <c r="AC350" s="11"/>
      <c r="AD350" s="11"/>
    </row>
    <row r="351">
      <c r="A351" s="10"/>
      <c r="B351" s="10"/>
      <c r="C351" s="10"/>
      <c r="D351" s="10"/>
      <c r="E351" s="10"/>
      <c r="F351" s="11"/>
      <c r="G351" s="11"/>
      <c r="H351" s="11"/>
      <c r="I351" s="11"/>
      <c r="J351" s="11" t="str">
        <f>IFERROR(__xludf.DUMMYFUNCTION("iferror(if($B351="""", ,filter(Playoff_Stats!F:Z,Playoff_Stats!A:A=$B351,Playoff_Stats!B:B=$A351)))"),"")</f>
        <v/>
      </c>
      <c r="K351" s="11"/>
      <c r="L351" s="12"/>
      <c r="M351" s="11"/>
      <c r="N351" s="11"/>
      <c r="O351" s="13"/>
      <c r="P351" s="14"/>
      <c r="Q351" s="13"/>
      <c r="R351" s="13"/>
      <c r="S351" s="15"/>
      <c r="T351" s="16"/>
      <c r="U351" s="16"/>
      <c r="V351" s="16"/>
      <c r="W351" s="16"/>
      <c r="X351" s="16"/>
      <c r="Y351" s="11"/>
      <c r="Z351" s="11"/>
      <c r="AA351" s="11"/>
      <c r="AB351" s="11"/>
      <c r="AC351" s="11"/>
      <c r="AD351" s="11"/>
    </row>
    <row r="352">
      <c r="A352" s="10"/>
      <c r="B352" s="10"/>
      <c r="C352" s="10"/>
      <c r="D352" s="10"/>
      <c r="E352" s="10"/>
      <c r="F352" s="11"/>
      <c r="G352" s="11"/>
      <c r="H352" s="11"/>
      <c r="I352" s="11"/>
      <c r="J352" s="11" t="str">
        <f>IFERROR(__xludf.DUMMYFUNCTION("iferror(if($B352="""", ,filter(Playoff_Stats!F:Z,Playoff_Stats!A:A=$B352,Playoff_Stats!B:B=$A352)))"),"")</f>
        <v/>
      </c>
      <c r="K352" s="11"/>
      <c r="L352" s="12"/>
      <c r="M352" s="11"/>
      <c r="N352" s="11"/>
      <c r="O352" s="13"/>
      <c r="P352" s="14"/>
      <c r="Q352" s="13"/>
      <c r="R352" s="13"/>
      <c r="S352" s="15"/>
      <c r="T352" s="16"/>
      <c r="U352" s="16"/>
      <c r="V352" s="16"/>
      <c r="W352" s="16"/>
      <c r="X352" s="16"/>
      <c r="Y352" s="11"/>
      <c r="Z352" s="11"/>
      <c r="AA352" s="11"/>
      <c r="AB352" s="11"/>
      <c r="AC352" s="11"/>
      <c r="AD352" s="11"/>
    </row>
    <row r="353">
      <c r="A353" s="10"/>
      <c r="B353" s="10"/>
      <c r="C353" s="10"/>
      <c r="D353" s="10"/>
      <c r="E353" s="10"/>
      <c r="F353" s="11"/>
      <c r="G353" s="11"/>
      <c r="H353" s="11"/>
      <c r="I353" s="11"/>
      <c r="J353" s="11" t="str">
        <f>IFERROR(__xludf.DUMMYFUNCTION("iferror(if($B353="""", ,filter(Playoff_Stats!F:Z,Playoff_Stats!A:A=$B353,Playoff_Stats!B:B=$A353)))"),"")</f>
        <v/>
      </c>
      <c r="K353" s="11"/>
      <c r="L353" s="12"/>
      <c r="M353" s="11"/>
      <c r="N353" s="11"/>
      <c r="O353" s="13"/>
      <c r="P353" s="14"/>
      <c r="Q353" s="13"/>
      <c r="R353" s="13"/>
      <c r="S353" s="15"/>
      <c r="T353" s="16"/>
      <c r="U353" s="16"/>
      <c r="V353" s="16"/>
      <c r="W353" s="16"/>
      <c r="X353" s="16"/>
      <c r="Y353" s="11"/>
      <c r="Z353" s="11"/>
      <c r="AA353" s="11"/>
      <c r="AB353" s="11"/>
      <c r="AC353" s="11"/>
      <c r="AD353" s="11"/>
    </row>
    <row r="354">
      <c r="A354" s="10"/>
      <c r="B354" s="10"/>
      <c r="C354" s="10"/>
      <c r="D354" s="10"/>
      <c r="E354" s="10"/>
      <c r="F354" s="11"/>
      <c r="G354" s="11"/>
      <c r="H354" s="11"/>
      <c r="I354" s="11"/>
      <c r="J354" s="11" t="str">
        <f>IFERROR(__xludf.DUMMYFUNCTION("iferror(if($B354="""", ,filter(Playoff_Stats!F:Z,Playoff_Stats!A:A=$B354,Playoff_Stats!B:B=$A354)))"),"")</f>
        <v/>
      </c>
      <c r="K354" s="11"/>
      <c r="L354" s="12"/>
      <c r="M354" s="11"/>
      <c r="N354" s="11"/>
      <c r="O354" s="13"/>
      <c r="P354" s="14"/>
      <c r="Q354" s="13"/>
      <c r="R354" s="13"/>
      <c r="S354" s="15"/>
      <c r="T354" s="16"/>
      <c r="U354" s="16"/>
      <c r="V354" s="16"/>
      <c r="W354" s="16"/>
      <c r="X354" s="16"/>
      <c r="Y354" s="11"/>
      <c r="Z354" s="11"/>
      <c r="AA354" s="11"/>
      <c r="AB354" s="11"/>
      <c r="AC354" s="11"/>
      <c r="AD354" s="11"/>
    </row>
    <row r="355">
      <c r="A355" s="10"/>
      <c r="B355" s="10"/>
      <c r="C355" s="10"/>
      <c r="D355" s="10"/>
      <c r="E355" s="10"/>
      <c r="F355" s="11"/>
      <c r="G355" s="11"/>
      <c r="H355" s="11"/>
      <c r="I355" s="11"/>
      <c r="J355" s="11" t="str">
        <f>IFERROR(__xludf.DUMMYFUNCTION("iferror(if($B355="""", ,filter(Playoff_Stats!F:Z,Playoff_Stats!A:A=$B355,Playoff_Stats!B:B=$A355)))"),"")</f>
        <v/>
      </c>
      <c r="K355" s="11"/>
      <c r="L355" s="12"/>
      <c r="M355" s="11"/>
      <c r="N355" s="11"/>
      <c r="O355" s="13"/>
      <c r="P355" s="14"/>
      <c r="Q355" s="13"/>
      <c r="R355" s="13"/>
      <c r="S355" s="15"/>
      <c r="T355" s="16"/>
      <c r="U355" s="16"/>
      <c r="V355" s="16"/>
      <c r="W355" s="16"/>
      <c r="X355" s="16"/>
      <c r="Y355" s="11"/>
      <c r="Z355" s="11"/>
      <c r="AA355" s="11"/>
      <c r="AB355" s="11"/>
      <c r="AC355" s="11"/>
      <c r="AD355" s="11"/>
    </row>
    <row r="356">
      <c r="A356" s="10"/>
      <c r="B356" s="10"/>
      <c r="C356" s="10"/>
      <c r="D356" s="10"/>
      <c r="E356" s="10"/>
      <c r="F356" s="11"/>
      <c r="G356" s="11"/>
      <c r="H356" s="11"/>
      <c r="I356" s="11"/>
      <c r="J356" s="11" t="str">
        <f>IFERROR(__xludf.DUMMYFUNCTION("iferror(if($B356="""", ,filter(Playoff_Stats!F:Z,Playoff_Stats!A:A=$B356,Playoff_Stats!B:B=$A356)))"),"")</f>
        <v/>
      </c>
      <c r="K356" s="11"/>
      <c r="L356" s="12"/>
      <c r="M356" s="11"/>
      <c r="N356" s="11"/>
      <c r="O356" s="13"/>
      <c r="P356" s="14"/>
      <c r="Q356" s="13"/>
      <c r="R356" s="13"/>
      <c r="S356" s="15"/>
      <c r="T356" s="16"/>
      <c r="U356" s="16"/>
      <c r="V356" s="16"/>
      <c r="W356" s="16"/>
      <c r="X356" s="16"/>
      <c r="Y356" s="11"/>
      <c r="Z356" s="11"/>
      <c r="AA356" s="11"/>
      <c r="AB356" s="11"/>
      <c r="AC356" s="11"/>
      <c r="AD356" s="11"/>
    </row>
    <row r="357">
      <c r="A357" s="10"/>
      <c r="B357" s="10"/>
      <c r="C357" s="10"/>
      <c r="D357" s="10"/>
      <c r="E357" s="10"/>
      <c r="F357" s="11"/>
      <c r="G357" s="11"/>
      <c r="H357" s="11"/>
      <c r="I357" s="11"/>
      <c r="J357" s="11" t="str">
        <f>IFERROR(__xludf.DUMMYFUNCTION("iferror(if($B357="""", ,filter(Playoff_Stats!F:Z,Playoff_Stats!A:A=$B357,Playoff_Stats!B:B=$A357)))"),"")</f>
        <v/>
      </c>
      <c r="K357" s="11"/>
      <c r="L357" s="12"/>
      <c r="M357" s="11"/>
      <c r="N357" s="11"/>
      <c r="O357" s="13"/>
      <c r="P357" s="14"/>
      <c r="Q357" s="13"/>
      <c r="R357" s="13"/>
      <c r="S357" s="15"/>
      <c r="T357" s="16"/>
      <c r="U357" s="16"/>
      <c r="V357" s="16"/>
      <c r="W357" s="16"/>
      <c r="X357" s="16"/>
      <c r="Y357" s="11"/>
      <c r="Z357" s="11"/>
      <c r="AA357" s="11"/>
      <c r="AB357" s="11"/>
      <c r="AC357" s="11"/>
      <c r="AD357" s="11"/>
    </row>
    <row r="358">
      <c r="A358" s="10"/>
      <c r="B358" s="10"/>
      <c r="C358" s="10"/>
      <c r="D358" s="10"/>
      <c r="E358" s="10"/>
      <c r="F358" s="11"/>
      <c r="G358" s="11"/>
      <c r="H358" s="11"/>
      <c r="I358" s="11"/>
      <c r="J358" s="11" t="str">
        <f>IFERROR(__xludf.DUMMYFUNCTION("iferror(if($B358="""", ,filter(Playoff_Stats!F:Z,Playoff_Stats!A:A=$B358,Playoff_Stats!B:B=$A358)))"),"")</f>
        <v/>
      </c>
      <c r="K358" s="11"/>
      <c r="L358" s="12"/>
      <c r="M358" s="11"/>
      <c r="N358" s="11"/>
      <c r="O358" s="13"/>
      <c r="P358" s="14"/>
      <c r="Q358" s="13"/>
      <c r="R358" s="13"/>
      <c r="S358" s="15"/>
      <c r="T358" s="16"/>
      <c r="U358" s="16"/>
      <c r="V358" s="16"/>
      <c r="W358" s="16"/>
      <c r="X358" s="16"/>
      <c r="Y358" s="11"/>
      <c r="Z358" s="11"/>
      <c r="AA358" s="11"/>
      <c r="AB358" s="11"/>
      <c r="AC358" s="11"/>
      <c r="AD358" s="11"/>
    </row>
    <row r="359">
      <c r="A359" s="10"/>
      <c r="B359" s="10"/>
      <c r="C359" s="10"/>
      <c r="D359" s="10"/>
      <c r="E359" s="10"/>
      <c r="F359" s="11"/>
      <c r="G359" s="11"/>
      <c r="H359" s="11"/>
      <c r="I359" s="11"/>
      <c r="J359" s="11" t="str">
        <f>IFERROR(__xludf.DUMMYFUNCTION("iferror(if($B359="""", ,filter(Playoff_Stats!F:Z,Playoff_Stats!A:A=$B359,Playoff_Stats!B:B=$A359)))"),"")</f>
        <v/>
      </c>
      <c r="K359" s="11"/>
      <c r="L359" s="12"/>
      <c r="M359" s="11"/>
      <c r="N359" s="11"/>
      <c r="O359" s="13"/>
      <c r="P359" s="14"/>
      <c r="Q359" s="13"/>
      <c r="R359" s="13"/>
      <c r="S359" s="15"/>
      <c r="T359" s="16"/>
      <c r="U359" s="16"/>
      <c r="V359" s="16"/>
      <c r="W359" s="16"/>
      <c r="X359" s="16"/>
      <c r="Y359" s="11"/>
      <c r="Z359" s="11"/>
      <c r="AA359" s="11"/>
      <c r="AB359" s="11"/>
      <c r="AC359" s="11"/>
      <c r="AD359" s="11"/>
    </row>
    <row r="360">
      <c r="A360" s="10"/>
      <c r="B360" s="10"/>
      <c r="C360" s="10"/>
      <c r="D360" s="10"/>
      <c r="E360" s="10"/>
      <c r="F360" s="11"/>
      <c r="G360" s="11"/>
      <c r="H360" s="11"/>
      <c r="I360" s="11"/>
      <c r="J360" s="11" t="str">
        <f>IFERROR(__xludf.DUMMYFUNCTION("iferror(if($B360="""", ,filter(Playoff_Stats!F:Z,Playoff_Stats!A:A=$B360,Playoff_Stats!B:B=$A360)))"),"")</f>
        <v/>
      </c>
      <c r="K360" s="11"/>
      <c r="L360" s="12"/>
      <c r="M360" s="11"/>
      <c r="N360" s="11"/>
      <c r="O360" s="13"/>
      <c r="P360" s="14"/>
      <c r="Q360" s="13"/>
      <c r="R360" s="13"/>
      <c r="S360" s="15"/>
      <c r="T360" s="16"/>
      <c r="U360" s="16"/>
      <c r="V360" s="16"/>
      <c r="W360" s="16"/>
      <c r="X360" s="16"/>
      <c r="Y360" s="11"/>
      <c r="Z360" s="11"/>
      <c r="AA360" s="11"/>
      <c r="AB360" s="11"/>
      <c r="AC360" s="11"/>
      <c r="AD360" s="11"/>
    </row>
    <row r="361">
      <c r="A361" s="10"/>
      <c r="B361" s="10"/>
      <c r="C361" s="10"/>
      <c r="D361" s="10"/>
      <c r="E361" s="10"/>
      <c r="F361" s="11"/>
      <c r="G361" s="11"/>
      <c r="H361" s="11"/>
      <c r="I361" s="11"/>
      <c r="J361" s="11" t="str">
        <f>IFERROR(__xludf.DUMMYFUNCTION("iferror(if($B361="""", ,filter(Playoff_Stats!F:Z,Playoff_Stats!A:A=$B361,Playoff_Stats!B:B=$A361)))"),"")</f>
        <v/>
      </c>
      <c r="K361" s="11"/>
      <c r="L361" s="12"/>
      <c r="M361" s="11"/>
      <c r="N361" s="11"/>
      <c r="O361" s="13"/>
      <c r="P361" s="14"/>
      <c r="Q361" s="13"/>
      <c r="R361" s="13"/>
      <c r="S361" s="15"/>
      <c r="T361" s="16"/>
      <c r="U361" s="16"/>
      <c r="V361" s="16"/>
      <c r="W361" s="16"/>
      <c r="X361" s="16"/>
      <c r="Y361" s="11"/>
      <c r="Z361" s="11"/>
      <c r="AA361" s="11"/>
      <c r="AB361" s="11"/>
      <c r="AC361" s="11"/>
      <c r="AD361" s="11"/>
    </row>
    <row r="362">
      <c r="A362" s="10"/>
      <c r="B362" s="10"/>
      <c r="C362" s="10"/>
      <c r="D362" s="10"/>
      <c r="E362" s="10"/>
      <c r="F362" s="11"/>
      <c r="G362" s="11"/>
      <c r="H362" s="11"/>
      <c r="I362" s="11"/>
      <c r="J362" s="11" t="str">
        <f>IFERROR(__xludf.DUMMYFUNCTION("iferror(if($B362="""", ,filter(Playoff_Stats!F:Z,Playoff_Stats!A:A=$B362,Playoff_Stats!B:B=$A362)))"),"")</f>
        <v/>
      </c>
      <c r="K362" s="11"/>
      <c r="L362" s="12"/>
      <c r="M362" s="11"/>
      <c r="N362" s="11"/>
      <c r="O362" s="13"/>
      <c r="P362" s="14"/>
      <c r="Q362" s="13"/>
      <c r="R362" s="13"/>
      <c r="S362" s="15"/>
      <c r="T362" s="16"/>
      <c r="U362" s="16"/>
      <c r="V362" s="16"/>
      <c r="W362" s="16"/>
      <c r="X362" s="16"/>
      <c r="Y362" s="11"/>
      <c r="Z362" s="11"/>
      <c r="AA362" s="11"/>
      <c r="AB362" s="11"/>
      <c r="AC362" s="11"/>
      <c r="AD362" s="11"/>
    </row>
    <row r="363">
      <c r="A363" s="10"/>
      <c r="B363" s="10"/>
      <c r="C363" s="10"/>
      <c r="D363" s="10"/>
      <c r="E363" s="10"/>
      <c r="F363" s="11"/>
      <c r="G363" s="11"/>
      <c r="H363" s="11"/>
      <c r="I363" s="11"/>
      <c r="J363" s="11" t="str">
        <f>IFERROR(__xludf.DUMMYFUNCTION("iferror(if($B363="""", ,filter(Playoff_Stats!F:Z,Playoff_Stats!A:A=$B363,Playoff_Stats!B:B=$A363)))"),"")</f>
        <v/>
      </c>
      <c r="K363" s="11"/>
      <c r="L363" s="12"/>
      <c r="M363" s="11"/>
      <c r="N363" s="11"/>
      <c r="O363" s="13"/>
      <c r="P363" s="14"/>
      <c r="Q363" s="13"/>
      <c r="R363" s="13"/>
      <c r="S363" s="15"/>
      <c r="T363" s="16"/>
      <c r="U363" s="16"/>
      <c r="V363" s="16"/>
      <c r="W363" s="16"/>
      <c r="X363" s="16"/>
      <c r="Y363" s="11"/>
      <c r="Z363" s="11"/>
      <c r="AA363" s="11"/>
      <c r="AB363" s="11"/>
      <c r="AC363" s="11"/>
      <c r="AD363" s="11"/>
    </row>
    <row r="364">
      <c r="A364" s="10"/>
      <c r="B364" s="10"/>
      <c r="C364" s="10"/>
      <c r="D364" s="10"/>
      <c r="E364" s="10"/>
      <c r="F364" s="11"/>
      <c r="G364" s="11"/>
      <c r="H364" s="11"/>
      <c r="I364" s="11"/>
      <c r="J364" s="11" t="str">
        <f>IFERROR(__xludf.DUMMYFUNCTION("iferror(if($B364="""", ,filter(Playoff_Stats!F:Z,Playoff_Stats!A:A=$B364,Playoff_Stats!B:B=$A364)))"),"")</f>
        <v/>
      </c>
      <c r="K364" s="11"/>
      <c r="L364" s="12"/>
      <c r="M364" s="11"/>
      <c r="N364" s="11"/>
      <c r="O364" s="13"/>
      <c r="P364" s="14"/>
      <c r="Q364" s="13"/>
      <c r="R364" s="13"/>
      <c r="S364" s="15"/>
      <c r="T364" s="16"/>
      <c r="U364" s="16"/>
      <c r="V364" s="16"/>
      <c r="W364" s="16"/>
      <c r="X364" s="16"/>
      <c r="Y364" s="11"/>
      <c r="Z364" s="11"/>
      <c r="AA364" s="11"/>
      <c r="AB364" s="11"/>
      <c r="AC364" s="11"/>
      <c r="AD364" s="11"/>
    </row>
    <row r="365">
      <c r="A365" s="10"/>
      <c r="B365" s="10"/>
      <c r="C365" s="10"/>
      <c r="D365" s="10"/>
      <c r="E365" s="10"/>
      <c r="F365" s="11"/>
      <c r="G365" s="11"/>
      <c r="H365" s="11"/>
      <c r="I365" s="11"/>
      <c r="J365" s="11" t="str">
        <f>IFERROR(__xludf.DUMMYFUNCTION("iferror(if($B365="""", ,filter(Playoff_Stats!F:Z,Playoff_Stats!A:A=$B365,Playoff_Stats!B:B=$A365)))"),"")</f>
        <v/>
      </c>
      <c r="K365" s="11"/>
      <c r="L365" s="12"/>
      <c r="M365" s="11"/>
      <c r="N365" s="11"/>
      <c r="O365" s="13"/>
      <c r="P365" s="14"/>
      <c r="Q365" s="13"/>
      <c r="R365" s="13"/>
      <c r="S365" s="15"/>
      <c r="T365" s="16"/>
      <c r="U365" s="16"/>
      <c r="V365" s="16"/>
      <c r="W365" s="16"/>
      <c r="X365" s="16"/>
      <c r="Y365" s="11"/>
      <c r="Z365" s="11"/>
      <c r="AA365" s="11"/>
      <c r="AB365" s="11"/>
      <c r="AC365" s="11"/>
      <c r="AD365" s="11"/>
    </row>
    <row r="366">
      <c r="A366" s="10"/>
      <c r="B366" s="10"/>
      <c r="C366" s="10"/>
      <c r="D366" s="10"/>
      <c r="E366" s="10"/>
      <c r="F366" s="11"/>
      <c r="G366" s="11"/>
      <c r="H366" s="11"/>
      <c r="I366" s="11"/>
      <c r="J366" s="11" t="str">
        <f>IFERROR(__xludf.DUMMYFUNCTION("iferror(if($B366="""", ,filter(Playoff_Stats!F:Z,Playoff_Stats!A:A=$B366,Playoff_Stats!B:B=$A366)))"),"")</f>
        <v/>
      </c>
      <c r="K366" s="11"/>
      <c r="L366" s="12"/>
      <c r="M366" s="11"/>
      <c r="N366" s="11"/>
      <c r="O366" s="13"/>
      <c r="P366" s="14"/>
      <c r="Q366" s="13"/>
      <c r="R366" s="13"/>
      <c r="S366" s="15"/>
      <c r="T366" s="16"/>
      <c r="U366" s="16"/>
      <c r="V366" s="16"/>
      <c r="W366" s="16"/>
      <c r="X366" s="16"/>
      <c r="Y366" s="11"/>
      <c r="Z366" s="11"/>
      <c r="AA366" s="11"/>
      <c r="AB366" s="11"/>
      <c r="AC366" s="11"/>
      <c r="AD366" s="11"/>
    </row>
    <row r="367">
      <c r="A367" s="10"/>
      <c r="B367" s="10"/>
      <c r="C367" s="10"/>
      <c r="D367" s="10"/>
      <c r="E367" s="10"/>
      <c r="F367" s="11"/>
      <c r="G367" s="11"/>
      <c r="H367" s="11"/>
      <c r="I367" s="11"/>
      <c r="J367" s="11" t="str">
        <f>IFERROR(__xludf.DUMMYFUNCTION("iferror(if($B367="""", ,filter(Playoff_Stats!F:Z,Playoff_Stats!A:A=$B367,Playoff_Stats!B:B=$A367)))"),"")</f>
        <v/>
      </c>
      <c r="K367" s="11"/>
      <c r="L367" s="12"/>
      <c r="M367" s="11"/>
      <c r="N367" s="11"/>
      <c r="O367" s="13"/>
      <c r="P367" s="14"/>
      <c r="Q367" s="13"/>
      <c r="R367" s="13"/>
      <c r="S367" s="15"/>
      <c r="T367" s="16"/>
      <c r="U367" s="16"/>
      <c r="V367" s="16"/>
      <c r="W367" s="16"/>
      <c r="X367" s="16"/>
      <c r="Y367" s="11"/>
      <c r="Z367" s="11"/>
      <c r="AA367" s="11"/>
      <c r="AB367" s="11"/>
      <c r="AC367" s="11"/>
      <c r="AD367" s="11"/>
    </row>
    <row r="368">
      <c r="A368" s="10"/>
      <c r="B368" s="10"/>
      <c r="C368" s="10"/>
      <c r="D368" s="10"/>
      <c r="E368" s="10"/>
      <c r="F368" s="11"/>
      <c r="G368" s="11"/>
      <c r="H368" s="11"/>
      <c r="I368" s="11"/>
      <c r="J368" s="11" t="str">
        <f>IFERROR(__xludf.DUMMYFUNCTION("iferror(if($B368="""", ,filter(Playoff_Stats!F:Z,Playoff_Stats!A:A=$B368,Playoff_Stats!B:B=$A368)))"),"")</f>
        <v/>
      </c>
      <c r="K368" s="11"/>
      <c r="L368" s="12"/>
      <c r="M368" s="11"/>
      <c r="N368" s="11"/>
      <c r="O368" s="13"/>
      <c r="P368" s="14"/>
      <c r="Q368" s="13"/>
      <c r="R368" s="13"/>
      <c r="S368" s="15"/>
      <c r="T368" s="16"/>
      <c r="U368" s="16"/>
      <c r="V368" s="16"/>
      <c r="W368" s="16"/>
      <c r="X368" s="16"/>
      <c r="Y368" s="11"/>
      <c r="Z368" s="11"/>
      <c r="AA368" s="11"/>
      <c r="AB368" s="11"/>
      <c r="AC368" s="11"/>
      <c r="AD368" s="11"/>
    </row>
    <row r="369">
      <c r="A369" s="10"/>
      <c r="B369" s="10"/>
      <c r="C369" s="10"/>
      <c r="D369" s="10"/>
      <c r="E369" s="10"/>
      <c r="F369" s="11"/>
      <c r="G369" s="11"/>
      <c r="H369" s="11"/>
      <c r="I369" s="11"/>
      <c r="J369" s="11" t="str">
        <f>IFERROR(__xludf.DUMMYFUNCTION("iferror(if($B369="""", ,filter(Playoff_Stats!F:Z,Playoff_Stats!A:A=$B369,Playoff_Stats!B:B=$A369)))"),"")</f>
        <v/>
      </c>
      <c r="K369" s="11"/>
      <c r="L369" s="12"/>
      <c r="M369" s="11"/>
      <c r="N369" s="11"/>
      <c r="O369" s="13"/>
      <c r="P369" s="14"/>
      <c r="Q369" s="13"/>
      <c r="R369" s="13"/>
      <c r="S369" s="15"/>
      <c r="T369" s="16"/>
      <c r="U369" s="16"/>
      <c r="V369" s="16"/>
      <c r="W369" s="16"/>
      <c r="X369" s="16"/>
      <c r="Y369" s="11"/>
      <c r="Z369" s="11"/>
      <c r="AA369" s="11"/>
      <c r="AB369" s="11"/>
      <c r="AC369" s="11"/>
      <c r="AD369" s="11"/>
    </row>
    <row r="370">
      <c r="A370" s="10"/>
      <c r="B370" s="10"/>
      <c r="C370" s="10"/>
      <c r="D370" s="10"/>
      <c r="E370" s="10"/>
      <c r="F370" s="11"/>
      <c r="G370" s="11"/>
      <c r="H370" s="11"/>
      <c r="I370" s="11"/>
      <c r="J370" s="11" t="str">
        <f>IFERROR(__xludf.DUMMYFUNCTION("iferror(if($B370="""", ,filter(Playoff_Stats!F:Z,Playoff_Stats!A:A=$B370,Playoff_Stats!B:B=$A370)))"),"")</f>
        <v/>
      </c>
      <c r="K370" s="11"/>
      <c r="L370" s="12"/>
      <c r="M370" s="11"/>
      <c r="N370" s="11"/>
      <c r="O370" s="13"/>
      <c r="P370" s="14"/>
      <c r="Q370" s="13"/>
      <c r="R370" s="13"/>
      <c r="S370" s="15"/>
      <c r="T370" s="16"/>
      <c r="U370" s="16"/>
      <c r="V370" s="16"/>
      <c r="W370" s="16"/>
      <c r="X370" s="16"/>
      <c r="Y370" s="11"/>
      <c r="Z370" s="11"/>
      <c r="AA370" s="11"/>
      <c r="AB370" s="11"/>
      <c r="AC370" s="11"/>
      <c r="AD370" s="11"/>
    </row>
    <row r="371">
      <c r="A371" s="10"/>
      <c r="B371" s="10"/>
      <c r="C371" s="10"/>
      <c r="D371" s="10"/>
      <c r="E371" s="10"/>
      <c r="F371" s="11"/>
      <c r="G371" s="11"/>
      <c r="H371" s="11"/>
      <c r="I371" s="11"/>
      <c r="J371" s="11" t="str">
        <f>IFERROR(__xludf.DUMMYFUNCTION("iferror(if($B371="""", ,filter(Playoff_Stats!F:Z,Playoff_Stats!A:A=$B371,Playoff_Stats!B:B=$A371)))"),"")</f>
        <v/>
      </c>
      <c r="K371" s="11"/>
      <c r="L371" s="12"/>
      <c r="M371" s="11"/>
      <c r="N371" s="11"/>
      <c r="O371" s="13"/>
      <c r="P371" s="14"/>
      <c r="Q371" s="13"/>
      <c r="R371" s="13"/>
      <c r="S371" s="15"/>
      <c r="T371" s="16"/>
      <c r="U371" s="16"/>
      <c r="V371" s="16"/>
      <c r="W371" s="16"/>
      <c r="X371" s="16"/>
      <c r="Y371" s="11"/>
      <c r="Z371" s="11"/>
      <c r="AA371" s="11"/>
      <c r="AB371" s="11"/>
      <c r="AC371" s="11"/>
      <c r="AD371" s="11"/>
    </row>
    <row r="372">
      <c r="A372" s="10"/>
      <c r="B372" s="10"/>
      <c r="C372" s="10"/>
      <c r="D372" s="10"/>
      <c r="E372" s="10"/>
      <c r="F372" s="11"/>
      <c r="G372" s="11"/>
      <c r="H372" s="11"/>
      <c r="I372" s="11"/>
      <c r="J372" s="11" t="str">
        <f>IFERROR(__xludf.DUMMYFUNCTION("iferror(if($B372="""", ,filter(Playoff_Stats!F:Z,Playoff_Stats!A:A=$B372,Playoff_Stats!B:B=$A372)))"),"")</f>
        <v/>
      </c>
      <c r="K372" s="11"/>
      <c r="L372" s="12"/>
      <c r="M372" s="11"/>
      <c r="N372" s="11"/>
      <c r="O372" s="13"/>
      <c r="P372" s="14"/>
      <c r="Q372" s="13"/>
      <c r="R372" s="13"/>
      <c r="S372" s="15"/>
      <c r="T372" s="16"/>
      <c r="U372" s="16"/>
      <c r="V372" s="16"/>
      <c r="W372" s="16"/>
      <c r="X372" s="16"/>
      <c r="Y372" s="11"/>
      <c r="Z372" s="11"/>
      <c r="AA372" s="11"/>
      <c r="AB372" s="11"/>
      <c r="AC372" s="11"/>
      <c r="AD372" s="11"/>
    </row>
    <row r="373">
      <c r="A373" s="10"/>
      <c r="B373" s="10"/>
      <c r="C373" s="10"/>
      <c r="D373" s="10"/>
      <c r="E373" s="10"/>
      <c r="F373" s="11"/>
      <c r="G373" s="11"/>
      <c r="H373" s="11"/>
      <c r="I373" s="11"/>
      <c r="J373" s="11" t="str">
        <f>IFERROR(__xludf.DUMMYFUNCTION("iferror(if($B373="""", ,filter(Playoff_Stats!F:Z,Playoff_Stats!A:A=$B373,Playoff_Stats!B:B=$A373)))"),"")</f>
        <v/>
      </c>
      <c r="K373" s="11"/>
      <c r="L373" s="12"/>
      <c r="M373" s="11"/>
      <c r="N373" s="11"/>
      <c r="O373" s="13"/>
      <c r="P373" s="14"/>
      <c r="Q373" s="13"/>
      <c r="R373" s="13"/>
      <c r="S373" s="15"/>
      <c r="T373" s="16"/>
      <c r="U373" s="16"/>
      <c r="V373" s="16"/>
      <c r="W373" s="16"/>
      <c r="X373" s="16"/>
      <c r="Y373" s="11"/>
      <c r="Z373" s="11"/>
      <c r="AA373" s="11"/>
      <c r="AB373" s="11"/>
      <c r="AC373" s="11"/>
      <c r="AD373" s="11"/>
    </row>
    <row r="374">
      <c r="A374" s="10"/>
      <c r="B374" s="10"/>
      <c r="C374" s="10"/>
      <c r="D374" s="10"/>
      <c r="E374" s="10"/>
      <c r="F374" s="11"/>
      <c r="G374" s="11"/>
      <c r="H374" s="11"/>
      <c r="I374" s="11"/>
      <c r="J374" s="11" t="str">
        <f>IFERROR(__xludf.DUMMYFUNCTION("iferror(if($B374="""", ,filter(Playoff_Stats!F:Z,Playoff_Stats!A:A=$B374,Playoff_Stats!B:B=$A374)))"),"")</f>
        <v/>
      </c>
      <c r="K374" s="11"/>
      <c r="L374" s="12"/>
      <c r="M374" s="11"/>
      <c r="N374" s="11"/>
      <c r="O374" s="13"/>
      <c r="P374" s="14"/>
      <c r="Q374" s="13"/>
      <c r="R374" s="13"/>
      <c r="S374" s="15"/>
      <c r="T374" s="16"/>
      <c r="U374" s="16"/>
      <c r="V374" s="16"/>
      <c r="W374" s="16"/>
      <c r="X374" s="16"/>
      <c r="Y374" s="11"/>
      <c r="Z374" s="11"/>
      <c r="AA374" s="11"/>
      <c r="AB374" s="11"/>
      <c r="AC374" s="11"/>
      <c r="AD374" s="11"/>
    </row>
    <row r="375">
      <c r="A375" s="10"/>
      <c r="B375" s="10"/>
      <c r="C375" s="10"/>
      <c r="D375" s="10"/>
      <c r="E375" s="10"/>
      <c r="F375" s="11"/>
      <c r="G375" s="11"/>
      <c r="H375" s="11"/>
      <c r="I375" s="11"/>
      <c r="J375" s="11" t="str">
        <f>IFERROR(__xludf.DUMMYFUNCTION("iferror(if($B375="""", ,filter(Playoff_Stats!F:Z,Playoff_Stats!A:A=$B375,Playoff_Stats!B:B=$A375)))"),"")</f>
        <v/>
      </c>
      <c r="K375" s="11"/>
      <c r="L375" s="12"/>
      <c r="M375" s="11"/>
      <c r="N375" s="11"/>
      <c r="O375" s="13"/>
      <c r="P375" s="14"/>
      <c r="Q375" s="13"/>
      <c r="R375" s="13"/>
      <c r="S375" s="15"/>
      <c r="T375" s="16"/>
      <c r="U375" s="16"/>
      <c r="V375" s="16"/>
      <c r="W375" s="16"/>
      <c r="X375" s="16"/>
      <c r="Y375" s="11"/>
      <c r="Z375" s="11"/>
      <c r="AA375" s="11"/>
      <c r="AB375" s="11"/>
      <c r="AC375" s="11"/>
      <c r="AD375" s="11"/>
    </row>
    <row r="376">
      <c r="A376" s="10"/>
      <c r="B376" s="10"/>
      <c r="C376" s="10"/>
      <c r="D376" s="10"/>
      <c r="E376" s="10"/>
      <c r="F376" s="11"/>
      <c r="G376" s="11"/>
      <c r="H376" s="11"/>
      <c r="I376" s="11"/>
      <c r="J376" s="11" t="str">
        <f>IFERROR(__xludf.DUMMYFUNCTION("iferror(if($B376="""", ,filter(Playoff_Stats!F:Z,Playoff_Stats!A:A=$B376,Playoff_Stats!B:B=$A376)))"),"")</f>
        <v/>
      </c>
      <c r="K376" s="11"/>
      <c r="L376" s="12"/>
      <c r="M376" s="11"/>
      <c r="N376" s="11"/>
      <c r="O376" s="13"/>
      <c r="P376" s="14"/>
      <c r="Q376" s="13"/>
      <c r="R376" s="13"/>
      <c r="S376" s="15"/>
      <c r="T376" s="16"/>
      <c r="U376" s="16"/>
      <c r="V376" s="16"/>
      <c r="W376" s="16"/>
      <c r="X376" s="16"/>
      <c r="Y376" s="11"/>
      <c r="Z376" s="11"/>
      <c r="AA376" s="11"/>
      <c r="AB376" s="11"/>
      <c r="AC376" s="11"/>
      <c r="AD376" s="11"/>
    </row>
    <row r="377">
      <c r="A377" s="10"/>
      <c r="B377" s="10"/>
      <c r="C377" s="10"/>
      <c r="D377" s="10"/>
      <c r="E377" s="10"/>
      <c r="F377" s="11"/>
      <c r="G377" s="11"/>
      <c r="H377" s="11"/>
      <c r="I377" s="11"/>
      <c r="J377" s="11" t="str">
        <f>IFERROR(__xludf.DUMMYFUNCTION("iferror(if($B377="""", ,filter(Playoff_Stats!F:Z,Playoff_Stats!A:A=$B377,Playoff_Stats!B:B=$A377)))"),"")</f>
        <v/>
      </c>
      <c r="K377" s="11"/>
      <c r="L377" s="12"/>
      <c r="M377" s="11"/>
      <c r="N377" s="11"/>
      <c r="O377" s="13"/>
      <c r="P377" s="14"/>
      <c r="Q377" s="13"/>
      <c r="R377" s="13"/>
      <c r="S377" s="15"/>
      <c r="T377" s="16"/>
      <c r="U377" s="16"/>
      <c r="V377" s="16"/>
      <c r="W377" s="16"/>
      <c r="X377" s="16"/>
      <c r="Y377" s="11"/>
      <c r="Z377" s="11"/>
      <c r="AA377" s="11"/>
      <c r="AB377" s="11"/>
      <c r="AC377" s="11"/>
      <c r="AD377" s="11"/>
    </row>
    <row r="378">
      <c r="A378" s="10"/>
      <c r="B378" s="10"/>
      <c r="C378" s="10"/>
      <c r="D378" s="10"/>
      <c r="E378" s="10"/>
      <c r="F378" s="11"/>
      <c r="G378" s="11"/>
      <c r="H378" s="11"/>
      <c r="I378" s="11"/>
      <c r="J378" s="11" t="str">
        <f>IFERROR(__xludf.DUMMYFUNCTION("iferror(if($B378="""", ,filter(Playoff_Stats!F:Z,Playoff_Stats!A:A=$B378,Playoff_Stats!B:B=$A378)))"),"")</f>
        <v/>
      </c>
      <c r="K378" s="11"/>
      <c r="L378" s="12"/>
      <c r="M378" s="11"/>
      <c r="N378" s="11"/>
      <c r="O378" s="13"/>
      <c r="P378" s="14"/>
      <c r="Q378" s="13"/>
      <c r="R378" s="13"/>
      <c r="S378" s="15"/>
      <c r="T378" s="16"/>
      <c r="U378" s="16"/>
      <c r="V378" s="16"/>
      <c r="W378" s="16"/>
      <c r="X378" s="16"/>
      <c r="Y378" s="11"/>
      <c r="Z378" s="11"/>
      <c r="AA378" s="11"/>
      <c r="AB378" s="11"/>
      <c r="AC378" s="11"/>
      <c r="AD378" s="11"/>
    </row>
    <row r="379">
      <c r="A379" s="10"/>
      <c r="B379" s="10"/>
      <c r="C379" s="10"/>
      <c r="D379" s="10"/>
      <c r="E379" s="10"/>
      <c r="F379" s="11"/>
      <c r="G379" s="11"/>
      <c r="H379" s="11"/>
      <c r="I379" s="11"/>
      <c r="J379" s="11" t="str">
        <f>IFERROR(__xludf.DUMMYFUNCTION("iferror(if($B379="""", ,filter(Playoff_Stats!F:Z,Playoff_Stats!A:A=$B379,Playoff_Stats!B:B=$A379)))"),"")</f>
        <v/>
      </c>
      <c r="K379" s="11"/>
      <c r="L379" s="12"/>
      <c r="M379" s="11"/>
      <c r="N379" s="11"/>
      <c r="O379" s="13"/>
      <c r="P379" s="14"/>
      <c r="Q379" s="13"/>
      <c r="R379" s="13"/>
      <c r="S379" s="15"/>
      <c r="T379" s="16"/>
      <c r="U379" s="16"/>
      <c r="V379" s="16"/>
      <c r="W379" s="16"/>
      <c r="X379" s="16"/>
      <c r="Y379" s="11"/>
      <c r="Z379" s="11"/>
      <c r="AA379" s="11"/>
      <c r="AB379" s="11"/>
      <c r="AC379" s="11"/>
      <c r="AD379" s="11"/>
    </row>
    <row r="380">
      <c r="A380" s="10"/>
      <c r="B380" s="10"/>
      <c r="C380" s="10"/>
      <c r="D380" s="10"/>
      <c r="E380" s="10"/>
      <c r="F380" s="11"/>
      <c r="G380" s="11"/>
      <c r="H380" s="11"/>
      <c r="I380" s="11"/>
      <c r="J380" s="11" t="str">
        <f>IFERROR(__xludf.DUMMYFUNCTION("iferror(if($B380="""", ,filter(Playoff_Stats!F:Z,Playoff_Stats!A:A=$B380,Playoff_Stats!B:B=$A380)))"),"")</f>
        <v/>
      </c>
      <c r="K380" s="11"/>
      <c r="L380" s="12"/>
      <c r="M380" s="11"/>
      <c r="N380" s="11"/>
      <c r="O380" s="13"/>
      <c r="P380" s="14"/>
      <c r="Q380" s="13"/>
      <c r="R380" s="13"/>
      <c r="S380" s="15"/>
      <c r="T380" s="16"/>
      <c r="U380" s="16"/>
      <c r="V380" s="16"/>
      <c r="W380" s="16"/>
      <c r="X380" s="16"/>
      <c r="Y380" s="11"/>
      <c r="Z380" s="11"/>
      <c r="AA380" s="11"/>
      <c r="AB380" s="11"/>
      <c r="AC380" s="11"/>
      <c r="AD380" s="11"/>
    </row>
    <row r="381">
      <c r="A381" s="10"/>
      <c r="B381" s="10"/>
      <c r="C381" s="10"/>
      <c r="D381" s="10"/>
      <c r="E381" s="10"/>
      <c r="F381" s="11"/>
      <c r="G381" s="11"/>
      <c r="H381" s="11"/>
      <c r="I381" s="11"/>
      <c r="J381" s="11" t="str">
        <f>IFERROR(__xludf.DUMMYFUNCTION("iferror(if($B381="""", ,filter(Playoff_Stats!F:Z,Playoff_Stats!A:A=$B381,Playoff_Stats!B:B=$A381)))"),"")</f>
        <v/>
      </c>
      <c r="K381" s="11"/>
      <c r="L381" s="12"/>
      <c r="M381" s="11"/>
      <c r="N381" s="11"/>
      <c r="O381" s="13"/>
      <c r="P381" s="14"/>
      <c r="Q381" s="13"/>
      <c r="R381" s="13"/>
      <c r="S381" s="15"/>
      <c r="T381" s="16"/>
      <c r="U381" s="16"/>
      <c r="V381" s="16"/>
      <c r="W381" s="16"/>
      <c r="X381" s="16"/>
      <c r="Y381" s="11"/>
      <c r="Z381" s="11"/>
      <c r="AA381" s="11"/>
      <c r="AB381" s="11"/>
      <c r="AC381" s="11"/>
      <c r="AD381" s="11"/>
    </row>
    <row r="382">
      <c r="A382" s="10"/>
      <c r="B382" s="10"/>
      <c r="C382" s="10"/>
      <c r="D382" s="10"/>
      <c r="E382" s="10"/>
      <c r="F382" s="11"/>
      <c r="G382" s="11"/>
      <c r="H382" s="11"/>
      <c r="I382" s="11"/>
      <c r="J382" s="11" t="str">
        <f>IFERROR(__xludf.DUMMYFUNCTION("iferror(if($B382="""", ,filter(Playoff_Stats!F:Z,Playoff_Stats!A:A=$B382,Playoff_Stats!B:B=$A382)))"),"")</f>
        <v/>
      </c>
      <c r="K382" s="11"/>
      <c r="L382" s="12"/>
      <c r="M382" s="11"/>
      <c r="N382" s="11"/>
      <c r="O382" s="13"/>
      <c r="P382" s="14"/>
      <c r="Q382" s="13"/>
      <c r="R382" s="13"/>
      <c r="S382" s="15"/>
      <c r="T382" s="16"/>
      <c r="U382" s="16"/>
      <c r="V382" s="16"/>
      <c r="W382" s="16"/>
      <c r="X382" s="16"/>
      <c r="Y382" s="11"/>
      <c r="Z382" s="11"/>
      <c r="AA382" s="11"/>
      <c r="AB382" s="11"/>
      <c r="AC382" s="11"/>
      <c r="AD382" s="11"/>
    </row>
    <row r="383">
      <c r="A383" s="10"/>
      <c r="B383" s="10"/>
      <c r="C383" s="10"/>
      <c r="D383" s="10"/>
      <c r="E383" s="10"/>
      <c r="F383" s="11"/>
      <c r="G383" s="11"/>
      <c r="H383" s="11"/>
      <c r="I383" s="11"/>
      <c r="J383" s="11" t="str">
        <f>IFERROR(__xludf.DUMMYFUNCTION("iferror(if($B383="""", ,filter(Playoff_Stats!F:Z,Playoff_Stats!A:A=$B383,Playoff_Stats!B:B=$A383)))"),"")</f>
        <v/>
      </c>
      <c r="K383" s="11"/>
      <c r="L383" s="12"/>
      <c r="M383" s="11"/>
      <c r="N383" s="11"/>
      <c r="O383" s="13"/>
      <c r="P383" s="14"/>
      <c r="Q383" s="13"/>
      <c r="R383" s="13"/>
      <c r="S383" s="15"/>
      <c r="T383" s="16"/>
      <c r="U383" s="16"/>
      <c r="V383" s="16"/>
      <c r="W383" s="16"/>
      <c r="X383" s="16"/>
      <c r="Y383" s="11"/>
      <c r="Z383" s="11"/>
      <c r="AA383" s="11"/>
      <c r="AB383" s="11"/>
      <c r="AC383" s="11"/>
      <c r="AD383" s="11"/>
    </row>
    <row r="384">
      <c r="A384" s="10"/>
      <c r="B384" s="10"/>
      <c r="C384" s="10"/>
      <c r="D384" s="10"/>
      <c r="E384" s="10"/>
      <c r="F384" s="11"/>
      <c r="G384" s="11"/>
      <c r="H384" s="11"/>
      <c r="I384" s="11"/>
      <c r="J384" s="11" t="str">
        <f>IFERROR(__xludf.DUMMYFUNCTION("iferror(if($B384="""", ,filter(Playoff_Stats!F:Z,Playoff_Stats!A:A=$B384,Playoff_Stats!B:B=$A384)))"),"")</f>
        <v/>
      </c>
      <c r="K384" s="11"/>
      <c r="L384" s="12"/>
      <c r="M384" s="11"/>
      <c r="N384" s="11"/>
      <c r="O384" s="13"/>
      <c r="P384" s="14"/>
      <c r="Q384" s="13"/>
      <c r="R384" s="13"/>
      <c r="S384" s="15"/>
      <c r="T384" s="16"/>
      <c r="U384" s="16"/>
      <c r="V384" s="16"/>
      <c r="W384" s="16"/>
      <c r="X384" s="16"/>
      <c r="Y384" s="11"/>
      <c r="Z384" s="11"/>
      <c r="AA384" s="11"/>
      <c r="AB384" s="11"/>
      <c r="AC384" s="11"/>
      <c r="AD384" s="11"/>
    </row>
    <row r="385">
      <c r="A385" s="10"/>
      <c r="B385" s="10"/>
      <c r="C385" s="10"/>
      <c r="D385" s="10"/>
      <c r="E385" s="10"/>
      <c r="F385" s="11"/>
      <c r="G385" s="11"/>
      <c r="H385" s="11"/>
      <c r="I385" s="11"/>
      <c r="J385" s="11" t="str">
        <f>IFERROR(__xludf.DUMMYFUNCTION("iferror(if($B385="""", ,filter(Playoff_Stats!F:Z,Playoff_Stats!A:A=$B385,Playoff_Stats!B:B=$A385)))"),"")</f>
        <v/>
      </c>
      <c r="K385" s="11"/>
      <c r="L385" s="12"/>
      <c r="M385" s="11"/>
      <c r="N385" s="11"/>
      <c r="O385" s="13"/>
      <c r="P385" s="14"/>
      <c r="Q385" s="13"/>
      <c r="R385" s="13"/>
      <c r="S385" s="15"/>
      <c r="T385" s="16"/>
      <c r="U385" s="16"/>
      <c r="V385" s="16"/>
      <c r="W385" s="16"/>
      <c r="X385" s="16"/>
      <c r="Y385" s="11"/>
      <c r="Z385" s="11"/>
      <c r="AA385" s="11"/>
      <c r="AB385" s="11"/>
      <c r="AC385" s="11"/>
      <c r="AD385" s="11"/>
    </row>
    <row r="386">
      <c r="A386" s="10"/>
      <c r="B386" s="10"/>
      <c r="C386" s="10"/>
      <c r="D386" s="10"/>
      <c r="E386" s="10"/>
      <c r="F386" s="11"/>
      <c r="G386" s="11"/>
      <c r="H386" s="11"/>
      <c r="I386" s="11"/>
      <c r="J386" s="11" t="str">
        <f>IFERROR(__xludf.DUMMYFUNCTION("iferror(if($B386="""", ,filter(Playoff_Stats!F:Z,Playoff_Stats!A:A=$B386,Playoff_Stats!B:B=$A386)))"),"")</f>
        <v/>
      </c>
      <c r="K386" s="11"/>
      <c r="L386" s="12"/>
      <c r="M386" s="11"/>
      <c r="N386" s="11"/>
      <c r="O386" s="13"/>
      <c r="P386" s="14"/>
      <c r="Q386" s="13"/>
      <c r="R386" s="13"/>
      <c r="S386" s="15"/>
      <c r="T386" s="16"/>
      <c r="U386" s="16"/>
      <c r="V386" s="16"/>
      <c r="W386" s="16"/>
      <c r="X386" s="16"/>
      <c r="Y386" s="11"/>
      <c r="Z386" s="11"/>
      <c r="AA386" s="11"/>
      <c r="AB386" s="11"/>
      <c r="AC386" s="11"/>
      <c r="AD386" s="11"/>
    </row>
    <row r="387">
      <c r="A387" s="10"/>
      <c r="B387" s="10"/>
      <c r="C387" s="10"/>
      <c r="D387" s="10"/>
      <c r="E387" s="10"/>
      <c r="F387" s="11"/>
      <c r="G387" s="11"/>
      <c r="H387" s="11"/>
      <c r="I387" s="11"/>
      <c r="J387" s="11" t="str">
        <f>IFERROR(__xludf.DUMMYFUNCTION("iferror(if($B387="""", ,filter(Playoff_Stats!F:Z,Playoff_Stats!A:A=$B387,Playoff_Stats!B:B=$A387)))"),"")</f>
        <v/>
      </c>
      <c r="K387" s="11"/>
      <c r="L387" s="12"/>
      <c r="M387" s="11"/>
      <c r="N387" s="11"/>
      <c r="O387" s="13"/>
      <c r="P387" s="14"/>
      <c r="Q387" s="13"/>
      <c r="R387" s="13"/>
      <c r="S387" s="15"/>
      <c r="T387" s="16"/>
      <c r="U387" s="16"/>
      <c r="V387" s="16"/>
      <c r="W387" s="16"/>
      <c r="X387" s="16"/>
      <c r="Y387" s="11"/>
      <c r="Z387" s="11"/>
      <c r="AA387" s="11"/>
      <c r="AB387" s="11"/>
      <c r="AC387" s="11"/>
      <c r="AD387" s="11"/>
    </row>
    <row r="388">
      <c r="A388" s="10"/>
      <c r="B388" s="10"/>
      <c r="C388" s="10"/>
      <c r="D388" s="10"/>
      <c r="E388" s="10"/>
      <c r="F388" s="11"/>
      <c r="G388" s="11"/>
      <c r="H388" s="11"/>
      <c r="I388" s="11"/>
      <c r="J388" s="11" t="str">
        <f>IFERROR(__xludf.DUMMYFUNCTION("iferror(if($B388="""", ,filter(Playoff_Stats!F:Z,Playoff_Stats!A:A=$B388,Playoff_Stats!B:B=$A388)))"),"")</f>
        <v/>
      </c>
      <c r="K388" s="11"/>
      <c r="L388" s="12"/>
      <c r="M388" s="11"/>
      <c r="N388" s="11"/>
      <c r="O388" s="13"/>
      <c r="P388" s="14"/>
      <c r="Q388" s="13"/>
      <c r="R388" s="13"/>
      <c r="S388" s="15"/>
      <c r="T388" s="16"/>
      <c r="U388" s="16"/>
      <c r="V388" s="16"/>
      <c r="W388" s="16"/>
      <c r="X388" s="16"/>
      <c r="Y388" s="11"/>
      <c r="Z388" s="11"/>
      <c r="AA388" s="11"/>
      <c r="AB388" s="11"/>
      <c r="AC388" s="11"/>
      <c r="AD388" s="11"/>
    </row>
    <row r="389">
      <c r="A389" s="10"/>
      <c r="B389" s="10"/>
      <c r="C389" s="10"/>
      <c r="D389" s="10"/>
      <c r="E389" s="10"/>
      <c r="F389" s="11"/>
      <c r="G389" s="11"/>
      <c r="H389" s="11"/>
      <c r="I389" s="11"/>
      <c r="J389" s="11" t="str">
        <f>IFERROR(__xludf.DUMMYFUNCTION("iferror(if($B389="""", ,filter(Playoff_Stats!F:Z,Playoff_Stats!A:A=$B389,Playoff_Stats!B:B=$A389)))"),"")</f>
        <v/>
      </c>
      <c r="K389" s="11"/>
      <c r="L389" s="12"/>
      <c r="M389" s="11"/>
      <c r="N389" s="11"/>
      <c r="O389" s="13"/>
      <c r="P389" s="14"/>
      <c r="Q389" s="13"/>
      <c r="R389" s="13"/>
      <c r="S389" s="15"/>
      <c r="T389" s="16"/>
      <c r="U389" s="16"/>
      <c r="V389" s="16"/>
      <c r="W389" s="16"/>
      <c r="X389" s="16"/>
      <c r="Y389" s="11"/>
      <c r="Z389" s="11"/>
      <c r="AA389" s="11"/>
      <c r="AB389" s="11"/>
      <c r="AC389" s="11"/>
      <c r="AD389" s="11"/>
    </row>
    <row r="390">
      <c r="A390" s="10"/>
      <c r="B390" s="10"/>
      <c r="C390" s="10"/>
      <c r="D390" s="10"/>
      <c r="E390" s="10"/>
      <c r="F390" s="11"/>
      <c r="G390" s="11"/>
      <c r="H390" s="11"/>
      <c r="I390" s="11"/>
      <c r="J390" s="11" t="str">
        <f>IFERROR(__xludf.DUMMYFUNCTION("iferror(if($B390="""", ,filter(Playoff_Stats!F:Z,Playoff_Stats!A:A=$B390,Playoff_Stats!B:B=$A390)))"),"")</f>
        <v/>
      </c>
      <c r="K390" s="11"/>
      <c r="L390" s="12"/>
      <c r="M390" s="11"/>
      <c r="N390" s="11"/>
      <c r="O390" s="13"/>
      <c r="P390" s="14"/>
      <c r="Q390" s="13"/>
      <c r="R390" s="13"/>
      <c r="S390" s="15"/>
      <c r="T390" s="16"/>
      <c r="U390" s="16"/>
      <c r="V390" s="16"/>
      <c r="W390" s="16"/>
      <c r="X390" s="16"/>
      <c r="Y390" s="11"/>
      <c r="Z390" s="11"/>
      <c r="AA390" s="11"/>
      <c r="AB390" s="11"/>
      <c r="AC390" s="11"/>
      <c r="AD390" s="11"/>
    </row>
    <row r="391">
      <c r="A391" s="10"/>
      <c r="B391" s="10"/>
      <c r="C391" s="10"/>
      <c r="D391" s="10"/>
      <c r="E391" s="10"/>
      <c r="F391" s="11"/>
      <c r="G391" s="11"/>
      <c r="H391" s="11"/>
      <c r="I391" s="11"/>
      <c r="J391" s="11" t="str">
        <f>IFERROR(__xludf.DUMMYFUNCTION("iferror(if($B391="""", ,filter(Playoff_Stats!F:Z,Playoff_Stats!A:A=$B391,Playoff_Stats!B:B=$A391)))"),"")</f>
        <v/>
      </c>
      <c r="K391" s="11"/>
      <c r="L391" s="12"/>
      <c r="M391" s="11"/>
      <c r="N391" s="11"/>
      <c r="O391" s="13"/>
      <c r="P391" s="14"/>
      <c r="Q391" s="13"/>
      <c r="R391" s="13"/>
      <c r="S391" s="15"/>
      <c r="T391" s="16"/>
      <c r="U391" s="16"/>
      <c r="V391" s="16"/>
      <c r="W391" s="16"/>
      <c r="X391" s="16"/>
      <c r="Y391" s="11"/>
      <c r="Z391" s="11"/>
      <c r="AA391" s="11"/>
      <c r="AB391" s="11"/>
      <c r="AC391" s="11"/>
      <c r="AD391" s="11"/>
    </row>
    <row r="392">
      <c r="A392" s="10"/>
      <c r="B392" s="10"/>
      <c r="C392" s="10"/>
      <c r="D392" s="10"/>
      <c r="E392" s="10"/>
      <c r="F392" s="11"/>
      <c r="G392" s="11"/>
      <c r="H392" s="11"/>
      <c r="I392" s="11"/>
      <c r="J392" s="11" t="str">
        <f>IFERROR(__xludf.DUMMYFUNCTION("iferror(if($B392="""", ,filter(Playoff_Stats!F:Z,Playoff_Stats!A:A=$B392,Playoff_Stats!B:B=$A392)))"),"")</f>
        <v/>
      </c>
      <c r="K392" s="11"/>
      <c r="L392" s="12"/>
      <c r="M392" s="11"/>
      <c r="N392" s="11"/>
      <c r="O392" s="13"/>
      <c r="P392" s="14"/>
      <c r="Q392" s="13"/>
      <c r="R392" s="13"/>
      <c r="S392" s="15"/>
      <c r="T392" s="16"/>
      <c r="U392" s="16"/>
      <c r="V392" s="16"/>
      <c r="W392" s="16"/>
      <c r="X392" s="16"/>
      <c r="Y392" s="11"/>
      <c r="Z392" s="11"/>
      <c r="AA392" s="11"/>
      <c r="AB392" s="11"/>
      <c r="AC392" s="11"/>
      <c r="AD392" s="11"/>
    </row>
    <row r="393">
      <c r="A393" s="10"/>
      <c r="B393" s="10"/>
      <c r="C393" s="10"/>
      <c r="D393" s="10"/>
      <c r="E393" s="10"/>
      <c r="F393" s="11"/>
      <c r="G393" s="11"/>
      <c r="H393" s="11"/>
      <c r="I393" s="11"/>
      <c r="J393" s="11" t="str">
        <f>IFERROR(__xludf.DUMMYFUNCTION("iferror(if($B393="""", ,filter(Playoff_Stats!F:Z,Playoff_Stats!A:A=$B393,Playoff_Stats!B:B=$A393)))"),"")</f>
        <v/>
      </c>
      <c r="K393" s="11"/>
      <c r="L393" s="12"/>
      <c r="M393" s="11"/>
      <c r="N393" s="11"/>
      <c r="O393" s="13"/>
      <c r="P393" s="14"/>
      <c r="Q393" s="13"/>
      <c r="R393" s="13"/>
      <c r="S393" s="15"/>
      <c r="T393" s="16"/>
      <c r="U393" s="16"/>
      <c r="V393" s="16"/>
      <c r="W393" s="16"/>
      <c r="X393" s="16"/>
      <c r="Y393" s="11"/>
      <c r="Z393" s="11"/>
      <c r="AA393" s="11"/>
      <c r="AB393" s="11"/>
      <c r="AC393" s="11"/>
      <c r="AD393" s="11"/>
    </row>
    <row r="394">
      <c r="A394" s="10"/>
      <c r="B394" s="10"/>
      <c r="C394" s="10"/>
      <c r="D394" s="10"/>
      <c r="E394" s="10"/>
      <c r="F394" s="11"/>
      <c r="G394" s="11"/>
      <c r="H394" s="11"/>
      <c r="I394" s="11"/>
      <c r="J394" s="11" t="str">
        <f>IFERROR(__xludf.DUMMYFUNCTION("iferror(if($B394="""", ,filter(Playoff_Stats!F:Z,Playoff_Stats!A:A=$B394,Playoff_Stats!B:B=$A394)))"),"")</f>
        <v/>
      </c>
      <c r="K394" s="11"/>
      <c r="L394" s="12"/>
      <c r="M394" s="11"/>
      <c r="N394" s="11"/>
      <c r="O394" s="13"/>
      <c r="P394" s="14"/>
      <c r="Q394" s="13"/>
      <c r="R394" s="13"/>
      <c r="S394" s="15"/>
      <c r="T394" s="16"/>
      <c r="U394" s="16"/>
      <c r="V394" s="16"/>
      <c r="W394" s="16"/>
      <c r="X394" s="16"/>
      <c r="Y394" s="11"/>
      <c r="Z394" s="11"/>
      <c r="AA394" s="11"/>
      <c r="AB394" s="11"/>
      <c r="AC394" s="11"/>
      <c r="AD394" s="11"/>
    </row>
    <row r="395">
      <c r="A395" s="10"/>
      <c r="B395" s="10"/>
      <c r="C395" s="10"/>
      <c r="D395" s="10"/>
      <c r="E395" s="10"/>
      <c r="F395" s="11"/>
      <c r="G395" s="11"/>
      <c r="H395" s="11"/>
      <c r="I395" s="11"/>
      <c r="J395" s="11" t="str">
        <f>IFERROR(__xludf.DUMMYFUNCTION("iferror(if($B395="""", ,filter(Playoff_Stats!F:Z,Playoff_Stats!A:A=$B395,Playoff_Stats!B:B=$A395)))"),"")</f>
        <v/>
      </c>
      <c r="K395" s="11"/>
      <c r="L395" s="12"/>
      <c r="M395" s="11"/>
      <c r="N395" s="11"/>
      <c r="O395" s="13"/>
      <c r="P395" s="14"/>
      <c r="Q395" s="13"/>
      <c r="R395" s="13"/>
      <c r="S395" s="15"/>
      <c r="T395" s="16"/>
      <c r="U395" s="16"/>
      <c r="V395" s="16"/>
      <c r="W395" s="16"/>
      <c r="X395" s="16"/>
      <c r="Y395" s="11"/>
      <c r="Z395" s="11"/>
      <c r="AA395" s="11"/>
      <c r="AB395" s="11"/>
      <c r="AC395" s="11"/>
      <c r="AD395" s="11"/>
    </row>
    <row r="396">
      <c r="A396" s="10"/>
      <c r="B396" s="10"/>
      <c r="C396" s="10"/>
      <c r="D396" s="10"/>
      <c r="E396" s="10"/>
      <c r="F396" s="11"/>
      <c r="G396" s="11"/>
      <c r="H396" s="11"/>
      <c r="I396" s="11"/>
      <c r="J396" s="11" t="str">
        <f>IFERROR(__xludf.DUMMYFUNCTION("iferror(if($B396="""", ,filter(Playoff_Stats!F:Z,Playoff_Stats!A:A=$B396,Playoff_Stats!B:B=$A396)))"),"")</f>
        <v/>
      </c>
      <c r="K396" s="11"/>
      <c r="L396" s="12"/>
      <c r="M396" s="11"/>
      <c r="N396" s="11"/>
      <c r="O396" s="13"/>
      <c r="P396" s="14"/>
      <c r="Q396" s="13"/>
      <c r="R396" s="13"/>
      <c r="S396" s="15"/>
      <c r="T396" s="16"/>
      <c r="U396" s="16"/>
      <c r="V396" s="16"/>
      <c r="W396" s="16"/>
      <c r="X396" s="16"/>
      <c r="Y396" s="11"/>
      <c r="Z396" s="11"/>
      <c r="AA396" s="11"/>
      <c r="AB396" s="11"/>
      <c r="AC396" s="11"/>
      <c r="AD396" s="11"/>
    </row>
    <row r="397">
      <c r="A397" s="10"/>
      <c r="B397" s="10"/>
      <c r="C397" s="10"/>
      <c r="D397" s="10"/>
      <c r="E397" s="10"/>
      <c r="F397" s="11"/>
      <c r="G397" s="11"/>
      <c r="H397" s="11"/>
      <c r="I397" s="11"/>
      <c r="J397" s="11" t="str">
        <f>IFERROR(__xludf.DUMMYFUNCTION("iferror(if($B397="""", ,filter(Playoff_Stats!F:Z,Playoff_Stats!A:A=$B397,Playoff_Stats!B:B=$A397)))"),"")</f>
        <v/>
      </c>
      <c r="K397" s="11"/>
      <c r="L397" s="12"/>
      <c r="M397" s="11"/>
      <c r="N397" s="11"/>
      <c r="O397" s="13"/>
      <c r="P397" s="14"/>
      <c r="Q397" s="13"/>
      <c r="R397" s="13"/>
      <c r="S397" s="15"/>
      <c r="T397" s="16"/>
      <c r="U397" s="16"/>
      <c r="V397" s="16"/>
      <c r="W397" s="16"/>
      <c r="X397" s="16"/>
      <c r="Y397" s="11"/>
      <c r="Z397" s="11"/>
      <c r="AA397" s="11"/>
      <c r="AB397" s="11"/>
      <c r="AC397" s="11"/>
      <c r="AD397" s="11"/>
    </row>
    <row r="398">
      <c r="A398" s="10"/>
      <c r="B398" s="10"/>
      <c r="C398" s="10"/>
      <c r="D398" s="10"/>
      <c r="E398" s="10"/>
      <c r="F398" s="11"/>
      <c r="G398" s="11"/>
      <c r="H398" s="11"/>
      <c r="I398" s="11"/>
      <c r="J398" s="11" t="str">
        <f>IFERROR(__xludf.DUMMYFUNCTION("iferror(if($B398="""", ,filter(Playoff_Stats!F:Z,Playoff_Stats!A:A=$B398,Playoff_Stats!B:B=$A398)))"),"")</f>
        <v/>
      </c>
      <c r="K398" s="11"/>
      <c r="L398" s="12"/>
      <c r="M398" s="11"/>
      <c r="N398" s="11"/>
      <c r="O398" s="13"/>
      <c r="P398" s="14"/>
      <c r="Q398" s="13"/>
      <c r="R398" s="13"/>
      <c r="S398" s="15"/>
      <c r="T398" s="16"/>
      <c r="U398" s="16"/>
      <c r="V398" s="16"/>
      <c r="W398" s="16"/>
      <c r="X398" s="16"/>
      <c r="Y398" s="11"/>
      <c r="Z398" s="11"/>
      <c r="AA398" s="11"/>
      <c r="AB398" s="11"/>
      <c r="AC398" s="11"/>
      <c r="AD398" s="11"/>
    </row>
    <row r="399">
      <c r="A399" s="10"/>
      <c r="B399" s="10"/>
      <c r="C399" s="10"/>
      <c r="D399" s="10"/>
      <c r="E399" s="10"/>
      <c r="F399" s="11"/>
      <c r="G399" s="11"/>
      <c r="H399" s="11"/>
      <c r="I399" s="11"/>
      <c r="J399" s="11" t="str">
        <f>IFERROR(__xludf.DUMMYFUNCTION("iferror(if($B399="""", ,filter(Playoff_Stats!F:Z,Playoff_Stats!A:A=$B399,Playoff_Stats!B:B=$A399)))"),"")</f>
        <v/>
      </c>
      <c r="K399" s="11"/>
      <c r="L399" s="12"/>
      <c r="M399" s="11"/>
      <c r="N399" s="11"/>
      <c r="O399" s="13"/>
      <c r="P399" s="14"/>
      <c r="Q399" s="13"/>
      <c r="R399" s="13"/>
      <c r="S399" s="15"/>
      <c r="T399" s="16"/>
      <c r="U399" s="16"/>
      <c r="V399" s="16"/>
      <c r="W399" s="16"/>
      <c r="X399" s="16"/>
      <c r="Y399" s="11"/>
      <c r="Z399" s="11"/>
      <c r="AA399" s="11"/>
      <c r="AB399" s="11"/>
      <c r="AC399" s="11"/>
      <c r="AD399" s="11"/>
    </row>
    <row r="400">
      <c r="A400" s="10"/>
      <c r="B400" s="10"/>
      <c r="C400" s="10"/>
      <c r="D400" s="10"/>
      <c r="E400" s="10"/>
      <c r="F400" s="11"/>
      <c r="G400" s="11"/>
      <c r="H400" s="11"/>
      <c r="I400" s="11"/>
      <c r="J400" s="11" t="str">
        <f>IFERROR(__xludf.DUMMYFUNCTION("iferror(if($B400="""", ,filter(Playoff_Stats!F:Z,Playoff_Stats!A:A=$B400,Playoff_Stats!B:B=$A400)))"),"")</f>
        <v/>
      </c>
      <c r="K400" s="11"/>
      <c r="L400" s="12"/>
      <c r="M400" s="11"/>
      <c r="N400" s="11"/>
      <c r="O400" s="13"/>
      <c r="P400" s="14"/>
      <c r="Q400" s="13"/>
      <c r="R400" s="13"/>
      <c r="S400" s="15"/>
      <c r="T400" s="16"/>
      <c r="U400" s="16"/>
      <c r="V400" s="16"/>
      <c r="W400" s="16"/>
      <c r="X400" s="16"/>
      <c r="Y400" s="11"/>
      <c r="Z400" s="11"/>
      <c r="AA400" s="11"/>
      <c r="AB400" s="11"/>
      <c r="AC400" s="11"/>
      <c r="AD400" s="11"/>
    </row>
    <row r="401">
      <c r="A401" s="10"/>
      <c r="B401" s="10"/>
      <c r="C401" s="10"/>
      <c r="D401" s="10"/>
      <c r="E401" s="10"/>
      <c r="F401" s="11"/>
      <c r="G401" s="11"/>
      <c r="H401" s="11"/>
      <c r="I401" s="11"/>
      <c r="J401" s="11" t="str">
        <f>IFERROR(__xludf.DUMMYFUNCTION("iferror(if($B401="""", ,filter(Playoff_Stats!F:Z,Playoff_Stats!A:A=$B401,Playoff_Stats!B:B=$A401)))"),"")</f>
        <v/>
      </c>
      <c r="K401" s="11"/>
      <c r="L401" s="12"/>
      <c r="M401" s="11"/>
      <c r="N401" s="11"/>
      <c r="O401" s="13"/>
      <c r="P401" s="14"/>
      <c r="Q401" s="13"/>
      <c r="R401" s="13"/>
      <c r="S401" s="15"/>
      <c r="T401" s="16"/>
      <c r="U401" s="16"/>
      <c r="V401" s="16"/>
      <c r="W401" s="16"/>
      <c r="X401" s="16"/>
      <c r="Y401" s="11"/>
      <c r="Z401" s="11"/>
      <c r="AA401" s="11"/>
      <c r="AB401" s="11"/>
      <c r="AC401" s="11"/>
      <c r="AD401" s="11"/>
    </row>
    <row r="402">
      <c r="A402" s="10"/>
      <c r="B402" s="10"/>
      <c r="C402" s="10"/>
      <c r="D402" s="10"/>
      <c r="E402" s="10"/>
      <c r="F402" s="11"/>
      <c r="G402" s="11"/>
      <c r="H402" s="11"/>
      <c r="I402" s="11"/>
      <c r="J402" s="11" t="str">
        <f>IFERROR(__xludf.DUMMYFUNCTION("iferror(if($B402="""", ,filter(Playoff_Stats!F:Z,Playoff_Stats!A:A=$B402,Playoff_Stats!B:B=$A402)))"),"")</f>
        <v/>
      </c>
      <c r="K402" s="11"/>
      <c r="L402" s="12"/>
      <c r="M402" s="11"/>
      <c r="N402" s="11"/>
      <c r="O402" s="13"/>
      <c r="P402" s="14"/>
      <c r="Q402" s="13"/>
      <c r="R402" s="13"/>
      <c r="S402" s="15"/>
      <c r="T402" s="16"/>
      <c r="U402" s="16"/>
      <c r="V402" s="16"/>
      <c r="W402" s="16"/>
      <c r="X402" s="16"/>
      <c r="Y402" s="11"/>
      <c r="Z402" s="11"/>
      <c r="AA402" s="11"/>
      <c r="AB402" s="11"/>
      <c r="AC402" s="11"/>
      <c r="AD402" s="11"/>
    </row>
    <row r="403">
      <c r="A403" s="10"/>
      <c r="B403" s="10"/>
      <c r="C403" s="10"/>
      <c r="D403" s="10"/>
      <c r="E403" s="10"/>
      <c r="F403" s="11"/>
      <c r="G403" s="11"/>
      <c r="H403" s="11"/>
      <c r="I403" s="11"/>
      <c r="J403" s="11" t="str">
        <f>IFERROR(__xludf.DUMMYFUNCTION("iferror(if($B403="""", ,filter(Playoff_Stats!F:Z,Playoff_Stats!A:A=$B403,Playoff_Stats!B:B=$A403)))"),"")</f>
        <v/>
      </c>
      <c r="K403" s="11"/>
      <c r="L403" s="12"/>
      <c r="M403" s="11"/>
      <c r="N403" s="11"/>
      <c r="O403" s="13"/>
      <c r="P403" s="14"/>
      <c r="Q403" s="13"/>
      <c r="R403" s="13"/>
      <c r="S403" s="15"/>
      <c r="T403" s="16"/>
      <c r="U403" s="16"/>
      <c r="V403" s="16"/>
      <c r="W403" s="16"/>
      <c r="X403" s="16"/>
      <c r="Y403" s="11"/>
      <c r="Z403" s="11"/>
      <c r="AA403" s="11"/>
      <c r="AB403" s="11"/>
      <c r="AC403" s="11"/>
      <c r="AD403" s="11"/>
    </row>
    <row r="404">
      <c r="A404" s="10"/>
      <c r="B404" s="10"/>
      <c r="C404" s="10"/>
      <c r="D404" s="10"/>
      <c r="E404" s="10"/>
      <c r="F404" s="11"/>
      <c r="G404" s="11"/>
      <c r="H404" s="11"/>
      <c r="I404" s="11"/>
      <c r="J404" s="11" t="str">
        <f>IFERROR(__xludf.DUMMYFUNCTION("iferror(if($B404="""", ,filter(Playoff_Stats!F:Z,Playoff_Stats!A:A=$B404,Playoff_Stats!B:B=$A404)))"),"")</f>
        <v/>
      </c>
      <c r="K404" s="11"/>
      <c r="L404" s="12"/>
      <c r="M404" s="11"/>
      <c r="N404" s="11"/>
      <c r="O404" s="13"/>
      <c r="P404" s="14"/>
      <c r="Q404" s="13"/>
      <c r="R404" s="13"/>
      <c r="S404" s="15"/>
      <c r="T404" s="16"/>
      <c r="U404" s="16"/>
      <c r="V404" s="16"/>
      <c r="W404" s="16"/>
      <c r="X404" s="16"/>
      <c r="Y404" s="11"/>
      <c r="Z404" s="11"/>
      <c r="AA404" s="11"/>
      <c r="AB404" s="11"/>
      <c r="AC404" s="11"/>
      <c r="AD404" s="11"/>
    </row>
    <row r="405">
      <c r="A405" s="10"/>
      <c r="B405" s="10"/>
      <c r="C405" s="10"/>
      <c r="D405" s="10"/>
      <c r="E405" s="10"/>
      <c r="F405" s="11"/>
      <c r="G405" s="11"/>
      <c r="H405" s="11"/>
      <c r="I405" s="11"/>
      <c r="J405" s="11" t="str">
        <f>IFERROR(__xludf.DUMMYFUNCTION("iferror(if($B405="""", ,filter(Playoff_Stats!F:Z,Playoff_Stats!A:A=$B405,Playoff_Stats!B:B=$A405)))"),"")</f>
        <v/>
      </c>
      <c r="K405" s="11"/>
      <c r="L405" s="12"/>
      <c r="M405" s="11"/>
      <c r="N405" s="11"/>
      <c r="O405" s="13"/>
      <c r="P405" s="14"/>
      <c r="Q405" s="13"/>
      <c r="R405" s="13"/>
      <c r="S405" s="15"/>
      <c r="T405" s="16"/>
      <c r="U405" s="16"/>
      <c r="V405" s="16"/>
      <c r="W405" s="16"/>
      <c r="X405" s="16"/>
      <c r="Y405" s="11"/>
      <c r="Z405" s="11"/>
      <c r="AA405" s="11"/>
      <c r="AB405" s="11"/>
      <c r="AC405" s="11"/>
      <c r="AD405" s="11"/>
    </row>
    <row r="406">
      <c r="A406" s="10"/>
      <c r="B406" s="10"/>
      <c r="C406" s="10"/>
      <c r="D406" s="10"/>
      <c r="E406" s="10"/>
      <c r="F406" s="11"/>
      <c r="G406" s="11"/>
      <c r="H406" s="11"/>
      <c r="I406" s="11"/>
      <c r="J406" s="11" t="str">
        <f>IFERROR(__xludf.DUMMYFUNCTION("iferror(if($B406="""", ,filter(Playoff_Stats!F:Z,Playoff_Stats!A:A=$B406,Playoff_Stats!B:B=$A406)))"),"")</f>
        <v/>
      </c>
      <c r="K406" s="11"/>
      <c r="L406" s="12"/>
      <c r="M406" s="11"/>
      <c r="N406" s="11"/>
      <c r="O406" s="13"/>
      <c r="P406" s="14"/>
      <c r="Q406" s="13"/>
      <c r="R406" s="13"/>
      <c r="S406" s="15"/>
      <c r="T406" s="16"/>
      <c r="U406" s="16"/>
      <c r="V406" s="16"/>
      <c r="W406" s="16"/>
      <c r="X406" s="16"/>
      <c r="Y406" s="11"/>
      <c r="Z406" s="11"/>
      <c r="AA406" s="11"/>
      <c r="AB406" s="11"/>
      <c r="AC406" s="11"/>
      <c r="AD406" s="11"/>
    </row>
    <row r="407">
      <c r="A407" s="10"/>
      <c r="B407" s="10"/>
      <c r="C407" s="10"/>
      <c r="D407" s="10"/>
      <c r="E407" s="10"/>
      <c r="F407" s="11"/>
      <c r="G407" s="11"/>
      <c r="H407" s="11"/>
      <c r="I407" s="11"/>
      <c r="J407" s="11" t="str">
        <f>IFERROR(__xludf.DUMMYFUNCTION("iferror(if($B407="""", ,filter(Playoff_Stats!F:Z,Playoff_Stats!A:A=$B407,Playoff_Stats!B:B=$A407)))"),"")</f>
        <v/>
      </c>
      <c r="K407" s="11"/>
      <c r="L407" s="12"/>
      <c r="M407" s="11"/>
      <c r="N407" s="11"/>
      <c r="O407" s="13"/>
      <c r="P407" s="14"/>
      <c r="Q407" s="13"/>
      <c r="R407" s="13"/>
      <c r="S407" s="15"/>
      <c r="T407" s="16"/>
      <c r="U407" s="16"/>
      <c r="V407" s="16"/>
      <c r="W407" s="16"/>
      <c r="X407" s="16"/>
      <c r="Y407" s="11"/>
      <c r="Z407" s="11"/>
      <c r="AA407" s="11"/>
      <c r="AB407" s="11"/>
      <c r="AC407" s="11"/>
      <c r="AD407" s="11"/>
    </row>
    <row r="408">
      <c r="A408" s="10"/>
      <c r="B408" s="10"/>
      <c r="C408" s="10"/>
      <c r="D408" s="10"/>
      <c r="E408" s="10"/>
      <c r="F408" s="11"/>
      <c r="G408" s="11"/>
      <c r="H408" s="11"/>
      <c r="I408" s="11"/>
      <c r="J408" s="11" t="str">
        <f>IFERROR(__xludf.DUMMYFUNCTION("iferror(if($B408="""", ,filter(Playoff_Stats!F:Z,Playoff_Stats!A:A=$B408,Playoff_Stats!B:B=$A408)))"),"")</f>
        <v/>
      </c>
      <c r="K408" s="11"/>
      <c r="L408" s="12"/>
      <c r="M408" s="11"/>
      <c r="N408" s="11"/>
      <c r="O408" s="13"/>
      <c r="P408" s="14"/>
      <c r="Q408" s="13"/>
      <c r="R408" s="13"/>
      <c r="S408" s="15"/>
      <c r="T408" s="16"/>
      <c r="U408" s="16"/>
      <c r="V408" s="16"/>
      <c r="W408" s="16"/>
      <c r="X408" s="16"/>
      <c r="Y408" s="11"/>
      <c r="Z408" s="11"/>
      <c r="AA408" s="11"/>
      <c r="AB408" s="11"/>
      <c r="AC408" s="11"/>
      <c r="AD408" s="11"/>
    </row>
    <row r="409">
      <c r="A409" s="10"/>
      <c r="B409" s="10"/>
      <c r="C409" s="10"/>
      <c r="D409" s="10"/>
      <c r="E409" s="10"/>
      <c r="F409" s="11"/>
      <c r="G409" s="11"/>
      <c r="H409" s="11"/>
      <c r="I409" s="11"/>
      <c r="J409" s="11" t="str">
        <f>IFERROR(__xludf.DUMMYFUNCTION("iferror(if($B409="""", ,filter(Playoff_Stats!F:Z,Playoff_Stats!A:A=$B409,Playoff_Stats!B:B=$A409)))"),"")</f>
        <v/>
      </c>
      <c r="K409" s="11"/>
      <c r="L409" s="12"/>
      <c r="M409" s="11"/>
      <c r="N409" s="11"/>
      <c r="O409" s="13"/>
      <c r="P409" s="14"/>
      <c r="Q409" s="13"/>
      <c r="R409" s="13"/>
      <c r="S409" s="15"/>
      <c r="T409" s="16"/>
      <c r="U409" s="16"/>
      <c r="V409" s="16"/>
      <c r="W409" s="16"/>
      <c r="X409" s="16"/>
      <c r="Y409" s="11"/>
      <c r="Z409" s="11"/>
      <c r="AA409" s="11"/>
      <c r="AB409" s="11"/>
      <c r="AC409" s="11"/>
      <c r="AD409" s="11"/>
    </row>
    <row r="410">
      <c r="A410" s="10"/>
      <c r="B410" s="10"/>
      <c r="C410" s="10"/>
      <c r="D410" s="10"/>
      <c r="E410" s="10"/>
      <c r="F410" s="11"/>
      <c r="G410" s="11"/>
      <c r="H410" s="11"/>
      <c r="I410" s="11"/>
      <c r="J410" s="11" t="str">
        <f>IFERROR(__xludf.DUMMYFUNCTION("iferror(if($B410="""", ,filter(Playoff_Stats!F:Z,Playoff_Stats!A:A=$B410,Playoff_Stats!B:B=$A410)))"),"")</f>
        <v/>
      </c>
      <c r="K410" s="11"/>
      <c r="L410" s="12"/>
      <c r="M410" s="11"/>
      <c r="N410" s="11"/>
      <c r="O410" s="13"/>
      <c r="P410" s="14"/>
      <c r="Q410" s="13"/>
      <c r="R410" s="13"/>
      <c r="S410" s="15"/>
      <c r="T410" s="16"/>
      <c r="U410" s="16"/>
      <c r="V410" s="16"/>
      <c r="W410" s="16"/>
      <c r="X410" s="16"/>
      <c r="Y410" s="11"/>
      <c r="Z410" s="11"/>
      <c r="AA410" s="11"/>
      <c r="AB410" s="11"/>
      <c r="AC410" s="11"/>
      <c r="AD410" s="11"/>
    </row>
    <row r="411">
      <c r="A411" s="10"/>
      <c r="B411" s="10"/>
      <c r="C411" s="10"/>
      <c r="D411" s="10"/>
      <c r="E411" s="10"/>
      <c r="F411" s="11"/>
      <c r="G411" s="11"/>
      <c r="H411" s="11"/>
      <c r="I411" s="11"/>
      <c r="J411" s="11" t="str">
        <f>IFERROR(__xludf.DUMMYFUNCTION("iferror(if($B411="""", ,filter(Playoff_Stats!F:Z,Playoff_Stats!A:A=$B411,Playoff_Stats!B:B=$A411)))"),"")</f>
        <v/>
      </c>
      <c r="K411" s="11"/>
      <c r="L411" s="12"/>
      <c r="M411" s="11"/>
      <c r="N411" s="11"/>
      <c r="O411" s="13"/>
      <c r="P411" s="14"/>
      <c r="Q411" s="13"/>
      <c r="R411" s="13"/>
      <c r="S411" s="15"/>
      <c r="T411" s="16"/>
      <c r="U411" s="16"/>
      <c r="V411" s="16"/>
      <c r="W411" s="16"/>
      <c r="X411" s="16"/>
      <c r="Y411" s="11"/>
      <c r="Z411" s="11"/>
      <c r="AA411" s="11"/>
      <c r="AB411" s="11"/>
      <c r="AC411" s="11"/>
      <c r="AD411" s="11"/>
    </row>
    <row r="412">
      <c r="A412" s="10"/>
      <c r="B412" s="10"/>
      <c r="C412" s="10"/>
      <c r="D412" s="10"/>
      <c r="E412" s="10"/>
      <c r="F412" s="11"/>
      <c r="G412" s="11"/>
      <c r="H412" s="11"/>
      <c r="I412" s="11"/>
      <c r="J412" s="11" t="str">
        <f>IFERROR(__xludf.DUMMYFUNCTION("iferror(if($B412="""", ,filter(Playoff_Stats!F:Z,Playoff_Stats!A:A=$B412,Playoff_Stats!B:B=$A412)))"),"")</f>
        <v/>
      </c>
      <c r="K412" s="11"/>
      <c r="L412" s="12"/>
      <c r="M412" s="11"/>
      <c r="N412" s="11"/>
      <c r="O412" s="13"/>
      <c r="P412" s="14"/>
      <c r="Q412" s="13"/>
      <c r="R412" s="13"/>
      <c r="S412" s="15"/>
      <c r="T412" s="16"/>
      <c r="U412" s="16"/>
      <c r="V412" s="16"/>
      <c r="W412" s="16"/>
      <c r="X412" s="16"/>
      <c r="Y412" s="11"/>
      <c r="Z412" s="11"/>
      <c r="AA412" s="11"/>
      <c r="AB412" s="11"/>
      <c r="AC412" s="11"/>
      <c r="AD412" s="11"/>
    </row>
    <row r="413">
      <c r="A413" s="10"/>
      <c r="B413" s="10"/>
      <c r="C413" s="10"/>
      <c r="D413" s="10"/>
      <c r="E413" s="10"/>
      <c r="F413" s="11"/>
      <c r="G413" s="11"/>
      <c r="H413" s="11"/>
      <c r="I413" s="11"/>
      <c r="J413" s="11" t="str">
        <f>IFERROR(__xludf.DUMMYFUNCTION("iferror(if($B413="""", ,filter(Playoff_Stats!F:Z,Playoff_Stats!A:A=$B413,Playoff_Stats!B:B=$A413)))"),"")</f>
        <v/>
      </c>
      <c r="K413" s="11"/>
      <c r="L413" s="12"/>
      <c r="M413" s="11"/>
      <c r="N413" s="11"/>
      <c r="O413" s="13"/>
      <c r="P413" s="14"/>
      <c r="Q413" s="13"/>
      <c r="R413" s="13"/>
      <c r="S413" s="15"/>
      <c r="T413" s="16"/>
      <c r="U413" s="16"/>
      <c r="V413" s="16"/>
      <c r="W413" s="16"/>
      <c r="X413" s="16"/>
      <c r="Y413" s="11"/>
      <c r="Z413" s="11"/>
      <c r="AA413" s="11"/>
      <c r="AB413" s="11"/>
      <c r="AC413" s="11"/>
      <c r="AD413" s="11"/>
    </row>
    <row r="414">
      <c r="A414" s="10"/>
      <c r="B414" s="10"/>
      <c r="C414" s="10"/>
      <c r="D414" s="10"/>
      <c r="E414" s="10"/>
      <c r="F414" s="11"/>
      <c r="G414" s="11"/>
      <c r="H414" s="11"/>
      <c r="I414" s="11"/>
      <c r="J414" s="11" t="str">
        <f>IFERROR(__xludf.DUMMYFUNCTION("iferror(if($B414="""", ,filter(Playoff_Stats!F:Z,Playoff_Stats!A:A=$B414,Playoff_Stats!B:B=$A414)))"),"")</f>
        <v/>
      </c>
      <c r="K414" s="11"/>
      <c r="L414" s="12"/>
      <c r="M414" s="11"/>
      <c r="N414" s="11"/>
      <c r="O414" s="13"/>
      <c r="P414" s="14"/>
      <c r="Q414" s="13"/>
      <c r="R414" s="13"/>
      <c r="S414" s="15"/>
      <c r="T414" s="16"/>
      <c r="U414" s="16"/>
      <c r="V414" s="16"/>
      <c r="W414" s="16"/>
      <c r="X414" s="16"/>
      <c r="Y414" s="11"/>
      <c r="Z414" s="11"/>
      <c r="AA414" s="11"/>
      <c r="AB414" s="11"/>
      <c r="AC414" s="11"/>
      <c r="AD414" s="11"/>
    </row>
    <row r="415">
      <c r="A415" s="10"/>
      <c r="B415" s="10"/>
      <c r="C415" s="10"/>
      <c r="D415" s="10"/>
      <c r="E415" s="10"/>
      <c r="F415" s="11"/>
      <c r="G415" s="11"/>
      <c r="H415" s="11"/>
      <c r="I415" s="11"/>
      <c r="J415" s="11" t="str">
        <f>IFERROR(__xludf.DUMMYFUNCTION("iferror(if($B415="""", ,filter(Playoff_Stats!F:Z,Playoff_Stats!A:A=$B415,Playoff_Stats!B:B=$A415)))"),"")</f>
        <v/>
      </c>
      <c r="K415" s="11"/>
      <c r="L415" s="12"/>
      <c r="M415" s="11"/>
      <c r="N415" s="11"/>
      <c r="O415" s="13"/>
      <c r="P415" s="14"/>
      <c r="Q415" s="13"/>
      <c r="R415" s="13"/>
      <c r="S415" s="15"/>
      <c r="T415" s="16"/>
      <c r="U415" s="16"/>
      <c r="V415" s="16"/>
      <c r="W415" s="16"/>
      <c r="X415" s="16"/>
      <c r="Y415" s="11"/>
      <c r="Z415" s="11"/>
      <c r="AA415" s="11"/>
      <c r="AB415" s="11"/>
      <c r="AC415" s="11"/>
      <c r="AD415" s="11"/>
    </row>
    <row r="416">
      <c r="A416" s="10"/>
      <c r="B416" s="10"/>
      <c r="C416" s="10"/>
      <c r="D416" s="10"/>
      <c r="E416" s="10"/>
      <c r="F416" s="11"/>
      <c r="G416" s="11"/>
      <c r="H416" s="11"/>
      <c r="I416" s="11"/>
      <c r="J416" s="11" t="str">
        <f>IFERROR(__xludf.DUMMYFUNCTION("iferror(if($B416="""", ,filter(Playoff_Stats!F:Z,Playoff_Stats!A:A=$B416,Playoff_Stats!B:B=$A416)))"),"")</f>
        <v/>
      </c>
      <c r="K416" s="11"/>
      <c r="L416" s="12"/>
      <c r="M416" s="11"/>
      <c r="N416" s="11"/>
      <c r="O416" s="13"/>
      <c r="P416" s="14"/>
      <c r="Q416" s="13"/>
      <c r="R416" s="13"/>
      <c r="S416" s="15"/>
      <c r="T416" s="16"/>
      <c r="U416" s="16"/>
      <c r="V416" s="16"/>
      <c r="W416" s="16"/>
      <c r="X416" s="16"/>
      <c r="Y416" s="11"/>
      <c r="Z416" s="11"/>
      <c r="AA416" s="11"/>
      <c r="AB416" s="11"/>
      <c r="AC416" s="11"/>
      <c r="AD416" s="11"/>
    </row>
    <row r="417">
      <c r="A417" s="10"/>
      <c r="B417" s="10"/>
      <c r="C417" s="10"/>
      <c r="D417" s="10"/>
      <c r="E417" s="10"/>
      <c r="F417" s="11"/>
      <c r="G417" s="11"/>
      <c r="H417" s="11"/>
      <c r="I417" s="11"/>
      <c r="J417" s="11" t="str">
        <f>IFERROR(__xludf.DUMMYFUNCTION("iferror(if($B417="""", ,filter(Playoff_Stats!F:Z,Playoff_Stats!A:A=$B417,Playoff_Stats!B:B=$A417)))"),"")</f>
        <v/>
      </c>
      <c r="K417" s="11"/>
      <c r="L417" s="12"/>
      <c r="M417" s="11"/>
      <c r="N417" s="11"/>
      <c r="O417" s="13"/>
      <c r="P417" s="14"/>
      <c r="Q417" s="13"/>
      <c r="R417" s="13"/>
      <c r="S417" s="15"/>
      <c r="T417" s="16"/>
      <c r="U417" s="16"/>
      <c r="V417" s="16"/>
      <c r="W417" s="16"/>
      <c r="X417" s="16"/>
      <c r="Y417" s="11"/>
      <c r="Z417" s="11"/>
      <c r="AA417" s="11"/>
      <c r="AB417" s="11"/>
      <c r="AC417" s="11"/>
      <c r="AD417" s="11"/>
    </row>
    <row r="418">
      <c r="A418" s="10"/>
      <c r="B418" s="10"/>
      <c r="C418" s="10"/>
      <c r="D418" s="10"/>
      <c r="E418" s="10"/>
      <c r="F418" s="11"/>
      <c r="G418" s="11"/>
      <c r="H418" s="11"/>
      <c r="I418" s="11"/>
      <c r="J418" s="11" t="str">
        <f>IFERROR(__xludf.DUMMYFUNCTION("iferror(if($B418="""", ,filter(Playoff_Stats!F:Z,Playoff_Stats!A:A=$B418,Playoff_Stats!B:B=$A418)))"),"")</f>
        <v/>
      </c>
      <c r="K418" s="11"/>
      <c r="L418" s="12"/>
      <c r="M418" s="11"/>
      <c r="N418" s="11"/>
      <c r="O418" s="13"/>
      <c r="P418" s="14"/>
      <c r="Q418" s="13"/>
      <c r="R418" s="13"/>
      <c r="S418" s="15"/>
      <c r="T418" s="16"/>
      <c r="U418" s="16"/>
      <c r="V418" s="16"/>
      <c r="W418" s="16"/>
      <c r="X418" s="16"/>
      <c r="Y418" s="11"/>
      <c r="Z418" s="11"/>
      <c r="AA418" s="11"/>
      <c r="AB418" s="11"/>
      <c r="AC418" s="11"/>
      <c r="AD418" s="11"/>
    </row>
    <row r="419">
      <c r="A419" s="10"/>
      <c r="B419" s="10"/>
      <c r="C419" s="10"/>
      <c r="D419" s="10"/>
      <c r="E419" s="10"/>
      <c r="F419" s="11"/>
      <c r="G419" s="11"/>
      <c r="H419" s="11"/>
      <c r="I419" s="11"/>
      <c r="J419" s="11" t="str">
        <f>IFERROR(__xludf.DUMMYFUNCTION("iferror(if($B419="""", ,filter(Playoff_Stats!F:Z,Playoff_Stats!A:A=$B419,Playoff_Stats!B:B=$A419)))"),"")</f>
        <v/>
      </c>
      <c r="K419" s="11"/>
      <c r="L419" s="12"/>
      <c r="M419" s="11"/>
      <c r="N419" s="11"/>
      <c r="O419" s="13"/>
      <c r="P419" s="14"/>
      <c r="Q419" s="13"/>
      <c r="R419" s="13"/>
      <c r="S419" s="15"/>
      <c r="T419" s="16"/>
      <c r="U419" s="16"/>
      <c r="V419" s="16"/>
      <c r="W419" s="16"/>
      <c r="X419" s="16"/>
      <c r="Y419" s="11"/>
      <c r="Z419" s="11"/>
      <c r="AA419" s="11"/>
      <c r="AB419" s="11"/>
      <c r="AC419" s="11"/>
      <c r="AD419" s="11"/>
    </row>
    <row r="420">
      <c r="A420" s="10"/>
      <c r="B420" s="10"/>
      <c r="C420" s="10"/>
      <c r="D420" s="10"/>
      <c r="E420" s="10"/>
      <c r="F420" s="11"/>
      <c r="G420" s="11"/>
      <c r="H420" s="11"/>
      <c r="I420" s="11"/>
      <c r="J420" s="11" t="str">
        <f>IFERROR(__xludf.DUMMYFUNCTION("iferror(if($B420="""", ,filter(Playoff_Stats!F:Z,Playoff_Stats!A:A=$B420,Playoff_Stats!B:B=$A420)))"),"")</f>
        <v/>
      </c>
      <c r="K420" s="11"/>
      <c r="L420" s="12"/>
      <c r="M420" s="11"/>
      <c r="N420" s="11"/>
      <c r="O420" s="13"/>
      <c r="P420" s="14"/>
      <c r="Q420" s="13"/>
      <c r="R420" s="13"/>
      <c r="S420" s="15"/>
      <c r="T420" s="16"/>
      <c r="U420" s="16"/>
      <c r="V420" s="16"/>
      <c r="W420" s="16"/>
      <c r="X420" s="16"/>
      <c r="Y420" s="11"/>
      <c r="Z420" s="11"/>
      <c r="AA420" s="11"/>
      <c r="AB420" s="11"/>
      <c r="AC420" s="11"/>
      <c r="AD420" s="11"/>
    </row>
    <row r="421">
      <c r="A421" s="10"/>
      <c r="B421" s="10"/>
      <c r="C421" s="10"/>
      <c r="D421" s="10"/>
      <c r="E421" s="10"/>
      <c r="F421" s="11"/>
      <c r="G421" s="11"/>
      <c r="H421" s="11"/>
      <c r="I421" s="11"/>
      <c r="J421" s="11" t="str">
        <f>IFERROR(__xludf.DUMMYFUNCTION("iferror(if($B421="""", ,filter(Playoff_Stats!F:Z,Playoff_Stats!A:A=$B421,Playoff_Stats!B:B=$A421)))"),"")</f>
        <v/>
      </c>
      <c r="K421" s="11"/>
      <c r="L421" s="12"/>
      <c r="M421" s="11"/>
      <c r="N421" s="11"/>
      <c r="O421" s="13"/>
      <c r="P421" s="14"/>
      <c r="Q421" s="13"/>
      <c r="R421" s="13"/>
      <c r="S421" s="15"/>
      <c r="T421" s="16"/>
      <c r="U421" s="16"/>
      <c r="V421" s="16"/>
      <c r="W421" s="16"/>
      <c r="X421" s="16"/>
      <c r="Y421" s="11"/>
      <c r="Z421" s="11"/>
      <c r="AA421" s="11"/>
      <c r="AB421" s="11"/>
      <c r="AC421" s="11"/>
      <c r="AD421" s="11"/>
    </row>
    <row r="422">
      <c r="A422" s="10"/>
      <c r="B422" s="10"/>
      <c r="C422" s="10"/>
      <c r="D422" s="10"/>
      <c r="E422" s="10"/>
      <c r="F422" s="11"/>
      <c r="G422" s="11"/>
      <c r="H422" s="11"/>
      <c r="I422" s="11"/>
      <c r="J422" s="11" t="str">
        <f>IFERROR(__xludf.DUMMYFUNCTION("iferror(if($B422="""", ,filter(Playoff_Stats!F:Z,Playoff_Stats!A:A=$B422,Playoff_Stats!B:B=$A422)))"),"")</f>
        <v/>
      </c>
      <c r="K422" s="11"/>
      <c r="L422" s="12"/>
      <c r="M422" s="11"/>
      <c r="N422" s="11"/>
      <c r="O422" s="13"/>
      <c r="P422" s="14"/>
      <c r="Q422" s="13"/>
      <c r="R422" s="13"/>
      <c r="S422" s="15"/>
      <c r="T422" s="16"/>
      <c r="U422" s="16"/>
      <c r="V422" s="16"/>
      <c r="W422" s="16"/>
      <c r="X422" s="16"/>
      <c r="Y422" s="11"/>
      <c r="Z422" s="11"/>
      <c r="AA422" s="11"/>
      <c r="AB422" s="11"/>
      <c r="AC422" s="11"/>
      <c r="AD422" s="11"/>
    </row>
    <row r="423">
      <c r="A423" s="10"/>
      <c r="B423" s="10"/>
      <c r="C423" s="10"/>
      <c r="D423" s="10"/>
      <c r="E423" s="10"/>
      <c r="F423" s="11"/>
      <c r="G423" s="11"/>
      <c r="H423" s="11"/>
      <c r="I423" s="11"/>
      <c r="J423" s="11" t="str">
        <f>IFERROR(__xludf.DUMMYFUNCTION("iferror(if($B423="""", ,filter(Playoff_Stats!F:Z,Playoff_Stats!A:A=$B423,Playoff_Stats!B:B=$A423)))"),"")</f>
        <v/>
      </c>
      <c r="K423" s="11"/>
      <c r="L423" s="12"/>
      <c r="M423" s="11"/>
      <c r="N423" s="11"/>
      <c r="O423" s="13"/>
      <c r="P423" s="14"/>
      <c r="Q423" s="13"/>
      <c r="R423" s="13"/>
      <c r="S423" s="15"/>
      <c r="T423" s="16"/>
      <c r="U423" s="16"/>
      <c r="V423" s="16"/>
      <c r="W423" s="16"/>
      <c r="X423" s="16"/>
      <c r="Y423" s="11"/>
      <c r="Z423" s="11"/>
      <c r="AA423" s="11"/>
      <c r="AB423" s="11"/>
      <c r="AC423" s="11"/>
      <c r="AD423" s="11"/>
    </row>
    <row r="424">
      <c r="A424" s="10"/>
      <c r="B424" s="10"/>
      <c r="C424" s="10"/>
      <c r="D424" s="10"/>
      <c r="E424" s="10"/>
      <c r="F424" s="11"/>
      <c r="G424" s="11"/>
      <c r="H424" s="11"/>
      <c r="I424" s="11"/>
      <c r="J424" s="11" t="str">
        <f>IFERROR(__xludf.DUMMYFUNCTION("iferror(if($B424="""", ,filter(Playoff_Stats!F:Z,Playoff_Stats!A:A=$B424,Playoff_Stats!B:B=$A424)))"),"")</f>
        <v/>
      </c>
      <c r="K424" s="11"/>
      <c r="L424" s="12"/>
      <c r="M424" s="11"/>
      <c r="N424" s="11"/>
      <c r="O424" s="13"/>
      <c r="P424" s="14"/>
      <c r="Q424" s="13"/>
      <c r="R424" s="13"/>
      <c r="S424" s="15"/>
      <c r="T424" s="16"/>
      <c r="U424" s="16"/>
      <c r="V424" s="16"/>
      <c r="W424" s="16"/>
      <c r="X424" s="16"/>
      <c r="Y424" s="11"/>
      <c r="Z424" s="11"/>
      <c r="AA424" s="11"/>
      <c r="AB424" s="11"/>
      <c r="AC424" s="11"/>
      <c r="AD424" s="11"/>
    </row>
    <row r="425">
      <c r="A425" s="10"/>
      <c r="B425" s="10"/>
      <c r="C425" s="10"/>
      <c r="D425" s="10"/>
      <c r="E425" s="10"/>
      <c r="F425" s="11"/>
      <c r="G425" s="11"/>
      <c r="H425" s="11"/>
      <c r="I425" s="11"/>
      <c r="J425" s="11" t="str">
        <f>IFERROR(__xludf.DUMMYFUNCTION("iferror(if($B425="""", ,filter(Playoff_Stats!F:Z,Playoff_Stats!A:A=$B425,Playoff_Stats!B:B=$A425)))"),"")</f>
        <v/>
      </c>
      <c r="K425" s="11"/>
      <c r="L425" s="12"/>
      <c r="M425" s="11"/>
      <c r="N425" s="11"/>
      <c r="O425" s="13"/>
      <c r="P425" s="14"/>
      <c r="Q425" s="13"/>
      <c r="R425" s="13"/>
      <c r="S425" s="15"/>
      <c r="T425" s="16"/>
      <c r="U425" s="16"/>
      <c r="V425" s="16"/>
      <c r="W425" s="16"/>
      <c r="X425" s="16"/>
      <c r="Y425" s="11"/>
      <c r="Z425" s="11"/>
      <c r="AA425" s="11"/>
      <c r="AB425" s="11"/>
      <c r="AC425" s="11"/>
      <c r="AD425" s="11"/>
    </row>
    <row r="426">
      <c r="A426" s="10"/>
      <c r="B426" s="10"/>
      <c r="C426" s="10"/>
      <c r="D426" s="10"/>
      <c r="E426" s="10"/>
      <c r="F426" s="11"/>
      <c r="G426" s="11"/>
      <c r="H426" s="11"/>
      <c r="I426" s="11"/>
      <c r="J426" s="11" t="str">
        <f>IFERROR(__xludf.DUMMYFUNCTION("iferror(if($B426="""", ,filter(Playoff_Stats!F:Z,Playoff_Stats!A:A=$B426,Playoff_Stats!B:B=$A426)))"),"")</f>
        <v/>
      </c>
      <c r="K426" s="11"/>
      <c r="L426" s="12"/>
      <c r="M426" s="11"/>
      <c r="N426" s="11"/>
      <c r="O426" s="13"/>
      <c r="P426" s="14"/>
      <c r="Q426" s="13"/>
      <c r="R426" s="13"/>
      <c r="S426" s="15"/>
      <c r="T426" s="16"/>
      <c r="U426" s="16"/>
      <c r="V426" s="16"/>
      <c r="W426" s="16"/>
      <c r="X426" s="16"/>
      <c r="Y426" s="11"/>
      <c r="Z426" s="11"/>
      <c r="AA426" s="11"/>
      <c r="AB426" s="11"/>
      <c r="AC426" s="11"/>
      <c r="AD426" s="11"/>
    </row>
    <row r="427">
      <c r="A427" s="10"/>
      <c r="B427" s="10"/>
      <c r="C427" s="10"/>
      <c r="D427" s="10"/>
      <c r="E427" s="10"/>
      <c r="F427" s="11"/>
      <c r="G427" s="11"/>
      <c r="H427" s="11"/>
      <c r="I427" s="11"/>
      <c r="J427" s="11" t="str">
        <f>IFERROR(__xludf.DUMMYFUNCTION("iferror(if($B427="""", ,filter(Playoff_Stats!F:Z,Playoff_Stats!A:A=$B427,Playoff_Stats!B:B=$A427)))"),"")</f>
        <v/>
      </c>
      <c r="K427" s="11"/>
      <c r="L427" s="12"/>
      <c r="M427" s="11"/>
      <c r="N427" s="11"/>
      <c r="O427" s="13"/>
      <c r="P427" s="14"/>
      <c r="Q427" s="13"/>
      <c r="R427" s="13"/>
      <c r="S427" s="15"/>
      <c r="T427" s="16"/>
      <c r="U427" s="16"/>
      <c r="V427" s="16"/>
      <c r="W427" s="16"/>
      <c r="X427" s="16"/>
      <c r="Y427" s="11"/>
      <c r="Z427" s="11"/>
      <c r="AA427" s="11"/>
      <c r="AB427" s="11"/>
      <c r="AC427" s="11"/>
      <c r="AD427" s="11"/>
    </row>
    <row r="428">
      <c r="A428" s="10"/>
      <c r="B428" s="10"/>
      <c r="C428" s="10"/>
      <c r="D428" s="10"/>
      <c r="E428" s="10"/>
      <c r="F428" s="11"/>
      <c r="G428" s="11"/>
      <c r="H428" s="11"/>
      <c r="I428" s="11"/>
      <c r="J428" s="11" t="str">
        <f>IFERROR(__xludf.DUMMYFUNCTION("iferror(if($B428="""", ,filter(Playoff_Stats!F:Z,Playoff_Stats!A:A=$B428,Playoff_Stats!B:B=$A428)))"),"")</f>
        <v/>
      </c>
      <c r="K428" s="11"/>
      <c r="L428" s="12"/>
      <c r="M428" s="11"/>
      <c r="N428" s="11"/>
      <c r="O428" s="13"/>
      <c r="P428" s="14"/>
      <c r="Q428" s="13"/>
      <c r="R428" s="13"/>
      <c r="S428" s="15"/>
      <c r="T428" s="16"/>
      <c r="U428" s="16"/>
      <c r="V428" s="16"/>
      <c r="W428" s="16"/>
      <c r="X428" s="16"/>
      <c r="Y428" s="11"/>
      <c r="Z428" s="11"/>
      <c r="AA428" s="11"/>
      <c r="AB428" s="11"/>
      <c r="AC428" s="11"/>
      <c r="AD428" s="11"/>
    </row>
    <row r="429">
      <c r="A429" s="10"/>
      <c r="B429" s="10"/>
      <c r="C429" s="10"/>
      <c r="D429" s="10"/>
      <c r="E429" s="10"/>
      <c r="F429" s="11"/>
      <c r="G429" s="11"/>
      <c r="H429" s="11"/>
      <c r="I429" s="11"/>
      <c r="J429" s="11" t="str">
        <f>IFERROR(__xludf.DUMMYFUNCTION("iferror(if($B429="""", ,filter(Playoff_Stats!F:Z,Playoff_Stats!A:A=$B429,Playoff_Stats!B:B=$A429)))"),"")</f>
        <v/>
      </c>
      <c r="K429" s="11"/>
      <c r="L429" s="12"/>
      <c r="M429" s="11"/>
      <c r="N429" s="11"/>
      <c r="O429" s="13"/>
      <c r="P429" s="14"/>
      <c r="Q429" s="13"/>
      <c r="R429" s="13"/>
      <c r="S429" s="15"/>
      <c r="T429" s="16"/>
      <c r="U429" s="16"/>
      <c r="V429" s="16"/>
      <c r="W429" s="16"/>
      <c r="X429" s="16"/>
      <c r="Y429" s="11"/>
      <c r="Z429" s="11"/>
      <c r="AA429" s="11"/>
      <c r="AB429" s="11"/>
      <c r="AC429" s="11"/>
      <c r="AD429" s="11"/>
    </row>
    <row r="430">
      <c r="A430" s="10"/>
      <c r="B430" s="10"/>
      <c r="C430" s="10"/>
      <c r="D430" s="10"/>
      <c r="E430" s="10"/>
      <c r="F430" s="11"/>
      <c r="G430" s="11"/>
      <c r="H430" s="11"/>
      <c r="I430" s="11"/>
      <c r="J430" s="11" t="str">
        <f>IFERROR(__xludf.DUMMYFUNCTION("iferror(if($B430="""", ,filter(Playoff_Stats!F:Z,Playoff_Stats!A:A=$B430,Playoff_Stats!B:B=$A430)))"),"")</f>
        <v/>
      </c>
      <c r="K430" s="11"/>
      <c r="L430" s="12"/>
      <c r="M430" s="11"/>
      <c r="N430" s="11"/>
      <c r="O430" s="13"/>
      <c r="P430" s="14"/>
      <c r="Q430" s="13"/>
      <c r="R430" s="13"/>
      <c r="S430" s="15"/>
      <c r="T430" s="16"/>
      <c r="U430" s="16"/>
      <c r="V430" s="16"/>
      <c r="W430" s="16"/>
      <c r="X430" s="16"/>
      <c r="Y430" s="11"/>
      <c r="Z430" s="11"/>
      <c r="AA430" s="11"/>
      <c r="AB430" s="11"/>
      <c r="AC430" s="11"/>
      <c r="AD430" s="11"/>
    </row>
    <row r="431">
      <c r="A431" s="10"/>
      <c r="B431" s="10"/>
      <c r="C431" s="10"/>
      <c r="D431" s="10"/>
      <c r="E431" s="10"/>
      <c r="F431" s="11"/>
      <c r="G431" s="11"/>
      <c r="H431" s="11"/>
      <c r="I431" s="11"/>
      <c r="J431" s="11" t="str">
        <f>IFERROR(__xludf.DUMMYFUNCTION("iferror(if($B431="""", ,filter(Playoff_Stats!F:Z,Playoff_Stats!A:A=$B431,Playoff_Stats!B:B=$A431)))"),"")</f>
        <v/>
      </c>
      <c r="K431" s="11"/>
      <c r="L431" s="12"/>
      <c r="M431" s="11"/>
      <c r="N431" s="11"/>
      <c r="O431" s="13"/>
      <c r="P431" s="14"/>
      <c r="Q431" s="13"/>
      <c r="R431" s="13"/>
      <c r="S431" s="15"/>
      <c r="T431" s="16"/>
      <c r="U431" s="16"/>
      <c r="V431" s="16"/>
      <c r="W431" s="16"/>
      <c r="X431" s="16"/>
      <c r="Y431" s="11"/>
      <c r="Z431" s="11"/>
      <c r="AA431" s="11"/>
      <c r="AB431" s="11"/>
      <c r="AC431" s="11"/>
      <c r="AD431" s="11"/>
    </row>
    <row r="432">
      <c r="A432" s="10"/>
      <c r="B432" s="10"/>
      <c r="C432" s="10"/>
      <c r="D432" s="10"/>
      <c r="E432" s="10"/>
      <c r="F432" s="11"/>
      <c r="G432" s="11"/>
      <c r="H432" s="11"/>
      <c r="I432" s="11"/>
      <c r="J432" s="11" t="str">
        <f>IFERROR(__xludf.DUMMYFUNCTION("iferror(if($B432="""", ,filter(Playoff_Stats!F:Z,Playoff_Stats!A:A=$B432,Playoff_Stats!B:B=$A432)))"),"")</f>
        <v/>
      </c>
      <c r="K432" s="11"/>
      <c r="L432" s="12"/>
      <c r="M432" s="11"/>
      <c r="N432" s="11"/>
      <c r="O432" s="13"/>
      <c r="P432" s="14"/>
      <c r="Q432" s="13"/>
      <c r="R432" s="13"/>
      <c r="S432" s="15"/>
      <c r="T432" s="16"/>
      <c r="U432" s="16"/>
      <c r="V432" s="16"/>
      <c r="W432" s="16"/>
      <c r="X432" s="16"/>
      <c r="Y432" s="11"/>
      <c r="Z432" s="11"/>
      <c r="AA432" s="11"/>
      <c r="AB432" s="11"/>
      <c r="AC432" s="11"/>
      <c r="AD432" s="11"/>
    </row>
    <row r="433">
      <c r="A433" s="10"/>
      <c r="B433" s="10"/>
      <c r="C433" s="10"/>
      <c r="D433" s="10"/>
      <c r="E433" s="10"/>
      <c r="F433" s="11"/>
      <c r="G433" s="11"/>
      <c r="H433" s="11"/>
      <c r="I433" s="11"/>
      <c r="J433" s="11" t="str">
        <f>IFERROR(__xludf.DUMMYFUNCTION("iferror(if($B433="""", ,filter(Playoff_Stats!F:Z,Playoff_Stats!A:A=$B433,Playoff_Stats!B:B=$A433)))"),"")</f>
        <v/>
      </c>
      <c r="K433" s="11"/>
      <c r="L433" s="12"/>
      <c r="M433" s="11"/>
      <c r="N433" s="11"/>
      <c r="O433" s="13"/>
      <c r="P433" s="14"/>
      <c r="Q433" s="13"/>
      <c r="R433" s="13"/>
      <c r="S433" s="15"/>
      <c r="T433" s="16"/>
      <c r="U433" s="16"/>
      <c r="V433" s="16"/>
      <c r="W433" s="16"/>
      <c r="X433" s="16"/>
      <c r="Y433" s="11"/>
      <c r="Z433" s="11"/>
      <c r="AA433" s="11"/>
      <c r="AB433" s="11"/>
      <c r="AC433" s="11"/>
      <c r="AD433" s="11"/>
    </row>
    <row r="434">
      <c r="A434" s="10"/>
      <c r="B434" s="10"/>
      <c r="C434" s="10"/>
      <c r="D434" s="10"/>
      <c r="E434" s="10"/>
      <c r="F434" s="11"/>
      <c r="G434" s="11"/>
      <c r="H434" s="11"/>
      <c r="I434" s="11"/>
      <c r="J434" s="11" t="str">
        <f>IFERROR(__xludf.DUMMYFUNCTION("iferror(if($B434="""", ,filter(Playoff_Stats!F:Z,Playoff_Stats!A:A=$B434,Playoff_Stats!B:B=$A434)))"),"")</f>
        <v/>
      </c>
      <c r="K434" s="11"/>
      <c r="L434" s="12"/>
      <c r="M434" s="11"/>
      <c r="N434" s="11"/>
      <c r="O434" s="13"/>
      <c r="P434" s="14"/>
      <c r="Q434" s="13"/>
      <c r="R434" s="13"/>
      <c r="S434" s="15"/>
      <c r="T434" s="16"/>
      <c r="U434" s="16"/>
      <c r="V434" s="16"/>
      <c r="W434" s="16"/>
      <c r="X434" s="16"/>
      <c r="Y434" s="11"/>
      <c r="Z434" s="11"/>
      <c r="AA434" s="11"/>
      <c r="AB434" s="11"/>
      <c r="AC434" s="11"/>
      <c r="AD434" s="11"/>
    </row>
    <row r="435">
      <c r="A435" s="10"/>
      <c r="B435" s="10"/>
      <c r="C435" s="10"/>
      <c r="D435" s="10"/>
      <c r="E435" s="10"/>
      <c r="F435" s="11"/>
      <c r="G435" s="11"/>
      <c r="H435" s="11"/>
      <c r="I435" s="11"/>
      <c r="J435" s="11" t="str">
        <f>IFERROR(__xludf.DUMMYFUNCTION("iferror(if($B435="""", ,filter(Playoff_Stats!F:Z,Playoff_Stats!A:A=$B435,Playoff_Stats!B:B=$A435)))"),"")</f>
        <v/>
      </c>
      <c r="K435" s="11"/>
      <c r="L435" s="12"/>
      <c r="M435" s="11"/>
      <c r="N435" s="11"/>
      <c r="O435" s="13"/>
      <c r="P435" s="14"/>
      <c r="Q435" s="13"/>
      <c r="R435" s="13"/>
      <c r="S435" s="15"/>
      <c r="T435" s="16"/>
      <c r="U435" s="16"/>
      <c r="V435" s="16"/>
      <c r="W435" s="16"/>
      <c r="X435" s="16"/>
      <c r="Y435" s="11"/>
      <c r="Z435" s="11"/>
      <c r="AA435" s="11"/>
      <c r="AB435" s="11"/>
      <c r="AC435" s="11"/>
      <c r="AD435" s="11"/>
    </row>
    <row r="436">
      <c r="A436" s="10"/>
      <c r="B436" s="10"/>
      <c r="C436" s="10"/>
      <c r="D436" s="10"/>
      <c r="E436" s="10"/>
      <c r="F436" s="11"/>
      <c r="G436" s="11"/>
      <c r="H436" s="11"/>
      <c r="I436" s="11"/>
      <c r="J436" s="11" t="str">
        <f>IFERROR(__xludf.DUMMYFUNCTION("iferror(if($B436="""", ,filter(Playoff_Stats!F:Z,Playoff_Stats!A:A=$B436,Playoff_Stats!B:B=$A436)))"),"")</f>
        <v/>
      </c>
      <c r="K436" s="11"/>
      <c r="L436" s="12"/>
      <c r="M436" s="11"/>
      <c r="N436" s="11"/>
      <c r="O436" s="13"/>
      <c r="P436" s="14"/>
      <c r="Q436" s="13"/>
      <c r="R436" s="13"/>
      <c r="S436" s="15"/>
      <c r="T436" s="16"/>
      <c r="U436" s="16"/>
      <c r="V436" s="16"/>
      <c r="W436" s="16"/>
      <c r="X436" s="16"/>
      <c r="Y436" s="11"/>
      <c r="Z436" s="11"/>
      <c r="AA436" s="11"/>
      <c r="AB436" s="11"/>
      <c r="AC436" s="11"/>
      <c r="AD436" s="11"/>
    </row>
    <row r="437">
      <c r="A437" s="10"/>
      <c r="B437" s="10"/>
      <c r="C437" s="10"/>
      <c r="D437" s="10"/>
      <c r="E437" s="10"/>
      <c r="F437" s="11"/>
      <c r="G437" s="11"/>
      <c r="H437" s="11"/>
      <c r="I437" s="11"/>
      <c r="J437" s="11" t="str">
        <f>IFERROR(__xludf.DUMMYFUNCTION("iferror(if($B437="""", ,filter(Playoff_Stats!F:Z,Playoff_Stats!A:A=$B437,Playoff_Stats!B:B=$A437)))"),"")</f>
        <v/>
      </c>
      <c r="K437" s="11"/>
      <c r="L437" s="12"/>
      <c r="M437" s="11"/>
      <c r="N437" s="11"/>
      <c r="O437" s="13"/>
      <c r="P437" s="14"/>
      <c r="Q437" s="13"/>
      <c r="R437" s="13"/>
      <c r="S437" s="15"/>
      <c r="T437" s="16"/>
      <c r="U437" s="16"/>
      <c r="V437" s="16"/>
      <c r="W437" s="16"/>
      <c r="X437" s="16"/>
      <c r="Y437" s="11"/>
      <c r="Z437" s="11"/>
      <c r="AA437" s="11"/>
      <c r="AB437" s="11"/>
      <c r="AC437" s="11"/>
      <c r="AD437" s="11"/>
    </row>
    <row r="438">
      <c r="A438" s="10"/>
      <c r="B438" s="10"/>
      <c r="C438" s="10"/>
      <c r="D438" s="10"/>
      <c r="E438" s="10"/>
      <c r="F438" s="11"/>
      <c r="G438" s="11"/>
      <c r="H438" s="11"/>
      <c r="I438" s="11"/>
      <c r="J438" s="11" t="str">
        <f>IFERROR(__xludf.DUMMYFUNCTION("iferror(if($B438="""", ,filter(Playoff_Stats!F:Z,Playoff_Stats!A:A=$B438,Playoff_Stats!B:B=$A438)))"),"")</f>
        <v/>
      </c>
      <c r="K438" s="11"/>
      <c r="L438" s="12"/>
      <c r="M438" s="11"/>
      <c r="N438" s="11"/>
      <c r="O438" s="13"/>
      <c r="P438" s="14"/>
      <c r="Q438" s="13"/>
      <c r="R438" s="13"/>
      <c r="S438" s="15"/>
      <c r="T438" s="16"/>
      <c r="U438" s="16"/>
      <c r="V438" s="16"/>
      <c r="W438" s="16"/>
      <c r="X438" s="16"/>
      <c r="Y438" s="11"/>
      <c r="Z438" s="11"/>
      <c r="AA438" s="11"/>
      <c r="AB438" s="11"/>
      <c r="AC438" s="11"/>
      <c r="AD438" s="11"/>
    </row>
    <row r="439">
      <c r="A439" s="10"/>
      <c r="B439" s="10"/>
      <c r="C439" s="10"/>
      <c r="D439" s="10"/>
      <c r="E439" s="10"/>
      <c r="F439" s="11"/>
      <c r="G439" s="11"/>
      <c r="H439" s="11"/>
      <c r="I439" s="11"/>
      <c r="J439" s="11" t="str">
        <f>IFERROR(__xludf.DUMMYFUNCTION("iferror(if($B439="""", ,filter(Playoff_Stats!F:Z,Playoff_Stats!A:A=$B439,Playoff_Stats!B:B=$A439)))"),"")</f>
        <v/>
      </c>
      <c r="K439" s="11"/>
      <c r="L439" s="12"/>
      <c r="M439" s="11"/>
      <c r="N439" s="11"/>
      <c r="O439" s="13"/>
      <c r="P439" s="14"/>
      <c r="Q439" s="13"/>
      <c r="R439" s="13"/>
      <c r="S439" s="15"/>
      <c r="T439" s="16"/>
      <c r="U439" s="16"/>
      <c r="V439" s="16"/>
      <c r="W439" s="16"/>
      <c r="X439" s="16"/>
      <c r="Y439" s="11"/>
      <c r="Z439" s="11"/>
      <c r="AA439" s="11"/>
      <c r="AB439" s="11"/>
      <c r="AC439" s="11"/>
      <c r="AD439" s="11"/>
    </row>
    <row r="440">
      <c r="A440" s="10"/>
      <c r="B440" s="10"/>
      <c r="C440" s="10"/>
      <c r="D440" s="10"/>
      <c r="E440" s="10"/>
      <c r="F440" s="11"/>
      <c r="G440" s="11"/>
      <c r="H440" s="11"/>
      <c r="I440" s="11"/>
      <c r="J440" s="11" t="str">
        <f>IFERROR(__xludf.DUMMYFUNCTION("iferror(if($B440="""", ,filter(Playoff_Stats!F:Z,Playoff_Stats!A:A=$B440,Playoff_Stats!B:B=$A440)))"),"")</f>
        <v/>
      </c>
      <c r="K440" s="11"/>
      <c r="L440" s="12"/>
      <c r="M440" s="11"/>
      <c r="N440" s="11"/>
      <c r="O440" s="13"/>
      <c r="P440" s="14"/>
      <c r="Q440" s="13"/>
      <c r="R440" s="13"/>
      <c r="S440" s="15"/>
      <c r="T440" s="16"/>
      <c r="U440" s="16"/>
      <c r="V440" s="16"/>
      <c r="W440" s="16"/>
      <c r="X440" s="16"/>
      <c r="Y440" s="11"/>
      <c r="Z440" s="11"/>
      <c r="AA440" s="11"/>
      <c r="AB440" s="11"/>
      <c r="AC440" s="11"/>
      <c r="AD440" s="11"/>
    </row>
    <row r="441">
      <c r="A441" s="10"/>
      <c r="B441" s="10"/>
      <c r="C441" s="10"/>
      <c r="D441" s="10"/>
      <c r="E441" s="10"/>
      <c r="F441" s="11"/>
      <c r="G441" s="11"/>
      <c r="H441" s="11"/>
      <c r="I441" s="11"/>
      <c r="J441" s="11" t="str">
        <f>IFERROR(__xludf.DUMMYFUNCTION("iferror(if($B441="""", ,filter(Playoff_Stats!F:Z,Playoff_Stats!A:A=$B441,Playoff_Stats!B:B=$A441)))"),"")</f>
        <v/>
      </c>
      <c r="K441" s="11"/>
      <c r="L441" s="12"/>
      <c r="M441" s="11"/>
      <c r="N441" s="11"/>
      <c r="O441" s="13"/>
      <c r="P441" s="14"/>
      <c r="Q441" s="13"/>
      <c r="R441" s="13"/>
      <c r="S441" s="15"/>
      <c r="T441" s="16"/>
      <c r="U441" s="16"/>
      <c r="V441" s="16"/>
      <c r="W441" s="16"/>
      <c r="X441" s="16"/>
      <c r="Y441" s="11"/>
      <c r="Z441" s="11"/>
      <c r="AA441" s="11"/>
      <c r="AB441" s="11"/>
      <c r="AC441" s="11"/>
      <c r="AD441" s="11"/>
    </row>
    <row r="442">
      <c r="A442" s="10"/>
      <c r="B442" s="10"/>
      <c r="C442" s="10"/>
      <c r="D442" s="10"/>
      <c r="E442" s="10"/>
      <c r="F442" s="11"/>
      <c r="G442" s="11"/>
      <c r="H442" s="11"/>
      <c r="I442" s="11"/>
      <c r="J442" s="11" t="str">
        <f>IFERROR(__xludf.DUMMYFUNCTION("iferror(if($B442="""", ,filter(Playoff_Stats!F:Z,Playoff_Stats!A:A=$B442,Playoff_Stats!B:B=$A442)))"),"")</f>
        <v/>
      </c>
      <c r="K442" s="11"/>
      <c r="L442" s="12"/>
      <c r="M442" s="11"/>
      <c r="N442" s="11"/>
      <c r="O442" s="13"/>
      <c r="P442" s="14"/>
      <c r="Q442" s="13"/>
      <c r="R442" s="13"/>
      <c r="S442" s="15"/>
      <c r="T442" s="16"/>
      <c r="U442" s="16"/>
      <c r="V442" s="16"/>
      <c r="W442" s="16"/>
      <c r="X442" s="16"/>
      <c r="Y442" s="11"/>
      <c r="Z442" s="11"/>
      <c r="AA442" s="11"/>
      <c r="AB442" s="11"/>
      <c r="AC442" s="11"/>
      <c r="AD442" s="11"/>
    </row>
    <row r="443">
      <c r="A443" s="10"/>
      <c r="B443" s="10"/>
      <c r="C443" s="10"/>
      <c r="D443" s="10"/>
      <c r="E443" s="10"/>
      <c r="F443" s="11"/>
      <c r="G443" s="11"/>
      <c r="H443" s="11"/>
      <c r="I443" s="11"/>
      <c r="J443" s="11" t="str">
        <f>IFERROR(__xludf.DUMMYFUNCTION("iferror(if($B443="""", ,filter(Playoff_Stats!F:Z,Playoff_Stats!A:A=$B443,Playoff_Stats!B:B=$A443)))"),"")</f>
        <v/>
      </c>
      <c r="K443" s="11"/>
      <c r="L443" s="12"/>
      <c r="M443" s="11"/>
      <c r="N443" s="11"/>
      <c r="O443" s="13"/>
      <c r="P443" s="14"/>
      <c r="Q443" s="13"/>
      <c r="R443" s="13"/>
      <c r="S443" s="15"/>
      <c r="T443" s="16"/>
      <c r="U443" s="16"/>
      <c r="V443" s="16"/>
      <c r="W443" s="16"/>
      <c r="X443" s="16"/>
      <c r="Y443" s="11"/>
      <c r="Z443" s="11"/>
      <c r="AA443" s="11"/>
      <c r="AB443" s="11"/>
      <c r="AC443" s="11"/>
      <c r="AD443" s="11"/>
    </row>
    <row r="444">
      <c r="A444" s="10"/>
      <c r="B444" s="10"/>
      <c r="C444" s="10"/>
      <c r="D444" s="10"/>
      <c r="E444" s="10"/>
      <c r="F444" s="11"/>
      <c r="G444" s="11"/>
      <c r="H444" s="11"/>
      <c r="I444" s="11"/>
      <c r="J444" s="11" t="str">
        <f>IFERROR(__xludf.DUMMYFUNCTION("iferror(if($B444="""", ,filter(Playoff_Stats!F:Z,Playoff_Stats!A:A=$B444,Playoff_Stats!B:B=$A444)))"),"")</f>
        <v/>
      </c>
      <c r="K444" s="11"/>
      <c r="L444" s="12"/>
      <c r="M444" s="11"/>
      <c r="N444" s="11"/>
      <c r="O444" s="13"/>
      <c r="P444" s="14"/>
      <c r="Q444" s="13"/>
      <c r="R444" s="13"/>
      <c r="S444" s="15"/>
      <c r="T444" s="16"/>
      <c r="U444" s="16"/>
      <c r="V444" s="16"/>
      <c r="W444" s="16"/>
      <c r="X444" s="16"/>
      <c r="Y444" s="11"/>
      <c r="Z444" s="11"/>
      <c r="AA444" s="11"/>
      <c r="AB444" s="11"/>
      <c r="AC444" s="11"/>
      <c r="AD444" s="11"/>
    </row>
    <row r="445">
      <c r="A445" s="10"/>
      <c r="B445" s="10"/>
      <c r="C445" s="10"/>
      <c r="D445" s="10"/>
      <c r="E445" s="10"/>
      <c r="F445" s="11"/>
      <c r="G445" s="11"/>
      <c r="H445" s="11"/>
      <c r="I445" s="11"/>
      <c r="J445" s="11" t="str">
        <f>IFERROR(__xludf.DUMMYFUNCTION("iferror(if($B445="""", ,filter(Playoff_Stats!F:Z,Playoff_Stats!A:A=$B445,Playoff_Stats!B:B=$A445)))"),"")</f>
        <v/>
      </c>
      <c r="K445" s="11"/>
      <c r="L445" s="12"/>
      <c r="M445" s="11"/>
      <c r="N445" s="11"/>
      <c r="O445" s="13"/>
      <c r="P445" s="14"/>
      <c r="Q445" s="13"/>
      <c r="R445" s="13"/>
      <c r="S445" s="15"/>
      <c r="T445" s="16"/>
      <c r="U445" s="16"/>
      <c r="V445" s="16"/>
      <c r="W445" s="16"/>
      <c r="X445" s="16"/>
      <c r="Y445" s="11"/>
      <c r="Z445" s="11"/>
      <c r="AA445" s="11"/>
      <c r="AB445" s="11"/>
      <c r="AC445" s="11"/>
      <c r="AD445" s="11"/>
    </row>
    <row r="446">
      <c r="A446" s="10"/>
      <c r="B446" s="10"/>
      <c r="C446" s="10"/>
      <c r="D446" s="10"/>
      <c r="E446" s="10"/>
      <c r="F446" s="11"/>
      <c r="G446" s="11"/>
      <c r="H446" s="11"/>
      <c r="I446" s="11"/>
      <c r="J446" s="11" t="str">
        <f>IFERROR(__xludf.DUMMYFUNCTION("iferror(if($B446="""", ,filter(Playoff_Stats!F:Z,Playoff_Stats!A:A=$B446,Playoff_Stats!B:B=$A446)))"),"")</f>
        <v/>
      </c>
      <c r="K446" s="11"/>
      <c r="L446" s="12"/>
      <c r="M446" s="11"/>
      <c r="N446" s="11"/>
      <c r="O446" s="13"/>
      <c r="P446" s="14"/>
      <c r="Q446" s="13"/>
      <c r="R446" s="13"/>
      <c r="S446" s="15"/>
      <c r="T446" s="16"/>
      <c r="U446" s="16"/>
      <c r="V446" s="16"/>
      <c r="W446" s="16"/>
      <c r="X446" s="16"/>
      <c r="Y446" s="11"/>
      <c r="Z446" s="11"/>
      <c r="AA446" s="11"/>
      <c r="AB446" s="11"/>
      <c r="AC446" s="11"/>
      <c r="AD446" s="11"/>
    </row>
    <row r="447">
      <c r="A447" s="10"/>
      <c r="B447" s="10"/>
      <c r="C447" s="10"/>
      <c r="D447" s="10"/>
      <c r="E447" s="10"/>
      <c r="F447" s="11"/>
      <c r="G447" s="11"/>
      <c r="H447" s="11"/>
      <c r="I447" s="11"/>
      <c r="J447" s="11" t="str">
        <f>IFERROR(__xludf.DUMMYFUNCTION("iferror(if($B447="""", ,filter(Playoff_Stats!F:Z,Playoff_Stats!A:A=$B447,Playoff_Stats!B:B=$A447)))"),"")</f>
        <v/>
      </c>
      <c r="K447" s="11"/>
      <c r="L447" s="12"/>
      <c r="M447" s="11"/>
      <c r="N447" s="11"/>
      <c r="O447" s="13"/>
      <c r="P447" s="14"/>
      <c r="Q447" s="13"/>
      <c r="R447" s="13"/>
      <c r="S447" s="15"/>
      <c r="T447" s="16"/>
      <c r="U447" s="16"/>
      <c r="V447" s="16"/>
      <c r="W447" s="16"/>
      <c r="X447" s="16"/>
      <c r="Y447" s="11"/>
      <c r="Z447" s="11"/>
      <c r="AA447" s="11"/>
      <c r="AB447" s="11"/>
      <c r="AC447" s="11"/>
      <c r="AD447" s="11"/>
    </row>
    <row r="448">
      <c r="A448" s="10"/>
      <c r="B448" s="10"/>
      <c r="C448" s="10"/>
      <c r="D448" s="10"/>
      <c r="E448" s="10"/>
      <c r="F448" s="11"/>
      <c r="G448" s="11"/>
      <c r="H448" s="11"/>
      <c r="I448" s="11"/>
      <c r="J448" s="11" t="str">
        <f>IFERROR(__xludf.DUMMYFUNCTION("iferror(if($B448="""", ,filter(Playoff_Stats!F:Z,Playoff_Stats!A:A=$B448,Playoff_Stats!B:B=$A448)))"),"")</f>
        <v/>
      </c>
      <c r="K448" s="11"/>
      <c r="L448" s="12"/>
      <c r="M448" s="11"/>
      <c r="N448" s="11"/>
      <c r="O448" s="13"/>
      <c r="P448" s="14"/>
      <c r="Q448" s="13"/>
      <c r="R448" s="13"/>
      <c r="S448" s="15"/>
      <c r="T448" s="16"/>
      <c r="U448" s="16"/>
      <c r="V448" s="16"/>
      <c r="W448" s="16"/>
      <c r="X448" s="16"/>
      <c r="Y448" s="11"/>
      <c r="Z448" s="11"/>
      <c r="AA448" s="11"/>
      <c r="AB448" s="11"/>
      <c r="AC448" s="11"/>
      <c r="AD448" s="11"/>
    </row>
    <row r="449">
      <c r="A449" s="10"/>
      <c r="B449" s="10"/>
      <c r="C449" s="10"/>
      <c r="D449" s="10"/>
      <c r="E449" s="10"/>
      <c r="F449" s="11"/>
      <c r="G449" s="11"/>
      <c r="H449" s="11"/>
      <c r="I449" s="11"/>
      <c r="J449" s="11" t="str">
        <f>IFERROR(__xludf.DUMMYFUNCTION("iferror(if($B449="""", ,filter(Playoff_Stats!F:Z,Playoff_Stats!A:A=$B449,Playoff_Stats!B:B=$A449)))"),"")</f>
        <v/>
      </c>
      <c r="K449" s="11"/>
      <c r="L449" s="12"/>
      <c r="M449" s="11"/>
      <c r="N449" s="11"/>
      <c r="O449" s="13"/>
      <c r="P449" s="14"/>
      <c r="Q449" s="13"/>
      <c r="R449" s="13"/>
      <c r="S449" s="15"/>
      <c r="T449" s="16"/>
      <c r="U449" s="16"/>
      <c r="V449" s="16"/>
      <c r="W449" s="16"/>
      <c r="X449" s="16"/>
      <c r="Y449" s="11"/>
      <c r="Z449" s="11"/>
      <c r="AA449" s="11"/>
      <c r="AB449" s="11"/>
      <c r="AC449" s="11"/>
      <c r="AD449" s="11"/>
    </row>
    <row r="450">
      <c r="A450" s="10"/>
      <c r="B450" s="10"/>
      <c r="C450" s="10"/>
      <c r="D450" s="10"/>
      <c r="E450" s="10"/>
      <c r="F450" s="11"/>
      <c r="G450" s="11"/>
      <c r="H450" s="11"/>
      <c r="I450" s="11"/>
      <c r="J450" s="11" t="str">
        <f>IFERROR(__xludf.DUMMYFUNCTION("iferror(if($B450="""", ,filter(Playoff_Stats!F:Z,Playoff_Stats!A:A=$B450,Playoff_Stats!B:B=$A450)))"),"")</f>
        <v/>
      </c>
      <c r="K450" s="11"/>
      <c r="L450" s="12"/>
      <c r="M450" s="11"/>
      <c r="N450" s="11"/>
      <c r="O450" s="13"/>
      <c r="P450" s="14"/>
      <c r="Q450" s="13"/>
      <c r="R450" s="13"/>
      <c r="S450" s="15"/>
      <c r="T450" s="16"/>
      <c r="U450" s="16"/>
      <c r="V450" s="16"/>
      <c r="W450" s="16"/>
      <c r="X450" s="16"/>
      <c r="Y450" s="11"/>
      <c r="Z450" s="11"/>
      <c r="AA450" s="11"/>
      <c r="AB450" s="11"/>
      <c r="AC450" s="11"/>
      <c r="AD450" s="11"/>
    </row>
    <row r="451">
      <c r="A451" s="10"/>
      <c r="B451" s="10"/>
      <c r="C451" s="10"/>
      <c r="D451" s="10"/>
      <c r="E451" s="10"/>
      <c r="F451" s="11"/>
      <c r="G451" s="11"/>
      <c r="H451" s="11"/>
      <c r="I451" s="11"/>
      <c r="J451" s="11" t="str">
        <f>IFERROR(__xludf.DUMMYFUNCTION("iferror(if($B451="""", ,filter(Playoff_Stats!F:Z,Playoff_Stats!A:A=$B451,Playoff_Stats!B:B=$A451)))"),"")</f>
        <v/>
      </c>
      <c r="K451" s="11"/>
      <c r="L451" s="12"/>
      <c r="M451" s="11"/>
      <c r="N451" s="11"/>
      <c r="O451" s="13"/>
      <c r="P451" s="14"/>
      <c r="Q451" s="13"/>
      <c r="R451" s="13"/>
      <c r="S451" s="15"/>
      <c r="T451" s="16"/>
      <c r="U451" s="16"/>
      <c r="V451" s="16"/>
      <c r="W451" s="16"/>
      <c r="X451" s="16"/>
      <c r="Y451" s="11"/>
      <c r="Z451" s="11"/>
      <c r="AA451" s="11"/>
      <c r="AB451" s="11"/>
      <c r="AC451" s="11"/>
      <c r="AD451" s="11"/>
    </row>
    <row r="452">
      <c r="A452" s="10"/>
      <c r="B452" s="10"/>
      <c r="C452" s="10"/>
      <c r="D452" s="10"/>
      <c r="E452" s="10"/>
      <c r="F452" s="11"/>
      <c r="G452" s="11"/>
      <c r="H452" s="11"/>
      <c r="I452" s="11"/>
      <c r="J452" s="11" t="str">
        <f>IFERROR(__xludf.DUMMYFUNCTION("iferror(if($B452="""", ,filter(Playoff_Stats!F:Z,Playoff_Stats!A:A=$B452,Playoff_Stats!B:B=$A452)))"),"")</f>
        <v/>
      </c>
      <c r="K452" s="11"/>
      <c r="L452" s="12"/>
      <c r="M452" s="11"/>
      <c r="N452" s="11"/>
      <c r="O452" s="13"/>
      <c r="P452" s="14"/>
      <c r="Q452" s="13"/>
      <c r="R452" s="13"/>
      <c r="S452" s="15"/>
      <c r="T452" s="16"/>
      <c r="U452" s="16"/>
      <c r="V452" s="16"/>
      <c r="W452" s="16"/>
      <c r="X452" s="16"/>
      <c r="Y452" s="11"/>
      <c r="Z452" s="11"/>
      <c r="AA452" s="11"/>
      <c r="AB452" s="11"/>
      <c r="AC452" s="11"/>
      <c r="AD452" s="11"/>
    </row>
    <row r="453">
      <c r="A453" s="10"/>
      <c r="B453" s="10"/>
      <c r="C453" s="10"/>
      <c r="D453" s="10"/>
      <c r="E453" s="10"/>
      <c r="F453" s="11"/>
      <c r="G453" s="11"/>
      <c r="H453" s="11"/>
      <c r="I453" s="11"/>
      <c r="J453" s="11" t="str">
        <f>IFERROR(__xludf.DUMMYFUNCTION("iferror(if($B453="""", ,filter(Playoff_Stats!F:Z,Playoff_Stats!A:A=$B453,Playoff_Stats!B:B=$A453)))"),"")</f>
        <v/>
      </c>
      <c r="K453" s="11"/>
      <c r="L453" s="12"/>
      <c r="M453" s="11"/>
      <c r="N453" s="11"/>
      <c r="O453" s="13"/>
      <c r="P453" s="14"/>
      <c r="Q453" s="13"/>
      <c r="R453" s="13"/>
      <c r="S453" s="15"/>
      <c r="T453" s="16"/>
      <c r="U453" s="16"/>
      <c r="V453" s="16"/>
      <c r="W453" s="16"/>
      <c r="X453" s="16"/>
      <c r="Y453" s="11"/>
      <c r="Z453" s="11"/>
      <c r="AA453" s="11"/>
      <c r="AB453" s="11"/>
      <c r="AC453" s="11"/>
      <c r="AD453" s="11"/>
    </row>
    <row r="454">
      <c r="A454" s="10"/>
      <c r="B454" s="10"/>
      <c r="C454" s="10"/>
      <c r="D454" s="10"/>
      <c r="E454" s="10"/>
      <c r="F454" s="11"/>
      <c r="G454" s="11"/>
      <c r="H454" s="11"/>
      <c r="I454" s="11"/>
      <c r="J454" s="11" t="str">
        <f>IFERROR(__xludf.DUMMYFUNCTION("iferror(if($B454="""", ,filter(Playoff_Stats!F:Z,Playoff_Stats!A:A=$B454,Playoff_Stats!B:B=$A454)))"),"")</f>
        <v/>
      </c>
      <c r="K454" s="11"/>
      <c r="L454" s="12"/>
      <c r="M454" s="11"/>
      <c r="N454" s="11"/>
      <c r="O454" s="13"/>
      <c r="P454" s="14"/>
      <c r="Q454" s="13"/>
      <c r="R454" s="13"/>
      <c r="S454" s="15"/>
      <c r="T454" s="16"/>
      <c r="U454" s="16"/>
      <c r="V454" s="16"/>
      <c r="W454" s="16"/>
      <c r="X454" s="16"/>
      <c r="Y454" s="11"/>
      <c r="Z454" s="11"/>
      <c r="AA454" s="11"/>
      <c r="AB454" s="11"/>
      <c r="AC454" s="11"/>
      <c r="AD454" s="11"/>
    </row>
    <row r="455">
      <c r="A455" s="10"/>
      <c r="B455" s="10"/>
      <c r="C455" s="10"/>
      <c r="D455" s="10"/>
      <c r="E455" s="10"/>
      <c r="F455" s="11"/>
      <c r="G455" s="11"/>
      <c r="H455" s="11"/>
      <c r="I455" s="11"/>
      <c r="J455" s="11" t="str">
        <f>IFERROR(__xludf.DUMMYFUNCTION("iferror(if($B455="""", ,filter(Playoff_Stats!F:Z,Playoff_Stats!A:A=$B455,Playoff_Stats!B:B=$A455)))"),"")</f>
        <v/>
      </c>
      <c r="K455" s="11"/>
      <c r="L455" s="12"/>
      <c r="M455" s="11"/>
      <c r="N455" s="11"/>
      <c r="O455" s="13"/>
      <c r="P455" s="14"/>
      <c r="Q455" s="13"/>
      <c r="R455" s="13"/>
      <c r="S455" s="15"/>
      <c r="T455" s="16"/>
      <c r="U455" s="16"/>
      <c r="V455" s="16"/>
      <c r="W455" s="16"/>
      <c r="X455" s="16"/>
      <c r="Y455" s="11"/>
      <c r="Z455" s="11"/>
      <c r="AA455" s="11"/>
      <c r="AB455" s="11"/>
      <c r="AC455" s="11"/>
      <c r="AD455" s="11"/>
    </row>
    <row r="456">
      <c r="A456" s="10"/>
      <c r="B456" s="10"/>
      <c r="C456" s="10"/>
      <c r="D456" s="10"/>
      <c r="E456" s="10"/>
      <c r="F456" s="11"/>
      <c r="G456" s="11"/>
      <c r="H456" s="11"/>
      <c r="I456" s="11"/>
      <c r="J456" s="11" t="str">
        <f>IFERROR(__xludf.DUMMYFUNCTION("iferror(if($B456="""", ,filter(Playoff_Stats!F:Z,Playoff_Stats!A:A=$B456,Playoff_Stats!B:B=$A456)))"),"")</f>
        <v/>
      </c>
      <c r="K456" s="11"/>
      <c r="L456" s="12"/>
      <c r="M456" s="11"/>
      <c r="N456" s="11"/>
      <c r="O456" s="13"/>
      <c r="P456" s="14"/>
      <c r="Q456" s="13"/>
      <c r="R456" s="13"/>
      <c r="S456" s="15"/>
      <c r="T456" s="16"/>
      <c r="U456" s="16"/>
      <c r="V456" s="16"/>
      <c r="W456" s="16"/>
      <c r="X456" s="16"/>
      <c r="Y456" s="11"/>
      <c r="Z456" s="11"/>
      <c r="AA456" s="11"/>
      <c r="AB456" s="11"/>
      <c r="AC456" s="11"/>
      <c r="AD456" s="11"/>
    </row>
    <row r="457">
      <c r="A457" s="10"/>
      <c r="B457" s="10"/>
      <c r="C457" s="10"/>
      <c r="D457" s="10"/>
      <c r="E457" s="10"/>
      <c r="F457" s="11"/>
      <c r="G457" s="11"/>
      <c r="H457" s="11"/>
      <c r="I457" s="11"/>
      <c r="J457" s="11" t="str">
        <f>IFERROR(__xludf.DUMMYFUNCTION("iferror(if($B457="""", ,filter(Playoff_Stats!F:Z,Playoff_Stats!A:A=$B457,Playoff_Stats!B:B=$A457)))"),"")</f>
        <v/>
      </c>
      <c r="K457" s="11"/>
      <c r="L457" s="12"/>
      <c r="M457" s="11"/>
      <c r="N457" s="11"/>
      <c r="O457" s="13"/>
      <c r="P457" s="14"/>
      <c r="Q457" s="13"/>
      <c r="R457" s="13"/>
      <c r="S457" s="15"/>
      <c r="T457" s="16"/>
      <c r="U457" s="16"/>
      <c r="V457" s="16"/>
      <c r="W457" s="16"/>
      <c r="X457" s="16"/>
      <c r="Y457" s="11"/>
      <c r="Z457" s="11"/>
      <c r="AA457" s="11"/>
      <c r="AB457" s="11"/>
      <c r="AC457" s="11"/>
      <c r="AD457" s="11"/>
    </row>
    <row r="458">
      <c r="A458" s="10"/>
      <c r="B458" s="10"/>
      <c r="C458" s="10"/>
      <c r="D458" s="10"/>
      <c r="E458" s="10"/>
      <c r="F458" s="11"/>
      <c r="G458" s="11"/>
      <c r="H458" s="11"/>
      <c r="I458" s="11"/>
      <c r="J458" s="11" t="str">
        <f>IFERROR(__xludf.DUMMYFUNCTION("iferror(if($B458="""", ,filter(Playoff_Stats!F:Z,Playoff_Stats!A:A=$B458,Playoff_Stats!B:B=$A458)))"),"")</f>
        <v/>
      </c>
      <c r="K458" s="11"/>
      <c r="L458" s="12"/>
      <c r="M458" s="11"/>
      <c r="N458" s="11"/>
      <c r="O458" s="13"/>
      <c r="P458" s="14"/>
      <c r="Q458" s="13"/>
      <c r="R458" s="13"/>
      <c r="S458" s="15"/>
      <c r="T458" s="16"/>
      <c r="U458" s="16"/>
      <c r="V458" s="16"/>
      <c r="W458" s="16"/>
      <c r="X458" s="16"/>
      <c r="Y458" s="11"/>
      <c r="Z458" s="11"/>
      <c r="AA458" s="11"/>
      <c r="AB458" s="11"/>
      <c r="AC458" s="11"/>
      <c r="AD458" s="11"/>
    </row>
    <row r="459">
      <c r="A459" s="10"/>
      <c r="B459" s="10"/>
      <c r="C459" s="10"/>
      <c r="D459" s="10"/>
      <c r="E459" s="10"/>
      <c r="F459" s="11"/>
      <c r="G459" s="11"/>
      <c r="H459" s="11"/>
      <c r="I459" s="11"/>
      <c r="J459" s="11" t="str">
        <f>IFERROR(__xludf.DUMMYFUNCTION("iferror(if($B459="""", ,filter(Playoff_Stats!F:Z,Playoff_Stats!A:A=$B459,Playoff_Stats!B:B=$A459)))"),"")</f>
        <v/>
      </c>
      <c r="K459" s="11"/>
      <c r="L459" s="12"/>
      <c r="M459" s="11"/>
      <c r="N459" s="11"/>
      <c r="O459" s="13"/>
      <c r="P459" s="14"/>
      <c r="Q459" s="13"/>
      <c r="R459" s="13"/>
      <c r="S459" s="15"/>
      <c r="T459" s="16"/>
      <c r="U459" s="16"/>
      <c r="V459" s="16"/>
      <c r="W459" s="16"/>
      <c r="X459" s="16"/>
      <c r="Y459" s="11"/>
      <c r="Z459" s="11"/>
      <c r="AA459" s="11"/>
      <c r="AB459" s="11"/>
      <c r="AC459" s="11"/>
      <c r="AD459" s="11"/>
    </row>
    <row r="460">
      <c r="A460" s="10"/>
      <c r="B460" s="10"/>
      <c r="C460" s="10"/>
      <c r="D460" s="10"/>
      <c r="E460" s="10"/>
      <c r="F460" s="11"/>
      <c r="G460" s="11"/>
      <c r="H460" s="11"/>
      <c r="I460" s="11"/>
      <c r="J460" s="11" t="str">
        <f>IFERROR(__xludf.DUMMYFUNCTION("iferror(if($B460="""", ,filter(Playoff_Stats!F:Z,Playoff_Stats!A:A=$B460,Playoff_Stats!B:B=$A460)))"),"")</f>
        <v/>
      </c>
      <c r="K460" s="11"/>
      <c r="L460" s="12"/>
      <c r="M460" s="11"/>
      <c r="N460" s="11"/>
      <c r="O460" s="13"/>
      <c r="P460" s="14"/>
      <c r="Q460" s="13"/>
      <c r="R460" s="13"/>
      <c r="S460" s="15"/>
      <c r="T460" s="16"/>
      <c r="U460" s="16"/>
      <c r="V460" s="16"/>
      <c r="W460" s="16"/>
      <c r="X460" s="16"/>
      <c r="Y460" s="11"/>
      <c r="Z460" s="11"/>
      <c r="AA460" s="11"/>
      <c r="AB460" s="11"/>
      <c r="AC460" s="11"/>
      <c r="AD460" s="11"/>
    </row>
    <row r="461">
      <c r="A461" s="10"/>
      <c r="B461" s="10"/>
      <c r="C461" s="10"/>
      <c r="D461" s="10"/>
      <c r="E461" s="10"/>
      <c r="F461" s="11"/>
      <c r="G461" s="11"/>
      <c r="H461" s="11"/>
      <c r="I461" s="11"/>
      <c r="J461" s="11" t="str">
        <f>IFERROR(__xludf.DUMMYFUNCTION("iferror(if($B461="""", ,filter(Playoff_Stats!F:Z,Playoff_Stats!A:A=$B461,Playoff_Stats!B:B=$A461)))"),"")</f>
        <v/>
      </c>
      <c r="K461" s="11"/>
      <c r="L461" s="12"/>
      <c r="M461" s="11"/>
      <c r="N461" s="11"/>
      <c r="O461" s="13"/>
      <c r="P461" s="14"/>
      <c r="Q461" s="13"/>
      <c r="R461" s="13"/>
      <c r="S461" s="15"/>
      <c r="T461" s="16"/>
      <c r="U461" s="16"/>
      <c r="V461" s="16"/>
      <c r="W461" s="16"/>
      <c r="X461" s="16"/>
      <c r="Y461" s="11"/>
      <c r="Z461" s="11"/>
      <c r="AA461" s="11"/>
      <c r="AB461" s="11"/>
      <c r="AC461" s="11"/>
      <c r="AD461" s="11"/>
    </row>
    <row r="462">
      <c r="A462" s="10"/>
      <c r="B462" s="10"/>
      <c r="C462" s="10"/>
      <c r="D462" s="10"/>
      <c r="E462" s="10"/>
      <c r="F462" s="11"/>
      <c r="G462" s="11"/>
      <c r="H462" s="11"/>
      <c r="I462" s="11"/>
      <c r="J462" s="11" t="str">
        <f>IFERROR(__xludf.DUMMYFUNCTION("iferror(if($B462="""", ,filter(Playoff_Stats!F:Z,Playoff_Stats!A:A=$B462,Playoff_Stats!B:B=$A462)))"),"")</f>
        <v/>
      </c>
      <c r="K462" s="11"/>
      <c r="L462" s="12"/>
      <c r="M462" s="11"/>
      <c r="N462" s="11"/>
      <c r="O462" s="13"/>
      <c r="P462" s="14"/>
      <c r="Q462" s="13"/>
      <c r="R462" s="13"/>
      <c r="S462" s="15"/>
      <c r="T462" s="16"/>
      <c r="U462" s="16"/>
      <c r="V462" s="16"/>
      <c r="W462" s="16"/>
      <c r="X462" s="16"/>
      <c r="Y462" s="11"/>
      <c r="Z462" s="11"/>
      <c r="AA462" s="11"/>
      <c r="AB462" s="11"/>
      <c r="AC462" s="11"/>
      <c r="AD462" s="11"/>
    </row>
    <row r="463">
      <c r="A463" s="10"/>
      <c r="B463" s="10"/>
      <c r="C463" s="10"/>
      <c r="D463" s="10"/>
      <c r="E463" s="10"/>
      <c r="F463" s="11"/>
      <c r="G463" s="11"/>
      <c r="H463" s="11"/>
      <c r="I463" s="11"/>
      <c r="J463" s="11" t="str">
        <f>IFERROR(__xludf.DUMMYFUNCTION("iferror(if($B463="""", ,filter(Playoff_Stats!F:Z,Playoff_Stats!A:A=$B463,Playoff_Stats!B:B=$A463)))"),"")</f>
        <v/>
      </c>
      <c r="K463" s="11"/>
      <c r="L463" s="12"/>
      <c r="M463" s="11"/>
      <c r="N463" s="11"/>
      <c r="O463" s="13"/>
      <c r="P463" s="14"/>
      <c r="Q463" s="13"/>
      <c r="R463" s="13"/>
      <c r="S463" s="15"/>
      <c r="T463" s="16"/>
      <c r="U463" s="16"/>
      <c r="V463" s="16"/>
      <c r="W463" s="16"/>
      <c r="X463" s="16"/>
      <c r="Y463" s="11"/>
      <c r="Z463" s="11"/>
      <c r="AA463" s="11"/>
      <c r="AB463" s="11"/>
      <c r="AC463" s="11"/>
      <c r="AD463" s="11"/>
    </row>
    <row r="464">
      <c r="A464" s="10"/>
      <c r="B464" s="10"/>
      <c r="C464" s="10"/>
      <c r="D464" s="10"/>
      <c r="E464" s="10"/>
      <c r="F464" s="11"/>
      <c r="G464" s="11"/>
      <c r="H464" s="11"/>
      <c r="I464" s="11"/>
      <c r="J464" s="11" t="str">
        <f>IFERROR(__xludf.DUMMYFUNCTION("iferror(if($B464="""", ,filter(Playoff_Stats!F:Z,Playoff_Stats!A:A=$B464,Playoff_Stats!B:B=$A464)))"),"")</f>
        <v/>
      </c>
      <c r="K464" s="11"/>
      <c r="L464" s="12"/>
      <c r="M464" s="11"/>
      <c r="N464" s="11"/>
      <c r="O464" s="13"/>
      <c r="P464" s="14"/>
      <c r="Q464" s="13"/>
      <c r="R464" s="13"/>
      <c r="S464" s="15"/>
      <c r="T464" s="16"/>
      <c r="U464" s="16"/>
      <c r="V464" s="16"/>
      <c r="W464" s="16"/>
      <c r="X464" s="16"/>
      <c r="Y464" s="11"/>
      <c r="Z464" s="11"/>
      <c r="AA464" s="11"/>
      <c r="AB464" s="11"/>
      <c r="AC464" s="11"/>
      <c r="AD464" s="11"/>
    </row>
    <row r="465">
      <c r="A465" s="10"/>
      <c r="B465" s="10"/>
      <c r="C465" s="10"/>
      <c r="D465" s="10"/>
      <c r="E465" s="10"/>
      <c r="F465" s="11"/>
      <c r="G465" s="11"/>
      <c r="H465" s="11"/>
      <c r="I465" s="11"/>
      <c r="J465" s="11" t="str">
        <f>IFERROR(__xludf.DUMMYFUNCTION("iferror(if($B465="""", ,filter(Playoff_Stats!F:Z,Playoff_Stats!A:A=$B465,Playoff_Stats!B:B=$A465)))"),"")</f>
        <v/>
      </c>
      <c r="K465" s="11"/>
      <c r="L465" s="12"/>
      <c r="M465" s="11"/>
      <c r="N465" s="11"/>
      <c r="O465" s="13"/>
      <c r="P465" s="14"/>
      <c r="Q465" s="13"/>
      <c r="R465" s="13"/>
      <c r="S465" s="15"/>
      <c r="T465" s="16"/>
      <c r="U465" s="16"/>
      <c r="V465" s="16"/>
      <c r="W465" s="16"/>
      <c r="X465" s="16"/>
      <c r="Y465" s="11"/>
      <c r="Z465" s="11"/>
      <c r="AA465" s="11"/>
      <c r="AB465" s="11"/>
      <c r="AC465" s="11"/>
      <c r="AD465" s="11"/>
    </row>
    <row r="466">
      <c r="A466" s="10"/>
      <c r="B466" s="10"/>
      <c r="C466" s="10"/>
      <c r="D466" s="10"/>
      <c r="E466" s="10"/>
      <c r="F466" s="11"/>
      <c r="G466" s="11"/>
      <c r="H466" s="11"/>
      <c r="I466" s="11"/>
      <c r="J466" s="11" t="str">
        <f>IFERROR(__xludf.DUMMYFUNCTION("iferror(if($B466="""", ,filter(Playoff_Stats!F:Z,Playoff_Stats!A:A=$B466,Playoff_Stats!B:B=$A466)))"),"")</f>
        <v/>
      </c>
      <c r="K466" s="11"/>
      <c r="L466" s="12"/>
      <c r="M466" s="11"/>
      <c r="N466" s="11"/>
      <c r="O466" s="13"/>
      <c r="P466" s="14"/>
      <c r="Q466" s="13"/>
      <c r="R466" s="13"/>
      <c r="S466" s="15"/>
      <c r="T466" s="16"/>
      <c r="U466" s="16"/>
      <c r="V466" s="16"/>
      <c r="W466" s="16"/>
      <c r="X466" s="16"/>
      <c r="Y466" s="11"/>
      <c r="Z466" s="11"/>
      <c r="AA466" s="11"/>
      <c r="AB466" s="11"/>
      <c r="AC466" s="11"/>
      <c r="AD466" s="11"/>
    </row>
    <row r="467">
      <c r="A467" s="10"/>
      <c r="B467" s="10"/>
      <c r="C467" s="10"/>
      <c r="D467" s="10"/>
      <c r="E467" s="10"/>
      <c r="F467" s="11"/>
      <c r="G467" s="11"/>
      <c r="H467" s="11"/>
      <c r="I467" s="11"/>
      <c r="J467" s="11" t="str">
        <f>IFERROR(__xludf.DUMMYFUNCTION("iferror(if($B467="""", ,filter(Playoff_Stats!F:Z,Playoff_Stats!A:A=$B467,Playoff_Stats!B:B=$A467)))"),"")</f>
        <v/>
      </c>
      <c r="K467" s="11"/>
      <c r="L467" s="12"/>
      <c r="M467" s="11"/>
      <c r="N467" s="11"/>
      <c r="O467" s="13"/>
      <c r="P467" s="14"/>
      <c r="Q467" s="13"/>
      <c r="R467" s="13"/>
      <c r="S467" s="15"/>
      <c r="T467" s="16"/>
      <c r="U467" s="16"/>
      <c r="V467" s="16"/>
      <c r="W467" s="16"/>
      <c r="X467" s="16"/>
      <c r="Y467" s="11"/>
      <c r="Z467" s="11"/>
      <c r="AA467" s="11"/>
      <c r="AB467" s="11"/>
      <c r="AC467" s="11"/>
      <c r="AD467" s="11"/>
    </row>
    <row r="468">
      <c r="A468" s="10"/>
      <c r="B468" s="10"/>
      <c r="C468" s="10"/>
      <c r="D468" s="10"/>
      <c r="E468" s="10"/>
      <c r="F468" s="11"/>
      <c r="G468" s="11"/>
      <c r="H468" s="11"/>
      <c r="I468" s="11"/>
      <c r="J468" s="11" t="str">
        <f>IFERROR(__xludf.DUMMYFUNCTION("iferror(if($B468="""", ,filter(Playoff_Stats!F:Z,Playoff_Stats!A:A=$B468,Playoff_Stats!B:B=$A468)))"),"")</f>
        <v/>
      </c>
      <c r="K468" s="11"/>
      <c r="L468" s="12"/>
      <c r="M468" s="11"/>
      <c r="N468" s="11"/>
      <c r="O468" s="13"/>
      <c r="P468" s="14"/>
      <c r="Q468" s="13"/>
      <c r="R468" s="13"/>
      <c r="S468" s="15"/>
      <c r="T468" s="16"/>
      <c r="U468" s="16"/>
      <c r="V468" s="16"/>
      <c r="W468" s="16"/>
      <c r="X468" s="16"/>
      <c r="Y468" s="11"/>
      <c r="Z468" s="11"/>
      <c r="AA468" s="11"/>
      <c r="AB468" s="11"/>
      <c r="AC468" s="11"/>
      <c r="AD468" s="11"/>
    </row>
    <row r="469">
      <c r="A469" s="10"/>
      <c r="B469" s="10"/>
      <c r="C469" s="10"/>
      <c r="D469" s="10"/>
      <c r="E469" s="10"/>
      <c r="F469" s="11"/>
      <c r="G469" s="11"/>
      <c r="H469" s="11"/>
      <c r="I469" s="11"/>
      <c r="J469" s="11" t="str">
        <f>IFERROR(__xludf.DUMMYFUNCTION("iferror(if($B469="""", ,filter(Playoff_Stats!F:Z,Playoff_Stats!A:A=$B469,Playoff_Stats!B:B=$A469)))"),"")</f>
        <v/>
      </c>
      <c r="K469" s="11"/>
      <c r="L469" s="12"/>
      <c r="M469" s="11"/>
      <c r="N469" s="11"/>
      <c r="O469" s="13"/>
      <c r="P469" s="14"/>
      <c r="Q469" s="13"/>
      <c r="R469" s="13"/>
      <c r="S469" s="15"/>
      <c r="T469" s="16"/>
      <c r="U469" s="16"/>
      <c r="V469" s="16"/>
      <c r="W469" s="16"/>
      <c r="X469" s="16"/>
      <c r="Y469" s="11"/>
      <c r="Z469" s="11"/>
      <c r="AA469" s="11"/>
      <c r="AB469" s="11"/>
      <c r="AC469" s="11"/>
      <c r="AD469" s="11"/>
    </row>
    <row r="470">
      <c r="A470" s="10"/>
      <c r="B470" s="10"/>
      <c r="C470" s="10"/>
      <c r="D470" s="10"/>
      <c r="E470" s="10"/>
      <c r="F470" s="11"/>
      <c r="G470" s="11"/>
      <c r="H470" s="11"/>
      <c r="I470" s="11"/>
      <c r="J470" s="11" t="str">
        <f>IFERROR(__xludf.DUMMYFUNCTION("iferror(if($B470="""", ,filter(Playoff_Stats!F:Z,Playoff_Stats!A:A=$B470,Playoff_Stats!B:B=$A470)))"),"")</f>
        <v/>
      </c>
      <c r="K470" s="11"/>
      <c r="L470" s="12"/>
      <c r="M470" s="11"/>
      <c r="N470" s="11"/>
      <c r="O470" s="13"/>
      <c r="P470" s="14"/>
      <c r="Q470" s="13"/>
      <c r="R470" s="13"/>
      <c r="S470" s="15"/>
      <c r="T470" s="16"/>
      <c r="U470" s="16"/>
      <c r="V470" s="16"/>
      <c r="W470" s="16"/>
      <c r="X470" s="16"/>
      <c r="Y470" s="11"/>
      <c r="Z470" s="11"/>
      <c r="AA470" s="11"/>
      <c r="AB470" s="11"/>
      <c r="AC470" s="11"/>
      <c r="AD470" s="11"/>
    </row>
    <row r="471">
      <c r="A471" s="10"/>
      <c r="B471" s="10"/>
      <c r="C471" s="10"/>
      <c r="D471" s="10"/>
      <c r="E471" s="10"/>
      <c r="F471" s="11"/>
      <c r="G471" s="11"/>
      <c r="H471" s="11"/>
      <c r="I471" s="11"/>
      <c r="J471" s="11" t="str">
        <f>IFERROR(__xludf.DUMMYFUNCTION("iferror(if($B471="""", ,filter(Playoff_Stats!F:Z,Playoff_Stats!A:A=$B471,Playoff_Stats!B:B=$A471)))"),"")</f>
        <v/>
      </c>
      <c r="K471" s="11"/>
      <c r="L471" s="12"/>
      <c r="M471" s="11"/>
      <c r="N471" s="11"/>
      <c r="O471" s="13"/>
      <c r="P471" s="14"/>
      <c r="Q471" s="13"/>
      <c r="R471" s="13"/>
      <c r="S471" s="15"/>
      <c r="T471" s="16"/>
      <c r="U471" s="16"/>
      <c r="V471" s="16"/>
      <c r="W471" s="16"/>
      <c r="X471" s="16"/>
      <c r="Y471" s="11"/>
      <c r="Z471" s="11"/>
      <c r="AA471" s="11"/>
      <c r="AB471" s="11"/>
      <c r="AC471" s="11"/>
      <c r="AD471" s="11"/>
    </row>
    <row r="472">
      <c r="A472" s="10"/>
      <c r="B472" s="10"/>
      <c r="C472" s="10"/>
      <c r="D472" s="10"/>
      <c r="E472" s="10"/>
      <c r="F472" s="11"/>
      <c r="G472" s="11"/>
      <c r="H472" s="11"/>
      <c r="I472" s="11"/>
      <c r="J472" s="11" t="str">
        <f>IFERROR(__xludf.DUMMYFUNCTION("iferror(if($B472="""", ,filter(Playoff_Stats!F:Z,Playoff_Stats!A:A=$B472,Playoff_Stats!B:B=$A472)))"),"")</f>
        <v/>
      </c>
      <c r="K472" s="11"/>
      <c r="L472" s="12"/>
      <c r="M472" s="11"/>
      <c r="N472" s="11"/>
      <c r="O472" s="13"/>
      <c r="P472" s="14"/>
      <c r="Q472" s="13"/>
      <c r="R472" s="13"/>
      <c r="S472" s="15"/>
      <c r="T472" s="16"/>
      <c r="U472" s="16"/>
      <c r="V472" s="16"/>
      <c r="W472" s="16"/>
      <c r="X472" s="16"/>
      <c r="Y472" s="11"/>
      <c r="Z472" s="11"/>
      <c r="AA472" s="11"/>
      <c r="AB472" s="11"/>
      <c r="AC472" s="11"/>
      <c r="AD472" s="11"/>
    </row>
    <row r="473">
      <c r="A473" s="10"/>
      <c r="B473" s="10"/>
      <c r="C473" s="10"/>
      <c r="D473" s="10"/>
      <c r="E473" s="10"/>
      <c r="F473" s="11"/>
      <c r="G473" s="11"/>
      <c r="H473" s="11"/>
      <c r="I473" s="11"/>
      <c r="J473" s="11" t="str">
        <f>IFERROR(__xludf.DUMMYFUNCTION("iferror(if($B473="""", ,filter(Playoff_Stats!F:Z,Playoff_Stats!A:A=$B473,Playoff_Stats!B:B=$A473)))"),"")</f>
        <v/>
      </c>
      <c r="K473" s="11"/>
      <c r="L473" s="12"/>
      <c r="M473" s="11"/>
      <c r="N473" s="11"/>
      <c r="O473" s="13"/>
      <c r="P473" s="14"/>
      <c r="Q473" s="13"/>
      <c r="R473" s="13"/>
      <c r="S473" s="15"/>
      <c r="T473" s="16"/>
      <c r="U473" s="16"/>
      <c r="V473" s="16"/>
      <c r="W473" s="16"/>
      <c r="X473" s="16"/>
      <c r="Y473" s="11"/>
      <c r="Z473" s="11"/>
      <c r="AA473" s="11"/>
      <c r="AB473" s="11"/>
      <c r="AC473" s="11"/>
      <c r="AD473" s="11"/>
    </row>
    <row r="474">
      <c r="A474" s="10"/>
      <c r="B474" s="10"/>
      <c r="C474" s="10"/>
      <c r="D474" s="10"/>
      <c r="E474" s="10"/>
      <c r="F474" s="11"/>
      <c r="G474" s="11"/>
      <c r="H474" s="11"/>
      <c r="I474" s="11"/>
      <c r="J474" s="11" t="str">
        <f>IFERROR(__xludf.DUMMYFUNCTION("iferror(if($B474="""", ,filter(Playoff_Stats!F:Z,Playoff_Stats!A:A=$B474,Playoff_Stats!B:B=$A474)))"),"")</f>
        <v/>
      </c>
      <c r="K474" s="11"/>
      <c r="L474" s="12"/>
      <c r="M474" s="11"/>
      <c r="N474" s="11"/>
      <c r="O474" s="13"/>
      <c r="P474" s="14"/>
      <c r="Q474" s="13"/>
      <c r="R474" s="13"/>
      <c r="S474" s="15"/>
      <c r="T474" s="16"/>
      <c r="U474" s="16"/>
      <c r="V474" s="16"/>
      <c r="W474" s="16"/>
      <c r="X474" s="16"/>
      <c r="Y474" s="11"/>
      <c r="Z474" s="11"/>
      <c r="AA474" s="11"/>
      <c r="AB474" s="11"/>
      <c r="AC474" s="11"/>
      <c r="AD474" s="11"/>
    </row>
    <row r="475">
      <c r="A475" s="10"/>
      <c r="B475" s="10"/>
      <c r="C475" s="10"/>
      <c r="D475" s="10"/>
      <c r="E475" s="10"/>
      <c r="F475" s="11"/>
      <c r="G475" s="11"/>
      <c r="H475" s="11"/>
      <c r="I475" s="11"/>
      <c r="J475" s="11" t="str">
        <f>IFERROR(__xludf.DUMMYFUNCTION("iferror(if($B475="""", ,filter(Playoff_Stats!F:Z,Playoff_Stats!A:A=$B475,Playoff_Stats!B:B=$A475)))"),"")</f>
        <v/>
      </c>
      <c r="K475" s="11"/>
      <c r="L475" s="12"/>
      <c r="M475" s="11"/>
      <c r="N475" s="11"/>
      <c r="O475" s="13"/>
      <c r="P475" s="14"/>
      <c r="Q475" s="13"/>
      <c r="R475" s="13"/>
      <c r="S475" s="15"/>
      <c r="T475" s="16"/>
      <c r="U475" s="16"/>
      <c r="V475" s="16"/>
      <c r="W475" s="16"/>
      <c r="X475" s="16"/>
      <c r="Y475" s="11"/>
      <c r="Z475" s="11"/>
      <c r="AA475" s="11"/>
      <c r="AB475" s="11"/>
      <c r="AC475" s="11"/>
      <c r="AD475" s="11"/>
    </row>
    <row r="476">
      <c r="A476" s="10"/>
      <c r="B476" s="10"/>
      <c r="C476" s="10"/>
      <c r="D476" s="10"/>
      <c r="E476" s="10"/>
      <c r="F476" s="11"/>
      <c r="G476" s="11"/>
      <c r="H476" s="11"/>
      <c r="I476" s="11"/>
      <c r="J476" s="11" t="str">
        <f>IFERROR(__xludf.DUMMYFUNCTION("iferror(if($B476="""", ,filter(Playoff_Stats!F:Z,Playoff_Stats!A:A=$B476,Playoff_Stats!B:B=$A476)))"),"")</f>
        <v/>
      </c>
      <c r="K476" s="11"/>
      <c r="L476" s="12"/>
      <c r="M476" s="11"/>
      <c r="N476" s="11"/>
      <c r="O476" s="13"/>
      <c r="P476" s="14"/>
      <c r="Q476" s="13"/>
      <c r="R476" s="13"/>
      <c r="S476" s="15"/>
      <c r="T476" s="16"/>
      <c r="U476" s="16"/>
      <c r="V476" s="16"/>
      <c r="W476" s="16"/>
      <c r="X476" s="16"/>
      <c r="Y476" s="11"/>
      <c r="Z476" s="11"/>
      <c r="AA476" s="11"/>
      <c r="AB476" s="11"/>
      <c r="AC476" s="11"/>
      <c r="AD476" s="11"/>
    </row>
    <row r="477">
      <c r="A477" s="10"/>
      <c r="B477" s="10"/>
      <c r="C477" s="10"/>
      <c r="D477" s="10"/>
      <c r="E477" s="10"/>
      <c r="F477" s="11"/>
      <c r="G477" s="11"/>
      <c r="H477" s="11"/>
      <c r="I477" s="11"/>
      <c r="J477" s="11" t="str">
        <f>IFERROR(__xludf.DUMMYFUNCTION("iferror(if($B477="""", ,filter(Playoff_Stats!F:Z,Playoff_Stats!A:A=$B477,Playoff_Stats!B:B=$A477)))"),"")</f>
        <v/>
      </c>
      <c r="K477" s="11"/>
      <c r="L477" s="12"/>
      <c r="M477" s="11"/>
      <c r="N477" s="11"/>
      <c r="O477" s="13"/>
      <c r="P477" s="14"/>
      <c r="Q477" s="13"/>
      <c r="R477" s="13"/>
      <c r="S477" s="15"/>
      <c r="T477" s="16"/>
      <c r="U477" s="16"/>
      <c r="V477" s="16"/>
      <c r="W477" s="16"/>
      <c r="X477" s="16"/>
      <c r="Y477" s="11"/>
      <c r="Z477" s="11"/>
      <c r="AA477" s="11"/>
      <c r="AB477" s="11"/>
      <c r="AC477" s="11"/>
      <c r="AD477" s="11"/>
    </row>
    <row r="478">
      <c r="A478" s="10"/>
      <c r="B478" s="10"/>
      <c r="C478" s="10"/>
      <c r="D478" s="10"/>
      <c r="E478" s="10"/>
      <c r="F478" s="11"/>
      <c r="G478" s="11"/>
      <c r="H478" s="11"/>
      <c r="I478" s="11"/>
      <c r="J478" s="11" t="str">
        <f>IFERROR(__xludf.DUMMYFUNCTION("iferror(if($B478="""", ,filter(Playoff_Stats!F:Z,Playoff_Stats!A:A=$B478,Playoff_Stats!B:B=$A478)))"),"")</f>
        <v/>
      </c>
      <c r="K478" s="11"/>
      <c r="L478" s="12"/>
      <c r="M478" s="11"/>
      <c r="N478" s="11"/>
      <c r="O478" s="13"/>
      <c r="P478" s="14"/>
      <c r="Q478" s="13"/>
      <c r="R478" s="13"/>
      <c r="S478" s="15"/>
      <c r="T478" s="16"/>
      <c r="U478" s="16"/>
      <c r="V478" s="16"/>
      <c r="W478" s="16"/>
      <c r="X478" s="16"/>
      <c r="Y478" s="11"/>
      <c r="Z478" s="11"/>
      <c r="AA478" s="11"/>
      <c r="AB478" s="11"/>
      <c r="AC478" s="11"/>
      <c r="AD478" s="11"/>
    </row>
    <row r="479">
      <c r="A479" s="10"/>
      <c r="B479" s="10"/>
      <c r="C479" s="10"/>
      <c r="D479" s="10"/>
      <c r="E479" s="10"/>
      <c r="F479" s="11"/>
      <c r="G479" s="11"/>
      <c r="H479" s="11"/>
      <c r="I479" s="11"/>
      <c r="J479" s="11" t="str">
        <f>IFERROR(__xludf.DUMMYFUNCTION("iferror(if($B479="""", ,filter(Playoff_Stats!F:Z,Playoff_Stats!A:A=$B479,Playoff_Stats!B:B=$A479)))"),"")</f>
        <v/>
      </c>
      <c r="K479" s="11"/>
      <c r="L479" s="12"/>
      <c r="M479" s="11"/>
      <c r="N479" s="11"/>
      <c r="O479" s="13"/>
      <c r="P479" s="14"/>
      <c r="Q479" s="13"/>
      <c r="R479" s="13"/>
      <c r="S479" s="15"/>
      <c r="T479" s="16"/>
      <c r="U479" s="16"/>
      <c r="V479" s="16"/>
      <c r="W479" s="16"/>
      <c r="X479" s="16"/>
      <c r="Y479" s="11"/>
      <c r="Z479" s="11"/>
      <c r="AA479" s="11"/>
      <c r="AB479" s="11"/>
      <c r="AC479" s="11"/>
      <c r="AD479" s="11"/>
    </row>
    <row r="480">
      <c r="A480" s="10"/>
      <c r="B480" s="10"/>
      <c r="C480" s="10"/>
      <c r="D480" s="10"/>
      <c r="E480" s="10"/>
      <c r="F480" s="11"/>
      <c r="G480" s="11"/>
      <c r="H480" s="11"/>
      <c r="I480" s="11"/>
      <c r="J480" s="11" t="str">
        <f>IFERROR(__xludf.DUMMYFUNCTION("iferror(if($B480="""", ,filter(Playoff_Stats!F:Z,Playoff_Stats!A:A=$B480,Playoff_Stats!B:B=$A480)))"),"")</f>
        <v/>
      </c>
      <c r="K480" s="11"/>
      <c r="L480" s="12"/>
      <c r="M480" s="11"/>
      <c r="N480" s="11"/>
      <c r="O480" s="13"/>
      <c r="P480" s="14"/>
      <c r="Q480" s="13"/>
      <c r="R480" s="13"/>
      <c r="S480" s="15"/>
      <c r="T480" s="16"/>
      <c r="U480" s="16"/>
      <c r="V480" s="16"/>
      <c r="W480" s="16"/>
      <c r="X480" s="16"/>
      <c r="Y480" s="11"/>
      <c r="Z480" s="11"/>
      <c r="AA480" s="11"/>
      <c r="AB480" s="11"/>
      <c r="AC480" s="11"/>
      <c r="AD480" s="11"/>
    </row>
    <row r="481">
      <c r="A481" s="10"/>
      <c r="B481" s="10"/>
      <c r="C481" s="10"/>
      <c r="D481" s="10"/>
      <c r="E481" s="10"/>
      <c r="F481" s="11"/>
      <c r="G481" s="11"/>
      <c r="H481" s="11"/>
      <c r="I481" s="11"/>
      <c r="J481" s="11" t="str">
        <f>IFERROR(__xludf.DUMMYFUNCTION("iferror(if($B481="""", ,filter(Playoff_Stats!F:Z,Playoff_Stats!A:A=$B481,Playoff_Stats!B:B=$A481)))"),"")</f>
        <v/>
      </c>
      <c r="K481" s="11"/>
      <c r="L481" s="12"/>
      <c r="M481" s="11"/>
      <c r="N481" s="11"/>
      <c r="O481" s="13"/>
      <c r="P481" s="14"/>
      <c r="Q481" s="13"/>
      <c r="R481" s="13"/>
      <c r="S481" s="15"/>
      <c r="T481" s="16"/>
      <c r="U481" s="16"/>
      <c r="V481" s="16"/>
      <c r="W481" s="16"/>
      <c r="X481" s="16"/>
      <c r="Y481" s="11"/>
      <c r="Z481" s="11"/>
      <c r="AA481" s="11"/>
      <c r="AB481" s="11"/>
      <c r="AC481" s="11"/>
      <c r="AD481" s="11"/>
    </row>
    <row r="482">
      <c r="A482" s="10"/>
      <c r="B482" s="10"/>
      <c r="C482" s="10"/>
      <c r="D482" s="10"/>
      <c r="E482" s="10"/>
      <c r="F482" s="11"/>
      <c r="G482" s="11"/>
      <c r="H482" s="11"/>
      <c r="I482" s="11"/>
      <c r="J482" s="11" t="str">
        <f>IFERROR(__xludf.DUMMYFUNCTION("iferror(if($B482="""", ,filter(Playoff_Stats!F:Z,Playoff_Stats!A:A=$B482,Playoff_Stats!B:B=$A482)))"),"")</f>
        <v/>
      </c>
      <c r="K482" s="11"/>
      <c r="L482" s="12"/>
      <c r="M482" s="11"/>
      <c r="N482" s="11"/>
      <c r="O482" s="13"/>
      <c r="P482" s="14"/>
      <c r="Q482" s="13"/>
      <c r="R482" s="13"/>
      <c r="S482" s="15"/>
      <c r="T482" s="16"/>
      <c r="U482" s="16"/>
      <c r="V482" s="16"/>
      <c r="W482" s="16"/>
      <c r="X482" s="16"/>
      <c r="Y482" s="11"/>
      <c r="Z482" s="11"/>
      <c r="AA482" s="11"/>
      <c r="AB482" s="11"/>
      <c r="AC482" s="11"/>
      <c r="AD482" s="11"/>
    </row>
    <row r="483">
      <c r="A483" s="10"/>
      <c r="B483" s="10"/>
      <c r="C483" s="10"/>
      <c r="D483" s="10"/>
      <c r="E483" s="10"/>
      <c r="F483" s="11"/>
      <c r="G483" s="11"/>
      <c r="H483" s="11"/>
      <c r="I483" s="11"/>
      <c r="J483" s="11" t="str">
        <f>IFERROR(__xludf.DUMMYFUNCTION("iferror(if($B483="""", ,filter(Playoff_Stats!F:Z,Playoff_Stats!A:A=$B483,Playoff_Stats!B:B=$A483)))"),"")</f>
        <v/>
      </c>
      <c r="K483" s="11"/>
      <c r="L483" s="12"/>
      <c r="M483" s="11"/>
      <c r="N483" s="11"/>
      <c r="O483" s="13"/>
      <c r="P483" s="14"/>
      <c r="Q483" s="13"/>
      <c r="R483" s="13"/>
      <c r="S483" s="15"/>
      <c r="T483" s="16"/>
      <c r="U483" s="16"/>
      <c r="V483" s="16"/>
      <c r="W483" s="16"/>
      <c r="X483" s="16"/>
      <c r="Y483" s="11"/>
      <c r="Z483" s="11"/>
      <c r="AA483" s="11"/>
      <c r="AB483" s="11"/>
      <c r="AC483" s="11"/>
      <c r="AD483" s="11"/>
    </row>
    <row r="484">
      <c r="A484" s="10"/>
      <c r="B484" s="10"/>
      <c r="C484" s="10"/>
      <c r="D484" s="10"/>
      <c r="E484" s="10"/>
      <c r="F484" s="11"/>
      <c r="G484" s="11"/>
      <c r="H484" s="11"/>
      <c r="I484" s="11"/>
      <c r="J484" s="11" t="str">
        <f>IFERROR(__xludf.DUMMYFUNCTION("iferror(if($B484="""", ,filter(Playoff_Stats!F:Z,Playoff_Stats!A:A=$B484,Playoff_Stats!B:B=$A484)))"),"")</f>
        <v/>
      </c>
      <c r="K484" s="11"/>
      <c r="L484" s="12"/>
      <c r="M484" s="11"/>
      <c r="N484" s="11"/>
      <c r="O484" s="13"/>
      <c r="P484" s="14"/>
      <c r="Q484" s="13"/>
      <c r="R484" s="13"/>
      <c r="S484" s="15"/>
      <c r="T484" s="16"/>
      <c r="U484" s="16"/>
      <c r="V484" s="16"/>
      <c r="W484" s="16"/>
      <c r="X484" s="16"/>
      <c r="Y484" s="11"/>
      <c r="Z484" s="11"/>
      <c r="AA484" s="11"/>
      <c r="AB484" s="11"/>
      <c r="AC484" s="11"/>
      <c r="AD484" s="11"/>
    </row>
    <row r="485">
      <c r="A485" s="10"/>
      <c r="B485" s="10"/>
      <c r="C485" s="10"/>
      <c r="D485" s="10"/>
      <c r="E485" s="10"/>
      <c r="F485" s="11"/>
      <c r="G485" s="11"/>
      <c r="H485" s="11"/>
      <c r="I485" s="11"/>
      <c r="J485" s="11" t="str">
        <f>IFERROR(__xludf.DUMMYFUNCTION("iferror(if($B485="""", ,filter(Playoff_Stats!F:Z,Playoff_Stats!A:A=$B485,Playoff_Stats!B:B=$A485)))"),"")</f>
        <v/>
      </c>
      <c r="K485" s="11"/>
      <c r="L485" s="12"/>
      <c r="M485" s="11"/>
      <c r="N485" s="11"/>
      <c r="O485" s="13"/>
      <c r="P485" s="14"/>
      <c r="Q485" s="13"/>
      <c r="R485" s="13"/>
      <c r="S485" s="15"/>
      <c r="T485" s="16"/>
      <c r="U485" s="16"/>
      <c r="V485" s="16"/>
      <c r="W485" s="16"/>
      <c r="X485" s="16"/>
      <c r="Y485" s="11"/>
      <c r="Z485" s="11"/>
      <c r="AA485" s="11"/>
      <c r="AB485" s="11"/>
      <c r="AC485" s="11"/>
      <c r="AD485" s="11"/>
    </row>
    <row r="486">
      <c r="A486" s="10"/>
      <c r="B486" s="10"/>
      <c r="C486" s="10"/>
      <c r="D486" s="10"/>
      <c r="E486" s="10"/>
      <c r="F486" s="11"/>
      <c r="G486" s="11"/>
      <c r="H486" s="11"/>
      <c r="I486" s="11"/>
      <c r="J486" s="11" t="str">
        <f>IFERROR(__xludf.DUMMYFUNCTION("iferror(if($B486="""", ,filter(Playoff_Stats!F:Z,Playoff_Stats!A:A=$B486,Playoff_Stats!B:B=$A486)))"),"")</f>
        <v/>
      </c>
      <c r="K486" s="11"/>
      <c r="L486" s="12"/>
      <c r="M486" s="11"/>
      <c r="N486" s="11"/>
      <c r="O486" s="13"/>
      <c r="P486" s="14"/>
      <c r="Q486" s="13"/>
      <c r="R486" s="13"/>
      <c r="S486" s="15"/>
      <c r="T486" s="16"/>
      <c r="U486" s="16"/>
      <c r="V486" s="16"/>
      <c r="W486" s="16"/>
      <c r="X486" s="16"/>
      <c r="Y486" s="11"/>
      <c r="Z486" s="11"/>
      <c r="AA486" s="11"/>
      <c r="AB486" s="11"/>
      <c r="AC486" s="11"/>
      <c r="AD486" s="11"/>
    </row>
    <row r="487">
      <c r="A487" s="10"/>
      <c r="B487" s="10"/>
      <c r="C487" s="10"/>
      <c r="D487" s="10"/>
      <c r="E487" s="10"/>
      <c r="F487" s="11"/>
      <c r="G487" s="11"/>
      <c r="H487" s="11"/>
      <c r="I487" s="11"/>
      <c r="J487" s="11" t="str">
        <f>IFERROR(__xludf.DUMMYFUNCTION("iferror(if($B487="""", ,filter(Playoff_Stats!F:Z,Playoff_Stats!A:A=$B487,Playoff_Stats!B:B=$A487)))"),"")</f>
        <v/>
      </c>
      <c r="K487" s="11"/>
      <c r="L487" s="12"/>
      <c r="M487" s="11"/>
      <c r="N487" s="11"/>
      <c r="O487" s="13"/>
      <c r="P487" s="14"/>
      <c r="Q487" s="13"/>
      <c r="R487" s="13"/>
      <c r="S487" s="15"/>
      <c r="T487" s="16"/>
      <c r="U487" s="16"/>
      <c r="V487" s="16"/>
      <c r="W487" s="16"/>
      <c r="X487" s="16"/>
      <c r="Y487" s="11"/>
      <c r="Z487" s="11"/>
      <c r="AA487" s="11"/>
      <c r="AB487" s="11"/>
      <c r="AC487" s="11"/>
      <c r="AD487" s="11"/>
    </row>
    <row r="488">
      <c r="A488" s="10"/>
      <c r="B488" s="10"/>
      <c r="C488" s="10"/>
      <c r="D488" s="10"/>
      <c r="E488" s="10"/>
      <c r="F488" s="11"/>
      <c r="G488" s="11"/>
      <c r="H488" s="11"/>
      <c r="I488" s="11"/>
      <c r="J488" s="11" t="str">
        <f>IFERROR(__xludf.DUMMYFUNCTION("iferror(if($B488="""", ,filter(Playoff_Stats!F:Z,Playoff_Stats!A:A=$B488,Playoff_Stats!B:B=$A488)))"),"")</f>
        <v/>
      </c>
      <c r="K488" s="11"/>
      <c r="L488" s="12"/>
      <c r="M488" s="11"/>
      <c r="N488" s="11"/>
      <c r="O488" s="13"/>
      <c r="P488" s="14"/>
      <c r="Q488" s="13"/>
      <c r="R488" s="13"/>
      <c r="S488" s="15"/>
      <c r="T488" s="16"/>
      <c r="U488" s="16"/>
      <c r="V488" s="16"/>
      <c r="W488" s="16"/>
      <c r="X488" s="16"/>
      <c r="Y488" s="11"/>
      <c r="Z488" s="11"/>
      <c r="AA488" s="11"/>
      <c r="AB488" s="11"/>
      <c r="AC488" s="11"/>
      <c r="AD488" s="11"/>
    </row>
    <row r="489">
      <c r="A489" s="10"/>
      <c r="B489" s="10"/>
      <c r="C489" s="10"/>
      <c r="D489" s="10"/>
      <c r="E489" s="10"/>
      <c r="F489" s="11"/>
      <c r="G489" s="11"/>
      <c r="H489" s="11"/>
      <c r="I489" s="11"/>
      <c r="J489" s="11" t="str">
        <f>IFERROR(__xludf.DUMMYFUNCTION("iferror(if($B489="""", ,filter(Playoff_Stats!F:Z,Playoff_Stats!A:A=$B489,Playoff_Stats!B:B=$A489)))"),"")</f>
        <v/>
      </c>
      <c r="K489" s="11"/>
      <c r="L489" s="12"/>
      <c r="M489" s="11"/>
      <c r="N489" s="11"/>
      <c r="O489" s="13"/>
      <c r="P489" s="14"/>
      <c r="Q489" s="13"/>
      <c r="R489" s="13"/>
      <c r="S489" s="15"/>
      <c r="T489" s="16"/>
      <c r="U489" s="16"/>
      <c r="V489" s="16"/>
      <c r="W489" s="16"/>
      <c r="X489" s="16"/>
      <c r="Y489" s="11"/>
      <c r="Z489" s="11"/>
      <c r="AA489" s="11"/>
      <c r="AB489" s="11"/>
      <c r="AC489" s="11"/>
      <c r="AD489" s="11"/>
    </row>
    <row r="490">
      <c r="A490" s="10"/>
      <c r="B490" s="10"/>
      <c r="C490" s="10"/>
      <c r="D490" s="10"/>
      <c r="E490" s="10"/>
      <c r="F490" s="11"/>
      <c r="G490" s="11"/>
      <c r="H490" s="11"/>
      <c r="I490" s="11"/>
      <c r="J490" s="11" t="str">
        <f>IFERROR(__xludf.DUMMYFUNCTION("iferror(if($B490="""", ,filter(Playoff_Stats!F:Z,Playoff_Stats!A:A=$B490,Playoff_Stats!B:B=$A490)))"),"")</f>
        <v/>
      </c>
      <c r="K490" s="11"/>
      <c r="L490" s="12"/>
      <c r="M490" s="11"/>
      <c r="N490" s="11"/>
      <c r="O490" s="13"/>
      <c r="P490" s="14"/>
      <c r="Q490" s="13"/>
      <c r="R490" s="13"/>
      <c r="S490" s="15"/>
      <c r="T490" s="16"/>
      <c r="U490" s="16"/>
      <c r="V490" s="16"/>
      <c r="W490" s="16"/>
      <c r="X490" s="16"/>
      <c r="Y490" s="11"/>
      <c r="Z490" s="11"/>
      <c r="AA490" s="11"/>
      <c r="AB490" s="11"/>
      <c r="AC490" s="11"/>
      <c r="AD490" s="11"/>
    </row>
    <row r="491">
      <c r="A491" s="10"/>
      <c r="B491" s="10"/>
      <c r="C491" s="10"/>
      <c r="D491" s="10"/>
      <c r="E491" s="10"/>
      <c r="F491" s="11"/>
      <c r="G491" s="11"/>
      <c r="H491" s="11"/>
      <c r="I491" s="11"/>
      <c r="J491" s="11" t="str">
        <f>IFERROR(__xludf.DUMMYFUNCTION("iferror(if($B491="""", ,filter(Playoff_Stats!F:Z,Playoff_Stats!A:A=$B491,Playoff_Stats!B:B=$A491)))"),"")</f>
        <v/>
      </c>
      <c r="K491" s="11"/>
      <c r="L491" s="12"/>
      <c r="M491" s="11"/>
      <c r="N491" s="11"/>
      <c r="O491" s="13"/>
      <c r="P491" s="14"/>
      <c r="Q491" s="13"/>
      <c r="R491" s="13"/>
      <c r="S491" s="15"/>
      <c r="T491" s="16"/>
      <c r="U491" s="16"/>
      <c r="V491" s="16"/>
      <c r="W491" s="16"/>
      <c r="X491" s="16"/>
      <c r="Y491" s="11"/>
      <c r="Z491" s="11"/>
      <c r="AA491" s="11"/>
      <c r="AB491" s="11"/>
      <c r="AC491" s="11"/>
      <c r="AD491" s="11"/>
    </row>
    <row r="492">
      <c r="A492" s="10"/>
      <c r="B492" s="10"/>
      <c r="C492" s="10"/>
      <c r="D492" s="10"/>
      <c r="E492" s="10"/>
      <c r="F492" s="11"/>
      <c r="G492" s="11"/>
      <c r="H492" s="11"/>
      <c r="I492" s="11"/>
      <c r="J492" s="11" t="str">
        <f>IFERROR(__xludf.DUMMYFUNCTION("iferror(if($B492="""", ,filter(Playoff_Stats!F:Z,Playoff_Stats!A:A=$B492,Playoff_Stats!B:B=$A492)))"),"")</f>
        <v/>
      </c>
      <c r="K492" s="11"/>
      <c r="L492" s="12"/>
      <c r="M492" s="11"/>
      <c r="N492" s="11"/>
      <c r="O492" s="13"/>
      <c r="P492" s="14"/>
      <c r="Q492" s="13"/>
      <c r="R492" s="13"/>
      <c r="S492" s="15"/>
      <c r="T492" s="16"/>
      <c r="U492" s="16"/>
      <c r="V492" s="16"/>
      <c r="W492" s="16"/>
      <c r="X492" s="16"/>
      <c r="Y492" s="11"/>
      <c r="Z492" s="11"/>
      <c r="AA492" s="11"/>
      <c r="AB492" s="11"/>
      <c r="AC492" s="11"/>
      <c r="AD492" s="11"/>
    </row>
    <row r="493">
      <c r="A493" s="10"/>
      <c r="B493" s="10"/>
      <c r="C493" s="10"/>
      <c r="D493" s="10"/>
      <c r="E493" s="10"/>
      <c r="F493" s="11"/>
      <c r="G493" s="11"/>
      <c r="H493" s="11"/>
      <c r="I493" s="11"/>
      <c r="J493" s="11" t="str">
        <f>IFERROR(__xludf.DUMMYFUNCTION("iferror(if($B493="""", ,filter(Playoff_Stats!F:Z,Playoff_Stats!A:A=$B493,Playoff_Stats!B:B=$A493)))"),"")</f>
        <v/>
      </c>
      <c r="K493" s="11"/>
      <c r="L493" s="12"/>
      <c r="M493" s="11"/>
      <c r="N493" s="11"/>
      <c r="O493" s="13"/>
      <c r="P493" s="14"/>
      <c r="Q493" s="13"/>
      <c r="R493" s="13"/>
      <c r="S493" s="15"/>
      <c r="T493" s="16"/>
      <c r="U493" s="16"/>
      <c r="V493" s="16"/>
      <c r="W493" s="16"/>
      <c r="X493" s="16"/>
      <c r="Y493" s="11"/>
      <c r="Z493" s="11"/>
      <c r="AA493" s="11"/>
      <c r="AB493" s="11"/>
      <c r="AC493" s="11"/>
      <c r="AD493" s="11"/>
    </row>
    <row r="494">
      <c r="A494" s="10"/>
      <c r="B494" s="10"/>
      <c r="C494" s="10"/>
      <c r="D494" s="10"/>
      <c r="E494" s="10"/>
      <c r="F494" s="11"/>
      <c r="G494" s="11"/>
      <c r="H494" s="11"/>
      <c r="I494" s="11"/>
      <c r="J494" s="11" t="str">
        <f>IFERROR(__xludf.DUMMYFUNCTION("iferror(if($B494="""", ,filter(Playoff_Stats!F:Z,Playoff_Stats!A:A=$B494,Playoff_Stats!B:B=$A494)))"),"")</f>
        <v/>
      </c>
      <c r="K494" s="11"/>
      <c r="L494" s="12"/>
      <c r="M494" s="11"/>
      <c r="N494" s="11"/>
      <c r="O494" s="13"/>
      <c r="P494" s="14"/>
      <c r="Q494" s="13"/>
      <c r="R494" s="13"/>
      <c r="S494" s="15"/>
      <c r="T494" s="16"/>
      <c r="U494" s="16"/>
      <c r="V494" s="16"/>
      <c r="W494" s="16"/>
      <c r="X494" s="16"/>
      <c r="Y494" s="11"/>
      <c r="Z494" s="11"/>
      <c r="AA494" s="11"/>
      <c r="AB494" s="11"/>
      <c r="AC494" s="11"/>
      <c r="AD494" s="11"/>
    </row>
    <row r="495">
      <c r="A495" s="10"/>
      <c r="B495" s="10"/>
      <c r="C495" s="10"/>
      <c r="D495" s="10"/>
      <c r="E495" s="10"/>
      <c r="F495" s="11"/>
      <c r="G495" s="11"/>
      <c r="H495" s="11"/>
      <c r="I495" s="11"/>
      <c r="J495" s="11" t="str">
        <f>IFERROR(__xludf.DUMMYFUNCTION("iferror(if($B495="""", ,filter(Playoff_Stats!F:Z,Playoff_Stats!A:A=$B495,Playoff_Stats!B:B=$A495)))"),"")</f>
        <v/>
      </c>
      <c r="K495" s="11"/>
      <c r="L495" s="12"/>
      <c r="M495" s="11"/>
      <c r="N495" s="11"/>
      <c r="O495" s="13"/>
      <c r="P495" s="14"/>
      <c r="Q495" s="13"/>
      <c r="R495" s="13"/>
      <c r="S495" s="15"/>
      <c r="T495" s="16"/>
      <c r="U495" s="16"/>
      <c r="V495" s="16"/>
      <c r="W495" s="16"/>
      <c r="X495" s="16"/>
      <c r="Y495" s="11"/>
      <c r="Z495" s="11"/>
      <c r="AA495" s="11"/>
      <c r="AB495" s="11"/>
      <c r="AC495" s="11"/>
      <c r="AD495" s="11"/>
    </row>
    <row r="496">
      <c r="A496" s="10"/>
      <c r="B496" s="10"/>
      <c r="C496" s="10"/>
      <c r="D496" s="10"/>
      <c r="E496" s="10"/>
      <c r="F496" s="11"/>
      <c r="G496" s="11"/>
      <c r="H496" s="11"/>
      <c r="I496" s="11"/>
      <c r="J496" s="11" t="str">
        <f>IFERROR(__xludf.DUMMYFUNCTION("iferror(if($B496="""", ,filter(Playoff_Stats!F:Z,Playoff_Stats!A:A=$B496,Playoff_Stats!B:B=$A496)))"),"")</f>
        <v/>
      </c>
      <c r="K496" s="11"/>
      <c r="L496" s="12"/>
      <c r="M496" s="11"/>
      <c r="N496" s="11"/>
      <c r="O496" s="13"/>
      <c r="P496" s="14"/>
      <c r="Q496" s="13"/>
      <c r="R496" s="13"/>
      <c r="S496" s="15"/>
      <c r="T496" s="16"/>
      <c r="U496" s="16"/>
      <c r="V496" s="16"/>
      <c r="W496" s="16"/>
      <c r="X496" s="16"/>
      <c r="Y496" s="11"/>
      <c r="Z496" s="11"/>
      <c r="AA496" s="11"/>
      <c r="AB496" s="11"/>
      <c r="AC496" s="11"/>
      <c r="AD496" s="11"/>
    </row>
    <row r="497">
      <c r="A497" s="10"/>
      <c r="B497" s="10"/>
      <c r="C497" s="10"/>
      <c r="D497" s="10"/>
      <c r="E497" s="10"/>
      <c r="F497" s="11"/>
      <c r="G497" s="11"/>
      <c r="H497" s="11"/>
      <c r="I497" s="11"/>
      <c r="J497" s="11" t="str">
        <f>IFERROR(__xludf.DUMMYFUNCTION("iferror(if($B497="""", ,filter(Playoff_Stats!F:Z,Playoff_Stats!A:A=$B497,Playoff_Stats!B:B=$A497)))"),"")</f>
        <v/>
      </c>
      <c r="K497" s="11"/>
      <c r="L497" s="12"/>
      <c r="M497" s="11"/>
      <c r="N497" s="11"/>
      <c r="O497" s="13"/>
      <c r="P497" s="14"/>
      <c r="Q497" s="13"/>
      <c r="R497" s="13"/>
      <c r="S497" s="15"/>
      <c r="T497" s="16"/>
      <c r="U497" s="16"/>
      <c r="V497" s="16"/>
      <c r="W497" s="16"/>
      <c r="X497" s="16"/>
      <c r="Y497" s="11"/>
      <c r="Z497" s="11"/>
      <c r="AA497" s="11"/>
      <c r="AB497" s="11"/>
      <c r="AC497" s="11"/>
      <c r="AD497" s="11"/>
    </row>
    <row r="498">
      <c r="A498" s="10"/>
      <c r="B498" s="10"/>
      <c r="C498" s="10"/>
      <c r="D498" s="10"/>
      <c r="E498" s="10"/>
      <c r="F498" s="11"/>
      <c r="G498" s="11"/>
      <c r="H498" s="11"/>
      <c r="I498" s="11"/>
      <c r="J498" s="11" t="str">
        <f>IFERROR(__xludf.DUMMYFUNCTION("iferror(if($B498="""", ,filter(Playoff_Stats!F:Z,Playoff_Stats!A:A=$B498,Playoff_Stats!B:B=$A498)))"),"")</f>
        <v/>
      </c>
      <c r="K498" s="11"/>
      <c r="L498" s="12"/>
      <c r="M498" s="11"/>
      <c r="N498" s="11"/>
      <c r="O498" s="13"/>
      <c r="P498" s="14"/>
      <c r="Q498" s="13"/>
      <c r="R498" s="13"/>
      <c r="S498" s="15"/>
      <c r="T498" s="16"/>
      <c r="U498" s="16"/>
      <c r="V498" s="16"/>
      <c r="W498" s="16"/>
      <c r="X498" s="16"/>
      <c r="Y498" s="11"/>
      <c r="Z498" s="11"/>
      <c r="AA498" s="11"/>
      <c r="AB498" s="11"/>
      <c r="AC498" s="11"/>
      <c r="AD498" s="11"/>
    </row>
    <row r="499">
      <c r="A499" s="10"/>
      <c r="B499" s="10"/>
      <c r="C499" s="10"/>
      <c r="D499" s="10"/>
      <c r="E499" s="10"/>
      <c r="F499" s="11"/>
      <c r="G499" s="11"/>
      <c r="H499" s="11"/>
      <c r="I499" s="11"/>
      <c r="J499" s="11" t="str">
        <f>IFERROR(__xludf.DUMMYFUNCTION("iferror(if($B499="""", ,filter(Playoff_Stats!F:Z,Playoff_Stats!A:A=$B499,Playoff_Stats!B:B=$A499)))"),"")</f>
        <v/>
      </c>
      <c r="K499" s="11"/>
      <c r="L499" s="12"/>
      <c r="M499" s="11"/>
      <c r="N499" s="11"/>
      <c r="O499" s="13"/>
      <c r="P499" s="14"/>
      <c r="Q499" s="13"/>
      <c r="R499" s="13"/>
      <c r="S499" s="15"/>
      <c r="T499" s="16"/>
      <c r="U499" s="16"/>
      <c r="V499" s="16"/>
      <c r="W499" s="16"/>
      <c r="X499" s="16"/>
      <c r="Y499" s="11"/>
      <c r="Z499" s="11"/>
      <c r="AA499" s="11"/>
      <c r="AB499" s="11"/>
      <c r="AC499" s="11"/>
      <c r="AD499" s="11"/>
    </row>
    <row r="500">
      <c r="A500" s="10"/>
      <c r="B500" s="10"/>
      <c r="C500" s="10"/>
      <c r="D500" s="10"/>
      <c r="E500" s="10"/>
      <c r="F500" s="11"/>
      <c r="G500" s="11"/>
      <c r="H500" s="11"/>
      <c r="I500" s="11"/>
      <c r="J500" s="11" t="str">
        <f>IFERROR(__xludf.DUMMYFUNCTION("iferror(if($B500="""", ,filter(Playoff_Stats!F:Z,Playoff_Stats!A:A=$B500,Playoff_Stats!B:B=$A500)))"),"")</f>
        <v/>
      </c>
      <c r="K500" s="11"/>
      <c r="L500" s="12"/>
      <c r="M500" s="11"/>
      <c r="N500" s="11"/>
      <c r="O500" s="13"/>
      <c r="P500" s="14"/>
      <c r="Q500" s="13"/>
      <c r="R500" s="13"/>
      <c r="S500" s="15"/>
      <c r="T500" s="16"/>
      <c r="U500" s="16"/>
      <c r="V500" s="16"/>
      <c r="W500" s="16"/>
      <c r="X500" s="16"/>
      <c r="Y500" s="11"/>
      <c r="Z500" s="11"/>
      <c r="AA500" s="11"/>
      <c r="AB500" s="11"/>
      <c r="AC500" s="11"/>
      <c r="AD500" s="11"/>
    </row>
    <row r="501">
      <c r="A501" s="10"/>
      <c r="B501" s="10"/>
      <c r="C501" s="10"/>
      <c r="D501" s="10"/>
      <c r="E501" s="10"/>
      <c r="F501" s="11"/>
      <c r="G501" s="11"/>
      <c r="H501" s="11"/>
      <c r="I501" s="11"/>
      <c r="J501" s="11" t="str">
        <f>IFERROR(__xludf.DUMMYFUNCTION("iferror(if($B501="""", ,filter(Playoff_Stats!F:Z,Playoff_Stats!A:A=$B501,Playoff_Stats!B:B=$A501)))"),"")</f>
        <v/>
      </c>
      <c r="K501" s="11"/>
      <c r="L501" s="12"/>
      <c r="M501" s="11"/>
      <c r="N501" s="11"/>
      <c r="O501" s="13"/>
      <c r="P501" s="14"/>
      <c r="Q501" s="13"/>
      <c r="R501" s="13"/>
      <c r="S501" s="15"/>
      <c r="T501" s="16"/>
      <c r="U501" s="16"/>
      <c r="V501" s="16"/>
      <c r="W501" s="16"/>
      <c r="X501" s="16"/>
      <c r="Y501" s="11"/>
      <c r="Z501" s="11"/>
      <c r="AA501" s="11"/>
      <c r="AB501" s="11"/>
      <c r="AC501" s="11"/>
      <c r="AD501" s="11"/>
    </row>
    <row r="502">
      <c r="A502" s="10"/>
      <c r="B502" s="10"/>
      <c r="C502" s="10"/>
      <c r="D502" s="10"/>
      <c r="E502" s="10"/>
      <c r="F502" s="11"/>
      <c r="G502" s="11"/>
      <c r="H502" s="11"/>
      <c r="I502" s="11"/>
      <c r="J502" s="11" t="str">
        <f>IFERROR(__xludf.DUMMYFUNCTION("iferror(if($B502="""", ,filter(Playoff_Stats!F:Z,Playoff_Stats!A:A=$B502,Playoff_Stats!B:B=$A502)))"),"")</f>
        <v/>
      </c>
      <c r="K502" s="11"/>
      <c r="L502" s="12"/>
      <c r="M502" s="11"/>
      <c r="N502" s="11"/>
      <c r="O502" s="13"/>
      <c r="P502" s="14"/>
      <c r="Q502" s="13"/>
      <c r="R502" s="13"/>
      <c r="S502" s="15"/>
      <c r="T502" s="16"/>
      <c r="U502" s="16"/>
      <c r="V502" s="16"/>
      <c r="W502" s="16"/>
      <c r="X502" s="16"/>
      <c r="Y502" s="11"/>
      <c r="Z502" s="11"/>
      <c r="AA502" s="11"/>
      <c r="AB502" s="11"/>
      <c r="AC502" s="11"/>
      <c r="AD502" s="11"/>
    </row>
    <row r="503">
      <c r="A503" s="10"/>
      <c r="B503" s="10"/>
      <c r="C503" s="10"/>
      <c r="D503" s="10"/>
      <c r="E503" s="10"/>
      <c r="F503" s="11"/>
      <c r="G503" s="11"/>
      <c r="H503" s="11"/>
      <c r="I503" s="11"/>
      <c r="J503" s="11" t="str">
        <f>IFERROR(__xludf.DUMMYFUNCTION("iferror(if($B503="""", ,filter(Playoff_Stats!F:Z,Playoff_Stats!A:A=$B503,Playoff_Stats!B:B=$A503)))"),"")</f>
        <v/>
      </c>
      <c r="K503" s="11"/>
      <c r="L503" s="12"/>
      <c r="M503" s="11"/>
      <c r="N503" s="11"/>
      <c r="O503" s="13"/>
      <c r="P503" s="14"/>
      <c r="Q503" s="13"/>
      <c r="R503" s="13"/>
      <c r="S503" s="15"/>
      <c r="T503" s="16"/>
      <c r="U503" s="16"/>
      <c r="V503" s="16"/>
      <c r="W503" s="16"/>
      <c r="X503" s="16"/>
      <c r="Y503" s="11"/>
      <c r="Z503" s="11"/>
      <c r="AA503" s="11"/>
      <c r="AB503" s="11"/>
      <c r="AC503" s="11"/>
      <c r="AD503" s="11"/>
    </row>
    <row r="504">
      <c r="A504" s="10"/>
      <c r="B504" s="10"/>
      <c r="C504" s="10"/>
      <c r="D504" s="10"/>
      <c r="E504" s="10"/>
      <c r="F504" s="11"/>
      <c r="G504" s="11"/>
      <c r="H504" s="11"/>
      <c r="I504" s="11"/>
      <c r="J504" s="11" t="str">
        <f>IFERROR(__xludf.DUMMYFUNCTION("iferror(if($B504="""", ,filter(Playoff_Stats!F:Z,Playoff_Stats!A:A=$B504,Playoff_Stats!B:B=$A504)))"),"")</f>
        <v/>
      </c>
      <c r="K504" s="11"/>
      <c r="L504" s="12"/>
      <c r="M504" s="11"/>
      <c r="N504" s="11"/>
      <c r="O504" s="13"/>
      <c r="P504" s="14"/>
      <c r="Q504" s="13"/>
      <c r="R504" s="13"/>
      <c r="S504" s="15"/>
      <c r="T504" s="16"/>
      <c r="U504" s="16"/>
      <c r="V504" s="16"/>
      <c r="W504" s="16"/>
      <c r="X504" s="16"/>
      <c r="Y504" s="11"/>
      <c r="Z504" s="11"/>
      <c r="AA504" s="11"/>
      <c r="AB504" s="11"/>
      <c r="AC504" s="11"/>
      <c r="AD504" s="11"/>
    </row>
    <row r="505">
      <c r="A505" s="10"/>
      <c r="B505" s="10"/>
      <c r="C505" s="10"/>
      <c r="D505" s="10"/>
      <c r="E505" s="10"/>
      <c r="F505" s="11"/>
      <c r="G505" s="11"/>
      <c r="H505" s="11"/>
      <c r="I505" s="11"/>
      <c r="J505" s="11" t="str">
        <f>IFERROR(__xludf.DUMMYFUNCTION("iferror(if($B505="""", ,filter(Playoff_Stats!F:Z,Playoff_Stats!A:A=$B505,Playoff_Stats!B:B=$A505)))"),"")</f>
        <v/>
      </c>
      <c r="K505" s="11"/>
      <c r="L505" s="12"/>
      <c r="M505" s="11"/>
      <c r="N505" s="11"/>
      <c r="O505" s="13"/>
      <c r="P505" s="14"/>
      <c r="Q505" s="13"/>
      <c r="R505" s="13"/>
      <c r="S505" s="15"/>
      <c r="T505" s="16"/>
      <c r="U505" s="16"/>
      <c r="V505" s="16"/>
      <c r="W505" s="16"/>
      <c r="X505" s="16"/>
      <c r="Y505" s="11"/>
      <c r="Z505" s="11"/>
      <c r="AA505" s="11"/>
      <c r="AB505" s="11"/>
      <c r="AC505" s="11"/>
      <c r="AD505" s="11"/>
    </row>
    <row r="506">
      <c r="A506" s="10"/>
      <c r="B506" s="10"/>
      <c r="C506" s="10"/>
      <c r="D506" s="10"/>
      <c r="E506" s="10"/>
      <c r="F506" s="11"/>
      <c r="G506" s="11"/>
      <c r="H506" s="11"/>
      <c r="I506" s="11"/>
      <c r="J506" s="11" t="str">
        <f>IFERROR(__xludf.DUMMYFUNCTION("iferror(if($B506="""", ,filter(Playoff_Stats!F:Z,Playoff_Stats!A:A=$B506,Playoff_Stats!B:B=$A506)))"),"")</f>
        <v/>
      </c>
      <c r="K506" s="11"/>
      <c r="L506" s="12"/>
      <c r="M506" s="11"/>
      <c r="N506" s="11"/>
      <c r="O506" s="13"/>
      <c r="P506" s="14"/>
      <c r="Q506" s="13"/>
      <c r="R506" s="13"/>
      <c r="S506" s="15"/>
      <c r="T506" s="16"/>
      <c r="U506" s="16"/>
      <c r="V506" s="16"/>
      <c r="W506" s="16"/>
      <c r="X506" s="16"/>
      <c r="Y506" s="11"/>
      <c r="Z506" s="11"/>
      <c r="AA506" s="11"/>
      <c r="AB506" s="11"/>
      <c r="AC506" s="11"/>
      <c r="AD506" s="11"/>
    </row>
    <row r="507">
      <c r="A507" s="10"/>
      <c r="B507" s="10"/>
      <c r="C507" s="10"/>
      <c r="D507" s="10"/>
      <c r="E507" s="10"/>
      <c r="F507" s="11"/>
      <c r="G507" s="11"/>
      <c r="H507" s="11"/>
      <c r="I507" s="11"/>
      <c r="J507" s="11" t="str">
        <f>IFERROR(__xludf.DUMMYFUNCTION("iferror(if($B507="""", ,filter(Playoff_Stats!F:Z,Playoff_Stats!A:A=$B507,Playoff_Stats!B:B=$A507)))"),"")</f>
        <v/>
      </c>
      <c r="K507" s="11"/>
      <c r="L507" s="12"/>
      <c r="M507" s="11"/>
      <c r="N507" s="11"/>
      <c r="O507" s="13"/>
      <c r="P507" s="14"/>
      <c r="Q507" s="13"/>
      <c r="R507" s="13"/>
      <c r="S507" s="15"/>
      <c r="T507" s="16"/>
      <c r="U507" s="16"/>
      <c r="V507" s="16"/>
      <c r="W507" s="16"/>
      <c r="X507" s="16"/>
      <c r="Y507" s="11"/>
      <c r="Z507" s="11"/>
      <c r="AA507" s="11"/>
      <c r="AB507" s="11"/>
      <c r="AC507" s="11"/>
      <c r="AD507" s="11"/>
    </row>
    <row r="508">
      <c r="A508" s="10"/>
      <c r="B508" s="10"/>
      <c r="C508" s="10"/>
      <c r="D508" s="10"/>
      <c r="E508" s="10"/>
      <c r="F508" s="11"/>
      <c r="G508" s="11"/>
      <c r="H508" s="11"/>
      <c r="I508" s="11"/>
      <c r="J508" s="11" t="str">
        <f>IFERROR(__xludf.DUMMYFUNCTION("iferror(if($B508="""", ,filter(Playoff_Stats!F:Z,Playoff_Stats!A:A=$B508,Playoff_Stats!B:B=$A508)))"),"")</f>
        <v/>
      </c>
      <c r="K508" s="11"/>
      <c r="L508" s="12"/>
      <c r="M508" s="11"/>
      <c r="N508" s="11"/>
      <c r="O508" s="13"/>
      <c r="P508" s="14"/>
      <c r="Q508" s="13"/>
      <c r="R508" s="13"/>
      <c r="S508" s="15"/>
      <c r="T508" s="16"/>
      <c r="U508" s="16"/>
      <c r="V508" s="16"/>
      <c r="W508" s="16"/>
      <c r="X508" s="16"/>
      <c r="Y508" s="11"/>
      <c r="Z508" s="11"/>
      <c r="AA508" s="11"/>
      <c r="AB508" s="11"/>
      <c r="AC508" s="11"/>
      <c r="AD508" s="11"/>
    </row>
    <row r="509">
      <c r="A509" s="10"/>
      <c r="B509" s="10"/>
      <c r="C509" s="10"/>
      <c r="D509" s="10"/>
      <c r="E509" s="10"/>
      <c r="F509" s="11"/>
      <c r="G509" s="11"/>
      <c r="H509" s="11"/>
      <c r="I509" s="11"/>
      <c r="J509" s="11" t="str">
        <f>IFERROR(__xludf.DUMMYFUNCTION("iferror(if($B509="""", ,filter(Playoff_Stats!F:Z,Playoff_Stats!A:A=$B509,Playoff_Stats!B:B=$A509)))"),"")</f>
        <v/>
      </c>
      <c r="K509" s="11"/>
      <c r="L509" s="12"/>
      <c r="M509" s="11"/>
      <c r="N509" s="11"/>
      <c r="O509" s="13"/>
      <c r="P509" s="14"/>
      <c r="Q509" s="13"/>
      <c r="R509" s="13"/>
      <c r="S509" s="15"/>
      <c r="T509" s="16"/>
      <c r="U509" s="16"/>
      <c r="V509" s="16"/>
      <c r="W509" s="16"/>
      <c r="X509" s="16"/>
      <c r="Y509" s="11"/>
      <c r="Z509" s="11"/>
      <c r="AA509" s="11"/>
      <c r="AB509" s="11"/>
      <c r="AC509" s="11"/>
      <c r="AD509" s="11"/>
    </row>
    <row r="510">
      <c r="A510" s="10"/>
      <c r="B510" s="10"/>
      <c r="C510" s="10"/>
      <c r="D510" s="10"/>
      <c r="E510" s="10"/>
      <c r="F510" s="11"/>
      <c r="G510" s="11"/>
      <c r="H510" s="11"/>
      <c r="I510" s="11"/>
      <c r="J510" s="11" t="str">
        <f>IFERROR(__xludf.DUMMYFUNCTION("iferror(if($B510="""", ,filter(Playoff_Stats!F:Z,Playoff_Stats!A:A=$B510,Playoff_Stats!B:B=$A510)))"),"")</f>
        <v/>
      </c>
      <c r="K510" s="11"/>
      <c r="L510" s="12"/>
      <c r="M510" s="11"/>
      <c r="N510" s="11"/>
      <c r="O510" s="13"/>
      <c r="P510" s="14"/>
      <c r="Q510" s="13"/>
      <c r="R510" s="13"/>
      <c r="S510" s="15"/>
      <c r="T510" s="16"/>
      <c r="U510" s="16"/>
      <c r="V510" s="16"/>
      <c r="W510" s="16"/>
      <c r="X510" s="16"/>
      <c r="Y510" s="11"/>
      <c r="Z510" s="11"/>
      <c r="AA510" s="11"/>
      <c r="AB510" s="11"/>
      <c r="AC510" s="11"/>
      <c r="AD510" s="11"/>
    </row>
    <row r="511">
      <c r="A511" s="10"/>
      <c r="B511" s="10"/>
      <c r="C511" s="10"/>
      <c r="D511" s="10"/>
      <c r="E511" s="10"/>
      <c r="F511" s="11"/>
      <c r="G511" s="11"/>
      <c r="H511" s="11"/>
      <c r="I511" s="11"/>
      <c r="J511" s="11" t="str">
        <f>IFERROR(__xludf.DUMMYFUNCTION("iferror(if($B511="""", ,filter(Playoff_Stats!F:Z,Playoff_Stats!A:A=$B511,Playoff_Stats!B:B=$A511)))"),"")</f>
        <v/>
      </c>
      <c r="K511" s="11"/>
      <c r="L511" s="12"/>
      <c r="M511" s="11"/>
      <c r="N511" s="11"/>
      <c r="O511" s="13"/>
      <c r="P511" s="14"/>
      <c r="Q511" s="13"/>
      <c r="R511" s="13"/>
      <c r="S511" s="15"/>
      <c r="T511" s="16"/>
      <c r="U511" s="16"/>
      <c r="V511" s="16"/>
      <c r="W511" s="16"/>
      <c r="X511" s="16"/>
      <c r="Y511" s="11"/>
      <c r="Z511" s="11"/>
      <c r="AA511" s="11"/>
      <c r="AB511" s="11"/>
      <c r="AC511" s="11"/>
      <c r="AD511" s="11"/>
    </row>
    <row r="512">
      <c r="A512" s="10"/>
      <c r="B512" s="10"/>
      <c r="C512" s="10"/>
      <c r="D512" s="10"/>
      <c r="E512" s="10"/>
      <c r="F512" s="11"/>
      <c r="G512" s="11"/>
      <c r="H512" s="11"/>
      <c r="I512" s="11"/>
      <c r="J512" s="11" t="str">
        <f>IFERROR(__xludf.DUMMYFUNCTION("iferror(if($B512="""", ,filter(Playoff_Stats!F:Z,Playoff_Stats!A:A=$B512,Playoff_Stats!B:B=$A512)))"),"")</f>
        <v/>
      </c>
      <c r="K512" s="11"/>
      <c r="L512" s="12"/>
      <c r="M512" s="11"/>
      <c r="N512" s="11"/>
      <c r="O512" s="13"/>
      <c r="P512" s="14"/>
      <c r="Q512" s="13"/>
      <c r="R512" s="13"/>
      <c r="S512" s="15"/>
      <c r="T512" s="16"/>
      <c r="U512" s="16"/>
      <c r="V512" s="16"/>
      <c r="W512" s="16"/>
      <c r="X512" s="16"/>
      <c r="Y512" s="11"/>
      <c r="Z512" s="11"/>
      <c r="AA512" s="11"/>
      <c r="AB512" s="11"/>
      <c r="AC512" s="11"/>
      <c r="AD512" s="11"/>
    </row>
    <row r="513">
      <c r="A513" s="10"/>
      <c r="B513" s="10"/>
      <c r="C513" s="10"/>
      <c r="D513" s="10"/>
      <c r="E513" s="10"/>
      <c r="F513" s="11"/>
      <c r="G513" s="11"/>
      <c r="H513" s="11"/>
      <c r="I513" s="11"/>
      <c r="J513" s="11" t="str">
        <f>IFERROR(__xludf.DUMMYFUNCTION("iferror(if($B513="""", ,filter(Playoff_Stats!F:Z,Playoff_Stats!A:A=$B513,Playoff_Stats!B:B=$A513)))"),"")</f>
        <v/>
      </c>
      <c r="K513" s="11"/>
      <c r="L513" s="12"/>
      <c r="M513" s="11"/>
      <c r="N513" s="11"/>
      <c r="O513" s="13"/>
      <c r="P513" s="14"/>
      <c r="Q513" s="13"/>
      <c r="R513" s="13"/>
      <c r="S513" s="15"/>
      <c r="T513" s="16"/>
      <c r="U513" s="16"/>
      <c r="V513" s="16"/>
      <c r="W513" s="16"/>
      <c r="X513" s="16"/>
      <c r="Y513" s="11"/>
      <c r="Z513" s="11"/>
      <c r="AA513" s="11"/>
      <c r="AB513" s="11"/>
      <c r="AC513" s="11"/>
      <c r="AD513" s="11"/>
    </row>
    <row r="514">
      <c r="A514" s="10"/>
      <c r="B514" s="10"/>
      <c r="C514" s="10"/>
      <c r="D514" s="10"/>
      <c r="E514" s="10"/>
      <c r="F514" s="11"/>
      <c r="G514" s="11"/>
      <c r="H514" s="11"/>
      <c r="I514" s="11"/>
      <c r="J514" s="11" t="str">
        <f>IFERROR(__xludf.DUMMYFUNCTION("iferror(if($B514="""", ,filter(Playoff_Stats!F:Z,Playoff_Stats!A:A=$B514,Playoff_Stats!B:B=$A514)))"),"")</f>
        <v/>
      </c>
      <c r="K514" s="11"/>
      <c r="L514" s="12"/>
      <c r="M514" s="11"/>
      <c r="N514" s="11"/>
      <c r="O514" s="13"/>
      <c r="P514" s="14"/>
      <c r="Q514" s="13"/>
      <c r="R514" s="13"/>
      <c r="S514" s="15"/>
      <c r="T514" s="16"/>
      <c r="U514" s="16"/>
      <c r="V514" s="16"/>
      <c r="W514" s="16"/>
      <c r="X514" s="16"/>
      <c r="Y514" s="11"/>
      <c r="Z514" s="11"/>
      <c r="AA514" s="11"/>
      <c r="AB514" s="11"/>
      <c r="AC514" s="11"/>
      <c r="AD514" s="11"/>
    </row>
    <row r="515">
      <c r="A515" s="10"/>
      <c r="B515" s="10"/>
      <c r="C515" s="10"/>
      <c r="D515" s="10"/>
      <c r="E515" s="10"/>
      <c r="F515" s="11"/>
      <c r="G515" s="11"/>
      <c r="H515" s="11"/>
      <c r="I515" s="11"/>
      <c r="J515" s="11" t="str">
        <f>IFERROR(__xludf.DUMMYFUNCTION("iferror(if($B515="""", ,filter(Playoff_Stats!F:Z,Playoff_Stats!A:A=$B515,Playoff_Stats!B:B=$A515)))"),"")</f>
        <v/>
      </c>
      <c r="K515" s="11"/>
      <c r="L515" s="12"/>
      <c r="M515" s="11"/>
      <c r="N515" s="11"/>
      <c r="O515" s="13"/>
      <c r="P515" s="14"/>
      <c r="Q515" s="13"/>
      <c r="R515" s="13"/>
      <c r="S515" s="15"/>
      <c r="T515" s="16"/>
      <c r="U515" s="16"/>
      <c r="V515" s="16"/>
      <c r="W515" s="16"/>
      <c r="X515" s="16"/>
      <c r="Y515" s="11"/>
      <c r="Z515" s="11"/>
      <c r="AA515" s="11"/>
      <c r="AB515" s="11"/>
      <c r="AC515" s="11"/>
      <c r="AD515" s="11"/>
    </row>
    <row r="516">
      <c r="A516" s="10"/>
      <c r="B516" s="10"/>
      <c r="C516" s="10"/>
      <c r="D516" s="10"/>
      <c r="E516" s="10"/>
      <c r="F516" s="11"/>
      <c r="G516" s="11"/>
      <c r="H516" s="11"/>
      <c r="I516" s="11"/>
      <c r="J516" s="11" t="str">
        <f>IFERROR(__xludf.DUMMYFUNCTION("iferror(if($B516="""", ,filter(Playoff_Stats!F:Z,Playoff_Stats!A:A=$B516,Playoff_Stats!B:B=$A516)))"),"")</f>
        <v/>
      </c>
      <c r="K516" s="11"/>
      <c r="L516" s="12"/>
      <c r="M516" s="11"/>
      <c r="N516" s="11"/>
      <c r="O516" s="13"/>
      <c r="P516" s="14"/>
      <c r="Q516" s="13"/>
      <c r="R516" s="13"/>
      <c r="S516" s="15"/>
      <c r="T516" s="16"/>
      <c r="U516" s="16"/>
      <c r="V516" s="16"/>
      <c r="W516" s="16"/>
      <c r="X516" s="16"/>
      <c r="Y516" s="11"/>
      <c r="Z516" s="11"/>
      <c r="AA516" s="11"/>
      <c r="AB516" s="11"/>
      <c r="AC516" s="11"/>
      <c r="AD516" s="11"/>
    </row>
    <row r="517">
      <c r="A517" s="10"/>
      <c r="B517" s="10"/>
      <c r="C517" s="10"/>
      <c r="D517" s="10"/>
      <c r="E517" s="10"/>
      <c r="F517" s="11"/>
      <c r="G517" s="11"/>
      <c r="H517" s="11"/>
      <c r="I517" s="11"/>
      <c r="J517" s="11" t="str">
        <f>IFERROR(__xludf.DUMMYFUNCTION("iferror(if($B517="""", ,filter(Playoff_Stats!F:Z,Playoff_Stats!A:A=$B517,Playoff_Stats!B:B=$A517)))"),"")</f>
        <v/>
      </c>
      <c r="K517" s="11"/>
      <c r="L517" s="12"/>
      <c r="M517" s="11"/>
      <c r="N517" s="11"/>
      <c r="O517" s="13"/>
      <c r="P517" s="14"/>
      <c r="Q517" s="13"/>
      <c r="R517" s="13"/>
      <c r="S517" s="15"/>
      <c r="T517" s="16"/>
      <c r="U517" s="16"/>
      <c r="V517" s="16"/>
      <c r="W517" s="16"/>
      <c r="X517" s="16"/>
      <c r="Y517" s="11"/>
      <c r="Z517" s="11"/>
      <c r="AA517" s="11"/>
      <c r="AB517" s="11"/>
      <c r="AC517" s="11"/>
      <c r="AD517" s="11"/>
    </row>
    <row r="518">
      <c r="A518" s="10"/>
      <c r="B518" s="10"/>
      <c r="C518" s="10"/>
      <c r="D518" s="10"/>
      <c r="E518" s="10"/>
      <c r="F518" s="11"/>
      <c r="G518" s="11"/>
      <c r="H518" s="11"/>
      <c r="I518" s="11"/>
      <c r="J518" s="11" t="str">
        <f>IFERROR(__xludf.DUMMYFUNCTION("iferror(if($B518="""", ,filter(Playoff_Stats!F:Z,Playoff_Stats!A:A=$B518,Playoff_Stats!B:B=$A518)))"),"")</f>
        <v/>
      </c>
      <c r="K518" s="11"/>
      <c r="L518" s="12"/>
      <c r="M518" s="11"/>
      <c r="N518" s="11"/>
      <c r="O518" s="13"/>
      <c r="P518" s="14"/>
      <c r="Q518" s="13"/>
      <c r="R518" s="13"/>
      <c r="S518" s="15"/>
      <c r="T518" s="16"/>
      <c r="U518" s="16"/>
      <c r="V518" s="16"/>
      <c r="W518" s="16"/>
      <c r="X518" s="16"/>
      <c r="Y518" s="11"/>
      <c r="Z518" s="11"/>
      <c r="AA518" s="11"/>
      <c r="AB518" s="11"/>
      <c r="AC518" s="11"/>
      <c r="AD518" s="11"/>
    </row>
    <row r="519">
      <c r="A519" s="10"/>
      <c r="B519" s="10"/>
      <c r="C519" s="10"/>
      <c r="D519" s="10"/>
      <c r="E519" s="10"/>
      <c r="F519" s="11"/>
      <c r="G519" s="11"/>
      <c r="H519" s="11"/>
      <c r="I519" s="11"/>
      <c r="J519" s="11" t="str">
        <f>IFERROR(__xludf.DUMMYFUNCTION("iferror(if($B519="""", ,filter(Playoff_Stats!F:Z,Playoff_Stats!A:A=$B519,Playoff_Stats!B:B=$A519)))"),"")</f>
        <v/>
      </c>
      <c r="K519" s="11"/>
      <c r="L519" s="12"/>
      <c r="M519" s="11"/>
      <c r="N519" s="11"/>
      <c r="O519" s="13"/>
      <c r="P519" s="14"/>
      <c r="Q519" s="13"/>
      <c r="R519" s="13"/>
      <c r="S519" s="15"/>
      <c r="T519" s="16"/>
      <c r="U519" s="16"/>
      <c r="V519" s="16"/>
      <c r="W519" s="16"/>
      <c r="X519" s="16"/>
      <c r="Y519" s="11"/>
      <c r="Z519" s="11"/>
      <c r="AA519" s="11"/>
      <c r="AB519" s="11"/>
      <c r="AC519" s="11"/>
      <c r="AD519" s="11"/>
    </row>
    <row r="520">
      <c r="A520" s="10"/>
      <c r="B520" s="10"/>
      <c r="C520" s="10"/>
      <c r="D520" s="10"/>
      <c r="E520" s="10"/>
      <c r="F520" s="11"/>
      <c r="G520" s="11"/>
      <c r="H520" s="11"/>
      <c r="I520" s="11"/>
      <c r="J520" s="11" t="str">
        <f>IFERROR(__xludf.DUMMYFUNCTION("iferror(if($B520="""", ,filter(Playoff_Stats!F:Z,Playoff_Stats!A:A=$B520,Playoff_Stats!B:B=$A520)))"),"")</f>
        <v/>
      </c>
      <c r="K520" s="11"/>
      <c r="L520" s="12"/>
      <c r="M520" s="11"/>
      <c r="N520" s="11"/>
      <c r="O520" s="13"/>
      <c r="P520" s="14"/>
      <c r="Q520" s="13"/>
      <c r="R520" s="13"/>
      <c r="S520" s="15"/>
      <c r="T520" s="16"/>
      <c r="U520" s="16"/>
      <c r="V520" s="16"/>
      <c r="W520" s="16"/>
      <c r="X520" s="16"/>
      <c r="Y520" s="11"/>
      <c r="Z520" s="11"/>
      <c r="AA520" s="11"/>
      <c r="AB520" s="11"/>
      <c r="AC520" s="11"/>
      <c r="AD520" s="11"/>
    </row>
    <row r="521">
      <c r="A521" s="10"/>
      <c r="B521" s="10"/>
      <c r="C521" s="10"/>
      <c r="D521" s="10"/>
      <c r="E521" s="10"/>
      <c r="F521" s="11"/>
      <c r="G521" s="11"/>
      <c r="H521" s="11"/>
      <c r="I521" s="11"/>
      <c r="J521" s="11" t="str">
        <f>IFERROR(__xludf.DUMMYFUNCTION("iferror(if($B521="""", ,filter(Playoff_Stats!F:Z,Playoff_Stats!A:A=$B521,Playoff_Stats!B:B=$A521)))"),"")</f>
        <v/>
      </c>
      <c r="K521" s="11"/>
      <c r="L521" s="12"/>
      <c r="M521" s="11"/>
      <c r="N521" s="11"/>
      <c r="O521" s="13"/>
      <c r="P521" s="14"/>
      <c r="Q521" s="13"/>
      <c r="R521" s="13"/>
      <c r="S521" s="15"/>
      <c r="T521" s="16"/>
      <c r="U521" s="16"/>
      <c r="V521" s="16"/>
      <c r="W521" s="16"/>
      <c r="X521" s="16"/>
      <c r="Y521" s="11"/>
      <c r="Z521" s="11"/>
      <c r="AA521" s="11"/>
      <c r="AB521" s="11"/>
      <c r="AC521" s="11"/>
      <c r="AD521" s="11"/>
    </row>
    <row r="522">
      <c r="A522" s="10"/>
      <c r="B522" s="10"/>
      <c r="C522" s="10"/>
      <c r="D522" s="10"/>
      <c r="E522" s="10"/>
      <c r="F522" s="11"/>
      <c r="G522" s="11"/>
      <c r="H522" s="11"/>
      <c r="I522" s="11"/>
      <c r="J522" s="11" t="str">
        <f>IFERROR(__xludf.DUMMYFUNCTION("iferror(if($B522="""", ,filter(Playoff_Stats!F:Z,Playoff_Stats!A:A=$B522,Playoff_Stats!B:B=$A522)))"),"")</f>
        <v/>
      </c>
      <c r="K522" s="11"/>
      <c r="L522" s="12"/>
      <c r="M522" s="11"/>
      <c r="N522" s="11"/>
      <c r="O522" s="13"/>
      <c r="P522" s="14"/>
      <c r="Q522" s="13"/>
      <c r="R522" s="13"/>
      <c r="S522" s="15"/>
      <c r="T522" s="16"/>
      <c r="U522" s="16"/>
      <c r="V522" s="16"/>
      <c r="W522" s="16"/>
      <c r="X522" s="16"/>
      <c r="Y522" s="11"/>
      <c r="Z522" s="11"/>
      <c r="AA522" s="11"/>
      <c r="AB522" s="11"/>
      <c r="AC522" s="11"/>
      <c r="AD522" s="11"/>
    </row>
    <row r="523">
      <c r="A523" s="10"/>
      <c r="B523" s="10"/>
      <c r="C523" s="10"/>
      <c r="D523" s="10"/>
      <c r="E523" s="10"/>
      <c r="F523" s="11"/>
      <c r="G523" s="11"/>
      <c r="H523" s="11"/>
      <c r="I523" s="11"/>
      <c r="J523" s="11" t="str">
        <f>IFERROR(__xludf.DUMMYFUNCTION("iferror(if($B523="""", ,filter(Playoff_Stats!F:Z,Playoff_Stats!A:A=$B523,Playoff_Stats!B:B=$A523)))"),"")</f>
        <v/>
      </c>
      <c r="K523" s="11"/>
      <c r="L523" s="12"/>
      <c r="M523" s="11"/>
      <c r="N523" s="11"/>
      <c r="O523" s="13"/>
      <c r="P523" s="14"/>
      <c r="Q523" s="13"/>
      <c r="R523" s="13"/>
      <c r="S523" s="15"/>
      <c r="T523" s="16"/>
      <c r="U523" s="16"/>
      <c r="V523" s="16"/>
      <c r="W523" s="16"/>
      <c r="X523" s="16"/>
      <c r="Y523" s="11"/>
      <c r="Z523" s="11"/>
      <c r="AA523" s="11"/>
      <c r="AB523" s="11"/>
      <c r="AC523" s="11"/>
      <c r="AD523" s="11"/>
    </row>
    <row r="524">
      <c r="A524" s="10"/>
      <c r="B524" s="10"/>
      <c r="C524" s="10"/>
      <c r="D524" s="10"/>
      <c r="E524" s="10"/>
      <c r="F524" s="11"/>
      <c r="G524" s="11"/>
      <c r="H524" s="11"/>
      <c r="I524" s="11"/>
      <c r="J524" s="11" t="str">
        <f>IFERROR(__xludf.DUMMYFUNCTION("iferror(if($B524="""", ,filter(Playoff_Stats!F:Z,Playoff_Stats!A:A=$B524,Playoff_Stats!B:B=$A524)))"),"")</f>
        <v/>
      </c>
      <c r="K524" s="11"/>
      <c r="L524" s="12"/>
      <c r="M524" s="11"/>
      <c r="N524" s="11"/>
      <c r="O524" s="13"/>
      <c r="P524" s="14"/>
      <c r="Q524" s="13"/>
      <c r="R524" s="13"/>
      <c r="S524" s="15"/>
      <c r="T524" s="16"/>
      <c r="U524" s="16"/>
      <c r="V524" s="16"/>
      <c r="W524" s="16"/>
      <c r="X524" s="16"/>
      <c r="Y524" s="11"/>
      <c r="Z524" s="11"/>
      <c r="AA524" s="11"/>
      <c r="AB524" s="11"/>
      <c r="AC524" s="11"/>
      <c r="AD524" s="11"/>
    </row>
    <row r="525">
      <c r="A525" s="10"/>
      <c r="B525" s="10"/>
      <c r="C525" s="10"/>
      <c r="D525" s="10"/>
      <c r="E525" s="10"/>
      <c r="F525" s="11"/>
      <c r="G525" s="11"/>
      <c r="H525" s="11"/>
      <c r="I525" s="11"/>
      <c r="J525" s="11" t="str">
        <f>IFERROR(__xludf.DUMMYFUNCTION("iferror(if($B525="""", ,filter(Playoff_Stats!F:Z,Playoff_Stats!A:A=$B525,Playoff_Stats!B:B=$A525)))"),"")</f>
        <v/>
      </c>
      <c r="K525" s="11"/>
      <c r="L525" s="12"/>
      <c r="M525" s="11"/>
      <c r="N525" s="11"/>
      <c r="O525" s="13"/>
      <c r="P525" s="14"/>
      <c r="Q525" s="13"/>
      <c r="R525" s="13"/>
      <c r="S525" s="15"/>
      <c r="T525" s="16"/>
      <c r="U525" s="16"/>
      <c r="V525" s="16"/>
      <c r="W525" s="16"/>
      <c r="X525" s="16"/>
      <c r="Y525" s="11"/>
      <c r="Z525" s="11"/>
      <c r="AA525" s="11"/>
      <c r="AB525" s="11"/>
      <c r="AC525" s="11"/>
      <c r="AD525" s="11"/>
    </row>
    <row r="526">
      <c r="A526" s="10"/>
      <c r="B526" s="10"/>
      <c r="C526" s="10"/>
      <c r="D526" s="10"/>
      <c r="E526" s="10"/>
      <c r="F526" s="11"/>
      <c r="G526" s="11"/>
      <c r="H526" s="11"/>
      <c r="I526" s="11"/>
      <c r="J526" s="11" t="str">
        <f>IFERROR(__xludf.DUMMYFUNCTION("iferror(if($B526="""", ,filter(Playoff_Stats!F:Z,Playoff_Stats!A:A=$B526,Playoff_Stats!B:B=$A526)))"),"")</f>
        <v/>
      </c>
      <c r="K526" s="11"/>
      <c r="L526" s="12"/>
      <c r="M526" s="11"/>
      <c r="N526" s="11"/>
      <c r="O526" s="13"/>
      <c r="P526" s="14"/>
      <c r="Q526" s="13"/>
      <c r="R526" s="13"/>
      <c r="S526" s="15"/>
      <c r="T526" s="16"/>
      <c r="U526" s="16"/>
      <c r="V526" s="16"/>
      <c r="W526" s="16"/>
      <c r="X526" s="16"/>
      <c r="Y526" s="11"/>
      <c r="Z526" s="11"/>
      <c r="AA526" s="11"/>
      <c r="AB526" s="11"/>
      <c r="AC526" s="11"/>
      <c r="AD526" s="11"/>
    </row>
    <row r="527">
      <c r="A527" s="10"/>
      <c r="B527" s="10"/>
      <c r="C527" s="10"/>
      <c r="D527" s="10"/>
      <c r="E527" s="10"/>
      <c r="F527" s="11"/>
      <c r="G527" s="11"/>
      <c r="H527" s="11"/>
      <c r="I527" s="11"/>
      <c r="J527" s="11" t="str">
        <f>IFERROR(__xludf.DUMMYFUNCTION("iferror(if($B527="""", ,filter(Playoff_Stats!F:Z,Playoff_Stats!A:A=$B527,Playoff_Stats!B:B=$A527)))"),"")</f>
        <v/>
      </c>
      <c r="K527" s="11"/>
      <c r="L527" s="12"/>
      <c r="M527" s="11"/>
      <c r="N527" s="11"/>
      <c r="O527" s="13"/>
      <c r="P527" s="14"/>
      <c r="Q527" s="13"/>
      <c r="R527" s="13"/>
      <c r="S527" s="15"/>
      <c r="T527" s="16"/>
      <c r="U527" s="16"/>
      <c r="V527" s="16"/>
      <c r="W527" s="16"/>
      <c r="X527" s="16"/>
      <c r="Y527" s="11"/>
      <c r="Z527" s="11"/>
      <c r="AA527" s="11"/>
      <c r="AB527" s="11"/>
      <c r="AC527" s="11"/>
      <c r="AD527" s="11"/>
    </row>
    <row r="528">
      <c r="A528" s="10"/>
      <c r="B528" s="10"/>
      <c r="C528" s="10"/>
      <c r="D528" s="10"/>
      <c r="E528" s="10"/>
      <c r="F528" s="11"/>
      <c r="G528" s="11"/>
      <c r="H528" s="11"/>
      <c r="I528" s="11"/>
      <c r="J528" s="11" t="str">
        <f>IFERROR(__xludf.DUMMYFUNCTION("iferror(if($B528="""", ,filter(Playoff_Stats!F:Z,Playoff_Stats!A:A=$B528,Playoff_Stats!B:B=$A528)))"),"")</f>
        <v/>
      </c>
      <c r="K528" s="11"/>
      <c r="L528" s="12"/>
      <c r="M528" s="11"/>
      <c r="N528" s="11"/>
      <c r="O528" s="13"/>
      <c r="P528" s="14"/>
      <c r="Q528" s="13"/>
      <c r="R528" s="13"/>
      <c r="S528" s="15"/>
      <c r="T528" s="16"/>
      <c r="U528" s="16"/>
      <c r="V528" s="16"/>
      <c r="W528" s="16"/>
      <c r="X528" s="16"/>
      <c r="Y528" s="11"/>
      <c r="Z528" s="11"/>
      <c r="AA528" s="11"/>
      <c r="AB528" s="11"/>
      <c r="AC528" s="11"/>
      <c r="AD528" s="11"/>
    </row>
    <row r="529">
      <c r="A529" s="10"/>
      <c r="B529" s="10"/>
      <c r="C529" s="10"/>
      <c r="D529" s="10"/>
      <c r="E529" s="10"/>
      <c r="F529" s="11"/>
      <c r="G529" s="11"/>
      <c r="H529" s="11"/>
      <c r="I529" s="11"/>
      <c r="J529" s="11" t="str">
        <f>IFERROR(__xludf.DUMMYFUNCTION("iferror(if($B529="""", ,filter(Playoff_Stats!F:Z,Playoff_Stats!A:A=$B529,Playoff_Stats!B:B=$A529)))"),"")</f>
        <v/>
      </c>
      <c r="K529" s="11"/>
      <c r="L529" s="12"/>
      <c r="M529" s="11"/>
      <c r="N529" s="11"/>
      <c r="O529" s="13"/>
      <c r="P529" s="14"/>
      <c r="Q529" s="13"/>
      <c r="R529" s="13"/>
      <c r="S529" s="15"/>
      <c r="T529" s="16"/>
      <c r="U529" s="16"/>
      <c r="V529" s="16"/>
      <c r="W529" s="16"/>
      <c r="X529" s="16"/>
      <c r="Y529" s="11"/>
      <c r="Z529" s="11"/>
      <c r="AA529" s="11"/>
      <c r="AB529" s="11"/>
      <c r="AC529" s="11"/>
      <c r="AD529" s="11"/>
    </row>
    <row r="530">
      <c r="A530" s="10"/>
      <c r="B530" s="10"/>
      <c r="C530" s="10"/>
      <c r="D530" s="10"/>
      <c r="E530" s="10"/>
      <c r="F530" s="11"/>
      <c r="G530" s="11"/>
      <c r="H530" s="11"/>
      <c r="I530" s="11"/>
      <c r="J530" s="11" t="str">
        <f>IFERROR(__xludf.DUMMYFUNCTION("iferror(if($B530="""", ,filter(Playoff_Stats!F:Z,Playoff_Stats!A:A=$B530,Playoff_Stats!B:B=$A530)))"),"")</f>
        <v/>
      </c>
      <c r="K530" s="11"/>
      <c r="L530" s="12"/>
      <c r="M530" s="11"/>
      <c r="N530" s="11"/>
      <c r="O530" s="13"/>
      <c r="P530" s="14"/>
      <c r="Q530" s="13"/>
      <c r="R530" s="13"/>
      <c r="S530" s="15"/>
      <c r="T530" s="16"/>
      <c r="U530" s="16"/>
      <c r="V530" s="16"/>
      <c r="W530" s="16"/>
      <c r="X530" s="16"/>
      <c r="Y530" s="11"/>
      <c r="Z530" s="11"/>
      <c r="AA530" s="11"/>
      <c r="AB530" s="11"/>
      <c r="AC530" s="11"/>
      <c r="AD530" s="11"/>
    </row>
    <row r="531">
      <c r="A531" s="10"/>
      <c r="B531" s="10"/>
      <c r="C531" s="10"/>
      <c r="D531" s="10"/>
      <c r="E531" s="10"/>
      <c r="F531" s="11"/>
      <c r="G531" s="11"/>
      <c r="H531" s="11"/>
      <c r="I531" s="11"/>
      <c r="J531" s="11" t="str">
        <f>IFERROR(__xludf.DUMMYFUNCTION("iferror(if($B531="""", ,filter(Playoff_Stats!F:Z,Playoff_Stats!A:A=$B531,Playoff_Stats!B:B=$A531)))"),"")</f>
        <v/>
      </c>
      <c r="K531" s="11"/>
      <c r="L531" s="12"/>
      <c r="M531" s="11"/>
      <c r="N531" s="11"/>
      <c r="O531" s="13"/>
      <c r="P531" s="14"/>
      <c r="Q531" s="13"/>
      <c r="R531" s="13"/>
      <c r="S531" s="15"/>
      <c r="T531" s="16"/>
      <c r="U531" s="16"/>
      <c r="V531" s="16"/>
      <c r="W531" s="16"/>
      <c r="X531" s="16"/>
      <c r="Y531" s="11"/>
      <c r="Z531" s="11"/>
      <c r="AA531" s="11"/>
      <c r="AB531" s="11"/>
      <c r="AC531" s="11"/>
      <c r="AD531" s="11"/>
    </row>
    <row r="532">
      <c r="A532" s="10"/>
      <c r="B532" s="10"/>
      <c r="C532" s="10"/>
      <c r="D532" s="10"/>
      <c r="E532" s="10"/>
      <c r="F532" s="11"/>
      <c r="G532" s="11"/>
      <c r="H532" s="11"/>
      <c r="I532" s="11"/>
      <c r="J532" s="11" t="str">
        <f>IFERROR(__xludf.DUMMYFUNCTION("iferror(if($B532="""", ,filter(Playoff_Stats!F:Z,Playoff_Stats!A:A=$B532,Playoff_Stats!B:B=$A532)))"),"")</f>
        <v/>
      </c>
      <c r="K532" s="11"/>
      <c r="L532" s="12"/>
      <c r="M532" s="11"/>
      <c r="N532" s="11"/>
      <c r="O532" s="13"/>
      <c r="P532" s="14"/>
      <c r="Q532" s="13"/>
      <c r="R532" s="13"/>
      <c r="S532" s="15"/>
      <c r="T532" s="16"/>
      <c r="U532" s="16"/>
      <c r="V532" s="16"/>
      <c r="W532" s="16"/>
      <c r="X532" s="16"/>
      <c r="Y532" s="11"/>
      <c r="Z532" s="11"/>
      <c r="AA532" s="11"/>
      <c r="AB532" s="11"/>
      <c r="AC532" s="11"/>
      <c r="AD532" s="11"/>
    </row>
    <row r="533">
      <c r="A533" s="10"/>
      <c r="B533" s="10"/>
      <c r="C533" s="10"/>
      <c r="D533" s="10"/>
      <c r="E533" s="10"/>
      <c r="F533" s="11"/>
      <c r="G533" s="11"/>
      <c r="H533" s="11"/>
      <c r="I533" s="11"/>
      <c r="J533" s="11" t="str">
        <f>IFERROR(__xludf.DUMMYFUNCTION("iferror(if($B533="""", ,filter(Playoff_Stats!F:Z,Playoff_Stats!A:A=$B533,Playoff_Stats!B:B=$A533)))"),"")</f>
        <v/>
      </c>
      <c r="K533" s="11"/>
      <c r="L533" s="12"/>
      <c r="M533" s="11"/>
      <c r="N533" s="11"/>
      <c r="O533" s="13"/>
      <c r="P533" s="14"/>
      <c r="Q533" s="13"/>
      <c r="R533" s="13"/>
      <c r="S533" s="15"/>
      <c r="T533" s="16"/>
      <c r="U533" s="16"/>
      <c r="V533" s="16"/>
      <c r="W533" s="16"/>
      <c r="X533" s="16"/>
      <c r="Y533" s="11"/>
      <c r="Z533" s="11"/>
      <c r="AA533" s="11"/>
      <c r="AB533" s="11"/>
      <c r="AC533" s="11"/>
      <c r="AD533" s="11"/>
    </row>
    <row r="534">
      <c r="A534" s="10"/>
      <c r="B534" s="10"/>
      <c r="C534" s="10"/>
      <c r="D534" s="10"/>
      <c r="E534" s="10"/>
      <c r="F534" s="11"/>
      <c r="G534" s="11"/>
      <c r="H534" s="11"/>
      <c r="I534" s="11"/>
      <c r="J534" s="11" t="str">
        <f>IFERROR(__xludf.DUMMYFUNCTION("iferror(if($B534="""", ,filter(Playoff_Stats!F:Z,Playoff_Stats!A:A=$B534,Playoff_Stats!B:B=$A534)))"),"")</f>
        <v/>
      </c>
      <c r="K534" s="11"/>
      <c r="L534" s="12"/>
      <c r="M534" s="11"/>
      <c r="N534" s="11"/>
      <c r="O534" s="13"/>
      <c r="P534" s="14"/>
      <c r="Q534" s="13"/>
      <c r="R534" s="13"/>
      <c r="S534" s="15"/>
      <c r="T534" s="16"/>
      <c r="U534" s="16"/>
      <c r="V534" s="16"/>
      <c r="W534" s="16"/>
      <c r="X534" s="16"/>
      <c r="Y534" s="11"/>
      <c r="Z534" s="11"/>
      <c r="AA534" s="11"/>
      <c r="AB534" s="11"/>
      <c r="AC534" s="11"/>
      <c r="AD534" s="11"/>
    </row>
    <row r="535">
      <c r="A535" s="10"/>
      <c r="B535" s="10"/>
      <c r="C535" s="10"/>
      <c r="D535" s="10"/>
      <c r="E535" s="10"/>
      <c r="F535" s="11"/>
      <c r="G535" s="11"/>
      <c r="H535" s="11"/>
      <c r="I535" s="11"/>
      <c r="J535" s="11" t="str">
        <f>IFERROR(__xludf.DUMMYFUNCTION("iferror(if($B535="""", ,filter(Playoff_Stats!F:Z,Playoff_Stats!A:A=$B535,Playoff_Stats!B:B=$A535)))"),"")</f>
        <v/>
      </c>
      <c r="K535" s="11"/>
      <c r="L535" s="12"/>
      <c r="M535" s="11"/>
      <c r="N535" s="11"/>
      <c r="O535" s="13"/>
      <c r="P535" s="14"/>
      <c r="Q535" s="13"/>
      <c r="R535" s="13"/>
      <c r="S535" s="15"/>
      <c r="T535" s="16"/>
      <c r="U535" s="16"/>
      <c r="V535" s="16"/>
      <c r="W535" s="16"/>
      <c r="X535" s="16"/>
      <c r="Y535" s="11"/>
      <c r="Z535" s="11"/>
      <c r="AA535" s="11"/>
      <c r="AB535" s="11"/>
      <c r="AC535" s="11"/>
      <c r="AD535" s="11"/>
    </row>
    <row r="536">
      <c r="A536" s="10"/>
      <c r="B536" s="10"/>
      <c r="C536" s="10"/>
      <c r="D536" s="10"/>
      <c r="E536" s="10"/>
      <c r="F536" s="11"/>
      <c r="G536" s="11"/>
      <c r="H536" s="11"/>
      <c r="I536" s="11"/>
      <c r="J536" s="11" t="str">
        <f>IFERROR(__xludf.DUMMYFUNCTION("iferror(if($B536="""", ,filter(Playoff_Stats!F:Z,Playoff_Stats!A:A=$B536,Playoff_Stats!B:B=$A536)))"),"")</f>
        <v/>
      </c>
      <c r="K536" s="11"/>
      <c r="L536" s="12"/>
      <c r="M536" s="11"/>
      <c r="N536" s="11"/>
      <c r="O536" s="13"/>
      <c r="P536" s="14"/>
      <c r="Q536" s="13"/>
      <c r="R536" s="13"/>
      <c r="S536" s="15"/>
      <c r="T536" s="16"/>
      <c r="U536" s="16"/>
      <c r="V536" s="16"/>
      <c r="W536" s="16"/>
      <c r="X536" s="16"/>
      <c r="Y536" s="11"/>
      <c r="Z536" s="11"/>
      <c r="AA536" s="11"/>
      <c r="AB536" s="11"/>
      <c r="AC536" s="11"/>
      <c r="AD536" s="11"/>
    </row>
    <row r="537">
      <c r="A537" s="10"/>
      <c r="B537" s="10"/>
      <c r="C537" s="10"/>
      <c r="D537" s="10"/>
      <c r="E537" s="10"/>
      <c r="F537" s="11"/>
      <c r="G537" s="11"/>
      <c r="H537" s="11"/>
      <c r="I537" s="11"/>
      <c r="J537" s="11" t="str">
        <f>IFERROR(__xludf.DUMMYFUNCTION("iferror(if($B537="""", ,filter(Playoff_Stats!F:Z,Playoff_Stats!A:A=$B537,Playoff_Stats!B:B=$A537)))"),"")</f>
        <v/>
      </c>
      <c r="K537" s="11"/>
      <c r="L537" s="12"/>
      <c r="M537" s="11"/>
      <c r="N537" s="11"/>
      <c r="O537" s="13"/>
      <c r="P537" s="14"/>
      <c r="Q537" s="13"/>
      <c r="R537" s="13"/>
      <c r="S537" s="15"/>
      <c r="T537" s="16"/>
      <c r="U537" s="16"/>
      <c r="V537" s="16"/>
      <c r="W537" s="16"/>
      <c r="X537" s="16"/>
      <c r="Y537" s="11"/>
      <c r="Z537" s="11"/>
      <c r="AA537" s="11"/>
      <c r="AB537" s="11"/>
      <c r="AC537" s="11"/>
      <c r="AD537" s="11"/>
    </row>
    <row r="538">
      <c r="A538" s="10"/>
      <c r="B538" s="10"/>
      <c r="C538" s="10"/>
      <c r="D538" s="10"/>
      <c r="E538" s="10"/>
      <c r="F538" s="11"/>
      <c r="G538" s="11"/>
      <c r="H538" s="11"/>
      <c r="I538" s="11"/>
      <c r="J538" s="11" t="str">
        <f>IFERROR(__xludf.DUMMYFUNCTION("iferror(if($B538="""", ,filter(Playoff_Stats!F:Z,Playoff_Stats!A:A=$B538,Playoff_Stats!B:B=$A538)))"),"")</f>
        <v/>
      </c>
      <c r="K538" s="11"/>
      <c r="L538" s="12"/>
      <c r="M538" s="11"/>
      <c r="N538" s="11"/>
      <c r="O538" s="13"/>
      <c r="P538" s="14"/>
      <c r="Q538" s="13"/>
      <c r="R538" s="13"/>
      <c r="S538" s="15"/>
      <c r="T538" s="16"/>
      <c r="U538" s="16"/>
      <c r="V538" s="16"/>
      <c r="W538" s="16"/>
      <c r="X538" s="16"/>
      <c r="Y538" s="11"/>
      <c r="Z538" s="11"/>
      <c r="AA538" s="11"/>
      <c r="AB538" s="11"/>
      <c r="AC538" s="11"/>
      <c r="AD538" s="11"/>
    </row>
    <row r="539">
      <c r="A539" s="10"/>
      <c r="B539" s="10"/>
      <c r="C539" s="10"/>
      <c r="D539" s="10"/>
      <c r="E539" s="10"/>
      <c r="F539" s="11"/>
      <c r="G539" s="11"/>
      <c r="H539" s="11"/>
      <c r="I539" s="11"/>
      <c r="J539" s="11" t="str">
        <f>IFERROR(__xludf.DUMMYFUNCTION("iferror(if($B539="""", ,filter(Playoff_Stats!F:Z,Playoff_Stats!A:A=$B539,Playoff_Stats!B:B=$A539)))"),"")</f>
        <v/>
      </c>
      <c r="K539" s="11"/>
      <c r="L539" s="12"/>
      <c r="M539" s="11"/>
      <c r="N539" s="11"/>
      <c r="O539" s="13"/>
      <c r="P539" s="14"/>
      <c r="Q539" s="13"/>
      <c r="R539" s="13"/>
      <c r="S539" s="15"/>
      <c r="T539" s="16"/>
      <c r="U539" s="16"/>
      <c r="V539" s="16"/>
      <c r="W539" s="16"/>
      <c r="X539" s="16"/>
      <c r="Y539" s="11"/>
      <c r="Z539" s="11"/>
      <c r="AA539" s="11"/>
      <c r="AB539" s="11"/>
      <c r="AC539" s="11"/>
      <c r="AD539" s="11"/>
    </row>
    <row r="540">
      <c r="A540" s="10"/>
      <c r="B540" s="10"/>
      <c r="C540" s="10"/>
      <c r="D540" s="10"/>
      <c r="E540" s="10"/>
      <c r="F540" s="11"/>
      <c r="G540" s="11"/>
      <c r="H540" s="11"/>
      <c r="I540" s="11"/>
      <c r="J540" s="11" t="str">
        <f>IFERROR(__xludf.DUMMYFUNCTION("iferror(if($B540="""", ,filter(Playoff_Stats!F:Z,Playoff_Stats!A:A=$B540,Playoff_Stats!B:B=$A540)))"),"")</f>
        <v/>
      </c>
      <c r="K540" s="11"/>
      <c r="L540" s="12"/>
      <c r="M540" s="11"/>
      <c r="N540" s="11"/>
      <c r="O540" s="13"/>
      <c r="P540" s="14"/>
      <c r="Q540" s="13"/>
      <c r="R540" s="13"/>
      <c r="S540" s="15"/>
      <c r="T540" s="16"/>
      <c r="U540" s="16"/>
      <c r="V540" s="16"/>
      <c r="W540" s="16"/>
      <c r="X540" s="16"/>
      <c r="Y540" s="11"/>
      <c r="Z540" s="11"/>
      <c r="AA540" s="11"/>
      <c r="AB540" s="11"/>
      <c r="AC540" s="11"/>
      <c r="AD540" s="11"/>
    </row>
    <row r="541">
      <c r="A541" s="10"/>
      <c r="B541" s="10"/>
      <c r="C541" s="10"/>
      <c r="D541" s="10"/>
      <c r="E541" s="10"/>
      <c r="F541" s="11"/>
      <c r="G541" s="11"/>
      <c r="H541" s="11"/>
      <c r="I541" s="11"/>
      <c r="J541" s="11" t="str">
        <f>IFERROR(__xludf.DUMMYFUNCTION("iferror(if($B541="""", ,filter(Playoff_Stats!F:Z,Playoff_Stats!A:A=$B541,Playoff_Stats!B:B=$A541)))"),"")</f>
        <v/>
      </c>
      <c r="K541" s="11"/>
      <c r="L541" s="12"/>
      <c r="M541" s="11"/>
      <c r="N541" s="11"/>
      <c r="O541" s="13"/>
      <c r="P541" s="14"/>
      <c r="Q541" s="13"/>
      <c r="R541" s="13"/>
      <c r="S541" s="15"/>
      <c r="T541" s="16"/>
      <c r="U541" s="16"/>
      <c r="V541" s="16"/>
      <c r="W541" s="16"/>
      <c r="X541" s="16"/>
      <c r="Y541" s="11"/>
      <c r="Z541" s="11"/>
      <c r="AA541" s="11"/>
      <c r="AB541" s="11"/>
      <c r="AC541" s="11"/>
      <c r="AD541" s="11"/>
    </row>
    <row r="542">
      <c r="A542" s="10"/>
      <c r="B542" s="10"/>
      <c r="C542" s="10"/>
      <c r="D542" s="10"/>
      <c r="E542" s="10"/>
      <c r="F542" s="11"/>
      <c r="G542" s="11"/>
      <c r="H542" s="11"/>
      <c r="I542" s="11"/>
      <c r="J542" s="11" t="str">
        <f>IFERROR(__xludf.DUMMYFUNCTION("iferror(if($B542="""", ,filter(Playoff_Stats!F:Z,Playoff_Stats!A:A=$B542,Playoff_Stats!B:B=$A542)))"),"")</f>
        <v/>
      </c>
      <c r="K542" s="11"/>
      <c r="L542" s="12"/>
      <c r="M542" s="11"/>
      <c r="N542" s="11"/>
      <c r="O542" s="13"/>
      <c r="P542" s="14"/>
      <c r="Q542" s="13"/>
      <c r="R542" s="13"/>
      <c r="S542" s="15"/>
      <c r="T542" s="16"/>
      <c r="U542" s="16"/>
      <c r="V542" s="16"/>
      <c r="W542" s="16"/>
      <c r="X542" s="16"/>
      <c r="Y542" s="11"/>
      <c r="Z542" s="11"/>
      <c r="AA542" s="11"/>
      <c r="AB542" s="11"/>
      <c r="AC542" s="11"/>
      <c r="AD542" s="11"/>
    </row>
    <row r="543">
      <c r="A543" s="10"/>
      <c r="B543" s="10"/>
      <c r="C543" s="10"/>
      <c r="D543" s="10"/>
      <c r="E543" s="10"/>
      <c r="F543" s="11"/>
      <c r="G543" s="11"/>
      <c r="H543" s="11"/>
      <c r="I543" s="11"/>
      <c r="J543" s="11" t="str">
        <f>IFERROR(__xludf.DUMMYFUNCTION("iferror(if($B543="""", ,filter(Playoff_Stats!F:Z,Playoff_Stats!A:A=$B543,Playoff_Stats!B:B=$A543)))"),"")</f>
        <v/>
      </c>
      <c r="K543" s="11"/>
      <c r="L543" s="12"/>
      <c r="M543" s="11"/>
      <c r="N543" s="11"/>
      <c r="O543" s="13"/>
      <c r="P543" s="14"/>
      <c r="Q543" s="13"/>
      <c r="R543" s="13"/>
      <c r="S543" s="15"/>
      <c r="T543" s="16"/>
      <c r="U543" s="16"/>
      <c r="V543" s="16"/>
      <c r="W543" s="16"/>
      <c r="X543" s="16"/>
      <c r="Y543" s="11"/>
      <c r="Z543" s="11"/>
      <c r="AA543" s="11"/>
      <c r="AB543" s="11"/>
      <c r="AC543" s="11"/>
      <c r="AD543" s="11"/>
    </row>
    <row r="544">
      <c r="A544" s="10"/>
      <c r="B544" s="10"/>
      <c r="C544" s="10"/>
      <c r="D544" s="10"/>
      <c r="E544" s="10"/>
      <c r="F544" s="11"/>
      <c r="G544" s="11"/>
      <c r="H544" s="11"/>
      <c r="I544" s="11"/>
      <c r="J544" s="11" t="str">
        <f>IFERROR(__xludf.DUMMYFUNCTION("iferror(if($B544="""", ,filter(Playoff_Stats!F:Z,Playoff_Stats!A:A=$B544,Playoff_Stats!B:B=$A544)))"),"")</f>
        <v/>
      </c>
      <c r="K544" s="11"/>
      <c r="L544" s="12"/>
      <c r="M544" s="11"/>
      <c r="N544" s="11"/>
      <c r="O544" s="13"/>
      <c r="P544" s="14"/>
      <c r="Q544" s="13"/>
      <c r="R544" s="13"/>
      <c r="S544" s="15"/>
      <c r="T544" s="16"/>
      <c r="U544" s="16"/>
      <c r="V544" s="16"/>
      <c r="W544" s="16"/>
      <c r="X544" s="16"/>
      <c r="Y544" s="11"/>
      <c r="Z544" s="11"/>
      <c r="AA544" s="11"/>
      <c r="AB544" s="11"/>
      <c r="AC544" s="11"/>
      <c r="AD544" s="11"/>
    </row>
    <row r="545">
      <c r="A545" s="10"/>
      <c r="B545" s="10"/>
      <c r="C545" s="10"/>
      <c r="D545" s="10"/>
      <c r="E545" s="10"/>
      <c r="F545" s="11"/>
      <c r="G545" s="11"/>
      <c r="H545" s="11"/>
      <c r="I545" s="11"/>
      <c r="J545" s="11" t="str">
        <f>IFERROR(__xludf.DUMMYFUNCTION("iferror(if($B545="""", ,filter(Playoff_Stats!F:Z,Playoff_Stats!A:A=$B545,Playoff_Stats!B:B=$A545)))"),"")</f>
        <v/>
      </c>
      <c r="K545" s="11"/>
      <c r="L545" s="12"/>
      <c r="M545" s="11"/>
      <c r="N545" s="11"/>
      <c r="O545" s="13"/>
      <c r="P545" s="14"/>
      <c r="Q545" s="13"/>
      <c r="R545" s="13"/>
      <c r="S545" s="15"/>
      <c r="T545" s="16"/>
      <c r="U545" s="16"/>
      <c r="V545" s="16"/>
      <c r="W545" s="16"/>
      <c r="X545" s="16"/>
      <c r="Y545" s="11"/>
      <c r="Z545" s="11"/>
      <c r="AA545" s="11"/>
      <c r="AB545" s="11"/>
      <c r="AC545" s="11"/>
      <c r="AD545" s="11"/>
    </row>
    <row r="546">
      <c r="A546" s="10"/>
      <c r="B546" s="10"/>
      <c r="C546" s="10"/>
      <c r="D546" s="10"/>
      <c r="E546" s="10"/>
      <c r="F546" s="11"/>
      <c r="G546" s="11"/>
      <c r="H546" s="11"/>
      <c r="I546" s="11"/>
      <c r="J546" s="11" t="str">
        <f>IFERROR(__xludf.DUMMYFUNCTION("iferror(if($B546="""", ,filter(Playoff_Stats!F:Z,Playoff_Stats!A:A=$B546,Playoff_Stats!B:B=$A546)))"),"")</f>
        <v/>
      </c>
      <c r="K546" s="11"/>
      <c r="L546" s="12"/>
      <c r="M546" s="11"/>
      <c r="N546" s="11"/>
      <c r="O546" s="13"/>
      <c r="P546" s="14"/>
      <c r="Q546" s="13"/>
      <c r="R546" s="13"/>
      <c r="S546" s="15"/>
      <c r="T546" s="16"/>
      <c r="U546" s="16"/>
      <c r="V546" s="16"/>
      <c r="W546" s="16"/>
      <c r="X546" s="16"/>
      <c r="Y546" s="11"/>
      <c r="Z546" s="11"/>
      <c r="AA546" s="11"/>
      <c r="AB546" s="11"/>
      <c r="AC546" s="11"/>
      <c r="AD546" s="11"/>
    </row>
    <row r="547">
      <c r="A547" s="10"/>
      <c r="B547" s="10"/>
      <c r="C547" s="10"/>
      <c r="D547" s="10"/>
      <c r="E547" s="10"/>
      <c r="F547" s="11"/>
      <c r="G547" s="11"/>
      <c r="H547" s="11"/>
      <c r="I547" s="11"/>
      <c r="J547" s="11" t="str">
        <f>IFERROR(__xludf.DUMMYFUNCTION("iferror(if($B547="""", ,filter(Playoff_Stats!F:Z,Playoff_Stats!A:A=$B547,Playoff_Stats!B:B=$A547)))"),"")</f>
        <v/>
      </c>
      <c r="K547" s="11"/>
      <c r="L547" s="12"/>
      <c r="M547" s="11"/>
      <c r="N547" s="11"/>
      <c r="O547" s="13"/>
      <c r="P547" s="14"/>
      <c r="Q547" s="13"/>
      <c r="R547" s="13"/>
      <c r="S547" s="15"/>
      <c r="T547" s="16"/>
      <c r="U547" s="16"/>
      <c r="V547" s="16"/>
      <c r="W547" s="16"/>
      <c r="X547" s="16"/>
      <c r="Y547" s="11"/>
      <c r="Z547" s="11"/>
      <c r="AA547" s="11"/>
      <c r="AB547" s="11"/>
      <c r="AC547" s="11"/>
      <c r="AD547" s="11"/>
    </row>
    <row r="548">
      <c r="A548" s="10"/>
      <c r="B548" s="10"/>
      <c r="C548" s="10"/>
      <c r="D548" s="10"/>
      <c r="E548" s="10"/>
      <c r="F548" s="11"/>
      <c r="G548" s="11"/>
      <c r="H548" s="11"/>
      <c r="I548" s="11"/>
      <c r="J548" s="11" t="str">
        <f>IFERROR(__xludf.DUMMYFUNCTION("iferror(if($B548="""", ,filter(Playoff_Stats!F:Z,Playoff_Stats!A:A=$B548,Playoff_Stats!B:B=$A548)))"),"")</f>
        <v/>
      </c>
      <c r="K548" s="11"/>
      <c r="L548" s="12"/>
      <c r="M548" s="11"/>
      <c r="N548" s="11"/>
      <c r="O548" s="13"/>
      <c r="P548" s="14"/>
      <c r="Q548" s="13"/>
      <c r="R548" s="13"/>
      <c r="S548" s="15"/>
      <c r="T548" s="16"/>
      <c r="U548" s="16"/>
      <c r="V548" s="16"/>
      <c r="W548" s="16"/>
      <c r="X548" s="16"/>
      <c r="Y548" s="11"/>
      <c r="Z548" s="11"/>
      <c r="AA548" s="11"/>
      <c r="AB548" s="11"/>
      <c r="AC548" s="11"/>
      <c r="AD548" s="11"/>
    </row>
    <row r="549">
      <c r="A549" s="10"/>
      <c r="B549" s="10"/>
      <c r="C549" s="10"/>
      <c r="D549" s="10"/>
      <c r="E549" s="10"/>
      <c r="F549" s="11"/>
      <c r="G549" s="11"/>
      <c r="H549" s="11"/>
      <c r="I549" s="11"/>
      <c r="J549" s="11" t="str">
        <f>IFERROR(__xludf.DUMMYFUNCTION("iferror(if($B549="""", ,filter(Playoff_Stats!F:Z,Playoff_Stats!A:A=$B549,Playoff_Stats!B:B=$A549)))"),"")</f>
        <v/>
      </c>
      <c r="K549" s="11"/>
      <c r="L549" s="12"/>
      <c r="M549" s="11"/>
      <c r="N549" s="11"/>
      <c r="O549" s="13"/>
      <c r="P549" s="14"/>
      <c r="Q549" s="13"/>
      <c r="R549" s="13"/>
      <c r="S549" s="15"/>
      <c r="T549" s="16"/>
      <c r="U549" s="16"/>
      <c r="V549" s="16"/>
      <c r="W549" s="16"/>
      <c r="X549" s="16"/>
      <c r="Y549" s="11"/>
      <c r="Z549" s="11"/>
      <c r="AA549" s="11"/>
      <c r="AB549" s="11"/>
      <c r="AC549" s="11"/>
      <c r="AD549" s="11"/>
    </row>
    <row r="550">
      <c r="A550" s="10"/>
      <c r="B550" s="10"/>
      <c r="C550" s="10"/>
      <c r="D550" s="10"/>
      <c r="E550" s="10"/>
      <c r="F550" s="11"/>
      <c r="G550" s="11"/>
      <c r="H550" s="11"/>
      <c r="I550" s="11"/>
      <c r="J550" s="11" t="str">
        <f>IFERROR(__xludf.DUMMYFUNCTION("iferror(if($B550="""", ,filter(Playoff_Stats!F:Z,Playoff_Stats!A:A=$B550,Playoff_Stats!B:B=$A550)))"),"")</f>
        <v/>
      </c>
      <c r="K550" s="11"/>
      <c r="L550" s="12"/>
      <c r="M550" s="11"/>
      <c r="N550" s="11"/>
      <c r="O550" s="13"/>
      <c r="P550" s="14"/>
      <c r="Q550" s="13"/>
      <c r="R550" s="13"/>
      <c r="S550" s="15"/>
      <c r="T550" s="16"/>
      <c r="U550" s="16"/>
      <c r="V550" s="16"/>
      <c r="W550" s="16"/>
      <c r="X550" s="16"/>
      <c r="Y550" s="11"/>
      <c r="Z550" s="11"/>
      <c r="AA550" s="11"/>
      <c r="AB550" s="11"/>
      <c r="AC550" s="11"/>
      <c r="AD550" s="11"/>
    </row>
    <row r="551">
      <c r="A551" s="10"/>
      <c r="B551" s="10"/>
      <c r="C551" s="10"/>
      <c r="D551" s="10"/>
      <c r="E551" s="10"/>
      <c r="F551" s="11"/>
      <c r="G551" s="11"/>
      <c r="H551" s="11"/>
      <c r="I551" s="11"/>
      <c r="J551" s="11" t="str">
        <f>IFERROR(__xludf.DUMMYFUNCTION("iferror(if($B551="""", ,filter(Playoff_Stats!F:Z,Playoff_Stats!A:A=$B551,Playoff_Stats!B:B=$A551)))"),"")</f>
        <v/>
      </c>
      <c r="K551" s="11"/>
      <c r="L551" s="12"/>
      <c r="M551" s="11"/>
      <c r="N551" s="11"/>
      <c r="O551" s="13"/>
      <c r="P551" s="14"/>
      <c r="Q551" s="13"/>
      <c r="R551" s="13"/>
      <c r="S551" s="15"/>
      <c r="T551" s="16"/>
      <c r="U551" s="16"/>
      <c r="V551" s="16"/>
      <c r="W551" s="16"/>
      <c r="X551" s="16"/>
      <c r="Y551" s="11"/>
      <c r="Z551" s="11"/>
      <c r="AA551" s="11"/>
      <c r="AB551" s="11"/>
      <c r="AC551" s="11"/>
      <c r="AD551" s="11"/>
    </row>
    <row r="552">
      <c r="A552" s="10"/>
      <c r="B552" s="10"/>
      <c r="C552" s="10"/>
      <c r="D552" s="10"/>
      <c r="E552" s="10"/>
      <c r="F552" s="11"/>
      <c r="G552" s="11"/>
      <c r="H552" s="11"/>
      <c r="I552" s="11"/>
      <c r="J552" s="11" t="str">
        <f>IFERROR(__xludf.DUMMYFUNCTION("iferror(if($B552="""", ,filter(Playoff_Stats!F:Z,Playoff_Stats!A:A=$B552,Playoff_Stats!B:B=$A552)))"),"")</f>
        <v/>
      </c>
      <c r="K552" s="11"/>
      <c r="L552" s="12"/>
      <c r="M552" s="11"/>
      <c r="N552" s="11"/>
      <c r="O552" s="13"/>
      <c r="P552" s="14"/>
      <c r="Q552" s="13"/>
      <c r="R552" s="13"/>
      <c r="S552" s="15"/>
      <c r="T552" s="16"/>
      <c r="U552" s="16"/>
      <c r="V552" s="16"/>
      <c r="W552" s="16"/>
      <c r="X552" s="16"/>
      <c r="Y552" s="11"/>
      <c r="Z552" s="11"/>
      <c r="AA552" s="11"/>
      <c r="AB552" s="11"/>
      <c r="AC552" s="11"/>
      <c r="AD552" s="11"/>
    </row>
    <row r="553">
      <c r="A553" s="10"/>
      <c r="B553" s="10"/>
      <c r="C553" s="10"/>
      <c r="D553" s="10"/>
      <c r="E553" s="10"/>
      <c r="F553" s="11"/>
      <c r="G553" s="11"/>
      <c r="H553" s="11"/>
      <c r="I553" s="11"/>
      <c r="J553" s="11" t="str">
        <f>IFERROR(__xludf.DUMMYFUNCTION("iferror(if($B553="""", ,filter(Playoff_Stats!F:Z,Playoff_Stats!A:A=$B553,Playoff_Stats!B:B=$A553)))"),"")</f>
        <v/>
      </c>
      <c r="K553" s="11"/>
      <c r="L553" s="12"/>
      <c r="M553" s="11"/>
      <c r="N553" s="11"/>
      <c r="O553" s="13"/>
      <c r="P553" s="14"/>
      <c r="Q553" s="13"/>
      <c r="R553" s="13"/>
      <c r="S553" s="15"/>
      <c r="T553" s="16"/>
      <c r="U553" s="16"/>
      <c r="V553" s="16"/>
      <c r="W553" s="16"/>
      <c r="X553" s="16"/>
      <c r="Y553" s="11"/>
      <c r="Z553" s="11"/>
      <c r="AA553" s="11"/>
      <c r="AB553" s="11"/>
      <c r="AC553" s="11"/>
      <c r="AD553" s="11"/>
    </row>
    <row r="554">
      <c r="A554" s="10"/>
      <c r="B554" s="10"/>
      <c r="C554" s="10"/>
      <c r="D554" s="10"/>
      <c r="E554" s="10"/>
      <c r="F554" s="11"/>
      <c r="G554" s="11"/>
      <c r="H554" s="11"/>
      <c r="I554" s="11"/>
      <c r="J554" s="11" t="str">
        <f>IFERROR(__xludf.DUMMYFUNCTION("iferror(if($B554="""", ,filter(Playoff_Stats!F:Z,Playoff_Stats!A:A=$B554,Playoff_Stats!B:B=$A554)))"),"")</f>
        <v/>
      </c>
      <c r="K554" s="11"/>
      <c r="L554" s="12"/>
      <c r="M554" s="11"/>
      <c r="N554" s="11"/>
      <c r="O554" s="13"/>
      <c r="P554" s="14"/>
      <c r="Q554" s="13"/>
      <c r="R554" s="13"/>
      <c r="S554" s="15"/>
      <c r="T554" s="16"/>
      <c r="U554" s="16"/>
      <c r="V554" s="16"/>
      <c r="W554" s="16"/>
      <c r="X554" s="16"/>
      <c r="Y554" s="11"/>
      <c r="Z554" s="11"/>
      <c r="AA554" s="11"/>
      <c r="AB554" s="11"/>
      <c r="AC554" s="11"/>
      <c r="AD554" s="11"/>
    </row>
    <row r="555">
      <c r="A555" s="10"/>
      <c r="B555" s="10"/>
      <c r="C555" s="10"/>
      <c r="D555" s="10"/>
      <c r="E555" s="10"/>
      <c r="F555" s="11"/>
      <c r="G555" s="11"/>
      <c r="H555" s="11"/>
      <c r="I555" s="11"/>
      <c r="J555" s="11" t="str">
        <f>IFERROR(__xludf.DUMMYFUNCTION("iferror(if($B555="""", ,filter(Playoff_Stats!F:Z,Playoff_Stats!A:A=$B555,Playoff_Stats!B:B=$A555)))"),"")</f>
        <v/>
      </c>
      <c r="K555" s="11"/>
      <c r="L555" s="12"/>
      <c r="M555" s="11"/>
      <c r="N555" s="11"/>
      <c r="O555" s="13"/>
      <c r="P555" s="14"/>
      <c r="Q555" s="13"/>
      <c r="R555" s="13"/>
      <c r="S555" s="15"/>
      <c r="T555" s="16"/>
      <c r="U555" s="16"/>
      <c r="V555" s="16"/>
      <c r="W555" s="16"/>
      <c r="X555" s="16"/>
      <c r="Y555" s="11"/>
      <c r="Z555" s="11"/>
      <c r="AA555" s="11"/>
      <c r="AB555" s="11"/>
      <c r="AC555" s="11"/>
      <c r="AD555" s="11"/>
    </row>
    <row r="556">
      <c r="A556" s="10"/>
      <c r="B556" s="10"/>
      <c r="C556" s="10"/>
      <c r="D556" s="10"/>
      <c r="E556" s="10"/>
      <c r="F556" s="11"/>
      <c r="G556" s="11"/>
      <c r="H556" s="11"/>
      <c r="I556" s="11"/>
      <c r="J556" s="11" t="str">
        <f>IFERROR(__xludf.DUMMYFUNCTION("iferror(if($B556="""", ,filter(Playoff_Stats!F:Z,Playoff_Stats!A:A=$B556,Playoff_Stats!B:B=$A556)))"),"")</f>
        <v/>
      </c>
      <c r="K556" s="11"/>
      <c r="L556" s="12"/>
      <c r="M556" s="11"/>
      <c r="N556" s="11"/>
      <c r="O556" s="13"/>
      <c r="P556" s="14"/>
      <c r="Q556" s="13"/>
      <c r="R556" s="13"/>
      <c r="S556" s="15"/>
      <c r="T556" s="16"/>
      <c r="U556" s="16"/>
      <c r="V556" s="16"/>
      <c r="W556" s="16"/>
      <c r="X556" s="16"/>
      <c r="Y556" s="11"/>
      <c r="Z556" s="11"/>
      <c r="AA556" s="11"/>
      <c r="AB556" s="11"/>
      <c r="AC556" s="11"/>
      <c r="AD556" s="11"/>
    </row>
    <row r="557">
      <c r="A557" s="10"/>
      <c r="B557" s="10"/>
      <c r="C557" s="10"/>
      <c r="D557" s="10"/>
      <c r="E557" s="10"/>
      <c r="F557" s="11"/>
      <c r="G557" s="11"/>
      <c r="H557" s="11"/>
      <c r="I557" s="11"/>
      <c r="J557" s="11" t="str">
        <f>IFERROR(__xludf.DUMMYFUNCTION("iferror(if($B557="""", ,filter(Playoff_Stats!F:Z,Playoff_Stats!A:A=$B557,Playoff_Stats!B:B=$A557)))"),"")</f>
        <v/>
      </c>
      <c r="K557" s="11"/>
      <c r="L557" s="12"/>
      <c r="M557" s="11"/>
      <c r="N557" s="11"/>
      <c r="O557" s="13"/>
      <c r="P557" s="14"/>
      <c r="Q557" s="13"/>
      <c r="R557" s="13"/>
      <c r="S557" s="15"/>
      <c r="T557" s="16"/>
      <c r="U557" s="16"/>
      <c r="V557" s="16"/>
      <c r="W557" s="16"/>
      <c r="X557" s="16"/>
      <c r="Y557" s="11"/>
      <c r="Z557" s="11"/>
      <c r="AA557" s="11"/>
      <c r="AB557" s="11"/>
      <c r="AC557" s="11"/>
      <c r="AD557" s="11"/>
    </row>
    <row r="558">
      <c r="A558" s="10"/>
      <c r="B558" s="10"/>
      <c r="C558" s="10"/>
      <c r="D558" s="10"/>
      <c r="E558" s="10"/>
      <c r="F558" s="11"/>
      <c r="G558" s="11"/>
      <c r="H558" s="11"/>
      <c r="I558" s="11"/>
      <c r="J558" s="11" t="str">
        <f>IFERROR(__xludf.DUMMYFUNCTION("iferror(if($B558="""", ,filter(Playoff_Stats!F:Z,Playoff_Stats!A:A=$B558,Playoff_Stats!B:B=$A558)))"),"")</f>
        <v/>
      </c>
      <c r="K558" s="11"/>
      <c r="L558" s="12"/>
      <c r="M558" s="11"/>
      <c r="N558" s="11"/>
      <c r="O558" s="13"/>
      <c r="P558" s="14"/>
      <c r="Q558" s="13"/>
      <c r="R558" s="13"/>
      <c r="S558" s="15"/>
      <c r="T558" s="16"/>
      <c r="U558" s="16"/>
      <c r="V558" s="16"/>
      <c r="W558" s="16"/>
      <c r="X558" s="16"/>
      <c r="Y558" s="11"/>
      <c r="Z558" s="11"/>
      <c r="AA558" s="11"/>
      <c r="AB558" s="11"/>
      <c r="AC558" s="11"/>
      <c r="AD558" s="11"/>
    </row>
    <row r="559">
      <c r="A559" s="10"/>
      <c r="B559" s="10"/>
      <c r="C559" s="10"/>
      <c r="D559" s="10"/>
      <c r="E559" s="10"/>
      <c r="F559" s="11"/>
      <c r="G559" s="11"/>
      <c r="H559" s="11"/>
      <c r="I559" s="11"/>
      <c r="J559" s="11" t="str">
        <f>IFERROR(__xludf.DUMMYFUNCTION("iferror(if($B559="""", ,filter(Playoff_Stats!F:Z,Playoff_Stats!A:A=$B559,Playoff_Stats!B:B=$A559)))"),"")</f>
        <v/>
      </c>
      <c r="K559" s="11"/>
      <c r="L559" s="12"/>
      <c r="M559" s="11"/>
      <c r="N559" s="11"/>
      <c r="O559" s="13"/>
      <c r="P559" s="14"/>
      <c r="Q559" s="13"/>
      <c r="R559" s="13"/>
      <c r="S559" s="15"/>
      <c r="T559" s="16"/>
      <c r="U559" s="16"/>
      <c r="V559" s="16"/>
      <c r="W559" s="16"/>
      <c r="X559" s="16"/>
      <c r="Y559" s="11"/>
      <c r="Z559" s="11"/>
      <c r="AA559" s="11"/>
      <c r="AB559" s="11"/>
      <c r="AC559" s="11"/>
      <c r="AD559" s="11"/>
    </row>
    <row r="560">
      <c r="A560" s="10"/>
      <c r="B560" s="10"/>
      <c r="C560" s="10"/>
      <c r="D560" s="10"/>
      <c r="E560" s="10"/>
      <c r="F560" s="11"/>
      <c r="G560" s="11"/>
      <c r="H560" s="11"/>
      <c r="I560" s="11"/>
      <c r="J560" s="11" t="str">
        <f>IFERROR(__xludf.DUMMYFUNCTION("iferror(if($B560="""", ,filter(Playoff_Stats!F:Z,Playoff_Stats!A:A=$B560,Playoff_Stats!B:B=$A560)))"),"")</f>
        <v/>
      </c>
      <c r="K560" s="11"/>
      <c r="L560" s="12"/>
      <c r="M560" s="11"/>
      <c r="N560" s="11"/>
      <c r="O560" s="13"/>
      <c r="P560" s="14"/>
      <c r="Q560" s="13"/>
      <c r="R560" s="13"/>
      <c r="S560" s="15"/>
      <c r="T560" s="16"/>
      <c r="U560" s="16"/>
      <c r="V560" s="16"/>
      <c r="W560" s="16"/>
      <c r="X560" s="16"/>
      <c r="Y560" s="11"/>
      <c r="Z560" s="11"/>
      <c r="AA560" s="11"/>
      <c r="AB560" s="11"/>
      <c r="AC560" s="11"/>
      <c r="AD560" s="11"/>
    </row>
    <row r="561">
      <c r="A561" s="10"/>
      <c r="B561" s="10"/>
      <c r="C561" s="10"/>
      <c r="D561" s="10"/>
      <c r="E561" s="10"/>
      <c r="F561" s="11"/>
      <c r="G561" s="11"/>
      <c r="H561" s="11"/>
      <c r="I561" s="11"/>
      <c r="J561" s="11" t="str">
        <f>IFERROR(__xludf.DUMMYFUNCTION("iferror(if($B561="""", ,filter(Playoff_Stats!F:Z,Playoff_Stats!A:A=$B561,Playoff_Stats!B:B=$A561)))"),"")</f>
        <v/>
      </c>
      <c r="K561" s="11"/>
      <c r="L561" s="12"/>
      <c r="M561" s="11"/>
      <c r="N561" s="11"/>
      <c r="O561" s="13"/>
      <c r="P561" s="14"/>
      <c r="Q561" s="13"/>
      <c r="R561" s="13"/>
      <c r="S561" s="15"/>
      <c r="T561" s="16"/>
      <c r="U561" s="16"/>
      <c r="V561" s="16"/>
      <c r="W561" s="16"/>
      <c r="X561" s="16"/>
      <c r="Y561" s="11"/>
      <c r="Z561" s="11"/>
      <c r="AA561" s="11"/>
      <c r="AB561" s="11"/>
      <c r="AC561" s="11"/>
      <c r="AD561" s="11"/>
    </row>
    <row r="562">
      <c r="A562" s="10"/>
      <c r="B562" s="10"/>
      <c r="C562" s="10"/>
      <c r="D562" s="10"/>
      <c r="E562" s="10"/>
      <c r="F562" s="11"/>
      <c r="G562" s="11"/>
      <c r="H562" s="11"/>
      <c r="I562" s="11"/>
      <c r="J562" s="11" t="str">
        <f>IFERROR(__xludf.DUMMYFUNCTION("iferror(if($B562="""", ,filter(Playoff_Stats!F:Z,Playoff_Stats!A:A=$B562,Playoff_Stats!B:B=$A562)))"),"")</f>
        <v/>
      </c>
      <c r="K562" s="11"/>
      <c r="L562" s="12"/>
      <c r="M562" s="11"/>
      <c r="N562" s="11"/>
      <c r="O562" s="13"/>
      <c r="P562" s="14"/>
      <c r="Q562" s="13"/>
      <c r="R562" s="13"/>
      <c r="S562" s="15"/>
      <c r="T562" s="16"/>
      <c r="U562" s="16"/>
      <c r="V562" s="16"/>
      <c r="W562" s="16"/>
      <c r="X562" s="16"/>
      <c r="Y562" s="11"/>
      <c r="Z562" s="11"/>
      <c r="AA562" s="11"/>
      <c r="AB562" s="11"/>
      <c r="AC562" s="11"/>
      <c r="AD562" s="11"/>
    </row>
    <row r="563">
      <c r="A563" s="10"/>
      <c r="B563" s="10"/>
      <c r="C563" s="10"/>
      <c r="D563" s="10"/>
      <c r="E563" s="10"/>
      <c r="F563" s="11"/>
      <c r="G563" s="11"/>
      <c r="H563" s="11"/>
      <c r="I563" s="11"/>
      <c r="J563" s="11" t="str">
        <f>IFERROR(__xludf.DUMMYFUNCTION("iferror(if($B563="""", ,filter(Playoff_Stats!F:Z,Playoff_Stats!A:A=$B563,Playoff_Stats!B:B=$A563)))"),"")</f>
        <v/>
      </c>
      <c r="K563" s="11"/>
      <c r="L563" s="12"/>
      <c r="M563" s="11"/>
      <c r="N563" s="11"/>
      <c r="O563" s="13"/>
      <c r="P563" s="14"/>
      <c r="Q563" s="13"/>
      <c r="R563" s="13"/>
      <c r="S563" s="15"/>
      <c r="T563" s="16"/>
      <c r="U563" s="16"/>
      <c r="V563" s="16"/>
      <c r="W563" s="16"/>
      <c r="X563" s="16"/>
      <c r="Y563" s="11"/>
      <c r="Z563" s="11"/>
      <c r="AA563" s="11"/>
      <c r="AB563" s="11"/>
      <c r="AC563" s="11"/>
      <c r="AD563" s="11"/>
    </row>
    <row r="564">
      <c r="A564" s="10"/>
      <c r="B564" s="10"/>
      <c r="C564" s="10"/>
      <c r="D564" s="10"/>
      <c r="E564" s="10"/>
      <c r="F564" s="11"/>
      <c r="G564" s="11"/>
      <c r="H564" s="11"/>
      <c r="I564" s="11"/>
      <c r="J564" s="11" t="str">
        <f>IFERROR(__xludf.DUMMYFUNCTION("iferror(if($B564="""", ,filter(Playoff_Stats!F:Z,Playoff_Stats!A:A=$B564,Playoff_Stats!B:B=$A564)))"),"")</f>
        <v/>
      </c>
      <c r="K564" s="11"/>
      <c r="L564" s="12"/>
      <c r="M564" s="11"/>
      <c r="N564" s="11"/>
      <c r="O564" s="13"/>
      <c r="P564" s="14"/>
      <c r="Q564" s="13"/>
      <c r="R564" s="13"/>
      <c r="S564" s="15"/>
      <c r="T564" s="16"/>
      <c r="U564" s="16"/>
      <c r="V564" s="16"/>
      <c r="W564" s="16"/>
      <c r="X564" s="16"/>
      <c r="Y564" s="11"/>
      <c r="Z564" s="11"/>
      <c r="AA564" s="11"/>
      <c r="AB564" s="11"/>
      <c r="AC564" s="11"/>
      <c r="AD564" s="11"/>
    </row>
    <row r="565">
      <c r="A565" s="10"/>
      <c r="B565" s="10"/>
      <c r="C565" s="10"/>
      <c r="D565" s="10"/>
      <c r="E565" s="10"/>
      <c r="F565" s="11"/>
      <c r="G565" s="11"/>
      <c r="H565" s="11"/>
      <c r="I565" s="11"/>
      <c r="J565" s="11" t="str">
        <f>IFERROR(__xludf.DUMMYFUNCTION("iferror(if($B565="""", ,filter(Playoff_Stats!F:Z,Playoff_Stats!A:A=$B565,Playoff_Stats!B:B=$A565)))"),"")</f>
        <v/>
      </c>
      <c r="K565" s="11"/>
      <c r="L565" s="12"/>
      <c r="M565" s="11"/>
      <c r="N565" s="11"/>
      <c r="O565" s="13"/>
      <c r="P565" s="14"/>
      <c r="Q565" s="13"/>
      <c r="R565" s="13"/>
      <c r="S565" s="15"/>
      <c r="T565" s="16"/>
      <c r="U565" s="16"/>
      <c r="V565" s="16"/>
      <c r="W565" s="16"/>
      <c r="X565" s="16"/>
      <c r="Y565" s="11"/>
      <c r="Z565" s="11"/>
      <c r="AA565" s="11"/>
      <c r="AB565" s="11"/>
      <c r="AC565" s="11"/>
      <c r="AD565" s="11"/>
    </row>
    <row r="566">
      <c r="A566" s="10"/>
      <c r="B566" s="10"/>
      <c r="C566" s="10"/>
      <c r="D566" s="10"/>
      <c r="E566" s="10"/>
      <c r="F566" s="11"/>
      <c r="G566" s="11"/>
      <c r="H566" s="11"/>
      <c r="I566" s="11"/>
      <c r="J566" s="11" t="str">
        <f>IFERROR(__xludf.DUMMYFUNCTION("iferror(if($B566="""", ,filter(Playoff_Stats!F:Z,Playoff_Stats!A:A=$B566,Playoff_Stats!B:B=$A566)))"),"")</f>
        <v/>
      </c>
      <c r="K566" s="11"/>
      <c r="L566" s="12"/>
      <c r="M566" s="11"/>
      <c r="N566" s="11"/>
      <c r="O566" s="13"/>
      <c r="P566" s="14"/>
      <c r="Q566" s="13"/>
      <c r="R566" s="13"/>
      <c r="S566" s="15"/>
      <c r="T566" s="16"/>
      <c r="U566" s="16"/>
      <c r="V566" s="16"/>
      <c r="W566" s="16"/>
      <c r="X566" s="16"/>
      <c r="Y566" s="11"/>
      <c r="Z566" s="11"/>
      <c r="AA566" s="11"/>
      <c r="AB566" s="11"/>
      <c r="AC566" s="11"/>
      <c r="AD566" s="11"/>
    </row>
    <row r="567">
      <c r="A567" s="10"/>
      <c r="B567" s="10"/>
      <c r="C567" s="10"/>
      <c r="D567" s="10"/>
      <c r="E567" s="10"/>
      <c r="F567" s="11"/>
      <c r="G567" s="11"/>
      <c r="H567" s="11"/>
      <c r="I567" s="11"/>
      <c r="J567" s="11" t="str">
        <f>IFERROR(__xludf.DUMMYFUNCTION("iferror(if($B567="""", ,filter(Playoff_Stats!F:Z,Playoff_Stats!A:A=$B567,Playoff_Stats!B:B=$A567)))"),"")</f>
        <v/>
      </c>
      <c r="K567" s="11"/>
      <c r="L567" s="12"/>
      <c r="M567" s="11"/>
      <c r="N567" s="11"/>
      <c r="O567" s="13"/>
      <c r="P567" s="14"/>
      <c r="Q567" s="13"/>
      <c r="R567" s="13"/>
      <c r="S567" s="15"/>
      <c r="T567" s="16"/>
      <c r="U567" s="16"/>
      <c r="V567" s="16"/>
      <c r="W567" s="16"/>
      <c r="X567" s="16"/>
      <c r="Y567" s="11"/>
      <c r="Z567" s="11"/>
      <c r="AA567" s="11"/>
      <c r="AB567" s="11"/>
      <c r="AC567" s="11"/>
      <c r="AD567" s="11"/>
    </row>
    <row r="568">
      <c r="A568" s="10"/>
      <c r="B568" s="10"/>
      <c r="C568" s="10"/>
      <c r="D568" s="10"/>
      <c r="E568" s="10"/>
      <c r="F568" s="11"/>
      <c r="G568" s="11"/>
      <c r="H568" s="11"/>
      <c r="I568" s="11"/>
      <c r="J568" s="11" t="str">
        <f>IFERROR(__xludf.DUMMYFUNCTION("iferror(if($B568="""", ,filter(Playoff_Stats!F:Z,Playoff_Stats!A:A=$B568,Playoff_Stats!B:B=$A568)))"),"")</f>
        <v/>
      </c>
      <c r="K568" s="11"/>
      <c r="L568" s="12"/>
      <c r="M568" s="11"/>
      <c r="N568" s="11"/>
      <c r="O568" s="13"/>
      <c r="P568" s="14"/>
      <c r="Q568" s="13"/>
      <c r="R568" s="13"/>
      <c r="S568" s="15"/>
      <c r="T568" s="16"/>
      <c r="U568" s="16"/>
      <c r="V568" s="16"/>
      <c r="W568" s="16"/>
      <c r="X568" s="16"/>
      <c r="Y568" s="11"/>
      <c r="Z568" s="11"/>
      <c r="AA568" s="11"/>
      <c r="AB568" s="11"/>
      <c r="AC568" s="11"/>
      <c r="AD568" s="11"/>
    </row>
    <row r="569">
      <c r="A569" s="10"/>
      <c r="B569" s="10"/>
      <c r="C569" s="10"/>
      <c r="D569" s="10"/>
      <c r="E569" s="10"/>
      <c r="F569" s="11"/>
      <c r="G569" s="11"/>
      <c r="H569" s="11"/>
      <c r="I569" s="11"/>
      <c r="J569" s="11" t="str">
        <f>IFERROR(__xludf.DUMMYFUNCTION("iferror(if($B569="""", ,filter(Playoff_Stats!F:Z,Playoff_Stats!A:A=$B569,Playoff_Stats!B:B=$A569)))"),"")</f>
        <v/>
      </c>
      <c r="K569" s="11"/>
      <c r="L569" s="12"/>
      <c r="M569" s="11"/>
      <c r="N569" s="11"/>
      <c r="O569" s="13"/>
      <c r="P569" s="14"/>
      <c r="Q569" s="13"/>
      <c r="R569" s="13"/>
      <c r="S569" s="15"/>
      <c r="T569" s="16"/>
      <c r="U569" s="16"/>
      <c r="V569" s="16"/>
      <c r="W569" s="16"/>
      <c r="X569" s="16"/>
      <c r="Y569" s="11"/>
      <c r="Z569" s="11"/>
      <c r="AA569" s="11"/>
      <c r="AB569" s="11"/>
      <c r="AC569" s="11"/>
      <c r="AD569" s="11"/>
    </row>
    <row r="570">
      <c r="A570" s="10"/>
      <c r="B570" s="10"/>
      <c r="C570" s="10"/>
      <c r="D570" s="10"/>
      <c r="E570" s="10"/>
      <c r="F570" s="11"/>
      <c r="G570" s="11"/>
      <c r="H570" s="11"/>
      <c r="I570" s="11"/>
      <c r="J570" s="11" t="str">
        <f>IFERROR(__xludf.DUMMYFUNCTION("iferror(if($B570="""", ,filter(Playoff_Stats!F:Z,Playoff_Stats!A:A=$B570,Playoff_Stats!B:B=$A570)))"),"")</f>
        <v/>
      </c>
      <c r="K570" s="11"/>
      <c r="L570" s="12"/>
      <c r="M570" s="11"/>
      <c r="N570" s="11"/>
      <c r="O570" s="13"/>
      <c r="P570" s="14"/>
      <c r="Q570" s="13"/>
      <c r="R570" s="13"/>
      <c r="S570" s="15"/>
      <c r="T570" s="16"/>
      <c r="U570" s="16"/>
      <c r="V570" s="16"/>
      <c r="W570" s="16"/>
      <c r="X570" s="16"/>
      <c r="Y570" s="11"/>
      <c r="Z570" s="11"/>
      <c r="AA570" s="11"/>
      <c r="AB570" s="11"/>
      <c r="AC570" s="11"/>
      <c r="AD570" s="11"/>
    </row>
    <row r="571">
      <c r="A571" s="10"/>
      <c r="B571" s="10"/>
      <c r="C571" s="10"/>
      <c r="D571" s="10"/>
      <c r="E571" s="10"/>
      <c r="F571" s="11"/>
      <c r="G571" s="11"/>
      <c r="H571" s="11"/>
      <c r="I571" s="11"/>
      <c r="J571" s="11" t="str">
        <f>IFERROR(__xludf.DUMMYFUNCTION("iferror(if($B571="""", ,filter(Playoff_Stats!F:Z,Playoff_Stats!A:A=$B571,Playoff_Stats!B:B=$A571)))"),"")</f>
        <v/>
      </c>
      <c r="K571" s="11"/>
      <c r="L571" s="12"/>
      <c r="M571" s="11"/>
      <c r="N571" s="11"/>
      <c r="O571" s="13"/>
      <c r="P571" s="14"/>
      <c r="Q571" s="13"/>
      <c r="R571" s="13"/>
      <c r="S571" s="15"/>
      <c r="T571" s="16"/>
      <c r="U571" s="16"/>
      <c r="V571" s="16"/>
      <c r="W571" s="16"/>
      <c r="X571" s="16"/>
      <c r="Y571" s="11"/>
      <c r="Z571" s="11"/>
      <c r="AA571" s="11"/>
      <c r="AB571" s="11"/>
      <c r="AC571" s="11"/>
      <c r="AD571" s="11"/>
    </row>
    <row r="572">
      <c r="A572" s="10"/>
      <c r="B572" s="10"/>
      <c r="C572" s="10"/>
      <c r="D572" s="10"/>
      <c r="E572" s="10"/>
      <c r="F572" s="11"/>
      <c r="G572" s="11"/>
      <c r="H572" s="11"/>
      <c r="I572" s="11"/>
      <c r="J572" s="11" t="str">
        <f>IFERROR(__xludf.DUMMYFUNCTION("iferror(if($B572="""", ,filter(Playoff_Stats!F:Z,Playoff_Stats!A:A=$B572,Playoff_Stats!B:B=$A572)))"),"")</f>
        <v/>
      </c>
      <c r="K572" s="11"/>
      <c r="L572" s="12"/>
      <c r="M572" s="11"/>
      <c r="N572" s="11"/>
      <c r="O572" s="13"/>
      <c r="P572" s="14"/>
      <c r="Q572" s="13"/>
      <c r="R572" s="13"/>
      <c r="S572" s="15"/>
      <c r="T572" s="16"/>
      <c r="U572" s="16"/>
      <c r="V572" s="16"/>
      <c r="W572" s="16"/>
      <c r="X572" s="16"/>
      <c r="Y572" s="11"/>
      <c r="Z572" s="11"/>
      <c r="AA572" s="11"/>
      <c r="AB572" s="11"/>
      <c r="AC572" s="11"/>
      <c r="AD572" s="11"/>
    </row>
    <row r="573">
      <c r="A573" s="10"/>
      <c r="B573" s="10"/>
      <c r="C573" s="10"/>
      <c r="D573" s="10"/>
      <c r="E573" s="10"/>
      <c r="F573" s="11"/>
      <c r="G573" s="11"/>
      <c r="H573" s="11"/>
      <c r="I573" s="11"/>
      <c r="J573" s="11" t="str">
        <f>IFERROR(__xludf.DUMMYFUNCTION("iferror(if($B573="""", ,filter(Playoff_Stats!F:Z,Playoff_Stats!A:A=$B573,Playoff_Stats!B:B=$A573)))"),"")</f>
        <v/>
      </c>
      <c r="K573" s="11"/>
      <c r="L573" s="12"/>
      <c r="M573" s="11"/>
      <c r="N573" s="11"/>
      <c r="O573" s="13"/>
      <c r="P573" s="14"/>
      <c r="Q573" s="13"/>
      <c r="R573" s="13"/>
      <c r="S573" s="15"/>
      <c r="T573" s="16"/>
      <c r="U573" s="16"/>
      <c r="V573" s="16"/>
      <c r="W573" s="16"/>
      <c r="X573" s="16"/>
      <c r="Y573" s="11"/>
      <c r="Z573" s="11"/>
      <c r="AA573" s="11"/>
      <c r="AB573" s="11"/>
      <c r="AC573" s="11"/>
      <c r="AD573" s="11"/>
    </row>
    <row r="574">
      <c r="A574" s="10"/>
      <c r="B574" s="10"/>
      <c r="C574" s="10"/>
      <c r="D574" s="10"/>
      <c r="E574" s="10"/>
      <c r="F574" s="11"/>
      <c r="G574" s="11"/>
      <c r="H574" s="11"/>
      <c r="I574" s="11"/>
      <c r="J574" s="11" t="str">
        <f>IFERROR(__xludf.DUMMYFUNCTION("iferror(if($B574="""", ,filter(Playoff_Stats!F:Z,Playoff_Stats!A:A=$B574,Playoff_Stats!B:B=$A574)))"),"")</f>
        <v/>
      </c>
      <c r="K574" s="11"/>
      <c r="L574" s="12"/>
      <c r="M574" s="11"/>
      <c r="N574" s="11"/>
      <c r="O574" s="13"/>
      <c r="P574" s="14"/>
      <c r="Q574" s="13"/>
      <c r="R574" s="13"/>
      <c r="S574" s="15"/>
      <c r="T574" s="16"/>
      <c r="U574" s="16"/>
      <c r="V574" s="16"/>
      <c r="W574" s="16"/>
      <c r="X574" s="16"/>
      <c r="Y574" s="11"/>
      <c r="Z574" s="11"/>
      <c r="AA574" s="11"/>
      <c r="AB574" s="11"/>
      <c r="AC574" s="11"/>
      <c r="AD574" s="11"/>
    </row>
    <row r="575">
      <c r="A575" s="10"/>
      <c r="B575" s="10"/>
      <c r="C575" s="10"/>
      <c r="D575" s="10"/>
      <c r="E575" s="10"/>
      <c r="F575" s="11"/>
      <c r="G575" s="11"/>
      <c r="H575" s="11"/>
      <c r="I575" s="11"/>
      <c r="J575" s="11" t="str">
        <f>IFERROR(__xludf.DUMMYFUNCTION("iferror(if($B575="""", ,filter(Playoff_Stats!F:Z,Playoff_Stats!A:A=$B575,Playoff_Stats!B:B=$A575)))"),"")</f>
        <v/>
      </c>
      <c r="K575" s="11"/>
      <c r="L575" s="12"/>
      <c r="M575" s="11"/>
      <c r="N575" s="11"/>
      <c r="O575" s="13"/>
      <c r="P575" s="14"/>
      <c r="Q575" s="13"/>
      <c r="R575" s="13"/>
      <c r="S575" s="15"/>
      <c r="T575" s="16"/>
      <c r="U575" s="16"/>
      <c r="V575" s="16"/>
      <c r="W575" s="16"/>
      <c r="X575" s="16"/>
      <c r="Y575" s="11"/>
      <c r="Z575" s="11"/>
      <c r="AA575" s="11"/>
      <c r="AB575" s="11"/>
      <c r="AC575" s="11"/>
      <c r="AD575" s="11"/>
    </row>
    <row r="576">
      <c r="A576" s="10"/>
      <c r="B576" s="10"/>
      <c r="C576" s="10"/>
      <c r="D576" s="10"/>
      <c r="E576" s="10"/>
      <c r="F576" s="11"/>
      <c r="G576" s="11"/>
      <c r="H576" s="11"/>
      <c r="I576" s="11"/>
      <c r="J576" s="11" t="str">
        <f>IFERROR(__xludf.DUMMYFUNCTION("iferror(if($B576="""", ,filter(Playoff_Stats!F:Z,Playoff_Stats!A:A=$B576,Playoff_Stats!B:B=$A576)))"),"")</f>
        <v/>
      </c>
      <c r="K576" s="11"/>
      <c r="L576" s="12"/>
      <c r="M576" s="11"/>
      <c r="N576" s="11"/>
      <c r="O576" s="13"/>
      <c r="P576" s="14"/>
      <c r="Q576" s="13"/>
      <c r="R576" s="13"/>
      <c r="S576" s="15"/>
      <c r="T576" s="16"/>
      <c r="U576" s="16"/>
      <c r="V576" s="16"/>
      <c r="W576" s="16"/>
      <c r="X576" s="16"/>
      <c r="Y576" s="11"/>
      <c r="Z576" s="11"/>
      <c r="AA576" s="11"/>
      <c r="AB576" s="11"/>
      <c r="AC576" s="11"/>
      <c r="AD576" s="11"/>
    </row>
    <row r="577">
      <c r="A577" s="10"/>
      <c r="B577" s="10"/>
      <c r="C577" s="10"/>
      <c r="D577" s="10"/>
      <c r="E577" s="10"/>
      <c r="F577" s="11"/>
      <c r="G577" s="11"/>
      <c r="H577" s="11"/>
      <c r="I577" s="11"/>
      <c r="J577" s="11" t="str">
        <f>IFERROR(__xludf.DUMMYFUNCTION("iferror(if($B577="""", ,filter(Playoff_Stats!F:Z,Playoff_Stats!A:A=$B577,Playoff_Stats!B:B=$A577)))"),"")</f>
        <v/>
      </c>
      <c r="K577" s="11"/>
      <c r="L577" s="12"/>
      <c r="M577" s="11"/>
      <c r="N577" s="11"/>
      <c r="O577" s="13"/>
      <c r="P577" s="14"/>
      <c r="Q577" s="13"/>
      <c r="R577" s="13"/>
      <c r="S577" s="15"/>
      <c r="T577" s="16"/>
      <c r="U577" s="16"/>
      <c r="V577" s="16"/>
      <c r="W577" s="16"/>
      <c r="X577" s="16"/>
      <c r="Y577" s="11"/>
      <c r="Z577" s="11"/>
      <c r="AA577" s="11"/>
      <c r="AB577" s="11"/>
      <c r="AC577" s="11"/>
      <c r="AD577" s="11"/>
    </row>
    <row r="578">
      <c r="A578" s="10"/>
      <c r="B578" s="10"/>
      <c r="C578" s="10"/>
      <c r="D578" s="10"/>
      <c r="E578" s="10"/>
      <c r="F578" s="11"/>
      <c r="G578" s="11"/>
      <c r="H578" s="11"/>
      <c r="I578" s="11"/>
      <c r="J578" s="11" t="str">
        <f>IFERROR(__xludf.DUMMYFUNCTION("iferror(if($B578="""", ,filter(Playoff_Stats!F:Z,Playoff_Stats!A:A=$B578,Playoff_Stats!B:B=$A578)))"),"")</f>
        <v/>
      </c>
      <c r="K578" s="11"/>
      <c r="L578" s="12"/>
      <c r="M578" s="11"/>
      <c r="N578" s="11"/>
      <c r="O578" s="13"/>
      <c r="P578" s="14"/>
      <c r="Q578" s="13"/>
      <c r="R578" s="13"/>
      <c r="S578" s="15"/>
      <c r="T578" s="16"/>
      <c r="U578" s="16"/>
      <c r="V578" s="16"/>
      <c r="W578" s="16"/>
      <c r="X578" s="16"/>
      <c r="Y578" s="11"/>
      <c r="Z578" s="11"/>
      <c r="AA578" s="11"/>
      <c r="AB578" s="11"/>
      <c r="AC578" s="11"/>
      <c r="AD578" s="11"/>
    </row>
    <row r="579">
      <c r="A579" s="10"/>
      <c r="B579" s="10"/>
      <c r="C579" s="10"/>
      <c r="D579" s="10"/>
      <c r="E579" s="10"/>
      <c r="F579" s="11"/>
      <c r="G579" s="11"/>
      <c r="H579" s="11"/>
      <c r="I579" s="11"/>
      <c r="J579" s="11" t="str">
        <f>IFERROR(__xludf.DUMMYFUNCTION("iferror(if($B579="""", ,filter(Playoff_Stats!F:Z,Playoff_Stats!A:A=$B579,Playoff_Stats!B:B=$A579)))"),"")</f>
        <v/>
      </c>
      <c r="K579" s="11"/>
      <c r="L579" s="12"/>
      <c r="M579" s="11"/>
      <c r="N579" s="11"/>
      <c r="O579" s="13"/>
      <c r="P579" s="14"/>
      <c r="Q579" s="13"/>
      <c r="R579" s="13"/>
      <c r="S579" s="15"/>
      <c r="T579" s="16"/>
      <c r="U579" s="16"/>
      <c r="V579" s="16"/>
      <c r="W579" s="16"/>
      <c r="X579" s="16"/>
      <c r="Y579" s="11"/>
      <c r="Z579" s="11"/>
      <c r="AA579" s="11"/>
      <c r="AB579" s="11"/>
      <c r="AC579" s="11"/>
      <c r="AD579" s="11"/>
    </row>
    <row r="580">
      <c r="A580" s="10"/>
      <c r="B580" s="10"/>
      <c r="C580" s="10"/>
      <c r="D580" s="10"/>
      <c r="E580" s="10"/>
      <c r="F580" s="11"/>
      <c r="G580" s="11"/>
      <c r="H580" s="11"/>
      <c r="I580" s="11"/>
      <c r="J580" s="11" t="str">
        <f>IFERROR(__xludf.DUMMYFUNCTION("iferror(if($B580="""", ,filter(Playoff_Stats!F:Z,Playoff_Stats!A:A=$B580,Playoff_Stats!B:B=$A580)))"),"")</f>
        <v/>
      </c>
      <c r="K580" s="11"/>
      <c r="L580" s="12"/>
      <c r="M580" s="11"/>
      <c r="N580" s="11"/>
      <c r="O580" s="13"/>
      <c r="P580" s="14"/>
      <c r="Q580" s="13"/>
      <c r="R580" s="13"/>
      <c r="S580" s="15"/>
      <c r="T580" s="16"/>
      <c r="U580" s="16"/>
      <c r="V580" s="16"/>
      <c r="W580" s="16"/>
      <c r="X580" s="16"/>
      <c r="Y580" s="11"/>
      <c r="Z580" s="11"/>
      <c r="AA580" s="11"/>
      <c r="AB580" s="11"/>
      <c r="AC580" s="11"/>
      <c r="AD580" s="11"/>
    </row>
    <row r="581">
      <c r="A581" s="10"/>
      <c r="B581" s="10"/>
      <c r="C581" s="10"/>
      <c r="D581" s="10"/>
      <c r="E581" s="10"/>
      <c r="F581" s="11"/>
      <c r="G581" s="11"/>
      <c r="H581" s="11"/>
      <c r="I581" s="11"/>
      <c r="J581" s="11" t="str">
        <f>IFERROR(__xludf.DUMMYFUNCTION("iferror(if($B581="""", ,filter(Playoff_Stats!F:Z,Playoff_Stats!A:A=$B581,Playoff_Stats!B:B=$A581)))"),"")</f>
        <v/>
      </c>
      <c r="K581" s="11"/>
      <c r="L581" s="12"/>
      <c r="M581" s="11"/>
      <c r="N581" s="11"/>
      <c r="O581" s="13"/>
      <c r="P581" s="14"/>
      <c r="Q581" s="13"/>
      <c r="R581" s="13"/>
      <c r="S581" s="15"/>
      <c r="T581" s="16"/>
      <c r="U581" s="16"/>
      <c r="V581" s="16"/>
      <c r="W581" s="16"/>
      <c r="X581" s="16"/>
      <c r="Y581" s="11"/>
      <c r="Z581" s="11"/>
      <c r="AA581" s="11"/>
      <c r="AB581" s="11"/>
      <c r="AC581" s="11"/>
      <c r="AD581" s="11"/>
    </row>
    <row r="582">
      <c r="A582" s="10"/>
      <c r="B582" s="10"/>
      <c r="C582" s="10"/>
      <c r="D582" s="10"/>
      <c r="E582" s="10"/>
      <c r="F582" s="11"/>
      <c r="G582" s="11"/>
      <c r="H582" s="11"/>
      <c r="I582" s="11"/>
      <c r="J582" s="11" t="str">
        <f>IFERROR(__xludf.DUMMYFUNCTION("iferror(if($B582="""", ,filter(Playoff_Stats!F:Z,Playoff_Stats!A:A=$B582,Playoff_Stats!B:B=$A582)))"),"")</f>
        <v/>
      </c>
      <c r="K582" s="11"/>
      <c r="L582" s="12"/>
      <c r="M582" s="11"/>
      <c r="N582" s="11"/>
      <c r="O582" s="13"/>
      <c r="P582" s="14"/>
      <c r="Q582" s="13"/>
      <c r="R582" s="13"/>
      <c r="S582" s="15"/>
      <c r="T582" s="16"/>
      <c r="U582" s="16"/>
      <c r="V582" s="16"/>
      <c r="W582" s="16"/>
      <c r="X582" s="16"/>
      <c r="Y582" s="11"/>
      <c r="Z582" s="11"/>
      <c r="AA582" s="11"/>
      <c r="AB582" s="11"/>
      <c r="AC582" s="11"/>
      <c r="AD582" s="11"/>
    </row>
    <row r="583">
      <c r="A583" s="10"/>
      <c r="B583" s="10"/>
      <c r="C583" s="10"/>
      <c r="D583" s="10"/>
      <c r="E583" s="10"/>
      <c r="F583" s="11"/>
      <c r="G583" s="11"/>
      <c r="H583" s="11"/>
      <c r="I583" s="11"/>
      <c r="J583" s="11" t="str">
        <f>IFERROR(__xludf.DUMMYFUNCTION("iferror(if($B583="""", ,filter(Playoff_Stats!F:Z,Playoff_Stats!A:A=$B583,Playoff_Stats!B:B=$A583)))"),"")</f>
        <v/>
      </c>
      <c r="K583" s="11"/>
      <c r="L583" s="12"/>
      <c r="M583" s="11"/>
      <c r="N583" s="11"/>
      <c r="O583" s="13"/>
      <c r="P583" s="14"/>
      <c r="Q583" s="13"/>
      <c r="R583" s="13"/>
      <c r="S583" s="15"/>
      <c r="T583" s="16"/>
      <c r="U583" s="16"/>
      <c r="V583" s="16"/>
      <c r="W583" s="16"/>
      <c r="X583" s="16"/>
      <c r="Y583" s="11"/>
      <c r="Z583" s="11"/>
      <c r="AA583" s="11"/>
      <c r="AB583" s="11"/>
      <c r="AC583" s="11"/>
      <c r="AD583" s="11"/>
    </row>
    <row r="584">
      <c r="A584" s="10"/>
      <c r="B584" s="10"/>
      <c r="C584" s="10"/>
      <c r="D584" s="10"/>
      <c r="E584" s="10"/>
      <c r="F584" s="11"/>
      <c r="G584" s="11"/>
      <c r="H584" s="11"/>
      <c r="I584" s="11"/>
      <c r="J584" s="11" t="str">
        <f>IFERROR(__xludf.DUMMYFUNCTION("iferror(if($B584="""", ,filter(Playoff_Stats!F:Z,Playoff_Stats!A:A=$B584,Playoff_Stats!B:B=$A584)))"),"")</f>
        <v/>
      </c>
      <c r="K584" s="11"/>
      <c r="L584" s="12"/>
      <c r="M584" s="11"/>
      <c r="N584" s="11"/>
      <c r="O584" s="13"/>
      <c r="P584" s="14"/>
      <c r="Q584" s="13"/>
      <c r="R584" s="13"/>
      <c r="S584" s="15"/>
      <c r="T584" s="16"/>
      <c r="U584" s="16"/>
      <c r="V584" s="16"/>
      <c r="W584" s="16"/>
      <c r="X584" s="16"/>
      <c r="Y584" s="11"/>
      <c r="Z584" s="11"/>
      <c r="AA584" s="11"/>
      <c r="AB584" s="11"/>
      <c r="AC584" s="11"/>
      <c r="AD584" s="11"/>
    </row>
    <row r="585">
      <c r="A585" s="10"/>
      <c r="B585" s="10"/>
      <c r="C585" s="10"/>
      <c r="D585" s="10"/>
      <c r="E585" s="10"/>
      <c r="F585" s="11"/>
      <c r="G585" s="11"/>
      <c r="H585" s="11"/>
      <c r="I585" s="11"/>
      <c r="J585" s="11" t="str">
        <f>IFERROR(__xludf.DUMMYFUNCTION("iferror(if($B585="""", ,filter(Playoff_Stats!F:Z,Playoff_Stats!A:A=$B585,Playoff_Stats!B:B=$A585)))"),"")</f>
        <v/>
      </c>
      <c r="K585" s="11"/>
      <c r="L585" s="12"/>
      <c r="M585" s="11"/>
      <c r="N585" s="11"/>
      <c r="O585" s="13"/>
      <c r="P585" s="14"/>
      <c r="Q585" s="13"/>
      <c r="R585" s="13"/>
      <c r="S585" s="15"/>
      <c r="T585" s="16"/>
      <c r="U585" s="16"/>
      <c r="V585" s="16"/>
      <c r="W585" s="16"/>
      <c r="X585" s="16"/>
      <c r="Y585" s="11"/>
      <c r="Z585" s="11"/>
      <c r="AA585" s="11"/>
      <c r="AB585" s="11"/>
      <c r="AC585" s="11"/>
      <c r="AD585" s="11"/>
    </row>
    <row r="586">
      <c r="A586" s="10"/>
      <c r="B586" s="10"/>
      <c r="C586" s="10"/>
      <c r="D586" s="10"/>
      <c r="E586" s="10"/>
      <c r="F586" s="11"/>
      <c r="G586" s="11"/>
      <c r="H586" s="11"/>
      <c r="I586" s="11"/>
      <c r="J586" s="11" t="str">
        <f>IFERROR(__xludf.DUMMYFUNCTION("iferror(if($B586="""", ,filter(Playoff_Stats!F:Z,Playoff_Stats!A:A=$B586,Playoff_Stats!B:B=$A586)))"),"")</f>
        <v/>
      </c>
      <c r="K586" s="11"/>
      <c r="L586" s="12"/>
      <c r="M586" s="11"/>
      <c r="N586" s="11"/>
      <c r="O586" s="13"/>
      <c r="P586" s="14"/>
      <c r="Q586" s="13"/>
      <c r="R586" s="13"/>
      <c r="S586" s="15"/>
      <c r="T586" s="16"/>
      <c r="U586" s="16"/>
      <c r="V586" s="16"/>
      <c r="W586" s="16"/>
      <c r="X586" s="16"/>
      <c r="Y586" s="11"/>
      <c r="Z586" s="11"/>
      <c r="AA586" s="11"/>
      <c r="AB586" s="11"/>
      <c r="AC586" s="11"/>
      <c r="AD586" s="11"/>
    </row>
    <row r="587">
      <c r="A587" s="10"/>
      <c r="B587" s="10"/>
      <c r="C587" s="10"/>
      <c r="D587" s="10"/>
      <c r="E587" s="10"/>
      <c r="F587" s="11"/>
      <c r="G587" s="11"/>
      <c r="H587" s="11"/>
      <c r="I587" s="11"/>
      <c r="J587" s="11" t="str">
        <f>IFERROR(__xludf.DUMMYFUNCTION("iferror(if($B587="""", ,filter(Playoff_Stats!F:Z,Playoff_Stats!A:A=$B587,Playoff_Stats!B:B=$A587)))"),"")</f>
        <v/>
      </c>
      <c r="K587" s="11"/>
      <c r="L587" s="12"/>
      <c r="M587" s="11"/>
      <c r="N587" s="11"/>
      <c r="O587" s="13"/>
      <c r="P587" s="14"/>
      <c r="Q587" s="13"/>
      <c r="R587" s="13"/>
      <c r="S587" s="15"/>
      <c r="T587" s="16"/>
      <c r="U587" s="16"/>
      <c r="V587" s="16"/>
      <c r="W587" s="16"/>
      <c r="X587" s="16"/>
      <c r="Y587" s="11"/>
      <c r="Z587" s="11"/>
      <c r="AA587" s="11"/>
      <c r="AB587" s="11"/>
      <c r="AC587" s="11"/>
      <c r="AD587" s="11"/>
    </row>
    <row r="588">
      <c r="A588" s="10"/>
      <c r="B588" s="10"/>
      <c r="C588" s="10"/>
      <c r="D588" s="10"/>
      <c r="E588" s="10"/>
      <c r="F588" s="11"/>
      <c r="G588" s="11"/>
      <c r="H588" s="11"/>
      <c r="I588" s="11"/>
      <c r="J588" s="11" t="str">
        <f>IFERROR(__xludf.DUMMYFUNCTION("iferror(if($B588="""", ,filter(Playoff_Stats!F:Z,Playoff_Stats!A:A=$B588,Playoff_Stats!B:B=$A588)))"),"")</f>
        <v/>
      </c>
      <c r="K588" s="11"/>
      <c r="L588" s="12"/>
      <c r="M588" s="11"/>
      <c r="N588" s="11"/>
      <c r="O588" s="13"/>
      <c r="P588" s="14"/>
      <c r="Q588" s="13"/>
      <c r="R588" s="13"/>
      <c r="S588" s="15"/>
      <c r="T588" s="16"/>
      <c r="U588" s="16"/>
      <c r="V588" s="16"/>
      <c r="W588" s="16"/>
      <c r="X588" s="16"/>
      <c r="Y588" s="11"/>
      <c r="Z588" s="11"/>
      <c r="AA588" s="11"/>
      <c r="AB588" s="11"/>
      <c r="AC588" s="11"/>
      <c r="AD588" s="11"/>
    </row>
    <row r="589">
      <c r="A589" s="10"/>
      <c r="B589" s="10"/>
      <c r="C589" s="10"/>
      <c r="D589" s="10"/>
      <c r="E589" s="10"/>
      <c r="F589" s="11"/>
      <c r="G589" s="11"/>
      <c r="H589" s="11"/>
      <c r="I589" s="11"/>
      <c r="J589" s="11" t="str">
        <f>IFERROR(__xludf.DUMMYFUNCTION("iferror(if($B589="""", ,filter(Playoff_Stats!F:Z,Playoff_Stats!A:A=$B589,Playoff_Stats!B:B=$A589)))"),"")</f>
        <v/>
      </c>
      <c r="K589" s="11"/>
      <c r="L589" s="12"/>
      <c r="M589" s="11"/>
      <c r="N589" s="11"/>
      <c r="O589" s="13"/>
      <c r="P589" s="14"/>
      <c r="Q589" s="13"/>
      <c r="R589" s="13"/>
      <c r="S589" s="15"/>
      <c r="T589" s="16"/>
      <c r="U589" s="16"/>
      <c r="V589" s="16"/>
      <c r="W589" s="16"/>
      <c r="X589" s="16"/>
      <c r="Y589" s="11"/>
      <c r="Z589" s="11"/>
      <c r="AA589" s="11"/>
      <c r="AB589" s="11"/>
      <c r="AC589" s="11"/>
      <c r="AD589" s="11"/>
    </row>
    <row r="590">
      <c r="A590" s="10"/>
      <c r="B590" s="10"/>
      <c r="C590" s="10"/>
      <c r="D590" s="10"/>
      <c r="E590" s="10"/>
      <c r="F590" s="11"/>
      <c r="G590" s="11"/>
      <c r="H590" s="11"/>
      <c r="I590" s="11"/>
      <c r="J590" s="11" t="str">
        <f>IFERROR(__xludf.DUMMYFUNCTION("iferror(if($B590="""", ,filter(Playoff_Stats!F:Z,Playoff_Stats!A:A=$B590,Playoff_Stats!B:B=$A590)))"),"")</f>
        <v/>
      </c>
      <c r="K590" s="11"/>
      <c r="L590" s="12"/>
      <c r="M590" s="11"/>
      <c r="N590" s="11"/>
      <c r="O590" s="13"/>
      <c r="P590" s="14"/>
      <c r="Q590" s="13"/>
      <c r="R590" s="13"/>
      <c r="S590" s="15"/>
      <c r="T590" s="16"/>
      <c r="U590" s="16"/>
      <c r="V590" s="16"/>
      <c r="W590" s="16"/>
      <c r="X590" s="16"/>
      <c r="Y590" s="11"/>
      <c r="Z590" s="11"/>
      <c r="AA590" s="11"/>
      <c r="AB590" s="11"/>
      <c r="AC590" s="11"/>
      <c r="AD590" s="11"/>
    </row>
    <row r="591">
      <c r="A591" s="10"/>
      <c r="B591" s="10"/>
      <c r="C591" s="10"/>
      <c r="D591" s="10"/>
      <c r="E591" s="10"/>
      <c r="F591" s="11"/>
      <c r="G591" s="11"/>
      <c r="H591" s="11"/>
      <c r="I591" s="11"/>
      <c r="J591" s="11" t="str">
        <f>IFERROR(__xludf.DUMMYFUNCTION("iferror(if($B591="""", ,filter(Playoff_Stats!F:Z,Playoff_Stats!A:A=$B591,Playoff_Stats!B:B=$A591)))"),"")</f>
        <v/>
      </c>
      <c r="K591" s="11"/>
      <c r="L591" s="12"/>
      <c r="M591" s="11"/>
      <c r="N591" s="11"/>
      <c r="O591" s="13"/>
      <c r="P591" s="14"/>
      <c r="Q591" s="13"/>
      <c r="R591" s="13"/>
      <c r="S591" s="15"/>
      <c r="T591" s="16"/>
      <c r="U591" s="16"/>
      <c r="V591" s="16"/>
      <c r="W591" s="16"/>
      <c r="X591" s="16"/>
      <c r="Y591" s="11"/>
      <c r="Z591" s="11"/>
      <c r="AA591" s="11"/>
      <c r="AB591" s="11"/>
      <c r="AC591" s="11"/>
      <c r="AD591" s="11"/>
    </row>
    <row r="592">
      <c r="A592" s="10"/>
      <c r="B592" s="10"/>
      <c r="C592" s="10"/>
      <c r="D592" s="10"/>
      <c r="E592" s="10"/>
      <c r="F592" s="11"/>
      <c r="G592" s="11"/>
      <c r="H592" s="11"/>
      <c r="I592" s="11"/>
      <c r="J592" s="11" t="str">
        <f>IFERROR(__xludf.DUMMYFUNCTION("iferror(if($B592="""", ,filter(Playoff_Stats!F:Z,Playoff_Stats!A:A=$B592,Playoff_Stats!B:B=$A592)))"),"")</f>
        <v/>
      </c>
      <c r="K592" s="11"/>
      <c r="L592" s="12"/>
      <c r="M592" s="11"/>
      <c r="N592" s="11"/>
      <c r="O592" s="13"/>
      <c r="P592" s="14"/>
      <c r="Q592" s="13"/>
      <c r="R592" s="13"/>
      <c r="S592" s="15"/>
      <c r="T592" s="16"/>
      <c r="U592" s="16"/>
      <c r="V592" s="16"/>
      <c r="W592" s="16"/>
      <c r="X592" s="16"/>
      <c r="Y592" s="11"/>
      <c r="Z592" s="11"/>
      <c r="AA592" s="11"/>
      <c r="AB592" s="11"/>
      <c r="AC592" s="11"/>
      <c r="AD592" s="11"/>
    </row>
    <row r="593">
      <c r="A593" s="10"/>
      <c r="B593" s="10"/>
      <c r="C593" s="10"/>
      <c r="D593" s="10"/>
      <c r="E593" s="10"/>
      <c r="F593" s="11"/>
      <c r="G593" s="11"/>
      <c r="H593" s="11"/>
      <c r="I593" s="11"/>
      <c r="J593" s="11" t="str">
        <f>IFERROR(__xludf.DUMMYFUNCTION("iferror(if($B593="""", ,filter(Playoff_Stats!F:Z,Playoff_Stats!A:A=$B593,Playoff_Stats!B:B=$A593)))"),"")</f>
        <v/>
      </c>
      <c r="K593" s="11"/>
      <c r="L593" s="12"/>
      <c r="M593" s="11"/>
      <c r="N593" s="11"/>
      <c r="O593" s="13"/>
      <c r="P593" s="14"/>
      <c r="Q593" s="13"/>
      <c r="R593" s="13"/>
      <c r="S593" s="15"/>
      <c r="T593" s="16"/>
      <c r="U593" s="16"/>
      <c r="V593" s="16"/>
      <c r="W593" s="16"/>
      <c r="X593" s="16"/>
      <c r="Y593" s="11"/>
      <c r="Z593" s="11"/>
      <c r="AA593" s="11"/>
      <c r="AB593" s="11"/>
      <c r="AC593" s="11"/>
      <c r="AD593" s="11"/>
    </row>
    <row r="594">
      <c r="A594" s="10"/>
      <c r="B594" s="10"/>
      <c r="C594" s="10"/>
      <c r="D594" s="10"/>
      <c r="E594" s="10"/>
      <c r="F594" s="11"/>
      <c r="G594" s="11"/>
      <c r="H594" s="11"/>
      <c r="I594" s="11"/>
      <c r="J594" s="11" t="str">
        <f>IFERROR(__xludf.DUMMYFUNCTION("iferror(if($B594="""", ,filter(Playoff_Stats!F:Z,Playoff_Stats!A:A=$B594,Playoff_Stats!B:B=$A594)))"),"")</f>
        <v/>
      </c>
      <c r="K594" s="11"/>
      <c r="L594" s="12"/>
      <c r="M594" s="11"/>
      <c r="N594" s="11"/>
      <c r="O594" s="13"/>
      <c r="P594" s="14"/>
      <c r="Q594" s="13"/>
      <c r="R594" s="13"/>
      <c r="S594" s="15"/>
      <c r="T594" s="16"/>
      <c r="U594" s="16"/>
      <c r="V594" s="16"/>
      <c r="W594" s="16"/>
      <c r="X594" s="16"/>
      <c r="Y594" s="11"/>
      <c r="Z594" s="11"/>
      <c r="AA594" s="11"/>
      <c r="AB594" s="11"/>
      <c r="AC594" s="11"/>
      <c r="AD594" s="11"/>
    </row>
    <row r="595">
      <c r="A595" s="10"/>
      <c r="B595" s="10"/>
      <c r="C595" s="10"/>
      <c r="D595" s="10"/>
      <c r="E595" s="10"/>
      <c r="F595" s="11"/>
      <c r="G595" s="11"/>
      <c r="H595" s="11"/>
      <c r="I595" s="11"/>
      <c r="J595" s="11" t="str">
        <f>IFERROR(__xludf.DUMMYFUNCTION("iferror(if($B595="""", ,filter(Playoff_Stats!F:Z,Playoff_Stats!A:A=$B595,Playoff_Stats!B:B=$A595)))"),"")</f>
        <v/>
      </c>
      <c r="K595" s="11"/>
      <c r="L595" s="12"/>
      <c r="M595" s="11"/>
      <c r="N595" s="11"/>
      <c r="O595" s="13"/>
      <c r="P595" s="14"/>
      <c r="Q595" s="13"/>
      <c r="R595" s="13"/>
      <c r="S595" s="15"/>
      <c r="T595" s="16"/>
      <c r="U595" s="16"/>
      <c r="V595" s="16"/>
      <c r="W595" s="16"/>
      <c r="X595" s="16"/>
      <c r="Y595" s="11"/>
      <c r="Z595" s="11"/>
      <c r="AA595" s="11"/>
      <c r="AB595" s="11"/>
      <c r="AC595" s="11"/>
      <c r="AD595" s="11"/>
    </row>
    <row r="596">
      <c r="A596" s="10"/>
      <c r="B596" s="10"/>
      <c r="C596" s="10"/>
      <c r="D596" s="10"/>
      <c r="E596" s="10"/>
      <c r="F596" s="11"/>
      <c r="G596" s="11"/>
      <c r="H596" s="11"/>
      <c r="I596" s="11"/>
      <c r="J596" s="11" t="str">
        <f>IFERROR(__xludf.DUMMYFUNCTION("iferror(if($B596="""", ,filter(Playoff_Stats!F:Z,Playoff_Stats!A:A=$B596,Playoff_Stats!B:B=$A596)))"),"")</f>
        <v/>
      </c>
      <c r="K596" s="11"/>
      <c r="L596" s="12"/>
      <c r="M596" s="11"/>
      <c r="N596" s="11"/>
      <c r="O596" s="13"/>
      <c r="P596" s="14"/>
      <c r="Q596" s="13"/>
      <c r="R596" s="13"/>
      <c r="S596" s="15"/>
      <c r="T596" s="16"/>
      <c r="U596" s="16"/>
      <c r="V596" s="16"/>
      <c r="W596" s="16"/>
      <c r="X596" s="16"/>
      <c r="Y596" s="11"/>
      <c r="Z596" s="11"/>
      <c r="AA596" s="11"/>
      <c r="AB596" s="11"/>
      <c r="AC596" s="11"/>
      <c r="AD596" s="11"/>
    </row>
    <row r="597">
      <c r="A597" s="10"/>
      <c r="B597" s="10"/>
      <c r="C597" s="10"/>
      <c r="D597" s="10"/>
      <c r="E597" s="10"/>
      <c r="F597" s="11"/>
      <c r="G597" s="11"/>
      <c r="H597" s="11"/>
      <c r="I597" s="11"/>
      <c r="J597" s="11" t="str">
        <f>IFERROR(__xludf.DUMMYFUNCTION("iferror(if($B597="""", ,filter(Playoff_Stats!F:Z,Playoff_Stats!A:A=$B597,Playoff_Stats!B:B=$A597)))"),"")</f>
        <v/>
      </c>
      <c r="K597" s="11"/>
      <c r="L597" s="12"/>
      <c r="M597" s="11"/>
      <c r="N597" s="11"/>
      <c r="O597" s="13"/>
      <c r="P597" s="14"/>
      <c r="Q597" s="13"/>
      <c r="R597" s="13"/>
      <c r="S597" s="15"/>
      <c r="T597" s="16"/>
      <c r="U597" s="16"/>
      <c r="V597" s="16"/>
      <c r="W597" s="16"/>
      <c r="X597" s="16"/>
      <c r="Y597" s="11"/>
      <c r="Z597" s="11"/>
      <c r="AA597" s="11"/>
      <c r="AB597" s="11"/>
      <c r="AC597" s="11"/>
      <c r="AD597" s="11"/>
    </row>
    <row r="598">
      <c r="A598" s="10"/>
      <c r="B598" s="10"/>
      <c r="C598" s="10"/>
      <c r="D598" s="10"/>
      <c r="E598" s="10"/>
      <c r="F598" s="11"/>
      <c r="G598" s="11"/>
      <c r="H598" s="11"/>
      <c r="I598" s="11"/>
      <c r="J598" s="11" t="str">
        <f>IFERROR(__xludf.DUMMYFUNCTION("iferror(if($B598="""", ,filter(Playoff_Stats!F:Z,Playoff_Stats!A:A=$B598,Playoff_Stats!B:B=$A598)))"),"")</f>
        <v/>
      </c>
      <c r="K598" s="11"/>
      <c r="L598" s="12"/>
      <c r="M598" s="11"/>
      <c r="N598" s="11"/>
      <c r="O598" s="13"/>
      <c r="P598" s="14"/>
      <c r="Q598" s="13"/>
      <c r="R598" s="13"/>
      <c r="S598" s="15"/>
      <c r="T598" s="16"/>
      <c r="U598" s="16"/>
      <c r="V598" s="16"/>
      <c r="W598" s="16"/>
      <c r="X598" s="16"/>
      <c r="Y598" s="11"/>
      <c r="Z598" s="11"/>
      <c r="AA598" s="11"/>
      <c r="AB598" s="11"/>
      <c r="AC598" s="11"/>
      <c r="AD598" s="11"/>
    </row>
    <row r="599">
      <c r="A599" s="10"/>
      <c r="B599" s="10"/>
      <c r="C599" s="10"/>
      <c r="D599" s="10"/>
      <c r="E599" s="10"/>
      <c r="F599" s="11"/>
      <c r="G599" s="11"/>
      <c r="H599" s="11"/>
      <c r="I599" s="11"/>
      <c r="J599" s="11" t="str">
        <f>IFERROR(__xludf.DUMMYFUNCTION("iferror(if($B599="""", ,filter(Playoff_Stats!F:Z,Playoff_Stats!A:A=$B599,Playoff_Stats!B:B=$A599)))"),"")</f>
        <v/>
      </c>
      <c r="K599" s="11"/>
      <c r="L599" s="12"/>
      <c r="M599" s="11"/>
      <c r="N599" s="11"/>
      <c r="O599" s="13"/>
      <c r="P599" s="14"/>
      <c r="Q599" s="13"/>
      <c r="R599" s="13"/>
      <c r="S599" s="15"/>
      <c r="T599" s="16"/>
      <c r="U599" s="16"/>
      <c r="V599" s="16"/>
      <c r="W599" s="16"/>
      <c r="X599" s="16"/>
      <c r="Y599" s="11"/>
      <c r="Z599" s="11"/>
      <c r="AA599" s="11"/>
      <c r="AB599" s="11"/>
      <c r="AC599" s="11"/>
      <c r="AD599" s="11"/>
    </row>
    <row r="600">
      <c r="A600" s="10"/>
      <c r="B600" s="10"/>
      <c r="C600" s="10"/>
      <c r="D600" s="10"/>
      <c r="E600" s="10"/>
      <c r="F600" s="11"/>
      <c r="G600" s="11"/>
      <c r="H600" s="11"/>
      <c r="I600" s="11"/>
      <c r="J600" s="11" t="str">
        <f>IFERROR(__xludf.DUMMYFUNCTION("iferror(if($B600="""", ,filter(Playoff_Stats!F:Z,Playoff_Stats!A:A=$B600,Playoff_Stats!B:B=$A600)))"),"")</f>
        <v/>
      </c>
      <c r="K600" s="11"/>
      <c r="L600" s="12"/>
      <c r="M600" s="11"/>
      <c r="N600" s="11"/>
      <c r="O600" s="13"/>
      <c r="P600" s="14"/>
      <c r="Q600" s="13"/>
      <c r="R600" s="13"/>
      <c r="S600" s="15"/>
      <c r="T600" s="16"/>
      <c r="U600" s="16"/>
      <c r="V600" s="16"/>
      <c r="W600" s="16"/>
      <c r="X600" s="16"/>
      <c r="Y600" s="11"/>
      <c r="Z600" s="11"/>
      <c r="AA600" s="11"/>
      <c r="AB600" s="11"/>
      <c r="AC600" s="11"/>
      <c r="AD600" s="11"/>
    </row>
    <row r="601">
      <c r="A601" s="10"/>
      <c r="B601" s="10"/>
      <c r="C601" s="10"/>
      <c r="D601" s="10"/>
      <c r="E601" s="10"/>
      <c r="F601" s="11"/>
      <c r="G601" s="11"/>
      <c r="H601" s="11"/>
      <c r="I601" s="11"/>
      <c r="J601" s="11" t="str">
        <f>IFERROR(__xludf.DUMMYFUNCTION("iferror(if($B601="""", ,filter(Playoff_Stats!F:Z,Playoff_Stats!A:A=$B601,Playoff_Stats!B:B=$A601)))"),"")</f>
        <v/>
      </c>
      <c r="K601" s="11"/>
      <c r="L601" s="12"/>
      <c r="M601" s="11"/>
      <c r="N601" s="11"/>
      <c r="O601" s="13"/>
      <c r="P601" s="14"/>
      <c r="Q601" s="13"/>
      <c r="R601" s="13"/>
      <c r="S601" s="15"/>
      <c r="T601" s="16"/>
      <c r="U601" s="16"/>
      <c r="V601" s="16"/>
      <c r="W601" s="16"/>
      <c r="X601" s="16"/>
      <c r="Y601" s="11"/>
      <c r="Z601" s="11"/>
      <c r="AA601" s="11"/>
      <c r="AB601" s="11"/>
      <c r="AC601" s="11"/>
      <c r="AD601" s="11"/>
    </row>
    <row r="602">
      <c r="A602" s="10"/>
      <c r="B602" s="10"/>
      <c r="C602" s="10"/>
      <c r="D602" s="10"/>
      <c r="E602" s="10"/>
      <c r="F602" s="11"/>
      <c r="G602" s="11"/>
      <c r="H602" s="11"/>
      <c r="I602" s="11"/>
      <c r="J602" s="11" t="str">
        <f>IFERROR(__xludf.DUMMYFUNCTION("iferror(if($B602="""", ,filter(Playoff_Stats!F:Z,Playoff_Stats!A:A=$B602,Playoff_Stats!B:B=$A602)))"),"")</f>
        <v/>
      </c>
      <c r="K602" s="11"/>
      <c r="L602" s="12"/>
      <c r="M602" s="11"/>
      <c r="N602" s="11"/>
      <c r="O602" s="13"/>
      <c r="P602" s="14"/>
      <c r="Q602" s="13"/>
      <c r="R602" s="13"/>
      <c r="S602" s="15"/>
      <c r="T602" s="16"/>
      <c r="U602" s="16"/>
      <c r="V602" s="16"/>
      <c r="W602" s="16"/>
      <c r="X602" s="16"/>
      <c r="Y602" s="11"/>
      <c r="Z602" s="11"/>
      <c r="AA602" s="11"/>
      <c r="AB602" s="11"/>
      <c r="AC602" s="11"/>
      <c r="AD602" s="11"/>
    </row>
    <row r="603">
      <c r="A603" s="10"/>
      <c r="B603" s="10"/>
      <c r="C603" s="10"/>
      <c r="D603" s="10"/>
      <c r="E603" s="10"/>
      <c r="F603" s="11"/>
      <c r="G603" s="11"/>
      <c r="H603" s="11"/>
      <c r="I603" s="11"/>
      <c r="J603" s="11" t="str">
        <f>IFERROR(__xludf.DUMMYFUNCTION("iferror(if($B603="""", ,filter(Playoff_Stats!F:Z,Playoff_Stats!A:A=$B603,Playoff_Stats!B:B=$A603)))"),"")</f>
        <v/>
      </c>
      <c r="K603" s="11"/>
      <c r="L603" s="12"/>
      <c r="M603" s="11"/>
      <c r="N603" s="11"/>
      <c r="O603" s="13"/>
      <c r="P603" s="14"/>
      <c r="Q603" s="13"/>
      <c r="R603" s="13"/>
      <c r="S603" s="15"/>
      <c r="T603" s="16"/>
      <c r="U603" s="16"/>
      <c r="V603" s="16"/>
      <c r="W603" s="16"/>
      <c r="X603" s="16"/>
      <c r="Y603" s="11"/>
      <c r="Z603" s="11"/>
      <c r="AA603" s="11"/>
      <c r="AB603" s="11"/>
      <c r="AC603" s="11"/>
      <c r="AD603" s="11"/>
    </row>
    <row r="604">
      <c r="A604" s="10"/>
      <c r="B604" s="10"/>
      <c r="C604" s="10"/>
      <c r="D604" s="10"/>
      <c r="E604" s="10"/>
      <c r="F604" s="11"/>
      <c r="G604" s="11"/>
      <c r="H604" s="11"/>
      <c r="I604" s="11"/>
      <c r="J604" s="11" t="str">
        <f>IFERROR(__xludf.DUMMYFUNCTION("iferror(if($B604="""", ,filter(Playoff_Stats!F:Z,Playoff_Stats!A:A=$B604,Playoff_Stats!B:B=$A604)))"),"")</f>
        <v/>
      </c>
      <c r="K604" s="11"/>
      <c r="L604" s="12"/>
      <c r="M604" s="11"/>
      <c r="N604" s="11"/>
      <c r="O604" s="13"/>
      <c r="P604" s="14"/>
      <c r="Q604" s="13"/>
      <c r="R604" s="13"/>
      <c r="S604" s="15"/>
      <c r="T604" s="16"/>
      <c r="U604" s="16"/>
      <c r="V604" s="16"/>
      <c r="W604" s="16"/>
      <c r="X604" s="16"/>
      <c r="Y604" s="11"/>
      <c r="Z604" s="11"/>
      <c r="AA604" s="11"/>
      <c r="AB604" s="11"/>
      <c r="AC604" s="11"/>
      <c r="AD604" s="11"/>
    </row>
    <row r="605">
      <c r="A605" s="10"/>
      <c r="B605" s="10"/>
      <c r="C605" s="10"/>
      <c r="D605" s="10"/>
      <c r="E605" s="10"/>
      <c r="F605" s="11"/>
      <c r="G605" s="11"/>
      <c r="H605" s="11"/>
      <c r="I605" s="11"/>
      <c r="J605" s="11" t="str">
        <f>IFERROR(__xludf.DUMMYFUNCTION("iferror(if($B605="""", ,filter(Playoff_Stats!F:Z,Playoff_Stats!A:A=$B605,Playoff_Stats!B:B=$A605)))"),"")</f>
        <v/>
      </c>
      <c r="K605" s="11"/>
      <c r="L605" s="12"/>
      <c r="M605" s="11"/>
      <c r="N605" s="11"/>
      <c r="O605" s="13"/>
      <c r="P605" s="14"/>
      <c r="Q605" s="13"/>
      <c r="R605" s="13"/>
      <c r="S605" s="15"/>
      <c r="T605" s="16"/>
      <c r="U605" s="16"/>
      <c r="V605" s="16"/>
      <c r="W605" s="16"/>
      <c r="X605" s="16"/>
      <c r="Y605" s="11"/>
      <c r="Z605" s="11"/>
      <c r="AA605" s="11"/>
      <c r="AB605" s="11"/>
      <c r="AC605" s="11"/>
      <c r="AD605" s="11"/>
    </row>
    <row r="606">
      <c r="A606" s="10"/>
      <c r="B606" s="10"/>
      <c r="C606" s="10"/>
      <c r="D606" s="10"/>
      <c r="E606" s="10"/>
      <c r="F606" s="11"/>
      <c r="G606" s="11"/>
      <c r="H606" s="11"/>
      <c r="I606" s="11"/>
      <c r="J606" s="11" t="str">
        <f>IFERROR(__xludf.DUMMYFUNCTION("iferror(if($B606="""", ,filter(Playoff_Stats!F:Z,Playoff_Stats!A:A=$B606,Playoff_Stats!B:B=$A606)))"),"")</f>
        <v/>
      </c>
      <c r="K606" s="11"/>
      <c r="L606" s="12"/>
      <c r="M606" s="11"/>
      <c r="N606" s="11"/>
      <c r="O606" s="13"/>
      <c r="P606" s="14"/>
      <c r="Q606" s="13"/>
      <c r="R606" s="13"/>
      <c r="S606" s="15"/>
      <c r="T606" s="16"/>
      <c r="U606" s="16"/>
      <c r="V606" s="16"/>
      <c r="W606" s="16"/>
      <c r="X606" s="16"/>
      <c r="Y606" s="11"/>
      <c r="Z606" s="11"/>
      <c r="AA606" s="11"/>
      <c r="AB606" s="11"/>
      <c r="AC606" s="11"/>
      <c r="AD606" s="11"/>
    </row>
    <row r="607">
      <c r="A607" s="10"/>
      <c r="B607" s="10"/>
      <c r="C607" s="10"/>
      <c r="D607" s="10"/>
      <c r="E607" s="10"/>
      <c r="F607" s="11"/>
      <c r="G607" s="11"/>
      <c r="H607" s="11"/>
      <c r="I607" s="11"/>
      <c r="J607" s="11" t="str">
        <f>IFERROR(__xludf.DUMMYFUNCTION("iferror(if($B607="""", ,filter(Playoff_Stats!F:Z,Playoff_Stats!A:A=$B607,Playoff_Stats!B:B=$A607)))"),"")</f>
        <v/>
      </c>
      <c r="K607" s="11"/>
      <c r="L607" s="12"/>
      <c r="M607" s="11"/>
      <c r="N607" s="11"/>
      <c r="O607" s="13"/>
      <c r="P607" s="14"/>
      <c r="Q607" s="13"/>
      <c r="R607" s="13"/>
      <c r="S607" s="15"/>
      <c r="T607" s="16"/>
      <c r="U607" s="16"/>
      <c r="V607" s="16"/>
      <c r="W607" s="16"/>
      <c r="X607" s="16"/>
      <c r="Y607" s="11"/>
      <c r="Z607" s="11"/>
      <c r="AA607" s="11"/>
      <c r="AB607" s="11"/>
      <c r="AC607" s="11"/>
      <c r="AD607" s="11"/>
    </row>
    <row r="608">
      <c r="A608" s="10"/>
      <c r="B608" s="10"/>
      <c r="C608" s="10"/>
      <c r="D608" s="10"/>
      <c r="E608" s="10"/>
      <c r="F608" s="11"/>
      <c r="G608" s="11"/>
      <c r="H608" s="11"/>
      <c r="I608" s="11"/>
      <c r="J608" s="11" t="str">
        <f>IFERROR(__xludf.DUMMYFUNCTION("iferror(if($B608="""", ,filter(Playoff_Stats!F:Z,Playoff_Stats!A:A=$B608,Playoff_Stats!B:B=$A608)))"),"")</f>
        <v/>
      </c>
      <c r="K608" s="11"/>
      <c r="L608" s="12"/>
      <c r="M608" s="11"/>
      <c r="N608" s="11"/>
      <c r="O608" s="13"/>
      <c r="P608" s="14"/>
      <c r="Q608" s="13"/>
      <c r="R608" s="13"/>
      <c r="S608" s="15"/>
      <c r="T608" s="16"/>
      <c r="U608" s="16"/>
      <c r="V608" s="16"/>
      <c r="W608" s="16"/>
      <c r="X608" s="16"/>
      <c r="Y608" s="11"/>
      <c r="Z608" s="11"/>
      <c r="AA608" s="11"/>
      <c r="AB608" s="11"/>
      <c r="AC608" s="11"/>
      <c r="AD608" s="11"/>
    </row>
    <row r="609">
      <c r="A609" s="10"/>
      <c r="B609" s="10"/>
      <c r="C609" s="10"/>
      <c r="D609" s="10"/>
      <c r="E609" s="10"/>
      <c r="F609" s="11"/>
      <c r="G609" s="11"/>
      <c r="H609" s="11"/>
      <c r="I609" s="11"/>
      <c r="J609" s="11" t="str">
        <f>IFERROR(__xludf.DUMMYFUNCTION("iferror(if($B609="""", ,filter(Playoff_Stats!F:Z,Playoff_Stats!A:A=$B609,Playoff_Stats!B:B=$A609)))"),"")</f>
        <v/>
      </c>
      <c r="K609" s="11"/>
      <c r="L609" s="12"/>
      <c r="M609" s="11"/>
      <c r="N609" s="11"/>
      <c r="O609" s="13"/>
      <c r="P609" s="14"/>
      <c r="Q609" s="13"/>
      <c r="R609" s="13"/>
      <c r="S609" s="15"/>
      <c r="T609" s="16"/>
      <c r="U609" s="16"/>
      <c r="V609" s="16"/>
      <c r="W609" s="16"/>
      <c r="X609" s="16"/>
      <c r="Y609" s="11"/>
      <c r="Z609" s="11"/>
      <c r="AA609" s="11"/>
      <c r="AB609" s="11"/>
      <c r="AC609" s="11"/>
      <c r="AD609" s="11"/>
    </row>
    <row r="610">
      <c r="A610" s="10"/>
      <c r="B610" s="10"/>
      <c r="C610" s="10"/>
      <c r="D610" s="10"/>
      <c r="E610" s="10"/>
      <c r="F610" s="11"/>
      <c r="G610" s="11"/>
      <c r="H610" s="11"/>
      <c r="I610" s="11"/>
      <c r="J610" s="11" t="str">
        <f>IFERROR(__xludf.DUMMYFUNCTION("iferror(if($B610="""", ,filter(Playoff_Stats!F:Z,Playoff_Stats!A:A=$B610,Playoff_Stats!B:B=$A610)))"),"")</f>
        <v/>
      </c>
      <c r="K610" s="11"/>
      <c r="L610" s="12"/>
      <c r="M610" s="11"/>
      <c r="N610" s="11"/>
      <c r="O610" s="13"/>
      <c r="P610" s="14"/>
      <c r="Q610" s="13"/>
      <c r="R610" s="13"/>
      <c r="S610" s="15"/>
      <c r="T610" s="16"/>
      <c r="U610" s="16"/>
      <c r="V610" s="16"/>
      <c r="W610" s="16"/>
      <c r="X610" s="16"/>
      <c r="Y610" s="11"/>
      <c r="Z610" s="11"/>
      <c r="AA610" s="11"/>
      <c r="AB610" s="11"/>
      <c r="AC610" s="11"/>
      <c r="AD610" s="11"/>
    </row>
    <row r="611">
      <c r="A611" s="10"/>
      <c r="B611" s="10"/>
      <c r="C611" s="10"/>
      <c r="D611" s="10"/>
      <c r="E611" s="10"/>
      <c r="F611" s="11"/>
      <c r="G611" s="11"/>
      <c r="H611" s="11"/>
      <c r="I611" s="11"/>
      <c r="J611" s="11" t="str">
        <f>IFERROR(__xludf.DUMMYFUNCTION("iferror(if($B611="""", ,filter(Playoff_Stats!F:Z,Playoff_Stats!A:A=$B611,Playoff_Stats!B:B=$A611)))"),"")</f>
        <v/>
      </c>
      <c r="K611" s="11"/>
      <c r="L611" s="12"/>
      <c r="M611" s="11"/>
      <c r="N611" s="11"/>
      <c r="O611" s="13"/>
      <c r="P611" s="14"/>
      <c r="Q611" s="13"/>
      <c r="R611" s="13"/>
      <c r="S611" s="15"/>
      <c r="T611" s="16"/>
      <c r="U611" s="16"/>
      <c r="V611" s="16"/>
      <c r="W611" s="16"/>
      <c r="X611" s="16"/>
      <c r="Y611" s="11"/>
      <c r="Z611" s="11"/>
      <c r="AA611" s="11"/>
      <c r="AB611" s="11"/>
      <c r="AC611" s="11"/>
      <c r="AD611" s="11"/>
    </row>
    <row r="612">
      <c r="A612" s="10"/>
      <c r="B612" s="10"/>
      <c r="C612" s="10"/>
      <c r="D612" s="10"/>
      <c r="E612" s="10"/>
      <c r="F612" s="11"/>
      <c r="G612" s="11"/>
      <c r="H612" s="11"/>
      <c r="I612" s="11"/>
      <c r="J612" s="11" t="str">
        <f>IFERROR(__xludf.DUMMYFUNCTION("iferror(if($B612="""", ,filter(Playoff_Stats!F:Z,Playoff_Stats!A:A=$B612,Playoff_Stats!B:B=$A612)))"),"")</f>
        <v/>
      </c>
      <c r="K612" s="11"/>
      <c r="L612" s="12"/>
      <c r="M612" s="11"/>
      <c r="N612" s="11"/>
      <c r="O612" s="13"/>
      <c r="P612" s="14"/>
      <c r="Q612" s="13"/>
      <c r="R612" s="13"/>
      <c r="S612" s="15"/>
      <c r="T612" s="16"/>
      <c r="U612" s="16"/>
      <c r="V612" s="16"/>
      <c r="W612" s="16"/>
      <c r="X612" s="16"/>
      <c r="Y612" s="11"/>
      <c r="Z612" s="11"/>
      <c r="AA612" s="11"/>
      <c r="AB612" s="11"/>
      <c r="AC612" s="11"/>
      <c r="AD612" s="11"/>
    </row>
    <row r="613">
      <c r="A613" s="10"/>
      <c r="B613" s="10"/>
      <c r="C613" s="10"/>
      <c r="D613" s="10"/>
      <c r="E613" s="10"/>
      <c r="F613" s="11"/>
      <c r="G613" s="11"/>
      <c r="H613" s="11"/>
      <c r="I613" s="11"/>
      <c r="J613" s="11" t="str">
        <f>IFERROR(__xludf.DUMMYFUNCTION("iferror(if($B613="""", ,filter(Playoff_Stats!F:Z,Playoff_Stats!A:A=$B613,Playoff_Stats!B:B=$A613)))"),"")</f>
        <v/>
      </c>
      <c r="K613" s="11"/>
      <c r="L613" s="12"/>
      <c r="M613" s="11"/>
      <c r="N613" s="11"/>
      <c r="O613" s="13"/>
      <c r="P613" s="14"/>
      <c r="Q613" s="13"/>
      <c r="R613" s="13"/>
      <c r="S613" s="15"/>
      <c r="T613" s="16"/>
      <c r="U613" s="16"/>
      <c r="V613" s="16"/>
      <c r="W613" s="16"/>
      <c r="X613" s="16"/>
      <c r="Y613" s="11"/>
      <c r="Z613" s="11"/>
      <c r="AA613" s="11"/>
      <c r="AB613" s="11"/>
      <c r="AC613" s="11"/>
      <c r="AD613" s="11"/>
    </row>
    <row r="614">
      <c r="A614" s="10"/>
      <c r="B614" s="10"/>
      <c r="C614" s="10"/>
      <c r="D614" s="10"/>
      <c r="E614" s="10"/>
      <c r="F614" s="11"/>
      <c r="G614" s="11"/>
      <c r="H614" s="11"/>
      <c r="I614" s="11"/>
      <c r="J614" s="11" t="str">
        <f>IFERROR(__xludf.DUMMYFUNCTION("iferror(if($B614="""", ,filter(Playoff_Stats!F:Z,Playoff_Stats!A:A=$B614,Playoff_Stats!B:B=$A614)))"),"")</f>
        <v/>
      </c>
      <c r="K614" s="11"/>
      <c r="L614" s="12"/>
      <c r="M614" s="11"/>
      <c r="N614" s="11"/>
      <c r="O614" s="13"/>
      <c r="P614" s="14"/>
      <c r="Q614" s="13"/>
      <c r="R614" s="13"/>
      <c r="S614" s="15"/>
      <c r="T614" s="16"/>
      <c r="U614" s="16"/>
      <c r="V614" s="16"/>
      <c r="W614" s="16"/>
      <c r="X614" s="16"/>
      <c r="Y614" s="11"/>
      <c r="Z614" s="11"/>
      <c r="AA614" s="11"/>
      <c r="AB614" s="11"/>
      <c r="AC614" s="11"/>
      <c r="AD614" s="11"/>
    </row>
    <row r="615">
      <c r="A615" s="10"/>
      <c r="B615" s="10"/>
      <c r="C615" s="10"/>
      <c r="D615" s="10"/>
      <c r="E615" s="10"/>
      <c r="F615" s="11"/>
      <c r="G615" s="11"/>
      <c r="H615" s="11"/>
      <c r="I615" s="11"/>
      <c r="J615" s="11" t="str">
        <f>IFERROR(__xludf.DUMMYFUNCTION("iferror(if($B615="""", ,filter(Playoff_Stats!F:Z,Playoff_Stats!A:A=$B615,Playoff_Stats!B:B=$A615)))"),"")</f>
        <v/>
      </c>
      <c r="K615" s="11"/>
      <c r="L615" s="12"/>
      <c r="M615" s="11"/>
      <c r="N615" s="11"/>
      <c r="O615" s="13"/>
      <c r="P615" s="14"/>
      <c r="Q615" s="13"/>
      <c r="R615" s="13"/>
      <c r="S615" s="15"/>
      <c r="T615" s="16"/>
      <c r="U615" s="16"/>
      <c r="V615" s="16"/>
      <c r="W615" s="16"/>
      <c r="X615" s="16"/>
      <c r="Y615" s="11"/>
      <c r="Z615" s="11"/>
      <c r="AA615" s="11"/>
      <c r="AB615" s="11"/>
      <c r="AC615" s="11"/>
      <c r="AD615" s="11"/>
    </row>
    <row r="616">
      <c r="A616" s="10"/>
      <c r="B616" s="10"/>
      <c r="C616" s="10"/>
      <c r="D616" s="10"/>
      <c r="E616" s="10"/>
      <c r="F616" s="11"/>
      <c r="G616" s="11"/>
      <c r="H616" s="11"/>
      <c r="I616" s="11"/>
      <c r="J616" s="11" t="str">
        <f>IFERROR(__xludf.DUMMYFUNCTION("iferror(if($B616="""", ,filter(Playoff_Stats!F:Z,Playoff_Stats!A:A=$B616,Playoff_Stats!B:B=$A616)))"),"")</f>
        <v/>
      </c>
      <c r="K616" s="11"/>
      <c r="L616" s="12"/>
      <c r="M616" s="11"/>
      <c r="N616" s="11"/>
      <c r="O616" s="13"/>
      <c r="P616" s="14"/>
      <c r="Q616" s="13"/>
      <c r="R616" s="13"/>
      <c r="S616" s="15"/>
      <c r="T616" s="16"/>
      <c r="U616" s="16"/>
      <c r="V616" s="16"/>
      <c r="W616" s="16"/>
      <c r="X616" s="16"/>
      <c r="Y616" s="11"/>
      <c r="Z616" s="11"/>
      <c r="AA616" s="11"/>
      <c r="AB616" s="11"/>
      <c r="AC616" s="11"/>
      <c r="AD616" s="11"/>
    </row>
    <row r="617">
      <c r="A617" s="10"/>
      <c r="B617" s="10"/>
      <c r="C617" s="10"/>
      <c r="D617" s="10"/>
      <c r="E617" s="10"/>
      <c r="F617" s="11"/>
      <c r="G617" s="11"/>
      <c r="H617" s="11"/>
      <c r="I617" s="11"/>
      <c r="J617" s="11" t="str">
        <f>IFERROR(__xludf.DUMMYFUNCTION("iferror(if($B617="""", ,filter(Playoff_Stats!F:Z,Playoff_Stats!A:A=$B617,Playoff_Stats!B:B=$A617)))"),"")</f>
        <v/>
      </c>
      <c r="K617" s="11"/>
      <c r="L617" s="12"/>
      <c r="M617" s="11"/>
      <c r="N617" s="11"/>
      <c r="O617" s="13"/>
      <c r="P617" s="14"/>
      <c r="Q617" s="13"/>
      <c r="R617" s="13"/>
      <c r="S617" s="15"/>
      <c r="T617" s="16"/>
      <c r="U617" s="16"/>
      <c r="V617" s="16"/>
      <c r="W617" s="16"/>
      <c r="X617" s="16"/>
      <c r="Y617" s="11"/>
      <c r="Z617" s="11"/>
      <c r="AA617" s="11"/>
      <c r="AB617" s="11"/>
      <c r="AC617" s="11"/>
      <c r="AD617" s="11"/>
    </row>
    <row r="618">
      <c r="A618" s="10"/>
      <c r="B618" s="10"/>
      <c r="C618" s="10"/>
      <c r="D618" s="10"/>
      <c r="E618" s="10"/>
      <c r="F618" s="11"/>
      <c r="G618" s="11"/>
      <c r="H618" s="11"/>
      <c r="I618" s="11"/>
      <c r="J618" s="11" t="str">
        <f>IFERROR(__xludf.DUMMYFUNCTION("iferror(if($B618="""", ,filter(Playoff_Stats!F:Z,Playoff_Stats!A:A=$B618,Playoff_Stats!B:B=$A618)))"),"")</f>
        <v/>
      </c>
      <c r="K618" s="11"/>
      <c r="L618" s="12"/>
      <c r="M618" s="11"/>
      <c r="N618" s="11"/>
      <c r="O618" s="13"/>
      <c r="P618" s="14"/>
      <c r="Q618" s="13"/>
      <c r="R618" s="13"/>
      <c r="S618" s="15"/>
      <c r="T618" s="16"/>
      <c r="U618" s="16"/>
      <c r="V618" s="16"/>
      <c r="W618" s="16"/>
      <c r="X618" s="16"/>
      <c r="Y618" s="11"/>
      <c r="Z618" s="11"/>
      <c r="AA618" s="11"/>
      <c r="AB618" s="11"/>
      <c r="AC618" s="11"/>
      <c r="AD618" s="11"/>
    </row>
    <row r="619">
      <c r="A619" s="10"/>
      <c r="B619" s="10"/>
      <c r="C619" s="10"/>
      <c r="D619" s="10"/>
      <c r="E619" s="10"/>
      <c r="F619" s="11"/>
      <c r="G619" s="11"/>
      <c r="H619" s="11"/>
      <c r="I619" s="11"/>
      <c r="J619" s="11" t="str">
        <f>IFERROR(__xludf.DUMMYFUNCTION("iferror(if($B619="""", ,filter(Playoff_Stats!F:Z,Playoff_Stats!A:A=$B619,Playoff_Stats!B:B=$A619)))"),"")</f>
        <v/>
      </c>
      <c r="K619" s="11"/>
      <c r="L619" s="12"/>
      <c r="M619" s="11"/>
      <c r="N619" s="11"/>
      <c r="O619" s="13"/>
      <c r="P619" s="14"/>
      <c r="Q619" s="13"/>
      <c r="R619" s="13"/>
      <c r="S619" s="15"/>
      <c r="T619" s="16"/>
      <c r="U619" s="16"/>
      <c r="V619" s="16"/>
      <c r="W619" s="16"/>
      <c r="X619" s="16"/>
      <c r="Y619" s="11"/>
      <c r="Z619" s="11"/>
      <c r="AA619" s="11"/>
      <c r="AB619" s="11"/>
      <c r="AC619" s="11"/>
      <c r="AD619" s="11"/>
    </row>
    <row r="620">
      <c r="A620" s="10"/>
      <c r="B620" s="10"/>
      <c r="C620" s="10"/>
      <c r="D620" s="10"/>
      <c r="E620" s="10"/>
      <c r="F620" s="11"/>
      <c r="G620" s="11"/>
      <c r="H620" s="11"/>
      <c r="I620" s="11"/>
      <c r="J620" s="11" t="str">
        <f>IFERROR(__xludf.DUMMYFUNCTION("iferror(if($B620="""", ,filter(Playoff_Stats!F:Z,Playoff_Stats!A:A=$B620,Playoff_Stats!B:B=$A620)))"),"")</f>
        <v/>
      </c>
      <c r="K620" s="11"/>
      <c r="L620" s="12"/>
      <c r="M620" s="11"/>
      <c r="N620" s="11"/>
      <c r="O620" s="13"/>
      <c r="P620" s="14"/>
      <c r="Q620" s="13"/>
      <c r="R620" s="13"/>
      <c r="S620" s="15"/>
      <c r="T620" s="16"/>
      <c r="U620" s="16"/>
      <c r="V620" s="16"/>
      <c r="W620" s="16"/>
      <c r="X620" s="16"/>
      <c r="Y620" s="11"/>
      <c r="Z620" s="11"/>
      <c r="AA620" s="11"/>
      <c r="AB620" s="11"/>
      <c r="AC620" s="11"/>
      <c r="AD620" s="11"/>
    </row>
    <row r="621">
      <c r="A621" s="10"/>
      <c r="B621" s="10"/>
      <c r="C621" s="10"/>
      <c r="D621" s="10"/>
      <c r="E621" s="10"/>
      <c r="F621" s="11"/>
      <c r="G621" s="11"/>
      <c r="H621" s="11"/>
      <c r="I621" s="11"/>
      <c r="J621" s="11" t="str">
        <f>IFERROR(__xludf.DUMMYFUNCTION("iferror(if($B621="""", ,filter(Playoff_Stats!F:Z,Playoff_Stats!A:A=$B621,Playoff_Stats!B:B=$A621)))"),"")</f>
        <v/>
      </c>
      <c r="K621" s="11"/>
      <c r="L621" s="12"/>
      <c r="M621" s="11"/>
      <c r="N621" s="11"/>
      <c r="O621" s="13"/>
      <c r="P621" s="14"/>
      <c r="Q621" s="13"/>
      <c r="R621" s="13"/>
      <c r="S621" s="15"/>
      <c r="T621" s="16"/>
      <c r="U621" s="16"/>
      <c r="V621" s="16"/>
      <c r="W621" s="16"/>
      <c r="X621" s="16"/>
      <c r="Y621" s="11"/>
      <c r="Z621" s="11"/>
      <c r="AA621" s="11"/>
      <c r="AB621" s="11"/>
      <c r="AC621" s="11"/>
      <c r="AD621" s="11"/>
    </row>
    <row r="622">
      <c r="A622" s="10"/>
      <c r="B622" s="10"/>
      <c r="C622" s="10"/>
      <c r="D622" s="10"/>
      <c r="E622" s="10"/>
      <c r="F622" s="11"/>
      <c r="G622" s="11"/>
      <c r="H622" s="11"/>
      <c r="I622" s="11"/>
      <c r="J622" s="11" t="str">
        <f>IFERROR(__xludf.DUMMYFUNCTION("iferror(if($B622="""", ,filter(Playoff_Stats!F:Z,Playoff_Stats!A:A=$B622,Playoff_Stats!B:B=$A622)))"),"")</f>
        <v/>
      </c>
      <c r="K622" s="11"/>
      <c r="L622" s="12"/>
      <c r="M622" s="11"/>
      <c r="N622" s="11"/>
      <c r="O622" s="13"/>
      <c r="P622" s="14"/>
      <c r="Q622" s="13"/>
      <c r="R622" s="13"/>
      <c r="S622" s="15"/>
      <c r="T622" s="16"/>
      <c r="U622" s="16"/>
      <c r="V622" s="16"/>
      <c r="W622" s="16"/>
      <c r="X622" s="16"/>
      <c r="Y622" s="11"/>
      <c r="Z622" s="11"/>
      <c r="AA622" s="11"/>
      <c r="AB622" s="11"/>
      <c r="AC622" s="11"/>
      <c r="AD622" s="11"/>
    </row>
    <row r="623">
      <c r="A623" s="10"/>
      <c r="B623" s="10"/>
      <c r="C623" s="10"/>
      <c r="D623" s="10"/>
      <c r="E623" s="10"/>
      <c r="F623" s="11"/>
      <c r="G623" s="11"/>
      <c r="H623" s="11"/>
      <c r="I623" s="11"/>
      <c r="J623" s="11" t="str">
        <f>IFERROR(__xludf.DUMMYFUNCTION("iferror(if($B623="""", ,filter(Playoff_Stats!F:Z,Playoff_Stats!A:A=$B623,Playoff_Stats!B:B=$A623)))"),"")</f>
        <v/>
      </c>
      <c r="K623" s="11"/>
      <c r="L623" s="12"/>
      <c r="M623" s="11"/>
      <c r="N623" s="11"/>
      <c r="O623" s="13"/>
      <c r="P623" s="14"/>
      <c r="Q623" s="13"/>
      <c r="R623" s="13"/>
      <c r="S623" s="15"/>
      <c r="T623" s="16"/>
      <c r="U623" s="16"/>
      <c r="V623" s="16"/>
      <c r="W623" s="16"/>
      <c r="X623" s="16"/>
      <c r="Y623" s="11"/>
      <c r="Z623" s="11"/>
      <c r="AA623" s="11"/>
      <c r="AB623" s="11"/>
      <c r="AC623" s="11"/>
      <c r="AD623" s="11"/>
    </row>
    <row r="624">
      <c r="A624" s="10"/>
      <c r="B624" s="10"/>
      <c r="C624" s="10"/>
      <c r="D624" s="10"/>
      <c r="E624" s="10"/>
      <c r="F624" s="11"/>
      <c r="G624" s="11"/>
      <c r="H624" s="11"/>
      <c r="I624" s="11"/>
      <c r="J624" s="11" t="str">
        <f>IFERROR(__xludf.DUMMYFUNCTION("iferror(if($B624="""", ,filter(Playoff_Stats!F:Z,Playoff_Stats!A:A=$B624,Playoff_Stats!B:B=$A624)))"),"")</f>
        <v/>
      </c>
      <c r="K624" s="11"/>
      <c r="L624" s="12"/>
      <c r="M624" s="11"/>
      <c r="N624" s="11"/>
      <c r="O624" s="13"/>
      <c r="P624" s="14"/>
      <c r="Q624" s="13"/>
      <c r="R624" s="13"/>
      <c r="S624" s="15"/>
      <c r="T624" s="16"/>
      <c r="U624" s="16"/>
      <c r="V624" s="16"/>
      <c r="W624" s="16"/>
      <c r="X624" s="16"/>
      <c r="Y624" s="11"/>
      <c r="Z624" s="11"/>
      <c r="AA624" s="11"/>
      <c r="AB624" s="11"/>
      <c r="AC624" s="11"/>
      <c r="AD624" s="11"/>
    </row>
    <row r="625">
      <c r="A625" s="10"/>
      <c r="B625" s="10"/>
      <c r="C625" s="10"/>
      <c r="D625" s="10"/>
      <c r="E625" s="10"/>
      <c r="F625" s="11"/>
      <c r="G625" s="11"/>
      <c r="H625" s="11"/>
      <c r="I625" s="11"/>
      <c r="J625" s="11" t="str">
        <f>IFERROR(__xludf.DUMMYFUNCTION("iferror(if($B625="""", ,filter(Playoff_Stats!F:Z,Playoff_Stats!A:A=$B625,Playoff_Stats!B:B=$A625)))"),"")</f>
        <v/>
      </c>
      <c r="K625" s="11"/>
      <c r="L625" s="12"/>
      <c r="M625" s="11"/>
      <c r="N625" s="11"/>
      <c r="O625" s="13"/>
      <c r="P625" s="14"/>
      <c r="Q625" s="13"/>
      <c r="R625" s="13"/>
      <c r="S625" s="15"/>
      <c r="T625" s="16"/>
      <c r="U625" s="16"/>
      <c r="V625" s="16"/>
      <c r="W625" s="16"/>
      <c r="X625" s="16"/>
      <c r="Y625" s="11"/>
      <c r="Z625" s="11"/>
      <c r="AA625" s="11"/>
      <c r="AB625" s="11"/>
      <c r="AC625" s="11"/>
      <c r="AD625" s="11"/>
    </row>
    <row r="626">
      <c r="A626" s="10"/>
      <c r="B626" s="10"/>
      <c r="C626" s="10"/>
      <c r="D626" s="10"/>
      <c r="E626" s="10"/>
      <c r="F626" s="11"/>
      <c r="G626" s="11"/>
      <c r="H626" s="11"/>
      <c r="I626" s="11"/>
      <c r="J626" s="11" t="str">
        <f>IFERROR(__xludf.DUMMYFUNCTION("iferror(if($B626="""", ,filter(Playoff_Stats!F:Z,Playoff_Stats!A:A=$B626,Playoff_Stats!B:B=$A626)))"),"")</f>
        <v/>
      </c>
      <c r="K626" s="11"/>
      <c r="L626" s="12"/>
      <c r="M626" s="11"/>
      <c r="N626" s="11"/>
      <c r="O626" s="13"/>
      <c r="P626" s="14"/>
      <c r="Q626" s="13"/>
      <c r="R626" s="13"/>
      <c r="S626" s="15"/>
      <c r="T626" s="16"/>
      <c r="U626" s="16"/>
      <c r="V626" s="16"/>
      <c r="W626" s="16"/>
      <c r="X626" s="16"/>
      <c r="Y626" s="11"/>
      <c r="Z626" s="11"/>
      <c r="AA626" s="11"/>
      <c r="AB626" s="11"/>
      <c r="AC626" s="11"/>
      <c r="AD626" s="11"/>
    </row>
    <row r="627">
      <c r="A627" s="10"/>
      <c r="B627" s="10"/>
      <c r="C627" s="10"/>
      <c r="D627" s="10"/>
      <c r="E627" s="10"/>
      <c r="F627" s="11"/>
      <c r="G627" s="11"/>
      <c r="H627" s="11"/>
      <c r="I627" s="11"/>
      <c r="J627" s="11" t="str">
        <f>IFERROR(__xludf.DUMMYFUNCTION("iferror(if($B627="""", ,filter(Playoff_Stats!F:Z,Playoff_Stats!A:A=$B627,Playoff_Stats!B:B=$A627)))"),"")</f>
        <v/>
      </c>
      <c r="K627" s="11"/>
      <c r="L627" s="12"/>
      <c r="M627" s="11"/>
      <c r="N627" s="11"/>
      <c r="O627" s="13"/>
      <c r="P627" s="14"/>
      <c r="Q627" s="13"/>
      <c r="R627" s="13"/>
      <c r="S627" s="15"/>
      <c r="T627" s="16"/>
      <c r="U627" s="16"/>
      <c r="V627" s="16"/>
      <c r="W627" s="16"/>
      <c r="X627" s="16"/>
      <c r="Y627" s="11"/>
      <c r="Z627" s="11"/>
      <c r="AA627" s="11"/>
      <c r="AB627" s="11"/>
      <c r="AC627" s="11"/>
      <c r="AD627" s="11"/>
    </row>
    <row r="628">
      <c r="A628" s="10"/>
      <c r="B628" s="10"/>
      <c r="C628" s="10"/>
      <c r="D628" s="10"/>
      <c r="E628" s="10"/>
      <c r="F628" s="11"/>
      <c r="G628" s="11"/>
      <c r="H628" s="11"/>
      <c r="I628" s="11"/>
      <c r="J628" s="11" t="str">
        <f>IFERROR(__xludf.DUMMYFUNCTION("iferror(if($B628="""", ,filter(Playoff_Stats!F:Z,Playoff_Stats!A:A=$B628,Playoff_Stats!B:B=$A628)))"),"")</f>
        <v/>
      </c>
      <c r="K628" s="11"/>
      <c r="L628" s="12"/>
      <c r="M628" s="11"/>
      <c r="N628" s="11"/>
      <c r="O628" s="13"/>
      <c r="P628" s="14"/>
      <c r="Q628" s="13"/>
      <c r="R628" s="13"/>
      <c r="S628" s="15"/>
      <c r="T628" s="16"/>
      <c r="U628" s="16"/>
      <c r="V628" s="16"/>
      <c r="W628" s="16"/>
      <c r="X628" s="16"/>
      <c r="Y628" s="11"/>
      <c r="Z628" s="11"/>
      <c r="AA628" s="11"/>
      <c r="AB628" s="11"/>
      <c r="AC628" s="11"/>
      <c r="AD628" s="11"/>
    </row>
    <row r="629">
      <c r="A629" s="10"/>
      <c r="B629" s="10"/>
      <c r="C629" s="10"/>
      <c r="D629" s="10"/>
      <c r="E629" s="10"/>
      <c r="F629" s="11"/>
      <c r="G629" s="11"/>
      <c r="H629" s="11"/>
      <c r="I629" s="11"/>
      <c r="J629" s="11" t="str">
        <f>IFERROR(__xludf.DUMMYFUNCTION("iferror(if($B629="""", ,filter(Playoff_Stats!F:Z,Playoff_Stats!A:A=$B629,Playoff_Stats!B:B=$A629)))"),"")</f>
        <v/>
      </c>
      <c r="K629" s="11"/>
      <c r="L629" s="12"/>
      <c r="M629" s="11"/>
      <c r="N629" s="11"/>
      <c r="O629" s="13"/>
      <c r="P629" s="14"/>
      <c r="Q629" s="13"/>
      <c r="R629" s="13"/>
      <c r="S629" s="15"/>
      <c r="T629" s="16"/>
      <c r="U629" s="16"/>
      <c r="V629" s="16"/>
      <c r="W629" s="16"/>
      <c r="X629" s="16"/>
      <c r="Y629" s="11"/>
      <c r="Z629" s="11"/>
      <c r="AA629" s="11"/>
      <c r="AB629" s="11"/>
      <c r="AC629" s="11"/>
      <c r="AD629" s="11"/>
    </row>
    <row r="630">
      <c r="A630" s="10"/>
      <c r="B630" s="10"/>
      <c r="C630" s="10"/>
      <c r="D630" s="10"/>
      <c r="E630" s="10"/>
      <c r="F630" s="11"/>
      <c r="G630" s="11"/>
      <c r="H630" s="11"/>
      <c r="I630" s="11"/>
      <c r="J630" s="11" t="str">
        <f>IFERROR(__xludf.DUMMYFUNCTION("iferror(if($B630="""", ,filter(Playoff_Stats!F:Z,Playoff_Stats!A:A=$B630,Playoff_Stats!B:B=$A630)))"),"")</f>
        <v/>
      </c>
      <c r="K630" s="11"/>
      <c r="L630" s="12"/>
      <c r="M630" s="11"/>
      <c r="N630" s="11"/>
      <c r="O630" s="13"/>
      <c r="P630" s="14"/>
      <c r="Q630" s="13"/>
      <c r="R630" s="13"/>
      <c r="S630" s="15"/>
      <c r="T630" s="16"/>
      <c r="U630" s="16"/>
      <c r="V630" s="16"/>
      <c r="W630" s="16"/>
      <c r="X630" s="16"/>
      <c r="Y630" s="11"/>
      <c r="Z630" s="11"/>
      <c r="AA630" s="11"/>
      <c r="AB630" s="11"/>
      <c r="AC630" s="11"/>
      <c r="AD630" s="11"/>
    </row>
    <row r="631">
      <c r="A631" s="10"/>
      <c r="B631" s="10"/>
      <c r="C631" s="10"/>
      <c r="D631" s="10"/>
      <c r="E631" s="10"/>
      <c r="F631" s="11"/>
      <c r="G631" s="11"/>
      <c r="H631" s="11"/>
      <c r="I631" s="11"/>
      <c r="J631" s="11" t="str">
        <f>IFERROR(__xludf.DUMMYFUNCTION("iferror(if($B631="""", ,filter(Playoff_Stats!F:Z,Playoff_Stats!A:A=$B631,Playoff_Stats!B:B=$A631)))"),"")</f>
        <v/>
      </c>
      <c r="K631" s="11"/>
      <c r="L631" s="12"/>
      <c r="M631" s="11"/>
      <c r="N631" s="11"/>
      <c r="O631" s="13"/>
      <c r="P631" s="14"/>
      <c r="Q631" s="13"/>
      <c r="R631" s="13"/>
      <c r="S631" s="15"/>
      <c r="T631" s="16"/>
      <c r="U631" s="16"/>
      <c r="V631" s="16"/>
      <c r="W631" s="16"/>
      <c r="X631" s="16"/>
      <c r="Y631" s="11"/>
      <c r="Z631" s="11"/>
      <c r="AA631" s="11"/>
      <c r="AB631" s="11"/>
      <c r="AC631" s="11"/>
      <c r="AD631" s="11"/>
    </row>
    <row r="632">
      <c r="A632" s="10"/>
      <c r="B632" s="10"/>
      <c r="C632" s="10"/>
      <c r="D632" s="10"/>
      <c r="E632" s="10"/>
      <c r="F632" s="11"/>
      <c r="G632" s="11"/>
      <c r="H632" s="11"/>
      <c r="I632" s="11"/>
      <c r="J632" s="11" t="str">
        <f>IFERROR(__xludf.DUMMYFUNCTION("iferror(if($B632="""", ,filter(Playoff_Stats!F:Z,Playoff_Stats!A:A=$B632,Playoff_Stats!B:B=$A632)))"),"")</f>
        <v/>
      </c>
      <c r="K632" s="11"/>
      <c r="L632" s="12"/>
      <c r="M632" s="11"/>
      <c r="N632" s="11"/>
      <c r="O632" s="13"/>
      <c r="P632" s="14"/>
      <c r="Q632" s="13"/>
      <c r="R632" s="13"/>
      <c r="S632" s="15"/>
      <c r="T632" s="16"/>
      <c r="U632" s="16"/>
      <c r="V632" s="16"/>
      <c r="W632" s="16"/>
      <c r="X632" s="16"/>
      <c r="Y632" s="11"/>
      <c r="Z632" s="11"/>
      <c r="AA632" s="11"/>
      <c r="AB632" s="11"/>
      <c r="AC632" s="11"/>
      <c r="AD632" s="11"/>
    </row>
    <row r="633">
      <c r="A633" s="10"/>
      <c r="B633" s="10"/>
      <c r="C633" s="10"/>
      <c r="D633" s="10"/>
      <c r="E633" s="10"/>
      <c r="F633" s="11"/>
      <c r="G633" s="11"/>
      <c r="H633" s="11"/>
      <c r="I633" s="11"/>
      <c r="J633" s="11" t="str">
        <f>IFERROR(__xludf.DUMMYFUNCTION("iferror(if($B633="""", ,filter(Playoff_Stats!F:Z,Playoff_Stats!A:A=$B633,Playoff_Stats!B:B=$A633)))"),"")</f>
        <v/>
      </c>
      <c r="K633" s="11"/>
      <c r="L633" s="12"/>
      <c r="M633" s="11"/>
      <c r="N633" s="11"/>
      <c r="O633" s="13"/>
      <c r="P633" s="14"/>
      <c r="Q633" s="13"/>
      <c r="R633" s="13"/>
      <c r="S633" s="15"/>
      <c r="T633" s="16"/>
      <c r="U633" s="16"/>
      <c r="V633" s="16"/>
      <c r="W633" s="16"/>
      <c r="X633" s="16"/>
      <c r="Y633" s="11"/>
      <c r="Z633" s="11"/>
      <c r="AA633" s="11"/>
      <c r="AB633" s="11"/>
      <c r="AC633" s="11"/>
      <c r="AD633" s="11"/>
    </row>
    <row r="634">
      <c r="A634" s="10"/>
      <c r="B634" s="10"/>
      <c r="C634" s="10"/>
      <c r="D634" s="10"/>
      <c r="E634" s="10"/>
      <c r="F634" s="11"/>
      <c r="G634" s="11"/>
      <c r="H634" s="11"/>
      <c r="I634" s="11"/>
      <c r="J634" s="11" t="str">
        <f>IFERROR(__xludf.DUMMYFUNCTION("iferror(if($B634="""", ,filter(Playoff_Stats!F:Z,Playoff_Stats!A:A=$B634,Playoff_Stats!B:B=$A634)))"),"")</f>
        <v/>
      </c>
      <c r="K634" s="11"/>
      <c r="L634" s="12"/>
      <c r="M634" s="11"/>
      <c r="N634" s="11"/>
      <c r="O634" s="13"/>
      <c r="P634" s="14"/>
      <c r="Q634" s="13"/>
      <c r="R634" s="13"/>
      <c r="S634" s="15"/>
      <c r="T634" s="16"/>
      <c r="U634" s="16"/>
      <c r="V634" s="16"/>
      <c r="W634" s="16"/>
      <c r="X634" s="16"/>
      <c r="Y634" s="11"/>
      <c r="Z634" s="11"/>
      <c r="AA634" s="11"/>
      <c r="AB634" s="11"/>
      <c r="AC634" s="11"/>
      <c r="AD634" s="11"/>
    </row>
    <row r="635">
      <c r="A635" s="10"/>
      <c r="B635" s="10"/>
      <c r="C635" s="10"/>
      <c r="D635" s="10"/>
      <c r="E635" s="10"/>
      <c r="F635" s="11"/>
      <c r="G635" s="11"/>
      <c r="H635" s="11"/>
      <c r="I635" s="11"/>
      <c r="J635" s="11" t="str">
        <f>IFERROR(__xludf.DUMMYFUNCTION("iferror(if($B635="""", ,filter(Playoff_Stats!F:Z,Playoff_Stats!A:A=$B635,Playoff_Stats!B:B=$A635)))"),"")</f>
        <v/>
      </c>
      <c r="K635" s="11"/>
      <c r="L635" s="12"/>
      <c r="M635" s="11"/>
      <c r="N635" s="11"/>
      <c r="O635" s="13"/>
      <c r="P635" s="14"/>
      <c r="Q635" s="13"/>
      <c r="R635" s="13"/>
      <c r="S635" s="15"/>
      <c r="T635" s="16"/>
      <c r="U635" s="16"/>
      <c r="V635" s="16"/>
      <c r="W635" s="16"/>
      <c r="X635" s="16"/>
      <c r="Y635" s="11"/>
      <c r="Z635" s="11"/>
      <c r="AA635" s="11"/>
      <c r="AB635" s="11"/>
      <c r="AC635" s="11"/>
      <c r="AD635" s="11"/>
    </row>
    <row r="636">
      <c r="A636" s="10"/>
      <c r="B636" s="10"/>
      <c r="C636" s="10"/>
      <c r="D636" s="10"/>
      <c r="E636" s="10"/>
      <c r="F636" s="11"/>
      <c r="G636" s="11"/>
      <c r="H636" s="11"/>
      <c r="I636" s="11"/>
      <c r="J636" s="11" t="str">
        <f>IFERROR(__xludf.DUMMYFUNCTION("iferror(if($B636="""", ,filter(Playoff_Stats!F:Z,Playoff_Stats!A:A=$B636,Playoff_Stats!B:B=$A636)))"),"")</f>
        <v/>
      </c>
      <c r="K636" s="11"/>
      <c r="L636" s="12"/>
      <c r="M636" s="11"/>
      <c r="N636" s="11"/>
      <c r="O636" s="13"/>
      <c r="P636" s="14"/>
      <c r="Q636" s="13"/>
      <c r="R636" s="13"/>
      <c r="S636" s="15"/>
      <c r="T636" s="16"/>
      <c r="U636" s="16"/>
      <c r="V636" s="16"/>
      <c r="W636" s="16"/>
      <c r="X636" s="16"/>
      <c r="Y636" s="11"/>
      <c r="Z636" s="11"/>
      <c r="AA636" s="11"/>
      <c r="AB636" s="11"/>
      <c r="AC636" s="11"/>
      <c r="AD636" s="11"/>
    </row>
    <row r="637">
      <c r="A637" s="10"/>
      <c r="B637" s="10"/>
      <c r="C637" s="10"/>
      <c r="D637" s="10"/>
      <c r="E637" s="10"/>
      <c r="F637" s="11"/>
      <c r="G637" s="11"/>
      <c r="H637" s="11"/>
      <c r="I637" s="11"/>
      <c r="J637" s="11" t="str">
        <f>IFERROR(__xludf.DUMMYFUNCTION("iferror(if($B637="""", ,filter(Playoff_Stats!F:Z,Playoff_Stats!A:A=$B637,Playoff_Stats!B:B=$A637)))"),"")</f>
        <v/>
      </c>
      <c r="K637" s="11"/>
      <c r="L637" s="12"/>
      <c r="M637" s="11"/>
      <c r="N637" s="11"/>
      <c r="O637" s="13"/>
      <c r="P637" s="14"/>
      <c r="Q637" s="13"/>
      <c r="R637" s="13"/>
      <c r="S637" s="15"/>
      <c r="T637" s="16"/>
      <c r="U637" s="16"/>
      <c r="V637" s="16"/>
      <c r="W637" s="16"/>
      <c r="X637" s="16"/>
      <c r="Y637" s="11"/>
      <c r="Z637" s="11"/>
      <c r="AA637" s="11"/>
      <c r="AB637" s="11"/>
      <c r="AC637" s="11"/>
      <c r="AD637" s="11"/>
    </row>
    <row r="638">
      <c r="A638" s="10"/>
      <c r="B638" s="10"/>
      <c r="C638" s="10"/>
      <c r="D638" s="10"/>
      <c r="E638" s="10"/>
      <c r="F638" s="11"/>
      <c r="G638" s="11"/>
      <c r="H638" s="11"/>
      <c r="I638" s="11"/>
      <c r="J638" s="11" t="str">
        <f>IFERROR(__xludf.DUMMYFUNCTION("iferror(if($B638="""", ,filter(Playoff_Stats!F:Z,Playoff_Stats!A:A=$B638,Playoff_Stats!B:B=$A638)))"),"")</f>
        <v/>
      </c>
      <c r="K638" s="11"/>
      <c r="L638" s="12"/>
      <c r="M638" s="11"/>
      <c r="N638" s="11"/>
      <c r="O638" s="13"/>
      <c r="P638" s="14"/>
      <c r="Q638" s="13"/>
      <c r="R638" s="13"/>
      <c r="S638" s="15"/>
      <c r="T638" s="16"/>
      <c r="U638" s="16"/>
      <c r="V638" s="16"/>
      <c r="W638" s="16"/>
      <c r="X638" s="16"/>
      <c r="Y638" s="11"/>
      <c r="Z638" s="11"/>
      <c r="AA638" s="11"/>
      <c r="AB638" s="11"/>
      <c r="AC638" s="11"/>
      <c r="AD638" s="11"/>
    </row>
    <row r="639">
      <c r="A639" s="10"/>
      <c r="B639" s="10"/>
      <c r="C639" s="10"/>
      <c r="D639" s="10"/>
      <c r="E639" s="10"/>
      <c r="F639" s="11"/>
      <c r="G639" s="11"/>
      <c r="H639" s="11"/>
      <c r="I639" s="11"/>
      <c r="J639" s="11" t="str">
        <f>IFERROR(__xludf.DUMMYFUNCTION("iferror(if($B639="""", ,filter(Playoff_Stats!F:Z,Playoff_Stats!A:A=$B639,Playoff_Stats!B:B=$A639)))"),"")</f>
        <v/>
      </c>
      <c r="K639" s="11"/>
      <c r="L639" s="12"/>
      <c r="M639" s="11"/>
      <c r="N639" s="11"/>
      <c r="O639" s="13"/>
      <c r="P639" s="14"/>
      <c r="Q639" s="13"/>
      <c r="R639" s="13"/>
      <c r="S639" s="15"/>
      <c r="T639" s="16"/>
      <c r="U639" s="16"/>
      <c r="V639" s="16"/>
      <c r="W639" s="16"/>
      <c r="X639" s="16"/>
      <c r="Y639" s="11"/>
      <c r="Z639" s="11"/>
      <c r="AA639" s="11"/>
      <c r="AB639" s="11"/>
      <c r="AC639" s="11"/>
      <c r="AD639" s="11"/>
    </row>
    <row r="640">
      <c r="A640" s="10"/>
      <c r="B640" s="10"/>
      <c r="C640" s="10"/>
      <c r="D640" s="10"/>
      <c r="E640" s="10"/>
      <c r="F640" s="11"/>
      <c r="G640" s="11"/>
      <c r="H640" s="11"/>
      <c r="I640" s="11"/>
      <c r="J640" s="11" t="str">
        <f>IFERROR(__xludf.DUMMYFUNCTION("iferror(if($B640="""", ,filter(Playoff_Stats!F:Z,Playoff_Stats!A:A=$B640,Playoff_Stats!B:B=$A640)))"),"")</f>
        <v/>
      </c>
      <c r="K640" s="11"/>
      <c r="L640" s="12"/>
      <c r="M640" s="11"/>
      <c r="N640" s="11"/>
      <c r="O640" s="13"/>
      <c r="P640" s="14"/>
      <c r="Q640" s="13"/>
      <c r="R640" s="13"/>
      <c r="S640" s="15"/>
      <c r="T640" s="16"/>
      <c r="U640" s="16"/>
      <c r="V640" s="16"/>
      <c r="W640" s="16"/>
      <c r="X640" s="16"/>
      <c r="Y640" s="11"/>
      <c r="Z640" s="11"/>
      <c r="AA640" s="11"/>
      <c r="AB640" s="11"/>
      <c r="AC640" s="11"/>
      <c r="AD640" s="11"/>
    </row>
    <row r="641">
      <c r="A641" s="10"/>
      <c r="B641" s="10"/>
      <c r="C641" s="10"/>
      <c r="D641" s="10"/>
      <c r="E641" s="10"/>
      <c r="F641" s="11"/>
      <c r="G641" s="11"/>
      <c r="H641" s="11"/>
      <c r="I641" s="11"/>
      <c r="J641" s="11" t="str">
        <f>IFERROR(__xludf.DUMMYFUNCTION("iferror(if($B641="""", ,filter(Playoff_Stats!F:Z,Playoff_Stats!A:A=$B641,Playoff_Stats!B:B=$A641)))"),"")</f>
        <v/>
      </c>
      <c r="K641" s="11"/>
      <c r="L641" s="12"/>
      <c r="M641" s="11"/>
      <c r="N641" s="11"/>
      <c r="O641" s="13"/>
      <c r="P641" s="14"/>
      <c r="Q641" s="13"/>
      <c r="R641" s="13"/>
      <c r="S641" s="15"/>
      <c r="T641" s="16"/>
      <c r="U641" s="16"/>
      <c r="V641" s="16"/>
      <c r="W641" s="16"/>
      <c r="X641" s="16"/>
      <c r="Y641" s="11"/>
      <c r="Z641" s="11"/>
      <c r="AA641" s="11"/>
      <c r="AB641" s="11"/>
      <c r="AC641" s="11"/>
      <c r="AD641" s="11"/>
    </row>
    <row r="642">
      <c r="A642" s="10"/>
      <c r="B642" s="10"/>
      <c r="C642" s="10"/>
      <c r="D642" s="10"/>
      <c r="E642" s="10"/>
      <c r="F642" s="11"/>
      <c r="G642" s="11"/>
      <c r="H642" s="11"/>
      <c r="I642" s="11"/>
      <c r="J642" s="11" t="str">
        <f>IFERROR(__xludf.DUMMYFUNCTION("iferror(if($B642="""", ,filter(Playoff_Stats!F:Z,Playoff_Stats!A:A=$B642,Playoff_Stats!B:B=$A642)))"),"")</f>
        <v/>
      </c>
      <c r="K642" s="11"/>
      <c r="L642" s="12"/>
      <c r="M642" s="11"/>
      <c r="N642" s="11"/>
      <c r="O642" s="13"/>
      <c r="P642" s="14"/>
      <c r="Q642" s="13"/>
      <c r="R642" s="13"/>
      <c r="S642" s="15"/>
      <c r="T642" s="16"/>
      <c r="U642" s="16"/>
      <c r="V642" s="16"/>
      <c r="W642" s="16"/>
      <c r="X642" s="16"/>
      <c r="Y642" s="11"/>
      <c r="Z642" s="11"/>
      <c r="AA642" s="11"/>
      <c r="AB642" s="11"/>
      <c r="AC642" s="11"/>
      <c r="AD642" s="11"/>
    </row>
    <row r="643">
      <c r="A643" s="10"/>
      <c r="B643" s="10"/>
      <c r="C643" s="10"/>
      <c r="D643" s="10"/>
      <c r="E643" s="10"/>
      <c r="F643" s="11"/>
      <c r="G643" s="11"/>
      <c r="H643" s="11"/>
      <c r="I643" s="11"/>
      <c r="J643" s="11" t="str">
        <f>IFERROR(__xludf.DUMMYFUNCTION("iferror(if($B643="""", ,filter(Playoff_Stats!F:Z,Playoff_Stats!A:A=$B643,Playoff_Stats!B:B=$A643)))"),"")</f>
        <v/>
      </c>
      <c r="K643" s="11"/>
      <c r="L643" s="12"/>
      <c r="M643" s="11"/>
      <c r="N643" s="11"/>
      <c r="O643" s="13"/>
      <c r="P643" s="14"/>
      <c r="Q643" s="13"/>
      <c r="R643" s="13"/>
      <c r="S643" s="15"/>
      <c r="T643" s="16"/>
      <c r="U643" s="16"/>
      <c r="V643" s="16"/>
      <c r="W643" s="16"/>
      <c r="X643" s="16"/>
      <c r="Y643" s="11"/>
      <c r="Z643" s="11"/>
      <c r="AA643" s="11"/>
      <c r="AB643" s="11"/>
      <c r="AC643" s="11"/>
      <c r="AD643" s="11"/>
    </row>
    <row r="644">
      <c r="A644" s="10"/>
      <c r="B644" s="10"/>
      <c r="C644" s="10"/>
      <c r="D644" s="10"/>
      <c r="E644" s="10"/>
      <c r="F644" s="11"/>
      <c r="G644" s="11"/>
      <c r="H644" s="11"/>
      <c r="I644" s="11"/>
      <c r="J644" s="11" t="str">
        <f>IFERROR(__xludf.DUMMYFUNCTION("iferror(if($B644="""", ,filter(Playoff_Stats!F:Z,Playoff_Stats!A:A=$B644,Playoff_Stats!B:B=$A644)))"),"")</f>
        <v/>
      </c>
      <c r="K644" s="11"/>
      <c r="L644" s="12"/>
      <c r="M644" s="11"/>
      <c r="N644" s="11"/>
      <c r="O644" s="13"/>
      <c r="P644" s="14"/>
      <c r="Q644" s="13"/>
      <c r="R644" s="13"/>
      <c r="S644" s="15"/>
      <c r="T644" s="16"/>
      <c r="U644" s="16"/>
      <c r="V644" s="16"/>
      <c r="W644" s="16"/>
      <c r="X644" s="16"/>
      <c r="Y644" s="11"/>
      <c r="Z644" s="11"/>
      <c r="AA644" s="11"/>
      <c r="AB644" s="11"/>
      <c r="AC644" s="11"/>
      <c r="AD644" s="11"/>
    </row>
    <row r="645">
      <c r="A645" s="10"/>
      <c r="B645" s="10"/>
      <c r="C645" s="10"/>
      <c r="D645" s="10"/>
      <c r="E645" s="10"/>
      <c r="F645" s="11"/>
      <c r="G645" s="11"/>
      <c r="H645" s="11"/>
      <c r="I645" s="11"/>
      <c r="J645" s="11" t="str">
        <f>IFERROR(__xludf.DUMMYFUNCTION("iferror(if($B645="""", ,filter(Playoff_Stats!F:Z,Playoff_Stats!A:A=$B645,Playoff_Stats!B:B=$A645)))"),"")</f>
        <v/>
      </c>
      <c r="K645" s="11"/>
      <c r="L645" s="12"/>
      <c r="M645" s="11"/>
      <c r="N645" s="11"/>
      <c r="O645" s="13"/>
      <c r="P645" s="14"/>
      <c r="Q645" s="13"/>
      <c r="R645" s="13"/>
      <c r="S645" s="15"/>
      <c r="T645" s="16"/>
      <c r="U645" s="16"/>
      <c r="V645" s="16"/>
      <c r="W645" s="16"/>
      <c r="X645" s="16"/>
      <c r="Y645" s="11"/>
      <c r="Z645" s="11"/>
      <c r="AA645" s="11"/>
      <c r="AB645" s="11"/>
      <c r="AC645" s="11"/>
      <c r="AD645" s="11"/>
    </row>
    <row r="646">
      <c r="A646" s="10"/>
      <c r="B646" s="10"/>
      <c r="C646" s="10"/>
      <c r="D646" s="10"/>
      <c r="E646" s="10"/>
      <c r="F646" s="11"/>
      <c r="G646" s="11"/>
      <c r="H646" s="11"/>
      <c r="I646" s="11"/>
      <c r="J646" s="11" t="str">
        <f>IFERROR(__xludf.DUMMYFUNCTION("iferror(if($B646="""", ,filter(Playoff_Stats!F:Z,Playoff_Stats!A:A=$B646,Playoff_Stats!B:B=$A646)))"),"")</f>
        <v/>
      </c>
      <c r="K646" s="11"/>
      <c r="L646" s="12"/>
      <c r="M646" s="11"/>
      <c r="N646" s="11"/>
      <c r="O646" s="13"/>
      <c r="P646" s="14"/>
      <c r="Q646" s="13"/>
      <c r="R646" s="13"/>
      <c r="S646" s="15"/>
      <c r="T646" s="16"/>
      <c r="U646" s="16"/>
      <c r="V646" s="16"/>
      <c r="W646" s="16"/>
      <c r="X646" s="16"/>
      <c r="Y646" s="11"/>
      <c r="Z646" s="11"/>
      <c r="AA646" s="11"/>
      <c r="AB646" s="11"/>
      <c r="AC646" s="11"/>
      <c r="AD646" s="11"/>
    </row>
    <row r="647">
      <c r="A647" s="10"/>
      <c r="B647" s="10"/>
      <c r="C647" s="10"/>
      <c r="D647" s="10"/>
      <c r="E647" s="10"/>
      <c r="F647" s="11"/>
      <c r="G647" s="11"/>
      <c r="H647" s="11"/>
      <c r="I647" s="11"/>
      <c r="J647" s="11" t="str">
        <f>IFERROR(__xludf.DUMMYFUNCTION("iferror(if($B647="""", ,filter(Playoff_Stats!F:Z,Playoff_Stats!A:A=$B647,Playoff_Stats!B:B=$A647)))"),"")</f>
        <v/>
      </c>
      <c r="K647" s="11"/>
      <c r="L647" s="12"/>
      <c r="M647" s="11"/>
      <c r="N647" s="11"/>
      <c r="O647" s="13"/>
      <c r="P647" s="14"/>
      <c r="Q647" s="13"/>
      <c r="R647" s="13"/>
      <c r="S647" s="15"/>
      <c r="T647" s="16"/>
      <c r="U647" s="16"/>
      <c r="V647" s="16"/>
      <c r="W647" s="16"/>
      <c r="X647" s="16"/>
      <c r="Y647" s="11"/>
      <c r="Z647" s="11"/>
      <c r="AA647" s="11"/>
      <c r="AB647" s="11"/>
      <c r="AC647" s="11"/>
      <c r="AD647" s="11"/>
    </row>
    <row r="648">
      <c r="A648" s="10"/>
      <c r="B648" s="10"/>
      <c r="C648" s="10"/>
      <c r="D648" s="10"/>
      <c r="E648" s="10"/>
      <c r="F648" s="11"/>
      <c r="G648" s="11"/>
      <c r="H648" s="11"/>
      <c r="I648" s="11"/>
      <c r="J648" s="11" t="str">
        <f>IFERROR(__xludf.DUMMYFUNCTION("iferror(if($B648="""", ,filter(Playoff_Stats!F:Z,Playoff_Stats!A:A=$B648,Playoff_Stats!B:B=$A648)))"),"")</f>
        <v/>
      </c>
      <c r="K648" s="11"/>
      <c r="L648" s="12"/>
      <c r="M648" s="11"/>
      <c r="N648" s="11"/>
      <c r="O648" s="13"/>
      <c r="P648" s="14"/>
      <c r="Q648" s="13"/>
      <c r="R648" s="13"/>
      <c r="S648" s="15"/>
      <c r="T648" s="16"/>
      <c r="U648" s="16"/>
      <c r="V648" s="16"/>
      <c r="W648" s="16"/>
      <c r="X648" s="16"/>
      <c r="Y648" s="11"/>
      <c r="Z648" s="11"/>
      <c r="AA648" s="11"/>
      <c r="AB648" s="11"/>
      <c r="AC648" s="11"/>
      <c r="AD648" s="11"/>
    </row>
    <row r="649">
      <c r="A649" s="10"/>
      <c r="B649" s="10"/>
      <c r="C649" s="10"/>
      <c r="D649" s="10"/>
      <c r="E649" s="10"/>
      <c r="F649" s="11"/>
      <c r="G649" s="11"/>
      <c r="H649" s="11"/>
      <c r="I649" s="11"/>
      <c r="J649" s="11" t="str">
        <f>IFERROR(__xludf.DUMMYFUNCTION("iferror(if($B649="""", ,filter(Playoff_Stats!F:Z,Playoff_Stats!A:A=$B649,Playoff_Stats!B:B=$A649)))"),"")</f>
        <v/>
      </c>
      <c r="K649" s="11"/>
      <c r="L649" s="12"/>
      <c r="M649" s="11"/>
      <c r="N649" s="11"/>
      <c r="O649" s="13"/>
      <c r="P649" s="14"/>
      <c r="Q649" s="13"/>
      <c r="R649" s="13"/>
      <c r="S649" s="15"/>
      <c r="T649" s="16"/>
      <c r="U649" s="16"/>
      <c r="V649" s="16"/>
      <c r="W649" s="16"/>
      <c r="X649" s="16"/>
      <c r="Y649" s="11"/>
      <c r="Z649" s="11"/>
      <c r="AA649" s="11"/>
      <c r="AB649" s="11"/>
      <c r="AC649" s="11"/>
      <c r="AD649" s="11"/>
    </row>
    <row r="650">
      <c r="A650" s="10"/>
      <c r="B650" s="10"/>
      <c r="C650" s="10"/>
      <c r="D650" s="10"/>
      <c r="E650" s="10"/>
      <c r="F650" s="11"/>
      <c r="G650" s="11"/>
      <c r="H650" s="11"/>
      <c r="I650" s="11"/>
      <c r="J650" s="11" t="str">
        <f>IFERROR(__xludf.DUMMYFUNCTION("iferror(if($B650="""", ,filter(Playoff_Stats!F:Z,Playoff_Stats!A:A=$B650,Playoff_Stats!B:B=$A650)))"),"")</f>
        <v/>
      </c>
      <c r="K650" s="11"/>
      <c r="L650" s="12"/>
      <c r="M650" s="11"/>
      <c r="N650" s="11"/>
      <c r="O650" s="13"/>
      <c r="P650" s="14"/>
      <c r="Q650" s="13"/>
      <c r="R650" s="13"/>
      <c r="S650" s="15"/>
      <c r="T650" s="16"/>
      <c r="U650" s="16"/>
      <c r="V650" s="16"/>
      <c r="W650" s="16"/>
      <c r="X650" s="16"/>
      <c r="Y650" s="11"/>
      <c r="Z650" s="11"/>
      <c r="AA650" s="11"/>
      <c r="AB650" s="11"/>
      <c r="AC650" s="11"/>
      <c r="AD650" s="11"/>
    </row>
    <row r="651">
      <c r="A651" s="10"/>
      <c r="B651" s="10"/>
      <c r="C651" s="10"/>
      <c r="D651" s="10"/>
      <c r="E651" s="10"/>
      <c r="F651" s="11"/>
      <c r="G651" s="11"/>
      <c r="H651" s="11"/>
      <c r="I651" s="11"/>
      <c r="J651" s="11" t="str">
        <f>IFERROR(__xludf.DUMMYFUNCTION("iferror(if($B651="""", ,filter(Playoff_Stats!F:Z,Playoff_Stats!A:A=$B651,Playoff_Stats!B:B=$A651)))"),"")</f>
        <v/>
      </c>
      <c r="K651" s="11"/>
      <c r="L651" s="12"/>
      <c r="M651" s="11"/>
      <c r="N651" s="11"/>
      <c r="O651" s="13"/>
      <c r="P651" s="14"/>
      <c r="Q651" s="13"/>
      <c r="R651" s="13"/>
      <c r="S651" s="15"/>
      <c r="T651" s="16"/>
      <c r="U651" s="16"/>
      <c r="V651" s="16"/>
      <c r="W651" s="16"/>
      <c r="X651" s="16"/>
      <c r="Y651" s="11"/>
      <c r="Z651" s="11"/>
      <c r="AA651" s="11"/>
      <c r="AB651" s="11"/>
      <c r="AC651" s="11"/>
      <c r="AD651" s="11"/>
    </row>
    <row r="652">
      <c r="A652" s="10"/>
      <c r="B652" s="10"/>
      <c r="C652" s="10"/>
      <c r="D652" s="10"/>
      <c r="E652" s="10"/>
      <c r="F652" s="11"/>
      <c r="G652" s="11"/>
      <c r="H652" s="11"/>
      <c r="I652" s="11"/>
      <c r="J652" s="11" t="str">
        <f>IFERROR(__xludf.DUMMYFUNCTION("iferror(if($B652="""", ,filter(Playoff_Stats!F:Z,Playoff_Stats!A:A=$B652,Playoff_Stats!B:B=$A652)))"),"")</f>
        <v/>
      </c>
      <c r="K652" s="11"/>
      <c r="L652" s="12"/>
      <c r="M652" s="11"/>
      <c r="N652" s="11"/>
      <c r="O652" s="13"/>
      <c r="P652" s="14"/>
      <c r="Q652" s="13"/>
      <c r="R652" s="13"/>
      <c r="S652" s="15"/>
      <c r="T652" s="16"/>
      <c r="U652" s="16"/>
      <c r="V652" s="16"/>
      <c r="W652" s="16"/>
      <c r="X652" s="16"/>
      <c r="Y652" s="11"/>
      <c r="Z652" s="11"/>
      <c r="AA652" s="11"/>
      <c r="AB652" s="11"/>
      <c r="AC652" s="11"/>
      <c r="AD652" s="11"/>
    </row>
    <row r="653">
      <c r="A653" s="10"/>
      <c r="B653" s="10"/>
      <c r="C653" s="10"/>
      <c r="D653" s="10"/>
      <c r="E653" s="10"/>
      <c r="F653" s="11"/>
      <c r="G653" s="11"/>
      <c r="H653" s="11"/>
      <c r="I653" s="11"/>
      <c r="J653" s="11" t="str">
        <f>IFERROR(__xludf.DUMMYFUNCTION("iferror(if($B653="""", ,filter(Playoff_Stats!F:Z,Playoff_Stats!A:A=$B653,Playoff_Stats!B:B=$A653)))"),"")</f>
        <v/>
      </c>
      <c r="K653" s="11"/>
      <c r="L653" s="12"/>
      <c r="M653" s="11"/>
      <c r="N653" s="11"/>
      <c r="O653" s="13"/>
      <c r="P653" s="14"/>
      <c r="Q653" s="13"/>
      <c r="R653" s="13"/>
      <c r="S653" s="15"/>
      <c r="T653" s="16"/>
      <c r="U653" s="16"/>
      <c r="V653" s="16"/>
      <c r="W653" s="16"/>
      <c r="X653" s="16"/>
      <c r="Y653" s="11"/>
      <c r="Z653" s="11"/>
      <c r="AA653" s="11"/>
      <c r="AB653" s="11"/>
      <c r="AC653" s="11"/>
      <c r="AD653" s="11"/>
    </row>
    <row r="654">
      <c r="A654" s="10"/>
      <c r="B654" s="10"/>
      <c r="C654" s="10"/>
      <c r="D654" s="10"/>
      <c r="E654" s="10"/>
      <c r="F654" s="11"/>
      <c r="G654" s="11"/>
      <c r="H654" s="11"/>
      <c r="I654" s="11"/>
      <c r="J654" s="11" t="str">
        <f>IFERROR(__xludf.DUMMYFUNCTION("iferror(if($B654="""", ,filter(Playoff_Stats!F:Z,Playoff_Stats!A:A=$B654,Playoff_Stats!B:B=$A654)))"),"")</f>
        <v/>
      </c>
      <c r="K654" s="11"/>
      <c r="L654" s="12"/>
      <c r="M654" s="11"/>
      <c r="N654" s="11"/>
      <c r="O654" s="13"/>
      <c r="P654" s="14"/>
      <c r="Q654" s="13"/>
      <c r="R654" s="13"/>
      <c r="S654" s="15"/>
      <c r="T654" s="16"/>
      <c r="U654" s="16"/>
      <c r="V654" s="16"/>
      <c r="W654" s="16"/>
      <c r="X654" s="16"/>
      <c r="Y654" s="11"/>
      <c r="Z654" s="11"/>
      <c r="AA654" s="11"/>
      <c r="AB654" s="11"/>
      <c r="AC654" s="11"/>
      <c r="AD654" s="11"/>
    </row>
    <row r="655">
      <c r="A655" s="10"/>
      <c r="B655" s="10"/>
      <c r="C655" s="10"/>
      <c r="D655" s="10"/>
      <c r="E655" s="10"/>
      <c r="F655" s="11"/>
      <c r="G655" s="11"/>
      <c r="H655" s="11"/>
      <c r="I655" s="11"/>
      <c r="J655" s="11" t="str">
        <f>IFERROR(__xludf.DUMMYFUNCTION("iferror(if($B655="""", ,filter(Playoff_Stats!F:Z,Playoff_Stats!A:A=$B655,Playoff_Stats!B:B=$A655)))"),"")</f>
        <v/>
      </c>
      <c r="K655" s="11"/>
      <c r="L655" s="12"/>
      <c r="M655" s="11"/>
      <c r="N655" s="11"/>
      <c r="O655" s="13"/>
      <c r="P655" s="14"/>
      <c r="Q655" s="13"/>
      <c r="R655" s="13"/>
      <c r="S655" s="15"/>
      <c r="T655" s="16"/>
      <c r="U655" s="16"/>
      <c r="V655" s="16"/>
      <c r="W655" s="16"/>
      <c r="X655" s="16"/>
      <c r="Y655" s="11"/>
      <c r="Z655" s="11"/>
      <c r="AA655" s="11"/>
      <c r="AB655" s="11"/>
      <c r="AC655" s="11"/>
      <c r="AD655" s="11"/>
    </row>
    <row r="656">
      <c r="A656" s="10"/>
      <c r="B656" s="10"/>
      <c r="C656" s="10"/>
      <c r="D656" s="10"/>
      <c r="E656" s="10"/>
      <c r="F656" s="11"/>
      <c r="G656" s="11"/>
      <c r="H656" s="11"/>
      <c r="I656" s="11"/>
      <c r="J656" s="11" t="str">
        <f>IFERROR(__xludf.DUMMYFUNCTION("iferror(if($B656="""", ,filter(Playoff_Stats!F:Z,Playoff_Stats!A:A=$B656,Playoff_Stats!B:B=$A656)))"),"")</f>
        <v/>
      </c>
      <c r="K656" s="11"/>
      <c r="L656" s="12"/>
      <c r="M656" s="11"/>
      <c r="N656" s="11"/>
      <c r="O656" s="13"/>
      <c r="P656" s="14"/>
      <c r="Q656" s="13"/>
      <c r="R656" s="13"/>
      <c r="S656" s="15"/>
      <c r="T656" s="16"/>
      <c r="U656" s="16"/>
      <c r="V656" s="16"/>
      <c r="W656" s="16"/>
      <c r="X656" s="16"/>
      <c r="Y656" s="11"/>
      <c r="Z656" s="11"/>
      <c r="AA656" s="11"/>
      <c r="AB656" s="11"/>
      <c r="AC656" s="11"/>
      <c r="AD656" s="11"/>
    </row>
    <row r="657">
      <c r="A657" s="10"/>
      <c r="B657" s="10"/>
      <c r="C657" s="10"/>
      <c r="D657" s="10"/>
      <c r="E657" s="10"/>
      <c r="F657" s="11"/>
      <c r="G657" s="11"/>
      <c r="H657" s="11"/>
      <c r="I657" s="11"/>
      <c r="J657" s="11" t="str">
        <f>IFERROR(__xludf.DUMMYFUNCTION("iferror(if($B657="""", ,filter(Playoff_Stats!F:Z,Playoff_Stats!A:A=$B657,Playoff_Stats!B:B=$A657)))"),"")</f>
        <v/>
      </c>
      <c r="K657" s="11"/>
      <c r="L657" s="12"/>
      <c r="M657" s="11"/>
      <c r="N657" s="11"/>
      <c r="O657" s="13"/>
      <c r="P657" s="14"/>
      <c r="Q657" s="13"/>
      <c r="R657" s="13"/>
      <c r="S657" s="15"/>
      <c r="T657" s="16"/>
      <c r="U657" s="16"/>
      <c r="V657" s="16"/>
      <c r="W657" s="16"/>
      <c r="X657" s="16"/>
      <c r="Y657" s="11"/>
      <c r="Z657" s="11"/>
      <c r="AA657" s="11"/>
      <c r="AB657" s="11"/>
      <c r="AC657" s="11"/>
      <c r="AD657" s="11"/>
    </row>
    <row r="658">
      <c r="A658" s="10"/>
      <c r="B658" s="10"/>
      <c r="C658" s="10"/>
      <c r="D658" s="10"/>
      <c r="E658" s="10"/>
      <c r="F658" s="11"/>
      <c r="G658" s="11"/>
      <c r="H658" s="11"/>
      <c r="I658" s="11"/>
      <c r="J658" s="11" t="str">
        <f>IFERROR(__xludf.DUMMYFUNCTION("iferror(if($B658="""", ,filter(Playoff_Stats!F:Z,Playoff_Stats!A:A=$B658,Playoff_Stats!B:B=$A658)))"),"")</f>
        <v/>
      </c>
      <c r="K658" s="11"/>
      <c r="L658" s="12"/>
      <c r="M658" s="11"/>
      <c r="N658" s="11"/>
      <c r="O658" s="13"/>
      <c r="P658" s="14"/>
      <c r="Q658" s="13"/>
      <c r="R658" s="13"/>
      <c r="S658" s="15"/>
      <c r="T658" s="16"/>
      <c r="U658" s="16"/>
      <c r="V658" s="16"/>
      <c r="W658" s="16"/>
      <c r="X658" s="16"/>
      <c r="Y658" s="11"/>
      <c r="Z658" s="11"/>
      <c r="AA658" s="11"/>
      <c r="AB658" s="11"/>
      <c r="AC658" s="11"/>
      <c r="AD658" s="11"/>
    </row>
    <row r="659">
      <c r="A659" s="10"/>
      <c r="B659" s="10"/>
      <c r="C659" s="10"/>
      <c r="D659" s="10"/>
      <c r="E659" s="10"/>
      <c r="F659" s="11"/>
      <c r="G659" s="11"/>
      <c r="H659" s="11"/>
      <c r="I659" s="11"/>
      <c r="J659" s="11" t="str">
        <f>IFERROR(__xludf.DUMMYFUNCTION("iferror(if($B659="""", ,filter(Playoff_Stats!F:Z,Playoff_Stats!A:A=$B659,Playoff_Stats!B:B=$A659)))"),"")</f>
        <v/>
      </c>
      <c r="K659" s="11"/>
      <c r="L659" s="12"/>
      <c r="M659" s="11"/>
      <c r="N659" s="11"/>
      <c r="O659" s="13"/>
      <c r="P659" s="14"/>
      <c r="Q659" s="13"/>
      <c r="R659" s="13"/>
      <c r="S659" s="15"/>
      <c r="T659" s="16"/>
      <c r="U659" s="16"/>
      <c r="V659" s="16"/>
      <c r="W659" s="16"/>
      <c r="X659" s="16"/>
      <c r="Y659" s="11"/>
      <c r="Z659" s="11"/>
      <c r="AA659" s="11"/>
      <c r="AB659" s="11"/>
      <c r="AC659" s="11"/>
      <c r="AD659" s="11"/>
    </row>
    <row r="660">
      <c r="A660" s="10"/>
      <c r="B660" s="10"/>
      <c r="C660" s="10"/>
      <c r="D660" s="10"/>
      <c r="E660" s="10"/>
      <c r="F660" s="11"/>
      <c r="G660" s="11"/>
      <c r="H660" s="11"/>
      <c r="I660" s="11"/>
      <c r="J660" s="11" t="str">
        <f>IFERROR(__xludf.DUMMYFUNCTION("iferror(if($B660="""", ,filter(Playoff_Stats!F:Z,Playoff_Stats!A:A=$B660,Playoff_Stats!B:B=$A660)))"),"")</f>
        <v/>
      </c>
      <c r="K660" s="11"/>
      <c r="L660" s="12"/>
      <c r="M660" s="11"/>
      <c r="N660" s="11"/>
      <c r="O660" s="13"/>
      <c r="P660" s="14"/>
      <c r="Q660" s="13"/>
      <c r="R660" s="13"/>
      <c r="S660" s="15"/>
      <c r="T660" s="16"/>
      <c r="U660" s="16"/>
      <c r="V660" s="16"/>
      <c r="W660" s="16"/>
      <c r="X660" s="16"/>
      <c r="Y660" s="11"/>
      <c r="Z660" s="11"/>
      <c r="AA660" s="11"/>
      <c r="AB660" s="11"/>
      <c r="AC660" s="11"/>
      <c r="AD660" s="11"/>
    </row>
    <row r="661">
      <c r="A661" s="10"/>
      <c r="B661" s="10"/>
      <c r="C661" s="10"/>
      <c r="D661" s="10"/>
      <c r="E661" s="10"/>
      <c r="F661" s="11"/>
      <c r="G661" s="11"/>
      <c r="H661" s="11"/>
      <c r="I661" s="11"/>
      <c r="J661" s="11" t="str">
        <f>IFERROR(__xludf.DUMMYFUNCTION("iferror(if($B661="""", ,filter(Playoff_Stats!F:Z,Playoff_Stats!A:A=$B661,Playoff_Stats!B:B=$A661)))"),"")</f>
        <v/>
      </c>
      <c r="K661" s="11"/>
      <c r="L661" s="12"/>
      <c r="M661" s="11"/>
      <c r="N661" s="11"/>
      <c r="O661" s="13"/>
      <c r="P661" s="14"/>
      <c r="Q661" s="13"/>
      <c r="R661" s="13"/>
      <c r="S661" s="15"/>
      <c r="T661" s="16"/>
      <c r="U661" s="16"/>
      <c r="V661" s="16"/>
      <c r="W661" s="16"/>
      <c r="X661" s="16"/>
      <c r="Y661" s="11"/>
      <c r="Z661" s="11"/>
      <c r="AA661" s="11"/>
      <c r="AB661" s="11"/>
      <c r="AC661" s="11"/>
      <c r="AD661" s="11"/>
    </row>
    <row r="662">
      <c r="A662" s="10"/>
      <c r="B662" s="10"/>
      <c r="C662" s="10"/>
      <c r="D662" s="10"/>
      <c r="E662" s="10"/>
      <c r="F662" s="11"/>
      <c r="G662" s="11"/>
      <c r="H662" s="11"/>
      <c r="I662" s="11"/>
      <c r="J662" s="11" t="str">
        <f>IFERROR(__xludf.DUMMYFUNCTION("iferror(if($B662="""", ,filter(Playoff_Stats!F:Z,Playoff_Stats!A:A=$B662,Playoff_Stats!B:B=$A662)))"),"")</f>
        <v/>
      </c>
      <c r="K662" s="11"/>
      <c r="L662" s="12"/>
      <c r="M662" s="11"/>
      <c r="N662" s="11"/>
      <c r="O662" s="13"/>
      <c r="P662" s="14"/>
      <c r="Q662" s="13"/>
      <c r="R662" s="13"/>
      <c r="S662" s="15"/>
      <c r="T662" s="16"/>
      <c r="U662" s="16"/>
      <c r="V662" s="16"/>
      <c r="W662" s="16"/>
      <c r="X662" s="16"/>
      <c r="Y662" s="11"/>
      <c r="Z662" s="11"/>
      <c r="AA662" s="11"/>
      <c r="AB662" s="11"/>
      <c r="AC662" s="11"/>
      <c r="AD662" s="11"/>
    </row>
    <row r="663">
      <c r="A663" s="10"/>
      <c r="B663" s="10"/>
      <c r="C663" s="10"/>
      <c r="D663" s="10"/>
      <c r="E663" s="10"/>
      <c r="F663" s="11"/>
      <c r="G663" s="11"/>
      <c r="H663" s="11"/>
      <c r="I663" s="11"/>
      <c r="J663" s="11" t="str">
        <f>IFERROR(__xludf.DUMMYFUNCTION("iferror(if($B663="""", ,filter(Playoff_Stats!F:Z,Playoff_Stats!A:A=$B663,Playoff_Stats!B:B=$A663)))"),"")</f>
        <v/>
      </c>
      <c r="K663" s="11"/>
      <c r="L663" s="12"/>
      <c r="M663" s="11"/>
      <c r="N663" s="11"/>
      <c r="O663" s="13"/>
      <c r="P663" s="14"/>
      <c r="Q663" s="13"/>
      <c r="R663" s="13"/>
      <c r="S663" s="15"/>
      <c r="T663" s="16"/>
      <c r="U663" s="16"/>
      <c r="V663" s="16"/>
      <c r="W663" s="16"/>
      <c r="X663" s="16"/>
      <c r="Y663" s="11"/>
      <c r="Z663" s="11"/>
      <c r="AA663" s="11"/>
      <c r="AB663" s="11"/>
      <c r="AC663" s="11"/>
      <c r="AD663" s="11"/>
    </row>
    <row r="664">
      <c r="A664" s="10"/>
      <c r="B664" s="10"/>
      <c r="C664" s="10"/>
      <c r="D664" s="10"/>
      <c r="E664" s="10"/>
      <c r="F664" s="11"/>
      <c r="G664" s="11"/>
      <c r="H664" s="11"/>
      <c r="I664" s="11"/>
      <c r="J664" s="11" t="str">
        <f>IFERROR(__xludf.DUMMYFUNCTION("iferror(if($B664="""", ,filter(Playoff_Stats!F:Z,Playoff_Stats!A:A=$B664,Playoff_Stats!B:B=$A664)))"),"")</f>
        <v/>
      </c>
      <c r="K664" s="11"/>
      <c r="L664" s="12"/>
      <c r="M664" s="11"/>
      <c r="N664" s="11"/>
      <c r="O664" s="13"/>
      <c r="P664" s="14"/>
      <c r="Q664" s="13"/>
      <c r="R664" s="13"/>
      <c r="S664" s="15"/>
      <c r="T664" s="16"/>
      <c r="U664" s="16"/>
      <c r="V664" s="16"/>
      <c r="W664" s="16"/>
      <c r="X664" s="16"/>
      <c r="Y664" s="11"/>
      <c r="Z664" s="11"/>
      <c r="AA664" s="11"/>
      <c r="AB664" s="11"/>
      <c r="AC664" s="11"/>
      <c r="AD664" s="11"/>
    </row>
    <row r="665">
      <c r="A665" s="10"/>
      <c r="B665" s="10"/>
      <c r="C665" s="10"/>
      <c r="D665" s="10"/>
      <c r="E665" s="10"/>
      <c r="F665" s="11"/>
      <c r="G665" s="11"/>
      <c r="H665" s="11"/>
      <c r="I665" s="11"/>
      <c r="J665" s="11" t="str">
        <f>IFERROR(__xludf.DUMMYFUNCTION("iferror(if($B665="""", ,filter(Playoff_Stats!F:Z,Playoff_Stats!A:A=$B665,Playoff_Stats!B:B=$A665)))"),"")</f>
        <v/>
      </c>
      <c r="K665" s="11"/>
      <c r="L665" s="12"/>
      <c r="M665" s="11"/>
      <c r="N665" s="11"/>
      <c r="O665" s="13"/>
      <c r="P665" s="14"/>
      <c r="Q665" s="13"/>
      <c r="R665" s="13"/>
      <c r="S665" s="15"/>
      <c r="T665" s="16"/>
      <c r="U665" s="16"/>
      <c r="V665" s="16"/>
      <c r="W665" s="16"/>
      <c r="X665" s="16"/>
      <c r="Y665" s="11"/>
      <c r="Z665" s="11"/>
      <c r="AA665" s="11"/>
      <c r="AB665" s="11"/>
      <c r="AC665" s="11"/>
      <c r="AD665" s="11"/>
    </row>
    <row r="666">
      <c r="A666" s="10"/>
      <c r="B666" s="10"/>
      <c r="C666" s="10"/>
      <c r="D666" s="10"/>
      <c r="E666" s="10"/>
      <c r="F666" s="11"/>
      <c r="G666" s="11"/>
      <c r="H666" s="11"/>
      <c r="I666" s="11"/>
      <c r="J666" s="11" t="str">
        <f>IFERROR(__xludf.DUMMYFUNCTION("iferror(if($B666="""", ,filter(Playoff_Stats!F:Z,Playoff_Stats!A:A=$B666,Playoff_Stats!B:B=$A666)))"),"")</f>
        <v/>
      </c>
      <c r="K666" s="11"/>
      <c r="L666" s="12"/>
      <c r="M666" s="11"/>
      <c r="N666" s="11"/>
      <c r="O666" s="13"/>
      <c r="P666" s="14"/>
      <c r="Q666" s="13"/>
      <c r="R666" s="13"/>
      <c r="S666" s="15"/>
      <c r="T666" s="16"/>
      <c r="U666" s="16"/>
      <c r="V666" s="16"/>
      <c r="W666" s="16"/>
      <c r="X666" s="16"/>
      <c r="Y666" s="11"/>
      <c r="Z666" s="11"/>
      <c r="AA666" s="11"/>
      <c r="AB666" s="11"/>
      <c r="AC666" s="11"/>
      <c r="AD666" s="11"/>
    </row>
    <row r="667">
      <c r="A667" s="10"/>
      <c r="B667" s="10"/>
      <c r="C667" s="10"/>
      <c r="D667" s="10"/>
      <c r="E667" s="10"/>
      <c r="F667" s="11"/>
      <c r="G667" s="11"/>
      <c r="H667" s="11"/>
      <c r="I667" s="11"/>
      <c r="J667" s="11" t="str">
        <f>IFERROR(__xludf.DUMMYFUNCTION("iferror(if($B667="""", ,filter(Playoff_Stats!F:Z,Playoff_Stats!A:A=$B667,Playoff_Stats!B:B=$A667)))"),"")</f>
        <v/>
      </c>
      <c r="K667" s="11"/>
      <c r="L667" s="12"/>
      <c r="M667" s="11"/>
      <c r="N667" s="11"/>
      <c r="O667" s="13"/>
      <c r="P667" s="14"/>
      <c r="Q667" s="13"/>
      <c r="R667" s="13"/>
      <c r="S667" s="15"/>
      <c r="T667" s="16"/>
      <c r="U667" s="16"/>
      <c r="V667" s="16"/>
      <c r="W667" s="16"/>
      <c r="X667" s="16"/>
      <c r="Y667" s="11"/>
      <c r="Z667" s="11"/>
      <c r="AA667" s="11"/>
      <c r="AB667" s="11"/>
      <c r="AC667" s="11"/>
      <c r="AD667" s="11"/>
    </row>
    <row r="668">
      <c r="A668" s="10"/>
      <c r="B668" s="10"/>
      <c r="C668" s="10"/>
      <c r="D668" s="10"/>
      <c r="E668" s="10"/>
      <c r="F668" s="11"/>
      <c r="G668" s="11"/>
      <c r="H668" s="11"/>
      <c r="I668" s="11"/>
      <c r="J668" s="11" t="str">
        <f>IFERROR(__xludf.DUMMYFUNCTION("iferror(if($B668="""", ,filter(Playoff_Stats!F:Z,Playoff_Stats!A:A=$B668,Playoff_Stats!B:B=$A668)))"),"")</f>
        <v/>
      </c>
      <c r="K668" s="11"/>
      <c r="L668" s="12"/>
      <c r="M668" s="11"/>
      <c r="N668" s="11"/>
      <c r="O668" s="13"/>
      <c r="P668" s="14"/>
      <c r="Q668" s="13"/>
      <c r="R668" s="13"/>
      <c r="S668" s="15"/>
      <c r="T668" s="16"/>
      <c r="U668" s="16"/>
      <c r="V668" s="16"/>
      <c r="W668" s="16"/>
      <c r="X668" s="16"/>
      <c r="Y668" s="11"/>
      <c r="Z668" s="11"/>
      <c r="AA668" s="11"/>
      <c r="AB668" s="11"/>
      <c r="AC668" s="11"/>
      <c r="AD668" s="11"/>
    </row>
    <row r="669">
      <c r="A669" s="10"/>
      <c r="B669" s="10"/>
      <c r="C669" s="10"/>
      <c r="D669" s="10"/>
      <c r="E669" s="10"/>
      <c r="F669" s="11"/>
      <c r="G669" s="11"/>
      <c r="H669" s="11"/>
      <c r="I669" s="11"/>
      <c r="J669" s="11" t="str">
        <f>IFERROR(__xludf.DUMMYFUNCTION("iferror(if($B669="""", ,filter(Playoff_Stats!F:Z,Playoff_Stats!A:A=$B669,Playoff_Stats!B:B=$A669)))"),"")</f>
        <v/>
      </c>
      <c r="K669" s="11"/>
      <c r="L669" s="12"/>
      <c r="M669" s="11"/>
      <c r="N669" s="11"/>
      <c r="O669" s="13"/>
      <c r="P669" s="14"/>
      <c r="Q669" s="13"/>
      <c r="R669" s="13"/>
      <c r="S669" s="15"/>
      <c r="T669" s="16"/>
      <c r="U669" s="16"/>
      <c r="V669" s="16"/>
      <c r="W669" s="16"/>
      <c r="X669" s="16"/>
      <c r="Y669" s="11"/>
      <c r="Z669" s="11"/>
      <c r="AA669" s="11"/>
      <c r="AB669" s="11"/>
      <c r="AC669" s="11"/>
      <c r="AD669" s="11"/>
    </row>
    <row r="670">
      <c r="A670" s="10"/>
      <c r="B670" s="10"/>
      <c r="C670" s="10"/>
      <c r="D670" s="10"/>
      <c r="E670" s="10"/>
      <c r="F670" s="11"/>
      <c r="G670" s="11"/>
      <c r="H670" s="11"/>
      <c r="I670" s="11"/>
      <c r="J670" s="11" t="str">
        <f>IFERROR(__xludf.DUMMYFUNCTION("iferror(if($B670="""", ,filter(Playoff_Stats!F:Z,Playoff_Stats!A:A=$B670,Playoff_Stats!B:B=$A670)))"),"")</f>
        <v/>
      </c>
      <c r="K670" s="11"/>
      <c r="L670" s="12"/>
      <c r="M670" s="11"/>
      <c r="N670" s="11"/>
      <c r="O670" s="13"/>
      <c r="P670" s="14"/>
      <c r="Q670" s="13"/>
      <c r="R670" s="13"/>
      <c r="S670" s="15"/>
      <c r="T670" s="16"/>
      <c r="U670" s="16"/>
      <c r="V670" s="16"/>
      <c r="W670" s="16"/>
      <c r="X670" s="16"/>
      <c r="Y670" s="11"/>
      <c r="Z670" s="11"/>
      <c r="AA670" s="11"/>
      <c r="AB670" s="11"/>
      <c r="AC670" s="11"/>
      <c r="AD670" s="11"/>
    </row>
    <row r="671">
      <c r="A671" s="10"/>
      <c r="B671" s="10"/>
      <c r="C671" s="10"/>
      <c r="D671" s="10"/>
      <c r="E671" s="10"/>
      <c r="F671" s="11"/>
      <c r="G671" s="11"/>
      <c r="H671" s="11"/>
      <c r="I671" s="11"/>
      <c r="J671" s="11" t="str">
        <f>IFERROR(__xludf.DUMMYFUNCTION("iferror(if($B671="""", ,filter(Playoff_Stats!F:Z,Playoff_Stats!A:A=$B671,Playoff_Stats!B:B=$A671)))"),"")</f>
        <v/>
      </c>
      <c r="K671" s="11"/>
      <c r="L671" s="12"/>
      <c r="M671" s="11"/>
      <c r="N671" s="11"/>
      <c r="O671" s="13"/>
      <c r="P671" s="14"/>
      <c r="Q671" s="13"/>
      <c r="R671" s="13"/>
      <c r="S671" s="15"/>
      <c r="T671" s="16"/>
      <c r="U671" s="16"/>
      <c r="V671" s="16"/>
      <c r="W671" s="16"/>
      <c r="X671" s="16"/>
      <c r="Y671" s="11"/>
      <c r="Z671" s="11"/>
      <c r="AA671" s="11"/>
      <c r="AB671" s="11"/>
      <c r="AC671" s="11"/>
      <c r="AD671" s="11"/>
    </row>
    <row r="672">
      <c r="A672" s="10"/>
      <c r="B672" s="10"/>
      <c r="C672" s="10"/>
      <c r="D672" s="10"/>
      <c r="E672" s="10"/>
      <c r="F672" s="11"/>
      <c r="G672" s="11"/>
      <c r="H672" s="11"/>
      <c r="I672" s="11"/>
      <c r="J672" s="11" t="str">
        <f>IFERROR(__xludf.DUMMYFUNCTION("iferror(if($B672="""", ,filter(Playoff_Stats!F:Z,Playoff_Stats!A:A=$B672,Playoff_Stats!B:B=$A672)))"),"")</f>
        <v/>
      </c>
      <c r="K672" s="11"/>
      <c r="L672" s="12"/>
      <c r="M672" s="11"/>
      <c r="N672" s="11"/>
      <c r="O672" s="13"/>
      <c r="P672" s="14"/>
      <c r="Q672" s="13"/>
      <c r="R672" s="13"/>
      <c r="S672" s="15"/>
      <c r="T672" s="16"/>
      <c r="U672" s="16"/>
      <c r="V672" s="16"/>
      <c r="W672" s="16"/>
      <c r="X672" s="16"/>
      <c r="Y672" s="11"/>
      <c r="Z672" s="11"/>
      <c r="AA672" s="11"/>
      <c r="AB672" s="11"/>
      <c r="AC672" s="11"/>
      <c r="AD672" s="11"/>
    </row>
    <row r="673">
      <c r="A673" s="10"/>
      <c r="B673" s="10"/>
      <c r="C673" s="10"/>
      <c r="D673" s="10"/>
      <c r="E673" s="10"/>
      <c r="F673" s="11"/>
      <c r="G673" s="11"/>
      <c r="H673" s="11"/>
      <c r="I673" s="11"/>
      <c r="J673" s="11" t="str">
        <f>IFERROR(__xludf.DUMMYFUNCTION("iferror(if($B673="""", ,filter(Playoff_Stats!F:Z,Playoff_Stats!A:A=$B673,Playoff_Stats!B:B=$A673)))"),"")</f>
        <v/>
      </c>
      <c r="K673" s="11"/>
      <c r="L673" s="12"/>
      <c r="M673" s="11"/>
      <c r="N673" s="11"/>
      <c r="O673" s="13"/>
      <c r="P673" s="14"/>
      <c r="Q673" s="13"/>
      <c r="R673" s="13"/>
      <c r="S673" s="15"/>
      <c r="T673" s="16"/>
      <c r="U673" s="16"/>
      <c r="V673" s="16"/>
      <c r="W673" s="16"/>
      <c r="X673" s="16"/>
      <c r="Y673" s="11"/>
      <c r="Z673" s="11"/>
      <c r="AA673" s="11"/>
      <c r="AB673" s="11"/>
      <c r="AC673" s="11"/>
      <c r="AD673" s="11"/>
    </row>
    <row r="674">
      <c r="A674" s="10"/>
      <c r="B674" s="10"/>
      <c r="C674" s="10"/>
      <c r="D674" s="10"/>
      <c r="E674" s="10"/>
      <c r="F674" s="11"/>
      <c r="G674" s="11"/>
      <c r="H674" s="11"/>
      <c r="I674" s="11"/>
      <c r="J674" s="11" t="str">
        <f>IFERROR(__xludf.DUMMYFUNCTION("iferror(if($B674="""", ,filter(Playoff_Stats!F:Z,Playoff_Stats!A:A=$B674,Playoff_Stats!B:B=$A674)))"),"")</f>
        <v/>
      </c>
      <c r="K674" s="11"/>
      <c r="L674" s="12"/>
      <c r="M674" s="11"/>
      <c r="N674" s="11"/>
      <c r="O674" s="13"/>
      <c r="P674" s="14"/>
      <c r="Q674" s="13"/>
      <c r="R674" s="13"/>
      <c r="S674" s="15"/>
      <c r="T674" s="16"/>
      <c r="U674" s="16"/>
      <c r="V674" s="16"/>
      <c r="W674" s="16"/>
      <c r="X674" s="16"/>
      <c r="Y674" s="11"/>
      <c r="Z674" s="11"/>
      <c r="AA674" s="11"/>
      <c r="AB674" s="11"/>
      <c r="AC674" s="11"/>
      <c r="AD674" s="11"/>
    </row>
    <row r="675">
      <c r="A675" s="10"/>
      <c r="B675" s="10"/>
      <c r="C675" s="10"/>
      <c r="D675" s="10"/>
      <c r="E675" s="10"/>
      <c r="F675" s="11"/>
      <c r="G675" s="11"/>
      <c r="H675" s="11"/>
      <c r="I675" s="11"/>
      <c r="J675" s="11" t="str">
        <f>IFERROR(__xludf.DUMMYFUNCTION("iferror(if($B675="""", ,filter(Playoff_Stats!F:Z,Playoff_Stats!A:A=$B675,Playoff_Stats!B:B=$A675)))"),"")</f>
        <v/>
      </c>
      <c r="K675" s="11"/>
      <c r="L675" s="12"/>
      <c r="M675" s="11"/>
      <c r="N675" s="11"/>
      <c r="O675" s="13"/>
      <c r="P675" s="14"/>
      <c r="Q675" s="13"/>
      <c r="R675" s="13"/>
      <c r="S675" s="15"/>
      <c r="T675" s="16"/>
      <c r="U675" s="16"/>
      <c r="V675" s="16"/>
      <c r="W675" s="16"/>
      <c r="X675" s="16"/>
      <c r="Y675" s="11"/>
      <c r="Z675" s="11"/>
      <c r="AA675" s="11"/>
      <c r="AB675" s="11"/>
      <c r="AC675" s="11"/>
      <c r="AD675" s="11"/>
    </row>
    <row r="676">
      <c r="A676" s="10"/>
      <c r="B676" s="10"/>
      <c r="C676" s="10"/>
      <c r="D676" s="10"/>
      <c r="E676" s="10"/>
      <c r="F676" s="11"/>
      <c r="G676" s="11"/>
      <c r="H676" s="11"/>
      <c r="I676" s="11"/>
      <c r="J676" s="11" t="str">
        <f>IFERROR(__xludf.DUMMYFUNCTION("iferror(if($B676="""", ,filter(Playoff_Stats!F:Z,Playoff_Stats!A:A=$B676,Playoff_Stats!B:B=$A676)))"),"")</f>
        <v/>
      </c>
      <c r="K676" s="11"/>
      <c r="L676" s="12"/>
      <c r="M676" s="11"/>
      <c r="N676" s="11"/>
      <c r="O676" s="13"/>
      <c r="P676" s="14"/>
      <c r="Q676" s="13"/>
      <c r="R676" s="13"/>
      <c r="S676" s="15"/>
      <c r="T676" s="16"/>
      <c r="U676" s="16"/>
      <c r="V676" s="16"/>
      <c r="W676" s="16"/>
      <c r="X676" s="16"/>
      <c r="Y676" s="11"/>
      <c r="Z676" s="11"/>
      <c r="AA676" s="11"/>
      <c r="AB676" s="11"/>
      <c r="AC676" s="11"/>
      <c r="AD676" s="11"/>
    </row>
    <row r="677">
      <c r="A677" s="10"/>
      <c r="B677" s="10"/>
      <c r="C677" s="10"/>
      <c r="D677" s="10"/>
      <c r="E677" s="10"/>
      <c r="F677" s="11"/>
      <c r="G677" s="11"/>
      <c r="H677" s="11"/>
      <c r="I677" s="11"/>
      <c r="J677" s="11" t="str">
        <f>IFERROR(__xludf.DUMMYFUNCTION("iferror(if($B677="""", ,filter(Playoff_Stats!F:Z,Playoff_Stats!A:A=$B677,Playoff_Stats!B:B=$A677)))"),"")</f>
        <v/>
      </c>
      <c r="K677" s="11"/>
      <c r="L677" s="12"/>
      <c r="M677" s="11"/>
      <c r="N677" s="11"/>
      <c r="O677" s="13"/>
      <c r="P677" s="14"/>
      <c r="Q677" s="13"/>
      <c r="R677" s="13"/>
      <c r="S677" s="15"/>
      <c r="T677" s="16"/>
      <c r="U677" s="16"/>
      <c r="V677" s="16"/>
      <c r="W677" s="16"/>
      <c r="X677" s="16"/>
      <c r="Y677" s="11"/>
      <c r="Z677" s="11"/>
      <c r="AA677" s="11"/>
      <c r="AB677" s="11"/>
      <c r="AC677" s="11"/>
      <c r="AD677" s="11"/>
    </row>
    <row r="678">
      <c r="A678" s="10"/>
      <c r="B678" s="10"/>
      <c r="C678" s="10"/>
      <c r="D678" s="10"/>
      <c r="E678" s="10"/>
      <c r="F678" s="11"/>
      <c r="G678" s="11"/>
      <c r="H678" s="11"/>
      <c r="I678" s="11"/>
      <c r="J678" s="11" t="str">
        <f>IFERROR(__xludf.DUMMYFUNCTION("iferror(if($B678="""", ,filter(Playoff_Stats!F:Z,Playoff_Stats!A:A=$B678,Playoff_Stats!B:B=$A678)))"),"")</f>
        <v/>
      </c>
      <c r="K678" s="11"/>
      <c r="L678" s="12"/>
      <c r="M678" s="11"/>
      <c r="N678" s="11"/>
      <c r="O678" s="13"/>
      <c r="P678" s="14"/>
      <c r="Q678" s="13"/>
      <c r="R678" s="13"/>
      <c r="S678" s="15"/>
      <c r="T678" s="16"/>
      <c r="U678" s="16"/>
      <c r="V678" s="16"/>
      <c r="W678" s="16"/>
      <c r="X678" s="16"/>
      <c r="Y678" s="11"/>
      <c r="Z678" s="11"/>
      <c r="AA678" s="11"/>
      <c r="AB678" s="11"/>
      <c r="AC678" s="11"/>
      <c r="AD678" s="11"/>
    </row>
    <row r="679">
      <c r="A679" s="10"/>
      <c r="B679" s="10"/>
      <c r="C679" s="10"/>
      <c r="D679" s="10"/>
      <c r="E679" s="10"/>
      <c r="F679" s="11"/>
      <c r="G679" s="11"/>
      <c r="H679" s="11"/>
      <c r="I679" s="11"/>
      <c r="J679" s="11" t="str">
        <f>IFERROR(__xludf.DUMMYFUNCTION("iferror(if($B679="""", ,filter(Playoff_Stats!F:Z,Playoff_Stats!A:A=$B679,Playoff_Stats!B:B=$A679)))"),"")</f>
        <v/>
      </c>
      <c r="K679" s="11"/>
      <c r="L679" s="12"/>
      <c r="M679" s="11"/>
      <c r="N679" s="11"/>
      <c r="O679" s="13"/>
      <c r="P679" s="14"/>
      <c r="Q679" s="13"/>
      <c r="R679" s="13"/>
      <c r="S679" s="15"/>
      <c r="T679" s="16"/>
      <c r="U679" s="16"/>
      <c r="V679" s="16"/>
      <c r="W679" s="16"/>
      <c r="X679" s="16"/>
      <c r="Y679" s="11"/>
      <c r="Z679" s="11"/>
      <c r="AA679" s="11"/>
      <c r="AB679" s="11"/>
      <c r="AC679" s="11"/>
      <c r="AD679" s="11"/>
    </row>
    <row r="680">
      <c r="A680" s="10"/>
      <c r="B680" s="10"/>
      <c r="C680" s="10"/>
      <c r="D680" s="10"/>
      <c r="E680" s="10"/>
      <c r="F680" s="11"/>
      <c r="G680" s="11"/>
      <c r="H680" s="11"/>
      <c r="I680" s="11"/>
      <c r="J680" s="11" t="str">
        <f>IFERROR(__xludf.DUMMYFUNCTION("iferror(if($B680="""", ,filter(Playoff_Stats!F:Z,Playoff_Stats!A:A=$B680,Playoff_Stats!B:B=$A680)))"),"")</f>
        <v/>
      </c>
      <c r="K680" s="11"/>
      <c r="L680" s="12"/>
      <c r="M680" s="11"/>
      <c r="N680" s="11"/>
      <c r="O680" s="13"/>
      <c r="P680" s="14"/>
      <c r="Q680" s="13"/>
      <c r="R680" s="13"/>
      <c r="S680" s="15"/>
      <c r="T680" s="16"/>
      <c r="U680" s="16"/>
      <c r="V680" s="16"/>
      <c r="W680" s="16"/>
      <c r="X680" s="16"/>
      <c r="Y680" s="11"/>
      <c r="Z680" s="11"/>
      <c r="AA680" s="11"/>
      <c r="AB680" s="11"/>
      <c r="AC680" s="11"/>
      <c r="AD680" s="11"/>
    </row>
    <row r="681">
      <c r="A681" s="10"/>
      <c r="B681" s="10"/>
      <c r="C681" s="10"/>
      <c r="D681" s="10"/>
      <c r="E681" s="10"/>
      <c r="F681" s="11"/>
      <c r="G681" s="11"/>
      <c r="H681" s="11"/>
      <c r="I681" s="11"/>
      <c r="J681" s="11" t="str">
        <f>IFERROR(__xludf.DUMMYFUNCTION("iferror(if($B681="""", ,filter(Playoff_Stats!F:Z,Playoff_Stats!A:A=$B681,Playoff_Stats!B:B=$A681)))"),"")</f>
        <v/>
      </c>
      <c r="K681" s="11"/>
      <c r="L681" s="12"/>
      <c r="M681" s="11"/>
      <c r="N681" s="11"/>
      <c r="O681" s="13"/>
      <c r="P681" s="14"/>
      <c r="Q681" s="13"/>
      <c r="R681" s="13"/>
      <c r="S681" s="15"/>
      <c r="T681" s="16"/>
      <c r="U681" s="16"/>
      <c r="V681" s="16"/>
      <c r="W681" s="16"/>
      <c r="X681" s="16"/>
      <c r="Y681" s="11"/>
      <c r="Z681" s="11"/>
      <c r="AA681" s="11"/>
      <c r="AB681" s="11"/>
      <c r="AC681" s="11"/>
      <c r="AD681" s="11"/>
    </row>
    <row r="682">
      <c r="A682" s="10"/>
      <c r="B682" s="10"/>
      <c r="C682" s="10"/>
      <c r="D682" s="10"/>
      <c r="E682" s="10"/>
      <c r="F682" s="11"/>
      <c r="G682" s="11"/>
      <c r="H682" s="11"/>
      <c r="I682" s="11"/>
      <c r="J682" s="11" t="str">
        <f>IFERROR(__xludf.DUMMYFUNCTION("iferror(if($B682="""", ,filter(Playoff_Stats!F:Z,Playoff_Stats!A:A=$B682,Playoff_Stats!B:B=$A682)))"),"")</f>
        <v/>
      </c>
      <c r="K682" s="11"/>
      <c r="L682" s="12"/>
      <c r="M682" s="11"/>
      <c r="N682" s="11"/>
      <c r="O682" s="13"/>
      <c r="P682" s="14"/>
      <c r="Q682" s="13"/>
      <c r="R682" s="13"/>
      <c r="S682" s="15"/>
      <c r="T682" s="16"/>
      <c r="U682" s="16"/>
      <c r="V682" s="16"/>
      <c r="W682" s="16"/>
      <c r="X682" s="16"/>
      <c r="Y682" s="11"/>
      <c r="Z682" s="11"/>
      <c r="AA682" s="11"/>
      <c r="AB682" s="11"/>
      <c r="AC682" s="11"/>
      <c r="AD682" s="11"/>
    </row>
    <row r="683">
      <c r="A683" s="10"/>
      <c r="B683" s="10"/>
      <c r="C683" s="10"/>
      <c r="D683" s="10"/>
      <c r="E683" s="10"/>
      <c r="F683" s="11"/>
      <c r="G683" s="11"/>
      <c r="H683" s="11"/>
      <c r="I683" s="11"/>
      <c r="J683" s="11" t="str">
        <f>IFERROR(__xludf.DUMMYFUNCTION("iferror(if($B683="""", ,filter(Playoff_Stats!F:Z,Playoff_Stats!A:A=$B683,Playoff_Stats!B:B=$A683)))"),"")</f>
        <v/>
      </c>
      <c r="K683" s="11"/>
      <c r="L683" s="12"/>
      <c r="M683" s="11"/>
      <c r="N683" s="11"/>
      <c r="O683" s="13"/>
      <c r="P683" s="14"/>
      <c r="Q683" s="13"/>
      <c r="R683" s="13"/>
      <c r="S683" s="15"/>
      <c r="T683" s="16"/>
      <c r="U683" s="16"/>
      <c r="V683" s="16"/>
      <c r="W683" s="16"/>
      <c r="X683" s="16"/>
      <c r="Y683" s="11"/>
      <c r="Z683" s="11"/>
      <c r="AA683" s="11"/>
      <c r="AB683" s="11"/>
      <c r="AC683" s="11"/>
      <c r="AD683" s="11"/>
    </row>
    <row r="684">
      <c r="A684" s="10"/>
      <c r="B684" s="10"/>
      <c r="C684" s="10"/>
      <c r="D684" s="10"/>
      <c r="E684" s="10"/>
      <c r="F684" s="11"/>
      <c r="G684" s="11"/>
      <c r="H684" s="11"/>
      <c r="I684" s="11"/>
      <c r="J684" s="11" t="str">
        <f>IFERROR(__xludf.DUMMYFUNCTION("iferror(if($B684="""", ,filter(Playoff_Stats!F:Z,Playoff_Stats!A:A=$B684,Playoff_Stats!B:B=$A684)))"),"")</f>
        <v/>
      </c>
      <c r="K684" s="11"/>
      <c r="L684" s="12"/>
      <c r="M684" s="11"/>
      <c r="N684" s="11"/>
      <c r="O684" s="13"/>
      <c r="P684" s="14"/>
      <c r="Q684" s="13"/>
      <c r="R684" s="13"/>
      <c r="S684" s="15"/>
      <c r="T684" s="16"/>
      <c r="U684" s="16"/>
      <c r="V684" s="16"/>
      <c r="W684" s="16"/>
      <c r="X684" s="16"/>
      <c r="Y684" s="11"/>
      <c r="Z684" s="11"/>
      <c r="AA684" s="11"/>
      <c r="AB684" s="11"/>
      <c r="AC684" s="11"/>
      <c r="AD684" s="11"/>
    </row>
    <row r="685">
      <c r="A685" s="10"/>
      <c r="B685" s="10"/>
      <c r="C685" s="10"/>
      <c r="D685" s="10"/>
      <c r="E685" s="10"/>
      <c r="F685" s="11"/>
      <c r="G685" s="11"/>
      <c r="H685" s="11"/>
      <c r="I685" s="11"/>
      <c r="J685" s="11" t="str">
        <f>IFERROR(__xludf.DUMMYFUNCTION("iferror(if($B685="""", ,filter(Playoff_Stats!F:Z,Playoff_Stats!A:A=$B685,Playoff_Stats!B:B=$A685)))"),"")</f>
        <v/>
      </c>
      <c r="K685" s="11"/>
      <c r="L685" s="12"/>
      <c r="M685" s="11"/>
      <c r="N685" s="11"/>
      <c r="O685" s="13"/>
      <c r="P685" s="14"/>
      <c r="Q685" s="13"/>
      <c r="R685" s="13"/>
      <c r="S685" s="15"/>
      <c r="T685" s="16"/>
      <c r="U685" s="16"/>
      <c r="V685" s="16"/>
      <c r="W685" s="16"/>
      <c r="X685" s="16"/>
      <c r="Y685" s="11"/>
      <c r="Z685" s="11"/>
      <c r="AA685" s="11"/>
      <c r="AB685" s="11"/>
      <c r="AC685" s="11"/>
      <c r="AD685" s="11"/>
    </row>
    <row r="686">
      <c r="A686" s="10"/>
      <c r="B686" s="10"/>
      <c r="C686" s="10"/>
      <c r="D686" s="10"/>
      <c r="E686" s="10"/>
      <c r="F686" s="11"/>
      <c r="G686" s="11"/>
      <c r="H686" s="11"/>
      <c r="I686" s="11"/>
      <c r="J686" s="11" t="str">
        <f>IFERROR(__xludf.DUMMYFUNCTION("iferror(if($B686="""", ,filter(Playoff_Stats!F:Z,Playoff_Stats!A:A=$B686,Playoff_Stats!B:B=$A686)))"),"")</f>
        <v/>
      </c>
      <c r="K686" s="11"/>
      <c r="L686" s="12"/>
      <c r="M686" s="11"/>
      <c r="N686" s="11"/>
      <c r="O686" s="13"/>
      <c r="P686" s="14"/>
      <c r="Q686" s="13"/>
      <c r="R686" s="13"/>
      <c r="S686" s="15"/>
      <c r="T686" s="16"/>
      <c r="U686" s="16"/>
      <c r="V686" s="16"/>
      <c r="W686" s="16"/>
      <c r="X686" s="16"/>
      <c r="Y686" s="11"/>
      <c r="Z686" s="11"/>
      <c r="AA686" s="11"/>
      <c r="AB686" s="11"/>
      <c r="AC686" s="11"/>
      <c r="AD686" s="11"/>
    </row>
    <row r="687">
      <c r="A687" s="10"/>
      <c r="B687" s="10"/>
      <c r="C687" s="10"/>
      <c r="D687" s="10"/>
      <c r="E687" s="10"/>
      <c r="F687" s="11"/>
      <c r="G687" s="11"/>
      <c r="H687" s="11"/>
      <c r="I687" s="11"/>
      <c r="J687" s="11" t="str">
        <f>IFERROR(__xludf.DUMMYFUNCTION("iferror(if($B687="""", ,filter(Playoff_Stats!F:Z,Playoff_Stats!A:A=$B687,Playoff_Stats!B:B=$A687)))"),"")</f>
        <v/>
      </c>
      <c r="K687" s="11"/>
      <c r="L687" s="12"/>
      <c r="M687" s="11"/>
      <c r="N687" s="11"/>
      <c r="O687" s="13"/>
      <c r="P687" s="14"/>
      <c r="Q687" s="13"/>
      <c r="R687" s="13"/>
      <c r="S687" s="15"/>
      <c r="T687" s="16"/>
      <c r="U687" s="16"/>
      <c r="V687" s="16"/>
      <c r="W687" s="16"/>
      <c r="X687" s="16"/>
      <c r="Y687" s="11"/>
      <c r="Z687" s="11"/>
      <c r="AA687" s="11"/>
      <c r="AB687" s="11"/>
      <c r="AC687" s="11"/>
      <c r="AD687" s="11"/>
    </row>
    <row r="688">
      <c r="A688" s="10"/>
      <c r="B688" s="10"/>
      <c r="C688" s="10"/>
      <c r="D688" s="10"/>
      <c r="E688" s="10"/>
      <c r="F688" s="11"/>
      <c r="G688" s="11"/>
      <c r="H688" s="11"/>
      <c r="I688" s="11"/>
      <c r="J688" s="11" t="str">
        <f>IFERROR(__xludf.DUMMYFUNCTION("iferror(if($B688="""", ,filter(Playoff_Stats!F:Z,Playoff_Stats!A:A=$B688,Playoff_Stats!B:B=$A688)))"),"")</f>
        <v/>
      </c>
      <c r="K688" s="11"/>
      <c r="L688" s="12"/>
      <c r="M688" s="11"/>
      <c r="N688" s="11"/>
      <c r="O688" s="13"/>
      <c r="P688" s="14"/>
      <c r="Q688" s="13"/>
      <c r="R688" s="13"/>
      <c r="S688" s="15"/>
      <c r="T688" s="16"/>
      <c r="U688" s="16"/>
      <c r="V688" s="16"/>
      <c r="W688" s="16"/>
      <c r="X688" s="16"/>
      <c r="Y688" s="11"/>
      <c r="Z688" s="11"/>
      <c r="AA688" s="11"/>
      <c r="AB688" s="11"/>
      <c r="AC688" s="11"/>
      <c r="AD688" s="11"/>
    </row>
    <row r="689">
      <c r="A689" s="10"/>
      <c r="B689" s="10"/>
      <c r="C689" s="10"/>
      <c r="D689" s="10"/>
      <c r="E689" s="10"/>
      <c r="F689" s="11"/>
      <c r="G689" s="11"/>
      <c r="H689" s="11"/>
      <c r="I689" s="11"/>
      <c r="J689" s="11" t="str">
        <f>IFERROR(__xludf.DUMMYFUNCTION("iferror(if($B689="""", ,filter(Playoff_Stats!F:Z,Playoff_Stats!A:A=$B689,Playoff_Stats!B:B=$A689)))"),"")</f>
        <v/>
      </c>
      <c r="K689" s="11"/>
      <c r="L689" s="12"/>
      <c r="M689" s="11"/>
      <c r="N689" s="11"/>
      <c r="O689" s="13"/>
      <c r="P689" s="14"/>
      <c r="Q689" s="13"/>
      <c r="R689" s="13"/>
      <c r="S689" s="15"/>
      <c r="T689" s="16"/>
      <c r="U689" s="16"/>
      <c r="V689" s="16"/>
      <c r="W689" s="16"/>
      <c r="X689" s="16"/>
      <c r="Y689" s="11"/>
      <c r="Z689" s="11"/>
      <c r="AA689" s="11"/>
      <c r="AB689" s="11"/>
      <c r="AC689" s="11"/>
      <c r="AD689" s="11"/>
    </row>
    <row r="690">
      <c r="A690" s="10"/>
      <c r="B690" s="10"/>
      <c r="C690" s="10"/>
      <c r="D690" s="10"/>
      <c r="E690" s="10"/>
      <c r="F690" s="11"/>
      <c r="G690" s="11"/>
      <c r="H690" s="11"/>
      <c r="I690" s="11"/>
      <c r="J690" s="11" t="str">
        <f>IFERROR(__xludf.DUMMYFUNCTION("iferror(if($B690="""", ,filter(Playoff_Stats!F:Z,Playoff_Stats!A:A=$B690,Playoff_Stats!B:B=$A690)))"),"")</f>
        <v/>
      </c>
      <c r="K690" s="11"/>
      <c r="L690" s="12"/>
      <c r="M690" s="11"/>
      <c r="N690" s="11"/>
      <c r="O690" s="13"/>
      <c r="P690" s="14"/>
      <c r="Q690" s="13"/>
      <c r="R690" s="13"/>
      <c r="S690" s="15"/>
      <c r="T690" s="16"/>
      <c r="U690" s="16"/>
      <c r="V690" s="16"/>
      <c r="W690" s="16"/>
      <c r="X690" s="16"/>
      <c r="Y690" s="11"/>
      <c r="Z690" s="11"/>
      <c r="AA690" s="11"/>
      <c r="AB690" s="11"/>
      <c r="AC690" s="11"/>
      <c r="AD690" s="11"/>
    </row>
    <row r="691">
      <c r="A691" s="10"/>
      <c r="B691" s="10"/>
      <c r="C691" s="10"/>
      <c r="D691" s="10"/>
      <c r="E691" s="10"/>
      <c r="F691" s="11"/>
      <c r="G691" s="11"/>
      <c r="H691" s="11"/>
      <c r="I691" s="11"/>
      <c r="J691" s="11" t="str">
        <f>IFERROR(__xludf.DUMMYFUNCTION("iferror(if($B691="""", ,filter(Playoff_Stats!F:Z,Playoff_Stats!A:A=$B691,Playoff_Stats!B:B=$A691)))"),"")</f>
        <v/>
      </c>
      <c r="K691" s="11"/>
      <c r="L691" s="12"/>
      <c r="M691" s="11"/>
      <c r="N691" s="11"/>
      <c r="O691" s="13"/>
      <c r="P691" s="14"/>
      <c r="Q691" s="13"/>
      <c r="R691" s="13"/>
      <c r="S691" s="15"/>
      <c r="T691" s="16"/>
      <c r="U691" s="16"/>
      <c r="V691" s="16"/>
      <c r="W691" s="16"/>
      <c r="X691" s="16"/>
      <c r="Y691" s="11"/>
      <c r="Z691" s="11"/>
      <c r="AA691" s="11"/>
      <c r="AB691" s="11"/>
      <c r="AC691" s="11"/>
      <c r="AD691" s="11"/>
    </row>
    <row r="692">
      <c r="A692" s="10"/>
      <c r="B692" s="10"/>
      <c r="C692" s="10"/>
      <c r="D692" s="10"/>
      <c r="E692" s="10"/>
      <c r="F692" s="11"/>
      <c r="G692" s="11"/>
      <c r="H692" s="11"/>
      <c r="I692" s="11"/>
      <c r="J692" s="11" t="str">
        <f>IFERROR(__xludf.DUMMYFUNCTION("iferror(if($B692="""", ,filter(Playoff_Stats!F:Z,Playoff_Stats!A:A=$B692,Playoff_Stats!B:B=$A692)))"),"")</f>
        <v/>
      </c>
      <c r="K692" s="11"/>
      <c r="L692" s="12"/>
      <c r="M692" s="11"/>
      <c r="N692" s="11"/>
      <c r="O692" s="13"/>
      <c r="P692" s="14"/>
      <c r="Q692" s="13"/>
      <c r="R692" s="13"/>
      <c r="S692" s="15"/>
      <c r="T692" s="16"/>
      <c r="U692" s="16"/>
      <c r="V692" s="16"/>
      <c r="W692" s="16"/>
      <c r="X692" s="16"/>
      <c r="Y692" s="11"/>
      <c r="Z692" s="11"/>
      <c r="AA692" s="11"/>
      <c r="AB692" s="11"/>
      <c r="AC692" s="11"/>
      <c r="AD692" s="11"/>
    </row>
    <row r="693">
      <c r="A693" s="10"/>
      <c r="B693" s="10"/>
      <c r="C693" s="10"/>
      <c r="D693" s="10"/>
      <c r="E693" s="10"/>
      <c r="F693" s="11"/>
      <c r="G693" s="11"/>
      <c r="H693" s="11"/>
      <c r="I693" s="11"/>
      <c r="J693" s="11" t="str">
        <f>IFERROR(__xludf.DUMMYFUNCTION("iferror(if($B693="""", ,filter(Playoff_Stats!F:Z,Playoff_Stats!A:A=$B693,Playoff_Stats!B:B=$A693)))"),"")</f>
        <v/>
      </c>
      <c r="K693" s="11"/>
      <c r="L693" s="12"/>
      <c r="M693" s="11"/>
      <c r="N693" s="11"/>
      <c r="O693" s="13"/>
      <c r="P693" s="14"/>
      <c r="Q693" s="13"/>
      <c r="R693" s="13"/>
      <c r="S693" s="15"/>
      <c r="T693" s="16"/>
      <c r="U693" s="16"/>
      <c r="V693" s="16"/>
      <c r="W693" s="16"/>
      <c r="X693" s="16"/>
      <c r="Y693" s="11"/>
      <c r="Z693" s="11"/>
      <c r="AA693" s="11"/>
      <c r="AB693" s="11"/>
      <c r="AC693" s="11"/>
      <c r="AD693" s="11"/>
    </row>
    <row r="694">
      <c r="A694" s="10"/>
      <c r="B694" s="10"/>
      <c r="C694" s="10"/>
      <c r="D694" s="10"/>
      <c r="E694" s="10"/>
      <c r="F694" s="11"/>
      <c r="G694" s="11"/>
      <c r="H694" s="11"/>
      <c r="I694" s="11"/>
      <c r="J694" s="11" t="str">
        <f>IFERROR(__xludf.DUMMYFUNCTION("iferror(if($B694="""", ,filter(Playoff_Stats!F:Z,Playoff_Stats!A:A=$B694,Playoff_Stats!B:B=$A694)))"),"")</f>
        <v/>
      </c>
      <c r="K694" s="11"/>
      <c r="L694" s="12"/>
      <c r="M694" s="11"/>
      <c r="N694" s="11"/>
      <c r="O694" s="13"/>
      <c r="P694" s="14"/>
      <c r="Q694" s="13"/>
      <c r="R694" s="13"/>
      <c r="S694" s="15"/>
      <c r="T694" s="16"/>
      <c r="U694" s="16"/>
      <c r="V694" s="16"/>
      <c r="W694" s="16"/>
      <c r="X694" s="16"/>
      <c r="Y694" s="11"/>
      <c r="Z694" s="11"/>
      <c r="AA694" s="11"/>
      <c r="AB694" s="11"/>
      <c r="AC694" s="11"/>
      <c r="AD694" s="11"/>
    </row>
    <row r="695">
      <c r="A695" s="10"/>
      <c r="B695" s="10"/>
      <c r="C695" s="10"/>
      <c r="D695" s="10"/>
      <c r="E695" s="10"/>
      <c r="F695" s="11"/>
      <c r="G695" s="11"/>
      <c r="H695" s="11"/>
      <c r="I695" s="11"/>
      <c r="J695" s="11" t="str">
        <f>IFERROR(__xludf.DUMMYFUNCTION("iferror(if($B695="""", ,filter(Playoff_Stats!F:Z,Playoff_Stats!A:A=$B695,Playoff_Stats!B:B=$A695)))"),"")</f>
        <v/>
      </c>
      <c r="K695" s="11"/>
      <c r="L695" s="12"/>
      <c r="M695" s="11"/>
      <c r="N695" s="11"/>
      <c r="O695" s="13"/>
      <c r="P695" s="14"/>
      <c r="Q695" s="13"/>
      <c r="R695" s="13"/>
      <c r="S695" s="15"/>
      <c r="T695" s="16"/>
      <c r="U695" s="16"/>
      <c r="V695" s="16"/>
      <c r="W695" s="16"/>
      <c r="X695" s="16"/>
      <c r="Y695" s="11"/>
      <c r="Z695" s="11"/>
      <c r="AA695" s="11"/>
      <c r="AB695" s="11"/>
      <c r="AC695" s="11"/>
      <c r="AD695" s="11"/>
    </row>
    <row r="696">
      <c r="A696" s="10"/>
      <c r="B696" s="10"/>
      <c r="C696" s="10"/>
      <c r="D696" s="10"/>
      <c r="E696" s="10"/>
      <c r="F696" s="11"/>
      <c r="G696" s="11"/>
      <c r="H696" s="11"/>
      <c r="I696" s="11"/>
      <c r="J696" s="11" t="str">
        <f>IFERROR(__xludf.DUMMYFUNCTION("iferror(if($B696="""", ,filter(Playoff_Stats!F:Z,Playoff_Stats!A:A=$B696,Playoff_Stats!B:B=$A696)))"),"")</f>
        <v/>
      </c>
      <c r="K696" s="11"/>
      <c r="L696" s="12"/>
      <c r="M696" s="11"/>
      <c r="N696" s="11"/>
      <c r="O696" s="13"/>
      <c r="P696" s="14"/>
      <c r="Q696" s="13"/>
      <c r="R696" s="13"/>
      <c r="S696" s="15"/>
      <c r="T696" s="16"/>
      <c r="U696" s="16"/>
      <c r="V696" s="16"/>
      <c r="W696" s="16"/>
      <c r="X696" s="16"/>
      <c r="Y696" s="11"/>
      <c r="Z696" s="11"/>
      <c r="AA696" s="11"/>
      <c r="AB696" s="11"/>
      <c r="AC696" s="11"/>
      <c r="AD696" s="11"/>
    </row>
    <row r="697">
      <c r="A697" s="10"/>
      <c r="B697" s="10"/>
      <c r="C697" s="10"/>
      <c r="D697" s="10"/>
      <c r="E697" s="10"/>
      <c r="F697" s="11"/>
      <c r="G697" s="11"/>
      <c r="H697" s="11"/>
      <c r="I697" s="11"/>
      <c r="J697" s="11" t="str">
        <f>IFERROR(__xludf.DUMMYFUNCTION("iferror(if($B697="""", ,filter(Playoff_Stats!F:Z,Playoff_Stats!A:A=$B697,Playoff_Stats!B:B=$A697)))"),"")</f>
        <v/>
      </c>
      <c r="K697" s="11"/>
      <c r="L697" s="12"/>
      <c r="M697" s="11"/>
      <c r="N697" s="11"/>
      <c r="O697" s="13"/>
      <c r="P697" s="14"/>
      <c r="Q697" s="13"/>
      <c r="R697" s="13"/>
      <c r="S697" s="15"/>
      <c r="T697" s="16"/>
      <c r="U697" s="16"/>
      <c r="V697" s="16"/>
      <c r="W697" s="16"/>
      <c r="X697" s="16"/>
      <c r="Y697" s="11"/>
      <c r="Z697" s="11"/>
      <c r="AA697" s="11"/>
      <c r="AB697" s="11"/>
      <c r="AC697" s="11"/>
      <c r="AD697" s="11"/>
    </row>
    <row r="698">
      <c r="A698" s="10"/>
      <c r="B698" s="10"/>
      <c r="C698" s="10"/>
      <c r="D698" s="10"/>
      <c r="E698" s="10"/>
      <c r="F698" s="11"/>
      <c r="G698" s="11"/>
      <c r="H698" s="11"/>
      <c r="I698" s="11"/>
      <c r="J698" s="11" t="str">
        <f>IFERROR(__xludf.DUMMYFUNCTION("iferror(if($B698="""", ,filter(Playoff_Stats!F:Z,Playoff_Stats!A:A=$B698,Playoff_Stats!B:B=$A698)))"),"")</f>
        <v/>
      </c>
      <c r="K698" s="11"/>
      <c r="L698" s="12"/>
      <c r="M698" s="11"/>
      <c r="N698" s="11"/>
      <c r="O698" s="13"/>
      <c r="P698" s="14"/>
      <c r="Q698" s="13"/>
      <c r="R698" s="13"/>
      <c r="S698" s="15"/>
      <c r="T698" s="16"/>
      <c r="U698" s="16"/>
      <c r="V698" s="16"/>
      <c r="W698" s="16"/>
      <c r="X698" s="16"/>
      <c r="Y698" s="11"/>
      <c r="Z698" s="11"/>
      <c r="AA698" s="11"/>
      <c r="AB698" s="11"/>
      <c r="AC698" s="11"/>
      <c r="AD698" s="11"/>
    </row>
    <row r="699">
      <c r="A699" s="10"/>
      <c r="B699" s="10"/>
      <c r="C699" s="10"/>
      <c r="D699" s="10"/>
      <c r="E699" s="10"/>
      <c r="F699" s="11"/>
      <c r="G699" s="11"/>
      <c r="H699" s="11"/>
      <c r="I699" s="11"/>
      <c r="J699" s="11" t="str">
        <f>IFERROR(__xludf.DUMMYFUNCTION("iferror(if($B699="""", ,filter(Playoff_Stats!F:Z,Playoff_Stats!A:A=$B699,Playoff_Stats!B:B=$A699)))"),"")</f>
        <v/>
      </c>
      <c r="K699" s="11"/>
      <c r="L699" s="12"/>
      <c r="M699" s="11"/>
      <c r="N699" s="11"/>
      <c r="O699" s="13"/>
      <c r="P699" s="14"/>
      <c r="Q699" s="13"/>
      <c r="R699" s="13"/>
      <c r="S699" s="15"/>
      <c r="T699" s="16"/>
      <c r="U699" s="16"/>
      <c r="V699" s="16"/>
      <c r="W699" s="16"/>
      <c r="X699" s="16"/>
      <c r="Y699" s="11"/>
      <c r="Z699" s="11"/>
      <c r="AA699" s="11"/>
      <c r="AB699" s="11"/>
      <c r="AC699" s="11"/>
      <c r="AD699" s="11"/>
    </row>
    <row r="700">
      <c r="A700" s="10"/>
      <c r="B700" s="10"/>
      <c r="C700" s="10"/>
      <c r="D700" s="10"/>
      <c r="E700" s="10"/>
      <c r="F700" s="11"/>
      <c r="G700" s="11"/>
      <c r="H700" s="11"/>
      <c r="I700" s="11"/>
      <c r="J700" s="11" t="str">
        <f>IFERROR(__xludf.DUMMYFUNCTION("iferror(if($B700="""", ,filter(Playoff_Stats!F:Z,Playoff_Stats!A:A=$B700,Playoff_Stats!B:B=$A700)))"),"")</f>
        <v/>
      </c>
      <c r="K700" s="11"/>
      <c r="L700" s="12"/>
      <c r="M700" s="11"/>
      <c r="N700" s="11"/>
      <c r="O700" s="13"/>
      <c r="P700" s="14"/>
      <c r="Q700" s="13"/>
      <c r="R700" s="13"/>
      <c r="S700" s="15"/>
      <c r="T700" s="16"/>
      <c r="U700" s="16"/>
      <c r="V700" s="16"/>
      <c r="W700" s="16"/>
      <c r="X700" s="16"/>
      <c r="Y700" s="11"/>
      <c r="Z700" s="11"/>
      <c r="AA700" s="11"/>
      <c r="AB700" s="11"/>
      <c r="AC700" s="11"/>
      <c r="AD700" s="11"/>
    </row>
    <row r="701">
      <c r="A701" s="10"/>
      <c r="B701" s="10"/>
      <c r="C701" s="10"/>
      <c r="D701" s="10"/>
      <c r="E701" s="10"/>
      <c r="F701" s="11"/>
      <c r="G701" s="11"/>
      <c r="H701" s="11"/>
      <c r="I701" s="11"/>
      <c r="J701" s="11" t="str">
        <f>IFERROR(__xludf.DUMMYFUNCTION("iferror(if($B701="""", ,filter(Playoff_Stats!F:Z,Playoff_Stats!A:A=$B701,Playoff_Stats!B:B=$A701)))"),"")</f>
        <v/>
      </c>
      <c r="K701" s="11"/>
      <c r="L701" s="12"/>
      <c r="M701" s="11"/>
      <c r="N701" s="11"/>
      <c r="O701" s="13"/>
      <c r="P701" s="14"/>
      <c r="Q701" s="13"/>
      <c r="R701" s="13"/>
      <c r="S701" s="15"/>
      <c r="T701" s="16"/>
      <c r="U701" s="16"/>
      <c r="V701" s="16"/>
      <c r="W701" s="16"/>
      <c r="X701" s="16"/>
      <c r="Y701" s="11"/>
      <c r="Z701" s="11"/>
      <c r="AA701" s="11"/>
      <c r="AB701" s="11"/>
      <c r="AC701" s="11"/>
      <c r="AD701" s="11"/>
    </row>
    <row r="702">
      <c r="A702" s="10"/>
      <c r="B702" s="10"/>
      <c r="C702" s="10"/>
      <c r="D702" s="10"/>
      <c r="E702" s="10"/>
      <c r="F702" s="11"/>
      <c r="G702" s="11"/>
      <c r="H702" s="11"/>
      <c r="I702" s="11"/>
      <c r="J702" s="11" t="str">
        <f>IFERROR(__xludf.DUMMYFUNCTION("iferror(if($B702="""", ,filter(Playoff_Stats!F:Z,Playoff_Stats!A:A=$B702,Playoff_Stats!B:B=$A702)))"),"")</f>
        <v/>
      </c>
      <c r="K702" s="11"/>
      <c r="L702" s="12"/>
      <c r="M702" s="11"/>
      <c r="N702" s="11"/>
      <c r="O702" s="13"/>
      <c r="P702" s="14"/>
      <c r="Q702" s="13"/>
      <c r="R702" s="13"/>
      <c r="S702" s="15"/>
      <c r="T702" s="16"/>
      <c r="U702" s="16"/>
      <c r="V702" s="16"/>
      <c r="W702" s="16"/>
      <c r="X702" s="16"/>
      <c r="Y702" s="11"/>
      <c r="Z702" s="11"/>
      <c r="AA702" s="11"/>
      <c r="AB702" s="11"/>
      <c r="AC702" s="11"/>
      <c r="AD702" s="11"/>
    </row>
    <row r="703">
      <c r="A703" s="10"/>
      <c r="B703" s="10"/>
      <c r="C703" s="10"/>
      <c r="D703" s="10"/>
      <c r="E703" s="10"/>
      <c r="F703" s="11"/>
      <c r="G703" s="11"/>
      <c r="H703" s="11"/>
      <c r="I703" s="11"/>
      <c r="J703" s="11" t="str">
        <f>IFERROR(__xludf.DUMMYFUNCTION("iferror(if($B703="""", ,filter(Playoff_Stats!F:Z,Playoff_Stats!A:A=$B703,Playoff_Stats!B:B=$A703)))"),"")</f>
        <v/>
      </c>
      <c r="K703" s="11"/>
      <c r="L703" s="12"/>
      <c r="M703" s="11"/>
      <c r="N703" s="11"/>
      <c r="O703" s="13"/>
      <c r="P703" s="14"/>
      <c r="Q703" s="13"/>
      <c r="R703" s="13"/>
      <c r="S703" s="15"/>
      <c r="T703" s="16"/>
      <c r="U703" s="16"/>
      <c r="V703" s="16"/>
      <c r="W703" s="16"/>
      <c r="X703" s="16"/>
      <c r="Y703" s="11"/>
      <c r="Z703" s="11"/>
      <c r="AA703" s="11"/>
      <c r="AB703" s="11"/>
      <c r="AC703" s="11"/>
      <c r="AD703" s="11"/>
    </row>
    <row r="704">
      <c r="A704" s="10"/>
      <c r="B704" s="10"/>
      <c r="C704" s="10"/>
      <c r="D704" s="10"/>
      <c r="E704" s="10"/>
      <c r="F704" s="11"/>
      <c r="G704" s="11"/>
      <c r="H704" s="11"/>
      <c r="I704" s="11"/>
      <c r="J704" s="11" t="str">
        <f>IFERROR(__xludf.DUMMYFUNCTION("iferror(if($B704="""", ,filter(Playoff_Stats!F:Z,Playoff_Stats!A:A=$B704,Playoff_Stats!B:B=$A704)))"),"")</f>
        <v/>
      </c>
      <c r="K704" s="11"/>
      <c r="L704" s="12"/>
      <c r="M704" s="11"/>
      <c r="N704" s="11"/>
      <c r="O704" s="13"/>
      <c r="P704" s="14"/>
      <c r="Q704" s="13"/>
      <c r="R704" s="13"/>
      <c r="S704" s="15"/>
      <c r="T704" s="16"/>
      <c r="U704" s="16"/>
      <c r="V704" s="16"/>
      <c r="W704" s="16"/>
      <c r="X704" s="16"/>
      <c r="Y704" s="11"/>
      <c r="Z704" s="11"/>
      <c r="AA704" s="11"/>
      <c r="AB704" s="11"/>
      <c r="AC704" s="11"/>
      <c r="AD704" s="11"/>
    </row>
    <row r="705">
      <c r="A705" s="10"/>
      <c r="B705" s="10"/>
      <c r="C705" s="10"/>
      <c r="D705" s="10"/>
      <c r="E705" s="10"/>
      <c r="F705" s="11"/>
      <c r="G705" s="11"/>
      <c r="H705" s="11"/>
      <c r="I705" s="11"/>
      <c r="J705" s="11" t="str">
        <f>IFERROR(__xludf.DUMMYFUNCTION("iferror(if($B705="""", ,filter(Playoff_Stats!F:Z,Playoff_Stats!A:A=$B705,Playoff_Stats!B:B=$A705)))"),"")</f>
        <v/>
      </c>
      <c r="K705" s="11"/>
      <c r="L705" s="12"/>
      <c r="M705" s="11"/>
      <c r="N705" s="11"/>
      <c r="O705" s="13"/>
      <c r="P705" s="14"/>
      <c r="Q705" s="13"/>
      <c r="R705" s="13"/>
      <c r="S705" s="15"/>
      <c r="T705" s="16"/>
      <c r="U705" s="16"/>
      <c r="V705" s="16"/>
      <c r="W705" s="16"/>
      <c r="X705" s="16"/>
      <c r="Y705" s="11"/>
      <c r="Z705" s="11"/>
      <c r="AA705" s="11"/>
      <c r="AB705" s="11"/>
      <c r="AC705" s="11"/>
      <c r="AD705" s="11"/>
    </row>
    <row r="706">
      <c r="A706" s="10"/>
      <c r="B706" s="10"/>
      <c r="C706" s="10"/>
      <c r="D706" s="10"/>
      <c r="E706" s="10"/>
      <c r="F706" s="11"/>
      <c r="G706" s="11"/>
      <c r="H706" s="11"/>
      <c r="I706" s="11"/>
      <c r="J706" s="11" t="str">
        <f>IFERROR(__xludf.DUMMYFUNCTION("iferror(if($B706="""", ,filter(Playoff_Stats!F:Z,Playoff_Stats!A:A=$B706,Playoff_Stats!B:B=$A706)))"),"")</f>
        <v/>
      </c>
      <c r="K706" s="11"/>
      <c r="L706" s="12"/>
      <c r="M706" s="11"/>
      <c r="N706" s="11"/>
      <c r="O706" s="13"/>
      <c r="P706" s="14"/>
      <c r="Q706" s="13"/>
      <c r="R706" s="13"/>
      <c r="S706" s="15"/>
      <c r="T706" s="16"/>
      <c r="U706" s="16"/>
      <c r="V706" s="16"/>
      <c r="W706" s="16"/>
      <c r="X706" s="16"/>
      <c r="Y706" s="11"/>
      <c r="Z706" s="11"/>
      <c r="AA706" s="11"/>
      <c r="AB706" s="11"/>
      <c r="AC706" s="11"/>
      <c r="AD706" s="11"/>
    </row>
    <row r="707">
      <c r="A707" s="10"/>
      <c r="B707" s="10"/>
      <c r="C707" s="10"/>
      <c r="D707" s="10"/>
      <c r="E707" s="10"/>
      <c r="F707" s="11"/>
      <c r="G707" s="11"/>
      <c r="H707" s="11"/>
      <c r="I707" s="11"/>
      <c r="J707" s="11" t="str">
        <f>IFERROR(__xludf.DUMMYFUNCTION("iferror(if($B707="""", ,filter(Playoff_Stats!F:Z,Playoff_Stats!A:A=$B707,Playoff_Stats!B:B=$A707)))"),"")</f>
        <v/>
      </c>
      <c r="K707" s="11"/>
      <c r="L707" s="12"/>
      <c r="M707" s="11"/>
      <c r="N707" s="11"/>
      <c r="O707" s="13"/>
      <c r="P707" s="14"/>
      <c r="Q707" s="13"/>
      <c r="R707" s="13"/>
      <c r="S707" s="15"/>
      <c r="T707" s="16"/>
      <c r="U707" s="16"/>
      <c r="V707" s="16"/>
      <c r="W707" s="16"/>
      <c r="X707" s="16"/>
      <c r="Y707" s="11"/>
      <c r="Z707" s="11"/>
      <c r="AA707" s="11"/>
      <c r="AB707" s="11"/>
      <c r="AC707" s="11"/>
      <c r="AD707" s="11"/>
    </row>
    <row r="708">
      <c r="A708" s="10"/>
      <c r="B708" s="10"/>
      <c r="C708" s="10"/>
      <c r="D708" s="10"/>
      <c r="E708" s="10"/>
      <c r="F708" s="11"/>
      <c r="G708" s="11"/>
      <c r="H708" s="11"/>
      <c r="I708" s="11"/>
      <c r="J708" s="11" t="str">
        <f>IFERROR(__xludf.DUMMYFUNCTION("iferror(if($B708="""", ,filter(Playoff_Stats!F:Z,Playoff_Stats!A:A=$B708,Playoff_Stats!B:B=$A708)))"),"")</f>
        <v/>
      </c>
      <c r="K708" s="11"/>
      <c r="L708" s="12"/>
      <c r="M708" s="11"/>
      <c r="N708" s="11"/>
      <c r="O708" s="13"/>
      <c r="P708" s="14"/>
      <c r="Q708" s="13"/>
      <c r="R708" s="13"/>
      <c r="S708" s="15"/>
      <c r="T708" s="16"/>
      <c r="U708" s="16"/>
      <c r="V708" s="16"/>
      <c r="W708" s="16"/>
      <c r="X708" s="16"/>
      <c r="Y708" s="11"/>
      <c r="Z708" s="11"/>
      <c r="AA708" s="11"/>
      <c r="AB708" s="11"/>
      <c r="AC708" s="11"/>
      <c r="AD708" s="11"/>
    </row>
    <row r="709">
      <c r="A709" s="10"/>
      <c r="B709" s="10"/>
      <c r="C709" s="10"/>
      <c r="D709" s="10"/>
      <c r="E709" s="10"/>
      <c r="F709" s="11"/>
      <c r="G709" s="11"/>
      <c r="H709" s="11"/>
      <c r="I709" s="11"/>
      <c r="J709" s="11" t="str">
        <f>IFERROR(__xludf.DUMMYFUNCTION("iferror(if($B709="""", ,filter(Playoff_Stats!F:Z,Playoff_Stats!A:A=$B709,Playoff_Stats!B:B=$A709)))"),"")</f>
        <v/>
      </c>
      <c r="K709" s="11"/>
      <c r="L709" s="12"/>
      <c r="M709" s="11"/>
      <c r="N709" s="11"/>
      <c r="O709" s="13"/>
      <c r="P709" s="14"/>
      <c r="Q709" s="13"/>
      <c r="R709" s="13"/>
      <c r="S709" s="15"/>
      <c r="T709" s="16"/>
      <c r="U709" s="16"/>
      <c r="V709" s="16"/>
      <c r="W709" s="16"/>
      <c r="X709" s="16"/>
      <c r="Y709" s="11"/>
      <c r="Z709" s="11"/>
      <c r="AA709" s="11"/>
      <c r="AB709" s="11"/>
      <c r="AC709" s="11"/>
      <c r="AD709" s="11"/>
    </row>
    <row r="710">
      <c r="A710" s="10"/>
      <c r="B710" s="10"/>
      <c r="C710" s="10"/>
      <c r="D710" s="10"/>
      <c r="E710" s="10"/>
      <c r="F710" s="11"/>
      <c r="G710" s="11"/>
      <c r="H710" s="11"/>
      <c r="I710" s="11"/>
      <c r="J710" s="11" t="str">
        <f>IFERROR(__xludf.DUMMYFUNCTION("iferror(if($B710="""", ,filter(Playoff_Stats!F:Z,Playoff_Stats!A:A=$B710,Playoff_Stats!B:B=$A710)))"),"")</f>
        <v/>
      </c>
      <c r="K710" s="11"/>
      <c r="L710" s="12"/>
      <c r="M710" s="11"/>
      <c r="N710" s="11"/>
      <c r="O710" s="13"/>
      <c r="P710" s="14"/>
      <c r="Q710" s="13"/>
      <c r="R710" s="13"/>
      <c r="S710" s="15"/>
      <c r="T710" s="16"/>
      <c r="U710" s="16"/>
      <c r="V710" s="16"/>
      <c r="W710" s="16"/>
      <c r="X710" s="16"/>
      <c r="Y710" s="11"/>
      <c r="Z710" s="11"/>
      <c r="AA710" s="11"/>
      <c r="AB710" s="11"/>
      <c r="AC710" s="11"/>
      <c r="AD710" s="11"/>
    </row>
    <row r="711">
      <c r="A711" s="10"/>
      <c r="B711" s="10"/>
      <c r="C711" s="10"/>
      <c r="D711" s="10"/>
      <c r="E711" s="10"/>
      <c r="F711" s="11"/>
      <c r="G711" s="11"/>
      <c r="H711" s="11"/>
      <c r="I711" s="11"/>
      <c r="J711" s="11" t="str">
        <f>IFERROR(__xludf.DUMMYFUNCTION("iferror(if($B711="""", ,filter(Playoff_Stats!F:Z,Playoff_Stats!A:A=$B711,Playoff_Stats!B:B=$A711)))"),"")</f>
        <v/>
      </c>
      <c r="K711" s="11"/>
      <c r="L711" s="12"/>
      <c r="M711" s="11"/>
      <c r="N711" s="11"/>
      <c r="O711" s="13"/>
      <c r="P711" s="14"/>
      <c r="Q711" s="13"/>
      <c r="R711" s="13"/>
      <c r="S711" s="15"/>
      <c r="T711" s="16"/>
      <c r="U711" s="16"/>
      <c r="V711" s="16"/>
      <c r="W711" s="16"/>
      <c r="X711" s="16"/>
      <c r="Y711" s="11"/>
      <c r="Z711" s="11"/>
      <c r="AA711" s="11"/>
      <c r="AB711" s="11"/>
      <c r="AC711" s="11"/>
      <c r="AD711" s="11"/>
    </row>
    <row r="712">
      <c r="A712" s="10"/>
      <c r="B712" s="10"/>
      <c r="C712" s="10"/>
      <c r="D712" s="10"/>
      <c r="E712" s="10"/>
      <c r="F712" s="11"/>
      <c r="G712" s="11"/>
      <c r="H712" s="11"/>
      <c r="I712" s="11"/>
      <c r="J712" s="11" t="str">
        <f>IFERROR(__xludf.DUMMYFUNCTION("iferror(if($B712="""", ,filter(Playoff_Stats!F:Z,Playoff_Stats!A:A=$B712,Playoff_Stats!B:B=$A712)))"),"")</f>
        <v/>
      </c>
      <c r="K712" s="11"/>
      <c r="L712" s="12"/>
      <c r="M712" s="11"/>
      <c r="N712" s="11"/>
      <c r="O712" s="13"/>
      <c r="P712" s="14"/>
      <c r="Q712" s="13"/>
      <c r="R712" s="13"/>
      <c r="S712" s="15"/>
      <c r="T712" s="16"/>
      <c r="U712" s="16"/>
      <c r="V712" s="16"/>
      <c r="W712" s="16"/>
      <c r="X712" s="16"/>
      <c r="Y712" s="11"/>
      <c r="Z712" s="11"/>
      <c r="AA712" s="11"/>
      <c r="AB712" s="11"/>
      <c r="AC712" s="11"/>
      <c r="AD712" s="11"/>
    </row>
    <row r="713">
      <c r="A713" s="10"/>
      <c r="B713" s="10"/>
      <c r="C713" s="10"/>
      <c r="D713" s="10"/>
      <c r="E713" s="10"/>
      <c r="F713" s="11"/>
      <c r="G713" s="11"/>
      <c r="H713" s="11"/>
      <c r="I713" s="11"/>
      <c r="J713" s="11" t="str">
        <f>IFERROR(__xludf.DUMMYFUNCTION("iferror(if($B713="""", ,filter(Playoff_Stats!F:Z,Playoff_Stats!A:A=$B713,Playoff_Stats!B:B=$A713)))"),"")</f>
        <v/>
      </c>
      <c r="K713" s="11"/>
      <c r="L713" s="12"/>
      <c r="M713" s="11"/>
      <c r="N713" s="11"/>
      <c r="O713" s="13"/>
      <c r="P713" s="14"/>
      <c r="Q713" s="13"/>
      <c r="R713" s="13"/>
      <c r="S713" s="15"/>
      <c r="T713" s="16"/>
      <c r="U713" s="16"/>
      <c r="V713" s="16"/>
      <c r="W713" s="16"/>
      <c r="X713" s="16"/>
      <c r="Y713" s="11"/>
      <c r="Z713" s="11"/>
      <c r="AA713" s="11"/>
      <c r="AB713" s="11"/>
      <c r="AC713" s="11"/>
      <c r="AD713" s="11"/>
    </row>
    <row r="714">
      <c r="A714" s="10"/>
      <c r="B714" s="10"/>
      <c r="C714" s="10"/>
      <c r="D714" s="10"/>
      <c r="E714" s="10"/>
      <c r="F714" s="11"/>
      <c r="G714" s="11"/>
      <c r="H714" s="11"/>
      <c r="I714" s="11"/>
      <c r="J714" s="11" t="str">
        <f>IFERROR(__xludf.DUMMYFUNCTION("iferror(if($B714="""", ,filter(Playoff_Stats!F:Z,Playoff_Stats!A:A=$B714,Playoff_Stats!B:B=$A714)))"),"")</f>
        <v/>
      </c>
      <c r="K714" s="11"/>
      <c r="L714" s="12"/>
      <c r="M714" s="11"/>
      <c r="N714" s="11"/>
      <c r="O714" s="13"/>
      <c r="P714" s="14"/>
      <c r="Q714" s="13"/>
      <c r="R714" s="13"/>
      <c r="S714" s="15"/>
      <c r="T714" s="16"/>
      <c r="U714" s="16"/>
      <c r="V714" s="16"/>
      <c r="W714" s="16"/>
      <c r="X714" s="16"/>
      <c r="Y714" s="11"/>
      <c r="Z714" s="11"/>
      <c r="AA714" s="11"/>
      <c r="AB714" s="11"/>
      <c r="AC714" s="11"/>
      <c r="AD714" s="11"/>
    </row>
    <row r="715">
      <c r="A715" s="10"/>
      <c r="B715" s="10"/>
      <c r="C715" s="10"/>
      <c r="D715" s="10"/>
      <c r="E715" s="10"/>
      <c r="F715" s="11"/>
      <c r="G715" s="11"/>
      <c r="H715" s="11"/>
      <c r="I715" s="11"/>
      <c r="J715" s="11" t="str">
        <f>IFERROR(__xludf.DUMMYFUNCTION("iferror(if($B715="""", ,filter(Playoff_Stats!F:Z,Playoff_Stats!A:A=$B715,Playoff_Stats!B:B=$A715)))"),"")</f>
        <v/>
      </c>
      <c r="K715" s="11"/>
      <c r="L715" s="12"/>
      <c r="M715" s="11"/>
      <c r="N715" s="11"/>
      <c r="O715" s="13"/>
      <c r="P715" s="14"/>
      <c r="Q715" s="13"/>
      <c r="R715" s="13"/>
      <c r="S715" s="15"/>
      <c r="T715" s="16"/>
      <c r="U715" s="16"/>
      <c r="V715" s="16"/>
      <c r="W715" s="16"/>
      <c r="X715" s="16"/>
      <c r="Y715" s="11"/>
      <c r="Z715" s="11"/>
      <c r="AA715" s="11"/>
      <c r="AB715" s="11"/>
      <c r="AC715" s="11"/>
      <c r="AD715" s="11"/>
    </row>
    <row r="716">
      <c r="A716" s="10"/>
      <c r="B716" s="10"/>
      <c r="C716" s="10"/>
      <c r="D716" s="10"/>
      <c r="E716" s="10"/>
      <c r="F716" s="11"/>
      <c r="G716" s="11"/>
      <c r="H716" s="11"/>
      <c r="I716" s="11"/>
      <c r="J716" s="11" t="str">
        <f>IFERROR(__xludf.DUMMYFUNCTION("iferror(if($B716="""", ,filter(Playoff_Stats!F:Z,Playoff_Stats!A:A=$B716,Playoff_Stats!B:B=$A716)))"),"")</f>
        <v/>
      </c>
      <c r="K716" s="11"/>
      <c r="L716" s="12"/>
      <c r="M716" s="11"/>
      <c r="N716" s="11"/>
      <c r="O716" s="13"/>
      <c r="P716" s="14"/>
      <c r="Q716" s="13"/>
      <c r="R716" s="13"/>
      <c r="S716" s="15"/>
      <c r="T716" s="16"/>
      <c r="U716" s="16"/>
      <c r="V716" s="16"/>
      <c r="W716" s="16"/>
      <c r="X716" s="16"/>
      <c r="Y716" s="11"/>
      <c r="Z716" s="11"/>
      <c r="AA716" s="11"/>
      <c r="AB716" s="11"/>
      <c r="AC716" s="11"/>
      <c r="AD716" s="11"/>
    </row>
    <row r="717">
      <c r="A717" s="10"/>
      <c r="B717" s="10"/>
      <c r="C717" s="10"/>
      <c r="D717" s="10"/>
      <c r="E717" s="10"/>
      <c r="F717" s="11"/>
      <c r="G717" s="11"/>
      <c r="H717" s="11"/>
      <c r="I717" s="11"/>
      <c r="J717" s="11" t="str">
        <f>IFERROR(__xludf.DUMMYFUNCTION("iferror(if($B717="""", ,filter(Playoff_Stats!F:Z,Playoff_Stats!A:A=$B717,Playoff_Stats!B:B=$A717)))"),"")</f>
        <v/>
      </c>
      <c r="K717" s="11"/>
      <c r="L717" s="12"/>
      <c r="M717" s="11"/>
      <c r="N717" s="11"/>
      <c r="O717" s="13"/>
      <c r="P717" s="14"/>
      <c r="Q717" s="13"/>
      <c r="R717" s="13"/>
      <c r="S717" s="15"/>
      <c r="T717" s="16"/>
      <c r="U717" s="16"/>
      <c r="V717" s="16"/>
      <c r="W717" s="16"/>
      <c r="X717" s="16"/>
      <c r="Y717" s="11"/>
      <c r="Z717" s="11"/>
      <c r="AA717" s="11"/>
      <c r="AB717" s="11"/>
      <c r="AC717" s="11"/>
      <c r="AD717" s="11"/>
    </row>
    <row r="718">
      <c r="A718" s="10"/>
      <c r="B718" s="10"/>
      <c r="C718" s="10"/>
      <c r="D718" s="10"/>
      <c r="E718" s="10"/>
      <c r="F718" s="11"/>
      <c r="G718" s="11"/>
      <c r="H718" s="11"/>
      <c r="I718" s="11"/>
      <c r="J718" s="11" t="str">
        <f>IFERROR(__xludf.DUMMYFUNCTION("iferror(if($B718="""", ,filter(Playoff_Stats!F:Z,Playoff_Stats!A:A=$B718,Playoff_Stats!B:B=$A718)))"),"")</f>
        <v/>
      </c>
      <c r="K718" s="11"/>
      <c r="L718" s="12"/>
      <c r="M718" s="11"/>
      <c r="N718" s="11"/>
      <c r="O718" s="13"/>
      <c r="P718" s="14"/>
      <c r="Q718" s="13"/>
      <c r="R718" s="13"/>
      <c r="S718" s="15"/>
      <c r="T718" s="16"/>
      <c r="U718" s="16"/>
      <c r="V718" s="16"/>
      <c r="W718" s="16"/>
      <c r="X718" s="16"/>
      <c r="Y718" s="11"/>
      <c r="Z718" s="11"/>
      <c r="AA718" s="11"/>
      <c r="AB718" s="11"/>
      <c r="AC718" s="11"/>
      <c r="AD718" s="11"/>
    </row>
    <row r="719">
      <c r="A719" s="10"/>
      <c r="B719" s="10"/>
      <c r="C719" s="10"/>
      <c r="D719" s="10"/>
      <c r="E719" s="10"/>
      <c r="F719" s="11"/>
      <c r="G719" s="11"/>
      <c r="H719" s="11"/>
      <c r="I719" s="11"/>
      <c r="J719" s="11" t="str">
        <f>IFERROR(__xludf.DUMMYFUNCTION("iferror(if($B719="""", ,filter(Playoff_Stats!F:Z,Playoff_Stats!A:A=$B719,Playoff_Stats!B:B=$A719)))"),"")</f>
        <v/>
      </c>
      <c r="K719" s="11"/>
      <c r="L719" s="12"/>
      <c r="M719" s="11"/>
      <c r="N719" s="11"/>
      <c r="O719" s="13"/>
      <c r="P719" s="14"/>
      <c r="Q719" s="13"/>
      <c r="R719" s="13"/>
      <c r="S719" s="15"/>
      <c r="T719" s="16"/>
      <c r="U719" s="16"/>
      <c r="V719" s="16"/>
      <c r="W719" s="16"/>
      <c r="X719" s="16"/>
      <c r="Y719" s="11"/>
      <c r="Z719" s="11"/>
      <c r="AA719" s="11"/>
      <c r="AB719" s="11"/>
      <c r="AC719" s="11"/>
      <c r="AD719" s="11"/>
    </row>
    <row r="720">
      <c r="A720" s="10"/>
      <c r="B720" s="10"/>
      <c r="C720" s="10"/>
      <c r="D720" s="10"/>
      <c r="E720" s="10"/>
      <c r="F720" s="11"/>
      <c r="G720" s="11"/>
      <c r="H720" s="11"/>
      <c r="I720" s="11"/>
      <c r="J720" s="11" t="str">
        <f>IFERROR(__xludf.DUMMYFUNCTION("iferror(if($B720="""", ,filter(Playoff_Stats!F:Z,Playoff_Stats!A:A=$B720,Playoff_Stats!B:B=$A720)))"),"")</f>
        <v/>
      </c>
      <c r="K720" s="11"/>
      <c r="L720" s="12"/>
      <c r="M720" s="11"/>
      <c r="N720" s="11"/>
      <c r="O720" s="13"/>
      <c r="P720" s="14"/>
      <c r="Q720" s="13"/>
      <c r="R720" s="13"/>
      <c r="S720" s="15"/>
      <c r="T720" s="16"/>
      <c r="U720" s="16"/>
      <c r="V720" s="16"/>
      <c r="W720" s="16"/>
      <c r="X720" s="16"/>
      <c r="Y720" s="11"/>
      <c r="Z720" s="11"/>
      <c r="AA720" s="11"/>
      <c r="AB720" s="11"/>
      <c r="AC720" s="11"/>
      <c r="AD720" s="11"/>
    </row>
    <row r="721">
      <c r="A721" s="10"/>
      <c r="B721" s="10"/>
      <c r="C721" s="10"/>
      <c r="D721" s="10"/>
      <c r="E721" s="10"/>
      <c r="F721" s="11"/>
      <c r="G721" s="11"/>
      <c r="H721" s="11"/>
      <c r="I721" s="11"/>
      <c r="J721" s="11" t="str">
        <f>IFERROR(__xludf.DUMMYFUNCTION("iferror(if($B721="""", ,filter(Playoff_Stats!F:Z,Playoff_Stats!A:A=$B721,Playoff_Stats!B:B=$A721)))"),"")</f>
        <v/>
      </c>
      <c r="K721" s="11"/>
      <c r="L721" s="12"/>
      <c r="M721" s="11"/>
      <c r="N721" s="11"/>
      <c r="O721" s="13"/>
      <c r="P721" s="14"/>
      <c r="Q721" s="13"/>
      <c r="R721" s="13"/>
      <c r="S721" s="15"/>
      <c r="T721" s="16"/>
      <c r="U721" s="16"/>
      <c r="V721" s="16"/>
      <c r="W721" s="16"/>
      <c r="X721" s="16"/>
      <c r="Y721" s="11"/>
      <c r="Z721" s="11"/>
      <c r="AA721" s="11"/>
      <c r="AB721" s="11"/>
      <c r="AC721" s="11"/>
      <c r="AD721" s="11"/>
    </row>
    <row r="722">
      <c r="A722" s="10"/>
      <c r="B722" s="10"/>
      <c r="C722" s="10"/>
      <c r="D722" s="10"/>
      <c r="E722" s="10"/>
      <c r="F722" s="11"/>
      <c r="G722" s="11"/>
      <c r="H722" s="11"/>
      <c r="I722" s="11"/>
      <c r="J722" s="11" t="str">
        <f>IFERROR(__xludf.DUMMYFUNCTION("iferror(if($B722="""", ,filter(Playoff_Stats!F:Z,Playoff_Stats!A:A=$B722,Playoff_Stats!B:B=$A722)))"),"")</f>
        <v/>
      </c>
      <c r="K722" s="11"/>
      <c r="L722" s="12"/>
      <c r="M722" s="11"/>
      <c r="N722" s="11"/>
      <c r="O722" s="13"/>
      <c r="P722" s="14"/>
      <c r="Q722" s="13"/>
      <c r="R722" s="13"/>
      <c r="S722" s="15"/>
      <c r="T722" s="16"/>
      <c r="U722" s="16"/>
      <c r="V722" s="16"/>
      <c r="W722" s="16"/>
      <c r="X722" s="16"/>
      <c r="Y722" s="11"/>
      <c r="Z722" s="11"/>
      <c r="AA722" s="11"/>
      <c r="AB722" s="11"/>
      <c r="AC722" s="11"/>
      <c r="AD722" s="11"/>
    </row>
    <row r="723">
      <c r="A723" s="10"/>
      <c r="B723" s="10"/>
      <c r="C723" s="10"/>
      <c r="D723" s="10"/>
      <c r="E723" s="10"/>
      <c r="F723" s="11"/>
      <c r="G723" s="11"/>
      <c r="H723" s="11"/>
      <c r="I723" s="11"/>
      <c r="J723" s="11" t="str">
        <f>IFERROR(__xludf.DUMMYFUNCTION("iferror(if($B723="""", ,filter(Playoff_Stats!F:Z,Playoff_Stats!A:A=$B723,Playoff_Stats!B:B=$A723)))"),"")</f>
        <v/>
      </c>
      <c r="K723" s="11"/>
      <c r="L723" s="12"/>
      <c r="M723" s="11"/>
      <c r="N723" s="11"/>
      <c r="O723" s="13"/>
      <c r="P723" s="14"/>
      <c r="Q723" s="13"/>
      <c r="R723" s="13"/>
      <c r="S723" s="15"/>
      <c r="T723" s="16"/>
      <c r="U723" s="16"/>
      <c r="V723" s="16"/>
      <c r="W723" s="16"/>
      <c r="X723" s="16"/>
      <c r="Y723" s="11"/>
      <c r="Z723" s="11"/>
      <c r="AA723" s="11"/>
      <c r="AB723" s="11"/>
      <c r="AC723" s="11"/>
      <c r="AD723" s="11"/>
    </row>
    <row r="724">
      <c r="A724" s="10"/>
      <c r="B724" s="10"/>
      <c r="C724" s="10"/>
      <c r="D724" s="10"/>
      <c r="E724" s="10"/>
      <c r="F724" s="11"/>
      <c r="G724" s="11"/>
      <c r="H724" s="11"/>
      <c r="I724" s="11"/>
      <c r="J724" s="11" t="str">
        <f>IFERROR(__xludf.DUMMYFUNCTION("iferror(if($B724="""", ,filter(Playoff_Stats!F:Z,Playoff_Stats!A:A=$B724,Playoff_Stats!B:B=$A724)))"),"")</f>
        <v/>
      </c>
      <c r="K724" s="11"/>
      <c r="L724" s="12"/>
      <c r="M724" s="11"/>
      <c r="N724" s="11"/>
      <c r="O724" s="13"/>
      <c r="P724" s="14"/>
      <c r="Q724" s="13"/>
      <c r="R724" s="13"/>
      <c r="S724" s="15"/>
      <c r="T724" s="16"/>
      <c r="U724" s="16"/>
      <c r="V724" s="16"/>
      <c r="W724" s="16"/>
      <c r="X724" s="16"/>
      <c r="Y724" s="11"/>
      <c r="Z724" s="11"/>
      <c r="AA724" s="11"/>
      <c r="AB724" s="11"/>
      <c r="AC724" s="11"/>
      <c r="AD724" s="11"/>
    </row>
    <row r="725">
      <c r="A725" s="10"/>
      <c r="B725" s="10"/>
      <c r="C725" s="10"/>
      <c r="D725" s="10"/>
      <c r="E725" s="10"/>
      <c r="F725" s="11"/>
      <c r="G725" s="11"/>
      <c r="H725" s="11"/>
      <c r="I725" s="11"/>
      <c r="J725" s="11" t="str">
        <f>IFERROR(__xludf.DUMMYFUNCTION("iferror(if($B725="""", ,filter(Playoff_Stats!F:Z,Playoff_Stats!A:A=$B725,Playoff_Stats!B:B=$A725)))"),"")</f>
        <v/>
      </c>
      <c r="K725" s="11"/>
      <c r="L725" s="12"/>
      <c r="M725" s="11"/>
      <c r="N725" s="11"/>
      <c r="O725" s="13"/>
      <c r="P725" s="14"/>
      <c r="Q725" s="13"/>
      <c r="R725" s="13"/>
      <c r="S725" s="15"/>
      <c r="T725" s="16"/>
      <c r="U725" s="16"/>
      <c r="V725" s="16"/>
      <c r="W725" s="16"/>
      <c r="X725" s="16"/>
      <c r="Y725" s="11"/>
      <c r="Z725" s="11"/>
      <c r="AA725" s="11"/>
      <c r="AB725" s="11"/>
      <c r="AC725" s="11"/>
      <c r="AD725" s="11"/>
    </row>
    <row r="726">
      <c r="A726" s="10"/>
      <c r="B726" s="10"/>
      <c r="C726" s="10"/>
      <c r="D726" s="10"/>
      <c r="E726" s="10"/>
      <c r="F726" s="11"/>
      <c r="G726" s="11"/>
      <c r="H726" s="11"/>
      <c r="I726" s="11"/>
      <c r="J726" s="11" t="str">
        <f>IFERROR(__xludf.DUMMYFUNCTION("iferror(if($B726="""", ,filter(Playoff_Stats!F:Z,Playoff_Stats!A:A=$B726,Playoff_Stats!B:B=$A726)))"),"")</f>
        <v/>
      </c>
      <c r="K726" s="11"/>
      <c r="L726" s="12"/>
      <c r="M726" s="11"/>
      <c r="N726" s="11"/>
      <c r="O726" s="13"/>
      <c r="P726" s="14"/>
      <c r="Q726" s="13"/>
      <c r="R726" s="13"/>
      <c r="S726" s="15"/>
      <c r="T726" s="16"/>
      <c r="U726" s="16"/>
      <c r="V726" s="16"/>
      <c r="W726" s="16"/>
      <c r="X726" s="16"/>
      <c r="Y726" s="11"/>
      <c r="Z726" s="11"/>
      <c r="AA726" s="11"/>
      <c r="AB726" s="11"/>
      <c r="AC726" s="11"/>
      <c r="AD726" s="11"/>
    </row>
    <row r="727">
      <c r="A727" s="10"/>
      <c r="B727" s="10"/>
      <c r="C727" s="10"/>
      <c r="D727" s="10"/>
      <c r="E727" s="10"/>
      <c r="F727" s="11"/>
      <c r="G727" s="11"/>
      <c r="H727" s="11"/>
      <c r="I727" s="11"/>
      <c r="J727" s="11" t="str">
        <f>IFERROR(__xludf.DUMMYFUNCTION("iferror(if($B727="""", ,filter(Playoff_Stats!F:Z,Playoff_Stats!A:A=$B727,Playoff_Stats!B:B=$A727)))"),"")</f>
        <v/>
      </c>
      <c r="K727" s="11"/>
      <c r="L727" s="12"/>
      <c r="M727" s="11"/>
      <c r="N727" s="11"/>
      <c r="O727" s="13"/>
      <c r="P727" s="14"/>
      <c r="Q727" s="13"/>
      <c r="R727" s="13"/>
      <c r="S727" s="15"/>
      <c r="T727" s="16"/>
      <c r="U727" s="16"/>
      <c r="V727" s="16"/>
      <c r="W727" s="16"/>
      <c r="X727" s="16"/>
      <c r="Y727" s="11"/>
      <c r="Z727" s="11"/>
      <c r="AA727" s="11"/>
      <c r="AB727" s="11"/>
      <c r="AC727" s="11"/>
      <c r="AD727" s="11"/>
    </row>
    <row r="728">
      <c r="A728" s="10"/>
      <c r="B728" s="10"/>
      <c r="C728" s="10"/>
      <c r="D728" s="10"/>
      <c r="E728" s="10"/>
      <c r="F728" s="11"/>
      <c r="G728" s="11"/>
      <c r="H728" s="11"/>
      <c r="I728" s="11"/>
      <c r="J728" s="11" t="str">
        <f>IFERROR(__xludf.DUMMYFUNCTION("iferror(if($B728="""", ,filter(Playoff_Stats!F:Z,Playoff_Stats!A:A=$B728,Playoff_Stats!B:B=$A728)))"),"")</f>
        <v/>
      </c>
      <c r="K728" s="11"/>
      <c r="L728" s="12"/>
      <c r="M728" s="11"/>
      <c r="N728" s="11"/>
      <c r="O728" s="13"/>
      <c r="P728" s="14"/>
      <c r="Q728" s="13"/>
      <c r="R728" s="13"/>
      <c r="S728" s="15"/>
      <c r="T728" s="16"/>
      <c r="U728" s="16"/>
      <c r="V728" s="16"/>
      <c r="W728" s="16"/>
      <c r="X728" s="16"/>
      <c r="Y728" s="11"/>
      <c r="Z728" s="11"/>
      <c r="AA728" s="11"/>
      <c r="AB728" s="11"/>
      <c r="AC728" s="11"/>
      <c r="AD728" s="11"/>
    </row>
    <row r="729">
      <c r="A729" s="10"/>
      <c r="B729" s="10"/>
      <c r="C729" s="10"/>
      <c r="D729" s="10"/>
      <c r="E729" s="10"/>
      <c r="F729" s="11"/>
      <c r="G729" s="11"/>
      <c r="H729" s="11"/>
      <c r="I729" s="11"/>
      <c r="J729" s="11" t="str">
        <f>IFERROR(__xludf.DUMMYFUNCTION("iferror(if($B729="""", ,filter(Playoff_Stats!F:Z,Playoff_Stats!A:A=$B729,Playoff_Stats!B:B=$A729)))"),"")</f>
        <v/>
      </c>
      <c r="K729" s="11"/>
      <c r="L729" s="12"/>
      <c r="M729" s="11"/>
      <c r="N729" s="11"/>
      <c r="O729" s="13"/>
      <c r="P729" s="14"/>
      <c r="Q729" s="13"/>
      <c r="R729" s="13"/>
      <c r="S729" s="15"/>
      <c r="T729" s="16"/>
      <c r="U729" s="16"/>
      <c r="V729" s="16"/>
      <c r="W729" s="16"/>
      <c r="X729" s="16"/>
      <c r="Y729" s="11"/>
      <c r="Z729" s="11"/>
      <c r="AA729" s="11"/>
      <c r="AB729" s="11"/>
      <c r="AC729" s="11"/>
      <c r="AD729" s="11"/>
    </row>
    <row r="730">
      <c r="A730" s="10"/>
      <c r="B730" s="10"/>
      <c r="C730" s="10"/>
      <c r="D730" s="10"/>
      <c r="E730" s="10"/>
      <c r="F730" s="11"/>
      <c r="G730" s="11"/>
      <c r="H730" s="11"/>
      <c r="I730" s="11"/>
      <c r="J730" s="11" t="str">
        <f>IFERROR(__xludf.DUMMYFUNCTION("iferror(if($B730="""", ,filter(Playoff_Stats!F:Z,Playoff_Stats!A:A=$B730,Playoff_Stats!B:B=$A730)))"),"")</f>
        <v/>
      </c>
      <c r="K730" s="11"/>
      <c r="L730" s="12"/>
      <c r="M730" s="11"/>
      <c r="N730" s="11"/>
      <c r="O730" s="13"/>
      <c r="P730" s="14"/>
      <c r="Q730" s="13"/>
      <c r="R730" s="13"/>
      <c r="S730" s="15"/>
      <c r="T730" s="16"/>
      <c r="U730" s="16"/>
      <c r="V730" s="16"/>
      <c r="W730" s="16"/>
      <c r="X730" s="16"/>
      <c r="Y730" s="11"/>
      <c r="Z730" s="11"/>
      <c r="AA730" s="11"/>
      <c r="AB730" s="11"/>
      <c r="AC730" s="11"/>
      <c r="AD730" s="11"/>
    </row>
    <row r="731">
      <c r="A731" s="10"/>
      <c r="B731" s="10"/>
      <c r="C731" s="10"/>
      <c r="D731" s="10"/>
      <c r="E731" s="10"/>
      <c r="F731" s="11"/>
      <c r="G731" s="11"/>
      <c r="H731" s="11"/>
      <c r="I731" s="11"/>
      <c r="J731" s="11" t="str">
        <f>IFERROR(__xludf.DUMMYFUNCTION("iferror(if($B731="""", ,filter(Playoff_Stats!F:Z,Playoff_Stats!A:A=$B731,Playoff_Stats!B:B=$A731)))"),"")</f>
        <v/>
      </c>
      <c r="K731" s="11"/>
      <c r="L731" s="12"/>
      <c r="M731" s="11"/>
      <c r="N731" s="11"/>
      <c r="O731" s="13"/>
      <c r="P731" s="14"/>
      <c r="Q731" s="13"/>
      <c r="R731" s="13"/>
      <c r="S731" s="15"/>
      <c r="T731" s="16"/>
      <c r="U731" s="16"/>
      <c r="V731" s="16"/>
      <c r="W731" s="16"/>
      <c r="X731" s="16"/>
      <c r="Y731" s="11"/>
      <c r="Z731" s="11"/>
      <c r="AA731" s="11"/>
      <c r="AB731" s="11"/>
      <c r="AC731" s="11"/>
      <c r="AD731" s="11"/>
    </row>
    <row r="732">
      <c r="A732" s="10"/>
      <c r="B732" s="10"/>
      <c r="C732" s="10"/>
      <c r="D732" s="10"/>
      <c r="E732" s="10"/>
      <c r="F732" s="11"/>
      <c r="G732" s="11"/>
      <c r="H732" s="11"/>
      <c r="I732" s="11"/>
      <c r="J732" s="11" t="str">
        <f>IFERROR(__xludf.DUMMYFUNCTION("iferror(if($B732="""", ,filter(Playoff_Stats!F:Z,Playoff_Stats!A:A=$B732,Playoff_Stats!B:B=$A732)))"),"")</f>
        <v/>
      </c>
      <c r="K732" s="11"/>
      <c r="L732" s="12"/>
      <c r="M732" s="11"/>
      <c r="N732" s="11"/>
      <c r="O732" s="13"/>
      <c r="P732" s="14"/>
      <c r="Q732" s="13"/>
      <c r="R732" s="13"/>
      <c r="S732" s="15"/>
      <c r="T732" s="16"/>
      <c r="U732" s="16"/>
      <c r="V732" s="16"/>
      <c r="W732" s="16"/>
      <c r="X732" s="16"/>
      <c r="Y732" s="11"/>
      <c r="Z732" s="11"/>
      <c r="AA732" s="11"/>
      <c r="AB732" s="11"/>
      <c r="AC732" s="11"/>
      <c r="AD732" s="11"/>
    </row>
    <row r="733">
      <c r="A733" s="10"/>
      <c r="B733" s="10"/>
      <c r="C733" s="10"/>
      <c r="D733" s="10"/>
      <c r="E733" s="10"/>
      <c r="F733" s="11"/>
      <c r="G733" s="11"/>
      <c r="H733" s="11"/>
      <c r="I733" s="11"/>
      <c r="J733" s="11" t="str">
        <f>IFERROR(__xludf.DUMMYFUNCTION("iferror(if($B733="""", ,filter(Playoff_Stats!F:Z,Playoff_Stats!A:A=$B733,Playoff_Stats!B:B=$A733)))"),"")</f>
        <v/>
      </c>
      <c r="K733" s="11"/>
      <c r="L733" s="12"/>
      <c r="M733" s="11"/>
      <c r="N733" s="11"/>
      <c r="O733" s="13"/>
      <c r="P733" s="14"/>
      <c r="Q733" s="13"/>
      <c r="R733" s="13"/>
      <c r="S733" s="15"/>
      <c r="T733" s="16"/>
      <c r="U733" s="16"/>
      <c r="V733" s="16"/>
      <c r="W733" s="16"/>
      <c r="X733" s="16"/>
      <c r="Y733" s="11"/>
      <c r="Z733" s="11"/>
      <c r="AA733" s="11"/>
      <c r="AB733" s="11"/>
      <c r="AC733" s="11"/>
      <c r="AD733" s="11"/>
    </row>
    <row r="734">
      <c r="A734" s="10"/>
      <c r="B734" s="10"/>
      <c r="C734" s="10"/>
      <c r="D734" s="10"/>
      <c r="E734" s="10"/>
      <c r="F734" s="11"/>
      <c r="G734" s="11"/>
      <c r="H734" s="11"/>
      <c r="I734" s="11"/>
      <c r="J734" s="11" t="str">
        <f>IFERROR(__xludf.DUMMYFUNCTION("iferror(if($B734="""", ,filter(Playoff_Stats!F:Z,Playoff_Stats!A:A=$B734,Playoff_Stats!B:B=$A734)))"),"")</f>
        <v/>
      </c>
      <c r="K734" s="11"/>
      <c r="L734" s="12"/>
      <c r="M734" s="11"/>
      <c r="N734" s="11"/>
      <c r="O734" s="13"/>
      <c r="P734" s="14"/>
      <c r="Q734" s="13"/>
      <c r="R734" s="13"/>
      <c r="S734" s="15"/>
      <c r="T734" s="16"/>
      <c r="U734" s="16"/>
      <c r="V734" s="16"/>
      <c r="W734" s="16"/>
      <c r="X734" s="16"/>
      <c r="Y734" s="11"/>
      <c r="Z734" s="11"/>
      <c r="AA734" s="11"/>
      <c r="AB734" s="11"/>
      <c r="AC734" s="11"/>
      <c r="AD734" s="11"/>
    </row>
    <row r="735">
      <c r="A735" s="10"/>
      <c r="B735" s="10"/>
      <c r="C735" s="10"/>
      <c r="D735" s="10"/>
      <c r="E735" s="10"/>
      <c r="F735" s="11"/>
      <c r="G735" s="11"/>
      <c r="H735" s="11"/>
      <c r="I735" s="11"/>
      <c r="J735" s="11" t="str">
        <f>IFERROR(__xludf.DUMMYFUNCTION("iferror(if($B735="""", ,filter(Playoff_Stats!F:Z,Playoff_Stats!A:A=$B735,Playoff_Stats!B:B=$A735)))"),"")</f>
        <v/>
      </c>
      <c r="K735" s="11"/>
      <c r="L735" s="12"/>
      <c r="M735" s="11"/>
      <c r="N735" s="11"/>
      <c r="O735" s="13"/>
      <c r="P735" s="14"/>
      <c r="Q735" s="13"/>
      <c r="R735" s="13"/>
      <c r="S735" s="15"/>
      <c r="T735" s="16"/>
      <c r="U735" s="16"/>
      <c r="V735" s="16"/>
      <c r="W735" s="16"/>
      <c r="X735" s="16"/>
      <c r="Y735" s="11"/>
      <c r="Z735" s="11"/>
      <c r="AA735" s="11"/>
      <c r="AB735" s="11"/>
      <c r="AC735" s="11"/>
      <c r="AD735" s="11"/>
    </row>
    <row r="736">
      <c r="A736" s="10"/>
      <c r="B736" s="10"/>
      <c r="C736" s="10"/>
      <c r="D736" s="10"/>
      <c r="E736" s="10"/>
      <c r="F736" s="11"/>
      <c r="G736" s="11"/>
      <c r="H736" s="11"/>
      <c r="I736" s="11"/>
      <c r="J736" s="11" t="str">
        <f>IFERROR(__xludf.DUMMYFUNCTION("iferror(if($B736="""", ,filter(Playoff_Stats!F:Z,Playoff_Stats!A:A=$B736,Playoff_Stats!B:B=$A736)))"),"")</f>
        <v/>
      </c>
      <c r="K736" s="11"/>
      <c r="L736" s="12"/>
      <c r="M736" s="11"/>
      <c r="N736" s="11"/>
      <c r="O736" s="13"/>
      <c r="P736" s="14"/>
      <c r="Q736" s="13"/>
      <c r="R736" s="13"/>
      <c r="S736" s="15"/>
      <c r="T736" s="16"/>
      <c r="U736" s="16"/>
      <c r="V736" s="16"/>
      <c r="W736" s="16"/>
      <c r="X736" s="16"/>
      <c r="Y736" s="11"/>
      <c r="Z736" s="11"/>
      <c r="AA736" s="11"/>
      <c r="AB736" s="11"/>
      <c r="AC736" s="11"/>
      <c r="AD736" s="11"/>
    </row>
    <row r="737">
      <c r="A737" s="10"/>
      <c r="B737" s="10"/>
      <c r="C737" s="10"/>
      <c r="D737" s="10"/>
      <c r="E737" s="10"/>
      <c r="F737" s="11"/>
      <c r="G737" s="11"/>
      <c r="H737" s="11"/>
      <c r="I737" s="11"/>
      <c r="J737" s="11" t="str">
        <f>IFERROR(__xludf.DUMMYFUNCTION("iferror(if($B737="""", ,filter(Playoff_Stats!F:Z,Playoff_Stats!A:A=$B737,Playoff_Stats!B:B=$A737)))"),"")</f>
        <v/>
      </c>
      <c r="K737" s="11"/>
      <c r="L737" s="12"/>
      <c r="M737" s="11"/>
      <c r="N737" s="11"/>
      <c r="O737" s="13"/>
      <c r="P737" s="14"/>
      <c r="Q737" s="13"/>
      <c r="R737" s="13"/>
      <c r="S737" s="15"/>
      <c r="T737" s="16"/>
      <c r="U737" s="16"/>
      <c r="V737" s="16"/>
      <c r="W737" s="16"/>
      <c r="X737" s="16"/>
      <c r="Y737" s="11"/>
      <c r="Z737" s="11"/>
      <c r="AA737" s="11"/>
      <c r="AB737" s="11"/>
      <c r="AC737" s="11"/>
      <c r="AD737" s="11"/>
    </row>
    <row r="738">
      <c r="A738" s="10"/>
      <c r="B738" s="10"/>
      <c r="C738" s="10"/>
      <c r="D738" s="10"/>
      <c r="E738" s="10"/>
      <c r="F738" s="11"/>
      <c r="G738" s="11"/>
      <c r="H738" s="11"/>
      <c r="I738" s="11"/>
      <c r="J738" s="11" t="str">
        <f>IFERROR(__xludf.DUMMYFUNCTION("iferror(if($B738="""", ,filter(Playoff_Stats!F:Z,Playoff_Stats!A:A=$B738,Playoff_Stats!B:B=$A738)))"),"")</f>
        <v/>
      </c>
      <c r="K738" s="11"/>
      <c r="L738" s="12"/>
      <c r="M738" s="11"/>
      <c r="N738" s="11"/>
      <c r="O738" s="13"/>
      <c r="P738" s="14"/>
      <c r="Q738" s="13"/>
      <c r="R738" s="13"/>
      <c r="S738" s="15"/>
      <c r="T738" s="16"/>
      <c r="U738" s="16"/>
      <c r="V738" s="16"/>
      <c r="W738" s="16"/>
      <c r="X738" s="16"/>
      <c r="Y738" s="11"/>
      <c r="Z738" s="11"/>
      <c r="AA738" s="11"/>
      <c r="AB738" s="11"/>
      <c r="AC738" s="11"/>
      <c r="AD738" s="11"/>
    </row>
    <row r="739">
      <c r="A739" s="10"/>
      <c r="B739" s="10"/>
      <c r="C739" s="10"/>
      <c r="D739" s="10"/>
      <c r="E739" s="10"/>
      <c r="F739" s="11"/>
      <c r="G739" s="11"/>
      <c r="H739" s="11"/>
      <c r="I739" s="11"/>
      <c r="J739" s="11" t="str">
        <f>IFERROR(__xludf.DUMMYFUNCTION("iferror(if($B739="""", ,filter(Playoff_Stats!F:Z,Playoff_Stats!A:A=$B739,Playoff_Stats!B:B=$A739)))"),"")</f>
        <v/>
      </c>
      <c r="K739" s="11"/>
      <c r="L739" s="12"/>
      <c r="M739" s="11"/>
      <c r="N739" s="11"/>
      <c r="O739" s="13"/>
      <c r="P739" s="14"/>
      <c r="Q739" s="13"/>
      <c r="R739" s="13"/>
      <c r="S739" s="15"/>
      <c r="T739" s="16"/>
      <c r="U739" s="16"/>
      <c r="V739" s="16"/>
      <c r="W739" s="16"/>
      <c r="X739" s="16"/>
      <c r="Y739" s="11"/>
      <c r="Z739" s="11"/>
      <c r="AA739" s="11"/>
      <c r="AB739" s="11"/>
      <c r="AC739" s="11"/>
      <c r="AD739" s="11"/>
    </row>
    <row r="740">
      <c r="A740" s="10"/>
      <c r="B740" s="10"/>
      <c r="C740" s="10"/>
      <c r="D740" s="10"/>
      <c r="E740" s="10"/>
      <c r="F740" s="11"/>
      <c r="G740" s="11"/>
      <c r="H740" s="11"/>
      <c r="I740" s="11"/>
      <c r="J740" s="11" t="str">
        <f>IFERROR(__xludf.DUMMYFUNCTION("iferror(if($B740="""", ,filter(Playoff_Stats!F:Z,Playoff_Stats!A:A=$B740,Playoff_Stats!B:B=$A740)))"),"")</f>
        <v/>
      </c>
      <c r="K740" s="11"/>
      <c r="L740" s="12"/>
      <c r="M740" s="11"/>
      <c r="N740" s="11"/>
      <c r="O740" s="13"/>
      <c r="P740" s="14"/>
      <c r="Q740" s="13"/>
      <c r="R740" s="13"/>
      <c r="S740" s="15"/>
      <c r="T740" s="16"/>
      <c r="U740" s="16"/>
      <c r="V740" s="16"/>
      <c r="W740" s="16"/>
      <c r="X740" s="16"/>
      <c r="Y740" s="11"/>
      <c r="Z740" s="11"/>
      <c r="AA740" s="11"/>
      <c r="AB740" s="11"/>
      <c r="AC740" s="11"/>
      <c r="AD740" s="11"/>
    </row>
    <row r="741" ht="17.25" customHeight="1">
      <c r="A741" s="10"/>
      <c r="B741" s="10"/>
      <c r="C741" s="10"/>
      <c r="D741" s="10"/>
      <c r="E741" s="10"/>
      <c r="F741" s="11"/>
      <c r="G741" s="11"/>
      <c r="H741" s="11"/>
      <c r="I741" s="11"/>
      <c r="J741" s="11" t="str">
        <f>IFERROR(__xludf.DUMMYFUNCTION("iferror(if($B741="""", ,filter(Playoff_Stats!F:Z,Playoff_Stats!A:A=$B741,Playoff_Stats!B:B=$A741)))"),"")</f>
        <v/>
      </c>
      <c r="K741" s="11"/>
      <c r="L741" s="12"/>
      <c r="M741" s="11"/>
      <c r="N741" s="11"/>
      <c r="O741" s="13"/>
      <c r="P741" s="14"/>
      <c r="Q741" s="13"/>
      <c r="R741" s="13"/>
      <c r="S741" s="15"/>
      <c r="T741" s="16"/>
      <c r="U741" s="16"/>
      <c r="V741" s="16"/>
      <c r="W741" s="16"/>
      <c r="X741" s="16"/>
      <c r="Y741" s="11"/>
      <c r="Z741" s="11"/>
      <c r="AA741" s="11"/>
      <c r="AB741" s="11"/>
      <c r="AC741" s="11"/>
      <c r="AD741" s="11"/>
    </row>
    <row r="742">
      <c r="A742" s="10"/>
      <c r="B742" s="10"/>
      <c r="C742" s="10"/>
      <c r="D742" s="10"/>
      <c r="E742" s="10"/>
      <c r="F742" s="11"/>
      <c r="G742" s="11"/>
      <c r="H742" s="11"/>
      <c r="I742" s="11"/>
      <c r="J742" s="11" t="str">
        <f>IFERROR(__xludf.DUMMYFUNCTION("iferror(if($B742="""", ,filter(Playoff_Stats!F:Z,Playoff_Stats!A:A=$B742,Playoff_Stats!B:B=$A742)))"),"")</f>
        <v/>
      </c>
      <c r="K742" s="11"/>
      <c r="L742" s="12"/>
      <c r="M742" s="11"/>
      <c r="N742" s="11"/>
      <c r="O742" s="13"/>
      <c r="P742" s="14"/>
      <c r="Q742" s="13"/>
      <c r="R742" s="13"/>
      <c r="S742" s="15"/>
      <c r="T742" s="16"/>
      <c r="U742" s="16"/>
      <c r="V742" s="16"/>
      <c r="W742" s="16"/>
      <c r="X742" s="16"/>
      <c r="Y742" s="11"/>
      <c r="Z742" s="11"/>
      <c r="AA742" s="11"/>
      <c r="AB742" s="11"/>
      <c r="AC742" s="11"/>
      <c r="AD742" s="11"/>
    </row>
    <row r="743">
      <c r="A743" s="10"/>
      <c r="B743" s="10"/>
      <c r="C743" s="10"/>
      <c r="D743" s="10"/>
      <c r="E743" s="10"/>
      <c r="F743" s="11"/>
      <c r="G743" s="11"/>
      <c r="H743" s="11"/>
      <c r="I743" s="11"/>
      <c r="J743" s="11" t="str">
        <f>IFERROR(__xludf.DUMMYFUNCTION("iferror(if($B743="""", ,filter(Playoff_Stats!F:Z,Playoff_Stats!A:A=$B743,Playoff_Stats!B:B=$A743)))"),"")</f>
        <v/>
      </c>
      <c r="K743" s="11"/>
      <c r="L743" s="12"/>
      <c r="M743" s="11"/>
      <c r="N743" s="11"/>
      <c r="O743" s="13"/>
      <c r="P743" s="14"/>
      <c r="Q743" s="13"/>
      <c r="R743" s="13"/>
      <c r="S743" s="15"/>
      <c r="T743" s="16"/>
      <c r="U743" s="16"/>
      <c r="V743" s="16"/>
      <c r="W743" s="16"/>
      <c r="X743" s="16"/>
      <c r="Y743" s="11"/>
      <c r="Z743" s="11"/>
      <c r="AA743" s="11"/>
      <c r="AB743" s="11"/>
      <c r="AC743" s="11"/>
      <c r="AD743" s="11"/>
    </row>
    <row r="744">
      <c r="A744" s="10"/>
      <c r="B744" s="10"/>
      <c r="C744" s="10"/>
      <c r="D744" s="10"/>
      <c r="E744" s="10"/>
      <c r="F744" s="11"/>
      <c r="G744" s="11"/>
      <c r="H744" s="11"/>
      <c r="I744" s="11"/>
      <c r="J744" s="11" t="str">
        <f>IFERROR(__xludf.DUMMYFUNCTION("iferror(if($B744="""", ,filter(Playoff_Stats!F:Z,Playoff_Stats!A:A=$B744,Playoff_Stats!B:B=$A744)))"),"")</f>
        <v/>
      </c>
      <c r="K744" s="11"/>
      <c r="L744" s="12"/>
      <c r="M744" s="11"/>
      <c r="N744" s="11"/>
      <c r="O744" s="13"/>
      <c r="P744" s="14"/>
      <c r="Q744" s="13"/>
      <c r="R744" s="13"/>
      <c r="S744" s="15"/>
      <c r="T744" s="16"/>
      <c r="U744" s="16"/>
      <c r="V744" s="16"/>
      <c r="W744" s="16"/>
      <c r="X744" s="16"/>
      <c r="Y744" s="11"/>
      <c r="Z744" s="11"/>
      <c r="AA744" s="11"/>
      <c r="AB744" s="11"/>
      <c r="AC744" s="11"/>
      <c r="AD744" s="11"/>
    </row>
    <row r="745">
      <c r="A745" s="10"/>
      <c r="B745" s="10"/>
      <c r="C745" s="10"/>
      <c r="D745" s="10"/>
      <c r="E745" s="10"/>
      <c r="F745" s="11"/>
      <c r="G745" s="11"/>
      <c r="H745" s="11"/>
      <c r="I745" s="11"/>
      <c r="J745" s="11" t="str">
        <f>IFERROR(__xludf.DUMMYFUNCTION("iferror(if($B745="""", ,filter(Playoff_Stats!F:Z,Playoff_Stats!A:A=$B745,Playoff_Stats!B:B=$A745)))"),"")</f>
        <v/>
      </c>
      <c r="K745" s="11"/>
      <c r="L745" s="12"/>
      <c r="M745" s="11"/>
      <c r="N745" s="11"/>
      <c r="O745" s="13"/>
      <c r="P745" s="14"/>
      <c r="Q745" s="13"/>
      <c r="R745" s="13"/>
      <c r="S745" s="15"/>
      <c r="T745" s="16"/>
      <c r="U745" s="16"/>
      <c r="V745" s="16"/>
      <c r="W745" s="16"/>
      <c r="X745" s="16"/>
      <c r="Y745" s="11"/>
      <c r="Z745" s="11"/>
      <c r="AA745" s="11"/>
      <c r="AB745" s="11"/>
      <c r="AC745" s="11"/>
      <c r="AD745" s="11"/>
    </row>
    <row r="746">
      <c r="A746" s="10"/>
      <c r="B746" s="10"/>
      <c r="C746" s="10"/>
      <c r="D746" s="10"/>
      <c r="E746" s="10"/>
      <c r="F746" s="11"/>
      <c r="G746" s="11"/>
      <c r="H746" s="11"/>
      <c r="I746" s="11"/>
      <c r="J746" s="11" t="str">
        <f>IFERROR(__xludf.DUMMYFUNCTION("iferror(if($B746="""", ,filter(Playoff_Stats!F:Z,Playoff_Stats!A:A=$B746,Playoff_Stats!B:B=$A746)))"),"")</f>
        <v/>
      </c>
      <c r="K746" s="11"/>
      <c r="L746" s="12"/>
      <c r="M746" s="11"/>
      <c r="N746" s="11"/>
      <c r="O746" s="13"/>
      <c r="P746" s="14"/>
      <c r="Q746" s="13"/>
      <c r="R746" s="13"/>
      <c r="S746" s="15"/>
      <c r="T746" s="16"/>
      <c r="U746" s="16"/>
      <c r="V746" s="16"/>
      <c r="W746" s="16"/>
      <c r="X746" s="16"/>
      <c r="Y746" s="11"/>
      <c r="Z746" s="11"/>
      <c r="AA746" s="11"/>
      <c r="AB746" s="11"/>
      <c r="AC746" s="11"/>
      <c r="AD746" s="11"/>
    </row>
    <row r="747">
      <c r="A747" s="10"/>
      <c r="B747" s="10"/>
      <c r="C747" s="10"/>
      <c r="D747" s="10"/>
      <c r="E747" s="10"/>
      <c r="F747" s="11"/>
      <c r="G747" s="11"/>
      <c r="H747" s="11"/>
      <c r="I747" s="11"/>
      <c r="J747" s="11" t="str">
        <f>IFERROR(__xludf.DUMMYFUNCTION("iferror(if($B747="""", ,filter(Playoff_Stats!F:Z,Playoff_Stats!A:A=$B747,Playoff_Stats!B:B=$A747)))"),"")</f>
        <v/>
      </c>
      <c r="K747" s="11"/>
      <c r="L747" s="12"/>
      <c r="M747" s="11"/>
      <c r="N747" s="11"/>
      <c r="O747" s="13"/>
      <c r="P747" s="14"/>
      <c r="Q747" s="13"/>
      <c r="R747" s="13"/>
      <c r="S747" s="15"/>
      <c r="T747" s="16"/>
      <c r="U747" s="16"/>
      <c r="V747" s="16"/>
      <c r="W747" s="16"/>
      <c r="X747" s="16"/>
      <c r="Y747" s="11"/>
      <c r="Z747" s="11"/>
      <c r="AA747" s="11"/>
      <c r="AB747" s="11"/>
      <c r="AC747" s="11"/>
      <c r="AD747" s="11"/>
    </row>
    <row r="748">
      <c r="A748" s="10"/>
      <c r="B748" s="10"/>
      <c r="C748" s="10"/>
      <c r="D748" s="10"/>
      <c r="E748" s="10"/>
      <c r="F748" s="11"/>
      <c r="G748" s="11"/>
      <c r="H748" s="11"/>
      <c r="I748" s="11"/>
      <c r="J748" s="11" t="str">
        <f>IFERROR(__xludf.DUMMYFUNCTION("iferror(if($B748="""", ,filter(Playoff_Stats!F:Z,Playoff_Stats!A:A=$B748,Playoff_Stats!B:B=$A748)))"),"")</f>
        <v/>
      </c>
      <c r="K748" s="11"/>
      <c r="L748" s="12"/>
      <c r="M748" s="11"/>
      <c r="N748" s="11"/>
      <c r="O748" s="13"/>
      <c r="P748" s="14"/>
      <c r="Q748" s="13"/>
      <c r="R748" s="13"/>
      <c r="S748" s="15"/>
      <c r="T748" s="16"/>
      <c r="U748" s="16"/>
      <c r="V748" s="16"/>
      <c r="W748" s="16"/>
      <c r="X748" s="16"/>
      <c r="Y748" s="11"/>
      <c r="Z748" s="11"/>
      <c r="AA748" s="11"/>
      <c r="AB748" s="11"/>
      <c r="AC748" s="11"/>
      <c r="AD748" s="11"/>
    </row>
    <row r="749">
      <c r="A749" s="10"/>
      <c r="B749" s="10"/>
      <c r="C749" s="10"/>
      <c r="D749" s="10"/>
      <c r="E749" s="10"/>
      <c r="F749" s="11"/>
      <c r="G749" s="11"/>
      <c r="H749" s="11"/>
      <c r="I749" s="11"/>
      <c r="J749" s="11" t="str">
        <f>IFERROR(__xludf.DUMMYFUNCTION("iferror(if($B749="""", ,filter(Playoff_Stats!F:Z,Playoff_Stats!A:A=$B749,Playoff_Stats!B:B=$A749)))"),"")</f>
        <v/>
      </c>
      <c r="K749" s="11"/>
      <c r="L749" s="12"/>
      <c r="M749" s="11"/>
      <c r="N749" s="11"/>
      <c r="O749" s="13"/>
      <c r="P749" s="14"/>
      <c r="Q749" s="13"/>
      <c r="R749" s="13"/>
      <c r="S749" s="15"/>
      <c r="T749" s="16"/>
      <c r="U749" s="16"/>
      <c r="V749" s="16"/>
      <c r="W749" s="16"/>
      <c r="X749" s="16"/>
      <c r="Y749" s="11"/>
      <c r="Z749" s="11"/>
      <c r="AA749" s="11"/>
      <c r="AB749" s="11"/>
      <c r="AC749" s="11"/>
      <c r="AD749" s="11"/>
    </row>
    <row r="750">
      <c r="A750" s="10"/>
      <c r="B750" s="10"/>
      <c r="C750" s="10"/>
      <c r="D750" s="10"/>
      <c r="E750" s="10"/>
      <c r="F750" s="11"/>
      <c r="G750" s="11"/>
      <c r="H750" s="11"/>
      <c r="I750" s="11"/>
      <c r="J750" s="11" t="str">
        <f>IFERROR(__xludf.DUMMYFUNCTION("iferror(if($B750="""", ,filter(Playoff_Stats!F:Z,Playoff_Stats!A:A=$B750,Playoff_Stats!B:B=$A750)))"),"")</f>
        <v/>
      </c>
      <c r="K750" s="11"/>
      <c r="L750" s="12"/>
      <c r="M750" s="11"/>
      <c r="N750" s="11"/>
      <c r="O750" s="13"/>
      <c r="P750" s="14"/>
      <c r="Q750" s="13"/>
      <c r="R750" s="13"/>
      <c r="S750" s="15"/>
      <c r="T750" s="16"/>
      <c r="U750" s="16"/>
      <c r="V750" s="16"/>
      <c r="W750" s="16"/>
      <c r="X750" s="16"/>
      <c r="Y750" s="11"/>
      <c r="Z750" s="11"/>
      <c r="AA750" s="11"/>
      <c r="AB750" s="11"/>
      <c r="AC750" s="11"/>
      <c r="AD750" s="11"/>
    </row>
    <row r="751">
      <c r="A751" s="10"/>
      <c r="B751" s="10"/>
      <c r="C751" s="10"/>
      <c r="D751" s="10"/>
      <c r="E751" s="10"/>
      <c r="F751" s="11"/>
      <c r="G751" s="11"/>
      <c r="H751" s="11"/>
      <c r="I751" s="11"/>
      <c r="J751" s="11" t="str">
        <f>IFERROR(__xludf.DUMMYFUNCTION("iferror(if($B751="""", ,filter(Playoff_Stats!F:Z,Playoff_Stats!A:A=$B751,Playoff_Stats!B:B=$A751)))"),"")</f>
        <v/>
      </c>
      <c r="K751" s="11"/>
      <c r="L751" s="12"/>
      <c r="M751" s="11"/>
      <c r="N751" s="11"/>
      <c r="O751" s="13"/>
      <c r="P751" s="14"/>
      <c r="Q751" s="13"/>
      <c r="R751" s="13"/>
      <c r="S751" s="15"/>
      <c r="T751" s="16"/>
      <c r="U751" s="16"/>
      <c r="V751" s="16"/>
      <c r="W751" s="16"/>
      <c r="X751" s="16"/>
      <c r="Y751" s="11"/>
      <c r="Z751" s="11"/>
      <c r="AA751" s="11"/>
      <c r="AB751" s="11"/>
      <c r="AC751" s="11"/>
      <c r="AD751" s="11"/>
    </row>
    <row r="752">
      <c r="A752" s="10"/>
      <c r="B752" s="10"/>
      <c r="C752" s="10"/>
      <c r="D752" s="10"/>
      <c r="E752" s="10"/>
      <c r="F752" s="11"/>
      <c r="G752" s="11"/>
      <c r="H752" s="11"/>
      <c r="I752" s="11"/>
      <c r="J752" s="11" t="str">
        <f>IFERROR(__xludf.DUMMYFUNCTION("iferror(if($B752="""", ,filter(Playoff_Stats!F:Z,Playoff_Stats!A:A=$B752,Playoff_Stats!B:B=$A752)))"),"")</f>
        <v/>
      </c>
      <c r="K752" s="11"/>
      <c r="L752" s="12"/>
      <c r="M752" s="11"/>
      <c r="N752" s="11"/>
      <c r="O752" s="13"/>
      <c r="P752" s="14"/>
      <c r="Q752" s="13"/>
      <c r="R752" s="13"/>
      <c r="S752" s="15"/>
      <c r="T752" s="16"/>
      <c r="U752" s="16"/>
      <c r="V752" s="16"/>
      <c r="W752" s="16"/>
      <c r="X752" s="16"/>
      <c r="Y752" s="11"/>
      <c r="Z752" s="11"/>
      <c r="AA752" s="11"/>
      <c r="AB752" s="11"/>
      <c r="AC752" s="11"/>
      <c r="AD752" s="11"/>
    </row>
    <row r="753">
      <c r="A753" s="10"/>
      <c r="B753" s="10"/>
      <c r="C753" s="10"/>
      <c r="D753" s="10"/>
      <c r="E753" s="10"/>
      <c r="F753" s="11"/>
      <c r="G753" s="11"/>
      <c r="H753" s="11"/>
      <c r="I753" s="11"/>
      <c r="J753" s="11" t="str">
        <f>IFERROR(__xludf.DUMMYFUNCTION("iferror(if($B753="""", ,filter(Playoff_Stats!F:Z,Playoff_Stats!A:A=$B753,Playoff_Stats!B:B=$A753)))"),"")</f>
        <v/>
      </c>
      <c r="K753" s="11"/>
      <c r="L753" s="12"/>
      <c r="M753" s="11"/>
      <c r="N753" s="11"/>
      <c r="O753" s="13"/>
      <c r="P753" s="14"/>
      <c r="Q753" s="13"/>
      <c r="R753" s="13"/>
      <c r="S753" s="15"/>
      <c r="T753" s="16"/>
      <c r="U753" s="16"/>
      <c r="V753" s="16"/>
      <c r="W753" s="16"/>
      <c r="X753" s="16"/>
      <c r="Y753" s="11"/>
      <c r="Z753" s="11"/>
      <c r="AA753" s="11"/>
      <c r="AB753" s="11"/>
      <c r="AC753" s="11"/>
      <c r="AD753" s="11"/>
    </row>
    <row r="754">
      <c r="A754" s="10"/>
      <c r="B754" s="10"/>
      <c r="C754" s="10"/>
      <c r="D754" s="10"/>
      <c r="E754" s="10"/>
      <c r="F754" s="11"/>
      <c r="G754" s="11"/>
      <c r="H754" s="11"/>
      <c r="I754" s="11"/>
      <c r="J754" s="11" t="str">
        <f>IFERROR(__xludf.DUMMYFUNCTION("iferror(if($B754="""", ,filter(Playoff_Stats!F:Z,Playoff_Stats!A:A=$B754,Playoff_Stats!B:B=$A754)))"),"")</f>
        <v/>
      </c>
      <c r="K754" s="11"/>
      <c r="L754" s="12"/>
      <c r="M754" s="11"/>
      <c r="N754" s="11"/>
      <c r="O754" s="13"/>
      <c r="P754" s="14"/>
      <c r="Q754" s="13"/>
      <c r="R754" s="13"/>
      <c r="S754" s="15"/>
      <c r="T754" s="16"/>
      <c r="U754" s="16"/>
      <c r="V754" s="16"/>
      <c r="W754" s="16"/>
      <c r="X754" s="16"/>
      <c r="Y754" s="11"/>
      <c r="Z754" s="11"/>
      <c r="AA754" s="11"/>
      <c r="AB754" s="11"/>
      <c r="AC754" s="11"/>
      <c r="AD754" s="11"/>
    </row>
    <row r="755">
      <c r="A755" s="10"/>
      <c r="B755" s="10"/>
      <c r="C755" s="10"/>
      <c r="D755" s="10"/>
      <c r="E755" s="10"/>
      <c r="F755" s="11"/>
      <c r="G755" s="11"/>
      <c r="H755" s="11"/>
      <c r="I755" s="11"/>
      <c r="J755" s="11" t="str">
        <f>IFERROR(__xludf.DUMMYFUNCTION("iferror(if($B755="""", ,filter(Playoff_Stats!F:Z,Playoff_Stats!A:A=$B755,Playoff_Stats!B:B=$A755)))"),"")</f>
        <v/>
      </c>
      <c r="K755" s="11"/>
      <c r="L755" s="12"/>
      <c r="M755" s="11"/>
      <c r="N755" s="11"/>
      <c r="O755" s="13"/>
      <c r="P755" s="14"/>
      <c r="Q755" s="13"/>
      <c r="R755" s="13"/>
      <c r="S755" s="15"/>
      <c r="T755" s="16"/>
      <c r="U755" s="16"/>
      <c r="V755" s="16"/>
      <c r="W755" s="16"/>
      <c r="X755" s="16"/>
      <c r="Y755" s="11"/>
      <c r="Z755" s="11"/>
      <c r="AA755" s="11"/>
      <c r="AB755" s="11"/>
      <c r="AC755" s="11"/>
      <c r="AD755" s="11"/>
    </row>
    <row r="756">
      <c r="A756" s="10"/>
      <c r="B756" s="10"/>
      <c r="C756" s="10"/>
      <c r="D756" s="10"/>
      <c r="E756" s="10"/>
      <c r="F756" s="11"/>
      <c r="G756" s="11"/>
      <c r="H756" s="11"/>
      <c r="I756" s="11"/>
      <c r="J756" s="11" t="str">
        <f>IFERROR(__xludf.DUMMYFUNCTION("iferror(if($B756="""", ,filter(Playoff_Stats!F:Z,Playoff_Stats!A:A=$B756,Playoff_Stats!B:B=$A756)))"),"")</f>
        <v/>
      </c>
      <c r="K756" s="11"/>
      <c r="L756" s="12"/>
      <c r="M756" s="11"/>
      <c r="N756" s="11"/>
      <c r="O756" s="13"/>
      <c r="P756" s="14"/>
      <c r="Q756" s="13"/>
      <c r="R756" s="13"/>
      <c r="S756" s="15"/>
      <c r="T756" s="16"/>
      <c r="U756" s="16"/>
      <c r="V756" s="16"/>
      <c r="W756" s="16"/>
      <c r="X756" s="16"/>
      <c r="Y756" s="11"/>
      <c r="Z756" s="11"/>
      <c r="AA756" s="11"/>
      <c r="AB756" s="11"/>
      <c r="AC756" s="11"/>
      <c r="AD756" s="11"/>
    </row>
    <row r="757">
      <c r="A757" s="10"/>
      <c r="B757" s="10"/>
      <c r="C757" s="10"/>
      <c r="D757" s="10"/>
      <c r="E757" s="10"/>
      <c r="F757" s="11"/>
      <c r="G757" s="11"/>
      <c r="H757" s="11"/>
      <c r="I757" s="11"/>
      <c r="J757" s="11" t="str">
        <f>IFERROR(__xludf.DUMMYFUNCTION("iferror(if($B757="""", ,filter(Playoff_Stats!F:Z,Playoff_Stats!A:A=$B757,Playoff_Stats!B:B=$A757)))"),"")</f>
        <v/>
      </c>
      <c r="K757" s="11"/>
      <c r="L757" s="12"/>
      <c r="M757" s="11"/>
      <c r="N757" s="11"/>
      <c r="O757" s="13"/>
      <c r="P757" s="14"/>
      <c r="Q757" s="13"/>
      <c r="R757" s="13"/>
      <c r="S757" s="15"/>
      <c r="T757" s="16"/>
      <c r="U757" s="16"/>
      <c r="V757" s="16"/>
      <c r="W757" s="16"/>
      <c r="X757" s="16"/>
      <c r="Y757" s="11"/>
      <c r="Z757" s="11"/>
      <c r="AA757" s="11"/>
      <c r="AB757" s="11"/>
      <c r="AC757" s="11"/>
      <c r="AD757" s="11"/>
    </row>
    <row r="758">
      <c r="A758" s="10"/>
      <c r="B758" s="10"/>
      <c r="C758" s="10"/>
      <c r="D758" s="10"/>
      <c r="E758" s="10"/>
      <c r="F758" s="11"/>
      <c r="G758" s="11"/>
      <c r="H758" s="11"/>
      <c r="I758" s="11"/>
      <c r="J758" s="11" t="str">
        <f>IFERROR(__xludf.DUMMYFUNCTION("iferror(if($B758="""", ,filter(Playoff_Stats!F:Z,Playoff_Stats!A:A=$B758,Playoff_Stats!B:B=$A758)))"),"")</f>
        <v/>
      </c>
      <c r="K758" s="11"/>
      <c r="L758" s="12"/>
      <c r="M758" s="11"/>
      <c r="N758" s="11"/>
      <c r="O758" s="13"/>
      <c r="P758" s="14"/>
      <c r="Q758" s="13"/>
      <c r="R758" s="13"/>
      <c r="S758" s="15"/>
      <c r="T758" s="16"/>
      <c r="U758" s="16"/>
      <c r="V758" s="16"/>
      <c r="W758" s="16"/>
      <c r="X758" s="16"/>
      <c r="Y758" s="11"/>
      <c r="Z758" s="11"/>
      <c r="AA758" s="11"/>
      <c r="AB758" s="11"/>
      <c r="AC758" s="11"/>
      <c r="AD758" s="11"/>
    </row>
    <row r="759">
      <c r="A759" s="10"/>
      <c r="B759" s="10"/>
      <c r="C759" s="10"/>
      <c r="D759" s="10"/>
      <c r="E759" s="10"/>
      <c r="F759" s="11"/>
      <c r="G759" s="11"/>
      <c r="H759" s="11"/>
      <c r="I759" s="11"/>
      <c r="J759" s="11" t="str">
        <f>IFERROR(__xludf.DUMMYFUNCTION("iferror(if($B759="""", ,filter(Playoff_Stats!F:Z,Playoff_Stats!A:A=$B759,Playoff_Stats!B:B=$A759)))"),"")</f>
        <v/>
      </c>
      <c r="K759" s="11"/>
      <c r="L759" s="12"/>
      <c r="M759" s="11"/>
      <c r="N759" s="11"/>
      <c r="O759" s="13"/>
      <c r="P759" s="14"/>
      <c r="Q759" s="13"/>
      <c r="R759" s="13"/>
      <c r="S759" s="15"/>
      <c r="T759" s="16"/>
      <c r="U759" s="16"/>
      <c r="V759" s="16"/>
      <c r="W759" s="16"/>
      <c r="X759" s="16"/>
      <c r="Y759" s="11"/>
      <c r="Z759" s="11"/>
      <c r="AA759" s="11"/>
      <c r="AB759" s="11"/>
      <c r="AC759" s="11"/>
      <c r="AD759" s="11"/>
    </row>
    <row r="760">
      <c r="A760" s="10"/>
      <c r="B760" s="10"/>
      <c r="C760" s="10"/>
      <c r="D760" s="10"/>
      <c r="E760" s="10"/>
      <c r="F760" s="11"/>
      <c r="G760" s="11"/>
      <c r="H760" s="11"/>
      <c r="I760" s="11"/>
      <c r="J760" s="11" t="str">
        <f>IFERROR(__xludf.DUMMYFUNCTION("iferror(if($B760="""", ,filter(Playoff_Stats!F:Z,Playoff_Stats!A:A=$B760,Playoff_Stats!B:B=$A760)))"),"")</f>
        <v/>
      </c>
      <c r="K760" s="11"/>
      <c r="L760" s="12"/>
      <c r="M760" s="11"/>
      <c r="N760" s="11"/>
      <c r="O760" s="13"/>
      <c r="P760" s="14"/>
      <c r="Q760" s="13"/>
      <c r="R760" s="13"/>
      <c r="S760" s="15"/>
      <c r="T760" s="16"/>
      <c r="U760" s="16"/>
      <c r="V760" s="16"/>
      <c r="W760" s="16"/>
      <c r="X760" s="16"/>
      <c r="Y760" s="11"/>
      <c r="Z760" s="11"/>
      <c r="AA760" s="11"/>
      <c r="AB760" s="11"/>
      <c r="AC760" s="11"/>
      <c r="AD760" s="11"/>
    </row>
    <row r="761">
      <c r="A761" s="10"/>
      <c r="B761" s="10"/>
      <c r="C761" s="10"/>
      <c r="D761" s="10"/>
      <c r="E761" s="10"/>
      <c r="F761" s="11"/>
      <c r="G761" s="11"/>
      <c r="H761" s="11"/>
      <c r="I761" s="11"/>
      <c r="J761" s="11" t="str">
        <f>IFERROR(__xludf.DUMMYFUNCTION("iferror(if($B761="""", ,filter(Playoff_Stats!F:Z,Playoff_Stats!A:A=$B761,Playoff_Stats!B:B=$A761)))"),"")</f>
        <v/>
      </c>
      <c r="K761" s="11"/>
      <c r="L761" s="12"/>
      <c r="M761" s="11"/>
      <c r="N761" s="11"/>
      <c r="O761" s="13"/>
      <c r="P761" s="14"/>
      <c r="Q761" s="13"/>
      <c r="R761" s="13"/>
      <c r="S761" s="15"/>
      <c r="T761" s="16"/>
      <c r="U761" s="16"/>
      <c r="V761" s="16"/>
      <c r="W761" s="16"/>
      <c r="X761" s="16"/>
      <c r="Y761" s="11"/>
      <c r="Z761" s="11"/>
      <c r="AA761" s="11"/>
      <c r="AB761" s="11"/>
      <c r="AC761" s="11"/>
      <c r="AD761" s="11"/>
    </row>
    <row r="762">
      <c r="A762" s="10"/>
      <c r="B762" s="10"/>
      <c r="C762" s="10"/>
      <c r="D762" s="10"/>
      <c r="E762" s="10"/>
      <c r="F762" s="11"/>
      <c r="G762" s="11"/>
      <c r="H762" s="11"/>
      <c r="I762" s="11"/>
      <c r="J762" s="11" t="str">
        <f>IFERROR(__xludf.DUMMYFUNCTION("iferror(if($B762="""", ,filter(Playoff_Stats!F:Z,Playoff_Stats!A:A=$B762,Playoff_Stats!B:B=$A762)))"),"")</f>
        <v/>
      </c>
      <c r="K762" s="11"/>
      <c r="L762" s="12"/>
      <c r="M762" s="11"/>
      <c r="N762" s="11"/>
      <c r="O762" s="13"/>
      <c r="P762" s="14"/>
      <c r="Q762" s="13"/>
      <c r="R762" s="13"/>
      <c r="S762" s="15"/>
      <c r="T762" s="16"/>
      <c r="U762" s="16"/>
      <c r="V762" s="16"/>
      <c r="W762" s="16"/>
      <c r="X762" s="16"/>
      <c r="Y762" s="11"/>
      <c r="Z762" s="11"/>
      <c r="AA762" s="11"/>
      <c r="AB762" s="11"/>
      <c r="AC762" s="11"/>
      <c r="AD762" s="11"/>
    </row>
    <row r="763">
      <c r="A763" s="10"/>
      <c r="B763" s="10"/>
      <c r="C763" s="10"/>
      <c r="D763" s="10"/>
      <c r="E763" s="10"/>
      <c r="F763" s="11"/>
      <c r="G763" s="11"/>
      <c r="H763" s="11"/>
      <c r="I763" s="11"/>
      <c r="J763" s="11" t="str">
        <f>IFERROR(__xludf.DUMMYFUNCTION("iferror(if($B763="""", ,filter(Playoff_Stats!F:Z,Playoff_Stats!A:A=$B763,Playoff_Stats!B:B=$A763)))"),"")</f>
        <v/>
      </c>
      <c r="K763" s="11"/>
      <c r="L763" s="12"/>
      <c r="M763" s="11"/>
      <c r="N763" s="11"/>
      <c r="O763" s="13"/>
      <c r="P763" s="14"/>
      <c r="Q763" s="13"/>
      <c r="R763" s="13"/>
      <c r="S763" s="15"/>
      <c r="T763" s="16"/>
      <c r="U763" s="16"/>
      <c r="V763" s="16"/>
      <c r="W763" s="16"/>
      <c r="X763" s="16"/>
      <c r="Y763" s="11"/>
      <c r="Z763" s="11"/>
      <c r="AA763" s="11"/>
      <c r="AB763" s="11"/>
      <c r="AC763" s="11"/>
      <c r="AD763" s="11"/>
    </row>
    <row r="764">
      <c r="A764" s="10"/>
      <c r="B764" s="10"/>
      <c r="C764" s="10"/>
      <c r="D764" s="10"/>
      <c r="E764" s="10"/>
      <c r="F764" s="11"/>
      <c r="G764" s="11"/>
      <c r="H764" s="11"/>
      <c r="I764" s="11"/>
      <c r="J764" s="11" t="str">
        <f>IFERROR(__xludf.DUMMYFUNCTION("iferror(if($B764="""", ,filter(Playoff_Stats!F:Z,Playoff_Stats!A:A=$B764,Playoff_Stats!B:B=$A764)))"),"")</f>
        <v/>
      </c>
      <c r="K764" s="11"/>
      <c r="L764" s="12"/>
      <c r="M764" s="11"/>
      <c r="N764" s="11"/>
      <c r="O764" s="13"/>
      <c r="P764" s="14"/>
      <c r="Q764" s="13"/>
      <c r="R764" s="13"/>
      <c r="S764" s="15"/>
      <c r="T764" s="16"/>
      <c r="U764" s="16"/>
      <c r="V764" s="16"/>
      <c r="W764" s="16"/>
      <c r="X764" s="16"/>
      <c r="Y764" s="11"/>
      <c r="Z764" s="11"/>
      <c r="AA764" s="11"/>
      <c r="AB764" s="11"/>
      <c r="AC764" s="11"/>
      <c r="AD764" s="11"/>
    </row>
    <row r="765">
      <c r="A765" s="10"/>
      <c r="B765" s="10"/>
      <c r="C765" s="10"/>
      <c r="D765" s="10"/>
      <c r="E765" s="10"/>
      <c r="F765" s="11"/>
      <c r="G765" s="11"/>
      <c r="H765" s="11"/>
      <c r="I765" s="11"/>
      <c r="J765" s="11" t="str">
        <f>IFERROR(__xludf.DUMMYFUNCTION("iferror(if($B765="""", ,filter(Playoff_Stats!F:Z,Playoff_Stats!A:A=$B765,Playoff_Stats!B:B=$A765)))"),"")</f>
        <v/>
      </c>
      <c r="K765" s="11"/>
      <c r="L765" s="12"/>
      <c r="M765" s="11"/>
      <c r="N765" s="11"/>
      <c r="O765" s="13"/>
      <c r="P765" s="14"/>
      <c r="Q765" s="13"/>
      <c r="R765" s="13"/>
      <c r="S765" s="15"/>
      <c r="T765" s="16"/>
      <c r="U765" s="16"/>
      <c r="V765" s="16"/>
      <c r="W765" s="16"/>
      <c r="X765" s="16"/>
      <c r="Y765" s="11"/>
      <c r="Z765" s="11"/>
      <c r="AA765" s="11"/>
      <c r="AB765" s="11"/>
      <c r="AC765" s="11"/>
      <c r="AD765" s="11"/>
    </row>
    <row r="766">
      <c r="A766" s="10"/>
      <c r="B766" s="10"/>
      <c r="C766" s="10"/>
      <c r="D766" s="10"/>
      <c r="E766" s="10"/>
      <c r="F766" s="11"/>
      <c r="G766" s="11"/>
      <c r="H766" s="11"/>
      <c r="I766" s="11"/>
      <c r="J766" s="11" t="str">
        <f>IFERROR(__xludf.DUMMYFUNCTION("iferror(if($B766="""", ,filter(Playoff_Stats!F:Z,Playoff_Stats!A:A=$B766,Playoff_Stats!B:B=$A766)))"),"")</f>
        <v/>
      </c>
      <c r="K766" s="11"/>
      <c r="L766" s="12"/>
      <c r="M766" s="11"/>
      <c r="N766" s="11"/>
      <c r="O766" s="13"/>
      <c r="P766" s="14"/>
      <c r="Q766" s="13"/>
      <c r="R766" s="13"/>
      <c r="S766" s="15"/>
      <c r="T766" s="16"/>
      <c r="U766" s="16"/>
      <c r="V766" s="16"/>
      <c r="W766" s="16"/>
      <c r="X766" s="16"/>
      <c r="Y766" s="11"/>
      <c r="Z766" s="11"/>
      <c r="AA766" s="11"/>
      <c r="AB766" s="11"/>
      <c r="AC766" s="11"/>
      <c r="AD766" s="11"/>
    </row>
    <row r="767">
      <c r="A767" s="10"/>
      <c r="B767" s="10"/>
      <c r="C767" s="10"/>
      <c r="D767" s="10"/>
      <c r="E767" s="10"/>
      <c r="F767" s="11"/>
      <c r="G767" s="11"/>
      <c r="H767" s="11"/>
      <c r="I767" s="11"/>
      <c r="J767" s="11" t="str">
        <f>IFERROR(__xludf.DUMMYFUNCTION("iferror(if($B767="""", ,filter(Playoff_Stats!F:Z,Playoff_Stats!A:A=$B767,Playoff_Stats!B:B=$A767)))"),"")</f>
        <v/>
      </c>
      <c r="K767" s="11"/>
      <c r="L767" s="12"/>
      <c r="M767" s="11"/>
      <c r="N767" s="11"/>
      <c r="O767" s="13"/>
      <c r="P767" s="14"/>
      <c r="Q767" s="13"/>
      <c r="R767" s="13"/>
      <c r="S767" s="15"/>
      <c r="T767" s="16"/>
      <c r="U767" s="16"/>
      <c r="V767" s="16"/>
      <c r="W767" s="16"/>
      <c r="X767" s="16"/>
      <c r="Y767" s="11"/>
      <c r="Z767" s="11"/>
      <c r="AA767" s="11"/>
      <c r="AB767" s="11"/>
      <c r="AC767" s="11"/>
      <c r="AD767" s="11"/>
    </row>
    <row r="768">
      <c r="A768" s="10"/>
      <c r="B768" s="10"/>
      <c r="C768" s="10"/>
      <c r="D768" s="10"/>
      <c r="E768" s="10"/>
      <c r="F768" s="11"/>
      <c r="G768" s="11"/>
      <c r="H768" s="11"/>
      <c r="I768" s="11"/>
      <c r="J768" s="11" t="str">
        <f>IFERROR(__xludf.DUMMYFUNCTION("iferror(if($B768="""", ,filter(Playoff_Stats!F:Z,Playoff_Stats!A:A=$B768,Playoff_Stats!B:B=$A768)))"),"")</f>
        <v/>
      </c>
      <c r="K768" s="11"/>
      <c r="L768" s="12"/>
      <c r="M768" s="11"/>
      <c r="N768" s="11"/>
      <c r="O768" s="13"/>
      <c r="P768" s="14"/>
      <c r="Q768" s="13"/>
      <c r="R768" s="13"/>
      <c r="S768" s="15"/>
      <c r="T768" s="16"/>
      <c r="U768" s="16"/>
      <c r="V768" s="16"/>
      <c r="W768" s="16"/>
      <c r="X768" s="16"/>
      <c r="Y768" s="11"/>
      <c r="Z768" s="11"/>
      <c r="AA768" s="11"/>
      <c r="AB768" s="11"/>
      <c r="AC768" s="11"/>
      <c r="AD768" s="11"/>
    </row>
    <row r="769">
      <c r="A769" s="10"/>
      <c r="B769" s="10"/>
      <c r="C769" s="10"/>
      <c r="D769" s="10"/>
      <c r="E769" s="10"/>
      <c r="F769" s="11"/>
      <c r="G769" s="11"/>
      <c r="H769" s="11"/>
      <c r="I769" s="11"/>
      <c r="J769" s="11" t="str">
        <f>IFERROR(__xludf.DUMMYFUNCTION("iferror(if($B769="""", ,filter(Playoff_Stats!F:Z,Playoff_Stats!A:A=$B769,Playoff_Stats!B:B=$A769)))"),"")</f>
        <v/>
      </c>
      <c r="K769" s="11"/>
      <c r="L769" s="12"/>
      <c r="M769" s="11"/>
      <c r="N769" s="11"/>
      <c r="O769" s="13"/>
      <c r="P769" s="14"/>
      <c r="Q769" s="13"/>
      <c r="R769" s="13"/>
      <c r="S769" s="15"/>
      <c r="T769" s="16"/>
      <c r="U769" s="16"/>
      <c r="V769" s="16"/>
      <c r="W769" s="16"/>
      <c r="X769" s="16"/>
      <c r="Y769" s="11"/>
      <c r="Z769" s="11"/>
      <c r="AA769" s="11"/>
      <c r="AB769" s="11"/>
      <c r="AC769" s="11"/>
      <c r="AD769" s="11"/>
    </row>
    <row r="770">
      <c r="A770" s="10"/>
      <c r="B770" s="10"/>
      <c r="C770" s="10"/>
      <c r="D770" s="10"/>
      <c r="E770" s="10"/>
      <c r="F770" s="11"/>
      <c r="G770" s="11"/>
      <c r="H770" s="11"/>
      <c r="I770" s="11"/>
      <c r="J770" s="11" t="str">
        <f>IFERROR(__xludf.DUMMYFUNCTION("iferror(if($B770="""", ,filter(Playoff_Stats!F:Z,Playoff_Stats!A:A=$B770,Playoff_Stats!B:B=$A770)))"),"")</f>
        <v/>
      </c>
      <c r="K770" s="11"/>
      <c r="L770" s="12"/>
      <c r="M770" s="11"/>
      <c r="N770" s="11"/>
      <c r="O770" s="13"/>
      <c r="P770" s="14"/>
      <c r="Q770" s="13"/>
      <c r="R770" s="13"/>
      <c r="S770" s="15"/>
      <c r="T770" s="16"/>
      <c r="U770" s="16"/>
      <c r="V770" s="16"/>
      <c r="W770" s="16"/>
      <c r="X770" s="16"/>
      <c r="Y770" s="11"/>
      <c r="Z770" s="11"/>
      <c r="AA770" s="11"/>
      <c r="AB770" s="11"/>
      <c r="AC770" s="11"/>
      <c r="AD770" s="11"/>
    </row>
    <row r="771">
      <c r="A771" s="10"/>
      <c r="B771" s="10"/>
      <c r="C771" s="10"/>
      <c r="D771" s="10"/>
      <c r="E771" s="10"/>
      <c r="F771" s="11"/>
      <c r="G771" s="11"/>
      <c r="H771" s="11"/>
      <c r="I771" s="11"/>
      <c r="J771" s="11" t="str">
        <f>IFERROR(__xludf.DUMMYFUNCTION("iferror(if($B771="""", ,filter(Playoff_Stats!F:Z,Playoff_Stats!A:A=$B771,Playoff_Stats!B:B=$A771)))"),"")</f>
        <v/>
      </c>
      <c r="K771" s="11"/>
      <c r="L771" s="12"/>
      <c r="M771" s="11"/>
      <c r="N771" s="11"/>
      <c r="O771" s="13"/>
      <c r="P771" s="14"/>
      <c r="Q771" s="13"/>
      <c r="R771" s="13"/>
      <c r="S771" s="15"/>
      <c r="T771" s="16"/>
      <c r="U771" s="16"/>
      <c r="V771" s="16"/>
      <c r="W771" s="16"/>
      <c r="X771" s="16"/>
      <c r="Y771" s="11"/>
      <c r="Z771" s="11"/>
      <c r="AA771" s="11"/>
      <c r="AB771" s="11"/>
      <c r="AC771" s="11"/>
      <c r="AD771" s="11"/>
    </row>
    <row r="772">
      <c r="A772" s="10"/>
      <c r="B772" s="10"/>
      <c r="C772" s="10"/>
      <c r="D772" s="10"/>
      <c r="E772" s="10"/>
      <c r="F772" s="11"/>
      <c r="G772" s="11"/>
      <c r="H772" s="11"/>
      <c r="I772" s="11"/>
      <c r="J772" s="11" t="str">
        <f>IFERROR(__xludf.DUMMYFUNCTION("iferror(if($B772="""", ,filter(Playoff_Stats!F:Z,Playoff_Stats!A:A=$B772,Playoff_Stats!B:B=$A772)))"),"")</f>
        <v/>
      </c>
      <c r="K772" s="11"/>
      <c r="L772" s="12"/>
      <c r="M772" s="11"/>
      <c r="N772" s="11"/>
      <c r="O772" s="13"/>
      <c r="P772" s="14"/>
      <c r="Q772" s="13"/>
      <c r="R772" s="13"/>
      <c r="S772" s="15"/>
      <c r="T772" s="16"/>
      <c r="U772" s="16"/>
      <c r="V772" s="16"/>
      <c r="W772" s="16"/>
      <c r="X772" s="16"/>
      <c r="Y772" s="11"/>
      <c r="Z772" s="11"/>
      <c r="AA772" s="11"/>
      <c r="AB772" s="11"/>
      <c r="AC772" s="11"/>
      <c r="AD772" s="11"/>
    </row>
    <row r="773">
      <c r="A773" s="10"/>
      <c r="B773" s="10"/>
      <c r="C773" s="10"/>
      <c r="D773" s="10"/>
      <c r="E773" s="10"/>
      <c r="F773" s="11"/>
      <c r="G773" s="11"/>
      <c r="H773" s="11"/>
      <c r="I773" s="11"/>
      <c r="J773" s="11" t="str">
        <f>IFERROR(__xludf.DUMMYFUNCTION("iferror(if($B773="""", ,filter(Playoff_Stats!F:Z,Playoff_Stats!A:A=$B773,Playoff_Stats!B:B=$A773)))"),"")</f>
        <v/>
      </c>
      <c r="K773" s="11"/>
      <c r="L773" s="12"/>
      <c r="M773" s="11"/>
      <c r="N773" s="11"/>
      <c r="O773" s="13"/>
      <c r="P773" s="14"/>
      <c r="Q773" s="13"/>
      <c r="R773" s="13"/>
      <c r="S773" s="15"/>
      <c r="T773" s="16"/>
      <c r="U773" s="16"/>
      <c r="V773" s="16"/>
      <c r="W773" s="16"/>
      <c r="X773" s="16"/>
      <c r="Y773" s="11"/>
      <c r="Z773" s="11"/>
      <c r="AA773" s="11"/>
      <c r="AB773" s="11"/>
      <c r="AC773" s="11"/>
      <c r="AD773" s="11"/>
    </row>
    <row r="774">
      <c r="A774" s="10"/>
      <c r="B774" s="10"/>
      <c r="C774" s="10"/>
      <c r="D774" s="10"/>
      <c r="E774" s="10"/>
      <c r="F774" s="11"/>
      <c r="G774" s="11"/>
      <c r="H774" s="11"/>
      <c r="I774" s="11"/>
      <c r="J774" s="11" t="str">
        <f>IFERROR(__xludf.DUMMYFUNCTION("iferror(if($B774="""", ,filter(Playoff_Stats!F:Z,Playoff_Stats!A:A=$B774,Playoff_Stats!B:B=$A774)))"),"")</f>
        <v/>
      </c>
      <c r="K774" s="11"/>
      <c r="L774" s="12"/>
      <c r="M774" s="11"/>
      <c r="N774" s="11"/>
      <c r="O774" s="13"/>
      <c r="P774" s="14"/>
      <c r="Q774" s="13"/>
      <c r="R774" s="13"/>
      <c r="S774" s="15"/>
      <c r="T774" s="16"/>
      <c r="U774" s="16"/>
      <c r="V774" s="16"/>
      <c r="W774" s="16"/>
      <c r="X774" s="16"/>
      <c r="Y774" s="11"/>
      <c r="Z774" s="11"/>
      <c r="AA774" s="11"/>
      <c r="AB774" s="11"/>
      <c r="AC774" s="11"/>
      <c r="AD774" s="11"/>
    </row>
    <row r="775">
      <c r="A775" s="10"/>
      <c r="B775" s="10"/>
      <c r="C775" s="10"/>
      <c r="D775" s="10"/>
      <c r="E775" s="10"/>
      <c r="F775" s="11"/>
      <c r="G775" s="11"/>
      <c r="H775" s="11"/>
      <c r="I775" s="11"/>
      <c r="J775" s="11" t="str">
        <f>IFERROR(__xludf.DUMMYFUNCTION("iferror(if($B775="""", ,filter(Playoff_Stats!F:Z,Playoff_Stats!A:A=$B775,Playoff_Stats!B:B=$A775)))"),"")</f>
        <v/>
      </c>
      <c r="K775" s="11"/>
      <c r="L775" s="12"/>
      <c r="M775" s="11"/>
      <c r="N775" s="11"/>
      <c r="O775" s="13"/>
      <c r="P775" s="14"/>
      <c r="Q775" s="13"/>
      <c r="R775" s="13"/>
      <c r="S775" s="15"/>
      <c r="T775" s="16"/>
      <c r="U775" s="16"/>
      <c r="V775" s="16"/>
      <c r="W775" s="16"/>
      <c r="X775" s="16"/>
      <c r="Y775" s="11"/>
      <c r="Z775" s="11"/>
      <c r="AA775" s="11"/>
      <c r="AB775" s="11"/>
      <c r="AC775" s="11"/>
      <c r="AD775" s="11"/>
    </row>
    <row r="776">
      <c r="A776" s="10"/>
      <c r="B776" s="10"/>
      <c r="C776" s="10"/>
      <c r="D776" s="10"/>
      <c r="E776" s="10"/>
      <c r="F776" s="11"/>
      <c r="G776" s="11"/>
      <c r="H776" s="11"/>
      <c r="I776" s="11"/>
      <c r="J776" s="11" t="str">
        <f>IFERROR(__xludf.DUMMYFUNCTION("iferror(if($B776="""", ,filter(Playoff_Stats!F:Z,Playoff_Stats!A:A=$B776,Playoff_Stats!B:B=$A776)))"),"")</f>
        <v/>
      </c>
      <c r="K776" s="11"/>
      <c r="L776" s="12"/>
      <c r="M776" s="11"/>
      <c r="N776" s="11"/>
      <c r="O776" s="13"/>
      <c r="P776" s="14"/>
      <c r="Q776" s="13"/>
      <c r="R776" s="13"/>
      <c r="S776" s="15"/>
      <c r="T776" s="16"/>
      <c r="U776" s="16"/>
      <c r="V776" s="16"/>
      <c r="W776" s="16"/>
      <c r="X776" s="16"/>
      <c r="Y776" s="11"/>
      <c r="Z776" s="11"/>
      <c r="AA776" s="11"/>
      <c r="AB776" s="11"/>
      <c r="AC776" s="11"/>
      <c r="AD776" s="11"/>
    </row>
    <row r="777">
      <c r="A777" s="10"/>
      <c r="B777" s="10"/>
      <c r="C777" s="10"/>
      <c r="D777" s="10"/>
      <c r="E777" s="10"/>
      <c r="F777" s="11"/>
      <c r="G777" s="11"/>
      <c r="H777" s="11"/>
      <c r="I777" s="11"/>
      <c r="J777" s="11" t="str">
        <f>IFERROR(__xludf.DUMMYFUNCTION("iferror(if($B777="""", ,filter(Playoff_Stats!F:Z,Playoff_Stats!A:A=$B777,Playoff_Stats!B:B=$A777)))"),"")</f>
        <v/>
      </c>
      <c r="K777" s="11"/>
      <c r="L777" s="12"/>
      <c r="M777" s="11"/>
      <c r="N777" s="11"/>
      <c r="O777" s="13"/>
      <c r="P777" s="14"/>
      <c r="Q777" s="13"/>
      <c r="R777" s="13"/>
      <c r="S777" s="15"/>
      <c r="T777" s="16"/>
      <c r="U777" s="16"/>
      <c r="V777" s="16"/>
      <c r="W777" s="16"/>
      <c r="X777" s="16"/>
      <c r="Y777" s="11"/>
      <c r="Z777" s="11"/>
      <c r="AA777" s="11"/>
      <c r="AB777" s="11"/>
      <c r="AC777" s="11"/>
      <c r="AD777" s="11"/>
    </row>
    <row r="778">
      <c r="A778" s="10"/>
      <c r="B778" s="10"/>
      <c r="C778" s="10"/>
      <c r="D778" s="10"/>
      <c r="E778" s="10"/>
      <c r="F778" s="11"/>
      <c r="G778" s="11"/>
      <c r="H778" s="11"/>
      <c r="I778" s="11"/>
      <c r="J778" s="11" t="str">
        <f>IFERROR(__xludf.DUMMYFUNCTION("iferror(if($B778="""", ,filter(Playoff_Stats!F:Z,Playoff_Stats!A:A=$B778,Playoff_Stats!B:B=$A778)))"),"")</f>
        <v/>
      </c>
      <c r="K778" s="11"/>
      <c r="L778" s="12"/>
      <c r="M778" s="11"/>
      <c r="N778" s="11"/>
      <c r="O778" s="13"/>
      <c r="P778" s="14"/>
      <c r="Q778" s="13"/>
      <c r="R778" s="13"/>
      <c r="S778" s="15"/>
      <c r="T778" s="16"/>
      <c r="U778" s="16"/>
      <c r="V778" s="16"/>
      <c r="W778" s="16"/>
      <c r="X778" s="16"/>
      <c r="Y778" s="11"/>
      <c r="Z778" s="11"/>
      <c r="AA778" s="11"/>
      <c r="AB778" s="11"/>
      <c r="AC778" s="11"/>
      <c r="AD778" s="11"/>
    </row>
    <row r="779">
      <c r="A779" s="10"/>
      <c r="B779" s="10"/>
      <c r="C779" s="10"/>
      <c r="D779" s="10"/>
      <c r="E779" s="10"/>
      <c r="F779" s="11"/>
      <c r="G779" s="11"/>
      <c r="H779" s="11"/>
      <c r="I779" s="11"/>
      <c r="J779" s="11" t="str">
        <f>IFERROR(__xludf.DUMMYFUNCTION("iferror(if($B779="""", ,filter(Playoff_Stats!F:Z,Playoff_Stats!A:A=$B779,Playoff_Stats!B:B=$A779)))"),"")</f>
        <v/>
      </c>
      <c r="K779" s="11"/>
      <c r="L779" s="12"/>
      <c r="M779" s="11"/>
      <c r="N779" s="11"/>
      <c r="O779" s="13"/>
      <c r="P779" s="14"/>
      <c r="Q779" s="13"/>
      <c r="R779" s="13"/>
      <c r="S779" s="15"/>
      <c r="T779" s="16"/>
      <c r="U779" s="16"/>
      <c r="V779" s="16"/>
      <c r="W779" s="16"/>
      <c r="X779" s="16"/>
      <c r="Y779" s="11"/>
      <c r="Z779" s="11"/>
      <c r="AA779" s="11"/>
      <c r="AB779" s="11"/>
      <c r="AC779" s="11"/>
      <c r="AD779" s="11"/>
    </row>
    <row r="780">
      <c r="A780" s="10"/>
      <c r="B780" s="10"/>
      <c r="C780" s="10"/>
      <c r="D780" s="10"/>
      <c r="E780" s="10"/>
      <c r="F780" s="11"/>
      <c r="G780" s="11"/>
      <c r="H780" s="11"/>
      <c r="I780" s="11"/>
      <c r="J780" s="11" t="str">
        <f>IFERROR(__xludf.DUMMYFUNCTION("iferror(if($B780="""", ,filter(Playoff_Stats!F:Z,Playoff_Stats!A:A=$B780,Playoff_Stats!B:B=$A780)))"),"")</f>
        <v/>
      </c>
      <c r="K780" s="11"/>
      <c r="L780" s="12"/>
      <c r="M780" s="11"/>
      <c r="N780" s="11"/>
      <c r="O780" s="13"/>
      <c r="P780" s="14"/>
      <c r="Q780" s="13"/>
      <c r="R780" s="13"/>
      <c r="S780" s="15"/>
      <c r="T780" s="16"/>
      <c r="U780" s="16"/>
      <c r="V780" s="16"/>
      <c r="W780" s="16"/>
      <c r="X780" s="16"/>
      <c r="Y780" s="11"/>
      <c r="Z780" s="11"/>
      <c r="AA780" s="11"/>
      <c r="AB780" s="11"/>
      <c r="AC780" s="11"/>
      <c r="AD780" s="11"/>
    </row>
    <row r="781">
      <c r="A781" s="10"/>
      <c r="B781" s="10"/>
      <c r="C781" s="10"/>
      <c r="D781" s="10"/>
      <c r="E781" s="10"/>
      <c r="F781" s="11"/>
      <c r="G781" s="11"/>
      <c r="H781" s="11"/>
      <c r="I781" s="11"/>
      <c r="J781" s="11" t="str">
        <f>IFERROR(__xludf.DUMMYFUNCTION("iferror(if($B781="""", ,filter(Playoff_Stats!F:Z,Playoff_Stats!A:A=$B781,Playoff_Stats!B:B=$A781)))"),"")</f>
        <v/>
      </c>
      <c r="K781" s="11"/>
      <c r="L781" s="12"/>
      <c r="M781" s="11"/>
      <c r="N781" s="11"/>
      <c r="O781" s="13"/>
      <c r="P781" s="14"/>
      <c r="Q781" s="13"/>
      <c r="R781" s="13"/>
      <c r="S781" s="15"/>
      <c r="T781" s="16"/>
      <c r="U781" s="16"/>
      <c r="V781" s="16"/>
      <c r="W781" s="16"/>
      <c r="X781" s="16"/>
      <c r="Y781" s="11"/>
      <c r="Z781" s="11"/>
      <c r="AA781" s="11"/>
      <c r="AB781" s="11"/>
      <c r="AC781" s="11"/>
      <c r="AD781" s="11"/>
    </row>
    <row r="782">
      <c r="A782" s="10"/>
      <c r="B782" s="10"/>
      <c r="C782" s="10"/>
      <c r="D782" s="10"/>
      <c r="E782" s="10"/>
      <c r="F782" s="11"/>
      <c r="G782" s="11"/>
      <c r="H782" s="11"/>
      <c r="I782" s="11"/>
      <c r="J782" s="11" t="str">
        <f>IFERROR(__xludf.DUMMYFUNCTION("iferror(if($B782="""", ,filter(Playoff_Stats!F:Z,Playoff_Stats!A:A=$B782,Playoff_Stats!B:B=$A782)))"),"")</f>
        <v/>
      </c>
      <c r="K782" s="11"/>
      <c r="L782" s="12"/>
      <c r="M782" s="11"/>
      <c r="N782" s="11"/>
      <c r="O782" s="13"/>
      <c r="P782" s="14"/>
      <c r="Q782" s="13"/>
      <c r="R782" s="13"/>
      <c r="S782" s="15"/>
      <c r="T782" s="16"/>
      <c r="U782" s="16"/>
      <c r="V782" s="16"/>
      <c r="W782" s="16"/>
      <c r="X782" s="16"/>
      <c r="Y782" s="11"/>
      <c r="Z782" s="11"/>
      <c r="AA782" s="11"/>
      <c r="AB782" s="11"/>
      <c r="AC782" s="11"/>
      <c r="AD782" s="11"/>
    </row>
    <row r="783">
      <c r="A783" s="10"/>
      <c r="B783" s="10"/>
      <c r="C783" s="10"/>
      <c r="D783" s="10"/>
      <c r="E783" s="10"/>
      <c r="F783" s="11"/>
      <c r="G783" s="11"/>
      <c r="H783" s="11"/>
      <c r="I783" s="11"/>
      <c r="J783" s="11" t="str">
        <f>IFERROR(__xludf.DUMMYFUNCTION("iferror(if($B783="""", ,filter(Playoff_Stats!F:Z,Playoff_Stats!A:A=$B783,Playoff_Stats!B:B=$A783)))"),"")</f>
        <v/>
      </c>
      <c r="K783" s="11"/>
      <c r="L783" s="12"/>
      <c r="M783" s="11"/>
      <c r="N783" s="11"/>
      <c r="O783" s="13"/>
      <c r="P783" s="14"/>
      <c r="Q783" s="13"/>
      <c r="R783" s="13"/>
      <c r="S783" s="15"/>
      <c r="T783" s="16"/>
      <c r="U783" s="16"/>
      <c r="V783" s="16"/>
      <c r="W783" s="16"/>
      <c r="X783" s="16"/>
      <c r="Y783" s="11"/>
      <c r="Z783" s="11"/>
      <c r="AA783" s="11"/>
      <c r="AB783" s="11"/>
      <c r="AC783" s="11"/>
      <c r="AD783" s="11"/>
    </row>
    <row r="784">
      <c r="A784" s="10"/>
      <c r="B784" s="10"/>
      <c r="C784" s="10"/>
      <c r="D784" s="10"/>
      <c r="E784" s="10"/>
      <c r="F784" s="11"/>
      <c r="G784" s="11"/>
      <c r="H784" s="11"/>
      <c r="I784" s="11"/>
      <c r="J784" s="11" t="str">
        <f>IFERROR(__xludf.DUMMYFUNCTION("iferror(if($B784="""", ,filter(Playoff_Stats!F:Z,Playoff_Stats!A:A=$B784,Playoff_Stats!B:B=$A784)))"),"")</f>
        <v/>
      </c>
      <c r="K784" s="11"/>
      <c r="L784" s="12"/>
      <c r="M784" s="11"/>
      <c r="N784" s="11"/>
      <c r="O784" s="13"/>
      <c r="P784" s="14"/>
      <c r="Q784" s="13"/>
      <c r="R784" s="13"/>
      <c r="S784" s="15"/>
      <c r="T784" s="16"/>
      <c r="U784" s="16"/>
      <c r="V784" s="16"/>
      <c r="W784" s="16"/>
      <c r="X784" s="16"/>
      <c r="Y784" s="11"/>
      <c r="Z784" s="11"/>
      <c r="AA784" s="11"/>
      <c r="AB784" s="11"/>
      <c r="AC784" s="11"/>
      <c r="AD784" s="11"/>
    </row>
    <row r="785">
      <c r="A785" s="10"/>
      <c r="B785" s="10"/>
      <c r="C785" s="10"/>
      <c r="D785" s="10"/>
      <c r="E785" s="10"/>
      <c r="F785" s="11"/>
      <c r="G785" s="11"/>
      <c r="H785" s="11"/>
      <c r="I785" s="11"/>
      <c r="J785" s="11" t="str">
        <f>IFERROR(__xludf.DUMMYFUNCTION("iferror(if($B785="""", ,filter(Playoff_Stats!F:Z,Playoff_Stats!A:A=$B785,Playoff_Stats!B:B=$A785)))"),"")</f>
        <v/>
      </c>
      <c r="K785" s="11"/>
      <c r="L785" s="12"/>
      <c r="M785" s="11"/>
      <c r="N785" s="11"/>
      <c r="O785" s="13"/>
      <c r="P785" s="14"/>
      <c r="Q785" s="13"/>
      <c r="R785" s="13"/>
      <c r="S785" s="15"/>
      <c r="T785" s="16"/>
      <c r="U785" s="16"/>
      <c r="V785" s="16"/>
      <c r="W785" s="16"/>
      <c r="X785" s="16"/>
      <c r="Y785" s="11"/>
      <c r="Z785" s="11"/>
      <c r="AA785" s="11"/>
      <c r="AB785" s="11"/>
      <c r="AC785" s="11"/>
      <c r="AD785" s="11"/>
    </row>
    <row r="786">
      <c r="A786" s="10"/>
      <c r="B786" s="10"/>
      <c r="C786" s="10"/>
      <c r="D786" s="10"/>
      <c r="E786" s="10"/>
      <c r="F786" s="11"/>
      <c r="G786" s="11"/>
      <c r="H786" s="11"/>
      <c r="I786" s="11"/>
      <c r="J786" s="11" t="str">
        <f>IFERROR(__xludf.DUMMYFUNCTION("iferror(if($B786="""", ,filter(Playoff_Stats!F:Z,Playoff_Stats!A:A=$B786,Playoff_Stats!B:B=$A786)))"),"")</f>
        <v/>
      </c>
      <c r="K786" s="11"/>
      <c r="L786" s="12"/>
      <c r="M786" s="11"/>
      <c r="N786" s="11"/>
      <c r="O786" s="13"/>
      <c r="P786" s="14"/>
      <c r="Q786" s="13"/>
      <c r="R786" s="13"/>
      <c r="S786" s="15"/>
      <c r="T786" s="16"/>
      <c r="U786" s="16"/>
      <c r="V786" s="16"/>
      <c r="W786" s="16"/>
      <c r="X786" s="16"/>
      <c r="Y786" s="11"/>
      <c r="Z786" s="11"/>
      <c r="AA786" s="11"/>
      <c r="AB786" s="11"/>
      <c r="AC786" s="11"/>
      <c r="AD786" s="11"/>
    </row>
    <row r="787">
      <c r="A787" s="10"/>
      <c r="B787" s="10"/>
      <c r="C787" s="10"/>
      <c r="D787" s="10"/>
      <c r="E787" s="10"/>
      <c r="F787" s="11"/>
      <c r="G787" s="11"/>
      <c r="H787" s="11"/>
      <c r="I787" s="11"/>
      <c r="J787" s="11" t="str">
        <f>IFERROR(__xludf.DUMMYFUNCTION("iferror(if($B787="""", ,filter(Playoff_Stats!F:Z,Playoff_Stats!A:A=$B787,Playoff_Stats!B:B=$A787)))"),"")</f>
        <v/>
      </c>
      <c r="K787" s="11"/>
      <c r="L787" s="12"/>
      <c r="M787" s="11"/>
      <c r="N787" s="11"/>
      <c r="O787" s="13"/>
      <c r="P787" s="14"/>
      <c r="Q787" s="13"/>
      <c r="R787" s="13"/>
      <c r="S787" s="15"/>
      <c r="T787" s="16"/>
      <c r="U787" s="16"/>
      <c r="V787" s="16"/>
      <c r="W787" s="16"/>
      <c r="X787" s="16"/>
      <c r="Y787" s="11"/>
      <c r="Z787" s="11"/>
      <c r="AA787" s="11"/>
      <c r="AB787" s="11"/>
      <c r="AC787" s="11"/>
      <c r="AD787" s="11"/>
    </row>
    <row r="788">
      <c r="A788" s="10"/>
      <c r="B788" s="10"/>
      <c r="C788" s="10"/>
      <c r="D788" s="10"/>
      <c r="E788" s="10"/>
      <c r="F788" s="11"/>
      <c r="G788" s="11"/>
      <c r="H788" s="11"/>
      <c r="I788" s="11"/>
      <c r="J788" s="11" t="str">
        <f>IFERROR(__xludf.DUMMYFUNCTION("iferror(if($B788="""", ,filter(Playoff_Stats!F:Z,Playoff_Stats!A:A=$B788,Playoff_Stats!B:B=$A788)))"),"")</f>
        <v/>
      </c>
      <c r="K788" s="11"/>
      <c r="L788" s="12"/>
      <c r="M788" s="11"/>
      <c r="N788" s="11"/>
      <c r="O788" s="13"/>
      <c r="P788" s="14"/>
      <c r="Q788" s="13"/>
      <c r="R788" s="13"/>
      <c r="S788" s="15"/>
      <c r="T788" s="16"/>
      <c r="U788" s="16"/>
      <c r="V788" s="16"/>
      <c r="W788" s="16"/>
      <c r="X788" s="16"/>
      <c r="Y788" s="11"/>
      <c r="Z788" s="11"/>
      <c r="AA788" s="11"/>
      <c r="AB788" s="11"/>
      <c r="AC788" s="11"/>
      <c r="AD788" s="11"/>
    </row>
    <row r="789">
      <c r="A789" s="10"/>
      <c r="B789" s="10"/>
      <c r="C789" s="10"/>
      <c r="D789" s="10"/>
      <c r="E789" s="10"/>
      <c r="F789" s="11"/>
      <c r="G789" s="11"/>
      <c r="H789" s="11"/>
      <c r="I789" s="11"/>
      <c r="J789" s="11" t="str">
        <f>IFERROR(__xludf.DUMMYFUNCTION("iferror(if($B789="""", ,filter(Playoff_Stats!F:Z,Playoff_Stats!A:A=$B789,Playoff_Stats!B:B=$A789)))"),"")</f>
        <v/>
      </c>
      <c r="K789" s="11"/>
      <c r="L789" s="12"/>
      <c r="M789" s="11"/>
      <c r="N789" s="11"/>
      <c r="O789" s="13"/>
      <c r="P789" s="14"/>
      <c r="Q789" s="13"/>
      <c r="R789" s="13"/>
      <c r="S789" s="15"/>
      <c r="T789" s="16"/>
      <c r="U789" s="16"/>
      <c r="V789" s="16"/>
      <c r="W789" s="16"/>
      <c r="X789" s="16"/>
      <c r="Y789" s="11"/>
      <c r="Z789" s="11"/>
      <c r="AA789" s="11"/>
      <c r="AB789" s="11"/>
      <c r="AC789" s="11"/>
      <c r="AD789" s="11"/>
    </row>
    <row r="790">
      <c r="A790" s="10"/>
      <c r="B790" s="10"/>
      <c r="C790" s="10"/>
      <c r="D790" s="10"/>
      <c r="E790" s="10"/>
      <c r="F790" s="11"/>
      <c r="G790" s="11"/>
      <c r="H790" s="11"/>
      <c r="I790" s="11"/>
      <c r="J790" s="11" t="str">
        <f>IFERROR(__xludf.DUMMYFUNCTION("iferror(if($B790="""", ,filter(Playoff_Stats!F:Z,Playoff_Stats!A:A=$B790,Playoff_Stats!B:B=$A790)))"),"")</f>
        <v/>
      </c>
      <c r="K790" s="11"/>
      <c r="L790" s="12"/>
      <c r="M790" s="11"/>
      <c r="N790" s="11"/>
      <c r="O790" s="13"/>
      <c r="P790" s="14"/>
      <c r="Q790" s="13"/>
      <c r="R790" s="13"/>
      <c r="S790" s="15"/>
      <c r="T790" s="16"/>
      <c r="U790" s="16"/>
      <c r="V790" s="16"/>
      <c r="W790" s="16"/>
      <c r="X790" s="16"/>
      <c r="Y790" s="11"/>
      <c r="Z790" s="11"/>
      <c r="AA790" s="11"/>
      <c r="AB790" s="11"/>
      <c r="AC790" s="11"/>
      <c r="AD790" s="11"/>
    </row>
    <row r="791">
      <c r="A791" s="10"/>
      <c r="B791" s="10"/>
      <c r="C791" s="10"/>
      <c r="D791" s="10"/>
      <c r="E791" s="10"/>
      <c r="F791" s="11"/>
      <c r="G791" s="11"/>
      <c r="H791" s="11"/>
      <c r="I791" s="11"/>
      <c r="J791" s="11" t="str">
        <f>IFERROR(__xludf.DUMMYFUNCTION("iferror(if($B791="""", ,filter(Playoff_Stats!F:Z,Playoff_Stats!A:A=$B791,Playoff_Stats!B:B=$A791)))"),"")</f>
        <v/>
      </c>
      <c r="K791" s="11"/>
      <c r="L791" s="12"/>
      <c r="M791" s="11"/>
      <c r="N791" s="11"/>
      <c r="O791" s="13"/>
      <c r="P791" s="14"/>
      <c r="Q791" s="13"/>
      <c r="R791" s="13"/>
      <c r="S791" s="15"/>
      <c r="T791" s="16"/>
      <c r="U791" s="16"/>
      <c r="V791" s="16"/>
      <c r="W791" s="16"/>
      <c r="X791" s="16"/>
      <c r="Y791" s="11"/>
      <c r="Z791" s="11"/>
      <c r="AA791" s="11"/>
      <c r="AB791" s="11"/>
      <c r="AC791" s="11"/>
      <c r="AD791" s="11"/>
    </row>
    <row r="792">
      <c r="A792" s="10"/>
      <c r="B792" s="10"/>
      <c r="C792" s="10"/>
      <c r="D792" s="10"/>
      <c r="E792" s="10"/>
      <c r="F792" s="11"/>
      <c r="G792" s="11"/>
      <c r="H792" s="11"/>
      <c r="I792" s="11"/>
      <c r="J792" s="11" t="str">
        <f>IFERROR(__xludf.DUMMYFUNCTION("iferror(if($B792="""", ,filter(Playoff_Stats!F:Z,Playoff_Stats!A:A=$B792,Playoff_Stats!B:B=$A792)))"),"")</f>
        <v/>
      </c>
      <c r="K792" s="11"/>
      <c r="L792" s="12"/>
      <c r="M792" s="11"/>
      <c r="N792" s="11"/>
      <c r="O792" s="13"/>
      <c r="P792" s="14"/>
      <c r="Q792" s="13"/>
      <c r="R792" s="13"/>
      <c r="S792" s="15"/>
      <c r="T792" s="16"/>
      <c r="U792" s="16"/>
      <c r="V792" s="16"/>
      <c r="W792" s="16"/>
      <c r="X792" s="16"/>
      <c r="Y792" s="11"/>
      <c r="Z792" s="11"/>
      <c r="AA792" s="11"/>
      <c r="AB792" s="11"/>
      <c r="AC792" s="11"/>
      <c r="AD792" s="11"/>
    </row>
    <row r="793">
      <c r="A793" s="10"/>
      <c r="B793" s="10"/>
      <c r="C793" s="10"/>
      <c r="D793" s="10"/>
      <c r="E793" s="10"/>
      <c r="F793" s="11"/>
      <c r="G793" s="11"/>
      <c r="H793" s="11"/>
      <c r="I793" s="11"/>
      <c r="J793" s="11" t="str">
        <f>IFERROR(__xludf.DUMMYFUNCTION("iferror(if($B793="""", ,filter(Playoff_Stats!F:Z,Playoff_Stats!A:A=$B793,Playoff_Stats!B:B=$A793)))"),"")</f>
        <v/>
      </c>
      <c r="K793" s="11"/>
      <c r="L793" s="12"/>
      <c r="M793" s="11"/>
      <c r="N793" s="11"/>
      <c r="O793" s="13"/>
      <c r="P793" s="14"/>
      <c r="Q793" s="13"/>
      <c r="R793" s="13"/>
      <c r="S793" s="15"/>
      <c r="T793" s="16"/>
      <c r="U793" s="16"/>
      <c r="V793" s="16"/>
      <c r="W793" s="16"/>
      <c r="X793" s="16"/>
      <c r="Y793" s="11"/>
      <c r="Z793" s="11"/>
      <c r="AA793" s="11"/>
      <c r="AB793" s="11"/>
      <c r="AC793" s="11"/>
      <c r="AD793" s="11"/>
    </row>
    <row r="794">
      <c r="A794" s="10"/>
      <c r="B794" s="10"/>
      <c r="C794" s="10"/>
      <c r="D794" s="10"/>
      <c r="E794" s="10"/>
      <c r="F794" s="11"/>
      <c r="G794" s="11"/>
      <c r="H794" s="11"/>
      <c r="I794" s="11"/>
      <c r="J794" s="11" t="str">
        <f>IFERROR(__xludf.DUMMYFUNCTION("iferror(if($B794="""", ,filter(Playoff_Stats!F:Z,Playoff_Stats!A:A=$B794,Playoff_Stats!B:B=$A794)))"),"")</f>
        <v/>
      </c>
      <c r="K794" s="11"/>
      <c r="L794" s="12"/>
      <c r="M794" s="11"/>
      <c r="N794" s="11"/>
      <c r="O794" s="13"/>
      <c r="P794" s="14"/>
      <c r="Q794" s="13"/>
      <c r="R794" s="13"/>
      <c r="S794" s="15"/>
      <c r="T794" s="16"/>
      <c r="U794" s="16"/>
      <c r="V794" s="16"/>
      <c r="W794" s="16"/>
      <c r="X794" s="16"/>
      <c r="Y794" s="11"/>
      <c r="Z794" s="11"/>
      <c r="AA794" s="11"/>
      <c r="AB794" s="11"/>
      <c r="AC794" s="11"/>
      <c r="AD794" s="11"/>
    </row>
    <row r="795">
      <c r="A795" s="10"/>
      <c r="B795" s="10"/>
      <c r="C795" s="10"/>
      <c r="D795" s="10"/>
      <c r="E795" s="10"/>
      <c r="F795" s="11"/>
      <c r="G795" s="11"/>
      <c r="H795" s="11"/>
      <c r="I795" s="11"/>
      <c r="J795" s="11" t="str">
        <f>IFERROR(__xludf.DUMMYFUNCTION("iferror(if($B795="""", ,filter(Playoff_Stats!F:Z,Playoff_Stats!A:A=$B795,Playoff_Stats!B:B=$A795)))"),"")</f>
        <v/>
      </c>
      <c r="K795" s="11"/>
      <c r="L795" s="12"/>
      <c r="M795" s="11"/>
      <c r="N795" s="11"/>
      <c r="O795" s="13"/>
      <c r="P795" s="14"/>
      <c r="Q795" s="13"/>
      <c r="R795" s="13"/>
      <c r="S795" s="15"/>
      <c r="T795" s="16"/>
      <c r="U795" s="16"/>
      <c r="V795" s="16"/>
      <c r="W795" s="16"/>
      <c r="X795" s="16"/>
      <c r="Y795" s="11"/>
      <c r="Z795" s="11"/>
      <c r="AA795" s="11"/>
      <c r="AB795" s="11"/>
      <c r="AC795" s="11"/>
      <c r="AD795" s="11"/>
    </row>
    <row r="796">
      <c r="A796" s="10"/>
      <c r="B796" s="10"/>
      <c r="C796" s="10"/>
      <c r="D796" s="10"/>
      <c r="E796" s="10"/>
      <c r="F796" s="11"/>
      <c r="G796" s="11"/>
      <c r="H796" s="11"/>
      <c r="I796" s="11"/>
      <c r="J796" s="11" t="str">
        <f>IFERROR(__xludf.DUMMYFUNCTION("iferror(if($B796="""", ,filter(Playoff_Stats!F:Z,Playoff_Stats!A:A=$B796,Playoff_Stats!B:B=$A796)))"),"")</f>
        <v/>
      </c>
      <c r="K796" s="11"/>
      <c r="L796" s="12"/>
      <c r="M796" s="11"/>
      <c r="N796" s="11"/>
      <c r="O796" s="13"/>
      <c r="P796" s="14"/>
      <c r="Q796" s="13"/>
      <c r="R796" s="13"/>
      <c r="S796" s="15"/>
      <c r="T796" s="16"/>
      <c r="U796" s="16"/>
      <c r="V796" s="16"/>
      <c r="W796" s="16"/>
      <c r="X796" s="16"/>
      <c r="Y796" s="11"/>
      <c r="Z796" s="11"/>
      <c r="AA796" s="11"/>
      <c r="AB796" s="11"/>
      <c r="AC796" s="11"/>
      <c r="AD796" s="11"/>
    </row>
    <row r="797">
      <c r="A797" s="10"/>
      <c r="B797" s="10"/>
      <c r="C797" s="10"/>
      <c r="D797" s="10"/>
      <c r="E797" s="10"/>
      <c r="F797" s="11"/>
      <c r="G797" s="11"/>
      <c r="H797" s="11"/>
      <c r="I797" s="11"/>
      <c r="J797" s="11" t="str">
        <f>IFERROR(__xludf.DUMMYFUNCTION("iferror(if($B797="""", ,filter(Playoff_Stats!F:Z,Playoff_Stats!A:A=$B797,Playoff_Stats!B:B=$A797)))"),"")</f>
        <v/>
      </c>
      <c r="K797" s="11"/>
      <c r="L797" s="12"/>
      <c r="M797" s="11"/>
      <c r="N797" s="11"/>
      <c r="O797" s="13"/>
      <c r="P797" s="14"/>
      <c r="Q797" s="13"/>
      <c r="R797" s="13"/>
      <c r="S797" s="15"/>
      <c r="T797" s="16"/>
      <c r="U797" s="16"/>
      <c r="V797" s="16"/>
      <c r="W797" s="16"/>
      <c r="X797" s="16"/>
      <c r="Y797" s="11"/>
      <c r="Z797" s="11"/>
      <c r="AA797" s="11"/>
      <c r="AB797" s="11"/>
      <c r="AC797" s="11"/>
      <c r="AD797" s="11"/>
    </row>
    <row r="798">
      <c r="A798" s="10"/>
      <c r="B798" s="10"/>
      <c r="C798" s="10"/>
      <c r="D798" s="10"/>
      <c r="E798" s="10"/>
      <c r="F798" s="11"/>
      <c r="G798" s="11"/>
      <c r="H798" s="11"/>
      <c r="I798" s="11"/>
      <c r="J798" s="11" t="str">
        <f>IFERROR(__xludf.DUMMYFUNCTION("iferror(if($B798="""", ,filter(Playoff_Stats!F:Z,Playoff_Stats!A:A=$B798,Playoff_Stats!B:B=$A798)))"),"")</f>
        <v/>
      </c>
      <c r="K798" s="11"/>
      <c r="L798" s="12"/>
      <c r="M798" s="11"/>
      <c r="N798" s="11"/>
      <c r="O798" s="13"/>
      <c r="P798" s="14"/>
      <c r="Q798" s="13"/>
      <c r="R798" s="13"/>
      <c r="S798" s="15"/>
      <c r="T798" s="16"/>
      <c r="U798" s="16"/>
      <c r="V798" s="16"/>
      <c r="W798" s="16"/>
      <c r="X798" s="16"/>
      <c r="Y798" s="11"/>
      <c r="Z798" s="11"/>
      <c r="AA798" s="11"/>
      <c r="AB798" s="11"/>
      <c r="AC798" s="11"/>
      <c r="AD798" s="11"/>
    </row>
    <row r="799">
      <c r="A799" s="10"/>
      <c r="B799" s="10"/>
      <c r="C799" s="10"/>
      <c r="D799" s="10"/>
      <c r="E799" s="10"/>
      <c r="F799" s="11"/>
      <c r="G799" s="11"/>
      <c r="H799" s="11"/>
      <c r="I799" s="11"/>
      <c r="J799" s="11" t="str">
        <f>IFERROR(__xludf.DUMMYFUNCTION("iferror(if($B799="""", ,filter(Playoff_Stats!F:Z,Playoff_Stats!A:A=$B799,Playoff_Stats!B:B=$A799)))"),"")</f>
        <v/>
      </c>
      <c r="K799" s="11"/>
      <c r="L799" s="12"/>
      <c r="M799" s="11"/>
      <c r="N799" s="11"/>
      <c r="O799" s="13"/>
      <c r="P799" s="14"/>
      <c r="Q799" s="13"/>
      <c r="R799" s="13"/>
      <c r="S799" s="15"/>
      <c r="T799" s="16"/>
      <c r="U799" s="16"/>
      <c r="V799" s="16"/>
      <c r="W799" s="16"/>
      <c r="X799" s="16"/>
      <c r="Y799" s="11"/>
      <c r="Z799" s="11"/>
      <c r="AA799" s="11"/>
      <c r="AB799" s="11"/>
      <c r="AC799" s="11"/>
      <c r="AD799" s="11"/>
    </row>
    <row r="800">
      <c r="A800" s="10"/>
      <c r="B800" s="10"/>
      <c r="C800" s="10"/>
      <c r="D800" s="10"/>
      <c r="E800" s="10"/>
      <c r="F800" s="11"/>
      <c r="G800" s="11"/>
      <c r="H800" s="11"/>
      <c r="I800" s="11"/>
      <c r="J800" s="11" t="str">
        <f>IFERROR(__xludf.DUMMYFUNCTION("iferror(if($B800="""", ,filter(Playoff_Stats!F:Z,Playoff_Stats!A:A=$B800,Playoff_Stats!B:B=$A800)))"),"")</f>
        <v/>
      </c>
      <c r="K800" s="11"/>
      <c r="L800" s="12"/>
      <c r="M800" s="11"/>
      <c r="N800" s="11"/>
      <c r="O800" s="13"/>
      <c r="P800" s="14"/>
      <c r="Q800" s="13"/>
      <c r="R800" s="13"/>
      <c r="S800" s="15"/>
      <c r="T800" s="16"/>
      <c r="U800" s="16"/>
      <c r="V800" s="16"/>
      <c r="W800" s="16"/>
      <c r="X800" s="16"/>
      <c r="Y800" s="11"/>
      <c r="Z800" s="11"/>
      <c r="AA800" s="11"/>
      <c r="AB800" s="11"/>
      <c r="AC800" s="11"/>
      <c r="AD800" s="11"/>
    </row>
    <row r="801">
      <c r="A801" s="10"/>
      <c r="B801" s="10"/>
      <c r="C801" s="10"/>
      <c r="D801" s="10"/>
      <c r="E801" s="10"/>
      <c r="F801" s="11"/>
      <c r="G801" s="11"/>
      <c r="H801" s="11"/>
      <c r="I801" s="11"/>
      <c r="J801" s="11" t="str">
        <f>IFERROR(__xludf.DUMMYFUNCTION("iferror(if($B801="""", ,filter(Playoff_Stats!F:Z,Playoff_Stats!A:A=$B801,Playoff_Stats!B:B=$A801)))"),"")</f>
        <v/>
      </c>
      <c r="K801" s="11"/>
      <c r="L801" s="12"/>
      <c r="M801" s="11"/>
      <c r="N801" s="11"/>
      <c r="O801" s="13"/>
      <c r="P801" s="14"/>
      <c r="Q801" s="13"/>
      <c r="R801" s="13"/>
      <c r="S801" s="15"/>
      <c r="T801" s="16"/>
      <c r="U801" s="16"/>
      <c r="V801" s="16"/>
      <c r="W801" s="16"/>
      <c r="X801" s="16"/>
      <c r="Y801" s="11"/>
      <c r="Z801" s="11"/>
      <c r="AA801" s="11"/>
      <c r="AB801" s="11"/>
      <c r="AC801" s="11"/>
      <c r="AD801" s="11"/>
    </row>
    <row r="802">
      <c r="A802" s="10"/>
      <c r="B802" s="10"/>
      <c r="C802" s="10"/>
      <c r="D802" s="10"/>
      <c r="E802" s="10"/>
      <c r="F802" s="11"/>
      <c r="G802" s="11"/>
      <c r="H802" s="11"/>
      <c r="I802" s="11"/>
      <c r="J802" s="11" t="str">
        <f>IFERROR(__xludf.DUMMYFUNCTION("iferror(if($B802="""", ,filter(Playoff_Stats!F:Z,Playoff_Stats!A:A=$B802,Playoff_Stats!B:B=$A802)))"),"")</f>
        <v/>
      </c>
      <c r="K802" s="11"/>
      <c r="L802" s="12"/>
      <c r="M802" s="11"/>
      <c r="N802" s="11"/>
      <c r="O802" s="13"/>
      <c r="P802" s="14"/>
      <c r="Q802" s="13"/>
      <c r="R802" s="13"/>
      <c r="S802" s="15"/>
      <c r="T802" s="16"/>
      <c r="U802" s="16"/>
      <c r="V802" s="16"/>
      <c r="W802" s="16"/>
      <c r="X802" s="16"/>
      <c r="Y802" s="11"/>
      <c r="Z802" s="11"/>
      <c r="AA802" s="11"/>
      <c r="AB802" s="11"/>
      <c r="AC802" s="11"/>
      <c r="AD802" s="11"/>
    </row>
    <row r="803">
      <c r="A803" s="10"/>
      <c r="B803" s="10"/>
      <c r="C803" s="10"/>
      <c r="D803" s="10"/>
      <c r="E803" s="10"/>
      <c r="F803" s="11"/>
      <c r="G803" s="11"/>
      <c r="H803" s="11"/>
      <c r="I803" s="11"/>
      <c r="J803" s="11" t="str">
        <f>IFERROR(__xludf.DUMMYFUNCTION("iferror(if($B803="""", ,filter(Playoff_Stats!F:Z,Playoff_Stats!A:A=$B803,Playoff_Stats!B:B=$A803)))"),"")</f>
        <v/>
      </c>
      <c r="K803" s="11"/>
      <c r="L803" s="12"/>
      <c r="M803" s="11"/>
      <c r="N803" s="11"/>
      <c r="O803" s="13"/>
      <c r="P803" s="14"/>
      <c r="Q803" s="13"/>
      <c r="R803" s="13"/>
      <c r="S803" s="15"/>
      <c r="T803" s="16"/>
      <c r="U803" s="16"/>
      <c r="V803" s="16"/>
      <c r="W803" s="16"/>
      <c r="X803" s="16"/>
      <c r="Y803" s="11"/>
      <c r="Z803" s="11"/>
      <c r="AA803" s="11"/>
      <c r="AB803" s="11"/>
      <c r="AC803" s="11"/>
      <c r="AD803" s="11"/>
    </row>
    <row r="804">
      <c r="A804" s="10"/>
      <c r="B804" s="10"/>
      <c r="C804" s="10"/>
      <c r="D804" s="10"/>
      <c r="E804" s="10"/>
      <c r="F804" s="11"/>
      <c r="G804" s="11"/>
      <c r="H804" s="11"/>
      <c r="I804" s="11"/>
      <c r="J804" s="11" t="str">
        <f>IFERROR(__xludf.DUMMYFUNCTION("iferror(if($B804="""", ,filter(Playoff_Stats!F:Z,Playoff_Stats!A:A=$B804,Playoff_Stats!B:B=$A804)))"),"")</f>
        <v/>
      </c>
      <c r="K804" s="11"/>
      <c r="L804" s="12"/>
      <c r="M804" s="11"/>
      <c r="N804" s="11"/>
      <c r="O804" s="13"/>
      <c r="P804" s="14"/>
      <c r="Q804" s="13"/>
      <c r="R804" s="13"/>
      <c r="S804" s="15"/>
      <c r="T804" s="16"/>
      <c r="U804" s="16"/>
      <c r="V804" s="16"/>
      <c r="W804" s="16"/>
      <c r="X804" s="16"/>
      <c r="Y804" s="11"/>
      <c r="Z804" s="11"/>
      <c r="AA804" s="11"/>
      <c r="AB804" s="11"/>
      <c r="AC804" s="11"/>
      <c r="AD804" s="11"/>
    </row>
    <row r="805">
      <c r="A805" s="10"/>
      <c r="B805" s="10"/>
      <c r="C805" s="10"/>
      <c r="D805" s="10"/>
      <c r="E805" s="10"/>
      <c r="F805" s="11"/>
      <c r="G805" s="11"/>
      <c r="H805" s="11"/>
      <c r="I805" s="11"/>
      <c r="J805" s="11" t="str">
        <f>IFERROR(__xludf.DUMMYFUNCTION("iferror(if($B805="""", ,filter(Playoff_Stats!F:Z,Playoff_Stats!A:A=$B805,Playoff_Stats!B:B=$A805)))"),"")</f>
        <v/>
      </c>
      <c r="K805" s="11"/>
      <c r="L805" s="12"/>
      <c r="M805" s="11"/>
      <c r="N805" s="11"/>
      <c r="O805" s="13"/>
      <c r="P805" s="14"/>
      <c r="Q805" s="13"/>
      <c r="R805" s="13"/>
      <c r="S805" s="15"/>
      <c r="T805" s="16"/>
      <c r="U805" s="16"/>
      <c r="V805" s="16"/>
      <c r="W805" s="16"/>
      <c r="X805" s="16"/>
      <c r="Y805" s="11"/>
      <c r="Z805" s="11"/>
      <c r="AA805" s="11"/>
      <c r="AB805" s="11"/>
      <c r="AC805" s="11"/>
      <c r="AD805" s="11"/>
    </row>
    <row r="806">
      <c r="A806" s="10"/>
      <c r="B806" s="10"/>
      <c r="C806" s="10"/>
      <c r="D806" s="10"/>
      <c r="E806" s="10"/>
      <c r="F806" s="11"/>
      <c r="G806" s="11"/>
      <c r="H806" s="11"/>
      <c r="I806" s="11"/>
      <c r="J806" s="11" t="str">
        <f>IFERROR(__xludf.DUMMYFUNCTION("iferror(if($B806="""", ,filter(Playoff_Stats!F:Z,Playoff_Stats!A:A=$B806,Playoff_Stats!B:B=$A806)))"),"")</f>
        <v/>
      </c>
      <c r="K806" s="11"/>
      <c r="L806" s="12"/>
      <c r="M806" s="11"/>
      <c r="N806" s="11"/>
      <c r="O806" s="13"/>
      <c r="P806" s="14"/>
      <c r="Q806" s="13"/>
      <c r="R806" s="13"/>
      <c r="S806" s="15"/>
      <c r="T806" s="16"/>
      <c r="U806" s="16"/>
      <c r="V806" s="16"/>
      <c r="W806" s="16"/>
      <c r="X806" s="16"/>
      <c r="Y806" s="11"/>
      <c r="Z806" s="11"/>
      <c r="AA806" s="11"/>
      <c r="AB806" s="11"/>
      <c r="AC806" s="11"/>
      <c r="AD806" s="11"/>
    </row>
    <row r="807">
      <c r="A807" s="10"/>
      <c r="B807" s="10"/>
      <c r="C807" s="10"/>
      <c r="D807" s="10"/>
      <c r="E807" s="10"/>
      <c r="F807" s="11"/>
      <c r="G807" s="11"/>
      <c r="H807" s="11"/>
      <c r="I807" s="11"/>
      <c r="J807" s="11" t="str">
        <f>IFERROR(__xludf.DUMMYFUNCTION("iferror(if($B807="""", ,filter(Playoff_Stats!F:Z,Playoff_Stats!A:A=$B807,Playoff_Stats!B:B=$A807)))"),"")</f>
        <v/>
      </c>
      <c r="K807" s="11"/>
      <c r="L807" s="12"/>
      <c r="M807" s="11"/>
      <c r="N807" s="11"/>
      <c r="O807" s="13"/>
      <c r="P807" s="14"/>
      <c r="Q807" s="13"/>
      <c r="R807" s="13"/>
      <c r="S807" s="15"/>
      <c r="T807" s="16"/>
      <c r="U807" s="16"/>
      <c r="V807" s="16"/>
      <c r="W807" s="16"/>
      <c r="X807" s="16"/>
      <c r="Y807" s="11"/>
      <c r="Z807" s="11"/>
      <c r="AA807" s="11"/>
      <c r="AB807" s="11"/>
      <c r="AC807" s="11"/>
      <c r="AD807" s="11"/>
    </row>
    <row r="808">
      <c r="A808" s="10"/>
      <c r="B808" s="10"/>
      <c r="C808" s="10"/>
      <c r="D808" s="10"/>
      <c r="E808" s="10"/>
      <c r="F808" s="11"/>
      <c r="G808" s="11"/>
      <c r="H808" s="11"/>
      <c r="I808" s="11"/>
      <c r="J808" s="11" t="str">
        <f>IFERROR(__xludf.DUMMYFUNCTION("iferror(if($B808="""", ,filter(Playoff_Stats!F:Z,Playoff_Stats!A:A=$B808,Playoff_Stats!B:B=$A808)))"),"")</f>
        <v/>
      </c>
      <c r="K808" s="11"/>
      <c r="L808" s="12"/>
      <c r="M808" s="11"/>
      <c r="N808" s="11"/>
      <c r="O808" s="13"/>
      <c r="P808" s="14"/>
      <c r="Q808" s="13"/>
      <c r="R808" s="13"/>
      <c r="S808" s="15"/>
      <c r="T808" s="16"/>
      <c r="U808" s="16"/>
      <c r="V808" s="16"/>
      <c r="W808" s="16"/>
      <c r="X808" s="16"/>
      <c r="Y808" s="11"/>
      <c r="Z808" s="11"/>
      <c r="AA808" s="11"/>
      <c r="AB808" s="11"/>
      <c r="AC808" s="11"/>
      <c r="AD808" s="11"/>
    </row>
    <row r="809">
      <c r="A809" s="10"/>
      <c r="B809" s="10"/>
      <c r="C809" s="10"/>
      <c r="D809" s="10"/>
      <c r="E809" s="10"/>
      <c r="F809" s="11"/>
      <c r="G809" s="11"/>
      <c r="H809" s="11"/>
      <c r="I809" s="11"/>
      <c r="J809" s="11" t="str">
        <f>IFERROR(__xludf.DUMMYFUNCTION("iferror(if($B809="""", ,filter(Playoff_Stats!F:Z,Playoff_Stats!A:A=$B809,Playoff_Stats!B:B=$A809)))"),"")</f>
        <v/>
      </c>
      <c r="K809" s="11"/>
      <c r="L809" s="12"/>
      <c r="M809" s="11"/>
      <c r="N809" s="11"/>
      <c r="O809" s="13"/>
      <c r="P809" s="14"/>
      <c r="Q809" s="13"/>
      <c r="R809" s="13"/>
      <c r="S809" s="15"/>
      <c r="T809" s="16"/>
      <c r="U809" s="16"/>
      <c r="V809" s="16"/>
      <c r="W809" s="16"/>
      <c r="X809" s="16"/>
      <c r="Y809" s="11"/>
      <c r="Z809" s="11"/>
      <c r="AA809" s="11"/>
      <c r="AB809" s="11"/>
      <c r="AC809" s="11"/>
      <c r="AD809" s="11"/>
    </row>
    <row r="810">
      <c r="A810" s="10"/>
      <c r="B810" s="10"/>
      <c r="C810" s="10"/>
      <c r="D810" s="10"/>
      <c r="E810" s="10"/>
      <c r="F810" s="11"/>
      <c r="G810" s="11"/>
      <c r="H810" s="11"/>
      <c r="I810" s="11"/>
      <c r="J810" s="11" t="str">
        <f>IFERROR(__xludf.DUMMYFUNCTION("iferror(if($B810="""", ,filter(Playoff_Stats!F:Z,Playoff_Stats!A:A=$B810,Playoff_Stats!B:B=$A810)))"),"")</f>
        <v/>
      </c>
      <c r="K810" s="11"/>
      <c r="L810" s="12"/>
      <c r="M810" s="11"/>
      <c r="N810" s="11"/>
      <c r="O810" s="13"/>
      <c r="P810" s="14"/>
      <c r="Q810" s="13"/>
      <c r="R810" s="13"/>
      <c r="S810" s="15"/>
      <c r="T810" s="16"/>
      <c r="U810" s="16"/>
      <c r="V810" s="16"/>
      <c r="W810" s="16"/>
      <c r="X810" s="16"/>
      <c r="Y810" s="11"/>
      <c r="Z810" s="11"/>
      <c r="AA810" s="11"/>
      <c r="AB810" s="11"/>
      <c r="AC810" s="11"/>
      <c r="AD810" s="11"/>
    </row>
    <row r="811">
      <c r="A811" s="10"/>
      <c r="B811" s="10"/>
      <c r="C811" s="10"/>
      <c r="D811" s="10"/>
      <c r="E811" s="10"/>
      <c r="F811" s="11"/>
      <c r="G811" s="11"/>
      <c r="H811" s="11"/>
      <c r="I811" s="11"/>
      <c r="J811" s="11" t="str">
        <f>IFERROR(__xludf.DUMMYFUNCTION("iferror(if($B811="""", ,filter(Playoff_Stats!F:Z,Playoff_Stats!A:A=$B811,Playoff_Stats!B:B=$A811)))"),"")</f>
        <v/>
      </c>
      <c r="K811" s="11"/>
      <c r="L811" s="12"/>
      <c r="M811" s="11"/>
      <c r="N811" s="11"/>
      <c r="O811" s="13"/>
      <c r="P811" s="14"/>
      <c r="Q811" s="13"/>
      <c r="R811" s="13"/>
      <c r="S811" s="15"/>
      <c r="T811" s="16"/>
      <c r="U811" s="16"/>
      <c r="V811" s="16"/>
      <c r="W811" s="16"/>
      <c r="X811" s="16"/>
      <c r="Y811" s="11"/>
      <c r="Z811" s="11"/>
      <c r="AA811" s="11"/>
      <c r="AB811" s="11"/>
      <c r="AC811" s="11"/>
      <c r="AD811" s="11"/>
    </row>
    <row r="812">
      <c r="A812" s="10"/>
      <c r="B812" s="10"/>
      <c r="C812" s="10"/>
      <c r="D812" s="10"/>
      <c r="E812" s="10"/>
      <c r="F812" s="11"/>
      <c r="G812" s="11"/>
      <c r="H812" s="11"/>
      <c r="I812" s="11"/>
      <c r="J812" s="11" t="str">
        <f>IFERROR(__xludf.DUMMYFUNCTION("iferror(if($B812="""", ,filter(Playoff_Stats!F:Z,Playoff_Stats!A:A=$B812,Playoff_Stats!B:B=$A812)))"),"")</f>
        <v/>
      </c>
      <c r="K812" s="11"/>
      <c r="L812" s="12"/>
      <c r="M812" s="11"/>
      <c r="N812" s="11"/>
      <c r="O812" s="13"/>
      <c r="P812" s="14"/>
      <c r="Q812" s="13"/>
      <c r="R812" s="13"/>
      <c r="S812" s="15"/>
      <c r="T812" s="16"/>
      <c r="U812" s="16"/>
      <c r="V812" s="16"/>
      <c r="W812" s="16"/>
      <c r="X812" s="16"/>
      <c r="Y812" s="11"/>
      <c r="Z812" s="11"/>
      <c r="AA812" s="11"/>
      <c r="AB812" s="11"/>
      <c r="AC812" s="11"/>
      <c r="AD812" s="11"/>
    </row>
    <row r="813">
      <c r="A813" s="10"/>
      <c r="B813" s="10"/>
      <c r="C813" s="10"/>
      <c r="D813" s="10"/>
      <c r="E813" s="10"/>
      <c r="F813" s="11"/>
      <c r="G813" s="11"/>
      <c r="H813" s="11"/>
      <c r="I813" s="11"/>
      <c r="J813" s="11" t="str">
        <f>IFERROR(__xludf.DUMMYFUNCTION("iferror(if($B813="""", ,filter(Playoff_Stats!F:Z,Playoff_Stats!A:A=$B813,Playoff_Stats!B:B=$A813)))"),"")</f>
        <v/>
      </c>
      <c r="K813" s="11"/>
      <c r="L813" s="12"/>
      <c r="M813" s="11"/>
      <c r="N813" s="11"/>
      <c r="O813" s="13"/>
      <c r="P813" s="14"/>
      <c r="Q813" s="13"/>
      <c r="R813" s="13"/>
      <c r="S813" s="15"/>
      <c r="T813" s="16"/>
      <c r="U813" s="16"/>
      <c r="V813" s="16"/>
      <c r="W813" s="16"/>
      <c r="X813" s="16"/>
      <c r="Y813" s="11"/>
      <c r="Z813" s="11"/>
      <c r="AA813" s="11"/>
      <c r="AB813" s="11"/>
      <c r="AC813" s="11"/>
      <c r="AD813" s="11"/>
    </row>
    <row r="814">
      <c r="A814" s="10"/>
      <c r="B814" s="10"/>
      <c r="C814" s="10"/>
      <c r="D814" s="10"/>
      <c r="E814" s="10"/>
      <c r="F814" s="11"/>
      <c r="G814" s="11"/>
      <c r="H814" s="11"/>
      <c r="I814" s="11"/>
      <c r="J814" s="11" t="str">
        <f>IFERROR(__xludf.DUMMYFUNCTION("iferror(if($B814="""", ,filter(Playoff_Stats!F:Z,Playoff_Stats!A:A=$B814,Playoff_Stats!B:B=$A814)))"),"")</f>
        <v/>
      </c>
      <c r="K814" s="11"/>
      <c r="L814" s="12"/>
      <c r="M814" s="11"/>
      <c r="N814" s="11"/>
      <c r="O814" s="13"/>
      <c r="P814" s="14"/>
      <c r="Q814" s="13"/>
      <c r="R814" s="13"/>
      <c r="S814" s="15"/>
      <c r="T814" s="16"/>
      <c r="U814" s="16"/>
      <c r="V814" s="16"/>
      <c r="W814" s="16"/>
      <c r="X814" s="16"/>
      <c r="Y814" s="11"/>
      <c r="Z814" s="11"/>
      <c r="AA814" s="11"/>
      <c r="AB814" s="11"/>
      <c r="AC814" s="11"/>
      <c r="AD814" s="11"/>
    </row>
    <row r="815">
      <c r="A815" s="10"/>
      <c r="B815" s="10"/>
      <c r="C815" s="10"/>
      <c r="D815" s="10"/>
      <c r="E815" s="10"/>
      <c r="F815" s="11"/>
      <c r="G815" s="11"/>
      <c r="H815" s="11"/>
      <c r="I815" s="11"/>
      <c r="J815" s="11" t="str">
        <f>IFERROR(__xludf.DUMMYFUNCTION("iferror(if($B815="""", ,filter(Playoff_Stats!F:Z,Playoff_Stats!A:A=$B815,Playoff_Stats!B:B=$A815)))"),"")</f>
        <v/>
      </c>
      <c r="K815" s="11"/>
      <c r="L815" s="12"/>
      <c r="M815" s="11"/>
      <c r="N815" s="11"/>
      <c r="O815" s="13"/>
      <c r="P815" s="14"/>
      <c r="Q815" s="13"/>
      <c r="R815" s="13"/>
      <c r="S815" s="15"/>
      <c r="T815" s="16"/>
      <c r="U815" s="16"/>
      <c r="V815" s="16"/>
      <c r="W815" s="16"/>
      <c r="X815" s="16"/>
      <c r="Y815" s="11"/>
      <c r="Z815" s="11"/>
      <c r="AA815" s="11"/>
      <c r="AB815" s="11"/>
      <c r="AC815" s="11"/>
      <c r="AD815" s="11"/>
    </row>
    <row r="816">
      <c r="A816" s="10"/>
      <c r="B816" s="10"/>
      <c r="C816" s="10"/>
      <c r="D816" s="10"/>
      <c r="E816" s="10"/>
      <c r="F816" s="11"/>
      <c r="G816" s="11"/>
      <c r="H816" s="11"/>
      <c r="I816" s="11"/>
      <c r="J816" s="11" t="str">
        <f>IFERROR(__xludf.DUMMYFUNCTION("iferror(if($B816="""", ,filter(Playoff_Stats!F:Z,Playoff_Stats!A:A=$B816,Playoff_Stats!B:B=$A816)))"),"")</f>
        <v/>
      </c>
      <c r="K816" s="11"/>
      <c r="L816" s="12"/>
      <c r="M816" s="11"/>
      <c r="N816" s="11"/>
      <c r="O816" s="13"/>
      <c r="P816" s="14"/>
      <c r="Q816" s="13"/>
      <c r="R816" s="13"/>
      <c r="S816" s="15"/>
      <c r="T816" s="16"/>
      <c r="U816" s="16"/>
      <c r="V816" s="16"/>
      <c r="W816" s="16"/>
      <c r="X816" s="16"/>
      <c r="Y816" s="11"/>
      <c r="Z816" s="11"/>
      <c r="AA816" s="11"/>
      <c r="AB816" s="11"/>
      <c r="AC816" s="11"/>
      <c r="AD816" s="11"/>
    </row>
    <row r="817">
      <c r="A817" s="10"/>
      <c r="B817" s="10"/>
      <c r="C817" s="10"/>
      <c r="D817" s="10"/>
      <c r="E817" s="10"/>
      <c r="F817" s="11"/>
      <c r="G817" s="11"/>
      <c r="H817" s="11"/>
      <c r="I817" s="11"/>
      <c r="J817" s="11" t="str">
        <f>IFERROR(__xludf.DUMMYFUNCTION("iferror(if($B817="""", ,filter(Playoff_Stats!F:Z,Playoff_Stats!A:A=$B817,Playoff_Stats!B:B=$A817)))"),"")</f>
        <v/>
      </c>
      <c r="K817" s="11"/>
      <c r="L817" s="12"/>
      <c r="M817" s="11"/>
      <c r="N817" s="11"/>
      <c r="O817" s="13"/>
      <c r="P817" s="14"/>
      <c r="Q817" s="13"/>
      <c r="R817" s="13"/>
      <c r="S817" s="15"/>
      <c r="T817" s="16"/>
      <c r="U817" s="16"/>
      <c r="V817" s="16"/>
      <c r="W817" s="16"/>
      <c r="X817" s="16"/>
      <c r="Y817" s="11"/>
      <c r="Z817" s="11"/>
      <c r="AA817" s="11"/>
      <c r="AB817" s="11"/>
      <c r="AC817" s="11"/>
      <c r="AD817" s="11"/>
    </row>
    <row r="818">
      <c r="A818" s="10"/>
      <c r="B818" s="10"/>
      <c r="C818" s="10"/>
      <c r="D818" s="10"/>
      <c r="E818" s="10"/>
      <c r="F818" s="11"/>
      <c r="G818" s="11"/>
      <c r="H818" s="11"/>
      <c r="I818" s="11"/>
      <c r="J818" s="11" t="str">
        <f>IFERROR(__xludf.DUMMYFUNCTION("iferror(if($B818="""", ,filter(Playoff_Stats!F:Z,Playoff_Stats!A:A=$B818,Playoff_Stats!B:B=$A818)))"),"")</f>
        <v/>
      </c>
      <c r="K818" s="11"/>
      <c r="L818" s="12"/>
      <c r="M818" s="11"/>
      <c r="N818" s="11"/>
      <c r="O818" s="13"/>
      <c r="P818" s="14"/>
      <c r="Q818" s="13"/>
      <c r="R818" s="13"/>
      <c r="S818" s="15"/>
      <c r="T818" s="16"/>
      <c r="U818" s="16"/>
      <c r="V818" s="16"/>
      <c r="W818" s="16"/>
      <c r="X818" s="16"/>
      <c r="Y818" s="11"/>
      <c r="Z818" s="11"/>
      <c r="AA818" s="11"/>
      <c r="AB818" s="11"/>
      <c r="AC818" s="11"/>
      <c r="AD818" s="11"/>
    </row>
    <row r="819">
      <c r="A819" s="10"/>
      <c r="B819" s="10"/>
      <c r="C819" s="10"/>
      <c r="D819" s="10"/>
      <c r="E819" s="10"/>
      <c r="F819" s="11"/>
      <c r="G819" s="11"/>
      <c r="H819" s="11"/>
      <c r="I819" s="11"/>
      <c r="J819" s="11" t="str">
        <f>IFERROR(__xludf.DUMMYFUNCTION("iferror(if($B819="""", ,filter(Playoff_Stats!F:Z,Playoff_Stats!A:A=$B819,Playoff_Stats!B:B=$A819)))"),"")</f>
        <v/>
      </c>
      <c r="K819" s="11"/>
      <c r="L819" s="12"/>
      <c r="M819" s="11"/>
      <c r="N819" s="11"/>
      <c r="O819" s="13"/>
      <c r="P819" s="14"/>
      <c r="Q819" s="13"/>
      <c r="R819" s="13"/>
      <c r="S819" s="15"/>
      <c r="T819" s="16"/>
      <c r="U819" s="16"/>
      <c r="V819" s="16"/>
      <c r="W819" s="16"/>
      <c r="X819" s="16"/>
      <c r="Y819" s="11"/>
      <c r="Z819" s="11"/>
      <c r="AA819" s="11"/>
      <c r="AB819" s="11"/>
      <c r="AC819" s="11"/>
      <c r="AD819" s="11"/>
    </row>
    <row r="820">
      <c r="A820" s="10"/>
      <c r="B820" s="10"/>
      <c r="C820" s="10"/>
      <c r="D820" s="10"/>
      <c r="E820" s="10"/>
      <c r="F820" s="11"/>
      <c r="G820" s="11"/>
      <c r="H820" s="11"/>
      <c r="I820" s="11"/>
      <c r="J820" s="11" t="str">
        <f>IFERROR(__xludf.DUMMYFUNCTION("iferror(if($B820="""", ,filter(Playoff_Stats!F:Z,Playoff_Stats!A:A=$B820,Playoff_Stats!B:B=$A820)))"),"")</f>
        <v/>
      </c>
      <c r="K820" s="11"/>
      <c r="L820" s="12"/>
      <c r="M820" s="11"/>
      <c r="N820" s="11"/>
      <c r="O820" s="13"/>
      <c r="P820" s="14"/>
      <c r="Q820" s="13"/>
      <c r="R820" s="13"/>
      <c r="S820" s="15"/>
      <c r="T820" s="16"/>
      <c r="U820" s="16"/>
      <c r="V820" s="16"/>
      <c r="W820" s="16"/>
      <c r="X820" s="16"/>
      <c r="Y820" s="11"/>
      <c r="Z820" s="11"/>
      <c r="AA820" s="11"/>
      <c r="AB820" s="11"/>
      <c r="AC820" s="11"/>
      <c r="AD820" s="11"/>
    </row>
    <row r="821">
      <c r="A821" s="10"/>
      <c r="B821" s="10"/>
      <c r="C821" s="10"/>
      <c r="D821" s="10"/>
      <c r="E821" s="10"/>
      <c r="F821" s="11"/>
      <c r="G821" s="11"/>
      <c r="H821" s="11"/>
      <c r="I821" s="11"/>
      <c r="J821" s="11" t="str">
        <f>IFERROR(__xludf.DUMMYFUNCTION("iferror(if($B821="""", ,filter(Playoff_Stats!F:Z,Playoff_Stats!A:A=$B821,Playoff_Stats!B:B=$A821)))"),"")</f>
        <v/>
      </c>
      <c r="K821" s="11"/>
      <c r="L821" s="12"/>
      <c r="M821" s="11"/>
      <c r="N821" s="11"/>
      <c r="O821" s="13"/>
      <c r="P821" s="14"/>
      <c r="Q821" s="13"/>
      <c r="R821" s="13"/>
      <c r="S821" s="15"/>
      <c r="T821" s="16"/>
      <c r="U821" s="16"/>
      <c r="V821" s="16"/>
      <c r="W821" s="16"/>
      <c r="X821" s="16"/>
      <c r="Y821" s="11"/>
      <c r="Z821" s="11"/>
      <c r="AA821" s="11"/>
      <c r="AB821" s="11"/>
      <c r="AC821" s="11"/>
      <c r="AD821" s="11"/>
    </row>
    <row r="822">
      <c r="A822" s="10"/>
      <c r="B822" s="10"/>
      <c r="C822" s="10"/>
      <c r="D822" s="10"/>
      <c r="E822" s="10"/>
      <c r="F822" s="11"/>
      <c r="G822" s="11"/>
      <c r="H822" s="11"/>
      <c r="I822" s="11"/>
      <c r="J822" s="11" t="str">
        <f>IFERROR(__xludf.DUMMYFUNCTION("iferror(if($B822="""", ,filter(Playoff_Stats!F:Z,Playoff_Stats!A:A=$B822,Playoff_Stats!B:B=$A822)))"),"")</f>
        <v/>
      </c>
      <c r="K822" s="11"/>
      <c r="L822" s="12"/>
      <c r="M822" s="11"/>
      <c r="N822" s="11"/>
      <c r="O822" s="13"/>
      <c r="P822" s="14"/>
      <c r="Q822" s="13"/>
      <c r="R822" s="13"/>
      <c r="S822" s="15"/>
      <c r="T822" s="16"/>
      <c r="U822" s="16"/>
      <c r="V822" s="16"/>
      <c r="W822" s="16"/>
      <c r="X822" s="16"/>
      <c r="Y822" s="11"/>
      <c r="Z822" s="11"/>
      <c r="AA822" s="11"/>
      <c r="AB822" s="11"/>
      <c r="AC822" s="11"/>
      <c r="AD822" s="11"/>
    </row>
    <row r="823">
      <c r="A823" s="10"/>
      <c r="B823" s="10"/>
      <c r="C823" s="10"/>
      <c r="D823" s="10"/>
      <c r="E823" s="10"/>
      <c r="F823" s="11"/>
      <c r="G823" s="11"/>
      <c r="H823" s="11"/>
      <c r="I823" s="11"/>
      <c r="J823" s="11" t="str">
        <f>IFERROR(__xludf.DUMMYFUNCTION("iferror(if($B823="""", ,filter(Playoff_Stats!F:Z,Playoff_Stats!A:A=$B823,Playoff_Stats!B:B=$A823)))"),"")</f>
        <v/>
      </c>
      <c r="K823" s="11"/>
      <c r="L823" s="12"/>
      <c r="M823" s="11"/>
      <c r="N823" s="11"/>
      <c r="O823" s="13"/>
      <c r="P823" s="14"/>
      <c r="Q823" s="13"/>
      <c r="R823" s="13"/>
      <c r="S823" s="15"/>
      <c r="T823" s="16"/>
      <c r="U823" s="16"/>
      <c r="V823" s="16"/>
      <c r="W823" s="16"/>
      <c r="X823" s="16"/>
      <c r="Y823" s="11"/>
      <c r="Z823" s="11"/>
      <c r="AA823" s="11"/>
      <c r="AB823" s="11"/>
      <c r="AC823" s="11"/>
      <c r="AD823" s="11"/>
    </row>
    <row r="824">
      <c r="A824" s="10"/>
      <c r="B824" s="10"/>
      <c r="C824" s="10"/>
      <c r="D824" s="10"/>
      <c r="E824" s="10"/>
      <c r="F824" s="11"/>
      <c r="G824" s="11"/>
      <c r="H824" s="11"/>
      <c r="I824" s="11"/>
      <c r="J824" s="11" t="str">
        <f>IFERROR(__xludf.DUMMYFUNCTION("iferror(if($B824="""", ,filter(Playoff_Stats!F:Z,Playoff_Stats!A:A=$B824,Playoff_Stats!B:B=$A824)))"),"")</f>
        <v/>
      </c>
      <c r="K824" s="11"/>
      <c r="L824" s="12"/>
      <c r="M824" s="11"/>
      <c r="N824" s="11"/>
      <c r="O824" s="13"/>
      <c r="P824" s="14"/>
      <c r="Q824" s="13"/>
      <c r="R824" s="13"/>
      <c r="S824" s="15"/>
      <c r="T824" s="16"/>
      <c r="U824" s="16"/>
      <c r="V824" s="16"/>
      <c r="W824" s="16"/>
      <c r="X824" s="16"/>
      <c r="Y824" s="11"/>
      <c r="Z824" s="11"/>
      <c r="AA824" s="11"/>
      <c r="AB824" s="11"/>
      <c r="AC824" s="11"/>
      <c r="AD824" s="11"/>
    </row>
    <row r="825">
      <c r="A825" s="10"/>
      <c r="B825" s="10"/>
      <c r="C825" s="10"/>
      <c r="D825" s="10"/>
      <c r="E825" s="10"/>
      <c r="F825" s="11"/>
      <c r="G825" s="11"/>
      <c r="H825" s="11"/>
      <c r="I825" s="11"/>
      <c r="J825" s="11" t="str">
        <f>IFERROR(__xludf.DUMMYFUNCTION("iferror(if($B825="""", ,filter(Playoff_Stats!F:Z,Playoff_Stats!A:A=$B825,Playoff_Stats!B:B=$A825)))"),"")</f>
        <v/>
      </c>
      <c r="K825" s="11"/>
      <c r="L825" s="12"/>
      <c r="M825" s="11"/>
      <c r="N825" s="11"/>
      <c r="O825" s="13"/>
      <c r="P825" s="14"/>
      <c r="Q825" s="13"/>
      <c r="R825" s="13"/>
      <c r="S825" s="15"/>
      <c r="T825" s="16"/>
      <c r="U825" s="16"/>
      <c r="V825" s="16"/>
      <c r="W825" s="16"/>
      <c r="X825" s="16"/>
      <c r="Y825" s="11"/>
      <c r="Z825" s="11"/>
      <c r="AA825" s="11"/>
      <c r="AB825" s="11"/>
      <c r="AC825" s="11"/>
      <c r="AD825" s="11"/>
    </row>
    <row r="826">
      <c r="A826" s="10"/>
      <c r="B826" s="10"/>
      <c r="C826" s="10"/>
      <c r="D826" s="10"/>
      <c r="E826" s="10"/>
      <c r="F826" s="11"/>
      <c r="G826" s="11"/>
      <c r="H826" s="11"/>
      <c r="I826" s="11"/>
      <c r="J826" s="11" t="str">
        <f>IFERROR(__xludf.DUMMYFUNCTION("iferror(if($B826="""", ,filter(Playoff_Stats!F:Z,Playoff_Stats!A:A=$B826,Playoff_Stats!B:B=$A826)))"),"")</f>
        <v/>
      </c>
      <c r="K826" s="11"/>
      <c r="L826" s="12"/>
      <c r="M826" s="11"/>
      <c r="N826" s="11"/>
      <c r="O826" s="13"/>
      <c r="P826" s="14"/>
      <c r="Q826" s="13"/>
      <c r="R826" s="13"/>
      <c r="S826" s="15"/>
      <c r="T826" s="16"/>
      <c r="U826" s="16"/>
      <c r="V826" s="16"/>
      <c r="W826" s="16"/>
      <c r="X826" s="16"/>
      <c r="Y826" s="11"/>
      <c r="Z826" s="11"/>
      <c r="AA826" s="11"/>
      <c r="AB826" s="11"/>
      <c r="AC826" s="11"/>
      <c r="AD826" s="11"/>
    </row>
    <row r="827">
      <c r="A827" s="10"/>
      <c r="B827" s="10"/>
      <c r="C827" s="10"/>
      <c r="D827" s="10"/>
      <c r="E827" s="10"/>
      <c r="F827" s="11"/>
      <c r="G827" s="11"/>
      <c r="H827" s="11"/>
      <c r="I827" s="11"/>
      <c r="J827" s="11" t="str">
        <f>IFERROR(__xludf.DUMMYFUNCTION("iferror(if($B827="""", ,filter(Playoff_Stats!F:Z,Playoff_Stats!A:A=$B827,Playoff_Stats!B:B=$A827)))"),"")</f>
        <v/>
      </c>
      <c r="K827" s="11"/>
      <c r="L827" s="12"/>
      <c r="M827" s="11"/>
      <c r="N827" s="11"/>
      <c r="O827" s="13"/>
      <c r="P827" s="14"/>
      <c r="Q827" s="13"/>
      <c r="R827" s="13"/>
      <c r="S827" s="15"/>
      <c r="T827" s="16"/>
      <c r="U827" s="16"/>
      <c r="V827" s="16"/>
      <c r="W827" s="16"/>
      <c r="X827" s="16"/>
      <c r="Y827" s="11"/>
      <c r="Z827" s="11"/>
      <c r="AA827" s="11"/>
      <c r="AB827" s="11"/>
      <c r="AC827" s="11"/>
      <c r="AD827" s="11"/>
    </row>
    <row r="828">
      <c r="A828" s="10"/>
      <c r="B828" s="10"/>
      <c r="C828" s="10"/>
      <c r="D828" s="10"/>
      <c r="E828" s="10"/>
      <c r="F828" s="11"/>
      <c r="G828" s="11"/>
      <c r="H828" s="11"/>
      <c r="I828" s="11"/>
      <c r="J828" s="11" t="str">
        <f>IFERROR(__xludf.DUMMYFUNCTION("iferror(if($B828="""", ,filter(Playoff_Stats!F:Z,Playoff_Stats!A:A=$B828,Playoff_Stats!B:B=$A828)))"),"")</f>
        <v/>
      </c>
      <c r="K828" s="11"/>
      <c r="L828" s="12"/>
      <c r="M828" s="11"/>
      <c r="N828" s="11"/>
      <c r="O828" s="13"/>
      <c r="P828" s="14"/>
      <c r="Q828" s="13"/>
      <c r="R828" s="13"/>
      <c r="S828" s="15"/>
      <c r="T828" s="16"/>
      <c r="U828" s="16"/>
      <c r="V828" s="16"/>
      <c r="W828" s="16"/>
      <c r="X828" s="16"/>
      <c r="Y828" s="11"/>
      <c r="Z828" s="11"/>
      <c r="AA828" s="11"/>
      <c r="AB828" s="11"/>
      <c r="AC828" s="11"/>
      <c r="AD828" s="11"/>
    </row>
    <row r="829">
      <c r="A829" s="10"/>
      <c r="B829" s="10"/>
      <c r="C829" s="10"/>
      <c r="D829" s="10"/>
      <c r="E829" s="10"/>
      <c r="F829" s="11"/>
      <c r="G829" s="11"/>
      <c r="H829" s="11"/>
      <c r="I829" s="11"/>
      <c r="J829" s="11" t="str">
        <f>IFERROR(__xludf.DUMMYFUNCTION("iferror(if($B829="""", ,filter(Playoff_Stats!F:Z,Playoff_Stats!A:A=$B829,Playoff_Stats!B:B=$A829)))"),"")</f>
        <v/>
      </c>
      <c r="K829" s="11"/>
      <c r="L829" s="12"/>
      <c r="M829" s="11"/>
      <c r="N829" s="11"/>
      <c r="O829" s="13"/>
      <c r="P829" s="14"/>
      <c r="Q829" s="13"/>
      <c r="R829" s="13"/>
      <c r="S829" s="15"/>
      <c r="T829" s="16"/>
      <c r="U829" s="16"/>
      <c r="V829" s="16"/>
      <c r="W829" s="16"/>
      <c r="X829" s="16"/>
      <c r="Y829" s="11"/>
      <c r="Z829" s="11"/>
      <c r="AA829" s="11"/>
      <c r="AB829" s="11"/>
      <c r="AC829" s="11"/>
      <c r="AD829" s="11"/>
    </row>
    <row r="830">
      <c r="A830" s="10"/>
      <c r="B830" s="10"/>
      <c r="C830" s="10"/>
      <c r="D830" s="10"/>
      <c r="E830" s="10"/>
      <c r="F830" s="11"/>
      <c r="G830" s="11"/>
      <c r="H830" s="11"/>
      <c r="I830" s="11"/>
      <c r="J830" s="11" t="str">
        <f>IFERROR(__xludf.DUMMYFUNCTION("iferror(if($B830="""", ,filter(Playoff_Stats!F:Z,Playoff_Stats!A:A=$B830,Playoff_Stats!B:B=$A830)))"),"")</f>
        <v/>
      </c>
      <c r="K830" s="11"/>
      <c r="L830" s="12"/>
      <c r="M830" s="11"/>
      <c r="N830" s="11"/>
      <c r="O830" s="13"/>
      <c r="P830" s="14"/>
      <c r="Q830" s="13"/>
      <c r="R830" s="13"/>
      <c r="S830" s="15"/>
      <c r="T830" s="16"/>
      <c r="U830" s="16"/>
      <c r="V830" s="16"/>
      <c r="W830" s="16"/>
      <c r="X830" s="16"/>
      <c r="Y830" s="11"/>
      <c r="Z830" s="11"/>
      <c r="AA830" s="11"/>
      <c r="AB830" s="11"/>
      <c r="AC830" s="11"/>
      <c r="AD830" s="11"/>
    </row>
    <row r="831">
      <c r="A831" s="10"/>
      <c r="B831" s="10"/>
      <c r="C831" s="10"/>
      <c r="D831" s="10"/>
      <c r="E831" s="10"/>
      <c r="F831" s="11"/>
      <c r="G831" s="11"/>
      <c r="H831" s="11"/>
      <c r="I831" s="11"/>
      <c r="J831" s="11" t="str">
        <f>IFERROR(__xludf.DUMMYFUNCTION("iferror(if($B831="""", ,filter(Playoff_Stats!F:Z,Playoff_Stats!A:A=$B831,Playoff_Stats!B:B=$A831)))"),"")</f>
        <v/>
      </c>
      <c r="K831" s="11"/>
      <c r="L831" s="12"/>
      <c r="M831" s="11"/>
      <c r="N831" s="11"/>
      <c r="O831" s="13"/>
      <c r="P831" s="14"/>
      <c r="Q831" s="13"/>
      <c r="R831" s="13"/>
      <c r="S831" s="15"/>
      <c r="T831" s="16"/>
      <c r="U831" s="16"/>
      <c r="V831" s="16"/>
      <c r="W831" s="16"/>
      <c r="X831" s="16"/>
      <c r="Y831" s="11"/>
      <c r="Z831" s="11"/>
      <c r="AA831" s="11"/>
      <c r="AB831" s="11"/>
      <c r="AC831" s="11"/>
      <c r="AD831" s="11"/>
    </row>
    <row r="832">
      <c r="A832" s="10"/>
      <c r="B832" s="10"/>
      <c r="C832" s="10"/>
      <c r="D832" s="10"/>
      <c r="E832" s="10"/>
      <c r="F832" s="11"/>
      <c r="G832" s="11"/>
      <c r="H832" s="11"/>
      <c r="I832" s="11"/>
      <c r="J832" s="11" t="str">
        <f>IFERROR(__xludf.DUMMYFUNCTION("iferror(if($B832="""", ,filter(Playoff_Stats!F:Z,Playoff_Stats!A:A=$B832,Playoff_Stats!B:B=$A832)))"),"")</f>
        <v/>
      </c>
      <c r="K832" s="11"/>
      <c r="L832" s="12"/>
      <c r="M832" s="11"/>
      <c r="N832" s="11"/>
      <c r="O832" s="13"/>
      <c r="P832" s="14"/>
      <c r="Q832" s="13"/>
      <c r="R832" s="13"/>
      <c r="S832" s="15"/>
      <c r="T832" s="16"/>
      <c r="U832" s="16"/>
      <c r="V832" s="16"/>
      <c r="W832" s="16"/>
      <c r="X832" s="16"/>
      <c r="Y832" s="11"/>
      <c r="Z832" s="11"/>
      <c r="AA832" s="11"/>
      <c r="AB832" s="11"/>
      <c r="AC832" s="11"/>
      <c r="AD832" s="11"/>
    </row>
    <row r="833">
      <c r="A833" s="10"/>
      <c r="B833" s="10"/>
      <c r="C833" s="10"/>
      <c r="D833" s="10"/>
      <c r="E833" s="10"/>
      <c r="F833" s="11"/>
      <c r="G833" s="11"/>
      <c r="H833" s="11"/>
      <c r="I833" s="11"/>
      <c r="J833" s="11" t="str">
        <f>IFERROR(__xludf.DUMMYFUNCTION("iferror(if($B833="""", ,filter(Playoff_Stats!F:Z,Playoff_Stats!A:A=$B833,Playoff_Stats!B:B=$A833)))"),"")</f>
        <v/>
      </c>
      <c r="K833" s="11"/>
      <c r="L833" s="12"/>
      <c r="M833" s="11"/>
      <c r="N833" s="11"/>
      <c r="O833" s="13"/>
      <c r="P833" s="14"/>
      <c r="Q833" s="13"/>
      <c r="R833" s="13"/>
      <c r="S833" s="15"/>
      <c r="T833" s="16"/>
      <c r="U833" s="16"/>
      <c r="V833" s="16"/>
      <c r="W833" s="16"/>
      <c r="X833" s="16"/>
      <c r="Y833" s="11"/>
      <c r="Z833" s="11"/>
      <c r="AA833" s="11"/>
      <c r="AB833" s="11"/>
      <c r="AC833" s="11"/>
      <c r="AD833" s="11"/>
    </row>
    <row r="834">
      <c r="A834" s="10"/>
      <c r="B834" s="10"/>
      <c r="C834" s="10"/>
      <c r="D834" s="10"/>
      <c r="E834" s="10"/>
      <c r="F834" s="11"/>
      <c r="G834" s="11"/>
      <c r="H834" s="11"/>
      <c r="I834" s="11"/>
      <c r="J834" s="11" t="str">
        <f>IFERROR(__xludf.DUMMYFUNCTION("iferror(if($B834="""", ,filter(Playoff_Stats!F:Z,Playoff_Stats!A:A=$B834,Playoff_Stats!B:B=$A834)))"),"")</f>
        <v/>
      </c>
      <c r="K834" s="11"/>
      <c r="L834" s="12"/>
      <c r="M834" s="11"/>
      <c r="N834" s="11"/>
      <c r="O834" s="13"/>
      <c r="P834" s="14"/>
      <c r="Q834" s="13"/>
      <c r="R834" s="13"/>
      <c r="S834" s="15"/>
      <c r="T834" s="16"/>
      <c r="U834" s="16"/>
      <c r="V834" s="16"/>
      <c r="W834" s="16"/>
      <c r="X834" s="16"/>
      <c r="Y834" s="11"/>
      <c r="Z834" s="11"/>
      <c r="AA834" s="11"/>
      <c r="AB834" s="11"/>
      <c r="AC834" s="11"/>
      <c r="AD834" s="11"/>
    </row>
    <row r="835">
      <c r="A835" s="10"/>
      <c r="B835" s="10"/>
      <c r="C835" s="10"/>
      <c r="D835" s="10"/>
      <c r="E835" s="10"/>
      <c r="F835" s="11"/>
      <c r="G835" s="11"/>
      <c r="H835" s="11"/>
      <c r="I835" s="11"/>
      <c r="J835" s="11" t="str">
        <f>IFERROR(__xludf.DUMMYFUNCTION("iferror(if($B835="""", ,filter(Playoff_Stats!F:Z,Playoff_Stats!A:A=$B835,Playoff_Stats!B:B=$A835)))"),"")</f>
        <v/>
      </c>
      <c r="K835" s="11"/>
      <c r="L835" s="12"/>
      <c r="M835" s="11"/>
      <c r="N835" s="11"/>
      <c r="O835" s="13"/>
      <c r="P835" s="14"/>
      <c r="Q835" s="13"/>
      <c r="R835" s="13"/>
      <c r="S835" s="15"/>
      <c r="T835" s="16"/>
      <c r="U835" s="16"/>
      <c r="V835" s="16"/>
      <c r="W835" s="16"/>
      <c r="X835" s="16"/>
      <c r="Y835" s="11"/>
      <c r="Z835" s="11"/>
      <c r="AA835" s="11"/>
      <c r="AB835" s="11"/>
      <c r="AC835" s="11"/>
      <c r="AD835" s="11"/>
    </row>
    <row r="836">
      <c r="A836" s="10"/>
      <c r="B836" s="10"/>
      <c r="C836" s="10"/>
      <c r="D836" s="10"/>
      <c r="E836" s="10"/>
      <c r="F836" s="11"/>
      <c r="G836" s="11"/>
      <c r="H836" s="11"/>
      <c r="I836" s="11"/>
      <c r="J836" s="11" t="str">
        <f>IFERROR(__xludf.DUMMYFUNCTION("iferror(if($B836="""", ,filter(Playoff_Stats!F:Z,Playoff_Stats!A:A=$B836,Playoff_Stats!B:B=$A836)))"),"")</f>
        <v/>
      </c>
      <c r="K836" s="11"/>
      <c r="L836" s="12"/>
      <c r="M836" s="11"/>
      <c r="N836" s="11"/>
      <c r="O836" s="13"/>
      <c r="P836" s="14"/>
      <c r="Q836" s="13"/>
      <c r="R836" s="13"/>
      <c r="S836" s="15"/>
      <c r="T836" s="16"/>
      <c r="U836" s="16"/>
      <c r="V836" s="16"/>
      <c r="W836" s="16"/>
      <c r="X836" s="16"/>
      <c r="Y836" s="11"/>
      <c r="Z836" s="11"/>
      <c r="AA836" s="11"/>
      <c r="AB836" s="11"/>
      <c r="AC836" s="11"/>
      <c r="AD836" s="11"/>
    </row>
    <row r="837">
      <c r="A837" s="10"/>
      <c r="B837" s="10"/>
      <c r="C837" s="10"/>
      <c r="D837" s="10"/>
      <c r="E837" s="10"/>
      <c r="F837" s="11"/>
      <c r="G837" s="11"/>
      <c r="H837" s="11"/>
      <c r="I837" s="11"/>
      <c r="J837" s="11" t="str">
        <f>IFERROR(__xludf.DUMMYFUNCTION("iferror(if($B837="""", ,filter(Playoff_Stats!F:Z,Playoff_Stats!A:A=$B837,Playoff_Stats!B:B=$A837)))"),"")</f>
        <v/>
      </c>
      <c r="K837" s="11"/>
      <c r="L837" s="12"/>
      <c r="M837" s="11"/>
      <c r="N837" s="11"/>
      <c r="O837" s="13"/>
      <c r="P837" s="14"/>
      <c r="Q837" s="13"/>
      <c r="R837" s="13"/>
      <c r="S837" s="15"/>
      <c r="T837" s="16"/>
      <c r="U837" s="16"/>
      <c r="V837" s="16"/>
      <c r="W837" s="16"/>
      <c r="X837" s="16"/>
      <c r="Y837" s="11"/>
      <c r="Z837" s="11"/>
      <c r="AA837" s="11"/>
      <c r="AB837" s="11"/>
      <c r="AC837" s="11"/>
      <c r="AD837" s="11"/>
    </row>
    <row r="838">
      <c r="A838" s="10"/>
      <c r="B838" s="10"/>
      <c r="C838" s="10"/>
      <c r="D838" s="10"/>
      <c r="E838" s="10"/>
      <c r="F838" s="11"/>
      <c r="G838" s="11"/>
      <c r="H838" s="11"/>
      <c r="I838" s="11"/>
      <c r="J838" s="11" t="str">
        <f>IFERROR(__xludf.DUMMYFUNCTION("iferror(if($B838="""", ,filter(Playoff_Stats!F:Z,Playoff_Stats!A:A=$B838,Playoff_Stats!B:B=$A838)))"),"")</f>
        <v/>
      </c>
      <c r="K838" s="11"/>
      <c r="L838" s="12"/>
      <c r="M838" s="11"/>
      <c r="N838" s="11"/>
      <c r="O838" s="13"/>
      <c r="P838" s="14"/>
      <c r="Q838" s="13"/>
      <c r="R838" s="13"/>
      <c r="S838" s="15"/>
      <c r="T838" s="16"/>
      <c r="U838" s="16"/>
      <c r="V838" s="16"/>
      <c r="W838" s="16"/>
      <c r="X838" s="16"/>
      <c r="Y838" s="11"/>
      <c r="Z838" s="11"/>
      <c r="AA838" s="11"/>
      <c r="AB838" s="11"/>
      <c r="AC838" s="11"/>
      <c r="AD838" s="11"/>
    </row>
    <row r="839">
      <c r="A839" s="10"/>
      <c r="B839" s="10"/>
      <c r="C839" s="10"/>
      <c r="D839" s="10"/>
      <c r="E839" s="10"/>
      <c r="F839" s="11"/>
      <c r="G839" s="11"/>
      <c r="H839" s="11"/>
      <c r="I839" s="11"/>
      <c r="J839" s="11" t="str">
        <f>IFERROR(__xludf.DUMMYFUNCTION("iferror(if($B839="""", ,filter(Playoff_Stats!F:Z,Playoff_Stats!A:A=$B839,Playoff_Stats!B:B=$A839)))"),"")</f>
        <v/>
      </c>
      <c r="K839" s="11"/>
      <c r="L839" s="12"/>
      <c r="M839" s="11"/>
      <c r="N839" s="11"/>
      <c r="O839" s="13"/>
      <c r="P839" s="14"/>
      <c r="Q839" s="13"/>
      <c r="R839" s="13"/>
      <c r="S839" s="15"/>
      <c r="T839" s="16"/>
      <c r="U839" s="16"/>
      <c r="V839" s="16"/>
      <c r="W839" s="16"/>
      <c r="X839" s="16"/>
      <c r="Y839" s="11"/>
      <c r="Z839" s="11"/>
      <c r="AA839" s="11"/>
      <c r="AB839" s="11"/>
      <c r="AC839" s="11"/>
      <c r="AD839" s="11"/>
    </row>
    <row r="840">
      <c r="A840" s="10"/>
      <c r="B840" s="10"/>
      <c r="C840" s="10"/>
      <c r="D840" s="10"/>
      <c r="E840" s="10"/>
      <c r="F840" s="11"/>
      <c r="G840" s="11"/>
      <c r="H840" s="11"/>
      <c r="I840" s="11"/>
      <c r="J840" s="11" t="str">
        <f>IFERROR(__xludf.DUMMYFUNCTION("iferror(if($B840="""", ,filter(Playoff_Stats!F:Z,Playoff_Stats!A:A=$B840,Playoff_Stats!B:B=$A840)))"),"")</f>
        <v/>
      </c>
      <c r="K840" s="11"/>
      <c r="L840" s="12"/>
      <c r="M840" s="11"/>
      <c r="N840" s="11"/>
      <c r="O840" s="13"/>
      <c r="P840" s="14"/>
      <c r="Q840" s="13"/>
      <c r="R840" s="13"/>
      <c r="S840" s="15"/>
      <c r="T840" s="16"/>
      <c r="U840" s="16"/>
      <c r="V840" s="16"/>
      <c r="W840" s="16"/>
      <c r="X840" s="16"/>
      <c r="Y840" s="11"/>
      <c r="Z840" s="11"/>
      <c r="AA840" s="11"/>
      <c r="AB840" s="11"/>
      <c r="AC840" s="11"/>
      <c r="AD840" s="11"/>
    </row>
    <row r="841">
      <c r="A841" s="10"/>
      <c r="B841" s="10"/>
      <c r="C841" s="10"/>
      <c r="D841" s="10"/>
      <c r="E841" s="10"/>
      <c r="F841" s="11"/>
      <c r="G841" s="11"/>
      <c r="H841" s="11"/>
      <c r="I841" s="11"/>
      <c r="J841" s="11" t="str">
        <f>IFERROR(__xludf.DUMMYFUNCTION("iferror(if($B841="""", ,filter(Playoff_Stats!F:Z,Playoff_Stats!A:A=$B841,Playoff_Stats!B:B=$A841)))"),"")</f>
        <v/>
      </c>
      <c r="K841" s="11"/>
      <c r="L841" s="12"/>
      <c r="M841" s="11"/>
      <c r="N841" s="11"/>
      <c r="O841" s="13"/>
      <c r="P841" s="14"/>
      <c r="Q841" s="13"/>
      <c r="R841" s="13"/>
      <c r="S841" s="15"/>
      <c r="T841" s="16"/>
      <c r="U841" s="16"/>
      <c r="V841" s="16"/>
      <c r="W841" s="16"/>
      <c r="X841" s="16"/>
      <c r="Y841" s="11"/>
      <c r="Z841" s="11"/>
      <c r="AA841" s="11"/>
      <c r="AB841" s="11"/>
      <c r="AC841" s="11"/>
      <c r="AD841" s="11"/>
    </row>
    <row r="842">
      <c r="A842" s="10"/>
      <c r="B842" s="10"/>
      <c r="C842" s="10"/>
      <c r="D842" s="10"/>
      <c r="E842" s="10"/>
      <c r="F842" s="11"/>
      <c r="G842" s="11"/>
      <c r="H842" s="11"/>
      <c r="I842" s="11"/>
      <c r="J842" s="11" t="str">
        <f>IFERROR(__xludf.DUMMYFUNCTION("iferror(if($B842="""", ,filter(Playoff_Stats!F:Z,Playoff_Stats!A:A=$B842,Playoff_Stats!B:B=$A842)))"),"")</f>
        <v/>
      </c>
      <c r="K842" s="11"/>
      <c r="L842" s="12"/>
      <c r="M842" s="11"/>
      <c r="N842" s="11"/>
      <c r="O842" s="13"/>
      <c r="P842" s="14"/>
      <c r="Q842" s="13"/>
      <c r="R842" s="13"/>
      <c r="S842" s="15"/>
      <c r="T842" s="16"/>
      <c r="U842" s="16"/>
      <c r="V842" s="16"/>
      <c r="W842" s="16"/>
      <c r="X842" s="16"/>
      <c r="Y842" s="11"/>
      <c r="Z842" s="11"/>
      <c r="AA842" s="11"/>
      <c r="AB842" s="11"/>
      <c r="AC842" s="11"/>
      <c r="AD842" s="11"/>
    </row>
    <row r="843">
      <c r="A843" s="10"/>
      <c r="B843" s="10"/>
      <c r="C843" s="10"/>
      <c r="D843" s="10"/>
      <c r="E843" s="10"/>
      <c r="F843" s="11"/>
      <c r="G843" s="11"/>
      <c r="H843" s="11"/>
      <c r="I843" s="11"/>
      <c r="J843" s="11" t="str">
        <f>IFERROR(__xludf.DUMMYFUNCTION("iferror(if($B843="""", ,filter(Playoff_Stats!F:Z,Playoff_Stats!A:A=$B843,Playoff_Stats!B:B=$A843)))"),"")</f>
        <v/>
      </c>
      <c r="K843" s="11"/>
      <c r="L843" s="12"/>
      <c r="M843" s="11"/>
      <c r="N843" s="11"/>
      <c r="O843" s="13"/>
      <c r="P843" s="14"/>
      <c r="Q843" s="13"/>
      <c r="R843" s="13"/>
      <c r="S843" s="15"/>
      <c r="T843" s="16"/>
      <c r="U843" s="16"/>
      <c r="V843" s="16"/>
      <c r="W843" s="16"/>
      <c r="X843" s="16"/>
      <c r="Y843" s="11"/>
      <c r="Z843" s="11"/>
      <c r="AA843" s="11"/>
      <c r="AB843" s="11"/>
      <c r="AC843" s="11"/>
      <c r="AD843" s="11"/>
    </row>
    <row r="844">
      <c r="A844" s="10"/>
      <c r="B844" s="10"/>
      <c r="C844" s="10"/>
      <c r="D844" s="10"/>
      <c r="E844" s="10"/>
      <c r="F844" s="11"/>
      <c r="G844" s="11"/>
      <c r="H844" s="11"/>
      <c r="I844" s="11"/>
      <c r="J844" s="11" t="str">
        <f>IFERROR(__xludf.DUMMYFUNCTION("iferror(if($B844="""", ,filter(Playoff_Stats!F:Z,Playoff_Stats!A:A=$B844,Playoff_Stats!B:B=$A844)))"),"")</f>
        <v/>
      </c>
      <c r="K844" s="11"/>
      <c r="L844" s="12"/>
      <c r="M844" s="11"/>
      <c r="N844" s="11"/>
      <c r="O844" s="13"/>
      <c r="P844" s="14"/>
      <c r="Q844" s="13"/>
      <c r="R844" s="13"/>
      <c r="S844" s="15"/>
      <c r="T844" s="16"/>
      <c r="U844" s="16"/>
      <c r="V844" s="16"/>
      <c r="W844" s="16"/>
      <c r="X844" s="16"/>
      <c r="Y844" s="11"/>
      <c r="Z844" s="11"/>
      <c r="AA844" s="11"/>
      <c r="AB844" s="11"/>
      <c r="AC844" s="11"/>
      <c r="AD844" s="11"/>
    </row>
    <row r="845">
      <c r="A845" s="10"/>
      <c r="B845" s="10"/>
      <c r="C845" s="10"/>
      <c r="D845" s="10"/>
      <c r="E845" s="10"/>
      <c r="F845" s="11"/>
      <c r="G845" s="11"/>
      <c r="H845" s="11"/>
      <c r="I845" s="11"/>
      <c r="J845" s="11" t="str">
        <f>IFERROR(__xludf.DUMMYFUNCTION("iferror(if($B845="""", ,filter(Playoff_Stats!F:Z,Playoff_Stats!A:A=$B845,Playoff_Stats!B:B=$A845)))"),"")</f>
        <v/>
      </c>
      <c r="K845" s="11"/>
      <c r="L845" s="12"/>
      <c r="M845" s="11"/>
      <c r="N845" s="11"/>
      <c r="O845" s="13"/>
      <c r="P845" s="14"/>
      <c r="Q845" s="13"/>
      <c r="R845" s="13"/>
      <c r="S845" s="15"/>
      <c r="T845" s="16"/>
      <c r="U845" s="16"/>
      <c r="V845" s="16"/>
      <c r="W845" s="16"/>
      <c r="X845" s="16"/>
      <c r="Y845" s="11"/>
      <c r="Z845" s="11"/>
      <c r="AA845" s="11"/>
      <c r="AB845" s="11"/>
      <c r="AC845" s="11"/>
      <c r="AD845" s="11"/>
    </row>
    <row r="846">
      <c r="A846" s="10"/>
      <c r="B846" s="10"/>
      <c r="C846" s="10"/>
      <c r="D846" s="10"/>
      <c r="E846" s="10"/>
      <c r="F846" s="11"/>
      <c r="G846" s="11"/>
      <c r="H846" s="11"/>
      <c r="I846" s="11"/>
      <c r="J846" s="11" t="str">
        <f>IFERROR(__xludf.DUMMYFUNCTION("iferror(if($B846="""", ,filter(Playoff_Stats!F:Z,Playoff_Stats!A:A=$B846,Playoff_Stats!B:B=$A846)))"),"")</f>
        <v/>
      </c>
      <c r="K846" s="11"/>
      <c r="L846" s="12"/>
      <c r="M846" s="11"/>
      <c r="N846" s="11"/>
      <c r="O846" s="13"/>
      <c r="P846" s="14"/>
      <c r="Q846" s="13"/>
      <c r="R846" s="13"/>
      <c r="S846" s="15"/>
      <c r="T846" s="16"/>
      <c r="U846" s="16"/>
      <c r="V846" s="16"/>
      <c r="W846" s="16"/>
      <c r="X846" s="16"/>
      <c r="Y846" s="11"/>
      <c r="Z846" s="11"/>
      <c r="AA846" s="11"/>
      <c r="AB846" s="11"/>
      <c r="AC846" s="11"/>
      <c r="AD846" s="11"/>
    </row>
    <row r="847">
      <c r="A847" s="10"/>
      <c r="B847" s="10"/>
      <c r="C847" s="10"/>
      <c r="D847" s="10"/>
      <c r="E847" s="10"/>
      <c r="F847" s="11"/>
      <c r="G847" s="11"/>
      <c r="H847" s="11"/>
      <c r="I847" s="11"/>
      <c r="J847" s="11" t="str">
        <f>IFERROR(__xludf.DUMMYFUNCTION("iferror(if($B847="""", ,filter(Playoff_Stats!F:Z,Playoff_Stats!A:A=$B847,Playoff_Stats!B:B=$A847)))"),"")</f>
        <v/>
      </c>
      <c r="K847" s="11"/>
      <c r="L847" s="12"/>
      <c r="M847" s="11"/>
      <c r="N847" s="11"/>
      <c r="O847" s="13"/>
      <c r="P847" s="14"/>
      <c r="Q847" s="13"/>
      <c r="R847" s="13"/>
      <c r="S847" s="15"/>
      <c r="T847" s="16"/>
      <c r="U847" s="16"/>
      <c r="V847" s="16"/>
      <c r="W847" s="16"/>
      <c r="X847" s="16"/>
      <c r="Y847" s="11"/>
      <c r="Z847" s="11"/>
      <c r="AA847" s="11"/>
      <c r="AB847" s="11"/>
      <c r="AC847" s="11"/>
      <c r="AD847" s="11"/>
    </row>
    <row r="848">
      <c r="A848" s="10"/>
      <c r="B848" s="10"/>
      <c r="C848" s="10"/>
      <c r="D848" s="10"/>
      <c r="E848" s="10"/>
      <c r="F848" s="11"/>
      <c r="G848" s="11"/>
      <c r="H848" s="11"/>
      <c r="I848" s="11"/>
      <c r="J848" s="11" t="str">
        <f>IFERROR(__xludf.DUMMYFUNCTION("iferror(if($B848="""", ,filter(Playoff_Stats!F:Z,Playoff_Stats!A:A=$B848,Playoff_Stats!B:B=$A848)))"),"")</f>
        <v/>
      </c>
      <c r="K848" s="11"/>
      <c r="L848" s="12"/>
      <c r="M848" s="11"/>
      <c r="N848" s="11"/>
      <c r="O848" s="13"/>
      <c r="P848" s="14"/>
      <c r="Q848" s="13"/>
      <c r="R848" s="13"/>
      <c r="S848" s="15"/>
      <c r="T848" s="16"/>
      <c r="U848" s="16"/>
      <c r="V848" s="16"/>
      <c r="W848" s="16"/>
      <c r="X848" s="16"/>
      <c r="Y848" s="11"/>
      <c r="Z848" s="11"/>
      <c r="AA848" s="11"/>
      <c r="AB848" s="11"/>
      <c r="AC848" s="11"/>
      <c r="AD848" s="11"/>
    </row>
    <row r="849">
      <c r="A849" s="10"/>
      <c r="B849" s="10"/>
      <c r="C849" s="10"/>
      <c r="D849" s="10"/>
      <c r="E849" s="10"/>
      <c r="F849" s="11"/>
      <c r="G849" s="11"/>
      <c r="H849" s="11"/>
      <c r="I849" s="11"/>
      <c r="J849" s="11" t="str">
        <f>IFERROR(__xludf.DUMMYFUNCTION("iferror(if($B849="""", ,filter(Playoff_Stats!F:Z,Playoff_Stats!A:A=$B849,Playoff_Stats!B:B=$A849)))"),"")</f>
        <v/>
      </c>
      <c r="K849" s="11"/>
      <c r="L849" s="12"/>
      <c r="M849" s="11"/>
      <c r="N849" s="11"/>
      <c r="O849" s="13"/>
      <c r="P849" s="14"/>
      <c r="Q849" s="13"/>
      <c r="R849" s="13"/>
      <c r="S849" s="15"/>
      <c r="T849" s="16"/>
      <c r="U849" s="16"/>
      <c r="V849" s="16"/>
      <c r="W849" s="16"/>
      <c r="X849" s="16"/>
      <c r="Y849" s="11"/>
      <c r="Z849" s="11"/>
      <c r="AA849" s="11"/>
      <c r="AB849" s="11"/>
      <c r="AC849" s="11"/>
      <c r="AD849" s="11"/>
    </row>
    <row r="850">
      <c r="A850" s="10"/>
      <c r="B850" s="10"/>
      <c r="C850" s="10"/>
      <c r="D850" s="10"/>
      <c r="E850" s="10"/>
      <c r="F850" s="11"/>
      <c r="G850" s="11"/>
      <c r="H850" s="11"/>
      <c r="I850" s="11"/>
      <c r="J850" s="11" t="str">
        <f>IFERROR(__xludf.DUMMYFUNCTION("iferror(if($B850="""", ,filter(Playoff_Stats!F:Z,Playoff_Stats!A:A=$B850,Playoff_Stats!B:B=$A850)))"),"")</f>
        <v/>
      </c>
      <c r="K850" s="11"/>
      <c r="L850" s="12"/>
      <c r="M850" s="11"/>
      <c r="N850" s="11"/>
      <c r="O850" s="13"/>
      <c r="P850" s="14"/>
      <c r="Q850" s="13"/>
      <c r="R850" s="13"/>
      <c r="S850" s="15"/>
      <c r="T850" s="16"/>
      <c r="U850" s="16"/>
      <c r="V850" s="16"/>
      <c r="W850" s="16"/>
      <c r="X850" s="16"/>
      <c r="Y850" s="11"/>
      <c r="Z850" s="11"/>
      <c r="AA850" s="11"/>
      <c r="AB850" s="11"/>
      <c r="AC850" s="11"/>
      <c r="AD850" s="11"/>
    </row>
    <row r="851">
      <c r="A851" s="10"/>
      <c r="B851" s="10"/>
      <c r="C851" s="10"/>
      <c r="D851" s="10"/>
      <c r="E851" s="10"/>
      <c r="F851" s="11"/>
      <c r="G851" s="11"/>
      <c r="H851" s="11"/>
      <c r="I851" s="11"/>
      <c r="J851" s="11" t="str">
        <f>IFERROR(__xludf.DUMMYFUNCTION("iferror(if($B851="""", ,filter(Playoff_Stats!F:Z,Playoff_Stats!A:A=$B851,Playoff_Stats!B:B=$A851)))"),"")</f>
        <v/>
      </c>
      <c r="K851" s="11"/>
      <c r="L851" s="12"/>
      <c r="M851" s="11"/>
      <c r="N851" s="11"/>
      <c r="O851" s="13"/>
      <c r="P851" s="14"/>
      <c r="Q851" s="13"/>
      <c r="R851" s="13"/>
      <c r="S851" s="15"/>
      <c r="T851" s="16"/>
      <c r="U851" s="16"/>
      <c r="V851" s="16"/>
      <c r="W851" s="16"/>
      <c r="X851" s="16"/>
      <c r="Y851" s="11"/>
      <c r="Z851" s="11"/>
      <c r="AA851" s="11"/>
      <c r="AB851" s="11"/>
      <c r="AC851" s="11"/>
      <c r="AD851" s="11"/>
    </row>
    <row r="852">
      <c r="A852" s="10"/>
      <c r="B852" s="10"/>
      <c r="C852" s="10"/>
      <c r="D852" s="10"/>
      <c r="E852" s="10"/>
      <c r="F852" s="11"/>
      <c r="G852" s="11"/>
      <c r="H852" s="11"/>
      <c r="I852" s="11"/>
      <c r="J852" s="11" t="str">
        <f>IFERROR(__xludf.DUMMYFUNCTION("iferror(if($B852="""", ,filter(Playoff_Stats!F:Z,Playoff_Stats!A:A=$B852,Playoff_Stats!B:B=$A852)))"),"")</f>
        <v/>
      </c>
      <c r="K852" s="11"/>
      <c r="L852" s="12"/>
      <c r="M852" s="11"/>
      <c r="N852" s="11"/>
      <c r="O852" s="13"/>
      <c r="P852" s="14"/>
      <c r="Q852" s="13"/>
      <c r="R852" s="13"/>
      <c r="S852" s="15"/>
      <c r="T852" s="16"/>
      <c r="U852" s="16"/>
      <c r="V852" s="16"/>
      <c r="W852" s="16"/>
      <c r="X852" s="16"/>
      <c r="Y852" s="11"/>
      <c r="Z852" s="11"/>
      <c r="AA852" s="11"/>
      <c r="AB852" s="11"/>
      <c r="AC852" s="11"/>
      <c r="AD852" s="11"/>
    </row>
    <row r="853">
      <c r="A853" s="10"/>
      <c r="B853" s="10"/>
      <c r="C853" s="10"/>
      <c r="D853" s="10"/>
      <c r="E853" s="10"/>
      <c r="F853" s="11"/>
      <c r="G853" s="11"/>
      <c r="H853" s="11"/>
      <c r="I853" s="11"/>
      <c r="J853" s="11" t="str">
        <f>IFERROR(__xludf.DUMMYFUNCTION("iferror(if($B853="""", ,filter(Playoff_Stats!F:Z,Playoff_Stats!A:A=$B853,Playoff_Stats!B:B=$A853)))"),"")</f>
        <v/>
      </c>
      <c r="K853" s="11"/>
      <c r="L853" s="12"/>
      <c r="M853" s="11"/>
      <c r="N853" s="11"/>
      <c r="O853" s="13"/>
      <c r="P853" s="14"/>
      <c r="Q853" s="13"/>
      <c r="R853" s="13"/>
      <c r="S853" s="15"/>
      <c r="T853" s="16"/>
      <c r="U853" s="16"/>
      <c r="V853" s="16"/>
      <c r="W853" s="16"/>
      <c r="X853" s="16"/>
      <c r="Y853" s="11"/>
      <c r="Z853" s="11"/>
      <c r="AA853" s="11"/>
      <c r="AB853" s="11"/>
      <c r="AC853" s="11"/>
      <c r="AD853" s="11"/>
    </row>
    <row r="854">
      <c r="A854" s="10"/>
      <c r="B854" s="10"/>
      <c r="C854" s="10"/>
      <c r="D854" s="10"/>
      <c r="E854" s="10"/>
      <c r="F854" s="11"/>
      <c r="G854" s="11"/>
      <c r="H854" s="11"/>
      <c r="I854" s="11"/>
      <c r="J854" s="11" t="str">
        <f>IFERROR(__xludf.DUMMYFUNCTION("iferror(if($B854="""", ,filter(Playoff_Stats!F:Z,Playoff_Stats!A:A=$B854,Playoff_Stats!B:B=$A854)))"),"")</f>
        <v/>
      </c>
      <c r="K854" s="11"/>
      <c r="L854" s="12"/>
      <c r="M854" s="11"/>
      <c r="N854" s="11"/>
      <c r="O854" s="13"/>
      <c r="P854" s="14"/>
      <c r="Q854" s="13"/>
      <c r="R854" s="13"/>
      <c r="S854" s="15"/>
      <c r="T854" s="16"/>
      <c r="U854" s="16"/>
      <c r="V854" s="16"/>
      <c r="W854" s="16"/>
      <c r="X854" s="16"/>
      <c r="Y854" s="11"/>
      <c r="Z854" s="11"/>
      <c r="AA854" s="11"/>
      <c r="AB854" s="11"/>
      <c r="AC854" s="11"/>
      <c r="AD854" s="11"/>
    </row>
    <row r="855">
      <c r="A855" s="10"/>
      <c r="B855" s="10"/>
      <c r="C855" s="10"/>
      <c r="D855" s="10"/>
      <c r="E855" s="10"/>
      <c r="F855" s="11"/>
      <c r="G855" s="11"/>
      <c r="H855" s="11"/>
      <c r="I855" s="11"/>
      <c r="J855" s="11" t="str">
        <f>IFERROR(__xludf.DUMMYFUNCTION("iferror(if($B855="""", ,filter(Playoff_Stats!F:Z,Playoff_Stats!A:A=$B855,Playoff_Stats!B:B=$A855)))"),"")</f>
        <v/>
      </c>
      <c r="K855" s="11"/>
      <c r="L855" s="12"/>
      <c r="M855" s="11"/>
      <c r="N855" s="11"/>
      <c r="O855" s="13"/>
      <c r="P855" s="14"/>
      <c r="Q855" s="13"/>
      <c r="R855" s="13"/>
      <c r="S855" s="15"/>
      <c r="T855" s="16"/>
      <c r="U855" s="16"/>
      <c r="V855" s="16"/>
      <c r="W855" s="16"/>
      <c r="X855" s="16"/>
      <c r="Y855" s="11"/>
      <c r="Z855" s="11"/>
      <c r="AA855" s="11"/>
      <c r="AB855" s="11"/>
      <c r="AC855" s="11"/>
      <c r="AD855" s="11"/>
    </row>
    <row r="856">
      <c r="A856" s="10"/>
      <c r="B856" s="10"/>
      <c r="C856" s="10"/>
      <c r="D856" s="10"/>
      <c r="E856" s="10"/>
      <c r="F856" s="11"/>
      <c r="G856" s="11"/>
      <c r="H856" s="11"/>
      <c r="I856" s="11"/>
      <c r="J856" s="11" t="str">
        <f>IFERROR(__xludf.DUMMYFUNCTION("iferror(if($B856="""", ,filter(Playoff_Stats!F:Z,Playoff_Stats!A:A=$B856,Playoff_Stats!B:B=$A856)))"),"")</f>
        <v/>
      </c>
      <c r="K856" s="11"/>
      <c r="L856" s="12"/>
      <c r="M856" s="11"/>
      <c r="N856" s="11"/>
      <c r="O856" s="13"/>
      <c r="P856" s="14"/>
      <c r="Q856" s="13"/>
      <c r="R856" s="13"/>
      <c r="S856" s="15"/>
      <c r="T856" s="16"/>
      <c r="U856" s="16"/>
      <c r="V856" s="16"/>
      <c r="W856" s="16"/>
      <c r="X856" s="16"/>
      <c r="Y856" s="11"/>
      <c r="Z856" s="11"/>
      <c r="AA856" s="11"/>
      <c r="AB856" s="11"/>
      <c r="AC856" s="11"/>
      <c r="AD856" s="11"/>
    </row>
    <row r="857">
      <c r="A857" s="10"/>
      <c r="B857" s="10"/>
      <c r="C857" s="10"/>
      <c r="D857" s="10"/>
      <c r="E857" s="10"/>
      <c r="F857" s="11"/>
      <c r="G857" s="11"/>
      <c r="H857" s="11"/>
      <c r="I857" s="11"/>
      <c r="J857" s="11" t="str">
        <f>IFERROR(__xludf.DUMMYFUNCTION("iferror(if($B857="""", ,filter(Playoff_Stats!F:Z,Playoff_Stats!A:A=$B857,Playoff_Stats!B:B=$A857)))"),"")</f>
        <v/>
      </c>
      <c r="K857" s="11"/>
      <c r="L857" s="12"/>
      <c r="M857" s="11"/>
      <c r="N857" s="11"/>
      <c r="O857" s="13"/>
      <c r="P857" s="14"/>
      <c r="Q857" s="13"/>
      <c r="R857" s="13"/>
      <c r="S857" s="15"/>
      <c r="T857" s="16"/>
      <c r="U857" s="16"/>
      <c r="V857" s="16"/>
      <c r="W857" s="16"/>
      <c r="X857" s="16"/>
      <c r="Y857" s="11"/>
      <c r="Z857" s="11"/>
      <c r="AA857" s="11"/>
      <c r="AB857" s="11"/>
      <c r="AC857" s="11"/>
      <c r="AD857" s="11"/>
    </row>
    <row r="858">
      <c r="A858" s="10"/>
      <c r="B858" s="10"/>
      <c r="C858" s="10"/>
      <c r="D858" s="10"/>
      <c r="E858" s="10"/>
      <c r="F858" s="11"/>
      <c r="G858" s="11"/>
      <c r="H858" s="11"/>
      <c r="I858" s="11"/>
      <c r="J858" s="11" t="str">
        <f>IFERROR(__xludf.DUMMYFUNCTION("iferror(if($B858="""", ,filter(Playoff_Stats!F:Z,Playoff_Stats!A:A=$B858,Playoff_Stats!B:B=$A858)))"),"")</f>
        <v/>
      </c>
      <c r="K858" s="11"/>
      <c r="L858" s="12"/>
      <c r="M858" s="11"/>
      <c r="N858" s="11"/>
      <c r="O858" s="13"/>
      <c r="P858" s="14"/>
      <c r="Q858" s="13"/>
      <c r="R858" s="13"/>
      <c r="S858" s="15"/>
      <c r="T858" s="16"/>
      <c r="U858" s="16"/>
      <c r="V858" s="16"/>
      <c r="W858" s="16"/>
      <c r="X858" s="16"/>
      <c r="Y858" s="11"/>
      <c r="Z858" s="11"/>
      <c r="AA858" s="11"/>
      <c r="AB858" s="11"/>
      <c r="AC858" s="11"/>
      <c r="AD858" s="11"/>
    </row>
    <row r="859">
      <c r="A859" s="10"/>
      <c r="B859" s="10"/>
      <c r="C859" s="10"/>
      <c r="D859" s="10"/>
      <c r="E859" s="10"/>
      <c r="F859" s="11"/>
      <c r="G859" s="11"/>
      <c r="H859" s="11"/>
      <c r="I859" s="11"/>
      <c r="J859" s="11" t="str">
        <f>IFERROR(__xludf.DUMMYFUNCTION("iferror(if($B859="""", ,filter(Playoff_Stats!F:Z,Playoff_Stats!A:A=$B859,Playoff_Stats!B:B=$A859)))"),"")</f>
        <v/>
      </c>
      <c r="K859" s="11"/>
      <c r="L859" s="12"/>
      <c r="M859" s="11"/>
      <c r="N859" s="11"/>
      <c r="O859" s="13"/>
      <c r="P859" s="14"/>
      <c r="Q859" s="13"/>
      <c r="R859" s="13"/>
      <c r="S859" s="15"/>
      <c r="T859" s="16"/>
      <c r="U859" s="16"/>
      <c r="V859" s="16"/>
      <c r="W859" s="16"/>
      <c r="X859" s="16"/>
      <c r="Y859" s="11"/>
      <c r="Z859" s="11"/>
      <c r="AA859" s="11"/>
      <c r="AB859" s="11"/>
      <c r="AC859" s="11"/>
      <c r="AD859" s="11"/>
    </row>
    <row r="860">
      <c r="A860" s="10"/>
      <c r="B860" s="10"/>
      <c r="C860" s="10"/>
      <c r="D860" s="10"/>
      <c r="E860" s="10"/>
      <c r="F860" s="11"/>
      <c r="G860" s="11"/>
      <c r="H860" s="11"/>
      <c r="I860" s="11"/>
      <c r="J860" s="11" t="str">
        <f>IFERROR(__xludf.DUMMYFUNCTION("iferror(if($B860="""", ,filter(Playoff_Stats!F:Z,Playoff_Stats!A:A=$B860,Playoff_Stats!B:B=$A860)))"),"")</f>
        <v/>
      </c>
      <c r="K860" s="11"/>
      <c r="L860" s="12"/>
      <c r="M860" s="11"/>
      <c r="N860" s="11"/>
      <c r="O860" s="13"/>
      <c r="P860" s="14"/>
      <c r="Q860" s="13"/>
      <c r="R860" s="13"/>
      <c r="S860" s="15"/>
      <c r="T860" s="16"/>
      <c r="U860" s="16"/>
      <c r="V860" s="16"/>
      <c r="W860" s="16"/>
      <c r="X860" s="16"/>
      <c r="Y860" s="11"/>
      <c r="Z860" s="11"/>
      <c r="AA860" s="11"/>
      <c r="AB860" s="11"/>
      <c r="AC860" s="11"/>
      <c r="AD860" s="11"/>
    </row>
    <row r="861">
      <c r="A861" s="10"/>
      <c r="B861" s="10"/>
      <c r="C861" s="10"/>
      <c r="D861" s="10"/>
      <c r="E861" s="10"/>
      <c r="F861" s="11"/>
      <c r="G861" s="11"/>
      <c r="H861" s="11"/>
      <c r="I861" s="11"/>
      <c r="J861" s="11" t="str">
        <f>IFERROR(__xludf.DUMMYFUNCTION("iferror(if($B861="""", ,filter(Playoff_Stats!F:Z,Playoff_Stats!A:A=$B861,Playoff_Stats!B:B=$A861)))"),"")</f>
        <v/>
      </c>
      <c r="K861" s="11"/>
      <c r="L861" s="12"/>
      <c r="M861" s="11"/>
      <c r="N861" s="11"/>
      <c r="O861" s="13"/>
      <c r="P861" s="14"/>
      <c r="Q861" s="13"/>
      <c r="R861" s="13"/>
      <c r="S861" s="15"/>
      <c r="T861" s="16"/>
      <c r="U861" s="16"/>
      <c r="V861" s="16"/>
      <c r="W861" s="16"/>
      <c r="X861" s="16"/>
      <c r="Y861" s="11"/>
      <c r="Z861" s="11"/>
      <c r="AA861" s="11"/>
      <c r="AB861" s="11"/>
      <c r="AC861" s="11"/>
      <c r="AD861" s="11"/>
    </row>
    <row r="862">
      <c r="A862" s="10"/>
      <c r="B862" s="10"/>
      <c r="C862" s="10"/>
      <c r="D862" s="10"/>
      <c r="E862" s="10"/>
      <c r="F862" s="11"/>
      <c r="G862" s="11"/>
      <c r="H862" s="11"/>
      <c r="I862" s="11"/>
      <c r="J862" s="11" t="str">
        <f>IFERROR(__xludf.DUMMYFUNCTION("iferror(if($B862="""", ,filter(Playoff_Stats!F:Z,Playoff_Stats!A:A=$B862,Playoff_Stats!B:B=$A862)))"),"")</f>
        <v/>
      </c>
      <c r="K862" s="11"/>
      <c r="L862" s="12"/>
      <c r="M862" s="11"/>
      <c r="N862" s="11"/>
      <c r="O862" s="13"/>
      <c r="P862" s="14"/>
      <c r="Q862" s="13"/>
      <c r="R862" s="13"/>
      <c r="S862" s="15"/>
      <c r="T862" s="16"/>
      <c r="U862" s="16"/>
      <c r="V862" s="16"/>
      <c r="W862" s="16"/>
      <c r="X862" s="16"/>
      <c r="Y862" s="11"/>
      <c r="Z862" s="11"/>
      <c r="AA862" s="11"/>
      <c r="AB862" s="11"/>
      <c r="AC862" s="11"/>
      <c r="AD862" s="11"/>
    </row>
    <row r="863">
      <c r="A863" s="10"/>
      <c r="B863" s="10"/>
      <c r="C863" s="10"/>
      <c r="D863" s="10"/>
      <c r="E863" s="10"/>
      <c r="F863" s="11"/>
      <c r="G863" s="11"/>
      <c r="H863" s="11"/>
      <c r="I863" s="11"/>
      <c r="J863" s="11" t="str">
        <f>IFERROR(__xludf.DUMMYFUNCTION("iferror(if($B863="""", ,filter(Playoff_Stats!F:Z,Playoff_Stats!A:A=$B863,Playoff_Stats!B:B=$A863)))"),"")</f>
        <v/>
      </c>
      <c r="K863" s="11"/>
      <c r="L863" s="12"/>
      <c r="M863" s="11"/>
      <c r="N863" s="11"/>
      <c r="O863" s="13"/>
      <c r="P863" s="14"/>
      <c r="Q863" s="13"/>
      <c r="R863" s="13"/>
      <c r="S863" s="15"/>
      <c r="T863" s="16"/>
      <c r="U863" s="16"/>
      <c r="V863" s="16"/>
      <c r="W863" s="16"/>
      <c r="X863" s="16"/>
      <c r="Y863" s="11"/>
      <c r="Z863" s="11"/>
      <c r="AA863" s="11"/>
      <c r="AB863" s="11"/>
      <c r="AC863" s="11"/>
      <c r="AD863" s="11"/>
    </row>
    <row r="864">
      <c r="A864" s="10"/>
      <c r="B864" s="10"/>
      <c r="C864" s="10"/>
      <c r="D864" s="10"/>
      <c r="E864" s="10"/>
      <c r="F864" s="11"/>
      <c r="G864" s="11"/>
      <c r="H864" s="11"/>
      <c r="I864" s="11"/>
      <c r="J864" s="11" t="str">
        <f>IFERROR(__xludf.DUMMYFUNCTION("iferror(if($B864="""", ,filter(Playoff_Stats!F:Z,Playoff_Stats!A:A=$B864,Playoff_Stats!B:B=$A864)))"),"")</f>
        <v/>
      </c>
      <c r="K864" s="11"/>
      <c r="L864" s="12"/>
      <c r="M864" s="11"/>
      <c r="N864" s="11"/>
      <c r="O864" s="13"/>
      <c r="P864" s="14"/>
      <c r="Q864" s="13"/>
      <c r="R864" s="13"/>
      <c r="S864" s="15"/>
      <c r="T864" s="16"/>
      <c r="U864" s="16"/>
      <c r="V864" s="16"/>
      <c r="W864" s="16"/>
      <c r="X864" s="16"/>
      <c r="Y864" s="11"/>
      <c r="Z864" s="11"/>
      <c r="AA864" s="11"/>
      <c r="AB864" s="11"/>
      <c r="AC864" s="11"/>
      <c r="AD864" s="11"/>
    </row>
    <row r="865">
      <c r="A865" s="10"/>
      <c r="B865" s="10"/>
      <c r="C865" s="10"/>
      <c r="D865" s="10"/>
      <c r="E865" s="10"/>
      <c r="F865" s="11"/>
      <c r="G865" s="11"/>
      <c r="H865" s="11"/>
      <c r="I865" s="11"/>
      <c r="J865" s="11" t="str">
        <f>IFERROR(__xludf.DUMMYFUNCTION("iferror(if($B865="""", ,filter(Playoff_Stats!F:Z,Playoff_Stats!A:A=$B865,Playoff_Stats!B:B=$A865)))"),"")</f>
        <v/>
      </c>
      <c r="K865" s="11"/>
      <c r="L865" s="12"/>
      <c r="M865" s="11"/>
      <c r="N865" s="11"/>
      <c r="O865" s="13"/>
      <c r="P865" s="14"/>
      <c r="Q865" s="13"/>
      <c r="R865" s="13"/>
      <c r="S865" s="15"/>
      <c r="T865" s="16"/>
      <c r="U865" s="16"/>
      <c r="V865" s="16"/>
      <c r="W865" s="16"/>
      <c r="X865" s="16"/>
      <c r="Y865" s="11"/>
      <c r="Z865" s="11"/>
      <c r="AA865" s="11"/>
      <c r="AB865" s="11"/>
      <c r="AC865" s="11"/>
      <c r="AD865" s="11"/>
    </row>
    <row r="866">
      <c r="A866" s="10"/>
      <c r="B866" s="10"/>
      <c r="C866" s="10"/>
      <c r="D866" s="10"/>
      <c r="E866" s="10"/>
      <c r="F866" s="11"/>
      <c r="G866" s="11"/>
      <c r="H866" s="11"/>
      <c r="I866" s="11"/>
      <c r="J866" s="11" t="str">
        <f>IFERROR(__xludf.DUMMYFUNCTION("iferror(if($B866="""", ,filter(Playoff_Stats!F:Z,Playoff_Stats!A:A=$B866,Playoff_Stats!B:B=$A866)))"),"")</f>
        <v/>
      </c>
      <c r="K866" s="11"/>
      <c r="L866" s="12"/>
      <c r="M866" s="11"/>
      <c r="N866" s="11"/>
      <c r="O866" s="13"/>
      <c r="P866" s="14"/>
      <c r="Q866" s="13"/>
      <c r="R866" s="13"/>
      <c r="S866" s="15"/>
      <c r="T866" s="16"/>
      <c r="U866" s="16"/>
      <c r="V866" s="16"/>
      <c r="W866" s="16"/>
      <c r="X866" s="16"/>
      <c r="Y866" s="11"/>
      <c r="Z866" s="11"/>
      <c r="AA866" s="11"/>
      <c r="AB866" s="11"/>
      <c r="AC866" s="11"/>
      <c r="AD866" s="11"/>
    </row>
    <row r="867">
      <c r="A867" s="10"/>
      <c r="B867" s="10"/>
      <c r="C867" s="10"/>
      <c r="D867" s="10"/>
      <c r="E867" s="10"/>
      <c r="F867" s="11"/>
      <c r="G867" s="11"/>
      <c r="H867" s="11"/>
      <c r="I867" s="11"/>
      <c r="J867" s="11" t="str">
        <f>IFERROR(__xludf.DUMMYFUNCTION("iferror(if($B867="""", ,filter(Playoff_Stats!F:Z,Playoff_Stats!A:A=$B867,Playoff_Stats!B:B=$A867)))"),"")</f>
        <v/>
      </c>
      <c r="K867" s="11"/>
      <c r="L867" s="12"/>
      <c r="M867" s="11"/>
      <c r="N867" s="11"/>
      <c r="O867" s="13"/>
      <c r="P867" s="14"/>
      <c r="Q867" s="13"/>
      <c r="R867" s="13"/>
      <c r="S867" s="15"/>
      <c r="T867" s="16"/>
      <c r="U867" s="16"/>
      <c r="V867" s="16"/>
      <c r="W867" s="16"/>
      <c r="X867" s="16"/>
      <c r="Y867" s="11"/>
      <c r="Z867" s="11"/>
      <c r="AA867" s="11"/>
      <c r="AB867" s="11"/>
      <c r="AC867" s="11"/>
      <c r="AD867" s="11"/>
    </row>
    <row r="868">
      <c r="A868" s="10"/>
      <c r="B868" s="10"/>
      <c r="C868" s="10"/>
      <c r="D868" s="10"/>
      <c r="E868" s="10"/>
      <c r="F868" s="11"/>
      <c r="G868" s="11"/>
      <c r="H868" s="11"/>
      <c r="I868" s="11"/>
      <c r="J868" s="11" t="str">
        <f>IFERROR(__xludf.DUMMYFUNCTION("iferror(if($B868="""", ,filter(Playoff_Stats!F:Z,Playoff_Stats!A:A=$B868,Playoff_Stats!B:B=$A868)))"),"")</f>
        <v/>
      </c>
      <c r="K868" s="11"/>
      <c r="L868" s="12"/>
      <c r="M868" s="11"/>
      <c r="N868" s="11"/>
      <c r="O868" s="13"/>
      <c r="P868" s="14"/>
      <c r="Q868" s="13"/>
      <c r="R868" s="13"/>
      <c r="S868" s="15"/>
      <c r="T868" s="16"/>
      <c r="U868" s="16"/>
      <c r="V868" s="16"/>
      <c r="W868" s="16"/>
      <c r="X868" s="16"/>
      <c r="Y868" s="11"/>
      <c r="Z868" s="11"/>
      <c r="AA868" s="11"/>
      <c r="AB868" s="11"/>
      <c r="AC868" s="11"/>
      <c r="AD868" s="11"/>
    </row>
    <row r="869">
      <c r="A869" s="10"/>
      <c r="B869" s="10"/>
      <c r="C869" s="10"/>
      <c r="D869" s="10"/>
      <c r="E869" s="10"/>
      <c r="F869" s="11"/>
      <c r="G869" s="11"/>
      <c r="H869" s="11"/>
      <c r="I869" s="11"/>
      <c r="J869" s="11" t="str">
        <f>IFERROR(__xludf.DUMMYFUNCTION("iferror(if($B869="""", ,filter(Playoff_Stats!F:Z,Playoff_Stats!A:A=$B869,Playoff_Stats!B:B=$A869)))"),"")</f>
        <v/>
      </c>
      <c r="K869" s="11"/>
      <c r="L869" s="12"/>
      <c r="M869" s="11"/>
      <c r="N869" s="11"/>
      <c r="O869" s="13"/>
      <c r="P869" s="14"/>
      <c r="Q869" s="13"/>
      <c r="R869" s="13"/>
      <c r="S869" s="15"/>
      <c r="T869" s="16"/>
      <c r="U869" s="16"/>
      <c r="V869" s="16"/>
      <c r="W869" s="16"/>
      <c r="X869" s="16"/>
      <c r="Y869" s="11"/>
      <c r="Z869" s="11"/>
      <c r="AA869" s="11"/>
      <c r="AB869" s="11"/>
      <c r="AC869" s="11"/>
      <c r="AD869" s="11"/>
    </row>
    <row r="870">
      <c r="A870" s="10"/>
      <c r="B870" s="10"/>
      <c r="C870" s="10"/>
      <c r="D870" s="10"/>
      <c r="E870" s="10"/>
      <c r="F870" s="11"/>
      <c r="G870" s="11"/>
      <c r="H870" s="11"/>
      <c r="I870" s="11"/>
      <c r="J870" s="11" t="str">
        <f>IFERROR(__xludf.DUMMYFUNCTION("iferror(if($B870="""", ,filter(Playoff_Stats!F:Z,Playoff_Stats!A:A=$B870,Playoff_Stats!B:B=$A870)))"),"")</f>
        <v/>
      </c>
      <c r="K870" s="11"/>
      <c r="L870" s="12"/>
      <c r="M870" s="11"/>
      <c r="N870" s="11"/>
      <c r="O870" s="13"/>
      <c r="P870" s="14"/>
      <c r="Q870" s="13"/>
      <c r="R870" s="13"/>
      <c r="S870" s="15"/>
      <c r="T870" s="16"/>
      <c r="U870" s="16"/>
      <c r="V870" s="16"/>
      <c r="W870" s="16"/>
      <c r="X870" s="16"/>
      <c r="Y870" s="11"/>
      <c r="Z870" s="11"/>
      <c r="AA870" s="11"/>
      <c r="AB870" s="11"/>
      <c r="AC870" s="11"/>
      <c r="AD870" s="11"/>
    </row>
    <row r="871">
      <c r="A871" s="10"/>
      <c r="B871" s="10"/>
      <c r="C871" s="10"/>
      <c r="D871" s="10"/>
      <c r="E871" s="10"/>
      <c r="F871" s="11"/>
      <c r="G871" s="11"/>
      <c r="H871" s="11"/>
      <c r="I871" s="11"/>
      <c r="J871" s="11" t="str">
        <f>IFERROR(__xludf.DUMMYFUNCTION("iferror(if($B871="""", ,filter(Playoff_Stats!F:Z,Playoff_Stats!A:A=$B871,Playoff_Stats!B:B=$A871)))"),"")</f>
        <v/>
      </c>
      <c r="K871" s="11"/>
      <c r="L871" s="12"/>
      <c r="M871" s="11"/>
      <c r="N871" s="11"/>
      <c r="O871" s="13"/>
      <c r="P871" s="14"/>
      <c r="Q871" s="13"/>
      <c r="R871" s="13"/>
      <c r="S871" s="15"/>
      <c r="T871" s="16"/>
      <c r="U871" s="16"/>
      <c r="V871" s="16"/>
      <c r="W871" s="16"/>
      <c r="X871" s="16"/>
      <c r="Y871" s="11"/>
      <c r="Z871" s="11"/>
      <c r="AA871" s="11"/>
      <c r="AB871" s="11"/>
      <c r="AC871" s="11"/>
      <c r="AD871" s="11"/>
    </row>
    <row r="872">
      <c r="A872" s="10"/>
      <c r="B872" s="10"/>
      <c r="C872" s="10"/>
      <c r="D872" s="10"/>
      <c r="E872" s="10"/>
      <c r="F872" s="11"/>
      <c r="G872" s="11"/>
      <c r="H872" s="11"/>
      <c r="I872" s="11"/>
      <c r="J872" s="11" t="str">
        <f>IFERROR(__xludf.DUMMYFUNCTION("iferror(if($B872="""", ,filter(Playoff_Stats!F:Z,Playoff_Stats!A:A=$B872,Playoff_Stats!B:B=$A872)))"),"")</f>
        <v/>
      </c>
      <c r="K872" s="11"/>
      <c r="L872" s="12"/>
      <c r="M872" s="11"/>
      <c r="N872" s="11"/>
      <c r="O872" s="13"/>
      <c r="P872" s="14"/>
      <c r="Q872" s="13"/>
      <c r="R872" s="13"/>
      <c r="S872" s="15"/>
      <c r="T872" s="16"/>
      <c r="U872" s="16"/>
      <c r="V872" s="16"/>
      <c r="W872" s="16"/>
      <c r="X872" s="16"/>
      <c r="Y872" s="11"/>
      <c r="Z872" s="11"/>
      <c r="AA872" s="11"/>
      <c r="AB872" s="11"/>
      <c r="AC872" s="11"/>
      <c r="AD872" s="11"/>
    </row>
    <row r="873">
      <c r="A873" s="10"/>
      <c r="B873" s="10"/>
      <c r="C873" s="10"/>
      <c r="D873" s="10"/>
      <c r="E873" s="10"/>
      <c r="F873" s="11"/>
      <c r="G873" s="11"/>
      <c r="H873" s="11"/>
      <c r="I873" s="11"/>
      <c r="J873" s="11" t="str">
        <f>IFERROR(__xludf.DUMMYFUNCTION("iferror(if($B873="""", ,filter(Playoff_Stats!F:Z,Playoff_Stats!A:A=$B873,Playoff_Stats!B:B=$A873)))"),"")</f>
        <v/>
      </c>
      <c r="K873" s="11"/>
      <c r="L873" s="12"/>
      <c r="M873" s="11"/>
      <c r="N873" s="11"/>
      <c r="O873" s="13"/>
      <c r="P873" s="14"/>
      <c r="Q873" s="13"/>
      <c r="R873" s="13"/>
      <c r="S873" s="15"/>
      <c r="T873" s="16"/>
      <c r="U873" s="16"/>
      <c r="V873" s="16"/>
      <c r="W873" s="16"/>
      <c r="X873" s="16"/>
      <c r="Y873" s="11"/>
      <c r="Z873" s="11"/>
      <c r="AA873" s="11"/>
      <c r="AB873" s="11"/>
      <c r="AC873" s="11"/>
      <c r="AD873" s="11"/>
    </row>
    <row r="874">
      <c r="A874" s="10"/>
      <c r="B874" s="10"/>
      <c r="C874" s="10"/>
      <c r="D874" s="10"/>
      <c r="E874" s="10"/>
      <c r="F874" s="11"/>
      <c r="G874" s="11"/>
      <c r="H874" s="11"/>
      <c r="I874" s="11"/>
      <c r="J874" s="11" t="str">
        <f>IFERROR(__xludf.DUMMYFUNCTION("iferror(if($B874="""", ,filter(Playoff_Stats!F:Z,Playoff_Stats!A:A=$B874,Playoff_Stats!B:B=$A874)))"),"")</f>
        <v/>
      </c>
      <c r="K874" s="11"/>
      <c r="L874" s="12"/>
      <c r="M874" s="11"/>
      <c r="N874" s="11"/>
      <c r="O874" s="13"/>
      <c r="P874" s="14"/>
      <c r="Q874" s="13"/>
      <c r="R874" s="13"/>
      <c r="S874" s="15"/>
      <c r="T874" s="16"/>
      <c r="U874" s="16"/>
      <c r="V874" s="16"/>
      <c r="W874" s="16"/>
      <c r="X874" s="16"/>
      <c r="Y874" s="11"/>
      <c r="Z874" s="11"/>
      <c r="AA874" s="11"/>
      <c r="AB874" s="11"/>
      <c r="AC874" s="11"/>
      <c r="AD874" s="11"/>
    </row>
    <row r="875">
      <c r="A875" s="10"/>
      <c r="B875" s="10"/>
      <c r="C875" s="10"/>
      <c r="D875" s="10"/>
      <c r="E875" s="10"/>
      <c r="F875" s="11"/>
      <c r="G875" s="11"/>
      <c r="H875" s="11"/>
      <c r="I875" s="11"/>
      <c r="J875" s="11" t="str">
        <f>IFERROR(__xludf.DUMMYFUNCTION("iferror(if($B875="""", ,filter(Playoff_Stats!F:Z,Playoff_Stats!A:A=$B875,Playoff_Stats!B:B=$A875)))"),"")</f>
        <v/>
      </c>
      <c r="K875" s="11"/>
      <c r="L875" s="12"/>
      <c r="M875" s="11"/>
      <c r="N875" s="11"/>
      <c r="O875" s="13"/>
      <c r="P875" s="14"/>
      <c r="Q875" s="13"/>
      <c r="R875" s="13"/>
      <c r="S875" s="15"/>
      <c r="T875" s="16"/>
      <c r="U875" s="16"/>
      <c r="V875" s="16"/>
      <c r="W875" s="16"/>
      <c r="X875" s="16"/>
      <c r="Y875" s="11"/>
      <c r="Z875" s="11"/>
      <c r="AA875" s="11"/>
      <c r="AB875" s="11"/>
      <c r="AC875" s="11"/>
      <c r="AD875" s="11"/>
    </row>
    <row r="876">
      <c r="A876" s="10"/>
      <c r="B876" s="10"/>
      <c r="C876" s="10"/>
      <c r="D876" s="10"/>
      <c r="E876" s="10"/>
      <c r="F876" s="11"/>
      <c r="G876" s="11"/>
      <c r="H876" s="11"/>
      <c r="I876" s="11"/>
      <c r="J876" s="11" t="str">
        <f>IFERROR(__xludf.DUMMYFUNCTION("iferror(if($B876="""", ,filter(Playoff_Stats!F:Z,Playoff_Stats!A:A=$B876,Playoff_Stats!B:B=$A876)))"),"")</f>
        <v/>
      </c>
      <c r="K876" s="11"/>
      <c r="L876" s="12"/>
      <c r="M876" s="11"/>
      <c r="N876" s="11"/>
      <c r="O876" s="13"/>
      <c r="P876" s="14"/>
      <c r="Q876" s="13"/>
      <c r="R876" s="13"/>
      <c r="S876" s="15"/>
      <c r="T876" s="16"/>
      <c r="U876" s="16"/>
      <c r="V876" s="16"/>
      <c r="W876" s="16"/>
      <c r="X876" s="16"/>
      <c r="Y876" s="11"/>
      <c r="Z876" s="11"/>
      <c r="AA876" s="11"/>
      <c r="AB876" s="11"/>
      <c r="AC876" s="11"/>
      <c r="AD876" s="11"/>
    </row>
    <row r="877">
      <c r="A877" s="10"/>
      <c r="B877" s="10"/>
      <c r="C877" s="10"/>
      <c r="D877" s="10"/>
      <c r="E877" s="10"/>
      <c r="F877" s="11"/>
      <c r="G877" s="11"/>
      <c r="H877" s="11"/>
      <c r="I877" s="11"/>
      <c r="J877" s="11" t="str">
        <f>IFERROR(__xludf.DUMMYFUNCTION("iferror(if($B877="""", ,filter(Playoff_Stats!F:Z,Playoff_Stats!A:A=$B877,Playoff_Stats!B:B=$A877)))"),"")</f>
        <v/>
      </c>
      <c r="K877" s="11"/>
      <c r="L877" s="12"/>
      <c r="M877" s="11"/>
      <c r="N877" s="11"/>
      <c r="O877" s="13"/>
      <c r="P877" s="14"/>
      <c r="Q877" s="13"/>
      <c r="R877" s="13"/>
      <c r="S877" s="15"/>
      <c r="T877" s="16"/>
      <c r="U877" s="16"/>
      <c r="V877" s="16"/>
      <c r="W877" s="16"/>
      <c r="X877" s="16"/>
      <c r="Y877" s="11"/>
      <c r="Z877" s="11"/>
      <c r="AA877" s="11"/>
      <c r="AB877" s="11"/>
      <c r="AC877" s="11"/>
      <c r="AD877" s="11"/>
    </row>
    <row r="878">
      <c r="A878" s="10"/>
      <c r="B878" s="10"/>
      <c r="C878" s="10"/>
      <c r="D878" s="10"/>
      <c r="E878" s="10"/>
      <c r="F878" s="11"/>
      <c r="G878" s="11"/>
      <c r="H878" s="11"/>
      <c r="I878" s="11"/>
      <c r="J878" s="11" t="str">
        <f>IFERROR(__xludf.DUMMYFUNCTION("iferror(if($B878="""", ,filter(Playoff_Stats!F:Z,Playoff_Stats!A:A=$B878,Playoff_Stats!B:B=$A878)))"),"")</f>
        <v/>
      </c>
      <c r="K878" s="11"/>
      <c r="L878" s="12"/>
      <c r="M878" s="11"/>
      <c r="N878" s="11"/>
      <c r="O878" s="13"/>
      <c r="P878" s="14"/>
      <c r="Q878" s="13"/>
      <c r="R878" s="13"/>
      <c r="S878" s="15"/>
      <c r="T878" s="16"/>
      <c r="U878" s="16"/>
      <c r="V878" s="16"/>
      <c r="W878" s="16"/>
      <c r="X878" s="16"/>
      <c r="Y878" s="11"/>
      <c r="Z878" s="11"/>
      <c r="AA878" s="11"/>
      <c r="AB878" s="11"/>
      <c r="AC878" s="11"/>
      <c r="AD878" s="11"/>
    </row>
    <row r="879">
      <c r="A879" s="10"/>
      <c r="B879" s="10"/>
      <c r="C879" s="10"/>
      <c r="D879" s="10"/>
      <c r="E879" s="10"/>
      <c r="F879" s="11"/>
      <c r="G879" s="11"/>
      <c r="H879" s="11"/>
      <c r="I879" s="11"/>
      <c r="J879" s="11" t="str">
        <f>IFERROR(__xludf.DUMMYFUNCTION("iferror(if($B879="""", ,filter(Playoff_Stats!F:Z,Playoff_Stats!A:A=$B879,Playoff_Stats!B:B=$A879)))"),"")</f>
        <v/>
      </c>
      <c r="K879" s="11"/>
      <c r="L879" s="12"/>
      <c r="M879" s="11"/>
      <c r="N879" s="11"/>
      <c r="O879" s="13"/>
      <c r="P879" s="14"/>
      <c r="Q879" s="13"/>
      <c r="R879" s="13"/>
      <c r="S879" s="15"/>
      <c r="T879" s="16"/>
      <c r="U879" s="16"/>
      <c r="V879" s="16"/>
      <c r="W879" s="16"/>
      <c r="X879" s="16"/>
      <c r="Y879" s="11"/>
      <c r="Z879" s="11"/>
      <c r="AA879" s="11"/>
      <c r="AB879" s="11"/>
      <c r="AC879" s="11"/>
      <c r="AD879" s="11"/>
    </row>
    <row r="880">
      <c r="A880" s="10"/>
      <c r="B880" s="10"/>
      <c r="C880" s="10"/>
      <c r="D880" s="10"/>
      <c r="E880" s="10"/>
      <c r="F880" s="11"/>
      <c r="G880" s="11"/>
      <c r="H880" s="11"/>
      <c r="I880" s="11"/>
      <c r="J880" s="11" t="str">
        <f>IFERROR(__xludf.DUMMYFUNCTION("iferror(if($B880="""", ,filter(Playoff_Stats!F:Z,Playoff_Stats!A:A=$B880,Playoff_Stats!B:B=$A880)))"),"")</f>
        <v/>
      </c>
      <c r="K880" s="11"/>
      <c r="L880" s="12"/>
      <c r="M880" s="11"/>
      <c r="N880" s="11"/>
      <c r="O880" s="13"/>
      <c r="P880" s="14"/>
      <c r="Q880" s="13"/>
      <c r="R880" s="13"/>
      <c r="S880" s="15"/>
      <c r="T880" s="16"/>
      <c r="U880" s="16"/>
      <c r="V880" s="16"/>
      <c r="W880" s="16"/>
      <c r="X880" s="16"/>
      <c r="Y880" s="11"/>
      <c r="Z880" s="11"/>
      <c r="AA880" s="11"/>
      <c r="AB880" s="11"/>
      <c r="AC880" s="11"/>
      <c r="AD880" s="11"/>
    </row>
    <row r="881">
      <c r="A881" s="10"/>
      <c r="B881" s="10"/>
      <c r="C881" s="10"/>
      <c r="D881" s="10"/>
      <c r="E881" s="10"/>
      <c r="F881" s="11"/>
      <c r="G881" s="11"/>
      <c r="H881" s="11"/>
      <c r="I881" s="11"/>
      <c r="J881" s="11" t="str">
        <f>IFERROR(__xludf.DUMMYFUNCTION("iferror(if($B881="""", ,filter(Playoff_Stats!F:Z,Playoff_Stats!A:A=$B881,Playoff_Stats!B:B=$A881)))"),"")</f>
        <v/>
      </c>
      <c r="K881" s="11"/>
      <c r="L881" s="12"/>
      <c r="M881" s="11"/>
      <c r="N881" s="11"/>
      <c r="O881" s="13"/>
      <c r="P881" s="14"/>
      <c r="Q881" s="13"/>
      <c r="R881" s="13"/>
      <c r="S881" s="15"/>
      <c r="T881" s="16"/>
      <c r="U881" s="16"/>
      <c r="V881" s="16"/>
      <c r="W881" s="16"/>
      <c r="X881" s="16"/>
      <c r="Y881" s="11"/>
      <c r="Z881" s="11"/>
      <c r="AA881" s="11"/>
      <c r="AB881" s="11"/>
      <c r="AC881" s="11"/>
      <c r="AD881" s="11"/>
    </row>
    <row r="882">
      <c r="A882" s="10"/>
      <c r="B882" s="10"/>
      <c r="C882" s="10"/>
      <c r="D882" s="10"/>
      <c r="E882" s="10"/>
      <c r="F882" s="11"/>
      <c r="G882" s="11"/>
      <c r="H882" s="11"/>
      <c r="I882" s="11"/>
      <c r="J882" s="11" t="str">
        <f>IFERROR(__xludf.DUMMYFUNCTION("iferror(if($B882="""", ,filter(Playoff_Stats!F:Z,Playoff_Stats!A:A=$B882,Playoff_Stats!B:B=$A882)))"),"")</f>
        <v/>
      </c>
      <c r="K882" s="11"/>
      <c r="L882" s="12"/>
      <c r="M882" s="11"/>
      <c r="N882" s="11"/>
      <c r="O882" s="13"/>
      <c r="P882" s="14"/>
      <c r="Q882" s="13"/>
      <c r="R882" s="13"/>
      <c r="S882" s="15"/>
      <c r="T882" s="16"/>
      <c r="U882" s="16"/>
      <c r="V882" s="16"/>
      <c r="W882" s="16"/>
      <c r="X882" s="16"/>
      <c r="Y882" s="11"/>
      <c r="Z882" s="11"/>
      <c r="AA882" s="11"/>
      <c r="AB882" s="11"/>
      <c r="AC882" s="11"/>
      <c r="AD882" s="11"/>
    </row>
    <row r="883">
      <c r="A883" s="10"/>
      <c r="B883" s="10"/>
      <c r="C883" s="10"/>
      <c r="D883" s="10"/>
      <c r="E883" s="10"/>
      <c r="F883" s="11"/>
      <c r="G883" s="11"/>
      <c r="H883" s="11"/>
      <c r="I883" s="11"/>
      <c r="J883" s="11" t="str">
        <f>IFERROR(__xludf.DUMMYFUNCTION("iferror(if($B883="""", ,filter(Playoff_Stats!F:Z,Playoff_Stats!A:A=$B883,Playoff_Stats!B:B=$A883)))"),"")</f>
        <v/>
      </c>
      <c r="K883" s="11"/>
      <c r="L883" s="12"/>
      <c r="M883" s="11"/>
      <c r="N883" s="11"/>
      <c r="O883" s="13"/>
      <c r="P883" s="14"/>
      <c r="Q883" s="13"/>
      <c r="R883" s="13"/>
      <c r="S883" s="15"/>
      <c r="T883" s="16"/>
      <c r="U883" s="16"/>
      <c r="V883" s="16"/>
      <c r="W883" s="16"/>
      <c r="X883" s="16"/>
      <c r="Y883" s="11"/>
      <c r="Z883" s="11"/>
      <c r="AA883" s="11"/>
      <c r="AB883" s="11"/>
      <c r="AC883" s="11"/>
      <c r="AD883" s="11"/>
    </row>
    <row r="884">
      <c r="A884" s="10"/>
      <c r="B884" s="10"/>
      <c r="C884" s="10"/>
      <c r="D884" s="10"/>
      <c r="E884" s="10"/>
      <c r="F884" s="11"/>
      <c r="G884" s="11"/>
      <c r="H884" s="11"/>
      <c r="I884" s="11"/>
      <c r="J884" s="11" t="str">
        <f>IFERROR(__xludf.DUMMYFUNCTION("iferror(if($B884="""", ,filter(Playoff_Stats!F:Z,Playoff_Stats!A:A=$B884,Playoff_Stats!B:B=$A884)))"),"")</f>
        <v/>
      </c>
      <c r="K884" s="11"/>
      <c r="L884" s="12"/>
      <c r="M884" s="11"/>
      <c r="N884" s="11"/>
      <c r="O884" s="13"/>
      <c r="P884" s="14"/>
      <c r="Q884" s="13"/>
      <c r="R884" s="13"/>
      <c r="S884" s="15"/>
      <c r="T884" s="16"/>
      <c r="U884" s="16"/>
      <c r="V884" s="16"/>
      <c r="W884" s="16"/>
      <c r="X884" s="16"/>
      <c r="Y884" s="11"/>
      <c r="Z884" s="11"/>
      <c r="AA884" s="11"/>
      <c r="AB884" s="11"/>
      <c r="AC884" s="11"/>
      <c r="AD884" s="11"/>
    </row>
    <row r="885">
      <c r="A885" s="10"/>
      <c r="B885" s="10"/>
      <c r="C885" s="10"/>
      <c r="D885" s="10"/>
      <c r="E885" s="10"/>
      <c r="F885" s="11"/>
      <c r="G885" s="11"/>
      <c r="H885" s="11"/>
      <c r="I885" s="11"/>
      <c r="J885" s="11" t="str">
        <f>IFERROR(__xludf.DUMMYFUNCTION("iferror(if($B885="""", ,filter(Playoff_Stats!F:Z,Playoff_Stats!A:A=$B885,Playoff_Stats!B:B=$A885)))"),"")</f>
        <v/>
      </c>
      <c r="K885" s="11"/>
      <c r="L885" s="12"/>
      <c r="M885" s="11"/>
      <c r="N885" s="11"/>
      <c r="O885" s="13"/>
      <c r="P885" s="14"/>
      <c r="Q885" s="13"/>
      <c r="R885" s="13"/>
      <c r="S885" s="15"/>
      <c r="T885" s="16"/>
      <c r="U885" s="16"/>
      <c r="V885" s="16"/>
      <c r="W885" s="16"/>
      <c r="X885" s="16"/>
      <c r="Y885" s="11"/>
      <c r="Z885" s="11"/>
      <c r="AA885" s="11"/>
      <c r="AB885" s="11"/>
      <c r="AC885" s="11"/>
      <c r="AD885" s="11"/>
    </row>
    <row r="886">
      <c r="A886" s="10"/>
      <c r="B886" s="10"/>
      <c r="C886" s="10"/>
      <c r="D886" s="10"/>
      <c r="E886" s="10"/>
      <c r="F886" s="11"/>
      <c r="G886" s="11"/>
      <c r="H886" s="11"/>
      <c r="I886" s="11"/>
      <c r="J886" s="11" t="str">
        <f>IFERROR(__xludf.DUMMYFUNCTION("iferror(if($B886="""", ,filter(Playoff_Stats!F:Z,Playoff_Stats!A:A=$B886,Playoff_Stats!B:B=$A886)))"),"")</f>
        <v/>
      </c>
      <c r="K886" s="11"/>
      <c r="L886" s="12"/>
      <c r="M886" s="11"/>
      <c r="N886" s="11"/>
      <c r="O886" s="13"/>
      <c r="P886" s="14"/>
      <c r="Q886" s="13"/>
      <c r="R886" s="13"/>
      <c r="S886" s="15"/>
      <c r="T886" s="16"/>
      <c r="U886" s="16"/>
      <c r="V886" s="16"/>
      <c r="W886" s="16"/>
      <c r="X886" s="16"/>
      <c r="Y886" s="11"/>
      <c r="Z886" s="11"/>
      <c r="AA886" s="11"/>
      <c r="AB886" s="11"/>
      <c r="AC886" s="11"/>
      <c r="AD886" s="11"/>
    </row>
    <row r="887">
      <c r="A887" s="10"/>
      <c r="B887" s="10"/>
      <c r="C887" s="10"/>
      <c r="D887" s="10"/>
      <c r="E887" s="10"/>
      <c r="F887" s="11"/>
      <c r="G887" s="11"/>
      <c r="H887" s="11"/>
      <c r="I887" s="11"/>
      <c r="J887" s="11" t="str">
        <f>IFERROR(__xludf.DUMMYFUNCTION("iferror(if($B887="""", ,filter(Playoff_Stats!F:Z,Playoff_Stats!A:A=$B887,Playoff_Stats!B:B=$A887)))"),"")</f>
        <v/>
      </c>
      <c r="K887" s="11"/>
      <c r="L887" s="12"/>
      <c r="M887" s="11"/>
      <c r="N887" s="11"/>
      <c r="O887" s="13"/>
      <c r="P887" s="14"/>
      <c r="Q887" s="13"/>
      <c r="R887" s="13"/>
      <c r="S887" s="15"/>
      <c r="T887" s="16"/>
      <c r="U887" s="16"/>
      <c r="V887" s="16"/>
      <c r="W887" s="16"/>
      <c r="X887" s="16"/>
      <c r="Y887" s="11"/>
      <c r="Z887" s="11"/>
      <c r="AA887" s="11"/>
      <c r="AB887" s="11"/>
      <c r="AC887" s="11"/>
      <c r="AD887" s="11"/>
    </row>
    <row r="888">
      <c r="A888" s="10"/>
      <c r="B888" s="10"/>
      <c r="C888" s="10"/>
      <c r="D888" s="10"/>
      <c r="E888" s="10"/>
      <c r="F888" s="11"/>
      <c r="G888" s="11"/>
      <c r="H888" s="11"/>
      <c r="I888" s="11"/>
      <c r="J888" s="11" t="str">
        <f>IFERROR(__xludf.DUMMYFUNCTION("iferror(if($B888="""", ,filter(Playoff_Stats!F:Z,Playoff_Stats!A:A=$B888,Playoff_Stats!B:B=$A888)))"),"")</f>
        <v/>
      </c>
      <c r="K888" s="11"/>
      <c r="L888" s="12"/>
      <c r="M888" s="11"/>
      <c r="N888" s="11"/>
      <c r="O888" s="13"/>
      <c r="P888" s="14"/>
      <c r="Q888" s="13"/>
      <c r="R888" s="13"/>
      <c r="S888" s="15"/>
      <c r="T888" s="16"/>
      <c r="U888" s="16"/>
      <c r="V888" s="16"/>
      <c r="W888" s="16"/>
      <c r="X888" s="16"/>
      <c r="Y888" s="11"/>
      <c r="Z888" s="11"/>
      <c r="AA888" s="11"/>
      <c r="AB888" s="11"/>
      <c r="AC888" s="11"/>
      <c r="AD888" s="11"/>
    </row>
    <row r="889">
      <c r="A889" s="10"/>
      <c r="B889" s="10"/>
      <c r="C889" s="10"/>
      <c r="D889" s="10"/>
      <c r="E889" s="10"/>
      <c r="F889" s="11"/>
      <c r="G889" s="11"/>
      <c r="H889" s="11"/>
      <c r="I889" s="11"/>
      <c r="J889" s="11" t="str">
        <f>IFERROR(__xludf.DUMMYFUNCTION("iferror(if($B889="""", ,filter(Playoff_Stats!F:Z,Playoff_Stats!A:A=$B889,Playoff_Stats!B:B=$A889)))"),"")</f>
        <v/>
      </c>
      <c r="K889" s="11"/>
      <c r="L889" s="12"/>
      <c r="M889" s="11"/>
      <c r="N889" s="11"/>
      <c r="O889" s="13"/>
      <c r="P889" s="14"/>
      <c r="Q889" s="13"/>
      <c r="R889" s="13"/>
      <c r="S889" s="15"/>
      <c r="T889" s="16"/>
      <c r="U889" s="16"/>
      <c r="V889" s="16"/>
      <c r="W889" s="16"/>
      <c r="X889" s="16"/>
      <c r="Y889" s="11"/>
      <c r="Z889" s="11"/>
      <c r="AA889" s="11"/>
      <c r="AB889" s="11"/>
      <c r="AC889" s="11"/>
      <c r="AD889" s="11"/>
    </row>
    <row r="890">
      <c r="A890" s="10"/>
      <c r="B890" s="10"/>
      <c r="C890" s="10"/>
      <c r="D890" s="10"/>
      <c r="E890" s="10"/>
      <c r="F890" s="11"/>
      <c r="G890" s="11"/>
      <c r="H890" s="11"/>
      <c r="I890" s="11"/>
      <c r="J890" s="11" t="str">
        <f>IFERROR(__xludf.DUMMYFUNCTION("iferror(if($B890="""", ,filter(Playoff_Stats!F:Z,Playoff_Stats!A:A=$B890,Playoff_Stats!B:B=$A890)))"),"")</f>
        <v/>
      </c>
      <c r="K890" s="11"/>
      <c r="L890" s="12"/>
      <c r="M890" s="11"/>
      <c r="N890" s="11"/>
      <c r="O890" s="13"/>
      <c r="P890" s="14"/>
      <c r="Q890" s="13"/>
      <c r="R890" s="13"/>
      <c r="S890" s="15"/>
      <c r="T890" s="16"/>
      <c r="U890" s="16"/>
      <c r="V890" s="16"/>
      <c r="W890" s="16"/>
      <c r="X890" s="16"/>
      <c r="Y890" s="11"/>
      <c r="Z890" s="11"/>
      <c r="AA890" s="11"/>
      <c r="AB890" s="11"/>
      <c r="AC890" s="11"/>
      <c r="AD890" s="11"/>
    </row>
    <row r="891">
      <c r="A891" s="10"/>
      <c r="B891" s="10"/>
      <c r="C891" s="10"/>
      <c r="D891" s="10"/>
      <c r="E891" s="10"/>
      <c r="F891" s="11"/>
      <c r="G891" s="11"/>
      <c r="H891" s="11"/>
      <c r="I891" s="11"/>
      <c r="J891" s="11" t="str">
        <f>IFERROR(__xludf.DUMMYFUNCTION("iferror(if($B891="""", ,filter(Playoff_Stats!F:Z,Playoff_Stats!A:A=$B891,Playoff_Stats!B:B=$A891)))"),"")</f>
        <v/>
      </c>
      <c r="K891" s="11"/>
      <c r="L891" s="12"/>
      <c r="M891" s="11"/>
      <c r="N891" s="11"/>
      <c r="O891" s="13"/>
      <c r="P891" s="14"/>
      <c r="Q891" s="13"/>
      <c r="R891" s="13"/>
      <c r="S891" s="15"/>
      <c r="T891" s="16"/>
      <c r="U891" s="16"/>
      <c r="V891" s="16"/>
      <c r="W891" s="16"/>
      <c r="X891" s="16"/>
      <c r="Y891" s="11"/>
      <c r="Z891" s="11"/>
      <c r="AA891" s="11"/>
      <c r="AB891" s="11"/>
      <c r="AC891" s="11"/>
      <c r="AD891" s="11"/>
    </row>
    <row r="892">
      <c r="A892" s="10"/>
      <c r="B892" s="10"/>
      <c r="C892" s="10"/>
      <c r="D892" s="10"/>
      <c r="E892" s="10"/>
      <c r="F892" s="11"/>
      <c r="G892" s="11"/>
      <c r="H892" s="11"/>
      <c r="I892" s="11"/>
      <c r="J892" s="11" t="str">
        <f>IFERROR(__xludf.DUMMYFUNCTION("iferror(if($B892="""", ,filter(Playoff_Stats!F:Z,Playoff_Stats!A:A=$B892,Playoff_Stats!B:B=$A892)))"),"")</f>
        <v/>
      </c>
      <c r="K892" s="11"/>
      <c r="L892" s="12"/>
      <c r="M892" s="11"/>
      <c r="N892" s="11"/>
      <c r="O892" s="13"/>
      <c r="P892" s="14"/>
      <c r="Q892" s="13"/>
      <c r="R892" s="13"/>
      <c r="S892" s="15"/>
      <c r="T892" s="16"/>
      <c r="U892" s="16"/>
      <c r="V892" s="16"/>
      <c r="W892" s="16"/>
      <c r="X892" s="16"/>
      <c r="Y892" s="11"/>
      <c r="Z892" s="11"/>
      <c r="AA892" s="11"/>
      <c r="AB892" s="11"/>
      <c r="AC892" s="11"/>
      <c r="AD892" s="11"/>
    </row>
    <row r="893">
      <c r="A893" s="10"/>
      <c r="B893" s="10"/>
      <c r="C893" s="10"/>
      <c r="D893" s="10"/>
      <c r="E893" s="10"/>
      <c r="F893" s="11"/>
      <c r="G893" s="11"/>
      <c r="H893" s="11"/>
      <c r="I893" s="11"/>
      <c r="J893" s="11" t="str">
        <f>IFERROR(__xludf.DUMMYFUNCTION("iferror(if($B893="""", ,filter(Playoff_Stats!F:Z,Playoff_Stats!A:A=$B893,Playoff_Stats!B:B=$A893)))"),"")</f>
        <v/>
      </c>
      <c r="K893" s="11"/>
      <c r="L893" s="12"/>
      <c r="M893" s="11"/>
      <c r="N893" s="11"/>
      <c r="O893" s="13"/>
      <c r="P893" s="14"/>
      <c r="Q893" s="13"/>
      <c r="R893" s="13"/>
      <c r="S893" s="15"/>
      <c r="T893" s="16"/>
      <c r="U893" s="16"/>
      <c r="V893" s="16"/>
      <c r="W893" s="16"/>
      <c r="X893" s="16"/>
      <c r="Y893" s="11"/>
      <c r="Z893" s="11"/>
      <c r="AA893" s="11"/>
      <c r="AB893" s="11"/>
      <c r="AC893" s="11"/>
      <c r="AD893" s="11"/>
    </row>
    <row r="894">
      <c r="A894" s="10"/>
      <c r="B894" s="10"/>
      <c r="C894" s="10"/>
      <c r="D894" s="10"/>
      <c r="E894" s="10"/>
      <c r="F894" s="11"/>
      <c r="G894" s="11"/>
      <c r="H894" s="11"/>
      <c r="I894" s="11"/>
      <c r="J894" s="11" t="str">
        <f>IFERROR(__xludf.DUMMYFUNCTION("iferror(if($B894="""", ,filter(Playoff_Stats!F:Z,Playoff_Stats!A:A=$B894,Playoff_Stats!B:B=$A894)))"),"")</f>
        <v/>
      </c>
      <c r="K894" s="11"/>
      <c r="L894" s="12"/>
      <c r="M894" s="11"/>
      <c r="N894" s="11"/>
      <c r="O894" s="13"/>
      <c r="P894" s="14"/>
      <c r="Q894" s="13"/>
      <c r="R894" s="13"/>
      <c r="S894" s="15"/>
      <c r="T894" s="16"/>
      <c r="U894" s="16"/>
      <c r="V894" s="16"/>
      <c r="W894" s="16"/>
      <c r="X894" s="16"/>
      <c r="Y894" s="11"/>
      <c r="Z894" s="11"/>
      <c r="AA894" s="11"/>
      <c r="AB894" s="11"/>
      <c r="AC894" s="11"/>
      <c r="AD894" s="11"/>
    </row>
    <row r="895">
      <c r="A895" s="10"/>
      <c r="B895" s="10"/>
      <c r="C895" s="10"/>
      <c r="D895" s="10"/>
      <c r="E895" s="10"/>
      <c r="F895" s="11"/>
      <c r="G895" s="11"/>
      <c r="H895" s="11"/>
      <c r="I895" s="11"/>
      <c r="J895" s="11" t="str">
        <f>IFERROR(__xludf.DUMMYFUNCTION("iferror(if($B895="""", ,filter(Playoff_Stats!F:Z,Playoff_Stats!A:A=$B895,Playoff_Stats!B:B=$A895)))"),"")</f>
        <v/>
      </c>
      <c r="K895" s="11"/>
      <c r="L895" s="12"/>
      <c r="M895" s="11"/>
      <c r="N895" s="11"/>
      <c r="O895" s="13"/>
      <c r="P895" s="14"/>
      <c r="Q895" s="13"/>
      <c r="R895" s="13"/>
      <c r="S895" s="15"/>
      <c r="T895" s="16"/>
      <c r="U895" s="16"/>
      <c r="V895" s="16"/>
      <c r="W895" s="16"/>
      <c r="X895" s="16"/>
      <c r="Y895" s="11"/>
      <c r="Z895" s="11"/>
      <c r="AA895" s="11"/>
      <c r="AB895" s="11"/>
      <c r="AC895" s="11"/>
      <c r="AD895" s="11"/>
    </row>
    <row r="896">
      <c r="A896" s="10"/>
      <c r="B896" s="10"/>
      <c r="C896" s="10"/>
      <c r="D896" s="10"/>
      <c r="E896" s="10"/>
      <c r="F896" s="11"/>
      <c r="G896" s="11"/>
      <c r="H896" s="11"/>
      <c r="I896" s="11"/>
      <c r="J896" s="11" t="str">
        <f>IFERROR(__xludf.DUMMYFUNCTION("iferror(if($B896="""", ,filter(Playoff_Stats!F:Z,Playoff_Stats!A:A=$B896,Playoff_Stats!B:B=$A896)))"),"")</f>
        <v/>
      </c>
      <c r="K896" s="11"/>
      <c r="L896" s="12"/>
      <c r="M896" s="11"/>
      <c r="N896" s="11"/>
      <c r="O896" s="13"/>
      <c r="P896" s="14"/>
      <c r="Q896" s="13"/>
      <c r="R896" s="13"/>
      <c r="S896" s="15"/>
      <c r="T896" s="16"/>
      <c r="U896" s="16"/>
      <c r="V896" s="16"/>
      <c r="W896" s="16"/>
      <c r="X896" s="16"/>
      <c r="Y896" s="11"/>
      <c r="Z896" s="11"/>
      <c r="AA896" s="11"/>
      <c r="AB896" s="11"/>
      <c r="AC896" s="11"/>
      <c r="AD896" s="11"/>
    </row>
    <row r="897">
      <c r="A897" s="10"/>
      <c r="B897" s="10"/>
      <c r="C897" s="10"/>
      <c r="D897" s="10"/>
      <c r="E897" s="10"/>
      <c r="F897" s="11"/>
      <c r="G897" s="11"/>
      <c r="H897" s="11"/>
      <c r="I897" s="11"/>
      <c r="J897" s="11" t="str">
        <f>IFERROR(__xludf.DUMMYFUNCTION("iferror(if($B897="""", ,filter(Playoff_Stats!F:Z,Playoff_Stats!A:A=$B897,Playoff_Stats!B:B=$A897)))"),"")</f>
        <v/>
      </c>
      <c r="K897" s="11"/>
      <c r="L897" s="12"/>
      <c r="M897" s="11"/>
      <c r="N897" s="11"/>
      <c r="O897" s="13"/>
      <c r="P897" s="14"/>
      <c r="Q897" s="13"/>
      <c r="R897" s="13"/>
      <c r="S897" s="15"/>
      <c r="T897" s="16"/>
      <c r="U897" s="16"/>
      <c r="V897" s="16"/>
      <c r="W897" s="16"/>
      <c r="X897" s="16"/>
      <c r="Y897" s="11"/>
      <c r="Z897" s="11"/>
      <c r="AA897" s="11"/>
      <c r="AB897" s="11"/>
      <c r="AC897" s="11"/>
      <c r="AD897" s="11"/>
    </row>
    <row r="898">
      <c r="A898" s="10"/>
      <c r="B898" s="10"/>
      <c r="C898" s="10"/>
      <c r="D898" s="10"/>
      <c r="E898" s="10"/>
      <c r="F898" s="11"/>
      <c r="G898" s="11"/>
      <c r="H898" s="11"/>
      <c r="I898" s="11"/>
      <c r="J898" s="11" t="str">
        <f>IFERROR(__xludf.DUMMYFUNCTION("iferror(if($B898="""", ,filter(Playoff_Stats!F:Z,Playoff_Stats!A:A=$B898,Playoff_Stats!B:B=$A898)))"),"")</f>
        <v/>
      </c>
      <c r="K898" s="11"/>
      <c r="L898" s="12"/>
      <c r="M898" s="11"/>
      <c r="N898" s="11"/>
      <c r="O898" s="13"/>
      <c r="P898" s="14"/>
      <c r="Q898" s="13"/>
      <c r="R898" s="13"/>
      <c r="S898" s="15"/>
      <c r="T898" s="16"/>
      <c r="U898" s="16"/>
      <c r="V898" s="16"/>
      <c r="W898" s="16"/>
      <c r="X898" s="16"/>
      <c r="Y898" s="11"/>
      <c r="Z898" s="11"/>
      <c r="AA898" s="11"/>
      <c r="AB898" s="11"/>
      <c r="AC898" s="11"/>
      <c r="AD898" s="11"/>
    </row>
    <row r="899">
      <c r="A899" s="10"/>
      <c r="B899" s="10"/>
      <c r="C899" s="10"/>
      <c r="D899" s="10"/>
      <c r="E899" s="10"/>
      <c r="F899" s="11"/>
      <c r="G899" s="11"/>
      <c r="H899" s="11"/>
      <c r="I899" s="11"/>
      <c r="J899" s="11" t="str">
        <f>IFERROR(__xludf.DUMMYFUNCTION("iferror(if($B899="""", ,filter(Playoff_Stats!F:Z,Playoff_Stats!A:A=$B899,Playoff_Stats!B:B=$A899)))"),"")</f>
        <v/>
      </c>
      <c r="K899" s="11"/>
      <c r="L899" s="12"/>
      <c r="M899" s="11"/>
      <c r="N899" s="11"/>
      <c r="O899" s="13"/>
      <c r="P899" s="14"/>
      <c r="Q899" s="13"/>
      <c r="R899" s="13"/>
      <c r="S899" s="15"/>
      <c r="T899" s="16"/>
      <c r="U899" s="16"/>
      <c r="V899" s="16"/>
      <c r="W899" s="16"/>
      <c r="X899" s="16"/>
      <c r="Y899" s="11"/>
      <c r="Z899" s="11"/>
      <c r="AA899" s="11"/>
      <c r="AB899" s="11"/>
      <c r="AC899" s="11"/>
      <c r="AD899" s="11"/>
    </row>
    <row r="900">
      <c r="A900" s="10"/>
      <c r="B900" s="10"/>
      <c r="C900" s="10"/>
      <c r="D900" s="10"/>
      <c r="E900" s="10"/>
      <c r="F900" s="11"/>
      <c r="G900" s="11"/>
      <c r="H900" s="11"/>
      <c r="I900" s="11"/>
      <c r="J900" s="11" t="str">
        <f>IFERROR(__xludf.DUMMYFUNCTION("iferror(if($B900="""", ,filter(Playoff_Stats!F:Z,Playoff_Stats!A:A=$B900,Playoff_Stats!B:B=$A900)))"),"")</f>
        <v/>
      </c>
      <c r="K900" s="11"/>
      <c r="L900" s="12"/>
      <c r="M900" s="11"/>
      <c r="N900" s="11"/>
      <c r="O900" s="13"/>
      <c r="P900" s="14"/>
      <c r="Q900" s="13"/>
      <c r="R900" s="13"/>
      <c r="S900" s="15"/>
      <c r="T900" s="16"/>
      <c r="U900" s="16"/>
      <c r="V900" s="16"/>
      <c r="W900" s="16"/>
      <c r="X900" s="16"/>
      <c r="Y900" s="11"/>
      <c r="Z900" s="11"/>
      <c r="AA900" s="11"/>
      <c r="AB900" s="11"/>
      <c r="AC900" s="11"/>
      <c r="AD900" s="11"/>
    </row>
    <row r="901">
      <c r="A901" s="10"/>
      <c r="B901" s="10"/>
      <c r="C901" s="10"/>
      <c r="D901" s="10"/>
      <c r="E901" s="10"/>
      <c r="F901" s="11"/>
      <c r="G901" s="11"/>
      <c r="H901" s="11"/>
      <c r="I901" s="11"/>
      <c r="J901" s="11" t="str">
        <f>IFERROR(__xludf.DUMMYFUNCTION("iferror(if($B901="""", ,filter(Playoff_Stats!F:Z,Playoff_Stats!A:A=$B901,Playoff_Stats!B:B=$A901)))"),"")</f>
        <v/>
      </c>
      <c r="K901" s="11"/>
      <c r="L901" s="12"/>
      <c r="M901" s="11"/>
      <c r="N901" s="11"/>
      <c r="O901" s="13"/>
      <c r="P901" s="14"/>
      <c r="Q901" s="13"/>
      <c r="R901" s="13"/>
      <c r="S901" s="15"/>
      <c r="T901" s="16"/>
      <c r="U901" s="16"/>
      <c r="V901" s="16"/>
      <c r="W901" s="16"/>
      <c r="X901" s="16"/>
      <c r="Y901" s="11"/>
      <c r="Z901" s="11"/>
      <c r="AA901" s="11"/>
      <c r="AB901" s="11"/>
      <c r="AC901" s="11"/>
      <c r="AD901" s="11"/>
    </row>
    <row r="902">
      <c r="A902" s="10"/>
      <c r="B902" s="10"/>
      <c r="C902" s="10"/>
      <c r="D902" s="10"/>
      <c r="E902" s="10"/>
      <c r="F902" s="11"/>
      <c r="G902" s="11"/>
      <c r="H902" s="11"/>
      <c r="I902" s="11"/>
      <c r="J902" s="11" t="str">
        <f>IFERROR(__xludf.DUMMYFUNCTION("iferror(if($B902="""", ,filter(Playoff_Stats!F:Z,Playoff_Stats!A:A=$B902,Playoff_Stats!B:B=$A902)))"),"")</f>
        <v/>
      </c>
      <c r="K902" s="11"/>
      <c r="L902" s="12"/>
      <c r="M902" s="11"/>
      <c r="N902" s="11"/>
      <c r="O902" s="13"/>
      <c r="P902" s="14"/>
      <c r="Q902" s="13"/>
      <c r="R902" s="13"/>
      <c r="S902" s="15"/>
      <c r="T902" s="16"/>
      <c r="U902" s="16"/>
      <c r="V902" s="16"/>
      <c r="W902" s="16"/>
      <c r="X902" s="16"/>
      <c r="Y902" s="11"/>
      <c r="Z902" s="11"/>
      <c r="AA902" s="11"/>
      <c r="AB902" s="11"/>
      <c r="AC902" s="11"/>
      <c r="AD902" s="11"/>
    </row>
    <row r="903">
      <c r="A903" s="10"/>
      <c r="B903" s="10"/>
      <c r="C903" s="10"/>
      <c r="D903" s="10"/>
      <c r="E903" s="10"/>
      <c r="F903" s="11"/>
      <c r="G903" s="11"/>
      <c r="H903" s="11"/>
      <c r="I903" s="11"/>
      <c r="J903" s="11" t="str">
        <f>IFERROR(__xludf.DUMMYFUNCTION("iferror(if($B903="""", ,filter(Playoff_Stats!F:Z,Playoff_Stats!A:A=$B903,Playoff_Stats!B:B=$A903)))"),"")</f>
        <v/>
      </c>
      <c r="K903" s="11"/>
      <c r="L903" s="12"/>
      <c r="M903" s="11"/>
      <c r="N903" s="11"/>
      <c r="O903" s="13"/>
      <c r="P903" s="14"/>
      <c r="Q903" s="13"/>
      <c r="R903" s="13"/>
      <c r="S903" s="15"/>
      <c r="T903" s="16"/>
      <c r="U903" s="16"/>
      <c r="V903" s="16"/>
      <c r="W903" s="16"/>
      <c r="X903" s="16"/>
      <c r="Y903" s="11"/>
      <c r="Z903" s="11"/>
      <c r="AA903" s="11"/>
      <c r="AB903" s="11"/>
      <c r="AC903" s="11"/>
      <c r="AD903" s="11"/>
    </row>
    <row r="904">
      <c r="A904" s="10"/>
      <c r="B904" s="10"/>
      <c r="C904" s="10"/>
      <c r="D904" s="10"/>
      <c r="E904" s="10"/>
      <c r="F904" s="11"/>
      <c r="G904" s="11"/>
      <c r="H904" s="11"/>
      <c r="I904" s="11"/>
      <c r="J904" s="11" t="str">
        <f>IFERROR(__xludf.DUMMYFUNCTION("iferror(if($B904="""", ,filter(Playoff_Stats!F:Z,Playoff_Stats!A:A=$B904,Playoff_Stats!B:B=$A904)))"),"")</f>
        <v/>
      </c>
      <c r="K904" s="11"/>
      <c r="L904" s="12"/>
      <c r="M904" s="11"/>
      <c r="N904" s="11"/>
      <c r="O904" s="13"/>
      <c r="P904" s="14"/>
      <c r="Q904" s="13"/>
      <c r="R904" s="13"/>
      <c r="S904" s="15"/>
      <c r="T904" s="16"/>
      <c r="U904" s="16"/>
      <c r="V904" s="16"/>
      <c r="W904" s="16"/>
      <c r="X904" s="16"/>
      <c r="Y904" s="11"/>
      <c r="Z904" s="11"/>
      <c r="AA904" s="11"/>
      <c r="AB904" s="11"/>
      <c r="AC904" s="11"/>
      <c r="AD904" s="11"/>
    </row>
    <row r="905">
      <c r="A905" s="10"/>
      <c r="B905" s="10"/>
      <c r="C905" s="10"/>
      <c r="D905" s="10"/>
      <c r="E905" s="10"/>
      <c r="F905" s="11"/>
      <c r="G905" s="11"/>
      <c r="H905" s="11"/>
      <c r="I905" s="11"/>
      <c r="J905" s="11" t="str">
        <f>IFERROR(__xludf.DUMMYFUNCTION("iferror(if($B905="""", ,filter(Playoff_Stats!F:Z,Playoff_Stats!A:A=$B905,Playoff_Stats!B:B=$A905)))"),"")</f>
        <v/>
      </c>
      <c r="K905" s="11"/>
      <c r="L905" s="12"/>
      <c r="M905" s="11"/>
      <c r="N905" s="11"/>
      <c r="O905" s="13"/>
      <c r="P905" s="14"/>
      <c r="Q905" s="13"/>
      <c r="R905" s="13"/>
      <c r="S905" s="15"/>
      <c r="T905" s="16"/>
      <c r="U905" s="16"/>
      <c r="V905" s="16"/>
      <c r="W905" s="16"/>
      <c r="X905" s="16"/>
      <c r="Y905" s="11"/>
      <c r="Z905" s="11"/>
      <c r="AA905" s="11"/>
      <c r="AB905" s="11"/>
      <c r="AC905" s="11"/>
      <c r="AD905" s="11"/>
    </row>
    <row r="906">
      <c r="A906" s="10"/>
      <c r="B906" s="10"/>
      <c r="C906" s="10"/>
      <c r="D906" s="10"/>
      <c r="E906" s="10"/>
      <c r="F906" s="11"/>
      <c r="G906" s="11"/>
      <c r="H906" s="11"/>
      <c r="I906" s="11"/>
      <c r="J906" s="11" t="str">
        <f>IFERROR(__xludf.DUMMYFUNCTION("iferror(if($B906="""", ,filter(Playoff_Stats!F:Z,Playoff_Stats!A:A=$B906,Playoff_Stats!B:B=$A906)))"),"")</f>
        <v/>
      </c>
      <c r="K906" s="11"/>
      <c r="L906" s="12"/>
      <c r="M906" s="11"/>
      <c r="N906" s="11"/>
      <c r="O906" s="13"/>
      <c r="P906" s="14"/>
      <c r="Q906" s="13"/>
      <c r="R906" s="13"/>
      <c r="S906" s="15"/>
      <c r="T906" s="16"/>
      <c r="U906" s="16"/>
      <c r="V906" s="16"/>
      <c r="W906" s="16"/>
      <c r="X906" s="16"/>
      <c r="Y906" s="11"/>
      <c r="Z906" s="11"/>
      <c r="AA906" s="11"/>
      <c r="AB906" s="11"/>
      <c r="AC906" s="11"/>
      <c r="AD906" s="11"/>
    </row>
    <row r="907">
      <c r="A907" s="10"/>
      <c r="B907" s="10"/>
      <c r="C907" s="10"/>
      <c r="D907" s="10"/>
      <c r="E907" s="10"/>
      <c r="F907" s="11"/>
      <c r="G907" s="11"/>
      <c r="H907" s="11"/>
      <c r="I907" s="11"/>
      <c r="J907" s="11" t="str">
        <f>IFERROR(__xludf.DUMMYFUNCTION("iferror(if($B907="""", ,filter(Playoff_Stats!F:Z,Playoff_Stats!A:A=$B907,Playoff_Stats!B:B=$A907)))"),"")</f>
        <v/>
      </c>
      <c r="K907" s="11"/>
      <c r="L907" s="12"/>
      <c r="M907" s="11"/>
      <c r="N907" s="11"/>
      <c r="O907" s="13"/>
      <c r="P907" s="14"/>
      <c r="Q907" s="13"/>
      <c r="R907" s="13"/>
      <c r="S907" s="15"/>
      <c r="T907" s="16"/>
      <c r="U907" s="16"/>
      <c r="V907" s="16"/>
      <c r="W907" s="16"/>
      <c r="X907" s="16"/>
      <c r="Y907" s="11"/>
      <c r="Z907" s="11"/>
      <c r="AA907" s="11"/>
      <c r="AB907" s="11"/>
      <c r="AC907" s="11"/>
      <c r="AD907" s="11"/>
    </row>
    <row r="908">
      <c r="A908" s="10"/>
      <c r="B908" s="10"/>
      <c r="C908" s="10"/>
      <c r="D908" s="10"/>
      <c r="E908" s="10"/>
      <c r="F908" s="11"/>
      <c r="G908" s="11"/>
      <c r="H908" s="11"/>
      <c r="I908" s="11"/>
      <c r="J908" s="11" t="str">
        <f>IFERROR(__xludf.DUMMYFUNCTION("iferror(if($B908="""", ,filter(Playoff_Stats!F:Z,Playoff_Stats!A:A=$B908,Playoff_Stats!B:B=$A908)))"),"")</f>
        <v/>
      </c>
      <c r="K908" s="11"/>
      <c r="L908" s="12"/>
      <c r="M908" s="11"/>
      <c r="N908" s="11"/>
      <c r="O908" s="13"/>
      <c r="P908" s="14"/>
      <c r="Q908" s="13"/>
      <c r="R908" s="13"/>
      <c r="S908" s="15"/>
      <c r="T908" s="16"/>
      <c r="U908" s="16"/>
      <c r="V908" s="16"/>
      <c r="W908" s="16"/>
      <c r="X908" s="16"/>
      <c r="Y908" s="11"/>
      <c r="Z908" s="11"/>
      <c r="AA908" s="11"/>
      <c r="AB908" s="11"/>
      <c r="AC908" s="11"/>
      <c r="AD908" s="11"/>
    </row>
    <row r="909">
      <c r="A909" s="10"/>
      <c r="B909" s="10"/>
      <c r="C909" s="10"/>
      <c r="D909" s="10"/>
      <c r="E909" s="10"/>
      <c r="F909" s="11"/>
      <c r="G909" s="11"/>
      <c r="H909" s="11"/>
      <c r="I909" s="11"/>
      <c r="J909" s="11" t="str">
        <f>IFERROR(__xludf.DUMMYFUNCTION("iferror(if($B909="""", ,filter(Playoff_Stats!F:Z,Playoff_Stats!A:A=$B909,Playoff_Stats!B:B=$A909)))"),"")</f>
        <v/>
      </c>
      <c r="K909" s="11"/>
      <c r="L909" s="12"/>
      <c r="M909" s="11"/>
      <c r="N909" s="11"/>
      <c r="O909" s="13"/>
      <c r="P909" s="14"/>
      <c r="Q909" s="13"/>
      <c r="R909" s="13"/>
      <c r="S909" s="15"/>
      <c r="T909" s="16"/>
      <c r="U909" s="16"/>
      <c r="V909" s="16"/>
      <c r="W909" s="16"/>
      <c r="X909" s="16"/>
      <c r="Y909" s="11"/>
      <c r="Z909" s="11"/>
      <c r="AA909" s="11"/>
      <c r="AB909" s="11"/>
      <c r="AC909" s="11"/>
      <c r="AD909" s="11"/>
    </row>
    <row r="910">
      <c r="A910" s="10"/>
      <c r="B910" s="10"/>
      <c r="C910" s="10"/>
      <c r="D910" s="10"/>
      <c r="E910" s="10"/>
      <c r="F910" s="11"/>
      <c r="G910" s="11"/>
      <c r="H910" s="11"/>
      <c r="I910" s="11"/>
      <c r="J910" s="11" t="str">
        <f>IFERROR(__xludf.DUMMYFUNCTION("iferror(if($B910="""", ,filter(Playoff_Stats!F:Z,Playoff_Stats!A:A=$B910,Playoff_Stats!B:B=$A910)))"),"")</f>
        <v/>
      </c>
      <c r="K910" s="11"/>
      <c r="L910" s="12"/>
      <c r="M910" s="11"/>
      <c r="N910" s="11"/>
      <c r="O910" s="13"/>
      <c r="P910" s="14"/>
      <c r="Q910" s="13"/>
      <c r="R910" s="13"/>
      <c r="S910" s="15"/>
      <c r="T910" s="16"/>
      <c r="U910" s="16"/>
      <c r="V910" s="16"/>
      <c r="W910" s="16"/>
      <c r="X910" s="16"/>
      <c r="Y910" s="11"/>
      <c r="Z910" s="11"/>
      <c r="AA910" s="11"/>
      <c r="AB910" s="11"/>
      <c r="AC910" s="11"/>
      <c r="AD910" s="11"/>
    </row>
    <row r="911">
      <c r="A911" s="10"/>
      <c r="B911" s="10"/>
      <c r="C911" s="10"/>
      <c r="D911" s="10"/>
      <c r="E911" s="10"/>
      <c r="F911" s="11"/>
      <c r="G911" s="11"/>
      <c r="H911" s="11"/>
      <c r="I911" s="11"/>
      <c r="J911" s="11" t="str">
        <f>IFERROR(__xludf.DUMMYFUNCTION("iferror(if($B911="""", ,filter(Playoff_Stats!F:Z,Playoff_Stats!A:A=$B911,Playoff_Stats!B:B=$A911)))"),"")</f>
        <v/>
      </c>
      <c r="K911" s="11"/>
      <c r="L911" s="12"/>
      <c r="M911" s="11"/>
      <c r="N911" s="11"/>
      <c r="O911" s="13"/>
      <c r="P911" s="14"/>
      <c r="Q911" s="13"/>
      <c r="R911" s="13"/>
      <c r="S911" s="15"/>
      <c r="T911" s="16"/>
      <c r="U911" s="16"/>
      <c r="V911" s="16"/>
      <c r="W911" s="16"/>
      <c r="X911" s="16"/>
      <c r="Y911" s="11"/>
      <c r="Z911" s="11"/>
      <c r="AA911" s="11"/>
      <c r="AB911" s="11"/>
      <c r="AC911" s="11"/>
      <c r="AD911" s="11"/>
    </row>
    <row r="912">
      <c r="A912" s="10"/>
      <c r="B912" s="10"/>
      <c r="C912" s="10"/>
      <c r="D912" s="10"/>
      <c r="E912" s="10"/>
      <c r="F912" s="11"/>
      <c r="G912" s="11"/>
      <c r="H912" s="11"/>
      <c r="I912" s="11"/>
      <c r="J912" s="11" t="str">
        <f>IFERROR(__xludf.DUMMYFUNCTION("iferror(if($B912="""", ,filter(Playoff_Stats!F:Z,Playoff_Stats!A:A=$B912,Playoff_Stats!B:B=$A912)))"),"")</f>
        <v/>
      </c>
      <c r="K912" s="11"/>
      <c r="L912" s="12"/>
      <c r="M912" s="11"/>
      <c r="N912" s="11"/>
      <c r="O912" s="13"/>
      <c r="P912" s="14"/>
      <c r="Q912" s="13"/>
      <c r="R912" s="13"/>
      <c r="S912" s="15"/>
      <c r="T912" s="16"/>
      <c r="U912" s="16"/>
      <c r="V912" s="16"/>
      <c r="W912" s="16"/>
      <c r="X912" s="16"/>
      <c r="Y912" s="11"/>
      <c r="Z912" s="11"/>
      <c r="AA912" s="11"/>
      <c r="AB912" s="11"/>
      <c r="AC912" s="11"/>
      <c r="AD912" s="11"/>
    </row>
    <row r="913">
      <c r="A913" s="10"/>
      <c r="B913" s="10"/>
      <c r="C913" s="10"/>
      <c r="D913" s="10"/>
      <c r="E913" s="10"/>
      <c r="F913" s="11"/>
      <c r="G913" s="11"/>
      <c r="H913" s="11"/>
      <c r="I913" s="11"/>
      <c r="J913" s="11" t="str">
        <f>IFERROR(__xludf.DUMMYFUNCTION("iferror(if($B913="""", ,filter(Playoff_Stats!F:Z,Playoff_Stats!A:A=$B913,Playoff_Stats!B:B=$A913)))"),"")</f>
        <v/>
      </c>
      <c r="K913" s="11"/>
      <c r="L913" s="12"/>
      <c r="M913" s="11"/>
      <c r="N913" s="11"/>
      <c r="O913" s="13"/>
      <c r="P913" s="14"/>
      <c r="Q913" s="13"/>
      <c r="R913" s="13"/>
      <c r="S913" s="15"/>
      <c r="T913" s="16"/>
      <c r="U913" s="16"/>
      <c r="V913" s="16"/>
      <c r="W913" s="16"/>
      <c r="X913" s="16"/>
      <c r="Y913" s="11"/>
      <c r="Z913" s="11"/>
      <c r="AA913" s="11"/>
      <c r="AB913" s="11"/>
      <c r="AC913" s="11"/>
      <c r="AD913" s="11"/>
    </row>
    <row r="914">
      <c r="A914" s="10"/>
      <c r="B914" s="10"/>
      <c r="C914" s="10"/>
      <c r="D914" s="10"/>
      <c r="E914" s="10"/>
      <c r="F914" s="11"/>
      <c r="G914" s="11"/>
      <c r="H914" s="11"/>
      <c r="I914" s="11"/>
      <c r="J914" s="11" t="str">
        <f>IFERROR(__xludf.DUMMYFUNCTION("iferror(if($B914="""", ,filter(Playoff_Stats!F:Z,Playoff_Stats!A:A=$B914,Playoff_Stats!B:B=$A914)))"),"")</f>
        <v/>
      </c>
      <c r="K914" s="11"/>
      <c r="L914" s="12"/>
      <c r="M914" s="11"/>
      <c r="N914" s="11"/>
      <c r="O914" s="13"/>
      <c r="P914" s="14"/>
      <c r="Q914" s="13"/>
      <c r="R914" s="13"/>
      <c r="S914" s="15"/>
      <c r="T914" s="16"/>
      <c r="U914" s="16"/>
      <c r="V914" s="16"/>
      <c r="W914" s="16"/>
      <c r="X914" s="16"/>
      <c r="Y914" s="11"/>
      <c r="Z914" s="11"/>
      <c r="AA914" s="11"/>
      <c r="AB914" s="11"/>
      <c r="AC914" s="11"/>
      <c r="AD914" s="11"/>
    </row>
    <row r="915">
      <c r="A915" s="10"/>
      <c r="B915" s="10"/>
      <c r="C915" s="10"/>
      <c r="D915" s="10"/>
      <c r="E915" s="10"/>
      <c r="F915" s="11"/>
      <c r="G915" s="11"/>
      <c r="H915" s="11"/>
      <c r="I915" s="11"/>
      <c r="J915" s="11" t="str">
        <f>IFERROR(__xludf.DUMMYFUNCTION("iferror(if($B915="""", ,filter(Playoff_Stats!F:Z,Playoff_Stats!A:A=$B915,Playoff_Stats!B:B=$A915)))"),"")</f>
        <v/>
      </c>
      <c r="K915" s="11"/>
      <c r="L915" s="12"/>
      <c r="M915" s="11"/>
      <c r="N915" s="11"/>
      <c r="O915" s="13"/>
      <c r="P915" s="14"/>
      <c r="Q915" s="13"/>
      <c r="R915" s="13"/>
      <c r="S915" s="15"/>
      <c r="T915" s="16"/>
      <c r="U915" s="16"/>
      <c r="V915" s="16"/>
      <c r="W915" s="16"/>
      <c r="X915" s="16"/>
      <c r="Y915" s="11"/>
      <c r="Z915" s="11"/>
      <c r="AA915" s="11"/>
      <c r="AB915" s="11"/>
      <c r="AC915" s="11"/>
      <c r="AD915" s="11"/>
    </row>
    <row r="916">
      <c r="A916" s="10"/>
      <c r="B916" s="10"/>
      <c r="C916" s="10"/>
      <c r="D916" s="10"/>
      <c r="E916" s="10"/>
      <c r="F916" s="11"/>
      <c r="G916" s="11"/>
      <c r="H916" s="11"/>
      <c r="I916" s="11"/>
      <c r="J916" s="11" t="str">
        <f>IFERROR(__xludf.DUMMYFUNCTION("iferror(if($B916="""", ,filter(Playoff_Stats!F:Z,Playoff_Stats!A:A=$B916,Playoff_Stats!B:B=$A916)))"),"")</f>
        <v/>
      </c>
      <c r="K916" s="11"/>
      <c r="L916" s="12"/>
      <c r="M916" s="11"/>
      <c r="N916" s="11"/>
      <c r="O916" s="13"/>
      <c r="P916" s="14"/>
      <c r="Q916" s="13"/>
      <c r="R916" s="13"/>
      <c r="S916" s="15"/>
      <c r="T916" s="16"/>
      <c r="U916" s="16"/>
      <c r="V916" s="16"/>
      <c r="W916" s="16"/>
      <c r="X916" s="16"/>
      <c r="Y916" s="11"/>
      <c r="Z916" s="11"/>
      <c r="AA916" s="11"/>
      <c r="AB916" s="11"/>
      <c r="AC916" s="11"/>
      <c r="AD916" s="11"/>
    </row>
    <row r="917">
      <c r="A917" s="10"/>
      <c r="B917" s="10"/>
      <c r="C917" s="10"/>
      <c r="D917" s="10"/>
      <c r="E917" s="10"/>
      <c r="F917" s="11"/>
      <c r="G917" s="11"/>
      <c r="H917" s="11"/>
      <c r="I917" s="11"/>
      <c r="J917" s="11" t="str">
        <f>IFERROR(__xludf.DUMMYFUNCTION("iferror(if($B917="""", ,filter(Playoff_Stats!F:Z,Playoff_Stats!A:A=$B917,Playoff_Stats!B:B=$A917)))"),"")</f>
        <v/>
      </c>
      <c r="K917" s="11"/>
      <c r="L917" s="12"/>
      <c r="M917" s="11"/>
      <c r="N917" s="11"/>
      <c r="O917" s="13"/>
      <c r="P917" s="14"/>
      <c r="Q917" s="13"/>
      <c r="R917" s="13"/>
      <c r="S917" s="15"/>
      <c r="T917" s="16"/>
      <c r="U917" s="16"/>
      <c r="V917" s="16"/>
      <c r="W917" s="16"/>
      <c r="X917" s="16"/>
      <c r="Y917" s="11"/>
      <c r="Z917" s="11"/>
      <c r="AA917" s="11"/>
      <c r="AB917" s="11"/>
      <c r="AC917" s="11"/>
      <c r="AD917" s="11"/>
    </row>
    <row r="918">
      <c r="A918" s="10"/>
      <c r="B918" s="10"/>
      <c r="C918" s="10"/>
      <c r="D918" s="10"/>
      <c r="E918" s="10"/>
      <c r="F918" s="11"/>
      <c r="G918" s="11"/>
      <c r="H918" s="11"/>
      <c r="I918" s="11"/>
      <c r="J918" s="11" t="str">
        <f>IFERROR(__xludf.DUMMYFUNCTION("iferror(if($B918="""", ,filter(Playoff_Stats!F:Z,Playoff_Stats!A:A=$B918,Playoff_Stats!B:B=$A918)))"),"")</f>
        <v/>
      </c>
      <c r="K918" s="11"/>
      <c r="L918" s="12"/>
      <c r="M918" s="11"/>
      <c r="N918" s="11"/>
      <c r="O918" s="13"/>
      <c r="P918" s="14"/>
      <c r="Q918" s="13"/>
      <c r="R918" s="13"/>
      <c r="S918" s="15"/>
      <c r="T918" s="16"/>
      <c r="U918" s="16"/>
      <c r="V918" s="16"/>
      <c r="W918" s="16"/>
      <c r="X918" s="16"/>
      <c r="Y918" s="11"/>
      <c r="Z918" s="11"/>
      <c r="AA918" s="11"/>
      <c r="AB918" s="11"/>
      <c r="AC918" s="11"/>
      <c r="AD918" s="11"/>
    </row>
    <row r="919">
      <c r="A919" s="10"/>
      <c r="B919" s="10"/>
      <c r="C919" s="10"/>
      <c r="D919" s="10"/>
      <c r="E919" s="10"/>
      <c r="F919" s="11"/>
      <c r="G919" s="11"/>
      <c r="H919" s="11"/>
      <c r="I919" s="11"/>
      <c r="J919" s="11" t="str">
        <f>IFERROR(__xludf.DUMMYFUNCTION("iferror(if($B919="""", ,filter(Playoff_Stats!F:Z,Playoff_Stats!A:A=$B919,Playoff_Stats!B:B=$A919)))"),"")</f>
        <v/>
      </c>
      <c r="K919" s="11"/>
      <c r="L919" s="12"/>
      <c r="M919" s="11"/>
      <c r="N919" s="11"/>
      <c r="O919" s="13"/>
      <c r="P919" s="14"/>
      <c r="Q919" s="13"/>
      <c r="R919" s="13"/>
      <c r="S919" s="15"/>
      <c r="T919" s="16"/>
      <c r="U919" s="16"/>
      <c r="V919" s="16"/>
      <c r="W919" s="16"/>
      <c r="X919" s="16"/>
      <c r="Y919" s="11"/>
      <c r="Z919" s="11"/>
      <c r="AA919" s="11"/>
      <c r="AB919" s="11"/>
      <c r="AC919" s="11"/>
      <c r="AD919" s="11"/>
    </row>
    <row r="920">
      <c r="A920" s="10"/>
      <c r="B920" s="10"/>
      <c r="C920" s="10"/>
      <c r="D920" s="10"/>
      <c r="E920" s="10"/>
      <c r="F920" s="11"/>
      <c r="G920" s="11"/>
      <c r="H920" s="11"/>
      <c r="I920" s="11"/>
      <c r="J920" s="11" t="str">
        <f>IFERROR(__xludf.DUMMYFUNCTION("iferror(if($B920="""", ,filter(Playoff_Stats!F:Z,Playoff_Stats!A:A=$B920,Playoff_Stats!B:B=$A920)))"),"")</f>
        <v/>
      </c>
      <c r="K920" s="11"/>
      <c r="L920" s="12"/>
      <c r="M920" s="11"/>
      <c r="N920" s="11"/>
      <c r="O920" s="13"/>
      <c r="P920" s="14"/>
      <c r="Q920" s="13"/>
      <c r="R920" s="13"/>
      <c r="S920" s="15"/>
      <c r="T920" s="16"/>
      <c r="U920" s="16"/>
      <c r="V920" s="16"/>
      <c r="W920" s="16"/>
      <c r="X920" s="16"/>
      <c r="Y920" s="11"/>
      <c r="Z920" s="11"/>
      <c r="AA920" s="11"/>
      <c r="AB920" s="11"/>
      <c r="AC920" s="11"/>
      <c r="AD920" s="11"/>
    </row>
    <row r="921">
      <c r="A921" s="10"/>
      <c r="B921" s="10"/>
      <c r="C921" s="10"/>
      <c r="D921" s="10"/>
      <c r="E921" s="10"/>
      <c r="F921" s="11"/>
      <c r="G921" s="11"/>
      <c r="H921" s="11"/>
      <c r="I921" s="11"/>
      <c r="J921" s="11" t="str">
        <f>IFERROR(__xludf.DUMMYFUNCTION("iferror(if($B921="""", ,filter(Playoff_Stats!F:Z,Playoff_Stats!A:A=$B921,Playoff_Stats!B:B=$A921)))"),"")</f>
        <v/>
      </c>
      <c r="K921" s="11"/>
      <c r="L921" s="12"/>
      <c r="M921" s="11"/>
      <c r="N921" s="11"/>
      <c r="O921" s="13"/>
      <c r="P921" s="14"/>
      <c r="Q921" s="13"/>
      <c r="R921" s="13"/>
      <c r="S921" s="15"/>
      <c r="T921" s="16"/>
      <c r="U921" s="16"/>
      <c r="V921" s="16"/>
      <c r="W921" s="16"/>
      <c r="X921" s="16"/>
      <c r="Y921" s="11"/>
      <c r="Z921" s="11"/>
      <c r="AA921" s="11"/>
      <c r="AB921" s="11"/>
      <c r="AC921" s="11"/>
      <c r="AD921" s="11"/>
    </row>
    <row r="922">
      <c r="A922" s="10"/>
      <c r="B922" s="10"/>
      <c r="C922" s="10"/>
      <c r="D922" s="10"/>
      <c r="E922" s="10"/>
      <c r="F922" s="11"/>
      <c r="G922" s="11"/>
      <c r="H922" s="11"/>
      <c r="I922" s="11"/>
      <c r="J922" s="11" t="str">
        <f>IFERROR(__xludf.DUMMYFUNCTION("iferror(if($B922="""", ,filter(Playoff_Stats!F:Z,Playoff_Stats!A:A=$B922,Playoff_Stats!B:B=$A922)))"),"")</f>
        <v/>
      </c>
      <c r="K922" s="11"/>
      <c r="L922" s="12"/>
      <c r="M922" s="11"/>
      <c r="N922" s="11"/>
      <c r="O922" s="13"/>
      <c r="P922" s="14"/>
      <c r="Q922" s="13"/>
      <c r="R922" s="13"/>
      <c r="S922" s="15"/>
      <c r="T922" s="16"/>
      <c r="U922" s="16"/>
      <c r="V922" s="16"/>
      <c r="W922" s="16"/>
      <c r="X922" s="16"/>
      <c r="Y922" s="11"/>
      <c r="Z922" s="11"/>
      <c r="AA922" s="11"/>
      <c r="AB922" s="11"/>
      <c r="AC922" s="11"/>
      <c r="AD922" s="11"/>
    </row>
    <row r="923">
      <c r="A923" s="10"/>
      <c r="B923" s="10"/>
      <c r="C923" s="10"/>
      <c r="D923" s="10"/>
      <c r="E923" s="10"/>
      <c r="F923" s="11"/>
      <c r="G923" s="11"/>
      <c r="H923" s="11"/>
      <c r="I923" s="11"/>
      <c r="J923" s="11" t="str">
        <f>IFERROR(__xludf.DUMMYFUNCTION("iferror(if($B923="""", ,filter(Playoff_Stats!F:Z,Playoff_Stats!A:A=$B923,Playoff_Stats!B:B=$A923)))"),"")</f>
        <v/>
      </c>
      <c r="K923" s="11"/>
      <c r="L923" s="12"/>
      <c r="M923" s="11"/>
      <c r="N923" s="11"/>
      <c r="O923" s="13"/>
      <c r="P923" s="14"/>
      <c r="Q923" s="13"/>
      <c r="R923" s="13"/>
      <c r="S923" s="15"/>
      <c r="T923" s="16"/>
      <c r="U923" s="16"/>
      <c r="V923" s="16"/>
      <c r="W923" s="16"/>
      <c r="X923" s="16"/>
      <c r="Y923" s="11"/>
      <c r="Z923" s="11"/>
      <c r="AA923" s="11"/>
      <c r="AB923" s="11"/>
      <c r="AC923" s="11"/>
      <c r="AD923" s="11"/>
    </row>
    <row r="924">
      <c r="A924" s="10"/>
      <c r="B924" s="10"/>
      <c r="C924" s="10"/>
      <c r="D924" s="10"/>
      <c r="E924" s="10"/>
      <c r="F924" s="11"/>
      <c r="G924" s="11"/>
      <c r="H924" s="11"/>
      <c r="I924" s="11"/>
      <c r="J924" s="11" t="str">
        <f>IFERROR(__xludf.DUMMYFUNCTION("iferror(if($B924="""", ,filter(Playoff_Stats!F:Z,Playoff_Stats!A:A=$B924,Playoff_Stats!B:B=$A924)))"),"")</f>
        <v/>
      </c>
      <c r="K924" s="11"/>
      <c r="L924" s="12"/>
      <c r="M924" s="11"/>
      <c r="N924" s="11"/>
      <c r="O924" s="13"/>
      <c r="P924" s="14"/>
      <c r="Q924" s="13"/>
      <c r="R924" s="13"/>
      <c r="S924" s="15"/>
      <c r="T924" s="16"/>
      <c r="U924" s="16"/>
      <c r="V924" s="16"/>
      <c r="W924" s="16"/>
      <c r="X924" s="16"/>
      <c r="Y924" s="11"/>
      <c r="Z924" s="11"/>
      <c r="AA924" s="11"/>
      <c r="AB924" s="11"/>
      <c r="AC924" s="11"/>
      <c r="AD924" s="11"/>
    </row>
    <row r="925">
      <c r="A925" s="10"/>
      <c r="B925" s="10"/>
      <c r="C925" s="10"/>
      <c r="D925" s="10"/>
      <c r="E925" s="10"/>
      <c r="F925" s="11"/>
      <c r="G925" s="11"/>
      <c r="H925" s="11"/>
      <c r="I925" s="11"/>
      <c r="J925" s="11" t="str">
        <f>IFERROR(__xludf.DUMMYFUNCTION("iferror(if($B925="""", ,filter(Playoff_Stats!F:Z,Playoff_Stats!A:A=$B925,Playoff_Stats!B:B=$A925)))"),"")</f>
        <v/>
      </c>
      <c r="K925" s="11"/>
      <c r="L925" s="12"/>
      <c r="M925" s="11"/>
      <c r="N925" s="11"/>
      <c r="O925" s="13"/>
      <c r="P925" s="14"/>
      <c r="Q925" s="13"/>
      <c r="R925" s="13"/>
      <c r="S925" s="15"/>
      <c r="T925" s="16"/>
      <c r="U925" s="16"/>
      <c r="V925" s="16"/>
      <c r="W925" s="16"/>
      <c r="X925" s="16"/>
      <c r="Y925" s="11"/>
      <c r="Z925" s="11"/>
      <c r="AA925" s="11"/>
      <c r="AB925" s="11"/>
      <c r="AC925" s="11"/>
      <c r="AD925" s="11"/>
    </row>
    <row r="926">
      <c r="A926" s="10"/>
      <c r="B926" s="10"/>
      <c r="C926" s="10"/>
      <c r="D926" s="10"/>
      <c r="E926" s="10"/>
      <c r="F926" s="11"/>
      <c r="G926" s="11"/>
      <c r="H926" s="11"/>
      <c r="I926" s="11"/>
      <c r="J926" s="11" t="str">
        <f>IFERROR(__xludf.DUMMYFUNCTION("iferror(if($B926="""", ,filter(Playoff_Stats!F:Z,Playoff_Stats!A:A=$B926,Playoff_Stats!B:B=$A926)))"),"")</f>
        <v/>
      </c>
      <c r="K926" s="11"/>
      <c r="L926" s="12"/>
      <c r="M926" s="11"/>
      <c r="N926" s="11"/>
      <c r="O926" s="13"/>
      <c r="P926" s="14"/>
      <c r="Q926" s="13"/>
      <c r="R926" s="13"/>
      <c r="S926" s="15"/>
      <c r="T926" s="16"/>
      <c r="U926" s="16"/>
      <c r="V926" s="16"/>
      <c r="W926" s="16"/>
      <c r="X926" s="16"/>
      <c r="Y926" s="11"/>
      <c r="Z926" s="11"/>
      <c r="AA926" s="11"/>
      <c r="AB926" s="11"/>
      <c r="AC926" s="11"/>
      <c r="AD926" s="11"/>
    </row>
    <row r="927">
      <c r="A927" s="10"/>
      <c r="B927" s="10"/>
      <c r="C927" s="10"/>
      <c r="D927" s="10"/>
      <c r="E927" s="10"/>
      <c r="F927" s="11"/>
      <c r="G927" s="11"/>
      <c r="H927" s="11"/>
      <c r="I927" s="11"/>
      <c r="J927" s="11" t="str">
        <f>IFERROR(__xludf.DUMMYFUNCTION("iferror(if($B927="""", ,filter(Playoff_Stats!F:Z,Playoff_Stats!A:A=$B927,Playoff_Stats!B:B=$A927)))"),"")</f>
        <v/>
      </c>
      <c r="K927" s="11"/>
      <c r="L927" s="12"/>
      <c r="M927" s="11"/>
      <c r="N927" s="11"/>
      <c r="O927" s="13"/>
      <c r="P927" s="14"/>
      <c r="Q927" s="13"/>
      <c r="R927" s="13"/>
      <c r="S927" s="15"/>
      <c r="T927" s="16"/>
      <c r="U927" s="16"/>
      <c r="V927" s="16"/>
      <c r="W927" s="16"/>
      <c r="X927" s="16"/>
      <c r="Y927" s="11"/>
      <c r="Z927" s="11"/>
      <c r="AA927" s="11"/>
      <c r="AB927" s="11"/>
      <c r="AC927" s="11"/>
      <c r="AD927" s="11"/>
    </row>
    <row r="928">
      <c r="A928" s="10"/>
      <c r="B928" s="10"/>
      <c r="C928" s="10"/>
      <c r="D928" s="10"/>
      <c r="E928" s="10"/>
      <c r="F928" s="11"/>
      <c r="G928" s="11"/>
      <c r="H928" s="11"/>
      <c r="I928" s="11"/>
      <c r="J928" s="11" t="str">
        <f>IFERROR(__xludf.DUMMYFUNCTION("iferror(if($B928="""", ,filter(Playoff_Stats!F:Z,Playoff_Stats!A:A=$B928,Playoff_Stats!B:B=$A928)))"),"")</f>
        <v/>
      </c>
      <c r="K928" s="11"/>
      <c r="L928" s="12"/>
      <c r="M928" s="11"/>
      <c r="N928" s="11"/>
      <c r="O928" s="13"/>
      <c r="P928" s="14"/>
      <c r="Q928" s="13"/>
      <c r="R928" s="13"/>
      <c r="S928" s="15"/>
      <c r="T928" s="16"/>
      <c r="U928" s="16"/>
      <c r="V928" s="16"/>
      <c r="W928" s="16"/>
      <c r="X928" s="16"/>
      <c r="Y928" s="11"/>
      <c r="Z928" s="11"/>
      <c r="AA928" s="11"/>
      <c r="AB928" s="11"/>
      <c r="AC928" s="11"/>
      <c r="AD928" s="11"/>
    </row>
    <row r="929">
      <c r="A929" s="10"/>
      <c r="B929" s="10"/>
      <c r="C929" s="10"/>
      <c r="D929" s="10"/>
      <c r="E929" s="10"/>
      <c r="F929" s="11"/>
      <c r="G929" s="11"/>
      <c r="H929" s="11"/>
      <c r="I929" s="11"/>
      <c r="J929" s="11" t="str">
        <f>IFERROR(__xludf.DUMMYFUNCTION("iferror(if($B929="""", ,filter(Playoff_Stats!F:Z,Playoff_Stats!A:A=$B929,Playoff_Stats!B:B=$A929)))"),"")</f>
        <v/>
      </c>
      <c r="K929" s="11"/>
      <c r="L929" s="12"/>
      <c r="M929" s="11"/>
      <c r="N929" s="11"/>
      <c r="O929" s="13"/>
      <c r="P929" s="14"/>
      <c r="Q929" s="13"/>
      <c r="R929" s="13"/>
      <c r="S929" s="15"/>
      <c r="T929" s="16"/>
      <c r="U929" s="16"/>
      <c r="V929" s="16"/>
      <c r="W929" s="16"/>
      <c r="X929" s="16"/>
      <c r="Y929" s="11"/>
      <c r="Z929" s="11"/>
      <c r="AA929" s="11"/>
      <c r="AB929" s="11"/>
      <c r="AC929" s="11"/>
      <c r="AD929" s="11"/>
    </row>
    <row r="930">
      <c r="A930" s="10"/>
      <c r="B930" s="10"/>
      <c r="C930" s="10"/>
      <c r="D930" s="10"/>
      <c r="E930" s="10"/>
      <c r="F930" s="11"/>
      <c r="G930" s="11"/>
      <c r="H930" s="11"/>
      <c r="I930" s="11"/>
      <c r="J930" s="11" t="str">
        <f>IFERROR(__xludf.DUMMYFUNCTION("iferror(if($B930="""", ,filter(Playoff_Stats!F:Z,Playoff_Stats!A:A=$B930,Playoff_Stats!B:B=$A930)))"),"")</f>
        <v/>
      </c>
      <c r="K930" s="11"/>
      <c r="L930" s="12"/>
      <c r="M930" s="11"/>
      <c r="N930" s="11"/>
      <c r="O930" s="13"/>
      <c r="P930" s="14"/>
      <c r="Q930" s="13"/>
      <c r="R930" s="13"/>
      <c r="S930" s="15"/>
      <c r="T930" s="16"/>
      <c r="U930" s="16"/>
      <c r="V930" s="16"/>
      <c r="W930" s="16"/>
      <c r="X930" s="16"/>
      <c r="Y930" s="11"/>
      <c r="Z930" s="11"/>
      <c r="AA930" s="11"/>
      <c r="AB930" s="11"/>
      <c r="AC930" s="11"/>
      <c r="AD930" s="11"/>
    </row>
    <row r="931">
      <c r="A931" s="10"/>
      <c r="B931" s="10"/>
      <c r="C931" s="10"/>
      <c r="D931" s="10"/>
      <c r="E931" s="10"/>
      <c r="F931" s="11"/>
      <c r="G931" s="11"/>
      <c r="H931" s="11"/>
      <c r="I931" s="11"/>
      <c r="J931" s="11" t="str">
        <f>IFERROR(__xludf.DUMMYFUNCTION("iferror(if($B931="""", ,filter(Playoff_Stats!F:Z,Playoff_Stats!A:A=$B931,Playoff_Stats!B:B=$A931)))"),"")</f>
        <v/>
      </c>
      <c r="K931" s="11"/>
      <c r="L931" s="12"/>
      <c r="M931" s="11"/>
      <c r="N931" s="11"/>
      <c r="O931" s="13"/>
      <c r="P931" s="14"/>
      <c r="Q931" s="13"/>
      <c r="R931" s="13"/>
      <c r="S931" s="15"/>
      <c r="T931" s="16"/>
      <c r="U931" s="16"/>
      <c r="V931" s="16"/>
      <c r="W931" s="16"/>
      <c r="X931" s="16"/>
      <c r="Y931" s="11"/>
      <c r="Z931" s="11"/>
      <c r="AA931" s="11"/>
      <c r="AB931" s="11"/>
      <c r="AC931" s="11"/>
      <c r="AD931" s="11"/>
    </row>
    <row r="932">
      <c r="A932" s="10"/>
      <c r="B932" s="10"/>
      <c r="C932" s="10"/>
      <c r="D932" s="10"/>
      <c r="E932" s="10"/>
      <c r="F932" s="11"/>
      <c r="G932" s="11"/>
      <c r="H932" s="11"/>
      <c r="I932" s="11"/>
      <c r="J932" s="11" t="str">
        <f>IFERROR(__xludf.DUMMYFUNCTION("iferror(if($B932="""", ,filter(Playoff_Stats!F:Z,Playoff_Stats!A:A=$B932,Playoff_Stats!B:B=$A932)))"),"")</f>
        <v/>
      </c>
      <c r="K932" s="11"/>
      <c r="L932" s="12"/>
      <c r="M932" s="11"/>
      <c r="N932" s="11"/>
      <c r="O932" s="13"/>
      <c r="P932" s="14"/>
      <c r="Q932" s="13"/>
      <c r="R932" s="13"/>
      <c r="S932" s="15"/>
      <c r="T932" s="16"/>
      <c r="U932" s="16"/>
      <c r="V932" s="16"/>
      <c r="W932" s="16"/>
      <c r="X932" s="16"/>
      <c r="Y932" s="11"/>
      <c r="Z932" s="11"/>
      <c r="AA932" s="11"/>
      <c r="AB932" s="11"/>
      <c r="AC932" s="11"/>
      <c r="AD932" s="11"/>
    </row>
    <row r="933">
      <c r="A933" s="10"/>
      <c r="B933" s="10"/>
      <c r="C933" s="10"/>
      <c r="D933" s="10"/>
      <c r="E933" s="10"/>
      <c r="F933" s="11"/>
      <c r="G933" s="11"/>
      <c r="H933" s="11"/>
      <c r="I933" s="11"/>
      <c r="J933" s="11" t="str">
        <f>IFERROR(__xludf.DUMMYFUNCTION("iferror(if($B933="""", ,filter(Playoff_Stats!F:Z,Playoff_Stats!A:A=$B933,Playoff_Stats!B:B=$A933)))"),"")</f>
        <v/>
      </c>
      <c r="K933" s="11"/>
      <c r="L933" s="12"/>
      <c r="M933" s="11"/>
      <c r="N933" s="11"/>
      <c r="O933" s="13"/>
      <c r="P933" s="14"/>
      <c r="Q933" s="13"/>
      <c r="R933" s="13"/>
      <c r="S933" s="15"/>
      <c r="T933" s="16"/>
      <c r="U933" s="16"/>
      <c r="V933" s="16"/>
      <c r="W933" s="16"/>
      <c r="X933" s="16"/>
      <c r="Y933" s="11"/>
      <c r="Z933" s="11"/>
      <c r="AA933" s="11"/>
      <c r="AB933" s="11"/>
      <c r="AC933" s="11"/>
      <c r="AD933" s="11"/>
    </row>
    <row r="934">
      <c r="A934" s="10"/>
      <c r="B934" s="10"/>
      <c r="C934" s="10"/>
      <c r="D934" s="10"/>
      <c r="E934" s="10"/>
      <c r="F934" s="11"/>
      <c r="G934" s="11"/>
      <c r="H934" s="11"/>
      <c r="I934" s="11"/>
      <c r="J934" s="11" t="str">
        <f>IFERROR(__xludf.DUMMYFUNCTION("iferror(if($B934="""", ,filter(Playoff_Stats!F:Z,Playoff_Stats!A:A=$B934,Playoff_Stats!B:B=$A934)))"),"")</f>
        <v/>
      </c>
      <c r="K934" s="11"/>
      <c r="L934" s="12"/>
      <c r="M934" s="11"/>
      <c r="N934" s="11"/>
      <c r="O934" s="13"/>
      <c r="P934" s="14"/>
      <c r="Q934" s="13"/>
      <c r="R934" s="13"/>
      <c r="S934" s="15"/>
      <c r="T934" s="16"/>
      <c r="U934" s="16"/>
      <c r="V934" s="16"/>
      <c r="W934" s="16"/>
      <c r="X934" s="16"/>
      <c r="Y934" s="11"/>
      <c r="Z934" s="11"/>
      <c r="AA934" s="11"/>
      <c r="AB934" s="11"/>
      <c r="AC934" s="11"/>
      <c r="AD934" s="11"/>
    </row>
    <row r="935">
      <c r="A935" s="10"/>
      <c r="B935" s="10"/>
      <c r="C935" s="10"/>
      <c r="D935" s="10"/>
      <c r="E935" s="10"/>
      <c r="F935" s="11"/>
      <c r="G935" s="11"/>
      <c r="H935" s="11"/>
      <c r="I935" s="11"/>
      <c r="J935" s="11" t="str">
        <f>IFERROR(__xludf.DUMMYFUNCTION("iferror(if($B935="""", ,filter(Playoff_Stats!F:Z,Playoff_Stats!A:A=$B935,Playoff_Stats!B:B=$A935)))"),"")</f>
        <v/>
      </c>
      <c r="K935" s="11"/>
      <c r="L935" s="12"/>
      <c r="M935" s="11"/>
      <c r="N935" s="11"/>
      <c r="O935" s="13"/>
      <c r="P935" s="14"/>
      <c r="Q935" s="13"/>
      <c r="R935" s="13"/>
      <c r="S935" s="15"/>
      <c r="T935" s="16"/>
      <c r="U935" s="16"/>
      <c r="V935" s="16"/>
      <c r="W935" s="16"/>
      <c r="X935" s="16"/>
      <c r="Y935" s="11"/>
      <c r="Z935" s="11"/>
      <c r="AA935" s="11"/>
      <c r="AB935" s="11"/>
      <c r="AC935" s="11"/>
      <c r="AD935" s="11"/>
    </row>
    <row r="936">
      <c r="A936" s="10"/>
      <c r="B936" s="10"/>
      <c r="C936" s="10"/>
      <c r="D936" s="10"/>
      <c r="E936" s="10"/>
      <c r="F936" s="11"/>
      <c r="G936" s="11"/>
      <c r="H936" s="11"/>
      <c r="I936" s="11"/>
      <c r="J936" s="11" t="str">
        <f>IFERROR(__xludf.DUMMYFUNCTION("iferror(if($B936="""", ,filter(Playoff_Stats!F:Z,Playoff_Stats!A:A=$B936,Playoff_Stats!B:B=$A936)))"),"")</f>
        <v/>
      </c>
      <c r="K936" s="11"/>
      <c r="L936" s="12"/>
      <c r="M936" s="11"/>
      <c r="N936" s="11"/>
      <c r="O936" s="13"/>
      <c r="P936" s="14"/>
      <c r="Q936" s="13"/>
      <c r="R936" s="13"/>
      <c r="S936" s="15"/>
      <c r="T936" s="16"/>
      <c r="U936" s="16"/>
      <c r="V936" s="16"/>
      <c r="W936" s="16"/>
      <c r="X936" s="16"/>
      <c r="Y936" s="11"/>
      <c r="Z936" s="11"/>
      <c r="AA936" s="11"/>
      <c r="AB936" s="11"/>
      <c r="AC936" s="11"/>
      <c r="AD936" s="11"/>
    </row>
    <row r="937">
      <c r="A937" s="10"/>
      <c r="B937" s="10"/>
      <c r="C937" s="10"/>
      <c r="D937" s="10"/>
      <c r="E937" s="10"/>
      <c r="F937" s="11"/>
      <c r="G937" s="11"/>
      <c r="H937" s="11"/>
      <c r="I937" s="11"/>
      <c r="J937" s="11" t="str">
        <f>IFERROR(__xludf.DUMMYFUNCTION("iferror(if($B937="""", ,filter(Playoff_Stats!F:Z,Playoff_Stats!A:A=$B937,Playoff_Stats!B:B=$A937)))"),"")</f>
        <v/>
      </c>
      <c r="K937" s="11"/>
      <c r="L937" s="12"/>
      <c r="M937" s="11"/>
      <c r="N937" s="11"/>
      <c r="O937" s="13"/>
      <c r="P937" s="14"/>
      <c r="Q937" s="13"/>
      <c r="R937" s="13"/>
      <c r="S937" s="15"/>
      <c r="T937" s="16"/>
      <c r="U937" s="16"/>
      <c r="V937" s="16"/>
      <c r="W937" s="16"/>
      <c r="X937" s="16"/>
      <c r="Y937" s="11"/>
      <c r="Z937" s="11"/>
      <c r="AA937" s="11"/>
      <c r="AB937" s="11"/>
      <c r="AC937" s="11"/>
      <c r="AD937" s="11"/>
    </row>
    <row r="938">
      <c r="A938" s="10"/>
      <c r="B938" s="10"/>
      <c r="C938" s="10"/>
      <c r="D938" s="10"/>
      <c r="E938" s="10"/>
      <c r="F938" s="11"/>
      <c r="G938" s="11"/>
      <c r="H938" s="11"/>
      <c r="I938" s="11"/>
      <c r="J938" s="11" t="str">
        <f>IFERROR(__xludf.DUMMYFUNCTION("iferror(if($B938="""", ,filter(Playoff_Stats!F:Z,Playoff_Stats!A:A=$B938,Playoff_Stats!B:B=$A938)))"),"")</f>
        <v/>
      </c>
      <c r="K938" s="11"/>
      <c r="L938" s="12"/>
      <c r="M938" s="11"/>
      <c r="N938" s="11"/>
      <c r="O938" s="13"/>
      <c r="P938" s="14"/>
      <c r="Q938" s="13"/>
      <c r="R938" s="13"/>
      <c r="S938" s="15"/>
      <c r="T938" s="16"/>
      <c r="U938" s="16"/>
      <c r="V938" s="16"/>
      <c r="W938" s="16"/>
      <c r="X938" s="16"/>
      <c r="Y938" s="11"/>
      <c r="Z938" s="11"/>
      <c r="AA938" s="11"/>
      <c r="AB938" s="11"/>
      <c r="AC938" s="11"/>
      <c r="AD938" s="11"/>
    </row>
    <row r="939">
      <c r="A939" s="10"/>
      <c r="B939" s="10"/>
      <c r="C939" s="10"/>
      <c r="D939" s="10"/>
      <c r="E939" s="10"/>
      <c r="F939" s="11"/>
      <c r="G939" s="11"/>
      <c r="H939" s="11"/>
      <c r="I939" s="11"/>
      <c r="J939" s="11" t="str">
        <f>IFERROR(__xludf.DUMMYFUNCTION("iferror(if($B939="""", ,filter(Playoff_Stats!F:Z,Playoff_Stats!A:A=$B939,Playoff_Stats!B:B=$A939)))"),"")</f>
        <v/>
      </c>
      <c r="K939" s="11"/>
      <c r="L939" s="12"/>
      <c r="M939" s="11"/>
      <c r="N939" s="11"/>
      <c r="O939" s="13"/>
      <c r="P939" s="14"/>
      <c r="Q939" s="13"/>
      <c r="R939" s="13"/>
      <c r="S939" s="15"/>
      <c r="T939" s="16"/>
      <c r="U939" s="16"/>
      <c r="V939" s="16"/>
      <c r="W939" s="16"/>
      <c r="X939" s="16"/>
      <c r="Y939" s="11"/>
      <c r="Z939" s="11"/>
      <c r="AA939" s="11"/>
      <c r="AB939" s="11"/>
      <c r="AC939" s="11"/>
      <c r="AD939" s="11"/>
    </row>
    <row r="940">
      <c r="A940" s="10"/>
      <c r="B940" s="10"/>
      <c r="C940" s="10"/>
      <c r="D940" s="10"/>
      <c r="E940" s="10"/>
      <c r="F940" s="11"/>
      <c r="G940" s="11"/>
      <c r="H940" s="11"/>
      <c r="I940" s="11"/>
      <c r="J940" s="11" t="str">
        <f>IFERROR(__xludf.DUMMYFUNCTION("iferror(if($B940="""", ,filter(Playoff_Stats!F:Z,Playoff_Stats!A:A=$B940,Playoff_Stats!B:B=$A940)))"),"")</f>
        <v/>
      </c>
      <c r="K940" s="11"/>
      <c r="L940" s="12"/>
      <c r="M940" s="11"/>
      <c r="N940" s="11"/>
      <c r="O940" s="13"/>
      <c r="P940" s="14"/>
      <c r="Q940" s="13"/>
      <c r="R940" s="13"/>
      <c r="S940" s="15"/>
      <c r="T940" s="16"/>
      <c r="U940" s="16"/>
      <c r="V940" s="16"/>
      <c r="W940" s="16"/>
      <c r="X940" s="16"/>
      <c r="Y940" s="11"/>
      <c r="Z940" s="11"/>
      <c r="AA940" s="11"/>
      <c r="AB940" s="11"/>
      <c r="AC940" s="11"/>
      <c r="AD940" s="11"/>
    </row>
    <row r="941">
      <c r="A941" s="10"/>
      <c r="B941" s="10"/>
      <c r="C941" s="10"/>
      <c r="D941" s="10"/>
      <c r="E941" s="10"/>
      <c r="F941" s="11"/>
      <c r="G941" s="11"/>
      <c r="H941" s="11"/>
      <c r="I941" s="11"/>
      <c r="J941" s="11" t="str">
        <f>IFERROR(__xludf.DUMMYFUNCTION("iferror(if($B941="""", ,filter(Playoff_Stats!F:Z,Playoff_Stats!A:A=$B941,Playoff_Stats!B:B=$A941)))"),"")</f>
        <v/>
      </c>
      <c r="K941" s="11"/>
      <c r="L941" s="12"/>
      <c r="M941" s="11"/>
      <c r="N941" s="11"/>
      <c r="O941" s="13"/>
      <c r="P941" s="14"/>
      <c r="Q941" s="13"/>
      <c r="R941" s="13"/>
      <c r="S941" s="15"/>
      <c r="T941" s="16"/>
      <c r="U941" s="16"/>
      <c r="V941" s="16"/>
      <c r="W941" s="16"/>
      <c r="X941" s="16"/>
      <c r="Y941" s="11"/>
      <c r="Z941" s="11"/>
      <c r="AA941" s="11"/>
      <c r="AB941" s="11"/>
      <c r="AC941" s="11"/>
      <c r="AD941" s="11"/>
    </row>
    <row r="942">
      <c r="A942" s="10"/>
      <c r="B942" s="10"/>
      <c r="C942" s="10"/>
      <c r="D942" s="10"/>
      <c r="E942" s="10"/>
      <c r="F942" s="11"/>
      <c r="G942" s="11"/>
      <c r="H942" s="11"/>
      <c r="I942" s="11"/>
      <c r="J942" s="11" t="str">
        <f>IFERROR(__xludf.DUMMYFUNCTION("iferror(if($B942="""", ,filter(Playoff_Stats!F:Z,Playoff_Stats!A:A=$B942,Playoff_Stats!B:B=$A942)))"),"")</f>
        <v/>
      </c>
      <c r="K942" s="11"/>
      <c r="L942" s="12"/>
      <c r="M942" s="11"/>
      <c r="N942" s="11"/>
      <c r="O942" s="13"/>
      <c r="P942" s="14"/>
      <c r="Q942" s="13"/>
      <c r="R942" s="13"/>
      <c r="S942" s="15"/>
      <c r="T942" s="16"/>
      <c r="U942" s="16"/>
      <c r="V942" s="16"/>
      <c r="W942" s="16"/>
      <c r="X942" s="16"/>
      <c r="Y942" s="11"/>
      <c r="Z942" s="11"/>
      <c r="AA942" s="11"/>
      <c r="AB942" s="11"/>
      <c r="AC942" s="11"/>
      <c r="AD942" s="11"/>
    </row>
    <row r="943">
      <c r="A943" s="10"/>
      <c r="B943" s="10"/>
      <c r="C943" s="10"/>
      <c r="D943" s="10"/>
      <c r="E943" s="10"/>
      <c r="F943" s="11"/>
      <c r="G943" s="11"/>
      <c r="H943" s="11"/>
      <c r="I943" s="11"/>
      <c r="J943" s="11" t="str">
        <f>IFERROR(__xludf.DUMMYFUNCTION("iferror(if($B943="""", ,filter(Playoff_Stats!F:Z,Playoff_Stats!A:A=$B943,Playoff_Stats!B:B=$A943)))"),"")</f>
        <v/>
      </c>
      <c r="K943" s="11"/>
      <c r="L943" s="12"/>
      <c r="M943" s="11"/>
      <c r="N943" s="11"/>
      <c r="O943" s="13"/>
      <c r="P943" s="14"/>
      <c r="Q943" s="13"/>
      <c r="R943" s="13"/>
      <c r="S943" s="15"/>
      <c r="T943" s="16"/>
      <c r="U943" s="16"/>
      <c r="V943" s="16"/>
      <c r="W943" s="16"/>
      <c r="X943" s="16"/>
      <c r="Y943" s="11"/>
      <c r="Z943" s="11"/>
      <c r="AA943" s="11"/>
      <c r="AB943" s="11"/>
      <c r="AC943" s="11"/>
      <c r="AD943" s="11"/>
    </row>
    <row r="944">
      <c r="A944" s="10"/>
      <c r="B944" s="10"/>
      <c r="C944" s="10"/>
      <c r="D944" s="10"/>
      <c r="E944" s="10"/>
      <c r="F944" s="11"/>
      <c r="G944" s="11"/>
      <c r="H944" s="11"/>
      <c r="I944" s="11"/>
      <c r="J944" s="11" t="str">
        <f>IFERROR(__xludf.DUMMYFUNCTION("iferror(if($B944="""", ,filter(Playoff_Stats!F:Z,Playoff_Stats!A:A=$B944,Playoff_Stats!B:B=$A944)))"),"")</f>
        <v/>
      </c>
      <c r="K944" s="11"/>
      <c r="L944" s="12"/>
      <c r="M944" s="11"/>
      <c r="N944" s="11"/>
      <c r="O944" s="13"/>
      <c r="P944" s="14"/>
      <c r="Q944" s="13"/>
      <c r="R944" s="13"/>
      <c r="S944" s="15"/>
      <c r="T944" s="16"/>
      <c r="U944" s="16"/>
      <c r="V944" s="16"/>
      <c r="W944" s="16"/>
      <c r="X944" s="16"/>
      <c r="Y944" s="11"/>
      <c r="Z944" s="11"/>
      <c r="AA944" s="11"/>
      <c r="AB944" s="11"/>
      <c r="AC944" s="11"/>
      <c r="AD944" s="11"/>
    </row>
    <row r="945">
      <c r="A945" s="10"/>
      <c r="B945" s="10"/>
      <c r="C945" s="10"/>
      <c r="D945" s="10"/>
      <c r="E945" s="10"/>
      <c r="F945" s="11"/>
      <c r="G945" s="11"/>
      <c r="H945" s="11"/>
      <c r="I945" s="11"/>
      <c r="J945" s="11" t="str">
        <f>IFERROR(__xludf.DUMMYFUNCTION("iferror(if($B945="""", ,filter(Playoff_Stats!F:Z,Playoff_Stats!A:A=$B945,Playoff_Stats!B:B=$A945)))"),"")</f>
        <v/>
      </c>
      <c r="K945" s="11"/>
      <c r="L945" s="12"/>
      <c r="M945" s="11"/>
      <c r="N945" s="11"/>
      <c r="O945" s="13"/>
      <c r="P945" s="14"/>
      <c r="Q945" s="13"/>
      <c r="R945" s="13"/>
      <c r="S945" s="15"/>
      <c r="T945" s="16"/>
      <c r="U945" s="16"/>
      <c r="V945" s="16"/>
      <c r="W945" s="16"/>
      <c r="X945" s="16"/>
      <c r="Y945" s="11"/>
      <c r="Z945" s="11"/>
      <c r="AA945" s="11"/>
      <c r="AB945" s="11"/>
      <c r="AC945" s="11"/>
      <c r="AD945" s="11"/>
    </row>
    <row r="946">
      <c r="A946" s="10"/>
      <c r="B946" s="10"/>
      <c r="C946" s="10"/>
      <c r="D946" s="10"/>
      <c r="E946" s="10"/>
      <c r="F946" s="11"/>
      <c r="G946" s="11"/>
      <c r="H946" s="11"/>
      <c r="I946" s="11"/>
      <c r="J946" s="11" t="str">
        <f>IFERROR(__xludf.DUMMYFUNCTION("iferror(if($B946="""", ,filter(Playoff_Stats!F:Z,Playoff_Stats!A:A=$B946,Playoff_Stats!B:B=$A946)))"),"")</f>
        <v/>
      </c>
      <c r="K946" s="11"/>
      <c r="L946" s="12"/>
      <c r="M946" s="11"/>
      <c r="N946" s="11"/>
      <c r="O946" s="13"/>
      <c r="P946" s="14"/>
      <c r="Q946" s="13"/>
      <c r="R946" s="13"/>
      <c r="S946" s="15"/>
      <c r="T946" s="16"/>
      <c r="U946" s="16"/>
      <c r="V946" s="16"/>
      <c r="W946" s="16"/>
      <c r="X946" s="16"/>
      <c r="Y946" s="11"/>
      <c r="Z946" s="11"/>
      <c r="AA946" s="11"/>
      <c r="AB946" s="11"/>
      <c r="AC946" s="11"/>
      <c r="AD946" s="11"/>
    </row>
    <row r="947">
      <c r="A947" s="10"/>
      <c r="B947" s="10"/>
      <c r="C947" s="10"/>
      <c r="D947" s="10"/>
      <c r="E947" s="10"/>
      <c r="F947" s="11"/>
      <c r="G947" s="11"/>
      <c r="H947" s="11"/>
      <c r="I947" s="11"/>
      <c r="J947" s="11" t="str">
        <f>IFERROR(__xludf.DUMMYFUNCTION("iferror(if($B947="""", ,filter(Playoff_Stats!F:Z,Playoff_Stats!A:A=$B947,Playoff_Stats!B:B=$A947)))"),"")</f>
        <v/>
      </c>
      <c r="K947" s="11"/>
      <c r="L947" s="12"/>
      <c r="M947" s="11"/>
      <c r="N947" s="11"/>
      <c r="O947" s="13"/>
      <c r="P947" s="14"/>
      <c r="Q947" s="13"/>
      <c r="R947" s="13"/>
      <c r="S947" s="15"/>
      <c r="T947" s="16"/>
      <c r="U947" s="16"/>
      <c r="V947" s="16"/>
      <c r="W947" s="16"/>
      <c r="X947" s="16"/>
      <c r="Y947" s="11"/>
      <c r="Z947" s="11"/>
      <c r="AA947" s="11"/>
      <c r="AB947" s="11"/>
      <c r="AC947" s="11"/>
      <c r="AD947" s="11"/>
    </row>
    <row r="948">
      <c r="A948" s="10"/>
      <c r="B948" s="10"/>
      <c r="C948" s="10"/>
      <c r="D948" s="10"/>
      <c r="E948" s="10"/>
      <c r="F948" s="11"/>
      <c r="G948" s="11"/>
      <c r="H948" s="11"/>
      <c r="I948" s="11"/>
      <c r="J948" s="11" t="str">
        <f>IFERROR(__xludf.DUMMYFUNCTION("iferror(if($B948="""", ,filter(Playoff_Stats!F:Z,Playoff_Stats!A:A=$B948,Playoff_Stats!B:B=$A948)))"),"")</f>
        <v/>
      </c>
      <c r="K948" s="11"/>
      <c r="L948" s="12"/>
      <c r="M948" s="11"/>
      <c r="N948" s="11"/>
      <c r="O948" s="13"/>
      <c r="P948" s="14"/>
      <c r="Q948" s="13"/>
      <c r="R948" s="13"/>
      <c r="S948" s="15"/>
      <c r="T948" s="16"/>
      <c r="U948" s="16"/>
      <c r="V948" s="16"/>
      <c r="W948" s="16"/>
      <c r="X948" s="16"/>
      <c r="Y948" s="11"/>
      <c r="Z948" s="11"/>
      <c r="AA948" s="11"/>
      <c r="AB948" s="11"/>
      <c r="AC948" s="11"/>
      <c r="AD948" s="11"/>
    </row>
    <row r="949">
      <c r="A949" s="10"/>
      <c r="B949" s="10"/>
      <c r="C949" s="10"/>
      <c r="D949" s="10"/>
      <c r="E949" s="10"/>
      <c r="F949" s="11"/>
      <c r="G949" s="11"/>
      <c r="H949" s="11"/>
      <c r="I949" s="11"/>
      <c r="J949" s="11" t="str">
        <f>IFERROR(__xludf.DUMMYFUNCTION("iferror(if($B949="""", ,filter(Playoff_Stats!F:Z,Playoff_Stats!A:A=$B949,Playoff_Stats!B:B=$A949)))"),"")</f>
        <v/>
      </c>
      <c r="K949" s="11"/>
      <c r="L949" s="12"/>
      <c r="M949" s="11"/>
      <c r="N949" s="11"/>
      <c r="O949" s="13"/>
      <c r="P949" s="14"/>
      <c r="Q949" s="13"/>
      <c r="R949" s="13"/>
      <c r="S949" s="15"/>
      <c r="T949" s="16"/>
      <c r="U949" s="16"/>
      <c r="V949" s="16"/>
      <c r="W949" s="16"/>
      <c r="X949" s="16"/>
      <c r="Y949" s="11"/>
      <c r="Z949" s="11"/>
      <c r="AA949" s="11"/>
      <c r="AB949" s="11"/>
      <c r="AC949" s="11"/>
      <c r="AD949" s="11"/>
    </row>
    <row r="950">
      <c r="A950" s="10"/>
      <c r="B950" s="10"/>
      <c r="C950" s="10"/>
      <c r="D950" s="10"/>
      <c r="E950" s="10"/>
      <c r="F950" s="11"/>
      <c r="G950" s="11"/>
      <c r="H950" s="11"/>
      <c r="I950" s="11"/>
      <c r="J950" s="11" t="str">
        <f>IFERROR(__xludf.DUMMYFUNCTION("iferror(if($B950="""", ,filter(Playoff_Stats!F:Z,Playoff_Stats!A:A=$B950,Playoff_Stats!B:B=$A950)))"),"")</f>
        <v/>
      </c>
      <c r="K950" s="11"/>
      <c r="L950" s="12"/>
      <c r="M950" s="11"/>
      <c r="N950" s="11"/>
      <c r="O950" s="13"/>
      <c r="P950" s="14"/>
      <c r="Q950" s="13"/>
      <c r="R950" s="13"/>
      <c r="S950" s="15"/>
      <c r="T950" s="16"/>
      <c r="U950" s="16"/>
      <c r="V950" s="16"/>
      <c r="W950" s="16"/>
      <c r="X950" s="16"/>
      <c r="Y950" s="11"/>
      <c r="Z950" s="11"/>
      <c r="AA950" s="11"/>
      <c r="AB950" s="11"/>
      <c r="AC950" s="11"/>
      <c r="AD950" s="11"/>
    </row>
    <row r="951">
      <c r="A951" s="10"/>
      <c r="B951" s="10"/>
      <c r="C951" s="10"/>
      <c r="D951" s="10"/>
      <c r="E951" s="10"/>
      <c r="F951" s="11"/>
      <c r="G951" s="11"/>
      <c r="H951" s="11"/>
      <c r="I951" s="11"/>
      <c r="J951" s="11" t="str">
        <f>IFERROR(__xludf.DUMMYFUNCTION("iferror(if($B951="""", ,filter(Playoff_Stats!F:Z,Playoff_Stats!A:A=$B951,Playoff_Stats!B:B=$A951)))"),"")</f>
        <v/>
      </c>
      <c r="K951" s="11"/>
      <c r="L951" s="12"/>
      <c r="M951" s="11"/>
      <c r="N951" s="11"/>
      <c r="O951" s="13"/>
      <c r="P951" s="14"/>
      <c r="Q951" s="13"/>
      <c r="R951" s="13"/>
      <c r="S951" s="15"/>
      <c r="T951" s="16"/>
      <c r="U951" s="16"/>
      <c r="V951" s="16"/>
      <c r="W951" s="16"/>
      <c r="X951" s="16"/>
      <c r="Y951" s="11"/>
      <c r="Z951" s="11"/>
      <c r="AA951" s="11"/>
      <c r="AB951" s="11"/>
      <c r="AC951" s="11"/>
      <c r="AD951" s="11"/>
    </row>
    <row r="952">
      <c r="A952" s="10"/>
      <c r="B952" s="10"/>
      <c r="C952" s="10"/>
      <c r="D952" s="10"/>
      <c r="E952" s="10"/>
      <c r="F952" s="11"/>
      <c r="G952" s="11"/>
      <c r="H952" s="11"/>
      <c r="I952" s="11"/>
      <c r="J952" s="11" t="str">
        <f>IFERROR(__xludf.DUMMYFUNCTION("iferror(if($B952="""", ,filter(Playoff_Stats!F:Z,Playoff_Stats!A:A=$B952,Playoff_Stats!B:B=$A952)))"),"")</f>
        <v/>
      </c>
      <c r="K952" s="11"/>
      <c r="L952" s="12"/>
      <c r="M952" s="11"/>
      <c r="N952" s="11"/>
      <c r="O952" s="13"/>
      <c r="P952" s="14"/>
      <c r="Q952" s="13"/>
      <c r="R952" s="13"/>
      <c r="S952" s="15"/>
      <c r="T952" s="16"/>
      <c r="U952" s="16"/>
      <c r="V952" s="16"/>
      <c r="W952" s="16"/>
      <c r="X952" s="16"/>
      <c r="Y952" s="11"/>
      <c r="Z952" s="11"/>
      <c r="AA952" s="11"/>
      <c r="AB952" s="11"/>
      <c r="AC952" s="11"/>
      <c r="AD952" s="11"/>
    </row>
    <row r="953">
      <c r="A953" s="10"/>
      <c r="B953" s="10"/>
      <c r="C953" s="10"/>
      <c r="D953" s="10"/>
      <c r="E953" s="10"/>
      <c r="F953" s="11"/>
      <c r="G953" s="11"/>
      <c r="H953" s="11"/>
      <c r="I953" s="11"/>
      <c r="J953" s="11" t="str">
        <f>IFERROR(__xludf.DUMMYFUNCTION("iferror(if($B953="""", ,filter(Playoff_Stats!F:Z,Playoff_Stats!A:A=$B953,Playoff_Stats!B:B=$A953)))"),"")</f>
        <v/>
      </c>
      <c r="K953" s="11"/>
      <c r="L953" s="12"/>
      <c r="M953" s="11"/>
      <c r="N953" s="11"/>
      <c r="O953" s="13"/>
      <c r="P953" s="14"/>
      <c r="Q953" s="13"/>
      <c r="R953" s="13"/>
      <c r="S953" s="15"/>
      <c r="T953" s="16"/>
      <c r="U953" s="16"/>
      <c r="V953" s="16"/>
      <c r="W953" s="16"/>
      <c r="X953" s="16"/>
      <c r="Y953" s="11"/>
      <c r="Z953" s="11"/>
      <c r="AA953" s="11"/>
      <c r="AB953" s="11"/>
      <c r="AC953" s="11"/>
      <c r="AD953" s="11"/>
    </row>
    <row r="954">
      <c r="A954" s="10"/>
      <c r="B954" s="10"/>
      <c r="C954" s="10"/>
      <c r="D954" s="10"/>
      <c r="E954" s="10"/>
      <c r="F954" s="11"/>
      <c r="G954" s="11"/>
      <c r="H954" s="11"/>
      <c r="I954" s="11"/>
      <c r="J954" s="11" t="str">
        <f>IFERROR(__xludf.DUMMYFUNCTION("iferror(if($B954="""", ,filter(Playoff_Stats!F:Z,Playoff_Stats!A:A=$B954,Playoff_Stats!B:B=$A954)))"),"")</f>
        <v/>
      </c>
      <c r="K954" s="11"/>
      <c r="L954" s="12"/>
      <c r="M954" s="11"/>
      <c r="N954" s="11"/>
      <c r="O954" s="13"/>
      <c r="P954" s="14"/>
      <c r="Q954" s="13"/>
      <c r="R954" s="13"/>
      <c r="S954" s="15"/>
      <c r="T954" s="16"/>
      <c r="U954" s="16"/>
      <c r="V954" s="16"/>
      <c r="W954" s="16"/>
      <c r="X954" s="16"/>
      <c r="Y954" s="11"/>
      <c r="Z954" s="11"/>
      <c r="AA954" s="11"/>
      <c r="AB954" s="11"/>
      <c r="AC954" s="11"/>
      <c r="AD954" s="11"/>
    </row>
    <row r="955">
      <c r="A955" s="10"/>
      <c r="B955" s="10"/>
      <c r="C955" s="10"/>
      <c r="D955" s="10"/>
      <c r="E955" s="10"/>
      <c r="F955" s="11"/>
      <c r="G955" s="11"/>
      <c r="H955" s="11"/>
      <c r="I955" s="11"/>
      <c r="J955" s="11" t="str">
        <f>IFERROR(__xludf.DUMMYFUNCTION("iferror(if($B955="""", ,filter(Playoff_Stats!F:Z,Playoff_Stats!A:A=$B955,Playoff_Stats!B:B=$A955)))"),"")</f>
        <v/>
      </c>
      <c r="K955" s="11"/>
      <c r="L955" s="12"/>
      <c r="M955" s="11"/>
      <c r="N955" s="11"/>
      <c r="O955" s="13"/>
      <c r="P955" s="14"/>
      <c r="Q955" s="13"/>
      <c r="R955" s="13"/>
      <c r="S955" s="15"/>
      <c r="T955" s="16"/>
      <c r="U955" s="16"/>
      <c r="V955" s="16"/>
      <c r="W955" s="16"/>
      <c r="X955" s="16"/>
      <c r="Y955" s="11"/>
      <c r="Z955" s="11"/>
      <c r="AA955" s="11"/>
      <c r="AB955" s="11"/>
      <c r="AC955" s="11"/>
      <c r="AD955" s="11"/>
    </row>
    <row r="956">
      <c r="A956" s="10"/>
      <c r="B956" s="10"/>
      <c r="C956" s="10"/>
      <c r="D956" s="10"/>
      <c r="E956" s="10"/>
      <c r="F956" s="11"/>
      <c r="G956" s="11"/>
      <c r="H956" s="11"/>
      <c r="I956" s="11"/>
      <c r="J956" s="11" t="str">
        <f>IFERROR(__xludf.DUMMYFUNCTION("iferror(if($B956="""", ,filter(Playoff_Stats!F:Z,Playoff_Stats!A:A=$B956,Playoff_Stats!B:B=$A956)))"),"")</f>
        <v/>
      </c>
      <c r="K956" s="11"/>
      <c r="L956" s="12"/>
      <c r="M956" s="11"/>
      <c r="N956" s="11"/>
      <c r="O956" s="13"/>
      <c r="P956" s="14"/>
      <c r="Q956" s="13"/>
      <c r="R956" s="13"/>
      <c r="S956" s="15"/>
      <c r="T956" s="16"/>
      <c r="U956" s="16"/>
      <c r="V956" s="16"/>
      <c r="W956" s="16"/>
      <c r="X956" s="16"/>
      <c r="Y956" s="11"/>
      <c r="Z956" s="11"/>
      <c r="AA956" s="11"/>
      <c r="AB956" s="11"/>
      <c r="AC956" s="11"/>
      <c r="AD956" s="11"/>
    </row>
    <row r="957">
      <c r="A957" s="10"/>
      <c r="B957" s="10"/>
      <c r="C957" s="10"/>
      <c r="D957" s="10"/>
      <c r="E957" s="10"/>
      <c r="F957" s="11"/>
      <c r="G957" s="11"/>
      <c r="H957" s="11"/>
      <c r="I957" s="11"/>
      <c r="J957" s="11" t="str">
        <f>IFERROR(__xludf.DUMMYFUNCTION("iferror(if($B957="""", ,filter(Playoff_Stats!F:Z,Playoff_Stats!A:A=$B957,Playoff_Stats!B:B=$A957)))"),"")</f>
        <v/>
      </c>
      <c r="K957" s="11"/>
      <c r="L957" s="12"/>
      <c r="M957" s="11"/>
      <c r="N957" s="11"/>
      <c r="O957" s="13"/>
      <c r="P957" s="14"/>
      <c r="Q957" s="13"/>
      <c r="R957" s="13"/>
      <c r="S957" s="15"/>
      <c r="T957" s="16"/>
      <c r="U957" s="16"/>
      <c r="V957" s="16"/>
      <c r="W957" s="16"/>
      <c r="X957" s="16"/>
      <c r="Y957" s="11"/>
      <c r="Z957" s="11"/>
      <c r="AA957" s="11"/>
      <c r="AB957" s="11"/>
      <c r="AC957" s="11"/>
      <c r="AD957" s="11"/>
    </row>
    <row r="958">
      <c r="A958" s="10"/>
      <c r="B958" s="10"/>
      <c r="C958" s="10"/>
      <c r="D958" s="10"/>
      <c r="E958" s="10"/>
      <c r="F958" s="11"/>
      <c r="G958" s="11"/>
      <c r="H958" s="11"/>
      <c r="I958" s="11"/>
      <c r="J958" s="11" t="str">
        <f>IFERROR(__xludf.DUMMYFUNCTION("iferror(if($B958="""", ,filter(Playoff_Stats!F:Z,Playoff_Stats!A:A=$B958,Playoff_Stats!B:B=$A958)))"),"")</f>
        <v/>
      </c>
      <c r="K958" s="11"/>
      <c r="L958" s="12"/>
      <c r="M958" s="11"/>
      <c r="N958" s="11"/>
      <c r="O958" s="13"/>
      <c r="P958" s="14"/>
      <c r="Q958" s="13"/>
      <c r="R958" s="13"/>
      <c r="S958" s="15"/>
      <c r="T958" s="16"/>
      <c r="U958" s="16"/>
      <c r="V958" s="16"/>
      <c r="W958" s="16"/>
      <c r="X958" s="16"/>
      <c r="Y958" s="11"/>
      <c r="Z958" s="11"/>
      <c r="AA958" s="11"/>
      <c r="AB958" s="11"/>
      <c r="AC958" s="11"/>
      <c r="AD958" s="11"/>
    </row>
    <row r="959">
      <c r="A959" s="10"/>
      <c r="B959" s="10"/>
      <c r="C959" s="10"/>
      <c r="D959" s="10"/>
      <c r="E959" s="10"/>
      <c r="F959" s="11"/>
      <c r="G959" s="11"/>
      <c r="H959" s="11"/>
      <c r="I959" s="11"/>
      <c r="J959" s="11" t="str">
        <f>IFERROR(__xludf.DUMMYFUNCTION("iferror(if($B959="""", ,filter(Playoff_Stats!F:Z,Playoff_Stats!A:A=$B959,Playoff_Stats!B:B=$A959)))"),"")</f>
        <v/>
      </c>
      <c r="K959" s="11"/>
      <c r="L959" s="12"/>
      <c r="M959" s="11"/>
      <c r="N959" s="11"/>
      <c r="O959" s="13"/>
      <c r="P959" s="14"/>
      <c r="Q959" s="13"/>
      <c r="R959" s="13"/>
      <c r="S959" s="15"/>
      <c r="T959" s="16"/>
      <c r="U959" s="16"/>
      <c r="V959" s="16"/>
      <c r="W959" s="16"/>
      <c r="X959" s="16"/>
      <c r="Y959" s="11"/>
      <c r="Z959" s="11"/>
      <c r="AA959" s="11"/>
      <c r="AB959" s="11"/>
      <c r="AC959" s="11"/>
      <c r="AD959" s="11"/>
    </row>
    <row r="960">
      <c r="A960" s="10"/>
      <c r="B960" s="10"/>
      <c r="C960" s="10"/>
      <c r="D960" s="10"/>
      <c r="E960" s="10"/>
      <c r="F960" s="11"/>
      <c r="G960" s="11"/>
      <c r="H960" s="11"/>
      <c r="I960" s="11"/>
      <c r="J960" s="11" t="str">
        <f>IFERROR(__xludf.DUMMYFUNCTION("iferror(if($B960="""", ,filter(Playoff_Stats!F:Z,Playoff_Stats!A:A=$B960,Playoff_Stats!B:B=$A960)))"),"")</f>
        <v/>
      </c>
      <c r="K960" s="11"/>
      <c r="L960" s="12"/>
      <c r="M960" s="11"/>
      <c r="N960" s="11"/>
      <c r="O960" s="13"/>
      <c r="P960" s="14"/>
      <c r="Q960" s="13"/>
      <c r="R960" s="13"/>
      <c r="S960" s="15"/>
      <c r="T960" s="16"/>
      <c r="U960" s="16"/>
      <c r="V960" s="16"/>
      <c r="W960" s="16"/>
      <c r="X960" s="16"/>
      <c r="Y960" s="11"/>
      <c r="Z960" s="11"/>
      <c r="AA960" s="11"/>
      <c r="AB960" s="11"/>
      <c r="AC960" s="11"/>
      <c r="AD960" s="11"/>
    </row>
    <row r="961">
      <c r="A961" s="10"/>
      <c r="B961" s="10"/>
      <c r="C961" s="10"/>
      <c r="D961" s="10"/>
      <c r="E961" s="10"/>
      <c r="F961" s="11"/>
      <c r="G961" s="11"/>
      <c r="H961" s="11"/>
      <c r="I961" s="11"/>
      <c r="J961" s="11" t="str">
        <f>IFERROR(__xludf.DUMMYFUNCTION("iferror(if($B961="""", ,filter(Playoff_Stats!F:Z,Playoff_Stats!A:A=$B961,Playoff_Stats!B:B=$A961)))"),"")</f>
        <v/>
      </c>
      <c r="K961" s="11"/>
      <c r="L961" s="12"/>
      <c r="M961" s="11"/>
      <c r="N961" s="11"/>
      <c r="O961" s="13"/>
      <c r="P961" s="14"/>
      <c r="Q961" s="13"/>
      <c r="R961" s="13"/>
      <c r="S961" s="15"/>
      <c r="T961" s="16"/>
      <c r="U961" s="16"/>
      <c r="V961" s="16"/>
      <c r="W961" s="16"/>
      <c r="X961" s="16"/>
      <c r="Y961" s="11"/>
      <c r="Z961" s="11"/>
      <c r="AA961" s="11"/>
      <c r="AB961" s="11"/>
      <c r="AC961" s="11"/>
      <c r="AD961" s="11"/>
    </row>
    <row r="962">
      <c r="A962" s="10"/>
      <c r="B962" s="10"/>
      <c r="C962" s="10"/>
      <c r="D962" s="10"/>
      <c r="E962" s="10"/>
      <c r="F962" s="11"/>
      <c r="G962" s="11"/>
      <c r="H962" s="11"/>
      <c r="I962" s="11"/>
      <c r="J962" s="11" t="str">
        <f>IFERROR(__xludf.DUMMYFUNCTION("iferror(if($B962="""", ,filter(Playoff_Stats!F:Z,Playoff_Stats!A:A=$B962,Playoff_Stats!B:B=$A962)))"),"")</f>
        <v/>
      </c>
      <c r="K962" s="11"/>
      <c r="L962" s="12"/>
      <c r="M962" s="11"/>
      <c r="N962" s="11"/>
      <c r="O962" s="13"/>
      <c r="P962" s="14"/>
      <c r="Q962" s="13"/>
      <c r="R962" s="13"/>
      <c r="S962" s="15"/>
      <c r="T962" s="16"/>
      <c r="U962" s="16"/>
      <c r="V962" s="16"/>
      <c r="W962" s="16"/>
      <c r="X962" s="16"/>
      <c r="Y962" s="11"/>
      <c r="Z962" s="11"/>
      <c r="AA962" s="11"/>
      <c r="AB962" s="11"/>
      <c r="AC962" s="11"/>
      <c r="AD962" s="11"/>
    </row>
    <row r="963">
      <c r="A963" s="10"/>
      <c r="B963" s="10"/>
      <c r="C963" s="10"/>
      <c r="D963" s="10"/>
      <c r="E963" s="10"/>
      <c r="F963" s="11"/>
      <c r="G963" s="11"/>
      <c r="H963" s="11"/>
      <c r="I963" s="11"/>
      <c r="J963" s="11" t="str">
        <f>IFERROR(__xludf.DUMMYFUNCTION("iferror(if($B963="""", ,filter(Playoff_Stats!F:Z,Playoff_Stats!A:A=$B963,Playoff_Stats!B:B=$A963)))"),"")</f>
        <v/>
      </c>
      <c r="K963" s="11"/>
      <c r="L963" s="12"/>
      <c r="M963" s="11"/>
      <c r="N963" s="11"/>
      <c r="O963" s="13"/>
      <c r="P963" s="14"/>
      <c r="Q963" s="13"/>
      <c r="R963" s="13"/>
      <c r="S963" s="15"/>
      <c r="T963" s="16"/>
      <c r="U963" s="16"/>
      <c r="V963" s="16"/>
      <c r="W963" s="16"/>
      <c r="X963" s="16"/>
      <c r="Y963" s="11"/>
      <c r="Z963" s="11"/>
      <c r="AA963" s="11"/>
      <c r="AB963" s="11"/>
      <c r="AC963" s="11"/>
      <c r="AD963" s="11"/>
    </row>
    <row r="964">
      <c r="A964" s="10"/>
      <c r="B964" s="10"/>
      <c r="C964" s="10"/>
      <c r="D964" s="10"/>
      <c r="E964" s="10"/>
      <c r="F964" s="11"/>
      <c r="G964" s="11"/>
      <c r="H964" s="11"/>
      <c r="I964" s="11"/>
      <c r="J964" s="11" t="str">
        <f>IFERROR(__xludf.DUMMYFUNCTION("iferror(if($B964="""", ,filter(Playoff_Stats!F:Z,Playoff_Stats!A:A=$B964,Playoff_Stats!B:B=$A964)))"),"")</f>
        <v/>
      </c>
      <c r="K964" s="11"/>
      <c r="L964" s="12"/>
      <c r="M964" s="11"/>
      <c r="N964" s="11"/>
      <c r="O964" s="13"/>
      <c r="P964" s="14"/>
      <c r="Q964" s="13"/>
      <c r="R964" s="13"/>
      <c r="S964" s="15"/>
      <c r="T964" s="16"/>
      <c r="U964" s="16"/>
      <c r="V964" s="16"/>
      <c r="W964" s="16"/>
      <c r="X964" s="16"/>
      <c r="Y964" s="11"/>
      <c r="Z964" s="11"/>
      <c r="AA964" s="11"/>
      <c r="AB964" s="11"/>
      <c r="AC964" s="11"/>
      <c r="AD964" s="11"/>
    </row>
    <row r="965">
      <c r="A965" s="10"/>
      <c r="B965" s="10"/>
      <c r="C965" s="10"/>
      <c r="D965" s="10"/>
      <c r="E965" s="10"/>
      <c r="F965" s="11"/>
      <c r="G965" s="11"/>
      <c r="H965" s="11"/>
      <c r="I965" s="11"/>
      <c r="J965" s="11" t="str">
        <f>IFERROR(__xludf.DUMMYFUNCTION("iferror(if($B965="""", ,filter(Playoff_Stats!F:Z,Playoff_Stats!A:A=$B965,Playoff_Stats!B:B=$A965)))"),"")</f>
        <v/>
      </c>
      <c r="K965" s="11"/>
      <c r="L965" s="12"/>
      <c r="M965" s="11"/>
      <c r="N965" s="11"/>
      <c r="O965" s="13"/>
      <c r="P965" s="14"/>
      <c r="Q965" s="13"/>
      <c r="R965" s="13"/>
      <c r="S965" s="15"/>
      <c r="T965" s="16"/>
      <c r="U965" s="16"/>
      <c r="V965" s="16"/>
      <c r="W965" s="16"/>
      <c r="X965" s="16"/>
      <c r="Y965" s="11"/>
      <c r="Z965" s="11"/>
      <c r="AA965" s="11"/>
      <c r="AB965" s="11"/>
      <c r="AC965" s="11"/>
      <c r="AD965" s="11"/>
    </row>
    <row r="966">
      <c r="A966" s="10"/>
      <c r="B966" s="10"/>
      <c r="C966" s="10"/>
      <c r="D966" s="10"/>
      <c r="E966" s="10"/>
      <c r="F966" s="11"/>
      <c r="G966" s="11"/>
      <c r="H966" s="11"/>
      <c r="I966" s="11"/>
      <c r="J966" s="11" t="str">
        <f>IFERROR(__xludf.DUMMYFUNCTION("iferror(if($B966="""", ,filter(Playoff_Stats!F:Z,Playoff_Stats!A:A=$B966,Playoff_Stats!B:B=$A966)))"),"")</f>
        <v/>
      </c>
      <c r="K966" s="11"/>
      <c r="L966" s="12"/>
      <c r="M966" s="11"/>
      <c r="N966" s="11"/>
      <c r="O966" s="13"/>
      <c r="P966" s="14"/>
      <c r="Q966" s="13"/>
      <c r="R966" s="13"/>
      <c r="S966" s="15"/>
      <c r="T966" s="16"/>
      <c r="U966" s="16"/>
      <c r="V966" s="16"/>
      <c r="W966" s="16"/>
      <c r="X966" s="16"/>
      <c r="Y966" s="11"/>
      <c r="Z966" s="11"/>
      <c r="AA966" s="11"/>
      <c r="AB966" s="11"/>
      <c r="AC966" s="11"/>
      <c r="AD966" s="11"/>
    </row>
    <row r="967">
      <c r="A967" s="10"/>
      <c r="B967" s="10"/>
      <c r="C967" s="10"/>
      <c r="D967" s="10"/>
      <c r="E967" s="10"/>
      <c r="F967" s="11"/>
      <c r="G967" s="11"/>
      <c r="H967" s="11"/>
      <c r="I967" s="11"/>
      <c r="J967" s="11" t="str">
        <f>IFERROR(__xludf.DUMMYFUNCTION("iferror(if($B967="""", ,filter(Playoff_Stats!F:Z,Playoff_Stats!A:A=$B967,Playoff_Stats!B:B=$A967)))"),"")</f>
        <v/>
      </c>
      <c r="K967" s="11"/>
      <c r="L967" s="12"/>
      <c r="M967" s="11"/>
      <c r="N967" s="11"/>
      <c r="O967" s="13"/>
      <c r="P967" s="14"/>
      <c r="Q967" s="13"/>
      <c r="R967" s="13"/>
      <c r="S967" s="15"/>
      <c r="T967" s="16"/>
      <c r="U967" s="16"/>
      <c r="V967" s="16"/>
      <c r="W967" s="16"/>
      <c r="X967" s="16"/>
      <c r="Y967" s="11"/>
      <c r="Z967" s="11"/>
      <c r="AA967" s="11"/>
      <c r="AB967" s="11"/>
      <c r="AC967" s="11"/>
      <c r="AD967" s="11"/>
    </row>
    <row r="968">
      <c r="A968" s="10"/>
      <c r="B968" s="10"/>
      <c r="C968" s="10"/>
      <c r="D968" s="10"/>
      <c r="E968" s="10"/>
      <c r="F968" s="11"/>
      <c r="G968" s="11"/>
      <c r="H968" s="11"/>
      <c r="I968" s="11"/>
      <c r="J968" s="11" t="str">
        <f>IFERROR(__xludf.DUMMYFUNCTION("iferror(if($B968="""", ,filter(Playoff_Stats!F:Z,Playoff_Stats!A:A=$B968,Playoff_Stats!B:B=$A968)))"),"")</f>
        <v/>
      </c>
      <c r="K968" s="11"/>
      <c r="L968" s="12"/>
      <c r="M968" s="11"/>
      <c r="N968" s="11"/>
      <c r="O968" s="13"/>
      <c r="P968" s="14"/>
      <c r="Q968" s="13"/>
      <c r="R968" s="13"/>
      <c r="S968" s="15"/>
      <c r="T968" s="16"/>
      <c r="U968" s="16"/>
      <c r="V968" s="16"/>
      <c r="W968" s="16"/>
      <c r="X968" s="16"/>
      <c r="Y968" s="11"/>
      <c r="Z968" s="11"/>
      <c r="AA968" s="11"/>
      <c r="AB968" s="11"/>
      <c r="AC968" s="11"/>
      <c r="AD968" s="11"/>
    </row>
    <row r="969">
      <c r="A969" s="10"/>
      <c r="B969" s="10"/>
      <c r="C969" s="10"/>
      <c r="D969" s="10"/>
      <c r="E969" s="10"/>
      <c r="F969" s="11"/>
      <c r="G969" s="11"/>
      <c r="H969" s="11"/>
      <c r="I969" s="11"/>
      <c r="J969" s="11" t="str">
        <f>IFERROR(__xludf.DUMMYFUNCTION("iferror(if($B969="""", ,filter(Playoff_Stats!F:Z,Playoff_Stats!A:A=$B969,Playoff_Stats!B:B=$A969)))"),"")</f>
        <v/>
      </c>
      <c r="K969" s="11"/>
      <c r="L969" s="12"/>
      <c r="M969" s="11"/>
      <c r="N969" s="11"/>
      <c r="O969" s="13"/>
      <c r="P969" s="14"/>
      <c r="Q969" s="13"/>
      <c r="R969" s="13"/>
      <c r="S969" s="15"/>
      <c r="T969" s="16"/>
      <c r="U969" s="16"/>
      <c r="V969" s="16"/>
      <c r="W969" s="16"/>
      <c r="X969" s="16"/>
      <c r="Y969" s="11"/>
      <c r="Z969" s="11"/>
      <c r="AA969" s="11"/>
      <c r="AB969" s="11"/>
      <c r="AC969" s="11"/>
      <c r="AD969" s="11"/>
    </row>
    <row r="970">
      <c r="A970" s="10"/>
      <c r="B970" s="10"/>
      <c r="C970" s="10"/>
      <c r="D970" s="10"/>
      <c r="E970" s="10"/>
      <c r="F970" s="11"/>
      <c r="G970" s="11"/>
      <c r="H970" s="11"/>
      <c r="I970" s="11"/>
      <c r="J970" s="11" t="str">
        <f>IFERROR(__xludf.DUMMYFUNCTION("iferror(if($B970="""", ,filter(Playoff_Stats!F:Z,Playoff_Stats!A:A=$B970,Playoff_Stats!B:B=$A970)))"),"")</f>
        <v/>
      </c>
      <c r="K970" s="11"/>
      <c r="L970" s="12"/>
      <c r="M970" s="11"/>
      <c r="N970" s="11"/>
      <c r="O970" s="13"/>
      <c r="P970" s="14"/>
      <c r="Q970" s="13"/>
      <c r="R970" s="13"/>
      <c r="S970" s="15"/>
      <c r="T970" s="16"/>
      <c r="U970" s="16"/>
      <c r="V970" s="16"/>
      <c r="W970" s="16"/>
      <c r="X970" s="16"/>
      <c r="Y970" s="11"/>
      <c r="Z970" s="11"/>
      <c r="AA970" s="11"/>
      <c r="AB970" s="11"/>
      <c r="AC970" s="11"/>
      <c r="AD970" s="11"/>
    </row>
    <row r="971">
      <c r="A971" s="10"/>
      <c r="B971" s="10"/>
      <c r="C971" s="10"/>
      <c r="D971" s="10"/>
      <c r="E971" s="10"/>
      <c r="F971" s="11"/>
      <c r="G971" s="11"/>
      <c r="H971" s="11"/>
      <c r="I971" s="11"/>
      <c r="J971" s="11" t="str">
        <f>IFERROR(__xludf.DUMMYFUNCTION("iferror(if($B971="""", ,filter(Playoff_Stats!F:Z,Playoff_Stats!A:A=$B971,Playoff_Stats!B:B=$A971)))"),"")</f>
        <v/>
      </c>
      <c r="K971" s="11"/>
      <c r="L971" s="12"/>
      <c r="M971" s="11"/>
      <c r="N971" s="11"/>
      <c r="O971" s="13"/>
      <c r="P971" s="14"/>
      <c r="Q971" s="13"/>
      <c r="R971" s="13"/>
      <c r="S971" s="15"/>
      <c r="T971" s="16"/>
      <c r="U971" s="16"/>
      <c r="V971" s="16"/>
      <c r="W971" s="16"/>
      <c r="X971" s="16"/>
      <c r="Y971" s="11"/>
      <c r="Z971" s="11"/>
      <c r="AA971" s="11"/>
      <c r="AB971" s="11"/>
      <c r="AC971" s="11"/>
      <c r="AD971" s="11"/>
    </row>
    <row r="972">
      <c r="A972" s="10"/>
      <c r="B972" s="10"/>
      <c r="C972" s="10"/>
      <c r="D972" s="10"/>
      <c r="E972" s="10"/>
      <c r="F972" s="11"/>
      <c r="G972" s="11"/>
      <c r="H972" s="11"/>
      <c r="I972" s="11"/>
      <c r="J972" s="11" t="str">
        <f>IFERROR(__xludf.DUMMYFUNCTION("iferror(if($B972="""", ,filter(Playoff_Stats!F:Z,Playoff_Stats!A:A=$B972,Playoff_Stats!B:B=$A972)))"),"")</f>
        <v/>
      </c>
      <c r="K972" s="11"/>
      <c r="L972" s="12"/>
      <c r="M972" s="11"/>
      <c r="N972" s="11"/>
      <c r="O972" s="13"/>
      <c r="P972" s="14"/>
      <c r="Q972" s="13"/>
      <c r="R972" s="13"/>
      <c r="S972" s="15"/>
      <c r="T972" s="16"/>
      <c r="U972" s="16"/>
      <c r="V972" s="16"/>
      <c r="W972" s="16"/>
      <c r="X972" s="16"/>
      <c r="Y972" s="11"/>
      <c r="Z972" s="11"/>
      <c r="AA972" s="11"/>
      <c r="AB972" s="11"/>
      <c r="AC972" s="11"/>
      <c r="AD972" s="11"/>
    </row>
    <row r="973">
      <c r="A973" s="10"/>
      <c r="B973" s="10"/>
      <c r="C973" s="10"/>
      <c r="D973" s="10"/>
      <c r="E973" s="10"/>
      <c r="F973" s="11"/>
      <c r="G973" s="11"/>
      <c r="H973" s="11"/>
      <c r="I973" s="11"/>
      <c r="J973" s="11" t="str">
        <f>IFERROR(__xludf.DUMMYFUNCTION("iferror(if($B973="""", ,filter(Playoff_Stats!F:Z,Playoff_Stats!A:A=$B973,Playoff_Stats!B:B=$A973)))"),"")</f>
        <v/>
      </c>
      <c r="K973" s="11"/>
      <c r="L973" s="12"/>
      <c r="M973" s="11"/>
      <c r="N973" s="11"/>
      <c r="O973" s="13"/>
      <c r="P973" s="14"/>
      <c r="Q973" s="13"/>
      <c r="R973" s="13"/>
      <c r="S973" s="15"/>
      <c r="T973" s="16"/>
      <c r="U973" s="16"/>
      <c r="V973" s="16"/>
      <c r="W973" s="16"/>
      <c r="X973" s="16"/>
      <c r="Y973" s="11"/>
      <c r="Z973" s="11"/>
      <c r="AA973" s="11"/>
      <c r="AB973" s="11"/>
      <c r="AC973" s="11"/>
      <c r="AD973" s="11"/>
    </row>
    <row r="974">
      <c r="A974" s="10"/>
      <c r="B974" s="10"/>
      <c r="C974" s="10"/>
      <c r="D974" s="10"/>
      <c r="E974" s="10"/>
      <c r="F974" s="11"/>
      <c r="G974" s="11"/>
      <c r="H974" s="11"/>
      <c r="I974" s="11"/>
      <c r="J974" s="11" t="str">
        <f>IFERROR(__xludf.DUMMYFUNCTION("iferror(if($B974="""", ,filter(Playoff_Stats!F:Z,Playoff_Stats!A:A=$B974,Playoff_Stats!B:B=$A974)))"),"")</f>
        <v/>
      </c>
      <c r="K974" s="11"/>
      <c r="L974" s="12"/>
      <c r="M974" s="11"/>
      <c r="N974" s="11"/>
      <c r="O974" s="13"/>
      <c r="P974" s="14"/>
      <c r="Q974" s="13"/>
      <c r="R974" s="13"/>
      <c r="S974" s="15"/>
      <c r="T974" s="16"/>
      <c r="U974" s="16"/>
      <c r="V974" s="16"/>
      <c r="W974" s="16"/>
      <c r="X974" s="16"/>
      <c r="Y974" s="11"/>
      <c r="Z974" s="11"/>
      <c r="AA974" s="11"/>
      <c r="AB974" s="11"/>
      <c r="AC974" s="11"/>
      <c r="AD974" s="11"/>
    </row>
    <row r="975">
      <c r="A975" s="10"/>
      <c r="B975" s="10"/>
      <c r="C975" s="10"/>
      <c r="D975" s="10"/>
      <c r="E975" s="10"/>
      <c r="F975" s="11"/>
      <c r="G975" s="11"/>
      <c r="H975" s="11"/>
      <c r="I975" s="11"/>
      <c r="J975" s="11" t="str">
        <f>IFERROR(__xludf.DUMMYFUNCTION("iferror(if($B975="""", ,filter(Playoff_Stats!F:Z,Playoff_Stats!A:A=$B975,Playoff_Stats!B:B=$A975)))"),"")</f>
        <v/>
      </c>
      <c r="K975" s="11"/>
      <c r="L975" s="12"/>
      <c r="M975" s="11"/>
      <c r="N975" s="11"/>
      <c r="O975" s="13"/>
      <c r="P975" s="14"/>
      <c r="Q975" s="13"/>
      <c r="R975" s="13"/>
      <c r="S975" s="15"/>
      <c r="T975" s="16"/>
      <c r="U975" s="16"/>
      <c r="V975" s="16"/>
      <c r="W975" s="16"/>
      <c r="X975" s="16"/>
      <c r="Y975" s="11"/>
      <c r="Z975" s="11"/>
      <c r="AA975" s="11"/>
      <c r="AB975" s="11"/>
      <c r="AC975" s="11"/>
      <c r="AD975" s="11"/>
    </row>
    <row r="976">
      <c r="A976" s="10"/>
      <c r="B976" s="10"/>
      <c r="C976" s="10"/>
      <c r="D976" s="10"/>
      <c r="E976" s="10"/>
      <c r="F976" s="11"/>
      <c r="G976" s="11"/>
      <c r="H976" s="11"/>
      <c r="I976" s="11"/>
      <c r="J976" s="11" t="str">
        <f>IFERROR(__xludf.DUMMYFUNCTION("iferror(if($B976="""", ,filter(Playoff_Stats!F:Z,Playoff_Stats!A:A=$B976,Playoff_Stats!B:B=$A976)))"),"")</f>
        <v/>
      </c>
      <c r="K976" s="11"/>
      <c r="L976" s="12"/>
      <c r="M976" s="11"/>
      <c r="N976" s="11"/>
      <c r="O976" s="13"/>
      <c r="P976" s="14"/>
      <c r="Q976" s="13"/>
      <c r="R976" s="13"/>
      <c r="S976" s="15"/>
      <c r="T976" s="16"/>
      <c r="U976" s="16"/>
      <c r="V976" s="16"/>
      <c r="W976" s="16"/>
      <c r="X976" s="16"/>
      <c r="Y976" s="11"/>
      <c r="Z976" s="11"/>
      <c r="AA976" s="11"/>
      <c r="AB976" s="11"/>
      <c r="AC976" s="11"/>
      <c r="AD976" s="11"/>
    </row>
    <row r="977">
      <c r="A977" s="10"/>
      <c r="B977" s="10"/>
      <c r="C977" s="10"/>
      <c r="D977" s="10"/>
      <c r="E977" s="10"/>
      <c r="F977" s="11"/>
      <c r="G977" s="11"/>
      <c r="H977" s="11"/>
      <c r="I977" s="11"/>
      <c r="J977" s="11" t="str">
        <f>IFERROR(__xludf.DUMMYFUNCTION("iferror(if($B977="""", ,filter(Playoff_Stats!F:Z,Playoff_Stats!A:A=$B977,Playoff_Stats!B:B=$A977)))"),"")</f>
        <v/>
      </c>
      <c r="K977" s="11"/>
      <c r="L977" s="12"/>
      <c r="M977" s="11"/>
      <c r="N977" s="11"/>
      <c r="O977" s="13"/>
      <c r="P977" s="14"/>
      <c r="Q977" s="13"/>
      <c r="R977" s="13"/>
      <c r="S977" s="15"/>
      <c r="T977" s="16"/>
      <c r="U977" s="16"/>
      <c r="V977" s="16"/>
      <c r="W977" s="16"/>
      <c r="X977" s="16"/>
      <c r="Y977" s="11"/>
      <c r="Z977" s="11"/>
      <c r="AA977" s="11"/>
      <c r="AB977" s="11"/>
      <c r="AC977" s="11"/>
      <c r="AD977" s="11"/>
    </row>
    <row r="978">
      <c r="A978" s="10"/>
      <c r="B978" s="10"/>
      <c r="C978" s="10"/>
      <c r="D978" s="10"/>
      <c r="E978" s="10"/>
      <c r="F978" s="11"/>
      <c r="G978" s="11"/>
      <c r="H978" s="11"/>
      <c r="I978" s="11"/>
      <c r="J978" s="11" t="str">
        <f>IFERROR(__xludf.DUMMYFUNCTION("iferror(if($B978="""", ,filter(Playoff_Stats!F:Z,Playoff_Stats!A:A=$B978,Playoff_Stats!B:B=$A978)))"),"")</f>
        <v/>
      </c>
      <c r="K978" s="11"/>
      <c r="L978" s="12"/>
      <c r="M978" s="11"/>
      <c r="N978" s="11"/>
      <c r="O978" s="13"/>
      <c r="P978" s="14"/>
      <c r="Q978" s="13"/>
      <c r="R978" s="13"/>
      <c r="S978" s="15"/>
      <c r="T978" s="16"/>
      <c r="U978" s="16"/>
      <c r="V978" s="16"/>
      <c r="W978" s="16"/>
      <c r="X978" s="16"/>
      <c r="Y978" s="11"/>
      <c r="Z978" s="11"/>
      <c r="AA978" s="11"/>
      <c r="AB978" s="11"/>
      <c r="AC978" s="11"/>
      <c r="AD978" s="11"/>
    </row>
    <row r="979">
      <c r="A979" s="10"/>
      <c r="B979" s="10"/>
      <c r="C979" s="10"/>
      <c r="D979" s="10"/>
      <c r="E979" s="10"/>
      <c r="F979" s="11"/>
      <c r="G979" s="11"/>
      <c r="H979" s="11"/>
      <c r="I979" s="11"/>
      <c r="J979" s="11" t="str">
        <f>IFERROR(__xludf.DUMMYFUNCTION("iferror(if($B979="""", ,filter(Playoff_Stats!F:Z,Playoff_Stats!A:A=$B979,Playoff_Stats!B:B=$A979)))"),"")</f>
        <v/>
      </c>
      <c r="K979" s="11"/>
      <c r="L979" s="12"/>
      <c r="M979" s="11"/>
      <c r="N979" s="11"/>
      <c r="O979" s="13"/>
      <c r="P979" s="14"/>
      <c r="Q979" s="13"/>
      <c r="R979" s="13"/>
      <c r="S979" s="15"/>
      <c r="T979" s="16"/>
      <c r="U979" s="16"/>
      <c r="V979" s="16"/>
      <c r="W979" s="16"/>
      <c r="X979" s="16"/>
      <c r="Y979" s="11"/>
      <c r="Z979" s="11"/>
      <c r="AA979" s="11"/>
      <c r="AB979" s="11"/>
      <c r="AC979" s="11"/>
      <c r="AD979" s="11"/>
    </row>
    <row r="980">
      <c r="A980" s="10"/>
      <c r="B980" s="10"/>
      <c r="C980" s="10"/>
      <c r="D980" s="10"/>
      <c r="E980" s="10"/>
      <c r="F980" s="11"/>
      <c r="G980" s="11"/>
      <c r="H980" s="11"/>
      <c r="I980" s="11"/>
      <c r="J980" s="11" t="str">
        <f>IFERROR(__xludf.DUMMYFUNCTION("iferror(if($B980="""", ,filter(Playoff_Stats!F:Z,Playoff_Stats!A:A=$B980,Playoff_Stats!B:B=$A980)))"),"")</f>
        <v/>
      </c>
      <c r="K980" s="11"/>
      <c r="L980" s="12"/>
      <c r="M980" s="11"/>
      <c r="N980" s="11"/>
      <c r="O980" s="13"/>
      <c r="P980" s="14"/>
      <c r="Q980" s="13"/>
      <c r="R980" s="13"/>
      <c r="S980" s="15"/>
      <c r="T980" s="16"/>
      <c r="U980" s="16"/>
      <c r="V980" s="16"/>
      <c r="W980" s="16"/>
      <c r="X980" s="16"/>
      <c r="Y980" s="11"/>
      <c r="Z980" s="11"/>
      <c r="AA980" s="11"/>
      <c r="AB980" s="11"/>
      <c r="AC980" s="11"/>
      <c r="AD980" s="11"/>
    </row>
    <row r="981">
      <c r="A981" s="10"/>
      <c r="B981" s="10"/>
      <c r="C981" s="10"/>
      <c r="D981" s="10"/>
      <c r="E981" s="10"/>
      <c r="F981" s="11"/>
      <c r="G981" s="11"/>
      <c r="H981" s="11"/>
      <c r="I981" s="11"/>
      <c r="J981" s="11" t="str">
        <f>IFERROR(__xludf.DUMMYFUNCTION("iferror(if($B981="""", ,filter(Playoff_Stats!F:Z,Playoff_Stats!A:A=$B981,Playoff_Stats!B:B=$A981)))"),"")</f>
        <v/>
      </c>
      <c r="K981" s="11"/>
      <c r="L981" s="12"/>
      <c r="M981" s="11"/>
      <c r="N981" s="11"/>
      <c r="O981" s="13"/>
      <c r="P981" s="14"/>
      <c r="Q981" s="13"/>
      <c r="R981" s="13"/>
      <c r="S981" s="15"/>
      <c r="T981" s="16"/>
      <c r="U981" s="16"/>
      <c r="V981" s="16"/>
      <c r="W981" s="16"/>
      <c r="X981" s="16"/>
      <c r="Y981" s="11"/>
      <c r="Z981" s="11"/>
      <c r="AA981" s="11"/>
      <c r="AB981" s="11"/>
      <c r="AC981" s="11"/>
      <c r="AD981" s="11"/>
    </row>
    <row r="982">
      <c r="A982" s="10"/>
      <c r="B982" s="10"/>
      <c r="C982" s="10"/>
      <c r="D982" s="10"/>
      <c r="E982" s="10"/>
      <c r="F982" s="11"/>
      <c r="G982" s="11"/>
      <c r="H982" s="11"/>
      <c r="I982" s="11"/>
      <c r="J982" s="11" t="str">
        <f>IFERROR(__xludf.DUMMYFUNCTION("iferror(if($B982="""", ,filter(Playoff_Stats!F:Z,Playoff_Stats!A:A=$B982,Playoff_Stats!B:B=$A982)))"),"")</f>
        <v/>
      </c>
      <c r="K982" s="11"/>
      <c r="L982" s="12"/>
      <c r="M982" s="11"/>
      <c r="N982" s="11"/>
      <c r="O982" s="13"/>
      <c r="P982" s="14"/>
      <c r="Q982" s="13"/>
      <c r="R982" s="13"/>
      <c r="S982" s="15"/>
      <c r="T982" s="16"/>
      <c r="U982" s="16"/>
      <c r="V982" s="16"/>
      <c r="W982" s="16"/>
      <c r="X982" s="16"/>
      <c r="Y982" s="11"/>
      <c r="Z982" s="11"/>
      <c r="AA982" s="11"/>
      <c r="AB982" s="11"/>
      <c r="AC982" s="11"/>
      <c r="AD982" s="11"/>
    </row>
    <row r="983">
      <c r="A983" s="10"/>
      <c r="B983" s="10"/>
      <c r="C983" s="10"/>
      <c r="D983" s="10"/>
      <c r="E983" s="10"/>
      <c r="F983" s="11"/>
      <c r="G983" s="11"/>
      <c r="H983" s="11"/>
      <c r="I983" s="11"/>
      <c r="J983" s="11" t="str">
        <f>IFERROR(__xludf.DUMMYFUNCTION("iferror(if($B983="""", ,filter(Playoff_Stats!F:Z,Playoff_Stats!A:A=$B983,Playoff_Stats!B:B=$A983)))"),"")</f>
        <v/>
      </c>
      <c r="K983" s="11"/>
      <c r="L983" s="12"/>
      <c r="M983" s="11"/>
      <c r="N983" s="11"/>
      <c r="O983" s="13"/>
      <c r="P983" s="14"/>
      <c r="Q983" s="13"/>
      <c r="R983" s="13"/>
      <c r="S983" s="15"/>
      <c r="T983" s="16"/>
      <c r="U983" s="16"/>
      <c r="V983" s="16"/>
      <c r="W983" s="16"/>
      <c r="X983" s="16"/>
      <c r="Y983" s="11"/>
      <c r="Z983" s="11"/>
      <c r="AA983" s="11"/>
      <c r="AB983" s="11"/>
      <c r="AC983" s="11"/>
      <c r="AD983" s="11"/>
    </row>
    <row r="984">
      <c r="A984" s="10"/>
      <c r="B984" s="10"/>
      <c r="C984" s="10"/>
      <c r="D984" s="10"/>
      <c r="E984" s="10"/>
      <c r="F984" s="11"/>
      <c r="G984" s="11"/>
      <c r="H984" s="11"/>
      <c r="I984" s="11"/>
      <c r="J984" s="11" t="str">
        <f>IFERROR(__xludf.DUMMYFUNCTION("iferror(if($B984="""", ,filter(Playoff_Stats!F:Z,Playoff_Stats!A:A=$B984,Playoff_Stats!B:B=$A984)))"),"")</f>
        <v/>
      </c>
      <c r="K984" s="11"/>
      <c r="L984" s="12"/>
      <c r="M984" s="11"/>
      <c r="N984" s="11"/>
      <c r="O984" s="13"/>
      <c r="P984" s="14"/>
      <c r="Q984" s="13"/>
      <c r="R984" s="13"/>
      <c r="S984" s="15"/>
      <c r="T984" s="16"/>
      <c r="U984" s="16"/>
      <c r="V984" s="16"/>
      <c r="W984" s="16"/>
      <c r="X984" s="16"/>
      <c r="Y984" s="11"/>
      <c r="Z984" s="11"/>
      <c r="AA984" s="11"/>
      <c r="AB984" s="11"/>
      <c r="AC984" s="11"/>
      <c r="AD984" s="11"/>
    </row>
    <row r="985">
      <c r="A985" s="10"/>
      <c r="B985" s="10"/>
      <c r="C985" s="10"/>
      <c r="D985" s="10"/>
      <c r="E985" s="10"/>
      <c r="F985" s="11"/>
      <c r="G985" s="11"/>
      <c r="H985" s="11"/>
      <c r="I985" s="11"/>
      <c r="J985" s="11" t="str">
        <f>IFERROR(__xludf.DUMMYFUNCTION("iferror(if($B985="""", ,filter(Playoff_Stats!F:Z,Playoff_Stats!A:A=$B985,Playoff_Stats!B:B=$A985)))"),"")</f>
        <v/>
      </c>
      <c r="K985" s="11"/>
      <c r="L985" s="12"/>
      <c r="M985" s="11"/>
      <c r="N985" s="11"/>
      <c r="O985" s="13"/>
      <c r="P985" s="14"/>
      <c r="Q985" s="13"/>
      <c r="R985" s="13"/>
      <c r="S985" s="15"/>
      <c r="T985" s="16"/>
      <c r="U985" s="16"/>
      <c r="V985" s="16"/>
      <c r="W985" s="16"/>
      <c r="X985" s="16"/>
      <c r="Y985" s="11"/>
      <c r="Z985" s="11"/>
      <c r="AA985" s="11"/>
      <c r="AB985" s="11"/>
      <c r="AC985" s="11"/>
      <c r="AD985" s="11"/>
    </row>
    <row r="986">
      <c r="A986" s="10"/>
      <c r="B986" s="10"/>
      <c r="C986" s="10"/>
      <c r="D986" s="10"/>
      <c r="E986" s="10"/>
      <c r="F986" s="11"/>
      <c r="G986" s="11"/>
      <c r="H986" s="11"/>
      <c r="I986" s="11"/>
      <c r="J986" s="11" t="str">
        <f>IFERROR(__xludf.DUMMYFUNCTION("iferror(if($B986="""", ,filter(Playoff_Stats!F:Z,Playoff_Stats!A:A=$B986,Playoff_Stats!B:B=$A986)))"),"")</f>
        <v/>
      </c>
      <c r="K986" s="11"/>
      <c r="L986" s="12"/>
      <c r="M986" s="11"/>
      <c r="N986" s="11"/>
      <c r="O986" s="13"/>
      <c r="P986" s="14"/>
      <c r="Q986" s="13"/>
      <c r="R986" s="13"/>
      <c r="S986" s="15"/>
      <c r="T986" s="16"/>
      <c r="U986" s="16"/>
      <c r="V986" s="16"/>
      <c r="W986" s="16"/>
      <c r="X986" s="16"/>
      <c r="Y986" s="11"/>
      <c r="Z986" s="11"/>
      <c r="AA986" s="11"/>
      <c r="AB986" s="11"/>
      <c r="AC986" s="11"/>
      <c r="AD986" s="11"/>
    </row>
    <row r="987">
      <c r="A987" s="10"/>
      <c r="B987" s="10"/>
      <c r="C987" s="10"/>
      <c r="D987" s="10"/>
      <c r="E987" s="10"/>
      <c r="F987" s="11"/>
      <c r="G987" s="11"/>
      <c r="H987" s="11"/>
      <c r="I987" s="11"/>
      <c r="J987" s="11" t="str">
        <f>IFERROR(__xludf.DUMMYFUNCTION("iferror(if($B987="""", ,filter(Playoff_Stats!F:Z,Playoff_Stats!A:A=$B987,Playoff_Stats!B:B=$A987)))"),"")</f>
        <v/>
      </c>
      <c r="K987" s="11"/>
      <c r="L987" s="12"/>
      <c r="M987" s="11"/>
      <c r="N987" s="11"/>
      <c r="O987" s="13"/>
      <c r="P987" s="14"/>
      <c r="Q987" s="13"/>
      <c r="R987" s="13"/>
      <c r="S987" s="15"/>
      <c r="T987" s="16"/>
      <c r="U987" s="16"/>
      <c r="V987" s="16"/>
      <c r="W987" s="16"/>
      <c r="X987" s="16"/>
      <c r="Y987" s="11"/>
      <c r="Z987" s="11"/>
      <c r="AA987" s="11"/>
      <c r="AB987" s="11"/>
      <c r="AC987" s="11"/>
      <c r="AD987" s="11"/>
    </row>
    <row r="988">
      <c r="A988" s="10"/>
      <c r="B988" s="10"/>
      <c r="C988" s="10"/>
      <c r="D988" s="10"/>
      <c r="E988" s="10"/>
      <c r="F988" s="11"/>
      <c r="G988" s="11"/>
      <c r="H988" s="11"/>
      <c r="I988" s="11"/>
      <c r="J988" s="11" t="str">
        <f>IFERROR(__xludf.DUMMYFUNCTION("iferror(if($B988="""", ,filter(Playoff_Stats!F:Z,Playoff_Stats!A:A=$B988,Playoff_Stats!B:B=$A988)))"),"")</f>
        <v/>
      </c>
      <c r="K988" s="11"/>
      <c r="L988" s="12"/>
      <c r="M988" s="11"/>
      <c r="N988" s="11"/>
      <c r="O988" s="13"/>
      <c r="P988" s="14"/>
      <c r="Q988" s="13"/>
      <c r="R988" s="13"/>
      <c r="S988" s="15"/>
      <c r="T988" s="16"/>
      <c r="U988" s="16"/>
      <c r="V988" s="16"/>
      <c r="W988" s="16"/>
      <c r="X988" s="16"/>
      <c r="Y988" s="11"/>
      <c r="Z988" s="11"/>
      <c r="AA988" s="11"/>
      <c r="AB988" s="11"/>
      <c r="AC988" s="11"/>
      <c r="AD988" s="11"/>
    </row>
    <row r="989">
      <c r="A989" s="10"/>
      <c r="B989" s="10"/>
      <c r="C989" s="10"/>
      <c r="D989" s="10"/>
      <c r="E989" s="10"/>
      <c r="F989" s="11"/>
      <c r="G989" s="11"/>
      <c r="H989" s="11"/>
      <c r="I989" s="11"/>
      <c r="J989" s="11" t="str">
        <f>IFERROR(__xludf.DUMMYFUNCTION("iferror(if($B989="""", ,filter(Playoff_Stats!F:Z,Playoff_Stats!A:A=$B989,Playoff_Stats!B:B=$A989)))"),"")</f>
        <v/>
      </c>
      <c r="K989" s="11"/>
      <c r="L989" s="12"/>
      <c r="M989" s="11"/>
      <c r="N989" s="11"/>
      <c r="O989" s="13"/>
      <c r="P989" s="14"/>
      <c r="Q989" s="13"/>
      <c r="R989" s="13"/>
      <c r="S989" s="15"/>
      <c r="T989" s="16"/>
      <c r="U989" s="16"/>
      <c r="V989" s="16"/>
      <c r="W989" s="16"/>
      <c r="X989" s="16"/>
      <c r="Y989" s="11"/>
      <c r="Z989" s="11"/>
      <c r="AA989" s="11"/>
      <c r="AB989" s="11"/>
      <c r="AC989" s="11"/>
      <c r="AD989" s="11"/>
    </row>
    <row r="990">
      <c r="A990" s="10"/>
      <c r="B990" s="10"/>
      <c r="C990" s="10"/>
      <c r="D990" s="10"/>
      <c r="E990" s="10"/>
      <c r="F990" s="11"/>
      <c r="G990" s="11"/>
      <c r="H990" s="11"/>
      <c r="I990" s="11"/>
      <c r="J990" s="11" t="str">
        <f>IFERROR(__xludf.DUMMYFUNCTION("iferror(if($B990="""", ,filter(Playoff_Stats!F:Z,Playoff_Stats!A:A=$B990,Playoff_Stats!B:B=$A990)))"),"")</f>
        <v/>
      </c>
      <c r="K990" s="11"/>
      <c r="L990" s="12"/>
      <c r="M990" s="11"/>
      <c r="N990" s="11"/>
      <c r="O990" s="13"/>
      <c r="P990" s="14"/>
      <c r="Q990" s="13"/>
      <c r="R990" s="13"/>
      <c r="S990" s="15"/>
      <c r="T990" s="16"/>
      <c r="U990" s="16"/>
      <c r="V990" s="16"/>
      <c r="W990" s="16"/>
      <c r="X990" s="16"/>
      <c r="Y990" s="11"/>
      <c r="Z990" s="11"/>
      <c r="AA990" s="11"/>
      <c r="AB990" s="11"/>
      <c r="AC990" s="11"/>
      <c r="AD990" s="11"/>
    </row>
    <row r="991">
      <c r="A991" s="10"/>
      <c r="B991" s="10"/>
      <c r="C991" s="10"/>
      <c r="D991" s="10"/>
      <c r="E991" s="10"/>
      <c r="F991" s="11"/>
      <c r="G991" s="11"/>
      <c r="H991" s="11"/>
      <c r="I991" s="11"/>
      <c r="J991" s="11" t="str">
        <f>IFERROR(__xludf.DUMMYFUNCTION("iferror(if($B991="""", ,filter(Playoff_Stats!F:Z,Playoff_Stats!A:A=$B991,Playoff_Stats!B:B=$A991)))"),"")</f>
        <v/>
      </c>
      <c r="K991" s="11"/>
      <c r="L991" s="12"/>
      <c r="M991" s="11"/>
      <c r="N991" s="11"/>
      <c r="O991" s="13"/>
      <c r="P991" s="14"/>
      <c r="Q991" s="13"/>
      <c r="R991" s="13"/>
      <c r="S991" s="15"/>
      <c r="T991" s="16"/>
      <c r="U991" s="16"/>
      <c r="V991" s="16"/>
      <c r="W991" s="16"/>
      <c r="X991" s="16"/>
      <c r="Y991" s="11"/>
      <c r="Z991" s="11"/>
      <c r="AA991" s="11"/>
      <c r="AB991" s="11"/>
      <c r="AC991" s="11"/>
      <c r="AD991" s="11"/>
    </row>
    <row r="992">
      <c r="A992" s="10"/>
      <c r="B992" s="10"/>
      <c r="C992" s="10"/>
      <c r="D992" s="10"/>
      <c r="E992" s="10"/>
      <c r="F992" s="11"/>
      <c r="G992" s="11"/>
      <c r="H992" s="11"/>
      <c r="I992" s="11"/>
      <c r="J992" s="11" t="str">
        <f>IFERROR(__xludf.DUMMYFUNCTION("iferror(if($B992="""", ,filter(Playoff_Stats!F:Z,Playoff_Stats!A:A=$B992,Playoff_Stats!B:B=$A992)))"),"")</f>
        <v/>
      </c>
      <c r="K992" s="11"/>
      <c r="L992" s="12"/>
      <c r="M992" s="11"/>
      <c r="N992" s="11"/>
      <c r="O992" s="13"/>
      <c r="P992" s="14"/>
      <c r="Q992" s="13"/>
      <c r="R992" s="13"/>
      <c r="S992" s="15"/>
      <c r="T992" s="16"/>
      <c r="U992" s="16"/>
      <c r="V992" s="16"/>
      <c r="W992" s="16"/>
      <c r="X992" s="16"/>
      <c r="Y992" s="11"/>
      <c r="Z992" s="11"/>
      <c r="AA992" s="11"/>
      <c r="AB992" s="11"/>
      <c r="AC992" s="11"/>
      <c r="AD992" s="11"/>
    </row>
    <row r="993">
      <c r="A993" s="10"/>
      <c r="B993" s="10"/>
      <c r="C993" s="10"/>
      <c r="D993" s="10"/>
      <c r="E993" s="10"/>
      <c r="F993" s="11"/>
      <c r="G993" s="11"/>
      <c r="H993" s="11"/>
      <c r="I993" s="11"/>
      <c r="J993" s="11" t="str">
        <f>IFERROR(__xludf.DUMMYFUNCTION("iferror(if($B993="""", ,filter(Playoff_Stats!F:Z,Playoff_Stats!A:A=$B993,Playoff_Stats!B:B=$A993)))"),"")</f>
        <v/>
      </c>
      <c r="K993" s="11"/>
      <c r="L993" s="12"/>
      <c r="M993" s="11"/>
      <c r="N993" s="11"/>
      <c r="O993" s="13"/>
      <c r="P993" s="14"/>
      <c r="Q993" s="13"/>
      <c r="R993" s="13"/>
      <c r="S993" s="15"/>
      <c r="T993" s="16"/>
      <c r="U993" s="16"/>
      <c r="V993" s="16"/>
      <c r="W993" s="16"/>
      <c r="X993" s="16"/>
      <c r="Y993" s="11"/>
      <c r="Z993" s="11"/>
      <c r="AA993" s="11"/>
      <c r="AB993" s="11"/>
      <c r="AC993" s="11"/>
      <c r="AD993" s="11"/>
    </row>
    <row r="994">
      <c r="A994" s="10"/>
      <c r="B994" s="10"/>
      <c r="C994" s="10"/>
      <c r="D994" s="10"/>
      <c r="E994" s="10"/>
      <c r="F994" s="11"/>
      <c r="G994" s="11"/>
      <c r="H994" s="11"/>
      <c r="I994" s="11"/>
      <c r="J994" s="11" t="str">
        <f>IFERROR(__xludf.DUMMYFUNCTION("iferror(if($B994="""", ,filter(Playoff_Stats!F:Z,Playoff_Stats!A:A=$B994,Playoff_Stats!B:B=$A994)))"),"")</f>
        <v/>
      </c>
      <c r="K994" s="11"/>
      <c r="L994" s="12"/>
      <c r="M994" s="11"/>
      <c r="N994" s="11"/>
      <c r="O994" s="13"/>
      <c r="P994" s="14"/>
      <c r="Q994" s="13"/>
      <c r="R994" s="13"/>
      <c r="S994" s="15"/>
      <c r="T994" s="16"/>
      <c r="U994" s="16"/>
      <c r="V994" s="16"/>
      <c r="W994" s="16"/>
      <c r="X994" s="16"/>
      <c r="Y994" s="11"/>
      <c r="Z994" s="11"/>
      <c r="AA994" s="11"/>
      <c r="AB994" s="11"/>
      <c r="AC994" s="11"/>
      <c r="AD994" s="11"/>
    </row>
    <row r="995">
      <c r="A995" s="10"/>
      <c r="B995" s="10"/>
      <c r="C995" s="10"/>
      <c r="D995" s="10"/>
      <c r="E995" s="10"/>
      <c r="F995" s="11"/>
      <c r="G995" s="11"/>
      <c r="H995" s="11"/>
      <c r="I995" s="11"/>
      <c r="J995" s="11" t="str">
        <f>IFERROR(__xludf.DUMMYFUNCTION("iferror(if($B995="""", ,filter(Playoff_Stats!F:Z,Playoff_Stats!A:A=$B995,Playoff_Stats!B:B=$A995)))"),"")</f>
        <v/>
      </c>
      <c r="K995" s="11"/>
      <c r="L995" s="12"/>
      <c r="M995" s="11"/>
      <c r="N995" s="11"/>
      <c r="O995" s="13"/>
      <c r="P995" s="14"/>
      <c r="Q995" s="13"/>
      <c r="R995" s="13"/>
      <c r="S995" s="15"/>
      <c r="T995" s="16"/>
      <c r="U995" s="16"/>
      <c r="V995" s="16"/>
      <c r="W995" s="16"/>
      <c r="X995" s="16"/>
      <c r="Y995" s="11"/>
      <c r="Z995" s="11"/>
      <c r="AA995" s="11"/>
      <c r="AB995" s="11"/>
      <c r="AC995" s="11"/>
      <c r="AD995" s="11"/>
    </row>
    <row r="996">
      <c r="A996" s="10"/>
      <c r="B996" s="10"/>
      <c r="C996" s="10"/>
      <c r="D996" s="10"/>
      <c r="E996" s="10"/>
      <c r="F996" s="11"/>
      <c r="G996" s="11"/>
      <c r="H996" s="11"/>
      <c r="I996" s="11"/>
      <c r="J996" s="11" t="str">
        <f>IFERROR(__xludf.DUMMYFUNCTION("iferror(if($B996="""", ,filter(Playoff_Stats!F:Z,Playoff_Stats!A:A=$B996,Playoff_Stats!B:B=$A996)))"),"")</f>
        <v/>
      </c>
      <c r="K996" s="11"/>
      <c r="L996" s="12"/>
      <c r="M996" s="11"/>
      <c r="N996" s="11"/>
      <c r="O996" s="13"/>
      <c r="P996" s="14"/>
      <c r="Q996" s="13"/>
      <c r="R996" s="13"/>
      <c r="S996" s="15"/>
      <c r="T996" s="16"/>
      <c r="U996" s="16"/>
      <c r="V996" s="16"/>
      <c r="W996" s="16"/>
      <c r="X996" s="16"/>
      <c r="Y996" s="11"/>
      <c r="Z996" s="11"/>
      <c r="AA996" s="11"/>
      <c r="AB996" s="11"/>
      <c r="AC996" s="11"/>
      <c r="AD996" s="11"/>
    </row>
    <row r="997">
      <c r="A997" s="10"/>
      <c r="B997" s="10"/>
      <c r="C997" s="10"/>
      <c r="D997" s="10"/>
      <c r="E997" s="10"/>
      <c r="F997" s="11"/>
      <c r="G997" s="11"/>
      <c r="H997" s="11"/>
      <c r="I997" s="11"/>
      <c r="J997" s="11" t="str">
        <f>IFERROR(__xludf.DUMMYFUNCTION("iferror(if($B997="""", ,filter(Playoff_Stats!F:Z,Playoff_Stats!A:A=$B997,Playoff_Stats!B:B=$A997)))"),"")</f>
        <v/>
      </c>
      <c r="K997" s="11"/>
      <c r="L997" s="12"/>
      <c r="M997" s="11"/>
      <c r="N997" s="11"/>
      <c r="O997" s="13"/>
      <c r="P997" s="14"/>
      <c r="Q997" s="13"/>
      <c r="R997" s="13"/>
      <c r="S997" s="15"/>
      <c r="T997" s="16"/>
      <c r="U997" s="16"/>
      <c r="V997" s="16"/>
      <c r="W997" s="16"/>
      <c r="X997" s="16"/>
      <c r="Y997" s="11"/>
      <c r="Z997" s="11"/>
      <c r="AA997" s="11"/>
      <c r="AB997" s="11"/>
      <c r="AC997" s="11"/>
      <c r="AD997" s="11"/>
    </row>
    <row r="998">
      <c r="A998" s="10"/>
      <c r="B998" s="10"/>
      <c r="C998" s="10"/>
      <c r="D998" s="10"/>
      <c r="E998" s="10"/>
      <c r="F998" s="11"/>
      <c r="G998" s="11"/>
      <c r="H998" s="11"/>
      <c r="I998" s="11"/>
      <c r="J998" s="11" t="str">
        <f>IFERROR(__xludf.DUMMYFUNCTION("iferror(if($B998="""", ,filter(Playoff_Stats!F:Z,Playoff_Stats!A:A=$B998,Playoff_Stats!B:B=$A998)))"),"")</f>
        <v/>
      </c>
      <c r="K998" s="11"/>
      <c r="L998" s="12"/>
      <c r="M998" s="11"/>
      <c r="N998" s="11"/>
      <c r="O998" s="13"/>
      <c r="P998" s="14"/>
      <c r="Q998" s="13"/>
      <c r="R998" s="13"/>
      <c r="S998" s="15"/>
      <c r="T998" s="16"/>
      <c r="U998" s="16"/>
      <c r="V998" s="16"/>
      <c r="W998" s="16"/>
      <c r="X998" s="16"/>
      <c r="Y998" s="11"/>
      <c r="Z998" s="11"/>
      <c r="AA998" s="11"/>
      <c r="AB998" s="11"/>
      <c r="AC998" s="11"/>
      <c r="AD998" s="11"/>
    </row>
    <row r="999">
      <c r="A999" s="10"/>
      <c r="B999" s="10"/>
      <c r="C999" s="10"/>
      <c r="D999" s="10"/>
      <c r="E999" s="10"/>
      <c r="F999" s="11"/>
      <c r="G999" s="11"/>
      <c r="H999" s="11"/>
      <c r="I999" s="11"/>
      <c r="J999" s="11" t="str">
        <f>IFERROR(__xludf.DUMMYFUNCTION("iferror(if($B999="""", ,filter(Playoff_Stats!F:Z,Playoff_Stats!A:A=$B999,Playoff_Stats!B:B=$A999)))"),"")</f>
        <v/>
      </c>
      <c r="K999" s="11"/>
      <c r="L999" s="12"/>
      <c r="M999" s="11"/>
      <c r="N999" s="11"/>
      <c r="O999" s="13"/>
      <c r="P999" s="14"/>
      <c r="Q999" s="13"/>
      <c r="R999" s="13"/>
      <c r="S999" s="15"/>
      <c r="T999" s="16"/>
      <c r="U999" s="16"/>
      <c r="V999" s="16"/>
      <c r="W999" s="16"/>
      <c r="X999" s="16"/>
      <c r="Y999" s="11"/>
      <c r="Z999" s="11"/>
      <c r="AA999" s="11"/>
      <c r="AB999" s="11"/>
      <c r="AC999" s="11"/>
      <c r="AD999" s="11"/>
    </row>
    <row r="1000">
      <c r="A1000" s="10"/>
      <c r="B1000" s="10"/>
      <c r="C1000" s="10"/>
      <c r="D1000" s="10"/>
      <c r="E1000" s="10"/>
      <c r="F1000" s="11"/>
      <c r="G1000" s="11"/>
      <c r="H1000" s="11"/>
      <c r="I1000" s="11"/>
      <c r="J1000" s="11" t="str">
        <f>IFERROR(__xludf.DUMMYFUNCTION("iferror(if($B1000="""", ,filter(Playoff_Stats!F:Z,Playoff_Stats!A:A=$B1000,Playoff_Stats!B:B=$A1000)))"),"")</f>
        <v/>
      </c>
      <c r="K1000" s="11"/>
      <c r="L1000" s="12"/>
      <c r="M1000" s="11"/>
      <c r="N1000" s="11"/>
      <c r="O1000" s="13"/>
      <c r="P1000" s="14"/>
      <c r="Q1000" s="13"/>
      <c r="R1000" s="13"/>
      <c r="S1000" s="15"/>
      <c r="T1000" s="16"/>
      <c r="U1000" s="16"/>
      <c r="V1000" s="16"/>
      <c r="W1000" s="16"/>
      <c r="X1000" s="16"/>
      <c r="Y1000" s="11"/>
      <c r="Z1000" s="11"/>
      <c r="AA1000" s="11"/>
      <c r="AB1000" s="11"/>
      <c r="AC1000" s="11"/>
      <c r="AD1000" s="11"/>
    </row>
    <row r="1001">
      <c r="A1001" s="10"/>
      <c r="B1001" s="10"/>
      <c r="C1001" s="10"/>
      <c r="D1001" s="10"/>
      <c r="E1001" s="10"/>
      <c r="F1001" s="11"/>
      <c r="G1001" s="11"/>
      <c r="H1001" s="11"/>
      <c r="I1001" s="11"/>
      <c r="J1001" s="11" t="str">
        <f>IFERROR(__xludf.DUMMYFUNCTION("iferror(if($B1001="""", ,filter(Playoff_Stats!F:Z,Playoff_Stats!A:A=$B1001,Playoff_Stats!B:B=$A1001)))"),"")</f>
        <v/>
      </c>
      <c r="K1001" s="11"/>
      <c r="L1001" s="12"/>
      <c r="M1001" s="11"/>
      <c r="N1001" s="11"/>
      <c r="O1001" s="13"/>
      <c r="P1001" s="14"/>
      <c r="Q1001" s="13"/>
      <c r="R1001" s="13"/>
      <c r="S1001" s="15"/>
      <c r="T1001" s="16"/>
      <c r="U1001" s="16"/>
      <c r="V1001" s="16"/>
      <c r="W1001" s="16"/>
      <c r="X1001" s="16"/>
      <c r="Y1001" s="11"/>
      <c r="Z1001" s="11"/>
      <c r="AA1001" s="11"/>
      <c r="AB1001" s="11"/>
      <c r="AC1001" s="11"/>
      <c r="AD1001" s="11"/>
    </row>
    <row r="1002">
      <c r="A1002" s="10"/>
      <c r="B1002" s="10"/>
      <c r="C1002" s="10"/>
      <c r="D1002" s="10"/>
      <c r="E1002" s="10"/>
      <c r="F1002" s="11"/>
      <c r="G1002" s="11"/>
      <c r="H1002" s="11"/>
      <c r="I1002" s="11"/>
      <c r="J1002" s="11" t="str">
        <f>IFERROR(__xludf.DUMMYFUNCTION("iferror(if($B1002="""", ,filter(Playoff_Stats!F:Z,Playoff_Stats!A:A=$B1002,Playoff_Stats!B:B=$A1002)))"),"")</f>
        <v/>
      </c>
      <c r="K1002" s="11"/>
      <c r="L1002" s="12"/>
      <c r="M1002" s="11"/>
      <c r="N1002" s="11"/>
      <c r="O1002" s="13"/>
      <c r="P1002" s="14"/>
      <c r="Q1002" s="13"/>
      <c r="R1002" s="13"/>
      <c r="S1002" s="15"/>
      <c r="T1002" s="16"/>
      <c r="U1002" s="16"/>
      <c r="V1002" s="16"/>
      <c r="W1002" s="16"/>
      <c r="X1002" s="16"/>
      <c r="Y1002" s="11"/>
      <c r="Z1002" s="11"/>
      <c r="AA1002" s="11"/>
      <c r="AB1002" s="11"/>
      <c r="AC1002" s="11"/>
      <c r="AD1002" s="11"/>
    </row>
    <row r="1003">
      <c r="A1003" s="10"/>
      <c r="B1003" s="10"/>
      <c r="C1003" s="10"/>
      <c r="D1003" s="10"/>
      <c r="E1003" s="10"/>
      <c r="F1003" s="11"/>
      <c r="G1003" s="11"/>
      <c r="H1003" s="11"/>
      <c r="I1003" s="11"/>
      <c r="J1003" s="11" t="str">
        <f>IFERROR(__xludf.DUMMYFUNCTION("iferror(if($B1003="""", ,filter(Playoff_Stats!F:Z,Playoff_Stats!A:A=$B1003,Playoff_Stats!B:B=$A1003)))"),"")</f>
        <v/>
      </c>
      <c r="K1003" s="11"/>
      <c r="L1003" s="12"/>
      <c r="M1003" s="11"/>
      <c r="N1003" s="11"/>
      <c r="O1003" s="13"/>
      <c r="P1003" s="14"/>
      <c r="Q1003" s="13"/>
      <c r="R1003" s="13"/>
      <c r="S1003" s="15"/>
      <c r="T1003" s="16"/>
      <c r="U1003" s="16"/>
      <c r="V1003" s="16"/>
      <c r="W1003" s="16"/>
      <c r="X1003" s="16"/>
      <c r="Y1003" s="11"/>
      <c r="Z1003" s="11"/>
      <c r="AA1003" s="11"/>
      <c r="AB1003" s="11"/>
      <c r="AC1003" s="11"/>
      <c r="AD1003" s="11"/>
    </row>
    <row r="1004">
      <c r="A1004" s="10"/>
      <c r="B1004" s="10"/>
      <c r="C1004" s="10"/>
      <c r="D1004" s="10"/>
      <c r="E1004" s="10"/>
      <c r="F1004" s="11"/>
      <c r="G1004" s="11"/>
      <c r="H1004" s="11"/>
      <c r="I1004" s="11"/>
      <c r="J1004" s="11" t="str">
        <f>IFERROR(__xludf.DUMMYFUNCTION("iferror(if($B1004="""", ,filter(Playoff_Stats!F:Z,Playoff_Stats!A:A=$B1004,Playoff_Stats!B:B=$A1004)))"),"")</f>
        <v/>
      </c>
      <c r="K1004" s="11"/>
      <c r="L1004" s="12"/>
      <c r="M1004" s="11"/>
      <c r="N1004" s="11"/>
      <c r="O1004" s="13"/>
      <c r="P1004" s="14"/>
      <c r="Q1004" s="13"/>
      <c r="R1004" s="13"/>
      <c r="S1004" s="15"/>
      <c r="T1004" s="16"/>
      <c r="U1004" s="16"/>
      <c r="V1004" s="16"/>
      <c r="W1004" s="16"/>
      <c r="X1004" s="16"/>
      <c r="Y1004" s="11"/>
      <c r="Z1004" s="11"/>
      <c r="AA1004" s="11"/>
      <c r="AB1004" s="11"/>
      <c r="AC1004" s="11"/>
      <c r="AD1004" s="11"/>
    </row>
    <row r="1005">
      <c r="A1005" s="10"/>
      <c r="B1005" s="10"/>
      <c r="C1005" s="10"/>
      <c r="D1005" s="10"/>
      <c r="E1005" s="10"/>
      <c r="F1005" s="11"/>
      <c r="G1005" s="11"/>
      <c r="H1005" s="11"/>
      <c r="I1005" s="11"/>
      <c r="J1005" s="11" t="str">
        <f>IFERROR(__xludf.DUMMYFUNCTION("iferror(if($B1005="""", ,filter(Playoff_Stats!F:Z,Playoff_Stats!A:A=$B1005,Playoff_Stats!B:B=$A1005)))"),"")</f>
        <v/>
      </c>
      <c r="K1005" s="11"/>
      <c r="L1005" s="12"/>
      <c r="M1005" s="11"/>
      <c r="N1005" s="11"/>
      <c r="O1005" s="13"/>
      <c r="P1005" s="14"/>
      <c r="Q1005" s="13"/>
      <c r="R1005" s="13"/>
      <c r="S1005" s="15"/>
      <c r="T1005" s="16"/>
      <c r="U1005" s="16"/>
      <c r="V1005" s="16"/>
      <c r="W1005" s="16"/>
      <c r="X1005" s="16"/>
      <c r="Y1005" s="11"/>
      <c r="Z1005" s="11"/>
      <c r="AA1005" s="11"/>
      <c r="AB1005" s="11"/>
      <c r="AC1005" s="11"/>
      <c r="AD1005" s="11"/>
    </row>
    <row r="1006">
      <c r="A1006" s="10"/>
      <c r="B1006" s="10"/>
      <c r="C1006" s="10"/>
      <c r="D1006" s="10"/>
      <c r="E1006" s="10"/>
      <c r="F1006" s="11"/>
      <c r="G1006" s="11"/>
      <c r="H1006" s="11"/>
      <c r="I1006" s="11"/>
      <c r="J1006" s="11" t="str">
        <f>IFERROR(__xludf.DUMMYFUNCTION("iferror(if($B1006="""", ,filter(Playoff_Stats!F:Z,Playoff_Stats!A:A=$B1006,Playoff_Stats!B:B=$A1006)))"),"")</f>
        <v/>
      </c>
      <c r="K1006" s="11"/>
      <c r="L1006" s="12"/>
      <c r="M1006" s="11"/>
      <c r="N1006" s="11"/>
      <c r="O1006" s="13"/>
      <c r="P1006" s="14"/>
      <c r="Q1006" s="13"/>
      <c r="R1006" s="13"/>
      <c r="S1006" s="15"/>
      <c r="T1006" s="16"/>
      <c r="U1006" s="16"/>
      <c r="V1006" s="16"/>
      <c r="W1006" s="16"/>
      <c r="X1006" s="16"/>
      <c r="Y1006" s="11"/>
      <c r="Z1006" s="11"/>
      <c r="AA1006" s="11"/>
      <c r="AB1006" s="11"/>
      <c r="AC1006" s="11"/>
      <c r="AD1006" s="11"/>
    </row>
    <row r="1007">
      <c r="A1007" s="10"/>
      <c r="B1007" s="10"/>
      <c r="C1007" s="10"/>
      <c r="D1007" s="10"/>
      <c r="E1007" s="10"/>
      <c r="F1007" s="11"/>
      <c r="G1007" s="11"/>
      <c r="H1007" s="11"/>
      <c r="I1007" s="11"/>
      <c r="J1007" s="11" t="str">
        <f>IFERROR(__xludf.DUMMYFUNCTION("iferror(if($B1007="""", ,filter(Playoff_Stats!F:Z,Playoff_Stats!A:A=$B1007,Playoff_Stats!B:B=$A1007)))"),"")</f>
        <v/>
      </c>
      <c r="K1007" s="11"/>
      <c r="L1007" s="12"/>
      <c r="M1007" s="11"/>
      <c r="N1007" s="11"/>
      <c r="O1007" s="13"/>
      <c r="P1007" s="14"/>
      <c r="Q1007" s="13"/>
      <c r="R1007" s="13"/>
      <c r="S1007" s="15"/>
      <c r="T1007" s="16"/>
      <c r="U1007" s="16"/>
      <c r="V1007" s="16"/>
      <c r="W1007" s="16"/>
      <c r="X1007" s="16"/>
      <c r="Y1007" s="11"/>
      <c r="Z1007" s="11"/>
      <c r="AA1007" s="11"/>
      <c r="AB1007" s="11"/>
      <c r="AC1007" s="11"/>
      <c r="AD1007" s="11"/>
    </row>
    <row r="1008">
      <c r="A1008" s="10"/>
      <c r="B1008" s="10"/>
      <c r="C1008" s="10"/>
      <c r="D1008" s="10"/>
      <c r="E1008" s="10"/>
      <c r="F1008" s="11"/>
      <c r="G1008" s="11"/>
      <c r="H1008" s="11"/>
      <c r="I1008" s="11"/>
      <c r="J1008" s="11" t="str">
        <f>IFERROR(__xludf.DUMMYFUNCTION("iferror(if($B1008="""", ,filter(Playoff_Stats!F:Z,Playoff_Stats!A:A=$B1008,Playoff_Stats!B:B=$A1008)))"),"")</f>
        <v/>
      </c>
      <c r="K1008" s="11"/>
      <c r="L1008" s="12"/>
      <c r="M1008" s="11"/>
      <c r="N1008" s="11"/>
      <c r="O1008" s="13"/>
      <c r="P1008" s="14"/>
      <c r="Q1008" s="13"/>
      <c r="R1008" s="13"/>
      <c r="S1008" s="15"/>
      <c r="T1008" s="16"/>
      <c r="U1008" s="16"/>
      <c r="V1008" s="16"/>
      <c r="W1008" s="16"/>
      <c r="X1008" s="16"/>
      <c r="Y1008" s="11"/>
      <c r="Z1008" s="11"/>
      <c r="AA1008" s="11"/>
      <c r="AB1008" s="11"/>
      <c r="AC1008" s="11"/>
      <c r="AD1008" s="11"/>
    </row>
    <row r="1009">
      <c r="A1009" s="10"/>
      <c r="B1009" s="10"/>
      <c r="C1009" s="10"/>
      <c r="D1009" s="10"/>
      <c r="E1009" s="10"/>
      <c r="F1009" s="11"/>
      <c r="G1009" s="11"/>
      <c r="H1009" s="11"/>
      <c r="I1009" s="11"/>
      <c r="J1009" s="11" t="str">
        <f>IFERROR(__xludf.DUMMYFUNCTION("iferror(if($B1009="""", ,filter(Playoff_Stats!F:Z,Playoff_Stats!A:A=$B1009,Playoff_Stats!B:B=$A1009)))"),"")</f>
        <v/>
      </c>
      <c r="K1009" s="11"/>
      <c r="L1009" s="12"/>
      <c r="M1009" s="11"/>
      <c r="N1009" s="11"/>
      <c r="O1009" s="13"/>
      <c r="P1009" s="14"/>
      <c r="Q1009" s="13"/>
      <c r="R1009" s="13"/>
      <c r="S1009" s="15"/>
      <c r="T1009" s="16"/>
      <c r="U1009" s="16"/>
      <c r="V1009" s="16"/>
      <c r="W1009" s="16"/>
      <c r="X1009" s="16"/>
      <c r="Y1009" s="11"/>
      <c r="Z1009" s="11"/>
      <c r="AA1009" s="11"/>
      <c r="AB1009" s="11"/>
      <c r="AC1009" s="11"/>
      <c r="AD1009" s="11"/>
    </row>
    <row r="1010">
      <c r="A1010" s="10"/>
      <c r="B1010" s="10"/>
      <c r="C1010" s="10"/>
      <c r="D1010" s="10"/>
      <c r="E1010" s="10"/>
      <c r="F1010" s="11"/>
      <c r="G1010" s="11"/>
      <c r="H1010" s="11"/>
      <c r="I1010" s="11"/>
      <c r="J1010" s="11" t="str">
        <f>IFERROR(__xludf.DUMMYFUNCTION("iferror(if($B1010="""", ,filter(Playoff_Stats!F:Z,Playoff_Stats!A:A=$B1010,Playoff_Stats!B:B=$A1010)))"),"")</f>
        <v/>
      </c>
      <c r="K1010" s="11"/>
      <c r="L1010" s="12"/>
      <c r="M1010" s="11"/>
      <c r="N1010" s="11"/>
      <c r="O1010" s="13"/>
      <c r="P1010" s="14"/>
      <c r="Q1010" s="13"/>
      <c r="R1010" s="13"/>
      <c r="S1010" s="15"/>
      <c r="T1010" s="16"/>
      <c r="U1010" s="16"/>
      <c r="V1010" s="16"/>
      <c r="W1010" s="16"/>
      <c r="X1010" s="16"/>
      <c r="Y1010" s="11"/>
      <c r="Z1010" s="11"/>
      <c r="AA1010" s="11"/>
      <c r="AB1010" s="11"/>
      <c r="AC1010" s="11"/>
      <c r="AD1010" s="11"/>
    </row>
    <row r="1011">
      <c r="A1011" s="10"/>
      <c r="B1011" s="10"/>
      <c r="C1011" s="10"/>
      <c r="D1011" s="10"/>
      <c r="E1011" s="10"/>
      <c r="F1011" s="11"/>
      <c r="G1011" s="11"/>
      <c r="H1011" s="11"/>
      <c r="I1011" s="11"/>
      <c r="J1011" s="11" t="str">
        <f>IFERROR(__xludf.DUMMYFUNCTION("iferror(if($B1011="""", ,filter(Playoff_Stats!F:Z,Playoff_Stats!A:A=$B1011,Playoff_Stats!B:B=$A1011)))"),"")</f>
        <v/>
      </c>
      <c r="K1011" s="11"/>
      <c r="L1011" s="12"/>
      <c r="M1011" s="11"/>
      <c r="N1011" s="11"/>
      <c r="O1011" s="13"/>
      <c r="P1011" s="14"/>
      <c r="Q1011" s="13"/>
      <c r="R1011" s="13"/>
      <c r="S1011" s="15"/>
      <c r="T1011" s="16"/>
      <c r="U1011" s="16"/>
      <c r="V1011" s="16"/>
      <c r="W1011" s="16"/>
      <c r="X1011" s="16"/>
      <c r="Y1011" s="11"/>
      <c r="Z1011" s="11"/>
      <c r="AA1011" s="11"/>
      <c r="AB1011" s="11"/>
      <c r="AC1011" s="11"/>
      <c r="AD1011" s="11"/>
    </row>
    <row r="1012">
      <c r="A1012" s="10"/>
      <c r="B1012" s="10"/>
      <c r="C1012" s="10"/>
      <c r="D1012" s="10"/>
      <c r="E1012" s="10"/>
      <c r="F1012" s="11"/>
      <c r="G1012" s="11"/>
      <c r="H1012" s="11"/>
      <c r="I1012" s="11"/>
      <c r="J1012" s="11" t="str">
        <f>IFERROR(__xludf.DUMMYFUNCTION("iferror(if($B1012="""", ,filter(Playoff_Stats!F:Z,Playoff_Stats!A:A=$B1012,Playoff_Stats!B:B=$A1012)))"),"")</f>
        <v/>
      </c>
      <c r="K1012" s="11"/>
      <c r="L1012" s="12"/>
      <c r="M1012" s="11"/>
      <c r="N1012" s="11"/>
      <c r="O1012" s="13"/>
      <c r="P1012" s="14"/>
      <c r="Q1012" s="13"/>
      <c r="R1012" s="13"/>
      <c r="S1012" s="15"/>
      <c r="T1012" s="16"/>
      <c r="U1012" s="16"/>
      <c r="V1012" s="16"/>
      <c r="W1012" s="16"/>
      <c r="X1012" s="16"/>
      <c r="Y1012" s="11"/>
      <c r="Z1012" s="11"/>
      <c r="AA1012" s="11"/>
      <c r="AB1012" s="11"/>
      <c r="AC1012" s="11"/>
      <c r="AD1012" s="11"/>
    </row>
    <row r="1013">
      <c r="A1013" s="10"/>
      <c r="B1013" s="10"/>
      <c r="C1013" s="10"/>
      <c r="D1013" s="10"/>
      <c r="E1013" s="10"/>
      <c r="F1013" s="11"/>
      <c r="G1013" s="11"/>
      <c r="H1013" s="11"/>
      <c r="I1013" s="11"/>
      <c r="J1013" s="11" t="str">
        <f>IFERROR(__xludf.DUMMYFUNCTION("iferror(if($B1013="""", ,filter(Playoff_Stats!F:Z,Playoff_Stats!A:A=$B1013,Playoff_Stats!B:B=$A1013)))"),"")</f>
        <v/>
      </c>
      <c r="K1013" s="11"/>
      <c r="L1013" s="12"/>
      <c r="M1013" s="11"/>
      <c r="N1013" s="11"/>
      <c r="O1013" s="13"/>
      <c r="P1013" s="14"/>
      <c r="Q1013" s="13"/>
      <c r="R1013" s="13"/>
      <c r="S1013" s="15"/>
      <c r="T1013" s="16"/>
      <c r="U1013" s="16"/>
      <c r="V1013" s="16"/>
      <c r="W1013" s="16"/>
      <c r="X1013" s="16"/>
      <c r="Y1013" s="11"/>
      <c r="Z1013" s="11"/>
      <c r="AA1013" s="11"/>
      <c r="AB1013" s="11"/>
      <c r="AC1013" s="11"/>
      <c r="AD1013" s="11"/>
    </row>
    <row r="1014">
      <c r="A1014" s="10"/>
      <c r="B1014" s="10"/>
      <c r="C1014" s="10"/>
      <c r="D1014" s="10"/>
      <c r="E1014" s="10"/>
      <c r="F1014" s="11"/>
      <c r="G1014" s="11"/>
      <c r="H1014" s="11"/>
      <c r="I1014" s="11"/>
      <c r="J1014" s="11" t="str">
        <f>IFERROR(__xludf.DUMMYFUNCTION("iferror(if($B1014="""", ,filter(Playoff_Stats!F:Z,Playoff_Stats!A:A=$B1014,Playoff_Stats!B:B=$A1014)))"),"")</f>
        <v/>
      </c>
      <c r="K1014" s="11"/>
      <c r="L1014" s="12"/>
      <c r="M1014" s="11"/>
      <c r="N1014" s="11"/>
      <c r="O1014" s="13"/>
      <c r="P1014" s="14"/>
      <c r="Q1014" s="13"/>
      <c r="R1014" s="13"/>
      <c r="S1014" s="15"/>
      <c r="T1014" s="16"/>
      <c r="U1014" s="16"/>
      <c r="V1014" s="16"/>
      <c r="W1014" s="16"/>
      <c r="X1014" s="16"/>
      <c r="Y1014" s="11"/>
      <c r="Z1014" s="11"/>
      <c r="AA1014" s="11"/>
      <c r="AB1014" s="11"/>
      <c r="AC1014" s="11"/>
      <c r="AD1014" s="11"/>
    </row>
    <row r="1015">
      <c r="A1015" s="10"/>
      <c r="B1015" s="10"/>
      <c r="C1015" s="10"/>
      <c r="D1015" s="10"/>
      <c r="E1015" s="10"/>
      <c r="F1015" s="11"/>
      <c r="G1015" s="11"/>
      <c r="H1015" s="11"/>
      <c r="I1015" s="11"/>
      <c r="J1015" s="11" t="str">
        <f>IFERROR(__xludf.DUMMYFUNCTION("iferror(if($B1015="""", ,filter(Playoff_Stats!F:Z,Playoff_Stats!A:A=$B1015,Playoff_Stats!B:B=$A1015)))"),"")</f>
        <v/>
      </c>
      <c r="K1015" s="11"/>
      <c r="L1015" s="12"/>
      <c r="M1015" s="11"/>
      <c r="N1015" s="11"/>
      <c r="O1015" s="13"/>
      <c r="P1015" s="14"/>
      <c r="Q1015" s="13"/>
      <c r="R1015" s="13"/>
      <c r="S1015" s="15"/>
      <c r="T1015" s="16"/>
      <c r="U1015" s="16"/>
      <c r="V1015" s="16"/>
      <c r="W1015" s="16"/>
      <c r="X1015" s="16"/>
      <c r="Y1015" s="11"/>
      <c r="Z1015" s="11"/>
      <c r="AA1015" s="11"/>
      <c r="AB1015" s="11"/>
      <c r="AC1015" s="11"/>
      <c r="AD1015" s="11"/>
    </row>
    <row r="1016">
      <c r="A1016" s="10"/>
      <c r="B1016" s="10"/>
      <c r="C1016" s="10"/>
      <c r="D1016" s="10"/>
      <c r="E1016" s="10"/>
      <c r="F1016" s="11"/>
      <c r="G1016" s="11"/>
      <c r="H1016" s="11"/>
      <c r="I1016" s="11"/>
      <c r="J1016" s="11" t="str">
        <f>IFERROR(__xludf.DUMMYFUNCTION("iferror(if($B1016="""", ,filter(Playoff_Stats!F:Z,Playoff_Stats!A:A=$B1016,Playoff_Stats!B:B=$A1016)))"),"")</f>
        <v/>
      </c>
      <c r="K1016" s="11"/>
      <c r="L1016" s="12"/>
      <c r="M1016" s="11"/>
      <c r="N1016" s="11"/>
      <c r="O1016" s="13"/>
      <c r="P1016" s="14"/>
      <c r="Q1016" s="13"/>
      <c r="R1016" s="13"/>
      <c r="S1016" s="15"/>
      <c r="T1016" s="16"/>
      <c r="U1016" s="16"/>
      <c r="V1016" s="16"/>
      <c r="W1016" s="16"/>
      <c r="X1016" s="16"/>
      <c r="Y1016" s="11"/>
      <c r="Z1016" s="11"/>
      <c r="AA1016" s="11"/>
      <c r="AB1016" s="11"/>
      <c r="AC1016" s="11"/>
      <c r="AD1016" s="11"/>
    </row>
    <row r="1017">
      <c r="A1017" s="10"/>
      <c r="B1017" s="10"/>
      <c r="C1017" s="10"/>
      <c r="D1017" s="10"/>
      <c r="E1017" s="10"/>
      <c r="F1017" s="11"/>
      <c r="G1017" s="11"/>
      <c r="H1017" s="11"/>
      <c r="I1017" s="11"/>
      <c r="J1017" s="11" t="str">
        <f>IFERROR(__xludf.DUMMYFUNCTION("iferror(if($B1017="""", ,filter(Playoff_Stats!F:Z,Playoff_Stats!A:A=$B1017,Playoff_Stats!B:B=$A1017)))"),"")</f>
        <v/>
      </c>
      <c r="K1017" s="11"/>
      <c r="L1017" s="12"/>
      <c r="M1017" s="11"/>
      <c r="N1017" s="11"/>
      <c r="O1017" s="13"/>
      <c r="P1017" s="14"/>
      <c r="Q1017" s="13"/>
      <c r="R1017" s="13"/>
      <c r="S1017" s="15"/>
      <c r="T1017" s="16"/>
      <c r="U1017" s="16"/>
      <c r="V1017" s="16"/>
      <c r="W1017" s="16"/>
      <c r="X1017" s="16"/>
      <c r="Y1017" s="11"/>
      <c r="Z1017" s="11"/>
      <c r="AA1017" s="11"/>
      <c r="AB1017" s="11"/>
      <c r="AC1017" s="11"/>
      <c r="AD1017" s="11"/>
    </row>
    <row r="1018">
      <c r="A1018" s="10"/>
      <c r="B1018" s="10"/>
      <c r="C1018" s="10"/>
      <c r="D1018" s="10"/>
      <c r="E1018" s="10"/>
      <c r="F1018" s="11"/>
      <c r="G1018" s="11"/>
      <c r="H1018" s="11"/>
      <c r="I1018" s="11"/>
      <c r="J1018" s="11" t="str">
        <f>IFERROR(__xludf.DUMMYFUNCTION("iferror(if($B1018="""", ,filter(Playoff_Stats!F:Z,Playoff_Stats!A:A=$B1018,Playoff_Stats!B:B=$A1018)))"),"")</f>
        <v/>
      </c>
      <c r="K1018" s="11"/>
      <c r="L1018" s="12"/>
      <c r="M1018" s="11"/>
      <c r="N1018" s="11"/>
      <c r="O1018" s="13"/>
      <c r="P1018" s="14"/>
      <c r="Q1018" s="13"/>
      <c r="R1018" s="13"/>
      <c r="S1018" s="15"/>
      <c r="T1018" s="16"/>
      <c r="U1018" s="16"/>
      <c r="V1018" s="16"/>
      <c r="W1018" s="16"/>
      <c r="X1018" s="16"/>
      <c r="Y1018" s="11"/>
      <c r="Z1018" s="11"/>
      <c r="AA1018" s="11"/>
      <c r="AB1018" s="11"/>
      <c r="AC1018" s="11"/>
      <c r="AD1018" s="11"/>
    </row>
    <row r="1019">
      <c r="A1019" s="10"/>
      <c r="B1019" s="10"/>
      <c r="C1019" s="10"/>
      <c r="D1019" s="10"/>
      <c r="E1019" s="10"/>
      <c r="F1019" s="11"/>
      <c r="G1019" s="11"/>
      <c r="H1019" s="11"/>
      <c r="I1019" s="11"/>
      <c r="J1019" s="11" t="str">
        <f>IFERROR(__xludf.DUMMYFUNCTION("iferror(if($B1019="""", ,filter(Playoff_Stats!F:Z,Playoff_Stats!A:A=$B1019,Playoff_Stats!B:B=$A1019)))"),"")</f>
        <v/>
      </c>
      <c r="K1019" s="11"/>
      <c r="L1019" s="12"/>
      <c r="M1019" s="11"/>
      <c r="N1019" s="11"/>
      <c r="O1019" s="13"/>
      <c r="P1019" s="14"/>
      <c r="Q1019" s="13"/>
      <c r="R1019" s="13"/>
      <c r="S1019" s="15"/>
      <c r="T1019" s="16"/>
      <c r="U1019" s="16"/>
      <c r="V1019" s="16"/>
      <c r="W1019" s="16"/>
      <c r="X1019" s="16"/>
      <c r="Y1019" s="11"/>
      <c r="Z1019" s="11"/>
      <c r="AA1019" s="11"/>
      <c r="AB1019" s="11"/>
      <c r="AC1019" s="11"/>
      <c r="AD1019" s="11"/>
    </row>
    <row r="1020">
      <c r="A1020" s="10"/>
      <c r="B1020" s="10"/>
      <c r="C1020" s="10"/>
      <c r="D1020" s="10"/>
      <c r="E1020" s="10"/>
      <c r="F1020" s="11"/>
      <c r="G1020" s="11"/>
      <c r="H1020" s="11"/>
      <c r="I1020" s="11"/>
      <c r="J1020" s="11" t="str">
        <f>IFERROR(__xludf.DUMMYFUNCTION("iferror(if($B1020="""", ,filter(Playoff_Stats!F:Z,Playoff_Stats!A:A=$B1020,Playoff_Stats!B:B=$A1020)))"),"")</f>
        <v/>
      </c>
      <c r="K1020" s="11"/>
      <c r="L1020" s="12"/>
      <c r="M1020" s="11"/>
      <c r="N1020" s="11"/>
      <c r="O1020" s="13"/>
      <c r="P1020" s="14"/>
      <c r="Q1020" s="13"/>
      <c r="R1020" s="13"/>
      <c r="S1020" s="15"/>
      <c r="T1020" s="16"/>
      <c r="U1020" s="16"/>
      <c r="V1020" s="16"/>
      <c r="W1020" s="16"/>
      <c r="X1020" s="16"/>
      <c r="Y1020" s="11"/>
      <c r="Z1020" s="11"/>
      <c r="AA1020" s="11"/>
      <c r="AB1020" s="11"/>
      <c r="AC1020" s="11"/>
      <c r="AD1020" s="11"/>
    </row>
    <row r="1021">
      <c r="A1021" s="10"/>
      <c r="B1021" s="10"/>
      <c r="C1021" s="10"/>
      <c r="D1021" s="10"/>
      <c r="E1021" s="10"/>
      <c r="F1021" s="11"/>
      <c r="G1021" s="11"/>
      <c r="H1021" s="11"/>
      <c r="I1021" s="11"/>
      <c r="J1021" s="11" t="str">
        <f>IFERROR(__xludf.DUMMYFUNCTION("iferror(if($B1021="""", ,filter(Playoff_Stats!F:Z,Playoff_Stats!A:A=$B1021,Playoff_Stats!B:B=$A1021)))"),"")</f>
        <v/>
      </c>
      <c r="K1021" s="11"/>
      <c r="L1021" s="12"/>
      <c r="M1021" s="11"/>
      <c r="N1021" s="11"/>
      <c r="O1021" s="13"/>
      <c r="P1021" s="14"/>
      <c r="Q1021" s="13"/>
      <c r="R1021" s="13"/>
      <c r="S1021" s="15"/>
      <c r="T1021" s="16"/>
      <c r="U1021" s="16"/>
      <c r="V1021" s="16"/>
      <c r="W1021" s="16"/>
      <c r="X1021" s="16"/>
      <c r="Y1021" s="11"/>
      <c r="Z1021" s="11"/>
      <c r="AA1021" s="11"/>
      <c r="AB1021" s="11"/>
      <c r="AC1021" s="11"/>
      <c r="AD1021" s="11"/>
    </row>
    <row r="1022">
      <c r="A1022" s="10"/>
      <c r="B1022" s="10"/>
      <c r="C1022" s="10"/>
      <c r="D1022" s="10"/>
      <c r="E1022" s="10"/>
      <c r="F1022" s="11"/>
      <c r="G1022" s="11"/>
      <c r="H1022" s="11"/>
      <c r="I1022" s="11"/>
      <c r="J1022" s="11" t="str">
        <f>IFERROR(__xludf.DUMMYFUNCTION("iferror(if($B1022="""", ,filter(Playoff_Stats!F:Z,Playoff_Stats!A:A=$B1022,Playoff_Stats!B:B=$A1022)))"),"")</f>
        <v/>
      </c>
      <c r="K1022" s="11"/>
      <c r="L1022" s="12"/>
      <c r="M1022" s="11"/>
      <c r="N1022" s="11"/>
      <c r="O1022" s="13"/>
      <c r="P1022" s="14"/>
      <c r="Q1022" s="13"/>
      <c r="R1022" s="13"/>
      <c r="S1022" s="15"/>
      <c r="T1022" s="16"/>
      <c r="U1022" s="16"/>
      <c r="V1022" s="16"/>
      <c r="W1022" s="16"/>
      <c r="X1022" s="16"/>
      <c r="Y1022" s="11"/>
      <c r="Z1022" s="11"/>
      <c r="AA1022" s="11"/>
      <c r="AB1022" s="11"/>
      <c r="AC1022" s="11"/>
      <c r="AD1022" s="11"/>
    </row>
    <row r="1023">
      <c r="A1023" s="10"/>
      <c r="B1023" s="10"/>
      <c r="C1023" s="10"/>
      <c r="D1023" s="10"/>
      <c r="E1023" s="10"/>
      <c r="F1023" s="11"/>
      <c r="G1023" s="11"/>
      <c r="H1023" s="11"/>
      <c r="I1023" s="11"/>
      <c r="J1023" s="11" t="str">
        <f>IFERROR(__xludf.DUMMYFUNCTION("iferror(if($B1023="""", ,filter(Playoff_Stats!F:Z,Playoff_Stats!A:A=$B1023,Playoff_Stats!B:B=$A1023)))"),"")</f>
        <v/>
      </c>
      <c r="K1023" s="11"/>
      <c r="L1023" s="12"/>
      <c r="M1023" s="11"/>
      <c r="N1023" s="11"/>
      <c r="O1023" s="13"/>
      <c r="P1023" s="14"/>
      <c r="Q1023" s="13"/>
      <c r="R1023" s="13"/>
      <c r="S1023" s="15"/>
      <c r="T1023" s="16"/>
      <c r="U1023" s="16"/>
      <c r="V1023" s="16"/>
      <c r="W1023" s="16"/>
      <c r="X1023" s="16"/>
      <c r="Y1023" s="11"/>
      <c r="Z1023" s="11"/>
      <c r="AA1023" s="11"/>
      <c r="AB1023" s="11"/>
      <c r="AC1023" s="11"/>
      <c r="AD1023" s="11"/>
    </row>
    <row r="1024">
      <c r="A1024" s="10"/>
      <c r="B1024" s="10"/>
      <c r="C1024" s="10"/>
      <c r="D1024" s="10"/>
      <c r="E1024" s="10"/>
      <c r="F1024" s="11"/>
      <c r="G1024" s="11"/>
      <c r="H1024" s="11"/>
      <c r="I1024" s="11"/>
      <c r="J1024" s="11" t="str">
        <f>IFERROR(__xludf.DUMMYFUNCTION("iferror(if($B1024="""", ,filter(Playoff_Stats!F:Z,Playoff_Stats!A:A=$B1024,Playoff_Stats!B:B=$A1024)))"),"")</f>
        <v/>
      </c>
      <c r="K1024" s="11"/>
      <c r="L1024" s="12"/>
      <c r="M1024" s="11"/>
      <c r="N1024" s="11"/>
      <c r="O1024" s="13"/>
      <c r="P1024" s="14"/>
      <c r="Q1024" s="13"/>
      <c r="R1024" s="13"/>
      <c r="S1024" s="15"/>
      <c r="T1024" s="16"/>
      <c r="U1024" s="16"/>
      <c r="V1024" s="16"/>
      <c r="W1024" s="16"/>
      <c r="X1024" s="16"/>
      <c r="Y1024" s="11"/>
      <c r="Z1024" s="11"/>
      <c r="AA1024" s="11"/>
      <c r="AB1024" s="11"/>
      <c r="AC1024" s="11"/>
      <c r="AD1024" s="11"/>
    </row>
    <row r="1025">
      <c r="A1025" s="10"/>
      <c r="B1025" s="10"/>
      <c r="C1025" s="10"/>
      <c r="D1025" s="10"/>
      <c r="E1025" s="10"/>
      <c r="F1025" s="11"/>
      <c r="G1025" s="11"/>
      <c r="H1025" s="11"/>
      <c r="I1025" s="11"/>
      <c r="J1025" s="11" t="str">
        <f>IFERROR(__xludf.DUMMYFUNCTION("iferror(if($B1025="""", ,filter(Playoff_Stats!F:Z,Playoff_Stats!A:A=$B1025,Playoff_Stats!B:B=$A1025)))"),"")</f>
        <v/>
      </c>
      <c r="K1025" s="11"/>
      <c r="L1025" s="12"/>
      <c r="M1025" s="11"/>
      <c r="N1025" s="11"/>
      <c r="O1025" s="13"/>
      <c r="P1025" s="14"/>
      <c r="Q1025" s="13"/>
      <c r="R1025" s="13"/>
      <c r="S1025" s="15"/>
      <c r="T1025" s="16"/>
      <c r="U1025" s="16"/>
      <c r="V1025" s="16"/>
      <c r="W1025" s="16"/>
      <c r="X1025" s="16"/>
      <c r="Y1025" s="11"/>
      <c r="Z1025" s="11"/>
      <c r="AA1025" s="11"/>
      <c r="AB1025" s="11"/>
      <c r="AC1025" s="11"/>
      <c r="AD1025" s="11"/>
    </row>
    <row r="1026">
      <c r="A1026" s="10"/>
      <c r="B1026" s="10"/>
      <c r="C1026" s="10"/>
      <c r="D1026" s="10"/>
      <c r="E1026" s="10"/>
      <c r="F1026" s="11"/>
      <c r="G1026" s="11"/>
      <c r="H1026" s="11"/>
      <c r="I1026" s="11"/>
      <c r="J1026" s="11" t="str">
        <f>IFERROR(__xludf.DUMMYFUNCTION("iferror(if($B1026="""", ,filter(Playoff_Stats!F:Z,Playoff_Stats!A:A=$B1026,Playoff_Stats!B:B=$A1026)))"),"")</f>
        <v/>
      </c>
      <c r="K1026" s="11"/>
      <c r="L1026" s="12"/>
      <c r="M1026" s="11"/>
      <c r="N1026" s="11"/>
      <c r="O1026" s="13"/>
      <c r="P1026" s="14"/>
      <c r="Q1026" s="13"/>
      <c r="R1026" s="13"/>
      <c r="S1026" s="15"/>
      <c r="T1026" s="16"/>
      <c r="U1026" s="16"/>
      <c r="V1026" s="16"/>
      <c r="W1026" s="16"/>
      <c r="X1026" s="16"/>
      <c r="Y1026" s="11"/>
      <c r="Z1026" s="11"/>
      <c r="AA1026" s="11"/>
      <c r="AB1026" s="11"/>
      <c r="AC1026" s="11"/>
      <c r="AD1026" s="11"/>
    </row>
    <row r="1027">
      <c r="A1027" s="10"/>
      <c r="B1027" s="10"/>
      <c r="C1027" s="10"/>
      <c r="D1027" s="10"/>
      <c r="E1027" s="10"/>
      <c r="F1027" s="11"/>
      <c r="G1027" s="11"/>
      <c r="H1027" s="11"/>
      <c r="I1027" s="11"/>
      <c r="J1027" s="11" t="str">
        <f>IFERROR(__xludf.DUMMYFUNCTION("iferror(if($B1027="""", ,filter(Playoff_Stats!F:Z,Playoff_Stats!A:A=$B1027,Playoff_Stats!B:B=$A1027)))"),"")</f>
        <v/>
      </c>
      <c r="K1027" s="11"/>
      <c r="L1027" s="12"/>
      <c r="M1027" s="11"/>
      <c r="N1027" s="11"/>
      <c r="O1027" s="13"/>
      <c r="P1027" s="14"/>
      <c r="Q1027" s="13"/>
      <c r="R1027" s="13"/>
      <c r="S1027" s="15"/>
      <c r="T1027" s="16"/>
      <c r="U1027" s="16"/>
      <c r="V1027" s="16"/>
      <c r="W1027" s="16"/>
      <c r="X1027" s="16"/>
      <c r="Y1027" s="11"/>
      <c r="Z1027" s="11"/>
      <c r="AA1027" s="11"/>
      <c r="AB1027" s="11"/>
      <c r="AC1027" s="11"/>
      <c r="AD1027" s="11"/>
    </row>
    <row r="1028">
      <c r="A1028" s="10"/>
      <c r="B1028" s="10"/>
      <c r="C1028" s="10"/>
      <c r="D1028" s="10"/>
      <c r="E1028" s="10"/>
      <c r="F1028" s="11"/>
      <c r="G1028" s="11"/>
      <c r="H1028" s="11"/>
      <c r="I1028" s="11"/>
      <c r="J1028" s="11" t="str">
        <f>IFERROR(__xludf.DUMMYFUNCTION("iferror(if($B1028="""", ,filter(Playoff_Stats!F:Z,Playoff_Stats!A:A=$B1028,Playoff_Stats!B:B=$A1028)))"),"")</f>
        <v/>
      </c>
      <c r="K1028" s="11"/>
      <c r="L1028" s="12"/>
      <c r="M1028" s="11"/>
      <c r="N1028" s="11"/>
      <c r="O1028" s="13"/>
      <c r="P1028" s="14"/>
      <c r="Q1028" s="13"/>
      <c r="R1028" s="13"/>
      <c r="S1028" s="15"/>
      <c r="T1028" s="16"/>
      <c r="U1028" s="16"/>
      <c r="V1028" s="16"/>
      <c r="W1028" s="16"/>
      <c r="X1028" s="16"/>
      <c r="Y1028" s="11"/>
      <c r="Z1028" s="11"/>
      <c r="AA1028" s="11"/>
      <c r="AB1028" s="11"/>
      <c r="AC1028" s="11"/>
      <c r="AD1028" s="11"/>
    </row>
    <row r="1029">
      <c r="A1029" s="10"/>
      <c r="B1029" s="10"/>
      <c r="C1029" s="10"/>
      <c r="D1029" s="10"/>
      <c r="E1029" s="10"/>
      <c r="F1029" s="11"/>
      <c r="G1029" s="11"/>
      <c r="H1029" s="11"/>
      <c r="I1029" s="11"/>
      <c r="J1029" s="11" t="str">
        <f>IFERROR(__xludf.DUMMYFUNCTION("iferror(if($B1029="""", ,filter(Playoff_Stats!F:Z,Playoff_Stats!A:A=$B1029,Playoff_Stats!B:B=$A1029)))"),"")</f>
        <v/>
      </c>
      <c r="K1029" s="11"/>
      <c r="L1029" s="12"/>
      <c r="M1029" s="11"/>
      <c r="N1029" s="11"/>
      <c r="O1029" s="13"/>
      <c r="P1029" s="14"/>
      <c r="Q1029" s="13"/>
      <c r="R1029" s="13"/>
      <c r="S1029" s="15"/>
      <c r="T1029" s="16"/>
      <c r="U1029" s="16"/>
      <c r="V1029" s="16"/>
      <c r="W1029" s="16"/>
      <c r="X1029" s="16"/>
      <c r="Y1029" s="11"/>
      <c r="Z1029" s="11"/>
      <c r="AA1029" s="11"/>
      <c r="AB1029" s="11"/>
      <c r="AC1029" s="11"/>
      <c r="AD1029" s="11"/>
    </row>
    <row r="1030">
      <c r="A1030" s="10"/>
      <c r="B1030" s="10"/>
      <c r="C1030" s="10"/>
      <c r="D1030" s="10"/>
      <c r="E1030" s="10"/>
      <c r="F1030" s="11"/>
      <c r="G1030" s="11"/>
      <c r="H1030" s="11"/>
      <c r="I1030" s="11"/>
      <c r="J1030" s="11" t="str">
        <f>IFERROR(__xludf.DUMMYFUNCTION("iferror(if($B1030="""", ,filter(Playoff_Stats!F:Z,Playoff_Stats!A:A=$B1030,Playoff_Stats!B:B=$A1030)))"),"")</f>
        <v/>
      </c>
      <c r="K1030" s="11"/>
      <c r="L1030" s="12"/>
      <c r="M1030" s="11"/>
      <c r="N1030" s="11"/>
      <c r="O1030" s="13"/>
      <c r="P1030" s="14"/>
      <c r="Q1030" s="13"/>
      <c r="R1030" s="13"/>
      <c r="S1030" s="15"/>
      <c r="T1030" s="16"/>
      <c r="U1030" s="16"/>
      <c r="V1030" s="16"/>
      <c r="W1030" s="16"/>
      <c r="X1030" s="16"/>
      <c r="Y1030" s="11"/>
      <c r="Z1030" s="11"/>
      <c r="AA1030" s="11"/>
      <c r="AB1030" s="11"/>
      <c r="AC1030" s="11"/>
      <c r="AD1030" s="11"/>
    </row>
    <row r="1031">
      <c r="A1031" s="10"/>
      <c r="B1031" s="10"/>
      <c r="C1031" s="10"/>
      <c r="D1031" s="10"/>
      <c r="E1031" s="10"/>
      <c r="F1031" s="11"/>
      <c r="G1031" s="11"/>
      <c r="H1031" s="11"/>
      <c r="I1031" s="11"/>
      <c r="J1031" s="11" t="str">
        <f>IFERROR(__xludf.DUMMYFUNCTION("iferror(if($B1031="""", ,filter(Playoff_Stats!F:Z,Playoff_Stats!A:A=$B1031,Playoff_Stats!B:B=$A1031)))"),"")</f>
        <v/>
      </c>
      <c r="K1031" s="11"/>
      <c r="L1031" s="12"/>
      <c r="M1031" s="11"/>
      <c r="N1031" s="11"/>
      <c r="O1031" s="13"/>
      <c r="P1031" s="14"/>
      <c r="Q1031" s="13"/>
      <c r="R1031" s="13"/>
      <c r="S1031" s="15"/>
      <c r="T1031" s="16"/>
      <c r="U1031" s="16"/>
      <c r="V1031" s="16"/>
      <c r="W1031" s="16"/>
      <c r="X1031" s="16"/>
      <c r="Y1031" s="11"/>
      <c r="Z1031" s="11"/>
      <c r="AA1031" s="11"/>
      <c r="AB1031" s="11"/>
      <c r="AC1031" s="11"/>
      <c r="AD1031" s="11"/>
    </row>
    <row r="1032">
      <c r="A1032" s="10"/>
      <c r="B1032" s="10"/>
      <c r="C1032" s="10"/>
      <c r="D1032" s="10"/>
      <c r="E1032" s="10"/>
      <c r="F1032" s="11"/>
      <c r="G1032" s="11"/>
      <c r="H1032" s="11"/>
      <c r="I1032" s="11"/>
      <c r="J1032" s="11" t="str">
        <f>IFERROR(__xludf.DUMMYFUNCTION("iferror(if($B1032="""", ,filter(Playoff_Stats!F:Z,Playoff_Stats!A:A=$B1032,Playoff_Stats!B:B=$A1032)))"),"")</f>
        <v/>
      </c>
      <c r="K1032" s="11"/>
      <c r="L1032" s="12"/>
      <c r="M1032" s="11"/>
      <c r="N1032" s="11"/>
      <c r="O1032" s="13"/>
      <c r="P1032" s="14"/>
      <c r="Q1032" s="13"/>
      <c r="R1032" s="13"/>
      <c r="S1032" s="15"/>
      <c r="T1032" s="16"/>
      <c r="U1032" s="16"/>
      <c r="V1032" s="16"/>
      <c r="W1032" s="16"/>
      <c r="X1032" s="16"/>
      <c r="Y1032" s="11"/>
      <c r="Z1032" s="11"/>
      <c r="AA1032" s="11"/>
      <c r="AB1032" s="11"/>
      <c r="AC1032" s="11"/>
      <c r="AD1032" s="11"/>
    </row>
    <row r="1033">
      <c r="A1033" s="10"/>
      <c r="B1033" s="10"/>
      <c r="C1033" s="10"/>
      <c r="D1033" s="10"/>
      <c r="E1033" s="10"/>
      <c r="F1033" s="11"/>
      <c r="G1033" s="11"/>
      <c r="H1033" s="11"/>
      <c r="I1033" s="11"/>
      <c r="J1033" s="11" t="str">
        <f>IFERROR(__xludf.DUMMYFUNCTION("iferror(if($B1033="""", ,filter(Playoff_Stats!F:Z,Playoff_Stats!A:A=$B1033,Playoff_Stats!B:B=$A1033)))"),"")</f>
        <v/>
      </c>
      <c r="K1033" s="11"/>
      <c r="L1033" s="12"/>
      <c r="M1033" s="11"/>
      <c r="N1033" s="11"/>
      <c r="O1033" s="13"/>
      <c r="P1033" s="14"/>
      <c r="Q1033" s="13"/>
      <c r="R1033" s="13"/>
      <c r="S1033" s="15"/>
      <c r="T1033" s="16"/>
      <c r="U1033" s="16"/>
      <c r="V1033" s="16"/>
      <c r="W1033" s="16"/>
      <c r="X1033" s="16"/>
      <c r="Y1033" s="11"/>
      <c r="Z1033" s="11"/>
      <c r="AA1033" s="11"/>
      <c r="AB1033" s="11"/>
      <c r="AC1033" s="11"/>
      <c r="AD1033" s="11"/>
    </row>
    <row r="1034">
      <c r="A1034" s="10"/>
      <c r="B1034" s="10"/>
      <c r="C1034" s="10"/>
      <c r="D1034" s="10"/>
      <c r="E1034" s="10"/>
      <c r="F1034" s="11"/>
      <c r="G1034" s="11"/>
      <c r="H1034" s="11"/>
      <c r="I1034" s="11"/>
      <c r="J1034" s="11" t="str">
        <f>IFERROR(__xludf.DUMMYFUNCTION("iferror(if($B1034="""", ,filter(Playoff_Stats!F:Z,Playoff_Stats!A:A=$B1034,Playoff_Stats!B:B=$A1034)))"),"")</f>
        <v/>
      </c>
      <c r="K1034" s="11"/>
      <c r="L1034" s="12"/>
      <c r="M1034" s="11"/>
      <c r="N1034" s="11"/>
      <c r="O1034" s="13"/>
      <c r="P1034" s="14"/>
      <c r="Q1034" s="13"/>
      <c r="R1034" s="13"/>
      <c r="S1034" s="15"/>
      <c r="T1034" s="16"/>
      <c r="U1034" s="16"/>
      <c r="V1034" s="16"/>
      <c r="W1034" s="16"/>
      <c r="X1034" s="16"/>
      <c r="Y1034" s="11"/>
      <c r="Z1034" s="11"/>
      <c r="AA1034" s="11"/>
      <c r="AB1034" s="11"/>
      <c r="AC1034" s="11"/>
      <c r="AD1034" s="11"/>
    </row>
    <row r="1035">
      <c r="A1035" s="10"/>
      <c r="B1035" s="10"/>
      <c r="C1035" s="10"/>
      <c r="D1035" s="10"/>
      <c r="E1035" s="10"/>
      <c r="F1035" s="11"/>
      <c r="G1035" s="11"/>
      <c r="H1035" s="11"/>
      <c r="I1035" s="11"/>
      <c r="J1035" s="11" t="str">
        <f>IFERROR(__xludf.DUMMYFUNCTION("iferror(if($B1035="""", ,filter(Playoff_Stats!F:Z,Playoff_Stats!A:A=$B1035,Playoff_Stats!B:B=$A1035)))"),"")</f>
        <v/>
      </c>
      <c r="K1035" s="11"/>
      <c r="L1035" s="12"/>
      <c r="M1035" s="11"/>
      <c r="N1035" s="11"/>
      <c r="O1035" s="13"/>
      <c r="P1035" s="14"/>
      <c r="Q1035" s="13"/>
      <c r="R1035" s="13"/>
      <c r="S1035" s="15"/>
      <c r="T1035" s="16"/>
      <c r="U1035" s="16"/>
      <c r="V1035" s="16"/>
      <c r="W1035" s="16"/>
      <c r="X1035" s="16"/>
      <c r="Y1035" s="11"/>
      <c r="Z1035" s="11"/>
      <c r="AA1035" s="11"/>
      <c r="AB1035" s="11"/>
      <c r="AC1035" s="11"/>
      <c r="AD1035" s="11"/>
    </row>
    <row r="1036">
      <c r="A1036" s="10"/>
      <c r="B1036" s="10"/>
      <c r="C1036" s="10"/>
      <c r="D1036" s="10"/>
      <c r="E1036" s="10"/>
      <c r="F1036" s="11"/>
      <c r="G1036" s="11"/>
      <c r="H1036" s="11"/>
      <c r="I1036" s="11"/>
      <c r="J1036" s="11" t="str">
        <f>IFERROR(__xludf.DUMMYFUNCTION("iferror(if($B1036="""", ,filter(Playoff_Stats!F:Z,Playoff_Stats!A:A=$B1036,Playoff_Stats!B:B=$A1036)))"),"")</f>
        <v/>
      </c>
      <c r="K1036" s="11"/>
      <c r="L1036" s="12"/>
      <c r="M1036" s="11"/>
      <c r="N1036" s="11"/>
      <c r="O1036" s="13"/>
      <c r="P1036" s="14"/>
      <c r="Q1036" s="13"/>
      <c r="R1036" s="13"/>
      <c r="S1036" s="15"/>
      <c r="T1036" s="16"/>
      <c r="U1036" s="16"/>
      <c r="V1036" s="16"/>
      <c r="W1036" s="16"/>
      <c r="X1036" s="16"/>
      <c r="Y1036" s="11"/>
      <c r="Z1036" s="11"/>
      <c r="AA1036" s="11"/>
      <c r="AB1036" s="11"/>
      <c r="AC1036" s="11"/>
      <c r="AD1036" s="11"/>
    </row>
    <row r="1037">
      <c r="A1037" s="10"/>
      <c r="B1037" s="10"/>
      <c r="C1037" s="10"/>
      <c r="D1037" s="10"/>
      <c r="E1037" s="10"/>
      <c r="F1037" s="11"/>
      <c r="G1037" s="11"/>
      <c r="H1037" s="11"/>
      <c r="I1037" s="11"/>
      <c r="J1037" s="11" t="str">
        <f>IFERROR(__xludf.DUMMYFUNCTION("iferror(if($B1037="""", ,filter(Playoff_Stats!F:Z,Playoff_Stats!A:A=$B1037,Playoff_Stats!B:B=$A1037)))"),"")</f>
        <v/>
      </c>
      <c r="K1037" s="11"/>
      <c r="L1037" s="12"/>
      <c r="M1037" s="11"/>
      <c r="N1037" s="11"/>
      <c r="O1037" s="13"/>
      <c r="P1037" s="14"/>
      <c r="Q1037" s="13"/>
      <c r="R1037" s="13"/>
      <c r="S1037" s="15"/>
      <c r="T1037" s="16"/>
      <c r="U1037" s="16"/>
      <c r="V1037" s="16"/>
      <c r="W1037" s="16"/>
      <c r="X1037" s="16"/>
      <c r="Y1037" s="11"/>
      <c r="Z1037" s="11"/>
      <c r="AA1037" s="11"/>
      <c r="AB1037" s="11"/>
      <c r="AC1037" s="11"/>
      <c r="AD1037" s="11"/>
    </row>
    <row r="1038">
      <c r="A1038" s="10"/>
      <c r="B1038" s="10"/>
      <c r="C1038" s="10"/>
      <c r="D1038" s="10"/>
      <c r="E1038" s="10"/>
      <c r="F1038" s="11"/>
      <c r="G1038" s="11"/>
      <c r="H1038" s="11"/>
      <c r="I1038" s="11"/>
      <c r="J1038" s="11" t="str">
        <f>IFERROR(__xludf.DUMMYFUNCTION("iferror(if($B1038="""", ,filter(Playoff_Stats!F:Z,Playoff_Stats!A:A=$B1038,Playoff_Stats!B:B=$A1038)))"),"")</f>
        <v/>
      </c>
      <c r="K1038" s="11"/>
      <c r="L1038" s="12"/>
      <c r="M1038" s="11"/>
      <c r="N1038" s="11"/>
      <c r="O1038" s="13"/>
      <c r="P1038" s="14"/>
      <c r="Q1038" s="13"/>
      <c r="R1038" s="13"/>
      <c r="S1038" s="15"/>
      <c r="T1038" s="16"/>
      <c r="U1038" s="16"/>
      <c r="V1038" s="16"/>
      <c r="W1038" s="16"/>
      <c r="X1038" s="16"/>
      <c r="Y1038" s="11"/>
      <c r="Z1038" s="11"/>
      <c r="AA1038" s="11"/>
      <c r="AB1038" s="11"/>
      <c r="AC1038" s="11"/>
      <c r="AD1038" s="11"/>
    </row>
    <row r="1039">
      <c r="A1039" s="10"/>
      <c r="B1039" s="10"/>
      <c r="C1039" s="10"/>
      <c r="D1039" s="10"/>
      <c r="E1039" s="10"/>
      <c r="F1039" s="11"/>
      <c r="G1039" s="11"/>
      <c r="H1039" s="11"/>
      <c r="I1039" s="11"/>
      <c r="J1039" s="11" t="str">
        <f>IFERROR(__xludf.DUMMYFUNCTION("iferror(if($B1039="""", ,filter(Playoff_Stats!F:Z,Playoff_Stats!A:A=$B1039,Playoff_Stats!B:B=$A1039)))"),"")</f>
        <v/>
      </c>
      <c r="K1039" s="11"/>
      <c r="L1039" s="12"/>
      <c r="M1039" s="11"/>
      <c r="N1039" s="11"/>
      <c r="O1039" s="13"/>
      <c r="P1039" s="14"/>
      <c r="Q1039" s="13"/>
      <c r="R1039" s="13"/>
      <c r="S1039" s="15"/>
      <c r="T1039" s="16"/>
      <c r="U1039" s="16"/>
      <c r="V1039" s="16"/>
      <c r="W1039" s="16"/>
      <c r="X1039" s="16"/>
      <c r="Y1039" s="11"/>
      <c r="Z1039" s="11"/>
      <c r="AA1039" s="11"/>
      <c r="AB1039" s="11"/>
      <c r="AC1039" s="11"/>
      <c r="AD1039" s="11"/>
    </row>
    <row r="1040">
      <c r="A1040" s="10"/>
      <c r="B1040" s="10"/>
      <c r="C1040" s="10"/>
      <c r="D1040" s="10"/>
      <c r="E1040" s="10"/>
      <c r="F1040" s="11"/>
      <c r="G1040" s="11"/>
      <c r="H1040" s="11"/>
      <c r="I1040" s="11"/>
      <c r="J1040" s="11" t="str">
        <f>IFERROR(__xludf.DUMMYFUNCTION("iferror(if($B1040="""", ,filter(Playoff_Stats!F:Z,Playoff_Stats!A:A=$B1040,Playoff_Stats!B:B=$A1040)))"),"")</f>
        <v/>
      </c>
      <c r="K1040" s="11"/>
      <c r="L1040" s="12"/>
      <c r="M1040" s="11"/>
      <c r="N1040" s="11"/>
      <c r="O1040" s="13"/>
      <c r="P1040" s="14"/>
      <c r="Q1040" s="13"/>
      <c r="R1040" s="13"/>
      <c r="S1040" s="15"/>
      <c r="T1040" s="16"/>
      <c r="U1040" s="16"/>
      <c r="V1040" s="16"/>
      <c r="W1040" s="16"/>
      <c r="X1040" s="16"/>
      <c r="Y1040" s="11"/>
      <c r="Z1040" s="11"/>
      <c r="AA1040" s="11"/>
      <c r="AB1040" s="11"/>
      <c r="AC1040" s="11"/>
      <c r="AD1040" s="11"/>
    </row>
    <row r="1041">
      <c r="A1041" s="10"/>
      <c r="B1041" s="10"/>
      <c r="C1041" s="10"/>
      <c r="D1041" s="10"/>
      <c r="E1041" s="10"/>
      <c r="F1041" s="11"/>
      <c r="G1041" s="11"/>
      <c r="H1041" s="11"/>
      <c r="I1041" s="11"/>
      <c r="J1041" s="11" t="str">
        <f>IFERROR(__xludf.DUMMYFUNCTION("iferror(if($B1041="""", ,filter(Playoff_Stats!F:Z,Playoff_Stats!A:A=$B1041,Playoff_Stats!B:B=$A1041)))"),"")</f>
        <v/>
      </c>
      <c r="K1041" s="11"/>
      <c r="L1041" s="12"/>
      <c r="M1041" s="11"/>
      <c r="N1041" s="11"/>
      <c r="O1041" s="13"/>
      <c r="P1041" s="14"/>
      <c r="Q1041" s="13"/>
      <c r="R1041" s="13"/>
      <c r="S1041" s="15"/>
      <c r="T1041" s="16"/>
      <c r="U1041" s="16"/>
      <c r="V1041" s="16"/>
      <c r="W1041" s="16"/>
      <c r="X1041" s="16"/>
      <c r="Y1041" s="11"/>
      <c r="Z1041" s="11"/>
      <c r="AA1041" s="11"/>
      <c r="AB1041" s="11"/>
      <c r="AC1041" s="11"/>
      <c r="AD1041" s="11"/>
    </row>
    <row r="1042">
      <c r="A1042" s="10"/>
      <c r="B1042" s="10"/>
      <c r="C1042" s="10"/>
      <c r="D1042" s="10"/>
      <c r="E1042" s="10"/>
      <c r="F1042" s="11"/>
      <c r="G1042" s="11"/>
      <c r="H1042" s="11"/>
      <c r="I1042" s="11"/>
      <c r="J1042" s="11" t="str">
        <f>IFERROR(__xludf.DUMMYFUNCTION("iferror(if($B1042="""", ,filter(Playoff_Stats!F:Z,Playoff_Stats!A:A=$B1042,Playoff_Stats!B:B=$A1042)))"),"")</f>
        <v/>
      </c>
      <c r="K1042" s="11"/>
      <c r="L1042" s="12"/>
      <c r="M1042" s="11"/>
      <c r="N1042" s="11"/>
      <c r="O1042" s="13"/>
      <c r="P1042" s="14"/>
      <c r="Q1042" s="13"/>
      <c r="R1042" s="13"/>
      <c r="S1042" s="15"/>
      <c r="T1042" s="16"/>
      <c r="U1042" s="16"/>
      <c r="V1042" s="16"/>
      <c r="W1042" s="16"/>
      <c r="X1042" s="16"/>
      <c r="Y1042" s="11"/>
      <c r="Z1042" s="11"/>
      <c r="AA1042" s="11"/>
      <c r="AB1042" s="11"/>
      <c r="AC1042" s="11"/>
      <c r="AD1042" s="11"/>
    </row>
    <row r="1043">
      <c r="A1043" s="10"/>
      <c r="B1043" s="10"/>
      <c r="C1043" s="10"/>
      <c r="D1043" s="10"/>
      <c r="E1043" s="10"/>
      <c r="F1043" s="11"/>
      <c r="G1043" s="11"/>
      <c r="H1043" s="11"/>
      <c r="I1043" s="11"/>
      <c r="J1043" s="11" t="str">
        <f>IFERROR(__xludf.DUMMYFUNCTION("iferror(if($B1043="""", ,filter(Playoff_Stats!F:Z,Playoff_Stats!A:A=$B1043,Playoff_Stats!B:B=$A1043)))"),"")</f>
        <v/>
      </c>
      <c r="K1043" s="11"/>
      <c r="L1043" s="12"/>
      <c r="M1043" s="11"/>
      <c r="N1043" s="11"/>
      <c r="O1043" s="13"/>
      <c r="P1043" s="14"/>
      <c r="Q1043" s="13"/>
      <c r="R1043" s="13"/>
      <c r="S1043" s="15"/>
      <c r="T1043" s="16"/>
      <c r="U1043" s="16"/>
      <c r="V1043" s="16"/>
      <c r="W1043" s="16"/>
      <c r="X1043" s="16"/>
      <c r="Y1043" s="11"/>
      <c r="Z1043" s="11"/>
      <c r="AA1043" s="11"/>
      <c r="AB1043" s="11"/>
      <c r="AC1043" s="11"/>
      <c r="AD1043" s="11"/>
    </row>
    <row r="1044">
      <c r="A1044" s="10"/>
      <c r="B1044" s="10"/>
      <c r="C1044" s="10"/>
      <c r="D1044" s="10"/>
      <c r="E1044" s="10"/>
      <c r="F1044" s="11"/>
      <c r="G1044" s="11"/>
      <c r="H1044" s="11"/>
      <c r="I1044" s="11"/>
      <c r="J1044" s="11" t="str">
        <f>IFERROR(__xludf.DUMMYFUNCTION("iferror(if($B1044="""", ,filter(Playoff_Stats!F:Z,Playoff_Stats!A:A=$B1044,Playoff_Stats!B:B=$A1044)))"),"")</f>
        <v/>
      </c>
      <c r="K1044" s="11"/>
      <c r="L1044" s="12"/>
      <c r="M1044" s="11"/>
      <c r="N1044" s="11"/>
      <c r="O1044" s="13"/>
      <c r="P1044" s="14"/>
      <c r="Q1044" s="13"/>
      <c r="R1044" s="13"/>
      <c r="S1044" s="15"/>
      <c r="T1044" s="16"/>
      <c r="U1044" s="16"/>
      <c r="V1044" s="16"/>
      <c r="W1044" s="16"/>
      <c r="X1044" s="16"/>
      <c r="Y1044" s="11"/>
      <c r="Z1044" s="11"/>
      <c r="AA1044" s="11"/>
      <c r="AB1044" s="11"/>
      <c r="AC1044" s="11"/>
      <c r="AD1044" s="11"/>
    </row>
    <row r="1045">
      <c r="A1045" s="10"/>
      <c r="B1045" s="10"/>
      <c r="C1045" s="10"/>
      <c r="D1045" s="10"/>
      <c r="E1045" s="10"/>
      <c r="F1045" s="11"/>
      <c r="G1045" s="11"/>
      <c r="H1045" s="11"/>
      <c r="I1045" s="11"/>
      <c r="J1045" s="11" t="str">
        <f>IFERROR(__xludf.DUMMYFUNCTION("iferror(if($B1045="""", ,filter(Playoff_Stats!F:Z,Playoff_Stats!A:A=$B1045,Playoff_Stats!B:B=$A1045)))"),"")</f>
        <v/>
      </c>
      <c r="K1045" s="11"/>
      <c r="L1045" s="12"/>
      <c r="M1045" s="11"/>
      <c r="N1045" s="11"/>
      <c r="O1045" s="13"/>
      <c r="P1045" s="14"/>
      <c r="Q1045" s="13"/>
      <c r="R1045" s="13"/>
      <c r="S1045" s="15"/>
      <c r="T1045" s="16"/>
      <c r="U1045" s="16"/>
      <c r="V1045" s="16"/>
      <c r="W1045" s="16"/>
      <c r="X1045" s="16"/>
      <c r="Y1045" s="11"/>
      <c r="Z1045" s="11"/>
      <c r="AA1045" s="11"/>
      <c r="AB1045" s="11"/>
      <c r="AC1045" s="11"/>
      <c r="AD1045" s="11"/>
    </row>
    <row r="1046">
      <c r="A1046" s="10"/>
      <c r="B1046" s="10"/>
      <c r="C1046" s="10"/>
      <c r="D1046" s="10"/>
      <c r="E1046" s="10"/>
      <c r="F1046" s="11"/>
      <c r="G1046" s="11"/>
      <c r="H1046" s="11"/>
      <c r="I1046" s="11"/>
      <c r="J1046" s="11" t="str">
        <f>IFERROR(__xludf.DUMMYFUNCTION("iferror(if($B1046="""", ,filter(Playoff_Stats!F:Z,Playoff_Stats!A:A=$B1046,Playoff_Stats!B:B=$A1046)))"),"")</f>
        <v/>
      </c>
      <c r="K1046" s="11"/>
      <c r="L1046" s="12"/>
      <c r="M1046" s="11"/>
      <c r="N1046" s="11"/>
      <c r="O1046" s="13"/>
      <c r="P1046" s="14"/>
      <c r="Q1046" s="13"/>
      <c r="R1046" s="13"/>
      <c r="S1046" s="15"/>
      <c r="T1046" s="16"/>
      <c r="U1046" s="16"/>
      <c r="V1046" s="16"/>
      <c r="W1046" s="16"/>
      <c r="X1046" s="16"/>
      <c r="Y1046" s="11"/>
      <c r="Z1046" s="11"/>
      <c r="AA1046" s="11"/>
      <c r="AB1046" s="11"/>
      <c r="AC1046" s="11"/>
      <c r="AD1046" s="11"/>
    </row>
    <row r="1047">
      <c r="A1047" s="10"/>
      <c r="B1047" s="10"/>
      <c r="C1047" s="10"/>
      <c r="D1047" s="10"/>
      <c r="E1047" s="10"/>
      <c r="F1047" s="11"/>
      <c r="G1047" s="11"/>
      <c r="H1047" s="11"/>
      <c r="I1047" s="11"/>
      <c r="J1047" s="11" t="str">
        <f>IFERROR(__xludf.DUMMYFUNCTION("iferror(if($B1047="""", ,filter(Playoff_Stats!F:Z,Playoff_Stats!A:A=$B1047,Playoff_Stats!B:B=$A1047)))"),"")</f>
        <v/>
      </c>
      <c r="K1047" s="11"/>
      <c r="L1047" s="12"/>
      <c r="M1047" s="11"/>
      <c r="N1047" s="11"/>
      <c r="O1047" s="13"/>
      <c r="P1047" s="14"/>
      <c r="Q1047" s="13"/>
      <c r="R1047" s="13"/>
      <c r="S1047" s="15"/>
      <c r="T1047" s="16"/>
      <c r="U1047" s="16"/>
      <c r="V1047" s="16"/>
      <c r="W1047" s="16"/>
      <c r="X1047" s="16"/>
      <c r="Y1047" s="11"/>
      <c r="Z1047" s="11"/>
      <c r="AA1047" s="11"/>
      <c r="AB1047" s="11"/>
      <c r="AC1047" s="11"/>
      <c r="AD1047" s="11"/>
    </row>
    <row r="1048">
      <c r="A1048" s="10"/>
      <c r="B1048" s="10"/>
      <c r="C1048" s="10"/>
      <c r="D1048" s="10"/>
      <c r="E1048" s="10"/>
      <c r="F1048" s="11"/>
      <c r="G1048" s="11"/>
      <c r="H1048" s="11"/>
      <c r="I1048" s="11"/>
      <c r="J1048" s="11" t="str">
        <f>IFERROR(__xludf.DUMMYFUNCTION("iferror(if($B1048="""", ,filter(Playoff_Stats!F:Z,Playoff_Stats!A:A=$B1048,Playoff_Stats!B:B=$A1048)))"),"")</f>
        <v/>
      </c>
      <c r="K1048" s="11"/>
      <c r="L1048" s="12"/>
      <c r="M1048" s="11"/>
      <c r="N1048" s="11"/>
      <c r="O1048" s="13"/>
      <c r="P1048" s="14"/>
      <c r="Q1048" s="13"/>
      <c r="R1048" s="13"/>
      <c r="S1048" s="15"/>
      <c r="T1048" s="16"/>
      <c r="U1048" s="16"/>
      <c r="V1048" s="16"/>
      <c r="W1048" s="16"/>
      <c r="X1048" s="16"/>
      <c r="Y1048" s="11"/>
      <c r="Z1048" s="11"/>
      <c r="AA1048" s="11"/>
      <c r="AB1048" s="11"/>
      <c r="AC1048" s="11"/>
      <c r="AD1048" s="11"/>
    </row>
    <row r="1049">
      <c r="A1049" s="10"/>
      <c r="B1049" s="10"/>
      <c r="C1049" s="10"/>
      <c r="D1049" s="10"/>
      <c r="E1049" s="10"/>
      <c r="F1049" s="11"/>
      <c r="G1049" s="11"/>
      <c r="H1049" s="11"/>
      <c r="I1049" s="11"/>
      <c r="J1049" s="11" t="str">
        <f>IFERROR(__xludf.DUMMYFUNCTION("iferror(if($B1049="""", ,filter(Playoff_Stats!F:Z,Playoff_Stats!A:A=$B1049,Playoff_Stats!B:B=$A1049)))"),"")</f>
        <v/>
      </c>
      <c r="K1049" s="11"/>
      <c r="L1049" s="12"/>
      <c r="M1049" s="11"/>
      <c r="N1049" s="11"/>
      <c r="O1049" s="13"/>
      <c r="P1049" s="14"/>
      <c r="Q1049" s="13"/>
      <c r="R1049" s="13"/>
      <c r="S1049" s="15"/>
      <c r="T1049" s="16"/>
      <c r="U1049" s="16"/>
      <c r="V1049" s="16"/>
      <c r="W1049" s="16"/>
      <c r="X1049" s="16"/>
      <c r="Y1049" s="11"/>
      <c r="Z1049" s="11"/>
      <c r="AA1049" s="11"/>
      <c r="AB1049" s="11"/>
      <c r="AC1049" s="11"/>
      <c r="AD1049" s="11"/>
    </row>
    <row r="1050">
      <c r="A1050" s="10"/>
      <c r="B1050" s="10"/>
      <c r="C1050" s="10"/>
      <c r="D1050" s="10"/>
      <c r="E1050" s="10"/>
      <c r="F1050" s="11"/>
      <c r="G1050" s="11"/>
      <c r="H1050" s="11"/>
      <c r="I1050" s="11"/>
      <c r="J1050" s="11" t="str">
        <f>IFERROR(__xludf.DUMMYFUNCTION("iferror(if($B1050="""", ,filter(Playoff_Stats!F:Z,Playoff_Stats!A:A=$B1050,Playoff_Stats!B:B=$A1050)))"),"")</f>
        <v/>
      </c>
      <c r="K1050" s="11"/>
      <c r="L1050" s="12"/>
      <c r="M1050" s="11"/>
      <c r="N1050" s="11"/>
      <c r="O1050" s="13"/>
      <c r="P1050" s="14"/>
      <c r="Q1050" s="13"/>
      <c r="R1050" s="13"/>
      <c r="S1050" s="15"/>
      <c r="T1050" s="16"/>
      <c r="U1050" s="16"/>
      <c r="V1050" s="16"/>
      <c r="W1050" s="16"/>
      <c r="X1050" s="16"/>
      <c r="Y1050" s="11"/>
      <c r="Z1050" s="11"/>
      <c r="AA1050" s="11"/>
      <c r="AB1050" s="11"/>
      <c r="AC1050" s="11"/>
      <c r="AD1050" s="11"/>
    </row>
    <row r="1051">
      <c r="A1051" s="10"/>
      <c r="B1051" s="10"/>
      <c r="C1051" s="10"/>
      <c r="D1051" s="10"/>
      <c r="E1051" s="10"/>
      <c r="F1051" s="11"/>
      <c r="G1051" s="11"/>
      <c r="H1051" s="11"/>
      <c r="I1051" s="11"/>
      <c r="J1051" s="11" t="str">
        <f>IFERROR(__xludf.DUMMYFUNCTION("iferror(if($B1051="""", ,filter(Playoff_Stats!F:Z,Playoff_Stats!A:A=$B1051,Playoff_Stats!B:B=$A1051)))"),"")</f>
        <v/>
      </c>
      <c r="K1051" s="11"/>
      <c r="L1051" s="12"/>
      <c r="M1051" s="11"/>
      <c r="N1051" s="11"/>
      <c r="O1051" s="13"/>
      <c r="P1051" s="14"/>
      <c r="Q1051" s="13"/>
      <c r="R1051" s="13"/>
      <c r="S1051" s="15"/>
      <c r="T1051" s="16"/>
      <c r="U1051" s="16"/>
      <c r="V1051" s="16"/>
      <c r="W1051" s="16"/>
      <c r="X1051" s="16"/>
      <c r="Y1051" s="11"/>
      <c r="Z1051" s="11"/>
      <c r="AA1051" s="11"/>
      <c r="AB1051" s="11"/>
      <c r="AC1051" s="11"/>
      <c r="AD1051" s="11"/>
    </row>
    <row r="1052">
      <c r="A1052" s="10"/>
      <c r="B1052" s="10"/>
      <c r="C1052" s="10"/>
      <c r="D1052" s="10"/>
      <c r="E1052" s="10"/>
      <c r="F1052" s="11"/>
      <c r="G1052" s="11"/>
      <c r="H1052" s="11"/>
      <c r="I1052" s="11"/>
      <c r="J1052" s="11" t="str">
        <f>IFERROR(__xludf.DUMMYFUNCTION("iferror(if($B1052="""", ,filter(Playoff_Stats!F:Z,Playoff_Stats!A:A=$B1052,Playoff_Stats!B:B=$A1052)))"),"")</f>
        <v/>
      </c>
      <c r="K1052" s="11"/>
      <c r="L1052" s="12"/>
      <c r="M1052" s="11"/>
      <c r="N1052" s="11"/>
      <c r="O1052" s="13"/>
      <c r="P1052" s="14"/>
      <c r="Q1052" s="13"/>
      <c r="R1052" s="13"/>
      <c r="S1052" s="15"/>
      <c r="T1052" s="16"/>
      <c r="U1052" s="16"/>
      <c r="V1052" s="16"/>
      <c r="W1052" s="16"/>
      <c r="X1052" s="16"/>
      <c r="Y1052" s="11"/>
      <c r="Z1052" s="11"/>
      <c r="AA1052" s="11"/>
      <c r="AB1052" s="11"/>
      <c r="AC1052" s="11"/>
      <c r="AD1052" s="11"/>
    </row>
    <row r="1053">
      <c r="A1053" s="10"/>
      <c r="B1053" s="10"/>
      <c r="C1053" s="10"/>
      <c r="D1053" s="10"/>
      <c r="E1053" s="10"/>
      <c r="F1053" s="11"/>
      <c r="G1053" s="11"/>
      <c r="H1053" s="11"/>
      <c r="I1053" s="11"/>
      <c r="J1053" s="11" t="str">
        <f>IFERROR(__xludf.DUMMYFUNCTION("iferror(if($B1053="""", ,filter(Playoff_Stats!F:Z,Playoff_Stats!A:A=$B1053,Playoff_Stats!B:B=$A1053)))"),"")</f>
        <v/>
      </c>
      <c r="K1053" s="11"/>
      <c r="L1053" s="12"/>
      <c r="M1053" s="11"/>
      <c r="N1053" s="11"/>
      <c r="O1053" s="13"/>
      <c r="P1053" s="14"/>
      <c r="Q1053" s="13"/>
      <c r="R1053" s="13"/>
      <c r="S1053" s="15"/>
      <c r="T1053" s="16"/>
      <c r="U1053" s="16"/>
      <c r="V1053" s="16"/>
      <c r="W1053" s="16"/>
      <c r="X1053" s="16"/>
      <c r="Y1053" s="11"/>
      <c r="Z1053" s="11"/>
      <c r="AA1053" s="11"/>
      <c r="AB1053" s="11"/>
      <c r="AC1053" s="11"/>
      <c r="AD1053" s="11"/>
    </row>
    <row r="1054">
      <c r="A1054" s="10"/>
      <c r="B1054" s="10"/>
      <c r="C1054" s="10"/>
      <c r="D1054" s="10"/>
      <c r="E1054" s="10"/>
      <c r="F1054" s="11"/>
      <c r="G1054" s="11"/>
      <c r="H1054" s="11"/>
      <c r="I1054" s="11"/>
      <c r="J1054" s="11" t="str">
        <f>IFERROR(__xludf.DUMMYFUNCTION("iferror(if($B1054="""", ,filter(Playoff_Stats!F:Z,Playoff_Stats!A:A=$B1054,Playoff_Stats!B:B=$A1054)))"),"")</f>
        <v/>
      </c>
      <c r="K1054" s="11"/>
      <c r="L1054" s="12"/>
      <c r="M1054" s="11"/>
      <c r="N1054" s="11"/>
      <c r="O1054" s="13"/>
      <c r="P1054" s="14"/>
      <c r="Q1054" s="13"/>
      <c r="R1054" s="13"/>
      <c r="S1054" s="15"/>
      <c r="T1054" s="16"/>
      <c r="U1054" s="16"/>
      <c r="V1054" s="16"/>
      <c r="W1054" s="16"/>
      <c r="X1054" s="16"/>
      <c r="Y1054" s="11"/>
      <c r="Z1054" s="11"/>
      <c r="AA1054" s="11"/>
      <c r="AB1054" s="11"/>
      <c r="AC1054" s="11"/>
      <c r="AD1054" s="11"/>
    </row>
    <row r="1055">
      <c r="A1055" s="10"/>
      <c r="B1055" s="10"/>
      <c r="C1055" s="10"/>
      <c r="D1055" s="10"/>
      <c r="E1055" s="10"/>
      <c r="F1055" s="11"/>
      <c r="G1055" s="11"/>
      <c r="H1055" s="11"/>
      <c r="I1055" s="11"/>
      <c r="J1055" s="11" t="str">
        <f>IFERROR(__xludf.DUMMYFUNCTION("iferror(if($B1055="""", ,filter(Playoff_Stats!F:Z,Playoff_Stats!A:A=$B1055,Playoff_Stats!B:B=$A1055)))"),"")</f>
        <v/>
      </c>
      <c r="K1055" s="11"/>
      <c r="L1055" s="12"/>
      <c r="M1055" s="11"/>
      <c r="N1055" s="11"/>
      <c r="O1055" s="13"/>
      <c r="P1055" s="14"/>
      <c r="Q1055" s="13"/>
      <c r="R1055" s="13"/>
      <c r="S1055" s="15"/>
      <c r="T1055" s="16"/>
      <c r="U1055" s="16"/>
      <c r="V1055" s="16"/>
      <c r="W1055" s="16"/>
      <c r="X1055" s="16"/>
      <c r="Y1055" s="11"/>
      <c r="Z1055" s="11"/>
      <c r="AA1055" s="11"/>
      <c r="AB1055" s="11"/>
      <c r="AC1055" s="11"/>
      <c r="AD1055" s="11"/>
    </row>
    <row r="1056">
      <c r="A1056" s="10"/>
      <c r="B1056" s="10"/>
      <c r="C1056" s="10"/>
      <c r="D1056" s="10"/>
      <c r="E1056" s="10"/>
      <c r="F1056" s="11"/>
      <c r="G1056" s="11"/>
      <c r="H1056" s="11"/>
      <c r="I1056" s="11"/>
      <c r="J1056" s="11" t="str">
        <f>IFERROR(__xludf.DUMMYFUNCTION("iferror(if($B1056="""", ,filter(Playoff_Stats!F:Z,Playoff_Stats!A:A=$B1056,Playoff_Stats!B:B=$A1056)))"),"")</f>
        <v/>
      </c>
      <c r="K1056" s="11"/>
      <c r="L1056" s="12"/>
      <c r="M1056" s="11"/>
      <c r="N1056" s="11"/>
      <c r="O1056" s="13"/>
      <c r="P1056" s="14"/>
      <c r="Q1056" s="13"/>
      <c r="R1056" s="13"/>
      <c r="S1056" s="15"/>
      <c r="T1056" s="16"/>
      <c r="U1056" s="16"/>
      <c r="V1056" s="16"/>
      <c r="W1056" s="16"/>
      <c r="X1056" s="16"/>
      <c r="Y1056" s="11"/>
      <c r="Z1056" s="11"/>
      <c r="AA1056" s="11"/>
      <c r="AB1056" s="11"/>
      <c r="AC1056" s="11"/>
      <c r="AD1056" s="11"/>
    </row>
    <row r="1057">
      <c r="A1057" s="10"/>
      <c r="B1057" s="10"/>
      <c r="C1057" s="10"/>
      <c r="D1057" s="10"/>
      <c r="E1057" s="10"/>
      <c r="F1057" s="11"/>
      <c r="G1057" s="11"/>
      <c r="H1057" s="11"/>
      <c r="I1057" s="11"/>
      <c r="J1057" s="11" t="str">
        <f>IFERROR(__xludf.DUMMYFUNCTION("iferror(if($B1057="""", ,filter(Playoff_Stats!F:Z,Playoff_Stats!A:A=$B1057,Playoff_Stats!B:B=$A1057)))"),"")</f>
        <v/>
      </c>
      <c r="K1057" s="11"/>
      <c r="L1057" s="12"/>
      <c r="M1057" s="11"/>
      <c r="N1057" s="11"/>
      <c r="O1057" s="13"/>
      <c r="P1057" s="14"/>
      <c r="Q1057" s="13"/>
      <c r="R1057" s="13"/>
      <c r="S1057" s="15"/>
      <c r="T1057" s="16"/>
      <c r="U1057" s="16"/>
      <c r="V1057" s="16"/>
      <c r="W1057" s="16"/>
      <c r="X1057" s="16"/>
      <c r="Y1057" s="11"/>
      <c r="Z1057" s="11"/>
      <c r="AA1057" s="11"/>
      <c r="AB1057" s="11"/>
      <c r="AC1057" s="11"/>
      <c r="AD1057" s="11"/>
    </row>
    <row r="1058">
      <c r="A1058" s="10"/>
      <c r="B1058" s="10"/>
      <c r="C1058" s="10"/>
      <c r="D1058" s="10"/>
      <c r="E1058" s="10"/>
      <c r="F1058" s="11"/>
      <c r="G1058" s="11"/>
      <c r="H1058" s="11"/>
      <c r="I1058" s="11"/>
      <c r="J1058" s="11" t="str">
        <f>IFERROR(__xludf.DUMMYFUNCTION("iferror(if($B1058="""", ,filter(Playoff_Stats!F:Z,Playoff_Stats!A:A=$B1058,Playoff_Stats!B:B=$A1058)))"),"")</f>
        <v/>
      </c>
      <c r="K1058" s="11"/>
      <c r="L1058" s="12"/>
      <c r="M1058" s="11"/>
      <c r="N1058" s="11"/>
      <c r="O1058" s="13"/>
      <c r="P1058" s="14"/>
      <c r="Q1058" s="13"/>
      <c r="R1058" s="13"/>
      <c r="S1058" s="15"/>
      <c r="T1058" s="16"/>
      <c r="U1058" s="16"/>
      <c r="V1058" s="16"/>
      <c r="W1058" s="16"/>
      <c r="X1058" s="16"/>
      <c r="Y1058" s="11"/>
      <c r="Z1058" s="11"/>
      <c r="AA1058" s="11"/>
      <c r="AB1058" s="11"/>
      <c r="AC1058" s="11"/>
      <c r="AD1058" s="11"/>
    </row>
    <row r="1059">
      <c r="A1059" s="10"/>
      <c r="B1059" s="10"/>
      <c r="C1059" s="10"/>
      <c r="D1059" s="10"/>
      <c r="E1059" s="10"/>
      <c r="F1059" s="11"/>
      <c r="G1059" s="11"/>
      <c r="H1059" s="11"/>
      <c r="I1059" s="11"/>
      <c r="J1059" s="11" t="str">
        <f>IFERROR(__xludf.DUMMYFUNCTION("iferror(if($B1059="""", ,filter(Playoff_Stats!F:Z,Playoff_Stats!A:A=$B1059,Playoff_Stats!B:B=$A1059)))"),"")</f>
        <v/>
      </c>
      <c r="K1059" s="11"/>
      <c r="L1059" s="12"/>
      <c r="M1059" s="11"/>
      <c r="N1059" s="11"/>
      <c r="O1059" s="13"/>
      <c r="P1059" s="14"/>
      <c r="Q1059" s="13"/>
      <c r="R1059" s="13"/>
      <c r="S1059" s="15"/>
      <c r="T1059" s="16"/>
      <c r="U1059" s="16"/>
      <c r="V1059" s="16"/>
      <c r="W1059" s="16"/>
      <c r="X1059" s="16"/>
      <c r="Y1059" s="11"/>
      <c r="Z1059" s="11"/>
      <c r="AA1059" s="11"/>
      <c r="AB1059" s="11"/>
      <c r="AC1059" s="11"/>
      <c r="AD1059" s="11"/>
    </row>
    <row r="1060">
      <c r="A1060" s="10"/>
      <c r="B1060" s="10"/>
      <c r="C1060" s="10"/>
      <c r="D1060" s="10"/>
      <c r="E1060" s="10"/>
      <c r="F1060" s="11"/>
      <c r="G1060" s="11"/>
      <c r="H1060" s="11"/>
      <c r="I1060" s="11"/>
      <c r="J1060" s="11" t="str">
        <f>IFERROR(__xludf.DUMMYFUNCTION("iferror(if($B1060="""", ,filter(Playoff_Stats!F:Z,Playoff_Stats!A:A=$B1060,Playoff_Stats!B:B=$A1060)))"),"")</f>
        <v/>
      </c>
      <c r="K1060" s="11"/>
      <c r="L1060" s="12"/>
      <c r="M1060" s="11"/>
      <c r="N1060" s="11"/>
      <c r="O1060" s="13"/>
      <c r="P1060" s="14"/>
      <c r="Q1060" s="13"/>
      <c r="R1060" s="13"/>
      <c r="S1060" s="15"/>
      <c r="T1060" s="16"/>
      <c r="U1060" s="16"/>
      <c r="V1060" s="16"/>
      <c r="W1060" s="16"/>
      <c r="X1060" s="16"/>
      <c r="Y1060" s="11"/>
      <c r="Z1060" s="11"/>
      <c r="AA1060" s="11"/>
      <c r="AB1060" s="11"/>
      <c r="AC1060" s="11"/>
      <c r="AD1060" s="11"/>
    </row>
    <row r="1061">
      <c r="A1061" s="10"/>
      <c r="B1061" s="10"/>
      <c r="C1061" s="10"/>
      <c r="D1061" s="10"/>
      <c r="E1061" s="10"/>
      <c r="F1061" s="11"/>
      <c r="G1061" s="11"/>
      <c r="H1061" s="11"/>
      <c r="I1061" s="11"/>
      <c r="J1061" s="11" t="str">
        <f>IFERROR(__xludf.DUMMYFUNCTION("iferror(if($B1061="""", ,filter(Playoff_Stats!F:Z,Playoff_Stats!A:A=$B1061,Playoff_Stats!B:B=$A1061)))"),"")</f>
        <v/>
      </c>
      <c r="K1061" s="11"/>
      <c r="L1061" s="12"/>
      <c r="M1061" s="11"/>
      <c r="N1061" s="11"/>
      <c r="O1061" s="13"/>
      <c r="P1061" s="14"/>
      <c r="Q1061" s="13"/>
      <c r="R1061" s="13"/>
      <c r="S1061" s="15"/>
      <c r="T1061" s="16"/>
      <c r="U1061" s="16"/>
      <c r="V1061" s="16"/>
      <c r="W1061" s="16"/>
      <c r="X1061" s="16"/>
      <c r="Y1061" s="11"/>
      <c r="Z1061" s="11"/>
      <c r="AA1061" s="11"/>
      <c r="AB1061" s="11"/>
      <c r="AC1061" s="11"/>
      <c r="AD1061" s="11"/>
    </row>
    <row r="1062">
      <c r="A1062" s="10"/>
      <c r="B1062" s="10"/>
      <c r="C1062" s="10"/>
      <c r="D1062" s="10"/>
      <c r="E1062" s="10"/>
      <c r="F1062" s="11"/>
      <c r="G1062" s="11"/>
      <c r="H1062" s="11"/>
      <c r="I1062" s="11"/>
      <c r="J1062" s="11" t="str">
        <f>IFERROR(__xludf.DUMMYFUNCTION("iferror(if($B1062="""", ,filter(Playoff_Stats!F:Z,Playoff_Stats!A:A=$B1062,Playoff_Stats!B:B=$A1062)))"),"")</f>
        <v/>
      </c>
      <c r="K1062" s="11"/>
      <c r="L1062" s="12"/>
      <c r="M1062" s="11"/>
      <c r="N1062" s="11"/>
      <c r="O1062" s="13"/>
      <c r="P1062" s="14"/>
      <c r="Q1062" s="13"/>
      <c r="R1062" s="13"/>
      <c r="S1062" s="15"/>
      <c r="T1062" s="16"/>
      <c r="U1062" s="16"/>
      <c r="V1062" s="16"/>
      <c r="W1062" s="16"/>
      <c r="X1062" s="16"/>
      <c r="Y1062" s="11"/>
      <c r="Z1062" s="11"/>
      <c r="AA1062" s="11"/>
      <c r="AB1062" s="11"/>
      <c r="AC1062" s="11"/>
      <c r="AD1062" s="11"/>
    </row>
    <row r="1063">
      <c r="A1063" s="10"/>
      <c r="B1063" s="10"/>
      <c r="C1063" s="10"/>
      <c r="D1063" s="10"/>
      <c r="E1063" s="10"/>
      <c r="F1063" s="11"/>
      <c r="G1063" s="11"/>
      <c r="H1063" s="11"/>
      <c r="I1063" s="11"/>
      <c r="J1063" s="11" t="str">
        <f>IFERROR(__xludf.DUMMYFUNCTION("iferror(if($B1063="""", ,filter(Playoff_Stats!F:Z,Playoff_Stats!A:A=$B1063,Playoff_Stats!B:B=$A1063)))"),"")</f>
        <v/>
      </c>
      <c r="K1063" s="11"/>
      <c r="L1063" s="12"/>
      <c r="M1063" s="11"/>
      <c r="N1063" s="11"/>
      <c r="O1063" s="13"/>
      <c r="P1063" s="14"/>
      <c r="Q1063" s="13"/>
      <c r="R1063" s="13"/>
      <c r="S1063" s="15"/>
      <c r="T1063" s="16"/>
      <c r="U1063" s="16"/>
      <c r="V1063" s="16"/>
      <c r="W1063" s="16"/>
      <c r="X1063" s="16"/>
      <c r="Y1063" s="11"/>
      <c r="Z1063" s="11"/>
      <c r="AA1063" s="11"/>
      <c r="AB1063" s="11"/>
      <c r="AC1063" s="11"/>
      <c r="AD1063" s="11"/>
    </row>
    <row r="1064">
      <c r="A1064" s="10"/>
      <c r="B1064" s="10"/>
      <c r="C1064" s="10"/>
      <c r="D1064" s="10"/>
      <c r="E1064" s="10"/>
      <c r="F1064" s="11"/>
      <c r="G1064" s="11"/>
      <c r="H1064" s="11"/>
      <c r="I1064" s="11"/>
      <c r="J1064" s="11" t="str">
        <f>IFERROR(__xludf.DUMMYFUNCTION("iferror(if($B1064="""", ,filter(Playoff_Stats!F:Z,Playoff_Stats!A:A=$B1064,Playoff_Stats!B:B=$A1064)))"),"")</f>
        <v/>
      </c>
      <c r="K1064" s="11"/>
      <c r="L1064" s="12"/>
      <c r="M1064" s="11"/>
      <c r="N1064" s="11"/>
      <c r="O1064" s="13"/>
      <c r="P1064" s="14"/>
      <c r="Q1064" s="13"/>
      <c r="R1064" s="13"/>
      <c r="S1064" s="15"/>
      <c r="T1064" s="16"/>
      <c r="U1064" s="16"/>
      <c r="V1064" s="16"/>
      <c r="W1064" s="16"/>
      <c r="X1064" s="16"/>
      <c r="Y1064" s="11"/>
      <c r="Z1064" s="11"/>
      <c r="AA1064" s="11"/>
      <c r="AB1064" s="11"/>
      <c r="AC1064" s="11"/>
      <c r="AD1064" s="11"/>
    </row>
    <row r="1065">
      <c r="A1065" s="10"/>
      <c r="B1065" s="10"/>
      <c r="C1065" s="10"/>
      <c r="D1065" s="10"/>
      <c r="E1065" s="10"/>
      <c r="F1065" s="11"/>
      <c r="G1065" s="11"/>
      <c r="H1065" s="11"/>
      <c r="I1065" s="11"/>
      <c r="J1065" s="11" t="str">
        <f>IFERROR(__xludf.DUMMYFUNCTION("iferror(if($B1065="""", ,filter(Playoff_Stats!F:Z,Playoff_Stats!A:A=$B1065,Playoff_Stats!B:B=$A1065)))"),"")</f>
        <v/>
      </c>
      <c r="K1065" s="11"/>
      <c r="L1065" s="12"/>
      <c r="M1065" s="11"/>
      <c r="N1065" s="11"/>
      <c r="O1065" s="13"/>
      <c r="P1065" s="14"/>
      <c r="Q1065" s="13"/>
      <c r="R1065" s="13"/>
      <c r="S1065" s="15"/>
      <c r="T1065" s="16"/>
      <c r="U1065" s="16"/>
      <c r="V1065" s="16"/>
      <c r="W1065" s="16"/>
      <c r="X1065" s="16"/>
      <c r="Y1065" s="11"/>
      <c r="Z1065" s="11"/>
      <c r="AA1065" s="11"/>
      <c r="AB1065" s="11"/>
      <c r="AC1065" s="11"/>
      <c r="AD1065" s="11"/>
    </row>
    <row r="1066">
      <c r="A1066" s="10"/>
      <c r="B1066" s="10"/>
      <c r="C1066" s="10"/>
      <c r="D1066" s="10"/>
      <c r="E1066" s="10"/>
      <c r="F1066" s="11"/>
      <c r="G1066" s="11"/>
      <c r="H1066" s="11"/>
      <c r="I1066" s="11"/>
      <c r="J1066" s="11" t="str">
        <f>IFERROR(__xludf.DUMMYFUNCTION("iferror(if($B1066="""", ,filter(Playoff_Stats!F:Z,Playoff_Stats!A:A=$B1066,Playoff_Stats!B:B=$A1066)))"),"")</f>
        <v/>
      </c>
      <c r="K1066" s="11"/>
      <c r="L1066" s="12"/>
      <c r="M1066" s="11"/>
      <c r="N1066" s="11"/>
      <c r="O1066" s="13"/>
      <c r="P1066" s="14"/>
      <c r="Q1066" s="13"/>
      <c r="R1066" s="13"/>
      <c r="S1066" s="15"/>
      <c r="T1066" s="16"/>
      <c r="U1066" s="16"/>
      <c r="V1066" s="16"/>
      <c r="W1066" s="16"/>
      <c r="X1066" s="16"/>
      <c r="Y1066" s="11"/>
      <c r="Z1066" s="11"/>
      <c r="AA1066" s="11"/>
      <c r="AB1066" s="11"/>
      <c r="AC1066" s="11"/>
      <c r="AD1066" s="11"/>
    </row>
    <row r="1067">
      <c r="A1067" s="10"/>
      <c r="B1067" s="10"/>
      <c r="C1067" s="10"/>
      <c r="D1067" s="10"/>
      <c r="E1067" s="10"/>
      <c r="F1067" s="11"/>
      <c r="G1067" s="11"/>
      <c r="H1067" s="11"/>
      <c r="I1067" s="11"/>
      <c r="J1067" s="11" t="str">
        <f>IFERROR(__xludf.DUMMYFUNCTION("iferror(if($B1067="""", ,filter(Playoff_Stats!F:Z,Playoff_Stats!A:A=$B1067,Playoff_Stats!B:B=$A1067)))"),"")</f>
        <v/>
      </c>
      <c r="K1067" s="11"/>
      <c r="L1067" s="12"/>
      <c r="M1067" s="11"/>
      <c r="N1067" s="11"/>
      <c r="O1067" s="13"/>
      <c r="P1067" s="14"/>
      <c r="Q1067" s="13"/>
      <c r="R1067" s="13"/>
      <c r="S1067" s="15"/>
      <c r="T1067" s="16"/>
      <c r="U1067" s="16"/>
      <c r="V1067" s="16"/>
      <c r="W1067" s="16"/>
      <c r="X1067" s="16"/>
      <c r="Y1067" s="11"/>
      <c r="Z1067" s="11"/>
      <c r="AA1067" s="11"/>
      <c r="AB1067" s="11"/>
      <c r="AC1067" s="11"/>
      <c r="AD1067" s="11"/>
    </row>
    <row r="1068">
      <c r="A1068" s="10"/>
      <c r="B1068" s="10"/>
      <c r="C1068" s="10"/>
      <c r="D1068" s="10"/>
      <c r="E1068" s="10"/>
      <c r="F1068" s="11"/>
      <c r="G1068" s="11"/>
      <c r="H1068" s="11"/>
      <c r="I1068" s="11"/>
      <c r="J1068" s="11" t="str">
        <f>IFERROR(__xludf.DUMMYFUNCTION("iferror(if($B1068="""", ,filter(Playoff_Stats!F:Z,Playoff_Stats!A:A=$B1068,Playoff_Stats!B:B=$A1068)))"),"")</f>
        <v/>
      </c>
      <c r="K1068" s="11"/>
      <c r="L1068" s="12"/>
      <c r="M1068" s="11"/>
      <c r="N1068" s="11"/>
      <c r="O1068" s="13"/>
      <c r="P1068" s="14"/>
      <c r="Q1068" s="13"/>
      <c r="R1068" s="13"/>
      <c r="S1068" s="15"/>
      <c r="T1068" s="16"/>
      <c r="U1068" s="16"/>
      <c r="V1068" s="16"/>
      <c r="W1068" s="16"/>
      <c r="X1068" s="16"/>
      <c r="Y1068" s="11"/>
      <c r="Z1068" s="11"/>
      <c r="AA1068" s="11"/>
      <c r="AB1068" s="11"/>
      <c r="AC1068" s="11"/>
      <c r="AD1068" s="11"/>
    </row>
    <row r="1069">
      <c r="A1069" s="10"/>
      <c r="B1069" s="10"/>
      <c r="C1069" s="10"/>
      <c r="D1069" s="10"/>
      <c r="E1069" s="10"/>
      <c r="F1069" s="11"/>
      <c r="G1069" s="11"/>
      <c r="H1069" s="11"/>
      <c r="I1069" s="11"/>
      <c r="J1069" s="11" t="str">
        <f>IFERROR(__xludf.DUMMYFUNCTION("iferror(if($B1069="""", ,filter(Playoff_Stats!F:Z,Playoff_Stats!A:A=$B1069,Playoff_Stats!B:B=$A1069)))"),"")</f>
        <v/>
      </c>
      <c r="K1069" s="11"/>
      <c r="L1069" s="12"/>
      <c r="M1069" s="11"/>
      <c r="N1069" s="11"/>
      <c r="O1069" s="13"/>
      <c r="P1069" s="14"/>
      <c r="Q1069" s="13"/>
      <c r="R1069" s="13"/>
      <c r="S1069" s="15"/>
      <c r="T1069" s="16"/>
      <c r="U1069" s="16"/>
      <c r="V1069" s="16"/>
      <c r="W1069" s="16"/>
      <c r="X1069" s="16"/>
      <c r="Y1069" s="11"/>
      <c r="Z1069" s="11"/>
      <c r="AA1069" s="11"/>
      <c r="AB1069" s="11"/>
      <c r="AC1069" s="11"/>
      <c r="AD1069" s="11"/>
    </row>
    <row r="1070">
      <c r="A1070" s="10"/>
      <c r="B1070" s="10"/>
      <c r="C1070" s="10"/>
      <c r="D1070" s="10"/>
      <c r="E1070" s="10"/>
      <c r="F1070" s="11"/>
      <c r="G1070" s="11"/>
      <c r="H1070" s="11"/>
      <c r="I1070" s="11"/>
      <c r="J1070" s="11" t="str">
        <f>IFERROR(__xludf.DUMMYFUNCTION("iferror(if($B1070="""", ,filter(Playoff_Stats!F:Z,Playoff_Stats!A:A=$B1070,Playoff_Stats!B:B=$A1070)))"),"")</f>
        <v/>
      </c>
      <c r="K1070" s="11"/>
      <c r="L1070" s="12"/>
      <c r="M1070" s="11"/>
      <c r="N1070" s="11"/>
      <c r="O1070" s="13"/>
      <c r="P1070" s="14"/>
      <c r="Q1070" s="13"/>
      <c r="R1070" s="13"/>
      <c r="S1070" s="15"/>
      <c r="T1070" s="16"/>
      <c r="U1070" s="16"/>
      <c r="V1070" s="16"/>
      <c r="W1070" s="16"/>
      <c r="X1070" s="16"/>
      <c r="Y1070" s="11"/>
      <c r="Z1070" s="11"/>
      <c r="AA1070" s="11"/>
      <c r="AB1070" s="11"/>
      <c r="AC1070" s="11"/>
      <c r="AD1070" s="11"/>
    </row>
    <row r="1071">
      <c r="A1071" s="10"/>
      <c r="B1071" s="10"/>
      <c r="C1071" s="10"/>
      <c r="D1071" s="10"/>
      <c r="E1071" s="10"/>
      <c r="F1071" s="11"/>
      <c r="G1071" s="11"/>
      <c r="H1071" s="11"/>
      <c r="I1071" s="11"/>
      <c r="J1071" s="11" t="str">
        <f>IFERROR(__xludf.DUMMYFUNCTION("iferror(if($B1071="""", ,filter(Playoff_Stats!F:Z,Playoff_Stats!A:A=$B1071,Playoff_Stats!B:B=$A1071)))"),"")</f>
        <v/>
      </c>
      <c r="K1071" s="11"/>
      <c r="L1071" s="12"/>
      <c r="M1071" s="11"/>
      <c r="N1071" s="11"/>
      <c r="O1071" s="13"/>
      <c r="P1071" s="14"/>
      <c r="Q1071" s="13"/>
      <c r="R1071" s="13"/>
      <c r="S1071" s="15"/>
      <c r="T1071" s="16"/>
      <c r="U1071" s="16"/>
      <c r="V1071" s="16"/>
      <c r="W1071" s="16"/>
      <c r="X1071" s="16"/>
      <c r="Y1071" s="11"/>
      <c r="Z1071" s="11"/>
      <c r="AA1071" s="11"/>
      <c r="AB1071" s="11"/>
      <c r="AC1071" s="11"/>
      <c r="AD1071" s="11"/>
    </row>
    <row r="1072">
      <c r="A1072" s="10"/>
      <c r="B1072" s="10"/>
      <c r="C1072" s="10"/>
      <c r="D1072" s="10"/>
      <c r="E1072" s="10"/>
      <c r="F1072" s="11"/>
      <c r="G1072" s="11"/>
      <c r="H1072" s="11"/>
      <c r="I1072" s="11"/>
      <c r="J1072" s="11" t="str">
        <f>IFERROR(__xludf.DUMMYFUNCTION("iferror(if($B1072="""", ,filter(Playoff_Stats!F:Z,Playoff_Stats!A:A=$B1072,Playoff_Stats!B:B=$A1072)))"),"")</f>
        <v/>
      </c>
      <c r="K1072" s="11"/>
      <c r="L1072" s="12"/>
      <c r="M1072" s="11"/>
      <c r="N1072" s="11"/>
      <c r="O1072" s="13"/>
      <c r="P1072" s="14"/>
      <c r="Q1072" s="13"/>
      <c r="R1072" s="13"/>
      <c r="S1072" s="15"/>
      <c r="T1072" s="16"/>
      <c r="U1072" s="16"/>
      <c r="V1072" s="16"/>
      <c r="W1072" s="16"/>
      <c r="X1072" s="16"/>
      <c r="Y1072" s="11"/>
      <c r="Z1072" s="11"/>
      <c r="AA1072" s="11"/>
      <c r="AB1072" s="11"/>
      <c r="AC1072" s="11"/>
      <c r="AD1072" s="11"/>
    </row>
    <row r="1073">
      <c r="A1073" s="10"/>
      <c r="B1073" s="10"/>
      <c r="C1073" s="10"/>
      <c r="D1073" s="10"/>
      <c r="E1073" s="10"/>
      <c r="F1073" s="11"/>
      <c r="G1073" s="11"/>
      <c r="H1073" s="11"/>
      <c r="I1073" s="11"/>
      <c r="J1073" s="11" t="str">
        <f>IFERROR(__xludf.DUMMYFUNCTION("iferror(if($B1073="""", ,filter(Playoff_Stats!F:Z,Playoff_Stats!A:A=$B1073,Playoff_Stats!B:B=$A1073)))"),"")</f>
        <v/>
      </c>
      <c r="K1073" s="11"/>
      <c r="L1073" s="12"/>
      <c r="M1073" s="11"/>
      <c r="N1073" s="11"/>
      <c r="O1073" s="13"/>
      <c r="P1073" s="14"/>
      <c r="Q1073" s="13"/>
      <c r="R1073" s="13"/>
      <c r="S1073" s="15"/>
      <c r="T1073" s="16"/>
      <c r="U1073" s="16"/>
      <c r="V1073" s="16"/>
      <c r="W1073" s="16"/>
      <c r="X1073" s="16"/>
      <c r="Y1073" s="11"/>
      <c r="Z1073" s="11"/>
      <c r="AA1073" s="11"/>
      <c r="AB1073" s="11"/>
      <c r="AC1073" s="11"/>
      <c r="AD1073" s="11"/>
    </row>
    <row r="1074">
      <c r="A1074" s="10"/>
      <c r="B1074" s="10"/>
      <c r="C1074" s="10"/>
      <c r="D1074" s="10"/>
      <c r="E1074" s="10"/>
      <c r="F1074" s="11"/>
      <c r="G1074" s="11"/>
      <c r="H1074" s="11"/>
      <c r="I1074" s="11"/>
      <c r="J1074" s="11" t="str">
        <f>IFERROR(__xludf.DUMMYFUNCTION("iferror(if($B1074="""", ,filter(Playoff_Stats!F:Z,Playoff_Stats!A:A=$B1074,Playoff_Stats!B:B=$A1074)))"),"")</f>
        <v/>
      </c>
      <c r="K1074" s="11"/>
      <c r="L1074" s="12"/>
      <c r="M1074" s="11"/>
      <c r="N1074" s="11"/>
      <c r="O1074" s="13"/>
      <c r="P1074" s="14"/>
      <c r="Q1074" s="13"/>
      <c r="R1074" s="13"/>
      <c r="S1074" s="15"/>
      <c r="T1074" s="16"/>
      <c r="U1074" s="16"/>
      <c r="V1074" s="16"/>
      <c r="W1074" s="16"/>
      <c r="X1074" s="16"/>
      <c r="Y1074" s="11"/>
      <c r="Z1074" s="11"/>
      <c r="AA1074" s="11"/>
      <c r="AB1074" s="11"/>
      <c r="AC1074" s="11"/>
      <c r="AD1074" s="11"/>
    </row>
    <row r="1075">
      <c r="A1075" s="10"/>
      <c r="B1075" s="10"/>
      <c r="C1075" s="10"/>
      <c r="D1075" s="10"/>
      <c r="E1075" s="10"/>
      <c r="F1075" s="11"/>
      <c r="G1075" s="11"/>
      <c r="H1075" s="11"/>
      <c r="I1075" s="11"/>
      <c r="J1075" s="11" t="str">
        <f>IFERROR(__xludf.DUMMYFUNCTION("iferror(if($B1075="""", ,filter(Playoff_Stats!F:Z,Playoff_Stats!A:A=$B1075,Playoff_Stats!B:B=$A1075)))"),"")</f>
        <v/>
      </c>
      <c r="K1075" s="11"/>
      <c r="L1075" s="12"/>
      <c r="M1075" s="11"/>
      <c r="N1075" s="11"/>
      <c r="O1075" s="13"/>
      <c r="P1075" s="14"/>
      <c r="Q1075" s="13"/>
      <c r="R1075" s="13"/>
      <c r="S1075" s="15"/>
      <c r="T1075" s="16"/>
      <c r="U1075" s="16"/>
      <c r="V1075" s="16"/>
      <c r="W1075" s="16"/>
      <c r="X1075" s="16"/>
      <c r="Y1075" s="11"/>
      <c r="Z1075" s="11"/>
      <c r="AA1075" s="11"/>
      <c r="AB1075" s="11"/>
      <c r="AC1075" s="11"/>
      <c r="AD1075" s="11"/>
    </row>
    <row r="1076">
      <c r="A1076" s="10"/>
      <c r="B1076" s="10"/>
      <c r="C1076" s="10"/>
      <c r="D1076" s="10"/>
      <c r="E1076" s="10"/>
      <c r="F1076" s="11"/>
      <c r="G1076" s="11"/>
      <c r="H1076" s="11"/>
      <c r="I1076" s="11"/>
      <c r="J1076" s="11" t="str">
        <f>IFERROR(__xludf.DUMMYFUNCTION("iferror(if($B1076="""", ,filter(Playoff_Stats!F:Z,Playoff_Stats!A:A=$B1076,Playoff_Stats!B:B=$A1076)))"),"")</f>
        <v/>
      </c>
      <c r="K1076" s="11"/>
      <c r="L1076" s="12"/>
      <c r="M1076" s="11"/>
      <c r="N1076" s="11"/>
      <c r="O1076" s="13"/>
      <c r="P1076" s="14"/>
      <c r="Q1076" s="13"/>
      <c r="R1076" s="13"/>
      <c r="S1076" s="15"/>
      <c r="T1076" s="16"/>
      <c r="U1076" s="16"/>
      <c r="V1076" s="16"/>
      <c r="W1076" s="16"/>
      <c r="X1076" s="16"/>
      <c r="Y1076" s="11"/>
      <c r="Z1076" s="11"/>
      <c r="AA1076" s="11"/>
      <c r="AB1076" s="11"/>
      <c r="AC1076" s="11"/>
      <c r="AD1076" s="11"/>
    </row>
    <row r="1077">
      <c r="A1077" s="10"/>
      <c r="B1077" s="10"/>
      <c r="C1077" s="10"/>
      <c r="D1077" s="10"/>
      <c r="E1077" s="10"/>
      <c r="F1077" s="11"/>
      <c r="G1077" s="11"/>
      <c r="H1077" s="11"/>
      <c r="I1077" s="11"/>
      <c r="J1077" s="11" t="str">
        <f>IFERROR(__xludf.DUMMYFUNCTION("iferror(if($B1077="""", ,filter(Playoff_Stats!F:Z,Playoff_Stats!A:A=$B1077,Playoff_Stats!B:B=$A1077)))"),"")</f>
        <v/>
      </c>
      <c r="K1077" s="11"/>
      <c r="L1077" s="12"/>
      <c r="M1077" s="11"/>
      <c r="N1077" s="11"/>
      <c r="O1077" s="13"/>
      <c r="P1077" s="14"/>
      <c r="Q1077" s="13"/>
      <c r="R1077" s="13"/>
      <c r="S1077" s="15"/>
      <c r="T1077" s="16"/>
      <c r="U1077" s="16"/>
      <c r="V1077" s="16"/>
      <c r="W1077" s="16"/>
      <c r="X1077" s="16"/>
      <c r="Y1077" s="11"/>
      <c r="Z1077" s="11"/>
      <c r="AA1077" s="11"/>
      <c r="AB1077" s="11"/>
      <c r="AC1077" s="11"/>
      <c r="AD1077" s="11"/>
    </row>
    <row r="1078">
      <c r="A1078" s="10"/>
      <c r="B1078" s="10"/>
      <c r="C1078" s="10"/>
      <c r="D1078" s="10"/>
      <c r="E1078" s="10"/>
      <c r="F1078" s="11"/>
      <c r="G1078" s="11"/>
      <c r="H1078" s="11"/>
      <c r="I1078" s="11"/>
      <c r="J1078" s="11" t="str">
        <f>IFERROR(__xludf.DUMMYFUNCTION("iferror(if($B1078="""", ,filter(Playoff_Stats!F:Z,Playoff_Stats!A:A=$B1078,Playoff_Stats!B:B=$A1078)))"),"")</f>
        <v/>
      </c>
      <c r="K1078" s="11"/>
      <c r="L1078" s="12"/>
      <c r="M1078" s="11"/>
      <c r="N1078" s="11"/>
      <c r="O1078" s="13"/>
      <c r="P1078" s="14"/>
      <c r="Q1078" s="13"/>
      <c r="R1078" s="13"/>
      <c r="S1078" s="15"/>
      <c r="T1078" s="16"/>
      <c r="U1078" s="16"/>
      <c r="V1078" s="16"/>
      <c r="W1078" s="16"/>
      <c r="X1078" s="16"/>
      <c r="Y1078" s="11"/>
      <c r="Z1078" s="11"/>
      <c r="AA1078" s="11"/>
      <c r="AB1078" s="11"/>
      <c r="AC1078" s="11"/>
      <c r="AD1078" s="11"/>
    </row>
    <row r="1079">
      <c r="A1079" s="10"/>
      <c r="B1079" s="10"/>
      <c r="C1079" s="10"/>
      <c r="D1079" s="10"/>
      <c r="E1079" s="10"/>
      <c r="F1079" s="11"/>
      <c r="G1079" s="11"/>
      <c r="H1079" s="11"/>
      <c r="I1079" s="11"/>
      <c r="J1079" s="11" t="str">
        <f>IFERROR(__xludf.DUMMYFUNCTION("iferror(if($B1079="""", ,filter(Playoff_Stats!F:Z,Playoff_Stats!A:A=$B1079,Playoff_Stats!B:B=$A1079)))"),"")</f>
        <v/>
      </c>
      <c r="K1079" s="11"/>
      <c r="L1079" s="12"/>
      <c r="M1079" s="11"/>
      <c r="N1079" s="11"/>
      <c r="O1079" s="13"/>
      <c r="P1079" s="14"/>
      <c r="Q1079" s="13"/>
      <c r="R1079" s="13"/>
      <c r="S1079" s="15"/>
      <c r="T1079" s="16"/>
      <c r="U1079" s="16"/>
      <c r="V1079" s="16"/>
      <c r="W1079" s="16"/>
      <c r="X1079" s="16"/>
      <c r="Y1079" s="11"/>
      <c r="Z1079" s="11"/>
      <c r="AA1079" s="11"/>
      <c r="AB1079" s="11"/>
      <c r="AC1079" s="11"/>
      <c r="AD1079" s="11"/>
    </row>
    <row r="1080">
      <c r="A1080" s="10"/>
      <c r="B1080" s="10"/>
      <c r="C1080" s="10"/>
      <c r="D1080" s="10"/>
      <c r="E1080" s="10"/>
      <c r="F1080" s="11"/>
      <c r="G1080" s="11"/>
      <c r="H1080" s="11"/>
      <c r="I1080" s="11"/>
      <c r="J1080" s="11" t="str">
        <f>IFERROR(__xludf.DUMMYFUNCTION("iferror(if($B1080="""", ,filter(Playoff_Stats!F:Z,Playoff_Stats!A:A=$B1080,Playoff_Stats!B:B=$A1080)))"),"")</f>
        <v/>
      </c>
      <c r="K1080" s="11"/>
      <c r="L1080" s="12"/>
      <c r="M1080" s="11"/>
      <c r="N1080" s="11"/>
      <c r="O1080" s="13"/>
      <c r="P1080" s="14"/>
      <c r="Q1080" s="13"/>
      <c r="R1080" s="13"/>
      <c r="S1080" s="15"/>
      <c r="T1080" s="16"/>
      <c r="U1080" s="16"/>
      <c r="V1080" s="16"/>
      <c r="W1080" s="16"/>
      <c r="X1080" s="16"/>
      <c r="Y1080" s="11"/>
      <c r="Z1080" s="11"/>
      <c r="AA1080" s="11"/>
      <c r="AB1080" s="11"/>
      <c r="AC1080" s="11"/>
      <c r="AD1080" s="11"/>
    </row>
    <row r="1081">
      <c r="A1081" s="10"/>
      <c r="B1081" s="10"/>
      <c r="C1081" s="10"/>
      <c r="D1081" s="10"/>
      <c r="E1081" s="10"/>
      <c r="F1081" s="11"/>
      <c r="G1081" s="11"/>
      <c r="H1081" s="11"/>
      <c r="I1081" s="11"/>
      <c r="J1081" s="11" t="str">
        <f>IFERROR(__xludf.DUMMYFUNCTION("iferror(if($B1081="""", ,filter(Playoff_Stats!F:Z,Playoff_Stats!A:A=$B1081,Playoff_Stats!B:B=$A1081)))"),"")</f>
        <v/>
      </c>
      <c r="K1081" s="11"/>
      <c r="L1081" s="12"/>
      <c r="M1081" s="11"/>
      <c r="N1081" s="11"/>
      <c r="O1081" s="13"/>
      <c r="P1081" s="14"/>
      <c r="Q1081" s="13"/>
      <c r="R1081" s="13"/>
      <c r="S1081" s="15"/>
      <c r="T1081" s="16"/>
      <c r="U1081" s="16"/>
      <c r="V1081" s="16"/>
      <c r="W1081" s="16"/>
      <c r="X1081" s="16"/>
      <c r="Y1081" s="11"/>
      <c r="Z1081" s="11"/>
      <c r="AA1081" s="11"/>
      <c r="AB1081" s="11"/>
      <c r="AC1081" s="11"/>
      <c r="AD1081" s="11"/>
    </row>
    <row r="1082">
      <c r="A1082" s="10"/>
      <c r="B1082" s="10"/>
      <c r="C1082" s="10"/>
      <c r="D1082" s="10"/>
      <c r="E1082" s="10"/>
      <c r="F1082" s="11"/>
      <c r="G1082" s="11"/>
      <c r="H1082" s="11"/>
      <c r="I1082" s="11"/>
      <c r="J1082" s="11" t="str">
        <f>IFERROR(__xludf.DUMMYFUNCTION("iferror(if($B1082="""", ,filter(Playoff_Stats!F:Z,Playoff_Stats!A:A=$B1082,Playoff_Stats!B:B=$A1082)))"),"")</f>
        <v/>
      </c>
      <c r="K1082" s="11"/>
      <c r="L1082" s="12"/>
      <c r="M1082" s="11"/>
      <c r="N1082" s="11"/>
      <c r="O1082" s="13"/>
      <c r="P1082" s="14"/>
      <c r="Q1082" s="13"/>
      <c r="R1082" s="13"/>
      <c r="S1082" s="15"/>
      <c r="T1082" s="16"/>
      <c r="U1082" s="16"/>
      <c r="V1082" s="16"/>
      <c r="W1082" s="16"/>
      <c r="X1082" s="16"/>
      <c r="Y1082" s="11"/>
      <c r="Z1082" s="11"/>
      <c r="AA1082" s="11"/>
      <c r="AB1082" s="11"/>
      <c r="AC1082" s="11"/>
      <c r="AD1082" s="11"/>
    </row>
    <row r="1083">
      <c r="A1083" s="10"/>
      <c r="B1083" s="10"/>
      <c r="C1083" s="10"/>
      <c r="D1083" s="10"/>
      <c r="E1083" s="10"/>
      <c r="F1083" s="11"/>
      <c r="G1083" s="11"/>
      <c r="H1083" s="11"/>
      <c r="I1083" s="11"/>
      <c r="J1083" s="11" t="str">
        <f>IFERROR(__xludf.DUMMYFUNCTION("iferror(if($B1083="""", ,filter(Playoff_Stats!F:Z,Playoff_Stats!A:A=$B1083,Playoff_Stats!B:B=$A1083)))"),"")</f>
        <v/>
      </c>
      <c r="K1083" s="11"/>
      <c r="L1083" s="12"/>
      <c r="M1083" s="11"/>
      <c r="N1083" s="11"/>
      <c r="O1083" s="13"/>
      <c r="P1083" s="14"/>
      <c r="Q1083" s="13"/>
      <c r="R1083" s="13"/>
      <c r="S1083" s="15"/>
      <c r="T1083" s="16"/>
      <c r="U1083" s="16"/>
      <c r="V1083" s="16"/>
      <c r="W1083" s="16"/>
      <c r="X1083" s="16"/>
      <c r="Y1083" s="11"/>
      <c r="Z1083" s="11"/>
      <c r="AA1083" s="11"/>
      <c r="AB1083" s="11"/>
      <c r="AC1083" s="11"/>
      <c r="AD1083" s="11"/>
    </row>
    <row r="1084">
      <c r="A1084" s="10"/>
      <c r="B1084" s="10"/>
      <c r="C1084" s="10"/>
      <c r="D1084" s="10"/>
      <c r="E1084" s="10"/>
      <c r="F1084" s="11"/>
      <c r="G1084" s="11"/>
      <c r="H1084" s="11"/>
      <c r="I1084" s="11"/>
      <c r="J1084" s="11" t="str">
        <f>IFERROR(__xludf.DUMMYFUNCTION("iferror(if($B1084="""", ,filter(Playoff_Stats!F:Z,Playoff_Stats!A:A=$B1084,Playoff_Stats!B:B=$A1084)))"),"")</f>
        <v/>
      </c>
      <c r="K1084" s="11"/>
      <c r="L1084" s="12"/>
      <c r="M1084" s="11"/>
      <c r="N1084" s="11"/>
      <c r="O1084" s="13"/>
      <c r="P1084" s="14"/>
      <c r="Q1084" s="13"/>
      <c r="R1084" s="13"/>
      <c r="S1084" s="15"/>
      <c r="T1084" s="16"/>
      <c r="U1084" s="16"/>
      <c r="V1084" s="16"/>
      <c r="W1084" s="16"/>
      <c r="X1084" s="16"/>
      <c r="Y1084" s="11"/>
      <c r="Z1084" s="11"/>
      <c r="AA1084" s="11"/>
      <c r="AB1084" s="11"/>
      <c r="AC1084" s="11"/>
      <c r="AD1084" s="11"/>
    </row>
    <row r="1085">
      <c r="A1085" s="10"/>
      <c r="B1085" s="10"/>
      <c r="C1085" s="10"/>
      <c r="D1085" s="10"/>
      <c r="E1085" s="10"/>
      <c r="F1085" s="11"/>
      <c r="G1085" s="11"/>
      <c r="H1085" s="11"/>
      <c r="I1085" s="11"/>
      <c r="J1085" s="11" t="str">
        <f>IFERROR(__xludf.DUMMYFUNCTION("iferror(if($B1085="""", ,filter(Playoff_Stats!F:Z,Playoff_Stats!A:A=$B1085,Playoff_Stats!B:B=$A1085)))"),"")</f>
        <v/>
      </c>
      <c r="K1085" s="11"/>
      <c r="L1085" s="12"/>
      <c r="M1085" s="11"/>
      <c r="N1085" s="11"/>
      <c r="O1085" s="13"/>
      <c r="P1085" s="14"/>
      <c r="Q1085" s="13"/>
      <c r="R1085" s="13"/>
      <c r="S1085" s="15"/>
      <c r="T1085" s="16"/>
      <c r="U1085" s="16"/>
      <c r="V1085" s="16"/>
      <c r="W1085" s="16"/>
      <c r="X1085" s="16"/>
      <c r="Y1085" s="11"/>
      <c r="Z1085" s="11"/>
      <c r="AA1085" s="11"/>
      <c r="AB1085" s="11"/>
      <c r="AC1085" s="11"/>
      <c r="AD1085" s="11"/>
    </row>
    <row r="1086">
      <c r="A1086" s="10"/>
      <c r="B1086" s="10"/>
      <c r="C1086" s="10"/>
      <c r="D1086" s="10"/>
      <c r="E1086" s="10"/>
      <c r="F1086" s="11"/>
      <c r="G1086" s="11"/>
      <c r="H1086" s="11"/>
      <c r="I1086" s="11"/>
      <c r="J1086" s="11" t="str">
        <f>IFERROR(__xludf.DUMMYFUNCTION("iferror(if($B1086="""", ,filter(Playoff_Stats!F:Z,Playoff_Stats!A:A=$B1086,Playoff_Stats!B:B=$A1086)))"),"")</f>
        <v/>
      </c>
      <c r="K1086" s="11"/>
      <c r="L1086" s="12"/>
      <c r="M1086" s="11"/>
      <c r="N1086" s="11"/>
      <c r="O1086" s="13"/>
      <c r="P1086" s="14"/>
      <c r="Q1086" s="13"/>
      <c r="R1086" s="13"/>
      <c r="S1086" s="15"/>
      <c r="T1086" s="16"/>
      <c r="U1086" s="16"/>
      <c r="V1086" s="16"/>
      <c r="W1086" s="16"/>
      <c r="X1086" s="16"/>
      <c r="Y1086" s="11"/>
      <c r="Z1086" s="11"/>
      <c r="AA1086" s="11"/>
      <c r="AB1086" s="11"/>
      <c r="AC1086" s="11"/>
      <c r="AD1086" s="11"/>
    </row>
    <row r="1087">
      <c r="A1087" s="10"/>
      <c r="B1087" s="10"/>
      <c r="C1087" s="10"/>
      <c r="D1087" s="10"/>
      <c r="E1087" s="10"/>
      <c r="F1087" s="11"/>
      <c r="G1087" s="11"/>
      <c r="H1087" s="11"/>
      <c r="I1087" s="11"/>
      <c r="J1087" s="11" t="str">
        <f>IFERROR(__xludf.DUMMYFUNCTION("iferror(if($B1087="""", ,filter(Playoff_Stats!F:Z,Playoff_Stats!A:A=$B1087,Playoff_Stats!B:B=$A1087)))"),"")</f>
        <v/>
      </c>
      <c r="K1087" s="11"/>
      <c r="L1087" s="12"/>
      <c r="M1087" s="11"/>
      <c r="N1087" s="11"/>
      <c r="O1087" s="13"/>
      <c r="P1087" s="14"/>
      <c r="Q1087" s="13"/>
      <c r="R1087" s="13"/>
      <c r="S1087" s="15"/>
      <c r="T1087" s="16"/>
      <c r="U1087" s="16"/>
      <c r="V1087" s="16"/>
      <c r="W1087" s="16"/>
      <c r="X1087" s="16"/>
      <c r="Y1087" s="11"/>
      <c r="Z1087" s="11"/>
      <c r="AA1087" s="11"/>
      <c r="AB1087" s="11"/>
      <c r="AC1087" s="11"/>
      <c r="AD1087" s="11"/>
    </row>
    <row r="1088">
      <c r="A1088" s="10"/>
      <c r="B1088" s="10"/>
      <c r="C1088" s="10"/>
      <c r="D1088" s="10"/>
      <c r="E1088" s="10"/>
      <c r="F1088" s="11"/>
      <c r="G1088" s="11"/>
      <c r="H1088" s="11"/>
      <c r="I1088" s="11"/>
      <c r="J1088" s="11" t="str">
        <f>IFERROR(__xludf.DUMMYFUNCTION("iferror(if($B1088="""", ,filter(Playoff_Stats!F:Z,Playoff_Stats!A:A=$B1088,Playoff_Stats!B:B=$A1088)))"),"")</f>
        <v/>
      </c>
      <c r="K1088" s="11"/>
      <c r="L1088" s="12"/>
      <c r="M1088" s="11"/>
      <c r="N1088" s="11"/>
      <c r="O1088" s="13"/>
      <c r="P1088" s="14"/>
      <c r="Q1088" s="13"/>
      <c r="R1088" s="13"/>
      <c r="S1088" s="15"/>
      <c r="T1088" s="16"/>
      <c r="U1088" s="16"/>
      <c r="V1088" s="16"/>
      <c r="W1088" s="16"/>
      <c r="X1088" s="16"/>
      <c r="Y1088" s="11"/>
      <c r="Z1088" s="11"/>
      <c r="AA1088" s="11"/>
      <c r="AB1088" s="11"/>
      <c r="AC1088" s="11"/>
      <c r="AD1088" s="11"/>
    </row>
    <row r="1089">
      <c r="A1089" s="10"/>
      <c r="B1089" s="10"/>
      <c r="C1089" s="10"/>
      <c r="D1089" s="10"/>
      <c r="E1089" s="10"/>
      <c r="F1089" s="11"/>
      <c r="G1089" s="11"/>
      <c r="H1089" s="11"/>
      <c r="I1089" s="11"/>
      <c r="J1089" s="11" t="str">
        <f>IFERROR(__xludf.DUMMYFUNCTION("iferror(if($B1089="""", ,filter(Playoff_Stats!F:Z,Playoff_Stats!A:A=$B1089,Playoff_Stats!B:B=$A1089)))"),"")</f>
        <v/>
      </c>
      <c r="K1089" s="11"/>
      <c r="L1089" s="12"/>
      <c r="M1089" s="11"/>
      <c r="N1089" s="11"/>
      <c r="O1089" s="13"/>
      <c r="P1089" s="14"/>
      <c r="Q1089" s="13"/>
      <c r="R1089" s="13"/>
      <c r="S1089" s="15"/>
      <c r="T1089" s="16"/>
      <c r="U1089" s="16"/>
      <c r="V1089" s="16"/>
      <c r="W1089" s="16"/>
      <c r="X1089" s="16"/>
      <c r="Y1089" s="11"/>
      <c r="Z1089" s="11"/>
      <c r="AA1089" s="11"/>
      <c r="AB1089" s="11"/>
      <c r="AC1089" s="11"/>
      <c r="AD1089" s="11"/>
    </row>
    <row r="1090">
      <c r="A1090" s="10"/>
      <c r="B1090" s="10"/>
      <c r="C1090" s="10"/>
      <c r="D1090" s="10"/>
      <c r="E1090" s="10"/>
      <c r="F1090" s="11"/>
      <c r="G1090" s="11"/>
      <c r="H1090" s="11"/>
      <c r="I1090" s="11"/>
      <c r="J1090" s="11" t="str">
        <f>IFERROR(__xludf.DUMMYFUNCTION("iferror(if($B1090="""", ,filter(Playoff_Stats!F:Z,Playoff_Stats!A:A=$B1090,Playoff_Stats!B:B=$A1090)))"),"")</f>
        <v/>
      </c>
      <c r="K1090" s="11"/>
      <c r="L1090" s="12"/>
      <c r="M1090" s="11"/>
      <c r="N1090" s="11"/>
      <c r="O1090" s="13"/>
      <c r="P1090" s="14"/>
      <c r="Q1090" s="13"/>
      <c r="R1090" s="13"/>
      <c r="S1090" s="15"/>
      <c r="T1090" s="16"/>
      <c r="U1090" s="16"/>
      <c r="V1090" s="16"/>
      <c r="W1090" s="16"/>
      <c r="X1090" s="16"/>
      <c r="Y1090" s="11"/>
      <c r="Z1090" s="11"/>
      <c r="AA1090" s="11"/>
      <c r="AB1090" s="11"/>
      <c r="AC1090" s="11"/>
      <c r="AD1090" s="11"/>
    </row>
    <row r="1091">
      <c r="A1091" s="10"/>
      <c r="B1091" s="10"/>
      <c r="C1091" s="10"/>
      <c r="D1091" s="10"/>
      <c r="E1091" s="10"/>
      <c r="F1091" s="11"/>
      <c r="G1091" s="11"/>
      <c r="H1091" s="11"/>
      <c r="I1091" s="11"/>
      <c r="J1091" s="11" t="str">
        <f>IFERROR(__xludf.DUMMYFUNCTION("iferror(if($B1091="""", ,filter(Playoff_Stats!F:Z,Playoff_Stats!A:A=$B1091,Playoff_Stats!B:B=$A1091)))"),"")</f>
        <v/>
      </c>
      <c r="K1091" s="11"/>
      <c r="L1091" s="12"/>
      <c r="M1091" s="11"/>
      <c r="N1091" s="11"/>
      <c r="O1091" s="13"/>
      <c r="P1091" s="14"/>
      <c r="Q1091" s="13"/>
      <c r="R1091" s="13"/>
      <c r="S1091" s="15"/>
      <c r="T1091" s="16"/>
      <c r="U1091" s="16"/>
      <c r="V1091" s="16"/>
      <c r="W1091" s="16"/>
      <c r="X1091" s="16"/>
      <c r="Y1091" s="11"/>
      <c r="Z1091" s="11"/>
      <c r="AA1091" s="11"/>
      <c r="AB1091" s="11"/>
      <c r="AC1091" s="11"/>
      <c r="AD1091" s="11"/>
    </row>
    <row r="1092">
      <c r="A1092" s="10"/>
      <c r="B1092" s="10"/>
      <c r="C1092" s="10"/>
      <c r="D1092" s="10"/>
      <c r="E1092" s="10"/>
      <c r="F1092" s="11"/>
      <c r="G1092" s="11"/>
      <c r="H1092" s="11"/>
      <c r="I1092" s="11"/>
      <c r="J1092" s="11" t="str">
        <f>IFERROR(__xludf.DUMMYFUNCTION("iferror(if($B1092="""", ,filter(Playoff_Stats!F:Z,Playoff_Stats!A:A=$B1092,Playoff_Stats!B:B=$A1092)))"),"")</f>
        <v/>
      </c>
      <c r="K1092" s="11"/>
      <c r="L1092" s="12"/>
      <c r="M1092" s="11"/>
      <c r="N1092" s="11"/>
      <c r="O1092" s="13"/>
      <c r="P1092" s="14"/>
      <c r="Q1092" s="13"/>
      <c r="R1092" s="13"/>
      <c r="S1092" s="15"/>
      <c r="T1092" s="16"/>
      <c r="U1092" s="16"/>
      <c r="V1092" s="16"/>
      <c r="W1092" s="16"/>
      <c r="X1092" s="16"/>
      <c r="Y1092" s="11"/>
      <c r="Z1092" s="11"/>
      <c r="AA1092" s="11"/>
      <c r="AB1092" s="11"/>
      <c r="AC1092" s="11"/>
      <c r="AD1092" s="11"/>
    </row>
    <row r="1093">
      <c r="A1093" s="10"/>
      <c r="B1093" s="10"/>
      <c r="C1093" s="10"/>
      <c r="D1093" s="10"/>
      <c r="E1093" s="10"/>
      <c r="F1093" s="11"/>
      <c r="G1093" s="11"/>
      <c r="H1093" s="11"/>
      <c r="I1093" s="11"/>
      <c r="J1093" s="11" t="str">
        <f>IFERROR(__xludf.DUMMYFUNCTION("iferror(if($B1093="""", ,filter(Playoff_Stats!F:Z,Playoff_Stats!A:A=$B1093,Playoff_Stats!B:B=$A1093)))"),"")</f>
        <v/>
      </c>
      <c r="K1093" s="11"/>
      <c r="L1093" s="12"/>
      <c r="M1093" s="11"/>
      <c r="N1093" s="11"/>
      <c r="O1093" s="13"/>
      <c r="P1093" s="14"/>
      <c r="Q1093" s="13"/>
      <c r="R1093" s="13"/>
      <c r="S1093" s="15"/>
      <c r="T1093" s="16"/>
      <c r="U1093" s="16"/>
      <c r="V1093" s="16"/>
      <c r="W1093" s="16"/>
      <c r="X1093" s="16"/>
      <c r="Y1093" s="11"/>
      <c r="Z1093" s="11"/>
      <c r="AA1093" s="11"/>
      <c r="AB1093" s="11"/>
      <c r="AC1093" s="11"/>
      <c r="AD1093" s="11"/>
    </row>
    <row r="1094">
      <c r="A1094" s="10"/>
      <c r="B1094" s="10"/>
      <c r="C1094" s="10"/>
      <c r="D1094" s="10"/>
      <c r="E1094" s="10"/>
      <c r="F1094" s="11"/>
      <c r="G1094" s="11"/>
      <c r="H1094" s="11"/>
      <c r="I1094" s="11"/>
      <c r="J1094" s="11" t="str">
        <f>IFERROR(__xludf.DUMMYFUNCTION("iferror(if($B1094="""", ,filter(Playoff_Stats!F:Z,Playoff_Stats!A:A=$B1094,Playoff_Stats!B:B=$A1094)))"),"")</f>
        <v/>
      </c>
      <c r="K1094" s="11"/>
      <c r="L1094" s="12"/>
      <c r="M1094" s="11"/>
      <c r="N1094" s="11"/>
      <c r="O1094" s="13"/>
      <c r="P1094" s="14"/>
      <c r="Q1094" s="13"/>
      <c r="R1094" s="13"/>
      <c r="S1094" s="15"/>
      <c r="T1094" s="16"/>
      <c r="U1094" s="16"/>
      <c r="V1094" s="16"/>
      <c r="W1094" s="16"/>
      <c r="X1094" s="16"/>
      <c r="Y1094" s="11"/>
      <c r="Z1094" s="11"/>
      <c r="AA1094" s="11"/>
      <c r="AB1094" s="11"/>
      <c r="AC1094" s="11"/>
      <c r="AD1094" s="11"/>
    </row>
    <row r="1095">
      <c r="A1095" s="10"/>
      <c r="B1095" s="10"/>
      <c r="C1095" s="10"/>
      <c r="D1095" s="10"/>
      <c r="E1095" s="10"/>
      <c r="F1095" s="11"/>
      <c r="G1095" s="11"/>
      <c r="H1095" s="11"/>
      <c r="I1095" s="11"/>
      <c r="J1095" s="11" t="str">
        <f>IFERROR(__xludf.DUMMYFUNCTION("iferror(if($B1095="""", ,filter(Playoff_Stats!F:Z,Playoff_Stats!A:A=$B1095,Playoff_Stats!B:B=$A1095)))"),"")</f>
        <v/>
      </c>
      <c r="K1095" s="11"/>
      <c r="L1095" s="12"/>
      <c r="M1095" s="11"/>
      <c r="N1095" s="11"/>
      <c r="O1095" s="13"/>
      <c r="P1095" s="14"/>
      <c r="Q1095" s="13"/>
      <c r="R1095" s="13"/>
      <c r="S1095" s="15"/>
      <c r="T1095" s="16"/>
      <c r="U1095" s="16"/>
      <c r="V1095" s="16"/>
      <c r="W1095" s="16"/>
      <c r="X1095" s="16"/>
      <c r="Y1095" s="11"/>
      <c r="Z1095" s="11"/>
      <c r="AA1095" s="11"/>
      <c r="AB1095" s="11"/>
      <c r="AC1095" s="11"/>
      <c r="AD1095" s="11"/>
    </row>
    <row r="1096">
      <c r="A1096" s="10"/>
      <c r="B1096" s="10"/>
      <c r="C1096" s="10"/>
      <c r="D1096" s="10"/>
      <c r="E1096" s="10"/>
      <c r="F1096" s="11"/>
      <c r="G1096" s="11"/>
      <c r="H1096" s="11"/>
      <c r="I1096" s="11"/>
      <c r="J1096" s="11" t="str">
        <f>IFERROR(__xludf.DUMMYFUNCTION("iferror(if($B1096="""", ,filter(Playoff_Stats!F:Z,Playoff_Stats!A:A=$B1096,Playoff_Stats!B:B=$A1096)))"),"")</f>
        <v/>
      </c>
      <c r="K1096" s="11"/>
      <c r="L1096" s="12"/>
      <c r="M1096" s="11"/>
      <c r="N1096" s="11"/>
      <c r="O1096" s="13"/>
      <c r="P1096" s="14"/>
      <c r="Q1096" s="13"/>
      <c r="R1096" s="13"/>
      <c r="S1096" s="15"/>
      <c r="T1096" s="16"/>
      <c r="U1096" s="16"/>
      <c r="V1096" s="16"/>
      <c r="W1096" s="16"/>
      <c r="X1096" s="16"/>
      <c r="Y1096" s="11"/>
      <c r="Z1096" s="11"/>
      <c r="AA1096" s="11"/>
      <c r="AB1096" s="11"/>
      <c r="AC1096" s="11"/>
      <c r="AD1096" s="11"/>
    </row>
    <row r="1097">
      <c r="A1097" s="10"/>
      <c r="B1097" s="10"/>
      <c r="C1097" s="10"/>
      <c r="D1097" s="10"/>
      <c r="E1097" s="10"/>
      <c r="F1097" s="11"/>
      <c r="G1097" s="11"/>
      <c r="H1097" s="11"/>
      <c r="I1097" s="11"/>
      <c r="J1097" s="11" t="str">
        <f>IFERROR(__xludf.DUMMYFUNCTION("iferror(if($B1097="""", ,filter(Playoff_Stats!F:Z,Playoff_Stats!A:A=$B1097,Playoff_Stats!B:B=$A1097)))"),"")</f>
        <v/>
      </c>
      <c r="K1097" s="11"/>
      <c r="L1097" s="12"/>
      <c r="M1097" s="11"/>
      <c r="N1097" s="11"/>
      <c r="O1097" s="13"/>
      <c r="P1097" s="14"/>
      <c r="Q1097" s="13"/>
      <c r="R1097" s="13"/>
      <c r="S1097" s="15"/>
      <c r="T1097" s="16"/>
      <c r="U1097" s="16"/>
      <c r="V1097" s="16"/>
      <c r="W1097" s="16"/>
      <c r="X1097" s="16"/>
      <c r="Y1097" s="11"/>
      <c r="Z1097" s="11"/>
      <c r="AA1097" s="11"/>
      <c r="AB1097" s="11"/>
      <c r="AC1097" s="11"/>
      <c r="AD1097" s="11"/>
    </row>
    <row r="1098">
      <c r="A1098" s="10"/>
      <c r="B1098" s="10"/>
      <c r="C1098" s="10"/>
      <c r="D1098" s="10"/>
      <c r="E1098" s="10"/>
      <c r="F1098" s="11"/>
      <c r="G1098" s="11"/>
      <c r="H1098" s="11"/>
      <c r="I1098" s="11"/>
      <c r="J1098" s="11" t="str">
        <f>IFERROR(__xludf.DUMMYFUNCTION("iferror(if($B1098="""", ,filter(Playoff_Stats!F:Z,Playoff_Stats!A:A=$B1098,Playoff_Stats!B:B=$A1098)))"),"")</f>
        <v/>
      </c>
      <c r="K1098" s="11"/>
      <c r="L1098" s="12"/>
      <c r="M1098" s="11"/>
      <c r="N1098" s="11"/>
      <c r="O1098" s="13"/>
      <c r="P1098" s="14"/>
      <c r="Q1098" s="13"/>
      <c r="R1098" s="13"/>
      <c r="S1098" s="15"/>
      <c r="T1098" s="16"/>
      <c r="U1098" s="16"/>
      <c r="V1098" s="16"/>
      <c r="W1098" s="16"/>
      <c r="X1098" s="16"/>
      <c r="Y1098" s="11"/>
      <c r="Z1098" s="11"/>
      <c r="AA1098" s="11"/>
      <c r="AB1098" s="11"/>
      <c r="AC1098" s="11"/>
      <c r="AD1098" s="11"/>
    </row>
    <row r="1099">
      <c r="A1099" s="10"/>
      <c r="B1099" s="10"/>
      <c r="C1099" s="10"/>
      <c r="D1099" s="10"/>
      <c r="E1099" s="10"/>
      <c r="F1099" s="11"/>
      <c r="G1099" s="11"/>
      <c r="H1099" s="11"/>
      <c r="I1099" s="11"/>
      <c r="J1099" s="11" t="str">
        <f>IFERROR(__xludf.DUMMYFUNCTION("iferror(if($B1099="""", ,filter(Playoff_Stats!F:Z,Playoff_Stats!A:A=$B1099,Playoff_Stats!B:B=$A1099)))"),"")</f>
        <v/>
      </c>
      <c r="K1099" s="11"/>
      <c r="L1099" s="12"/>
      <c r="M1099" s="11"/>
      <c r="N1099" s="11"/>
      <c r="O1099" s="13"/>
      <c r="P1099" s="14"/>
      <c r="Q1099" s="13"/>
      <c r="R1099" s="13"/>
      <c r="S1099" s="15"/>
      <c r="T1099" s="16"/>
      <c r="U1099" s="16"/>
      <c r="V1099" s="16"/>
      <c r="W1099" s="16"/>
      <c r="X1099" s="16"/>
      <c r="Y1099" s="11"/>
      <c r="Z1099" s="11"/>
      <c r="AA1099" s="11"/>
      <c r="AB1099" s="11"/>
      <c r="AC1099" s="11"/>
      <c r="AD1099" s="11"/>
    </row>
    <row r="1100">
      <c r="A1100" s="10"/>
      <c r="B1100" s="10"/>
      <c r="C1100" s="10"/>
      <c r="D1100" s="10"/>
      <c r="E1100" s="10"/>
      <c r="F1100" s="11"/>
      <c r="G1100" s="11"/>
      <c r="H1100" s="11"/>
      <c r="I1100" s="11"/>
      <c r="J1100" s="11" t="str">
        <f>IFERROR(__xludf.DUMMYFUNCTION("iferror(if($B1100="""", ,filter(Playoff_Stats!F:Z,Playoff_Stats!A:A=$B1100,Playoff_Stats!B:B=$A1100)))"),"")</f>
        <v/>
      </c>
      <c r="K1100" s="11"/>
      <c r="L1100" s="12"/>
      <c r="M1100" s="11"/>
      <c r="N1100" s="11"/>
      <c r="O1100" s="13"/>
      <c r="P1100" s="14"/>
      <c r="Q1100" s="13"/>
      <c r="R1100" s="13"/>
      <c r="S1100" s="15"/>
      <c r="T1100" s="16"/>
      <c r="U1100" s="16"/>
      <c r="V1100" s="16"/>
      <c r="W1100" s="16"/>
      <c r="X1100" s="16"/>
      <c r="Y1100" s="11"/>
      <c r="Z1100" s="11"/>
      <c r="AA1100" s="11"/>
      <c r="AB1100" s="11"/>
      <c r="AC1100" s="11"/>
      <c r="AD1100" s="11"/>
    </row>
    <row r="1101">
      <c r="A1101" s="10"/>
      <c r="B1101" s="10"/>
      <c r="C1101" s="10"/>
      <c r="D1101" s="10"/>
      <c r="E1101" s="10"/>
      <c r="F1101" s="11"/>
      <c r="G1101" s="11"/>
      <c r="H1101" s="11"/>
      <c r="I1101" s="11"/>
      <c r="J1101" s="11" t="str">
        <f>IFERROR(__xludf.DUMMYFUNCTION("iferror(if($B1101="""", ,filter(Playoff_Stats!F:Z,Playoff_Stats!A:A=$B1101,Playoff_Stats!B:B=$A1101)))"),"")</f>
        <v/>
      </c>
      <c r="K1101" s="11"/>
      <c r="L1101" s="12"/>
      <c r="M1101" s="11"/>
      <c r="N1101" s="11"/>
      <c r="O1101" s="13"/>
      <c r="P1101" s="14"/>
      <c r="Q1101" s="13"/>
      <c r="R1101" s="13"/>
      <c r="S1101" s="15"/>
      <c r="T1101" s="16"/>
      <c r="U1101" s="16"/>
      <c r="V1101" s="16"/>
      <c r="W1101" s="16"/>
      <c r="X1101" s="16"/>
      <c r="Y1101" s="11"/>
      <c r="Z1101" s="11"/>
      <c r="AA1101" s="11"/>
      <c r="AB1101" s="11"/>
      <c r="AC1101" s="11"/>
      <c r="AD1101" s="11"/>
    </row>
    <row r="1102">
      <c r="A1102" s="10"/>
      <c r="B1102" s="10"/>
      <c r="C1102" s="10"/>
      <c r="D1102" s="10"/>
      <c r="E1102" s="10"/>
      <c r="F1102" s="11"/>
      <c r="G1102" s="11"/>
      <c r="H1102" s="11"/>
      <c r="I1102" s="11"/>
      <c r="J1102" s="11" t="str">
        <f>IFERROR(__xludf.DUMMYFUNCTION("iferror(if($B1102="""", ,filter(Playoff_Stats!F:Z,Playoff_Stats!A:A=$B1102,Playoff_Stats!B:B=$A1102)))"),"")</f>
        <v/>
      </c>
      <c r="K1102" s="11"/>
      <c r="L1102" s="12"/>
      <c r="M1102" s="11"/>
      <c r="N1102" s="11"/>
      <c r="O1102" s="13"/>
      <c r="P1102" s="14"/>
      <c r="Q1102" s="13"/>
      <c r="R1102" s="13"/>
      <c r="S1102" s="15"/>
      <c r="T1102" s="16"/>
      <c r="U1102" s="16"/>
      <c r="V1102" s="16"/>
      <c r="W1102" s="16"/>
      <c r="X1102" s="16"/>
      <c r="Y1102" s="11"/>
      <c r="Z1102" s="11"/>
      <c r="AA1102" s="11"/>
      <c r="AB1102" s="11"/>
      <c r="AC1102" s="11"/>
      <c r="AD1102" s="11"/>
    </row>
    <row r="1103">
      <c r="A1103" s="10"/>
      <c r="B1103" s="10"/>
      <c r="C1103" s="10"/>
      <c r="D1103" s="10"/>
      <c r="E1103" s="10"/>
      <c r="F1103" s="11"/>
      <c r="G1103" s="11"/>
      <c r="H1103" s="11"/>
      <c r="I1103" s="11"/>
      <c r="J1103" s="11" t="str">
        <f>IFERROR(__xludf.DUMMYFUNCTION("iferror(if($B1103="""", ,filter(Playoff_Stats!F:Z,Playoff_Stats!A:A=$B1103,Playoff_Stats!B:B=$A1103)))"),"")</f>
        <v/>
      </c>
      <c r="K1103" s="11"/>
      <c r="L1103" s="12"/>
      <c r="M1103" s="11"/>
      <c r="N1103" s="11"/>
      <c r="O1103" s="13"/>
      <c r="P1103" s="14"/>
      <c r="Q1103" s="13"/>
      <c r="R1103" s="13"/>
      <c r="S1103" s="15"/>
      <c r="T1103" s="16"/>
      <c r="U1103" s="16"/>
      <c r="V1103" s="16"/>
      <c r="W1103" s="16"/>
      <c r="X1103" s="16"/>
      <c r="Y1103" s="11"/>
      <c r="Z1103" s="11"/>
      <c r="AA1103" s="11"/>
      <c r="AB1103" s="11"/>
      <c r="AC1103" s="11"/>
      <c r="AD1103" s="11"/>
    </row>
    <row r="1104">
      <c r="A1104" s="10"/>
      <c r="B1104" s="10"/>
      <c r="C1104" s="10"/>
      <c r="D1104" s="10"/>
      <c r="E1104" s="10"/>
      <c r="F1104" s="11"/>
      <c r="G1104" s="11"/>
      <c r="H1104" s="11"/>
      <c r="I1104" s="11"/>
      <c r="J1104" s="11" t="str">
        <f>IFERROR(__xludf.DUMMYFUNCTION("iferror(if($B1104="""", ,filter(Playoff_Stats!F:Z,Playoff_Stats!A:A=$B1104,Playoff_Stats!B:B=$A1104)))"),"")</f>
        <v/>
      </c>
      <c r="K1104" s="11"/>
      <c r="L1104" s="12"/>
      <c r="M1104" s="11"/>
      <c r="N1104" s="11"/>
      <c r="O1104" s="13"/>
      <c r="P1104" s="14"/>
      <c r="Q1104" s="13"/>
      <c r="R1104" s="13"/>
      <c r="S1104" s="15"/>
      <c r="T1104" s="16"/>
      <c r="U1104" s="16"/>
      <c r="V1104" s="16"/>
      <c r="W1104" s="16"/>
      <c r="X1104" s="16"/>
      <c r="Y1104" s="11"/>
      <c r="Z1104" s="11"/>
      <c r="AA1104" s="11"/>
      <c r="AB1104" s="11"/>
      <c r="AC1104" s="11"/>
      <c r="AD1104" s="11"/>
    </row>
    <row r="1105">
      <c r="A1105" s="10"/>
      <c r="B1105" s="10"/>
      <c r="C1105" s="10"/>
      <c r="D1105" s="10"/>
      <c r="E1105" s="10"/>
      <c r="F1105" s="11"/>
      <c r="G1105" s="11"/>
      <c r="H1105" s="11"/>
      <c r="I1105" s="11"/>
      <c r="J1105" s="11" t="str">
        <f>IFERROR(__xludf.DUMMYFUNCTION("iferror(if($B1105="""", ,filter(Playoff_Stats!F:Z,Playoff_Stats!A:A=$B1105,Playoff_Stats!B:B=$A1105)))"),"")</f>
        <v/>
      </c>
      <c r="K1105" s="11"/>
      <c r="L1105" s="12"/>
      <c r="M1105" s="11"/>
      <c r="N1105" s="11"/>
      <c r="O1105" s="13"/>
      <c r="P1105" s="14"/>
      <c r="Q1105" s="13"/>
      <c r="R1105" s="13"/>
      <c r="S1105" s="15"/>
      <c r="T1105" s="16"/>
      <c r="U1105" s="16"/>
      <c r="V1105" s="16"/>
      <c r="W1105" s="16"/>
      <c r="X1105" s="16"/>
      <c r="Y1105" s="11"/>
      <c r="Z1105" s="11"/>
      <c r="AA1105" s="11"/>
      <c r="AB1105" s="11"/>
      <c r="AC1105" s="11"/>
      <c r="AD1105" s="11"/>
    </row>
    <row r="1106">
      <c r="A1106" s="10"/>
      <c r="B1106" s="10"/>
      <c r="C1106" s="10"/>
      <c r="D1106" s="10"/>
      <c r="E1106" s="10"/>
      <c r="F1106" s="11"/>
      <c r="G1106" s="11"/>
      <c r="H1106" s="11"/>
      <c r="I1106" s="11"/>
      <c r="J1106" s="11" t="str">
        <f>IFERROR(__xludf.DUMMYFUNCTION("iferror(if($B1106="""", ,filter(Playoff_Stats!F:Z,Playoff_Stats!A:A=$B1106,Playoff_Stats!B:B=$A1106)))"),"")</f>
        <v/>
      </c>
      <c r="K1106" s="11"/>
      <c r="L1106" s="12"/>
      <c r="M1106" s="11"/>
      <c r="N1106" s="11"/>
      <c r="O1106" s="13"/>
      <c r="P1106" s="14"/>
      <c r="Q1106" s="13"/>
      <c r="R1106" s="13"/>
      <c r="S1106" s="15"/>
      <c r="T1106" s="16"/>
      <c r="U1106" s="16"/>
      <c r="V1106" s="16"/>
      <c r="W1106" s="16"/>
      <c r="X1106" s="16"/>
      <c r="Y1106" s="11"/>
      <c r="Z1106" s="11"/>
      <c r="AA1106" s="11"/>
      <c r="AB1106" s="11"/>
      <c r="AC1106" s="11"/>
      <c r="AD1106" s="11"/>
    </row>
    <row r="1107">
      <c r="A1107" s="10"/>
      <c r="B1107" s="10"/>
      <c r="C1107" s="10"/>
      <c r="D1107" s="10"/>
      <c r="E1107" s="10"/>
      <c r="F1107" s="11"/>
      <c r="G1107" s="11"/>
      <c r="H1107" s="11"/>
      <c r="I1107" s="11"/>
      <c r="J1107" s="11" t="str">
        <f>IFERROR(__xludf.DUMMYFUNCTION("iferror(if($B1107="""", ,filter(Playoff_Stats!F:Z,Playoff_Stats!A:A=$B1107,Playoff_Stats!B:B=$A1107)))"),"")</f>
        <v/>
      </c>
      <c r="K1107" s="11"/>
      <c r="L1107" s="12"/>
      <c r="M1107" s="11"/>
      <c r="N1107" s="11"/>
      <c r="O1107" s="13"/>
      <c r="P1107" s="14"/>
      <c r="Q1107" s="13"/>
      <c r="R1107" s="13"/>
      <c r="S1107" s="15"/>
      <c r="T1107" s="16"/>
      <c r="U1107" s="16"/>
      <c r="V1107" s="16"/>
      <c r="W1107" s="16"/>
      <c r="X1107" s="16"/>
      <c r="Y1107" s="11"/>
      <c r="Z1107" s="11"/>
      <c r="AA1107" s="11"/>
      <c r="AB1107" s="11"/>
      <c r="AC1107" s="11"/>
      <c r="AD1107" s="11"/>
    </row>
    <row r="1108">
      <c r="A1108" s="10"/>
      <c r="B1108" s="10"/>
      <c r="C1108" s="10"/>
      <c r="D1108" s="10"/>
      <c r="E1108" s="10"/>
      <c r="F1108" s="11"/>
      <c r="G1108" s="11"/>
      <c r="H1108" s="11"/>
      <c r="I1108" s="11"/>
      <c r="J1108" s="11" t="str">
        <f>IFERROR(__xludf.DUMMYFUNCTION("iferror(if($B1108="""", ,filter(Playoff_Stats!F:Z,Playoff_Stats!A:A=$B1108,Playoff_Stats!B:B=$A1108)))"),"")</f>
        <v/>
      </c>
      <c r="K1108" s="11"/>
      <c r="L1108" s="12"/>
      <c r="M1108" s="11"/>
      <c r="N1108" s="11"/>
      <c r="O1108" s="13"/>
      <c r="P1108" s="14"/>
      <c r="Q1108" s="13"/>
      <c r="R1108" s="13"/>
      <c r="S1108" s="15"/>
      <c r="T1108" s="16"/>
      <c r="U1108" s="16"/>
      <c r="V1108" s="16"/>
      <c r="W1108" s="16"/>
      <c r="X1108" s="16"/>
      <c r="Y1108" s="11"/>
      <c r="Z1108" s="11"/>
      <c r="AA1108" s="11"/>
      <c r="AB1108" s="11"/>
      <c r="AC1108" s="11"/>
      <c r="AD1108" s="11"/>
    </row>
    <row r="1109">
      <c r="A1109" s="10"/>
      <c r="B1109" s="10"/>
      <c r="C1109" s="10"/>
      <c r="D1109" s="10"/>
      <c r="E1109" s="10"/>
      <c r="F1109" s="11"/>
      <c r="G1109" s="11"/>
      <c r="H1109" s="11"/>
      <c r="I1109" s="11"/>
      <c r="J1109" s="11" t="str">
        <f>IFERROR(__xludf.DUMMYFUNCTION("iferror(if($B1109="""", ,filter(Playoff_Stats!F:Z,Playoff_Stats!A:A=$B1109,Playoff_Stats!B:B=$A1109)))"),"")</f>
        <v/>
      </c>
      <c r="K1109" s="11"/>
      <c r="L1109" s="12"/>
      <c r="M1109" s="11"/>
      <c r="N1109" s="11"/>
      <c r="O1109" s="13"/>
      <c r="P1109" s="14"/>
      <c r="Q1109" s="13"/>
      <c r="R1109" s="13"/>
      <c r="S1109" s="15"/>
      <c r="T1109" s="16"/>
      <c r="U1109" s="16"/>
      <c r="V1109" s="16"/>
      <c r="W1109" s="16"/>
      <c r="X1109" s="16"/>
      <c r="Y1109" s="11"/>
      <c r="Z1109" s="11"/>
      <c r="AA1109" s="11"/>
      <c r="AB1109" s="11"/>
      <c r="AC1109" s="11"/>
      <c r="AD1109" s="11"/>
    </row>
    <row r="1110">
      <c r="A1110" s="10"/>
      <c r="B1110" s="10"/>
      <c r="C1110" s="10"/>
      <c r="D1110" s="10"/>
      <c r="E1110" s="10"/>
      <c r="F1110" s="11"/>
      <c r="G1110" s="11"/>
      <c r="H1110" s="11"/>
      <c r="I1110" s="11"/>
      <c r="J1110" s="11" t="str">
        <f>IFERROR(__xludf.DUMMYFUNCTION("iferror(if($B1110="""", ,filter(Playoff_Stats!F:Z,Playoff_Stats!A:A=$B1110,Playoff_Stats!B:B=$A1110)))"),"")</f>
        <v/>
      </c>
      <c r="K1110" s="11"/>
      <c r="L1110" s="12"/>
      <c r="M1110" s="11"/>
      <c r="N1110" s="11"/>
      <c r="O1110" s="13"/>
      <c r="P1110" s="14"/>
      <c r="Q1110" s="13"/>
      <c r="R1110" s="13"/>
      <c r="S1110" s="15"/>
      <c r="T1110" s="16"/>
      <c r="U1110" s="16"/>
      <c r="V1110" s="16"/>
      <c r="W1110" s="16"/>
      <c r="X1110" s="16"/>
      <c r="Y1110" s="11"/>
      <c r="Z1110" s="11"/>
      <c r="AA1110" s="11"/>
      <c r="AB1110" s="11"/>
      <c r="AC1110" s="11"/>
      <c r="AD1110" s="11"/>
    </row>
    <row r="1111">
      <c r="A1111" s="10"/>
      <c r="B1111" s="10"/>
      <c r="C1111" s="10"/>
      <c r="D1111" s="10"/>
      <c r="E1111" s="10"/>
      <c r="F1111" s="11"/>
      <c r="G1111" s="11"/>
      <c r="H1111" s="11"/>
      <c r="I1111" s="11"/>
      <c r="J1111" s="11" t="str">
        <f>IFERROR(__xludf.DUMMYFUNCTION("iferror(if($B1111="""", ,filter(Playoff_Stats!F:Z,Playoff_Stats!A:A=$B1111,Playoff_Stats!B:B=$A1111)))"),"")</f>
        <v/>
      </c>
      <c r="K1111" s="11"/>
      <c r="L1111" s="12"/>
      <c r="M1111" s="11"/>
      <c r="N1111" s="11"/>
      <c r="O1111" s="13"/>
      <c r="P1111" s="14"/>
      <c r="Q1111" s="13"/>
      <c r="R1111" s="13"/>
      <c r="S1111" s="15"/>
      <c r="T1111" s="16"/>
      <c r="U1111" s="16"/>
      <c r="V1111" s="16"/>
      <c r="W1111" s="16"/>
      <c r="X1111" s="16"/>
      <c r="Y1111" s="11"/>
      <c r="Z1111" s="11"/>
      <c r="AA1111" s="11"/>
      <c r="AB1111" s="11"/>
      <c r="AC1111" s="11"/>
      <c r="AD1111" s="11"/>
    </row>
    <row r="1112">
      <c r="A1112" s="10"/>
      <c r="B1112" s="10"/>
      <c r="C1112" s="10"/>
      <c r="D1112" s="10"/>
      <c r="E1112" s="10"/>
      <c r="F1112" s="11"/>
      <c r="G1112" s="11"/>
      <c r="H1112" s="11"/>
      <c r="I1112" s="11"/>
      <c r="J1112" s="11" t="str">
        <f>IFERROR(__xludf.DUMMYFUNCTION("iferror(if($B1112="""", ,filter(Playoff_Stats!F:Z,Playoff_Stats!A:A=$B1112,Playoff_Stats!B:B=$A1112)))"),"")</f>
        <v/>
      </c>
      <c r="K1112" s="11"/>
      <c r="L1112" s="12"/>
      <c r="M1112" s="11"/>
      <c r="N1112" s="11"/>
      <c r="O1112" s="13"/>
      <c r="P1112" s="14"/>
      <c r="Q1112" s="13"/>
      <c r="R1112" s="13"/>
      <c r="S1112" s="15"/>
      <c r="T1112" s="16"/>
      <c r="U1112" s="16"/>
      <c r="V1112" s="16"/>
      <c r="W1112" s="16"/>
      <c r="X1112" s="16"/>
      <c r="Y1112" s="11"/>
      <c r="Z1112" s="11"/>
      <c r="AA1112" s="11"/>
      <c r="AB1112" s="11"/>
      <c r="AC1112" s="11"/>
      <c r="AD1112" s="11"/>
    </row>
    <row r="1113">
      <c r="A1113" s="10"/>
      <c r="B1113" s="10"/>
      <c r="C1113" s="10"/>
      <c r="D1113" s="10"/>
      <c r="E1113" s="10"/>
      <c r="F1113" s="11"/>
      <c r="G1113" s="11"/>
      <c r="H1113" s="11"/>
      <c r="I1113" s="11"/>
      <c r="J1113" s="11" t="str">
        <f>IFERROR(__xludf.DUMMYFUNCTION("iferror(if($B1113="""", ,filter(Playoff_Stats!F:Z,Playoff_Stats!A:A=$B1113,Playoff_Stats!B:B=$A1113)))"),"")</f>
        <v/>
      </c>
      <c r="K1113" s="11"/>
      <c r="L1113" s="12"/>
      <c r="M1113" s="11"/>
      <c r="N1113" s="11"/>
      <c r="O1113" s="13"/>
      <c r="P1113" s="14"/>
      <c r="Q1113" s="13"/>
      <c r="R1113" s="13"/>
      <c r="S1113" s="15"/>
      <c r="T1113" s="16"/>
      <c r="U1113" s="16"/>
      <c r="V1113" s="16"/>
      <c r="W1113" s="16"/>
      <c r="X1113" s="16"/>
      <c r="Y1113" s="11"/>
      <c r="Z1113" s="11"/>
      <c r="AA1113" s="11"/>
      <c r="AB1113" s="11"/>
      <c r="AC1113" s="11"/>
      <c r="AD1113" s="11"/>
    </row>
    <row r="1114">
      <c r="A1114" s="10"/>
      <c r="B1114" s="10"/>
      <c r="C1114" s="10"/>
      <c r="D1114" s="10"/>
      <c r="E1114" s="10"/>
      <c r="F1114" s="11"/>
      <c r="G1114" s="11"/>
      <c r="H1114" s="11"/>
      <c r="I1114" s="11"/>
      <c r="J1114" s="11" t="str">
        <f>IFERROR(__xludf.DUMMYFUNCTION("iferror(if($B1114="""", ,filter(Playoff_Stats!F:Z,Playoff_Stats!A:A=$B1114,Playoff_Stats!B:B=$A1114)))"),"")</f>
        <v/>
      </c>
      <c r="K1114" s="11"/>
      <c r="L1114" s="12"/>
      <c r="M1114" s="11"/>
      <c r="N1114" s="11"/>
      <c r="O1114" s="13"/>
      <c r="P1114" s="14"/>
      <c r="Q1114" s="13"/>
      <c r="R1114" s="13"/>
      <c r="S1114" s="15"/>
      <c r="T1114" s="16"/>
      <c r="U1114" s="16"/>
      <c r="V1114" s="16"/>
      <c r="W1114" s="16"/>
      <c r="X1114" s="16"/>
      <c r="Y1114" s="11"/>
      <c r="Z1114" s="11"/>
      <c r="AA1114" s="11"/>
      <c r="AB1114" s="11"/>
      <c r="AC1114" s="11"/>
      <c r="AD1114" s="11"/>
    </row>
    <row r="1115">
      <c r="A1115" s="10"/>
      <c r="B1115" s="10"/>
      <c r="C1115" s="10"/>
      <c r="D1115" s="10"/>
      <c r="E1115" s="10"/>
      <c r="F1115" s="11"/>
      <c r="G1115" s="11"/>
      <c r="H1115" s="11"/>
      <c r="I1115" s="11"/>
      <c r="J1115" s="11" t="str">
        <f>IFERROR(__xludf.DUMMYFUNCTION("iferror(if($B1115="""", ,filter(Playoff_Stats!F:Z,Playoff_Stats!A:A=$B1115,Playoff_Stats!B:B=$A1115)))"),"")</f>
        <v/>
      </c>
      <c r="K1115" s="11"/>
      <c r="L1115" s="12"/>
      <c r="M1115" s="11"/>
      <c r="N1115" s="11"/>
      <c r="O1115" s="13"/>
      <c r="P1115" s="14"/>
      <c r="Q1115" s="13"/>
      <c r="R1115" s="13"/>
      <c r="S1115" s="15"/>
      <c r="T1115" s="16"/>
      <c r="U1115" s="16"/>
      <c r="V1115" s="16"/>
      <c r="W1115" s="16"/>
      <c r="X1115" s="16"/>
      <c r="Y1115" s="11"/>
      <c r="Z1115" s="11"/>
      <c r="AA1115" s="11"/>
      <c r="AB1115" s="11"/>
      <c r="AC1115" s="11"/>
      <c r="AD1115" s="11"/>
    </row>
    <row r="1116">
      <c r="A1116" s="10"/>
      <c r="B1116" s="10"/>
      <c r="C1116" s="10"/>
      <c r="D1116" s="10"/>
      <c r="E1116" s="10"/>
      <c r="F1116" s="11"/>
      <c r="G1116" s="11"/>
      <c r="H1116" s="11"/>
      <c r="I1116" s="11"/>
      <c r="J1116" s="11" t="str">
        <f>IFERROR(__xludf.DUMMYFUNCTION("iferror(if($B1116="""", ,filter(Playoff_Stats!F:Z,Playoff_Stats!A:A=$B1116,Playoff_Stats!B:B=$A1116)))"),"")</f>
        <v/>
      </c>
      <c r="K1116" s="11"/>
      <c r="L1116" s="12"/>
      <c r="M1116" s="11"/>
      <c r="N1116" s="11"/>
      <c r="O1116" s="13"/>
      <c r="P1116" s="14"/>
      <c r="Q1116" s="13"/>
      <c r="R1116" s="13"/>
      <c r="S1116" s="15"/>
      <c r="T1116" s="16"/>
      <c r="U1116" s="16"/>
      <c r="V1116" s="16"/>
      <c r="W1116" s="16"/>
      <c r="X1116" s="16"/>
      <c r="Y1116" s="11"/>
      <c r="Z1116" s="11"/>
      <c r="AA1116" s="11"/>
      <c r="AB1116" s="11"/>
      <c r="AC1116" s="11"/>
      <c r="AD1116" s="11"/>
    </row>
    <row r="1117">
      <c r="A1117" s="10"/>
      <c r="B1117" s="10"/>
      <c r="C1117" s="10"/>
      <c r="D1117" s="10"/>
      <c r="E1117" s="10"/>
      <c r="F1117" s="11"/>
      <c r="G1117" s="11"/>
      <c r="H1117" s="11"/>
      <c r="I1117" s="11"/>
      <c r="J1117" s="11" t="str">
        <f>IFERROR(__xludf.DUMMYFUNCTION("iferror(if($B1117="""", ,filter(Playoff_Stats!F:Z,Playoff_Stats!A:A=$B1117,Playoff_Stats!B:B=$A1117)))"),"")</f>
        <v/>
      </c>
      <c r="K1117" s="11"/>
      <c r="L1117" s="12"/>
      <c r="M1117" s="11"/>
      <c r="N1117" s="11"/>
      <c r="O1117" s="13"/>
      <c r="P1117" s="14"/>
      <c r="Q1117" s="13"/>
      <c r="R1117" s="13"/>
      <c r="S1117" s="15"/>
      <c r="T1117" s="16"/>
      <c r="U1117" s="16"/>
      <c r="V1117" s="16"/>
      <c r="W1117" s="16"/>
      <c r="X1117" s="16"/>
      <c r="Y1117" s="11"/>
      <c r="Z1117" s="11"/>
      <c r="AA1117" s="11"/>
      <c r="AB1117" s="11"/>
      <c r="AC1117" s="11"/>
      <c r="AD1117" s="11"/>
    </row>
    <row r="1118">
      <c r="A1118" s="10"/>
      <c r="B1118" s="10"/>
      <c r="C1118" s="10"/>
      <c r="D1118" s="10"/>
      <c r="E1118" s="10"/>
      <c r="F1118" s="11"/>
      <c r="G1118" s="11"/>
      <c r="H1118" s="11"/>
      <c r="I1118" s="11"/>
      <c r="J1118" s="11" t="str">
        <f>IFERROR(__xludf.DUMMYFUNCTION("iferror(if($B1118="""", ,filter(Playoff_Stats!F:Z,Playoff_Stats!A:A=$B1118,Playoff_Stats!B:B=$A1118)))"),"")</f>
        <v/>
      </c>
      <c r="K1118" s="11"/>
      <c r="L1118" s="12"/>
      <c r="M1118" s="11"/>
      <c r="N1118" s="11"/>
      <c r="O1118" s="13"/>
      <c r="P1118" s="14"/>
      <c r="Q1118" s="13"/>
      <c r="R1118" s="13"/>
      <c r="S1118" s="15"/>
      <c r="T1118" s="16"/>
      <c r="U1118" s="16"/>
      <c r="V1118" s="16"/>
      <c r="W1118" s="16"/>
      <c r="X1118" s="16"/>
      <c r="Y1118" s="11"/>
      <c r="Z1118" s="11"/>
      <c r="AA1118" s="11"/>
      <c r="AB1118" s="11"/>
      <c r="AC1118" s="11"/>
      <c r="AD1118" s="11"/>
    </row>
    <row r="1119">
      <c r="A1119" s="10"/>
      <c r="B1119" s="10"/>
      <c r="C1119" s="10"/>
      <c r="D1119" s="10"/>
      <c r="E1119" s="10"/>
      <c r="F1119" s="11"/>
      <c r="G1119" s="11"/>
      <c r="H1119" s="11"/>
      <c r="I1119" s="11"/>
      <c r="J1119" s="11" t="str">
        <f>IFERROR(__xludf.DUMMYFUNCTION("iferror(if($B1119="""", ,filter(Playoff_Stats!F:Z,Playoff_Stats!A:A=$B1119,Playoff_Stats!B:B=$A1119)))"),"")</f>
        <v/>
      </c>
      <c r="K1119" s="11"/>
      <c r="L1119" s="12"/>
      <c r="M1119" s="11"/>
      <c r="N1119" s="11"/>
      <c r="O1119" s="13"/>
      <c r="P1119" s="14"/>
      <c r="Q1119" s="13"/>
      <c r="R1119" s="13"/>
      <c r="S1119" s="15"/>
      <c r="T1119" s="16"/>
      <c r="U1119" s="16"/>
      <c r="V1119" s="16"/>
      <c r="W1119" s="16"/>
      <c r="X1119" s="16"/>
      <c r="Y1119" s="11"/>
      <c r="Z1119" s="11"/>
      <c r="AA1119" s="11"/>
      <c r="AB1119" s="11"/>
      <c r="AC1119" s="11"/>
      <c r="AD1119" s="11"/>
    </row>
    <row r="1120">
      <c r="A1120" s="10"/>
      <c r="B1120" s="10"/>
      <c r="C1120" s="10"/>
      <c r="D1120" s="10"/>
      <c r="E1120" s="10"/>
      <c r="F1120" s="11"/>
      <c r="G1120" s="11"/>
      <c r="H1120" s="11"/>
      <c r="I1120" s="11"/>
      <c r="J1120" s="11" t="str">
        <f>IFERROR(__xludf.DUMMYFUNCTION("iferror(if($B1120="""", ,filter(Playoff_Stats!F:Z,Playoff_Stats!A:A=$B1120,Playoff_Stats!B:B=$A1120)))"),"")</f>
        <v/>
      </c>
      <c r="K1120" s="11"/>
      <c r="L1120" s="12"/>
      <c r="M1120" s="11"/>
      <c r="N1120" s="11"/>
      <c r="O1120" s="13"/>
      <c r="P1120" s="14"/>
      <c r="Q1120" s="13"/>
      <c r="R1120" s="13"/>
      <c r="S1120" s="15"/>
      <c r="T1120" s="16"/>
      <c r="U1120" s="16"/>
      <c r="V1120" s="16"/>
      <c r="W1120" s="16"/>
      <c r="X1120" s="16"/>
      <c r="Y1120" s="11"/>
      <c r="Z1120" s="11"/>
      <c r="AA1120" s="11"/>
      <c r="AB1120" s="11"/>
      <c r="AC1120" s="11"/>
      <c r="AD1120" s="11"/>
    </row>
    <row r="1121">
      <c r="A1121" s="10"/>
      <c r="B1121" s="10"/>
      <c r="C1121" s="10"/>
      <c r="D1121" s="10"/>
      <c r="E1121" s="10"/>
      <c r="F1121" s="11"/>
      <c r="G1121" s="11"/>
      <c r="H1121" s="11"/>
      <c r="I1121" s="11"/>
      <c r="J1121" s="11" t="str">
        <f>IFERROR(__xludf.DUMMYFUNCTION("iferror(if($B1121="""", ,filter(Playoff_Stats!F:Z,Playoff_Stats!A:A=$B1121,Playoff_Stats!B:B=$A1121)))"),"")</f>
        <v/>
      </c>
      <c r="K1121" s="11"/>
      <c r="L1121" s="12"/>
      <c r="M1121" s="11"/>
      <c r="N1121" s="11"/>
      <c r="O1121" s="13"/>
      <c r="P1121" s="14"/>
      <c r="Q1121" s="13"/>
      <c r="R1121" s="13"/>
      <c r="S1121" s="15"/>
      <c r="T1121" s="16"/>
      <c r="U1121" s="16"/>
      <c r="V1121" s="16"/>
      <c r="W1121" s="16"/>
      <c r="X1121" s="16"/>
      <c r="Y1121" s="11"/>
      <c r="Z1121" s="11"/>
      <c r="AA1121" s="11"/>
      <c r="AB1121" s="11"/>
      <c r="AC1121" s="11"/>
      <c r="AD1121" s="11"/>
    </row>
    <row r="1122">
      <c r="A1122" s="10"/>
      <c r="B1122" s="10"/>
      <c r="C1122" s="10"/>
      <c r="D1122" s="10"/>
      <c r="E1122" s="10"/>
      <c r="F1122" s="11"/>
      <c r="G1122" s="11"/>
      <c r="H1122" s="11"/>
      <c r="I1122" s="11"/>
      <c r="J1122" s="11" t="str">
        <f>IFERROR(__xludf.DUMMYFUNCTION("iferror(if($B1122="""", ,filter(Playoff_Stats!F:Z,Playoff_Stats!A:A=$B1122,Playoff_Stats!B:B=$A1122)))"),"")</f>
        <v/>
      </c>
      <c r="K1122" s="11"/>
      <c r="L1122" s="12"/>
      <c r="M1122" s="11"/>
      <c r="N1122" s="11"/>
      <c r="O1122" s="13"/>
      <c r="P1122" s="14"/>
      <c r="Q1122" s="13"/>
      <c r="R1122" s="13"/>
      <c r="S1122" s="15"/>
      <c r="T1122" s="16"/>
      <c r="U1122" s="16"/>
      <c r="V1122" s="16"/>
      <c r="W1122" s="16"/>
      <c r="X1122" s="16"/>
      <c r="Y1122" s="11"/>
      <c r="Z1122" s="11"/>
      <c r="AA1122" s="11"/>
      <c r="AB1122" s="11"/>
      <c r="AC1122" s="11"/>
      <c r="AD1122" s="11"/>
    </row>
    <row r="1123">
      <c r="A1123" s="10"/>
      <c r="B1123" s="10"/>
      <c r="C1123" s="10"/>
      <c r="D1123" s="10"/>
      <c r="E1123" s="10"/>
      <c r="F1123" s="11"/>
      <c r="G1123" s="11"/>
      <c r="H1123" s="11"/>
      <c r="I1123" s="11"/>
      <c r="J1123" s="11" t="str">
        <f>IFERROR(__xludf.DUMMYFUNCTION("iferror(if($B1123="""", ,filter(Playoff_Stats!F:Z,Playoff_Stats!A:A=$B1123,Playoff_Stats!B:B=$A1123)))"),"")</f>
        <v/>
      </c>
      <c r="K1123" s="11"/>
      <c r="L1123" s="12"/>
      <c r="M1123" s="11"/>
      <c r="N1123" s="11"/>
      <c r="O1123" s="13"/>
      <c r="P1123" s="14"/>
      <c r="Q1123" s="13"/>
      <c r="R1123" s="13"/>
      <c r="S1123" s="15"/>
      <c r="T1123" s="16"/>
      <c r="U1123" s="16"/>
      <c r="V1123" s="16"/>
      <c r="W1123" s="16"/>
      <c r="X1123" s="16"/>
      <c r="Y1123" s="11"/>
      <c r="Z1123" s="11"/>
      <c r="AA1123" s="11"/>
      <c r="AB1123" s="11"/>
      <c r="AC1123" s="11"/>
      <c r="AD1123" s="11"/>
    </row>
    <row r="1124">
      <c r="A1124" s="10"/>
      <c r="B1124" s="10"/>
      <c r="C1124" s="10"/>
      <c r="D1124" s="10"/>
      <c r="E1124" s="10"/>
      <c r="F1124" s="11"/>
      <c r="G1124" s="11"/>
      <c r="H1124" s="11"/>
      <c r="I1124" s="11"/>
      <c r="J1124" s="11" t="str">
        <f>IFERROR(__xludf.DUMMYFUNCTION("iferror(if($B1124="""", ,filter(Playoff_Stats!F:Z,Playoff_Stats!A:A=$B1124,Playoff_Stats!B:B=$A1124)))"),"")</f>
        <v/>
      </c>
      <c r="K1124" s="11"/>
      <c r="L1124" s="12"/>
      <c r="M1124" s="11"/>
      <c r="N1124" s="11"/>
      <c r="O1124" s="13"/>
      <c r="P1124" s="14"/>
      <c r="Q1124" s="13"/>
      <c r="R1124" s="13"/>
      <c r="S1124" s="15"/>
      <c r="T1124" s="16"/>
      <c r="U1124" s="16"/>
      <c r="V1124" s="16"/>
      <c r="W1124" s="16"/>
      <c r="X1124" s="16"/>
      <c r="Y1124" s="11"/>
      <c r="Z1124" s="11"/>
      <c r="AA1124" s="11"/>
      <c r="AB1124" s="11"/>
      <c r="AC1124" s="11"/>
      <c r="AD1124" s="11"/>
    </row>
    <row r="1125">
      <c r="A1125" s="10"/>
      <c r="B1125" s="10"/>
      <c r="C1125" s="10"/>
      <c r="D1125" s="10"/>
      <c r="E1125" s="10"/>
      <c r="F1125" s="11"/>
      <c r="G1125" s="11"/>
      <c r="H1125" s="11"/>
      <c r="I1125" s="11"/>
      <c r="J1125" s="11" t="str">
        <f>IFERROR(__xludf.DUMMYFUNCTION("iferror(if($B1125="""", ,filter(Playoff_Stats!F:Z,Playoff_Stats!A:A=$B1125,Playoff_Stats!B:B=$A1125)))"),"")</f>
        <v/>
      </c>
      <c r="K1125" s="11"/>
      <c r="L1125" s="12"/>
      <c r="M1125" s="11"/>
      <c r="N1125" s="11"/>
      <c r="O1125" s="13"/>
      <c r="P1125" s="14"/>
      <c r="Q1125" s="13"/>
      <c r="R1125" s="13"/>
      <c r="S1125" s="15"/>
      <c r="T1125" s="16"/>
      <c r="U1125" s="16"/>
      <c r="V1125" s="16"/>
      <c r="W1125" s="16"/>
      <c r="X1125" s="16"/>
      <c r="Y1125" s="11"/>
      <c r="Z1125" s="11"/>
      <c r="AA1125" s="11"/>
      <c r="AB1125" s="11"/>
      <c r="AC1125" s="11"/>
      <c r="AD1125" s="11"/>
    </row>
    <row r="1126">
      <c r="A1126" s="10"/>
      <c r="B1126" s="10"/>
      <c r="C1126" s="10"/>
      <c r="D1126" s="10"/>
      <c r="E1126" s="10"/>
      <c r="F1126" s="11"/>
      <c r="G1126" s="11"/>
      <c r="H1126" s="11"/>
      <c r="I1126" s="11"/>
      <c r="J1126" s="11" t="str">
        <f>IFERROR(__xludf.DUMMYFUNCTION("iferror(if($B1126="""", ,filter(Playoff_Stats!F:Z,Playoff_Stats!A:A=$B1126,Playoff_Stats!B:B=$A1126)))"),"")</f>
        <v/>
      </c>
      <c r="K1126" s="11"/>
      <c r="L1126" s="12"/>
      <c r="M1126" s="11"/>
      <c r="N1126" s="11"/>
      <c r="O1126" s="13"/>
      <c r="P1126" s="14"/>
      <c r="Q1126" s="13"/>
      <c r="R1126" s="13"/>
      <c r="S1126" s="15"/>
      <c r="T1126" s="16"/>
      <c r="U1126" s="16"/>
      <c r="V1126" s="16"/>
      <c r="W1126" s="16"/>
      <c r="X1126" s="16"/>
      <c r="Y1126" s="11"/>
      <c r="Z1126" s="11"/>
      <c r="AA1126" s="11"/>
      <c r="AB1126" s="11"/>
      <c r="AC1126" s="11"/>
      <c r="AD1126" s="11"/>
    </row>
    <row r="1127">
      <c r="A1127" s="10"/>
      <c r="B1127" s="10"/>
      <c r="C1127" s="10"/>
      <c r="D1127" s="10"/>
      <c r="E1127" s="10"/>
      <c r="F1127" s="11"/>
      <c r="G1127" s="11"/>
      <c r="H1127" s="11"/>
      <c r="I1127" s="11"/>
      <c r="J1127" s="11" t="str">
        <f>IFERROR(__xludf.DUMMYFUNCTION("iferror(if($B1127="""", ,filter(Playoff_Stats!F:Z,Playoff_Stats!A:A=$B1127,Playoff_Stats!B:B=$A1127)))"),"")</f>
        <v/>
      </c>
      <c r="K1127" s="11"/>
      <c r="L1127" s="12"/>
      <c r="M1127" s="11"/>
      <c r="N1127" s="11"/>
      <c r="O1127" s="13"/>
      <c r="P1127" s="14"/>
      <c r="Q1127" s="13"/>
      <c r="R1127" s="13"/>
      <c r="S1127" s="15"/>
      <c r="T1127" s="16"/>
      <c r="U1127" s="16"/>
      <c r="V1127" s="16"/>
      <c r="W1127" s="16"/>
      <c r="X1127" s="16"/>
      <c r="Y1127" s="11"/>
      <c r="Z1127" s="11"/>
      <c r="AA1127" s="11"/>
      <c r="AB1127" s="11"/>
      <c r="AC1127" s="11"/>
      <c r="AD1127" s="11"/>
    </row>
    <row r="1128">
      <c r="A1128" s="10"/>
      <c r="B1128" s="10"/>
      <c r="C1128" s="10"/>
      <c r="D1128" s="10"/>
      <c r="E1128" s="10"/>
      <c r="F1128" s="11"/>
      <c r="G1128" s="11"/>
      <c r="H1128" s="11"/>
      <c r="I1128" s="11"/>
      <c r="J1128" s="11" t="str">
        <f>IFERROR(__xludf.DUMMYFUNCTION("iferror(if($B1128="""", ,filter(Playoff_Stats!F:Z,Playoff_Stats!A:A=$B1128,Playoff_Stats!B:B=$A1128)))"),"")</f>
        <v/>
      </c>
      <c r="K1128" s="11"/>
      <c r="L1128" s="12"/>
      <c r="M1128" s="11"/>
      <c r="N1128" s="11"/>
      <c r="O1128" s="13"/>
      <c r="P1128" s="14"/>
      <c r="Q1128" s="13"/>
      <c r="R1128" s="13"/>
      <c r="S1128" s="15"/>
      <c r="T1128" s="16"/>
      <c r="U1128" s="16"/>
      <c r="V1128" s="16"/>
      <c r="W1128" s="16"/>
      <c r="X1128" s="16"/>
      <c r="Y1128" s="11"/>
      <c r="Z1128" s="11"/>
      <c r="AA1128" s="11"/>
      <c r="AB1128" s="11"/>
      <c r="AC1128" s="11"/>
      <c r="AD1128" s="11"/>
    </row>
    <row r="1129">
      <c r="A1129" s="10"/>
      <c r="B1129" s="10"/>
      <c r="C1129" s="10"/>
      <c r="D1129" s="10"/>
      <c r="E1129" s="10"/>
      <c r="F1129" s="11"/>
      <c r="G1129" s="11"/>
      <c r="H1129" s="11"/>
      <c r="I1129" s="11"/>
      <c r="J1129" s="11" t="str">
        <f>IFERROR(__xludf.DUMMYFUNCTION("iferror(if($B1129="""", ,filter(Playoff_Stats!F:Z,Playoff_Stats!A:A=$B1129,Playoff_Stats!B:B=$A1129)))"),"")</f>
        <v/>
      </c>
      <c r="K1129" s="11"/>
      <c r="L1129" s="12"/>
      <c r="M1129" s="11"/>
      <c r="N1129" s="11"/>
      <c r="O1129" s="13"/>
      <c r="P1129" s="14"/>
      <c r="Q1129" s="13"/>
      <c r="R1129" s="13"/>
      <c r="S1129" s="15"/>
      <c r="T1129" s="16"/>
      <c r="U1129" s="16"/>
      <c r="V1129" s="16"/>
      <c r="W1129" s="16"/>
      <c r="X1129" s="16"/>
      <c r="Y1129" s="11"/>
      <c r="Z1129" s="11"/>
      <c r="AA1129" s="11"/>
      <c r="AB1129" s="11"/>
      <c r="AC1129" s="11"/>
      <c r="AD1129" s="11"/>
    </row>
    <row r="1130">
      <c r="A1130" s="10"/>
      <c r="B1130" s="10"/>
      <c r="C1130" s="10"/>
      <c r="D1130" s="10"/>
      <c r="E1130" s="10"/>
      <c r="F1130" s="11"/>
      <c r="G1130" s="11"/>
      <c r="H1130" s="11"/>
      <c r="I1130" s="11"/>
      <c r="J1130" s="11" t="str">
        <f>IFERROR(__xludf.DUMMYFUNCTION("iferror(if($B1130="""", ,filter(Playoff_Stats!F:Z,Playoff_Stats!A:A=$B1130,Playoff_Stats!B:B=$A1130)))"),"")</f>
        <v/>
      </c>
      <c r="K1130" s="11"/>
      <c r="L1130" s="12"/>
      <c r="M1130" s="11"/>
      <c r="N1130" s="11"/>
      <c r="O1130" s="13"/>
      <c r="P1130" s="14"/>
      <c r="Q1130" s="13"/>
      <c r="R1130" s="13"/>
      <c r="S1130" s="15"/>
      <c r="T1130" s="16"/>
      <c r="U1130" s="16"/>
      <c r="V1130" s="16"/>
      <c r="W1130" s="16"/>
      <c r="X1130" s="16"/>
      <c r="Y1130" s="11"/>
      <c r="Z1130" s="11"/>
      <c r="AA1130" s="11"/>
      <c r="AB1130" s="11"/>
      <c r="AC1130" s="11"/>
      <c r="AD1130" s="11"/>
    </row>
    <row r="1131">
      <c r="A1131" s="10"/>
      <c r="B1131" s="10"/>
      <c r="C1131" s="10"/>
      <c r="D1131" s="10"/>
      <c r="E1131" s="10"/>
      <c r="F1131" s="11"/>
      <c r="G1131" s="11"/>
      <c r="H1131" s="11"/>
      <c r="I1131" s="11"/>
      <c r="J1131" s="11" t="str">
        <f>IFERROR(__xludf.DUMMYFUNCTION("iferror(if($B1131="""", ,filter(Playoff_Stats!F:Z,Playoff_Stats!A:A=$B1131,Playoff_Stats!B:B=$A1131)))"),"")</f>
        <v/>
      </c>
      <c r="K1131" s="11"/>
      <c r="L1131" s="12"/>
      <c r="M1131" s="11"/>
      <c r="N1131" s="11"/>
      <c r="O1131" s="13"/>
      <c r="P1131" s="14"/>
      <c r="Q1131" s="13"/>
      <c r="R1131" s="13"/>
      <c r="S1131" s="15"/>
      <c r="T1131" s="16"/>
      <c r="U1131" s="16"/>
      <c r="V1131" s="16"/>
      <c r="W1131" s="16"/>
      <c r="X1131" s="16"/>
      <c r="Y1131" s="11"/>
      <c r="Z1131" s="11"/>
      <c r="AA1131" s="11"/>
      <c r="AB1131" s="11"/>
      <c r="AC1131" s="11"/>
      <c r="AD1131" s="11"/>
    </row>
    <row r="1132">
      <c r="A1132" s="10"/>
      <c r="B1132" s="10"/>
      <c r="C1132" s="10"/>
      <c r="D1132" s="10"/>
      <c r="E1132" s="10"/>
      <c r="F1132" s="11"/>
      <c r="G1132" s="11"/>
      <c r="H1132" s="11"/>
      <c r="I1132" s="11"/>
      <c r="J1132" s="11" t="str">
        <f>IFERROR(__xludf.DUMMYFUNCTION("iferror(if($B1132="""", ,filter(Playoff_Stats!F:Z,Playoff_Stats!A:A=$B1132,Playoff_Stats!B:B=$A1132)))"),"")</f>
        <v/>
      </c>
      <c r="K1132" s="11"/>
      <c r="L1132" s="12"/>
      <c r="M1132" s="11"/>
      <c r="N1132" s="11"/>
      <c r="O1132" s="13"/>
      <c r="P1132" s="14"/>
      <c r="Q1132" s="13"/>
      <c r="R1132" s="13"/>
      <c r="S1132" s="15"/>
      <c r="T1132" s="16"/>
      <c r="U1132" s="16"/>
      <c r="V1132" s="16"/>
      <c r="W1132" s="16"/>
      <c r="X1132" s="16"/>
      <c r="Y1132" s="11"/>
      <c r="Z1132" s="11"/>
      <c r="AA1132" s="11"/>
      <c r="AB1132" s="11"/>
      <c r="AC1132" s="11"/>
      <c r="AD1132" s="11"/>
    </row>
    <row r="1133">
      <c r="A1133" s="10"/>
      <c r="B1133" s="10"/>
      <c r="C1133" s="10"/>
      <c r="D1133" s="10"/>
      <c r="E1133" s="10"/>
      <c r="F1133" s="11"/>
      <c r="G1133" s="11"/>
      <c r="H1133" s="11"/>
      <c r="I1133" s="11"/>
      <c r="J1133" s="11" t="str">
        <f>IFERROR(__xludf.DUMMYFUNCTION("iferror(if($B1133="""", ,filter(Playoff_Stats!F:Z,Playoff_Stats!A:A=$B1133,Playoff_Stats!B:B=$A1133)))"),"")</f>
        <v/>
      </c>
      <c r="K1133" s="11"/>
      <c r="L1133" s="12"/>
      <c r="M1133" s="11"/>
      <c r="N1133" s="11"/>
      <c r="O1133" s="13"/>
      <c r="P1133" s="14"/>
      <c r="Q1133" s="13"/>
      <c r="R1133" s="13"/>
      <c r="S1133" s="15"/>
      <c r="T1133" s="16"/>
      <c r="U1133" s="16"/>
      <c r="V1133" s="16"/>
      <c r="W1133" s="16"/>
      <c r="X1133" s="16"/>
      <c r="Y1133" s="11"/>
      <c r="Z1133" s="11"/>
      <c r="AA1133" s="11"/>
      <c r="AB1133" s="11"/>
      <c r="AC1133" s="11"/>
      <c r="AD1133" s="11"/>
    </row>
    <row r="1134">
      <c r="A1134" s="10"/>
      <c r="B1134" s="10"/>
      <c r="C1134" s="10"/>
      <c r="D1134" s="10"/>
      <c r="E1134" s="10"/>
      <c r="F1134" s="11"/>
      <c r="G1134" s="11"/>
      <c r="H1134" s="11"/>
      <c r="I1134" s="11"/>
      <c r="J1134" s="11" t="str">
        <f>IFERROR(__xludf.DUMMYFUNCTION("iferror(if($B1134="""", ,filter(Playoff_Stats!F:Z,Playoff_Stats!A:A=$B1134,Playoff_Stats!B:B=$A1134)))"),"")</f>
        <v/>
      </c>
      <c r="K1134" s="11"/>
      <c r="L1134" s="12"/>
      <c r="M1134" s="11"/>
      <c r="N1134" s="11"/>
      <c r="O1134" s="13"/>
      <c r="P1134" s="14"/>
      <c r="Q1134" s="13"/>
      <c r="R1134" s="13"/>
      <c r="S1134" s="15"/>
      <c r="T1134" s="16"/>
      <c r="U1134" s="16"/>
      <c r="V1134" s="16"/>
      <c r="W1134" s="16"/>
      <c r="X1134" s="16"/>
      <c r="Y1134" s="11"/>
      <c r="Z1134" s="11"/>
      <c r="AA1134" s="11"/>
      <c r="AB1134" s="11"/>
      <c r="AC1134" s="11"/>
      <c r="AD1134" s="11"/>
    </row>
    <row r="1135">
      <c r="A1135" s="10"/>
      <c r="B1135" s="10"/>
      <c r="C1135" s="10"/>
      <c r="D1135" s="10"/>
      <c r="E1135" s="10"/>
      <c r="F1135" s="11"/>
      <c r="G1135" s="11"/>
      <c r="H1135" s="11"/>
      <c r="I1135" s="11"/>
      <c r="J1135" s="11" t="str">
        <f>IFERROR(__xludf.DUMMYFUNCTION("iferror(if($B1135="""", ,filter(Playoff_Stats!F:Z,Playoff_Stats!A:A=$B1135,Playoff_Stats!B:B=$A1135)))"),"")</f>
        <v/>
      </c>
      <c r="K1135" s="11"/>
      <c r="L1135" s="12"/>
      <c r="M1135" s="11"/>
      <c r="N1135" s="11"/>
      <c r="O1135" s="13"/>
      <c r="P1135" s="14"/>
      <c r="Q1135" s="13"/>
      <c r="R1135" s="13"/>
      <c r="S1135" s="15"/>
      <c r="T1135" s="16"/>
      <c r="U1135" s="16"/>
      <c r="V1135" s="16"/>
      <c r="W1135" s="16"/>
      <c r="X1135" s="16"/>
      <c r="Y1135" s="11"/>
      <c r="Z1135" s="11"/>
      <c r="AA1135" s="11"/>
      <c r="AB1135" s="11"/>
      <c r="AC1135" s="11"/>
      <c r="AD1135" s="11"/>
    </row>
    <row r="1136">
      <c r="A1136" s="10"/>
      <c r="B1136" s="10"/>
      <c r="C1136" s="10"/>
      <c r="D1136" s="10"/>
      <c r="E1136" s="10"/>
      <c r="F1136" s="11"/>
      <c r="G1136" s="11"/>
      <c r="H1136" s="11"/>
      <c r="I1136" s="11"/>
      <c r="J1136" s="11" t="str">
        <f>IFERROR(__xludf.DUMMYFUNCTION("iferror(if($B1136="""", ,filter(Playoff_Stats!F:Z,Playoff_Stats!A:A=$B1136,Playoff_Stats!B:B=$A1136)))"),"")</f>
        <v/>
      </c>
      <c r="K1136" s="11"/>
      <c r="L1136" s="12"/>
      <c r="M1136" s="11"/>
      <c r="N1136" s="11"/>
      <c r="O1136" s="13"/>
      <c r="P1136" s="14"/>
      <c r="Q1136" s="13"/>
      <c r="R1136" s="13"/>
      <c r="S1136" s="15"/>
      <c r="T1136" s="16"/>
      <c r="U1136" s="16"/>
      <c r="V1136" s="16"/>
      <c r="W1136" s="16"/>
      <c r="X1136" s="16"/>
      <c r="Y1136" s="11"/>
      <c r="Z1136" s="11"/>
      <c r="AA1136" s="11"/>
      <c r="AB1136" s="11"/>
      <c r="AC1136" s="11"/>
      <c r="AD1136" s="11"/>
    </row>
    <row r="1137">
      <c r="A1137" s="10"/>
      <c r="B1137" s="10"/>
      <c r="C1137" s="10"/>
      <c r="D1137" s="10"/>
      <c r="E1137" s="10"/>
      <c r="F1137" s="11"/>
      <c r="G1137" s="11"/>
      <c r="H1137" s="11"/>
      <c r="I1137" s="11"/>
      <c r="J1137" s="11" t="str">
        <f>IFERROR(__xludf.DUMMYFUNCTION("iferror(if($B1137="""", ,filter(Playoff_Stats!F:Z,Playoff_Stats!A:A=$B1137,Playoff_Stats!B:B=$A1137)))"),"")</f>
        <v/>
      </c>
      <c r="K1137" s="11"/>
      <c r="L1137" s="12"/>
      <c r="M1137" s="11"/>
      <c r="N1137" s="11"/>
      <c r="O1137" s="13"/>
      <c r="P1137" s="14"/>
      <c r="Q1137" s="13"/>
      <c r="R1137" s="13"/>
      <c r="S1137" s="15"/>
      <c r="T1137" s="16"/>
      <c r="U1137" s="16"/>
      <c r="V1137" s="16"/>
      <c r="W1137" s="16"/>
      <c r="X1137" s="16"/>
      <c r="Y1137" s="11"/>
      <c r="Z1137" s="11"/>
      <c r="AA1137" s="11"/>
      <c r="AB1137" s="11"/>
      <c r="AC1137" s="11"/>
      <c r="AD1137" s="11"/>
    </row>
    <row r="1138">
      <c r="A1138" s="10"/>
      <c r="B1138" s="10"/>
      <c r="C1138" s="10"/>
      <c r="D1138" s="10"/>
      <c r="E1138" s="10"/>
      <c r="F1138" s="11"/>
      <c r="G1138" s="11"/>
      <c r="H1138" s="11"/>
      <c r="I1138" s="11"/>
      <c r="J1138" s="11" t="str">
        <f>IFERROR(__xludf.DUMMYFUNCTION("iferror(if($B1138="""", ,filter(Playoff_Stats!F:Z,Playoff_Stats!A:A=$B1138,Playoff_Stats!B:B=$A1138)))"),"")</f>
        <v/>
      </c>
      <c r="K1138" s="11"/>
      <c r="L1138" s="12"/>
      <c r="M1138" s="11"/>
      <c r="N1138" s="11"/>
      <c r="O1138" s="13"/>
      <c r="P1138" s="14"/>
      <c r="Q1138" s="13"/>
      <c r="R1138" s="13"/>
      <c r="S1138" s="15"/>
      <c r="T1138" s="16"/>
      <c r="U1138" s="16"/>
      <c r="V1138" s="16"/>
      <c r="W1138" s="16"/>
      <c r="X1138" s="16"/>
      <c r="Y1138" s="11"/>
      <c r="Z1138" s="11"/>
      <c r="AA1138" s="11"/>
      <c r="AB1138" s="11"/>
      <c r="AC1138" s="11"/>
      <c r="AD1138" s="11"/>
    </row>
    <row r="1139">
      <c r="A1139" s="10"/>
      <c r="B1139" s="10"/>
      <c r="C1139" s="10"/>
      <c r="D1139" s="10"/>
      <c r="E1139" s="10"/>
      <c r="F1139" s="11"/>
      <c r="G1139" s="11"/>
      <c r="H1139" s="11"/>
      <c r="I1139" s="11"/>
      <c r="J1139" s="11" t="str">
        <f>IFERROR(__xludf.DUMMYFUNCTION("iferror(if($B1139="""", ,filter(Playoff_Stats!F:Z,Playoff_Stats!A:A=$B1139,Playoff_Stats!B:B=$A1139)))"),"")</f>
        <v/>
      </c>
      <c r="K1139" s="11"/>
      <c r="L1139" s="12"/>
      <c r="M1139" s="11"/>
      <c r="N1139" s="11"/>
      <c r="O1139" s="13"/>
      <c r="P1139" s="14"/>
      <c r="Q1139" s="13"/>
      <c r="R1139" s="13"/>
      <c r="S1139" s="15"/>
      <c r="T1139" s="16"/>
      <c r="U1139" s="16"/>
      <c r="V1139" s="16"/>
      <c r="W1139" s="16"/>
      <c r="X1139" s="16"/>
      <c r="Y1139" s="11"/>
      <c r="Z1139" s="11"/>
      <c r="AA1139" s="11"/>
      <c r="AB1139" s="11"/>
      <c r="AC1139" s="11"/>
      <c r="AD1139" s="11"/>
    </row>
    <row r="1140">
      <c r="A1140" s="10"/>
      <c r="B1140" s="10"/>
      <c r="C1140" s="10"/>
      <c r="D1140" s="10"/>
      <c r="E1140" s="10"/>
      <c r="F1140" s="11"/>
      <c r="G1140" s="11"/>
      <c r="H1140" s="11"/>
      <c r="I1140" s="11"/>
      <c r="J1140" s="11" t="str">
        <f>IFERROR(__xludf.DUMMYFUNCTION("iferror(if($B1140="""", ,filter(Playoff_Stats!F:Z,Playoff_Stats!A:A=$B1140,Playoff_Stats!B:B=$A1140)))"),"")</f>
        <v/>
      </c>
      <c r="K1140" s="11"/>
      <c r="L1140" s="12"/>
      <c r="M1140" s="11"/>
      <c r="N1140" s="11"/>
      <c r="O1140" s="13"/>
      <c r="P1140" s="14"/>
      <c r="Q1140" s="13"/>
      <c r="R1140" s="13"/>
      <c r="S1140" s="15"/>
      <c r="T1140" s="16"/>
      <c r="U1140" s="16"/>
      <c r="V1140" s="16"/>
      <c r="W1140" s="16"/>
      <c r="X1140" s="16"/>
      <c r="Y1140" s="11"/>
      <c r="Z1140" s="11"/>
      <c r="AA1140" s="11"/>
      <c r="AB1140" s="11"/>
      <c r="AC1140" s="11"/>
      <c r="AD1140" s="11"/>
    </row>
    <row r="1141">
      <c r="A1141" s="10"/>
      <c r="B1141" s="10"/>
      <c r="C1141" s="10"/>
      <c r="D1141" s="10"/>
      <c r="E1141" s="10"/>
      <c r="F1141" s="11"/>
      <c r="G1141" s="11"/>
      <c r="H1141" s="11"/>
      <c r="I1141" s="11"/>
      <c r="J1141" s="11" t="str">
        <f>IFERROR(__xludf.DUMMYFUNCTION("iferror(if($B1141="""", ,filter(Playoff_Stats!F:Z,Playoff_Stats!A:A=$B1141,Playoff_Stats!B:B=$A1141)))"),"")</f>
        <v/>
      </c>
      <c r="K1141" s="11"/>
      <c r="L1141" s="12"/>
      <c r="M1141" s="11"/>
      <c r="N1141" s="11"/>
      <c r="O1141" s="13"/>
      <c r="P1141" s="14"/>
      <c r="Q1141" s="13"/>
      <c r="R1141" s="13"/>
      <c r="S1141" s="15"/>
      <c r="T1141" s="16"/>
      <c r="U1141" s="16"/>
      <c r="V1141" s="16"/>
      <c r="W1141" s="16"/>
      <c r="X1141" s="16"/>
      <c r="Y1141" s="11"/>
      <c r="Z1141" s="11"/>
      <c r="AA1141" s="11"/>
      <c r="AB1141" s="11"/>
      <c r="AC1141" s="11"/>
      <c r="AD1141" s="11"/>
    </row>
    <row r="1142">
      <c r="A1142" s="10"/>
      <c r="B1142" s="10"/>
      <c r="C1142" s="10"/>
      <c r="D1142" s="10"/>
      <c r="E1142" s="10"/>
      <c r="F1142" s="11"/>
      <c r="G1142" s="11"/>
      <c r="H1142" s="11"/>
      <c r="I1142" s="11"/>
      <c r="J1142" s="11" t="str">
        <f>IFERROR(__xludf.DUMMYFUNCTION("iferror(if($B1142="""", ,filter(Playoff_Stats!F:Z,Playoff_Stats!A:A=$B1142,Playoff_Stats!B:B=$A1142)))"),"")</f>
        <v/>
      </c>
      <c r="K1142" s="11"/>
      <c r="L1142" s="12"/>
      <c r="M1142" s="11"/>
      <c r="N1142" s="11"/>
      <c r="O1142" s="13"/>
      <c r="P1142" s="14"/>
      <c r="Q1142" s="13"/>
      <c r="R1142" s="13"/>
      <c r="S1142" s="15"/>
      <c r="T1142" s="16"/>
      <c r="U1142" s="16"/>
      <c r="V1142" s="16"/>
      <c r="W1142" s="16"/>
      <c r="X1142" s="16"/>
      <c r="Y1142" s="11"/>
      <c r="Z1142" s="11"/>
      <c r="AA1142" s="11"/>
      <c r="AB1142" s="11"/>
      <c r="AC1142" s="11"/>
      <c r="AD1142" s="11"/>
    </row>
    <row r="1143">
      <c r="A1143" s="10"/>
      <c r="B1143" s="10"/>
      <c r="C1143" s="10"/>
      <c r="D1143" s="10"/>
      <c r="E1143" s="10"/>
      <c r="F1143" s="11"/>
      <c r="G1143" s="11"/>
      <c r="H1143" s="11"/>
      <c r="I1143" s="11"/>
      <c r="J1143" s="11" t="str">
        <f>IFERROR(__xludf.DUMMYFUNCTION("iferror(if($B1143="""", ,filter(Playoff_Stats!F:Z,Playoff_Stats!A:A=$B1143,Playoff_Stats!B:B=$A1143)))"),"")</f>
        <v/>
      </c>
      <c r="K1143" s="11"/>
      <c r="L1143" s="12"/>
      <c r="M1143" s="11"/>
      <c r="N1143" s="11"/>
      <c r="O1143" s="13"/>
      <c r="P1143" s="14"/>
      <c r="Q1143" s="13"/>
      <c r="R1143" s="13"/>
      <c r="S1143" s="15"/>
      <c r="T1143" s="16"/>
      <c r="U1143" s="16"/>
      <c r="V1143" s="16"/>
      <c r="W1143" s="16"/>
      <c r="X1143" s="16"/>
      <c r="Y1143" s="11"/>
      <c r="Z1143" s="11"/>
      <c r="AA1143" s="11"/>
      <c r="AB1143" s="11"/>
      <c r="AC1143" s="11"/>
      <c r="AD1143" s="11"/>
    </row>
    <row r="1144">
      <c r="A1144" s="10"/>
      <c r="B1144" s="10"/>
      <c r="C1144" s="10"/>
      <c r="D1144" s="10"/>
      <c r="E1144" s="10"/>
      <c r="F1144" s="11"/>
      <c r="G1144" s="11"/>
      <c r="H1144" s="11"/>
      <c r="I1144" s="11"/>
      <c r="J1144" s="11" t="str">
        <f>IFERROR(__xludf.DUMMYFUNCTION("iferror(if($B1144="""", ,filter(Playoff_Stats!F:Z,Playoff_Stats!A:A=$B1144,Playoff_Stats!B:B=$A1144)))"),"")</f>
        <v/>
      </c>
      <c r="K1144" s="11"/>
      <c r="L1144" s="12"/>
      <c r="M1144" s="11"/>
      <c r="N1144" s="11"/>
      <c r="O1144" s="13"/>
      <c r="P1144" s="14"/>
      <c r="Q1144" s="13"/>
      <c r="R1144" s="13"/>
      <c r="S1144" s="15"/>
      <c r="T1144" s="16"/>
      <c r="U1144" s="16"/>
      <c r="V1144" s="16"/>
      <c r="W1144" s="16"/>
      <c r="X1144" s="16"/>
      <c r="Y1144" s="11"/>
      <c r="Z1144" s="11"/>
      <c r="AA1144" s="11"/>
      <c r="AB1144" s="11"/>
      <c r="AC1144" s="11"/>
      <c r="AD1144" s="11"/>
    </row>
    <row r="1145">
      <c r="A1145" s="10"/>
      <c r="B1145" s="10"/>
      <c r="C1145" s="10"/>
      <c r="D1145" s="10"/>
      <c r="E1145" s="10"/>
      <c r="F1145" s="11"/>
      <c r="G1145" s="11"/>
      <c r="H1145" s="11"/>
      <c r="I1145" s="11"/>
      <c r="J1145" s="11" t="str">
        <f>IFERROR(__xludf.DUMMYFUNCTION("iferror(if($B1145="""", ,filter(Playoff_Stats!F:Z,Playoff_Stats!A:A=$B1145,Playoff_Stats!B:B=$A1145)))"),"")</f>
        <v/>
      </c>
      <c r="K1145" s="11"/>
      <c r="L1145" s="12"/>
      <c r="M1145" s="11"/>
      <c r="N1145" s="11"/>
      <c r="O1145" s="13"/>
      <c r="P1145" s="14"/>
      <c r="Q1145" s="13"/>
      <c r="R1145" s="13"/>
      <c r="S1145" s="15"/>
      <c r="T1145" s="16"/>
      <c r="U1145" s="16"/>
      <c r="V1145" s="16"/>
      <c r="W1145" s="16"/>
      <c r="X1145" s="16"/>
      <c r="Y1145" s="11"/>
      <c r="Z1145" s="11"/>
      <c r="AA1145" s="11"/>
      <c r="AB1145" s="11"/>
      <c r="AC1145" s="11"/>
      <c r="AD1145" s="11"/>
    </row>
    <row r="1146">
      <c r="A1146" s="10"/>
      <c r="B1146" s="10"/>
      <c r="C1146" s="10"/>
      <c r="D1146" s="10"/>
      <c r="E1146" s="10"/>
      <c r="F1146" s="11"/>
      <c r="G1146" s="11"/>
      <c r="H1146" s="11"/>
      <c r="I1146" s="11"/>
      <c r="J1146" s="11" t="str">
        <f>IFERROR(__xludf.DUMMYFUNCTION("iferror(if($B1146="""", ,filter(Playoff_Stats!F:Z,Playoff_Stats!A:A=$B1146,Playoff_Stats!B:B=$A1146)))"),"")</f>
        <v/>
      </c>
      <c r="K1146" s="11"/>
      <c r="L1146" s="12"/>
      <c r="M1146" s="11"/>
      <c r="N1146" s="11"/>
      <c r="O1146" s="13"/>
      <c r="P1146" s="14"/>
      <c r="Q1146" s="13"/>
      <c r="R1146" s="13"/>
      <c r="S1146" s="15"/>
      <c r="T1146" s="16"/>
      <c r="U1146" s="16"/>
      <c r="V1146" s="16"/>
      <c r="W1146" s="16"/>
      <c r="X1146" s="16"/>
      <c r="Y1146" s="11"/>
      <c r="Z1146" s="11"/>
      <c r="AA1146" s="11"/>
      <c r="AB1146" s="11"/>
      <c r="AC1146" s="11"/>
      <c r="AD1146" s="11"/>
    </row>
    <row r="1147">
      <c r="A1147" s="10"/>
      <c r="B1147" s="10"/>
      <c r="C1147" s="10"/>
      <c r="D1147" s="10"/>
      <c r="E1147" s="10"/>
      <c r="F1147" s="11"/>
      <c r="G1147" s="11"/>
      <c r="H1147" s="11"/>
      <c r="I1147" s="11"/>
      <c r="J1147" s="11" t="str">
        <f>IFERROR(__xludf.DUMMYFUNCTION("iferror(if($B1147="""", ,filter(Playoff_Stats!F:Z,Playoff_Stats!A:A=$B1147,Playoff_Stats!B:B=$A1147)))"),"")</f>
        <v/>
      </c>
      <c r="K1147" s="11"/>
      <c r="L1147" s="12"/>
      <c r="M1147" s="11"/>
      <c r="N1147" s="11"/>
      <c r="O1147" s="13"/>
      <c r="P1147" s="14"/>
      <c r="Q1147" s="13"/>
      <c r="R1147" s="13"/>
      <c r="S1147" s="15"/>
      <c r="T1147" s="16"/>
      <c r="U1147" s="16"/>
      <c r="V1147" s="16"/>
      <c r="W1147" s="16"/>
      <c r="X1147" s="16"/>
      <c r="Y1147" s="11"/>
      <c r="Z1147" s="11"/>
      <c r="AA1147" s="11"/>
      <c r="AB1147" s="11"/>
      <c r="AC1147" s="11"/>
      <c r="AD1147" s="11"/>
    </row>
    <row r="1148">
      <c r="A1148" s="10"/>
      <c r="B1148" s="10"/>
      <c r="C1148" s="10"/>
      <c r="D1148" s="10"/>
      <c r="E1148" s="10"/>
      <c r="F1148" s="11"/>
      <c r="G1148" s="11"/>
      <c r="H1148" s="11"/>
      <c r="I1148" s="11"/>
      <c r="J1148" s="11" t="str">
        <f>IFERROR(__xludf.DUMMYFUNCTION("iferror(if($B1148="""", ,filter(Playoff_Stats!F:Z,Playoff_Stats!A:A=$B1148,Playoff_Stats!B:B=$A1148)))"),"")</f>
        <v/>
      </c>
      <c r="K1148" s="11"/>
      <c r="L1148" s="12"/>
      <c r="M1148" s="11"/>
      <c r="N1148" s="11"/>
      <c r="O1148" s="13"/>
      <c r="P1148" s="14"/>
      <c r="Q1148" s="13"/>
      <c r="R1148" s="13"/>
      <c r="S1148" s="15"/>
      <c r="T1148" s="16"/>
      <c r="U1148" s="16"/>
      <c r="V1148" s="16"/>
      <c r="W1148" s="16"/>
      <c r="X1148" s="16"/>
      <c r="Y1148" s="11"/>
      <c r="Z1148" s="11"/>
      <c r="AA1148" s="11"/>
      <c r="AB1148" s="11"/>
      <c r="AC1148" s="11"/>
      <c r="AD1148" s="11"/>
    </row>
    <row r="1149">
      <c r="A1149" s="10"/>
      <c r="B1149" s="10"/>
      <c r="C1149" s="10"/>
      <c r="D1149" s="10"/>
      <c r="E1149" s="10"/>
      <c r="F1149" s="11"/>
      <c r="G1149" s="11"/>
      <c r="H1149" s="11"/>
      <c r="I1149" s="11"/>
      <c r="J1149" s="11" t="str">
        <f>IFERROR(__xludf.DUMMYFUNCTION("iferror(if($B1149="""", ,filter(Playoff_Stats!F:Z,Playoff_Stats!A:A=$B1149,Playoff_Stats!B:B=$A1149)))"),"")</f>
        <v/>
      </c>
      <c r="K1149" s="11"/>
      <c r="L1149" s="12"/>
      <c r="M1149" s="11"/>
      <c r="N1149" s="11"/>
      <c r="O1149" s="13"/>
      <c r="P1149" s="14"/>
      <c r="Q1149" s="13"/>
      <c r="R1149" s="13"/>
      <c r="S1149" s="15"/>
      <c r="T1149" s="16"/>
      <c r="U1149" s="16"/>
      <c r="V1149" s="16"/>
      <c r="W1149" s="16"/>
      <c r="X1149" s="16"/>
      <c r="Y1149" s="11"/>
      <c r="Z1149" s="11"/>
      <c r="AA1149" s="11"/>
      <c r="AB1149" s="11"/>
      <c r="AC1149" s="11"/>
      <c r="AD1149" s="11"/>
    </row>
    <row r="1150">
      <c r="A1150" s="10"/>
      <c r="B1150" s="10"/>
      <c r="C1150" s="10"/>
      <c r="D1150" s="10"/>
      <c r="E1150" s="10"/>
      <c r="F1150" s="11"/>
      <c r="G1150" s="11"/>
      <c r="H1150" s="11"/>
      <c r="I1150" s="11"/>
      <c r="J1150" s="11" t="str">
        <f>IFERROR(__xludf.DUMMYFUNCTION("iferror(if($B1150="""", ,filter(Playoff_Stats!F:Z,Playoff_Stats!A:A=$B1150,Playoff_Stats!B:B=$A1150)))"),"")</f>
        <v/>
      </c>
      <c r="K1150" s="11"/>
      <c r="L1150" s="12"/>
      <c r="M1150" s="11"/>
      <c r="N1150" s="11"/>
      <c r="O1150" s="13"/>
      <c r="P1150" s="14"/>
      <c r="Q1150" s="13"/>
      <c r="R1150" s="13"/>
      <c r="S1150" s="15"/>
      <c r="T1150" s="16"/>
      <c r="U1150" s="16"/>
      <c r="V1150" s="16"/>
      <c r="W1150" s="16"/>
      <c r="X1150" s="16"/>
      <c r="Y1150" s="11"/>
      <c r="Z1150" s="11"/>
      <c r="AA1150" s="11"/>
      <c r="AB1150" s="11"/>
      <c r="AC1150" s="11"/>
      <c r="AD1150" s="11"/>
    </row>
    <row r="1151">
      <c r="A1151" s="10"/>
      <c r="B1151" s="10"/>
      <c r="C1151" s="10"/>
      <c r="D1151" s="10"/>
      <c r="E1151" s="10"/>
      <c r="F1151" s="11"/>
      <c r="G1151" s="11"/>
      <c r="H1151" s="11"/>
      <c r="I1151" s="11"/>
      <c r="J1151" s="11" t="str">
        <f>IFERROR(__xludf.DUMMYFUNCTION("iferror(if($B1151="""", ,filter(Playoff_Stats!F:Z,Playoff_Stats!A:A=$B1151,Playoff_Stats!B:B=$A1151)))"),"")</f>
        <v/>
      </c>
      <c r="K1151" s="11"/>
      <c r="L1151" s="12"/>
      <c r="M1151" s="11"/>
      <c r="N1151" s="11"/>
      <c r="O1151" s="13"/>
      <c r="P1151" s="14"/>
      <c r="Q1151" s="13"/>
      <c r="R1151" s="13"/>
      <c r="S1151" s="15"/>
      <c r="T1151" s="16"/>
      <c r="U1151" s="16"/>
      <c r="V1151" s="16"/>
      <c r="W1151" s="16"/>
      <c r="X1151" s="16"/>
      <c r="Y1151" s="11"/>
      <c r="Z1151" s="11"/>
      <c r="AA1151" s="11"/>
      <c r="AB1151" s="11"/>
      <c r="AC1151" s="11"/>
      <c r="AD1151" s="11"/>
    </row>
    <row r="1152">
      <c r="A1152" s="10"/>
      <c r="B1152" s="10"/>
      <c r="C1152" s="10"/>
      <c r="D1152" s="10"/>
      <c r="E1152" s="10"/>
      <c r="F1152" s="11"/>
      <c r="G1152" s="11"/>
      <c r="H1152" s="11"/>
      <c r="I1152" s="11"/>
      <c r="J1152" s="11" t="str">
        <f>IFERROR(__xludf.DUMMYFUNCTION("iferror(if($B1152="""", ,filter(Playoff_Stats!F:Z,Playoff_Stats!A:A=$B1152,Playoff_Stats!B:B=$A1152)))"),"")</f>
        <v/>
      </c>
      <c r="K1152" s="11"/>
      <c r="L1152" s="12"/>
      <c r="M1152" s="11"/>
      <c r="N1152" s="11"/>
      <c r="O1152" s="13"/>
      <c r="P1152" s="14"/>
      <c r="Q1152" s="13"/>
      <c r="R1152" s="13"/>
      <c r="S1152" s="15"/>
      <c r="T1152" s="16"/>
      <c r="U1152" s="16"/>
      <c r="V1152" s="16"/>
      <c r="W1152" s="16"/>
      <c r="X1152" s="16"/>
      <c r="Y1152" s="11"/>
      <c r="Z1152" s="11"/>
      <c r="AA1152" s="11"/>
      <c r="AB1152" s="11"/>
      <c r="AC1152" s="11"/>
      <c r="AD1152" s="11"/>
    </row>
    <row r="1153">
      <c r="A1153" s="10"/>
      <c r="B1153" s="10"/>
      <c r="C1153" s="10"/>
      <c r="D1153" s="10"/>
      <c r="E1153" s="10"/>
      <c r="F1153" s="11"/>
      <c r="G1153" s="11"/>
      <c r="H1153" s="11"/>
      <c r="I1153" s="11"/>
      <c r="J1153" s="11" t="str">
        <f>IFERROR(__xludf.DUMMYFUNCTION("iferror(if($B1153="""", ,filter(Playoff_Stats!F:Z,Playoff_Stats!A:A=$B1153,Playoff_Stats!B:B=$A1153)))"),"")</f>
        <v/>
      </c>
      <c r="K1153" s="11"/>
      <c r="L1153" s="12"/>
      <c r="M1153" s="11"/>
      <c r="N1153" s="11"/>
      <c r="O1153" s="13"/>
      <c r="P1153" s="14"/>
      <c r="Q1153" s="13"/>
      <c r="R1153" s="13"/>
      <c r="S1153" s="15"/>
      <c r="T1153" s="16"/>
      <c r="U1153" s="16"/>
      <c r="V1153" s="16"/>
      <c r="W1153" s="16"/>
      <c r="X1153" s="16"/>
      <c r="Y1153" s="11"/>
      <c r="Z1153" s="11"/>
      <c r="AA1153" s="11"/>
      <c r="AB1153" s="11"/>
      <c r="AC1153" s="11"/>
      <c r="AD1153" s="11"/>
    </row>
    <row r="1154">
      <c r="A1154" s="10"/>
      <c r="B1154" s="10"/>
      <c r="C1154" s="10"/>
      <c r="D1154" s="10"/>
      <c r="E1154" s="10"/>
      <c r="F1154" s="11"/>
      <c r="G1154" s="11"/>
      <c r="H1154" s="11"/>
      <c r="I1154" s="11"/>
      <c r="J1154" s="11" t="str">
        <f>IFERROR(__xludf.DUMMYFUNCTION("iferror(if($B1154="""", ,filter(Playoff_Stats!F:Z,Playoff_Stats!A:A=$B1154,Playoff_Stats!B:B=$A1154)))"),"")</f>
        <v/>
      </c>
      <c r="K1154" s="11"/>
      <c r="L1154" s="12"/>
      <c r="M1154" s="11"/>
      <c r="N1154" s="11"/>
      <c r="O1154" s="13"/>
      <c r="P1154" s="14"/>
      <c r="Q1154" s="13"/>
      <c r="R1154" s="13"/>
      <c r="S1154" s="15"/>
      <c r="T1154" s="16"/>
      <c r="U1154" s="16"/>
      <c r="V1154" s="16"/>
      <c r="W1154" s="16"/>
      <c r="X1154" s="16"/>
      <c r="Y1154" s="11"/>
      <c r="Z1154" s="11"/>
      <c r="AA1154" s="11"/>
      <c r="AB1154" s="11"/>
      <c r="AC1154" s="11"/>
      <c r="AD1154" s="11"/>
    </row>
    <row r="1155">
      <c r="A1155" s="10"/>
      <c r="B1155" s="10"/>
      <c r="C1155" s="10"/>
      <c r="D1155" s="10"/>
      <c r="E1155" s="10"/>
      <c r="F1155" s="11"/>
      <c r="G1155" s="11"/>
      <c r="H1155" s="11"/>
      <c r="I1155" s="11"/>
      <c r="J1155" s="11" t="str">
        <f>IFERROR(__xludf.DUMMYFUNCTION("iferror(if($B1155="""", ,filter(Playoff_Stats!F:Z,Playoff_Stats!A:A=$B1155,Playoff_Stats!B:B=$A1155)))"),"")</f>
        <v/>
      </c>
      <c r="K1155" s="11"/>
      <c r="L1155" s="12"/>
      <c r="M1155" s="11"/>
      <c r="N1155" s="11"/>
      <c r="O1155" s="13"/>
      <c r="P1155" s="14"/>
      <c r="Q1155" s="13"/>
      <c r="R1155" s="13"/>
      <c r="S1155" s="15"/>
      <c r="T1155" s="16"/>
      <c r="U1155" s="16"/>
      <c r="V1155" s="16"/>
      <c r="W1155" s="16"/>
      <c r="X1155" s="16"/>
      <c r="Y1155" s="11"/>
      <c r="Z1155" s="11"/>
      <c r="AA1155" s="11"/>
      <c r="AB1155" s="11"/>
      <c r="AC1155" s="11"/>
      <c r="AD1155" s="11"/>
    </row>
    <row r="1156">
      <c r="A1156" s="10"/>
      <c r="B1156" s="10"/>
      <c r="C1156" s="10"/>
      <c r="D1156" s="10"/>
      <c r="E1156" s="10"/>
      <c r="F1156" s="11"/>
      <c r="G1156" s="11"/>
      <c r="H1156" s="11"/>
      <c r="I1156" s="11"/>
      <c r="J1156" s="11" t="str">
        <f>IFERROR(__xludf.DUMMYFUNCTION("iferror(if($B1156="""", ,filter(Playoff_Stats!F:Z,Playoff_Stats!A:A=$B1156,Playoff_Stats!B:B=$A1156)))"),"")</f>
        <v/>
      </c>
      <c r="K1156" s="11"/>
      <c r="L1156" s="12"/>
      <c r="M1156" s="11"/>
      <c r="N1156" s="11"/>
      <c r="O1156" s="13"/>
      <c r="P1156" s="14"/>
      <c r="Q1156" s="13"/>
      <c r="R1156" s="13"/>
      <c r="S1156" s="15"/>
      <c r="T1156" s="16"/>
      <c r="U1156" s="16"/>
      <c r="V1156" s="16"/>
      <c r="W1156" s="16"/>
      <c r="X1156" s="16"/>
      <c r="Y1156" s="11"/>
      <c r="Z1156" s="11"/>
      <c r="AA1156" s="11"/>
      <c r="AB1156" s="11"/>
      <c r="AC1156" s="11"/>
      <c r="AD1156" s="11"/>
    </row>
    <row r="1157">
      <c r="A1157" s="10"/>
      <c r="B1157" s="10"/>
      <c r="C1157" s="10"/>
      <c r="D1157" s="10"/>
      <c r="E1157" s="10"/>
      <c r="F1157" s="11"/>
      <c r="G1157" s="11"/>
      <c r="H1157" s="11"/>
      <c r="I1157" s="11"/>
      <c r="J1157" s="11" t="str">
        <f>IFERROR(__xludf.DUMMYFUNCTION("iferror(if($B1157="""", ,filter(Playoff_Stats!F:Z,Playoff_Stats!A:A=$B1157,Playoff_Stats!B:B=$A1157)))"),"")</f>
        <v/>
      </c>
      <c r="K1157" s="11"/>
      <c r="L1157" s="12"/>
      <c r="M1157" s="11"/>
      <c r="N1157" s="11"/>
      <c r="O1157" s="13"/>
      <c r="P1157" s="14"/>
      <c r="Q1157" s="13"/>
      <c r="R1157" s="13"/>
      <c r="S1157" s="15"/>
      <c r="T1157" s="16"/>
      <c r="U1157" s="16"/>
      <c r="V1157" s="16"/>
      <c r="W1157" s="16"/>
      <c r="X1157" s="16"/>
      <c r="Y1157" s="11"/>
      <c r="Z1157" s="11"/>
      <c r="AA1157" s="11"/>
      <c r="AB1157" s="11"/>
      <c r="AC1157" s="11"/>
      <c r="AD1157" s="11"/>
    </row>
    <row r="1158">
      <c r="A1158" s="10"/>
      <c r="B1158" s="10"/>
      <c r="C1158" s="10"/>
      <c r="D1158" s="10"/>
      <c r="E1158" s="10"/>
      <c r="F1158" s="11"/>
      <c r="G1158" s="11"/>
      <c r="H1158" s="11"/>
      <c r="I1158" s="11"/>
      <c r="J1158" s="11" t="str">
        <f>IFERROR(__xludf.DUMMYFUNCTION("iferror(if($B1158="""", ,filter(Playoff_Stats!F:Z,Playoff_Stats!A:A=$B1158,Playoff_Stats!B:B=$A1158)))"),"")</f>
        <v/>
      </c>
      <c r="K1158" s="11"/>
      <c r="L1158" s="12"/>
      <c r="M1158" s="11"/>
      <c r="N1158" s="11"/>
      <c r="O1158" s="13"/>
      <c r="P1158" s="14"/>
      <c r="Q1158" s="13"/>
      <c r="R1158" s="13"/>
      <c r="S1158" s="15"/>
      <c r="T1158" s="16"/>
      <c r="U1158" s="16"/>
      <c r="V1158" s="16"/>
      <c r="W1158" s="16"/>
      <c r="X1158" s="16"/>
      <c r="Y1158" s="11"/>
      <c r="Z1158" s="11"/>
      <c r="AA1158" s="11"/>
      <c r="AB1158" s="11"/>
      <c r="AC1158" s="11"/>
      <c r="AD1158" s="11"/>
    </row>
    <row r="1159">
      <c r="A1159" s="10"/>
      <c r="B1159" s="10"/>
      <c r="C1159" s="10"/>
      <c r="D1159" s="10"/>
      <c r="E1159" s="10"/>
      <c r="F1159" s="11"/>
      <c r="G1159" s="11"/>
      <c r="H1159" s="11"/>
      <c r="I1159" s="11"/>
      <c r="J1159" s="11" t="str">
        <f>IFERROR(__xludf.DUMMYFUNCTION("iferror(if($B1159="""", ,filter(Playoff_Stats!F:Z,Playoff_Stats!A:A=$B1159,Playoff_Stats!B:B=$A1159)))"),"")</f>
        <v/>
      </c>
      <c r="K1159" s="11"/>
      <c r="L1159" s="12"/>
      <c r="M1159" s="11"/>
      <c r="N1159" s="11"/>
      <c r="O1159" s="13"/>
      <c r="P1159" s="14"/>
      <c r="Q1159" s="13"/>
      <c r="R1159" s="13"/>
      <c r="S1159" s="15"/>
      <c r="T1159" s="16"/>
      <c r="U1159" s="16"/>
      <c r="V1159" s="16"/>
      <c r="W1159" s="16"/>
      <c r="X1159" s="16"/>
      <c r="Y1159" s="11"/>
      <c r="Z1159" s="11"/>
      <c r="AA1159" s="11"/>
      <c r="AB1159" s="11"/>
      <c r="AC1159" s="11"/>
      <c r="AD1159" s="11"/>
    </row>
    <row r="1160">
      <c r="A1160" s="10"/>
      <c r="B1160" s="10"/>
      <c r="C1160" s="10"/>
      <c r="D1160" s="10"/>
      <c r="E1160" s="10"/>
      <c r="F1160" s="11"/>
      <c r="G1160" s="11"/>
      <c r="H1160" s="11"/>
      <c r="I1160" s="11"/>
      <c r="J1160" s="11" t="str">
        <f>IFERROR(__xludf.DUMMYFUNCTION("iferror(if($B1160="""", ,filter(Playoff_Stats!F:Z,Playoff_Stats!A:A=$B1160,Playoff_Stats!B:B=$A1160)))"),"")</f>
        <v/>
      </c>
      <c r="K1160" s="11"/>
      <c r="L1160" s="12"/>
      <c r="M1160" s="11"/>
      <c r="N1160" s="11"/>
      <c r="O1160" s="13"/>
      <c r="P1160" s="14"/>
      <c r="Q1160" s="13"/>
      <c r="R1160" s="13"/>
      <c r="S1160" s="15"/>
      <c r="T1160" s="16"/>
      <c r="U1160" s="16"/>
      <c r="V1160" s="16"/>
      <c r="W1160" s="16"/>
      <c r="X1160" s="16"/>
      <c r="Y1160" s="11"/>
      <c r="Z1160" s="11"/>
      <c r="AA1160" s="11"/>
      <c r="AB1160" s="11"/>
      <c r="AC1160" s="11"/>
      <c r="AD1160" s="11"/>
    </row>
    <row r="1161">
      <c r="A1161" s="10"/>
      <c r="B1161" s="10"/>
      <c r="C1161" s="10"/>
      <c r="D1161" s="10"/>
      <c r="E1161" s="10"/>
      <c r="F1161" s="11"/>
      <c r="G1161" s="11"/>
      <c r="H1161" s="11"/>
      <c r="I1161" s="11"/>
      <c r="J1161" s="11" t="str">
        <f>IFERROR(__xludf.DUMMYFUNCTION("iferror(if($B1161="""", ,filter(Playoff_Stats!F:Z,Playoff_Stats!A:A=$B1161,Playoff_Stats!B:B=$A1161)))"),"")</f>
        <v/>
      </c>
      <c r="K1161" s="11"/>
      <c r="L1161" s="12"/>
      <c r="M1161" s="11"/>
      <c r="N1161" s="11"/>
      <c r="O1161" s="13"/>
      <c r="P1161" s="14"/>
      <c r="Q1161" s="13"/>
      <c r="R1161" s="13"/>
      <c r="S1161" s="15"/>
      <c r="T1161" s="16"/>
      <c r="U1161" s="16"/>
      <c r="V1161" s="16"/>
      <c r="W1161" s="16"/>
      <c r="X1161" s="16"/>
      <c r="Y1161" s="11"/>
      <c r="Z1161" s="11"/>
      <c r="AA1161" s="11"/>
      <c r="AB1161" s="11"/>
      <c r="AC1161" s="11"/>
      <c r="AD1161" s="11"/>
    </row>
    <row r="1162">
      <c r="A1162" s="10"/>
      <c r="B1162" s="10"/>
      <c r="C1162" s="10"/>
      <c r="D1162" s="10"/>
      <c r="E1162" s="10"/>
      <c r="F1162" s="11"/>
      <c r="G1162" s="11"/>
      <c r="H1162" s="11"/>
      <c r="I1162" s="11"/>
      <c r="J1162" s="11" t="str">
        <f>IFERROR(__xludf.DUMMYFUNCTION("iferror(if($B1162="""", ,filter(Playoff_Stats!F:Z,Playoff_Stats!A:A=$B1162,Playoff_Stats!B:B=$A1162)))"),"")</f>
        <v/>
      </c>
      <c r="K1162" s="11"/>
      <c r="L1162" s="12"/>
      <c r="M1162" s="11"/>
      <c r="N1162" s="11"/>
      <c r="O1162" s="13"/>
      <c r="P1162" s="14"/>
      <c r="Q1162" s="13"/>
      <c r="R1162" s="13"/>
      <c r="S1162" s="15"/>
      <c r="T1162" s="16"/>
      <c r="U1162" s="16"/>
      <c r="V1162" s="16"/>
      <c r="W1162" s="16"/>
      <c r="X1162" s="16"/>
      <c r="Y1162" s="11"/>
      <c r="Z1162" s="11"/>
      <c r="AA1162" s="11"/>
      <c r="AB1162" s="11"/>
      <c r="AC1162" s="11"/>
      <c r="AD1162" s="11"/>
    </row>
    <row r="1163">
      <c r="A1163" s="10"/>
      <c r="B1163" s="10"/>
      <c r="C1163" s="10"/>
      <c r="D1163" s="10"/>
      <c r="E1163" s="10"/>
      <c r="F1163" s="11"/>
      <c r="G1163" s="11"/>
      <c r="H1163" s="11"/>
      <c r="I1163" s="11"/>
      <c r="J1163" s="11" t="str">
        <f>IFERROR(__xludf.DUMMYFUNCTION("iferror(if($B1163="""", ,filter(Playoff_Stats!F:Z,Playoff_Stats!A:A=$B1163,Playoff_Stats!B:B=$A1163)))"),"")</f>
        <v/>
      </c>
      <c r="K1163" s="11"/>
      <c r="L1163" s="12"/>
      <c r="M1163" s="11"/>
      <c r="N1163" s="11"/>
      <c r="O1163" s="13"/>
      <c r="P1163" s="14"/>
      <c r="Q1163" s="13"/>
      <c r="R1163" s="13"/>
      <c r="S1163" s="15"/>
      <c r="T1163" s="16"/>
      <c r="U1163" s="16"/>
      <c r="V1163" s="16"/>
      <c r="W1163" s="16"/>
      <c r="X1163" s="16"/>
      <c r="Y1163" s="11"/>
      <c r="Z1163" s="11"/>
      <c r="AA1163" s="11"/>
      <c r="AB1163" s="11"/>
      <c r="AC1163" s="11"/>
      <c r="AD1163" s="11"/>
    </row>
    <row r="1164">
      <c r="A1164" s="10"/>
      <c r="B1164" s="10"/>
      <c r="C1164" s="10"/>
      <c r="D1164" s="10"/>
      <c r="E1164" s="10"/>
      <c r="F1164" s="11"/>
      <c r="G1164" s="11"/>
      <c r="H1164" s="11"/>
      <c r="I1164" s="11"/>
      <c r="J1164" s="11" t="str">
        <f>IFERROR(__xludf.DUMMYFUNCTION("iferror(if($B1164="""", ,filter(Playoff_Stats!F:Z,Playoff_Stats!A:A=$B1164,Playoff_Stats!B:B=$A1164)))"),"")</f>
        <v/>
      </c>
      <c r="K1164" s="11"/>
      <c r="L1164" s="12"/>
      <c r="M1164" s="11"/>
      <c r="N1164" s="11"/>
      <c r="O1164" s="13"/>
      <c r="P1164" s="14"/>
      <c r="Q1164" s="13"/>
      <c r="R1164" s="13"/>
      <c r="S1164" s="15"/>
      <c r="T1164" s="16"/>
      <c r="U1164" s="16"/>
      <c r="V1164" s="16"/>
      <c r="W1164" s="16"/>
      <c r="X1164" s="16"/>
      <c r="Y1164" s="11"/>
      <c r="Z1164" s="11"/>
      <c r="AA1164" s="11"/>
      <c r="AB1164" s="11"/>
      <c r="AC1164" s="11"/>
      <c r="AD1164" s="11"/>
    </row>
    <row r="1165">
      <c r="A1165" s="10"/>
      <c r="B1165" s="10"/>
      <c r="C1165" s="10"/>
      <c r="D1165" s="10"/>
      <c r="E1165" s="10"/>
      <c r="F1165" s="11"/>
      <c r="G1165" s="11"/>
      <c r="H1165" s="11"/>
      <c r="I1165" s="11"/>
      <c r="J1165" s="11" t="str">
        <f>IFERROR(__xludf.DUMMYFUNCTION("iferror(if($B1165="""", ,filter(Playoff_Stats!F:Z,Playoff_Stats!A:A=$B1165,Playoff_Stats!B:B=$A1165)))"),"")</f>
        <v/>
      </c>
      <c r="K1165" s="11"/>
      <c r="L1165" s="12"/>
      <c r="M1165" s="11"/>
      <c r="N1165" s="11"/>
      <c r="O1165" s="13"/>
      <c r="P1165" s="14"/>
      <c r="Q1165" s="13"/>
      <c r="R1165" s="13"/>
      <c r="S1165" s="15"/>
      <c r="T1165" s="16"/>
      <c r="U1165" s="16"/>
      <c r="V1165" s="16"/>
      <c r="W1165" s="16"/>
      <c r="X1165" s="16"/>
      <c r="Y1165" s="11"/>
      <c r="Z1165" s="11"/>
      <c r="AA1165" s="11"/>
      <c r="AB1165" s="11"/>
      <c r="AC1165" s="11"/>
      <c r="AD1165" s="11"/>
    </row>
    <row r="1166">
      <c r="A1166" s="10"/>
      <c r="B1166" s="10"/>
      <c r="C1166" s="10"/>
      <c r="D1166" s="10"/>
      <c r="E1166" s="10"/>
      <c r="F1166" s="11"/>
      <c r="G1166" s="11"/>
      <c r="H1166" s="11"/>
      <c r="I1166" s="11"/>
      <c r="J1166" s="11" t="str">
        <f>IFERROR(__xludf.DUMMYFUNCTION("iferror(if($B1166="""", ,filter(Playoff_Stats!F:Z,Playoff_Stats!A:A=$B1166,Playoff_Stats!B:B=$A1166)))"),"")</f>
        <v/>
      </c>
      <c r="K1166" s="11"/>
      <c r="L1166" s="12"/>
      <c r="M1166" s="11"/>
      <c r="N1166" s="11"/>
      <c r="O1166" s="13"/>
      <c r="P1166" s="14"/>
      <c r="Q1166" s="13"/>
      <c r="R1166" s="13"/>
      <c r="S1166" s="15"/>
      <c r="T1166" s="16"/>
      <c r="U1166" s="16"/>
      <c r="V1166" s="16"/>
      <c r="W1166" s="16"/>
      <c r="X1166" s="16"/>
      <c r="Y1166" s="11"/>
      <c r="Z1166" s="11"/>
      <c r="AA1166" s="11"/>
      <c r="AB1166" s="11"/>
      <c r="AC1166" s="11"/>
      <c r="AD1166" s="11"/>
    </row>
    <row r="1167">
      <c r="A1167" s="10"/>
      <c r="B1167" s="10"/>
      <c r="C1167" s="10"/>
      <c r="D1167" s="10"/>
      <c r="E1167" s="10"/>
      <c r="F1167" s="11"/>
      <c r="G1167" s="11"/>
      <c r="H1167" s="11"/>
      <c r="I1167" s="11"/>
      <c r="J1167" s="11" t="str">
        <f>IFERROR(__xludf.DUMMYFUNCTION("iferror(if($B1167="""", ,filter(Playoff_Stats!F:Z,Playoff_Stats!A:A=$B1167,Playoff_Stats!B:B=$A1167)))"),"")</f>
        <v/>
      </c>
      <c r="K1167" s="11"/>
      <c r="L1167" s="12"/>
      <c r="M1167" s="11"/>
      <c r="N1167" s="11"/>
      <c r="O1167" s="13"/>
      <c r="P1167" s="14"/>
      <c r="Q1167" s="13"/>
      <c r="R1167" s="13"/>
      <c r="S1167" s="15"/>
      <c r="T1167" s="16"/>
      <c r="U1167" s="16"/>
      <c r="V1167" s="16"/>
      <c r="W1167" s="16"/>
      <c r="X1167" s="16"/>
      <c r="Y1167" s="11"/>
      <c r="Z1167" s="11"/>
      <c r="AA1167" s="11"/>
      <c r="AB1167" s="11"/>
      <c r="AC1167" s="11"/>
      <c r="AD1167" s="11"/>
    </row>
    <row r="1168">
      <c r="A1168" s="10"/>
      <c r="B1168" s="10"/>
      <c r="C1168" s="10"/>
      <c r="D1168" s="10"/>
      <c r="E1168" s="10"/>
      <c r="F1168" s="11"/>
      <c r="G1168" s="11"/>
      <c r="H1168" s="11"/>
      <c r="I1168" s="11"/>
      <c r="J1168" s="11" t="str">
        <f>IFERROR(__xludf.DUMMYFUNCTION("iferror(if($B1168="""", ,filter(Playoff_Stats!F:Z,Playoff_Stats!A:A=$B1168,Playoff_Stats!B:B=$A1168)))"),"")</f>
        <v/>
      </c>
      <c r="K1168" s="11"/>
      <c r="L1168" s="12"/>
      <c r="M1168" s="11"/>
      <c r="N1168" s="11"/>
      <c r="O1168" s="13"/>
      <c r="P1168" s="14"/>
      <c r="Q1168" s="13"/>
      <c r="R1168" s="13"/>
      <c r="S1168" s="15"/>
      <c r="T1168" s="16"/>
      <c r="U1168" s="16"/>
      <c r="V1168" s="16"/>
      <c r="W1168" s="16"/>
      <c r="X1168" s="16"/>
      <c r="Y1168" s="11"/>
      <c r="Z1168" s="11"/>
      <c r="AA1168" s="11"/>
      <c r="AB1168" s="11"/>
      <c r="AC1168" s="11"/>
      <c r="AD1168" s="11"/>
    </row>
    <row r="1169">
      <c r="A1169" s="10"/>
      <c r="B1169" s="10"/>
      <c r="C1169" s="10"/>
      <c r="D1169" s="10"/>
      <c r="E1169" s="10"/>
      <c r="F1169" s="11"/>
      <c r="G1169" s="11"/>
      <c r="H1169" s="11"/>
      <c r="I1169" s="11"/>
      <c r="J1169" s="11" t="str">
        <f>IFERROR(__xludf.DUMMYFUNCTION("iferror(if($B1169="""", ,filter(Playoff_Stats!F:Z,Playoff_Stats!A:A=$B1169,Playoff_Stats!B:B=$A1169)))"),"")</f>
        <v/>
      </c>
      <c r="K1169" s="11"/>
      <c r="L1169" s="12"/>
      <c r="M1169" s="11"/>
      <c r="N1169" s="11"/>
      <c r="O1169" s="13"/>
      <c r="P1169" s="14"/>
      <c r="Q1169" s="13"/>
      <c r="R1169" s="13"/>
      <c r="S1169" s="15"/>
      <c r="T1169" s="16"/>
      <c r="U1169" s="16"/>
      <c r="V1169" s="16"/>
      <c r="W1169" s="16"/>
      <c r="X1169" s="16"/>
      <c r="Y1169" s="11"/>
      <c r="Z1169" s="11"/>
      <c r="AA1169" s="11"/>
      <c r="AB1169" s="11"/>
      <c r="AC1169" s="11"/>
      <c r="AD1169" s="11"/>
    </row>
    <row r="1170">
      <c r="A1170" s="10"/>
      <c r="B1170" s="10"/>
      <c r="C1170" s="10"/>
      <c r="D1170" s="10"/>
      <c r="E1170" s="10"/>
      <c r="F1170" s="11"/>
      <c r="G1170" s="11"/>
      <c r="H1170" s="11"/>
      <c r="I1170" s="11"/>
      <c r="J1170" s="11" t="str">
        <f>IFERROR(__xludf.DUMMYFUNCTION("iferror(if($B1170="""", ,filter(Playoff_Stats!F:Z,Playoff_Stats!A:A=$B1170,Playoff_Stats!B:B=$A1170)))"),"")</f>
        <v/>
      </c>
      <c r="K1170" s="11"/>
      <c r="L1170" s="12"/>
      <c r="M1170" s="11"/>
      <c r="N1170" s="11"/>
      <c r="O1170" s="13"/>
      <c r="P1170" s="14"/>
      <c r="Q1170" s="13"/>
      <c r="R1170" s="13"/>
      <c r="S1170" s="15"/>
      <c r="T1170" s="16"/>
      <c r="U1170" s="16"/>
      <c r="V1170" s="16"/>
      <c r="W1170" s="16"/>
      <c r="X1170" s="16"/>
      <c r="Y1170" s="11"/>
      <c r="Z1170" s="11"/>
      <c r="AA1170" s="11"/>
      <c r="AB1170" s="11"/>
      <c r="AC1170" s="11"/>
      <c r="AD1170" s="11"/>
    </row>
    <row r="1171">
      <c r="A1171" s="10"/>
      <c r="B1171" s="10"/>
      <c r="C1171" s="10"/>
      <c r="D1171" s="10"/>
      <c r="E1171" s="10"/>
      <c r="F1171" s="11"/>
      <c r="G1171" s="11"/>
      <c r="H1171" s="11"/>
      <c r="I1171" s="11"/>
      <c r="J1171" s="11" t="str">
        <f>IFERROR(__xludf.DUMMYFUNCTION("iferror(if($B1171="""", ,filter(Playoff_Stats!F:Z,Playoff_Stats!A:A=$B1171,Playoff_Stats!B:B=$A1171)))"),"")</f>
        <v/>
      </c>
      <c r="K1171" s="11"/>
      <c r="L1171" s="12"/>
      <c r="M1171" s="11"/>
      <c r="N1171" s="11"/>
      <c r="O1171" s="13"/>
      <c r="P1171" s="14"/>
      <c r="Q1171" s="13"/>
      <c r="R1171" s="13"/>
      <c r="S1171" s="15"/>
      <c r="T1171" s="16"/>
      <c r="U1171" s="16"/>
      <c r="V1171" s="16"/>
      <c r="W1171" s="16"/>
      <c r="X1171" s="16"/>
      <c r="Y1171" s="11"/>
      <c r="Z1171" s="11"/>
      <c r="AA1171" s="11"/>
      <c r="AB1171" s="11"/>
      <c r="AC1171" s="11"/>
      <c r="AD1171" s="11"/>
    </row>
    <row r="1172">
      <c r="A1172" s="10"/>
      <c r="B1172" s="10"/>
      <c r="C1172" s="10"/>
      <c r="D1172" s="10"/>
      <c r="E1172" s="10"/>
      <c r="F1172" s="11"/>
      <c r="G1172" s="11"/>
      <c r="H1172" s="11"/>
      <c r="I1172" s="11"/>
      <c r="J1172" s="11" t="str">
        <f>IFERROR(__xludf.DUMMYFUNCTION("iferror(if($B1172="""", ,filter(Playoff_Stats!F:Z,Playoff_Stats!A:A=$B1172,Playoff_Stats!B:B=$A1172)))"),"")</f>
        <v/>
      </c>
      <c r="K1172" s="11"/>
      <c r="L1172" s="12"/>
      <c r="M1172" s="11"/>
      <c r="N1172" s="11"/>
      <c r="O1172" s="13"/>
      <c r="P1172" s="14"/>
      <c r="Q1172" s="13"/>
      <c r="R1172" s="13"/>
      <c r="S1172" s="15"/>
      <c r="T1172" s="16"/>
      <c r="U1172" s="16"/>
      <c r="V1172" s="16"/>
      <c r="W1172" s="16"/>
      <c r="X1172" s="16"/>
      <c r="Y1172" s="11"/>
      <c r="Z1172" s="11"/>
      <c r="AA1172" s="11"/>
      <c r="AB1172" s="11"/>
      <c r="AC1172" s="11"/>
      <c r="AD1172" s="11"/>
    </row>
    <row r="1173">
      <c r="A1173" s="10"/>
      <c r="B1173" s="10"/>
      <c r="C1173" s="10"/>
      <c r="D1173" s="10"/>
      <c r="E1173" s="10"/>
      <c r="F1173" s="11"/>
      <c r="G1173" s="11"/>
      <c r="H1173" s="11"/>
      <c r="I1173" s="11"/>
      <c r="J1173" s="11" t="str">
        <f>IFERROR(__xludf.DUMMYFUNCTION("iferror(if($B1173="""", ,filter(Playoff_Stats!F:Z,Playoff_Stats!A:A=$B1173,Playoff_Stats!B:B=$A1173)))"),"")</f>
        <v/>
      </c>
      <c r="K1173" s="11"/>
      <c r="L1173" s="12"/>
      <c r="M1173" s="11"/>
      <c r="N1173" s="11"/>
      <c r="O1173" s="13"/>
      <c r="P1173" s="14"/>
      <c r="Q1173" s="13"/>
      <c r="R1173" s="13"/>
      <c r="S1173" s="15"/>
      <c r="T1173" s="16"/>
      <c r="U1173" s="16"/>
      <c r="V1173" s="16"/>
      <c r="W1173" s="16"/>
      <c r="X1173" s="16"/>
      <c r="Y1173" s="11"/>
      <c r="Z1173" s="11"/>
      <c r="AA1173" s="11"/>
      <c r="AB1173" s="11"/>
      <c r="AC1173" s="11"/>
      <c r="AD1173" s="11"/>
    </row>
    <row r="1174">
      <c r="A1174" s="10"/>
      <c r="B1174" s="10"/>
      <c r="C1174" s="10"/>
      <c r="D1174" s="10"/>
      <c r="E1174" s="10"/>
      <c r="F1174" s="11"/>
      <c r="G1174" s="11"/>
      <c r="H1174" s="11"/>
      <c r="I1174" s="11"/>
      <c r="J1174" s="11" t="str">
        <f>IFERROR(__xludf.DUMMYFUNCTION("iferror(if($B1174="""", ,filter(Playoff_Stats!F:Z,Playoff_Stats!A:A=$B1174,Playoff_Stats!B:B=$A1174)))"),"")</f>
        <v/>
      </c>
      <c r="K1174" s="11"/>
      <c r="L1174" s="12"/>
      <c r="M1174" s="11"/>
      <c r="N1174" s="11"/>
      <c r="O1174" s="13"/>
      <c r="P1174" s="14"/>
      <c r="Q1174" s="13"/>
      <c r="R1174" s="13"/>
      <c r="S1174" s="15"/>
      <c r="T1174" s="16"/>
      <c r="U1174" s="16"/>
      <c r="V1174" s="16"/>
      <c r="W1174" s="16"/>
      <c r="X1174" s="16"/>
      <c r="Y1174" s="11"/>
      <c r="Z1174" s="11"/>
      <c r="AA1174" s="11"/>
      <c r="AB1174" s="11"/>
      <c r="AC1174" s="11"/>
      <c r="AD1174" s="11"/>
    </row>
    <row r="1175">
      <c r="A1175" s="10"/>
      <c r="B1175" s="10"/>
      <c r="C1175" s="10"/>
      <c r="D1175" s="10"/>
      <c r="E1175" s="10"/>
      <c r="F1175" s="11"/>
      <c r="G1175" s="11"/>
      <c r="H1175" s="11"/>
      <c r="I1175" s="11"/>
      <c r="J1175" s="11" t="str">
        <f>IFERROR(__xludf.DUMMYFUNCTION("iferror(if($B1175="""", ,filter(Playoff_Stats!F:Z,Playoff_Stats!A:A=$B1175,Playoff_Stats!B:B=$A1175)))"),"")</f>
        <v/>
      </c>
      <c r="K1175" s="11"/>
      <c r="L1175" s="12"/>
      <c r="M1175" s="11"/>
      <c r="N1175" s="11"/>
      <c r="O1175" s="13"/>
      <c r="P1175" s="14"/>
      <c r="Q1175" s="13"/>
      <c r="R1175" s="13"/>
      <c r="S1175" s="15"/>
      <c r="T1175" s="16"/>
      <c r="U1175" s="16"/>
      <c r="V1175" s="16"/>
      <c r="W1175" s="16"/>
      <c r="X1175" s="16"/>
      <c r="Y1175" s="11"/>
      <c r="Z1175" s="11"/>
      <c r="AA1175" s="11"/>
      <c r="AB1175" s="11"/>
      <c r="AC1175" s="11"/>
      <c r="AD1175" s="11"/>
    </row>
    <row r="1176">
      <c r="A1176" s="10"/>
      <c r="B1176" s="10"/>
      <c r="C1176" s="10"/>
      <c r="D1176" s="10"/>
      <c r="E1176" s="10"/>
      <c r="F1176" s="11"/>
      <c r="G1176" s="11"/>
      <c r="H1176" s="11"/>
      <c r="I1176" s="11"/>
      <c r="J1176" s="11" t="str">
        <f>IFERROR(__xludf.DUMMYFUNCTION("iferror(if($B1176="""", ,filter(Playoff_Stats!F:Z,Playoff_Stats!A:A=$B1176,Playoff_Stats!B:B=$A1176)))"),"")</f>
        <v/>
      </c>
      <c r="K1176" s="11"/>
      <c r="L1176" s="12"/>
      <c r="M1176" s="11"/>
      <c r="N1176" s="11"/>
      <c r="O1176" s="13"/>
      <c r="P1176" s="14"/>
      <c r="Q1176" s="13"/>
      <c r="R1176" s="13"/>
      <c r="S1176" s="15"/>
      <c r="T1176" s="16"/>
      <c r="U1176" s="16"/>
      <c r="V1176" s="16"/>
      <c r="W1176" s="16"/>
      <c r="X1176" s="16"/>
      <c r="Y1176" s="11"/>
      <c r="Z1176" s="11"/>
      <c r="AA1176" s="11"/>
      <c r="AB1176" s="11"/>
      <c r="AC1176" s="11"/>
      <c r="AD1176" s="11"/>
    </row>
    <row r="1177">
      <c r="A1177" s="10"/>
      <c r="B1177" s="10"/>
      <c r="C1177" s="10"/>
      <c r="D1177" s="10"/>
      <c r="E1177" s="10"/>
      <c r="F1177" s="11"/>
      <c r="G1177" s="11"/>
      <c r="H1177" s="11"/>
      <c r="I1177" s="11"/>
      <c r="J1177" s="11" t="str">
        <f>IFERROR(__xludf.DUMMYFUNCTION("iferror(if($B1177="""", ,filter(Playoff_Stats!F:Z,Playoff_Stats!A:A=$B1177,Playoff_Stats!B:B=$A1177)))"),"")</f>
        <v/>
      </c>
      <c r="K1177" s="11"/>
      <c r="L1177" s="12"/>
      <c r="M1177" s="11"/>
      <c r="N1177" s="11"/>
      <c r="O1177" s="13"/>
      <c r="P1177" s="14"/>
      <c r="Q1177" s="13"/>
      <c r="R1177" s="13"/>
      <c r="S1177" s="15"/>
      <c r="T1177" s="16"/>
      <c r="U1177" s="16"/>
      <c r="V1177" s="16"/>
      <c r="W1177" s="16"/>
      <c r="X1177" s="16"/>
      <c r="Y1177" s="11"/>
      <c r="Z1177" s="11"/>
      <c r="AA1177" s="11"/>
      <c r="AB1177" s="11"/>
      <c r="AC1177" s="11"/>
      <c r="AD1177" s="11"/>
    </row>
    <row r="1178">
      <c r="A1178" s="10"/>
      <c r="B1178" s="10"/>
      <c r="C1178" s="10"/>
      <c r="D1178" s="10"/>
      <c r="E1178" s="10"/>
      <c r="F1178" s="11"/>
      <c r="G1178" s="11"/>
      <c r="H1178" s="11"/>
      <c r="I1178" s="11"/>
      <c r="J1178" s="11" t="str">
        <f>IFERROR(__xludf.DUMMYFUNCTION("iferror(if($B1178="""", ,filter(Playoff_Stats!F:Z,Playoff_Stats!A:A=$B1178,Playoff_Stats!B:B=$A1178)))"),"")</f>
        <v/>
      </c>
      <c r="K1178" s="11"/>
      <c r="L1178" s="12"/>
      <c r="M1178" s="11"/>
      <c r="N1178" s="11"/>
      <c r="O1178" s="13"/>
      <c r="P1178" s="14"/>
      <c r="Q1178" s="13"/>
      <c r="R1178" s="13"/>
      <c r="S1178" s="15"/>
      <c r="T1178" s="16"/>
      <c r="U1178" s="16"/>
      <c r="V1178" s="16"/>
      <c r="W1178" s="16"/>
      <c r="X1178" s="16"/>
      <c r="Y1178" s="11"/>
      <c r="Z1178" s="11"/>
      <c r="AA1178" s="11"/>
      <c r="AB1178" s="11"/>
      <c r="AC1178" s="11"/>
      <c r="AD1178" s="11"/>
    </row>
    <row r="1179">
      <c r="A1179" s="10"/>
      <c r="B1179" s="10"/>
      <c r="C1179" s="10"/>
      <c r="D1179" s="10"/>
      <c r="E1179" s="10"/>
      <c r="F1179" s="11"/>
      <c r="G1179" s="11"/>
      <c r="H1179" s="11"/>
      <c r="I1179" s="11"/>
      <c r="J1179" s="11" t="str">
        <f>IFERROR(__xludf.DUMMYFUNCTION("iferror(if($B1179="""", ,filter(Playoff_Stats!F:Z,Playoff_Stats!A:A=$B1179,Playoff_Stats!B:B=$A1179)))"),"")</f>
        <v/>
      </c>
      <c r="K1179" s="11"/>
      <c r="L1179" s="12"/>
      <c r="M1179" s="11"/>
      <c r="N1179" s="11"/>
      <c r="O1179" s="13"/>
      <c r="P1179" s="14"/>
      <c r="Q1179" s="13"/>
      <c r="R1179" s="13"/>
      <c r="S1179" s="15"/>
      <c r="T1179" s="16"/>
      <c r="U1179" s="16"/>
      <c r="V1179" s="16"/>
      <c r="W1179" s="16"/>
      <c r="X1179" s="16"/>
      <c r="Y1179" s="11"/>
      <c r="Z1179" s="11"/>
      <c r="AA1179" s="11"/>
      <c r="AB1179" s="11"/>
      <c r="AC1179" s="11"/>
      <c r="AD1179" s="11"/>
    </row>
    <row r="1180">
      <c r="A1180" s="10"/>
      <c r="B1180" s="10"/>
      <c r="C1180" s="10"/>
      <c r="D1180" s="10"/>
      <c r="E1180" s="10"/>
      <c r="F1180" s="11"/>
      <c r="G1180" s="11"/>
      <c r="H1180" s="11"/>
      <c r="I1180" s="11"/>
      <c r="J1180" s="11" t="str">
        <f>IFERROR(__xludf.DUMMYFUNCTION("iferror(if($B1180="""", ,filter(Playoff_Stats!F:Z,Playoff_Stats!A:A=$B1180,Playoff_Stats!B:B=$A1180)))"),"")</f>
        <v/>
      </c>
      <c r="K1180" s="11"/>
      <c r="L1180" s="12"/>
      <c r="M1180" s="11"/>
      <c r="N1180" s="11"/>
      <c r="O1180" s="13"/>
      <c r="P1180" s="14"/>
      <c r="Q1180" s="13"/>
      <c r="R1180" s="13"/>
      <c r="S1180" s="15"/>
      <c r="T1180" s="16"/>
      <c r="U1180" s="16"/>
      <c r="V1180" s="16"/>
      <c r="W1180" s="16"/>
      <c r="X1180" s="16"/>
      <c r="Y1180" s="11"/>
      <c r="Z1180" s="11"/>
      <c r="AA1180" s="11"/>
      <c r="AB1180" s="11"/>
      <c r="AC1180" s="11"/>
      <c r="AD1180" s="11"/>
    </row>
    <row r="1181">
      <c r="A1181" s="10"/>
      <c r="B1181" s="10"/>
      <c r="C1181" s="10"/>
      <c r="D1181" s="10"/>
      <c r="E1181" s="10"/>
      <c r="F1181" s="11"/>
      <c r="G1181" s="11"/>
      <c r="H1181" s="11"/>
      <c r="I1181" s="11"/>
      <c r="J1181" s="11" t="str">
        <f>IFERROR(__xludf.DUMMYFUNCTION("iferror(if($B1181="""", ,filter(Playoff_Stats!F:Z,Playoff_Stats!A:A=$B1181,Playoff_Stats!B:B=$A1181)))"),"")</f>
        <v/>
      </c>
      <c r="K1181" s="11"/>
      <c r="L1181" s="12"/>
      <c r="M1181" s="11"/>
      <c r="N1181" s="11"/>
      <c r="O1181" s="13"/>
      <c r="P1181" s="14"/>
      <c r="Q1181" s="13"/>
      <c r="R1181" s="13"/>
      <c r="S1181" s="15"/>
      <c r="T1181" s="16"/>
      <c r="U1181" s="16"/>
      <c r="V1181" s="16"/>
      <c r="W1181" s="16"/>
      <c r="X1181" s="16"/>
      <c r="Y1181" s="11"/>
      <c r="Z1181" s="11"/>
      <c r="AA1181" s="11"/>
      <c r="AB1181" s="11"/>
      <c r="AC1181" s="11"/>
      <c r="AD1181" s="11"/>
    </row>
    <row r="1182">
      <c r="A1182" s="10"/>
      <c r="B1182" s="10"/>
      <c r="C1182" s="10"/>
      <c r="D1182" s="10"/>
      <c r="E1182" s="10"/>
      <c r="F1182" s="11"/>
      <c r="G1182" s="11"/>
      <c r="H1182" s="11"/>
      <c r="I1182" s="11"/>
      <c r="J1182" s="11" t="str">
        <f>IFERROR(__xludf.DUMMYFUNCTION("iferror(if($B1182="""", ,filter(Playoff_Stats!F:Z,Playoff_Stats!A:A=$B1182,Playoff_Stats!B:B=$A1182)))"),"")</f>
        <v/>
      </c>
      <c r="K1182" s="11"/>
      <c r="L1182" s="12"/>
      <c r="M1182" s="11"/>
      <c r="N1182" s="11"/>
      <c r="O1182" s="13"/>
      <c r="P1182" s="14"/>
      <c r="Q1182" s="13"/>
      <c r="R1182" s="13"/>
      <c r="S1182" s="15"/>
      <c r="T1182" s="16"/>
      <c r="U1182" s="16"/>
      <c r="V1182" s="16"/>
      <c r="W1182" s="16"/>
      <c r="X1182" s="16"/>
      <c r="Y1182" s="11"/>
      <c r="Z1182" s="11"/>
      <c r="AA1182" s="11"/>
      <c r="AB1182" s="11"/>
      <c r="AC1182" s="11"/>
      <c r="AD1182" s="11"/>
    </row>
    <row r="1183">
      <c r="A1183" s="10"/>
      <c r="B1183" s="10"/>
      <c r="C1183" s="10"/>
      <c r="D1183" s="10"/>
      <c r="E1183" s="10"/>
      <c r="F1183" s="11"/>
      <c r="G1183" s="11"/>
      <c r="H1183" s="11"/>
      <c r="I1183" s="11"/>
      <c r="J1183" s="11" t="str">
        <f>IFERROR(__xludf.DUMMYFUNCTION("iferror(if($B1183="""", ,filter(Playoff_Stats!F:Z,Playoff_Stats!A:A=$B1183,Playoff_Stats!B:B=$A1183)))"),"")</f>
        <v/>
      </c>
      <c r="K1183" s="11"/>
      <c r="L1183" s="12"/>
      <c r="M1183" s="11"/>
      <c r="N1183" s="11"/>
      <c r="O1183" s="13"/>
      <c r="P1183" s="14"/>
      <c r="Q1183" s="13"/>
      <c r="R1183" s="13"/>
      <c r="S1183" s="15"/>
      <c r="T1183" s="16"/>
      <c r="U1183" s="16"/>
      <c r="V1183" s="16"/>
      <c r="W1183" s="16"/>
      <c r="X1183" s="16"/>
      <c r="Y1183" s="11"/>
      <c r="Z1183" s="11"/>
      <c r="AA1183" s="11"/>
      <c r="AB1183" s="11"/>
      <c r="AC1183" s="11"/>
      <c r="AD1183" s="11"/>
    </row>
    <row r="1184">
      <c r="A1184" s="10"/>
      <c r="B1184" s="10"/>
      <c r="C1184" s="10"/>
      <c r="D1184" s="10"/>
      <c r="E1184" s="10"/>
      <c r="F1184" s="11"/>
      <c r="G1184" s="11"/>
      <c r="H1184" s="11"/>
      <c r="I1184" s="11"/>
      <c r="J1184" s="11" t="str">
        <f>IFERROR(__xludf.DUMMYFUNCTION("iferror(if($B1184="""", ,filter(Playoff_Stats!F:Z,Playoff_Stats!A:A=$B1184,Playoff_Stats!B:B=$A1184)))"),"")</f>
        <v/>
      </c>
      <c r="K1184" s="11"/>
      <c r="L1184" s="12"/>
      <c r="M1184" s="11"/>
      <c r="N1184" s="11"/>
      <c r="O1184" s="13"/>
      <c r="P1184" s="14"/>
      <c r="Q1184" s="13"/>
      <c r="R1184" s="13"/>
      <c r="S1184" s="15"/>
      <c r="T1184" s="16"/>
      <c r="U1184" s="16"/>
      <c r="V1184" s="16"/>
      <c r="W1184" s="16"/>
      <c r="X1184" s="16"/>
      <c r="Y1184" s="11"/>
      <c r="Z1184" s="11"/>
      <c r="AA1184" s="11"/>
      <c r="AB1184" s="11"/>
      <c r="AC1184" s="11"/>
      <c r="AD1184" s="11"/>
    </row>
    <row r="1185">
      <c r="A1185" s="10"/>
      <c r="B1185" s="10"/>
      <c r="C1185" s="10"/>
      <c r="D1185" s="10"/>
      <c r="E1185" s="10"/>
      <c r="F1185" s="11"/>
      <c r="G1185" s="11"/>
      <c r="H1185" s="11"/>
      <c r="I1185" s="11"/>
      <c r="J1185" s="11" t="str">
        <f>IFERROR(__xludf.DUMMYFUNCTION("iferror(if($B1185="""", ,filter(Playoff_Stats!F:Z,Playoff_Stats!A:A=$B1185,Playoff_Stats!B:B=$A1185)))"),"")</f>
        <v/>
      </c>
      <c r="K1185" s="11"/>
      <c r="L1185" s="12"/>
      <c r="M1185" s="11"/>
      <c r="N1185" s="11"/>
      <c r="O1185" s="13"/>
      <c r="P1185" s="14"/>
      <c r="Q1185" s="13"/>
      <c r="R1185" s="13"/>
      <c r="S1185" s="15"/>
      <c r="T1185" s="16"/>
      <c r="U1185" s="16"/>
      <c r="V1185" s="16"/>
      <c r="W1185" s="16"/>
      <c r="X1185" s="16"/>
      <c r="Y1185" s="11"/>
      <c r="Z1185" s="11"/>
      <c r="AA1185" s="11"/>
      <c r="AB1185" s="11"/>
      <c r="AC1185" s="11"/>
      <c r="AD1185" s="11"/>
    </row>
    <row r="1186">
      <c r="A1186" s="10"/>
      <c r="B1186" s="10"/>
      <c r="C1186" s="10"/>
      <c r="D1186" s="10"/>
      <c r="E1186" s="10"/>
      <c r="F1186" s="11"/>
      <c r="G1186" s="11"/>
      <c r="H1186" s="11"/>
      <c r="I1186" s="11"/>
      <c r="J1186" s="11" t="str">
        <f>IFERROR(__xludf.DUMMYFUNCTION("iferror(if($B1186="""", ,filter(Playoff_Stats!F:Z,Playoff_Stats!A:A=$B1186,Playoff_Stats!B:B=$A1186)))"),"")</f>
        <v/>
      </c>
      <c r="K1186" s="11"/>
      <c r="L1186" s="12"/>
      <c r="M1186" s="11"/>
      <c r="N1186" s="11"/>
      <c r="O1186" s="13"/>
      <c r="P1186" s="14"/>
      <c r="Q1186" s="13"/>
      <c r="R1186" s="13"/>
      <c r="S1186" s="15"/>
      <c r="T1186" s="16"/>
      <c r="U1186" s="16"/>
      <c r="V1186" s="16"/>
      <c r="W1186" s="16"/>
      <c r="X1186" s="16"/>
      <c r="Y1186" s="11"/>
      <c r="Z1186" s="11"/>
      <c r="AA1186" s="11"/>
      <c r="AB1186" s="11"/>
      <c r="AC1186" s="11"/>
      <c r="AD1186" s="11"/>
    </row>
    <row r="1187">
      <c r="A1187" s="10"/>
      <c r="B1187" s="10"/>
      <c r="C1187" s="10"/>
      <c r="D1187" s="10"/>
      <c r="E1187" s="10"/>
      <c r="F1187" s="11"/>
      <c r="G1187" s="11"/>
      <c r="H1187" s="11"/>
      <c r="I1187" s="11"/>
      <c r="J1187" s="11" t="str">
        <f>IFERROR(__xludf.DUMMYFUNCTION("iferror(if($B1187="""", ,filter(Playoff_Stats!F:Z,Playoff_Stats!A:A=$B1187,Playoff_Stats!B:B=$A1187)))"),"")</f>
        <v/>
      </c>
      <c r="K1187" s="11"/>
      <c r="L1187" s="12"/>
      <c r="M1187" s="11"/>
      <c r="N1187" s="11"/>
      <c r="O1187" s="13"/>
      <c r="P1187" s="14"/>
      <c r="Q1187" s="13"/>
      <c r="R1187" s="13"/>
      <c r="S1187" s="15"/>
      <c r="T1187" s="16"/>
      <c r="U1187" s="16"/>
      <c r="V1187" s="16"/>
      <c r="W1187" s="16"/>
      <c r="X1187" s="16"/>
      <c r="Y1187" s="11"/>
      <c r="Z1187" s="11"/>
      <c r="AA1187" s="11"/>
      <c r="AB1187" s="11"/>
      <c r="AC1187" s="11"/>
      <c r="AD1187" s="11"/>
    </row>
    <row r="1188">
      <c r="A1188" s="10"/>
      <c r="B1188" s="10"/>
      <c r="C1188" s="10"/>
      <c r="D1188" s="10"/>
      <c r="E1188" s="10"/>
      <c r="F1188" s="11"/>
      <c r="G1188" s="11"/>
      <c r="H1188" s="11"/>
      <c r="I1188" s="11"/>
      <c r="J1188" s="11" t="str">
        <f>IFERROR(__xludf.DUMMYFUNCTION("iferror(if($B1188="""", ,filter(Playoff_Stats!F:Z,Playoff_Stats!A:A=$B1188,Playoff_Stats!B:B=$A1188)))"),"")</f>
        <v/>
      </c>
      <c r="K1188" s="11"/>
      <c r="L1188" s="12"/>
      <c r="M1188" s="11"/>
      <c r="N1188" s="11"/>
      <c r="O1188" s="13"/>
      <c r="P1188" s="14"/>
      <c r="Q1188" s="13"/>
      <c r="R1188" s="13"/>
      <c r="S1188" s="15"/>
      <c r="T1188" s="16"/>
      <c r="U1188" s="16"/>
      <c r="V1188" s="16"/>
      <c r="W1188" s="16"/>
      <c r="X1188" s="16"/>
      <c r="Y1188" s="11"/>
      <c r="Z1188" s="11"/>
      <c r="AA1188" s="11"/>
      <c r="AB1188" s="11"/>
      <c r="AC1188" s="11"/>
      <c r="AD1188" s="11"/>
    </row>
    <row r="1189">
      <c r="A1189" s="10"/>
      <c r="B1189" s="10"/>
      <c r="C1189" s="10"/>
      <c r="D1189" s="10"/>
      <c r="E1189" s="10"/>
      <c r="F1189" s="11"/>
      <c r="G1189" s="11"/>
      <c r="H1189" s="11"/>
      <c r="I1189" s="11"/>
      <c r="J1189" s="11" t="str">
        <f>IFERROR(__xludf.DUMMYFUNCTION("iferror(if($B1189="""", ,filter(Playoff_Stats!F:Z,Playoff_Stats!A:A=$B1189,Playoff_Stats!B:B=$A1189)))"),"")</f>
        <v/>
      </c>
      <c r="K1189" s="11"/>
      <c r="L1189" s="12"/>
      <c r="M1189" s="11"/>
      <c r="N1189" s="11"/>
      <c r="O1189" s="13"/>
      <c r="P1189" s="14"/>
      <c r="Q1189" s="13"/>
      <c r="R1189" s="13"/>
      <c r="S1189" s="15"/>
      <c r="T1189" s="16"/>
      <c r="U1189" s="16"/>
      <c r="V1189" s="16"/>
      <c r="W1189" s="16"/>
      <c r="X1189" s="16"/>
      <c r="Y1189" s="11"/>
      <c r="Z1189" s="11"/>
      <c r="AA1189" s="11"/>
      <c r="AB1189" s="11"/>
      <c r="AC1189" s="11"/>
      <c r="AD1189" s="11"/>
    </row>
    <row r="1190">
      <c r="A1190" s="10"/>
      <c r="B1190" s="10"/>
      <c r="C1190" s="10"/>
      <c r="D1190" s="10"/>
      <c r="E1190" s="10"/>
      <c r="F1190" s="11"/>
      <c r="G1190" s="11"/>
      <c r="H1190" s="11"/>
      <c r="I1190" s="11"/>
      <c r="J1190" s="11" t="str">
        <f>IFERROR(__xludf.DUMMYFUNCTION("iferror(if($B1190="""", ,filter(Playoff_Stats!F:Z,Playoff_Stats!A:A=$B1190,Playoff_Stats!B:B=$A1190)))"),"")</f>
        <v/>
      </c>
      <c r="K1190" s="11"/>
      <c r="L1190" s="12"/>
      <c r="M1190" s="11"/>
      <c r="N1190" s="11"/>
      <c r="O1190" s="13"/>
      <c r="P1190" s="14"/>
      <c r="Q1190" s="13"/>
      <c r="R1190" s="13"/>
      <c r="S1190" s="15"/>
      <c r="T1190" s="16"/>
      <c r="U1190" s="16"/>
      <c r="V1190" s="16"/>
      <c r="W1190" s="16"/>
      <c r="X1190" s="16"/>
      <c r="Y1190" s="11"/>
      <c r="Z1190" s="11"/>
      <c r="AA1190" s="11"/>
      <c r="AB1190" s="11"/>
      <c r="AC1190" s="11"/>
      <c r="AD1190" s="11"/>
    </row>
    <row r="1191">
      <c r="A1191" s="10"/>
      <c r="B1191" s="10"/>
      <c r="C1191" s="10"/>
      <c r="D1191" s="10"/>
      <c r="E1191" s="10"/>
      <c r="F1191" s="11"/>
      <c r="G1191" s="11"/>
      <c r="H1191" s="11"/>
      <c r="I1191" s="11"/>
      <c r="J1191" s="11" t="str">
        <f>IFERROR(__xludf.DUMMYFUNCTION("iferror(if($B1191="""", ,filter(Playoff_Stats!F:Z,Playoff_Stats!A:A=$B1191,Playoff_Stats!B:B=$A1191)))"),"")</f>
        <v/>
      </c>
      <c r="K1191" s="11"/>
      <c r="L1191" s="12"/>
      <c r="M1191" s="11"/>
      <c r="N1191" s="11"/>
      <c r="O1191" s="13"/>
      <c r="P1191" s="14"/>
      <c r="Q1191" s="13"/>
      <c r="R1191" s="13"/>
      <c r="S1191" s="15"/>
      <c r="T1191" s="16"/>
      <c r="U1191" s="16"/>
      <c r="V1191" s="16"/>
      <c r="W1191" s="16"/>
      <c r="X1191" s="16"/>
      <c r="Y1191" s="11"/>
      <c r="Z1191" s="11"/>
      <c r="AA1191" s="11"/>
      <c r="AB1191" s="11"/>
      <c r="AC1191" s="11"/>
      <c r="AD1191" s="11"/>
    </row>
    <row r="1192">
      <c r="A1192" s="10"/>
      <c r="B1192" s="10"/>
      <c r="C1192" s="10"/>
      <c r="D1192" s="10"/>
      <c r="E1192" s="10"/>
      <c r="F1192" s="11"/>
      <c r="G1192" s="11"/>
      <c r="H1192" s="11"/>
      <c r="I1192" s="11"/>
      <c r="J1192" s="11" t="str">
        <f>IFERROR(__xludf.DUMMYFUNCTION("iferror(if($B1192="""", ,filter(Playoff_Stats!F:Z,Playoff_Stats!A:A=$B1192,Playoff_Stats!B:B=$A1192)))"),"")</f>
        <v/>
      </c>
      <c r="K1192" s="11"/>
      <c r="L1192" s="12"/>
      <c r="M1192" s="11"/>
      <c r="N1192" s="11"/>
      <c r="O1192" s="13"/>
      <c r="P1192" s="14"/>
      <c r="Q1192" s="13"/>
      <c r="R1192" s="13"/>
      <c r="S1192" s="15"/>
      <c r="T1192" s="16"/>
      <c r="U1192" s="16"/>
      <c r="V1192" s="16"/>
      <c r="W1192" s="16"/>
      <c r="X1192" s="16"/>
      <c r="Y1192" s="11"/>
      <c r="Z1192" s="11"/>
      <c r="AA1192" s="11"/>
      <c r="AB1192" s="11"/>
      <c r="AC1192" s="11"/>
      <c r="AD1192" s="11"/>
    </row>
    <row r="1193">
      <c r="A1193" s="10"/>
      <c r="B1193" s="10"/>
      <c r="C1193" s="10"/>
      <c r="D1193" s="10"/>
      <c r="E1193" s="10"/>
      <c r="F1193" s="11"/>
      <c r="G1193" s="11"/>
      <c r="H1193" s="11"/>
      <c r="I1193" s="11"/>
      <c r="J1193" s="11" t="str">
        <f>IFERROR(__xludf.DUMMYFUNCTION("iferror(if($B1193="""", ,filter(Playoff_Stats!F:Z,Playoff_Stats!A:A=$B1193,Playoff_Stats!B:B=$A1193)))"),"")</f>
        <v/>
      </c>
      <c r="K1193" s="11"/>
      <c r="L1193" s="12"/>
      <c r="M1193" s="11"/>
      <c r="N1193" s="11"/>
      <c r="O1193" s="13"/>
      <c r="P1193" s="14"/>
      <c r="Q1193" s="13"/>
      <c r="R1193" s="13"/>
      <c r="S1193" s="15"/>
      <c r="T1193" s="16"/>
      <c r="U1193" s="16"/>
      <c r="V1193" s="16"/>
      <c r="W1193" s="16"/>
      <c r="X1193" s="16"/>
      <c r="Y1193" s="11"/>
      <c r="Z1193" s="11"/>
      <c r="AA1193" s="11"/>
      <c r="AB1193" s="11"/>
      <c r="AC1193" s="11"/>
      <c r="AD1193" s="11"/>
    </row>
    <row r="1194">
      <c r="A1194" s="10"/>
      <c r="B1194" s="10"/>
      <c r="C1194" s="10"/>
      <c r="D1194" s="10"/>
      <c r="E1194" s="10"/>
      <c r="F1194" s="11"/>
      <c r="G1194" s="11"/>
      <c r="H1194" s="11"/>
      <c r="I1194" s="11"/>
      <c r="J1194" s="11" t="str">
        <f>IFERROR(__xludf.DUMMYFUNCTION("iferror(if($B1194="""", ,filter(Playoff_Stats!F:Z,Playoff_Stats!A:A=$B1194,Playoff_Stats!B:B=$A1194)))"),"")</f>
        <v/>
      </c>
      <c r="K1194" s="11"/>
      <c r="L1194" s="12"/>
      <c r="M1194" s="11"/>
      <c r="N1194" s="11"/>
      <c r="O1194" s="13"/>
      <c r="P1194" s="14"/>
      <c r="Q1194" s="13"/>
      <c r="R1194" s="13"/>
      <c r="S1194" s="15"/>
      <c r="T1194" s="16"/>
      <c r="U1194" s="16"/>
      <c r="V1194" s="16"/>
      <c r="W1194" s="16"/>
      <c r="X1194" s="16"/>
      <c r="Y1194" s="11"/>
      <c r="Z1194" s="11"/>
      <c r="AA1194" s="11"/>
      <c r="AB1194" s="11"/>
      <c r="AC1194" s="11"/>
      <c r="AD1194" s="11"/>
    </row>
    <row r="1195">
      <c r="A1195" s="10"/>
      <c r="B1195" s="10"/>
      <c r="C1195" s="10"/>
      <c r="D1195" s="10"/>
      <c r="E1195" s="10"/>
      <c r="F1195" s="11"/>
      <c r="G1195" s="11"/>
      <c r="H1195" s="11"/>
      <c r="I1195" s="11"/>
      <c r="J1195" s="11" t="str">
        <f>IFERROR(__xludf.DUMMYFUNCTION("iferror(if($B1195="""", ,filter(Playoff_Stats!F:Z,Playoff_Stats!A:A=$B1195,Playoff_Stats!B:B=$A1195)))"),"")</f>
        <v/>
      </c>
      <c r="K1195" s="11"/>
      <c r="L1195" s="12"/>
      <c r="M1195" s="11"/>
      <c r="N1195" s="11"/>
      <c r="O1195" s="13"/>
      <c r="P1195" s="14"/>
      <c r="Q1195" s="13"/>
      <c r="R1195" s="13"/>
      <c r="S1195" s="15"/>
      <c r="T1195" s="16"/>
      <c r="U1195" s="16"/>
      <c r="V1195" s="16"/>
      <c r="W1195" s="16"/>
      <c r="X1195" s="16"/>
      <c r="Y1195" s="11"/>
      <c r="Z1195" s="11"/>
      <c r="AA1195" s="11"/>
      <c r="AB1195" s="11"/>
      <c r="AC1195" s="11"/>
      <c r="AD1195" s="11"/>
    </row>
    <row r="1196">
      <c r="A1196" s="10"/>
      <c r="B1196" s="10"/>
      <c r="C1196" s="10"/>
      <c r="D1196" s="10"/>
      <c r="E1196" s="10"/>
      <c r="F1196" s="11"/>
      <c r="G1196" s="11"/>
      <c r="H1196" s="11"/>
      <c r="I1196" s="11"/>
      <c r="J1196" s="11" t="str">
        <f>IFERROR(__xludf.DUMMYFUNCTION("iferror(if($B1196="""", ,filter(Playoff_Stats!F:Z,Playoff_Stats!A:A=$B1196,Playoff_Stats!B:B=$A1196)))"),"")</f>
        <v/>
      </c>
      <c r="K1196" s="11"/>
      <c r="L1196" s="12"/>
      <c r="M1196" s="11"/>
      <c r="N1196" s="11"/>
      <c r="O1196" s="13"/>
      <c r="P1196" s="14"/>
      <c r="Q1196" s="13"/>
      <c r="R1196" s="13"/>
      <c r="S1196" s="15"/>
      <c r="T1196" s="16"/>
      <c r="U1196" s="16"/>
      <c r="V1196" s="16"/>
      <c r="W1196" s="16"/>
      <c r="X1196" s="16"/>
      <c r="Y1196" s="11"/>
      <c r="Z1196" s="11"/>
      <c r="AA1196" s="11"/>
      <c r="AB1196" s="11"/>
      <c r="AC1196" s="11"/>
      <c r="AD1196" s="11"/>
    </row>
    <row r="1197">
      <c r="A1197" s="10"/>
      <c r="B1197" s="10"/>
      <c r="C1197" s="10"/>
      <c r="D1197" s="10"/>
      <c r="E1197" s="10"/>
      <c r="F1197" s="11"/>
      <c r="G1197" s="11"/>
      <c r="H1197" s="11"/>
      <c r="I1197" s="11"/>
      <c r="J1197" s="11" t="str">
        <f>IFERROR(__xludf.DUMMYFUNCTION("iferror(if($B1197="""", ,filter(Playoff_Stats!F:Z,Playoff_Stats!A:A=$B1197,Playoff_Stats!B:B=$A1197)))"),"")</f>
        <v/>
      </c>
      <c r="K1197" s="11"/>
      <c r="L1197" s="12"/>
      <c r="M1197" s="11"/>
      <c r="N1197" s="11"/>
      <c r="O1197" s="13"/>
      <c r="P1197" s="14"/>
      <c r="Q1197" s="13"/>
      <c r="R1197" s="13"/>
      <c r="S1197" s="15"/>
      <c r="T1197" s="16"/>
      <c r="U1197" s="16"/>
      <c r="V1197" s="16"/>
      <c r="W1197" s="16"/>
      <c r="X1197" s="16"/>
      <c r="Y1197" s="11"/>
      <c r="Z1197" s="11"/>
      <c r="AA1197" s="11"/>
      <c r="AB1197" s="11"/>
      <c r="AC1197" s="11"/>
      <c r="AD1197" s="11"/>
    </row>
    <row r="1198">
      <c r="A1198" s="10"/>
      <c r="B1198" s="10"/>
      <c r="C1198" s="10"/>
      <c r="D1198" s="10"/>
      <c r="E1198" s="10"/>
      <c r="F1198" s="11"/>
      <c r="G1198" s="11"/>
      <c r="H1198" s="11"/>
      <c r="I1198" s="11"/>
      <c r="J1198" s="11" t="str">
        <f>IFERROR(__xludf.DUMMYFUNCTION("iferror(if($B1198="""", ,filter(Playoff_Stats!F:Z,Playoff_Stats!A:A=$B1198,Playoff_Stats!B:B=$A1198)))"),"")</f>
        <v/>
      </c>
      <c r="K1198" s="11"/>
      <c r="L1198" s="12"/>
      <c r="M1198" s="11"/>
      <c r="N1198" s="11"/>
      <c r="O1198" s="13"/>
      <c r="P1198" s="14"/>
      <c r="Q1198" s="13"/>
      <c r="R1198" s="13"/>
      <c r="S1198" s="15"/>
      <c r="T1198" s="16"/>
      <c r="U1198" s="16"/>
      <c r="V1198" s="16"/>
      <c r="W1198" s="16"/>
      <c r="X1198" s="16"/>
      <c r="Y1198" s="11"/>
      <c r="Z1198" s="11"/>
      <c r="AA1198" s="11"/>
      <c r="AB1198" s="11"/>
      <c r="AC1198" s="11"/>
      <c r="AD1198" s="11"/>
    </row>
    <row r="1199">
      <c r="A1199" s="10"/>
      <c r="B1199" s="10"/>
      <c r="C1199" s="10"/>
      <c r="D1199" s="10"/>
      <c r="E1199" s="10"/>
      <c r="F1199" s="11"/>
      <c r="G1199" s="11"/>
      <c r="H1199" s="11"/>
      <c r="I1199" s="11"/>
      <c r="J1199" s="11" t="str">
        <f>IFERROR(__xludf.DUMMYFUNCTION("iferror(if($B1199="""", ,filter(Playoff_Stats!F:Z,Playoff_Stats!A:A=$B1199,Playoff_Stats!B:B=$A1199)))"),"")</f>
        <v/>
      </c>
      <c r="K1199" s="11"/>
      <c r="L1199" s="12"/>
      <c r="M1199" s="11"/>
      <c r="N1199" s="11"/>
      <c r="O1199" s="13"/>
      <c r="P1199" s="14"/>
      <c r="Q1199" s="13"/>
      <c r="R1199" s="13"/>
      <c r="S1199" s="15"/>
      <c r="T1199" s="16"/>
      <c r="U1199" s="16"/>
      <c r="V1199" s="16"/>
      <c r="W1199" s="16"/>
      <c r="X1199" s="16"/>
      <c r="Y1199" s="11"/>
      <c r="Z1199" s="11"/>
      <c r="AA1199" s="11"/>
      <c r="AB1199" s="11"/>
      <c r="AC1199" s="11"/>
      <c r="AD1199" s="11"/>
    </row>
    <row r="1200">
      <c r="A1200" s="10"/>
      <c r="B1200" s="10"/>
      <c r="C1200" s="10"/>
      <c r="D1200" s="10"/>
      <c r="E1200" s="10"/>
      <c r="F1200" s="11"/>
      <c r="G1200" s="11"/>
      <c r="H1200" s="11"/>
      <c r="I1200" s="11"/>
      <c r="J1200" s="11" t="str">
        <f>IFERROR(__xludf.DUMMYFUNCTION("iferror(if($B1200="""", ,filter(Playoff_Stats!F:Z,Playoff_Stats!A:A=$B1200,Playoff_Stats!B:B=$A1200)))"),"")</f>
        <v/>
      </c>
      <c r="K1200" s="11"/>
      <c r="L1200" s="12"/>
      <c r="M1200" s="11"/>
      <c r="N1200" s="11"/>
      <c r="O1200" s="13"/>
      <c r="P1200" s="14"/>
      <c r="Q1200" s="13"/>
      <c r="R1200" s="13"/>
      <c r="S1200" s="15"/>
      <c r="T1200" s="16"/>
      <c r="U1200" s="16"/>
      <c r="V1200" s="16"/>
      <c r="W1200" s="16"/>
      <c r="X1200" s="16"/>
      <c r="Y1200" s="11"/>
      <c r="Z1200" s="11"/>
      <c r="AA1200" s="11"/>
      <c r="AB1200" s="11"/>
      <c r="AC1200" s="11"/>
      <c r="AD1200" s="11"/>
    </row>
    <row r="1201">
      <c r="A1201" s="10"/>
      <c r="B1201" s="10"/>
      <c r="C1201" s="10"/>
      <c r="D1201" s="10"/>
      <c r="E1201" s="10"/>
      <c r="F1201" s="11"/>
      <c r="G1201" s="11"/>
      <c r="H1201" s="11"/>
      <c r="I1201" s="11"/>
      <c r="J1201" s="11" t="str">
        <f>IFERROR(__xludf.DUMMYFUNCTION("iferror(if($B1201="""", ,filter(Playoff_Stats!F:Z,Playoff_Stats!A:A=$B1201,Playoff_Stats!B:B=$A1201)))"),"")</f>
        <v/>
      </c>
      <c r="K1201" s="11"/>
      <c r="L1201" s="12"/>
      <c r="M1201" s="11"/>
      <c r="N1201" s="11"/>
      <c r="O1201" s="13"/>
      <c r="P1201" s="14"/>
      <c r="Q1201" s="13"/>
      <c r="R1201" s="13"/>
      <c r="S1201" s="15"/>
      <c r="T1201" s="16"/>
      <c r="U1201" s="16"/>
      <c r="V1201" s="16"/>
      <c r="W1201" s="16"/>
      <c r="X1201" s="16"/>
      <c r="Y1201" s="11"/>
      <c r="Z1201" s="11"/>
      <c r="AA1201" s="11"/>
      <c r="AB1201" s="11"/>
      <c r="AC1201" s="11"/>
      <c r="AD1201" s="11"/>
    </row>
    <row r="1202">
      <c r="A1202" s="10"/>
      <c r="B1202" s="10"/>
      <c r="C1202" s="10"/>
      <c r="D1202" s="10"/>
      <c r="E1202" s="10"/>
      <c r="F1202" s="11"/>
      <c r="G1202" s="11"/>
      <c r="H1202" s="11"/>
      <c r="I1202" s="11"/>
      <c r="J1202" s="11" t="str">
        <f>IFERROR(__xludf.DUMMYFUNCTION("iferror(if($B1202="""", ,filter(Playoff_Stats!F:Z,Playoff_Stats!A:A=$B1202,Playoff_Stats!B:B=$A1202)))"),"")</f>
        <v/>
      </c>
      <c r="K1202" s="11"/>
      <c r="L1202" s="12"/>
      <c r="M1202" s="11"/>
      <c r="N1202" s="11"/>
      <c r="O1202" s="13"/>
      <c r="P1202" s="14"/>
      <c r="Q1202" s="13"/>
      <c r="R1202" s="13"/>
      <c r="S1202" s="15"/>
      <c r="T1202" s="16"/>
      <c r="U1202" s="16"/>
      <c r="V1202" s="16"/>
      <c r="W1202" s="16"/>
      <c r="X1202" s="16"/>
      <c r="Y1202" s="11"/>
      <c r="Z1202" s="11"/>
      <c r="AA1202" s="11"/>
      <c r="AB1202" s="11"/>
      <c r="AC1202" s="11"/>
      <c r="AD1202" s="11"/>
    </row>
    <row r="1203">
      <c r="A1203" s="10"/>
      <c r="B1203" s="10"/>
      <c r="C1203" s="10"/>
      <c r="D1203" s="10"/>
      <c r="E1203" s="10"/>
      <c r="F1203" s="11"/>
      <c r="G1203" s="11"/>
      <c r="H1203" s="11"/>
      <c r="I1203" s="11"/>
      <c r="J1203" s="11" t="str">
        <f>IFERROR(__xludf.DUMMYFUNCTION("iferror(if($B1203="""", ,filter(Playoff_Stats!F:Z,Playoff_Stats!A:A=$B1203,Playoff_Stats!B:B=$A1203)))"),"")</f>
        <v/>
      </c>
      <c r="K1203" s="11"/>
      <c r="L1203" s="12"/>
      <c r="M1203" s="11"/>
      <c r="N1203" s="11"/>
      <c r="O1203" s="13"/>
      <c r="P1203" s="14"/>
      <c r="Q1203" s="13"/>
      <c r="R1203" s="13"/>
      <c r="S1203" s="15"/>
      <c r="T1203" s="16"/>
      <c r="U1203" s="16"/>
      <c r="V1203" s="16"/>
      <c r="W1203" s="16"/>
      <c r="X1203" s="16"/>
      <c r="Y1203" s="11"/>
      <c r="Z1203" s="11"/>
      <c r="AA1203" s="11"/>
      <c r="AB1203" s="11"/>
      <c r="AC1203" s="11"/>
      <c r="AD1203" s="11"/>
    </row>
    <row r="1204">
      <c r="A1204" s="10"/>
      <c r="B1204" s="10"/>
      <c r="C1204" s="10"/>
      <c r="D1204" s="10"/>
      <c r="E1204" s="10"/>
      <c r="F1204" s="11"/>
      <c r="G1204" s="11"/>
      <c r="H1204" s="11"/>
      <c r="I1204" s="11"/>
      <c r="J1204" s="11" t="str">
        <f>IFERROR(__xludf.DUMMYFUNCTION("iferror(if($B1204="""", ,filter(Playoff_Stats!F:Z,Playoff_Stats!A:A=$B1204,Playoff_Stats!B:B=$A1204)))"),"")</f>
        <v/>
      </c>
      <c r="K1204" s="11"/>
      <c r="L1204" s="12"/>
      <c r="M1204" s="11"/>
      <c r="N1204" s="11"/>
      <c r="O1204" s="13"/>
      <c r="P1204" s="14"/>
      <c r="Q1204" s="13"/>
      <c r="R1204" s="13"/>
      <c r="S1204" s="15"/>
      <c r="T1204" s="16"/>
      <c r="U1204" s="16"/>
      <c r="V1204" s="16"/>
      <c r="W1204" s="16"/>
      <c r="X1204" s="16"/>
      <c r="Y1204" s="11"/>
      <c r="Z1204" s="11"/>
      <c r="AA1204" s="11"/>
      <c r="AB1204" s="11"/>
      <c r="AC1204" s="11"/>
      <c r="AD1204" s="11"/>
    </row>
    <row r="1205">
      <c r="A1205" s="10"/>
      <c r="B1205" s="10"/>
      <c r="C1205" s="10"/>
      <c r="D1205" s="10"/>
      <c r="E1205" s="10"/>
      <c r="F1205" s="11"/>
      <c r="G1205" s="11"/>
      <c r="H1205" s="11"/>
      <c r="I1205" s="11"/>
      <c r="J1205" s="11" t="str">
        <f>IFERROR(__xludf.DUMMYFUNCTION("iferror(if($B1205="""", ,filter(Playoff_Stats!F:Z,Playoff_Stats!A:A=$B1205,Playoff_Stats!B:B=$A1205)))"),"")</f>
        <v/>
      </c>
      <c r="K1205" s="11"/>
      <c r="L1205" s="12"/>
      <c r="M1205" s="11"/>
      <c r="N1205" s="11"/>
      <c r="O1205" s="13"/>
      <c r="P1205" s="14"/>
      <c r="Q1205" s="13"/>
      <c r="R1205" s="13"/>
      <c r="S1205" s="15"/>
      <c r="T1205" s="16"/>
      <c r="U1205" s="16"/>
      <c r="V1205" s="16"/>
      <c r="W1205" s="16"/>
      <c r="X1205" s="16"/>
      <c r="Y1205" s="11"/>
      <c r="Z1205" s="11"/>
      <c r="AA1205" s="11"/>
      <c r="AB1205" s="11"/>
      <c r="AC1205" s="11"/>
      <c r="AD1205" s="11"/>
    </row>
    <row r="1206">
      <c r="A1206" s="10"/>
      <c r="B1206" s="10"/>
      <c r="C1206" s="10"/>
      <c r="D1206" s="10"/>
      <c r="E1206" s="10"/>
      <c r="F1206" s="11"/>
      <c r="G1206" s="11"/>
      <c r="H1206" s="11"/>
      <c r="I1206" s="11"/>
      <c r="J1206" s="11" t="str">
        <f>IFERROR(__xludf.DUMMYFUNCTION("iferror(if($B1206="""", ,filter(Playoff_Stats!F:Z,Playoff_Stats!A:A=$B1206,Playoff_Stats!B:B=$A1206)))"),"")</f>
        <v/>
      </c>
      <c r="K1206" s="11"/>
      <c r="L1206" s="12"/>
      <c r="M1206" s="11"/>
      <c r="N1206" s="11"/>
      <c r="O1206" s="13"/>
      <c r="P1206" s="14"/>
      <c r="Q1206" s="13"/>
      <c r="R1206" s="13"/>
      <c r="S1206" s="15"/>
      <c r="T1206" s="16"/>
      <c r="U1206" s="16"/>
      <c r="V1206" s="16"/>
      <c r="W1206" s="16"/>
      <c r="X1206" s="16"/>
      <c r="Y1206" s="11"/>
      <c r="Z1206" s="11"/>
      <c r="AA1206" s="11"/>
      <c r="AB1206" s="11"/>
      <c r="AC1206" s="11"/>
      <c r="AD1206" s="11"/>
    </row>
    <row r="1207">
      <c r="A1207" s="10"/>
      <c r="B1207" s="10"/>
      <c r="C1207" s="10"/>
      <c r="D1207" s="10"/>
      <c r="E1207" s="10"/>
      <c r="F1207" s="11"/>
      <c r="G1207" s="11"/>
      <c r="H1207" s="11"/>
      <c r="I1207" s="11"/>
      <c r="J1207" s="11" t="str">
        <f>IFERROR(__xludf.DUMMYFUNCTION("iferror(if($B1207="""", ,filter(Playoff_Stats!F:Z,Playoff_Stats!A:A=$B1207,Playoff_Stats!B:B=$A1207)))"),"")</f>
        <v/>
      </c>
      <c r="K1207" s="11"/>
      <c r="L1207" s="12"/>
      <c r="M1207" s="11"/>
      <c r="N1207" s="11"/>
      <c r="O1207" s="13"/>
      <c r="P1207" s="14"/>
      <c r="Q1207" s="13"/>
      <c r="R1207" s="13"/>
      <c r="S1207" s="15"/>
      <c r="T1207" s="16"/>
      <c r="U1207" s="16"/>
      <c r="V1207" s="16"/>
      <c r="W1207" s="16"/>
      <c r="X1207" s="16"/>
      <c r="Y1207" s="11"/>
      <c r="Z1207" s="11"/>
      <c r="AA1207" s="11"/>
      <c r="AB1207" s="11"/>
      <c r="AC1207" s="11"/>
      <c r="AD1207" s="11"/>
    </row>
    <row r="1208">
      <c r="A1208" s="10"/>
      <c r="B1208" s="10"/>
      <c r="C1208" s="10"/>
      <c r="D1208" s="10"/>
      <c r="E1208" s="10"/>
      <c r="F1208" s="11"/>
      <c r="G1208" s="11"/>
      <c r="H1208" s="11"/>
      <c r="I1208" s="11"/>
      <c r="J1208" s="11" t="str">
        <f>IFERROR(__xludf.DUMMYFUNCTION("iferror(if($B1208="""", ,filter(Playoff_Stats!F:Z,Playoff_Stats!A:A=$B1208,Playoff_Stats!B:B=$A1208)))"),"")</f>
        <v/>
      </c>
      <c r="K1208" s="11"/>
      <c r="L1208" s="12"/>
      <c r="M1208" s="11"/>
      <c r="N1208" s="11"/>
      <c r="O1208" s="13"/>
      <c r="P1208" s="14"/>
      <c r="Q1208" s="13"/>
      <c r="R1208" s="13"/>
      <c r="S1208" s="15"/>
      <c r="T1208" s="16"/>
      <c r="U1208" s="16"/>
      <c r="V1208" s="16"/>
      <c r="W1208" s="16"/>
      <c r="X1208" s="16"/>
      <c r="Y1208" s="11"/>
      <c r="Z1208" s="11"/>
      <c r="AA1208" s="11"/>
      <c r="AB1208" s="11"/>
      <c r="AC1208" s="11"/>
      <c r="AD1208" s="11"/>
    </row>
    <row r="1209">
      <c r="A1209" s="10"/>
      <c r="B1209" s="10"/>
      <c r="C1209" s="10"/>
      <c r="D1209" s="10"/>
      <c r="E1209" s="10"/>
      <c r="F1209" s="11"/>
      <c r="G1209" s="11"/>
      <c r="H1209" s="11"/>
      <c r="I1209" s="11"/>
      <c r="J1209" s="11" t="str">
        <f>IFERROR(__xludf.DUMMYFUNCTION("iferror(if($B1209="""", ,filter(Playoff_Stats!F:Z,Playoff_Stats!A:A=$B1209,Playoff_Stats!B:B=$A1209)))"),"")</f>
        <v/>
      </c>
      <c r="K1209" s="11"/>
      <c r="L1209" s="12"/>
      <c r="M1209" s="11"/>
      <c r="N1209" s="11"/>
      <c r="O1209" s="13"/>
      <c r="P1209" s="14"/>
      <c r="Q1209" s="13"/>
      <c r="R1209" s="13"/>
      <c r="S1209" s="15"/>
      <c r="T1209" s="16"/>
      <c r="U1209" s="16"/>
      <c r="V1209" s="16"/>
      <c r="W1209" s="16"/>
      <c r="X1209" s="16"/>
      <c r="Y1209" s="11"/>
      <c r="Z1209" s="11"/>
      <c r="AA1209" s="11"/>
      <c r="AB1209" s="11"/>
      <c r="AC1209" s="11"/>
      <c r="AD1209" s="11"/>
    </row>
    <row r="1210">
      <c r="A1210" s="10"/>
      <c r="B1210" s="10"/>
      <c r="C1210" s="10"/>
      <c r="D1210" s="10"/>
      <c r="E1210" s="10"/>
      <c r="F1210" s="11"/>
      <c r="G1210" s="11"/>
      <c r="H1210" s="11"/>
      <c r="I1210" s="11"/>
      <c r="J1210" s="11" t="str">
        <f>IFERROR(__xludf.DUMMYFUNCTION("iferror(if($B1210="""", ,filter(Playoff_Stats!F:Z,Playoff_Stats!A:A=$B1210,Playoff_Stats!B:B=$A1210)))"),"")</f>
        <v/>
      </c>
      <c r="K1210" s="11"/>
      <c r="L1210" s="12"/>
      <c r="M1210" s="11"/>
      <c r="N1210" s="11"/>
      <c r="O1210" s="13"/>
      <c r="P1210" s="14"/>
      <c r="Q1210" s="13"/>
      <c r="R1210" s="13"/>
      <c r="S1210" s="15"/>
      <c r="T1210" s="16"/>
      <c r="U1210" s="16"/>
      <c r="V1210" s="16"/>
      <c r="W1210" s="16"/>
      <c r="X1210" s="16"/>
      <c r="Y1210" s="11"/>
      <c r="Z1210" s="11"/>
      <c r="AA1210" s="11"/>
      <c r="AB1210" s="11"/>
      <c r="AC1210" s="11"/>
      <c r="AD1210" s="11"/>
    </row>
    <row r="1211">
      <c r="A1211" s="10"/>
      <c r="B1211" s="10"/>
      <c r="C1211" s="10"/>
      <c r="D1211" s="10"/>
      <c r="E1211" s="10"/>
      <c r="F1211" s="11"/>
      <c r="G1211" s="11"/>
      <c r="H1211" s="11"/>
      <c r="I1211" s="11"/>
      <c r="J1211" s="11" t="str">
        <f>IFERROR(__xludf.DUMMYFUNCTION("iferror(if($B1211="""", ,filter(Playoff_Stats!F:Z,Playoff_Stats!A:A=$B1211,Playoff_Stats!B:B=$A1211)))"),"")</f>
        <v/>
      </c>
      <c r="K1211" s="11"/>
      <c r="L1211" s="12"/>
      <c r="M1211" s="11"/>
      <c r="N1211" s="11"/>
      <c r="O1211" s="13"/>
      <c r="P1211" s="14"/>
      <c r="Q1211" s="13"/>
      <c r="R1211" s="13"/>
      <c r="S1211" s="15"/>
      <c r="T1211" s="16"/>
      <c r="U1211" s="16"/>
      <c r="V1211" s="16"/>
      <c r="W1211" s="16"/>
      <c r="X1211" s="16"/>
      <c r="Y1211" s="11"/>
      <c r="Z1211" s="11"/>
      <c r="AA1211" s="11"/>
      <c r="AB1211" s="11"/>
      <c r="AC1211" s="11"/>
      <c r="AD1211" s="11"/>
    </row>
    <row r="1212">
      <c r="A1212" s="10"/>
      <c r="B1212" s="10"/>
      <c r="C1212" s="10"/>
      <c r="D1212" s="10"/>
      <c r="E1212" s="10"/>
      <c r="F1212" s="11"/>
      <c r="G1212" s="11"/>
      <c r="H1212" s="11"/>
      <c r="I1212" s="11"/>
      <c r="J1212" s="11" t="str">
        <f>IFERROR(__xludf.DUMMYFUNCTION("iferror(if($B1212="""", ,filter(Playoff_Stats!F:Z,Playoff_Stats!A:A=$B1212,Playoff_Stats!B:B=$A1212)))"),"")</f>
        <v/>
      </c>
      <c r="K1212" s="11"/>
      <c r="L1212" s="12"/>
      <c r="M1212" s="11"/>
      <c r="N1212" s="11"/>
      <c r="O1212" s="13"/>
      <c r="P1212" s="14"/>
      <c r="Q1212" s="13"/>
      <c r="R1212" s="13"/>
      <c r="S1212" s="15"/>
      <c r="T1212" s="16"/>
      <c r="U1212" s="16"/>
      <c r="V1212" s="16"/>
      <c r="W1212" s="16"/>
      <c r="X1212" s="16"/>
      <c r="Y1212" s="11"/>
      <c r="Z1212" s="11"/>
      <c r="AA1212" s="11"/>
      <c r="AB1212" s="11"/>
      <c r="AC1212" s="11"/>
      <c r="AD1212" s="11"/>
    </row>
    <row r="1213">
      <c r="A1213" s="10"/>
      <c r="B1213" s="10"/>
      <c r="C1213" s="10"/>
      <c r="D1213" s="10"/>
      <c r="E1213" s="10"/>
      <c r="F1213" s="11"/>
      <c r="G1213" s="11"/>
      <c r="H1213" s="11"/>
      <c r="I1213" s="11"/>
      <c r="J1213" s="11" t="str">
        <f>IFERROR(__xludf.DUMMYFUNCTION("iferror(if($B1213="""", ,filter(Playoff_Stats!F:Z,Playoff_Stats!A:A=$B1213,Playoff_Stats!B:B=$A1213)))"),"")</f>
        <v/>
      </c>
      <c r="K1213" s="11"/>
      <c r="L1213" s="12"/>
      <c r="M1213" s="11"/>
      <c r="N1213" s="11"/>
      <c r="O1213" s="13"/>
      <c r="P1213" s="14"/>
      <c r="Q1213" s="13"/>
      <c r="R1213" s="13"/>
      <c r="S1213" s="15"/>
      <c r="T1213" s="16"/>
      <c r="U1213" s="16"/>
      <c r="V1213" s="16"/>
      <c r="W1213" s="16"/>
      <c r="X1213" s="16"/>
      <c r="Y1213" s="11"/>
      <c r="Z1213" s="11"/>
      <c r="AA1213" s="11"/>
      <c r="AB1213" s="11"/>
      <c r="AC1213" s="11"/>
      <c r="AD1213" s="11"/>
    </row>
    <row r="1214">
      <c r="A1214" s="10"/>
      <c r="B1214" s="10"/>
      <c r="C1214" s="10"/>
      <c r="D1214" s="10"/>
      <c r="E1214" s="10"/>
      <c r="F1214" s="11"/>
      <c r="G1214" s="11"/>
      <c r="H1214" s="11"/>
      <c r="I1214" s="11"/>
      <c r="J1214" s="11" t="str">
        <f>IFERROR(__xludf.DUMMYFUNCTION("iferror(if($B1214="""", ,filter(Playoff_Stats!F:Z,Playoff_Stats!A:A=$B1214,Playoff_Stats!B:B=$A1214)))"),"")</f>
        <v/>
      </c>
      <c r="K1214" s="11"/>
      <c r="L1214" s="12"/>
      <c r="M1214" s="11"/>
      <c r="N1214" s="11"/>
      <c r="O1214" s="13"/>
      <c r="P1214" s="14"/>
      <c r="Q1214" s="13"/>
      <c r="R1214" s="13"/>
      <c r="S1214" s="15"/>
      <c r="T1214" s="16"/>
      <c r="U1214" s="16"/>
      <c r="V1214" s="16"/>
      <c r="W1214" s="16"/>
      <c r="X1214" s="16"/>
      <c r="Y1214" s="11"/>
      <c r="Z1214" s="11"/>
      <c r="AA1214" s="11"/>
      <c r="AB1214" s="11"/>
      <c r="AC1214" s="11"/>
      <c r="AD1214" s="11"/>
    </row>
    <row r="1215">
      <c r="A1215" s="10"/>
      <c r="B1215" s="10"/>
      <c r="C1215" s="10"/>
      <c r="D1215" s="10"/>
      <c r="E1215" s="10"/>
      <c r="F1215" s="11"/>
      <c r="G1215" s="11"/>
      <c r="H1215" s="11"/>
      <c r="I1215" s="11"/>
      <c r="J1215" s="11" t="str">
        <f>IFERROR(__xludf.DUMMYFUNCTION("iferror(if($B1215="""", ,filter(Playoff_Stats!F:Z,Playoff_Stats!A:A=$B1215,Playoff_Stats!B:B=$A1215)))"),"")</f>
        <v/>
      </c>
      <c r="K1215" s="11"/>
      <c r="L1215" s="12"/>
      <c r="M1215" s="11"/>
      <c r="N1215" s="11"/>
      <c r="O1215" s="13"/>
      <c r="P1215" s="14"/>
      <c r="Q1215" s="13"/>
      <c r="R1215" s="13"/>
      <c r="S1215" s="15"/>
      <c r="T1215" s="16"/>
      <c r="U1215" s="16"/>
      <c r="V1215" s="16"/>
      <c r="W1215" s="16"/>
      <c r="X1215" s="16"/>
      <c r="Y1215" s="11"/>
      <c r="Z1215" s="11"/>
      <c r="AA1215" s="11"/>
      <c r="AB1215" s="11"/>
      <c r="AC1215" s="11"/>
      <c r="AD1215" s="11"/>
    </row>
    <row r="1216">
      <c r="A1216" s="10"/>
      <c r="B1216" s="10"/>
      <c r="C1216" s="10"/>
      <c r="D1216" s="10"/>
      <c r="E1216" s="10"/>
      <c r="F1216" s="11"/>
      <c r="G1216" s="11"/>
      <c r="H1216" s="11"/>
      <c r="I1216" s="11"/>
      <c r="J1216" s="11" t="str">
        <f>IFERROR(__xludf.DUMMYFUNCTION("iferror(if($B1216="""", ,filter(Playoff_Stats!F:Z,Playoff_Stats!A:A=$B1216,Playoff_Stats!B:B=$A1216)))"),"")</f>
        <v/>
      </c>
      <c r="K1216" s="11"/>
      <c r="L1216" s="12"/>
      <c r="M1216" s="11"/>
      <c r="N1216" s="11"/>
      <c r="O1216" s="13"/>
      <c r="P1216" s="14"/>
      <c r="Q1216" s="13"/>
      <c r="R1216" s="13"/>
      <c r="S1216" s="15"/>
      <c r="T1216" s="16"/>
      <c r="U1216" s="16"/>
      <c r="V1216" s="16"/>
      <c r="W1216" s="16"/>
      <c r="X1216" s="16"/>
      <c r="Y1216" s="11"/>
      <c r="Z1216" s="11"/>
      <c r="AA1216" s="11"/>
      <c r="AB1216" s="11"/>
      <c r="AC1216" s="11"/>
      <c r="AD1216" s="11"/>
    </row>
    <row r="1217">
      <c r="A1217" s="10"/>
      <c r="B1217" s="10"/>
      <c r="C1217" s="10"/>
      <c r="D1217" s="10"/>
      <c r="E1217" s="10"/>
      <c r="F1217" s="11"/>
      <c r="G1217" s="11"/>
      <c r="H1217" s="11"/>
      <c r="I1217" s="11"/>
      <c r="J1217" s="11" t="str">
        <f>IFERROR(__xludf.DUMMYFUNCTION("iferror(if($B1217="""", ,filter(Playoff_Stats!F:Z,Playoff_Stats!A:A=$B1217,Playoff_Stats!B:B=$A1217)))"),"")</f>
        <v/>
      </c>
      <c r="K1217" s="11"/>
      <c r="L1217" s="12"/>
      <c r="M1217" s="11"/>
      <c r="N1217" s="11"/>
      <c r="O1217" s="13"/>
      <c r="P1217" s="14"/>
      <c r="Q1217" s="13"/>
      <c r="R1217" s="13"/>
      <c r="S1217" s="15"/>
      <c r="T1217" s="16"/>
      <c r="U1217" s="16"/>
      <c r="V1217" s="16"/>
      <c r="W1217" s="16"/>
      <c r="X1217" s="16"/>
      <c r="Y1217" s="11"/>
      <c r="Z1217" s="11"/>
      <c r="AA1217" s="11"/>
      <c r="AB1217" s="11"/>
      <c r="AC1217" s="11"/>
      <c r="AD1217" s="11"/>
    </row>
    <row r="1218">
      <c r="A1218" s="10"/>
      <c r="B1218" s="10"/>
      <c r="C1218" s="10"/>
      <c r="D1218" s="10"/>
      <c r="E1218" s="10"/>
      <c r="F1218" s="11"/>
      <c r="G1218" s="11"/>
      <c r="H1218" s="11"/>
      <c r="I1218" s="11"/>
      <c r="J1218" s="11" t="str">
        <f>IFERROR(__xludf.DUMMYFUNCTION("iferror(if($B1218="""", ,filter(Playoff_Stats!F:Z,Playoff_Stats!A:A=$B1218,Playoff_Stats!B:B=$A1218)))"),"")</f>
        <v/>
      </c>
      <c r="K1218" s="11"/>
      <c r="L1218" s="12"/>
      <c r="M1218" s="11"/>
      <c r="N1218" s="11"/>
      <c r="O1218" s="13"/>
      <c r="P1218" s="14"/>
      <c r="Q1218" s="13"/>
      <c r="R1218" s="13"/>
      <c r="S1218" s="15"/>
      <c r="T1218" s="16"/>
      <c r="U1218" s="16"/>
      <c r="V1218" s="16"/>
      <c r="W1218" s="16"/>
      <c r="X1218" s="16"/>
      <c r="Y1218" s="11"/>
      <c r="Z1218" s="11"/>
      <c r="AA1218" s="11"/>
      <c r="AB1218" s="11"/>
      <c r="AC1218" s="11"/>
      <c r="AD1218" s="11"/>
    </row>
    <row r="1219">
      <c r="A1219" s="10"/>
      <c r="B1219" s="10"/>
      <c r="C1219" s="10"/>
      <c r="D1219" s="10"/>
      <c r="E1219" s="10"/>
      <c r="F1219" s="11"/>
      <c r="G1219" s="11"/>
      <c r="H1219" s="11"/>
      <c r="I1219" s="11"/>
      <c r="J1219" s="11" t="str">
        <f>IFERROR(__xludf.DUMMYFUNCTION("iferror(if($B1219="""", ,filter(Playoff_Stats!F:Z,Playoff_Stats!A:A=$B1219,Playoff_Stats!B:B=$A1219)))"),"")</f>
        <v/>
      </c>
      <c r="K1219" s="11"/>
      <c r="L1219" s="12"/>
      <c r="M1219" s="11"/>
      <c r="N1219" s="11"/>
      <c r="O1219" s="13"/>
      <c r="P1219" s="14"/>
      <c r="Q1219" s="13"/>
      <c r="R1219" s="13"/>
      <c r="S1219" s="15"/>
      <c r="T1219" s="16"/>
      <c r="U1219" s="16"/>
      <c r="V1219" s="16"/>
      <c r="W1219" s="16"/>
      <c r="X1219" s="16"/>
      <c r="Y1219" s="11"/>
      <c r="Z1219" s="11"/>
      <c r="AA1219" s="11"/>
      <c r="AB1219" s="11"/>
      <c r="AC1219" s="11"/>
      <c r="AD1219" s="11"/>
    </row>
    <row r="1220">
      <c r="A1220" s="10"/>
      <c r="B1220" s="10"/>
      <c r="C1220" s="10"/>
      <c r="D1220" s="10"/>
      <c r="E1220" s="10"/>
      <c r="F1220" s="11"/>
      <c r="G1220" s="11"/>
      <c r="H1220" s="11"/>
      <c r="I1220" s="11"/>
      <c r="J1220" s="11" t="str">
        <f>IFERROR(__xludf.DUMMYFUNCTION("iferror(if($B1220="""", ,filter(Playoff_Stats!F:Z,Playoff_Stats!A:A=$B1220,Playoff_Stats!B:B=$A1220)))"),"")</f>
        <v/>
      </c>
      <c r="K1220" s="11"/>
      <c r="L1220" s="12"/>
      <c r="M1220" s="11"/>
      <c r="N1220" s="11"/>
      <c r="O1220" s="13"/>
      <c r="P1220" s="14"/>
      <c r="Q1220" s="13"/>
      <c r="R1220" s="13"/>
      <c r="S1220" s="15"/>
      <c r="T1220" s="16"/>
      <c r="U1220" s="16"/>
      <c r="V1220" s="16"/>
      <c r="W1220" s="16"/>
      <c r="X1220" s="16"/>
      <c r="Y1220" s="11"/>
      <c r="Z1220" s="11"/>
      <c r="AA1220" s="11"/>
      <c r="AB1220" s="11"/>
      <c r="AC1220" s="11"/>
      <c r="AD1220" s="11"/>
    </row>
    <row r="1221">
      <c r="A1221" s="10"/>
      <c r="B1221" s="10"/>
      <c r="C1221" s="10"/>
      <c r="D1221" s="10"/>
      <c r="E1221" s="10"/>
      <c r="F1221" s="11"/>
      <c r="G1221" s="11"/>
      <c r="H1221" s="11"/>
      <c r="I1221" s="11"/>
      <c r="J1221" s="11" t="str">
        <f>IFERROR(__xludf.DUMMYFUNCTION("iferror(if($B1221="""", ,filter(Playoff_Stats!F:Z,Playoff_Stats!A:A=$B1221,Playoff_Stats!B:B=$A1221)))"),"")</f>
        <v/>
      </c>
      <c r="K1221" s="11"/>
      <c r="L1221" s="12"/>
      <c r="M1221" s="11"/>
      <c r="N1221" s="11"/>
      <c r="O1221" s="13"/>
      <c r="P1221" s="14"/>
      <c r="Q1221" s="13"/>
      <c r="R1221" s="13"/>
      <c r="S1221" s="15"/>
      <c r="T1221" s="16"/>
      <c r="U1221" s="16"/>
      <c r="V1221" s="16"/>
      <c r="W1221" s="16"/>
      <c r="X1221" s="16"/>
      <c r="Y1221" s="11"/>
      <c r="Z1221" s="11"/>
      <c r="AA1221" s="11"/>
      <c r="AB1221" s="11"/>
      <c r="AC1221" s="11"/>
      <c r="AD1221" s="11"/>
    </row>
    <row r="1222">
      <c r="A1222" s="10"/>
      <c r="B1222" s="10"/>
      <c r="C1222" s="10"/>
      <c r="D1222" s="10"/>
      <c r="E1222" s="10"/>
      <c r="F1222" s="11"/>
      <c r="G1222" s="11"/>
      <c r="H1222" s="11"/>
      <c r="I1222" s="11"/>
      <c r="J1222" s="11" t="str">
        <f>IFERROR(__xludf.DUMMYFUNCTION("iferror(if($B1222="""", ,filter(Playoff_Stats!F:Z,Playoff_Stats!A:A=$B1222,Playoff_Stats!B:B=$A1222)))"),"")</f>
        <v/>
      </c>
      <c r="K1222" s="11"/>
      <c r="L1222" s="12"/>
      <c r="M1222" s="11"/>
      <c r="N1222" s="11"/>
      <c r="O1222" s="13"/>
      <c r="P1222" s="14"/>
      <c r="Q1222" s="13"/>
      <c r="R1222" s="13"/>
      <c r="S1222" s="15"/>
      <c r="T1222" s="16"/>
      <c r="U1222" s="16"/>
      <c r="V1222" s="16"/>
      <c r="W1222" s="16"/>
      <c r="X1222" s="16"/>
      <c r="Y1222" s="11"/>
      <c r="Z1222" s="11"/>
      <c r="AA1222" s="11"/>
      <c r="AB1222" s="11"/>
      <c r="AC1222" s="11"/>
      <c r="AD1222" s="11"/>
    </row>
    <row r="1223">
      <c r="A1223" s="10"/>
      <c r="B1223" s="10"/>
      <c r="C1223" s="10"/>
      <c r="D1223" s="10"/>
      <c r="E1223" s="10"/>
      <c r="F1223" s="11"/>
      <c r="G1223" s="11"/>
      <c r="H1223" s="11"/>
      <c r="I1223" s="11"/>
      <c r="J1223" s="11" t="str">
        <f>IFERROR(__xludf.DUMMYFUNCTION("iferror(if($B1223="""", ,filter(Playoff_Stats!F:Z,Playoff_Stats!A:A=$B1223,Playoff_Stats!B:B=$A1223)))"),"")</f>
        <v/>
      </c>
      <c r="K1223" s="11"/>
      <c r="L1223" s="12"/>
      <c r="M1223" s="11"/>
      <c r="N1223" s="11"/>
      <c r="O1223" s="13"/>
      <c r="P1223" s="14"/>
      <c r="Q1223" s="13"/>
      <c r="R1223" s="13"/>
      <c r="S1223" s="15"/>
      <c r="T1223" s="16"/>
      <c r="U1223" s="16"/>
      <c r="V1223" s="16"/>
      <c r="W1223" s="16"/>
      <c r="X1223" s="16"/>
      <c r="Y1223" s="11"/>
      <c r="Z1223" s="11"/>
      <c r="AA1223" s="11"/>
      <c r="AB1223" s="11"/>
      <c r="AC1223" s="11"/>
      <c r="AD1223" s="11"/>
    </row>
    <row r="1224">
      <c r="A1224" s="10"/>
      <c r="B1224" s="10"/>
      <c r="C1224" s="10"/>
      <c r="D1224" s="10"/>
      <c r="E1224" s="10"/>
      <c r="F1224" s="11"/>
      <c r="G1224" s="11"/>
      <c r="H1224" s="11"/>
      <c r="I1224" s="11"/>
      <c r="J1224" s="11" t="str">
        <f>IFERROR(__xludf.DUMMYFUNCTION("iferror(if($B1224="""", ,filter(Playoff_Stats!F:Z,Playoff_Stats!A:A=$B1224,Playoff_Stats!B:B=$A1224)))"),"")</f>
        <v/>
      </c>
      <c r="K1224" s="11"/>
      <c r="L1224" s="12"/>
      <c r="M1224" s="11"/>
      <c r="N1224" s="11"/>
      <c r="O1224" s="13"/>
      <c r="P1224" s="14"/>
      <c r="Q1224" s="13"/>
      <c r="R1224" s="13"/>
      <c r="S1224" s="15"/>
      <c r="T1224" s="16"/>
      <c r="U1224" s="16"/>
      <c r="V1224" s="16"/>
      <c r="W1224" s="16"/>
      <c r="X1224" s="16"/>
      <c r="Y1224" s="11"/>
      <c r="Z1224" s="11"/>
      <c r="AA1224" s="11"/>
      <c r="AB1224" s="11"/>
      <c r="AC1224" s="11"/>
      <c r="AD1224" s="11"/>
    </row>
    <row r="1225">
      <c r="A1225" s="10"/>
      <c r="B1225" s="10"/>
      <c r="C1225" s="10"/>
      <c r="D1225" s="10"/>
      <c r="E1225" s="10"/>
      <c r="F1225" s="11"/>
      <c r="G1225" s="11"/>
      <c r="H1225" s="11"/>
      <c r="I1225" s="11"/>
      <c r="J1225" s="11" t="str">
        <f>IFERROR(__xludf.DUMMYFUNCTION("iferror(if($B1225="""", ,filter(Playoff_Stats!F:Z,Playoff_Stats!A:A=$B1225,Playoff_Stats!B:B=$A1225)))"),"")</f>
        <v/>
      </c>
      <c r="K1225" s="11"/>
      <c r="L1225" s="12"/>
      <c r="M1225" s="11"/>
      <c r="N1225" s="11"/>
      <c r="O1225" s="13"/>
      <c r="P1225" s="14"/>
      <c r="Q1225" s="13"/>
      <c r="R1225" s="13"/>
      <c r="S1225" s="15"/>
      <c r="T1225" s="16"/>
      <c r="U1225" s="16"/>
      <c r="V1225" s="16"/>
      <c r="W1225" s="16"/>
      <c r="X1225" s="16"/>
      <c r="Y1225" s="11"/>
      <c r="Z1225" s="11"/>
      <c r="AA1225" s="11"/>
      <c r="AB1225" s="11"/>
      <c r="AC1225" s="11"/>
      <c r="AD1225" s="11"/>
    </row>
    <row r="1226">
      <c r="A1226" s="10"/>
      <c r="B1226" s="10"/>
      <c r="C1226" s="10"/>
      <c r="D1226" s="10"/>
      <c r="E1226" s="10"/>
      <c r="F1226" s="11"/>
      <c r="G1226" s="11"/>
      <c r="H1226" s="11"/>
      <c r="I1226" s="11"/>
      <c r="J1226" s="11" t="str">
        <f>IFERROR(__xludf.DUMMYFUNCTION("iferror(if($B1226="""", ,filter(Playoff_Stats!F:Z,Playoff_Stats!A:A=$B1226,Playoff_Stats!B:B=$A1226)))"),"")</f>
        <v/>
      </c>
      <c r="K1226" s="11"/>
      <c r="L1226" s="12"/>
      <c r="M1226" s="11"/>
      <c r="N1226" s="11"/>
      <c r="O1226" s="13"/>
      <c r="P1226" s="14"/>
      <c r="Q1226" s="13"/>
      <c r="R1226" s="13"/>
      <c r="S1226" s="15"/>
      <c r="T1226" s="16"/>
      <c r="U1226" s="16"/>
      <c r="V1226" s="16"/>
      <c r="W1226" s="16"/>
      <c r="X1226" s="16"/>
      <c r="Y1226" s="11"/>
      <c r="Z1226" s="11"/>
      <c r="AA1226" s="11"/>
      <c r="AB1226" s="11"/>
      <c r="AC1226" s="11"/>
      <c r="AD1226" s="11"/>
    </row>
    <row r="1227">
      <c r="A1227" s="10"/>
      <c r="B1227" s="10"/>
      <c r="C1227" s="10"/>
      <c r="D1227" s="10"/>
      <c r="E1227" s="10"/>
      <c r="F1227" s="11"/>
      <c r="G1227" s="11"/>
      <c r="H1227" s="11"/>
      <c r="I1227" s="11"/>
      <c r="J1227" s="11" t="str">
        <f>IFERROR(__xludf.DUMMYFUNCTION("iferror(if($B1227="""", ,filter(Playoff_Stats!F:Z,Playoff_Stats!A:A=$B1227,Playoff_Stats!B:B=$A1227)))"),"")</f>
        <v/>
      </c>
      <c r="K1227" s="11"/>
      <c r="L1227" s="12"/>
      <c r="M1227" s="11"/>
      <c r="N1227" s="11"/>
      <c r="O1227" s="13"/>
      <c r="P1227" s="14"/>
      <c r="Q1227" s="13"/>
      <c r="R1227" s="13"/>
      <c r="S1227" s="15"/>
      <c r="T1227" s="16"/>
      <c r="U1227" s="16"/>
      <c r="V1227" s="16"/>
      <c r="W1227" s="16"/>
      <c r="X1227" s="16"/>
      <c r="Y1227" s="11"/>
      <c r="Z1227" s="11"/>
      <c r="AA1227" s="11"/>
      <c r="AB1227" s="11"/>
      <c r="AC1227" s="11"/>
      <c r="AD1227" s="11"/>
    </row>
    <row r="1228">
      <c r="A1228" s="10"/>
      <c r="B1228" s="10"/>
      <c r="C1228" s="10"/>
      <c r="D1228" s="10"/>
      <c r="E1228" s="10"/>
      <c r="F1228" s="11"/>
      <c r="G1228" s="11"/>
      <c r="H1228" s="11"/>
      <c r="I1228" s="11"/>
      <c r="J1228" s="11" t="str">
        <f>IFERROR(__xludf.DUMMYFUNCTION("iferror(if($B1228="""", ,filter(Playoff_Stats!F:Z,Playoff_Stats!A:A=$B1228,Playoff_Stats!B:B=$A1228)))"),"")</f>
        <v/>
      </c>
      <c r="K1228" s="11"/>
      <c r="L1228" s="12"/>
      <c r="M1228" s="11"/>
      <c r="N1228" s="11"/>
      <c r="O1228" s="13"/>
      <c r="P1228" s="14"/>
      <c r="Q1228" s="13"/>
      <c r="R1228" s="13"/>
      <c r="S1228" s="15"/>
      <c r="T1228" s="16"/>
      <c r="U1228" s="16"/>
      <c r="V1228" s="16"/>
      <c r="W1228" s="16"/>
      <c r="X1228" s="16"/>
      <c r="Y1228" s="11"/>
      <c r="Z1228" s="11"/>
      <c r="AA1228" s="11"/>
      <c r="AB1228" s="11"/>
      <c r="AC1228" s="11"/>
      <c r="AD1228" s="11"/>
    </row>
    <row r="1229">
      <c r="A1229" s="10"/>
      <c r="B1229" s="10"/>
      <c r="C1229" s="10"/>
      <c r="D1229" s="10"/>
      <c r="E1229" s="10"/>
      <c r="F1229" s="11"/>
      <c r="G1229" s="11"/>
      <c r="H1229" s="11"/>
      <c r="I1229" s="11"/>
      <c r="J1229" s="11" t="str">
        <f>IFERROR(__xludf.DUMMYFUNCTION("iferror(if($B1229="""", ,filter(Playoff_Stats!F:Z,Playoff_Stats!A:A=$B1229,Playoff_Stats!B:B=$A1229)))"),"")</f>
        <v/>
      </c>
      <c r="K1229" s="11"/>
      <c r="L1229" s="12"/>
      <c r="M1229" s="11"/>
      <c r="N1229" s="11"/>
      <c r="O1229" s="13"/>
      <c r="P1229" s="14"/>
      <c r="Q1229" s="13"/>
      <c r="R1229" s="13"/>
      <c r="S1229" s="15"/>
      <c r="T1229" s="16"/>
      <c r="U1229" s="16"/>
      <c r="V1229" s="16"/>
      <c r="W1229" s="16"/>
      <c r="X1229" s="16"/>
      <c r="Y1229" s="11"/>
      <c r="Z1229" s="11"/>
      <c r="AA1229" s="11"/>
      <c r="AB1229" s="11"/>
      <c r="AC1229" s="11"/>
      <c r="AD1229" s="11"/>
    </row>
    <row r="1230">
      <c r="A1230" s="10"/>
      <c r="B1230" s="10"/>
      <c r="C1230" s="10"/>
      <c r="D1230" s="10"/>
      <c r="E1230" s="10"/>
      <c r="F1230" s="11"/>
      <c r="G1230" s="11"/>
      <c r="H1230" s="11"/>
      <c r="I1230" s="11"/>
      <c r="J1230" s="11" t="str">
        <f>IFERROR(__xludf.DUMMYFUNCTION("iferror(if($B1230="""", ,filter(Playoff_Stats!F:Z,Playoff_Stats!A:A=$B1230,Playoff_Stats!B:B=$A1230)))"),"")</f>
        <v/>
      </c>
      <c r="K1230" s="11"/>
      <c r="L1230" s="12"/>
      <c r="M1230" s="11"/>
      <c r="N1230" s="11"/>
      <c r="O1230" s="13"/>
      <c r="P1230" s="14"/>
      <c r="Q1230" s="13"/>
      <c r="R1230" s="13"/>
      <c r="S1230" s="15"/>
      <c r="T1230" s="16"/>
      <c r="U1230" s="16"/>
      <c r="V1230" s="16"/>
      <c r="W1230" s="16"/>
      <c r="X1230" s="16"/>
      <c r="Y1230" s="11"/>
      <c r="Z1230" s="11"/>
      <c r="AA1230" s="11"/>
      <c r="AB1230" s="11"/>
      <c r="AC1230" s="11"/>
      <c r="AD1230" s="11"/>
    </row>
    <row r="1231">
      <c r="A1231" s="10"/>
      <c r="B1231" s="10"/>
      <c r="C1231" s="10"/>
      <c r="D1231" s="10"/>
      <c r="E1231" s="10"/>
      <c r="F1231" s="11"/>
      <c r="G1231" s="11"/>
      <c r="H1231" s="11"/>
      <c r="I1231" s="11"/>
      <c r="J1231" s="11" t="str">
        <f>IFERROR(__xludf.DUMMYFUNCTION("iferror(if($B1231="""", ,filter(Playoff_Stats!F:Z,Playoff_Stats!A:A=$B1231,Playoff_Stats!B:B=$A1231)))"),"")</f>
        <v/>
      </c>
      <c r="K1231" s="11"/>
      <c r="L1231" s="12"/>
      <c r="M1231" s="11"/>
      <c r="N1231" s="11"/>
      <c r="O1231" s="13"/>
      <c r="P1231" s="14"/>
      <c r="Q1231" s="13"/>
      <c r="R1231" s="13"/>
      <c r="S1231" s="15"/>
      <c r="T1231" s="16"/>
      <c r="U1231" s="16"/>
      <c r="V1231" s="16"/>
      <c r="W1231" s="16"/>
      <c r="X1231" s="16"/>
      <c r="Y1231" s="11"/>
      <c r="Z1231" s="11"/>
      <c r="AA1231" s="11"/>
      <c r="AB1231" s="11"/>
      <c r="AC1231" s="11"/>
      <c r="AD1231" s="11"/>
    </row>
    <row r="1232">
      <c r="A1232" s="10"/>
      <c r="B1232" s="10"/>
      <c r="C1232" s="10"/>
      <c r="D1232" s="10"/>
      <c r="E1232" s="10"/>
      <c r="F1232" s="11"/>
      <c r="G1232" s="11"/>
      <c r="H1232" s="11"/>
      <c r="I1232" s="11"/>
      <c r="J1232" s="11" t="str">
        <f>IFERROR(__xludf.DUMMYFUNCTION("iferror(if($B1232="""", ,filter(Playoff_Stats!F:Z,Playoff_Stats!A:A=$B1232,Playoff_Stats!B:B=$A1232)))"),"")</f>
        <v/>
      </c>
      <c r="K1232" s="11"/>
      <c r="L1232" s="12"/>
      <c r="M1232" s="11"/>
      <c r="N1232" s="11"/>
      <c r="O1232" s="13"/>
      <c r="P1232" s="14"/>
      <c r="Q1232" s="13"/>
      <c r="R1232" s="13"/>
      <c r="S1232" s="15"/>
      <c r="T1232" s="16"/>
      <c r="U1232" s="16"/>
      <c r="V1232" s="16"/>
      <c r="W1232" s="16"/>
      <c r="X1232" s="16"/>
      <c r="Y1232" s="11"/>
      <c r="Z1232" s="11"/>
      <c r="AA1232" s="11"/>
      <c r="AB1232" s="11"/>
      <c r="AC1232" s="11"/>
      <c r="AD1232" s="11"/>
    </row>
    <row r="1233">
      <c r="A1233" s="10"/>
      <c r="B1233" s="10"/>
      <c r="C1233" s="10"/>
      <c r="D1233" s="10"/>
      <c r="E1233" s="10"/>
      <c r="F1233" s="11"/>
      <c r="G1233" s="11"/>
      <c r="H1233" s="11"/>
      <c r="I1233" s="11"/>
      <c r="J1233" s="11" t="str">
        <f>IFERROR(__xludf.DUMMYFUNCTION("iferror(if($B1233="""", ,filter(Playoff_Stats!F:Z,Playoff_Stats!A:A=$B1233,Playoff_Stats!B:B=$A1233)))"),"")</f>
        <v/>
      </c>
      <c r="K1233" s="11"/>
      <c r="L1233" s="12"/>
      <c r="M1233" s="11"/>
      <c r="N1233" s="11"/>
      <c r="O1233" s="13"/>
      <c r="P1233" s="14"/>
      <c r="Q1233" s="13"/>
      <c r="R1233" s="13"/>
      <c r="S1233" s="15"/>
      <c r="T1233" s="16"/>
      <c r="U1233" s="16"/>
      <c r="V1233" s="16"/>
      <c r="W1233" s="16"/>
      <c r="X1233" s="16"/>
      <c r="Y1233" s="11"/>
      <c r="Z1233" s="11"/>
      <c r="AA1233" s="11"/>
      <c r="AB1233" s="11"/>
      <c r="AC1233" s="11"/>
      <c r="AD1233" s="11"/>
    </row>
    <row r="1234">
      <c r="A1234" s="10"/>
      <c r="B1234" s="10"/>
      <c r="C1234" s="10"/>
      <c r="D1234" s="10"/>
      <c r="E1234" s="10"/>
      <c r="F1234" s="11"/>
      <c r="G1234" s="11"/>
      <c r="H1234" s="11"/>
      <c r="I1234" s="11"/>
      <c r="J1234" s="11" t="str">
        <f>IFERROR(__xludf.DUMMYFUNCTION("iferror(if($B1234="""", ,filter(Playoff_Stats!F:Z,Playoff_Stats!A:A=$B1234,Playoff_Stats!B:B=$A1234)))"),"")</f>
        <v/>
      </c>
      <c r="K1234" s="11"/>
      <c r="L1234" s="12"/>
      <c r="M1234" s="11"/>
      <c r="N1234" s="11"/>
      <c r="O1234" s="13"/>
      <c r="P1234" s="14"/>
      <c r="Q1234" s="13"/>
      <c r="R1234" s="13"/>
      <c r="S1234" s="15"/>
      <c r="T1234" s="16"/>
      <c r="U1234" s="16"/>
      <c r="V1234" s="16"/>
      <c r="W1234" s="16"/>
      <c r="X1234" s="16"/>
      <c r="Y1234" s="11"/>
      <c r="Z1234" s="11"/>
      <c r="AA1234" s="11"/>
      <c r="AB1234" s="11"/>
      <c r="AC1234" s="11"/>
      <c r="AD1234" s="11"/>
    </row>
    <row r="1235">
      <c r="A1235" s="10"/>
      <c r="B1235" s="10"/>
      <c r="C1235" s="10"/>
      <c r="D1235" s="10"/>
      <c r="E1235" s="10"/>
      <c r="F1235" s="11"/>
      <c r="G1235" s="11"/>
      <c r="H1235" s="11"/>
      <c r="I1235" s="11"/>
      <c r="J1235" s="11" t="str">
        <f>IFERROR(__xludf.DUMMYFUNCTION("iferror(if($B1235="""", ,filter(Playoff_Stats!F:Z,Playoff_Stats!A:A=$B1235,Playoff_Stats!B:B=$A1235)))"),"")</f>
        <v/>
      </c>
      <c r="K1235" s="11"/>
      <c r="L1235" s="12"/>
      <c r="M1235" s="11"/>
      <c r="N1235" s="11"/>
      <c r="O1235" s="13"/>
      <c r="P1235" s="14"/>
      <c r="Q1235" s="13"/>
      <c r="R1235" s="13"/>
      <c r="S1235" s="15"/>
      <c r="T1235" s="16"/>
      <c r="U1235" s="16"/>
      <c r="V1235" s="16"/>
      <c r="W1235" s="16"/>
      <c r="X1235" s="16"/>
      <c r="Y1235" s="11"/>
      <c r="Z1235" s="11"/>
      <c r="AA1235" s="11"/>
      <c r="AB1235" s="11"/>
      <c r="AC1235" s="11"/>
      <c r="AD1235" s="11"/>
    </row>
    <row r="1236">
      <c r="A1236" s="10"/>
      <c r="B1236" s="10"/>
      <c r="C1236" s="10"/>
      <c r="D1236" s="10"/>
      <c r="E1236" s="10"/>
      <c r="F1236" s="11"/>
      <c r="G1236" s="11"/>
      <c r="H1236" s="11"/>
      <c r="I1236" s="11"/>
      <c r="J1236" s="11" t="str">
        <f>IFERROR(__xludf.DUMMYFUNCTION("iferror(if($B1236="""", ,filter(Playoff_Stats!F:Z,Playoff_Stats!A:A=$B1236,Playoff_Stats!B:B=$A1236)))"),"")</f>
        <v/>
      </c>
      <c r="K1236" s="11"/>
      <c r="L1236" s="12"/>
      <c r="M1236" s="11"/>
      <c r="N1236" s="11"/>
      <c r="O1236" s="13"/>
      <c r="P1236" s="14"/>
      <c r="Q1236" s="13"/>
      <c r="R1236" s="13"/>
      <c r="S1236" s="15"/>
      <c r="T1236" s="16"/>
      <c r="U1236" s="16"/>
      <c r="V1236" s="16"/>
      <c r="W1236" s="16"/>
      <c r="X1236" s="16"/>
      <c r="Y1236" s="11"/>
      <c r="Z1236" s="11"/>
      <c r="AA1236" s="11"/>
      <c r="AB1236" s="11"/>
      <c r="AC1236" s="11"/>
      <c r="AD1236" s="11"/>
    </row>
    <row r="1237">
      <c r="A1237" s="10"/>
      <c r="B1237" s="10"/>
      <c r="C1237" s="10"/>
      <c r="D1237" s="10"/>
      <c r="E1237" s="10"/>
      <c r="F1237" s="11"/>
      <c r="G1237" s="11"/>
      <c r="H1237" s="11"/>
      <c r="I1237" s="11"/>
      <c r="J1237" s="11" t="str">
        <f>IFERROR(__xludf.DUMMYFUNCTION("iferror(if($B1237="""", ,filter(Playoff_Stats!F:Z,Playoff_Stats!A:A=$B1237,Playoff_Stats!B:B=$A1237)))"),"")</f>
        <v/>
      </c>
      <c r="K1237" s="11"/>
      <c r="L1237" s="12"/>
      <c r="M1237" s="11"/>
      <c r="N1237" s="11"/>
      <c r="O1237" s="13"/>
      <c r="P1237" s="14"/>
      <c r="Q1237" s="13"/>
      <c r="R1237" s="13"/>
      <c r="S1237" s="15"/>
      <c r="T1237" s="16"/>
      <c r="U1237" s="16"/>
      <c r="V1237" s="16"/>
      <c r="W1237" s="16"/>
      <c r="X1237" s="16"/>
      <c r="Y1237" s="11"/>
      <c r="Z1237" s="11"/>
      <c r="AA1237" s="11"/>
      <c r="AB1237" s="11"/>
      <c r="AC1237" s="11"/>
      <c r="AD1237" s="11"/>
    </row>
    <row r="1238">
      <c r="A1238" s="10"/>
      <c r="B1238" s="10"/>
      <c r="C1238" s="10"/>
      <c r="D1238" s="10"/>
      <c r="E1238" s="10"/>
      <c r="F1238" s="11"/>
      <c r="G1238" s="11"/>
      <c r="H1238" s="11"/>
      <c r="I1238" s="11"/>
      <c r="J1238" s="11" t="str">
        <f>IFERROR(__xludf.DUMMYFUNCTION("iferror(if($B1238="""", ,filter(Playoff_Stats!F:Z,Playoff_Stats!A:A=$B1238,Playoff_Stats!B:B=$A1238)))"),"")</f>
        <v/>
      </c>
      <c r="K1238" s="11"/>
      <c r="L1238" s="12"/>
      <c r="M1238" s="11"/>
      <c r="N1238" s="11"/>
      <c r="O1238" s="13"/>
      <c r="P1238" s="14"/>
      <c r="Q1238" s="13"/>
      <c r="R1238" s="13"/>
      <c r="S1238" s="15"/>
      <c r="T1238" s="16"/>
      <c r="U1238" s="16"/>
      <c r="V1238" s="16"/>
      <c r="W1238" s="16"/>
      <c r="X1238" s="16"/>
      <c r="Y1238" s="11"/>
      <c r="Z1238" s="11"/>
      <c r="AA1238" s="11"/>
      <c r="AB1238" s="11"/>
      <c r="AC1238" s="11"/>
      <c r="AD1238" s="11"/>
    </row>
    <row r="1239">
      <c r="A1239" s="10"/>
      <c r="B1239" s="10"/>
      <c r="C1239" s="10"/>
      <c r="D1239" s="10"/>
      <c r="E1239" s="10"/>
      <c r="F1239" s="11"/>
      <c r="G1239" s="11"/>
      <c r="H1239" s="11"/>
      <c r="I1239" s="11"/>
      <c r="J1239" s="11" t="str">
        <f>IFERROR(__xludf.DUMMYFUNCTION("iferror(if($B1239="""", ,filter(Playoff_Stats!F:Z,Playoff_Stats!A:A=$B1239,Playoff_Stats!B:B=$A1239)))"),"")</f>
        <v/>
      </c>
      <c r="K1239" s="11"/>
      <c r="L1239" s="12"/>
      <c r="M1239" s="11"/>
      <c r="N1239" s="11"/>
      <c r="O1239" s="13"/>
      <c r="P1239" s="14"/>
      <c r="Q1239" s="13"/>
      <c r="R1239" s="13"/>
      <c r="S1239" s="15"/>
      <c r="T1239" s="16"/>
      <c r="U1239" s="16"/>
      <c r="V1239" s="16"/>
      <c r="W1239" s="16"/>
      <c r="X1239" s="16"/>
      <c r="Y1239" s="11"/>
      <c r="Z1239" s="11"/>
      <c r="AA1239" s="11"/>
      <c r="AB1239" s="11"/>
      <c r="AC1239" s="11"/>
      <c r="AD1239" s="11"/>
    </row>
    <row r="1240">
      <c r="A1240" s="10"/>
      <c r="B1240" s="10"/>
      <c r="C1240" s="10"/>
      <c r="D1240" s="10"/>
      <c r="E1240" s="10"/>
      <c r="F1240" s="11"/>
      <c r="G1240" s="11"/>
      <c r="H1240" s="11"/>
      <c r="I1240" s="11"/>
      <c r="J1240" s="11" t="str">
        <f>IFERROR(__xludf.DUMMYFUNCTION("iferror(if($B1240="""", ,filter(Playoff_Stats!F:Z,Playoff_Stats!A:A=$B1240,Playoff_Stats!B:B=$A1240)))"),"")</f>
        <v/>
      </c>
      <c r="K1240" s="11"/>
      <c r="L1240" s="12"/>
      <c r="M1240" s="11"/>
      <c r="N1240" s="11"/>
      <c r="O1240" s="13"/>
      <c r="P1240" s="14"/>
      <c r="Q1240" s="13"/>
      <c r="R1240" s="13"/>
      <c r="S1240" s="15"/>
      <c r="T1240" s="16"/>
      <c r="U1240" s="16"/>
      <c r="V1240" s="16"/>
      <c r="W1240" s="16"/>
      <c r="X1240" s="16"/>
      <c r="Y1240" s="11"/>
      <c r="Z1240" s="11"/>
      <c r="AA1240" s="11"/>
      <c r="AB1240" s="11"/>
      <c r="AC1240" s="11"/>
      <c r="AD1240" s="11"/>
    </row>
    <row r="1241">
      <c r="A1241" s="10"/>
      <c r="B1241" s="10"/>
      <c r="C1241" s="10"/>
      <c r="D1241" s="10"/>
      <c r="E1241" s="10"/>
      <c r="F1241" s="11"/>
      <c r="G1241" s="11"/>
      <c r="H1241" s="11"/>
      <c r="I1241" s="11"/>
      <c r="J1241" s="11" t="str">
        <f>IFERROR(__xludf.DUMMYFUNCTION("iferror(if($B1241="""", ,filter(Playoff_Stats!F:Z,Playoff_Stats!A:A=$B1241,Playoff_Stats!B:B=$A1241)))"),"")</f>
        <v/>
      </c>
      <c r="K1241" s="11"/>
      <c r="L1241" s="12"/>
      <c r="M1241" s="11"/>
      <c r="N1241" s="11"/>
      <c r="O1241" s="13"/>
      <c r="P1241" s="14"/>
      <c r="Q1241" s="13"/>
      <c r="R1241" s="13"/>
      <c r="S1241" s="15"/>
      <c r="T1241" s="16"/>
      <c r="U1241" s="16"/>
      <c r="V1241" s="16"/>
      <c r="W1241" s="16"/>
      <c r="X1241" s="16"/>
      <c r="Y1241" s="11"/>
      <c r="Z1241" s="11"/>
      <c r="AA1241" s="11"/>
      <c r="AB1241" s="11"/>
      <c r="AC1241" s="11"/>
      <c r="AD1241" s="11"/>
    </row>
    <row r="1242">
      <c r="A1242" s="10"/>
      <c r="B1242" s="10"/>
      <c r="C1242" s="10"/>
      <c r="D1242" s="10"/>
      <c r="E1242" s="10"/>
      <c r="F1242" s="11"/>
      <c r="G1242" s="11"/>
      <c r="H1242" s="11"/>
      <c r="I1242" s="11"/>
      <c r="J1242" s="11" t="str">
        <f>IFERROR(__xludf.DUMMYFUNCTION("iferror(if($B1242="""", ,filter(Playoff_Stats!F:Z,Playoff_Stats!A:A=$B1242,Playoff_Stats!B:B=$A1242)))"),"")</f>
        <v/>
      </c>
      <c r="K1242" s="11"/>
      <c r="L1242" s="12"/>
      <c r="M1242" s="11"/>
      <c r="N1242" s="11"/>
      <c r="O1242" s="13"/>
      <c r="P1242" s="14"/>
      <c r="Q1242" s="13"/>
      <c r="R1242" s="13"/>
      <c r="S1242" s="15"/>
      <c r="T1242" s="16"/>
      <c r="U1242" s="16"/>
      <c r="V1242" s="16"/>
      <c r="W1242" s="16"/>
      <c r="X1242" s="16"/>
      <c r="Y1242" s="11"/>
      <c r="Z1242" s="11"/>
      <c r="AA1242" s="11"/>
      <c r="AB1242" s="11"/>
      <c r="AC1242" s="11"/>
      <c r="AD1242" s="11"/>
    </row>
    <row r="1243">
      <c r="A1243" s="10"/>
      <c r="B1243" s="10"/>
      <c r="C1243" s="10"/>
      <c r="D1243" s="10"/>
      <c r="E1243" s="10"/>
      <c r="F1243" s="11"/>
      <c r="G1243" s="11"/>
      <c r="H1243" s="11"/>
      <c r="I1243" s="11"/>
      <c r="J1243" s="11" t="str">
        <f>IFERROR(__xludf.DUMMYFUNCTION("iferror(if($B1243="""", ,filter(Playoff_Stats!F:Z,Playoff_Stats!A:A=$B1243,Playoff_Stats!B:B=$A1243)))"),"")</f>
        <v/>
      </c>
      <c r="K1243" s="11"/>
      <c r="L1243" s="12"/>
      <c r="M1243" s="11"/>
      <c r="N1243" s="11"/>
      <c r="O1243" s="13"/>
      <c r="P1243" s="14"/>
      <c r="Q1243" s="13"/>
      <c r="R1243" s="13"/>
      <c r="S1243" s="15"/>
      <c r="T1243" s="16"/>
      <c r="U1243" s="16"/>
      <c r="V1243" s="16"/>
      <c r="W1243" s="16"/>
      <c r="X1243" s="16"/>
      <c r="Y1243" s="11"/>
      <c r="Z1243" s="11"/>
      <c r="AA1243" s="11"/>
      <c r="AB1243" s="11"/>
      <c r="AC1243" s="11"/>
      <c r="AD1243" s="11"/>
    </row>
    <row r="1244">
      <c r="A1244" s="10"/>
      <c r="B1244" s="10"/>
      <c r="C1244" s="10"/>
      <c r="D1244" s="10"/>
      <c r="E1244" s="10"/>
      <c r="F1244" s="11"/>
      <c r="G1244" s="11"/>
      <c r="H1244" s="11"/>
      <c r="I1244" s="11"/>
      <c r="J1244" s="11" t="str">
        <f>IFERROR(__xludf.DUMMYFUNCTION("iferror(if($B1244="""", ,filter(Playoff_Stats!F:Z,Playoff_Stats!A:A=$B1244,Playoff_Stats!B:B=$A1244)))"),"")</f>
        <v/>
      </c>
      <c r="K1244" s="11"/>
      <c r="L1244" s="12"/>
      <c r="M1244" s="11"/>
      <c r="N1244" s="11"/>
      <c r="O1244" s="13"/>
      <c r="P1244" s="14"/>
      <c r="Q1244" s="13"/>
      <c r="R1244" s="13"/>
      <c r="S1244" s="15"/>
      <c r="T1244" s="16"/>
      <c r="U1244" s="16"/>
      <c r="V1244" s="16"/>
      <c r="W1244" s="16"/>
      <c r="X1244" s="16"/>
      <c r="Y1244" s="11"/>
      <c r="Z1244" s="11"/>
      <c r="AA1244" s="11"/>
      <c r="AB1244" s="11"/>
      <c r="AC1244" s="11"/>
      <c r="AD1244" s="11"/>
    </row>
    <row r="1245">
      <c r="A1245" s="10"/>
      <c r="B1245" s="10"/>
      <c r="C1245" s="10"/>
      <c r="D1245" s="10"/>
      <c r="E1245" s="10"/>
      <c r="F1245" s="11"/>
      <c r="G1245" s="11"/>
      <c r="H1245" s="11"/>
      <c r="I1245" s="11"/>
      <c r="J1245" s="11" t="str">
        <f>IFERROR(__xludf.DUMMYFUNCTION("iferror(if($B1245="""", ,filter(Playoff_Stats!F:Z,Playoff_Stats!A:A=$B1245,Playoff_Stats!B:B=$A1245)))"),"")</f>
        <v/>
      </c>
      <c r="K1245" s="11"/>
      <c r="L1245" s="12"/>
      <c r="M1245" s="11"/>
      <c r="N1245" s="11"/>
      <c r="O1245" s="13"/>
      <c r="P1245" s="14"/>
      <c r="Q1245" s="13"/>
      <c r="R1245" s="13"/>
      <c r="S1245" s="15"/>
      <c r="T1245" s="16"/>
      <c r="U1245" s="16"/>
      <c r="V1245" s="16"/>
      <c r="W1245" s="16"/>
      <c r="X1245" s="16"/>
      <c r="Y1245" s="11"/>
      <c r="Z1245" s="11"/>
      <c r="AA1245" s="11"/>
      <c r="AB1245" s="11"/>
      <c r="AC1245" s="11"/>
      <c r="AD1245" s="11"/>
    </row>
    <row r="1246">
      <c r="A1246" s="10"/>
      <c r="B1246" s="10"/>
      <c r="C1246" s="10"/>
      <c r="D1246" s="10"/>
      <c r="E1246" s="10"/>
      <c r="F1246" s="11"/>
      <c r="G1246" s="11"/>
      <c r="H1246" s="11"/>
      <c r="I1246" s="11"/>
      <c r="J1246" s="11" t="str">
        <f>IFERROR(__xludf.DUMMYFUNCTION("iferror(if($B1246="""", ,filter(Playoff_Stats!F:Z,Playoff_Stats!A:A=$B1246,Playoff_Stats!B:B=$A1246)))"),"")</f>
        <v/>
      </c>
      <c r="K1246" s="11"/>
      <c r="L1246" s="12"/>
      <c r="M1246" s="11"/>
      <c r="N1246" s="11"/>
      <c r="O1246" s="13"/>
      <c r="P1246" s="14"/>
      <c r="Q1246" s="13"/>
      <c r="R1246" s="13"/>
      <c r="S1246" s="15"/>
      <c r="T1246" s="16"/>
      <c r="U1246" s="16"/>
      <c r="V1246" s="16"/>
      <c r="W1246" s="16"/>
      <c r="X1246" s="16"/>
      <c r="Y1246" s="11"/>
      <c r="Z1246" s="11"/>
      <c r="AA1246" s="11"/>
      <c r="AB1246" s="11"/>
      <c r="AC1246" s="11"/>
      <c r="AD1246" s="11"/>
    </row>
    <row r="1247">
      <c r="A1247" s="10"/>
      <c r="B1247" s="10"/>
      <c r="C1247" s="10"/>
      <c r="D1247" s="10"/>
      <c r="E1247" s="10"/>
      <c r="F1247" s="11"/>
      <c r="G1247" s="11"/>
      <c r="H1247" s="11"/>
      <c r="I1247" s="11"/>
      <c r="J1247" s="11" t="str">
        <f>IFERROR(__xludf.DUMMYFUNCTION("iferror(if($B1247="""", ,filter(Playoff_Stats!F:Z,Playoff_Stats!A:A=$B1247,Playoff_Stats!B:B=$A1247)))"),"")</f>
        <v/>
      </c>
      <c r="K1247" s="11"/>
      <c r="L1247" s="12"/>
      <c r="M1247" s="11"/>
      <c r="N1247" s="11"/>
      <c r="O1247" s="13"/>
      <c r="P1247" s="14"/>
      <c r="Q1247" s="13"/>
      <c r="R1247" s="13"/>
      <c r="S1247" s="15"/>
      <c r="T1247" s="16"/>
      <c r="U1247" s="16"/>
      <c r="V1247" s="16"/>
      <c r="W1247" s="16"/>
      <c r="X1247" s="16"/>
      <c r="Y1247" s="11"/>
      <c r="Z1247" s="11"/>
      <c r="AA1247" s="11"/>
      <c r="AB1247" s="11"/>
      <c r="AC1247" s="11"/>
      <c r="AD1247" s="11"/>
    </row>
    <row r="1248">
      <c r="A1248" s="10"/>
      <c r="B1248" s="10"/>
      <c r="C1248" s="10"/>
      <c r="D1248" s="10"/>
      <c r="E1248" s="10"/>
      <c r="F1248" s="11"/>
      <c r="G1248" s="11"/>
      <c r="H1248" s="11"/>
      <c r="I1248" s="11"/>
      <c r="J1248" s="11" t="str">
        <f>IFERROR(__xludf.DUMMYFUNCTION("iferror(if($B1248="""", ,filter(Playoff_Stats!F:Z,Playoff_Stats!A:A=$B1248,Playoff_Stats!B:B=$A1248)))"),"")</f>
        <v/>
      </c>
      <c r="K1248" s="11"/>
      <c r="L1248" s="12"/>
      <c r="M1248" s="11"/>
      <c r="N1248" s="11"/>
      <c r="O1248" s="13"/>
      <c r="P1248" s="14"/>
      <c r="Q1248" s="13"/>
      <c r="R1248" s="13"/>
      <c r="S1248" s="15"/>
      <c r="T1248" s="16"/>
      <c r="U1248" s="16"/>
      <c r="V1248" s="16"/>
      <c r="W1248" s="16"/>
      <c r="X1248" s="16"/>
      <c r="Y1248" s="11"/>
      <c r="Z1248" s="11"/>
      <c r="AA1248" s="11"/>
      <c r="AB1248" s="11"/>
      <c r="AC1248" s="11"/>
      <c r="AD1248" s="11"/>
    </row>
    <row r="1249">
      <c r="A1249" s="10"/>
      <c r="B1249" s="10"/>
      <c r="C1249" s="10"/>
      <c r="D1249" s="10"/>
      <c r="E1249" s="10"/>
      <c r="F1249" s="11"/>
      <c r="G1249" s="11"/>
      <c r="H1249" s="11"/>
      <c r="I1249" s="11"/>
      <c r="J1249" s="11" t="str">
        <f>IFERROR(__xludf.DUMMYFUNCTION("iferror(if($B1249="""", ,filter(Playoff_Stats!F:Z,Playoff_Stats!A:A=$B1249,Playoff_Stats!B:B=$A1249)))"),"")</f>
        <v/>
      </c>
      <c r="K1249" s="11"/>
      <c r="L1249" s="12"/>
      <c r="M1249" s="11"/>
      <c r="N1249" s="11"/>
      <c r="O1249" s="13"/>
      <c r="P1249" s="14"/>
      <c r="Q1249" s="13"/>
      <c r="R1249" s="13"/>
      <c r="S1249" s="15"/>
      <c r="T1249" s="16"/>
      <c r="U1249" s="16"/>
      <c r="V1249" s="16"/>
      <c r="W1249" s="16"/>
      <c r="X1249" s="16"/>
      <c r="Y1249" s="11"/>
      <c r="Z1249" s="11"/>
      <c r="AA1249" s="11"/>
      <c r="AB1249" s="11"/>
      <c r="AC1249" s="11"/>
      <c r="AD1249" s="11"/>
    </row>
    <row r="1250">
      <c r="A1250" s="10"/>
      <c r="B1250" s="10"/>
      <c r="C1250" s="10"/>
      <c r="D1250" s="10"/>
      <c r="E1250" s="10"/>
      <c r="F1250" s="11"/>
      <c r="G1250" s="11"/>
      <c r="H1250" s="11"/>
      <c r="I1250" s="11"/>
      <c r="J1250" s="11" t="str">
        <f>IFERROR(__xludf.DUMMYFUNCTION("iferror(if($B1250="""", ,filter(Playoff_Stats!F:Z,Playoff_Stats!A:A=$B1250,Playoff_Stats!B:B=$A1250)))"),"")</f>
        <v/>
      </c>
      <c r="K1250" s="11"/>
      <c r="L1250" s="12"/>
      <c r="M1250" s="11"/>
      <c r="N1250" s="11"/>
      <c r="O1250" s="13"/>
      <c r="P1250" s="14"/>
      <c r="Q1250" s="13"/>
      <c r="R1250" s="13"/>
      <c r="S1250" s="15"/>
      <c r="T1250" s="16"/>
      <c r="U1250" s="16"/>
      <c r="V1250" s="16"/>
      <c r="W1250" s="16"/>
      <c r="X1250" s="16"/>
      <c r="Y1250" s="11"/>
      <c r="Z1250" s="11"/>
      <c r="AA1250" s="11"/>
      <c r="AB1250" s="11"/>
      <c r="AC1250" s="11"/>
      <c r="AD1250" s="11"/>
    </row>
    <row r="1251">
      <c r="A1251" s="10"/>
      <c r="B1251" s="10"/>
      <c r="C1251" s="10"/>
      <c r="D1251" s="10"/>
      <c r="E1251" s="10"/>
      <c r="F1251" s="11"/>
      <c r="G1251" s="11"/>
      <c r="H1251" s="11"/>
      <c r="I1251" s="11"/>
      <c r="J1251" s="11" t="str">
        <f>IFERROR(__xludf.DUMMYFUNCTION("iferror(if($B1251="""", ,filter(Playoff_Stats!F:Z,Playoff_Stats!A:A=$B1251,Playoff_Stats!B:B=$A1251)))"),"")</f>
        <v/>
      </c>
      <c r="K1251" s="11"/>
      <c r="L1251" s="12"/>
      <c r="M1251" s="11"/>
      <c r="N1251" s="11"/>
      <c r="O1251" s="13"/>
      <c r="P1251" s="14"/>
      <c r="Q1251" s="13"/>
      <c r="R1251" s="13"/>
      <c r="S1251" s="15"/>
      <c r="T1251" s="16"/>
      <c r="U1251" s="16"/>
      <c r="V1251" s="16"/>
      <c r="W1251" s="16"/>
      <c r="X1251" s="16"/>
      <c r="Y1251" s="11"/>
      <c r="Z1251" s="11"/>
      <c r="AA1251" s="11"/>
      <c r="AB1251" s="11"/>
      <c r="AC1251" s="11"/>
      <c r="AD1251" s="11"/>
    </row>
    <row r="1252">
      <c r="A1252" s="10"/>
      <c r="B1252" s="10"/>
      <c r="C1252" s="10"/>
      <c r="D1252" s="10"/>
      <c r="E1252" s="10"/>
      <c r="F1252" s="11"/>
      <c r="G1252" s="11"/>
      <c r="H1252" s="11"/>
      <c r="I1252" s="11"/>
      <c r="J1252" s="11" t="str">
        <f>IFERROR(__xludf.DUMMYFUNCTION("iferror(if($B1252="""", ,filter(Playoff_Stats!F:Z,Playoff_Stats!A:A=$B1252,Playoff_Stats!B:B=$A1252)))"),"")</f>
        <v/>
      </c>
      <c r="K1252" s="11"/>
      <c r="L1252" s="12"/>
      <c r="M1252" s="11"/>
      <c r="N1252" s="11"/>
      <c r="O1252" s="13"/>
      <c r="P1252" s="14"/>
      <c r="Q1252" s="13"/>
      <c r="R1252" s="13"/>
      <c r="S1252" s="15"/>
      <c r="T1252" s="16"/>
      <c r="U1252" s="16"/>
      <c r="V1252" s="16"/>
      <c r="W1252" s="16"/>
      <c r="X1252" s="16"/>
      <c r="Y1252" s="11"/>
      <c r="Z1252" s="11"/>
      <c r="AA1252" s="11"/>
      <c r="AB1252" s="11"/>
      <c r="AC1252" s="11"/>
      <c r="AD1252" s="11"/>
    </row>
    <row r="1253">
      <c r="A1253" s="10"/>
      <c r="B1253" s="10"/>
      <c r="C1253" s="10"/>
      <c r="D1253" s="10"/>
      <c r="E1253" s="10"/>
      <c r="F1253" s="11"/>
      <c r="G1253" s="11"/>
      <c r="H1253" s="11"/>
      <c r="I1253" s="11"/>
      <c r="J1253" s="11" t="str">
        <f>IFERROR(__xludf.DUMMYFUNCTION("iferror(if($B1253="""", ,filter(Playoff_Stats!F:Z,Playoff_Stats!A:A=$B1253,Playoff_Stats!B:B=$A1253)))"),"")</f>
        <v/>
      </c>
      <c r="K1253" s="11"/>
      <c r="L1253" s="12"/>
      <c r="M1253" s="11"/>
      <c r="N1253" s="11"/>
      <c r="O1253" s="13"/>
      <c r="P1253" s="14"/>
      <c r="Q1253" s="13"/>
      <c r="R1253" s="13"/>
      <c r="S1253" s="15"/>
      <c r="T1253" s="16"/>
      <c r="U1253" s="16"/>
      <c r="V1253" s="16"/>
      <c r="W1253" s="16"/>
      <c r="X1253" s="16"/>
      <c r="Y1253" s="11"/>
      <c r="Z1253" s="11"/>
      <c r="AA1253" s="11"/>
      <c r="AB1253" s="11"/>
      <c r="AC1253" s="11"/>
      <c r="AD1253" s="11"/>
    </row>
    <row r="1254">
      <c r="A1254" s="10"/>
      <c r="B1254" s="10"/>
      <c r="C1254" s="10"/>
      <c r="D1254" s="10"/>
      <c r="E1254" s="10"/>
      <c r="F1254" s="11"/>
      <c r="G1254" s="11"/>
      <c r="H1254" s="11"/>
      <c r="I1254" s="11"/>
      <c r="J1254" s="11" t="str">
        <f>IFERROR(__xludf.DUMMYFUNCTION("iferror(if($B1254="""", ,filter(Playoff_Stats!F:Z,Playoff_Stats!A:A=$B1254,Playoff_Stats!B:B=$A1254)))"),"")</f>
        <v/>
      </c>
      <c r="K1254" s="11"/>
      <c r="L1254" s="12"/>
      <c r="M1254" s="11"/>
      <c r="N1254" s="11"/>
      <c r="O1254" s="13"/>
      <c r="P1254" s="14"/>
      <c r="Q1254" s="13"/>
      <c r="R1254" s="13"/>
      <c r="S1254" s="15"/>
      <c r="T1254" s="16"/>
      <c r="U1254" s="16"/>
      <c r="V1254" s="16"/>
      <c r="W1254" s="16"/>
      <c r="X1254" s="16"/>
      <c r="Y1254" s="11"/>
      <c r="Z1254" s="11"/>
      <c r="AA1254" s="11"/>
      <c r="AB1254" s="11"/>
      <c r="AC1254" s="11"/>
      <c r="AD1254" s="11"/>
    </row>
    <row r="1255">
      <c r="A1255" s="10"/>
      <c r="B1255" s="10"/>
      <c r="C1255" s="10"/>
      <c r="D1255" s="10"/>
      <c r="E1255" s="10"/>
      <c r="F1255" s="11"/>
      <c r="G1255" s="11"/>
      <c r="H1255" s="11"/>
      <c r="I1255" s="11"/>
      <c r="J1255" s="11" t="str">
        <f>IFERROR(__xludf.DUMMYFUNCTION("iferror(if($B1255="""", ,filter(Playoff_Stats!F:Z,Playoff_Stats!A:A=$B1255,Playoff_Stats!B:B=$A1255)))"),"")</f>
        <v/>
      </c>
      <c r="K1255" s="11"/>
      <c r="L1255" s="12"/>
      <c r="M1255" s="11"/>
      <c r="N1255" s="11"/>
      <c r="O1255" s="13"/>
      <c r="P1255" s="14"/>
      <c r="Q1255" s="13"/>
      <c r="R1255" s="13"/>
      <c r="S1255" s="15"/>
      <c r="T1255" s="16"/>
      <c r="U1255" s="16"/>
      <c r="V1255" s="16"/>
      <c r="W1255" s="16"/>
      <c r="X1255" s="16"/>
      <c r="Y1255" s="11"/>
      <c r="Z1255" s="11"/>
      <c r="AA1255" s="11"/>
      <c r="AB1255" s="11"/>
      <c r="AC1255" s="11"/>
      <c r="AD1255" s="11"/>
    </row>
    <row r="1256">
      <c r="A1256" s="10"/>
      <c r="B1256" s="10"/>
      <c r="C1256" s="10"/>
      <c r="D1256" s="10"/>
      <c r="E1256" s="10"/>
      <c r="F1256" s="11"/>
      <c r="G1256" s="11"/>
      <c r="H1256" s="11"/>
      <c r="I1256" s="11"/>
      <c r="J1256" s="11" t="str">
        <f>IFERROR(__xludf.DUMMYFUNCTION("iferror(if($B1256="""", ,filter(Playoff_Stats!F:Z,Playoff_Stats!A:A=$B1256,Playoff_Stats!B:B=$A1256)))"),"")</f>
        <v/>
      </c>
      <c r="K1256" s="11"/>
      <c r="L1256" s="12"/>
      <c r="M1256" s="11"/>
      <c r="N1256" s="11"/>
      <c r="O1256" s="13"/>
      <c r="P1256" s="14"/>
      <c r="Q1256" s="13"/>
      <c r="R1256" s="13"/>
      <c r="S1256" s="15"/>
      <c r="T1256" s="16"/>
      <c r="U1256" s="16"/>
      <c r="V1256" s="16"/>
      <c r="W1256" s="16"/>
      <c r="X1256" s="16"/>
      <c r="Y1256" s="11"/>
      <c r="Z1256" s="11"/>
      <c r="AA1256" s="11"/>
      <c r="AB1256" s="11"/>
      <c r="AC1256" s="11"/>
      <c r="AD1256" s="11"/>
    </row>
    <row r="1257">
      <c r="A1257" s="10"/>
      <c r="B1257" s="10"/>
      <c r="C1257" s="10"/>
      <c r="D1257" s="10"/>
      <c r="E1257" s="10"/>
      <c r="F1257" s="11"/>
      <c r="G1257" s="11"/>
      <c r="H1257" s="11"/>
      <c r="I1257" s="11"/>
      <c r="J1257" s="11" t="str">
        <f>IFERROR(__xludf.DUMMYFUNCTION("iferror(if($B1257="""", ,filter(Playoff_Stats!F:Z,Playoff_Stats!A:A=$B1257,Playoff_Stats!B:B=$A1257)))"),"")</f>
        <v/>
      </c>
      <c r="K1257" s="11"/>
      <c r="L1257" s="12"/>
      <c r="M1257" s="11"/>
      <c r="N1257" s="11"/>
      <c r="O1257" s="13"/>
      <c r="P1257" s="14"/>
      <c r="Q1257" s="13"/>
      <c r="R1257" s="13"/>
      <c r="S1257" s="15"/>
      <c r="T1257" s="16"/>
      <c r="U1257" s="16"/>
      <c r="V1257" s="16"/>
      <c r="W1257" s="16"/>
      <c r="X1257" s="16"/>
      <c r="Y1257" s="11"/>
      <c r="Z1257" s="11"/>
      <c r="AA1257" s="11"/>
      <c r="AB1257" s="11"/>
      <c r="AC1257" s="11"/>
      <c r="AD1257" s="11"/>
    </row>
    <row r="1258">
      <c r="A1258" s="10"/>
      <c r="B1258" s="10"/>
      <c r="C1258" s="10"/>
      <c r="D1258" s="10"/>
      <c r="E1258" s="10"/>
      <c r="F1258" s="11"/>
      <c r="G1258" s="11"/>
      <c r="H1258" s="11"/>
      <c r="I1258" s="11"/>
      <c r="J1258" s="11" t="str">
        <f>IFERROR(__xludf.DUMMYFUNCTION("iferror(if($B1258="""", ,filter(Playoff_Stats!F:Z,Playoff_Stats!A:A=$B1258,Playoff_Stats!B:B=$A1258)))"),"")</f>
        <v/>
      </c>
      <c r="K1258" s="11"/>
      <c r="L1258" s="12"/>
      <c r="M1258" s="11"/>
      <c r="N1258" s="11"/>
      <c r="O1258" s="13"/>
      <c r="P1258" s="14"/>
      <c r="Q1258" s="13"/>
      <c r="R1258" s="13"/>
      <c r="S1258" s="15"/>
      <c r="T1258" s="16"/>
      <c r="U1258" s="16"/>
      <c r="V1258" s="16"/>
      <c r="W1258" s="16"/>
      <c r="X1258" s="16"/>
      <c r="Y1258" s="11"/>
      <c r="Z1258" s="11"/>
      <c r="AA1258" s="11"/>
      <c r="AB1258" s="11"/>
      <c r="AC1258" s="11"/>
      <c r="AD1258" s="11"/>
    </row>
    <row r="1259">
      <c r="A1259" s="10"/>
      <c r="B1259" s="10"/>
      <c r="C1259" s="10"/>
      <c r="D1259" s="10"/>
      <c r="E1259" s="10"/>
      <c r="F1259" s="11"/>
      <c r="G1259" s="11"/>
      <c r="H1259" s="11"/>
      <c r="I1259" s="11"/>
      <c r="J1259" s="11" t="str">
        <f>IFERROR(__xludf.DUMMYFUNCTION("iferror(if($B1259="""", ,filter(Playoff_Stats!F:Z,Playoff_Stats!A:A=$B1259,Playoff_Stats!B:B=$A1259)))"),"")</f>
        <v/>
      </c>
      <c r="K1259" s="11"/>
      <c r="L1259" s="12"/>
      <c r="M1259" s="11"/>
      <c r="N1259" s="11"/>
      <c r="O1259" s="13"/>
      <c r="P1259" s="14"/>
      <c r="Q1259" s="13"/>
      <c r="R1259" s="13"/>
      <c r="S1259" s="15"/>
      <c r="T1259" s="16"/>
      <c r="U1259" s="16"/>
      <c r="V1259" s="16"/>
      <c r="W1259" s="16"/>
      <c r="X1259" s="16"/>
      <c r="Y1259" s="11"/>
      <c r="Z1259" s="11"/>
      <c r="AA1259" s="11"/>
      <c r="AB1259" s="11"/>
      <c r="AC1259" s="11"/>
      <c r="AD1259" s="11"/>
    </row>
    <row r="1260">
      <c r="A1260" s="10"/>
      <c r="B1260" s="10"/>
      <c r="C1260" s="10"/>
      <c r="D1260" s="10"/>
      <c r="E1260" s="10"/>
      <c r="F1260" s="11"/>
      <c r="G1260" s="11"/>
      <c r="H1260" s="11"/>
      <c r="I1260" s="11"/>
      <c r="J1260" s="11" t="str">
        <f>IFERROR(__xludf.DUMMYFUNCTION("iferror(if($B1260="""", ,filter(Playoff_Stats!F:Z,Playoff_Stats!A:A=$B1260,Playoff_Stats!B:B=$A1260)))"),"")</f>
        <v/>
      </c>
      <c r="K1260" s="11"/>
      <c r="L1260" s="12"/>
      <c r="M1260" s="11"/>
      <c r="N1260" s="11"/>
      <c r="O1260" s="13"/>
      <c r="P1260" s="14"/>
      <c r="Q1260" s="13"/>
      <c r="R1260" s="13"/>
      <c r="S1260" s="15"/>
      <c r="T1260" s="16"/>
      <c r="U1260" s="16"/>
      <c r="V1260" s="16"/>
      <c r="W1260" s="16"/>
      <c r="X1260" s="16"/>
      <c r="Y1260" s="11"/>
      <c r="Z1260" s="11"/>
      <c r="AA1260" s="11"/>
      <c r="AB1260" s="11"/>
      <c r="AC1260" s="11"/>
      <c r="AD1260" s="11"/>
    </row>
    <row r="1261">
      <c r="A1261" s="10"/>
      <c r="B1261" s="10"/>
      <c r="C1261" s="10"/>
      <c r="D1261" s="10"/>
      <c r="E1261" s="10"/>
      <c r="F1261" s="11"/>
      <c r="G1261" s="11"/>
      <c r="H1261" s="11"/>
      <c r="I1261" s="11"/>
      <c r="J1261" s="11" t="str">
        <f>IFERROR(__xludf.DUMMYFUNCTION("iferror(if($B1261="""", ,filter(Playoff_Stats!F:Z,Playoff_Stats!A:A=$B1261,Playoff_Stats!B:B=$A1261)))"),"")</f>
        <v/>
      </c>
      <c r="K1261" s="11"/>
      <c r="L1261" s="12"/>
      <c r="M1261" s="11"/>
      <c r="N1261" s="11"/>
      <c r="O1261" s="13"/>
      <c r="P1261" s="14"/>
      <c r="Q1261" s="13"/>
      <c r="R1261" s="13"/>
      <c r="S1261" s="15"/>
      <c r="T1261" s="16"/>
      <c r="U1261" s="16"/>
      <c r="V1261" s="16"/>
      <c r="W1261" s="16"/>
      <c r="X1261" s="16"/>
      <c r="Y1261" s="11"/>
      <c r="Z1261" s="11"/>
      <c r="AA1261" s="11"/>
      <c r="AB1261" s="11"/>
      <c r="AC1261" s="11"/>
      <c r="AD1261" s="11"/>
    </row>
    <row r="1262">
      <c r="A1262" s="10"/>
      <c r="B1262" s="10"/>
      <c r="C1262" s="10"/>
      <c r="D1262" s="10"/>
      <c r="E1262" s="10"/>
      <c r="F1262" s="11"/>
      <c r="G1262" s="11"/>
      <c r="H1262" s="11"/>
      <c r="I1262" s="11"/>
      <c r="J1262" s="11" t="str">
        <f>IFERROR(__xludf.DUMMYFUNCTION("iferror(if($B1262="""", ,filter(Playoff_Stats!F:Z,Playoff_Stats!A:A=$B1262,Playoff_Stats!B:B=$A1262)))"),"")</f>
        <v/>
      </c>
      <c r="K1262" s="11"/>
      <c r="L1262" s="12"/>
      <c r="M1262" s="11"/>
      <c r="N1262" s="11"/>
      <c r="O1262" s="13"/>
      <c r="P1262" s="14"/>
      <c r="Q1262" s="13"/>
      <c r="R1262" s="13"/>
      <c r="S1262" s="15"/>
      <c r="T1262" s="16"/>
      <c r="U1262" s="16"/>
      <c r="V1262" s="16"/>
      <c r="W1262" s="16"/>
      <c r="X1262" s="16"/>
      <c r="Y1262" s="11"/>
      <c r="Z1262" s="11"/>
      <c r="AA1262" s="11"/>
      <c r="AB1262" s="11"/>
      <c r="AC1262" s="11"/>
      <c r="AD1262" s="11"/>
    </row>
    <row r="1263">
      <c r="A1263" s="10"/>
      <c r="B1263" s="10"/>
      <c r="C1263" s="10"/>
      <c r="D1263" s="10"/>
      <c r="E1263" s="10"/>
      <c r="F1263" s="11"/>
      <c r="G1263" s="11"/>
      <c r="H1263" s="11"/>
      <c r="I1263" s="11"/>
      <c r="J1263" s="11" t="str">
        <f>IFERROR(__xludf.DUMMYFUNCTION("iferror(if($B1263="""", ,filter(Playoff_Stats!F:Z,Playoff_Stats!A:A=$B1263,Playoff_Stats!B:B=$A1263)))"),"")</f>
        <v/>
      </c>
      <c r="K1263" s="11"/>
      <c r="L1263" s="12"/>
      <c r="M1263" s="11"/>
      <c r="N1263" s="11"/>
      <c r="O1263" s="13"/>
      <c r="P1263" s="14"/>
      <c r="Q1263" s="13"/>
      <c r="R1263" s="13"/>
      <c r="S1263" s="15"/>
      <c r="T1263" s="16"/>
      <c r="U1263" s="16"/>
      <c r="V1263" s="16"/>
      <c r="W1263" s="16"/>
      <c r="X1263" s="16"/>
      <c r="Y1263" s="11"/>
      <c r="Z1263" s="11"/>
      <c r="AA1263" s="11"/>
      <c r="AB1263" s="11"/>
      <c r="AC1263" s="11"/>
      <c r="AD1263" s="11"/>
    </row>
    <row r="1264">
      <c r="A1264" s="10"/>
      <c r="B1264" s="10"/>
      <c r="C1264" s="10"/>
      <c r="D1264" s="10"/>
      <c r="E1264" s="10"/>
      <c r="F1264" s="11"/>
      <c r="G1264" s="11"/>
      <c r="H1264" s="11"/>
      <c r="I1264" s="11"/>
      <c r="J1264" s="11" t="str">
        <f>IFERROR(__xludf.DUMMYFUNCTION("iferror(if($B1264="""", ,filter(Playoff_Stats!F:Z,Playoff_Stats!A:A=$B1264,Playoff_Stats!B:B=$A1264)))"),"")</f>
        <v/>
      </c>
      <c r="K1264" s="11"/>
      <c r="L1264" s="12"/>
      <c r="M1264" s="11"/>
      <c r="N1264" s="11"/>
      <c r="O1264" s="13"/>
      <c r="P1264" s="14"/>
      <c r="Q1264" s="13"/>
      <c r="R1264" s="13"/>
      <c r="S1264" s="15"/>
      <c r="T1264" s="16"/>
      <c r="U1264" s="16"/>
      <c r="V1264" s="16"/>
      <c r="W1264" s="16"/>
      <c r="X1264" s="16"/>
      <c r="Y1264" s="11"/>
      <c r="Z1264" s="11"/>
      <c r="AA1264" s="11"/>
      <c r="AB1264" s="11"/>
      <c r="AC1264" s="11"/>
      <c r="AD1264" s="11"/>
    </row>
    <row r="1265">
      <c r="A1265" s="10"/>
      <c r="B1265" s="10"/>
      <c r="C1265" s="10"/>
      <c r="D1265" s="10"/>
      <c r="E1265" s="10"/>
      <c r="F1265" s="11"/>
      <c r="G1265" s="11"/>
      <c r="H1265" s="11"/>
      <c r="I1265" s="11"/>
      <c r="J1265" s="11" t="str">
        <f>IFERROR(__xludf.DUMMYFUNCTION("iferror(if($B1265="""", ,filter(Playoff_Stats!F:Z,Playoff_Stats!A:A=$B1265,Playoff_Stats!B:B=$A1265)))"),"")</f>
        <v/>
      </c>
      <c r="K1265" s="11"/>
      <c r="L1265" s="12"/>
      <c r="M1265" s="11"/>
      <c r="N1265" s="11"/>
      <c r="O1265" s="13"/>
      <c r="P1265" s="14"/>
      <c r="Q1265" s="13"/>
      <c r="R1265" s="13"/>
      <c r="S1265" s="15"/>
      <c r="T1265" s="16"/>
      <c r="U1265" s="16"/>
      <c r="V1265" s="16"/>
      <c r="W1265" s="16"/>
      <c r="X1265" s="16"/>
      <c r="Y1265" s="11"/>
      <c r="Z1265" s="11"/>
      <c r="AA1265" s="11"/>
      <c r="AB1265" s="11"/>
      <c r="AC1265" s="11"/>
      <c r="AD1265" s="11"/>
    </row>
    <row r="1266">
      <c r="A1266" s="10"/>
      <c r="B1266" s="10"/>
      <c r="C1266" s="10"/>
      <c r="D1266" s="10"/>
      <c r="E1266" s="10"/>
      <c r="F1266" s="11"/>
      <c r="G1266" s="11"/>
      <c r="H1266" s="11"/>
      <c r="I1266" s="11"/>
      <c r="J1266" s="11" t="str">
        <f>IFERROR(__xludf.DUMMYFUNCTION("iferror(if($B1266="""", ,filter(Playoff_Stats!F:Z,Playoff_Stats!A:A=$B1266,Playoff_Stats!B:B=$A1266)))"),"")</f>
        <v/>
      </c>
      <c r="K1266" s="11"/>
      <c r="L1266" s="12"/>
      <c r="M1266" s="11"/>
      <c r="N1266" s="11"/>
      <c r="O1266" s="13"/>
      <c r="P1266" s="14"/>
      <c r="Q1266" s="13"/>
      <c r="R1266" s="13"/>
      <c r="S1266" s="15"/>
      <c r="T1266" s="16"/>
      <c r="U1266" s="16"/>
      <c r="V1266" s="16"/>
      <c r="W1266" s="16"/>
      <c r="X1266" s="16"/>
      <c r="Y1266" s="11"/>
      <c r="Z1266" s="11"/>
      <c r="AA1266" s="11"/>
      <c r="AB1266" s="11"/>
      <c r="AC1266" s="11"/>
      <c r="AD1266" s="11"/>
    </row>
    <row r="1267">
      <c r="A1267" s="10"/>
      <c r="B1267" s="10"/>
      <c r="C1267" s="10"/>
      <c r="D1267" s="10"/>
      <c r="E1267" s="10"/>
      <c r="F1267" s="11"/>
      <c r="G1267" s="11"/>
      <c r="H1267" s="11"/>
      <c r="I1267" s="11"/>
      <c r="J1267" s="11" t="str">
        <f>IFERROR(__xludf.DUMMYFUNCTION("iferror(if($B1267="""", ,filter(Playoff_Stats!F:Z,Playoff_Stats!A:A=$B1267,Playoff_Stats!B:B=$A1267)))"),"")</f>
        <v/>
      </c>
      <c r="K1267" s="11"/>
      <c r="L1267" s="12"/>
      <c r="M1267" s="11"/>
      <c r="N1267" s="11"/>
      <c r="O1267" s="13"/>
      <c r="P1267" s="14"/>
      <c r="Q1267" s="13"/>
      <c r="R1267" s="13"/>
      <c r="S1267" s="15"/>
      <c r="T1267" s="16"/>
      <c r="U1267" s="16"/>
      <c r="V1267" s="16"/>
      <c r="W1267" s="16"/>
      <c r="X1267" s="16"/>
      <c r="Y1267" s="11"/>
      <c r="Z1267" s="11"/>
      <c r="AA1267" s="11"/>
      <c r="AB1267" s="11"/>
      <c r="AC1267" s="11"/>
      <c r="AD1267" s="11"/>
    </row>
    <row r="1268">
      <c r="A1268" s="10"/>
      <c r="B1268" s="10"/>
      <c r="C1268" s="10"/>
      <c r="D1268" s="10"/>
      <c r="E1268" s="10"/>
      <c r="F1268" s="11"/>
      <c r="G1268" s="11"/>
      <c r="H1268" s="11"/>
      <c r="I1268" s="11"/>
      <c r="J1268" s="11" t="str">
        <f>IFERROR(__xludf.DUMMYFUNCTION("iferror(if($B1268="""", ,filter(Playoff_Stats!F:Z,Playoff_Stats!A:A=$B1268,Playoff_Stats!B:B=$A1268)))"),"")</f>
        <v/>
      </c>
      <c r="K1268" s="11"/>
      <c r="L1268" s="12"/>
      <c r="M1268" s="11"/>
      <c r="N1268" s="11"/>
      <c r="O1268" s="13"/>
      <c r="P1268" s="14"/>
      <c r="Q1268" s="13"/>
      <c r="R1268" s="13"/>
      <c r="S1268" s="15"/>
      <c r="T1268" s="16"/>
      <c r="U1268" s="16"/>
      <c r="V1268" s="16"/>
      <c r="W1268" s="16"/>
      <c r="X1268" s="16"/>
      <c r="Y1268" s="11"/>
      <c r="Z1268" s="11"/>
      <c r="AA1268" s="11"/>
      <c r="AB1268" s="11"/>
      <c r="AC1268" s="11"/>
      <c r="AD1268" s="11"/>
    </row>
    <row r="1269">
      <c r="A1269" s="10"/>
      <c r="B1269" s="10"/>
      <c r="C1269" s="10"/>
      <c r="D1269" s="10"/>
      <c r="E1269" s="10"/>
      <c r="F1269" s="11"/>
      <c r="G1269" s="11"/>
      <c r="H1269" s="11"/>
      <c r="I1269" s="11"/>
      <c r="J1269" s="11" t="str">
        <f>IFERROR(__xludf.DUMMYFUNCTION("iferror(if($B1269="""", ,filter(Playoff_Stats!F:Z,Playoff_Stats!A:A=$B1269,Playoff_Stats!B:B=$A1269)))"),"")</f>
        <v/>
      </c>
      <c r="K1269" s="11"/>
      <c r="L1269" s="12"/>
      <c r="M1269" s="11"/>
      <c r="N1269" s="11"/>
      <c r="O1269" s="13"/>
      <c r="P1269" s="14"/>
      <c r="Q1269" s="13"/>
      <c r="R1269" s="13"/>
      <c r="S1269" s="15"/>
      <c r="T1269" s="16"/>
      <c r="U1269" s="16"/>
      <c r="V1269" s="16"/>
      <c r="W1269" s="16"/>
      <c r="X1269" s="16"/>
      <c r="Y1269" s="11"/>
      <c r="Z1269" s="11"/>
      <c r="AA1269" s="11"/>
      <c r="AB1269" s="11"/>
      <c r="AC1269" s="11"/>
      <c r="AD1269" s="11"/>
    </row>
    <row r="1270">
      <c r="A1270" s="10"/>
      <c r="B1270" s="10"/>
      <c r="C1270" s="10"/>
      <c r="D1270" s="10"/>
      <c r="E1270" s="10"/>
      <c r="F1270" s="11"/>
      <c r="G1270" s="11"/>
      <c r="H1270" s="11"/>
      <c r="I1270" s="11"/>
      <c r="J1270" s="11" t="str">
        <f>IFERROR(__xludf.DUMMYFUNCTION("iferror(if($B1270="""", ,filter(Playoff_Stats!F:Z,Playoff_Stats!A:A=$B1270,Playoff_Stats!B:B=$A1270)))"),"")</f>
        <v/>
      </c>
      <c r="K1270" s="11"/>
      <c r="L1270" s="12"/>
      <c r="M1270" s="11"/>
      <c r="N1270" s="11"/>
      <c r="O1270" s="13"/>
      <c r="P1270" s="14"/>
      <c r="Q1270" s="13"/>
      <c r="R1270" s="13"/>
      <c r="S1270" s="15"/>
      <c r="T1270" s="16"/>
      <c r="U1270" s="16"/>
      <c r="V1270" s="16"/>
      <c r="W1270" s="16"/>
      <c r="X1270" s="16"/>
      <c r="Y1270" s="11"/>
      <c r="Z1270" s="11"/>
      <c r="AA1270" s="11"/>
      <c r="AB1270" s="11"/>
      <c r="AC1270" s="11"/>
      <c r="AD1270" s="11"/>
    </row>
    <row r="1271">
      <c r="A1271" s="10"/>
      <c r="B1271" s="10"/>
      <c r="C1271" s="10"/>
      <c r="D1271" s="10"/>
      <c r="E1271" s="10"/>
      <c r="F1271" s="11"/>
      <c r="G1271" s="11"/>
      <c r="H1271" s="11"/>
      <c r="I1271" s="11"/>
      <c r="J1271" s="11" t="str">
        <f>IFERROR(__xludf.DUMMYFUNCTION("iferror(if($B1271="""", ,filter(Playoff_Stats!F:Z,Playoff_Stats!A:A=$B1271,Playoff_Stats!B:B=$A1271)))"),"")</f>
        <v/>
      </c>
      <c r="K1271" s="11"/>
      <c r="L1271" s="12"/>
      <c r="M1271" s="11"/>
      <c r="N1271" s="11"/>
      <c r="O1271" s="13"/>
      <c r="P1271" s="14"/>
      <c r="Q1271" s="13"/>
      <c r="R1271" s="13"/>
      <c r="S1271" s="15"/>
      <c r="T1271" s="16"/>
      <c r="U1271" s="16"/>
      <c r="V1271" s="16"/>
      <c r="W1271" s="16"/>
      <c r="X1271" s="16"/>
      <c r="Y1271" s="11"/>
      <c r="Z1271" s="11"/>
      <c r="AA1271" s="11"/>
      <c r="AB1271" s="11"/>
      <c r="AC1271" s="11"/>
      <c r="AD1271" s="11"/>
    </row>
    <row r="1272">
      <c r="A1272" s="10"/>
      <c r="B1272" s="10"/>
      <c r="C1272" s="10"/>
      <c r="D1272" s="10"/>
      <c r="E1272" s="10"/>
      <c r="F1272" s="11"/>
      <c r="G1272" s="11"/>
      <c r="H1272" s="11"/>
      <c r="I1272" s="11"/>
      <c r="J1272" s="11" t="str">
        <f>IFERROR(__xludf.DUMMYFUNCTION("iferror(if($B1272="""", ,filter(Playoff_Stats!F:Z,Playoff_Stats!A:A=$B1272,Playoff_Stats!B:B=$A1272)))"),"")</f>
        <v/>
      </c>
      <c r="K1272" s="11"/>
      <c r="L1272" s="12"/>
      <c r="M1272" s="11"/>
      <c r="N1272" s="11"/>
      <c r="O1272" s="13"/>
      <c r="P1272" s="14"/>
      <c r="Q1272" s="13"/>
      <c r="R1272" s="13"/>
      <c r="S1272" s="15"/>
      <c r="T1272" s="16"/>
      <c r="U1272" s="16"/>
      <c r="V1272" s="16"/>
      <c r="W1272" s="16"/>
      <c r="X1272" s="16"/>
      <c r="Y1272" s="11"/>
      <c r="Z1272" s="11"/>
      <c r="AA1272" s="11"/>
      <c r="AB1272" s="11"/>
      <c r="AC1272" s="11"/>
      <c r="AD1272" s="11"/>
    </row>
    <row r="1273">
      <c r="A1273" s="10"/>
      <c r="B1273" s="10"/>
      <c r="C1273" s="10"/>
      <c r="D1273" s="10"/>
      <c r="E1273" s="10"/>
      <c r="F1273" s="11"/>
      <c r="G1273" s="11"/>
      <c r="H1273" s="11"/>
      <c r="I1273" s="11"/>
      <c r="J1273" s="11" t="str">
        <f>IFERROR(__xludf.DUMMYFUNCTION("iferror(if($B1273="""", ,filter(Playoff_Stats!F:Z,Playoff_Stats!A:A=$B1273,Playoff_Stats!B:B=$A1273)))"),"")</f>
        <v/>
      </c>
      <c r="K1273" s="11"/>
      <c r="L1273" s="12"/>
      <c r="M1273" s="11"/>
      <c r="N1273" s="11"/>
      <c r="O1273" s="13"/>
      <c r="P1273" s="14"/>
      <c r="Q1273" s="13"/>
      <c r="R1273" s="13"/>
      <c r="S1273" s="15"/>
      <c r="T1273" s="16"/>
      <c r="U1273" s="16"/>
      <c r="V1273" s="16"/>
      <c r="W1273" s="16"/>
      <c r="X1273" s="16"/>
      <c r="Y1273" s="11"/>
      <c r="Z1273" s="11"/>
      <c r="AA1273" s="11"/>
      <c r="AB1273" s="11"/>
      <c r="AC1273" s="11"/>
      <c r="AD1273" s="11"/>
    </row>
    <row r="1274">
      <c r="A1274" s="10"/>
      <c r="B1274" s="10"/>
      <c r="C1274" s="10"/>
      <c r="D1274" s="10"/>
      <c r="E1274" s="10"/>
      <c r="F1274" s="11"/>
      <c r="G1274" s="11"/>
      <c r="H1274" s="11"/>
      <c r="I1274" s="11"/>
      <c r="J1274" s="11" t="str">
        <f>IFERROR(__xludf.DUMMYFUNCTION("iferror(if($B1274="""", ,filter(Playoff_Stats!F:Z,Playoff_Stats!A:A=$B1274,Playoff_Stats!B:B=$A1274)))"),"")</f>
        <v/>
      </c>
      <c r="K1274" s="11"/>
      <c r="L1274" s="12"/>
      <c r="M1274" s="11"/>
      <c r="N1274" s="11"/>
      <c r="O1274" s="13"/>
      <c r="P1274" s="14"/>
      <c r="Q1274" s="13"/>
      <c r="R1274" s="13"/>
      <c r="S1274" s="15"/>
      <c r="T1274" s="16"/>
      <c r="U1274" s="16"/>
      <c r="V1274" s="16"/>
      <c r="W1274" s="16"/>
      <c r="X1274" s="16"/>
      <c r="Y1274" s="11"/>
      <c r="Z1274" s="11"/>
      <c r="AA1274" s="11"/>
      <c r="AB1274" s="11"/>
      <c r="AC1274" s="11"/>
      <c r="AD1274" s="11"/>
    </row>
    <row r="1275">
      <c r="A1275" s="10"/>
      <c r="B1275" s="10"/>
      <c r="C1275" s="10"/>
      <c r="D1275" s="10"/>
      <c r="E1275" s="10"/>
      <c r="F1275" s="11"/>
      <c r="G1275" s="11"/>
      <c r="H1275" s="11"/>
      <c r="I1275" s="11"/>
      <c r="J1275" s="11" t="str">
        <f>IFERROR(__xludf.DUMMYFUNCTION("iferror(if($B1275="""", ,filter(Playoff_Stats!F:Z,Playoff_Stats!A:A=$B1275,Playoff_Stats!B:B=$A1275)))"),"")</f>
        <v/>
      </c>
      <c r="K1275" s="11"/>
      <c r="L1275" s="12"/>
      <c r="M1275" s="11"/>
      <c r="N1275" s="11"/>
      <c r="O1275" s="13"/>
      <c r="P1275" s="14"/>
      <c r="Q1275" s="13"/>
      <c r="R1275" s="13"/>
      <c r="S1275" s="15"/>
      <c r="T1275" s="16"/>
      <c r="U1275" s="16"/>
      <c r="V1275" s="16"/>
      <c r="W1275" s="16"/>
      <c r="X1275" s="16"/>
      <c r="Y1275" s="11"/>
      <c r="Z1275" s="11"/>
      <c r="AA1275" s="11"/>
      <c r="AB1275" s="11"/>
      <c r="AC1275" s="11"/>
      <c r="AD1275" s="11"/>
    </row>
    <row r="1276">
      <c r="A1276" s="10"/>
      <c r="B1276" s="10"/>
      <c r="C1276" s="10"/>
      <c r="D1276" s="10"/>
      <c r="E1276" s="10"/>
      <c r="F1276" s="11"/>
      <c r="G1276" s="11"/>
      <c r="H1276" s="11"/>
      <c r="I1276" s="11"/>
      <c r="J1276" s="11" t="str">
        <f>IFERROR(__xludf.DUMMYFUNCTION("iferror(if($B1276="""", ,filter(Playoff_Stats!F:Z,Playoff_Stats!A:A=$B1276,Playoff_Stats!B:B=$A1276)))"),"")</f>
        <v/>
      </c>
      <c r="K1276" s="11"/>
      <c r="L1276" s="12"/>
      <c r="M1276" s="11"/>
      <c r="N1276" s="11"/>
      <c r="O1276" s="13"/>
      <c r="P1276" s="14"/>
      <c r="Q1276" s="13"/>
      <c r="R1276" s="13"/>
      <c r="S1276" s="15"/>
      <c r="T1276" s="16"/>
      <c r="U1276" s="16"/>
      <c r="V1276" s="16"/>
      <c r="W1276" s="16"/>
      <c r="X1276" s="16"/>
      <c r="Y1276" s="11"/>
      <c r="Z1276" s="11"/>
      <c r="AA1276" s="11"/>
      <c r="AB1276" s="11"/>
      <c r="AC1276" s="11"/>
      <c r="AD1276" s="11"/>
    </row>
    <row r="1277">
      <c r="A1277" s="10"/>
      <c r="B1277" s="10"/>
      <c r="C1277" s="10"/>
      <c r="D1277" s="10"/>
      <c r="E1277" s="10"/>
      <c r="F1277" s="11"/>
      <c r="G1277" s="11"/>
      <c r="H1277" s="11"/>
      <c r="I1277" s="11"/>
      <c r="J1277" s="11" t="str">
        <f>IFERROR(__xludf.DUMMYFUNCTION("iferror(if($B1277="""", ,filter(Playoff_Stats!F:Z,Playoff_Stats!A:A=$B1277,Playoff_Stats!B:B=$A1277)))"),"")</f>
        <v/>
      </c>
      <c r="K1277" s="11"/>
      <c r="L1277" s="12"/>
      <c r="M1277" s="11"/>
      <c r="N1277" s="11"/>
      <c r="O1277" s="13"/>
      <c r="P1277" s="14"/>
      <c r="Q1277" s="13"/>
      <c r="R1277" s="13"/>
      <c r="S1277" s="15"/>
      <c r="T1277" s="16"/>
      <c r="U1277" s="16"/>
      <c r="V1277" s="16"/>
      <c r="W1277" s="16"/>
      <c r="X1277" s="16"/>
      <c r="Y1277" s="11"/>
      <c r="Z1277" s="11"/>
      <c r="AA1277" s="11"/>
      <c r="AB1277" s="11"/>
      <c r="AC1277" s="11"/>
      <c r="AD1277" s="11"/>
    </row>
    <row r="1278">
      <c r="A1278" s="10"/>
      <c r="B1278" s="10"/>
      <c r="C1278" s="10"/>
      <c r="D1278" s="10"/>
      <c r="E1278" s="10"/>
      <c r="F1278" s="11"/>
      <c r="G1278" s="11"/>
      <c r="H1278" s="11"/>
      <c r="I1278" s="11"/>
      <c r="J1278" s="11" t="str">
        <f>IFERROR(__xludf.DUMMYFUNCTION("iferror(if($B1278="""", ,filter(Playoff_Stats!F:Z,Playoff_Stats!A:A=$B1278,Playoff_Stats!B:B=$A1278)))"),"")</f>
        <v/>
      </c>
      <c r="K1278" s="11"/>
      <c r="L1278" s="12"/>
      <c r="M1278" s="11"/>
      <c r="N1278" s="11"/>
      <c r="O1278" s="13"/>
      <c r="P1278" s="14"/>
      <c r="Q1278" s="13"/>
      <c r="R1278" s="13"/>
      <c r="S1278" s="15"/>
      <c r="T1278" s="16"/>
      <c r="U1278" s="16"/>
      <c r="V1278" s="16"/>
      <c r="W1278" s="16"/>
      <c r="X1278" s="16"/>
      <c r="Y1278" s="11"/>
      <c r="Z1278" s="11"/>
      <c r="AA1278" s="11"/>
      <c r="AB1278" s="11"/>
      <c r="AC1278" s="11"/>
      <c r="AD1278" s="11"/>
    </row>
    <row r="1279">
      <c r="A1279" s="10"/>
      <c r="B1279" s="10"/>
      <c r="C1279" s="10"/>
      <c r="D1279" s="10"/>
      <c r="E1279" s="10"/>
      <c r="F1279" s="11"/>
      <c r="G1279" s="11"/>
      <c r="H1279" s="11"/>
      <c r="I1279" s="11"/>
      <c r="J1279" s="11" t="str">
        <f>IFERROR(__xludf.DUMMYFUNCTION("iferror(if($B1279="""", ,filter(Playoff_Stats!F:Z,Playoff_Stats!A:A=$B1279,Playoff_Stats!B:B=$A1279)))"),"")</f>
        <v/>
      </c>
      <c r="K1279" s="11"/>
      <c r="L1279" s="12"/>
      <c r="M1279" s="11"/>
      <c r="N1279" s="11"/>
      <c r="O1279" s="13"/>
      <c r="P1279" s="14"/>
      <c r="Q1279" s="13"/>
      <c r="R1279" s="13"/>
      <c r="S1279" s="15"/>
      <c r="T1279" s="16"/>
      <c r="U1279" s="16"/>
      <c r="V1279" s="16"/>
      <c r="W1279" s="16"/>
      <c r="X1279" s="16"/>
      <c r="Y1279" s="11"/>
      <c r="Z1279" s="11"/>
      <c r="AA1279" s="11"/>
      <c r="AB1279" s="11"/>
      <c r="AC1279" s="11"/>
      <c r="AD1279" s="11"/>
    </row>
    <row r="1280">
      <c r="A1280" s="10"/>
      <c r="B1280" s="10"/>
      <c r="C1280" s="10"/>
      <c r="D1280" s="10"/>
      <c r="E1280" s="10"/>
      <c r="F1280" s="11"/>
      <c r="G1280" s="11"/>
      <c r="H1280" s="11"/>
      <c r="I1280" s="11"/>
      <c r="J1280" s="11" t="str">
        <f>IFERROR(__xludf.DUMMYFUNCTION("iferror(if($B1280="""", ,filter(Playoff_Stats!F:Z,Playoff_Stats!A:A=$B1280,Playoff_Stats!B:B=$A1280)))"),"")</f>
        <v/>
      </c>
      <c r="K1280" s="11"/>
      <c r="L1280" s="12"/>
      <c r="M1280" s="11"/>
      <c r="N1280" s="11"/>
      <c r="O1280" s="13"/>
      <c r="P1280" s="14"/>
      <c r="Q1280" s="13"/>
      <c r="R1280" s="13"/>
      <c r="S1280" s="15"/>
      <c r="T1280" s="16"/>
      <c r="U1280" s="16"/>
      <c r="V1280" s="16"/>
      <c r="W1280" s="16"/>
      <c r="X1280" s="16"/>
      <c r="Y1280" s="11"/>
      <c r="Z1280" s="11"/>
      <c r="AA1280" s="11"/>
      <c r="AB1280" s="11"/>
      <c r="AC1280" s="11"/>
      <c r="AD1280" s="11"/>
    </row>
    <row r="1281">
      <c r="A1281" s="10"/>
      <c r="B1281" s="10"/>
      <c r="C1281" s="10"/>
      <c r="D1281" s="10"/>
      <c r="E1281" s="10"/>
      <c r="F1281" s="11"/>
      <c r="G1281" s="11"/>
      <c r="H1281" s="11"/>
      <c r="I1281" s="11"/>
      <c r="J1281" s="11" t="str">
        <f>IFERROR(__xludf.DUMMYFUNCTION("iferror(if($B1281="""", ,filter(Playoff_Stats!F:Z,Playoff_Stats!A:A=$B1281,Playoff_Stats!B:B=$A1281)))"),"")</f>
        <v/>
      </c>
      <c r="K1281" s="11"/>
      <c r="L1281" s="12"/>
      <c r="M1281" s="11"/>
      <c r="N1281" s="11"/>
      <c r="O1281" s="13"/>
      <c r="P1281" s="14"/>
      <c r="Q1281" s="13"/>
      <c r="R1281" s="13"/>
      <c r="S1281" s="15"/>
      <c r="T1281" s="16"/>
      <c r="U1281" s="16"/>
      <c r="V1281" s="16"/>
      <c r="W1281" s="16"/>
      <c r="X1281" s="16"/>
      <c r="Y1281" s="11"/>
      <c r="Z1281" s="11"/>
      <c r="AA1281" s="11"/>
      <c r="AB1281" s="11"/>
      <c r="AC1281" s="11"/>
      <c r="AD1281" s="11"/>
    </row>
    <row r="1282">
      <c r="A1282" s="10"/>
      <c r="B1282" s="10"/>
      <c r="C1282" s="10"/>
      <c r="D1282" s="10"/>
      <c r="E1282" s="10"/>
      <c r="F1282" s="11"/>
      <c r="G1282" s="11"/>
      <c r="H1282" s="11"/>
      <c r="I1282" s="11"/>
      <c r="J1282" s="11" t="str">
        <f>IFERROR(__xludf.DUMMYFUNCTION("iferror(if($B1282="""", ,filter(Playoff_Stats!F:Z,Playoff_Stats!A:A=$B1282,Playoff_Stats!B:B=$A1282)))"),"")</f>
        <v/>
      </c>
      <c r="K1282" s="11"/>
      <c r="L1282" s="12"/>
      <c r="M1282" s="11"/>
      <c r="N1282" s="11"/>
      <c r="O1282" s="13"/>
      <c r="P1282" s="14"/>
      <c r="Q1282" s="13"/>
      <c r="R1282" s="13"/>
      <c r="S1282" s="15"/>
      <c r="T1282" s="16"/>
      <c r="U1282" s="16"/>
      <c r="V1282" s="16"/>
      <c r="W1282" s="16"/>
      <c r="X1282" s="16"/>
      <c r="Y1282" s="11"/>
      <c r="Z1282" s="11"/>
      <c r="AA1282" s="11"/>
      <c r="AB1282" s="11"/>
      <c r="AC1282" s="11"/>
      <c r="AD1282" s="11"/>
    </row>
    <row r="1283">
      <c r="A1283" s="10"/>
      <c r="B1283" s="10"/>
      <c r="C1283" s="10"/>
      <c r="D1283" s="10"/>
      <c r="E1283" s="10"/>
      <c r="F1283" s="11"/>
      <c r="G1283" s="11"/>
      <c r="H1283" s="11"/>
      <c r="I1283" s="11"/>
      <c r="J1283" s="11" t="str">
        <f>IFERROR(__xludf.DUMMYFUNCTION("iferror(if($B1283="""", ,filter(Playoff_Stats!F:Z,Playoff_Stats!A:A=$B1283,Playoff_Stats!B:B=$A1283)))"),"")</f>
        <v/>
      </c>
      <c r="K1283" s="11"/>
      <c r="L1283" s="12"/>
      <c r="M1283" s="11"/>
      <c r="N1283" s="11"/>
      <c r="O1283" s="13"/>
      <c r="P1283" s="14"/>
      <c r="Q1283" s="13"/>
      <c r="R1283" s="13"/>
      <c r="S1283" s="15"/>
      <c r="T1283" s="16"/>
      <c r="U1283" s="16"/>
      <c r="V1283" s="16"/>
      <c r="W1283" s="16"/>
      <c r="X1283" s="16"/>
      <c r="Y1283" s="11"/>
      <c r="Z1283" s="11"/>
      <c r="AA1283" s="11"/>
      <c r="AB1283" s="11"/>
      <c r="AC1283" s="11"/>
      <c r="AD1283" s="11"/>
    </row>
    <row r="1284">
      <c r="A1284" s="10"/>
      <c r="B1284" s="10"/>
      <c r="C1284" s="10"/>
      <c r="D1284" s="10"/>
      <c r="E1284" s="10"/>
      <c r="F1284" s="11"/>
      <c r="G1284" s="11"/>
      <c r="H1284" s="11"/>
      <c r="I1284" s="11"/>
      <c r="J1284" s="11" t="str">
        <f>IFERROR(__xludf.DUMMYFUNCTION("iferror(if($B1284="""", ,filter(Playoff_Stats!F:Z,Playoff_Stats!A:A=$B1284,Playoff_Stats!B:B=$A1284)))"),"")</f>
        <v/>
      </c>
      <c r="K1284" s="11"/>
      <c r="L1284" s="12"/>
      <c r="M1284" s="11"/>
      <c r="N1284" s="11"/>
      <c r="O1284" s="13"/>
      <c r="P1284" s="14"/>
      <c r="Q1284" s="13"/>
      <c r="R1284" s="13"/>
      <c r="S1284" s="15"/>
      <c r="T1284" s="16"/>
      <c r="U1284" s="16"/>
      <c r="V1284" s="16"/>
      <c r="W1284" s="16"/>
      <c r="X1284" s="16"/>
      <c r="Y1284" s="11"/>
      <c r="Z1284" s="11"/>
      <c r="AA1284" s="11"/>
      <c r="AB1284" s="11"/>
      <c r="AC1284" s="11"/>
      <c r="AD1284" s="11"/>
    </row>
    <row r="1285">
      <c r="A1285" s="10"/>
      <c r="B1285" s="10"/>
      <c r="C1285" s="10"/>
      <c r="D1285" s="10"/>
      <c r="E1285" s="10"/>
      <c r="F1285" s="11"/>
      <c r="G1285" s="11"/>
      <c r="H1285" s="11"/>
      <c r="I1285" s="11"/>
      <c r="J1285" s="11" t="str">
        <f>IFERROR(__xludf.DUMMYFUNCTION("iferror(if($B1285="""", ,filter(Playoff_Stats!F:Z,Playoff_Stats!A:A=$B1285,Playoff_Stats!B:B=$A1285)))"),"")</f>
        <v/>
      </c>
      <c r="K1285" s="11"/>
      <c r="L1285" s="12"/>
      <c r="M1285" s="11"/>
      <c r="N1285" s="11"/>
      <c r="O1285" s="13"/>
      <c r="P1285" s="14"/>
      <c r="Q1285" s="13"/>
      <c r="R1285" s="13"/>
      <c r="S1285" s="15"/>
      <c r="T1285" s="16"/>
      <c r="U1285" s="16"/>
      <c r="V1285" s="16"/>
      <c r="W1285" s="16"/>
      <c r="X1285" s="16"/>
      <c r="Y1285" s="11"/>
      <c r="Z1285" s="11"/>
      <c r="AA1285" s="11"/>
      <c r="AB1285" s="11"/>
      <c r="AC1285" s="11"/>
      <c r="AD1285" s="11"/>
    </row>
    <row r="1286">
      <c r="A1286" s="10"/>
      <c r="B1286" s="10"/>
      <c r="C1286" s="10"/>
      <c r="D1286" s="10"/>
      <c r="E1286" s="10"/>
      <c r="F1286" s="11"/>
      <c r="G1286" s="11"/>
      <c r="H1286" s="11"/>
      <c r="I1286" s="11"/>
      <c r="J1286" s="11" t="str">
        <f>IFERROR(__xludf.DUMMYFUNCTION("iferror(if($B1286="""", ,filter(Playoff_Stats!F:Z,Playoff_Stats!A:A=$B1286,Playoff_Stats!B:B=$A1286)))"),"")</f>
        <v/>
      </c>
      <c r="K1286" s="11"/>
      <c r="L1286" s="12"/>
      <c r="M1286" s="11"/>
      <c r="N1286" s="11"/>
      <c r="O1286" s="13"/>
      <c r="P1286" s="14"/>
      <c r="Q1286" s="13"/>
      <c r="R1286" s="13"/>
      <c r="S1286" s="15"/>
      <c r="T1286" s="16"/>
      <c r="U1286" s="16"/>
      <c r="V1286" s="16"/>
      <c r="W1286" s="16"/>
      <c r="X1286" s="16"/>
      <c r="Y1286" s="11"/>
      <c r="Z1286" s="11"/>
      <c r="AA1286" s="11"/>
      <c r="AB1286" s="11"/>
      <c r="AC1286" s="11"/>
      <c r="AD1286" s="11"/>
    </row>
    <row r="1287">
      <c r="A1287" s="10"/>
      <c r="B1287" s="10"/>
      <c r="C1287" s="10"/>
      <c r="D1287" s="10"/>
      <c r="E1287" s="10"/>
      <c r="F1287" s="11"/>
      <c r="G1287" s="11"/>
      <c r="H1287" s="11"/>
      <c r="I1287" s="11"/>
      <c r="J1287" s="11" t="str">
        <f>IFERROR(__xludf.DUMMYFUNCTION("iferror(if($B1287="""", ,filter(Playoff_Stats!F:Z,Playoff_Stats!A:A=$B1287,Playoff_Stats!B:B=$A1287)))"),"")</f>
        <v/>
      </c>
      <c r="K1287" s="11"/>
      <c r="L1287" s="12"/>
      <c r="M1287" s="11"/>
      <c r="N1287" s="11"/>
      <c r="O1287" s="13"/>
      <c r="P1287" s="14"/>
      <c r="Q1287" s="13"/>
      <c r="R1287" s="13"/>
      <c r="S1287" s="15"/>
      <c r="T1287" s="16"/>
      <c r="U1287" s="16"/>
      <c r="V1287" s="16"/>
      <c r="W1287" s="16"/>
      <c r="X1287" s="16"/>
      <c r="Y1287" s="11"/>
      <c r="Z1287" s="11"/>
      <c r="AA1287" s="11"/>
      <c r="AB1287" s="11"/>
      <c r="AC1287" s="11"/>
      <c r="AD1287" s="11"/>
    </row>
    <row r="1288">
      <c r="A1288" s="10"/>
      <c r="B1288" s="10"/>
      <c r="C1288" s="10"/>
      <c r="D1288" s="10"/>
      <c r="E1288" s="10"/>
      <c r="F1288" s="11"/>
      <c r="G1288" s="11"/>
      <c r="H1288" s="11"/>
      <c r="I1288" s="11"/>
      <c r="J1288" s="11" t="str">
        <f>IFERROR(__xludf.DUMMYFUNCTION("iferror(if($B1288="""", ,filter(Playoff_Stats!F:Z,Playoff_Stats!A:A=$B1288,Playoff_Stats!B:B=$A1288)))"),"")</f>
        <v/>
      </c>
      <c r="K1288" s="11"/>
      <c r="L1288" s="12"/>
      <c r="M1288" s="11"/>
      <c r="N1288" s="11"/>
      <c r="O1288" s="13"/>
      <c r="P1288" s="14"/>
      <c r="Q1288" s="13"/>
      <c r="R1288" s="13"/>
      <c r="S1288" s="15"/>
      <c r="T1288" s="16"/>
      <c r="U1288" s="16"/>
      <c r="V1288" s="16"/>
      <c r="W1288" s="16"/>
      <c r="X1288" s="16"/>
      <c r="Y1288" s="11"/>
      <c r="Z1288" s="11"/>
      <c r="AA1288" s="11"/>
      <c r="AB1288" s="11"/>
      <c r="AC1288" s="11"/>
      <c r="AD1288" s="11"/>
    </row>
    <row r="1289">
      <c r="A1289" s="10"/>
      <c r="B1289" s="10"/>
      <c r="C1289" s="10"/>
      <c r="D1289" s="10"/>
      <c r="E1289" s="10"/>
      <c r="F1289" s="11"/>
      <c r="G1289" s="11"/>
      <c r="H1289" s="11"/>
      <c r="I1289" s="11"/>
      <c r="J1289" s="11" t="str">
        <f>IFERROR(__xludf.DUMMYFUNCTION("iferror(if($B1289="""", ,filter(Playoff_Stats!F:Z,Playoff_Stats!A:A=$B1289,Playoff_Stats!B:B=$A1289)))"),"")</f>
        <v/>
      </c>
      <c r="K1289" s="11"/>
      <c r="L1289" s="12"/>
      <c r="M1289" s="11"/>
      <c r="N1289" s="11"/>
      <c r="O1289" s="13"/>
      <c r="P1289" s="14"/>
      <c r="Q1289" s="13"/>
      <c r="R1289" s="13"/>
      <c r="S1289" s="15"/>
      <c r="T1289" s="16"/>
      <c r="U1289" s="16"/>
      <c r="V1289" s="16"/>
      <c r="W1289" s="16"/>
      <c r="X1289" s="16"/>
      <c r="Y1289" s="11"/>
      <c r="Z1289" s="11"/>
      <c r="AA1289" s="11"/>
      <c r="AB1289" s="11"/>
      <c r="AC1289" s="11"/>
      <c r="AD1289" s="11"/>
    </row>
    <row r="1290">
      <c r="A1290" s="10"/>
      <c r="B1290" s="10"/>
      <c r="C1290" s="10"/>
      <c r="D1290" s="10"/>
      <c r="E1290" s="10"/>
      <c r="F1290" s="11"/>
      <c r="G1290" s="11"/>
      <c r="H1290" s="11"/>
      <c r="I1290" s="11"/>
      <c r="J1290" s="11" t="str">
        <f>IFERROR(__xludf.DUMMYFUNCTION("iferror(if($B1290="""", ,filter(Playoff_Stats!F:Z,Playoff_Stats!A:A=$B1290,Playoff_Stats!B:B=$A1290)))"),"")</f>
        <v/>
      </c>
      <c r="K1290" s="11"/>
      <c r="L1290" s="12"/>
      <c r="M1290" s="11"/>
      <c r="N1290" s="11"/>
      <c r="O1290" s="13"/>
      <c r="P1290" s="14"/>
      <c r="Q1290" s="13"/>
      <c r="R1290" s="13"/>
      <c r="S1290" s="15"/>
      <c r="T1290" s="16"/>
      <c r="U1290" s="16"/>
      <c r="V1290" s="16"/>
      <c r="W1290" s="16"/>
      <c r="X1290" s="16"/>
      <c r="Y1290" s="11"/>
      <c r="Z1290" s="11"/>
      <c r="AA1290" s="11"/>
      <c r="AB1290" s="11"/>
      <c r="AC1290" s="11"/>
      <c r="AD1290" s="11"/>
    </row>
    <row r="1291">
      <c r="A1291" s="10"/>
      <c r="B1291" s="10"/>
      <c r="C1291" s="10"/>
      <c r="D1291" s="10"/>
      <c r="E1291" s="10"/>
      <c r="F1291" s="11"/>
      <c r="G1291" s="11"/>
      <c r="H1291" s="11"/>
      <c r="I1291" s="11"/>
      <c r="J1291" s="11" t="str">
        <f>IFERROR(__xludf.DUMMYFUNCTION("iferror(if($B1291="""", ,filter(Playoff_Stats!F:Z,Playoff_Stats!A:A=$B1291,Playoff_Stats!B:B=$A1291)))"),"")</f>
        <v/>
      </c>
      <c r="K1291" s="11"/>
      <c r="L1291" s="12"/>
      <c r="M1291" s="11"/>
      <c r="N1291" s="11"/>
      <c r="O1291" s="13"/>
      <c r="P1291" s="14"/>
      <c r="Q1291" s="13"/>
      <c r="R1291" s="13"/>
      <c r="S1291" s="15"/>
      <c r="T1291" s="16"/>
      <c r="U1291" s="16"/>
      <c r="V1291" s="16"/>
      <c r="W1291" s="16"/>
      <c r="X1291" s="16"/>
      <c r="Y1291" s="11"/>
      <c r="Z1291" s="11"/>
      <c r="AA1291" s="11"/>
      <c r="AB1291" s="11"/>
      <c r="AC1291" s="11"/>
      <c r="AD1291" s="11"/>
    </row>
    <row r="1292">
      <c r="A1292" s="10"/>
      <c r="B1292" s="10"/>
      <c r="C1292" s="10"/>
      <c r="D1292" s="10"/>
      <c r="E1292" s="10"/>
      <c r="F1292" s="11"/>
      <c r="G1292" s="11"/>
      <c r="H1292" s="11"/>
      <c r="I1292" s="11"/>
      <c r="J1292" s="11" t="str">
        <f>IFERROR(__xludf.DUMMYFUNCTION("iferror(if($B1292="""", ,filter(Playoff_Stats!F:Z,Playoff_Stats!A:A=$B1292,Playoff_Stats!B:B=$A1292)))"),"")</f>
        <v/>
      </c>
      <c r="K1292" s="11"/>
      <c r="L1292" s="12"/>
      <c r="M1292" s="11"/>
      <c r="N1292" s="11"/>
      <c r="O1292" s="13"/>
      <c r="P1292" s="14"/>
      <c r="Q1292" s="13"/>
      <c r="R1292" s="13"/>
      <c r="S1292" s="15"/>
      <c r="T1292" s="16"/>
      <c r="U1292" s="16"/>
      <c r="V1292" s="16"/>
      <c r="W1292" s="16"/>
      <c r="X1292" s="16"/>
      <c r="Y1292" s="11"/>
      <c r="Z1292" s="11"/>
      <c r="AA1292" s="11"/>
      <c r="AB1292" s="11"/>
      <c r="AC1292" s="11"/>
      <c r="AD1292" s="11"/>
    </row>
    <row r="1293">
      <c r="A1293" s="10"/>
      <c r="B1293" s="10"/>
      <c r="C1293" s="10"/>
      <c r="D1293" s="10"/>
      <c r="E1293" s="10"/>
      <c r="F1293" s="11"/>
      <c r="G1293" s="11"/>
      <c r="H1293" s="11"/>
      <c r="I1293" s="11"/>
      <c r="J1293" s="11" t="str">
        <f>IFERROR(__xludf.DUMMYFUNCTION("iferror(if($B1293="""", ,filter(Playoff_Stats!F:Z,Playoff_Stats!A:A=$B1293,Playoff_Stats!B:B=$A1293)))"),"")</f>
        <v/>
      </c>
      <c r="K1293" s="11"/>
      <c r="L1293" s="12"/>
      <c r="M1293" s="11"/>
      <c r="N1293" s="11"/>
      <c r="O1293" s="13"/>
      <c r="P1293" s="14"/>
      <c r="Q1293" s="13"/>
      <c r="R1293" s="13"/>
      <c r="S1293" s="15"/>
      <c r="T1293" s="16"/>
      <c r="U1293" s="16"/>
      <c r="V1293" s="16"/>
      <c r="W1293" s="16"/>
      <c r="X1293" s="16"/>
      <c r="Y1293" s="11"/>
      <c r="Z1293" s="11"/>
      <c r="AA1293" s="11"/>
      <c r="AB1293" s="11"/>
      <c r="AC1293" s="11"/>
      <c r="AD1293" s="11"/>
    </row>
    <row r="1294">
      <c r="A1294" s="10"/>
      <c r="B1294" s="10"/>
      <c r="C1294" s="10"/>
      <c r="D1294" s="10"/>
      <c r="E1294" s="10"/>
      <c r="F1294" s="11"/>
      <c r="G1294" s="11"/>
      <c r="H1294" s="11"/>
      <c r="I1294" s="11"/>
      <c r="J1294" s="11" t="str">
        <f>IFERROR(__xludf.DUMMYFUNCTION("iferror(if($B1294="""", ,filter(Playoff_Stats!F:Z,Playoff_Stats!A:A=$B1294,Playoff_Stats!B:B=$A1294)))"),"")</f>
        <v/>
      </c>
      <c r="K1294" s="11"/>
      <c r="L1294" s="12"/>
      <c r="M1294" s="11"/>
      <c r="N1294" s="11"/>
      <c r="O1294" s="13"/>
      <c r="P1294" s="14"/>
      <c r="Q1294" s="13"/>
      <c r="R1294" s="13"/>
      <c r="S1294" s="15"/>
      <c r="T1294" s="16"/>
      <c r="U1294" s="16"/>
      <c r="V1294" s="16"/>
      <c r="W1294" s="16"/>
      <c r="X1294" s="16"/>
      <c r="Y1294" s="11"/>
      <c r="Z1294" s="11"/>
      <c r="AA1294" s="11"/>
      <c r="AB1294" s="11"/>
      <c r="AC1294" s="11"/>
      <c r="AD1294" s="11"/>
    </row>
    <row r="1295">
      <c r="A1295" s="10"/>
      <c r="B1295" s="10"/>
      <c r="C1295" s="10"/>
      <c r="D1295" s="10"/>
      <c r="E1295" s="10"/>
      <c r="F1295" s="11"/>
      <c r="G1295" s="11"/>
      <c r="H1295" s="11"/>
      <c r="I1295" s="11"/>
      <c r="J1295" s="11" t="str">
        <f>IFERROR(__xludf.DUMMYFUNCTION("iferror(if($B1295="""", ,filter(Playoff_Stats!F:Z,Playoff_Stats!A:A=$B1295,Playoff_Stats!B:B=$A1295)))"),"")</f>
        <v/>
      </c>
      <c r="K1295" s="11"/>
      <c r="L1295" s="12"/>
      <c r="M1295" s="11"/>
      <c r="N1295" s="11"/>
      <c r="O1295" s="13"/>
      <c r="P1295" s="14"/>
      <c r="Q1295" s="13"/>
      <c r="R1295" s="13"/>
      <c r="S1295" s="15"/>
      <c r="T1295" s="16"/>
      <c r="U1295" s="16"/>
      <c r="V1295" s="16"/>
      <c r="W1295" s="16"/>
      <c r="X1295" s="16"/>
      <c r="Y1295" s="11"/>
      <c r="Z1295" s="11"/>
      <c r="AA1295" s="11"/>
      <c r="AB1295" s="11"/>
      <c r="AC1295" s="11"/>
      <c r="AD1295" s="11"/>
    </row>
    <row r="1296">
      <c r="A1296" s="10"/>
      <c r="B1296" s="10"/>
      <c r="C1296" s="10"/>
      <c r="D1296" s="10"/>
      <c r="E1296" s="10"/>
      <c r="F1296" s="11"/>
      <c r="G1296" s="11"/>
      <c r="H1296" s="11"/>
      <c r="I1296" s="11"/>
      <c r="J1296" s="11" t="str">
        <f>IFERROR(__xludf.DUMMYFUNCTION("iferror(if($B1296="""", ,filter(Playoff_Stats!F:Z,Playoff_Stats!A:A=$B1296,Playoff_Stats!B:B=$A1296)))"),"")</f>
        <v/>
      </c>
      <c r="K1296" s="11"/>
      <c r="L1296" s="12"/>
      <c r="M1296" s="11"/>
      <c r="N1296" s="11"/>
      <c r="O1296" s="13"/>
      <c r="P1296" s="14"/>
      <c r="Q1296" s="13"/>
      <c r="R1296" s="13"/>
      <c r="S1296" s="15"/>
      <c r="T1296" s="16"/>
      <c r="U1296" s="16"/>
      <c r="V1296" s="16"/>
      <c r="W1296" s="16"/>
      <c r="X1296" s="16"/>
      <c r="Y1296" s="11"/>
      <c r="Z1296" s="11"/>
      <c r="AA1296" s="11"/>
      <c r="AB1296" s="11"/>
      <c r="AC1296" s="11"/>
      <c r="AD1296" s="11"/>
    </row>
    <row r="1297">
      <c r="A1297" s="10"/>
      <c r="B1297" s="10"/>
      <c r="C1297" s="10"/>
      <c r="D1297" s="10"/>
      <c r="E1297" s="10"/>
      <c r="F1297" s="11"/>
      <c r="G1297" s="11"/>
      <c r="H1297" s="11"/>
      <c r="I1297" s="11"/>
      <c r="J1297" s="11" t="str">
        <f>IFERROR(__xludf.DUMMYFUNCTION("iferror(if($B1297="""", ,filter(Playoff_Stats!F:Z,Playoff_Stats!A:A=$B1297,Playoff_Stats!B:B=$A1297)))"),"")</f>
        <v/>
      </c>
      <c r="K1297" s="11"/>
      <c r="L1297" s="12"/>
      <c r="M1297" s="11"/>
      <c r="N1297" s="11"/>
      <c r="O1297" s="13"/>
      <c r="P1297" s="14"/>
      <c r="Q1297" s="13"/>
      <c r="R1297" s="13"/>
      <c r="S1297" s="15"/>
      <c r="T1297" s="16"/>
      <c r="U1297" s="16"/>
      <c r="V1297" s="16"/>
      <c r="W1297" s="16"/>
      <c r="X1297" s="16"/>
      <c r="Y1297" s="11"/>
      <c r="Z1297" s="11"/>
      <c r="AA1297" s="11"/>
      <c r="AB1297" s="11"/>
      <c r="AC1297" s="11"/>
      <c r="AD1297" s="11"/>
    </row>
    <row r="1298">
      <c r="A1298" s="10"/>
      <c r="B1298" s="10"/>
      <c r="C1298" s="10"/>
      <c r="D1298" s="10"/>
      <c r="E1298" s="10"/>
      <c r="F1298" s="11"/>
      <c r="G1298" s="11"/>
      <c r="H1298" s="11"/>
      <c r="I1298" s="11"/>
      <c r="J1298" s="11" t="str">
        <f>IFERROR(__xludf.DUMMYFUNCTION("iferror(if($B1298="""", ,filter(Playoff_Stats!F:Z,Playoff_Stats!A:A=$B1298,Playoff_Stats!B:B=$A1298)))"),"")</f>
        <v/>
      </c>
      <c r="K1298" s="11"/>
      <c r="L1298" s="12"/>
      <c r="M1298" s="11"/>
      <c r="N1298" s="11"/>
      <c r="O1298" s="13"/>
      <c r="P1298" s="14"/>
      <c r="Q1298" s="13"/>
      <c r="R1298" s="13"/>
      <c r="S1298" s="15"/>
      <c r="T1298" s="16"/>
      <c r="U1298" s="16"/>
      <c r="V1298" s="16"/>
      <c r="W1298" s="16"/>
      <c r="X1298" s="16"/>
      <c r="Y1298" s="11"/>
      <c r="Z1298" s="11"/>
      <c r="AA1298" s="11"/>
      <c r="AB1298" s="11"/>
      <c r="AC1298" s="11"/>
      <c r="AD1298" s="11"/>
    </row>
    <row r="1299">
      <c r="A1299" s="10"/>
      <c r="B1299" s="10"/>
      <c r="C1299" s="10"/>
      <c r="D1299" s="10"/>
      <c r="E1299" s="10"/>
      <c r="F1299" s="11"/>
      <c r="G1299" s="11"/>
      <c r="H1299" s="11"/>
      <c r="I1299" s="11"/>
      <c r="J1299" s="11" t="str">
        <f>IFERROR(__xludf.DUMMYFUNCTION("iferror(if($B1299="""", ,filter(Playoff_Stats!F:Z,Playoff_Stats!A:A=$B1299,Playoff_Stats!B:B=$A1299)))"),"")</f>
        <v/>
      </c>
      <c r="K1299" s="11"/>
      <c r="L1299" s="12"/>
      <c r="M1299" s="11"/>
      <c r="N1299" s="11"/>
      <c r="O1299" s="13"/>
      <c r="P1299" s="14"/>
      <c r="Q1299" s="13"/>
      <c r="R1299" s="13"/>
      <c r="S1299" s="15"/>
      <c r="T1299" s="16"/>
      <c r="U1299" s="16"/>
      <c r="V1299" s="16"/>
      <c r="W1299" s="16"/>
      <c r="X1299" s="16"/>
      <c r="Y1299" s="11"/>
      <c r="Z1299" s="11"/>
      <c r="AA1299" s="11"/>
      <c r="AB1299" s="11"/>
      <c r="AC1299" s="11"/>
      <c r="AD1299" s="11"/>
    </row>
    <row r="1300">
      <c r="A1300" s="10"/>
      <c r="B1300" s="10"/>
      <c r="C1300" s="10"/>
      <c r="D1300" s="10"/>
      <c r="E1300" s="10"/>
      <c r="F1300" s="11"/>
      <c r="G1300" s="11"/>
      <c r="H1300" s="11"/>
      <c r="I1300" s="11"/>
      <c r="J1300" s="11" t="str">
        <f>IFERROR(__xludf.DUMMYFUNCTION("iferror(if($B1300="""", ,filter(Playoff_Stats!F:Z,Playoff_Stats!A:A=$B1300,Playoff_Stats!B:B=$A1300)))"),"")</f>
        <v/>
      </c>
      <c r="K1300" s="11"/>
      <c r="L1300" s="12"/>
      <c r="M1300" s="11"/>
      <c r="N1300" s="11"/>
      <c r="O1300" s="13"/>
      <c r="P1300" s="14"/>
      <c r="Q1300" s="13"/>
      <c r="R1300" s="13"/>
      <c r="S1300" s="15"/>
      <c r="T1300" s="16"/>
      <c r="U1300" s="16"/>
      <c r="V1300" s="16"/>
      <c r="W1300" s="16"/>
      <c r="X1300" s="16"/>
      <c r="Y1300" s="11"/>
      <c r="Z1300" s="11"/>
      <c r="AA1300" s="11"/>
      <c r="AB1300" s="11"/>
      <c r="AC1300" s="11"/>
      <c r="AD1300" s="11"/>
    </row>
    <row r="1301">
      <c r="A1301" s="10"/>
      <c r="B1301" s="10"/>
      <c r="C1301" s="10"/>
      <c r="D1301" s="10"/>
      <c r="E1301" s="10"/>
      <c r="F1301" s="11"/>
      <c r="G1301" s="11"/>
      <c r="H1301" s="11"/>
      <c r="I1301" s="11"/>
      <c r="J1301" s="11" t="str">
        <f>IFERROR(__xludf.DUMMYFUNCTION("iferror(if($B1301="""", ,filter(Playoff_Stats!F:Z,Playoff_Stats!A:A=$B1301,Playoff_Stats!B:B=$A1301)))"),"")</f>
        <v/>
      </c>
      <c r="K1301" s="11"/>
      <c r="L1301" s="12"/>
      <c r="M1301" s="11"/>
      <c r="N1301" s="11"/>
      <c r="O1301" s="13"/>
      <c r="P1301" s="14"/>
      <c r="Q1301" s="13"/>
      <c r="R1301" s="13"/>
      <c r="S1301" s="15"/>
      <c r="T1301" s="16"/>
      <c r="U1301" s="16"/>
      <c r="V1301" s="16"/>
      <c r="W1301" s="16"/>
      <c r="X1301" s="16"/>
      <c r="Y1301" s="11"/>
      <c r="Z1301" s="11"/>
      <c r="AA1301" s="11"/>
      <c r="AB1301" s="11"/>
      <c r="AC1301" s="11"/>
      <c r="AD1301" s="11"/>
    </row>
    <row r="1302">
      <c r="A1302" s="10"/>
      <c r="B1302" s="10"/>
      <c r="C1302" s="10"/>
      <c r="D1302" s="10"/>
      <c r="E1302" s="10"/>
      <c r="F1302" s="11"/>
      <c r="G1302" s="11"/>
      <c r="H1302" s="11"/>
      <c r="I1302" s="11"/>
      <c r="J1302" s="11" t="str">
        <f>IFERROR(__xludf.DUMMYFUNCTION("iferror(if($B1302="""", ,filter(Playoff_Stats!F:Z,Playoff_Stats!A:A=$B1302,Playoff_Stats!B:B=$A1302)))"),"")</f>
        <v/>
      </c>
      <c r="K1302" s="11"/>
      <c r="L1302" s="12"/>
      <c r="M1302" s="11"/>
      <c r="N1302" s="11"/>
      <c r="O1302" s="13"/>
      <c r="P1302" s="14"/>
      <c r="Q1302" s="13"/>
      <c r="R1302" s="13"/>
      <c r="S1302" s="15"/>
      <c r="T1302" s="16"/>
      <c r="U1302" s="16"/>
      <c r="V1302" s="16"/>
      <c r="W1302" s="16"/>
      <c r="X1302" s="16"/>
      <c r="Y1302" s="11"/>
      <c r="Z1302" s="11"/>
      <c r="AA1302" s="11"/>
      <c r="AB1302" s="11"/>
      <c r="AC1302" s="11"/>
      <c r="AD1302" s="11"/>
    </row>
    <row r="1303">
      <c r="A1303" s="10"/>
      <c r="B1303" s="10"/>
      <c r="C1303" s="10"/>
      <c r="D1303" s="10"/>
      <c r="E1303" s="10"/>
      <c r="F1303" s="11"/>
      <c r="G1303" s="11"/>
      <c r="H1303" s="11"/>
      <c r="I1303" s="11"/>
      <c r="J1303" s="11" t="str">
        <f>IFERROR(__xludf.DUMMYFUNCTION("iferror(if($B1303="""", ,filter(Playoff_Stats!F:Z,Playoff_Stats!A:A=$B1303,Playoff_Stats!B:B=$A1303)))"),"")</f>
        <v/>
      </c>
      <c r="K1303" s="11"/>
      <c r="L1303" s="12"/>
      <c r="M1303" s="11"/>
      <c r="N1303" s="11"/>
      <c r="O1303" s="13"/>
      <c r="P1303" s="14"/>
      <c r="Q1303" s="13"/>
      <c r="R1303" s="13"/>
      <c r="S1303" s="15"/>
      <c r="T1303" s="16"/>
      <c r="U1303" s="16"/>
      <c r="V1303" s="16"/>
      <c r="W1303" s="16"/>
      <c r="X1303" s="16"/>
      <c r="Y1303" s="11"/>
      <c r="Z1303" s="11"/>
      <c r="AA1303" s="11"/>
      <c r="AB1303" s="11"/>
      <c r="AC1303" s="11"/>
      <c r="AD1303" s="11"/>
    </row>
    <row r="1304">
      <c r="A1304" s="10"/>
      <c r="B1304" s="10"/>
      <c r="C1304" s="10"/>
      <c r="D1304" s="10"/>
      <c r="E1304" s="10"/>
      <c r="F1304" s="11"/>
      <c r="G1304" s="11"/>
      <c r="H1304" s="11"/>
      <c r="I1304" s="11"/>
      <c r="J1304" s="11" t="str">
        <f>IFERROR(__xludf.DUMMYFUNCTION("iferror(if($B1304="""", ,filter(Playoff_Stats!F:Z,Playoff_Stats!A:A=$B1304,Playoff_Stats!B:B=$A1304)))"),"")</f>
        <v/>
      </c>
      <c r="K1304" s="11"/>
      <c r="L1304" s="12"/>
      <c r="M1304" s="11"/>
      <c r="N1304" s="11"/>
      <c r="O1304" s="13"/>
      <c r="P1304" s="14"/>
      <c r="Q1304" s="13"/>
      <c r="R1304" s="13"/>
      <c r="S1304" s="15"/>
      <c r="T1304" s="16"/>
      <c r="U1304" s="16"/>
      <c r="V1304" s="16"/>
      <c r="W1304" s="16"/>
      <c r="X1304" s="16"/>
      <c r="Y1304" s="11"/>
      <c r="Z1304" s="11"/>
      <c r="AA1304" s="11"/>
      <c r="AB1304" s="11"/>
      <c r="AC1304" s="11"/>
      <c r="AD1304" s="11"/>
    </row>
    <row r="1305">
      <c r="A1305" s="10"/>
      <c r="B1305" s="10"/>
      <c r="C1305" s="10"/>
      <c r="D1305" s="10"/>
      <c r="E1305" s="10"/>
      <c r="F1305" s="11"/>
      <c r="G1305" s="11"/>
      <c r="H1305" s="11"/>
      <c r="I1305" s="11"/>
      <c r="J1305" s="11" t="str">
        <f>IFERROR(__xludf.DUMMYFUNCTION("iferror(if($B1305="""", ,filter(Playoff_Stats!F:Z,Playoff_Stats!A:A=$B1305,Playoff_Stats!B:B=$A1305)))"),"")</f>
        <v/>
      </c>
      <c r="K1305" s="11"/>
      <c r="L1305" s="12"/>
      <c r="M1305" s="11"/>
      <c r="N1305" s="11"/>
      <c r="O1305" s="13"/>
      <c r="P1305" s="14"/>
      <c r="Q1305" s="13"/>
      <c r="R1305" s="13"/>
      <c r="S1305" s="15"/>
      <c r="T1305" s="16"/>
      <c r="U1305" s="16"/>
      <c r="V1305" s="16"/>
      <c r="W1305" s="16"/>
      <c r="X1305" s="16"/>
      <c r="Y1305" s="11"/>
      <c r="Z1305" s="11"/>
      <c r="AA1305" s="11"/>
      <c r="AB1305" s="11"/>
      <c r="AC1305" s="11"/>
      <c r="AD1305" s="11"/>
    </row>
    <row r="1306">
      <c r="A1306" s="10"/>
      <c r="B1306" s="10"/>
      <c r="C1306" s="10"/>
      <c r="D1306" s="10"/>
      <c r="E1306" s="10"/>
      <c r="F1306" s="11"/>
      <c r="G1306" s="11"/>
      <c r="H1306" s="11"/>
      <c r="I1306" s="11"/>
      <c r="J1306" s="11" t="str">
        <f>IFERROR(__xludf.DUMMYFUNCTION("iferror(if($B1306="""", ,filter(Playoff_Stats!F:Z,Playoff_Stats!A:A=$B1306,Playoff_Stats!B:B=$A1306)))"),"")</f>
        <v/>
      </c>
      <c r="K1306" s="11"/>
      <c r="L1306" s="12"/>
      <c r="M1306" s="11"/>
      <c r="N1306" s="11"/>
      <c r="O1306" s="13"/>
      <c r="P1306" s="14"/>
      <c r="Q1306" s="13"/>
      <c r="R1306" s="13"/>
      <c r="S1306" s="15"/>
      <c r="T1306" s="16"/>
      <c r="U1306" s="16"/>
      <c r="V1306" s="16"/>
      <c r="W1306" s="16"/>
      <c r="X1306" s="16"/>
      <c r="Y1306" s="11"/>
      <c r="Z1306" s="11"/>
      <c r="AA1306" s="11"/>
      <c r="AB1306" s="11"/>
      <c r="AC1306" s="11"/>
      <c r="AD1306" s="11"/>
    </row>
    <row r="1307">
      <c r="A1307" s="10"/>
      <c r="B1307" s="10"/>
      <c r="C1307" s="10"/>
      <c r="D1307" s="10"/>
      <c r="E1307" s="10"/>
      <c r="F1307" s="11"/>
      <c r="G1307" s="11"/>
      <c r="H1307" s="11"/>
      <c r="I1307" s="11"/>
      <c r="J1307" s="11" t="str">
        <f>IFERROR(__xludf.DUMMYFUNCTION("iferror(if($B1307="""", ,filter(Playoff_Stats!F:Z,Playoff_Stats!A:A=$B1307,Playoff_Stats!B:B=$A1307)))"),"")</f>
        <v/>
      </c>
      <c r="K1307" s="11"/>
      <c r="L1307" s="12"/>
      <c r="M1307" s="11"/>
      <c r="N1307" s="11"/>
      <c r="O1307" s="13"/>
      <c r="P1307" s="14"/>
      <c r="Q1307" s="13"/>
      <c r="R1307" s="13"/>
      <c r="S1307" s="15"/>
      <c r="T1307" s="16"/>
      <c r="U1307" s="16"/>
      <c r="V1307" s="16"/>
      <c r="W1307" s="16"/>
      <c r="X1307" s="16"/>
      <c r="Y1307" s="11"/>
      <c r="Z1307" s="11"/>
      <c r="AA1307" s="11"/>
      <c r="AB1307" s="11"/>
      <c r="AC1307" s="11"/>
      <c r="AD1307" s="11"/>
    </row>
    <row r="1308">
      <c r="A1308" s="10"/>
      <c r="B1308" s="10"/>
      <c r="C1308" s="10"/>
      <c r="D1308" s="10"/>
      <c r="E1308" s="10"/>
      <c r="F1308" s="11"/>
      <c r="G1308" s="11"/>
      <c r="H1308" s="11"/>
      <c r="I1308" s="11"/>
      <c r="J1308" s="11" t="str">
        <f>IFERROR(__xludf.DUMMYFUNCTION("iferror(if($B1308="""", ,filter(Playoff_Stats!F:Z,Playoff_Stats!A:A=$B1308,Playoff_Stats!B:B=$A1308)))"),"")</f>
        <v/>
      </c>
      <c r="K1308" s="11"/>
      <c r="L1308" s="12"/>
      <c r="M1308" s="11"/>
      <c r="N1308" s="11"/>
      <c r="O1308" s="13"/>
      <c r="P1308" s="14"/>
      <c r="Q1308" s="13"/>
      <c r="R1308" s="13"/>
      <c r="S1308" s="15"/>
      <c r="T1308" s="16"/>
      <c r="U1308" s="16"/>
      <c r="V1308" s="16"/>
      <c r="W1308" s="16"/>
      <c r="X1308" s="16"/>
      <c r="Y1308" s="11"/>
      <c r="Z1308" s="11"/>
      <c r="AA1308" s="11"/>
      <c r="AB1308" s="11"/>
      <c r="AC1308" s="11"/>
      <c r="AD1308" s="11"/>
    </row>
    <row r="1309">
      <c r="A1309" s="10"/>
      <c r="B1309" s="10"/>
      <c r="C1309" s="10"/>
      <c r="D1309" s="10"/>
      <c r="E1309" s="10"/>
      <c r="F1309" s="11"/>
      <c r="G1309" s="11"/>
      <c r="H1309" s="11"/>
      <c r="I1309" s="11"/>
      <c r="J1309" s="11" t="str">
        <f>IFERROR(__xludf.DUMMYFUNCTION("iferror(if($B1309="""", ,filter(Playoff_Stats!F:Z,Playoff_Stats!A:A=$B1309,Playoff_Stats!B:B=$A1309)))"),"")</f>
        <v/>
      </c>
      <c r="K1309" s="11"/>
      <c r="L1309" s="12"/>
      <c r="M1309" s="11"/>
      <c r="N1309" s="11"/>
      <c r="O1309" s="13"/>
      <c r="P1309" s="14"/>
      <c r="Q1309" s="13"/>
      <c r="R1309" s="13"/>
      <c r="S1309" s="15"/>
      <c r="T1309" s="16"/>
      <c r="U1309" s="16"/>
      <c r="V1309" s="16"/>
      <c r="W1309" s="16"/>
      <c r="X1309" s="16"/>
      <c r="Y1309" s="11"/>
      <c r="Z1309" s="11"/>
      <c r="AA1309" s="11"/>
      <c r="AB1309" s="11"/>
      <c r="AC1309" s="11"/>
      <c r="AD1309" s="11"/>
    </row>
    <row r="1310">
      <c r="A1310" s="10"/>
      <c r="B1310" s="10"/>
      <c r="C1310" s="10"/>
      <c r="D1310" s="10"/>
      <c r="E1310" s="10"/>
      <c r="F1310" s="11"/>
      <c r="G1310" s="11"/>
      <c r="H1310" s="11"/>
      <c r="I1310" s="11"/>
      <c r="J1310" s="11" t="str">
        <f>IFERROR(__xludf.DUMMYFUNCTION("iferror(if($B1310="""", ,filter(Playoff_Stats!F:Z,Playoff_Stats!A:A=$B1310,Playoff_Stats!B:B=$A1310)))"),"")</f>
        <v/>
      </c>
      <c r="K1310" s="11"/>
      <c r="L1310" s="12"/>
      <c r="M1310" s="11"/>
      <c r="N1310" s="11"/>
      <c r="O1310" s="13"/>
      <c r="P1310" s="14"/>
      <c r="Q1310" s="13"/>
      <c r="R1310" s="13"/>
      <c r="S1310" s="15"/>
      <c r="T1310" s="16"/>
      <c r="U1310" s="16"/>
      <c r="V1310" s="16"/>
      <c r="W1310" s="16"/>
      <c r="X1310" s="16"/>
      <c r="Y1310" s="11"/>
      <c r="Z1310" s="11"/>
      <c r="AA1310" s="11"/>
      <c r="AB1310" s="11"/>
      <c r="AC1310" s="11"/>
      <c r="AD1310" s="11"/>
    </row>
    <row r="1311">
      <c r="A1311" s="10"/>
      <c r="B1311" s="10"/>
      <c r="C1311" s="10"/>
      <c r="D1311" s="10"/>
      <c r="E1311" s="10"/>
      <c r="F1311" s="11"/>
      <c r="G1311" s="11"/>
      <c r="H1311" s="11"/>
      <c r="I1311" s="11"/>
      <c r="J1311" s="11" t="str">
        <f>IFERROR(__xludf.DUMMYFUNCTION("iferror(if($B1311="""", ,filter(Playoff_Stats!F:Z,Playoff_Stats!A:A=$B1311,Playoff_Stats!B:B=$A1311)))"),"")</f>
        <v/>
      </c>
      <c r="K1311" s="11"/>
      <c r="L1311" s="12"/>
      <c r="M1311" s="11"/>
      <c r="N1311" s="11"/>
      <c r="O1311" s="13"/>
      <c r="P1311" s="14"/>
      <c r="Q1311" s="13"/>
      <c r="R1311" s="13"/>
      <c r="S1311" s="15"/>
      <c r="T1311" s="16"/>
      <c r="U1311" s="16"/>
      <c r="V1311" s="16"/>
      <c r="W1311" s="16"/>
      <c r="X1311" s="16"/>
      <c r="Y1311" s="11"/>
      <c r="Z1311" s="11"/>
      <c r="AA1311" s="11"/>
      <c r="AB1311" s="11"/>
      <c r="AC1311" s="11"/>
      <c r="AD1311" s="11"/>
    </row>
    <row r="1312">
      <c r="A1312" s="10"/>
      <c r="B1312" s="10"/>
      <c r="C1312" s="10"/>
      <c r="D1312" s="10"/>
      <c r="E1312" s="10"/>
      <c r="F1312" s="11"/>
      <c r="G1312" s="11"/>
      <c r="H1312" s="11"/>
      <c r="I1312" s="11"/>
      <c r="J1312" s="11" t="str">
        <f>IFERROR(__xludf.DUMMYFUNCTION("iferror(if($B1312="""", ,filter(Playoff_Stats!F:Z,Playoff_Stats!A:A=$B1312,Playoff_Stats!B:B=$A1312)))"),"")</f>
        <v/>
      </c>
      <c r="K1312" s="11"/>
      <c r="L1312" s="12"/>
      <c r="M1312" s="11"/>
      <c r="N1312" s="11"/>
      <c r="O1312" s="13"/>
      <c r="P1312" s="14"/>
      <c r="Q1312" s="13"/>
      <c r="R1312" s="13"/>
      <c r="S1312" s="15"/>
      <c r="T1312" s="16"/>
      <c r="U1312" s="16"/>
      <c r="V1312" s="16"/>
      <c r="W1312" s="16"/>
      <c r="X1312" s="16"/>
      <c r="Y1312" s="11"/>
      <c r="Z1312" s="11"/>
      <c r="AA1312" s="11"/>
      <c r="AB1312" s="11"/>
      <c r="AC1312" s="11"/>
      <c r="AD1312" s="11"/>
    </row>
    <row r="1313">
      <c r="A1313" s="10"/>
      <c r="B1313" s="10"/>
      <c r="C1313" s="10"/>
      <c r="D1313" s="10"/>
      <c r="E1313" s="10"/>
      <c r="F1313" s="11"/>
      <c r="G1313" s="11"/>
      <c r="H1313" s="11"/>
      <c r="I1313" s="11"/>
      <c r="J1313" s="11" t="str">
        <f>IFERROR(__xludf.DUMMYFUNCTION("iferror(if($B1313="""", ,filter(Playoff_Stats!F:Z,Playoff_Stats!A:A=$B1313,Playoff_Stats!B:B=$A1313)))"),"")</f>
        <v/>
      </c>
      <c r="K1313" s="11"/>
      <c r="L1313" s="12"/>
      <c r="M1313" s="11"/>
      <c r="N1313" s="11"/>
      <c r="O1313" s="13"/>
      <c r="P1313" s="14"/>
      <c r="Q1313" s="13"/>
      <c r="R1313" s="13"/>
      <c r="S1313" s="15"/>
      <c r="T1313" s="16"/>
      <c r="U1313" s="16"/>
      <c r="V1313" s="16"/>
      <c r="W1313" s="16"/>
      <c r="X1313" s="16"/>
      <c r="Y1313" s="11"/>
      <c r="Z1313" s="11"/>
      <c r="AA1313" s="11"/>
      <c r="AB1313" s="11"/>
      <c r="AC1313" s="11"/>
      <c r="AD1313" s="11"/>
    </row>
    <row r="1314">
      <c r="A1314" s="10"/>
      <c r="B1314" s="10"/>
      <c r="C1314" s="10"/>
      <c r="D1314" s="10"/>
      <c r="E1314" s="10"/>
      <c r="F1314" s="11"/>
      <c r="G1314" s="11"/>
      <c r="H1314" s="11"/>
      <c r="I1314" s="11"/>
      <c r="J1314" s="11" t="str">
        <f>IFERROR(__xludf.DUMMYFUNCTION("iferror(if($B1314="""", ,filter(Playoff_Stats!F:Z,Playoff_Stats!A:A=$B1314,Playoff_Stats!B:B=$A1314)))"),"")</f>
        <v/>
      </c>
      <c r="K1314" s="11"/>
      <c r="L1314" s="12"/>
      <c r="M1314" s="11"/>
      <c r="N1314" s="11"/>
      <c r="O1314" s="13"/>
      <c r="P1314" s="14"/>
      <c r="Q1314" s="13"/>
      <c r="R1314" s="13"/>
      <c r="S1314" s="15"/>
      <c r="T1314" s="16"/>
      <c r="U1314" s="16"/>
      <c r="V1314" s="16"/>
      <c r="W1314" s="16"/>
      <c r="X1314" s="16"/>
      <c r="Y1314" s="11"/>
      <c r="Z1314" s="11"/>
      <c r="AA1314" s="11"/>
      <c r="AB1314" s="11"/>
      <c r="AC1314" s="11"/>
      <c r="AD1314" s="11"/>
    </row>
    <row r="1315">
      <c r="A1315" s="10"/>
      <c r="B1315" s="10"/>
      <c r="C1315" s="10"/>
      <c r="D1315" s="10"/>
      <c r="E1315" s="10"/>
      <c r="F1315" s="11"/>
      <c r="G1315" s="11"/>
      <c r="H1315" s="11"/>
      <c r="I1315" s="11"/>
      <c r="J1315" s="11" t="str">
        <f>IFERROR(__xludf.DUMMYFUNCTION("iferror(if($B1315="""", ,filter(Playoff_Stats!F:Z,Playoff_Stats!A:A=$B1315,Playoff_Stats!B:B=$A1315)))"),"")</f>
        <v/>
      </c>
      <c r="K1315" s="11"/>
      <c r="L1315" s="12"/>
      <c r="M1315" s="11"/>
      <c r="N1315" s="11"/>
      <c r="O1315" s="13"/>
      <c r="P1315" s="14"/>
      <c r="Q1315" s="13"/>
      <c r="R1315" s="13"/>
      <c r="S1315" s="15"/>
      <c r="T1315" s="16"/>
      <c r="U1315" s="16"/>
      <c r="V1315" s="16"/>
      <c r="W1315" s="16"/>
      <c r="X1315" s="16"/>
      <c r="Y1315" s="11"/>
      <c r="Z1315" s="11"/>
      <c r="AA1315" s="11"/>
      <c r="AB1315" s="11"/>
      <c r="AC1315" s="11"/>
      <c r="AD1315" s="11"/>
    </row>
    <row r="1316">
      <c r="A1316" s="10"/>
      <c r="B1316" s="10"/>
      <c r="C1316" s="10"/>
      <c r="D1316" s="10"/>
      <c r="E1316" s="10"/>
      <c r="F1316" s="11"/>
      <c r="G1316" s="11"/>
      <c r="H1316" s="11"/>
      <c r="I1316" s="11"/>
      <c r="J1316" s="11" t="str">
        <f>IFERROR(__xludf.DUMMYFUNCTION("iferror(if($B1316="""", ,filter(Playoff_Stats!F:Z,Playoff_Stats!A:A=$B1316,Playoff_Stats!B:B=$A1316)))"),"")</f>
        <v/>
      </c>
      <c r="K1316" s="11"/>
      <c r="L1316" s="12"/>
      <c r="M1316" s="11"/>
      <c r="N1316" s="11"/>
      <c r="O1316" s="13"/>
      <c r="P1316" s="14"/>
      <c r="Q1316" s="13"/>
      <c r="R1316" s="13"/>
      <c r="S1316" s="15"/>
      <c r="T1316" s="16"/>
      <c r="U1316" s="16"/>
      <c r="V1316" s="16"/>
      <c r="W1316" s="16"/>
      <c r="X1316" s="16"/>
      <c r="Y1316" s="11"/>
      <c r="Z1316" s="11"/>
      <c r="AA1316" s="11"/>
      <c r="AB1316" s="11"/>
      <c r="AC1316" s="11"/>
      <c r="AD1316" s="11"/>
    </row>
    <row r="1317">
      <c r="A1317" s="10"/>
      <c r="B1317" s="10"/>
      <c r="C1317" s="10"/>
      <c r="D1317" s="10"/>
      <c r="E1317" s="10"/>
      <c r="F1317" s="11"/>
      <c r="G1317" s="11"/>
      <c r="H1317" s="11"/>
      <c r="I1317" s="11"/>
      <c r="J1317" s="11" t="str">
        <f>IFERROR(__xludf.DUMMYFUNCTION("iferror(if($B1317="""", ,filter(Playoff_Stats!F:Z,Playoff_Stats!A:A=$B1317,Playoff_Stats!B:B=$A1317)))"),"")</f>
        <v/>
      </c>
      <c r="K1317" s="11"/>
      <c r="L1317" s="12"/>
      <c r="M1317" s="11"/>
      <c r="N1317" s="11"/>
      <c r="O1317" s="13"/>
      <c r="P1317" s="14"/>
      <c r="Q1317" s="13"/>
      <c r="R1317" s="13"/>
      <c r="S1317" s="15"/>
      <c r="T1317" s="16"/>
      <c r="U1317" s="16"/>
      <c r="V1317" s="16"/>
      <c r="W1317" s="16"/>
      <c r="X1317" s="16"/>
      <c r="Y1317" s="11"/>
      <c r="Z1317" s="11"/>
      <c r="AA1317" s="11"/>
      <c r="AB1317" s="11"/>
      <c r="AC1317" s="11"/>
      <c r="AD1317" s="11"/>
    </row>
    <row r="1318">
      <c r="A1318" s="10"/>
      <c r="B1318" s="10"/>
      <c r="C1318" s="10"/>
      <c r="D1318" s="10"/>
      <c r="E1318" s="10"/>
      <c r="F1318" s="11"/>
      <c r="G1318" s="11"/>
      <c r="H1318" s="11"/>
      <c r="I1318" s="11"/>
      <c r="J1318" s="11" t="str">
        <f>IFERROR(__xludf.DUMMYFUNCTION("iferror(if($B1318="""", ,filter(Playoff_Stats!F:Z,Playoff_Stats!A:A=$B1318,Playoff_Stats!B:B=$A1318)))"),"")</f>
        <v/>
      </c>
      <c r="K1318" s="11"/>
      <c r="L1318" s="12"/>
      <c r="M1318" s="11"/>
      <c r="N1318" s="11"/>
      <c r="O1318" s="13"/>
      <c r="P1318" s="14"/>
      <c r="Q1318" s="13"/>
      <c r="R1318" s="13"/>
      <c r="S1318" s="15"/>
      <c r="T1318" s="16"/>
      <c r="U1318" s="16"/>
      <c r="V1318" s="16"/>
      <c r="W1318" s="16"/>
      <c r="X1318" s="16"/>
      <c r="Y1318" s="11"/>
      <c r="Z1318" s="11"/>
      <c r="AA1318" s="11"/>
      <c r="AB1318" s="11"/>
      <c r="AC1318" s="11"/>
      <c r="AD1318" s="11"/>
    </row>
    <row r="1319">
      <c r="A1319" s="10"/>
      <c r="B1319" s="10"/>
      <c r="C1319" s="10"/>
      <c r="D1319" s="10"/>
      <c r="E1319" s="10"/>
      <c r="F1319" s="11"/>
      <c r="G1319" s="11"/>
      <c r="H1319" s="11"/>
      <c r="I1319" s="11"/>
      <c r="J1319" s="11" t="str">
        <f>IFERROR(__xludf.DUMMYFUNCTION("iferror(if($B1319="""", ,filter(Playoff_Stats!F:Z,Playoff_Stats!A:A=$B1319,Playoff_Stats!B:B=$A1319)))"),"")</f>
        <v/>
      </c>
      <c r="K1319" s="11"/>
      <c r="L1319" s="12"/>
      <c r="M1319" s="11"/>
      <c r="N1319" s="11"/>
      <c r="O1319" s="13"/>
      <c r="P1319" s="14"/>
      <c r="Q1319" s="13"/>
      <c r="R1319" s="13"/>
      <c r="S1319" s="15"/>
      <c r="T1319" s="16"/>
      <c r="U1319" s="16"/>
      <c r="V1319" s="16"/>
      <c r="W1319" s="16"/>
      <c r="X1319" s="16"/>
      <c r="Y1319" s="11"/>
      <c r="Z1319" s="11"/>
      <c r="AA1319" s="11"/>
      <c r="AB1319" s="11"/>
      <c r="AC1319" s="11"/>
      <c r="AD1319" s="11"/>
    </row>
    <row r="1320">
      <c r="A1320" s="10"/>
      <c r="B1320" s="10"/>
      <c r="C1320" s="10"/>
      <c r="D1320" s="10"/>
      <c r="E1320" s="10"/>
      <c r="F1320" s="11"/>
      <c r="G1320" s="11"/>
      <c r="H1320" s="11"/>
      <c r="I1320" s="11"/>
      <c r="J1320" s="11" t="str">
        <f>IFERROR(__xludf.DUMMYFUNCTION("iferror(if($B1320="""", ,filter(Playoff_Stats!F:Z,Playoff_Stats!A:A=$B1320,Playoff_Stats!B:B=$A1320)))"),"")</f>
        <v/>
      </c>
      <c r="K1320" s="11"/>
      <c r="L1320" s="12"/>
      <c r="M1320" s="11"/>
      <c r="N1320" s="11"/>
      <c r="O1320" s="13"/>
      <c r="P1320" s="14"/>
      <c r="Q1320" s="13"/>
      <c r="R1320" s="13"/>
      <c r="S1320" s="15"/>
      <c r="T1320" s="16"/>
      <c r="U1320" s="16"/>
      <c r="V1320" s="16"/>
      <c r="W1320" s="16"/>
      <c r="X1320" s="16"/>
      <c r="Y1320" s="11"/>
      <c r="Z1320" s="11"/>
      <c r="AA1320" s="11"/>
      <c r="AB1320" s="11"/>
      <c r="AC1320" s="11"/>
      <c r="AD1320" s="11"/>
    </row>
    <row r="1321">
      <c r="A1321" s="10"/>
      <c r="B1321" s="10"/>
      <c r="C1321" s="10"/>
      <c r="D1321" s="10"/>
      <c r="E1321" s="10"/>
      <c r="F1321" s="11"/>
      <c r="G1321" s="11"/>
      <c r="H1321" s="11"/>
      <c r="I1321" s="11"/>
      <c r="J1321" s="11" t="str">
        <f>IFERROR(__xludf.DUMMYFUNCTION("iferror(if($B1321="""", ,filter(Playoff_Stats!F:Z,Playoff_Stats!A:A=$B1321,Playoff_Stats!B:B=$A1321)))"),"")</f>
        <v/>
      </c>
      <c r="K1321" s="11"/>
      <c r="L1321" s="12"/>
      <c r="M1321" s="11"/>
      <c r="N1321" s="11"/>
      <c r="O1321" s="13"/>
      <c r="P1321" s="14"/>
      <c r="Q1321" s="13"/>
      <c r="R1321" s="13"/>
      <c r="S1321" s="15"/>
      <c r="T1321" s="16"/>
      <c r="U1321" s="16"/>
      <c r="V1321" s="16"/>
      <c r="W1321" s="16"/>
      <c r="X1321" s="16"/>
      <c r="Y1321" s="11"/>
      <c r="Z1321" s="11"/>
      <c r="AA1321" s="11"/>
      <c r="AB1321" s="11"/>
      <c r="AC1321" s="11"/>
      <c r="AD1321" s="11"/>
    </row>
    <row r="1322">
      <c r="A1322" s="10"/>
      <c r="B1322" s="10"/>
      <c r="C1322" s="10"/>
      <c r="D1322" s="10"/>
      <c r="E1322" s="10"/>
      <c r="F1322" s="11"/>
      <c r="G1322" s="11"/>
      <c r="H1322" s="11"/>
      <c r="I1322" s="11"/>
      <c r="J1322" s="11" t="str">
        <f>IFERROR(__xludf.DUMMYFUNCTION("iferror(if($B1322="""", ,filter(Playoff_Stats!F:Z,Playoff_Stats!A:A=$B1322,Playoff_Stats!B:B=$A1322)))"),"")</f>
        <v/>
      </c>
      <c r="K1322" s="11"/>
      <c r="L1322" s="12"/>
      <c r="M1322" s="11"/>
      <c r="N1322" s="11"/>
      <c r="O1322" s="13"/>
      <c r="P1322" s="14"/>
      <c r="Q1322" s="13"/>
      <c r="R1322" s="13"/>
      <c r="S1322" s="15"/>
      <c r="T1322" s="16"/>
      <c r="U1322" s="16"/>
      <c r="V1322" s="16"/>
      <c r="W1322" s="16"/>
      <c r="X1322" s="16"/>
      <c r="Y1322" s="11"/>
      <c r="Z1322" s="11"/>
      <c r="AA1322" s="11"/>
      <c r="AB1322" s="11"/>
      <c r="AC1322" s="11"/>
      <c r="AD1322" s="11"/>
    </row>
    <row r="1323">
      <c r="A1323" s="10"/>
      <c r="B1323" s="10"/>
      <c r="C1323" s="10"/>
      <c r="D1323" s="10"/>
      <c r="E1323" s="10"/>
      <c r="F1323" s="11"/>
      <c r="G1323" s="11"/>
      <c r="H1323" s="11"/>
      <c r="I1323" s="11"/>
      <c r="J1323" s="11" t="str">
        <f>IFERROR(__xludf.DUMMYFUNCTION("iferror(if($B1323="""", ,filter(Playoff_Stats!F:Z,Playoff_Stats!A:A=$B1323,Playoff_Stats!B:B=$A1323)))"),"")</f>
        <v/>
      </c>
      <c r="K1323" s="11"/>
      <c r="L1323" s="12"/>
      <c r="M1323" s="11"/>
      <c r="N1323" s="11"/>
      <c r="O1323" s="13"/>
      <c r="P1323" s="14"/>
      <c r="Q1323" s="13"/>
      <c r="R1323" s="13"/>
      <c r="S1323" s="15"/>
      <c r="T1323" s="16"/>
      <c r="U1323" s="16"/>
      <c r="V1323" s="16"/>
      <c r="W1323" s="16"/>
      <c r="X1323" s="16"/>
      <c r="Y1323" s="11"/>
      <c r="Z1323" s="11"/>
      <c r="AA1323" s="11"/>
      <c r="AB1323" s="11"/>
      <c r="AC1323" s="11"/>
      <c r="AD1323" s="11"/>
    </row>
    <row r="1324">
      <c r="A1324" s="10"/>
      <c r="B1324" s="10"/>
      <c r="C1324" s="10"/>
      <c r="D1324" s="10"/>
      <c r="E1324" s="10"/>
      <c r="F1324" s="11"/>
      <c r="G1324" s="11"/>
      <c r="H1324" s="11"/>
      <c r="I1324" s="11"/>
      <c r="J1324" s="11" t="str">
        <f>IFERROR(__xludf.DUMMYFUNCTION("iferror(if($B1324="""", ,filter(Playoff_Stats!F:Z,Playoff_Stats!A:A=$B1324,Playoff_Stats!B:B=$A1324)))"),"")</f>
        <v/>
      </c>
      <c r="K1324" s="11"/>
      <c r="L1324" s="12"/>
      <c r="M1324" s="11"/>
      <c r="N1324" s="11"/>
      <c r="O1324" s="13"/>
      <c r="P1324" s="14"/>
      <c r="Q1324" s="13"/>
      <c r="R1324" s="13"/>
      <c r="S1324" s="15"/>
      <c r="T1324" s="16"/>
      <c r="U1324" s="16"/>
      <c r="V1324" s="16"/>
      <c r="W1324" s="16"/>
      <c r="X1324" s="16"/>
      <c r="Y1324" s="11"/>
      <c r="Z1324" s="11"/>
      <c r="AA1324" s="11"/>
      <c r="AB1324" s="11"/>
      <c r="AC1324" s="11"/>
      <c r="AD1324" s="11"/>
    </row>
    <row r="1325">
      <c r="A1325" s="10"/>
      <c r="B1325" s="10"/>
      <c r="C1325" s="10"/>
      <c r="D1325" s="10"/>
      <c r="E1325" s="10"/>
      <c r="F1325" s="11"/>
      <c r="G1325" s="11"/>
      <c r="H1325" s="11"/>
      <c r="I1325" s="11"/>
      <c r="J1325" s="11" t="str">
        <f>IFERROR(__xludf.DUMMYFUNCTION("iferror(if($B1325="""", ,filter(Playoff_Stats!F:Z,Playoff_Stats!A:A=$B1325,Playoff_Stats!B:B=$A1325)))"),"")</f>
        <v/>
      </c>
      <c r="K1325" s="11"/>
      <c r="L1325" s="12"/>
      <c r="M1325" s="11"/>
      <c r="N1325" s="11"/>
      <c r="O1325" s="13"/>
      <c r="P1325" s="14"/>
      <c r="Q1325" s="13"/>
      <c r="R1325" s="13"/>
      <c r="S1325" s="15"/>
      <c r="T1325" s="16"/>
      <c r="U1325" s="16"/>
      <c r="V1325" s="16"/>
      <c r="W1325" s="16"/>
      <c r="X1325" s="16"/>
      <c r="Y1325" s="11"/>
      <c r="Z1325" s="11"/>
      <c r="AA1325" s="11"/>
      <c r="AB1325" s="11"/>
      <c r="AC1325" s="11"/>
      <c r="AD1325" s="11"/>
    </row>
    <row r="1326">
      <c r="A1326" s="10"/>
      <c r="B1326" s="10"/>
      <c r="C1326" s="10"/>
      <c r="D1326" s="10"/>
      <c r="E1326" s="10"/>
      <c r="F1326" s="11"/>
      <c r="G1326" s="11"/>
      <c r="H1326" s="11"/>
      <c r="I1326" s="11"/>
      <c r="J1326" s="11" t="str">
        <f>IFERROR(__xludf.DUMMYFUNCTION("iferror(if($B1326="""", ,filter(Playoff_Stats!F:Z,Playoff_Stats!A:A=$B1326,Playoff_Stats!B:B=$A1326)))"),"")</f>
        <v/>
      </c>
      <c r="K1326" s="11"/>
      <c r="L1326" s="12"/>
      <c r="M1326" s="11"/>
      <c r="N1326" s="11"/>
      <c r="O1326" s="13"/>
      <c r="P1326" s="14"/>
      <c r="Q1326" s="13"/>
      <c r="R1326" s="13"/>
      <c r="S1326" s="15"/>
      <c r="T1326" s="16"/>
      <c r="U1326" s="16"/>
      <c r="V1326" s="16"/>
      <c r="W1326" s="16"/>
      <c r="X1326" s="16"/>
      <c r="Y1326" s="11"/>
      <c r="Z1326" s="11"/>
      <c r="AA1326" s="11"/>
      <c r="AB1326" s="11"/>
      <c r="AC1326" s="11"/>
      <c r="AD1326" s="11"/>
    </row>
    <row r="1327">
      <c r="A1327" s="10"/>
      <c r="B1327" s="10"/>
      <c r="C1327" s="10"/>
      <c r="D1327" s="10"/>
      <c r="E1327" s="10"/>
      <c r="F1327" s="11"/>
      <c r="G1327" s="11"/>
      <c r="H1327" s="11"/>
      <c r="I1327" s="11"/>
      <c r="J1327" s="11" t="str">
        <f>IFERROR(__xludf.DUMMYFUNCTION("iferror(if($B1327="""", ,filter(Playoff_Stats!F:Z,Playoff_Stats!A:A=$B1327,Playoff_Stats!B:B=$A1327)))"),"")</f>
        <v/>
      </c>
      <c r="K1327" s="11"/>
      <c r="L1327" s="12"/>
      <c r="M1327" s="11"/>
      <c r="N1327" s="11"/>
      <c r="O1327" s="13"/>
      <c r="P1327" s="14"/>
      <c r="Q1327" s="13"/>
      <c r="R1327" s="13"/>
      <c r="S1327" s="15"/>
      <c r="T1327" s="16"/>
      <c r="U1327" s="16"/>
      <c r="V1327" s="16"/>
      <c r="W1327" s="16"/>
      <c r="X1327" s="16"/>
      <c r="Y1327" s="11"/>
      <c r="Z1327" s="11"/>
      <c r="AA1327" s="11"/>
      <c r="AB1327" s="11"/>
      <c r="AC1327" s="11"/>
      <c r="AD1327" s="11"/>
    </row>
    <row r="1328">
      <c r="A1328" s="10"/>
      <c r="B1328" s="10"/>
      <c r="C1328" s="10"/>
      <c r="D1328" s="10"/>
      <c r="E1328" s="10"/>
      <c r="F1328" s="11"/>
      <c r="G1328" s="11"/>
      <c r="H1328" s="11"/>
      <c r="I1328" s="11"/>
      <c r="J1328" s="11" t="str">
        <f>IFERROR(__xludf.DUMMYFUNCTION("iferror(if($B1328="""", ,filter(Playoff_Stats!F:Z,Playoff_Stats!A:A=$B1328,Playoff_Stats!B:B=$A1328)))"),"")</f>
        <v/>
      </c>
      <c r="K1328" s="11"/>
      <c r="L1328" s="12"/>
      <c r="M1328" s="11"/>
      <c r="N1328" s="11"/>
      <c r="O1328" s="13"/>
      <c r="P1328" s="14"/>
      <c r="Q1328" s="13"/>
      <c r="R1328" s="13"/>
      <c r="S1328" s="15"/>
      <c r="T1328" s="16"/>
      <c r="U1328" s="16"/>
      <c r="V1328" s="16"/>
      <c r="W1328" s="16"/>
      <c r="X1328" s="16"/>
      <c r="Y1328" s="11"/>
      <c r="Z1328" s="11"/>
      <c r="AA1328" s="11"/>
      <c r="AB1328" s="11"/>
      <c r="AC1328" s="11"/>
      <c r="AD1328" s="11"/>
    </row>
    <row r="1329">
      <c r="A1329" s="10"/>
      <c r="B1329" s="10"/>
      <c r="C1329" s="10"/>
      <c r="D1329" s="10"/>
      <c r="E1329" s="10"/>
      <c r="F1329" s="11"/>
      <c r="G1329" s="11"/>
      <c r="H1329" s="11"/>
      <c r="I1329" s="11"/>
      <c r="J1329" s="11" t="str">
        <f>IFERROR(__xludf.DUMMYFUNCTION("iferror(if($B1329="""", ,filter(Playoff_Stats!F:Z,Playoff_Stats!A:A=$B1329,Playoff_Stats!B:B=$A1329)))"),"")</f>
        <v/>
      </c>
      <c r="K1329" s="11"/>
      <c r="L1329" s="12"/>
      <c r="M1329" s="11"/>
      <c r="N1329" s="11"/>
      <c r="O1329" s="13"/>
      <c r="P1329" s="14"/>
      <c r="Q1329" s="13"/>
      <c r="R1329" s="13"/>
      <c r="S1329" s="15"/>
      <c r="T1329" s="16"/>
      <c r="U1329" s="16"/>
      <c r="V1329" s="16"/>
      <c r="W1329" s="16"/>
      <c r="X1329" s="16"/>
      <c r="Y1329" s="11"/>
      <c r="Z1329" s="11"/>
      <c r="AA1329" s="11"/>
      <c r="AB1329" s="11"/>
      <c r="AC1329" s="11"/>
      <c r="AD1329" s="11"/>
    </row>
    <row r="1330">
      <c r="A1330" s="10"/>
      <c r="B1330" s="10"/>
      <c r="C1330" s="10"/>
      <c r="D1330" s="10"/>
      <c r="E1330" s="10"/>
      <c r="F1330" s="11"/>
      <c r="G1330" s="11"/>
      <c r="H1330" s="11"/>
      <c r="I1330" s="11"/>
      <c r="J1330" s="11" t="str">
        <f>IFERROR(__xludf.DUMMYFUNCTION("iferror(if($B1330="""", ,filter(Playoff_Stats!F:Z,Playoff_Stats!A:A=$B1330,Playoff_Stats!B:B=$A1330)))"),"")</f>
        <v/>
      </c>
      <c r="K1330" s="11"/>
      <c r="L1330" s="12"/>
      <c r="M1330" s="11"/>
      <c r="N1330" s="11"/>
      <c r="O1330" s="13"/>
      <c r="P1330" s="14"/>
      <c r="Q1330" s="13"/>
      <c r="R1330" s="13"/>
      <c r="S1330" s="15"/>
      <c r="T1330" s="16"/>
      <c r="U1330" s="16"/>
      <c r="V1330" s="16"/>
      <c r="W1330" s="16"/>
      <c r="X1330" s="16"/>
      <c r="Y1330" s="11"/>
      <c r="Z1330" s="11"/>
      <c r="AA1330" s="11"/>
      <c r="AB1330" s="11"/>
      <c r="AC1330" s="11"/>
      <c r="AD1330" s="11"/>
    </row>
    <row r="1331">
      <c r="A1331" s="10"/>
      <c r="B1331" s="10"/>
      <c r="C1331" s="10"/>
      <c r="D1331" s="10"/>
      <c r="E1331" s="10"/>
      <c r="F1331" s="11"/>
      <c r="G1331" s="11"/>
      <c r="H1331" s="11"/>
      <c r="I1331" s="11"/>
      <c r="J1331" s="11" t="str">
        <f>IFERROR(__xludf.DUMMYFUNCTION("iferror(if($B1331="""", ,filter(Playoff_Stats!F:Z,Playoff_Stats!A:A=$B1331,Playoff_Stats!B:B=$A1331)))"),"")</f>
        <v/>
      </c>
      <c r="K1331" s="11"/>
      <c r="L1331" s="12"/>
      <c r="M1331" s="11"/>
      <c r="N1331" s="11"/>
      <c r="O1331" s="13"/>
      <c r="P1331" s="14"/>
      <c r="Q1331" s="13"/>
      <c r="R1331" s="13"/>
      <c r="S1331" s="15"/>
      <c r="T1331" s="16"/>
      <c r="U1331" s="16"/>
      <c r="V1331" s="16"/>
      <c r="W1331" s="16"/>
      <c r="X1331" s="16"/>
      <c r="Y1331" s="11"/>
      <c r="Z1331" s="11"/>
      <c r="AA1331" s="11"/>
      <c r="AB1331" s="11"/>
      <c r="AC1331" s="11"/>
      <c r="AD1331" s="11"/>
    </row>
    <row r="1332">
      <c r="A1332" s="10"/>
      <c r="B1332" s="10"/>
      <c r="C1332" s="10"/>
      <c r="D1332" s="10"/>
      <c r="E1332" s="10"/>
      <c r="F1332" s="11"/>
      <c r="G1332" s="11"/>
      <c r="H1332" s="11"/>
      <c r="I1332" s="11"/>
      <c r="J1332" s="11" t="str">
        <f>IFERROR(__xludf.DUMMYFUNCTION("iferror(if($B1332="""", ,filter(Playoff_Stats!F:Z,Playoff_Stats!A:A=$B1332,Playoff_Stats!B:B=$A1332)))"),"")</f>
        <v/>
      </c>
      <c r="K1332" s="11"/>
      <c r="L1332" s="12"/>
      <c r="M1332" s="11"/>
      <c r="N1332" s="11"/>
      <c r="O1332" s="13"/>
      <c r="P1332" s="14"/>
      <c r="Q1332" s="13"/>
      <c r="R1332" s="13"/>
      <c r="S1332" s="15"/>
      <c r="T1332" s="16"/>
      <c r="U1332" s="16"/>
      <c r="V1332" s="16"/>
      <c r="W1332" s="16"/>
      <c r="X1332" s="16"/>
      <c r="Y1332" s="11"/>
      <c r="Z1332" s="11"/>
      <c r="AA1332" s="11"/>
      <c r="AB1332" s="11"/>
      <c r="AC1332" s="11"/>
      <c r="AD1332" s="11"/>
    </row>
    <row r="1333">
      <c r="A1333" s="10"/>
      <c r="B1333" s="10"/>
      <c r="C1333" s="10"/>
      <c r="D1333" s="10"/>
      <c r="E1333" s="10"/>
      <c r="F1333" s="11"/>
      <c r="G1333" s="11"/>
      <c r="H1333" s="11"/>
      <c r="I1333" s="11"/>
      <c r="J1333" s="11" t="str">
        <f>IFERROR(__xludf.DUMMYFUNCTION("iferror(if($B1333="""", ,filter(Playoff_Stats!F:Z,Playoff_Stats!A:A=$B1333,Playoff_Stats!B:B=$A1333)))"),"")</f>
        <v/>
      </c>
      <c r="K1333" s="11"/>
      <c r="L1333" s="12"/>
      <c r="M1333" s="11"/>
      <c r="N1333" s="11"/>
      <c r="O1333" s="13"/>
      <c r="P1333" s="14"/>
      <c r="Q1333" s="13"/>
      <c r="R1333" s="13"/>
      <c r="S1333" s="15"/>
      <c r="T1333" s="16"/>
      <c r="U1333" s="16"/>
      <c r="V1333" s="16"/>
      <c r="W1333" s="16"/>
      <c r="X1333" s="16"/>
      <c r="Y1333" s="11"/>
      <c r="Z1333" s="11"/>
      <c r="AA1333" s="11"/>
      <c r="AB1333" s="11"/>
      <c r="AC1333" s="11"/>
      <c r="AD1333" s="11"/>
    </row>
    <row r="1334">
      <c r="A1334" s="10"/>
      <c r="B1334" s="10"/>
      <c r="C1334" s="10"/>
      <c r="D1334" s="10"/>
      <c r="E1334" s="10"/>
      <c r="F1334" s="11"/>
      <c r="G1334" s="11"/>
      <c r="H1334" s="11"/>
      <c r="I1334" s="11"/>
      <c r="J1334" s="11" t="str">
        <f>IFERROR(__xludf.DUMMYFUNCTION("iferror(if($B1334="""", ,filter(Playoff_Stats!F:Z,Playoff_Stats!A:A=$B1334,Playoff_Stats!B:B=$A1334)))"),"")</f>
        <v/>
      </c>
      <c r="K1334" s="11"/>
      <c r="L1334" s="12"/>
      <c r="M1334" s="11"/>
      <c r="N1334" s="11"/>
      <c r="O1334" s="13"/>
      <c r="P1334" s="14"/>
      <c r="Q1334" s="13"/>
      <c r="R1334" s="13"/>
      <c r="S1334" s="15"/>
      <c r="T1334" s="16"/>
      <c r="U1334" s="16"/>
      <c r="V1334" s="16"/>
      <c r="W1334" s="16"/>
      <c r="X1334" s="16"/>
      <c r="Y1334" s="11"/>
      <c r="Z1334" s="11"/>
      <c r="AA1334" s="11"/>
      <c r="AB1334" s="11"/>
      <c r="AC1334" s="11"/>
      <c r="AD1334" s="11"/>
    </row>
    <row r="1335">
      <c r="A1335" s="10"/>
      <c r="B1335" s="10"/>
      <c r="C1335" s="10"/>
      <c r="D1335" s="10"/>
      <c r="E1335" s="10"/>
      <c r="F1335" s="11"/>
      <c r="G1335" s="11"/>
      <c r="H1335" s="11"/>
      <c r="I1335" s="11"/>
      <c r="J1335" s="11" t="str">
        <f>IFERROR(__xludf.DUMMYFUNCTION("iferror(if($B1335="""", ,filter(Playoff_Stats!F:Z,Playoff_Stats!A:A=$B1335,Playoff_Stats!B:B=$A1335)))"),"")</f>
        <v/>
      </c>
      <c r="K1335" s="11"/>
      <c r="L1335" s="12"/>
      <c r="M1335" s="11"/>
      <c r="N1335" s="11"/>
      <c r="O1335" s="13"/>
      <c r="P1335" s="14"/>
      <c r="Q1335" s="13"/>
      <c r="R1335" s="13"/>
      <c r="S1335" s="15"/>
      <c r="T1335" s="16"/>
      <c r="U1335" s="16"/>
      <c r="V1335" s="16"/>
      <c r="W1335" s="16"/>
      <c r="X1335" s="16"/>
      <c r="Y1335" s="11"/>
      <c r="Z1335" s="11"/>
      <c r="AA1335" s="11"/>
      <c r="AB1335" s="11"/>
      <c r="AC1335" s="11"/>
      <c r="AD1335" s="11"/>
    </row>
    <row r="1336">
      <c r="A1336" s="10"/>
      <c r="B1336" s="10"/>
      <c r="C1336" s="10"/>
      <c r="D1336" s="10"/>
      <c r="E1336" s="10"/>
      <c r="F1336" s="11"/>
      <c r="G1336" s="11"/>
      <c r="H1336" s="11"/>
      <c r="I1336" s="11"/>
      <c r="J1336" s="11" t="str">
        <f>IFERROR(__xludf.DUMMYFUNCTION("iferror(if($B1336="""", ,filter(Playoff_Stats!F:Z,Playoff_Stats!A:A=$B1336,Playoff_Stats!B:B=$A1336)))"),"")</f>
        <v/>
      </c>
      <c r="K1336" s="11"/>
      <c r="L1336" s="12"/>
      <c r="M1336" s="11"/>
      <c r="N1336" s="11"/>
      <c r="O1336" s="13"/>
      <c r="P1336" s="14"/>
      <c r="Q1336" s="13"/>
      <c r="R1336" s="13"/>
      <c r="S1336" s="15"/>
      <c r="T1336" s="16"/>
      <c r="U1336" s="16"/>
      <c r="V1336" s="16"/>
      <c r="W1336" s="16"/>
      <c r="X1336" s="16"/>
      <c r="Y1336" s="11"/>
      <c r="Z1336" s="11"/>
      <c r="AA1336" s="11"/>
      <c r="AB1336" s="11"/>
      <c r="AC1336" s="11"/>
      <c r="AD1336" s="11"/>
    </row>
    <row r="1337">
      <c r="A1337" s="10"/>
      <c r="B1337" s="10"/>
      <c r="C1337" s="10"/>
      <c r="D1337" s="10"/>
      <c r="E1337" s="10"/>
      <c r="F1337" s="11"/>
      <c r="G1337" s="11"/>
      <c r="H1337" s="11"/>
      <c r="I1337" s="11"/>
      <c r="J1337" s="11" t="str">
        <f>IFERROR(__xludf.DUMMYFUNCTION("iferror(if($B1337="""", ,filter(Playoff_Stats!F:Z,Playoff_Stats!A:A=$B1337,Playoff_Stats!B:B=$A1337)))"),"")</f>
        <v/>
      </c>
      <c r="K1337" s="11"/>
      <c r="L1337" s="12"/>
      <c r="M1337" s="11"/>
      <c r="N1337" s="11"/>
      <c r="O1337" s="13"/>
      <c r="P1337" s="14"/>
      <c r="Q1337" s="13"/>
      <c r="R1337" s="13"/>
      <c r="S1337" s="15"/>
      <c r="T1337" s="16"/>
      <c r="U1337" s="16"/>
      <c r="V1337" s="16"/>
      <c r="W1337" s="16"/>
      <c r="X1337" s="16"/>
      <c r="Y1337" s="11"/>
      <c r="Z1337" s="11"/>
      <c r="AA1337" s="11"/>
      <c r="AB1337" s="11"/>
      <c r="AC1337" s="11"/>
      <c r="AD1337" s="11"/>
    </row>
    <row r="1338">
      <c r="A1338" s="10"/>
      <c r="B1338" s="10"/>
      <c r="C1338" s="10"/>
      <c r="D1338" s="10"/>
      <c r="E1338" s="10"/>
      <c r="F1338" s="11"/>
      <c r="G1338" s="11"/>
      <c r="H1338" s="11"/>
      <c r="I1338" s="11"/>
      <c r="J1338" s="11" t="str">
        <f>IFERROR(__xludf.DUMMYFUNCTION("iferror(if($B1338="""", ,filter(Playoff_Stats!F:Z,Playoff_Stats!A:A=$B1338,Playoff_Stats!B:B=$A1338)))"),"")</f>
        <v/>
      </c>
      <c r="K1338" s="11"/>
      <c r="L1338" s="12"/>
      <c r="M1338" s="11"/>
      <c r="N1338" s="11"/>
      <c r="O1338" s="13"/>
      <c r="P1338" s="14"/>
      <c r="Q1338" s="13"/>
      <c r="R1338" s="13"/>
      <c r="S1338" s="15"/>
      <c r="T1338" s="16"/>
      <c r="U1338" s="16"/>
      <c r="V1338" s="16"/>
      <c r="W1338" s="16"/>
      <c r="X1338" s="16"/>
      <c r="Y1338" s="11"/>
      <c r="Z1338" s="11"/>
      <c r="AA1338" s="11"/>
      <c r="AB1338" s="11"/>
      <c r="AC1338" s="11"/>
      <c r="AD1338" s="11"/>
    </row>
    <row r="1339">
      <c r="A1339" s="10"/>
      <c r="B1339" s="10"/>
      <c r="C1339" s="10"/>
      <c r="D1339" s="10"/>
      <c r="E1339" s="10"/>
      <c r="F1339" s="11"/>
      <c r="G1339" s="11"/>
      <c r="H1339" s="11"/>
      <c r="I1339" s="11"/>
      <c r="J1339" s="11" t="str">
        <f>IFERROR(__xludf.DUMMYFUNCTION("iferror(if($B1339="""", ,filter(Playoff_Stats!F:Z,Playoff_Stats!A:A=$B1339,Playoff_Stats!B:B=$A1339)))"),"")</f>
        <v/>
      </c>
      <c r="K1339" s="11"/>
      <c r="L1339" s="12"/>
      <c r="M1339" s="11"/>
      <c r="N1339" s="11"/>
      <c r="O1339" s="13"/>
      <c r="P1339" s="14"/>
      <c r="Q1339" s="13"/>
      <c r="R1339" s="13"/>
      <c r="S1339" s="15"/>
      <c r="T1339" s="16"/>
      <c r="U1339" s="16"/>
      <c r="V1339" s="16"/>
      <c r="W1339" s="16"/>
      <c r="X1339" s="16"/>
      <c r="Y1339" s="11"/>
      <c r="Z1339" s="11"/>
      <c r="AA1339" s="11"/>
      <c r="AB1339" s="11"/>
      <c r="AC1339" s="11"/>
      <c r="AD1339" s="11"/>
    </row>
    <row r="1340">
      <c r="A1340" s="10"/>
      <c r="B1340" s="10"/>
      <c r="C1340" s="10"/>
      <c r="D1340" s="10"/>
      <c r="E1340" s="10"/>
      <c r="F1340" s="11"/>
      <c r="G1340" s="11"/>
      <c r="H1340" s="11"/>
      <c r="I1340" s="11"/>
      <c r="J1340" s="11" t="str">
        <f>IFERROR(__xludf.DUMMYFUNCTION("iferror(if($B1340="""", ,filter(Playoff_Stats!F:Z,Playoff_Stats!A:A=$B1340,Playoff_Stats!B:B=$A1340)))"),"")</f>
        <v/>
      </c>
      <c r="K1340" s="11"/>
      <c r="L1340" s="12"/>
      <c r="M1340" s="11"/>
      <c r="N1340" s="11"/>
      <c r="O1340" s="13"/>
      <c r="P1340" s="14"/>
      <c r="Q1340" s="13"/>
      <c r="R1340" s="13"/>
      <c r="S1340" s="15"/>
      <c r="T1340" s="16"/>
      <c r="U1340" s="16"/>
      <c r="V1340" s="16"/>
      <c r="W1340" s="16"/>
      <c r="X1340" s="16"/>
      <c r="Y1340" s="11"/>
      <c r="Z1340" s="11"/>
      <c r="AA1340" s="11"/>
      <c r="AB1340" s="11"/>
      <c r="AC1340" s="11"/>
      <c r="AD1340" s="11"/>
    </row>
    <row r="1341">
      <c r="A1341" s="10"/>
      <c r="B1341" s="10"/>
      <c r="C1341" s="10"/>
      <c r="D1341" s="10"/>
      <c r="E1341" s="10"/>
      <c r="F1341" s="11"/>
      <c r="G1341" s="11"/>
      <c r="H1341" s="11"/>
      <c r="I1341" s="11"/>
      <c r="J1341" s="11" t="str">
        <f>IFERROR(__xludf.DUMMYFUNCTION("iferror(if($B1341="""", ,filter(Playoff_Stats!F:Z,Playoff_Stats!A:A=$B1341,Playoff_Stats!B:B=$A1341)))"),"")</f>
        <v/>
      </c>
      <c r="K1341" s="11"/>
      <c r="L1341" s="12"/>
      <c r="M1341" s="11"/>
      <c r="N1341" s="11"/>
      <c r="O1341" s="13"/>
      <c r="P1341" s="14"/>
      <c r="Q1341" s="13"/>
      <c r="R1341" s="13"/>
      <c r="S1341" s="15"/>
      <c r="T1341" s="16"/>
      <c r="U1341" s="16"/>
      <c r="V1341" s="16"/>
      <c r="W1341" s="16"/>
      <c r="X1341" s="16"/>
      <c r="Y1341" s="11"/>
      <c r="Z1341" s="11"/>
      <c r="AA1341" s="11"/>
      <c r="AB1341" s="11"/>
      <c r="AC1341" s="11"/>
      <c r="AD1341" s="11"/>
    </row>
    <row r="1342">
      <c r="A1342" s="10"/>
      <c r="B1342" s="10"/>
      <c r="C1342" s="10"/>
      <c r="D1342" s="10"/>
      <c r="E1342" s="10"/>
      <c r="F1342" s="11"/>
      <c r="G1342" s="11"/>
      <c r="H1342" s="11"/>
      <c r="I1342" s="11"/>
      <c r="J1342" s="11" t="str">
        <f>IFERROR(__xludf.DUMMYFUNCTION("iferror(if($B1342="""", ,filter(Playoff_Stats!F:Z,Playoff_Stats!A:A=$B1342,Playoff_Stats!B:B=$A1342)))"),"")</f>
        <v/>
      </c>
      <c r="K1342" s="11"/>
      <c r="L1342" s="12"/>
      <c r="M1342" s="11"/>
      <c r="N1342" s="11"/>
      <c r="O1342" s="13"/>
      <c r="P1342" s="14"/>
      <c r="Q1342" s="13"/>
      <c r="R1342" s="13"/>
      <c r="S1342" s="15"/>
      <c r="T1342" s="16"/>
      <c r="U1342" s="16"/>
      <c r="V1342" s="16"/>
      <c r="W1342" s="16"/>
      <c r="X1342" s="16"/>
      <c r="Y1342" s="11"/>
      <c r="Z1342" s="11"/>
      <c r="AA1342" s="11"/>
      <c r="AB1342" s="11"/>
      <c r="AC1342" s="11"/>
      <c r="AD1342" s="11"/>
    </row>
    <row r="1343">
      <c r="A1343" s="10"/>
      <c r="B1343" s="10"/>
      <c r="C1343" s="10"/>
      <c r="D1343" s="10"/>
      <c r="E1343" s="10"/>
      <c r="F1343" s="11"/>
      <c r="G1343" s="11"/>
      <c r="H1343" s="11"/>
      <c r="I1343" s="11"/>
      <c r="J1343" s="11" t="str">
        <f>IFERROR(__xludf.DUMMYFUNCTION("iferror(if($B1343="""", ,filter(Playoff_Stats!F:Z,Playoff_Stats!A:A=$B1343,Playoff_Stats!B:B=$A1343)))"),"")</f>
        <v/>
      </c>
      <c r="K1343" s="11"/>
      <c r="L1343" s="12"/>
      <c r="M1343" s="11"/>
      <c r="N1343" s="11"/>
      <c r="O1343" s="13"/>
      <c r="P1343" s="14"/>
      <c r="Q1343" s="13"/>
      <c r="R1343" s="13"/>
      <c r="S1343" s="15"/>
      <c r="T1343" s="16"/>
      <c r="U1343" s="16"/>
      <c r="V1343" s="16"/>
      <c r="W1343" s="16"/>
      <c r="X1343" s="16"/>
      <c r="Y1343" s="11"/>
      <c r="Z1343" s="11"/>
      <c r="AA1343" s="11"/>
      <c r="AB1343" s="11"/>
      <c r="AC1343" s="11"/>
      <c r="AD1343" s="11"/>
    </row>
    <row r="1344">
      <c r="A1344" s="10"/>
      <c r="B1344" s="10"/>
      <c r="C1344" s="10"/>
      <c r="D1344" s="10"/>
      <c r="E1344" s="10"/>
      <c r="F1344" s="11"/>
      <c r="G1344" s="11"/>
      <c r="H1344" s="11"/>
      <c r="I1344" s="11"/>
      <c r="J1344" s="11" t="str">
        <f>IFERROR(__xludf.DUMMYFUNCTION("iferror(if($B1344="""", ,filter(Playoff_Stats!F:Z,Playoff_Stats!A:A=$B1344,Playoff_Stats!B:B=$A1344)))"),"")</f>
        <v/>
      </c>
      <c r="K1344" s="11"/>
      <c r="L1344" s="12"/>
      <c r="M1344" s="11"/>
      <c r="N1344" s="11"/>
      <c r="O1344" s="13"/>
      <c r="P1344" s="14"/>
      <c r="Q1344" s="13"/>
      <c r="R1344" s="13"/>
      <c r="S1344" s="15"/>
      <c r="T1344" s="16"/>
      <c r="U1344" s="16"/>
      <c r="V1344" s="16"/>
      <c r="W1344" s="16"/>
      <c r="X1344" s="16"/>
      <c r="Y1344" s="11"/>
      <c r="Z1344" s="11"/>
      <c r="AA1344" s="11"/>
      <c r="AB1344" s="11"/>
      <c r="AC1344" s="11"/>
      <c r="AD1344" s="11"/>
    </row>
    <row r="1345">
      <c r="A1345" s="10"/>
      <c r="B1345" s="10"/>
      <c r="C1345" s="10"/>
      <c r="D1345" s="10"/>
      <c r="E1345" s="10"/>
      <c r="F1345" s="11"/>
      <c r="G1345" s="11"/>
      <c r="H1345" s="11"/>
      <c r="I1345" s="11"/>
      <c r="J1345" s="11" t="str">
        <f>IFERROR(__xludf.DUMMYFUNCTION("iferror(if($B1345="""", ,filter(Playoff_Stats!F:Z,Playoff_Stats!A:A=$B1345,Playoff_Stats!B:B=$A1345)))"),"")</f>
        <v/>
      </c>
      <c r="K1345" s="11"/>
      <c r="L1345" s="12"/>
      <c r="M1345" s="11"/>
      <c r="N1345" s="11"/>
      <c r="O1345" s="13"/>
      <c r="P1345" s="14"/>
      <c r="Q1345" s="13"/>
      <c r="R1345" s="13"/>
      <c r="S1345" s="15"/>
      <c r="T1345" s="16"/>
      <c r="U1345" s="16"/>
      <c r="V1345" s="16"/>
      <c r="W1345" s="16"/>
      <c r="X1345" s="16"/>
      <c r="Y1345" s="11"/>
      <c r="Z1345" s="11"/>
      <c r="AA1345" s="11"/>
      <c r="AB1345" s="11"/>
      <c r="AC1345" s="11"/>
      <c r="AD1345" s="11"/>
    </row>
    <row r="1346">
      <c r="A1346" s="10"/>
      <c r="B1346" s="10"/>
      <c r="C1346" s="10"/>
      <c r="D1346" s="10"/>
      <c r="E1346" s="10"/>
      <c r="F1346" s="11"/>
      <c r="G1346" s="11"/>
      <c r="H1346" s="11"/>
      <c r="I1346" s="11"/>
      <c r="J1346" s="11" t="str">
        <f>IFERROR(__xludf.DUMMYFUNCTION("iferror(if($B1346="""", ,filter(Playoff_Stats!F:Z,Playoff_Stats!A:A=$B1346,Playoff_Stats!B:B=$A1346)))"),"")</f>
        <v/>
      </c>
      <c r="K1346" s="11"/>
      <c r="L1346" s="12"/>
      <c r="M1346" s="11"/>
      <c r="N1346" s="11"/>
      <c r="O1346" s="13"/>
      <c r="P1346" s="14"/>
      <c r="Q1346" s="13"/>
      <c r="R1346" s="13"/>
      <c r="S1346" s="15"/>
      <c r="T1346" s="16"/>
      <c r="U1346" s="16"/>
      <c r="V1346" s="16"/>
      <c r="W1346" s="16"/>
      <c r="X1346" s="16"/>
      <c r="Y1346" s="11"/>
      <c r="Z1346" s="11"/>
      <c r="AA1346" s="11"/>
      <c r="AB1346" s="11"/>
      <c r="AC1346" s="11"/>
      <c r="AD1346" s="11"/>
    </row>
    <row r="1347">
      <c r="A1347" s="10"/>
      <c r="B1347" s="10"/>
      <c r="C1347" s="10"/>
      <c r="D1347" s="10"/>
      <c r="E1347" s="10"/>
      <c r="F1347" s="11"/>
      <c r="G1347" s="11"/>
      <c r="H1347" s="11"/>
      <c r="I1347" s="11"/>
      <c r="J1347" s="11" t="str">
        <f>IFERROR(__xludf.DUMMYFUNCTION("iferror(if($B1347="""", ,filter(Playoff_Stats!F:Z,Playoff_Stats!A:A=$B1347,Playoff_Stats!B:B=$A1347)))"),"")</f>
        <v/>
      </c>
      <c r="K1347" s="11"/>
      <c r="L1347" s="12"/>
      <c r="M1347" s="11"/>
      <c r="N1347" s="11"/>
      <c r="O1347" s="13"/>
      <c r="P1347" s="14"/>
      <c r="Q1347" s="13"/>
      <c r="R1347" s="13"/>
      <c r="S1347" s="15"/>
      <c r="T1347" s="16"/>
      <c r="U1347" s="16"/>
      <c r="V1347" s="16"/>
      <c r="W1347" s="16"/>
      <c r="X1347" s="16"/>
      <c r="Y1347" s="11"/>
      <c r="Z1347" s="11"/>
      <c r="AA1347" s="11"/>
      <c r="AB1347" s="11"/>
      <c r="AC1347" s="11"/>
      <c r="AD1347" s="11"/>
    </row>
    <row r="1348">
      <c r="A1348" s="10"/>
      <c r="B1348" s="10"/>
      <c r="C1348" s="10"/>
      <c r="D1348" s="10"/>
      <c r="E1348" s="10"/>
      <c r="F1348" s="11"/>
      <c r="G1348" s="11"/>
      <c r="H1348" s="11"/>
      <c r="I1348" s="11"/>
      <c r="J1348" s="11" t="str">
        <f>IFERROR(__xludf.DUMMYFUNCTION("iferror(if($B1348="""", ,filter(Playoff_Stats!F:Z,Playoff_Stats!A:A=$B1348,Playoff_Stats!B:B=$A1348)))"),"")</f>
        <v/>
      </c>
      <c r="K1348" s="11"/>
      <c r="L1348" s="12"/>
      <c r="M1348" s="11"/>
      <c r="N1348" s="11"/>
      <c r="O1348" s="13"/>
      <c r="P1348" s="14"/>
      <c r="Q1348" s="13"/>
      <c r="R1348" s="13"/>
      <c r="S1348" s="15"/>
      <c r="T1348" s="16"/>
      <c r="U1348" s="16"/>
      <c r="V1348" s="16"/>
      <c r="W1348" s="16"/>
      <c r="X1348" s="16"/>
      <c r="Y1348" s="11"/>
      <c r="Z1348" s="11"/>
      <c r="AA1348" s="11"/>
      <c r="AB1348" s="11"/>
      <c r="AC1348" s="11"/>
      <c r="AD1348" s="11"/>
    </row>
    <row r="1349">
      <c r="A1349" s="10"/>
      <c r="B1349" s="10"/>
      <c r="C1349" s="10"/>
      <c r="D1349" s="10"/>
      <c r="E1349" s="10"/>
      <c r="F1349" s="11"/>
      <c r="G1349" s="11"/>
      <c r="H1349" s="11"/>
      <c r="I1349" s="11"/>
      <c r="J1349" s="11" t="str">
        <f>IFERROR(__xludf.DUMMYFUNCTION("iferror(if($B1349="""", ,filter(Playoff_Stats!F:Z,Playoff_Stats!A:A=$B1349,Playoff_Stats!B:B=$A1349)))"),"")</f>
        <v/>
      </c>
      <c r="K1349" s="11"/>
      <c r="L1349" s="12"/>
      <c r="M1349" s="11"/>
      <c r="N1349" s="11"/>
      <c r="O1349" s="13"/>
      <c r="P1349" s="14"/>
      <c r="Q1349" s="13"/>
      <c r="R1349" s="13"/>
      <c r="S1349" s="15"/>
      <c r="T1349" s="16"/>
      <c r="U1349" s="16"/>
      <c r="V1349" s="16"/>
      <c r="W1349" s="16"/>
      <c r="X1349" s="16"/>
      <c r="Y1349" s="11"/>
      <c r="Z1349" s="11"/>
      <c r="AA1349" s="11"/>
      <c r="AB1349" s="11"/>
      <c r="AC1349" s="11"/>
      <c r="AD1349" s="11"/>
    </row>
    <row r="1350">
      <c r="A1350" s="10"/>
      <c r="B1350" s="10"/>
      <c r="C1350" s="10"/>
      <c r="D1350" s="10"/>
      <c r="E1350" s="10"/>
      <c r="F1350" s="11"/>
      <c r="G1350" s="11"/>
      <c r="H1350" s="11"/>
      <c r="I1350" s="11"/>
      <c r="J1350" s="11" t="str">
        <f>IFERROR(__xludf.DUMMYFUNCTION("iferror(if($B1350="""", ,filter(Playoff_Stats!F:Z,Playoff_Stats!A:A=$B1350,Playoff_Stats!B:B=$A1350)))"),"")</f>
        <v/>
      </c>
      <c r="K1350" s="11"/>
      <c r="L1350" s="12"/>
      <c r="M1350" s="11"/>
      <c r="N1350" s="11"/>
      <c r="O1350" s="13"/>
      <c r="P1350" s="14"/>
      <c r="Q1350" s="13"/>
      <c r="R1350" s="13"/>
      <c r="S1350" s="15"/>
      <c r="T1350" s="16"/>
      <c r="U1350" s="16"/>
      <c r="V1350" s="16"/>
      <c r="W1350" s="16"/>
      <c r="X1350" s="16"/>
      <c r="Y1350" s="11"/>
      <c r="Z1350" s="11"/>
      <c r="AA1350" s="11"/>
      <c r="AB1350" s="11"/>
      <c r="AC1350" s="11"/>
      <c r="AD1350" s="11"/>
    </row>
    <row r="1351">
      <c r="A1351" s="10"/>
      <c r="B1351" s="10"/>
      <c r="C1351" s="10"/>
      <c r="D1351" s="10"/>
      <c r="E1351" s="10"/>
      <c r="F1351" s="11"/>
      <c r="G1351" s="11"/>
      <c r="H1351" s="11"/>
      <c r="I1351" s="11"/>
      <c r="J1351" s="11" t="str">
        <f>IFERROR(__xludf.DUMMYFUNCTION("iferror(if($B1351="""", ,filter(Playoff_Stats!F:Z,Playoff_Stats!A:A=$B1351,Playoff_Stats!B:B=$A1351)))"),"")</f>
        <v/>
      </c>
      <c r="K1351" s="11"/>
      <c r="L1351" s="12"/>
      <c r="M1351" s="11"/>
      <c r="N1351" s="11"/>
      <c r="O1351" s="13"/>
      <c r="P1351" s="14"/>
      <c r="Q1351" s="13"/>
      <c r="R1351" s="13"/>
      <c r="S1351" s="15"/>
      <c r="T1351" s="16"/>
      <c r="U1351" s="16"/>
      <c r="V1351" s="16"/>
      <c r="W1351" s="16"/>
      <c r="X1351" s="16"/>
      <c r="Y1351" s="11"/>
      <c r="Z1351" s="11"/>
      <c r="AA1351" s="11"/>
      <c r="AB1351" s="11"/>
      <c r="AC1351" s="11"/>
      <c r="AD1351" s="11"/>
    </row>
    <row r="1352">
      <c r="A1352" s="10"/>
      <c r="B1352" s="10"/>
      <c r="C1352" s="10"/>
      <c r="D1352" s="10"/>
      <c r="E1352" s="10"/>
      <c r="F1352" s="11"/>
      <c r="G1352" s="11"/>
      <c r="H1352" s="11"/>
      <c r="I1352" s="11"/>
      <c r="J1352" s="11" t="str">
        <f>IFERROR(__xludf.DUMMYFUNCTION("iferror(if($B1352="""", ,filter(Playoff_Stats!F:Z,Playoff_Stats!A:A=$B1352,Playoff_Stats!B:B=$A1352)))"),"")</f>
        <v/>
      </c>
      <c r="K1352" s="11"/>
      <c r="L1352" s="12"/>
      <c r="M1352" s="11"/>
      <c r="N1352" s="11"/>
      <c r="O1352" s="13"/>
      <c r="P1352" s="14"/>
      <c r="Q1352" s="13"/>
      <c r="R1352" s="13"/>
      <c r="S1352" s="15"/>
      <c r="T1352" s="16"/>
      <c r="U1352" s="16"/>
      <c r="V1352" s="16"/>
      <c r="W1352" s="16"/>
      <c r="X1352" s="16"/>
      <c r="Y1352" s="11"/>
      <c r="Z1352" s="11"/>
      <c r="AA1352" s="11"/>
      <c r="AB1352" s="11"/>
      <c r="AC1352" s="11"/>
      <c r="AD1352" s="11"/>
    </row>
    <row r="1353">
      <c r="A1353" s="10"/>
      <c r="B1353" s="10"/>
      <c r="C1353" s="10"/>
      <c r="D1353" s="10"/>
      <c r="E1353" s="10"/>
      <c r="F1353" s="11"/>
      <c r="G1353" s="11"/>
      <c r="H1353" s="11"/>
      <c r="I1353" s="11"/>
      <c r="J1353" s="11" t="str">
        <f>IFERROR(__xludf.DUMMYFUNCTION("iferror(if($B1353="""", ,filter(Playoff_Stats!F:Z,Playoff_Stats!A:A=$B1353,Playoff_Stats!B:B=$A1353)))"),"")</f>
        <v/>
      </c>
      <c r="K1353" s="11"/>
      <c r="L1353" s="12"/>
      <c r="M1353" s="11"/>
      <c r="N1353" s="11"/>
      <c r="O1353" s="13"/>
      <c r="P1353" s="14"/>
      <c r="Q1353" s="13"/>
      <c r="R1353" s="13"/>
      <c r="S1353" s="15"/>
      <c r="T1353" s="16"/>
      <c r="U1353" s="16"/>
      <c r="V1353" s="16"/>
      <c r="W1353" s="16"/>
      <c r="X1353" s="16"/>
      <c r="Y1353" s="11"/>
      <c r="Z1353" s="11"/>
      <c r="AA1353" s="11"/>
      <c r="AB1353" s="11"/>
      <c r="AC1353" s="11"/>
      <c r="AD1353" s="11"/>
    </row>
    <row r="1354">
      <c r="A1354" s="10"/>
      <c r="B1354" s="10"/>
      <c r="C1354" s="10"/>
      <c r="D1354" s="10"/>
      <c r="E1354" s="10"/>
      <c r="F1354" s="11"/>
      <c r="G1354" s="11"/>
      <c r="H1354" s="11"/>
      <c r="I1354" s="11"/>
      <c r="J1354" s="11" t="str">
        <f>IFERROR(__xludf.DUMMYFUNCTION("iferror(if($B1354="""", ,filter(Playoff_Stats!F:Z,Playoff_Stats!A:A=$B1354,Playoff_Stats!B:B=$A1354)))"),"")</f>
        <v/>
      </c>
      <c r="K1354" s="11"/>
      <c r="L1354" s="12"/>
      <c r="M1354" s="11"/>
      <c r="N1354" s="11"/>
      <c r="O1354" s="13"/>
      <c r="P1354" s="14"/>
      <c r="Q1354" s="13"/>
      <c r="R1354" s="13"/>
      <c r="S1354" s="15"/>
      <c r="T1354" s="16"/>
      <c r="U1354" s="16"/>
      <c r="V1354" s="16"/>
      <c r="W1354" s="16"/>
      <c r="X1354" s="16"/>
      <c r="Y1354" s="11"/>
      <c r="Z1354" s="11"/>
      <c r="AA1354" s="11"/>
      <c r="AB1354" s="11"/>
      <c r="AC1354" s="11"/>
      <c r="AD1354" s="11"/>
    </row>
    <row r="1355">
      <c r="A1355" s="10"/>
      <c r="B1355" s="10"/>
      <c r="C1355" s="10"/>
      <c r="D1355" s="10"/>
      <c r="E1355" s="10"/>
      <c r="F1355" s="11"/>
      <c r="G1355" s="11"/>
      <c r="H1355" s="11"/>
      <c r="I1355" s="11"/>
      <c r="J1355" s="11" t="str">
        <f>IFERROR(__xludf.DUMMYFUNCTION("iferror(if($B1355="""", ,filter(Playoff_Stats!F:Z,Playoff_Stats!A:A=$B1355,Playoff_Stats!B:B=$A1355)))"),"")</f>
        <v/>
      </c>
      <c r="K1355" s="11"/>
      <c r="L1355" s="12"/>
      <c r="M1355" s="11"/>
      <c r="N1355" s="11"/>
      <c r="O1355" s="13"/>
      <c r="P1355" s="14"/>
      <c r="Q1355" s="13"/>
      <c r="R1355" s="13"/>
      <c r="S1355" s="15"/>
      <c r="T1355" s="16"/>
      <c r="U1355" s="16"/>
      <c r="V1355" s="16"/>
      <c r="W1355" s="16"/>
      <c r="X1355" s="16"/>
      <c r="Y1355" s="11"/>
      <c r="Z1355" s="11"/>
      <c r="AA1355" s="11"/>
      <c r="AB1355" s="11"/>
      <c r="AC1355" s="11"/>
      <c r="AD1355" s="11"/>
    </row>
    <row r="1356">
      <c r="A1356" s="10"/>
      <c r="B1356" s="10"/>
      <c r="C1356" s="10"/>
      <c r="D1356" s="10"/>
      <c r="E1356" s="10"/>
      <c r="F1356" s="11"/>
      <c r="G1356" s="11"/>
      <c r="H1356" s="11"/>
      <c r="I1356" s="11"/>
      <c r="J1356" s="11" t="str">
        <f>IFERROR(__xludf.DUMMYFUNCTION("iferror(if($B1356="""", ,filter(Playoff_Stats!F:Z,Playoff_Stats!A:A=$B1356,Playoff_Stats!B:B=$A1356)))"),"")</f>
        <v/>
      </c>
      <c r="K1356" s="11"/>
      <c r="L1356" s="12"/>
      <c r="M1356" s="11"/>
      <c r="N1356" s="11"/>
      <c r="O1356" s="13"/>
      <c r="P1356" s="14"/>
      <c r="Q1356" s="13"/>
      <c r="R1356" s="13"/>
      <c r="S1356" s="15"/>
      <c r="T1356" s="16"/>
      <c r="U1356" s="16"/>
      <c r="V1356" s="16"/>
      <c r="W1356" s="16"/>
      <c r="X1356" s="16"/>
      <c r="Y1356" s="11"/>
      <c r="Z1356" s="11"/>
      <c r="AA1356" s="11"/>
      <c r="AB1356" s="11"/>
      <c r="AC1356" s="11"/>
      <c r="AD1356" s="11"/>
    </row>
    <row r="1357">
      <c r="A1357" s="10"/>
      <c r="B1357" s="10"/>
      <c r="C1357" s="10"/>
      <c r="D1357" s="10"/>
      <c r="E1357" s="10"/>
      <c r="F1357" s="11"/>
      <c r="G1357" s="11"/>
      <c r="H1357" s="11"/>
      <c r="I1357" s="11"/>
      <c r="J1357" s="11" t="str">
        <f>IFERROR(__xludf.DUMMYFUNCTION("iferror(if($B1357="""", ,filter(Playoff_Stats!F:Z,Playoff_Stats!A:A=$B1357,Playoff_Stats!B:B=$A1357)))"),"")</f>
        <v/>
      </c>
      <c r="K1357" s="11"/>
      <c r="L1357" s="12"/>
      <c r="M1357" s="11"/>
      <c r="N1357" s="11"/>
      <c r="O1357" s="13"/>
      <c r="P1357" s="14"/>
      <c r="Q1357" s="13"/>
      <c r="R1357" s="13"/>
      <c r="S1357" s="15"/>
      <c r="T1357" s="16"/>
      <c r="U1357" s="16"/>
      <c r="V1357" s="16"/>
      <c r="W1357" s="16"/>
      <c r="X1357" s="16"/>
      <c r="Y1357" s="11"/>
      <c r="Z1357" s="11"/>
      <c r="AA1357" s="11"/>
      <c r="AB1357" s="11"/>
      <c r="AC1357" s="11"/>
      <c r="AD1357" s="11"/>
    </row>
    <row r="1358">
      <c r="A1358" s="10"/>
      <c r="B1358" s="10"/>
      <c r="C1358" s="10"/>
      <c r="D1358" s="10"/>
      <c r="E1358" s="10"/>
      <c r="F1358" s="11"/>
      <c r="G1358" s="11"/>
      <c r="H1358" s="11"/>
      <c r="I1358" s="11"/>
      <c r="J1358" s="11" t="str">
        <f>IFERROR(__xludf.DUMMYFUNCTION("iferror(if($B1358="""", ,filter(Playoff_Stats!F:Z,Playoff_Stats!A:A=$B1358,Playoff_Stats!B:B=$A1358)))"),"")</f>
        <v/>
      </c>
      <c r="K1358" s="11"/>
      <c r="L1358" s="12"/>
      <c r="M1358" s="11"/>
      <c r="N1358" s="11"/>
      <c r="O1358" s="13"/>
      <c r="P1358" s="14"/>
      <c r="Q1358" s="13"/>
      <c r="R1358" s="13"/>
      <c r="S1358" s="15"/>
      <c r="T1358" s="16"/>
      <c r="U1358" s="16"/>
      <c r="V1358" s="16"/>
      <c r="W1358" s="16"/>
      <c r="X1358" s="16"/>
      <c r="Y1358" s="11"/>
      <c r="Z1358" s="11"/>
      <c r="AA1358" s="11"/>
      <c r="AB1358" s="11"/>
      <c r="AC1358" s="11"/>
      <c r="AD1358" s="11"/>
    </row>
    <row r="1359">
      <c r="A1359" s="10"/>
      <c r="B1359" s="10"/>
      <c r="C1359" s="10"/>
      <c r="D1359" s="10"/>
      <c r="E1359" s="10"/>
      <c r="F1359" s="11"/>
      <c r="G1359" s="11"/>
      <c r="H1359" s="11"/>
      <c r="I1359" s="11"/>
      <c r="J1359" s="11" t="str">
        <f>IFERROR(__xludf.DUMMYFUNCTION("iferror(if($B1359="""", ,filter(Playoff_Stats!F:Z,Playoff_Stats!A:A=$B1359,Playoff_Stats!B:B=$A1359)))"),"")</f>
        <v/>
      </c>
      <c r="K1359" s="11"/>
      <c r="L1359" s="12"/>
      <c r="M1359" s="11"/>
      <c r="N1359" s="11"/>
      <c r="O1359" s="13"/>
      <c r="P1359" s="14"/>
      <c r="Q1359" s="13"/>
      <c r="R1359" s="13"/>
      <c r="S1359" s="15"/>
      <c r="T1359" s="16"/>
      <c r="U1359" s="16"/>
      <c r="V1359" s="16"/>
      <c r="W1359" s="16"/>
      <c r="X1359" s="16"/>
      <c r="Y1359" s="11"/>
      <c r="Z1359" s="11"/>
      <c r="AA1359" s="11"/>
      <c r="AB1359" s="11"/>
      <c r="AC1359" s="11"/>
      <c r="AD1359" s="11"/>
    </row>
    <row r="1360">
      <c r="A1360" s="10"/>
      <c r="B1360" s="10"/>
      <c r="C1360" s="10"/>
      <c r="D1360" s="10"/>
      <c r="E1360" s="10"/>
      <c r="F1360" s="11"/>
      <c r="G1360" s="11"/>
      <c r="H1360" s="11"/>
      <c r="I1360" s="11"/>
      <c r="J1360" s="11" t="str">
        <f>IFERROR(__xludf.DUMMYFUNCTION("iferror(if($B1360="""", ,filter(Playoff_Stats!F:Z,Playoff_Stats!A:A=$B1360,Playoff_Stats!B:B=$A1360)))"),"")</f>
        <v/>
      </c>
      <c r="K1360" s="11"/>
      <c r="L1360" s="12"/>
      <c r="M1360" s="11"/>
      <c r="N1360" s="11"/>
      <c r="O1360" s="13"/>
      <c r="P1360" s="14"/>
      <c r="Q1360" s="13"/>
      <c r="R1360" s="13"/>
      <c r="S1360" s="15"/>
      <c r="T1360" s="16"/>
      <c r="U1360" s="16"/>
      <c r="V1360" s="16"/>
      <c r="W1360" s="16"/>
      <c r="X1360" s="16"/>
      <c r="Y1360" s="11"/>
      <c r="Z1360" s="11"/>
      <c r="AA1360" s="11"/>
      <c r="AB1360" s="11"/>
      <c r="AC1360" s="11"/>
      <c r="AD1360" s="11"/>
    </row>
    <row r="1361">
      <c r="A1361" s="10"/>
      <c r="B1361" s="10"/>
      <c r="C1361" s="10"/>
      <c r="D1361" s="10"/>
      <c r="E1361" s="10"/>
      <c r="F1361" s="11"/>
      <c r="G1361" s="11"/>
      <c r="H1361" s="11"/>
      <c r="I1361" s="11"/>
      <c r="J1361" s="11" t="str">
        <f>IFERROR(__xludf.DUMMYFUNCTION("iferror(if($B1361="""", ,filter(Playoff_Stats!F:Z,Playoff_Stats!A:A=$B1361,Playoff_Stats!B:B=$A1361)))"),"")</f>
        <v/>
      </c>
      <c r="K1361" s="11"/>
      <c r="L1361" s="12"/>
      <c r="M1361" s="11"/>
      <c r="N1361" s="11"/>
      <c r="O1361" s="13"/>
      <c r="P1361" s="14"/>
      <c r="Q1361" s="13"/>
      <c r="R1361" s="13"/>
      <c r="S1361" s="15"/>
      <c r="T1361" s="16"/>
      <c r="U1361" s="16"/>
      <c r="V1361" s="16"/>
      <c r="W1361" s="16"/>
      <c r="X1361" s="16"/>
      <c r="Y1361" s="11"/>
      <c r="Z1361" s="11"/>
      <c r="AA1361" s="11"/>
      <c r="AB1361" s="11"/>
      <c r="AC1361" s="11"/>
      <c r="AD1361" s="11"/>
    </row>
    <row r="1362">
      <c r="A1362" s="10"/>
      <c r="B1362" s="10"/>
      <c r="C1362" s="10"/>
      <c r="D1362" s="10"/>
      <c r="E1362" s="10"/>
      <c r="F1362" s="11"/>
      <c r="G1362" s="11"/>
      <c r="H1362" s="11"/>
      <c r="I1362" s="11"/>
      <c r="J1362" s="11" t="str">
        <f>IFERROR(__xludf.DUMMYFUNCTION("iferror(if($B1362="""", ,filter(Playoff_Stats!F:Z,Playoff_Stats!A:A=$B1362,Playoff_Stats!B:B=$A1362)))"),"")</f>
        <v/>
      </c>
      <c r="K1362" s="11"/>
      <c r="L1362" s="12"/>
      <c r="M1362" s="11"/>
      <c r="N1362" s="11"/>
      <c r="O1362" s="13"/>
      <c r="P1362" s="14"/>
      <c r="Q1362" s="13"/>
      <c r="R1362" s="13"/>
      <c r="S1362" s="15"/>
      <c r="T1362" s="16"/>
      <c r="U1362" s="16"/>
      <c r="V1362" s="16"/>
      <c r="W1362" s="16"/>
      <c r="X1362" s="16"/>
      <c r="Y1362" s="11"/>
      <c r="Z1362" s="11"/>
      <c r="AA1362" s="11"/>
      <c r="AB1362" s="11"/>
      <c r="AC1362" s="11"/>
      <c r="AD1362" s="11"/>
    </row>
    <row r="1363">
      <c r="A1363" s="10"/>
      <c r="B1363" s="10"/>
      <c r="C1363" s="10"/>
      <c r="D1363" s="10"/>
      <c r="E1363" s="10"/>
      <c r="F1363" s="11"/>
      <c r="G1363" s="11"/>
      <c r="H1363" s="11"/>
      <c r="I1363" s="11"/>
      <c r="J1363" s="11" t="str">
        <f>IFERROR(__xludf.DUMMYFUNCTION("iferror(if($B1363="""", ,filter(Playoff_Stats!F:Z,Playoff_Stats!A:A=$B1363,Playoff_Stats!B:B=$A1363)))"),"")</f>
        <v/>
      </c>
      <c r="K1363" s="11"/>
      <c r="L1363" s="12"/>
      <c r="M1363" s="11"/>
      <c r="N1363" s="11"/>
      <c r="O1363" s="13"/>
      <c r="P1363" s="14"/>
      <c r="Q1363" s="13"/>
      <c r="R1363" s="13"/>
      <c r="S1363" s="15"/>
      <c r="T1363" s="16"/>
      <c r="U1363" s="16"/>
      <c r="V1363" s="16"/>
      <c r="W1363" s="16"/>
      <c r="X1363" s="16"/>
      <c r="Y1363" s="11"/>
      <c r="Z1363" s="11"/>
      <c r="AA1363" s="11"/>
      <c r="AB1363" s="11"/>
      <c r="AC1363" s="11"/>
      <c r="AD1363" s="11"/>
    </row>
    <row r="1364">
      <c r="A1364" s="10"/>
      <c r="B1364" s="10"/>
      <c r="C1364" s="10"/>
      <c r="D1364" s="10"/>
      <c r="E1364" s="10"/>
      <c r="F1364" s="11"/>
      <c r="G1364" s="11"/>
      <c r="H1364" s="11"/>
      <c r="I1364" s="11"/>
      <c r="J1364" s="11" t="str">
        <f>IFERROR(__xludf.DUMMYFUNCTION("iferror(if($B1364="""", ,filter(Playoff_Stats!F:Z,Playoff_Stats!A:A=$B1364,Playoff_Stats!B:B=$A1364)))"),"")</f>
        <v/>
      </c>
      <c r="K1364" s="11"/>
      <c r="L1364" s="12"/>
      <c r="M1364" s="11"/>
      <c r="N1364" s="11"/>
      <c r="O1364" s="13"/>
      <c r="P1364" s="14"/>
      <c r="Q1364" s="13"/>
      <c r="R1364" s="13"/>
      <c r="S1364" s="15"/>
      <c r="T1364" s="16"/>
      <c r="U1364" s="16"/>
      <c r="V1364" s="16"/>
      <c r="W1364" s="16"/>
      <c r="X1364" s="16"/>
      <c r="Y1364" s="11"/>
      <c r="Z1364" s="11"/>
      <c r="AA1364" s="11"/>
      <c r="AB1364" s="11"/>
      <c r="AC1364" s="11"/>
      <c r="AD1364" s="11"/>
    </row>
    <row r="1365">
      <c r="A1365" s="10"/>
      <c r="B1365" s="10"/>
      <c r="C1365" s="10"/>
      <c r="D1365" s="10"/>
      <c r="E1365" s="10"/>
      <c r="F1365" s="11"/>
      <c r="G1365" s="11"/>
      <c r="H1365" s="11"/>
      <c r="I1365" s="11"/>
      <c r="J1365" s="11" t="str">
        <f>IFERROR(__xludf.DUMMYFUNCTION("iferror(if($B1365="""", ,filter(Playoff_Stats!F:Z,Playoff_Stats!A:A=$B1365,Playoff_Stats!B:B=$A1365)))"),"")</f>
        <v/>
      </c>
      <c r="K1365" s="11"/>
      <c r="L1365" s="12"/>
      <c r="M1365" s="11"/>
      <c r="N1365" s="11"/>
      <c r="O1365" s="13"/>
      <c r="P1365" s="14"/>
      <c r="Q1365" s="13"/>
      <c r="R1365" s="13"/>
      <c r="S1365" s="15"/>
      <c r="T1365" s="16"/>
      <c r="U1365" s="16"/>
      <c r="V1365" s="16"/>
      <c r="W1365" s="16"/>
      <c r="X1365" s="16"/>
      <c r="Y1365" s="11"/>
      <c r="Z1365" s="11"/>
      <c r="AA1365" s="11"/>
      <c r="AB1365" s="11"/>
      <c r="AC1365" s="11"/>
      <c r="AD1365" s="11"/>
    </row>
    <row r="1366">
      <c r="A1366" s="10"/>
      <c r="B1366" s="10"/>
      <c r="C1366" s="10"/>
      <c r="D1366" s="10"/>
      <c r="E1366" s="10"/>
      <c r="F1366" s="11"/>
      <c r="G1366" s="11"/>
      <c r="H1366" s="11"/>
      <c r="I1366" s="11"/>
      <c r="J1366" s="11" t="str">
        <f>IFERROR(__xludf.DUMMYFUNCTION("iferror(if($B1366="""", ,filter(Playoff_Stats!F:Z,Playoff_Stats!A:A=$B1366,Playoff_Stats!B:B=$A1366)))"),"")</f>
        <v/>
      </c>
      <c r="K1366" s="11"/>
      <c r="L1366" s="12"/>
      <c r="M1366" s="11"/>
      <c r="N1366" s="11"/>
      <c r="O1366" s="13"/>
      <c r="P1366" s="14"/>
      <c r="Q1366" s="13"/>
      <c r="R1366" s="13"/>
      <c r="S1366" s="15"/>
      <c r="T1366" s="16"/>
      <c r="U1366" s="16"/>
      <c r="V1366" s="16"/>
      <c r="W1366" s="16"/>
      <c r="X1366" s="16"/>
      <c r="Y1366" s="11"/>
      <c r="Z1366" s="11"/>
      <c r="AA1366" s="11"/>
      <c r="AB1366" s="11"/>
      <c r="AC1366" s="11"/>
      <c r="AD1366" s="11"/>
    </row>
    <row r="1367">
      <c r="A1367" s="10"/>
      <c r="B1367" s="10"/>
      <c r="C1367" s="10"/>
      <c r="D1367" s="10"/>
      <c r="E1367" s="10"/>
      <c r="F1367" s="11"/>
      <c r="G1367" s="11"/>
      <c r="H1367" s="11"/>
      <c r="I1367" s="11"/>
      <c r="J1367" s="11" t="str">
        <f>IFERROR(__xludf.DUMMYFUNCTION("iferror(if($B1367="""", ,filter(Playoff_Stats!F:Z,Playoff_Stats!A:A=$B1367,Playoff_Stats!B:B=$A1367)))"),"")</f>
        <v/>
      </c>
      <c r="K1367" s="11"/>
      <c r="L1367" s="12"/>
      <c r="M1367" s="11"/>
      <c r="N1367" s="11"/>
      <c r="O1367" s="13"/>
      <c r="P1367" s="14"/>
      <c r="Q1367" s="13"/>
      <c r="R1367" s="13"/>
      <c r="S1367" s="15"/>
      <c r="T1367" s="16"/>
      <c r="U1367" s="16"/>
      <c r="V1367" s="16"/>
      <c r="W1367" s="16"/>
      <c r="X1367" s="16"/>
      <c r="Y1367" s="11"/>
      <c r="Z1367" s="11"/>
      <c r="AA1367" s="11"/>
      <c r="AB1367" s="11"/>
      <c r="AC1367" s="11"/>
      <c r="AD1367" s="11"/>
    </row>
    <row r="1368">
      <c r="A1368" s="10"/>
      <c r="B1368" s="10"/>
      <c r="C1368" s="10"/>
      <c r="D1368" s="10"/>
      <c r="E1368" s="10"/>
      <c r="F1368" s="11"/>
      <c r="G1368" s="11"/>
      <c r="H1368" s="11"/>
      <c r="I1368" s="11"/>
      <c r="J1368" s="11" t="str">
        <f>IFERROR(__xludf.DUMMYFUNCTION("iferror(if($B1368="""", ,filter(Playoff_Stats!F:Z,Playoff_Stats!A:A=$B1368,Playoff_Stats!B:B=$A1368)))"),"")</f>
        <v/>
      </c>
      <c r="K1368" s="11"/>
      <c r="L1368" s="12"/>
      <c r="M1368" s="11"/>
      <c r="N1368" s="11"/>
      <c r="O1368" s="13"/>
      <c r="P1368" s="14"/>
      <c r="Q1368" s="13"/>
      <c r="R1368" s="13"/>
      <c r="S1368" s="15"/>
      <c r="T1368" s="16"/>
      <c r="U1368" s="16"/>
      <c r="V1368" s="16"/>
      <c r="W1368" s="16"/>
      <c r="X1368" s="16"/>
      <c r="Y1368" s="11"/>
      <c r="Z1368" s="11"/>
      <c r="AA1368" s="11"/>
      <c r="AB1368" s="11"/>
      <c r="AC1368" s="11"/>
      <c r="AD1368" s="11"/>
    </row>
    <row r="1369">
      <c r="A1369" s="10"/>
      <c r="B1369" s="10"/>
      <c r="C1369" s="10"/>
      <c r="D1369" s="10"/>
      <c r="E1369" s="10"/>
      <c r="F1369" s="11"/>
      <c r="G1369" s="11"/>
      <c r="H1369" s="11"/>
      <c r="I1369" s="11"/>
      <c r="J1369" s="11" t="str">
        <f>IFERROR(__xludf.DUMMYFUNCTION("iferror(if($B1369="""", ,filter(Playoff_Stats!F:Z,Playoff_Stats!A:A=$B1369,Playoff_Stats!B:B=$A1369)))"),"")</f>
        <v/>
      </c>
      <c r="K1369" s="11"/>
      <c r="L1369" s="12"/>
      <c r="M1369" s="11"/>
      <c r="N1369" s="11"/>
      <c r="O1369" s="13"/>
      <c r="P1369" s="14"/>
      <c r="Q1369" s="13"/>
      <c r="R1369" s="13"/>
      <c r="S1369" s="15"/>
      <c r="T1369" s="16"/>
      <c r="U1369" s="16"/>
      <c r="V1369" s="16"/>
      <c r="W1369" s="16"/>
      <c r="X1369" s="16"/>
      <c r="Y1369" s="11"/>
      <c r="Z1369" s="11"/>
      <c r="AA1369" s="11"/>
      <c r="AB1369" s="11"/>
      <c r="AC1369" s="11"/>
      <c r="AD1369" s="11"/>
    </row>
    <row r="1370">
      <c r="A1370" s="10"/>
      <c r="B1370" s="10"/>
      <c r="C1370" s="10"/>
      <c r="D1370" s="10"/>
      <c r="E1370" s="10"/>
      <c r="F1370" s="11"/>
      <c r="G1370" s="11"/>
      <c r="H1370" s="11"/>
      <c r="I1370" s="11"/>
      <c r="J1370" s="11" t="str">
        <f>IFERROR(__xludf.DUMMYFUNCTION("iferror(if($B1370="""", ,filter(Playoff_Stats!F:Z,Playoff_Stats!A:A=$B1370,Playoff_Stats!B:B=$A1370)))"),"")</f>
        <v/>
      </c>
      <c r="K1370" s="11"/>
      <c r="L1370" s="12"/>
      <c r="M1370" s="11"/>
      <c r="N1370" s="11"/>
      <c r="O1370" s="13"/>
      <c r="P1370" s="14"/>
      <c r="Q1370" s="13"/>
      <c r="R1370" s="13"/>
      <c r="S1370" s="15"/>
      <c r="T1370" s="16"/>
      <c r="U1370" s="16"/>
      <c r="V1370" s="16"/>
      <c r="W1370" s="16"/>
      <c r="X1370" s="16"/>
      <c r="Y1370" s="11"/>
      <c r="Z1370" s="11"/>
      <c r="AA1370" s="11"/>
      <c r="AB1370" s="11"/>
      <c r="AC1370" s="11"/>
      <c r="AD1370" s="11"/>
    </row>
    <row r="1371">
      <c r="A1371" s="10"/>
      <c r="B1371" s="10"/>
      <c r="C1371" s="10"/>
      <c r="D1371" s="10"/>
      <c r="E1371" s="10"/>
      <c r="F1371" s="11"/>
      <c r="G1371" s="11"/>
      <c r="H1371" s="11"/>
      <c r="I1371" s="11"/>
      <c r="J1371" s="11" t="str">
        <f>IFERROR(__xludf.DUMMYFUNCTION("iferror(if($B1371="""", ,filter(Playoff_Stats!F:Z,Playoff_Stats!A:A=$B1371,Playoff_Stats!B:B=$A1371)))"),"")</f>
        <v/>
      </c>
      <c r="K1371" s="11"/>
      <c r="L1371" s="12"/>
      <c r="M1371" s="11"/>
      <c r="N1371" s="11"/>
      <c r="O1371" s="13"/>
      <c r="P1371" s="14"/>
      <c r="Q1371" s="13"/>
      <c r="R1371" s="13"/>
      <c r="S1371" s="15"/>
      <c r="T1371" s="16"/>
      <c r="U1371" s="16"/>
      <c r="V1371" s="16"/>
      <c r="W1371" s="16"/>
      <c r="X1371" s="16"/>
      <c r="Y1371" s="11"/>
      <c r="Z1371" s="11"/>
      <c r="AA1371" s="11"/>
      <c r="AB1371" s="11"/>
      <c r="AC1371" s="11"/>
      <c r="AD1371" s="11"/>
    </row>
    <row r="1372">
      <c r="A1372" s="10"/>
      <c r="B1372" s="10"/>
      <c r="C1372" s="10"/>
      <c r="D1372" s="10"/>
      <c r="E1372" s="10"/>
      <c r="F1372" s="11"/>
      <c r="G1372" s="11"/>
      <c r="H1372" s="11"/>
      <c r="I1372" s="11"/>
      <c r="J1372" s="11" t="str">
        <f>IFERROR(__xludf.DUMMYFUNCTION("iferror(if($B1372="""", ,filter(Playoff_Stats!F:Z,Playoff_Stats!A:A=$B1372,Playoff_Stats!B:B=$A1372)))"),"")</f>
        <v/>
      </c>
      <c r="K1372" s="11"/>
      <c r="L1372" s="12"/>
      <c r="M1372" s="11"/>
      <c r="N1372" s="11"/>
      <c r="O1372" s="13"/>
      <c r="P1372" s="14"/>
      <c r="Q1372" s="13"/>
      <c r="R1372" s="13"/>
      <c r="S1372" s="15"/>
      <c r="T1372" s="16"/>
      <c r="U1372" s="16"/>
      <c r="V1372" s="16"/>
      <c r="W1372" s="16"/>
      <c r="X1372" s="16"/>
      <c r="Y1372" s="11"/>
      <c r="Z1372" s="11"/>
      <c r="AA1372" s="11"/>
      <c r="AB1372" s="11"/>
      <c r="AC1372" s="11"/>
      <c r="AD1372" s="11"/>
    </row>
    <row r="1373">
      <c r="A1373" s="10"/>
      <c r="B1373" s="10"/>
      <c r="C1373" s="10"/>
      <c r="D1373" s="10"/>
      <c r="E1373" s="10"/>
      <c r="F1373" s="11"/>
      <c r="G1373" s="11"/>
      <c r="H1373" s="11"/>
      <c r="I1373" s="11"/>
      <c r="J1373" s="11" t="str">
        <f>IFERROR(__xludf.DUMMYFUNCTION("iferror(if($B1373="""", ,filter(Playoff_Stats!F:Z,Playoff_Stats!A:A=$B1373,Playoff_Stats!B:B=$A1373)))"),"")</f>
        <v/>
      </c>
      <c r="K1373" s="11"/>
      <c r="L1373" s="12"/>
      <c r="M1373" s="11"/>
      <c r="N1373" s="11"/>
      <c r="O1373" s="13"/>
      <c r="P1373" s="14"/>
      <c r="Q1373" s="13"/>
      <c r="R1373" s="13"/>
      <c r="S1373" s="15"/>
      <c r="T1373" s="16"/>
      <c r="U1373" s="16"/>
      <c r="V1373" s="16"/>
      <c r="W1373" s="16"/>
      <c r="X1373" s="16"/>
      <c r="Y1373" s="11"/>
      <c r="Z1373" s="11"/>
      <c r="AA1373" s="11"/>
      <c r="AB1373" s="11"/>
      <c r="AC1373" s="11"/>
      <c r="AD1373" s="11"/>
    </row>
    <row r="1374">
      <c r="A1374" s="10"/>
      <c r="B1374" s="10"/>
      <c r="C1374" s="10"/>
      <c r="D1374" s="10"/>
      <c r="E1374" s="10"/>
      <c r="F1374" s="11"/>
      <c r="G1374" s="11"/>
      <c r="H1374" s="11"/>
      <c r="I1374" s="11"/>
      <c r="J1374" s="11" t="str">
        <f>IFERROR(__xludf.DUMMYFUNCTION("iferror(if($B1374="""", ,filter(Playoff_Stats!F:Z,Playoff_Stats!A:A=$B1374,Playoff_Stats!B:B=$A1374)))"),"")</f>
        <v/>
      </c>
      <c r="K1374" s="11"/>
      <c r="L1374" s="12"/>
      <c r="M1374" s="11"/>
      <c r="N1374" s="11"/>
      <c r="O1374" s="13"/>
      <c r="P1374" s="14"/>
      <c r="Q1374" s="13"/>
      <c r="R1374" s="13"/>
      <c r="S1374" s="15"/>
      <c r="T1374" s="16"/>
      <c r="U1374" s="16"/>
      <c r="V1374" s="16"/>
      <c r="W1374" s="16"/>
      <c r="X1374" s="16"/>
      <c r="Y1374" s="11"/>
      <c r="Z1374" s="11"/>
      <c r="AA1374" s="11"/>
      <c r="AB1374" s="11"/>
      <c r="AC1374" s="11"/>
      <c r="AD1374" s="11"/>
    </row>
    <row r="1375">
      <c r="A1375" s="10"/>
      <c r="B1375" s="10"/>
      <c r="C1375" s="10"/>
      <c r="D1375" s="10"/>
      <c r="E1375" s="10"/>
      <c r="F1375" s="11"/>
      <c r="G1375" s="11"/>
      <c r="H1375" s="11"/>
      <c r="I1375" s="11"/>
      <c r="J1375" s="11" t="str">
        <f>IFERROR(__xludf.DUMMYFUNCTION("iferror(if($B1375="""", ,filter(Playoff_Stats!F:Z,Playoff_Stats!A:A=$B1375,Playoff_Stats!B:B=$A1375)))"),"")</f>
        <v/>
      </c>
      <c r="K1375" s="11"/>
      <c r="L1375" s="12"/>
      <c r="M1375" s="11"/>
      <c r="N1375" s="11"/>
      <c r="O1375" s="13"/>
      <c r="P1375" s="14"/>
      <c r="Q1375" s="13"/>
      <c r="R1375" s="13"/>
      <c r="S1375" s="15"/>
      <c r="T1375" s="16"/>
      <c r="U1375" s="16"/>
      <c r="V1375" s="16"/>
      <c r="W1375" s="16"/>
      <c r="X1375" s="16"/>
      <c r="Y1375" s="11"/>
      <c r="Z1375" s="11"/>
      <c r="AA1375" s="11"/>
      <c r="AB1375" s="11"/>
      <c r="AC1375" s="11"/>
      <c r="AD1375" s="11"/>
    </row>
    <row r="1376">
      <c r="A1376" s="10"/>
      <c r="B1376" s="10"/>
      <c r="C1376" s="10"/>
      <c r="D1376" s="10"/>
      <c r="E1376" s="10"/>
      <c r="F1376" s="11"/>
      <c r="G1376" s="11"/>
      <c r="H1376" s="11"/>
      <c r="I1376" s="11"/>
      <c r="J1376" s="11" t="str">
        <f>IFERROR(__xludf.DUMMYFUNCTION("iferror(if($B1376="""", ,filter(Playoff_Stats!F:Z,Playoff_Stats!A:A=$B1376,Playoff_Stats!B:B=$A1376)))"),"")</f>
        <v/>
      </c>
      <c r="K1376" s="11"/>
      <c r="L1376" s="12"/>
      <c r="M1376" s="11"/>
      <c r="N1376" s="11"/>
      <c r="O1376" s="13"/>
      <c r="P1376" s="14"/>
      <c r="Q1376" s="13"/>
      <c r="R1376" s="13"/>
      <c r="S1376" s="15"/>
      <c r="T1376" s="16"/>
      <c r="U1376" s="16"/>
      <c r="V1376" s="16"/>
      <c r="W1376" s="16"/>
      <c r="X1376" s="16"/>
      <c r="Y1376" s="11"/>
      <c r="Z1376" s="11"/>
      <c r="AA1376" s="11"/>
      <c r="AB1376" s="11"/>
      <c r="AC1376" s="11"/>
      <c r="AD1376" s="11"/>
    </row>
    <row r="1377">
      <c r="A1377" s="10"/>
      <c r="B1377" s="10"/>
      <c r="C1377" s="10"/>
      <c r="D1377" s="10"/>
      <c r="E1377" s="10"/>
      <c r="F1377" s="11"/>
      <c r="G1377" s="11"/>
      <c r="H1377" s="11"/>
      <c r="I1377" s="11"/>
      <c r="J1377" s="11" t="str">
        <f>IFERROR(__xludf.DUMMYFUNCTION("iferror(if($B1377="""", ,filter(Playoff_Stats!F:Z,Playoff_Stats!A:A=$B1377,Playoff_Stats!B:B=$A1377)))"),"")</f>
        <v/>
      </c>
      <c r="K1377" s="11"/>
      <c r="L1377" s="12"/>
      <c r="M1377" s="11"/>
      <c r="N1377" s="11"/>
      <c r="O1377" s="13"/>
      <c r="P1377" s="14"/>
      <c r="Q1377" s="13"/>
      <c r="R1377" s="13"/>
      <c r="S1377" s="15"/>
      <c r="T1377" s="16"/>
      <c r="U1377" s="16"/>
      <c r="V1377" s="16"/>
      <c r="W1377" s="16"/>
      <c r="X1377" s="16"/>
      <c r="Y1377" s="11"/>
      <c r="Z1377" s="11"/>
      <c r="AA1377" s="11"/>
      <c r="AB1377" s="11"/>
      <c r="AC1377" s="11"/>
      <c r="AD1377" s="11"/>
    </row>
    <row r="1378">
      <c r="A1378" s="10"/>
      <c r="B1378" s="10"/>
      <c r="C1378" s="10"/>
      <c r="D1378" s="10"/>
      <c r="E1378" s="10"/>
      <c r="F1378" s="11"/>
      <c r="G1378" s="11"/>
      <c r="H1378" s="11"/>
      <c r="I1378" s="11"/>
      <c r="J1378" s="11" t="str">
        <f>IFERROR(__xludf.DUMMYFUNCTION("iferror(if($B1378="""", ,filter(Playoff_Stats!F:Z,Playoff_Stats!A:A=$B1378,Playoff_Stats!B:B=$A1378)))"),"")</f>
        <v/>
      </c>
      <c r="K1378" s="11"/>
      <c r="L1378" s="12"/>
      <c r="M1378" s="11"/>
      <c r="N1378" s="11"/>
      <c r="O1378" s="13"/>
      <c r="P1378" s="14"/>
      <c r="Q1378" s="13"/>
      <c r="R1378" s="13"/>
      <c r="S1378" s="15"/>
      <c r="T1378" s="16"/>
      <c r="U1378" s="16"/>
      <c r="V1378" s="16"/>
      <c r="W1378" s="16"/>
      <c r="X1378" s="16"/>
      <c r="Y1378" s="11"/>
      <c r="Z1378" s="11"/>
      <c r="AA1378" s="11"/>
      <c r="AB1378" s="11"/>
      <c r="AC1378" s="11"/>
      <c r="AD1378" s="11"/>
    </row>
    <row r="1379">
      <c r="A1379" s="10"/>
      <c r="B1379" s="10"/>
      <c r="C1379" s="10"/>
      <c r="D1379" s="10"/>
      <c r="E1379" s="10"/>
      <c r="F1379" s="11"/>
      <c r="G1379" s="11"/>
      <c r="H1379" s="11"/>
      <c r="I1379" s="11"/>
      <c r="J1379" s="11" t="str">
        <f>IFERROR(__xludf.DUMMYFUNCTION("iferror(if($B1379="""", ,filter(Playoff_Stats!F:Z,Playoff_Stats!A:A=$B1379,Playoff_Stats!B:B=$A1379)))"),"")</f>
        <v/>
      </c>
      <c r="K1379" s="11"/>
      <c r="L1379" s="12"/>
      <c r="M1379" s="11"/>
      <c r="N1379" s="11"/>
      <c r="O1379" s="13"/>
      <c r="P1379" s="14"/>
      <c r="Q1379" s="13"/>
      <c r="R1379" s="13"/>
      <c r="S1379" s="15"/>
      <c r="T1379" s="16"/>
      <c r="U1379" s="16"/>
      <c r="V1379" s="16"/>
      <c r="W1379" s="16"/>
      <c r="X1379" s="16"/>
      <c r="Y1379" s="11"/>
      <c r="Z1379" s="11"/>
      <c r="AA1379" s="11"/>
      <c r="AB1379" s="11"/>
      <c r="AC1379" s="11"/>
      <c r="AD1379" s="11"/>
    </row>
    <row r="1380">
      <c r="A1380" s="10"/>
      <c r="B1380" s="10"/>
      <c r="C1380" s="10"/>
      <c r="D1380" s="10"/>
      <c r="E1380" s="10"/>
      <c r="F1380" s="11"/>
      <c r="G1380" s="11"/>
      <c r="H1380" s="11"/>
      <c r="I1380" s="11"/>
      <c r="J1380" s="11" t="str">
        <f>IFERROR(__xludf.DUMMYFUNCTION("iferror(if($B1380="""", ,filter(Playoff_Stats!F:Z,Playoff_Stats!A:A=$B1380,Playoff_Stats!B:B=$A1380)))"),"")</f>
        <v/>
      </c>
      <c r="K1380" s="11"/>
      <c r="L1380" s="12"/>
      <c r="M1380" s="11"/>
      <c r="N1380" s="11"/>
      <c r="O1380" s="13"/>
      <c r="P1380" s="14"/>
      <c r="Q1380" s="13"/>
      <c r="R1380" s="13"/>
      <c r="S1380" s="15"/>
      <c r="T1380" s="16"/>
      <c r="U1380" s="16"/>
      <c r="V1380" s="16"/>
      <c r="W1380" s="16"/>
      <c r="X1380" s="16"/>
      <c r="Y1380" s="11"/>
      <c r="Z1380" s="11"/>
      <c r="AA1380" s="11"/>
      <c r="AB1380" s="11"/>
      <c r="AC1380" s="11"/>
      <c r="AD1380" s="11"/>
    </row>
    <row r="1381">
      <c r="A1381" s="10"/>
      <c r="B1381" s="10"/>
      <c r="C1381" s="10"/>
      <c r="D1381" s="10"/>
      <c r="E1381" s="10"/>
      <c r="F1381" s="11"/>
      <c r="G1381" s="11"/>
      <c r="H1381" s="11"/>
      <c r="I1381" s="11"/>
      <c r="J1381" s="11" t="str">
        <f>IFERROR(__xludf.DUMMYFUNCTION("iferror(if($B1381="""", ,filter(Playoff_Stats!F:Z,Playoff_Stats!A:A=$B1381,Playoff_Stats!B:B=$A1381)))"),"")</f>
        <v/>
      </c>
      <c r="K1381" s="11"/>
      <c r="L1381" s="12"/>
      <c r="M1381" s="11"/>
      <c r="N1381" s="11"/>
      <c r="O1381" s="13"/>
      <c r="P1381" s="14"/>
      <c r="Q1381" s="13"/>
      <c r="R1381" s="13"/>
      <c r="S1381" s="15"/>
      <c r="T1381" s="16"/>
      <c r="U1381" s="16"/>
      <c r="V1381" s="16"/>
      <c r="W1381" s="16"/>
      <c r="X1381" s="16"/>
      <c r="Y1381" s="11"/>
      <c r="Z1381" s="11"/>
      <c r="AA1381" s="11"/>
      <c r="AB1381" s="11"/>
      <c r="AC1381" s="11"/>
      <c r="AD1381" s="11"/>
    </row>
    <row r="1382">
      <c r="A1382" s="10"/>
      <c r="B1382" s="10"/>
      <c r="C1382" s="10"/>
      <c r="D1382" s="10"/>
      <c r="E1382" s="10"/>
      <c r="F1382" s="11"/>
      <c r="G1382" s="11"/>
      <c r="H1382" s="11"/>
      <c r="I1382" s="11"/>
      <c r="J1382" s="11" t="str">
        <f>IFERROR(__xludf.DUMMYFUNCTION("iferror(if($B1382="""", ,filter(Playoff_Stats!F:Z,Playoff_Stats!A:A=$B1382,Playoff_Stats!B:B=$A1382)))"),"")</f>
        <v/>
      </c>
      <c r="K1382" s="11"/>
      <c r="L1382" s="12"/>
      <c r="M1382" s="11"/>
      <c r="N1382" s="11"/>
      <c r="O1382" s="13"/>
      <c r="P1382" s="14"/>
      <c r="Q1382" s="13"/>
      <c r="R1382" s="13"/>
      <c r="S1382" s="15"/>
      <c r="T1382" s="16"/>
      <c r="U1382" s="16"/>
      <c r="V1382" s="16"/>
      <c r="W1382" s="16"/>
      <c r="X1382" s="16"/>
      <c r="Y1382" s="11"/>
      <c r="Z1382" s="11"/>
      <c r="AA1382" s="11"/>
      <c r="AB1382" s="11"/>
      <c r="AC1382" s="11"/>
      <c r="AD1382" s="11"/>
    </row>
    <row r="1383">
      <c r="A1383" s="10"/>
      <c r="B1383" s="10"/>
      <c r="C1383" s="10"/>
      <c r="D1383" s="10"/>
      <c r="E1383" s="10"/>
      <c r="F1383" s="11"/>
      <c r="G1383" s="11"/>
      <c r="H1383" s="11"/>
      <c r="I1383" s="11"/>
      <c r="J1383" s="11" t="str">
        <f>IFERROR(__xludf.DUMMYFUNCTION("iferror(if($B1383="""", ,filter(Playoff_Stats!F:Z,Playoff_Stats!A:A=$B1383,Playoff_Stats!B:B=$A1383)))"),"")</f>
        <v/>
      </c>
      <c r="K1383" s="11"/>
      <c r="L1383" s="12"/>
      <c r="M1383" s="11"/>
      <c r="N1383" s="11"/>
      <c r="O1383" s="13"/>
      <c r="P1383" s="14"/>
      <c r="Q1383" s="13"/>
      <c r="R1383" s="13"/>
      <c r="S1383" s="15"/>
      <c r="T1383" s="16"/>
      <c r="U1383" s="16"/>
      <c r="V1383" s="16"/>
      <c r="W1383" s="16"/>
      <c r="X1383" s="16"/>
      <c r="Y1383" s="11"/>
      <c r="Z1383" s="11"/>
      <c r="AA1383" s="11"/>
      <c r="AB1383" s="11"/>
      <c r="AC1383" s="11"/>
      <c r="AD1383" s="11"/>
    </row>
    <row r="1384">
      <c r="A1384" s="10"/>
      <c r="B1384" s="10"/>
      <c r="C1384" s="10"/>
      <c r="D1384" s="10"/>
      <c r="E1384" s="10"/>
      <c r="F1384" s="11"/>
      <c r="G1384" s="11"/>
      <c r="H1384" s="11"/>
      <c r="I1384" s="11"/>
      <c r="J1384" s="11" t="str">
        <f>IFERROR(__xludf.DUMMYFUNCTION("iferror(if($B1384="""", ,filter(Playoff_Stats!F:Z,Playoff_Stats!A:A=$B1384,Playoff_Stats!B:B=$A1384)))"),"")</f>
        <v/>
      </c>
      <c r="K1384" s="11"/>
      <c r="L1384" s="12"/>
      <c r="M1384" s="11"/>
      <c r="N1384" s="11"/>
      <c r="O1384" s="13"/>
      <c r="P1384" s="14"/>
      <c r="Q1384" s="13"/>
      <c r="R1384" s="13"/>
      <c r="S1384" s="15"/>
      <c r="T1384" s="16"/>
      <c r="U1384" s="16"/>
      <c r="V1384" s="16"/>
      <c r="W1384" s="16"/>
      <c r="X1384" s="16"/>
      <c r="Y1384" s="11"/>
      <c r="Z1384" s="11"/>
      <c r="AA1384" s="11"/>
      <c r="AB1384" s="11"/>
      <c r="AC1384" s="11"/>
      <c r="AD1384" s="11"/>
    </row>
    <row r="1385">
      <c r="A1385" s="10"/>
      <c r="B1385" s="10"/>
      <c r="C1385" s="10"/>
      <c r="D1385" s="10"/>
      <c r="E1385" s="10"/>
      <c r="F1385" s="11"/>
      <c r="G1385" s="11"/>
      <c r="H1385" s="11"/>
      <c r="I1385" s="11"/>
      <c r="J1385" s="11" t="str">
        <f>IFERROR(__xludf.DUMMYFUNCTION("iferror(if($B1385="""", ,filter(Playoff_Stats!F:Z,Playoff_Stats!A:A=$B1385,Playoff_Stats!B:B=$A1385)))"),"")</f>
        <v/>
      </c>
      <c r="K1385" s="11"/>
      <c r="L1385" s="12"/>
      <c r="M1385" s="11"/>
      <c r="N1385" s="11"/>
      <c r="O1385" s="13"/>
      <c r="P1385" s="14"/>
      <c r="Q1385" s="13"/>
      <c r="R1385" s="13"/>
      <c r="S1385" s="15"/>
      <c r="T1385" s="16"/>
      <c r="U1385" s="16"/>
      <c r="V1385" s="16"/>
      <c r="W1385" s="16"/>
      <c r="X1385" s="16"/>
      <c r="Y1385" s="11"/>
      <c r="Z1385" s="11"/>
      <c r="AA1385" s="11"/>
      <c r="AB1385" s="11"/>
      <c r="AC1385" s="11"/>
      <c r="AD1385" s="11"/>
    </row>
    <row r="1386">
      <c r="A1386" s="10"/>
      <c r="B1386" s="10"/>
      <c r="C1386" s="10"/>
      <c r="D1386" s="10"/>
      <c r="E1386" s="10"/>
      <c r="F1386" s="11"/>
      <c r="G1386" s="11"/>
      <c r="H1386" s="11"/>
      <c r="I1386" s="11"/>
      <c r="J1386" s="11" t="str">
        <f>IFERROR(__xludf.DUMMYFUNCTION("iferror(if($B1386="""", ,filter(Playoff_Stats!F:Z,Playoff_Stats!A:A=$B1386,Playoff_Stats!B:B=$A1386)))"),"")</f>
        <v/>
      </c>
      <c r="K1386" s="11"/>
      <c r="L1386" s="12"/>
      <c r="M1386" s="11"/>
      <c r="N1386" s="11"/>
      <c r="O1386" s="13"/>
      <c r="P1386" s="14"/>
      <c r="Q1386" s="13"/>
      <c r="R1386" s="13"/>
      <c r="S1386" s="15"/>
      <c r="T1386" s="16"/>
      <c r="U1386" s="16"/>
      <c r="V1386" s="16"/>
      <c r="W1386" s="16"/>
      <c r="X1386" s="16"/>
      <c r="Y1386" s="11"/>
      <c r="Z1386" s="11"/>
      <c r="AA1386" s="11"/>
      <c r="AB1386" s="11"/>
      <c r="AC1386" s="11"/>
      <c r="AD1386" s="11"/>
    </row>
    <row r="1387">
      <c r="A1387" s="10"/>
      <c r="B1387" s="10"/>
      <c r="C1387" s="10"/>
      <c r="D1387" s="10"/>
      <c r="E1387" s="10"/>
      <c r="F1387" s="11"/>
      <c r="G1387" s="11"/>
      <c r="H1387" s="11"/>
      <c r="I1387" s="11"/>
      <c r="J1387" s="11" t="str">
        <f>IFERROR(__xludf.DUMMYFUNCTION("iferror(if($B1387="""", ,filter(Playoff_Stats!F:Z,Playoff_Stats!A:A=$B1387,Playoff_Stats!B:B=$A1387)))"),"")</f>
        <v/>
      </c>
      <c r="K1387" s="11"/>
      <c r="L1387" s="12"/>
      <c r="M1387" s="11"/>
      <c r="N1387" s="11"/>
      <c r="O1387" s="13"/>
      <c r="P1387" s="14"/>
      <c r="Q1387" s="13"/>
      <c r="R1387" s="13"/>
      <c r="S1387" s="15"/>
      <c r="T1387" s="16"/>
      <c r="U1387" s="16"/>
      <c r="V1387" s="16"/>
      <c r="W1387" s="16"/>
      <c r="X1387" s="16"/>
      <c r="Y1387" s="11"/>
      <c r="Z1387" s="11"/>
      <c r="AA1387" s="11"/>
      <c r="AB1387" s="11"/>
      <c r="AC1387" s="11"/>
      <c r="AD1387" s="11"/>
    </row>
    <row r="1388">
      <c r="A1388" s="10"/>
      <c r="B1388" s="10"/>
      <c r="C1388" s="10"/>
      <c r="D1388" s="10"/>
      <c r="E1388" s="10"/>
      <c r="F1388" s="11"/>
      <c r="G1388" s="11"/>
      <c r="H1388" s="11"/>
      <c r="I1388" s="11"/>
      <c r="J1388" s="11" t="str">
        <f>IFERROR(__xludf.DUMMYFUNCTION("iferror(if($B1388="""", ,filter(Playoff_Stats!F:Z,Playoff_Stats!A:A=$B1388,Playoff_Stats!B:B=$A1388)))"),"")</f>
        <v/>
      </c>
      <c r="K1388" s="11"/>
      <c r="L1388" s="12"/>
      <c r="M1388" s="11"/>
      <c r="N1388" s="11"/>
      <c r="O1388" s="13"/>
      <c r="P1388" s="14"/>
      <c r="Q1388" s="13"/>
      <c r="R1388" s="13"/>
      <c r="S1388" s="15"/>
      <c r="T1388" s="16"/>
      <c r="U1388" s="16"/>
      <c r="V1388" s="16"/>
      <c r="W1388" s="16"/>
      <c r="X1388" s="16"/>
      <c r="Y1388" s="11"/>
      <c r="Z1388" s="11"/>
      <c r="AA1388" s="11"/>
      <c r="AB1388" s="11"/>
      <c r="AC1388" s="11"/>
      <c r="AD1388" s="11"/>
    </row>
    <row r="1389">
      <c r="A1389" s="10"/>
      <c r="B1389" s="10"/>
      <c r="C1389" s="10"/>
      <c r="D1389" s="10"/>
      <c r="E1389" s="10"/>
      <c r="F1389" s="11"/>
      <c r="G1389" s="11"/>
      <c r="H1389" s="11"/>
      <c r="I1389" s="11"/>
      <c r="J1389" s="11" t="str">
        <f>IFERROR(__xludf.DUMMYFUNCTION("iferror(if($B1389="""", ,filter(Playoff_Stats!F:Z,Playoff_Stats!A:A=$B1389,Playoff_Stats!B:B=$A1389)))"),"")</f>
        <v/>
      </c>
      <c r="K1389" s="11"/>
      <c r="L1389" s="12"/>
      <c r="M1389" s="11"/>
      <c r="N1389" s="11"/>
      <c r="O1389" s="13"/>
      <c r="P1389" s="14"/>
      <c r="Q1389" s="13"/>
      <c r="R1389" s="13"/>
      <c r="S1389" s="15"/>
      <c r="T1389" s="16"/>
      <c r="U1389" s="16"/>
      <c r="V1389" s="16"/>
      <c r="W1389" s="16"/>
      <c r="X1389" s="16"/>
      <c r="Y1389" s="11"/>
      <c r="Z1389" s="11"/>
      <c r="AA1389" s="11"/>
      <c r="AB1389" s="11"/>
      <c r="AC1389" s="11"/>
      <c r="AD1389" s="11"/>
    </row>
    <row r="1390">
      <c r="A1390" s="10"/>
      <c r="B1390" s="10"/>
      <c r="C1390" s="10"/>
      <c r="D1390" s="10"/>
      <c r="E1390" s="10"/>
      <c r="F1390" s="11"/>
      <c r="G1390" s="11"/>
      <c r="H1390" s="11"/>
      <c r="I1390" s="11"/>
      <c r="J1390" s="11" t="str">
        <f>IFERROR(__xludf.DUMMYFUNCTION("iferror(if($B1390="""", ,filter(Playoff_Stats!F:Z,Playoff_Stats!A:A=$B1390,Playoff_Stats!B:B=$A1390)))"),"")</f>
        <v/>
      </c>
      <c r="K1390" s="11"/>
      <c r="L1390" s="12"/>
      <c r="M1390" s="11"/>
      <c r="N1390" s="11"/>
      <c r="O1390" s="13"/>
      <c r="P1390" s="14"/>
      <c r="Q1390" s="13"/>
      <c r="R1390" s="13"/>
      <c r="S1390" s="15"/>
      <c r="T1390" s="16"/>
      <c r="U1390" s="16"/>
      <c r="V1390" s="16"/>
      <c r="W1390" s="16"/>
      <c r="X1390" s="16"/>
      <c r="Y1390" s="11"/>
      <c r="Z1390" s="11"/>
      <c r="AA1390" s="11"/>
      <c r="AB1390" s="11"/>
      <c r="AC1390" s="11"/>
      <c r="AD1390" s="11"/>
    </row>
    <row r="1391">
      <c r="A1391" s="10"/>
      <c r="B1391" s="10"/>
      <c r="C1391" s="10"/>
      <c r="D1391" s="10"/>
      <c r="E1391" s="10"/>
      <c r="F1391" s="11"/>
      <c r="G1391" s="11"/>
      <c r="H1391" s="11"/>
      <c r="I1391" s="11"/>
      <c r="J1391" s="11" t="str">
        <f>IFERROR(__xludf.DUMMYFUNCTION("iferror(if($B1391="""", ,filter(Playoff_Stats!F:Z,Playoff_Stats!A:A=$B1391,Playoff_Stats!B:B=$A1391)))"),"")</f>
        <v/>
      </c>
      <c r="K1391" s="11"/>
      <c r="L1391" s="12"/>
      <c r="M1391" s="11"/>
      <c r="N1391" s="11"/>
      <c r="O1391" s="13"/>
      <c r="P1391" s="14"/>
      <c r="Q1391" s="13"/>
      <c r="R1391" s="13"/>
      <c r="S1391" s="15"/>
      <c r="T1391" s="16"/>
      <c r="U1391" s="16"/>
      <c r="V1391" s="16"/>
      <c r="W1391" s="16"/>
      <c r="X1391" s="16"/>
      <c r="Y1391" s="11"/>
      <c r="Z1391" s="11"/>
      <c r="AA1391" s="11"/>
      <c r="AB1391" s="11"/>
      <c r="AC1391" s="11"/>
      <c r="AD1391" s="11"/>
    </row>
    <row r="1392">
      <c r="A1392" s="10"/>
      <c r="B1392" s="10"/>
      <c r="C1392" s="10"/>
      <c r="D1392" s="10"/>
      <c r="E1392" s="10"/>
      <c r="F1392" s="11"/>
      <c r="G1392" s="11"/>
      <c r="H1392" s="11"/>
      <c r="I1392" s="11"/>
      <c r="J1392" s="11" t="str">
        <f>IFERROR(__xludf.DUMMYFUNCTION("iferror(if($B1392="""", ,filter(Playoff_Stats!F:Z,Playoff_Stats!A:A=$B1392,Playoff_Stats!B:B=$A1392)))"),"")</f>
        <v/>
      </c>
      <c r="K1392" s="11"/>
      <c r="L1392" s="12"/>
      <c r="M1392" s="11"/>
      <c r="N1392" s="11"/>
      <c r="O1392" s="13"/>
      <c r="P1392" s="14"/>
      <c r="Q1392" s="13"/>
      <c r="R1392" s="13"/>
      <c r="S1392" s="15"/>
      <c r="T1392" s="16"/>
      <c r="U1392" s="16"/>
      <c r="V1392" s="16"/>
      <c r="W1392" s="16"/>
      <c r="X1392" s="16"/>
      <c r="Y1392" s="11"/>
      <c r="Z1392" s="11"/>
      <c r="AA1392" s="11"/>
      <c r="AB1392" s="11"/>
      <c r="AC1392" s="11"/>
      <c r="AD1392" s="11"/>
    </row>
    <row r="1393">
      <c r="A1393" s="10"/>
      <c r="B1393" s="10"/>
      <c r="C1393" s="10"/>
      <c r="D1393" s="10"/>
      <c r="E1393" s="10"/>
      <c r="F1393" s="11"/>
      <c r="G1393" s="11"/>
      <c r="H1393" s="11"/>
      <c r="I1393" s="11"/>
      <c r="J1393" s="11" t="str">
        <f>IFERROR(__xludf.DUMMYFUNCTION("iferror(if($B1393="""", ,filter(Playoff_Stats!F:Z,Playoff_Stats!A:A=$B1393,Playoff_Stats!B:B=$A1393)))"),"")</f>
        <v/>
      </c>
      <c r="K1393" s="11"/>
      <c r="L1393" s="12"/>
      <c r="M1393" s="11"/>
      <c r="N1393" s="11"/>
      <c r="O1393" s="13"/>
      <c r="P1393" s="14"/>
      <c r="Q1393" s="13"/>
      <c r="R1393" s="13"/>
      <c r="S1393" s="15"/>
      <c r="T1393" s="16"/>
      <c r="U1393" s="16"/>
      <c r="V1393" s="16"/>
      <c r="W1393" s="16"/>
      <c r="X1393" s="16"/>
      <c r="Y1393" s="11"/>
      <c r="Z1393" s="11"/>
      <c r="AA1393" s="11"/>
      <c r="AB1393" s="11"/>
      <c r="AC1393" s="11"/>
      <c r="AD1393" s="11"/>
    </row>
    <row r="1394">
      <c r="A1394" s="10"/>
      <c r="B1394" s="10"/>
      <c r="C1394" s="10"/>
      <c r="D1394" s="10"/>
      <c r="E1394" s="10"/>
      <c r="F1394" s="11"/>
      <c r="G1394" s="11"/>
      <c r="H1394" s="11"/>
      <c r="I1394" s="11"/>
      <c r="J1394" s="11" t="str">
        <f>IFERROR(__xludf.DUMMYFUNCTION("iferror(if($B1394="""", ,filter(Playoff_Stats!F:Z,Playoff_Stats!A:A=$B1394,Playoff_Stats!B:B=$A1394)))"),"")</f>
        <v/>
      </c>
      <c r="K1394" s="11"/>
      <c r="L1394" s="12"/>
      <c r="M1394" s="11"/>
      <c r="N1394" s="11"/>
      <c r="O1394" s="13"/>
      <c r="P1394" s="14"/>
      <c r="Q1394" s="13"/>
      <c r="R1394" s="13"/>
      <c r="S1394" s="15"/>
      <c r="T1394" s="16"/>
      <c r="U1394" s="16"/>
      <c r="V1394" s="16"/>
      <c r="W1394" s="16"/>
      <c r="X1394" s="16"/>
      <c r="Y1394" s="11"/>
      <c r="Z1394" s="11"/>
      <c r="AA1394" s="11"/>
      <c r="AB1394" s="11"/>
      <c r="AC1394" s="11"/>
      <c r="AD1394" s="11"/>
    </row>
    <row r="1395">
      <c r="A1395" s="10"/>
      <c r="B1395" s="10"/>
      <c r="C1395" s="10"/>
      <c r="D1395" s="10"/>
      <c r="E1395" s="10"/>
      <c r="F1395" s="11"/>
      <c r="G1395" s="11"/>
      <c r="H1395" s="11"/>
      <c r="I1395" s="11"/>
      <c r="J1395" s="11" t="str">
        <f>IFERROR(__xludf.DUMMYFUNCTION("iferror(if($B1395="""", ,filter(Playoff_Stats!F:Z,Playoff_Stats!A:A=$B1395,Playoff_Stats!B:B=$A1395)))"),"")</f>
        <v/>
      </c>
      <c r="K1395" s="11"/>
      <c r="L1395" s="12"/>
      <c r="M1395" s="11"/>
      <c r="N1395" s="11"/>
      <c r="O1395" s="13"/>
      <c r="P1395" s="14"/>
      <c r="Q1395" s="13"/>
      <c r="R1395" s="13"/>
      <c r="S1395" s="15"/>
      <c r="T1395" s="16"/>
      <c r="U1395" s="16"/>
      <c r="V1395" s="16"/>
      <c r="W1395" s="16"/>
      <c r="X1395" s="16"/>
      <c r="Y1395" s="11"/>
      <c r="Z1395" s="11"/>
      <c r="AA1395" s="11"/>
      <c r="AB1395" s="11"/>
      <c r="AC1395" s="11"/>
      <c r="AD1395" s="11"/>
    </row>
    <row r="1396">
      <c r="A1396" s="10"/>
      <c r="B1396" s="10"/>
      <c r="C1396" s="10"/>
      <c r="D1396" s="10"/>
      <c r="E1396" s="10"/>
      <c r="F1396" s="11"/>
      <c r="G1396" s="11"/>
      <c r="H1396" s="11"/>
      <c r="I1396" s="11"/>
      <c r="J1396" s="11" t="str">
        <f>IFERROR(__xludf.DUMMYFUNCTION("iferror(if($B1396="""", ,filter(Playoff_Stats!F:Z,Playoff_Stats!A:A=$B1396,Playoff_Stats!B:B=$A1396)))"),"")</f>
        <v/>
      </c>
      <c r="K1396" s="11"/>
      <c r="L1396" s="12"/>
      <c r="M1396" s="11"/>
      <c r="N1396" s="11"/>
      <c r="O1396" s="13"/>
      <c r="P1396" s="14"/>
      <c r="Q1396" s="13"/>
      <c r="R1396" s="13"/>
      <c r="S1396" s="15"/>
      <c r="T1396" s="16"/>
      <c r="U1396" s="16"/>
      <c r="V1396" s="16"/>
      <c r="W1396" s="16"/>
      <c r="X1396" s="16"/>
      <c r="Y1396" s="11"/>
      <c r="Z1396" s="11"/>
      <c r="AA1396" s="11"/>
      <c r="AB1396" s="11"/>
      <c r="AC1396" s="11"/>
      <c r="AD1396" s="11"/>
    </row>
    <row r="1397">
      <c r="A1397" s="10"/>
      <c r="B1397" s="10"/>
      <c r="C1397" s="10"/>
      <c r="D1397" s="10"/>
      <c r="E1397" s="10"/>
      <c r="F1397" s="11"/>
      <c r="G1397" s="11"/>
      <c r="H1397" s="11"/>
      <c r="I1397" s="11"/>
      <c r="J1397" s="11" t="str">
        <f>IFERROR(__xludf.DUMMYFUNCTION("iferror(if($B1397="""", ,filter(Playoff_Stats!F:Z,Playoff_Stats!A:A=$B1397,Playoff_Stats!B:B=$A1397)))"),"")</f>
        <v/>
      </c>
      <c r="K1397" s="11"/>
      <c r="L1397" s="12"/>
      <c r="M1397" s="11"/>
      <c r="N1397" s="11"/>
      <c r="O1397" s="13"/>
      <c r="P1397" s="14"/>
      <c r="Q1397" s="13"/>
      <c r="R1397" s="13"/>
      <c r="S1397" s="15"/>
      <c r="T1397" s="16"/>
      <c r="U1397" s="16"/>
      <c r="V1397" s="16"/>
      <c r="W1397" s="16"/>
      <c r="X1397" s="16"/>
      <c r="Y1397" s="11"/>
      <c r="Z1397" s="11"/>
      <c r="AA1397" s="11"/>
      <c r="AB1397" s="11"/>
      <c r="AC1397" s="11"/>
      <c r="AD1397" s="11"/>
    </row>
    <row r="1398">
      <c r="A1398" s="10"/>
      <c r="B1398" s="10"/>
      <c r="C1398" s="10"/>
      <c r="D1398" s="10"/>
      <c r="E1398" s="10"/>
      <c r="F1398" s="11"/>
      <c r="G1398" s="11"/>
      <c r="H1398" s="11"/>
      <c r="I1398" s="11"/>
      <c r="J1398" s="11" t="str">
        <f>IFERROR(__xludf.DUMMYFUNCTION("iferror(if($B1398="""", ,filter(Playoff_Stats!F:Z,Playoff_Stats!A:A=$B1398,Playoff_Stats!B:B=$A1398)))"),"")</f>
        <v/>
      </c>
      <c r="K1398" s="11"/>
      <c r="L1398" s="12"/>
      <c r="M1398" s="11"/>
      <c r="N1398" s="11"/>
      <c r="O1398" s="13"/>
      <c r="P1398" s="14"/>
      <c r="Q1398" s="13"/>
      <c r="R1398" s="13"/>
      <c r="S1398" s="15"/>
      <c r="T1398" s="16"/>
      <c r="U1398" s="16"/>
      <c r="V1398" s="16"/>
      <c r="W1398" s="16"/>
      <c r="X1398" s="16"/>
      <c r="Y1398" s="11"/>
      <c r="Z1398" s="11"/>
      <c r="AA1398" s="11"/>
      <c r="AB1398" s="11"/>
      <c r="AC1398" s="11"/>
      <c r="AD1398" s="11"/>
    </row>
    <row r="1399">
      <c r="A1399" s="10"/>
      <c r="B1399" s="10"/>
      <c r="C1399" s="10"/>
      <c r="D1399" s="10"/>
      <c r="E1399" s="10"/>
      <c r="F1399" s="11"/>
      <c r="G1399" s="11"/>
      <c r="H1399" s="11"/>
      <c r="I1399" s="11"/>
      <c r="J1399" s="11" t="str">
        <f>IFERROR(__xludf.DUMMYFUNCTION("iferror(if($B1399="""", ,filter(Playoff_Stats!F:Z,Playoff_Stats!A:A=$B1399,Playoff_Stats!B:B=$A1399)))"),"")</f>
        <v/>
      </c>
      <c r="K1399" s="11"/>
      <c r="L1399" s="12"/>
      <c r="M1399" s="11"/>
      <c r="N1399" s="11"/>
      <c r="O1399" s="13"/>
      <c r="P1399" s="14"/>
      <c r="Q1399" s="13"/>
      <c r="R1399" s="13"/>
      <c r="S1399" s="15"/>
      <c r="T1399" s="16"/>
      <c r="U1399" s="16"/>
      <c r="V1399" s="16"/>
      <c r="W1399" s="16"/>
      <c r="X1399" s="16"/>
      <c r="Y1399" s="11"/>
      <c r="Z1399" s="11"/>
      <c r="AA1399" s="11"/>
      <c r="AB1399" s="11"/>
      <c r="AC1399" s="11"/>
      <c r="AD1399" s="11"/>
    </row>
    <row r="1400">
      <c r="A1400" s="10"/>
      <c r="B1400" s="10"/>
      <c r="C1400" s="10"/>
      <c r="D1400" s="10"/>
      <c r="E1400" s="10"/>
      <c r="F1400" s="11"/>
      <c r="G1400" s="11"/>
      <c r="H1400" s="11"/>
      <c r="I1400" s="11"/>
      <c r="J1400" s="11" t="str">
        <f>IFERROR(__xludf.DUMMYFUNCTION("iferror(if($B1400="""", ,filter(Playoff_Stats!F:Z,Playoff_Stats!A:A=$B1400,Playoff_Stats!B:B=$A1400)))"),"")</f>
        <v/>
      </c>
      <c r="K1400" s="11"/>
      <c r="L1400" s="12"/>
      <c r="M1400" s="11"/>
      <c r="N1400" s="11"/>
      <c r="O1400" s="13"/>
      <c r="P1400" s="14"/>
      <c r="Q1400" s="13"/>
      <c r="R1400" s="13"/>
      <c r="S1400" s="15"/>
      <c r="T1400" s="16"/>
      <c r="U1400" s="16"/>
      <c r="V1400" s="16"/>
      <c r="W1400" s="16"/>
      <c r="X1400" s="16"/>
      <c r="Y1400" s="11"/>
      <c r="Z1400" s="11"/>
      <c r="AA1400" s="11"/>
      <c r="AB1400" s="11"/>
      <c r="AC1400" s="11"/>
      <c r="AD1400" s="11"/>
    </row>
    <row r="1401">
      <c r="A1401" s="10"/>
      <c r="B1401" s="10"/>
      <c r="C1401" s="10"/>
      <c r="D1401" s="10"/>
      <c r="E1401" s="10"/>
      <c r="F1401" s="11"/>
      <c r="G1401" s="11"/>
      <c r="H1401" s="11"/>
      <c r="I1401" s="11"/>
      <c r="J1401" s="11" t="str">
        <f>IFERROR(__xludf.DUMMYFUNCTION("iferror(if($B1401="""", ,filter(Playoff_Stats!F:Z,Playoff_Stats!A:A=$B1401,Playoff_Stats!B:B=$A1401)))"),"")</f>
        <v/>
      </c>
      <c r="K1401" s="11"/>
      <c r="L1401" s="12"/>
      <c r="M1401" s="11"/>
      <c r="N1401" s="11"/>
      <c r="O1401" s="13"/>
      <c r="P1401" s="14"/>
      <c r="Q1401" s="13"/>
      <c r="R1401" s="13"/>
      <c r="S1401" s="15"/>
      <c r="T1401" s="16"/>
      <c r="U1401" s="16"/>
      <c r="V1401" s="16"/>
      <c r="W1401" s="16"/>
      <c r="X1401" s="16"/>
      <c r="Y1401" s="11"/>
      <c r="Z1401" s="11"/>
      <c r="AA1401" s="11"/>
      <c r="AB1401" s="11"/>
      <c r="AC1401" s="11"/>
      <c r="AD1401" s="11"/>
    </row>
    <row r="1402">
      <c r="A1402" s="10"/>
      <c r="B1402" s="10"/>
      <c r="C1402" s="10"/>
      <c r="D1402" s="10"/>
      <c r="E1402" s="10"/>
      <c r="F1402" s="11"/>
      <c r="G1402" s="11"/>
      <c r="H1402" s="11"/>
      <c r="I1402" s="11"/>
      <c r="J1402" s="11" t="str">
        <f>IFERROR(__xludf.DUMMYFUNCTION("iferror(if($B1402="""", ,filter(Playoff_Stats!F:Z,Playoff_Stats!A:A=$B1402,Playoff_Stats!B:B=$A1402)))"),"")</f>
        <v/>
      </c>
      <c r="K1402" s="11"/>
      <c r="L1402" s="12"/>
      <c r="M1402" s="11"/>
      <c r="N1402" s="11"/>
      <c r="O1402" s="13"/>
      <c r="P1402" s="14"/>
      <c r="Q1402" s="13"/>
      <c r="R1402" s="13"/>
      <c r="S1402" s="15"/>
      <c r="T1402" s="16"/>
      <c r="U1402" s="16"/>
      <c r="V1402" s="16"/>
      <c r="W1402" s="16"/>
      <c r="X1402" s="16"/>
      <c r="Y1402" s="11"/>
      <c r="Z1402" s="11"/>
      <c r="AA1402" s="11"/>
      <c r="AB1402" s="11"/>
      <c r="AC1402" s="11"/>
      <c r="AD1402" s="11"/>
    </row>
    <row r="1403">
      <c r="A1403" s="10"/>
      <c r="B1403" s="10"/>
      <c r="C1403" s="10"/>
      <c r="D1403" s="10"/>
      <c r="E1403" s="10"/>
      <c r="F1403" s="11"/>
      <c r="G1403" s="11"/>
      <c r="H1403" s="11"/>
      <c r="I1403" s="11"/>
      <c r="J1403" s="11" t="str">
        <f>IFERROR(__xludf.DUMMYFUNCTION("iferror(if($B1403="""", ,filter(Playoff_Stats!F:Z,Playoff_Stats!A:A=$B1403,Playoff_Stats!B:B=$A1403)))"),"")</f>
        <v/>
      </c>
      <c r="K1403" s="11"/>
      <c r="L1403" s="12"/>
      <c r="M1403" s="11"/>
      <c r="N1403" s="11"/>
      <c r="O1403" s="13"/>
      <c r="P1403" s="14"/>
      <c r="Q1403" s="13"/>
      <c r="R1403" s="13"/>
      <c r="S1403" s="15"/>
      <c r="T1403" s="16"/>
      <c r="U1403" s="16"/>
      <c r="V1403" s="16"/>
      <c r="W1403" s="16"/>
      <c r="X1403" s="16"/>
      <c r="Y1403" s="11"/>
      <c r="Z1403" s="11"/>
      <c r="AA1403" s="11"/>
      <c r="AB1403" s="11"/>
      <c r="AC1403" s="11"/>
      <c r="AD1403" s="11"/>
    </row>
    <row r="1404">
      <c r="A1404" s="10"/>
      <c r="B1404" s="10"/>
      <c r="C1404" s="10"/>
      <c r="D1404" s="10"/>
      <c r="E1404" s="10"/>
      <c r="F1404" s="11"/>
      <c r="G1404" s="11"/>
      <c r="H1404" s="11"/>
      <c r="I1404" s="11"/>
      <c r="J1404" s="11" t="str">
        <f>IFERROR(__xludf.DUMMYFUNCTION("iferror(if($B1404="""", ,filter(Playoff_Stats!F:Z,Playoff_Stats!A:A=$B1404,Playoff_Stats!B:B=$A1404)))"),"")</f>
        <v/>
      </c>
      <c r="K1404" s="11"/>
      <c r="L1404" s="12"/>
      <c r="M1404" s="11"/>
      <c r="N1404" s="11"/>
      <c r="O1404" s="13"/>
      <c r="P1404" s="14"/>
      <c r="Q1404" s="13"/>
      <c r="R1404" s="13"/>
      <c r="S1404" s="15"/>
      <c r="T1404" s="16"/>
      <c r="U1404" s="16"/>
      <c r="V1404" s="16"/>
      <c r="W1404" s="16"/>
      <c r="X1404" s="16"/>
      <c r="Y1404" s="11"/>
      <c r="Z1404" s="11"/>
      <c r="AA1404" s="11"/>
      <c r="AB1404" s="11"/>
      <c r="AC1404" s="11"/>
      <c r="AD1404" s="11"/>
    </row>
    <row r="1405">
      <c r="A1405" s="10"/>
      <c r="B1405" s="10"/>
      <c r="C1405" s="10"/>
      <c r="D1405" s="10"/>
      <c r="E1405" s="10"/>
      <c r="F1405" s="11"/>
      <c r="G1405" s="11"/>
      <c r="H1405" s="11"/>
      <c r="I1405" s="11"/>
      <c r="J1405" s="11" t="str">
        <f>IFERROR(__xludf.DUMMYFUNCTION("iferror(if($B1405="""", ,filter(Playoff_Stats!F:Z,Playoff_Stats!A:A=$B1405,Playoff_Stats!B:B=$A1405)))"),"")</f>
        <v/>
      </c>
      <c r="K1405" s="11"/>
      <c r="L1405" s="12"/>
      <c r="M1405" s="11"/>
      <c r="N1405" s="11"/>
      <c r="O1405" s="13"/>
      <c r="P1405" s="14"/>
      <c r="Q1405" s="13"/>
      <c r="R1405" s="13"/>
      <c r="S1405" s="15"/>
      <c r="T1405" s="16"/>
      <c r="U1405" s="16"/>
      <c r="V1405" s="16"/>
      <c r="W1405" s="16"/>
      <c r="X1405" s="16"/>
      <c r="Y1405" s="11"/>
      <c r="Z1405" s="11"/>
      <c r="AA1405" s="11"/>
      <c r="AB1405" s="11"/>
      <c r="AC1405" s="11"/>
      <c r="AD1405" s="11"/>
    </row>
    <row r="1406">
      <c r="A1406" s="10"/>
      <c r="B1406" s="10"/>
      <c r="C1406" s="10"/>
      <c r="D1406" s="10"/>
      <c r="E1406" s="10"/>
      <c r="F1406" s="11"/>
      <c r="G1406" s="11"/>
      <c r="H1406" s="11"/>
      <c r="I1406" s="11"/>
      <c r="J1406" s="11" t="str">
        <f>IFERROR(__xludf.DUMMYFUNCTION("iferror(if($B1406="""", ,filter(Playoff_Stats!F:Z,Playoff_Stats!A:A=$B1406,Playoff_Stats!B:B=$A1406)))"),"")</f>
        <v/>
      </c>
      <c r="K1406" s="11"/>
      <c r="L1406" s="12"/>
      <c r="M1406" s="11"/>
      <c r="N1406" s="11"/>
      <c r="O1406" s="13"/>
      <c r="P1406" s="14"/>
      <c r="Q1406" s="13"/>
      <c r="R1406" s="13"/>
      <c r="S1406" s="15"/>
      <c r="T1406" s="16"/>
      <c r="U1406" s="16"/>
      <c r="V1406" s="16"/>
      <c r="W1406" s="16"/>
      <c r="X1406" s="16"/>
      <c r="Y1406" s="11"/>
      <c r="Z1406" s="11"/>
      <c r="AA1406" s="11"/>
      <c r="AB1406" s="11"/>
      <c r="AC1406" s="11"/>
      <c r="AD1406" s="11"/>
    </row>
    <row r="1407">
      <c r="A1407" s="10"/>
      <c r="B1407" s="10"/>
      <c r="C1407" s="10"/>
      <c r="D1407" s="10"/>
      <c r="E1407" s="10"/>
      <c r="F1407" s="11"/>
      <c r="G1407" s="11"/>
      <c r="H1407" s="11"/>
      <c r="I1407" s="11"/>
      <c r="J1407" s="11" t="str">
        <f>IFERROR(__xludf.DUMMYFUNCTION("iferror(if($B1407="""", ,filter(Playoff_Stats!F:Z,Playoff_Stats!A:A=$B1407,Playoff_Stats!B:B=$A1407)))"),"")</f>
        <v/>
      </c>
      <c r="K1407" s="11"/>
      <c r="L1407" s="12"/>
      <c r="M1407" s="11"/>
      <c r="N1407" s="11"/>
      <c r="O1407" s="13"/>
      <c r="P1407" s="14"/>
      <c r="Q1407" s="13"/>
      <c r="R1407" s="13"/>
      <c r="S1407" s="15"/>
      <c r="T1407" s="16"/>
      <c r="U1407" s="16"/>
      <c r="V1407" s="16"/>
      <c r="W1407" s="16"/>
      <c r="X1407" s="16"/>
      <c r="Y1407" s="11"/>
      <c r="Z1407" s="11"/>
      <c r="AA1407" s="11"/>
      <c r="AB1407" s="11"/>
      <c r="AC1407" s="11"/>
      <c r="AD1407" s="11"/>
    </row>
    <row r="1408">
      <c r="A1408" s="10"/>
      <c r="B1408" s="10"/>
      <c r="C1408" s="10"/>
      <c r="D1408" s="10"/>
      <c r="E1408" s="10"/>
      <c r="F1408" s="11"/>
      <c r="G1408" s="11"/>
      <c r="H1408" s="11"/>
      <c r="I1408" s="11"/>
      <c r="J1408" s="11" t="str">
        <f>IFERROR(__xludf.DUMMYFUNCTION("iferror(if($B1408="""", ,filter(Playoff_Stats!F:Z,Playoff_Stats!A:A=$B1408,Playoff_Stats!B:B=$A1408)))"),"")</f>
        <v/>
      </c>
      <c r="K1408" s="11"/>
      <c r="L1408" s="12"/>
      <c r="M1408" s="11"/>
      <c r="N1408" s="11"/>
      <c r="O1408" s="13"/>
      <c r="P1408" s="14"/>
      <c r="Q1408" s="13"/>
      <c r="R1408" s="13"/>
      <c r="S1408" s="15"/>
      <c r="T1408" s="16"/>
      <c r="U1408" s="16"/>
      <c r="V1408" s="16"/>
      <c r="W1408" s="16"/>
      <c r="X1408" s="16"/>
      <c r="Y1408" s="11"/>
      <c r="Z1408" s="11"/>
      <c r="AA1408" s="11"/>
      <c r="AB1408" s="11"/>
      <c r="AC1408" s="11"/>
      <c r="AD1408" s="11"/>
    </row>
    <row r="1409">
      <c r="A1409" s="10"/>
      <c r="B1409" s="10"/>
      <c r="C1409" s="10"/>
      <c r="D1409" s="10"/>
      <c r="E1409" s="10"/>
      <c r="F1409" s="11"/>
      <c r="G1409" s="11"/>
      <c r="H1409" s="11"/>
      <c r="I1409" s="11"/>
      <c r="J1409" s="11" t="str">
        <f>IFERROR(__xludf.DUMMYFUNCTION("iferror(if($B1409="""", ,filter(Playoff_Stats!F:Z,Playoff_Stats!A:A=$B1409,Playoff_Stats!B:B=$A1409)))"),"")</f>
        <v/>
      </c>
      <c r="K1409" s="11"/>
      <c r="L1409" s="12"/>
      <c r="M1409" s="11"/>
      <c r="N1409" s="11"/>
      <c r="O1409" s="13"/>
      <c r="P1409" s="14"/>
      <c r="Q1409" s="13"/>
      <c r="R1409" s="13"/>
      <c r="S1409" s="15"/>
      <c r="T1409" s="16"/>
      <c r="U1409" s="16"/>
      <c r="V1409" s="16"/>
      <c r="W1409" s="16"/>
      <c r="X1409" s="16"/>
      <c r="Y1409" s="11"/>
      <c r="Z1409" s="11"/>
      <c r="AA1409" s="11"/>
      <c r="AB1409" s="11"/>
      <c r="AC1409" s="11"/>
      <c r="AD1409" s="11"/>
    </row>
    <row r="1410">
      <c r="A1410" s="10"/>
      <c r="B1410" s="10"/>
      <c r="C1410" s="10"/>
      <c r="D1410" s="10"/>
      <c r="E1410" s="10"/>
      <c r="F1410" s="11"/>
      <c r="G1410" s="11"/>
      <c r="H1410" s="11"/>
      <c r="I1410" s="11"/>
      <c r="J1410" s="11" t="str">
        <f>IFERROR(__xludf.DUMMYFUNCTION("iferror(if($B1410="""", ,filter(Playoff_Stats!F:Z,Playoff_Stats!A:A=$B1410,Playoff_Stats!B:B=$A1410)))"),"")</f>
        <v/>
      </c>
      <c r="K1410" s="11"/>
      <c r="L1410" s="12"/>
      <c r="M1410" s="11"/>
      <c r="N1410" s="11"/>
      <c r="O1410" s="13"/>
      <c r="P1410" s="14"/>
      <c r="Q1410" s="13"/>
      <c r="R1410" s="13"/>
      <c r="S1410" s="15"/>
      <c r="T1410" s="16"/>
      <c r="U1410" s="16"/>
      <c r="V1410" s="16"/>
      <c r="W1410" s="16"/>
      <c r="X1410" s="16"/>
      <c r="Y1410" s="11"/>
      <c r="Z1410" s="11"/>
      <c r="AA1410" s="11"/>
      <c r="AB1410" s="11"/>
      <c r="AC1410" s="11"/>
      <c r="AD1410" s="11"/>
    </row>
    <row r="1411">
      <c r="A1411" s="10"/>
      <c r="B1411" s="10"/>
      <c r="C1411" s="10"/>
      <c r="D1411" s="10"/>
      <c r="E1411" s="10"/>
      <c r="F1411" s="11"/>
      <c r="G1411" s="11"/>
      <c r="H1411" s="11"/>
      <c r="I1411" s="11"/>
      <c r="J1411" s="11" t="str">
        <f>IFERROR(__xludf.DUMMYFUNCTION("iferror(if($B1411="""", ,filter(Playoff_Stats!F:Z,Playoff_Stats!A:A=$B1411,Playoff_Stats!B:B=$A1411)))"),"")</f>
        <v/>
      </c>
      <c r="K1411" s="11"/>
      <c r="L1411" s="12"/>
      <c r="M1411" s="11"/>
      <c r="N1411" s="11"/>
      <c r="O1411" s="13"/>
      <c r="P1411" s="14"/>
      <c r="Q1411" s="13"/>
      <c r="R1411" s="13"/>
      <c r="S1411" s="15"/>
      <c r="T1411" s="16"/>
      <c r="U1411" s="16"/>
      <c r="V1411" s="16"/>
      <c r="W1411" s="16"/>
      <c r="X1411" s="16"/>
      <c r="Y1411" s="11"/>
      <c r="Z1411" s="11"/>
      <c r="AA1411" s="11"/>
      <c r="AB1411" s="11"/>
      <c r="AC1411" s="11"/>
      <c r="AD1411" s="11"/>
    </row>
    <row r="1412">
      <c r="A1412" s="10"/>
      <c r="B1412" s="10"/>
      <c r="C1412" s="10"/>
      <c r="D1412" s="10"/>
      <c r="E1412" s="10"/>
      <c r="F1412" s="11"/>
      <c r="G1412" s="11"/>
      <c r="H1412" s="11"/>
      <c r="I1412" s="11"/>
      <c r="J1412" s="11" t="str">
        <f>IFERROR(__xludf.DUMMYFUNCTION("iferror(if($B1412="""", ,filter(Playoff_Stats!F:Z,Playoff_Stats!A:A=$B1412,Playoff_Stats!B:B=$A1412)))"),"")</f>
        <v/>
      </c>
      <c r="K1412" s="11"/>
      <c r="L1412" s="12"/>
      <c r="M1412" s="11"/>
      <c r="N1412" s="11"/>
      <c r="O1412" s="13"/>
      <c r="P1412" s="14"/>
      <c r="Q1412" s="13"/>
      <c r="R1412" s="13"/>
      <c r="S1412" s="15"/>
      <c r="T1412" s="16"/>
      <c r="U1412" s="16"/>
      <c r="V1412" s="16"/>
      <c r="W1412" s="16"/>
      <c r="X1412" s="16"/>
      <c r="Y1412" s="11"/>
      <c r="Z1412" s="11"/>
      <c r="AA1412" s="11"/>
      <c r="AB1412" s="11"/>
      <c r="AC1412" s="11"/>
      <c r="AD1412" s="11"/>
    </row>
    <row r="1413">
      <c r="A1413" s="10"/>
      <c r="B1413" s="10"/>
      <c r="C1413" s="10"/>
      <c r="D1413" s="10"/>
      <c r="E1413" s="10"/>
      <c r="F1413" s="11"/>
      <c r="G1413" s="11"/>
      <c r="H1413" s="11"/>
      <c r="I1413" s="11"/>
      <c r="J1413" s="11" t="str">
        <f>IFERROR(__xludf.DUMMYFUNCTION("iferror(if($B1413="""", ,filter(Playoff_Stats!F:Z,Playoff_Stats!A:A=$B1413,Playoff_Stats!B:B=$A1413)))"),"")</f>
        <v/>
      </c>
      <c r="K1413" s="11"/>
      <c r="L1413" s="12"/>
      <c r="M1413" s="11"/>
      <c r="N1413" s="11"/>
      <c r="O1413" s="13"/>
      <c r="P1413" s="14"/>
      <c r="Q1413" s="13"/>
      <c r="R1413" s="13"/>
      <c r="S1413" s="15"/>
      <c r="T1413" s="16"/>
      <c r="U1413" s="16"/>
      <c r="V1413" s="16"/>
      <c r="W1413" s="16"/>
      <c r="X1413" s="16"/>
      <c r="Y1413" s="11"/>
      <c r="Z1413" s="11"/>
      <c r="AA1413" s="11"/>
      <c r="AB1413" s="11"/>
      <c r="AC1413" s="11"/>
      <c r="AD1413" s="11"/>
    </row>
    <row r="1414">
      <c r="A1414" s="10"/>
      <c r="B1414" s="10"/>
      <c r="C1414" s="10"/>
      <c r="D1414" s="10"/>
      <c r="E1414" s="10"/>
      <c r="F1414" s="11"/>
      <c r="G1414" s="11"/>
      <c r="H1414" s="11"/>
      <c r="I1414" s="11"/>
      <c r="J1414" s="11" t="str">
        <f>IFERROR(__xludf.DUMMYFUNCTION("iferror(if($B1414="""", ,filter(Playoff_Stats!F:Z,Playoff_Stats!A:A=$B1414,Playoff_Stats!B:B=$A1414)))"),"")</f>
        <v/>
      </c>
      <c r="K1414" s="11"/>
      <c r="L1414" s="12"/>
      <c r="M1414" s="11"/>
      <c r="N1414" s="11"/>
      <c r="O1414" s="13"/>
      <c r="P1414" s="14"/>
      <c r="Q1414" s="13"/>
      <c r="R1414" s="13"/>
      <c r="S1414" s="15"/>
      <c r="T1414" s="16"/>
      <c r="U1414" s="16"/>
      <c r="V1414" s="16"/>
      <c r="W1414" s="16"/>
      <c r="X1414" s="16"/>
      <c r="Y1414" s="11"/>
      <c r="Z1414" s="11"/>
      <c r="AA1414" s="11"/>
      <c r="AB1414" s="11"/>
      <c r="AC1414" s="11"/>
      <c r="AD1414" s="11"/>
    </row>
    <row r="1415">
      <c r="A1415" s="10"/>
      <c r="B1415" s="10"/>
      <c r="C1415" s="10"/>
      <c r="D1415" s="10"/>
      <c r="E1415" s="10"/>
      <c r="F1415" s="11"/>
      <c r="G1415" s="11"/>
      <c r="H1415" s="11"/>
      <c r="I1415" s="11"/>
      <c r="J1415" s="11" t="str">
        <f>IFERROR(__xludf.DUMMYFUNCTION("iferror(if($B1415="""", ,filter(Playoff_Stats!F:Z,Playoff_Stats!A:A=$B1415,Playoff_Stats!B:B=$A1415)))"),"")</f>
        <v/>
      </c>
      <c r="K1415" s="11"/>
      <c r="L1415" s="12"/>
      <c r="M1415" s="11"/>
      <c r="N1415" s="11"/>
      <c r="O1415" s="13"/>
      <c r="P1415" s="14"/>
      <c r="Q1415" s="13"/>
      <c r="R1415" s="13"/>
      <c r="S1415" s="15"/>
      <c r="T1415" s="16"/>
      <c r="U1415" s="16"/>
      <c r="V1415" s="16"/>
      <c r="W1415" s="16"/>
      <c r="X1415" s="16"/>
      <c r="Y1415" s="11"/>
      <c r="Z1415" s="11"/>
      <c r="AA1415" s="11"/>
      <c r="AB1415" s="11"/>
      <c r="AC1415" s="11"/>
      <c r="AD1415" s="11"/>
    </row>
    <row r="1416">
      <c r="A1416" s="10"/>
      <c r="B1416" s="10"/>
      <c r="C1416" s="10"/>
      <c r="D1416" s="10"/>
      <c r="E1416" s="10"/>
      <c r="F1416" s="11"/>
      <c r="G1416" s="11"/>
      <c r="H1416" s="11"/>
      <c r="I1416" s="11"/>
      <c r="J1416" s="11" t="str">
        <f>IFERROR(__xludf.DUMMYFUNCTION("iferror(if($B1416="""", ,filter(Playoff_Stats!F:Z,Playoff_Stats!A:A=$B1416,Playoff_Stats!B:B=$A1416)))"),"")</f>
        <v/>
      </c>
      <c r="K1416" s="11"/>
      <c r="L1416" s="12"/>
      <c r="M1416" s="11"/>
      <c r="N1416" s="11"/>
      <c r="O1416" s="13"/>
      <c r="P1416" s="14"/>
      <c r="Q1416" s="13"/>
      <c r="R1416" s="13"/>
      <c r="S1416" s="15"/>
      <c r="T1416" s="16"/>
      <c r="U1416" s="16"/>
      <c r="V1416" s="16"/>
      <c r="W1416" s="16"/>
      <c r="X1416" s="16"/>
      <c r="Y1416" s="11"/>
      <c r="Z1416" s="11"/>
      <c r="AA1416" s="11"/>
      <c r="AB1416" s="11"/>
      <c r="AC1416" s="11"/>
      <c r="AD1416" s="11"/>
    </row>
    <row r="1417">
      <c r="A1417" s="10"/>
      <c r="B1417" s="10"/>
      <c r="C1417" s="10"/>
      <c r="D1417" s="10"/>
      <c r="E1417" s="10"/>
      <c r="F1417" s="11"/>
      <c r="G1417" s="11"/>
      <c r="H1417" s="11"/>
      <c r="I1417" s="11"/>
      <c r="J1417" s="11" t="str">
        <f>IFERROR(__xludf.DUMMYFUNCTION("iferror(if($B1417="""", ,filter(Playoff_Stats!F:Z,Playoff_Stats!A:A=$B1417,Playoff_Stats!B:B=$A1417)))"),"")</f>
        <v/>
      </c>
      <c r="K1417" s="11"/>
      <c r="L1417" s="12"/>
      <c r="M1417" s="11"/>
      <c r="N1417" s="11"/>
      <c r="O1417" s="13"/>
      <c r="P1417" s="14"/>
      <c r="Q1417" s="13"/>
      <c r="R1417" s="13"/>
      <c r="S1417" s="15"/>
      <c r="T1417" s="16"/>
      <c r="U1417" s="16"/>
      <c r="V1417" s="16"/>
      <c r="W1417" s="16"/>
      <c r="X1417" s="16"/>
      <c r="Y1417" s="11"/>
      <c r="Z1417" s="11"/>
      <c r="AA1417" s="11"/>
      <c r="AB1417" s="11"/>
      <c r="AC1417" s="11"/>
      <c r="AD1417" s="11"/>
    </row>
    <row r="1418">
      <c r="A1418" s="10"/>
      <c r="B1418" s="10"/>
      <c r="C1418" s="10"/>
      <c r="D1418" s="10"/>
      <c r="E1418" s="10"/>
      <c r="F1418" s="11"/>
      <c r="G1418" s="11"/>
      <c r="H1418" s="11"/>
      <c r="I1418" s="11"/>
      <c r="J1418" s="11" t="str">
        <f>IFERROR(__xludf.DUMMYFUNCTION("iferror(if($B1418="""", ,filter(Playoff_Stats!F:Z,Playoff_Stats!A:A=$B1418,Playoff_Stats!B:B=$A1418)))"),"")</f>
        <v/>
      </c>
      <c r="K1418" s="11"/>
      <c r="L1418" s="12"/>
      <c r="M1418" s="11"/>
      <c r="N1418" s="11"/>
      <c r="O1418" s="13"/>
      <c r="P1418" s="14"/>
      <c r="Q1418" s="13"/>
      <c r="R1418" s="13"/>
      <c r="S1418" s="15"/>
      <c r="T1418" s="16"/>
      <c r="U1418" s="16"/>
      <c r="V1418" s="16"/>
      <c r="W1418" s="16"/>
      <c r="X1418" s="16"/>
      <c r="Y1418" s="11"/>
      <c r="Z1418" s="11"/>
      <c r="AA1418" s="11"/>
      <c r="AB1418" s="11"/>
      <c r="AC1418" s="11"/>
      <c r="AD1418" s="11"/>
    </row>
    <row r="1419">
      <c r="A1419" s="10"/>
      <c r="B1419" s="10"/>
      <c r="C1419" s="10"/>
      <c r="D1419" s="10"/>
      <c r="E1419" s="10"/>
      <c r="F1419" s="11"/>
      <c r="G1419" s="11"/>
      <c r="H1419" s="11"/>
      <c r="I1419" s="11"/>
      <c r="J1419" s="11" t="str">
        <f>IFERROR(__xludf.DUMMYFUNCTION("iferror(if($B1419="""", ,filter(Playoff_Stats!F:Z,Playoff_Stats!A:A=$B1419,Playoff_Stats!B:B=$A1419)))"),"")</f>
        <v/>
      </c>
      <c r="K1419" s="11"/>
      <c r="L1419" s="12"/>
      <c r="M1419" s="11"/>
      <c r="N1419" s="11"/>
      <c r="O1419" s="13"/>
      <c r="P1419" s="14"/>
      <c r="Q1419" s="13"/>
      <c r="R1419" s="13"/>
      <c r="S1419" s="15"/>
      <c r="T1419" s="16"/>
      <c r="U1419" s="16"/>
      <c r="V1419" s="16"/>
      <c r="W1419" s="16"/>
      <c r="X1419" s="16"/>
      <c r="Y1419" s="11"/>
      <c r="Z1419" s="11"/>
      <c r="AA1419" s="11"/>
      <c r="AB1419" s="11"/>
      <c r="AC1419" s="11"/>
      <c r="AD1419" s="11"/>
    </row>
    <row r="1420">
      <c r="A1420" s="10"/>
      <c r="B1420" s="10"/>
      <c r="C1420" s="10"/>
      <c r="D1420" s="10"/>
      <c r="E1420" s="10"/>
      <c r="F1420" s="11"/>
      <c r="G1420" s="11"/>
      <c r="H1420" s="11"/>
      <c r="I1420" s="11"/>
      <c r="J1420" s="11" t="str">
        <f>IFERROR(__xludf.DUMMYFUNCTION("iferror(if($B1420="""", ,filter(Playoff_Stats!F:Z,Playoff_Stats!A:A=$B1420,Playoff_Stats!B:B=$A1420)))"),"")</f>
        <v/>
      </c>
      <c r="K1420" s="11"/>
      <c r="L1420" s="12"/>
      <c r="M1420" s="11"/>
      <c r="N1420" s="11"/>
      <c r="O1420" s="13"/>
      <c r="P1420" s="14"/>
      <c r="Q1420" s="13"/>
      <c r="R1420" s="13"/>
      <c r="S1420" s="15"/>
      <c r="T1420" s="16"/>
      <c r="U1420" s="16"/>
      <c r="V1420" s="16"/>
      <c r="W1420" s="16"/>
      <c r="X1420" s="16"/>
      <c r="Y1420" s="11"/>
      <c r="Z1420" s="11"/>
      <c r="AA1420" s="11"/>
      <c r="AB1420" s="11"/>
      <c r="AC1420" s="11"/>
      <c r="AD1420" s="11"/>
    </row>
    <row r="1421">
      <c r="A1421" s="10"/>
      <c r="B1421" s="10"/>
      <c r="C1421" s="10"/>
      <c r="D1421" s="10"/>
      <c r="E1421" s="10"/>
      <c r="F1421" s="11"/>
      <c r="G1421" s="11"/>
      <c r="H1421" s="11"/>
      <c r="I1421" s="11"/>
      <c r="J1421" s="11" t="str">
        <f>IFERROR(__xludf.DUMMYFUNCTION("iferror(if($B1421="""", ,filter(Playoff_Stats!F:Z,Playoff_Stats!A:A=$B1421,Playoff_Stats!B:B=$A1421)))"),"")</f>
        <v/>
      </c>
      <c r="K1421" s="11"/>
      <c r="L1421" s="12"/>
      <c r="M1421" s="11"/>
      <c r="N1421" s="11"/>
      <c r="O1421" s="13"/>
      <c r="P1421" s="14"/>
      <c r="Q1421" s="13"/>
      <c r="R1421" s="13"/>
      <c r="S1421" s="15"/>
      <c r="T1421" s="16"/>
      <c r="U1421" s="16"/>
      <c r="V1421" s="16"/>
      <c r="W1421" s="16"/>
      <c r="X1421" s="16"/>
      <c r="Y1421" s="11"/>
      <c r="Z1421" s="11"/>
      <c r="AA1421" s="11"/>
      <c r="AB1421" s="11"/>
      <c r="AC1421" s="11"/>
      <c r="AD1421" s="11"/>
    </row>
    <row r="1422">
      <c r="A1422" s="10"/>
      <c r="B1422" s="10"/>
      <c r="C1422" s="10"/>
      <c r="D1422" s="10"/>
      <c r="E1422" s="10"/>
      <c r="F1422" s="11"/>
      <c r="G1422" s="11"/>
      <c r="H1422" s="11"/>
      <c r="I1422" s="11"/>
      <c r="J1422" s="11" t="str">
        <f>IFERROR(__xludf.DUMMYFUNCTION("iferror(if($B1422="""", ,filter(Playoff_Stats!F:Z,Playoff_Stats!A:A=$B1422,Playoff_Stats!B:B=$A1422)))"),"")</f>
        <v/>
      </c>
      <c r="K1422" s="11"/>
      <c r="L1422" s="12"/>
      <c r="M1422" s="11"/>
      <c r="N1422" s="11"/>
      <c r="O1422" s="13"/>
      <c r="P1422" s="14"/>
      <c r="Q1422" s="13"/>
      <c r="R1422" s="13"/>
      <c r="S1422" s="15"/>
      <c r="T1422" s="16"/>
      <c r="U1422" s="16"/>
      <c r="V1422" s="16"/>
      <c r="W1422" s="16"/>
      <c r="X1422" s="16"/>
      <c r="Y1422" s="11"/>
      <c r="Z1422" s="11"/>
      <c r="AA1422" s="11"/>
      <c r="AB1422" s="11"/>
      <c r="AC1422" s="11"/>
      <c r="AD1422" s="11"/>
    </row>
    <row r="1423">
      <c r="A1423" s="10"/>
      <c r="B1423" s="10"/>
      <c r="C1423" s="10"/>
      <c r="D1423" s="10"/>
      <c r="E1423" s="10"/>
      <c r="F1423" s="11"/>
      <c r="G1423" s="11"/>
      <c r="H1423" s="11"/>
      <c r="I1423" s="11"/>
      <c r="J1423" s="11" t="str">
        <f>IFERROR(__xludf.DUMMYFUNCTION("iferror(if($B1423="""", ,filter(Playoff_Stats!F:Z,Playoff_Stats!A:A=$B1423,Playoff_Stats!B:B=$A1423)))"),"")</f>
        <v/>
      </c>
      <c r="K1423" s="11"/>
      <c r="L1423" s="12"/>
      <c r="M1423" s="11"/>
      <c r="N1423" s="11"/>
      <c r="O1423" s="13"/>
      <c r="P1423" s="14"/>
      <c r="Q1423" s="13"/>
      <c r="R1423" s="13"/>
      <c r="S1423" s="15"/>
      <c r="T1423" s="16"/>
      <c r="U1423" s="16"/>
      <c r="V1423" s="16"/>
      <c r="W1423" s="16"/>
      <c r="X1423" s="16"/>
      <c r="Y1423" s="11"/>
      <c r="Z1423" s="11"/>
      <c r="AA1423" s="11"/>
      <c r="AB1423" s="11"/>
      <c r="AC1423" s="11"/>
      <c r="AD1423" s="11"/>
    </row>
    <row r="1424">
      <c r="A1424" s="10"/>
      <c r="B1424" s="10"/>
      <c r="C1424" s="10"/>
      <c r="D1424" s="10"/>
      <c r="E1424" s="10"/>
      <c r="F1424" s="11"/>
      <c r="G1424" s="11"/>
      <c r="H1424" s="11"/>
      <c r="I1424" s="11"/>
      <c r="J1424" s="11" t="str">
        <f>IFERROR(__xludf.DUMMYFUNCTION("iferror(if($B1424="""", ,filter(Playoff_Stats!F:Z,Playoff_Stats!A:A=$B1424,Playoff_Stats!B:B=$A1424)))"),"")</f>
        <v/>
      </c>
      <c r="K1424" s="11"/>
      <c r="L1424" s="12"/>
      <c r="M1424" s="11"/>
      <c r="N1424" s="11"/>
      <c r="O1424" s="13"/>
      <c r="P1424" s="14"/>
      <c r="Q1424" s="13"/>
      <c r="R1424" s="13"/>
      <c r="S1424" s="15"/>
      <c r="T1424" s="16"/>
      <c r="U1424" s="16"/>
      <c r="V1424" s="16"/>
      <c r="W1424" s="16"/>
      <c r="X1424" s="16"/>
      <c r="Y1424" s="11"/>
      <c r="Z1424" s="11"/>
      <c r="AA1424" s="11"/>
      <c r="AB1424" s="11"/>
      <c r="AC1424" s="11"/>
      <c r="AD1424" s="11"/>
    </row>
    <row r="1425">
      <c r="A1425" s="10"/>
      <c r="B1425" s="10"/>
      <c r="C1425" s="10"/>
      <c r="D1425" s="10"/>
      <c r="E1425" s="10"/>
      <c r="F1425" s="11"/>
      <c r="G1425" s="11"/>
      <c r="H1425" s="11"/>
      <c r="I1425" s="11"/>
      <c r="J1425" s="11" t="str">
        <f>IFERROR(__xludf.DUMMYFUNCTION("iferror(if($B1425="""", ,filter(Playoff_Stats!F:Z,Playoff_Stats!A:A=$B1425,Playoff_Stats!B:B=$A1425)))"),"")</f>
        <v/>
      </c>
      <c r="K1425" s="11"/>
      <c r="L1425" s="12"/>
      <c r="M1425" s="11"/>
      <c r="N1425" s="11"/>
      <c r="O1425" s="13"/>
      <c r="P1425" s="14"/>
      <c r="Q1425" s="13"/>
      <c r="R1425" s="13"/>
      <c r="S1425" s="15"/>
      <c r="T1425" s="16"/>
      <c r="U1425" s="16"/>
      <c r="V1425" s="16"/>
      <c r="W1425" s="16"/>
      <c r="X1425" s="16"/>
      <c r="Y1425" s="11"/>
      <c r="Z1425" s="11"/>
      <c r="AA1425" s="11"/>
      <c r="AB1425" s="11"/>
      <c r="AC1425" s="11"/>
      <c r="AD1425" s="11"/>
    </row>
    <row r="1426">
      <c r="A1426" s="10"/>
      <c r="B1426" s="10"/>
      <c r="C1426" s="10"/>
      <c r="D1426" s="10"/>
      <c r="E1426" s="10"/>
      <c r="F1426" s="11"/>
      <c r="G1426" s="11"/>
      <c r="H1426" s="11"/>
      <c r="I1426" s="11"/>
      <c r="J1426" s="11" t="str">
        <f>IFERROR(__xludf.DUMMYFUNCTION("iferror(if($B1426="""", ,filter(Playoff_Stats!F:Z,Playoff_Stats!A:A=$B1426,Playoff_Stats!B:B=$A1426)))"),"")</f>
        <v/>
      </c>
      <c r="K1426" s="11"/>
      <c r="L1426" s="12"/>
      <c r="M1426" s="11"/>
      <c r="N1426" s="11"/>
      <c r="O1426" s="13"/>
      <c r="P1426" s="14"/>
      <c r="Q1426" s="13"/>
      <c r="R1426" s="13"/>
      <c r="S1426" s="15"/>
      <c r="T1426" s="16"/>
      <c r="U1426" s="16"/>
      <c r="V1426" s="16"/>
      <c r="W1426" s="16"/>
      <c r="X1426" s="16"/>
      <c r="Y1426" s="11"/>
      <c r="Z1426" s="11"/>
      <c r="AA1426" s="11"/>
      <c r="AB1426" s="11"/>
      <c r="AC1426" s="11"/>
      <c r="AD1426" s="11"/>
    </row>
    <row r="1427">
      <c r="A1427" s="10"/>
      <c r="B1427" s="10"/>
      <c r="C1427" s="10"/>
      <c r="D1427" s="10"/>
      <c r="E1427" s="10"/>
      <c r="F1427" s="11"/>
      <c r="G1427" s="11"/>
      <c r="H1427" s="11"/>
      <c r="I1427" s="11"/>
      <c r="J1427" s="11" t="str">
        <f>IFERROR(__xludf.DUMMYFUNCTION("iferror(if($B1427="""", ,filter(Playoff_Stats!F:Z,Playoff_Stats!A:A=$B1427,Playoff_Stats!B:B=$A1427)))"),"")</f>
        <v/>
      </c>
      <c r="K1427" s="11"/>
      <c r="L1427" s="12"/>
      <c r="M1427" s="11"/>
      <c r="N1427" s="11"/>
      <c r="O1427" s="13"/>
      <c r="P1427" s="14"/>
      <c r="Q1427" s="13"/>
      <c r="R1427" s="13"/>
      <c r="S1427" s="15"/>
      <c r="T1427" s="16"/>
      <c r="U1427" s="16"/>
      <c r="V1427" s="16"/>
      <c r="W1427" s="16"/>
      <c r="X1427" s="16"/>
      <c r="Y1427" s="11"/>
      <c r="Z1427" s="11"/>
      <c r="AA1427" s="11"/>
      <c r="AB1427" s="11"/>
      <c r="AC1427" s="11"/>
      <c r="AD1427" s="11"/>
    </row>
    <row r="1428">
      <c r="A1428" s="10"/>
      <c r="B1428" s="10"/>
      <c r="C1428" s="10"/>
      <c r="D1428" s="10"/>
      <c r="E1428" s="10"/>
      <c r="F1428" s="11"/>
      <c r="G1428" s="11"/>
      <c r="H1428" s="11"/>
      <c r="I1428" s="11"/>
      <c r="J1428" s="11" t="str">
        <f>IFERROR(__xludf.DUMMYFUNCTION("iferror(if($B1428="""", ,filter(Playoff_Stats!F:Z,Playoff_Stats!A:A=$B1428,Playoff_Stats!B:B=$A1428)))"),"")</f>
        <v/>
      </c>
      <c r="K1428" s="11"/>
      <c r="L1428" s="12"/>
      <c r="M1428" s="11"/>
      <c r="N1428" s="11"/>
      <c r="O1428" s="13"/>
      <c r="P1428" s="14"/>
      <c r="Q1428" s="13"/>
      <c r="R1428" s="13"/>
      <c r="S1428" s="15"/>
      <c r="T1428" s="16"/>
      <c r="U1428" s="16"/>
      <c r="V1428" s="16"/>
      <c r="W1428" s="16"/>
      <c r="X1428" s="16"/>
      <c r="Y1428" s="11"/>
      <c r="Z1428" s="11"/>
      <c r="AA1428" s="11"/>
      <c r="AB1428" s="11"/>
      <c r="AC1428" s="11"/>
      <c r="AD1428" s="11"/>
    </row>
    <row r="1429">
      <c r="A1429" s="10"/>
      <c r="B1429" s="10"/>
      <c r="C1429" s="10"/>
      <c r="D1429" s="10"/>
      <c r="E1429" s="10"/>
      <c r="F1429" s="11"/>
      <c r="G1429" s="11"/>
      <c r="H1429" s="11"/>
      <c r="I1429" s="11"/>
      <c r="J1429" s="11" t="str">
        <f>IFERROR(__xludf.DUMMYFUNCTION("iferror(if($B1429="""", ,filter(Playoff_Stats!F:Z,Playoff_Stats!A:A=$B1429,Playoff_Stats!B:B=$A1429)))"),"")</f>
        <v/>
      </c>
      <c r="K1429" s="11"/>
      <c r="L1429" s="12"/>
      <c r="M1429" s="11"/>
      <c r="N1429" s="11"/>
      <c r="O1429" s="13"/>
      <c r="P1429" s="14"/>
      <c r="Q1429" s="13"/>
      <c r="R1429" s="13"/>
      <c r="S1429" s="15"/>
      <c r="T1429" s="16"/>
      <c r="U1429" s="16"/>
      <c r="V1429" s="16"/>
      <c r="W1429" s="16"/>
      <c r="X1429" s="16"/>
      <c r="Y1429" s="11"/>
      <c r="Z1429" s="11"/>
      <c r="AA1429" s="11"/>
      <c r="AB1429" s="11"/>
      <c r="AC1429" s="11"/>
      <c r="AD1429" s="11"/>
    </row>
    <row r="1430">
      <c r="A1430" s="10"/>
      <c r="B1430" s="10"/>
      <c r="C1430" s="10"/>
      <c r="D1430" s="10"/>
      <c r="E1430" s="10"/>
      <c r="F1430" s="11"/>
      <c r="G1430" s="11"/>
      <c r="H1430" s="11"/>
      <c r="I1430" s="11"/>
      <c r="J1430" s="11" t="str">
        <f>IFERROR(__xludf.DUMMYFUNCTION("iferror(if($B1430="""", ,filter(Playoff_Stats!F:Z,Playoff_Stats!A:A=$B1430,Playoff_Stats!B:B=$A1430)))"),"")</f>
        <v/>
      </c>
      <c r="K1430" s="11"/>
      <c r="L1430" s="12"/>
      <c r="M1430" s="11"/>
      <c r="N1430" s="11"/>
      <c r="O1430" s="13"/>
      <c r="P1430" s="14"/>
      <c r="Q1430" s="13"/>
      <c r="R1430" s="13"/>
      <c r="S1430" s="15"/>
      <c r="T1430" s="16"/>
      <c r="U1430" s="16"/>
      <c r="V1430" s="16"/>
      <c r="W1430" s="16"/>
      <c r="X1430" s="16"/>
      <c r="Y1430" s="11"/>
      <c r="Z1430" s="11"/>
      <c r="AA1430" s="11"/>
      <c r="AB1430" s="11"/>
      <c r="AC1430" s="11"/>
      <c r="AD1430" s="11"/>
    </row>
    <row r="1431">
      <c r="A1431" s="10"/>
      <c r="B1431" s="10"/>
      <c r="C1431" s="10"/>
      <c r="D1431" s="10"/>
      <c r="E1431" s="10"/>
      <c r="F1431" s="11"/>
      <c r="G1431" s="11"/>
      <c r="H1431" s="11"/>
      <c r="I1431" s="11"/>
      <c r="J1431" s="11" t="str">
        <f>IFERROR(__xludf.DUMMYFUNCTION("iferror(if($B1431="""", ,filter(Playoff_Stats!F:Z,Playoff_Stats!A:A=$B1431,Playoff_Stats!B:B=$A1431)))"),"")</f>
        <v/>
      </c>
      <c r="K1431" s="11"/>
      <c r="L1431" s="12"/>
      <c r="M1431" s="11"/>
      <c r="N1431" s="11"/>
      <c r="O1431" s="13"/>
      <c r="P1431" s="14"/>
      <c r="Q1431" s="13"/>
      <c r="R1431" s="13"/>
      <c r="S1431" s="15"/>
      <c r="T1431" s="16"/>
      <c r="U1431" s="16"/>
      <c r="V1431" s="16"/>
      <c r="W1431" s="16"/>
      <c r="X1431" s="16"/>
      <c r="Y1431" s="11"/>
      <c r="Z1431" s="11"/>
      <c r="AA1431" s="11"/>
      <c r="AB1431" s="11"/>
      <c r="AC1431" s="11"/>
      <c r="AD1431" s="11"/>
    </row>
    <row r="1432">
      <c r="A1432" s="10"/>
      <c r="B1432" s="10"/>
      <c r="C1432" s="10"/>
      <c r="D1432" s="10"/>
      <c r="E1432" s="10"/>
      <c r="F1432" s="11"/>
      <c r="G1432" s="11"/>
      <c r="H1432" s="11"/>
      <c r="I1432" s="11"/>
      <c r="J1432" s="11" t="str">
        <f>IFERROR(__xludf.DUMMYFUNCTION("iferror(if($B1432="""", ,filter(Playoff_Stats!F:Z,Playoff_Stats!A:A=$B1432,Playoff_Stats!B:B=$A1432)))"),"")</f>
        <v/>
      </c>
      <c r="K1432" s="11"/>
      <c r="L1432" s="12"/>
      <c r="M1432" s="11"/>
      <c r="N1432" s="11"/>
      <c r="O1432" s="13"/>
      <c r="P1432" s="14"/>
      <c r="Q1432" s="13"/>
      <c r="R1432" s="13"/>
      <c r="S1432" s="15"/>
      <c r="T1432" s="16"/>
      <c r="U1432" s="16"/>
      <c r="V1432" s="16"/>
      <c r="W1432" s="16"/>
      <c r="X1432" s="16"/>
      <c r="Y1432" s="11"/>
      <c r="Z1432" s="11"/>
      <c r="AA1432" s="11"/>
      <c r="AB1432" s="11"/>
      <c r="AC1432" s="11"/>
      <c r="AD1432" s="11"/>
    </row>
    <row r="1433">
      <c r="A1433" s="10"/>
      <c r="B1433" s="10"/>
      <c r="C1433" s="10"/>
      <c r="D1433" s="10"/>
      <c r="E1433" s="10"/>
      <c r="F1433" s="11"/>
      <c r="G1433" s="11"/>
      <c r="H1433" s="11"/>
      <c r="I1433" s="11"/>
      <c r="J1433" s="11" t="str">
        <f>IFERROR(__xludf.DUMMYFUNCTION("iferror(if($B1433="""", ,filter(Playoff_Stats!F:Z,Playoff_Stats!A:A=$B1433,Playoff_Stats!B:B=$A1433)))"),"")</f>
        <v/>
      </c>
      <c r="K1433" s="11"/>
      <c r="L1433" s="12"/>
      <c r="M1433" s="11"/>
      <c r="N1433" s="11"/>
      <c r="O1433" s="13"/>
      <c r="P1433" s="14"/>
      <c r="Q1433" s="13"/>
      <c r="R1433" s="13"/>
      <c r="S1433" s="15"/>
      <c r="T1433" s="16"/>
      <c r="U1433" s="16"/>
      <c r="V1433" s="16"/>
      <c r="W1433" s="16"/>
      <c r="X1433" s="16"/>
      <c r="Y1433" s="11"/>
      <c r="Z1433" s="11"/>
      <c r="AA1433" s="11"/>
      <c r="AB1433" s="11"/>
      <c r="AC1433" s="11"/>
      <c r="AD1433" s="11"/>
    </row>
    <row r="1434">
      <c r="A1434" s="10"/>
      <c r="B1434" s="10"/>
      <c r="C1434" s="10"/>
      <c r="D1434" s="10"/>
      <c r="E1434" s="10"/>
      <c r="F1434" s="11"/>
      <c r="G1434" s="11"/>
      <c r="H1434" s="11"/>
      <c r="I1434" s="11"/>
      <c r="J1434" s="11" t="str">
        <f>IFERROR(__xludf.DUMMYFUNCTION("iferror(if($B1434="""", ,filter(Playoff_Stats!F:Z,Playoff_Stats!A:A=$B1434,Playoff_Stats!B:B=$A1434)))"),"")</f>
        <v/>
      </c>
      <c r="K1434" s="11"/>
      <c r="L1434" s="12"/>
      <c r="M1434" s="11"/>
      <c r="N1434" s="11"/>
      <c r="O1434" s="13"/>
      <c r="P1434" s="14"/>
      <c r="Q1434" s="13"/>
      <c r="R1434" s="13"/>
      <c r="S1434" s="15"/>
      <c r="T1434" s="16"/>
      <c r="U1434" s="16"/>
      <c r="V1434" s="16"/>
      <c r="W1434" s="16"/>
      <c r="X1434" s="16"/>
      <c r="Y1434" s="11"/>
      <c r="Z1434" s="11"/>
      <c r="AA1434" s="11"/>
      <c r="AB1434" s="11"/>
      <c r="AC1434" s="11"/>
      <c r="AD1434" s="11"/>
    </row>
    <row r="1435">
      <c r="A1435" s="10"/>
      <c r="B1435" s="10"/>
      <c r="C1435" s="10"/>
      <c r="D1435" s="10"/>
      <c r="E1435" s="10"/>
      <c r="F1435" s="11"/>
      <c r="G1435" s="11"/>
      <c r="H1435" s="11"/>
      <c r="I1435" s="11"/>
      <c r="J1435" s="11" t="str">
        <f>IFERROR(__xludf.DUMMYFUNCTION("iferror(if($B1435="""", ,filter(Playoff_Stats!F:Z,Playoff_Stats!A:A=$B1435,Playoff_Stats!B:B=$A1435)))"),"")</f>
        <v/>
      </c>
      <c r="K1435" s="11"/>
      <c r="L1435" s="12"/>
      <c r="M1435" s="11"/>
      <c r="N1435" s="11"/>
      <c r="O1435" s="13"/>
      <c r="P1435" s="14"/>
      <c r="Q1435" s="13"/>
      <c r="R1435" s="13"/>
      <c r="S1435" s="15"/>
      <c r="T1435" s="16"/>
      <c r="U1435" s="16"/>
      <c r="V1435" s="16"/>
      <c r="W1435" s="16"/>
      <c r="X1435" s="16"/>
      <c r="Y1435" s="11"/>
      <c r="Z1435" s="11"/>
      <c r="AA1435" s="11"/>
      <c r="AB1435" s="11"/>
      <c r="AC1435" s="11"/>
      <c r="AD1435" s="11"/>
    </row>
    <row r="1436">
      <c r="A1436" s="10"/>
      <c r="B1436" s="10"/>
      <c r="C1436" s="10"/>
      <c r="D1436" s="10"/>
      <c r="E1436" s="10"/>
      <c r="F1436" s="11"/>
      <c r="G1436" s="11"/>
      <c r="H1436" s="11"/>
      <c r="I1436" s="11"/>
      <c r="J1436" s="11" t="str">
        <f>IFERROR(__xludf.DUMMYFUNCTION("iferror(if($B1436="""", ,filter(Playoff_Stats!F:Z,Playoff_Stats!A:A=$B1436,Playoff_Stats!B:B=$A1436)))"),"")</f>
        <v/>
      </c>
      <c r="K1436" s="11"/>
      <c r="L1436" s="12"/>
      <c r="M1436" s="11"/>
      <c r="N1436" s="11"/>
      <c r="O1436" s="13"/>
      <c r="P1436" s="14"/>
      <c r="Q1436" s="13"/>
      <c r="R1436" s="13"/>
      <c r="S1436" s="15"/>
      <c r="T1436" s="16"/>
      <c r="U1436" s="16"/>
      <c r="V1436" s="16"/>
      <c r="W1436" s="16"/>
      <c r="X1436" s="16"/>
      <c r="Y1436" s="11"/>
      <c r="Z1436" s="11"/>
      <c r="AA1436" s="11"/>
      <c r="AB1436" s="11"/>
      <c r="AC1436" s="11"/>
      <c r="AD1436" s="11"/>
    </row>
    <row r="1437">
      <c r="A1437" s="10"/>
      <c r="B1437" s="10"/>
      <c r="C1437" s="10"/>
      <c r="D1437" s="10"/>
      <c r="E1437" s="10"/>
      <c r="F1437" s="11"/>
      <c r="G1437" s="11"/>
      <c r="H1437" s="11"/>
      <c r="I1437" s="11"/>
      <c r="J1437" s="11" t="str">
        <f>IFERROR(__xludf.DUMMYFUNCTION("iferror(if($B1437="""", ,filter(Playoff_Stats!F:Z,Playoff_Stats!A:A=$B1437,Playoff_Stats!B:B=$A1437)))"),"")</f>
        <v/>
      </c>
      <c r="K1437" s="11"/>
      <c r="L1437" s="12"/>
      <c r="M1437" s="11"/>
      <c r="N1437" s="11"/>
      <c r="O1437" s="13"/>
      <c r="P1437" s="14"/>
      <c r="Q1437" s="13"/>
      <c r="R1437" s="13"/>
      <c r="S1437" s="15"/>
      <c r="T1437" s="16"/>
      <c r="U1437" s="16"/>
      <c r="V1437" s="16"/>
      <c r="W1437" s="16"/>
      <c r="X1437" s="16"/>
      <c r="Y1437" s="11"/>
      <c r="Z1437" s="11"/>
      <c r="AA1437" s="11"/>
      <c r="AB1437" s="11"/>
      <c r="AC1437" s="11"/>
      <c r="AD1437" s="11"/>
    </row>
    <row r="1438">
      <c r="A1438" s="10"/>
      <c r="B1438" s="10"/>
      <c r="C1438" s="10"/>
      <c r="D1438" s="10"/>
      <c r="E1438" s="10"/>
      <c r="F1438" s="11"/>
      <c r="G1438" s="11"/>
      <c r="H1438" s="11"/>
      <c r="I1438" s="11"/>
      <c r="J1438" s="11" t="str">
        <f>IFERROR(__xludf.DUMMYFUNCTION("iferror(if($B1438="""", ,filter(Playoff_Stats!F:Z,Playoff_Stats!A:A=$B1438,Playoff_Stats!B:B=$A1438)))"),"")</f>
        <v/>
      </c>
      <c r="K1438" s="11"/>
      <c r="L1438" s="12"/>
      <c r="M1438" s="11"/>
      <c r="N1438" s="11"/>
      <c r="O1438" s="13"/>
      <c r="P1438" s="14"/>
      <c r="Q1438" s="13"/>
      <c r="R1438" s="13"/>
      <c r="S1438" s="15"/>
      <c r="T1438" s="16"/>
      <c r="U1438" s="16"/>
      <c r="V1438" s="16"/>
      <c r="W1438" s="16"/>
      <c r="X1438" s="16"/>
      <c r="Y1438" s="11"/>
      <c r="Z1438" s="11"/>
      <c r="AA1438" s="11"/>
      <c r="AB1438" s="11"/>
      <c r="AC1438" s="11"/>
      <c r="AD1438" s="11"/>
    </row>
    <row r="1439">
      <c r="A1439" s="10"/>
      <c r="B1439" s="10"/>
      <c r="C1439" s="10"/>
      <c r="D1439" s="10"/>
      <c r="E1439" s="10"/>
      <c r="F1439" s="11"/>
      <c r="G1439" s="11"/>
      <c r="H1439" s="11"/>
      <c r="I1439" s="11"/>
      <c r="J1439" s="11" t="str">
        <f>IFERROR(__xludf.DUMMYFUNCTION("iferror(if($B1439="""", ,filter(Playoff_Stats!F:Z,Playoff_Stats!A:A=$B1439,Playoff_Stats!B:B=$A1439)))"),"")</f>
        <v/>
      </c>
      <c r="K1439" s="11"/>
      <c r="L1439" s="12"/>
      <c r="M1439" s="11"/>
      <c r="N1439" s="11"/>
      <c r="O1439" s="13"/>
      <c r="P1439" s="14"/>
      <c r="Q1439" s="13"/>
      <c r="R1439" s="13"/>
      <c r="S1439" s="15"/>
      <c r="T1439" s="16"/>
      <c r="U1439" s="16"/>
      <c r="V1439" s="16"/>
      <c r="W1439" s="16"/>
      <c r="X1439" s="16"/>
      <c r="Y1439" s="11"/>
      <c r="Z1439" s="11"/>
      <c r="AA1439" s="11"/>
      <c r="AB1439" s="11"/>
      <c r="AC1439" s="11"/>
      <c r="AD1439" s="11"/>
    </row>
    <row r="1440">
      <c r="A1440" s="10"/>
      <c r="B1440" s="10"/>
      <c r="C1440" s="10"/>
      <c r="D1440" s="10"/>
      <c r="E1440" s="10"/>
      <c r="F1440" s="11"/>
      <c r="G1440" s="11"/>
      <c r="H1440" s="11"/>
      <c r="I1440" s="11"/>
      <c r="J1440" s="11" t="str">
        <f>IFERROR(__xludf.DUMMYFUNCTION("iferror(if($B1440="""", ,filter(Playoff_Stats!F:Z,Playoff_Stats!A:A=$B1440,Playoff_Stats!B:B=$A1440)))"),"")</f>
        <v/>
      </c>
      <c r="K1440" s="11"/>
      <c r="L1440" s="12"/>
      <c r="M1440" s="11"/>
      <c r="N1440" s="11"/>
      <c r="O1440" s="13"/>
      <c r="P1440" s="14"/>
      <c r="Q1440" s="13"/>
      <c r="R1440" s="13"/>
      <c r="S1440" s="15"/>
      <c r="T1440" s="16"/>
      <c r="U1440" s="16"/>
      <c r="V1440" s="16"/>
      <c r="W1440" s="16"/>
      <c r="X1440" s="16"/>
      <c r="Y1440" s="11"/>
      <c r="Z1440" s="11"/>
      <c r="AA1440" s="11"/>
      <c r="AB1440" s="11"/>
      <c r="AC1440" s="11"/>
      <c r="AD1440" s="11"/>
    </row>
    <row r="1441">
      <c r="A1441" s="10"/>
      <c r="B1441" s="10"/>
      <c r="C1441" s="10"/>
      <c r="D1441" s="10"/>
      <c r="E1441" s="10"/>
      <c r="F1441" s="11"/>
      <c r="G1441" s="11"/>
      <c r="H1441" s="11"/>
      <c r="I1441" s="11"/>
      <c r="J1441" s="11" t="str">
        <f>IFERROR(__xludf.DUMMYFUNCTION("iferror(if($B1441="""", ,filter(Playoff_Stats!F:Z,Playoff_Stats!A:A=$B1441,Playoff_Stats!B:B=$A1441)))"),"")</f>
        <v/>
      </c>
      <c r="K1441" s="11"/>
      <c r="L1441" s="12"/>
      <c r="M1441" s="11"/>
      <c r="N1441" s="11"/>
      <c r="O1441" s="13"/>
      <c r="P1441" s="14"/>
      <c r="Q1441" s="13"/>
      <c r="R1441" s="13"/>
      <c r="S1441" s="15"/>
      <c r="T1441" s="16"/>
      <c r="U1441" s="16"/>
      <c r="V1441" s="16"/>
      <c r="W1441" s="16"/>
      <c r="X1441" s="16"/>
      <c r="Y1441" s="11"/>
      <c r="Z1441" s="11"/>
      <c r="AA1441" s="11"/>
      <c r="AB1441" s="11"/>
      <c r="AC1441" s="11"/>
      <c r="AD1441" s="11"/>
    </row>
    <row r="1442">
      <c r="A1442" s="10"/>
      <c r="B1442" s="10"/>
      <c r="C1442" s="10"/>
      <c r="D1442" s="10"/>
      <c r="E1442" s="10"/>
      <c r="F1442" s="11"/>
      <c r="G1442" s="11"/>
      <c r="H1442" s="11"/>
      <c r="I1442" s="11"/>
      <c r="J1442" s="11" t="str">
        <f>IFERROR(__xludf.DUMMYFUNCTION("iferror(if($B1442="""", ,filter(Playoff_Stats!F:Z,Playoff_Stats!A:A=$B1442,Playoff_Stats!B:B=$A1442)))"),"")</f>
        <v/>
      </c>
      <c r="K1442" s="11"/>
      <c r="L1442" s="12"/>
      <c r="M1442" s="11"/>
      <c r="N1442" s="11"/>
      <c r="O1442" s="13"/>
      <c r="P1442" s="14"/>
      <c r="Q1442" s="13"/>
      <c r="R1442" s="13"/>
      <c r="S1442" s="15"/>
      <c r="T1442" s="16"/>
      <c r="U1442" s="16"/>
      <c r="V1442" s="16"/>
      <c r="W1442" s="16"/>
      <c r="X1442" s="16"/>
      <c r="Y1442" s="11"/>
      <c r="Z1442" s="11"/>
      <c r="AA1442" s="11"/>
      <c r="AB1442" s="11"/>
      <c r="AC1442" s="11"/>
      <c r="AD1442" s="11"/>
    </row>
    <row r="1443">
      <c r="A1443" s="10"/>
      <c r="B1443" s="10"/>
      <c r="C1443" s="10"/>
      <c r="D1443" s="10"/>
      <c r="E1443" s="10"/>
      <c r="F1443" s="11"/>
      <c r="G1443" s="11"/>
      <c r="H1443" s="11"/>
      <c r="I1443" s="11"/>
      <c r="J1443" s="11" t="str">
        <f>IFERROR(__xludf.DUMMYFUNCTION("iferror(if($B1443="""", ,filter(Playoff_Stats!F:Z,Playoff_Stats!A:A=$B1443,Playoff_Stats!B:B=$A1443)))"),"")</f>
        <v/>
      </c>
      <c r="K1443" s="11"/>
      <c r="L1443" s="12"/>
      <c r="M1443" s="11"/>
      <c r="N1443" s="11"/>
      <c r="O1443" s="13"/>
      <c r="P1443" s="14"/>
      <c r="Q1443" s="13"/>
      <c r="R1443" s="13"/>
      <c r="S1443" s="15"/>
      <c r="T1443" s="16"/>
      <c r="U1443" s="16"/>
      <c r="V1443" s="16"/>
      <c r="W1443" s="16"/>
      <c r="X1443" s="16"/>
      <c r="Y1443" s="11"/>
      <c r="Z1443" s="11"/>
      <c r="AA1443" s="11"/>
      <c r="AB1443" s="11"/>
      <c r="AC1443" s="11"/>
      <c r="AD1443" s="11"/>
    </row>
    <row r="1444">
      <c r="A1444" s="10"/>
      <c r="B1444" s="10"/>
      <c r="C1444" s="10"/>
      <c r="D1444" s="10"/>
      <c r="E1444" s="10"/>
      <c r="F1444" s="11"/>
      <c r="G1444" s="11"/>
      <c r="H1444" s="11"/>
      <c r="I1444" s="11"/>
      <c r="J1444" s="11" t="str">
        <f>IFERROR(__xludf.DUMMYFUNCTION("iferror(if($B1444="""", ,filter(Playoff_Stats!F:Z,Playoff_Stats!A:A=$B1444,Playoff_Stats!B:B=$A1444)))"),"")</f>
        <v/>
      </c>
      <c r="K1444" s="11"/>
      <c r="L1444" s="12"/>
      <c r="M1444" s="11"/>
      <c r="N1444" s="11"/>
      <c r="O1444" s="13"/>
      <c r="P1444" s="14"/>
      <c r="Q1444" s="13"/>
      <c r="R1444" s="13"/>
      <c r="S1444" s="15"/>
      <c r="T1444" s="16"/>
      <c r="U1444" s="16"/>
      <c r="V1444" s="16"/>
      <c r="W1444" s="16"/>
      <c r="X1444" s="16"/>
      <c r="Y1444" s="11"/>
      <c r="Z1444" s="11"/>
      <c r="AA1444" s="11"/>
      <c r="AB1444" s="11"/>
      <c r="AC1444" s="11"/>
      <c r="AD1444" s="11"/>
    </row>
    <row r="1445">
      <c r="A1445" s="10"/>
      <c r="B1445" s="10"/>
      <c r="C1445" s="10"/>
      <c r="D1445" s="10"/>
      <c r="E1445" s="10"/>
      <c r="F1445" s="11"/>
      <c r="G1445" s="11"/>
      <c r="H1445" s="11"/>
      <c r="I1445" s="11"/>
      <c r="J1445" s="11" t="str">
        <f>IFERROR(__xludf.DUMMYFUNCTION("iferror(if($B1445="""", ,filter(Playoff_Stats!F:Z,Playoff_Stats!A:A=$B1445,Playoff_Stats!B:B=$A1445)))"),"")</f>
        <v/>
      </c>
      <c r="K1445" s="11"/>
      <c r="L1445" s="12"/>
      <c r="M1445" s="11"/>
      <c r="N1445" s="11"/>
      <c r="O1445" s="13"/>
      <c r="P1445" s="14"/>
      <c r="Q1445" s="13"/>
      <c r="R1445" s="13"/>
      <c r="S1445" s="15"/>
      <c r="T1445" s="16"/>
      <c r="U1445" s="16"/>
      <c r="V1445" s="16"/>
      <c r="W1445" s="16"/>
      <c r="X1445" s="16"/>
      <c r="Y1445" s="11"/>
      <c r="Z1445" s="11"/>
      <c r="AA1445" s="11"/>
      <c r="AB1445" s="11"/>
      <c r="AC1445" s="11"/>
      <c r="AD1445" s="11"/>
    </row>
    <row r="1446">
      <c r="A1446" s="10"/>
      <c r="B1446" s="10"/>
      <c r="C1446" s="10"/>
      <c r="D1446" s="10"/>
      <c r="E1446" s="10"/>
      <c r="F1446" s="11"/>
      <c r="G1446" s="11"/>
      <c r="H1446" s="11"/>
      <c r="I1446" s="11"/>
      <c r="J1446" s="11" t="str">
        <f>IFERROR(__xludf.DUMMYFUNCTION("iferror(if($B1446="""", ,filter(Playoff_Stats!F:Z,Playoff_Stats!A:A=$B1446,Playoff_Stats!B:B=$A1446)))"),"")</f>
        <v/>
      </c>
      <c r="K1446" s="11"/>
      <c r="L1446" s="12"/>
      <c r="M1446" s="11"/>
      <c r="N1446" s="11"/>
      <c r="O1446" s="13"/>
      <c r="P1446" s="14"/>
      <c r="Q1446" s="13"/>
      <c r="R1446" s="13"/>
      <c r="S1446" s="15"/>
      <c r="T1446" s="16"/>
      <c r="U1446" s="16"/>
      <c r="V1446" s="16"/>
      <c r="W1446" s="16"/>
      <c r="X1446" s="16"/>
      <c r="Y1446" s="11"/>
      <c r="Z1446" s="11"/>
      <c r="AA1446" s="11"/>
      <c r="AB1446" s="11"/>
      <c r="AC1446" s="11"/>
      <c r="AD1446" s="11"/>
    </row>
    <row r="1447">
      <c r="A1447" s="10"/>
      <c r="B1447" s="10"/>
      <c r="C1447" s="10"/>
      <c r="D1447" s="10"/>
      <c r="E1447" s="10"/>
      <c r="F1447" s="11"/>
      <c r="G1447" s="11"/>
      <c r="H1447" s="11"/>
      <c r="I1447" s="11"/>
      <c r="J1447" s="11" t="str">
        <f>IFERROR(__xludf.DUMMYFUNCTION("iferror(if($B1447="""", ,filter(Playoff_Stats!F:Z,Playoff_Stats!A:A=$B1447,Playoff_Stats!B:B=$A1447)))"),"")</f>
        <v/>
      </c>
      <c r="K1447" s="11"/>
      <c r="L1447" s="12"/>
      <c r="M1447" s="11"/>
      <c r="N1447" s="11"/>
      <c r="O1447" s="13"/>
      <c r="P1447" s="14"/>
      <c r="Q1447" s="13"/>
      <c r="R1447" s="13"/>
      <c r="S1447" s="15"/>
      <c r="T1447" s="16"/>
      <c r="U1447" s="16"/>
      <c r="V1447" s="16"/>
      <c r="W1447" s="16"/>
      <c r="X1447" s="16"/>
      <c r="Y1447" s="11"/>
      <c r="Z1447" s="11"/>
      <c r="AA1447" s="11"/>
      <c r="AB1447" s="11"/>
      <c r="AC1447" s="11"/>
      <c r="AD1447" s="11"/>
    </row>
    <row r="1448">
      <c r="A1448" s="10"/>
      <c r="B1448" s="10"/>
      <c r="C1448" s="10"/>
      <c r="D1448" s="10"/>
      <c r="E1448" s="10"/>
      <c r="F1448" s="11"/>
      <c r="G1448" s="11"/>
      <c r="H1448" s="11"/>
      <c r="I1448" s="11"/>
      <c r="J1448" s="11" t="str">
        <f>IFERROR(__xludf.DUMMYFUNCTION("iferror(if($B1448="""", ,filter(Playoff_Stats!F:Z,Playoff_Stats!A:A=$B1448,Playoff_Stats!B:B=$A1448)))"),"")</f>
        <v/>
      </c>
      <c r="K1448" s="11"/>
      <c r="L1448" s="12"/>
      <c r="M1448" s="11"/>
      <c r="N1448" s="11"/>
      <c r="O1448" s="13"/>
      <c r="P1448" s="14"/>
      <c r="Q1448" s="13"/>
      <c r="R1448" s="13"/>
      <c r="S1448" s="15"/>
      <c r="T1448" s="16"/>
      <c r="U1448" s="16"/>
      <c r="V1448" s="16"/>
      <c r="W1448" s="16"/>
      <c r="X1448" s="16"/>
      <c r="Y1448" s="11"/>
      <c r="Z1448" s="11"/>
      <c r="AA1448" s="11"/>
      <c r="AB1448" s="11"/>
      <c r="AC1448" s="11"/>
      <c r="AD1448" s="11"/>
    </row>
    <row r="1449">
      <c r="A1449" s="10"/>
      <c r="B1449" s="10"/>
      <c r="C1449" s="10"/>
      <c r="D1449" s="10"/>
      <c r="E1449" s="10"/>
      <c r="F1449" s="11"/>
      <c r="G1449" s="11"/>
      <c r="H1449" s="11"/>
      <c r="I1449" s="11"/>
      <c r="J1449" s="11" t="str">
        <f>IFERROR(__xludf.DUMMYFUNCTION("iferror(if($B1449="""", ,filter(Playoff_Stats!F:Z,Playoff_Stats!A:A=$B1449,Playoff_Stats!B:B=$A1449)))"),"")</f>
        <v/>
      </c>
      <c r="K1449" s="11"/>
      <c r="L1449" s="12"/>
      <c r="M1449" s="11"/>
      <c r="N1449" s="11"/>
      <c r="O1449" s="13"/>
      <c r="P1449" s="14"/>
      <c r="Q1449" s="13"/>
      <c r="R1449" s="13"/>
      <c r="S1449" s="15"/>
      <c r="T1449" s="16"/>
      <c r="U1449" s="16"/>
      <c r="V1449" s="16"/>
      <c r="W1449" s="16"/>
      <c r="X1449" s="16"/>
      <c r="Y1449" s="11"/>
      <c r="Z1449" s="11"/>
      <c r="AA1449" s="11"/>
      <c r="AB1449" s="11"/>
      <c r="AC1449" s="11"/>
      <c r="AD1449" s="11"/>
    </row>
    <row r="1450">
      <c r="A1450" s="10"/>
      <c r="B1450" s="10"/>
      <c r="C1450" s="10"/>
      <c r="D1450" s="10"/>
      <c r="E1450" s="10"/>
      <c r="F1450" s="11"/>
      <c r="G1450" s="11"/>
      <c r="H1450" s="11"/>
      <c r="I1450" s="11"/>
      <c r="J1450" s="11" t="str">
        <f>IFERROR(__xludf.DUMMYFUNCTION("iferror(if($B1450="""", ,filter(Playoff_Stats!F:Z,Playoff_Stats!A:A=$B1450,Playoff_Stats!B:B=$A1450)))"),"")</f>
        <v/>
      </c>
      <c r="K1450" s="11"/>
      <c r="L1450" s="12"/>
      <c r="M1450" s="11"/>
      <c r="N1450" s="11"/>
      <c r="O1450" s="13"/>
      <c r="P1450" s="14"/>
      <c r="Q1450" s="13"/>
      <c r="R1450" s="13"/>
      <c r="S1450" s="15"/>
      <c r="T1450" s="16"/>
      <c r="U1450" s="16"/>
      <c r="V1450" s="16"/>
      <c r="W1450" s="16"/>
      <c r="X1450" s="16"/>
      <c r="Y1450" s="11"/>
      <c r="Z1450" s="11"/>
      <c r="AA1450" s="11"/>
      <c r="AB1450" s="11"/>
      <c r="AC1450" s="11"/>
      <c r="AD1450" s="11"/>
    </row>
    <row r="1451">
      <c r="A1451" s="10"/>
      <c r="B1451" s="10"/>
      <c r="C1451" s="10"/>
      <c r="D1451" s="10"/>
      <c r="E1451" s="10"/>
      <c r="F1451" s="11"/>
      <c r="G1451" s="11"/>
      <c r="H1451" s="11"/>
      <c r="I1451" s="11"/>
      <c r="J1451" s="11" t="str">
        <f>IFERROR(__xludf.DUMMYFUNCTION("iferror(if($B1451="""", ,filter(Playoff_Stats!F:Z,Playoff_Stats!A:A=$B1451,Playoff_Stats!B:B=$A1451)))"),"")</f>
        <v/>
      </c>
      <c r="K1451" s="11"/>
      <c r="L1451" s="12"/>
      <c r="M1451" s="11"/>
      <c r="N1451" s="11"/>
      <c r="O1451" s="13"/>
      <c r="P1451" s="14"/>
      <c r="Q1451" s="13"/>
      <c r="R1451" s="13"/>
      <c r="S1451" s="15"/>
      <c r="T1451" s="16"/>
      <c r="U1451" s="16"/>
      <c r="V1451" s="16"/>
      <c r="W1451" s="16"/>
      <c r="X1451" s="16"/>
      <c r="Y1451" s="11"/>
      <c r="Z1451" s="11"/>
      <c r="AA1451" s="11"/>
      <c r="AB1451" s="11"/>
      <c r="AC1451" s="11"/>
      <c r="AD1451" s="11"/>
    </row>
    <row r="1452">
      <c r="A1452" s="10"/>
      <c r="B1452" s="10"/>
      <c r="C1452" s="10"/>
      <c r="D1452" s="10"/>
      <c r="E1452" s="10"/>
      <c r="F1452" s="11"/>
      <c r="G1452" s="11"/>
      <c r="H1452" s="11"/>
      <c r="I1452" s="11"/>
      <c r="J1452" s="11" t="str">
        <f>IFERROR(__xludf.DUMMYFUNCTION("iferror(if($B1452="""", ,filter(Playoff_Stats!F:Z,Playoff_Stats!A:A=$B1452,Playoff_Stats!B:B=$A1452)))"),"")</f>
        <v/>
      </c>
      <c r="K1452" s="11"/>
      <c r="L1452" s="12"/>
      <c r="M1452" s="11"/>
      <c r="N1452" s="11"/>
      <c r="O1452" s="13"/>
      <c r="P1452" s="14"/>
      <c r="Q1452" s="13"/>
      <c r="R1452" s="13"/>
      <c r="S1452" s="15"/>
      <c r="T1452" s="16"/>
      <c r="U1452" s="16"/>
      <c r="V1452" s="16"/>
      <c r="W1452" s="16"/>
      <c r="X1452" s="16"/>
      <c r="Y1452" s="11"/>
      <c r="Z1452" s="11"/>
      <c r="AA1452" s="11"/>
      <c r="AB1452" s="11"/>
      <c r="AC1452" s="11"/>
      <c r="AD1452" s="11"/>
    </row>
    <row r="1453">
      <c r="A1453" s="10"/>
      <c r="B1453" s="10"/>
      <c r="C1453" s="10"/>
      <c r="D1453" s="10"/>
      <c r="E1453" s="10"/>
      <c r="F1453" s="11"/>
      <c r="G1453" s="11"/>
      <c r="H1453" s="11"/>
      <c r="I1453" s="11"/>
      <c r="J1453" s="11" t="str">
        <f>IFERROR(__xludf.DUMMYFUNCTION("iferror(if($B1453="""", ,filter(Playoff_Stats!F:Z,Playoff_Stats!A:A=$B1453,Playoff_Stats!B:B=$A1453)))"),"")</f>
        <v/>
      </c>
      <c r="K1453" s="11"/>
      <c r="L1453" s="12"/>
      <c r="M1453" s="11"/>
      <c r="N1453" s="11"/>
      <c r="O1453" s="13"/>
      <c r="P1453" s="14"/>
      <c r="Q1453" s="13"/>
      <c r="R1453" s="13"/>
      <c r="S1453" s="15"/>
      <c r="T1453" s="16"/>
      <c r="U1453" s="16"/>
      <c r="V1453" s="16"/>
      <c r="W1453" s="16"/>
      <c r="X1453" s="16"/>
      <c r="Y1453" s="11"/>
      <c r="Z1453" s="11"/>
      <c r="AA1453" s="11"/>
      <c r="AB1453" s="11"/>
      <c r="AC1453" s="11"/>
      <c r="AD1453" s="11"/>
    </row>
    <row r="1454">
      <c r="A1454" s="10"/>
      <c r="B1454" s="10"/>
      <c r="C1454" s="10"/>
      <c r="D1454" s="10"/>
      <c r="E1454" s="10"/>
      <c r="F1454" s="11"/>
      <c r="G1454" s="11"/>
      <c r="H1454" s="11"/>
      <c r="I1454" s="11"/>
      <c r="J1454" s="11" t="str">
        <f>IFERROR(__xludf.DUMMYFUNCTION("iferror(if($B1454="""", ,filter(Playoff_Stats!F:Z,Playoff_Stats!A:A=$B1454,Playoff_Stats!B:B=$A1454)))"),"")</f>
        <v/>
      </c>
      <c r="K1454" s="11"/>
      <c r="L1454" s="12"/>
      <c r="M1454" s="11"/>
      <c r="N1454" s="11"/>
      <c r="O1454" s="13"/>
      <c r="P1454" s="14"/>
      <c r="Q1454" s="13"/>
      <c r="R1454" s="13"/>
      <c r="S1454" s="15"/>
      <c r="T1454" s="16"/>
      <c r="U1454" s="16"/>
      <c r="V1454" s="16"/>
      <c r="W1454" s="16"/>
      <c r="X1454" s="16"/>
      <c r="Y1454" s="11"/>
      <c r="Z1454" s="11"/>
      <c r="AA1454" s="11"/>
      <c r="AB1454" s="11"/>
      <c r="AC1454" s="11"/>
      <c r="AD1454" s="11"/>
    </row>
    <row r="1455">
      <c r="A1455" s="10"/>
      <c r="B1455" s="10"/>
      <c r="C1455" s="10"/>
      <c r="D1455" s="10"/>
      <c r="E1455" s="10"/>
      <c r="F1455" s="11"/>
      <c r="G1455" s="11"/>
      <c r="H1455" s="11"/>
      <c r="I1455" s="11"/>
      <c r="J1455" s="11" t="str">
        <f>IFERROR(__xludf.DUMMYFUNCTION("iferror(if($B1455="""", ,filter(Playoff_Stats!F:Z,Playoff_Stats!A:A=$B1455,Playoff_Stats!B:B=$A1455)))"),"")</f>
        <v/>
      </c>
      <c r="K1455" s="11"/>
      <c r="L1455" s="12"/>
      <c r="M1455" s="11"/>
      <c r="N1455" s="11"/>
      <c r="O1455" s="13"/>
      <c r="P1455" s="14"/>
      <c r="Q1455" s="13"/>
      <c r="R1455" s="13"/>
      <c r="S1455" s="15"/>
      <c r="T1455" s="16"/>
      <c r="U1455" s="16"/>
      <c r="V1455" s="16"/>
      <c r="W1455" s="16"/>
      <c r="X1455" s="16"/>
      <c r="Y1455" s="11"/>
      <c r="Z1455" s="11"/>
      <c r="AA1455" s="11"/>
      <c r="AB1455" s="11"/>
      <c r="AC1455" s="11"/>
      <c r="AD1455" s="11"/>
    </row>
    <row r="1456">
      <c r="A1456" s="10"/>
      <c r="B1456" s="10"/>
      <c r="C1456" s="10"/>
      <c r="D1456" s="10"/>
      <c r="E1456" s="10"/>
      <c r="F1456" s="11"/>
      <c r="G1456" s="11"/>
      <c r="H1456" s="11"/>
      <c r="I1456" s="11"/>
      <c r="J1456" s="11" t="str">
        <f>IFERROR(__xludf.DUMMYFUNCTION("iferror(if($B1456="""", ,filter(Playoff_Stats!F:Z,Playoff_Stats!A:A=$B1456,Playoff_Stats!B:B=$A1456)))"),"")</f>
        <v/>
      </c>
      <c r="K1456" s="11"/>
      <c r="L1456" s="12"/>
      <c r="M1456" s="11"/>
      <c r="N1456" s="11"/>
      <c r="O1456" s="13"/>
      <c r="P1456" s="14"/>
      <c r="Q1456" s="13"/>
      <c r="R1456" s="13"/>
      <c r="S1456" s="15"/>
      <c r="T1456" s="16"/>
      <c r="U1456" s="16"/>
      <c r="V1456" s="16"/>
      <c r="W1456" s="16"/>
      <c r="X1456" s="16"/>
      <c r="Y1456" s="11"/>
      <c r="Z1456" s="11"/>
      <c r="AA1456" s="11"/>
      <c r="AB1456" s="11"/>
      <c r="AC1456" s="11"/>
      <c r="AD1456" s="11"/>
    </row>
    <row r="1457">
      <c r="A1457" s="10"/>
      <c r="B1457" s="10"/>
      <c r="C1457" s="10"/>
      <c r="D1457" s="10"/>
      <c r="E1457" s="10"/>
      <c r="F1457" s="11"/>
      <c r="G1457" s="11"/>
      <c r="H1457" s="11"/>
      <c r="I1457" s="11"/>
      <c r="J1457" s="11" t="str">
        <f>IFERROR(__xludf.DUMMYFUNCTION("iferror(if($B1457="""", ,filter(Playoff_Stats!F:Z,Playoff_Stats!A:A=$B1457,Playoff_Stats!B:B=$A1457)))"),"")</f>
        <v/>
      </c>
      <c r="K1457" s="11"/>
      <c r="L1457" s="12"/>
      <c r="M1457" s="11"/>
      <c r="N1457" s="11"/>
      <c r="O1457" s="13"/>
      <c r="P1457" s="14"/>
      <c r="Q1457" s="13"/>
      <c r="R1457" s="13"/>
      <c r="S1457" s="15"/>
      <c r="T1457" s="16"/>
      <c r="U1457" s="16"/>
      <c r="V1457" s="16"/>
      <c r="W1457" s="16"/>
      <c r="X1457" s="16"/>
      <c r="Y1457" s="11"/>
      <c r="Z1457" s="11"/>
      <c r="AA1457" s="11"/>
      <c r="AB1457" s="11"/>
      <c r="AC1457" s="11"/>
      <c r="AD1457" s="11"/>
    </row>
    <row r="1458">
      <c r="A1458" s="10"/>
      <c r="B1458" s="10"/>
      <c r="C1458" s="10"/>
      <c r="D1458" s="10"/>
      <c r="E1458" s="10"/>
      <c r="F1458" s="11"/>
      <c r="G1458" s="11"/>
      <c r="H1458" s="11"/>
      <c r="I1458" s="11"/>
      <c r="J1458" s="11" t="str">
        <f>IFERROR(__xludf.DUMMYFUNCTION("iferror(if($B1458="""", ,filter(Playoff_Stats!F:Z,Playoff_Stats!A:A=$B1458,Playoff_Stats!B:B=$A1458)))"),"")</f>
        <v/>
      </c>
      <c r="K1458" s="11"/>
      <c r="L1458" s="12"/>
      <c r="M1458" s="11"/>
      <c r="N1458" s="11"/>
      <c r="O1458" s="13"/>
      <c r="P1458" s="14"/>
      <c r="Q1458" s="13"/>
      <c r="R1458" s="13"/>
      <c r="S1458" s="15"/>
      <c r="T1458" s="16"/>
      <c r="U1458" s="16"/>
      <c r="V1458" s="16"/>
      <c r="W1458" s="16"/>
      <c r="X1458" s="16"/>
      <c r="Y1458" s="11"/>
      <c r="Z1458" s="11"/>
      <c r="AA1458" s="11"/>
      <c r="AB1458" s="11"/>
      <c r="AC1458" s="11"/>
      <c r="AD1458" s="11"/>
    </row>
    <row r="1459">
      <c r="A1459" s="10"/>
      <c r="B1459" s="10"/>
      <c r="C1459" s="10"/>
      <c r="D1459" s="10"/>
      <c r="E1459" s="10"/>
      <c r="F1459" s="11"/>
      <c r="G1459" s="11"/>
      <c r="H1459" s="11"/>
      <c r="I1459" s="11"/>
      <c r="J1459" s="11" t="str">
        <f>IFERROR(__xludf.DUMMYFUNCTION("iferror(if($B1459="""", ,filter(Playoff_Stats!F:Z,Playoff_Stats!A:A=$B1459,Playoff_Stats!B:B=$A1459)))"),"")</f>
        <v/>
      </c>
      <c r="K1459" s="11"/>
      <c r="L1459" s="12"/>
      <c r="M1459" s="11"/>
      <c r="N1459" s="11"/>
      <c r="O1459" s="13"/>
      <c r="P1459" s="14"/>
      <c r="Q1459" s="13"/>
      <c r="R1459" s="13"/>
      <c r="S1459" s="15"/>
      <c r="T1459" s="16"/>
      <c r="U1459" s="16"/>
      <c r="V1459" s="16"/>
      <c r="W1459" s="16"/>
      <c r="X1459" s="16"/>
      <c r="Y1459" s="11"/>
      <c r="Z1459" s="11"/>
      <c r="AA1459" s="11"/>
      <c r="AB1459" s="11"/>
      <c r="AC1459" s="11"/>
      <c r="AD1459" s="11"/>
    </row>
    <row r="1460">
      <c r="A1460" s="10"/>
      <c r="B1460" s="10"/>
      <c r="C1460" s="10"/>
      <c r="D1460" s="10"/>
      <c r="E1460" s="10"/>
      <c r="F1460" s="11"/>
      <c r="G1460" s="11"/>
      <c r="H1460" s="11"/>
      <c r="I1460" s="11"/>
      <c r="J1460" s="11" t="str">
        <f>IFERROR(__xludf.DUMMYFUNCTION("iferror(if($B1460="""", ,filter(Playoff_Stats!F:Z,Playoff_Stats!A:A=$B1460,Playoff_Stats!B:B=$A1460)))"),"")</f>
        <v/>
      </c>
      <c r="K1460" s="11"/>
      <c r="L1460" s="12"/>
      <c r="M1460" s="11"/>
      <c r="N1460" s="11"/>
      <c r="O1460" s="13"/>
      <c r="P1460" s="14"/>
      <c r="Q1460" s="13"/>
      <c r="R1460" s="13"/>
      <c r="S1460" s="15"/>
      <c r="T1460" s="16"/>
      <c r="U1460" s="16"/>
      <c r="V1460" s="16"/>
      <c r="W1460" s="16"/>
      <c r="X1460" s="16"/>
      <c r="Y1460" s="11"/>
      <c r="Z1460" s="11"/>
      <c r="AA1460" s="11"/>
      <c r="AB1460" s="11"/>
      <c r="AC1460" s="11"/>
      <c r="AD1460" s="11"/>
    </row>
    <row r="1461">
      <c r="A1461" s="10"/>
      <c r="B1461" s="10"/>
      <c r="C1461" s="10"/>
      <c r="D1461" s="10"/>
      <c r="E1461" s="10"/>
      <c r="F1461" s="11"/>
      <c r="G1461" s="11"/>
      <c r="H1461" s="11"/>
      <c r="I1461" s="11"/>
      <c r="J1461" s="11" t="str">
        <f>IFERROR(__xludf.DUMMYFUNCTION("iferror(if($B1461="""", ,filter(Playoff_Stats!F:Z,Playoff_Stats!A:A=$B1461,Playoff_Stats!B:B=$A1461)))"),"")</f>
        <v/>
      </c>
      <c r="K1461" s="11"/>
      <c r="L1461" s="12"/>
      <c r="M1461" s="11"/>
      <c r="N1461" s="11"/>
      <c r="O1461" s="13"/>
      <c r="P1461" s="14"/>
      <c r="Q1461" s="13"/>
      <c r="R1461" s="13"/>
      <c r="S1461" s="15"/>
      <c r="T1461" s="16"/>
      <c r="U1461" s="16"/>
      <c r="V1461" s="16"/>
      <c r="W1461" s="16"/>
      <c r="X1461" s="16"/>
      <c r="Y1461" s="11"/>
      <c r="Z1461" s="11"/>
      <c r="AA1461" s="11"/>
      <c r="AB1461" s="11"/>
      <c r="AC1461" s="11"/>
      <c r="AD1461" s="11"/>
    </row>
    <row r="1462">
      <c r="A1462" s="10"/>
      <c r="B1462" s="10"/>
      <c r="C1462" s="10"/>
      <c r="D1462" s="10"/>
      <c r="E1462" s="10"/>
      <c r="F1462" s="11"/>
      <c r="G1462" s="11"/>
      <c r="H1462" s="11"/>
      <c r="I1462" s="11"/>
      <c r="J1462" s="11" t="str">
        <f>IFERROR(__xludf.DUMMYFUNCTION("iferror(if($B1462="""", ,filter(Playoff_Stats!F:Z,Playoff_Stats!A:A=$B1462,Playoff_Stats!B:B=$A1462)))"),"")</f>
        <v/>
      </c>
      <c r="K1462" s="11"/>
      <c r="L1462" s="12"/>
      <c r="M1462" s="11"/>
      <c r="N1462" s="11"/>
      <c r="O1462" s="13"/>
      <c r="P1462" s="14"/>
      <c r="Q1462" s="13"/>
      <c r="R1462" s="13"/>
      <c r="S1462" s="15"/>
      <c r="T1462" s="16"/>
      <c r="U1462" s="16"/>
      <c r="V1462" s="16"/>
      <c r="W1462" s="16"/>
      <c r="X1462" s="16"/>
      <c r="Y1462" s="11"/>
      <c r="Z1462" s="11"/>
      <c r="AA1462" s="11"/>
      <c r="AB1462" s="11"/>
      <c r="AC1462" s="11"/>
      <c r="AD1462" s="11"/>
    </row>
    <row r="1463">
      <c r="A1463" s="10"/>
      <c r="B1463" s="10"/>
      <c r="C1463" s="10"/>
      <c r="D1463" s="10"/>
      <c r="E1463" s="10"/>
      <c r="F1463" s="11"/>
      <c r="G1463" s="11"/>
      <c r="H1463" s="11"/>
      <c r="I1463" s="11"/>
      <c r="J1463" s="11" t="str">
        <f>IFERROR(__xludf.DUMMYFUNCTION("iferror(if($B1463="""", ,filter(Playoff_Stats!F:Z,Playoff_Stats!A:A=$B1463,Playoff_Stats!B:B=$A1463)))"),"")</f>
        <v/>
      </c>
      <c r="K1463" s="11"/>
      <c r="L1463" s="12"/>
      <c r="M1463" s="11"/>
      <c r="N1463" s="11"/>
      <c r="O1463" s="13"/>
      <c r="P1463" s="14"/>
      <c r="Q1463" s="13"/>
      <c r="R1463" s="13"/>
      <c r="S1463" s="15"/>
      <c r="T1463" s="16"/>
      <c r="U1463" s="16"/>
      <c r="V1463" s="16"/>
      <c r="W1463" s="16"/>
      <c r="X1463" s="16"/>
      <c r="Y1463" s="11"/>
      <c r="Z1463" s="11"/>
      <c r="AA1463" s="11"/>
      <c r="AB1463" s="11"/>
      <c r="AC1463" s="11"/>
      <c r="AD1463" s="11"/>
    </row>
    <row r="1464">
      <c r="A1464" s="10"/>
      <c r="B1464" s="10"/>
      <c r="C1464" s="10"/>
      <c r="D1464" s="10"/>
      <c r="E1464" s="10"/>
      <c r="F1464" s="11"/>
      <c r="G1464" s="11"/>
      <c r="H1464" s="11"/>
      <c r="I1464" s="11"/>
      <c r="J1464" s="11" t="str">
        <f>IFERROR(__xludf.DUMMYFUNCTION("iferror(if($B1464="""", ,filter(Playoff_Stats!F:Z,Playoff_Stats!A:A=$B1464,Playoff_Stats!B:B=$A1464)))"),"")</f>
        <v/>
      </c>
      <c r="K1464" s="11"/>
      <c r="L1464" s="12"/>
      <c r="M1464" s="11"/>
      <c r="N1464" s="11"/>
      <c r="O1464" s="13"/>
      <c r="P1464" s="14"/>
      <c r="Q1464" s="13"/>
      <c r="R1464" s="13"/>
      <c r="S1464" s="15"/>
      <c r="T1464" s="16"/>
      <c r="U1464" s="16"/>
      <c r="V1464" s="16"/>
      <c r="W1464" s="16"/>
      <c r="X1464" s="16"/>
      <c r="Y1464" s="11"/>
      <c r="Z1464" s="11"/>
      <c r="AA1464" s="11"/>
      <c r="AB1464" s="11"/>
      <c r="AC1464" s="11"/>
      <c r="AD1464" s="11"/>
    </row>
    <row r="1465">
      <c r="A1465" s="10"/>
      <c r="B1465" s="10"/>
      <c r="C1465" s="10"/>
      <c r="D1465" s="10"/>
      <c r="E1465" s="10"/>
      <c r="F1465" s="11"/>
      <c r="G1465" s="11"/>
      <c r="H1465" s="11"/>
      <c r="I1465" s="11"/>
      <c r="J1465" s="11" t="str">
        <f>IFERROR(__xludf.DUMMYFUNCTION("iferror(if($B1465="""", ,filter(Playoff_Stats!F:Z,Playoff_Stats!A:A=$B1465,Playoff_Stats!B:B=$A1465)))"),"")</f>
        <v/>
      </c>
      <c r="K1465" s="11"/>
      <c r="L1465" s="12"/>
      <c r="M1465" s="11"/>
      <c r="N1465" s="11"/>
      <c r="O1465" s="13"/>
      <c r="P1465" s="14"/>
      <c r="Q1465" s="13"/>
      <c r="R1465" s="13"/>
      <c r="S1465" s="15"/>
      <c r="T1465" s="16"/>
      <c r="U1465" s="16"/>
      <c r="V1465" s="16"/>
      <c r="W1465" s="16"/>
      <c r="X1465" s="16"/>
      <c r="Y1465" s="11"/>
      <c r="Z1465" s="11"/>
      <c r="AA1465" s="11"/>
      <c r="AB1465" s="11"/>
      <c r="AC1465" s="11"/>
      <c r="AD1465" s="11"/>
    </row>
    <row r="1466">
      <c r="A1466" s="10"/>
      <c r="B1466" s="10"/>
      <c r="C1466" s="10"/>
      <c r="D1466" s="10"/>
      <c r="E1466" s="10"/>
      <c r="F1466" s="11"/>
      <c r="G1466" s="11"/>
      <c r="H1466" s="11"/>
      <c r="I1466" s="11"/>
      <c r="J1466" s="11" t="str">
        <f>IFERROR(__xludf.DUMMYFUNCTION("iferror(if($B1466="""", ,filter(Playoff_Stats!F:Z,Playoff_Stats!A:A=$B1466,Playoff_Stats!B:B=$A1466)))"),"")</f>
        <v/>
      </c>
      <c r="K1466" s="11"/>
      <c r="L1466" s="12"/>
      <c r="M1466" s="11"/>
      <c r="N1466" s="11"/>
      <c r="O1466" s="13"/>
      <c r="P1466" s="14"/>
      <c r="Q1466" s="13"/>
      <c r="R1466" s="13"/>
      <c r="S1466" s="15"/>
      <c r="T1466" s="16"/>
      <c r="U1466" s="16"/>
      <c r="V1466" s="16"/>
      <c r="W1466" s="16"/>
      <c r="X1466" s="16"/>
      <c r="Y1466" s="11"/>
      <c r="Z1466" s="11"/>
      <c r="AA1466" s="11"/>
      <c r="AB1466" s="11"/>
      <c r="AC1466" s="11"/>
      <c r="AD1466" s="11"/>
    </row>
    <row r="1467">
      <c r="A1467" s="10"/>
      <c r="B1467" s="10"/>
      <c r="C1467" s="10"/>
      <c r="D1467" s="10"/>
      <c r="E1467" s="10"/>
      <c r="F1467" s="11"/>
      <c r="G1467" s="11"/>
      <c r="H1467" s="11"/>
      <c r="I1467" s="11"/>
      <c r="J1467" s="11" t="str">
        <f>IFERROR(__xludf.DUMMYFUNCTION("iferror(if($B1467="""", ,filter(Playoff_Stats!F:Z,Playoff_Stats!A:A=$B1467,Playoff_Stats!B:B=$A1467)))"),"")</f>
        <v/>
      </c>
      <c r="K1467" s="11"/>
      <c r="L1467" s="12"/>
      <c r="M1467" s="11"/>
      <c r="N1467" s="11"/>
      <c r="O1467" s="13"/>
      <c r="P1467" s="14"/>
      <c r="Q1467" s="13"/>
      <c r="R1467" s="13"/>
      <c r="S1467" s="15"/>
      <c r="T1467" s="16"/>
      <c r="U1467" s="16"/>
      <c r="V1467" s="16"/>
      <c r="W1467" s="16"/>
      <c r="X1467" s="16"/>
      <c r="Y1467" s="11"/>
      <c r="Z1467" s="11"/>
      <c r="AA1467" s="11"/>
      <c r="AB1467" s="11"/>
      <c r="AC1467" s="11"/>
      <c r="AD1467" s="11"/>
    </row>
    <row r="1468">
      <c r="A1468" s="10"/>
      <c r="B1468" s="10"/>
      <c r="C1468" s="10"/>
      <c r="D1468" s="10"/>
      <c r="E1468" s="10"/>
      <c r="F1468" s="11"/>
      <c r="G1468" s="11"/>
      <c r="H1468" s="11"/>
      <c r="I1468" s="11"/>
      <c r="J1468" s="11" t="str">
        <f>IFERROR(__xludf.DUMMYFUNCTION("iferror(if($B1468="""", ,filter(Playoff_Stats!F:Z,Playoff_Stats!A:A=$B1468,Playoff_Stats!B:B=$A1468)))"),"")</f>
        <v/>
      </c>
      <c r="K1468" s="11"/>
      <c r="L1468" s="12"/>
      <c r="M1468" s="11"/>
      <c r="N1468" s="11"/>
      <c r="O1468" s="13"/>
      <c r="P1468" s="14"/>
      <c r="Q1468" s="13"/>
      <c r="R1468" s="13"/>
      <c r="S1468" s="15"/>
      <c r="T1468" s="16"/>
      <c r="U1468" s="16"/>
      <c r="V1468" s="16"/>
      <c r="W1468" s="16"/>
      <c r="X1468" s="16"/>
      <c r="Y1468" s="11"/>
      <c r="Z1468" s="11"/>
      <c r="AA1468" s="11"/>
      <c r="AB1468" s="11"/>
      <c r="AC1468" s="11"/>
      <c r="AD1468" s="11"/>
    </row>
    <row r="1469">
      <c r="A1469" s="10"/>
      <c r="B1469" s="10"/>
      <c r="C1469" s="10"/>
      <c r="D1469" s="10"/>
      <c r="E1469" s="10"/>
      <c r="F1469" s="11"/>
      <c r="G1469" s="11"/>
      <c r="H1469" s="11"/>
      <c r="I1469" s="11"/>
      <c r="J1469" s="11" t="str">
        <f>IFERROR(__xludf.DUMMYFUNCTION("iferror(if($B1469="""", ,filter(Playoff_Stats!F:Z,Playoff_Stats!A:A=$B1469,Playoff_Stats!B:B=$A1469)))"),"")</f>
        <v/>
      </c>
      <c r="K1469" s="11"/>
      <c r="L1469" s="12"/>
      <c r="M1469" s="11"/>
      <c r="N1469" s="11"/>
      <c r="O1469" s="13"/>
      <c r="P1469" s="14"/>
      <c r="Q1469" s="13"/>
      <c r="R1469" s="13"/>
      <c r="S1469" s="15"/>
      <c r="T1469" s="16"/>
      <c r="U1469" s="16"/>
      <c r="V1469" s="16"/>
      <c r="W1469" s="16"/>
      <c r="X1469" s="16"/>
      <c r="Y1469" s="11"/>
      <c r="Z1469" s="11"/>
      <c r="AA1469" s="11"/>
      <c r="AB1469" s="11"/>
      <c r="AC1469" s="11"/>
      <c r="AD1469" s="11"/>
    </row>
    <row r="1470">
      <c r="A1470" s="10"/>
      <c r="B1470" s="10"/>
      <c r="C1470" s="10"/>
      <c r="D1470" s="10"/>
      <c r="E1470" s="10"/>
      <c r="F1470" s="11"/>
      <c r="G1470" s="11"/>
      <c r="H1470" s="11"/>
      <c r="I1470" s="11"/>
      <c r="J1470" s="11" t="str">
        <f>IFERROR(__xludf.DUMMYFUNCTION("iferror(if($B1470="""", ,filter(Playoff_Stats!F:Z,Playoff_Stats!A:A=$B1470,Playoff_Stats!B:B=$A1470)))"),"")</f>
        <v/>
      </c>
      <c r="K1470" s="11"/>
      <c r="L1470" s="12"/>
      <c r="M1470" s="11"/>
      <c r="N1470" s="11"/>
      <c r="O1470" s="13"/>
      <c r="P1470" s="14"/>
      <c r="Q1470" s="13"/>
      <c r="R1470" s="13"/>
      <c r="S1470" s="15"/>
      <c r="T1470" s="16"/>
      <c r="U1470" s="16"/>
      <c r="V1470" s="16"/>
      <c r="W1470" s="16"/>
      <c r="X1470" s="16"/>
      <c r="Y1470" s="11"/>
      <c r="Z1470" s="11"/>
      <c r="AA1470" s="11"/>
      <c r="AB1470" s="11"/>
      <c r="AC1470" s="11"/>
      <c r="AD1470" s="11"/>
    </row>
    <row r="1471">
      <c r="A1471" s="10"/>
      <c r="B1471" s="10"/>
      <c r="C1471" s="10"/>
      <c r="D1471" s="10"/>
      <c r="E1471" s="10"/>
      <c r="F1471" s="11"/>
      <c r="G1471" s="11"/>
      <c r="H1471" s="11"/>
      <c r="I1471" s="11"/>
      <c r="J1471" s="11" t="str">
        <f>IFERROR(__xludf.DUMMYFUNCTION("iferror(if($B1471="""", ,filter(Playoff_Stats!F:Z,Playoff_Stats!A:A=$B1471,Playoff_Stats!B:B=$A1471)))"),"")</f>
        <v/>
      </c>
      <c r="K1471" s="11"/>
      <c r="L1471" s="12"/>
      <c r="M1471" s="11"/>
      <c r="N1471" s="11"/>
      <c r="O1471" s="13"/>
      <c r="P1471" s="14"/>
      <c r="Q1471" s="13"/>
      <c r="R1471" s="13"/>
      <c r="S1471" s="15"/>
      <c r="T1471" s="16"/>
      <c r="U1471" s="16"/>
      <c r="V1471" s="16"/>
      <c r="W1471" s="16"/>
      <c r="X1471" s="16"/>
      <c r="Y1471" s="11"/>
      <c r="Z1471" s="11"/>
      <c r="AA1471" s="11"/>
      <c r="AB1471" s="11"/>
      <c r="AC1471" s="11"/>
      <c r="AD1471" s="11"/>
    </row>
    <row r="1472">
      <c r="A1472" s="10"/>
      <c r="B1472" s="10"/>
      <c r="C1472" s="10"/>
      <c r="D1472" s="10"/>
      <c r="E1472" s="10"/>
      <c r="F1472" s="11"/>
      <c r="G1472" s="11"/>
      <c r="H1472" s="11"/>
      <c r="I1472" s="11"/>
      <c r="J1472" s="11" t="str">
        <f>IFERROR(__xludf.DUMMYFUNCTION("iferror(if($B1472="""", ,filter(Playoff_Stats!F:Z,Playoff_Stats!A:A=$B1472,Playoff_Stats!B:B=$A1472)))"),"")</f>
        <v/>
      </c>
      <c r="K1472" s="11"/>
      <c r="L1472" s="12"/>
      <c r="M1472" s="11"/>
      <c r="N1472" s="11"/>
      <c r="O1472" s="13"/>
      <c r="P1472" s="14"/>
      <c r="Q1472" s="13"/>
      <c r="R1472" s="13"/>
      <c r="S1472" s="15"/>
      <c r="T1472" s="16"/>
      <c r="U1472" s="16"/>
      <c r="V1472" s="16"/>
      <c r="W1472" s="16"/>
      <c r="X1472" s="16"/>
      <c r="Y1472" s="11"/>
      <c r="Z1472" s="11"/>
      <c r="AA1472" s="11"/>
      <c r="AB1472" s="11"/>
      <c r="AC1472" s="11"/>
      <c r="AD1472" s="11"/>
    </row>
    <row r="1473">
      <c r="A1473" s="10"/>
      <c r="B1473" s="10"/>
      <c r="C1473" s="10"/>
      <c r="D1473" s="10"/>
      <c r="E1473" s="10"/>
      <c r="F1473" s="11"/>
      <c r="G1473" s="11"/>
      <c r="H1473" s="11"/>
      <c r="I1473" s="11"/>
      <c r="J1473" s="11" t="str">
        <f>IFERROR(__xludf.DUMMYFUNCTION("iferror(if($B1473="""", ,filter(Playoff_Stats!F:Z,Playoff_Stats!A:A=$B1473,Playoff_Stats!B:B=$A1473)))"),"")</f>
        <v/>
      </c>
      <c r="K1473" s="11"/>
      <c r="L1473" s="12"/>
      <c r="M1473" s="11"/>
      <c r="N1473" s="11"/>
      <c r="O1473" s="13"/>
      <c r="P1473" s="14"/>
      <c r="Q1473" s="13"/>
      <c r="R1473" s="13"/>
      <c r="S1473" s="15"/>
      <c r="T1473" s="16"/>
      <c r="U1473" s="16"/>
      <c r="V1473" s="16"/>
      <c r="W1473" s="16"/>
      <c r="X1473" s="16"/>
      <c r="Y1473" s="11"/>
      <c r="Z1473" s="11"/>
      <c r="AA1473" s="11"/>
      <c r="AB1473" s="11"/>
      <c r="AC1473" s="11"/>
      <c r="AD1473" s="11"/>
    </row>
    <row r="1474">
      <c r="A1474" s="10"/>
      <c r="B1474" s="10"/>
      <c r="C1474" s="10"/>
      <c r="D1474" s="10"/>
      <c r="E1474" s="10"/>
      <c r="F1474" s="11"/>
      <c r="G1474" s="11"/>
      <c r="H1474" s="11"/>
      <c r="I1474" s="11"/>
      <c r="J1474" s="11" t="str">
        <f>IFERROR(__xludf.DUMMYFUNCTION("iferror(if($B1474="""", ,filter(Playoff_Stats!F:Z,Playoff_Stats!A:A=$B1474,Playoff_Stats!B:B=$A1474)))"),"")</f>
        <v/>
      </c>
      <c r="K1474" s="11"/>
      <c r="L1474" s="12"/>
      <c r="M1474" s="11"/>
      <c r="N1474" s="11"/>
      <c r="O1474" s="13"/>
      <c r="P1474" s="14"/>
      <c r="Q1474" s="13"/>
      <c r="R1474" s="13"/>
      <c r="S1474" s="15"/>
      <c r="T1474" s="16"/>
      <c r="U1474" s="16"/>
      <c r="V1474" s="16"/>
      <c r="W1474" s="16"/>
      <c r="X1474" s="16"/>
      <c r="Y1474" s="11"/>
      <c r="Z1474" s="11"/>
      <c r="AA1474" s="11"/>
      <c r="AB1474" s="11"/>
      <c r="AC1474" s="11"/>
      <c r="AD1474" s="11"/>
    </row>
    <row r="1475">
      <c r="A1475" s="10"/>
      <c r="B1475" s="10"/>
      <c r="C1475" s="10"/>
      <c r="D1475" s="10"/>
      <c r="E1475" s="10"/>
      <c r="F1475" s="11"/>
      <c r="G1475" s="11"/>
      <c r="H1475" s="11"/>
      <c r="I1475" s="11"/>
      <c r="J1475" s="11" t="str">
        <f>IFERROR(__xludf.DUMMYFUNCTION("iferror(if($B1475="""", ,filter(Playoff_Stats!F:Z,Playoff_Stats!A:A=$B1475,Playoff_Stats!B:B=$A1475)))"),"")</f>
        <v/>
      </c>
      <c r="K1475" s="11"/>
      <c r="L1475" s="12"/>
      <c r="M1475" s="11"/>
      <c r="N1475" s="11"/>
      <c r="O1475" s="13"/>
      <c r="P1475" s="14"/>
      <c r="Q1475" s="13"/>
      <c r="R1475" s="13"/>
      <c r="S1475" s="15"/>
      <c r="T1475" s="16"/>
      <c r="U1475" s="16"/>
      <c r="V1475" s="16"/>
      <c r="W1475" s="16"/>
      <c r="X1475" s="16"/>
      <c r="Y1475" s="11"/>
      <c r="Z1475" s="11"/>
      <c r="AA1475" s="11"/>
      <c r="AB1475" s="11"/>
      <c r="AC1475" s="11"/>
      <c r="AD1475" s="11"/>
    </row>
    <row r="1476">
      <c r="A1476" s="10"/>
      <c r="B1476" s="10"/>
      <c r="C1476" s="10"/>
      <c r="D1476" s="10"/>
      <c r="E1476" s="10"/>
      <c r="F1476" s="11"/>
      <c r="G1476" s="11"/>
      <c r="H1476" s="11"/>
      <c r="I1476" s="11"/>
      <c r="J1476" s="11" t="str">
        <f>IFERROR(__xludf.DUMMYFUNCTION("iferror(if($B1476="""", ,filter(Playoff_Stats!F:Z,Playoff_Stats!A:A=$B1476,Playoff_Stats!B:B=$A1476)))"),"")</f>
        <v/>
      </c>
      <c r="K1476" s="11"/>
      <c r="L1476" s="12"/>
      <c r="M1476" s="11"/>
      <c r="N1476" s="11"/>
      <c r="O1476" s="13"/>
      <c r="P1476" s="14"/>
      <c r="Q1476" s="13"/>
      <c r="R1476" s="13"/>
      <c r="S1476" s="15"/>
      <c r="T1476" s="16"/>
      <c r="U1476" s="16"/>
      <c r="V1476" s="16"/>
      <c r="W1476" s="16"/>
      <c r="X1476" s="16"/>
      <c r="Y1476" s="11"/>
      <c r="Z1476" s="11"/>
      <c r="AA1476" s="11"/>
      <c r="AB1476" s="11"/>
      <c r="AC1476" s="11"/>
      <c r="AD1476" s="11"/>
    </row>
    <row r="1477">
      <c r="A1477" s="10"/>
      <c r="B1477" s="10"/>
      <c r="C1477" s="10"/>
      <c r="D1477" s="10"/>
      <c r="E1477" s="10"/>
      <c r="F1477" s="11"/>
      <c r="G1477" s="11"/>
      <c r="H1477" s="11"/>
      <c r="I1477" s="11"/>
      <c r="J1477" s="11" t="str">
        <f>IFERROR(__xludf.DUMMYFUNCTION("iferror(if($B1477="""", ,filter(Playoff_Stats!F:Z,Playoff_Stats!A:A=$B1477,Playoff_Stats!B:B=$A1477)))"),"")</f>
        <v/>
      </c>
      <c r="K1477" s="11"/>
      <c r="L1477" s="12"/>
      <c r="M1477" s="11"/>
      <c r="N1477" s="11"/>
      <c r="O1477" s="13"/>
      <c r="P1477" s="14"/>
      <c r="Q1477" s="13"/>
      <c r="R1477" s="13"/>
      <c r="S1477" s="15"/>
      <c r="T1477" s="16"/>
      <c r="U1477" s="16"/>
      <c r="V1477" s="16"/>
      <c r="W1477" s="16"/>
      <c r="X1477" s="16"/>
      <c r="Y1477" s="11"/>
      <c r="Z1477" s="11"/>
      <c r="AA1477" s="11"/>
      <c r="AB1477" s="11"/>
      <c r="AC1477" s="11"/>
      <c r="AD1477" s="11"/>
    </row>
    <row r="1478">
      <c r="A1478" s="10"/>
      <c r="B1478" s="10"/>
      <c r="C1478" s="10"/>
      <c r="D1478" s="10"/>
      <c r="E1478" s="10"/>
      <c r="F1478" s="11"/>
      <c r="G1478" s="11"/>
      <c r="H1478" s="11"/>
      <c r="I1478" s="11"/>
      <c r="J1478" s="11" t="str">
        <f>IFERROR(__xludf.DUMMYFUNCTION("iferror(if($B1478="""", ,filter(Playoff_Stats!F:Z,Playoff_Stats!A:A=$B1478,Playoff_Stats!B:B=$A1478)))"),"")</f>
        <v/>
      </c>
      <c r="K1478" s="11"/>
      <c r="L1478" s="12"/>
      <c r="M1478" s="11"/>
      <c r="N1478" s="11"/>
      <c r="O1478" s="13"/>
      <c r="P1478" s="14"/>
      <c r="Q1478" s="13"/>
      <c r="R1478" s="13"/>
      <c r="S1478" s="15"/>
      <c r="T1478" s="16"/>
      <c r="U1478" s="16"/>
      <c r="V1478" s="16"/>
      <c r="W1478" s="16"/>
      <c r="X1478" s="16"/>
      <c r="Y1478" s="11"/>
      <c r="Z1478" s="11"/>
      <c r="AA1478" s="11"/>
      <c r="AB1478" s="11"/>
      <c r="AC1478" s="11"/>
      <c r="AD1478" s="11"/>
    </row>
    <row r="1479">
      <c r="A1479" s="10"/>
      <c r="B1479" s="10"/>
      <c r="C1479" s="10"/>
      <c r="D1479" s="10"/>
      <c r="E1479" s="10"/>
      <c r="F1479" s="11"/>
      <c r="G1479" s="11"/>
      <c r="H1479" s="11"/>
      <c r="I1479" s="11"/>
      <c r="J1479" s="11" t="str">
        <f>IFERROR(__xludf.DUMMYFUNCTION("iferror(if($B1479="""", ,filter(Playoff_Stats!F:Z,Playoff_Stats!A:A=$B1479,Playoff_Stats!B:B=$A1479)))"),"")</f>
        <v/>
      </c>
      <c r="K1479" s="11"/>
      <c r="L1479" s="12"/>
      <c r="M1479" s="11"/>
      <c r="N1479" s="11"/>
      <c r="O1479" s="13"/>
      <c r="P1479" s="14"/>
      <c r="Q1479" s="13"/>
      <c r="R1479" s="13"/>
      <c r="S1479" s="15"/>
      <c r="T1479" s="16"/>
      <c r="U1479" s="16"/>
      <c r="V1479" s="16"/>
      <c r="W1479" s="16"/>
      <c r="X1479" s="16"/>
      <c r="Y1479" s="11"/>
      <c r="Z1479" s="11"/>
      <c r="AA1479" s="11"/>
      <c r="AB1479" s="11"/>
      <c r="AC1479" s="11"/>
      <c r="AD1479" s="11"/>
    </row>
    <row r="1480">
      <c r="A1480" s="10"/>
      <c r="B1480" s="10"/>
      <c r="C1480" s="10"/>
      <c r="D1480" s="10"/>
      <c r="E1480" s="10"/>
      <c r="F1480" s="11"/>
      <c r="G1480" s="11"/>
      <c r="H1480" s="11"/>
      <c r="I1480" s="11"/>
      <c r="J1480" s="11" t="str">
        <f>IFERROR(__xludf.DUMMYFUNCTION("iferror(if($B1480="""", ,filter(Playoff_Stats!F:Z,Playoff_Stats!A:A=$B1480,Playoff_Stats!B:B=$A1480)))"),"")</f>
        <v/>
      </c>
      <c r="K1480" s="11"/>
      <c r="L1480" s="12"/>
      <c r="M1480" s="11"/>
      <c r="N1480" s="11"/>
      <c r="O1480" s="13"/>
      <c r="P1480" s="14"/>
      <c r="Q1480" s="13"/>
      <c r="R1480" s="13"/>
      <c r="S1480" s="15"/>
      <c r="T1480" s="16"/>
      <c r="U1480" s="16"/>
      <c r="V1480" s="16"/>
      <c r="W1480" s="16"/>
      <c r="X1480" s="16"/>
      <c r="Y1480" s="11"/>
      <c r="Z1480" s="11"/>
      <c r="AA1480" s="11"/>
      <c r="AB1480" s="11"/>
      <c r="AC1480" s="11"/>
      <c r="AD1480" s="11"/>
    </row>
    <row r="1481">
      <c r="A1481" s="10"/>
      <c r="B1481" s="10"/>
      <c r="C1481" s="10"/>
      <c r="D1481" s="10"/>
      <c r="E1481" s="10"/>
      <c r="F1481" s="11"/>
      <c r="G1481" s="11"/>
      <c r="H1481" s="11"/>
      <c r="I1481" s="11"/>
      <c r="J1481" s="11" t="str">
        <f>IFERROR(__xludf.DUMMYFUNCTION("iferror(if($B1481="""", ,filter(Playoff_Stats!F:Z,Playoff_Stats!A:A=$B1481,Playoff_Stats!B:B=$A1481)))"),"")</f>
        <v/>
      </c>
      <c r="K1481" s="11"/>
      <c r="L1481" s="12"/>
      <c r="M1481" s="11"/>
      <c r="N1481" s="11"/>
      <c r="O1481" s="13"/>
      <c r="P1481" s="14"/>
      <c r="Q1481" s="13"/>
      <c r="R1481" s="13"/>
      <c r="S1481" s="15"/>
      <c r="T1481" s="16"/>
      <c r="U1481" s="16"/>
      <c r="V1481" s="16"/>
      <c r="W1481" s="16"/>
      <c r="X1481" s="16"/>
      <c r="Y1481" s="11"/>
      <c r="Z1481" s="11"/>
      <c r="AA1481" s="11"/>
      <c r="AB1481" s="11"/>
      <c r="AC1481" s="11"/>
      <c r="AD1481" s="11"/>
    </row>
    <row r="1482">
      <c r="A1482" s="10"/>
      <c r="B1482" s="10"/>
      <c r="C1482" s="10"/>
      <c r="D1482" s="10"/>
      <c r="E1482" s="10"/>
      <c r="F1482" s="11"/>
      <c r="G1482" s="11"/>
      <c r="H1482" s="11"/>
      <c r="I1482" s="11"/>
      <c r="J1482" s="11" t="str">
        <f>IFERROR(__xludf.DUMMYFUNCTION("iferror(if($B1482="""", ,filter(Playoff_Stats!F:Z,Playoff_Stats!A:A=$B1482,Playoff_Stats!B:B=$A1482)))"),"")</f>
        <v/>
      </c>
      <c r="K1482" s="11"/>
      <c r="L1482" s="12"/>
      <c r="M1482" s="11"/>
      <c r="N1482" s="11"/>
      <c r="O1482" s="13"/>
      <c r="P1482" s="14"/>
      <c r="Q1482" s="13"/>
      <c r="R1482" s="13"/>
      <c r="S1482" s="15"/>
      <c r="T1482" s="16"/>
      <c r="U1482" s="16"/>
      <c r="V1482" s="16"/>
      <c r="W1482" s="16"/>
      <c r="X1482" s="16"/>
      <c r="Y1482" s="11"/>
      <c r="Z1482" s="11"/>
      <c r="AA1482" s="11"/>
      <c r="AB1482" s="11"/>
      <c r="AC1482" s="11"/>
      <c r="AD1482" s="11"/>
    </row>
    <row r="1483">
      <c r="A1483" s="10"/>
      <c r="B1483" s="10"/>
      <c r="C1483" s="10"/>
      <c r="D1483" s="10"/>
      <c r="E1483" s="10"/>
      <c r="F1483" s="11"/>
      <c r="G1483" s="11"/>
      <c r="H1483" s="11"/>
      <c r="I1483" s="11"/>
      <c r="J1483" s="11" t="str">
        <f>IFERROR(__xludf.DUMMYFUNCTION("iferror(if($B1483="""", ,filter(Playoff_Stats!F:Z,Playoff_Stats!A:A=$B1483,Playoff_Stats!B:B=$A1483)))"),"")</f>
        <v/>
      </c>
      <c r="K1483" s="11"/>
      <c r="L1483" s="12"/>
      <c r="M1483" s="11"/>
      <c r="N1483" s="11"/>
      <c r="O1483" s="13"/>
      <c r="P1483" s="14"/>
      <c r="Q1483" s="13"/>
      <c r="R1483" s="13"/>
      <c r="S1483" s="15"/>
      <c r="T1483" s="16"/>
      <c r="U1483" s="16"/>
      <c r="V1483" s="16"/>
      <c r="W1483" s="16"/>
      <c r="X1483" s="16"/>
      <c r="Y1483" s="11"/>
      <c r="Z1483" s="11"/>
      <c r="AA1483" s="11"/>
      <c r="AB1483" s="11"/>
      <c r="AC1483" s="11"/>
      <c r="AD1483" s="11"/>
    </row>
    <row r="1484">
      <c r="A1484" s="10"/>
      <c r="B1484" s="10"/>
      <c r="C1484" s="10"/>
      <c r="D1484" s="10"/>
      <c r="E1484" s="10"/>
      <c r="F1484" s="11"/>
      <c r="G1484" s="11"/>
      <c r="H1484" s="11"/>
      <c r="I1484" s="11"/>
      <c r="J1484" s="11" t="str">
        <f>IFERROR(__xludf.DUMMYFUNCTION("iferror(if($B1484="""", ,filter(Playoff_Stats!F:Z,Playoff_Stats!A:A=$B1484,Playoff_Stats!B:B=$A1484)))"),"")</f>
        <v/>
      </c>
      <c r="K1484" s="11"/>
      <c r="L1484" s="12"/>
      <c r="M1484" s="11"/>
      <c r="N1484" s="11"/>
      <c r="O1484" s="13"/>
      <c r="P1484" s="14"/>
      <c r="Q1484" s="13"/>
      <c r="R1484" s="13"/>
      <c r="S1484" s="15"/>
      <c r="T1484" s="16"/>
      <c r="U1484" s="16"/>
      <c r="V1484" s="16"/>
      <c r="W1484" s="16"/>
      <c r="X1484" s="16"/>
      <c r="Y1484" s="11"/>
      <c r="Z1484" s="11"/>
      <c r="AA1484" s="11"/>
      <c r="AB1484" s="11"/>
      <c r="AC1484" s="11"/>
      <c r="AD1484" s="11"/>
    </row>
    <row r="1485">
      <c r="A1485" s="10"/>
      <c r="B1485" s="10"/>
      <c r="C1485" s="10"/>
      <c r="D1485" s="10"/>
      <c r="E1485" s="10"/>
      <c r="F1485" s="11"/>
      <c r="G1485" s="11"/>
      <c r="H1485" s="11"/>
      <c r="I1485" s="11"/>
      <c r="J1485" s="11" t="str">
        <f>IFERROR(__xludf.DUMMYFUNCTION("iferror(if($B1485="""", ,filter(Playoff_Stats!F:Z,Playoff_Stats!A:A=$B1485,Playoff_Stats!B:B=$A1485)))"),"")</f>
        <v/>
      </c>
      <c r="K1485" s="11"/>
      <c r="L1485" s="12"/>
      <c r="M1485" s="11"/>
      <c r="N1485" s="11"/>
      <c r="O1485" s="13"/>
      <c r="P1485" s="14"/>
      <c r="Q1485" s="13"/>
      <c r="R1485" s="13"/>
      <c r="S1485" s="15"/>
      <c r="T1485" s="16"/>
      <c r="U1485" s="16"/>
      <c r="V1485" s="16"/>
      <c r="W1485" s="16"/>
      <c r="X1485" s="16"/>
      <c r="Y1485" s="11"/>
      <c r="Z1485" s="11"/>
      <c r="AA1485" s="11"/>
      <c r="AB1485" s="11"/>
      <c r="AC1485" s="11"/>
      <c r="AD1485" s="11"/>
    </row>
    <row r="1486">
      <c r="A1486" s="10"/>
      <c r="B1486" s="10"/>
      <c r="C1486" s="10"/>
      <c r="D1486" s="10"/>
      <c r="E1486" s="10"/>
      <c r="F1486" s="11"/>
      <c r="G1486" s="11"/>
      <c r="H1486" s="11"/>
      <c r="I1486" s="11"/>
      <c r="J1486" s="11" t="str">
        <f>IFERROR(__xludf.DUMMYFUNCTION("iferror(if($B1486="""", ,filter(Playoff_Stats!F:Z,Playoff_Stats!A:A=$B1486,Playoff_Stats!B:B=$A1486)))"),"")</f>
        <v/>
      </c>
      <c r="K1486" s="11"/>
      <c r="L1486" s="12"/>
      <c r="M1486" s="11"/>
      <c r="N1486" s="11"/>
      <c r="O1486" s="13"/>
      <c r="P1486" s="14"/>
      <c r="Q1486" s="13"/>
      <c r="R1486" s="13"/>
      <c r="S1486" s="15"/>
      <c r="T1486" s="16"/>
      <c r="U1486" s="16"/>
      <c r="V1486" s="16"/>
      <c r="W1486" s="16"/>
      <c r="X1486" s="16"/>
      <c r="Y1486" s="11"/>
      <c r="Z1486" s="11"/>
      <c r="AA1486" s="11"/>
      <c r="AB1486" s="11"/>
      <c r="AC1486" s="11"/>
      <c r="AD1486" s="11"/>
    </row>
    <row r="1487">
      <c r="A1487" s="10"/>
      <c r="B1487" s="10"/>
      <c r="C1487" s="10"/>
      <c r="D1487" s="10"/>
      <c r="E1487" s="10"/>
      <c r="F1487" s="11"/>
      <c r="G1487" s="11"/>
      <c r="H1487" s="11"/>
      <c r="I1487" s="11"/>
      <c r="J1487" s="11" t="str">
        <f>IFERROR(__xludf.DUMMYFUNCTION("iferror(if($B1487="""", ,filter(Playoff_Stats!F:Z,Playoff_Stats!A:A=$B1487,Playoff_Stats!B:B=$A1487)))"),"")</f>
        <v/>
      </c>
      <c r="K1487" s="11"/>
      <c r="L1487" s="12"/>
      <c r="M1487" s="11"/>
      <c r="N1487" s="11"/>
      <c r="O1487" s="13"/>
      <c r="P1487" s="14"/>
      <c r="Q1487" s="13"/>
      <c r="R1487" s="13"/>
      <c r="S1487" s="15"/>
      <c r="T1487" s="16"/>
      <c r="U1487" s="16"/>
      <c r="V1487" s="16"/>
      <c r="W1487" s="16"/>
      <c r="X1487" s="16"/>
      <c r="Y1487" s="11"/>
      <c r="Z1487" s="11"/>
      <c r="AA1487" s="11"/>
      <c r="AB1487" s="11"/>
      <c r="AC1487" s="11"/>
      <c r="AD1487" s="11"/>
    </row>
    <row r="1488">
      <c r="A1488" s="10"/>
      <c r="B1488" s="10"/>
      <c r="C1488" s="10"/>
      <c r="D1488" s="10"/>
      <c r="E1488" s="10"/>
      <c r="F1488" s="11"/>
      <c r="G1488" s="11"/>
      <c r="H1488" s="11"/>
      <c r="I1488" s="11"/>
      <c r="J1488" s="11" t="str">
        <f>IFERROR(__xludf.DUMMYFUNCTION("iferror(if($B1488="""", ,filter(Playoff_Stats!F:Z,Playoff_Stats!A:A=$B1488,Playoff_Stats!B:B=$A1488)))"),"")</f>
        <v/>
      </c>
      <c r="K1488" s="11"/>
      <c r="L1488" s="12"/>
      <c r="M1488" s="11"/>
      <c r="N1488" s="11"/>
      <c r="O1488" s="13"/>
      <c r="P1488" s="14"/>
      <c r="Q1488" s="13"/>
      <c r="R1488" s="13"/>
      <c r="S1488" s="15"/>
      <c r="T1488" s="16"/>
      <c r="U1488" s="16"/>
      <c r="V1488" s="16"/>
      <c r="W1488" s="16"/>
      <c r="X1488" s="16"/>
      <c r="Y1488" s="11"/>
      <c r="Z1488" s="11"/>
      <c r="AA1488" s="11"/>
      <c r="AB1488" s="11"/>
      <c r="AC1488" s="11"/>
      <c r="AD1488" s="11"/>
    </row>
    <row r="1489">
      <c r="A1489" s="10"/>
      <c r="B1489" s="10"/>
      <c r="C1489" s="10"/>
      <c r="D1489" s="10"/>
      <c r="E1489" s="10"/>
      <c r="F1489" s="11"/>
      <c r="G1489" s="11"/>
      <c r="H1489" s="11"/>
      <c r="I1489" s="11"/>
      <c r="J1489" s="11" t="str">
        <f>IFERROR(__xludf.DUMMYFUNCTION("iferror(if($B1489="""", ,filter(Playoff_Stats!F:Z,Playoff_Stats!A:A=$B1489,Playoff_Stats!B:B=$A1489)))"),"")</f>
        <v/>
      </c>
      <c r="K1489" s="11"/>
      <c r="L1489" s="12"/>
      <c r="M1489" s="11"/>
      <c r="N1489" s="11"/>
      <c r="O1489" s="13"/>
      <c r="P1489" s="14"/>
      <c r="Q1489" s="13"/>
      <c r="R1489" s="13"/>
      <c r="S1489" s="15"/>
      <c r="T1489" s="16"/>
      <c r="U1489" s="16"/>
      <c r="V1489" s="16"/>
      <c r="W1489" s="16"/>
      <c r="X1489" s="16"/>
      <c r="Y1489" s="11"/>
      <c r="Z1489" s="11"/>
      <c r="AA1489" s="11"/>
      <c r="AB1489" s="11"/>
      <c r="AC1489" s="11"/>
      <c r="AD1489" s="11"/>
    </row>
    <row r="1490">
      <c r="A1490" s="10"/>
      <c r="B1490" s="10"/>
      <c r="C1490" s="10"/>
      <c r="D1490" s="10"/>
      <c r="E1490" s="10"/>
      <c r="F1490" s="11"/>
      <c r="G1490" s="11"/>
      <c r="H1490" s="11"/>
      <c r="I1490" s="11"/>
      <c r="J1490" s="11" t="str">
        <f>IFERROR(__xludf.DUMMYFUNCTION("iferror(if($B1490="""", ,filter(Playoff_Stats!F:Z,Playoff_Stats!A:A=$B1490,Playoff_Stats!B:B=$A1490)))"),"")</f>
        <v/>
      </c>
      <c r="K1490" s="11"/>
      <c r="L1490" s="12"/>
      <c r="M1490" s="11"/>
      <c r="N1490" s="11"/>
      <c r="O1490" s="13"/>
      <c r="P1490" s="14"/>
      <c r="Q1490" s="13"/>
      <c r="R1490" s="13"/>
      <c r="S1490" s="15"/>
      <c r="T1490" s="16"/>
      <c r="U1490" s="16"/>
      <c r="V1490" s="16"/>
      <c r="W1490" s="16"/>
      <c r="X1490" s="16"/>
      <c r="Y1490" s="11"/>
      <c r="Z1490" s="11"/>
      <c r="AA1490" s="11"/>
      <c r="AB1490" s="11"/>
      <c r="AC1490" s="11"/>
      <c r="AD1490" s="11"/>
    </row>
    <row r="1491">
      <c r="A1491" s="10"/>
      <c r="B1491" s="10"/>
      <c r="C1491" s="10"/>
      <c r="D1491" s="10"/>
      <c r="E1491" s="10"/>
      <c r="F1491" s="11"/>
      <c r="G1491" s="11"/>
      <c r="H1491" s="11"/>
      <c r="I1491" s="11"/>
      <c r="J1491" s="11" t="str">
        <f>IFERROR(__xludf.DUMMYFUNCTION("iferror(if($B1491="""", ,filter(Playoff_Stats!F:Z,Playoff_Stats!A:A=$B1491,Playoff_Stats!B:B=$A1491)))"),"")</f>
        <v/>
      </c>
      <c r="K1491" s="11"/>
      <c r="L1491" s="12"/>
      <c r="M1491" s="11"/>
      <c r="N1491" s="11"/>
      <c r="O1491" s="13"/>
      <c r="P1491" s="14"/>
      <c r="Q1491" s="13"/>
      <c r="R1491" s="13"/>
      <c r="S1491" s="15"/>
      <c r="T1491" s="16"/>
      <c r="U1491" s="16"/>
      <c r="V1491" s="16"/>
      <c r="W1491" s="16"/>
      <c r="X1491" s="16"/>
      <c r="Y1491" s="11"/>
      <c r="Z1491" s="11"/>
      <c r="AA1491" s="11"/>
      <c r="AB1491" s="11"/>
      <c r="AC1491" s="11"/>
      <c r="AD1491" s="11"/>
    </row>
    <row r="1492">
      <c r="A1492" s="10"/>
      <c r="B1492" s="10"/>
      <c r="C1492" s="10"/>
      <c r="D1492" s="10"/>
      <c r="E1492" s="10"/>
      <c r="F1492" s="11"/>
      <c r="G1492" s="11"/>
      <c r="H1492" s="11"/>
      <c r="I1492" s="11"/>
      <c r="J1492" s="11" t="str">
        <f>IFERROR(__xludf.DUMMYFUNCTION("iferror(if($B1492="""", ,filter(Playoff_Stats!F:Z,Playoff_Stats!A:A=$B1492,Playoff_Stats!B:B=$A1492)))"),"")</f>
        <v/>
      </c>
      <c r="K1492" s="11"/>
      <c r="L1492" s="12"/>
      <c r="M1492" s="11"/>
      <c r="N1492" s="11"/>
      <c r="O1492" s="13"/>
      <c r="P1492" s="14"/>
      <c r="Q1492" s="13"/>
      <c r="R1492" s="13"/>
      <c r="S1492" s="15"/>
      <c r="T1492" s="16"/>
      <c r="U1492" s="16"/>
      <c r="V1492" s="16"/>
      <c r="W1492" s="16"/>
      <c r="X1492" s="16"/>
      <c r="Y1492" s="11"/>
      <c r="Z1492" s="11"/>
      <c r="AA1492" s="11"/>
      <c r="AB1492" s="11"/>
      <c r="AC1492" s="11"/>
      <c r="AD1492" s="11"/>
    </row>
    <row r="1493">
      <c r="A1493" s="10"/>
      <c r="B1493" s="10"/>
      <c r="C1493" s="10"/>
      <c r="D1493" s="10"/>
      <c r="E1493" s="10"/>
      <c r="F1493" s="11"/>
      <c r="G1493" s="11"/>
      <c r="H1493" s="11"/>
      <c r="I1493" s="11"/>
      <c r="J1493" s="11" t="str">
        <f>IFERROR(__xludf.DUMMYFUNCTION("iferror(if($B1493="""", ,filter(Playoff_Stats!F:Z,Playoff_Stats!A:A=$B1493,Playoff_Stats!B:B=$A1493)))"),"")</f>
        <v/>
      </c>
      <c r="K1493" s="11"/>
      <c r="L1493" s="12"/>
      <c r="M1493" s="11"/>
      <c r="N1493" s="11"/>
      <c r="O1493" s="13"/>
      <c r="P1493" s="14"/>
      <c r="Q1493" s="13"/>
      <c r="R1493" s="13"/>
      <c r="S1493" s="15"/>
      <c r="T1493" s="16"/>
      <c r="U1493" s="16"/>
      <c r="V1493" s="16"/>
      <c r="W1493" s="16"/>
      <c r="X1493" s="16"/>
      <c r="Y1493" s="11"/>
      <c r="Z1493" s="11"/>
      <c r="AA1493" s="11"/>
      <c r="AB1493" s="11"/>
      <c r="AC1493" s="11"/>
      <c r="AD1493" s="11"/>
    </row>
    <row r="1494">
      <c r="A1494" s="10"/>
      <c r="B1494" s="10"/>
      <c r="C1494" s="10"/>
      <c r="D1494" s="10"/>
      <c r="E1494" s="10"/>
      <c r="F1494" s="11"/>
      <c r="G1494" s="11"/>
      <c r="H1494" s="11"/>
      <c r="I1494" s="11"/>
      <c r="J1494" s="11" t="str">
        <f>IFERROR(__xludf.DUMMYFUNCTION("iferror(if($B1494="""", ,filter(Playoff_Stats!F:Z,Playoff_Stats!A:A=$B1494,Playoff_Stats!B:B=$A1494)))"),"")</f>
        <v/>
      </c>
      <c r="K1494" s="11"/>
      <c r="L1494" s="12"/>
      <c r="M1494" s="11"/>
      <c r="N1494" s="11"/>
      <c r="O1494" s="13"/>
      <c r="P1494" s="14"/>
      <c r="Q1494" s="13"/>
      <c r="R1494" s="13"/>
      <c r="S1494" s="15"/>
      <c r="T1494" s="16"/>
      <c r="U1494" s="16"/>
      <c r="V1494" s="16"/>
      <c r="W1494" s="16"/>
      <c r="X1494" s="16"/>
      <c r="Y1494" s="11"/>
      <c r="Z1494" s="11"/>
      <c r="AA1494" s="11"/>
      <c r="AB1494" s="11"/>
      <c r="AC1494" s="11"/>
      <c r="AD1494" s="11"/>
    </row>
    <row r="1495">
      <c r="A1495" s="10"/>
      <c r="B1495" s="10"/>
      <c r="C1495" s="10"/>
      <c r="D1495" s="10"/>
      <c r="E1495" s="10"/>
      <c r="F1495" s="11"/>
      <c r="G1495" s="11"/>
      <c r="H1495" s="11"/>
      <c r="I1495" s="11"/>
      <c r="J1495" s="11" t="str">
        <f>IFERROR(__xludf.DUMMYFUNCTION("iferror(if($B1495="""", ,filter(Playoff_Stats!F:Z,Playoff_Stats!A:A=$B1495,Playoff_Stats!B:B=$A1495)))"),"")</f>
        <v/>
      </c>
      <c r="K1495" s="11"/>
      <c r="L1495" s="12"/>
      <c r="M1495" s="11"/>
      <c r="N1495" s="11"/>
      <c r="O1495" s="13"/>
      <c r="P1495" s="14"/>
      <c r="Q1495" s="13"/>
      <c r="R1495" s="13"/>
      <c r="S1495" s="15"/>
      <c r="T1495" s="16"/>
      <c r="U1495" s="16"/>
      <c r="V1495" s="16"/>
      <c r="W1495" s="16"/>
      <c r="X1495" s="16"/>
      <c r="Y1495" s="11"/>
      <c r="Z1495" s="11"/>
      <c r="AA1495" s="11"/>
      <c r="AB1495" s="11"/>
      <c r="AC1495" s="11"/>
      <c r="AD1495" s="11"/>
    </row>
    <row r="1496">
      <c r="A1496" s="10"/>
      <c r="B1496" s="10"/>
      <c r="C1496" s="10"/>
      <c r="D1496" s="10"/>
      <c r="E1496" s="10"/>
      <c r="F1496" s="11"/>
      <c r="G1496" s="11"/>
      <c r="H1496" s="11"/>
      <c r="I1496" s="11"/>
      <c r="J1496" s="11" t="str">
        <f>IFERROR(__xludf.DUMMYFUNCTION("iferror(if($B1496="""", ,filter(Playoff_Stats!F:Z,Playoff_Stats!A:A=$B1496,Playoff_Stats!B:B=$A1496)))"),"")</f>
        <v/>
      </c>
      <c r="K1496" s="11"/>
      <c r="L1496" s="12"/>
      <c r="M1496" s="11"/>
      <c r="N1496" s="11"/>
      <c r="O1496" s="13"/>
      <c r="P1496" s="14"/>
      <c r="Q1496" s="13"/>
      <c r="R1496" s="13"/>
      <c r="S1496" s="15"/>
      <c r="T1496" s="16"/>
      <c r="U1496" s="16"/>
      <c r="V1496" s="16"/>
      <c r="W1496" s="16"/>
      <c r="X1496" s="16"/>
      <c r="Y1496" s="11"/>
      <c r="Z1496" s="11"/>
      <c r="AA1496" s="11"/>
      <c r="AB1496" s="11"/>
      <c r="AC1496" s="11"/>
      <c r="AD1496" s="11"/>
    </row>
    <row r="1497">
      <c r="A1497" s="10"/>
      <c r="B1497" s="10"/>
      <c r="C1497" s="10"/>
      <c r="D1497" s="10"/>
      <c r="E1497" s="10"/>
      <c r="F1497" s="11"/>
      <c r="G1497" s="11"/>
      <c r="H1497" s="11"/>
      <c r="I1497" s="11"/>
      <c r="J1497" s="11" t="str">
        <f>IFERROR(__xludf.DUMMYFUNCTION("iferror(if($B1497="""", ,filter(Playoff_Stats!F:Z,Playoff_Stats!A:A=$B1497,Playoff_Stats!B:B=$A1497)))"),"")</f>
        <v/>
      </c>
      <c r="K1497" s="11"/>
      <c r="L1497" s="12"/>
      <c r="M1497" s="11"/>
      <c r="N1497" s="11"/>
      <c r="O1497" s="13"/>
      <c r="P1497" s="14"/>
      <c r="Q1497" s="13"/>
      <c r="R1497" s="13"/>
      <c r="S1497" s="15"/>
      <c r="T1497" s="16"/>
      <c r="U1497" s="16"/>
      <c r="V1497" s="16"/>
      <c r="W1497" s="16"/>
      <c r="X1497" s="16"/>
      <c r="Y1497" s="11"/>
      <c r="Z1497" s="11"/>
      <c r="AA1497" s="11"/>
      <c r="AB1497" s="11"/>
      <c r="AC1497" s="11"/>
      <c r="AD1497" s="11"/>
    </row>
    <row r="1498">
      <c r="A1498" s="10"/>
      <c r="B1498" s="10"/>
      <c r="C1498" s="10"/>
      <c r="D1498" s="10"/>
      <c r="E1498" s="10"/>
      <c r="F1498" s="11"/>
      <c r="G1498" s="11"/>
      <c r="H1498" s="11"/>
      <c r="I1498" s="11"/>
      <c r="J1498" s="11" t="str">
        <f>IFERROR(__xludf.DUMMYFUNCTION("iferror(if($B1498="""", ,filter(Playoff_Stats!F:Z,Playoff_Stats!A:A=$B1498,Playoff_Stats!B:B=$A1498)))"),"")</f>
        <v/>
      </c>
      <c r="K1498" s="11"/>
      <c r="L1498" s="12"/>
      <c r="M1498" s="11"/>
      <c r="N1498" s="11"/>
      <c r="O1498" s="13"/>
      <c r="P1498" s="14"/>
      <c r="Q1498" s="13"/>
      <c r="R1498" s="13"/>
      <c r="S1498" s="15"/>
      <c r="T1498" s="16"/>
      <c r="U1498" s="16"/>
      <c r="V1498" s="16"/>
      <c r="W1498" s="16"/>
      <c r="X1498" s="16"/>
      <c r="Y1498" s="11"/>
      <c r="Z1498" s="11"/>
      <c r="AA1498" s="11"/>
      <c r="AB1498" s="11"/>
      <c r="AC1498" s="11"/>
      <c r="AD1498" s="11"/>
    </row>
    <row r="1499">
      <c r="A1499" s="10"/>
      <c r="B1499" s="10"/>
      <c r="C1499" s="10"/>
      <c r="D1499" s="10"/>
      <c r="E1499" s="10"/>
      <c r="F1499" s="11"/>
      <c r="G1499" s="11"/>
      <c r="H1499" s="11"/>
      <c r="I1499" s="11"/>
      <c r="J1499" s="11" t="str">
        <f>IFERROR(__xludf.DUMMYFUNCTION("iferror(if($B1499="""", ,filter(Playoff_Stats!F:Z,Playoff_Stats!A:A=$B1499,Playoff_Stats!B:B=$A1499)))"),"")</f>
        <v/>
      </c>
      <c r="K1499" s="11"/>
      <c r="L1499" s="12"/>
      <c r="M1499" s="11"/>
      <c r="N1499" s="11"/>
      <c r="O1499" s="13"/>
      <c r="P1499" s="14"/>
      <c r="Q1499" s="13"/>
      <c r="R1499" s="13"/>
      <c r="S1499" s="15"/>
      <c r="T1499" s="16"/>
      <c r="U1499" s="16"/>
      <c r="V1499" s="16"/>
      <c r="W1499" s="16"/>
      <c r="X1499" s="16"/>
      <c r="Y1499" s="11"/>
      <c r="Z1499" s="11"/>
      <c r="AA1499" s="11"/>
      <c r="AB1499" s="11"/>
      <c r="AC1499" s="11"/>
      <c r="AD1499" s="11"/>
    </row>
    <row r="1500">
      <c r="A1500" s="10"/>
      <c r="B1500" s="10"/>
      <c r="C1500" s="10"/>
      <c r="D1500" s="10"/>
      <c r="E1500" s="10"/>
      <c r="F1500" s="11"/>
      <c r="G1500" s="11"/>
      <c r="H1500" s="11"/>
      <c r="I1500" s="11"/>
      <c r="J1500" s="11" t="str">
        <f>IFERROR(__xludf.DUMMYFUNCTION("iferror(if($B1500="""", ,filter(Playoff_Stats!F:Z,Playoff_Stats!A:A=$B1500,Playoff_Stats!B:B=$A1500)))"),"")</f>
        <v/>
      </c>
      <c r="K1500" s="11"/>
      <c r="L1500" s="12"/>
      <c r="M1500" s="11"/>
      <c r="N1500" s="11"/>
      <c r="O1500" s="13"/>
      <c r="P1500" s="14"/>
      <c r="Q1500" s="13"/>
      <c r="R1500" s="13"/>
      <c r="S1500" s="15"/>
      <c r="T1500" s="16"/>
      <c r="U1500" s="16"/>
      <c r="V1500" s="16"/>
      <c r="W1500" s="16"/>
      <c r="X1500" s="16"/>
      <c r="Y1500" s="11"/>
      <c r="Z1500" s="11"/>
      <c r="AA1500" s="11"/>
      <c r="AB1500" s="11"/>
      <c r="AC1500" s="11"/>
      <c r="AD1500" s="11"/>
    </row>
    <row r="1501">
      <c r="A1501" s="10"/>
      <c r="B1501" s="10"/>
      <c r="C1501" s="10"/>
      <c r="D1501" s="10"/>
      <c r="E1501" s="10"/>
      <c r="F1501" s="11"/>
      <c r="G1501" s="11"/>
      <c r="H1501" s="11"/>
      <c r="I1501" s="11"/>
      <c r="J1501" s="11" t="str">
        <f>IFERROR(__xludf.DUMMYFUNCTION("iferror(if($B1501="""", ,filter(Playoff_Stats!F:Z,Playoff_Stats!A:A=$B1501,Playoff_Stats!B:B=$A1501)))"),"")</f>
        <v/>
      </c>
      <c r="K1501" s="11"/>
      <c r="L1501" s="12"/>
      <c r="M1501" s="11"/>
      <c r="N1501" s="11"/>
      <c r="O1501" s="13"/>
      <c r="P1501" s="14"/>
      <c r="Q1501" s="13"/>
      <c r="R1501" s="13"/>
      <c r="S1501" s="15"/>
      <c r="T1501" s="16"/>
      <c r="U1501" s="16"/>
      <c r="V1501" s="16"/>
      <c r="W1501" s="16"/>
      <c r="X1501" s="16"/>
      <c r="Y1501" s="11"/>
      <c r="Z1501" s="11"/>
      <c r="AA1501" s="11"/>
      <c r="AB1501" s="11"/>
      <c r="AC1501" s="11"/>
      <c r="AD1501" s="11"/>
    </row>
    <row r="1502">
      <c r="A1502" s="10"/>
      <c r="B1502" s="10"/>
      <c r="C1502" s="10"/>
      <c r="D1502" s="10"/>
      <c r="E1502" s="10"/>
      <c r="F1502" s="11"/>
      <c r="G1502" s="11"/>
      <c r="H1502" s="11"/>
      <c r="I1502" s="11"/>
      <c r="J1502" s="11" t="str">
        <f>IFERROR(__xludf.DUMMYFUNCTION("iferror(if($B1502="""", ,filter(Playoff_Stats!F:Z,Playoff_Stats!A:A=$B1502,Playoff_Stats!B:B=$A1502)))"),"")</f>
        <v/>
      </c>
      <c r="K1502" s="11"/>
      <c r="L1502" s="12"/>
      <c r="M1502" s="11"/>
      <c r="N1502" s="11"/>
      <c r="O1502" s="13"/>
      <c r="P1502" s="14"/>
      <c r="Q1502" s="13"/>
      <c r="R1502" s="13"/>
      <c r="S1502" s="15"/>
      <c r="T1502" s="16"/>
      <c r="U1502" s="16"/>
      <c r="V1502" s="16"/>
      <c r="W1502" s="16"/>
      <c r="X1502" s="16"/>
      <c r="Y1502" s="11"/>
      <c r="Z1502" s="11"/>
      <c r="AA1502" s="11"/>
      <c r="AB1502" s="11"/>
      <c r="AC1502" s="11"/>
      <c r="AD1502" s="11"/>
    </row>
    <row r="1503">
      <c r="A1503" s="10"/>
      <c r="B1503" s="10"/>
      <c r="C1503" s="10"/>
      <c r="D1503" s="10"/>
      <c r="E1503" s="10"/>
      <c r="F1503" s="11"/>
      <c r="G1503" s="11"/>
      <c r="H1503" s="11"/>
      <c r="I1503" s="11"/>
      <c r="J1503" s="11" t="str">
        <f>IFERROR(__xludf.DUMMYFUNCTION("iferror(if($B1503="""", ,filter(Playoff_Stats!F:Z,Playoff_Stats!A:A=$B1503,Playoff_Stats!B:B=$A1503)))"),"")</f>
        <v/>
      </c>
      <c r="K1503" s="11"/>
      <c r="L1503" s="12"/>
      <c r="M1503" s="11"/>
      <c r="N1503" s="11"/>
      <c r="O1503" s="13"/>
      <c r="P1503" s="14"/>
      <c r="Q1503" s="13"/>
      <c r="R1503" s="13"/>
      <c r="S1503" s="15"/>
      <c r="T1503" s="16"/>
      <c r="U1503" s="16"/>
      <c r="V1503" s="16"/>
      <c r="W1503" s="16"/>
      <c r="X1503" s="16"/>
      <c r="Y1503" s="11"/>
      <c r="Z1503" s="11"/>
      <c r="AA1503" s="11"/>
      <c r="AB1503" s="11"/>
      <c r="AC1503" s="11"/>
      <c r="AD1503" s="11"/>
    </row>
    <row r="1504">
      <c r="A1504" s="10"/>
      <c r="B1504" s="10"/>
      <c r="C1504" s="10"/>
      <c r="D1504" s="10"/>
      <c r="E1504" s="10"/>
      <c r="F1504" s="11"/>
      <c r="G1504" s="11"/>
      <c r="H1504" s="11"/>
      <c r="I1504" s="11"/>
      <c r="J1504" s="11" t="str">
        <f>IFERROR(__xludf.DUMMYFUNCTION("iferror(if($B1504="""", ,filter(Playoff_Stats!F:Z,Playoff_Stats!A:A=$B1504,Playoff_Stats!B:B=$A1504)))"),"")</f>
        <v/>
      </c>
      <c r="K1504" s="11"/>
      <c r="L1504" s="12"/>
      <c r="M1504" s="11"/>
      <c r="N1504" s="11"/>
      <c r="O1504" s="13"/>
      <c r="P1504" s="14"/>
      <c r="Q1504" s="13"/>
      <c r="R1504" s="13"/>
      <c r="S1504" s="15"/>
      <c r="T1504" s="16"/>
      <c r="U1504" s="16"/>
      <c r="V1504" s="16"/>
      <c r="W1504" s="16"/>
      <c r="X1504" s="16"/>
      <c r="Y1504" s="11"/>
      <c r="Z1504" s="11"/>
      <c r="AA1504" s="11"/>
      <c r="AB1504" s="11"/>
      <c r="AC1504" s="11"/>
      <c r="AD1504" s="11"/>
    </row>
    <row r="1505">
      <c r="A1505" s="10"/>
      <c r="B1505" s="10"/>
      <c r="C1505" s="10"/>
      <c r="D1505" s="10"/>
      <c r="E1505" s="10"/>
      <c r="F1505" s="11"/>
      <c r="G1505" s="11"/>
      <c r="H1505" s="11"/>
      <c r="I1505" s="11"/>
      <c r="J1505" s="11" t="str">
        <f>IFERROR(__xludf.DUMMYFUNCTION("iferror(if($B1505="""", ,filter(Playoff_Stats!F:Z,Playoff_Stats!A:A=$B1505,Playoff_Stats!B:B=$A1505)))"),"")</f>
        <v/>
      </c>
      <c r="K1505" s="11"/>
      <c r="L1505" s="12"/>
      <c r="M1505" s="11"/>
      <c r="N1505" s="11"/>
      <c r="O1505" s="13"/>
      <c r="P1505" s="14"/>
      <c r="Q1505" s="13"/>
      <c r="R1505" s="13"/>
      <c r="S1505" s="15"/>
      <c r="T1505" s="16"/>
      <c r="U1505" s="16"/>
      <c r="V1505" s="16"/>
      <c r="W1505" s="16"/>
      <c r="X1505" s="16"/>
      <c r="Y1505" s="11"/>
      <c r="Z1505" s="11"/>
      <c r="AA1505" s="11"/>
      <c r="AB1505" s="11"/>
      <c r="AC1505" s="11"/>
      <c r="AD1505" s="11"/>
    </row>
    <row r="1506">
      <c r="A1506" s="10"/>
      <c r="B1506" s="10"/>
      <c r="C1506" s="10"/>
      <c r="D1506" s="10"/>
      <c r="E1506" s="10"/>
      <c r="F1506" s="11"/>
      <c r="G1506" s="11"/>
      <c r="H1506" s="11"/>
      <c r="I1506" s="11"/>
      <c r="J1506" s="11" t="str">
        <f>IFERROR(__xludf.DUMMYFUNCTION("iferror(if($B1506="""", ,filter(Playoff_Stats!F:Z,Playoff_Stats!A:A=$B1506,Playoff_Stats!B:B=$A1506)))"),"")</f>
        <v/>
      </c>
      <c r="K1506" s="11"/>
      <c r="L1506" s="12"/>
      <c r="M1506" s="11"/>
      <c r="N1506" s="11"/>
      <c r="O1506" s="13"/>
      <c r="P1506" s="14"/>
      <c r="Q1506" s="13"/>
      <c r="R1506" s="13"/>
      <c r="S1506" s="15"/>
      <c r="T1506" s="16"/>
      <c r="U1506" s="16"/>
      <c r="V1506" s="16"/>
      <c r="W1506" s="16"/>
      <c r="X1506" s="16"/>
      <c r="Y1506" s="11"/>
      <c r="Z1506" s="11"/>
      <c r="AA1506" s="11"/>
      <c r="AB1506" s="11"/>
      <c r="AC1506" s="11"/>
      <c r="AD1506" s="11"/>
    </row>
    <row r="1507">
      <c r="A1507" s="10"/>
      <c r="B1507" s="10"/>
      <c r="C1507" s="10"/>
      <c r="D1507" s="10"/>
      <c r="E1507" s="10"/>
      <c r="F1507" s="11"/>
      <c r="G1507" s="11"/>
      <c r="H1507" s="11"/>
      <c r="I1507" s="11"/>
      <c r="J1507" s="11" t="str">
        <f>IFERROR(__xludf.DUMMYFUNCTION("iferror(if($B1507="""", ,filter(Playoff_Stats!F:Z,Playoff_Stats!A:A=$B1507,Playoff_Stats!B:B=$A1507)))"),"")</f>
        <v/>
      </c>
      <c r="K1507" s="11"/>
      <c r="L1507" s="12"/>
      <c r="M1507" s="11"/>
      <c r="N1507" s="11"/>
      <c r="O1507" s="13"/>
      <c r="P1507" s="14"/>
      <c r="Q1507" s="13"/>
      <c r="R1507" s="13"/>
      <c r="S1507" s="15"/>
      <c r="T1507" s="16"/>
      <c r="U1507" s="16"/>
      <c r="V1507" s="16"/>
      <c r="W1507" s="16"/>
      <c r="X1507" s="16"/>
      <c r="Y1507" s="11"/>
      <c r="Z1507" s="11"/>
      <c r="AA1507" s="11"/>
      <c r="AB1507" s="11"/>
      <c r="AC1507" s="11"/>
      <c r="AD1507" s="11"/>
    </row>
    <row r="1508">
      <c r="A1508" s="10"/>
      <c r="B1508" s="10"/>
      <c r="C1508" s="10"/>
      <c r="D1508" s="10"/>
      <c r="E1508" s="10"/>
      <c r="F1508" s="11"/>
      <c r="G1508" s="11"/>
      <c r="H1508" s="11"/>
      <c r="I1508" s="11"/>
      <c r="J1508" s="11" t="str">
        <f>IFERROR(__xludf.DUMMYFUNCTION("iferror(if($B1508="""", ,filter(Playoff_Stats!F:Z,Playoff_Stats!A:A=$B1508,Playoff_Stats!B:B=$A1508)))"),"")</f>
        <v/>
      </c>
      <c r="K1508" s="11"/>
      <c r="L1508" s="12"/>
      <c r="M1508" s="11"/>
      <c r="N1508" s="11"/>
      <c r="O1508" s="13"/>
      <c r="P1508" s="14"/>
      <c r="Q1508" s="13"/>
      <c r="R1508" s="13"/>
      <c r="S1508" s="15"/>
      <c r="T1508" s="16"/>
      <c r="U1508" s="16"/>
      <c r="V1508" s="16"/>
      <c r="W1508" s="16"/>
      <c r="X1508" s="16"/>
      <c r="Y1508" s="11"/>
      <c r="Z1508" s="11"/>
      <c r="AA1508" s="11"/>
      <c r="AB1508" s="11"/>
      <c r="AC1508" s="11"/>
      <c r="AD1508" s="11"/>
    </row>
    <row r="1509">
      <c r="A1509" s="10"/>
      <c r="B1509" s="10"/>
      <c r="C1509" s="10"/>
      <c r="D1509" s="10"/>
      <c r="E1509" s="10"/>
      <c r="F1509" s="11"/>
      <c r="G1509" s="11"/>
      <c r="H1509" s="11"/>
      <c r="I1509" s="11"/>
      <c r="J1509" s="11" t="str">
        <f>IFERROR(__xludf.DUMMYFUNCTION("iferror(if($B1509="""", ,filter(Playoff_Stats!F:Z,Playoff_Stats!A:A=$B1509,Playoff_Stats!B:B=$A1509)))"),"")</f>
        <v/>
      </c>
      <c r="K1509" s="11"/>
      <c r="L1509" s="12"/>
      <c r="M1509" s="11"/>
      <c r="N1509" s="11"/>
      <c r="O1509" s="13"/>
      <c r="P1509" s="14"/>
      <c r="Q1509" s="13"/>
      <c r="R1509" s="13"/>
      <c r="S1509" s="15"/>
      <c r="T1509" s="16"/>
      <c r="U1509" s="16"/>
      <c r="V1509" s="16"/>
      <c r="W1509" s="16"/>
      <c r="X1509" s="16"/>
      <c r="Y1509" s="11"/>
      <c r="Z1509" s="11"/>
      <c r="AA1509" s="11"/>
      <c r="AB1509" s="11"/>
      <c r="AC1509" s="11"/>
      <c r="AD1509" s="11"/>
    </row>
    <row r="1510">
      <c r="A1510" s="10"/>
      <c r="B1510" s="10"/>
      <c r="C1510" s="10"/>
      <c r="D1510" s="10"/>
      <c r="E1510" s="10"/>
      <c r="F1510" s="11"/>
      <c r="G1510" s="11"/>
      <c r="H1510" s="11"/>
      <c r="I1510" s="11"/>
      <c r="J1510" s="11" t="str">
        <f>IFERROR(__xludf.DUMMYFUNCTION("iferror(if($B1510="""", ,filter(Playoff_Stats!F:Z,Playoff_Stats!A:A=$B1510,Playoff_Stats!B:B=$A1510)))"),"")</f>
        <v/>
      </c>
      <c r="K1510" s="11"/>
      <c r="L1510" s="12"/>
      <c r="M1510" s="11"/>
      <c r="N1510" s="11"/>
      <c r="O1510" s="13"/>
      <c r="P1510" s="14"/>
      <c r="Q1510" s="13"/>
      <c r="R1510" s="13"/>
      <c r="S1510" s="15"/>
      <c r="T1510" s="16"/>
      <c r="U1510" s="16"/>
      <c r="V1510" s="16"/>
      <c r="W1510" s="16"/>
      <c r="X1510" s="16"/>
      <c r="Y1510" s="11"/>
      <c r="Z1510" s="11"/>
      <c r="AA1510" s="11"/>
      <c r="AB1510" s="11"/>
      <c r="AC1510" s="11"/>
      <c r="AD1510" s="11"/>
    </row>
    <row r="1511">
      <c r="A1511" s="10"/>
      <c r="B1511" s="10"/>
      <c r="C1511" s="10"/>
      <c r="D1511" s="10"/>
      <c r="E1511" s="10"/>
      <c r="F1511" s="11"/>
      <c r="G1511" s="11"/>
      <c r="H1511" s="11"/>
      <c r="I1511" s="11"/>
      <c r="J1511" s="11" t="str">
        <f>IFERROR(__xludf.DUMMYFUNCTION("iferror(if($B1511="""", ,filter(Playoff_Stats!F:Z,Playoff_Stats!A:A=$B1511,Playoff_Stats!B:B=$A1511)))"),"")</f>
        <v/>
      </c>
      <c r="K1511" s="11"/>
      <c r="L1511" s="12"/>
      <c r="M1511" s="11"/>
      <c r="N1511" s="11"/>
      <c r="O1511" s="13"/>
      <c r="P1511" s="14"/>
      <c r="Q1511" s="13"/>
      <c r="R1511" s="13"/>
      <c r="S1511" s="15"/>
      <c r="T1511" s="16"/>
      <c r="U1511" s="16"/>
      <c r="V1511" s="16"/>
      <c r="W1511" s="16"/>
      <c r="X1511" s="16"/>
      <c r="Y1511" s="11"/>
      <c r="Z1511" s="11"/>
      <c r="AA1511" s="11"/>
      <c r="AB1511" s="11"/>
      <c r="AC1511" s="11"/>
      <c r="AD1511" s="11"/>
    </row>
    <row r="1512">
      <c r="A1512" s="10"/>
      <c r="B1512" s="10"/>
      <c r="C1512" s="10"/>
      <c r="D1512" s="10"/>
      <c r="E1512" s="10"/>
      <c r="F1512" s="11"/>
      <c r="G1512" s="11"/>
      <c r="H1512" s="11"/>
      <c r="I1512" s="11"/>
      <c r="J1512" s="11" t="str">
        <f>IFERROR(__xludf.DUMMYFUNCTION("iferror(if($B1512="""", ,filter(Playoff_Stats!F:Z,Playoff_Stats!A:A=$B1512,Playoff_Stats!B:B=$A1512)))"),"")</f>
        <v/>
      </c>
      <c r="K1512" s="11"/>
      <c r="L1512" s="12"/>
      <c r="M1512" s="11"/>
      <c r="N1512" s="11"/>
      <c r="O1512" s="13"/>
      <c r="P1512" s="14"/>
      <c r="Q1512" s="13"/>
      <c r="R1512" s="13"/>
      <c r="S1512" s="15"/>
      <c r="T1512" s="16"/>
      <c r="U1512" s="16"/>
      <c r="V1512" s="16"/>
      <c r="W1512" s="16"/>
      <c r="X1512" s="16"/>
      <c r="Y1512" s="11"/>
      <c r="Z1512" s="11"/>
      <c r="AA1512" s="11"/>
      <c r="AB1512" s="11"/>
      <c r="AC1512" s="11"/>
      <c r="AD1512" s="11"/>
    </row>
    <row r="1513">
      <c r="A1513" s="10"/>
      <c r="B1513" s="10"/>
      <c r="C1513" s="10"/>
      <c r="D1513" s="10"/>
      <c r="E1513" s="10"/>
      <c r="F1513" s="11"/>
      <c r="G1513" s="11"/>
      <c r="H1513" s="11"/>
      <c r="I1513" s="11"/>
      <c r="J1513" s="11" t="str">
        <f>IFERROR(__xludf.DUMMYFUNCTION("iferror(if($B1513="""", ,filter(Playoff_Stats!F:Z,Playoff_Stats!A:A=$B1513,Playoff_Stats!B:B=$A1513)))"),"")</f>
        <v/>
      </c>
      <c r="K1513" s="11"/>
      <c r="L1513" s="12"/>
      <c r="M1513" s="11"/>
      <c r="N1513" s="11"/>
      <c r="O1513" s="13"/>
      <c r="P1513" s="14"/>
      <c r="Q1513" s="13"/>
      <c r="R1513" s="13"/>
      <c r="S1513" s="15"/>
      <c r="T1513" s="16"/>
      <c r="U1513" s="16"/>
      <c r="V1513" s="16"/>
      <c r="W1513" s="16"/>
      <c r="X1513" s="16"/>
      <c r="Y1513" s="11"/>
      <c r="Z1513" s="11"/>
      <c r="AA1513" s="11"/>
      <c r="AB1513" s="11"/>
      <c r="AC1513" s="11"/>
      <c r="AD1513" s="11"/>
    </row>
    <row r="1514">
      <c r="A1514" s="10"/>
      <c r="B1514" s="10"/>
      <c r="C1514" s="10"/>
      <c r="D1514" s="10"/>
      <c r="E1514" s="10"/>
      <c r="F1514" s="11"/>
      <c r="G1514" s="11"/>
      <c r="H1514" s="11"/>
      <c r="I1514" s="11"/>
      <c r="J1514" s="11" t="str">
        <f>IFERROR(__xludf.DUMMYFUNCTION("iferror(if($B1514="""", ,filter(Playoff_Stats!F:Z,Playoff_Stats!A:A=$B1514,Playoff_Stats!B:B=$A1514)))"),"")</f>
        <v/>
      </c>
      <c r="K1514" s="11"/>
      <c r="L1514" s="12"/>
      <c r="M1514" s="11"/>
      <c r="N1514" s="11"/>
      <c r="O1514" s="13"/>
      <c r="P1514" s="14"/>
      <c r="Q1514" s="13"/>
      <c r="R1514" s="13"/>
      <c r="S1514" s="15"/>
      <c r="T1514" s="16"/>
      <c r="U1514" s="16"/>
      <c r="V1514" s="16"/>
      <c r="W1514" s="16"/>
      <c r="X1514" s="16"/>
      <c r="Y1514" s="11"/>
      <c r="Z1514" s="11"/>
      <c r="AA1514" s="11"/>
      <c r="AB1514" s="11"/>
      <c r="AC1514" s="11"/>
      <c r="AD1514" s="11"/>
    </row>
    <row r="1515">
      <c r="A1515" s="10"/>
      <c r="B1515" s="10"/>
      <c r="C1515" s="10"/>
      <c r="D1515" s="10"/>
      <c r="E1515" s="10"/>
      <c r="F1515" s="11"/>
      <c r="G1515" s="11"/>
      <c r="H1515" s="11"/>
      <c r="I1515" s="11"/>
      <c r="J1515" s="11" t="str">
        <f>IFERROR(__xludf.DUMMYFUNCTION("iferror(if($B1515="""", ,filter(Playoff_Stats!F:Z,Playoff_Stats!A:A=$B1515,Playoff_Stats!B:B=$A1515)))"),"")</f>
        <v/>
      </c>
      <c r="K1515" s="11"/>
      <c r="L1515" s="12"/>
      <c r="M1515" s="11"/>
      <c r="N1515" s="11"/>
      <c r="O1515" s="13"/>
      <c r="P1515" s="14"/>
      <c r="Q1515" s="13"/>
      <c r="R1515" s="13"/>
      <c r="S1515" s="15"/>
      <c r="T1515" s="16"/>
      <c r="U1515" s="16"/>
      <c r="V1515" s="16"/>
      <c r="W1515" s="16"/>
      <c r="X1515" s="16"/>
      <c r="Y1515" s="11"/>
      <c r="Z1515" s="11"/>
      <c r="AA1515" s="11"/>
      <c r="AB1515" s="11"/>
      <c r="AC1515" s="11"/>
      <c r="AD1515" s="11"/>
    </row>
    <row r="1516">
      <c r="A1516" s="10"/>
      <c r="B1516" s="10"/>
      <c r="C1516" s="10"/>
      <c r="D1516" s="10"/>
      <c r="E1516" s="10"/>
      <c r="F1516" s="11"/>
      <c r="G1516" s="11"/>
      <c r="H1516" s="11"/>
      <c r="I1516" s="11"/>
      <c r="J1516" s="11" t="str">
        <f>IFERROR(__xludf.DUMMYFUNCTION("iferror(if($B1516="""", ,filter(Playoff_Stats!F:Z,Playoff_Stats!A:A=$B1516,Playoff_Stats!B:B=$A1516)))"),"")</f>
        <v/>
      </c>
      <c r="K1516" s="11"/>
      <c r="L1516" s="12"/>
      <c r="M1516" s="11"/>
      <c r="N1516" s="11"/>
      <c r="O1516" s="13"/>
      <c r="P1516" s="14"/>
      <c r="Q1516" s="13"/>
      <c r="R1516" s="13"/>
      <c r="S1516" s="15"/>
      <c r="T1516" s="16"/>
      <c r="U1516" s="16"/>
      <c r="V1516" s="16"/>
      <c r="W1516" s="16"/>
      <c r="X1516" s="16"/>
      <c r="Y1516" s="11"/>
      <c r="Z1516" s="11"/>
      <c r="AA1516" s="11"/>
      <c r="AB1516" s="11"/>
      <c r="AC1516" s="11"/>
      <c r="AD1516" s="11"/>
    </row>
    <row r="1517">
      <c r="A1517" s="10"/>
      <c r="B1517" s="10"/>
      <c r="C1517" s="10"/>
      <c r="D1517" s="10"/>
      <c r="E1517" s="10"/>
      <c r="F1517" s="11"/>
      <c r="G1517" s="11"/>
      <c r="H1517" s="11"/>
      <c r="I1517" s="11"/>
      <c r="J1517" s="11" t="str">
        <f>IFERROR(__xludf.DUMMYFUNCTION("iferror(if($B1517="""", ,filter(Playoff_Stats!F:Z,Playoff_Stats!A:A=$B1517,Playoff_Stats!B:B=$A1517)))"),"")</f>
        <v/>
      </c>
      <c r="K1517" s="11"/>
      <c r="L1517" s="12"/>
      <c r="M1517" s="11"/>
      <c r="N1517" s="11"/>
      <c r="O1517" s="13"/>
      <c r="P1517" s="14"/>
      <c r="Q1517" s="13"/>
      <c r="R1517" s="13"/>
      <c r="S1517" s="15"/>
      <c r="T1517" s="16"/>
      <c r="U1517" s="16"/>
      <c r="V1517" s="16"/>
      <c r="W1517" s="16"/>
      <c r="X1517" s="16"/>
      <c r="Y1517" s="11"/>
      <c r="Z1517" s="11"/>
      <c r="AA1517" s="11"/>
      <c r="AB1517" s="11"/>
      <c r="AC1517" s="11"/>
      <c r="AD1517" s="11"/>
    </row>
    <row r="1518">
      <c r="A1518" s="10"/>
      <c r="B1518" s="10"/>
      <c r="C1518" s="10"/>
      <c r="D1518" s="10"/>
      <c r="E1518" s="10"/>
      <c r="F1518" s="11"/>
      <c r="G1518" s="11"/>
      <c r="H1518" s="11"/>
      <c r="I1518" s="11"/>
      <c r="J1518" s="11" t="str">
        <f>IFERROR(__xludf.DUMMYFUNCTION("iferror(if($B1518="""", ,filter(Playoff_Stats!F:Z,Playoff_Stats!A:A=$B1518,Playoff_Stats!B:B=$A1518)))"),"")</f>
        <v/>
      </c>
      <c r="K1518" s="11"/>
      <c r="L1518" s="12"/>
      <c r="M1518" s="11"/>
      <c r="N1518" s="11"/>
      <c r="O1518" s="13"/>
      <c r="P1518" s="14"/>
      <c r="Q1518" s="13"/>
      <c r="R1518" s="13"/>
      <c r="S1518" s="15"/>
      <c r="T1518" s="16"/>
      <c r="U1518" s="16"/>
      <c r="V1518" s="16"/>
      <c r="W1518" s="16"/>
      <c r="X1518" s="16"/>
      <c r="Y1518" s="11"/>
      <c r="Z1518" s="11"/>
      <c r="AA1518" s="11"/>
      <c r="AB1518" s="11"/>
      <c r="AC1518" s="11"/>
      <c r="AD1518" s="11"/>
    </row>
    <row r="1519">
      <c r="A1519" s="10"/>
      <c r="B1519" s="10"/>
      <c r="C1519" s="10"/>
      <c r="D1519" s="10"/>
      <c r="E1519" s="10"/>
      <c r="F1519" s="11"/>
      <c r="G1519" s="11"/>
      <c r="H1519" s="11"/>
      <c r="I1519" s="11"/>
      <c r="J1519" s="11" t="str">
        <f>IFERROR(__xludf.DUMMYFUNCTION("iferror(if($B1519="""", ,filter(Playoff_Stats!F:Z,Playoff_Stats!A:A=$B1519,Playoff_Stats!B:B=$A1519)))"),"")</f>
        <v/>
      </c>
      <c r="K1519" s="11"/>
      <c r="L1519" s="12"/>
      <c r="M1519" s="11"/>
      <c r="N1519" s="11"/>
      <c r="O1519" s="13"/>
      <c r="P1519" s="14"/>
      <c r="Q1519" s="13"/>
      <c r="R1519" s="13"/>
      <c r="S1519" s="15"/>
      <c r="T1519" s="16"/>
      <c r="U1519" s="16"/>
      <c r="V1519" s="16"/>
      <c r="W1519" s="16"/>
      <c r="X1519" s="16"/>
      <c r="Y1519" s="11"/>
      <c r="Z1519" s="11"/>
      <c r="AA1519" s="11"/>
      <c r="AB1519" s="11"/>
      <c r="AC1519" s="11"/>
      <c r="AD1519" s="11"/>
    </row>
    <row r="1520">
      <c r="A1520" s="10"/>
      <c r="B1520" s="10"/>
      <c r="C1520" s="10"/>
      <c r="D1520" s="10"/>
      <c r="E1520" s="10"/>
      <c r="F1520" s="11"/>
      <c r="G1520" s="11"/>
      <c r="H1520" s="11"/>
      <c r="I1520" s="11"/>
      <c r="J1520" s="11" t="str">
        <f>IFERROR(__xludf.DUMMYFUNCTION("iferror(if($B1520="""", ,filter(Playoff_Stats!F:Z,Playoff_Stats!A:A=$B1520,Playoff_Stats!B:B=$A1520)))"),"")</f>
        <v/>
      </c>
      <c r="K1520" s="11"/>
      <c r="L1520" s="12"/>
      <c r="M1520" s="11"/>
      <c r="N1520" s="11"/>
      <c r="O1520" s="13"/>
      <c r="P1520" s="14"/>
      <c r="Q1520" s="13"/>
      <c r="R1520" s="13"/>
      <c r="S1520" s="15"/>
      <c r="T1520" s="16"/>
      <c r="U1520" s="16"/>
      <c r="V1520" s="16"/>
      <c r="W1520" s="16"/>
      <c r="X1520" s="16"/>
      <c r="Y1520" s="11"/>
      <c r="Z1520" s="11"/>
      <c r="AA1520" s="11"/>
      <c r="AB1520" s="11"/>
      <c r="AC1520" s="11"/>
      <c r="AD1520" s="11"/>
    </row>
    <row r="1521">
      <c r="A1521" s="10"/>
      <c r="B1521" s="10"/>
      <c r="C1521" s="10"/>
      <c r="D1521" s="10"/>
      <c r="E1521" s="10"/>
      <c r="F1521" s="11"/>
      <c r="G1521" s="11"/>
      <c r="H1521" s="11"/>
      <c r="I1521" s="11"/>
      <c r="J1521" s="11" t="str">
        <f>IFERROR(__xludf.DUMMYFUNCTION("iferror(if($B1521="""", ,filter(Playoff_Stats!F:Z,Playoff_Stats!A:A=$B1521,Playoff_Stats!B:B=$A1521)))"),"")</f>
        <v/>
      </c>
      <c r="K1521" s="11"/>
      <c r="L1521" s="12"/>
      <c r="M1521" s="11"/>
      <c r="N1521" s="11"/>
      <c r="O1521" s="13"/>
      <c r="P1521" s="14"/>
      <c r="Q1521" s="13"/>
      <c r="R1521" s="13"/>
      <c r="S1521" s="15"/>
      <c r="T1521" s="16"/>
      <c r="U1521" s="16"/>
      <c r="V1521" s="16"/>
      <c r="W1521" s="16"/>
      <c r="X1521" s="16"/>
      <c r="Y1521" s="11"/>
      <c r="Z1521" s="11"/>
      <c r="AA1521" s="11"/>
      <c r="AB1521" s="11"/>
      <c r="AC1521" s="11"/>
      <c r="AD1521" s="11"/>
    </row>
    <row r="1522">
      <c r="A1522" s="10"/>
      <c r="B1522" s="10"/>
      <c r="C1522" s="10"/>
      <c r="D1522" s="10"/>
      <c r="E1522" s="10"/>
      <c r="F1522" s="11"/>
      <c r="G1522" s="11"/>
      <c r="H1522" s="11"/>
      <c r="I1522" s="11"/>
      <c r="J1522" s="11" t="str">
        <f>IFERROR(__xludf.DUMMYFUNCTION("iferror(if($B1522="""", ,filter(Playoff_Stats!F:Z,Playoff_Stats!A:A=$B1522,Playoff_Stats!B:B=$A1522)))"),"")</f>
        <v/>
      </c>
      <c r="K1522" s="11"/>
      <c r="L1522" s="12"/>
      <c r="M1522" s="11"/>
      <c r="N1522" s="11"/>
      <c r="O1522" s="13"/>
      <c r="P1522" s="14"/>
      <c r="Q1522" s="13"/>
      <c r="R1522" s="13"/>
      <c r="S1522" s="15"/>
      <c r="T1522" s="16"/>
      <c r="U1522" s="16"/>
      <c r="V1522" s="16"/>
      <c r="W1522" s="16"/>
      <c r="X1522" s="16"/>
      <c r="Y1522" s="11"/>
      <c r="Z1522" s="11"/>
      <c r="AA1522" s="11"/>
      <c r="AB1522" s="11"/>
      <c r="AC1522" s="11"/>
      <c r="AD1522" s="11"/>
    </row>
    <row r="1523">
      <c r="A1523" s="10"/>
      <c r="B1523" s="10"/>
      <c r="C1523" s="10"/>
      <c r="D1523" s="10"/>
      <c r="E1523" s="10"/>
      <c r="F1523" s="11"/>
      <c r="G1523" s="11"/>
      <c r="H1523" s="11"/>
      <c r="I1523" s="11"/>
      <c r="J1523" s="11" t="str">
        <f>IFERROR(__xludf.DUMMYFUNCTION("iferror(if($B1523="""", ,filter(Playoff_Stats!F:Z,Playoff_Stats!A:A=$B1523,Playoff_Stats!B:B=$A1523)))"),"")</f>
        <v/>
      </c>
      <c r="K1523" s="11"/>
      <c r="L1523" s="12"/>
      <c r="M1523" s="11"/>
      <c r="N1523" s="11"/>
      <c r="O1523" s="13"/>
      <c r="P1523" s="14"/>
      <c r="Q1523" s="13"/>
      <c r="R1523" s="13"/>
      <c r="S1523" s="15"/>
      <c r="T1523" s="16"/>
      <c r="U1523" s="16"/>
      <c r="V1523" s="16"/>
      <c r="W1523" s="16"/>
      <c r="X1523" s="16"/>
      <c r="Y1523" s="11"/>
      <c r="Z1523" s="11"/>
      <c r="AA1523" s="11"/>
      <c r="AB1523" s="11"/>
      <c r="AC1523" s="11"/>
      <c r="AD1523" s="11"/>
    </row>
    <row r="1524">
      <c r="A1524" s="10"/>
      <c r="B1524" s="10"/>
      <c r="C1524" s="10"/>
      <c r="D1524" s="10"/>
      <c r="E1524" s="10"/>
      <c r="F1524" s="11"/>
      <c r="G1524" s="11"/>
      <c r="H1524" s="11"/>
      <c r="I1524" s="11"/>
      <c r="J1524" s="11" t="str">
        <f>IFERROR(__xludf.DUMMYFUNCTION("iferror(if($B1524="""", ,filter(Playoff_Stats!F:Z,Playoff_Stats!A:A=$B1524,Playoff_Stats!B:B=$A1524)))"),"")</f>
        <v/>
      </c>
      <c r="K1524" s="11"/>
      <c r="L1524" s="12"/>
      <c r="M1524" s="11"/>
      <c r="N1524" s="11"/>
      <c r="O1524" s="13"/>
      <c r="P1524" s="14"/>
      <c r="Q1524" s="13"/>
      <c r="R1524" s="13"/>
      <c r="S1524" s="15"/>
      <c r="T1524" s="16"/>
      <c r="U1524" s="16"/>
      <c r="V1524" s="16"/>
      <c r="W1524" s="16"/>
      <c r="X1524" s="16"/>
      <c r="Y1524" s="11"/>
      <c r="Z1524" s="11"/>
      <c r="AA1524" s="11"/>
      <c r="AB1524" s="11"/>
      <c r="AC1524" s="11"/>
      <c r="AD1524" s="11"/>
    </row>
    <row r="1525">
      <c r="A1525" s="10"/>
      <c r="B1525" s="10"/>
      <c r="C1525" s="10"/>
      <c r="D1525" s="10"/>
      <c r="E1525" s="10"/>
      <c r="F1525" s="11"/>
      <c r="G1525" s="11"/>
      <c r="H1525" s="11"/>
      <c r="I1525" s="11"/>
      <c r="J1525" s="11" t="str">
        <f>IFERROR(__xludf.DUMMYFUNCTION("iferror(if($B1525="""", ,filter(Playoff_Stats!F:Z,Playoff_Stats!A:A=$B1525,Playoff_Stats!B:B=$A1525)))"),"")</f>
        <v/>
      </c>
      <c r="K1525" s="11"/>
      <c r="L1525" s="12"/>
      <c r="M1525" s="11"/>
      <c r="N1525" s="11"/>
      <c r="O1525" s="13"/>
      <c r="P1525" s="14"/>
      <c r="Q1525" s="13"/>
      <c r="R1525" s="13"/>
      <c r="S1525" s="15"/>
      <c r="T1525" s="16"/>
      <c r="U1525" s="16"/>
      <c r="V1525" s="16"/>
      <c r="W1525" s="16"/>
      <c r="X1525" s="16"/>
      <c r="Y1525" s="11"/>
      <c r="Z1525" s="11"/>
      <c r="AA1525" s="11"/>
      <c r="AB1525" s="11"/>
      <c r="AC1525" s="11"/>
      <c r="AD1525" s="11"/>
    </row>
    <row r="1526">
      <c r="A1526" s="10"/>
      <c r="B1526" s="10"/>
      <c r="C1526" s="10"/>
      <c r="D1526" s="10"/>
      <c r="E1526" s="10"/>
      <c r="F1526" s="11"/>
      <c r="G1526" s="11"/>
      <c r="H1526" s="11"/>
      <c r="I1526" s="11"/>
      <c r="J1526" s="11" t="str">
        <f>IFERROR(__xludf.DUMMYFUNCTION("iferror(if($B1526="""", ,filter(Playoff_Stats!F:Z,Playoff_Stats!A:A=$B1526,Playoff_Stats!B:B=$A1526)))"),"")</f>
        <v/>
      </c>
      <c r="K1526" s="11"/>
      <c r="L1526" s="12"/>
      <c r="M1526" s="11"/>
      <c r="N1526" s="11"/>
      <c r="O1526" s="13"/>
      <c r="P1526" s="14"/>
      <c r="Q1526" s="13"/>
      <c r="R1526" s="13"/>
      <c r="S1526" s="15"/>
      <c r="T1526" s="16"/>
      <c r="U1526" s="16"/>
      <c r="V1526" s="16"/>
      <c r="W1526" s="16"/>
      <c r="X1526" s="16"/>
      <c r="Y1526" s="11"/>
      <c r="Z1526" s="11"/>
      <c r="AA1526" s="11"/>
      <c r="AB1526" s="11"/>
      <c r="AC1526" s="11"/>
      <c r="AD1526" s="11"/>
    </row>
    <row r="1527">
      <c r="A1527" s="10"/>
      <c r="B1527" s="10"/>
      <c r="C1527" s="10"/>
      <c r="D1527" s="10"/>
      <c r="E1527" s="10"/>
      <c r="F1527" s="11"/>
      <c r="G1527" s="11"/>
      <c r="H1527" s="11"/>
      <c r="I1527" s="11"/>
      <c r="J1527" s="11" t="str">
        <f>IFERROR(__xludf.DUMMYFUNCTION("iferror(if($B1527="""", ,filter(Playoff_Stats!F:Z,Playoff_Stats!A:A=$B1527,Playoff_Stats!B:B=$A1527)))"),"")</f>
        <v/>
      </c>
      <c r="K1527" s="11"/>
      <c r="L1527" s="12"/>
      <c r="M1527" s="11"/>
      <c r="N1527" s="11"/>
      <c r="O1527" s="13"/>
      <c r="P1527" s="14"/>
      <c r="Q1527" s="13"/>
      <c r="R1527" s="13"/>
      <c r="S1527" s="15"/>
      <c r="T1527" s="16"/>
      <c r="U1527" s="16"/>
      <c r="V1527" s="16"/>
      <c r="W1527" s="16"/>
      <c r="X1527" s="16"/>
      <c r="Y1527" s="11"/>
      <c r="Z1527" s="11"/>
      <c r="AA1527" s="11"/>
      <c r="AB1527" s="11"/>
      <c r="AC1527" s="11"/>
      <c r="AD1527" s="11"/>
    </row>
    <row r="1528">
      <c r="A1528" s="10"/>
      <c r="B1528" s="10"/>
      <c r="C1528" s="10"/>
      <c r="D1528" s="10"/>
      <c r="E1528" s="10"/>
      <c r="F1528" s="11"/>
      <c r="G1528" s="11"/>
      <c r="H1528" s="11"/>
      <c r="I1528" s="11"/>
      <c r="J1528" s="11" t="str">
        <f>IFERROR(__xludf.DUMMYFUNCTION("iferror(if($B1528="""", ,filter(Playoff_Stats!F:Z,Playoff_Stats!A:A=$B1528,Playoff_Stats!B:B=$A1528)))"),"")</f>
        <v/>
      </c>
      <c r="K1528" s="11"/>
      <c r="L1528" s="12"/>
      <c r="M1528" s="11"/>
      <c r="N1528" s="11"/>
      <c r="O1528" s="13"/>
      <c r="P1528" s="14"/>
      <c r="Q1528" s="13"/>
      <c r="R1528" s="13"/>
      <c r="S1528" s="15"/>
      <c r="T1528" s="16"/>
      <c r="U1528" s="16"/>
      <c r="V1528" s="16"/>
      <c r="W1528" s="16"/>
      <c r="X1528" s="16"/>
      <c r="Y1528" s="11"/>
      <c r="Z1528" s="11"/>
      <c r="AA1528" s="11"/>
      <c r="AB1528" s="11"/>
      <c r="AC1528" s="11"/>
      <c r="AD1528" s="11"/>
    </row>
    <row r="1529">
      <c r="A1529" s="10"/>
      <c r="B1529" s="10"/>
      <c r="C1529" s="10"/>
      <c r="D1529" s="10"/>
      <c r="E1529" s="10"/>
      <c r="F1529" s="11"/>
      <c r="G1529" s="11"/>
      <c r="H1529" s="11"/>
      <c r="I1529" s="11"/>
      <c r="J1529" s="11" t="str">
        <f>IFERROR(__xludf.DUMMYFUNCTION("iferror(if($B1529="""", ,filter(Playoff_Stats!F:Z,Playoff_Stats!A:A=$B1529,Playoff_Stats!B:B=$A1529)))"),"")</f>
        <v/>
      </c>
      <c r="K1529" s="11"/>
      <c r="L1529" s="12"/>
      <c r="M1529" s="11"/>
      <c r="N1529" s="11"/>
      <c r="O1529" s="13"/>
      <c r="P1529" s="14"/>
      <c r="Q1529" s="13"/>
      <c r="R1529" s="13"/>
      <c r="S1529" s="15"/>
      <c r="T1529" s="16"/>
      <c r="U1529" s="16"/>
      <c r="V1529" s="16"/>
      <c r="W1529" s="16"/>
      <c r="X1529" s="16"/>
      <c r="Y1529" s="11"/>
      <c r="Z1529" s="11"/>
      <c r="AA1529" s="11"/>
      <c r="AB1529" s="11"/>
      <c r="AC1529" s="11"/>
      <c r="AD1529" s="11"/>
    </row>
    <row r="1530">
      <c r="A1530" s="10"/>
      <c r="B1530" s="10"/>
      <c r="C1530" s="10"/>
      <c r="D1530" s="10"/>
      <c r="E1530" s="10"/>
      <c r="F1530" s="11"/>
      <c r="G1530" s="11"/>
      <c r="H1530" s="11"/>
      <c r="I1530" s="11"/>
      <c r="J1530" s="11" t="str">
        <f>IFERROR(__xludf.DUMMYFUNCTION("iferror(if($B1530="""", ,filter(Playoff_Stats!F:Z,Playoff_Stats!A:A=$B1530,Playoff_Stats!B:B=$A1530)))"),"")</f>
        <v/>
      </c>
      <c r="K1530" s="11"/>
      <c r="L1530" s="12"/>
      <c r="M1530" s="11"/>
      <c r="N1530" s="11"/>
      <c r="O1530" s="13"/>
      <c r="P1530" s="14"/>
      <c r="Q1530" s="13"/>
      <c r="R1530" s="13"/>
      <c r="S1530" s="15"/>
      <c r="T1530" s="16"/>
      <c r="U1530" s="16"/>
      <c r="V1530" s="16"/>
      <c r="W1530" s="16"/>
      <c r="X1530" s="16"/>
      <c r="Y1530" s="11"/>
      <c r="Z1530" s="11"/>
      <c r="AA1530" s="11"/>
      <c r="AB1530" s="11"/>
      <c r="AC1530" s="11"/>
      <c r="AD1530" s="11"/>
    </row>
    <row r="1531">
      <c r="A1531" s="10"/>
      <c r="B1531" s="10"/>
      <c r="C1531" s="10"/>
      <c r="D1531" s="10"/>
      <c r="E1531" s="10"/>
      <c r="F1531" s="11"/>
      <c r="G1531" s="11"/>
      <c r="H1531" s="11"/>
      <c r="I1531" s="11"/>
      <c r="J1531" s="11" t="str">
        <f>IFERROR(__xludf.DUMMYFUNCTION("iferror(if($B1531="""", ,filter(Playoff_Stats!F:Z,Playoff_Stats!A:A=$B1531,Playoff_Stats!B:B=$A1531)))"),"")</f>
        <v/>
      </c>
      <c r="K1531" s="11"/>
      <c r="L1531" s="12"/>
      <c r="M1531" s="11"/>
      <c r="N1531" s="11"/>
      <c r="O1531" s="13"/>
      <c r="P1531" s="14"/>
      <c r="Q1531" s="13"/>
      <c r="R1531" s="13"/>
      <c r="S1531" s="15"/>
      <c r="T1531" s="16"/>
      <c r="U1531" s="16"/>
      <c r="V1531" s="16"/>
      <c r="W1531" s="16"/>
      <c r="X1531" s="16"/>
      <c r="Y1531" s="11"/>
      <c r="Z1531" s="11"/>
      <c r="AA1531" s="11"/>
      <c r="AB1531" s="11"/>
      <c r="AC1531" s="11"/>
      <c r="AD1531" s="11"/>
    </row>
    <row r="1532">
      <c r="A1532" s="10"/>
      <c r="B1532" s="10"/>
      <c r="C1532" s="10"/>
      <c r="D1532" s="10"/>
      <c r="E1532" s="10"/>
      <c r="F1532" s="11"/>
      <c r="G1532" s="11"/>
      <c r="H1532" s="11"/>
      <c r="I1532" s="11"/>
      <c r="J1532" s="11" t="str">
        <f>IFERROR(__xludf.DUMMYFUNCTION("iferror(if($B1532="""", ,filter(Playoff_Stats!F:Z,Playoff_Stats!A:A=$B1532,Playoff_Stats!B:B=$A1532)))"),"")</f>
        <v/>
      </c>
      <c r="K1532" s="11"/>
      <c r="L1532" s="12"/>
      <c r="M1532" s="11"/>
      <c r="N1532" s="11"/>
      <c r="O1532" s="13"/>
      <c r="P1532" s="14"/>
      <c r="Q1532" s="13"/>
      <c r="R1532" s="13"/>
      <c r="S1532" s="15"/>
      <c r="T1532" s="16"/>
      <c r="U1532" s="16"/>
      <c r="V1532" s="16"/>
      <c r="W1532" s="16"/>
      <c r="X1532" s="16"/>
      <c r="Y1532" s="11"/>
      <c r="Z1532" s="11"/>
      <c r="AA1532" s="11"/>
      <c r="AB1532" s="11"/>
      <c r="AC1532" s="11"/>
      <c r="AD1532" s="11"/>
    </row>
    <row r="1533">
      <c r="A1533" s="10"/>
      <c r="B1533" s="10"/>
      <c r="C1533" s="10"/>
      <c r="D1533" s="10"/>
      <c r="E1533" s="10"/>
      <c r="F1533" s="11"/>
      <c r="G1533" s="11"/>
      <c r="H1533" s="11"/>
      <c r="I1533" s="11"/>
      <c r="J1533" s="11" t="str">
        <f>IFERROR(__xludf.DUMMYFUNCTION("iferror(if($B1533="""", ,filter(Playoff_Stats!F:Z,Playoff_Stats!A:A=$B1533,Playoff_Stats!B:B=$A1533)))"),"")</f>
        <v/>
      </c>
      <c r="K1533" s="11"/>
      <c r="L1533" s="12"/>
      <c r="M1533" s="11"/>
      <c r="N1533" s="11"/>
      <c r="O1533" s="13"/>
      <c r="P1533" s="14"/>
      <c r="Q1533" s="13"/>
      <c r="R1533" s="13"/>
      <c r="S1533" s="15"/>
      <c r="T1533" s="16"/>
      <c r="U1533" s="16"/>
      <c r="V1533" s="16"/>
      <c r="W1533" s="16"/>
      <c r="X1533" s="16"/>
      <c r="Y1533" s="11"/>
      <c r="Z1533" s="11"/>
      <c r="AA1533" s="11"/>
      <c r="AB1533" s="11"/>
      <c r="AC1533" s="11"/>
      <c r="AD1533" s="11"/>
    </row>
    <row r="1534">
      <c r="A1534" s="10"/>
      <c r="B1534" s="10"/>
      <c r="C1534" s="10"/>
      <c r="D1534" s="10"/>
      <c r="E1534" s="10"/>
      <c r="F1534" s="11"/>
      <c r="G1534" s="11"/>
      <c r="H1534" s="11"/>
      <c r="I1534" s="11"/>
      <c r="J1534" s="11" t="str">
        <f>IFERROR(__xludf.DUMMYFUNCTION("iferror(if($B1534="""", ,filter(Playoff_Stats!F:Z,Playoff_Stats!A:A=$B1534,Playoff_Stats!B:B=$A1534)))"),"")</f>
        <v/>
      </c>
      <c r="K1534" s="11"/>
      <c r="L1534" s="12"/>
      <c r="M1534" s="11"/>
      <c r="N1534" s="11"/>
      <c r="O1534" s="13"/>
      <c r="P1534" s="14"/>
      <c r="Q1534" s="13"/>
      <c r="R1534" s="13"/>
      <c r="S1534" s="15"/>
      <c r="T1534" s="16"/>
      <c r="U1534" s="16"/>
      <c r="V1534" s="16"/>
      <c r="W1534" s="16"/>
      <c r="X1534" s="16"/>
      <c r="Y1534" s="11"/>
      <c r="Z1534" s="11"/>
      <c r="AA1534" s="11"/>
      <c r="AB1534" s="11"/>
      <c r="AC1534" s="11"/>
      <c r="AD1534" s="11"/>
    </row>
    <row r="1535">
      <c r="A1535" s="10"/>
      <c r="B1535" s="10"/>
      <c r="C1535" s="10"/>
      <c r="D1535" s="10"/>
      <c r="E1535" s="10"/>
      <c r="F1535" s="11"/>
      <c r="G1535" s="11"/>
      <c r="H1535" s="11"/>
      <c r="I1535" s="11"/>
      <c r="J1535" s="11" t="str">
        <f>IFERROR(__xludf.DUMMYFUNCTION("iferror(if($B1535="""", ,filter(Playoff_Stats!F:Z,Playoff_Stats!A:A=$B1535,Playoff_Stats!B:B=$A1535)))"),"")</f>
        <v/>
      </c>
      <c r="K1535" s="11"/>
      <c r="L1535" s="12"/>
      <c r="M1535" s="11"/>
      <c r="N1535" s="11"/>
      <c r="O1535" s="13"/>
      <c r="P1535" s="14"/>
      <c r="Q1535" s="13"/>
      <c r="R1535" s="13"/>
      <c r="S1535" s="15"/>
      <c r="T1535" s="16"/>
      <c r="U1535" s="16"/>
      <c r="V1535" s="16"/>
      <c r="W1535" s="16"/>
      <c r="X1535" s="16"/>
      <c r="Y1535" s="11"/>
      <c r="Z1535" s="11"/>
      <c r="AA1535" s="11"/>
      <c r="AB1535" s="11"/>
      <c r="AC1535" s="11"/>
      <c r="AD1535" s="11"/>
    </row>
    <row r="1536">
      <c r="A1536" s="10"/>
      <c r="B1536" s="10"/>
      <c r="C1536" s="10"/>
      <c r="D1536" s="10"/>
      <c r="E1536" s="10"/>
      <c r="F1536" s="11"/>
      <c r="G1536" s="11"/>
      <c r="H1536" s="11"/>
      <c r="I1536" s="11"/>
      <c r="J1536" s="11" t="str">
        <f>IFERROR(__xludf.DUMMYFUNCTION("iferror(if($B1536="""", ,filter(Playoff_Stats!F:Z,Playoff_Stats!A:A=$B1536,Playoff_Stats!B:B=$A1536)))"),"")</f>
        <v/>
      </c>
      <c r="K1536" s="11"/>
      <c r="L1536" s="12"/>
      <c r="M1536" s="11"/>
      <c r="N1536" s="11"/>
      <c r="O1536" s="13"/>
      <c r="P1536" s="14"/>
      <c r="Q1536" s="13"/>
      <c r="R1536" s="13"/>
      <c r="S1536" s="15"/>
      <c r="T1536" s="16"/>
      <c r="U1536" s="16"/>
      <c r="V1536" s="16"/>
      <c r="W1536" s="16"/>
      <c r="X1536" s="16"/>
      <c r="Y1536" s="11"/>
      <c r="Z1536" s="11"/>
      <c r="AA1536" s="11"/>
      <c r="AB1536" s="11"/>
      <c r="AC1536" s="11"/>
      <c r="AD1536" s="11"/>
    </row>
    <row r="1537">
      <c r="A1537" s="10"/>
      <c r="B1537" s="10"/>
      <c r="C1537" s="10"/>
      <c r="D1537" s="10"/>
      <c r="E1537" s="10"/>
      <c r="F1537" s="11"/>
      <c r="G1537" s="11"/>
      <c r="H1537" s="11"/>
      <c r="I1537" s="11"/>
      <c r="J1537" s="11" t="str">
        <f>IFERROR(__xludf.DUMMYFUNCTION("iferror(if($B1537="""", ,filter(Playoff_Stats!F:Z,Playoff_Stats!A:A=$B1537,Playoff_Stats!B:B=$A1537)))"),"")</f>
        <v/>
      </c>
      <c r="K1537" s="11"/>
      <c r="L1537" s="12"/>
      <c r="M1537" s="11"/>
      <c r="N1537" s="11"/>
      <c r="O1537" s="13"/>
      <c r="P1537" s="14"/>
      <c r="Q1537" s="13"/>
      <c r="R1537" s="13"/>
      <c r="S1537" s="15"/>
      <c r="T1537" s="16"/>
      <c r="U1537" s="16"/>
      <c r="V1537" s="16"/>
      <c r="W1537" s="16"/>
      <c r="X1537" s="16"/>
      <c r="Y1537" s="11"/>
      <c r="Z1537" s="11"/>
      <c r="AA1537" s="11"/>
      <c r="AB1537" s="11"/>
      <c r="AC1537" s="11"/>
      <c r="AD1537" s="11"/>
    </row>
    <row r="1538">
      <c r="A1538" s="10"/>
      <c r="B1538" s="10"/>
      <c r="C1538" s="10"/>
      <c r="D1538" s="10"/>
      <c r="E1538" s="10"/>
      <c r="F1538" s="11"/>
      <c r="G1538" s="11"/>
      <c r="H1538" s="11"/>
      <c r="I1538" s="11"/>
      <c r="J1538" s="11" t="str">
        <f>IFERROR(__xludf.DUMMYFUNCTION("iferror(if($B1538="""", ,filter(Playoff_Stats!F:Z,Playoff_Stats!A:A=$B1538,Playoff_Stats!B:B=$A1538)))"),"")</f>
        <v/>
      </c>
      <c r="K1538" s="11"/>
      <c r="L1538" s="12"/>
      <c r="M1538" s="11"/>
      <c r="N1538" s="11"/>
      <c r="O1538" s="13"/>
      <c r="P1538" s="14"/>
      <c r="Q1538" s="13"/>
      <c r="R1538" s="13"/>
      <c r="S1538" s="15"/>
      <c r="T1538" s="16"/>
      <c r="U1538" s="16"/>
      <c r="V1538" s="16"/>
      <c r="W1538" s="16"/>
      <c r="X1538" s="16"/>
      <c r="Y1538" s="11"/>
      <c r="Z1538" s="11"/>
      <c r="AA1538" s="11"/>
      <c r="AB1538" s="11"/>
      <c r="AC1538" s="11"/>
      <c r="AD1538" s="11"/>
    </row>
    <row r="1539">
      <c r="A1539" s="10"/>
      <c r="B1539" s="10"/>
      <c r="C1539" s="10"/>
      <c r="D1539" s="10"/>
      <c r="E1539" s="10"/>
      <c r="F1539" s="11"/>
      <c r="G1539" s="11"/>
      <c r="H1539" s="11"/>
      <c r="I1539" s="11"/>
      <c r="J1539" s="11" t="str">
        <f>IFERROR(__xludf.DUMMYFUNCTION("iferror(if($B1539="""", ,filter(Playoff_Stats!F:Z,Playoff_Stats!A:A=$B1539,Playoff_Stats!B:B=$A1539)))"),"")</f>
        <v/>
      </c>
      <c r="K1539" s="11"/>
      <c r="L1539" s="12"/>
      <c r="M1539" s="11"/>
      <c r="N1539" s="11"/>
      <c r="O1539" s="13"/>
      <c r="P1539" s="14"/>
      <c r="Q1539" s="13"/>
      <c r="R1539" s="13"/>
      <c r="S1539" s="15"/>
      <c r="T1539" s="16"/>
      <c r="U1539" s="16"/>
      <c r="V1539" s="16"/>
      <c r="W1539" s="16"/>
      <c r="X1539" s="16"/>
      <c r="Y1539" s="11"/>
      <c r="Z1539" s="11"/>
      <c r="AA1539" s="11"/>
      <c r="AB1539" s="11"/>
      <c r="AC1539" s="11"/>
      <c r="AD1539" s="11"/>
    </row>
    <row r="1540">
      <c r="A1540" s="10"/>
      <c r="B1540" s="10"/>
      <c r="C1540" s="10"/>
      <c r="D1540" s="10"/>
      <c r="E1540" s="10"/>
      <c r="F1540" s="11"/>
      <c r="G1540" s="11"/>
      <c r="H1540" s="11"/>
      <c r="I1540" s="11"/>
      <c r="J1540" s="11" t="str">
        <f>IFERROR(__xludf.DUMMYFUNCTION("iferror(if($B1540="""", ,filter(Playoff_Stats!F:Z,Playoff_Stats!A:A=$B1540,Playoff_Stats!B:B=$A1540)))"),"")</f>
        <v/>
      </c>
      <c r="K1540" s="11"/>
      <c r="L1540" s="12"/>
      <c r="M1540" s="11"/>
      <c r="N1540" s="11"/>
      <c r="O1540" s="13"/>
      <c r="P1540" s="14"/>
      <c r="Q1540" s="13"/>
      <c r="R1540" s="13"/>
      <c r="S1540" s="15"/>
      <c r="T1540" s="16"/>
      <c r="U1540" s="16"/>
      <c r="V1540" s="16"/>
      <c r="W1540" s="16"/>
      <c r="X1540" s="16"/>
      <c r="Y1540" s="11"/>
      <c r="Z1540" s="11"/>
      <c r="AA1540" s="11"/>
      <c r="AB1540" s="11"/>
      <c r="AC1540" s="11"/>
      <c r="AD1540" s="11"/>
    </row>
    <row r="1541">
      <c r="A1541" s="10"/>
      <c r="B1541" s="10"/>
      <c r="C1541" s="10"/>
      <c r="D1541" s="10"/>
      <c r="E1541" s="10"/>
      <c r="F1541" s="11"/>
      <c r="G1541" s="11"/>
      <c r="H1541" s="11"/>
      <c r="I1541" s="11"/>
      <c r="J1541" s="11" t="str">
        <f>IFERROR(__xludf.DUMMYFUNCTION("iferror(if($B1541="""", ,filter(Playoff_Stats!F:Z,Playoff_Stats!A:A=$B1541,Playoff_Stats!B:B=$A1541)))"),"")</f>
        <v/>
      </c>
      <c r="K1541" s="11"/>
      <c r="L1541" s="12"/>
      <c r="M1541" s="11"/>
      <c r="N1541" s="11"/>
      <c r="O1541" s="13"/>
      <c r="P1541" s="14"/>
      <c r="Q1541" s="13"/>
      <c r="R1541" s="13"/>
      <c r="S1541" s="15"/>
      <c r="T1541" s="16"/>
      <c r="U1541" s="16"/>
      <c r="V1541" s="16"/>
      <c r="W1541" s="16"/>
      <c r="X1541" s="16"/>
      <c r="Y1541" s="11"/>
      <c r="Z1541" s="11"/>
      <c r="AA1541" s="11"/>
      <c r="AB1541" s="11"/>
      <c r="AC1541" s="11"/>
      <c r="AD1541" s="11"/>
    </row>
    <row r="1542">
      <c r="A1542" s="10"/>
      <c r="B1542" s="10"/>
      <c r="C1542" s="10"/>
      <c r="D1542" s="10"/>
      <c r="E1542" s="10"/>
      <c r="F1542" s="11"/>
      <c r="G1542" s="11"/>
      <c r="H1542" s="11"/>
      <c r="I1542" s="11"/>
      <c r="J1542" s="11" t="str">
        <f>IFERROR(__xludf.DUMMYFUNCTION("iferror(if($B1542="""", ,filter(Playoff_Stats!F:Z,Playoff_Stats!A:A=$B1542,Playoff_Stats!B:B=$A1542)))"),"")</f>
        <v/>
      </c>
      <c r="K1542" s="11"/>
      <c r="L1542" s="12"/>
      <c r="M1542" s="11"/>
      <c r="N1542" s="11"/>
      <c r="O1542" s="13"/>
      <c r="P1542" s="14"/>
      <c r="Q1542" s="13"/>
      <c r="R1542" s="13"/>
      <c r="S1542" s="15"/>
      <c r="T1542" s="16"/>
      <c r="U1542" s="16"/>
      <c r="V1542" s="16"/>
      <c r="W1542" s="16"/>
      <c r="X1542" s="16"/>
      <c r="Y1542" s="11"/>
      <c r="Z1542" s="11"/>
      <c r="AA1542" s="11"/>
      <c r="AB1542" s="11"/>
      <c r="AC1542" s="11"/>
      <c r="AD1542" s="11"/>
    </row>
    <row r="1543">
      <c r="A1543" s="10"/>
      <c r="B1543" s="10"/>
      <c r="C1543" s="10"/>
      <c r="D1543" s="10"/>
      <c r="E1543" s="10"/>
      <c r="F1543" s="11"/>
      <c r="G1543" s="11"/>
      <c r="H1543" s="11"/>
      <c r="I1543" s="11"/>
      <c r="J1543" s="11" t="str">
        <f>IFERROR(__xludf.DUMMYFUNCTION("iferror(if($B1543="""", ,filter(Playoff_Stats!F:Z,Playoff_Stats!A:A=$B1543,Playoff_Stats!B:B=$A1543)))"),"")</f>
        <v/>
      </c>
      <c r="K1543" s="11"/>
      <c r="L1543" s="12"/>
      <c r="M1543" s="11"/>
      <c r="N1543" s="11"/>
      <c r="O1543" s="13"/>
      <c r="P1543" s="14"/>
      <c r="Q1543" s="13"/>
      <c r="R1543" s="13"/>
      <c r="S1543" s="15"/>
      <c r="T1543" s="16"/>
      <c r="U1543" s="16"/>
      <c r="V1543" s="16"/>
      <c r="W1543" s="16"/>
      <c r="X1543" s="16"/>
      <c r="Y1543" s="11"/>
      <c r="Z1543" s="11"/>
      <c r="AA1543" s="11"/>
      <c r="AB1543" s="11"/>
      <c r="AC1543" s="11"/>
      <c r="AD1543" s="11"/>
    </row>
    <row r="1544">
      <c r="A1544" s="10"/>
      <c r="B1544" s="10"/>
      <c r="C1544" s="10"/>
      <c r="D1544" s="10"/>
      <c r="E1544" s="10"/>
      <c r="F1544" s="11"/>
      <c r="G1544" s="11"/>
      <c r="H1544" s="11"/>
      <c r="I1544" s="11"/>
      <c r="J1544" s="11" t="str">
        <f>IFERROR(__xludf.DUMMYFUNCTION("iferror(if($B1544="""", ,filter(Playoff_Stats!F:Z,Playoff_Stats!A:A=$B1544,Playoff_Stats!B:B=$A1544)))"),"")</f>
        <v/>
      </c>
      <c r="K1544" s="11"/>
      <c r="L1544" s="12"/>
      <c r="M1544" s="11"/>
      <c r="N1544" s="11"/>
      <c r="O1544" s="13"/>
      <c r="P1544" s="14"/>
      <c r="Q1544" s="13"/>
      <c r="R1544" s="13"/>
      <c r="S1544" s="15"/>
      <c r="T1544" s="16"/>
      <c r="U1544" s="16"/>
      <c r="V1544" s="16"/>
      <c r="W1544" s="16"/>
      <c r="X1544" s="16"/>
      <c r="Y1544" s="11"/>
      <c r="Z1544" s="11"/>
      <c r="AA1544" s="11"/>
      <c r="AB1544" s="11"/>
      <c r="AC1544" s="11"/>
      <c r="AD1544" s="11"/>
    </row>
    <row r="1545">
      <c r="A1545" s="10"/>
      <c r="B1545" s="10"/>
      <c r="C1545" s="10"/>
      <c r="D1545" s="10"/>
      <c r="E1545" s="10"/>
      <c r="F1545" s="11"/>
      <c r="G1545" s="11"/>
      <c r="H1545" s="11"/>
      <c r="I1545" s="11"/>
      <c r="J1545" s="11" t="str">
        <f>IFERROR(__xludf.DUMMYFUNCTION("iferror(if($B1545="""", ,filter(Playoff_Stats!F:Z,Playoff_Stats!A:A=$B1545,Playoff_Stats!B:B=$A1545)))"),"")</f>
        <v/>
      </c>
      <c r="K1545" s="11"/>
      <c r="L1545" s="12"/>
      <c r="M1545" s="11"/>
      <c r="N1545" s="11"/>
      <c r="O1545" s="13"/>
      <c r="P1545" s="14"/>
      <c r="Q1545" s="13"/>
      <c r="R1545" s="13"/>
      <c r="S1545" s="15"/>
      <c r="T1545" s="16"/>
      <c r="U1545" s="16"/>
      <c r="V1545" s="16"/>
      <c r="W1545" s="16"/>
      <c r="X1545" s="16"/>
      <c r="Y1545" s="11"/>
      <c r="Z1545" s="11"/>
      <c r="AA1545" s="11"/>
      <c r="AB1545" s="11"/>
      <c r="AC1545" s="11"/>
      <c r="AD1545" s="11"/>
    </row>
    <row r="1546">
      <c r="A1546" s="10"/>
      <c r="B1546" s="10"/>
      <c r="C1546" s="10"/>
      <c r="D1546" s="10"/>
      <c r="E1546" s="10"/>
      <c r="F1546" s="11"/>
      <c r="G1546" s="11"/>
      <c r="H1546" s="11"/>
      <c r="I1546" s="11"/>
      <c r="J1546" s="11" t="str">
        <f>IFERROR(__xludf.DUMMYFUNCTION("iferror(if($B1546="""", ,filter(Playoff_Stats!F:Z,Playoff_Stats!A:A=$B1546,Playoff_Stats!B:B=$A1546)))"),"")</f>
        <v/>
      </c>
      <c r="K1546" s="11"/>
      <c r="L1546" s="12"/>
      <c r="M1546" s="11"/>
      <c r="N1546" s="11"/>
      <c r="O1546" s="13"/>
      <c r="P1546" s="14"/>
      <c r="Q1546" s="13"/>
      <c r="R1546" s="13"/>
      <c r="S1546" s="15"/>
      <c r="T1546" s="16"/>
      <c r="U1546" s="16"/>
      <c r="V1546" s="16"/>
      <c r="W1546" s="16"/>
      <c r="X1546" s="16"/>
      <c r="Y1546" s="11"/>
      <c r="Z1546" s="11"/>
      <c r="AA1546" s="11"/>
      <c r="AB1546" s="11"/>
      <c r="AC1546" s="11"/>
      <c r="AD1546" s="11"/>
    </row>
    <row r="1547">
      <c r="A1547" s="10"/>
      <c r="B1547" s="10"/>
      <c r="C1547" s="10"/>
      <c r="D1547" s="10"/>
      <c r="E1547" s="10"/>
      <c r="F1547" s="11"/>
      <c r="G1547" s="11"/>
      <c r="H1547" s="11"/>
      <c r="I1547" s="11"/>
      <c r="J1547" s="11" t="str">
        <f>IFERROR(__xludf.DUMMYFUNCTION("iferror(if($B1547="""", ,filter(Playoff_Stats!F:Z,Playoff_Stats!A:A=$B1547,Playoff_Stats!B:B=$A1547)))"),"")</f>
        <v/>
      </c>
      <c r="K1547" s="11"/>
      <c r="L1547" s="12"/>
      <c r="M1547" s="11"/>
      <c r="N1547" s="11"/>
      <c r="O1547" s="13"/>
      <c r="P1547" s="14"/>
      <c r="Q1547" s="13"/>
      <c r="R1547" s="13"/>
      <c r="S1547" s="15"/>
      <c r="T1547" s="16"/>
      <c r="U1547" s="16"/>
      <c r="V1547" s="16"/>
      <c r="W1547" s="16"/>
      <c r="X1547" s="16"/>
      <c r="Y1547" s="11"/>
      <c r="Z1547" s="11"/>
      <c r="AA1547" s="11"/>
      <c r="AB1547" s="11"/>
      <c r="AC1547" s="11"/>
      <c r="AD1547" s="11"/>
    </row>
    <row r="1548">
      <c r="A1548" s="10"/>
      <c r="B1548" s="10"/>
      <c r="C1548" s="10"/>
      <c r="D1548" s="10"/>
      <c r="E1548" s="10"/>
      <c r="F1548" s="11"/>
      <c r="G1548" s="11"/>
      <c r="H1548" s="11"/>
      <c r="I1548" s="11"/>
      <c r="J1548" s="11" t="str">
        <f>IFERROR(__xludf.DUMMYFUNCTION("iferror(if($B1548="""", ,filter(Playoff_Stats!F:Z,Playoff_Stats!A:A=$B1548,Playoff_Stats!B:B=$A1548)))"),"")</f>
        <v/>
      </c>
      <c r="K1548" s="11"/>
      <c r="L1548" s="12"/>
      <c r="M1548" s="11"/>
      <c r="N1548" s="11"/>
      <c r="O1548" s="13"/>
      <c r="P1548" s="14"/>
      <c r="Q1548" s="13"/>
      <c r="R1548" s="13"/>
      <c r="S1548" s="15"/>
      <c r="T1548" s="16"/>
      <c r="U1548" s="16"/>
      <c r="V1548" s="16"/>
      <c r="W1548" s="16"/>
      <c r="X1548" s="16"/>
      <c r="Y1548" s="11"/>
      <c r="Z1548" s="11"/>
      <c r="AA1548" s="11"/>
      <c r="AB1548" s="11"/>
      <c r="AC1548" s="11"/>
      <c r="AD1548" s="11"/>
    </row>
    <row r="1549">
      <c r="A1549" s="10"/>
      <c r="B1549" s="10"/>
      <c r="C1549" s="10"/>
      <c r="D1549" s="10"/>
      <c r="E1549" s="10"/>
      <c r="F1549" s="11"/>
      <c r="G1549" s="11"/>
      <c r="H1549" s="11"/>
      <c r="I1549" s="11"/>
      <c r="J1549" s="11" t="str">
        <f>IFERROR(__xludf.DUMMYFUNCTION("iferror(if($B1549="""", ,filter(Playoff_Stats!F:Z,Playoff_Stats!A:A=$B1549,Playoff_Stats!B:B=$A1549)))"),"")</f>
        <v/>
      </c>
      <c r="K1549" s="11"/>
      <c r="L1549" s="12"/>
      <c r="M1549" s="11"/>
      <c r="N1549" s="11"/>
      <c r="O1549" s="13"/>
      <c r="P1549" s="14"/>
      <c r="Q1549" s="13"/>
      <c r="R1549" s="13"/>
      <c r="S1549" s="15"/>
      <c r="T1549" s="16"/>
      <c r="U1549" s="16"/>
      <c r="V1549" s="16"/>
      <c r="W1549" s="16"/>
      <c r="X1549" s="16"/>
      <c r="Y1549" s="11"/>
      <c r="Z1549" s="11"/>
      <c r="AA1549" s="11"/>
      <c r="AB1549" s="11"/>
      <c r="AC1549" s="11"/>
      <c r="AD1549" s="11"/>
    </row>
    <row r="1550">
      <c r="A1550" s="10"/>
      <c r="B1550" s="10"/>
      <c r="C1550" s="10"/>
      <c r="D1550" s="10"/>
      <c r="E1550" s="10"/>
      <c r="F1550" s="11"/>
      <c r="G1550" s="11"/>
      <c r="H1550" s="11"/>
      <c r="I1550" s="11"/>
      <c r="J1550" s="11" t="str">
        <f>IFERROR(__xludf.DUMMYFUNCTION("iferror(if($B1550="""", ,filter(Playoff_Stats!F:Z,Playoff_Stats!A:A=$B1550,Playoff_Stats!B:B=$A1550)))"),"")</f>
        <v/>
      </c>
      <c r="K1550" s="11"/>
      <c r="L1550" s="12"/>
      <c r="M1550" s="11"/>
      <c r="N1550" s="11"/>
      <c r="O1550" s="13"/>
      <c r="P1550" s="14"/>
      <c r="Q1550" s="13"/>
      <c r="R1550" s="13"/>
      <c r="S1550" s="15"/>
      <c r="T1550" s="16"/>
      <c r="U1550" s="16"/>
      <c r="V1550" s="16"/>
      <c r="W1550" s="16"/>
      <c r="X1550" s="16"/>
      <c r="Y1550" s="11"/>
      <c r="Z1550" s="11"/>
      <c r="AA1550" s="11"/>
      <c r="AB1550" s="11"/>
      <c r="AC1550" s="11"/>
      <c r="AD1550" s="11"/>
    </row>
    <row r="1551">
      <c r="A1551" s="10"/>
      <c r="B1551" s="10"/>
      <c r="C1551" s="10"/>
      <c r="D1551" s="10"/>
      <c r="E1551" s="10"/>
      <c r="F1551" s="11"/>
      <c r="G1551" s="11"/>
      <c r="H1551" s="11"/>
      <c r="I1551" s="11"/>
      <c r="J1551" s="11" t="str">
        <f>IFERROR(__xludf.DUMMYFUNCTION("iferror(if($B1551="""", ,filter(Playoff_Stats!F:Z,Playoff_Stats!A:A=$B1551,Playoff_Stats!B:B=$A1551)))"),"")</f>
        <v/>
      </c>
      <c r="K1551" s="11"/>
      <c r="L1551" s="12"/>
      <c r="M1551" s="11"/>
      <c r="N1551" s="11"/>
      <c r="O1551" s="13"/>
      <c r="P1551" s="14"/>
      <c r="Q1551" s="13"/>
      <c r="R1551" s="13"/>
      <c r="S1551" s="15"/>
      <c r="T1551" s="16"/>
      <c r="U1551" s="16"/>
      <c r="V1551" s="16"/>
      <c r="W1551" s="16"/>
      <c r="X1551" s="16"/>
      <c r="Y1551" s="11"/>
      <c r="Z1551" s="11"/>
      <c r="AA1551" s="11"/>
      <c r="AB1551" s="11"/>
      <c r="AC1551" s="11"/>
      <c r="AD1551" s="11"/>
    </row>
    <row r="1552">
      <c r="A1552" s="10"/>
      <c r="B1552" s="10"/>
      <c r="C1552" s="10"/>
      <c r="D1552" s="10"/>
      <c r="E1552" s="10"/>
      <c r="F1552" s="11"/>
      <c r="G1552" s="11"/>
      <c r="H1552" s="11"/>
      <c r="I1552" s="11"/>
      <c r="J1552" s="11" t="str">
        <f>IFERROR(__xludf.DUMMYFUNCTION("iferror(if($B1552="""", ,filter(Playoff_Stats!F:Z,Playoff_Stats!A:A=$B1552,Playoff_Stats!B:B=$A1552)))"),"")</f>
        <v/>
      </c>
      <c r="K1552" s="11"/>
      <c r="L1552" s="12"/>
      <c r="M1552" s="11"/>
      <c r="N1552" s="11"/>
      <c r="O1552" s="13"/>
      <c r="P1552" s="14"/>
      <c r="Q1552" s="13"/>
      <c r="R1552" s="13"/>
      <c r="S1552" s="15"/>
      <c r="T1552" s="16"/>
      <c r="U1552" s="16"/>
      <c r="V1552" s="16"/>
      <c r="W1552" s="16"/>
      <c r="X1552" s="16"/>
      <c r="Y1552" s="11"/>
      <c r="Z1552" s="11"/>
      <c r="AA1552" s="11"/>
      <c r="AB1552" s="11"/>
      <c r="AC1552" s="11"/>
      <c r="AD1552" s="11"/>
    </row>
    <row r="1553">
      <c r="A1553" s="10"/>
      <c r="B1553" s="10"/>
      <c r="C1553" s="10"/>
      <c r="D1553" s="10"/>
      <c r="E1553" s="10"/>
      <c r="F1553" s="11"/>
      <c r="G1553" s="11"/>
      <c r="H1553" s="11"/>
      <c r="I1553" s="11"/>
      <c r="J1553" s="11" t="str">
        <f>IFERROR(__xludf.DUMMYFUNCTION("iferror(if($B1553="""", ,filter(Playoff_Stats!F:Z,Playoff_Stats!A:A=$B1553,Playoff_Stats!B:B=$A1553)))"),"")</f>
        <v/>
      </c>
      <c r="K1553" s="11"/>
      <c r="L1553" s="12"/>
      <c r="M1553" s="11"/>
      <c r="N1553" s="11"/>
      <c r="O1553" s="13"/>
      <c r="P1553" s="14"/>
      <c r="Q1553" s="13"/>
      <c r="R1553" s="13"/>
      <c r="S1553" s="15"/>
      <c r="T1553" s="16"/>
      <c r="U1553" s="16"/>
      <c r="V1553" s="16"/>
      <c r="W1553" s="16"/>
      <c r="X1553" s="16"/>
      <c r="Y1553" s="11"/>
      <c r="Z1553" s="11"/>
      <c r="AA1553" s="11"/>
      <c r="AB1553" s="11"/>
      <c r="AC1553" s="11"/>
      <c r="AD1553" s="11"/>
    </row>
    <row r="1554">
      <c r="A1554" s="10"/>
      <c r="B1554" s="10"/>
      <c r="C1554" s="10"/>
      <c r="D1554" s="10"/>
      <c r="E1554" s="10"/>
      <c r="F1554" s="11"/>
      <c r="G1554" s="11"/>
      <c r="H1554" s="11"/>
      <c r="I1554" s="11"/>
      <c r="J1554" s="11" t="str">
        <f>IFERROR(__xludf.DUMMYFUNCTION("iferror(if($B1554="""", ,filter(Playoff_Stats!F:Z,Playoff_Stats!A:A=$B1554,Playoff_Stats!B:B=$A1554)))"),"")</f>
        <v/>
      </c>
      <c r="K1554" s="11"/>
      <c r="L1554" s="12"/>
      <c r="M1554" s="11"/>
      <c r="N1554" s="11"/>
      <c r="O1554" s="13"/>
      <c r="P1554" s="14"/>
      <c r="Q1554" s="13"/>
      <c r="R1554" s="13"/>
      <c r="S1554" s="15"/>
      <c r="T1554" s="16"/>
      <c r="U1554" s="16"/>
      <c r="V1554" s="16"/>
      <c r="W1554" s="16"/>
      <c r="X1554" s="16"/>
      <c r="Y1554" s="11"/>
      <c r="Z1554" s="11"/>
      <c r="AA1554" s="11"/>
      <c r="AB1554" s="11"/>
      <c r="AC1554" s="11"/>
      <c r="AD1554" s="11"/>
    </row>
    <row r="1555">
      <c r="A1555" s="10"/>
      <c r="B1555" s="10"/>
      <c r="C1555" s="10"/>
      <c r="D1555" s="10"/>
      <c r="E1555" s="10"/>
      <c r="F1555" s="11"/>
      <c r="G1555" s="11"/>
      <c r="H1555" s="11"/>
      <c r="I1555" s="11"/>
      <c r="J1555" s="11" t="str">
        <f>IFERROR(__xludf.DUMMYFUNCTION("iferror(if($B1555="""", ,filter(Playoff_Stats!F:Z,Playoff_Stats!A:A=$B1555,Playoff_Stats!B:B=$A1555)))"),"")</f>
        <v/>
      </c>
      <c r="K1555" s="11"/>
      <c r="L1555" s="12"/>
      <c r="M1555" s="11"/>
      <c r="N1555" s="11"/>
      <c r="O1555" s="13"/>
      <c r="P1555" s="14"/>
      <c r="Q1555" s="13"/>
      <c r="R1555" s="13"/>
      <c r="S1555" s="15"/>
      <c r="T1555" s="16"/>
      <c r="U1555" s="16"/>
      <c r="V1555" s="16"/>
      <c r="W1555" s="16"/>
      <c r="X1555" s="16"/>
      <c r="Y1555" s="11"/>
      <c r="Z1555" s="11"/>
      <c r="AA1555" s="11"/>
      <c r="AB1555" s="11"/>
      <c r="AC1555" s="11"/>
      <c r="AD1555" s="11"/>
    </row>
    <row r="1556">
      <c r="A1556" s="10"/>
      <c r="B1556" s="10"/>
      <c r="C1556" s="10"/>
      <c r="D1556" s="10"/>
      <c r="E1556" s="10"/>
      <c r="F1556" s="11"/>
      <c r="G1556" s="11"/>
      <c r="H1556" s="11"/>
      <c r="I1556" s="11"/>
      <c r="J1556" s="11" t="str">
        <f>IFERROR(__xludf.DUMMYFUNCTION("iferror(if($B1556="""", ,filter(Playoff_Stats!F:Z,Playoff_Stats!A:A=$B1556,Playoff_Stats!B:B=$A1556)))"),"")</f>
        <v/>
      </c>
      <c r="K1556" s="11"/>
      <c r="L1556" s="12"/>
      <c r="M1556" s="11"/>
      <c r="N1556" s="11"/>
      <c r="O1556" s="13"/>
      <c r="P1556" s="14"/>
      <c r="Q1556" s="13"/>
      <c r="R1556" s="13"/>
      <c r="S1556" s="15"/>
      <c r="T1556" s="16"/>
      <c r="U1556" s="16"/>
      <c r="V1556" s="16"/>
      <c r="W1556" s="16"/>
      <c r="X1556" s="16"/>
      <c r="Y1556" s="11"/>
      <c r="Z1556" s="11"/>
      <c r="AA1556" s="11"/>
      <c r="AB1556" s="11"/>
      <c r="AC1556" s="11"/>
      <c r="AD1556" s="11"/>
    </row>
    <row r="1557">
      <c r="A1557" s="10"/>
      <c r="B1557" s="10"/>
      <c r="C1557" s="10"/>
      <c r="D1557" s="10"/>
      <c r="E1557" s="10"/>
      <c r="F1557" s="11"/>
      <c r="G1557" s="11"/>
      <c r="H1557" s="11"/>
      <c r="I1557" s="11"/>
      <c r="J1557" s="11" t="str">
        <f>IFERROR(__xludf.DUMMYFUNCTION("iferror(if($B1557="""", ,filter(Playoff_Stats!F:Z,Playoff_Stats!A:A=$B1557,Playoff_Stats!B:B=$A1557)))"),"")</f>
        <v/>
      </c>
      <c r="K1557" s="11"/>
      <c r="L1557" s="12"/>
      <c r="M1557" s="11"/>
      <c r="N1557" s="11"/>
      <c r="O1557" s="13"/>
      <c r="P1557" s="14"/>
      <c r="Q1557" s="13"/>
      <c r="R1557" s="13"/>
      <c r="S1557" s="15"/>
      <c r="T1557" s="16"/>
      <c r="U1557" s="16"/>
      <c r="V1557" s="16"/>
      <c r="W1557" s="16"/>
      <c r="X1557" s="16"/>
      <c r="Y1557" s="11"/>
      <c r="Z1557" s="11"/>
      <c r="AA1557" s="11"/>
      <c r="AB1557" s="11"/>
      <c r="AC1557" s="11"/>
      <c r="AD1557" s="11"/>
    </row>
    <row r="1558">
      <c r="A1558" s="10"/>
      <c r="B1558" s="10"/>
      <c r="C1558" s="10"/>
      <c r="D1558" s="10"/>
      <c r="E1558" s="10"/>
      <c r="F1558" s="11"/>
      <c r="G1558" s="11"/>
      <c r="H1558" s="11"/>
      <c r="I1558" s="11"/>
      <c r="J1558" s="11" t="str">
        <f>IFERROR(__xludf.DUMMYFUNCTION("iferror(if($B1558="""", ,filter(Playoff_Stats!F:Z,Playoff_Stats!A:A=$B1558,Playoff_Stats!B:B=$A1558)))"),"")</f>
        <v/>
      </c>
      <c r="K1558" s="11"/>
      <c r="L1558" s="12"/>
      <c r="M1558" s="11"/>
      <c r="N1558" s="11"/>
      <c r="O1558" s="13"/>
      <c r="P1558" s="14"/>
      <c r="Q1558" s="13"/>
      <c r="R1558" s="13"/>
      <c r="S1558" s="15"/>
      <c r="T1558" s="16"/>
      <c r="U1558" s="16"/>
      <c r="V1558" s="16"/>
      <c r="W1558" s="16"/>
      <c r="X1558" s="16"/>
      <c r="Y1558" s="11"/>
      <c r="Z1558" s="11"/>
      <c r="AA1558" s="11"/>
      <c r="AB1558" s="11"/>
      <c r="AC1558" s="11"/>
      <c r="AD1558" s="11"/>
    </row>
    <row r="1559">
      <c r="A1559" s="10"/>
      <c r="B1559" s="10"/>
      <c r="C1559" s="10"/>
      <c r="D1559" s="10"/>
      <c r="E1559" s="10"/>
      <c r="F1559" s="11"/>
      <c r="G1559" s="11"/>
      <c r="H1559" s="11"/>
      <c r="I1559" s="11"/>
      <c r="J1559" s="11" t="str">
        <f>IFERROR(__xludf.DUMMYFUNCTION("iferror(if($B1559="""", ,filter(Playoff_Stats!F:Z,Playoff_Stats!A:A=$B1559,Playoff_Stats!B:B=$A1559)))"),"")</f>
        <v/>
      </c>
      <c r="K1559" s="11"/>
      <c r="L1559" s="12"/>
      <c r="M1559" s="11"/>
      <c r="N1559" s="11"/>
      <c r="O1559" s="13"/>
      <c r="P1559" s="14"/>
      <c r="Q1559" s="13"/>
      <c r="R1559" s="13"/>
      <c r="S1559" s="15"/>
      <c r="T1559" s="16"/>
      <c r="U1559" s="16"/>
      <c r="V1559" s="16"/>
      <c r="W1559" s="16"/>
      <c r="X1559" s="16"/>
      <c r="Y1559" s="11"/>
      <c r="Z1559" s="11"/>
      <c r="AA1559" s="11"/>
      <c r="AB1559" s="11"/>
      <c r="AC1559" s="11"/>
      <c r="AD1559" s="11"/>
    </row>
    <row r="1560">
      <c r="A1560" s="10"/>
      <c r="B1560" s="10"/>
      <c r="C1560" s="10"/>
      <c r="D1560" s="10"/>
      <c r="E1560" s="10"/>
      <c r="F1560" s="11"/>
      <c r="G1560" s="11"/>
      <c r="H1560" s="11"/>
      <c r="I1560" s="11"/>
      <c r="J1560" s="11" t="str">
        <f>IFERROR(__xludf.DUMMYFUNCTION("iferror(if($B1560="""", ,filter(Playoff_Stats!F:Z,Playoff_Stats!A:A=$B1560,Playoff_Stats!B:B=$A1560)))"),"")</f>
        <v/>
      </c>
      <c r="K1560" s="11"/>
      <c r="L1560" s="12"/>
      <c r="M1560" s="11"/>
      <c r="N1560" s="11"/>
      <c r="O1560" s="13"/>
      <c r="P1560" s="14"/>
      <c r="Q1560" s="13"/>
      <c r="R1560" s="13"/>
      <c r="S1560" s="15"/>
      <c r="T1560" s="16"/>
      <c r="U1560" s="16"/>
      <c r="V1560" s="16"/>
      <c r="W1560" s="16"/>
      <c r="X1560" s="16"/>
      <c r="Y1560" s="11"/>
      <c r="Z1560" s="11"/>
      <c r="AA1560" s="11"/>
      <c r="AB1560" s="11"/>
      <c r="AC1560" s="11"/>
      <c r="AD1560" s="11"/>
    </row>
    <row r="1561">
      <c r="A1561" s="10"/>
      <c r="B1561" s="10"/>
      <c r="C1561" s="10"/>
      <c r="D1561" s="10"/>
      <c r="E1561" s="10"/>
      <c r="F1561" s="11"/>
      <c r="G1561" s="11"/>
      <c r="H1561" s="11"/>
      <c r="I1561" s="11"/>
      <c r="J1561" s="11" t="str">
        <f>IFERROR(__xludf.DUMMYFUNCTION("iferror(if($B1561="""", ,filter(Playoff_Stats!F:Z,Playoff_Stats!A:A=$B1561,Playoff_Stats!B:B=$A1561)))"),"")</f>
        <v/>
      </c>
      <c r="K1561" s="11"/>
      <c r="L1561" s="12"/>
      <c r="M1561" s="11"/>
      <c r="N1561" s="11"/>
      <c r="O1561" s="13"/>
      <c r="P1561" s="14"/>
      <c r="Q1561" s="13"/>
      <c r="R1561" s="13"/>
      <c r="S1561" s="15"/>
      <c r="T1561" s="16"/>
      <c r="U1561" s="16"/>
      <c r="V1561" s="16"/>
      <c r="W1561" s="16"/>
      <c r="X1561" s="16"/>
      <c r="Y1561" s="11"/>
      <c r="Z1561" s="11"/>
      <c r="AA1561" s="11"/>
      <c r="AB1561" s="11"/>
      <c r="AC1561" s="11"/>
      <c r="AD1561" s="11"/>
    </row>
    <row r="1562">
      <c r="A1562" s="10"/>
      <c r="B1562" s="10"/>
      <c r="C1562" s="10"/>
      <c r="D1562" s="10"/>
      <c r="E1562" s="10"/>
      <c r="F1562" s="11"/>
      <c r="G1562" s="11"/>
      <c r="H1562" s="11"/>
      <c r="I1562" s="11"/>
      <c r="J1562" s="11" t="str">
        <f>IFERROR(__xludf.DUMMYFUNCTION("iferror(if($B1562="""", ,filter(Playoff_Stats!F:Z,Playoff_Stats!A:A=$B1562,Playoff_Stats!B:B=$A1562)))"),"")</f>
        <v/>
      </c>
      <c r="K1562" s="11"/>
      <c r="L1562" s="12"/>
      <c r="M1562" s="11"/>
      <c r="N1562" s="11"/>
      <c r="O1562" s="13"/>
      <c r="P1562" s="14"/>
      <c r="Q1562" s="13"/>
      <c r="R1562" s="13"/>
      <c r="S1562" s="15"/>
      <c r="T1562" s="16"/>
      <c r="U1562" s="16"/>
      <c r="V1562" s="16"/>
      <c r="W1562" s="16"/>
      <c r="X1562" s="16"/>
      <c r="Y1562" s="11"/>
      <c r="Z1562" s="11"/>
      <c r="AA1562" s="11"/>
      <c r="AB1562" s="11"/>
      <c r="AC1562" s="11"/>
      <c r="AD1562" s="11"/>
    </row>
    <row r="1563">
      <c r="A1563" s="10"/>
      <c r="B1563" s="10"/>
      <c r="C1563" s="10"/>
      <c r="D1563" s="10"/>
      <c r="E1563" s="10"/>
      <c r="F1563" s="11"/>
      <c r="G1563" s="11"/>
      <c r="H1563" s="11"/>
      <c r="I1563" s="11"/>
      <c r="J1563" s="11" t="str">
        <f>IFERROR(__xludf.DUMMYFUNCTION("iferror(if($B1563="""", ,filter(Playoff_Stats!F:Z,Playoff_Stats!A:A=$B1563,Playoff_Stats!B:B=$A1563)))"),"")</f>
        <v/>
      </c>
      <c r="K1563" s="11"/>
      <c r="L1563" s="12"/>
      <c r="M1563" s="11"/>
      <c r="N1563" s="11"/>
      <c r="O1563" s="13"/>
      <c r="P1563" s="14"/>
      <c r="Q1563" s="13"/>
      <c r="R1563" s="13"/>
      <c r="S1563" s="15"/>
      <c r="T1563" s="16"/>
      <c r="U1563" s="16"/>
      <c r="V1563" s="16"/>
      <c r="W1563" s="16"/>
      <c r="X1563" s="16"/>
      <c r="Y1563" s="11"/>
      <c r="Z1563" s="11"/>
      <c r="AA1563" s="11"/>
      <c r="AB1563" s="11"/>
      <c r="AC1563" s="11"/>
      <c r="AD1563" s="11"/>
    </row>
    <row r="1564">
      <c r="A1564" s="10"/>
      <c r="B1564" s="10"/>
      <c r="C1564" s="10"/>
      <c r="D1564" s="10"/>
      <c r="E1564" s="10"/>
      <c r="F1564" s="11"/>
      <c r="G1564" s="11"/>
      <c r="H1564" s="11"/>
      <c r="I1564" s="11"/>
      <c r="J1564" s="11" t="str">
        <f>IFERROR(__xludf.DUMMYFUNCTION("iferror(if($B1564="""", ,filter(Playoff_Stats!F:Z,Playoff_Stats!A:A=$B1564,Playoff_Stats!B:B=$A1564)))"),"")</f>
        <v/>
      </c>
      <c r="K1564" s="11"/>
      <c r="L1564" s="12"/>
      <c r="M1564" s="11"/>
      <c r="N1564" s="11"/>
      <c r="O1564" s="13"/>
      <c r="P1564" s="14"/>
      <c r="Q1564" s="13"/>
      <c r="R1564" s="13"/>
      <c r="S1564" s="15"/>
      <c r="T1564" s="16"/>
      <c r="U1564" s="16"/>
      <c r="V1564" s="16"/>
      <c r="W1564" s="16"/>
      <c r="X1564" s="16"/>
      <c r="Y1564" s="11"/>
      <c r="Z1564" s="11"/>
      <c r="AA1564" s="11"/>
      <c r="AB1564" s="11"/>
      <c r="AC1564" s="11"/>
      <c r="AD1564" s="11"/>
    </row>
    <row r="1565">
      <c r="A1565" s="10"/>
      <c r="B1565" s="10"/>
      <c r="C1565" s="10"/>
      <c r="D1565" s="10"/>
      <c r="E1565" s="10"/>
      <c r="F1565" s="11"/>
      <c r="G1565" s="11"/>
      <c r="H1565" s="11"/>
      <c r="I1565" s="11"/>
      <c r="J1565" s="11" t="str">
        <f>IFERROR(__xludf.DUMMYFUNCTION("iferror(if($B1565="""", ,filter(Playoff_Stats!F:Z,Playoff_Stats!A:A=$B1565,Playoff_Stats!B:B=$A1565)))"),"")</f>
        <v/>
      </c>
      <c r="K1565" s="11"/>
      <c r="L1565" s="12"/>
      <c r="M1565" s="11"/>
      <c r="N1565" s="11"/>
      <c r="O1565" s="13"/>
      <c r="P1565" s="14"/>
      <c r="Q1565" s="13"/>
      <c r="R1565" s="13"/>
      <c r="S1565" s="15"/>
      <c r="T1565" s="16"/>
      <c r="U1565" s="16"/>
      <c r="V1565" s="16"/>
      <c r="W1565" s="16"/>
      <c r="X1565" s="16"/>
      <c r="Y1565" s="11"/>
      <c r="Z1565" s="11"/>
      <c r="AA1565" s="11"/>
      <c r="AB1565" s="11"/>
      <c r="AC1565" s="11"/>
      <c r="AD1565" s="11"/>
    </row>
    <row r="1566">
      <c r="A1566" s="10"/>
      <c r="B1566" s="10"/>
      <c r="C1566" s="10"/>
      <c r="D1566" s="10"/>
      <c r="E1566" s="10"/>
      <c r="F1566" s="11"/>
      <c r="G1566" s="11"/>
      <c r="H1566" s="11"/>
      <c r="I1566" s="11"/>
      <c r="J1566" s="11" t="str">
        <f>IFERROR(__xludf.DUMMYFUNCTION("iferror(if($B1566="""", ,filter(Playoff_Stats!F:Z,Playoff_Stats!A:A=$B1566,Playoff_Stats!B:B=$A1566)))"),"")</f>
        <v/>
      </c>
      <c r="K1566" s="11"/>
      <c r="L1566" s="12"/>
      <c r="M1566" s="11"/>
      <c r="N1566" s="11"/>
      <c r="O1566" s="13"/>
      <c r="P1566" s="14"/>
      <c r="Q1566" s="13"/>
      <c r="R1566" s="13"/>
      <c r="S1566" s="15"/>
      <c r="T1566" s="16"/>
      <c r="U1566" s="16"/>
      <c r="V1566" s="16"/>
      <c r="W1566" s="16"/>
      <c r="X1566" s="16"/>
      <c r="Y1566" s="11"/>
      <c r="Z1566" s="11"/>
      <c r="AA1566" s="11"/>
      <c r="AB1566" s="11"/>
      <c r="AC1566" s="11"/>
      <c r="AD1566" s="11"/>
    </row>
    <row r="1567">
      <c r="A1567" s="10"/>
      <c r="B1567" s="10"/>
      <c r="C1567" s="10"/>
      <c r="D1567" s="10"/>
      <c r="E1567" s="10"/>
      <c r="F1567" s="11"/>
      <c r="G1567" s="11"/>
      <c r="H1567" s="11"/>
      <c r="I1567" s="11"/>
      <c r="J1567" s="11" t="str">
        <f>IFERROR(__xludf.DUMMYFUNCTION("iferror(if($B1567="""", ,filter(Playoff_Stats!F:Z,Playoff_Stats!A:A=$B1567,Playoff_Stats!B:B=$A1567)))"),"")</f>
        <v/>
      </c>
      <c r="K1567" s="11"/>
      <c r="L1567" s="12"/>
      <c r="M1567" s="11"/>
      <c r="N1567" s="11"/>
      <c r="O1567" s="13"/>
      <c r="P1567" s="14"/>
      <c r="Q1567" s="13"/>
      <c r="R1567" s="13"/>
      <c r="S1567" s="15"/>
      <c r="T1567" s="16"/>
      <c r="U1567" s="16"/>
      <c r="V1567" s="16"/>
      <c r="W1567" s="16"/>
      <c r="X1567" s="16"/>
      <c r="Y1567" s="11"/>
      <c r="Z1567" s="11"/>
      <c r="AA1567" s="11"/>
      <c r="AB1567" s="11"/>
      <c r="AC1567" s="11"/>
      <c r="AD1567" s="11"/>
    </row>
    <row r="1568">
      <c r="A1568" s="10"/>
      <c r="B1568" s="10"/>
      <c r="C1568" s="10"/>
      <c r="D1568" s="10"/>
      <c r="E1568" s="10"/>
      <c r="F1568" s="11"/>
      <c r="G1568" s="11"/>
      <c r="H1568" s="11"/>
      <c r="I1568" s="11"/>
      <c r="J1568" s="11" t="str">
        <f>IFERROR(__xludf.DUMMYFUNCTION("iferror(if($B1568="""", ,filter(Playoff_Stats!F:Z,Playoff_Stats!A:A=$B1568,Playoff_Stats!B:B=$A1568)))"),"")</f>
        <v/>
      </c>
      <c r="K1568" s="11"/>
      <c r="L1568" s="12"/>
      <c r="M1568" s="11"/>
      <c r="N1568" s="11"/>
      <c r="O1568" s="13"/>
      <c r="P1568" s="14"/>
      <c r="Q1568" s="13"/>
      <c r="R1568" s="13"/>
      <c r="S1568" s="15"/>
      <c r="T1568" s="16"/>
      <c r="U1568" s="16"/>
      <c r="V1568" s="16"/>
      <c r="W1568" s="16"/>
      <c r="X1568" s="16"/>
      <c r="Y1568" s="11"/>
      <c r="Z1568" s="11"/>
      <c r="AA1568" s="11"/>
      <c r="AB1568" s="11"/>
      <c r="AC1568" s="11"/>
      <c r="AD1568" s="11"/>
    </row>
    <row r="1569">
      <c r="A1569" s="10"/>
      <c r="B1569" s="10"/>
      <c r="C1569" s="10"/>
      <c r="D1569" s="10"/>
      <c r="E1569" s="10"/>
      <c r="F1569" s="11"/>
      <c r="G1569" s="11"/>
      <c r="H1569" s="11"/>
      <c r="I1569" s="11"/>
      <c r="J1569" s="11" t="str">
        <f>IFERROR(__xludf.DUMMYFUNCTION("iferror(if($B1569="""", ,filter(Playoff_Stats!F:Z,Playoff_Stats!A:A=$B1569,Playoff_Stats!B:B=$A1569)))"),"")</f>
        <v/>
      </c>
      <c r="K1569" s="11"/>
      <c r="L1569" s="12"/>
      <c r="M1569" s="11"/>
      <c r="N1569" s="11"/>
      <c r="O1569" s="13"/>
      <c r="P1569" s="14"/>
      <c r="Q1569" s="13"/>
      <c r="R1569" s="13"/>
      <c r="S1569" s="15"/>
      <c r="T1569" s="16"/>
      <c r="U1569" s="16"/>
      <c r="V1569" s="16"/>
      <c r="W1569" s="16"/>
      <c r="X1569" s="16"/>
      <c r="Y1569" s="11"/>
      <c r="Z1569" s="11"/>
      <c r="AA1569" s="11"/>
      <c r="AB1569" s="11"/>
      <c r="AC1569" s="11"/>
      <c r="AD1569" s="11"/>
    </row>
    <row r="1570">
      <c r="A1570" s="10"/>
      <c r="B1570" s="10"/>
      <c r="C1570" s="10"/>
      <c r="D1570" s="10"/>
      <c r="E1570" s="10"/>
      <c r="F1570" s="11"/>
      <c r="G1570" s="11"/>
      <c r="H1570" s="11"/>
      <c r="I1570" s="11"/>
      <c r="J1570" s="11" t="str">
        <f>IFERROR(__xludf.DUMMYFUNCTION("iferror(if($B1570="""", ,filter(Playoff_Stats!F:Z,Playoff_Stats!A:A=$B1570,Playoff_Stats!B:B=$A1570)))"),"")</f>
        <v/>
      </c>
      <c r="K1570" s="11"/>
      <c r="L1570" s="12"/>
      <c r="M1570" s="11"/>
      <c r="N1570" s="11"/>
      <c r="O1570" s="13"/>
      <c r="P1570" s="14"/>
      <c r="Q1570" s="13"/>
      <c r="R1570" s="13"/>
      <c r="S1570" s="15"/>
      <c r="T1570" s="16"/>
      <c r="U1570" s="16"/>
      <c r="V1570" s="16"/>
      <c r="W1570" s="16"/>
      <c r="X1570" s="16"/>
      <c r="Y1570" s="11"/>
      <c r="Z1570" s="11"/>
      <c r="AA1570" s="11"/>
      <c r="AB1570" s="11"/>
      <c r="AC1570" s="11"/>
      <c r="AD1570" s="11"/>
    </row>
    <row r="1571">
      <c r="A1571" s="10"/>
      <c r="B1571" s="10"/>
      <c r="C1571" s="10"/>
      <c r="D1571" s="10"/>
      <c r="E1571" s="10"/>
      <c r="F1571" s="11"/>
      <c r="G1571" s="11"/>
      <c r="H1571" s="11"/>
      <c r="I1571" s="11"/>
      <c r="J1571" s="11" t="str">
        <f>IFERROR(__xludf.DUMMYFUNCTION("iferror(if($B1571="""", ,filter(Playoff_Stats!F:Z,Playoff_Stats!A:A=$B1571,Playoff_Stats!B:B=$A1571)))"),"")</f>
        <v/>
      </c>
      <c r="K1571" s="11"/>
      <c r="L1571" s="12"/>
      <c r="M1571" s="11"/>
      <c r="N1571" s="11"/>
      <c r="O1571" s="13"/>
      <c r="P1571" s="14"/>
      <c r="Q1571" s="13"/>
      <c r="R1571" s="13"/>
      <c r="S1571" s="15"/>
      <c r="T1571" s="16"/>
      <c r="U1571" s="16"/>
      <c r="V1571" s="16"/>
      <c r="W1571" s="16"/>
      <c r="X1571" s="16"/>
      <c r="Y1571" s="11"/>
      <c r="Z1571" s="11"/>
      <c r="AA1571" s="11"/>
      <c r="AB1571" s="11"/>
      <c r="AC1571" s="11"/>
      <c r="AD1571" s="11"/>
    </row>
    <row r="1572">
      <c r="A1572" s="10"/>
      <c r="B1572" s="10"/>
      <c r="C1572" s="10"/>
      <c r="D1572" s="10"/>
      <c r="E1572" s="10"/>
      <c r="F1572" s="11"/>
      <c r="G1572" s="11"/>
      <c r="H1572" s="11"/>
      <c r="I1572" s="11"/>
      <c r="J1572" s="11" t="str">
        <f>IFERROR(__xludf.DUMMYFUNCTION("iferror(if($B1572="""", ,filter(Playoff_Stats!F:Z,Playoff_Stats!A:A=$B1572,Playoff_Stats!B:B=$A1572)))"),"")</f>
        <v/>
      </c>
      <c r="K1572" s="11"/>
      <c r="L1572" s="12"/>
      <c r="M1572" s="11"/>
      <c r="N1572" s="11"/>
      <c r="O1572" s="13"/>
      <c r="P1572" s="14"/>
      <c r="Q1572" s="13"/>
      <c r="R1572" s="13"/>
      <c r="S1572" s="15"/>
      <c r="T1572" s="16"/>
      <c r="U1572" s="16"/>
      <c r="V1572" s="16"/>
      <c r="W1572" s="16"/>
      <c r="X1572" s="16"/>
      <c r="Y1572" s="11"/>
      <c r="Z1572" s="11"/>
      <c r="AA1572" s="11"/>
      <c r="AB1572" s="11"/>
      <c r="AC1572" s="11"/>
      <c r="AD1572" s="11"/>
    </row>
    <row r="1573">
      <c r="A1573" s="10"/>
      <c r="B1573" s="10"/>
      <c r="C1573" s="10"/>
      <c r="D1573" s="10"/>
      <c r="E1573" s="10"/>
      <c r="F1573" s="11"/>
      <c r="G1573" s="11"/>
      <c r="H1573" s="11"/>
      <c r="I1573" s="11"/>
      <c r="J1573" s="11" t="str">
        <f>IFERROR(__xludf.DUMMYFUNCTION("iferror(if($B1573="""", ,filter(Playoff_Stats!F:Z,Playoff_Stats!A:A=$B1573,Playoff_Stats!B:B=$A1573)))"),"")</f>
        <v/>
      </c>
      <c r="K1573" s="11"/>
      <c r="L1573" s="12"/>
      <c r="M1573" s="11"/>
      <c r="N1573" s="11"/>
      <c r="O1573" s="13"/>
      <c r="P1573" s="14"/>
      <c r="Q1573" s="13"/>
      <c r="R1573" s="13"/>
      <c r="S1573" s="15"/>
      <c r="T1573" s="16"/>
      <c r="U1573" s="16"/>
      <c r="V1573" s="16"/>
      <c r="W1573" s="16"/>
      <c r="X1573" s="16"/>
      <c r="Y1573" s="11"/>
      <c r="Z1573" s="11"/>
      <c r="AA1573" s="11"/>
      <c r="AB1573" s="11"/>
      <c r="AC1573" s="11"/>
      <c r="AD1573" s="11"/>
    </row>
    <row r="1574">
      <c r="A1574" s="10"/>
      <c r="B1574" s="10"/>
      <c r="C1574" s="10"/>
      <c r="D1574" s="10"/>
      <c r="E1574" s="10"/>
      <c r="F1574" s="11"/>
      <c r="G1574" s="11"/>
      <c r="H1574" s="11"/>
      <c r="I1574" s="11"/>
      <c r="J1574" s="11" t="str">
        <f>IFERROR(__xludf.DUMMYFUNCTION("iferror(if($B1574="""", ,filter(Playoff_Stats!F:Z,Playoff_Stats!A:A=$B1574,Playoff_Stats!B:B=$A1574)))"),"")</f>
        <v/>
      </c>
      <c r="K1574" s="11"/>
      <c r="L1574" s="12"/>
      <c r="M1574" s="11"/>
      <c r="N1574" s="11"/>
      <c r="O1574" s="13"/>
      <c r="P1574" s="14"/>
      <c r="Q1574" s="13"/>
      <c r="R1574" s="13"/>
      <c r="S1574" s="15"/>
      <c r="T1574" s="16"/>
      <c r="U1574" s="16"/>
      <c r="V1574" s="16"/>
      <c r="W1574" s="16"/>
      <c r="X1574" s="16"/>
      <c r="Y1574" s="11"/>
      <c r="Z1574" s="11"/>
      <c r="AA1574" s="11"/>
      <c r="AB1574" s="11"/>
      <c r="AC1574" s="11"/>
      <c r="AD1574" s="11"/>
    </row>
    <row r="1575">
      <c r="A1575" s="10"/>
      <c r="B1575" s="10"/>
      <c r="C1575" s="10"/>
      <c r="D1575" s="10"/>
      <c r="E1575" s="10"/>
      <c r="F1575" s="11"/>
      <c r="G1575" s="11"/>
      <c r="H1575" s="11"/>
      <c r="I1575" s="11"/>
      <c r="J1575" s="11" t="str">
        <f>IFERROR(__xludf.DUMMYFUNCTION("iferror(if($B1575="""", ,filter(Playoff_Stats!F:Z,Playoff_Stats!A:A=$B1575,Playoff_Stats!B:B=$A1575)))"),"")</f>
        <v/>
      </c>
      <c r="K1575" s="11"/>
      <c r="L1575" s="12"/>
      <c r="M1575" s="11"/>
      <c r="N1575" s="11"/>
      <c r="O1575" s="13"/>
      <c r="P1575" s="14"/>
      <c r="Q1575" s="13"/>
      <c r="R1575" s="13"/>
      <c r="S1575" s="15"/>
      <c r="T1575" s="16"/>
      <c r="U1575" s="16"/>
      <c r="V1575" s="16"/>
      <c r="W1575" s="16"/>
      <c r="X1575" s="16"/>
      <c r="Y1575" s="11"/>
      <c r="Z1575" s="11"/>
      <c r="AA1575" s="11"/>
      <c r="AB1575" s="11"/>
      <c r="AC1575" s="11"/>
      <c r="AD1575" s="11"/>
    </row>
    <row r="1576">
      <c r="A1576" s="10"/>
      <c r="B1576" s="10"/>
      <c r="C1576" s="10"/>
      <c r="D1576" s="10"/>
      <c r="E1576" s="10"/>
      <c r="F1576" s="11"/>
      <c r="G1576" s="11"/>
      <c r="H1576" s="11"/>
      <c r="I1576" s="11"/>
      <c r="J1576" s="11" t="str">
        <f>IFERROR(__xludf.DUMMYFUNCTION("iferror(if($B1576="""", ,filter(Playoff_Stats!F:Z,Playoff_Stats!A:A=$B1576,Playoff_Stats!B:B=$A1576)))"),"")</f>
        <v/>
      </c>
      <c r="K1576" s="11"/>
      <c r="L1576" s="12"/>
      <c r="M1576" s="11"/>
      <c r="N1576" s="11"/>
      <c r="O1576" s="13"/>
      <c r="P1576" s="14"/>
      <c r="Q1576" s="13"/>
      <c r="R1576" s="13"/>
      <c r="S1576" s="15"/>
      <c r="T1576" s="16"/>
      <c r="U1576" s="16"/>
      <c r="V1576" s="16"/>
      <c r="W1576" s="16"/>
      <c r="X1576" s="16"/>
      <c r="Y1576" s="11"/>
      <c r="Z1576" s="11"/>
      <c r="AA1576" s="11"/>
      <c r="AB1576" s="11"/>
      <c r="AC1576" s="11"/>
      <c r="AD1576" s="11"/>
    </row>
    <row r="1577">
      <c r="A1577" s="10"/>
      <c r="B1577" s="10"/>
      <c r="C1577" s="10"/>
      <c r="D1577" s="10"/>
      <c r="E1577" s="10"/>
      <c r="F1577" s="11"/>
      <c r="G1577" s="11"/>
      <c r="H1577" s="11"/>
      <c r="I1577" s="11"/>
      <c r="J1577" s="11" t="str">
        <f>IFERROR(__xludf.DUMMYFUNCTION("iferror(if($B1577="""", ,filter(Playoff_Stats!F:Z,Playoff_Stats!A:A=$B1577,Playoff_Stats!B:B=$A1577)))"),"")</f>
        <v/>
      </c>
      <c r="K1577" s="11"/>
      <c r="L1577" s="12"/>
      <c r="M1577" s="11"/>
      <c r="N1577" s="11"/>
      <c r="O1577" s="13"/>
      <c r="P1577" s="14"/>
      <c r="Q1577" s="13"/>
      <c r="R1577" s="13"/>
      <c r="S1577" s="15"/>
      <c r="T1577" s="16"/>
      <c r="U1577" s="16"/>
      <c r="V1577" s="16"/>
      <c r="W1577" s="16"/>
      <c r="X1577" s="16"/>
      <c r="Y1577" s="11"/>
      <c r="Z1577" s="11"/>
      <c r="AA1577" s="11"/>
      <c r="AB1577" s="11"/>
      <c r="AC1577" s="11"/>
      <c r="AD1577" s="11"/>
    </row>
    <row r="1578">
      <c r="A1578" s="10"/>
      <c r="B1578" s="10"/>
      <c r="C1578" s="10"/>
      <c r="D1578" s="10"/>
      <c r="E1578" s="10"/>
      <c r="F1578" s="11"/>
      <c r="G1578" s="11"/>
      <c r="H1578" s="11"/>
      <c r="I1578" s="11"/>
      <c r="J1578" s="11" t="str">
        <f>IFERROR(__xludf.DUMMYFUNCTION("iferror(if($B1578="""", ,filter(Playoff_Stats!F:Z,Playoff_Stats!A:A=$B1578,Playoff_Stats!B:B=$A1578)))"),"")</f>
        <v/>
      </c>
      <c r="K1578" s="11"/>
      <c r="L1578" s="12"/>
      <c r="M1578" s="11"/>
      <c r="N1578" s="11"/>
      <c r="O1578" s="13"/>
      <c r="P1578" s="14"/>
      <c r="Q1578" s="13"/>
      <c r="R1578" s="13"/>
      <c r="S1578" s="15"/>
      <c r="T1578" s="16"/>
      <c r="U1578" s="16"/>
      <c r="V1578" s="16"/>
      <c r="W1578" s="16"/>
      <c r="X1578" s="16"/>
      <c r="Y1578" s="11"/>
      <c r="Z1578" s="11"/>
      <c r="AA1578" s="11"/>
      <c r="AB1578" s="11"/>
      <c r="AC1578" s="11"/>
      <c r="AD1578" s="11"/>
    </row>
    <row r="1579">
      <c r="A1579" s="10"/>
      <c r="B1579" s="10"/>
      <c r="C1579" s="10"/>
      <c r="D1579" s="10"/>
      <c r="E1579" s="10"/>
      <c r="F1579" s="11"/>
      <c r="G1579" s="11"/>
      <c r="H1579" s="11"/>
      <c r="I1579" s="11"/>
      <c r="J1579" s="11" t="str">
        <f>IFERROR(__xludf.DUMMYFUNCTION("iferror(if($B1579="""", ,filter(Playoff_Stats!F:Z,Playoff_Stats!A:A=$B1579,Playoff_Stats!B:B=$A1579)))"),"")</f>
        <v/>
      </c>
      <c r="K1579" s="11"/>
      <c r="L1579" s="12"/>
      <c r="M1579" s="11"/>
      <c r="N1579" s="11"/>
      <c r="O1579" s="13"/>
      <c r="P1579" s="14"/>
      <c r="Q1579" s="13"/>
      <c r="R1579" s="13"/>
      <c r="S1579" s="15"/>
      <c r="T1579" s="16"/>
      <c r="U1579" s="16"/>
      <c r="V1579" s="16"/>
      <c r="W1579" s="16"/>
      <c r="X1579" s="16"/>
      <c r="Y1579" s="11"/>
      <c r="Z1579" s="11"/>
      <c r="AA1579" s="11"/>
      <c r="AB1579" s="11"/>
      <c r="AC1579" s="11"/>
      <c r="AD1579" s="11"/>
    </row>
    <row r="1580">
      <c r="A1580" s="10"/>
      <c r="B1580" s="10"/>
      <c r="C1580" s="10"/>
      <c r="D1580" s="10"/>
      <c r="E1580" s="10"/>
      <c r="F1580" s="11"/>
      <c r="G1580" s="11"/>
      <c r="H1580" s="11"/>
      <c r="I1580" s="11"/>
      <c r="J1580" s="11" t="str">
        <f>IFERROR(__xludf.DUMMYFUNCTION("iferror(if($B1580="""", ,filter(Playoff_Stats!F:Z,Playoff_Stats!A:A=$B1580,Playoff_Stats!B:B=$A1580)))"),"")</f>
        <v/>
      </c>
      <c r="K1580" s="11"/>
      <c r="L1580" s="12"/>
      <c r="M1580" s="11"/>
      <c r="N1580" s="11"/>
      <c r="O1580" s="13"/>
      <c r="P1580" s="14"/>
      <c r="Q1580" s="13"/>
      <c r="R1580" s="13"/>
      <c r="S1580" s="15"/>
      <c r="T1580" s="16"/>
      <c r="U1580" s="16"/>
      <c r="V1580" s="16"/>
      <c r="W1580" s="16"/>
      <c r="X1580" s="16"/>
      <c r="Y1580" s="11"/>
      <c r="Z1580" s="11"/>
      <c r="AA1580" s="11"/>
      <c r="AB1580" s="11"/>
      <c r="AC1580" s="11"/>
      <c r="AD1580" s="11"/>
    </row>
    <row r="1581">
      <c r="A1581" s="10"/>
      <c r="B1581" s="10"/>
      <c r="C1581" s="10"/>
      <c r="D1581" s="10"/>
      <c r="E1581" s="10"/>
      <c r="F1581" s="11"/>
      <c r="G1581" s="11"/>
      <c r="H1581" s="11"/>
      <c r="I1581" s="11"/>
      <c r="J1581" s="11" t="str">
        <f>IFERROR(__xludf.DUMMYFUNCTION("iferror(if($B1581="""", ,filter(Playoff_Stats!F:Z,Playoff_Stats!A:A=$B1581,Playoff_Stats!B:B=$A1581)))"),"")</f>
        <v/>
      </c>
      <c r="K1581" s="11"/>
      <c r="L1581" s="12"/>
      <c r="M1581" s="11"/>
      <c r="N1581" s="11"/>
      <c r="O1581" s="13"/>
      <c r="P1581" s="14"/>
      <c r="Q1581" s="13"/>
      <c r="R1581" s="13"/>
      <c r="S1581" s="15"/>
      <c r="T1581" s="16"/>
      <c r="U1581" s="16"/>
      <c r="V1581" s="16"/>
      <c r="W1581" s="16"/>
      <c r="X1581" s="16"/>
      <c r="Y1581" s="11"/>
      <c r="Z1581" s="11"/>
      <c r="AA1581" s="11"/>
      <c r="AB1581" s="11"/>
      <c r="AC1581" s="11"/>
      <c r="AD1581" s="11"/>
    </row>
    <row r="1582">
      <c r="A1582" s="10"/>
      <c r="B1582" s="10"/>
      <c r="C1582" s="10"/>
      <c r="D1582" s="10"/>
      <c r="E1582" s="10"/>
      <c r="F1582" s="11"/>
      <c r="G1582" s="11"/>
      <c r="H1582" s="11"/>
      <c r="I1582" s="11"/>
      <c r="J1582" s="11" t="str">
        <f>IFERROR(__xludf.DUMMYFUNCTION("iferror(if($B1582="""", ,filter(Playoff_Stats!F:Z,Playoff_Stats!A:A=$B1582,Playoff_Stats!B:B=$A1582)))"),"")</f>
        <v/>
      </c>
      <c r="K1582" s="11"/>
      <c r="L1582" s="12"/>
      <c r="M1582" s="11"/>
      <c r="N1582" s="11"/>
      <c r="O1582" s="13"/>
      <c r="P1582" s="14"/>
      <c r="Q1582" s="13"/>
      <c r="R1582" s="13"/>
      <c r="S1582" s="15"/>
      <c r="T1582" s="16"/>
      <c r="U1582" s="16"/>
      <c r="V1582" s="16"/>
      <c r="W1582" s="16"/>
      <c r="X1582" s="16"/>
      <c r="Y1582" s="11"/>
      <c r="Z1582" s="11"/>
      <c r="AA1582" s="11"/>
      <c r="AB1582" s="11"/>
      <c r="AC1582" s="11"/>
      <c r="AD1582" s="11"/>
    </row>
    <row r="1583">
      <c r="A1583" s="10"/>
      <c r="B1583" s="10"/>
      <c r="C1583" s="10"/>
      <c r="D1583" s="10"/>
      <c r="E1583" s="10"/>
      <c r="F1583" s="11"/>
      <c r="G1583" s="11"/>
      <c r="H1583" s="11"/>
      <c r="I1583" s="11"/>
      <c r="J1583" s="11" t="str">
        <f>IFERROR(__xludf.DUMMYFUNCTION("iferror(if($B1583="""", ,filter(Playoff_Stats!F:Z,Playoff_Stats!A:A=$B1583,Playoff_Stats!B:B=$A1583)))"),"")</f>
        <v/>
      </c>
      <c r="K1583" s="11"/>
      <c r="L1583" s="12"/>
      <c r="M1583" s="11"/>
      <c r="N1583" s="11"/>
      <c r="O1583" s="13"/>
      <c r="P1583" s="14"/>
      <c r="Q1583" s="13"/>
      <c r="R1583" s="13"/>
      <c r="S1583" s="15"/>
      <c r="T1583" s="16"/>
      <c r="U1583" s="16"/>
      <c r="V1583" s="16"/>
      <c r="W1583" s="16"/>
      <c r="X1583" s="16"/>
      <c r="Y1583" s="11"/>
      <c r="Z1583" s="11"/>
      <c r="AA1583" s="11"/>
      <c r="AB1583" s="11"/>
      <c r="AC1583" s="11"/>
      <c r="AD1583" s="11"/>
    </row>
    <row r="1584">
      <c r="A1584" s="10"/>
      <c r="B1584" s="10"/>
      <c r="C1584" s="10"/>
      <c r="D1584" s="10"/>
      <c r="E1584" s="10"/>
      <c r="F1584" s="11"/>
      <c r="G1584" s="11"/>
      <c r="H1584" s="11"/>
      <c r="I1584" s="11"/>
      <c r="J1584" s="11" t="str">
        <f>IFERROR(__xludf.DUMMYFUNCTION("iferror(if($B1584="""", ,filter(Playoff_Stats!F:Z,Playoff_Stats!A:A=$B1584,Playoff_Stats!B:B=$A1584)))"),"")</f>
        <v/>
      </c>
      <c r="K1584" s="11"/>
      <c r="L1584" s="12"/>
      <c r="M1584" s="11"/>
      <c r="N1584" s="11"/>
      <c r="O1584" s="13"/>
      <c r="P1584" s="14"/>
      <c r="Q1584" s="13"/>
      <c r="R1584" s="13"/>
      <c r="S1584" s="15"/>
      <c r="T1584" s="16"/>
      <c r="U1584" s="16"/>
      <c r="V1584" s="16"/>
      <c r="W1584" s="16"/>
      <c r="X1584" s="16"/>
      <c r="Y1584" s="11"/>
      <c r="Z1584" s="11"/>
      <c r="AA1584" s="11"/>
      <c r="AB1584" s="11"/>
      <c r="AC1584" s="11"/>
      <c r="AD1584" s="11"/>
    </row>
    <row r="1585">
      <c r="A1585" s="10"/>
      <c r="B1585" s="10"/>
      <c r="C1585" s="10"/>
      <c r="D1585" s="10"/>
      <c r="E1585" s="10"/>
      <c r="F1585" s="11"/>
      <c r="G1585" s="11"/>
      <c r="H1585" s="11"/>
      <c r="I1585" s="11"/>
      <c r="J1585" s="11" t="str">
        <f>IFERROR(__xludf.DUMMYFUNCTION("iferror(if($B1585="""", ,filter(Playoff_Stats!F:Z,Playoff_Stats!A:A=$B1585,Playoff_Stats!B:B=$A1585)))"),"")</f>
        <v/>
      </c>
      <c r="K1585" s="11"/>
      <c r="L1585" s="12"/>
      <c r="M1585" s="11"/>
      <c r="N1585" s="11"/>
      <c r="O1585" s="13"/>
      <c r="P1585" s="14"/>
      <c r="Q1585" s="13"/>
      <c r="R1585" s="13"/>
      <c r="S1585" s="15"/>
      <c r="T1585" s="16"/>
      <c r="U1585" s="16"/>
      <c r="V1585" s="16"/>
      <c r="W1585" s="16"/>
      <c r="X1585" s="16"/>
      <c r="Y1585" s="11"/>
      <c r="Z1585" s="11"/>
      <c r="AA1585" s="11"/>
      <c r="AB1585" s="11"/>
      <c r="AC1585" s="11"/>
      <c r="AD1585" s="11"/>
    </row>
    <row r="1586">
      <c r="A1586" s="10"/>
      <c r="B1586" s="10"/>
      <c r="C1586" s="10"/>
      <c r="D1586" s="10"/>
      <c r="E1586" s="10"/>
      <c r="F1586" s="11"/>
      <c r="G1586" s="11"/>
      <c r="H1586" s="11"/>
      <c r="I1586" s="11"/>
      <c r="J1586" s="11" t="str">
        <f>IFERROR(__xludf.DUMMYFUNCTION("iferror(if($B1586="""", ,filter(Playoff_Stats!F:Z,Playoff_Stats!A:A=$B1586,Playoff_Stats!B:B=$A1586)))"),"")</f>
        <v/>
      </c>
      <c r="K1586" s="11"/>
      <c r="L1586" s="12"/>
      <c r="M1586" s="11"/>
      <c r="N1586" s="11"/>
      <c r="O1586" s="13"/>
      <c r="P1586" s="14"/>
      <c r="Q1586" s="13"/>
      <c r="R1586" s="13"/>
      <c r="S1586" s="15"/>
      <c r="T1586" s="16"/>
      <c r="U1586" s="16"/>
      <c r="V1586" s="16"/>
      <c r="W1586" s="16"/>
      <c r="X1586" s="16"/>
      <c r="Y1586" s="11"/>
      <c r="Z1586" s="11"/>
      <c r="AA1586" s="11"/>
      <c r="AB1586" s="11"/>
      <c r="AC1586" s="11"/>
      <c r="AD1586" s="11"/>
    </row>
    <row r="1587">
      <c r="A1587" s="10"/>
      <c r="B1587" s="10"/>
      <c r="C1587" s="10"/>
      <c r="D1587" s="10"/>
      <c r="E1587" s="10"/>
      <c r="F1587" s="11"/>
      <c r="G1587" s="11"/>
      <c r="H1587" s="11"/>
      <c r="I1587" s="11"/>
      <c r="J1587" s="11" t="str">
        <f>IFERROR(__xludf.DUMMYFUNCTION("iferror(if($B1587="""", ,filter(Playoff_Stats!F:Z,Playoff_Stats!A:A=$B1587,Playoff_Stats!B:B=$A1587)))"),"")</f>
        <v/>
      </c>
      <c r="K1587" s="11"/>
      <c r="L1587" s="12"/>
      <c r="M1587" s="11"/>
      <c r="N1587" s="11"/>
      <c r="O1587" s="13"/>
      <c r="P1587" s="14"/>
      <c r="Q1587" s="13"/>
      <c r="R1587" s="13"/>
      <c r="S1587" s="15"/>
      <c r="T1587" s="16"/>
      <c r="U1587" s="16"/>
      <c r="V1587" s="16"/>
      <c r="W1587" s="16"/>
      <c r="X1587" s="16"/>
      <c r="Y1587" s="11"/>
      <c r="Z1587" s="11"/>
      <c r="AA1587" s="11"/>
      <c r="AB1587" s="11"/>
      <c r="AC1587" s="11"/>
      <c r="AD1587" s="11"/>
    </row>
    <row r="1588">
      <c r="A1588" s="10"/>
      <c r="B1588" s="10"/>
      <c r="C1588" s="10"/>
      <c r="D1588" s="10"/>
      <c r="E1588" s="10"/>
      <c r="F1588" s="11"/>
      <c r="G1588" s="11"/>
      <c r="H1588" s="11"/>
      <c r="I1588" s="11"/>
      <c r="J1588" s="11" t="str">
        <f>IFERROR(__xludf.DUMMYFUNCTION("iferror(if($B1588="""", ,filter(Playoff_Stats!F:Z,Playoff_Stats!A:A=$B1588,Playoff_Stats!B:B=$A1588)))"),"")</f>
        <v/>
      </c>
      <c r="K1588" s="11"/>
      <c r="L1588" s="12"/>
      <c r="M1588" s="11"/>
      <c r="N1588" s="11"/>
      <c r="O1588" s="13"/>
      <c r="P1588" s="14"/>
      <c r="Q1588" s="13"/>
      <c r="R1588" s="13"/>
      <c r="S1588" s="15"/>
      <c r="T1588" s="16"/>
      <c r="U1588" s="16"/>
      <c r="V1588" s="16"/>
      <c r="W1588" s="16"/>
      <c r="X1588" s="16"/>
      <c r="Y1588" s="11"/>
      <c r="Z1588" s="11"/>
      <c r="AA1588" s="11"/>
      <c r="AB1588" s="11"/>
      <c r="AC1588" s="11"/>
      <c r="AD1588" s="11"/>
    </row>
    <row r="1589">
      <c r="A1589" s="10"/>
      <c r="B1589" s="10"/>
      <c r="C1589" s="10"/>
      <c r="D1589" s="10"/>
      <c r="E1589" s="10"/>
      <c r="F1589" s="11"/>
      <c r="G1589" s="11"/>
      <c r="H1589" s="11"/>
      <c r="I1589" s="11"/>
      <c r="J1589" s="11" t="str">
        <f>IFERROR(__xludf.DUMMYFUNCTION("iferror(if($B1589="""", ,filter(Playoff_Stats!F:Z,Playoff_Stats!A:A=$B1589,Playoff_Stats!B:B=$A1589)))"),"")</f>
        <v/>
      </c>
      <c r="K1589" s="11"/>
      <c r="L1589" s="12"/>
      <c r="M1589" s="11"/>
      <c r="N1589" s="11"/>
      <c r="O1589" s="13"/>
      <c r="P1589" s="14"/>
      <c r="Q1589" s="13"/>
      <c r="R1589" s="13"/>
      <c r="S1589" s="15"/>
      <c r="T1589" s="16"/>
      <c r="U1589" s="16"/>
      <c r="V1589" s="16"/>
      <c r="W1589" s="16"/>
      <c r="X1589" s="16"/>
      <c r="Y1589" s="11"/>
      <c r="Z1589" s="11"/>
      <c r="AA1589" s="11"/>
      <c r="AB1589" s="11"/>
      <c r="AC1589" s="11"/>
      <c r="AD1589" s="11"/>
    </row>
    <row r="1590">
      <c r="A1590" s="10"/>
      <c r="B1590" s="10"/>
      <c r="C1590" s="10"/>
      <c r="D1590" s="10"/>
      <c r="E1590" s="10"/>
      <c r="F1590" s="11"/>
      <c r="G1590" s="11"/>
      <c r="H1590" s="11"/>
      <c r="I1590" s="11"/>
      <c r="J1590" s="11" t="str">
        <f>IFERROR(__xludf.DUMMYFUNCTION("iferror(if($B1590="""", ,filter(Playoff_Stats!F:Z,Playoff_Stats!A:A=$B1590,Playoff_Stats!B:B=$A1590)))"),"")</f>
        <v/>
      </c>
      <c r="K1590" s="11"/>
      <c r="L1590" s="12"/>
      <c r="M1590" s="11"/>
      <c r="N1590" s="11"/>
      <c r="O1590" s="13"/>
      <c r="P1590" s="14"/>
      <c r="Q1590" s="13"/>
      <c r="R1590" s="13"/>
      <c r="S1590" s="15"/>
      <c r="T1590" s="16"/>
      <c r="U1590" s="16"/>
      <c r="V1590" s="16"/>
      <c r="W1590" s="16"/>
      <c r="X1590" s="16"/>
      <c r="Y1590" s="11"/>
      <c r="Z1590" s="11"/>
      <c r="AA1590" s="11"/>
      <c r="AB1590" s="11"/>
      <c r="AC1590" s="11"/>
      <c r="AD1590" s="11"/>
    </row>
    <row r="1591">
      <c r="A1591" s="10"/>
      <c r="B1591" s="10"/>
      <c r="C1591" s="10"/>
      <c r="D1591" s="10"/>
      <c r="E1591" s="10"/>
      <c r="F1591" s="11"/>
      <c r="G1591" s="11"/>
      <c r="H1591" s="11"/>
      <c r="I1591" s="11"/>
      <c r="J1591" s="11" t="str">
        <f>IFERROR(__xludf.DUMMYFUNCTION("iferror(if($B1591="""", ,filter(Playoff_Stats!F:Z,Playoff_Stats!A:A=$B1591,Playoff_Stats!B:B=$A1591)))"),"")</f>
        <v/>
      </c>
      <c r="K1591" s="11"/>
      <c r="L1591" s="12"/>
      <c r="M1591" s="11"/>
      <c r="N1591" s="11"/>
      <c r="O1591" s="13"/>
      <c r="P1591" s="14"/>
      <c r="Q1591" s="13"/>
      <c r="R1591" s="13"/>
      <c r="S1591" s="15"/>
      <c r="T1591" s="16"/>
      <c r="U1591" s="16"/>
      <c r="V1591" s="16"/>
      <c r="W1591" s="16"/>
      <c r="X1591" s="16"/>
      <c r="Y1591" s="11"/>
      <c r="Z1591" s="11"/>
      <c r="AA1591" s="11"/>
      <c r="AB1591" s="11"/>
      <c r="AC1591" s="11"/>
      <c r="AD1591" s="11"/>
    </row>
    <row r="1592">
      <c r="A1592" s="10"/>
      <c r="B1592" s="10"/>
      <c r="C1592" s="10"/>
      <c r="D1592" s="10"/>
      <c r="E1592" s="10"/>
      <c r="F1592" s="11"/>
      <c r="G1592" s="11"/>
      <c r="H1592" s="11"/>
      <c r="I1592" s="11"/>
      <c r="J1592" s="11" t="str">
        <f>IFERROR(__xludf.DUMMYFUNCTION("iferror(if($B1592="""", ,filter(Playoff_Stats!F:Z,Playoff_Stats!A:A=$B1592,Playoff_Stats!B:B=$A1592)))"),"")</f>
        <v/>
      </c>
      <c r="K1592" s="11"/>
      <c r="L1592" s="12"/>
      <c r="M1592" s="11"/>
      <c r="N1592" s="11"/>
      <c r="O1592" s="13"/>
      <c r="P1592" s="14"/>
      <c r="Q1592" s="13"/>
      <c r="R1592" s="13"/>
      <c r="S1592" s="15"/>
      <c r="T1592" s="16"/>
      <c r="U1592" s="16"/>
      <c r="V1592" s="16"/>
      <c r="W1592" s="16"/>
      <c r="X1592" s="16"/>
      <c r="Y1592" s="11"/>
      <c r="Z1592" s="11"/>
      <c r="AA1592" s="11"/>
      <c r="AB1592" s="11"/>
      <c r="AC1592" s="11"/>
      <c r="AD1592" s="11"/>
    </row>
    <row r="1593">
      <c r="A1593" s="10"/>
      <c r="B1593" s="10"/>
      <c r="C1593" s="10"/>
      <c r="D1593" s="10"/>
      <c r="E1593" s="10"/>
      <c r="F1593" s="11"/>
      <c r="G1593" s="11"/>
      <c r="H1593" s="11"/>
      <c r="I1593" s="11"/>
      <c r="J1593" s="11" t="str">
        <f>IFERROR(__xludf.DUMMYFUNCTION("iferror(if($B1593="""", ,filter(Playoff_Stats!F:Z,Playoff_Stats!A:A=$B1593,Playoff_Stats!B:B=$A1593)))"),"")</f>
        <v/>
      </c>
      <c r="K1593" s="11"/>
      <c r="L1593" s="12"/>
      <c r="M1593" s="11"/>
      <c r="N1593" s="11"/>
      <c r="O1593" s="13"/>
      <c r="P1593" s="14"/>
      <c r="Q1593" s="13"/>
      <c r="R1593" s="13"/>
      <c r="S1593" s="15"/>
      <c r="T1593" s="16"/>
      <c r="U1593" s="16"/>
      <c r="V1593" s="16"/>
      <c r="W1593" s="16"/>
      <c r="X1593" s="16"/>
      <c r="Y1593" s="11"/>
      <c r="Z1593" s="11"/>
      <c r="AA1593" s="11"/>
      <c r="AB1593" s="11"/>
      <c r="AC1593" s="11"/>
      <c r="AD1593" s="11"/>
    </row>
    <row r="1594">
      <c r="A1594" s="10"/>
      <c r="B1594" s="10"/>
      <c r="C1594" s="10"/>
      <c r="D1594" s="10"/>
      <c r="E1594" s="10"/>
      <c r="F1594" s="11"/>
      <c r="G1594" s="11"/>
      <c r="H1594" s="11"/>
      <c r="I1594" s="11"/>
      <c r="J1594" s="11" t="str">
        <f>IFERROR(__xludf.DUMMYFUNCTION("iferror(if($B1594="""", ,filter(Playoff_Stats!F:Z,Playoff_Stats!A:A=$B1594,Playoff_Stats!B:B=$A1594)))"),"")</f>
        <v/>
      </c>
      <c r="K1594" s="11"/>
      <c r="L1594" s="12"/>
      <c r="M1594" s="11"/>
      <c r="N1594" s="11"/>
      <c r="O1594" s="13"/>
      <c r="P1594" s="14"/>
      <c r="Q1594" s="13"/>
      <c r="R1594" s="13"/>
      <c r="S1594" s="15"/>
      <c r="T1594" s="16"/>
      <c r="U1594" s="16"/>
      <c r="V1594" s="16"/>
      <c r="W1594" s="16"/>
      <c r="X1594" s="16"/>
      <c r="Y1594" s="11"/>
      <c r="Z1594" s="11"/>
      <c r="AA1594" s="11"/>
      <c r="AB1594" s="11"/>
      <c r="AC1594" s="11"/>
      <c r="AD1594" s="11"/>
    </row>
    <row r="1595">
      <c r="A1595" s="10"/>
      <c r="B1595" s="10"/>
      <c r="C1595" s="10"/>
      <c r="D1595" s="10"/>
      <c r="E1595" s="10"/>
      <c r="F1595" s="11"/>
      <c r="G1595" s="11"/>
      <c r="H1595" s="11"/>
      <c r="I1595" s="11"/>
      <c r="J1595" s="11" t="str">
        <f>IFERROR(__xludf.DUMMYFUNCTION("iferror(if($B1595="""", ,filter(Playoff_Stats!F:Z,Playoff_Stats!A:A=$B1595,Playoff_Stats!B:B=$A1595)))"),"")</f>
        <v/>
      </c>
      <c r="K1595" s="11"/>
      <c r="L1595" s="12"/>
      <c r="M1595" s="11"/>
      <c r="N1595" s="11"/>
      <c r="O1595" s="13"/>
      <c r="P1595" s="14"/>
      <c r="Q1595" s="13"/>
      <c r="R1595" s="13"/>
      <c r="S1595" s="15"/>
      <c r="T1595" s="16"/>
      <c r="U1595" s="16"/>
      <c r="V1595" s="16"/>
      <c r="W1595" s="16"/>
      <c r="X1595" s="16"/>
      <c r="Y1595" s="11"/>
      <c r="Z1595" s="11"/>
      <c r="AA1595" s="11"/>
      <c r="AB1595" s="11"/>
      <c r="AC1595" s="11"/>
      <c r="AD1595" s="11"/>
    </row>
    <row r="1596">
      <c r="A1596" s="10"/>
      <c r="B1596" s="10"/>
      <c r="C1596" s="10"/>
      <c r="D1596" s="10"/>
      <c r="E1596" s="10"/>
      <c r="F1596" s="11"/>
      <c r="G1596" s="11"/>
      <c r="H1596" s="11"/>
      <c r="I1596" s="11"/>
      <c r="J1596" s="11" t="str">
        <f>IFERROR(__xludf.DUMMYFUNCTION("iferror(if($B1596="""", ,filter(Playoff_Stats!F:Z,Playoff_Stats!A:A=$B1596,Playoff_Stats!B:B=$A1596)))"),"")</f>
        <v/>
      </c>
      <c r="K1596" s="11"/>
      <c r="L1596" s="12"/>
      <c r="M1596" s="11"/>
      <c r="N1596" s="11"/>
      <c r="O1596" s="13"/>
      <c r="P1596" s="14"/>
      <c r="Q1596" s="13"/>
      <c r="R1596" s="13"/>
      <c r="S1596" s="15"/>
      <c r="T1596" s="16"/>
      <c r="U1596" s="16"/>
      <c r="V1596" s="16"/>
      <c r="W1596" s="16"/>
      <c r="X1596" s="16"/>
      <c r="Y1596" s="11"/>
      <c r="Z1596" s="11"/>
      <c r="AA1596" s="11"/>
      <c r="AB1596" s="11"/>
      <c r="AC1596" s="11"/>
      <c r="AD1596" s="11"/>
    </row>
    <row r="1597">
      <c r="A1597" s="10"/>
      <c r="B1597" s="10"/>
      <c r="C1597" s="10"/>
      <c r="D1597" s="10"/>
      <c r="E1597" s="10"/>
      <c r="F1597" s="11"/>
      <c r="G1597" s="11"/>
      <c r="H1597" s="11"/>
      <c r="I1597" s="11"/>
      <c r="J1597" s="11" t="str">
        <f>IFERROR(__xludf.DUMMYFUNCTION("iferror(if($B1597="""", ,filter(Playoff_Stats!F:Z,Playoff_Stats!A:A=$B1597,Playoff_Stats!B:B=$A1597)))"),"")</f>
        <v/>
      </c>
      <c r="K1597" s="11"/>
      <c r="L1597" s="12"/>
      <c r="M1597" s="11"/>
      <c r="N1597" s="11"/>
      <c r="O1597" s="13"/>
      <c r="P1597" s="14"/>
      <c r="Q1597" s="13"/>
      <c r="R1597" s="13"/>
      <c r="S1597" s="15"/>
      <c r="T1597" s="16"/>
      <c r="U1597" s="16"/>
      <c r="V1597" s="16"/>
      <c r="W1597" s="16"/>
      <c r="X1597" s="16"/>
      <c r="Y1597" s="11"/>
      <c r="Z1597" s="11"/>
      <c r="AA1597" s="11"/>
      <c r="AB1597" s="11"/>
      <c r="AC1597" s="11"/>
      <c r="AD1597" s="11"/>
    </row>
    <row r="1598">
      <c r="A1598" s="10"/>
      <c r="B1598" s="10"/>
      <c r="C1598" s="10"/>
      <c r="D1598" s="10"/>
      <c r="E1598" s="10"/>
      <c r="F1598" s="11"/>
      <c r="G1598" s="11"/>
      <c r="H1598" s="11"/>
      <c r="I1598" s="11"/>
      <c r="J1598" s="11" t="str">
        <f>IFERROR(__xludf.DUMMYFUNCTION("iferror(if($B1598="""", ,filter(Playoff_Stats!F:Z,Playoff_Stats!A:A=$B1598,Playoff_Stats!B:B=$A1598)))"),"")</f>
        <v/>
      </c>
      <c r="K1598" s="11"/>
      <c r="L1598" s="12"/>
      <c r="M1598" s="11"/>
      <c r="N1598" s="11"/>
      <c r="O1598" s="13"/>
      <c r="P1598" s="14"/>
      <c r="Q1598" s="13"/>
      <c r="R1598" s="13"/>
      <c r="S1598" s="15"/>
      <c r="T1598" s="16"/>
      <c r="U1598" s="16"/>
      <c r="V1598" s="16"/>
      <c r="W1598" s="16"/>
      <c r="X1598" s="16"/>
      <c r="Y1598" s="11"/>
      <c r="Z1598" s="11"/>
      <c r="AA1598" s="11"/>
      <c r="AB1598" s="11"/>
      <c r="AC1598" s="11"/>
      <c r="AD1598" s="11"/>
    </row>
    <row r="1599">
      <c r="A1599" s="10"/>
      <c r="B1599" s="10"/>
      <c r="C1599" s="10"/>
      <c r="D1599" s="10"/>
      <c r="E1599" s="10"/>
      <c r="F1599" s="11"/>
      <c r="G1599" s="11"/>
      <c r="H1599" s="11"/>
      <c r="I1599" s="11"/>
      <c r="J1599" s="11" t="str">
        <f>IFERROR(__xludf.DUMMYFUNCTION("iferror(if($B1599="""", ,filter(Playoff_Stats!F:Z,Playoff_Stats!A:A=$B1599,Playoff_Stats!B:B=$A1599)))"),"")</f>
        <v/>
      </c>
      <c r="K1599" s="11"/>
      <c r="L1599" s="12"/>
      <c r="M1599" s="11"/>
      <c r="N1599" s="11"/>
      <c r="O1599" s="13"/>
      <c r="P1599" s="14"/>
      <c r="Q1599" s="13"/>
      <c r="R1599" s="13"/>
      <c r="S1599" s="15"/>
      <c r="T1599" s="16"/>
      <c r="U1599" s="16"/>
      <c r="V1599" s="16"/>
      <c r="W1599" s="16"/>
      <c r="X1599" s="16"/>
      <c r="Y1599" s="11"/>
      <c r="Z1599" s="11"/>
      <c r="AA1599" s="11"/>
      <c r="AB1599" s="11"/>
      <c r="AC1599" s="11"/>
      <c r="AD1599" s="11"/>
    </row>
    <row r="1600">
      <c r="A1600" s="10"/>
      <c r="B1600" s="10"/>
      <c r="C1600" s="10"/>
      <c r="D1600" s="10"/>
      <c r="E1600" s="10"/>
      <c r="F1600" s="11"/>
      <c r="G1600" s="11"/>
      <c r="H1600" s="11"/>
      <c r="I1600" s="11"/>
      <c r="J1600" s="11" t="str">
        <f>IFERROR(__xludf.DUMMYFUNCTION("iferror(if($B1600="""", ,filter(Playoff_Stats!F:Z,Playoff_Stats!A:A=$B1600,Playoff_Stats!B:B=$A1600)))"),"")</f>
        <v/>
      </c>
      <c r="K1600" s="11"/>
      <c r="L1600" s="12"/>
      <c r="M1600" s="11"/>
      <c r="N1600" s="11"/>
      <c r="O1600" s="13"/>
      <c r="P1600" s="14"/>
      <c r="Q1600" s="13"/>
      <c r="R1600" s="13"/>
      <c r="S1600" s="15"/>
      <c r="T1600" s="16"/>
      <c r="U1600" s="16"/>
      <c r="V1600" s="16"/>
      <c r="W1600" s="16"/>
      <c r="X1600" s="16"/>
      <c r="Y1600" s="11"/>
      <c r="Z1600" s="11"/>
      <c r="AA1600" s="11"/>
      <c r="AB1600" s="11"/>
      <c r="AC1600" s="11"/>
      <c r="AD1600" s="11"/>
    </row>
    <row r="1601">
      <c r="A1601" s="10"/>
      <c r="B1601" s="10"/>
      <c r="C1601" s="10"/>
      <c r="D1601" s="10"/>
      <c r="E1601" s="10"/>
      <c r="F1601" s="11"/>
      <c r="G1601" s="11"/>
      <c r="H1601" s="11"/>
      <c r="I1601" s="11"/>
      <c r="J1601" s="11" t="str">
        <f>IFERROR(__xludf.DUMMYFUNCTION("iferror(if($B1601="""", ,filter(Playoff_Stats!F:Z,Playoff_Stats!A:A=$B1601,Playoff_Stats!B:B=$A1601)))"),"")</f>
        <v/>
      </c>
      <c r="K1601" s="11"/>
      <c r="L1601" s="12"/>
      <c r="M1601" s="11"/>
      <c r="N1601" s="11"/>
      <c r="O1601" s="13"/>
      <c r="P1601" s="14"/>
      <c r="Q1601" s="13"/>
      <c r="R1601" s="13"/>
      <c r="S1601" s="15"/>
      <c r="T1601" s="16"/>
      <c r="U1601" s="16"/>
      <c r="V1601" s="16"/>
      <c r="W1601" s="16"/>
      <c r="X1601" s="16"/>
      <c r="Y1601" s="11"/>
      <c r="Z1601" s="11"/>
      <c r="AA1601" s="11"/>
      <c r="AB1601" s="11"/>
      <c r="AC1601" s="11"/>
      <c r="AD1601" s="11"/>
    </row>
    <row r="1602">
      <c r="A1602" s="10"/>
      <c r="B1602" s="10"/>
      <c r="C1602" s="10"/>
      <c r="D1602" s="10"/>
      <c r="E1602" s="10"/>
      <c r="F1602" s="11"/>
      <c r="G1602" s="11"/>
      <c r="H1602" s="11"/>
      <c r="I1602" s="11"/>
      <c r="J1602" s="11" t="str">
        <f>IFERROR(__xludf.DUMMYFUNCTION("iferror(if($B1602="""", ,filter(Playoff_Stats!F:Z,Playoff_Stats!A:A=$B1602,Playoff_Stats!B:B=$A1602)))"),"")</f>
        <v/>
      </c>
      <c r="K1602" s="11"/>
      <c r="L1602" s="12"/>
      <c r="M1602" s="11"/>
      <c r="N1602" s="11"/>
      <c r="O1602" s="13"/>
      <c r="P1602" s="14"/>
      <c r="Q1602" s="13"/>
      <c r="R1602" s="13"/>
      <c r="S1602" s="15"/>
      <c r="T1602" s="16"/>
      <c r="U1602" s="16"/>
      <c r="V1602" s="16"/>
      <c r="W1602" s="16"/>
      <c r="X1602" s="16"/>
      <c r="Y1602" s="11"/>
      <c r="Z1602" s="11"/>
      <c r="AA1602" s="11"/>
      <c r="AB1602" s="11"/>
      <c r="AC1602" s="11"/>
      <c r="AD1602" s="11"/>
    </row>
    <row r="1603">
      <c r="A1603" s="10"/>
      <c r="B1603" s="10"/>
      <c r="C1603" s="10"/>
      <c r="D1603" s="10"/>
      <c r="E1603" s="10"/>
      <c r="F1603" s="11"/>
      <c r="G1603" s="11"/>
      <c r="H1603" s="11"/>
      <c r="I1603" s="11"/>
      <c r="J1603" s="11" t="str">
        <f>IFERROR(__xludf.DUMMYFUNCTION("iferror(if($B1603="""", ,filter(Playoff_Stats!F:Z,Playoff_Stats!A:A=$B1603,Playoff_Stats!B:B=$A1603)))"),"")</f>
        <v/>
      </c>
      <c r="K1603" s="11"/>
      <c r="L1603" s="12"/>
      <c r="M1603" s="11"/>
      <c r="N1603" s="11"/>
      <c r="O1603" s="13"/>
      <c r="P1603" s="14"/>
      <c r="Q1603" s="13"/>
      <c r="R1603" s="13"/>
      <c r="S1603" s="15"/>
      <c r="T1603" s="16"/>
      <c r="U1603" s="16"/>
      <c r="V1603" s="16"/>
      <c r="W1603" s="16"/>
      <c r="X1603" s="16"/>
      <c r="Y1603" s="11"/>
      <c r="Z1603" s="11"/>
      <c r="AA1603" s="11"/>
      <c r="AB1603" s="11"/>
      <c r="AC1603" s="11"/>
      <c r="AD1603" s="11"/>
    </row>
    <row r="1604">
      <c r="A1604" s="10"/>
      <c r="B1604" s="10"/>
      <c r="C1604" s="10"/>
      <c r="D1604" s="10"/>
      <c r="E1604" s="10"/>
      <c r="F1604" s="11"/>
      <c r="G1604" s="11"/>
      <c r="H1604" s="11"/>
      <c r="I1604" s="11"/>
      <c r="J1604" s="11" t="str">
        <f>IFERROR(__xludf.DUMMYFUNCTION("iferror(if($B1604="""", ,filter(Playoff_Stats!F:Z,Playoff_Stats!A:A=$B1604,Playoff_Stats!B:B=$A1604)))"),"")</f>
        <v/>
      </c>
      <c r="K1604" s="11"/>
      <c r="L1604" s="12"/>
      <c r="M1604" s="11"/>
      <c r="N1604" s="11"/>
      <c r="O1604" s="13"/>
      <c r="P1604" s="14"/>
      <c r="Q1604" s="13"/>
      <c r="R1604" s="13"/>
      <c r="S1604" s="15"/>
      <c r="T1604" s="16"/>
      <c r="U1604" s="16"/>
      <c r="V1604" s="16"/>
      <c r="W1604" s="16"/>
      <c r="X1604" s="16"/>
      <c r="Y1604" s="11"/>
      <c r="Z1604" s="11"/>
      <c r="AA1604" s="11"/>
      <c r="AB1604" s="11"/>
      <c r="AC1604" s="11"/>
      <c r="AD1604" s="11"/>
    </row>
    <row r="1605">
      <c r="A1605" s="10"/>
      <c r="B1605" s="10"/>
      <c r="C1605" s="10"/>
      <c r="D1605" s="10"/>
      <c r="E1605" s="10"/>
      <c r="F1605" s="11"/>
      <c r="G1605" s="11"/>
      <c r="H1605" s="11"/>
      <c r="I1605" s="11"/>
      <c r="J1605" s="11" t="str">
        <f>IFERROR(__xludf.DUMMYFUNCTION("iferror(if($B1605="""", ,filter(Playoff_Stats!F:Z,Playoff_Stats!A:A=$B1605,Playoff_Stats!B:B=$A1605)))"),"")</f>
        <v/>
      </c>
      <c r="K1605" s="11"/>
      <c r="L1605" s="12"/>
      <c r="M1605" s="11"/>
      <c r="N1605" s="11"/>
      <c r="O1605" s="13"/>
      <c r="P1605" s="14"/>
      <c r="Q1605" s="13"/>
      <c r="R1605" s="13"/>
      <c r="S1605" s="15"/>
      <c r="T1605" s="16"/>
      <c r="U1605" s="16"/>
      <c r="V1605" s="16"/>
      <c r="W1605" s="16"/>
      <c r="X1605" s="16"/>
      <c r="Y1605" s="11"/>
      <c r="Z1605" s="11"/>
      <c r="AA1605" s="11"/>
      <c r="AB1605" s="11"/>
      <c r="AC1605" s="11"/>
      <c r="AD1605" s="11"/>
    </row>
    <row r="1606">
      <c r="A1606" s="10"/>
      <c r="B1606" s="10"/>
      <c r="C1606" s="10"/>
      <c r="D1606" s="10"/>
      <c r="E1606" s="10"/>
      <c r="F1606" s="11"/>
      <c r="G1606" s="11"/>
      <c r="H1606" s="11"/>
      <c r="I1606" s="11"/>
      <c r="J1606" s="11" t="str">
        <f>IFERROR(__xludf.DUMMYFUNCTION("iferror(if($B1606="""", ,filter(Playoff_Stats!F:Z,Playoff_Stats!A:A=$B1606,Playoff_Stats!B:B=$A1606)))"),"")</f>
        <v/>
      </c>
      <c r="K1606" s="11"/>
      <c r="L1606" s="12"/>
      <c r="M1606" s="11"/>
      <c r="N1606" s="11"/>
      <c r="O1606" s="13"/>
      <c r="P1606" s="14"/>
      <c r="Q1606" s="13"/>
      <c r="R1606" s="13"/>
      <c r="S1606" s="15"/>
      <c r="T1606" s="16"/>
      <c r="U1606" s="16"/>
      <c r="V1606" s="16"/>
      <c r="W1606" s="16"/>
      <c r="X1606" s="16"/>
      <c r="Y1606" s="11"/>
      <c r="Z1606" s="11"/>
      <c r="AA1606" s="11"/>
      <c r="AB1606" s="11"/>
      <c r="AC1606" s="11"/>
      <c r="AD1606" s="11"/>
    </row>
    <row r="1607">
      <c r="A1607" s="10"/>
      <c r="B1607" s="10"/>
      <c r="C1607" s="10"/>
      <c r="D1607" s="10"/>
      <c r="E1607" s="10"/>
      <c r="F1607" s="11"/>
      <c r="G1607" s="11"/>
      <c r="H1607" s="11"/>
      <c r="I1607" s="11"/>
      <c r="J1607" s="11" t="str">
        <f>IFERROR(__xludf.DUMMYFUNCTION("iferror(if($B1607="""", ,filter(Playoff_Stats!F:Z,Playoff_Stats!A:A=$B1607,Playoff_Stats!B:B=$A1607)))"),"")</f>
        <v/>
      </c>
      <c r="K1607" s="11"/>
      <c r="L1607" s="12"/>
      <c r="M1607" s="11"/>
      <c r="N1607" s="11"/>
      <c r="O1607" s="13"/>
      <c r="P1607" s="14"/>
      <c r="Q1607" s="13"/>
      <c r="R1607" s="13"/>
      <c r="S1607" s="15"/>
      <c r="T1607" s="16"/>
      <c r="U1607" s="16"/>
      <c r="V1607" s="16"/>
      <c r="W1607" s="16"/>
      <c r="X1607" s="16"/>
      <c r="Y1607" s="11"/>
      <c r="Z1607" s="11"/>
      <c r="AA1607" s="11"/>
      <c r="AB1607" s="11"/>
      <c r="AC1607" s="11"/>
      <c r="AD1607" s="11"/>
    </row>
    <row r="1608">
      <c r="A1608" s="10"/>
      <c r="B1608" s="10"/>
      <c r="C1608" s="10"/>
      <c r="D1608" s="10"/>
      <c r="E1608" s="10"/>
      <c r="F1608" s="11"/>
      <c r="G1608" s="11"/>
      <c r="H1608" s="11"/>
      <c r="I1608" s="11"/>
      <c r="J1608" s="11" t="str">
        <f>IFERROR(__xludf.DUMMYFUNCTION("iferror(if($B1608="""", ,filter(Playoff_Stats!F:Z,Playoff_Stats!A:A=$B1608,Playoff_Stats!B:B=$A1608)))"),"")</f>
        <v/>
      </c>
      <c r="K1608" s="11"/>
      <c r="L1608" s="12"/>
      <c r="M1608" s="11"/>
      <c r="N1608" s="11"/>
      <c r="O1608" s="13"/>
      <c r="P1608" s="14"/>
      <c r="Q1608" s="13"/>
      <c r="R1608" s="13"/>
      <c r="S1608" s="15"/>
      <c r="T1608" s="16"/>
      <c r="U1608" s="16"/>
      <c r="V1608" s="16"/>
      <c r="W1608" s="16"/>
      <c r="X1608" s="16"/>
      <c r="Y1608" s="11"/>
      <c r="Z1608" s="11"/>
      <c r="AA1608" s="11"/>
      <c r="AB1608" s="11"/>
      <c r="AC1608" s="11"/>
      <c r="AD1608" s="11"/>
    </row>
    <row r="1609">
      <c r="A1609" s="10"/>
      <c r="B1609" s="10"/>
      <c r="C1609" s="10"/>
      <c r="D1609" s="10"/>
      <c r="E1609" s="10"/>
      <c r="F1609" s="11"/>
      <c r="G1609" s="11"/>
      <c r="H1609" s="11"/>
      <c r="I1609" s="11"/>
      <c r="J1609" s="11" t="str">
        <f>IFERROR(__xludf.DUMMYFUNCTION("iferror(if($B1609="""", ,filter(Playoff_Stats!F:Z,Playoff_Stats!A:A=$B1609,Playoff_Stats!B:B=$A1609)))"),"")</f>
        <v/>
      </c>
      <c r="K1609" s="11"/>
      <c r="L1609" s="12"/>
      <c r="M1609" s="11"/>
      <c r="N1609" s="11"/>
      <c r="O1609" s="13"/>
      <c r="P1609" s="14"/>
      <c r="Q1609" s="13"/>
      <c r="R1609" s="13"/>
      <c r="S1609" s="15"/>
      <c r="T1609" s="16"/>
      <c r="U1609" s="16"/>
      <c r="V1609" s="16"/>
      <c r="W1609" s="16"/>
      <c r="X1609" s="16"/>
      <c r="Y1609" s="11"/>
      <c r="Z1609" s="11"/>
      <c r="AA1609" s="11"/>
      <c r="AB1609" s="11"/>
      <c r="AC1609" s="11"/>
      <c r="AD1609" s="11"/>
    </row>
    <row r="1610">
      <c r="A1610" s="10"/>
      <c r="B1610" s="10"/>
      <c r="C1610" s="10"/>
      <c r="D1610" s="10"/>
      <c r="E1610" s="10"/>
      <c r="F1610" s="11"/>
      <c r="G1610" s="11"/>
      <c r="H1610" s="11"/>
      <c r="I1610" s="11"/>
      <c r="J1610" s="11" t="str">
        <f>IFERROR(__xludf.DUMMYFUNCTION("iferror(if($B1610="""", ,filter(Playoff_Stats!F:Z,Playoff_Stats!A:A=$B1610,Playoff_Stats!B:B=$A1610)))"),"")</f>
        <v/>
      </c>
      <c r="K1610" s="11"/>
      <c r="L1610" s="12"/>
      <c r="M1610" s="11"/>
      <c r="N1610" s="11"/>
      <c r="O1610" s="13"/>
      <c r="P1610" s="14"/>
      <c r="Q1610" s="13"/>
      <c r="R1610" s="13"/>
      <c r="S1610" s="15"/>
      <c r="T1610" s="16"/>
      <c r="U1610" s="16"/>
      <c r="V1610" s="16"/>
      <c r="W1610" s="16"/>
      <c r="X1610" s="16"/>
      <c r="Y1610" s="11"/>
      <c r="Z1610" s="11"/>
      <c r="AA1610" s="11"/>
      <c r="AB1610" s="11"/>
      <c r="AC1610" s="11"/>
      <c r="AD1610" s="11"/>
    </row>
    <row r="1611">
      <c r="A1611" s="10"/>
      <c r="B1611" s="10"/>
      <c r="C1611" s="10"/>
      <c r="D1611" s="10"/>
      <c r="E1611" s="10"/>
      <c r="F1611" s="11"/>
      <c r="G1611" s="11"/>
      <c r="H1611" s="11"/>
      <c r="I1611" s="11"/>
      <c r="J1611" s="11" t="str">
        <f>IFERROR(__xludf.DUMMYFUNCTION("iferror(if($B1611="""", ,filter(Playoff_Stats!F:Z,Playoff_Stats!A:A=$B1611,Playoff_Stats!B:B=$A1611)))"),"")</f>
        <v/>
      </c>
      <c r="K1611" s="11"/>
      <c r="L1611" s="12"/>
      <c r="M1611" s="11"/>
      <c r="N1611" s="11"/>
      <c r="O1611" s="13"/>
      <c r="P1611" s="14"/>
      <c r="Q1611" s="13"/>
      <c r="R1611" s="13"/>
      <c r="S1611" s="15"/>
      <c r="T1611" s="16"/>
      <c r="U1611" s="16"/>
      <c r="V1611" s="16"/>
      <c r="W1611" s="16"/>
      <c r="X1611" s="16"/>
      <c r="Y1611" s="11"/>
      <c r="Z1611" s="11"/>
      <c r="AA1611" s="11"/>
      <c r="AB1611" s="11"/>
      <c r="AC1611" s="11"/>
      <c r="AD1611" s="11"/>
    </row>
    <row r="1612">
      <c r="A1612" s="10"/>
      <c r="B1612" s="10"/>
      <c r="C1612" s="10"/>
      <c r="D1612" s="10"/>
      <c r="E1612" s="10"/>
      <c r="F1612" s="11"/>
      <c r="G1612" s="11"/>
      <c r="H1612" s="11"/>
      <c r="I1612" s="11"/>
      <c r="J1612" s="11" t="str">
        <f>IFERROR(__xludf.DUMMYFUNCTION("iferror(if($B1612="""", ,filter(Playoff_Stats!F:Z,Playoff_Stats!A:A=$B1612,Playoff_Stats!B:B=$A1612)))"),"")</f>
        <v/>
      </c>
      <c r="K1612" s="11"/>
      <c r="L1612" s="12"/>
      <c r="M1612" s="11"/>
      <c r="N1612" s="11"/>
      <c r="O1612" s="13"/>
      <c r="P1612" s="14"/>
      <c r="Q1612" s="13"/>
      <c r="R1612" s="13"/>
      <c r="S1612" s="15"/>
      <c r="T1612" s="16"/>
      <c r="U1612" s="16"/>
      <c r="V1612" s="16"/>
      <c r="W1612" s="16"/>
      <c r="X1612" s="16"/>
      <c r="Y1612" s="11"/>
      <c r="Z1612" s="11"/>
      <c r="AA1612" s="11"/>
      <c r="AB1612" s="11"/>
      <c r="AC1612" s="11"/>
      <c r="AD1612" s="11"/>
    </row>
    <row r="1613">
      <c r="A1613" s="10"/>
      <c r="B1613" s="10"/>
      <c r="C1613" s="10"/>
      <c r="D1613" s="10"/>
      <c r="E1613" s="10"/>
      <c r="F1613" s="11"/>
      <c r="G1613" s="11"/>
      <c r="H1613" s="11"/>
      <c r="I1613" s="11"/>
      <c r="J1613" s="11" t="str">
        <f>IFERROR(__xludf.DUMMYFUNCTION("iferror(if($B1613="""", ,filter(Playoff_Stats!F:Z,Playoff_Stats!A:A=$B1613,Playoff_Stats!B:B=$A1613)))"),"")</f>
        <v/>
      </c>
      <c r="K1613" s="11"/>
      <c r="L1613" s="12"/>
      <c r="M1613" s="11"/>
      <c r="N1613" s="11"/>
      <c r="O1613" s="13"/>
      <c r="P1613" s="14"/>
      <c r="Q1613" s="13"/>
      <c r="R1613" s="13"/>
      <c r="S1613" s="15"/>
      <c r="T1613" s="16"/>
      <c r="U1613" s="16"/>
      <c r="V1613" s="16"/>
      <c r="W1613" s="16"/>
      <c r="X1613" s="16"/>
      <c r="Y1613" s="11"/>
      <c r="Z1613" s="11"/>
      <c r="AA1613" s="11"/>
      <c r="AB1613" s="11"/>
      <c r="AC1613" s="11"/>
      <c r="AD1613" s="11"/>
    </row>
    <row r="1614">
      <c r="A1614" s="10"/>
      <c r="B1614" s="10"/>
      <c r="C1614" s="10"/>
      <c r="D1614" s="10"/>
      <c r="E1614" s="10"/>
      <c r="F1614" s="11"/>
      <c r="G1614" s="11"/>
      <c r="H1614" s="11"/>
      <c r="I1614" s="11"/>
      <c r="J1614" s="11" t="str">
        <f>IFERROR(__xludf.DUMMYFUNCTION("iferror(if($B1614="""", ,filter(Playoff_Stats!F:Z,Playoff_Stats!A:A=$B1614,Playoff_Stats!B:B=$A1614)))"),"")</f>
        <v/>
      </c>
      <c r="K1614" s="11"/>
      <c r="L1614" s="12"/>
      <c r="M1614" s="11"/>
      <c r="N1614" s="11"/>
      <c r="O1614" s="13"/>
      <c r="P1614" s="14"/>
      <c r="Q1614" s="13"/>
      <c r="R1614" s="13"/>
      <c r="S1614" s="15"/>
      <c r="T1614" s="16"/>
      <c r="U1614" s="16"/>
      <c r="V1614" s="16"/>
      <c r="W1614" s="16"/>
      <c r="X1614" s="16"/>
      <c r="Y1614" s="11"/>
      <c r="Z1614" s="11"/>
      <c r="AA1614" s="11"/>
      <c r="AB1614" s="11"/>
      <c r="AC1614" s="11"/>
      <c r="AD1614" s="11"/>
    </row>
    <row r="1615">
      <c r="A1615" s="10"/>
      <c r="B1615" s="10"/>
      <c r="C1615" s="10"/>
      <c r="D1615" s="10"/>
      <c r="E1615" s="10"/>
      <c r="F1615" s="11"/>
      <c r="G1615" s="11"/>
      <c r="H1615" s="11"/>
      <c r="I1615" s="11"/>
      <c r="J1615" s="11" t="str">
        <f>IFERROR(__xludf.DUMMYFUNCTION("iferror(if($B1615="""", ,filter(Playoff_Stats!F:Z,Playoff_Stats!A:A=$B1615,Playoff_Stats!B:B=$A1615)))"),"")</f>
        <v/>
      </c>
      <c r="K1615" s="11"/>
      <c r="L1615" s="12"/>
      <c r="M1615" s="11"/>
      <c r="N1615" s="11"/>
      <c r="O1615" s="13"/>
      <c r="P1615" s="14"/>
      <c r="Q1615" s="13"/>
      <c r="R1615" s="13"/>
      <c r="S1615" s="15"/>
      <c r="T1615" s="16"/>
      <c r="U1615" s="16"/>
      <c r="V1615" s="16"/>
      <c r="W1615" s="16"/>
      <c r="X1615" s="16"/>
      <c r="Y1615" s="11"/>
      <c r="Z1615" s="11"/>
      <c r="AA1615" s="11"/>
      <c r="AB1615" s="11"/>
      <c r="AC1615" s="11"/>
      <c r="AD1615" s="11"/>
    </row>
    <row r="1616">
      <c r="A1616" s="10"/>
      <c r="B1616" s="10"/>
      <c r="C1616" s="10"/>
      <c r="D1616" s="10"/>
      <c r="E1616" s="10"/>
      <c r="F1616" s="11"/>
      <c r="G1616" s="11"/>
      <c r="H1616" s="11"/>
      <c r="I1616" s="11"/>
      <c r="J1616" s="11" t="str">
        <f>IFERROR(__xludf.DUMMYFUNCTION("iferror(if($B1616="""", ,filter(Playoff_Stats!F:Z,Playoff_Stats!A:A=$B1616,Playoff_Stats!B:B=$A1616)))"),"")</f>
        <v/>
      </c>
      <c r="K1616" s="11"/>
      <c r="L1616" s="12"/>
      <c r="M1616" s="11"/>
      <c r="N1616" s="11"/>
      <c r="O1616" s="13"/>
      <c r="P1616" s="14"/>
      <c r="Q1616" s="13"/>
      <c r="R1616" s="13"/>
      <c r="S1616" s="15"/>
      <c r="T1616" s="16"/>
      <c r="U1616" s="16"/>
      <c r="V1616" s="16"/>
      <c r="W1616" s="16"/>
      <c r="X1616" s="16"/>
      <c r="Y1616" s="11"/>
      <c r="Z1616" s="11"/>
      <c r="AA1616" s="11"/>
      <c r="AB1616" s="11"/>
      <c r="AC1616" s="11"/>
      <c r="AD1616" s="11"/>
    </row>
    <row r="1617">
      <c r="A1617" s="10"/>
      <c r="B1617" s="10"/>
      <c r="C1617" s="10"/>
      <c r="D1617" s="10"/>
      <c r="E1617" s="10"/>
      <c r="F1617" s="11"/>
      <c r="G1617" s="11"/>
      <c r="H1617" s="11"/>
      <c r="I1617" s="11"/>
      <c r="J1617" s="11" t="str">
        <f>IFERROR(__xludf.DUMMYFUNCTION("iferror(if($B1617="""", ,filter(Playoff_Stats!F:Z,Playoff_Stats!A:A=$B1617,Playoff_Stats!B:B=$A1617)))"),"")</f>
        <v/>
      </c>
      <c r="K1617" s="11"/>
      <c r="L1617" s="12"/>
      <c r="M1617" s="11"/>
      <c r="N1617" s="11"/>
      <c r="O1617" s="13"/>
      <c r="P1617" s="14"/>
      <c r="Q1617" s="13"/>
      <c r="R1617" s="13"/>
      <c r="S1617" s="15"/>
      <c r="T1617" s="16"/>
      <c r="U1617" s="16"/>
      <c r="V1617" s="16"/>
      <c r="W1617" s="16"/>
      <c r="X1617" s="16"/>
      <c r="Y1617" s="11"/>
      <c r="Z1617" s="11"/>
      <c r="AA1617" s="11"/>
      <c r="AB1617" s="11"/>
      <c r="AC1617" s="11"/>
      <c r="AD1617" s="11"/>
    </row>
    <row r="1618">
      <c r="A1618" s="10"/>
      <c r="B1618" s="10"/>
      <c r="C1618" s="10"/>
      <c r="D1618" s="10"/>
      <c r="E1618" s="10"/>
      <c r="F1618" s="11"/>
      <c r="G1618" s="11"/>
      <c r="H1618" s="11"/>
      <c r="I1618" s="11"/>
      <c r="J1618" s="11" t="str">
        <f>IFERROR(__xludf.DUMMYFUNCTION("iferror(if($B1618="""", ,filter(Playoff_Stats!F:Z,Playoff_Stats!A:A=$B1618,Playoff_Stats!B:B=$A1618)))"),"")</f>
        <v/>
      </c>
      <c r="K1618" s="11"/>
      <c r="L1618" s="12"/>
      <c r="M1618" s="11"/>
      <c r="N1618" s="11"/>
      <c r="O1618" s="13"/>
      <c r="P1618" s="14"/>
      <c r="Q1618" s="13"/>
      <c r="R1618" s="13"/>
      <c r="S1618" s="15"/>
      <c r="T1618" s="16"/>
      <c r="U1618" s="16"/>
      <c r="V1618" s="16"/>
      <c r="W1618" s="16"/>
      <c r="X1618" s="16"/>
      <c r="Y1618" s="11"/>
      <c r="Z1618" s="11"/>
      <c r="AA1618" s="11"/>
      <c r="AB1618" s="11"/>
      <c r="AC1618" s="11"/>
      <c r="AD1618" s="11"/>
    </row>
    <row r="1619">
      <c r="A1619" s="10"/>
      <c r="B1619" s="10"/>
      <c r="C1619" s="10"/>
      <c r="D1619" s="10"/>
      <c r="E1619" s="10"/>
      <c r="F1619" s="11"/>
      <c r="G1619" s="11"/>
      <c r="H1619" s="11"/>
      <c r="I1619" s="11"/>
      <c r="J1619" s="11" t="str">
        <f>IFERROR(__xludf.DUMMYFUNCTION("iferror(if($B1619="""", ,filter(Playoff_Stats!F:Z,Playoff_Stats!A:A=$B1619,Playoff_Stats!B:B=$A1619)))"),"")</f>
        <v/>
      </c>
      <c r="K1619" s="11"/>
      <c r="L1619" s="12"/>
      <c r="M1619" s="11"/>
      <c r="N1619" s="11"/>
      <c r="O1619" s="13"/>
      <c r="P1619" s="14"/>
      <c r="Q1619" s="13"/>
      <c r="R1619" s="13"/>
      <c r="S1619" s="15"/>
      <c r="T1619" s="16"/>
      <c r="U1619" s="16"/>
      <c r="V1619" s="16"/>
      <c r="W1619" s="16"/>
      <c r="X1619" s="16"/>
      <c r="Y1619" s="11"/>
      <c r="Z1619" s="11"/>
      <c r="AA1619" s="11"/>
      <c r="AB1619" s="11"/>
      <c r="AC1619" s="11"/>
      <c r="AD1619" s="11"/>
    </row>
    <row r="1620">
      <c r="A1620" s="10"/>
      <c r="B1620" s="10"/>
      <c r="C1620" s="10"/>
      <c r="D1620" s="10"/>
      <c r="E1620" s="10"/>
      <c r="F1620" s="11"/>
      <c r="G1620" s="11"/>
      <c r="H1620" s="11"/>
      <c r="I1620" s="11"/>
      <c r="J1620" s="11" t="str">
        <f>IFERROR(__xludf.DUMMYFUNCTION("iferror(if($B1620="""", ,filter(Playoff_Stats!F:Z,Playoff_Stats!A:A=$B1620,Playoff_Stats!B:B=$A1620)))"),"")</f>
        <v/>
      </c>
      <c r="K1620" s="11"/>
      <c r="L1620" s="12"/>
      <c r="M1620" s="11"/>
      <c r="N1620" s="11"/>
      <c r="O1620" s="13"/>
      <c r="P1620" s="14"/>
      <c r="Q1620" s="13"/>
      <c r="R1620" s="13"/>
      <c r="S1620" s="15"/>
      <c r="T1620" s="16"/>
      <c r="U1620" s="16"/>
      <c r="V1620" s="16"/>
      <c r="W1620" s="16"/>
      <c r="X1620" s="16"/>
      <c r="Y1620" s="11"/>
      <c r="Z1620" s="11"/>
      <c r="AA1620" s="11"/>
      <c r="AB1620" s="11"/>
      <c r="AC1620" s="11"/>
      <c r="AD1620" s="11"/>
    </row>
    <row r="1621">
      <c r="A1621" s="10"/>
      <c r="B1621" s="10"/>
      <c r="C1621" s="10"/>
      <c r="D1621" s="10"/>
      <c r="E1621" s="10"/>
      <c r="F1621" s="11"/>
      <c r="G1621" s="11"/>
      <c r="H1621" s="11"/>
      <c r="I1621" s="11"/>
      <c r="J1621" s="11" t="str">
        <f>IFERROR(__xludf.DUMMYFUNCTION("iferror(if($B1621="""", ,filter(Playoff_Stats!F:Z,Playoff_Stats!A:A=$B1621,Playoff_Stats!B:B=$A1621)))"),"")</f>
        <v/>
      </c>
      <c r="K1621" s="11"/>
      <c r="L1621" s="12"/>
      <c r="M1621" s="11"/>
      <c r="N1621" s="11"/>
      <c r="O1621" s="13"/>
      <c r="P1621" s="14"/>
      <c r="Q1621" s="13"/>
      <c r="R1621" s="13"/>
      <c r="S1621" s="15"/>
      <c r="T1621" s="16"/>
      <c r="U1621" s="16"/>
      <c r="V1621" s="16"/>
      <c r="W1621" s="16"/>
      <c r="X1621" s="16"/>
      <c r="Y1621" s="11"/>
      <c r="Z1621" s="11"/>
      <c r="AA1621" s="11"/>
      <c r="AB1621" s="11"/>
      <c r="AC1621" s="11"/>
      <c r="AD1621" s="11"/>
    </row>
    <row r="1622">
      <c r="A1622" s="10"/>
      <c r="B1622" s="10"/>
      <c r="C1622" s="10"/>
      <c r="D1622" s="10"/>
      <c r="E1622" s="10"/>
      <c r="F1622" s="11"/>
      <c r="G1622" s="11"/>
      <c r="H1622" s="11"/>
      <c r="I1622" s="11"/>
      <c r="J1622" s="11" t="str">
        <f>IFERROR(__xludf.DUMMYFUNCTION("iferror(if($B1622="""", ,filter(Playoff_Stats!F:Z,Playoff_Stats!A:A=$B1622,Playoff_Stats!B:B=$A1622)))"),"")</f>
        <v/>
      </c>
      <c r="K1622" s="11"/>
      <c r="L1622" s="12"/>
      <c r="M1622" s="11"/>
      <c r="N1622" s="11"/>
      <c r="O1622" s="13"/>
      <c r="P1622" s="14"/>
      <c r="Q1622" s="13"/>
      <c r="R1622" s="13"/>
      <c r="S1622" s="15"/>
      <c r="T1622" s="16"/>
      <c r="U1622" s="16"/>
      <c r="V1622" s="16"/>
      <c r="W1622" s="16"/>
      <c r="X1622" s="16"/>
      <c r="Y1622" s="11"/>
      <c r="Z1622" s="11"/>
      <c r="AA1622" s="11"/>
      <c r="AB1622" s="11"/>
      <c r="AC1622" s="11"/>
      <c r="AD1622" s="11"/>
    </row>
    <row r="1623">
      <c r="A1623" s="10"/>
      <c r="B1623" s="10"/>
      <c r="C1623" s="10"/>
      <c r="D1623" s="10"/>
      <c r="E1623" s="10"/>
      <c r="F1623" s="11"/>
      <c r="G1623" s="11"/>
      <c r="H1623" s="11"/>
      <c r="I1623" s="11"/>
      <c r="J1623" s="11" t="str">
        <f>IFERROR(__xludf.DUMMYFUNCTION("iferror(if($B1623="""", ,filter(Playoff_Stats!F:Z,Playoff_Stats!A:A=$B1623,Playoff_Stats!B:B=$A1623)))"),"")</f>
        <v/>
      </c>
      <c r="K1623" s="11"/>
      <c r="L1623" s="12"/>
      <c r="M1623" s="11"/>
      <c r="N1623" s="11"/>
      <c r="O1623" s="13"/>
      <c r="P1623" s="14"/>
      <c r="Q1623" s="13"/>
      <c r="R1623" s="13"/>
      <c r="S1623" s="15"/>
      <c r="T1623" s="16"/>
      <c r="U1623" s="16"/>
      <c r="V1623" s="16"/>
      <c r="W1623" s="16"/>
      <c r="X1623" s="16"/>
      <c r="Y1623" s="11"/>
      <c r="Z1623" s="11"/>
      <c r="AA1623" s="11"/>
      <c r="AB1623" s="11"/>
      <c r="AC1623" s="11"/>
      <c r="AD1623" s="11"/>
    </row>
    <row r="1624">
      <c r="A1624" s="10"/>
      <c r="B1624" s="10"/>
      <c r="C1624" s="10"/>
      <c r="D1624" s="10"/>
      <c r="E1624" s="10"/>
      <c r="F1624" s="11"/>
      <c r="G1624" s="11"/>
      <c r="H1624" s="11"/>
      <c r="I1624" s="11"/>
      <c r="J1624" s="11" t="str">
        <f>IFERROR(__xludf.DUMMYFUNCTION("iferror(if($B1624="""", ,filter(Playoff_Stats!F:Z,Playoff_Stats!A:A=$B1624,Playoff_Stats!B:B=$A1624)))"),"")</f>
        <v/>
      </c>
      <c r="K1624" s="11"/>
      <c r="L1624" s="12"/>
      <c r="M1624" s="11"/>
      <c r="N1624" s="11"/>
      <c r="O1624" s="13"/>
      <c r="P1624" s="14"/>
      <c r="Q1624" s="13"/>
      <c r="R1624" s="13"/>
      <c r="S1624" s="15"/>
      <c r="T1624" s="16"/>
      <c r="U1624" s="16"/>
      <c r="V1624" s="16"/>
      <c r="W1624" s="16"/>
      <c r="X1624" s="16"/>
      <c r="Y1624" s="11"/>
      <c r="Z1624" s="11"/>
      <c r="AA1624" s="11"/>
      <c r="AB1624" s="11"/>
      <c r="AC1624" s="11"/>
      <c r="AD1624" s="11"/>
    </row>
    <row r="1625">
      <c r="A1625" s="10"/>
      <c r="B1625" s="10"/>
      <c r="C1625" s="10"/>
      <c r="D1625" s="10"/>
      <c r="E1625" s="10"/>
      <c r="F1625" s="11"/>
      <c r="G1625" s="11"/>
      <c r="H1625" s="11"/>
      <c r="I1625" s="11"/>
      <c r="J1625" s="11" t="str">
        <f>IFERROR(__xludf.DUMMYFUNCTION("iferror(if($B1625="""", ,filter(Playoff_Stats!F:Z,Playoff_Stats!A:A=$B1625,Playoff_Stats!B:B=$A1625)))"),"")</f>
        <v/>
      </c>
      <c r="K1625" s="11"/>
      <c r="L1625" s="12"/>
      <c r="M1625" s="11"/>
      <c r="N1625" s="11"/>
      <c r="O1625" s="13"/>
      <c r="P1625" s="14"/>
      <c r="Q1625" s="13"/>
      <c r="R1625" s="13"/>
      <c r="S1625" s="15"/>
      <c r="T1625" s="16"/>
      <c r="U1625" s="16"/>
      <c r="V1625" s="16"/>
      <c r="W1625" s="16"/>
      <c r="X1625" s="16"/>
      <c r="Y1625" s="11"/>
      <c r="Z1625" s="11"/>
      <c r="AA1625" s="11"/>
      <c r="AB1625" s="11"/>
      <c r="AC1625" s="11"/>
      <c r="AD1625" s="11"/>
    </row>
    <row r="1626">
      <c r="A1626" s="10"/>
      <c r="B1626" s="10"/>
      <c r="C1626" s="10"/>
      <c r="D1626" s="10"/>
      <c r="E1626" s="10"/>
      <c r="F1626" s="11"/>
      <c r="G1626" s="11"/>
      <c r="H1626" s="11"/>
      <c r="I1626" s="11"/>
      <c r="J1626" s="11" t="str">
        <f>IFERROR(__xludf.DUMMYFUNCTION("iferror(if($B1626="""", ,filter(Playoff_Stats!F:Z,Playoff_Stats!A:A=$B1626,Playoff_Stats!B:B=$A1626)))"),"")</f>
        <v/>
      </c>
      <c r="K1626" s="11"/>
      <c r="L1626" s="12"/>
      <c r="M1626" s="11"/>
      <c r="N1626" s="11"/>
      <c r="O1626" s="13"/>
      <c r="P1626" s="14"/>
      <c r="Q1626" s="13"/>
      <c r="R1626" s="13"/>
      <c r="S1626" s="15"/>
      <c r="T1626" s="16"/>
      <c r="U1626" s="16"/>
      <c r="V1626" s="16"/>
      <c r="W1626" s="16"/>
      <c r="X1626" s="16"/>
      <c r="Y1626" s="11"/>
      <c r="Z1626" s="11"/>
      <c r="AA1626" s="11"/>
      <c r="AB1626" s="11"/>
      <c r="AC1626" s="11"/>
      <c r="AD1626" s="11"/>
    </row>
    <row r="1627">
      <c r="A1627" s="10"/>
      <c r="B1627" s="10"/>
      <c r="C1627" s="10"/>
      <c r="D1627" s="10"/>
      <c r="E1627" s="10"/>
      <c r="F1627" s="11"/>
      <c r="G1627" s="11"/>
      <c r="H1627" s="11"/>
      <c r="I1627" s="11"/>
      <c r="J1627" s="11" t="str">
        <f>IFERROR(__xludf.DUMMYFUNCTION("iferror(if($B1627="""", ,filter(Playoff_Stats!F:Z,Playoff_Stats!A:A=$B1627,Playoff_Stats!B:B=$A1627)))"),"")</f>
        <v/>
      </c>
      <c r="K1627" s="11"/>
      <c r="L1627" s="12"/>
      <c r="M1627" s="11"/>
      <c r="N1627" s="11"/>
      <c r="O1627" s="13"/>
      <c r="P1627" s="14"/>
      <c r="Q1627" s="13"/>
      <c r="R1627" s="13"/>
      <c r="S1627" s="15"/>
      <c r="T1627" s="16"/>
      <c r="U1627" s="16"/>
      <c r="V1627" s="16"/>
      <c r="W1627" s="16"/>
      <c r="X1627" s="16"/>
      <c r="Y1627" s="11"/>
      <c r="Z1627" s="11"/>
      <c r="AA1627" s="11"/>
      <c r="AB1627" s="11"/>
      <c r="AC1627" s="11"/>
      <c r="AD1627" s="11"/>
    </row>
    <row r="1628">
      <c r="A1628" s="10"/>
      <c r="B1628" s="10"/>
      <c r="C1628" s="10"/>
      <c r="D1628" s="10"/>
      <c r="E1628" s="10"/>
      <c r="F1628" s="11"/>
      <c r="G1628" s="11"/>
      <c r="H1628" s="11"/>
      <c r="I1628" s="11"/>
      <c r="J1628" s="11" t="str">
        <f>IFERROR(__xludf.DUMMYFUNCTION("iferror(if($B1628="""", ,filter(Playoff_Stats!F:Z,Playoff_Stats!A:A=$B1628,Playoff_Stats!B:B=$A1628)))"),"")</f>
        <v/>
      </c>
      <c r="K1628" s="11"/>
      <c r="L1628" s="12"/>
      <c r="M1628" s="11"/>
      <c r="N1628" s="11"/>
      <c r="O1628" s="13"/>
      <c r="P1628" s="14"/>
      <c r="Q1628" s="13"/>
      <c r="R1628" s="13"/>
      <c r="S1628" s="15"/>
      <c r="T1628" s="16"/>
      <c r="U1628" s="16"/>
      <c r="V1628" s="16"/>
      <c r="W1628" s="16"/>
      <c r="X1628" s="16"/>
      <c r="Y1628" s="11"/>
      <c r="Z1628" s="11"/>
      <c r="AA1628" s="11"/>
      <c r="AB1628" s="11"/>
      <c r="AC1628" s="11"/>
      <c r="AD1628" s="11"/>
    </row>
    <row r="1629">
      <c r="A1629" s="10"/>
      <c r="B1629" s="10"/>
      <c r="C1629" s="10"/>
      <c r="D1629" s="10"/>
      <c r="E1629" s="10"/>
      <c r="F1629" s="11"/>
      <c r="G1629" s="11"/>
      <c r="H1629" s="11"/>
      <c r="I1629" s="11"/>
      <c r="J1629" s="11" t="str">
        <f>IFERROR(__xludf.DUMMYFUNCTION("iferror(if($B1629="""", ,filter(Playoff_Stats!F:Z,Playoff_Stats!A:A=$B1629,Playoff_Stats!B:B=$A1629)))"),"")</f>
        <v/>
      </c>
      <c r="K1629" s="11"/>
      <c r="L1629" s="12"/>
      <c r="M1629" s="11"/>
      <c r="N1629" s="11"/>
      <c r="O1629" s="13"/>
      <c r="P1629" s="14"/>
      <c r="Q1629" s="13"/>
      <c r="R1629" s="13"/>
      <c r="S1629" s="15"/>
      <c r="T1629" s="16"/>
      <c r="U1629" s="16"/>
      <c r="V1629" s="16"/>
      <c r="W1629" s="16"/>
      <c r="X1629" s="16"/>
      <c r="Y1629" s="11"/>
      <c r="Z1629" s="11"/>
      <c r="AA1629" s="11"/>
      <c r="AB1629" s="11"/>
      <c r="AC1629" s="11"/>
      <c r="AD1629" s="11"/>
    </row>
    <row r="1630">
      <c r="A1630" s="10"/>
      <c r="B1630" s="10"/>
      <c r="C1630" s="10"/>
      <c r="D1630" s="10"/>
      <c r="E1630" s="10"/>
      <c r="F1630" s="11"/>
      <c r="G1630" s="11"/>
      <c r="H1630" s="11"/>
      <c r="I1630" s="11"/>
      <c r="J1630" s="11" t="str">
        <f>IFERROR(__xludf.DUMMYFUNCTION("iferror(if($B1630="""", ,filter(Playoff_Stats!F:Z,Playoff_Stats!A:A=$B1630,Playoff_Stats!B:B=$A1630)))"),"")</f>
        <v/>
      </c>
      <c r="K1630" s="11"/>
      <c r="L1630" s="12"/>
      <c r="M1630" s="11"/>
      <c r="N1630" s="11"/>
      <c r="O1630" s="13"/>
      <c r="P1630" s="14"/>
      <c r="Q1630" s="13"/>
      <c r="R1630" s="13"/>
      <c r="S1630" s="15"/>
      <c r="T1630" s="16"/>
      <c r="U1630" s="16"/>
      <c r="V1630" s="16"/>
      <c r="W1630" s="16"/>
      <c r="X1630" s="16"/>
      <c r="Y1630" s="11"/>
      <c r="Z1630" s="11"/>
      <c r="AA1630" s="11"/>
      <c r="AB1630" s="11"/>
      <c r="AC1630" s="11"/>
      <c r="AD1630" s="11"/>
    </row>
    <row r="1631">
      <c r="A1631" s="10"/>
      <c r="B1631" s="10"/>
      <c r="C1631" s="10"/>
      <c r="D1631" s="10"/>
      <c r="E1631" s="10"/>
      <c r="F1631" s="11"/>
      <c r="G1631" s="11"/>
      <c r="H1631" s="11"/>
      <c r="I1631" s="11"/>
      <c r="J1631" s="11" t="str">
        <f>IFERROR(__xludf.DUMMYFUNCTION("iferror(if($B1631="""", ,filter(Playoff_Stats!F:Z,Playoff_Stats!A:A=$B1631,Playoff_Stats!B:B=$A1631)))"),"")</f>
        <v/>
      </c>
      <c r="K1631" s="11"/>
      <c r="L1631" s="12"/>
      <c r="M1631" s="11"/>
      <c r="N1631" s="11"/>
      <c r="O1631" s="13"/>
      <c r="P1631" s="14"/>
      <c r="Q1631" s="13"/>
      <c r="R1631" s="13"/>
      <c r="S1631" s="15"/>
      <c r="T1631" s="16"/>
      <c r="U1631" s="16"/>
      <c r="V1631" s="16"/>
      <c r="W1631" s="16"/>
      <c r="X1631" s="16"/>
      <c r="Y1631" s="11"/>
      <c r="Z1631" s="11"/>
      <c r="AA1631" s="11"/>
      <c r="AB1631" s="11"/>
      <c r="AC1631" s="11"/>
      <c r="AD1631" s="11"/>
    </row>
    <row r="1632">
      <c r="A1632" s="10"/>
      <c r="B1632" s="10"/>
      <c r="C1632" s="10"/>
      <c r="D1632" s="10"/>
      <c r="E1632" s="10"/>
      <c r="F1632" s="11"/>
      <c r="G1632" s="11"/>
      <c r="H1632" s="11"/>
      <c r="I1632" s="11"/>
      <c r="J1632" s="11" t="str">
        <f>IFERROR(__xludf.DUMMYFUNCTION("iferror(if($B1632="""", ,filter(Playoff_Stats!F:Z,Playoff_Stats!A:A=$B1632,Playoff_Stats!B:B=$A1632)))"),"")</f>
        <v/>
      </c>
      <c r="K1632" s="11"/>
      <c r="L1632" s="12"/>
      <c r="M1632" s="11"/>
      <c r="N1632" s="11"/>
      <c r="O1632" s="13"/>
      <c r="P1632" s="14"/>
      <c r="Q1632" s="13"/>
      <c r="R1632" s="13"/>
      <c r="S1632" s="15"/>
      <c r="T1632" s="16"/>
      <c r="U1632" s="16"/>
      <c r="V1632" s="16"/>
      <c r="W1632" s="16"/>
      <c r="X1632" s="16"/>
      <c r="Y1632" s="11"/>
      <c r="Z1632" s="11"/>
      <c r="AA1632" s="11"/>
      <c r="AB1632" s="11"/>
      <c r="AC1632" s="11"/>
      <c r="AD1632" s="11"/>
    </row>
    <row r="1633">
      <c r="A1633" s="10"/>
      <c r="B1633" s="10"/>
      <c r="C1633" s="10"/>
      <c r="D1633" s="10"/>
      <c r="E1633" s="10"/>
      <c r="F1633" s="11"/>
      <c r="G1633" s="11"/>
      <c r="H1633" s="11"/>
      <c r="I1633" s="11"/>
      <c r="J1633" s="11" t="str">
        <f>IFERROR(__xludf.DUMMYFUNCTION("iferror(if($B1633="""", ,filter(Playoff_Stats!F:Z,Playoff_Stats!A:A=$B1633,Playoff_Stats!B:B=$A1633)))"),"")</f>
        <v/>
      </c>
      <c r="K1633" s="11"/>
      <c r="L1633" s="12"/>
      <c r="M1633" s="11"/>
      <c r="N1633" s="11"/>
      <c r="O1633" s="13"/>
      <c r="P1633" s="14"/>
      <c r="Q1633" s="13"/>
      <c r="R1633" s="13"/>
      <c r="S1633" s="15"/>
      <c r="T1633" s="16"/>
      <c r="U1633" s="16"/>
      <c r="V1633" s="16"/>
      <c r="W1633" s="16"/>
      <c r="X1633" s="16"/>
      <c r="Y1633" s="11"/>
      <c r="Z1633" s="11"/>
      <c r="AA1633" s="11"/>
      <c r="AB1633" s="11"/>
      <c r="AC1633" s="11"/>
      <c r="AD1633" s="11"/>
    </row>
    <row r="1634">
      <c r="A1634" s="10"/>
      <c r="B1634" s="10"/>
      <c r="C1634" s="10"/>
      <c r="D1634" s="10"/>
      <c r="E1634" s="10"/>
      <c r="F1634" s="11"/>
      <c r="G1634" s="11"/>
      <c r="H1634" s="11"/>
      <c r="I1634" s="11"/>
      <c r="J1634" s="11" t="str">
        <f>IFERROR(__xludf.DUMMYFUNCTION("iferror(if($B1634="""", ,filter(Playoff_Stats!F:Z,Playoff_Stats!A:A=$B1634,Playoff_Stats!B:B=$A1634)))"),"")</f>
        <v/>
      </c>
      <c r="K1634" s="11"/>
      <c r="L1634" s="12"/>
      <c r="M1634" s="11"/>
      <c r="N1634" s="11"/>
      <c r="O1634" s="13"/>
      <c r="P1634" s="14"/>
      <c r="Q1634" s="13"/>
      <c r="R1634" s="13"/>
      <c r="S1634" s="15"/>
      <c r="T1634" s="16"/>
      <c r="U1634" s="16"/>
      <c r="V1634" s="16"/>
      <c r="W1634" s="16"/>
      <c r="X1634" s="16"/>
      <c r="Y1634" s="11"/>
      <c r="Z1634" s="11"/>
      <c r="AA1634" s="11"/>
      <c r="AB1634" s="11"/>
      <c r="AC1634" s="11"/>
      <c r="AD1634" s="11"/>
    </row>
    <row r="1635">
      <c r="A1635" s="10"/>
      <c r="B1635" s="10"/>
      <c r="C1635" s="10"/>
      <c r="D1635" s="10"/>
      <c r="E1635" s="10"/>
      <c r="F1635" s="11"/>
      <c r="G1635" s="11"/>
      <c r="H1635" s="11"/>
      <c r="I1635" s="11"/>
      <c r="J1635" s="11" t="str">
        <f>IFERROR(__xludf.DUMMYFUNCTION("iferror(if($B1635="""", ,filter(Playoff_Stats!F:Z,Playoff_Stats!A:A=$B1635,Playoff_Stats!B:B=$A1635)))"),"")</f>
        <v/>
      </c>
      <c r="K1635" s="11"/>
      <c r="L1635" s="12"/>
      <c r="M1635" s="11"/>
      <c r="N1635" s="11"/>
      <c r="O1635" s="13"/>
      <c r="P1635" s="14"/>
      <c r="Q1635" s="13"/>
      <c r="R1635" s="13"/>
      <c r="S1635" s="15"/>
      <c r="T1635" s="16"/>
      <c r="U1635" s="16"/>
      <c r="V1635" s="16"/>
      <c r="W1635" s="16"/>
      <c r="X1635" s="16"/>
      <c r="Y1635" s="11"/>
      <c r="Z1635" s="11"/>
      <c r="AA1635" s="11"/>
      <c r="AB1635" s="11"/>
      <c r="AC1635" s="11"/>
      <c r="AD1635" s="11"/>
    </row>
    <row r="1636">
      <c r="A1636" s="10"/>
      <c r="B1636" s="10"/>
      <c r="C1636" s="10"/>
      <c r="D1636" s="10"/>
      <c r="E1636" s="10"/>
      <c r="F1636" s="11"/>
      <c r="G1636" s="11"/>
      <c r="H1636" s="11"/>
      <c r="I1636" s="11"/>
      <c r="J1636" s="11" t="str">
        <f>IFERROR(__xludf.DUMMYFUNCTION("iferror(if($B1636="""", ,filter(Playoff_Stats!F:Z,Playoff_Stats!A:A=$B1636,Playoff_Stats!B:B=$A1636)))"),"")</f>
        <v/>
      </c>
      <c r="K1636" s="11"/>
      <c r="L1636" s="12"/>
      <c r="M1636" s="11"/>
      <c r="N1636" s="11"/>
      <c r="O1636" s="13"/>
      <c r="P1636" s="14"/>
      <c r="Q1636" s="13"/>
      <c r="R1636" s="13"/>
      <c r="S1636" s="15"/>
      <c r="T1636" s="16"/>
      <c r="U1636" s="16"/>
      <c r="V1636" s="16"/>
      <c r="W1636" s="16"/>
      <c r="X1636" s="16"/>
      <c r="Y1636" s="11"/>
      <c r="Z1636" s="11"/>
      <c r="AA1636" s="11"/>
      <c r="AB1636" s="11"/>
      <c r="AC1636" s="11"/>
      <c r="AD1636" s="11"/>
    </row>
    <row r="1637">
      <c r="A1637" s="10"/>
      <c r="B1637" s="10"/>
      <c r="C1637" s="10"/>
      <c r="D1637" s="10"/>
      <c r="E1637" s="10"/>
      <c r="F1637" s="11"/>
      <c r="G1637" s="11"/>
      <c r="H1637" s="11"/>
      <c r="I1637" s="11"/>
      <c r="J1637" s="11" t="str">
        <f>IFERROR(__xludf.DUMMYFUNCTION("iferror(if($B1637="""", ,filter(Playoff_Stats!F:Z,Playoff_Stats!A:A=$B1637,Playoff_Stats!B:B=$A1637)))"),"")</f>
        <v/>
      </c>
      <c r="K1637" s="11"/>
      <c r="L1637" s="12"/>
      <c r="M1637" s="11"/>
      <c r="N1637" s="11"/>
      <c r="O1637" s="13"/>
      <c r="P1637" s="14"/>
      <c r="Q1637" s="13"/>
      <c r="R1637" s="13"/>
      <c r="S1637" s="15"/>
      <c r="T1637" s="16"/>
      <c r="U1637" s="16"/>
      <c r="V1637" s="16"/>
      <c r="W1637" s="16"/>
      <c r="X1637" s="16"/>
      <c r="Y1637" s="11"/>
      <c r="Z1637" s="11"/>
      <c r="AA1637" s="11"/>
      <c r="AB1637" s="11"/>
      <c r="AC1637" s="11"/>
      <c r="AD1637" s="11"/>
    </row>
    <row r="1638">
      <c r="A1638" s="10"/>
      <c r="B1638" s="10"/>
      <c r="C1638" s="10"/>
      <c r="D1638" s="10"/>
      <c r="E1638" s="10"/>
      <c r="F1638" s="11"/>
      <c r="G1638" s="11"/>
      <c r="H1638" s="11"/>
      <c r="I1638" s="11"/>
      <c r="J1638" s="11" t="str">
        <f>IFERROR(__xludf.DUMMYFUNCTION("iferror(if($B1638="""", ,filter(Playoff_Stats!F:Z,Playoff_Stats!A:A=$B1638,Playoff_Stats!B:B=$A1638)))"),"")</f>
        <v/>
      </c>
      <c r="K1638" s="11"/>
      <c r="L1638" s="12"/>
      <c r="M1638" s="11"/>
      <c r="N1638" s="11"/>
      <c r="O1638" s="13"/>
      <c r="P1638" s="14"/>
      <c r="Q1638" s="13"/>
      <c r="R1638" s="13"/>
      <c r="S1638" s="15"/>
      <c r="T1638" s="16"/>
      <c r="U1638" s="16"/>
      <c r="V1638" s="16"/>
      <c r="W1638" s="16"/>
      <c r="X1638" s="16"/>
      <c r="Y1638" s="11"/>
      <c r="Z1638" s="11"/>
      <c r="AA1638" s="11"/>
      <c r="AB1638" s="11"/>
      <c r="AC1638" s="11"/>
      <c r="AD1638" s="11"/>
    </row>
    <row r="1639">
      <c r="A1639" s="10"/>
      <c r="B1639" s="10"/>
      <c r="C1639" s="10"/>
      <c r="D1639" s="10"/>
      <c r="E1639" s="10"/>
      <c r="F1639" s="11"/>
      <c r="G1639" s="11"/>
      <c r="H1639" s="11"/>
      <c r="I1639" s="11"/>
      <c r="J1639" s="11" t="str">
        <f>IFERROR(__xludf.DUMMYFUNCTION("iferror(if($B1639="""", ,filter(Playoff_Stats!F:Z,Playoff_Stats!A:A=$B1639,Playoff_Stats!B:B=$A1639)))"),"")</f>
        <v/>
      </c>
      <c r="K1639" s="11"/>
      <c r="L1639" s="12"/>
      <c r="M1639" s="11"/>
      <c r="N1639" s="11"/>
      <c r="O1639" s="13"/>
      <c r="P1639" s="14"/>
      <c r="Q1639" s="13"/>
      <c r="R1639" s="13"/>
      <c r="S1639" s="15"/>
      <c r="T1639" s="16"/>
      <c r="U1639" s="16"/>
      <c r="V1639" s="16"/>
      <c r="W1639" s="16"/>
      <c r="X1639" s="16"/>
      <c r="Y1639" s="11"/>
      <c r="Z1639" s="11"/>
      <c r="AA1639" s="11"/>
      <c r="AB1639" s="11"/>
      <c r="AC1639" s="11"/>
      <c r="AD1639" s="11"/>
    </row>
    <row r="1640">
      <c r="A1640" s="10"/>
      <c r="B1640" s="10"/>
      <c r="C1640" s="10"/>
      <c r="D1640" s="10"/>
      <c r="E1640" s="10"/>
      <c r="F1640" s="11"/>
      <c r="G1640" s="11"/>
      <c r="H1640" s="11"/>
      <c r="I1640" s="11"/>
      <c r="J1640" s="11" t="str">
        <f>IFERROR(__xludf.DUMMYFUNCTION("iferror(if($B1640="""", ,filter(Playoff_Stats!F:Z,Playoff_Stats!A:A=$B1640,Playoff_Stats!B:B=$A1640)))"),"")</f>
        <v/>
      </c>
      <c r="K1640" s="11"/>
      <c r="L1640" s="12"/>
      <c r="M1640" s="11"/>
      <c r="N1640" s="11"/>
      <c r="O1640" s="13"/>
      <c r="P1640" s="14"/>
      <c r="Q1640" s="13"/>
      <c r="R1640" s="13"/>
      <c r="S1640" s="15"/>
      <c r="T1640" s="16"/>
      <c r="U1640" s="16"/>
      <c r="V1640" s="16"/>
      <c r="W1640" s="16"/>
      <c r="X1640" s="16"/>
      <c r="Y1640" s="11"/>
      <c r="Z1640" s="11"/>
      <c r="AA1640" s="11"/>
      <c r="AB1640" s="11"/>
      <c r="AC1640" s="11"/>
      <c r="AD1640" s="11"/>
    </row>
    <row r="1641">
      <c r="A1641" s="10"/>
      <c r="B1641" s="10"/>
      <c r="C1641" s="10"/>
      <c r="D1641" s="10"/>
      <c r="E1641" s="10"/>
      <c r="F1641" s="11"/>
      <c r="G1641" s="11"/>
      <c r="H1641" s="11"/>
      <c r="I1641" s="11"/>
      <c r="J1641" s="11" t="str">
        <f>IFERROR(__xludf.DUMMYFUNCTION("iferror(if($B1641="""", ,filter(Playoff_Stats!F:Z,Playoff_Stats!A:A=$B1641,Playoff_Stats!B:B=$A1641)))"),"")</f>
        <v/>
      </c>
      <c r="K1641" s="11"/>
      <c r="L1641" s="12"/>
      <c r="M1641" s="11"/>
      <c r="N1641" s="11"/>
      <c r="O1641" s="13"/>
      <c r="P1641" s="14"/>
      <c r="Q1641" s="13"/>
      <c r="R1641" s="13"/>
      <c r="S1641" s="15"/>
      <c r="T1641" s="16"/>
      <c r="U1641" s="16"/>
      <c r="V1641" s="16"/>
      <c r="W1641" s="16"/>
      <c r="X1641" s="16"/>
      <c r="Y1641" s="11"/>
      <c r="Z1641" s="11"/>
      <c r="AA1641" s="11"/>
      <c r="AB1641" s="11"/>
      <c r="AC1641" s="11"/>
      <c r="AD1641" s="11"/>
    </row>
    <row r="1642">
      <c r="A1642" s="10"/>
      <c r="B1642" s="10"/>
      <c r="C1642" s="10"/>
      <c r="D1642" s="10"/>
      <c r="E1642" s="10"/>
      <c r="F1642" s="11"/>
      <c r="G1642" s="11"/>
      <c r="H1642" s="11"/>
      <c r="I1642" s="11"/>
      <c r="J1642" s="11" t="str">
        <f>IFERROR(__xludf.DUMMYFUNCTION("iferror(if($B1642="""", ,filter(Playoff_Stats!F:Z,Playoff_Stats!A:A=$B1642,Playoff_Stats!B:B=$A1642)))"),"")</f>
        <v/>
      </c>
      <c r="K1642" s="11"/>
      <c r="L1642" s="12"/>
      <c r="M1642" s="11"/>
      <c r="N1642" s="11"/>
      <c r="O1642" s="13"/>
      <c r="P1642" s="14"/>
      <c r="Q1642" s="13"/>
      <c r="R1642" s="13"/>
      <c r="S1642" s="15"/>
      <c r="T1642" s="16"/>
      <c r="U1642" s="16"/>
      <c r="V1642" s="16"/>
      <c r="W1642" s="16"/>
      <c r="X1642" s="16"/>
      <c r="Y1642" s="11"/>
      <c r="Z1642" s="11"/>
      <c r="AA1642" s="11"/>
      <c r="AB1642" s="11"/>
      <c r="AC1642" s="11"/>
      <c r="AD1642" s="11"/>
    </row>
    <row r="1643">
      <c r="A1643" s="10"/>
      <c r="B1643" s="10"/>
      <c r="C1643" s="10"/>
      <c r="D1643" s="10"/>
      <c r="E1643" s="10"/>
      <c r="F1643" s="11"/>
      <c r="G1643" s="11"/>
      <c r="H1643" s="11"/>
      <c r="I1643" s="11"/>
      <c r="J1643" s="11" t="str">
        <f>IFERROR(__xludf.DUMMYFUNCTION("iferror(if($B1643="""", ,filter(Playoff_Stats!F:Z,Playoff_Stats!A:A=$B1643,Playoff_Stats!B:B=$A1643)))"),"")</f>
        <v/>
      </c>
      <c r="K1643" s="11"/>
      <c r="L1643" s="12"/>
      <c r="M1643" s="11"/>
      <c r="N1643" s="11"/>
      <c r="O1643" s="13"/>
      <c r="P1643" s="14"/>
      <c r="Q1643" s="13"/>
      <c r="R1643" s="13"/>
      <c r="S1643" s="15"/>
      <c r="T1643" s="16"/>
      <c r="U1643" s="16"/>
      <c r="V1643" s="16"/>
      <c r="W1643" s="16"/>
      <c r="X1643" s="16"/>
      <c r="Y1643" s="11"/>
      <c r="Z1643" s="11"/>
      <c r="AA1643" s="11"/>
      <c r="AB1643" s="11"/>
      <c r="AC1643" s="11"/>
      <c r="AD1643" s="11"/>
    </row>
    <row r="1644">
      <c r="A1644" s="10"/>
      <c r="B1644" s="10"/>
      <c r="C1644" s="10"/>
      <c r="D1644" s="10"/>
      <c r="E1644" s="10"/>
      <c r="F1644" s="11"/>
      <c r="G1644" s="11"/>
      <c r="H1644" s="11"/>
      <c r="I1644" s="11"/>
      <c r="J1644" s="11" t="str">
        <f>IFERROR(__xludf.DUMMYFUNCTION("iferror(if($B1644="""", ,filter(Playoff_Stats!F:Z,Playoff_Stats!A:A=$B1644,Playoff_Stats!B:B=$A1644)))"),"")</f>
        <v/>
      </c>
      <c r="K1644" s="11"/>
      <c r="L1644" s="12"/>
      <c r="M1644" s="11"/>
      <c r="N1644" s="11"/>
      <c r="O1644" s="13"/>
      <c r="P1644" s="14"/>
      <c r="Q1644" s="13"/>
      <c r="R1644" s="13"/>
      <c r="S1644" s="15"/>
      <c r="T1644" s="16"/>
      <c r="U1644" s="16"/>
      <c r="V1644" s="16"/>
      <c r="W1644" s="16"/>
      <c r="X1644" s="16"/>
      <c r="Y1644" s="11"/>
      <c r="Z1644" s="11"/>
      <c r="AA1644" s="11"/>
      <c r="AB1644" s="11"/>
      <c r="AC1644" s="11"/>
      <c r="AD1644" s="11"/>
    </row>
    <row r="1645">
      <c r="A1645" s="10"/>
      <c r="B1645" s="10"/>
      <c r="C1645" s="10"/>
      <c r="D1645" s="10"/>
      <c r="E1645" s="10"/>
      <c r="F1645" s="11"/>
      <c r="G1645" s="11"/>
      <c r="H1645" s="11"/>
      <c r="I1645" s="11"/>
      <c r="J1645" s="11" t="str">
        <f>IFERROR(__xludf.DUMMYFUNCTION("iferror(if($B1645="""", ,filter(Playoff_Stats!F:Z,Playoff_Stats!A:A=$B1645,Playoff_Stats!B:B=$A1645)))"),"")</f>
        <v/>
      </c>
      <c r="K1645" s="11"/>
      <c r="L1645" s="12"/>
      <c r="M1645" s="11"/>
      <c r="N1645" s="11"/>
      <c r="O1645" s="13"/>
      <c r="P1645" s="14"/>
      <c r="Q1645" s="13"/>
      <c r="R1645" s="13"/>
      <c r="S1645" s="15"/>
      <c r="T1645" s="16"/>
      <c r="U1645" s="16"/>
      <c r="V1645" s="16"/>
      <c r="W1645" s="16"/>
      <c r="X1645" s="16"/>
      <c r="Y1645" s="11"/>
      <c r="Z1645" s="11"/>
      <c r="AA1645" s="11"/>
      <c r="AB1645" s="11"/>
      <c r="AC1645" s="11"/>
      <c r="AD1645" s="11"/>
    </row>
    <row r="1646">
      <c r="A1646" s="10"/>
      <c r="B1646" s="10"/>
      <c r="C1646" s="10"/>
      <c r="D1646" s="10"/>
      <c r="E1646" s="10"/>
      <c r="F1646" s="11"/>
      <c r="G1646" s="11"/>
      <c r="H1646" s="11"/>
      <c r="I1646" s="11"/>
      <c r="J1646" s="11" t="str">
        <f>IFERROR(__xludf.DUMMYFUNCTION("iferror(if($B1646="""", ,filter(Playoff_Stats!F:Z,Playoff_Stats!A:A=$B1646,Playoff_Stats!B:B=$A1646)))"),"")</f>
        <v/>
      </c>
      <c r="K1646" s="11"/>
      <c r="L1646" s="12"/>
      <c r="M1646" s="11"/>
      <c r="N1646" s="11"/>
      <c r="O1646" s="13"/>
      <c r="P1646" s="14"/>
      <c r="Q1646" s="13"/>
      <c r="R1646" s="13"/>
      <c r="S1646" s="15"/>
      <c r="T1646" s="16"/>
      <c r="U1646" s="16"/>
      <c r="V1646" s="16"/>
      <c r="W1646" s="16"/>
      <c r="X1646" s="16"/>
      <c r="Y1646" s="11"/>
      <c r="Z1646" s="11"/>
      <c r="AA1646" s="11"/>
      <c r="AB1646" s="11"/>
      <c r="AC1646" s="11"/>
      <c r="AD1646" s="11"/>
    </row>
    <row r="1647">
      <c r="A1647" s="10"/>
      <c r="B1647" s="10"/>
      <c r="C1647" s="10"/>
      <c r="D1647" s="10"/>
      <c r="E1647" s="10"/>
      <c r="F1647" s="11"/>
      <c r="G1647" s="11"/>
      <c r="H1647" s="11"/>
      <c r="I1647" s="11"/>
      <c r="J1647" s="11" t="str">
        <f>IFERROR(__xludf.DUMMYFUNCTION("iferror(if($B1647="""", ,filter(Playoff_Stats!F:Z,Playoff_Stats!A:A=$B1647,Playoff_Stats!B:B=$A1647)))"),"")</f>
        <v/>
      </c>
      <c r="K1647" s="11"/>
      <c r="L1647" s="12"/>
      <c r="M1647" s="11"/>
      <c r="N1647" s="11"/>
      <c r="O1647" s="13"/>
      <c r="P1647" s="14"/>
      <c r="Q1647" s="13"/>
      <c r="R1647" s="13"/>
      <c r="S1647" s="15"/>
      <c r="T1647" s="16"/>
      <c r="U1647" s="16"/>
      <c r="V1647" s="16"/>
      <c r="W1647" s="16"/>
      <c r="X1647" s="16"/>
      <c r="Y1647" s="11"/>
      <c r="Z1647" s="11"/>
      <c r="AA1647" s="11"/>
      <c r="AB1647" s="11"/>
      <c r="AC1647" s="11"/>
      <c r="AD1647" s="11"/>
    </row>
    <row r="1648">
      <c r="A1648" s="10"/>
      <c r="B1648" s="10"/>
      <c r="C1648" s="10"/>
      <c r="D1648" s="10"/>
      <c r="E1648" s="10"/>
      <c r="F1648" s="11"/>
      <c r="G1648" s="11"/>
      <c r="H1648" s="11"/>
      <c r="I1648" s="11"/>
      <c r="J1648" s="11" t="str">
        <f>IFERROR(__xludf.DUMMYFUNCTION("iferror(if($B1648="""", ,filter(Playoff_Stats!F:Z,Playoff_Stats!A:A=$B1648,Playoff_Stats!B:B=$A1648)))"),"")</f>
        <v/>
      </c>
      <c r="K1648" s="11"/>
      <c r="L1648" s="12"/>
      <c r="M1648" s="11"/>
      <c r="N1648" s="11"/>
      <c r="O1648" s="13"/>
      <c r="P1648" s="14"/>
      <c r="Q1648" s="13"/>
      <c r="R1648" s="13"/>
      <c r="S1648" s="15"/>
      <c r="T1648" s="16"/>
      <c r="U1648" s="16"/>
      <c r="V1648" s="16"/>
      <c r="W1648" s="16"/>
      <c r="X1648" s="16"/>
      <c r="Y1648" s="11"/>
      <c r="Z1648" s="11"/>
      <c r="AA1648" s="11"/>
      <c r="AB1648" s="11"/>
      <c r="AC1648" s="11"/>
      <c r="AD1648" s="11"/>
    </row>
    <row r="1649">
      <c r="A1649" s="10"/>
      <c r="B1649" s="10"/>
      <c r="C1649" s="10"/>
      <c r="D1649" s="10"/>
      <c r="E1649" s="10"/>
      <c r="F1649" s="11"/>
      <c r="G1649" s="11"/>
      <c r="H1649" s="11"/>
      <c r="I1649" s="11"/>
      <c r="J1649" s="11" t="str">
        <f>IFERROR(__xludf.DUMMYFUNCTION("iferror(if($B1649="""", ,filter(Playoff_Stats!F:Z,Playoff_Stats!A:A=$B1649,Playoff_Stats!B:B=$A1649)))"),"")</f>
        <v/>
      </c>
      <c r="K1649" s="11"/>
      <c r="L1649" s="12"/>
      <c r="M1649" s="11"/>
      <c r="N1649" s="11"/>
      <c r="O1649" s="13"/>
      <c r="P1649" s="14"/>
      <c r="Q1649" s="13"/>
      <c r="R1649" s="13"/>
      <c r="S1649" s="15"/>
      <c r="T1649" s="16"/>
      <c r="U1649" s="16"/>
      <c r="V1649" s="16"/>
      <c r="W1649" s="16"/>
      <c r="X1649" s="16"/>
      <c r="Y1649" s="11"/>
      <c r="Z1649" s="11"/>
      <c r="AA1649" s="11"/>
      <c r="AB1649" s="11"/>
      <c r="AC1649" s="11"/>
      <c r="AD1649" s="11"/>
    </row>
    <row r="1650">
      <c r="A1650" s="10"/>
      <c r="B1650" s="10"/>
      <c r="C1650" s="10"/>
      <c r="D1650" s="10"/>
      <c r="E1650" s="10"/>
      <c r="F1650" s="11"/>
      <c r="G1650" s="11"/>
      <c r="H1650" s="11"/>
      <c r="I1650" s="11"/>
      <c r="J1650" s="11" t="str">
        <f>IFERROR(__xludf.DUMMYFUNCTION("iferror(if($B1650="""", ,filter(Playoff_Stats!F:Z,Playoff_Stats!A:A=$B1650,Playoff_Stats!B:B=$A1650)))"),"")</f>
        <v/>
      </c>
      <c r="K1650" s="11"/>
      <c r="L1650" s="12"/>
      <c r="M1650" s="11"/>
      <c r="N1650" s="11"/>
      <c r="O1650" s="13"/>
      <c r="P1650" s="14"/>
      <c r="Q1650" s="13"/>
      <c r="R1650" s="13"/>
      <c r="S1650" s="15"/>
      <c r="T1650" s="16"/>
      <c r="U1650" s="16"/>
      <c r="V1650" s="16"/>
      <c r="W1650" s="16"/>
      <c r="X1650" s="16"/>
      <c r="Y1650" s="11"/>
      <c r="Z1650" s="11"/>
      <c r="AA1650" s="11"/>
      <c r="AB1650" s="11"/>
      <c r="AC1650" s="11"/>
      <c r="AD1650" s="11"/>
    </row>
    <row r="1651">
      <c r="A1651" s="10"/>
      <c r="B1651" s="10"/>
      <c r="C1651" s="10"/>
      <c r="D1651" s="10"/>
      <c r="E1651" s="10"/>
      <c r="F1651" s="11"/>
      <c r="G1651" s="11"/>
      <c r="H1651" s="11"/>
      <c r="I1651" s="11"/>
      <c r="J1651" s="11" t="str">
        <f>IFERROR(__xludf.DUMMYFUNCTION("iferror(if($B1651="""", ,filter(Playoff_Stats!F:Z,Playoff_Stats!A:A=$B1651,Playoff_Stats!B:B=$A1651)))"),"")</f>
        <v/>
      </c>
      <c r="K1651" s="11"/>
      <c r="L1651" s="12"/>
      <c r="M1651" s="11"/>
      <c r="N1651" s="11"/>
      <c r="O1651" s="13"/>
      <c r="P1651" s="14"/>
      <c r="Q1651" s="13"/>
      <c r="R1651" s="13"/>
      <c r="S1651" s="15"/>
      <c r="T1651" s="16"/>
      <c r="U1651" s="16"/>
      <c r="V1651" s="16"/>
      <c r="W1651" s="16"/>
      <c r="X1651" s="16"/>
      <c r="Y1651" s="11"/>
      <c r="Z1651" s="11"/>
      <c r="AA1651" s="11"/>
      <c r="AB1651" s="11"/>
      <c r="AC1651" s="11"/>
      <c r="AD1651" s="11"/>
    </row>
    <row r="1652">
      <c r="A1652" s="10"/>
      <c r="B1652" s="10"/>
      <c r="C1652" s="10"/>
      <c r="D1652" s="10"/>
      <c r="E1652" s="10"/>
      <c r="F1652" s="11"/>
      <c r="G1652" s="11"/>
      <c r="H1652" s="11"/>
      <c r="I1652" s="11"/>
      <c r="J1652" s="11" t="str">
        <f>IFERROR(__xludf.DUMMYFUNCTION("iferror(if($B1652="""", ,filter(Playoff_Stats!F:Z,Playoff_Stats!A:A=$B1652,Playoff_Stats!B:B=$A1652)))"),"")</f>
        <v/>
      </c>
      <c r="K1652" s="11"/>
      <c r="L1652" s="12"/>
      <c r="M1652" s="11"/>
      <c r="N1652" s="11"/>
      <c r="O1652" s="13"/>
      <c r="P1652" s="14"/>
      <c r="Q1652" s="13"/>
      <c r="R1652" s="13"/>
      <c r="S1652" s="15"/>
      <c r="T1652" s="16"/>
      <c r="U1652" s="16"/>
      <c r="V1652" s="16"/>
      <c r="W1652" s="16"/>
      <c r="X1652" s="16"/>
      <c r="Y1652" s="11"/>
      <c r="Z1652" s="11"/>
      <c r="AA1652" s="11"/>
      <c r="AB1652" s="11"/>
      <c r="AC1652" s="11"/>
      <c r="AD1652" s="11"/>
    </row>
    <row r="1653">
      <c r="A1653" s="10"/>
      <c r="B1653" s="10"/>
      <c r="C1653" s="10"/>
      <c r="D1653" s="10"/>
      <c r="E1653" s="10"/>
      <c r="F1653" s="11"/>
      <c r="G1653" s="11"/>
      <c r="H1653" s="11"/>
      <c r="I1653" s="11"/>
      <c r="J1653" s="11" t="str">
        <f>IFERROR(__xludf.DUMMYFUNCTION("iferror(if($B1653="""", ,filter(Playoff_Stats!F:Z,Playoff_Stats!A:A=$B1653,Playoff_Stats!B:B=$A1653)))"),"")</f>
        <v/>
      </c>
      <c r="K1653" s="11"/>
      <c r="L1653" s="12"/>
      <c r="M1653" s="11"/>
      <c r="N1653" s="11"/>
      <c r="O1653" s="13"/>
      <c r="P1653" s="14"/>
      <c r="Q1653" s="13"/>
      <c r="R1653" s="13"/>
      <c r="S1653" s="15"/>
      <c r="T1653" s="16"/>
      <c r="U1653" s="16"/>
      <c r="V1653" s="16"/>
      <c r="W1653" s="16"/>
      <c r="X1653" s="16"/>
      <c r="Y1653" s="11"/>
      <c r="Z1653" s="11"/>
      <c r="AA1653" s="11"/>
      <c r="AB1653" s="11"/>
      <c r="AC1653" s="11"/>
      <c r="AD1653" s="11"/>
    </row>
    <row r="1654">
      <c r="A1654" s="10"/>
      <c r="B1654" s="10"/>
      <c r="C1654" s="10"/>
      <c r="D1654" s="10"/>
      <c r="E1654" s="10"/>
      <c r="F1654" s="11"/>
      <c r="G1654" s="11"/>
      <c r="H1654" s="11"/>
      <c r="I1654" s="11"/>
      <c r="J1654" s="11" t="str">
        <f>IFERROR(__xludf.DUMMYFUNCTION("iferror(if($B1654="""", ,filter(Playoff_Stats!F:Z,Playoff_Stats!A:A=$B1654,Playoff_Stats!B:B=$A1654)))"),"")</f>
        <v/>
      </c>
      <c r="K1654" s="11"/>
      <c r="L1654" s="12"/>
      <c r="M1654" s="11"/>
      <c r="N1654" s="11"/>
      <c r="O1654" s="13"/>
      <c r="P1654" s="14"/>
      <c r="Q1654" s="13"/>
      <c r="R1654" s="13"/>
      <c r="S1654" s="15"/>
      <c r="T1654" s="16"/>
      <c r="U1654" s="16"/>
      <c r="V1654" s="16"/>
      <c r="W1654" s="16"/>
      <c r="X1654" s="16"/>
      <c r="Y1654" s="11"/>
      <c r="Z1654" s="11"/>
      <c r="AA1654" s="11"/>
      <c r="AB1654" s="11"/>
      <c r="AC1654" s="11"/>
      <c r="AD1654" s="11"/>
    </row>
    <row r="1655">
      <c r="A1655" s="10"/>
      <c r="B1655" s="10"/>
      <c r="C1655" s="10"/>
      <c r="D1655" s="10"/>
      <c r="E1655" s="10"/>
      <c r="F1655" s="11"/>
      <c r="G1655" s="11"/>
      <c r="H1655" s="11"/>
      <c r="I1655" s="11"/>
      <c r="J1655" s="11" t="str">
        <f>IFERROR(__xludf.DUMMYFUNCTION("iferror(if($B1655="""", ,filter(Playoff_Stats!F:Z,Playoff_Stats!A:A=$B1655,Playoff_Stats!B:B=$A1655)))"),"")</f>
        <v/>
      </c>
      <c r="K1655" s="11"/>
      <c r="L1655" s="12"/>
      <c r="M1655" s="11"/>
      <c r="N1655" s="11"/>
      <c r="O1655" s="13"/>
      <c r="P1655" s="14"/>
      <c r="Q1655" s="13"/>
      <c r="R1655" s="13"/>
      <c r="S1655" s="15"/>
      <c r="T1655" s="16"/>
      <c r="U1655" s="16"/>
      <c r="V1655" s="16"/>
      <c r="W1655" s="16"/>
      <c r="X1655" s="16"/>
      <c r="Y1655" s="11"/>
      <c r="Z1655" s="11"/>
      <c r="AA1655" s="11"/>
      <c r="AB1655" s="11"/>
      <c r="AC1655" s="11"/>
      <c r="AD1655" s="11"/>
    </row>
    <row r="1656">
      <c r="A1656" s="10"/>
      <c r="B1656" s="10"/>
      <c r="C1656" s="10"/>
      <c r="D1656" s="10"/>
      <c r="E1656" s="10"/>
      <c r="F1656" s="11"/>
      <c r="G1656" s="11"/>
      <c r="H1656" s="11"/>
      <c r="I1656" s="11"/>
      <c r="J1656" s="11" t="str">
        <f>IFERROR(__xludf.DUMMYFUNCTION("iferror(if($B1656="""", ,filter(Playoff_Stats!F:Z,Playoff_Stats!A:A=$B1656,Playoff_Stats!B:B=$A1656)))"),"")</f>
        <v/>
      </c>
      <c r="K1656" s="11"/>
      <c r="L1656" s="12"/>
      <c r="M1656" s="11"/>
      <c r="N1656" s="11"/>
      <c r="O1656" s="13"/>
      <c r="P1656" s="14"/>
      <c r="Q1656" s="13"/>
      <c r="R1656" s="13"/>
      <c r="S1656" s="15"/>
      <c r="T1656" s="16"/>
      <c r="U1656" s="16"/>
      <c r="V1656" s="16"/>
      <c r="W1656" s="16"/>
      <c r="X1656" s="16"/>
      <c r="Y1656" s="11"/>
      <c r="Z1656" s="11"/>
      <c r="AA1656" s="11"/>
      <c r="AB1656" s="11"/>
      <c r="AC1656" s="11"/>
      <c r="AD1656" s="11"/>
    </row>
    <row r="1657">
      <c r="A1657" s="10"/>
      <c r="B1657" s="10"/>
      <c r="C1657" s="10"/>
      <c r="D1657" s="10"/>
      <c r="E1657" s="10"/>
      <c r="F1657" s="11"/>
      <c r="G1657" s="11"/>
      <c r="H1657" s="11"/>
      <c r="I1657" s="11"/>
      <c r="J1657" s="11" t="str">
        <f>IFERROR(__xludf.DUMMYFUNCTION("iferror(if($B1657="""", ,filter(Playoff_Stats!F:Z,Playoff_Stats!A:A=$B1657,Playoff_Stats!B:B=$A1657)))"),"")</f>
        <v/>
      </c>
      <c r="K1657" s="11"/>
      <c r="L1657" s="12"/>
      <c r="M1657" s="11"/>
      <c r="N1657" s="11"/>
      <c r="O1657" s="13"/>
      <c r="P1657" s="14"/>
      <c r="Q1657" s="13"/>
      <c r="R1657" s="13"/>
      <c r="S1657" s="15"/>
      <c r="T1657" s="16"/>
      <c r="U1657" s="16"/>
      <c r="V1657" s="16"/>
      <c r="W1657" s="16"/>
      <c r="X1657" s="16"/>
      <c r="Y1657" s="11"/>
      <c r="Z1657" s="11"/>
      <c r="AA1657" s="11"/>
      <c r="AB1657" s="11"/>
      <c r="AC1657" s="11"/>
      <c r="AD1657" s="11"/>
    </row>
    <row r="1658">
      <c r="A1658" s="10"/>
      <c r="B1658" s="10"/>
      <c r="C1658" s="10"/>
      <c r="D1658" s="10"/>
      <c r="E1658" s="10"/>
      <c r="F1658" s="11"/>
      <c r="G1658" s="11"/>
      <c r="H1658" s="11"/>
      <c r="I1658" s="11"/>
      <c r="J1658" s="11" t="str">
        <f>IFERROR(__xludf.DUMMYFUNCTION("iferror(if($B1658="""", ,filter(Playoff_Stats!F:Z,Playoff_Stats!A:A=$B1658,Playoff_Stats!B:B=$A1658)))"),"")</f>
        <v/>
      </c>
      <c r="K1658" s="11"/>
      <c r="L1658" s="12"/>
      <c r="M1658" s="11"/>
      <c r="N1658" s="11"/>
      <c r="O1658" s="13"/>
      <c r="P1658" s="14"/>
      <c r="Q1658" s="13"/>
      <c r="R1658" s="13"/>
      <c r="S1658" s="15"/>
      <c r="T1658" s="16"/>
      <c r="U1658" s="16"/>
      <c r="V1658" s="16"/>
      <c r="W1658" s="16"/>
      <c r="X1658" s="16"/>
      <c r="Y1658" s="11"/>
      <c r="Z1658" s="11"/>
      <c r="AA1658" s="11"/>
      <c r="AB1658" s="11"/>
      <c r="AC1658" s="11"/>
      <c r="AD1658" s="11"/>
    </row>
    <row r="1659">
      <c r="A1659" s="10"/>
      <c r="B1659" s="10"/>
      <c r="C1659" s="10"/>
      <c r="D1659" s="10"/>
      <c r="E1659" s="10"/>
      <c r="F1659" s="11"/>
      <c r="G1659" s="11"/>
      <c r="H1659" s="11"/>
      <c r="I1659" s="11"/>
      <c r="J1659" s="11" t="str">
        <f>IFERROR(__xludf.DUMMYFUNCTION("iferror(if($B1659="""", ,filter(Playoff_Stats!F:Z,Playoff_Stats!A:A=$B1659,Playoff_Stats!B:B=$A1659)))"),"")</f>
        <v/>
      </c>
      <c r="K1659" s="11"/>
      <c r="L1659" s="12"/>
      <c r="M1659" s="11"/>
      <c r="N1659" s="11"/>
      <c r="O1659" s="13"/>
      <c r="P1659" s="14"/>
      <c r="Q1659" s="13"/>
      <c r="R1659" s="13"/>
      <c r="S1659" s="15"/>
      <c r="T1659" s="16"/>
      <c r="U1659" s="16"/>
      <c r="V1659" s="16"/>
      <c r="W1659" s="16"/>
      <c r="X1659" s="16"/>
      <c r="Y1659" s="11"/>
      <c r="Z1659" s="11"/>
      <c r="AA1659" s="11"/>
      <c r="AB1659" s="11"/>
      <c r="AC1659" s="11"/>
      <c r="AD1659" s="11"/>
    </row>
    <row r="1660">
      <c r="A1660" s="10"/>
      <c r="B1660" s="10"/>
      <c r="C1660" s="10"/>
      <c r="D1660" s="10"/>
      <c r="E1660" s="10"/>
      <c r="F1660" s="11"/>
      <c r="G1660" s="11"/>
      <c r="H1660" s="11"/>
      <c r="I1660" s="11"/>
      <c r="J1660" s="11" t="str">
        <f>IFERROR(__xludf.DUMMYFUNCTION("iferror(if($B1660="""", ,filter(Playoff_Stats!F:Z,Playoff_Stats!A:A=$B1660,Playoff_Stats!B:B=$A1660)))"),"")</f>
        <v/>
      </c>
      <c r="K1660" s="11"/>
      <c r="L1660" s="12"/>
      <c r="M1660" s="11"/>
      <c r="N1660" s="11"/>
      <c r="O1660" s="13"/>
      <c r="P1660" s="14"/>
      <c r="Q1660" s="13"/>
      <c r="R1660" s="13"/>
      <c r="S1660" s="15"/>
      <c r="T1660" s="16"/>
      <c r="U1660" s="16"/>
      <c r="V1660" s="16"/>
      <c r="W1660" s="16"/>
      <c r="X1660" s="16"/>
      <c r="Y1660" s="11"/>
      <c r="Z1660" s="11"/>
      <c r="AA1660" s="11"/>
      <c r="AB1660" s="11"/>
      <c r="AC1660" s="11"/>
      <c r="AD1660" s="11"/>
    </row>
    <row r="1661">
      <c r="A1661" s="10"/>
      <c r="B1661" s="10"/>
      <c r="C1661" s="10"/>
      <c r="D1661" s="10"/>
      <c r="E1661" s="10"/>
      <c r="F1661" s="11"/>
      <c r="G1661" s="11"/>
      <c r="H1661" s="11"/>
      <c r="I1661" s="11"/>
      <c r="J1661" s="11" t="str">
        <f>IFERROR(__xludf.DUMMYFUNCTION("iferror(if($B1661="""", ,filter(Playoff_Stats!F:Z,Playoff_Stats!A:A=$B1661,Playoff_Stats!B:B=$A1661)))"),"")</f>
        <v/>
      </c>
      <c r="K1661" s="11"/>
      <c r="L1661" s="12"/>
      <c r="M1661" s="11"/>
      <c r="N1661" s="11"/>
      <c r="O1661" s="13"/>
      <c r="P1661" s="14"/>
      <c r="Q1661" s="13"/>
      <c r="R1661" s="13"/>
      <c r="S1661" s="15"/>
      <c r="T1661" s="16"/>
      <c r="U1661" s="16"/>
      <c r="V1661" s="16"/>
      <c r="W1661" s="16"/>
      <c r="X1661" s="16"/>
      <c r="Y1661" s="11"/>
      <c r="Z1661" s="11"/>
      <c r="AA1661" s="11"/>
      <c r="AB1661" s="11"/>
      <c r="AC1661" s="11"/>
      <c r="AD1661" s="11"/>
    </row>
    <row r="1662">
      <c r="A1662" s="10"/>
      <c r="B1662" s="10"/>
      <c r="C1662" s="10"/>
      <c r="D1662" s="10"/>
      <c r="E1662" s="10"/>
      <c r="F1662" s="11"/>
      <c r="G1662" s="11"/>
      <c r="H1662" s="11"/>
      <c r="I1662" s="11"/>
      <c r="J1662" s="11" t="str">
        <f>IFERROR(__xludf.DUMMYFUNCTION("iferror(if($B1662="""", ,filter(Playoff_Stats!F:Z,Playoff_Stats!A:A=$B1662,Playoff_Stats!B:B=$A1662)))"),"")</f>
        <v/>
      </c>
      <c r="K1662" s="11"/>
      <c r="L1662" s="12"/>
      <c r="M1662" s="11"/>
      <c r="N1662" s="11"/>
      <c r="O1662" s="13"/>
      <c r="P1662" s="14"/>
      <c r="Q1662" s="13"/>
      <c r="R1662" s="13"/>
      <c r="S1662" s="15"/>
      <c r="T1662" s="16"/>
      <c r="U1662" s="16"/>
      <c r="V1662" s="16"/>
      <c r="W1662" s="16"/>
      <c r="X1662" s="16"/>
      <c r="Y1662" s="11"/>
      <c r="Z1662" s="11"/>
      <c r="AA1662" s="11"/>
      <c r="AB1662" s="11"/>
      <c r="AC1662" s="11"/>
      <c r="AD1662" s="11"/>
    </row>
    <row r="1663">
      <c r="A1663" s="10"/>
      <c r="B1663" s="10"/>
      <c r="C1663" s="10"/>
      <c r="D1663" s="10"/>
      <c r="E1663" s="10"/>
      <c r="F1663" s="11"/>
      <c r="G1663" s="11"/>
      <c r="H1663" s="11"/>
      <c r="I1663" s="11"/>
      <c r="J1663" s="11" t="str">
        <f>IFERROR(__xludf.DUMMYFUNCTION("iferror(if($B1663="""", ,filter(Playoff_Stats!F:Z,Playoff_Stats!A:A=$B1663,Playoff_Stats!B:B=$A1663)))"),"")</f>
        <v/>
      </c>
      <c r="K1663" s="11"/>
      <c r="L1663" s="12"/>
      <c r="M1663" s="11"/>
      <c r="N1663" s="11"/>
      <c r="O1663" s="13"/>
      <c r="P1663" s="14"/>
      <c r="Q1663" s="13"/>
      <c r="R1663" s="13"/>
      <c r="S1663" s="15"/>
      <c r="T1663" s="16"/>
      <c r="U1663" s="16"/>
      <c r="V1663" s="16"/>
      <c r="W1663" s="16"/>
      <c r="X1663" s="16"/>
      <c r="Y1663" s="11"/>
      <c r="Z1663" s="11"/>
      <c r="AA1663" s="11"/>
      <c r="AB1663" s="11"/>
      <c r="AC1663" s="11"/>
      <c r="AD1663" s="11"/>
    </row>
    <row r="1664">
      <c r="A1664" s="10"/>
      <c r="B1664" s="10"/>
      <c r="C1664" s="10"/>
      <c r="D1664" s="10"/>
      <c r="E1664" s="10"/>
      <c r="F1664" s="11"/>
      <c r="G1664" s="11"/>
      <c r="H1664" s="11"/>
      <c r="I1664" s="11"/>
      <c r="J1664" s="11" t="str">
        <f>IFERROR(__xludf.DUMMYFUNCTION("iferror(if($B1664="""", ,filter(Playoff_Stats!F:Z,Playoff_Stats!A:A=$B1664,Playoff_Stats!B:B=$A1664)))"),"")</f>
        <v/>
      </c>
      <c r="K1664" s="11"/>
      <c r="L1664" s="12"/>
      <c r="M1664" s="11"/>
      <c r="N1664" s="11"/>
      <c r="O1664" s="13"/>
      <c r="P1664" s="14"/>
      <c r="Q1664" s="13"/>
      <c r="R1664" s="13"/>
      <c r="S1664" s="15"/>
      <c r="T1664" s="16"/>
      <c r="U1664" s="16"/>
      <c r="V1664" s="16"/>
      <c r="W1664" s="16"/>
      <c r="X1664" s="16"/>
      <c r="Y1664" s="11"/>
      <c r="Z1664" s="11"/>
      <c r="AA1664" s="11"/>
      <c r="AB1664" s="11"/>
      <c r="AC1664" s="11"/>
      <c r="AD1664" s="11"/>
    </row>
    <row r="1665">
      <c r="A1665" s="10"/>
      <c r="B1665" s="10"/>
      <c r="C1665" s="10"/>
      <c r="D1665" s="10"/>
      <c r="E1665" s="10"/>
      <c r="F1665" s="11"/>
      <c r="G1665" s="11"/>
      <c r="H1665" s="11"/>
      <c r="I1665" s="11"/>
      <c r="J1665" s="11" t="str">
        <f>IFERROR(__xludf.DUMMYFUNCTION("iferror(if($B1665="""", ,filter(Playoff_Stats!F:Z,Playoff_Stats!A:A=$B1665,Playoff_Stats!B:B=$A1665)))"),"")</f>
        <v/>
      </c>
      <c r="K1665" s="11"/>
      <c r="L1665" s="12"/>
      <c r="M1665" s="11"/>
      <c r="N1665" s="11"/>
      <c r="O1665" s="13"/>
      <c r="P1665" s="14"/>
      <c r="Q1665" s="13"/>
      <c r="R1665" s="13"/>
      <c r="S1665" s="15"/>
      <c r="T1665" s="16"/>
      <c r="U1665" s="16"/>
      <c r="V1665" s="16"/>
      <c r="W1665" s="16"/>
      <c r="X1665" s="16"/>
      <c r="Y1665" s="11"/>
      <c r="Z1665" s="11"/>
      <c r="AA1665" s="11"/>
      <c r="AB1665" s="11"/>
      <c r="AC1665" s="11"/>
      <c r="AD1665" s="11"/>
    </row>
    <row r="1666">
      <c r="A1666" s="10"/>
      <c r="B1666" s="10"/>
      <c r="C1666" s="10"/>
      <c r="D1666" s="10"/>
      <c r="E1666" s="10"/>
      <c r="F1666" s="11"/>
      <c r="G1666" s="11"/>
      <c r="H1666" s="11"/>
      <c r="I1666" s="11"/>
      <c r="J1666" s="11" t="str">
        <f>IFERROR(__xludf.DUMMYFUNCTION("iferror(if($B1666="""", ,filter(Playoff_Stats!F:Z,Playoff_Stats!A:A=$B1666,Playoff_Stats!B:B=$A1666)))"),"")</f>
        <v/>
      </c>
      <c r="K1666" s="11"/>
      <c r="L1666" s="12"/>
      <c r="M1666" s="11"/>
      <c r="N1666" s="11"/>
      <c r="O1666" s="13"/>
      <c r="P1666" s="14"/>
      <c r="Q1666" s="13"/>
      <c r="R1666" s="13"/>
      <c r="S1666" s="15"/>
      <c r="T1666" s="16"/>
      <c r="U1666" s="16"/>
      <c r="V1666" s="16"/>
      <c r="W1666" s="16"/>
      <c r="X1666" s="16"/>
      <c r="Y1666" s="11"/>
      <c r="Z1666" s="11"/>
      <c r="AA1666" s="11"/>
      <c r="AB1666" s="11"/>
      <c r="AC1666" s="11"/>
      <c r="AD1666" s="11"/>
    </row>
    <row r="1667">
      <c r="A1667" s="10"/>
      <c r="B1667" s="10"/>
      <c r="C1667" s="10"/>
      <c r="D1667" s="10"/>
      <c r="E1667" s="10"/>
      <c r="F1667" s="11"/>
      <c r="G1667" s="11"/>
      <c r="H1667" s="11"/>
      <c r="I1667" s="11"/>
      <c r="J1667" s="11" t="str">
        <f>IFERROR(__xludf.DUMMYFUNCTION("iferror(if($B1667="""", ,filter(Playoff_Stats!F:Z,Playoff_Stats!A:A=$B1667,Playoff_Stats!B:B=$A1667)))"),"")</f>
        <v/>
      </c>
      <c r="K1667" s="11"/>
      <c r="L1667" s="12"/>
      <c r="M1667" s="11"/>
      <c r="N1667" s="11"/>
      <c r="O1667" s="13"/>
      <c r="P1667" s="14"/>
      <c r="Q1667" s="13"/>
      <c r="R1667" s="13"/>
      <c r="S1667" s="15"/>
      <c r="T1667" s="16"/>
      <c r="U1667" s="16"/>
      <c r="V1667" s="16"/>
      <c r="W1667" s="16"/>
      <c r="X1667" s="16"/>
      <c r="Y1667" s="11"/>
      <c r="Z1667" s="11"/>
      <c r="AA1667" s="11"/>
      <c r="AB1667" s="11"/>
      <c r="AC1667" s="11"/>
      <c r="AD1667" s="11"/>
    </row>
    <row r="1668">
      <c r="A1668" s="10"/>
      <c r="B1668" s="10"/>
      <c r="C1668" s="10"/>
      <c r="D1668" s="10"/>
      <c r="E1668" s="10"/>
      <c r="F1668" s="11"/>
      <c r="G1668" s="11"/>
      <c r="H1668" s="11"/>
      <c r="I1668" s="11"/>
      <c r="J1668" s="11" t="str">
        <f>IFERROR(__xludf.DUMMYFUNCTION("iferror(if($B1668="""", ,filter(Playoff_Stats!F:Z,Playoff_Stats!A:A=$B1668,Playoff_Stats!B:B=$A1668)))"),"")</f>
        <v/>
      </c>
      <c r="K1668" s="11"/>
      <c r="L1668" s="12"/>
      <c r="M1668" s="11"/>
      <c r="N1668" s="11"/>
      <c r="O1668" s="13"/>
      <c r="P1668" s="14"/>
      <c r="Q1668" s="13"/>
      <c r="R1668" s="13"/>
      <c r="S1668" s="15"/>
      <c r="T1668" s="16"/>
      <c r="U1668" s="16"/>
      <c r="V1668" s="16"/>
      <c r="W1668" s="16"/>
      <c r="X1668" s="16"/>
      <c r="Y1668" s="11"/>
      <c r="Z1668" s="11"/>
      <c r="AA1668" s="11"/>
      <c r="AB1668" s="11"/>
      <c r="AC1668" s="11"/>
      <c r="AD1668" s="11"/>
    </row>
    <row r="1669">
      <c r="A1669" s="10"/>
      <c r="B1669" s="10"/>
      <c r="C1669" s="10"/>
      <c r="D1669" s="10"/>
      <c r="E1669" s="10"/>
      <c r="F1669" s="11"/>
      <c r="G1669" s="11"/>
      <c r="H1669" s="11"/>
      <c r="I1669" s="11"/>
      <c r="J1669" s="11" t="str">
        <f>IFERROR(__xludf.DUMMYFUNCTION("iferror(if($B1669="""", ,filter(Playoff_Stats!F:Z,Playoff_Stats!A:A=$B1669,Playoff_Stats!B:B=$A1669)))"),"")</f>
        <v/>
      </c>
      <c r="K1669" s="11"/>
      <c r="L1669" s="12"/>
      <c r="M1669" s="11"/>
      <c r="N1669" s="11"/>
      <c r="O1669" s="13"/>
      <c r="P1669" s="14"/>
      <c r="Q1669" s="13"/>
      <c r="R1669" s="13"/>
      <c r="S1669" s="15"/>
      <c r="T1669" s="16"/>
      <c r="U1669" s="16"/>
      <c r="V1669" s="16"/>
      <c r="W1669" s="16"/>
      <c r="X1669" s="16"/>
      <c r="Y1669" s="11"/>
      <c r="Z1669" s="11"/>
      <c r="AA1669" s="11"/>
      <c r="AB1669" s="11"/>
      <c r="AC1669" s="11"/>
      <c r="AD1669" s="11"/>
    </row>
    <row r="1670">
      <c r="A1670" s="10"/>
      <c r="B1670" s="10"/>
      <c r="C1670" s="10"/>
      <c r="D1670" s="10"/>
      <c r="E1670" s="10"/>
      <c r="F1670" s="11"/>
      <c r="G1670" s="11"/>
      <c r="H1670" s="11"/>
      <c r="I1670" s="11"/>
      <c r="J1670" s="11" t="str">
        <f>IFERROR(__xludf.DUMMYFUNCTION("iferror(if($B1670="""", ,filter(Playoff_Stats!F:Z,Playoff_Stats!A:A=$B1670,Playoff_Stats!B:B=$A1670)))"),"")</f>
        <v/>
      </c>
      <c r="K1670" s="11"/>
      <c r="L1670" s="12"/>
      <c r="M1670" s="11"/>
      <c r="N1670" s="11"/>
      <c r="O1670" s="13"/>
      <c r="P1670" s="14"/>
      <c r="Q1670" s="13"/>
      <c r="R1670" s="13"/>
      <c r="S1670" s="15"/>
      <c r="T1670" s="16"/>
      <c r="U1670" s="16"/>
      <c r="V1670" s="16"/>
      <c r="W1670" s="16"/>
      <c r="X1670" s="16"/>
      <c r="Y1670" s="11"/>
      <c r="Z1670" s="11"/>
      <c r="AA1670" s="11"/>
      <c r="AB1670" s="11"/>
      <c r="AC1670" s="11"/>
      <c r="AD1670" s="11"/>
    </row>
    <row r="1671">
      <c r="A1671" s="10"/>
      <c r="B1671" s="10"/>
      <c r="C1671" s="10"/>
      <c r="D1671" s="10"/>
      <c r="E1671" s="10"/>
      <c r="F1671" s="11"/>
      <c r="G1671" s="11"/>
      <c r="H1671" s="11"/>
      <c r="I1671" s="11"/>
      <c r="J1671" s="11" t="str">
        <f>IFERROR(__xludf.DUMMYFUNCTION("iferror(if($B1671="""", ,filter(Playoff_Stats!F:Z,Playoff_Stats!A:A=$B1671,Playoff_Stats!B:B=$A1671)))"),"")</f>
        <v/>
      </c>
      <c r="K1671" s="11"/>
      <c r="L1671" s="12"/>
      <c r="M1671" s="11"/>
      <c r="N1671" s="11"/>
      <c r="O1671" s="13"/>
      <c r="P1671" s="14"/>
      <c r="Q1671" s="13"/>
      <c r="R1671" s="13"/>
      <c r="S1671" s="15"/>
      <c r="T1671" s="16"/>
      <c r="U1671" s="16"/>
      <c r="V1671" s="16"/>
      <c r="W1671" s="16"/>
      <c r="X1671" s="16"/>
      <c r="Y1671" s="11"/>
      <c r="Z1671" s="11"/>
      <c r="AA1671" s="11"/>
      <c r="AB1671" s="11"/>
      <c r="AC1671" s="11"/>
      <c r="AD1671" s="11"/>
    </row>
    <row r="1672">
      <c r="A1672" s="10"/>
      <c r="B1672" s="10"/>
      <c r="C1672" s="10"/>
      <c r="D1672" s="10"/>
      <c r="E1672" s="10"/>
      <c r="F1672" s="11"/>
      <c r="G1672" s="11"/>
      <c r="H1672" s="11"/>
      <c r="I1672" s="11"/>
      <c r="J1672" s="11" t="str">
        <f>IFERROR(__xludf.DUMMYFUNCTION("iferror(if($B1672="""", ,filter(Playoff_Stats!F:Z,Playoff_Stats!A:A=$B1672,Playoff_Stats!B:B=$A1672)))"),"")</f>
        <v/>
      </c>
      <c r="K1672" s="11"/>
      <c r="L1672" s="12"/>
      <c r="M1672" s="11"/>
      <c r="N1672" s="11"/>
      <c r="O1672" s="13"/>
      <c r="P1672" s="14"/>
      <c r="Q1672" s="13"/>
      <c r="R1672" s="13"/>
      <c r="S1672" s="15"/>
      <c r="T1672" s="16"/>
      <c r="U1672" s="16"/>
      <c r="V1672" s="16"/>
      <c r="W1672" s="16"/>
      <c r="X1672" s="16"/>
      <c r="Y1672" s="11"/>
      <c r="Z1672" s="11"/>
      <c r="AA1672" s="11"/>
      <c r="AB1672" s="11"/>
      <c r="AC1672" s="11"/>
      <c r="AD1672" s="11"/>
    </row>
    <row r="1673">
      <c r="A1673" s="10"/>
      <c r="B1673" s="10"/>
      <c r="C1673" s="10"/>
      <c r="D1673" s="10"/>
      <c r="E1673" s="10"/>
      <c r="F1673" s="11"/>
      <c r="G1673" s="11"/>
      <c r="H1673" s="11"/>
      <c r="I1673" s="11"/>
      <c r="J1673" s="11" t="str">
        <f>IFERROR(__xludf.DUMMYFUNCTION("iferror(if($B1673="""", ,filter(Playoff_Stats!F:Z,Playoff_Stats!A:A=$B1673,Playoff_Stats!B:B=$A1673)))"),"")</f>
        <v/>
      </c>
      <c r="K1673" s="11"/>
      <c r="L1673" s="12"/>
      <c r="M1673" s="11"/>
      <c r="N1673" s="11"/>
      <c r="O1673" s="13"/>
      <c r="P1673" s="14"/>
      <c r="Q1673" s="13"/>
      <c r="R1673" s="13"/>
      <c r="S1673" s="15"/>
      <c r="T1673" s="16"/>
      <c r="U1673" s="16"/>
      <c r="V1673" s="16"/>
      <c r="W1673" s="16"/>
      <c r="X1673" s="16"/>
      <c r="Y1673" s="11"/>
      <c r="Z1673" s="11"/>
      <c r="AA1673" s="11"/>
      <c r="AB1673" s="11"/>
      <c r="AC1673" s="11"/>
      <c r="AD1673" s="11"/>
    </row>
    <row r="1674">
      <c r="A1674" s="10"/>
      <c r="B1674" s="10"/>
      <c r="C1674" s="10"/>
      <c r="D1674" s="10"/>
      <c r="E1674" s="10"/>
      <c r="F1674" s="11"/>
      <c r="G1674" s="11"/>
      <c r="H1674" s="11"/>
      <c r="I1674" s="11"/>
      <c r="J1674" s="11" t="str">
        <f>IFERROR(__xludf.DUMMYFUNCTION("iferror(if($B1674="""", ,filter(Playoff_Stats!F:Z,Playoff_Stats!A:A=$B1674,Playoff_Stats!B:B=$A1674)))"),"")</f>
        <v/>
      </c>
      <c r="K1674" s="11"/>
      <c r="L1674" s="12"/>
      <c r="M1674" s="11"/>
      <c r="N1674" s="11"/>
      <c r="O1674" s="13"/>
      <c r="P1674" s="14"/>
      <c r="Q1674" s="13"/>
      <c r="R1674" s="13"/>
      <c r="S1674" s="15"/>
      <c r="T1674" s="16"/>
      <c r="U1674" s="16"/>
      <c r="V1674" s="16"/>
      <c r="W1674" s="16"/>
      <c r="X1674" s="16"/>
      <c r="Y1674" s="11"/>
      <c r="Z1674" s="11"/>
      <c r="AA1674" s="11"/>
      <c r="AB1674" s="11"/>
      <c r="AC1674" s="11"/>
      <c r="AD1674" s="11"/>
    </row>
    <row r="1675">
      <c r="A1675" s="10"/>
      <c r="B1675" s="10"/>
      <c r="C1675" s="10"/>
      <c r="D1675" s="10"/>
      <c r="E1675" s="10"/>
      <c r="F1675" s="11"/>
      <c r="G1675" s="11"/>
      <c r="H1675" s="11"/>
      <c r="I1675" s="11"/>
      <c r="J1675" s="11" t="str">
        <f>IFERROR(__xludf.DUMMYFUNCTION("iferror(if($B1675="""", ,filter(Playoff_Stats!F:Z,Playoff_Stats!A:A=$B1675,Playoff_Stats!B:B=$A1675)))"),"")</f>
        <v/>
      </c>
      <c r="K1675" s="11"/>
      <c r="L1675" s="12"/>
      <c r="M1675" s="11"/>
      <c r="N1675" s="11"/>
      <c r="O1675" s="13"/>
      <c r="P1675" s="14"/>
      <c r="Q1675" s="13"/>
      <c r="R1675" s="13"/>
      <c r="S1675" s="15"/>
      <c r="T1675" s="16"/>
      <c r="U1675" s="16"/>
      <c r="V1675" s="16"/>
      <c r="W1675" s="16"/>
      <c r="X1675" s="16"/>
      <c r="Y1675" s="11"/>
      <c r="Z1675" s="11"/>
      <c r="AA1675" s="11"/>
      <c r="AB1675" s="11"/>
      <c r="AC1675" s="11"/>
      <c r="AD1675" s="11"/>
    </row>
    <row r="1676">
      <c r="A1676" s="10"/>
      <c r="B1676" s="10"/>
      <c r="C1676" s="10"/>
      <c r="D1676" s="10"/>
      <c r="E1676" s="10"/>
      <c r="F1676" s="11"/>
      <c r="G1676" s="11"/>
      <c r="H1676" s="11"/>
      <c r="I1676" s="11"/>
      <c r="J1676" s="11" t="str">
        <f>IFERROR(__xludf.DUMMYFUNCTION("iferror(if($B1676="""", ,filter(Playoff_Stats!F:Z,Playoff_Stats!A:A=$B1676,Playoff_Stats!B:B=$A1676)))"),"")</f>
        <v/>
      </c>
      <c r="K1676" s="11"/>
      <c r="L1676" s="12"/>
      <c r="M1676" s="11"/>
      <c r="N1676" s="11"/>
      <c r="O1676" s="13"/>
      <c r="P1676" s="14"/>
      <c r="Q1676" s="13"/>
      <c r="R1676" s="13"/>
      <c r="S1676" s="15"/>
      <c r="T1676" s="16"/>
      <c r="U1676" s="16"/>
      <c r="V1676" s="16"/>
      <c r="W1676" s="16"/>
      <c r="X1676" s="16"/>
      <c r="Y1676" s="11"/>
      <c r="Z1676" s="11"/>
      <c r="AA1676" s="11"/>
      <c r="AB1676" s="11"/>
      <c r="AC1676" s="11"/>
      <c r="AD1676" s="11"/>
    </row>
    <row r="1677">
      <c r="A1677" s="10"/>
      <c r="B1677" s="10"/>
      <c r="C1677" s="10"/>
      <c r="D1677" s="10"/>
      <c r="E1677" s="10"/>
      <c r="F1677" s="11"/>
      <c r="G1677" s="11"/>
      <c r="H1677" s="11"/>
      <c r="I1677" s="11"/>
      <c r="J1677" s="11" t="str">
        <f>IFERROR(__xludf.DUMMYFUNCTION("iferror(if($B1677="""", ,filter(Playoff_Stats!F:Z,Playoff_Stats!A:A=$B1677,Playoff_Stats!B:B=$A1677)))"),"")</f>
        <v/>
      </c>
      <c r="K1677" s="11"/>
      <c r="L1677" s="12"/>
      <c r="M1677" s="11"/>
      <c r="N1677" s="11"/>
      <c r="O1677" s="13"/>
      <c r="P1677" s="14"/>
      <c r="Q1677" s="13"/>
      <c r="R1677" s="13"/>
      <c r="S1677" s="15"/>
      <c r="T1677" s="16"/>
      <c r="U1677" s="16"/>
      <c r="V1677" s="16"/>
      <c r="W1677" s="16"/>
      <c r="X1677" s="16"/>
      <c r="Y1677" s="11"/>
      <c r="Z1677" s="11"/>
      <c r="AA1677" s="11"/>
      <c r="AB1677" s="11"/>
      <c r="AC1677" s="11"/>
      <c r="AD1677" s="11"/>
    </row>
    <row r="1678">
      <c r="A1678" s="10"/>
      <c r="B1678" s="10"/>
      <c r="C1678" s="10"/>
      <c r="D1678" s="10"/>
      <c r="E1678" s="10"/>
      <c r="F1678" s="11"/>
      <c r="G1678" s="11"/>
      <c r="H1678" s="11"/>
      <c r="I1678" s="11"/>
      <c r="J1678" s="11" t="str">
        <f>IFERROR(__xludf.DUMMYFUNCTION("iferror(if($B1678="""", ,filter(Playoff_Stats!F:Z,Playoff_Stats!A:A=$B1678,Playoff_Stats!B:B=$A1678)))"),"")</f>
        <v/>
      </c>
      <c r="K1678" s="11"/>
      <c r="L1678" s="12"/>
      <c r="M1678" s="11"/>
      <c r="N1678" s="11"/>
      <c r="O1678" s="13"/>
      <c r="P1678" s="14"/>
      <c r="Q1678" s="13"/>
      <c r="R1678" s="13"/>
      <c r="S1678" s="15"/>
      <c r="T1678" s="16"/>
      <c r="U1678" s="16"/>
      <c r="V1678" s="16"/>
      <c r="W1678" s="16"/>
      <c r="X1678" s="16"/>
      <c r="Y1678" s="11"/>
      <c r="Z1678" s="11"/>
      <c r="AA1678" s="11"/>
      <c r="AB1678" s="11"/>
      <c r="AC1678" s="11"/>
      <c r="AD1678" s="11"/>
    </row>
    <row r="1679">
      <c r="A1679" s="10"/>
      <c r="B1679" s="10"/>
      <c r="C1679" s="10"/>
      <c r="D1679" s="10"/>
      <c r="E1679" s="10"/>
      <c r="F1679" s="11"/>
      <c r="G1679" s="11"/>
      <c r="H1679" s="11"/>
      <c r="I1679" s="11"/>
      <c r="J1679" s="11" t="str">
        <f>IFERROR(__xludf.DUMMYFUNCTION("iferror(if($B1679="""", ,filter(Playoff_Stats!F:Z,Playoff_Stats!A:A=$B1679,Playoff_Stats!B:B=$A1679)))"),"")</f>
        <v/>
      </c>
      <c r="K1679" s="11"/>
      <c r="L1679" s="12"/>
      <c r="M1679" s="11"/>
      <c r="N1679" s="11"/>
      <c r="O1679" s="13"/>
      <c r="P1679" s="14"/>
      <c r="Q1679" s="13"/>
      <c r="R1679" s="13"/>
      <c r="S1679" s="15"/>
      <c r="T1679" s="16"/>
      <c r="U1679" s="16"/>
      <c r="V1679" s="16"/>
      <c r="W1679" s="16"/>
      <c r="X1679" s="16"/>
      <c r="Y1679" s="11"/>
      <c r="Z1679" s="11"/>
      <c r="AA1679" s="11"/>
      <c r="AB1679" s="11"/>
      <c r="AC1679" s="11"/>
      <c r="AD1679" s="11"/>
    </row>
    <row r="1680">
      <c r="A1680" s="10"/>
      <c r="B1680" s="10"/>
      <c r="C1680" s="10"/>
      <c r="D1680" s="10"/>
      <c r="E1680" s="10"/>
      <c r="F1680" s="11"/>
      <c r="G1680" s="11"/>
      <c r="H1680" s="11"/>
      <c r="I1680" s="11"/>
      <c r="J1680" s="11" t="str">
        <f>IFERROR(__xludf.DUMMYFUNCTION("iferror(if($B1680="""", ,filter(Playoff_Stats!F:Z,Playoff_Stats!A:A=$B1680,Playoff_Stats!B:B=$A1680)))"),"")</f>
        <v/>
      </c>
      <c r="K1680" s="11"/>
      <c r="L1680" s="12"/>
      <c r="M1680" s="11"/>
      <c r="N1680" s="11"/>
      <c r="O1680" s="13"/>
      <c r="P1680" s="14"/>
      <c r="Q1680" s="13"/>
      <c r="R1680" s="13"/>
      <c r="S1680" s="15"/>
      <c r="T1680" s="16"/>
      <c r="U1680" s="16"/>
      <c r="V1680" s="16"/>
      <c r="W1680" s="16"/>
      <c r="X1680" s="16"/>
      <c r="Y1680" s="11"/>
      <c r="Z1680" s="11"/>
      <c r="AA1680" s="11"/>
      <c r="AB1680" s="11"/>
      <c r="AC1680" s="11"/>
      <c r="AD1680" s="11"/>
    </row>
    <row r="1681">
      <c r="A1681" s="10"/>
      <c r="B1681" s="10"/>
      <c r="C1681" s="10"/>
      <c r="D1681" s="10"/>
      <c r="E1681" s="10"/>
      <c r="F1681" s="11"/>
      <c r="G1681" s="11"/>
      <c r="H1681" s="11"/>
      <c r="I1681" s="11"/>
      <c r="J1681" s="11" t="str">
        <f>IFERROR(__xludf.DUMMYFUNCTION("iferror(if($B1681="""", ,filter(Playoff_Stats!F:Z,Playoff_Stats!A:A=$B1681,Playoff_Stats!B:B=$A1681)))"),"")</f>
        <v/>
      </c>
      <c r="K1681" s="11"/>
      <c r="L1681" s="12"/>
      <c r="M1681" s="11"/>
      <c r="N1681" s="11"/>
      <c r="O1681" s="13"/>
      <c r="P1681" s="14"/>
      <c r="Q1681" s="13"/>
      <c r="R1681" s="13"/>
      <c r="S1681" s="15"/>
      <c r="T1681" s="16"/>
      <c r="U1681" s="16"/>
      <c r="V1681" s="16"/>
      <c r="W1681" s="16"/>
      <c r="X1681" s="16"/>
      <c r="Y1681" s="11"/>
      <c r="Z1681" s="11"/>
      <c r="AA1681" s="11"/>
      <c r="AB1681" s="11"/>
      <c r="AC1681" s="11"/>
      <c r="AD1681" s="11"/>
    </row>
    <row r="1682">
      <c r="A1682" s="10"/>
      <c r="B1682" s="10"/>
      <c r="C1682" s="10"/>
      <c r="D1682" s="10"/>
      <c r="E1682" s="10"/>
      <c r="F1682" s="11"/>
      <c r="G1682" s="11"/>
      <c r="H1682" s="11"/>
      <c r="I1682" s="11"/>
      <c r="J1682" s="11" t="str">
        <f>IFERROR(__xludf.DUMMYFUNCTION("iferror(if($B1682="""", ,filter(Playoff_Stats!F:Z,Playoff_Stats!A:A=$B1682,Playoff_Stats!B:B=$A1682)))"),"")</f>
        <v/>
      </c>
      <c r="K1682" s="11"/>
      <c r="L1682" s="12"/>
      <c r="M1682" s="11"/>
      <c r="N1682" s="11"/>
      <c r="O1682" s="13"/>
      <c r="P1682" s="14"/>
      <c r="Q1682" s="13"/>
      <c r="R1682" s="13"/>
      <c r="S1682" s="15"/>
      <c r="T1682" s="16"/>
      <c r="U1682" s="16"/>
      <c r="V1682" s="16"/>
      <c r="W1682" s="16"/>
      <c r="X1682" s="16"/>
      <c r="Y1682" s="11"/>
      <c r="Z1682" s="11"/>
      <c r="AA1682" s="11"/>
      <c r="AB1682" s="11"/>
      <c r="AC1682" s="11"/>
      <c r="AD1682" s="11"/>
    </row>
    <row r="1683">
      <c r="A1683" s="10"/>
      <c r="B1683" s="10"/>
      <c r="C1683" s="10"/>
      <c r="D1683" s="10"/>
      <c r="E1683" s="10"/>
      <c r="F1683" s="11"/>
      <c r="G1683" s="11"/>
      <c r="H1683" s="11"/>
      <c r="I1683" s="11"/>
      <c r="J1683" s="11" t="str">
        <f>IFERROR(__xludf.DUMMYFUNCTION("iferror(if($B1683="""", ,filter(Playoff_Stats!F:Z,Playoff_Stats!A:A=$B1683,Playoff_Stats!B:B=$A1683)))"),"")</f>
        <v/>
      </c>
      <c r="K1683" s="11"/>
      <c r="L1683" s="12"/>
      <c r="M1683" s="11"/>
      <c r="N1683" s="11"/>
      <c r="O1683" s="13"/>
      <c r="P1683" s="14"/>
      <c r="Q1683" s="13"/>
      <c r="R1683" s="13"/>
      <c r="S1683" s="15"/>
      <c r="T1683" s="16"/>
      <c r="U1683" s="16"/>
      <c r="V1683" s="16"/>
      <c r="W1683" s="16"/>
      <c r="X1683" s="16"/>
      <c r="Y1683" s="11"/>
      <c r="Z1683" s="11"/>
      <c r="AA1683" s="11"/>
      <c r="AB1683" s="11"/>
      <c r="AC1683" s="11"/>
      <c r="AD1683" s="11"/>
    </row>
    <row r="1684">
      <c r="A1684" s="10"/>
      <c r="B1684" s="10"/>
      <c r="C1684" s="10"/>
      <c r="D1684" s="10"/>
      <c r="E1684" s="10"/>
      <c r="F1684" s="11"/>
      <c r="G1684" s="11"/>
      <c r="H1684" s="11"/>
      <c r="I1684" s="11"/>
      <c r="J1684" s="11" t="str">
        <f>IFERROR(__xludf.DUMMYFUNCTION("iferror(if($B1684="""", ,filter(Playoff_Stats!F:Z,Playoff_Stats!A:A=$B1684,Playoff_Stats!B:B=$A1684)))"),"")</f>
        <v/>
      </c>
      <c r="K1684" s="11"/>
      <c r="L1684" s="12"/>
      <c r="M1684" s="11"/>
      <c r="N1684" s="11"/>
      <c r="O1684" s="13"/>
      <c r="P1684" s="14"/>
      <c r="Q1684" s="13"/>
      <c r="R1684" s="13"/>
      <c r="S1684" s="15"/>
      <c r="T1684" s="16"/>
      <c r="U1684" s="16"/>
      <c r="V1684" s="16"/>
      <c r="W1684" s="16"/>
      <c r="X1684" s="16"/>
      <c r="Y1684" s="11"/>
      <c r="Z1684" s="11"/>
      <c r="AA1684" s="11"/>
      <c r="AB1684" s="11"/>
      <c r="AC1684" s="11"/>
      <c r="AD1684" s="11"/>
    </row>
    <row r="1685">
      <c r="A1685" s="10"/>
      <c r="B1685" s="10"/>
      <c r="C1685" s="10"/>
      <c r="D1685" s="10"/>
      <c r="E1685" s="10"/>
      <c r="F1685" s="11"/>
      <c r="G1685" s="11"/>
      <c r="H1685" s="11"/>
      <c r="I1685" s="11"/>
      <c r="J1685" s="11" t="str">
        <f>IFERROR(__xludf.DUMMYFUNCTION("iferror(if($B1685="""", ,filter(Playoff_Stats!F:Z,Playoff_Stats!A:A=$B1685,Playoff_Stats!B:B=$A1685)))"),"")</f>
        <v/>
      </c>
      <c r="K1685" s="11"/>
      <c r="L1685" s="12"/>
      <c r="M1685" s="11"/>
      <c r="N1685" s="11"/>
      <c r="O1685" s="13"/>
      <c r="P1685" s="14"/>
      <c r="Q1685" s="13"/>
      <c r="R1685" s="13"/>
      <c r="S1685" s="15"/>
      <c r="T1685" s="16"/>
      <c r="U1685" s="16"/>
      <c r="V1685" s="16"/>
      <c r="W1685" s="16"/>
      <c r="X1685" s="16"/>
      <c r="Y1685" s="11"/>
      <c r="Z1685" s="11"/>
      <c r="AA1685" s="11"/>
      <c r="AB1685" s="11"/>
      <c r="AC1685" s="11"/>
      <c r="AD1685" s="11"/>
    </row>
    <row r="1686">
      <c r="A1686" s="10"/>
      <c r="B1686" s="10"/>
      <c r="C1686" s="10"/>
      <c r="D1686" s="10"/>
      <c r="E1686" s="10"/>
      <c r="F1686" s="11"/>
      <c r="G1686" s="11"/>
      <c r="H1686" s="11"/>
      <c r="I1686" s="11"/>
      <c r="J1686" s="11" t="str">
        <f>IFERROR(__xludf.DUMMYFUNCTION("iferror(if($B1686="""", ,filter(Playoff_Stats!F:Z,Playoff_Stats!A:A=$B1686,Playoff_Stats!B:B=$A1686)))"),"")</f>
        <v/>
      </c>
      <c r="K1686" s="11"/>
      <c r="L1686" s="12"/>
      <c r="M1686" s="11"/>
      <c r="N1686" s="11"/>
      <c r="O1686" s="13"/>
      <c r="P1686" s="14"/>
      <c r="Q1686" s="13"/>
      <c r="R1686" s="13"/>
      <c r="S1686" s="15"/>
      <c r="T1686" s="16"/>
      <c r="U1686" s="16"/>
      <c r="V1686" s="16"/>
      <c r="W1686" s="16"/>
      <c r="X1686" s="16"/>
      <c r="Y1686" s="11"/>
      <c r="Z1686" s="11"/>
      <c r="AA1686" s="11"/>
      <c r="AB1686" s="11"/>
      <c r="AC1686" s="11"/>
      <c r="AD1686" s="11"/>
    </row>
    <row r="1687">
      <c r="A1687" s="10"/>
      <c r="B1687" s="10"/>
      <c r="C1687" s="10"/>
      <c r="D1687" s="10"/>
      <c r="E1687" s="10"/>
      <c r="F1687" s="11"/>
      <c r="G1687" s="11"/>
      <c r="H1687" s="11"/>
      <c r="I1687" s="11"/>
      <c r="J1687" s="11" t="str">
        <f>IFERROR(__xludf.DUMMYFUNCTION("iferror(if($B1687="""", ,filter(Playoff_Stats!F:Z,Playoff_Stats!A:A=$B1687,Playoff_Stats!B:B=$A1687)))"),"")</f>
        <v/>
      </c>
      <c r="K1687" s="11"/>
      <c r="L1687" s="12"/>
      <c r="M1687" s="11"/>
      <c r="N1687" s="11"/>
      <c r="O1687" s="13"/>
      <c r="P1687" s="14"/>
      <c r="Q1687" s="13"/>
      <c r="R1687" s="13"/>
      <c r="S1687" s="15"/>
      <c r="T1687" s="16"/>
      <c r="U1687" s="16"/>
      <c r="V1687" s="16"/>
      <c r="W1687" s="16"/>
      <c r="X1687" s="16"/>
      <c r="Y1687" s="11"/>
      <c r="Z1687" s="11"/>
      <c r="AA1687" s="11"/>
      <c r="AB1687" s="11"/>
      <c r="AC1687" s="11"/>
      <c r="AD1687" s="11"/>
    </row>
    <row r="1688">
      <c r="A1688" s="10"/>
      <c r="B1688" s="10"/>
      <c r="C1688" s="10"/>
      <c r="D1688" s="10"/>
      <c r="E1688" s="10"/>
      <c r="F1688" s="11"/>
      <c r="G1688" s="11"/>
      <c r="H1688" s="11"/>
      <c r="I1688" s="11"/>
      <c r="J1688" s="11" t="str">
        <f>IFERROR(__xludf.DUMMYFUNCTION("iferror(if($B1688="""", ,filter(Playoff_Stats!F:Z,Playoff_Stats!A:A=$B1688,Playoff_Stats!B:B=$A1688)))"),"")</f>
        <v/>
      </c>
      <c r="K1688" s="11"/>
      <c r="L1688" s="12"/>
      <c r="M1688" s="11"/>
      <c r="N1688" s="11"/>
      <c r="O1688" s="13"/>
      <c r="P1688" s="14"/>
      <c r="Q1688" s="13"/>
      <c r="R1688" s="13"/>
      <c r="S1688" s="15"/>
      <c r="T1688" s="16"/>
      <c r="U1688" s="16"/>
      <c r="V1688" s="16"/>
      <c r="W1688" s="16"/>
      <c r="X1688" s="16"/>
      <c r="Y1688" s="11"/>
      <c r="Z1688" s="11"/>
      <c r="AA1688" s="11"/>
      <c r="AB1688" s="11"/>
      <c r="AC1688" s="11"/>
      <c r="AD1688" s="11"/>
    </row>
    <row r="1689">
      <c r="A1689" s="10"/>
      <c r="B1689" s="10"/>
      <c r="C1689" s="10"/>
      <c r="D1689" s="10"/>
      <c r="E1689" s="10"/>
      <c r="F1689" s="11"/>
      <c r="G1689" s="11"/>
      <c r="H1689" s="11"/>
      <c r="I1689" s="11"/>
      <c r="J1689" s="11" t="str">
        <f>IFERROR(__xludf.DUMMYFUNCTION("iferror(if($B1689="""", ,filter(Playoff_Stats!F:Z,Playoff_Stats!A:A=$B1689,Playoff_Stats!B:B=$A1689)))"),"")</f>
        <v/>
      </c>
      <c r="K1689" s="11"/>
      <c r="L1689" s="12"/>
      <c r="M1689" s="11"/>
      <c r="N1689" s="11"/>
      <c r="O1689" s="13"/>
      <c r="P1689" s="14"/>
      <c r="Q1689" s="13"/>
      <c r="R1689" s="13"/>
      <c r="S1689" s="15"/>
      <c r="T1689" s="16"/>
      <c r="U1689" s="16"/>
      <c r="V1689" s="16"/>
      <c r="W1689" s="16"/>
      <c r="X1689" s="16"/>
      <c r="Y1689" s="11"/>
      <c r="Z1689" s="11"/>
      <c r="AA1689" s="11"/>
      <c r="AB1689" s="11"/>
      <c r="AC1689" s="11"/>
      <c r="AD1689" s="11"/>
    </row>
    <row r="1690">
      <c r="A1690" s="10"/>
      <c r="B1690" s="10"/>
      <c r="C1690" s="10"/>
      <c r="D1690" s="10"/>
      <c r="E1690" s="10"/>
      <c r="F1690" s="11"/>
      <c r="G1690" s="11"/>
      <c r="H1690" s="11"/>
      <c r="I1690" s="11"/>
      <c r="J1690" s="11" t="str">
        <f>IFERROR(__xludf.DUMMYFUNCTION("iferror(if($B1690="""", ,filter(Playoff_Stats!F:Z,Playoff_Stats!A:A=$B1690,Playoff_Stats!B:B=$A1690)))"),"")</f>
        <v/>
      </c>
      <c r="K1690" s="11"/>
      <c r="L1690" s="12"/>
      <c r="M1690" s="11"/>
      <c r="N1690" s="11"/>
      <c r="O1690" s="13"/>
      <c r="P1690" s="14"/>
      <c r="Q1690" s="13"/>
      <c r="R1690" s="13"/>
      <c r="S1690" s="15"/>
      <c r="T1690" s="16"/>
      <c r="U1690" s="16"/>
      <c r="V1690" s="16"/>
      <c r="W1690" s="16"/>
      <c r="X1690" s="16"/>
      <c r="Y1690" s="11"/>
      <c r="Z1690" s="11"/>
      <c r="AA1690" s="11"/>
      <c r="AB1690" s="11"/>
      <c r="AC1690" s="11"/>
      <c r="AD1690" s="11"/>
    </row>
    <row r="1691">
      <c r="A1691" s="10"/>
      <c r="B1691" s="10"/>
      <c r="C1691" s="10"/>
      <c r="D1691" s="10"/>
      <c r="E1691" s="10"/>
      <c r="F1691" s="11"/>
      <c r="G1691" s="11"/>
      <c r="H1691" s="11"/>
      <c r="I1691" s="11"/>
      <c r="J1691" s="11" t="str">
        <f>IFERROR(__xludf.DUMMYFUNCTION("iferror(if($B1691="""", ,filter(Playoff_Stats!F:Z,Playoff_Stats!A:A=$B1691,Playoff_Stats!B:B=$A1691)))"),"")</f>
        <v/>
      </c>
      <c r="K1691" s="11"/>
      <c r="L1691" s="12"/>
      <c r="M1691" s="11"/>
      <c r="N1691" s="11"/>
      <c r="O1691" s="13"/>
      <c r="P1691" s="14"/>
      <c r="Q1691" s="13"/>
      <c r="R1691" s="13"/>
      <c r="S1691" s="15"/>
      <c r="T1691" s="16"/>
      <c r="U1691" s="16"/>
      <c r="V1691" s="16"/>
      <c r="W1691" s="16"/>
      <c r="X1691" s="16"/>
      <c r="Y1691" s="11"/>
      <c r="Z1691" s="11"/>
      <c r="AA1691" s="11"/>
      <c r="AB1691" s="11"/>
      <c r="AC1691" s="11"/>
      <c r="AD1691" s="11"/>
    </row>
    <row r="1692">
      <c r="A1692" s="10"/>
      <c r="B1692" s="10"/>
      <c r="C1692" s="10"/>
      <c r="D1692" s="10"/>
      <c r="E1692" s="10"/>
      <c r="F1692" s="11"/>
      <c r="G1692" s="11"/>
      <c r="H1692" s="11"/>
      <c r="I1692" s="11"/>
      <c r="J1692" s="11" t="str">
        <f>IFERROR(__xludf.DUMMYFUNCTION("iferror(if($B1692="""", ,filter(Playoff_Stats!F:Z,Playoff_Stats!A:A=$B1692,Playoff_Stats!B:B=$A1692)))"),"")</f>
        <v/>
      </c>
      <c r="K1692" s="11"/>
      <c r="L1692" s="12"/>
      <c r="M1692" s="11"/>
      <c r="N1692" s="11"/>
      <c r="O1692" s="13"/>
      <c r="P1692" s="14"/>
      <c r="Q1692" s="13"/>
      <c r="R1692" s="13"/>
      <c r="S1692" s="15"/>
      <c r="T1692" s="16"/>
      <c r="U1692" s="16"/>
      <c r="V1692" s="16"/>
      <c r="W1692" s="16"/>
      <c r="X1692" s="16"/>
      <c r="Y1692" s="11"/>
      <c r="Z1692" s="11"/>
      <c r="AA1692" s="11"/>
      <c r="AB1692" s="11"/>
      <c r="AC1692" s="11"/>
      <c r="AD1692" s="11"/>
    </row>
    <row r="1693">
      <c r="A1693" s="10"/>
      <c r="B1693" s="10"/>
      <c r="C1693" s="10"/>
      <c r="D1693" s="10"/>
      <c r="E1693" s="10"/>
      <c r="F1693" s="11"/>
      <c r="G1693" s="11"/>
      <c r="H1693" s="11"/>
      <c r="I1693" s="11"/>
      <c r="J1693" s="11" t="str">
        <f>IFERROR(__xludf.DUMMYFUNCTION("iferror(if($B1693="""", ,filter(Playoff_Stats!F:Z,Playoff_Stats!A:A=$B1693,Playoff_Stats!B:B=$A1693)))"),"")</f>
        <v/>
      </c>
      <c r="K1693" s="11"/>
      <c r="L1693" s="12"/>
      <c r="M1693" s="11"/>
      <c r="N1693" s="11"/>
      <c r="O1693" s="13"/>
      <c r="P1693" s="14"/>
      <c r="Q1693" s="13"/>
      <c r="R1693" s="13"/>
      <c r="S1693" s="15"/>
      <c r="T1693" s="16"/>
      <c r="U1693" s="16"/>
      <c r="V1693" s="16"/>
      <c r="W1693" s="16"/>
      <c r="X1693" s="16"/>
      <c r="Y1693" s="11"/>
      <c r="Z1693" s="11"/>
      <c r="AA1693" s="11"/>
      <c r="AB1693" s="11"/>
      <c r="AC1693" s="11"/>
      <c r="AD1693" s="11"/>
    </row>
    <row r="1694">
      <c r="A1694" s="10"/>
      <c r="B1694" s="10"/>
      <c r="C1694" s="10"/>
      <c r="D1694" s="10"/>
      <c r="E1694" s="10"/>
      <c r="F1694" s="11"/>
      <c r="G1694" s="11"/>
      <c r="H1694" s="11"/>
      <c r="I1694" s="11"/>
      <c r="J1694" s="11" t="str">
        <f>IFERROR(__xludf.DUMMYFUNCTION("iferror(if($B1694="""", ,filter(Playoff_Stats!F:Z,Playoff_Stats!A:A=$B1694,Playoff_Stats!B:B=$A1694)))"),"")</f>
        <v/>
      </c>
      <c r="K1694" s="11"/>
      <c r="L1694" s="12"/>
      <c r="M1694" s="11"/>
      <c r="N1694" s="11"/>
      <c r="O1694" s="13"/>
      <c r="P1694" s="14"/>
      <c r="Q1694" s="13"/>
      <c r="R1694" s="13"/>
      <c r="S1694" s="15"/>
      <c r="T1694" s="16"/>
      <c r="U1694" s="16"/>
      <c r="V1694" s="16"/>
      <c r="W1694" s="16"/>
      <c r="X1694" s="16"/>
      <c r="Y1694" s="11"/>
      <c r="Z1694" s="11"/>
      <c r="AA1694" s="11"/>
      <c r="AB1694" s="11"/>
      <c r="AC1694" s="11"/>
      <c r="AD1694" s="11"/>
    </row>
    <row r="1695">
      <c r="A1695" s="10"/>
      <c r="B1695" s="10"/>
      <c r="C1695" s="10"/>
      <c r="D1695" s="10"/>
      <c r="E1695" s="10"/>
      <c r="F1695" s="11"/>
      <c r="G1695" s="11"/>
      <c r="H1695" s="11"/>
      <c r="I1695" s="11"/>
      <c r="J1695" s="11" t="str">
        <f>IFERROR(__xludf.DUMMYFUNCTION("iferror(if($B1695="""", ,filter(Playoff_Stats!F:Z,Playoff_Stats!A:A=$B1695,Playoff_Stats!B:B=$A1695)))"),"")</f>
        <v/>
      </c>
      <c r="K1695" s="11"/>
      <c r="L1695" s="12"/>
      <c r="M1695" s="11"/>
      <c r="N1695" s="11"/>
      <c r="O1695" s="13"/>
      <c r="P1695" s="14"/>
      <c r="Q1695" s="13"/>
      <c r="R1695" s="13"/>
      <c r="S1695" s="15"/>
      <c r="T1695" s="16"/>
      <c r="U1695" s="16"/>
      <c r="V1695" s="16"/>
      <c r="W1695" s="16"/>
      <c r="X1695" s="16"/>
      <c r="Y1695" s="11"/>
      <c r="Z1695" s="11"/>
      <c r="AA1695" s="11"/>
      <c r="AB1695" s="11"/>
      <c r="AC1695" s="11"/>
      <c r="AD1695" s="11"/>
    </row>
    <row r="1696">
      <c r="A1696" s="10"/>
      <c r="B1696" s="10"/>
      <c r="C1696" s="10"/>
      <c r="D1696" s="10"/>
      <c r="E1696" s="10"/>
      <c r="F1696" s="11"/>
      <c r="G1696" s="11"/>
      <c r="H1696" s="11"/>
      <c r="I1696" s="11"/>
      <c r="J1696" s="11" t="str">
        <f>IFERROR(__xludf.DUMMYFUNCTION("iferror(if($B1696="""", ,filter(Playoff_Stats!F:Z,Playoff_Stats!A:A=$B1696,Playoff_Stats!B:B=$A1696)))"),"")</f>
        <v/>
      </c>
      <c r="K1696" s="11"/>
      <c r="L1696" s="12"/>
      <c r="M1696" s="11"/>
      <c r="N1696" s="11"/>
      <c r="O1696" s="13"/>
      <c r="P1696" s="14"/>
      <c r="Q1696" s="13"/>
      <c r="R1696" s="13"/>
      <c r="S1696" s="15"/>
      <c r="T1696" s="16"/>
      <c r="U1696" s="16"/>
      <c r="V1696" s="16"/>
      <c r="W1696" s="16"/>
      <c r="X1696" s="16"/>
      <c r="Y1696" s="11"/>
      <c r="Z1696" s="11"/>
      <c r="AA1696" s="11"/>
      <c r="AB1696" s="11"/>
      <c r="AC1696" s="11"/>
      <c r="AD1696" s="11"/>
    </row>
    <row r="1697">
      <c r="A1697" s="10"/>
      <c r="B1697" s="10"/>
      <c r="C1697" s="10"/>
      <c r="D1697" s="10"/>
      <c r="E1697" s="10"/>
      <c r="F1697" s="11"/>
      <c r="G1697" s="11"/>
      <c r="H1697" s="11"/>
      <c r="I1697" s="11"/>
      <c r="J1697" s="11" t="str">
        <f>IFERROR(__xludf.DUMMYFUNCTION("iferror(if($B1697="""", ,filter(Playoff_Stats!F:Z,Playoff_Stats!A:A=$B1697,Playoff_Stats!B:B=$A1697)))"),"")</f>
        <v/>
      </c>
      <c r="K1697" s="11"/>
      <c r="L1697" s="12"/>
      <c r="M1697" s="11"/>
      <c r="N1697" s="11"/>
      <c r="O1697" s="13"/>
      <c r="P1697" s="14"/>
      <c r="Q1697" s="13"/>
      <c r="R1697" s="13"/>
      <c r="S1697" s="15"/>
      <c r="T1697" s="16"/>
      <c r="U1697" s="16"/>
      <c r="V1697" s="16"/>
      <c r="W1697" s="16"/>
      <c r="X1697" s="16"/>
      <c r="Y1697" s="11"/>
      <c r="Z1697" s="11"/>
      <c r="AA1697" s="11"/>
      <c r="AB1697" s="11"/>
      <c r="AC1697" s="11"/>
      <c r="AD1697" s="11"/>
    </row>
    <row r="1698">
      <c r="A1698" s="10"/>
      <c r="B1698" s="10"/>
      <c r="C1698" s="10"/>
      <c r="D1698" s="10"/>
      <c r="E1698" s="10"/>
      <c r="F1698" s="11"/>
      <c r="G1698" s="11"/>
      <c r="H1698" s="11"/>
      <c r="I1698" s="11"/>
      <c r="J1698" s="11" t="str">
        <f>IFERROR(__xludf.DUMMYFUNCTION("iferror(if($B1698="""", ,filter(Playoff_Stats!F:Z,Playoff_Stats!A:A=$B1698,Playoff_Stats!B:B=$A1698)))"),"")</f>
        <v/>
      </c>
      <c r="K1698" s="11"/>
      <c r="L1698" s="12"/>
      <c r="M1698" s="11"/>
      <c r="N1698" s="11"/>
      <c r="O1698" s="13"/>
      <c r="P1698" s="14"/>
      <c r="Q1698" s="13"/>
      <c r="R1698" s="13"/>
      <c r="S1698" s="15"/>
      <c r="T1698" s="16"/>
      <c r="U1698" s="16"/>
      <c r="V1698" s="16"/>
      <c r="W1698" s="16"/>
      <c r="X1698" s="16"/>
      <c r="Y1698" s="11"/>
      <c r="Z1698" s="11"/>
      <c r="AA1698" s="11"/>
      <c r="AB1698" s="11"/>
      <c r="AC1698" s="11"/>
      <c r="AD1698" s="11"/>
    </row>
    <row r="1699">
      <c r="A1699" s="10"/>
      <c r="B1699" s="10"/>
      <c r="C1699" s="10"/>
      <c r="D1699" s="10"/>
      <c r="E1699" s="10"/>
      <c r="F1699" s="11"/>
      <c r="G1699" s="11"/>
      <c r="H1699" s="11"/>
      <c r="I1699" s="11"/>
      <c r="J1699" s="11" t="str">
        <f>IFERROR(__xludf.DUMMYFUNCTION("iferror(if($B1699="""", ,filter(Playoff_Stats!F:Z,Playoff_Stats!A:A=$B1699,Playoff_Stats!B:B=$A1699)))"),"")</f>
        <v/>
      </c>
      <c r="K1699" s="11"/>
      <c r="L1699" s="12"/>
      <c r="M1699" s="11"/>
      <c r="N1699" s="11"/>
      <c r="O1699" s="13"/>
      <c r="P1699" s="14"/>
      <c r="Q1699" s="13"/>
      <c r="R1699" s="13"/>
      <c r="S1699" s="15"/>
      <c r="T1699" s="16"/>
      <c r="U1699" s="16"/>
      <c r="V1699" s="16"/>
      <c r="W1699" s="16"/>
      <c r="X1699" s="16"/>
      <c r="Y1699" s="11"/>
      <c r="Z1699" s="11"/>
      <c r="AA1699" s="11"/>
      <c r="AB1699" s="11"/>
      <c r="AC1699" s="11"/>
      <c r="AD1699" s="11"/>
    </row>
    <row r="1700">
      <c r="A1700" s="10"/>
      <c r="B1700" s="10"/>
      <c r="C1700" s="10"/>
      <c r="D1700" s="10"/>
      <c r="E1700" s="10"/>
      <c r="F1700" s="11"/>
      <c r="G1700" s="11"/>
      <c r="H1700" s="11"/>
      <c r="I1700" s="11"/>
      <c r="J1700" s="11" t="str">
        <f>IFERROR(__xludf.DUMMYFUNCTION("iferror(if($B1700="""", ,filter(Playoff_Stats!F:Z,Playoff_Stats!A:A=$B1700,Playoff_Stats!B:B=$A1700)))"),"")</f>
        <v/>
      </c>
      <c r="K1700" s="11"/>
      <c r="L1700" s="12"/>
      <c r="M1700" s="11"/>
      <c r="N1700" s="11"/>
      <c r="O1700" s="13"/>
      <c r="P1700" s="14"/>
      <c r="Q1700" s="13"/>
      <c r="R1700" s="13"/>
      <c r="S1700" s="15"/>
      <c r="T1700" s="16"/>
      <c r="U1700" s="16"/>
      <c r="V1700" s="16"/>
      <c r="W1700" s="16"/>
      <c r="X1700" s="16"/>
      <c r="Y1700" s="11"/>
      <c r="Z1700" s="11"/>
      <c r="AA1700" s="11"/>
      <c r="AB1700" s="11"/>
      <c r="AC1700" s="11"/>
      <c r="AD1700" s="11"/>
    </row>
    <row r="1701">
      <c r="A1701" s="10"/>
      <c r="B1701" s="10"/>
      <c r="C1701" s="10"/>
      <c r="D1701" s="10"/>
      <c r="E1701" s="10"/>
      <c r="F1701" s="11"/>
      <c r="G1701" s="11"/>
      <c r="H1701" s="11"/>
      <c r="I1701" s="11"/>
      <c r="J1701" s="11" t="str">
        <f>IFERROR(__xludf.DUMMYFUNCTION("iferror(if($B1701="""", ,filter(Playoff_Stats!F:Z,Playoff_Stats!A:A=$B1701,Playoff_Stats!B:B=$A1701)))"),"")</f>
        <v/>
      </c>
      <c r="K1701" s="11"/>
      <c r="L1701" s="12"/>
      <c r="M1701" s="11"/>
      <c r="N1701" s="11"/>
      <c r="O1701" s="13"/>
      <c r="P1701" s="14"/>
      <c r="Q1701" s="13"/>
      <c r="R1701" s="13"/>
      <c r="S1701" s="15"/>
      <c r="T1701" s="16"/>
      <c r="U1701" s="16"/>
      <c r="V1701" s="16"/>
      <c r="W1701" s="16"/>
      <c r="X1701" s="16"/>
      <c r="Y1701" s="11"/>
      <c r="Z1701" s="11"/>
      <c r="AA1701" s="11"/>
      <c r="AB1701" s="11"/>
      <c r="AC1701" s="11"/>
      <c r="AD1701" s="11"/>
    </row>
    <row r="1702">
      <c r="A1702" s="10"/>
      <c r="B1702" s="10"/>
      <c r="C1702" s="10"/>
      <c r="D1702" s="10"/>
      <c r="E1702" s="10"/>
      <c r="F1702" s="11"/>
      <c r="G1702" s="11"/>
      <c r="H1702" s="11"/>
      <c r="I1702" s="11"/>
      <c r="J1702" s="11" t="str">
        <f>IFERROR(__xludf.DUMMYFUNCTION("iferror(if($B1702="""", ,filter(Playoff_Stats!F:Z,Playoff_Stats!A:A=$B1702,Playoff_Stats!B:B=$A1702)))"),"")</f>
        <v/>
      </c>
      <c r="K1702" s="11"/>
      <c r="L1702" s="12"/>
      <c r="M1702" s="11"/>
      <c r="N1702" s="11"/>
      <c r="O1702" s="13"/>
      <c r="P1702" s="14"/>
      <c r="Q1702" s="13"/>
      <c r="R1702" s="13"/>
      <c r="S1702" s="15"/>
      <c r="T1702" s="16"/>
      <c r="U1702" s="16"/>
      <c r="V1702" s="16"/>
      <c r="W1702" s="16"/>
      <c r="X1702" s="16"/>
      <c r="Y1702" s="11"/>
      <c r="Z1702" s="11"/>
      <c r="AA1702" s="11"/>
      <c r="AB1702" s="11"/>
      <c r="AC1702" s="11"/>
      <c r="AD1702" s="11"/>
    </row>
    <row r="1703">
      <c r="A1703" s="10"/>
      <c r="B1703" s="10"/>
      <c r="C1703" s="10"/>
      <c r="D1703" s="10"/>
      <c r="E1703" s="10"/>
      <c r="F1703" s="11"/>
      <c r="G1703" s="11"/>
      <c r="H1703" s="11"/>
      <c r="I1703" s="11"/>
      <c r="J1703" s="11" t="str">
        <f>IFERROR(__xludf.DUMMYFUNCTION("iferror(if($B1703="""", ,filter(Playoff_Stats!F:Z,Playoff_Stats!A:A=$B1703,Playoff_Stats!B:B=$A1703)))"),"")</f>
        <v/>
      </c>
      <c r="K1703" s="11"/>
      <c r="L1703" s="12"/>
      <c r="M1703" s="11"/>
      <c r="N1703" s="11"/>
      <c r="O1703" s="13"/>
      <c r="P1703" s="14"/>
      <c r="Q1703" s="13"/>
      <c r="R1703" s="13"/>
      <c r="S1703" s="15"/>
      <c r="T1703" s="16"/>
      <c r="U1703" s="16"/>
      <c r="V1703" s="16"/>
      <c r="W1703" s="16"/>
      <c r="X1703" s="16"/>
      <c r="Y1703" s="11"/>
      <c r="Z1703" s="11"/>
      <c r="AA1703" s="11"/>
      <c r="AB1703" s="11"/>
      <c r="AC1703" s="11"/>
      <c r="AD1703" s="11"/>
    </row>
    <row r="1704">
      <c r="A1704" s="10"/>
      <c r="B1704" s="10"/>
      <c r="C1704" s="10"/>
      <c r="D1704" s="10"/>
      <c r="E1704" s="10"/>
      <c r="F1704" s="11"/>
      <c r="G1704" s="11"/>
      <c r="H1704" s="11"/>
      <c r="I1704" s="11"/>
      <c r="J1704" s="11" t="str">
        <f>IFERROR(__xludf.DUMMYFUNCTION("iferror(if($B1704="""", ,filter(Playoff_Stats!F:Z,Playoff_Stats!A:A=$B1704,Playoff_Stats!B:B=$A1704)))"),"")</f>
        <v/>
      </c>
      <c r="K1704" s="11"/>
      <c r="L1704" s="12"/>
      <c r="M1704" s="11"/>
      <c r="N1704" s="11"/>
      <c r="O1704" s="13"/>
      <c r="P1704" s="14"/>
      <c r="Q1704" s="13"/>
      <c r="R1704" s="13"/>
      <c r="S1704" s="15"/>
      <c r="T1704" s="16"/>
      <c r="U1704" s="16"/>
      <c r="V1704" s="16"/>
      <c r="W1704" s="16"/>
      <c r="X1704" s="16"/>
      <c r="Y1704" s="11"/>
      <c r="Z1704" s="11"/>
      <c r="AA1704" s="11"/>
      <c r="AB1704" s="11"/>
      <c r="AC1704" s="11"/>
      <c r="AD1704" s="11"/>
    </row>
    <row r="1705">
      <c r="A1705" s="10"/>
      <c r="B1705" s="10"/>
      <c r="C1705" s="10"/>
      <c r="D1705" s="10"/>
      <c r="E1705" s="10"/>
      <c r="F1705" s="11"/>
      <c r="G1705" s="11"/>
      <c r="H1705" s="11"/>
      <c r="I1705" s="11"/>
      <c r="J1705" s="11" t="str">
        <f>IFERROR(__xludf.DUMMYFUNCTION("iferror(if($B1705="""", ,filter(Playoff_Stats!F:Z,Playoff_Stats!A:A=$B1705,Playoff_Stats!B:B=$A1705)))"),"")</f>
        <v/>
      </c>
      <c r="K1705" s="11"/>
      <c r="L1705" s="12"/>
      <c r="M1705" s="11"/>
      <c r="N1705" s="11"/>
      <c r="O1705" s="13"/>
      <c r="P1705" s="14"/>
      <c r="Q1705" s="13"/>
      <c r="R1705" s="13"/>
      <c r="S1705" s="15"/>
      <c r="T1705" s="16"/>
      <c r="U1705" s="16"/>
      <c r="V1705" s="16"/>
      <c r="W1705" s="16"/>
      <c r="X1705" s="16"/>
      <c r="Y1705" s="11"/>
      <c r="Z1705" s="11"/>
      <c r="AA1705" s="11"/>
      <c r="AB1705" s="11"/>
      <c r="AC1705" s="11"/>
      <c r="AD1705" s="11"/>
    </row>
    <row r="1706">
      <c r="A1706" s="10"/>
      <c r="B1706" s="10"/>
      <c r="C1706" s="10"/>
      <c r="D1706" s="10"/>
      <c r="E1706" s="10"/>
      <c r="F1706" s="11"/>
      <c r="G1706" s="11"/>
      <c r="H1706" s="11"/>
      <c r="I1706" s="11"/>
      <c r="J1706" s="11" t="str">
        <f>IFERROR(__xludf.DUMMYFUNCTION("iferror(if($B1706="""", ,filter(Playoff_Stats!F:Z,Playoff_Stats!A:A=$B1706,Playoff_Stats!B:B=$A1706)))"),"")</f>
        <v/>
      </c>
      <c r="K1706" s="11"/>
      <c r="L1706" s="12"/>
      <c r="M1706" s="11"/>
      <c r="N1706" s="11"/>
      <c r="O1706" s="13"/>
      <c r="P1706" s="14"/>
      <c r="Q1706" s="13"/>
      <c r="R1706" s="13"/>
      <c r="S1706" s="15"/>
      <c r="T1706" s="16"/>
      <c r="U1706" s="16"/>
      <c r="V1706" s="16"/>
      <c r="W1706" s="16"/>
      <c r="X1706" s="16"/>
      <c r="Y1706" s="11"/>
      <c r="Z1706" s="11"/>
      <c r="AA1706" s="11"/>
      <c r="AB1706" s="11"/>
      <c r="AC1706" s="11"/>
      <c r="AD1706" s="11"/>
    </row>
    <row r="1707">
      <c r="A1707" s="10"/>
      <c r="B1707" s="10"/>
      <c r="C1707" s="10"/>
      <c r="D1707" s="10"/>
      <c r="E1707" s="10"/>
      <c r="F1707" s="11"/>
      <c r="G1707" s="11"/>
      <c r="H1707" s="11"/>
      <c r="I1707" s="11"/>
      <c r="J1707" s="11" t="str">
        <f>IFERROR(__xludf.DUMMYFUNCTION("iferror(if($B1707="""", ,filter(Playoff_Stats!F:Z,Playoff_Stats!A:A=$B1707,Playoff_Stats!B:B=$A1707)))"),"")</f>
        <v/>
      </c>
      <c r="K1707" s="11"/>
      <c r="L1707" s="12"/>
      <c r="M1707" s="11"/>
      <c r="N1707" s="11"/>
      <c r="O1707" s="13"/>
      <c r="P1707" s="14"/>
      <c r="Q1707" s="13"/>
      <c r="R1707" s="13"/>
      <c r="S1707" s="15"/>
      <c r="T1707" s="16"/>
      <c r="U1707" s="16"/>
      <c r="V1707" s="16"/>
      <c r="W1707" s="16"/>
      <c r="X1707" s="16"/>
      <c r="Y1707" s="11"/>
      <c r="Z1707" s="11"/>
      <c r="AA1707" s="11"/>
      <c r="AB1707" s="11"/>
      <c r="AC1707" s="11"/>
      <c r="AD1707" s="11"/>
    </row>
    <row r="1708">
      <c r="A1708" s="10"/>
      <c r="B1708" s="10"/>
      <c r="C1708" s="10"/>
      <c r="D1708" s="10"/>
      <c r="E1708" s="10"/>
      <c r="F1708" s="11"/>
      <c r="G1708" s="11"/>
      <c r="H1708" s="11"/>
      <c r="I1708" s="11"/>
      <c r="J1708" s="11" t="str">
        <f>IFERROR(__xludf.DUMMYFUNCTION("iferror(if($B1708="""", ,filter(Playoff_Stats!F:Z,Playoff_Stats!A:A=$B1708,Playoff_Stats!B:B=$A1708)))"),"")</f>
        <v/>
      </c>
      <c r="K1708" s="11"/>
      <c r="L1708" s="12"/>
      <c r="M1708" s="11"/>
      <c r="N1708" s="11"/>
      <c r="O1708" s="13"/>
      <c r="P1708" s="14"/>
      <c r="Q1708" s="13"/>
      <c r="R1708" s="13"/>
      <c r="S1708" s="15"/>
      <c r="T1708" s="16"/>
      <c r="U1708" s="16"/>
      <c r="V1708" s="16"/>
      <c r="W1708" s="16"/>
      <c r="X1708" s="16"/>
      <c r="Y1708" s="11"/>
      <c r="Z1708" s="11"/>
      <c r="AA1708" s="11"/>
      <c r="AB1708" s="11"/>
      <c r="AC1708" s="11"/>
      <c r="AD1708" s="11"/>
    </row>
    <row r="1709">
      <c r="A1709" s="10"/>
      <c r="B1709" s="10"/>
      <c r="C1709" s="10"/>
      <c r="D1709" s="10"/>
      <c r="E1709" s="10"/>
      <c r="F1709" s="11"/>
      <c r="G1709" s="11"/>
      <c r="H1709" s="11"/>
      <c r="I1709" s="11"/>
      <c r="J1709" s="11" t="str">
        <f>IFERROR(__xludf.DUMMYFUNCTION("iferror(if($B1709="""", ,filter(Playoff_Stats!F:Z,Playoff_Stats!A:A=$B1709,Playoff_Stats!B:B=$A1709)))"),"")</f>
        <v/>
      </c>
      <c r="K1709" s="11"/>
      <c r="L1709" s="12"/>
      <c r="M1709" s="11"/>
      <c r="N1709" s="11"/>
      <c r="O1709" s="13"/>
      <c r="P1709" s="14"/>
      <c r="Q1709" s="13"/>
      <c r="R1709" s="13"/>
      <c r="S1709" s="15"/>
      <c r="T1709" s="16"/>
      <c r="U1709" s="16"/>
      <c r="V1709" s="16"/>
      <c r="W1709" s="16"/>
      <c r="X1709" s="16"/>
      <c r="Y1709" s="11"/>
      <c r="Z1709" s="11"/>
      <c r="AA1709" s="11"/>
      <c r="AB1709" s="11"/>
      <c r="AC1709" s="11"/>
      <c r="AD1709" s="11"/>
    </row>
    <row r="1710">
      <c r="A1710" s="10"/>
      <c r="B1710" s="10"/>
      <c r="C1710" s="10"/>
      <c r="D1710" s="10"/>
      <c r="E1710" s="10"/>
      <c r="F1710" s="11"/>
      <c r="G1710" s="11"/>
      <c r="H1710" s="11"/>
      <c r="I1710" s="11"/>
      <c r="J1710" s="11" t="str">
        <f>IFERROR(__xludf.DUMMYFUNCTION("iferror(if($B1710="""", ,filter(Playoff_Stats!F:Z,Playoff_Stats!A:A=$B1710,Playoff_Stats!B:B=$A1710)))"),"")</f>
        <v/>
      </c>
      <c r="K1710" s="11"/>
      <c r="L1710" s="12"/>
      <c r="M1710" s="11"/>
      <c r="N1710" s="11"/>
      <c r="O1710" s="13"/>
      <c r="P1710" s="14"/>
      <c r="Q1710" s="13"/>
      <c r="R1710" s="13"/>
      <c r="S1710" s="15"/>
      <c r="T1710" s="16"/>
      <c r="U1710" s="16"/>
      <c r="V1710" s="16"/>
      <c r="W1710" s="16"/>
      <c r="X1710" s="16"/>
      <c r="Y1710" s="11"/>
      <c r="Z1710" s="11"/>
      <c r="AA1710" s="11"/>
      <c r="AB1710" s="11"/>
      <c r="AC1710" s="11"/>
      <c r="AD1710" s="11"/>
    </row>
    <row r="1711">
      <c r="A1711" s="10"/>
      <c r="B1711" s="10"/>
      <c r="C1711" s="10"/>
      <c r="D1711" s="10"/>
      <c r="E1711" s="10"/>
      <c r="F1711" s="11"/>
      <c r="G1711" s="11"/>
      <c r="H1711" s="11"/>
      <c r="I1711" s="11"/>
      <c r="J1711" s="11" t="str">
        <f>IFERROR(__xludf.DUMMYFUNCTION("iferror(if($B1711="""", ,filter(Playoff_Stats!F:Z,Playoff_Stats!A:A=$B1711,Playoff_Stats!B:B=$A1711)))"),"")</f>
        <v/>
      </c>
      <c r="K1711" s="11"/>
      <c r="L1711" s="12"/>
      <c r="M1711" s="11"/>
      <c r="N1711" s="11"/>
      <c r="O1711" s="13"/>
      <c r="P1711" s="14"/>
      <c r="Q1711" s="13"/>
      <c r="R1711" s="13"/>
      <c r="S1711" s="15"/>
      <c r="T1711" s="16"/>
      <c r="U1711" s="16"/>
      <c r="V1711" s="16"/>
      <c r="W1711" s="16"/>
      <c r="X1711" s="16"/>
      <c r="Y1711" s="11"/>
      <c r="Z1711" s="11"/>
      <c r="AA1711" s="11"/>
      <c r="AB1711" s="11"/>
      <c r="AC1711" s="11"/>
      <c r="AD1711" s="11"/>
    </row>
    <row r="1712">
      <c r="A1712" s="10"/>
      <c r="B1712" s="10"/>
      <c r="C1712" s="10"/>
      <c r="D1712" s="10"/>
      <c r="E1712" s="10"/>
      <c r="F1712" s="11"/>
      <c r="G1712" s="11"/>
      <c r="H1712" s="11"/>
      <c r="I1712" s="11"/>
      <c r="J1712" s="11" t="str">
        <f>IFERROR(__xludf.DUMMYFUNCTION("iferror(if($B1712="""", ,filter(Playoff_Stats!F:Z,Playoff_Stats!A:A=$B1712,Playoff_Stats!B:B=$A1712)))"),"")</f>
        <v/>
      </c>
      <c r="K1712" s="11"/>
      <c r="L1712" s="12"/>
      <c r="M1712" s="11"/>
      <c r="N1712" s="11"/>
      <c r="O1712" s="13"/>
      <c r="P1712" s="14"/>
      <c r="Q1712" s="13"/>
      <c r="R1712" s="13"/>
      <c r="S1712" s="15"/>
      <c r="T1712" s="16"/>
      <c r="U1712" s="16"/>
      <c r="V1712" s="16"/>
      <c r="W1712" s="16"/>
      <c r="X1712" s="16"/>
      <c r="Y1712" s="11"/>
      <c r="Z1712" s="11"/>
      <c r="AA1712" s="11"/>
      <c r="AB1712" s="11"/>
      <c r="AC1712" s="11"/>
      <c r="AD1712" s="11"/>
    </row>
    <row r="1713">
      <c r="A1713" s="10"/>
      <c r="B1713" s="10"/>
      <c r="C1713" s="10"/>
      <c r="D1713" s="10"/>
      <c r="E1713" s="10"/>
      <c r="F1713" s="11"/>
      <c r="G1713" s="11"/>
      <c r="H1713" s="11"/>
      <c r="I1713" s="11"/>
      <c r="J1713" s="11" t="str">
        <f>IFERROR(__xludf.DUMMYFUNCTION("iferror(if($B1713="""", ,filter(Playoff_Stats!F:Z,Playoff_Stats!A:A=$B1713,Playoff_Stats!B:B=$A1713)))"),"")</f>
        <v/>
      </c>
      <c r="K1713" s="11"/>
      <c r="L1713" s="12"/>
      <c r="M1713" s="11"/>
      <c r="N1713" s="11"/>
      <c r="O1713" s="13"/>
      <c r="P1713" s="14"/>
      <c r="Q1713" s="13"/>
      <c r="R1713" s="13"/>
      <c r="S1713" s="15"/>
      <c r="T1713" s="16"/>
      <c r="U1713" s="16"/>
      <c r="V1713" s="16"/>
      <c r="W1713" s="16"/>
      <c r="X1713" s="16"/>
      <c r="Y1713" s="11"/>
      <c r="Z1713" s="11"/>
      <c r="AA1713" s="11"/>
      <c r="AB1713" s="11"/>
      <c r="AC1713" s="11"/>
      <c r="AD1713" s="11"/>
    </row>
    <row r="1714">
      <c r="A1714" s="10"/>
      <c r="B1714" s="10"/>
      <c r="C1714" s="10"/>
      <c r="D1714" s="10"/>
      <c r="E1714" s="10"/>
      <c r="F1714" s="11"/>
      <c r="G1714" s="11"/>
      <c r="H1714" s="11"/>
      <c r="I1714" s="11"/>
      <c r="J1714" s="11" t="str">
        <f>IFERROR(__xludf.DUMMYFUNCTION("iferror(if($B1714="""", ,filter(Playoff_Stats!F:Z,Playoff_Stats!A:A=$B1714,Playoff_Stats!B:B=$A1714)))"),"")</f>
        <v/>
      </c>
      <c r="K1714" s="11"/>
      <c r="L1714" s="12"/>
      <c r="M1714" s="11"/>
      <c r="N1714" s="11"/>
      <c r="O1714" s="13"/>
      <c r="P1714" s="14"/>
      <c r="Q1714" s="13"/>
      <c r="R1714" s="13"/>
      <c r="S1714" s="15"/>
      <c r="T1714" s="16"/>
      <c r="U1714" s="16"/>
      <c r="V1714" s="16"/>
      <c r="W1714" s="16"/>
      <c r="X1714" s="16"/>
      <c r="Y1714" s="11"/>
      <c r="Z1714" s="11"/>
      <c r="AA1714" s="11"/>
      <c r="AB1714" s="11"/>
      <c r="AC1714" s="11"/>
      <c r="AD1714" s="11"/>
    </row>
    <row r="1715">
      <c r="A1715" s="10"/>
      <c r="B1715" s="10"/>
      <c r="C1715" s="10"/>
      <c r="D1715" s="10"/>
      <c r="E1715" s="10"/>
      <c r="F1715" s="11"/>
      <c r="G1715" s="11"/>
      <c r="H1715" s="11"/>
      <c r="I1715" s="11"/>
      <c r="J1715" s="11" t="str">
        <f>IFERROR(__xludf.DUMMYFUNCTION("iferror(if($B1715="""", ,filter(Playoff_Stats!F:Z,Playoff_Stats!A:A=$B1715,Playoff_Stats!B:B=$A1715)))"),"")</f>
        <v/>
      </c>
      <c r="K1715" s="11"/>
      <c r="L1715" s="12"/>
      <c r="M1715" s="11"/>
      <c r="N1715" s="11"/>
      <c r="O1715" s="13"/>
      <c r="P1715" s="14"/>
      <c r="Q1715" s="13"/>
      <c r="R1715" s="13"/>
      <c r="S1715" s="15"/>
      <c r="T1715" s="16"/>
      <c r="U1715" s="16"/>
      <c r="V1715" s="16"/>
      <c r="W1715" s="16"/>
      <c r="X1715" s="16"/>
      <c r="Y1715" s="11"/>
      <c r="Z1715" s="11"/>
      <c r="AA1715" s="11"/>
      <c r="AB1715" s="11"/>
      <c r="AC1715" s="11"/>
      <c r="AD1715" s="11"/>
    </row>
    <row r="1716">
      <c r="A1716" s="10"/>
      <c r="B1716" s="10"/>
      <c r="C1716" s="10"/>
      <c r="D1716" s="10"/>
      <c r="E1716" s="10"/>
      <c r="F1716" s="11"/>
      <c r="G1716" s="11"/>
      <c r="H1716" s="11"/>
      <c r="I1716" s="11"/>
      <c r="J1716" s="11" t="str">
        <f>IFERROR(__xludf.DUMMYFUNCTION("iferror(if($B1716="""", ,filter(Playoff_Stats!F:Z,Playoff_Stats!A:A=$B1716,Playoff_Stats!B:B=$A1716)))"),"")</f>
        <v/>
      </c>
      <c r="K1716" s="11"/>
      <c r="L1716" s="12"/>
      <c r="M1716" s="11"/>
      <c r="N1716" s="11"/>
      <c r="O1716" s="13"/>
      <c r="P1716" s="14"/>
      <c r="Q1716" s="13"/>
      <c r="R1716" s="13"/>
      <c r="S1716" s="15"/>
      <c r="T1716" s="16"/>
      <c r="U1716" s="16"/>
      <c r="V1716" s="16"/>
      <c r="W1716" s="16"/>
      <c r="X1716" s="16"/>
      <c r="Y1716" s="11"/>
      <c r="Z1716" s="11"/>
      <c r="AA1716" s="11"/>
      <c r="AB1716" s="11"/>
      <c r="AC1716" s="11"/>
      <c r="AD1716" s="11"/>
    </row>
    <row r="1717">
      <c r="A1717" s="10"/>
      <c r="B1717" s="10"/>
      <c r="C1717" s="10"/>
      <c r="D1717" s="10"/>
      <c r="E1717" s="10"/>
      <c r="F1717" s="11"/>
      <c r="G1717" s="11"/>
      <c r="H1717" s="11"/>
      <c r="I1717" s="11"/>
      <c r="J1717" s="11" t="str">
        <f>IFERROR(__xludf.DUMMYFUNCTION("iferror(if($B1717="""", ,filter(Playoff_Stats!F:Z,Playoff_Stats!A:A=$B1717,Playoff_Stats!B:B=$A1717)))"),"")</f>
        <v/>
      </c>
      <c r="K1717" s="11"/>
      <c r="L1717" s="12"/>
      <c r="M1717" s="11"/>
      <c r="N1717" s="11"/>
      <c r="O1717" s="13"/>
      <c r="P1717" s="14"/>
      <c r="Q1717" s="13"/>
      <c r="R1717" s="13"/>
      <c r="S1717" s="15"/>
      <c r="T1717" s="16"/>
      <c r="U1717" s="16"/>
      <c r="V1717" s="16"/>
      <c r="W1717" s="16"/>
      <c r="X1717" s="16"/>
      <c r="Y1717" s="11"/>
      <c r="Z1717" s="11"/>
      <c r="AA1717" s="11"/>
      <c r="AB1717" s="11"/>
      <c r="AC1717" s="11"/>
      <c r="AD1717" s="11"/>
    </row>
    <row r="1718">
      <c r="A1718" s="10"/>
      <c r="B1718" s="10"/>
      <c r="C1718" s="10"/>
      <c r="D1718" s="10"/>
      <c r="E1718" s="10"/>
      <c r="F1718" s="11"/>
      <c r="G1718" s="11"/>
      <c r="H1718" s="11"/>
      <c r="I1718" s="11"/>
      <c r="J1718" s="11" t="str">
        <f>IFERROR(__xludf.DUMMYFUNCTION("iferror(if($B1718="""", ,filter(Playoff_Stats!F:Z,Playoff_Stats!A:A=$B1718,Playoff_Stats!B:B=$A1718)))"),"")</f>
        <v/>
      </c>
      <c r="K1718" s="11"/>
      <c r="L1718" s="12"/>
      <c r="M1718" s="11"/>
      <c r="N1718" s="11"/>
      <c r="O1718" s="13"/>
      <c r="P1718" s="14"/>
      <c r="Q1718" s="13"/>
      <c r="R1718" s="13"/>
      <c r="S1718" s="15"/>
      <c r="T1718" s="16"/>
      <c r="U1718" s="16"/>
      <c r="V1718" s="16"/>
      <c r="W1718" s="16"/>
      <c r="X1718" s="16"/>
      <c r="Y1718" s="11"/>
      <c r="Z1718" s="11"/>
      <c r="AA1718" s="11"/>
      <c r="AB1718" s="11"/>
      <c r="AC1718" s="11"/>
      <c r="AD1718" s="11"/>
    </row>
    <row r="1719">
      <c r="A1719" s="10"/>
      <c r="B1719" s="10"/>
      <c r="C1719" s="10"/>
      <c r="D1719" s="10"/>
      <c r="E1719" s="10"/>
      <c r="F1719" s="11"/>
      <c r="G1719" s="11"/>
      <c r="H1719" s="11"/>
      <c r="I1719" s="11"/>
      <c r="J1719" s="11" t="str">
        <f>IFERROR(__xludf.DUMMYFUNCTION("iferror(if($B1719="""", ,filter(Playoff_Stats!F:Z,Playoff_Stats!A:A=$B1719,Playoff_Stats!B:B=$A1719)))"),"")</f>
        <v/>
      </c>
      <c r="K1719" s="11"/>
      <c r="L1719" s="12"/>
      <c r="M1719" s="11"/>
      <c r="N1719" s="11"/>
      <c r="O1719" s="13"/>
      <c r="P1719" s="14"/>
      <c r="Q1719" s="13"/>
      <c r="R1719" s="13"/>
      <c r="S1719" s="15"/>
      <c r="T1719" s="16"/>
      <c r="U1719" s="16"/>
      <c r="V1719" s="16"/>
      <c r="W1719" s="16"/>
      <c r="X1719" s="16"/>
      <c r="Y1719" s="11"/>
      <c r="Z1719" s="11"/>
      <c r="AA1719" s="11"/>
      <c r="AB1719" s="11"/>
      <c r="AC1719" s="11"/>
      <c r="AD1719" s="11"/>
    </row>
    <row r="1720">
      <c r="A1720" s="10"/>
      <c r="B1720" s="10"/>
      <c r="C1720" s="10"/>
      <c r="D1720" s="10"/>
      <c r="E1720" s="10"/>
      <c r="F1720" s="11"/>
      <c r="G1720" s="11"/>
      <c r="H1720" s="11"/>
      <c r="I1720" s="11"/>
      <c r="J1720" s="11" t="str">
        <f>IFERROR(__xludf.DUMMYFUNCTION("iferror(if($B1720="""", ,filter(Playoff_Stats!F:Z,Playoff_Stats!A:A=$B1720,Playoff_Stats!B:B=$A1720)))"),"")</f>
        <v/>
      </c>
      <c r="K1720" s="11"/>
      <c r="L1720" s="12"/>
      <c r="M1720" s="11"/>
      <c r="N1720" s="11"/>
      <c r="O1720" s="13"/>
      <c r="P1720" s="14"/>
      <c r="Q1720" s="13"/>
      <c r="R1720" s="13"/>
      <c r="S1720" s="15"/>
      <c r="T1720" s="16"/>
      <c r="U1720" s="16"/>
      <c r="V1720" s="16"/>
      <c r="W1720" s="16"/>
      <c r="X1720" s="16"/>
      <c r="Y1720" s="11"/>
      <c r="Z1720" s="11"/>
      <c r="AA1720" s="11"/>
      <c r="AB1720" s="11"/>
      <c r="AC1720" s="11"/>
      <c r="AD1720" s="11"/>
    </row>
    <row r="1721">
      <c r="A1721" s="10"/>
      <c r="B1721" s="10"/>
      <c r="C1721" s="10"/>
      <c r="D1721" s="10"/>
      <c r="E1721" s="10"/>
      <c r="F1721" s="11"/>
      <c r="G1721" s="11"/>
      <c r="H1721" s="11"/>
      <c r="I1721" s="11"/>
      <c r="J1721" s="11" t="str">
        <f>IFERROR(__xludf.DUMMYFUNCTION("iferror(if($B1721="""", ,filter(Playoff_Stats!F:Z,Playoff_Stats!A:A=$B1721,Playoff_Stats!B:B=$A1721)))"),"")</f>
        <v/>
      </c>
      <c r="K1721" s="11"/>
      <c r="L1721" s="12"/>
      <c r="M1721" s="11"/>
      <c r="N1721" s="11"/>
      <c r="O1721" s="13"/>
      <c r="P1721" s="14"/>
      <c r="Q1721" s="13"/>
      <c r="R1721" s="13"/>
      <c r="S1721" s="15"/>
      <c r="T1721" s="16"/>
      <c r="U1721" s="16"/>
      <c r="V1721" s="16"/>
      <c r="W1721" s="16"/>
      <c r="X1721" s="16"/>
      <c r="Y1721" s="11"/>
      <c r="Z1721" s="11"/>
      <c r="AA1721" s="11"/>
      <c r="AB1721" s="11"/>
      <c r="AC1721" s="11"/>
      <c r="AD1721" s="11"/>
    </row>
    <row r="1722">
      <c r="A1722" s="10"/>
      <c r="B1722" s="10"/>
      <c r="C1722" s="10"/>
      <c r="D1722" s="10"/>
      <c r="E1722" s="10"/>
      <c r="F1722" s="11"/>
      <c r="G1722" s="11"/>
      <c r="H1722" s="11"/>
      <c r="I1722" s="11"/>
      <c r="J1722" s="11" t="str">
        <f>IFERROR(__xludf.DUMMYFUNCTION("iferror(if($B1722="""", ,filter(Playoff_Stats!F:Z,Playoff_Stats!A:A=$B1722,Playoff_Stats!B:B=$A1722)))"),"")</f>
        <v/>
      </c>
      <c r="K1722" s="11"/>
      <c r="L1722" s="12"/>
      <c r="M1722" s="11"/>
      <c r="N1722" s="11"/>
      <c r="O1722" s="13"/>
      <c r="P1722" s="14"/>
      <c r="Q1722" s="13"/>
      <c r="R1722" s="13"/>
      <c r="S1722" s="15"/>
      <c r="T1722" s="16"/>
      <c r="U1722" s="16"/>
      <c r="V1722" s="16"/>
      <c r="W1722" s="16"/>
      <c r="X1722" s="16"/>
      <c r="Y1722" s="11"/>
      <c r="Z1722" s="11"/>
      <c r="AA1722" s="11"/>
      <c r="AB1722" s="11"/>
      <c r="AC1722" s="11"/>
      <c r="AD1722" s="11"/>
    </row>
    <row r="1723">
      <c r="A1723" s="10"/>
      <c r="B1723" s="10"/>
      <c r="C1723" s="10"/>
      <c r="D1723" s="10"/>
      <c r="E1723" s="10"/>
      <c r="F1723" s="11"/>
      <c r="G1723" s="11"/>
      <c r="H1723" s="11"/>
      <c r="I1723" s="11"/>
      <c r="J1723" s="11" t="str">
        <f>IFERROR(__xludf.DUMMYFUNCTION("iferror(if($B1723="""", ,filter(Playoff_Stats!F:Z,Playoff_Stats!A:A=$B1723,Playoff_Stats!B:B=$A1723)))"),"")</f>
        <v/>
      </c>
      <c r="K1723" s="11"/>
      <c r="L1723" s="12"/>
      <c r="M1723" s="11"/>
      <c r="N1723" s="11"/>
      <c r="O1723" s="13"/>
      <c r="P1723" s="14"/>
      <c r="Q1723" s="13"/>
      <c r="R1723" s="13"/>
      <c r="S1723" s="15"/>
      <c r="T1723" s="16"/>
      <c r="U1723" s="16"/>
      <c r="V1723" s="16"/>
      <c r="W1723" s="16"/>
      <c r="X1723" s="16"/>
      <c r="Y1723" s="11"/>
      <c r="Z1723" s="11"/>
      <c r="AA1723" s="11"/>
      <c r="AB1723" s="11"/>
      <c r="AC1723" s="11"/>
      <c r="AD1723" s="11"/>
    </row>
    <row r="1724">
      <c r="A1724" s="10"/>
      <c r="B1724" s="10"/>
      <c r="C1724" s="10"/>
      <c r="D1724" s="10"/>
      <c r="E1724" s="10"/>
      <c r="F1724" s="11"/>
      <c r="G1724" s="11"/>
      <c r="H1724" s="11"/>
      <c r="I1724" s="11"/>
      <c r="J1724" s="11" t="str">
        <f>IFERROR(__xludf.DUMMYFUNCTION("iferror(if($B1724="""", ,filter(Playoff_Stats!F:Z,Playoff_Stats!A:A=$B1724,Playoff_Stats!B:B=$A1724)))"),"")</f>
        <v/>
      </c>
      <c r="K1724" s="11"/>
      <c r="L1724" s="12"/>
      <c r="M1724" s="11"/>
      <c r="N1724" s="11"/>
      <c r="O1724" s="13"/>
      <c r="P1724" s="14"/>
      <c r="Q1724" s="13"/>
      <c r="R1724" s="13"/>
      <c r="S1724" s="15"/>
      <c r="T1724" s="16"/>
      <c r="U1724" s="16"/>
      <c r="V1724" s="16"/>
      <c r="W1724" s="16"/>
      <c r="X1724" s="16"/>
      <c r="Y1724" s="11"/>
      <c r="Z1724" s="11"/>
      <c r="AA1724" s="11"/>
      <c r="AB1724" s="11"/>
      <c r="AC1724" s="11"/>
      <c r="AD1724" s="11"/>
    </row>
    <row r="1725">
      <c r="A1725" s="10"/>
      <c r="B1725" s="10"/>
      <c r="C1725" s="10"/>
      <c r="D1725" s="10"/>
      <c r="E1725" s="10"/>
      <c r="F1725" s="11"/>
      <c r="G1725" s="11"/>
      <c r="H1725" s="11"/>
      <c r="I1725" s="11"/>
      <c r="J1725" s="11" t="str">
        <f>IFERROR(__xludf.DUMMYFUNCTION("iferror(if($B1725="""", ,filter(Playoff_Stats!F:Z,Playoff_Stats!A:A=$B1725,Playoff_Stats!B:B=$A1725)))"),"")</f>
        <v/>
      </c>
      <c r="K1725" s="11"/>
      <c r="L1725" s="12"/>
      <c r="M1725" s="11"/>
      <c r="N1725" s="11"/>
      <c r="O1725" s="13"/>
      <c r="P1725" s="14"/>
      <c r="Q1725" s="13"/>
      <c r="R1725" s="13"/>
      <c r="S1725" s="15"/>
      <c r="T1725" s="16"/>
      <c r="U1725" s="16"/>
      <c r="V1725" s="16"/>
      <c r="W1725" s="16"/>
      <c r="X1725" s="16"/>
      <c r="Y1725" s="11"/>
      <c r="Z1725" s="11"/>
      <c r="AA1725" s="11"/>
      <c r="AB1725" s="11"/>
      <c r="AC1725" s="11"/>
      <c r="AD1725" s="11"/>
    </row>
    <row r="1726">
      <c r="A1726" s="10"/>
      <c r="B1726" s="10"/>
      <c r="C1726" s="10"/>
      <c r="D1726" s="10"/>
      <c r="E1726" s="10"/>
      <c r="F1726" s="11"/>
      <c r="G1726" s="11"/>
      <c r="H1726" s="11"/>
      <c r="I1726" s="11"/>
      <c r="J1726" s="11" t="str">
        <f>IFERROR(__xludf.DUMMYFUNCTION("iferror(if($B1726="""", ,filter(Playoff_Stats!F:Z,Playoff_Stats!A:A=$B1726,Playoff_Stats!B:B=$A1726)))"),"")</f>
        <v/>
      </c>
      <c r="K1726" s="11"/>
      <c r="L1726" s="12"/>
      <c r="M1726" s="11"/>
      <c r="N1726" s="11"/>
      <c r="O1726" s="13"/>
      <c r="P1726" s="14"/>
      <c r="Q1726" s="13"/>
      <c r="R1726" s="13"/>
      <c r="S1726" s="15"/>
      <c r="T1726" s="16"/>
      <c r="U1726" s="16"/>
      <c r="V1726" s="16"/>
      <c r="W1726" s="16"/>
      <c r="X1726" s="16"/>
      <c r="Y1726" s="11"/>
      <c r="Z1726" s="11"/>
      <c r="AA1726" s="11"/>
      <c r="AB1726" s="11"/>
      <c r="AC1726" s="11"/>
      <c r="AD1726" s="11"/>
    </row>
    <row r="1727">
      <c r="A1727" s="10"/>
      <c r="B1727" s="10"/>
      <c r="C1727" s="10"/>
      <c r="D1727" s="10"/>
      <c r="E1727" s="10"/>
      <c r="F1727" s="11"/>
      <c r="G1727" s="11"/>
      <c r="H1727" s="11"/>
      <c r="I1727" s="11"/>
      <c r="J1727" s="11" t="str">
        <f>IFERROR(__xludf.DUMMYFUNCTION("iferror(if($B1727="""", ,filter(Playoff_Stats!F:Z,Playoff_Stats!A:A=$B1727,Playoff_Stats!B:B=$A1727)))"),"")</f>
        <v/>
      </c>
      <c r="K1727" s="11"/>
      <c r="L1727" s="12"/>
      <c r="M1727" s="11"/>
      <c r="N1727" s="11"/>
      <c r="O1727" s="13"/>
      <c r="P1727" s="14"/>
      <c r="Q1727" s="13"/>
      <c r="R1727" s="13"/>
      <c r="S1727" s="15"/>
      <c r="T1727" s="16"/>
      <c r="U1727" s="16"/>
      <c r="V1727" s="16"/>
      <c r="W1727" s="16"/>
      <c r="X1727" s="16"/>
      <c r="Y1727" s="11"/>
      <c r="Z1727" s="11"/>
      <c r="AA1727" s="11"/>
      <c r="AB1727" s="11"/>
      <c r="AC1727" s="11"/>
      <c r="AD1727" s="11"/>
    </row>
    <row r="1728">
      <c r="A1728" s="10"/>
      <c r="B1728" s="10"/>
      <c r="C1728" s="10"/>
      <c r="D1728" s="10"/>
      <c r="E1728" s="10"/>
      <c r="F1728" s="11"/>
      <c r="G1728" s="11"/>
      <c r="H1728" s="11"/>
      <c r="I1728" s="11"/>
      <c r="J1728" s="11" t="str">
        <f>IFERROR(__xludf.DUMMYFUNCTION("iferror(if($B1728="""", ,filter(Playoff_Stats!F:Z,Playoff_Stats!A:A=$B1728,Playoff_Stats!B:B=$A1728)))"),"")</f>
        <v/>
      </c>
      <c r="K1728" s="11"/>
      <c r="L1728" s="12"/>
      <c r="M1728" s="11"/>
      <c r="N1728" s="11"/>
      <c r="O1728" s="13"/>
      <c r="P1728" s="14"/>
      <c r="Q1728" s="13"/>
      <c r="R1728" s="13"/>
      <c r="S1728" s="15"/>
      <c r="T1728" s="16"/>
      <c r="U1728" s="16"/>
      <c r="V1728" s="16"/>
      <c r="W1728" s="16"/>
      <c r="X1728" s="16"/>
      <c r="Y1728" s="11"/>
      <c r="Z1728" s="11"/>
      <c r="AA1728" s="11"/>
      <c r="AB1728" s="11"/>
      <c r="AC1728" s="11"/>
      <c r="AD1728" s="11"/>
    </row>
    <row r="1729">
      <c r="A1729" s="10"/>
      <c r="B1729" s="10"/>
      <c r="C1729" s="10"/>
      <c r="D1729" s="10"/>
      <c r="E1729" s="10"/>
      <c r="F1729" s="11"/>
      <c r="G1729" s="11"/>
      <c r="H1729" s="11"/>
      <c r="I1729" s="11"/>
      <c r="J1729" s="11" t="str">
        <f>IFERROR(__xludf.DUMMYFUNCTION("iferror(if($B1729="""", ,filter(Playoff_Stats!F:Z,Playoff_Stats!A:A=$B1729,Playoff_Stats!B:B=$A1729)))"),"")</f>
        <v/>
      </c>
      <c r="K1729" s="11"/>
      <c r="L1729" s="12"/>
      <c r="M1729" s="11"/>
      <c r="N1729" s="11"/>
      <c r="O1729" s="13"/>
      <c r="P1729" s="14"/>
      <c r="Q1729" s="13"/>
      <c r="R1729" s="13"/>
      <c r="S1729" s="15"/>
      <c r="T1729" s="16"/>
      <c r="U1729" s="16"/>
      <c r="V1729" s="16"/>
      <c r="W1729" s="16"/>
      <c r="X1729" s="16"/>
      <c r="Y1729" s="11"/>
      <c r="Z1729" s="11"/>
      <c r="AA1729" s="11"/>
      <c r="AB1729" s="11"/>
      <c r="AC1729" s="11"/>
      <c r="AD1729" s="11"/>
    </row>
    <row r="1730">
      <c r="A1730" s="10"/>
      <c r="B1730" s="10"/>
      <c r="C1730" s="10"/>
      <c r="D1730" s="10"/>
      <c r="E1730" s="10"/>
      <c r="F1730" s="11"/>
      <c r="G1730" s="11"/>
      <c r="H1730" s="11"/>
      <c r="I1730" s="11"/>
      <c r="J1730" s="11" t="str">
        <f>IFERROR(__xludf.DUMMYFUNCTION("iferror(if($B1730="""", ,filter(Playoff_Stats!F:Z,Playoff_Stats!A:A=$B1730,Playoff_Stats!B:B=$A1730)))"),"")</f>
        <v/>
      </c>
      <c r="K1730" s="11"/>
      <c r="L1730" s="12"/>
      <c r="M1730" s="11"/>
      <c r="N1730" s="11"/>
      <c r="O1730" s="13"/>
      <c r="P1730" s="14"/>
      <c r="Q1730" s="13"/>
      <c r="R1730" s="13"/>
      <c r="S1730" s="15"/>
      <c r="T1730" s="16"/>
      <c r="U1730" s="16"/>
      <c r="V1730" s="16"/>
      <c r="W1730" s="16"/>
      <c r="X1730" s="16"/>
      <c r="Y1730" s="11"/>
      <c r="Z1730" s="11"/>
      <c r="AA1730" s="11"/>
      <c r="AB1730" s="11"/>
      <c r="AC1730" s="11"/>
      <c r="AD1730" s="11"/>
    </row>
    <row r="1731">
      <c r="A1731" s="10"/>
      <c r="B1731" s="10"/>
      <c r="C1731" s="10"/>
      <c r="D1731" s="10"/>
      <c r="E1731" s="10"/>
      <c r="F1731" s="11"/>
      <c r="G1731" s="11"/>
      <c r="H1731" s="11"/>
      <c r="I1731" s="11"/>
      <c r="J1731" s="11" t="str">
        <f>IFERROR(__xludf.DUMMYFUNCTION("iferror(if($B1731="""", ,filter(Playoff_Stats!F:Z,Playoff_Stats!A:A=$B1731,Playoff_Stats!B:B=$A1731)))"),"")</f>
        <v/>
      </c>
      <c r="K1731" s="11"/>
      <c r="L1731" s="12"/>
      <c r="M1731" s="11"/>
      <c r="N1731" s="11"/>
      <c r="O1731" s="13"/>
      <c r="P1731" s="14"/>
      <c r="Q1731" s="13"/>
      <c r="R1731" s="13"/>
      <c r="S1731" s="15"/>
      <c r="T1731" s="16"/>
      <c r="U1731" s="16"/>
      <c r="V1731" s="16"/>
      <c r="W1731" s="16"/>
      <c r="X1731" s="16"/>
      <c r="Y1731" s="11"/>
      <c r="Z1731" s="11"/>
      <c r="AA1731" s="11"/>
      <c r="AB1731" s="11"/>
      <c r="AC1731" s="11"/>
      <c r="AD1731" s="11"/>
    </row>
    <row r="1732">
      <c r="A1732" s="10"/>
      <c r="B1732" s="10"/>
      <c r="C1732" s="10"/>
      <c r="D1732" s="10"/>
      <c r="E1732" s="10"/>
      <c r="F1732" s="11"/>
      <c r="G1732" s="11"/>
      <c r="H1732" s="11"/>
      <c r="I1732" s="11"/>
      <c r="J1732" s="11" t="str">
        <f>IFERROR(__xludf.DUMMYFUNCTION("iferror(if($B1732="""", ,filter(Playoff_Stats!F:Z,Playoff_Stats!A:A=$B1732,Playoff_Stats!B:B=$A1732)))"),"")</f>
        <v/>
      </c>
      <c r="K1732" s="11"/>
      <c r="L1732" s="12"/>
      <c r="M1732" s="11"/>
      <c r="N1732" s="11"/>
      <c r="O1732" s="13"/>
      <c r="P1732" s="14"/>
      <c r="Q1732" s="13"/>
      <c r="R1732" s="13"/>
      <c r="S1732" s="15"/>
      <c r="T1732" s="16"/>
      <c r="U1732" s="16"/>
      <c r="V1732" s="16"/>
      <c r="W1732" s="16"/>
      <c r="X1732" s="16"/>
      <c r="Y1732" s="11"/>
      <c r="Z1732" s="11"/>
      <c r="AA1732" s="11"/>
      <c r="AB1732" s="11"/>
      <c r="AC1732" s="11"/>
      <c r="AD1732" s="11"/>
    </row>
    <row r="1733">
      <c r="A1733" s="10"/>
      <c r="B1733" s="10"/>
      <c r="C1733" s="10"/>
      <c r="D1733" s="10"/>
      <c r="E1733" s="10"/>
      <c r="F1733" s="11"/>
      <c r="G1733" s="11"/>
      <c r="H1733" s="11"/>
      <c r="I1733" s="11"/>
      <c r="J1733" s="11" t="str">
        <f>IFERROR(__xludf.DUMMYFUNCTION("iferror(if($B1733="""", ,filter(Playoff_Stats!F:Z,Playoff_Stats!A:A=$B1733,Playoff_Stats!B:B=$A1733)))"),"")</f>
        <v/>
      </c>
      <c r="K1733" s="11"/>
      <c r="L1733" s="12"/>
      <c r="M1733" s="11"/>
      <c r="N1733" s="11"/>
      <c r="O1733" s="13"/>
      <c r="P1733" s="14"/>
      <c r="Q1733" s="13"/>
      <c r="R1733" s="13"/>
      <c r="S1733" s="15"/>
      <c r="T1733" s="16"/>
      <c r="U1733" s="16"/>
      <c r="V1733" s="16"/>
      <c r="W1733" s="16"/>
      <c r="X1733" s="16"/>
      <c r="Y1733" s="11"/>
      <c r="Z1733" s="11"/>
      <c r="AA1733" s="11"/>
      <c r="AB1733" s="11"/>
      <c r="AC1733" s="11"/>
      <c r="AD1733" s="11"/>
    </row>
    <row r="1734">
      <c r="A1734" s="10"/>
      <c r="B1734" s="10"/>
      <c r="C1734" s="10"/>
      <c r="D1734" s="10"/>
      <c r="E1734" s="10"/>
      <c r="F1734" s="11"/>
      <c r="G1734" s="11"/>
      <c r="H1734" s="11"/>
      <c r="I1734" s="11"/>
      <c r="J1734" s="11" t="str">
        <f>IFERROR(__xludf.DUMMYFUNCTION("iferror(if($B1734="""", ,filter(Playoff_Stats!F:Z,Playoff_Stats!A:A=$B1734,Playoff_Stats!B:B=$A1734)))"),"")</f>
        <v/>
      </c>
      <c r="K1734" s="11"/>
      <c r="L1734" s="12"/>
      <c r="M1734" s="11"/>
      <c r="N1734" s="11"/>
      <c r="O1734" s="13"/>
      <c r="P1734" s="14"/>
      <c r="Q1734" s="13"/>
      <c r="R1734" s="13"/>
      <c r="S1734" s="15"/>
      <c r="T1734" s="16"/>
      <c r="U1734" s="16"/>
      <c r="V1734" s="16"/>
      <c r="W1734" s="16"/>
      <c r="X1734" s="16"/>
      <c r="Y1734" s="11"/>
      <c r="Z1734" s="11"/>
      <c r="AA1734" s="11"/>
      <c r="AB1734" s="11"/>
      <c r="AC1734" s="11"/>
      <c r="AD1734" s="11"/>
    </row>
    <row r="1735">
      <c r="A1735" s="10"/>
      <c r="B1735" s="10"/>
      <c r="C1735" s="10"/>
      <c r="D1735" s="10"/>
      <c r="E1735" s="10"/>
      <c r="F1735" s="11"/>
      <c r="G1735" s="11"/>
      <c r="H1735" s="11"/>
      <c r="I1735" s="11"/>
      <c r="J1735" s="11" t="str">
        <f>IFERROR(__xludf.DUMMYFUNCTION("iferror(if($B1735="""", ,filter(Playoff_Stats!F:Z,Playoff_Stats!A:A=$B1735,Playoff_Stats!B:B=$A1735)))"),"")</f>
        <v/>
      </c>
      <c r="K1735" s="11"/>
      <c r="L1735" s="12"/>
      <c r="M1735" s="11"/>
      <c r="N1735" s="11"/>
      <c r="O1735" s="13"/>
      <c r="P1735" s="14"/>
      <c r="Q1735" s="13"/>
      <c r="R1735" s="13"/>
      <c r="S1735" s="15"/>
      <c r="T1735" s="16"/>
      <c r="U1735" s="16"/>
      <c r="V1735" s="16"/>
      <c r="W1735" s="16"/>
      <c r="X1735" s="16"/>
      <c r="Y1735" s="11"/>
      <c r="Z1735" s="11"/>
      <c r="AA1735" s="11"/>
      <c r="AB1735" s="11"/>
      <c r="AC1735" s="11"/>
      <c r="AD1735" s="11"/>
    </row>
    <row r="1736">
      <c r="A1736" s="10"/>
      <c r="B1736" s="10"/>
      <c r="C1736" s="10"/>
      <c r="D1736" s="10"/>
      <c r="E1736" s="10"/>
      <c r="F1736" s="11"/>
      <c r="G1736" s="11"/>
      <c r="H1736" s="11"/>
      <c r="I1736" s="11"/>
      <c r="J1736" s="11" t="str">
        <f>IFERROR(__xludf.DUMMYFUNCTION("iferror(if($B1736="""", ,filter(Playoff_Stats!F:Z,Playoff_Stats!A:A=$B1736,Playoff_Stats!B:B=$A1736)))"),"")</f>
        <v/>
      </c>
      <c r="K1736" s="11"/>
      <c r="L1736" s="12"/>
      <c r="M1736" s="11"/>
      <c r="N1736" s="11"/>
      <c r="O1736" s="13"/>
      <c r="P1736" s="14"/>
      <c r="Q1736" s="13"/>
      <c r="R1736" s="13"/>
      <c r="S1736" s="15"/>
      <c r="T1736" s="16"/>
      <c r="U1736" s="16"/>
      <c r="V1736" s="16"/>
      <c r="W1736" s="16"/>
      <c r="X1736" s="16"/>
      <c r="Y1736" s="11"/>
      <c r="Z1736" s="11"/>
      <c r="AA1736" s="11"/>
      <c r="AB1736" s="11"/>
      <c r="AC1736" s="11"/>
      <c r="AD1736" s="11"/>
    </row>
    <row r="1737">
      <c r="A1737" s="10"/>
      <c r="B1737" s="10"/>
      <c r="C1737" s="10"/>
      <c r="D1737" s="10"/>
      <c r="E1737" s="10"/>
      <c r="F1737" s="11"/>
      <c r="G1737" s="11"/>
      <c r="H1737" s="11"/>
      <c r="I1737" s="11"/>
      <c r="J1737" s="11" t="str">
        <f>IFERROR(__xludf.DUMMYFUNCTION("iferror(if($B1737="""", ,filter(Playoff_Stats!F:Z,Playoff_Stats!A:A=$B1737,Playoff_Stats!B:B=$A1737)))"),"")</f>
        <v/>
      </c>
      <c r="K1737" s="11"/>
      <c r="L1737" s="12"/>
      <c r="M1737" s="11"/>
      <c r="N1737" s="11"/>
      <c r="O1737" s="13"/>
      <c r="P1737" s="14"/>
      <c r="Q1737" s="13"/>
      <c r="R1737" s="13"/>
      <c r="S1737" s="15"/>
      <c r="T1737" s="16"/>
      <c r="U1737" s="16"/>
      <c r="V1737" s="16"/>
      <c r="W1737" s="16"/>
      <c r="X1737" s="16"/>
      <c r="Y1737" s="11"/>
      <c r="Z1737" s="11"/>
      <c r="AA1737" s="11"/>
      <c r="AB1737" s="11"/>
      <c r="AC1737" s="11"/>
      <c r="AD1737" s="11"/>
    </row>
    <row r="1738">
      <c r="A1738" s="10"/>
      <c r="B1738" s="10"/>
      <c r="C1738" s="10"/>
      <c r="D1738" s="10"/>
      <c r="E1738" s="10"/>
      <c r="F1738" s="11"/>
      <c r="G1738" s="11"/>
      <c r="H1738" s="11"/>
      <c r="I1738" s="11"/>
      <c r="J1738" s="11" t="str">
        <f>IFERROR(__xludf.DUMMYFUNCTION("iferror(if($B1738="""", ,filter(Playoff_Stats!F:Z,Playoff_Stats!A:A=$B1738,Playoff_Stats!B:B=$A1738)))"),"")</f>
        <v/>
      </c>
      <c r="K1738" s="11"/>
      <c r="L1738" s="12"/>
      <c r="M1738" s="11"/>
      <c r="N1738" s="11"/>
      <c r="O1738" s="13"/>
      <c r="P1738" s="14"/>
      <c r="Q1738" s="13"/>
      <c r="R1738" s="13"/>
      <c r="S1738" s="15"/>
      <c r="T1738" s="16"/>
      <c r="U1738" s="16"/>
      <c r="V1738" s="16"/>
      <c r="W1738" s="16"/>
      <c r="X1738" s="16"/>
      <c r="Y1738" s="11"/>
      <c r="Z1738" s="11"/>
      <c r="AA1738" s="11"/>
      <c r="AB1738" s="11"/>
      <c r="AC1738" s="11"/>
      <c r="AD1738" s="11"/>
    </row>
    <row r="1739">
      <c r="A1739" s="10"/>
      <c r="B1739" s="10"/>
      <c r="C1739" s="10"/>
      <c r="D1739" s="10"/>
      <c r="E1739" s="10"/>
      <c r="F1739" s="11"/>
      <c r="G1739" s="11"/>
      <c r="H1739" s="11"/>
      <c r="I1739" s="11"/>
      <c r="J1739" s="11" t="str">
        <f>IFERROR(__xludf.DUMMYFUNCTION("iferror(if($B1739="""", ,filter(Playoff_Stats!F:Z,Playoff_Stats!A:A=$B1739,Playoff_Stats!B:B=$A1739)))"),"")</f>
        <v/>
      </c>
      <c r="K1739" s="11"/>
      <c r="L1739" s="12"/>
      <c r="M1739" s="11"/>
      <c r="N1739" s="11"/>
      <c r="O1739" s="13"/>
      <c r="P1739" s="14"/>
      <c r="Q1739" s="13"/>
      <c r="R1739" s="13"/>
      <c r="S1739" s="15"/>
      <c r="T1739" s="16"/>
      <c r="U1739" s="16"/>
      <c r="V1739" s="16"/>
      <c r="W1739" s="16"/>
      <c r="X1739" s="16"/>
      <c r="Y1739" s="11"/>
      <c r="Z1739" s="11"/>
      <c r="AA1739" s="11"/>
      <c r="AB1739" s="11"/>
      <c r="AC1739" s="11"/>
      <c r="AD1739" s="11"/>
    </row>
    <row r="1740">
      <c r="A1740" s="10"/>
      <c r="B1740" s="10"/>
      <c r="C1740" s="10"/>
      <c r="D1740" s="10"/>
      <c r="E1740" s="10"/>
      <c r="F1740" s="11"/>
      <c r="G1740" s="11"/>
      <c r="H1740" s="11"/>
      <c r="I1740" s="11"/>
      <c r="J1740" s="11" t="str">
        <f>IFERROR(__xludf.DUMMYFUNCTION("iferror(if($B1740="""", ,filter(Playoff_Stats!F:Z,Playoff_Stats!A:A=$B1740,Playoff_Stats!B:B=$A1740)))"),"")</f>
        <v/>
      </c>
      <c r="K1740" s="11"/>
      <c r="L1740" s="12"/>
      <c r="M1740" s="11"/>
      <c r="N1740" s="11"/>
      <c r="O1740" s="13"/>
      <c r="P1740" s="14"/>
      <c r="Q1740" s="13"/>
      <c r="R1740" s="13"/>
      <c r="S1740" s="15"/>
      <c r="T1740" s="16"/>
      <c r="U1740" s="16"/>
      <c r="V1740" s="16"/>
      <c r="W1740" s="16"/>
      <c r="X1740" s="16"/>
      <c r="Y1740" s="11"/>
      <c r="Z1740" s="11"/>
      <c r="AA1740" s="11"/>
      <c r="AB1740" s="11"/>
      <c r="AC1740" s="11"/>
      <c r="AD1740" s="11"/>
    </row>
    <row r="1741">
      <c r="A1741" s="10"/>
      <c r="B1741" s="10"/>
      <c r="C1741" s="10"/>
      <c r="D1741" s="10"/>
      <c r="E1741" s="10"/>
      <c r="F1741" s="11"/>
      <c r="G1741" s="11"/>
      <c r="H1741" s="11"/>
      <c r="I1741" s="11"/>
      <c r="J1741" s="11" t="str">
        <f>IFERROR(__xludf.DUMMYFUNCTION("iferror(if($B1741="""", ,filter(Playoff_Stats!F:Z,Playoff_Stats!A:A=$B1741,Playoff_Stats!B:B=$A1741)))"),"")</f>
        <v/>
      </c>
      <c r="K1741" s="11"/>
      <c r="L1741" s="12"/>
      <c r="M1741" s="11"/>
      <c r="N1741" s="11"/>
      <c r="O1741" s="13"/>
      <c r="P1741" s="14"/>
      <c r="Q1741" s="13"/>
      <c r="R1741" s="13"/>
      <c r="S1741" s="15"/>
      <c r="T1741" s="16"/>
      <c r="U1741" s="16"/>
      <c r="V1741" s="16"/>
      <c r="W1741" s="16"/>
      <c r="X1741" s="16"/>
      <c r="Y1741" s="11"/>
      <c r="Z1741" s="11"/>
      <c r="AA1741" s="11"/>
      <c r="AB1741" s="11"/>
      <c r="AC1741" s="11"/>
      <c r="AD1741" s="11"/>
    </row>
    <row r="1742">
      <c r="A1742" s="10"/>
      <c r="B1742" s="10"/>
      <c r="C1742" s="10"/>
      <c r="D1742" s="10"/>
      <c r="E1742" s="10"/>
      <c r="F1742" s="11"/>
      <c r="G1742" s="11"/>
      <c r="H1742" s="11"/>
      <c r="I1742" s="11"/>
      <c r="J1742" s="11" t="str">
        <f>IFERROR(__xludf.DUMMYFUNCTION("iferror(if($B1742="""", ,filter(Playoff_Stats!F:Z,Playoff_Stats!A:A=$B1742,Playoff_Stats!B:B=$A1742)))"),"")</f>
        <v/>
      </c>
      <c r="K1742" s="11"/>
      <c r="L1742" s="12"/>
      <c r="M1742" s="11"/>
      <c r="N1742" s="11"/>
      <c r="O1742" s="13"/>
      <c r="P1742" s="14"/>
      <c r="Q1742" s="13"/>
      <c r="R1742" s="13"/>
      <c r="S1742" s="15"/>
      <c r="T1742" s="16"/>
      <c r="U1742" s="16"/>
      <c r="V1742" s="16"/>
      <c r="W1742" s="16"/>
      <c r="X1742" s="16"/>
      <c r="Y1742" s="11"/>
      <c r="Z1742" s="11"/>
      <c r="AA1742" s="11"/>
      <c r="AB1742" s="11"/>
      <c r="AC1742" s="11"/>
      <c r="AD1742" s="11"/>
    </row>
    <row r="1743">
      <c r="A1743" s="10"/>
      <c r="B1743" s="10"/>
      <c r="C1743" s="10"/>
      <c r="D1743" s="10"/>
      <c r="E1743" s="10"/>
      <c r="F1743" s="11"/>
      <c r="G1743" s="11"/>
      <c r="H1743" s="11"/>
      <c r="I1743" s="11"/>
      <c r="J1743" s="11" t="str">
        <f>IFERROR(__xludf.DUMMYFUNCTION("iferror(if($B1743="""", ,filter(Playoff_Stats!F:Z,Playoff_Stats!A:A=$B1743,Playoff_Stats!B:B=$A1743)))"),"")</f>
        <v/>
      </c>
      <c r="K1743" s="11"/>
      <c r="L1743" s="12"/>
      <c r="M1743" s="11"/>
      <c r="N1743" s="11"/>
      <c r="O1743" s="13"/>
      <c r="P1743" s="14"/>
      <c r="Q1743" s="13"/>
      <c r="R1743" s="13"/>
      <c r="S1743" s="15"/>
      <c r="T1743" s="16"/>
      <c r="U1743" s="16"/>
      <c r="V1743" s="16"/>
      <c r="W1743" s="16"/>
      <c r="X1743" s="16"/>
      <c r="Y1743" s="11"/>
      <c r="Z1743" s="11"/>
      <c r="AA1743" s="11"/>
      <c r="AB1743" s="11"/>
      <c r="AC1743" s="11"/>
      <c r="AD1743" s="11"/>
    </row>
    <row r="1744">
      <c r="A1744" s="10"/>
      <c r="B1744" s="10"/>
      <c r="C1744" s="10"/>
      <c r="D1744" s="10"/>
      <c r="E1744" s="10"/>
      <c r="F1744" s="11"/>
      <c r="G1744" s="11"/>
      <c r="H1744" s="11"/>
      <c r="I1744" s="11"/>
      <c r="J1744" s="11" t="str">
        <f>IFERROR(__xludf.DUMMYFUNCTION("iferror(if($B1744="""", ,filter(Playoff_Stats!F:Z,Playoff_Stats!A:A=$B1744,Playoff_Stats!B:B=$A1744)))"),"")</f>
        <v/>
      </c>
      <c r="K1744" s="11"/>
      <c r="L1744" s="12"/>
      <c r="M1744" s="11"/>
      <c r="N1744" s="11"/>
      <c r="O1744" s="13"/>
      <c r="P1744" s="14"/>
      <c r="Q1744" s="13"/>
      <c r="R1744" s="13"/>
      <c r="S1744" s="15"/>
      <c r="T1744" s="16"/>
      <c r="U1744" s="16"/>
      <c r="V1744" s="16"/>
      <c r="W1744" s="16"/>
      <c r="X1744" s="16"/>
      <c r="Y1744" s="11"/>
      <c r="Z1744" s="11"/>
      <c r="AA1744" s="11"/>
      <c r="AB1744" s="11"/>
      <c r="AC1744" s="11"/>
      <c r="AD1744" s="11"/>
    </row>
    <row r="1745">
      <c r="A1745" s="10"/>
      <c r="B1745" s="10"/>
      <c r="C1745" s="10"/>
      <c r="D1745" s="10"/>
      <c r="E1745" s="10"/>
      <c r="F1745" s="11"/>
      <c r="G1745" s="11"/>
      <c r="H1745" s="11"/>
      <c r="I1745" s="11"/>
      <c r="J1745" s="11" t="str">
        <f>IFERROR(__xludf.DUMMYFUNCTION("iferror(if($B1745="""", ,filter(Playoff_Stats!F:Z,Playoff_Stats!A:A=$B1745,Playoff_Stats!B:B=$A1745)))"),"")</f>
        <v/>
      </c>
      <c r="K1745" s="11"/>
      <c r="L1745" s="12"/>
      <c r="M1745" s="11"/>
      <c r="N1745" s="11"/>
      <c r="O1745" s="13"/>
      <c r="P1745" s="14"/>
      <c r="Q1745" s="13"/>
      <c r="R1745" s="13"/>
      <c r="S1745" s="15"/>
      <c r="T1745" s="16"/>
      <c r="U1745" s="16"/>
      <c r="V1745" s="16"/>
      <c r="W1745" s="16"/>
      <c r="X1745" s="16"/>
      <c r="Y1745" s="11"/>
      <c r="Z1745" s="11"/>
      <c r="AA1745" s="11"/>
      <c r="AB1745" s="11"/>
      <c r="AC1745" s="11"/>
      <c r="AD1745" s="11"/>
    </row>
    <row r="1746">
      <c r="A1746" s="10"/>
      <c r="B1746" s="10"/>
      <c r="C1746" s="10"/>
      <c r="D1746" s="10"/>
      <c r="E1746" s="10"/>
      <c r="F1746" s="11"/>
      <c r="G1746" s="11"/>
      <c r="H1746" s="11"/>
      <c r="I1746" s="11"/>
      <c r="J1746" s="11" t="str">
        <f>IFERROR(__xludf.DUMMYFUNCTION("iferror(if($B1746="""", ,filter(Playoff_Stats!F:Z,Playoff_Stats!A:A=$B1746,Playoff_Stats!B:B=$A1746)))"),"")</f>
        <v/>
      </c>
      <c r="K1746" s="11"/>
      <c r="L1746" s="12"/>
      <c r="M1746" s="11"/>
      <c r="N1746" s="11"/>
      <c r="O1746" s="13"/>
      <c r="P1746" s="14"/>
      <c r="Q1746" s="13"/>
      <c r="R1746" s="13"/>
      <c r="S1746" s="15"/>
      <c r="T1746" s="16"/>
      <c r="U1746" s="16"/>
      <c r="V1746" s="16"/>
      <c r="W1746" s="16"/>
      <c r="X1746" s="16"/>
      <c r="Y1746" s="11"/>
      <c r="Z1746" s="11"/>
      <c r="AA1746" s="11"/>
      <c r="AB1746" s="11"/>
      <c r="AC1746" s="11"/>
      <c r="AD1746" s="11"/>
    </row>
    <row r="1747">
      <c r="A1747" s="10"/>
      <c r="B1747" s="10"/>
      <c r="C1747" s="10"/>
      <c r="D1747" s="10"/>
      <c r="E1747" s="10"/>
      <c r="F1747" s="11"/>
      <c r="G1747" s="11"/>
      <c r="H1747" s="11"/>
      <c r="I1747" s="11"/>
      <c r="J1747" s="11" t="str">
        <f>IFERROR(__xludf.DUMMYFUNCTION("iferror(if($B1747="""", ,filter(Playoff_Stats!F:Z,Playoff_Stats!A:A=$B1747,Playoff_Stats!B:B=$A1747)))"),"")</f>
        <v/>
      </c>
      <c r="K1747" s="11"/>
      <c r="L1747" s="12"/>
      <c r="M1747" s="11"/>
      <c r="N1747" s="11"/>
      <c r="O1747" s="13"/>
      <c r="P1747" s="14"/>
      <c r="Q1747" s="13"/>
      <c r="R1747" s="13"/>
      <c r="S1747" s="15"/>
      <c r="T1747" s="16"/>
      <c r="U1747" s="16"/>
      <c r="V1747" s="16"/>
      <c r="W1747" s="16"/>
      <c r="X1747" s="16"/>
      <c r="Y1747" s="11"/>
      <c r="Z1747" s="11"/>
      <c r="AA1747" s="11"/>
      <c r="AB1747" s="11"/>
      <c r="AC1747" s="11"/>
      <c r="AD1747" s="11"/>
    </row>
    <row r="1748">
      <c r="A1748" s="10"/>
      <c r="B1748" s="10"/>
      <c r="C1748" s="10"/>
      <c r="D1748" s="10"/>
      <c r="E1748" s="10"/>
      <c r="F1748" s="11"/>
      <c r="G1748" s="11"/>
      <c r="H1748" s="11"/>
      <c r="I1748" s="11"/>
      <c r="J1748" s="11" t="str">
        <f>IFERROR(__xludf.DUMMYFUNCTION("iferror(if($B1748="""", ,filter(Playoff_Stats!F:Z,Playoff_Stats!A:A=$B1748,Playoff_Stats!B:B=$A1748)))"),"")</f>
        <v/>
      </c>
      <c r="K1748" s="11"/>
      <c r="L1748" s="12"/>
      <c r="M1748" s="11"/>
      <c r="N1748" s="11"/>
      <c r="O1748" s="13"/>
      <c r="P1748" s="14"/>
      <c r="Q1748" s="13"/>
      <c r="R1748" s="13"/>
      <c r="S1748" s="15"/>
      <c r="T1748" s="16"/>
      <c r="U1748" s="16"/>
      <c r="V1748" s="16"/>
      <c r="W1748" s="16"/>
      <c r="X1748" s="16"/>
      <c r="Y1748" s="11"/>
      <c r="Z1748" s="11"/>
      <c r="AA1748" s="11"/>
      <c r="AB1748" s="11"/>
      <c r="AC1748" s="11"/>
      <c r="AD1748" s="11"/>
    </row>
    <row r="1749">
      <c r="A1749" s="10"/>
      <c r="B1749" s="10"/>
      <c r="C1749" s="10"/>
      <c r="D1749" s="10"/>
      <c r="E1749" s="10"/>
      <c r="F1749" s="11"/>
      <c r="G1749" s="11"/>
      <c r="H1749" s="11"/>
      <c r="I1749" s="11"/>
      <c r="J1749" s="11" t="str">
        <f>IFERROR(__xludf.DUMMYFUNCTION("iferror(if($B1749="""", ,filter(Playoff_Stats!F:Z,Playoff_Stats!A:A=$B1749,Playoff_Stats!B:B=$A1749)))"),"")</f>
        <v/>
      </c>
      <c r="K1749" s="11"/>
      <c r="L1749" s="12"/>
      <c r="M1749" s="11"/>
      <c r="N1749" s="11"/>
      <c r="O1749" s="13"/>
      <c r="P1749" s="14"/>
      <c r="Q1749" s="13"/>
      <c r="R1749" s="13"/>
      <c r="S1749" s="15"/>
      <c r="T1749" s="16"/>
      <c r="U1749" s="16"/>
      <c r="V1749" s="16"/>
      <c r="W1749" s="16"/>
      <c r="X1749" s="16"/>
      <c r="Y1749" s="11"/>
      <c r="Z1749" s="11"/>
      <c r="AA1749" s="11"/>
      <c r="AB1749" s="11"/>
      <c r="AC1749" s="11"/>
      <c r="AD1749" s="11"/>
    </row>
    <row r="1750">
      <c r="A1750" s="10"/>
      <c r="B1750" s="10"/>
      <c r="C1750" s="10"/>
      <c r="D1750" s="10"/>
      <c r="E1750" s="10"/>
      <c r="F1750" s="11"/>
      <c r="G1750" s="11"/>
      <c r="H1750" s="11"/>
      <c r="I1750" s="11"/>
      <c r="J1750" s="11" t="str">
        <f>IFERROR(__xludf.DUMMYFUNCTION("iferror(if($B1750="""", ,filter(Playoff_Stats!F:Z,Playoff_Stats!A:A=$B1750,Playoff_Stats!B:B=$A1750)))"),"")</f>
        <v/>
      </c>
      <c r="K1750" s="11"/>
      <c r="L1750" s="12"/>
      <c r="M1750" s="11"/>
      <c r="N1750" s="11"/>
      <c r="O1750" s="13"/>
      <c r="P1750" s="14"/>
      <c r="Q1750" s="13"/>
      <c r="R1750" s="13"/>
      <c r="S1750" s="15"/>
      <c r="T1750" s="16"/>
      <c r="U1750" s="16"/>
      <c r="V1750" s="16"/>
      <c r="W1750" s="16"/>
      <c r="X1750" s="16"/>
      <c r="Y1750" s="11"/>
      <c r="Z1750" s="11"/>
      <c r="AA1750" s="11"/>
      <c r="AB1750" s="11"/>
      <c r="AC1750" s="11"/>
      <c r="AD1750" s="11"/>
    </row>
    <row r="1751">
      <c r="A1751" s="10"/>
      <c r="B1751" s="10"/>
      <c r="C1751" s="10"/>
      <c r="D1751" s="10"/>
      <c r="E1751" s="10"/>
      <c r="F1751" s="11"/>
      <c r="G1751" s="11"/>
      <c r="H1751" s="11"/>
      <c r="I1751" s="11"/>
      <c r="J1751" s="11" t="str">
        <f>IFERROR(__xludf.DUMMYFUNCTION("iferror(if($B1751="""", ,filter(Playoff_Stats!F:Z,Playoff_Stats!A:A=$B1751,Playoff_Stats!B:B=$A1751)))"),"")</f>
        <v/>
      </c>
      <c r="K1751" s="11"/>
      <c r="L1751" s="12"/>
      <c r="M1751" s="11"/>
      <c r="N1751" s="11"/>
      <c r="O1751" s="13"/>
      <c r="P1751" s="14"/>
      <c r="Q1751" s="13"/>
      <c r="R1751" s="13"/>
      <c r="S1751" s="15"/>
      <c r="T1751" s="16"/>
      <c r="U1751" s="16"/>
      <c r="V1751" s="16"/>
      <c r="W1751" s="16"/>
      <c r="X1751" s="16"/>
      <c r="Y1751" s="11"/>
      <c r="Z1751" s="11"/>
      <c r="AA1751" s="11"/>
      <c r="AB1751" s="11"/>
      <c r="AC1751" s="11"/>
      <c r="AD1751" s="11"/>
    </row>
    <row r="1752">
      <c r="A1752" s="10"/>
      <c r="B1752" s="10"/>
      <c r="C1752" s="10"/>
      <c r="D1752" s="10"/>
      <c r="E1752" s="10"/>
      <c r="F1752" s="11"/>
      <c r="G1752" s="11"/>
      <c r="H1752" s="11"/>
      <c r="I1752" s="11"/>
      <c r="J1752" s="11" t="str">
        <f>IFERROR(__xludf.DUMMYFUNCTION("iferror(if($B1752="""", ,filter(Playoff_Stats!F:Z,Playoff_Stats!A:A=$B1752,Playoff_Stats!B:B=$A1752)))"),"")</f>
        <v/>
      </c>
      <c r="K1752" s="11"/>
      <c r="L1752" s="12"/>
      <c r="M1752" s="11"/>
      <c r="N1752" s="11"/>
      <c r="O1752" s="13"/>
      <c r="P1752" s="14"/>
      <c r="Q1752" s="13"/>
      <c r="R1752" s="13"/>
      <c r="S1752" s="15"/>
      <c r="T1752" s="16"/>
      <c r="U1752" s="16"/>
      <c r="V1752" s="16"/>
      <c r="W1752" s="16"/>
      <c r="X1752" s="16"/>
      <c r="Y1752" s="11"/>
      <c r="Z1752" s="11"/>
      <c r="AA1752" s="11"/>
      <c r="AB1752" s="11"/>
      <c r="AC1752" s="11"/>
      <c r="AD1752" s="11"/>
    </row>
    <row r="1753">
      <c r="A1753" s="10"/>
      <c r="B1753" s="10"/>
      <c r="C1753" s="10"/>
      <c r="D1753" s="10"/>
      <c r="E1753" s="10"/>
      <c r="F1753" s="11"/>
      <c r="G1753" s="11"/>
      <c r="H1753" s="11"/>
      <c r="I1753" s="11"/>
      <c r="J1753" s="11" t="str">
        <f>IFERROR(__xludf.DUMMYFUNCTION("iferror(if($B1753="""", ,filter(Playoff_Stats!F:Z,Playoff_Stats!A:A=$B1753,Playoff_Stats!B:B=$A1753)))"),"")</f>
        <v/>
      </c>
      <c r="K1753" s="11"/>
      <c r="L1753" s="12"/>
      <c r="M1753" s="11"/>
      <c r="N1753" s="11"/>
      <c r="O1753" s="13"/>
      <c r="P1753" s="14"/>
      <c r="Q1753" s="13"/>
      <c r="R1753" s="13"/>
      <c r="S1753" s="15"/>
      <c r="T1753" s="16"/>
      <c r="U1753" s="16"/>
      <c r="V1753" s="16"/>
      <c r="W1753" s="16"/>
      <c r="X1753" s="16"/>
      <c r="Y1753" s="11"/>
      <c r="Z1753" s="11"/>
      <c r="AA1753" s="11"/>
      <c r="AB1753" s="11"/>
      <c r="AC1753" s="11"/>
      <c r="AD1753" s="11"/>
    </row>
    <row r="1754">
      <c r="A1754" s="10"/>
      <c r="B1754" s="10"/>
      <c r="C1754" s="10"/>
      <c r="D1754" s="10"/>
      <c r="E1754" s="10"/>
      <c r="F1754" s="11"/>
      <c r="G1754" s="11"/>
      <c r="H1754" s="11"/>
      <c r="I1754" s="11"/>
      <c r="J1754" s="11" t="str">
        <f>IFERROR(__xludf.DUMMYFUNCTION("iferror(if($B1754="""", ,filter(Playoff_Stats!F:Z,Playoff_Stats!A:A=$B1754,Playoff_Stats!B:B=$A1754)))"),"")</f>
        <v/>
      </c>
      <c r="K1754" s="11"/>
      <c r="L1754" s="12"/>
      <c r="M1754" s="11"/>
      <c r="N1754" s="11"/>
      <c r="O1754" s="13"/>
      <c r="P1754" s="14"/>
      <c r="Q1754" s="13"/>
      <c r="R1754" s="13"/>
      <c r="S1754" s="15"/>
      <c r="T1754" s="16"/>
      <c r="U1754" s="16"/>
      <c r="V1754" s="16"/>
      <c r="W1754" s="16"/>
      <c r="X1754" s="16"/>
      <c r="Y1754" s="11"/>
      <c r="Z1754" s="11"/>
      <c r="AA1754" s="11"/>
      <c r="AB1754" s="11"/>
      <c r="AC1754" s="11"/>
      <c r="AD1754" s="11"/>
    </row>
    <row r="1755">
      <c r="A1755" s="10"/>
      <c r="B1755" s="10"/>
      <c r="C1755" s="10"/>
      <c r="D1755" s="10"/>
      <c r="E1755" s="10"/>
      <c r="F1755" s="11"/>
      <c r="G1755" s="11"/>
      <c r="H1755" s="11"/>
      <c r="I1755" s="11"/>
      <c r="J1755" s="11" t="str">
        <f>IFERROR(__xludf.DUMMYFUNCTION("iferror(if($B1755="""", ,filter(Playoff_Stats!F:Z,Playoff_Stats!A:A=$B1755,Playoff_Stats!B:B=$A1755)))"),"")</f>
        <v/>
      </c>
      <c r="K1755" s="11"/>
      <c r="L1755" s="12"/>
      <c r="M1755" s="11"/>
      <c r="N1755" s="11"/>
      <c r="O1755" s="13"/>
      <c r="P1755" s="14"/>
      <c r="Q1755" s="13"/>
      <c r="R1755" s="13"/>
      <c r="S1755" s="15"/>
      <c r="T1755" s="16"/>
      <c r="U1755" s="16"/>
      <c r="V1755" s="16"/>
      <c r="W1755" s="16"/>
      <c r="X1755" s="16"/>
      <c r="Y1755" s="11"/>
      <c r="Z1755" s="11"/>
      <c r="AA1755" s="11"/>
      <c r="AB1755" s="11"/>
      <c r="AC1755" s="11"/>
      <c r="AD1755" s="11"/>
    </row>
    <row r="1756">
      <c r="A1756" s="10"/>
      <c r="B1756" s="10"/>
      <c r="C1756" s="10"/>
      <c r="D1756" s="10"/>
      <c r="E1756" s="10"/>
      <c r="F1756" s="11"/>
      <c r="G1756" s="11"/>
      <c r="H1756" s="11"/>
      <c r="I1756" s="11"/>
      <c r="J1756" s="11" t="str">
        <f>IFERROR(__xludf.DUMMYFUNCTION("iferror(if($B1756="""", ,filter(Playoff_Stats!F:Z,Playoff_Stats!A:A=$B1756,Playoff_Stats!B:B=$A1756)))"),"")</f>
        <v/>
      </c>
      <c r="K1756" s="11"/>
      <c r="L1756" s="12"/>
      <c r="M1756" s="11"/>
      <c r="N1756" s="11"/>
      <c r="O1756" s="13"/>
      <c r="P1756" s="14"/>
      <c r="Q1756" s="13"/>
      <c r="R1756" s="13"/>
      <c r="S1756" s="15"/>
      <c r="T1756" s="16"/>
      <c r="U1756" s="16"/>
      <c r="V1756" s="16"/>
      <c r="W1756" s="16"/>
      <c r="X1756" s="16"/>
      <c r="Y1756" s="11"/>
      <c r="Z1756" s="11"/>
      <c r="AA1756" s="11"/>
      <c r="AB1756" s="11"/>
      <c r="AC1756" s="11"/>
      <c r="AD1756" s="11"/>
    </row>
    <row r="1757">
      <c r="A1757" s="10"/>
      <c r="B1757" s="10"/>
      <c r="C1757" s="10"/>
      <c r="D1757" s="10"/>
      <c r="E1757" s="10"/>
      <c r="F1757" s="11"/>
      <c r="G1757" s="11"/>
      <c r="H1757" s="11"/>
      <c r="I1757" s="11"/>
      <c r="J1757" s="11" t="str">
        <f>IFERROR(__xludf.DUMMYFUNCTION("iferror(if($B1757="""", ,filter(Playoff_Stats!F:Z,Playoff_Stats!A:A=$B1757,Playoff_Stats!B:B=$A1757)))"),"")</f>
        <v/>
      </c>
      <c r="K1757" s="11"/>
      <c r="L1757" s="12"/>
      <c r="M1757" s="11"/>
      <c r="N1757" s="11"/>
      <c r="O1757" s="13"/>
      <c r="P1757" s="14"/>
      <c r="Q1757" s="13"/>
      <c r="R1757" s="13"/>
      <c r="S1757" s="15"/>
      <c r="T1757" s="16"/>
      <c r="U1757" s="16"/>
      <c r="V1757" s="16"/>
      <c r="W1757" s="16"/>
      <c r="X1757" s="16"/>
      <c r="Y1757" s="11"/>
      <c r="Z1757" s="11"/>
      <c r="AA1757" s="11"/>
      <c r="AB1757" s="11"/>
      <c r="AC1757" s="11"/>
      <c r="AD1757" s="11"/>
    </row>
    <row r="1758">
      <c r="A1758" s="10"/>
      <c r="B1758" s="10"/>
      <c r="C1758" s="10"/>
      <c r="D1758" s="10"/>
      <c r="E1758" s="10"/>
      <c r="F1758" s="11"/>
      <c r="G1758" s="11"/>
      <c r="H1758" s="11"/>
      <c r="I1758" s="11"/>
      <c r="J1758" s="11" t="str">
        <f>IFERROR(__xludf.DUMMYFUNCTION("iferror(if($B1758="""", ,filter(Playoff_Stats!F:Z,Playoff_Stats!A:A=$B1758,Playoff_Stats!B:B=$A1758)))"),"")</f>
        <v/>
      </c>
      <c r="K1758" s="11"/>
      <c r="L1758" s="12"/>
      <c r="M1758" s="11"/>
      <c r="N1758" s="11"/>
      <c r="O1758" s="13"/>
      <c r="P1758" s="14"/>
      <c r="Q1758" s="13"/>
      <c r="R1758" s="13"/>
      <c r="S1758" s="15"/>
      <c r="T1758" s="16"/>
      <c r="U1758" s="16"/>
      <c r="V1758" s="16"/>
      <c r="W1758" s="16"/>
      <c r="X1758" s="16"/>
      <c r="Y1758" s="11"/>
      <c r="Z1758" s="11"/>
      <c r="AA1758" s="11"/>
      <c r="AB1758" s="11"/>
      <c r="AC1758" s="11"/>
      <c r="AD1758" s="11"/>
    </row>
    <row r="1759">
      <c r="A1759" s="10"/>
      <c r="B1759" s="10"/>
      <c r="C1759" s="10"/>
      <c r="D1759" s="10"/>
      <c r="E1759" s="10"/>
      <c r="F1759" s="11"/>
      <c r="G1759" s="11"/>
      <c r="H1759" s="11"/>
      <c r="I1759" s="11"/>
      <c r="J1759" s="11" t="str">
        <f>IFERROR(__xludf.DUMMYFUNCTION("iferror(if($B1759="""", ,filter(Playoff_Stats!F:Z,Playoff_Stats!A:A=$B1759,Playoff_Stats!B:B=$A1759)))"),"")</f>
        <v/>
      </c>
      <c r="K1759" s="11"/>
      <c r="L1759" s="12"/>
      <c r="M1759" s="11"/>
      <c r="N1759" s="11"/>
      <c r="O1759" s="13"/>
      <c r="P1759" s="14"/>
      <c r="Q1759" s="13"/>
      <c r="R1759" s="13"/>
      <c r="S1759" s="15"/>
      <c r="T1759" s="16"/>
      <c r="U1759" s="16"/>
      <c r="V1759" s="16"/>
      <c r="W1759" s="16"/>
      <c r="X1759" s="16"/>
      <c r="Y1759" s="11"/>
      <c r="Z1759" s="11"/>
      <c r="AA1759" s="11"/>
      <c r="AB1759" s="11"/>
      <c r="AC1759" s="11"/>
      <c r="AD1759" s="11"/>
    </row>
    <row r="1760">
      <c r="A1760" s="10"/>
      <c r="B1760" s="10"/>
      <c r="C1760" s="10"/>
      <c r="D1760" s="10"/>
      <c r="E1760" s="10"/>
      <c r="F1760" s="11"/>
      <c r="G1760" s="11"/>
      <c r="H1760" s="11"/>
      <c r="I1760" s="11"/>
      <c r="J1760" s="11" t="str">
        <f>IFERROR(__xludf.DUMMYFUNCTION("iferror(if($B1760="""", ,filter(Playoff_Stats!F:Z,Playoff_Stats!A:A=$B1760,Playoff_Stats!B:B=$A1760)))"),"")</f>
        <v/>
      </c>
      <c r="K1760" s="11"/>
      <c r="L1760" s="12"/>
      <c r="M1760" s="11"/>
      <c r="N1760" s="11"/>
      <c r="O1760" s="13"/>
      <c r="P1760" s="14"/>
      <c r="Q1760" s="13"/>
      <c r="R1760" s="13"/>
      <c r="S1760" s="15"/>
      <c r="T1760" s="16"/>
      <c r="U1760" s="16"/>
      <c r="V1760" s="16"/>
      <c r="W1760" s="16"/>
      <c r="X1760" s="16"/>
      <c r="Y1760" s="11"/>
      <c r="Z1760" s="11"/>
      <c r="AA1760" s="11"/>
      <c r="AB1760" s="11"/>
      <c r="AC1760" s="11"/>
      <c r="AD1760" s="11"/>
    </row>
    <row r="1761">
      <c r="A1761" s="10"/>
      <c r="B1761" s="10"/>
      <c r="C1761" s="10"/>
      <c r="D1761" s="10"/>
      <c r="E1761" s="10"/>
      <c r="F1761" s="11"/>
      <c r="G1761" s="11"/>
      <c r="H1761" s="11"/>
      <c r="I1761" s="11"/>
      <c r="J1761" s="11" t="str">
        <f>IFERROR(__xludf.DUMMYFUNCTION("iferror(if($B1761="""", ,filter(Playoff_Stats!F:Z,Playoff_Stats!A:A=$B1761,Playoff_Stats!B:B=$A1761)))"),"")</f>
        <v/>
      </c>
      <c r="K1761" s="11"/>
      <c r="L1761" s="12"/>
      <c r="M1761" s="11"/>
      <c r="N1761" s="11"/>
      <c r="O1761" s="13"/>
      <c r="P1761" s="14"/>
      <c r="Q1761" s="13"/>
      <c r="R1761" s="13"/>
      <c r="S1761" s="15"/>
      <c r="T1761" s="16"/>
      <c r="U1761" s="16"/>
      <c r="V1761" s="16"/>
      <c r="W1761" s="16"/>
      <c r="X1761" s="16"/>
      <c r="Y1761" s="11"/>
      <c r="Z1761" s="11"/>
      <c r="AA1761" s="11"/>
      <c r="AB1761" s="11"/>
      <c r="AC1761" s="11"/>
      <c r="AD1761" s="11"/>
    </row>
    <row r="1762">
      <c r="A1762" s="10"/>
      <c r="B1762" s="10"/>
      <c r="C1762" s="10"/>
      <c r="D1762" s="10"/>
      <c r="E1762" s="10"/>
      <c r="F1762" s="11"/>
      <c r="G1762" s="11"/>
      <c r="H1762" s="11"/>
      <c r="I1762" s="11"/>
      <c r="J1762" s="11" t="str">
        <f>IFERROR(__xludf.DUMMYFUNCTION("iferror(if($B1762="""", ,filter(Playoff_Stats!F:Z,Playoff_Stats!A:A=$B1762,Playoff_Stats!B:B=$A1762)))"),"")</f>
        <v/>
      </c>
      <c r="K1762" s="11"/>
      <c r="L1762" s="12"/>
      <c r="M1762" s="11"/>
      <c r="N1762" s="11"/>
      <c r="O1762" s="13"/>
      <c r="P1762" s="14"/>
      <c r="Q1762" s="13"/>
      <c r="R1762" s="13"/>
      <c r="S1762" s="15"/>
      <c r="T1762" s="16"/>
      <c r="U1762" s="16"/>
      <c r="V1762" s="16"/>
      <c r="W1762" s="16"/>
      <c r="X1762" s="16"/>
      <c r="Y1762" s="11"/>
      <c r="Z1762" s="11"/>
      <c r="AA1762" s="11"/>
      <c r="AB1762" s="11"/>
      <c r="AC1762" s="11"/>
      <c r="AD1762" s="11"/>
    </row>
    <row r="1763">
      <c r="A1763" s="10"/>
      <c r="B1763" s="10"/>
      <c r="C1763" s="10"/>
      <c r="D1763" s="10"/>
      <c r="E1763" s="10"/>
      <c r="F1763" s="11"/>
      <c r="G1763" s="11"/>
      <c r="H1763" s="11"/>
      <c r="I1763" s="11"/>
      <c r="J1763" s="11" t="str">
        <f>IFERROR(__xludf.DUMMYFUNCTION("iferror(if($B1763="""", ,filter(Playoff_Stats!F:Z,Playoff_Stats!A:A=$B1763,Playoff_Stats!B:B=$A1763)))"),"")</f>
        <v/>
      </c>
      <c r="K1763" s="11"/>
      <c r="L1763" s="12"/>
      <c r="M1763" s="11"/>
      <c r="N1763" s="11"/>
      <c r="O1763" s="13"/>
      <c r="P1763" s="14"/>
      <c r="Q1763" s="13"/>
      <c r="R1763" s="13"/>
      <c r="S1763" s="15"/>
      <c r="T1763" s="16"/>
      <c r="U1763" s="16"/>
      <c r="V1763" s="16"/>
      <c r="W1763" s="16"/>
      <c r="X1763" s="16"/>
      <c r="Y1763" s="11"/>
      <c r="Z1763" s="11"/>
      <c r="AA1763" s="11"/>
      <c r="AB1763" s="11"/>
      <c r="AC1763" s="11"/>
      <c r="AD1763" s="11"/>
    </row>
    <row r="1764">
      <c r="A1764" s="10"/>
      <c r="B1764" s="10"/>
      <c r="C1764" s="10"/>
      <c r="D1764" s="10"/>
      <c r="E1764" s="10"/>
      <c r="F1764" s="11"/>
      <c r="G1764" s="11"/>
      <c r="H1764" s="11"/>
      <c r="I1764" s="11"/>
      <c r="J1764" s="11" t="str">
        <f>IFERROR(__xludf.DUMMYFUNCTION("iferror(if($B1764="""", ,filter(Playoff_Stats!F:Z,Playoff_Stats!A:A=$B1764,Playoff_Stats!B:B=$A1764)))"),"")</f>
        <v/>
      </c>
      <c r="K1764" s="11"/>
      <c r="L1764" s="12"/>
      <c r="M1764" s="11"/>
      <c r="N1764" s="11"/>
      <c r="O1764" s="13"/>
      <c r="P1764" s="14"/>
      <c r="Q1764" s="13"/>
      <c r="R1764" s="13"/>
      <c r="S1764" s="15"/>
      <c r="T1764" s="16"/>
      <c r="U1764" s="16"/>
      <c r="V1764" s="16"/>
      <c r="W1764" s="16"/>
      <c r="X1764" s="16"/>
      <c r="Y1764" s="11"/>
      <c r="Z1764" s="11"/>
      <c r="AA1764" s="11"/>
      <c r="AB1764" s="11"/>
      <c r="AC1764" s="11"/>
      <c r="AD1764" s="11"/>
    </row>
    <row r="1765">
      <c r="A1765" s="10"/>
      <c r="B1765" s="10"/>
      <c r="C1765" s="10"/>
      <c r="D1765" s="10"/>
      <c r="E1765" s="10"/>
      <c r="F1765" s="11"/>
      <c r="G1765" s="11"/>
      <c r="H1765" s="11"/>
      <c r="I1765" s="11"/>
      <c r="J1765" s="11" t="str">
        <f>IFERROR(__xludf.DUMMYFUNCTION("iferror(if($B1765="""", ,filter(Playoff_Stats!F:Z,Playoff_Stats!A:A=$B1765,Playoff_Stats!B:B=$A1765)))"),"")</f>
        <v/>
      </c>
      <c r="K1765" s="11"/>
      <c r="L1765" s="12"/>
      <c r="M1765" s="11"/>
      <c r="N1765" s="11"/>
      <c r="O1765" s="13"/>
      <c r="P1765" s="14"/>
      <c r="Q1765" s="13"/>
      <c r="R1765" s="13"/>
      <c r="S1765" s="15"/>
      <c r="T1765" s="16"/>
      <c r="U1765" s="16"/>
      <c r="V1765" s="16"/>
      <c r="W1765" s="16"/>
      <c r="X1765" s="16"/>
      <c r="Y1765" s="11"/>
      <c r="Z1765" s="11"/>
      <c r="AA1765" s="11"/>
      <c r="AB1765" s="11"/>
      <c r="AC1765" s="11"/>
      <c r="AD1765" s="11"/>
    </row>
    <row r="1766">
      <c r="A1766" s="10"/>
      <c r="B1766" s="10"/>
      <c r="C1766" s="10"/>
      <c r="D1766" s="10"/>
      <c r="E1766" s="10"/>
      <c r="F1766" s="11"/>
      <c r="G1766" s="11"/>
      <c r="H1766" s="11"/>
      <c r="I1766" s="11"/>
      <c r="J1766" s="11" t="str">
        <f>IFERROR(__xludf.DUMMYFUNCTION("iferror(if($B1766="""", ,filter(Playoff_Stats!F:Z,Playoff_Stats!A:A=$B1766,Playoff_Stats!B:B=$A1766)))"),"")</f>
        <v/>
      </c>
      <c r="K1766" s="11"/>
      <c r="L1766" s="12"/>
      <c r="M1766" s="11"/>
      <c r="N1766" s="11"/>
      <c r="O1766" s="13"/>
      <c r="P1766" s="14"/>
      <c r="Q1766" s="13"/>
      <c r="R1766" s="13"/>
      <c r="S1766" s="15"/>
      <c r="T1766" s="16"/>
      <c r="U1766" s="16"/>
      <c r="V1766" s="16"/>
      <c r="W1766" s="16"/>
      <c r="X1766" s="16"/>
      <c r="Y1766" s="11"/>
      <c r="Z1766" s="11"/>
      <c r="AA1766" s="11"/>
      <c r="AB1766" s="11"/>
      <c r="AC1766" s="11"/>
      <c r="AD1766" s="11"/>
    </row>
    <row r="1767">
      <c r="A1767" s="10"/>
      <c r="B1767" s="10"/>
      <c r="C1767" s="10"/>
      <c r="D1767" s="10"/>
      <c r="E1767" s="10"/>
      <c r="F1767" s="11"/>
      <c r="G1767" s="11"/>
      <c r="H1767" s="11"/>
      <c r="I1767" s="11"/>
      <c r="J1767" s="11" t="str">
        <f>IFERROR(__xludf.DUMMYFUNCTION("iferror(if($B1767="""", ,filter(Playoff_Stats!F:Z,Playoff_Stats!A:A=$B1767,Playoff_Stats!B:B=$A1767)))"),"")</f>
        <v/>
      </c>
      <c r="K1767" s="11"/>
      <c r="L1767" s="12"/>
      <c r="M1767" s="11"/>
      <c r="N1767" s="11"/>
      <c r="O1767" s="13"/>
      <c r="P1767" s="14"/>
      <c r="Q1767" s="13"/>
      <c r="R1767" s="13"/>
      <c r="S1767" s="15"/>
      <c r="T1767" s="16"/>
      <c r="U1767" s="16"/>
      <c r="V1767" s="16"/>
      <c r="W1767" s="16"/>
      <c r="X1767" s="16"/>
      <c r="Y1767" s="11"/>
      <c r="Z1767" s="11"/>
      <c r="AA1767" s="11"/>
      <c r="AB1767" s="11"/>
      <c r="AC1767" s="11"/>
      <c r="AD1767" s="11"/>
    </row>
    <row r="1768">
      <c r="A1768" s="10"/>
      <c r="B1768" s="10"/>
      <c r="C1768" s="10"/>
      <c r="D1768" s="10"/>
      <c r="E1768" s="10"/>
      <c r="F1768" s="11"/>
      <c r="G1768" s="11"/>
      <c r="H1768" s="11"/>
      <c r="I1768" s="11"/>
      <c r="J1768" s="11" t="str">
        <f>IFERROR(__xludf.DUMMYFUNCTION("iferror(if($B1768="""", ,filter(Playoff_Stats!F:Z,Playoff_Stats!A:A=$B1768,Playoff_Stats!B:B=$A1768)))"),"")</f>
        <v/>
      </c>
      <c r="K1768" s="11"/>
      <c r="L1768" s="12"/>
      <c r="M1768" s="11"/>
      <c r="N1768" s="11"/>
      <c r="O1768" s="13"/>
      <c r="P1768" s="14"/>
      <c r="Q1768" s="13"/>
      <c r="R1768" s="13"/>
      <c r="S1768" s="15"/>
      <c r="T1768" s="16"/>
      <c r="U1768" s="16"/>
      <c r="V1768" s="16"/>
      <c r="W1768" s="16"/>
      <c r="X1768" s="16"/>
      <c r="Y1768" s="11"/>
      <c r="Z1768" s="11"/>
      <c r="AA1768" s="11"/>
      <c r="AB1768" s="11"/>
      <c r="AC1768" s="11"/>
      <c r="AD1768" s="11"/>
    </row>
    <row r="1769">
      <c r="A1769" s="10"/>
      <c r="B1769" s="10"/>
      <c r="C1769" s="10"/>
      <c r="D1769" s="10"/>
      <c r="E1769" s="10"/>
      <c r="F1769" s="11"/>
      <c r="G1769" s="11"/>
      <c r="H1769" s="11"/>
      <c r="I1769" s="11"/>
      <c r="J1769" s="11" t="str">
        <f>IFERROR(__xludf.DUMMYFUNCTION("iferror(if($B1769="""", ,filter(Playoff_Stats!F:Z,Playoff_Stats!A:A=$B1769,Playoff_Stats!B:B=$A1769)))"),"")</f>
        <v/>
      </c>
      <c r="K1769" s="11"/>
      <c r="L1769" s="12"/>
      <c r="M1769" s="11"/>
      <c r="N1769" s="11"/>
      <c r="O1769" s="13"/>
      <c r="P1769" s="14"/>
      <c r="Q1769" s="13"/>
      <c r="R1769" s="13"/>
      <c r="S1769" s="15"/>
      <c r="T1769" s="16"/>
      <c r="U1769" s="16"/>
      <c r="V1769" s="16"/>
      <c r="W1769" s="16"/>
      <c r="X1769" s="16"/>
      <c r="Y1769" s="11"/>
      <c r="Z1769" s="11"/>
      <c r="AA1769" s="11"/>
      <c r="AB1769" s="11"/>
      <c r="AC1769" s="11"/>
      <c r="AD1769" s="11"/>
    </row>
    <row r="1770">
      <c r="A1770" s="10"/>
      <c r="B1770" s="10"/>
      <c r="C1770" s="10"/>
      <c r="D1770" s="10"/>
      <c r="E1770" s="10"/>
      <c r="F1770" s="11"/>
      <c r="G1770" s="11"/>
      <c r="H1770" s="11"/>
      <c r="I1770" s="11"/>
      <c r="J1770" s="11" t="str">
        <f>IFERROR(__xludf.DUMMYFUNCTION("iferror(if($B1770="""", ,filter(Playoff_Stats!F:Z,Playoff_Stats!A:A=$B1770,Playoff_Stats!B:B=$A1770)))"),"")</f>
        <v/>
      </c>
      <c r="K1770" s="11"/>
      <c r="L1770" s="12"/>
      <c r="M1770" s="11"/>
      <c r="N1770" s="11"/>
      <c r="O1770" s="13"/>
      <c r="P1770" s="14"/>
      <c r="Q1770" s="13"/>
      <c r="R1770" s="13"/>
      <c r="S1770" s="15"/>
      <c r="T1770" s="16"/>
      <c r="U1770" s="16"/>
      <c r="V1770" s="16"/>
      <c r="W1770" s="16"/>
      <c r="X1770" s="16"/>
      <c r="Y1770" s="11"/>
      <c r="Z1770" s="11"/>
      <c r="AA1770" s="11"/>
      <c r="AB1770" s="11"/>
      <c r="AC1770" s="11"/>
      <c r="AD1770" s="11"/>
    </row>
    <row r="1771">
      <c r="A1771" s="10"/>
      <c r="B1771" s="10"/>
      <c r="C1771" s="10"/>
      <c r="D1771" s="10"/>
      <c r="E1771" s="10"/>
      <c r="F1771" s="11"/>
      <c r="G1771" s="11"/>
      <c r="H1771" s="11"/>
      <c r="I1771" s="11"/>
      <c r="J1771" s="11" t="str">
        <f>IFERROR(__xludf.DUMMYFUNCTION("iferror(if($B1771="""", ,filter(Playoff_Stats!F:Z,Playoff_Stats!A:A=$B1771,Playoff_Stats!B:B=$A1771)))"),"")</f>
        <v/>
      </c>
      <c r="K1771" s="11"/>
      <c r="L1771" s="12"/>
      <c r="M1771" s="11"/>
      <c r="N1771" s="11"/>
      <c r="O1771" s="13"/>
      <c r="P1771" s="14"/>
      <c r="Q1771" s="13"/>
      <c r="R1771" s="13"/>
      <c r="S1771" s="15"/>
      <c r="T1771" s="16"/>
      <c r="U1771" s="16"/>
      <c r="V1771" s="16"/>
      <c r="W1771" s="16"/>
      <c r="X1771" s="16"/>
      <c r="Y1771" s="11"/>
      <c r="Z1771" s="11"/>
      <c r="AA1771" s="11"/>
      <c r="AB1771" s="11"/>
      <c r="AC1771" s="11"/>
      <c r="AD1771" s="11"/>
    </row>
    <row r="1772">
      <c r="A1772" s="10"/>
      <c r="B1772" s="10"/>
      <c r="C1772" s="10"/>
      <c r="D1772" s="10"/>
      <c r="E1772" s="10"/>
      <c r="F1772" s="11"/>
      <c r="G1772" s="11"/>
      <c r="H1772" s="11"/>
      <c r="I1772" s="11"/>
      <c r="J1772" s="11" t="str">
        <f>IFERROR(__xludf.DUMMYFUNCTION("iferror(if($B1772="""", ,filter(Playoff_Stats!F:Z,Playoff_Stats!A:A=$B1772,Playoff_Stats!B:B=$A1772)))"),"")</f>
        <v/>
      </c>
      <c r="K1772" s="11"/>
      <c r="L1772" s="12"/>
      <c r="M1772" s="11"/>
      <c r="N1772" s="11"/>
      <c r="O1772" s="13"/>
      <c r="P1772" s="14"/>
      <c r="Q1772" s="13"/>
      <c r="R1772" s="13"/>
      <c r="S1772" s="15"/>
      <c r="T1772" s="16"/>
      <c r="U1772" s="16"/>
      <c r="V1772" s="16"/>
      <c r="W1772" s="16"/>
      <c r="X1772" s="16"/>
      <c r="Y1772" s="11"/>
      <c r="Z1772" s="11"/>
      <c r="AA1772" s="11"/>
      <c r="AB1772" s="11"/>
      <c r="AC1772" s="11"/>
      <c r="AD1772" s="11"/>
    </row>
    <row r="1773">
      <c r="A1773" s="10"/>
      <c r="B1773" s="10"/>
      <c r="C1773" s="10"/>
      <c r="D1773" s="10"/>
      <c r="E1773" s="10"/>
      <c r="F1773" s="11"/>
      <c r="G1773" s="11"/>
      <c r="H1773" s="11"/>
      <c r="I1773" s="11"/>
      <c r="J1773" s="11" t="str">
        <f>IFERROR(__xludf.DUMMYFUNCTION("iferror(if($B1773="""", ,filter(Playoff_Stats!F:Z,Playoff_Stats!A:A=$B1773,Playoff_Stats!B:B=$A1773)))"),"")</f>
        <v/>
      </c>
      <c r="K1773" s="11"/>
      <c r="L1773" s="12"/>
      <c r="M1773" s="11"/>
      <c r="N1773" s="11"/>
      <c r="O1773" s="13"/>
      <c r="P1773" s="14"/>
      <c r="Q1773" s="13"/>
      <c r="R1773" s="13"/>
      <c r="S1773" s="15"/>
      <c r="T1773" s="16"/>
      <c r="U1773" s="16"/>
      <c r="V1773" s="16"/>
      <c r="W1773" s="16"/>
      <c r="X1773" s="16"/>
      <c r="Y1773" s="11"/>
      <c r="Z1773" s="11"/>
      <c r="AA1773" s="11"/>
      <c r="AB1773" s="11"/>
      <c r="AC1773" s="11"/>
      <c r="AD1773" s="11"/>
    </row>
    <row r="1774">
      <c r="A1774" s="10"/>
      <c r="B1774" s="10"/>
      <c r="C1774" s="10"/>
      <c r="D1774" s="10"/>
      <c r="E1774" s="10"/>
      <c r="F1774" s="11"/>
      <c r="G1774" s="11"/>
      <c r="H1774" s="11"/>
      <c r="I1774" s="11"/>
      <c r="J1774" s="11" t="str">
        <f>IFERROR(__xludf.DUMMYFUNCTION("iferror(if($B1774="""", ,filter(Playoff_Stats!F:Z,Playoff_Stats!A:A=$B1774,Playoff_Stats!B:B=$A1774)))"),"")</f>
        <v/>
      </c>
      <c r="K1774" s="11"/>
      <c r="L1774" s="12"/>
      <c r="M1774" s="11"/>
      <c r="N1774" s="11"/>
      <c r="O1774" s="13"/>
      <c r="P1774" s="14"/>
      <c r="Q1774" s="13"/>
      <c r="R1774" s="13"/>
      <c r="S1774" s="15"/>
      <c r="T1774" s="16"/>
      <c r="U1774" s="16"/>
      <c r="V1774" s="16"/>
      <c r="W1774" s="16"/>
      <c r="X1774" s="16"/>
      <c r="Y1774" s="11"/>
      <c r="Z1774" s="11"/>
      <c r="AA1774" s="11"/>
      <c r="AB1774" s="11"/>
      <c r="AC1774" s="11"/>
      <c r="AD1774" s="11"/>
    </row>
    <row r="1775">
      <c r="A1775" s="10"/>
      <c r="B1775" s="10"/>
      <c r="C1775" s="10"/>
      <c r="D1775" s="10"/>
      <c r="E1775" s="10"/>
      <c r="F1775" s="11"/>
      <c r="G1775" s="11"/>
      <c r="H1775" s="11"/>
      <c r="I1775" s="11"/>
      <c r="J1775" s="11" t="str">
        <f>IFERROR(__xludf.DUMMYFUNCTION("iferror(if($B1775="""", ,filter(Playoff_Stats!F:Z,Playoff_Stats!A:A=$B1775,Playoff_Stats!B:B=$A1775)))"),"")</f>
        <v/>
      </c>
      <c r="K1775" s="11"/>
      <c r="L1775" s="12"/>
      <c r="M1775" s="11"/>
      <c r="N1775" s="11"/>
      <c r="O1775" s="13"/>
      <c r="P1775" s="14"/>
      <c r="Q1775" s="13"/>
      <c r="R1775" s="13"/>
      <c r="S1775" s="15"/>
      <c r="T1775" s="16"/>
      <c r="U1775" s="16"/>
      <c r="V1775" s="16"/>
      <c r="W1775" s="16"/>
      <c r="X1775" s="16"/>
      <c r="Y1775" s="11"/>
      <c r="Z1775" s="11"/>
      <c r="AA1775" s="11"/>
      <c r="AB1775" s="11"/>
      <c r="AC1775" s="11"/>
      <c r="AD1775" s="11"/>
    </row>
    <row r="1776">
      <c r="A1776" s="10"/>
      <c r="B1776" s="10"/>
      <c r="C1776" s="10"/>
      <c r="D1776" s="10"/>
      <c r="E1776" s="10"/>
      <c r="F1776" s="11"/>
      <c r="G1776" s="11"/>
      <c r="H1776" s="11"/>
      <c r="I1776" s="11"/>
      <c r="J1776" s="11" t="str">
        <f>IFERROR(__xludf.DUMMYFUNCTION("iferror(if($B1776="""", ,filter(Playoff_Stats!F:Z,Playoff_Stats!A:A=$B1776,Playoff_Stats!B:B=$A1776)))"),"")</f>
        <v/>
      </c>
      <c r="K1776" s="11"/>
      <c r="L1776" s="12"/>
      <c r="M1776" s="11"/>
      <c r="N1776" s="11"/>
      <c r="O1776" s="13"/>
      <c r="P1776" s="14"/>
      <c r="Q1776" s="13"/>
      <c r="R1776" s="13"/>
      <c r="S1776" s="15"/>
      <c r="T1776" s="16"/>
      <c r="U1776" s="16"/>
      <c r="V1776" s="16"/>
      <c r="W1776" s="16"/>
      <c r="X1776" s="16"/>
      <c r="Y1776" s="11"/>
      <c r="Z1776" s="11"/>
      <c r="AA1776" s="11"/>
      <c r="AB1776" s="11"/>
      <c r="AC1776" s="11"/>
      <c r="AD1776" s="11"/>
    </row>
    <row r="1777">
      <c r="A1777" s="10"/>
      <c r="B1777" s="10"/>
      <c r="C1777" s="10"/>
      <c r="D1777" s="10"/>
      <c r="E1777" s="10"/>
      <c r="F1777" s="11"/>
      <c r="G1777" s="11"/>
      <c r="H1777" s="11"/>
      <c r="I1777" s="11"/>
      <c r="J1777" s="11" t="str">
        <f>IFERROR(__xludf.DUMMYFUNCTION("iferror(if($B1777="""", ,filter(Playoff_Stats!F:Z,Playoff_Stats!A:A=$B1777,Playoff_Stats!B:B=$A1777)))"),"")</f>
        <v/>
      </c>
      <c r="K1777" s="11"/>
      <c r="L1777" s="12"/>
      <c r="M1777" s="11"/>
      <c r="N1777" s="11"/>
      <c r="O1777" s="13"/>
      <c r="P1777" s="14"/>
      <c r="Q1777" s="13"/>
      <c r="R1777" s="13"/>
      <c r="S1777" s="15"/>
      <c r="T1777" s="16"/>
      <c r="U1777" s="16"/>
      <c r="V1777" s="16"/>
      <c r="W1777" s="16"/>
      <c r="X1777" s="16"/>
      <c r="Y1777" s="11"/>
      <c r="Z1777" s="11"/>
      <c r="AA1777" s="11"/>
      <c r="AB1777" s="11"/>
      <c r="AC1777" s="11"/>
      <c r="AD1777" s="11"/>
    </row>
    <row r="1778">
      <c r="A1778" s="10"/>
      <c r="B1778" s="10"/>
      <c r="C1778" s="10"/>
      <c r="D1778" s="10"/>
      <c r="E1778" s="10"/>
      <c r="F1778" s="11"/>
      <c r="G1778" s="11"/>
      <c r="H1778" s="11"/>
      <c r="I1778" s="11"/>
      <c r="J1778" s="11" t="str">
        <f>IFERROR(__xludf.DUMMYFUNCTION("iferror(if($B1778="""", ,filter(Playoff_Stats!F:Z,Playoff_Stats!A:A=$B1778,Playoff_Stats!B:B=$A1778)))"),"")</f>
        <v/>
      </c>
      <c r="K1778" s="11"/>
      <c r="L1778" s="12"/>
      <c r="M1778" s="11"/>
      <c r="N1778" s="11"/>
      <c r="O1778" s="13"/>
      <c r="P1778" s="14"/>
      <c r="Q1778" s="13"/>
      <c r="R1778" s="13"/>
      <c r="S1778" s="15"/>
      <c r="T1778" s="16"/>
      <c r="U1778" s="16"/>
      <c r="V1778" s="16"/>
      <c r="W1778" s="16"/>
      <c r="X1778" s="16"/>
      <c r="Y1778" s="11"/>
      <c r="Z1778" s="11"/>
      <c r="AA1778" s="11"/>
      <c r="AB1778" s="11"/>
      <c r="AC1778" s="11"/>
      <c r="AD1778" s="11"/>
    </row>
    <row r="1779">
      <c r="A1779" s="10"/>
      <c r="B1779" s="10"/>
      <c r="C1779" s="10"/>
      <c r="D1779" s="10"/>
      <c r="E1779" s="10"/>
      <c r="F1779" s="11"/>
      <c r="G1779" s="11"/>
      <c r="H1779" s="11"/>
      <c r="I1779" s="11"/>
      <c r="J1779" s="11" t="str">
        <f>IFERROR(__xludf.DUMMYFUNCTION("iferror(if($B1779="""", ,filter(Playoff_Stats!F:Z,Playoff_Stats!A:A=$B1779,Playoff_Stats!B:B=$A1779)))"),"")</f>
        <v/>
      </c>
      <c r="K1779" s="11"/>
      <c r="L1779" s="12"/>
      <c r="M1779" s="11"/>
      <c r="N1779" s="11"/>
      <c r="O1779" s="13"/>
      <c r="P1779" s="14"/>
      <c r="Q1779" s="13"/>
      <c r="R1779" s="13"/>
      <c r="S1779" s="15"/>
      <c r="T1779" s="16"/>
      <c r="U1779" s="16"/>
      <c r="V1779" s="16"/>
      <c r="W1779" s="16"/>
      <c r="X1779" s="16"/>
      <c r="Y1779" s="11"/>
      <c r="Z1779" s="11"/>
      <c r="AA1779" s="11"/>
      <c r="AB1779" s="11"/>
      <c r="AC1779" s="11"/>
      <c r="AD1779" s="11"/>
    </row>
    <row r="1780">
      <c r="A1780" s="10"/>
      <c r="B1780" s="10"/>
      <c r="C1780" s="10"/>
      <c r="D1780" s="10"/>
      <c r="E1780" s="10"/>
      <c r="F1780" s="11"/>
      <c r="G1780" s="11"/>
      <c r="H1780" s="11"/>
      <c r="I1780" s="11"/>
      <c r="J1780" s="11" t="str">
        <f>IFERROR(__xludf.DUMMYFUNCTION("iferror(if($B1780="""", ,filter(Playoff_Stats!F:Z,Playoff_Stats!A:A=$B1780,Playoff_Stats!B:B=$A1780)))"),"")</f>
        <v/>
      </c>
      <c r="K1780" s="11"/>
      <c r="L1780" s="12"/>
      <c r="M1780" s="11"/>
      <c r="N1780" s="11"/>
      <c r="O1780" s="13"/>
      <c r="P1780" s="14"/>
      <c r="Q1780" s="13"/>
      <c r="R1780" s="13"/>
      <c r="S1780" s="15"/>
      <c r="T1780" s="16"/>
      <c r="U1780" s="16"/>
      <c r="V1780" s="16"/>
      <c r="W1780" s="16"/>
      <c r="X1780" s="16"/>
      <c r="Y1780" s="11"/>
      <c r="Z1780" s="11"/>
      <c r="AA1780" s="11"/>
      <c r="AB1780" s="11"/>
      <c r="AC1780" s="11"/>
      <c r="AD1780" s="11"/>
    </row>
    <row r="1781">
      <c r="A1781" s="10"/>
      <c r="B1781" s="10"/>
      <c r="C1781" s="10"/>
      <c r="D1781" s="10"/>
      <c r="E1781" s="10"/>
      <c r="F1781" s="11"/>
      <c r="G1781" s="11"/>
      <c r="H1781" s="11"/>
      <c r="I1781" s="11"/>
      <c r="J1781" s="11" t="str">
        <f>IFERROR(__xludf.DUMMYFUNCTION("iferror(if($B1781="""", ,filter(Playoff_Stats!F:Z,Playoff_Stats!A:A=$B1781,Playoff_Stats!B:B=$A1781)))"),"")</f>
        <v/>
      </c>
      <c r="K1781" s="11"/>
      <c r="L1781" s="12"/>
      <c r="M1781" s="11"/>
      <c r="N1781" s="11"/>
      <c r="O1781" s="13"/>
      <c r="P1781" s="14"/>
      <c r="Q1781" s="13"/>
      <c r="R1781" s="13"/>
      <c r="S1781" s="15"/>
      <c r="T1781" s="16"/>
      <c r="U1781" s="16"/>
      <c r="V1781" s="16"/>
      <c r="W1781" s="16"/>
      <c r="X1781" s="16"/>
      <c r="Y1781" s="11"/>
      <c r="Z1781" s="11"/>
      <c r="AA1781" s="11"/>
      <c r="AB1781" s="11"/>
      <c r="AC1781" s="11"/>
      <c r="AD1781" s="11"/>
    </row>
    <row r="1782">
      <c r="A1782" s="10"/>
      <c r="B1782" s="10"/>
      <c r="C1782" s="10"/>
      <c r="D1782" s="10"/>
      <c r="E1782" s="10"/>
      <c r="F1782" s="11"/>
      <c r="G1782" s="11"/>
      <c r="H1782" s="11"/>
      <c r="I1782" s="11"/>
      <c r="J1782" s="11" t="str">
        <f>IFERROR(__xludf.DUMMYFUNCTION("iferror(if($B1782="""", ,filter(Playoff_Stats!F:Z,Playoff_Stats!A:A=$B1782,Playoff_Stats!B:B=$A1782)))"),"")</f>
        <v/>
      </c>
      <c r="K1782" s="11"/>
      <c r="L1782" s="12"/>
      <c r="M1782" s="11"/>
      <c r="N1782" s="11"/>
      <c r="O1782" s="13"/>
      <c r="P1782" s="14"/>
      <c r="Q1782" s="13"/>
      <c r="R1782" s="13"/>
      <c r="S1782" s="15"/>
      <c r="T1782" s="16"/>
      <c r="U1782" s="16"/>
      <c r="V1782" s="16"/>
      <c r="W1782" s="16"/>
      <c r="X1782" s="16"/>
      <c r="Y1782" s="11"/>
      <c r="Z1782" s="11"/>
      <c r="AA1782" s="11"/>
      <c r="AB1782" s="11"/>
      <c r="AC1782" s="11"/>
      <c r="AD1782" s="11"/>
    </row>
    <row r="1783">
      <c r="A1783" s="10"/>
      <c r="B1783" s="10"/>
      <c r="C1783" s="10"/>
      <c r="D1783" s="10"/>
      <c r="E1783" s="10"/>
      <c r="F1783" s="11"/>
      <c r="G1783" s="11"/>
      <c r="H1783" s="11"/>
      <c r="I1783" s="11"/>
      <c r="J1783" s="11" t="str">
        <f>IFERROR(__xludf.DUMMYFUNCTION("iferror(if($B1783="""", ,filter(Playoff_Stats!F:Z,Playoff_Stats!A:A=$B1783,Playoff_Stats!B:B=$A1783)))"),"")</f>
        <v/>
      </c>
      <c r="K1783" s="11"/>
      <c r="L1783" s="12"/>
      <c r="M1783" s="11"/>
      <c r="N1783" s="11"/>
      <c r="O1783" s="13"/>
      <c r="P1783" s="14"/>
      <c r="Q1783" s="13"/>
      <c r="R1783" s="13"/>
      <c r="S1783" s="15"/>
      <c r="T1783" s="16"/>
      <c r="U1783" s="16"/>
      <c r="V1783" s="16"/>
      <c r="W1783" s="16"/>
      <c r="X1783" s="16"/>
      <c r="Y1783" s="11"/>
      <c r="Z1783" s="11"/>
      <c r="AA1783" s="11"/>
      <c r="AB1783" s="11"/>
      <c r="AC1783" s="11"/>
      <c r="AD1783" s="11"/>
    </row>
    <row r="1784">
      <c r="A1784" s="10"/>
      <c r="B1784" s="10"/>
      <c r="C1784" s="10"/>
      <c r="D1784" s="10"/>
      <c r="E1784" s="10"/>
      <c r="F1784" s="11"/>
      <c r="G1784" s="11"/>
      <c r="H1784" s="11"/>
      <c r="I1784" s="11"/>
      <c r="J1784" s="11" t="str">
        <f>IFERROR(__xludf.DUMMYFUNCTION("iferror(if($B1784="""", ,filter(Playoff_Stats!F:Z,Playoff_Stats!A:A=$B1784,Playoff_Stats!B:B=$A1784)))"),"")</f>
        <v/>
      </c>
      <c r="K1784" s="11"/>
      <c r="L1784" s="12"/>
      <c r="M1784" s="11"/>
      <c r="N1784" s="11"/>
      <c r="O1784" s="13"/>
      <c r="P1784" s="14"/>
      <c r="Q1784" s="13"/>
      <c r="R1784" s="13"/>
      <c r="S1784" s="15"/>
      <c r="T1784" s="16"/>
      <c r="U1784" s="16"/>
      <c r="V1784" s="16"/>
      <c r="W1784" s="16"/>
      <c r="X1784" s="16"/>
      <c r="Y1784" s="11"/>
      <c r="Z1784" s="11"/>
      <c r="AA1784" s="11"/>
      <c r="AB1784" s="11"/>
      <c r="AC1784" s="11"/>
      <c r="AD1784" s="11"/>
    </row>
    <row r="1785">
      <c r="A1785" s="10"/>
      <c r="B1785" s="10"/>
      <c r="C1785" s="10"/>
      <c r="D1785" s="10"/>
      <c r="E1785" s="10"/>
      <c r="F1785" s="11"/>
      <c r="G1785" s="11"/>
      <c r="H1785" s="11"/>
      <c r="I1785" s="11"/>
      <c r="J1785" s="11" t="str">
        <f>IFERROR(__xludf.DUMMYFUNCTION("iferror(if($B1785="""", ,filter(Playoff_Stats!F:Z,Playoff_Stats!A:A=$B1785,Playoff_Stats!B:B=$A1785)))"),"")</f>
        <v/>
      </c>
      <c r="K1785" s="11"/>
      <c r="L1785" s="12"/>
      <c r="M1785" s="11"/>
      <c r="N1785" s="11"/>
      <c r="O1785" s="13"/>
      <c r="P1785" s="14"/>
      <c r="Q1785" s="13"/>
      <c r="R1785" s="13"/>
      <c r="S1785" s="15"/>
      <c r="T1785" s="16"/>
      <c r="U1785" s="16"/>
      <c r="V1785" s="16"/>
      <c r="W1785" s="16"/>
      <c r="X1785" s="16"/>
      <c r="Y1785" s="11"/>
      <c r="Z1785" s="11"/>
      <c r="AA1785" s="11"/>
      <c r="AB1785" s="11"/>
      <c r="AC1785" s="11"/>
      <c r="AD1785" s="11"/>
    </row>
    <row r="1786">
      <c r="A1786" s="10"/>
      <c r="B1786" s="10"/>
      <c r="C1786" s="10"/>
      <c r="D1786" s="10"/>
      <c r="E1786" s="10"/>
      <c r="F1786" s="11"/>
      <c r="G1786" s="11"/>
      <c r="H1786" s="11"/>
      <c r="I1786" s="11"/>
      <c r="J1786" s="11" t="str">
        <f>IFERROR(__xludf.DUMMYFUNCTION("iferror(if($B1786="""", ,filter(Playoff_Stats!F:Z,Playoff_Stats!A:A=$B1786,Playoff_Stats!B:B=$A1786)))"),"")</f>
        <v/>
      </c>
      <c r="K1786" s="11"/>
      <c r="L1786" s="12"/>
      <c r="M1786" s="11"/>
      <c r="N1786" s="11"/>
      <c r="O1786" s="13"/>
      <c r="P1786" s="14"/>
      <c r="Q1786" s="13"/>
      <c r="R1786" s="13"/>
      <c r="S1786" s="15"/>
      <c r="T1786" s="16"/>
      <c r="U1786" s="16"/>
      <c r="V1786" s="16"/>
      <c r="W1786" s="16"/>
      <c r="X1786" s="16"/>
      <c r="Y1786" s="11"/>
      <c r="Z1786" s="11"/>
      <c r="AA1786" s="11"/>
      <c r="AB1786" s="11"/>
      <c r="AC1786" s="11"/>
      <c r="AD1786" s="11"/>
    </row>
    <row r="1787">
      <c r="A1787" s="10"/>
      <c r="B1787" s="10"/>
      <c r="C1787" s="10"/>
      <c r="D1787" s="10"/>
      <c r="E1787" s="10"/>
      <c r="F1787" s="11"/>
      <c r="G1787" s="11"/>
      <c r="H1787" s="11"/>
      <c r="I1787" s="11"/>
      <c r="J1787" s="11" t="str">
        <f>IFERROR(__xludf.DUMMYFUNCTION("iferror(if($B1787="""", ,filter(Playoff_Stats!F:Z,Playoff_Stats!A:A=$B1787,Playoff_Stats!B:B=$A1787)))"),"")</f>
        <v/>
      </c>
      <c r="K1787" s="11"/>
      <c r="L1787" s="12"/>
      <c r="M1787" s="11"/>
      <c r="N1787" s="11"/>
      <c r="O1787" s="13"/>
      <c r="P1787" s="14"/>
      <c r="Q1787" s="13"/>
      <c r="R1787" s="13"/>
      <c r="S1787" s="15"/>
      <c r="T1787" s="16"/>
      <c r="U1787" s="16"/>
      <c r="V1787" s="16"/>
      <c r="W1787" s="16"/>
      <c r="X1787" s="16"/>
      <c r="Y1787" s="11"/>
      <c r="Z1787" s="11"/>
      <c r="AA1787" s="11"/>
      <c r="AB1787" s="11"/>
      <c r="AC1787" s="11"/>
      <c r="AD1787" s="11"/>
    </row>
    <row r="1788">
      <c r="A1788" s="10"/>
      <c r="B1788" s="10"/>
      <c r="C1788" s="10"/>
      <c r="D1788" s="10"/>
      <c r="E1788" s="10"/>
      <c r="F1788" s="11"/>
      <c r="G1788" s="11"/>
      <c r="H1788" s="11"/>
      <c r="I1788" s="11"/>
      <c r="J1788" s="11" t="str">
        <f>IFERROR(__xludf.DUMMYFUNCTION("iferror(if($B1788="""", ,filter(Playoff_Stats!F:Z,Playoff_Stats!A:A=$B1788,Playoff_Stats!B:B=$A1788)))"),"")</f>
        <v/>
      </c>
      <c r="K1788" s="11"/>
      <c r="L1788" s="12"/>
      <c r="M1788" s="11"/>
      <c r="N1788" s="11"/>
      <c r="O1788" s="13"/>
      <c r="P1788" s="14"/>
      <c r="Q1788" s="13"/>
      <c r="R1788" s="13"/>
      <c r="S1788" s="15"/>
      <c r="T1788" s="16"/>
      <c r="U1788" s="16"/>
      <c r="V1788" s="16"/>
      <c r="W1788" s="16"/>
      <c r="X1788" s="16"/>
      <c r="Y1788" s="11"/>
      <c r="Z1788" s="11"/>
      <c r="AA1788" s="11"/>
      <c r="AB1788" s="11"/>
      <c r="AC1788" s="11"/>
      <c r="AD1788" s="11"/>
    </row>
    <row r="1789">
      <c r="A1789" s="10"/>
      <c r="B1789" s="10"/>
      <c r="C1789" s="10"/>
      <c r="D1789" s="10"/>
      <c r="E1789" s="10"/>
      <c r="F1789" s="11"/>
      <c r="G1789" s="11"/>
      <c r="H1789" s="11"/>
      <c r="I1789" s="11"/>
      <c r="J1789" s="11" t="str">
        <f>IFERROR(__xludf.DUMMYFUNCTION("iferror(if($B1789="""", ,filter(Playoff_Stats!F:Z,Playoff_Stats!A:A=$B1789,Playoff_Stats!B:B=$A1789)))"),"")</f>
        <v/>
      </c>
      <c r="K1789" s="11"/>
      <c r="L1789" s="12"/>
      <c r="M1789" s="11"/>
      <c r="N1789" s="11"/>
      <c r="O1789" s="13"/>
      <c r="P1789" s="14"/>
      <c r="Q1789" s="13"/>
      <c r="R1789" s="13"/>
      <c r="S1789" s="15"/>
      <c r="T1789" s="16"/>
      <c r="U1789" s="16"/>
      <c r="V1789" s="16"/>
      <c r="W1789" s="16"/>
      <c r="X1789" s="16"/>
      <c r="Y1789" s="11"/>
      <c r="Z1789" s="11"/>
      <c r="AA1789" s="11"/>
      <c r="AB1789" s="11"/>
      <c r="AC1789" s="11"/>
      <c r="AD1789" s="11"/>
    </row>
    <row r="1790">
      <c r="A1790" s="10"/>
      <c r="B1790" s="10"/>
      <c r="C1790" s="10"/>
      <c r="D1790" s="10"/>
      <c r="E1790" s="10"/>
      <c r="F1790" s="11"/>
      <c r="G1790" s="11"/>
      <c r="H1790" s="11"/>
      <c r="I1790" s="11"/>
      <c r="J1790" s="11" t="str">
        <f>IFERROR(__xludf.DUMMYFUNCTION("iferror(if($B1790="""", ,filter(Playoff_Stats!F:Z,Playoff_Stats!A:A=$B1790,Playoff_Stats!B:B=$A1790)))"),"")</f>
        <v/>
      </c>
      <c r="K1790" s="11"/>
      <c r="L1790" s="12"/>
      <c r="M1790" s="11"/>
      <c r="N1790" s="11"/>
      <c r="O1790" s="13"/>
      <c r="P1790" s="14"/>
      <c r="Q1790" s="13"/>
      <c r="R1790" s="13"/>
      <c r="S1790" s="15"/>
      <c r="T1790" s="16"/>
      <c r="U1790" s="16"/>
      <c r="V1790" s="16"/>
      <c r="W1790" s="16"/>
      <c r="X1790" s="16"/>
      <c r="Y1790" s="11"/>
      <c r="Z1790" s="11"/>
      <c r="AA1790" s="11"/>
      <c r="AB1790" s="11"/>
      <c r="AC1790" s="11"/>
      <c r="AD1790" s="11"/>
    </row>
    <row r="1791">
      <c r="A1791" s="10"/>
      <c r="B1791" s="10"/>
      <c r="C1791" s="10"/>
      <c r="D1791" s="10"/>
      <c r="E1791" s="10"/>
      <c r="F1791" s="11"/>
      <c r="G1791" s="11"/>
      <c r="H1791" s="11"/>
      <c r="I1791" s="11"/>
      <c r="J1791" s="11" t="str">
        <f>IFERROR(__xludf.DUMMYFUNCTION("iferror(if($B1791="""", ,filter(Playoff_Stats!F:Z,Playoff_Stats!A:A=$B1791,Playoff_Stats!B:B=$A1791)))"),"")</f>
        <v/>
      </c>
      <c r="K1791" s="11"/>
      <c r="L1791" s="12"/>
      <c r="M1791" s="11"/>
      <c r="N1791" s="11"/>
      <c r="O1791" s="13"/>
      <c r="P1791" s="14"/>
      <c r="Q1791" s="13"/>
      <c r="R1791" s="13"/>
      <c r="S1791" s="15"/>
      <c r="T1791" s="16"/>
      <c r="U1791" s="16"/>
      <c r="V1791" s="16"/>
      <c r="W1791" s="16"/>
      <c r="X1791" s="16"/>
      <c r="Y1791" s="11"/>
      <c r="Z1791" s="11"/>
      <c r="AA1791" s="11"/>
      <c r="AB1791" s="11"/>
      <c r="AC1791" s="11"/>
      <c r="AD1791" s="11"/>
    </row>
    <row r="1792">
      <c r="A1792" s="10"/>
      <c r="B1792" s="10"/>
      <c r="C1792" s="10"/>
      <c r="D1792" s="10"/>
      <c r="E1792" s="10"/>
      <c r="F1792" s="11"/>
      <c r="G1792" s="11"/>
      <c r="H1792" s="11"/>
      <c r="I1792" s="11"/>
      <c r="J1792" s="11" t="str">
        <f>IFERROR(__xludf.DUMMYFUNCTION("iferror(if($B1792="""", ,filter(Playoff_Stats!F:Z,Playoff_Stats!A:A=$B1792,Playoff_Stats!B:B=$A1792)))"),"")</f>
        <v/>
      </c>
      <c r="K1792" s="11"/>
      <c r="L1792" s="12"/>
      <c r="M1792" s="11"/>
      <c r="N1792" s="11"/>
      <c r="O1792" s="13"/>
      <c r="P1792" s="14"/>
      <c r="Q1792" s="13"/>
      <c r="R1792" s="13"/>
      <c r="S1792" s="15"/>
      <c r="T1792" s="16"/>
      <c r="U1792" s="16"/>
      <c r="V1792" s="16"/>
      <c r="W1792" s="16"/>
      <c r="X1792" s="16"/>
      <c r="Y1792" s="11"/>
      <c r="Z1792" s="11"/>
      <c r="AA1792" s="11"/>
      <c r="AB1792" s="11"/>
      <c r="AC1792" s="11"/>
      <c r="AD1792" s="11"/>
    </row>
    <row r="1793">
      <c r="A1793" s="10"/>
      <c r="B1793" s="10"/>
      <c r="C1793" s="10"/>
      <c r="D1793" s="10"/>
      <c r="E1793" s="10"/>
      <c r="F1793" s="11"/>
      <c r="G1793" s="11"/>
      <c r="H1793" s="11"/>
      <c r="I1793" s="11"/>
      <c r="J1793" s="11" t="str">
        <f>IFERROR(__xludf.DUMMYFUNCTION("iferror(if($B1793="""", ,filter(Playoff_Stats!F:Z,Playoff_Stats!A:A=$B1793,Playoff_Stats!B:B=$A1793)))"),"")</f>
        <v/>
      </c>
      <c r="K1793" s="11"/>
      <c r="L1793" s="12"/>
      <c r="M1793" s="11"/>
      <c r="N1793" s="11"/>
      <c r="O1793" s="13"/>
      <c r="P1793" s="14"/>
      <c r="Q1793" s="13"/>
      <c r="R1793" s="13"/>
      <c r="S1793" s="15"/>
      <c r="T1793" s="16"/>
      <c r="U1793" s="16"/>
      <c r="V1793" s="16"/>
      <c r="W1793" s="16"/>
      <c r="X1793" s="16"/>
      <c r="Y1793" s="11"/>
      <c r="Z1793" s="11"/>
      <c r="AA1793" s="11"/>
      <c r="AB1793" s="11"/>
      <c r="AC1793" s="11"/>
      <c r="AD1793" s="11"/>
    </row>
    <row r="1794">
      <c r="A1794" s="10"/>
      <c r="B1794" s="10"/>
      <c r="C1794" s="10"/>
      <c r="D1794" s="10"/>
      <c r="E1794" s="10"/>
      <c r="F1794" s="11"/>
      <c r="G1794" s="11"/>
      <c r="H1794" s="11"/>
      <c r="I1794" s="11"/>
      <c r="J1794" s="11" t="str">
        <f>IFERROR(__xludf.DUMMYFUNCTION("iferror(if($B1794="""", ,filter(Playoff_Stats!F:Z,Playoff_Stats!A:A=$B1794,Playoff_Stats!B:B=$A1794)))"),"")</f>
        <v/>
      </c>
      <c r="K1794" s="11"/>
      <c r="L1794" s="12"/>
      <c r="M1794" s="11"/>
      <c r="N1794" s="11"/>
      <c r="O1794" s="13"/>
      <c r="P1794" s="14"/>
      <c r="Q1794" s="13"/>
      <c r="R1794" s="13"/>
      <c r="S1794" s="15"/>
      <c r="T1794" s="16"/>
      <c r="U1794" s="16"/>
      <c r="V1794" s="16"/>
      <c r="W1794" s="16"/>
      <c r="X1794" s="16"/>
      <c r="Y1794" s="11"/>
      <c r="Z1794" s="11"/>
      <c r="AA1794" s="11"/>
      <c r="AB1794" s="11"/>
      <c r="AC1794" s="11"/>
      <c r="AD1794" s="11"/>
    </row>
    <row r="1795">
      <c r="A1795" s="10"/>
      <c r="B1795" s="10"/>
      <c r="C1795" s="10"/>
      <c r="D1795" s="10"/>
      <c r="E1795" s="10"/>
      <c r="F1795" s="11"/>
      <c r="G1795" s="11"/>
      <c r="H1795" s="11"/>
      <c r="I1795" s="11"/>
      <c r="J1795" s="11" t="str">
        <f>IFERROR(__xludf.DUMMYFUNCTION("iferror(if($B1795="""", ,filter(Playoff_Stats!F:Z,Playoff_Stats!A:A=$B1795,Playoff_Stats!B:B=$A1795)))"),"")</f>
        <v/>
      </c>
      <c r="K1795" s="11"/>
      <c r="L1795" s="12"/>
      <c r="M1795" s="11"/>
      <c r="N1795" s="11"/>
      <c r="O1795" s="13"/>
      <c r="P1795" s="14"/>
      <c r="Q1795" s="13"/>
      <c r="R1795" s="13"/>
      <c r="S1795" s="15"/>
      <c r="T1795" s="16"/>
      <c r="U1795" s="16"/>
      <c r="V1795" s="16"/>
      <c r="W1795" s="16"/>
      <c r="X1795" s="16"/>
      <c r="Y1795" s="11"/>
      <c r="Z1795" s="11"/>
      <c r="AA1795" s="11"/>
      <c r="AB1795" s="11"/>
      <c r="AC1795" s="11"/>
      <c r="AD1795" s="11"/>
    </row>
    <row r="1796">
      <c r="A1796" s="10"/>
      <c r="B1796" s="10"/>
      <c r="C1796" s="10"/>
      <c r="D1796" s="10"/>
      <c r="E1796" s="10"/>
      <c r="F1796" s="11"/>
      <c r="G1796" s="11"/>
      <c r="H1796" s="11"/>
      <c r="I1796" s="11"/>
      <c r="J1796" s="11" t="str">
        <f>IFERROR(__xludf.DUMMYFUNCTION("iferror(if($B1796="""", ,filter(Playoff_Stats!F:Z,Playoff_Stats!A:A=$B1796,Playoff_Stats!B:B=$A1796)))"),"")</f>
        <v/>
      </c>
      <c r="K1796" s="11"/>
      <c r="L1796" s="12"/>
      <c r="M1796" s="11"/>
      <c r="N1796" s="11"/>
      <c r="O1796" s="13"/>
      <c r="P1796" s="14"/>
      <c r="Q1796" s="13"/>
      <c r="R1796" s="13"/>
      <c r="S1796" s="15"/>
      <c r="T1796" s="16"/>
      <c r="U1796" s="16"/>
      <c r="V1796" s="16"/>
      <c r="W1796" s="16"/>
      <c r="X1796" s="16"/>
      <c r="Y1796" s="11"/>
      <c r="Z1796" s="11"/>
      <c r="AA1796" s="11"/>
      <c r="AB1796" s="11"/>
      <c r="AC1796" s="11"/>
      <c r="AD1796" s="11"/>
    </row>
    <row r="1797">
      <c r="A1797" s="10"/>
      <c r="B1797" s="10"/>
      <c r="C1797" s="10"/>
      <c r="D1797" s="10"/>
      <c r="E1797" s="10"/>
      <c r="F1797" s="11"/>
      <c r="G1797" s="11"/>
      <c r="H1797" s="11"/>
      <c r="I1797" s="11"/>
      <c r="J1797" s="11" t="str">
        <f>IFERROR(__xludf.DUMMYFUNCTION("iferror(if($B1797="""", ,filter(Playoff_Stats!F:Z,Playoff_Stats!A:A=$B1797,Playoff_Stats!B:B=$A1797)))"),"")</f>
        <v/>
      </c>
      <c r="K1797" s="11"/>
      <c r="L1797" s="12"/>
      <c r="M1797" s="11"/>
      <c r="N1797" s="11"/>
      <c r="O1797" s="13"/>
      <c r="P1797" s="14"/>
      <c r="Q1797" s="13"/>
      <c r="R1797" s="13"/>
      <c r="S1797" s="15"/>
      <c r="T1797" s="16"/>
      <c r="U1797" s="16"/>
      <c r="V1797" s="16"/>
      <c r="W1797" s="16"/>
      <c r="X1797" s="16"/>
      <c r="Y1797" s="11"/>
      <c r="Z1797" s="11"/>
      <c r="AA1797" s="11"/>
      <c r="AB1797" s="11"/>
      <c r="AC1797" s="11"/>
      <c r="AD1797" s="11"/>
    </row>
    <row r="1798">
      <c r="A1798" s="10"/>
      <c r="B1798" s="10"/>
      <c r="C1798" s="10"/>
      <c r="D1798" s="10"/>
      <c r="E1798" s="10"/>
      <c r="F1798" s="11"/>
      <c r="G1798" s="11"/>
      <c r="H1798" s="11"/>
      <c r="I1798" s="11"/>
      <c r="J1798" s="11" t="str">
        <f>IFERROR(__xludf.DUMMYFUNCTION("iferror(if($B1798="""", ,filter(Playoff_Stats!F:Z,Playoff_Stats!A:A=$B1798,Playoff_Stats!B:B=$A1798)))"),"")</f>
        <v/>
      </c>
      <c r="K1798" s="11"/>
      <c r="L1798" s="12"/>
      <c r="M1798" s="11"/>
      <c r="N1798" s="11"/>
      <c r="O1798" s="13"/>
      <c r="P1798" s="14"/>
      <c r="Q1798" s="13"/>
      <c r="R1798" s="13"/>
      <c r="S1798" s="15"/>
      <c r="T1798" s="16"/>
      <c r="U1798" s="16"/>
      <c r="V1798" s="16"/>
      <c r="W1798" s="16"/>
      <c r="X1798" s="16"/>
      <c r="Y1798" s="11"/>
      <c r="Z1798" s="11"/>
      <c r="AA1798" s="11"/>
      <c r="AB1798" s="11"/>
      <c r="AC1798" s="11"/>
      <c r="AD1798" s="11"/>
    </row>
    <row r="1799">
      <c r="A1799" s="10"/>
      <c r="B1799" s="10"/>
      <c r="C1799" s="10"/>
      <c r="D1799" s="10"/>
      <c r="E1799" s="10"/>
      <c r="F1799" s="11"/>
      <c r="G1799" s="11"/>
      <c r="H1799" s="11"/>
      <c r="I1799" s="11"/>
      <c r="J1799" s="11" t="str">
        <f>IFERROR(__xludf.DUMMYFUNCTION("iferror(if($B1799="""", ,filter(Playoff_Stats!F:Z,Playoff_Stats!A:A=$B1799,Playoff_Stats!B:B=$A1799)))"),"")</f>
        <v/>
      </c>
      <c r="K1799" s="11"/>
      <c r="L1799" s="12"/>
      <c r="M1799" s="11"/>
      <c r="N1799" s="11"/>
      <c r="O1799" s="13"/>
      <c r="P1799" s="14"/>
      <c r="Q1799" s="13"/>
      <c r="R1799" s="13"/>
      <c r="S1799" s="15"/>
      <c r="T1799" s="16"/>
      <c r="U1799" s="16"/>
      <c r="V1799" s="16"/>
      <c r="W1799" s="16"/>
      <c r="X1799" s="16"/>
      <c r="Y1799" s="11"/>
      <c r="Z1799" s="11"/>
      <c r="AA1799" s="11"/>
      <c r="AB1799" s="11"/>
      <c r="AC1799" s="11"/>
      <c r="AD1799" s="11"/>
    </row>
    <row r="1800">
      <c r="A1800" s="10"/>
      <c r="B1800" s="10"/>
      <c r="C1800" s="10"/>
      <c r="D1800" s="10"/>
      <c r="E1800" s="10"/>
      <c r="F1800" s="11"/>
      <c r="G1800" s="11"/>
      <c r="H1800" s="11"/>
      <c r="I1800" s="11"/>
      <c r="J1800" s="11" t="str">
        <f>IFERROR(__xludf.DUMMYFUNCTION("iferror(if($B1800="""", ,filter(Playoff_Stats!F:Z,Playoff_Stats!A:A=$B1800,Playoff_Stats!B:B=$A1800)))"),"")</f>
        <v/>
      </c>
      <c r="K1800" s="11"/>
      <c r="L1800" s="12"/>
      <c r="M1800" s="11"/>
      <c r="N1800" s="11"/>
      <c r="O1800" s="13"/>
      <c r="P1800" s="14"/>
      <c r="Q1800" s="13"/>
      <c r="R1800" s="13"/>
      <c r="S1800" s="15"/>
      <c r="T1800" s="16"/>
      <c r="U1800" s="16"/>
      <c r="V1800" s="16"/>
      <c r="W1800" s="16"/>
      <c r="X1800" s="16"/>
      <c r="Y1800" s="11"/>
      <c r="Z1800" s="11"/>
      <c r="AA1800" s="11"/>
      <c r="AB1800" s="11"/>
      <c r="AC1800" s="11"/>
      <c r="AD1800" s="11"/>
    </row>
    <row r="1801">
      <c r="A1801" s="10"/>
      <c r="B1801" s="10"/>
      <c r="C1801" s="10"/>
      <c r="D1801" s="10"/>
      <c r="E1801" s="10"/>
      <c r="F1801" s="11"/>
      <c r="G1801" s="11"/>
      <c r="H1801" s="11"/>
      <c r="I1801" s="11"/>
      <c r="J1801" s="11" t="str">
        <f>IFERROR(__xludf.DUMMYFUNCTION("iferror(if($B1801="""", ,filter(Playoff_Stats!F:Z,Playoff_Stats!A:A=$B1801,Playoff_Stats!B:B=$A1801)))"),"")</f>
        <v/>
      </c>
      <c r="K1801" s="11"/>
      <c r="L1801" s="12"/>
      <c r="M1801" s="11"/>
      <c r="N1801" s="11"/>
      <c r="O1801" s="13"/>
      <c r="P1801" s="14"/>
      <c r="Q1801" s="13"/>
      <c r="R1801" s="13"/>
      <c r="S1801" s="15"/>
      <c r="T1801" s="16"/>
      <c r="U1801" s="16"/>
      <c r="V1801" s="16"/>
      <c r="W1801" s="16"/>
      <c r="X1801" s="16"/>
      <c r="Y1801" s="11"/>
      <c r="Z1801" s="11"/>
      <c r="AA1801" s="11"/>
      <c r="AB1801" s="11"/>
      <c r="AC1801" s="11"/>
      <c r="AD1801" s="11"/>
    </row>
    <row r="1802">
      <c r="A1802" s="10"/>
      <c r="B1802" s="10"/>
      <c r="C1802" s="10"/>
      <c r="D1802" s="10"/>
      <c r="E1802" s="10"/>
      <c r="F1802" s="11"/>
      <c r="G1802" s="11"/>
      <c r="H1802" s="11"/>
      <c r="I1802" s="11"/>
      <c r="J1802" s="11" t="str">
        <f>IFERROR(__xludf.DUMMYFUNCTION("iferror(if($B1802="""", ,filter(Playoff_Stats!F:Z,Playoff_Stats!A:A=$B1802,Playoff_Stats!B:B=$A1802)))"),"")</f>
        <v/>
      </c>
      <c r="K1802" s="11"/>
      <c r="L1802" s="12"/>
      <c r="M1802" s="11"/>
      <c r="N1802" s="11"/>
      <c r="O1802" s="13"/>
      <c r="P1802" s="14"/>
      <c r="Q1802" s="13"/>
      <c r="R1802" s="13"/>
      <c r="S1802" s="15"/>
      <c r="T1802" s="16"/>
      <c r="U1802" s="16"/>
      <c r="V1802" s="16"/>
      <c r="W1802" s="16"/>
      <c r="X1802" s="16"/>
      <c r="Y1802" s="11"/>
      <c r="Z1802" s="11"/>
      <c r="AA1802" s="11"/>
      <c r="AB1802" s="11"/>
      <c r="AC1802" s="11"/>
      <c r="AD1802" s="11"/>
    </row>
    <row r="1803">
      <c r="A1803" s="10"/>
      <c r="B1803" s="10"/>
      <c r="C1803" s="10"/>
      <c r="D1803" s="10"/>
      <c r="E1803" s="10"/>
      <c r="F1803" s="11"/>
      <c r="G1803" s="11"/>
      <c r="H1803" s="11"/>
      <c r="I1803" s="11"/>
      <c r="J1803" s="11" t="str">
        <f>IFERROR(__xludf.DUMMYFUNCTION("iferror(if($B1803="""", ,filter(Playoff_Stats!F:Z,Playoff_Stats!A:A=$B1803,Playoff_Stats!B:B=$A1803)))"),"")</f>
        <v/>
      </c>
      <c r="K1803" s="11"/>
      <c r="L1803" s="12"/>
      <c r="M1803" s="11"/>
      <c r="N1803" s="11"/>
      <c r="O1803" s="13"/>
      <c r="P1803" s="14"/>
      <c r="Q1803" s="13"/>
      <c r="R1803" s="13"/>
      <c r="S1803" s="15"/>
      <c r="T1803" s="16"/>
      <c r="U1803" s="16"/>
      <c r="V1803" s="16"/>
      <c r="W1803" s="16"/>
      <c r="X1803" s="16"/>
      <c r="Y1803" s="11"/>
      <c r="Z1803" s="11"/>
      <c r="AA1803" s="11"/>
      <c r="AB1803" s="11"/>
      <c r="AC1803" s="11"/>
      <c r="AD1803" s="11"/>
    </row>
    <row r="1804">
      <c r="A1804" s="10"/>
      <c r="B1804" s="10"/>
      <c r="C1804" s="10"/>
      <c r="D1804" s="10"/>
      <c r="E1804" s="10"/>
      <c r="F1804" s="11"/>
      <c r="G1804" s="11"/>
      <c r="H1804" s="11"/>
      <c r="I1804" s="11"/>
      <c r="J1804" s="11" t="str">
        <f>IFERROR(__xludf.DUMMYFUNCTION("iferror(if($B1804="""", ,filter(Playoff_Stats!F:Z,Playoff_Stats!A:A=$B1804,Playoff_Stats!B:B=$A1804)))"),"")</f>
        <v/>
      </c>
      <c r="K1804" s="11"/>
      <c r="L1804" s="12"/>
      <c r="M1804" s="11"/>
      <c r="N1804" s="11"/>
      <c r="O1804" s="13"/>
      <c r="P1804" s="14"/>
      <c r="Q1804" s="13"/>
      <c r="R1804" s="13"/>
      <c r="S1804" s="15"/>
      <c r="T1804" s="16"/>
      <c r="U1804" s="16"/>
      <c r="V1804" s="16"/>
      <c r="W1804" s="16"/>
      <c r="X1804" s="16"/>
      <c r="Y1804" s="11"/>
      <c r="Z1804" s="11"/>
      <c r="AA1804" s="11"/>
      <c r="AB1804" s="11"/>
      <c r="AC1804" s="11"/>
      <c r="AD1804" s="11"/>
    </row>
    <row r="1805">
      <c r="A1805" s="10"/>
      <c r="B1805" s="10"/>
      <c r="C1805" s="10"/>
      <c r="D1805" s="10"/>
      <c r="E1805" s="10"/>
      <c r="F1805" s="11"/>
      <c r="G1805" s="11"/>
      <c r="H1805" s="11"/>
      <c r="I1805" s="11"/>
      <c r="J1805" s="11" t="str">
        <f>IFERROR(__xludf.DUMMYFUNCTION("iferror(if($B1805="""", ,filter(Playoff_Stats!F:Z,Playoff_Stats!A:A=$B1805,Playoff_Stats!B:B=$A1805)))"),"")</f>
        <v/>
      </c>
      <c r="K1805" s="11"/>
      <c r="L1805" s="12"/>
      <c r="M1805" s="11"/>
      <c r="N1805" s="11"/>
      <c r="O1805" s="13"/>
      <c r="P1805" s="14"/>
      <c r="Q1805" s="13"/>
      <c r="R1805" s="13"/>
      <c r="S1805" s="15"/>
      <c r="T1805" s="16"/>
      <c r="U1805" s="16"/>
      <c r="V1805" s="16"/>
      <c r="W1805" s="16"/>
      <c r="X1805" s="16"/>
      <c r="Y1805" s="11"/>
      <c r="Z1805" s="11"/>
      <c r="AA1805" s="11"/>
      <c r="AB1805" s="11"/>
      <c r="AC1805" s="11"/>
      <c r="AD1805" s="11"/>
    </row>
    <row r="1806">
      <c r="A1806" s="10"/>
      <c r="B1806" s="10"/>
      <c r="C1806" s="10"/>
      <c r="D1806" s="10"/>
      <c r="E1806" s="10"/>
      <c r="F1806" s="11"/>
      <c r="G1806" s="11"/>
      <c r="H1806" s="11"/>
      <c r="I1806" s="11"/>
      <c r="J1806" s="11" t="str">
        <f>IFERROR(__xludf.DUMMYFUNCTION("iferror(if($B1806="""", ,filter(Playoff_Stats!F:Z,Playoff_Stats!A:A=$B1806,Playoff_Stats!B:B=$A1806)))"),"")</f>
        <v/>
      </c>
      <c r="K1806" s="11"/>
      <c r="L1806" s="12"/>
      <c r="M1806" s="11"/>
      <c r="N1806" s="11"/>
      <c r="O1806" s="13"/>
      <c r="P1806" s="14"/>
      <c r="Q1806" s="13"/>
      <c r="R1806" s="13"/>
      <c r="S1806" s="15"/>
      <c r="T1806" s="16"/>
      <c r="U1806" s="16"/>
      <c r="V1806" s="16"/>
      <c r="W1806" s="16"/>
      <c r="X1806" s="16"/>
      <c r="Y1806" s="11"/>
      <c r="Z1806" s="11"/>
      <c r="AA1806" s="11"/>
      <c r="AB1806" s="11"/>
      <c r="AC1806" s="11"/>
      <c r="AD1806" s="11"/>
    </row>
    <row r="1807">
      <c r="A1807" s="10"/>
      <c r="B1807" s="10"/>
      <c r="C1807" s="10"/>
      <c r="D1807" s="10"/>
      <c r="E1807" s="10"/>
      <c r="F1807" s="11"/>
      <c r="G1807" s="11"/>
      <c r="H1807" s="11"/>
      <c r="I1807" s="11"/>
      <c r="J1807" s="11" t="str">
        <f>IFERROR(__xludf.DUMMYFUNCTION("iferror(if($B1807="""", ,filter(Playoff_Stats!F:Z,Playoff_Stats!A:A=$B1807,Playoff_Stats!B:B=$A1807)))"),"")</f>
        <v/>
      </c>
      <c r="K1807" s="11"/>
      <c r="L1807" s="12"/>
      <c r="M1807" s="11"/>
      <c r="N1807" s="11"/>
      <c r="O1807" s="13"/>
      <c r="P1807" s="14"/>
      <c r="Q1807" s="13"/>
      <c r="R1807" s="13"/>
      <c r="S1807" s="15"/>
      <c r="T1807" s="16"/>
      <c r="U1807" s="16"/>
      <c r="V1807" s="16"/>
      <c r="W1807" s="16"/>
      <c r="X1807" s="16"/>
      <c r="Y1807" s="11"/>
      <c r="Z1807" s="11"/>
      <c r="AA1807" s="11"/>
      <c r="AB1807" s="11"/>
      <c r="AC1807" s="11"/>
      <c r="AD1807" s="11"/>
    </row>
    <row r="1808">
      <c r="A1808" s="10"/>
      <c r="B1808" s="10"/>
      <c r="C1808" s="10"/>
      <c r="D1808" s="10"/>
      <c r="E1808" s="10"/>
      <c r="F1808" s="11"/>
      <c r="G1808" s="11"/>
      <c r="H1808" s="11"/>
      <c r="I1808" s="11"/>
      <c r="J1808" s="11" t="str">
        <f>IFERROR(__xludf.DUMMYFUNCTION("iferror(if($B1808="""", ,filter(Playoff_Stats!F:Z,Playoff_Stats!A:A=$B1808,Playoff_Stats!B:B=$A1808)))"),"")</f>
        <v/>
      </c>
      <c r="K1808" s="11"/>
      <c r="L1808" s="12"/>
      <c r="M1808" s="11"/>
      <c r="N1808" s="11"/>
      <c r="O1808" s="13"/>
      <c r="P1808" s="14"/>
      <c r="Q1808" s="13"/>
      <c r="R1808" s="13"/>
      <c r="S1808" s="15"/>
      <c r="T1808" s="16"/>
      <c r="U1808" s="16"/>
      <c r="V1808" s="16"/>
      <c r="W1808" s="16"/>
      <c r="X1808" s="16"/>
      <c r="Y1808" s="11"/>
      <c r="Z1808" s="11"/>
      <c r="AA1808" s="11"/>
      <c r="AB1808" s="11"/>
      <c r="AC1808" s="11"/>
      <c r="AD1808" s="11"/>
    </row>
    <row r="1809">
      <c r="A1809" s="10"/>
      <c r="B1809" s="10"/>
      <c r="C1809" s="10"/>
      <c r="D1809" s="10"/>
      <c r="E1809" s="10"/>
      <c r="F1809" s="11"/>
      <c r="G1809" s="11"/>
      <c r="H1809" s="11"/>
      <c r="I1809" s="11"/>
      <c r="J1809" s="11" t="str">
        <f>IFERROR(__xludf.DUMMYFUNCTION("iferror(if($B1809="""", ,filter(Playoff_Stats!F:Z,Playoff_Stats!A:A=$B1809,Playoff_Stats!B:B=$A1809)))"),"")</f>
        <v/>
      </c>
      <c r="K1809" s="11"/>
      <c r="L1809" s="12"/>
      <c r="M1809" s="11"/>
      <c r="N1809" s="11"/>
      <c r="O1809" s="13"/>
      <c r="P1809" s="14"/>
      <c r="Q1809" s="13"/>
      <c r="R1809" s="13"/>
      <c r="S1809" s="15"/>
      <c r="T1809" s="16"/>
      <c r="U1809" s="16"/>
      <c r="V1809" s="16"/>
      <c r="W1809" s="16"/>
      <c r="X1809" s="16"/>
      <c r="Y1809" s="11"/>
      <c r="Z1809" s="11"/>
      <c r="AA1809" s="11"/>
      <c r="AB1809" s="11"/>
      <c r="AC1809" s="11"/>
      <c r="AD1809" s="11"/>
    </row>
    <row r="1810">
      <c r="A1810" s="10"/>
      <c r="B1810" s="10"/>
      <c r="C1810" s="10"/>
      <c r="D1810" s="10"/>
      <c r="E1810" s="10"/>
      <c r="F1810" s="11"/>
      <c r="G1810" s="11"/>
      <c r="H1810" s="11"/>
      <c r="I1810" s="11"/>
      <c r="J1810" s="11" t="str">
        <f>IFERROR(__xludf.DUMMYFUNCTION("iferror(if($B1810="""", ,filter(Playoff_Stats!F:Z,Playoff_Stats!A:A=$B1810,Playoff_Stats!B:B=$A1810)))"),"")</f>
        <v/>
      </c>
      <c r="K1810" s="11"/>
      <c r="L1810" s="12"/>
      <c r="M1810" s="11"/>
      <c r="N1810" s="11"/>
      <c r="O1810" s="13"/>
      <c r="P1810" s="14"/>
      <c r="Q1810" s="13"/>
      <c r="R1810" s="13"/>
      <c r="S1810" s="15"/>
      <c r="T1810" s="16"/>
      <c r="U1810" s="16"/>
      <c r="V1810" s="16"/>
      <c r="W1810" s="16"/>
      <c r="X1810" s="16"/>
      <c r="Y1810" s="11"/>
      <c r="Z1810" s="11"/>
      <c r="AA1810" s="11"/>
      <c r="AB1810" s="11"/>
      <c r="AC1810" s="11"/>
      <c r="AD1810" s="11"/>
    </row>
    <row r="1811">
      <c r="A1811" s="10"/>
      <c r="B1811" s="10"/>
      <c r="C1811" s="10"/>
      <c r="D1811" s="10"/>
      <c r="E1811" s="10"/>
      <c r="F1811" s="11"/>
      <c r="G1811" s="11"/>
      <c r="H1811" s="11"/>
      <c r="I1811" s="11"/>
      <c r="J1811" s="11" t="str">
        <f>IFERROR(__xludf.DUMMYFUNCTION("iferror(if($B1811="""", ,filter(Playoff_Stats!F:Z,Playoff_Stats!A:A=$B1811,Playoff_Stats!B:B=$A1811)))"),"")</f>
        <v/>
      </c>
      <c r="K1811" s="11"/>
      <c r="L1811" s="12"/>
      <c r="M1811" s="11"/>
      <c r="N1811" s="11"/>
      <c r="O1811" s="13"/>
      <c r="P1811" s="14"/>
      <c r="Q1811" s="13"/>
      <c r="R1811" s="13"/>
      <c r="S1811" s="15"/>
      <c r="T1811" s="16"/>
      <c r="U1811" s="16"/>
      <c r="V1811" s="16"/>
      <c r="W1811" s="16"/>
      <c r="X1811" s="16"/>
      <c r="Y1811" s="11"/>
      <c r="Z1811" s="11"/>
      <c r="AA1811" s="11"/>
      <c r="AB1811" s="11"/>
      <c r="AC1811" s="11"/>
      <c r="AD1811" s="11"/>
    </row>
    <row r="1812">
      <c r="A1812" s="10"/>
      <c r="B1812" s="10"/>
      <c r="C1812" s="10"/>
      <c r="D1812" s="10"/>
      <c r="E1812" s="10"/>
      <c r="F1812" s="11"/>
      <c r="G1812" s="11"/>
      <c r="H1812" s="11"/>
      <c r="I1812" s="11"/>
      <c r="J1812" s="11" t="str">
        <f>IFERROR(__xludf.DUMMYFUNCTION("iferror(if($B1812="""", ,filter(Playoff_Stats!F:Z,Playoff_Stats!A:A=$B1812,Playoff_Stats!B:B=$A1812)))"),"")</f>
        <v/>
      </c>
      <c r="K1812" s="11"/>
      <c r="L1812" s="12"/>
      <c r="M1812" s="11"/>
      <c r="N1812" s="11"/>
      <c r="O1812" s="13"/>
      <c r="P1812" s="14"/>
      <c r="Q1812" s="13"/>
      <c r="R1812" s="13"/>
      <c r="S1812" s="15"/>
      <c r="T1812" s="16"/>
      <c r="U1812" s="16"/>
      <c r="V1812" s="16"/>
      <c r="W1812" s="16"/>
      <c r="X1812" s="16"/>
      <c r="Y1812" s="11"/>
      <c r="Z1812" s="11"/>
      <c r="AA1812" s="11"/>
      <c r="AB1812" s="11"/>
      <c r="AC1812" s="11"/>
      <c r="AD1812" s="11"/>
    </row>
    <row r="1813">
      <c r="A1813" s="10"/>
      <c r="B1813" s="10"/>
      <c r="C1813" s="10"/>
      <c r="D1813" s="10"/>
      <c r="E1813" s="10"/>
      <c r="F1813" s="11"/>
      <c r="G1813" s="11"/>
      <c r="H1813" s="11"/>
      <c r="I1813" s="11"/>
      <c r="J1813" s="11" t="str">
        <f>IFERROR(__xludf.DUMMYFUNCTION("iferror(if($B1813="""", ,filter(Playoff_Stats!F:Z,Playoff_Stats!A:A=$B1813,Playoff_Stats!B:B=$A1813)))"),"")</f>
        <v/>
      </c>
      <c r="K1813" s="11"/>
      <c r="L1813" s="12"/>
      <c r="M1813" s="11"/>
      <c r="N1813" s="11"/>
      <c r="O1813" s="13"/>
      <c r="P1813" s="14"/>
      <c r="Q1813" s="13"/>
      <c r="R1813" s="13"/>
      <c r="S1813" s="15"/>
      <c r="T1813" s="16"/>
      <c r="U1813" s="16"/>
      <c r="V1813" s="16"/>
      <c r="W1813" s="16"/>
      <c r="X1813" s="16"/>
      <c r="Y1813" s="11"/>
      <c r="Z1813" s="11"/>
      <c r="AA1813" s="11"/>
      <c r="AB1813" s="11"/>
      <c r="AC1813" s="11"/>
      <c r="AD1813" s="11"/>
    </row>
    <row r="1814">
      <c r="A1814" s="10"/>
      <c r="B1814" s="10"/>
      <c r="C1814" s="10"/>
      <c r="D1814" s="10"/>
      <c r="E1814" s="10"/>
      <c r="F1814" s="11"/>
      <c r="G1814" s="11"/>
      <c r="H1814" s="11"/>
      <c r="I1814" s="11"/>
      <c r="J1814" s="11" t="str">
        <f>IFERROR(__xludf.DUMMYFUNCTION("iferror(if($B1814="""", ,filter(Playoff_Stats!F:Z,Playoff_Stats!A:A=$B1814,Playoff_Stats!B:B=$A1814)))"),"")</f>
        <v/>
      </c>
      <c r="K1814" s="11"/>
      <c r="L1814" s="12"/>
      <c r="M1814" s="11"/>
      <c r="N1814" s="11"/>
      <c r="O1814" s="13"/>
      <c r="P1814" s="14"/>
      <c r="Q1814" s="13"/>
      <c r="R1814" s="13"/>
      <c r="S1814" s="15"/>
      <c r="T1814" s="16"/>
      <c r="U1814" s="16"/>
      <c r="V1814" s="16"/>
      <c r="W1814" s="16"/>
      <c r="X1814" s="16"/>
      <c r="Y1814" s="11"/>
      <c r="Z1814" s="11"/>
      <c r="AA1814" s="11"/>
      <c r="AB1814" s="11"/>
      <c r="AC1814" s="11"/>
      <c r="AD1814" s="11"/>
    </row>
    <row r="1815">
      <c r="A1815" s="10"/>
      <c r="B1815" s="10"/>
      <c r="C1815" s="10"/>
      <c r="D1815" s="10"/>
      <c r="E1815" s="10"/>
      <c r="F1815" s="11"/>
      <c r="G1815" s="11"/>
      <c r="H1815" s="11"/>
      <c r="I1815" s="11"/>
      <c r="J1815" s="11" t="str">
        <f>IFERROR(__xludf.DUMMYFUNCTION("iferror(if($B1815="""", ,filter(Playoff_Stats!F:Z,Playoff_Stats!A:A=$B1815,Playoff_Stats!B:B=$A1815)))"),"")</f>
        <v/>
      </c>
      <c r="K1815" s="11"/>
      <c r="L1815" s="12"/>
      <c r="M1815" s="11"/>
      <c r="N1815" s="11"/>
      <c r="O1815" s="13"/>
      <c r="P1815" s="14"/>
      <c r="Q1815" s="13"/>
      <c r="R1815" s="13"/>
      <c r="S1815" s="15"/>
      <c r="T1815" s="16"/>
      <c r="U1815" s="16"/>
      <c r="V1815" s="16"/>
      <c r="W1815" s="16"/>
      <c r="X1815" s="16"/>
      <c r="Y1815" s="11"/>
      <c r="Z1815" s="11"/>
      <c r="AA1815" s="11"/>
      <c r="AB1815" s="11"/>
      <c r="AC1815" s="11"/>
      <c r="AD1815" s="11"/>
    </row>
    <row r="1816">
      <c r="A1816" s="10"/>
      <c r="B1816" s="10"/>
      <c r="C1816" s="10"/>
      <c r="D1816" s="10"/>
      <c r="E1816" s="10"/>
      <c r="F1816" s="11"/>
      <c r="G1816" s="11"/>
      <c r="H1816" s="11"/>
      <c r="I1816" s="11"/>
      <c r="J1816" s="11" t="str">
        <f>IFERROR(__xludf.DUMMYFUNCTION("iferror(if($B1816="""", ,filter(Playoff_Stats!F:Z,Playoff_Stats!A:A=$B1816,Playoff_Stats!B:B=$A1816)))"),"")</f>
        <v/>
      </c>
      <c r="K1816" s="11"/>
      <c r="L1816" s="12"/>
      <c r="M1816" s="11"/>
      <c r="N1816" s="11"/>
      <c r="O1816" s="13"/>
      <c r="P1816" s="14"/>
      <c r="Q1816" s="13"/>
      <c r="R1816" s="13"/>
      <c r="S1816" s="15"/>
      <c r="T1816" s="16"/>
      <c r="U1816" s="16"/>
      <c r="V1816" s="16"/>
      <c r="W1816" s="16"/>
      <c r="X1816" s="16"/>
      <c r="Y1816" s="11"/>
      <c r="Z1816" s="11"/>
      <c r="AA1816" s="11"/>
      <c r="AB1816" s="11"/>
      <c r="AC1816" s="11"/>
      <c r="AD1816" s="11"/>
    </row>
    <row r="1817">
      <c r="A1817" s="10"/>
      <c r="B1817" s="10"/>
      <c r="C1817" s="10"/>
      <c r="D1817" s="10"/>
      <c r="E1817" s="10"/>
      <c r="F1817" s="11"/>
      <c r="G1817" s="11"/>
      <c r="H1817" s="11"/>
      <c r="I1817" s="11"/>
      <c r="J1817" s="11" t="str">
        <f>IFERROR(__xludf.DUMMYFUNCTION("iferror(if($B1817="""", ,filter(Playoff_Stats!F:Z,Playoff_Stats!A:A=$B1817,Playoff_Stats!B:B=$A1817)))"),"")</f>
        <v/>
      </c>
      <c r="K1817" s="11"/>
      <c r="L1817" s="12"/>
      <c r="M1817" s="11"/>
      <c r="N1817" s="11"/>
      <c r="O1817" s="13"/>
      <c r="P1817" s="14"/>
      <c r="Q1817" s="13"/>
      <c r="R1817" s="13"/>
      <c r="S1817" s="15"/>
      <c r="T1817" s="16"/>
      <c r="U1817" s="16"/>
      <c r="V1817" s="16"/>
      <c r="W1817" s="16"/>
      <c r="X1817" s="16"/>
      <c r="Y1817" s="11"/>
      <c r="Z1817" s="11"/>
      <c r="AA1817" s="11"/>
      <c r="AB1817" s="11"/>
      <c r="AC1817" s="11"/>
      <c r="AD1817" s="11"/>
    </row>
    <row r="1818">
      <c r="A1818" s="10"/>
      <c r="B1818" s="10"/>
      <c r="C1818" s="10"/>
      <c r="D1818" s="10"/>
      <c r="E1818" s="10"/>
      <c r="F1818" s="11"/>
      <c r="G1818" s="11"/>
      <c r="H1818" s="11"/>
      <c r="I1818" s="11"/>
      <c r="J1818" s="11" t="str">
        <f>IFERROR(__xludf.DUMMYFUNCTION("iferror(if($B1818="""", ,filter(Playoff_Stats!F:Z,Playoff_Stats!A:A=$B1818,Playoff_Stats!B:B=$A1818)))"),"")</f>
        <v/>
      </c>
      <c r="K1818" s="11"/>
      <c r="L1818" s="12"/>
      <c r="M1818" s="11"/>
      <c r="N1818" s="11"/>
      <c r="O1818" s="13"/>
      <c r="P1818" s="14"/>
      <c r="Q1818" s="13"/>
      <c r="R1818" s="13"/>
      <c r="S1818" s="15"/>
      <c r="T1818" s="16"/>
      <c r="U1818" s="16"/>
      <c r="V1818" s="16"/>
      <c r="W1818" s="16"/>
      <c r="X1818" s="16"/>
      <c r="Y1818" s="11"/>
      <c r="Z1818" s="11"/>
      <c r="AA1818" s="11"/>
      <c r="AB1818" s="11"/>
      <c r="AC1818" s="11"/>
      <c r="AD1818" s="11"/>
    </row>
    <row r="1819">
      <c r="A1819" s="10"/>
      <c r="B1819" s="10"/>
      <c r="C1819" s="10"/>
      <c r="D1819" s="10"/>
      <c r="E1819" s="10"/>
      <c r="F1819" s="11"/>
      <c r="G1819" s="11"/>
      <c r="H1819" s="11"/>
      <c r="I1819" s="11"/>
      <c r="J1819" s="11" t="str">
        <f>IFERROR(__xludf.DUMMYFUNCTION("iferror(if($B1819="""", ,filter(Playoff_Stats!F:Z,Playoff_Stats!A:A=$B1819,Playoff_Stats!B:B=$A1819)))"),"")</f>
        <v/>
      </c>
      <c r="K1819" s="11"/>
      <c r="L1819" s="12"/>
      <c r="M1819" s="11"/>
      <c r="N1819" s="11"/>
      <c r="O1819" s="13"/>
      <c r="P1819" s="14"/>
      <c r="Q1819" s="13"/>
      <c r="R1819" s="13"/>
      <c r="S1819" s="15"/>
      <c r="T1819" s="16"/>
      <c r="U1819" s="16"/>
      <c r="V1819" s="16"/>
      <c r="W1819" s="16"/>
      <c r="X1819" s="16"/>
      <c r="Y1819" s="11"/>
      <c r="Z1819" s="11"/>
      <c r="AA1819" s="11"/>
      <c r="AB1819" s="11"/>
      <c r="AC1819" s="11"/>
      <c r="AD1819" s="11"/>
    </row>
    <row r="1820">
      <c r="A1820" s="10"/>
      <c r="B1820" s="10"/>
      <c r="C1820" s="10"/>
      <c r="D1820" s="10"/>
      <c r="E1820" s="10"/>
      <c r="F1820" s="11"/>
      <c r="G1820" s="11"/>
      <c r="H1820" s="11"/>
      <c r="I1820" s="11"/>
      <c r="J1820" s="11" t="str">
        <f>IFERROR(__xludf.DUMMYFUNCTION("iferror(if($B1820="""", ,filter(Playoff_Stats!F:Z,Playoff_Stats!A:A=$B1820,Playoff_Stats!B:B=$A1820)))"),"")</f>
        <v/>
      </c>
      <c r="K1820" s="11"/>
      <c r="L1820" s="12"/>
      <c r="M1820" s="11"/>
      <c r="N1820" s="11"/>
      <c r="O1820" s="13"/>
      <c r="P1820" s="14"/>
      <c r="Q1820" s="13"/>
      <c r="R1820" s="13"/>
      <c r="S1820" s="15"/>
      <c r="T1820" s="16"/>
      <c r="U1820" s="16"/>
      <c r="V1820" s="16"/>
      <c r="W1820" s="16"/>
      <c r="X1820" s="16"/>
      <c r="Y1820" s="11"/>
      <c r="Z1820" s="11"/>
      <c r="AA1820" s="11"/>
      <c r="AB1820" s="11"/>
      <c r="AC1820" s="11"/>
      <c r="AD1820" s="11"/>
    </row>
    <row r="1821">
      <c r="A1821" s="10"/>
      <c r="B1821" s="10"/>
      <c r="C1821" s="10"/>
      <c r="D1821" s="10"/>
      <c r="E1821" s="10"/>
      <c r="F1821" s="11"/>
      <c r="G1821" s="11"/>
      <c r="H1821" s="11"/>
      <c r="I1821" s="11"/>
      <c r="J1821" s="11" t="str">
        <f>IFERROR(__xludf.DUMMYFUNCTION("iferror(if($B1821="""", ,filter(Playoff_Stats!F:Z,Playoff_Stats!A:A=$B1821,Playoff_Stats!B:B=$A1821)))"),"")</f>
        <v/>
      </c>
      <c r="K1821" s="11"/>
      <c r="L1821" s="12"/>
      <c r="M1821" s="11"/>
      <c r="N1821" s="11"/>
      <c r="O1821" s="13"/>
      <c r="P1821" s="14"/>
      <c r="Q1821" s="13"/>
      <c r="R1821" s="13"/>
      <c r="S1821" s="15"/>
      <c r="T1821" s="16"/>
      <c r="U1821" s="16"/>
      <c r="V1821" s="16"/>
      <c r="W1821" s="16"/>
      <c r="X1821" s="16"/>
      <c r="Y1821" s="11"/>
      <c r="Z1821" s="11"/>
      <c r="AA1821" s="11"/>
      <c r="AB1821" s="11"/>
      <c r="AC1821" s="11"/>
      <c r="AD1821" s="11"/>
    </row>
    <row r="1822">
      <c r="A1822" s="10"/>
      <c r="B1822" s="10"/>
      <c r="C1822" s="10"/>
      <c r="D1822" s="10"/>
      <c r="E1822" s="10"/>
      <c r="F1822" s="11"/>
      <c r="G1822" s="11"/>
      <c r="H1822" s="11"/>
      <c r="I1822" s="11"/>
      <c r="J1822" s="11" t="str">
        <f>IFERROR(__xludf.DUMMYFUNCTION("iferror(if($B1822="""", ,filter(Playoff_Stats!F:Z,Playoff_Stats!A:A=$B1822,Playoff_Stats!B:B=$A1822)))"),"")</f>
        <v/>
      </c>
      <c r="K1822" s="11"/>
      <c r="L1822" s="12"/>
      <c r="M1822" s="11"/>
      <c r="N1822" s="11"/>
      <c r="O1822" s="13"/>
      <c r="P1822" s="14"/>
      <c r="Q1822" s="13"/>
      <c r="R1822" s="13"/>
      <c r="S1822" s="15"/>
      <c r="T1822" s="16"/>
      <c r="U1822" s="16"/>
      <c r="V1822" s="16"/>
      <c r="W1822" s="16"/>
      <c r="X1822" s="16"/>
      <c r="Y1822" s="11"/>
      <c r="Z1822" s="11"/>
      <c r="AA1822" s="11"/>
      <c r="AB1822" s="11"/>
      <c r="AC1822" s="11"/>
      <c r="AD1822" s="11"/>
    </row>
    <row r="1823">
      <c r="A1823" s="10"/>
      <c r="B1823" s="10"/>
      <c r="C1823" s="10"/>
      <c r="D1823" s="10"/>
      <c r="E1823" s="10"/>
      <c r="F1823" s="11"/>
      <c r="G1823" s="11"/>
      <c r="H1823" s="11"/>
      <c r="I1823" s="11"/>
      <c r="J1823" s="11" t="str">
        <f>IFERROR(__xludf.DUMMYFUNCTION("iferror(if($B1823="""", ,filter(Playoff_Stats!F:Z,Playoff_Stats!A:A=$B1823,Playoff_Stats!B:B=$A1823)))"),"")</f>
        <v/>
      </c>
      <c r="K1823" s="11"/>
      <c r="L1823" s="12"/>
      <c r="M1823" s="11"/>
      <c r="N1823" s="11"/>
      <c r="O1823" s="13"/>
      <c r="P1823" s="14"/>
      <c r="Q1823" s="13"/>
      <c r="R1823" s="13"/>
      <c r="S1823" s="15"/>
      <c r="T1823" s="16"/>
      <c r="U1823" s="16"/>
      <c r="V1823" s="16"/>
      <c r="W1823" s="16"/>
      <c r="X1823" s="16"/>
      <c r="Y1823" s="11"/>
      <c r="Z1823" s="11"/>
      <c r="AA1823" s="11"/>
      <c r="AB1823" s="11"/>
      <c r="AC1823" s="11"/>
      <c r="AD1823" s="11"/>
    </row>
    <row r="1824">
      <c r="A1824" s="10"/>
      <c r="B1824" s="10"/>
      <c r="C1824" s="10"/>
      <c r="D1824" s="10"/>
      <c r="E1824" s="10"/>
      <c r="F1824" s="11"/>
      <c r="G1824" s="11"/>
      <c r="H1824" s="11"/>
      <c r="I1824" s="11"/>
      <c r="J1824" s="11" t="str">
        <f>IFERROR(__xludf.DUMMYFUNCTION("iferror(if($B1824="""", ,filter(Playoff_Stats!F:Z,Playoff_Stats!A:A=$B1824,Playoff_Stats!B:B=$A1824)))"),"")</f>
        <v/>
      </c>
      <c r="K1824" s="11"/>
      <c r="L1824" s="12"/>
      <c r="M1824" s="11"/>
      <c r="N1824" s="11"/>
      <c r="O1824" s="13"/>
      <c r="P1824" s="14"/>
      <c r="Q1824" s="13"/>
      <c r="R1824" s="13"/>
      <c r="S1824" s="15"/>
      <c r="T1824" s="16"/>
      <c r="U1824" s="16"/>
      <c r="V1824" s="16"/>
      <c r="W1824" s="16"/>
      <c r="X1824" s="16"/>
      <c r="Y1824" s="11"/>
      <c r="Z1824" s="11"/>
      <c r="AA1824" s="11"/>
      <c r="AB1824" s="11"/>
      <c r="AC1824" s="11"/>
      <c r="AD1824" s="11"/>
    </row>
    <row r="1825">
      <c r="A1825" s="10"/>
      <c r="B1825" s="10"/>
      <c r="C1825" s="10"/>
      <c r="D1825" s="10"/>
      <c r="E1825" s="10"/>
      <c r="F1825" s="11"/>
      <c r="G1825" s="11"/>
      <c r="H1825" s="11"/>
      <c r="I1825" s="11"/>
      <c r="J1825" s="11" t="str">
        <f>IFERROR(__xludf.DUMMYFUNCTION("iferror(if($B1825="""", ,filter(Playoff_Stats!F:Z,Playoff_Stats!A:A=$B1825,Playoff_Stats!B:B=$A1825)))"),"")</f>
        <v/>
      </c>
      <c r="K1825" s="11"/>
      <c r="L1825" s="12"/>
      <c r="M1825" s="11"/>
      <c r="N1825" s="11"/>
      <c r="O1825" s="13"/>
      <c r="P1825" s="14"/>
      <c r="Q1825" s="13"/>
      <c r="R1825" s="13"/>
      <c r="S1825" s="15"/>
      <c r="T1825" s="16"/>
      <c r="U1825" s="16"/>
      <c r="V1825" s="16"/>
      <c r="W1825" s="16"/>
      <c r="X1825" s="16"/>
      <c r="Y1825" s="11"/>
      <c r="Z1825" s="11"/>
      <c r="AA1825" s="11"/>
      <c r="AB1825" s="11"/>
      <c r="AC1825" s="11"/>
      <c r="AD1825" s="11"/>
    </row>
    <row r="1826">
      <c r="A1826" s="10"/>
      <c r="B1826" s="10"/>
      <c r="C1826" s="10"/>
      <c r="D1826" s="10"/>
      <c r="E1826" s="10"/>
      <c r="F1826" s="11"/>
      <c r="G1826" s="11"/>
      <c r="H1826" s="11"/>
      <c r="I1826" s="11"/>
      <c r="J1826" s="11" t="str">
        <f>IFERROR(__xludf.DUMMYFUNCTION("iferror(if($B1826="""", ,filter(Playoff_Stats!F:Z,Playoff_Stats!A:A=$B1826,Playoff_Stats!B:B=$A1826)))"),"")</f>
        <v/>
      </c>
      <c r="K1826" s="11"/>
      <c r="L1826" s="12"/>
      <c r="M1826" s="11"/>
      <c r="N1826" s="11"/>
      <c r="O1826" s="13"/>
      <c r="P1826" s="14"/>
      <c r="Q1826" s="13"/>
      <c r="R1826" s="13"/>
      <c r="S1826" s="15"/>
      <c r="T1826" s="16"/>
      <c r="U1826" s="16"/>
      <c r="V1826" s="16"/>
      <c r="W1826" s="16"/>
      <c r="X1826" s="16"/>
      <c r="Y1826" s="11"/>
      <c r="Z1826" s="11"/>
      <c r="AA1826" s="11"/>
      <c r="AB1826" s="11"/>
      <c r="AC1826" s="11"/>
      <c r="AD1826" s="11"/>
    </row>
    <row r="1827">
      <c r="A1827" s="10"/>
      <c r="B1827" s="10"/>
      <c r="C1827" s="10"/>
      <c r="D1827" s="10"/>
      <c r="E1827" s="10"/>
      <c r="F1827" s="11"/>
      <c r="G1827" s="11"/>
      <c r="H1827" s="11"/>
      <c r="I1827" s="11"/>
      <c r="J1827" s="11" t="str">
        <f>IFERROR(__xludf.DUMMYFUNCTION("iferror(if($B1827="""", ,filter(Playoff_Stats!F:Z,Playoff_Stats!A:A=$B1827,Playoff_Stats!B:B=$A1827)))"),"")</f>
        <v/>
      </c>
      <c r="K1827" s="11"/>
      <c r="L1827" s="12"/>
      <c r="M1827" s="11"/>
      <c r="N1827" s="11"/>
      <c r="O1827" s="13"/>
      <c r="P1827" s="14"/>
      <c r="Q1827" s="13"/>
      <c r="R1827" s="13"/>
      <c r="S1827" s="15"/>
      <c r="T1827" s="16"/>
      <c r="U1827" s="16"/>
      <c r="V1827" s="16"/>
      <c r="W1827" s="16"/>
      <c r="X1827" s="16"/>
      <c r="Y1827" s="11"/>
      <c r="Z1827" s="11"/>
      <c r="AA1827" s="11"/>
      <c r="AB1827" s="11"/>
      <c r="AC1827" s="11"/>
      <c r="AD1827" s="11"/>
    </row>
    <row r="1828">
      <c r="A1828" s="10"/>
      <c r="B1828" s="10"/>
      <c r="C1828" s="10"/>
      <c r="D1828" s="10"/>
      <c r="E1828" s="10"/>
      <c r="F1828" s="11"/>
      <c r="G1828" s="11"/>
      <c r="H1828" s="11"/>
      <c r="I1828" s="11"/>
      <c r="J1828" s="11" t="str">
        <f>IFERROR(__xludf.DUMMYFUNCTION("iferror(if($B1828="""", ,filter(Playoff_Stats!F:Z,Playoff_Stats!A:A=$B1828,Playoff_Stats!B:B=$A1828)))"),"")</f>
        <v/>
      </c>
      <c r="K1828" s="11"/>
      <c r="L1828" s="12"/>
      <c r="M1828" s="11"/>
      <c r="N1828" s="11"/>
      <c r="O1828" s="13"/>
      <c r="P1828" s="14"/>
      <c r="Q1828" s="13"/>
      <c r="R1828" s="13"/>
      <c r="S1828" s="15"/>
      <c r="T1828" s="16"/>
      <c r="U1828" s="16"/>
      <c r="V1828" s="16"/>
      <c r="W1828" s="16"/>
      <c r="X1828" s="16"/>
      <c r="Y1828" s="11"/>
      <c r="Z1828" s="11"/>
      <c r="AA1828" s="11"/>
      <c r="AB1828" s="11"/>
      <c r="AC1828" s="11"/>
      <c r="AD1828" s="11"/>
    </row>
    <row r="1829">
      <c r="A1829" s="10"/>
      <c r="B1829" s="10"/>
      <c r="C1829" s="10"/>
      <c r="D1829" s="10"/>
      <c r="E1829" s="10"/>
      <c r="F1829" s="11"/>
      <c r="G1829" s="11"/>
      <c r="H1829" s="11"/>
      <c r="I1829" s="11"/>
      <c r="J1829" s="11" t="str">
        <f>IFERROR(__xludf.DUMMYFUNCTION("iferror(if($B1829="""", ,filter(Playoff_Stats!F:Z,Playoff_Stats!A:A=$B1829,Playoff_Stats!B:B=$A1829)))"),"")</f>
        <v/>
      </c>
      <c r="K1829" s="11"/>
      <c r="L1829" s="12"/>
      <c r="M1829" s="11"/>
      <c r="N1829" s="11"/>
      <c r="O1829" s="13"/>
      <c r="P1829" s="14"/>
      <c r="Q1829" s="13"/>
      <c r="R1829" s="13"/>
      <c r="S1829" s="15"/>
      <c r="T1829" s="16"/>
      <c r="U1829" s="16"/>
      <c r="V1829" s="16"/>
      <c r="W1829" s="16"/>
      <c r="X1829" s="16"/>
      <c r="Y1829" s="11"/>
      <c r="Z1829" s="11"/>
      <c r="AA1829" s="11"/>
      <c r="AB1829" s="11"/>
      <c r="AC1829" s="11"/>
      <c r="AD1829" s="11"/>
    </row>
    <row r="1830">
      <c r="A1830" s="10"/>
      <c r="B1830" s="10"/>
      <c r="C1830" s="10"/>
      <c r="D1830" s="10"/>
      <c r="E1830" s="10"/>
      <c r="F1830" s="11"/>
      <c r="G1830" s="11"/>
      <c r="H1830" s="11"/>
      <c r="I1830" s="11"/>
      <c r="J1830" s="11" t="str">
        <f>IFERROR(__xludf.DUMMYFUNCTION("iferror(if($B1830="""", ,filter(Playoff_Stats!F:Z,Playoff_Stats!A:A=$B1830,Playoff_Stats!B:B=$A1830)))"),"")</f>
        <v/>
      </c>
      <c r="K1830" s="11"/>
      <c r="L1830" s="12"/>
      <c r="M1830" s="11"/>
      <c r="N1830" s="11"/>
      <c r="O1830" s="13"/>
      <c r="P1830" s="14"/>
      <c r="Q1830" s="13"/>
      <c r="R1830" s="13"/>
      <c r="S1830" s="15"/>
      <c r="T1830" s="16"/>
      <c r="U1830" s="16"/>
      <c r="V1830" s="16"/>
      <c r="W1830" s="16"/>
      <c r="X1830" s="16"/>
      <c r="Y1830" s="11"/>
      <c r="Z1830" s="11"/>
      <c r="AA1830" s="11"/>
      <c r="AB1830" s="11"/>
      <c r="AC1830" s="11"/>
      <c r="AD1830" s="11"/>
    </row>
    <row r="1831">
      <c r="A1831" s="10"/>
      <c r="B1831" s="10"/>
      <c r="C1831" s="10"/>
      <c r="D1831" s="10"/>
      <c r="E1831" s="10"/>
      <c r="F1831" s="11"/>
      <c r="G1831" s="11"/>
      <c r="H1831" s="11"/>
      <c r="I1831" s="11"/>
      <c r="J1831" s="11" t="str">
        <f>IFERROR(__xludf.DUMMYFUNCTION("iferror(if($B1831="""", ,filter(Playoff_Stats!F:Z,Playoff_Stats!A:A=$B1831,Playoff_Stats!B:B=$A1831)))"),"")</f>
        <v/>
      </c>
      <c r="K1831" s="11"/>
      <c r="L1831" s="12"/>
      <c r="M1831" s="11"/>
      <c r="N1831" s="11"/>
      <c r="O1831" s="13"/>
      <c r="P1831" s="14"/>
      <c r="Q1831" s="13"/>
      <c r="R1831" s="13"/>
      <c r="S1831" s="15"/>
      <c r="T1831" s="16"/>
      <c r="U1831" s="16"/>
      <c r="V1831" s="16"/>
      <c r="W1831" s="16"/>
      <c r="X1831" s="16"/>
      <c r="Y1831" s="11"/>
      <c r="Z1831" s="11"/>
      <c r="AA1831" s="11"/>
      <c r="AB1831" s="11"/>
      <c r="AC1831" s="11"/>
      <c r="AD1831" s="11"/>
    </row>
    <row r="1832">
      <c r="A1832" s="10"/>
      <c r="B1832" s="10"/>
      <c r="C1832" s="10"/>
      <c r="D1832" s="10"/>
      <c r="E1832" s="10"/>
      <c r="F1832" s="11"/>
      <c r="G1832" s="11"/>
      <c r="H1832" s="11"/>
      <c r="I1832" s="11"/>
      <c r="J1832" s="11" t="str">
        <f>IFERROR(__xludf.DUMMYFUNCTION("iferror(if($B1832="""", ,filter(Playoff_Stats!F:Z,Playoff_Stats!A:A=$B1832,Playoff_Stats!B:B=$A1832)))"),"")</f>
        <v/>
      </c>
      <c r="K1832" s="11"/>
      <c r="L1832" s="12"/>
      <c r="M1832" s="11"/>
      <c r="N1832" s="11"/>
      <c r="O1832" s="13"/>
      <c r="P1832" s="14"/>
      <c r="Q1832" s="13"/>
      <c r="R1832" s="13"/>
      <c r="S1832" s="15"/>
      <c r="T1832" s="16"/>
      <c r="U1832" s="16"/>
      <c r="V1832" s="16"/>
      <c r="W1832" s="16"/>
      <c r="X1832" s="16"/>
      <c r="Y1832" s="11"/>
      <c r="Z1832" s="11"/>
      <c r="AA1832" s="11"/>
      <c r="AB1832" s="11"/>
      <c r="AC1832" s="11"/>
      <c r="AD1832" s="11"/>
    </row>
    <row r="1833">
      <c r="A1833" s="10"/>
      <c r="B1833" s="10"/>
      <c r="C1833" s="10"/>
      <c r="D1833" s="10"/>
      <c r="E1833" s="10"/>
      <c r="F1833" s="11"/>
      <c r="G1833" s="11"/>
      <c r="H1833" s="11"/>
      <c r="I1833" s="11"/>
      <c r="J1833" s="11" t="str">
        <f>IFERROR(__xludf.DUMMYFUNCTION("iferror(if($B1833="""", ,filter(Playoff_Stats!F:Z,Playoff_Stats!A:A=$B1833,Playoff_Stats!B:B=$A1833)))"),"")</f>
        <v/>
      </c>
      <c r="K1833" s="11"/>
      <c r="L1833" s="12"/>
      <c r="M1833" s="11"/>
      <c r="N1833" s="11"/>
      <c r="O1833" s="13"/>
      <c r="P1833" s="14"/>
      <c r="Q1833" s="13"/>
      <c r="R1833" s="13"/>
      <c r="S1833" s="15"/>
      <c r="T1833" s="16"/>
      <c r="U1833" s="16"/>
      <c r="V1833" s="16"/>
      <c r="W1833" s="16"/>
      <c r="X1833" s="16"/>
      <c r="Y1833" s="11"/>
      <c r="Z1833" s="11"/>
      <c r="AA1833" s="11"/>
      <c r="AB1833" s="11"/>
      <c r="AC1833" s="11"/>
      <c r="AD1833" s="11"/>
    </row>
    <row r="1834">
      <c r="A1834" s="10"/>
      <c r="B1834" s="10"/>
      <c r="C1834" s="10"/>
      <c r="D1834" s="10"/>
      <c r="E1834" s="10"/>
      <c r="F1834" s="11"/>
      <c r="G1834" s="11"/>
      <c r="H1834" s="11"/>
      <c r="I1834" s="11"/>
      <c r="J1834" s="11" t="str">
        <f>IFERROR(__xludf.DUMMYFUNCTION("iferror(if($B1834="""", ,filter(Playoff_Stats!F:Z,Playoff_Stats!A:A=$B1834,Playoff_Stats!B:B=$A1834)))"),"")</f>
        <v/>
      </c>
      <c r="K1834" s="11"/>
      <c r="L1834" s="12"/>
      <c r="M1834" s="11"/>
      <c r="N1834" s="11"/>
      <c r="O1834" s="13"/>
      <c r="P1834" s="14"/>
      <c r="Q1834" s="13"/>
      <c r="R1834" s="13"/>
      <c r="S1834" s="15"/>
      <c r="T1834" s="16"/>
      <c r="U1834" s="16"/>
      <c r="V1834" s="16"/>
      <c r="W1834" s="16"/>
      <c r="X1834" s="16"/>
      <c r="Y1834" s="11"/>
      <c r="Z1834" s="11"/>
      <c r="AA1834" s="11"/>
      <c r="AB1834" s="11"/>
      <c r="AC1834" s="11"/>
      <c r="AD1834" s="11"/>
    </row>
    <row r="1835">
      <c r="A1835" s="10"/>
      <c r="B1835" s="10"/>
      <c r="C1835" s="10"/>
      <c r="D1835" s="10"/>
      <c r="E1835" s="10"/>
      <c r="F1835" s="11"/>
      <c r="G1835" s="11"/>
      <c r="H1835" s="11"/>
      <c r="I1835" s="11"/>
      <c r="J1835" s="11" t="str">
        <f>IFERROR(__xludf.DUMMYFUNCTION("iferror(if($B1835="""", ,filter(Playoff_Stats!F:Z,Playoff_Stats!A:A=$B1835,Playoff_Stats!B:B=$A1835)))"),"")</f>
        <v/>
      </c>
      <c r="K1835" s="11"/>
      <c r="L1835" s="12"/>
      <c r="M1835" s="11"/>
      <c r="N1835" s="11"/>
      <c r="O1835" s="13"/>
      <c r="P1835" s="14"/>
      <c r="Q1835" s="13"/>
      <c r="R1835" s="13"/>
      <c r="S1835" s="15"/>
      <c r="T1835" s="16"/>
      <c r="U1835" s="16"/>
      <c r="V1835" s="16"/>
      <c r="W1835" s="16"/>
      <c r="X1835" s="16"/>
      <c r="Y1835" s="11"/>
      <c r="Z1835" s="11"/>
      <c r="AA1835" s="11"/>
      <c r="AB1835" s="11"/>
      <c r="AC1835" s="11"/>
      <c r="AD1835" s="11"/>
    </row>
    <row r="1836">
      <c r="A1836" s="10"/>
      <c r="B1836" s="10"/>
      <c r="C1836" s="10"/>
      <c r="D1836" s="10"/>
      <c r="E1836" s="10"/>
      <c r="F1836" s="11"/>
      <c r="G1836" s="11"/>
      <c r="H1836" s="11"/>
      <c r="I1836" s="11"/>
      <c r="J1836" s="11" t="str">
        <f>IFERROR(__xludf.DUMMYFUNCTION("iferror(if($B1836="""", ,filter(Playoff_Stats!F:Z,Playoff_Stats!A:A=$B1836,Playoff_Stats!B:B=$A1836)))"),"")</f>
        <v/>
      </c>
      <c r="K1836" s="11"/>
      <c r="L1836" s="12"/>
      <c r="M1836" s="11"/>
      <c r="N1836" s="11"/>
      <c r="O1836" s="13"/>
      <c r="P1836" s="14"/>
      <c r="Q1836" s="13"/>
      <c r="R1836" s="13"/>
      <c r="S1836" s="15"/>
      <c r="T1836" s="16"/>
      <c r="U1836" s="16"/>
      <c r="V1836" s="16"/>
      <c r="W1836" s="16"/>
      <c r="X1836" s="16"/>
      <c r="Y1836" s="11"/>
      <c r="Z1836" s="11"/>
      <c r="AA1836" s="11"/>
      <c r="AB1836" s="11"/>
      <c r="AC1836" s="11"/>
      <c r="AD1836" s="11"/>
    </row>
    <row r="1837">
      <c r="A1837" s="10"/>
      <c r="B1837" s="10"/>
      <c r="C1837" s="10"/>
      <c r="D1837" s="10"/>
      <c r="E1837" s="10"/>
      <c r="F1837" s="11"/>
      <c r="G1837" s="11"/>
      <c r="H1837" s="11"/>
      <c r="I1837" s="11"/>
      <c r="J1837" s="11" t="str">
        <f>IFERROR(__xludf.DUMMYFUNCTION("iferror(if($B1837="""", ,filter(Playoff_Stats!F:Z,Playoff_Stats!A:A=$B1837,Playoff_Stats!B:B=$A1837)))"),"")</f>
        <v/>
      </c>
      <c r="K1837" s="11"/>
      <c r="L1837" s="12"/>
      <c r="M1837" s="11"/>
      <c r="N1837" s="11"/>
      <c r="O1837" s="13"/>
      <c r="P1837" s="14"/>
      <c r="Q1837" s="13"/>
      <c r="R1837" s="13"/>
      <c r="S1837" s="15"/>
      <c r="T1837" s="16"/>
      <c r="U1837" s="16"/>
      <c r="V1837" s="16"/>
      <c r="W1837" s="16"/>
      <c r="X1837" s="16"/>
      <c r="Y1837" s="11"/>
      <c r="Z1837" s="11"/>
      <c r="AA1837" s="11"/>
      <c r="AB1837" s="11"/>
      <c r="AC1837" s="11"/>
      <c r="AD1837" s="11"/>
    </row>
    <row r="1838">
      <c r="A1838" s="10"/>
      <c r="B1838" s="10"/>
      <c r="C1838" s="10"/>
      <c r="D1838" s="10"/>
      <c r="E1838" s="10"/>
      <c r="F1838" s="11"/>
      <c r="G1838" s="11"/>
      <c r="H1838" s="11"/>
      <c r="I1838" s="11"/>
      <c r="J1838" s="11" t="str">
        <f>IFERROR(__xludf.DUMMYFUNCTION("iferror(if($B1838="""", ,filter(Playoff_Stats!F:Z,Playoff_Stats!A:A=$B1838,Playoff_Stats!B:B=$A1838)))"),"")</f>
        <v/>
      </c>
      <c r="K1838" s="11"/>
      <c r="L1838" s="12"/>
      <c r="M1838" s="11"/>
      <c r="N1838" s="11"/>
      <c r="O1838" s="13"/>
      <c r="P1838" s="14"/>
      <c r="Q1838" s="13"/>
      <c r="R1838" s="13"/>
      <c r="S1838" s="15"/>
      <c r="T1838" s="16"/>
      <c r="U1838" s="16"/>
      <c r="V1838" s="16"/>
      <c r="W1838" s="16"/>
      <c r="X1838" s="16"/>
      <c r="Y1838" s="11"/>
      <c r="Z1838" s="11"/>
      <c r="AA1838" s="11"/>
      <c r="AB1838" s="11"/>
      <c r="AC1838" s="11"/>
      <c r="AD1838" s="11"/>
    </row>
    <row r="1839">
      <c r="A1839" s="10"/>
      <c r="B1839" s="10"/>
      <c r="C1839" s="10"/>
      <c r="D1839" s="10"/>
      <c r="E1839" s="10"/>
      <c r="F1839" s="11"/>
      <c r="G1839" s="11"/>
      <c r="H1839" s="11"/>
      <c r="I1839" s="11"/>
      <c r="J1839" s="11" t="str">
        <f>IFERROR(__xludf.DUMMYFUNCTION("iferror(if($B1839="""", ,filter(Playoff_Stats!F:Z,Playoff_Stats!A:A=$B1839,Playoff_Stats!B:B=$A1839)))"),"")</f>
        <v/>
      </c>
      <c r="K1839" s="11"/>
      <c r="L1839" s="12"/>
      <c r="M1839" s="11"/>
      <c r="N1839" s="11"/>
      <c r="O1839" s="13"/>
      <c r="P1839" s="14"/>
      <c r="Q1839" s="13"/>
      <c r="R1839" s="13"/>
      <c r="S1839" s="15"/>
      <c r="T1839" s="16"/>
      <c r="U1839" s="16"/>
      <c r="V1839" s="16"/>
      <c r="W1839" s="16"/>
      <c r="X1839" s="16"/>
      <c r="Y1839" s="11"/>
      <c r="Z1839" s="11"/>
      <c r="AA1839" s="11"/>
      <c r="AB1839" s="11"/>
      <c r="AC1839" s="11"/>
      <c r="AD1839" s="11"/>
    </row>
    <row r="1840">
      <c r="A1840" s="10"/>
      <c r="B1840" s="10"/>
      <c r="C1840" s="10"/>
      <c r="D1840" s="10"/>
      <c r="E1840" s="10"/>
      <c r="F1840" s="11"/>
      <c r="G1840" s="11"/>
      <c r="H1840" s="11"/>
      <c r="I1840" s="11"/>
      <c r="J1840" s="11" t="str">
        <f>IFERROR(__xludf.DUMMYFUNCTION("iferror(if($B1840="""", ,filter(Playoff_Stats!F:Z,Playoff_Stats!A:A=$B1840,Playoff_Stats!B:B=$A1840)))"),"")</f>
        <v/>
      </c>
      <c r="K1840" s="11"/>
      <c r="L1840" s="12"/>
      <c r="M1840" s="11"/>
      <c r="N1840" s="11"/>
      <c r="O1840" s="13"/>
      <c r="P1840" s="14"/>
      <c r="Q1840" s="13"/>
      <c r="R1840" s="13"/>
      <c r="S1840" s="15"/>
      <c r="T1840" s="16"/>
      <c r="U1840" s="16"/>
      <c r="V1840" s="16"/>
      <c r="W1840" s="16"/>
      <c r="X1840" s="16"/>
      <c r="Y1840" s="11"/>
      <c r="Z1840" s="11"/>
      <c r="AA1840" s="11"/>
      <c r="AB1840" s="11"/>
      <c r="AC1840" s="11"/>
      <c r="AD1840" s="11"/>
    </row>
    <row r="1841">
      <c r="A1841" s="10"/>
      <c r="B1841" s="10"/>
      <c r="C1841" s="10"/>
      <c r="D1841" s="10"/>
      <c r="E1841" s="10"/>
      <c r="F1841" s="11"/>
      <c r="G1841" s="11"/>
      <c r="H1841" s="11"/>
      <c r="I1841" s="11"/>
      <c r="J1841" s="11" t="str">
        <f>IFERROR(__xludf.DUMMYFUNCTION("iferror(if($B1841="""", ,filter(Playoff_Stats!F:Z,Playoff_Stats!A:A=$B1841,Playoff_Stats!B:B=$A1841)))"),"")</f>
        <v/>
      </c>
      <c r="K1841" s="11"/>
      <c r="L1841" s="12"/>
      <c r="M1841" s="11"/>
      <c r="N1841" s="11"/>
      <c r="O1841" s="13"/>
      <c r="P1841" s="14"/>
      <c r="Q1841" s="13"/>
      <c r="R1841" s="13"/>
      <c r="S1841" s="15"/>
      <c r="T1841" s="16"/>
      <c r="U1841" s="16"/>
      <c r="V1841" s="16"/>
      <c r="W1841" s="16"/>
      <c r="X1841" s="16"/>
      <c r="Y1841" s="11"/>
      <c r="Z1841" s="11"/>
      <c r="AA1841" s="11"/>
      <c r="AB1841" s="11"/>
      <c r="AC1841" s="11"/>
      <c r="AD1841" s="11"/>
    </row>
    <row r="1842">
      <c r="A1842" s="10"/>
      <c r="B1842" s="10"/>
      <c r="C1842" s="10"/>
      <c r="D1842" s="10"/>
      <c r="E1842" s="10"/>
      <c r="F1842" s="11"/>
      <c r="G1842" s="11"/>
      <c r="H1842" s="11"/>
      <c r="I1842" s="11"/>
      <c r="J1842" s="11" t="str">
        <f>IFERROR(__xludf.DUMMYFUNCTION("iferror(if($B1842="""", ,filter(Playoff_Stats!F:Z,Playoff_Stats!A:A=$B1842,Playoff_Stats!B:B=$A1842)))"),"")</f>
        <v/>
      </c>
      <c r="K1842" s="11"/>
      <c r="L1842" s="12"/>
      <c r="M1842" s="11"/>
      <c r="N1842" s="11"/>
      <c r="O1842" s="13"/>
      <c r="P1842" s="14"/>
      <c r="Q1842" s="13"/>
      <c r="R1842" s="13"/>
      <c r="S1842" s="15"/>
      <c r="T1842" s="16"/>
      <c r="U1842" s="16"/>
      <c r="V1842" s="16"/>
      <c r="W1842" s="16"/>
      <c r="X1842" s="16"/>
      <c r="Y1842" s="11"/>
      <c r="Z1842" s="11"/>
      <c r="AA1842" s="11"/>
      <c r="AB1842" s="11"/>
      <c r="AC1842" s="11"/>
      <c r="AD1842" s="11"/>
    </row>
    <row r="1843">
      <c r="A1843" s="10"/>
      <c r="B1843" s="10"/>
      <c r="C1843" s="10"/>
      <c r="D1843" s="10"/>
      <c r="E1843" s="10"/>
      <c r="F1843" s="11"/>
      <c r="G1843" s="11"/>
      <c r="H1843" s="11"/>
      <c r="I1843" s="11"/>
      <c r="J1843" s="11" t="str">
        <f>IFERROR(__xludf.DUMMYFUNCTION("iferror(if($B1843="""", ,filter(Playoff_Stats!F:Z,Playoff_Stats!A:A=$B1843,Playoff_Stats!B:B=$A1843)))"),"")</f>
        <v/>
      </c>
      <c r="K1843" s="11"/>
      <c r="L1843" s="12"/>
      <c r="M1843" s="11"/>
      <c r="N1843" s="11"/>
      <c r="O1843" s="13"/>
      <c r="P1843" s="14"/>
      <c r="Q1843" s="13"/>
      <c r="R1843" s="13"/>
      <c r="S1843" s="15"/>
      <c r="T1843" s="16"/>
      <c r="U1843" s="16"/>
      <c r="V1843" s="16"/>
      <c r="W1843" s="16"/>
      <c r="X1843" s="16"/>
      <c r="Y1843" s="11"/>
      <c r="Z1843" s="11"/>
      <c r="AA1843" s="11"/>
      <c r="AB1843" s="11"/>
      <c r="AC1843" s="11"/>
      <c r="AD1843" s="11"/>
    </row>
    <row r="1844">
      <c r="A1844" s="10"/>
      <c r="B1844" s="10"/>
      <c r="C1844" s="10"/>
      <c r="D1844" s="10"/>
      <c r="E1844" s="10"/>
      <c r="F1844" s="11"/>
      <c r="G1844" s="11"/>
      <c r="H1844" s="11"/>
      <c r="I1844" s="11"/>
      <c r="J1844" s="11" t="str">
        <f>IFERROR(__xludf.DUMMYFUNCTION("iferror(if($B1844="""", ,filter(Playoff_Stats!F:Z,Playoff_Stats!A:A=$B1844,Playoff_Stats!B:B=$A1844)))"),"")</f>
        <v/>
      </c>
      <c r="K1844" s="11"/>
      <c r="L1844" s="12"/>
      <c r="M1844" s="11"/>
      <c r="N1844" s="11"/>
      <c r="O1844" s="13"/>
      <c r="P1844" s="14"/>
      <c r="Q1844" s="13"/>
      <c r="R1844" s="13"/>
      <c r="S1844" s="15"/>
      <c r="T1844" s="16"/>
      <c r="U1844" s="16"/>
      <c r="V1844" s="16"/>
      <c r="W1844" s="16"/>
      <c r="X1844" s="16"/>
      <c r="Y1844" s="11"/>
      <c r="Z1844" s="11"/>
      <c r="AA1844" s="11"/>
      <c r="AB1844" s="11"/>
      <c r="AC1844" s="11"/>
      <c r="AD1844" s="11"/>
    </row>
    <row r="1845">
      <c r="A1845" s="10"/>
      <c r="B1845" s="10"/>
      <c r="C1845" s="10"/>
      <c r="D1845" s="10"/>
      <c r="E1845" s="10"/>
      <c r="F1845" s="11"/>
      <c r="G1845" s="11"/>
      <c r="H1845" s="11"/>
      <c r="I1845" s="11"/>
      <c r="J1845" s="11" t="str">
        <f>IFERROR(__xludf.DUMMYFUNCTION("iferror(if($B1845="""", ,filter(Playoff_Stats!F:Z,Playoff_Stats!A:A=$B1845,Playoff_Stats!B:B=$A1845)))"),"")</f>
        <v/>
      </c>
      <c r="K1845" s="11"/>
      <c r="L1845" s="12"/>
      <c r="M1845" s="11"/>
      <c r="N1845" s="11"/>
      <c r="O1845" s="13"/>
      <c r="P1845" s="14"/>
      <c r="Q1845" s="13"/>
      <c r="R1845" s="13"/>
      <c r="S1845" s="15"/>
      <c r="T1845" s="16"/>
      <c r="U1845" s="16"/>
      <c r="V1845" s="16"/>
      <c r="W1845" s="16"/>
      <c r="X1845" s="16"/>
      <c r="Y1845" s="11"/>
      <c r="Z1845" s="11"/>
      <c r="AA1845" s="11"/>
      <c r="AB1845" s="11"/>
      <c r="AC1845" s="11"/>
      <c r="AD1845" s="11"/>
    </row>
    <row r="1846">
      <c r="A1846" s="10"/>
      <c r="B1846" s="10"/>
      <c r="C1846" s="10"/>
      <c r="D1846" s="10"/>
      <c r="E1846" s="10"/>
      <c r="F1846" s="11"/>
      <c r="G1846" s="11"/>
      <c r="H1846" s="11"/>
      <c r="I1846" s="11"/>
      <c r="J1846" s="11" t="str">
        <f>IFERROR(__xludf.DUMMYFUNCTION("iferror(if($B1846="""", ,filter(Playoff_Stats!F:Z,Playoff_Stats!A:A=$B1846,Playoff_Stats!B:B=$A1846)))"),"")</f>
        <v/>
      </c>
      <c r="K1846" s="11"/>
      <c r="L1846" s="12"/>
      <c r="M1846" s="11"/>
      <c r="N1846" s="11"/>
      <c r="O1846" s="13"/>
      <c r="P1846" s="14"/>
      <c r="Q1846" s="13"/>
      <c r="R1846" s="13"/>
      <c r="S1846" s="15"/>
      <c r="T1846" s="16"/>
      <c r="U1846" s="16"/>
      <c r="V1846" s="16"/>
      <c r="W1846" s="16"/>
      <c r="X1846" s="16"/>
      <c r="Y1846" s="11"/>
      <c r="Z1846" s="11"/>
      <c r="AA1846" s="11"/>
      <c r="AB1846" s="11"/>
      <c r="AC1846" s="11"/>
      <c r="AD1846" s="11"/>
    </row>
    <row r="1847">
      <c r="A1847" s="10"/>
      <c r="B1847" s="10"/>
      <c r="C1847" s="10"/>
      <c r="D1847" s="10"/>
      <c r="E1847" s="10"/>
      <c r="F1847" s="11"/>
      <c r="G1847" s="11"/>
      <c r="H1847" s="11"/>
      <c r="I1847" s="11"/>
      <c r="J1847" s="11" t="str">
        <f>IFERROR(__xludf.DUMMYFUNCTION("iferror(if($B1847="""", ,filter(Playoff_Stats!F:Z,Playoff_Stats!A:A=$B1847,Playoff_Stats!B:B=$A1847)))"),"")</f>
        <v/>
      </c>
      <c r="K1847" s="11"/>
      <c r="L1847" s="12"/>
      <c r="M1847" s="11"/>
      <c r="N1847" s="11"/>
      <c r="O1847" s="13"/>
      <c r="P1847" s="14"/>
      <c r="Q1847" s="13"/>
      <c r="R1847" s="13"/>
      <c r="S1847" s="15"/>
      <c r="T1847" s="16"/>
      <c r="U1847" s="16"/>
      <c r="V1847" s="16"/>
      <c r="W1847" s="16"/>
      <c r="X1847" s="16"/>
      <c r="Y1847" s="11"/>
      <c r="Z1847" s="11"/>
      <c r="AA1847" s="11"/>
      <c r="AB1847" s="11"/>
      <c r="AC1847" s="11"/>
      <c r="AD1847" s="11"/>
    </row>
    <row r="1848">
      <c r="A1848" s="10"/>
      <c r="B1848" s="10"/>
      <c r="C1848" s="10"/>
      <c r="D1848" s="10"/>
      <c r="E1848" s="10"/>
      <c r="F1848" s="11"/>
      <c r="G1848" s="11"/>
      <c r="H1848" s="11"/>
      <c r="I1848" s="11"/>
      <c r="J1848" s="11" t="str">
        <f>IFERROR(__xludf.DUMMYFUNCTION("iferror(if($B1848="""", ,filter(Playoff_Stats!F:Z,Playoff_Stats!A:A=$B1848,Playoff_Stats!B:B=$A1848)))"),"")</f>
        <v/>
      </c>
      <c r="K1848" s="11"/>
      <c r="L1848" s="12"/>
      <c r="M1848" s="11"/>
      <c r="N1848" s="11"/>
      <c r="O1848" s="13"/>
      <c r="P1848" s="14"/>
      <c r="Q1848" s="13"/>
      <c r="R1848" s="13"/>
      <c r="S1848" s="15"/>
      <c r="T1848" s="16"/>
      <c r="U1848" s="16"/>
      <c r="V1848" s="16"/>
      <c r="W1848" s="16"/>
      <c r="X1848" s="16"/>
      <c r="Y1848" s="11"/>
      <c r="Z1848" s="11"/>
      <c r="AA1848" s="11"/>
      <c r="AB1848" s="11"/>
      <c r="AC1848" s="11"/>
      <c r="AD1848" s="11"/>
    </row>
    <row r="1849">
      <c r="A1849" s="10"/>
      <c r="B1849" s="10"/>
      <c r="C1849" s="10"/>
      <c r="D1849" s="10"/>
      <c r="E1849" s="10"/>
      <c r="F1849" s="11"/>
      <c r="G1849" s="11"/>
      <c r="H1849" s="11"/>
      <c r="I1849" s="11"/>
      <c r="J1849" s="11" t="str">
        <f>IFERROR(__xludf.DUMMYFUNCTION("iferror(if($B1849="""", ,filter(Playoff_Stats!F:Z,Playoff_Stats!A:A=$B1849,Playoff_Stats!B:B=$A1849)))"),"")</f>
        <v/>
      </c>
      <c r="K1849" s="11"/>
      <c r="L1849" s="12"/>
      <c r="M1849" s="11"/>
      <c r="N1849" s="11"/>
      <c r="O1849" s="13"/>
      <c r="P1849" s="14"/>
      <c r="Q1849" s="13"/>
      <c r="R1849" s="13"/>
      <c r="S1849" s="15"/>
      <c r="T1849" s="16"/>
      <c r="U1849" s="16"/>
      <c r="V1849" s="16"/>
      <c r="W1849" s="16"/>
      <c r="X1849" s="16"/>
      <c r="Y1849" s="11"/>
      <c r="Z1849" s="11"/>
      <c r="AA1849" s="11"/>
      <c r="AB1849" s="11"/>
      <c r="AC1849" s="11"/>
      <c r="AD1849" s="11"/>
    </row>
    <row r="1850">
      <c r="A1850" s="10"/>
      <c r="B1850" s="10"/>
      <c r="C1850" s="10"/>
      <c r="D1850" s="10"/>
      <c r="E1850" s="10"/>
      <c r="F1850" s="11"/>
      <c r="G1850" s="11"/>
      <c r="H1850" s="11"/>
      <c r="I1850" s="11"/>
      <c r="J1850" s="11" t="str">
        <f>IFERROR(__xludf.DUMMYFUNCTION("iferror(if($B1850="""", ,filter(Playoff_Stats!F:Z,Playoff_Stats!A:A=$B1850,Playoff_Stats!B:B=$A1850)))"),"")</f>
        <v/>
      </c>
      <c r="K1850" s="11"/>
      <c r="L1850" s="12"/>
      <c r="M1850" s="11"/>
      <c r="N1850" s="11"/>
      <c r="O1850" s="13"/>
      <c r="P1850" s="14"/>
      <c r="Q1850" s="13"/>
      <c r="R1850" s="13"/>
      <c r="S1850" s="15"/>
      <c r="T1850" s="16"/>
      <c r="U1850" s="16"/>
      <c r="V1850" s="16"/>
      <c r="W1850" s="16"/>
      <c r="X1850" s="16"/>
      <c r="Y1850" s="11"/>
      <c r="Z1850" s="11"/>
      <c r="AA1850" s="11"/>
      <c r="AB1850" s="11"/>
      <c r="AC1850" s="11"/>
      <c r="AD1850" s="11"/>
    </row>
    <row r="1851">
      <c r="A1851" s="10"/>
      <c r="B1851" s="10"/>
      <c r="C1851" s="10"/>
      <c r="D1851" s="10"/>
      <c r="E1851" s="10"/>
      <c r="F1851" s="11"/>
      <c r="G1851" s="11"/>
      <c r="H1851" s="11"/>
      <c r="I1851" s="11"/>
      <c r="J1851" s="11" t="str">
        <f>IFERROR(__xludf.DUMMYFUNCTION("iferror(if($B1851="""", ,filter(Playoff_Stats!F:Z,Playoff_Stats!A:A=$B1851,Playoff_Stats!B:B=$A1851)))"),"")</f>
        <v/>
      </c>
      <c r="K1851" s="11"/>
      <c r="L1851" s="12"/>
      <c r="M1851" s="11"/>
      <c r="N1851" s="11"/>
      <c r="O1851" s="13"/>
      <c r="P1851" s="14"/>
      <c r="Q1851" s="13"/>
      <c r="R1851" s="13"/>
      <c r="S1851" s="15"/>
      <c r="T1851" s="16"/>
      <c r="U1851" s="16"/>
      <c r="V1851" s="16"/>
      <c r="W1851" s="16"/>
      <c r="X1851" s="16"/>
      <c r="Y1851" s="11"/>
      <c r="Z1851" s="11"/>
      <c r="AA1851" s="11"/>
      <c r="AB1851" s="11"/>
      <c r="AC1851" s="11"/>
      <c r="AD1851" s="11"/>
    </row>
    <row r="1852">
      <c r="A1852" s="10"/>
      <c r="B1852" s="10"/>
      <c r="C1852" s="10"/>
      <c r="D1852" s="10"/>
      <c r="E1852" s="10"/>
      <c r="F1852" s="11"/>
      <c r="G1852" s="11"/>
      <c r="H1852" s="11"/>
      <c r="I1852" s="11"/>
      <c r="J1852" s="11" t="str">
        <f>IFERROR(__xludf.DUMMYFUNCTION("iferror(if($B1852="""", ,filter(Playoff_Stats!F:Z,Playoff_Stats!A:A=$B1852,Playoff_Stats!B:B=$A1852)))"),"")</f>
        <v/>
      </c>
      <c r="K1852" s="11"/>
      <c r="L1852" s="12"/>
      <c r="M1852" s="11"/>
      <c r="N1852" s="11"/>
      <c r="O1852" s="13"/>
      <c r="P1852" s="14"/>
      <c r="Q1852" s="13"/>
      <c r="R1852" s="13"/>
      <c r="S1852" s="15"/>
      <c r="T1852" s="16"/>
      <c r="U1852" s="16"/>
      <c r="V1852" s="16"/>
      <c r="W1852" s="16"/>
      <c r="X1852" s="16"/>
      <c r="Y1852" s="11"/>
      <c r="Z1852" s="11"/>
      <c r="AA1852" s="11"/>
      <c r="AB1852" s="11"/>
      <c r="AC1852" s="11"/>
      <c r="AD1852" s="11"/>
    </row>
    <row r="1853">
      <c r="A1853" s="10"/>
      <c r="B1853" s="10"/>
      <c r="C1853" s="10"/>
      <c r="D1853" s="10"/>
      <c r="E1853" s="10"/>
      <c r="F1853" s="11"/>
      <c r="G1853" s="11"/>
      <c r="H1853" s="11"/>
      <c r="I1853" s="11"/>
      <c r="J1853" s="11" t="str">
        <f>IFERROR(__xludf.DUMMYFUNCTION("iferror(if($B1853="""", ,filter(Playoff_Stats!F:Z,Playoff_Stats!A:A=$B1853,Playoff_Stats!B:B=$A1853)))"),"")</f>
        <v/>
      </c>
      <c r="K1853" s="11"/>
      <c r="L1853" s="12"/>
      <c r="M1853" s="11"/>
      <c r="N1853" s="11"/>
      <c r="O1853" s="13"/>
      <c r="P1853" s="14"/>
      <c r="Q1853" s="13"/>
      <c r="R1853" s="13"/>
      <c r="S1853" s="15"/>
      <c r="T1853" s="16"/>
      <c r="U1853" s="16"/>
      <c r="V1853" s="16"/>
      <c r="W1853" s="16"/>
      <c r="X1853" s="16"/>
      <c r="Y1853" s="11"/>
      <c r="Z1853" s="11"/>
      <c r="AA1853" s="11"/>
      <c r="AB1853" s="11"/>
      <c r="AC1853" s="11"/>
      <c r="AD1853" s="11"/>
    </row>
    <row r="1854">
      <c r="A1854" s="10"/>
      <c r="B1854" s="10"/>
      <c r="C1854" s="10"/>
      <c r="D1854" s="10"/>
      <c r="E1854" s="10"/>
      <c r="F1854" s="11"/>
      <c r="G1854" s="11"/>
      <c r="H1854" s="11"/>
      <c r="I1854" s="11"/>
      <c r="J1854" s="11" t="str">
        <f>IFERROR(__xludf.DUMMYFUNCTION("iferror(if($B1854="""", ,filter(Playoff_Stats!F:Z,Playoff_Stats!A:A=$B1854,Playoff_Stats!B:B=$A1854)))"),"")</f>
        <v/>
      </c>
      <c r="K1854" s="11"/>
      <c r="L1854" s="12"/>
      <c r="M1854" s="11"/>
      <c r="N1854" s="11"/>
      <c r="O1854" s="13"/>
      <c r="P1854" s="14"/>
      <c r="Q1854" s="13"/>
      <c r="R1854" s="13"/>
      <c r="S1854" s="15"/>
      <c r="T1854" s="16"/>
      <c r="U1854" s="16"/>
      <c r="V1854" s="16"/>
      <c r="W1854" s="16"/>
      <c r="X1854" s="16"/>
      <c r="Y1854" s="11"/>
      <c r="Z1854" s="11"/>
      <c r="AA1854" s="11"/>
      <c r="AB1854" s="11"/>
      <c r="AC1854" s="11"/>
      <c r="AD1854" s="11"/>
    </row>
    <row r="1855">
      <c r="A1855" s="10"/>
      <c r="B1855" s="10"/>
      <c r="C1855" s="10"/>
      <c r="D1855" s="10"/>
      <c r="E1855" s="10"/>
      <c r="F1855" s="11"/>
      <c r="G1855" s="11"/>
      <c r="H1855" s="11"/>
      <c r="I1855" s="11"/>
      <c r="J1855" s="11" t="str">
        <f>IFERROR(__xludf.DUMMYFUNCTION("iferror(if($B1855="""", ,filter(Playoff_Stats!F:Z,Playoff_Stats!A:A=$B1855,Playoff_Stats!B:B=$A1855)))"),"")</f>
        <v/>
      </c>
      <c r="K1855" s="11"/>
      <c r="L1855" s="12"/>
      <c r="M1855" s="11"/>
      <c r="N1855" s="11"/>
      <c r="O1855" s="13"/>
      <c r="P1855" s="14"/>
      <c r="Q1855" s="13"/>
      <c r="R1855" s="13"/>
      <c r="S1855" s="15"/>
      <c r="T1855" s="16"/>
      <c r="U1855" s="16"/>
      <c r="V1855" s="16"/>
      <c r="W1855" s="16"/>
      <c r="X1855" s="16"/>
      <c r="Y1855" s="11"/>
      <c r="Z1855" s="11"/>
      <c r="AA1855" s="11"/>
      <c r="AB1855" s="11"/>
      <c r="AC1855" s="11"/>
      <c r="AD1855" s="11"/>
    </row>
    <row r="1856">
      <c r="A1856" s="10"/>
      <c r="B1856" s="10"/>
      <c r="C1856" s="10"/>
      <c r="D1856" s="10"/>
      <c r="E1856" s="10"/>
      <c r="F1856" s="11"/>
      <c r="G1856" s="11"/>
      <c r="H1856" s="11"/>
      <c r="I1856" s="11"/>
      <c r="J1856" s="11" t="str">
        <f>IFERROR(__xludf.DUMMYFUNCTION("iferror(if($B1856="""", ,filter(Playoff_Stats!F:Z,Playoff_Stats!A:A=$B1856,Playoff_Stats!B:B=$A1856)))"),"")</f>
        <v/>
      </c>
      <c r="K1856" s="11"/>
      <c r="L1856" s="12"/>
      <c r="M1856" s="11"/>
      <c r="N1856" s="11"/>
      <c r="O1856" s="13"/>
      <c r="P1856" s="14"/>
      <c r="Q1856" s="13"/>
      <c r="R1856" s="13"/>
      <c r="S1856" s="15"/>
      <c r="T1856" s="16"/>
      <c r="U1856" s="16"/>
      <c r="V1856" s="16"/>
      <c r="W1856" s="16"/>
      <c r="X1856" s="16"/>
      <c r="Y1856" s="11"/>
      <c r="Z1856" s="11"/>
      <c r="AA1856" s="11"/>
      <c r="AB1856" s="11"/>
      <c r="AC1856" s="11"/>
      <c r="AD1856" s="11"/>
    </row>
    <row r="1857">
      <c r="A1857" s="10"/>
      <c r="B1857" s="10"/>
      <c r="C1857" s="10"/>
      <c r="D1857" s="10"/>
      <c r="E1857" s="10"/>
      <c r="F1857" s="11"/>
      <c r="G1857" s="11"/>
      <c r="H1857" s="11"/>
      <c r="I1857" s="11"/>
      <c r="J1857" s="11" t="str">
        <f>IFERROR(__xludf.DUMMYFUNCTION("iferror(if($B1857="""", ,filter(Playoff_Stats!F:Z,Playoff_Stats!A:A=$B1857,Playoff_Stats!B:B=$A1857)))"),"")</f>
        <v/>
      </c>
      <c r="K1857" s="11"/>
      <c r="L1857" s="12"/>
      <c r="M1857" s="11"/>
      <c r="N1857" s="11"/>
      <c r="O1857" s="13"/>
      <c r="P1857" s="14"/>
      <c r="Q1857" s="13"/>
      <c r="R1857" s="13"/>
      <c r="S1857" s="15"/>
      <c r="T1857" s="16"/>
      <c r="U1857" s="16"/>
      <c r="V1857" s="16"/>
      <c r="W1857" s="16"/>
      <c r="X1857" s="16"/>
      <c r="Y1857" s="11"/>
      <c r="Z1857" s="11"/>
      <c r="AA1857" s="11"/>
      <c r="AB1857" s="11"/>
      <c r="AC1857" s="11"/>
      <c r="AD1857" s="11"/>
    </row>
    <row r="1858">
      <c r="A1858" s="10"/>
      <c r="B1858" s="10"/>
      <c r="C1858" s="10"/>
      <c r="D1858" s="10"/>
      <c r="E1858" s="10"/>
      <c r="F1858" s="11"/>
      <c r="G1858" s="11"/>
      <c r="H1858" s="11"/>
      <c r="I1858" s="11"/>
      <c r="J1858" s="11" t="str">
        <f>IFERROR(__xludf.DUMMYFUNCTION("iferror(if($B1858="""", ,filter(Playoff_Stats!F:Z,Playoff_Stats!A:A=$B1858,Playoff_Stats!B:B=$A1858)))"),"")</f>
        <v/>
      </c>
      <c r="K1858" s="11"/>
      <c r="L1858" s="12"/>
      <c r="M1858" s="11"/>
      <c r="N1858" s="11"/>
      <c r="O1858" s="13"/>
      <c r="P1858" s="14"/>
      <c r="Q1858" s="13"/>
      <c r="R1858" s="13"/>
      <c r="S1858" s="15"/>
      <c r="T1858" s="16"/>
      <c r="U1858" s="16"/>
      <c r="V1858" s="16"/>
      <c r="W1858" s="16"/>
      <c r="X1858" s="16"/>
      <c r="Y1858" s="11"/>
      <c r="Z1858" s="11"/>
      <c r="AA1858" s="11"/>
      <c r="AB1858" s="11"/>
      <c r="AC1858" s="11"/>
      <c r="AD1858" s="11"/>
    </row>
    <row r="1859">
      <c r="A1859" s="10"/>
      <c r="B1859" s="10"/>
      <c r="C1859" s="10"/>
      <c r="D1859" s="10"/>
      <c r="E1859" s="10"/>
      <c r="F1859" s="11"/>
      <c r="G1859" s="11"/>
      <c r="H1859" s="11"/>
      <c r="I1859" s="11"/>
      <c r="J1859" s="11" t="str">
        <f>IFERROR(__xludf.DUMMYFUNCTION("iferror(if($B1859="""", ,filter(Playoff_Stats!F:Z,Playoff_Stats!A:A=$B1859,Playoff_Stats!B:B=$A1859)))"),"")</f>
        <v/>
      </c>
      <c r="K1859" s="11"/>
      <c r="L1859" s="12"/>
      <c r="M1859" s="11"/>
      <c r="N1859" s="11"/>
      <c r="O1859" s="13"/>
      <c r="P1859" s="14"/>
      <c r="Q1859" s="13"/>
      <c r="R1859" s="13"/>
      <c r="S1859" s="15"/>
      <c r="T1859" s="16"/>
      <c r="U1859" s="16"/>
      <c r="V1859" s="16"/>
      <c r="W1859" s="16"/>
      <c r="X1859" s="16"/>
      <c r="Y1859" s="11"/>
      <c r="Z1859" s="11"/>
      <c r="AA1859" s="11"/>
      <c r="AB1859" s="11"/>
      <c r="AC1859" s="11"/>
      <c r="AD1859" s="11"/>
    </row>
    <row r="1860">
      <c r="A1860" s="10"/>
      <c r="B1860" s="10"/>
      <c r="C1860" s="10"/>
      <c r="D1860" s="10"/>
      <c r="E1860" s="10"/>
      <c r="F1860" s="11"/>
      <c r="G1860" s="11"/>
      <c r="H1860" s="11"/>
      <c r="I1860" s="11"/>
      <c r="J1860" s="11" t="str">
        <f>IFERROR(__xludf.DUMMYFUNCTION("iferror(if($B1860="""", ,filter(Playoff_Stats!F:Z,Playoff_Stats!A:A=$B1860,Playoff_Stats!B:B=$A1860)))"),"")</f>
        <v/>
      </c>
      <c r="K1860" s="11"/>
      <c r="L1860" s="12"/>
      <c r="M1860" s="11"/>
      <c r="N1860" s="11"/>
      <c r="O1860" s="13"/>
      <c r="P1860" s="14"/>
      <c r="Q1860" s="13"/>
      <c r="R1860" s="13"/>
      <c r="S1860" s="15"/>
      <c r="T1860" s="16"/>
      <c r="U1860" s="16"/>
      <c r="V1860" s="16"/>
      <c r="W1860" s="16"/>
      <c r="X1860" s="16"/>
      <c r="Y1860" s="11"/>
      <c r="Z1860" s="11"/>
      <c r="AA1860" s="11"/>
      <c r="AB1860" s="11"/>
      <c r="AC1860" s="11"/>
      <c r="AD1860" s="11"/>
    </row>
    <row r="1861">
      <c r="A1861" s="10"/>
      <c r="B1861" s="10"/>
      <c r="C1861" s="10"/>
      <c r="D1861" s="10"/>
      <c r="E1861" s="10"/>
      <c r="F1861" s="11"/>
      <c r="G1861" s="11"/>
      <c r="H1861" s="11"/>
      <c r="I1861" s="11"/>
      <c r="J1861" s="11" t="str">
        <f>IFERROR(__xludf.DUMMYFUNCTION("iferror(if($B1861="""", ,filter(Playoff_Stats!F:Z,Playoff_Stats!A:A=$B1861,Playoff_Stats!B:B=$A1861)))"),"")</f>
        <v/>
      </c>
      <c r="K1861" s="11"/>
      <c r="L1861" s="12"/>
      <c r="M1861" s="11"/>
      <c r="N1861" s="11"/>
      <c r="O1861" s="13"/>
      <c r="P1861" s="14"/>
      <c r="Q1861" s="13"/>
      <c r="R1861" s="13"/>
      <c r="S1861" s="15"/>
      <c r="T1861" s="16"/>
      <c r="U1861" s="16"/>
      <c r="V1861" s="16"/>
      <c r="W1861" s="16"/>
      <c r="X1861" s="16"/>
      <c r="Y1861" s="11"/>
      <c r="Z1861" s="11"/>
      <c r="AA1861" s="11"/>
      <c r="AB1861" s="11"/>
      <c r="AC1861" s="11"/>
      <c r="AD1861" s="11"/>
    </row>
    <row r="1862">
      <c r="A1862" s="10"/>
      <c r="B1862" s="10"/>
      <c r="C1862" s="10"/>
      <c r="D1862" s="10"/>
      <c r="E1862" s="10"/>
      <c r="F1862" s="11"/>
      <c r="G1862" s="11"/>
      <c r="H1862" s="11"/>
      <c r="I1862" s="11"/>
      <c r="J1862" s="11" t="str">
        <f>IFERROR(__xludf.DUMMYFUNCTION("iferror(if($B1862="""", ,filter(Playoff_Stats!F:Z,Playoff_Stats!A:A=$B1862,Playoff_Stats!B:B=$A1862)))"),"")</f>
        <v/>
      </c>
      <c r="K1862" s="11"/>
      <c r="L1862" s="12"/>
      <c r="M1862" s="11"/>
      <c r="N1862" s="11"/>
      <c r="O1862" s="13"/>
      <c r="P1862" s="14"/>
      <c r="Q1862" s="13"/>
      <c r="R1862" s="13"/>
      <c r="S1862" s="15"/>
      <c r="T1862" s="16"/>
      <c r="U1862" s="16"/>
      <c r="V1862" s="16"/>
      <c r="W1862" s="16"/>
      <c r="X1862" s="16"/>
      <c r="Y1862" s="11"/>
      <c r="Z1862" s="11"/>
      <c r="AA1862" s="11"/>
      <c r="AB1862" s="11"/>
      <c r="AC1862" s="11"/>
      <c r="AD1862" s="11"/>
    </row>
    <row r="1863">
      <c r="A1863" s="10"/>
      <c r="B1863" s="10"/>
      <c r="C1863" s="10"/>
      <c r="D1863" s="10"/>
      <c r="E1863" s="10"/>
      <c r="F1863" s="11"/>
      <c r="G1863" s="11"/>
      <c r="H1863" s="11"/>
      <c r="I1863" s="11"/>
      <c r="J1863" s="11" t="str">
        <f>IFERROR(__xludf.DUMMYFUNCTION("iferror(if($B1863="""", ,filter(Playoff_Stats!F:Z,Playoff_Stats!A:A=$B1863,Playoff_Stats!B:B=$A1863)))"),"")</f>
        <v/>
      </c>
      <c r="K1863" s="11"/>
      <c r="L1863" s="12"/>
      <c r="M1863" s="11"/>
      <c r="N1863" s="11"/>
      <c r="O1863" s="13"/>
      <c r="P1863" s="14"/>
      <c r="Q1863" s="13"/>
      <c r="R1863" s="13"/>
      <c r="S1863" s="15"/>
      <c r="T1863" s="16"/>
      <c r="U1863" s="16"/>
      <c r="V1863" s="16"/>
      <c r="W1863" s="16"/>
      <c r="X1863" s="16"/>
      <c r="Y1863" s="11"/>
      <c r="Z1863" s="11"/>
      <c r="AA1863" s="11"/>
      <c r="AB1863" s="11"/>
      <c r="AC1863" s="11"/>
      <c r="AD1863" s="11"/>
    </row>
    <row r="1864">
      <c r="A1864" s="10"/>
      <c r="B1864" s="10"/>
      <c r="C1864" s="10"/>
      <c r="D1864" s="10"/>
      <c r="E1864" s="10"/>
      <c r="F1864" s="11"/>
      <c r="G1864" s="11"/>
      <c r="H1864" s="11"/>
      <c r="I1864" s="11"/>
      <c r="J1864" s="11" t="str">
        <f>IFERROR(__xludf.DUMMYFUNCTION("iferror(if($B1864="""", ,filter(Playoff_Stats!F:Z,Playoff_Stats!A:A=$B1864,Playoff_Stats!B:B=$A1864)))"),"")</f>
        <v/>
      </c>
      <c r="K1864" s="11"/>
      <c r="L1864" s="12"/>
      <c r="M1864" s="11"/>
      <c r="N1864" s="11"/>
      <c r="O1864" s="13"/>
      <c r="P1864" s="14"/>
      <c r="Q1864" s="13"/>
      <c r="R1864" s="13"/>
      <c r="S1864" s="15"/>
      <c r="T1864" s="16"/>
      <c r="U1864" s="16"/>
      <c r="V1864" s="16"/>
      <c r="W1864" s="16"/>
      <c r="X1864" s="16"/>
      <c r="Y1864" s="11"/>
      <c r="Z1864" s="11"/>
      <c r="AA1864" s="11"/>
      <c r="AB1864" s="11"/>
      <c r="AC1864" s="11"/>
      <c r="AD1864" s="11"/>
    </row>
    <row r="1865">
      <c r="A1865" s="10"/>
      <c r="B1865" s="10"/>
      <c r="C1865" s="10"/>
      <c r="D1865" s="10"/>
      <c r="E1865" s="10"/>
      <c r="F1865" s="11"/>
      <c r="G1865" s="11"/>
      <c r="H1865" s="11"/>
      <c r="I1865" s="11"/>
      <c r="J1865" s="11" t="str">
        <f>IFERROR(__xludf.DUMMYFUNCTION("iferror(if($B1865="""", ,filter(Playoff_Stats!F:Z,Playoff_Stats!A:A=$B1865,Playoff_Stats!B:B=$A1865)))"),"")</f>
        <v/>
      </c>
      <c r="K1865" s="11"/>
      <c r="L1865" s="12"/>
      <c r="M1865" s="11"/>
      <c r="N1865" s="11"/>
      <c r="O1865" s="13"/>
      <c r="P1865" s="14"/>
      <c r="Q1865" s="13"/>
      <c r="R1865" s="13"/>
      <c r="S1865" s="15"/>
      <c r="T1865" s="16"/>
      <c r="U1865" s="16"/>
      <c r="V1865" s="16"/>
      <c r="W1865" s="16"/>
      <c r="X1865" s="16"/>
      <c r="Y1865" s="11"/>
      <c r="Z1865" s="11"/>
      <c r="AA1865" s="11"/>
      <c r="AB1865" s="11"/>
      <c r="AC1865" s="11"/>
      <c r="AD1865" s="11"/>
    </row>
    <row r="1866">
      <c r="A1866" s="10"/>
      <c r="B1866" s="10"/>
      <c r="C1866" s="10"/>
      <c r="D1866" s="10"/>
      <c r="E1866" s="10"/>
      <c r="F1866" s="11"/>
      <c r="G1866" s="11"/>
      <c r="H1866" s="11"/>
      <c r="I1866" s="11"/>
      <c r="J1866" s="11" t="str">
        <f>IFERROR(__xludf.DUMMYFUNCTION("iferror(if($B1866="""", ,filter(Playoff_Stats!F:Z,Playoff_Stats!A:A=$B1866,Playoff_Stats!B:B=$A1866)))"),"")</f>
        <v/>
      </c>
      <c r="K1866" s="11"/>
      <c r="L1866" s="12"/>
      <c r="M1866" s="11"/>
      <c r="N1866" s="11"/>
      <c r="O1866" s="13"/>
      <c r="P1866" s="14"/>
      <c r="Q1866" s="13"/>
      <c r="R1866" s="13"/>
      <c r="S1866" s="15"/>
      <c r="T1866" s="16"/>
      <c r="U1866" s="16"/>
      <c r="V1866" s="16"/>
      <c r="W1866" s="16"/>
      <c r="X1866" s="16"/>
      <c r="Y1866" s="11"/>
      <c r="Z1866" s="11"/>
      <c r="AA1866" s="11"/>
      <c r="AB1866" s="11"/>
      <c r="AC1866" s="11"/>
      <c r="AD1866" s="11"/>
    </row>
    <row r="1867">
      <c r="A1867" s="10"/>
      <c r="B1867" s="10"/>
      <c r="C1867" s="10"/>
      <c r="D1867" s="10"/>
      <c r="E1867" s="10"/>
      <c r="F1867" s="11"/>
      <c r="G1867" s="11"/>
      <c r="H1867" s="11"/>
      <c r="I1867" s="11"/>
      <c r="J1867" s="11" t="str">
        <f>IFERROR(__xludf.DUMMYFUNCTION("iferror(if($B1867="""", ,filter(Playoff_Stats!F:Z,Playoff_Stats!A:A=$B1867,Playoff_Stats!B:B=$A1867)))"),"")</f>
        <v/>
      </c>
      <c r="K1867" s="11"/>
      <c r="L1867" s="12"/>
      <c r="M1867" s="11"/>
      <c r="N1867" s="11"/>
      <c r="O1867" s="13"/>
      <c r="P1867" s="14"/>
      <c r="Q1867" s="13"/>
      <c r="R1867" s="13"/>
      <c r="S1867" s="15"/>
      <c r="T1867" s="16"/>
      <c r="U1867" s="16"/>
      <c r="V1867" s="16"/>
      <c r="W1867" s="16"/>
      <c r="X1867" s="16"/>
      <c r="Y1867" s="11"/>
      <c r="Z1867" s="11"/>
      <c r="AA1867" s="11"/>
      <c r="AB1867" s="11"/>
      <c r="AC1867" s="11"/>
      <c r="AD1867" s="11"/>
    </row>
    <row r="1868">
      <c r="A1868" s="10"/>
      <c r="B1868" s="10"/>
      <c r="C1868" s="10"/>
      <c r="D1868" s="10"/>
      <c r="E1868" s="10"/>
      <c r="F1868" s="11"/>
      <c r="G1868" s="11"/>
      <c r="H1868" s="11"/>
      <c r="I1868" s="11"/>
      <c r="J1868" s="11" t="str">
        <f>IFERROR(__xludf.DUMMYFUNCTION("iferror(if($B1868="""", ,filter(Playoff_Stats!F:Z,Playoff_Stats!A:A=$B1868,Playoff_Stats!B:B=$A1868)))"),"")</f>
        <v/>
      </c>
      <c r="K1868" s="11"/>
      <c r="L1868" s="12"/>
      <c r="M1868" s="11"/>
      <c r="N1868" s="11"/>
      <c r="O1868" s="13"/>
      <c r="P1868" s="14"/>
      <c r="Q1868" s="13"/>
      <c r="R1868" s="13"/>
      <c r="S1868" s="15"/>
      <c r="T1868" s="16"/>
      <c r="U1868" s="16"/>
      <c r="V1868" s="16"/>
      <c r="W1868" s="16"/>
      <c r="X1868" s="16"/>
      <c r="Y1868" s="11"/>
      <c r="Z1868" s="11"/>
      <c r="AA1868" s="11"/>
      <c r="AB1868" s="11"/>
      <c r="AC1868" s="11"/>
      <c r="AD1868" s="11"/>
    </row>
    <row r="1869">
      <c r="A1869" s="10"/>
      <c r="B1869" s="10"/>
      <c r="C1869" s="10"/>
      <c r="D1869" s="10"/>
      <c r="E1869" s="10"/>
      <c r="F1869" s="11"/>
      <c r="G1869" s="11"/>
      <c r="H1869" s="11"/>
      <c r="I1869" s="11"/>
      <c r="J1869" s="11" t="str">
        <f>IFERROR(__xludf.DUMMYFUNCTION("iferror(if($B1869="""", ,filter(Playoff_Stats!F:Z,Playoff_Stats!A:A=$B1869,Playoff_Stats!B:B=$A1869)))"),"")</f>
        <v/>
      </c>
      <c r="K1869" s="11"/>
      <c r="L1869" s="12"/>
      <c r="M1869" s="11"/>
      <c r="N1869" s="11"/>
      <c r="O1869" s="13"/>
      <c r="P1869" s="14"/>
      <c r="Q1869" s="13"/>
      <c r="R1869" s="13"/>
      <c r="S1869" s="15"/>
      <c r="T1869" s="16"/>
      <c r="U1869" s="16"/>
      <c r="V1869" s="16"/>
      <c r="W1869" s="16"/>
      <c r="X1869" s="16"/>
      <c r="Y1869" s="11"/>
      <c r="Z1869" s="11"/>
      <c r="AA1869" s="11"/>
      <c r="AB1869" s="11"/>
      <c r="AC1869" s="11"/>
      <c r="AD1869" s="11"/>
    </row>
    <row r="1870">
      <c r="A1870" s="10"/>
      <c r="B1870" s="10"/>
      <c r="C1870" s="10"/>
      <c r="D1870" s="10"/>
      <c r="E1870" s="10"/>
      <c r="F1870" s="11"/>
      <c r="G1870" s="11"/>
      <c r="H1870" s="11"/>
      <c r="I1870" s="11"/>
      <c r="J1870" s="11" t="str">
        <f>IFERROR(__xludf.DUMMYFUNCTION("iferror(if($B1870="""", ,filter(Playoff_Stats!F:Z,Playoff_Stats!A:A=$B1870,Playoff_Stats!B:B=$A1870)))"),"")</f>
        <v/>
      </c>
      <c r="K1870" s="11"/>
      <c r="L1870" s="12"/>
      <c r="M1870" s="11"/>
      <c r="N1870" s="11"/>
      <c r="O1870" s="13"/>
      <c r="P1870" s="14"/>
      <c r="Q1870" s="13"/>
      <c r="R1870" s="13"/>
      <c r="S1870" s="15"/>
      <c r="T1870" s="16"/>
      <c r="U1870" s="16"/>
      <c r="V1870" s="16"/>
      <c r="W1870" s="16"/>
      <c r="X1870" s="16"/>
      <c r="Y1870" s="11"/>
      <c r="Z1870" s="11"/>
      <c r="AA1870" s="11"/>
      <c r="AB1870" s="11"/>
      <c r="AC1870" s="11"/>
      <c r="AD1870" s="11"/>
    </row>
    <row r="1871">
      <c r="A1871" s="10"/>
      <c r="B1871" s="10"/>
      <c r="C1871" s="10"/>
      <c r="D1871" s="10"/>
      <c r="E1871" s="10"/>
      <c r="F1871" s="11"/>
      <c r="G1871" s="11"/>
      <c r="H1871" s="11"/>
      <c r="I1871" s="11"/>
      <c r="J1871" s="11" t="str">
        <f>IFERROR(__xludf.DUMMYFUNCTION("iferror(if($B1871="""", ,filter(Playoff_Stats!F:Z,Playoff_Stats!A:A=$B1871,Playoff_Stats!B:B=$A1871)))"),"")</f>
        <v/>
      </c>
      <c r="K1871" s="11"/>
      <c r="L1871" s="12"/>
      <c r="M1871" s="11"/>
      <c r="N1871" s="11"/>
      <c r="O1871" s="13"/>
      <c r="P1871" s="14"/>
      <c r="Q1871" s="13"/>
      <c r="R1871" s="13"/>
      <c r="S1871" s="15"/>
      <c r="T1871" s="16"/>
      <c r="U1871" s="16"/>
      <c r="V1871" s="16"/>
      <c r="W1871" s="16"/>
      <c r="X1871" s="16"/>
      <c r="Y1871" s="11"/>
      <c r="Z1871" s="11"/>
      <c r="AA1871" s="11"/>
      <c r="AB1871" s="11"/>
      <c r="AC1871" s="11"/>
      <c r="AD1871" s="11"/>
    </row>
    <row r="1872">
      <c r="A1872" s="10"/>
      <c r="B1872" s="10"/>
      <c r="C1872" s="10"/>
      <c r="D1872" s="10"/>
      <c r="E1872" s="10"/>
      <c r="F1872" s="11"/>
      <c r="G1872" s="11"/>
      <c r="H1872" s="11"/>
      <c r="I1872" s="11"/>
      <c r="J1872" s="11" t="str">
        <f>IFERROR(__xludf.DUMMYFUNCTION("iferror(if($B1872="""", ,filter(Playoff_Stats!F:Z,Playoff_Stats!A:A=$B1872,Playoff_Stats!B:B=$A1872)))"),"")</f>
        <v/>
      </c>
      <c r="K1872" s="11"/>
      <c r="L1872" s="12"/>
      <c r="M1872" s="11"/>
      <c r="N1872" s="11"/>
      <c r="O1872" s="13"/>
      <c r="P1872" s="14"/>
      <c r="Q1872" s="13"/>
      <c r="R1872" s="13"/>
      <c r="S1872" s="15"/>
      <c r="T1872" s="16"/>
      <c r="U1872" s="16"/>
      <c r="V1872" s="16"/>
      <c r="W1872" s="16"/>
      <c r="X1872" s="16"/>
      <c r="Y1872" s="11"/>
      <c r="Z1872" s="11"/>
      <c r="AA1872" s="11"/>
      <c r="AB1872" s="11"/>
      <c r="AC1872" s="11"/>
      <c r="AD1872" s="11"/>
    </row>
    <row r="1873">
      <c r="A1873" s="10"/>
      <c r="B1873" s="10"/>
      <c r="C1873" s="10"/>
      <c r="D1873" s="10"/>
      <c r="E1873" s="10"/>
      <c r="F1873" s="11"/>
      <c r="G1873" s="11"/>
      <c r="H1873" s="11"/>
      <c r="I1873" s="11"/>
      <c r="J1873" s="11" t="str">
        <f>IFERROR(__xludf.DUMMYFUNCTION("iferror(if($B1873="""", ,filter(Playoff_Stats!F:Z,Playoff_Stats!A:A=$B1873,Playoff_Stats!B:B=$A1873)))"),"")</f>
        <v/>
      </c>
      <c r="K1873" s="11"/>
      <c r="L1873" s="12"/>
      <c r="M1873" s="11"/>
      <c r="N1873" s="11"/>
      <c r="O1873" s="13"/>
      <c r="P1873" s="14"/>
      <c r="Q1873" s="13"/>
      <c r="R1873" s="13"/>
      <c r="S1873" s="15"/>
      <c r="T1873" s="16"/>
      <c r="U1873" s="16"/>
      <c r="V1873" s="16"/>
      <c r="W1873" s="16"/>
      <c r="X1873" s="16"/>
      <c r="Y1873" s="11"/>
      <c r="Z1873" s="11"/>
      <c r="AA1873" s="11"/>
      <c r="AB1873" s="11"/>
      <c r="AC1873" s="11"/>
      <c r="AD1873" s="11"/>
    </row>
    <row r="1874">
      <c r="A1874" s="10"/>
      <c r="B1874" s="10"/>
      <c r="C1874" s="10"/>
      <c r="D1874" s="10"/>
      <c r="E1874" s="10"/>
      <c r="F1874" s="11"/>
      <c r="G1874" s="11"/>
      <c r="H1874" s="11"/>
      <c r="I1874" s="11"/>
      <c r="J1874" s="11" t="str">
        <f>IFERROR(__xludf.DUMMYFUNCTION("iferror(if($B1874="""", ,filter(Playoff_Stats!F:Z,Playoff_Stats!A:A=$B1874,Playoff_Stats!B:B=$A1874)))"),"")</f>
        <v/>
      </c>
      <c r="K1874" s="11"/>
      <c r="L1874" s="12"/>
      <c r="M1874" s="11"/>
      <c r="N1874" s="11"/>
      <c r="O1874" s="13"/>
      <c r="P1874" s="14"/>
      <c r="Q1874" s="13"/>
      <c r="R1874" s="13"/>
      <c r="S1874" s="15"/>
      <c r="T1874" s="16"/>
      <c r="U1874" s="16"/>
      <c r="V1874" s="16"/>
      <c r="W1874" s="16"/>
      <c r="X1874" s="16"/>
      <c r="Y1874" s="11"/>
      <c r="Z1874" s="11"/>
      <c r="AA1874" s="11"/>
      <c r="AB1874" s="11"/>
      <c r="AC1874" s="11"/>
      <c r="AD1874" s="11"/>
    </row>
    <row r="1875">
      <c r="A1875" s="10"/>
      <c r="B1875" s="10"/>
      <c r="C1875" s="10"/>
      <c r="D1875" s="10"/>
      <c r="E1875" s="10"/>
      <c r="F1875" s="11"/>
      <c r="G1875" s="11"/>
      <c r="H1875" s="11"/>
      <c r="I1875" s="11"/>
      <c r="J1875" s="11" t="str">
        <f>IFERROR(__xludf.DUMMYFUNCTION("iferror(if($B1875="""", ,filter(Playoff_Stats!F:Z,Playoff_Stats!A:A=$B1875,Playoff_Stats!B:B=$A1875)))"),"")</f>
        <v/>
      </c>
      <c r="K1875" s="11"/>
      <c r="L1875" s="12"/>
      <c r="M1875" s="11"/>
      <c r="N1875" s="11"/>
      <c r="O1875" s="13"/>
      <c r="P1875" s="14"/>
      <c r="Q1875" s="13"/>
      <c r="R1875" s="13"/>
      <c r="S1875" s="15"/>
      <c r="T1875" s="16"/>
      <c r="U1875" s="16"/>
      <c r="V1875" s="16"/>
      <c r="W1875" s="16"/>
      <c r="X1875" s="16"/>
      <c r="Y1875" s="11"/>
      <c r="Z1875" s="11"/>
      <c r="AA1875" s="11"/>
      <c r="AB1875" s="11"/>
      <c r="AC1875" s="11"/>
      <c r="AD1875" s="11"/>
    </row>
    <row r="1876">
      <c r="A1876" s="10"/>
      <c r="B1876" s="10"/>
      <c r="C1876" s="10"/>
      <c r="D1876" s="10"/>
      <c r="E1876" s="10"/>
      <c r="F1876" s="11"/>
      <c r="G1876" s="11"/>
      <c r="H1876" s="11"/>
      <c r="I1876" s="11"/>
      <c r="J1876" s="11" t="str">
        <f>IFERROR(__xludf.DUMMYFUNCTION("iferror(if($B1876="""", ,filter(Playoff_Stats!F:Z,Playoff_Stats!A:A=$B1876,Playoff_Stats!B:B=$A1876)))"),"")</f>
        <v/>
      </c>
      <c r="K1876" s="11"/>
      <c r="L1876" s="12"/>
      <c r="M1876" s="11"/>
      <c r="N1876" s="11"/>
      <c r="O1876" s="13"/>
      <c r="P1876" s="14"/>
      <c r="Q1876" s="13"/>
      <c r="R1876" s="13"/>
      <c r="S1876" s="15"/>
      <c r="T1876" s="16"/>
      <c r="U1876" s="16"/>
      <c r="V1876" s="16"/>
      <c r="W1876" s="16"/>
      <c r="X1876" s="16"/>
      <c r="Y1876" s="11"/>
      <c r="Z1876" s="11"/>
      <c r="AA1876" s="11"/>
      <c r="AB1876" s="11"/>
      <c r="AC1876" s="11"/>
      <c r="AD1876" s="11"/>
    </row>
    <row r="1877">
      <c r="A1877" s="10"/>
      <c r="B1877" s="10"/>
      <c r="C1877" s="10"/>
      <c r="D1877" s="10"/>
      <c r="E1877" s="10"/>
      <c r="F1877" s="11"/>
      <c r="G1877" s="11"/>
      <c r="H1877" s="11"/>
      <c r="I1877" s="11"/>
      <c r="J1877" s="11" t="str">
        <f>IFERROR(__xludf.DUMMYFUNCTION("iferror(if($B1877="""", ,filter(Playoff_Stats!F:Z,Playoff_Stats!A:A=$B1877,Playoff_Stats!B:B=$A1877)))"),"")</f>
        <v/>
      </c>
      <c r="K1877" s="11"/>
      <c r="L1877" s="12"/>
      <c r="M1877" s="11"/>
      <c r="N1877" s="11"/>
      <c r="O1877" s="13"/>
      <c r="P1877" s="14"/>
      <c r="Q1877" s="13"/>
      <c r="R1877" s="13"/>
      <c r="S1877" s="15"/>
      <c r="T1877" s="16"/>
      <c r="U1877" s="16"/>
      <c r="V1877" s="16"/>
      <c r="W1877" s="16"/>
      <c r="X1877" s="16"/>
      <c r="Y1877" s="11"/>
      <c r="Z1877" s="11"/>
      <c r="AA1877" s="11"/>
      <c r="AB1877" s="11"/>
      <c r="AC1877" s="11"/>
      <c r="AD1877" s="11"/>
    </row>
    <row r="1878">
      <c r="A1878" s="10"/>
      <c r="B1878" s="10"/>
      <c r="C1878" s="10"/>
      <c r="D1878" s="10"/>
      <c r="E1878" s="10"/>
      <c r="F1878" s="11"/>
      <c r="G1878" s="11"/>
      <c r="H1878" s="11"/>
      <c r="I1878" s="11"/>
      <c r="J1878" s="11" t="str">
        <f>IFERROR(__xludf.DUMMYFUNCTION("iferror(if($B1878="""", ,filter(Playoff_Stats!F:Z,Playoff_Stats!A:A=$B1878,Playoff_Stats!B:B=$A1878)))"),"")</f>
        <v/>
      </c>
      <c r="K1878" s="11"/>
      <c r="L1878" s="12"/>
      <c r="M1878" s="11"/>
      <c r="N1878" s="11"/>
      <c r="O1878" s="13"/>
      <c r="P1878" s="14"/>
      <c r="Q1878" s="13"/>
      <c r="R1878" s="13"/>
      <c r="S1878" s="15"/>
      <c r="T1878" s="16"/>
      <c r="U1878" s="16"/>
      <c r="V1878" s="16"/>
      <c r="W1878" s="16"/>
      <c r="X1878" s="16"/>
      <c r="Y1878" s="11"/>
      <c r="Z1878" s="11"/>
      <c r="AA1878" s="11"/>
      <c r="AB1878" s="11"/>
      <c r="AC1878" s="11"/>
      <c r="AD1878" s="11"/>
    </row>
    <row r="1879">
      <c r="A1879" s="10"/>
      <c r="B1879" s="10"/>
      <c r="C1879" s="10"/>
      <c r="D1879" s="10"/>
      <c r="E1879" s="10"/>
      <c r="F1879" s="11"/>
      <c r="G1879" s="11"/>
      <c r="H1879" s="11"/>
      <c r="I1879" s="11"/>
      <c r="J1879" s="11" t="str">
        <f>IFERROR(__xludf.DUMMYFUNCTION("iferror(if($B1879="""", ,filter(Playoff_Stats!F:Z,Playoff_Stats!A:A=$B1879,Playoff_Stats!B:B=$A1879)))"),"")</f>
        <v/>
      </c>
      <c r="K1879" s="11"/>
      <c r="L1879" s="12"/>
      <c r="M1879" s="11"/>
      <c r="N1879" s="11"/>
      <c r="O1879" s="13"/>
      <c r="P1879" s="14"/>
      <c r="Q1879" s="13"/>
      <c r="R1879" s="13"/>
      <c r="S1879" s="15"/>
      <c r="T1879" s="16"/>
      <c r="U1879" s="16"/>
      <c r="V1879" s="16"/>
      <c r="W1879" s="16"/>
      <c r="X1879" s="16"/>
      <c r="Y1879" s="11"/>
      <c r="Z1879" s="11"/>
      <c r="AA1879" s="11"/>
      <c r="AB1879" s="11"/>
      <c r="AC1879" s="11"/>
      <c r="AD1879" s="11"/>
    </row>
    <row r="1880">
      <c r="A1880" s="10"/>
      <c r="B1880" s="10"/>
      <c r="C1880" s="10"/>
      <c r="D1880" s="10"/>
      <c r="E1880" s="10"/>
      <c r="F1880" s="11"/>
      <c r="G1880" s="11"/>
      <c r="H1880" s="11"/>
      <c r="I1880" s="11"/>
      <c r="J1880" s="11" t="str">
        <f>IFERROR(__xludf.DUMMYFUNCTION("iferror(if($B1880="""", ,filter(Playoff_Stats!F:Z,Playoff_Stats!A:A=$B1880,Playoff_Stats!B:B=$A1880)))"),"")</f>
        <v/>
      </c>
      <c r="K1880" s="11"/>
      <c r="L1880" s="12"/>
      <c r="M1880" s="11"/>
      <c r="N1880" s="11"/>
      <c r="O1880" s="13"/>
      <c r="P1880" s="14"/>
      <c r="Q1880" s="13"/>
      <c r="R1880" s="13"/>
      <c r="S1880" s="15"/>
      <c r="T1880" s="16"/>
      <c r="U1880" s="16"/>
      <c r="V1880" s="16"/>
      <c r="W1880" s="16"/>
      <c r="X1880" s="16"/>
      <c r="Y1880" s="11"/>
      <c r="Z1880" s="11"/>
      <c r="AA1880" s="11"/>
      <c r="AB1880" s="11"/>
      <c r="AC1880" s="11"/>
      <c r="AD1880" s="11"/>
    </row>
    <row r="1881">
      <c r="A1881" s="10"/>
      <c r="B1881" s="10"/>
      <c r="C1881" s="10"/>
      <c r="D1881" s="10"/>
      <c r="E1881" s="10"/>
      <c r="F1881" s="11"/>
      <c r="G1881" s="11"/>
      <c r="H1881" s="11"/>
      <c r="I1881" s="11"/>
      <c r="J1881" s="11" t="str">
        <f>IFERROR(__xludf.DUMMYFUNCTION("iferror(if($B1881="""", ,filter(Playoff_Stats!F:Z,Playoff_Stats!A:A=$B1881,Playoff_Stats!B:B=$A1881)))"),"")</f>
        <v/>
      </c>
      <c r="K1881" s="11"/>
      <c r="L1881" s="12"/>
      <c r="M1881" s="11"/>
      <c r="N1881" s="11"/>
      <c r="O1881" s="13"/>
      <c r="P1881" s="14"/>
      <c r="Q1881" s="13"/>
      <c r="R1881" s="13"/>
      <c r="S1881" s="15"/>
      <c r="T1881" s="16"/>
      <c r="U1881" s="16"/>
      <c r="V1881" s="16"/>
      <c r="W1881" s="16"/>
      <c r="X1881" s="16"/>
      <c r="Y1881" s="11"/>
      <c r="Z1881" s="11"/>
      <c r="AA1881" s="11"/>
      <c r="AB1881" s="11"/>
      <c r="AC1881" s="11"/>
      <c r="AD1881" s="11"/>
    </row>
    <row r="1882">
      <c r="A1882" s="10"/>
      <c r="B1882" s="10"/>
      <c r="C1882" s="10"/>
      <c r="D1882" s="10"/>
      <c r="E1882" s="10"/>
      <c r="F1882" s="11"/>
      <c r="G1882" s="11"/>
      <c r="H1882" s="11"/>
      <c r="I1882" s="11"/>
      <c r="J1882" s="11" t="str">
        <f>IFERROR(__xludf.DUMMYFUNCTION("iferror(if($B1882="""", ,filter(Playoff_Stats!F:Z,Playoff_Stats!A:A=$B1882,Playoff_Stats!B:B=$A1882)))"),"")</f>
        <v/>
      </c>
      <c r="K1882" s="11"/>
      <c r="L1882" s="12"/>
      <c r="M1882" s="11"/>
      <c r="N1882" s="11"/>
      <c r="O1882" s="13"/>
      <c r="P1882" s="14"/>
      <c r="Q1882" s="13"/>
      <c r="R1882" s="13"/>
      <c r="S1882" s="15"/>
      <c r="T1882" s="16"/>
      <c r="U1882" s="16"/>
      <c r="V1882" s="16"/>
      <c r="W1882" s="16"/>
      <c r="X1882" s="16"/>
      <c r="Y1882" s="11"/>
      <c r="Z1882" s="11"/>
      <c r="AA1882" s="11"/>
      <c r="AB1882" s="11"/>
      <c r="AC1882" s="11"/>
      <c r="AD1882" s="11"/>
    </row>
    <row r="1883">
      <c r="A1883" s="10"/>
      <c r="B1883" s="10"/>
      <c r="C1883" s="10"/>
      <c r="D1883" s="10"/>
      <c r="E1883" s="10"/>
      <c r="F1883" s="11"/>
      <c r="G1883" s="11"/>
      <c r="H1883" s="11"/>
      <c r="I1883" s="11"/>
      <c r="J1883" s="11" t="str">
        <f>IFERROR(__xludf.DUMMYFUNCTION("iferror(if($B1883="""", ,filter(Playoff_Stats!F:Z,Playoff_Stats!A:A=$B1883,Playoff_Stats!B:B=$A1883)))"),"")</f>
        <v/>
      </c>
      <c r="K1883" s="11"/>
      <c r="L1883" s="12"/>
      <c r="M1883" s="11"/>
      <c r="N1883" s="11"/>
      <c r="O1883" s="13"/>
      <c r="P1883" s="14"/>
      <c r="Q1883" s="13"/>
      <c r="R1883" s="13"/>
      <c r="S1883" s="15"/>
      <c r="T1883" s="16"/>
      <c r="U1883" s="16"/>
      <c r="V1883" s="16"/>
      <c r="W1883" s="16"/>
      <c r="X1883" s="16"/>
      <c r="Y1883" s="11"/>
      <c r="Z1883" s="11"/>
      <c r="AA1883" s="11"/>
      <c r="AB1883" s="11"/>
      <c r="AC1883" s="11"/>
      <c r="AD1883" s="11"/>
    </row>
    <row r="1884">
      <c r="A1884" s="10"/>
      <c r="B1884" s="10"/>
      <c r="C1884" s="10"/>
      <c r="D1884" s="10"/>
      <c r="E1884" s="10"/>
      <c r="F1884" s="11"/>
      <c r="G1884" s="11"/>
      <c r="H1884" s="11"/>
      <c r="I1884" s="11"/>
      <c r="J1884" s="11" t="str">
        <f>IFERROR(__xludf.DUMMYFUNCTION("iferror(if($B1884="""", ,filter(Playoff_Stats!F:Z,Playoff_Stats!A:A=$B1884,Playoff_Stats!B:B=$A1884)))"),"")</f>
        <v/>
      </c>
      <c r="K1884" s="11"/>
      <c r="L1884" s="12"/>
      <c r="M1884" s="11"/>
      <c r="N1884" s="11"/>
      <c r="O1884" s="13"/>
      <c r="P1884" s="14"/>
      <c r="Q1884" s="13"/>
      <c r="R1884" s="13"/>
      <c r="S1884" s="15"/>
      <c r="T1884" s="16"/>
      <c r="U1884" s="16"/>
      <c r="V1884" s="16"/>
      <c r="W1884" s="16"/>
      <c r="X1884" s="16"/>
      <c r="Y1884" s="11"/>
      <c r="Z1884" s="11"/>
      <c r="AA1884" s="11"/>
      <c r="AB1884" s="11"/>
      <c r="AC1884" s="11"/>
      <c r="AD1884" s="11"/>
    </row>
    <row r="1885">
      <c r="A1885" s="10"/>
      <c r="B1885" s="10"/>
      <c r="C1885" s="10"/>
      <c r="D1885" s="10"/>
      <c r="E1885" s="10"/>
      <c r="F1885" s="11"/>
      <c r="G1885" s="11"/>
      <c r="H1885" s="11"/>
      <c r="I1885" s="11"/>
      <c r="J1885" s="11" t="str">
        <f>IFERROR(__xludf.DUMMYFUNCTION("iferror(if($B1885="""", ,filter(Playoff_Stats!F:Z,Playoff_Stats!A:A=$B1885,Playoff_Stats!B:B=$A1885)))"),"")</f>
        <v/>
      </c>
      <c r="K1885" s="11"/>
      <c r="L1885" s="12"/>
      <c r="M1885" s="11"/>
      <c r="N1885" s="11"/>
      <c r="O1885" s="13"/>
      <c r="P1885" s="14"/>
      <c r="Q1885" s="13"/>
      <c r="R1885" s="13"/>
      <c r="S1885" s="15"/>
      <c r="T1885" s="16"/>
      <c r="U1885" s="16"/>
      <c r="V1885" s="16"/>
      <c r="W1885" s="16"/>
      <c r="X1885" s="16"/>
      <c r="Y1885" s="11"/>
      <c r="Z1885" s="11"/>
      <c r="AA1885" s="11"/>
      <c r="AB1885" s="11"/>
      <c r="AC1885" s="11"/>
      <c r="AD1885" s="11"/>
    </row>
    <row r="1886">
      <c r="A1886" s="10"/>
      <c r="B1886" s="10"/>
      <c r="C1886" s="10"/>
      <c r="D1886" s="10"/>
      <c r="E1886" s="10"/>
      <c r="F1886" s="11"/>
      <c r="G1886" s="11"/>
      <c r="H1886" s="11"/>
      <c r="I1886" s="11"/>
      <c r="J1886" s="11" t="str">
        <f>IFERROR(__xludf.DUMMYFUNCTION("iferror(if($B1886="""", ,filter(Playoff_Stats!F:Z,Playoff_Stats!A:A=$B1886,Playoff_Stats!B:B=$A1886)))"),"")</f>
        <v/>
      </c>
      <c r="K1886" s="11"/>
      <c r="L1886" s="12"/>
      <c r="M1886" s="11"/>
      <c r="N1886" s="11"/>
      <c r="O1886" s="13"/>
      <c r="P1886" s="14"/>
      <c r="Q1886" s="13"/>
      <c r="R1886" s="13"/>
      <c r="S1886" s="15"/>
      <c r="T1886" s="16"/>
      <c r="U1886" s="16"/>
      <c r="V1886" s="16"/>
      <c r="W1886" s="16"/>
      <c r="X1886" s="16"/>
      <c r="Y1886" s="11"/>
      <c r="Z1886" s="11"/>
      <c r="AA1886" s="11"/>
      <c r="AB1886" s="11"/>
      <c r="AC1886" s="11"/>
      <c r="AD1886" s="11"/>
    </row>
    <row r="1887">
      <c r="A1887" s="10"/>
      <c r="B1887" s="10"/>
      <c r="C1887" s="10"/>
      <c r="D1887" s="10"/>
      <c r="E1887" s="10"/>
      <c r="F1887" s="11"/>
      <c r="G1887" s="11"/>
      <c r="H1887" s="11"/>
      <c r="I1887" s="11"/>
      <c r="J1887" s="11" t="str">
        <f>IFERROR(__xludf.DUMMYFUNCTION("iferror(if($B1887="""", ,filter(Playoff_Stats!F:Z,Playoff_Stats!A:A=$B1887,Playoff_Stats!B:B=$A1887)))"),"")</f>
        <v/>
      </c>
      <c r="K1887" s="11"/>
      <c r="L1887" s="12"/>
      <c r="M1887" s="11"/>
      <c r="N1887" s="11"/>
      <c r="O1887" s="13"/>
      <c r="P1887" s="14"/>
      <c r="Q1887" s="13"/>
      <c r="R1887" s="13"/>
      <c r="S1887" s="15"/>
      <c r="T1887" s="16"/>
      <c r="U1887" s="16"/>
      <c r="V1887" s="16"/>
      <c r="W1887" s="16"/>
      <c r="X1887" s="16"/>
      <c r="Y1887" s="11"/>
      <c r="Z1887" s="11"/>
      <c r="AA1887" s="11"/>
      <c r="AB1887" s="11"/>
      <c r="AC1887" s="11"/>
      <c r="AD1887" s="11"/>
    </row>
    <row r="1888">
      <c r="A1888" s="10"/>
      <c r="B1888" s="10"/>
      <c r="C1888" s="10"/>
      <c r="D1888" s="10"/>
      <c r="E1888" s="10"/>
      <c r="F1888" s="11"/>
      <c r="G1888" s="11"/>
      <c r="H1888" s="11"/>
      <c r="I1888" s="11"/>
      <c r="J1888" s="11" t="str">
        <f>IFERROR(__xludf.DUMMYFUNCTION("iferror(if($B1888="""", ,filter(Playoff_Stats!F:Z,Playoff_Stats!A:A=$B1888,Playoff_Stats!B:B=$A1888)))"),"")</f>
        <v/>
      </c>
      <c r="K1888" s="11"/>
      <c r="L1888" s="12"/>
      <c r="M1888" s="11"/>
      <c r="N1888" s="11"/>
      <c r="O1888" s="13"/>
      <c r="P1888" s="14"/>
      <c r="Q1888" s="13"/>
      <c r="R1888" s="13"/>
      <c r="S1888" s="15"/>
      <c r="T1888" s="16"/>
      <c r="U1888" s="16"/>
      <c r="V1888" s="16"/>
      <c r="W1888" s="16"/>
      <c r="X1888" s="16"/>
      <c r="Y1888" s="11"/>
      <c r="Z1888" s="11"/>
      <c r="AA1888" s="11"/>
      <c r="AB1888" s="11"/>
      <c r="AC1888" s="11"/>
      <c r="AD1888" s="11"/>
    </row>
    <row r="1889">
      <c r="A1889" s="10"/>
      <c r="B1889" s="10"/>
      <c r="C1889" s="10"/>
      <c r="D1889" s="10"/>
      <c r="E1889" s="10"/>
      <c r="F1889" s="11"/>
      <c r="G1889" s="11"/>
      <c r="H1889" s="11"/>
      <c r="I1889" s="11"/>
      <c r="J1889" s="11" t="str">
        <f>IFERROR(__xludf.DUMMYFUNCTION("iferror(if($B1889="""", ,filter(Playoff_Stats!F:Z,Playoff_Stats!A:A=$B1889,Playoff_Stats!B:B=$A1889)))"),"")</f>
        <v/>
      </c>
      <c r="K1889" s="11"/>
      <c r="L1889" s="12"/>
      <c r="M1889" s="11"/>
      <c r="N1889" s="11"/>
      <c r="O1889" s="13"/>
      <c r="P1889" s="14"/>
      <c r="Q1889" s="13"/>
      <c r="R1889" s="13"/>
      <c r="S1889" s="15"/>
      <c r="T1889" s="16"/>
      <c r="U1889" s="16"/>
      <c r="V1889" s="16"/>
      <c r="W1889" s="16"/>
      <c r="X1889" s="16"/>
      <c r="Y1889" s="11"/>
      <c r="Z1889" s="11"/>
      <c r="AA1889" s="11"/>
      <c r="AB1889" s="11"/>
      <c r="AC1889" s="11"/>
      <c r="AD1889" s="11"/>
    </row>
    <row r="1890">
      <c r="A1890" s="10"/>
      <c r="B1890" s="10"/>
      <c r="C1890" s="10"/>
      <c r="D1890" s="10"/>
      <c r="E1890" s="10"/>
      <c r="F1890" s="11"/>
      <c r="G1890" s="11"/>
      <c r="H1890" s="11"/>
      <c r="I1890" s="11"/>
      <c r="J1890" s="11" t="str">
        <f>IFERROR(__xludf.DUMMYFUNCTION("iferror(if($B1890="""", ,filter(Playoff_Stats!F:Z,Playoff_Stats!A:A=$B1890,Playoff_Stats!B:B=$A1890)))"),"")</f>
        <v/>
      </c>
      <c r="K1890" s="11"/>
      <c r="L1890" s="12"/>
      <c r="M1890" s="11"/>
      <c r="N1890" s="11"/>
      <c r="O1890" s="13"/>
      <c r="P1890" s="14"/>
      <c r="Q1890" s="13"/>
      <c r="R1890" s="13"/>
      <c r="S1890" s="15"/>
      <c r="T1890" s="16"/>
      <c r="U1890" s="16"/>
      <c r="V1890" s="16"/>
      <c r="W1890" s="16"/>
      <c r="X1890" s="16"/>
      <c r="Y1890" s="11"/>
      <c r="Z1890" s="11"/>
      <c r="AA1890" s="11"/>
      <c r="AB1890" s="11"/>
      <c r="AC1890" s="11"/>
      <c r="AD1890" s="11"/>
    </row>
    <row r="1891">
      <c r="A1891" s="10"/>
      <c r="B1891" s="10"/>
      <c r="C1891" s="10"/>
      <c r="D1891" s="10"/>
      <c r="E1891" s="10"/>
      <c r="F1891" s="11"/>
      <c r="G1891" s="11"/>
      <c r="H1891" s="11"/>
      <c r="I1891" s="11"/>
      <c r="J1891" s="11" t="str">
        <f>IFERROR(__xludf.DUMMYFUNCTION("iferror(if($B1891="""", ,filter(Playoff_Stats!F:Z,Playoff_Stats!A:A=$B1891,Playoff_Stats!B:B=$A1891)))"),"")</f>
        <v/>
      </c>
      <c r="K1891" s="11"/>
      <c r="L1891" s="12"/>
      <c r="M1891" s="11"/>
      <c r="N1891" s="11"/>
      <c r="O1891" s="13"/>
      <c r="P1891" s="14"/>
      <c r="Q1891" s="13"/>
      <c r="R1891" s="13"/>
      <c r="S1891" s="15"/>
      <c r="T1891" s="16"/>
      <c r="U1891" s="16"/>
      <c r="V1891" s="16"/>
      <c r="W1891" s="16"/>
      <c r="X1891" s="16"/>
      <c r="Y1891" s="11"/>
      <c r="Z1891" s="11"/>
      <c r="AA1891" s="11"/>
      <c r="AB1891" s="11"/>
      <c r="AC1891" s="11"/>
      <c r="AD1891" s="11"/>
    </row>
    <row r="1892">
      <c r="A1892" s="10"/>
      <c r="B1892" s="10"/>
      <c r="C1892" s="10"/>
      <c r="D1892" s="10"/>
      <c r="E1892" s="10"/>
      <c r="F1892" s="11"/>
      <c r="G1892" s="11"/>
      <c r="H1892" s="11"/>
      <c r="I1892" s="11"/>
      <c r="J1892" s="11" t="str">
        <f>IFERROR(__xludf.DUMMYFUNCTION("iferror(if($B1892="""", ,filter(Playoff_Stats!F:Z,Playoff_Stats!A:A=$B1892,Playoff_Stats!B:B=$A1892)))"),"")</f>
        <v/>
      </c>
      <c r="K1892" s="11"/>
      <c r="L1892" s="12"/>
      <c r="M1892" s="11"/>
      <c r="N1892" s="11"/>
      <c r="O1892" s="13"/>
      <c r="P1892" s="14"/>
      <c r="Q1892" s="13"/>
      <c r="R1892" s="13"/>
      <c r="S1892" s="15"/>
      <c r="T1892" s="16"/>
      <c r="U1892" s="16"/>
      <c r="V1892" s="16"/>
      <c r="W1892" s="16"/>
      <c r="X1892" s="16"/>
      <c r="Y1892" s="11"/>
      <c r="Z1892" s="11"/>
      <c r="AA1892" s="11"/>
      <c r="AB1892" s="11"/>
      <c r="AC1892" s="11"/>
      <c r="AD1892" s="11"/>
    </row>
    <row r="1893">
      <c r="A1893" s="10"/>
      <c r="B1893" s="10"/>
      <c r="C1893" s="10"/>
      <c r="D1893" s="10"/>
      <c r="E1893" s="10"/>
      <c r="F1893" s="11"/>
      <c r="G1893" s="11"/>
      <c r="H1893" s="11"/>
      <c r="I1893" s="11"/>
      <c r="J1893" s="11" t="str">
        <f>IFERROR(__xludf.DUMMYFUNCTION("iferror(if($B1893="""", ,filter(Playoff_Stats!F:Z,Playoff_Stats!A:A=$B1893,Playoff_Stats!B:B=$A1893)))"),"")</f>
        <v/>
      </c>
      <c r="K1893" s="11"/>
      <c r="L1893" s="12"/>
      <c r="M1893" s="11"/>
      <c r="N1893" s="11"/>
      <c r="O1893" s="13"/>
      <c r="P1893" s="14"/>
      <c r="Q1893" s="13"/>
      <c r="R1893" s="13"/>
      <c r="S1893" s="15"/>
      <c r="T1893" s="16"/>
      <c r="U1893" s="16"/>
      <c r="V1893" s="16"/>
      <c r="W1893" s="16"/>
      <c r="X1893" s="16"/>
      <c r="Y1893" s="11"/>
      <c r="Z1893" s="11"/>
      <c r="AA1893" s="11"/>
      <c r="AB1893" s="11"/>
      <c r="AC1893" s="11"/>
      <c r="AD1893" s="11"/>
    </row>
    <row r="1894">
      <c r="A1894" s="10"/>
      <c r="B1894" s="10"/>
      <c r="C1894" s="10"/>
      <c r="D1894" s="10"/>
      <c r="E1894" s="10"/>
      <c r="F1894" s="11"/>
      <c r="G1894" s="11"/>
      <c r="H1894" s="11"/>
      <c r="I1894" s="11"/>
      <c r="J1894" s="11" t="str">
        <f>IFERROR(__xludf.DUMMYFUNCTION("iferror(if($B1894="""", ,filter(Playoff_Stats!F:Z,Playoff_Stats!A:A=$B1894,Playoff_Stats!B:B=$A1894)))"),"")</f>
        <v/>
      </c>
      <c r="K1894" s="11"/>
      <c r="L1894" s="12"/>
      <c r="M1894" s="11"/>
      <c r="N1894" s="11"/>
      <c r="O1894" s="13"/>
      <c r="P1894" s="14"/>
      <c r="Q1894" s="13"/>
      <c r="R1894" s="13"/>
      <c r="S1894" s="15"/>
      <c r="T1894" s="16"/>
      <c r="U1894" s="16"/>
      <c r="V1894" s="16"/>
      <c r="W1894" s="16"/>
      <c r="X1894" s="16"/>
      <c r="Y1894" s="11"/>
      <c r="Z1894" s="11"/>
      <c r="AA1894" s="11"/>
      <c r="AB1894" s="11"/>
      <c r="AC1894" s="11"/>
      <c r="AD1894" s="11"/>
    </row>
    <row r="1895">
      <c r="A1895" s="10"/>
      <c r="B1895" s="10"/>
      <c r="C1895" s="10"/>
      <c r="D1895" s="10"/>
      <c r="E1895" s="10"/>
      <c r="F1895" s="11"/>
      <c r="G1895" s="11"/>
      <c r="H1895" s="11"/>
      <c r="I1895" s="11"/>
      <c r="J1895" s="11" t="str">
        <f>IFERROR(__xludf.DUMMYFUNCTION("iferror(if($B1895="""", ,filter(Playoff_Stats!F:Z,Playoff_Stats!A:A=$B1895,Playoff_Stats!B:B=$A1895)))"),"")</f>
        <v/>
      </c>
      <c r="K1895" s="11"/>
      <c r="L1895" s="12"/>
      <c r="M1895" s="11"/>
      <c r="N1895" s="11"/>
      <c r="O1895" s="13"/>
      <c r="P1895" s="14"/>
      <c r="Q1895" s="13"/>
      <c r="R1895" s="13"/>
      <c r="S1895" s="15"/>
      <c r="T1895" s="16"/>
      <c r="U1895" s="16"/>
      <c r="V1895" s="16"/>
      <c r="W1895" s="16"/>
      <c r="X1895" s="16"/>
      <c r="Y1895" s="11"/>
      <c r="Z1895" s="11"/>
      <c r="AA1895" s="11"/>
      <c r="AB1895" s="11"/>
      <c r="AC1895" s="11"/>
      <c r="AD1895" s="11"/>
    </row>
    <row r="1896">
      <c r="A1896" s="10"/>
      <c r="B1896" s="10"/>
      <c r="C1896" s="10"/>
      <c r="D1896" s="10"/>
      <c r="E1896" s="10"/>
      <c r="F1896" s="11"/>
      <c r="G1896" s="11"/>
      <c r="H1896" s="11"/>
      <c r="I1896" s="11"/>
      <c r="J1896" s="11" t="str">
        <f>IFERROR(__xludf.DUMMYFUNCTION("iferror(if($B1896="""", ,filter(Playoff_Stats!F:Z,Playoff_Stats!A:A=$B1896,Playoff_Stats!B:B=$A1896)))"),"")</f>
        <v/>
      </c>
      <c r="K1896" s="11"/>
      <c r="L1896" s="12"/>
      <c r="M1896" s="11"/>
      <c r="N1896" s="11"/>
      <c r="O1896" s="13"/>
      <c r="P1896" s="14"/>
      <c r="Q1896" s="13"/>
      <c r="R1896" s="13"/>
      <c r="S1896" s="15"/>
      <c r="T1896" s="16"/>
      <c r="U1896" s="16"/>
      <c r="V1896" s="16"/>
      <c r="W1896" s="16"/>
      <c r="X1896" s="16"/>
      <c r="Y1896" s="11"/>
      <c r="Z1896" s="11"/>
      <c r="AA1896" s="11"/>
      <c r="AB1896" s="11"/>
      <c r="AC1896" s="11"/>
      <c r="AD1896" s="11"/>
    </row>
    <row r="1897">
      <c r="A1897" s="10"/>
      <c r="B1897" s="10"/>
      <c r="C1897" s="10"/>
      <c r="D1897" s="10"/>
      <c r="E1897" s="10"/>
      <c r="F1897" s="11"/>
      <c r="G1897" s="11"/>
      <c r="H1897" s="11"/>
      <c r="I1897" s="11"/>
      <c r="J1897" s="11" t="str">
        <f>IFERROR(__xludf.DUMMYFUNCTION("iferror(if($B1897="""", ,filter(Playoff_Stats!F:Z,Playoff_Stats!A:A=$B1897,Playoff_Stats!B:B=$A1897)))"),"")</f>
        <v/>
      </c>
      <c r="K1897" s="11"/>
      <c r="L1897" s="12"/>
      <c r="M1897" s="11"/>
      <c r="N1897" s="11"/>
      <c r="O1897" s="13"/>
      <c r="P1897" s="14"/>
      <c r="Q1897" s="13"/>
      <c r="R1897" s="13"/>
      <c r="S1897" s="15"/>
      <c r="T1897" s="16"/>
      <c r="U1897" s="16"/>
      <c r="V1897" s="16"/>
      <c r="W1897" s="16"/>
      <c r="X1897" s="16"/>
      <c r="Y1897" s="11"/>
      <c r="Z1897" s="11"/>
      <c r="AA1897" s="11"/>
      <c r="AB1897" s="11"/>
      <c r="AC1897" s="11"/>
      <c r="AD1897" s="11"/>
    </row>
    <row r="1898">
      <c r="A1898" s="10"/>
      <c r="B1898" s="10"/>
      <c r="C1898" s="10"/>
      <c r="D1898" s="10"/>
      <c r="E1898" s="10"/>
      <c r="F1898" s="11"/>
      <c r="G1898" s="11"/>
      <c r="H1898" s="11"/>
      <c r="I1898" s="11"/>
      <c r="J1898" s="11" t="str">
        <f>IFERROR(__xludf.DUMMYFUNCTION("iferror(if($B1898="""", ,filter(Playoff_Stats!F:Z,Playoff_Stats!A:A=$B1898,Playoff_Stats!B:B=$A1898)))"),"")</f>
        <v/>
      </c>
      <c r="K1898" s="11"/>
      <c r="L1898" s="12"/>
      <c r="M1898" s="11"/>
      <c r="N1898" s="11"/>
      <c r="O1898" s="13"/>
      <c r="P1898" s="14"/>
      <c r="Q1898" s="13"/>
      <c r="R1898" s="13"/>
      <c r="S1898" s="15"/>
      <c r="T1898" s="16"/>
      <c r="U1898" s="16"/>
      <c r="V1898" s="16"/>
      <c r="W1898" s="16"/>
      <c r="X1898" s="16"/>
      <c r="Y1898" s="11"/>
      <c r="Z1898" s="11"/>
      <c r="AA1898" s="11"/>
      <c r="AB1898" s="11"/>
      <c r="AC1898" s="11"/>
      <c r="AD1898" s="11"/>
    </row>
    <row r="1899">
      <c r="A1899" s="10"/>
      <c r="B1899" s="10"/>
      <c r="C1899" s="10"/>
      <c r="D1899" s="10"/>
      <c r="E1899" s="10"/>
      <c r="F1899" s="11"/>
      <c r="G1899" s="11"/>
      <c r="H1899" s="11"/>
      <c r="I1899" s="11"/>
      <c r="J1899" s="11" t="str">
        <f>IFERROR(__xludf.DUMMYFUNCTION("iferror(if($B1899="""", ,filter(Playoff_Stats!F:Z,Playoff_Stats!A:A=$B1899,Playoff_Stats!B:B=$A1899)))"),"")</f>
        <v/>
      </c>
      <c r="K1899" s="11"/>
      <c r="L1899" s="12"/>
      <c r="M1899" s="11"/>
      <c r="N1899" s="11"/>
      <c r="O1899" s="13"/>
      <c r="P1899" s="14"/>
      <c r="Q1899" s="13"/>
      <c r="R1899" s="13"/>
      <c r="S1899" s="15"/>
      <c r="T1899" s="16"/>
      <c r="U1899" s="16"/>
      <c r="V1899" s="16"/>
      <c r="W1899" s="16"/>
      <c r="X1899" s="16"/>
      <c r="Y1899" s="11"/>
      <c r="Z1899" s="11"/>
      <c r="AA1899" s="11"/>
      <c r="AB1899" s="11"/>
      <c r="AC1899" s="11"/>
      <c r="AD1899" s="11"/>
    </row>
    <row r="1900">
      <c r="A1900" s="10"/>
      <c r="B1900" s="10"/>
      <c r="C1900" s="10"/>
      <c r="D1900" s="10"/>
      <c r="E1900" s="10"/>
      <c r="F1900" s="11"/>
      <c r="G1900" s="11"/>
      <c r="H1900" s="11"/>
      <c r="I1900" s="11"/>
      <c r="J1900" s="11" t="str">
        <f>IFERROR(__xludf.DUMMYFUNCTION("iferror(if($B1900="""", ,filter(Playoff_Stats!F:Z,Playoff_Stats!A:A=$B1900,Playoff_Stats!B:B=$A1900)))"),"")</f>
        <v/>
      </c>
      <c r="K1900" s="11"/>
      <c r="L1900" s="12"/>
      <c r="M1900" s="11"/>
      <c r="N1900" s="11"/>
      <c r="O1900" s="13"/>
      <c r="P1900" s="14"/>
      <c r="Q1900" s="13"/>
      <c r="R1900" s="13"/>
      <c r="S1900" s="15"/>
      <c r="T1900" s="16"/>
      <c r="U1900" s="16"/>
      <c r="V1900" s="16"/>
      <c r="W1900" s="16"/>
      <c r="X1900" s="16"/>
      <c r="Y1900" s="11"/>
      <c r="Z1900" s="11"/>
      <c r="AA1900" s="11"/>
      <c r="AB1900" s="11"/>
      <c r="AC1900" s="11"/>
      <c r="AD1900" s="11"/>
    </row>
    <row r="1901">
      <c r="A1901" s="10"/>
      <c r="B1901" s="10"/>
      <c r="C1901" s="10"/>
      <c r="D1901" s="10"/>
      <c r="E1901" s="10"/>
      <c r="F1901" s="11"/>
      <c r="G1901" s="11"/>
      <c r="H1901" s="11"/>
      <c r="I1901" s="11"/>
      <c r="J1901" s="11" t="str">
        <f>IFERROR(__xludf.DUMMYFUNCTION("iferror(if($B1901="""", ,filter(Playoff_Stats!F:Z,Playoff_Stats!A:A=$B1901,Playoff_Stats!B:B=$A1901)))"),"")</f>
        <v/>
      </c>
      <c r="K1901" s="11"/>
      <c r="L1901" s="12"/>
      <c r="M1901" s="11"/>
      <c r="N1901" s="11"/>
      <c r="O1901" s="13"/>
      <c r="P1901" s="14"/>
      <c r="Q1901" s="13"/>
      <c r="R1901" s="13"/>
      <c r="S1901" s="15"/>
      <c r="T1901" s="16"/>
      <c r="U1901" s="16"/>
      <c r="V1901" s="16"/>
      <c r="W1901" s="16"/>
      <c r="X1901" s="16"/>
      <c r="Y1901" s="11"/>
      <c r="Z1901" s="11"/>
      <c r="AA1901" s="11"/>
      <c r="AB1901" s="11"/>
      <c r="AC1901" s="11"/>
      <c r="AD1901" s="11"/>
    </row>
    <row r="1902">
      <c r="A1902" s="10"/>
      <c r="B1902" s="10"/>
      <c r="C1902" s="10"/>
      <c r="D1902" s="10"/>
      <c r="E1902" s="10"/>
      <c r="F1902" s="11"/>
      <c r="G1902" s="11"/>
      <c r="H1902" s="11"/>
      <c r="I1902" s="11"/>
      <c r="J1902" s="11" t="str">
        <f>IFERROR(__xludf.DUMMYFUNCTION("iferror(if($B1902="""", ,filter(Playoff_Stats!F:Z,Playoff_Stats!A:A=$B1902,Playoff_Stats!B:B=$A1902)))"),"")</f>
        <v/>
      </c>
      <c r="K1902" s="11"/>
      <c r="L1902" s="12"/>
      <c r="M1902" s="11"/>
      <c r="N1902" s="11"/>
      <c r="O1902" s="13"/>
      <c r="P1902" s="14"/>
      <c r="Q1902" s="13"/>
      <c r="R1902" s="13"/>
      <c r="S1902" s="15"/>
      <c r="T1902" s="16"/>
      <c r="U1902" s="16"/>
      <c r="V1902" s="16"/>
      <c r="W1902" s="16"/>
      <c r="X1902" s="16"/>
      <c r="Y1902" s="11"/>
      <c r="Z1902" s="11"/>
      <c r="AA1902" s="11"/>
      <c r="AB1902" s="11"/>
      <c r="AC1902" s="11"/>
      <c r="AD1902" s="11"/>
    </row>
    <row r="1903">
      <c r="A1903" s="10"/>
      <c r="B1903" s="10"/>
      <c r="C1903" s="10"/>
      <c r="D1903" s="10"/>
      <c r="E1903" s="10"/>
      <c r="F1903" s="11"/>
      <c r="G1903" s="11"/>
      <c r="H1903" s="11"/>
      <c r="I1903" s="11"/>
      <c r="J1903" s="11" t="str">
        <f>IFERROR(__xludf.DUMMYFUNCTION("iferror(if($B1903="""", ,filter(Playoff_Stats!F:Z,Playoff_Stats!A:A=$B1903,Playoff_Stats!B:B=$A1903)))"),"")</f>
        <v/>
      </c>
      <c r="K1903" s="11"/>
      <c r="L1903" s="12"/>
      <c r="M1903" s="11"/>
      <c r="N1903" s="11"/>
      <c r="O1903" s="13"/>
      <c r="P1903" s="14"/>
      <c r="Q1903" s="13"/>
      <c r="R1903" s="13"/>
      <c r="S1903" s="15"/>
      <c r="T1903" s="16"/>
      <c r="U1903" s="16"/>
      <c r="V1903" s="16"/>
      <c r="W1903" s="16"/>
      <c r="X1903" s="16"/>
      <c r="Y1903" s="11"/>
      <c r="Z1903" s="11"/>
      <c r="AA1903" s="11"/>
      <c r="AB1903" s="11"/>
      <c r="AC1903" s="11"/>
      <c r="AD1903" s="11"/>
    </row>
    <row r="1904">
      <c r="A1904" s="10"/>
      <c r="B1904" s="10"/>
      <c r="C1904" s="10"/>
      <c r="D1904" s="10"/>
      <c r="E1904" s="10"/>
      <c r="F1904" s="11"/>
      <c r="G1904" s="11"/>
      <c r="H1904" s="11"/>
      <c r="I1904" s="11"/>
      <c r="J1904" s="11" t="str">
        <f>IFERROR(__xludf.DUMMYFUNCTION("iferror(if($B1904="""", ,filter(Playoff_Stats!F:Z,Playoff_Stats!A:A=$B1904,Playoff_Stats!B:B=$A1904)))"),"")</f>
        <v/>
      </c>
      <c r="K1904" s="11"/>
      <c r="L1904" s="12"/>
      <c r="M1904" s="11"/>
      <c r="N1904" s="11"/>
      <c r="O1904" s="13"/>
      <c r="P1904" s="14"/>
      <c r="Q1904" s="13"/>
      <c r="R1904" s="13"/>
      <c r="S1904" s="15"/>
      <c r="T1904" s="16"/>
      <c r="U1904" s="16"/>
      <c r="V1904" s="16"/>
      <c r="W1904" s="16"/>
      <c r="X1904" s="16"/>
      <c r="Y1904" s="11"/>
      <c r="Z1904" s="11"/>
      <c r="AA1904" s="11"/>
      <c r="AB1904" s="11"/>
      <c r="AC1904" s="11"/>
      <c r="AD1904" s="11"/>
    </row>
    <row r="1905">
      <c r="A1905" s="10"/>
      <c r="B1905" s="10"/>
      <c r="C1905" s="10"/>
      <c r="D1905" s="10"/>
      <c r="E1905" s="10"/>
      <c r="F1905" s="11"/>
      <c r="G1905" s="11"/>
      <c r="H1905" s="11"/>
      <c r="I1905" s="11"/>
      <c r="J1905" s="11" t="str">
        <f>IFERROR(__xludf.DUMMYFUNCTION("iferror(if($B1905="""", ,filter(Playoff_Stats!F:Z,Playoff_Stats!A:A=$B1905,Playoff_Stats!B:B=$A1905)))"),"")</f>
        <v/>
      </c>
      <c r="K1905" s="11"/>
      <c r="L1905" s="12"/>
      <c r="M1905" s="11"/>
      <c r="N1905" s="11"/>
      <c r="O1905" s="13"/>
      <c r="P1905" s="14"/>
      <c r="Q1905" s="13"/>
      <c r="R1905" s="13"/>
      <c r="S1905" s="15"/>
      <c r="T1905" s="16"/>
      <c r="U1905" s="16"/>
      <c r="V1905" s="16"/>
      <c r="W1905" s="16"/>
      <c r="X1905" s="16"/>
      <c r="Y1905" s="11"/>
      <c r="Z1905" s="11"/>
      <c r="AA1905" s="11"/>
      <c r="AB1905" s="11"/>
      <c r="AC1905" s="11"/>
      <c r="AD1905" s="11"/>
    </row>
    <row r="1906">
      <c r="A1906" s="10"/>
      <c r="B1906" s="10"/>
      <c r="C1906" s="10"/>
      <c r="D1906" s="10"/>
      <c r="E1906" s="10"/>
      <c r="F1906" s="11"/>
      <c r="G1906" s="11"/>
      <c r="H1906" s="11"/>
      <c r="I1906" s="11"/>
      <c r="J1906" s="11" t="str">
        <f>IFERROR(__xludf.DUMMYFUNCTION("iferror(if($B1906="""", ,filter(Playoff_Stats!F:Z,Playoff_Stats!A:A=$B1906,Playoff_Stats!B:B=$A1906)))"),"")</f>
        <v/>
      </c>
      <c r="K1906" s="11"/>
      <c r="L1906" s="12"/>
      <c r="M1906" s="11"/>
      <c r="N1906" s="11"/>
      <c r="O1906" s="13"/>
      <c r="P1906" s="14"/>
      <c r="Q1906" s="13"/>
      <c r="R1906" s="13"/>
      <c r="S1906" s="15"/>
      <c r="T1906" s="16"/>
      <c r="U1906" s="16"/>
      <c r="V1906" s="16"/>
      <c r="W1906" s="16"/>
      <c r="X1906" s="16"/>
      <c r="Y1906" s="11"/>
      <c r="Z1906" s="11"/>
      <c r="AA1906" s="11"/>
      <c r="AB1906" s="11"/>
      <c r="AC1906" s="11"/>
      <c r="AD1906" s="11"/>
    </row>
    <row r="1907">
      <c r="A1907" s="10"/>
      <c r="B1907" s="10"/>
      <c r="C1907" s="10"/>
      <c r="D1907" s="10"/>
      <c r="E1907" s="10"/>
      <c r="F1907" s="11"/>
      <c r="G1907" s="11"/>
      <c r="H1907" s="11"/>
      <c r="I1907" s="11"/>
      <c r="J1907" s="11" t="str">
        <f>IFERROR(__xludf.DUMMYFUNCTION("iferror(if($B1907="""", ,filter(Playoff_Stats!F:Z,Playoff_Stats!A:A=$B1907,Playoff_Stats!B:B=$A1907)))"),"")</f>
        <v/>
      </c>
      <c r="K1907" s="11"/>
      <c r="L1907" s="12"/>
      <c r="M1907" s="11"/>
      <c r="N1907" s="11"/>
      <c r="O1907" s="13"/>
      <c r="P1907" s="14"/>
      <c r="Q1907" s="13"/>
      <c r="R1907" s="13"/>
      <c r="S1907" s="15"/>
      <c r="T1907" s="16"/>
      <c r="U1907" s="16"/>
      <c r="V1907" s="16"/>
      <c r="W1907" s="16"/>
      <c r="X1907" s="16"/>
      <c r="Y1907" s="11"/>
      <c r="Z1907" s="11"/>
      <c r="AA1907" s="11"/>
      <c r="AB1907" s="11"/>
      <c r="AC1907" s="11"/>
      <c r="AD1907" s="11"/>
    </row>
    <row r="1908">
      <c r="A1908" s="10"/>
      <c r="B1908" s="10"/>
      <c r="C1908" s="10"/>
      <c r="D1908" s="10"/>
      <c r="E1908" s="10"/>
      <c r="F1908" s="11"/>
      <c r="G1908" s="11"/>
      <c r="H1908" s="11"/>
      <c r="I1908" s="11"/>
      <c r="J1908" s="11" t="str">
        <f>IFERROR(__xludf.DUMMYFUNCTION("iferror(if($B1908="""", ,filter(Playoff_Stats!F:Z,Playoff_Stats!A:A=$B1908,Playoff_Stats!B:B=$A1908)))"),"")</f>
        <v/>
      </c>
      <c r="K1908" s="11"/>
      <c r="L1908" s="12"/>
      <c r="M1908" s="11"/>
      <c r="N1908" s="11"/>
      <c r="O1908" s="13"/>
      <c r="P1908" s="14"/>
      <c r="Q1908" s="13"/>
      <c r="R1908" s="13"/>
      <c r="S1908" s="15"/>
      <c r="T1908" s="16"/>
      <c r="U1908" s="16"/>
      <c r="V1908" s="16"/>
      <c r="W1908" s="16"/>
      <c r="X1908" s="16"/>
      <c r="Y1908" s="11"/>
      <c r="Z1908" s="11"/>
      <c r="AA1908" s="11"/>
      <c r="AB1908" s="11"/>
      <c r="AC1908" s="11"/>
      <c r="AD1908" s="11"/>
    </row>
    <row r="1909">
      <c r="A1909" s="10"/>
      <c r="B1909" s="10"/>
      <c r="C1909" s="10"/>
      <c r="D1909" s="10"/>
      <c r="E1909" s="10"/>
      <c r="F1909" s="11"/>
      <c r="G1909" s="11"/>
      <c r="H1909" s="11"/>
      <c r="I1909" s="11"/>
      <c r="J1909" s="11" t="str">
        <f>IFERROR(__xludf.DUMMYFUNCTION("iferror(if($B1909="""", ,filter(Playoff_Stats!F:Z,Playoff_Stats!A:A=$B1909,Playoff_Stats!B:B=$A1909)))"),"")</f>
        <v/>
      </c>
      <c r="K1909" s="11"/>
      <c r="L1909" s="12"/>
      <c r="M1909" s="11"/>
      <c r="N1909" s="11"/>
      <c r="O1909" s="13"/>
      <c r="P1909" s="14"/>
      <c r="Q1909" s="13"/>
      <c r="R1909" s="13"/>
      <c r="S1909" s="15"/>
      <c r="T1909" s="16"/>
      <c r="U1909" s="16"/>
      <c r="V1909" s="16"/>
      <c r="W1909" s="16"/>
      <c r="X1909" s="16"/>
      <c r="Y1909" s="11"/>
      <c r="Z1909" s="11"/>
      <c r="AA1909" s="11"/>
      <c r="AB1909" s="11"/>
      <c r="AC1909" s="11"/>
      <c r="AD1909" s="11"/>
    </row>
    <row r="1910">
      <c r="A1910" s="10"/>
      <c r="B1910" s="10"/>
      <c r="C1910" s="10"/>
      <c r="D1910" s="10"/>
      <c r="E1910" s="10"/>
      <c r="F1910" s="11"/>
      <c r="G1910" s="11"/>
      <c r="H1910" s="11"/>
      <c r="I1910" s="11"/>
      <c r="J1910" s="11" t="str">
        <f>IFERROR(__xludf.DUMMYFUNCTION("iferror(if($B1910="""", ,filter(Playoff_Stats!F:Z,Playoff_Stats!A:A=$B1910,Playoff_Stats!B:B=$A1910)))"),"")</f>
        <v/>
      </c>
      <c r="K1910" s="11"/>
      <c r="L1910" s="12"/>
      <c r="M1910" s="11"/>
      <c r="N1910" s="11"/>
      <c r="O1910" s="13"/>
      <c r="P1910" s="14"/>
      <c r="Q1910" s="13"/>
      <c r="R1910" s="13"/>
      <c r="S1910" s="15"/>
      <c r="T1910" s="16"/>
      <c r="U1910" s="16"/>
      <c r="V1910" s="16"/>
      <c r="W1910" s="16"/>
      <c r="X1910" s="16"/>
      <c r="Y1910" s="11"/>
      <c r="Z1910" s="11"/>
      <c r="AA1910" s="11"/>
      <c r="AB1910" s="11"/>
      <c r="AC1910" s="11"/>
      <c r="AD1910" s="11"/>
    </row>
    <row r="1911">
      <c r="A1911" s="10"/>
      <c r="B1911" s="10"/>
      <c r="C1911" s="10"/>
      <c r="D1911" s="10"/>
      <c r="E1911" s="10"/>
      <c r="F1911" s="11"/>
      <c r="G1911" s="11"/>
      <c r="H1911" s="11"/>
      <c r="I1911" s="11"/>
      <c r="J1911" s="11" t="str">
        <f>IFERROR(__xludf.DUMMYFUNCTION("iferror(if($B1911="""", ,filter(Playoff_Stats!F:Z,Playoff_Stats!A:A=$B1911,Playoff_Stats!B:B=$A1911)))"),"")</f>
        <v/>
      </c>
      <c r="K1911" s="11"/>
      <c r="L1911" s="12"/>
      <c r="M1911" s="11"/>
      <c r="N1911" s="11"/>
      <c r="O1911" s="13"/>
      <c r="P1911" s="14"/>
      <c r="Q1911" s="13"/>
      <c r="R1911" s="13"/>
      <c r="S1911" s="15"/>
      <c r="T1911" s="16"/>
      <c r="U1911" s="16"/>
      <c r="V1911" s="16"/>
      <c r="W1911" s="16"/>
      <c r="X1911" s="16"/>
      <c r="Y1911" s="11"/>
      <c r="Z1911" s="11"/>
      <c r="AA1911" s="11"/>
      <c r="AB1911" s="11"/>
      <c r="AC1911" s="11"/>
      <c r="AD1911" s="11"/>
    </row>
    <row r="1912">
      <c r="A1912" s="10"/>
      <c r="B1912" s="10"/>
      <c r="C1912" s="10"/>
      <c r="D1912" s="10"/>
      <c r="E1912" s="10"/>
      <c r="F1912" s="11"/>
      <c r="G1912" s="11"/>
      <c r="H1912" s="11"/>
      <c r="I1912" s="11"/>
      <c r="J1912" s="11" t="str">
        <f>IFERROR(__xludf.DUMMYFUNCTION("iferror(if($B1912="""", ,filter(Playoff_Stats!F:Z,Playoff_Stats!A:A=$B1912,Playoff_Stats!B:B=$A1912)))"),"")</f>
        <v/>
      </c>
      <c r="K1912" s="11"/>
      <c r="L1912" s="12"/>
      <c r="M1912" s="11"/>
      <c r="N1912" s="11"/>
      <c r="O1912" s="13"/>
      <c r="P1912" s="14"/>
      <c r="Q1912" s="13"/>
      <c r="R1912" s="13"/>
      <c r="S1912" s="15"/>
      <c r="T1912" s="16"/>
      <c r="U1912" s="16"/>
      <c r="V1912" s="16"/>
      <c r="W1912" s="16"/>
      <c r="X1912" s="16"/>
      <c r="Y1912" s="11"/>
      <c r="Z1912" s="11"/>
      <c r="AA1912" s="11"/>
      <c r="AB1912" s="11"/>
      <c r="AC1912" s="11"/>
      <c r="AD1912" s="11"/>
    </row>
    <row r="1913">
      <c r="A1913" s="10"/>
      <c r="B1913" s="10"/>
      <c r="C1913" s="10"/>
      <c r="D1913" s="10"/>
      <c r="E1913" s="10"/>
      <c r="F1913" s="11"/>
      <c r="G1913" s="11"/>
      <c r="H1913" s="11"/>
      <c r="I1913" s="11"/>
      <c r="J1913" s="11" t="str">
        <f>IFERROR(__xludf.DUMMYFUNCTION("iferror(if($B1913="""", ,filter(Playoff_Stats!F:Z,Playoff_Stats!A:A=$B1913,Playoff_Stats!B:B=$A1913)))"),"")</f>
        <v/>
      </c>
      <c r="K1913" s="11"/>
      <c r="L1913" s="12"/>
      <c r="M1913" s="11"/>
      <c r="N1913" s="11"/>
      <c r="O1913" s="13"/>
      <c r="P1913" s="14"/>
      <c r="Q1913" s="13"/>
      <c r="R1913" s="13"/>
      <c r="S1913" s="15"/>
      <c r="T1913" s="16"/>
      <c r="U1913" s="16"/>
      <c r="V1913" s="16"/>
      <c r="W1913" s="16"/>
      <c r="X1913" s="16"/>
      <c r="Y1913" s="11"/>
      <c r="Z1913" s="11"/>
      <c r="AA1913" s="11"/>
      <c r="AB1913" s="11"/>
      <c r="AC1913" s="11"/>
      <c r="AD1913" s="11"/>
    </row>
    <row r="1914">
      <c r="A1914" s="10"/>
      <c r="B1914" s="10"/>
      <c r="C1914" s="10"/>
      <c r="D1914" s="10"/>
      <c r="E1914" s="10"/>
      <c r="F1914" s="11"/>
      <c r="G1914" s="11"/>
      <c r="H1914" s="11"/>
      <c r="I1914" s="11"/>
      <c r="J1914" s="11" t="str">
        <f>IFERROR(__xludf.DUMMYFUNCTION("iferror(if($B1914="""", ,filter(Playoff_Stats!F:Z,Playoff_Stats!A:A=$B1914,Playoff_Stats!B:B=$A1914)))"),"")</f>
        <v/>
      </c>
      <c r="K1914" s="11"/>
      <c r="L1914" s="12"/>
      <c r="M1914" s="11"/>
      <c r="N1914" s="11"/>
      <c r="O1914" s="13"/>
      <c r="P1914" s="14"/>
      <c r="Q1914" s="13"/>
      <c r="R1914" s="13"/>
      <c r="S1914" s="15"/>
      <c r="T1914" s="16"/>
      <c r="U1914" s="16"/>
      <c r="V1914" s="16"/>
      <c r="W1914" s="16"/>
      <c r="X1914" s="16"/>
      <c r="Y1914" s="11"/>
      <c r="Z1914" s="11"/>
      <c r="AA1914" s="11"/>
      <c r="AB1914" s="11"/>
      <c r="AC1914" s="11"/>
      <c r="AD1914" s="11"/>
    </row>
    <row r="1915">
      <c r="A1915" s="10"/>
      <c r="B1915" s="10"/>
      <c r="C1915" s="10"/>
      <c r="D1915" s="10"/>
      <c r="E1915" s="10"/>
      <c r="F1915" s="11"/>
      <c r="G1915" s="11"/>
      <c r="H1915" s="11"/>
      <c r="I1915" s="11"/>
      <c r="J1915" s="11" t="str">
        <f>IFERROR(__xludf.DUMMYFUNCTION("iferror(if($B1915="""", ,filter(Playoff_Stats!F:Z,Playoff_Stats!A:A=$B1915,Playoff_Stats!B:B=$A1915)))"),"")</f>
        <v/>
      </c>
      <c r="K1915" s="11"/>
      <c r="L1915" s="12"/>
      <c r="M1915" s="11"/>
      <c r="N1915" s="11"/>
      <c r="O1915" s="13"/>
      <c r="P1915" s="14"/>
      <c r="Q1915" s="13"/>
      <c r="R1915" s="13"/>
      <c r="S1915" s="15"/>
      <c r="T1915" s="16"/>
      <c r="U1915" s="16"/>
      <c r="V1915" s="16"/>
      <c r="W1915" s="16"/>
      <c r="X1915" s="16"/>
      <c r="Y1915" s="11"/>
      <c r="Z1915" s="11"/>
      <c r="AA1915" s="11"/>
      <c r="AB1915" s="11"/>
      <c r="AC1915" s="11"/>
      <c r="AD1915" s="11"/>
    </row>
    <row r="1916">
      <c r="A1916" s="10"/>
      <c r="B1916" s="10"/>
      <c r="C1916" s="10"/>
      <c r="D1916" s="10"/>
      <c r="E1916" s="10"/>
      <c r="F1916" s="11"/>
      <c r="G1916" s="11"/>
      <c r="H1916" s="11"/>
      <c r="I1916" s="11"/>
      <c r="J1916" s="11" t="str">
        <f>IFERROR(__xludf.DUMMYFUNCTION("iferror(if($B1916="""", ,filter(Playoff_Stats!F:Z,Playoff_Stats!A:A=$B1916,Playoff_Stats!B:B=$A1916)))"),"")</f>
        <v/>
      </c>
      <c r="K1916" s="11"/>
      <c r="L1916" s="12"/>
      <c r="M1916" s="11"/>
      <c r="N1916" s="11"/>
      <c r="O1916" s="13"/>
      <c r="P1916" s="14"/>
      <c r="Q1916" s="13"/>
      <c r="R1916" s="13"/>
      <c r="S1916" s="15"/>
      <c r="T1916" s="16"/>
      <c r="U1916" s="16"/>
      <c r="V1916" s="16"/>
      <c r="W1916" s="16"/>
      <c r="X1916" s="16"/>
      <c r="Y1916" s="11"/>
      <c r="Z1916" s="11"/>
      <c r="AA1916" s="11"/>
      <c r="AB1916" s="11"/>
      <c r="AC1916" s="11"/>
      <c r="AD1916" s="11"/>
    </row>
    <row r="1917">
      <c r="A1917" s="10"/>
      <c r="B1917" s="10"/>
      <c r="C1917" s="10"/>
      <c r="D1917" s="10"/>
      <c r="E1917" s="10"/>
      <c r="F1917" s="11"/>
      <c r="G1917" s="11"/>
      <c r="H1917" s="11"/>
      <c r="I1917" s="11"/>
      <c r="J1917" s="11" t="str">
        <f>IFERROR(__xludf.DUMMYFUNCTION("iferror(if($B1917="""", ,filter(Playoff_Stats!F:Z,Playoff_Stats!A:A=$B1917,Playoff_Stats!B:B=$A1917)))"),"")</f>
        <v/>
      </c>
      <c r="K1917" s="11"/>
      <c r="L1917" s="12"/>
      <c r="M1917" s="11"/>
      <c r="N1917" s="11"/>
      <c r="O1917" s="13"/>
      <c r="P1917" s="14"/>
      <c r="Q1917" s="13"/>
      <c r="R1917" s="13"/>
      <c r="S1917" s="15"/>
      <c r="T1917" s="16"/>
      <c r="U1917" s="16"/>
      <c r="V1917" s="16"/>
      <c r="W1917" s="16"/>
      <c r="X1917" s="16"/>
      <c r="Y1917" s="11"/>
      <c r="Z1917" s="11"/>
      <c r="AA1917" s="11"/>
      <c r="AB1917" s="11"/>
      <c r="AC1917" s="11"/>
      <c r="AD1917" s="11"/>
    </row>
    <row r="1918">
      <c r="A1918" s="10"/>
      <c r="B1918" s="10"/>
      <c r="C1918" s="10"/>
      <c r="D1918" s="10"/>
      <c r="E1918" s="10"/>
      <c r="F1918" s="11"/>
      <c r="G1918" s="11"/>
      <c r="H1918" s="11"/>
      <c r="I1918" s="11"/>
      <c r="J1918" s="11" t="str">
        <f>IFERROR(__xludf.DUMMYFUNCTION("iferror(if($B1918="""", ,filter(Playoff_Stats!F:Z,Playoff_Stats!A:A=$B1918,Playoff_Stats!B:B=$A1918)))"),"")</f>
        <v/>
      </c>
      <c r="K1918" s="11"/>
      <c r="L1918" s="12"/>
      <c r="M1918" s="11"/>
      <c r="N1918" s="11"/>
      <c r="O1918" s="13"/>
      <c r="P1918" s="14"/>
      <c r="Q1918" s="13"/>
      <c r="R1918" s="13"/>
      <c r="S1918" s="15"/>
      <c r="T1918" s="16"/>
      <c r="U1918" s="16"/>
      <c r="V1918" s="16"/>
      <c r="W1918" s="16"/>
      <c r="X1918" s="16"/>
      <c r="Y1918" s="11"/>
      <c r="Z1918" s="11"/>
      <c r="AA1918" s="11"/>
      <c r="AB1918" s="11"/>
      <c r="AC1918" s="11"/>
      <c r="AD1918" s="11"/>
    </row>
    <row r="1919">
      <c r="A1919" s="10"/>
      <c r="B1919" s="10"/>
      <c r="C1919" s="10"/>
      <c r="D1919" s="10"/>
      <c r="E1919" s="10"/>
      <c r="F1919" s="11"/>
      <c r="G1919" s="11"/>
      <c r="H1919" s="11"/>
      <c r="I1919" s="11"/>
      <c r="J1919" s="11" t="str">
        <f>IFERROR(__xludf.DUMMYFUNCTION("iferror(if($B1919="""", ,filter(Playoff_Stats!F:Z,Playoff_Stats!A:A=$B1919,Playoff_Stats!B:B=$A1919)))"),"")</f>
        <v/>
      </c>
      <c r="K1919" s="11"/>
      <c r="L1919" s="12"/>
      <c r="M1919" s="11"/>
      <c r="N1919" s="11"/>
      <c r="O1919" s="13"/>
      <c r="P1919" s="14"/>
      <c r="Q1919" s="13"/>
      <c r="R1919" s="13"/>
      <c r="S1919" s="15"/>
      <c r="T1919" s="16"/>
      <c r="U1919" s="16"/>
      <c r="V1919" s="16"/>
      <c r="W1919" s="16"/>
      <c r="X1919" s="16"/>
      <c r="Y1919" s="11"/>
      <c r="Z1919" s="11"/>
      <c r="AA1919" s="11"/>
      <c r="AB1919" s="11"/>
      <c r="AC1919" s="11"/>
      <c r="AD1919" s="11"/>
    </row>
    <row r="1920">
      <c r="A1920" s="10"/>
      <c r="B1920" s="10"/>
      <c r="C1920" s="10"/>
      <c r="D1920" s="10"/>
      <c r="E1920" s="10"/>
      <c r="F1920" s="11"/>
      <c r="G1920" s="11"/>
      <c r="H1920" s="11"/>
      <c r="I1920" s="11"/>
      <c r="J1920" s="11" t="str">
        <f>IFERROR(__xludf.DUMMYFUNCTION("iferror(if($B1920="""", ,filter(Playoff_Stats!F:Z,Playoff_Stats!A:A=$B1920,Playoff_Stats!B:B=$A1920)))"),"")</f>
        <v/>
      </c>
      <c r="K1920" s="11"/>
      <c r="L1920" s="12"/>
      <c r="M1920" s="11"/>
      <c r="N1920" s="11"/>
      <c r="O1920" s="13"/>
      <c r="P1920" s="14"/>
      <c r="Q1920" s="13"/>
      <c r="R1920" s="13"/>
      <c r="S1920" s="15"/>
      <c r="T1920" s="16"/>
      <c r="U1920" s="16"/>
      <c r="V1920" s="16"/>
      <c r="W1920" s="16"/>
      <c r="X1920" s="16"/>
      <c r="Y1920" s="11"/>
      <c r="Z1920" s="11"/>
      <c r="AA1920" s="11"/>
      <c r="AB1920" s="11"/>
      <c r="AC1920" s="11"/>
      <c r="AD1920" s="11"/>
    </row>
    <row r="1921">
      <c r="A1921" s="10"/>
      <c r="B1921" s="10"/>
      <c r="C1921" s="10"/>
      <c r="D1921" s="10"/>
      <c r="E1921" s="10"/>
      <c r="F1921" s="11"/>
      <c r="G1921" s="11"/>
      <c r="H1921" s="11"/>
      <c r="I1921" s="11"/>
      <c r="J1921" s="11" t="str">
        <f>IFERROR(__xludf.DUMMYFUNCTION("iferror(if($B1921="""", ,filter(Playoff_Stats!F:Z,Playoff_Stats!A:A=$B1921,Playoff_Stats!B:B=$A1921)))"),"")</f>
        <v/>
      </c>
      <c r="K1921" s="11"/>
      <c r="L1921" s="12"/>
      <c r="M1921" s="11"/>
      <c r="N1921" s="11"/>
      <c r="O1921" s="13"/>
      <c r="P1921" s="14"/>
      <c r="Q1921" s="13"/>
      <c r="R1921" s="13"/>
      <c r="S1921" s="15"/>
      <c r="T1921" s="16"/>
      <c r="U1921" s="16"/>
      <c r="V1921" s="16"/>
      <c r="W1921" s="16"/>
      <c r="X1921" s="16"/>
      <c r="Y1921" s="11"/>
      <c r="Z1921" s="11"/>
      <c r="AA1921" s="11"/>
      <c r="AB1921" s="11"/>
      <c r="AC1921" s="11"/>
      <c r="AD1921" s="11"/>
    </row>
    <row r="1922">
      <c r="A1922" s="10"/>
      <c r="B1922" s="10"/>
      <c r="C1922" s="10"/>
      <c r="D1922" s="10"/>
      <c r="E1922" s="10"/>
      <c r="F1922" s="11"/>
      <c r="G1922" s="11"/>
      <c r="H1922" s="11"/>
      <c r="I1922" s="11"/>
      <c r="J1922" s="11" t="str">
        <f>IFERROR(__xludf.DUMMYFUNCTION("iferror(if($B1922="""", ,filter(Playoff_Stats!F:Z,Playoff_Stats!A:A=$B1922,Playoff_Stats!B:B=$A1922)))"),"")</f>
        <v/>
      </c>
      <c r="K1922" s="11"/>
      <c r="L1922" s="12"/>
      <c r="M1922" s="11"/>
      <c r="N1922" s="11"/>
      <c r="O1922" s="13"/>
      <c r="P1922" s="14"/>
      <c r="Q1922" s="13"/>
      <c r="R1922" s="13"/>
      <c r="S1922" s="15"/>
      <c r="T1922" s="16"/>
      <c r="U1922" s="16"/>
      <c r="V1922" s="16"/>
      <c r="W1922" s="16"/>
      <c r="X1922" s="16"/>
      <c r="Y1922" s="11"/>
      <c r="Z1922" s="11"/>
      <c r="AA1922" s="11"/>
      <c r="AB1922" s="11"/>
      <c r="AC1922" s="11"/>
      <c r="AD1922" s="11"/>
    </row>
    <row r="1923">
      <c r="A1923" s="10"/>
      <c r="B1923" s="10"/>
      <c r="C1923" s="10"/>
      <c r="D1923" s="10"/>
      <c r="E1923" s="10"/>
      <c r="F1923" s="11"/>
      <c r="G1923" s="11"/>
      <c r="H1923" s="11"/>
      <c r="I1923" s="11"/>
      <c r="J1923" s="11" t="str">
        <f>IFERROR(__xludf.DUMMYFUNCTION("iferror(if($B1923="""", ,filter(Playoff_Stats!F:Z,Playoff_Stats!A:A=$B1923,Playoff_Stats!B:B=$A1923)))"),"")</f>
        <v/>
      </c>
      <c r="K1923" s="11"/>
      <c r="L1923" s="12"/>
      <c r="M1923" s="11"/>
      <c r="N1923" s="11"/>
      <c r="O1923" s="13"/>
      <c r="P1923" s="14"/>
      <c r="Q1923" s="13"/>
      <c r="R1923" s="13"/>
      <c r="S1923" s="15"/>
      <c r="T1923" s="16"/>
      <c r="U1923" s="16"/>
      <c r="V1923" s="16"/>
      <c r="W1923" s="16"/>
      <c r="X1923" s="16"/>
      <c r="Y1923" s="11"/>
      <c r="Z1923" s="11"/>
      <c r="AA1923" s="11"/>
      <c r="AB1923" s="11"/>
      <c r="AC1923" s="11"/>
      <c r="AD1923" s="11"/>
    </row>
    <row r="1924">
      <c r="A1924" s="10"/>
      <c r="B1924" s="10"/>
      <c r="C1924" s="10"/>
      <c r="D1924" s="10"/>
      <c r="E1924" s="10"/>
      <c r="F1924" s="11"/>
      <c r="G1924" s="11"/>
      <c r="H1924" s="11"/>
      <c r="I1924" s="11"/>
      <c r="J1924" s="11" t="str">
        <f>IFERROR(__xludf.DUMMYFUNCTION("iferror(if($B1924="""", ,filter(Playoff_Stats!F:Z,Playoff_Stats!A:A=$B1924,Playoff_Stats!B:B=$A1924)))"),"")</f>
        <v/>
      </c>
      <c r="K1924" s="11"/>
      <c r="L1924" s="12"/>
      <c r="M1924" s="11"/>
      <c r="N1924" s="11"/>
      <c r="O1924" s="13"/>
      <c r="P1924" s="14"/>
      <c r="Q1924" s="13"/>
      <c r="R1924" s="13"/>
      <c r="S1924" s="15"/>
      <c r="T1924" s="16"/>
      <c r="U1924" s="16"/>
      <c r="V1924" s="16"/>
      <c r="W1924" s="16"/>
      <c r="X1924" s="16"/>
      <c r="Y1924" s="11"/>
      <c r="Z1924" s="11"/>
      <c r="AA1924" s="11"/>
      <c r="AB1924" s="11"/>
      <c r="AC1924" s="11"/>
      <c r="AD1924" s="11"/>
    </row>
    <row r="1925">
      <c r="A1925" s="10"/>
      <c r="B1925" s="10"/>
      <c r="C1925" s="10"/>
      <c r="D1925" s="10"/>
      <c r="E1925" s="10"/>
      <c r="F1925" s="11"/>
      <c r="G1925" s="11"/>
      <c r="H1925" s="11"/>
      <c r="I1925" s="11"/>
      <c r="J1925" s="11" t="str">
        <f>IFERROR(__xludf.DUMMYFUNCTION("iferror(if($B1925="""", ,filter(Playoff_Stats!F:Z,Playoff_Stats!A:A=$B1925,Playoff_Stats!B:B=$A1925)))"),"")</f>
        <v/>
      </c>
      <c r="K1925" s="11"/>
      <c r="L1925" s="12"/>
      <c r="M1925" s="11"/>
      <c r="N1925" s="11"/>
      <c r="O1925" s="13"/>
      <c r="P1925" s="14"/>
      <c r="Q1925" s="13"/>
      <c r="R1925" s="13"/>
      <c r="S1925" s="15"/>
      <c r="T1925" s="16"/>
      <c r="U1925" s="16"/>
      <c r="V1925" s="16"/>
      <c r="W1925" s="16"/>
      <c r="X1925" s="16"/>
      <c r="Y1925" s="11"/>
      <c r="Z1925" s="11"/>
      <c r="AA1925" s="11"/>
      <c r="AB1925" s="11"/>
      <c r="AC1925" s="11"/>
      <c r="AD1925" s="11"/>
    </row>
    <row r="1926">
      <c r="A1926" s="10"/>
      <c r="B1926" s="10"/>
      <c r="C1926" s="10"/>
      <c r="D1926" s="10"/>
      <c r="E1926" s="10"/>
      <c r="F1926" s="11"/>
      <c r="G1926" s="11"/>
      <c r="H1926" s="11"/>
      <c r="I1926" s="11"/>
      <c r="J1926" s="11" t="str">
        <f>IFERROR(__xludf.DUMMYFUNCTION("iferror(if($B1926="""", ,filter(Playoff_Stats!F:Z,Playoff_Stats!A:A=$B1926,Playoff_Stats!B:B=$A1926)))"),"")</f>
        <v/>
      </c>
      <c r="K1926" s="11"/>
      <c r="L1926" s="12"/>
      <c r="M1926" s="11"/>
      <c r="N1926" s="11"/>
      <c r="O1926" s="13"/>
      <c r="P1926" s="14"/>
      <c r="Q1926" s="13"/>
      <c r="R1926" s="13"/>
      <c r="S1926" s="15"/>
      <c r="T1926" s="16"/>
      <c r="U1926" s="16"/>
      <c r="V1926" s="16"/>
      <c r="W1926" s="16"/>
      <c r="X1926" s="16"/>
      <c r="Y1926" s="11"/>
      <c r="Z1926" s="11"/>
      <c r="AA1926" s="11"/>
      <c r="AB1926" s="11"/>
      <c r="AC1926" s="11"/>
      <c r="AD1926" s="11"/>
    </row>
    <row r="1927">
      <c r="A1927" s="10"/>
      <c r="B1927" s="10"/>
      <c r="C1927" s="10"/>
      <c r="D1927" s="10"/>
      <c r="E1927" s="10"/>
      <c r="F1927" s="11"/>
      <c r="G1927" s="11"/>
      <c r="H1927" s="11"/>
      <c r="I1927" s="11"/>
      <c r="J1927" s="11" t="str">
        <f>IFERROR(__xludf.DUMMYFUNCTION("iferror(if($B1927="""", ,filter(Playoff_Stats!F:Z,Playoff_Stats!A:A=$B1927,Playoff_Stats!B:B=$A1927)))"),"")</f>
        <v/>
      </c>
      <c r="K1927" s="11"/>
      <c r="L1927" s="12"/>
      <c r="M1927" s="11"/>
      <c r="N1927" s="11"/>
      <c r="O1927" s="13"/>
      <c r="P1927" s="14"/>
      <c r="Q1927" s="13"/>
      <c r="R1927" s="13"/>
      <c r="S1927" s="15"/>
      <c r="T1927" s="16"/>
      <c r="U1927" s="16"/>
      <c r="V1927" s="16"/>
      <c r="W1927" s="16"/>
      <c r="X1927" s="16"/>
      <c r="Y1927" s="11"/>
      <c r="Z1927" s="11"/>
      <c r="AA1927" s="11"/>
      <c r="AB1927" s="11"/>
      <c r="AC1927" s="11"/>
      <c r="AD1927" s="11"/>
    </row>
    <row r="1928">
      <c r="A1928" s="10"/>
      <c r="B1928" s="10"/>
      <c r="C1928" s="10"/>
      <c r="D1928" s="10"/>
      <c r="E1928" s="10"/>
      <c r="F1928" s="11"/>
      <c r="G1928" s="11"/>
      <c r="H1928" s="11"/>
      <c r="I1928" s="11"/>
      <c r="J1928" s="11" t="str">
        <f>IFERROR(__xludf.DUMMYFUNCTION("iferror(if($B1928="""", ,filter(Playoff_Stats!F:Z,Playoff_Stats!A:A=$B1928,Playoff_Stats!B:B=$A1928)))"),"")</f>
        <v/>
      </c>
      <c r="K1928" s="11"/>
      <c r="L1928" s="12"/>
      <c r="M1928" s="11"/>
      <c r="N1928" s="11"/>
      <c r="O1928" s="13"/>
      <c r="P1928" s="14"/>
      <c r="Q1928" s="13"/>
      <c r="R1928" s="13"/>
      <c r="S1928" s="15"/>
      <c r="T1928" s="16"/>
      <c r="U1928" s="16"/>
      <c r="V1928" s="16"/>
      <c r="W1928" s="16"/>
      <c r="X1928" s="16"/>
      <c r="Y1928" s="11"/>
      <c r="Z1928" s="11"/>
      <c r="AA1928" s="11"/>
      <c r="AB1928" s="11"/>
      <c r="AC1928" s="11"/>
      <c r="AD1928" s="11"/>
    </row>
    <row r="1929">
      <c r="A1929" s="10"/>
      <c r="B1929" s="10"/>
      <c r="C1929" s="10"/>
      <c r="D1929" s="10"/>
      <c r="E1929" s="10"/>
      <c r="F1929" s="11"/>
      <c r="G1929" s="11"/>
      <c r="H1929" s="11"/>
      <c r="I1929" s="11"/>
      <c r="J1929" s="11" t="str">
        <f>IFERROR(__xludf.DUMMYFUNCTION("iferror(if($B1929="""", ,filter(Playoff_Stats!F:Z,Playoff_Stats!A:A=$B1929,Playoff_Stats!B:B=$A1929)))"),"")</f>
        <v/>
      </c>
      <c r="K1929" s="11"/>
      <c r="L1929" s="12"/>
      <c r="M1929" s="11"/>
      <c r="N1929" s="11"/>
      <c r="O1929" s="13"/>
      <c r="P1929" s="14"/>
      <c r="Q1929" s="13"/>
      <c r="R1929" s="13"/>
      <c r="S1929" s="15"/>
      <c r="T1929" s="16"/>
      <c r="U1929" s="16"/>
      <c r="V1929" s="16"/>
      <c r="W1929" s="16"/>
      <c r="X1929" s="16"/>
      <c r="Y1929" s="11"/>
      <c r="Z1929" s="11"/>
      <c r="AA1929" s="11"/>
      <c r="AB1929" s="11"/>
      <c r="AC1929" s="11"/>
      <c r="AD1929" s="11"/>
    </row>
    <row r="1930">
      <c r="A1930" s="10"/>
      <c r="B1930" s="10"/>
      <c r="C1930" s="10"/>
      <c r="D1930" s="10"/>
      <c r="E1930" s="10"/>
      <c r="F1930" s="11"/>
      <c r="G1930" s="11"/>
      <c r="H1930" s="11"/>
      <c r="I1930" s="11"/>
      <c r="J1930" s="11" t="str">
        <f>IFERROR(__xludf.DUMMYFUNCTION("iferror(if($B1930="""", ,filter(Playoff_Stats!F:Z,Playoff_Stats!A:A=$B1930,Playoff_Stats!B:B=$A1930)))"),"")</f>
        <v/>
      </c>
      <c r="K1930" s="11"/>
      <c r="L1930" s="12"/>
      <c r="M1930" s="11"/>
      <c r="N1930" s="11"/>
      <c r="O1930" s="13"/>
      <c r="P1930" s="14"/>
      <c r="Q1930" s="13"/>
      <c r="R1930" s="13"/>
      <c r="S1930" s="15"/>
      <c r="T1930" s="16"/>
      <c r="U1930" s="16"/>
      <c r="V1930" s="16"/>
      <c r="W1930" s="16"/>
      <c r="X1930" s="16"/>
      <c r="Y1930" s="11"/>
      <c r="Z1930" s="11"/>
      <c r="AA1930" s="11"/>
      <c r="AB1930" s="11"/>
      <c r="AC1930" s="11"/>
      <c r="AD1930" s="11"/>
    </row>
    <row r="1931">
      <c r="A1931" s="10"/>
      <c r="B1931" s="10"/>
      <c r="C1931" s="10"/>
      <c r="D1931" s="10"/>
      <c r="E1931" s="10"/>
      <c r="F1931" s="11"/>
      <c r="G1931" s="11"/>
      <c r="H1931" s="11"/>
      <c r="I1931" s="11"/>
      <c r="J1931" s="11" t="str">
        <f>IFERROR(__xludf.DUMMYFUNCTION("iferror(if($B1931="""", ,filter(Playoff_Stats!F:Z,Playoff_Stats!A:A=$B1931,Playoff_Stats!B:B=$A1931)))"),"")</f>
        <v/>
      </c>
      <c r="K1931" s="11"/>
      <c r="L1931" s="12"/>
      <c r="M1931" s="11"/>
      <c r="N1931" s="11"/>
      <c r="O1931" s="13"/>
      <c r="P1931" s="14"/>
      <c r="Q1931" s="13"/>
      <c r="R1931" s="13"/>
      <c r="S1931" s="15"/>
      <c r="T1931" s="16"/>
      <c r="U1931" s="16"/>
      <c r="V1931" s="16"/>
      <c r="W1931" s="16"/>
      <c r="X1931" s="16"/>
      <c r="Y1931" s="11"/>
      <c r="Z1931" s="11"/>
      <c r="AA1931" s="11"/>
      <c r="AB1931" s="11"/>
      <c r="AC1931" s="11"/>
      <c r="AD1931" s="11"/>
    </row>
    <row r="1932">
      <c r="A1932" s="10"/>
      <c r="B1932" s="10"/>
      <c r="C1932" s="10"/>
      <c r="D1932" s="10"/>
      <c r="E1932" s="10"/>
      <c r="F1932" s="11"/>
      <c r="G1932" s="11"/>
      <c r="H1932" s="11"/>
      <c r="I1932" s="11"/>
      <c r="J1932" s="11" t="str">
        <f>IFERROR(__xludf.DUMMYFUNCTION("iferror(if($B1932="""", ,filter(Playoff_Stats!F:Z,Playoff_Stats!A:A=$B1932,Playoff_Stats!B:B=$A1932)))"),"")</f>
        <v/>
      </c>
      <c r="K1932" s="11"/>
      <c r="L1932" s="12"/>
      <c r="M1932" s="11"/>
      <c r="N1932" s="11"/>
      <c r="O1932" s="13"/>
      <c r="P1932" s="14"/>
      <c r="Q1932" s="13"/>
      <c r="R1932" s="13"/>
      <c r="S1932" s="15"/>
      <c r="T1932" s="16"/>
      <c r="U1932" s="16"/>
      <c r="V1932" s="16"/>
      <c r="W1932" s="16"/>
      <c r="X1932" s="16"/>
      <c r="Y1932" s="11"/>
      <c r="Z1932" s="11"/>
      <c r="AA1932" s="11"/>
      <c r="AB1932" s="11"/>
      <c r="AC1932" s="11"/>
      <c r="AD1932" s="11"/>
    </row>
    <row r="1933">
      <c r="A1933" s="10"/>
      <c r="B1933" s="10"/>
      <c r="C1933" s="10"/>
      <c r="D1933" s="10"/>
      <c r="E1933" s="10"/>
      <c r="F1933" s="11"/>
      <c r="G1933" s="11"/>
      <c r="H1933" s="11"/>
      <c r="I1933" s="11"/>
      <c r="J1933" s="11" t="str">
        <f>IFERROR(__xludf.DUMMYFUNCTION("iferror(if($B1933="""", ,filter(Playoff_Stats!F:Z,Playoff_Stats!A:A=$B1933,Playoff_Stats!B:B=$A1933)))"),"")</f>
        <v/>
      </c>
      <c r="K1933" s="11"/>
      <c r="L1933" s="12"/>
      <c r="M1933" s="11"/>
      <c r="N1933" s="11"/>
      <c r="O1933" s="13"/>
      <c r="P1933" s="14"/>
      <c r="Q1933" s="13"/>
      <c r="R1933" s="13"/>
      <c r="S1933" s="15"/>
      <c r="T1933" s="16"/>
      <c r="U1933" s="16"/>
      <c r="V1933" s="16"/>
      <c r="W1933" s="16"/>
      <c r="X1933" s="16"/>
      <c r="Y1933" s="11"/>
      <c r="Z1933" s="11"/>
      <c r="AA1933" s="11"/>
      <c r="AB1933" s="11"/>
      <c r="AC1933" s="11"/>
      <c r="AD1933" s="11"/>
    </row>
    <row r="1934">
      <c r="A1934" s="10"/>
      <c r="B1934" s="10"/>
      <c r="C1934" s="10"/>
      <c r="D1934" s="10"/>
      <c r="E1934" s="10"/>
      <c r="F1934" s="11"/>
      <c r="G1934" s="11"/>
      <c r="H1934" s="11"/>
      <c r="I1934" s="11"/>
      <c r="J1934" s="11" t="str">
        <f>IFERROR(__xludf.DUMMYFUNCTION("iferror(if($B1934="""", ,filter(Playoff_Stats!F:Z,Playoff_Stats!A:A=$B1934,Playoff_Stats!B:B=$A1934)))"),"")</f>
        <v/>
      </c>
      <c r="K1934" s="11"/>
      <c r="L1934" s="12"/>
      <c r="M1934" s="11"/>
      <c r="N1934" s="11"/>
      <c r="O1934" s="13"/>
      <c r="P1934" s="14"/>
      <c r="Q1934" s="13"/>
      <c r="R1934" s="13"/>
      <c r="S1934" s="15"/>
      <c r="T1934" s="16"/>
      <c r="U1934" s="16"/>
      <c r="V1934" s="16"/>
      <c r="W1934" s="16"/>
      <c r="X1934" s="16"/>
      <c r="Y1934" s="11"/>
      <c r="Z1934" s="11"/>
      <c r="AA1934" s="11"/>
      <c r="AB1934" s="11"/>
      <c r="AC1934" s="11"/>
      <c r="AD1934" s="11"/>
    </row>
    <row r="1935">
      <c r="A1935" s="10"/>
      <c r="B1935" s="10"/>
      <c r="C1935" s="10"/>
      <c r="D1935" s="10"/>
      <c r="E1935" s="10"/>
      <c r="F1935" s="11"/>
      <c r="G1935" s="11"/>
      <c r="H1935" s="11"/>
      <c r="I1935" s="11"/>
      <c r="J1935" s="11" t="str">
        <f>IFERROR(__xludf.DUMMYFUNCTION("iferror(if($B1935="""", ,filter(Playoff_Stats!F:Z,Playoff_Stats!A:A=$B1935,Playoff_Stats!B:B=$A1935)))"),"")</f>
        <v/>
      </c>
      <c r="K1935" s="11"/>
      <c r="L1935" s="12"/>
      <c r="M1935" s="11"/>
      <c r="N1935" s="11"/>
      <c r="O1935" s="13"/>
      <c r="P1935" s="14"/>
      <c r="Q1935" s="13"/>
      <c r="R1935" s="13"/>
      <c r="S1935" s="15"/>
      <c r="T1935" s="16"/>
      <c r="U1935" s="16"/>
      <c r="V1935" s="16"/>
      <c r="W1935" s="16"/>
      <c r="X1935" s="16"/>
      <c r="Y1935" s="11"/>
      <c r="Z1935" s="11"/>
      <c r="AA1935" s="11"/>
      <c r="AB1935" s="11"/>
      <c r="AC1935" s="11"/>
      <c r="AD1935" s="11"/>
    </row>
    <row r="1936">
      <c r="A1936" s="10"/>
      <c r="B1936" s="10"/>
      <c r="C1936" s="10"/>
      <c r="D1936" s="10"/>
      <c r="E1936" s="10"/>
      <c r="F1936" s="11"/>
      <c r="G1936" s="11"/>
      <c r="H1936" s="11"/>
      <c r="I1936" s="11"/>
      <c r="J1936" s="11" t="str">
        <f>IFERROR(__xludf.DUMMYFUNCTION("iferror(if($B1936="""", ,filter(Playoff_Stats!F:Z,Playoff_Stats!A:A=$B1936,Playoff_Stats!B:B=$A1936)))"),"")</f>
        <v/>
      </c>
      <c r="K1936" s="11"/>
      <c r="L1936" s="12"/>
      <c r="M1936" s="11"/>
      <c r="N1936" s="11"/>
      <c r="O1936" s="13"/>
      <c r="P1936" s="14"/>
      <c r="Q1936" s="13"/>
      <c r="R1936" s="13"/>
      <c r="S1936" s="15"/>
      <c r="T1936" s="16"/>
      <c r="U1936" s="16"/>
      <c r="V1936" s="16"/>
      <c r="W1936" s="16"/>
      <c r="X1936" s="16"/>
      <c r="Y1936" s="11"/>
      <c r="Z1936" s="11"/>
      <c r="AA1936" s="11"/>
      <c r="AB1936" s="11"/>
      <c r="AC1936" s="11"/>
      <c r="AD1936" s="11"/>
    </row>
    <row r="1937">
      <c r="A1937" s="10"/>
      <c r="B1937" s="10"/>
      <c r="C1937" s="10"/>
      <c r="D1937" s="10"/>
      <c r="E1937" s="10"/>
      <c r="F1937" s="11"/>
      <c r="G1937" s="11"/>
      <c r="H1937" s="11"/>
      <c r="I1937" s="11"/>
      <c r="J1937" s="11" t="str">
        <f>IFERROR(__xludf.DUMMYFUNCTION("iferror(if($B1937="""", ,filter(Playoff_Stats!F:Z,Playoff_Stats!A:A=$B1937,Playoff_Stats!B:B=$A1937)))"),"")</f>
        <v/>
      </c>
      <c r="K1937" s="11"/>
      <c r="L1937" s="12"/>
      <c r="M1937" s="11"/>
      <c r="N1937" s="11"/>
      <c r="O1937" s="13"/>
      <c r="P1937" s="14"/>
      <c r="Q1937" s="13"/>
      <c r="R1937" s="13"/>
      <c r="S1937" s="15"/>
      <c r="T1937" s="16"/>
      <c r="U1937" s="16"/>
      <c r="V1937" s="16"/>
      <c r="W1937" s="16"/>
      <c r="X1937" s="16"/>
      <c r="Y1937" s="11"/>
      <c r="Z1937" s="11"/>
      <c r="AA1937" s="11"/>
      <c r="AB1937" s="11"/>
      <c r="AC1937" s="11"/>
      <c r="AD1937" s="11"/>
    </row>
    <row r="1938">
      <c r="A1938" s="10"/>
      <c r="B1938" s="10"/>
      <c r="C1938" s="10"/>
      <c r="D1938" s="10"/>
      <c r="E1938" s="10"/>
      <c r="F1938" s="11"/>
      <c r="G1938" s="11"/>
      <c r="H1938" s="11"/>
      <c r="I1938" s="11"/>
      <c r="J1938" s="11" t="str">
        <f>IFERROR(__xludf.DUMMYFUNCTION("iferror(if($B1938="""", ,filter(Playoff_Stats!F:Z,Playoff_Stats!A:A=$B1938,Playoff_Stats!B:B=$A1938)))"),"")</f>
        <v/>
      </c>
      <c r="K1938" s="11"/>
      <c r="L1938" s="12"/>
      <c r="M1938" s="11"/>
      <c r="N1938" s="11"/>
      <c r="O1938" s="13"/>
      <c r="P1938" s="14"/>
      <c r="Q1938" s="13"/>
      <c r="R1938" s="13"/>
      <c r="S1938" s="15"/>
      <c r="T1938" s="16"/>
      <c r="U1938" s="16"/>
      <c r="V1938" s="16"/>
      <c r="W1938" s="16"/>
      <c r="X1938" s="16"/>
      <c r="Y1938" s="11"/>
      <c r="Z1938" s="11"/>
      <c r="AA1938" s="11"/>
      <c r="AB1938" s="11"/>
      <c r="AC1938" s="11"/>
      <c r="AD1938" s="11"/>
    </row>
    <row r="1939">
      <c r="A1939" s="10"/>
      <c r="B1939" s="10"/>
      <c r="C1939" s="10"/>
      <c r="D1939" s="10"/>
      <c r="E1939" s="10"/>
      <c r="F1939" s="11"/>
      <c r="G1939" s="11"/>
      <c r="H1939" s="11"/>
      <c r="I1939" s="11"/>
      <c r="J1939" s="11" t="str">
        <f>IFERROR(__xludf.DUMMYFUNCTION("iferror(if($B1939="""", ,filter(Playoff_Stats!F:Z,Playoff_Stats!A:A=$B1939,Playoff_Stats!B:B=$A1939)))"),"")</f>
        <v/>
      </c>
      <c r="K1939" s="11"/>
      <c r="L1939" s="12"/>
      <c r="M1939" s="11"/>
      <c r="N1939" s="11"/>
      <c r="O1939" s="13"/>
      <c r="P1939" s="14"/>
      <c r="Q1939" s="13"/>
      <c r="R1939" s="13"/>
      <c r="S1939" s="15"/>
      <c r="T1939" s="16"/>
      <c r="U1939" s="16"/>
      <c r="V1939" s="16"/>
      <c r="W1939" s="16"/>
      <c r="X1939" s="16"/>
      <c r="Y1939" s="11"/>
      <c r="Z1939" s="11"/>
      <c r="AA1939" s="11"/>
      <c r="AB1939" s="11"/>
      <c r="AC1939" s="11"/>
      <c r="AD1939" s="11"/>
    </row>
    <row r="1940">
      <c r="A1940" s="10"/>
      <c r="B1940" s="10"/>
      <c r="C1940" s="10"/>
      <c r="D1940" s="10"/>
      <c r="E1940" s="10"/>
      <c r="F1940" s="11"/>
      <c r="G1940" s="11"/>
      <c r="H1940" s="11"/>
      <c r="I1940" s="11"/>
      <c r="J1940" s="11" t="str">
        <f>IFERROR(__xludf.DUMMYFUNCTION("iferror(if($B1940="""", ,filter(Playoff_Stats!F:Z,Playoff_Stats!A:A=$B1940,Playoff_Stats!B:B=$A1940)))"),"")</f>
        <v/>
      </c>
      <c r="K1940" s="11"/>
      <c r="L1940" s="12"/>
      <c r="M1940" s="11"/>
      <c r="N1940" s="11"/>
      <c r="O1940" s="13"/>
      <c r="P1940" s="14"/>
      <c r="Q1940" s="13"/>
      <c r="R1940" s="13"/>
      <c r="S1940" s="15"/>
      <c r="T1940" s="16"/>
      <c r="U1940" s="16"/>
      <c r="V1940" s="16"/>
      <c r="W1940" s="16"/>
      <c r="X1940" s="16"/>
      <c r="Y1940" s="11"/>
      <c r="Z1940" s="11"/>
      <c r="AA1940" s="11"/>
      <c r="AB1940" s="11"/>
      <c r="AC1940" s="11"/>
      <c r="AD1940" s="11"/>
    </row>
    <row r="1941">
      <c r="A1941" s="10"/>
      <c r="B1941" s="10"/>
      <c r="C1941" s="10"/>
      <c r="D1941" s="10"/>
      <c r="E1941" s="10"/>
      <c r="F1941" s="11"/>
      <c r="G1941" s="11"/>
      <c r="H1941" s="11"/>
      <c r="I1941" s="11"/>
      <c r="J1941" s="11" t="str">
        <f>IFERROR(__xludf.DUMMYFUNCTION("iferror(if($B1941="""", ,filter(Playoff_Stats!F:Z,Playoff_Stats!A:A=$B1941,Playoff_Stats!B:B=$A1941)))"),"")</f>
        <v/>
      </c>
      <c r="K1941" s="11"/>
      <c r="L1941" s="12"/>
      <c r="M1941" s="11"/>
      <c r="N1941" s="11"/>
      <c r="O1941" s="13"/>
      <c r="P1941" s="14"/>
      <c r="Q1941" s="13"/>
      <c r="R1941" s="13"/>
      <c r="S1941" s="15"/>
      <c r="T1941" s="16"/>
      <c r="U1941" s="16"/>
      <c r="V1941" s="16"/>
      <c r="W1941" s="16"/>
      <c r="X1941" s="16"/>
      <c r="Y1941" s="11"/>
      <c r="Z1941" s="11"/>
      <c r="AA1941" s="11"/>
      <c r="AB1941" s="11"/>
      <c r="AC1941" s="11"/>
      <c r="AD1941" s="11"/>
    </row>
    <row r="1942">
      <c r="A1942" s="10"/>
      <c r="B1942" s="10"/>
      <c r="C1942" s="10"/>
      <c r="D1942" s="10"/>
      <c r="E1942" s="10"/>
      <c r="F1942" s="11"/>
      <c r="G1942" s="11"/>
      <c r="H1942" s="11"/>
      <c r="I1942" s="11"/>
      <c r="J1942" s="11" t="str">
        <f>IFERROR(__xludf.DUMMYFUNCTION("iferror(if($B1942="""", ,filter(Playoff_Stats!F:Z,Playoff_Stats!A:A=$B1942,Playoff_Stats!B:B=$A1942)))"),"")</f>
        <v/>
      </c>
      <c r="K1942" s="11"/>
      <c r="L1942" s="12"/>
      <c r="M1942" s="11"/>
      <c r="N1942" s="11"/>
      <c r="O1942" s="13"/>
      <c r="P1942" s="14"/>
      <c r="Q1942" s="13"/>
      <c r="R1942" s="13"/>
      <c r="S1942" s="15"/>
      <c r="T1942" s="16"/>
      <c r="U1942" s="16"/>
      <c r="V1942" s="16"/>
      <c r="W1942" s="16"/>
      <c r="X1942" s="16"/>
      <c r="Y1942" s="11"/>
      <c r="Z1942" s="11"/>
      <c r="AA1942" s="11"/>
      <c r="AB1942" s="11"/>
      <c r="AC1942" s="11"/>
      <c r="AD1942" s="11"/>
    </row>
    <row r="1943">
      <c r="A1943" s="10"/>
      <c r="B1943" s="10"/>
      <c r="C1943" s="10"/>
      <c r="D1943" s="10"/>
      <c r="E1943" s="10"/>
      <c r="F1943" s="11"/>
      <c r="G1943" s="11"/>
      <c r="H1943" s="11"/>
      <c r="I1943" s="11"/>
      <c r="J1943" s="11" t="str">
        <f>IFERROR(__xludf.DUMMYFUNCTION("iferror(if($B1943="""", ,filter(Playoff_Stats!F:Z,Playoff_Stats!A:A=$B1943,Playoff_Stats!B:B=$A1943)))"),"")</f>
        <v/>
      </c>
      <c r="K1943" s="11"/>
      <c r="L1943" s="12"/>
      <c r="M1943" s="11"/>
      <c r="N1943" s="11"/>
      <c r="O1943" s="13"/>
      <c r="P1943" s="14"/>
      <c r="Q1943" s="13"/>
      <c r="R1943" s="13"/>
      <c r="S1943" s="15"/>
      <c r="T1943" s="16"/>
      <c r="U1943" s="16"/>
      <c r="V1943" s="16"/>
      <c r="W1943" s="16"/>
      <c r="X1943" s="16"/>
      <c r="Y1943" s="11"/>
      <c r="Z1943" s="11"/>
      <c r="AA1943" s="11"/>
      <c r="AB1943" s="11"/>
      <c r="AC1943" s="11"/>
      <c r="AD1943" s="11"/>
    </row>
    <row r="1944">
      <c r="A1944" s="10"/>
      <c r="B1944" s="10"/>
      <c r="C1944" s="10"/>
      <c r="D1944" s="10"/>
      <c r="E1944" s="10"/>
      <c r="F1944" s="11"/>
      <c r="G1944" s="11"/>
      <c r="H1944" s="11"/>
      <c r="I1944" s="11"/>
      <c r="J1944" s="11" t="str">
        <f>IFERROR(__xludf.DUMMYFUNCTION("iferror(if($B1944="""", ,filter(Playoff_Stats!F:Z,Playoff_Stats!A:A=$B1944,Playoff_Stats!B:B=$A1944)))"),"")</f>
        <v/>
      </c>
      <c r="K1944" s="11"/>
      <c r="L1944" s="12"/>
      <c r="M1944" s="11"/>
      <c r="N1944" s="11"/>
      <c r="O1944" s="13"/>
      <c r="P1944" s="14"/>
      <c r="Q1944" s="13"/>
      <c r="R1944" s="13"/>
      <c r="S1944" s="15"/>
      <c r="T1944" s="16"/>
      <c r="U1944" s="16"/>
      <c r="V1944" s="16"/>
      <c r="W1944" s="16"/>
      <c r="X1944" s="16"/>
      <c r="Y1944" s="11"/>
      <c r="Z1944" s="11"/>
      <c r="AA1944" s="11"/>
      <c r="AB1944" s="11"/>
      <c r="AC1944" s="11"/>
      <c r="AD1944" s="11"/>
    </row>
    <row r="1945">
      <c r="A1945" s="10"/>
      <c r="B1945" s="10"/>
      <c r="C1945" s="10"/>
      <c r="D1945" s="10"/>
      <c r="E1945" s="10"/>
      <c r="F1945" s="11"/>
      <c r="G1945" s="11"/>
      <c r="H1945" s="11"/>
      <c r="I1945" s="11"/>
      <c r="J1945" s="11" t="str">
        <f>IFERROR(__xludf.DUMMYFUNCTION("iferror(if($B1945="""", ,filter(Playoff_Stats!F:Z,Playoff_Stats!A:A=$B1945,Playoff_Stats!B:B=$A1945)))"),"")</f>
        <v/>
      </c>
      <c r="K1945" s="11"/>
      <c r="L1945" s="12"/>
      <c r="M1945" s="11"/>
      <c r="N1945" s="11"/>
      <c r="O1945" s="13"/>
      <c r="P1945" s="14"/>
      <c r="Q1945" s="13"/>
      <c r="R1945" s="13"/>
      <c r="S1945" s="15"/>
      <c r="T1945" s="16"/>
      <c r="U1945" s="16"/>
      <c r="V1945" s="16"/>
      <c r="W1945" s="16"/>
      <c r="X1945" s="16"/>
      <c r="Y1945" s="11"/>
      <c r="Z1945" s="11"/>
      <c r="AA1945" s="11"/>
      <c r="AB1945" s="11"/>
      <c r="AC1945" s="11"/>
      <c r="AD1945" s="11"/>
    </row>
    <row r="1946">
      <c r="A1946" s="10"/>
      <c r="B1946" s="10"/>
      <c r="C1946" s="10"/>
      <c r="D1946" s="10"/>
      <c r="E1946" s="10"/>
      <c r="F1946" s="11"/>
      <c r="G1946" s="11"/>
      <c r="H1946" s="11"/>
      <c r="I1946" s="11"/>
      <c r="J1946" s="11" t="str">
        <f>IFERROR(__xludf.DUMMYFUNCTION("iferror(if($B1946="""", ,filter(Playoff_Stats!F:Z,Playoff_Stats!A:A=$B1946,Playoff_Stats!B:B=$A1946)))"),"")</f>
        <v/>
      </c>
      <c r="K1946" s="11"/>
      <c r="L1946" s="12"/>
      <c r="M1946" s="11"/>
      <c r="N1946" s="11"/>
      <c r="O1946" s="13"/>
      <c r="P1946" s="14"/>
      <c r="Q1946" s="13"/>
      <c r="R1946" s="13"/>
      <c r="S1946" s="15"/>
      <c r="T1946" s="16"/>
      <c r="U1946" s="16"/>
      <c r="V1946" s="16"/>
      <c r="W1946" s="16"/>
      <c r="X1946" s="16"/>
      <c r="Y1946" s="11"/>
      <c r="Z1946" s="11"/>
      <c r="AA1946" s="11"/>
      <c r="AB1946" s="11"/>
      <c r="AC1946" s="11"/>
      <c r="AD1946" s="11"/>
    </row>
    <row r="1947">
      <c r="A1947" s="10"/>
      <c r="B1947" s="10"/>
      <c r="C1947" s="10"/>
      <c r="D1947" s="10"/>
      <c r="E1947" s="10"/>
      <c r="F1947" s="11"/>
      <c r="G1947" s="11"/>
      <c r="H1947" s="11"/>
      <c r="I1947" s="11"/>
      <c r="J1947" s="11" t="str">
        <f>IFERROR(__xludf.DUMMYFUNCTION("iferror(if($B1947="""", ,filter(Playoff_Stats!F:Z,Playoff_Stats!A:A=$B1947,Playoff_Stats!B:B=$A1947)))"),"")</f>
        <v/>
      </c>
      <c r="K1947" s="11"/>
      <c r="L1947" s="12"/>
      <c r="M1947" s="11"/>
      <c r="N1947" s="11"/>
      <c r="O1947" s="13"/>
      <c r="P1947" s="14"/>
      <c r="Q1947" s="13"/>
      <c r="R1947" s="13"/>
      <c r="S1947" s="15"/>
      <c r="T1947" s="16"/>
      <c r="U1947" s="16"/>
      <c r="V1947" s="16"/>
      <c r="W1947" s="16"/>
      <c r="X1947" s="16"/>
      <c r="Y1947" s="11"/>
      <c r="Z1947" s="11"/>
      <c r="AA1947" s="11"/>
      <c r="AB1947" s="11"/>
      <c r="AC1947" s="11"/>
      <c r="AD1947" s="11"/>
    </row>
    <row r="1948">
      <c r="A1948" s="10"/>
      <c r="B1948" s="10"/>
      <c r="C1948" s="10"/>
      <c r="D1948" s="10"/>
      <c r="E1948" s="10"/>
      <c r="F1948" s="11"/>
      <c r="G1948" s="11"/>
      <c r="H1948" s="11"/>
      <c r="I1948" s="11"/>
      <c r="J1948" s="11" t="str">
        <f>IFERROR(__xludf.DUMMYFUNCTION("iferror(if($B1948="""", ,filter(Playoff_Stats!F:Z,Playoff_Stats!A:A=$B1948,Playoff_Stats!B:B=$A1948)))"),"")</f>
        <v/>
      </c>
      <c r="K1948" s="11"/>
      <c r="L1948" s="12"/>
      <c r="M1948" s="11"/>
      <c r="N1948" s="11"/>
      <c r="O1948" s="13"/>
      <c r="P1948" s="14"/>
      <c r="Q1948" s="13"/>
      <c r="R1948" s="13"/>
      <c r="S1948" s="15"/>
      <c r="T1948" s="16"/>
      <c r="U1948" s="16"/>
      <c r="V1948" s="16"/>
      <c r="W1948" s="16"/>
      <c r="X1948" s="16"/>
      <c r="Y1948" s="11"/>
      <c r="Z1948" s="11"/>
      <c r="AA1948" s="11"/>
      <c r="AB1948" s="11"/>
      <c r="AC1948" s="11"/>
      <c r="AD1948" s="11"/>
    </row>
    <row r="1949">
      <c r="A1949" s="10"/>
      <c r="B1949" s="10"/>
      <c r="C1949" s="10"/>
      <c r="D1949" s="10"/>
      <c r="E1949" s="10"/>
      <c r="F1949" s="11"/>
      <c r="G1949" s="11"/>
      <c r="H1949" s="11"/>
      <c r="I1949" s="11"/>
      <c r="J1949" s="11" t="str">
        <f>IFERROR(__xludf.DUMMYFUNCTION("iferror(if($B1949="""", ,filter(Playoff_Stats!F:Z,Playoff_Stats!A:A=$B1949,Playoff_Stats!B:B=$A1949)))"),"")</f>
        <v/>
      </c>
      <c r="K1949" s="11"/>
      <c r="L1949" s="12"/>
      <c r="M1949" s="11"/>
      <c r="N1949" s="11"/>
      <c r="O1949" s="13"/>
      <c r="P1949" s="14"/>
      <c r="Q1949" s="13"/>
      <c r="R1949" s="13"/>
      <c r="S1949" s="15"/>
      <c r="T1949" s="16"/>
      <c r="U1949" s="16"/>
      <c r="V1949" s="16"/>
      <c r="W1949" s="16"/>
      <c r="X1949" s="16"/>
      <c r="Y1949" s="11"/>
      <c r="Z1949" s="11"/>
      <c r="AA1949" s="11"/>
      <c r="AB1949" s="11"/>
      <c r="AC1949" s="11"/>
      <c r="AD1949" s="11"/>
    </row>
    <row r="1950">
      <c r="A1950" s="10"/>
      <c r="B1950" s="10"/>
      <c r="C1950" s="10"/>
      <c r="D1950" s="10"/>
      <c r="E1950" s="10"/>
      <c r="F1950" s="11"/>
      <c r="G1950" s="11"/>
      <c r="H1950" s="11"/>
      <c r="I1950" s="11"/>
      <c r="J1950" s="11" t="str">
        <f>IFERROR(__xludf.DUMMYFUNCTION("iferror(if($B1950="""", ,filter(Playoff_Stats!F:Z,Playoff_Stats!A:A=$B1950,Playoff_Stats!B:B=$A1950)))"),"")</f>
        <v/>
      </c>
      <c r="K1950" s="11"/>
      <c r="L1950" s="12"/>
      <c r="M1950" s="11"/>
      <c r="N1950" s="11"/>
      <c r="O1950" s="13"/>
      <c r="P1950" s="14"/>
      <c r="Q1950" s="13"/>
      <c r="R1950" s="13"/>
      <c r="S1950" s="15"/>
      <c r="T1950" s="16"/>
      <c r="U1950" s="16"/>
      <c r="V1950" s="16"/>
      <c r="W1950" s="16"/>
      <c r="X1950" s="16"/>
      <c r="Y1950" s="11"/>
      <c r="Z1950" s="11"/>
      <c r="AA1950" s="11"/>
      <c r="AB1950" s="11"/>
      <c r="AC1950" s="11"/>
      <c r="AD1950" s="11"/>
    </row>
    <row r="1951">
      <c r="A1951" s="10"/>
      <c r="B1951" s="10"/>
      <c r="C1951" s="10"/>
      <c r="D1951" s="10"/>
      <c r="E1951" s="10"/>
      <c r="F1951" s="11"/>
      <c r="G1951" s="11"/>
      <c r="H1951" s="11"/>
      <c r="I1951" s="11"/>
      <c r="J1951" s="11" t="str">
        <f>IFERROR(__xludf.DUMMYFUNCTION("iferror(if($B1951="""", ,filter(Playoff_Stats!F:Z,Playoff_Stats!A:A=$B1951,Playoff_Stats!B:B=$A1951)))"),"")</f>
        <v/>
      </c>
      <c r="K1951" s="11"/>
      <c r="L1951" s="12"/>
      <c r="M1951" s="11"/>
      <c r="N1951" s="11"/>
      <c r="O1951" s="13"/>
      <c r="P1951" s="14"/>
      <c r="Q1951" s="13"/>
      <c r="R1951" s="13"/>
      <c r="S1951" s="15"/>
      <c r="T1951" s="16"/>
      <c r="U1951" s="16"/>
      <c r="V1951" s="16"/>
      <c r="W1951" s="16"/>
      <c r="X1951" s="16"/>
      <c r="Y1951" s="11"/>
      <c r="Z1951" s="11"/>
      <c r="AA1951" s="11"/>
      <c r="AB1951" s="11"/>
      <c r="AC1951" s="11"/>
      <c r="AD1951" s="11"/>
    </row>
    <row r="1952">
      <c r="A1952" s="10"/>
      <c r="B1952" s="10"/>
      <c r="C1952" s="10"/>
      <c r="D1952" s="10"/>
      <c r="E1952" s="10"/>
      <c r="F1952" s="11"/>
      <c r="G1952" s="11"/>
      <c r="H1952" s="11"/>
      <c r="I1952" s="11"/>
      <c r="J1952" s="11" t="str">
        <f>IFERROR(__xludf.DUMMYFUNCTION("iferror(if($B1952="""", ,filter(Playoff_Stats!F:Z,Playoff_Stats!A:A=$B1952,Playoff_Stats!B:B=$A1952)))"),"")</f>
        <v/>
      </c>
      <c r="K1952" s="11"/>
      <c r="L1952" s="12"/>
      <c r="M1952" s="11"/>
      <c r="N1952" s="11"/>
      <c r="O1952" s="13"/>
      <c r="P1952" s="14"/>
      <c r="Q1952" s="13"/>
      <c r="R1952" s="13"/>
      <c r="S1952" s="15"/>
      <c r="T1952" s="16"/>
      <c r="U1952" s="16"/>
      <c r="V1952" s="16"/>
      <c r="W1952" s="16"/>
      <c r="X1952" s="16"/>
      <c r="Y1952" s="11"/>
      <c r="Z1952" s="11"/>
      <c r="AA1952" s="11"/>
      <c r="AB1952" s="11"/>
      <c r="AC1952" s="11"/>
      <c r="AD1952" s="11"/>
    </row>
    <row r="1953">
      <c r="A1953" s="10"/>
      <c r="B1953" s="10"/>
      <c r="C1953" s="10"/>
      <c r="D1953" s="10"/>
      <c r="E1953" s="10"/>
      <c r="F1953" s="11"/>
      <c r="G1953" s="11"/>
      <c r="H1953" s="11"/>
      <c r="I1953" s="11"/>
      <c r="J1953" s="11" t="str">
        <f>IFERROR(__xludf.DUMMYFUNCTION("iferror(if($B1953="""", ,filter(Playoff_Stats!F:Z,Playoff_Stats!A:A=$B1953,Playoff_Stats!B:B=$A1953)))"),"")</f>
        <v/>
      </c>
      <c r="K1953" s="11"/>
      <c r="L1953" s="12"/>
      <c r="M1953" s="11"/>
      <c r="N1953" s="11"/>
      <c r="O1953" s="13"/>
      <c r="P1953" s="14"/>
      <c r="Q1953" s="13"/>
      <c r="R1953" s="13"/>
      <c r="S1953" s="15"/>
      <c r="T1953" s="16"/>
      <c r="U1953" s="16"/>
      <c r="V1953" s="16"/>
      <c r="W1953" s="16"/>
      <c r="X1953" s="16"/>
      <c r="Y1953" s="11"/>
      <c r="Z1953" s="11"/>
      <c r="AA1953" s="11"/>
      <c r="AB1953" s="11"/>
      <c r="AC1953" s="11"/>
      <c r="AD1953" s="11"/>
    </row>
    <row r="1954">
      <c r="A1954" s="10"/>
      <c r="B1954" s="10"/>
      <c r="C1954" s="10"/>
      <c r="D1954" s="10"/>
      <c r="E1954" s="10"/>
      <c r="F1954" s="11"/>
      <c r="G1954" s="11"/>
      <c r="H1954" s="11"/>
      <c r="I1954" s="11"/>
      <c r="J1954" s="11" t="str">
        <f>IFERROR(__xludf.DUMMYFUNCTION("iferror(if($B1954="""", ,filter(Playoff_Stats!F:Z,Playoff_Stats!A:A=$B1954,Playoff_Stats!B:B=$A1954)))"),"")</f>
        <v/>
      </c>
      <c r="K1954" s="11"/>
      <c r="L1954" s="12"/>
      <c r="M1954" s="11"/>
      <c r="N1954" s="11"/>
      <c r="O1954" s="13"/>
      <c r="P1954" s="14"/>
      <c r="Q1954" s="13"/>
      <c r="R1954" s="13"/>
      <c r="S1954" s="15"/>
      <c r="T1954" s="16"/>
      <c r="U1954" s="16"/>
      <c r="V1954" s="16"/>
      <c r="W1954" s="16"/>
      <c r="X1954" s="16"/>
      <c r="Y1954" s="11"/>
      <c r="Z1954" s="11"/>
      <c r="AA1954" s="11"/>
      <c r="AB1954" s="11"/>
      <c r="AC1954" s="11"/>
      <c r="AD1954" s="11"/>
    </row>
    <row r="1955">
      <c r="A1955" s="10"/>
      <c r="B1955" s="10"/>
      <c r="C1955" s="10"/>
      <c r="D1955" s="10"/>
      <c r="E1955" s="10"/>
      <c r="F1955" s="11"/>
      <c r="G1955" s="11"/>
      <c r="H1955" s="11"/>
      <c r="I1955" s="11"/>
      <c r="J1955" s="11" t="str">
        <f>IFERROR(__xludf.DUMMYFUNCTION("iferror(if($B1955="""", ,filter(Playoff_Stats!F:Z,Playoff_Stats!A:A=$B1955,Playoff_Stats!B:B=$A1955)))"),"")</f>
        <v/>
      </c>
      <c r="K1955" s="11"/>
      <c r="L1955" s="12"/>
      <c r="M1955" s="11"/>
      <c r="N1955" s="11"/>
      <c r="O1955" s="13"/>
      <c r="P1955" s="14"/>
      <c r="Q1955" s="13"/>
      <c r="R1955" s="13"/>
      <c r="S1955" s="15"/>
      <c r="T1955" s="16"/>
      <c r="U1955" s="16"/>
      <c r="V1955" s="16"/>
      <c r="W1955" s="16"/>
      <c r="X1955" s="16"/>
      <c r="Y1955" s="11"/>
      <c r="Z1955" s="11"/>
      <c r="AA1955" s="11"/>
      <c r="AB1955" s="11"/>
      <c r="AC1955" s="11"/>
      <c r="AD1955" s="11"/>
    </row>
    <row r="1956">
      <c r="A1956" s="10"/>
      <c r="B1956" s="10"/>
      <c r="C1956" s="10"/>
      <c r="D1956" s="10"/>
      <c r="E1956" s="10"/>
      <c r="F1956" s="11"/>
      <c r="G1956" s="11"/>
      <c r="H1956" s="11"/>
      <c r="I1956" s="11"/>
      <c r="J1956" s="11" t="str">
        <f>IFERROR(__xludf.DUMMYFUNCTION("iferror(if($B1956="""", ,filter(Playoff_Stats!F:Z,Playoff_Stats!A:A=$B1956,Playoff_Stats!B:B=$A1956)))"),"")</f>
        <v/>
      </c>
      <c r="K1956" s="11"/>
      <c r="L1956" s="12"/>
      <c r="M1956" s="11"/>
      <c r="N1956" s="11"/>
      <c r="O1956" s="13"/>
      <c r="P1956" s="14"/>
      <c r="Q1956" s="13"/>
      <c r="R1956" s="13"/>
      <c r="S1956" s="15"/>
      <c r="T1956" s="16"/>
      <c r="U1956" s="16"/>
      <c r="V1956" s="16"/>
      <c r="W1956" s="16"/>
      <c r="X1956" s="16"/>
      <c r="Y1956" s="11"/>
      <c r="Z1956" s="11"/>
      <c r="AA1956" s="11"/>
      <c r="AB1956" s="11"/>
      <c r="AC1956" s="11"/>
      <c r="AD1956" s="11"/>
    </row>
    <row r="1957">
      <c r="A1957" s="10"/>
      <c r="B1957" s="10"/>
      <c r="C1957" s="10"/>
      <c r="D1957" s="10"/>
      <c r="E1957" s="10"/>
      <c r="F1957" s="11"/>
      <c r="G1957" s="11"/>
      <c r="H1957" s="11"/>
      <c r="I1957" s="11"/>
      <c r="J1957" s="11" t="str">
        <f>IFERROR(__xludf.DUMMYFUNCTION("iferror(if($B1957="""", ,filter(Playoff_Stats!F:Z,Playoff_Stats!A:A=$B1957,Playoff_Stats!B:B=$A1957)))"),"")</f>
        <v/>
      </c>
      <c r="K1957" s="11"/>
      <c r="L1957" s="12"/>
      <c r="M1957" s="11"/>
      <c r="N1957" s="11"/>
      <c r="O1957" s="13"/>
      <c r="P1957" s="14"/>
      <c r="Q1957" s="13"/>
      <c r="R1957" s="13"/>
      <c r="S1957" s="15"/>
      <c r="T1957" s="16"/>
      <c r="U1957" s="16"/>
      <c r="V1957" s="16"/>
      <c r="W1957" s="16"/>
      <c r="X1957" s="16"/>
      <c r="Y1957" s="11"/>
      <c r="Z1957" s="11"/>
      <c r="AA1957" s="11"/>
      <c r="AB1957" s="11"/>
      <c r="AC1957" s="11"/>
      <c r="AD1957" s="11"/>
    </row>
    <row r="1958">
      <c r="A1958" s="10"/>
      <c r="B1958" s="10"/>
      <c r="C1958" s="10"/>
      <c r="D1958" s="10"/>
      <c r="E1958" s="10"/>
      <c r="F1958" s="11"/>
      <c r="G1958" s="11"/>
      <c r="H1958" s="11"/>
      <c r="I1958" s="11"/>
      <c r="J1958" s="11" t="str">
        <f>IFERROR(__xludf.DUMMYFUNCTION("iferror(if($B1958="""", ,filter(Playoff_Stats!F:Z,Playoff_Stats!A:A=$B1958,Playoff_Stats!B:B=$A1958)))"),"")</f>
        <v/>
      </c>
      <c r="K1958" s="11"/>
      <c r="L1958" s="12"/>
      <c r="M1958" s="11"/>
      <c r="N1958" s="11"/>
      <c r="O1958" s="13"/>
      <c r="P1958" s="14"/>
      <c r="Q1958" s="13"/>
      <c r="R1958" s="13"/>
      <c r="S1958" s="15"/>
      <c r="T1958" s="16"/>
      <c r="U1958" s="16"/>
      <c r="V1958" s="16"/>
      <c r="W1958" s="16"/>
      <c r="X1958" s="16"/>
      <c r="Y1958" s="11"/>
      <c r="Z1958" s="11"/>
      <c r="AA1958" s="11"/>
      <c r="AB1958" s="11"/>
      <c r="AC1958" s="11"/>
      <c r="AD1958" s="11"/>
    </row>
    <row r="1959">
      <c r="A1959" s="10"/>
      <c r="B1959" s="10"/>
      <c r="C1959" s="10"/>
      <c r="D1959" s="10"/>
      <c r="E1959" s="10"/>
      <c r="F1959" s="11"/>
      <c r="G1959" s="11"/>
      <c r="H1959" s="11"/>
      <c r="I1959" s="11"/>
      <c r="J1959" s="11" t="str">
        <f>IFERROR(__xludf.DUMMYFUNCTION("iferror(if($B1959="""", ,filter(Playoff_Stats!F:Z,Playoff_Stats!A:A=$B1959,Playoff_Stats!B:B=$A1959)))"),"")</f>
        <v/>
      </c>
      <c r="K1959" s="11"/>
      <c r="L1959" s="12"/>
      <c r="M1959" s="11"/>
      <c r="N1959" s="11"/>
      <c r="O1959" s="13"/>
      <c r="P1959" s="14"/>
      <c r="Q1959" s="13"/>
      <c r="R1959" s="13"/>
      <c r="S1959" s="15"/>
      <c r="T1959" s="16"/>
      <c r="U1959" s="16"/>
      <c r="V1959" s="16"/>
      <c r="W1959" s="16"/>
      <c r="X1959" s="16"/>
      <c r="Y1959" s="11"/>
      <c r="Z1959" s="11"/>
      <c r="AA1959" s="11"/>
      <c r="AB1959" s="11"/>
      <c r="AC1959" s="11"/>
      <c r="AD1959" s="11"/>
    </row>
    <row r="1960">
      <c r="A1960" s="10"/>
      <c r="B1960" s="10"/>
      <c r="C1960" s="10"/>
      <c r="D1960" s="10"/>
      <c r="E1960" s="10"/>
      <c r="F1960" s="11"/>
      <c r="G1960" s="11"/>
      <c r="H1960" s="11"/>
      <c r="I1960" s="11"/>
      <c r="J1960" s="11" t="str">
        <f>IFERROR(__xludf.DUMMYFUNCTION("iferror(if($B1960="""", ,filter(Playoff_Stats!F:Z,Playoff_Stats!A:A=$B1960,Playoff_Stats!B:B=$A1960)))"),"")</f>
        <v/>
      </c>
      <c r="K1960" s="11"/>
      <c r="L1960" s="12"/>
      <c r="M1960" s="11"/>
      <c r="N1960" s="11"/>
      <c r="O1960" s="13"/>
      <c r="P1960" s="14"/>
      <c r="Q1960" s="13"/>
      <c r="R1960" s="13"/>
      <c r="S1960" s="15"/>
      <c r="T1960" s="16"/>
      <c r="U1960" s="16"/>
      <c r="V1960" s="16"/>
      <c r="W1960" s="16"/>
      <c r="X1960" s="16"/>
      <c r="Y1960" s="11"/>
      <c r="Z1960" s="11"/>
      <c r="AA1960" s="11"/>
      <c r="AB1960" s="11"/>
      <c r="AC1960" s="11"/>
      <c r="AD1960" s="11"/>
    </row>
    <row r="1961">
      <c r="A1961" s="10"/>
      <c r="B1961" s="10"/>
      <c r="C1961" s="10"/>
      <c r="D1961" s="10"/>
      <c r="E1961" s="10"/>
      <c r="F1961" s="11"/>
      <c r="G1961" s="11"/>
      <c r="H1961" s="11"/>
      <c r="I1961" s="11"/>
      <c r="J1961" s="11" t="str">
        <f>IFERROR(__xludf.DUMMYFUNCTION("iferror(if($B1961="""", ,filter(Playoff_Stats!F:Z,Playoff_Stats!A:A=$B1961,Playoff_Stats!B:B=$A1961)))"),"")</f>
        <v/>
      </c>
      <c r="K1961" s="11"/>
      <c r="L1961" s="12"/>
      <c r="M1961" s="11"/>
      <c r="N1961" s="11"/>
      <c r="O1961" s="13"/>
      <c r="P1961" s="14"/>
      <c r="Q1961" s="13"/>
      <c r="R1961" s="13"/>
      <c r="S1961" s="15"/>
      <c r="T1961" s="16"/>
      <c r="U1961" s="16"/>
      <c r="V1961" s="16"/>
      <c r="W1961" s="16"/>
      <c r="X1961" s="16"/>
      <c r="Y1961" s="11"/>
      <c r="Z1961" s="11"/>
      <c r="AA1961" s="11"/>
      <c r="AB1961" s="11"/>
      <c r="AC1961" s="11"/>
      <c r="AD1961" s="11"/>
    </row>
    <row r="1962">
      <c r="A1962" s="10"/>
      <c r="B1962" s="10"/>
      <c r="C1962" s="10"/>
      <c r="D1962" s="10"/>
      <c r="E1962" s="10"/>
      <c r="F1962" s="11"/>
      <c r="G1962" s="11"/>
      <c r="H1962" s="11"/>
      <c r="I1962" s="11"/>
      <c r="J1962" s="11" t="str">
        <f>IFERROR(__xludf.DUMMYFUNCTION("iferror(if($B1962="""", ,filter(Playoff_Stats!F:Z,Playoff_Stats!A:A=$B1962,Playoff_Stats!B:B=$A1962)))"),"")</f>
        <v/>
      </c>
      <c r="K1962" s="11"/>
      <c r="L1962" s="12"/>
      <c r="M1962" s="11"/>
      <c r="N1962" s="11"/>
      <c r="O1962" s="13"/>
      <c r="P1962" s="14"/>
      <c r="Q1962" s="13"/>
      <c r="R1962" s="13"/>
      <c r="S1962" s="15"/>
      <c r="T1962" s="16"/>
      <c r="U1962" s="16"/>
      <c r="V1962" s="16"/>
      <c r="W1962" s="16"/>
      <c r="X1962" s="16"/>
      <c r="Y1962" s="11"/>
      <c r="Z1962" s="11"/>
      <c r="AA1962" s="11"/>
      <c r="AB1962" s="11"/>
      <c r="AC1962" s="11"/>
      <c r="AD1962" s="11"/>
    </row>
    <row r="1963">
      <c r="A1963" s="10"/>
      <c r="B1963" s="10"/>
      <c r="C1963" s="10"/>
      <c r="D1963" s="10"/>
      <c r="E1963" s="10"/>
      <c r="F1963" s="11"/>
      <c r="G1963" s="11"/>
      <c r="H1963" s="11"/>
      <c r="I1963" s="11"/>
      <c r="J1963" s="11" t="str">
        <f>IFERROR(__xludf.DUMMYFUNCTION("iferror(if($B1963="""", ,filter(Playoff_Stats!F:Z,Playoff_Stats!A:A=$B1963,Playoff_Stats!B:B=$A1963)))"),"")</f>
        <v/>
      </c>
      <c r="K1963" s="11"/>
      <c r="L1963" s="12"/>
      <c r="M1963" s="11"/>
      <c r="N1963" s="11"/>
      <c r="O1963" s="13"/>
      <c r="P1963" s="14"/>
      <c r="Q1963" s="13"/>
      <c r="R1963" s="13"/>
      <c r="S1963" s="15"/>
      <c r="T1963" s="16"/>
      <c r="U1963" s="16"/>
      <c r="V1963" s="16"/>
      <c r="W1963" s="16"/>
      <c r="X1963" s="16"/>
      <c r="Y1963" s="11"/>
      <c r="Z1963" s="11"/>
      <c r="AA1963" s="11"/>
      <c r="AB1963" s="11"/>
      <c r="AC1963" s="11"/>
      <c r="AD1963" s="11"/>
    </row>
    <row r="1964">
      <c r="A1964" s="10"/>
      <c r="B1964" s="10"/>
      <c r="C1964" s="10"/>
      <c r="D1964" s="10"/>
      <c r="E1964" s="10"/>
      <c r="F1964" s="11"/>
      <c r="G1964" s="11"/>
      <c r="H1964" s="11"/>
      <c r="I1964" s="11"/>
      <c r="J1964" s="11" t="str">
        <f>IFERROR(__xludf.DUMMYFUNCTION("iferror(if($B1964="""", ,filter(Playoff_Stats!F:Z,Playoff_Stats!A:A=$B1964,Playoff_Stats!B:B=$A1964)))"),"")</f>
        <v/>
      </c>
      <c r="K1964" s="11"/>
      <c r="L1964" s="12"/>
      <c r="M1964" s="11"/>
      <c r="N1964" s="11"/>
      <c r="O1964" s="13"/>
      <c r="P1964" s="14"/>
      <c r="Q1964" s="13"/>
      <c r="R1964" s="13"/>
      <c r="S1964" s="15"/>
      <c r="T1964" s="16"/>
      <c r="U1964" s="16"/>
      <c r="V1964" s="16"/>
      <c r="W1964" s="16"/>
      <c r="X1964" s="16"/>
      <c r="Y1964" s="11"/>
      <c r="Z1964" s="11"/>
      <c r="AA1964" s="11"/>
      <c r="AB1964" s="11"/>
      <c r="AC1964" s="11"/>
      <c r="AD1964" s="11"/>
    </row>
    <row r="1965">
      <c r="A1965" s="10"/>
      <c r="B1965" s="10"/>
      <c r="C1965" s="10"/>
      <c r="D1965" s="10"/>
      <c r="E1965" s="10"/>
      <c r="F1965" s="11"/>
      <c r="G1965" s="11"/>
      <c r="H1965" s="11"/>
      <c r="I1965" s="11"/>
      <c r="J1965" s="11" t="str">
        <f>IFERROR(__xludf.DUMMYFUNCTION("iferror(if($B1965="""", ,filter(Playoff_Stats!F:Z,Playoff_Stats!A:A=$B1965,Playoff_Stats!B:B=$A1965)))"),"")</f>
        <v/>
      </c>
      <c r="K1965" s="11"/>
      <c r="L1965" s="12"/>
      <c r="M1965" s="11"/>
      <c r="N1965" s="11"/>
      <c r="O1965" s="13"/>
      <c r="P1965" s="14"/>
      <c r="Q1965" s="13"/>
      <c r="R1965" s="13"/>
      <c r="S1965" s="15"/>
      <c r="T1965" s="16"/>
      <c r="U1965" s="16"/>
      <c r="V1965" s="16"/>
      <c r="W1965" s="16"/>
      <c r="X1965" s="16"/>
      <c r="Y1965" s="11"/>
      <c r="Z1965" s="11"/>
      <c r="AA1965" s="11"/>
      <c r="AB1965" s="11"/>
      <c r="AC1965" s="11"/>
      <c r="AD1965" s="11"/>
    </row>
    <row r="1966">
      <c r="A1966" s="10"/>
      <c r="B1966" s="10"/>
      <c r="C1966" s="10"/>
      <c r="D1966" s="10"/>
      <c r="E1966" s="10"/>
      <c r="F1966" s="11"/>
      <c r="G1966" s="11"/>
      <c r="H1966" s="11"/>
      <c r="I1966" s="11"/>
      <c r="J1966" s="11" t="str">
        <f>IFERROR(__xludf.DUMMYFUNCTION("iferror(if($B1966="""", ,filter(Playoff_Stats!F:Z,Playoff_Stats!A:A=$B1966,Playoff_Stats!B:B=$A1966)))"),"")</f>
        <v/>
      </c>
      <c r="K1966" s="11"/>
      <c r="L1966" s="12"/>
      <c r="M1966" s="11"/>
      <c r="N1966" s="11"/>
      <c r="O1966" s="13"/>
      <c r="P1966" s="14"/>
      <c r="Q1966" s="13"/>
      <c r="R1966" s="13"/>
      <c r="S1966" s="15"/>
      <c r="T1966" s="16"/>
      <c r="U1966" s="16"/>
      <c r="V1966" s="16"/>
      <c r="W1966" s="16"/>
      <c r="X1966" s="16"/>
      <c r="Y1966" s="11"/>
      <c r="Z1966" s="11"/>
      <c r="AA1966" s="11"/>
      <c r="AB1966" s="11"/>
      <c r="AC1966" s="11"/>
      <c r="AD1966" s="11"/>
    </row>
    <row r="1967">
      <c r="A1967" s="10"/>
      <c r="B1967" s="10"/>
      <c r="C1967" s="10"/>
      <c r="D1967" s="10"/>
      <c r="E1967" s="10"/>
      <c r="F1967" s="11"/>
      <c r="G1967" s="11"/>
      <c r="H1967" s="11"/>
      <c r="I1967" s="11"/>
      <c r="J1967" s="11" t="str">
        <f>IFERROR(__xludf.DUMMYFUNCTION("iferror(if($B1967="""", ,filter(Playoff_Stats!F:Z,Playoff_Stats!A:A=$B1967,Playoff_Stats!B:B=$A1967)))"),"")</f>
        <v/>
      </c>
      <c r="K1967" s="11"/>
      <c r="L1967" s="12"/>
      <c r="M1967" s="11"/>
      <c r="N1967" s="11"/>
      <c r="O1967" s="13"/>
      <c r="P1967" s="14"/>
      <c r="Q1967" s="13"/>
      <c r="R1967" s="13"/>
      <c r="S1967" s="15"/>
      <c r="T1967" s="16"/>
      <c r="U1967" s="16"/>
      <c r="V1967" s="16"/>
      <c r="W1967" s="16"/>
      <c r="X1967" s="16"/>
      <c r="Y1967" s="11"/>
      <c r="Z1967" s="11"/>
      <c r="AA1967" s="11"/>
      <c r="AB1967" s="11"/>
      <c r="AC1967" s="11"/>
      <c r="AD1967" s="11"/>
    </row>
    <row r="1968">
      <c r="A1968" s="10"/>
      <c r="B1968" s="10"/>
      <c r="C1968" s="10"/>
      <c r="D1968" s="10"/>
      <c r="E1968" s="10"/>
      <c r="F1968" s="11"/>
      <c r="G1968" s="11"/>
      <c r="H1968" s="11"/>
      <c r="I1968" s="11"/>
      <c r="J1968" s="11" t="str">
        <f>IFERROR(__xludf.DUMMYFUNCTION("iferror(if($B1968="""", ,filter(Playoff_Stats!F:Z,Playoff_Stats!A:A=$B1968,Playoff_Stats!B:B=$A1968)))"),"")</f>
        <v/>
      </c>
      <c r="K1968" s="11"/>
      <c r="L1968" s="12"/>
      <c r="M1968" s="11"/>
      <c r="N1968" s="11"/>
      <c r="O1968" s="13"/>
      <c r="P1968" s="14"/>
      <c r="Q1968" s="13"/>
      <c r="R1968" s="13"/>
      <c r="S1968" s="15"/>
      <c r="T1968" s="16"/>
      <c r="U1968" s="16"/>
      <c r="V1968" s="16"/>
      <c r="W1968" s="16"/>
      <c r="X1968" s="16"/>
      <c r="Y1968" s="11"/>
      <c r="Z1968" s="11"/>
      <c r="AA1968" s="11"/>
      <c r="AB1968" s="11"/>
      <c r="AC1968" s="11"/>
      <c r="AD1968" s="11"/>
    </row>
    <row r="1969">
      <c r="A1969" s="10"/>
      <c r="B1969" s="10"/>
      <c r="C1969" s="10"/>
      <c r="D1969" s="10"/>
      <c r="E1969" s="10"/>
      <c r="F1969" s="11"/>
      <c r="G1969" s="11"/>
      <c r="H1969" s="11"/>
      <c r="I1969" s="11"/>
      <c r="J1969" s="11" t="str">
        <f>IFERROR(__xludf.DUMMYFUNCTION("iferror(if($B1969="""", ,filter(Playoff_Stats!F:Z,Playoff_Stats!A:A=$B1969,Playoff_Stats!B:B=$A1969)))"),"")</f>
        <v/>
      </c>
      <c r="K1969" s="11"/>
      <c r="L1969" s="12"/>
      <c r="M1969" s="11"/>
      <c r="N1969" s="11"/>
      <c r="O1969" s="13"/>
      <c r="P1969" s="14"/>
      <c r="Q1969" s="13"/>
      <c r="R1969" s="13"/>
      <c r="S1969" s="15"/>
      <c r="T1969" s="16"/>
      <c r="U1969" s="16"/>
      <c r="V1969" s="16"/>
      <c r="W1969" s="16"/>
      <c r="X1969" s="16"/>
      <c r="Y1969" s="11"/>
      <c r="Z1969" s="11"/>
      <c r="AA1969" s="11"/>
      <c r="AB1969" s="11"/>
      <c r="AC1969" s="11"/>
      <c r="AD1969" s="11"/>
    </row>
    <row r="1970">
      <c r="A1970" s="10"/>
      <c r="B1970" s="10"/>
      <c r="C1970" s="10"/>
      <c r="D1970" s="10"/>
      <c r="E1970" s="10"/>
      <c r="F1970" s="11"/>
      <c r="G1970" s="11"/>
      <c r="H1970" s="11"/>
      <c r="I1970" s="11"/>
      <c r="J1970" s="11" t="str">
        <f>IFERROR(__xludf.DUMMYFUNCTION("iferror(if($B1970="""", ,filter(Playoff_Stats!F:Z,Playoff_Stats!A:A=$B1970,Playoff_Stats!B:B=$A1970)))"),"")</f>
        <v/>
      </c>
      <c r="K1970" s="11"/>
      <c r="L1970" s="12"/>
      <c r="M1970" s="11"/>
      <c r="N1970" s="11"/>
      <c r="O1970" s="13"/>
      <c r="P1970" s="14"/>
      <c r="Q1970" s="13"/>
      <c r="R1970" s="13"/>
      <c r="S1970" s="15"/>
      <c r="T1970" s="16"/>
      <c r="U1970" s="16"/>
      <c r="V1970" s="16"/>
      <c r="W1970" s="16"/>
      <c r="X1970" s="16"/>
      <c r="Y1970" s="11"/>
      <c r="Z1970" s="11"/>
      <c r="AA1970" s="11"/>
      <c r="AB1970" s="11"/>
      <c r="AC1970" s="11"/>
      <c r="AD1970" s="11"/>
    </row>
    <row r="1971">
      <c r="A1971" s="10"/>
      <c r="B1971" s="10"/>
      <c r="C1971" s="10"/>
      <c r="D1971" s="10"/>
      <c r="E1971" s="10"/>
      <c r="F1971" s="11"/>
      <c r="G1971" s="11"/>
      <c r="H1971" s="11"/>
      <c r="I1971" s="11"/>
      <c r="J1971" s="11" t="str">
        <f>IFERROR(__xludf.DUMMYFUNCTION("iferror(if($B1971="""", ,filter(Playoff_Stats!F:Z,Playoff_Stats!A:A=$B1971,Playoff_Stats!B:B=$A1971)))"),"")</f>
        <v/>
      </c>
      <c r="K1971" s="11"/>
      <c r="L1971" s="12"/>
      <c r="M1971" s="11"/>
      <c r="N1971" s="11"/>
      <c r="O1971" s="13"/>
      <c r="P1971" s="14"/>
      <c r="Q1971" s="13"/>
      <c r="R1971" s="13"/>
      <c r="S1971" s="15"/>
      <c r="T1971" s="16"/>
      <c r="U1971" s="16"/>
      <c r="V1971" s="16"/>
      <c r="W1971" s="16"/>
      <c r="X1971" s="16"/>
      <c r="Y1971" s="11"/>
      <c r="Z1971" s="11"/>
      <c r="AA1971" s="11"/>
      <c r="AB1971" s="11"/>
      <c r="AC1971" s="11"/>
      <c r="AD1971" s="11"/>
    </row>
    <row r="1972">
      <c r="A1972" s="10"/>
      <c r="B1972" s="10"/>
      <c r="C1972" s="10"/>
      <c r="D1972" s="10"/>
      <c r="E1972" s="10"/>
      <c r="F1972" s="11"/>
      <c r="G1972" s="11"/>
      <c r="H1972" s="11"/>
      <c r="I1972" s="11"/>
      <c r="J1972" s="11" t="str">
        <f>IFERROR(__xludf.DUMMYFUNCTION("iferror(if($B1972="""", ,filter(Playoff_Stats!F:Z,Playoff_Stats!A:A=$B1972,Playoff_Stats!B:B=$A1972)))"),"")</f>
        <v/>
      </c>
      <c r="K1972" s="11"/>
      <c r="L1972" s="12"/>
      <c r="M1972" s="11"/>
      <c r="N1972" s="11"/>
      <c r="O1972" s="13"/>
      <c r="P1972" s="14"/>
      <c r="Q1972" s="13"/>
      <c r="R1972" s="13"/>
      <c r="S1972" s="15"/>
      <c r="T1972" s="16"/>
      <c r="U1972" s="16"/>
      <c r="V1972" s="16"/>
      <c r="W1972" s="16"/>
      <c r="X1972" s="16"/>
      <c r="Y1972" s="11"/>
      <c r="Z1972" s="11"/>
      <c r="AA1972" s="11"/>
      <c r="AB1972" s="11"/>
      <c r="AC1972" s="11"/>
      <c r="AD1972" s="11"/>
    </row>
    <row r="1973">
      <c r="A1973" s="10"/>
      <c r="B1973" s="10"/>
      <c r="C1973" s="10"/>
      <c r="D1973" s="10"/>
      <c r="E1973" s="10"/>
      <c r="F1973" s="11"/>
      <c r="G1973" s="11"/>
      <c r="H1973" s="11"/>
      <c r="I1973" s="11"/>
      <c r="J1973" s="11" t="str">
        <f>IFERROR(__xludf.DUMMYFUNCTION("iferror(if($B1973="""", ,filter(Playoff_Stats!F:Z,Playoff_Stats!A:A=$B1973,Playoff_Stats!B:B=$A1973)))"),"")</f>
        <v/>
      </c>
      <c r="K1973" s="11"/>
      <c r="L1973" s="12"/>
      <c r="M1973" s="11"/>
      <c r="N1973" s="11"/>
      <c r="O1973" s="13"/>
      <c r="P1973" s="14"/>
      <c r="Q1973" s="13"/>
      <c r="R1973" s="13"/>
      <c r="S1973" s="15"/>
      <c r="T1973" s="16"/>
      <c r="U1973" s="16"/>
      <c r="V1973" s="16"/>
      <c r="W1973" s="16"/>
      <c r="X1973" s="16"/>
      <c r="Y1973" s="11"/>
      <c r="Z1973" s="11"/>
      <c r="AA1973" s="11"/>
      <c r="AB1973" s="11"/>
      <c r="AC1973" s="11"/>
      <c r="AD1973" s="11"/>
    </row>
    <row r="1974">
      <c r="A1974" s="10"/>
      <c r="B1974" s="10"/>
      <c r="C1974" s="10"/>
      <c r="D1974" s="10"/>
      <c r="E1974" s="10"/>
      <c r="F1974" s="11"/>
      <c r="G1974" s="11"/>
      <c r="H1974" s="11"/>
      <c r="I1974" s="11"/>
      <c r="J1974" s="11" t="str">
        <f>IFERROR(__xludf.DUMMYFUNCTION("iferror(if($B1974="""", ,filter(Playoff_Stats!F:Z,Playoff_Stats!A:A=$B1974,Playoff_Stats!B:B=$A1974)))"),"")</f>
        <v/>
      </c>
      <c r="K1974" s="11"/>
      <c r="L1974" s="12"/>
      <c r="M1974" s="11"/>
      <c r="N1974" s="11"/>
      <c r="O1974" s="13"/>
      <c r="P1974" s="14"/>
      <c r="Q1974" s="13"/>
      <c r="R1974" s="13"/>
      <c r="S1974" s="15"/>
      <c r="T1974" s="16"/>
      <c r="U1974" s="16"/>
      <c r="V1974" s="16"/>
      <c r="W1974" s="16"/>
      <c r="X1974" s="16"/>
      <c r="Y1974" s="11"/>
      <c r="Z1974" s="11"/>
      <c r="AA1974" s="11"/>
      <c r="AB1974" s="11"/>
      <c r="AC1974" s="11"/>
      <c r="AD1974" s="11"/>
    </row>
    <row r="1975">
      <c r="A1975" s="10"/>
      <c r="B1975" s="10"/>
      <c r="C1975" s="10"/>
      <c r="D1975" s="10"/>
      <c r="E1975" s="10"/>
      <c r="F1975" s="11"/>
      <c r="G1975" s="11"/>
      <c r="H1975" s="11"/>
      <c r="I1975" s="11"/>
      <c r="J1975" s="11" t="str">
        <f>IFERROR(__xludf.DUMMYFUNCTION("iferror(if($B1975="""", ,filter(Playoff_Stats!F:Z,Playoff_Stats!A:A=$B1975,Playoff_Stats!B:B=$A1975)))"),"")</f>
        <v/>
      </c>
      <c r="K1975" s="11"/>
      <c r="L1975" s="12"/>
      <c r="M1975" s="11"/>
      <c r="N1975" s="11"/>
      <c r="O1975" s="13"/>
      <c r="P1975" s="14"/>
      <c r="Q1975" s="13"/>
      <c r="R1975" s="13"/>
      <c r="S1975" s="15"/>
      <c r="T1975" s="16"/>
      <c r="U1975" s="16"/>
      <c r="V1975" s="16"/>
      <c r="W1975" s="16"/>
      <c r="X1975" s="16"/>
      <c r="Y1975" s="11"/>
      <c r="Z1975" s="11"/>
      <c r="AA1975" s="11"/>
      <c r="AB1975" s="11"/>
      <c r="AC1975" s="11"/>
      <c r="AD1975" s="11"/>
    </row>
    <row r="1976">
      <c r="A1976" s="10"/>
      <c r="B1976" s="10"/>
      <c r="C1976" s="10"/>
      <c r="D1976" s="10"/>
      <c r="E1976" s="10"/>
      <c r="F1976" s="11"/>
      <c r="G1976" s="11"/>
      <c r="H1976" s="11"/>
      <c r="I1976" s="11"/>
      <c r="J1976" s="11" t="str">
        <f>IFERROR(__xludf.DUMMYFUNCTION("iferror(if($B1976="""", ,filter(Playoff_Stats!F:Z,Playoff_Stats!A:A=$B1976,Playoff_Stats!B:B=$A1976)))"),"")</f>
        <v/>
      </c>
      <c r="K1976" s="11"/>
      <c r="L1976" s="12"/>
      <c r="M1976" s="11"/>
      <c r="N1976" s="11"/>
      <c r="O1976" s="13"/>
      <c r="P1976" s="14"/>
      <c r="Q1976" s="13"/>
      <c r="R1976" s="13"/>
      <c r="S1976" s="15"/>
      <c r="T1976" s="16"/>
      <c r="U1976" s="16"/>
      <c r="V1976" s="16"/>
      <c r="W1976" s="16"/>
      <c r="X1976" s="16"/>
      <c r="Y1976" s="11"/>
      <c r="Z1976" s="11"/>
      <c r="AA1976" s="11"/>
      <c r="AB1976" s="11"/>
      <c r="AC1976" s="11"/>
      <c r="AD1976" s="11"/>
    </row>
    <row r="1977">
      <c r="A1977" s="10"/>
      <c r="B1977" s="10"/>
      <c r="C1977" s="10"/>
      <c r="D1977" s="10"/>
      <c r="E1977" s="10"/>
      <c r="F1977" s="11"/>
      <c r="G1977" s="11"/>
      <c r="H1977" s="11"/>
      <c r="I1977" s="11"/>
      <c r="J1977" s="11" t="str">
        <f>IFERROR(__xludf.DUMMYFUNCTION("iferror(if($B1977="""", ,filter(Playoff_Stats!F:Z,Playoff_Stats!A:A=$B1977,Playoff_Stats!B:B=$A1977)))"),"")</f>
        <v/>
      </c>
      <c r="K1977" s="11"/>
      <c r="L1977" s="12"/>
      <c r="M1977" s="11"/>
      <c r="N1977" s="11"/>
      <c r="O1977" s="13"/>
      <c r="P1977" s="14"/>
      <c r="Q1977" s="13"/>
      <c r="R1977" s="13"/>
      <c r="S1977" s="15"/>
      <c r="T1977" s="16"/>
      <c r="U1977" s="16"/>
      <c r="V1977" s="16"/>
      <c r="W1977" s="16"/>
      <c r="X1977" s="16"/>
      <c r="Y1977" s="11"/>
      <c r="Z1977" s="11"/>
      <c r="AA1977" s="11"/>
      <c r="AB1977" s="11"/>
      <c r="AC1977" s="11"/>
      <c r="AD1977" s="11"/>
    </row>
    <row r="1978">
      <c r="A1978" s="10"/>
      <c r="B1978" s="10"/>
      <c r="C1978" s="10"/>
      <c r="D1978" s="10"/>
      <c r="E1978" s="10"/>
      <c r="F1978" s="11"/>
      <c r="G1978" s="11"/>
      <c r="H1978" s="11"/>
      <c r="I1978" s="11"/>
      <c r="J1978" s="11" t="str">
        <f>IFERROR(__xludf.DUMMYFUNCTION("iferror(if($B1978="""", ,filter(Playoff_Stats!F:Z,Playoff_Stats!A:A=$B1978,Playoff_Stats!B:B=$A1978)))"),"")</f>
        <v/>
      </c>
      <c r="K1978" s="11"/>
      <c r="L1978" s="12"/>
      <c r="M1978" s="11"/>
      <c r="N1978" s="11"/>
      <c r="O1978" s="13"/>
      <c r="P1978" s="14"/>
      <c r="Q1978" s="13"/>
      <c r="R1978" s="13"/>
      <c r="S1978" s="15"/>
      <c r="T1978" s="16"/>
      <c r="U1978" s="16"/>
      <c r="V1978" s="16"/>
      <c r="W1978" s="16"/>
      <c r="X1978" s="16"/>
      <c r="Y1978" s="11"/>
      <c r="Z1978" s="11"/>
      <c r="AA1978" s="11"/>
      <c r="AB1978" s="11"/>
      <c r="AC1978" s="11"/>
      <c r="AD1978" s="11"/>
    </row>
    <row r="1979">
      <c r="A1979" s="10"/>
      <c r="B1979" s="10"/>
      <c r="C1979" s="10"/>
      <c r="D1979" s="10"/>
      <c r="E1979" s="10"/>
      <c r="F1979" s="11"/>
      <c r="G1979" s="11"/>
      <c r="H1979" s="11"/>
      <c r="I1979" s="11"/>
      <c r="J1979" s="11" t="str">
        <f>IFERROR(__xludf.DUMMYFUNCTION("iferror(if($B1979="""", ,filter(Playoff_Stats!F:Z,Playoff_Stats!A:A=$B1979,Playoff_Stats!B:B=$A1979)))"),"")</f>
        <v/>
      </c>
      <c r="K1979" s="11"/>
      <c r="L1979" s="12"/>
      <c r="M1979" s="11"/>
      <c r="N1979" s="11"/>
      <c r="O1979" s="13"/>
      <c r="P1979" s="14"/>
      <c r="Q1979" s="13"/>
      <c r="R1979" s="13"/>
      <c r="S1979" s="15"/>
      <c r="T1979" s="16"/>
      <c r="U1979" s="16"/>
      <c r="V1979" s="16"/>
      <c r="W1979" s="16"/>
      <c r="X1979" s="16"/>
      <c r="Y1979" s="11"/>
      <c r="Z1979" s="11"/>
      <c r="AA1979" s="11"/>
      <c r="AB1979" s="11"/>
      <c r="AC1979" s="11"/>
      <c r="AD1979" s="11"/>
    </row>
    <row r="1980">
      <c r="A1980" s="10"/>
      <c r="B1980" s="10"/>
      <c r="C1980" s="10"/>
      <c r="D1980" s="10"/>
      <c r="E1980" s="10"/>
      <c r="F1980" s="11"/>
      <c r="G1980" s="11"/>
      <c r="H1980" s="11"/>
      <c r="I1980" s="11"/>
      <c r="J1980" s="11" t="str">
        <f>IFERROR(__xludf.DUMMYFUNCTION("iferror(if($B1980="""", ,filter(Playoff_Stats!F:Z,Playoff_Stats!A:A=$B1980,Playoff_Stats!B:B=$A1980)))"),"")</f>
        <v/>
      </c>
      <c r="K1980" s="11"/>
      <c r="L1980" s="12"/>
      <c r="M1980" s="11"/>
      <c r="N1980" s="11"/>
      <c r="O1980" s="13"/>
      <c r="P1980" s="14"/>
      <c r="Q1980" s="13"/>
      <c r="R1980" s="13"/>
      <c r="S1980" s="15"/>
      <c r="T1980" s="16"/>
      <c r="U1980" s="16"/>
      <c r="V1980" s="16"/>
      <c r="W1980" s="16"/>
      <c r="X1980" s="16"/>
      <c r="Y1980" s="11"/>
      <c r="Z1980" s="11"/>
      <c r="AA1980" s="11"/>
      <c r="AB1980" s="11"/>
      <c r="AC1980" s="11"/>
      <c r="AD1980" s="11"/>
    </row>
    <row r="1981">
      <c r="A1981" s="10"/>
      <c r="B1981" s="10"/>
      <c r="C1981" s="10"/>
      <c r="D1981" s="10"/>
      <c r="E1981" s="10"/>
      <c r="F1981" s="11"/>
      <c r="G1981" s="11"/>
      <c r="H1981" s="11"/>
      <c r="I1981" s="11"/>
      <c r="J1981" s="11" t="str">
        <f>IFERROR(__xludf.DUMMYFUNCTION("iferror(if($B1981="""", ,filter(Playoff_Stats!F:Z,Playoff_Stats!A:A=$B1981,Playoff_Stats!B:B=$A1981)))"),"")</f>
        <v/>
      </c>
      <c r="K1981" s="11"/>
      <c r="L1981" s="12"/>
      <c r="M1981" s="11"/>
      <c r="N1981" s="11"/>
      <c r="O1981" s="13"/>
      <c r="P1981" s="14"/>
      <c r="Q1981" s="13"/>
      <c r="R1981" s="13"/>
      <c r="S1981" s="15"/>
      <c r="T1981" s="16"/>
      <c r="U1981" s="16"/>
      <c r="V1981" s="16"/>
      <c r="W1981" s="16"/>
      <c r="X1981" s="16"/>
      <c r="Y1981" s="11"/>
      <c r="Z1981" s="11"/>
      <c r="AA1981" s="11"/>
      <c r="AB1981" s="11"/>
      <c r="AC1981" s="11"/>
      <c r="AD1981" s="11"/>
    </row>
    <row r="1982">
      <c r="A1982" s="10"/>
      <c r="B1982" s="10"/>
      <c r="C1982" s="10"/>
      <c r="D1982" s="10"/>
      <c r="E1982" s="10"/>
      <c r="F1982" s="11"/>
      <c r="G1982" s="11"/>
      <c r="H1982" s="11"/>
      <c r="I1982" s="11"/>
      <c r="J1982" s="11" t="str">
        <f>IFERROR(__xludf.DUMMYFUNCTION("iferror(if($B1982="""", ,filter(Playoff_Stats!F:Z,Playoff_Stats!A:A=$B1982,Playoff_Stats!B:B=$A1982)))"),"")</f>
        <v/>
      </c>
      <c r="K1982" s="11"/>
      <c r="L1982" s="12"/>
      <c r="M1982" s="11"/>
      <c r="N1982" s="11"/>
      <c r="O1982" s="13"/>
      <c r="P1982" s="14"/>
      <c r="Q1982" s="13"/>
      <c r="R1982" s="13"/>
      <c r="S1982" s="15"/>
      <c r="T1982" s="16"/>
      <c r="U1982" s="16"/>
      <c r="V1982" s="16"/>
      <c r="W1982" s="16"/>
      <c r="X1982" s="16"/>
      <c r="Y1982" s="11"/>
      <c r="Z1982" s="11"/>
      <c r="AA1982" s="11"/>
      <c r="AB1982" s="11"/>
      <c r="AC1982" s="11"/>
      <c r="AD1982" s="11"/>
    </row>
    <row r="1983">
      <c r="A1983" s="10"/>
      <c r="B1983" s="10"/>
      <c r="C1983" s="10"/>
      <c r="D1983" s="10"/>
      <c r="E1983" s="10"/>
      <c r="F1983" s="11"/>
      <c r="G1983" s="11"/>
      <c r="H1983" s="11"/>
      <c r="I1983" s="11"/>
      <c r="J1983" s="11" t="str">
        <f>IFERROR(__xludf.DUMMYFUNCTION("iferror(if($B1983="""", ,filter(Playoff_Stats!F:Z,Playoff_Stats!A:A=$B1983,Playoff_Stats!B:B=$A1983)))"),"")</f>
        <v/>
      </c>
      <c r="K1983" s="11"/>
      <c r="L1983" s="12"/>
      <c r="M1983" s="11"/>
      <c r="N1983" s="11"/>
      <c r="O1983" s="13"/>
      <c r="P1983" s="14"/>
      <c r="Q1983" s="13"/>
      <c r="R1983" s="13"/>
      <c r="S1983" s="15"/>
      <c r="T1983" s="16"/>
      <c r="U1983" s="16"/>
      <c r="V1983" s="16"/>
      <c r="W1983" s="16"/>
      <c r="X1983" s="16"/>
      <c r="Y1983" s="11"/>
      <c r="Z1983" s="11"/>
      <c r="AA1983" s="11"/>
      <c r="AB1983" s="11"/>
      <c r="AC1983" s="11"/>
      <c r="AD1983" s="11"/>
    </row>
    <row r="1984">
      <c r="A1984" s="10"/>
      <c r="B1984" s="10"/>
      <c r="C1984" s="10"/>
      <c r="D1984" s="10"/>
      <c r="E1984" s="10"/>
      <c r="F1984" s="11"/>
      <c r="G1984" s="11"/>
      <c r="H1984" s="11"/>
      <c r="I1984" s="11"/>
      <c r="J1984" s="11" t="str">
        <f>IFERROR(__xludf.DUMMYFUNCTION("iferror(if($B1984="""", ,filter(Playoff_Stats!F:Z,Playoff_Stats!A:A=$B1984,Playoff_Stats!B:B=$A1984)))"),"")</f>
        <v/>
      </c>
      <c r="K1984" s="11"/>
      <c r="L1984" s="12"/>
      <c r="M1984" s="11"/>
      <c r="N1984" s="11"/>
      <c r="O1984" s="13"/>
      <c r="P1984" s="14"/>
      <c r="Q1984" s="13"/>
      <c r="R1984" s="13"/>
      <c r="S1984" s="15"/>
      <c r="T1984" s="16"/>
      <c r="U1984" s="16"/>
      <c r="V1984" s="16"/>
      <c r="W1984" s="16"/>
      <c r="X1984" s="16"/>
      <c r="Y1984" s="11"/>
      <c r="Z1984" s="11"/>
      <c r="AA1984" s="11"/>
      <c r="AB1984" s="11"/>
      <c r="AC1984" s="11"/>
      <c r="AD1984" s="11"/>
    </row>
    <row r="1985">
      <c r="A1985" s="10"/>
      <c r="B1985" s="10"/>
      <c r="C1985" s="10"/>
      <c r="D1985" s="10"/>
      <c r="E1985" s="10"/>
      <c r="F1985" s="11"/>
      <c r="G1985" s="11"/>
      <c r="H1985" s="11"/>
      <c r="I1985" s="11"/>
      <c r="J1985" s="11" t="str">
        <f>IFERROR(__xludf.DUMMYFUNCTION("iferror(if($B1985="""", ,filter(Playoff_Stats!F:Z,Playoff_Stats!A:A=$B1985,Playoff_Stats!B:B=$A1985)))"),"")</f>
        <v/>
      </c>
      <c r="K1985" s="11"/>
      <c r="L1985" s="12"/>
      <c r="M1985" s="11"/>
      <c r="N1985" s="11"/>
      <c r="O1985" s="13"/>
      <c r="P1985" s="14"/>
      <c r="Q1985" s="13"/>
      <c r="R1985" s="13"/>
      <c r="S1985" s="15"/>
      <c r="T1985" s="16"/>
      <c r="U1985" s="16"/>
      <c r="V1985" s="16"/>
      <c r="W1985" s="16"/>
      <c r="X1985" s="16"/>
      <c r="Y1985" s="11"/>
      <c r="Z1985" s="11"/>
      <c r="AA1985" s="11"/>
      <c r="AB1985" s="11"/>
      <c r="AC1985" s="11"/>
      <c r="AD1985" s="11"/>
    </row>
    <row r="1986">
      <c r="A1986" s="10"/>
      <c r="B1986" s="10"/>
      <c r="C1986" s="10"/>
      <c r="D1986" s="10"/>
      <c r="E1986" s="10"/>
      <c r="F1986" s="11"/>
      <c r="G1986" s="11"/>
      <c r="H1986" s="11"/>
      <c r="I1986" s="11"/>
      <c r="J1986" s="11" t="str">
        <f>IFERROR(__xludf.DUMMYFUNCTION("iferror(if($B1986="""", ,filter(Playoff_Stats!F:Z,Playoff_Stats!A:A=$B1986,Playoff_Stats!B:B=$A1986)))"),"")</f>
        <v/>
      </c>
      <c r="K1986" s="11"/>
      <c r="L1986" s="12"/>
      <c r="M1986" s="11"/>
      <c r="N1986" s="11"/>
      <c r="O1986" s="13"/>
      <c r="P1986" s="14"/>
      <c r="Q1986" s="13"/>
      <c r="R1986" s="13"/>
      <c r="S1986" s="15"/>
      <c r="T1986" s="16"/>
      <c r="U1986" s="16"/>
      <c r="V1986" s="16"/>
      <c r="W1986" s="16"/>
      <c r="X1986" s="16"/>
      <c r="Y1986" s="11"/>
      <c r="Z1986" s="11"/>
      <c r="AA1986" s="11"/>
      <c r="AB1986" s="11"/>
      <c r="AC1986" s="11"/>
      <c r="AD1986" s="11"/>
    </row>
    <row r="1987">
      <c r="A1987" s="10"/>
      <c r="B1987" s="10"/>
      <c r="C1987" s="10"/>
      <c r="D1987" s="10"/>
      <c r="E1987" s="10"/>
      <c r="F1987" s="11"/>
      <c r="G1987" s="11"/>
      <c r="H1987" s="11"/>
      <c r="I1987" s="11"/>
      <c r="J1987" s="11" t="str">
        <f>IFERROR(__xludf.DUMMYFUNCTION("iferror(if($B1987="""", ,filter(Playoff_Stats!F:Z,Playoff_Stats!A:A=$B1987,Playoff_Stats!B:B=$A1987)))"),"")</f>
        <v/>
      </c>
      <c r="K1987" s="11"/>
      <c r="L1987" s="12"/>
      <c r="M1987" s="11"/>
      <c r="N1987" s="11"/>
      <c r="O1987" s="13"/>
      <c r="P1987" s="14"/>
      <c r="Q1987" s="13"/>
      <c r="R1987" s="13"/>
      <c r="S1987" s="15"/>
      <c r="T1987" s="16"/>
      <c r="U1987" s="16"/>
      <c r="V1987" s="16"/>
      <c r="W1987" s="16"/>
      <c r="X1987" s="16"/>
      <c r="Y1987" s="11"/>
      <c r="Z1987" s="11"/>
      <c r="AA1987" s="11"/>
      <c r="AB1987" s="11"/>
      <c r="AC1987" s="11"/>
      <c r="AD1987" s="11"/>
    </row>
    <row r="1988">
      <c r="A1988" s="10"/>
      <c r="B1988" s="10"/>
      <c r="C1988" s="10"/>
      <c r="D1988" s="10"/>
      <c r="E1988" s="10"/>
      <c r="F1988" s="11"/>
      <c r="G1988" s="11"/>
      <c r="H1988" s="11"/>
      <c r="I1988" s="11"/>
      <c r="J1988" s="11" t="str">
        <f>IFERROR(__xludf.DUMMYFUNCTION("iferror(if($B1988="""", ,filter(Playoff_Stats!F:Z,Playoff_Stats!A:A=$B1988,Playoff_Stats!B:B=$A1988)))"),"")</f>
        <v/>
      </c>
      <c r="K1988" s="11"/>
      <c r="L1988" s="12"/>
      <c r="M1988" s="11"/>
      <c r="N1988" s="11"/>
      <c r="O1988" s="13"/>
      <c r="P1988" s="14"/>
      <c r="Q1988" s="13"/>
      <c r="R1988" s="13"/>
      <c r="S1988" s="15"/>
      <c r="T1988" s="16"/>
      <c r="U1988" s="16"/>
      <c r="V1988" s="16"/>
      <c r="W1988" s="16"/>
      <c r="X1988" s="16"/>
      <c r="Y1988" s="11"/>
      <c r="Z1988" s="11"/>
      <c r="AA1988" s="11"/>
      <c r="AB1988" s="11"/>
      <c r="AC1988" s="11"/>
      <c r="AD1988" s="11"/>
    </row>
    <row r="1989">
      <c r="A1989" s="10"/>
      <c r="B1989" s="10"/>
      <c r="C1989" s="10"/>
      <c r="D1989" s="10"/>
      <c r="E1989" s="10"/>
      <c r="F1989" s="11"/>
      <c r="G1989" s="11"/>
      <c r="H1989" s="11"/>
      <c r="I1989" s="11"/>
      <c r="J1989" s="11" t="str">
        <f>IFERROR(__xludf.DUMMYFUNCTION("iferror(if($B1989="""", ,filter(Playoff_Stats!F:Z,Playoff_Stats!A:A=$B1989,Playoff_Stats!B:B=$A1989)))"),"")</f>
        <v/>
      </c>
      <c r="K1989" s="11"/>
      <c r="L1989" s="12"/>
      <c r="M1989" s="11"/>
      <c r="N1989" s="11"/>
      <c r="O1989" s="13"/>
      <c r="P1989" s="14"/>
      <c r="Q1989" s="13"/>
      <c r="R1989" s="13"/>
      <c r="S1989" s="15"/>
      <c r="T1989" s="16"/>
      <c r="U1989" s="16"/>
      <c r="V1989" s="16"/>
      <c r="W1989" s="16"/>
      <c r="X1989" s="16"/>
      <c r="Y1989" s="11"/>
      <c r="Z1989" s="11"/>
      <c r="AA1989" s="11"/>
      <c r="AB1989" s="11"/>
      <c r="AC1989" s="11"/>
      <c r="AD1989" s="11"/>
    </row>
    <row r="1990">
      <c r="A1990" s="10"/>
      <c r="B1990" s="10"/>
      <c r="C1990" s="10"/>
      <c r="D1990" s="10"/>
      <c r="E1990" s="10"/>
      <c r="F1990" s="11"/>
      <c r="G1990" s="11"/>
      <c r="H1990" s="11"/>
      <c r="I1990" s="11"/>
      <c r="J1990" s="11" t="str">
        <f>IFERROR(__xludf.DUMMYFUNCTION("iferror(if($B1990="""", ,filter(Playoff_Stats!F:Z,Playoff_Stats!A:A=$B1990,Playoff_Stats!B:B=$A1990)))"),"")</f>
        <v/>
      </c>
      <c r="K1990" s="11"/>
      <c r="L1990" s="12"/>
      <c r="M1990" s="11"/>
      <c r="N1990" s="11"/>
      <c r="O1990" s="13"/>
      <c r="P1990" s="14"/>
      <c r="Q1990" s="13"/>
      <c r="R1990" s="13"/>
      <c r="S1990" s="15"/>
      <c r="T1990" s="16"/>
      <c r="U1990" s="16"/>
      <c r="V1990" s="16"/>
      <c r="W1990" s="16"/>
      <c r="X1990" s="16"/>
      <c r="Y1990" s="11"/>
      <c r="Z1990" s="11"/>
      <c r="AA1990" s="11"/>
      <c r="AB1990" s="11"/>
      <c r="AC1990" s="11"/>
      <c r="AD1990" s="11"/>
    </row>
    <row r="1991">
      <c r="A1991" s="10"/>
      <c r="B1991" s="10"/>
      <c r="C1991" s="10"/>
      <c r="D1991" s="10"/>
      <c r="E1991" s="10"/>
      <c r="F1991" s="11"/>
      <c r="G1991" s="11"/>
      <c r="H1991" s="11"/>
      <c r="I1991" s="11"/>
      <c r="J1991" s="11" t="str">
        <f>IFERROR(__xludf.DUMMYFUNCTION("iferror(if($B1991="""", ,filter(Playoff_Stats!F:Z,Playoff_Stats!A:A=$B1991,Playoff_Stats!B:B=$A1991)))"),"")</f>
        <v/>
      </c>
      <c r="K1991" s="11"/>
      <c r="L1991" s="12"/>
      <c r="M1991" s="11"/>
      <c r="N1991" s="11"/>
      <c r="O1991" s="13"/>
      <c r="P1991" s="14"/>
      <c r="Q1991" s="13"/>
      <c r="R1991" s="13"/>
      <c r="S1991" s="15"/>
      <c r="T1991" s="16"/>
      <c r="U1991" s="16"/>
      <c r="V1991" s="16"/>
      <c r="W1991" s="16"/>
      <c r="X1991" s="16"/>
      <c r="Y1991" s="11"/>
      <c r="Z1991" s="11"/>
      <c r="AA1991" s="11"/>
      <c r="AB1991" s="11"/>
      <c r="AC1991" s="11"/>
      <c r="AD1991" s="11"/>
    </row>
    <row r="1992">
      <c r="A1992" s="10"/>
      <c r="B1992" s="10"/>
      <c r="C1992" s="10"/>
      <c r="D1992" s="10"/>
      <c r="E1992" s="10"/>
      <c r="F1992" s="11"/>
      <c r="G1992" s="11"/>
      <c r="H1992" s="11"/>
      <c r="I1992" s="11"/>
      <c r="J1992" s="11" t="str">
        <f>IFERROR(__xludf.DUMMYFUNCTION("iferror(if($B1992="""", ,filter(Playoff_Stats!F:Z,Playoff_Stats!A:A=$B1992,Playoff_Stats!B:B=$A1992)))"),"")</f>
        <v/>
      </c>
      <c r="K1992" s="11"/>
      <c r="L1992" s="12"/>
      <c r="M1992" s="11"/>
      <c r="N1992" s="11"/>
      <c r="O1992" s="13"/>
      <c r="P1992" s="14"/>
      <c r="Q1992" s="13"/>
      <c r="R1992" s="13"/>
      <c r="S1992" s="15"/>
      <c r="T1992" s="16"/>
      <c r="U1992" s="16"/>
      <c r="V1992" s="16"/>
      <c r="W1992" s="16"/>
      <c r="X1992" s="16"/>
      <c r="Y1992" s="11"/>
      <c r="Z1992" s="11"/>
      <c r="AA1992" s="11"/>
      <c r="AB1992" s="11"/>
      <c r="AC1992" s="11"/>
      <c r="AD1992" s="11"/>
    </row>
    <row r="1993">
      <c r="A1993" s="10"/>
      <c r="B1993" s="10"/>
      <c r="C1993" s="10"/>
      <c r="D1993" s="10"/>
      <c r="E1993" s="10"/>
      <c r="F1993" s="11"/>
      <c r="G1993" s="11"/>
      <c r="H1993" s="11"/>
      <c r="I1993" s="11"/>
      <c r="J1993" s="11" t="str">
        <f>IFERROR(__xludf.DUMMYFUNCTION("iferror(if($B1993="""", ,filter(Playoff_Stats!F:Z,Playoff_Stats!A:A=$B1993,Playoff_Stats!B:B=$A1993)))"),"")</f>
        <v/>
      </c>
      <c r="K1993" s="11"/>
      <c r="L1993" s="12"/>
      <c r="M1993" s="11"/>
      <c r="N1993" s="11"/>
      <c r="O1993" s="13"/>
      <c r="P1993" s="14"/>
      <c r="Q1993" s="13"/>
      <c r="R1993" s="13"/>
      <c r="S1993" s="15"/>
      <c r="T1993" s="16"/>
      <c r="U1993" s="16"/>
      <c r="V1993" s="16"/>
      <c r="W1993" s="16"/>
      <c r="X1993" s="16"/>
      <c r="Y1993" s="11"/>
      <c r="Z1993" s="11"/>
      <c r="AA1993" s="11"/>
      <c r="AB1993" s="11"/>
      <c r="AC1993" s="11"/>
      <c r="AD1993" s="11"/>
    </row>
    <row r="1994">
      <c r="A1994" s="10"/>
      <c r="B1994" s="10"/>
      <c r="C1994" s="10"/>
      <c r="D1994" s="10"/>
      <c r="E1994" s="10"/>
      <c r="F1994" s="11"/>
      <c r="G1994" s="11"/>
      <c r="H1994" s="11"/>
      <c r="I1994" s="11"/>
      <c r="J1994" s="11" t="str">
        <f>IFERROR(__xludf.DUMMYFUNCTION("iferror(if($B1994="""", ,filter(Playoff_Stats!F:Z,Playoff_Stats!A:A=$B1994,Playoff_Stats!B:B=$A1994)))"),"")</f>
        <v/>
      </c>
      <c r="K1994" s="11"/>
      <c r="L1994" s="12"/>
      <c r="M1994" s="11"/>
      <c r="N1994" s="11"/>
      <c r="O1994" s="13"/>
      <c r="P1994" s="14"/>
      <c r="Q1994" s="13"/>
      <c r="R1994" s="13"/>
      <c r="S1994" s="15"/>
      <c r="T1994" s="16"/>
      <c r="U1994" s="16"/>
      <c r="V1994" s="16"/>
      <c r="W1994" s="16"/>
      <c r="X1994" s="16"/>
      <c r="Y1994" s="11"/>
      <c r="Z1994" s="11"/>
      <c r="AA1994" s="11"/>
      <c r="AB1994" s="11"/>
      <c r="AC1994" s="11"/>
      <c r="AD1994" s="11"/>
    </row>
    <row r="1995">
      <c r="A1995" s="10"/>
      <c r="B1995" s="10"/>
      <c r="C1995" s="10"/>
      <c r="D1995" s="10"/>
      <c r="E1995" s="10"/>
      <c r="F1995" s="11"/>
      <c r="G1995" s="11"/>
      <c r="H1995" s="11"/>
      <c r="I1995" s="11"/>
      <c r="J1995" s="11" t="str">
        <f>IFERROR(__xludf.DUMMYFUNCTION("iferror(if($B1995="""", ,filter(Playoff_Stats!F:Z,Playoff_Stats!A:A=$B1995,Playoff_Stats!B:B=$A1995)))"),"")</f>
        <v/>
      </c>
      <c r="K1995" s="11"/>
      <c r="L1995" s="12"/>
      <c r="M1995" s="11"/>
      <c r="N1995" s="11"/>
      <c r="O1995" s="13"/>
      <c r="P1995" s="14"/>
      <c r="Q1995" s="13"/>
      <c r="R1995" s="13"/>
      <c r="S1995" s="15"/>
      <c r="T1995" s="16"/>
      <c r="U1995" s="16"/>
      <c r="V1995" s="16"/>
      <c r="W1995" s="16"/>
      <c r="X1995" s="16"/>
      <c r="Y1995" s="11"/>
      <c r="Z1995" s="11"/>
      <c r="AA1995" s="11"/>
      <c r="AB1995" s="11"/>
      <c r="AC1995" s="11"/>
      <c r="AD1995" s="11"/>
    </row>
    <row r="1996">
      <c r="A1996" s="10"/>
      <c r="B1996" s="10"/>
      <c r="C1996" s="10"/>
      <c r="D1996" s="10"/>
      <c r="E1996" s="10"/>
      <c r="F1996" s="11"/>
      <c r="G1996" s="11"/>
      <c r="H1996" s="11"/>
      <c r="I1996" s="11"/>
      <c r="J1996" s="11" t="str">
        <f>IFERROR(__xludf.DUMMYFUNCTION("iferror(if($B1996="""", ,filter(Playoff_Stats!F:Z,Playoff_Stats!A:A=$B1996,Playoff_Stats!B:B=$A1996)))"),"")</f>
        <v/>
      </c>
      <c r="K1996" s="11"/>
      <c r="L1996" s="12"/>
      <c r="M1996" s="11"/>
      <c r="N1996" s="11"/>
      <c r="O1996" s="13"/>
      <c r="P1996" s="14"/>
      <c r="Q1996" s="13"/>
      <c r="R1996" s="13"/>
      <c r="S1996" s="15"/>
      <c r="T1996" s="16"/>
      <c r="U1996" s="16"/>
      <c r="V1996" s="16"/>
      <c r="W1996" s="16"/>
      <c r="X1996" s="16"/>
      <c r="Y1996" s="11"/>
      <c r="Z1996" s="11"/>
      <c r="AA1996" s="11"/>
      <c r="AB1996" s="11"/>
      <c r="AC1996" s="11"/>
      <c r="AD1996" s="11"/>
    </row>
    <row r="1997">
      <c r="A1997" s="10"/>
      <c r="B1997" s="10"/>
      <c r="C1997" s="10"/>
      <c r="D1997" s="10"/>
      <c r="E1997" s="10"/>
      <c r="F1997" s="11"/>
      <c r="G1997" s="11"/>
      <c r="H1997" s="11"/>
      <c r="I1997" s="11"/>
      <c r="J1997" s="11" t="str">
        <f>IFERROR(__xludf.DUMMYFUNCTION("iferror(if($B1997="""", ,filter(Playoff_Stats!F:Z,Playoff_Stats!A:A=$B1997,Playoff_Stats!B:B=$A1997)))"),"")</f>
        <v/>
      </c>
      <c r="K1997" s="11"/>
      <c r="L1997" s="12"/>
      <c r="M1997" s="11"/>
      <c r="N1997" s="11"/>
      <c r="O1997" s="13"/>
      <c r="P1997" s="14"/>
      <c r="Q1997" s="13"/>
      <c r="R1997" s="13"/>
      <c r="S1997" s="15"/>
      <c r="T1997" s="16"/>
      <c r="U1997" s="16"/>
      <c r="V1997" s="16"/>
      <c r="W1997" s="16"/>
      <c r="X1997" s="16"/>
      <c r="Y1997" s="11"/>
      <c r="Z1997" s="11"/>
      <c r="AA1997" s="11"/>
      <c r="AB1997" s="11"/>
      <c r="AC1997" s="11"/>
      <c r="AD1997" s="11"/>
    </row>
    <row r="1998">
      <c r="A1998" s="10"/>
      <c r="B1998" s="10"/>
      <c r="C1998" s="10"/>
      <c r="D1998" s="10"/>
      <c r="E1998" s="10"/>
      <c r="F1998" s="11"/>
      <c r="G1998" s="11"/>
      <c r="H1998" s="11"/>
      <c r="I1998" s="11"/>
      <c r="J1998" s="11" t="str">
        <f>IFERROR(__xludf.DUMMYFUNCTION("iferror(if($B1998="""", ,filter(Playoff_Stats!F:Z,Playoff_Stats!A:A=$B1998,Playoff_Stats!B:B=$A1998)))"),"")</f>
        <v/>
      </c>
      <c r="K1998" s="11"/>
      <c r="L1998" s="12"/>
      <c r="M1998" s="11"/>
      <c r="N1998" s="11"/>
      <c r="O1998" s="13"/>
      <c r="P1998" s="14"/>
      <c r="Q1998" s="13"/>
      <c r="R1998" s="13"/>
      <c r="S1998" s="15"/>
      <c r="T1998" s="16"/>
      <c r="U1998" s="16"/>
      <c r="V1998" s="16"/>
      <c r="W1998" s="16"/>
      <c r="X1998" s="16"/>
      <c r="Y1998" s="11"/>
      <c r="Z1998" s="11"/>
      <c r="AA1998" s="11"/>
      <c r="AB1998" s="11"/>
      <c r="AC1998" s="11"/>
      <c r="AD1998" s="11"/>
    </row>
    <row r="1999">
      <c r="A1999" s="10"/>
      <c r="B1999" s="10"/>
      <c r="C1999" s="10"/>
      <c r="D1999" s="10"/>
      <c r="E1999" s="10"/>
      <c r="F1999" s="11"/>
      <c r="G1999" s="11"/>
      <c r="H1999" s="11"/>
      <c r="I1999" s="11"/>
      <c r="J1999" s="11" t="str">
        <f>IFERROR(__xludf.DUMMYFUNCTION("iferror(if($B1999="""", ,filter(Playoff_Stats!F:Z,Playoff_Stats!A:A=$B1999,Playoff_Stats!B:B=$A1999)))"),"")</f>
        <v/>
      </c>
      <c r="K1999" s="11"/>
      <c r="L1999" s="12"/>
      <c r="M1999" s="11"/>
      <c r="N1999" s="11"/>
      <c r="O1999" s="13"/>
      <c r="P1999" s="14"/>
      <c r="Q1999" s="13"/>
      <c r="R1999" s="13"/>
      <c r="S1999" s="15"/>
      <c r="T1999" s="16"/>
      <c r="U1999" s="16"/>
      <c r="V1999" s="16"/>
      <c r="W1999" s="16"/>
      <c r="X1999" s="16"/>
      <c r="Y1999" s="11"/>
      <c r="Z1999" s="11"/>
      <c r="AA1999" s="11"/>
      <c r="AB1999" s="11"/>
      <c r="AC1999" s="11"/>
      <c r="AD1999" s="11"/>
    </row>
    <row r="2000">
      <c r="A2000" s="10"/>
      <c r="B2000" s="10"/>
      <c r="C2000" s="10"/>
      <c r="D2000" s="10"/>
      <c r="E2000" s="10"/>
      <c r="F2000" s="11"/>
      <c r="G2000" s="11"/>
      <c r="H2000" s="11"/>
      <c r="I2000" s="11"/>
      <c r="J2000" s="11" t="str">
        <f>IFERROR(__xludf.DUMMYFUNCTION("iferror(if($B2000="""", ,filter(Playoff_Stats!F:Z,Playoff_Stats!A:A=$B2000,Playoff_Stats!B:B=$A2000)))"),"")</f>
        <v/>
      </c>
      <c r="K2000" s="11"/>
      <c r="L2000" s="12"/>
      <c r="M2000" s="11"/>
      <c r="N2000" s="11"/>
      <c r="O2000" s="13"/>
      <c r="P2000" s="14"/>
      <c r="Q2000" s="13"/>
      <c r="R2000" s="13"/>
      <c r="S2000" s="15"/>
      <c r="T2000" s="16"/>
      <c r="U2000" s="16"/>
      <c r="V2000" s="16"/>
      <c r="W2000" s="16"/>
      <c r="X2000" s="16"/>
      <c r="Y2000" s="11"/>
      <c r="Z2000" s="11"/>
      <c r="AA2000" s="11"/>
      <c r="AB2000" s="11"/>
      <c r="AC2000" s="11"/>
      <c r="AD2000" s="11"/>
    </row>
    <row r="2001">
      <c r="A2001" s="10"/>
      <c r="B2001" s="10"/>
      <c r="C2001" s="10"/>
      <c r="D2001" s="10"/>
      <c r="E2001" s="10"/>
      <c r="F2001" s="11"/>
      <c r="G2001" s="11"/>
      <c r="H2001" s="11"/>
      <c r="I2001" s="11"/>
      <c r="J2001" s="11" t="str">
        <f>IFERROR(__xludf.DUMMYFUNCTION("iferror(if($B2001="""", ,filter(Playoff_Stats!F:Z,Playoff_Stats!A:A=$B2001,Playoff_Stats!B:B=$A2001)))"),"")</f>
        <v/>
      </c>
      <c r="K2001" s="11"/>
      <c r="L2001" s="12"/>
      <c r="M2001" s="11"/>
      <c r="N2001" s="11"/>
      <c r="O2001" s="13"/>
      <c r="P2001" s="14"/>
      <c r="Q2001" s="13"/>
      <c r="R2001" s="13"/>
      <c r="S2001" s="15"/>
      <c r="T2001" s="16"/>
      <c r="U2001" s="16"/>
      <c r="V2001" s="16"/>
      <c r="W2001" s="16"/>
      <c r="X2001" s="16"/>
      <c r="Y2001" s="11"/>
      <c r="Z2001" s="11"/>
      <c r="AA2001" s="11"/>
      <c r="AB2001" s="11"/>
      <c r="AC2001" s="11"/>
      <c r="AD2001" s="11"/>
    </row>
  </sheetData>
  <conditionalFormatting sqref="A1:D2001">
    <cfRule type="expression" dxfId="3" priority="1">
      <formula>$A1="Amateur"</formula>
    </cfRule>
  </conditionalFormatting>
  <conditionalFormatting sqref="A1:D2001">
    <cfRule type="expression" dxfId="4" priority="2">
      <formula>$A1="Contender"</formula>
    </cfRule>
  </conditionalFormatting>
  <conditionalFormatting sqref="A1:D2001">
    <cfRule type="expression" dxfId="5" priority="3">
      <formula>$A1="Prospect"</formula>
    </cfRule>
  </conditionalFormatting>
  <conditionalFormatting sqref="A1:D2001">
    <cfRule type="expression" dxfId="6" priority="4">
      <formula>$A1="Challenger"</formula>
    </cfRule>
  </conditionalFormatting>
  <conditionalFormatting sqref="A1:D2001">
    <cfRule type="expression" dxfId="7" priority="5">
      <formula>$A1="Rival"</formula>
    </cfRule>
  </conditionalFormatting>
  <conditionalFormatting sqref="A1:D2001">
    <cfRule type="expression" dxfId="8" priority="6">
      <formula>$A1="Veteran"</formula>
    </cfRule>
  </conditionalFormatting>
  <conditionalFormatting sqref="A1:D2001">
    <cfRule type="expression" dxfId="9" priority="7">
      <formula>$A1="Elite"</formula>
    </cfRule>
  </conditionalFormatting>
  <conditionalFormatting sqref="A1:D2001">
    <cfRule type="expression" dxfId="10" priority="8">
      <formula>$A1="Master"</formula>
    </cfRule>
  </conditionalFormatting>
  <conditionalFormatting sqref="A1:D2001">
    <cfRule type="expression" dxfId="11" priority="9">
      <formula>$A1="Premier"</formula>
    </cfRule>
  </conditionalFormatting>
  <conditionalFormatting sqref="A1:I2001 J1:AD4 J6:AD2001">
    <cfRule type="containsBlanks" dxfId="12" priority="10">
      <formula>LEN(TRIM(A1))=0</formula>
    </cfRule>
  </conditionalFormatting>
  <conditionalFormatting sqref="E1:E2001">
    <cfRule type="cellIs" dxfId="6" priority="11" operator="equal">
      <formula>"Solar"</formula>
    </cfRule>
  </conditionalFormatting>
  <conditionalFormatting sqref="E1:E2001">
    <cfRule type="cellIs" dxfId="10" priority="12" operator="equal">
      <formula>"Lunar"</formula>
    </cfRule>
  </conditionalFormatting>
  <conditionalFormatting sqref="F1:F2001">
    <cfRule type="colorScale" priority="13">
      <colorScale>
        <cfvo type="min"/>
        <cfvo type="formula" val="50"/>
        <cfvo type="max"/>
        <color rgb="FFE06666"/>
        <color rgb="FFF6B26B"/>
        <color rgb="FF57BB8A"/>
      </colorScale>
    </cfRule>
  </conditionalFormatting>
  <conditionalFormatting sqref="G1:G2001">
    <cfRule type="colorScale" priority="14">
      <colorScale>
        <cfvo type="min"/>
        <cfvo type="formula" val="50"/>
        <cfvo type="max"/>
        <color rgb="FFE06666"/>
        <color rgb="FFF6B26B"/>
        <color rgb="FF57BB8A"/>
      </colorScale>
    </cfRule>
  </conditionalFormatting>
  <conditionalFormatting sqref="H1:H2001">
    <cfRule type="colorScale" priority="15">
      <colorScale>
        <cfvo type="min"/>
        <cfvo type="formula" val="50"/>
        <cfvo type="max"/>
        <color rgb="FFE06666"/>
        <color rgb="FFF6B26B"/>
        <color rgb="FF57BB8A"/>
      </colorScale>
    </cfRule>
  </conditionalFormatting>
  <conditionalFormatting sqref="I1:I2001">
    <cfRule type="colorScale" priority="16">
      <colorScale>
        <cfvo type="min"/>
        <cfvo type="percent" val="50"/>
        <cfvo type="max"/>
        <color rgb="FFE06666"/>
        <color rgb="FFFFD966"/>
        <color rgb="FF57BB8A"/>
      </colorScale>
    </cfRule>
  </conditionalFormatting>
  <conditionalFormatting sqref="J1:J2001">
    <cfRule type="colorScale" priority="17">
      <colorScale>
        <cfvo type="min"/>
        <cfvo type="percentile" val="50"/>
        <cfvo type="max"/>
        <color rgb="FFE06666"/>
        <color rgb="FFFFD966"/>
        <color rgb="FF57BB8A"/>
      </colorScale>
    </cfRule>
  </conditionalFormatting>
  <conditionalFormatting sqref="K1:K2001">
    <cfRule type="colorScale" priority="18">
      <colorScale>
        <cfvo type="min"/>
        <cfvo type="percent" val="50"/>
        <cfvo type="max"/>
        <color rgb="FF57BB8A"/>
        <color rgb="FFFFD966"/>
        <color rgb="FFE06666"/>
      </colorScale>
    </cfRule>
  </conditionalFormatting>
  <conditionalFormatting sqref="L1:L4 L6:L2001">
    <cfRule type="colorScale" priority="19">
      <colorScale>
        <cfvo type="min"/>
        <cfvo type="formula" val="0.5"/>
        <cfvo type="max"/>
        <color rgb="FFE06666"/>
        <color rgb="FFFFD966"/>
        <color rgb="FF57BB8A"/>
      </colorScale>
    </cfRule>
  </conditionalFormatting>
  <conditionalFormatting sqref="M1:M4 M6:M2001">
    <cfRule type="colorScale" priority="20">
      <colorScale>
        <cfvo type="min"/>
        <cfvo type="percentile" val="50"/>
        <cfvo type="max"/>
        <color rgb="FFE06666"/>
        <color rgb="FFFFD966"/>
        <color rgb="FF57BB8A"/>
      </colorScale>
    </cfRule>
  </conditionalFormatting>
  <conditionalFormatting sqref="N1:N4 N6:N2001">
    <cfRule type="colorScale" priority="21">
      <colorScale>
        <cfvo type="min"/>
        <cfvo type="percentile" val="50"/>
        <cfvo type="max"/>
        <color rgb="FFE06666"/>
        <color rgb="FFFFD966"/>
        <color rgb="FF57BB8A"/>
      </colorScale>
    </cfRule>
  </conditionalFormatting>
  <conditionalFormatting sqref="O1:O4 O6:O2001">
    <cfRule type="colorScale" priority="22">
      <colorScale>
        <cfvo type="min"/>
        <cfvo type="percentile" val="50"/>
        <cfvo type="max"/>
        <color rgb="FFE06666"/>
        <color rgb="FFFFD966"/>
        <color rgb="FF57BB8A"/>
      </colorScale>
    </cfRule>
  </conditionalFormatting>
  <conditionalFormatting sqref="P1:P4 P6:P2001">
    <cfRule type="colorScale" priority="23">
      <colorScale>
        <cfvo type="min"/>
        <cfvo type="percentile" val="50"/>
        <cfvo type="max"/>
        <color rgb="FFE06666"/>
        <color rgb="FFFFD966"/>
        <color rgb="FF57BB8A"/>
      </colorScale>
    </cfRule>
  </conditionalFormatting>
  <conditionalFormatting sqref="Q1:Q4 Q6:Q2001">
    <cfRule type="colorScale" priority="24">
      <colorScale>
        <cfvo type="min"/>
        <cfvo type="percentile" val="50"/>
        <cfvo type="max"/>
        <color rgb="FFE06666"/>
        <color rgb="FFFFD966"/>
        <color rgb="FF57BB8A"/>
      </colorScale>
    </cfRule>
  </conditionalFormatting>
  <conditionalFormatting sqref="R1:R4 R6:R2001">
    <cfRule type="colorScale" priority="25">
      <colorScale>
        <cfvo type="min"/>
        <cfvo type="percentile" val="50"/>
        <cfvo type="max"/>
        <color rgb="FFE06666"/>
        <color rgb="FFFFD966"/>
        <color rgb="FF57BB8A"/>
      </colorScale>
    </cfRule>
  </conditionalFormatting>
  <conditionalFormatting sqref="S1:S4 S6:S2001">
    <cfRule type="colorScale" priority="26">
      <colorScale>
        <cfvo type="min"/>
        <cfvo type="percentile" val="50"/>
        <cfvo type="max"/>
        <color rgb="FFE06666"/>
        <color rgb="FFFFD966"/>
        <color rgb="FF57BB8A"/>
      </colorScale>
    </cfRule>
  </conditionalFormatting>
  <conditionalFormatting sqref="T1:T4 T6:T2001">
    <cfRule type="colorScale" priority="27">
      <colorScale>
        <cfvo type="min"/>
        <cfvo type="percentile" val="50"/>
        <cfvo type="max"/>
        <color rgb="FFE06666"/>
        <color rgb="FFFFD966"/>
        <color rgb="FF57BB8A"/>
      </colorScale>
    </cfRule>
  </conditionalFormatting>
  <conditionalFormatting sqref="U1:U4 U6:U2001">
    <cfRule type="colorScale" priority="28">
      <colorScale>
        <cfvo type="min"/>
        <cfvo type="percentile" val="50"/>
        <cfvo type="max"/>
        <color rgb="FFE06666"/>
        <color rgb="FFFFD966"/>
        <color rgb="FF57BB8A"/>
      </colorScale>
    </cfRule>
  </conditionalFormatting>
  <conditionalFormatting sqref="Y1:Y4 Y6:Y2001">
    <cfRule type="colorScale" priority="29">
      <colorScale>
        <cfvo type="min"/>
        <cfvo type="max"/>
        <color rgb="FF999999"/>
        <color rgb="FF57BB8A"/>
      </colorScale>
    </cfRule>
  </conditionalFormatting>
  <conditionalFormatting sqref="Z1:Z4 Z6:Z2001">
    <cfRule type="colorScale" priority="30">
      <colorScale>
        <cfvo type="min"/>
        <cfvo type="max"/>
        <color rgb="FF999999"/>
        <color rgb="FF57BB8A"/>
      </colorScale>
    </cfRule>
  </conditionalFormatting>
  <conditionalFormatting sqref="AA1:AA4 AA6:AA2001">
    <cfRule type="colorScale" priority="31">
      <colorScale>
        <cfvo type="min"/>
        <cfvo type="max"/>
        <color rgb="FF999999"/>
        <color rgb="FF57BB8A"/>
      </colorScale>
    </cfRule>
  </conditionalFormatting>
  <conditionalFormatting sqref="V1:V4 V6:V2001">
    <cfRule type="colorScale" priority="32">
      <colorScale>
        <cfvo type="min"/>
        <cfvo type="percentile" val="50"/>
        <cfvo type="max"/>
        <color rgb="FFE06666"/>
        <color rgb="FFFFD966"/>
        <color rgb="FF57BB8A"/>
      </colorScale>
    </cfRule>
  </conditionalFormatting>
  <conditionalFormatting sqref="W1:W4 W6:W2001">
    <cfRule type="colorScale" priority="33">
      <colorScale>
        <cfvo type="min"/>
        <cfvo type="percentile" val="50"/>
        <cfvo type="max"/>
        <color rgb="FFE06666"/>
        <color rgb="FFFFD966"/>
        <color rgb="FF57BB8A"/>
      </colorScale>
    </cfRule>
  </conditionalFormatting>
  <conditionalFormatting sqref="X1:X4 X6:X2001">
    <cfRule type="colorScale" priority="34">
      <colorScale>
        <cfvo type="min"/>
        <cfvo type="percentile" val="50"/>
        <cfvo type="max"/>
        <color rgb="FFE06666"/>
        <color rgb="FFFFD966"/>
        <color rgb="FF57BB8A"/>
      </colorScale>
    </cfRule>
  </conditionalFormatting>
  <conditionalFormatting sqref="AA1:AB4 AA6:AB2001">
    <cfRule type="colorScale" priority="35">
      <colorScale>
        <cfvo type="min"/>
        <cfvo type="max"/>
        <color rgb="FF999999"/>
        <color rgb="FF57BB8A"/>
      </colorScale>
    </cfRule>
  </conditionalFormatting>
  <conditionalFormatting sqref="AC1:AC4 AC6:AC2001">
    <cfRule type="colorScale" priority="36">
      <colorScale>
        <cfvo type="min"/>
        <cfvo type="percentile" val="50"/>
        <cfvo type="max"/>
        <color rgb="FFE06666"/>
        <color rgb="FFFFD966"/>
        <color rgb="FF57BB8A"/>
      </colorScale>
    </cfRule>
  </conditionalFormatting>
  <conditionalFormatting sqref="AD1:AD4 AD6:AD2001">
    <cfRule type="colorScale" priority="37">
      <colorScale>
        <cfvo type="min"/>
        <cfvo type="percentile" val="50"/>
        <cfvo type="max"/>
        <color rgb="FFE06666"/>
        <color rgb="FFFFD966"/>
        <color rgb="FF57BB8A"/>
      </colorScale>
    </cfRule>
  </conditionalFormatting>
  <dataValidations>
    <dataValidation type="list" allowBlank="1" showErrorMessage="1" sqref="B2">
      <formula1>'Sorted Playoff RPV'!$B$5:$I$5</formula1>
    </dataValidation>
    <dataValidation type="list" allowBlank="1" showErrorMessage="1" sqref="B1">
      <formula1>"All,Premier,Master,Elite,Veteran,Rival,Challenger,Contender,Prospect,Amateur"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64" t="s">
        <v>61</v>
      </c>
      <c r="B1" s="44" t="s">
        <v>877</v>
      </c>
      <c r="C1" s="42" t="s">
        <v>5</v>
      </c>
      <c r="D1" s="45" t="s">
        <v>19</v>
      </c>
      <c r="E1" s="42" t="s">
        <v>23</v>
      </c>
    </row>
    <row r="2">
      <c r="A2" s="55" t="str">
        <f>IFERROR(__xludf.DUMMYFUNCTION("sort(query(importrange(Variables!B3,""IDR View!A6:I""),""select Col2, Col3, Col1, Col5, Col9""),3,true,4,false)"),"RSC008201")</f>
        <v>RSC008201</v>
      </c>
      <c r="B2" s="53" t="str">
        <f>IFERROR(__xludf.DUMMYFUNCTION("""COMPUTED_VALUE"""),"CatalystNEMO")</f>
        <v>CatalystNEMO</v>
      </c>
      <c r="C2" s="51" t="str">
        <f>IFERROR(__xludf.DUMMYFUNCTION("""COMPUTED_VALUE"""),"Amateur")</f>
        <v>Amateur</v>
      </c>
      <c r="D2" s="65">
        <f>IFERROR(__xludf.DUMMYFUNCTION("""COMPUTED_VALUE"""),126.93443064018042)</f>
        <v>126.9344306</v>
      </c>
      <c r="E2" s="66">
        <f>IFERROR(__xludf.DUMMYFUNCTION("""COMPUTED_VALUE"""),4.0)</f>
        <v>4</v>
      </c>
    </row>
    <row r="3">
      <c r="A3" s="55" t="str">
        <f>IFERROR(__xludf.DUMMYFUNCTION("""COMPUTED_VALUE"""),"RSC008541")</f>
        <v>RSC008541</v>
      </c>
      <c r="B3" s="60" t="str">
        <f>IFERROR(__xludf.DUMMYFUNCTION("""COMPUTED_VALUE"""),"Jito1017")</f>
        <v>Jito1017</v>
      </c>
      <c r="C3" s="55" t="str">
        <f>IFERROR(__xludf.DUMMYFUNCTION("""COMPUTED_VALUE"""),"Amateur")</f>
        <v>Amateur</v>
      </c>
      <c r="D3" s="65">
        <f>IFERROR(__xludf.DUMMYFUNCTION("""COMPUTED_VALUE"""),98.55238766449756)</f>
        <v>98.55238766</v>
      </c>
      <c r="E3" s="66">
        <f>IFERROR(__xludf.DUMMYFUNCTION("""COMPUTED_VALUE"""),16.0)</f>
        <v>16</v>
      </c>
    </row>
    <row r="4">
      <c r="A4" s="55" t="str">
        <f>IFERROR(__xludf.DUMMYFUNCTION("""COMPUTED_VALUE"""),"RSC008178")</f>
        <v>RSC008178</v>
      </c>
      <c r="B4" s="60" t="str">
        <f>IFERROR(__xludf.DUMMYFUNCTION("""COMPUTED_VALUE"""),"Bigwigglystylezz")</f>
        <v>Bigwigglystylezz</v>
      </c>
      <c r="C4" s="55" t="str">
        <f>IFERROR(__xludf.DUMMYFUNCTION("""COMPUTED_VALUE"""),"Amateur")</f>
        <v>Amateur</v>
      </c>
      <c r="D4" s="65">
        <f>IFERROR(__xludf.DUMMYFUNCTION("""COMPUTED_VALUE"""),73.67911949155078)</f>
        <v>73.67911949</v>
      </c>
      <c r="E4" s="66">
        <f>IFERROR(__xludf.DUMMYFUNCTION("""COMPUTED_VALUE"""),43.0)</f>
        <v>43</v>
      </c>
    </row>
    <row r="5">
      <c r="A5" s="55" t="str">
        <f>IFERROR(__xludf.DUMMYFUNCTION("""COMPUTED_VALUE"""),"RSC007621")</f>
        <v>RSC007621</v>
      </c>
      <c r="B5" s="60" t="str">
        <f>IFERROR(__xludf.DUMMYFUNCTION("""COMPUTED_VALUE"""),"Classy-God57")</f>
        <v>Classy-God57</v>
      </c>
      <c r="C5" s="55" t="str">
        <f>IFERROR(__xludf.DUMMYFUNCTION("""COMPUTED_VALUE"""),"Amateur")</f>
        <v>Amateur</v>
      </c>
      <c r="D5" s="65">
        <f>IFERROR(__xludf.DUMMYFUNCTION("""COMPUTED_VALUE"""),71.38544653711753)</f>
        <v>71.38544654</v>
      </c>
      <c r="E5" s="66">
        <f>IFERROR(__xludf.DUMMYFUNCTION("""COMPUTED_VALUE"""),47.0)</f>
        <v>47</v>
      </c>
    </row>
    <row r="6">
      <c r="A6" s="55" t="str">
        <f>IFERROR(__xludf.DUMMYFUNCTION("""COMPUTED_VALUE"""),"RSC007468")</f>
        <v>RSC007468</v>
      </c>
      <c r="B6" s="60" t="str">
        <f>IFERROR(__xludf.DUMMYFUNCTION("""COMPUTED_VALUE"""),"im_link42")</f>
        <v>im_link42</v>
      </c>
      <c r="C6" s="55" t="str">
        <f>IFERROR(__xludf.DUMMYFUNCTION("""COMPUTED_VALUE"""),"Amateur")</f>
        <v>Amateur</v>
      </c>
      <c r="D6" s="65">
        <f>IFERROR(__xludf.DUMMYFUNCTION("""COMPUTED_VALUE"""),67.6451175197777)</f>
        <v>67.64511752</v>
      </c>
      <c r="E6" s="66">
        <f>IFERROR(__xludf.DUMMYFUNCTION("""COMPUTED_VALUE"""),46.0)</f>
        <v>46</v>
      </c>
    </row>
    <row r="7">
      <c r="A7" s="55" t="str">
        <f>IFERROR(__xludf.DUMMYFUNCTION("""COMPUTED_VALUE"""),"RSC007571")</f>
        <v>RSC007571</v>
      </c>
      <c r="B7" s="60" t="str">
        <f>IFERROR(__xludf.DUMMYFUNCTION("""COMPUTED_VALUE"""),"StephM2_")</f>
        <v>StephM2_</v>
      </c>
      <c r="C7" s="55" t="str">
        <f>IFERROR(__xludf.DUMMYFUNCTION("""COMPUTED_VALUE"""),"Amateur")</f>
        <v>Amateur</v>
      </c>
      <c r="D7" s="65">
        <f>IFERROR(__xludf.DUMMYFUNCTION("""COMPUTED_VALUE"""),67.59713632398024)</f>
        <v>67.59713632</v>
      </c>
      <c r="E7" s="66">
        <f>IFERROR(__xludf.DUMMYFUNCTION("""COMPUTED_VALUE"""),47.0)</f>
        <v>47</v>
      </c>
    </row>
    <row r="8">
      <c r="A8" s="55" t="str">
        <f>IFERROR(__xludf.DUMMYFUNCTION("""COMPUTED_VALUE"""),"RSC000963")</f>
        <v>RSC000963</v>
      </c>
      <c r="B8" s="60" t="str">
        <f>IFERROR(__xludf.DUMMYFUNCTION("""COMPUTED_VALUE"""),"Sup3rm4n")</f>
        <v>Sup3rm4n</v>
      </c>
      <c r="C8" s="55" t="str">
        <f>IFERROR(__xludf.DUMMYFUNCTION("""COMPUTED_VALUE"""),"Amateur")</f>
        <v>Amateur</v>
      </c>
      <c r="D8" s="65">
        <f>IFERROR(__xludf.DUMMYFUNCTION("""COMPUTED_VALUE"""),67.41423923974222)</f>
        <v>67.41423924</v>
      </c>
      <c r="E8" s="66">
        <f>IFERROR(__xludf.DUMMYFUNCTION("""COMPUTED_VALUE"""),55.0)</f>
        <v>55</v>
      </c>
    </row>
    <row r="9">
      <c r="A9" s="55" t="str">
        <f>IFERROR(__xludf.DUMMYFUNCTION("""COMPUTED_VALUE"""),"RSC000086")</f>
        <v>RSC000086</v>
      </c>
      <c r="B9" s="60" t="str">
        <f>IFERROR(__xludf.DUMMYFUNCTION("""COMPUTED_VALUE"""),"Stale Popcorn")</f>
        <v>Stale Popcorn</v>
      </c>
      <c r="C9" s="55" t="str">
        <f>IFERROR(__xludf.DUMMYFUNCTION("""COMPUTED_VALUE"""),"Amateur")</f>
        <v>Amateur</v>
      </c>
      <c r="D9" s="65">
        <f>IFERROR(__xludf.DUMMYFUNCTION("""COMPUTED_VALUE"""),66.9422663409696)</f>
        <v>66.94226634</v>
      </c>
      <c r="E9" s="66">
        <f>IFERROR(__xludf.DUMMYFUNCTION("""COMPUTED_VALUE"""),32.0)</f>
        <v>32</v>
      </c>
    </row>
    <row r="10">
      <c r="A10" s="55" t="str">
        <f>IFERROR(__xludf.DUMMYFUNCTION("""COMPUTED_VALUE"""),"RSC008136")</f>
        <v>RSC008136</v>
      </c>
      <c r="B10" s="60" t="str">
        <f>IFERROR(__xludf.DUMMYFUNCTION("""COMPUTED_VALUE"""),"GeneralLeigh91")</f>
        <v>GeneralLeigh91</v>
      </c>
      <c r="C10" s="55" t="str">
        <f>IFERROR(__xludf.DUMMYFUNCTION("""COMPUTED_VALUE"""),"Amateur")</f>
        <v>Amateur</v>
      </c>
      <c r="D10" s="65">
        <f>IFERROR(__xludf.DUMMYFUNCTION("""COMPUTED_VALUE"""),66.60528714472376)</f>
        <v>66.60528714</v>
      </c>
      <c r="E10" s="66">
        <f>IFERROR(__xludf.DUMMYFUNCTION("""COMPUTED_VALUE"""),50.0)</f>
        <v>50</v>
      </c>
    </row>
    <row r="11">
      <c r="A11" s="55" t="str">
        <f>IFERROR(__xludf.DUMMYFUNCTION("""COMPUTED_VALUE"""),"RSC008441")</f>
        <v>RSC008441</v>
      </c>
      <c r="B11" s="60" t="str">
        <f>IFERROR(__xludf.DUMMYFUNCTION("""COMPUTED_VALUE"""),"Izumi._._.")</f>
        <v>Izumi._._.</v>
      </c>
      <c r="C11" s="55" t="str">
        <f>IFERROR(__xludf.DUMMYFUNCTION("""COMPUTED_VALUE"""),"Amateur")</f>
        <v>Amateur</v>
      </c>
      <c r="D11" s="65">
        <f>IFERROR(__xludf.DUMMYFUNCTION("""COMPUTED_VALUE"""),64.08128424845688)</f>
        <v>64.08128425</v>
      </c>
      <c r="E11" s="66">
        <f>IFERROR(__xludf.DUMMYFUNCTION("""COMPUTED_VALUE"""),56.0)</f>
        <v>56</v>
      </c>
    </row>
    <row r="12">
      <c r="A12" s="55" t="str">
        <f>IFERROR(__xludf.DUMMYFUNCTION("""COMPUTED_VALUE"""),"RSC008227")</f>
        <v>RSC008227</v>
      </c>
      <c r="B12" s="60" t="str">
        <f>IFERROR(__xludf.DUMMYFUNCTION("""COMPUTED_VALUE"""),"batman")</f>
        <v>batman</v>
      </c>
      <c r="C12" s="55" t="str">
        <f>IFERROR(__xludf.DUMMYFUNCTION("""COMPUTED_VALUE"""),"Amateur")</f>
        <v>Amateur</v>
      </c>
      <c r="D12" s="65">
        <f>IFERROR(__xludf.DUMMYFUNCTION("""COMPUTED_VALUE"""),62.75653641242059)</f>
        <v>62.75653641</v>
      </c>
      <c r="E12" s="66">
        <f>IFERROR(__xludf.DUMMYFUNCTION("""COMPUTED_VALUE"""),12.0)</f>
        <v>12</v>
      </c>
    </row>
    <row r="13">
      <c r="A13" s="55" t="str">
        <f>IFERROR(__xludf.DUMMYFUNCTION("""COMPUTED_VALUE"""),"RSC008092")</f>
        <v>RSC008092</v>
      </c>
      <c r="B13" s="60" t="str">
        <f>IFERROR(__xludf.DUMMYFUNCTION("""COMPUTED_VALUE"""),"ImPodz")</f>
        <v>ImPodz</v>
      </c>
      <c r="C13" s="55" t="str">
        <f>IFERROR(__xludf.DUMMYFUNCTION("""COMPUTED_VALUE"""),"Amateur")</f>
        <v>Amateur</v>
      </c>
      <c r="D13" s="65">
        <f>IFERROR(__xludf.DUMMYFUNCTION("""COMPUTED_VALUE"""),59.7024205811802)</f>
        <v>59.70242058</v>
      </c>
      <c r="E13" s="66">
        <f>IFERROR(__xludf.DUMMYFUNCTION("""COMPUTED_VALUE"""),28.0)</f>
        <v>28</v>
      </c>
    </row>
    <row r="14">
      <c r="A14" s="55" t="str">
        <f>IFERROR(__xludf.DUMMYFUNCTION("""COMPUTED_VALUE"""),"RSC007270")</f>
        <v>RSC007270</v>
      </c>
      <c r="B14" s="60" t="str">
        <f>IFERROR(__xludf.DUMMYFUNCTION("""COMPUTED_VALUE"""),"D0pey killer")</f>
        <v>D0pey killer</v>
      </c>
      <c r="C14" s="55" t="str">
        <f>IFERROR(__xludf.DUMMYFUNCTION("""COMPUTED_VALUE"""),"Amateur")</f>
        <v>Amateur</v>
      </c>
      <c r="D14" s="65">
        <f>IFERROR(__xludf.DUMMYFUNCTION("""COMPUTED_VALUE"""),59.51264956267918)</f>
        <v>59.51264956</v>
      </c>
      <c r="E14" s="66">
        <f>IFERROR(__xludf.DUMMYFUNCTION("""COMPUTED_VALUE"""),48.0)</f>
        <v>48</v>
      </c>
    </row>
    <row r="15">
      <c r="A15" s="55" t="str">
        <f>IFERROR(__xludf.DUMMYFUNCTION("""COMPUTED_VALUE"""),"RSC008193")</f>
        <v>RSC008193</v>
      </c>
      <c r="B15" s="60" t="str">
        <f>IFERROR(__xludf.DUMMYFUNCTION("""COMPUTED_VALUE"""),"RL Camaro")</f>
        <v>RL Camaro</v>
      </c>
      <c r="C15" s="55" t="str">
        <f>IFERROR(__xludf.DUMMYFUNCTION("""COMPUTED_VALUE"""),"Amateur")</f>
        <v>Amateur</v>
      </c>
      <c r="D15" s="65">
        <f>IFERROR(__xludf.DUMMYFUNCTION("""COMPUTED_VALUE"""),59.46436549120326)</f>
        <v>59.46436549</v>
      </c>
      <c r="E15" s="66">
        <f>IFERROR(__xludf.DUMMYFUNCTION("""COMPUTED_VALUE"""),51.0)</f>
        <v>51</v>
      </c>
    </row>
    <row r="16">
      <c r="A16" s="55" t="str">
        <f>IFERROR(__xludf.DUMMYFUNCTION("""COMPUTED_VALUE"""),"RSC007852")</f>
        <v>RSC007852</v>
      </c>
      <c r="B16" s="60" t="str">
        <f>IFERROR(__xludf.DUMMYFUNCTION("""COMPUTED_VALUE"""),"Medicmac121")</f>
        <v>Medicmac121</v>
      </c>
      <c r="C16" s="55" t="str">
        <f>IFERROR(__xludf.DUMMYFUNCTION("""COMPUTED_VALUE"""),"Amateur")</f>
        <v>Amateur</v>
      </c>
      <c r="D16" s="65">
        <f>IFERROR(__xludf.DUMMYFUNCTION("""COMPUTED_VALUE"""),59.29091412043735)</f>
        <v>59.29091412</v>
      </c>
      <c r="E16" s="66">
        <f>IFERROR(__xludf.DUMMYFUNCTION("""COMPUTED_VALUE"""),44.0)</f>
        <v>44</v>
      </c>
    </row>
    <row r="17">
      <c r="A17" s="55" t="str">
        <f>IFERROR(__xludf.DUMMYFUNCTION("""COMPUTED_VALUE"""),"RSC002713")</f>
        <v>RSC002713</v>
      </c>
      <c r="B17" s="60" t="str">
        <f>IFERROR(__xludf.DUMMYFUNCTION("""COMPUTED_VALUE"""),"TimmyIU20")</f>
        <v>TimmyIU20</v>
      </c>
      <c r="C17" s="55" t="str">
        <f>IFERROR(__xludf.DUMMYFUNCTION("""COMPUTED_VALUE"""),"Amateur")</f>
        <v>Amateur</v>
      </c>
      <c r="D17" s="65">
        <f>IFERROR(__xludf.DUMMYFUNCTION("""COMPUTED_VALUE"""),57.864552560707395)</f>
        <v>57.86455256</v>
      </c>
      <c r="E17" s="66">
        <f>IFERROR(__xludf.DUMMYFUNCTION("""COMPUTED_VALUE"""),32.0)</f>
        <v>32</v>
      </c>
    </row>
    <row r="18">
      <c r="A18" s="55" t="str">
        <f>IFERROR(__xludf.DUMMYFUNCTION("""COMPUTED_VALUE"""),"RSC007581")</f>
        <v>RSC007581</v>
      </c>
      <c r="B18" s="60" t="str">
        <f>IFERROR(__xludf.DUMMYFUNCTION("""COMPUTED_VALUE"""),"Wrecklessjay02")</f>
        <v>Wrecklessjay02</v>
      </c>
      <c r="C18" s="55" t="str">
        <f>IFERROR(__xludf.DUMMYFUNCTION("""COMPUTED_VALUE"""),"Amateur")</f>
        <v>Amateur</v>
      </c>
      <c r="D18" s="65">
        <f>IFERROR(__xludf.DUMMYFUNCTION("""COMPUTED_VALUE"""),56.90245359791163)</f>
        <v>56.9024536</v>
      </c>
      <c r="E18" s="66">
        <f>IFERROR(__xludf.DUMMYFUNCTION("""COMPUTED_VALUE"""),47.0)</f>
        <v>47</v>
      </c>
    </row>
    <row r="19">
      <c r="A19" s="55" t="str">
        <f>IFERROR(__xludf.DUMMYFUNCTION("""COMPUTED_VALUE"""),"RSC006375")</f>
        <v>RSC006375</v>
      </c>
      <c r="B19" s="60" t="str">
        <f>IFERROR(__xludf.DUMMYFUNCTION("""COMPUTED_VALUE"""),"Rich-Rollin6060")</f>
        <v>Rich-Rollin6060</v>
      </c>
      <c r="C19" s="55" t="str">
        <f>IFERROR(__xludf.DUMMYFUNCTION("""COMPUTED_VALUE"""),"Amateur")</f>
        <v>Amateur</v>
      </c>
      <c r="D19" s="65">
        <f>IFERROR(__xludf.DUMMYFUNCTION("""COMPUTED_VALUE"""),55.72317975002479)</f>
        <v>55.72317975</v>
      </c>
      <c r="E19" s="66">
        <f>IFERROR(__xludf.DUMMYFUNCTION("""COMPUTED_VALUE"""),42.0)</f>
        <v>42</v>
      </c>
    </row>
    <row r="20">
      <c r="A20" s="55" t="str">
        <f>IFERROR(__xludf.DUMMYFUNCTION("""COMPUTED_VALUE"""),"RSC008130")</f>
        <v>RSC008130</v>
      </c>
      <c r="B20" s="60" t="str">
        <f>IFERROR(__xludf.DUMMYFUNCTION("""COMPUTED_VALUE"""),"BeardedFrodo1")</f>
        <v>BeardedFrodo1</v>
      </c>
      <c r="C20" s="55" t="str">
        <f>IFERROR(__xludf.DUMMYFUNCTION("""COMPUTED_VALUE"""),"Amateur")</f>
        <v>Amateur</v>
      </c>
      <c r="D20" s="65">
        <f>IFERROR(__xludf.DUMMYFUNCTION("""COMPUTED_VALUE"""),55.56976004363583)</f>
        <v>55.56976004</v>
      </c>
      <c r="E20" s="66">
        <f>IFERROR(__xludf.DUMMYFUNCTION("""COMPUTED_VALUE"""),55.0)</f>
        <v>55</v>
      </c>
    </row>
    <row r="21">
      <c r="A21" s="55" t="str">
        <f>IFERROR(__xludf.DUMMYFUNCTION("""COMPUTED_VALUE"""),"RSC008327")</f>
        <v>RSC008327</v>
      </c>
      <c r="B21" s="60" t="str">
        <f>IFERROR(__xludf.DUMMYFUNCTION("""COMPUTED_VALUE"""),"tempo_rl_ttv")</f>
        <v>tempo_rl_ttv</v>
      </c>
      <c r="C21" s="55" t="str">
        <f>IFERROR(__xludf.DUMMYFUNCTION("""COMPUTED_VALUE"""),"Amateur")</f>
        <v>Amateur</v>
      </c>
      <c r="D21" s="65">
        <f>IFERROR(__xludf.DUMMYFUNCTION("""COMPUTED_VALUE"""),52.56746177606754)</f>
        <v>52.56746178</v>
      </c>
      <c r="E21" s="66">
        <f>IFERROR(__xludf.DUMMYFUNCTION("""COMPUTED_VALUE"""),36.0)</f>
        <v>36</v>
      </c>
    </row>
    <row r="22">
      <c r="A22" s="55" t="str">
        <f>IFERROR(__xludf.DUMMYFUNCTION("""COMPUTED_VALUE"""),"RSC007573")</f>
        <v>RSC007573</v>
      </c>
      <c r="B22" s="60" t="str">
        <f>IFERROR(__xludf.DUMMYFUNCTION("""COMPUTED_VALUE"""),"zag_42")</f>
        <v>zag_42</v>
      </c>
      <c r="C22" s="55" t="str">
        <f>IFERROR(__xludf.DUMMYFUNCTION("""COMPUTED_VALUE"""),"Amateur")</f>
        <v>Amateur</v>
      </c>
      <c r="D22" s="65">
        <f>IFERROR(__xludf.DUMMYFUNCTION("""COMPUTED_VALUE"""),49.252886413310996)</f>
        <v>49.25288641</v>
      </c>
      <c r="E22" s="66">
        <f>IFERROR(__xludf.DUMMYFUNCTION("""COMPUTED_VALUE"""),27.0)</f>
        <v>27</v>
      </c>
    </row>
    <row r="23">
      <c r="A23" s="55" t="str">
        <f>IFERROR(__xludf.DUMMYFUNCTION("""COMPUTED_VALUE"""),"RSC004462")</f>
        <v>RSC004462</v>
      </c>
      <c r="B23" s="60" t="str">
        <f>IFERROR(__xludf.DUMMYFUNCTION("""COMPUTED_VALUE"""),"Bbcomedian")</f>
        <v>Bbcomedian</v>
      </c>
      <c r="C23" s="55" t="str">
        <f>IFERROR(__xludf.DUMMYFUNCTION("""COMPUTED_VALUE"""),"Amateur")</f>
        <v>Amateur</v>
      </c>
      <c r="D23" s="65">
        <f>IFERROR(__xludf.DUMMYFUNCTION("""COMPUTED_VALUE"""),49.05231144007971)</f>
        <v>49.05231144</v>
      </c>
      <c r="E23" s="66">
        <f>IFERROR(__xludf.DUMMYFUNCTION("""COMPUTED_VALUE"""),55.0)</f>
        <v>55</v>
      </c>
    </row>
    <row r="24">
      <c r="A24" s="55" t="str">
        <f>IFERROR(__xludf.DUMMYFUNCTION("""COMPUTED_VALUE"""),"RSC007161")</f>
        <v>RSC007161</v>
      </c>
      <c r="B24" s="60" t="str">
        <f>IFERROR(__xludf.DUMMYFUNCTION("""COMPUTED_VALUE"""),"MrAnderpants")</f>
        <v>MrAnderpants</v>
      </c>
      <c r="C24" s="55" t="str">
        <f>IFERROR(__xludf.DUMMYFUNCTION("""COMPUTED_VALUE"""),"Amateur")</f>
        <v>Amateur</v>
      </c>
      <c r="D24" s="65">
        <f>IFERROR(__xludf.DUMMYFUNCTION("""COMPUTED_VALUE"""),48.72013659312971)</f>
        <v>48.72013659</v>
      </c>
      <c r="E24" s="66">
        <f>IFERROR(__xludf.DUMMYFUNCTION("""COMPUTED_VALUE"""),11.0)</f>
        <v>11</v>
      </c>
    </row>
    <row r="25">
      <c r="A25" s="55" t="str">
        <f>IFERROR(__xludf.DUMMYFUNCTION("""COMPUTED_VALUE"""),"RSC008419")</f>
        <v>RSC008419</v>
      </c>
      <c r="B25" s="60" t="str">
        <f>IFERROR(__xludf.DUMMYFUNCTION("""COMPUTED_VALUE"""),"iSilently")</f>
        <v>iSilently</v>
      </c>
      <c r="C25" s="55" t="str">
        <f>IFERROR(__xludf.DUMMYFUNCTION("""COMPUTED_VALUE"""),"Amateur")</f>
        <v>Amateur</v>
      </c>
      <c r="D25" s="65">
        <f>IFERROR(__xludf.DUMMYFUNCTION("""COMPUTED_VALUE"""),46.117868291511904)</f>
        <v>46.11786829</v>
      </c>
      <c r="E25" s="66">
        <f>IFERROR(__xludf.DUMMYFUNCTION("""COMPUTED_VALUE"""),45.0)</f>
        <v>45</v>
      </c>
    </row>
    <row r="26">
      <c r="A26" s="55" t="str">
        <f>IFERROR(__xludf.DUMMYFUNCTION("""COMPUTED_VALUE"""),"RSC008131")</f>
        <v>RSC008131</v>
      </c>
      <c r="B26" s="60" t="str">
        <f>IFERROR(__xludf.DUMMYFUNCTION("""COMPUTED_VALUE"""),"chrisofspades")</f>
        <v>chrisofspades</v>
      </c>
      <c r="C26" s="55" t="str">
        <f>IFERROR(__xludf.DUMMYFUNCTION("""COMPUTED_VALUE"""),"Amateur")</f>
        <v>Amateur</v>
      </c>
      <c r="D26" s="65">
        <f>IFERROR(__xludf.DUMMYFUNCTION("""COMPUTED_VALUE"""),45.22767462395146)</f>
        <v>45.22767462</v>
      </c>
      <c r="E26" s="66">
        <f>IFERROR(__xludf.DUMMYFUNCTION("""COMPUTED_VALUE"""),36.0)</f>
        <v>36</v>
      </c>
    </row>
    <row r="27">
      <c r="A27" s="55" t="str">
        <f>IFERROR(__xludf.DUMMYFUNCTION("""COMPUTED_VALUE"""),"RSC007216")</f>
        <v>RSC007216</v>
      </c>
      <c r="B27" s="60" t="str">
        <f>IFERROR(__xludf.DUMMYFUNCTION("""COMPUTED_VALUE"""),"ASAPxLEG")</f>
        <v>ASAPxLEG</v>
      </c>
      <c r="C27" s="55" t="str">
        <f>IFERROR(__xludf.DUMMYFUNCTION("""COMPUTED_VALUE"""),"Amateur")</f>
        <v>Amateur</v>
      </c>
      <c r="D27" s="65">
        <f>IFERROR(__xludf.DUMMYFUNCTION("""COMPUTED_VALUE"""),41.58982015505339)</f>
        <v>41.58982016</v>
      </c>
      <c r="E27" s="66">
        <f>IFERROR(__xludf.DUMMYFUNCTION("""COMPUTED_VALUE"""),51.0)</f>
        <v>51</v>
      </c>
    </row>
    <row r="28">
      <c r="A28" s="55" t="str">
        <f>IFERROR(__xludf.DUMMYFUNCTION("""COMPUTED_VALUE"""),"RSC006137")</f>
        <v>RSC006137</v>
      </c>
      <c r="B28" s="60" t="str">
        <f>IFERROR(__xludf.DUMMYFUNCTION("""COMPUTED_VALUE"""),"FULLBL00DN8V")</f>
        <v>FULLBL00DN8V</v>
      </c>
      <c r="C28" s="55" t="str">
        <f>IFERROR(__xludf.DUMMYFUNCTION("""COMPUTED_VALUE"""),"Amateur")</f>
        <v>Amateur</v>
      </c>
      <c r="D28" s="65">
        <f>IFERROR(__xludf.DUMMYFUNCTION("""COMPUTED_VALUE"""),41.43308901386139)</f>
        <v>41.43308901</v>
      </c>
      <c r="E28" s="66">
        <f>IFERROR(__xludf.DUMMYFUNCTION("""COMPUTED_VALUE"""),28.0)</f>
        <v>28</v>
      </c>
    </row>
    <row r="29">
      <c r="A29" s="55" t="str">
        <f>IFERROR(__xludf.DUMMYFUNCTION("""COMPUTED_VALUE"""),"RSC007921")</f>
        <v>RSC007921</v>
      </c>
      <c r="B29" s="60" t="str">
        <f>IFERROR(__xludf.DUMMYFUNCTION("""COMPUTED_VALUE"""),"sXCyBeast")</f>
        <v>sXCyBeast</v>
      </c>
      <c r="C29" s="55" t="str">
        <f>IFERROR(__xludf.DUMMYFUNCTION("""COMPUTED_VALUE"""),"Amateur")</f>
        <v>Amateur</v>
      </c>
      <c r="D29" s="65">
        <f>IFERROR(__xludf.DUMMYFUNCTION("""COMPUTED_VALUE"""),40.44978159359282)</f>
        <v>40.44978159</v>
      </c>
      <c r="E29" s="66">
        <f>IFERROR(__xludf.DUMMYFUNCTION("""COMPUTED_VALUE"""),56.0)</f>
        <v>56</v>
      </c>
    </row>
    <row r="30">
      <c r="A30" s="55" t="str">
        <f>IFERROR(__xludf.DUMMYFUNCTION("""COMPUTED_VALUE"""),"RSC008083")</f>
        <v>RSC008083</v>
      </c>
      <c r="B30" s="60" t="str">
        <f>IFERROR(__xludf.DUMMYFUNCTION("""COMPUTED_VALUE"""),"Rocketgirl_32")</f>
        <v>Rocketgirl_32</v>
      </c>
      <c r="C30" s="55" t="str">
        <f>IFERROR(__xludf.DUMMYFUNCTION("""COMPUTED_VALUE"""),"Amateur")</f>
        <v>Amateur</v>
      </c>
      <c r="D30" s="65">
        <f>IFERROR(__xludf.DUMMYFUNCTION("""COMPUTED_VALUE"""),39.203007185875975)</f>
        <v>39.20300719</v>
      </c>
      <c r="E30" s="66">
        <f>IFERROR(__xludf.DUMMYFUNCTION("""COMPUTED_VALUE"""),55.0)</f>
        <v>55</v>
      </c>
    </row>
    <row r="31">
      <c r="A31" s="55" t="str">
        <f>IFERROR(__xludf.DUMMYFUNCTION("""COMPUTED_VALUE"""),"RSC000654")</f>
        <v>RSC000654</v>
      </c>
      <c r="B31" s="60" t="str">
        <f>IFERROR(__xludf.DUMMYFUNCTION("""COMPUTED_VALUE"""),"Rocci")</f>
        <v>Rocci</v>
      </c>
      <c r="C31" s="55" t="str">
        <f>IFERROR(__xludf.DUMMYFUNCTION("""COMPUTED_VALUE"""),"Amateur")</f>
        <v>Amateur</v>
      </c>
      <c r="D31" s="65">
        <f>IFERROR(__xludf.DUMMYFUNCTION("""COMPUTED_VALUE"""),38.4757798476672)</f>
        <v>38.47577985</v>
      </c>
      <c r="E31" s="66">
        <f>IFERROR(__xludf.DUMMYFUNCTION("""COMPUTED_VALUE"""),4.0)</f>
        <v>4</v>
      </c>
    </row>
    <row r="32">
      <c r="A32" s="55" t="str">
        <f>IFERROR(__xludf.DUMMYFUNCTION("""COMPUTED_VALUE"""),"RSC005472")</f>
        <v>RSC005472</v>
      </c>
      <c r="B32" s="60" t="str">
        <f>IFERROR(__xludf.DUMMYFUNCTION("""COMPUTED_VALUE"""),"EngynGameOver")</f>
        <v>EngynGameOver</v>
      </c>
      <c r="C32" s="55" t="str">
        <f>IFERROR(__xludf.DUMMYFUNCTION("""COMPUTED_VALUE"""),"Amateur")</f>
        <v>Amateur</v>
      </c>
      <c r="D32" s="65">
        <f>IFERROR(__xludf.DUMMYFUNCTION("""COMPUTED_VALUE"""),31.413022189205922)</f>
        <v>31.41302219</v>
      </c>
      <c r="E32" s="66">
        <f>IFERROR(__xludf.DUMMYFUNCTION("""COMPUTED_VALUE"""),21.0)</f>
        <v>21</v>
      </c>
    </row>
    <row r="33">
      <c r="A33" s="55" t="str">
        <f>IFERROR(__xludf.DUMMYFUNCTION("""COMPUTED_VALUE"""),"RSC007462")</f>
        <v>RSC007462</v>
      </c>
      <c r="B33" s="60" t="str">
        <f>IFERROR(__xludf.DUMMYFUNCTION("""COMPUTED_VALUE"""),"Lil DizNick")</f>
        <v>Lil DizNick</v>
      </c>
      <c r="C33" s="55" t="str">
        <f>IFERROR(__xludf.DUMMYFUNCTION("""COMPUTED_VALUE"""),"Amateur")</f>
        <v>Amateur</v>
      </c>
      <c r="D33" s="65">
        <f>IFERROR(__xludf.DUMMYFUNCTION("""COMPUTED_VALUE"""),30.15896447794128)</f>
        <v>30.15896448</v>
      </c>
      <c r="E33" s="66">
        <f>IFERROR(__xludf.DUMMYFUNCTION("""COMPUTED_VALUE"""),4.0)</f>
        <v>4</v>
      </c>
    </row>
    <row r="34">
      <c r="A34" s="55" t="str">
        <f>IFERROR(__xludf.DUMMYFUNCTION("""COMPUTED_VALUE"""),"RSC000323")</f>
        <v>RSC000323</v>
      </c>
      <c r="B34" s="60" t="str">
        <f>IFERROR(__xludf.DUMMYFUNCTION("""COMPUTED_VALUE"""),"Styk75")</f>
        <v>Styk75</v>
      </c>
      <c r="C34" s="55" t="str">
        <f>IFERROR(__xludf.DUMMYFUNCTION("""COMPUTED_VALUE"""),"Amateur")</f>
        <v>Amateur</v>
      </c>
      <c r="D34" s="65">
        <f>IFERROR(__xludf.DUMMYFUNCTION("""COMPUTED_VALUE"""),29.31093525791619)</f>
        <v>29.31093526</v>
      </c>
      <c r="E34" s="66">
        <f>IFERROR(__xludf.DUMMYFUNCTION("""COMPUTED_VALUE"""),49.0)</f>
        <v>49</v>
      </c>
    </row>
    <row r="35">
      <c r="A35" s="55" t="str">
        <f>IFERROR(__xludf.DUMMYFUNCTION("""COMPUTED_VALUE"""),"RSC008213")</f>
        <v>RSC008213</v>
      </c>
      <c r="B35" s="60" t="str">
        <f>IFERROR(__xludf.DUMMYFUNCTION("""COMPUTED_VALUE"""),"SeargD")</f>
        <v>SeargD</v>
      </c>
      <c r="C35" s="55" t="str">
        <f>IFERROR(__xludf.DUMMYFUNCTION("""COMPUTED_VALUE"""),"Amateur")</f>
        <v>Amateur</v>
      </c>
      <c r="D35" s="65">
        <f>IFERROR(__xludf.DUMMYFUNCTION("""COMPUTED_VALUE"""),28.723774346762678)</f>
        <v>28.72377435</v>
      </c>
      <c r="E35" s="66">
        <f>IFERROR(__xludf.DUMMYFUNCTION("""COMPUTED_VALUE"""),40.0)</f>
        <v>40</v>
      </c>
    </row>
    <row r="36">
      <c r="A36" s="55" t="str">
        <f>IFERROR(__xludf.DUMMYFUNCTION("""COMPUTED_VALUE"""),"RSC008402")</f>
        <v>RSC008402</v>
      </c>
      <c r="B36" s="60" t="str">
        <f>IFERROR(__xludf.DUMMYFUNCTION("""COMPUTED_VALUE"""),"TTV/DucksNotKeys")</f>
        <v>TTV/DucksNotKeys</v>
      </c>
      <c r="C36" s="55" t="str">
        <f>IFERROR(__xludf.DUMMYFUNCTION("""COMPUTED_VALUE"""),"Amateur")</f>
        <v>Amateur</v>
      </c>
      <c r="D36" s="65">
        <f>IFERROR(__xludf.DUMMYFUNCTION("""COMPUTED_VALUE"""),27.646460537045737)</f>
        <v>27.64646054</v>
      </c>
      <c r="E36" s="66">
        <f>IFERROR(__xludf.DUMMYFUNCTION("""COMPUTED_VALUE"""),14.0)</f>
        <v>14</v>
      </c>
    </row>
    <row r="37">
      <c r="A37" s="55" t="str">
        <f>IFERROR(__xludf.DUMMYFUNCTION("""COMPUTED_VALUE"""),"RSC008151")</f>
        <v>RSC008151</v>
      </c>
      <c r="B37" s="60" t="str">
        <f>IFERROR(__xludf.DUMMYFUNCTION("""COMPUTED_VALUE"""),"Extrakrispybecky")</f>
        <v>Extrakrispybecky</v>
      </c>
      <c r="C37" s="55" t="str">
        <f>IFERROR(__xludf.DUMMYFUNCTION("""COMPUTED_VALUE"""),"Amateur")</f>
        <v>Amateur</v>
      </c>
      <c r="D37" s="65">
        <f>IFERROR(__xludf.DUMMYFUNCTION("""COMPUTED_VALUE"""),25.547063768002943)</f>
        <v>25.54706377</v>
      </c>
      <c r="E37" s="66">
        <f>IFERROR(__xludf.DUMMYFUNCTION("""COMPUTED_VALUE"""),16.0)</f>
        <v>16</v>
      </c>
    </row>
    <row r="38">
      <c r="A38" s="55" t="str">
        <f>IFERROR(__xludf.DUMMYFUNCTION("""COMPUTED_VALUE"""),"RSC007678")</f>
        <v>RSC007678</v>
      </c>
      <c r="B38" s="60" t="str">
        <f>IFERROR(__xludf.DUMMYFUNCTION("""COMPUTED_VALUE"""),"SavedHawk")</f>
        <v>SavedHawk</v>
      </c>
      <c r="C38" s="55" t="str">
        <f>IFERROR(__xludf.DUMMYFUNCTION("""COMPUTED_VALUE"""),"Amateur")</f>
        <v>Amateur</v>
      </c>
      <c r="D38" s="65">
        <f>IFERROR(__xludf.DUMMYFUNCTION("""COMPUTED_VALUE"""),-0.5509846670849612)</f>
        <v>-0.5509846671</v>
      </c>
      <c r="E38" s="66">
        <f>IFERROR(__xludf.DUMMYFUNCTION("""COMPUTED_VALUE"""),4.0)</f>
        <v>4</v>
      </c>
    </row>
    <row r="39">
      <c r="A39" s="55" t="str">
        <f>IFERROR(__xludf.DUMMYFUNCTION("""COMPUTED_VALUE"""),"RSC006364")</f>
        <v>RSC006364</v>
      </c>
      <c r="B39" s="60" t="str">
        <f>IFERROR(__xludf.DUMMYFUNCTION("""COMPUTED_VALUE"""),"YT_rocketbrah")</f>
        <v>YT_rocketbrah</v>
      </c>
      <c r="C39" s="55" t="str">
        <f>IFERROR(__xludf.DUMMYFUNCTION("""COMPUTED_VALUE"""),"Amateur")</f>
        <v>Amateur</v>
      </c>
      <c r="D39" s="65">
        <f>IFERROR(__xludf.DUMMYFUNCTION("""COMPUTED_VALUE"""),-5.299303725534173)</f>
        <v>-5.299303726</v>
      </c>
      <c r="E39" s="66">
        <f>IFERROR(__xludf.DUMMYFUNCTION("""COMPUTED_VALUE"""),3.0)</f>
        <v>3</v>
      </c>
    </row>
    <row r="40">
      <c r="A40" s="55" t="str">
        <f>IFERROR(__xludf.DUMMYFUNCTION("""COMPUTED_VALUE"""),"RSC008489")</f>
        <v>RSC008489</v>
      </c>
      <c r="B40" s="60" t="str">
        <f>IFERROR(__xludf.DUMMYFUNCTION("""COMPUTED_VALUE"""),"nacho_nachos2")</f>
        <v>nacho_nachos2</v>
      </c>
      <c r="C40" s="55" t="str">
        <f>IFERROR(__xludf.DUMMYFUNCTION("""COMPUTED_VALUE"""),"Amateur")</f>
        <v>Amateur</v>
      </c>
      <c r="D40" s="65">
        <f>IFERROR(__xludf.DUMMYFUNCTION("""COMPUTED_VALUE"""),-6.663296389554475)</f>
        <v>-6.66329639</v>
      </c>
      <c r="E40" s="66">
        <f>IFERROR(__xludf.DUMMYFUNCTION("""COMPUTED_VALUE"""),4.0)</f>
        <v>4</v>
      </c>
    </row>
    <row r="41">
      <c r="A41" s="55" t="str">
        <f>IFERROR(__xludf.DUMMYFUNCTION("""COMPUTED_VALUE"""),"RSC002412")</f>
        <v>RSC002412</v>
      </c>
      <c r="B41" s="60" t="str">
        <f>IFERROR(__xludf.DUMMYFUNCTION("""COMPUTED_VALUE"""),"Rosefanatic3615")</f>
        <v>Rosefanatic3615</v>
      </c>
      <c r="C41" s="55" t="str">
        <f>IFERROR(__xludf.DUMMYFUNCTION("""COMPUTED_VALUE"""),"Challenger")</f>
        <v>Challenger</v>
      </c>
      <c r="D41" s="65">
        <f>IFERROR(__xludf.DUMMYFUNCTION("""COMPUTED_VALUE"""),121.25973872794016)</f>
        <v>121.2597387</v>
      </c>
      <c r="E41" s="66">
        <f>IFERROR(__xludf.DUMMYFUNCTION("""COMPUTED_VALUE"""),56.0)</f>
        <v>56</v>
      </c>
    </row>
    <row r="42">
      <c r="A42" s="55" t="str">
        <f>IFERROR(__xludf.DUMMYFUNCTION("""COMPUTED_VALUE"""),"RSC006240")</f>
        <v>RSC006240</v>
      </c>
      <c r="B42" s="60" t="str">
        <f>IFERROR(__xludf.DUMMYFUNCTION("""COMPUTED_VALUE"""),"Canadian Gamer")</f>
        <v>Canadian Gamer</v>
      </c>
      <c r="C42" s="55" t="str">
        <f>IFERROR(__xludf.DUMMYFUNCTION("""COMPUTED_VALUE"""),"Challenger")</f>
        <v>Challenger</v>
      </c>
      <c r="D42" s="65">
        <f>IFERROR(__xludf.DUMMYFUNCTION("""COMPUTED_VALUE"""),103.16323194465882)</f>
        <v>103.1632319</v>
      </c>
      <c r="E42" s="66">
        <f>IFERROR(__xludf.DUMMYFUNCTION("""COMPUTED_VALUE"""),52.0)</f>
        <v>52</v>
      </c>
    </row>
    <row r="43">
      <c r="A43" s="55" t="str">
        <f>IFERROR(__xludf.DUMMYFUNCTION("""COMPUTED_VALUE"""),"RSC008288")</f>
        <v>RSC008288</v>
      </c>
      <c r="B43" s="60" t="str">
        <f>IFERROR(__xludf.DUMMYFUNCTION("""COMPUTED_VALUE"""),"WifiWFB")</f>
        <v>WifiWFB</v>
      </c>
      <c r="C43" s="55" t="str">
        <f>IFERROR(__xludf.DUMMYFUNCTION("""COMPUTED_VALUE"""),"Challenger")</f>
        <v>Challenger</v>
      </c>
      <c r="D43" s="65">
        <f>IFERROR(__xludf.DUMMYFUNCTION("""COMPUTED_VALUE"""),102.63537436929053)</f>
        <v>102.6353744</v>
      </c>
      <c r="E43" s="66">
        <f>IFERROR(__xludf.DUMMYFUNCTION("""COMPUTED_VALUE"""),36.0)</f>
        <v>36</v>
      </c>
    </row>
    <row r="44">
      <c r="A44" s="55" t="str">
        <f>IFERROR(__xludf.DUMMYFUNCTION("""COMPUTED_VALUE"""),"RSC000014")</f>
        <v>RSC000014</v>
      </c>
      <c r="B44" s="60" t="str">
        <f>IFERROR(__xludf.DUMMYFUNCTION("""COMPUTED_VALUE"""),"Queue")</f>
        <v>Queue</v>
      </c>
      <c r="C44" s="55" t="str">
        <f>IFERROR(__xludf.DUMMYFUNCTION("""COMPUTED_VALUE"""),"Challenger")</f>
        <v>Challenger</v>
      </c>
      <c r="D44" s="65">
        <f>IFERROR(__xludf.DUMMYFUNCTION("""COMPUTED_VALUE"""),99.3637756685939)</f>
        <v>99.36377567</v>
      </c>
      <c r="E44" s="66">
        <f>IFERROR(__xludf.DUMMYFUNCTION("""COMPUTED_VALUE"""),56.0)</f>
        <v>56</v>
      </c>
    </row>
    <row r="45">
      <c r="A45" s="55" t="str">
        <f>IFERROR(__xludf.DUMMYFUNCTION("""COMPUTED_VALUE"""),"RSC005570")</f>
        <v>RSC005570</v>
      </c>
      <c r="B45" s="60" t="str">
        <f>IFERROR(__xludf.DUMMYFUNCTION("""COMPUTED_VALUE"""),"Lupo")</f>
        <v>Lupo</v>
      </c>
      <c r="C45" s="55" t="str">
        <f>IFERROR(__xludf.DUMMYFUNCTION("""COMPUTED_VALUE"""),"Challenger")</f>
        <v>Challenger</v>
      </c>
      <c r="D45" s="65">
        <f>IFERROR(__xludf.DUMMYFUNCTION("""COMPUTED_VALUE"""),99.17743400179151)</f>
        <v>99.177434</v>
      </c>
      <c r="E45" s="66">
        <f>IFERROR(__xludf.DUMMYFUNCTION("""COMPUTED_VALUE"""),2.0)</f>
        <v>2</v>
      </c>
    </row>
    <row r="46">
      <c r="A46" s="55" t="str">
        <f>IFERROR(__xludf.DUMMYFUNCTION("""COMPUTED_VALUE"""),"RSC006477")</f>
        <v>RSC006477</v>
      </c>
      <c r="B46" s="60" t="str">
        <f>IFERROR(__xludf.DUMMYFUNCTION("""COMPUTED_VALUE"""),"XtraCrispyRL")</f>
        <v>XtraCrispyRL</v>
      </c>
      <c r="C46" s="55" t="str">
        <f>IFERROR(__xludf.DUMMYFUNCTION("""COMPUTED_VALUE"""),"Challenger")</f>
        <v>Challenger</v>
      </c>
      <c r="D46" s="65">
        <f>IFERROR(__xludf.DUMMYFUNCTION("""COMPUTED_VALUE"""),99.00857746509288)</f>
        <v>99.00857747</v>
      </c>
      <c r="E46" s="66">
        <f>IFERROR(__xludf.DUMMYFUNCTION("""COMPUTED_VALUE"""),46.0)</f>
        <v>46</v>
      </c>
    </row>
    <row r="47">
      <c r="A47" s="55" t="str">
        <f>IFERROR(__xludf.DUMMYFUNCTION("""COMPUTED_VALUE"""),"RSC007153")</f>
        <v>RSC007153</v>
      </c>
      <c r="B47" s="60" t="str">
        <f>IFERROR(__xludf.DUMMYFUNCTION("""COMPUTED_VALUE"""),"Washyymann")</f>
        <v>Washyymann</v>
      </c>
      <c r="C47" s="55" t="str">
        <f>IFERROR(__xludf.DUMMYFUNCTION("""COMPUTED_VALUE"""),"Challenger")</f>
        <v>Challenger</v>
      </c>
      <c r="D47" s="65">
        <f>IFERROR(__xludf.DUMMYFUNCTION("""COMPUTED_VALUE"""),93.10883914764779)</f>
        <v>93.10883915</v>
      </c>
      <c r="E47" s="66">
        <f>IFERROR(__xludf.DUMMYFUNCTION("""COMPUTED_VALUE"""),23.0)</f>
        <v>23</v>
      </c>
    </row>
    <row r="48">
      <c r="A48" s="55" t="str">
        <f>IFERROR(__xludf.DUMMYFUNCTION("""COMPUTED_VALUE"""),"RSC006067")</f>
        <v>RSC006067</v>
      </c>
      <c r="B48" s="60" t="str">
        <f>IFERROR(__xludf.DUMMYFUNCTION("""COMPUTED_VALUE"""),"ShinxX403")</f>
        <v>ShinxX403</v>
      </c>
      <c r="C48" s="55" t="str">
        <f>IFERROR(__xludf.DUMMYFUNCTION("""COMPUTED_VALUE"""),"Challenger")</f>
        <v>Challenger</v>
      </c>
      <c r="D48" s="65">
        <f>IFERROR(__xludf.DUMMYFUNCTION("""COMPUTED_VALUE"""),92.23189699110125)</f>
        <v>92.23189699</v>
      </c>
      <c r="E48" s="66">
        <f>IFERROR(__xludf.DUMMYFUNCTION("""COMPUTED_VALUE"""),56.0)</f>
        <v>56</v>
      </c>
    </row>
    <row r="49">
      <c r="A49" s="55" t="str">
        <f>IFERROR(__xludf.DUMMYFUNCTION("""COMPUTED_VALUE"""),"RSC008426")</f>
        <v>RSC008426</v>
      </c>
      <c r="B49" s="60" t="str">
        <f>IFERROR(__xludf.DUMMYFUNCTION("""COMPUTED_VALUE"""),"Midnight")</f>
        <v>Midnight</v>
      </c>
      <c r="C49" s="55" t="str">
        <f>IFERROR(__xludf.DUMMYFUNCTION("""COMPUTED_VALUE"""),"Challenger")</f>
        <v>Challenger</v>
      </c>
      <c r="D49" s="65">
        <f>IFERROR(__xludf.DUMMYFUNCTION("""COMPUTED_VALUE"""),90.77928271363535)</f>
        <v>90.77928271</v>
      </c>
      <c r="E49" s="66">
        <f>IFERROR(__xludf.DUMMYFUNCTION("""COMPUTED_VALUE"""),52.0)</f>
        <v>52</v>
      </c>
    </row>
    <row r="50">
      <c r="A50" s="55" t="str">
        <f>IFERROR(__xludf.DUMMYFUNCTION("""COMPUTED_VALUE"""),"RSC006177")</f>
        <v>RSC006177</v>
      </c>
      <c r="B50" s="60" t="str">
        <f>IFERROR(__xludf.DUMMYFUNCTION("""COMPUTED_VALUE"""),"Flyerrr85")</f>
        <v>Flyerrr85</v>
      </c>
      <c r="C50" s="55" t="str">
        <f>IFERROR(__xludf.DUMMYFUNCTION("""COMPUTED_VALUE"""),"Challenger")</f>
        <v>Challenger</v>
      </c>
      <c r="D50" s="65">
        <f>IFERROR(__xludf.DUMMYFUNCTION("""COMPUTED_VALUE"""),90.70248655901648)</f>
        <v>90.70248656</v>
      </c>
      <c r="E50" s="66">
        <f>IFERROR(__xludf.DUMMYFUNCTION("""COMPUTED_VALUE"""),56.0)</f>
        <v>56</v>
      </c>
    </row>
    <row r="51">
      <c r="A51" s="55" t="str">
        <f>IFERROR(__xludf.DUMMYFUNCTION("""COMPUTED_VALUE"""),"RSC008454")</f>
        <v>RSC008454</v>
      </c>
      <c r="B51" s="60" t="str">
        <f>IFERROR(__xludf.DUMMYFUNCTION("""COMPUTED_VALUE"""),"Worma")</f>
        <v>Worma</v>
      </c>
      <c r="C51" s="55" t="str">
        <f>IFERROR(__xludf.DUMMYFUNCTION("""COMPUTED_VALUE"""),"Challenger")</f>
        <v>Challenger</v>
      </c>
      <c r="D51" s="65">
        <f>IFERROR(__xludf.DUMMYFUNCTION("""COMPUTED_VALUE"""),90.26671848285659)</f>
        <v>90.26671848</v>
      </c>
      <c r="E51" s="66">
        <f>IFERROR(__xludf.DUMMYFUNCTION("""COMPUTED_VALUE"""),49.0)</f>
        <v>49</v>
      </c>
    </row>
    <row r="52">
      <c r="A52" s="55" t="str">
        <f>IFERROR(__xludf.DUMMYFUNCTION("""COMPUTED_VALUE"""),"RSC007370")</f>
        <v>RSC007370</v>
      </c>
      <c r="B52" s="60" t="str">
        <f>IFERROR(__xludf.DUMMYFUNCTION("""COMPUTED_VALUE"""),"Jarrod81535")</f>
        <v>Jarrod81535</v>
      </c>
      <c r="C52" s="55" t="str">
        <f>IFERROR(__xludf.DUMMYFUNCTION("""COMPUTED_VALUE"""),"Challenger")</f>
        <v>Challenger</v>
      </c>
      <c r="D52" s="65">
        <f>IFERROR(__xludf.DUMMYFUNCTION("""COMPUTED_VALUE"""),88.54498075690128)</f>
        <v>88.54498076</v>
      </c>
      <c r="E52" s="66">
        <f>IFERROR(__xludf.DUMMYFUNCTION("""COMPUTED_VALUE"""),54.0)</f>
        <v>54</v>
      </c>
    </row>
    <row r="53">
      <c r="A53" s="55" t="str">
        <f>IFERROR(__xludf.DUMMYFUNCTION("""COMPUTED_VALUE"""),"RSC006187")</f>
        <v>RSC006187</v>
      </c>
      <c r="B53" s="60" t="str">
        <f>IFERROR(__xludf.DUMMYFUNCTION("""COMPUTED_VALUE"""),"1999 Toyota Camry")</f>
        <v>1999 Toyota Camry</v>
      </c>
      <c r="C53" s="55" t="str">
        <f>IFERROR(__xludf.DUMMYFUNCTION("""COMPUTED_VALUE"""),"Challenger")</f>
        <v>Challenger</v>
      </c>
      <c r="D53" s="65">
        <f>IFERROR(__xludf.DUMMYFUNCTION("""COMPUTED_VALUE"""),83.12324117907116)</f>
        <v>83.12324118</v>
      </c>
      <c r="E53" s="66">
        <f>IFERROR(__xludf.DUMMYFUNCTION("""COMPUTED_VALUE"""),11.0)</f>
        <v>11</v>
      </c>
    </row>
    <row r="54">
      <c r="A54" s="55" t="str">
        <f>IFERROR(__xludf.DUMMYFUNCTION("""COMPUTED_VALUE"""),"RSC008393")</f>
        <v>RSC008393</v>
      </c>
      <c r="B54" s="60" t="str">
        <f>IFERROR(__xludf.DUMMYFUNCTION("""COMPUTED_VALUE"""),"zerajule")</f>
        <v>zerajule</v>
      </c>
      <c r="C54" s="55" t="str">
        <f>IFERROR(__xludf.DUMMYFUNCTION("""COMPUTED_VALUE"""),"Challenger")</f>
        <v>Challenger</v>
      </c>
      <c r="D54" s="65">
        <f>IFERROR(__xludf.DUMMYFUNCTION("""COMPUTED_VALUE"""),83.09658587889813)</f>
        <v>83.09658588</v>
      </c>
      <c r="E54" s="66">
        <f>IFERROR(__xludf.DUMMYFUNCTION("""COMPUTED_VALUE"""),51.0)</f>
        <v>51</v>
      </c>
    </row>
    <row r="55">
      <c r="A55" s="55" t="str">
        <f>IFERROR(__xludf.DUMMYFUNCTION("""COMPUTED_VALUE"""),"RSC008078")</f>
        <v>RSC008078</v>
      </c>
      <c r="B55" s="60" t="str">
        <f>IFERROR(__xludf.DUMMYFUNCTION("""COMPUTED_VALUE"""),"ADV3RSE.")</f>
        <v>ADV3RSE.</v>
      </c>
      <c r="C55" s="55" t="str">
        <f>IFERROR(__xludf.DUMMYFUNCTION("""COMPUTED_VALUE"""),"Challenger")</f>
        <v>Challenger</v>
      </c>
      <c r="D55" s="65">
        <f>IFERROR(__xludf.DUMMYFUNCTION("""COMPUTED_VALUE"""),82.29311794363326)</f>
        <v>82.29311794</v>
      </c>
      <c r="E55" s="66">
        <f>IFERROR(__xludf.DUMMYFUNCTION("""COMPUTED_VALUE"""),54.0)</f>
        <v>54</v>
      </c>
    </row>
    <row r="56">
      <c r="A56" s="55" t="str">
        <f>IFERROR(__xludf.DUMMYFUNCTION("""COMPUTED_VALUE"""),"RSC008260")</f>
        <v>RSC008260</v>
      </c>
      <c r="B56" s="60" t="str">
        <f>IFERROR(__xludf.DUMMYFUNCTION("""COMPUTED_VALUE"""),"Crucified6856")</f>
        <v>Crucified6856</v>
      </c>
      <c r="C56" s="55" t="str">
        <f>IFERROR(__xludf.DUMMYFUNCTION("""COMPUTED_VALUE"""),"Challenger")</f>
        <v>Challenger</v>
      </c>
      <c r="D56" s="65">
        <f>IFERROR(__xludf.DUMMYFUNCTION("""COMPUTED_VALUE"""),79.26065397857461)</f>
        <v>79.26065398</v>
      </c>
      <c r="E56" s="66">
        <f>IFERROR(__xludf.DUMMYFUNCTION("""COMPUTED_VALUE"""),49.0)</f>
        <v>49</v>
      </c>
    </row>
    <row r="57">
      <c r="A57" s="55" t="str">
        <f>IFERROR(__xludf.DUMMYFUNCTION("""COMPUTED_VALUE"""),"RSC007190")</f>
        <v>RSC007190</v>
      </c>
      <c r="B57" s="60" t="str">
        <f>IFERROR(__xludf.DUMMYFUNCTION("""COMPUTED_VALUE"""),"Cagiestsafe6")</f>
        <v>Cagiestsafe6</v>
      </c>
      <c r="C57" s="55" t="str">
        <f>IFERROR(__xludf.DUMMYFUNCTION("""COMPUTED_VALUE"""),"Challenger")</f>
        <v>Challenger</v>
      </c>
      <c r="D57" s="65">
        <f>IFERROR(__xludf.DUMMYFUNCTION("""COMPUTED_VALUE"""),78.35616460051017)</f>
        <v>78.3561646</v>
      </c>
      <c r="E57" s="66">
        <f>IFERROR(__xludf.DUMMYFUNCTION("""COMPUTED_VALUE"""),51.0)</f>
        <v>51</v>
      </c>
    </row>
    <row r="58">
      <c r="A58" s="55" t="str">
        <f>IFERROR(__xludf.DUMMYFUNCTION("""COMPUTED_VALUE"""),"RSC007885")</f>
        <v>RSC007885</v>
      </c>
      <c r="B58" s="60" t="str">
        <f>IFERROR(__xludf.DUMMYFUNCTION("""COMPUTED_VALUE"""),"Larkspur")</f>
        <v>Larkspur</v>
      </c>
      <c r="C58" s="55" t="str">
        <f>IFERROR(__xludf.DUMMYFUNCTION("""COMPUTED_VALUE"""),"Challenger")</f>
        <v>Challenger</v>
      </c>
      <c r="D58" s="65">
        <f>IFERROR(__xludf.DUMMYFUNCTION("""COMPUTED_VALUE"""),76.98777531613933)</f>
        <v>76.98777532</v>
      </c>
      <c r="E58" s="66">
        <f>IFERROR(__xludf.DUMMYFUNCTION("""COMPUTED_VALUE"""),54.0)</f>
        <v>54</v>
      </c>
    </row>
    <row r="59">
      <c r="A59" s="55" t="str">
        <f>IFERROR(__xludf.DUMMYFUNCTION("""COMPUTED_VALUE"""),"RSC008251")</f>
        <v>RSC008251</v>
      </c>
      <c r="B59" s="60" t="str">
        <f>IFERROR(__xludf.DUMMYFUNCTION("""COMPUTED_VALUE"""),"Honey x Badger3")</f>
        <v>Honey x Badger3</v>
      </c>
      <c r="C59" s="55" t="str">
        <f>IFERROR(__xludf.DUMMYFUNCTION("""COMPUTED_VALUE"""),"Challenger")</f>
        <v>Challenger</v>
      </c>
      <c r="D59" s="65">
        <f>IFERROR(__xludf.DUMMYFUNCTION("""COMPUTED_VALUE"""),75.94619083331041)</f>
        <v>75.94619083</v>
      </c>
      <c r="E59" s="66">
        <f>IFERROR(__xludf.DUMMYFUNCTION("""COMPUTED_VALUE"""),40.0)</f>
        <v>40</v>
      </c>
    </row>
    <row r="60">
      <c r="A60" s="55" t="str">
        <f>IFERROR(__xludf.DUMMYFUNCTION("""COMPUTED_VALUE"""),"RSC005603")</f>
        <v>RSC005603</v>
      </c>
      <c r="B60" s="60" t="str">
        <f>IFERROR(__xludf.DUMMYFUNCTION("""COMPUTED_VALUE"""),"Meta.Rl-")</f>
        <v>Meta.Rl-</v>
      </c>
      <c r="C60" s="55" t="str">
        <f>IFERROR(__xludf.DUMMYFUNCTION("""COMPUTED_VALUE"""),"Challenger")</f>
        <v>Challenger</v>
      </c>
      <c r="D60" s="65">
        <f>IFERROR(__xludf.DUMMYFUNCTION("""COMPUTED_VALUE"""),75.63058155835999)</f>
        <v>75.63058156</v>
      </c>
      <c r="E60" s="66">
        <f>IFERROR(__xludf.DUMMYFUNCTION("""COMPUTED_VALUE"""),49.0)</f>
        <v>49</v>
      </c>
    </row>
    <row r="61">
      <c r="A61" s="55" t="str">
        <f>IFERROR(__xludf.DUMMYFUNCTION("""COMPUTED_VALUE"""),"RSC007865")</f>
        <v>RSC007865</v>
      </c>
      <c r="B61" s="60" t="str">
        <f>IFERROR(__xludf.DUMMYFUNCTION("""COMPUTED_VALUE"""),"StoveMessiah")</f>
        <v>StoveMessiah</v>
      </c>
      <c r="C61" s="55" t="str">
        <f>IFERROR(__xludf.DUMMYFUNCTION("""COMPUTED_VALUE"""),"Challenger")</f>
        <v>Challenger</v>
      </c>
      <c r="D61" s="65">
        <f>IFERROR(__xludf.DUMMYFUNCTION("""COMPUTED_VALUE"""),75.31937367127131)</f>
        <v>75.31937367</v>
      </c>
      <c r="E61" s="66">
        <f>IFERROR(__xludf.DUMMYFUNCTION("""COMPUTED_VALUE"""),54.0)</f>
        <v>54</v>
      </c>
    </row>
    <row r="62">
      <c r="A62" s="55" t="str">
        <f>IFERROR(__xludf.DUMMYFUNCTION("""COMPUTED_VALUE"""),"RSC000233")</f>
        <v>RSC000233</v>
      </c>
      <c r="B62" s="60" t="str">
        <f>IFERROR(__xludf.DUMMYFUNCTION("""COMPUTED_VALUE"""),"LilPrsnWithAnger")</f>
        <v>LilPrsnWithAnger</v>
      </c>
      <c r="C62" s="55" t="str">
        <f>IFERROR(__xludf.DUMMYFUNCTION("""COMPUTED_VALUE"""),"Challenger")</f>
        <v>Challenger</v>
      </c>
      <c r="D62" s="65">
        <f>IFERROR(__xludf.DUMMYFUNCTION("""COMPUTED_VALUE"""),75.05653990117439)</f>
        <v>75.0565399</v>
      </c>
      <c r="E62" s="66">
        <f>IFERROR(__xludf.DUMMYFUNCTION("""COMPUTED_VALUE"""),20.0)</f>
        <v>20</v>
      </c>
    </row>
    <row r="63">
      <c r="A63" s="55" t="str">
        <f>IFERROR(__xludf.DUMMYFUNCTION("""COMPUTED_VALUE"""),"RSC004618")</f>
        <v>RSC004618</v>
      </c>
      <c r="B63" s="60" t="str">
        <f>IFERROR(__xludf.DUMMYFUNCTION("""COMPUTED_VALUE"""),"Squirrel")</f>
        <v>Squirrel</v>
      </c>
      <c r="C63" s="55" t="str">
        <f>IFERROR(__xludf.DUMMYFUNCTION("""COMPUTED_VALUE"""),"Challenger")</f>
        <v>Challenger</v>
      </c>
      <c r="D63" s="65">
        <f>IFERROR(__xludf.DUMMYFUNCTION("""COMPUTED_VALUE"""),74.42172204519919)</f>
        <v>74.42172205</v>
      </c>
      <c r="E63" s="66">
        <f>IFERROR(__xludf.DUMMYFUNCTION("""COMPUTED_VALUE"""),38.0)</f>
        <v>38</v>
      </c>
    </row>
    <row r="64">
      <c r="A64" s="55" t="str">
        <f>IFERROR(__xludf.DUMMYFUNCTION("""COMPUTED_VALUE"""),"RSC008216")</f>
        <v>RSC008216</v>
      </c>
      <c r="B64" s="60" t="str">
        <f>IFERROR(__xludf.DUMMYFUNCTION("""COMPUTED_VALUE"""),"oBlueyRL")</f>
        <v>oBlueyRL</v>
      </c>
      <c r="C64" s="55" t="str">
        <f>IFERROR(__xludf.DUMMYFUNCTION("""COMPUTED_VALUE"""),"Challenger")</f>
        <v>Challenger</v>
      </c>
      <c r="D64" s="65">
        <f>IFERROR(__xludf.DUMMYFUNCTION("""COMPUTED_VALUE"""),72.69726775491077)</f>
        <v>72.69726775</v>
      </c>
      <c r="E64" s="66">
        <f>IFERROR(__xludf.DUMMYFUNCTION("""COMPUTED_VALUE"""),19.0)</f>
        <v>19</v>
      </c>
    </row>
    <row r="65">
      <c r="A65" s="55" t="str">
        <f>IFERROR(__xludf.DUMMYFUNCTION("""COMPUTED_VALUE"""),"RSC000347")</f>
        <v>RSC000347</v>
      </c>
      <c r="B65" s="60" t="str">
        <f>IFERROR(__xludf.DUMMYFUNCTION("""COMPUTED_VALUE"""),"Chris.")</f>
        <v>Chris.</v>
      </c>
      <c r="C65" s="55" t="str">
        <f>IFERROR(__xludf.DUMMYFUNCTION("""COMPUTED_VALUE"""),"Challenger")</f>
        <v>Challenger</v>
      </c>
      <c r="D65" s="65">
        <f>IFERROR(__xludf.DUMMYFUNCTION("""COMPUTED_VALUE"""),71.73118816835357)</f>
        <v>71.73118817</v>
      </c>
      <c r="E65" s="66">
        <f>IFERROR(__xludf.DUMMYFUNCTION("""COMPUTED_VALUE"""),5.0)</f>
        <v>5</v>
      </c>
    </row>
    <row r="66">
      <c r="A66" s="55" t="str">
        <f>IFERROR(__xludf.DUMMYFUNCTION("""COMPUTED_VALUE"""),"RSC006923")</f>
        <v>RSC006923</v>
      </c>
      <c r="B66" s="60" t="str">
        <f>IFERROR(__xludf.DUMMYFUNCTION("""COMPUTED_VALUE"""),"LostZealous")</f>
        <v>LostZealous</v>
      </c>
      <c r="C66" s="55" t="str">
        <f>IFERROR(__xludf.DUMMYFUNCTION("""COMPUTED_VALUE"""),"Challenger")</f>
        <v>Challenger</v>
      </c>
      <c r="D66" s="65">
        <f>IFERROR(__xludf.DUMMYFUNCTION("""COMPUTED_VALUE"""),71.3942844460365)</f>
        <v>71.39428445</v>
      </c>
      <c r="E66" s="66">
        <f>IFERROR(__xludf.DUMMYFUNCTION("""COMPUTED_VALUE"""),52.0)</f>
        <v>52</v>
      </c>
    </row>
    <row r="67">
      <c r="A67" s="55" t="str">
        <f>IFERROR(__xludf.DUMMYFUNCTION("""COMPUTED_VALUE"""),"RSC003109")</f>
        <v>RSC003109</v>
      </c>
      <c r="B67" s="60" t="str">
        <f>IFERROR(__xludf.DUMMYFUNCTION("""COMPUTED_VALUE"""),"Kflip11")</f>
        <v>Kflip11</v>
      </c>
      <c r="C67" s="55" t="str">
        <f>IFERROR(__xludf.DUMMYFUNCTION("""COMPUTED_VALUE"""),"Challenger")</f>
        <v>Challenger</v>
      </c>
      <c r="D67" s="65">
        <f>IFERROR(__xludf.DUMMYFUNCTION("""COMPUTED_VALUE"""),70.64278830781464)</f>
        <v>70.64278831</v>
      </c>
      <c r="E67" s="66">
        <f>IFERROR(__xludf.DUMMYFUNCTION("""COMPUTED_VALUE"""),55.0)</f>
        <v>55</v>
      </c>
    </row>
    <row r="68">
      <c r="A68" s="55" t="str">
        <f>IFERROR(__xludf.DUMMYFUNCTION("""COMPUTED_VALUE"""),"RSC008340")</f>
        <v>RSC008340</v>
      </c>
      <c r="B68" s="60" t="str">
        <f>IFERROR(__xludf.DUMMYFUNCTION("""COMPUTED_VALUE"""),"Slowsociety")</f>
        <v>Slowsociety</v>
      </c>
      <c r="C68" s="55" t="str">
        <f>IFERROR(__xludf.DUMMYFUNCTION("""COMPUTED_VALUE"""),"Challenger")</f>
        <v>Challenger</v>
      </c>
      <c r="D68" s="65">
        <f>IFERROR(__xludf.DUMMYFUNCTION("""COMPUTED_VALUE"""),69.30853915403655)</f>
        <v>69.30853915</v>
      </c>
      <c r="E68" s="66">
        <f>IFERROR(__xludf.DUMMYFUNCTION("""COMPUTED_VALUE"""),40.0)</f>
        <v>40</v>
      </c>
    </row>
    <row r="69">
      <c r="A69" s="55" t="str">
        <f>IFERROR(__xludf.DUMMYFUNCTION("""COMPUTED_VALUE"""),"RSC006416")</f>
        <v>RSC006416</v>
      </c>
      <c r="B69" s="60" t="str">
        <f>IFERROR(__xludf.DUMMYFUNCTION("""COMPUTED_VALUE"""),"StaRazor")</f>
        <v>StaRazor</v>
      </c>
      <c r="C69" s="55" t="str">
        <f>IFERROR(__xludf.DUMMYFUNCTION("""COMPUTED_VALUE"""),"Challenger")</f>
        <v>Challenger</v>
      </c>
      <c r="D69" s="65">
        <f>IFERROR(__xludf.DUMMYFUNCTION("""COMPUTED_VALUE"""),69.15093525953216)</f>
        <v>69.15093526</v>
      </c>
      <c r="E69" s="66">
        <f>IFERROR(__xludf.DUMMYFUNCTION("""COMPUTED_VALUE"""),32.0)</f>
        <v>32</v>
      </c>
    </row>
    <row r="70">
      <c r="A70" s="55" t="str">
        <f>IFERROR(__xludf.DUMMYFUNCTION("""COMPUTED_VALUE"""),"RSC008466")</f>
        <v>RSC008466</v>
      </c>
      <c r="B70" s="60" t="str">
        <f>IFERROR(__xludf.DUMMYFUNCTION("""COMPUTED_VALUE"""),"Cwuzzy")</f>
        <v>Cwuzzy</v>
      </c>
      <c r="C70" s="55" t="str">
        <f>IFERROR(__xludf.DUMMYFUNCTION("""COMPUTED_VALUE"""),"Challenger")</f>
        <v>Challenger</v>
      </c>
      <c r="D70" s="65">
        <f>IFERROR(__xludf.DUMMYFUNCTION("""COMPUTED_VALUE"""),68.5131881293581)</f>
        <v>68.51318813</v>
      </c>
      <c r="E70" s="66">
        <f>IFERROR(__xludf.DUMMYFUNCTION("""COMPUTED_VALUE"""),8.0)</f>
        <v>8</v>
      </c>
    </row>
    <row r="71">
      <c r="A71" s="55" t="str">
        <f>IFERROR(__xludf.DUMMYFUNCTION("""COMPUTED_VALUE"""),"RSC006092")</f>
        <v>RSC006092</v>
      </c>
      <c r="B71" s="60" t="str">
        <f>IFERROR(__xludf.DUMMYFUNCTION("""COMPUTED_VALUE"""),"Mick")</f>
        <v>Mick</v>
      </c>
      <c r="C71" s="55" t="str">
        <f>IFERROR(__xludf.DUMMYFUNCTION("""COMPUTED_VALUE"""),"Challenger")</f>
        <v>Challenger</v>
      </c>
      <c r="D71" s="65">
        <f>IFERROR(__xludf.DUMMYFUNCTION("""COMPUTED_VALUE"""),68.33318473995313)</f>
        <v>68.33318474</v>
      </c>
      <c r="E71" s="66">
        <f>IFERROR(__xludf.DUMMYFUNCTION("""COMPUTED_VALUE"""),52.0)</f>
        <v>52</v>
      </c>
    </row>
    <row r="72">
      <c r="A72" s="55" t="str">
        <f>IFERROR(__xludf.DUMMYFUNCTION("""COMPUTED_VALUE"""),"RSC000967")</f>
        <v>RSC000967</v>
      </c>
      <c r="B72" s="60" t="str">
        <f>IFERROR(__xludf.DUMMYFUNCTION("""COMPUTED_VALUE"""),"birds aren't real")</f>
        <v>birds aren't real</v>
      </c>
      <c r="C72" s="55" t="str">
        <f>IFERROR(__xludf.DUMMYFUNCTION("""COMPUTED_VALUE"""),"Challenger")</f>
        <v>Challenger</v>
      </c>
      <c r="D72" s="65">
        <f>IFERROR(__xludf.DUMMYFUNCTION("""COMPUTED_VALUE"""),68.21061634226848)</f>
        <v>68.21061634</v>
      </c>
      <c r="E72" s="66">
        <f>IFERROR(__xludf.DUMMYFUNCTION("""COMPUTED_VALUE"""),24.0)</f>
        <v>24</v>
      </c>
    </row>
    <row r="73">
      <c r="A73" s="55" t="str">
        <f>IFERROR(__xludf.DUMMYFUNCTION("""COMPUTED_VALUE"""),"RSC007911")</f>
        <v>RSC007911</v>
      </c>
      <c r="B73" s="60" t="str">
        <f>IFERROR(__xludf.DUMMYFUNCTION("""COMPUTED_VALUE"""),"Redhood913011")</f>
        <v>Redhood913011</v>
      </c>
      <c r="C73" s="55" t="str">
        <f>IFERROR(__xludf.DUMMYFUNCTION("""COMPUTED_VALUE"""),"Challenger")</f>
        <v>Challenger</v>
      </c>
      <c r="D73" s="65">
        <f>IFERROR(__xludf.DUMMYFUNCTION("""COMPUTED_VALUE"""),68.18594118558426)</f>
        <v>68.18594119</v>
      </c>
      <c r="E73" s="66">
        <f>IFERROR(__xludf.DUMMYFUNCTION("""COMPUTED_VALUE"""),51.0)</f>
        <v>51</v>
      </c>
    </row>
    <row r="74">
      <c r="A74" s="55" t="str">
        <f>IFERROR(__xludf.DUMMYFUNCTION("""COMPUTED_VALUE"""),"RSC008010")</f>
        <v>RSC008010</v>
      </c>
      <c r="B74" s="60" t="str">
        <f>IFERROR(__xludf.DUMMYFUNCTION("""COMPUTED_VALUE"""),"WamBamTYMan-")</f>
        <v>WamBamTYMan-</v>
      </c>
      <c r="C74" s="55" t="str">
        <f>IFERROR(__xludf.DUMMYFUNCTION("""COMPUTED_VALUE"""),"Challenger")</f>
        <v>Challenger</v>
      </c>
      <c r="D74" s="65">
        <f>IFERROR(__xludf.DUMMYFUNCTION("""COMPUTED_VALUE"""),67.896651191411)</f>
        <v>67.89665119</v>
      </c>
      <c r="E74" s="66">
        <f>IFERROR(__xludf.DUMMYFUNCTION("""COMPUTED_VALUE"""),52.0)</f>
        <v>52</v>
      </c>
    </row>
    <row r="75">
      <c r="A75" s="55" t="str">
        <f>IFERROR(__xludf.DUMMYFUNCTION("""COMPUTED_VALUE"""),"RSC008415")</f>
        <v>RSC008415</v>
      </c>
      <c r="B75" s="60" t="str">
        <f>IFERROR(__xludf.DUMMYFUNCTION("""COMPUTED_VALUE"""),"StorchBurn")</f>
        <v>StorchBurn</v>
      </c>
      <c r="C75" s="55" t="str">
        <f>IFERROR(__xludf.DUMMYFUNCTION("""COMPUTED_VALUE"""),"Challenger")</f>
        <v>Challenger</v>
      </c>
      <c r="D75" s="65">
        <f>IFERROR(__xludf.DUMMYFUNCTION("""COMPUTED_VALUE"""),67.38582437982232)</f>
        <v>67.38582438</v>
      </c>
      <c r="E75" s="66">
        <f>IFERROR(__xludf.DUMMYFUNCTION("""COMPUTED_VALUE"""),56.0)</f>
        <v>56</v>
      </c>
    </row>
    <row r="76">
      <c r="A76" s="55" t="str">
        <f>IFERROR(__xludf.DUMMYFUNCTION("""COMPUTED_VALUE"""),"RSC005859")</f>
        <v>RSC005859</v>
      </c>
      <c r="B76" s="60" t="str">
        <f>IFERROR(__xludf.DUMMYFUNCTION("""COMPUTED_VALUE"""),"LedTasso")</f>
        <v>LedTasso</v>
      </c>
      <c r="C76" s="55" t="str">
        <f>IFERROR(__xludf.DUMMYFUNCTION("""COMPUTED_VALUE"""),"Challenger")</f>
        <v>Challenger</v>
      </c>
      <c r="D76" s="65">
        <f>IFERROR(__xludf.DUMMYFUNCTION("""COMPUTED_VALUE"""),66.86209442210983)</f>
        <v>66.86209442</v>
      </c>
      <c r="E76" s="66">
        <f>IFERROR(__xludf.DUMMYFUNCTION("""COMPUTED_VALUE"""),56.0)</f>
        <v>56</v>
      </c>
    </row>
    <row r="77">
      <c r="A77" s="55" t="str">
        <f>IFERROR(__xludf.DUMMYFUNCTION("""COMPUTED_VALUE"""),"RSC006642")</f>
        <v>RSC006642</v>
      </c>
      <c r="B77" s="60" t="str">
        <f>IFERROR(__xludf.DUMMYFUNCTION("""COMPUTED_VALUE"""),"Zone Killa")</f>
        <v>Zone Killa</v>
      </c>
      <c r="C77" s="55" t="str">
        <f>IFERROR(__xludf.DUMMYFUNCTION("""COMPUTED_VALUE"""),"Challenger")</f>
        <v>Challenger</v>
      </c>
      <c r="D77" s="65">
        <f>IFERROR(__xludf.DUMMYFUNCTION("""COMPUTED_VALUE"""),66.8266253842831)</f>
        <v>66.82662538</v>
      </c>
      <c r="E77" s="66">
        <f>IFERROR(__xludf.DUMMYFUNCTION("""COMPUTED_VALUE"""),43.0)</f>
        <v>43</v>
      </c>
    </row>
    <row r="78">
      <c r="A78" s="55" t="str">
        <f>IFERROR(__xludf.DUMMYFUNCTION("""COMPUTED_VALUE"""),"RSC005663")</f>
        <v>RSC005663</v>
      </c>
      <c r="B78" s="60" t="str">
        <f>IFERROR(__xludf.DUMMYFUNCTION("""COMPUTED_VALUE"""),"Pure_Pusher")</f>
        <v>Pure_Pusher</v>
      </c>
      <c r="C78" s="55" t="str">
        <f>IFERROR(__xludf.DUMMYFUNCTION("""COMPUTED_VALUE"""),"Challenger")</f>
        <v>Challenger</v>
      </c>
      <c r="D78" s="65">
        <f>IFERROR(__xludf.DUMMYFUNCTION("""COMPUTED_VALUE"""),66.45765877892538)</f>
        <v>66.45765878</v>
      </c>
      <c r="E78" s="66">
        <f>IFERROR(__xludf.DUMMYFUNCTION("""COMPUTED_VALUE"""),55.0)</f>
        <v>55</v>
      </c>
    </row>
    <row r="79">
      <c r="A79" s="55" t="str">
        <f>IFERROR(__xludf.DUMMYFUNCTION("""COMPUTED_VALUE"""),"RSC005909")</f>
        <v>RSC005909</v>
      </c>
      <c r="B79" s="60" t="str">
        <f>IFERROR(__xludf.DUMMYFUNCTION("""COMPUTED_VALUE"""),"YadiCraft")</f>
        <v>YadiCraft</v>
      </c>
      <c r="C79" s="55" t="str">
        <f>IFERROR(__xludf.DUMMYFUNCTION("""COMPUTED_VALUE"""),"Challenger")</f>
        <v>Challenger</v>
      </c>
      <c r="D79" s="65">
        <f>IFERROR(__xludf.DUMMYFUNCTION("""COMPUTED_VALUE"""),66.16863367299591)</f>
        <v>66.16863367</v>
      </c>
      <c r="E79" s="66">
        <f>IFERROR(__xludf.DUMMYFUNCTION("""COMPUTED_VALUE"""),36.0)</f>
        <v>36</v>
      </c>
    </row>
    <row r="80">
      <c r="A80" s="55" t="str">
        <f>IFERROR(__xludf.DUMMYFUNCTION("""COMPUTED_VALUE"""),"RSC006344")</f>
        <v>RSC006344</v>
      </c>
      <c r="B80" s="60" t="str">
        <f>IFERROR(__xludf.DUMMYFUNCTION("""COMPUTED_VALUE"""),"FerrisCrueller")</f>
        <v>FerrisCrueller</v>
      </c>
      <c r="C80" s="55" t="str">
        <f>IFERROR(__xludf.DUMMYFUNCTION("""COMPUTED_VALUE"""),"Challenger")</f>
        <v>Challenger</v>
      </c>
      <c r="D80" s="65">
        <f>IFERROR(__xludf.DUMMYFUNCTION("""COMPUTED_VALUE"""),66.10968276998908)</f>
        <v>66.10968277</v>
      </c>
      <c r="E80" s="66">
        <f>IFERROR(__xludf.DUMMYFUNCTION("""COMPUTED_VALUE"""),47.0)</f>
        <v>47</v>
      </c>
    </row>
    <row r="81">
      <c r="A81" s="55" t="str">
        <f>IFERROR(__xludf.DUMMYFUNCTION("""COMPUTED_VALUE"""),"RSC002040")</f>
        <v>RSC002040</v>
      </c>
      <c r="B81" s="60" t="str">
        <f>IFERROR(__xludf.DUMMYFUNCTION("""COMPUTED_VALUE"""),"Scomps")</f>
        <v>Scomps</v>
      </c>
      <c r="C81" s="55" t="str">
        <f>IFERROR(__xludf.DUMMYFUNCTION("""COMPUTED_VALUE"""),"Challenger")</f>
        <v>Challenger</v>
      </c>
      <c r="D81" s="65">
        <f>IFERROR(__xludf.DUMMYFUNCTION("""COMPUTED_VALUE"""),65.26307773193)</f>
        <v>65.26307773</v>
      </c>
      <c r="E81" s="66">
        <f>IFERROR(__xludf.DUMMYFUNCTION("""COMPUTED_VALUE"""),36.0)</f>
        <v>36</v>
      </c>
    </row>
    <row r="82">
      <c r="A82" s="55" t="str">
        <f>IFERROR(__xludf.DUMMYFUNCTION("""COMPUTED_VALUE"""),"RSC007262")</f>
        <v>RSC007262</v>
      </c>
      <c r="B82" s="60" t="str">
        <f>IFERROR(__xludf.DUMMYFUNCTION("""COMPUTED_VALUE"""),"Vvreze")</f>
        <v>Vvreze</v>
      </c>
      <c r="C82" s="55" t="str">
        <f>IFERROR(__xludf.DUMMYFUNCTION("""COMPUTED_VALUE"""),"Challenger")</f>
        <v>Challenger</v>
      </c>
      <c r="D82" s="65">
        <f>IFERROR(__xludf.DUMMYFUNCTION("""COMPUTED_VALUE"""),65.17559776523186)</f>
        <v>65.17559777</v>
      </c>
      <c r="E82" s="66">
        <f>IFERROR(__xludf.DUMMYFUNCTION("""COMPUTED_VALUE"""),53.0)</f>
        <v>53</v>
      </c>
    </row>
    <row r="83">
      <c r="A83" s="55" t="str">
        <f>IFERROR(__xludf.DUMMYFUNCTION("""COMPUTED_VALUE"""),"RSC000922")</f>
        <v>RSC000922</v>
      </c>
      <c r="B83" s="60" t="str">
        <f>IFERROR(__xludf.DUMMYFUNCTION("""COMPUTED_VALUE"""),"D_e_r_k")</f>
        <v>D_e_r_k</v>
      </c>
      <c r="C83" s="55" t="str">
        <f>IFERROR(__xludf.DUMMYFUNCTION("""COMPUTED_VALUE"""),"Challenger")</f>
        <v>Challenger</v>
      </c>
      <c r="D83" s="65">
        <f>IFERROR(__xludf.DUMMYFUNCTION("""COMPUTED_VALUE"""),64.90913868954459)</f>
        <v>64.90913869</v>
      </c>
      <c r="E83" s="66">
        <f>IFERROR(__xludf.DUMMYFUNCTION("""COMPUTED_VALUE"""),53.0)</f>
        <v>53</v>
      </c>
    </row>
    <row r="84">
      <c r="A84" s="55" t="str">
        <f>IFERROR(__xludf.DUMMYFUNCTION("""COMPUTED_VALUE"""),"RSC003331")</f>
        <v>RSC003331</v>
      </c>
      <c r="B84" s="60" t="str">
        <f>IFERROR(__xludf.DUMMYFUNCTION("""COMPUTED_VALUE"""),"Frostii")</f>
        <v>Frostii</v>
      </c>
      <c r="C84" s="55" t="str">
        <f>IFERROR(__xludf.DUMMYFUNCTION("""COMPUTED_VALUE"""),"Challenger")</f>
        <v>Challenger</v>
      </c>
      <c r="D84" s="65">
        <f>IFERROR(__xludf.DUMMYFUNCTION("""COMPUTED_VALUE"""),64.66857904700012)</f>
        <v>64.66857905</v>
      </c>
      <c r="E84" s="66">
        <f>IFERROR(__xludf.DUMMYFUNCTION("""COMPUTED_VALUE"""),52.0)</f>
        <v>52</v>
      </c>
    </row>
    <row r="85">
      <c r="A85" s="55" t="str">
        <f>IFERROR(__xludf.DUMMYFUNCTION("""COMPUTED_VALUE"""),"RSC003897")</f>
        <v>RSC003897</v>
      </c>
      <c r="B85" s="60" t="str">
        <f>IFERROR(__xludf.DUMMYFUNCTION("""COMPUTED_VALUE"""),"HalfieHour")</f>
        <v>HalfieHour</v>
      </c>
      <c r="C85" s="55" t="str">
        <f>IFERROR(__xludf.DUMMYFUNCTION("""COMPUTED_VALUE"""),"Challenger")</f>
        <v>Challenger</v>
      </c>
      <c r="D85" s="65">
        <f>IFERROR(__xludf.DUMMYFUNCTION("""COMPUTED_VALUE"""),64.42110741878615)</f>
        <v>64.42110742</v>
      </c>
      <c r="E85" s="66">
        <f>IFERROR(__xludf.DUMMYFUNCTION("""COMPUTED_VALUE"""),48.0)</f>
        <v>48</v>
      </c>
    </row>
    <row r="86">
      <c r="A86" s="55" t="str">
        <f>IFERROR(__xludf.DUMMYFUNCTION("""COMPUTED_VALUE"""),"RSC006669")</f>
        <v>RSC006669</v>
      </c>
      <c r="B86" s="60" t="str">
        <f>IFERROR(__xludf.DUMMYFUNCTION("""COMPUTED_VALUE"""),"xypheron")</f>
        <v>xypheron</v>
      </c>
      <c r="C86" s="55" t="str">
        <f>IFERROR(__xludf.DUMMYFUNCTION("""COMPUTED_VALUE"""),"Challenger")</f>
        <v>Challenger</v>
      </c>
      <c r="D86" s="65">
        <f>IFERROR(__xludf.DUMMYFUNCTION("""COMPUTED_VALUE"""),64.26866133150942)</f>
        <v>64.26866133</v>
      </c>
      <c r="E86" s="66">
        <f>IFERROR(__xludf.DUMMYFUNCTION("""COMPUTED_VALUE"""),28.0)</f>
        <v>28</v>
      </c>
    </row>
    <row r="87">
      <c r="A87" s="55" t="str">
        <f>IFERROR(__xludf.DUMMYFUNCTION("""COMPUTED_VALUE"""),"RSC002897")</f>
        <v>RSC002897</v>
      </c>
      <c r="B87" s="60" t="str">
        <f>IFERROR(__xludf.DUMMYFUNCTION("""COMPUTED_VALUE"""),"VickyViksta")</f>
        <v>VickyViksta</v>
      </c>
      <c r="C87" s="55" t="str">
        <f>IFERROR(__xludf.DUMMYFUNCTION("""COMPUTED_VALUE"""),"Challenger")</f>
        <v>Challenger</v>
      </c>
      <c r="D87" s="65">
        <f>IFERROR(__xludf.DUMMYFUNCTION("""COMPUTED_VALUE"""),64.24281344496916)</f>
        <v>64.24281344</v>
      </c>
      <c r="E87" s="66">
        <f>IFERROR(__xludf.DUMMYFUNCTION("""COMPUTED_VALUE"""),55.0)</f>
        <v>55</v>
      </c>
    </row>
    <row r="88">
      <c r="A88" s="55" t="str">
        <f>IFERROR(__xludf.DUMMYFUNCTION("""COMPUTED_VALUE"""),"RSC008390")</f>
        <v>RSC008390</v>
      </c>
      <c r="B88" s="60" t="str">
        <f>IFERROR(__xludf.DUMMYFUNCTION("""COMPUTED_VALUE"""),"Cully")</f>
        <v>Cully</v>
      </c>
      <c r="C88" s="55" t="str">
        <f>IFERROR(__xludf.DUMMYFUNCTION("""COMPUTED_VALUE"""),"Challenger")</f>
        <v>Challenger</v>
      </c>
      <c r="D88" s="65">
        <f>IFERROR(__xludf.DUMMYFUNCTION("""COMPUTED_VALUE"""),64.01275461913451)</f>
        <v>64.01275462</v>
      </c>
      <c r="E88" s="66">
        <f>IFERROR(__xludf.DUMMYFUNCTION("""COMPUTED_VALUE"""),50.0)</f>
        <v>50</v>
      </c>
    </row>
    <row r="89">
      <c r="A89" s="55" t="str">
        <f>IFERROR(__xludf.DUMMYFUNCTION("""COMPUTED_VALUE"""),"RSC008158")</f>
        <v>RSC008158</v>
      </c>
      <c r="B89" s="60" t="str">
        <f>IFERROR(__xludf.DUMMYFUNCTION("""COMPUTED_VALUE"""),"Twixxle_")</f>
        <v>Twixxle_</v>
      </c>
      <c r="C89" s="55" t="str">
        <f>IFERROR(__xludf.DUMMYFUNCTION("""COMPUTED_VALUE"""),"Challenger")</f>
        <v>Challenger</v>
      </c>
      <c r="D89" s="65">
        <f>IFERROR(__xludf.DUMMYFUNCTION("""COMPUTED_VALUE"""),63.022819826924554)</f>
        <v>63.02281983</v>
      </c>
      <c r="E89" s="66">
        <f>IFERROR(__xludf.DUMMYFUNCTION("""COMPUTED_VALUE"""),55.0)</f>
        <v>55</v>
      </c>
    </row>
    <row r="90">
      <c r="A90" s="55" t="str">
        <f>IFERROR(__xludf.DUMMYFUNCTION("""COMPUTED_VALUE"""),"RSC007284")</f>
        <v>RSC007284</v>
      </c>
      <c r="B90" s="60" t="str">
        <f>IFERROR(__xludf.DUMMYFUNCTION("""COMPUTED_VALUE"""),"7aco104")</f>
        <v>7aco104</v>
      </c>
      <c r="C90" s="55" t="str">
        <f>IFERROR(__xludf.DUMMYFUNCTION("""COMPUTED_VALUE"""),"Challenger")</f>
        <v>Challenger</v>
      </c>
      <c r="D90" s="65">
        <f>IFERROR(__xludf.DUMMYFUNCTION("""COMPUTED_VALUE"""),62.42532390202286)</f>
        <v>62.4253239</v>
      </c>
      <c r="E90" s="66">
        <f>IFERROR(__xludf.DUMMYFUNCTION("""COMPUTED_VALUE"""),52.0)</f>
        <v>52</v>
      </c>
    </row>
    <row r="91">
      <c r="A91" s="55" t="str">
        <f>IFERROR(__xludf.DUMMYFUNCTION("""COMPUTED_VALUE"""),"RSC006346")</f>
        <v>RSC006346</v>
      </c>
      <c r="B91" s="60" t="str">
        <f>IFERROR(__xludf.DUMMYFUNCTION("""COMPUTED_VALUE"""),"MobBossCitrus")</f>
        <v>MobBossCitrus</v>
      </c>
      <c r="C91" s="55" t="str">
        <f>IFERROR(__xludf.DUMMYFUNCTION("""COMPUTED_VALUE"""),"Challenger")</f>
        <v>Challenger</v>
      </c>
      <c r="D91" s="65">
        <f>IFERROR(__xludf.DUMMYFUNCTION("""COMPUTED_VALUE"""),60.78820763688893)</f>
        <v>60.78820764</v>
      </c>
      <c r="E91" s="66">
        <f>IFERROR(__xludf.DUMMYFUNCTION("""COMPUTED_VALUE"""),46.0)</f>
        <v>46</v>
      </c>
    </row>
    <row r="92">
      <c r="A92" s="55" t="str">
        <f>IFERROR(__xludf.DUMMYFUNCTION("""COMPUTED_VALUE"""),"RSC008111")</f>
        <v>RSC008111</v>
      </c>
      <c r="B92" s="60" t="str">
        <f>IFERROR(__xludf.DUMMYFUNCTION("""COMPUTED_VALUE"""),"Shadow_11Bravo")</f>
        <v>Shadow_11Bravo</v>
      </c>
      <c r="C92" s="55" t="str">
        <f>IFERROR(__xludf.DUMMYFUNCTION("""COMPUTED_VALUE"""),"Challenger")</f>
        <v>Challenger</v>
      </c>
      <c r="D92" s="65">
        <f>IFERROR(__xludf.DUMMYFUNCTION("""COMPUTED_VALUE"""),60.60008490016108)</f>
        <v>60.6000849</v>
      </c>
      <c r="E92" s="66">
        <f>IFERROR(__xludf.DUMMYFUNCTION("""COMPUTED_VALUE"""),30.0)</f>
        <v>30</v>
      </c>
    </row>
    <row r="93">
      <c r="A93" s="55" t="str">
        <f>IFERROR(__xludf.DUMMYFUNCTION("""COMPUTED_VALUE"""),"RSC008044")</f>
        <v>RSC008044</v>
      </c>
      <c r="B93" s="60" t="str">
        <f>IFERROR(__xludf.DUMMYFUNCTION("""COMPUTED_VALUE"""),"fender_bender2")</f>
        <v>fender_bender2</v>
      </c>
      <c r="C93" s="55" t="str">
        <f>IFERROR(__xludf.DUMMYFUNCTION("""COMPUTED_VALUE"""),"Challenger")</f>
        <v>Challenger</v>
      </c>
      <c r="D93" s="65">
        <f>IFERROR(__xludf.DUMMYFUNCTION("""COMPUTED_VALUE"""),60.43661834283129)</f>
        <v>60.43661834</v>
      </c>
      <c r="E93" s="66">
        <f>IFERROR(__xludf.DUMMYFUNCTION("""COMPUTED_VALUE"""),19.0)</f>
        <v>19</v>
      </c>
    </row>
    <row r="94">
      <c r="A94" s="55" t="str">
        <f>IFERROR(__xludf.DUMMYFUNCTION("""COMPUTED_VALUE"""),"RSC006769")</f>
        <v>RSC006769</v>
      </c>
      <c r="B94" s="60" t="str">
        <f>IFERROR(__xludf.DUMMYFUNCTION("""COMPUTED_VALUE"""),"baltostorm")</f>
        <v>baltostorm</v>
      </c>
      <c r="C94" s="55" t="str">
        <f>IFERROR(__xludf.DUMMYFUNCTION("""COMPUTED_VALUE"""),"Challenger")</f>
        <v>Challenger</v>
      </c>
      <c r="D94" s="65">
        <f>IFERROR(__xludf.DUMMYFUNCTION("""COMPUTED_VALUE"""),60.308098391887064)</f>
        <v>60.30809839</v>
      </c>
      <c r="E94" s="66">
        <f>IFERROR(__xludf.DUMMYFUNCTION("""COMPUTED_VALUE"""),32.0)</f>
        <v>32</v>
      </c>
    </row>
    <row r="95">
      <c r="A95" s="55" t="str">
        <f>IFERROR(__xludf.DUMMYFUNCTION("""COMPUTED_VALUE"""),"RSC000499")</f>
        <v>RSC000499</v>
      </c>
      <c r="B95" s="60" t="str">
        <f>IFERROR(__xludf.DUMMYFUNCTION("""COMPUTED_VALUE"""),"johkev")</f>
        <v>johkev</v>
      </c>
      <c r="C95" s="55" t="str">
        <f>IFERROR(__xludf.DUMMYFUNCTION("""COMPUTED_VALUE"""),"Challenger")</f>
        <v>Challenger</v>
      </c>
      <c r="D95" s="65">
        <f>IFERROR(__xludf.DUMMYFUNCTION("""COMPUTED_VALUE"""),59.99673161788962)</f>
        <v>59.99673162</v>
      </c>
      <c r="E95" s="66">
        <f>IFERROR(__xludf.DUMMYFUNCTION("""COMPUTED_VALUE"""),43.0)</f>
        <v>43</v>
      </c>
    </row>
    <row r="96">
      <c r="A96" s="55" t="str">
        <f>IFERROR(__xludf.DUMMYFUNCTION("""COMPUTED_VALUE"""),"RSC002877")</f>
        <v>RSC002877</v>
      </c>
      <c r="B96" s="60" t="str">
        <f>IFERROR(__xludf.DUMMYFUNCTION("""COMPUTED_VALUE"""),"robophant")</f>
        <v>robophant</v>
      </c>
      <c r="C96" s="55" t="str">
        <f>IFERROR(__xludf.DUMMYFUNCTION("""COMPUTED_VALUE"""),"Challenger")</f>
        <v>Challenger</v>
      </c>
      <c r="D96" s="65">
        <f>IFERROR(__xludf.DUMMYFUNCTION("""COMPUTED_VALUE"""),59.14085087726892)</f>
        <v>59.14085088</v>
      </c>
      <c r="E96" s="66">
        <f>IFERROR(__xludf.DUMMYFUNCTION("""COMPUTED_VALUE"""),17.0)</f>
        <v>17</v>
      </c>
    </row>
    <row r="97">
      <c r="A97" s="55" t="str">
        <f>IFERROR(__xludf.DUMMYFUNCTION("""COMPUTED_VALUE"""),"RSC007045")</f>
        <v>RSC007045</v>
      </c>
      <c r="B97" s="60" t="str">
        <f>IFERROR(__xludf.DUMMYFUNCTION("""COMPUTED_VALUE"""),"fetty_steve98")</f>
        <v>fetty_steve98</v>
      </c>
      <c r="C97" s="55" t="str">
        <f>IFERROR(__xludf.DUMMYFUNCTION("""COMPUTED_VALUE"""),"Challenger")</f>
        <v>Challenger</v>
      </c>
      <c r="D97" s="65">
        <f>IFERROR(__xludf.DUMMYFUNCTION("""COMPUTED_VALUE"""),58.90326579057535)</f>
        <v>58.90326579</v>
      </c>
      <c r="E97" s="66">
        <f>IFERROR(__xludf.DUMMYFUNCTION("""COMPUTED_VALUE"""),40.0)</f>
        <v>40</v>
      </c>
    </row>
    <row r="98">
      <c r="A98" s="55" t="str">
        <f>IFERROR(__xludf.DUMMYFUNCTION("""COMPUTED_VALUE"""),"RSC008026")</f>
        <v>RSC008026</v>
      </c>
      <c r="B98" s="60" t="str">
        <f>IFERROR(__xludf.DUMMYFUNCTION("""COMPUTED_VALUE"""),"Kanashìmi")</f>
        <v>Kanashìmi</v>
      </c>
      <c r="C98" s="55" t="str">
        <f>IFERROR(__xludf.DUMMYFUNCTION("""COMPUTED_VALUE"""),"Challenger")</f>
        <v>Challenger</v>
      </c>
      <c r="D98" s="65">
        <f>IFERROR(__xludf.DUMMYFUNCTION("""COMPUTED_VALUE"""),58.811696482268076)</f>
        <v>58.81169648</v>
      </c>
      <c r="E98" s="66">
        <f>IFERROR(__xludf.DUMMYFUNCTION("""COMPUTED_VALUE"""),4.0)</f>
        <v>4</v>
      </c>
    </row>
    <row r="99">
      <c r="A99" s="55" t="str">
        <f>IFERROR(__xludf.DUMMYFUNCTION("""COMPUTED_VALUE"""),"RSC008103")</f>
        <v>RSC008103</v>
      </c>
      <c r="B99" s="60" t="str">
        <f>IFERROR(__xludf.DUMMYFUNCTION("""COMPUTED_VALUE"""),"AkTION")</f>
        <v>AkTION</v>
      </c>
      <c r="C99" s="55" t="str">
        <f>IFERROR(__xludf.DUMMYFUNCTION("""COMPUTED_VALUE"""),"Challenger")</f>
        <v>Challenger</v>
      </c>
      <c r="D99" s="65">
        <f>IFERROR(__xludf.DUMMYFUNCTION("""COMPUTED_VALUE"""),58.46615130677842)</f>
        <v>58.46615131</v>
      </c>
      <c r="E99" s="66">
        <f>IFERROR(__xludf.DUMMYFUNCTION("""COMPUTED_VALUE"""),53.0)</f>
        <v>53</v>
      </c>
    </row>
    <row r="100">
      <c r="A100" s="55" t="str">
        <f>IFERROR(__xludf.DUMMYFUNCTION("""COMPUTED_VALUE"""),"RSC003694")</f>
        <v>RSC003694</v>
      </c>
      <c r="B100" s="60" t="str">
        <f>IFERROR(__xludf.DUMMYFUNCTION("""COMPUTED_VALUE"""),"TheCroctopus")</f>
        <v>TheCroctopus</v>
      </c>
      <c r="C100" s="55" t="str">
        <f>IFERROR(__xludf.DUMMYFUNCTION("""COMPUTED_VALUE"""),"Challenger")</f>
        <v>Challenger</v>
      </c>
      <c r="D100" s="65">
        <f>IFERROR(__xludf.DUMMYFUNCTION("""COMPUTED_VALUE"""),57.78739260297843)</f>
        <v>57.7873926</v>
      </c>
      <c r="E100" s="66">
        <f>IFERROR(__xludf.DUMMYFUNCTION("""COMPUTED_VALUE"""),34.0)</f>
        <v>34</v>
      </c>
    </row>
    <row r="101">
      <c r="A101" s="55" t="str">
        <f>IFERROR(__xludf.DUMMYFUNCTION("""COMPUTED_VALUE"""),"RSC004303")</f>
        <v>RSC004303</v>
      </c>
      <c r="B101" s="60" t="str">
        <f>IFERROR(__xludf.DUMMYFUNCTION("""COMPUTED_VALUE"""),"Shogun")</f>
        <v>Shogun</v>
      </c>
      <c r="C101" s="55" t="str">
        <f>IFERROR(__xludf.DUMMYFUNCTION("""COMPUTED_VALUE"""),"Challenger")</f>
        <v>Challenger</v>
      </c>
      <c r="D101" s="65">
        <f>IFERROR(__xludf.DUMMYFUNCTION("""COMPUTED_VALUE"""),56.253009397848345)</f>
        <v>56.2530094</v>
      </c>
      <c r="E101" s="66">
        <f>IFERROR(__xludf.DUMMYFUNCTION("""COMPUTED_VALUE"""),53.0)</f>
        <v>53</v>
      </c>
    </row>
    <row r="102">
      <c r="A102" s="55" t="str">
        <f>IFERROR(__xludf.DUMMYFUNCTION("""COMPUTED_VALUE"""),"RSC008357")</f>
        <v>RSC008357</v>
      </c>
      <c r="B102" s="60" t="str">
        <f>IFERROR(__xludf.DUMMYFUNCTION("""COMPUTED_VALUE"""),"tiagosan _")</f>
        <v>tiagosan _</v>
      </c>
      <c r="C102" s="55" t="str">
        <f>IFERROR(__xludf.DUMMYFUNCTION("""COMPUTED_VALUE"""),"Challenger")</f>
        <v>Challenger</v>
      </c>
      <c r="D102" s="65">
        <f>IFERROR(__xludf.DUMMYFUNCTION("""COMPUTED_VALUE"""),56.14825337138859)</f>
        <v>56.14825337</v>
      </c>
      <c r="E102" s="66">
        <f>IFERROR(__xludf.DUMMYFUNCTION("""COMPUTED_VALUE"""),43.0)</f>
        <v>43</v>
      </c>
    </row>
    <row r="103">
      <c r="A103" s="55" t="str">
        <f>IFERROR(__xludf.DUMMYFUNCTION("""COMPUTED_VALUE"""),"RSC006908")</f>
        <v>RSC006908</v>
      </c>
      <c r="B103" s="60" t="str">
        <f>IFERROR(__xludf.DUMMYFUNCTION("""COMPUTED_VALUE"""),"OvrSizedFrog")</f>
        <v>OvrSizedFrog</v>
      </c>
      <c r="C103" s="55" t="str">
        <f>IFERROR(__xludf.DUMMYFUNCTION("""COMPUTED_VALUE"""),"Challenger")</f>
        <v>Challenger</v>
      </c>
      <c r="D103" s="65">
        <f>IFERROR(__xludf.DUMMYFUNCTION("""COMPUTED_VALUE"""),54.998771007749774)</f>
        <v>54.99877101</v>
      </c>
      <c r="E103" s="66">
        <f>IFERROR(__xludf.DUMMYFUNCTION("""COMPUTED_VALUE"""),40.0)</f>
        <v>40</v>
      </c>
    </row>
    <row r="104">
      <c r="A104" s="55" t="str">
        <f>IFERROR(__xludf.DUMMYFUNCTION("""COMPUTED_VALUE"""),"RSC008121")</f>
        <v>RSC008121</v>
      </c>
      <c r="B104" s="60" t="str">
        <f>IFERROR(__xludf.DUMMYFUNCTION("""COMPUTED_VALUE"""),"FlyDRCar")</f>
        <v>FlyDRCar</v>
      </c>
      <c r="C104" s="55" t="str">
        <f>IFERROR(__xludf.DUMMYFUNCTION("""COMPUTED_VALUE"""),"Challenger")</f>
        <v>Challenger</v>
      </c>
      <c r="D104" s="65">
        <f>IFERROR(__xludf.DUMMYFUNCTION("""COMPUTED_VALUE"""),54.65457858711305)</f>
        <v>54.65457859</v>
      </c>
      <c r="E104" s="66">
        <f>IFERROR(__xludf.DUMMYFUNCTION("""COMPUTED_VALUE"""),30.0)</f>
        <v>30</v>
      </c>
    </row>
    <row r="105">
      <c r="A105" s="55" t="str">
        <f>IFERROR(__xludf.DUMMYFUNCTION("""COMPUTED_VALUE"""),"RSC000357")</f>
        <v>RSC000357</v>
      </c>
      <c r="B105" s="60" t="str">
        <f>IFERROR(__xludf.DUMMYFUNCTION("""COMPUTED_VALUE"""),"Primed")</f>
        <v>Primed</v>
      </c>
      <c r="C105" s="55" t="str">
        <f>IFERROR(__xludf.DUMMYFUNCTION("""COMPUTED_VALUE"""),"Challenger")</f>
        <v>Challenger</v>
      </c>
      <c r="D105" s="65">
        <f>IFERROR(__xludf.DUMMYFUNCTION("""COMPUTED_VALUE"""),54.21354755792679)</f>
        <v>54.21354756</v>
      </c>
      <c r="E105" s="66">
        <f>IFERROR(__xludf.DUMMYFUNCTION("""COMPUTED_VALUE"""),45.0)</f>
        <v>45</v>
      </c>
    </row>
    <row r="106">
      <c r="A106" s="55" t="str">
        <f>IFERROR(__xludf.DUMMYFUNCTION("""COMPUTED_VALUE"""),"RSC007092")</f>
        <v>RSC007092</v>
      </c>
      <c r="B106" s="60" t="str">
        <f>IFERROR(__xludf.DUMMYFUNCTION("""COMPUTED_VALUE"""),"Minjaaa")</f>
        <v>Minjaaa</v>
      </c>
      <c r="C106" s="55" t="str">
        <f>IFERROR(__xludf.DUMMYFUNCTION("""COMPUTED_VALUE"""),"Challenger")</f>
        <v>Challenger</v>
      </c>
      <c r="D106" s="65">
        <f>IFERROR(__xludf.DUMMYFUNCTION("""COMPUTED_VALUE"""),54.12231199830326)</f>
        <v>54.122312</v>
      </c>
      <c r="E106" s="66">
        <f>IFERROR(__xludf.DUMMYFUNCTION("""COMPUTED_VALUE"""),52.0)</f>
        <v>52</v>
      </c>
    </row>
    <row r="107">
      <c r="A107" s="55" t="str">
        <f>IFERROR(__xludf.DUMMYFUNCTION("""COMPUTED_VALUE"""),"RSC008556")</f>
        <v>RSC008556</v>
      </c>
      <c r="B107" s="60" t="str">
        <f>IFERROR(__xludf.DUMMYFUNCTION("""COMPUTED_VALUE"""),"jizko")</f>
        <v>jizko</v>
      </c>
      <c r="C107" s="55" t="str">
        <f>IFERROR(__xludf.DUMMYFUNCTION("""COMPUTED_VALUE"""),"Challenger")</f>
        <v>Challenger</v>
      </c>
      <c r="D107" s="65">
        <f>IFERROR(__xludf.DUMMYFUNCTION("""COMPUTED_VALUE"""),53.886765811691575)</f>
        <v>53.88676581</v>
      </c>
      <c r="E107" s="66">
        <f>IFERROR(__xludf.DUMMYFUNCTION("""COMPUTED_VALUE"""),14.0)</f>
        <v>14</v>
      </c>
    </row>
    <row r="108">
      <c r="A108" s="55" t="str">
        <f>IFERROR(__xludf.DUMMYFUNCTION("""COMPUTED_VALUE"""),"RSC006659")</f>
        <v>RSC006659</v>
      </c>
      <c r="B108" s="60" t="str">
        <f>IFERROR(__xludf.DUMMYFUNCTION("""COMPUTED_VALUE"""),"ImZalama")</f>
        <v>ImZalama</v>
      </c>
      <c r="C108" s="55" t="str">
        <f>IFERROR(__xludf.DUMMYFUNCTION("""COMPUTED_VALUE"""),"Challenger")</f>
        <v>Challenger</v>
      </c>
      <c r="D108" s="65">
        <f>IFERROR(__xludf.DUMMYFUNCTION("""COMPUTED_VALUE"""),53.66601435055965)</f>
        <v>53.66601435</v>
      </c>
      <c r="E108" s="66">
        <f>IFERROR(__xludf.DUMMYFUNCTION("""COMPUTED_VALUE"""),50.0)</f>
        <v>50</v>
      </c>
    </row>
    <row r="109">
      <c r="A109" s="55" t="str">
        <f>IFERROR(__xludf.DUMMYFUNCTION("""COMPUTED_VALUE"""),"RSC008335")</f>
        <v>RSC008335</v>
      </c>
      <c r="B109" s="60" t="str">
        <f>IFERROR(__xludf.DUMMYFUNCTION("""COMPUTED_VALUE"""),"DLG_ToxicRatTrap")</f>
        <v>DLG_ToxicRatTrap</v>
      </c>
      <c r="C109" s="55" t="str">
        <f>IFERROR(__xludf.DUMMYFUNCTION("""COMPUTED_VALUE"""),"Challenger")</f>
        <v>Challenger</v>
      </c>
      <c r="D109" s="65">
        <f>IFERROR(__xludf.DUMMYFUNCTION("""COMPUTED_VALUE"""),53.34272673930913)</f>
        <v>53.34272674</v>
      </c>
      <c r="E109" s="66">
        <f>IFERROR(__xludf.DUMMYFUNCTION("""COMPUTED_VALUE"""),41.0)</f>
        <v>41</v>
      </c>
    </row>
    <row r="110">
      <c r="A110" s="55" t="str">
        <f>IFERROR(__xludf.DUMMYFUNCTION("""COMPUTED_VALUE"""),"RSC007297")</f>
        <v>RSC007297</v>
      </c>
      <c r="B110" s="60" t="str">
        <f>IFERROR(__xludf.DUMMYFUNCTION("""COMPUTED_VALUE"""),"St-_-Marc")</f>
        <v>St-_-Marc</v>
      </c>
      <c r="C110" s="55" t="str">
        <f>IFERROR(__xludf.DUMMYFUNCTION("""COMPUTED_VALUE"""),"Challenger")</f>
        <v>Challenger</v>
      </c>
      <c r="D110" s="65">
        <f>IFERROR(__xludf.DUMMYFUNCTION("""COMPUTED_VALUE"""),52.88819703474076)</f>
        <v>52.88819703</v>
      </c>
      <c r="E110" s="66">
        <f>IFERROR(__xludf.DUMMYFUNCTION("""COMPUTED_VALUE"""),53.0)</f>
        <v>53</v>
      </c>
    </row>
    <row r="111">
      <c r="A111" s="55" t="str">
        <f>IFERROR(__xludf.DUMMYFUNCTION("""COMPUTED_VALUE"""),"RSC003498")</f>
        <v>RSC003498</v>
      </c>
      <c r="B111" s="60" t="str">
        <f>IFERROR(__xludf.DUMMYFUNCTION("""COMPUTED_VALUE"""),"Merioch")</f>
        <v>Merioch</v>
      </c>
      <c r="C111" s="55" t="str">
        <f>IFERROR(__xludf.DUMMYFUNCTION("""COMPUTED_VALUE"""),"Challenger")</f>
        <v>Challenger</v>
      </c>
      <c r="D111" s="65">
        <f>IFERROR(__xludf.DUMMYFUNCTION("""COMPUTED_VALUE"""),51.69944223483955)</f>
        <v>51.69944223</v>
      </c>
      <c r="E111" s="66">
        <f>IFERROR(__xludf.DUMMYFUNCTION("""COMPUTED_VALUE"""),55.0)</f>
        <v>55</v>
      </c>
    </row>
    <row r="112">
      <c r="A112" s="55" t="str">
        <f>IFERROR(__xludf.DUMMYFUNCTION("""COMPUTED_VALUE"""),"RSC007502")</f>
        <v>RSC007502</v>
      </c>
      <c r="B112" s="60" t="str">
        <f>IFERROR(__xludf.DUMMYFUNCTION("""COMPUTED_VALUE"""),"Cr1m5on_RL")</f>
        <v>Cr1m5on_RL</v>
      </c>
      <c r="C112" s="55" t="str">
        <f>IFERROR(__xludf.DUMMYFUNCTION("""COMPUTED_VALUE"""),"Challenger")</f>
        <v>Challenger</v>
      </c>
      <c r="D112" s="65">
        <f>IFERROR(__xludf.DUMMYFUNCTION("""COMPUTED_VALUE"""),51.619888729321694)</f>
        <v>51.61988873</v>
      </c>
      <c r="E112" s="66">
        <f>IFERROR(__xludf.DUMMYFUNCTION("""COMPUTED_VALUE"""),45.0)</f>
        <v>45</v>
      </c>
    </row>
    <row r="113">
      <c r="A113" s="55" t="str">
        <f>IFERROR(__xludf.DUMMYFUNCTION("""COMPUTED_VALUE"""),"RSC007518")</f>
        <v>RSC007518</v>
      </c>
      <c r="B113" s="60" t="str">
        <f>IFERROR(__xludf.DUMMYFUNCTION("""COMPUTED_VALUE"""),"LoneDrifter.")</f>
        <v>LoneDrifter.</v>
      </c>
      <c r="C113" s="55" t="str">
        <f>IFERROR(__xludf.DUMMYFUNCTION("""COMPUTED_VALUE"""),"Challenger")</f>
        <v>Challenger</v>
      </c>
      <c r="D113" s="65">
        <f>IFERROR(__xludf.DUMMYFUNCTION("""COMPUTED_VALUE"""),51.59007410530532)</f>
        <v>51.59007411</v>
      </c>
      <c r="E113" s="66">
        <f>IFERROR(__xludf.DUMMYFUNCTION("""COMPUTED_VALUE"""),56.0)</f>
        <v>56</v>
      </c>
    </row>
    <row r="114">
      <c r="A114" s="55" t="str">
        <f>IFERROR(__xludf.DUMMYFUNCTION("""COMPUTED_VALUE"""),"RSC007568")</f>
        <v>RSC007568</v>
      </c>
      <c r="B114" s="60" t="str">
        <f>IFERROR(__xludf.DUMMYFUNCTION("""COMPUTED_VALUE"""),"Chills1912")</f>
        <v>Chills1912</v>
      </c>
      <c r="C114" s="55" t="str">
        <f>IFERROR(__xludf.DUMMYFUNCTION("""COMPUTED_VALUE"""),"Challenger")</f>
        <v>Challenger</v>
      </c>
      <c r="D114" s="65">
        <f>IFERROR(__xludf.DUMMYFUNCTION("""COMPUTED_VALUE"""),50.35642044541177)</f>
        <v>50.35642045</v>
      </c>
      <c r="E114" s="66">
        <f>IFERROR(__xludf.DUMMYFUNCTION("""COMPUTED_VALUE"""),47.0)</f>
        <v>47</v>
      </c>
    </row>
    <row r="115">
      <c r="A115" s="55" t="str">
        <f>IFERROR(__xludf.DUMMYFUNCTION("""COMPUTED_VALUE"""),"RSC006308")</f>
        <v>RSC006308</v>
      </c>
      <c r="B115" s="60" t="str">
        <f>IFERROR(__xludf.DUMMYFUNCTION("""COMPUTED_VALUE"""),"SqueezySponge.")</f>
        <v>SqueezySponge.</v>
      </c>
      <c r="C115" s="55" t="str">
        <f>IFERROR(__xludf.DUMMYFUNCTION("""COMPUTED_VALUE"""),"Challenger")</f>
        <v>Challenger</v>
      </c>
      <c r="D115" s="65">
        <f>IFERROR(__xludf.DUMMYFUNCTION("""COMPUTED_VALUE"""),50.01815509211098)</f>
        <v>50.01815509</v>
      </c>
      <c r="E115" s="66">
        <f>IFERROR(__xludf.DUMMYFUNCTION("""COMPUTED_VALUE"""),53.0)</f>
        <v>53</v>
      </c>
    </row>
    <row r="116">
      <c r="A116" s="55" t="str">
        <f>IFERROR(__xludf.DUMMYFUNCTION("""COMPUTED_VALUE"""),"RSC008031")</f>
        <v>RSC008031</v>
      </c>
      <c r="B116" s="60" t="str">
        <f>IFERROR(__xludf.DUMMYFUNCTION("""COMPUTED_VALUE"""),"timthebigone")</f>
        <v>timthebigone</v>
      </c>
      <c r="C116" s="55" t="str">
        <f>IFERROR(__xludf.DUMMYFUNCTION("""COMPUTED_VALUE"""),"Challenger")</f>
        <v>Challenger</v>
      </c>
      <c r="D116" s="65">
        <f>IFERROR(__xludf.DUMMYFUNCTION("""COMPUTED_VALUE"""),49.65540026366781)</f>
        <v>49.65540026</v>
      </c>
      <c r="E116" s="66">
        <f>IFERROR(__xludf.DUMMYFUNCTION("""COMPUTED_VALUE"""),11.0)</f>
        <v>11</v>
      </c>
    </row>
    <row r="117">
      <c r="A117" s="55" t="str">
        <f>IFERROR(__xludf.DUMMYFUNCTION("""COMPUTED_VALUE"""),"RSC008540")</f>
        <v>RSC008540</v>
      </c>
      <c r="B117" s="60" t="str">
        <f>IFERROR(__xludf.DUMMYFUNCTION("""COMPUTED_VALUE"""),"GG K-9")</f>
        <v>GG K-9</v>
      </c>
      <c r="C117" s="55" t="str">
        <f>IFERROR(__xludf.DUMMYFUNCTION("""COMPUTED_VALUE"""),"Challenger")</f>
        <v>Challenger</v>
      </c>
      <c r="D117" s="65">
        <f>IFERROR(__xludf.DUMMYFUNCTION("""COMPUTED_VALUE"""),49.48848895682039)</f>
        <v>49.48848896</v>
      </c>
      <c r="E117" s="66">
        <f>IFERROR(__xludf.DUMMYFUNCTION("""COMPUTED_VALUE"""),16.0)</f>
        <v>16</v>
      </c>
    </row>
    <row r="118">
      <c r="A118" s="55" t="str">
        <f>IFERROR(__xludf.DUMMYFUNCTION("""COMPUTED_VALUE"""),"RSC007816")</f>
        <v>RSC007816</v>
      </c>
      <c r="B118" s="60" t="str">
        <f>IFERROR(__xludf.DUMMYFUNCTION("""COMPUTED_VALUE"""),"Auty RL")</f>
        <v>Auty RL</v>
      </c>
      <c r="C118" s="55" t="str">
        <f>IFERROR(__xludf.DUMMYFUNCTION("""COMPUTED_VALUE"""),"Challenger")</f>
        <v>Challenger</v>
      </c>
      <c r="D118" s="65">
        <f>IFERROR(__xludf.DUMMYFUNCTION("""COMPUTED_VALUE"""),49.21925758402669)</f>
        <v>49.21925758</v>
      </c>
      <c r="E118" s="66">
        <f>IFERROR(__xludf.DUMMYFUNCTION("""COMPUTED_VALUE"""),52.0)</f>
        <v>52</v>
      </c>
    </row>
    <row r="119">
      <c r="A119" s="55" t="str">
        <f>IFERROR(__xludf.DUMMYFUNCTION("""COMPUTED_VALUE"""),"RSC005608")</f>
        <v>RSC005608</v>
      </c>
      <c r="B119" s="60" t="str">
        <f>IFERROR(__xludf.DUMMYFUNCTION("""COMPUTED_VALUE"""),"wolverine36535")</f>
        <v>wolverine36535</v>
      </c>
      <c r="C119" s="55" t="str">
        <f>IFERROR(__xludf.DUMMYFUNCTION("""COMPUTED_VALUE"""),"Challenger")</f>
        <v>Challenger</v>
      </c>
      <c r="D119" s="65">
        <f>IFERROR(__xludf.DUMMYFUNCTION("""COMPUTED_VALUE"""),48.75913341331452)</f>
        <v>48.75913341</v>
      </c>
      <c r="E119" s="66">
        <f>IFERROR(__xludf.DUMMYFUNCTION("""COMPUTED_VALUE"""),40.0)</f>
        <v>40</v>
      </c>
    </row>
    <row r="120">
      <c r="A120" s="55" t="str">
        <f>IFERROR(__xludf.DUMMYFUNCTION("""COMPUTED_VALUE"""),"RSC008162")</f>
        <v>RSC008162</v>
      </c>
      <c r="B120" s="60" t="str">
        <f>IFERROR(__xludf.DUMMYFUNCTION("""COMPUTED_VALUE"""),"ThatHomieGageTTV")</f>
        <v>ThatHomieGageTTV</v>
      </c>
      <c r="C120" s="55" t="str">
        <f>IFERROR(__xludf.DUMMYFUNCTION("""COMPUTED_VALUE"""),"Challenger")</f>
        <v>Challenger</v>
      </c>
      <c r="D120" s="65">
        <f>IFERROR(__xludf.DUMMYFUNCTION("""COMPUTED_VALUE"""),48.62026959871864)</f>
        <v>48.6202696</v>
      </c>
      <c r="E120" s="66">
        <f>IFERROR(__xludf.DUMMYFUNCTION("""COMPUTED_VALUE"""),38.0)</f>
        <v>38</v>
      </c>
    </row>
    <row r="121">
      <c r="A121" s="55" t="str">
        <f>IFERROR(__xludf.DUMMYFUNCTION("""COMPUTED_VALUE"""),"RSC006322")</f>
        <v>RSC006322</v>
      </c>
      <c r="B121" s="60" t="str">
        <f>IFERROR(__xludf.DUMMYFUNCTION("""COMPUTED_VALUE"""),"Lorak")</f>
        <v>Lorak</v>
      </c>
      <c r="C121" s="55" t="str">
        <f>IFERROR(__xludf.DUMMYFUNCTION("""COMPUTED_VALUE"""),"Challenger")</f>
        <v>Challenger</v>
      </c>
      <c r="D121" s="65">
        <f>IFERROR(__xludf.DUMMYFUNCTION("""COMPUTED_VALUE"""),48.076947791022924)</f>
        <v>48.07694779</v>
      </c>
      <c r="E121" s="66">
        <f>IFERROR(__xludf.DUMMYFUNCTION("""COMPUTED_VALUE"""),56.0)</f>
        <v>56</v>
      </c>
    </row>
    <row r="122">
      <c r="A122" s="55" t="str">
        <f>IFERROR(__xludf.DUMMYFUNCTION("""COMPUTED_VALUE"""),"RSC006495")</f>
        <v>RSC006495</v>
      </c>
      <c r="B122" s="60" t="str">
        <f>IFERROR(__xludf.DUMMYFUNCTION("""COMPUTED_VALUE"""),"Hype.56")</f>
        <v>Hype.56</v>
      </c>
      <c r="C122" s="55" t="str">
        <f>IFERROR(__xludf.DUMMYFUNCTION("""COMPUTED_VALUE"""),"Challenger")</f>
        <v>Challenger</v>
      </c>
      <c r="D122" s="65">
        <f>IFERROR(__xludf.DUMMYFUNCTION("""COMPUTED_VALUE"""),47.51783654549505)</f>
        <v>47.51783655</v>
      </c>
      <c r="E122" s="66">
        <f>IFERROR(__xludf.DUMMYFUNCTION("""COMPUTED_VALUE"""),38.0)</f>
        <v>38</v>
      </c>
    </row>
    <row r="123">
      <c r="A123" s="55" t="str">
        <f>IFERROR(__xludf.DUMMYFUNCTION("""COMPUTED_VALUE"""),"RSC004565")</f>
        <v>RSC004565</v>
      </c>
      <c r="B123" s="60" t="str">
        <f>IFERROR(__xludf.DUMMYFUNCTION("""COMPUTED_VALUE"""),"Ole.Mr.Bison.")</f>
        <v>Ole.Mr.Bison.</v>
      </c>
      <c r="C123" s="55" t="str">
        <f>IFERROR(__xludf.DUMMYFUNCTION("""COMPUTED_VALUE"""),"Challenger")</f>
        <v>Challenger</v>
      </c>
      <c r="D123" s="65">
        <f>IFERROR(__xludf.DUMMYFUNCTION("""COMPUTED_VALUE"""),46.47672858632427)</f>
        <v>46.47672859</v>
      </c>
      <c r="E123" s="66">
        <f>IFERROR(__xludf.DUMMYFUNCTION("""COMPUTED_VALUE"""),29.0)</f>
        <v>29</v>
      </c>
    </row>
    <row r="124">
      <c r="A124" s="55" t="str">
        <f>IFERROR(__xludf.DUMMYFUNCTION("""COMPUTED_VALUE"""),"RSC001066")</f>
        <v>RSC001066</v>
      </c>
      <c r="B124" s="60" t="str">
        <f>IFERROR(__xludf.DUMMYFUNCTION("""COMPUTED_VALUE"""),"risu")</f>
        <v>risu</v>
      </c>
      <c r="C124" s="55" t="str">
        <f>IFERROR(__xludf.DUMMYFUNCTION("""COMPUTED_VALUE"""),"Challenger")</f>
        <v>Challenger</v>
      </c>
      <c r="D124" s="65">
        <f>IFERROR(__xludf.DUMMYFUNCTION("""COMPUTED_VALUE"""),45.65379329860244)</f>
        <v>45.6537933</v>
      </c>
      <c r="E124" s="66">
        <f>IFERROR(__xludf.DUMMYFUNCTION("""COMPUTED_VALUE"""),26.0)</f>
        <v>26</v>
      </c>
    </row>
    <row r="125">
      <c r="A125" s="55" t="str">
        <f>IFERROR(__xludf.DUMMYFUNCTION("""COMPUTED_VALUE"""),"RSC008195")</f>
        <v>RSC008195</v>
      </c>
      <c r="B125" s="60" t="str">
        <f>IFERROR(__xludf.DUMMYFUNCTION("""COMPUTED_VALUE"""),"Preaux.")</f>
        <v>Preaux.</v>
      </c>
      <c r="C125" s="55" t="str">
        <f>IFERROR(__xludf.DUMMYFUNCTION("""COMPUTED_VALUE"""),"Challenger")</f>
        <v>Challenger</v>
      </c>
      <c r="D125" s="65">
        <f>IFERROR(__xludf.DUMMYFUNCTION("""COMPUTED_VALUE"""),45.21609751551068)</f>
        <v>45.21609752</v>
      </c>
      <c r="E125" s="66">
        <f>IFERROR(__xludf.DUMMYFUNCTION("""COMPUTED_VALUE"""),49.0)</f>
        <v>49</v>
      </c>
    </row>
    <row r="126">
      <c r="A126" s="55" t="str">
        <f>IFERROR(__xludf.DUMMYFUNCTION("""COMPUTED_VALUE"""),"RSC003737")</f>
        <v>RSC003737</v>
      </c>
      <c r="B126" s="60" t="str">
        <f>IFERROR(__xludf.DUMMYFUNCTION("""COMPUTED_VALUE"""),"MeOnDisplay")</f>
        <v>MeOnDisplay</v>
      </c>
      <c r="C126" s="55" t="str">
        <f>IFERROR(__xludf.DUMMYFUNCTION("""COMPUTED_VALUE"""),"Challenger")</f>
        <v>Challenger</v>
      </c>
      <c r="D126" s="65">
        <f>IFERROR(__xludf.DUMMYFUNCTION("""COMPUTED_VALUE"""),44.65373464888235)</f>
        <v>44.65373465</v>
      </c>
      <c r="E126" s="66">
        <f>IFERROR(__xludf.DUMMYFUNCTION("""COMPUTED_VALUE"""),11.0)</f>
        <v>11</v>
      </c>
    </row>
    <row r="127">
      <c r="A127" s="55" t="str">
        <f>IFERROR(__xludf.DUMMYFUNCTION("""COMPUTED_VALUE"""),"RSC007537")</f>
        <v>RSC007537</v>
      </c>
      <c r="B127" s="60" t="str">
        <f>IFERROR(__xludf.DUMMYFUNCTION("""COMPUTED_VALUE"""),"yoshawatt")</f>
        <v>yoshawatt</v>
      </c>
      <c r="C127" s="55" t="str">
        <f>IFERROR(__xludf.DUMMYFUNCTION("""COMPUTED_VALUE"""),"Challenger")</f>
        <v>Challenger</v>
      </c>
      <c r="D127" s="65">
        <f>IFERROR(__xludf.DUMMYFUNCTION("""COMPUTED_VALUE"""),44.18001806085016)</f>
        <v>44.18001806</v>
      </c>
      <c r="E127" s="66">
        <f>IFERROR(__xludf.DUMMYFUNCTION("""COMPUTED_VALUE"""),29.0)</f>
        <v>29</v>
      </c>
    </row>
    <row r="128">
      <c r="A128" s="55" t="str">
        <f>IFERROR(__xludf.DUMMYFUNCTION("""COMPUTED_VALUE"""),"RSC007423")</f>
        <v>RSC007423</v>
      </c>
      <c r="B128" s="60" t="str">
        <f>IFERROR(__xludf.DUMMYFUNCTION("""COMPUTED_VALUE"""),"Valuedsquash465")</f>
        <v>Valuedsquash465</v>
      </c>
      <c r="C128" s="55" t="str">
        <f>IFERROR(__xludf.DUMMYFUNCTION("""COMPUTED_VALUE"""),"Challenger")</f>
        <v>Challenger</v>
      </c>
      <c r="D128" s="65">
        <f>IFERROR(__xludf.DUMMYFUNCTION("""COMPUTED_VALUE"""),43.362106249270035)</f>
        <v>43.36210625</v>
      </c>
      <c r="E128" s="66">
        <f>IFERROR(__xludf.DUMMYFUNCTION("""COMPUTED_VALUE"""),13.0)</f>
        <v>13</v>
      </c>
    </row>
    <row r="129">
      <c r="A129" s="55" t="str">
        <f>IFERROR(__xludf.DUMMYFUNCTION("""COMPUTED_VALUE"""),"RSC000053")</f>
        <v>RSC000053</v>
      </c>
      <c r="B129" s="60" t="str">
        <f>IFERROR(__xludf.DUMMYFUNCTION("""COMPUTED_VALUE"""),"its_lost")</f>
        <v>its_lost</v>
      </c>
      <c r="C129" s="55" t="str">
        <f>IFERROR(__xludf.DUMMYFUNCTION("""COMPUTED_VALUE"""),"Challenger")</f>
        <v>Challenger</v>
      </c>
      <c r="D129" s="65">
        <f>IFERROR(__xludf.DUMMYFUNCTION("""COMPUTED_VALUE"""),43.32951723310988)</f>
        <v>43.32951723</v>
      </c>
      <c r="E129" s="66">
        <f>IFERROR(__xludf.DUMMYFUNCTION("""COMPUTED_VALUE"""),47.0)</f>
        <v>47</v>
      </c>
    </row>
    <row r="130">
      <c r="A130" s="55" t="str">
        <f>IFERROR(__xludf.DUMMYFUNCTION("""COMPUTED_VALUE"""),"RSC000812")</f>
        <v>RSC000812</v>
      </c>
      <c r="B130" s="60" t="str">
        <f>IFERROR(__xludf.DUMMYFUNCTION("""COMPUTED_VALUE"""),"LustLizard")</f>
        <v>LustLizard</v>
      </c>
      <c r="C130" s="55" t="str">
        <f>IFERROR(__xludf.DUMMYFUNCTION("""COMPUTED_VALUE"""),"Challenger")</f>
        <v>Challenger</v>
      </c>
      <c r="D130" s="65">
        <f>IFERROR(__xludf.DUMMYFUNCTION("""COMPUTED_VALUE"""),43.117021974806555)</f>
        <v>43.11702197</v>
      </c>
      <c r="E130" s="66">
        <f>IFERROR(__xludf.DUMMYFUNCTION("""COMPUTED_VALUE"""),38.0)</f>
        <v>38</v>
      </c>
    </row>
    <row r="131">
      <c r="A131" s="55" t="str">
        <f>IFERROR(__xludf.DUMMYFUNCTION("""COMPUTED_VALUE"""),"RSC006369")</f>
        <v>RSC006369</v>
      </c>
      <c r="B131" s="60" t="str">
        <f>IFERROR(__xludf.DUMMYFUNCTION("""COMPUTED_VALUE"""),"nate")</f>
        <v>nate</v>
      </c>
      <c r="C131" s="55" t="str">
        <f>IFERROR(__xludf.DUMMYFUNCTION("""COMPUTED_VALUE"""),"Challenger")</f>
        <v>Challenger</v>
      </c>
      <c r="D131" s="65">
        <f>IFERROR(__xludf.DUMMYFUNCTION("""COMPUTED_VALUE"""),42.89912647441512)</f>
        <v>42.89912647</v>
      </c>
      <c r="E131" s="66">
        <f>IFERROR(__xludf.DUMMYFUNCTION("""COMPUTED_VALUE"""),4.0)</f>
        <v>4</v>
      </c>
    </row>
    <row r="132">
      <c r="A132" s="55" t="str">
        <f>IFERROR(__xludf.DUMMYFUNCTION("""COMPUTED_VALUE"""),"RSC003387")</f>
        <v>RSC003387</v>
      </c>
      <c r="B132" s="60" t="str">
        <f>IFERROR(__xludf.DUMMYFUNCTION("""COMPUTED_VALUE"""),"Redline")</f>
        <v>Redline</v>
      </c>
      <c r="C132" s="55" t="str">
        <f>IFERROR(__xludf.DUMMYFUNCTION("""COMPUTED_VALUE"""),"Challenger")</f>
        <v>Challenger</v>
      </c>
      <c r="D132" s="65">
        <f>IFERROR(__xludf.DUMMYFUNCTION("""COMPUTED_VALUE"""),42.8678594063104)</f>
        <v>42.86785941</v>
      </c>
      <c r="E132" s="66">
        <f>IFERROR(__xludf.DUMMYFUNCTION("""COMPUTED_VALUE"""),30.0)</f>
        <v>30</v>
      </c>
    </row>
    <row r="133">
      <c r="A133" s="55" t="str">
        <f>IFERROR(__xludf.DUMMYFUNCTION("""COMPUTED_VALUE"""),"RSC008218")</f>
        <v>RSC008218</v>
      </c>
      <c r="B133" s="60" t="str">
        <f>IFERROR(__xludf.DUMMYFUNCTION("""COMPUTED_VALUE"""),"Korrello")</f>
        <v>Korrello</v>
      </c>
      <c r="C133" s="55" t="str">
        <f>IFERROR(__xludf.DUMMYFUNCTION("""COMPUTED_VALUE"""),"Challenger")</f>
        <v>Challenger</v>
      </c>
      <c r="D133" s="65">
        <f>IFERROR(__xludf.DUMMYFUNCTION("""COMPUTED_VALUE"""),42.8401184392747)</f>
        <v>42.84011844</v>
      </c>
      <c r="E133" s="66">
        <f>IFERROR(__xludf.DUMMYFUNCTION("""COMPUTED_VALUE"""),30.0)</f>
        <v>30</v>
      </c>
    </row>
    <row r="134">
      <c r="A134" s="55" t="str">
        <f>IFERROR(__xludf.DUMMYFUNCTION("""COMPUTED_VALUE"""),"RSC000221")</f>
        <v>RSC000221</v>
      </c>
      <c r="B134" s="60" t="str">
        <f>IFERROR(__xludf.DUMMYFUNCTION("""COMPUTED_VALUE"""),"Treefrog")</f>
        <v>Treefrog</v>
      </c>
      <c r="C134" s="55" t="str">
        <f>IFERROR(__xludf.DUMMYFUNCTION("""COMPUTED_VALUE"""),"Challenger")</f>
        <v>Challenger</v>
      </c>
      <c r="D134" s="65">
        <f>IFERROR(__xludf.DUMMYFUNCTION("""COMPUTED_VALUE"""),42.252027161176734)</f>
        <v>42.25202716</v>
      </c>
      <c r="E134" s="66">
        <f>IFERROR(__xludf.DUMMYFUNCTION("""COMPUTED_VALUE"""),44.0)</f>
        <v>44</v>
      </c>
    </row>
    <row r="135">
      <c r="A135" s="55" t="str">
        <f>IFERROR(__xludf.DUMMYFUNCTION("""COMPUTED_VALUE"""),"RSC007141")</f>
        <v>RSC007141</v>
      </c>
      <c r="B135" s="60" t="str">
        <f>IFERROR(__xludf.DUMMYFUNCTION("""COMPUTED_VALUE"""),"Cuddlingus")</f>
        <v>Cuddlingus</v>
      </c>
      <c r="C135" s="55" t="str">
        <f>IFERROR(__xludf.DUMMYFUNCTION("""COMPUTED_VALUE"""),"Challenger")</f>
        <v>Challenger</v>
      </c>
      <c r="D135" s="65">
        <f>IFERROR(__xludf.DUMMYFUNCTION("""COMPUTED_VALUE"""),42.06323464773869)</f>
        <v>42.06323465</v>
      </c>
      <c r="E135" s="66">
        <f>IFERROR(__xludf.DUMMYFUNCTION("""COMPUTED_VALUE"""),40.0)</f>
        <v>40</v>
      </c>
    </row>
    <row r="136">
      <c r="A136" s="55" t="str">
        <f>IFERROR(__xludf.DUMMYFUNCTION("""COMPUTED_VALUE"""),"RSC007866")</f>
        <v>RSC007866</v>
      </c>
      <c r="B136" s="60" t="str">
        <f>IFERROR(__xludf.DUMMYFUNCTION("""COMPUTED_VALUE"""),"Swzyy GN")</f>
        <v>Swzyy GN</v>
      </c>
      <c r="C136" s="55" t="str">
        <f>IFERROR(__xludf.DUMMYFUNCTION("""COMPUTED_VALUE"""),"Challenger")</f>
        <v>Challenger</v>
      </c>
      <c r="D136" s="65">
        <f>IFERROR(__xludf.DUMMYFUNCTION("""COMPUTED_VALUE"""),41.94467873609261)</f>
        <v>41.94467874</v>
      </c>
      <c r="E136" s="66">
        <f>IFERROR(__xludf.DUMMYFUNCTION("""COMPUTED_VALUE"""),45.0)</f>
        <v>45</v>
      </c>
    </row>
    <row r="137">
      <c r="A137" s="55" t="str">
        <f>IFERROR(__xludf.DUMMYFUNCTION("""COMPUTED_VALUE"""),"RSC008222")</f>
        <v>RSC008222</v>
      </c>
      <c r="B137" s="60" t="str">
        <f>IFERROR(__xludf.DUMMYFUNCTION("""COMPUTED_VALUE"""),"Alfredo")</f>
        <v>Alfredo</v>
      </c>
      <c r="C137" s="55" t="str">
        <f>IFERROR(__xludf.DUMMYFUNCTION("""COMPUTED_VALUE"""),"Challenger")</f>
        <v>Challenger</v>
      </c>
      <c r="D137" s="65">
        <f>IFERROR(__xludf.DUMMYFUNCTION("""COMPUTED_VALUE"""),41.890981918779886)</f>
        <v>41.89098192</v>
      </c>
      <c r="E137" s="66">
        <f>IFERROR(__xludf.DUMMYFUNCTION("""COMPUTED_VALUE"""),30.0)</f>
        <v>30</v>
      </c>
    </row>
    <row r="138">
      <c r="A138" s="55" t="str">
        <f>IFERROR(__xludf.DUMMYFUNCTION("""COMPUTED_VALUE"""),"RSC005219")</f>
        <v>RSC005219</v>
      </c>
      <c r="B138" s="60" t="str">
        <f>IFERROR(__xludf.DUMMYFUNCTION("""COMPUTED_VALUE"""),"iargue")</f>
        <v>iargue</v>
      </c>
      <c r="C138" s="55" t="str">
        <f>IFERROR(__xludf.DUMMYFUNCTION("""COMPUTED_VALUE"""),"Challenger")</f>
        <v>Challenger</v>
      </c>
      <c r="D138" s="65">
        <f>IFERROR(__xludf.DUMMYFUNCTION("""COMPUTED_VALUE"""),41.70863496733148)</f>
        <v>41.70863497</v>
      </c>
      <c r="E138" s="66">
        <f>IFERROR(__xludf.DUMMYFUNCTION("""COMPUTED_VALUE"""),17.0)</f>
        <v>17</v>
      </c>
    </row>
    <row r="139">
      <c r="A139" s="55" t="str">
        <f>IFERROR(__xludf.DUMMYFUNCTION("""COMPUTED_VALUE"""),"RSC007525")</f>
        <v>RSC007525</v>
      </c>
      <c r="B139" s="60" t="str">
        <f>IFERROR(__xludf.DUMMYFUNCTION("""COMPUTED_VALUE"""),"BulletNote")</f>
        <v>BulletNote</v>
      </c>
      <c r="C139" s="55" t="str">
        <f>IFERROR(__xludf.DUMMYFUNCTION("""COMPUTED_VALUE"""),"Challenger")</f>
        <v>Challenger</v>
      </c>
      <c r="D139" s="65">
        <f>IFERROR(__xludf.DUMMYFUNCTION("""COMPUTED_VALUE"""),41.61425561939143)</f>
        <v>41.61425562</v>
      </c>
      <c r="E139" s="66">
        <f>IFERROR(__xludf.DUMMYFUNCTION("""COMPUTED_VALUE"""),34.0)</f>
        <v>34</v>
      </c>
    </row>
    <row r="140">
      <c r="A140" s="55" t="str">
        <f>IFERROR(__xludf.DUMMYFUNCTION("""COMPUTED_VALUE"""),"RSC004498")</f>
        <v>RSC004498</v>
      </c>
      <c r="B140" s="60" t="str">
        <f>IFERROR(__xludf.DUMMYFUNCTION("""COMPUTED_VALUE"""),"S1r Duck")</f>
        <v>S1r Duck</v>
      </c>
      <c r="C140" s="55" t="str">
        <f>IFERROR(__xludf.DUMMYFUNCTION("""COMPUTED_VALUE"""),"Challenger")</f>
        <v>Challenger</v>
      </c>
      <c r="D140" s="65">
        <f>IFERROR(__xludf.DUMMYFUNCTION("""COMPUTED_VALUE"""),41.4240059697796)</f>
        <v>41.42400597</v>
      </c>
      <c r="E140" s="66">
        <f>IFERROR(__xludf.DUMMYFUNCTION("""COMPUTED_VALUE"""),4.0)</f>
        <v>4</v>
      </c>
    </row>
    <row r="141">
      <c r="A141" s="55" t="str">
        <f>IFERROR(__xludf.DUMMYFUNCTION("""COMPUTED_VALUE"""),"RSC007692")</f>
        <v>RSC007692</v>
      </c>
      <c r="B141" s="60" t="str">
        <f>IFERROR(__xludf.DUMMYFUNCTION("""COMPUTED_VALUE"""),"Unc_DyLon")</f>
        <v>Unc_DyLon</v>
      </c>
      <c r="C141" s="55" t="str">
        <f>IFERROR(__xludf.DUMMYFUNCTION("""COMPUTED_VALUE"""),"Challenger")</f>
        <v>Challenger</v>
      </c>
      <c r="D141" s="65">
        <f>IFERROR(__xludf.DUMMYFUNCTION("""COMPUTED_VALUE"""),40.902480529228946)</f>
        <v>40.90248053</v>
      </c>
      <c r="E141" s="66">
        <f>IFERROR(__xludf.DUMMYFUNCTION("""COMPUTED_VALUE"""),51.0)</f>
        <v>51</v>
      </c>
    </row>
    <row r="142">
      <c r="A142" s="55" t="str">
        <f>IFERROR(__xludf.DUMMYFUNCTION("""COMPUTED_VALUE"""),"RSC003900")</f>
        <v>RSC003900</v>
      </c>
      <c r="B142" s="60" t="str">
        <f>IFERROR(__xludf.DUMMYFUNCTION("""COMPUTED_VALUE"""),"Tryhard goblin")</f>
        <v>Tryhard goblin</v>
      </c>
      <c r="C142" s="55" t="str">
        <f>IFERROR(__xludf.DUMMYFUNCTION("""COMPUTED_VALUE"""),"Challenger")</f>
        <v>Challenger</v>
      </c>
      <c r="D142" s="65">
        <f>IFERROR(__xludf.DUMMYFUNCTION("""COMPUTED_VALUE"""),40.354535010715)</f>
        <v>40.35453501</v>
      </c>
      <c r="E142" s="66">
        <f>IFERROR(__xludf.DUMMYFUNCTION("""COMPUTED_VALUE"""),52.0)</f>
        <v>52</v>
      </c>
    </row>
    <row r="143">
      <c r="A143" s="55" t="str">
        <f>IFERROR(__xludf.DUMMYFUNCTION("""COMPUTED_VALUE"""),"RSC006822")</f>
        <v>RSC006822</v>
      </c>
      <c r="B143" s="60" t="str">
        <f>IFERROR(__xludf.DUMMYFUNCTION("""COMPUTED_VALUE"""),"itsu_desu")</f>
        <v>itsu_desu</v>
      </c>
      <c r="C143" s="55" t="str">
        <f>IFERROR(__xludf.DUMMYFUNCTION("""COMPUTED_VALUE"""),"Challenger")</f>
        <v>Challenger</v>
      </c>
      <c r="D143" s="65">
        <f>IFERROR(__xludf.DUMMYFUNCTION("""COMPUTED_VALUE"""),40.082523971552284)</f>
        <v>40.08252397</v>
      </c>
      <c r="E143" s="66">
        <f>IFERROR(__xludf.DUMMYFUNCTION("""COMPUTED_VALUE"""),35.0)</f>
        <v>35</v>
      </c>
    </row>
    <row r="144">
      <c r="A144" s="55" t="str">
        <f>IFERROR(__xludf.DUMMYFUNCTION("""COMPUTED_VALUE"""),"RSC006784")</f>
        <v>RSC006784</v>
      </c>
      <c r="B144" s="60" t="str">
        <f>IFERROR(__xludf.DUMMYFUNCTION("""COMPUTED_VALUE"""),"KittyMeowMeow360")</f>
        <v>KittyMeowMeow360</v>
      </c>
      <c r="C144" s="55" t="str">
        <f>IFERROR(__xludf.DUMMYFUNCTION("""COMPUTED_VALUE"""),"Challenger")</f>
        <v>Challenger</v>
      </c>
      <c r="D144" s="65">
        <f>IFERROR(__xludf.DUMMYFUNCTION("""COMPUTED_VALUE"""),39.7817527914409)</f>
        <v>39.78175279</v>
      </c>
      <c r="E144" s="66">
        <f>IFERROR(__xludf.DUMMYFUNCTION("""COMPUTED_VALUE"""),47.0)</f>
        <v>47</v>
      </c>
    </row>
    <row r="145">
      <c r="A145" s="55" t="str">
        <f>IFERROR(__xludf.DUMMYFUNCTION("""COMPUTED_VALUE"""),"RSC008120")</f>
        <v>RSC008120</v>
      </c>
      <c r="B145" s="60" t="str">
        <f>IFERROR(__xludf.DUMMYFUNCTION("""COMPUTED_VALUE"""),"spul4k")</f>
        <v>spul4k</v>
      </c>
      <c r="C145" s="55" t="str">
        <f>IFERROR(__xludf.DUMMYFUNCTION("""COMPUTED_VALUE"""),"Challenger")</f>
        <v>Challenger</v>
      </c>
      <c r="D145" s="65">
        <f>IFERROR(__xludf.DUMMYFUNCTION("""COMPUTED_VALUE"""),38.923793788397916)</f>
        <v>38.92379379</v>
      </c>
      <c r="E145" s="66">
        <f>IFERROR(__xludf.DUMMYFUNCTION("""COMPUTED_VALUE"""),40.0)</f>
        <v>40</v>
      </c>
    </row>
    <row r="146">
      <c r="A146" s="55" t="str">
        <f>IFERROR(__xludf.DUMMYFUNCTION("""COMPUTED_VALUE"""),"RSC000426")</f>
        <v>RSC000426</v>
      </c>
      <c r="B146" s="60" t="str">
        <f>IFERROR(__xludf.DUMMYFUNCTION("""COMPUTED_VALUE"""),"struttrl")</f>
        <v>struttrl</v>
      </c>
      <c r="C146" s="55" t="str">
        <f>IFERROR(__xludf.DUMMYFUNCTION("""COMPUTED_VALUE"""),"Challenger")</f>
        <v>Challenger</v>
      </c>
      <c r="D146" s="65">
        <f>IFERROR(__xludf.DUMMYFUNCTION("""COMPUTED_VALUE"""),38.52233093654476)</f>
        <v>38.52233094</v>
      </c>
      <c r="E146" s="66">
        <f>IFERROR(__xludf.DUMMYFUNCTION("""COMPUTED_VALUE"""),26.0)</f>
        <v>26</v>
      </c>
    </row>
    <row r="147">
      <c r="A147" s="55" t="str">
        <f>IFERROR(__xludf.DUMMYFUNCTION("""COMPUTED_VALUE"""),"RSC005397")</f>
        <v>RSC005397</v>
      </c>
      <c r="B147" s="60" t="str">
        <f>IFERROR(__xludf.DUMMYFUNCTION("""COMPUTED_VALUE"""),"PridedBird3406")</f>
        <v>PridedBird3406</v>
      </c>
      <c r="C147" s="55" t="str">
        <f>IFERROR(__xludf.DUMMYFUNCTION("""COMPUTED_VALUE"""),"Challenger")</f>
        <v>Challenger</v>
      </c>
      <c r="D147" s="65">
        <f>IFERROR(__xludf.DUMMYFUNCTION("""COMPUTED_VALUE"""),36.991978553518926)</f>
        <v>36.99197855</v>
      </c>
      <c r="E147" s="66">
        <f>IFERROR(__xludf.DUMMYFUNCTION("""COMPUTED_VALUE"""),44.0)</f>
        <v>44</v>
      </c>
    </row>
    <row r="148">
      <c r="A148" s="55" t="str">
        <f>IFERROR(__xludf.DUMMYFUNCTION("""COMPUTED_VALUE"""),"RSC005884")</f>
        <v>RSC005884</v>
      </c>
      <c r="B148" s="60" t="str">
        <f>IFERROR(__xludf.DUMMYFUNCTION("""COMPUTED_VALUE"""),"Zachthebull36")</f>
        <v>Zachthebull36</v>
      </c>
      <c r="C148" s="55" t="str">
        <f>IFERROR(__xludf.DUMMYFUNCTION("""COMPUTED_VALUE"""),"Challenger")</f>
        <v>Challenger</v>
      </c>
      <c r="D148" s="65">
        <f>IFERROR(__xludf.DUMMYFUNCTION("""COMPUTED_VALUE"""),36.72623724783451)</f>
        <v>36.72623725</v>
      </c>
      <c r="E148" s="66">
        <f>IFERROR(__xludf.DUMMYFUNCTION("""COMPUTED_VALUE"""),40.0)</f>
        <v>40</v>
      </c>
    </row>
    <row r="149">
      <c r="A149" s="55" t="str">
        <f>IFERROR(__xludf.DUMMYFUNCTION("""COMPUTED_VALUE"""),"RSC006755")</f>
        <v>RSC006755</v>
      </c>
      <c r="B149" s="60" t="str">
        <f>IFERROR(__xludf.DUMMYFUNCTION("""COMPUTED_VALUE"""),"Fox_gt_400")</f>
        <v>Fox_gt_400</v>
      </c>
      <c r="C149" s="55" t="str">
        <f>IFERROR(__xludf.DUMMYFUNCTION("""COMPUTED_VALUE"""),"Challenger")</f>
        <v>Challenger</v>
      </c>
      <c r="D149" s="65">
        <f>IFERROR(__xludf.DUMMYFUNCTION("""COMPUTED_VALUE"""),34.92655346080305)</f>
        <v>34.92655346</v>
      </c>
      <c r="E149" s="66">
        <f>IFERROR(__xludf.DUMMYFUNCTION("""COMPUTED_VALUE"""),29.0)</f>
        <v>29</v>
      </c>
    </row>
    <row r="150">
      <c r="A150" s="55" t="str">
        <f>IFERROR(__xludf.DUMMYFUNCTION("""COMPUTED_VALUE"""),"RSC006586")</f>
        <v>RSC006586</v>
      </c>
      <c r="B150" s="60" t="str">
        <f>IFERROR(__xludf.DUMMYFUNCTION("""COMPUTED_VALUE"""),"dino_chick3n")</f>
        <v>dino_chick3n</v>
      </c>
      <c r="C150" s="55" t="str">
        <f>IFERROR(__xludf.DUMMYFUNCTION("""COMPUTED_VALUE"""),"Challenger")</f>
        <v>Challenger</v>
      </c>
      <c r="D150" s="65">
        <f>IFERROR(__xludf.DUMMYFUNCTION("""COMPUTED_VALUE"""),33.540073338286994)</f>
        <v>33.54007334</v>
      </c>
      <c r="E150" s="66">
        <f>IFERROR(__xludf.DUMMYFUNCTION("""COMPUTED_VALUE"""),36.0)</f>
        <v>36</v>
      </c>
    </row>
    <row r="151">
      <c r="A151" s="55" t="str">
        <f>IFERROR(__xludf.DUMMYFUNCTION("""COMPUTED_VALUE"""),"RSC006966")</f>
        <v>RSC006966</v>
      </c>
      <c r="B151" s="60" t="str">
        <f>IFERROR(__xludf.DUMMYFUNCTION("""COMPUTED_VALUE"""),"Pivot97")</f>
        <v>Pivot97</v>
      </c>
      <c r="C151" s="55" t="str">
        <f>IFERROR(__xludf.DUMMYFUNCTION("""COMPUTED_VALUE"""),"Challenger")</f>
        <v>Challenger</v>
      </c>
      <c r="D151" s="65">
        <f>IFERROR(__xludf.DUMMYFUNCTION("""COMPUTED_VALUE"""),33.38770265157977)</f>
        <v>33.38770265</v>
      </c>
      <c r="E151" s="66">
        <f>IFERROR(__xludf.DUMMYFUNCTION("""COMPUTED_VALUE"""),21.0)</f>
        <v>21</v>
      </c>
    </row>
    <row r="152">
      <c r="A152" s="55" t="str">
        <f>IFERROR(__xludf.DUMMYFUNCTION("""COMPUTED_VALUE"""),"RSC006569")</f>
        <v>RSC006569</v>
      </c>
      <c r="B152" s="60" t="str">
        <f>IFERROR(__xludf.DUMMYFUNCTION("""COMPUTED_VALUE"""),"mulliganisoup")</f>
        <v>mulliganisoup</v>
      </c>
      <c r="C152" s="55" t="str">
        <f>IFERROR(__xludf.DUMMYFUNCTION("""COMPUTED_VALUE"""),"Challenger")</f>
        <v>Challenger</v>
      </c>
      <c r="D152" s="65">
        <f>IFERROR(__xludf.DUMMYFUNCTION("""COMPUTED_VALUE"""),32.807253240907826)</f>
        <v>32.80725324</v>
      </c>
      <c r="E152" s="66">
        <f>IFERROR(__xludf.DUMMYFUNCTION("""COMPUTED_VALUE"""),24.0)</f>
        <v>24</v>
      </c>
    </row>
    <row r="153">
      <c r="A153" s="55" t="str">
        <f>IFERROR(__xludf.DUMMYFUNCTION("""COMPUTED_VALUE"""),"RSC008492")</f>
        <v>RSC008492</v>
      </c>
      <c r="B153" s="60" t="str">
        <f>IFERROR(__xludf.DUMMYFUNCTION("""COMPUTED_VALUE"""),"Unc_Rez")</f>
        <v>Unc_Rez</v>
      </c>
      <c r="C153" s="55" t="str">
        <f>IFERROR(__xludf.DUMMYFUNCTION("""COMPUTED_VALUE"""),"Challenger")</f>
        <v>Challenger</v>
      </c>
      <c r="D153" s="65">
        <f>IFERROR(__xludf.DUMMYFUNCTION("""COMPUTED_VALUE"""),32.71139008106822)</f>
        <v>32.71139008</v>
      </c>
      <c r="E153" s="66">
        <f>IFERROR(__xludf.DUMMYFUNCTION("""COMPUTED_VALUE"""),28.0)</f>
        <v>28</v>
      </c>
    </row>
    <row r="154">
      <c r="A154" s="55" t="str">
        <f>IFERROR(__xludf.DUMMYFUNCTION("""COMPUTED_VALUE"""),"RSC008188")</f>
        <v>RSC008188</v>
      </c>
      <c r="B154" s="60" t="str">
        <f>IFERROR(__xludf.DUMMYFUNCTION("""COMPUTED_VALUE"""),"SludgeMixFuzz")</f>
        <v>SludgeMixFuzz</v>
      </c>
      <c r="C154" s="55" t="str">
        <f>IFERROR(__xludf.DUMMYFUNCTION("""COMPUTED_VALUE"""),"Challenger")</f>
        <v>Challenger</v>
      </c>
      <c r="D154" s="65">
        <f>IFERROR(__xludf.DUMMYFUNCTION("""COMPUTED_VALUE"""),32.0194701806562)</f>
        <v>32.01947018</v>
      </c>
      <c r="E154" s="66">
        <f>IFERROR(__xludf.DUMMYFUNCTION("""COMPUTED_VALUE"""),45.0)</f>
        <v>45</v>
      </c>
    </row>
    <row r="155">
      <c r="A155" s="55" t="str">
        <f>IFERROR(__xludf.DUMMYFUNCTION("""COMPUTED_VALUE"""),"RSC006667")</f>
        <v>RSC006667</v>
      </c>
      <c r="B155" s="60" t="str">
        <f>IFERROR(__xludf.DUMMYFUNCTION("""COMPUTED_VALUE"""),"GET2DACHOPPA5")</f>
        <v>GET2DACHOPPA5</v>
      </c>
      <c r="C155" s="55" t="str">
        <f>IFERROR(__xludf.DUMMYFUNCTION("""COMPUTED_VALUE"""),"Challenger")</f>
        <v>Challenger</v>
      </c>
      <c r="D155" s="65">
        <f>IFERROR(__xludf.DUMMYFUNCTION("""COMPUTED_VALUE"""),32.01719019651448)</f>
        <v>32.0171902</v>
      </c>
      <c r="E155" s="66">
        <f>IFERROR(__xludf.DUMMYFUNCTION("""COMPUTED_VALUE"""),23.0)</f>
        <v>23</v>
      </c>
    </row>
    <row r="156">
      <c r="A156" s="55" t="str">
        <f>IFERROR(__xludf.DUMMYFUNCTION("""COMPUTED_VALUE"""),"RSC005139")</f>
        <v>RSC005139</v>
      </c>
      <c r="B156" s="60" t="str">
        <f>IFERROR(__xludf.DUMMYFUNCTION("""COMPUTED_VALUE"""),"brillo_padd")</f>
        <v>brillo_padd</v>
      </c>
      <c r="C156" s="55" t="str">
        <f>IFERROR(__xludf.DUMMYFUNCTION("""COMPUTED_VALUE"""),"Challenger")</f>
        <v>Challenger</v>
      </c>
      <c r="D156" s="65">
        <f>IFERROR(__xludf.DUMMYFUNCTION("""COMPUTED_VALUE"""),31.766530506845257)</f>
        <v>31.76653051</v>
      </c>
      <c r="E156" s="66">
        <f>IFERROR(__xludf.DUMMYFUNCTION("""COMPUTED_VALUE"""),32.0)</f>
        <v>32</v>
      </c>
    </row>
    <row r="157">
      <c r="A157" s="55" t="str">
        <f>IFERROR(__xludf.DUMMYFUNCTION("""COMPUTED_VALUE"""),"RSC006758")</f>
        <v>RSC006758</v>
      </c>
      <c r="B157" s="60" t="str">
        <f>IFERROR(__xludf.DUMMYFUNCTION("""COMPUTED_VALUE"""),"El Booger Sugar")</f>
        <v>El Booger Sugar</v>
      </c>
      <c r="C157" s="55" t="str">
        <f>IFERROR(__xludf.DUMMYFUNCTION("""COMPUTED_VALUE"""),"Challenger")</f>
        <v>Challenger</v>
      </c>
      <c r="D157" s="65">
        <f>IFERROR(__xludf.DUMMYFUNCTION("""COMPUTED_VALUE"""),31.1059221349037)</f>
        <v>31.10592213</v>
      </c>
      <c r="E157" s="66">
        <f>IFERROR(__xludf.DUMMYFUNCTION("""COMPUTED_VALUE"""),15.0)</f>
        <v>15</v>
      </c>
    </row>
    <row r="158">
      <c r="A158" s="55" t="str">
        <f>IFERROR(__xludf.DUMMYFUNCTION("""COMPUTED_VALUE"""),"RSC008552")</f>
        <v>RSC008552</v>
      </c>
      <c r="B158" s="60" t="str">
        <f>IFERROR(__xludf.DUMMYFUNCTION("""COMPUTED_VALUE"""),"S0UL09")</f>
        <v>S0UL09</v>
      </c>
      <c r="C158" s="55" t="str">
        <f>IFERROR(__xludf.DUMMYFUNCTION("""COMPUTED_VALUE"""),"Challenger")</f>
        <v>Challenger</v>
      </c>
      <c r="D158" s="65">
        <f>IFERROR(__xludf.DUMMYFUNCTION("""COMPUTED_VALUE"""),30.78682531284864)</f>
        <v>30.78682531</v>
      </c>
      <c r="E158" s="66">
        <f>IFERROR(__xludf.DUMMYFUNCTION("""COMPUTED_VALUE"""),4.0)</f>
        <v>4</v>
      </c>
    </row>
    <row r="159">
      <c r="A159" s="55" t="str">
        <f>IFERROR(__xludf.DUMMYFUNCTION("""COMPUTED_VALUE"""),"RSC005136")</f>
        <v>RSC005136</v>
      </c>
      <c r="B159" s="60" t="str">
        <f>IFERROR(__xludf.DUMMYFUNCTION("""COMPUTED_VALUE"""),"tdogplayz")</f>
        <v>tdogplayz</v>
      </c>
      <c r="C159" s="55" t="str">
        <f>IFERROR(__xludf.DUMMYFUNCTION("""COMPUTED_VALUE"""),"Challenger")</f>
        <v>Challenger</v>
      </c>
      <c r="D159" s="65">
        <f>IFERROR(__xludf.DUMMYFUNCTION("""COMPUTED_VALUE"""),30.313055994341145)</f>
        <v>30.31305599</v>
      </c>
      <c r="E159" s="66">
        <f>IFERROR(__xludf.DUMMYFUNCTION("""COMPUTED_VALUE"""),50.0)</f>
        <v>50</v>
      </c>
    </row>
    <row r="160">
      <c r="A160" s="55" t="str">
        <f>IFERROR(__xludf.DUMMYFUNCTION("""COMPUTED_VALUE"""),"RSC000351")</f>
        <v>RSC000351</v>
      </c>
      <c r="B160" s="60" t="str">
        <f>IFERROR(__xludf.DUMMYFUNCTION("""COMPUTED_VALUE"""),"Mitzi")</f>
        <v>Mitzi</v>
      </c>
      <c r="C160" s="55" t="str">
        <f>IFERROR(__xludf.DUMMYFUNCTION("""COMPUTED_VALUE"""),"Challenger")</f>
        <v>Challenger</v>
      </c>
      <c r="D160" s="65">
        <f>IFERROR(__xludf.DUMMYFUNCTION("""COMPUTED_VALUE"""),29.5956631826782)</f>
        <v>29.59566318</v>
      </c>
      <c r="E160" s="66">
        <f>IFERROR(__xludf.DUMMYFUNCTION("""COMPUTED_VALUE"""),32.0)</f>
        <v>32</v>
      </c>
    </row>
    <row r="161">
      <c r="A161" s="55" t="str">
        <f>IFERROR(__xludf.DUMMYFUNCTION("""COMPUTED_VALUE"""),"RSC007431")</f>
        <v>RSC007431</v>
      </c>
      <c r="B161" s="60" t="str">
        <f>IFERROR(__xludf.DUMMYFUNCTION("""COMPUTED_VALUE"""),"xPotatodactylx")</f>
        <v>xPotatodactylx</v>
      </c>
      <c r="C161" s="55" t="str">
        <f>IFERROR(__xludf.DUMMYFUNCTION("""COMPUTED_VALUE"""),"Challenger")</f>
        <v>Challenger</v>
      </c>
      <c r="D161" s="65">
        <f>IFERROR(__xludf.DUMMYFUNCTION("""COMPUTED_VALUE"""),29.469151231074324)</f>
        <v>29.46915123</v>
      </c>
      <c r="E161" s="66">
        <f>IFERROR(__xludf.DUMMYFUNCTION("""COMPUTED_VALUE"""),46.0)</f>
        <v>46</v>
      </c>
    </row>
    <row r="162">
      <c r="A162" s="55" t="str">
        <f>IFERROR(__xludf.DUMMYFUNCTION("""COMPUTED_VALUE"""),"RSC007969")</f>
        <v>RSC007969</v>
      </c>
      <c r="B162" s="60" t="str">
        <f>IFERROR(__xludf.DUMMYFUNCTION("""COMPUTED_VALUE"""),"EcHo.rll")</f>
        <v>EcHo.rll</v>
      </c>
      <c r="C162" s="55" t="str">
        <f>IFERROR(__xludf.DUMMYFUNCTION("""COMPUTED_VALUE"""),"Challenger")</f>
        <v>Challenger</v>
      </c>
      <c r="D162" s="65">
        <f>IFERROR(__xludf.DUMMYFUNCTION("""COMPUTED_VALUE"""),29.106679079796997)</f>
        <v>29.10667908</v>
      </c>
      <c r="E162" s="66">
        <f>IFERROR(__xludf.DUMMYFUNCTION("""COMPUTED_VALUE"""),15.0)</f>
        <v>15</v>
      </c>
    </row>
    <row r="163">
      <c r="A163" s="55" t="str">
        <f>IFERROR(__xludf.DUMMYFUNCTION("""COMPUTED_VALUE"""),"RSC003223")</f>
        <v>RSC003223</v>
      </c>
      <c r="B163" s="60" t="str">
        <f>IFERROR(__xludf.DUMMYFUNCTION("""COMPUTED_VALUE"""),"AZoroARK")</f>
        <v>AZoroARK</v>
      </c>
      <c r="C163" s="55" t="str">
        <f>IFERROR(__xludf.DUMMYFUNCTION("""COMPUTED_VALUE"""),"Challenger")</f>
        <v>Challenger</v>
      </c>
      <c r="D163" s="65">
        <f>IFERROR(__xludf.DUMMYFUNCTION("""COMPUTED_VALUE"""),28.926693378721314)</f>
        <v>28.92669338</v>
      </c>
      <c r="E163" s="66">
        <f>IFERROR(__xludf.DUMMYFUNCTION("""COMPUTED_VALUE"""),22.0)</f>
        <v>22</v>
      </c>
    </row>
    <row r="164">
      <c r="A164" s="55" t="str">
        <f>IFERROR(__xludf.DUMMYFUNCTION("""COMPUTED_VALUE"""),"RSC001820")</f>
        <v>RSC001820</v>
      </c>
      <c r="B164" s="60" t="str">
        <f>IFERROR(__xludf.DUMMYFUNCTION("""COMPUTED_VALUE"""),"YourEvilTwin")</f>
        <v>YourEvilTwin</v>
      </c>
      <c r="C164" s="55" t="str">
        <f>IFERROR(__xludf.DUMMYFUNCTION("""COMPUTED_VALUE"""),"Challenger")</f>
        <v>Challenger</v>
      </c>
      <c r="D164" s="65">
        <f>IFERROR(__xludf.DUMMYFUNCTION("""COMPUTED_VALUE"""),28.90818333392346)</f>
        <v>28.90818333</v>
      </c>
      <c r="E164" s="66">
        <f>IFERROR(__xludf.DUMMYFUNCTION("""COMPUTED_VALUE"""),10.0)</f>
        <v>10</v>
      </c>
    </row>
    <row r="165">
      <c r="A165" s="55" t="str">
        <f>IFERROR(__xludf.DUMMYFUNCTION("""COMPUTED_VALUE"""),"RSC006587")</f>
        <v>RSC006587</v>
      </c>
      <c r="B165" s="60" t="str">
        <f>IFERROR(__xludf.DUMMYFUNCTION("""COMPUTED_VALUE"""),"Enterprise15")</f>
        <v>Enterprise15</v>
      </c>
      <c r="C165" s="55" t="str">
        <f>IFERROR(__xludf.DUMMYFUNCTION("""COMPUTED_VALUE"""),"Challenger")</f>
        <v>Challenger</v>
      </c>
      <c r="D165" s="65">
        <f>IFERROR(__xludf.DUMMYFUNCTION("""COMPUTED_VALUE"""),28.84044476894479)</f>
        <v>28.84044477</v>
      </c>
      <c r="E165" s="66">
        <f>IFERROR(__xludf.DUMMYFUNCTION("""COMPUTED_VALUE"""),46.0)</f>
        <v>46</v>
      </c>
    </row>
    <row r="166">
      <c r="A166" s="55" t="str">
        <f>IFERROR(__xludf.DUMMYFUNCTION("""COMPUTED_VALUE"""),"RSC003193")</f>
        <v>RSC003193</v>
      </c>
      <c r="B166" s="60" t="str">
        <f>IFERROR(__xludf.DUMMYFUNCTION("""COMPUTED_VALUE"""),"ShiftDrink")</f>
        <v>ShiftDrink</v>
      </c>
      <c r="C166" s="55" t="str">
        <f>IFERROR(__xludf.DUMMYFUNCTION("""COMPUTED_VALUE"""),"Challenger")</f>
        <v>Challenger</v>
      </c>
      <c r="D166" s="65">
        <f>IFERROR(__xludf.DUMMYFUNCTION("""COMPUTED_VALUE"""),27.22484997204542)</f>
        <v>27.22484997</v>
      </c>
      <c r="E166" s="66">
        <f>IFERROR(__xludf.DUMMYFUNCTION("""COMPUTED_VALUE"""),39.0)</f>
        <v>39</v>
      </c>
    </row>
    <row r="167">
      <c r="A167" s="55" t="str">
        <f>IFERROR(__xludf.DUMMYFUNCTION("""COMPUTED_VALUE"""),"RSC008014")</f>
        <v>RSC008014</v>
      </c>
      <c r="B167" s="60" t="str">
        <f>IFERROR(__xludf.DUMMYFUNCTION("""COMPUTED_VALUE"""),"TweakingOut")</f>
        <v>TweakingOut</v>
      </c>
      <c r="C167" s="55" t="str">
        <f>IFERROR(__xludf.DUMMYFUNCTION("""COMPUTED_VALUE"""),"Challenger")</f>
        <v>Challenger</v>
      </c>
      <c r="D167" s="65">
        <f>IFERROR(__xludf.DUMMYFUNCTION("""COMPUTED_VALUE"""),26.621896896786115)</f>
        <v>26.6218969</v>
      </c>
      <c r="E167" s="66">
        <f>IFERROR(__xludf.DUMMYFUNCTION("""COMPUTED_VALUE"""),56.0)</f>
        <v>56</v>
      </c>
    </row>
    <row r="168">
      <c r="A168" s="55" t="str">
        <f>IFERROR(__xludf.DUMMYFUNCTION("""COMPUTED_VALUE"""),"RSC005018")</f>
        <v>RSC005018</v>
      </c>
      <c r="B168" s="60" t="str">
        <f>IFERROR(__xludf.DUMMYFUNCTION("""COMPUTED_VALUE"""),"Smitty")</f>
        <v>Smitty</v>
      </c>
      <c r="C168" s="55" t="str">
        <f>IFERROR(__xludf.DUMMYFUNCTION("""COMPUTED_VALUE"""),"Challenger")</f>
        <v>Challenger</v>
      </c>
      <c r="D168" s="65">
        <f>IFERROR(__xludf.DUMMYFUNCTION("""COMPUTED_VALUE"""),22.60265146593931)</f>
        <v>22.60265147</v>
      </c>
      <c r="E168" s="66">
        <f>IFERROR(__xludf.DUMMYFUNCTION("""COMPUTED_VALUE"""),25.0)</f>
        <v>25</v>
      </c>
    </row>
    <row r="169">
      <c r="A169" s="55" t="str">
        <f>IFERROR(__xludf.DUMMYFUNCTION("""COMPUTED_VALUE"""),"RSC002796")</f>
        <v>RSC002796</v>
      </c>
      <c r="B169" s="60" t="str">
        <f>IFERROR(__xludf.DUMMYFUNCTION("""COMPUTED_VALUE"""),"Carno")</f>
        <v>Carno</v>
      </c>
      <c r="C169" s="55" t="str">
        <f>IFERROR(__xludf.DUMMYFUNCTION("""COMPUTED_VALUE"""),"Challenger")</f>
        <v>Challenger</v>
      </c>
      <c r="D169" s="65">
        <f>IFERROR(__xludf.DUMMYFUNCTION("""COMPUTED_VALUE"""),22.2201720693804)</f>
        <v>22.22017207</v>
      </c>
      <c r="E169" s="66">
        <f>IFERROR(__xludf.DUMMYFUNCTION("""COMPUTED_VALUE"""),44.0)</f>
        <v>44</v>
      </c>
    </row>
    <row r="170">
      <c r="A170" s="55" t="str">
        <f>IFERROR(__xludf.DUMMYFUNCTION("""COMPUTED_VALUE"""),"RSC005131")</f>
        <v>RSC005131</v>
      </c>
      <c r="B170" s="60" t="str">
        <f>IFERROR(__xludf.DUMMYFUNCTION("""COMPUTED_VALUE"""),"Loko Deputy")</f>
        <v>Loko Deputy</v>
      </c>
      <c r="C170" s="55" t="str">
        <f>IFERROR(__xludf.DUMMYFUNCTION("""COMPUTED_VALUE"""),"Challenger")</f>
        <v>Challenger</v>
      </c>
      <c r="D170" s="65">
        <f>IFERROR(__xludf.DUMMYFUNCTION("""COMPUTED_VALUE"""),21.725425160041507)</f>
        <v>21.72542516</v>
      </c>
      <c r="E170" s="66">
        <f>IFERROR(__xludf.DUMMYFUNCTION("""COMPUTED_VALUE"""),30.0)</f>
        <v>30</v>
      </c>
    </row>
    <row r="171">
      <c r="A171" s="55" t="str">
        <f>IFERROR(__xludf.DUMMYFUNCTION("""COMPUTED_VALUE"""),"RSC003335")</f>
        <v>RSC003335</v>
      </c>
      <c r="B171" s="60" t="str">
        <f>IFERROR(__xludf.DUMMYFUNCTION("""COMPUTED_VALUE"""),"xEaglex20x")</f>
        <v>xEaglex20x</v>
      </c>
      <c r="C171" s="55" t="str">
        <f>IFERROR(__xludf.DUMMYFUNCTION("""COMPUTED_VALUE"""),"Challenger")</f>
        <v>Challenger</v>
      </c>
      <c r="D171" s="65">
        <f>IFERROR(__xludf.DUMMYFUNCTION("""COMPUTED_VALUE"""),21.4961682923885)</f>
        <v>21.49616829</v>
      </c>
      <c r="E171" s="66">
        <f>IFERROR(__xludf.DUMMYFUNCTION("""COMPUTED_VALUE"""),4.0)</f>
        <v>4</v>
      </c>
    </row>
    <row r="172">
      <c r="A172" s="55" t="str">
        <f>IFERROR(__xludf.DUMMYFUNCTION("""COMPUTED_VALUE"""),"RSC006262")</f>
        <v>RSC006262</v>
      </c>
      <c r="B172" s="60" t="str">
        <f>IFERROR(__xludf.DUMMYFUNCTION("""COMPUTED_VALUE"""),"Illusionchaos")</f>
        <v>Illusionchaos</v>
      </c>
      <c r="C172" s="55" t="str">
        <f>IFERROR(__xludf.DUMMYFUNCTION("""COMPUTED_VALUE"""),"Challenger")</f>
        <v>Challenger</v>
      </c>
      <c r="D172" s="65">
        <f>IFERROR(__xludf.DUMMYFUNCTION("""COMPUTED_VALUE"""),20.703824970527684)</f>
        <v>20.70382497</v>
      </c>
      <c r="E172" s="66">
        <f>IFERROR(__xludf.DUMMYFUNCTION("""COMPUTED_VALUE"""),34.0)</f>
        <v>34</v>
      </c>
    </row>
    <row r="173">
      <c r="A173" s="55" t="str">
        <f>IFERROR(__xludf.DUMMYFUNCTION("""COMPUTED_VALUE"""),"RSC007179")</f>
        <v>RSC007179</v>
      </c>
      <c r="B173" s="60" t="str">
        <f>IFERROR(__xludf.DUMMYFUNCTION("""COMPUTED_VALUE"""),"B0A._.")</f>
        <v>B0A._.</v>
      </c>
      <c r="C173" s="55" t="str">
        <f>IFERROR(__xludf.DUMMYFUNCTION("""COMPUTED_VALUE"""),"Challenger")</f>
        <v>Challenger</v>
      </c>
      <c r="D173" s="65">
        <f>IFERROR(__xludf.DUMMYFUNCTION("""COMPUTED_VALUE"""),20.467118329217506)</f>
        <v>20.46711833</v>
      </c>
      <c r="E173" s="66">
        <f>IFERROR(__xludf.DUMMYFUNCTION("""COMPUTED_VALUE"""),46.0)</f>
        <v>46</v>
      </c>
    </row>
    <row r="174">
      <c r="A174" s="55" t="str">
        <f>IFERROR(__xludf.DUMMYFUNCTION("""COMPUTED_VALUE"""),"RSC008348")</f>
        <v>RSC008348</v>
      </c>
      <c r="B174" s="60" t="str">
        <f>IFERROR(__xludf.DUMMYFUNCTION("""COMPUTED_VALUE"""),"Shadows_ss")</f>
        <v>Shadows_ss</v>
      </c>
      <c r="C174" s="55" t="str">
        <f>IFERROR(__xludf.DUMMYFUNCTION("""COMPUTED_VALUE"""),"Challenger")</f>
        <v>Challenger</v>
      </c>
      <c r="D174" s="65">
        <f>IFERROR(__xludf.DUMMYFUNCTION("""COMPUTED_VALUE"""),20.137934283572616)</f>
        <v>20.13793428</v>
      </c>
      <c r="E174" s="66">
        <f>IFERROR(__xludf.DUMMYFUNCTION("""COMPUTED_VALUE"""),33.0)</f>
        <v>33</v>
      </c>
    </row>
    <row r="175">
      <c r="A175" s="55" t="str">
        <f>IFERROR(__xludf.DUMMYFUNCTION("""COMPUTED_VALUE"""),"RSC006353")</f>
        <v>RSC006353</v>
      </c>
      <c r="B175" s="60" t="str">
        <f>IFERROR(__xludf.DUMMYFUNCTION("""COMPUTED_VALUE"""),"Novarchite")</f>
        <v>Novarchite</v>
      </c>
      <c r="C175" s="55" t="str">
        <f>IFERROR(__xludf.DUMMYFUNCTION("""COMPUTED_VALUE"""),"Challenger")</f>
        <v>Challenger</v>
      </c>
      <c r="D175" s="65">
        <f>IFERROR(__xludf.DUMMYFUNCTION("""COMPUTED_VALUE"""),20.096585879582374)</f>
        <v>20.09658588</v>
      </c>
      <c r="E175" s="66">
        <f>IFERROR(__xludf.DUMMYFUNCTION("""COMPUTED_VALUE"""),41.0)</f>
        <v>41</v>
      </c>
    </row>
    <row r="176">
      <c r="A176" s="55" t="str">
        <f>IFERROR(__xludf.DUMMYFUNCTION("""COMPUTED_VALUE"""),"RSC003836")</f>
        <v>RSC003836</v>
      </c>
      <c r="B176" s="60" t="str">
        <f>IFERROR(__xludf.DUMMYFUNCTION("""COMPUTED_VALUE"""),"Chronicle")</f>
        <v>Chronicle</v>
      </c>
      <c r="C176" s="55" t="str">
        <f>IFERROR(__xludf.DUMMYFUNCTION("""COMPUTED_VALUE"""),"Challenger")</f>
        <v>Challenger</v>
      </c>
      <c r="D176" s="65">
        <f>IFERROR(__xludf.DUMMYFUNCTION("""COMPUTED_VALUE"""),17.47619431920669)</f>
        <v>17.47619432</v>
      </c>
      <c r="E176" s="66">
        <f>IFERROR(__xludf.DUMMYFUNCTION("""COMPUTED_VALUE"""),24.0)</f>
        <v>24</v>
      </c>
    </row>
    <row r="177">
      <c r="A177" s="55" t="str">
        <f>IFERROR(__xludf.DUMMYFUNCTION("""COMPUTED_VALUE"""),"RSC007442")</f>
        <v>RSC007442</v>
      </c>
      <c r="B177" s="60" t="str">
        <f>IFERROR(__xludf.DUMMYFUNCTION("""COMPUTED_VALUE"""),"willbong")</f>
        <v>willbong</v>
      </c>
      <c r="C177" s="55" t="str">
        <f>IFERROR(__xludf.DUMMYFUNCTION("""COMPUTED_VALUE"""),"Challenger")</f>
        <v>Challenger</v>
      </c>
      <c r="D177" s="65">
        <f>IFERROR(__xludf.DUMMYFUNCTION("""COMPUTED_VALUE"""),17.15633947163984)</f>
        <v>17.15633947</v>
      </c>
      <c r="E177" s="66">
        <f>IFERROR(__xludf.DUMMYFUNCTION("""COMPUTED_VALUE"""),31.0)</f>
        <v>31</v>
      </c>
    </row>
    <row r="178">
      <c r="A178" s="55" t="str">
        <f>IFERROR(__xludf.DUMMYFUNCTION("""COMPUTED_VALUE"""),"RSC008237")</f>
        <v>RSC008237</v>
      </c>
      <c r="B178" s="60" t="str">
        <f>IFERROR(__xludf.DUMMYFUNCTION("""COMPUTED_VALUE"""),"SardonicOx")</f>
        <v>SardonicOx</v>
      </c>
      <c r="C178" s="55" t="str">
        <f>IFERROR(__xludf.DUMMYFUNCTION("""COMPUTED_VALUE"""),"Challenger")</f>
        <v>Challenger</v>
      </c>
      <c r="D178" s="65">
        <f>IFERROR(__xludf.DUMMYFUNCTION("""COMPUTED_VALUE"""),17.00599163103727)</f>
        <v>17.00599163</v>
      </c>
      <c r="E178" s="66">
        <f>IFERROR(__xludf.DUMMYFUNCTION("""COMPUTED_VALUE"""),13.0)</f>
        <v>13</v>
      </c>
    </row>
    <row r="179">
      <c r="A179" s="55" t="str">
        <f>IFERROR(__xludf.DUMMYFUNCTION("""COMPUTED_VALUE"""),"RSC008365")</f>
        <v>RSC008365</v>
      </c>
      <c r="B179" s="60" t="str">
        <f>IFERROR(__xludf.DUMMYFUNCTION("""COMPUTED_VALUE"""),"ZonaHOMI")</f>
        <v>ZonaHOMI</v>
      </c>
      <c r="C179" s="55" t="str">
        <f>IFERROR(__xludf.DUMMYFUNCTION("""COMPUTED_VALUE"""),"Challenger")</f>
        <v>Challenger</v>
      </c>
      <c r="D179" s="65">
        <f>IFERROR(__xludf.DUMMYFUNCTION("""COMPUTED_VALUE"""),15.988943884803255)</f>
        <v>15.98894388</v>
      </c>
      <c r="E179" s="66">
        <f>IFERROR(__xludf.DUMMYFUNCTION("""COMPUTED_VALUE"""),10.0)</f>
        <v>10</v>
      </c>
    </row>
    <row r="180">
      <c r="A180" s="55" t="str">
        <f>IFERROR(__xludf.DUMMYFUNCTION("""COMPUTED_VALUE"""),"RSC007178")</f>
        <v>RSC007178</v>
      </c>
      <c r="B180" s="60" t="str">
        <f>IFERROR(__xludf.DUMMYFUNCTION("""COMPUTED_VALUE"""),"littygriddy65")</f>
        <v>littygriddy65</v>
      </c>
      <c r="C180" s="55" t="str">
        <f>IFERROR(__xludf.DUMMYFUNCTION("""COMPUTED_VALUE"""),"Challenger")</f>
        <v>Challenger</v>
      </c>
      <c r="D180" s="65">
        <f>IFERROR(__xludf.DUMMYFUNCTION("""COMPUTED_VALUE"""),15.982208204957779)</f>
        <v>15.9822082</v>
      </c>
      <c r="E180" s="66">
        <f>IFERROR(__xludf.DUMMYFUNCTION("""COMPUTED_VALUE"""),8.0)</f>
        <v>8</v>
      </c>
    </row>
    <row r="181">
      <c r="A181" s="55" t="str">
        <f>IFERROR(__xludf.DUMMYFUNCTION("""COMPUTED_VALUE"""),"RSC003697")</f>
        <v>RSC003697</v>
      </c>
      <c r="B181" s="60" t="str">
        <f>IFERROR(__xludf.DUMMYFUNCTION("""COMPUTED_VALUE"""),"IBRN_Death")</f>
        <v>IBRN_Death</v>
      </c>
      <c r="C181" s="55" t="str">
        <f>IFERROR(__xludf.DUMMYFUNCTION("""COMPUTED_VALUE"""),"Challenger")</f>
        <v>Challenger</v>
      </c>
      <c r="D181" s="65">
        <f>IFERROR(__xludf.DUMMYFUNCTION("""COMPUTED_VALUE"""),13.112186831039239)</f>
        <v>13.11218683</v>
      </c>
      <c r="E181" s="66">
        <f>IFERROR(__xludf.DUMMYFUNCTION("""COMPUTED_VALUE"""),21.0)</f>
        <v>21</v>
      </c>
    </row>
    <row r="182">
      <c r="A182" s="55" t="str">
        <f>IFERROR(__xludf.DUMMYFUNCTION("""COMPUTED_VALUE"""),"RSC007165")</f>
        <v>RSC007165</v>
      </c>
      <c r="B182" s="60" t="str">
        <f>IFERROR(__xludf.DUMMYFUNCTION("""COMPUTED_VALUE"""),"BRG")</f>
        <v>BRG</v>
      </c>
      <c r="C182" s="55" t="str">
        <f>IFERROR(__xludf.DUMMYFUNCTION("""COMPUTED_VALUE"""),"Challenger")</f>
        <v>Challenger</v>
      </c>
      <c r="D182" s="65">
        <f>IFERROR(__xludf.DUMMYFUNCTION("""COMPUTED_VALUE"""),12.255793167189836)</f>
        <v>12.25579317</v>
      </c>
      <c r="E182" s="66">
        <f>IFERROR(__xludf.DUMMYFUNCTION("""COMPUTED_VALUE"""),40.0)</f>
        <v>40</v>
      </c>
    </row>
    <row r="183">
      <c r="A183" s="55" t="str">
        <f>IFERROR(__xludf.DUMMYFUNCTION("""COMPUTED_VALUE"""),"RSC008473")</f>
        <v>RSC008473</v>
      </c>
      <c r="B183" s="60" t="str">
        <f>IFERROR(__xludf.DUMMYFUNCTION("""COMPUTED_VALUE"""),"korndoguwu")</f>
        <v>korndoguwu</v>
      </c>
      <c r="C183" s="55" t="str">
        <f>IFERROR(__xludf.DUMMYFUNCTION("""COMPUTED_VALUE"""),"Challenger")</f>
        <v>Challenger</v>
      </c>
      <c r="D183" s="65">
        <f>IFERROR(__xludf.DUMMYFUNCTION("""COMPUTED_VALUE"""),8.773182306872627)</f>
        <v>8.773182307</v>
      </c>
      <c r="E183" s="66">
        <f>IFERROR(__xludf.DUMMYFUNCTION("""COMPUTED_VALUE"""),10.0)</f>
        <v>10</v>
      </c>
    </row>
    <row r="184">
      <c r="A184" s="55" t="str">
        <f>IFERROR(__xludf.DUMMYFUNCTION("""COMPUTED_VALUE"""),"RSC002633")</f>
        <v>RSC002633</v>
      </c>
      <c r="B184" s="60" t="str">
        <f>IFERROR(__xludf.DUMMYFUNCTION("""COMPUTED_VALUE"""),"Gaboon")</f>
        <v>Gaboon</v>
      </c>
      <c r="C184" s="55" t="str">
        <f>IFERROR(__xludf.DUMMYFUNCTION("""COMPUTED_VALUE"""),"Challenger")</f>
        <v>Challenger</v>
      </c>
      <c r="D184" s="65">
        <f>IFERROR(__xludf.DUMMYFUNCTION("""COMPUTED_VALUE"""),5.264479656244653)</f>
        <v>5.264479656</v>
      </c>
      <c r="E184" s="66">
        <f>IFERROR(__xludf.DUMMYFUNCTION("""COMPUTED_VALUE"""),4.0)</f>
        <v>4</v>
      </c>
    </row>
    <row r="185">
      <c r="A185" s="55" t="str">
        <f>IFERROR(__xludf.DUMMYFUNCTION("""COMPUTED_VALUE"""),"RSC007955")</f>
        <v>RSC007955</v>
      </c>
      <c r="B185" s="60" t="str">
        <f>IFERROR(__xludf.DUMMYFUNCTION("""COMPUTED_VALUE"""),"JonathanVanDyk")</f>
        <v>JonathanVanDyk</v>
      </c>
      <c r="C185" s="55" t="str">
        <f>IFERROR(__xludf.DUMMYFUNCTION("""COMPUTED_VALUE"""),"Challenger")</f>
        <v>Challenger</v>
      </c>
      <c r="D185" s="65">
        <f>IFERROR(__xludf.DUMMYFUNCTION("""COMPUTED_VALUE"""),1.4705455561205696)</f>
        <v>1.470545556</v>
      </c>
      <c r="E185" s="66">
        <f>IFERROR(__xludf.DUMMYFUNCTION("""COMPUTED_VALUE"""),16.0)</f>
        <v>16</v>
      </c>
    </row>
    <row r="186">
      <c r="A186" s="55" t="str">
        <f>IFERROR(__xludf.DUMMYFUNCTION("""COMPUTED_VALUE"""),"RSC002511")</f>
        <v>RSC002511</v>
      </c>
      <c r="B186" s="60" t="str">
        <f>IFERROR(__xludf.DUMMYFUNCTION("""COMPUTED_VALUE"""),"Moist_Games")</f>
        <v>Moist_Games</v>
      </c>
      <c r="C186" s="55" t="str">
        <f>IFERROR(__xludf.DUMMYFUNCTION("""COMPUTED_VALUE"""),"Challenger")</f>
        <v>Challenger</v>
      </c>
      <c r="D186" s="65">
        <f>IFERROR(__xludf.DUMMYFUNCTION("""COMPUTED_VALUE"""),-0.9295675685467089)</f>
        <v>-0.9295675685</v>
      </c>
      <c r="E186" s="66">
        <f>IFERROR(__xludf.DUMMYFUNCTION("""COMPUTED_VALUE"""),10.0)</f>
        <v>10</v>
      </c>
    </row>
    <row r="187">
      <c r="A187" s="55" t="str">
        <f>IFERROR(__xludf.DUMMYFUNCTION("""COMPUTED_VALUE"""),"RSC008176")</f>
        <v>RSC008176</v>
      </c>
      <c r="B187" s="60" t="str">
        <f>IFERROR(__xludf.DUMMYFUNCTION("""COMPUTED_VALUE"""),"xLunarWolfx")</f>
        <v>xLunarWolfx</v>
      </c>
      <c r="C187" s="55" t="str">
        <f>IFERROR(__xludf.DUMMYFUNCTION("""COMPUTED_VALUE"""),"Challenger")</f>
        <v>Challenger</v>
      </c>
      <c r="D187" s="65">
        <f>IFERROR(__xludf.DUMMYFUNCTION("""COMPUTED_VALUE"""),-4.249197383262093)</f>
        <v>-4.249197383</v>
      </c>
      <c r="E187" s="66">
        <f>IFERROR(__xludf.DUMMYFUNCTION("""COMPUTED_VALUE"""),37.0)</f>
        <v>37</v>
      </c>
    </row>
    <row r="188">
      <c r="A188" s="55" t="str">
        <f>IFERROR(__xludf.DUMMYFUNCTION("""COMPUTED_VALUE"""),"RSC008271")</f>
        <v>RSC008271</v>
      </c>
      <c r="B188" s="60" t="str">
        <f>IFERROR(__xludf.DUMMYFUNCTION("""COMPUTED_VALUE"""),"Zenitramx-_-")</f>
        <v>Zenitramx-_-</v>
      </c>
      <c r="C188" s="55" t="str">
        <f>IFERROR(__xludf.DUMMYFUNCTION("""COMPUTED_VALUE"""),"Challenger")</f>
        <v>Challenger</v>
      </c>
      <c r="D188" s="65">
        <f>IFERROR(__xludf.DUMMYFUNCTION("""COMPUTED_VALUE"""),-9.640784406444617)</f>
        <v>-9.640784406</v>
      </c>
      <c r="E188" s="66">
        <f>IFERROR(__xludf.DUMMYFUNCTION("""COMPUTED_VALUE"""),4.0)</f>
        <v>4</v>
      </c>
    </row>
    <row r="189">
      <c r="A189" s="55" t="str">
        <f>IFERROR(__xludf.DUMMYFUNCTION("""COMPUTED_VALUE"""),"RSC007271")</f>
        <v>RSC007271</v>
      </c>
      <c r="B189" s="60" t="str">
        <f>IFERROR(__xludf.DUMMYFUNCTION("""COMPUTED_VALUE"""),"Unc Darth")</f>
        <v>Unc Darth</v>
      </c>
      <c r="C189" s="55" t="str">
        <f>IFERROR(__xludf.DUMMYFUNCTION("""COMPUTED_VALUE"""),"Challenger")</f>
        <v>Challenger</v>
      </c>
      <c r="D189" s="65">
        <f>IFERROR(__xludf.DUMMYFUNCTION("""COMPUTED_VALUE"""),-11.26100020555588)</f>
        <v>-11.26100021</v>
      </c>
      <c r="E189" s="66">
        <f>IFERROR(__xludf.DUMMYFUNCTION("""COMPUTED_VALUE"""),18.0)</f>
        <v>18</v>
      </c>
    </row>
    <row r="190">
      <c r="A190" s="55" t="str">
        <f>IFERROR(__xludf.DUMMYFUNCTION("""COMPUTED_VALUE"""),"RSC002911")</f>
        <v>RSC002911</v>
      </c>
      <c r="B190" s="60" t="str">
        <f>IFERROR(__xludf.DUMMYFUNCTION("""COMPUTED_VALUE"""),"Alextross")</f>
        <v>Alextross</v>
      </c>
      <c r="C190" s="55" t="str">
        <f>IFERROR(__xludf.DUMMYFUNCTION("""COMPUTED_VALUE"""),"Challenger")</f>
        <v>Challenger</v>
      </c>
      <c r="D190" s="65">
        <f>IFERROR(__xludf.DUMMYFUNCTION("""COMPUTED_VALUE"""),-15.764148760880005)</f>
        <v>-15.76414876</v>
      </c>
      <c r="E190" s="66">
        <f>IFERROR(__xludf.DUMMYFUNCTION("""COMPUTED_VALUE"""),1.0)</f>
        <v>1</v>
      </c>
    </row>
    <row r="191">
      <c r="A191" s="55" t="str">
        <f>IFERROR(__xludf.DUMMYFUNCTION("""COMPUTED_VALUE"""),"RSC007260")</f>
        <v>RSC007260</v>
      </c>
      <c r="B191" s="60" t="str">
        <f>IFERROR(__xludf.DUMMYFUNCTION("""COMPUTED_VALUE"""),"FlopMode.")</f>
        <v>FlopMode.</v>
      </c>
      <c r="C191" s="55" t="str">
        <f>IFERROR(__xludf.DUMMYFUNCTION("""COMPUTED_VALUE"""),"Elite")</f>
        <v>Elite</v>
      </c>
      <c r="D191" s="65">
        <f>IFERROR(__xludf.DUMMYFUNCTION("""COMPUTED_VALUE"""),114.10009001711452)</f>
        <v>114.10009</v>
      </c>
      <c r="E191" s="66">
        <f>IFERROR(__xludf.DUMMYFUNCTION("""COMPUTED_VALUE"""),4.0)</f>
        <v>4</v>
      </c>
    </row>
    <row r="192">
      <c r="A192" s="55" t="str">
        <f>IFERROR(__xludf.DUMMYFUNCTION("""COMPUTED_VALUE"""),"RSC000009")</f>
        <v>RSC000009</v>
      </c>
      <c r="B192" s="60" t="str">
        <f>IFERROR(__xludf.DUMMYFUNCTION("""COMPUTED_VALUE"""),"Timbo")</f>
        <v>Timbo</v>
      </c>
      <c r="C192" s="55" t="str">
        <f>IFERROR(__xludf.DUMMYFUNCTION("""COMPUTED_VALUE"""),"Elite")</f>
        <v>Elite</v>
      </c>
      <c r="D192" s="65">
        <f>IFERROR(__xludf.DUMMYFUNCTION("""COMPUTED_VALUE"""),91.40256609869482)</f>
        <v>91.4025661</v>
      </c>
      <c r="E192" s="66">
        <f>IFERROR(__xludf.DUMMYFUNCTION("""COMPUTED_VALUE"""),56.0)</f>
        <v>56</v>
      </c>
    </row>
    <row r="193">
      <c r="A193" s="55" t="str">
        <f>IFERROR(__xludf.DUMMYFUNCTION("""COMPUTED_VALUE"""),"RSC006985")</f>
        <v>RSC006985</v>
      </c>
      <c r="B193" s="60" t="str">
        <f>IFERROR(__xludf.DUMMYFUNCTION("""COMPUTED_VALUE"""),"not so jucy skep")</f>
        <v>not so jucy skep</v>
      </c>
      <c r="C193" s="55" t="str">
        <f>IFERROR(__xludf.DUMMYFUNCTION("""COMPUTED_VALUE"""),"Elite")</f>
        <v>Elite</v>
      </c>
      <c r="D193" s="65">
        <f>IFERROR(__xludf.DUMMYFUNCTION("""COMPUTED_VALUE"""),90.9665729538068)</f>
        <v>90.96657295</v>
      </c>
      <c r="E193" s="66">
        <f>IFERROR(__xludf.DUMMYFUNCTION("""COMPUTED_VALUE"""),48.0)</f>
        <v>48</v>
      </c>
    </row>
    <row r="194">
      <c r="A194" s="55" t="str">
        <f>IFERROR(__xludf.DUMMYFUNCTION("""COMPUTED_VALUE"""),"RSC006409")</f>
        <v>RSC006409</v>
      </c>
      <c r="B194" s="60" t="str">
        <f>IFERROR(__xludf.DUMMYFUNCTION("""COMPUTED_VALUE"""),"Reported.")</f>
        <v>Reported.</v>
      </c>
      <c r="C194" s="55" t="str">
        <f>IFERROR(__xludf.DUMMYFUNCTION("""COMPUTED_VALUE"""),"Elite")</f>
        <v>Elite</v>
      </c>
      <c r="D194" s="65">
        <f>IFERROR(__xludf.DUMMYFUNCTION("""COMPUTED_VALUE"""),89.55040849264208)</f>
        <v>89.55040849</v>
      </c>
      <c r="E194" s="66">
        <f>IFERROR(__xludf.DUMMYFUNCTION("""COMPUTED_VALUE"""),50.0)</f>
        <v>50</v>
      </c>
    </row>
    <row r="195">
      <c r="A195" s="55" t="str">
        <f>IFERROR(__xludf.DUMMYFUNCTION("""COMPUTED_VALUE"""),"RSC007954")</f>
        <v>RSC007954</v>
      </c>
      <c r="B195" s="60" t="str">
        <f>IFERROR(__xludf.DUMMYFUNCTION("""COMPUTED_VALUE"""),"Killer")</f>
        <v>Killer</v>
      </c>
      <c r="C195" s="55" t="str">
        <f>IFERROR(__xludf.DUMMYFUNCTION("""COMPUTED_VALUE"""),"Elite")</f>
        <v>Elite</v>
      </c>
      <c r="D195" s="65">
        <f>IFERROR(__xludf.DUMMYFUNCTION("""COMPUTED_VALUE"""),88.4349199899153)</f>
        <v>88.43491999</v>
      </c>
      <c r="E195" s="66">
        <f>IFERROR(__xludf.DUMMYFUNCTION("""COMPUTED_VALUE"""),32.0)</f>
        <v>32</v>
      </c>
    </row>
    <row r="196">
      <c r="A196" s="55" t="str">
        <f>IFERROR(__xludf.DUMMYFUNCTION("""COMPUTED_VALUE"""),"RSC006424")</f>
        <v>RSC006424</v>
      </c>
      <c r="B196" s="60" t="str">
        <f>IFERROR(__xludf.DUMMYFUNCTION("""COMPUTED_VALUE"""),"RSC Raven")</f>
        <v>RSC Raven</v>
      </c>
      <c r="C196" s="55" t="str">
        <f>IFERROR(__xludf.DUMMYFUNCTION("""COMPUTED_VALUE"""),"Elite")</f>
        <v>Elite</v>
      </c>
      <c r="D196" s="65">
        <f>IFERROR(__xludf.DUMMYFUNCTION("""COMPUTED_VALUE"""),86.64560235563991)</f>
        <v>86.64560236</v>
      </c>
      <c r="E196" s="66">
        <f>IFERROR(__xludf.DUMMYFUNCTION("""COMPUTED_VALUE"""),55.0)</f>
        <v>55</v>
      </c>
    </row>
    <row r="197">
      <c r="A197" s="55" t="str">
        <f>IFERROR(__xludf.DUMMYFUNCTION("""COMPUTED_VALUE"""),"RSC008362")</f>
        <v>RSC008362</v>
      </c>
      <c r="B197" s="60" t="str">
        <f>IFERROR(__xludf.DUMMYFUNCTION("""COMPUTED_VALUE"""),"flash!")</f>
        <v>flash!</v>
      </c>
      <c r="C197" s="55" t="str">
        <f>IFERROR(__xludf.DUMMYFUNCTION("""COMPUTED_VALUE"""),"Elite")</f>
        <v>Elite</v>
      </c>
      <c r="D197" s="65">
        <f>IFERROR(__xludf.DUMMYFUNCTION("""COMPUTED_VALUE"""),86.0042621255865)</f>
        <v>86.00426213</v>
      </c>
      <c r="E197" s="66">
        <f>IFERROR(__xludf.DUMMYFUNCTION("""COMPUTED_VALUE"""),40.0)</f>
        <v>40</v>
      </c>
    </row>
    <row r="198">
      <c r="A198" s="55" t="str">
        <f>IFERROR(__xludf.DUMMYFUNCTION("""COMPUTED_VALUE"""),"RSC006581")</f>
        <v>RSC006581</v>
      </c>
      <c r="B198" s="60" t="str">
        <f>IFERROR(__xludf.DUMMYFUNCTION("""COMPUTED_VALUE"""),"Light_Wigglebean")</f>
        <v>Light_Wigglebean</v>
      </c>
      <c r="C198" s="55" t="str">
        <f>IFERROR(__xludf.DUMMYFUNCTION("""COMPUTED_VALUE"""),"Elite")</f>
        <v>Elite</v>
      </c>
      <c r="D198" s="65">
        <f>IFERROR(__xludf.DUMMYFUNCTION("""COMPUTED_VALUE"""),84.04907088757025)</f>
        <v>84.04907089</v>
      </c>
      <c r="E198" s="66">
        <f>IFERROR(__xludf.DUMMYFUNCTION("""COMPUTED_VALUE"""),44.0)</f>
        <v>44</v>
      </c>
    </row>
    <row r="199">
      <c r="A199" s="55" t="str">
        <f>IFERROR(__xludf.DUMMYFUNCTION("""COMPUTED_VALUE"""),"RSC008155")</f>
        <v>RSC008155</v>
      </c>
      <c r="B199" s="60" t="str">
        <f>IFERROR(__xludf.DUMMYFUNCTION("""COMPUTED_VALUE"""),"WinterMajorChamp")</f>
        <v>WinterMajorChamp</v>
      </c>
      <c r="C199" s="55" t="str">
        <f>IFERROR(__xludf.DUMMYFUNCTION("""COMPUTED_VALUE"""),"Elite")</f>
        <v>Elite</v>
      </c>
      <c r="D199" s="65">
        <f>IFERROR(__xludf.DUMMYFUNCTION("""COMPUTED_VALUE"""),82.51001188460776)</f>
        <v>82.51001188</v>
      </c>
      <c r="E199" s="66">
        <f>IFERROR(__xludf.DUMMYFUNCTION("""COMPUTED_VALUE"""),52.0)</f>
        <v>52</v>
      </c>
    </row>
    <row r="200">
      <c r="A200" s="55" t="str">
        <f>IFERROR(__xludf.DUMMYFUNCTION("""COMPUTED_VALUE"""),"RSC006783")</f>
        <v>RSC006783</v>
      </c>
      <c r="B200" s="60" t="str">
        <f>IFERROR(__xludf.DUMMYFUNCTION("""COMPUTED_VALUE"""),"ImSouperGreat")</f>
        <v>ImSouperGreat</v>
      </c>
      <c r="C200" s="55" t="str">
        <f>IFERROR(__xludf.DUMMYFUNCTION("""COMPUTED_VALUE"""),"Elite")</f>
        <v>Elite</v>
      </c>
      <c r="D200" s="65">
        <f>IFERROR(__xludf.DUMMYFUNCTION("""COMPUTED_VALUE"""),80.9785910084896)</f>
        <v>80.97859101</v>
      </c>
      <c r="E200" s="66">
        <f>IFERROR(__xludf.DUMMYFUNCTION("""COMPUTED_VALUE"""),56.0)</f>
        <v>56</v>
      </c>
    </row>
    <row r="201">
      <c r="A201" s="55" t="str">
        <f>IFERROR(__xludf.DUMMYFUNCTION("""COMPUTED_VALUE"""),"RSC004966")</f>
        <v>RSC004966</v>
      </c>
      <c r="B201" s="60" t="str">
        <f>IFERROR(__xludf.DUMMYFUNCTION("""COMPUTED_VALUE"""),"Buck")</f>
        <v>Buck</v>
      </c>
      <c r="C201" s="55" t="str">
        <f>IFERROR(__xludf.DUMMYFUNCTION("""COMPUTED_VALUE"""),"Elite")</f>
        <v>Elite</v>
      </c>
      <c r="D201" s="65">
        <f>IFERROR(__xludf.DUMMYFUNCTION("""COMPUTED_VALUE"""),80.12296859673636)</f>
        <v>80.1229686</v>
      </c>
      <c r="E201" s="66">
        <f>IFERROR(__xludf.DUMMYFUNCTION("""COMPUTED_VALUE"""),34.0)</f>
        <v>34</v>
      </c>
    </row>
    <row r="202">
      <c r="A202" s="55" t="str">
        <f>IFERROR(__xludf.DUMMYFUNCTION("""COMPUTED_VALUE"""),"RSC008493")</f>
        <v>RSC008493</v>
      </c>
      <c r="B202" s="60" t="str">
        <f>IFERROR(__xludf.DUMMYFUNCTION("""COMPUTED_VALUE"""),"wntr.")</f>
        <v>wntr.</v>
      </c>
      <c r="C202" s="55" t="str">
        <f>IFERROR(__xludf.DUMMYFUNCTION("""COMPUTED_VALUE"""),"Elite")</f>
        <v>Elite</v>
      </c>
      <c r="D202" s="65">
        <f>IFERROR(__xludf.DUMMYFUNCTION("""COMPUTED_VALUE"""),78.80143940409101)</f>
        <v>78.8014394</v>
      </c>
      <c r="E202" s="66">
        <f>IFERROR(__xludf.DUMMYFUNCTION("""COMPUTED_VALUE"""),36.0)</f>
        <v>36</v>
      </c>
    </row>
    <row r="203">
      <c r="A203" s="55" t="str">
        <f>IFERROR(__xludf.DUMMYFUNCTION("""COMPUTED_VALUE"""),"RSC003360")</f>
        <v>RSC003360</v>
      </c>
      <c r="B203" s="60" t="str">
        <f>IFERROR(__xludf.DUMMYFUNCTION("""COMPUTED_VALUE"""),"flossy")</f>
        <v>flossy</v>
      </c>
      <c r="C203" s="55" t="str">
        <f>IFERROR(__xludf.DUMMYFUNCTION("""COMPUTED_VALUE"""),"Elite")</f>
        <v>Elite</v>
      </c>
      <c r="D203" s="65">
        <f>IFERROR(__xludf.DUMMYFUNCTION("""COMPUTED_VALUE"""),78.53554134668691)</f>
        <v>78.53554135</v>
      </c>
      <c r="E203" s="66">
        <f>IFERROR(__xludf.DUMMYFUNCTION("""COMPUTED_VALUE"""),56.0)</f>
        <v>56</v>
      </c>
    </row>
    <row r="204">
      <c r="A204" s="55" t="str">
        <f>IFERROR(__xludf.DUMMYFUNCTION("""COMPUTED_VALUE"""),"RSC006193")</f>
        <v>RSC006193</v>
      </c>
      <c r="B204" s="60" t="str">
        <f>IFERROR(__xludf.DUMMYFUNCTION("""COMPUTED_VALUE"""),"Saucy Rexy")</f>
        <v>Saucy Rexy</v>
      </c>
      <c r="C204" s="55" t="str">
        <f>IFERROR(__xludf.DUMMYFUNCTION("""COMPUTED_VALUE"""),"Elite")</f>
        <v>Elite</v>
      </c>
      <c r="D204" s="65">
        <f>IFERROR(__xludf.DUMMYFUNCTION("""COMPUTED_VALUE"""),78.21033818752898)</f>
        <v>78.21033819</v>
      </c>
      <c r="E204" s="66">
        <f>IFERROR(__xludf.DUMMYFUNCTION("""COMPUTED_VALUE"""),51.0)</f>
        <v>51</v>
      </c>
    </row>
    <row r="205">
      <c r="A205" s="55" t="str">
        <f>IFERROR(__xludf.DUMMYFUNCTION("""COMPUTED_VALUE"""),"RSC008503")</f>
        <v>RSC008503</v>
      </c>
      <c r="B205" s="60" t="str">
        <f>IFERROR(__xludf.DUMMYFUNCTION("""COMPUTED_VALUE"""),"Rick0810")</f>
        <v>Rick0810</v>
      </c>
      <c r="C205" s="55" t="str">
        <f>IFERROR(__xludf.DUMMYFUNCTION("""COMPUTED_VALUE"""),"Elite")</f>
        <v>Elite</v>
      </c>
      <c r="D205" s="65">
        <f>IFERROR(__xludf.DUMMYFUNCTION("""COMPUTED_VALUE"""),77.75034317086971)</f>
        <v>77.75034317</v>
      </c>
      <c r="E205" s="66">
        <f>IFERROR(__xludf.DUMMYFUNCTION("""COMPUTED_VALUE"""),10.0)</f>
        <v>10</v>
      </c>
    </row>
    <row r="206">
      <c r="A206" s="55" t="str">
        <f>IFERROR(__xludf.DUMMYFUNCTION("""COMPUTED_VALUE"""),"RSC005709")</f>
        <v>RSC005709</v>
      </c>
      <c r="B206" s="60" t="str">
        <f>IFERROR(__xludf.DUMMYFUNCTION("""COMPUTED_VALUE"""),"ZavaRL")</f>
        <v>ZavaRL</v>
      </c>
      <c r="C206" s="55" t="str">
        <f>IFERROR(__xludf.DUMMYFUNCTION("""COMPUTED_VALUE"""),"Elite")</f>
        <v>Elite</v>
      </c>
      <c r="D206" s="65">
        <f>IFERROR(__xludf.DUMMYFUNCTION("""COMPUTED_VALUE"""),76.97497615350468)</f>
        <v>76.97497615</v>
      </c>
      <c r="E206" s="66">
        <f>IFERROR(__xludf.DUMMYFUNCTION("""COMPUTED_VALUE"""),21.0)</f>
        <v>21</v>
      </c>
    </row>
    <row r="207">
      <c r="A207" s="55" t="str">
        <f>IFERROR(__xludf.DUMMYFUNCTION("""COMPUTED_VALUE"""),"RSC005236")</f>
        <v>RSC005236</v>
      </c>
      <c r="B207" s="60" t="str">
        <f>IFERROR(__xludf.DUMMYFUNCTION("""COMPUTED_VALUE"""),"Rozi-")</f>
        <v>Rozi-</v>
      </c>
      <c r="C207" s="55" t="str">
        <f>IFERROR(__xludf.DUMMYFUNCTION("""COMPUTED_VALUE"""),"Elite")</f>
        <v>Elite</v>
      </c>
      <c r="D207" s="65">
        <f>IFERROR(__xludf.DUMMYFUNCTION("""COMPUTED_VALUE"""),76.93333719637708)</f>
        <v>76.9333372</v>
      </c>
      <c r="E207" s="66">
        <f>IFERROR(__xludf.DUMMYFUNCTION("""COMPUTED_VALUE"""),49.0)</f>
        <v>49</v>
      </c>
    </row>
    <row r="208">
      <c r="A208" s="55" t="str">
        <f>IFERROR(__xludf.DUMMYFUNCTION("""COMPUTED_VALUE"""),"RSC004863")</f>
        <v>RSC004863</v>
      </c>
      <c r="B208" s="60" t="str">
        <f>IFERROR(__xludf.DUMMYFUNCTION("""COMPUTED_VALUE"""),"wicked")</f>
        <v>wicked</v>
      </c>
      <c r="C208" s="55" t="str">
        <f>IFERROR(__xludf.DUMMYFUNCTION("""COMPUTED_VALUE"""),"Elite")</f>
        <v>Elite</v>
      </c>
      <c r="D208" s="65">
        <f>IFERROR(__xludf.DUMMYFUNCTION("""COMPUTED_VALUE"""),76.7535750907579)</f>
        <v>76.75357509</v>
      </c>
      <c r="E208" s="66">
        <f>IFERROR(__xludf.DUMMYFUNCTION("""COMPUTED_VALUE"""),55.0)</f>
        <v>55</v>
      </c>
    </row>
    <row r="209">
      <c r="A209" s="55" t="str">
        <f>IFERROR(__xludf.DUMMYFUNCTION("""COMPUTED_VALUE"""),"RSC003178")</f>
        <v>RSC003178</v>
      </c>
      <c r="B209" s="60" t="str">
        <f>IFERROR(__xludf.DUMMYFUNCTION("""COMPUTED_VALUE"""),"Snack Time!")</f>
        <v>Snack Time!</v>
      </c>
      <c r="C209" s="55" t="str">
        <f>IFERROR(__xludf.DUMMYFUNCTION("""COMPUTED_VALUE"""),"Elite")</f>
        <v>Elite</v>
      </c>
      <c r="D209" s="65">
        <f>IFERROR(__xludf.DUMMYFUNCTION("""COMPUTED_VALUE"""),76.70467575164616)</f>
        <v>76.70467575</v>
      </c>
      <c r="E209" s="66">
        <f>IFERROR(__xludf.DUMMYFUNCTION("""COMPUTED_VALUE"""),56.0)</f>
        <v>56</v>
      </c>
    </row>
    <row r="210">
      <c r="A210" s="55" t="str">
        <f>IFERROR(__xludf.DUMMYFUNCTION("""COMPUTED_VALUE"""),"RSC005516")</f>
        <v>RSC005516</v>
      </c>
      <c r="B210" s="60" t="str">
        <f>IFERROR(__xludf.DUMMYFUNCTION("""COMPUTED_VALUE"""),"Pirate Princess Local!")</f>
        <v>Pirate Princess Local!</v>
      </c>
      <c r="C210" s="55" t="str">
        <f>IFERROR(__xludf.DUMMYFUNCTION("""COMPUTED_VALUE"""),"Elite")</f>
        <v>Elite</v>
      </c>
      <c r="D210" s="65">
        <f>IFERROR(__xludf.DUMMYFUNCTION("""COMPUTED_VALUE"""),76.48288443129175)</f>
        <v>76.48288443</v>
      </c>
      <c r="E210" s="66">
        <f>IFERROR(__xludf.DUMMYFUNCTION("""COMPUTED_VALUE"""),36.0)</f>
        <v>36</v>
      </c>
    </row>
    <row r="211">
      <c r="A211" s="55" t="str">
        <f>IFERROR(__xludf.DUMMYFUNCTION("""COMPUTED_VALUE"""),"RSC007514")</f>
        <v>RSC007514</v>
      </c>
      <c r="B211" s="60" t="str">
        <f>IFERROR(__xludf.DUMMYFUNCTION("""COMPUTED_VALUE"""),"Sauce_Boss_36")</f>
        <v>Sauce_Boss_36</v>
      </c>
      <c r="C211" s="55" t="str">
        <f>IFERROR(__xludf.DUMMYFUNCTION("""COMPUTED_VALUE"""),"Elite")</f>
        <v>Elite</v>
      </c>
      <c r="D211" s="65">
        <f>IFERROR(__xludf.DUMMYFUNCTION("""COMPUTED_VALUE"""),76.38923407792444)</f>
        <v>76.38923408</v>
      </c>
      <c r="E211" s="66">
        <f>IFERROR(__xludf.DUMMYFUNCTION("""COMPUTED_VALUE"""),41.0)</f>
        <v>41</v>
      </c>
    </row>
    <row r="212">
      <c r="A212" s="55" t="str">
        <f>IFERROR(__xludf.DUMMYFUNCTION("""COMPUTED_VALUE"""),"RSC000623")</f>
        <v>RSC000623</v>
      </c>
      <c r="B212" s="60" t="str">
        <f>IFERROR(__xludf.DUMMYFUNCTION("""COMPUTED_VALUE"""),"wall2wall3")</f>
        <v>wall2wall3</v>
      </c>
      <c r="C212" s="55" t="str">
        <f>IFERROR(__xludf.DUMMYFUNCTION("""COMPUTED_VALUE"""),"Elite")</f>
        <v>Elite</v>
      </c>
      <c r="D212" s="65">
        <f>IFERROR(__xludf.DUMMYFUNCTION("""COMPUTED_VALUE"""),75.52313676906587)</f>
        <v>75.52313677</v>
      </c>
      <c r="E212" s="66">
        <f>IFERROR(__xludf.DUMMYFUNCTION("""COMPUTED_VALUE"""),52.0)</f>
        <v>52</v>
      </c>
    </row>
    <row r="213">
      <c r="A213" s="55" t="str">
        <f>IFERROR(__xludf.DUMMYFUNCTION("""COMPUTED_VALUE"""),"RSC000344")</f>
        <v>RSC000344</v>
      </c>
      <c r="B213" s="60" t="str">
        <f>IFERROR(__xludf.DUMMYFUNCTION("""COMPUTED_VALUE"""),"Mezmer")</f>
        <v>Mezmer</v>
      </c>
      <c r="C213" s="55" t="str">
        <f>IFERROR(__xludf.DUMMYFUNCTION("""COMPUTED_VALUE"""),"Elite")</f>
        <v>Elite</v>
      </c>
      <c r="D213" s="65">
        <f>IFERROR(__xludf.DUMMYFUNCTION("""COMPUTED_VALUE"""),73.90493721058851)</f>
        <v>73.90493721</v>
      </c>
      <c r="E213" s="66">
        <f>IFERROR(__xludf.DUMMYFUNCTION("""COMPUTED_VALUE"""),56.0)</f>
        <v>56</v>
      </c>
    </row>
    <row r="214">
      <c r="A214" s="55" t="str">
        <f>IFERROR(__xludf.DUMMYFUNCTION("""COMPUTED_VALUE"""),"RSC003412")</f>
        <v>RSC003412</v>
      </c>
      <c r="B214" s="60" t="str">
        <f>IFERROR(__xludf.DUMMYFUNCTION("""COMPUTED_VALUE"""),"Python")</f>
        <v>Python</v>
      </c>
      <c r="C214" s="55" t="str">
        <f>IFERROR(__xludf.DUMMYFUNCTION("""COMPUTED_VALUE"""),"Elite")</f>
        <v>Elite</v>
      </c>
      <c r="D214" s="65">
        <f>IFERROR(__xludf.DUMMYFUNCTION("""COMPUTED_VALUE"""),73.68547583607176)</f>
        <v>73.68547584</v>
      </c>
      <c r="E214" s="66">
        <f>IFERROR(__xludf.DUMMYFUNCTION("""COMPUTED_VALUE"""),41.0)</f>
        <v>41</v>
      </c>
    </row>
    <row r="215">
      <c r="A215" s="55" t="str">
        <f>IFERROR(__xludf.DUMMYFUNCTION("""COMPUTED_VALUE"""),"RSC004107")</f>
        <v>RSC004107</v>
      </c>
      <c r="B215" s="60" t="str">
        <f>IFERROR(__xludf.DUMMYFUNCTION("""COMPUTED_VALUE"""),"FlyFyre.")</f>
        <v>FlyFyre.</v>
      </c>
      <c r="C215" s="55" t="str">
        <f>IFERROR(__xludf.DUMMYFUNCTION("""COMPUTED_VALUE"""),"Elite")</f>
        <v>Elite</v>
      </c>
      <c r="D215" s="65">
        <f>IFERROR(__xludf.DUMMYFUNCTION("""COMPUTED_VALUE"""),73.05454431390207)</f>
        <v>73.05454431</v>
      </c>
      <c r="E215" s="66">
        <f>IFERROR(__xludf.DUMMYFUNCTION("""COMPUTED_VALUE"""),16.0)</f>
        <v>16</v>
      </c>
    </row>
    <row r="216">
      <c r="A216" s="55" t="str">
        <f>IFERROR(__xludf.DUMMYFUNCTION("""COMPUTED_VALUE"""),"RSC007642")</f>
        <v>RSC007642</v>
      </c>
      <c r="B216" s="60" t="str">
        <f>IFERROR(__xludf.DUMMYFUNCTION("""COMPUTED_VALUE"""),"Luminati7")</f>
        <v>Luminati7</v>
      </c>
      <c r="C216" s="55" t="str">
        <f>IFERROR(__xludf.DUMMYFUNCTION("""COMPUTED_VALUE"""),"Elite")</f>
        <v>Elite</v>
      </c>
      <c r="D216" s="65">
        <f>IFERROR(__xludf.DUMMYFUNCTION("""COMPUTED_VALUE"""),72.64033850957571)</f>
        <v>72.64033851</v>
      </c>
      <c r="E216" s="66">
        <f>IFERROR(__xludf.DUMMYFUNCTION("""COMPUTED_VALUE"""),55.0)</f>
        <v>55</v>
      </c>
    </row>
    <row r="217">
      <c r="A217" s="55" t="str">
        <f>IFERROR(__xludf.DUMMYFUNCTION("""COMPUTED_VALUE"""),"RSC004917")</f>
        <v>RSC004917</v>
      </c>
      <c r="B217" s="60" t="str">
        <f>IFERROR(__xludf.DUMMYFUNCTION("""COMPUTED_VALUE"""),"Nahzey")</f>
        <v>Nahzey</v>
      </c>
      <c r="C217" s="55" t="str">
        <f>IFERROR(__xludf.DUMMYFUNCTION("""COMPUTED_VALUE"""),"Elite")</f>
        <v>Elite</v>
      </c>
      <c r="D217" s="65">
        <f>IFERROR(__xludf.DUMMYFUNCTION("""COMPUTED_VALUE"""),72.62057706987842)</f>
        <v>72.62057707</v>
      </c>
      <c r="E217" s="66">
        <f>IFERROR(__xludf.DUMMYFUNCTION("""COMPUTED_VALUE"""),54.0)</f>
        <v>54</v>
      </c>
    </row>
    <row r="218">
      <c r="A218" s="55" t="str">
        <f>IFERROR(__xludf.DUMMYFUNCTION("""COMPUTED_VALUE"""),"RSC005524")</f>
        <v>RSC005524</v>
      </c>
      <c r="B218" s="60" t="str">
        <f>IFERROR(__xludf.DUMMYFUNCTION("""COMPUTED_VALUE"""),"RaunchyRomanian")</f>
        <v>RaunchyRomanian</v>
      </c>
      <c r="C218" s="55" t="str">
        <f>IFERROR(__xludf.DUMMYFUNCTION("""COMPUTED_VALUE"""),"Elite")</f>
        <v>Elite</v>
      </c>
      <c r="D218" s="65">
        <f>IFERROR(__xludf.DUMMYFUNCTION("""COMPUTED_VALUE"""),72.05839933199707)</f>
        <v>72.05839933</v>
      </c>
      <c r="E218" s="66">
        <f>IFERROR(__xludf.DUMMYFUNCTION("""COMPUTED_VALUE"""),56.0)</f>
        <v>56</v>
      </c>
    </row>
    <row r="219">
      <c r="A219" s="55" t="str">
        <f>IFERROR(__xludf.DUMMYFUNCTION("""COMPUTED_VALUE"""),"RSC008255")</f>
        <v>RSC008255</v>
      </c>
      <c r="B219" s="60" t="str">
        <f>IFERROR(__xludf.DUMMYFUNCTION("""COMPUTED_VALUE"""),"Knabit")</f>
        <v>Knabit</v>
      </c>
      <c r="C219" s="55" t="str">
        <f>IFERROR(__xludf.DUMMYFUNCTION("""COMPUTED_VALUE"""),"Elite")</f>
        <v>Elite</v>
      </c>
      <c r="D219" s="65">
        <f>IFERROR(__xludf.DUMMYFUNCTION("""COMPUTED_VALUE"""),71.90445468175267)</f>
        <v>71.90445468</v>
      </c>
      <c r="E219" s="66">
        <f>IFERROR(__xludf.DUMMYFUNCTION("""COMPUTED_VALUE"""),52.0)</f>
        <v>52</v>
      </c>
    </row>
    <row r="220">
      <c r="A220" s="55" t="str">
        <f>IFERROR(__xludf.DUMMYFUNCTION("""COMPUTED_VALUE"""),"RSC003831")</f>
        <v>RSC003831</v>
      </c>
      <c r="B220" s="60" t="str">
        <f>IFERROR(__xludf.DUMMYFUNCTION("""COMPUTED_VALUE"""),"Aki")</f>
        <v>Aki</v>
      </c>
      <c r="C220" s="55" t="str">
        <f>IFERROR(__xludf.DUMMYFUNCTION("""COMPUTED_VALUE"""),"Elite")</f>
        <v>Elite</v>
      </c>
      <c r="D220" s="65">
        <f>IFERROR(__xludf.DUMMYFUNCTION("""COMPUTED_VALUE"""),70.71087643549971)</f>
        <v>70.71087644</v>
      </c>
      <c r="E220" s="66">
        <f>IFERROR(__xludf.DUMMYFUNCTION("""COMPUTED_VALUE"""),38.0)</f>
        <v>38</v>
      </c>
    </row>
    <row r="221">
      <c r="A221" s="55" t="str">
        <f>IFERROR(__xludf.DUMMYFUNCTION("""COMPUTED_VALUE"""),"RSC007269")</f>
        <v>RSC007269</v>
      </c>
      <c r="B221" s="60" t="str">
        <f>IFERROR(__xludf.DUMMYFUNCTION("""COMPUTED_VALUE"""),"Navik")</f>
        <v>Navik</v>
      </c>
      <c r="C221" s="55" t="str">
        <f>IFERROR(__xludf.DUMMYFUNCTION("""COMPUTED_VALUE"""),"Elite")</f>
        <v>Elite</v>
      </c>
      <c r="D221" s="65">
        <f>IFERROR(__xludf.DUMMYFUNCTION("""COMPUTED_VALUE"""),70.49504847514788)</f>
        <v>70.49504848</v>
      </c>
      <c r="E221" s="66">
        <f>IFERROR(__xludf.DUMMYFUNCTION("""COMPUTED_VALUE"""),56.0)</f>
        <v>56</v>
      </c>
    </row>
    <row r="222">
      <c r="A222" s="55" t="str">
        <f>IFERROR(__xludf.DUMMYFUNCTION("""COMPUTED_VALUE"""),"RSC008221")</f>
        <v>RSC008221</v>
      </c>
      <c r="B222" s="60" t="str">
        <f>IFERROR(__xludf.DUMMYFUNCTION("""COMPUTED_VALUE"""),"KamdenRL")</f>
        <v>KamdenRL</v>
      </c>
      <c r="C222" s="55" t="str">
        <f>IFERROR(__xludf.DUMMYFUNCTION("""COMPUTED_VALUE"""),"Elite")</f>
        <v>Elite</v>
      </c>
      <c r="D222" s="65">
        <f>IFERROR(__xludf.DUMMYFUNCTION("""COMPUTED_VALUE"""),69.34320282210652)</f>
        <v>69.34320282</v>
      </c>
      <c r="E222" s="66">
        <f>IFERROR(__xludf.DUMMYFUNCTION("""COMPUTED_VALUE"""),18.0)</f>
        <v>18</v>
      </c>
    </row>
    <row r="223">
      <c r="A223" s="55" t="str">
        <f>IFERROR(__xludf.DUMMYFUNCTION("""COMPUTED_VALUE"""),"RSC007908")</f>
        <v>RSC007908</v>
      </c>
      <c r="B223" s="60" t="str">
        <f>IFERROR(__xludf.DUMMYFUNCTION("""COMPUTED_VALUE"""),"C01E01")</f>
        <v>C01E01</v>
      </c>
      <c r="C223" s="55" t="str">
        <f>IFERROR(__xludf.DUMMYFUNCTION("""COMPUTED_VALUE"""),"Elite")</f>
        <v>Elite</v>
      </c>
      <c r="D223" s="65">
        <f>IFERROR(__xludf.DUMMYFUNCTION("""COMPUTED_VALUE"""),69.33256853986595)</f>
        <v>69.33256854</v>
      </c>
      <c r="E223" s="66">
        <f>IFERROR(__xludf.DUMMYFUNCTION("""COMPUTED_VALUE"""),56.0)</f>
        <v>56</v>
      </c>
    </row>
    <row r="224">
      <c r="A224" s="55" t="str">
        <f>IFERROR(__xludf.DUMMYFUNCTION("""COMPUTED_VALUE"""),"RSC003250")</f>
        <v>RSC003250</v>
      </c>
      <c r="B224" s="60" t="str">
        <f>IFERROR(__xludf.DUMMYFUNCTION("""COMPUTED_VALUE"""),"Chefty")</f>
        <v>Chefty</v>
      </c>
      <c r="C224" s="55" t="str">
        <f>IFERROR(__xludf.DUMMYFUNCTION("""COMPUTED_VALUE"""),"Elite")</f>
        <v>Elite</v>
      </c>
      <c r="D224" s="65">
        <f>IFERROR(__xludf.DUMMYFUNCTION("""COMPUTED_VALUE"""),69.18182614620486)</f>
        <v>69.18182615</v>
      </c>
      <c r="E224" s="66">
        <f>IFERROR(__xludf.DUMMYFUNCTION("""COMPUTED_VALUE"""),7.0)</f>
        <v>7</v>
      </c>
    </row>
    <row r="225">
      <c r="A225" s="55" t="str">
        <f>IFERROR(__xludf.DUMMYFUNCTION("""COMPUTED_VALUE"""),"RSC007846")</f>
        <v>RSC007846</v>
      </c>
      <c r="B225" s="60" t="str">
        <f>IFERROR(__xludf.DUMMYFUNCTION("""COMPUTED_VALUE"""),"Lovegreyhounds")</f>
        <v>Lovegreyhounds</v>
      </c>
      <c r="C225" s="55" t="str">
        <f>IFERROR(__xludf.DUMMYFUNCTION("""COMPUTED_VALUE"""),"Elite")</f>
        <v>Elite</v>
      </c>
      <c r="D225" s="65">
        <f>IFERROR(__xludf.DUMMYFUNCTION("""COMPUTED_VALUE"""),68.86863602638718)</f>
        <v>68.86863603</v>
      </c>
      <c r="E225" s="66">
        <f>IFERROR(__xludf.DUMMYFUNCTION("""COMPUTED_VALUE"""),46.0)</f>
        <v>46</v>
      </c>
    </row>
    <row r="226">
      <c r="A226" s="55" t="str">
        <f>IFERROR(__xludf.DUMMYFUNCTION("""COMPUTED_VALUE"""),"RSC008169")</f>
        <v>RSC008169</v>
      </c>
      <c r="B226" s="60" t="str">
        <f>IFERROR(__xludf.DUMMYFUNCTION("""COMPUTED_VALUE"""),"Trickter02")</f>
        <v>Trickter02</v>
      </c>
      <c r="C226" s="55" t="str">
        <f>IFERROR(__xludf.DUMMYFUNCTION("""COMPUTED_VALUE"""),"Elite")</f>
        <v>Elite</v>
      </c>
      <c r="D226" s="65">
        <f>IFERROR(__xludf.DUMMYFUNCTION("""COMPUTED_VALUE"""),68.69841346367934)</f>
        <v>68.69841346</v>
      </c>
      <c r="E226" s="66">
        <f>IFERROR(__xludf.DUMMYFUNCTION("""COMPUTED_VALUE"""),38.0)</f>
        <v>38</v>
      </c>
    </row>
    <row r="227">
      <c r="A227" s="55" t="str">
        <f>IFERROR(__xludf.DUMMYFUNCTION("""COMPUTED_VALUE"""),"RSC008420")</f>
        <v>RSC008420</v>
      </c>
      <c r="B227" s="60" t="str">
        <f>IFERROR(__xludf.DUMMYFUNCTION("""COMPUTED_VALUE"""),"Volkner")</f>
        <v>Volkner</v>
      </c>
      <c r="C227" s="55" t="str">
        <f>IFERROR(__xludf.DUMMYFUNCTION("""COMPUTED_VALUE"""),"Elite")</f>
        <v>Elite</v>
      </c>
      <c r="D227" s="65">
        <f>IFERROR(__xludf.DUMMYFUNCTION("""COMPUTED_VALUE"""),68.40637235045895)</f>
        <v>68.40637235</v>
      </c>
      <c r="E227" s="66">
        <f>IFERROR(__xludf.DUMMYFUNCTION("""COMPUTED_VALUE"""),56.0)</f>
        <v>56</v>
      </c>
    </row>
    <row r="228">
      <c r="A228" s="55" t="str">
        <f>IFERROR(__xludf.DUMMYFUNCTION("""COMPUTED_VALUE"""),"RSC005872")</f>
        <v>RSC005872</v>
      </c>
      <c r="B228" s="60" t="str">
        <f>IFERROR(__xludf.DUMMYFUNCTION("""COMPUTED_VALUE"""),"Ditto")</f>
        <v>Ditto</v>
      </c>
      <c r="C228" s="55" t="str">
        <f>IFERROR(__xludf.DUMMYFUNCTION("""COMPUTED_VALUE"""),"Elite")</f>
        <v>Elite</v>
      </c>
      <c r="D228" s="65">
        <f>IFERROR(__xludf.DUMMYFUNCTION("""COMPUTED_VALUE"""),68.03835571470756)</f>
        <v>68.03835571</v>
      </c>
      <c r="E228" s="66">
        <f>IFERROR(__xludf.DUMMYFUNCTION("""COMPUTED_VALUE"""),51.0)</f>
        <v>51</v>
      </c>
    </row>
    <row r="229">
      <c r="A229" s="55" t="str">
        <f>IFERROR(__xludf.DUMMYFUNCTION("""COMPUTED_VALUE"""),"RSC007280")</f>
        <v>RSC007280</v>
      </c>
      <c r="B229" s="60" t="str">
        <f>IFERROR(__xludf.DUMMYFUNCTION("""COMPUTED_VALUE"""),"BallChasinq")</f>
        <v>BallChasinq</v>
      </c>
      <c r="C229" s="55" t="str">
        <f>IFERROR(__xludf.DUMMYFUNCTION("""COMPUTED_VALUE"""),"Elite")</f>
        <v>Elite</v>
      </c>
      <c r="D229" s="65">
        <f>IFERROR(__xludf.DUMMYFUNCTION("""COMPUTED_VALUE"""),67.70835886927424)</f>
        <v>67.70835887</v>
      </c>
      <c r="E229" s="66">
        <f>IFERROR(__xludf.DUMMYFUNCTION("""COMPUTED_VALUE"""),48.0)</f>
        <v>48</v>
      </c>
    </row>
    <row r="230">
      <c r="A230" s="55" t="str">
        <f>IFERROR(__xludf.DUMMYFUNCTION("""COMPUTED_VALUE"""),"RSC002246")</f>
        <v>RSC002246</v>
      </c>
      <c r="B230" s="60" t="str">
        <f>IFERROR(__xludf.DUMMYFUNCTION("""COMPUTED_VALUE"""),"Dread")</f>
        <v>Dread</v>
      </c>
      <c r="C230" s="55" t="str">
        <f>IFERROR(__xludf.DUMMYFUNCTION("""COMPUTED_VALUE"""),"Elite")</f>
        <v>Elite</v>
      </c>
      <c r="D230" s="65">
        <f>IFERROR(__xludf.DUMMYFUNCTION("""COMPUTED_VALUE"""),66.53647203220505)</f>
        <v>66.53647203</v>
      </c>
      <c r="E230" s="66">
        <f>IFERROR(__xludf.DUMMYFUNCTION("""COMPUTED_VALUE"""),55.0)</f>
        <v>55</v>
      </c>
    </row>
    <row r="231">
      <c r="A231" s="55" t="str">
        <f>IFERROR(__xludf.DUMMYFUNCTION("""COMPUTED_VALUE"""),"RSC007907")</f>
        <v>RSC007907</v>
      </c>
      <c r="B231" s="60" t="str">
        <f>IFERROR(__xludf.DUMMYFUNCTION("""COMPUTED_VALUE"""),"chazie.")</f>
        <v>chazie.</v>
      </c>
      <c r="C231" s="55" t="str">
        <f>IFERROR(__xludf.DUMMYFUNCTION("""COMPUTED_VALUE"""),"Elite")</f>
        <v>Elite</v>
      </c>
      <c r="D231" s="65">
        <f>IFERROR(__xludf.DUMMYFUNCTION("""COMPUTED_VALUE"""),66.5232953947395)</f>
        <v>66.52329539</v>
      </c>
      <c r="E231" s="66">
        <f>IFERROR(__xludf.DUMMYFUNCTION("""COMPUTED_VALUE"""),36.0)</f>
        <v>36</v>
      </c>
    </row>
    <row r="232">
      <c r="A232" s="55" t="str">
        <f>IFERROR(__xludf.DUMMYFUNCTION("""COMPUTED_VALUE"""),"RSC006877")</f>
        <v>RSC006877</v>
      </c>
      <c r="B232" s="60" t="str">
        <f>IFERROR(__xludf.DUMMYFUNCTION("""COMPUTED_VALUE"""),"Jolt")</f>
        <v>Jolt</v>
      </c>
      <c r="C232" s="55" t="str">
        <f>IFERROR(__xludf.DUMMYFUNCTION("""COMPUTED_VALUE"""),"Elite")</f>
        <v>Elite</v>
      </c>
      <c r="D232" s="65">
        <f>IFERROR(__xludf.DUMMYFUNCTION("""COMPUTED_VALUE"""),65.71718759387448)</f>
        <v>65.71718759</v>
      </c>
      <c r="E232" s="66">
        <f>IFERROR(__xludf.DUMMYFUNCTION("""COMPUTED_VALUE"""),48.0)</f>
        <v>48</v>
      </c>
    </row>
    <row r="233">
      <c r="A233" s="55" t="str">
        <f>IFERROR(__xludf.DUMMYFUNCTION("""COMPUTED_VALUE"""),"RSC008448")</f>
        <v>RSC008448</v>
      </c>
      <c r="B233" s="60" t="str">
        <f>IFERROR(__xludf.DUMMYFUNCTION("""COMPUTED_VALUE"""),"haz")</f>
        <v>haz</v>
      </c>
      <c r="C233" s="55" t="str">
        <f>IFERROR(__xludf.DUMMYFUNCTION("""COMPUTED_VALUE"""),"Elite")</f>
        <v>Elite</v>
      </c>
      <c r="D233" s="65">
        <f>IFERROR(__xludf.DUMMYFUNCTION("""COMPUTED_VALUE"""),65.45787083703601)</f>
        <v>65.45787084</v>
      </c>
      <c r="E233" s="66">
        <f>IFERROR(__xludf.DUMMYFUNCTION("""COMPUTED_VALUE"""),20.0)</f>
        <v>20</v>
      </c>
    </row>
    <row r="234">
      <c r="A234" s="55" t="str">
        <f>IFERROR(__xludf.DUMMYFUNCTION("""COMPUTED_VALUE"""),"RSC006273")</f>
        <v>RSC006273</v>
      </c>
      <c r="B234" s="60" t="str">
        <f>IFERROR(__xludf.DUMMYFUNCTION("""COMPUTED_VALUE"""),"chawes.")</f>
        <v>chawes.</v>
      </c>
      <c r="C234" s="55" t="str">
        <f>IFERROR(__xludf.DUMMYFUNCTION("""COMPUTED_VALUE"""),"Elite")</f>
        <v>Elite</v>
      </c>
      <c r="D234" s="65">
        <f>IFERROR(__xludf.DUMMYFUNCTION("""COMPUTED_VALUE"""),65.42347867618476)</f>
        <v>65.42347868</v>
      </c>
      <c r="E234" s="66">
        <f>IFERROR(__xludf.DUMMYFUNCTION("""COMPUTED_VALUE"""),34.0)</f>
        <v>34</v>
      </c>
    </row>
    <row r="235">
      <c r="A235" s="55" t="str">
        <f>IFERROR(__xludf.DUMMYFUNCTION("""COMPUTED_VALUE"""),"RSC002498")</f>
        <v>RSC002498</v>
      </c>
      <c r="B235" s="60" t="str">
        <f>IFERROR(__xludf.DUMMYFUNCTION("""COMPUTED_VALUE"""),"Justin")</f>
        <v>Justin</v>
      </c>
      <c r="C235" s="55" t="str">
        <f>IFERROR(__xludf.DUMMYFUNCTION("""COMPUTED_VALUE"""),"Elite")</f>
        <v>Elite</v>
      </c>
      <c r="D235" s="65">
        <f>IFERROR(__xludf.DUMMYFUNCTION("""COMPUTED_VALUE"""),65.38722265949659)</f>
        <v>65.38722266</v>
      </c>
      <c r="E235" s="66">
        <f>IFERROR(__xludf.DUMMYFUNCTION("""COMPUTED_VALUE"""),28.0)</f>
        <v>28</v>
      </c>
    </row>
    <row r="236">
      <c r="A236" s="55" t="str">
        <f>IFERROR(__xludf.DUMMYFUNCTION("""COMPUTED_VALUE"""),"RSC005374")</f>
        <v>RSC005374</v>
      </c>
      <c r="B236" s="60" t="str">
        <f>IFERROR(__xludf.DUMMYFUNCTION("""COMPUTED_VALUE"""),"A Yapping Panda")</f>
        <v>A Yapping Panda</v>
      </c>
      <c r="C236" s="55" t="str">
        <f>IFERROR(__xludf.DUMMYFUNCTION("""COMPUTED_VALUE"""),"Elite")</f>
        <v>Elite</v>
      </c>
      <c r="D236" s="65">
        <f>IFERROR(__xludf.DUMMYFUNCTION("""COMPUTED_VALUE"""),64.83328266393961)</f>
        <v>64.83328266</v>
      </c>
      <c r="E236" s="66">
        <f>IFERROR(__xludf.DUMMYFUNCTION("""COMPUTED_VALUE"""),42.0)</f>
        <v>42</v>
      </c>
    </row>
    <row r="237">
      <c r="A237" s="55" t="str">
        <f>IFERROR(__xludf.DUMMYFUNCTION("""COMPUTED_VALUE"""),"RSC005274")</f>
        <v>RSC005274</v>
      </c>
      <c r="B237" s="60" t="str">
        <f>IFERROR(__xludf.DUMMYFUNCTION("""COMPUTED_VALUE"""),"KING.")</f>
        <v>KING.</v>
      </c>
      <c r="C237" s="55" t="str">
        <f>IFERROR(__xludf.DUMMYFUNCTION("""COMPUTED_VALUE"""),"Elite")</f>
        <v>Elite</v>
      </c>
      <c r="D237" s="65">
        <f>IFERROR(__xludf.DUMMYFUNCTION("""COMPUTED_VALUE"""),64.67726271688852)</f>
        <v>64.67726272</v>
      </c>
      <c r="E237" s="66">
        <f>IFERROR(__xludf.DUMMYFUNCTION("""COMPUTED_VALUE"""),56.0)</f>
        <v>56</v>
      </c>
    </row>
    <row r="238">
      <c r="A238" s="55" t="str">
        <f>IFERROR(__xludf.DUMMYFUNCTION("""COMPUTED_VALUE"""),"RSC007354")</f>
        <v>RSC007354</v>
      </c>
      <c r="B238" s="60" t="str">
        <f>IFERROR(__xludf.DUMMYFUNCTION("""COMPUTED_VALUE"""),"Fanatic")</f>
        <v>Fanatic</v>
      </c>
      <c r="C238" s="55" t="str">
        <f>IFERROR(__xludf.DUMMYFUNCTION("""COMPUTED_VALUE"""),"Elite")</f>
        <v>Elite</v>
      </c>
      <c r="D238" s="65">
        <f>IFERROR(__xludf.DUMMYFUNCTION("""COMPUTED_VALUE"""),64.46933330672867)</f>
        <v>64.46933331</v>
      </c>
      <c r="E238" s="66">
        <f>IFERROR(__xludf.DUMMYFUNCTION("""COMPUTED_VALUE"""),47.0)</f>
        <v>47</v>
      </c>
    </row>
    <row r="239">
      <c r="A239" s="55" t="str">
        <f>IFERROR(__xludf.DUMMYFUNCTION("""COMPUTED_VALUE"""),"RSC006278")</f>
        <v>RSC006278</v>
      </c>
      <c r="B239" s="60" t="str">
        <f>IFERROR(__xludf.DUMMYFUNCTION("""COMPUTED_VALUE"""),"DribblingPenguin")</f>
        <v>DribblingPenguin</v>
      </c>
      <c r="C239" s="55" t="str">
        <f>IFERROR(__xludf.DUMMYFUNCTION("""COMPUTED_VALUE"""),"Elite")</f>
        <v>Elite</v>
      </c>
      <c r="D239" s="65">
        <f>IFERROR(__xludf.DUMMYFUNCTION("""COMPUTED_VALUE"""),62.25771833184652)</f>
        <v>62.25771833</v>
      </c>
      <c r="E239" s="66">
        <f>IFERROR(__xludf.DUMMYFUNCTION("""COMPUTED_VALUE"""),10.0)</f>
        <v>10</v>
      </c>
    </row>
    <row r="240">
      <c r="A240" s="55" t="str">
        <f>IFERROR(__xludf.DUMMYFUNCTION("""COMPUTED_VALUE"""),"RSC008198")</f>
        <v>RSC008198</v>
      </c>
      <c r="B240" s="60" t="str">
        <f>IFERROR(__xludf.DUMMYFUNCTION("""COMPUTED_VALUE"""),"Taiyo")</f>
        <v>Taiyo</v>
      </c>
      <c r="C240" s="55" t="str">
        <f>IFERROR(__xludf.DUMMYFUNCTION("""COMPUTED_VALUE"""),"Elite")</f>
        <v>Elite</v>
      </c>
      <c r="D240" s="65">
        <f>IFERROR(__xludf.DUMMYFUNCTION("""COMPUTED_VALUE"""),62.09101464130663)</f>
        <v>62.09101464</v>
      </c>
      <c r="E240" s="66">
        <f>IFERROR(__xludf.DUMMYFUNCTION("""COMPUTED_VALUE"""),52.0)</f>
        <v>52</v>
      </c>
    </row>
    <row r="241">
      <c r="A241" s="55" t="str">
        <f>IFERROR(__xludf.DUMMYFUNCTION("""COMPUTED_VALUE"""),"RSC008488")</f>
        <v>RSC008488</v>
      </c>
      <c r="B241" s="60" t="str">
        <f>IFERROR(__xludf.DUMMYFUNCTION("""COMPUTED_VALUE"""),"J.Boosted")</f>
        <v>J.Boosted</v>
      </c>
      <c r="C241" s="55" t="str">
        <f>IFERROR(__xludf.DUMMYFUNCTION("""COMPUTED_VALUE"""),"Elite")</f>
        <v>Elite</v>
      </c>
      <c r="D241" s="65">
        <f>IFERROR(__xludf.DUMMYFUNCTION("""COMPUTED_VALUE"""),62.04963108599023)</f>
        <v>62.04963109</v>
      </c>
      <c r="E241" s="66">
        <f>IFERROR(__xludf.DUMMYFUNCTION("""COMPUTED_VALUE"""),49.0)</f>
        <v>49</v>
      </c>
    </row>
    <row r="242">
      <c r="A242" s="55" t="str">
        <f>IFERROR(__xludf.DUMMYFUNCTION("""COMPUTED_VALUE"""),"RSC003709")</f>
        <v>RSC003709</v>
      </c>
      <c r="B242" s="60" t="str">
        <f>IFERROR(__xludf.DUMMYFUNCTION("""COMPUTED_VALUE"""),"donald.")</f>
        <v>donald.</v>
      </c>
      <c r="C242" s="55" t="str">
        <f>IFERROR(__xludf.DUMMYFUNCTION("""COMPUTED_VALUE"""),"Elite")</f>
        <v>Elite</v>
      </c>
      <c r="D242" s="65">
        <f>IFERROR(__xludf.DUMMYFUNCTION("""COMPUTED_VALUE"""),62.01581066067098)</f>
        <v>62.01581066</v>
      </c>
      <c r="E242" s="66">
        <f>IFERROR(__xludf.DUMMYFUNCTION("""COMPUTED_VALUE"""),48.0)</f>
        <v>48</v>
      </c>
    </row>
    <row r="243">
      <c r="A243" s="55" t="str">
        <f>IFERROR(__xludf.DUMMYFUNCTION("""COMPUTED_VALUE"""),"RSC000666")</f>
        <v>RSC000666</v>
      </c>
      <c r="B243" s="60" t="str">
        <f>IFERROR(__xludf.DUMMYFUNCTION("""COMPUTED_VALUE"""),"AEB311")</f>
        <v>AEB311</v>
      </c>
      <c r="C243" s="55" t="str">
        <f>IFERROR(__xludf.DUMMYFUNCTION("""COMPUTED_VALUE"""),"Elite")</f>
        <v>Elite</v>
      </c>
      <c r="D243" s="65">
        <f>IFERROR(__xludf.DUMMYFUNCTION("""COMPUTED_VALUE"""),61.74730807080689)</f>
        <v>61.74730807</v>
      </c>
      <c r="E243" s="66">
        <f>IFERROR(__xludf.DUMMYFUNCTION("""COMPUTED_VALUE"""),52.0)</f>
        <v>52</v>
      </c>
    </row>
    <row r="244">
      <c r="A244" s="55" t="str">
        <f>IFERROR(__xludf.DUMMYFUNCTION("""COMPUTED_VALUE"""),"RSC004131")</f>
        <v>RSC004131</v>
      </c>
      <c r="B244" s="60" t="str">
        <f>IFERROR(__xludf.DUMMYFUNCTION("""COMPUTED_VALUE"""),"Poptart Pounder")</f>
        <v>Poptart Pounder</v>
      </c>
      <c r="C244" s="55" t="str">
        <f>IFERROR(__xludf.DUMMYFUNCTION("""COMPUTED_VALUE"""),"Elite")</f>
        <v>Elite</v>
      </c>
      <c r="D244" s="65">
        <f>IFERROR(__xludf.DUMMYFUNCTION("""COMPUTED_VALUE"""),61.60212039916478)</f>
        <v>61.6021204</v>
      </c>
      <c r="E244" s="66">
        <f>IFERROR(__xludf.DUMMYFUNCTION("""COMPUTED_VALUE"""),19.0)</f>
        <v>19</v>
      </c>
    </row>
    <row r="245">
      <c r="A245" s="55" t="str">
        <f>IFERROR(__xludf.DUMMYFUNCTION("""COMPUTED_VALUE"""),"RSC007386")</f>
        <v>RSC007386</v>
      </c>
      <c r="B245" s="60" t="str">
        <f>IFERROR(__xludf.DUMMYFUNCTION("""COMPUTED_VALUE"""),"oddtrip")</f>
        <v>oddtrip</v>
      </c>
      <c r="C245" s="55" t="str">
        <f>IFERROR(__xludf.DUMMYFUNCTION("""COMPUTED_VALUE"""),"Elite")</f>
        <v>Elite</v>
      </c>
      <c r="D245" s="65">
        <f>IFERROR(__xludf.DUMMYFUNCTION("""COMPUTED_VALUE"""),60.90370141934021)</f>
        <v>60.90370142</v>
      </c>
      <c r="E245" s="66">
        <f>IFERROR(__xludf.DUMMYFUNCTION("""COMPUTED_VALUE"""),31.0)</f>
        <v>31</v>
      </c>
    </row>
    <row r="246">
      <c r="A246" s="55" t="str">
        <f>IFERROR(__xludf.DUMMYFUNCTION("""COMPUTED_VALUE"""),"RSC008490")</f>
        <v>RSC008490</v>
      </c>
      <c r="B246" s="60" t="str">
        <f>IFERROR(__xludf.DUMMYFUNCTION("""COMPUTED_VALUE"""),"FrostBeard")</f>
        <v>FrostBeard</v>
      </c>
      <c r="C246" s="55" t="str">
        <f>IFERROR(__xludf.DUMMYFUNCTION("""COMPUTED_VALUE"""),"Elite")</f>
        <v>Elite</v>
      </c>
      <c r="D246" s="65">
        <f>IFERROR(__xludf.DUMMYFUNCTION("""COMPUTED_VALUE"""),60.857309161539916)</f>
        <v>60.85730916</v>
      </c>
      <c r="E246" s="66">
        <f>IFERROR(__xludf.DUMMYFUNCTION("""COMPUTED_VALUE"""),45.0)</f>
        <v>45</v>
      </c>
    </row>
    <row r="247">
      <c r="A247" s="55" t="str">
        <f>IFERROR(__xludf.DUMMYFUNCTION("""COMPUTED_VALUE"""),"RSC007811")</f>
        <v>RSC007811</v>
      </c>
      <c r="B247" s="60" t="str">
        <f>IFERROR(__xludf.DUMMYFUNCTION("""COMPUTED_VALUE"""),"Gray")</f>
        <v>Gray</v>
      </c>
      <c r="C247" s="55" t="str">
        <f>IFERROR(__xludf.DUMMYFUNCTION("""COMPUTED_VALUE"""),"Elite")</f>
        <v>Elite</v>
      </c>
      <c r="D247" s="65">
        <f>IFERROR(__xludf.DUMMYFUNCTION("""COMPUTED_VALUE"""),60.096476166248024)</f>
        <v>60.09647617</v>
      </c>
      <c r="E247" s="66">
        <f>IFERROR(__xludf.DUMMYFUNCTION("""COMPUTED_VALUE"""),47.0)</f>
        <v>47</v>
      </c>
    </row>
    <row r="248">
      <c r="A248" s="55" t="str">
        <f>IFERROR(__xludf.DUMMYFUNCTION("""COMPUTED_VALUE"""),"RSC000016")</f>
        <v>RSC000016</v>
      </c>
      <c r="B248" s="60" t="str">
        <f>IFERROR(__xludf.DUMMYFUNCTION("""COMPUTED_VALUE"""),"Beans")</f>
        <v>Beans</v>
      </c>
      <c r="C248" s="55" t="str">
        <f>IFERROR(__xludf.DUMMYFUNCTION("""COMPUTED_VALUE"""),"Elite")</f>
        <v>Elite</v>
      </c>
      <c r="D248" s="65">
        <f>IFERROR(__xludf.DUMMYFUNCTION("""COMPUTED_VALUE"""),60.05155213578971)</f>
        <v>60.05155214</v>
      </c>
      <c r="E248" s="66">
        <f>IFERROR(__xludf.DUMMYFUNCTION("""COMPUTED_VALUE"""),37.0)</f>
        <v>37</v>
      </c>
    </row>
    <row r="249">
      <c r="A249" s="55" t="str">
        <f>IFERROR(__xludf.DUMMYFUNCTION("""COMPUTED_VALUE"""),"RSC007383")</f>
        <v>RSC007383</v>
      </c>
      <c r="B249" s="60" t="str">
        <f>IFERROR(__xludf.DUMMYFUNCTION("""COMPUTED_VALUE"""),"ttv. blestbb")</f>
        <v>ttv. blestbb</v>
      </c>
      <c r="C249" s="55" t="str">
        <f>IFERROR(__xludf.DUMMYFUNCTION("""COMPUTED_VALUE"""),"Elite")</f>
        <v>Elite</v>
      </c>
      <c r="D249" s="65">
        <f>IFERROR(__xludf.DUMMYFUNCTION("""COMPUTED_VALUE"""),59.2045265297387)</f>
        <v>59.20452653</v>
      </c>
      <c r="E249" s="66">
        <f>IFERROR(__xludf.DUMMYFUNCTION("""COMPUTED_VALUE"""),23.0)</f>
        <v>23</v>
      </c>
    </row>
    <row r="250">
      <c r="A250" s="55" t="str">
        <f>IFERROR(__xludf.DUMMYFUNCTION("""COMPUTED_VALUE"""),"RSC005515")</f>
        <v>RSC005515</v>
      </c>
      <c r="B250" s="60" t="str">
        <f>IFERROR(__xludf.DUMMYFUNCTION("""COMPUTED_VALUE"""),"BaronTac0")</f>
        <v>BaronTac0</v>
      </c>
      <c r="C250" s="55" t="str">
        <f>IFERROR(__xludf.DUMMYFUNCTION("""COMPUTED_VALUE"""),"Elite")</f>
        <v>Elite</v>
      </c>
      <c r="D250" s="65">
        <f>IFERROR(__xludf.DUMMYFUNCTION("""COMPUTED_VALUE"""),58.88748666216341)</f>
        <v>58.88748666</v>
      </c>
      <c r="E250" s="66">
        <f>IFERROR(__xludf.DUMMYFUNCTION("""COMPUTED_VALUE"""),45.0)</f>
        <v>45</v>
      </c>
    </row>
    <row r="251">
      <c r="A251" s="55" t="str">
        <f>IFERROR(__xludf.DUMMYFUNCTION("""COMPUTED_VALUE"""),"RSC006869")</f>
        <v>RSC006869</v>
      </c>
      <c r="B251" s="60" t="str">
        <f>IFERROR(__xludf.DUMMYFUNCTION("""COMPUTED_VALUE"""),"Flurry ^-^")</f>
        <v>Flurry ^-^</v>
      </c>
      <c r="C251" s="55" t="str">
        <f>IFERROR(__xludf.DUMMYFUNCTION("""COMPUTED_VALUE"""),"Elite")</f>
        <v>Elite</v>
      </c>
      <c r="D251" s="65">
        <f>IFERROR(__xludf.DUMMYFUNCTION("""COMPUTED_VALUE"""),58.67586489605795)</f>
        <v>58.6758649</v>
      </c>
      <c r="E251" s="66">
        <f>IFERROR(__xludf.DUMMYFUNCTION("""COMPUTED_VALUE"""),42.0)</f>
        <v>42</v>
      </c>
    </row>
    <row r="252">
      <c r="A252" s="55" t="str">
        <f>IFERROR(__xludf.DUMMYFUNCTION("""COMPUTED_VALUE"""),"RSC006259")</f>
        <v>RSC006259</v>
      </c>
      <c r="B252" s="60" t="str">
        <f>IFERROR(__xludf.DUMMYFUNCTION("""COMPUTED_VALUE"""),"mojomo (Goofy and Silly)")</f>
        <v>mojomo (Goofy and Silly)</v>
      </c>
      <c r="C252" s="55" t="str">
        <f>IFERROR(__xludf.DUMMYFUNCTION("""COMPUTED_VALUE"""),"Elite")</f>
        <v>Elite</v>
      </c>
      <c r="D252" s="65">
        <f>IFERROR(__xludf.DUMMYFUNCTION("""COMPUTED_VALUE"""),58.38721731510397)</f>
        <v>58.38721732</v>
      </c>
      <c r="E252" s="66">
        <f>IFERROR(__xludf.DUMMYFUNCTION("""COMPUTED_VALUE"""),52.0)</f>
        <v>52</v>
      </c>
    </row>
    <row r="253">
      <c r="A253" s="55" t="str">
        <f>IFERROR(__xludf.DUMMYFUNCTION("""COMPUTED_VALUE"""),"RSC001292")</f>
        <v>RSC001292</v>
      </c>
      <c r="B253" s="60" t="str">
        <f>IFERROR(__xludf.DUMMYFUNCTION("""COMPUTED_VALUE"""),"flamethrowr")</f>
        <v>flamethrowr</v>
      </c>
      <c r="C253" s="55" t="str">
        <f>IFERROR(__xludf.DUMMYFUNCTION("""COMPUTED_VALUE"""),"Elite")</f>
        <v>Elite</v>
      </c>
      <c r="D253" s="65">
        <f>IFERROR(__xludf.DUMMYFUNCTION("""COMPUTED_VALUE"""),57.67336265523857)</f>
        <v>57.67336266</v>
      </c>
      <c r="E253" s="66">
        <f>IFERROR(__xludf.DUMMYFUNCTION("""COMPUTED_VALUE"""),56.0)</f>
        <v>56</v>
      </c>
    </row>
    <row r="254">
      <c r="A254" s="55" t="str">
        <f>IFERROR(__xludf.DUMMYFUNCTION("""COMPUTED_VALUE"""),"RSC004889")</f>
        <v>RSC004889</v>
      </c>
      <c r="B254" s="60" t="str">
        <f>IFERROR(__xludf.DUMMYFUNCTION("""COMPUTED_VALUE"""),"Steeltoehammer")</f>
        <v>Steeltoehammer</v>
      </c>
      <c r="C254" s="55" t="str">
        <f>IFERROR(__xludf.DUMMYFUNCTION("""COMPUTED_VALUE"""),"Elite")</f>
        <v>Elite</v>
      </c>
      <c r="D254" s="65">
        <f>IFERROR(__xludf.DUMMYFUNCTION("""COMPUTED_VALUE"""),57.49711730219151)</f>
        <v>57.4971173</v>
      </c>
      <c r="E254" s="66">
        <f>IFERROR(__xludf.DUMMYFUNCTION("""COMPUTED_VALUE"""),8.0)</f>
        <v>8</v>
      </c>
    </row>
    <row r="255">
      <c r="A255" s="55" t="str">
        <f>IFERROR(__xludf.DUMMYFUNCTION("""COMPUTED_VALUE"""),"RSC005824")</f>
        <v>RSC005824</v>
      </c>
      <c r="B255" s="60" t="str">
        <f>IFERROR(__xludf.DUMMYFUNCTION("""COMPUTED_VALUE"""),"Bolts")</f>
        <v>Bolts</v>
      </c>
      <c r="C255" s="55" t="str">
        <f>IFERROR(__xludf.DUMMYFUNCTION("""COMPUTED_VALUE"""),"Elite")</f>
        <v>Elite</v>
      </c>
      <c r="D255" s="65">
        <f>IFERROR(__xludf.DUMMYFUNCTION("""COMPUTED_VALUE"""),57.16332860240138)</f>
        <v>57.1633286</v>
      </c>
      <c r="E255" s="66">
        <f>IFERROR(__xludf.DUMMYFUNCTION("""COMPUTED_VALUE"""),3.0)</f>
        <v>3</v>
      </c>
    </row>
    <row r="256">
      <c r="A256" s="55" t="str">
        <f>IFERROR(__xludf.DUMMYFUNCTION("""COMPUTED_VALUE"""),"RSC006947")</f>
        <v>RSC006947</v>
      </c>
      <c r="B256" s="60" t="str">
        <f>IFERROR(__xludf.DUMMYFUNCTION("""COMPUTED_VALUE"""),"HaZard")</f>
        <v>HaZard</v>
      </c>
      <c r="C256" s="55" t="str">
        <f>IFERROR(__xludf.DUMMYFUNCTION("""COMPUTED_VALUE"""),"Elite")</f>
        <v>Elite</v>
      </c>
      <c r="D256" s="65">
        <f>IFERROR(__xludf.DUMMYFUNCTION("""COMPUTED_VALUE"""),57.12880769593083)</f>
        <v>57.1288077</v>
      </c>
      <c r="E256" s="66">
        <f>IFERROR(__xludf.DUMMYFUNCTION("""COMPUTED_VALUE"""),43.0)</f>
        <v>43</v>
      </c>
    </row>
    <row r="257">
      <c r="A257" s="55" t="str">
        <f>IFERROR(__xludf.DUMMYFUNCTION("""COMPUTED_VALUE"""),"RSC001889")</f>
        <v>RSC001889</v>
      </c>
      <c r="B257" s="60" t="str">
        <f>IFERROR(__xludf.DUMMYFUNCTION("""COMPUTED_VALUE"""),"Phelpsy")</f>
        <v>Phelpsy</v>
      </c>
      <c r="C257" s="55" t="str">
        <f>IFERROR(__xludf.DUMMYFUNCTION("""COMPUTED_VALUE"""),"Elite")</f>
        <v>Elite</v>
      </c>
      <c r="D257" s="65">
        <f>IFERROR(__xludf.DUMMYFUNCTION("""COMPUTED_VALUE"""),56.83798783382235)</f>
        <v>56.83798783</v>
      </c>
      <c r="E257" s="66">
        <f>IFERROR(__xludf.DUMMYFUNCTION("""COMPUTED_VALUE"""),54.0)</f>
        <v>54</v>
      </c>
    </row>
    <row r="258">
      <c r="A258" s="55" t="str">
        <f>IFERROR(__xludf.DUMMYFUNCTION("""COMPUTED_VALUE"""),"RSC008382")</f>
        <v>RSC008382</v>
      </c>
      <c r="B258" s="60" t="str">
        <f>IFERROR(__xludf.DUMMYFUNCTION("""COMPUTED_VALUE"""),"KiLo")</f>
        <v>KiLo</v>
      </c>
      <c r="C258" s="55" t="str">
        <f>IFERROR(__xludf.DUMMYFUNCTION("""COMPUTED_VALUE"""),"Elite")</f>
        <v>Elite</v>
      </c>
      <c r="D258" s="65">
        <f>IFERROR(__xludf.DUMMYFUNCTION("""COMPUTED_VALUE"""),56.753286440464294)</f>
        <v>56.75328644</v>
      </c>
      <c r="E258" s="66">
        <f>IFERROR(__xludf.DUMMYFUNCTION("""COMPUTED_VALUE"""),23.0)</f>
        <v>23</v>
      </c>
    </row>
    <row r="259">
      <c r="A259" s="55" t="str">
        <f>IFERROR(__xludf.DUMMYFUNCTION("""COMPUTED_VALUE"""),"RSC002892")</f>
        <v>RSC002892</v>
      </c>
      <c r="B259" s="60" t="str">
        <f>IFERROR(__xludf.DUMMYFUNCTION("""COMPUTED_VALUE"""),"nickm")</f>
        <v>nickm</v>
      </c>
      <c r="C259" s="55" t="str">
        <f>IFERROR(__xludf.DUMMYFUNCTION("""COMPUTED_VALUE"""),"Elite")</f>
        <v>Elite</v>
      </c>
      <c r="D259" s="65">
        <f>IFERROR(__xludf.DUMMYFUNCTION("""COMPUTED_VALUE"""),56.32978263899199)</f>
        <v>56.32978264</v>
      </c>
      <c r="E259" s="66">
        <f>IFERROR(__xludf.DUMMYFUNCTION("""COMPUTED_VALUE"""),48.0)</f>
        <v>48</v>
      </c>
    </row>
    <row r="260">
      <c r="A260" s="55" t="str">
        <f>IFERROR(__xludf.DUMMYFUNCTION("""COMPUTED_VALUE"""),"RSC006713")</f>
        <v>RSC006713</v>
      </c>
      <c r="B260" s="60" t="str">
        <f>IFERROR(__xludf.DUMMYFUNCTION("""COMPUTED_VALUE"""),"SGE Nemesis")</f>
        <v>SGE Nemesis</v>
      </c>
      <c r="C260" s="55" t="str">
        <f>IFERROR(__xludf.DUMMYFUNCTION("""COMPUTED_VALUE"""),"Elite")</f>
        <v>Elite</v>
      </c>
      <c r="D260" s="65">
        <f>IFERROR(__xludf.DUMMYFUNCTION("""COMPUTED_VALUE"""),55.2195668044813)</f>
        <v>55.2195668</v>
      </c>
      <c r="E260" s="66">
        <f>IFERROR(__xludf.DUMMYFUNCTION("""COMPUTED_VALUE"""),53.0)</f>
        <v>53</v>
      </c>
    </row>
    <row r="261">
      <c r="A261" s="55" t="str">
        <f>IFERROR(__xludf.DUMMYFUNCTION("""COMPUTED_VALUE"""),"RSC005287")</f>
        <v>RSC005287</v>
      </c>
      <c r="B261" s="60" t="str">
        <f>IFERROR(__xludf.DUMMYFUNCTION("""COMPUTED_VALUE"""),"Sakuta")</f>
        <v>Sakuta</v>
      </c>
      <c r="C261" s="55" t="str">
        <f>IFERROR(__xludf.DUMMYFUNCTION("""COMPUTED_VALUE"""),"Elite")</f>
        <v>Elite</v>
      </c>
      <c r="D261" s="65">
        <f>IFERROR(__xludf.DUMMYFUNCTION("""COMPUTED_VALUE"""),54.65431354256486)</f>
        <v>54.65431354</v>
      </c>
      <c r="E261" s="66">
        <f>IFERROR(__xludf.DUMMYFUNCTION("""COMPUTED_VALUE"""),56.0)</f>
        <v>56</v>
      </c>
    </row>
    <row r="262">
      <c r="A262" s="55" t="str">
        <f>IFERROR(__xludf.DUMMYFUNCTION("""COMPUTED_VALUE"""),"RSC008479")</f>
        <v>RSC008479</v>
      </c>
      <c r="B262" s="60" t="str">
        <f>IFERROR(__xludf.DUMMYFUNCTION("""COMPUTED_VALUE"""),"Yaki")</f>
        <v>Yaki</v>
      </c>
      <c r="C262" s="55" t="str">
        <f>IFERROR(__xludf.DUMMYFUNCTION("""COMPUTED_VALUE"""),"Elite")</f>
        <v>Elite</v>
      </c>
      <c r="D262" s="65">
        <f>IFERROR(__xludf.DUMMYFUNCTION("""COMPUTED_VALUE"""),54.10758123611046)</f>
        <v>54.10758124</v>
      </c>
      <c r="E262" s="66">
        <f>IFERROR(__xludf.DUMMYFUNCTION("""COMPUTED_VALUE"""),52.0)</f>
        <v>52</v>
      </c>
    </row>
    <row r="263">
      <c r="A263" s="55" t="str">
        <f>IFERROR(__xludf.DUMMYFUNCTION("""COMPUTED_VALUE"""),"RSC005491")</f>
        <v>RSC005491</v>
      </c>
      <c r="B263" s="60" t="str">
        <f>IFERROR(__xludf.DUMMYFUNCTION("""COMPUTED_VALUE"""),"Jackowanou")</f>
        <v>Jackowanou</v>
      </c>
      <c r="C263" s="55" t="str">
        <f>IFERROR(__xludf.DUMMYFUNCTION("""COMPUTED_VALUE"""),"Elite")</f>
        <v>Elite</v>
      </c>
      <c r="D263" s="65">
        <f>IFERROR(__xludf.DUMMYFUNCTION("""COMPUTED_VALUE"""),53.62465931250395)</f>
        <v>53.62465931</v>
      </c>
      <c r="E263" s="66">
        <f>IFERROR(__xludf.DUMMYFUNCTION("""COMPUTED_VALUE"""),52.0)</f>
        <v>52</v>
      </c>
    </row>
    <row r="264">
      <c r="A264" s="55" t="str">
        <f>IFERROR(__xludf.DUMMYFUNCTION("""COMPUTED_VALUE"""),"RSC003427")</f>
        <v>RSC003427</v>
      </c>
      <c r="B264" s="60" t="str">
        <f>IFERROR(__xludf.DUMMYFUNCTION("""COMPUTED_VALUE"""),"(P|F)ineapple")</f>
        <v>(P|F)ineapple</v>
      </c>
      <c r="C264" s="55" t="str">
        <f>IFERROR(__xludf.DUMMYFUNCTION("""COMPUTED_VALUE"""),"Elite")</f>
        <v>Elite</v>
      </c>
      <c r="D264" s="65">
        <f>IFERROR(__xludf.DUMMYFUNCTION("""COMPUTED_VALUE"""),53.43159438378957)</f>
        <v>53.43159438</v>
      </c>
      <c r="E264" s="66">
        <f>IFERROR(__xludf.DUMMYFUNCTION("""COMPUTED_VALUE"""),50.0)</f>
        <v>50</v>
      </c>
    </row>
    <row r="265">
      <c r="A265" s="55" t="str">
        <f>IFERROR(__xludf.DUMMYFUNCTION("""COMPUTED_VALUE"""),"RSC002862")</f>
        <v>RSC002862</v>
      </c>
      <c r="B265" s="60" t="str">
        <f>IFERROR(__xludf.DUMMYFUNCTION("""COMPUTED_VALUE"""),"Doodle!")</f>
        <v>Doodle!</v>
      </c>
      <c r="C265" s="55" t="str">
        <f>IFERROR(__xludf.DUMMYFUNCTION("""COMPUTED_VALUE"""),"Elite")</f>
        <v>Elite</v>
      </c>
      <c r="D265" s="65">
        <f>IFERROR(__xludf.DUMMYFUNCTION("""COMPUTED_VALUE"""),53.28119788658184)</f>
        <v>53.28119789</v>
      </c>
      <c r="E265" s="66">
        <f>IFERROR(__xludf.DUMMYFUNCTION("""COMPUTED_VALUE"""),45.0)</f>
        <v>45</v>
      </c>
    </row>
    <row r="266">
      <c r="A266" s="55" t="str">
        <f>IFERROR(__xludf.DUMMYFUNCTION("""COMPUTED_VALUE"""),"RSC007855")</f>
        <v>RSC007855</v>
      </c>
      <c r="B266" s="60" t="str">
        <f>IFERROR(__xludf.DUMMYFUNCTION("""COMPUTED_VALUE"""),"Dub_Dill")</f>
        <v>Dub_Dill</v>
      </c>
      <c r="C266" s="55" t="str">
        <f>IFERROR(__xludf.DUMMYFUNCTION("""COMPUTED_VALUE"""),"Elite")</f>
        <v>Elite</v>
      </c>
      <c r="D266" s="65">
        <f>IFERROR(__xludf.DUMMYFUNCTION("""COMPUTED_VALUE"""),53.2750983792078)</f>
        <v>53.27509838</v>
      </c>
      <c r="E266" s="66">
        <f>IFERROR(__xludf.DUMMYFUNCTION("""COMPUTED_VALUE"""),37.0)</f>
        <v>37</v>
      </c>
    </row>
    <row r="267">
      <c r="A267" s="55" t="str">
        <f>IFERROR(__xludf.DUMMYFUNCTION("""COMPUTED_VALUE"""),"RSC003082")</f>
        <v>RSC003082</v>
      </c>
      <c r="B267" s="60" t="str">
        <f>IFERROR(__xludf.DUMMYFUNCTION("""COMPUTED_VALUE"""),"Skulzy9")</f>
        <v>Skulzy9</v>
      </c>
      <c r="C267" s="55" t="str">
        <f>IFERROR(__xludf.DUMMYFUNCTION("""COMPUTED_VALUE"""),"Elite")</f>
        <v>Elite</v>
      </c>
      <c r="D267" s="65">
        <f>IFERROR(__xludf.DUMMYFUNCTION("""COMPUTED_VALUE"""),53.05634195449318)</f>
        <v>53.05634195</v>
      </c>
      <c r="E267" s="66">
        <f>IFERROR(__xludf.DUMMYFUNCTION("""COMPUTED_VALUE"""),39.0)</f>
        <v>39</v>
      </c>
    </row>
    <row r="268">
      <c r="A268" s="55" t="str">
        <f>IFERROR(__xludf.DUMMYFUNCTION("""COMPUTED_VALUE"""),"RSC002579")</f>
        <v>RSC002579</v>
      </c>
      <c r="B268" s="60" t="str">
        <f>IFERROR(__xludf.DUMMYFUNCTION("""COMPUTED_VALUE"""),"saltybikini")</f>
        <v>saltybikini</v>
      </c>
      <c r="C268" s="55" t="str">
        <f>IFERROR(__xludf.DUMMYFUNCTION("""COMPUTED_VALUE"""),"Elite")</f>
        <v>Elite</v>
      </c>
      <c r="D268" s="65">
        <f>IFERROR(__xludf.DUMMYFUNCTION("""COMPUTED_VALUE"""),52.886609024584224)</f>
        <v>52.88660902</v>
      </c>
      <c r="E268" s="66">
        <f>IFERROR(__xludf.DUMMYFUNCTION("""COMPUTED_VALUE"""),25.0)</f>
        <v>25</v>
      </c>
    </row>
    <row r="269">
      <c r="A269" s="55" t="str">
        <f>IFERROR(__xludf.DUMMYFUNCTION("""COMPUTED_VALUE"""),"RSC003830")</f>
        <v>RSC003830</v>
      </c>
      <c r="B269" s="60" t="str">
        <f>IFERROR(__xludf.DUMMYFUNCTION("""COMPUTED_VALUE"""),"bradyK-")</f>
        <v>bradyK-</v>
      </c>
      <c r="C269" s="55" t="str">
        <f>IFERROR(__xludf.DUMMYFUNCTION("""COMPUTED_VALUE"""),"Elite")</f>
        <v>Elite</v>
      </c>
      <c r="D269" s="65">
        <f>IFERROR(__xludf.DUMMYFUNCTION("""COMPUTED_VALUE"""),52.61672076210705)</f>
        <v>52.61672076</v>
      </c>
      <c r="E269" s="66">
        <f>IFERROR(__xludf.DUMMYFUNCTION("""COMPUTED_VALUE"""),10.0)</f>
        <v>10</v>
      </c>
    </row>
    <row r="270">
      <c r="A270" s="55" t="str">
        <f>IFERROR(__xludf.DUMMYFUNCTION("""COMPUTED_VALUE"""),"RSC002729")</f>
        <v>RSC002729</v>
      </c>
      <c r="B270" s="60" t="str">
        <f>IFERROR(__xludf.DUMMYFUNCTION("""COMPUTED_VALUE"""),"snugcore")</f>
        <v>snugcore</v>
      </c>
      <c r="C270" s="55" t="str">
        <f>IFERROR(__xludf.DUMMYFUNCTION("""COMPUTED_VALUE"""),"Elite")</f>
        <v>Elite</v>
      </c>
      <c r="D270" s="65">
        <f>IFERROR(__xludf.DUMMYFUNCTION("""COMPUTED_VALUE"""),52.558542722941695)</f>
        <v>52.55854272</v>
      </c>
      <c r="E270" s="66">
        <f>IFERROR(__xludf.DUMMYFUNCTION("""COMPUTED_VALUE"""),56.0)</f>
        <v>56</v>
      </c>
    </row>
    <row r="271">
      <c r="A271" s="55" t="str">
        <f>IFERROR(__xludf.DUMMYFUNCTION("""COMPUTED_VALUE"""),"RSC007610")</f>
        <v>RSC007610</v>
      </c>
      <c r="B271" s="60" t="str">
        <f>IFERROR(__xludf.DUMMYFUNCTION("""COMPUTED_VALUE"""),"Halibut907")</f>
        <v>Halibut907</v>
      </c>
      <c r="C271" s="55" t="str">
        <f>IFERROR(__xludf.DUMMYFUNCTION("""COMPUTED_VALUE"""),"Elite")</f>
        <v>Elite</v>
      </c>
      <c r="D271" s="65">
        <f>IFERROR(__xludf.DUMMYFUNCTION("""COMPUTED_VALUE"""),51.67745952172635)</f>
        <v>51.67745952</v>
      </c>
      <c r="E271" s="66">
        <f>IFERROR(__xludf.DUMMYFUNCTION("""COMPUTED_VALUE"""),25.0)</f>
        <v>25</v>
      </c>
    </row>
    <row r="272">
      <c r="A272" s="55" t="str">
        <f>IFERROR(__xludf.DUMMYFUNCTION("""COMPUTED_VALUE"""),"RSC008531")</f>
        <v>RSC008531</v>
      </c>
      <c r="B272" s="60" t="str">
        <f>IFERROR(__xludf.DUMMYFUNCTION("""COMPUTED_VALUE"""),"drkmist")</f>
        <v>drkmist</v>
      </c>
      <c r="C272" s="55" t="str">
        <f>IFERROR(__xludf.DUMMYFUNCTION("""COMPUTED_VALUE"""),"Elite")</f>
        <v>Elite</v>
      </c>
      <c r="D272" s="65">
        <f>IFERROR(__xludf.DUMMYFUNCTION("""COMPUTED_VALUE"""),51.446568721329)</f>
        <v>51.44656872</v>
      </c>
      <c r="E272" s="66">
        <f>IFERROR(__xludf.DUMMYFUNCTION("""COMPUTED_VALUE"""),3.0)</f>
        <v>3</v>
      </c>
    </row>
    <row r="273">
      <c r="A273" s="55" t="str">
        <f>IFERROR(__xludf.DUMMYFUNCTION("""COMPUTED_VALUE"""),"RSC007486")</f>
        <v>RSC007486</v>
      </c>
      <c r="B273" s="60" t="str">
        <f>IFERROR(__xludf.DUMMYFUNCTION("""COMPUTED_VALUE"""),"kj")</f>
        <v>kj</v>
      </c>
      <c r="C273" s="55" t="str">
        <f>IFERROR(__xludf.DUMMYFUNCTION("""COMPUTED_VALUE"""),"Elite")</f>
        <v>Elite</v>
      </c>
      <c r="D273" s="65">
        <f>IFERROR(__xludf.DUMMYFUNCTION("""COMPUTED_VALUE"""),51.28631871500595)</f>
        <v>51.28631872</v>
      </c>
      <c r="E273" s="66">
        <f>IFERROR(__xludf.DUMMYFUNCTION("""COMPUTED_VALUE"""),4.0)</f>
        <v>4</v>
      </c>
    </row>
    <row r="274">
      <c r="A274" s="55" t="str">
        <f>IFERROR(__xludf.DUMMYFUNCTION("""COMPUTED_VALUE"""),"RSC008417")</f>
        <v>RSC008417</v>
      </c>
      <c r="B274" s="60" t="str">
        <f>IFERROR(__xludf.DUMMYFUNCTION("""COMPUTED_VALUE"""),"LC Spirit")</f>
        <v>LC Spirit</v>
      </c>
      <c r="C274" s="55" t="str">
        <f>IFERROR(__xludf.DUMMYFUNCTION("""COMPUTED_VALUE"""),"Elite")</f>
        <v>Elite</v>
      </c>
      <c r="D274" s="65">
        <f>IFERROR(__xludf.DUMMYFUNCTION("""COMPUTED_VALUE"""),51.17763931068594)</f>
        <v>51.17763931</v>
      </c>
      <c r="E274" s="66">
        <f>IFERROR(__xludf.DUMMYFUNCTION("""COMPUTED_VALUE"""),54.0)</f>
        <v>54</v>
      </c>
    </row>
    <row r="275">
      <c r="A275" s="55" t="str">
        <f>IFERROR(__xludf.DUMMYFUNCTION("""COMPUTED_VALUE"""),"RSC002559")</f>
        <v>RSC002559</v>
      </c>
      <c r="B275" s="60" t="str">
        <f>IFERROR(__xludf.DUMMYFUNCTION("""COMPUTED_VALUE"""),"CommanderBoy")</f>
        <v>CommanderBoy</v>
      </c>
      <c r="C275" s="55" t="str">
        <f>IFERROR(__xludf.DUMMYFUNCTION("""COMPUTED_VALUE"""),"Elite")</f>
        <v>Elite</v>
      </c>
      <c r="D275" s="65">
        <f>IFERROR(__xludf.DUMMYFUNCTION("""COMPUTED_VALUE"""),51.09912317359691)</f>
        <v>51.09912317</v>
      </c>
      <c r="E275" s="66">
        <f>IFERROR(__xludf.DUMMYFUNCTION("""COMPUTED_VALUE"""),39.0)</f>
        <v>39</v>
      </c>
    </row>
    <row r="276">
      <c r="A276" s="55" t="str">
        <f>IFERROR(__xludf.DUMMYFUNCTION("""COMPUTED_VALUE"""),"RSC005508")</f>
        <v>RSC005508</v>
      </c>
      <c r="B276" s="60" t="str">
        <f>IFERROR(__xludf.DUMMYFUNCTION("""COMPUTED_VALUE"""),"Lil Windex")</f>
        <v>Lil Windex</v>
      </c>
      <c r="C276" s="55" t="str">
        <f>IFERROR(__xludf.DUMMYFUNCTION("""COMPUTED_VALUE"""),"Elite")</f>
        <v>Elite</v>
      </c>
      <c r="D276" s="65">
        <f>IFERROR(__xludf.DUMMYFUNCTION("""COMPUTED_VALUE"""),51.072573222612355)</f>
        <v>51.07257322</v>
      </c>
      <c r="E276" s="66">
        <f>IFERROR(__xludf.DUMMYFUNCTION("""COMPUTED_VALUE"""),39.0)</f>
        <v>39</v>
      </c>
    </row>
    <row r="277">
      <c r="A277" s="55" t="str">
        <f>IFERROR(__xludf.DUMMYFUNCTION("""COMPUTED_VALUE"""),"RSC008399")</f>
        <v>RSC008399</v>
      </c>
      <c r="B277" s="60" t="str">
        <f>IFERROR(__xludf.DUMMYFUNCTION("""COMPUTED_VALUE"""),"Tiz Samu")</f>
        <v>Tiz Samu</v>
      </c>
      <c r="C277" s="55" t="str">
        <f>IFERROR(__xludf.DUMMYFUNCTION("""COMPUTED_VALUE"""),"Elite")</f>
        <v>Elite</v>
      </c>
      <c r="D277" s="65">
        <f>IFERROR(__xludf.DUMMYFUNCTION("""COMPUTED_VALUE"""),51.00947583668227)</f>
        <v>51.00947584</v>
      </c>
      <c r="E277" s="66">
        <f>IFERROR(__xludf.DUMMYFUNCTION("""COMPUTED_VALUE"""),42.0)</f>
        <v>42</v>
      </c>
    </row>
    <row r="278">
      <c r="A278" s="55" t="str">
        <f>IFERROR(__xludf.DUMMYFUNCTION("""COMPUTED_VALUE"""),"RSC006417")</f>
        <v>RSC006417</v>
      </c>
      <c r="B278" s="60" t="str">
        <f>IFERROR(__xludf.DUMMYFUNCTION("""COMPUTED_VALUE"""),"TangentOgive")</f>
        <v>TangentOgive</v>
      </c>
      <c r="C278" s="55" t="str">
        <f>IFERROR(__xludf.DUMMYFUNCTION("""COMPUTED_VALUE"""),"Elite")</f>
        <v>Elite</v>
      </c>
      <c r="D278" s="65">
        <f>IFERROR(__xludf.DUMMYFUNCTION("""COMPUTED_VALUE"""),50.98752891519355)</f>
        <v>50.98752892</v>
      </c>
      <c r="E278" s="66">
        <f>IFERROR(__xludf.DUMMYFUNCTION("""COMPUTED_VALUE"""),6.0)</f>
        <v>6</v>
      </c>
    </row>
    <row r="279">
      <c r="A279" s="55" t="str">
        <f>IFERROR(__xludf.DUMMYFUNCTION("""COMPUTED_VALUE"""),"RSC007470")</f>
        <v>RSC007470</v>
      </c>
      <c r="B279" s="60" t="str">
        <f>IFERROR(__xludf.DUMMYFUNCTION("""COMPUTED_VALUE"""),"Fused Gavin")</f>
        <v>Fused Gavin</v>
      </c>
      <c r="C279" s="55" t="str">
        <f>IFERROR(__xludf.DUMMYFUNCTION("""COMPUTED_VALUE"""),"Elite")</f>
        <v>Elite</v>
      </c>
      <c r="D279" s="65">
        <f>IFERROR(__xludf.DUMMYFUNCTION("""COMPUTED_VALUE"""),50.015892037478615)</f>
        <v>50.01589204</v>
      </c>
      <c r="E279" s="66">
        <f>IFERROR(__xludf.DUMMYFUNCTION("""COMPUTED_VALUE"""),23.0)</f>
        <v>23</v>
      </c>
    </row>
    <row r="280">
      <c r="A280" s="55" t="str">
        <f>IFERROR(__xludf.DUMMYFUNCTION("""COMPUTED_VALUE"""),"RSC006723")</f>
        <v>RSC006723</v>
      </c>
      <c r="B280" s="60" t="str">
        <f>IFERROR(__xludf.DUMMYFUNCTION("""COMPUTED_VALUE"""),"ROCK_Sause")</f>
        <v>ROCK_Sause</v>
      </c>
      <c r="C280" s="55" t="str">
        <f>IFERROR(__xludf.DUMMYFUNCTION("""COMPUTED_VALUE"""),"Elite")</f>
        <v>Elite</v>
      </c>
      <c r="D280" s="65">
        <f>IFERROR(__xludf.DUMMYFUNCTION("""COMPUTED_VALUE"""),49.985905785166906)</f>
        <v>49.98590579</v>
      </c>
      <c r="E280" s="66">
        <f>IFERROR(__xludf.DUMMYFUNCTION("""COMPUTED_VALUE"""),48.0)</f>
        <v>48</v>
      </c>
    </row>
    <row r="281">
      <c r="A281" s="55" t="str">
        <f>IFERROR(__xludf.DUMMYFUNCTION("""COMPUTED_VALUE"""),"RSC002164")</f>
        <v>RSC002164</v>
      </c>
      <c r="B281" s="60" t="str">
        <f>IFERROR(__xludf.DUMMYFUNCTION("""COMPUTED_VALUE"""),"Dosia")</f>
        <v>Dosia</v>
      </c>
      <c r="C281" s="55" t="str">
        <f>IFERROR(__xludf.DUMMYFUNCTION("""COMPUTED_VALUE"""),"Elite")</f>
        <v>Elite</v>
      </c>
      <c r="D281" s="65">
        <f>IFERROR(__xludf.DUMMYFUNCTION("""COMPUTED_VALUE"""),49.35139201238814)</f>
        <v>49.35139201</v>
      </c>
      <c r="E281" s="66">
        <f>IFERROR(__xludf.DUMMYFUNCTION("""COMPUTED_VALUE"""),50.0)</f>
        <v>50</v>
      </c>
    </row>
    <row r="282">
      <c r="A282" s="55" t="str">
        <f>IFERROR(__xludf.DUMMYFUNCTION("""COMPUTED_VALUE"""),"RSC007655")</f>
        <v>RSC007655</v>
      </c>
      <c r="B282" s="60" t="str">
        <f>IFERROR(__xludf.DUMMYFUNCTION("""COMPUTED_VALUE"""),"Geo")</f>
        <v>Geo</v>
      </c>
      <c r="C282" s="55" t="str">
        <f>IFERROR(__xludf.DUMMYFUNCTION("""COMPUTED_VALUE"""),"Elite")</f>
        <v>Elite</v>
      </c>
      <c r="D282" s="65">
        <f>IFERROR(__xludf.DUMMYFUNCTION("""COMPUTED_VALUE"""),49.13284716531875)</f>
        <v>49.13284717</v>
      </c>
      <c r="E282" s="66">
        <f>IFERROR(__xludf.DUMMYFUNCTION("""COMPUTED_VALUE"""),34.0)</f>
        <v>34</v>
      </c>
    </row>
    <row r="283">
      <c r="A283" s="55" t="str">
        <f>IFERROR(__xludf.DUMMYFUNCTION("""COMPUTED_VALUE"""),"RSC008200")</f>
        <v>RSC008200</v>
      </c>
      <c r="B283" s="60" t="str">
        <f>IFERROR(__xludf.DUMMYFUNCTION("""COMPUTED_VALUE"""),"Cloudburst")</f>
        <v>Cloudburst</v>
      </c>
      <c r="C283" s="55" t="str">
        <f>IFERROR(__xludf.DUMMYFUNCTION("""COMPUTED_VALUE"""),"Elite")</f>
        <v>Elite</v>
      </c>
      <c r="D283" s="65">
        <f>IFERROR(__xludf.DUMMYFUNCTION("""COMPUTED_VALUE"""),48.382251206357395)</f>
        <v>48.38225121</v>
      </c>
      <c r="E283" s="66">
        <f>IFERROR(__xludf.DUMMYFUNCTION("""COMPUTED_VALUE"""),47.0)</f>
        <v>47</v>
      </c>
    </row>
    <row r="284">
      <c r="A284" s="55" t="str">
        <f>IFERROR(__xludf.DUMMYFUNCTION("""COMPUTED_VALUE"""),"RSC006378")</f>
        <v>RSC006378</v>
      </c>
      <c r="B284" s="60" t="str">
        <f>IFERROR(__xludf.DUMMYFUNCTION("""COMPUTED_VALUE"""),"depressed vibez")</f>
        <v>depressed vibez</v>
      </c>
      <c r="C284" s="55" t="str">
        <f>IFERROR(__xludf.DUMMYFUNCTION("""COMPUTED_VALUE"""),"Elite")</f>
        <v>Elite</v>
      </c>
      <c r="D284" s="65">
        <f>IFERROR(__xludf.DUMMYFUNCTION("""COMPUTED_VALUE"""),48.17689496298482)</f>
        <v>48.17689496</v>
      </c>
      <c r="E284" s="66">
        <f>IFERROR(__xludf.DUMMYFUNCTION("""COMPUTED_VALUE"""),23.0)</f>
        <v>23</v>
      </c>
    </row>
    <row r="285">
      <c r="A285" s="55" t="str">
        <f>IFERROR(__xludf.DUMMYFUNCTION("""COMPUTED_VALUE"""),"RSC006218")</f>
        <v>RSC006218</v>
      </c>
      <c r="B285" s="60" t="str">
        <f>IFERROR(__xludf.DUMMYFUNCTION("""COMPUTED_VALUE"""),"Stingray")</f>
        <v>Stingray</v>
      </c>
      <c r="C285" s="55" t="str">
        <f>IFERROR(__xludf.DUMMYFUNCTION("""COMPUTED_VALUE"""),"Elite")</f>
        <v>Elite</v>
      </c>
      <c r="D285" s="65">
        <f>IFERROR(__xludf.DUMMYFUNCTION("""COMPUTED_VALUE"""),48.130723270993904)</f>
        <v>48.13072327</v>
      </c>
      <c r="E285" s="66">
        <f>IFERROR(__xludf.DUMMYFUNCTION("""COMPUTED_VALUE"""),34.0)</f>
        <v>34</v>
      </c>
    </row>
    <row r="286">
      <c r="A286" s="55" t="str">
        <f>IFERROR(__xludf.DUMMYFUNCTION("""COMPUTED_VALUE"""),"RSC006448")</f>
        <v>RSC006448</v>
      </c>
      <c r="B286" s="60" t="str">
        <f>IFERROR(__xludf.DUMMYFUNCTION("""COMPUTED_VALUE"""),"M1TNS")</f>
        <v>M1TNS</v>
      </c>
      <c r="C286" s="55" t="str">
        <f>IFERROR(__xludf.DUMMYFUNCTION("""COMPUTED_VALUE"""),"Elite")</f>
        <v>Elite</v>
      </c>
      <c r="D286" s="65">
        <f>IFERROR(__xludf.DUMMYFUNCTION("""COMPUTED_VALUE"""),47.47436053495297)</f>
        <v>47.47436053</v>
      </c>
      <c r="E286" s="66">
        <f>IFERROR(__xludf.DUMMYFUNCTION("""COMPUTED_VALUE"""),28.0)</f>
        <v>28</v>
      </c>
    </row>
    <row r="287">
      <c r="A287" s="55" t="str">
        <f>IFERROR(__xludf.DUMMYFUNCTION("""COMPUTED_VALUE"""),"RSC004767")</f>
        <v>RSC004767</v>
      </c>
      <c r="B287" s="60" t="str">
        <f>IFERROR(__xludf.DUMMYFUNCTION("""COMPUTED_VALUE"""),"NFURY8")</f>
        <v>NFURY8</v>
      </c>
      <c r="C287" s="55" t="str">
        <f>IFERROR(__xludf.DUMMYFUNCTION("""COMPUTED_VALUE"""),"Elite")</f>
        <v>Elite</v>
      </c>
      <c r="D287" s="65">
        <f>IFERROR(__xludf.DUMMYFUNCTION("""COMPUTED_VALUE"""),47.409476933218365)</f>
        <v>47.40947693</v>
      </c>
      <c r="E287" s="66">
        <f>IFERROR(__xludf.DUMMYFUNCTION("""COMPUTED_VALUE"""),12.0)</f>
        <v>12</v>
      </c>
    </row>
    <row r="288">
      <c r="A288" s="55" t="str">
        <f>IFERROR(__xludf.DUMMYFUNCTION("""COMPUTED_VALUE"""),"RSC008461")</f>
        <v>RSC008461</v>
      </c>
      <c r="B288" s="60" t="str">
        <f>IFERROR(__xludf.DUMMYFUNCTION("""COMPUTED_VALUE"""),"Kos")</f>
        <v>Kos</v>
      </c>
      <c r="C288" s="55" t="str">
        <f>IFERROR(__xludf.DUMMYFUNCTION("""COMPUTED_VALUE"""),"Elite")</f>
        <v>Elite</v>
      </c>
      <c r="D288" s="65">
        <f>IFERROR(__xludf.DUMMYFUNCTION("""COMPUTED_VALUE"""),47.21356819015195)</f>
        <v>47.21356819</v>
      </c>
      <c r="E288" s="66">
        <f>IFERROR(__xludf.DUMMYFUNCTION("""COMPUTED_VALUE"""),55.0)</f>
        <v>55</v>
      </c>
    </row>
    <row r="289">
      <c r="A289" s="55" t="str">
        <f>IFERROR(__xludf.DUMMYFUNCTION("""COMPUTED_VALUE"""),"RSC008102")</f>
        <v>RSC008102</v>
      </c>
      <c r="B289" s="60" t="str">
        <f>IFERROR(__xludf.DUMMYFUNCTION("""COMPUTED_VALUE"""),"Talent?")</f>
        <v>Talent?</v>
      </c>
      <c r="C289" s="55" t="str">
        <f>IFERROR(__xludf.DUMMYFUNCTION("""COMPUTED_VALUE"""),"Elite")</f>
        <v>Elite</v>
      </c>
      <c r="D289" s="65">
        <f>IFERROR(__xludf.DUMMYFUNCTION("""COMPUTED_VALUE"""),47.10017125928332)</f>
        <v>47.10017126</v>
      </c>
      <c r="E289" s="66">
        <f>IFERROR(__xludf.DUMMYFUNCTION("""COMPUTED_VALUE"""),50.0)</f>
        <v>50</v>
      </c>
    </row>
    <row r="290">
      <c r="A290" s="55" t="str">
        <f>IFERROR(__xludf.DUMMYFUNCTION("""COMPUTED_VALUE"""),"RSC008363")</f>
        <v>RSC008363</v>
      </c>
      <c r="B290" s="60" t="str">
        <f>IFERROR(__xludf.DUMMYFUNCTION("""COMPUTED_VALUE"""),"Jarrtsu")</f>
        <v>Jarrtsu</v>
      </c>
      <c r="C290" s="55" t="str">
        <f>IFERROR(__xludf.DUMMYFUNCTION("""COMPUTED_VALUE"""),"Elite")</f>
        <v>Elite</v>
      </c>
      <c r="D290" s="65">
        <f>IFERROR(__xludf.DUMMYFUNCTION("""COMPUTED_VALUE"""),46.531698112096365)</f>
        <v>46.53169811</v>
      </c>
      <c r="E290" s="66">
        <f>IFERROR(__xludf.DUMMYFUNCTION("""COMPUTED_VALUE"""),52.0)</f>
        <v>52</v>
      </c>
    </row>
    <row r="291">
      <c r="A291" s="55" t="str">
        <f>IFERROR(__xludf.DUMMYFUNCTION("""COMPUTED_VALUE"""),"RSC004214")</f>
        <v>RSC004214</v>
      </c>
      <c r="B291" s="60" t="str">
        <f>IFERROR(__xludf.DUMMYFUNCTION("""COMPUTED_VALUE"""),"Miserable")</f>
        <v>Miserable</v>
      </c>
      <c r="C291" s="55" t="str">
        <f>IFERROR(__xludf.DUMMYFUNCTION("""COMPUTED_VALUE"""),"Elite")</f>
        <v>Elite</v>
      </c>
      <c r="D291" s="65">
        <f>IFERROR(__xludf.DUMMYFUNCTION("""COMPUTED_VALUE"""),45.89310703494941)</f>
        <v>45.89310703</v>
      </c>
      <c r="E291" s="66">
        <f>IFERROR(__xludf.DUMMYFUNCTION("""COMPUTED_VALUE"""),51.0)</f>
        <v>51</v>
      </c>
    </row>
    <row r="292">
      <c r="A292" s="55" t="str">
        <f>IFERROR(__xludf.DUMMYFUNCTION("""COMPUTED_VALUE"""),"RSC005308")</f>
        <v>RSC005308</v>
      </c>
      <c r="B292" s="60" t="str">
        <f>IFERROR(__xludf.DUMMYFUNCTION("""COMPUTED_VALUE"""),"6 lbs of Yeet")</f>
        <v>6 lbs of Yeet</v>
      </c>
      <c r="C292" s="55" t="str">
        <f>IFERROR(__xludf.DUMMYFUNCTION("""COMPUTED_VALUE"""),"Elite")</f>
        <v>Elite</v>
      </c>
      <c r="D292" s="65">
        <f>IFERROR(__xludf.DUMMYFUNCTION("""COMPUTED_VALUE"""),45.695574045174624)</f>
        <v>45.69557405</v>
      </c>
      <c r="E292" s="66">
        <f>IFERROR(__xludf.DUMMYFUNCTION("""COMPUTED_VALUE"""),25.0)</f>
        <v>25</v>
      </c>
    </row>
    <row r="293">
      <c r="A293" s="55" t="str">
        <f>IFERROR(__xludf.DUMMYFUNCTION("""COMPUTED_VALUE"""),"RSC008391")</f>
        <v>RSC008391</v>
      </c>
      <c r="B293" s="60" t="str">
        <f>IFERROR(__xludf.DUMMYFUNCTION("""COMPUTED_VALUE"""),"SirPeakzIV")</f>
        <v>SirPeakzIV</v>
      </c>
      <c r="C293" s="55" t="str">
        <f>IFERROR(__xludf.DUMMYFUNCTION("""COMPUTED_VALUE"""),"Elite")</f>
        <v>Elite</v>
      </c>
      <c r="D293" s="65">
        <f>IFERROR(__xludf.DUMMYFUNCTION("""COMPUTED_VALUE"""),45.4974430595832)</f>
        <v>45.49744306</v>
      </c>
      <c r="E293" s="66">
        <f>IFERROR(__xludf.DUMMYFUNCTION("""COMPUTED_VALUE"""),44.0)</f>
        <v>44</v>
      </c>
    </row>
    <row r="294">
      <c r="A294" s="55" t="str">
        <f>IFERROR(__xludf.DUMMYFUNCTION("""COMPUTED_VALUE"""),"RSC000787")</f>
        <v>RSC000787</v>
      </c>
      <c r="B294" s="60" t="str">
        <f>IFERROR(__xludf.DUMMYFUNCTION("""COMPUTED_VALUE"""),"buckle")</f>
        <v>buckle</v>
      </c>
      <c r="C294" s="55" t="str">
        <f>IFERROR(__xludf.DUMMYFUNCTION("""COMPUTED_VALUE"""),"Elite")</f>
        <v>Elite</v>
      </c>
      <c r="D294" s="65">
        <f>IFERROR(__xludf.DUMMYFUNCTION("""COMPUTED_VALUE"""),44.695281576010196)</f>
        <v>44.69528158</v>
      </c>
      <c r="E294" s="66">
        <f>IFERROR(__xludf.DUMMYFUNCTION("""COMPUTED_VALUE"""),52.0)</f>
        <v>52</v>
      </c>
    </row>
    <row r="295">
      <c r="A295" s="55" t="str">
        <f>IFERROR(__xludf.DUMMYFUNCTION("""COMPUTED_VALUE"""),"RSC007129")</f>
        <v>RSC007129</v>
      </c>
      <c r="B295" s="60" t="str">
        <f>IFERROR(__xludf.DUMMYFUNCTION("""COMPUTED_VALUE"""),"EKA Luminous")</f>
        <v>EKA Luminous</v>
      </c>
      <c r="C295" s="55" t="str">
        <f>IFERROR(__xludf.DUMMYFUNCTION("""COMPUTED_VALUE"""),"Elite")</f>
        <v>Elite</v>
      </c>
      <c r="D295" s="65">
        <f>IFERROR(__xludf.DUMMYFUNCTION("""COMPUTED_VALUE"""),44.56866044707415)</f>
        <v>44.56866045</v>
      </c>
      <c r="E295" s="66">
        <f>IFERROR(__xludf.DUMMYFUNCTION("""COMPUTED_VALUE"""),29.0)</f>
        <v>29</v>
      </c>
    </row>
    <row r="296">
      <c r="A296" s="55" t="str">
        <f>IFERROR(__xludf.DUMMYFUNCTION("""COMPUTED_VALUE"""),"RSC000021")</f>
        <v>RSC000021</v>
      </c>
      <c r="B296" s="60" t="str">
        <f>IFERROR(__xludf.DUMMYFUNCTION("""COMPUTED_VALUE"""),"TyTy")</f>
        <v>TyTy</v>
      </c>
      <c r="C296" s="55" t="str">
        <f>IFERROR(__xludf.DUMMYFUNCTION("""COMPUTED_VALUE"""),"Elite")</f>
        <v>Elite</v>
      </c>
      <c r="D296" s="65">
        <f>IFERROR(__xludf.DUMMYFUNCTION("""COMPUTED_VALUE"""),44.21215692377628)</f>
        <v>44.21215692</v>
      </c>
      <c r="E296" s="66">
        <f>IFERROR(__xludf.DUMMYFUNCTION("""COMPUTED_VALUE"""),31.0)</f>
        <v>31</v>
      </c>
    </row>
    <row r="297">
      <c r="A297" s="55" t="str">
        <f>IFERROR(__xludf.DUMMYFUNCTION("""COMPUTED_VALUE"""),"RSC001986")</f>
        <v>RSC001986</v>
      </c>
      <c r="B297" s="60" t="str">
        <f>IFERROR(__xludf.DUMMYFUNCTION("""COMPUTED_VALUE"""),"Colinn")</f>
        <v>Colinn</v>
      </c>
      <c r="C297" s="55" t="str">
        <f>IFERROR(__xludf.DUMMYFUNCTION("""COMPUTED_VALUE"""),"Elite")</f>
        <v>Elite</v>
      </c>
      <c r="D297" s="65">
        <f>IFERROR(__xludf.DUMMYFUNCTION("""COMPUTED_VALUE"""),43.7223320334951)</f>
        <v>43.72233203</v>
      </c>
      <c r="E297" s="66">
        <f>IFERROR(__xludf.DUMMYFUNCTION("""COMPUTED_VALUE"""),14.0)</f>
        <v>14</v>
      </c>
    </row>
    <row r="298">
      <c r="A298" s="55" t="str">
        <f>IFERROR(__xludf.DUMMYFUNCTION("""COMPUTED_VALUE"""),"RSC008128")</f>
        <v>RSC008128</v>
      </c>
      <c r="B298" s="60" t="str">
        <f>IFERROR(__xludf.DUMMYFUNCTION("""COMPUTED_VALUE"""),"ThruStyler")</f>
        <v>ThruStyler</v>
      </c>
      <c r="C298" s="55" t="str">
        <f>IFERROR(__xludf.DUMMYFUNCTION("""COMPUTED_VALUE"""),"Elite")</f>
        <v>Elite</v>
      </c>
      <c r="D298" s="65">
        <f>IFERROR(__xludf.DUMMYFUNCTION("""COMPUTED_VALUE"""),43.60119198726391)</f>
        <v>43.60119199</v>
      </c>
      <c r="E298" s="66">
        <f>IFERROR(__xludf.DUMMYFUNCTION("""COMPUTED_VALUE"""),38.0)</f>
        <v>38</v>
      </c>
    </row>
    <row r="299">
      <c r="A299" s="55" t="str">
        <f>IFERROR(__xludf.DUMMYFUNCTION("""COMPUTED_VALUE"""),"RSC007688")</f>
        <v>RSC007688</v>
      </c>
      <c r="B299" s="60" t="str">
        <f>IFERROR(__xludf.DUMMYFUNCTION("""COMPUTED_VALUE"""),"Yami ^^")</f>
        <v>Yami ^^</v>
      </c>
      <c r="C299" s="55" t="str">
        <f>IFERROR(__xludf.DUMMYFUNCTION("""COMPUTED_VALUE"""),"Elite")</f>
        <v>Elite</v>
      </c>
      <c r="D299" s="65">
        <f>IFERROR(__xludf.DUMMYFUNCTION("""COMPUTED_VALUE"""),43.20385666813083)</f>
        <v>43.20385667</v>
      </c>
      <c r="E299" s="66">
        <f>IFERROR(__xludf.DUMMYFUNCTION("""COMPUTED_VALUE"""),56.0)</f>
        <v>56</v>
      </c>
    </row>
    <row r="300">
      <c r="A300" s="55" t="str">
        <f>IFERROR(__xludf.DUMMYFUNCTION("""COMPUTED_VALUE"""),"RSC005373")</f>
        <v>RSC005373</v>
      </c>
      <c r="B300" s="60" t="str">
        <f>IFERROR(__xludf.DUMMYFUNCTION("""COMPUTED_VALUE"""),"dvorl.ttv")</f>
        <v>dvorl.ttv</v>
      </c>
      <c r="C300" s="55" t="str">
        <f>IFERROR(__xludf.DUMMYFUNCTION("""COMPUTED_VALUE"""),"Elite")</f>
        <v>Elite</v>
      </c>
      <c r="D300" s="65">
        <f>IFERROR(__xludf.DUMMYFUNCTION("""COMPUTED_VALUE"""),42.85230738305002)</f>
        <v>42.85230738</v>
      </c>
      <c r="E300" s="66">
        <f>IFERROR(__xludf.DUMMYFUNCTION("""COMPUTED_VALUE"""),30.0)</f>
        <v>30</v>
      </c>
    </row>
    <row r="301">
      <c r="A301" s="55" t="str">
        <f>IFERROR(__xludf.DUMMYFUNCTION("""COMPUTED_VALUE"""),"RSC003055")</f>
        <v>RSC003055</v>
      </c>
      <c r="B301" s="60" t="str">
        <f>IFERROR(__xludf.DUMMYFUNCTION("""COMPUTED_VALUE"""),"Lad")</f>
        <v>Lad</v>
      </c>
      <c r="C301" s="55" t="str">
        <f>IFERROR(__xludf.DUMMYFUNCTION("""COMPUTED_VALUE"""),"Elite")</f>
        <v>Elite</v>
      </c>
      <c r="D301" s="65">
        <f>IFERROR(__xludf.DUMMYFUNCTION("""COMPUTED_VALUE"""),42.34873865753004)</f>
        <v>42.34873866</v>
      </c>
      <c r="E301" s="66">
        <f>IFERROR(__xludf.DUMMYFUNCTION("""COMPUTED_VALUE"""),12.0)</f>
        <v>12</v>
      </c>
    </row>
    <row r="302">
      <c r="A302" s="55" t="str">
        <f>IFERROR(__xludf.DUMMYFUNCTION("""COMPUTED_VALUE"""),"RSC008354")</f>
        <v>RSC008354</v>
      </c>
      <c r="B302" s="60" t="str">
        <f>IFERROR(__xludf.DUMMYFUNCTION("""COMPUTED_VALUE"""),"S3 TEK")</f>
        <v>S3 TEK</v>
      </c>
      <c r="C302" s="55" t="str">
        <f>IFERROR(__xludf.DUMMYFUNCTION("""COMPUTED_VALUE"""),"Elite")</f>
        <v>Elite</v>
      </c>
      <c r="D302" s="65">
        <f>IFERROR(__xludf.DUMMYFUNCTION("""COMPUTED_VALUE"""),42.12555738262381)</f>
        <v>42.12555738</v>
      </c>
      <c r="E302" s="66">
        <f>IFERROR(__xludf.DUMMYFUNCTION("""COMPUTED_VALUE"""),16.0)</f>
        <v>16</v>
      </c>
    </row>
    <row r="303">
      <c r="A303" s="55" t="str">
        <f>IFERROR(__xludf.DUMMYFUNCTION("""COMPUTED_VALUE"""),"RSC006668")</f>
        <v>RSC006668</v>
      </c>
      <c r="B303" s="60" t="str">
        <f>IFERROR(__xludf.DUMMYFUNCTION("""COMPUTED_VALUE"""),"kamui")</f>
        <v>kamui</v>
      </c>
      <c r="C303" s="55" t="str">
        <f>IFERROR(__xludf.DUMMYFUNCTION("""COMPUTED_VALUE"""),"Elite")</f>
        <v>Elite</v>
      </c>
      <c r="D303" s="65">
        <f>IFERROR(__xludf.DUMMYFUNCTION("""COMPUTED_VALUE"""),42.06356162967474)</f>
        <v>42.06356163</v>
      </c>
      <c r="E303" s="66">
        <f>IFERROR(__xludf.DUMMYFUNCTION("""COMPUTED_VALUE"""),44.0)</f>
        <v>44</v>
      </c>
    </row>
    <row r="304">
      <c r="A304" s="55" t="str">
        <f>IFERROR(__xludf.DUMMYFUNCTION("""COMPUTED_VALUE"""),"RSC005469")</f>
        <v>RSC005469</v>
      </c>
      <c r="B304" s="60" t="str">
        <f>IFERROR(__xludf.DUMMYFUNCTION("""COMPUTED_VALUE"""),"Axlos (Goofy and Silly)")</f>
        <v>Axlos (Goofy and Silly)</v>
      </c>
      <c r="C304" s="55" t="str">
        <f>IFERROR(__xludf.DUMMYFUNCTION("""COMPUTED_VALUE"""),"Elite")</f>
        <v>Elite</v>
      </c>
      <c r="D304" s="65">
        <f>IFERROR(__xludf.DUMMYFUNCTION("""COMPUTED_VALUE"""),41.736120505674336)</f>
        <v>41.73612051</v>
      </c>
      <c r="E304" s="66">
        <f>IFERROR(__xludf.DUMMYFUNCTION("""COMPUTED_VALUE"""),39.0)</f>
        <v>39</v>
      </c>
    </row>
    <row r="305">
      <c r="A305" s="55" t="str">
        <f>IFERROR(__xludf.DUMMYFUNCTION("""COMPUTED_VALUE"""),"RSC000767")</f>
        <v>RSC000767</v>
      </c>
      <c r="B305" s="60" t="str">
        <f>IFERROR(__xludf.DUMMYFUNCTION("""COMPUTED_VALUE"""),"Tragic")</f>
        <v>Tragic</v>
      </c>
      <c r="C305" s="55" t="str">
        <f>IFERROR(__xludf.DUMMYFUNCTION("""COMPUTED_VALUE"""),"Elite")</f>
        <v>Elite</v>
      </c>
      <c r="D305" s="65">
        <f>IFERROR(__xludf.DUMMYFUNCTION("""COMPUTED_VALUE"""),41.43642380247449)</f>
        <v>41.4364238</v>
      </c>
      <c r="E305" s="66">
        <f>IFERROR(__xludf.DUMMYFUNCTION("""COMPUTED_VALUE"""),31.0)</f>
        <v>31</v>
      </c>
    </row>
    <row r="306">
      <c r="A306" s="55" t="str">
        <f>IFERROR(__xludf.DUMMYFUNCTION("""COMPUTED_VALUE"""),"RSC005754")</f>
        <v>RSC005754</v>
      </c>
      <c r="B306" s="60" t="str">
        <f>IFERROR(__xludf.DUMMYFUNCTION("""COMPUTED_VALUE"""),"Monty.")</f>
        <v>Monty.</v>
      </c>
      <c r="C306" s="55" t="str">
        <f>IFERROR(__xludf.DUMMYFUNCTION("""COMPUTED_VALUE"""),"Elite")</f>
        <v>Elite</v>
      </c>
      <c r="D306" s="65">
        <f>IFERROR(__xludf.DUMMYFUNCTION("""COMPUTED_VALUE"""),41.34721481530608)</f>
        <v>41.34721482</v>
      </c>
      <c r="E306" s="66">
        <f>IFERROR(__xludf.DUMMYFUNCTION("""COMPUTED_VALUE"""),11.0)</f>
        <v>11</v>
      </c>
    </row>
    <row r="307">
      <c r="A307" s="55" t="str">
        <f>IFERROR(__xludf.DUMMYFUNCTION("""COMPUTED_VALUE"""),"RSC003143")</f>
        <v>RSC003143</v>
      </c>
      <c r="B307" s="60" t="str">
        <f>IFERROR(__xludf.DUMMYFUNCTION("""COMPUTED_VALUE"""),"Dank._.")</f>
        <v>Dank._.</v>
      </c>
      <c r="C307" s="55" t="str">
        <f>IFERROR(__xludf.DUMMYFUNCTION("""COMPUTED_VALUE"""),"Elite")</f>
        <v>Elite</v>
      </c>
      <c r="D307" s="65">
        <f>IFERROR(__xludf.DUMMYFUNCTION("""COMPUTED_VALUE"""),40.566830853095595)</f>
        <v>40.56683085</v>
      </c>
      <c r="E307" s="66">
        <f>IFERROR(__xludf.DUMMYFUNCTION("""COMPUTED_VALUE"""),40.0)</f>
        <v>40</v>
      </c>
    </row>
    <row r="308">
      <c r="A308" s="55" t="str">
        <f>IFERROR(__xludf.DUMMYFUNCTION("""COMPUTED_VALUE"""),"RSC008089")</f>
        <v>RSC008089</v>
      </c>
      <c r="B308" s="60" t="str">
        <f>IFERROR(__xludf.DUMMYFUNCTION("""COMPUTED_VALUE"""),"SyrupBloodz")</f>
        <v>SyrupBloodz</v>
      </c>
      <c r="C308" s="55" t="str">
        <f>IFERROR(__xludf.DUMMYFUNCTION("""COMPUTED_VALUE"""),"Elite")</f>
        <v>Elite</v>
      </c>
      <c r="D308" s="65">
        <f>IFERROR(__xludf.DUMMYFUNCTION("""COMPUTED_VALUE"""),40.10187480331597)</f>
        <v>40.1018748</v>
      </c>
      <c r="E308" s="66">
        <f>IFERROR(__xludf.DUMMYFUNCTION("""COMPUTED_VALUE"""),10.0)</f>
        <v>10</v>
      </c>
    </row>
    <row r="309">
      <c r="A309" s="55" t="str">
        <f>IFERROR(__xludf.DUMMYFUNCTION("""COMPUTED_VALUE"""),"RSC006484")</f>
        <v>RSC006484</v>
      </c>
      <c r="B309" s="60" t="str">
        <f>IFERROR(__xludf.DUMMYFUNCTION("""COMPUTED_VALUE"""),"AhmedSa-")</f>
        <v>AhmedSa-</v>
      </c>
      <c r="C309" s="55" t="str">
        <f>IFERROR(__xludf.DUMMYFUNCTION("""COMPUTED_VALUE"""),"Elite")</f>
        <v>Elite</v>
      </c>
      <c r="D309" s="65">
        <f>IFERROR(__xludf.DUMMYFUNCTION("""COMPUTED_VALUE"""),39.864924671120995)</f>
        <v>39.86492467</v>
      </c>
      <c r="E309" s="66">
        <f>IFERROR(__xludf.DUMMYFUNCTION("""COMPUTED_VALUE"""),48.0)</f>
        <v>48</v>
      </c>
    </row>
    <row r="310">
      <c r="A310" s="55" t="str">
        <f>IFERROR(__xludf.DUMMYFUNCTION("""COMPUTED_VALUE"""),"RSC008408")</f>
        <v>RSC008408</v>
      </c>
      <c r="B310" s="60" t="str">
        <f>IFERROR(__xludf.DUMMYFUNCTION("""COMPUTED_VALUE"""),"LoonaKami")</f>
        <v>LoonaKami</v>
      </c>
      <c r="C310" s="55" t="str">
        <f>IFERROR(__xludf.DUMMYFUNCTION("""COMPUTED_VALUE"""),"Elite")</f>
        <v>Elite</v>
      </c>
      <c r="D310" s="65">
        <f>IFERROR(__xludf.DUMMYFUNCTION("""COMPUTED_VALUE"""),38.7416898176944)</f>
        <v>38.74168982</v>
      </c>
      <c r="E310" s="66">
        <f>IFERROR(__xludf.DUMMYFUNCTION("""COMPUTED_VALUE"""),23.0)</f>
        <v>23</v>
      </c>
    </row>
    <row r="311">
      <c r="A311" s="55" t="str">
        <f>IFERROR(__xludf.DUMMYFUNCTION("""COMPUTED_VALUE"""),"RSC005464")</f>
        <v>RSC005464</v>
      </c>
      <c r="B311" s="60" t="str">
        <f>IFERROR(__xludf.DUMMYFUNCTION("""COMPUTED_VALUE"""),"taz.rm")</f>
        <v>taz.rm</v>
      </c>
      <c r="C311" s="55" t="str">
        <f>IFERROR(__xludf.DUMMYFUNCTION("""COMPUTED_VALUE"""),"Elite")</f>
        <v>Elite</v>
      </c>
      <c r="D311" s="65">
        <f>IFERROR(__xludf.DUMMYFUNCTION("""COMPUTED_VALUE"""),38.61328564396977)</f>
        <v>38.61328564</v>
      </c>
      <c r="E311" s="66">
        <f>IFERROR(__xludf.DUMMYFUNCTION("""COMPUTED_VALUE"""),27.0)</f>
        <v>27</v>
      </c>
    </row>
    <row r="312">
      <c r="A312" s="55" t="str">
        <f>IFERROR(__xludf.DUMMYFUNCTION("""COMPUTED_VALUE"""),"RSC007936")</f>
        <v>RSC007936</v>
      </c>
      <c r="B312" s="60" t="str">
        <f>IFERROR(__xludf.DUMMYFUNCTION("""COMPUTED_VALUE"""),"Crazics")</f>
        <v>Crazics</v>
      </c>
      <c r="C312" s="55" t="str">
        <f>IFERROR(__xludf.DUMMYFUNCTION("""COMPUTED_VALUE"""),"Elite")</f>
        <v>Elite</v>
      </c>
      <c r="D312" s="65">
        <f>IFERROR(__xludf.DUMMYFUNCTION("""COMPUTED_VALUE"""),38.12661154637689)</f>
        <v>38.12661155</v>
      </c>
      <c r="E312" s="66">
        <f>IFERROR(__xludf.DUMMYFUNCTION("""COMPUTED_VALUE"""),39.0)</f>
        <v>39</v>
      </c>
    </row>
    <row r="313">
      <c r="A313" s="55" t="str">
        <f>IFERROR(__xludf.DUMMYFUNCTION("""COMPUTED_VALUE"""),"RSC008554")</f>
        <v>RSC008554</v>
      </c>
      <c r="B313" s="60" t="str">
        <f>IFERROR(__xludf.DUMMYFUNCTION("""COMPUTED_VALUE"""),"golden4789")</f>
        <v>golden4789</v>
      </c>
      <c r="C313" s="55" t="str">
        <f>IFERROR(__xludf.DUMMYFUNCTION("""COMPUTED_VALUE"""),"Elite")</f>
        <v>Elite</v>
      </c>
      <c r="D313" s="65">
        <f>IFERROR(__xludf.DUMMYFUNCTION("""COMPUTED_VALUE"""),38.126100761864166)</f>
        <v>38.12610076</v>
      </c>
      <c r="E313" s="66">
        <f>IFERROR(__xludf.DUMMYFUNCTION("""COMPUTED_VALUE"""),4.0)</f>
        <v>4</v>
      </c>
    </row>
    <row r="314">
      <c r="A314" s="55" t="str">
        <f>IFERROR(__xludf.DUMMYFUNCTION("""COMPUTED_VALUE"""),"RSC007288")</f>
        <v>RSC007288</v>
      </c>
      <c r="B314" s="60" t="str">
        <f>IFERROR(__xludf.DUMMYFUNCTION("""COMPUTED_VALUE"""),"vTheTankMan")</f>
        <v>vTheTankMan</v>
      </c>
      <c r="C314" s="55" t="str">
        <f>IFERROR(__xludf.DUMMYFUNCTION("""COMPUTED_VALUE"""),"Elite")</f>
        <v>Elite</v>
      </c>
      <c r="D314" s="65">
        <f>IFERROR(__xludf.DUMMYFUNCTION("""COMPUTED_VALUE"""),37.81541230221014)</f>
        <v>37.8154123</v>
      </c>
      <c r="E314" s="66">
        <f>IFERROR(__xludf.DUMMYFUNCTION("""COMPUTED_VALUE"""),20.0)</f>
        <v>20</v>
      </c>
    </row>
    <row r="315">
      <c r="A315" s="55" t="str">
        <f>IFERROR(__xludf.DUMMYFUNCTION("""COMPUTED_VALUE"""),"RSC007187")</f>
        <v>RSC007187</v>
      </c>
      <c r="B315" s="60" t="str">
        <f>IFERROR(__xludf.DUMMYFUNCTION("""COMPUTED_VALUE"""),"Evil Gooby")</f>
        <v>Evil Gooby</v>
      </c>
      <c r="C315" s="55" t="str">
        <f>IFERROR(__xludf.DUMMYFUNCTION("""COMPUTED_VALUE"""),"Elite")</f>
        <v>Elite</v>
      </c>
      <c r="D315" s="65">
        <f>IFERROR(__xludf.DUMMYFUNCTION("""COMPUTED_VALUE"""),37.24678342589799)</f>
        <v>37.24678343</v>
      </c>
      <c r="E315" s="66">
        <f>IFERROR(__xludf.DUMMYFUNCTION("""COMPUTED_VALUE"""),51.0)</f>
        <v>51</v>
      </c>
    </row>
    <row r="316">
      <c r="A316" s="55" t="str">
        <f>IFERROR(__xludf.DUMMYFUNCTION("""COMPUTED_VALUE"""),"RSC008525")</f>
        <v>RSC008525</v>
      </c>
      <c r="B316" s="60" t="str">
        <f>IFERROR(__xludf.DUMMYFUNCTION("""COMPUTED_VALUE"""),"tjdubya21")</f>
        <v>tjdubya21</v>
      </c>
      <c r="C316" s="55" t="str">
        <f>IFERROR(__xludf.DUMMYFUNCTION("""COMPUTED_VALUE"""),"Elite")</f>
        <v>Elite</v>
      </c>
      <c r="D316" s="65">
        <f>IFERROR(__xludf.DUMMYFUNCTION("""COMPUTED_VALUE"""),36.97127463124525)</f>
        <v>36.97127463</v>
      </c>
      <c r="E316" s="66">
        <f>IFERROR(__xludf.DUMMYFUNCTION("""COMPUTED_VALUE"""),6.0)</f>
        <v>6</v>
      </c>
    </row>
    <row r="317">
      <c r="A317" s="55" t="str">
        <f>IFERROR(__xludf.DUMMYFUNCTION("""COMPUTED_VALUE"""),"RSC007629")</f>
        <v>RSC007629</v>
      </c>
      <c r="B317" s="60" t="str">
        <f>IFERROR(__xludf.DUMMYFUNCTION("""COMPUTED_VALUE"""),"Mochi")</f>
        <v>Mochi</v>
      </c>
      <c r="C317" s="55" t="str">
        <f>IFERROR(__xludf.DUMMYFUNCTION("""COMPUTED_VALUE"""),"Elite")</f>
        <v>Elite</v>
      </c>
      <c r="D317" s="65">
        <f>IFERROR(__xludf.DUMMYFUNCTION("""COMPUTED_VALUE"""),36.44198343118776)</f>
        <v>36.44198343</v>
      </c>
      <c r="E317" s="66">
        <f>IFERROR(__xludf.DUMMYFUNCTION("""COMPUTED_VALUE"""),23.0)</f>
        <v>23</v>
      </c>
    </row>
    <row r="318">
      <c r="A318" s="55" t="str">
        <f>IFERROR(__xludf.DUMMYFUNCTION("""COMPUTED_VALUE"""),"RSC001098")</f>
        <v>RSC001098</v>
      </c>
      <c r="B318" s="60" t="str">
        <f>IFERROR(__xludf.DUMMYFUNCTION("""COMPUTED_VALUE"""),"Wafe")</f>
        <v>Wafe</v>
      </c>
      <c r="C318" s="55" t="str">
        <f>IFERROR(__xludf.DUMMYFUNCTION("""COMPUTED_VALUE"""),"Elite")</f>
        <v>Elite</v>
      </c>
      <c r="D318" s="65">
        <f>IFERROR(__xludf.DUMMYFUNCTION("""COMPUTED_VALUE"""),34.486714702601425)</f>
        <v>34.4867147</v>
      </c>
      <c r="E318" s="66">
        <f>IFERROR(__xludf.DUMMYFUNCTION("""COMPUTED_VALUE"""),34.0)</f>
        <v>34</v>
      </c>
    </row>
    <row r="319">
      <c r="A319" s="55" t="str">
        <f>IFERROR(__xludf.DUMMYFUNCTION("""COMPUTED_VALUE"""),"RSC003561")</f>
        <v>RSC003561</v>
      </c>
      <c r="B319" s="60" t="str">
        <f>IFERROR(__xludf.DUMMYFUNCTION("""COMPUTED_VALUE"""),"Dooober")</f>
        <v>Dooober</v>
      </c>
      <c r="C319" s="55" t="str">
        <f>IFERROR(__xludf.DUMMYFUNCTION("""COMPUTED_VALUE"""),"Elite")</f>
        <v>Elite</v>
      </c>
      <c r="D319" s="65">
        <f>IFERROR(__xludf.DUMMYFUNCTION("""COMPUTED_VALUE"""),34.384977966846094)</f>
        <v>34.38497797</v>
      </c>
      <c r="E319" s="66">
        <f>IFERROR(__xludf.DUMMYFUNCTION("""COMPUTED_VALUE"""),33.0)</f>
        <v>33</v>
      </c>
    </row>
    <row r="320">
      <c r="A320" s="55" t="str">
        <f>IFERROR(__xludf.DUMMYFUNCTION("""COMPUTED_VALUE"""),"RSC008446")</f>
        <v>RSC008446</v>
      </c>
      <c r="B320" s="60" t="str">
        <f>IFERROR(__xludf.DUMMYFUNCTION("""COMPUTED_VALUE"""),"Rose_Havoc97")</f>
        <v>Rose_Havoc97</v>
      </c>
      <c r="C320" s="55" t="str">
        <f>IFERROR(__xludf.DUMMYFUNCTION("""COMPUTED_VALUE"""),"Elite")</f>
        <v>Elite</v>
      </c>
      <c r="D320" s="65">
        <f>IFERROR(__xludf.DUMMYFUNCTION("""COMPUTED_VALUE"""),34.30708454403388)</f>
        <v>34.30708454</v>
      </c>
      <c r="E320" s="66">
        <f>IFERROR(__xludf.DUMMYFUNCTION("""COMPUTED_VALUE"""),28.0)</f>
        <v>28</v>
      </c>
    </row>
    <row r="321">
      <c r="A321" s="55" t="str">
        <f>IFERROR(__xludf.DUMMYFUNCTION("""COMPUTED_VALUE"""),"RSC004109")</f>
        <v>RSC004109</v>
      </c>
      <c r="B321" s="60" t="str">
        <f>IFERROR(__xludf.DUMMYFUNCTION("""COMPUTED_VALUE"""),"Hawkish")</f>
        <v>Hawkish</v>
      </c>
      <c r="C321" s="55" t="str">
        <f>IFERROR(__xludf.DUMMYFUNCTION("""COMPUTED_VALUE"""),"Elite")</f>
        <v>Elite</v>
      </c>
      <c r="D321" s="65">
        <f>IFERROR(__xludf.DUMMYFUNCTION("""COMPUTED_VALUE"""),33.74109403403534)</f>
        <v>33.74109403</v>
      </c>
      <c r="E321" s="66">
        <f>IFERROR(__xludf.DUMMYFUNCTION("""COMPUTED_VALUE"""),19.0)</f>
        <v>19</v>
      </c>
    </row>
    <row r="322">
      <c r="A322" s="55" t="str">
        <f>IFERROR(__xludf.DUMMYFUNCTION("""COMPUTED_VALUE"""),"RSC003272")</f>
        <v>RSC003272</v>
      </c>
      <c r="B322" s="60" t="str">
        <f>IFERROR(__xludf.DUMMYFUNCTION("""COMPUTED_VALUE"""),"jknop2")</f>
        <v>jknop2</v>
      </c>
      <c r="C322" s="55" t="str">
        <f>IFERROR(__xludf.DUMMYFUNCTION("""COMPUTED_VALUE"""),"Elite")</f>
        <v>Elite</v>
      </c>
      <c r="D322" s="65">
        <f>IFERROR(__xludf.DUMMYFUNCTION("""COMPUTED_VALUE"""),32.165819008899796)</f>
        <v>32.16581901</v>
      </c>
      <c r="E322" s="66">
        <f>IFERROR(__xludf.DUMMYFUNCTION("""COMPUTED_VALUE"""),33.0)</f>
        <v>33</v>
      </c>
    </row>
    <row r="323">
      <c r="A323" s="55" t="str">
        <f>IFERROR(__xludf.DUMMYFUNCTION("""COMPUTED_VALUE"""),"RSC000203")</f>
        <v>RSC000203</v>
      </c>
      <c r="B323" s="60" t="str">
        <f>IFERROR(__xludf.DUMMYFUNCTION("""COMPUTED_VALUE"""),"FrostyBrew")</f>
        <v>FrostyBrew</v>
      </c>
      <c r="C323" s="55" t="str">
        <f>IFERROR(__xludf.DUMMYFUNCTION("""COMPUTED_VALUE"""),"Elite")</f>
        <v>Elite</v>
      </c>
      <c r="D323" s="65">
        <f>IFERROR(__xludf.DUMMYFUNCTION("""COMPUTED_VALUE"""),30.77925041359486)</f>
        <v>30.77925041</v>
      </c>
      <c r="E323" s="66">
        <f>IFERROR(__xludf.DUMMYFUNCTION("""COMPUTED_VALUE"""),32.0)</f>
        <v>32</v>
      </c>
    </row>
    <row r="324">
      <c r="A324" s="55" t="str">
        <f>IFERROR(__xludf.DUMMYFUNCTION("""COMPUTED_VALUE"""),"RSC006169")</f>
        <v>RSC006169</v>
      </c>
      <c r="B324" s="60" t="str">
        <f>IFERROR(__xludf.DUMMYFUNCTION("""COMPUTED_VALUE"""),"ExyRL.")</f>
        <v>ExyRL.</v>
      </c>
      <c r="C324" s="55" t="str">
        <f>IFERROR(__xludf.DUMMYFUNCTION("""COMPUTED_VALUE"""),"Elite")</f>
        <v>Elite</v>
      </c>
      <c r="D324" s="65">
        <f>IFERROR(__xludf.DUMMYFUNCTION("""COMPUTED_VALUE"""),30.553219326582315)</f>
        <v>30.55321933</v>
      </c>
      <c r="E324" s="66">
        <f>IFERROR(__xludf.DUMMYFUNCTION("""COMPUTED_VALUE"""),37.0)</f>
        <v>37</v>
      </c>
    </row>
    <row r="325">
      <c r="A325" s="55" t="str">
        <f>IFERROR(__xludf.DUMMYFUNCTION("""COMPUTED_VALUE"""),"RSC000690")</f>
        <v>RSC000690</v>
      </c>
      <c r="B325" s="60" t="str">
        <f>IFERROR(__xludf.DUMMYFUNCTION("""COMPUTED_VALUE"""),"paco")</f>
        <v>paco</v>
      </c>
      <c r="C325" s="55" t="str">
        <f>IFERROR(__xludf.DUMMYFUNCTION("""COMPUTED_VALUE"""),"Elite")</f>
        <v>Elite</v>
      </c>
      <c r="D325" s="65">
        <f>IFERROR(__xludf.DUMMYFUNCTION("""COMPUTED_VALUE"""),29.312466803706283)</f>
        <v>29.3124668</v>
      </c>
      <c r="E325" s="66">
        <f>IFERROR(__xludf.DUMMYFUNCTION("""COMPUTED_VALUE"""),11.0)</f>
        <v>11</v>
      </c>
    </row>
    <row r="326">
      <c r="A326" s="55" t="str">
        <f>IFERROR(__xludf.DUMMYFUNCTION("""COMPUTED_VALUE"""),"RSC000183")</f>
        <v>RSC000183</v>
      </c>
      <c r="B326" s="60" t="str">
        <f>IFERROR(__xludf.DUMMYFUNCTION("""COMPUTED_VALUE"""),"Rex")</f>
        <v>Rex</v>
      </c>
      <c r="C326" s="55" t="str">
        <f>IFERROR(__xludf.DUMMYFUNCTION("""COMPUTED_VALUE"""),"Elite")</f>
        <v>Elite</v>
      </c>
      <c r="D326" s="65">
        <f>IFERROR(__xludf.DUMMYFUNCTION("""COMPUTED_VALUE"""),28.959013179613493)</f>
        <v>28.95901318</v>
      </c>
      <c r="E326" s="66">
        <f>IFERROR(__xludf.DUMMYFUNCTION("""COMPUTED_VALUE"""),42.0)</f>
        <v>42</v>
      </c>
    </row>
    <row r="327">
      <c r="A327" s="55" t="str">
        <f>IFERROR(__xludf.DUMMYFUNCTION("""COMPUTED_VALUE"""),"RSC007115")</f>
        <v>RSC007115</v>
      </c>
      <c r="B327" s="60" t="str">
        <f>IFERROR(__xludf.DUMMYFUNCTION("""COMPUTED_VALUE"""),"Zoomin")</f>
        <v>Zoomin</v>
      </c>
      <c r="C327" s="55" t="str">
        <f>IFERROR(__xludf.DUMMYFUNCTION("""COMPUTED_VALUE"""),"Elite")</f>
        <v>Elite</v>
      </c>
      <c r="D327" s="65">
        <f>IFERROR(__xludf.DUMMYFUNCTION("""COMPUTED_VALUE"""),28.845141992881103)</f>
        <v>28.84514199</v>
      </c>
      <c r="E327" s="66">
        <f>IFERROR(__xludf.DUMMYFUNCTION("""COMPUTED_VALUE"""),50.0)</f>
        <v>50</v>
      </c>
    </row>
    <row r="328">
      <c r="A328" s="55" t="str">
        <f>IFERROR(__xludf.DUMMYFUNCTION("""COMPUTED_VALUE"""),"RSC002425")</f>
        <v>RSC002425</v>
      </c>
      <c r="B328" s="60" t="str">
        <f>IFERROR(__xludf.DUMMYFUNCTION("""COMPUTED_VALUE"""),"Kourses")</f>
        <v>Kourses</v>
      </c>
      <c r="C328" s="55" t="str">
        <f>IFERROR(__xludf.DUMMYFUNCTION("""COMPUTED_VALUE"""),"Elite")</f>
        <v>Elite</v>
      </c>
      <c r="D328" s="65">
        <f>IFERROR(__xludf.DUMMYFUNCTION("""COMPUTED_VALUE"""),27.678292157978593)</f>
        <v>27.67829216</v>
      </c>
      <c r="E328" s="66">
        <f>IFERROR(__xludf.DUMMYFUNCTION("""COMPUTED_VALUE"""),2.0)</f>
        <v>2</v>
      </c>
    </row>
    <row r="329">
      <c r="A329" s="55" t="str">
        <f>IFERROR(__xludf.DUMMYFUNCTION("""COMPUTED_VALUE"""),"RSC000626")</f>
        <v>RSC000626</v>
      </c>
      <c r="B329" s="60" t="str">
        <f>IFERROR(__xludf.DUMMYFUNCTION("""COMPUTED_VALUE"""),"Canadian Things")</f>
        <v>Canadian Things</v>
      </c>
      <c r="C329" s="55" t="str">
        <f>IFERROR(__xludf.DUMMYFUNCTION("""COMPUTED_VALUE"""),"Elite")</f>
        <v>Elite</v>
      </c>
      <c r="D329" s="65">
        <f>IFERROR(__xludf.DUMMYFUNCTION("""COMPUTED_VALUE"""),26.462103530614144)</f>
        <v>26.46210353</v>
      </c>
      <c r="E329" s="66">
        <f>IFERROR(__xludf.DUMMYFUNCTION("""COMPUTED_VALUE"""),5.0)</f>
        <v>5</v>
      </c>
    </row>
    <row r="330">
      <c r="A330" s="55" t="str">
        <f>IFERROR(__xludf.DUMMYFUNCTION("""COMPUTED_VALUE"""),"RSC006490")</f>
        <v>RSC006490</v>
      </c>
      <c r="B330" s="60" t="str">
        <f>IFERROR(__xludf.DUMMYFUNCTION("""COMPUTED_VALUE"""),"Dayz")</f>
        <v>Dayz</v>
      </c>
      <c r="C330" s="55" t="str">
        <f>IFERROR(__xludf.DUMMYFUNCTION("""COMPUTED_VALUE"""),"Elite")</f>
        <v>Elite</v>
      </c>
      <c r="D330" s="65">
        <f>IFERROR(__xludf.DUMMYFUNCTION("""COMPUTED_VALUE"""),23.465017505671256)</f>
        <v>23.46501751</v>
      </c>
      <c r="E330" s="66">
        <f>IFERROR(__xludf.DUMMYFUNCTION("""COMPUTED_VALUE"""),4.0)</f>
        <v>4</v>
      </c>
    </row>
    <row r="331">
      <c r="A331" s="55" t="str">
        <f>IFERROR(__xludf.DUMMYFUNCTION("""COMPUTED_VALUE"""),"RSC008403")</f>
        <v>RSC008403</v>
      </c>
      <c r="B331" s="60" t="str">
        <f>IFERROR(__xludf.DUMMYFUNCTION("""COMPUTED_VALUE"""),"mightie31")</f>
        <v>mightie31</v>
      </c>
      <c r="C331" s="55" t="str">
        <f>IFERROR(__xludf.DUMMYFUNCTION("""COMPUTED_VALUE"""),"Elite")</f>
        <v>Elite</v>
      </c>
      <c r="D331" s="65">
        <f>IFERROR(__xludf.DUMMYFUNCTION("""COMPUTED_VALUE"""),22.049227910084685)</f>
        <v>22.04922791</v>
      </c>
      <c r="E331" s="66">
        <f>IFERROR(__xludf.DUMMYFUNCTION("""COMPUTED_VALUE"""),32.0)</f>
        <v>32</v>
      </c>
    </row>
    <row r="332">
      <c r="A332" s="55" t="str">
        <f>IFERROR(__xludf.DUMMYFUNCTION("""COMPUTED_VALUE"""),"RSC007327")</f>
        <v>RSC007327</v>
      </c>
      <c r="B332" s="60" t="str">
        <f>IFERROR(__xludf.DUMMYFUNCTION("""COMPUTED_VALUE"""),"User-0ca0854f3f")</f>
        <v>User-0ca0854f3f</v>
      </c>
      <c r="C332" s="55" t="str">
        <f>IFERROR(__xludf.DUMMYFUNCTION("""COMPUTED_VALUE"""),"Elite")</f>
        <v>Elite</v>
      </c>
      <c r="D332" s="65">
        <f>IFERROR(__xludf.DUMMYFUNCTION("""COMPUTED_VALUE"""),22.039298326120328)</f>
        <v>22.03929833</v>
      </c>
      <c r="E332" s="66">
        <f>IFERROR(__xludf.DUMMYFUNCTION("""COMPUTED_VALUE"""),4.0)</f>
        <v>4</v>
      </c>
    </row>
    <row r="333">
      <c r="A333" s="55" t="str">
        <f>IFERROR(__xludf.DUMMYFUNCTION("""COMPUTED_VALUE"""),"RSC007607")</f>
        <v>RSC007607</v>
      </c>
      <c r="B333" s="60" t="str">
        <f>IFERROR(__xludf.DUMMYFUNCTION("""COMPUTED_VALUE"""),"GameGang")</f>
        <v>GameGang</v>
      </c>
      <c r="C333" s="55" t="str">
        <f>IFERROR(__xludf.DUMMYFUNCTION("""COMPUTED_VALUE"""),"Elite")</f>
        <v>Elite</v>
      </c>
      <c r="D333" s="65">
        <f>IFERROR(__xludf.DUMMYFUNCTION("""COMPUTED_VALUE"""),21.93434409926539)</f>
        <v>21.9343441</v>
      </c>
      <c r="E333" s="66">
        <f>IFERROR(__xludf.DUMMYFUNCTION("""COMPUTED_VALUE"""),34.0)</f>
        <v>34</v>
      </c>
    </row>
    <row r="334">
      <c r="A334" s="55" t="str">
        <f>IFERROR(__xludf.DUMMYFUNCTION("""COMPUTED_VALUE"""),"RSC007877")</f>
        <v>RSC007877</v>
      </c>
      <c r="B334" s="60" t="str">
        <f>IFERROR(__xludf.DUMMYFUNCTION("""COMPUTED_VALUE"""),"Torro")</f>
        <v>Torro</v>
      </c>
      <c r="C334" s="55" t="str">
        <f>IFERROR(__xludf.DUMMYFUNCTION("""COMPUTED_VALUE"""),"Elite")</f>
        <v>Elite</v>
      </c>
      <c r="D334" s="65">
        <f>IFERROR(__xludf.DUMMYFUNCTION("""COMPUTED_VALUE"""),20.154054128512122)</f>
        <v>20.15405413</v>
      </c>
      <c r="E334" s="66">
        <f>IFERROR(__xludf.DUMMYFUNCTION("""COMPUTED_VALUE"""),13.0)</f>
        <v>13</v>
      </c>
    </row>
    <row r="335">
      <c r="A335" s="55" t="str">
        <f>IFERROR(__xludf.DUMMYFUNCTION("""COMPUTED_VALUE"""),"RSC003953")</f>
        <v>RSC003953</v>
      </c>
      <c r="B335" s="60" t="str">
        <f>IFERROR(__xludf.DUMMYFUNCTION("""COMPUTED_VALUE"""),"JustHere4SalCap")</f>
        <v>JustHere4SalCap</v>
      </c>
      <c r="C335" s="55" t="str">
        <f>IFERROR(__xludf.DUMMYFUNCTION("""COMPUTED_VALUE"""),"Elite")</f>
        <v>Elite</v>
      </c>
      <c r="D335" s="65">
        <f>IFERROR(__xludf.DUMMYFUNCTION("""COMPUTED_VALUE"""),18.263336649541035)</f>
        <v>18.26333665</v>
      </c>
      <c r="E335" s="66">
        <f>IFERROR(__xludf.DUMMYFUNCTION("""COMPUTED_VALUE"""),14.0)</f>
        <v>14</v>
      </c>
    </row>
    <row r="336">
      <c r="A336" s="55" t="str">
        <f>IFERROR(__xludf.DUMMYFUNCTION("""COMPUTED_VALUE"""),"RSC002902")</f>
        <v>RSC002902</v>
      </c>
      <c r="B336" s="60" t="str">
        <f>IFERROR(__xludf.DUMMYFUNCTION("""COMPUTED_VALUE"""),"Stone-Dog Millionaire")</f>
        <v>Stone-Dog Millionaire</v>
      </c>
      <c r="C336" s="55" t="str">
        <f>IFERROR(__xludf.DUMMYFUNCTION("""COMPUTED_VALUE"""),"Elite")</f>
        <v>Elite</v>
      </c>
      <c r="D336" s="65">
        <f>IFERROR(__xludf.DUMMYFUNCTION("""COMPUTED_VALUE"""),17.875071907115753)</f>
        <v>17.87507191</v>
      </c>
      <c r="E336" s="66">
        <f>IFERROR(__xludf.DUMMYFUNCTION("""COMPUTED_VALUE"""),4.0)</f>
        <v>4</v>
      </c>
    </row>
    <row r="337">
      <c r="A337" s="55" t="str">
        <f>IFERROR(__xludf.DUMMYFUNCTION("""COMPUTED_VALUE"""),"RSC007341")</f>
        <v>RSC007341</v>
      </c>
      <c r="B337" s="60" t="str">
        <f>IFERROR(__xludf.DUMMYFUNCTION("""COMPUTED_VALUE"""),"Squashy")</f>
        <v>Squashy</v>
      </c>
      <c r="C337" s="55" t="str">
        <f>IFERROR(__xludf.DUMMYFUNCTION("""COMPUTED_VALUE"""),"Elite")</f>
        <v>Elite</v>
      </c>
      <c r="D337" s="65">
        <f>IFERROR(__xludf.DUMMYFUNCTION("""COMPUTED_VALUE"""),15.245724129162305)</f>
        <v>15.24572413</v>
      </c>
      <c r="E337" s="66">
        <f>IFERROR(__xludf.DUMMYFUNCTION("""COMPUTED_VALUE"""),34.0)</f>
        <v>34</v>
      </c>
    </row>
    <row r="338">
      <c r="A338" s="55" t="str">
        <f>IFERROR(__xludf.DUMMYFUNCTION("""COMPUTED_VALUE"""),"RSC008478")</f>
        <v>RSC008478</v>
      </c>
      <c r="B338" s="60" t="str">
        <f>IFERROR(__xludf.DUMMYFUNCTION("""COMPUTED_VALUE"""),"Inflict")</f>
        <v>Inflict</v>
      </c>
      <c r="C338" s="55" t="str">
        <f>IFERROR(__xludf.DUMMYFUNCTION("""COMPUTED_VALUE"""),"Elite")</f>
        <v>Elite</v>
      </c>
      <c r="D338" s="65">
        <f>IFERROR(__xludf.DUMMYFUNCTION("""COMPUTED_VALUE"""),14.619976036954277)</f>
        <v>14.61997604</v>
      </c>
      <c r="E338" s="66">
        <f>IFERROR(__xludf.DUMMYFUNCTION("""COMPUTED_VALUE"""),12.0)</f>
        <v>12</v>
      </c>
    </row>
    <row r="339">
      <c r="A339" s="55" t="str">
        <f>IFERROR(__xludf.DUMMYFUNCTION("""COMPUTED_VALUE"""),"RSC007930")</f>
        <v>RSC007930</v>
      </c>
      <c r="B339" s="60" t="str">
        <f>IFERROR(__xludf.DUMMYFUNCTION("""COMPUTED_VALUE"""),"Ziffy")</f>
        <v>Ziffy</v>
      </c>
      <c r="C339" s="55" t="str">
        <f>IFERROR(__xludf.DUMMYFUNCTION("""COMPUTED_VALUE"""),"Elite")</f>
        <v>Elite</v>
      </c>
      <c r="D339" s="65">
        <f>IFERROR(__xludf.DUMMYFUNCTION("""COMPUTED_VALUE"""),13.066735184148548)</f>
        <v>13.06673518</v>
      </c>
      <c r="E339" s="66">
        <f>IFERROR(__xludf.DUMMYFUNCTION("""COMPUTED_VALUE"""),7.0)</f>
        <v>7</v>
      </c>
    </row>
    <row r="340">
      <c r="A340" s="55" t="str">
        <f>IFERROR(__xludf.DUMMYFUNCTION("""COMPUTED_VALUE"""),"RSC006613")</f>
        <v>RSC006613</v>
      </c>
      <c r="B340" s="60" t="str">
        <f>IFERROR(__xludf.DUMMYFUNCTION("""COMPUTED_VALUE"""),"cartman_-_")</f>
        <v>cartman_-_</v>
      </c>
      <c r="C340" s="55" t="str">
        <f>IFERROR(__xludf.DUMMYFUNCTION("""COMPUTED_VALUE"""),"Elite")</f>
        <v>Elite</v>
      </c>
      <c r="D340" s="65">
        <f>IFERROR(__xludf.DUMMYFUNCTION("""COMPUTED_VALUE"""),12.448858868557615)</f>
        <v>12.44885887</v>
      </c>
      <c r="E340" s="66">
        <f>IFERROR(__xludf.DUMMYFUNCTION("""COMPUTED_VALUE"""),4.0)</f>
        <v>4</v>
      </c>
    </row>
    <row r="341">
      <c r="A341" s="55" t="str">
        <f>IFERROR(__xludf.DUMMYFUNCTION("""COMPUTED_VALUE"""),"RSC002544")</f>
        <v>RSC002544</v>
      </c>
      <c r="B341" s="60" t="str">
        <f>IFERROR(__xludf.DUMMYFUNCTION("""COMPUTED_VALUE"""),"ItsJusstJ.")</f>
        <v>ItsJusstJ.</v>
      </c>
      <c r="C341" s="55" t="str">
        <f>IFERROR(__xludf.DUMMYFUNCTION("""COMPUTED_VALUE"""),"Elite")</f>
        <v>Elite</v>
      </c>
      <c r="D341" s="65">
        <f>IFERROR(__xludf.DUMMYFUNCTION("""COMPUTED_VALUE"""),10.668419398294382)</f>
        <v>10.6684194</v>
      </c>
      <c r="E341" s="66">
        <f>IFERROR(__xludf.DUMMYFUNCTION("""COMPUTED_VALUE"""),1.0)</f>
        <v>1</v>
      </c>
    </row>
    <row r="342">
      <c r="A342" s="55" t="str">
        <f>IFERROR(__xludf.DUMMYFUNCTION("""COMPUTED_VALUE"""),"RSC008353")</f>
        <v>RSC008353</v>
      </c>
      <c r="B342" s="60" t="str">
        <f>IFERROR(__xludf.DUMMYFUNCTION("""COMPUTED_VALUE"""),"IcyWrenTTV")</f>
        <v>IcyWrenTTV</v>
      </c>
      <c r="C342" s="55" t="str">
        <f>IFERROR(__xludf.DUMMYFUNCTION("""COMPUTED_VALUE"""),"Elite")</f>
        <v>Elite</v>
      </c>
      <c r="D342" s="65">
        <f>IFERROR(__xludf.DUMMYFUNCTION("""COMPUTED_VALUE"""),6.78293398525274)</f>
        <v>6.782933985</v>
      </c>
      <c r="E342" s="66">
        <f>IFERROR(__xludf.DUMMYFUNCTION("""COMPUTED_VALUE"""),27.0)</f>
        <v>27</v>
      </c>
    </row>
    <row r="343">
      <c r="A343" s="55" t="str">
        <f>IFERROR(__xludf.DUMMYFUNCTION("""COMPUTED_VALUE"""),"RSC006700")</f>
        <v>RSC006700</v>
      </c>
      <c r="B343" s="60" t="str">
        <f>IFERROR(__xludf.DUMMYFUNCTION("""COMPUTED_VALUE"""),"Terx")</f>
        <v>Terx</v>
      </c>
      <c r="C343" s="55" t="str">
        <f>IFERROR(__xludf.DUMMYFUNCTION("""COMPUTED_VALUE"""),"Elite")</f>
        <v>Elite</v>
      </c>
      <c r="D343" s="65">
        <f>IFERROR(__xludf.DUMMYFUNCTION("""COMPUTED_VALUE"""),5.604808190766732)</f>
        <v>5.604808191</v>
      </c>
      <c r="E343" s="66">
        <f>IFERROR(__xludf.DUMMYFUNCTION("""COMPUTED_VALUE"""),18.0)</f>
        <v>18</v>
      </c>
    </row>
    <row r="344">
      <c r="A344" s="55" t="str">
        <f>IFERROR(__xludf.DUMMYFUNCTION("""COMPUTED_VALUE"""),"RSC005959")</f>
        <v>RSC005959</v>
      </c>
      <c r="B344" s="60" t="str">
        <f>IFERROR(__xludf.DUMMYFUNCTION("""COMPUTED_VALUE"""),"Yurrbo?")</f>
        <v>Yurrbo?</v>
      </c>
      <c r="C344" s="55" t="str">
        <f>IFERROR(__xludf.DUMMYFUNCTION("""COMPUTED_VALUE"""),"Elite")</f>
        <v>Elite</v>
      </c>
      <c r="D344" s="65">
        <f>IFERROR(__xludf.DUMMYFUNCTION("""COMPUTED_VALUE"""),-3.095747628478918)</f>
        <v>-3.095747628</v>
      </c>
      <c r="E344" s="66">
        <f>IFERROR(__xludf.DUMMYFUNCTION("""COMPUTED_VALUE"""),5.0)</f>
        <v>5</v>
      </c>
    </row>
    <row r="345">
      <c r="A345" s="55" t="str">
        <f>IFERROR(__xludf.DUMMYFUNCTION("""COMPUTED_VALUE"""),"RSC008355")</f>
        <v>RSC008355</v>
      </c>
      <c r="B345" s="60" t="str">
        <f>IFERROR(__xludf.DUMMYFUNCTION("""COMPUTED_VALUE"""),"SmyrnaRL")</f>
        <v>SmyrnaRL</v>
      </c>
      <c r="C345" s="55" t="str">
        <f>IFERROR(__xludf.DUMMYFUNCTION("""COMPUTED_VALUE"""),"Elite")</f>
        <v>Elite</v>
      </c>
      <c r="D345" s="65">
        <f>IFERROR(__xludf.DUMMYFUNCTION("""COMPUTED_VALUE"""),-5.549778087673317)</f>
        <v>-5.549778088</v>
      </c>
      <c r="E345" s="66">
        <f>IFERROR(__xludf.DUMMYFUNCTION("""COMPUTED_VALUE"""),4.0)</f>
        <v>4</v>
      </c>
    </row>
    <row r="346">
      <c r="A346" s="55" t="str">
        <f>IFERROR(__xludf.DUMMYFUNCTION("""COMPUTED_VALUE"""),"RSC006018")</f>
        <v>RSC006018</v>
      </c>
      <c r="B346" s="60" t="str">
        <f>IFERROR(__xludf.DUMMYFUNCTION("""COMPUTED_VALUE"""),"Braamse")</f>
        <v>Braamse</v>
      </c>
      <c r="C346" s="55" t="str">
        <f>IFERROR(__xludf.DUMMYFUNCTION("""COMPUTED_VALUE"""),"Elite")</f>
        <v>Elite</v>
      </c>
      <c r="D346" s="65">
        <f>IFERROR(__xludf.DUMMYFUNCTION("""COMPUTED_VALUE"""),-7.128902374851485)</f>
        <v>-7.128902375</v>
      </c>
      <c r="E346" s="66">
        <f>IFERROR(__xludf.DUMMYFUNCTION("""COMPUTED_VALUE"""),4.0)</f>
        <v>4</v>
      </c>
    </row>
    <row r="347">
      <c r="A347" s="55" t="str">
        <f>IFERROR(__xludf.DUMMYFUNCTION("""COMPUTED_VALUE"""),"RSC008519")</f>
        <v>RSC008519</v>
      </c>
      <c r="B347" s="60" t="str">
        <f>IFERROR(__xludf.DUMMYFUNCTION("""COMPUTED_VALUE"""),"Juice_loffi")</f>
        <v>Juice_loffi</v>
      </c>
      <c r="C347" s="55" t="str">
        <f>IFERROR(__xludf.DUMMYFUNCTION("""COMPUTED_VALUE"""),"Elite")</f>
        <v>Elite</v>
      </c>
      <c r="D347" s="65">
        <f>IFERROR(__xludf.DUMMYFUNCTION("""COMPUTED_VALUE"""),-9.028045661726757)</f>
        <v>-9.028045662</v>
      </c>
      <c r="E347" s="66">
        <f>IFERROR(__xludf.DUMMYFUNCTION("""COMPUTED_VALUE"""),6.0)</f>
        <v>6</v>
      </c>
    </row>
    <row r="348">
      <c r="A348" s="55" t="str">
        <f>IFERROR(__xludf.DUMMYFUNCTION("""COMPUTED_VALUE"""),"RSC007920")</f>
        <v>RSC007920</v>
      </c>
      <c r="B348" s="60" t="str">
        <f>IFERROR(__xludf.DUMMYFUNCTION("""COMPUTED_VALUE"""),"Ocular8")</f>
        <v>Ocular8</v>
      </c>
      <c r="C348" s="55" t="str">
        <f>IFERROR(__xludf.DUMMYFUNCTION("""COMPUTED_VALUE"""),"Elite")</f>
        <v>Elite</v>
      </c>
      <c r="D348" s="65">
        <f>IFERROR(__xludf.DUMMYFUNCTION("""COMPUTED_VALUE"""),-20.72514277066081)</f>
        <v>-20.72514277</v>
      </c>
      <c r="E348" s="66">
        <f>IFERROR(__xludf.DUMMYFUNCTION("""COMPUTED_VALUE"""),2.0)</f>
        <v>2</v>
      </c>
    </row>
    <row r="349">
      <c r="A349" s="55" t="str">
        <f>IFERROR(__xludf.DUMMYFUNCTION("""COMPUTED_VALUE"""),"RSC008109")</f>
        <v>RSC008109</v>
      </c>
      <c r="B349" s="60" t="str">
        <f>IFERROR(__xludf.DUMMYFUNCTION("""COMPUTED_VALUE"""),"Tbrock")</f>
        <v>Tbrock</v>
      </c>
      <c r="C349" s="55" t="str">
        <f>IFERROR(__xludf.DUMMYFUNCTION("""COMPUTED_VALUE"""),"Elite")</f>
        <v>Elite</v>
      </c>
      <c r="D349" s="65">
        <f>IFERROR(__xludf.DUMMYFUNCTION("""COMPUTED_VALUE"""),-52.36381730041413)</f>
        <v>-52.3638173</v>
      </c>
      <c r="E349" s="66">
        <f>IFERROR(__xludf.DUMMYFUNCTION("""COMPUTED_VALUE"""),2.0)</f>
        <v>2</v>
      </c>
    </row>
    <row r="350">
      <c r="A350" s="55" t="str">
        <f>IFERROR(__xludf.DUMMYFUNCTION("""COMPUTED_VALUE"""),"RSC000923")</f>
        <v>RSC000923</v>
      </c>
      <c r="B350" s="60" t="str">
        <f>IFERROR(__xludf.DUMMYFUNCTION("""COMPUTED_VALUE"""),"Stemantics")</f>
        <v>Stemantics</v>
      </c>
      <c r="C350" s="55" t="str">
        <f>IFERROR(__xludf.DUMMYFUNCTION("""COMPUTED_VALUE"""),"Elite")</f>
        <v>Elite</v>
      </c>
      <c r="D350" s="65">
        <f>IFERROR(__xludf.DUMMYFUNCTION("""COMPUTED_VALUE"""),-54.705693206943096)</f>
        <v>-54.70569321</v>
      </c>
      <c r="E350" s="66">
        <f>IFERROR(__xludf.DUMMYFUNCTION("""COMPUTED_VALUE"""),1.0)</f>
        <v>1</v>
      </c>
    </row>
    <row r="351">
      <c r="A351" s="55" t="str">
        <f>IFERROR(__xludf.DUMMYFUNCTION("""COMPUTED_VALUE"""),"RSC004580")</f>
        <v>RSC004580</v>
      </c>
      <c r="B351" s="60" t="str">
        <f>IFERROR(__xludf.DUMMYFUNCTION("""COMPUTED_VALUE"""),"Static")</f>
        <v>Static</v>
      </c>
      <c r="C351" s="55" t="str">
        <f>IFERROR(__xludf.DUMMYFUNCTION("""COMPUTED_VALUE"""),"Master")</f>
        <v>Master</v>
      </c>
      <c r="D351" s="65">
        <f>IFERROR(__xludf.DUMMYFUNCTION("""COMPUTED_VALUE"""),106.03943825809502)</f>
        <v>106.0394383</v>
      </c>
      <c r="E351" s="66">
        <f>IFERROR(__xludf.DUMMYFUNCTION("""COMPUTED_VALUE"""),8.0)</f>
        <v>8</v>
      </c>
    </row>
    <row r="352">
      <c r="A352" s="55" t="str">
        <f>IFERROR(__xludf.DUMMYFUNCTION("""COMPUTED_VALUE"""),"RSC002888")</f>
        <v>RSC002888</v>
      </c>
      <c r="B352" s="60" t="str">
        <f>IFERROR(__xludf.DUMMYFUNCTION("""COMPUTED_VALUE"""),"kri0s")</f>
        <v>kri0s</v>
      </c>
      <c r="C352" s="55" t="str">
        <f>IFERROR(__xludf.DUMMYFUNCTION("""COMPUTED_VALUE"""),"Master")</f>
        <v>Master</v>
      </c>
      <c r="D352" s="65">
        <f>IFERROR(__xludf.DUMMYFUNCTION("""COMPUTED_VALUE"""),93.79965020863196)</f>
        <v>93.79965021</v>
      </c>
      <c r="E352" s="66">
        <f>IFERROR(__xludf.DUMMYFUNCTION("""COMPUTED_VALUE"""),8.0)</f>
        <v>8</v>
      </c>
    </row>
    <row r="353">
      <c r="A353" s="55" t="str">
        <f>IFERROR(__xludf.DUMMYFUNCTION("""COMPUTED_VALUE"""),"RSC007282")</f>
        <v>RSC007282</v>
      </c>
      <c r="B353" s="60" t="str">
        <f>IFERROR(__xludf.DUMMYFUNCTION("""COMPUTED_VALUE"""),"kRs^^")</f>
        <v>kRs^^</v>
      </c>
      <c r="C353" s="55" t="str">
        <f>IFERROR(__xludf.DUMMYFUNCTION("""COMPUTED_VALUE"""),"Master")</f>
        <v>Master</v>
      </c>
      <c r="D353" s="65">
        <f>IFERROR(__xludf.DUMMYFUNCTION("""COMPUTED_VALUE"""),85.87898475019763)</f>
        <v>85.87898475</v>
      </c>
      <c r="E353" s="66">
        <f>IFERROR(__xludf.DUMMYFUNCTION("""COMPUTED_VALUE"""),44.0)</f>
        <v>44</v>
      </c>
    </row>
    <row r="354">
      <c r="A354" s="55" t="str">
        <f>IFERROR(__xludf.DUMMYFUNCTION("""COMPUTED_VALUE"""),"RSC005290")</f>
        <v>RSC005290</v>
      </c>
      <c r="B354" s="60" t="str">
        <f>IFERROR(__xludf.DUMMYFUNCTION("""COMPUTED_VALUE"""),"IMOLDGREG67")</f>
        <v>IMOLDGREG67</v>
      </c>
      <c r="C354" s="55" t="str">
        <f>IFERROR(__xludf.DUMMYFUNCTION("""COMPUTED_VALUE"""),"Master")</f>
        <v>Master</v>
      </c>
      <c r="D354" s="65">
        <f>IFERROR(__xludf.DUMMYFUNCTION("""COMPUTED_VALUE"""),84.95496014259564)</f>
        <v>84.95496014</v>
      </c>
      <c r="E354" s="66">
        <f>IFERROR(__xludf.DUMMYFUNCTION("""COMPUTED_VALUE"""),34.0)</f>
        <v>34</v>
      </c>
    </row>
    <row r="355">
      <c r="A355" s="55" t="str">
        <f>IFERROR(__xludf.DUMMYFUNCTION("""COMPUTED_VALUE"""),"RSC004132")</f>
        <v>RSC004132</v>
      </c>
      <c r="B355" s="60" t="str">
        <f>IFERROR(__xludf.DUMMYFUNCTION("""COMPUTED_VALUE"""),"RobFromCSA")</f>
        <v>RobFromCSA</v>
      </c>
      <c r="C355" s="55" t="str">
        <f>IFERROR(__xludf.DUMMYFUNCTION("""COMPUTED_VALUE"""),"Master")</f>
        <v>Master</v>
      </c>
      <c r="D355" s="65">
        <f>IFERROR(__xludf.DUMMYFUNCTION("""COMPUTED_VALUE"""),79.05084636167012)</f>
        <v>79.05084636</v>
      </c>
      <c r="E355" s="66">
        <f>IFERROR(__xludf.DUMMYFUNCTION("""COMPUTED_VALUE"""),56.0)</f>
        <v>56</v>
      </c>
    </row>
    <row r="356">
      <c r="A356" s="55" t="str">
        <f>IFERROR(__xludf.DUMMYFUNCTION("""COMPUTED_VALUE"""),"RSC007893")</f>
        <v>RSC007893</v>
      </c>
      <c r="B356" s="60" t="str">
        <f>IFERROR(__xludf.DUMMYFUNCTION("""COMPUTED_VALUE"""),"solar722")</f>
        <v>solar722</v>
      </c>
      <c r="C356" s="55" t="str">
        <f>IFERROR(__xludf.DUMMYFUNCTION("""COMPUTED_VALUE"""),"Master")</f>
        <v>Master</v>
      </c>
      <c r="D356" s="65">
        <f>IFERROR(__xludf.DUMMYFUNCTION("""COMPUTED_VALUE"""),78.37513190305926)</f>
        <v>78.3751319</v>
      </c>
      <c r="E356" s="66">
        <f>IFERROR(__xludf.DUMMYFUNCTION("""COMPUTED_VALUE"""),48.0)</f>
        <v>48</v>
      </c>
    </row>
    <row r="357">
      <c r="A357" s="55" t="str">
        <f>IFERROR(__xludf.DUMMYFUNCTION("""COMPUTED_VALUE"""),"RSC003008")</f>
        <v>RSC003008</v>
      </c>
      <c r="B357" s="60" t="str">
        <f>IFERROR(__xludf.DUMMYFUNCTION("""COMPUTED_VALUE"""),"GeneralZippy")</f>
        <v>GeneralZippy</v>
      </c>
      <c r="C357" s="55" t="str">
        <f>IFERROR(__xludf.DUMMYFUNCTION("""COMPUTED_VALUE"""),"Master")</f>
        <v>Master</v>
      </c>
      <c r="D357" s="65">
        <f>IFERROR(__xludf.DUMMYFUNCTION("""COMPUTED_VALUE"""),75.92839225600324)</f>
        <v>75.92839226</v>
      </c>
      <c r="E357" s="66">
        <f>IFERROR(__xludf.DUMMYFUNCTION("""COMPUTED_VALUE"""),56.0)</f>
        <v>56</v>
      </c>
    </row>
    <row r="358">
      <c r="A358" s="55" t="str">
        <f>IFERROR(__xludf.DUMMYFUNCTION("""COMPUTED_VALUE"""),"RSC007876")</f>
        <v>RSC007876</v>
      </c>
      <c r="B358" s="60" t="str">
        <f>IFERROR(__xludf.DUMMYFUNCTION("""COMPUTED_VALUE"""),"dwsn.")</f>
        <v>dwsn.</v>
      </c>
      <c r="C358" s="55" t="str">
        <f>IFERROR(__xludf.DUMMYFUNCTION("""COMPUTED_VALUE"""),"Master")</f>
        <v>Master</v>
      </c>
      <c r="D358" s="65">
        <f>IFERROR(__xludf.DUMMYFUNCTION("""COMPUTED_VALUE"""),74.78456187037229)</f>
        <v>74.78456187</v>
      </c>
      <c r="E358" s="66">
        <f>IFERROR(__xludf.DUMMYFUNCTION("""COMPUTED_VALUE"""),48.0)</f>
        <v>48</v>
      </c>
    </row>
    <row r="359">
      <c r="A359" s="55" t="str">
        <f>IFERROR(__xludf.DUMMYFUNCTION("""COMPUTED_VALUE"""),"RSC006534")</f>
        <v>RSC006534</v>
      </c>
      <c r="B359" s="60" t="str">
        <f>IFERROR(__xludf.DUMMYFUNCTION("""COMPUTED_VALUE"""),"FIN0oo")</f>
        <v>FIN0oo</v>
      </c>
      <c r="C359" s="55" t="str">
        <f>IFERROR(__xludf.DUMMYFUNCTION("""COMPUTED_VALUE"""),"Master")</f>
        <v>Master</v>
      </c>
      <c r="D359" s="65">
        <f>IFERROR(__xludf.DUMMYFUNCTION("""COMPUTED_VALUE"""),73.47118139463615)</f>
        <v>73.47118139</v>
      </c>
      <c r="E359" s="66">
        <f>IFERROR(__xludf.DUMMYFUNCTION("""COMPUTED_VALUE"""),45.0)</f>
        <v>45</v>
      </c>
    </row>
    <row r="360">
      <c r="A360" s="55" t="str">
        <f>IFERROR(__xludf.DUMMYFUNCTION("""COMPUTED_VALUE"""),"RSC005690")</f>
        <v>RSC005690</v>
      </c>
      <c r="B360" s="60" t="str">
        <f>IFERROR(__xludf.DUMMYFUNCTION("""COMPUTED_VALUE"""),"DQ.")</f>
        <v>DQ.</v>
      </c>
      <c r="C360" s="55" t="str">
        <f>IFERROR(__xludf.DUMMYFUNCTION("""COMPUTED_VALUE"""),"Master")</f>
        <v>Master</v>
      </c>
      <c r="D360" s="65">
        <f>IFERROR(__xludf.DUMMYFUNCTION("""COMPUTED_VALUE"""),73.23800878271108)</f>
        <v>73.23800878</v>
      </c>
      <c r="E360" s="66">
        <f>IFERROR(__xludf.DUMMYFUNCTION("""COMPUTED_VALUE"""),42.0)</f>
        <v>42</v>
      </c>
    </row>
    <row r="361">
      <c r="A361" s="55" t="str">
        <f>IFERROR(__xludf.DUMMYFUNCTION("""COMPUTED_VALUE"""),"RSC008285")</f>
        <v>RSC008285</v>
      </c>
      <c r="B361" s="60" t="str">
        <f>IFERROR(__xludf.DUMMYFUNCTION("""COMPUTED_VALUE"""),"ChiRho_-")</f>
        <v>ChiRho_-</v>
      </c>
      <c r="C361" s="55" t="str">
        <f>IFERROR(__xludf.DUMMYFUNCTION("""COMPUTED_VALUE"""),"Master")</f>
        <v>Master</v>
      </c>
      <c r="D361" s="65">
        <f>IFERROR(__xludf.DUMMYFUNCTION("""COMPUTED_VALUE"""),72.6368379612378)</f>
        <v>72.63683796</v>
      </c>
      <c r="E361" s="66">
        <f>IFERROR(__xludf.DUMMYFUNCTION("""COMPUTED_VALUE"""),4.0)</f>
        <v>4</v>
      </c>
    </row>
    <row r="362">
      <c r="A362" s="55" t="str">
        <f>IFERROR(__xludf.DUMMYFUNCTION("""COMPUTED_VALUE"""),"RSC007412")</f>
        <v>RSC007412</v>
      </c>
      <c r="B362" s="60" t="str">
        <f>IFERROR(__xludf.DUMMYFUNCTION("""COMPUTED_VALUE"""),"spuf.")</f>
        <v>spuf.</v>
      </c>
      <c r="C362" s="55" t="str">
        <f>IFERROR(__xludf.DUMMYFUNCTION("""COMPUTED_VALUE"""),"Master")</f>
        <v>Master</v>
      </c>
      <c r="D362" s="65">
        <f>IFERROR(__xludf.DUMMYFUNCTION("""COMPUTED_VALUE"""),69.70544563135371)</f>
        <v>69.70544563</v>
      </c>
      <c r="E362" s="66">
        <f>IFERROR(__xludf.DUMMYFUNCTION("""COMPUTED_VALUE"""),52.0)</f>
        <v>52</v>
      </c>
    </row>
    <row r="363">
      <c r="A363" s="55" t="str">
        <f>IFERROR(__xludf.DUMMYFUNCTION("""COMPUTED_VALUE"""),"RSC007565")</f>
        <v>RSC007565</v>
      </c>
      <c r="B363" s="60" t="str">
        <f>IFERROR(__xludf.DUMMYFUNCTION("""COMPUTED_VALUE"""),"AcX")</f>
        <v>AcX</v>
      </c>
      <c r="C363" s="55" t="str">
        <f>IFERROR(__xludf.DUMMYFUNCTION("""COMPUTED_VALUE"""),"Master")</f>
        <v>Master</v>
      </c>
      <c r="D363" s="65">
        <f>IFERROR(__xludf.DUMMYFUNCTION("""COMPUTED_VALUE"""),69.55571642166458)</f>
        <v>69.55571642</v>
      </c>
      <c r="E363" s="66">
        <f>IFERROR(__xludf.DUMMYFUNCTION("""COMPUTED_VALUE"""),51.0)</f>
        <v>51</v>
      </c>
    </row>
    <row r="364">
      <c r="A364" s="55" t="str">
        <f>IFERROR(__xludf.DUMMYFUNCTION("""COMPUTED_VALUE"""),"RSC005499")</f>
        <v>RSC005499</v>
      </c>
      <c r="B364" s="60" t="str">
        <f>IFERROR(__xludf.DUMMYFUNCTION("""COMPUTED_VALUE"""),"The Red R0cket")</f>
        <v>The Red R0cket</v>
      </c>
      <c r="C364" s="55" t="str">
        <f>IFERROR(__xludf.DUMMYFUNCTION("""COMPUTED_VALUE"""),"Master")</f>
        <v>Master</v>
      </c>
      <c r="D364" s="65">
        <f>IFERROR(__xludf.DUMMYFUNCTION("""COMPUTED_VALUE"""),68.04020549605886)</f>
        <v>68.0402055</v>
      </c>
      <c r="E364" s="66">
        <f>IFERROR(__xludf.DUMMYFUNCTION("""COMPUTED_VALUE"""),55.0)</f>
        <v>55</v>
      </c>
    </row>
    <row r="365">
      <c r="A365" s="55" t="str">
        <f>IFERROR(__xludf.DUMMYFUNCTION("""COMPUTED_VALUE"""),"RSC004208")</f>
        <v>RSC004208</v>
      </c>
      <c r="B365" s="60" t="str">
        <f>IFERROR(__xludf.DUMMYFUNCTION("""COMPUTED_VALUE"""),"Super")</f>
        <v>Super</v>
      </c>
      <c r="C365" s="55" t="str">
        <f>IFERROR(__xludf.DUMMYFUNCTION("""COMPUTED_VALUE"""),"Master")</f>
        <v>Master</v>
      </c>
      <c r="D365" s="65">
        <f>IFERROR(__xludf.DUMMYFUNCTION("""COMPUTED_VALUE"""),67.49329720796362)</f>
        <v>67.49329721</v>
      </c>
      <c r="E365" s="66">
        <f>IFERROR(__xludf.DUMMYFUNCTION("""COMPUTED_VALUE"""),56.0)</f>
        <v>56</v>
      </c>
    </row>
    <row r="366">
      <c r="A366" s="55" t="str">
        <f>IFERROR(__xludf.DUMMYFUNCTION("""COMPUTED_VALUE"""),"RSC005653")</f>
        <v>RSC005653</v>
      </c>
      <c r="B366" s="60" t="str">
        <f>IFERROR(__xludf.DUMMYFUNCTION("""COMPUTED_VALUE"""),"xim")</f>
        <v>xim</v>
      </c>
      <c r="C366" s="55" t="str">
        <f>IFERROR(__xludf.DUMMYFUNCTION("""COMPUTED_VALUE"""),"Master")</f>
        <v>Master</v>
      </c>
      <c r="D366" s="65">
        <f>IFERROR(__xludf.DUMMYFUNCTION("""COMPUTED_VALUE"""),66.01264469138798)</f>
        <v>66.01264469</v>
      </c>
      <c r="E366" s="66">
        <f>IFERROR(__xludf.DUMMYFUNCTION("""COMPUTED_VALUE"""),20.0)</f>
        <v>20</v>
      </c>
    </row>
    <row r="367">
      <c r="A367" s="55" t="str">
        <f>IFERROR(__xludf.DUMMYFUNCTION("""COMPUTED_VALUE"""),"RSC000799")</f>
        <v>RSC000799</v>
      </c>
      <c r="B367" s="60" t="str">
        <f>IFERROR(__xludf.DUMMYFUNCTION("""COMPUTED_VALUE"""),"Foam")</f>
        <v>Foam</v>
      </c>
      <c r="C367" s="55" t="str">
        <f>IFERROR(__xludf.DUMMYFUNCTION("""COMPUTED_VALUE"""),"Master")</f>
        <v>Master</v>
      </c>
      <c r="D367" s="65">
        <f>IFERROR(__xludf.DUMMYFUNCTION("""COMPUTED_VALUE"""),65.59595957460515)</f>
        <v>65.59595957</v>
      </c>
      <c r="E367" s="66">
        <f>IFERROR(__xludf.DUMMYFUNCTION("""COMPUTED_VALUE"""),42.0)</f>
        <v>42</v>
      </c>
    </row>
    <row r="368">
      <c r="A368" s="55" t="str">
        <f>IFERROR(__xludf.DUMMYFUNCTION("""COMPUTED_VALUE"""),"RSC005298")</f>
        <v>RSC005298</v>
      </c>
      <c r="B368" s="60" t="str">
        <f>IFERROR(__xludf.DUMMYFUNCTION("""COMPUTED_VALUE"""),"Kaisaroh")</f>
        <v>Kaisaroh</v>
      </c>
      <c r="C368" s="55" t="str">
        <f>IFERROR(__xludf.DUMMYFUNCTION("""COMPUTED_VALUE"""),"Master")</f>
        <v>Master</v>
      </c>
      <c r="D368" s="65">
        <f>IFERROR(__xludf.DUMMYFUNCTION("""COMPUTED_VALUE"""),64.62637997782846)</f>
        <v>64.62637998</v>
      </c>
      <c r="E368" s="66">
        <f>IFERROR(__xludf.DUMMYFUNCTION("""COMPUTED_VALUE"""),9.0)</f>
        <v>9</v>
      </c>
    </row>
    <row r="369">
      <c r="A369" s="55" t="str">
        <f>IFERROR(__xludf.DUMMYFUNCTION("""COMPUTED_VALUE"""),"RSC005349")</f>
        <v>RSC005349</v>
      </c>
      <c r="B369" s="60" t="str">
        <f>IFERROR(__xludf.DUMMYFUNCTION("""COMPUTED_VALUE"""),"Rzemb1e")</f>
        <v>Rzemb1e</v>
      </c>
      <c r="C369" s="55" t="str">
        <f>IFERROR(__xludf.DUMMYFUNCTION("""COMPUTED_VALUE"""),"Master")</f>
        <v>Master</v>
      </c>
      <c r="D369" s="65">
        <f>IFERROR(__xludf.DUMMYFUNCTION("""COMPUTED_VALUE"""),64.22389239501396)</f>
        <v>64.2238924</v>
      </c>
      <c r="E369" s="66">
        <f>IFERROR(__xludf.DUMMYFUNCTION("""COMPUTED_VALUE"""),27.0)</f>
        <v>27</v>
      </c>
    </row>
    <row r="370">
      <c r="A370" s="55" t="str">
        <f>IFERROR(__xludf.DUMMYFUNCTION("""COMPUTED_VALUE"""),"RSC008171")</f>
        <v>RSC008171</v>
      </c>
      <c r="B370" s="60" t="str">
        <f>IFERROR(__xludf.DUMMYFUNCTION("""COMPUTED_VALUE"""),"Shxde")</f>
        <v>Shxde</v>
      </c>
      <c r="C370" s="55" t="str">
        <f>IFERROR(__xludf.DUMMYFUNCTION("""COMPUTED_VALUE"""),"Master")</f>
        <v>Master</v>
      </c>
      <c r="D370" s="65">
        <f>IFERROR(__xludf.DUMMYFUNCTION("""COMPUTED_VALUE"""),62.62387632419092)</f>
        <v>62.62387632</v>
      </c>
      <c r="E370" s="66">
        <f>IFERROR(__xludf.DUMMYFUNCTION("""COMPUTED_VALUE"""),56.0)</f>
        <v>56</v>
      </c>
    </row>
    <row r="371">
      <c r="A371" s="55" t="str">
        <f>IFERROR(__xludf.DUMMYFUNCTION("""COMPUTED_VALUE"""),"RSC006903")</f>
        <v>RSC006903</v>
      </c>
      <c r="B371" s="60" t="str">
        <f>IFERROR(__xludf.DUMMYFUNCTION("""COMPUTED_VALUE"""),"BobbyWitDatT00L")</f>
        <v>BobbyWitDatT00L</v>
      </c>
      <c r="C371" s="55" t="str">
        <f>IFERROR(__xludf.DUMMYFUNCTION("""COMPUTED_VALUE"""),"Master")</f>
        <v>Master</v>
      </c>
      <c r="D371" s="65">
        <f>IFERROR(__xludf.DUMMYFUNCTION("""COMPUTED_VALUE"""),62.16942940204784)</f>
        <v>62.1694294</v>
      </c>
      <c r="E371" s="66">
        <f>IFERROR(__xludf.DUMMYFUNCTION("""COMPUTED_VALUE"""),56.0)</f>
        <v>56</v>
      </c>
    </row>
    <row r="372">
      <c r="A372" s="55" t="str">
        <f>IFERROR(__xludf.DUMMYFUNCTION("""COMPUTED_VALUE"""),"RSC001243")</f>
        <v>RSC001243</v>
      </c>
      <c r="B372" s="60" t="str">
        <f>IFERROR(__xludf.DUMMYFUNCTION("""COMPUTED_VALUE"""),"Destin")</f>
        <v>Destin</v>
      </c>
      <c r="C372" s="55" t="str">
        <f>IFERROR(__xludf.DUMMYFUNCTION("""COMPUTED_VALUE"""),"Master")</f>
        <v>Master</v>
      </c>
      <c r="D372" s="65">
        <f>IFERROR(__xludf.DUMMYFUNCTION("""COMPUTED_VALUE"""),62.002325899357764)</f>
        <v>62.0023259</v>
      </c>
      <c r="E372" s="66">
        <f>IFERROR(__xludf.DUMMYFUNCTION("""COMPUTED_VALUE"""),32.0)</f>
        <v>32</v>
      </c>
    </row>
    <row r="373">
      <c r="A373" s="55" t="str">
        <f>IFERROR(__xludf.DUMMYFUNCTION("""COMPUTED_VALUE"""),"RSC007558")</f>
        <v>RSC007558</v>
      </c>
      <c r="B373" s="60" t="str">
        <f>IFERROR(__xludf.DUMMYFUNCTION("""COMPUTED_VALUE"""),"Frijole")</f>
        <v>Frijole</v>
      </c>
      <c r="C373" s="55" t="str">
        <f>IFERROR(__xludf.DUMMYFUNCTION("""COMPUTED_VALUE"""),"Master")</f>
        <v>Master</v>
      </c>
      <c r="D373" s="65">
        <f>IFERROR(__xludf.DUMMYFUNCTION("""COMPUTED_VALUE"""),61.63930258425907)</f>
        <v>61.63930258</v>
      </c>
      <c r="E373" s="66">
        <f>IFERROR(__xludf.DUMMYFUNCTION("""COMPUTED_VALUE"""),51.0)</f>
        <v>51</v>
      </c>
    </row>
    <row r="374">
      <c r="A374" s="55" t="str">
        <f>IFERROR(__xludf.DUMMYFUNCTION("""COMPUTED_VALUE"""),"RSC005024")</f>
        <v>RSC005024</v>
      </c>
      <c r="B374" s="60" t="str">
        <f>IFERROR(__xludf.DUMMYFUNCTION("""COMPUTED_VALUE"""),"SSpekky")</f>
        <v>SSpekky</v>
      </c>
      <c r="C374" s="55" t="str">
        <f>IFERROR(__xludf.DUMMYFUNCTION("""COMPUTED_VALUE"""),"Master")</f>
        <v>Master</v>
      </c>
      <c r="D374" s="65">
        <f>IFERROR(__xludf.DUMMYFUNCTION("""COMPUTED_VALUE"""),58.49059896040086)</f>
        <v>58.49059896</v>
      </c>
      <c r="E374" s="66">
        <f>IFERROR(__xludf.DUMMYFUNCTION("""COMPUTED_VALUE"""),48.0)</f>
        <v>48</v>
      </c>
    </row>
    <row r="375">
      <c r="A375" s="55" t="str">
        <f>IFERROR(__xludf.DUMMYFUNCTION("""COMPUTED_VALUE"""),"RSC000739")</f>
        <v>RSC000739</v>
      </c>
      <c r="B375" s="60" t="str">
        <f>IFERROR(__xludf.DUMMYFUNCTION("""COMPUTED_VALUE"""),"Salty")</f>
        <v>Salty</v>
      </c>
      <c r="C375" s="55" t="str">
        <f>IFERROR(__xludf.DUMMYFUNCTION("""COMPUTED_VALUE"""),"Master")</f>
        <v>Master</v>
      </c>
      <c r="D375" s="65">
        <f>IFERROR(__xludf.DUMMYFUNCTION("""COMPUTED_VALUE"""),58.31879799718024)</f>
        <v>58.318798</v>
      </c>
      <c r="E375" s="66">
        <f>IFERROR(__xludf.DUMMYFUNCTION("""COMPUTED_VALUE"""),11.0)</f>
        <v>11</v>
      </c>
    </row>
    <row r="376">
      <c r="A376" s="55" t="str">
        <f>IFERROR(__xludf.DUMMYFUNCTION("""COMPUTED_VALUE"""),"RSC000714")</f>
        <v>RSC000714</v>
      </c>
      <c r="B376" s="60" t="str">
        <f>IFERROR(__xludf.DUMMYFUNCTION("""COMPUTED_VALUE"""),"duffy")</f>
        <v>duffy</v>
      </c>
      <c r="C376" s="55" t="str">
        <f>IFERROR(__xludf.DUMMYFUNCTION("""COMPUTED_VALUE"""),"Master")</f>
        <v>Master</v>
      </c>
      <c r="D376" s="65">
        <f>IFERROR(__xludf.DUMMYFUNCTION("""COMPUTED_VALUE"""),56.94187167118143)</f>
        <v>56.94187167</v>
      </c>
      <c r="E376" s="66">
        <f>IFERROR(__xludf.DUMMYFUNCTION("""COMPUTED_VALUE"""),12.0)</f>
        <v>12</v>
      </c>
    </row>
    <row r="377">
      <c r="A377" s="55" t="str">
        <f>IFERROR(__xludf.DUMMYFUNCTION("""COMPUTED_VALUE"""),"RSC006087")</f>
        <v>RSC006087</v>
      </c>
      <c r="B377" s="60" t="str">
        <f>IFERROR(__xludf.DUMMYFUNCTION("""COMPUTED_VALUE"""),"DoorTK")</f>
        <v>DoorTK</v>
      </c>
      <c r="C377" s="55" t="str">
        <f>IFERROR(__xludf.DUMMYFUNCTION("""COMPUTED_VALUE"""),"Master")</f>
        <v>Master</v>
      </c>
      <c r="D377" s="65">
        <f>IFERROR(__xludf.DUMMYFUNCTION("""COMPUTED_VALUE"""),55.297609959638095)</f>
        <v>55.29760996</v>
      </c>
      <c r="E377" s="66">
        <f>IFERROR(__xludf.DUMMYFUNCTION("""COMPUTED_VALUE"""),49.0)</f>
        <v>49</v>
      </c>
    </row>
    <row r="378">
      <c r="A378" s="55" t="str">
        <f>IFERROR(__xludf.DUMMYFUNCTION("""COMPUTED_VALUE"""),"RSC004717")</f>
        <v>RSC004717</v>
      </c>
      <c r="B378" s="60" t="str">
        <f>IFERROR(__xludf.DUMMYFUNCTION("""COMPUTED_VALUE"""),"grip reaper")</f>
        <v>grip reaper</v>
      </c>
      <c r="C378" s="55" t="str">
        <f>IFERROR(__xludf.DUMMYFUNCTION("""COMPUTED_VALUE"""),"Master")</f>
        <v>Master</v>
      </c>
      <c r="D378" s="65">
        <f>IFERROR(__xludf.DUMMYFUNCTION("""COMPUTED_VALUE"""),54.892420235618125)</f>
        <v>54.89242024</v>
      </c>
      <c r="E378" s="66">
        <f>IFERROR(__xludf.DUMMYFUNCTION("""COMPUTED_VALUE"""),49.0)</f>
        <v>49</v>
      </c>
    </row>
    <row r="379">
      <c r="A379" s="55" t="str">
        <f>IFERROR(__xludf.DUMMYFUNCTION("""COMPUTED_VALUE"""),"RSC005705")</f>
        <v>RSC005705</v>
      </c>
      <c r="B379" s="60" t="str">
        <f>IFERROR(__xludf.DUMMYFUNCTION("""COMPUTED_VALUE"""),"Rapidz (Goofy and Silly)")</f>
        <v>Rapidz (Goofy and Silly)</v>
      </c>
      <c r="C379" s="55" t="str">
        <f>IFERROR(__xludf.DUMMYFUNCTION("""COMPUTED_VALUE"""),"Master")</f>
        <v>Master</v>
      </c>
      <c r="D379" s="65">
        <f>IFERROR(__xludf.DUMMYFUNCTION("""COMPUTED_VALUE"""),54.85019815443443)</f>
        <v>54.85019815</v>
      </c>
      <c r="E379" s="66">
        <f>IFERROR(__xludf.DUMMYFUNCTION("""COMPUTED_VALUE"""),32.0)</f>
        <v>32</v>
      </c>
    </row>
    <row r="380">
      <c r="A380" s="55" t="str">
        <f>IFERROR(__xludf.DUMMYFUNCTION("""COMPUTED_VALUE"""),"RSC001935")</f>
        <v>RSC001935</v>
      </c>
      <c r="B380" s="60" t="str">
        <f>IFERROR(__xludf.DUMMYFUNCTION("""COMPUTED_VALUE"""),"Kenobs")</f>
        <v>Kenobs</v>
      </c>
      <c r="C380" s="55" t="str">
        <f>IFERROR(__xludf.DUMMYFUNCTION("""COMPUTED_VALUE"""),"Master")</f>
        <v>Master</v>
      </c>
      <c r="D380" s="65">
        <f>IFERROR(__xludf.DUMMYFUNCTION("""COMPUTED_VALUE"""),54.38414977536589)</f>
        <v>54.38414978</v>
      </c>
      <c r="E380" s="66">
        <f>IFERROR(__xludf.DUMMYFUNCTION("""COMPUTED_VALUE"""),40.0)</f>
        <v>40</v>
      </c>
    </row>
    <row r="381">
      <c r="A381" s="55" t="str">
        <f>IFERROR(__xludf.DUMMYFUNCTION("""COMPUTED_VALUE"""),"RSC002490")</f>
        <v>RSC002490</v>
      </c>
      <c r="B381" s="60" t="str">
        <f>IFERROR(__xludf.DUMMYFUNCTION("""COMPUTED_VALUE"""),"6-7!")</f>
        <v>6-7!</v>
      </c>
      <c r="C381" s="55" t="str">
        <f>IFERROR(__xludf.DUMMYFUNCTION("""COMPUTED_VALUE"""),"Master")</f>
        <v>Master</v>
      </c>
      <c r="D381" s="65">
        <f>IFERROR(__xludf.DUMMYFUNCTION("""COMPUTED_VALUE"""),54.059280208025484)</f>
        <v>54.05928021</v>
      </c>
      <c r="E381" s="66">
        <f>IFERROR(__xludf.DUMMYFUNCTION("""COMPUTED_VALUE"""),48.0)</f>
        <v>48</v>
      </c>
    </row>
    <row r="382">
      <c r="A382" s="55" t="str">
        <f>IFERROR(__xludf.DUMMYFUNCTION("""COMPUTED_VALUE"""),"RSC000657")</f>
        <v>RSC000657</v>
      </c>
      <c r="B382" s="60" t="str">
        <f>IFERROR(__xludf.DUMMYFUNCTION("""COMPUTED_VALUE"""),"Saucey")</f>
        <v>Saucey</v>
      </c>
      <c r="C382" s="55" t="str">
        <f>IFERROR(__xludf.DUMMYFUNCTION("""COMPUTED_VALUE"""),"Master")</f>
        <v>Master</v>
      </c>
      <c r="D382" s="65">
        <f>IFERROR(__xludf.DUMMYFUNCTION("""COMPUTED_VALUE"""),50.629858627339004)</f>
        <v>50.62985863</v>
      </c>
      <c r="E382" s="66">
        <f>IFERROR(__xludf.DUMMYFUNCTION("""COMPUTED_VALUE"""),48.0)</f>
        <v>48</v>
      </c>
    </row>
    <row r="383">
      <c r="A383" s="55" t="str">
        <f>IFERROR(__xludf.DUMMYFUNCTION("""COMPUTED_VALUE"""),"RSC007099")</f>
        <v>RSC007099</v>
      </c>
      <c r="B383" s="60" t="str">
        <f>IFERROR(__xludf.DUMMYFUNCTION("""COMPUTED_VALUE"""),"clankerh8er49")</f>
        <v>clankerh8er49</v>
      </c>
      <c r="C383" s="55" t="str">
        <f>IFERROR(__xludf.DUMMYFUNCTION("""COMPUTED_VALUE"""),"Master")</f>
        <v>Master</v>
      </c>
      <c r="D383" s="65">
        <f>IFERROR(__xludf.DUMMYFUNCTION("""COMPUTED_VALUE"""),49.00697355288775)</f>
        <v>49.00697355</v>
      </c>
      <c r="E383" s="66">
        <f>IFERROR(__xludf.DUMMYFUNCTION("""COMPUTED_VALUE"""),12.0)</f>
        <v>12</v>
      </c>
    </row>
    <row r="384">
      <c r="A384" s="55" t="str">
        <f>IFERROR(__xludf.DUMMYFUNCTION("""COMPUTED_VALUE"""),"RSC003728")</f>
        <v>RSC003728</v>
      </c>
      <c r="B384" s="60" t="str">
        <f>IFERROR(__xludf.DUMMYFUNCTION("""COMPUTED_VALUE"""),"yillow")</f>
        <v>yillow</v>
      </c>
      <c r="C384" s="55" t="str">
        <f>IFERROR(__xludf.DUMMYFUNCTION("""COMPUTED_VALUE"""),"Master")</f>
        <v>Master</v>
      </c>
      <c r="D384" s="65">
        <f>IFERROR(__xludf.DUMMYFUNCTION("""COMPUTED_VALUE"""),48.93940998404988)</f>
        <v>48.93940998</v>
      </c>
      <c r="E384" s="66">
        <f>IFERROR(__xludf.DUMMYFUNCTION("""COMPUTED_VALUE"""),40.0)</f>
        <v>40</v>
      </c>
    </row>
    <row r="385">
      <c r="A385" s="55" t="str">
        <f>IFERROR(__xludf.DUMMYFUNCTION("""COMPUTED_VALUE"""),"RSC008242")</f>
        <v>RSC008242</v>
      </c>
      <c r="B385" s="60" t="str">
        <f>IFERROR(__xludf.DUMMYFUNCTION("""COMPUTED_VALUE"""),"Snipes")</f>
        <v>Snipes</v>
      </c>
      <c r="C385" s="55" t="str">
        <f>IFERROR(__xludf.DUMMYFUNCTION("""COMPUTED_VALUE"""),"Master")</f>
        <v>Master</v>
      </c>
      <c r="D385" s="65">
        <f>IFERROR(__xludf.DUMMYFUNCTION("""COMPUTED_VALUE"""),48.59985802722172)</f>
        <v>48.59985803</v>
      </c>
      <c r="E385" s="66">
        <f>IFERROR(__xludf.DUMMYFUNCTION("""COMPUTED_VALUE"""),53.0)</f>
        <v>53</v>
      </c>
    </row>
    <row r="386">
      <c r="A386" s="55" t="str">
        <f>IFERROR(__xludf.DUMMYFUNCTION("""COMPUTED_VALUE"""),"RSC004698")</f>
        <v>RSC004698</v>
      </c>
      <c r="B386" s="60" t="str">
        <f>IFERROR(__xludf.DUMMYFUNCTION("""COMPUTED_VALUE"""),"Slvr.")</f>
        <v>Slvr.</v>
      </c>
      <c r="C386" s="55" t="str">
        <f>IFERROR(__xludf.DUMMYFUNCTION("""COMPUTED_VALUE"""),"Master")</f>
        <v>Master</v>
      </c>
      <c r="D386" s="65">
        <f>IFERROR(__xludf.DUMMYFUNCTION("""COMPUTED_VALUE"""),47.37242589207393)</f>
        <v>47.37242589</v>
      </c>
      <c r="E386" s="66">
        <f>IFERROR(__xludf.DUMMYFUNCTION("""COMPUTED_VALUE"""),44.0)</f>
        <v>44</v>
      </c>
    </row>
    <row r="387">
      <c r="A387" s="55" t="str">
        <f>IFERROR(__xludf.DUMMYFUNCTION("""COMPUTED_VALUE"""),"RSC007166")</f>
        <v>RSC007166</v>
      </c>
      <c r="B387" s="60" t="str">
        <f>IFERROR(__xludf.DUMMYFUNCTION("""COMPUTED_VALUE"""),"nelz")</f>
        <v>nelz</v>
      </c>
      <c r="C387" s="55" t="str">
        <f>IFERROR(__xludf.DUMMYFUNCTION("""COMPUTED_VALUE"""),"Master")</f>
        <v>Master</v>
      </c>
      <c r="D387" s="65">
        <f>IFERROR(__xludf.DUMMYFUNCTION("""COMPUTED_VALUE"""),46.42187047125282)</f>
        <v>46.42187047</v>
      </c>
      <c r="E387" s="66">
        <f>IFERROR(__xludf.DUMMYFUNCTION("""COMPUTED_VALUE"""),48.0)</f>
        <v>48</v>
      </c>
    </row>
    <row r="388">
      <c r="A388" s="55" t="str">
        <f>IFERROR(__xludf.DUMMYFUNCTION("""COMPUTED_VALUE"""),"RSC007295")</f>
        <v>RSC007295</v>
      </c>
      <c r="B388" s="60" t="str">
        <f>IFERROR(__xludf.DUMMYFUNCTION("""COMPUTED_VALUE"""),"TheLegendaryChance")</f>
        <v>TheLegendaryChance</v>
      </c>
      <c r="C388" s="55" t="str">
        <f>IFERROR(__xludf.DUMMYFUNCTION("""COMPUTED_VALUE"""),"Master")</f>
        <v>Master</v>
      </c>
      <c r="D388" s="65">
        <f>IFERROR(__xludf.DUMMYFUNCTION("""COMPUTED_VALUE"""),44.13031725676522)</f>
        <v>44.13031726</v>
      </c>
      <c r="E388" s="66">
        <f>IFERROR(__xludf.DUMMYFUNCTION("""COMPUTED_VALUE"""),38.0)</f>
        <v>38</v>
      </c>
    </row>
    <row r="389">
      <c r="A389" s="55" t="str">
        <f>IFERROR(__xludf.DUMMYFUNCTION("""COMPUTED_VALUE"""),"RSC005899")</f>
        <v>RSC005899</v>
      </c>
      <c r="B389" s="60" t="str">
        <f>IFERROR(__xludf.DUMMYFUNCTION("""COMPUTED_VALUE"""),"DJDancingDuckGif")</f>
        <v>DJDancingDuckGif</v>
      </c>
      <c r="C389" s="55" t="str">
        <f>IFERROR(__xludf.DUMMYFUNCTION("""COMPUTED_VALUE"""),"Master")</f>
        <v>Master</v>
      </c>
      <c r="D389" s="65">
        <f>IFERROR(__xludf.DUMMYFUNCTION("""COMPUTED_VALUE"""),43.38030364303292)</f>
        <v>43.38030364</v>
      </c>
      <c r="E389" s="66">
        <f>IFERROR(__xludf.DUMMYFUNCTION("""COMPUTED_VALUE"""),44.0)</f>
        <v>44</v>
      </c>
    </row>
    <row r="390">
      <c r="A390" s="55" t="str">
        <f>IFERROR(__xludf.DUMMYFUNCTION("""COMPUTED_VALUE"""),"RSC001927")</f>
        <v>RSC001927</v>
      </c>
      <c r="B390" s="60" t="str">
        <f>IFERROR(__xludf.DUMMYFUNCTION("""COMPUTED_VALUE"""),"Ghxst")</f>
        <v>Ghxst</v>
      </c>
      <c r="C390" s="55" t="str">
        <f>IFERROR(__xludf.DUMMYFUNCTION("""COMPUTED_VALUE"""),"Master")</f>
        <v>Master</v>
      </c>
      <c r="D390" s="65">
        <f>IFERROR(__xludf.DUMMYFUNCTION("""COMPUTED_VALUE"""),42.54499402207633)</f>
        <v>42.54499402</v>
      </c>
      <c r="E390" s="66">
        <f>IFERROR(__xludf.DUMMYFUNCTION("""COMPUTED_VALUE"""),44.0)</f>
        <v>44</v>
      </c>
    </row>
    <row r="391">
      <c r="A391" s="55" t="str">
        <f>IFERROR(__xludf.DUMMYFUNCTION("""COMPUTED_VALUE"""),"RSC000330")</f>
        <v>RSC000330</v>
      </c>
      <c r="B391" s="60" t="str">
        <f>IFERROR(__xludf.DUMMYFUNCTION("""COMPUTED_VALUE"""),"Infinite")</f>
        <v>Infinite</v>
      </c>
      <c r="C391" s="55" t="str">
        <f>IFERROR(__xludf.DUMMYFUNCTION("""COMPUTED_VALUE"""),"Master")</f>
        <v>Master</v>
      </c>
      <c r="D391" s="65">
        <f>IFERROR(__xludf.DUMMYFUNCTION("""COMPUTED_VALUE"""),41.082062353827766)</f>
        <v>41.08206235</v>
      </c>
      <c r="E391" s="66">
        <f>IFERROR(__xludf.DUMMYFUNCTION("""COMPUTED_VALUE"""),42.0)</f>
        <v>42</v>
      </c>
    </row>
    <row r="392">
      <c r="A392" s="55" t="str">
        <f>IFERROR(__xludf.DUMMYFUNCTION("""COMPUTED_VALUE"""),"RSC007941")</f>
        <v>RSC007941</v>
      </c>
      <c r="B392" s="60" t="str">
        <f>IFERROR(__xludf.DUMMYFUNCTION("""COMPUTED_VALUE"""),"Shepherd")</f>
        <v>Shepherd</v>
      </c>
      <c r="C392" s="55" t="str">
        <f>IFERROR(__xludf.DUMMYFUNCTION("""COMPUTED_VALUE"""),"Master")</f>
        <v>Master</v>
      </c>
      <c r="D392" s="65">
        <f>IFERROR(__xludf.DUMMYFUNCTION("""COMPUTED_VALUE"""),37.94733355400686)</f>
        <v>37.94733355</v>
      </c>
      <c r="E392" s="66">
        <f>IFERROR(__xludf.DUMMYFUNCTION("""COMPUTED_VALUE"""),36.0)</f>
        <v>36</v>
      </c>
    </row>
    <row r="393">
      <c r="A393" s="55" t="str">
        <f>IFERROR(__xludf.DUMMYFUNCTION("""COMPUTED_VALUE"""),"RSC003445")</f>
        <v>RSC003445</v>
      </c>
      <c r="B393" s="60" t="str">
        <f>IFERROR(__xludf.DUMMYFUNCTION("""COMPUTED_VALUE"""),"bosco")</f>
        <v>bosco</v>
      </c>
      <c r="C393" s="55" t="str">
        <f>IFERROR(__xludf.DUMMYFUNCTION("""COMPUTED_VALUE"""),"Master")</f>
        <v>Master</v>
      </c>
      <c r="D393" s="65">
        <f>IFERROR(__xludf.DUMMYFUNCTION("""COMPUTED_VALUE"""),37.53626040150368)</f>
        <v>37.5362604</v>
      </c>
      <c r="E393" s="66">
        <f>IFERROR(__xludf.DUMMYFUNCTION("""COMPUTED_VALUE"""),12.0)</f>
        <v>12</v>
      </c>
    </row>
    <row r="394">
      <c r="A394" s="55" t="str">
        <f>IFERROR(__xludf.DUMMYFUNCTION("""COMPUTED_VALUE"""),"RSC005234")</f>
        <v>RSC005234</v>
      </c>
      <c r="B394" s="60" t="str">
        <f>IFERROR(__xludf.DUMMYFUNCTION("""COMPUTED_VALUE"""),"Hirsch")</f>
        <v>Hirsch</v>
      </c>
      <c r="C394" s="55" t="str">
        <f>IFERROR(__xludf.DUMMYFUNCTION("""COMPUTED_VALUE"""),"Master")</f>
        <v>Master</v>
      </c>
      <c r="D394" s="65">
        <f>IFERROR(__xludf.DUMMYFUNCTION("""COMPUTED_VALUE"""),37.41723678945241)</f>
        <v>37.41723679</v>
      </c>
      <c r="E394" s="66">
        <f>IFERROR(__xludf.DUMMYFUNCTION("""COMPUTED_VALUE"""),30.0)</f>
        <v>30</v>
      </c>
    </row>
    <row r="395">
      <c r="A395" s="55" t="str">
        <f>IFERROR(__xludf.DUMMYFUNCTION("""COMPUTED_VALUE"""),"RSC007868")</f>
        <v>RSC007868</v>
      </c>
      <c r="B395" s="60" t="str">
        <f>IFERROR(__xludf.DUMMYFUNCTION("""COMPUTED_VALUE"""),"(Jay)")</f>
        <v>(Jay)</v>
      </c>
      <c r="C395" s="55" t="str">
        <f>IFERROR(__xludf.DUMMYFUNCTION("""COMPUTED_VALUE"""),"Master")</f>
        <v>Master</v>
      </c>
      <c r="D395" s="65">
        <f>IFERROR(__xludf.DUMMYFUNCTION("""COMPUTED_VALUE"""),37.36303116661342)</f>
        <v>37.36303117</v>
      </c>
      <c r="E395" s="66">
        <f>IFERROR(__xludf.DUMMYFUNCTION("""COMPUTED_VALUE"""),28.0)</f>
        <v>28</v>
      </c>
    </row>
    <row r="396">
      <c r="A396" s="55" t="str">
        <f>IFERROR(__xludf.DUMMYFUNCTION("""COMPUTED_VALUE"""),"RSC001357")</f>
        <v>RSC001357</v>
      </c>
      <c r="B396" s="60" t="str">
        <f>IFERROR(__xludf.DUMMYFUNCTION("""COMPUTED_VALUE"""),"bubblebuddy47")</f>
        <v>bubblebuddy47</v>
      </c>
      <c r="C396" s="55" t="str">
        <f>IFERROR(__xludf.DUMMYFUNCTION("""COMPUTED_VALUE"""),"Master")</f>
        <v>Master</v>
      </c>
      <c r="D396" s="65">
        <f>IFERROR(__xludf.DUMMYFUNCTION("""COMPUTED_VALUE"""),37.067914755970946)</f>
        <v>37.06791476</v>
      </c>
      <c r="E396" s="66">
        <f>IFERROR(__xludf.DUMMYFUNCTION("""COMPUTED_VALUE"""),4.0)</f>
        <v>4</v>
      </c>
    </row>
    <row r="397">
      <c r="A397" s="55" t="str">
        <f>IFERROR(__xludf.DUMMYFUNCTION("""COMPUTED_VALUE"""),"RSC007494")</f>
        <v>RSC007494</v>
      </c>
      <c r="B397" s="60" t="str">
        <f>IFERROR(__xludf.DUMMYFUNCTION("""COMPUTED_VALUE"""),"C-Loupe")</f>
        <v>C-Loupe</v>
      </c>
      <c r="C397" s="55" t="str">
        <f>IFERROR(__xludf.DUMMYFUNCTION("""COMPUTED_VALUE"""),"Master")</f>
        <v>Master</v>
      </c>
      <c r="D397" s="65">
        <f>IFERROR(__xludf.DUMMYFUNCTION("""COMPUTED_VALUE"""),35.62756819836507)</f>
        <v>35.6275682</v>
      </c>
      <c r="E397" s="66">
        <f>IFERROR(__xludf.DUMMYFUNCTION("""COMPUTED_VALUE"""),20.0)</f>
        <v>20</v>
      </c>
    </row>
    <row r="398">
      <c r="A398" s="55" t="str">
        <f>IFERROR(__xludf.DUMMYFUNCTION("""COMPUTED_VALUE"""),"RSC000200")</f>
        <v>RSC000200</v>
      </c>
      <c r="B398" s="60" t="str">
        <f>IFERROR(__xludf.DUMMYFUNCTION("""COMPUTED_VALUE"""),"Jonezy")</f>
        <v>Jonezy</v>
      </c>
      <c r="C398" s="55" t="str">
        <f>IFERROR(__xludf.DUMMYFUNCTION("""COMPUTED_VALUE"""),"Master")</f>
        <v>Master</v>
      </c>
      <c r="D398" s="65">
        <f>IFERROR(__xludf.DUMMYFUNCTION("""COMPUTED_VALUE"""),33.77073854093527)</f>
        <v>33.77073854</v>
      </c>
      <c r="E398" s="66">
        <f>IFERROR(__xludf.DUMMYFUNCTION("""COMPUTED_VALUE"""),2.0)</f>
        <v>2</v>
      </c>
    </row>
    <row r="399">
      <c r="A399" s="55" t="str">
        <f>IFERROR(__xludf.DUMMYFUNCTION("""COMPUTED_VALUE"""),"RSC003125")</f>
        <v>RSC003125</v>
      </c>
      <c r="B399" s="60" t="str">
        <f>IFERROR(__xludf.DUMMYFUNCTION("""COMPUTED_VALUE"""),"GrandPlat")</f>
        <v>GrandPlat</v>
      </c>
      <c r="C399" s="55" t="str">
        <f>IFERROR(__xludf.DUMMYFUNCTION("""COMPUTED_VALUE"""),"Master")</f>
        <v>Master</v>
      </c>
      <c r="D399" s="65">
        <f>IFERROR(__xludf.DUMMYFUNCTION("""COMPUTED_VALUE"""),30.022276940127934)</f>
        <v>30.02227694</v>
      </c>
      <c r="E399" s="66">
        <f>IFERROR(__xludf.DUMMYFUNCTION("""COMPUTED_VALUE"""),22.0)</f>
        <v>22</v>
      </c>
    </row>
    <row r="400">
      <c r="A400" s="55" t="str">
        <f>IFERROR(__xludf.DUMMYFUNCTION("""COMPUTED_VALUE"""),"RSC005220")</f>
        <v>RSC005220</v>
      </c>
      <c r="B400" s="60" t="str">
        <f>IFERROR(__xludf.DUMMYFUNCTION("""COMPUTED_VALUE"""),"Swax")</f>
        <v>Swax</v>
      </c>
      <c r="C400" s="55" t="str">
        <f>IFERROR(__xludf.DUMMYFUNCTION("""COMPUTED_VALUE"""),"Master")</f>
        <v>Master</v>
      </c>
      <c r="D400" s="65">
        <f>IFERROR(__xludf.DUMMYFUNCTION("""COMPUTED_VALUE"""),27.1037662438394)</f>
        <v>27.10376624</v>
      </c>
      <c r="E400" s="66">
        <f>IFERROR(__xludf.DUMMYFUNCTION("""COMPUTED_VALUE"""),26.0)</f>
        <v>26</v>
      </c>
    </row>
    <row r="401">
      <c r="A401" s="55" t="str">
        <f>IFERROR(__xludf.DUMMYFUNCTION("""COMPUTED_VALUE"""),"RSC003323")</f>
        <v>RSC003323</v>
      </c>
      <c r="B401" s="60" t="str">
        <f>IFERROR(__xludf.DUMMYFUNCTION("""COMPUTED_VALUE"""),"Boog McCroog")</f>
        <v>Boog McCroog</v>
      </c>
      <c r="C401" s="55" t="str">
        <f>IFERROR(__xludf.DUMMYFUNCTION("""COMPUTED_VALUE"""),"Master")</f>
        <v>Master</v>
      </c>
      <c r="D401" s="65">
        <f>IFERROR(__xludf.DUMMYFUNCTION("""COMPUTED_VALUE"""),26.304577750137337)</f>
        <v>26.30457775</v>
      </c>
      <c r="E401" s="66">
        <f>IFERROR(__xludf.DUMMYFUNCTION("""COMPUTED_VALUE"""),50.0)</f>
        <v>50</v>
      </c>
    </row>
    <row r="402">
      <c r="A402" s="55" t="str">
        <f>IFERROR(__xludf.DUMMYFUNCTION("""COMPUTED_VALUE"""),"RSC008330")</f>
        <v>RSC008330</v>
      </c>
      <c r="B402" s="60" t="str">
        <f>IFERROR(__xludf.DUMMYFUNCTION("""COMPUTED_VALUE"""),"Jammin")</f>
        <v>Jammin</v>
      </c>
      <c r="C402" s="55" t="str">
        <f>IFERROR(__xludf.DUMMYFUNCTION("""COMPUTED_VALUE"""),"Master")</f>
        <v>Master</v>
      </c>
      <c r="D402" s="65">
        <f>IFERROR(__xludf.DUMMYFUNCTION("""COMPUTED_VALUE"""),26.099277324619496)</f>
        <v>26.09927732</v>
      </c>
      <c r="E402" s="66">
        <f>IFERROR(__xludf.DUMMYFUNCTION("""COMPUTED_VALUE"""),25.0)</f>
        <v>25</v>
      </c>
    </row>
    <row r="403">
      <c r="A403" s="55" t="str">
        <f>IFERROR(__xludf.DUMMYFUNCTION("""COMPUTED_VALUE"""),"RSC008539")</f>
        <v>RSC008539</v>
      </c>
      <c r="B403" s="60" t="str">
        <f>IFERROR(__xludf.DUMMYFUNCTION("""COMPUTED_VALUE"""),"Shune.")</f>
        <v>Shune.</v>
      </c>
      <c r="C403" s="55" t="str">
        <f>IFERROR(__xludf.DUMMYFUNCTION("""COMPUTED_VALUE"""),"Master")</f>
        <v>Master</v>
      </c>
      <c r="D403" s="65">
        <f>IFERROR(__xludf.DUMMYFUNCTION("""COMPUTED_VALUE"""),23.80220740012222)</f>
        <v>23.8022074</v>
      </c>
      <c r="E403" s="66">
        <f>IFERROR(__xludf.DUMMYFUNCTION("""COMPUTED_VALUE"""),23.0)</f>
        <v>23</v>
      </c>
    </row>
    <row r="404">
      <c r="A404" s="55" t="str">
        <f>IFERROR(__xludf.DUMMYFUNCTION("""COMPUTED_VALUE"""),"RSC001055")</f>
        <v>RSC001055</v>
      </c>
      <c r="B404" s="60" t="str">
        <f>IFERROR(__xludf.DUMMYFUNCTION("""COMPUTED_VALUE"""),"Scotti")</f>
        <v>Scotti</v>
      </c>
      <c r="C404" s="55" t="str">
        <f>IFERROR(__xludf.DUMMYFUNCTION("""COMPUTED_VALUE"""),"Master")</f>
        <v>Master</v>
      </c>
      <c r="D404" s="65">
        <f>IFERROR(__xludf.DUMMYFUNCTION("""COMPUTED_VALUE"""),21.35215748912781)</f>
        <v>21.35215749</v>
      </c>
      <c r="E404" s="66">
        <f>IFERROR(__xludf.DUMMYFUNCTION("""COMPUTED_VALUE"""),26.0)</f>
        <v>26</v>
      </c>
    </row>
    <row r="405">
      <c r="A405" s="55" t="str">
        <f>IFERROR(__xludf.DUMMYFUNCTION("""COMPUTED_VALUE"""),"RSC002620")</f>
        <v>RSC002620</v>
      </c>
      <c r="B405" s="60" t="str">
        <f>IFERROR(__xludf.DUMMYFUNCTION("""COMPUTED_VALUE"""),"Instnt")</f>
        <v>Instnt</v>
      </c>
      <c r="C405" s="55" t="str">
        <f>IFERROR(__xludf.DUMMYFUNCTION("""COMPUTED_VALUE"""),"Master")</f>
        <v>Master</v>
      </c>
      <c r="D405" s="65">
        <f>IFERROR(__xludf.DUMMYFUNCTION("""COMPUTED_VALUE"""),17.211377773774203)</f>
        <v>17.21137777</v>
      </c>
      <c r="E405" s="66">
        <f>IFERROR(__xludf.DUMMYFUNCTION("""COMPUTED_VALUE"""),8.0)</f>
        <v>8</v>
      </c>
    </row>
    <row r="406">
      <c r="A406" s="55" t="str">
        <f>IFERROR(__xludf.DUMMYFUNCTION("""COMPUTED_VALUE"""),"RSC003986")</f>
        <v>RSC003986</v>
      </c>
      <c r="B406" s="60" t="str">
        <f>IFERROR(__xludf.DUMMYFUNCTION("""COMPUTED_VALUE"""),"✪ Reprise")</f>
        <v>✪ Reprise</v>
      </c>
      <c r="C406" s="55" t="str">
        <f>IFERROR(__xludf.DUMMYFUNCTION("""COMPUTED_VALUE"""),"Master")</f>
        <v>Master</v>
      </c>
      <c r="D406" s="65">
        <f>IFERROR(__xludf.DUMMYFUNCTION("""COMPUTED_VALUE"""),12.56512897448114)</f>
        <v>12.56512897</v>
      </c>
      <c r="E406" s="66">
        <f>IFERROR(__xludf.DUMMYFUNCTION("""COMPUTED_VALUE"""),4.0)</f>
        <v>4</v>
      </c>
    </row>
    <row r="407">
      <c r="A407" s="55" t="str">
        <f>IFERROR(__xludf.DUMMYFUNCTION("""COMPUTED_VALUE"""),"RSC003792")</f>
        <v>RSC003792</v>
      </c>
      <c r="B407" s="60" t="str">
        <f>IFERROR(__xludf.DUMMYFUNCTION("""COMPUTED_VALUE"""),"Calcifiree")</f>
        <v>Calcifiree</v>
      </c>
      <c r="C407" s="55" t="str">
        <f>IFERROR(__xludf.DUMMYFUNCTION("""COMPUTED_VALUE"""),"Master")</f>
        <v>Master</v>
      </c>
      <c r="D407" s="65">
        <f>IFERROR(__xludf.DUMMYFUNCTION("""COMPUTED_VALUE"""),7.649125837045794)</f>
        <v>7.649125837</v>
      </c>
      <c r="E407" s="66">
        <f>IFERROR(__xludf.DUMMYFUNCTION("""COMPUTED_VALUE"""),3.0)</f>
        <v>3</v>
      </c>
    </row>
    <row r="408">
      <c r="A408" s="55" t="str">
        <f>IFERROR(__xludf.DUMMYFUNCTION("""COMPUTED_VALUE"""),"RSC008500")</f>
        <v>RSC008500</v>
      </c>
      <c r="B408" s="60" t="str">
        <f>IFERROR(__xludf.DUMMYFUNCTION("""COMPUTED_VALUE"""),"Alejandro55")</f>
        <v>Alejandro55</v>
      </c>
      <c r="C408" s="55" t="str">
        <f>IFERROR(__xludf.DUMMYFUNCTION("""COMPUTED_VALUE"""),"Master")</f>
        <v>Master</v>
      </c>
      <c r="D408" s="65">
        <f>IFERROR(__xludf.DUMMYFUNCTION("""COMPUTED_VALUE"""),-2.1580840414918896)</f>
        <v>-2.158084041</v>
      </c>
      <c r="E408" s="66">
        <f>IFERROR(__xludf.DUMMYFUNCTION("""COMPUTED_VALUE"""),6.0)</f>
        <v>6</v>
      </c>
    </row>
    <row r="409">
      <c r="A409" s="55" t="str">
        <f>IFERROR(__xludf.DUMMYFUNCTION("""COMPUTED_VALUE"""),"RSC008368")</f>
        <v>RSC008368</v>
      </c>
      <c r="B409" s="60" t="str">
        <f>IFERROR(__xludf.DUMMYFUNCTION("""COMPUTED_VALUE"""),"taLz.")</f>
        <v>taLz.</v>
      </c>
      <c r="C409" s="55" t="str">
        <f>IFERROR(__xludf.DUMMYFUNCTION("""COMPUTED_VALUE"""),"Master")</f>
        <v>Master</v>
      </c>
      <c r="D409" s="65">
        <f>IFERROR(__xludf.DUMMYFUNCTION("""COMPUTED_VALUE"""),-16.58930899462706)</f>
        <v>-16.58930899</v>
      </c>
      <c r="E409" s="66">
        <f>IFERROR(__xludf.DUMMYFUNCTION("""COMPUTED_VALUE"""),13.0)</f>
        <v>13</v>
      </c>
    </row>
    <row r="410">
      <c r="A410" s="55" t="str">
        <f>IFERROR(__xludf.DUMMYFUNCTION("""COMPUTED_VALUE"""),"RSC006569")</f>
        <v>RSC006569</v>
      </c>
      <c r="B410" s="60" t="str">
        <f>IFERROR(__xludf.DUMMYFUNCTION("""COMPUTED_VALUE"""),"mulliganisoup")</f>
        <v>mulliganisoup</v>
      </c>
      <c r="C410" s="55" t="str">
        <f>IFERROR(__xludf.DUMMYFUNCTION("""COMPUTED_VALUE"""),"Master")</f>
        <v>Master</v>
      </c>
      <c r="D410" s="65">
        <f>IFERROR(__xludf.DUMMYFUNCTION("""COMPUTED_VALUE"""),-21.282056391317326)</f>
        <v>-21.28205639</v>
      </c>
      <c r="E410" s="66">
        <f>IFERROR(__xludf.DUMMYFUNCTION("""COMPUTED_VALUE"""),4.0)</f>
        <v>4</v>
      </c>
    </row>
    <row r="411">
      <c r="A411" s="55" t="str">
        <f>IFERROR(__xludf.DUMMYFUNCTION("""COMPUTED_VALUE"""),"RSC007071")</f>
        <v>RSC007071</v>
      </c>
      <c r="B411" s="60" t="str">
        <f>IFERROR(__xludf.DUMMYFUNCTION("""COMPUTED_VALUE"""),"Ankur")</f>
        <v>Ankur</v>
      </c>
      <c r="C411" s="55" t="str">
        <f>IFERROR(__xludf.DUMMYFUNCTION("""COMPUTED_VALUE"""),"Premier")</f>
        <v>Premier</v>
      </c>
      <c r="D411" s="65">
        <f>IFERROR(__xludf.DUMMYFUNCTION("""COMPUTED_VALUE"""),141.11265138106162)</f>
        <v>141.1126514</v>
      </c>
      <c r="E411" s="66">
        <f>IFERROR(__xludf.DUMMYFUNCTION("""COMPUTED_VALUE"""),4.0)</f>
        <v>4</v>
      </c>
    </row>
    <row r="412">
      <c r="A412" s="55" t="str">
        <f>IFERROR(__xludf.DUMMYFUNCTION("""COMPUTED_VALUE"""),"RSC007460")</f>
        <v>RSC007460</v>
      </c>
      <c r="B412" s="60" t="str">
        <f>IFERROR(__xludf.DUMMYFUNCTION("""COMPUTED_VALUE"""),"mogiiuh")</f>
        <v>mogiiuh</v>
      </c>
      <c r="C412" s="55" t="str">
        <f>IFERROR(__xludf.DUMMYFUNCTION("""COMPUTED_VALUE"""),"Premier")</f>
        <v>Premier</v>
      </c>
      <c r="D412" s="65">
        <f>IFERROR(__xludf.DUMMYFUNCTION("""COMPUTED_VALUE"""),89.86532163775782)</f>
        <v>89.86532164</v>
      </c>
      <c r="E412" s="66">
        <f>IFERROR(__xludf.DUMMYFUNCTION("""COMPUTED_VALUE"""),20.0)</f>
        <v>20</v>
      </c>
    </row>
    <row r="413">
      <c r="A413" s="55" t="str">
        <f>IFERROR(__xludf.DUMMYFUNCTION("""COMPUTED_VALUE"""),"RSC008343")</f>
        <v>RSC008343</v>
      </c>
      <c r="B413" s="60" t="str">
        <f>IFERROR(__xludf.DUMMYFUNCTION("""COMPUTED_VALUE"""),"surreal")</f>
        <v>surreal</v>
      </c>
      <c r="C413" s="55" t="str">
        <f>IFERROR(__xludf.DUMMYFUNCTION("""COMPUTED_VALUE"""),"Premier")</f>
        <v>Premier</v>
      </c>
      <c r="D413" s="65">
        <f>IFERROR(__xludf.DUMMYFUNCTION("""COMPUTED_VALUE"""),80.63641030723284)</f>
        <v>80.63641031</v>
      </c>
      <c r="E413" s="66">
        <f>IFERROR(__xludf.DUMMYFUNCTION("""COMPUTED_VALUE"""),47.0)</f>
        <v>47</v>
      </c>
    </row>
    <row r="414">
      <c r="A414" s="55" t="str">
        <f>IFERROR(__xludf.DUMMYFUNCTION("""COMPUTED_VALUE"""),"RSC007845")</f>
        <v>RSC007845</v>
      </c>
      <c r="B414" s="60" t="str">
        <f>IFERROR(__xludf.DUMMYFUNCTION("""COMPUTED_VALUE"""),"Enchanted")</f>
        <v>Enchanted</v>
      </c>
      <c r="C414" s="55" t="str">
        <f>IFERROR(__xludf.DUMMYFUNCTION("""COMPUTED_VALUE"""),"Premier")</f>
        <v>Premier</v>
      </c>
      <c r="D414" s="65">
        <f>IFERROR(__xludf.DUMMYFUNCTION("""COMPUTED_VALUE"""),77.63506563666677)</f>
        <v>77.63506564</v>
      </c>
      <c r="E414" s="66">
        <f>IFERROR(__xludf.DUMMYFUNCTION("""COMPUTED_VALUE"""),36.0)</f>
        <v>36</v>
      </c>
    </row>
    <row r="415">
      <c r="A415" s="55" t="str">
        <f>IFERROR(__xludf.DUMMYFUNCTION("""COMPUTED_VALUE"""),"RSC007174")</f>
        <v>RSC007174</v>
      </c>
      <c r="B415" s="60" t="str">
        <f>IFERROR(__xludf.DUMMYFUNCTION("""COMPUTED_VALUE"""),"LMNS")</f>
        <v>LMNS</v>
      </c>
      <c r="C415" s="55" t="str">
        <f>IFERROR(__xludf.DUMMYFUNCTION("""COMPUTED_VALUE"""),"Premier")</f>
        <v>Premier</v>
      </c>
      <c r="D415" s="65">
        <f>IFERROR(__xludf.DUMMYFUNCTION("""COMPUTED_VALUE"""),74.1371861864523)</f>
        <v>74.13718619</v>
      </c>
      <c r="E415" s="66">
        <f>IFERROR(__xludf.DUMMYFUNCTION("""COMPUTED_VALUE"""),16.0)</f>
        <v>16</v>
      </c>
    </row>
    <row r="416">
      <c r="A416" s="55" t="str">
        <f>IFERROR(__xludf.DUMMYFUNCTION("""COMPUTED_VALUE"""),"RSC004090")</f>
        <v>RSC004090</v>
      </c>
      <c r="B416" s="60" t="str">
        <f>IFERROR(__xludf.DUMMYFUNCTION("""COMPUTED_VALUE"""),"LikeWisse")</f>
        <v>LikeWisse</v>
      </c>
      <c r="C416" s="55" t="str">
        <f>IFERROR(__xludf.DUMMYFUNCTION("""COMPUTED_VALUE"""),"Premier")</f>
        <v>Premier</v>
      </c>
      <c r="D416" s="65">
        <f>IFERROR(__xludf.DUMMYFUNCTION("""COMPUTED_VALUE"""),73.47091994281436)</f>
        <v>73.47091994</v>
      </c>
      <c r="E416" s="66">
        <f>IFERROR(__xludf.DUMMYFUNCTION("""COMPUTED_VALUE"""),56.0)</f>
        <v>56</v>
      </c>
    </row>
    <row r="417">
      <c r="A417" s="55" t="str">
        <f>IFERROR(__xludf.DUMMYFUNCTION("""COMPUTED_VALUE"""),"RSC004215")</f>
        <v>RSC004215</v>
      </c>
      <c r="B417" s="60" t="str">
        <f>IFERROR(__xludf.DUMMYFUNCTION("""COMPUTED_VALUE"""),"Tsheg")</f>
        <v>Tsheg</v>
      </c>
      <c r="C417" s="55" t="str">
        <f>IFERROR(__xludf.DUMMYFUNCTION("""COMPUTED_VALUE"""),"Premier")</f>
        <v>Premier</v>
      </c>
      <c r="D417" s="65">
        <f>IFERROR(__xludf.DUMMYFUNCTION("""COMPUTED_VALUE"""),72.51833656982251)</f>
        <v>72.51833657</v>
      </c>
      <c r="E417" s="66">
        <f>IFERROR(__xludf.DUMMYFUNCTION("""COMPUTED_VALUE"""),43.0)</f>
        <v>43</v>
      </c>
    </row>
    <row r="418">
      <c r="A418" s="55" t="str">
        <f>IFERROR(__xludf.DUMMYFUNCTION("""COMPUTED_VALUE"""),"RSC005920")</f>
        <v>RSC005920</v>
      </c>
      <c r="B418" s="60" t="str">
        <f>IFERROR(__xludf.DUMMYFUNCTION("""COMPUTED_VALUE"""),"Roxy")</f>
        <v>Roxy</v>
      </c>
      <c r="C418" s="55" t="str">
        <f>IFERROR(__xludf.DUMMYFUNCTION("""COMPUTED_VALUE"""),"Premier")</f>
        <v>Premier</v>
      </c>
      <c r="D418" s="65">
        <f>IFERROR(__xludf.DUMMYFUNCTION("""COMPUTED_VALUE"""),70.3183506804065)</f>
        <v>70.31835068</v>
      </c>
      <c r="E418" s="66">
        <f>IFERROR(__xludf.DUMMYFUNCTION("""COMPUTED_VALUE"""),28.0)</f>
        <v>28</v>
      </c>
    </row>
    <row r="419">
      <c r="A419" s="55" t="str">
        <f>IFERROR(__xludf.DUMMYFUNCTION("""COMPUTED_VALUE"""),"RSC000381")</f>
        <v>RSC000381</v>
      </c>
      <c r="B419" s="60" t="str">
        <f>IFERROR(__xludf.DUMMYFUNCTION("""COMPUTED_VALUE"""),"Noriko")</f>
        <v>Noriko</v>
      </c>
      <c r="C419" s="55" t="str">
        <f>IFERROR(__xludf.DUMMYFUNCTION("""COMPUTED_VALUE"""),"Premier")</f>
        <v>Premier</v>
      </c>
      <c r="D419" s="65">
        <f>IFERROR(__xludf.DUMMYFUNCTION("""COMPUTED_VALUE"""),65.49788390606497)</f>
        <v>65.49788391</v>
      </c>
      <c r="E419" s="66">
        <f>IFERROR(__xludf.DUMMYFUNCTION("""COMPUTED_VALUE"""),41.0)</f>
        <v>41</v>
      </c>
    </row>
    <row r="420">
      <c r="A420" s="55" t="str">
        <f>IFERROR(__xludf.DUMMYFUNCTION("""COMPUTED_VALUE"""),"RSC004580")</f>
        <v>RSC004580</v>
      </c>
      <c r="B420" s="60" t="str">
        <f>IFERROR(__xludf.DUMMYFUNCTION("""COMPUTED_VALUE"""),"Static")</f>
        <v>Static</v>
      </c>
      <c r="C420" s="55" t="str">
        <f>IFERROR(__xludf.DUMMYFUNCTION("""COMPUTED_VALUE"""),"Premier")</f>
        <v>Premier</v>
      </c>
      <c r="D420" s="65">
        <f>IFERROR(__xludf.DUMMYFUNCTION("""COMPUTED_VALUE"""),65.36416390273466)</f>
        <v>65.3641639</v>
      </c>
      <c r="E420" s="66">
        <f>IFERROR(__xludf.DUMMYFUNCTION("""COMPUTED_VALUE"""),25.0)</f>
        <v>25</v>
      </c>
    </row>
    <row r="421">
      <c r="A421" s="55" t="str">
        <f>IFERROR(__xludf.DUMMYFUNCTION("""COMPUTED_VALUE"""),"RSC000181")</f>
        <v>RSC000181</v>
      </c>
      <c r="B421" s="60" t="str">
        <f>IFERROR(__xludf.DUMMYFUNCTION("""COMPUTED_VALUE"""),"Eclipse")</f>
        <v>Eclipse</v>
      </c>
      <c r="C421" s="55" t="str">
        <f>IFERROR(__xludf.DUMMYFUNCTION("""COMPUTED_VALUE"""),"Premier")</f>
        <v>Premier</v>
      </c>
      <c r="D421" s="65">
        <f>IFERROR(__xludf.DUMMYFUNCTION("""COMPUTED_VALUE"""),65.35052468765922)</f>
        <v>65.35052469</v>
      </c>
      <c r="E421" s="66">
        <f>IFERROR(__xludf.DUMMYFUNCTION("""COMPUTED_VALUE"""),50.0)</f>
        <v>50</v>
      </c>
    </row>
    <row r="422">
      <c r="A422" s="55" t="str">
        <f>IFERROR(__xludf.DUMMYFUNCTION("""COMPUTED_VALUE"""),"RSC003749")</f>
        <v>RSC003749</v>
      </c>
      <c r="B422" s="60" t="str">
        <f>IFERROR(__xludf.DUMMYFUNCTION("""COMPUTED_VALUE"""),"Rule")</f>
        <v>Rule</v>
      </c>
      <c r="C422" s="55" t="str">
        <f>IFERROR(__xludf.DUMMYFUNCTION("""COMPUTED_VALUE"""),"Premier")</f>
        <v>Premier</v>
      </c>
      <c r="D422" s="65">
        <f>IFERROR(__xludf.DUMMYFUNCTION("""COMPUTED_VALUE"""),64.29584224440089)</f>
        <v>64.29584224</v>
      </c>
      <c r="E422" s="66">
        <f>IFERROR(__xludf.DUMMYFUNCTION("""COMPUTED_VALUE"""),33.0)</f>
        <v>33</v>
      </c>
    </row>
    <row r="423">
      <c r="A423" s="55" t="str">
        <f>IFERROR(__xludf.DUMMYFUNCTION("""COMPUTED_VALUE"""),"RSC008244")</f>
        <v>RSC008244</v>
      </c>
      <c r="B423" s="60" t="str">
        <f>IFERROR(__xludf.DUMMYFUNCTION("""COMPUTED_VALUE"""),"Oghma")</f>
        <v>Oghma</v>
      </c>
      <c r="C423" s="55" t="str">
        <f>IFERROR(__xludf.DUMMYFUNCTION("""COMPUTED_VALUE"""),"Premier")</f>
        <v>Premier</v>
      </c>
      <c r="D423" s="65">
        <f>IFERROR(__xludf.DUMMYFUNCTION("""COMPUTED_VALUE"""),63.71346681196809)</f>
        <v>63.71346681</v>
      </c>
      <c r="E423" s="66">
        <f>IFERROR(__xludf.DUMMYFUNCTION("""COMPUTED_VALUE"""),42.0)</f>
        <v>42</v>
      </c>
    </row>
    <row r="424">
      <c r="A424" s="55" t="str">
        <f>IFERROR(__xludf.DUMMYFUNCTION("""COMPUTED_VALUE"""),"RSC002062")</f>
        <v>RSC002062</v>
      </c>
      <c r="B424" s="60" t="str">
        <f>IFERROR(__xludf.DUMMYFUNCTION("""COMPUTED_VALUE"""),"Qundar al-Din")</f>
        <v>Qundar al-Din</v>
      </c>
      <c r="C424" s="55" t="str">
        <f>IFERROR(__xludf.DUMMYFUNCTION("""COMPUTED_VALUE"""),"Premier")</f>
        <v>Premier</v>
      </c>
      <c r="D424" s="65">
        <f>IFERROR(__xludf.DUMMYFUNCTION("""COMPUTED_VALUE"""),61.20167634103461)</f>
        <v>61.20167634</v>
      </c>
      <c r="E424" s="66">
        <f>IFERROR(__xludf.DUMMYFUNCTION("""COMPUTED_VALUE"""),12.0)</f>
        <v>12</v>
      </c>
    </row>
    <row r="425">
      <c r="A425" s="55" t="str">
        <f>IFERROR(__xludf.DUMMYFUNCTION("""COMPUTED_VALUE"""),"RSC002714")</f>
        <v>RSC002714</v>
      </c>
      <c r="B425" s="60" t="str">
        <f>IFERROR(__xludf.DUMMYFUNCTION("""COMPUTED_VALUE"""),"Andy")</f>
        <v>Andy</v>
      </c>
      <c r="C425" s="55" t="str">
        <f>IFERROR(__xludf.DUMMYFUNCTION("""COMPUTED_VALUE"""),"Premier")</f>
        <v>Premier</v>
      </c>
      <c r="D425" s="65">
        <f>IFERROR(__xludf.DUMMYFUNCTION("""COMPUTED_VALUE"""),59.23450835382755)</f>
        <v>59.23450835</v>
      </c>
      <c r="E425" s="66">
        <f>IFERROR(__xludf.DUMMYFUNCTION("""COMPUTED_VALUE"""),47.0)</f>
        <v>47</v>
      </c>
    </row>
    <row r="426">
      <c r="A426" s="55" t="str">
        <f>IFERROR(__xludf.DUMMYFUNCTION("""COMPUTED_VALUE"""),"RSC003780")</f>
        <v>RSC003780</v>
      </c>
      <c r="B426" s="60" t="str">
        <f>IFERROR(__xludf.DUMMYFUNCTION("""COMPUTED_VALUE"""),"Fayzan ibn Balish")</f>
        <v>Fayzan ibn Balish</v>
      </c>
      <c r="C426" s="55" t="str">
        <f>IFERROR(__xludf.DUMMYFUNCTION("""COMPUTED_VALUE"""),"Premier")</f>
        <v>Premier</v>
      </c>
      <c r="D426" s="65">
        <f>IFERROR(__xludf.DUMMYFUNCTION("""COMPUTED_VALUE"""),58.80743560661096)</f>
        <v>58.80743561</v>
      </c>
      <c r="E426" s="66">
        <f>IFERROR(__xludf.DUMMYFUNCTION("""COMPUTED_VALUE"""),16.0)</f>
        <v>16</v>
      </c>
    </row>
    <row r="427">
      <c r="A427" s="55" t="str">
        <f>IFERROR(__xludf.DUMMYFUNCTION("""COMPUTED_VALUE"""),"RSC006889")</f>
        <v>RSC006889</v>
      </c>
      <c r="B427" s="60" t="str">
        <f>IFERROR(__xludf.DUMMYFUNCTION("""COMPUTED_VALUE"""),"Jay")</f>
        <v>Jay</v>
      </c>
      <c r="C427" s="55" t="str">
        <f>IFERROR(__xludf.DUMMYFUNCTION("""COMPUTED_VALUE"""),"Premier")</f>
        <v>Premier</v>
      </c>
      <c r="D427" s="65">
        <f>IFERROR(__xludf.DUMMYFUNCTION("""COMPUTED_VALUE"""),58.48455773795622)</f>
        <v>58.48455774</v>
      </c>
      <c r="E427" s="66">
        <f>IFERROR(__xludf.DUMMYFUNCTION("""COMPUTED_VALUE"""),24.0)</f>
        <v>24</v>
      </c>
    </row>
    <row r="428">
      <c r="A428" s="55" t="str">
        <f>IFERROR(__xludf.DUMMYFUNCTION("""COMPUTED_VALUE"""),"RSC007718")</f>
        <v>RSC007718</v>
      </c>
      <c r="B428" s="60" t="str">
        <f>IFERROR(__xludf.DUMMYFUNCTION("""COMPUTED_VALUE"""),"dxge")</f>
        <v>dxge</v>
      </c>
      <c r="C428" s="55" t="str">
        <f>IFERROR(__xludf.DUMMYFUNCTION("""COMPUTED_VALUE"""),"Premier")</f>
        <v>Premier</v>
      </c>
      <c r="D428" s="65">
        <f>IFERROR(__xludf.DUMMYFUNCTION("""COMPUTED_VALUE"""),56.524133670177605)</f>
        <v>56.52413367</v>
      </c>
      <c r="E428" s="66">
        <f>IFERROR(__xludf.DUMMYFUNCTION("""COMPUTED_VALUE"""),8.0)</f>
        <v>8</v>
      </c>
    </row>
    <row r="429">
      <c r="A429" s="55" t="str">
        <f>IFERROR(__xludf.DUMMYFUNCTION("""COMPUTED_VALUE"""),"RSC005170")</f>
        <v>RSC005170</v>
      </c>
      <c r="B429" s="60" t="str">
        <f>IFERROR(__xludf.DUMMYFUNCTION("""COMPUTED_VALUE"""),"FrenchyNF")</f>
        <v>FrenchyNF</v>
      </c>
      <c r="C429" s="55" t="str">
        <f>IFERROR(__xludf.DUMMYFUNCTION("""COMPUTED_VALUE"""),"Premier")</f>
        <v>Premier</v>
      </c>
      <c r="D429" s="65">
        <f>IFERROR(__xludf.DUMMYFUNCTION("""COMPUTED_VALUE"""),56.10058176724049)</f>
        <v>56.10058177</v>
      </c>
      <c r="E429" s="66">
        <f>IFERROR(__xludf.DUMMYFUNCTION("""COMPUTED_VALUE"""),25.0)</f>
        <v>25</v>
      </c>
    </row>
    <row r="430">
      <c r="A430" s="55" t="str">
        <f>IFERROR(__xludf.DUMMYFUNCTION("""COMPUTED_VALUE"""),"RSC008139")</f>
        <v>RSC008139</v>
      </c>
      <c r="B430" s="60" t="str">
        <f>IFERROR(__xludf.DUMMYFUNCTION("""COMPUTED_VALUE"""),"Oibu")</f>
        <v>Oibu</v>
      </c>
      <c r="C430" s="55" t="str">
        <f>IFERROR(__xludf.DUMMYFUNCTION("""COMPUTED_VALUE"""),"Premier")</f>
        <v>Premier</v>
      </c>
      <c r="D430" s="65">
        <f>IFERROR(__xludf.DUMMYFUNCTION("""COMPUTED_VALUE"""),55.620958410312504)</f>
        <v>55.62095841</v>
      </c>
      <c r="E430" s="66">
        <f>IFERROR(__xludf.DUMMYFUNCTION("""COMPUTED_VALUE"""),35.0)</f>
        <v>35</v>
      </c>
    </row>
    <row r="431">
      <c r="A431" s="55" t="str">
        <f>IFERROR(__xludf.DUMMYFUNCTION("""COMPUTED_VALUE"""),"RSC000579")</f>
        <v>RSC000579</v>
      </c>
      <c r="B431" s="60" t="str">
        <f>IFERROR(__xludf.DUMMYFUNCTION("""COMPUTED_VALUE"""),"Cryptt.")</f>
        <v>Cryptt.</v>
      </c>
      <c r="C431" s="55" t="str">
        <f>IFERROR(__xludf.DUMMYFUNCTION("""COMPUTED_VALUE"""),"Premier")</f>
        <v>Premier</v>
      </c>
      <c r="D431" s="65">
        <f>IFERROR(__xludf.DUMMYFUNCTION("""COMPUTED_VALUE"""),55.39866497874509)</f>
        <v>55.39866498</v>
      </c>
      <c r="E431" s="66">
        <f>IFERROR(__xludf.DUMMYFUNCTION("""COMPUTED_VALUE"""),51.0)</f>
        <v>51</v>
      </c>
    </row>
    <row r="432">
      <c r="A432" s="55" t="str">
        <f>IFERROR(__xludf.DUMMYFUNCTION("""COMPUTED_VALUE"""),"RSC004138")</f>
        <v>RSC004138</v>
      </c>
      <c r="B432" s="60" t="str">
        <f>IFERROR(__xludf.DUMMYFUNCTION("""COMPUTED_VALUE"""),"ghoosstyyyyyyy")</f>
        <v>ghoosstyyyyyyy</v>
      </c>
      <c r="C432" s="55" t="str">
        <f>IFERROR(__xludf.DUMMYFUNCTION("""COMPUTED_VALUE"""),"Premier")</f>
        <v>Premier</v>
      </c>
      <c r="D432" s="65">
        <f>IFERROR(__xludf.DUMMYFUNCTION("""COMPUTED_VALUE"""),53.15821115829646)</f>
        <v>53.15821116</v>
      </c>
      <c r="E432" s="66">
        <f>IFERROR(__xludf.DUMMYFUNCTION("""COMPUTED_VALUE"""),21.0)</f>
        <v>21</v>
      </c>
    </row>
    <row r="433">
      <c r="A433" s="55" t="str">
        <f>IFERROR(__xludf.DUMMYFUNCTION("""COMPUTED_VALUE"""),"RSC007330")</f>
        <v>RSC007330</v>
      </c>
      <c r="B433" s="60" t="str">
        <f>IFERROR(__xludf.DUMMYFUNCTION("""COMPUTED_VALUE"""),"Spooky")</f>
        <v>Spooky</v>
      </c>
      <c r="C433" s="55" t="str">
        <f>IFERROR(__xludf.DUMMYFUNCTION("""COMPUTED_VALUE"""),"Premier")</f>
        <v>Premier</v>
      </c>
      <c r="D433" s="65">
        <f>IFERROR(__xludf.DUMMYFUNCTION("""COMPUTED_VALUE"""),50.499634058708814)</f>
        <v>50.49963406</v>
      </c>
      <c r="E433" s="66">
        <f>IFERROR(__xludf.DUMMYFUNCTION("""COMPUTED_VALUE"""),10.0)</f>
        <v>10</v>
      </c>
    </row>
    <row r="434">
      <c r="A434" s="55" t="str">
        <f>IFERROR(__xludf.DUMMYFUNCTION("""COMPUTED_VALUE"""),"RSC004149")</f>
        <v>RSC004149</v>
      </c>
      <c r="B434" s="60" t="str">
        <f>IFERROR(__xludf.DUMMYFUNCTION("""COMPUTED_VALUE"""),"insanity")</f>
        <v>insanity</v>
      </c>
      <c r="C434" s="55" t="str">
        <f>IFERROR(__xludf.DUMMYFUNCTION("""COMPUTED_VALUE"""),"Premier")</f>
        <v>Premier</v>
      </c>
      <c r="D434" s="65">
        <f>IFERROR(__xludf.DUMMYFUNCTION("""COMPUTED_VALUE"""),49.667991258615494)</f>
        <v>49.66799126</v>
      </c>
      <c r="E434" s="66">
        <f>IFERROR(__xludf.DUMMYFUNCTION("""COMPUTED_VALUE"""),52.0)</f>
        <v>52</v>
      </c>
    </row>
    <row r="435">
      <c r="A435" s="55" t="str">
        <f>IFERROR(__xludf.DUMMYFUNCTION("""COMPUTED_VALUE"""),"RSC001114")</f>
        <v>RSC001114</v>
      </c>
      <c r="B435" s="60" t="str">
        <f>IFERROR(__xludf.DUMMYFUNCTION("""COMPUTED_VALUE"""),"ASHES.")</f>
        <v>ASHES.</v>
      </c>
      <c r="C435" s="55" t="str">
        <f>IFERROR(__xludf.DUMMYFUNCTION("""COMPUTED_VALUE"""),"Premier")</f>
        <v>Premier</v>
      </c>
      <c r="D435" s="65">
        <f>IFERROR(__xludf.DUMMYFUNCTION("""COMPUTED_VALUE"""),43.695395787235114)</f>
        <v>43.69539579</v>
      </c>
      <c r="E435" s="66">
        <f>IFERROR(__xludf.DUMMYFUNCTION("""COMPUTED_VALUE"""),48.0)</f>
        <v>48</v>
      </c>
    </row>
    <row r="436">
      <c r="A436" s="55" t="str">
        <f>IFERROR(__xludf.DUMMYFUNCTION("""COMPUTED_VALUE"""),"RSC000618")</f>
        <v>RSC000618</v>
      </c>
      <c r="B436" s="60" t="str">
        <f>IFERROR(__xludf.DUMMYFUNCTION("""COMPUTED_VALUE"""),"Taelo")</f>
        <v>Taelo</v>
      </c>
      <c r="C436" s="55" t="str">
        <f>IFERROR(__xludf.DUMMYFUNCTION("""COMPUTED_VALUE"""),"Premier")</f>
        <v>Premier</v>
      </c>
      <c r="D436" s="65">
        <f>IFERROR(__xludf.DUMMYFUNCTION("""COMPUTED_VALUE"""),42.61881876358929)</f>
        <v>42.61881876</v>
      </c>
      <c r="E436" s="66">
        <f>IFERROR(__xludf.DUMMYFUNCTION("""COMPUTED_VALUE"""),56.0)</f>
        <v>56</v>
      </c>
    </row>
    <row r="437">
      <c r="A437" s="55" t="str">
        <f>IFERROR(__xludf.DUMMYFUNCTION("""COMPUTED_VALUE"""),"RSC005320")</f>
        <v>RSC005320</v>
      </c>
      <c r="B437" s="60" t="str">
        <f>IFERROR(__xludf.DUMMYFUNCTION("""COMPUTED_VALUE"""),"MaggieZerua")</f>
        <v>MaggieZerua</v>
      </c>
      <c r="C437" s="55" t="str">
        <f>IFERROR(__xludf.DUMMYFUNCTION("""COMPUTED_VALUE"""),"Premier")</f>
        <v>Premier</v>
      </c>
      <c r="D437" s="65">
        <f>IFERROR(__xludf.DUMMYFUNCTION("""COMPUTED_VALUE"""),40.819310189028755)</f>
        <v>40.81931019</v>
      </c>
      <c r="E437" s="66">
        <f>IFERROR(__xludf.DUMMYFUNCTION("""COMPUTED_VALUE"""),35.0)</f>
        <v>35</v>
      </c>
    </row>
    <row r="438">
      <c r="A438" s="55" t="str">
        <f>IFERROR(__xludf.DUMMYFUNCTION("""COMPUTED_VALUE"""),"RSC008413")</f>
        <v>RSC008413</v>
      </c>
      <c r="B438" s="60" t="str">
        <f>IFERROR(__xludf.DUMMYFUNCTION("""COMPUTED_VALUE"""),"Duck")</f>
        <v>Duck</v>
      </c>
      <c r="C438" s="55" t="str">
        <f>IFERROR(__xludf.DUMMYFUNCTION("""COMPUTED_VALUE"""),"Premier")</f>
        <v>Premier</v>
      </c>
      <c r="D438" s="65">
        <f>IFERROR(__xludf.DUMMYFUNCTION("""COMPUTED_VALUE"""),40.331250319626285)</f>
        <v>40.33125032</v>
      </c>
      <c r="E438" s="66">
        <f>IFERROR(__xludf.DUMMYFUNCTION("""COMPUTED_VALUE"""),48.0)</f>
        <v>48</v>
      </c>
    </row>
    <row r="439">
      <c r="A439" s="55" t="str">
        <f>IFERROR(__xludf.DUMMYFUNCTION("""COMPUTED_VALUE"""),"RSC006952")</f>
        <v>RSC006952</v>
      </c>
      <c r="B439" s="60" t="str">
        <f>IFERROR(__xludf.DUMMYFUNCTION("""COMPUTED_VALUE"""),"end of navegelion")</f>
        <v>end of navegelion</v>
      </c>
      <c r="C439" s="55" t="str">
        <f>IFERROR(__xludf.DUMMYFUNCTION("""COMPUTED_VALUE"""),"Premier")</f>
        <v>Premier</v>
      </c>
      <c r="D439" s="65">
        <f>IFERROR(__xludf.DUMMYFUNCTION("""COMPUTED_VALUE"""),39.885763383664916)</f>
        <v>39.88576338</v>
      </c>
      <c r="E439" s="66">
        <f>IFERROR(__xludf.DUMMYFUNCTION("""COMPUTED_VALUE"""),40.0)</f>
        <v>40</v>
      </c>
    </row>
    <row r="440">
      <c r="A440" s="55" t="str">
        <f>IFERROR(__xludf.DUMMYFUNCTION("""COMPUTED_VALUE"""),"RSC005340")</f>
        <v>RSC005340</v>
      </c>
      <c r="B440" s="60" t="str">
        <f>IFERROR(__xludf.DUMMYFUNCTION("""COMPUTED_VALUE"""),"Mystikal")</f>
        <v>Mystikal</v>
      </c>
      <c r="C440" s="55" t="str">
        <f>IFERROR(__xludf.DUMMYFUNCTION("""COMPUTED_VALUE"""),"Premier")</f>
        <v>Premier</v>
      </c>
      <c r="D440" s="65">
        <f>IFERROR(__xludf.DUMMYFUNCTION("""COMPUTED_VALUE"""),39.02169839098516)</f>
        <v>39.02169839</v>
      </c>
      <c r="E440" s="66">
        <f>IFERROR(__xludf.DUMMYFUNCTION("""COMPUTED_VALUE"""),44.0)</f>
        <v>44</v>
      </c>
    </row>
    <row r="441">
      <c r="A441" s="55" t="str">
        <f>IFERROR(__xludf.DUMMYFUNCTION("""COMPUTED_VALUE"""),"RSC002050")</f>
        <v>RSC002050</v>
      </c>
      <c r="B441" s="60" t="str">
        <f>IFERROR(__xludf.DUMMYFUNCTION("""COMPUTED_VALUE"""),"Goobz")</f>
        <v>Goobz</v>
      </c>
      <c r="C441" s="55" t="str">
        <f>IFERROR(__xludf.DUMMYFUNCTION("""COMPUTED_VALUE"""),"Premier")</f>
        <v>Premier</v>
      </c>
      <c r="D441" s="65">
        <f>IFERROR(__xludf.DUMMYFUNCTION("""COMPUTED_VALUE"""),37.52572764523618)</f>
        <v>37.52572765</v>
      </c>
      <c r="E441" s="66">
        <f>IFERROR(__xludf.DUMMYFUNCTION("""COMPUTED_VALUE"""),30.0)</f>
        <v>30</v>
      </c>
    </row>
    <row r="442">
      <c r="A442" s="55" t="str">
        <f>IFERROR(__xludf.DUMMYFUNCTION("""COMPUTED_VALUE"""),"RSC006677")</f>
        <v>RSC006677</v>
      </c>
      <c r="B442" s="60" t="str">
        <f>IFERROR(__xludf.DUMMYFUNCTION("""COMPUTED_VALUE"""),"Luigi")</f>
        <v>Luigi</v>
      </c>
      <c r="C442" s="55" t="str">
        <f>IFERROR(__xludf.DUMMYFUNCTION("""COMPUTED_VALUE"""),"Premier")</f>
        <v>Premier</v>
      </c>
      <c r="D442" s="65">
        <f>IFERROR(__xludf.DUMMYFUNCTION("""COMPUTED_VALUE"""),36.232244345705766)</f>
        <v>36.23224435</v>
      </c>
      <c r="E442" s="66">
        <f>IFERROR(__xludf.DUMMYFUNCTION("""COMPUTED_VALUE"""),48.0)</f>
        <v>48</v>
      </c>
    </row>
    <row r="443">
      <c r="A443" s="55" t="str">
        <f>IFERROR(__xludf.DUMMYFUNCTION("""COMPUTED_VALUE"""),"RSC003804")</f>
        <v>RSC003804</v>
      </c>
      <c r="B443" s="60" t="str">
        <f>IFERROR(__xludf.DUMMYFUNCTION("""COMPUTED_VALUE"""),"ayylo")</f>
        <v>ayylo</v>
      </c>
      <c r="C443" s="55" t="str">
        <f>IFERROR(__xludf.DUMMYFUNCTION("""COMPUTED_VALUE"""),"Premier")</f>
        <v>Premier</v>
      </c>
      <c r="D443" s="65">
        <f>IFERROR(__xludf.DUMMYFUNCTION("""COMPUTED_VALUE"""),34.528069140856)</f>
        <v>34.52806914</v>
      </c>
      <c r="E443" s="66">
        <f>IFERROR(__xludf.DUMMYFUNCTION("""COMPUTED_VALUE"""),23.0)</f>
        <v>23</v>
      </c>
    </row>
    <row r="444">
      <c r="A444" s="55" t="str">
        <f>IFERROR(__xludf.DUMMYFUNCTION("""COMPUTED_VALUE"""),"RSC001903")</f>
        <v>RSC001903</v>
      </c>
      <c r="B444" s="60" t="str">
        <f>IFERROR(__xludf.DUMMYFUNCTION("""COMPUTED_VALUE"""),"Plasma")</f>
        <v>Plasma</v>
      </c>
      <c r="C444" s="55" t="str">
        <f>IFERROR(__xludf.DUMMYFUNCTION("""COMPUTED_VALUE"""),"Premier")</f>
        <v>Premier</v>
      </c>
      <c r="D444" s="65">
        <f>IFERROR(__xludf.DUMMYFUNCTION("""COMPUTED_VALUE"""),33.2533728574935)</f>
        <v>33.25337286</v>
      </c>
      <c r="E444" s="66">
        <f>IFERROR(__xludf.DUMMYFUNCTION("""COMPUTED_VALUE"""),35.0)</f>
        <v>35</v>
      </c>
    </row>
    <row r="445">
      <c r="A445" s="55" t="str">
        <f>IFERROR(__xludf.DUMMYFUNCTION("""COMPUTED_VALUE"""),"RSC008424")</f>
        <v>RSC008424</v>
      </c>
      <c r="B445" s="60" t="str">
        <f>IFERROR(__xludf.DUMMYFUNCTION("""COMPUTED_VALUE"""),"Kev.")</f>
        <v>Kev.</v>
      </c>
      <c r="C445" s="55" t="str">
        <f>IFERROR(__xludf.DUMMYFUNCTION("""COMPUTED_VALUE"""),"Premier")</f>
        <v>Premier</v>
      </c>
      <c r="D445" s="65">
        <f>IFERROR(__xludf.DUMMYFUNCTION("""COMPUTED_VALUE"""),32.22798123407678)</f>
        <v>32.22798123</v>
      </c>
      <c r="E445" s="66">
        <f>IFERROR(__xludf.DUMMYFUNCTION("""COMPUTED_VALUE"""),5.0)</f>
        <v>5</v>
      </c>
    </row>
    <row r="446">
      <c r="A446" s="55" t="str">
        <f>IFERROR(__xludf.DUMMYFUNCTION("""COMPUTED_VALUE"""),"RSC008604")</f>
        <v>RSC008604</v>
      </c>
      <c r="B446" s="60" t="str">
        <f>IFERROR(__xludf.DUMMYFUNCTION("""COMPUTED_VALUE"""),"grogǃ")</f>
        <v>grogǃ</v>
      </c>
      <c r="C446" s="55" t="str">
        <f>IFERROR(__xludf.DUMMYFUNCTION("""COMPUTED_VALUE"""),"Premier")</f>
        <v>Premier</v>
      </c>
      <c r="D446" s="65">
        <f>IFERROR(__xludf.DUMMYFUNCTION("""COMPUTED_VALUE"""),31.15593944039609)</f>
        <v>31.15593944</v>
      </c>
      <c r="E446" s="66">
        <f>IFERROR(__xludf.DUMMYFUNCTION("""COMPUTED_VALUE"""),4.0)</f>
        <v>4</v>
      </c>
    </row>
    <row r="447">
      <c r="A447" s="55" t="str">
        <f>IFERROR(__xludf.DUMMYFUNCTION("""COMPUTED_VALUE"""),"RSC001977")</f>
        <v>RSC001977</v>
      </c>
      <c r="B447" s="60" t="str">
        <f>IFERROR(__xludf.DUMMYFUNCTION("""COMPUTED_VALUE"""),"T.")</f>
        <v>T.</v>
      </c>
      <c r="C447" s="55" t="str">
        <f>IFERROR(__xludf.DUMMYFUNCTION("""COMPUTED_VALUE"""),"Premier")</f>
        <v>Premier</v>
      </c>
      <c r="D447" s="65">
        <f>IFERROR(__xludf.DUMMYFUNCTION("""COMPUTED_VALUE"""),29.33959257291134)</f>
        <v>29.33959257</v>
      </c>
      <c r="E447" s="66">
        <f>IFERROR(__xludf.DUMMYFUNCTION("""COMPUTED_VALUE"""),45.0)</f>
        <v>45</v>
      </c>
    </row>
    <row r="448">
      <c r="A448" s="55" t="str">
        <f>IFERROR(__xludf.DUMMYFUNCTION("""COMPUTED_VALUE"""),"RSC008347")</f>
        <v>RSC008347</v>
      </c>
      <c r="B448" s="60" t="str">
        <f>IFERROR(__xludf.DUMMYFUNCTION("""COMPUTED_VALUE"""),"kor")</f>
        <v>kor</v>
      </c>
      <c r="C448" s="55" t="str">
        <f>IFERROR(__xludf.DUMMYFUNCTION("""COMPUTED_VALUE"""),"Premier")</f>
        <v>Premier</v>
      </c>
      <c r="D448" s="65">
        <f>IFERROR(__xludf.DUMMYFUNCTION("""COMPUTED_VALUE"""),21.222862892605924)</f>
        <v>21.22286289</v>
      </c>
      <c r="E448" s="66">
        <f>IFERROR(__xludf.DUMMYFUNCTION("""COMPUTED_VALUE"""),4.0)</f>
        <v>4</v>
      </c>
    </row>
    <row r="449">
      <c r="A449" s="55" t="str">
        <f>IFERROR(__xludf.DUMMYFUNCTION("""COMPUTED_VALUE"""),"RSC005187")</f>
        <v>RSC005187</v>
      </c>
      <c r="B449" s="60" t="str">
        <f>IFERROR(__xludf.DUMMYFUNCTION("""COMPUTED_VALUE"""),"Karistafir al-nadim")</f>
        <v>Karistafir al-nadim</v>
      </c>
      <c r="C449" s="55" t="str">
        <f>IFERROR(__xludf.DUMMYFUNCTION("""COMPUTED_VALUE"""),"Premier")</f>
        <v>Premier</v>
      </c>
      <c r="D449" s="65">
        <f>IFERROR(__xludf.DUMMYFUNCTION("""COMPUTED_VALUE"""),19.64579718873419)</f>
        <v>19.64579719</v>
      </c>
      <c r="E449" s="66">
        <f>IFERROR(__xludf.DUMMYFUNCTION("""COMPUTED_VALUE"""),12.0)</f>
        <v>12</v>
      </c>
    </row>
    <row r="450">
      <c r="A450" s="55" t="str">
        <f>IFERROR(__xludf.DUMMYFUNCTION("""COMPUTED_VALUE"""),"RSC008094")</f>
        <v>RSC008094</v>
      </c>
      <c r="B450" s="60" t="str">
        <f>IFERROR(__xludf.DUMMYFUNCTION("""COMPUTED_VALUE"""),"JoshuaNaoki")</f>
        <v>JoshuaNaoki</v>
      </c>
      <c r="C450" s="55" t="str">
        <f>IFERROR(__xludf.DUMMYFUNCTION("""COMPUTED_VALUE"""),"Premier")</f>
        <v>Premier</v>
      </c>
      <c r="D450" s="65">
        <f>IFERROR(__xludf.DUMMYFUNCTION("""COMPUTED_VALUE"""),19.36559219800348)</f>
        <v>19.3655922</v>
      </c>
      <c r="E450" s="66">
        <f>IFERROR(__xludf.DUMMYFUNCTION("""COMPUTED_VALUE"""),49.0)</f>
        <v>49</v>
      </c>
    </row>
    <row r="451">
      <c r="A451" s="55" t="str">
        <f>IFERROR(__xludf.DUMMYFUNCTION("""COMPUTED_VALUE"""),"RSC008285")</f>
        <v>RSC008285</v>
      </c>
      <c r="B451" s="60" t="str">
        <f>IFERROR(__xludf.DUMMYFUNCTION("""COMPUTED_VALUE"""),"ChiRho_-")</f>
        <v>ChiRho_-</v>
      </c>
      <c r="C451" s="55" t="str">
        <f>IFERROR(__xludf.DUMMYFUNCTION("""COMPUTED_VALUE"""),"Premier")</f>
        <v>Premier</v>
      </c>
      <c r="D451" s="65">
        <f>IFERROR(__xludf.DUMMYFUNCTION("""COMPUTED_VALUE"""),17.3041148931364)</f>
        <v>17.30411489</v>
      </c>
      <c r="E451" s="66">
        <f>IFERROR(__xludf.DUMMYFUNCTION("""COMPUTED_VALUE"""),12.0)</f>
        <v>12</v>
      </c>
    </row>
    <row r="452">
      <c r="A452" s="55" t="str">
        <f>IFERROR(__xludf.DUMMYFUNCTION("""COMPUTED_VALUE"""),"RSC000657")</f>
        <v>RSC000657</v>
      </c>
      <c r="B452" s="60" t="str">
        <f>IFERROR(__xludf.DUMMYFUNCTION("""COMPUTED_VALUE"""),"Saucey")</f>
        <v>Saucey</v>
      </c>
      <c r="C452" s="55" t="str">
        <f>IFERROR(__xludf.DUMMYFUNCTION("""COMPUTED_VALUE"""),"Premier")</f>
        <v>Premier</v>
      </c>
      <c r="D452" s="65">
        <f>IFERROR(__xludf.DUMMYFUNCTION("""COMPUTED_VALUE"""),12.850663321194688)</f>
        <v>12.85066332</v>
      </c>
      <c r="E452" s="66">
        <f>IFERROR(__xludf.DUMMYFUNCTION("""COMPUTED_VALUE"""),2.0)</f>
        <v>2</v>
      </c>
    </row>
    <row r="453">
      <c r="A453" s="55" t="str">
        <f>IFERROR(__xludf.DUMMYFUNCTION("""COMPUTED_VALUE"""),"RSC000996")</f>
        <v>RSC000996</v>
      </c>
      <c r="B453" s="60" t="str">
        <f>IFERROR(__xludf.DUMMYFUNCTION("""COMPUTED_VALUE"""),"GreenSleeves")</f>
        <v>GreenSleeves</v>
      </c>
      <c r="C453" s="55" t="str">
        <f>IFERROR(__xludf.DUMMYFUNCTION("""COMPUTED_VALUE"""),"Premier")</f>
        <v>Premier</v>
      </c>
      <c r="D453" s="65">
        <f>IFERROR(__xludf.DUMMYFUNCTION("""COMPUTED_VALUE"""),5.837616560378315)</f>
        <v>5.83761656</v>
      </c>
      <c r="E453" s="66">
        <f>IFERROR(__xludf.DUMMYFUNCTION("""COMPUTED_VALUE"""),14.0)</f>
        <v>14</v>
      </c>
    </row>
    <row r="454">
      <c r="A454" s="55" t="str">
        <f>IFERROR(__xludf.DUMMYFUNCTION("""COMPUTED_VALUE"""),"RSC007924")</f>
        <v>RSC007924</v>
      </c>
      <c r="B454" s="60" t="str">
        <f>IFERROR(__xludf.DUMMYFUNCTION("""COMPUTED_VALUE"""),"Kaorix")</f>
        <v>Kaorix</v>
      </c>
      <c r="C454" s="55" t="str">
        <f>IFERROR(__xludf.DUMMYFUNCTION("""COMPUTED_VALUE"""),"Premier")</f>
        <v>Premier</v>
      </c>
      <c r="D454" s="65">
        <f>IFERROR(__xludf.DUMMYFUNCTION("""COMPUTED_VALUE"""),4.523711638573232)</f>
        <v>4.523711639</v>
      </c>
      <c r="E454" s="66">
        <f>IFERROR(__xludf.DUMMYFUNCTION("""COMPUTED_VALUE"""),12.0)</f>
        <v>12</v>
      </c>
    </row>
    <row r="455">
      <c r="A455" s="55" t="str">
        <f>IFERROR(__xludf.DUMMYFUNCTION("""COMPUTED_VALUE"""),"RSC000379")</f>
        <v>RSC000379</v>
      </c>
      <c r="B455" s="60" t="str">
        <f>IFERROR(__xludf.DUMMYFUNCTION("""COMPUTED_VALUE"""),"DrizzyJ")</f>
        <v>DrizzyJ</v>
      </c>
      <c r="C455" s="55" t="str">
        <f>IFERROR(__xludf.DUMMYFUNCTION("""COMPUTED_VALUE"""),"Prospect")</f>
        <v>Prospect</v>
      </c>
      <c r="D455" s="65">
        <f>IFERROR(__xludf.DUMMYFUNCTION("""COMPUTED_VALUE"""),119.23921706082918)</f>
        <v>119.2392171</v>
      </c>
      <c r="E455" s="66">
        <f>IFERROR(__xludf.DUMMYFUNCTION("""COMPUTED_VALUE"""),52.0)</f>
        <v>52</v>
      </c>
    </row>
    <row r="456">
      <c r="A456" s="55" t="str">
        <f>IFERROR(__xludf.DUMMYFUNCTION("""COMPUTED_VALUE"""),"RSC008257")</f>
        <v>RSC008257</v>
      </c>
      <c r="B456" s="60" t="str">
        <f>IFERROR(__xludf.DUMMYFUNCTION("""COMPUTED_VALUE"""),"Arana6059")</f>
        <v>Arana6059</v>
      </c>
      <c r="C456" s="55" t="str">
        <f>IFERROR(__xludf.DUMMYFUNCTION("""COMPUTED_VALUE"""),"Prospect")</f>
        <v>Prospect</v>
      </c>
      <c r="D456" s="65">
        <f>IFERROR(__xludf.DUMMYFUNCTION("""COMPUTED_VALUE"""),87.29457494176441)</f>
        <v>87.29457494</v>
      </c>
      <c r="E456" s="66">
        <f>IFERROR(__xludf.DUMMYFUNCTION("""COMPUTED_VALUE"""),31.0)</f>
        <v>31</v>
      </c>
    </row>
    <row r="457">
      <c r="A457" s="55" t="str">
        <f>IFERROR(__xludf.DUMMYFUNCTION("""COMPUTED_VALUE"""),"RSC006919")</f>
        <v>RSC006919</v>
      </c>
      <c r="B457" s="60" t="str">
        <f>IFERROR(__xludf.DUMMYFUNCTION("""COMPUTED_VALUE"""),"rinny_b0y")</f>
        <v>rinny_b0y</v>
      </c>
      <c r="C457" s="55" t="str">
        <f>IFERROR(__xludf.DUMMYFUNCTION("""COMPUTED_VALUE"""),"Prospect")</f>
        <v>Prospect</v>
      </c>
      <c r="D457" s="65">
        <f>IFERROR(__xludf.DUMMYFUNCTION("""COMPUTED_VALUE"""),84.85012689668736)</f>
        <v>84.8501269</v>
      </c>
      <c r="E457" s="66">
        <f>IFERROR(__xludf.DUMMYFUNCTION("""COMPUTED_VALUE"""),39.0)</f>
        <v>39</v>
      </c>
    </row>
    <row r="458">
      <c r="A458" s="55" t="str">
        <f>IFERROR(__xludf.DUMMYFUNCTION("""COMPUTED_VALUE"""),"RSC002494")</f>
        <v>RSC002494</v>
      </c>
      <c r="B458" s="60" t="str">
        <f>IFERROR(__xludf.DUMMYFUNCTION("""COMPUTED_VALUE"""),"lone wolf")</f>
        <v>lone wolf</v>
      </c>
      <c r="C458" s="55" t="str">
        <f>IFERROR(__xludf.DUMMYFUNCTION("""COMPUTED_VALUE"""),"Prospect")</f>
        <v>Prospect</v>
      </c>
      <c r="D458" s="65">
        <f>IFERROR(__xludf.DUMMYFUNCTION("""COMPUTED_VALUE"""),80.59772362117498)</f>
        <v>80.59772362</v>
      </c>
      <c r="E458" s="66">
        <f>IFERROR(__xludf.DUMMYFUNCTION("""COMPUTED_VALUE"""),39.0)</f>
        <v>39</v>
      </c>
    </row>
    <row r="459">
      <c r="A459" s="55" t="str">
        <f>IFERROR(__xludf.DUMMYFUNCTION("""COMPUTED_VALUE"""),"RSC000686")</f>
        <v>RSC000686</v>
      </c>
      <c r="B459" s="60" t="str">
        <f>IFERROR(__xludf.DUMMYFUNCTION("""COMPUTED_VALUE"""),"mom jeans xl")</f>
        <v>mom jeans xl</v>
      </c>
      <c r="C459" s="55" t="str">
        <f>IFERROR(__xludf.DUMMYFUNCTION("""COMPUTED_VALUE"""),"Prospect")</f>
        <v>Prospect</v>
      </c>
      <c r="D459" s="65">
        <f>IFERROR(__xludf.DUMMYFUNCTION("""COMPUTED_VALUE"""),74.37901876304339)</f>
        <v>74.37901876</v>
      </c>
      <c r="E459" s="66">
        <f>IFERROR(__xludf.DUMMYFUNCTION("""COMPUTED_VALUE"""),44.0)</f>
        <v>44</v>
      </c>
    </row>
    <row r="460">
      <c r="A460" s="55" t="str">
        <f>IFERROR(__xludf.DUMMYFUNCTION("""COMPUTED_VALUE"""),"RSC008187")</f>
        <v>RSC008187</v>
      </c>
      <c r="B460" s="60" t="str">
        <f>IFERROR(__xludf.DUMMYFUNCTION("""COMPUTED_VALUE"""),"Tonini08")</f>
        <v>Tonini08</v>
      </c>
      <c r="C460" s="55" t="str">
        <f>IFERROR(__xludf.DUMMYFUNCTION("""COMPUTED_VALUE"""),"Prospect")</f>
        <v>Prospect</v>
      </c>
      <c r="D460" s="65">
        <f>IFERROR(__xludf.DUMMYFUNCTION("""COMPUTED_VALUE"""),74.13827020046662)</f>
        <v>74.1382702</v>
      </c>
      <c r="E460" s="66">
        <f>IFERROR(__xludf.DUMMYFUNCTION("""COMPUTED_VALUE"""),55.0)</f>
        <v>55</v>
      </c>
    </row>
    <row r="461">
      <c r="A461" s="55" t="str">
        <f>IFERROR(__xludf.DUMMYFUNCTION("""COMPUTED_VALUE"""),"RSC007372")</f>
        <v>RSC007372</v>
      </c>
      <c r="B461" s="60" t="str">
        <f>IFERROR(__xludf.DUMMYFUNCTION("""COMPUTED_VALUE"""),"Zirr_Grzzlr_onTT")</f>
        <v>Zirr_Grzzlr_onTT</v>
      </c>
      <c r="C461" s="55" t="str">
        <f>IFERROR(__xludf.DUMMYFUNCTION("""COMPUTED_VALUE"""),"Prospect")</f>
        <v>Prospect</v>
      </c>
      <c r="D461" s="65">
        <f>IFERROR(__xludf.DUMMYFUNCTION("""COMPUTED_VALUE"""),73.95382484508382)</f>
        <v>73.95382485</v>
      </c>
      <c r="E461" s="66">
        <f>IFERROR(__xludf.DUMMYFUNCTION("""COMPUTED_VALUE"""),56.0)</f>
        <v>56</v>
      </c>
    </row>
    <row r="462">
      <c r="A462" s="55" t="str">
        <f>IFERROR(__xludf.DUMMYFUNCTION("""COMPUTED_VALUE"""),"RSC001619")</f>
        <v>RSC001619</v>
      </c>
      <c r="B462" s="60" t="str">
        <f>IFERROR(__xludf.DUMMYFUNCTION("""COMPUTED_VALUE"""),"Rob")</f>
        <v>Rob</v>
      </c>
      <c r="C462" s="55" t="str">
        <f>IFERROR(__xludf.DUMMYFUNCTION("""COMPUTED_VALUE"""),"Prospect")</f>
        <v>Prospect</v>
      </c>
      <c r="D462" s="65">
        <f>IFERROR(__xludf.DUMMYFUNCTION("""COMPUTED_VALUE"""),73.7133292249561)</f>
        <v>73.71332922</v>
      </c>
      <c r="E462" s="66">
        <f>IFERROR(__xludf.DUMMYFUNCTION("""COMPUTED_VALUE"""),56.0)</f>
        <v>56</v>
      </c>
    </row>
    <row r="463">
      <c r="A463" s="55" t="str">
        <f>IFERROR(__xludf.DUMMYFUNCTION("""COMPUTED_VALUE"""),"RSC007520")</f>
        <v>RSC007520</v>
      </c>
      <c r="B463" s="60" t="str">
        <f>IFERROR(__xludf.DUMMYFUNCTION("""COMPUTED_VALUE"""),"Blitzzzzz.")</f>
        <v>Blitzzzzz.</v>
      </c>
      <c r="C463" s="55" t="str">
        <f>IFERROR(__xludf.DUMMYFUNCTION("""COMPUTED_VALUE"""),"Prospect")</f>
        <v>Prospect</v>
      </c>
      <c r="D463" s="65">
        <f>IFERROR(__xludf.DUMMYFUNCTION("""COMPUTED_VALUE"""),73.24016735393631)</f>
        <v>73.24016735</v>
      </c>
      <c r="E463" s="66">
        <f>IFERROR(__xludf.DUMMYFUNCTION("""COMPUTED_VALUE"""),56.0)</f>
        <v>56</v>
      </c>
    </row>
    <row r="464">
      <c r="A464" s="55" t="str">
        <f>IFERROR(__xludf.DUMMYFUNCTION("""COMPUTED_VALUE"""),"RSC008431")</f>
        <v>RSC008431</v>
      </c>
      <c r="B464" s="60" t="str">
        <f>IFERROR(__xludf.DUMMYFUNCTION("""COMPUTED_VALUE"""),"Wildragon112")</f>
        <v>Wildragon112</v>
      </c>
      <c r="C464" s="55" t="str">
        <f>IFERROR(__xludf.DUMMYFUNCTION("""COMPUTED_VALUE"""),"Prospect")</f>
        <v>Prospect</v>
      </c>
      <c r="D464" s="65">
        <f>IFERROR(__xludf.DUMMYFUNCTION("""COMPUTED_VALUE"""),72.9116990650626)</f>
        <v>72.91169907</v>
      </c>
      <c r="E464" s="66">
        <f>IFERROR(__xludf.DUMMYFUNCTION("""COMPUTED_VALUE"""),50.0)</f>
        <v>50</v>
      </c>
    </row>
    <row r="465">
      <c r="A465" s="55" t="str">
        <f>IFERROR(__xludf.DUMMYFUNCTION("""COMPUTED_VALUE"""),"RSC008106")</f>
        <v>RSC008106</v>
      </c>
      <c r="B465" s="60" t="str">
        <f>IFERROR(__xludf.DUMMYFUNCTION("""COMPUTED_VALUE"""),"M0USE_1")</f>
        <v>M0USE_1</v>
      </c>
      <c r="C465" s="55" t="str">
        <f>IFERROR(__xludf.DUMMYFUNCTION("""COMPUTED_VALUE"""),"Prospect")</f>
        <v>Prospect</v>
      </c>
      <c r="D465" s="65">
        <f>IFERROR(__xludf.DUMMYFUNCTION("""COMPUTED_VALUE"""),70.80573311154137)</f>
        <v>70.80573311</v>
      </c>
      <c r="E465" s="66">
        <f>IFERROR(__xludf.DUMMYFUNCTION("""COMPUTED_VALUE"""),56.0)</f>
        <v>56</v>
      </c>
    </row>
    <row r="466">
      <c r="A466" s="55" t="str">
        <f>IFERROR(__xludf.DUMMYFUNCTION("""COMPUTED_VALUE"""),"RSC003429")</f>
        <v>RSC003429</v>
      </c>
      <c r="B466" s="60" t="str">
        <f>IFERROR(__xludf.DUMMYFUNCTION("""COMPUTED_VALUE"""),"Gambit")</f>
        <v>Gambit</v>
      </c>
      <c r="C466" s="55" t="str">
        <f>IFERROR(__xludf.DUMMYFUNCTION("""COMPUTED_VALUE"""),"Prospect")</f>
        <v>Prospect</v>
      </c>
      <c r="D466" s="65">
        <f>IFERROR(__xludf.DUMMYFUNCTION("""COMPUTED_VALUE"""),66.86303401514239)</f>
        <v>66.86303402</v>
      </c>
      <c r="E466" s="66">
        <f>IFERROR(__xludf.DUMMYFUNCTION("""COMPUTED_VALUE"""),47.0)</f>
        <v>47</v>
      </c>
    </row>
    <row r="467">
      <c r="A467" s="55" t="str">
        <f>IFERROR(__xludf.DUMMYFUNCTION("""COMPUTED_VALUE"""),"RSC007515")</f>
        <v>RSC007515</v>
      </c>
      <c r="B467" s="60" t="str">
        <f>IFERROR(__xludf.DUMMYFUNCTION("""COMPUTED_VALUE"""),"superstrikzz")</f>
        <v>superstrikzz</v>
      </c>
      <c r="C467" s="55" t="str">
        <f>IFERROR(__xludf.DUMMYFUNCTION("""COMPUTED_VALUE"""),"Prospect")</f>
        <v>Prospect</v>
      </c>
      <c r="D467" s="65">
        <f>IFERROR(__xludf.DUMMYFUNCTION("""COMPUTED_VALUE"""),66.30557537991609)</f>
        <v>66.30557538</v>
      </c>
      <c r="E467" s="66">
        <f>IFERROR(__xludf.DUMMYFUNCTION("""COMPUTED_VALUE"""),50.0)</f>
        <v>50</v>
      </c>
    </row>
    <row r="468">
      <c r="A468" s="55" t="str">
        <f>IFERROR(__xludf.DUMMYFUNCTION("""COMPUTED_VALUE"""),"RSC008323")</f>
        <v>RSC008323</v>
      </c>
      <c r="B468" s="60" t="str">
        <f>IFERROR(__xludf.DUMMYFUNCTION("""COMPUTED_VALUE"""),"Fireburner.")</f>
        <v>Fireburner.</v>
      </c>
      <c r="C468" s="55" t="str">
        <f>IFERROR(__xludf.DUMMYFUNCTION("""COMPUTED_VALUE"""),"Prospect")</f>
        <v>Prospect</v>
      </c>
      <c r="D468" s="65">
        <f>IFERROR(__xludf.DUMMYFUNCTION("""COMPUTED_VALUE"""),65.80658067653717)</f>
        <v>65.80658068</v>
      </c>
      <c r="E468" s="66">
        <f>IFERROR(__xludf.DUMMYFUNCTION("""COMPUTED_VALUE"""),33.0)</f>
        <v>33</v>
      </c>
    </row>
    <row r="469">
      <c r="A469" s="55" t="str">
        <f>IFERROR(__xludf.DUMMYFUNCTION("""COMPUTED_VALUE"""),"RSC008147")</f>
        <v>RSC008147</v>
      </c>
      <c r="B469" s="60" t="str">
        <f>IFERROR(__xludf.DUMMYFUNCTION("""COMPUTED_VALUE"""),"CrucialUrchin")</f>
        <v>CrucialUrchin</v>
      </c>
      <c r="C469" s="55" t="str">
        <f>IFERROR(__xludf.DUMMYFUNCTION("""COMPUTED_VALUE"""),"Prospect")</f>
        <v>Prospect</v>
      </c>
      <c r="D469" s="65">
        <f>IFERROR(__xludf.DUMMYFUNCTION("""COMPUTED_VALUE"""),65.78345844738807)</f>
        <v>65.78345845</v>
      </c>
      <c r="E469" s="66">
        <f>IFERROR(__xludf.DUMMYFUNCTION("""COMPUTED_VALUE"""),9.0)</f>
        <v>9</v>
      </c>
    </row>
    <row r="470">
      <c r="A470" s="55" t="str">
        <f>IFERROR(__xludf.DUMMYFUNCTION("""COMPUTED_VALUE"""),"RSC007958")</f>
        <v>RSC007958</v>
      </c>
      <c r="B470" s="60" t="str">
        <f>IFERROR(__xludf.DUMMYFUNCTION("""COMPUTED_VALUE"""),"SE AT WORK")</f>
        <v>SE AT WORK</v>
      </c>
      <c r="C470" s="55" t="str">
        <f>IFERROR(__xludf.DUMMYFUNCTION("""COMPUTED_VALUE"""),"Prospect")</f>
        <v>Prospect</v>
      </c>
      <c r="D470" s="65">
        <f>IFERROR(__xludf.DUMMYFUNCTION("""COMPUTED_VALUE"""),65.60644422729496)</f>
        <v>65.60644423</v>
      </c>
      <c r="E470" s="66">
        <f>IFERROR(__xludf.DUMMYFUNCTION("""COMPUTED_VALUE"""),48.0)</f>
        <v>48</v>
      </c>
    </row>
    <row r="471">
      <c r="A471" s="55" t="str">
        <f>IFERROR(__xludf.DUMMYFUNCTION("""COMPUTED_VALUE"""),"RSC007886")</f>
        <v>RSC007886</v>
      </c>
      <c r="B471" s="60" t="str">
        <f>IFERROR(__xludf.DUMMYFUNCTION("""COMPUTED_VALUE"""),"Dino incarnate")</f>
        <v>Dino incarnate</v>
      </c>
      <c r="C471" s="55" t="str">
        <f>IFERROR(__xludf.DUMMYFUNCTION("""COMPUTED_VALUE"""),"Prospect")</f>
        <v>Prospect</v>
      </c>
      <c r="D471" s="65">
        <f>IFERROR(__xludf.DUMMYFUNCTION("""COMPUTED_VALUE"""),65.44753980760237)</f>
        <v>65.44753981</v>
      </c>
      <c r="E471" s="66">
        <f>IFERROR(__xludf.DUMMYFUNCTION("""COMPUTED_VALUE"""),48.0)</f>
        <v>48</v>
      </c>
    </row>
    <row r="472">
      <c r="A472" s="55" t="str">
        <f>IFERROR(__xludf.DUMMYFUNCTION("""COMPUTED_VALUE"""),"RSC008245")</f>
        <v>RSC008245</v>
      </c>
      <c r="B472" s="60" t="str">
        <f>IFERROR(__xludf.DUMMYFUNCTION("""COMPUTED_VALUE"""),"j_durv")</f>
        <v>j_durv</v>
      </c>
      <c r="C472" s="55" t="str">
        <f>IFERROR(__xludf.DUMMYFUNCTION("""COMPUTED_VALUE"""),"Prospect")</f>
        <v>Prospect</v>
      </c>
      <c r="D472" s="65">
        <f>IFERROR(__xludf.DUMMYFUNCTION("""COMPUTED_VALUE"""),64.87207055792842)</f>
        <v>64.87207056</v>
      </c>
      <c r="E472" s="66">
        <f>IFERROR(__xludf.DUMMYFUNCTION("""COMPUTED_VALUE"""),49.0)</f>
        <v>49</v>
      </c>
    </row>
    <row r="473">
      <c r="A473" s="55" t="str">
        <f>IFERROR(__xludf.DUMMYFUNCTION("""COMPUTED_VALUE"""),"RSC008418")</f>
        <v>RSC008418</v>
      </c>
      <c r="B473" s="60" t="str">
        <f>IFERROR(__xludf.DUMMYFUNCTION("""COMPUTED_VALUE"""),"I _amDan")</f>
        <v>I _amDan</v>
      </c>
      <c r="C473" s="55" t="str">
        <f>IFERROR(__xludf.DUMMYFUNCTION("""COMPUTED_VALUE"""),"Prospect")</f>
        <v>Prospect</v>
      </c>
      <c r="D473" s="65">
        <f>IFERROR(__xludf.DUMMYFUNCTION("""COMPUTED_VALUE"""),63.912302872025535)</f>
        <v>63.91230287</v>
      </c>
      <c r="E473" s="66">
        <f>IFERROR(__xludf.DUMMYFUNCTION("""COMPUTED_VALUE"""),20.0)</f>
        <v>20</v>
      </c>
    </row>
    <row r="474">
      <c r="A474" s="55" t="str">
        <f>IFERROR(__xludf.DUMMYFUNCTION("""COMPUTED_VALUE"""),"RSC007899")</f>
        <v>RSC007899</v>
      </c>
      <c r="B474" s="60" t="str">
        <f>IFERROR(__xludf.DUMMYFUNCTION("""COMPUTED_VALUE"""),"SeaSpay182009")</f>
        <v>SeaSpay182009</v>
      </c>
      <c r="C474" s="55" t="str">
        <f>IFERROR(__xludf.DUMMYFUNCTION("""COMPUTED_VALUE"""),"Prospect")</f>
        <v>Prospect</v>
      </c>
      <c r="D474" s="65">
        <f>IFERROR(__xludf.DUMMYFUNCTION("""COMPUTED_VALUE"""),63.037023618999584)</f>
        <v>63.03702362</v>
      </c>
      <c r="E474" s="66">
        <f>IFERROR(__xludf.DUMMYFUNCTION("""COMPUTED_VALUE"""),31.0)</f>
        <v>31</v>
      </c>
    </row>
    <row r="475">
      <c r="A475" s="55" t="str">
        <f>IFERROR(__xludf.DUMMYFUNCTION("""COMPUTED_VALUE"""),"RSC002408")</f>
        <v>RSC002408</v>
      </c>
      <c r="B475" s="60" t="str">
        <f>IFERROR(__xludf.DUMMYFUNCTION("""COMPUTED_VALUE"""),"Gmoney")</f>
        <v>Gmoney</v>
      </c>
      <c r="C475" s="55" t="str">
        <f>IFERROR(__xludf.DUMMYFUNCTION("""COMPUTED_VALUE"""),"Prospect")</f>
        <v>Prospect</v>
      </c>
      <c r="D475" s="65">
        <f>IFERROR(__xludf.DUMMYFUNCTION("""COMPUTED_VALUE"""),61.941048305233906)</f>
        <v>61.94104831</v>
      </c>
      <c r="E475" s="66">
        <f>IFERROR(__xludf.DUMMYFUNCTION("""COMPUTED_VALUE"""),55.0)</f>
        <v>55</v>
      </c>
    </row>
    <row r="476">
      <c r="A476" s="55" t="str">
        <f>IFERROR(__xludf.DUMMYFUNCTION("""COMPUTED_VALUE"""),"RSC004012")</f>
        <v>RSC004012</v>
      </c>
      <c r="B476" s="60" t="str">
        <f>IFERROR(__xludf.DUMMYFUNCTION("""COMPUTED_VALUE"""),"kgfan3")</f>
        <v>kgfan3</v>
      </c>
      <c r="C476" s="55" t="str">
        <f>IFERROR(__xludf.DUMMYFUNCTION("""COMPUTED_VALUE"""),"Prospect")</f>
        <v>Prospect</v>
      </c>
      <c r="D476" s="65">
        <f>IFERROR(__xludf.DUMMYFUNCTION("""COMPUTED_VALUE"""),61.42723830706388)</f>
        <v>61.42723831</v>
      </c>
      <c r="E476" s="66">
        <f>IFERROR(__xludf.DUMMYFUNCTION("""COMPUTED_VALUE"""),56.0)</f>
        <v>56</v>
      </c>
    </row>
    <row r="477">
      <c r="A477" s="55" t="str">
        <f>IFERROR(__xludf.DUMMYFUNCTION("""COMPUTED_VALUE"""),"RSC008451")</f>
        <v>RSC008451</v>
      </c>
      <c r="B477" s="60" t="str">
        <f>IFERROR(__xludf.DUMMYFUNCTION("""COMPUTED_VALUE"""),"RyGuy2flie")</f>
        <v>RyGuy2flie</v>
      </c>
      <c r="C477" s="55" t="str">
        <f>IFERROR(__xludf.DUMMYFUNCTION("""COMPUTED_VALUE"""),"Prospect")</f>
        <v>Prospect</v>
      </c>
      <c r="D477" s="65">
        <f>IFERROR(__xludf.DUMMYFUNCTION("""COMPUTED_VALUE"""),60.82738437459247)</f>
        <v>60.82738437</v>
      </c>
      <c r="E477" s="66">
        <f>IFERROR(__xludf.DUMMYFUNCTION("""COMPUTED_VALUE"""),33.0)</f>
        <v>33</v>
      </c>
    </row>
    <row r="478">
      <c r="A478" s="55" t="str">
        <f>IFERROR(__xludf.DUMMYFUNCTION("""COMPUTED_VALUE"""),"RSC006251")</f>
        <v>RSC006251</v>
      </c>
      <c r="B478" s="60" t="str">
        <f>IFERROR(__xludf.DUMMYFUNCTION("""COMPUTED_VALUE"""),"MiniTechniks")</f>
        <v>MiniTechniks</v>
      </c>
      <c r="C478" s="55" t="str">
        <f>IFERROR(__xludf.DUMMYFUNCTION("""COMPUTED_VALUE"""),"Prospect")</f>
        <v>Prospect</v>
      </c>
      <c r="D478" s="65">
        <f>IFERROR(__xludf.DUMMYFUNCTION("""COMPUTED_VALUE"""),60.07318881852102)</f>
        <v>60.07318882</v>
      </c>
      <c r="E478" s="66">
        <f>IFERROR(__xludf.DUMMYFUNCTION("""COMPUTED_VALUE"""),41.0)</f>
        <v>41</v>
      </c>
    </row>
    <row r="479">
      <c r="A479" s="55" t="str">
        <f>IFERROR(__xludf.DUMMYFUNCTION("""COMPUTED_VALUE"""),"RSC008110")</f>
        <v>RSC008110</v>
      </c>
      <c r="B479" s="60" t="str">
        <f>IFERROR(__xludf.DUMMYFUNCTION("""COMPUTED_VALUE"""),"IrishHawk27")</f>
        <v>IrishHawk27</v>
      </c>
      <c r="C479" s="55" t="str">
        <f>IFERROR(__xludf.DUMMYFUNCTION("""COMPUTED_VALUE"""),"Prospect")</f>
        <v>Prospect</v>
      </c>
      <c r="D479" s="65">
        <f>IFERROR(__xludf.DUMMYFUNCTION("""COMPUTED_VALUE"""),58.32404534063537)</f>
        <v>58.32404534</v>
      </c>
      <c r="E479" s="66">
        <f>IFERROR(__xludf.DUMMYFUNCTION("""COMPUTED_VALUE"""),28.0)</f>
        <v>28</v>
      </c>
    </row>
    <row r="480">
      <c r="A480" s="55" t="str">
        <f>IFERROR(__xludf.DUMMYFUNCTION("""COMPUTED_VALUE"""),"RSC004509")</f>
        <v>RSC004509</v>
      </c>
      <c r="B480" s="60" t="str">
        <f>IFERROR(__xludf.DUMMYFUNCTION("""COMPUTED_VALUE"""),"tazlien")</f>
        <v>tazlien</v>
      </c>
      <c r="C480" s="55" t="str">
        <f>IFERROR(__xludf.DUMMYFUNCTION("""COMPUTED_VALUE"""),"Prospect")</f>
        <v>Prospect</v>
      </c>
      <c r="D480" s="65">
        <f>IFERROR(__xludf.DUMMYFUNCTION("""COMPUTED_VALUE"""),55.990597110770864)</f>
        <v>55.99059711</v>
      </c>
      <c r="E480" s="66">
        <f>IFERROR(__xludf.DUMMYFUNCTION("""COMPUTED_VALUE"""),15.0)</f>
        <v>15</v>
      </c>
    </row>
    <row r="481">
      <c r="A481" s="55" t="str">
        <f>IFERROR(__xludf.DUMMYFUNCTION("""COMPUTED_VALUE"""),"RSC008470")</f>
        <v>RSC008470</v>
      </c>
      <c r="B481" s="60" t="str">
        <f>IFERROR(__xludf.DUMMYFUNCTION("""COMPUTED_VALUE"""),"ReaperXD97")</f>
        <v>ReaperXD97</v>
      </c>
      <c r="C481" s="55" t="str">
        <f>IFERROR(__xludf.DUMMYFUNCTION("""COMPUTED_VALUE"""),"Prospect")</f>
        <v>Prospect</v>
      </c>
      <c r="D481" s="65">
        <f>IFERROR(__xludf.DUMMYFUNCTION("""COMPUTED_VALUE"""),55.7859619873755)</f>
        <v>55.78596199</v>
      </c>
      <c r="E481" s="66">
        <f>IFERROR(__xludf.DUMMYFUNCTION("""COMPUTED_VALUE"""),39.0)</f>
        <v>39</v>
      </c>
    </row>
    <row r="482">
      <c r="A482" s="55" t="str">
        <f>IFERROR(__xludf.DUMMYFUNCTION("""COMPUTED_VALUE"""),"RSC006256")</f>
        <v>RSC006256</v>
      </c>
      <c r="B482" s="60" t="str">
        <f>IFERROR(__xludf.DUMMYFUNCTION("""COMPUTED_VALUE"""),"Casca .")</f>
        <v>Casca .</v>
      </c>
      <c r="C482" s="55" t="str">
        <f>IFERROR(__xludf.DUMMYFUNCTION("""COMPUTED_VALUE"""),"Prospect")</f>
        <v>Prospect</v>
      </c>
      <c r="D482" s="65">
        <f>IFERROR(__xludf.DUMMYFUNCTION("""COMPUTED_VALUE"""),54.31992577543638)</f>
        <v>54.31992578</v>
      </c>
      <c r="E482" s="66">
        <f>IFERROR(__xludf.DUMMYFUNCTION("""COMPUTED_VALUE"""),56.0)</f>
        <v>56</v>
      </c>
    </row>
    <row r="483">
      <c r="A483" s="55" t="str">
        <f>IFERROR(__xludf.DUMMYFUNCTION("""COMPUTED_VALUE"""),"RSC005252")</f>
        <v>RSC005252</v>
      </c>
      <c r="B483" s="60" t="str">
        <f>IFERROR(__xludf.DUMMYFUNCTION("""COMPUTED_VALUE"""),"MysticMax07")</f>
        <v>MysticMax07</v>
      </c>
      <c r="C483" s="55" t="str">
        <f>IFERROR(__xludf.DUMMYFUNCTION("""COMPUTED_VALUE"""),"Prospect")</f>
        <v>Prospect</v>
      </c>
      <c r="D483" s="65">
        <f>IFERROR(__xludf.DUMMYFUNCTION("""COMPUTED_VALUE"""),53.75147787554934)</f>
        <v>53.75147788</v>
      </c>
      <c r="E483" s="66">
        <f>IFERROR(__xludf.DUMMYFUNCTION("""COMPUTED_VALUE"""),55.0)</f>
        <v>55</v>
      </c>
    </row>
    <row r="484">
      <c r="A484" s="55" t="str">
        <f>IFERROR(__xludf.DUMMYFUNCTION("""COMPUTED_VALUE"""),"RSC005335")</f>
        <v>RSC005335</v>
      </c>
      <c r="B484" s="60" t="str">
        <f>IFERROR(__xludf.DUMMYFUNCTION("""COMPUTED_VALUE"""),"R4p")</f>
        <v>R4p</v>
      </c>
      <c r="C484" s="55" t="str">
        <f>IFERROR(__xludf.DUMMYFUNCTION("""COMPUTED_VALUE"""),"Prospect")</f>
        <v>Prospect</v>
      </c>
      <c r="D484" s="65">
        <f>IFERROR(__xludf.DUMMYFUNCTION("""COMPUTED_VALUE"""),53.69541628054815)</f>
        <v>53.69541628</v>
      </c>
      <c r="E484" s="66">
        <f>IFERROR(__xludf.DUMMYFUNCTION("""COMPUTED_VALUE"""),1.0)</f>
        <v>1</v>
      </c>
    </row>
    <row r="485">
      <c r="A485" s="55" t="str">
        <f>IFERROR(__xludf.DUMMYFUNCTION("""COMPUTED_VALUE"""),"RSC008471")</f>
        <v>RSC008471</v>
      </c>
      <c r="B485" s="60" t="str">
        <f>IFERROR(__xludf.DUMMYFUNCTION("""COMPUTED_VALUE"""),"TrytonsShadow95")</f>
        <v>TrytonsShadow95</v>
      </c>
      <c r="C485" s="55" t="str">
        <f>IFERROR(__xludf.DUMMYFUNCTION("""COMPUTED_VALUE"""),"Prospect")</f>
        <v>Prospect</v>
      </c>
      <c r="D485" s="65">
        <f>IFERROR(__xludf.DUMMYFUNCTION("""COMPUTED_VALUE"""),52.100287608570824)</f>
        <v>52.10028761</v>
      </c>
      <c r="E485" s="66">
        <f>IFERROR(__xludf.DUMMYFUNCTION("""COMPUTED_VALUE"""),36.0)</f>
        <v>36</v>
      </c>
    </row>
    <row r="486">
      <c r="A486" s="55" t="str">
        <f>IFERROR(__xludf.DUMMYFUNCTION("""COMPUTED_VALUE"""),"RSC008337")</f>
        <v>RSC008337</v>
      </c>
      <c r="B486" s="60" t="str">
        <f>IFERROR(__xludf.DUMMYFUNCTION("""COMPUTED_VALUE"""),"Bblaazee.")</f>
        <v>Bblaazee.</v>
      </c>
      <c r="C486" s="55" t="str">
        <f>IFERROR(__xludf.DUMMYFUNCTION("""COMPUTED_VALUE"""),"Prospect")</f>
        <v>Prospect</v>
      </c>
      <c r="D486" s="65">
        <f>IFERROR(__xludf.DUMMYFUNCTION("""COMPUTED_VALUE"""),51.02009729079174)</f>
        <v>51.02009729</v>
      </c>
      <c r="E486" s="66">
        <f>IFERROR(__xludf.DUMMYFUNCTION("""COMPUTED_VALUE"""),39.0)</f>
        <v>39</v>
      </c>
    </row>
    <row r="487">
      <c r="A487" s="55" t="str">
        <f>IFERROR(__xludf.DUMMYFUNCTION("""COMPUTED_VALUE"""),"RSC006880")</f>
        <v>RSC006880</v>
      </c>
      <c r="B487" s="60" t="str">
        <f>IFERROR(__xludf.DUMMYFUNCTION("""COMPUTED_VALUE"""),"Kenjicat17")</f>
        <v>Kenjicat17</v>
      </c>
      <c r="C487" s="55" t="str">
        <f>IFERROR(__xludf.DUMMYFUNCTION("""COMPUTED_VALUE"""),"Prospect")</f>
        <v>Prospect</v>
      </c>
      <c r="D487" s="65">
        <f>IFERROR(__xludf.DUMMYFUNCTION("""COMPUTED_VALUE"""),49.905722233190225)</f>
        <v>49.90572223</v>
      </c>
      <c r="E487" s="66">
        <f>IFERROR(__xludf.DUMMYFUNCTION("""COMPUTED_VALUE"""),41.0)</f>
        <v>41</v>
      </c>
    </row>
    <row r="488">
      <c r="A488" s="55" t="str">
        <f>IFERROR(__xludf.DUMMYFUNCTION("""COMPUTED_VALUE"""),"RSC008278")</f>
        <v>RSC008278</v>
      </c>
      <c r="B488" s="60" t="str">
        <f>IFERROR(__xludf.DUMMYFUNCTION("""COMPUTED_VALUE"""),"tacosbruh1299")</f>
        <v>tacosbruh1299</v>
      </c>
      <c r="C488" s="55" t="str">
        <f>IFERROR(__xludf.DUMMYFUNCTION("""COMPUTED_VALUE"""),"Prospect")</f>
        <v>Prospect</v>
      </c>
      <c r="D488" s="65">
        <f>IFERROR(__xludf.DUMMYFUNCTION("""COMPUTED_VALUE"""),49.352151701970946)</f>
        <v>49.3521517</v>
      </c>
      <c r="E488" s="66">
        <f>IFERROR(__xludf.DUMMYFUNCTION("""COMPUTED_VALUE"""),52.0)</f>
        <v>52</v>
      </c>
    </row>
    <row r="489">
      <c r="A489" s="55" t="str">
        <f>IFERROR(__xludf.DUMMYFUNCTION("""COMPUTED_VALUE"""),"RSC008370")</f>
        <v>RSC008370</v>
      </c>
      <c r="B489" s="60" t="str">
        <f>IFERROR(__xludf.DUMMYFUNCTION("""COMPUTED_VALUE"""),"Precision")</f>
        <v>Precision</v>
      </c>
      <c r="C489" s="55" t="str">
        <f>IFERROR(__xludf.DUMMYFUNCTION("""COMPUTED_VALUE"""),"Prospect")</f>
        <v>Prospect</v>
      </c>
      <c r="D489" s="65">
        <f>IFERROR(__xludf.DUMMYFUNCTION("""COMPUTED_VALUE"""),48.39195687031621)</f>
        <v>48.39195687</v>
      </c>
      <c r="E489" s="66">
        <f>IFERROR(__xludf.DUMMYFUNCTION("""COMPUTED_VALUE"""),40.0)</f>
        <v>40</v>
      </c>
    </row>
    <row r="490">
      <c r="A490" s="55" t="str">
        <f>IFERROR(__xludf.DUMMYFUNCTION("""COMPUTED_VALUE"""),"RSC008153")</f>
        <v>RSC008153</v>
      </c>
      <c r="B490" s="60" t="str">
        <f>IFERROR(__xludf.DUMMYFUNCTION("""COMPUTED_VALUE"""),"Tyson_WA")</f>
        <v>Tyson_WA</v>
      </c>
      <c r="C490" s="55" t="str">
        <f>IFERROR(__xludf.DUMMYFUNCTION("""COMPUTED_VALUE"""),"Prospect")</f>
        <v>Prospect</v>
      </c>
      <c r="D490" s="65">
        <f>IFERROR(__xludf.DUMMYFUNCTION("""COMPUTED_VALUE"""),45.86345335247999)</f>
        <v>45.86345335</v>
      </c>
      <c r="E490" s="66">
        <f>IFERROR(__xludf.DUMMYFUNCTION("""COMPUTED_VALUE"""),22.0)</f>
        <v>22</v>
      </c>
    </row>
    <row r="491">
      <c r="A491" s="55" t="str">
        <f>IFERROR(__xludf.DUMMYFUNCTION("""COMPUTED_VALUE"""),"RSC005550")</f>
        <v>RSC005550</v>
      </c>
      <c r="B491" s="60" t="str">
        <f>IFERROR(__xludf.DUMMYFUNCTION("""COMPUTED_VALUE"""),"Shraggaholic")</f>
        <v>Shraggaholic</v>
      </c>
      <c r="C491" s="55" t="str">
        <f>IFERROR(__xludf.DUMMYFUNCTION("""COMPUTED_VALUE"""),"Prospect")</f>
        <v>Prospect</v>
      </c>
      <c r="D491" s="65">
        <f>IFERROR(__xludf.DUMMYFUNCTION("""COMPUTED_VALUE"""),42.63878657431152)</f>
        <v>42.63878657</v>
      </c>
      <c r="E491" s="66">
        <f>IFERROR(__xludf.DUMMYFUNCTION("""COMPUTED_VALUE"""),53.0)</f>
        <v>53</v>
      </c>
    </row>
    <row r="492">
      <c r="A492" s="55" t="str">
        <f>IFERROR(__xludf.DUMMYFUNCTION("""COMPUTED_VALUE"""),"RSC006439")</f>
        <v>RSC006439</v>
      </c>
      <c r="B492" s="60" t="str">
        <f>IFERROR(__xludf.DUMMYFUNCTION("""COMPUTED_VALUE"""),"S E L.")</f>
        <v>S E L.</v>
      </c>
      <c r="C492" s="55" t="str">
        <f>IFERROR(__xludf.DUMMYFUNCTION("""COMPUTED_VALUE"""),"Prospect")</f>
        <v>Prospect</v>
      </c>
      <c r="D492" s="65">
        <f>IFERROR(__xludf.DUMMYFUNCTION("""COMPUTED_VALUE"""),41.56191668313326)</f>
        <v>41.56191668</v>
      </c>
      <c r="E492" s="66">
        <f>IFERROR(__xludf.DUMMYFUNCTION("""COMPUTED_VALUE"""),37.0)</f>
        <v>37</v>
      </c>
    </row>
    <row r="493">
      <c r="A493" s="55" t="str">
        <f>IFERROR(__xludf.DUMMYFUNCTION("""COMPUTED_VALUE"""),"RSC007464")</f>
        <v>RSC007464</v>
      </c>
      <c r="B493" s="60" t="str">
        <f>IFERROR(__xludf.DUMMYFUNCTION("""COMPUTED_VALUE"""),"MoonKnight2")</f>
        <v>MoonKnight2</v>
      </c>
      <c r="C493" s="55" t="str">
        <f>IFERROR(__xludf.DUMMYFUNCTION("""COMPUTED_VALUE"""),"Prospect")</f>
        <v>Prospect</v>
      </c>
      <c r="D493" s="65">
        <f>IFERROR(__xludf.DUMMYFUNCTION("""COMPUTED_VALUE"""),40.66067932262952)</f>
        <v>40.66067932</v>
      </c>
      <c r="E493" s="66">
        <f>IFERROR(__xludf.DUMMYFUNCTION("""COMPUTED_VALUE"""),42.0)</f>
        <v>42</v>
      </c>
    </row>
    <row r="494">
      <c r="A494" s="55" t="str">
        <f>IFERROR(__xludf.DUMMYFUNCTION("""COMPUTED_VALUE"""),"RSC000989")</f>
        <v>RSC000989</v>
      </c>
      <c r="B494" s="60" t="str">
        <f>IFERROR(__xludf.DUMMYFUNCTION("""COMPUTED_VALUE"""),"Piky Life88")</f>
        <v>Piky Life88</v>
      </c>
      <c r="C494" s="55" t="str">
        <f>IFERROR(__xludf.DUMMYFUNCTION("""COMPUTED_VALUE"""),"Prospect")</f>
        <v>Prospect</v>
      </c>
      <c r="D494" s="65">
        <f>IFERROR(__xludf.DUMMYFUNCTION("""COMPUTED_VALUE"""),39.437536607350395)</f>
        <v>39.43753661</v>
      </c>
      <c r="E494" s="66">
        <f>IFERROR(__xludf.DUMMYFUNCTION("""COMPUTED_VALUE"""),31.0)</f>
        <v>31</v>
      </c>
    </row>
    <row r="495">
      <c r="A495" s="55" t="str">
        <f>IFERROR(__xludf.DUMMYFUNCTION("""COMPUTED_VALUE"""),"RSC008447")</f>
        <v>RSC008447</v>
      </c>
      <c r="B495" s="60" t="str">
        <f>IFERROR(__xludf.DUMMYFUNCTION("""COMPUTED_VALUE"""),"jim2jam")</f>
        <v>jim2jam</v>
      </c>
      <c r="C495" s="55" t="str">
        <f>IFERROR(__xludf.DUMMYFUNCTION("""COMPUTED_VALUE"""),"Prospect")</f>
        <v>Prospect</v>
      </c>
      <c r="D495" s="65">
        <f>IFERROR(__xludf.DUMMYFUNCTION("""COMPUTED_VALUE"""),35.59300996913369)</f>
        <v>35.59300997</v>
      </c>
      <c r="E495" s="66">
        <f>IFERROR(__xludf.DUMMYFUNCTION("""COMPUTED_VALUE"""),1.0)</f>
        <v>1</v>
      </c>
    </row>
    <row r="496">
      <c r="A496" s="55" t="str">
        <f>IFERROR(__xludf.DUMMYFUNCTION("""COMPUTED_VALUE"""),"RSC005974")</f>
        <v>RSC005974</v>
      </c>
      <c r="B496" s="60" t="str">
        <f>IFERROR(__xludf.DUMMYFUNCTION("""COMPUTED_VALUE"""),"Angry-Hermit")</f>
        <v>Angry-Hermit</v>
      </c>
      <c r="C496" s="55" t="str">
        <f>IFERROR(__xludf.DUMMYFUNCTION("""COMPUTED_VALUE"""),"Prospect")</f>
        <v>Prospect</v>
      </c>
      <c r="D496" s="65">
        <f>IFERROR(__xludf.DUMMYFUNCTION("""COMPUTED_VALUE"""),35.11449393600799)</f>
        <v>35.11449394</v>
      </c>
      <c r="E496" s="66">
        <f>IFERROR(__xludf.DUMMYFUNCTION("""COMPUTED_VALUE"""),36.0)</f>
        <v>36</v>
      </c>
    </row>
    <row r="497">
      <c r="A497" s="55" t="str">
        <f>IFERROR(__xludf.DUMMYFUNCTION("""COMPUTED_VALUE"""),"RSC004879")</f>
        <v>RSC004879</v>
      </c>
      <c r="B497" s="60" t="str">
        <f>IFERROR(__xludf.DUMMYFUNCTION("""COMPUTED_VALUE"""),"DefNotMongo.")</f>
        <v>DefNotMongo.</v>
      </c>
      <c r="C497" s="55" t="str">
        <f>IFERROR(__xludf.DUMMYFUNCTION("""COMPUTED_VALUE"""),"Prospect")</f>
        <v>Prospect</v>
      </c>
      <c r="D497" s="65">
        <f>IFERROR(__xludf.DUMMYFUNCTION("""COMPUTED_VALUE"""),33.1792268784332)</f>
        <v>33.17922688</v>
      </c>
      <c r="E497" s="66">
        <f>IFERROR(__xludf.DUMMYFUNCTION("""COMPUTED_VALUE"""),21.0)</f>
        <v>21</v>
      </c>
    </row>
    <row r="498">
      <c r="A498" s="55" t="str">
        <f>IFERROR(__xludf.DUMMYFUNCTION("""COMPUTED_VALUE"""),"RSC008379")</f>
        <v>RSC008379</v>
      </c>
      <c r="B498" s="60" t="str">
        <f>IFERROR(__xludf.DUMMYFUNCTION("""COMPUTED_VALUE"""),"Caiman")</f>
        <v>Caiman</v>
      </c>
      <c r="C498" s="55" t="str">
        <f>IFERROR(__xludf.DUMMYFUNCTION("""COMPUTED_VALUE"""),"Prospect")</f>
        <v>Prospect</v>
      </c>
      <c r="D498" s="65">
        <f>IFERROR(__xludf.DUMMYFUNCTION("""COMPUTED_VALUE"""),31.316745886227032)</f>
        <v>31.31674589</v>
      </c>
      <c r="E498" s="66">
        <f>IFERROR(__xludf.DUMMYFUNCTION("""COMPUTED_VALUE"""),38.0)</f>
        <v>38</v>
      </c>
    </row>
    <row r="499">
      <c r="A499" s="55" t="str">
        <f>IFERROR(__xludf.DUMMYFUNCTION("""COMPUTED_VALUE"""),"RSC005870")</f>
        <v>RSC005870</v>
      </c>
      <c r="B499" s="60" t="str">
        <f>IFERROR(__xludf.DUMMYFUNCTION("""COMPUTED_VALUE"""),"Evil twin")</f>
        <v>Evil twin</v>
      </c>
      <c r="C499" s="55" t="str">
        <f>IFERROR(__xludf.DUMMYFUNCTION("""COMPUTED_VALUE"""),"Prospect")</f>
        <v>Prospect</v>
      </c>
      <c r="D499" s="65">
        <f>IFERROR(__xludf.DUMMYFUNCTION("""COMPUTED_VALUE"""),30.123114860971107)</f>
        <v>30.12311486</v>
      </c>
      <c r="E499" s="66">
        <f>IFERROR(__xludf.DUMMYFUNCTION("""COMPUTED_VALUE"""),20.0)</f>
        <v>20</v>
      </c>
    </row>
    <row r="500">
      <c r="A500" s="55" t="str">
        <f>IFERROR(__xludf.DUMMYFUNCTION("""COMPUTED_VALUE"""),"RSC006461")</f>
        <v>RSC006461</v>
      </c>
      <c r="B500" s="60" t="str">
        <f>IFERROR(__xludf.DUMMYFUNCTION("""COMPUTED_VALUE"""),"Cynical89")</f>
        <v>Cynical89</v>
      </c>
      <c r="C500" s="55" t="str">
        <f>IFERROR(__xludf.DUMMYFUNCTION("""COMPUTED_VALUE"""),"Prospect")</f>
        <v>Prospect</v>
      </c>
      <c r="D500" s="65">
        <f>IFERROR(__xludf.DUMMYFUNCTION("""COMPUTED_VALUE"""),28.85054360480925)</f>
        <v>28.8505436</v>
      </c>
      <c r="E500" s="66">
        <f>IFERROR(__xludf.DUMMYFUNCTION("""COMPUTED_VALUE"""),49.0)</f>
        <v>49</v>
      </c>
    </row>
    <row r="501">
      <c r="A501" s="55" t="str">
        <f>IFERROR(__xludf.DUMMYFUNCTION("""COMPUTED_VALUE"""),"RSC005714")</f>
        <v>RSC005714</v>
      </c>
      <c r="B501" s="60" t="str">
        <f>IFERROR(__xludf.DUMMYFUNCTION("""COMPUTED_VALUE"""),"T_i_m_o_g")</f>
        <v>T_i_m_o_g</v>
      </c>
      <c r="C501" s="55" t="str">
        <f>IFERROR(__xludf.DUMMYFUNCTION("""COMPUTED_VALUE"""),"Prospect")</f>
        <v>Prospect</v>
      </c>
      <c r="D501" s="65">
        <f>IFERROR(__xludf.DUMMYFUNCTION("""COMPUTED_VALUE"""),28.358346072336293)</f>
        <v>28.35834607</v>
      </c>
      <c r="E501" s="66">
        <f>IFERROR(__xludf.DUMMYFUNCTION("""COMPUTED_VALUE"""),41.0)</f>
        <v>41</v>
      </c>
    </row>
    <row r="502">
      <c r="A502" s="55" t="str">
        <f>IFERROR(__xludf.DUMMYFUNCTION("""COMPUTED_VALUE"""),"RSC007918")</f>
        <v>RSC007918</v>
      </c>
      <c r="B502" s="60" t="str">
        <f>IFERROR(__xludf.DUMMYFUNCTION("""COMPUTED_VALUE"""),"TheBLKBoy")</f>
        <v>TheBLKBoy</v>
      </c>
      <c r="C502" s="55" t="str">
        <f>IFERROR(__xludf.DUMMYFUNCTION("""COMPUTED_VALUE"""),"Prospect")</f>
        <v>Prospect</v>
      </c>
      <c r="D502" s="65">
        <f>IFERROR(__xludf.DUMMYFUNCTION("""COMPUTED_VALUE"""),16.5225155961557)</f>
        <v>16.5225156</v>
      </c>
      <c r="E502" s="66">
        <f>IFERROR(__xludf.DUMMYFUNCTION("""COMPUTED_VALUE"""),33.0)</f>
        <v>33</v>
      </c>
    </row>
    <row r="503">
      <c r="A503" s="55" t="str">
        <f>IFERROR(__xludf.DUMMYFUNCTION("""COMPUTED_VALUE"""),"RSC007874")</f>
        <v>RSC007874</v>
      </c>
      <c r="B503" s="60" t="str">
        <f>IFERROR(__xludf.DUMMYFUNCTION("""COMPUTED_VALUE"""),"Salty Num Num")</f>
        <v>Salty Num Num</v>
      </c>
      <c r="C503" s="55" t="str">
        <f>IFERROR(__xludf.DUMMYFUNCTION("""COMPUTED_VALUE"""),"Prospect")</f>
        <v>Prospect</v>
      </c>
      <c r="D503" s="65">
        <f>IFERROR(__xludf.DUMMYFUNCTION("""COMPUTED_VALUE"""),13.842964547231148)</f>
        <v>13.84296455</v>
      </c>
      <c r="E503" s="66">
        <f>IFERROR(__xludf.DUMMYFUNCTION("""COMPUTED_VALUE"""),19.0)</f>
        <v>19</v>
      </c>
    </row>
    <row r="504">
      <c r="A504" s="55" t="str">
        <f>IFERROR(__xludf.DUMMYFUNCTION("""COMPUTED_VALUE"""),"RSC008435")</f>
        <v>RSC008435</v>
      </c>
      <c r="B504" s="60" t="str">
        <f>IFERROR(__xludf.DUMMYFUNCTION("""COMPUTED_VALUE"""),"ReformedMike")</f>
        <v>ReformedMike</v>
      </c>
      <c r="C504" s="55" t="str">
        <f>IFERROR(__xludf.DUMMYFUNCTION("""COMPUTED_VALUE"""),"Prospect")</f>
        <v>Prospect</v>
      </c>
      <c r="D504" s="65">
        <f>IFERROR(__xludf.DUMMYFUNCTION("""COMPUTED_VALUE"""),13.550213617136684)</f>
        <v>13.55021362</v>
      </c>
      <c r="E504" s="66">
        <f>IFERROR(__xludf.DUMMYFUNCTION("""COMPUTED_VALUE"""),14.0)</f>
        <v>14</v>
      </c>
    </row>
    <row r="505">
      <c r="A505" s="55" t="str">
        <f>IFERROR(__xludf.DUMMYFUNCTION("""COMPUTED_VALUE"""),"RSC006404")</f>
        <v>RSC006404</v>
      </c>
      <c r="B505" s="60" t="str">
        <f>IFERROR(__xludf.DUMMYFUNCTION("""COMPUTED_VALUE"""),"Protocol")</f>
        <v>Protocol</v>
      </c>
      <c r="C505" s="55" t="str">
        <f>IFERROR(__xludf.DUMMYFUNCTION("""COMPUTED_VALUE"""),"Prospect")</f>
        <v>Prospect</v>
      </c>
      <c r="D505" s="65">
        <f>IFERROR(__xludf.DUMMYFUNCTION("""COMPUTED_VALUE"""),13.499615324918416)</f>
        <v>13.49961532</v>
      </c>
      <c r="E505" s="66">
        <f>IFERROR(__xludf.DUMMYFUNCTION("""COMPUTED_VALUE"""),6.0)</f>
        <v>6</v>
      </c>
    </row>
    <row r="506">
      <c r="A506" s="55" t="str">
        <f>IFERROR(__xludf.DUMMYFUNCTION("""COMPUTED_VALUE"""),"RSC006422")</f>
        <v>RSC006422</v>
      </c>
      <c r="B506" s="60" t="str">
        <f>IFERROR(__xludf.DUMMYFUNCTION("""COMPUTED_VALUE"""),"HuggingThor")</f>
        <v>HuggingThor</v>
      </c>
      <c r="C506" s="55" t="str">
        <f>IFERROR(__xludf.DUMMYFUNCTION("""COMPUTED_VALUE"""),"Prospect")</f>
        <v>Prospect</v>
      </c>
      <c r="D506" s="65">
        <f>IFERROR(__xludf.DUMMYFUNCTION("""COMPUTED_VALUE"""),8.985546469680322)</f>
        <v>8.98554647</v>
      </c>
      <c r="E506" s="66">
        <f>IFERROR(__xludf.DUMMYFUNCTION("""COMPUTED_VALUE"""),5.0)</f>
        <v>5</v>
      </c>
    </row>
    <row r="507">
      <c r="A507" s="55" t="str">
        <f>IFERROR(__xludf.DUMMYFUNCTION("""COMPUTED_VALUE"""),"RSC006381")</f>
        <v>RSC006381</v>
      </c>
      <c r="B507" s="60" t="str">
        <f>IFERROR(__xludf.DUMMYFUNCTION("""COMPUTED_VALUE"""),"YERP_YERP02")</f>
        <v>YERP_YERP02</v>
      </c>
      <c r="C507" s="55" t="str">
        <f>IFERROR(__xludf.DUMMYFUNCTION("""COMPUTED_VALUE"""),"Prospect")</f>
        <v>Prospect</v>
      </c>
      <c r="D507" s="65">
        <f>IFERROR(__xludf.DUMMYFUNCTION("""COMPUTED_VALUE"""),6.092913241161568)</f>
        <v>6.092913241</v>
      </c>
      <c r="E507" s="66">
        <f>IFERROR(__xludf.DUMMYFUNCTION("""COMPUTED_VALUE"""),24.0)</f>
        <v>24</v>
      </c>
    </row>
    <row r="508">
      <c r="A508" s="55" t="str">
        <f>IFERROR(__xludf.DUMMYFUNCTION("""COMPUTED_VALUE"""),"RSC005527")</f>
        <v>RSC005527</v>
      </c>
      <c r="B508" s="60" t="str">
        <f>IFERROR(__xludf.DUMMYFUNCTION("""COMPUTED_VALUE"""),"Colossus4203316")</f>
        <v>Colossus4203316</v>
      </c>
      <c r="C508" s="55" t="str">
        <f>IFERROR(__xludf.DUMMYFUNCTION("""COMPUTED_VALUE"""),"Prospect")</f>
        <v>Prospect</v>
      </c>
      <c r="D508" s="65">
        <f>IFERROR(__xludf.DUMMYFUNCTION("""COMPUTED_VALUE"""),0.5023034372670452)</f>
        <v>0.5023034373</v>
      </c>
      <c r="E508" s="66">
        <f>IFERROR(__xludf.DUMMYFUNCTION("""COMPUTED_VALUE"""),40.0)</f>
        <v>40</v>
      </c>
    </row>
    <row r="509">
      <c r="A509" s="55" t="str">
        <f>IFERROR(__xludf.DUMMYFUNCTION("""COMPUTED_VALUE"""),"RSC008126")</f>
        <v>RSC008126</v>
      </c>
      <c r="B509" s="60" t="str">
        <f>IFERROR(__xludf.DUMMYFUNCTION("""COMPUTED_VALUE"""),"Zuuhan")</f>
        <v>Zuuhan</v>
      </c>
      <c r="C509" s="55" t="str">
        <f>IFERROR(__xludf.DUMMYFUNCTION("""COMPUTED_VALUE"""),"Prospect")</f>
        <v>Prospect</v>
      </c>
      <c r="D509" s="65">
        <f>IFERROR(__xludf.DUMMYFUNCTION("""COMPUTED_VALUE"""),0.010697442460831041)</f>
        <v>0.01069744246</v>
      </c>
      <c r="E509" s="66">
        <f>IFERROR(__xludf.DUMMYFUNCTION("""COMPUTED_VALUE"""),9.0)</f>
        <v>9</v>
      </c>
    </row>
    <row r="510">
      <c r="A510" s="55" t="str">
        <f>IFERROR(__xludf.DUMMYFUNCTION("""COMPUTED_VALUE"""),"RSC007513")</f>
        <v>RSC007513</v>
      </c>
      <c r="B510" s="60" t="str">
        <f>IFERROR(__xludf.DUMMYFUNCTION("""COMPUTED_VALUE"""),"Russ")</f>
        <v>Russ</v>
      </c>
      <c r="C510" s="55" t="str">
        <f>IFERROR(__xludf.DUMMYFUNCTION("""COMPUTED_VALUE"""),"Prospect")</f>
        <v>Prospect</v>
      </c>
      <c r="D510" s="65">
        <f>IFERROR(__xludf.DUMMYFUNCTION("""COMPUTED_VALUE"""),-5.368837991782904)</f>
        <v>-5.368837992</v>
      </c>
      <c r="E510" s="66">
        <f>IFERROR(__xludf.DUMMYFUNCTION("""COMPUTED_VALUE"""),19.0)</f>
        <v>19</v>
      </c>
    </row>
    <row r="511">
      <c r="A511" s="55" t="str">
        <f>IFERROR(__xludf.DUMMYFUNCTION("""COMPUTED_VALUE"""),"RSC007035")</f>
        <v>RSC007035</v>
      </c>
      <c r="B511" s="60" t="str">
        <f>IFERROR(__xludf.DUMMYFUNCTION("""COMPUTED_VALUE"""),"swah-")</f>
        <v>swah-</v>
      </c>
      <c r="C511" s="55" t="str">
        <f>IFERROR(__xludf.DUMMYFUNCTION("""COMPUTED_VALUE"""),"Rival")</f>
        <v>Rival</v>
      </c>
      <c r="D511" s="65">
        <f>IFERROR(__xludf.DUMMYFUNCTION("""COMPUTED_VALUE"""),110.36332254384078)</f>
        <v>110.3633225</v>
      </c>
      <c r="E511" s="66">
        <f>IFERROR(__xludf.DUMMYFUNCTION("""COMPUTED_VALUE"""),35.0)</f>
        <v>35</v>
      </c>
    </row>
    <row r="512">
      <c r="A512" s="55" t="str">
        <f>IFERROR(__xludf.DUMMYFUNCTION("""COMPUTED_VALUE"""),"RSC007093")</f>
        <v>RSC007093</v>
      </c>
      <c r="B512" s="60" t="str">
        <f>IFERROR(__xludf.DUMMYFUNCTION("""COMPUTED_VALUE"""),"Mangy")</f>
        <v>Mangy</v>
      </c>
      <c r="C512" s="55" t="str">
        <f>IFERROR(__xludf.DUMMYFUNCTION("""COMPUTED_VALUE"""),"Rival")</f>
        <v>Rival</v>
      </c>
      <c r="D512" s="65">
        <f>IFERROR(__xludf.DUMMYFUNCTION("""COMPUTED_VALUE"""),106.66343950434131)</f>
        <v>106.6634395</v>
      </c>
      <c r="E512" s="66">
        <f>IFERROR(__xludf.DUMMYFUNCTION("""COMPUTED_VALUE"""),4.0)</f>
        <v>4</v>
      </c>
    </row>
    <row r="513">
      <c r="A513" s="55" t="str">
        <f>IFERROR(__xludf.DUMMYFUNCTION("""COMPUTED_VALUE"""),"RSC006733")</f>
        <v>RSC006733</v>
      </c>
      <c r="B513" s="60" t="str">
        <f>IFERROR(__xludf.DUMMYFUNCTION("""COMPUTED_VALUE"""),"RL Rust")</f>
        <v>RL Rust</v>
      </c>
      <c r="C513" s="55" t="str">
        <f>IFERROR(__xludf.DUMMYFUNCTION("""COMPUTED_VALUE"""),"Rival")</f>
        <v>Rival</v>
      </c>
      <c r="D513" s="65">
        <f>IFERROR(__xludf.DUMMYFUNCTION("""COMPUTED_VALUE"""),99.22757585743952)</f>
        <v>99.22757586</v>
      </c>
      <c r="E513" s="66">
        <f>IFERROR(__xludf.DUMMYFUNCTION("""COMPUTED_VALUE"""),56.0)</f>
        <v>56</v>
      </c>
    </row>
    <row r="514">
      <c r="A514" s="55" t="str">
        <f>IFERROR(__xludf.DUMMYFUNCTION("""COMPUTED_VALUE"""),"RSC000156")</f>
        <v>RSC000156</v>
      </c>
      <c r="B514" s="60" t="str">
        <f>IFERROR(__xludf.DUMMYFUNCTION("""COMPUTED_VALUE"""),"Drupenson")</f>
        <v>Drupenson</v>
      </c>
      <c r="C514" s="55" t="str">
        <f>IFERROR(__xludf.DUMMYFUNCTION("""COMPUTED_VALUE"""),"Rival")</f>
        <v>Rival</v>
      </c>
      <c r="D514" s="65">
        <f>IFERROR(__xludf.DUMMYFUNCTION("""COMPUTED_VALUE"""),91.96264452512509)</f>
        <v>91.96264453</v>
      </c>
      <c r="E514" s="66">
        <f>IFERROR(__xludf.DUMMYFUNCTION("""COMPUTED_VALUE"""),39.0)</f>
        <v>39</v>
      </c>
    </row>
    <row r="515">
      <c r="A515" s="55" t="str">
        <f>IFERROR(__xludf.DUMMYFUNCTION("""COMPUTED_VALUE"""),"RSC005703")</f>
        <v>RSC005703</v>
      </c>
      <c r="B515" s="60" t="str">
        <f>IFERROR(__xludf.DUMMYFUNCTION("""COMPUTED_VALUE"""),"ShoddyWolfman")</f>
        <v>ShoddyWolfman</v>
      </c>
      <c r="C515" s="55" t="str">
        <f>IFERROR(__xludf.DUMMYFUNCTION("""COMPUTED_VALUE"""),"Rival")</f>
        <v>Rival</v>
      </c>
      <c r="D515" s="65">
        <f>IFERROR(__xludf.DUMMYFUNCTION("""COMPUTED_VALUE"""),91.32283028911525)</f>
        <v>91.32283029</v>
      </c>
      <c r="E515" s="66">
        <f>IFERROR(__xludf.DUMMYFUNCTION("""COMPUTED_VALUE"""),54.0)</f>
        <v>54</v>
      </c>
    </row>
    <row r="516">
      <c r="A516" s="55" t="str">
        <f>IFERROR(__xludf.DUMMYFUNCTION("""COMPUTED_VALUE"""),"RSC007625")</f>
        <v>RSC007625</v>
      </c>
      <c r="B516" s="60" t="str">
        <f>IFERROR(__xludf.DUMMYFUNCTION("""COMPUTED_VALUE"""),"assassin_funny.")</f>
        <v>assassin_funny.</v>
      </c>
      <c r="C516" s="55" t="str">
        <f>IFERROR(__xludf.DUMMYFUNCTION("""COMPUTED_VALUE"""),"Rival")</f>
        <v>Rival</v>
      </c>
      <c r="D516" s="65">
        <f>IFERROR(__xludf.DUMMYFUNCTION("""COMPUTED_VALUE"""),91.20835396197464)</f>
        <v>91.20835396</v>
      </c>
      <c r="E516" s="66">
        <f>IFERROR(__xludf.DUMMYFUNCTION("""COMPUTED_VALUE"""),51.0)</f>
        <v>51</v>
      </c>
    </row>
    <row r="517">
      <c r="A517" s="55" t="str">
        <f>IFERROR(__xludf.DUMMYFUNCTION("""COMPUTED_VALUE"""),"RSC008440")</f>
        <v>RSC008440</v>
      </c>
      <c r="B517" s="60" t="str">
        <f>IFERROR(__xludf.DUMMYFUNCTION("""COMPUTED_VALUE"""),"Keriel_Cereal")</f>
        <v>Keriel_Cereal</v>
      </c>
      <c r="C517" s="55" t="str">
        <f>IFERROR(__xludf.DUMMYFUNCTION("""COMPUTED_VALUE"""),"Rival")</f>
        <v>Rival</v>
      </c>
      <c r="D517" s="65">
        <f>IFERROR(__xludf.DUMMYFUNCTION("""COMPUTED_VALUE"""),90.54872376329169)</f>
        <v>90.54872376</v>
      </c>
      <c r="E517" s="66">
        <f>IFERROR(__xludf.DUMMYFUNCTION("""COMPUTED_VALUE"""),56.0)</f>
        <v>56</v>
      </c>
    </row>
    <row r="518">
      <c r="A518" s="55" t="str">
        <f>IFERROR(__xludf.DUMMYFUNCTION("""COMPUTED_VALUE"""),"RSC007317")</f>
        <v>RSC007317</v>
      </c>
      <c r="B518" s="60" t="str">
        <f>IFERROR(__xludf.DUMMYFUNCTION("""COMPUTED_VALUE"""),"TheDarkHero77")</f>
        <v>TheDarkHero77</v>
      </c>
      <c r="C518" s="55" t="str">
        <f>IFERROR(__xludf.DUMMYFUNCTION("""COMPUTED_VALUE"""),"Rival")</f>
        <v>Rival</v>
      </c>
      <c r="D518" s="65">
        <f>IFERROR(__xludf.DUMMYFUNCTION("""COMPUTED_VALUE"""),87.33692284065688)</f>
        <v>87.33692284</v>
      </c>
      <c r="E518" s="66">
        <f>IFERROR(__xludf.DUMMYFUNCTION("""COMPUTED_VALUE"""),52.0)</f>
        <v>52</v>
      </c>
    </row>
    <row r="519">
      <c r="A519" s="55" t="str">
        <f>IFERROR(__xludf.DUMMYFUNCTION("""COMPUTED_VALUE"""),"RSC005150")</f>
        <v>RSC005150</v>
      </c>
      <c r="B519" s="60" t="str">
        <f>IFERROR(__xludf.DUMMYFUNCTION("""COMPUTED_VALUE"""),"Galatiq")</f>
        <v>Galatiq</v>
      </c>
      <c r="C519" s="55" t="str">
        <f>IFERROR(__xludf.DUMMYFUNCTION("""COMPUTED_VALUE"""),"Rival")</f>
        <v>Rival</v>
      </c>
      <c r="D519" s="65">
        <f>IFERROR(__xludf.DUMMYFUNCTION("""COMPUTED_VALUE"""),87.29539960278404)</f>
        <v>87.2953996</v>
      </c>
      <c r="E519" s="66">
        <f>IFERROR(__xludf.DUMMYFUNCTION("""COMPUTED_VALUE"""),8.0)</f>
        <v>8</v>
      </c>
    </row>
    <row r="520">
      <c r="A520" s="55" t="str">
        <f>IFERROR(__xludf.DUMMYFUNCTION("""COMPUTED_VALUE"""),"RSC003411")</f>
        <v>RSC003411</v>
      </c>
      <c r="B520" s="60" t="str">
        <f>IFERROR(__xludf.DUMMYFUNCTION("""COMPUTED_VALUE"""),"levibullrush")</f>
        <v>levibullrush</v>
      </c>
      <c r="C520" s="55" t="str">
        <f>IFERROR(__xludf.DUMMYFUNCTION("""COMPUTED_VALUE"""),"Rival")</f>
        <v>Rival</v>
      </c>
      <c r="D520" s="65">
        <f>IFERROR(__xludf.DUMMYFUNCTION("""COMPUTED_VALUE"""),87.20637415822577)</f>
        <v>87.20637416</v>
      </c>
      <c r="E520" s="66">
        <f>IFERROR(__xludf.DUMMYFUNCTION("""COMPUTED_VALUE"""),7.0)</f>
        <v>7</v>
      </c>
    </row>
    <row r="521">
      <c r="A521" s="55" t="str">
        <f>IFERROR(__xludf.DUMMYFUNCTION("""COMPUTED_VALUE"""),"RSC004536")</f>
        <v>RSC004536</v>
      </c>
      <c r="B521" s="60" t="str">
        <f>IFERROR(__xludf.DUMMYFUNCTION("""COMPUTED_VALUE"""),"Grim")</f>
        <v>Grim</v>
      </c>
      <c r="C521" s="55" t="str">
        <f>IFERROR(__xludf.DUMMYFUNCTION("""COMPUTED_VALUE"""),"Rival")</f>
        <v>Rival</v>
      </c>
      <c r="D521" s="65">
        <f>IFERROR(__xludf.DUMMYFUNCTION("""COMPUTED_VALUE"""),86.62243419715973)</f>
        <v>86.6224342</v>
      </c>
      <c r="E521" s="66">
        <f>IFERROR(__xludf.DUMMYFUNCTION("""COMPUTED_VALUE"""),28.0)</f>
        <v>28</v>
      </c>
    </row>
    <row r="522">
      <c r="A522" s="55" t="str">
        <f>IFERROR(__xludf.DUMMYFUNCTION("""COMPUTED_VALUE"""),"RSC008603")</f>
        <v>RSC008603</v>
      </c>
      <c r="B522" s="60" t="str">
        <f>IFERROR(__xludf.DUMMYFUNCTION("""COMPUTED_VALUE"""),"garrydacarry")</f>
        <v>garrydacarry</v>
      </c>
      <c r="C522" s="55" t="str">
        <f>IFERROR(__xludf.DUMMYFUNCTION("""COMPUTED_VALUE"""),"Rival")</f>
        <v>Rival</v>
      </c>
      <c r="D522" s="65">
        <f>IFERROR(__xludf.DUMMYFUNCTION("""COMPUTED_VALUE"""),86.46062630201004)</f>
        <v>86.4606263</v>
      </c>
      <c r="E522" s="66">
        <f>IFERROR(__xludf.DUMMYFUNCTION("""COMPUTED_VALUE"""),4.0)</f>
        <v>4</v>
      </c>
    </row>
    <row r="523">
      <c r="A523" s="55" t="str">
        <f>IFERROR(__xludf.DUMMYFUNCTION("""COMPUTED_VALUE"""),"RSC008582")</f>
        <v>RSC008582</v>
      </c>
      <c r="B523" s="60" t="str">
        <f>IFERROR(__xludf.DUMMYFUNCTION("""COMPUTED_VALUE"""),"ZeXeR-_-")</f>
        <v>ZeXeR-_-</v>
      </c>
      <c r="C523" s="55" t="str">
        <f>IFERROR(__xludf.DUMMYFUNCTION("""COMPUTED_VALUE"""),"Rival")</f>
        <v>Rival</v>
      </c>
      <c r="D523" s="65">
        <f>IFERROR(__xludf.DUMMYFUNCTION("""COMPUTED_VALUE"""),85.09255587783242)</f>
        <v>85.09255588</v>
      </c>
      <c r="E523" s="66">
        <f>IFERROR(__xludf.DUMMYFUNCTION("""COMPUTED_VALUE"""),4.0)</f>
        <v>4</v>
      </c>
    </row>
    <row r="524">
      <c r="A524" s="55" t="str">
        <f>IFERROR(__xludf.DUMMYFUNCTION("""COMPUTED_VALUE"""),"RSC000367")</f>
        <v>RSC000367</v>
      </c>
      <c r="B524" s="60" t="str">
        <f>IFERROR(__xludf.DUMMYFUNCTION("""COMPUTED_VALUE"""),"Pana")</f>
        <v>Pana</v>
      </c>
      <c r="C524" s="55" t="str">
        <f>IFERROR(__xludf.DUMMYFUNCTION("""COMPUTED_VALUE"""),"Rival")</f>
        <v>Rival</v>
      </c>
      <c r="D524" s="65">
        <f>IFERROR(__xludf.DUMMYFUNCTION("""COMPUTED_VALUE"""),85.07472802954479)</f>
        <v>85.07472803</v>
      </c>
      <c r="E524" s="66">
        <f>IFERROR(__xludf.DUMMYFUNCTION("""COMPUTED_VALUE"""),28.0)</f>
        <v>28</v>
      </c>
    </row>
    <row r="525">
      <c r="A525" s="55" t="str">
        <f>IFERROR(__xludf.DUMMYFUNCTION("""COMPUTED_VALUE"""),"RSC008557")</f>
        <v>RSC008557</v>
      </c>
      <c r="B525" s="60" t="str">
        <f>IFERROR(__xludf.DUMMYFUNCTION("""COMPUTED_VALUE"""),"lurx bad at rl")</f>
        <v>lurx bad at rl</v>
      </c>
      <c r="C525" s="55" t="str">
        <f>IFERROR(__xludf.DUMMYFUNCTION("""COMPUTED_VALUE"""),"Rival")</f>
        <v>Rival</v>
      </c>
      <c r="D525" s="65">
        <f>IFERROR(__xludf.DUMMYFUNCTION("""COMPUTED_VALUE"""),83.22045580719936)</f>
        <v>83.22045581</v>
      </c>
      <c r="E525" s="66">
        <f>IFERROR(__xludf.DUMMYFUNCTION("""COMPUTED_VALUE"""),20.0)</f>
        <v>20</v>
      </c>
    </row>
    <row r="526">
      <c r="A526" s="55" t="str">
        <f>IFERROR(__xludf.DUMMYFUNCTION("""COMPUTED_VALUE"""),"RSC006678")</f>
        <v>RSC006678</v>
      </c>
      <c r="B526" s="60" t="str">
        <f>IFERROR(__xludf.DUMMYFUNCTION("""COMPUTED_VALUE"""),"EyeSucka")</f>
        <v>EyeSucka</v>
      </c>
      <c r="C526" s="55" t="str">
        <f>IFERROR(__xludf.DUMMYFUNCTION("""COMPUTED_VALUE"""),"Rival")</f>
        <v>Rival</v>
      </c>
      <c r="D526" s="65">
        <f>IFERROR(__xludf.DUMMYFUNCTION("""COMPUTED_VALUE"""),79.09827906649144)</f>
        <v>79.09827907</v>
      </c>
      <c r="E526" s="66">
        <f>IFERROR(__xludf.DUMMYFUNCTION("""COMPUTED_VALUE"""),52.0)</f>
        <v>52</v>
      </c>
    </row>
    <row r="527">
      <c r="A527" s="55" t="str">
        <f>IFERROR(__xludf.DUMMYFUNCTION("""COMPUTED_VALUE"""),"RSC008405")</f>
        <v>RSC008405</v>
      </c>
      <c r="B527" s="60" t="str">
        <f>IFERROR(__xludf.DUMMYFUNCTION("""COMPUTED_VALUE"""),"gxcid")</f>
        <v>gxcid</v>
      </c>
      <c r="C527" s="55" t="str">
        <f>IFERROR(__xludf.DUMMYFUNCTION("""COMPUTED_VALUE"""),"Rival")</f>
        <v>Rival</v>
      </c>
      <c r="D527" s="65">
        <f>IFERROR(__xludf.DUMMYFUNCTION("""COMPUTED_VALUE"""),78.78997328398327)</f>
        <v>78.78997328</v>
      </c>
      <c r="E527" s="66">
        <f>IFERROR(__xludf.DUMMYFUNCTION("""COMPUTED_VALUE"""),40.0)</f>
        <v>40</v>
      </c>
    </row>
    <row r="528">
      <c r="A528" s="55" t="str">
        <f>IFERROR(__xludf.DUMMYFUNCTION("""COMPUTED_VALUE"""),"RSC005265")</f>
        <v>RSC005265</v>
      </c>
      <c r="B528" s="60" t="str">
        <f>IFERROR(__xludf.DUMMYFUNCTION("""COMPUTED_VALUE"""),"doctorprofessor_")</f>
        <v>doctorprofessor_</v>
      </c>
      <c r="C528" s="55" t="str">
        <f>IFERROR(__xludf.DUMMYFUNCTION("""COMPUTED_VALUE"""),"Rival")</f>
        <v>Rival</v>
      </c>
      <c r="D528" s="65">
        <f>IFERROR(__xludf.DUMMYFUNCTION("""COMPUTED_VALUE"""),78.49635199141586)</f>
        <v>78.49635199</v>
      </c>
      <c r="E528" s="66">
        <f>IFERROR(__xludf.DUMMYFUNCTION("""COMPUTED_VALUE"""),52.0)</f>
        <v>52</v>
      </c>
    </row>
    <row r="529">
      <c r="A529" s="55" t="str">
        <f>IFERROR(__xludf.DUMMYFUNCTION("""COMPUTED_VALUE"""),"RSC005873")</f>
        <v>RSC005873</v>
      </c>
      <c r="B529" s="60" t="str">
        <f>IFERROR(__xludf.DUMMYFUNCTION("""COMPUTED_VALUE"""),"Gama The Dwarf")</f>
        <v>Gama The Dwarf</v>
      </c>
      <c r="C529" s="55" t="str">
        <f>IFERROR(__xludf.DUMMYFUNCTION("""COMPUTED_VALUE"""),"Rival")</f>
        <v>Rival</v>
      </c>
      <c r="D529" s="65">
        <f>IFERROR(__xludf.DUMMYFUNCTION("""COMPUTED_VALUE"""),78.39497610536813)</f>
        <v>78.39497611</v>
      </c>
      <c r="E529" s="66">
        <f>IFERROR(__xludf.DUMMYFUNCTION("""COMPUTED_VALUE"""),56.0)</f>
        <v>56</v>
      </c>
    </row>
    <row r="530">
      <c r="A530" s="55" t="str">
        <f>IFERROR(__xludf.DUMMYFUNCTION("""COMPUTED_VALUE"""),"RSC000441")</f>
        <v>RSC000441</v>
      </c>
      <c r="B530" s="60" t="str">
        <f>IFERROR(__xludf.DUMMYFUNCTION("""COMPUTED_VALUE"""),"Wolfocus")</f>
        <v>Wolfocus</v>
      </c>
      <c r="C530" s="55" t="str">
        <f>IFERROR(__xludf.DUMMYFUNCTION("""COMPUTED_VALUE"""),"Rival")</f>
        <v>Rival</v>
      </c>
      <c r="D530" s="65">
        <f>IFERROR(__xludf.DUMMYFUNCTION("""COMPUTED_VALUE"""),75.75183416312281)</f>
        <v>75.75183416</v>
      </c>
      <c r="E530" s="66">
        <f>IFERROR(__xludf.DUMMYFUNCTION("""COMPUTED_VALUE"""),39.0)</f>
        <v>39</v>
      </c>
    </row>
    <row r="531">
      <c r="A531" s="55" t="str">
        <f>IFERROR(__xludf.DUMMYFUNCTION("""COMPUTED_VALUE"""),"RSC007604")</f>
        <v>RSC007604</v>
      </c>
      <c r="B531" s="60" t="str">
        <f>IFERROR(__xludf.DUMMYFUNCTION("""COMPUTED_VALUE"""),"RiisenJT")</f>
        <v>RiisenJT</v>
      </c>
      <c r="C531" s="55" t="str">
        <f>IFERROR(__xludf.DUMMYFUNCTION("""COMPUTED_VALUE"""),"Rival")</f>
        <v>Rival</v>
      </c>
      <c r="D531" s="65">
        <f>IFERROR(__xludf.DUMMYFUNCTION("""COMPUTED_VALUE"""),73.69816356320233)</f>
        <v>73.69816356</v>
      </c>
      <c r="E531" s="66">
        <f>IFERROR(__xludf.DUMMYFUNCTION("""COMPUTED_VALUE"""),41.0)</f>
        <v>41</v>
      </c>
    </row>
    <row r="532">
      <c r="A532" s="55" t="str">
        <f>IFERROR(__xludf.DUMMYFUNCTION("""COMPUTED_VALUE"""),"RSC006625")</f>
        <v>RSC006625</v>
      </c>
      <c r="B532" s="60" t="str">
        <f>IFERROR(__xludf.DUMMYFUNCTION("""COMPUTED_VALUE"""),"FrogDrivesCar")</f>
        <v>FrogDrivesCar</v>
      </c>
      <c r="C532" s="55" t="str">
        <f>IFERROR(__xludf.DUMMYFUNCTION("""COMPUTED_VALUE"""),"Rival")</f>
        <v>Rival</v>
      </c>
      <c r="D532" s="65">
        <f>IFERROR(__xludf.DUMMYFUNCTION("""COMPUTED_VALUE"""),73.6893659781883)</f>
        <v>73.68936598</v>
      </c>
      <c r="E532" s="66">
        <f>IFERROR(__xludf.DUMMYFUNCTION("""COMPUTED_VALUE"""),36.0)</f>
        <v>36</v>
      </c>
    </row>
    <row r="533">
      <c r="A533" s="55" t="str">
        <f>IFERROR(__xludf.DUMMYFUNCTION("""COMPUTED_VALUE"""),"RSC008234")</f>
        <v>RSC008234</v>
      </c>
      <c r="B533" s="60" t="str">
        <f>IFERROR(__xludf.DUMMYFUNCTION("""COMPUTED_VALUE"""),"Its_Bran")</f>
        <v>Its_Bran</v>
      </c>
      <c r="C533" s="55" t="str">
        <f>IFERROR(__xludf.DUMMYFUNCTION("""COMPUTED_VALUE"""),"Rival")</f>
        <v>Rival</v>
      </c>
      <c r="D533" s="65">
        <f>IFERROR(__xludf.DUMMYFUNCTION("""COMPUTED_VALUE"""),73.19897307110155)</f>
        <v>73.19897307</v>
      </c>
      <c r="E533" s="66">
        <f>IFERROR(__xludf.DUMMYFUNCTION("""COMPUTED_VALUE"""),46.0)</f>
        <v>46</v>
      </c>
    </row>
    <row r="534">
      <c r="A534" s="55" t="str">
        <f>IFERROR(__xludf.DUMMYFUNCTION("""COMPUTED_VALUE"""),"RSC008249")</f>
        <v>RSC008249</v>
      </c>
      <c r="B534" s="60" t="str">
        <f>IFERROR(__xludf.DUMMYFUNCTION("""COMPUTED_VALUE"""),"imtobad00")</f>
        <v>imtobad00</v>
      </c>
      <c r="C534" s="55" t="str">
        <f>IFERROR(__xludf.DUMMYFUNCTION("""COMPUTED_VALUE"""),"Rival")</f>
        <v>Rival</v>
      </c>
      <c r="D534" s="65">
        <f>IFERROR(__xludf.DUMMYFUNCTION("""COMPUTED_VALUE"""),73.10476593448954)</f>
        <v>73.10476593</v>
      </c>
      <c r="E534" s="66">
        <f>IFERROR(__xludf.DUMMYFUNCTION("""COMPUTED_VALUE"""),2.0)</f>
        <v>2</v>
      </c>
    </row>
    <row r="535">
      <c r="A535" s="55" t="str">
        <f>IFERROR(__xludf.DUMMYFUNCTION("""COMPUTED_VALUE"""),"RSC008360")</f>
        <v>RSC008360</v>
      </c>
      <c r="B535" s="60" t="str">
        <f>IFERROR(__xludf.DUMMYFUNCTION("""COMPUTED_VALUE"""),"Merk890")</f>
        <v>Merk890</v>
      </c>
      <c r="C535" s="55" t="str">
        <f>IFERROR(__xludf.DUMMYFUNCTION("""COMPUTED_VALUE"""),"Rival")</f>
        <v>Rival</v>
      </c>
      <c r="D535" s="65">
        <f>IFERROR(__xludf.DUMMYFUNCTION("""COMPUTED_VALUE"""),72.0425544444557)</f>
        <v>72.04255444</v>
      </c>
      <c r="E535" s="66">
        <f>IFERROR(__xludf.DUMMYFUNCTION("""COMPUTED_VALUE"""),44.0)</f>
        <v>44</v>
      </c>
    </row>
    <row r="536">
      <c r="A536" s="55" t="str">
        <f>IFERROR(__xludf.DUMMYFUNCTION("""COMPUTED_VALUE"""),"RSC005834")</f>
        <v>RSC005834</v>
      </c>
      <c r="B536" s="60" t="str">
        <f>IFERROR(__xludf.DUMMYFUNCTION("""COMPUTED_VALUE"""),"IIIYummyIII")</f>
        <v>IIIYummyIII</v>
      </c>
      <c r="C536" s="55" t="str">
        <f>IFERROR(__xludf.DUMMYFUNCTION("""COMPUTED_VALUE"""),"Rival")</f>
        <v>Rival</v>
      </c>
      <c r="D536" s="65">
        <f>IFERROR(__xludf.DUMMYFUNCTION("""COMPUTED_VALUE"""),71.94989476990114)</f>
        <v>71.94989477</v>
      </c>
      <c r="E536" s="66">
        <f>IFERROR(__xludf.DUMMYFUNCTION("""COMPUTED_VALUE"""),54.0)</f>
        <v>54</v>
      </c>
    </row>
    <row r="537">
      <c r="A537" s="55" t="str">
        <f>IFERROR(__xludf.DUMMYFUNCTION("""COMPUTED_VALUE"""),"RSC007831")</f>
        <v>RSC007831</v>
      </c>
      <c r="B537" s="60" t="str">
        <f>IFERROR(__xludf.DUMMYFUNCTION("""COMPUTED_VALUE"""),"Havox.RL")</f>
        <v>Havox.RL</v>
      </c>
      <c r="C537" s="55" t="str">
        <f>IFERROR(__xludf.DUMMYFUNCTION("""COMPUTED_VALUE"""),"Rival")</f>
        <v>Rival</v>
      </c>
      <c r="D537" s="65">
        <f>IFERROR(__xludf.DUMMYFUNCTION("""COMPUTED_VALUE"""),71.92210468621786)</f>
        <v>71.92210469</v>
      </c>
      <c r="E537" s="66">
        <f>IFERROR(__xludf.DUMMYFUNCTION("""COMPUTED_VALUE"""),52.0)</f>
        <v>52</v>
      </c>
    </row>
    <row r="538">
      <c r="A538" s="55" t="str">
        <f>IFERROR(__xludf.DUMMYFUNCTION("""COMPUTED_VALUE"""),"RSC006187")</f>
        <v>RSC006187</v>
      </c>
      <c r="B538" s="60" t="str">
        <f>IFERROR(__xludf.DUMMYFUNCTION("""COMPUTED_VALUE"""),"1999 Toyota Camry")</f>
        <v>1999 Toyota Camry</v>
      </c>
      <c r="C538" s="55" t="str">
        <f>IFERROR(__xludf.DUMMYFUNCTION("""COMPUTED_VALUE"""),"Rival")</f>
        <v>Rival</v>
      </c>
      <c r="D538" s="65">
        <f>IFERROR(__xludf.DUMMYFUNCTION("""COMPUTED_VALUE"""),69.53756442171503)</f>
        <v>69.53756442</v>
      </c>
      <c r="E538" s="66">
        <f>IFERROR(__xludf.DUMMYFUNCTION("""COMPUTED_VALUE"""),16.0)</f>
        <v>16</v>
      </c>
    </row>
    <row r="539">
      <c r="A539" s="55" t="str">
        <f>IFERROR(__xludf.DUMMYFUNCTION("""COMPUTED_VALUE"""),"RSC008173")</f>
        <v>RSC008173</v>
      </c>
      <c r="B539" s="60" t="str">
        <f>IFERROR(__xludf.DUMMYFUNCTION("""COMPUTED_VALUE"""),"Wild Thing")</f>
        <v>Wild Thing</v>
      </c>
      <c r="C539" s="55" t="str">
        <f>IFERROR(__xludf.DUMMYFUNCTION("""COMPUTED_VALUE"""),"Rival")</f>
        <v>Rival</v>
      </c>
      <c r="D539" s="65">
        <f>IFERROR(__xludf.DUMMYFUNCTION("""COMPUTED_VALUE"""),69.40534216975314)</f>
        <v>69.40534217</v>
      </c>
      <c r="E539" s="66">
        <f>IFERROR(__xludf.DUMMYFUNCTION("""COMPUTED_VALUE"""),55.0)</f>
        <v>55</v>
      </c>
    </row>
    <row r="540">
      <c r="A540" s="55" t="str">
        <f>IFERROR(__xludf.DUMMYFUNCTION("""COMPUTED_VALUE"""),"RSC000136")</f>
        <v>RSC000136</v>
      </c>
      <c r="B540" s="60" t="str">
        <f>IFERROR(__xludf.DUMMYFUNCTION("""COMPUTED_VALUE"""),"Blun")</f>
        <v>Blun</v>
      </c>
      <c r="C540" s="55" t="str">
        <f>IFERROR(__xludf.DUMMYFUNCTION("""COMPUTED_VALUE"""),"Rival")</f>
        <v>Rival</v>
      </c>
      <c r="D540" s="65">
        <f>IFERROR(__xludf.DUMMYFUNCTION("""COMPUTED_VALUE"""),67.69614696049683)</f>
        <v>67.69614696</v>
      </c>
      <c r="E540" s="66">
        <f>IFERROR(__xludf.DUMMYFUNCTION("""COMPUTED_VALUE"""),43.0)</f>
        <v>43</v>
      </c>
    </row>
    <row r="541">
      <c r="A541" s="55" t="str">
        <f>IFERROR(__xludf.DUMMYFUNCTION("""COMPUTED_VALUE"""),"RSC001330")</f>
        <v>RSC001330</v>
      </c>
      <c r="B541" s="60" t="str">
        <f>IFERROR(__xludf.DUMMYFUNCTION("""COMPUTED_VALUE"""),"Blissful Beluga")</f>
        <v>Blissful Beluga</v>
      </c>
      <c r="C541" s="55" t="str">
        <f>IFERROR(__xludf.DUMMYFUNCTION("""COMPUTED_VALUE"""),"Rival")</f>
        <v>Rival</v>
      </c>
      <c r="D541" s="65">
        <f>IFERROR(__xludf.DUMMYFUNCTION("""COMPUTED_VALUE"""),67.67008486290513)</f>
        <v>67.67008486</v>
      </c>
      <c r="E541" s="66">
        <f>IFERROR(__xludf.DUMMYFUNCTION("""COMPUTED_VALUE"""),19.0)</f>
        <v>19</v>
      </c>
    </row>
    <row r="542">
      <c r="A542" s="55" t="str">
        <f>IFERROR(__xludf.DUMMYFUNCTION("""COMPUTED_VALUE"""),"RSC007960")</f>
        <v>RSC007960</v>
      </c>
      <c r="B542" s="60" t="str">
        <f>IFERROR(__xludf.DUMMYFUNCTION("""COMPUTED_VALUE"""),"Kayo")</f>
        <v>Kayo</v>
      </c>
      <c r="C542" s="55" t="str">
        <f>IFERROR(__xludf.DUMMYFUNCTION("""COMPUTED_VALUE"""),"Rival")</f>
        <v>Rival</v>
      </c>
      <c r="D542" s="65">
        <f>IFERROR(__xludf.DUMMYFUNCTION("""COMPUTED_VALUE"""),67.45897958626955)</f>
        <v>67.45897959</v>
      </c>
      <c r="E542" s="66">
        <f>IFERROR(__xludf.DUMMYFUNCTION("""COMPUTED_VALUE"""),48.0)</f>
        <v>48</v>
      </c>
    </row>
    <row r="543">
      <c r="A543" s="55" t="str">
        <f>IFERROR(__xludf.DUMMYFUNCTION("""COMPUTED_VALUE"""),"RSC007487")</f>
        <v>RSC007487</v>
      </c>
      <c r="B543" s="60" t="str">
        <f>IFERROR(__xludf.DUMMYFUNCTION("""COMPUTED_VALUE"""),"YoloOnTinder")</f>
        <v>YoloOnTinder</v>
      </c>
      <c r="C543" s="55" t="str">
        <f>IFERROR(__xludf.DUMMYFUNCTION("""COMPUTED_VALUE"""),"Rival")</f>
        <v>Rival</v>
      </c>
      <c r="D543" s="65">
        <f>IFERROR(__xludf.DUMMYFUNCTION("""COMPUTED_VALUE"""),66.86988912868944)</f>
        <v>66.86988913</v>
      </c>
      <c r="E543" s="66">
        <f>IFERROR(__xludf.DUMMYFUNCTION("""COMPUTED_VALUE"""),4.0)</f>
        <v>4</v>
      </c>
    </row>
    <row r="544">
      <c r="A544" s="55" t="str">
        <f>IFERROR(__xludf.DUMMYFUNCTION("""COMPUTED_VALUE"""),"RSC007613")</f>
        <v>RSC007613</v>
      </c>
      <c r="B544" s="60" t="str">
        <f>IFERROR(__xludf.DUMMYFUNCTION("""COMPUTED_VALUE"""),"Squatch70")</f>
        <v>Squatch70</v>
      </c>
      <c r="C544" s="55" t="str">
        <f>IFERROR(__xludf.DUMMYFUNCTION("""COMPUTED_VALUE"""),"Rival")</f>
        <v>Rival</v>
      </c>
      <c r="D544" s="65">
        <f>IFERROR(__xludf.DUMMYFUNCTION("""COMPUTED_VALUE"""),66.75760118091085)</f>
        <v>66.75760118</v>
      </c>
      <c r="E544" s="66">
        <f>IFERROR(__xludf.DUMMYFUNCTION("""COMPUTED_VALUE"""),53.0)</f>
        <v>53</v>
      </c>
    </row>
    <row r="545">
      <c r="A545" s="55" t="str">
        <f>IFERROR(__xludf.DUMMYFUNCTION("""COMPUTED_VALUE"""),"RSC006935")</f>
        <v>RSC006935</v>
      </c>
      <c r="B545" s="60" t="str">
        <f>IFERROR(__xludf.DUMMYFUNCTION("""COMPUTED_VALUE"""),"Bazzinga")</f>
        <v>Bazzinga</v>
      </c>
      <c r="C545" s="55" t="str">
        <f>IFERROR(__xludf.DUMMYFUNCTION("""COMPUTED_VALUE"""),"Rival")</f>
        <v>Rival</v>
      </c>
      <c r="D545" s="65">
        <f>IFERROR(__xludf.DUMMYFUNCTION("""COMPUTED_VALUE"""),66.03540639645739)</f>
        <v>66.0354064</v>
      </c>
      <c r="E545" s="66">
        <f>IFERROR(__xludf.DUMMYFUNCTION("""COMPUTED_VALUE"""),55.0)</f>
        <v>55</v>
      </c>
    </row>
    <row r="546">
      <c r="A546" s="55" t="str">
        <f>IFERROR(__xludf.DUMMYFUNCTION("""COMPUTED_VALUE"""),"RSC005059")</f>
        <v>RSC005059</v>
      </c>
      <c r="B546" s="60" t="str">
        <f>IFERROR(__xludf.DUMMYFUNCTION("""COMPUTED_VALUE"""),"t4")</f>
        <v>t4</v>
      </c>
      <c r="C546" s="55" t="str">
        <f>IFERROR(__xludf.DUMMYFUNCTION("""COMPUTED_VALUE"""),"Rival")</f>
        <v>Rival</v>
      </c>
      <c r="D546" s="65">
        <f>IFERROR(__xludf.DUMMYFUNCTION("""COMPUTED_VALUE"""),65.92964482095731)</f>
        <v>65.92964482</v>
      </c>
      <c r="E546" s="66">
        <f>IFERROR(__xludf.DUMMYFUNCTION("""COMPUTED_VALUE"""),27.0)</f>
        <v>27</v>
      </c>
    </row>
    <row r="547">
      <c r="A547" s="55" t="str">
        <f>IFERROR(__xludf.DUMMYFUNCTION("""COMPUTED_VALUE"""),"RSC008507")</f>
        <v>RSC008507</v>
      </c>
      <c r="B547" s="60" t="str">
        <f>IFERROR(__xludf.DUMMYFUNCTION("""COMPUTED_VALUE"""),"Unc Jeebs")</f>
        <v>Unc Jeebs</v>
      </c>
      <c r="C547" s="55" t="str">
        <f>IFERROR(__xludf.DUMMYFUNCTION("""COMPUTED_VALUE"""),"Rival")</f>
        <v>Rival</v>
      </c>
      <c r="D547" s="65">
        <f>IFERROR(__xludf.DUMMYFUNCTION("""COMPUTED_VALUE"""),65.77135185894655)</f>
        <v>65.77135186</v>
      </c>
      <c r="E547" s="66">
        <f>IFERROR(__xludf.DUMMYFUNCTION("""COMPUTED_VALUE"""),37.0)</f>
        <v>37</v>
      </c>
    </row>
    <row r="548">
      <c r="A548" s="55" t="str">
        <f>IFERROR(__xludf.DUMMYFUNCTION("""COMPUTED_VALUE"""),"RSC005300")</f>
        <v>RSC005300</v>
      </c>
      <c r="B548" s="60" t="str">
        <f>IFERROR(__xludf.DUMMYFUNCTION("""COMPUTED_VALUE"""),"Riko")</f>
        <v>Riko</v>
      </c>
      <c r="C548" s="55" t="str">
        <f>IFERROR(__xludf.DUMMYFUNCTION("""COMPUTED_VALUE"""),"Rival")</f>
        <v>Rival</v>
      </c>
      <c r="D548" s="65">
        <f>IFERROR(__xludf.DUMMYFUNCTION("""COMPUTED_VALUE"""),65.19826212145645)</f>
        <v>65.19826212</v>
      </c>
      <c r="E548" s="66">
        <f>IFERROR(__xludf.DUMMYFUNCTION("""COMPUTED_VALUE"""),55.0)</f>
        <v>55</v>
      </c>
    </row>
    <row r="549">
      <c r="A549" s="55" t="str">
        <f>IFERROR(__xludf.DUMMYFUNCTION("""COMPUTED_VALUE"""),"RSC006770")</f>
        <v>RSC006770</v>
      </c>
      <c r="B549" s="60" t="str">
        <f>IFERROR(__xludf.DUMMYFUNCTION("""COMPUTED_VALUE"""),"ExecutivePowers")</f>
        <v>ExecutivePowers</v>
      </c>
      <c r="C549" s="55" t="str">
        <f>IFERROR(__xludf.DUMMYFUNCTION("""COMPUTED_VALUE"""),"Rival")</f>
        <v>Rival</v>
      </c>
      <c r="D549" s="65">
        <f>IFERROR(__xludf.DUMMYFUNCTION("""COMPUTED_VALUE"""),65.16558753441942)</f>
        <v>65.16558753</v>
      </c>
      <c r="E549" s="66">
        <f>IFERROR(__xludf.DUMMYFUNCTION("""COMPUTED_VALUE"""),48.0)</f>
        <v>48</v>
      </c>
    </row>
    <row r="550">
      <c r="A550" s="55" t="str">
        <f>IFERROR(__xludf.DUMMYFUNCTION("""COMPUTED_VALUE"""),"RSC006832")</f>
        <v>RSC006832</v>
      </c>
      <c r="B550" s="60" t="str">
        <f>IFERROR(__xludf.DUMMYFUNCTION("""COMPUTED_VALUE"""),"Pandaliciously")</f>
        <v>Pandaliciously</v>
      </c>
      <c r="C550" s="55" t="str">
        <f>IFERROR(__xludf.DUMMYFUNCTION("""COMPUTED_VALUE"""),"Rival")</f>
        <v>Rival</v>
      </c>
      <c r="D550" s="65">
        <f>IFERROR(__xludf.DUMMYFUNCTION("""COMPUTED_VALUE"""),64.83752826544853)</f>
        <v>64.83752827</v>
      </c>
      <c r="E550" s="66">
        <f>IFERROR(__xludf.DUMMYFUNCTION("""COMPUTED_VALUE"""),48.0)</f>
        <v>48</v>
      </c>
    </row>
    <row r="551">
      <c r="A551" s="55" t="str">
        <f>IFERROR(__xludf.DUMMYFUNCTION("""COMPUTED_VALUE"""),"RSC008484")</f>
        <v>RSC008484</v>
      </c>
      <c r="B551" s="60" t="str">
        <f>IFERROR(__xludf.DUMMYFUNCTION("""COMPUTED_VALUE"""),"PshycoNot")</f>
        <v>PshycoNot</v>
      </c>
      <c r="C551" s="55" t="str">
        <f>IFERROR(__xludf.DUMMYFUNCTION("""COMPUTED_VALUE"""),"Rival")</f>
        <v>Rival</v>
      </c>
      <c r="D551" s="65">
        <f>IFERROR(__xludf.DUMMYFUNCTION("""COMPUTED_VALUE"""),64.63897282875205)</f>
        <v>64.63897283</v>
      </c>
      <c r="E551" s="66">
        <f>IFERROR(__xludf.DUMMYFUNCTION("""COMPUTED_VALUE"""),13.0)</f>
        <v>13</v>
      </c>
    </row>
    <row r="552">
      <c r="A552" s="55" t="str">
        <f>IFERROR(__xludf.DUMMYFUNCTION("""COMPUTED_VALUE"""),"RSC006209")</f>
        <v>RSC006209</v>
      </c>
      <c r="B552" s="60" t="str">
        <f>IFERROR(__xludf.DUMMYFUNCTION("""COMPUTED_VALUE"""),"Celiscy")</f>
        <v>Celiscy</v>
      </c>
      <c r="C552" s="55" t="str">
        <f>IFERROR(__xludf.DUMMYFUNCTION("""COMPUTED_VALUE"""),"Rival")</f>
        <v>Rival</v>
      </c>
      <c r="D552" s="65">
        <f>IFERROR(__xludf.DUMMYFUNCTION("""COMPUTED_VALUE"""),64.46640472659504)</f>
        <v>64.46640473</v>
      </c>
      <c r="E552" s="66">
        <f>IFERROR(__xludf.DUMMYFUNCTION("""COMPUTED_VALUE"""),52.0)</f>
        <v>52</v>
      </c>
    </row>
    <row r="553">
      <c r="A553" s="55" t="str">
        <f>IFERROR(__xludf.DUMMYFUNCTION("""COMPUTED_VALUE"""),"RSC006464")</f>
        <v>RSC006464</v>
      </c>
      <c r="B553" s="60" t="str">
        <f>IFERROR(__xludf.DUMMYFUNCTION("""COMPUTED_VALUE"""),"vAirwick")</f>
        <v>vAirwick</v>
      </c>
      <c r="C553" s="55" t="str">
        <f>IFERROR(__xludf.DUMMYFUNCTION("""COMPUTED_VALUE"""),"Rival")</f>
        <v>Rival</v>
      </c>
      <c r="D553" s="65">
        <f>IFERROR(__xludf.DUMMYFUNCTION("""COMPUTED_VALUE"""),64.07291078345041)</f>
        <v>64.07291078</v>
      </c>
      <c r="E553" s="66">
        <f>IFERROR(__xludf.DUMMYFUNCTION("""COMPUTED_VALUE"""),41.0)</f>
        <v>41</v>
      </c>
    </row>
    <row r="554">
      <c r="A554" s="55" t="str">
        <f>IFERROR(__xludf.DUMMYFUNCTION("""COMPUTED_VALUE"""),"RSC007144")</f>
        <v>RSC007144</v>
      </c>
      <c r="B554" s="60" t="str">
        <f>IFERROR(__xludf.DUMMYFUNCTION("""COMPUTED_VALUE"""),"The_Killerwon")</f>
        <v>The_Killerwon</v>
      </c>
      <c r="C554" s="55" t="str">
        <f>IFERROR(__xludf.DUMMYFUNCTION("""COMPUTED_VALUE"""),"Rival")</f>
        <v>Rival</v>
      </c>
      <c r="D554" s="65">
        <f>IFERROR(__xludf.DUMMYFUNCTION("""COMPUTED_VALUE"""),63.73718463556604)</f>
        <v>63.73718464</v>
      </c>
      <c r="E554" s="66">
        <f>IFERROR(__xludf.DUMMYFUNCTION("""COMPUTED_VALUE"""),49.0)</f>
        <v>49</v>
      </c>
    </row>
    <row r="555">
      <c r="A555" s="55" t="str">
        <f>IFERROR(__xludf.DUMMYFUNCTION("""COMPUTED_VALUE"""),"RSC004452")</f>
        <v>RSC004452</v>
      </c>
      <c r="B555" s="60" t="str">
        <f>IFERROR(__xludf.DUMMYFUNCTION("""COMPUTED_VALUE"""),"sleepzey")</f>
        <v>sleepzey</v>
      </c>
      <c r="C555" s="55" t="str">
        <f>IFERROR(__xludf.DUMMYFUNCTION("""COMPUTED_VALUE"""),"Rival")</f>
        <v>Rival</v>
      </c>
      <c r="D555" s="65">
        <f>IFERROR(__xludf.DUMMYFUNCTION("""COMPUTED_VALUE"""),62.944567310251976)</f>
        <v>62.94456731</v>
      </c>
      <c r="E555" s="66">
        <f>IFERROR(__xludf.DUMMYFUNCTION("""COMPUTED_VALUE"""),40.0)</f>
        <v>40</v>
      </c>
    </row>
    <row r="556">
      <c r="A556" s="55" t="str">
        <f>IFERROR(__xludf.DUMMYFUNCTION("""COMPUTED_VALUE"""),"RSC001720")</f>
        <v>RSC001720</v>
      </c>
      <c r="B556" s="60" t="str">
        <f>IFERROR(__xludf.DUMMYFUNCTION("""COMPUTED_VALUE"""),"SUPERDUPERBAM")</f>
        <v>SUPERDUPERBAM</v>
      </c>
      <c r="C556" s="55" t="str">
        <f>IFERROR(__xludf.DUMMYFUNCTION("""COMPUTED_VALUE"""),"Rival")</f>
        <v>Rival</v>
      </c>
      <c r="D556" s="65">
        <f>IFERROR(__xludf.DUMMYFUNCTION("""COMPUTED_VALUE"""),62.404049363512385)</f>
        <v>62.40404936</v>
      </c>
      <c r="E556" s="66">
        <f>IFERROR(__xludf.DUMMYFUNCTION("""COMPUTED_VALUE"""),24.0)</f>
        <v>24</v>
      </c>
    </row>
    <row r="557">
      <c r="A557" s="55" t="str">
        <f>IFERROR(__xludf.DUMMYFUNCTION("""COMPUTED_VALUE"""),"RSC005885")</f>
        <v>RSC005885</v>
      </c>
      <c r="B557" s="60" t="str">
        <f>IFERROR(__xludf.DUMMYFUNCTION("""COMPUTED_VALUE"""),"noot")</f>
        <v>noot</v>
      </c>
      <c r="C557" s="55" t="str">
        <f>IFERROR(__xludf.DUMMYFUNCTION("""COMPUTED_VALUE"""),"Rival")</f>
        <v>Rival</v>
      </c>
      <c r="D557" s="65">
        <f>IFERROR(__xludf.DUMMYFUNCTION("""COMPUTED_VALUE"""),62.22309970563949)</f>
        <v>62.22309971</v>
      </c>
      <c r="E557" s="66">
        <f>IFERROR(__xludf.DUMMYFUNCTION("""COMPUTED_VALUE"""),52.0)</f>
        <v>52</v>
      </c>
    </row>
    <row r="558">
      <c r="A558" s="55" t="str">
        <f>IFERROR(__xludf.DUMMYFUNCTION("""COMPUTED_VALUE"""),"RSC002841")</f>
        <v>RSC002841</v>
      </c>
      <c r="B558" s="60" t="str">
        <f>IFERROR(__xludf.DUMMYFUNCTION("""COMPUTED_VALUE"""),"dyl")</f>
        <v>dyl</v>
      </c>
      <c r="C558" s="55" t="str">
        <f>IFERROR(__xludf.DUMMYFUNCTION("""COMPUTED_VALUE"""),"Rival")</f>
        <v>Rival</v>
      </c>
      <c r="D558" s="65">
        <f>IFERROR(__xludf.DUMMYFUNCTION("""COMPUTED_VALUE"""),61.4240118961022)</f>
        <v>61.4240119</v>
      </c>
      <c r="E558" s="66">
        <f>IFERROR(__xludf.DUMMYFUNCTION("""COMPUTED_VALUE"""),12.0)</f>
        <v>12</v>
      </c>
    </row>
    <row r="559">
      <c r="A559" s="55" t="str">
        <f>IFERROR(__xludf.DUMMYFUNCTION("""COMPUTED_VALUE"""),"RSC004844")</f>
        <v>RSC004844</v>
      </c>
      <c r="B559" s="60" t="str">
        <f>IFERROR(__xludf.DUMMYFUNCTION("""COMPUTED_VALUE"""),"Calicat01")</f>
        <v>Calicat01</v>
      </c>
      <c r="C559" s="55" t="str">
        <f>IFERROR(__xludf.DUMMYFUNCTION("""COMPUTED_VALUE"""),"Rival")</f>
        <v>Rival</v>
      </c>
      <c r="D559" s="65">
        <f>IFERROR(__xludf.DUMMYFUNCTION("""COMPUTED_VALUE"""),61.29735246654159)</f>
        <v>61.29735247</v>
      </c>
      <c r="E559" s="66">
        <f>IFERROR(__xludf.DUMMYFUNCTION("""COMPUTED_VALUE"""),31.0)</f>
        <v>31</v>
      </c>
    </row>
    <row r="560">
      <c r="A560" s="55" t="str">
        <f>IFERROR(__xludf.DUMMYFUNCTION("""COMPUTED_VALUE"""),"RSC002267")</f>
        <v>RSC002267</v>
      </c>
      <c r="B560" s="60" t="str">
        <f>IFERROR(__xludf.DUMMYFUNCTION("""COMPUTED_VALUE"""),"Dooqal")</f>
        <v>Dooqal</v>
      </c>
      <c r="C560" s="55" t="str">
        <f>IFERROR(__xludf.DUMMYFUNCTION("""COMPUTED_VALUE"""),"Rival")</f>
        <v>Rival</v>
      </c>
      <c r="D560" s="65">
        <f>IFERROR(__xludf.DUMMYFUNCTION("""COMPUTED_VALUE"""),61.24797258290649)</f>
        <v>61.24797258</v>
      </c>
      <c r="E560" s="66">
        <f>IFERROR(__xludf.DUMMYFUNCTION("""COMPUTED_VALUE"""),46.0)</f>
        <v>46</v>
      </c>
    </row>
    <row r="561">
      <c r="A561" s="55" t="str">
        <f>IFERROR(__xludf.DUMMYFUNCTION("""COMPUTED_VALUE"""),"RSC008290")</f>
        <v>RSC008290</v>
      </c>
      <c r="B561" s="60" t="str">
        <f>IFERROR(__xludf.DUMMYFUNCTION("""COMPUTED_VALUE"""),"KrsOneTwoThree1")</f>
        <v>KrsOneTwoThree1</v>
      </c>
      <c r="C561" s="55" t="str">
        <f>IFERROR(__xludf.DUMMYFUNCTION("""COMPUTED_VALUE"""),"Rival")</f>
        <v>Rival</v>
      </c>
      <c r="D561" s="65">
        <f>IFERROR(__xludf.DUMMYFUNCTION("""COMPUTED_VALUE"""),61.227136844328946)</f>
        <v>61.22713684</v>
      </c>
      <c r="E561" s="66">
        <f>IFERROR(__xludf.DUMMYFUNCTION("""COMPUTED_VALUE"""),56.0)</f>
        <v>56</v>
      </c>
    </row>
    <row r="562">
      <c r="A562" s="55" t="str">
        <f>IFERROR(__xludf.DUMMYFUNCTION("""COMPUTED_VALUE"""),"RSC005523")</f>
        <v>RSC005523</v>
      </c>
      <c r="B562" s="60" t="str">
        <f>IFERROR(__xludf.DUMMYFUNCTION("""COMPUTED_VALUE"""),"Laguna")</f>
        <v>Laguna</v>
      </c>
      <c r="C562" s="55" t="str">
        <f>IFERROR(__xludf.DUMMYFUNCTION("""COMPUTED_VALUE"""),"Rival")</f>
        <v>Rival</v>
      </c>
      <c r="D562" s="65">
        <f>IFERROR(__xludf.DUMMYFUNCTION("""COMPUTED_VALUE"""),61.1786390184633)</f>
        <v>61.17863902</v>
      </c>
      <c r="E562" s="66">
        <f>IFERROR(__xludf.DUMMYFUNCTION("""COMPUTED_VALUE"""),56.0)</f>
        <v>56</v>
      </c>
    </row>
    <row r="563">
      <c r="A563" s="55" t="str">
        <f>IFERROR(__xludf.DUMMYFUNCTION("""COMPUTED_VALUE"""),"RSC005978")</f>
        <v>RSC005978</v>
      </c>
      <c r="B563" s="60" t="str">
        <f>IFERROR(__xludf.DUMMYFUNCTION("""COMPUTED_VALUE"""),"Xdraco0")</f>
        <v>Xdraco0</v>
      </c>
      <c r="C563" s="55" t="str">
        <f>IFERROR(__xludf.DUMMYFUNCTION("""COMPUTED_VALUE"""),"Rival")</f>
        <v>Rival</v>
      </c>
      <c r="D563" s="65">
        <f>IFERROR(__xludf.DUMMYFUNCTION("""COMPUTED_VALUE"""),60.39508209467989)</f>
        <v>60.39508209</v>
      </c>
      <c r="E563" s="66">
        <f>IFERROR(__xludf.DUMMYFUNCTION("""COMPUTED_VALUE"""),47.0)</f>
        <v>47</v>
      </c>
    </row>
    <row r="564">
      <c r="A564" s="55" t="str">
        <f>IFERROR(__xludf.DUMMYFUNCTION("""COMPUTED_VALUE"""),"RSC006489")</f>
        <v>RSC006489</v>
      </c>
      <c r="B564" s="60" t="str">
        <f>IFERROR(__xludf.DUMMYFUNCTION("""COMPUTED_VALUE"""),"bayylock")</f>
        <v>bayylock</v>
      </c>
      <c r="C564" s="55" t="str">
        <f>IFERROR(__xludf.DUMMYFUNCTION("""COMPUTED_VALUE"""),"Rival")</f>
        <v>Rival</v>
      </c>
      <c r="D564" s="65">
        <f>IFERROR(__xludf.DUMMYFUNCTION("""COMPUTED_VALUE"""),60.16599458590056)</f>
        <v>60.16599459</v>
      </c>
      <c r="E564" s="66">
        <f>IFERROR(__xludf.DUMMYFUNCTION("""COMPUTED_VALUE"""),45.0)</f>
        <v>45</v>
      </c>
    </row>
    <row r="565">
      <c r="A565" s="55" t="str">
        <f>IFERROR(__xludf.DUMMYFUNCTION("""COMPUTED_VALUE"""),"RSC006774")</f>
        <v>RSC006774</v>
      </c>
      <c r="B565" s="60" t="str">
        <f>IFERROR(__xludf.DUMMYFUNCTION("""COMPUTED_VALUE"""),"JazzMagic.")</f>
        <v>JazzMagic.</v>
      </c>
      <c r="C565" s="55" t="str">
        <f>IFERROR(__xludf.DUMMYFUNCTION("""COMPUTED_VALUE"""),"Rival")</f>
        <v>Rival</v>
      </c>
      <c r="D565" s="65">
        <f>IFERROR(__xludf.DUMMYFUNCTION("""COMPUTED_VALUE"""),59.90446262284779)</f>
        <v>59.90446262</v>
      </c>
      <c r="E565" s="66">
        <f>IFERROR(__xludf.DUMMYFUNCTION("""COMPUTED_VALUE"""),55.0)</f>
        <v>55</v>
      </c>
    </row>
    <row r="566">
      <c r="A566" s="55" t="str">
        <f>IFERROR(__xludf.DUMMYFUNCTION("""COMPUTED_VALUE"""),"RSC008487")</f>
        <v>RSC008487</v>
      </c>
      <c r="B566" s="60" t="str">
        <f>IFERROR(__xludf.DUMMYFUNCTION("""COMPUTED_VALUE"""),"S3 UniQ")</f>
        <v>S3 UniQ</v>
      </c>
      <c r="C566" s="55" t="str">
        <f>IFERROR(__xludf.DUMMYFUNCTION("""COMPUTED_VALUE"""),"Rival")</f>
        <v>Rival</v>
      </c>
      <c r="D566" s="65">
        <f>IFERROR(__xludf.DUMMYFUNCTION("""COMPUTED_VALUE"""),59.6067832801195)</f>
        <v>59.60678328</v>
      </c>
      <c r="E566" s="66">
        <f>IFERROR(__xludf.DUMMYFUNCTION("""COMPUTED_VALUE"""),50.0)</f>
        <v>50</v>
      </c>
    </row>
    <row r="567">
      <c r="A567" s="55" t="str">
        <f>IFERROR(__xludf.DUMMYFUNCTION("""COMPUTED_VALUE"""),"RSC000519")</f>
        <v>RSC000519</v>
      </c>
      <c r="B567" s="60" t="str">
        <f>IFERROR(__xludf.DUMMYFUNCTION("""COMPUTED_VALUE"""),"bovi")</f>
        <v>bovi</v>
      </c>
      <c r="C567" s="55" t="str">
        <f>IFERROR(__xludf.DUMMYFUNCTION("""COMPUTED_VALUE"""),"Rival")</f>
        <v>Rival</v>
      </c>
      <c r="D567" s="65">
        <f>IFERROR(__xludf.DUMMYFUNCTION("""COMPUTED_VALUE"""),58.9592340145465)</f>
        <v>58.95923401</v>
      </c>
      <c r="E567" s="66">
        <f>IFERROR(__xludf.DUMMYFUNCTION("""COMPUTED_VALUE"""),56.0)</f>
        <v>56</v>
      </c>
    </row>
    <row r="568">
      <c r="A568" s="55" t="str">
        <f>IFERROR(__xludf.DUMMYFUNCTION("""COMPUTED_VALUE"""),"RSC002960")</f>
        <v>RSC002960</v>
      </c>
      <c r="B568" s="60" t="str">
        <f>IFERROR(__xludf.DUMMYFUNCTION("""COMPUTED_VALUE"""),"Shrek Is The Best Anime")</f>
        <v>Shrek Is The Best Anime</v>
      </c>
      <c r="C568" s="55" t="str">
        <f>IFERROR(__xludf.DUMMYFUNCTION("""COMPUTED_VALUE"""),"Rival")</f>
        <v>Rival</v>
      </c>
      <c r="D568" s="65">
        <f>IFERROR(__xludf.DUMMYFUNCTION("""COMPUTED_VALUE"""),58.73627803885504)</f>
        <v>58.73627804</v>
      </c>
      <c r="E568" s="66">
        <f>IFERROR(__xludf.DUMMYFUNCTION("""COMPUTED_VALUE"""),53.0)</f>
        <v>53</v>
      </c>
    </row>
    <row r="569">
      <c r="A569" s="55" t="str">
        <f>IFERROR(__xludf.DUMMYFUNCTION("""COMPUTED_VALUE"""),"RSC007624")</f>
        <v>RSC007624</v>
      </c>
      <c r="B569" s="60" t="str">
        <f>IFERROR(__xludf.DUMMYFUNCTION("""COMPUTED_VALUE"""),"Extended")</f>
        <v>Extended</v>
      </c>
      <c r="C569" s="55" t="str">
        <f>IFERROR(__xludf.DUMMYFUNCTION("""COMPUTED_VALUE"""),"Rival")</f>
        <v>Rival</v>
      </c>
      <c r="D569" s="65">
        <f>IFERROR(__xludf.DUMMYFUNCTION("""COMPUTED_VALUE"""),57.85620695450789)</f>
        <v>57.85620695</v>
      </c>
      <c r="E569" s="66">
        <f>IFERROR(__xludf.DUMMYFUNCTION("""COMPUTED_VALUE"""),31.0)</f>
        <v>31</v>
      </c>
    </row>
    <row r="570">
      <c r="A570" s="55" t="str">
        <f>IFERROR(__xludf.DUMMYFUNCTION("""COMPUTED_VALUE"""),"RSC007256")</f>
        <v>RSC007256</v>
      </c>
      <c r="B570" s="60" t="str">
        <f>IFERROR(__xludf.DUMMYFUNCTION("""COMPUTED_VALUE"""),"Destined Odst666")</f>
        <v>Destined Odst666</v>
      </c>
      <c r="C570" s="55" t="str">
        <f>IFERROR(__xludf.DUMMYFUNCTION("""COMPUTED_VALUE"""),"Rival")</f>
        <v>Rival</v>
      </c>
      <c r="D570" s="65">
        <f>IFERROR(__xludf.DUMMYFUNCTION("""COMPUTED_VALUE"""),57.58687393232053)</f>
        <v>57.58687393</v>
      </c>
      <c r="E570" s="66">
        <f>IFERROR(__xludf.DUMMYFUNCTION("""COMPUTED_VALUE"""),52.0)</f>
        <v>52</v>
      </c>
    </row>
    <row r="571">
      <c r="A571" s="55" t="str">
        <f>IFERROR(__xludf.DUMMYFUNCTION("""COMPUTED_VALUE"""),"RSC002809")</f>
        <v>RSC002809</v>
      </c>
      <c r="B571" s="60" t="str">
        <f>IFERROR(__xludf.DUMMYFUNCTION("""COMPUTED_VALUE"""),"bubles")</f>
        <v>bubles</v>
      </c>
      <c r="C571" s="55" t="str">
        <f>IFERROR(__xludf.DUMMYFUNCTION("""COMPUTED_VALUE"""),"Rival")</f>
        <v>Rival</v>
      </c>
      <c r="D571" s="65">
        <f>IFERROR(__xludf.DUMMYFUNCTION("""COMPUTED_VALUE"""),57.30030122379206)</f>
        <v>57.30030122</v>
      </c>
      <c r="E571" s="66">
        <f>IFERROR(__xludf.DUMMYFUNCTION("""COMPUTED_VALUE"""),43.0)</f>
        <v>43</v>
      </c>
    </row>
    <row r="572">
      <c r="A572" s="55" t="str">
        <f>IFERROR(__xludf.DUMMYFUNCTION("""COMPUTED_VALUE"""),"RSC008217")</f>
        <v>RSC008217</v>
      </c>
      <c r="B572" s="60" t="str">
        <f>IFERROR(__xludf.DUMMYFUNCTION("""COMPUTED_VALUE"""),"Legitmrmouse")</f>
        <v>Legitmrmouse</v>
      </c>
      <c r="C572" s="55" t="str">
        <f>IFERROR(__xludf.DUMMYFUNCTION("""COMPUTED_VALUE"""),"Rival")</f>
        <v>Rival</v>
      </c>
      <c r="D572" s="65">
        <f>IFERROR(__xludf.DUMMYFUNCTION("""COMPUTED_VALUE"""),57.29798213487247)</f>
        <v>57.29798213</v>
      </c>
      <c r="E572" s="66">
        <f>IFERROR(__xludf.DUMMYFUNCTION("""COMPUTED_VALUE"""),53.0)</f>
        <v>53</v>
      </c>
    </row>
    <row r="573">
      <c r="A573" s="55" t="str">
        <f>IFERROR(__xludf.DUMMYFUNCTION("""COMPUTED_VALUE"""),"RSC008259")</f>
        <v>RSC008259</v>
      </c>
      <c r="B573" s="60" t="str">
        <f>IFERROR(__xludf.DUMMYFUNCTION("""COMPUTED_VALUE"""),"Puma")</f>
        <v>Puma</v>
      </c>
      <c r="C573" s="55" t="str">
        <f>IFERROR(__xludf.DUMMYFUNCTION("""COMPUTED_VALUE"""),"Rival")</f>
        <v>Rival</v>
      </c>
      <c r="D573" s="65">
        <f>IFERROR(__xludf.DUMMYFUNCTION("""COMPUTED_VALUE"""),57.123350278300094)</f>
        <v>57.12335028</v>
      </c>
      <c r="E573" s="66">
        <f>IFERROR(__xludf.DUMMYFUNCTION("""COMPUTED_VALUE"""),39.0)</f>
        <v>39</v>
      </c>
    </row>
    <row r="574">
      <c r="A574" s="55" t="str">
        <f>IFERROR(__xludf.DUMMYFUNCTION("""COMPUTED_VALUE"""),"RSC008465")</f>
        <v>RSC008465</v>
      </c>
      <c r="B574" s="60" t="str">
        <f>IFERROR(__xludf.DUMMYFUNCTION("""COMPUTED_VALUE"""),"IncorrectTerror")</f>
        <v>IncorrectTerror</v>
      </c>
      <c r="C574" s="55" t="str">
        <f>IFERROR(__xludf.DUMMYFUNCTION("""COMPUTED_VALUE"""),"Rival")</f>
        <v>Rival</v>
      </c>
      <c r="D574" s="65">
        <f>IFERROR(__xludf.DUMMYFUNCTION("""COMPUTED_VALUE"""),57.11609196681136)</f>
        <v>57.11609197</v>
      </c>
      <c r="E574" s="66">
        <f>IFERROR(__xludf.DUMMYFUNCTION("""COMPUTED_VALUE"""),46.0)</f>
        <v>46</v>
      </c>
    </row>
    <row r="575">
      <c r="A575" s="55" t="str">
        <f>IFERROR(__xludf.DUMMYFUNCTION("""COMPUTED_VALUE"""),"RSC007600")</f>
        <v>RSC007600</v>
      </c>
      <c r="B575" s="60" t="str">
        <f>IFERROR(__xludf.DUMMYFUNCTION("""COMPUTED_VALUE"""),"CN Tyson")</f>
        <v>CN Tyson</v>
      </c>
      <c r="C575" s="55" t="str">
        <f>IFERROR(__xludf.DUMMYFUNCTION("""COMPUTED_VALUE"""),"Rival")</f>
        <v>Rival</v>
      </c>
      <c r="D575" s="65">
        <f>IFERROR(__xludf.DUMMYFUNCTION("""COMPUTED_VALUE"""),56.07056573064801)</f>
        <v>56.07056573</v>
      </c>
      <c r="E575" s="66">
        <f>IFERROR(__xludf.DUMMYFUNCTION("""COMPUTED_VALUE"""),41.0)</f>
        <v>41</v>
      </c>
    </row>
    <row r="576">
      <c r="A576" s="55" t="str">
        <f>IFERROR(__xludf.DUMMYFUNCTION("""COMPUTED_VALUE"""),"RSC007307")</f>
        <v>RSC007307</v>
      </c>
      <c r="B576" s="60" t="str">
        <f>IFERROR(__xludf.DUMMYFUNCTION("""COMPUTED_VALUE"""),"Jmh187-")</f>
        <v>Jmh187-</v>
      </c>
      <c r="C576" s="55" t="str">
        <f>IFERROR(__xludf.DUMMYFUNCTION("""COMPUTED_VALUE"""),"Rival")</f>
        <v>Rival</v>
      </c>
      <c r="D576" s="65">
        <f>IFERROR(__xludf.DUMMYFUNCTION("""COMPUTED_VALUE"""),55.80606564366684)</f>
        <v>55.80606564</v>
      </c>
      <c r="E576" s="66">
        <f>IFERROR(__xludf.DUMMYFUNCTION("""COMPUTED_VALUE"""),31.0)</f>
        <v>31</v>
      </c>
    </row>
    <row r="577">
      <c r="A577" s="55" t="str">
        <f>IFERROR(__xludf.DUMMYFUNCTION("""COMPUTED_VALUE"""),"RSC008191")</f>
        <v>RSC008191</v>
      </c>
      <c r="B577" s="60" t="str">
        <f>IFERROR(__xludf.DUMMYFUNCTION("""COMPUTED_VALUE"""),"Crowbar7570")</f>
        <v>Crowbar7570</v>
      </c>
      <c r="C577" s="55" t="str">
        <f>IFERROR(__xludf.DUMMYFUNCTION("""COMPUTED_VALUE"""),"Rival")</f>
        <v>Rival</v>
      </c>
      <c r="D577" s="65">
        <f>IFERROR(__xludf.DUMMYFUNCTION("""COMPUTED_VALUE"""),55.758437526420245)</f>
        <v>55.75843753</v>
      </c>
      <c r="E577" s="66">
        <f>IFERROR(__xludf.DUMMYFUNCTION("""COMPUTED_VALUE"""),43.0)</f>
        <v>43</v>
      </c>
    </row>
    <row r="578">
      <c r="A578" s="55" t="str">
        <f>IFERROR(__xludf.DUMMYFUNCTION("""COMPUTED_VALUE"""),"RSC008138")</f>
        <v>RSC008138</v>
      </c>
      <c r="B578" s="60" t="str">
        <f>IFERROR(__xludf.DUMMYFUNCTION("""COMPUTED_VALUE"""),"Skillz Issue")</f>
        <v>Skillz Issue</v>
      </c>
      <c r="C578" s="55" t="str">
        <f>IFERROR(__xludf.DUMMYFUNCTION("""COMPUTED_VALUE"""),"Rival")</f>
        <v>Rival</v>
      </c>
      <c r="D578" s="65">
        <f>IFERROR(__xludf.DUMMYFUNCTION("""COMPUTED_VALUE"""),54.7814100368658)</f>
        <v>54.78141004</v>
      </c>
      <c r="E578" s="66">
        <f>IFERROR(__xludf.DUMMYFUNCTION("""COMPUTED_VALUE"""),35.0)</f>
        <v>35</v>
      </c>
    </row>
    <row r="579">
      <c r="A579" s="55" t="str">
        <f>IFERROR(__xludf.DUMMYFUNCTION("""COMPUTED_VALUE"""),"RSC006212")</f>
        <v>RSC006212</v>
      </c>
      <c r="B579" s="60" t="str">
        <f>IFERROR(__xludf.DUMMYFUNCTION("""COMPUTED_VALUE"""),"Kingtutt97")</f>
        <v>Kingtutt97</v>
      </c>
      <c r="C579" s="55" t="str">
        <f>IFERROR(__xludf.DUMMYFUNCTION("""COMPUTED_VALUE"""),"Rival")</f>
        <v>Rival</v>
      </c>
      <c r="D579" s="65">
        <f>IFERROR(__xludf.DUMMYFUNCTION("""COMPUTED_VALUE"""),54.73825558232474)</f>
        <v>54.73825558</v>
      </c>
      <c r="E579" s="66">
        <f>IFERROR(__xludf.DUMMYFUNCTION("""COMPUTED_VALUE"""),51.0)</f>
        <v>51</v>
      </c>
    </row>
    <row r="580">
      <c r="A580" s="55" t="str">
        <f>IFERROR(__xludf.DUMMYFUNCTION("""COMPUTED_VALUE"""),"RSC008119")</f>
        <v>RSC008119</v>
      </c>
      <c r="B580" s="60" t="str">
        <f>IFERROR(__xludf.DUMMYFUNCTION("""COMPUTED_VALUE"""),"SlimmySlimReaper")</f>
        <v>SlimmySlimReaper</v>
      </c>
      <c r="C580" s="55" t="str">
        <f>IFERROR(__xludf.DUMMYFUNCTION("""COMPUTED_VALUE"""),"Rival")</f>
        <v>Rival</v>
      </c>
      <c r="D580" s="65">
        <f>IFERROR(__xludf.DUMMYFUNCTION("""COMPUTED_VALUE"""),54.428584824272164)</f>
        <v>54.42858482</v>
      </c>
      <c r="E580" s="66">
        <f>IFERROR(__xludf.DUMMYFUNCTION("""COMPUTED_VALUE"""),16.0)</f>
        <v>16</v>
      </c>
    </row>
    <row r="581">
      <c r="A581" s="55" t="str">
        <f>IFERROR(__xludf.DUMMYFUNCTION("""COMPUTED_VALUE"""),"RSC000025")</f>
        <v>RSC000025</v>
      </c>
      <c r="B581" s="60" t="str">
        <f>IFERROR(__xludf.DUMMYFUNCTION("""COMPUTED_VALUE"""),"Slayerof666")</f>
        <v>Slayerof666</v>
      </c>
      <c r="C581" s="55" t="str">
        <f>IFERROR(__xludf.DUMMYFUNCTION("""COMPUTED_VALUE"""),"Rival")</f>
        <v>Rival</v>
      </c>
      <c r="D581" s="65">
        <f>IFERROR(__xludf.DUMMYFUNCTION("""COMPUTED_VALUE"""),54.3706561027523)</f>
        <v>54.3706561</v>
      </c>
      <c r="E581" s="66">
        <f>IFERROR(__xludf.DUMMYFUNCTION("""COMPUTED_VALUE"""),20.0)</f>
        <v>20</v>
      </c>
    </row>
    <row r="582">
      <c r="A582" s="55" t="str">
        <f>IFERROR(__xludf.DUMMYFUNCTION("""COMPUTED_VALUE"""),"RSC005386")</f>
        <v>RSC005386</v>
      </c>
      <c r="B582" s="60" t="str">
        <f>IFERROR(__xludf.DUMMYFUNCTION("""COMPUTED_VALUE"""),"Danub")</f>
        <v>Danub</v>
      </c>
      <c r="C582" s="55" t="str">
        <f>IFERROR(__xludf.DUMMYFUNCTION("""COMPUTED_VALUE"""),"Rival")</f>
        <v>Rival</v>
      </c>
      <c r="D582" s="65">
        <f>IFERROR(__xludf.DUMMYFUNCTION("""COMPUTED_VALUE"""),54.17819816805246)</f>
        <v>54.17819817</v>
      </c>
      <c r="E582" s="66">
        <f>IFERROR(__xludf.DUMMYFUNCTION("""COMPUTED_VALUE"""),42.0)</f>
        <v>42</v>
      </c>
    </row>
    <row r="583">
      <c r="A583" s="55" t="str">
        <f>IFERROR(__xludf.DUMMYFUNCTION("""COMPUTED_VALUE"""),"RSC005507")</f>
        <v>RSC005507</v>
      </c>
      <c r="B583" s="60" t="str">
        <f>IFERROR(__xludf.DUMMYFUNCTION("""COMPUTED_VALUE"""),"T Sant")</f>
        <v>T Sant</v>
      </c>
      <c r="C583" s="55" t="str">
        <f>IFERROR(__xludf.DUMMYFUNCTION("""COMPUTED_VALUE"""),"Rival")</f>
        <v>Rival</v>
      </c>
      <c r="D583" s="65">
        <f>IFERROR(__xludf.DUMMYFUNCTION("""COMPUTED_VALUE"""),53.924953739215624)</f>
        <v>53.92495374</v>
      </c>
      <c r="E583" s="66">
        <f>IFERROR(__xludf.DUMMYFUNCTION("""COMPUTED_VALUE"""),52.0)</f>
        <v>52</v>
      </c>
    </row>
    <row r="584">
      <c r="A584" s="55" t="str">
        <f>IFERROR(__xludf.DUMMYFUNCTION("""COMPUTED_VALUE"""),"RSC008226")</f>
        <v>RSC008226</v>
      </c>
      <c r="B584" s="60" t="str">
        <f>IFERROR(__xludf.DUMMYFUNCTION("""COMPUTED_VALUE"""),"OurStevie")</f>
        <v>OurStevie</v>
      </c>
      <c r="C584" s="55" t="str">
        <f>IFERROR(__xludf.DUMMYFUNCTION("""COMPUTED_VALUE"""),"Rival")</f>
        <v>Rival</v>
      </c>
      <c r="D584" s="65">
        <f>IFERROR(__xludf.DUMMYFUNCTION("""COMPUTED_VALUE"""),53.77591066631114)</f>
        <v>53.77591067</v>
      </c>
      <c r="E584" s="66">
        <f>IFERROR(__xludf.DUMMYFUNCTION("""COMPUTED_VALUE"""),33.0)</f>
        <v>33</v>
      </c>
    </row>
    <row r="585">
      <c r="A585" s="55" t="str">
        <f>IFERROR(__xludf.DUMMYFUNCTION("""COMPUTED_VALUE"""),"RSC006072")</f>
        <v>RSC006072</v>
      </c>
      <c r="B585" s="60" t="str">
        <f>IFERROR(__xludf.DUMMYFUNCTION("""COMPUTED_VALUE"""),"AveX InceptionZ")</f>
        <v>AveX InceptionZ</v>
      </c>
      <c r="C585" s="55" t="str">
        <f>IFERROR(__xludf.DUMMYFUNCTION("""COMPUTED_VALUE"""),"Rival")</f>
        <v>Rival</v>
      </c>
      <c r="D585" s="65">
        <f>IFERROR(__xludf.DUMMYFUNCTION("""COMPUTED_VALUE"""),53.271232713048896)</f>
        <v>53.27123271</v>
      </c>
      <c r="E585" s="66">
        <f>IFERROR(__xludf.DUMMYFUNCTION("""COMPUTED_VALUE"""),48.0)</f>
        <v>48</v>
      </c>
    </row>
    <row r="586">
      <c r="A586" s="55" t="str">
        <f>IFERROR(__xludf.DUMMYFUNCTION("""COMPUTED_VALUE"""),"RSC008331")</f>
        <v>RSC008331</v>
      </c>
      <c r="B586" s="60" t="str">
        <f>IFERROR(__xludf.DUMMYFUNCTION("""COMPUTED_VALUE"""),"Hanz Simmer")</f>
        <v>Hanz Simmer</v>
      </c>
      <c r="C586" s="55" t="str">
        <f>IFERROR(__xludf.DUMMYFUNCTION("""COMPUTED_VALUE"""),"Rival")</f>
        <v>Rival</v>
      </c>
      <c r="D586" s="65">
        <f>IFERROR(__xludf.DUMMYFUNCTION("""COMPUTED_VALUE"""),52.51803969244786)</f>
        <v>52.51803969</v>
      </c>
      <c r="E586" s="66">
        <f>IFERROR(__xludf.DUMMYFUNCTION("""COMPUTED_VALUE"""),38.0)</f>
        <v>38</v>
      </c>
    </row>
    <row r="587">
      <c r="A587" s="55" t="str">
        <f>IFERROR(__xludf.DUMMYFUNCTION("""COMPUTED_VALUE"""),"RSC008000")</f>
        <v>RSC008000</v>
      </c>
      <c r="B587" s="60" t="str">
        <f>IFERROR(__xludf.DUMMYFUNCTION("""COMPUTED_VALUE"""),"ChefHoffy")</f>
        <v>ChefHoffy</v>
      </c>
      <c r="C587" s="55" t="str">
        <f>IFERROR(__xludf.DUMMYFUNCTION("""COMPUTED_VALUE"""),"Rival")</f>
        <v>Rival</v>
      </c>
      <c r="D587" s="65">
        <f>IFERROR(__xludf.DUMMYFUNCTION("""COMPUTED_VALUE"""),52.44474088615721)</f>
        <v>52.44474089</v>
      </c>
      <c r="E587" s="66">
        <f>IFERROR(__xludf.DUMMYFUNCTION("""COMPUTED_VALUE"""),56.0)</f>
        <v>56</v>
      </c>
    </row>
    <row r="588">
      <c r="A588" s="55" t="str">
        <f>IFERROR(__xludf.DUMMYFUNCTION("""COMPUTED_VALUE"""),"RSC002413")</f>
        <v>RSC002413</v>
      </c>
      <c r="B588" s="60" t="str">
        <f>IFERROR(__xludf.DUMMYFUNCTION("""COMPUTED_VALUE"""),"dafiya711")</f>
        <v>dafiya711</v>
      </c>
      <c r="C588" s="55" t="str">
        <f>IFERROR(__xludf.DUMMYFUNCTION("""COMPUTED_VALUE"""),"Rival")</f>
        <v>Rival</v>
      </c>
      <c r="D588" s="65">
        <f>IFERROR(__xludf.DUMMYFUNCTION("""COMPUTED_VALUE"""),51.902546286122295)</f>
        <v>51.90254629</v>
      </c>
      <c r="E588" s="66">
        <f>IFERROR(__xludf.DUMMYFUNCTION("""COMPUTED_VALUE"""),20.0)</f>
        <v>20</v>
      </c>
    </row>
    <row r="589">
      <c r="A589" s="55" t="str">
        <f>IFERROR(__xludf.DUMMYFUNCTION("""COMPUTED_VALUE"""),"RSC005827")</f>
        <v>RSC005827</v>
      </c>
      <c r="B589" s="60" t="str">
        <f>IFERROR(__xludf.DUMMYFUNCTION("""COMPUTED_VALUE"""),"Machi")</f>
        <v>Machi</v>
      </c>
      <c r="C589" s="55" t="str">
        <f>IFERROR(__xludf.DUMMYFUNCTION("""COMPUTED_VALUE"""),"Rival")</f>
        <v>Rival</v>
      </c>
      <c r="D589" s="65">
        <f>IFERROR(__xludf.DUMMYFUNCTION("""COMPUTED_VALUE"""),51.7284785952007)</f>
        <v>51.7284786</v>
      </c>
      <c r="E589" s="66">
        <f>IFERROR(__xludf.DUMMYFUNCTION("""COMPUTED_VALUE"""),12.0)</f>
        <v>12</v>
      </c>
    </row>
    <row r="590">
      <c r="A590" s="55" t="str">
        <f>IFERROR(__xludf.DUMMYFUNCTION("""COMPUTED_VALUE"""),"RSC001893")</f>
        <v>RSC001893</v>
      </c>
      <c r="B590" s="60" t="str">
        <f>IFERROR(__xludf.DUMMYFUNCTION("""COMPUTED_VALUE"""),"cjax")</f>
        <v>cjax</v>
      </c>
      <c r="C590" s="55" t="str">
        <f>IFERROR(__xludf.DUMMYFUNCTION("""COMPUTED_VALUE"""),"Rival")</f>
        <v>Rival</v>
      </c>
      <c r="D590" s="65">
        <f>IFERROR(__xludf.DUMMYFUNCTION("""COMPUTED_VALUE"""),51.6878020390805)</f>
        <v>51.68780204</v>
      </c>
      <c r="E590" s="66">
        <f>IFERROR(__xludf.DUMMYFUNCTION("""COMPUTED_VALUE"""),43.0)</f>
        <v>43</v>
      </c>
    </row>
    <row r="591">
      <c r="A591" s="55" t="str">
        <f>IFERROR(__xludf.DUMMYFUNCTION("""COMPUTED_VALUE"""),"RSC007897")</f>
        <v>RSC007897</v>
      </c>
      <c r="B591" s="60" t="str">
        <f>IFERROR(__xludf.DUMMYFUNCTION("""COMPUTED_VALUE"""),"Synnicall")</f>
        <v>Synnicall</v>
      </c>
      <c r="C591" s="55" t="str">
        <f>IFERROR(__xludf.DUMMYFUNCTION("""COMPUTED_VALUE"""),"Rival")</f>
        <v>Rival</v>
      </c>
      <c r="D591" s="65">
        <f>IFERROR(__xludf.DUMMYFUNCTION("""COMPUTED_VALUE"""),51.65967348076157)</f>
        <v>51.65967348</v>
      </c>
      <c r="E591" s="66">
        <f>IFERROR(__xludf.DUMMYFUNCTION("""COMPUTED_VALUE"""),46.0)</f>
        <v>46</v>
      </c>
    </row>
    <row r="592">
      <c r="A592" s="55" t="str">
        <f>IFERROR(__xludf.DUMMYFUNCTION("""COMPUTED_VALUE"""),"RSC007590")</f>
        <v>RSC007590</v>
      </c>
      <c r="B592" s="60" t="str">
        <f>IFERROR(__xludf.DUMMYFUNCTION("""COMPUTED_VALUE"""),"DonkeyPancakes2")</f>
        <v>DonkeyPancakes2</v>
      </c>
      <c r="C592" s="55" t="str">
        <f>IFERROR(__xludf.DUMMYFUNCTION("""COMPUTED_VALUE"""),"Rival")</f>
        <v>Rival</v>
      </c>
      <c r="D592" s="65">
        <f>IFERROR(__xludf.DUMMYFUNCTION("""COMPUTED_VALUE"""),51.524405644855904)</f>
        <v>51.52440564</v>
      </c>
      <c r="E592" s="66">
        <f>IFERROR(__xludf.DUMMYFUNCTION("""COMPUTED_VALUE"""),29.0)</f>
        <v>29</v>
      </c>
    </row>
    <row r="593">
      <c r="A593" s="55" t="str">
        <f>IFERROR(__xludf.DUMMYFUNCTION("""COMPUTED_VALUE"""),"RSC002415")</f>
        <v>RSC002415</v>
      </c>
      <c r="B593" s="60" t="str">
        <f>IFERROR(__xludf.DUMMYFUNCTION("""COMPUTED_VALUE"""),"Goum")</f>
        <v>Goum</v>
      </c>
      <c r="C593" s="55" t="str">
        <f>IFERROR(__xludf.DUMMYFUNCTION("""COMPUTED_VALUE"""),"Rival")</f>
        <v>Rival</v>
      </c>
      <c r="D593" s="65">
        <f>IFERROR(__xludf.DUMMYFUNCTION("""COMPUTED_VALUE"""),50.43426494907009)</f>
        <v>50.43426495</v>
      </c>
      <c r="E593" s="66">
        <f>IFERROR(__xludf.DUMMYFUNCTION("""COMPUTED_VALUE"""),12.0)</f>
        <v>12</v>
      </c>
    </row>
    <row r="594">
      <c r="A594" s="55" t="str">
        <f>IFERROR(__xludf.DUMMYFUNCTION("""COMPUTED_VALUE"""),"RSC006069")</f>
        <v>RSC006069</v>
      </c>
      <c r="B594" s="60" t="str">
        <f>IFERROR(__xludf.DUMMYFUNCTION("""COMPUTED_VALUE"""),"PoupSoup")</f>
        <v>PoupSoup</v>
      </c>
      <c r="C594" s="55" t="str">
        <f>IFERROR(__xludf.DUMMYFUNCTION("""COMPUTED_VALUE"""),"Rival")</f>
        <v>Rival</v>
      </c>
      <c r="D594" s="65">
        <f>IFERROR(__xludf.DUMMYFUNCTION("""COMPUTED_VALUE"""),50.26028687663356)</f>
        <v>50.26028688</v>
      </c>
      <c r="E594" s="66">
        <f>IFERROR(__xludf.DUMMYFUNCTION("""COMPUTED_VALUE"""),55.0)</f>
        <v>55</v>
      </c>
    </row>
    <row r="595">
      <c r="A595" s="55" t="str">
        <f>IFERROR(__xludf.DUMMYFUNCTION("""COMPUTED_VALUE"""),"RSC006748")</f>
        <v>RSC006748</v>
      </c>
      <c r="B595" s="60" t="str">
        <f>IFERROR(__xludf.DUMMYFUNCTION("""COMPUTED_VALUE"""),"Llamaboy101")</f>
        <v>Llamaboy101</v>
      </c>
      <c r="C595" s="55" t="str">
        <f>IFERROR(__xludf.DUMMYFUNCTION("""COMPUTED_VALUE"""),"Rival")</f>
        <v>Rival</v>
      </c>
      <c r="D595" s="65">
        <f>IFERROR(__xludf.DUMMYFUNCTION("""COMPUTED_VALUE"""),49.4926588810164)</f>
        <v>49.49265888</v>
      </c>
      <c r="E595" s="66">
        <f>IFERROR(__xludf.DUMMYFUNCTION("""COMPUTED_VALUE"""),24.0)</f>
        <v>24</v>
      </c>
    </row>
    <row r="596">
      <c r="A596" s="55" t="str">
        <f>IFERROR(__xludf.DUMMYFUNCTION("""COMPUTED_VALUE"""),"RSC000813")</f>
        <v>RSC000813</v>
      </c>
      <c r="B596" s="60" t="str">
        <f>IFERROR(__xludf.DUMMYFUNCTION("""COMPUTED_VALUE"""),"Ziggy.")</f>
        <v>Ziggy.</v>
      </c>
      <c r="C596" s="55" t="str">
        <f>IFERROR(__xludf.DUMMYFUNCTION("""COMPUTED_VALUE"""),"Rival")</f>
        <v>Rival</v>
      </c>
      <c r="D596" s="65">
        <f>IFERROR(__xludf.DUMMYFUNCTION("""COMPUTED_VALUE"""),49.17008316718149)</f>
        <v>49.17008317</v>
      </c>
      <c r="E596" s="66">
        <f>IFERROR(__xludf.DUMMYFUNCTION("""COMPUTED_VALUE"""),12.0)</f>
        <v>12</v>
      </c>
    </row>
    <row r="597">
      <c r="A597" s="55" t="str">
        <f>IFERROR(__xludf.DUMMYFUNCTION("""COMPUTED_VALUE"""),"RSC007453")</f>
        <v>RSC007453</v>
      </c>
      <c r="B597" s="60" t="str">
        <f>IFERROR(__xludf.DUMMYFUNCTION("""COMPUTED_VALUE"""),"TheDoy420")</f>
        <v>TheDoy420</v>
      </c>
      <c r="C597" s="55" t="str">
        <f>IFERROR(__xludf.DUMMYFUNCTION("""COMPUTED_VALUE"""),"Rival")</f>
        <v>Rival</v>
      </c>
      <c r="D597" s="65">
        <f>IFERROR(__xludf.DUMMYFUNCTION("""COMPUTED_VALUE"""),48.971814230810054)</f>
        <v>48.97181423</v>
      </c>
      <c r="E597" s="66">
        <f>IFERROR(__xludf.DUMMYFUNCTION("""COMPUTED_VALUE"""),13.0)</f>
        <v>13</v>
      </c>
    </row>
    <row r="598">
      <c r="A598" s="55" t="str">
        <f>IFERROR(__xludf.DUMMYFUNCTION("""COMPUTED_VALUE"""),"RSC002982")</f>
        <v>RSC002982</v>
      </c>
      <c r="B598" s="60" t="str">
        <f>IFERROR(__xludf.DUMMYFUNCTION("""COMPUTED_VALUE"""),"AyoChil1")</f>
        <v>AyoChil1</v>
      </c>
      <c r="C598" s="55" t="str">
        <f>IFERROR(__xludf.DUMMYFUNCTION("""COMPUTED_VALUE"""),"Rival")</f>
        <v>Rival</v>
      </c>
      <c r="D598" s="65">
        <f>IFERROR(__xludf.DUMMYFUNCTION("""COMPUTED_VALUE"""),48.5733066298643)</f>
        <v>48.57330663</v>
      </c>
      <c r="E598" s="66">
        <f>IFERROR(__xludf.DUMMYFUNCTION("""COMPUTED_VALUE"""),52.0)</f>
        <v>52</v>
      </c>
    </row>
    <row r="599">
      <c r="A599" s="55" t="str">
        <f>IFERROR(__xludf.DUMMYFUNCTION("""COMPUTED_VALUE"""),"RSC002931")</f>
        <v>RSC002931</v>
      </c>
      <c r="B599" s="60" t="str">
        <f>IFERROR(__xludf.DUMMYFUNCTION("""COMPUTED_VALUE"""),"Reeky")</f>
        <v>Reeky</v>
      </c>
      <c r="C599" s="55" t="str">
        <f>IFERROR(__xludf.DUMMYFUNCTION("""COMPUTED_VALUE"""),"Rival")</f>
        <v>Rival</v>
      </c>
      <c r="D599" s="65">
        <f>IFERROR(__xludf.DUMMYFUNCTION("""COMPUTED_VALUE"""),48.38759106127997)</f>
        <v>48.38759106</v>
      </c>
      <c r="E599" s="66">
        <f>IFERROR(__xludf.DUMMYFUNCTION("""COMPUTED_VALUE"""),23.0)</f>
        <v>23</v>
      </c>
    </row>
    <row r="600">
      <c r="A600" s="55" t="str">
        <f>IFERROR(__xludf.DUMMYFUNCTION("""COMPUTED_VALUE"""),"RSC007549")</f>
        <v>RSC007549</v>
      </c>
      <c r="B600" s="60" t="str">
        <f>IFERROR(__xludf.DUMMYFUNCTION("""COMPUTED_VALUE"""),"Whiffy_RL")</f>
        <v>Whiffy_RL</v>
      </c>
      <c r="C600" s="55" t="str">
        <f>IFERROR(__xludf.DUMMYFUNCTION("""COMPUTED_VALUE"""),"Rival")</f>
        <v>Rival</v>
      </c>
      <c r="D600" s="65">
        <f>IFERROR(__xludf.DUMMYFUNCTION("""COMPUTED_VALUE"""),48.22960438956457)</f>
        <v>48.22960439</v>
      </c>
      <c r="E600" s="66">
        <f>IFERROR(__xludf.DUMMYFUNCTION("""COMPUTED_VALUE"""),13.0)</f>
        <v>13</v>
      </c>
    </row>
    <row r="601">
      <c r="A601" s="55" t="str">
        <f>IFERROR(__xludf.DUMMYFUNCTION("""COMPUTED_VALUE"""),"RSC004888")</f>
        <v>RSC004888</v>
      </c>
      <c r="B601" s="60" t="str">
        <f>IFERROR(__xludf.DUMMYFUNCTION("""COMPUTED_VALUE"""),"AgentAnime07")</f>
        <v>AgentAnime07</v>
      </c>
      <c r="C601" s="55" t="str">
        <f>IFERROR(__xludf.DUMMYFUNCTION("""COMPUTED_VALUE"""),"Rival")</f>
        <v>Rival</v>
      </c>
      <c r="D601" s="65">
        <f>IFERROR(__xludf.DUMMYFUNCTION("""COMPUTED_VALUE"""),47.59419539083672)</f>
        <v>47.59419539</v>
      </c>
      <c r="E601" s="66">
        <f>IFERROR(__xludf.DUMMYFUNCTION("""COMPUTED_VALUE"""),39.0)</f>
        <v>39</v>
      </c>
    </row>
    <row r="602">
      <c r="A602" s="55" t="str">
        <f>IFERROR(__xludf.DUMMYFUNCTION("""COMPUTED_VALUE"""),"RSC002427")</f>
        <v>RSC002427</v>
      </c>
      <c r="B602" s="60" t="str">
        <f>IFERROR(__xludf.DUMMYFUNCTION("""COMPUTED_VALUE"""),"Free.")</f>
        <v>Free.</v>
      </c>
      <c r="C602" s="55" t="str">
        <f>IFERROR(__xludf.DUMMYFUNCTION("""COMPUTED_VALUE"""),"Rival")</f>
        <v>Rival</v>
      </c>
      <c r="D602" s="65">
        <f>IFERROR(__xludf.DUMMYFUNCTION("""COMPUTED_VALUE"""),47.32587602176183)</f>
        <v>47.32587602</v>
      </c>
      <c r="E602" s="66">
        <f>IFERROR(__xludf.DUMMYFUNCTION("""COMPUTED_VALUE"""),40.0)</f>
        <v>40</v>
      </c>
    </row>
    <row r="603">
      <c r="A603" s="55" t="str">
        <f>IFERROR(__xludf.DUMMYFUNCTION("""COMPUTED_VALUE"""),"RSC008293")</f>
        <v>RSC008293</v>
      </c>
      <c r="B603" s="60" t="str">
        <f>IFERROR(__xludf.DUMMYFUNCTION("""COMPUTED_VALUE"""),"Tall_28")</f>
        <v>Tall_28</v>
      </c>
      <c r="C603" s="55" t="str">
        <f>IFERROR(__xludf.DUMMYFUNCTION("""COMPUTED_VALUE"""),"Rival")</f>
        <v>Rival</v>
      </c>
      <c r="D603" s="65">
        <f>IFERROR(__xludf.DUMMYFUNCTION("""COMPUTED_VALUE"""),47.31127835062626)</f>
        <v>47.31127835</v>
      </c>
      <c r="E603" s="66">
        <f>IFERROR(__xludf.DUMMYFUNCTION("""COMPUTED_VALUE"""),34.0)</f>
        <v>34</v>
      </c>
    </row>
    <row r="604">
      <c r="A604" s="55" t="str">
        <f>IFERROR(__xludf.DUMMYFUNCTION("""COMPUTED_VALUE"""),"RSC008533")</f>
        <v>RSC008533</v>
      </c>
      <c r="B604" s="60" t="str">
        <f>IFERROR(__xludf.DUMMYFUNCTION("""COMPUTED_VALUE"""),"Malik_P4")</f>
        <v>Malik_P4</v>
      </c>
      <c r="C604" s="55" t="str">
        <f>IFERROR(__xludf.DUMMYFUNCTION("""COMPUTED_VALUE"""),"Rival")</f>
        <v>Rival</v>
      </c>
      <c r="D604" s="65">
        <f>IFERROR(__xludf.DUMMYFUNCTION("""COMPUTED_VALUE"""),47.00983304860631)</f>
        <v>47.00983305</v>
      </c>
      <c r="E604" s="66">
        <f>IFERROR(__xludf.DUMMYFUNCTION("""COMPUTED_VALUE"""),28.0)</f>
        <v>28</v>
      </c>
    </row>
    <row r="605">
      <c r="A605" s="55" t="str">
        <f>IFERROR(__xludf.DUMMYFUNCTION("""COMPUTED_VALUE"""),"RSC000796")</f>
        <v>RSC000796</v>
      </c>
      <c r="B605" s="60" t="str">
        <f>IFERROR(__xludf.DUMMYFUNCTION("""COMPUTED_VALUE"""),"hoyci")</f>
        <v>hoyci</v>
      </c>
      <c r="C605" s="55" t="str">
        <f>IFERROR(__xludf.DUMMYFUNCTION("""COMPUTED_VALUE"""),"Rival")</f>
        <v>Rival</v>
      </c>
      <c r="D605" s="65">
        <f>IFERROR(__xludf.DUMMYFUNCTION("""COMPUTED_VALUE"""),46.716454022827016)</f>
        <v>46.71645402</v>
      </c>
      <c r="E605" s="66">
        <f>IFERROR(__xludf.DUMMYFUNCTION("""COMPUTED_VALUE"""),21.0)</f>
        <v>21</v>
      </c>
    </row>
    <row r="606">
      <c r="A606" s="55" t="str">
        <f>IFERROR(__xludf.DUMMYFUNCTION("""COMPUTED_VALUE"""),"RSC007222")</f>
        <v>RSC007222</v>
      </c>
      <c r="B606" s="60" t="str">
        <f>IFERROR(__xludf.DUMMYFUNCTION("""COMPUTED_VALUE"""),"S3EZ")</f>
        <v>S3EZ</v>
      </c>
      <c r="C606" s="55" t="str">
        <f>IFERROR(__xludf.DUMMYFUNCTION("""COMPUTED_VALUE"""),"Rival")</f>
        <v>Rival</v>
      </c>
      <c r="D606" s="65">
        <f>IFERROR(__xludf.DUMMYFUNCTION("""COMPUTED_VALUE"""),45.655621009499164)</f>
        <v>45.65562101</v>
      </c>
      <c r="E606" s="66">
        <f>IFERROR(__xludf.DUMMYFUNCTION("""COMPUTED_VALUE"""),34.0)</f>
        <v>34</v>
      </c>
    </row>
    <row r="607">
      <c r="A607" s="55" t="str">
        <f>IFERROR(__xludf.DUMMYFUNCTION("""COMPUTED_VALUE"""),"RSC004665")</f>
        <v>RSC004665</v>
      </c>
      <c r="B607" s="60" t="str">
        <f>IFERROR(__xludf.DUMMYFUNCTION("""COMPUTED_VALUE"""),"xPrism")</f>
        <v>xPrism</v>
      </c>
      <c r="C607" s="55" t="str">
        <f>IFERROR(__xludf.DUMMYFUNCTION("""COMPUTED_VALUE"""),"Rival")</f>
        <v>Rival</v>
      </c>
      <c r="D607" s="65">
        <f>IFERROR(__xludf.DUMMYFUNCTION("""COMPUTED_VALUE"""),45.46838880314667)</f>
        <v>45.4683888</v>
      </c>
      <c r="E607" s="66">
        <f>IFERROR(__xludf.DUMMYFUNCTION("""COMPUTED_VALUE"""),42.0)</f>
        <v>42</v>
      </c>
    </row>
    <row r="608">
      <c r="A608" s="55" t="str">
        <f>IFERROR(__xludf.DUMMYFUNCTION("""COMPUTED_VALUE"""),"RSC007961")</f>
        <v>RSC007961</v>
      </c>
      <c r="B608" s="60" t="str">
        <f>IFERROR(__xludf.DUMMYFUNCTION("""COMPUTED_VALUE"""),"Skrilpp")</f>
        <v>Skrilpp</v>
      </c>
      <c r="C608" s="55" t="str">
        <f>IFERROR(__xludf.DUMMYFUNCTION("""COMPUTED_VALUE"""),"Rival")</f>
        <v>Rival</v>
      </c>
      <c r="D608" s="65">
        <f>IFERROR(__xludf.DUMMYFUNCTION("""COMPUTED_VALUE"""),44.97828564504418)</f>
        <v>44.97828565</v>
      </c>
      <c r="E608" s="66">
        <f>IFERROR(__xludf.DUMMYFUNCTION("""COMPUTED_VALUE"""),10.0)</f>
        <v>10</v>
      </c>
    </row>
    <row r="609">
      <c r="A609" s="55" t="str">
        <f>IFERROR(__xludf.DUMMYFUNCTION("""COMPUTED_VALUE"""),"RSC005752")</f>
        <v>RSC005752</v>
      </c>
      <c r="B609" s="60" t="str">
        <f>IFERROR(__xludf.DUMMYFUNCTION("""COMPUTED_VALUE"""),"Surge85")</f>
        <v>Surge85</v>
      </c>
      <c r="C609" s="55" t="str">
        <f>IFERROR(__xludf.DUMMYFUNCTION("""COMPUTED_VALUE"""),"Rival")</f>
        <v>Rival</v>
      </c>
      <c r="D609" s="65">
        <f>IFERROR(__xludf.DUMMYFUNCTION("""COMPUTED_VALUE"""),44.78098126161641)</f>
        <v>44.78098126</v>
      </c>
      <c r="E609" s="66">
        <f>IFERROR(__xludf.DUMMYFUNCTION("""COMPUTED_VALUE"""),52.0)</f>
        <v>52</v>
      </c>
    </row>
    <row r="610">
      <c r="A610" s="55" t="str">
        <f>IFERROR(__xludf.DUMMYFUNCTION("""COMPUTED_VALUE"""),"RSC000331")</f>
        <v>RSC000331</v>
      </c>
      <c r="B610" s="60" t="str">
        <f>IFERROR(__xludf.DUMMYFUNCTION("""COMPUTED_VALUE"""),"Turtle_Supreme")</f>
        <v>Turtle_Supreme</v>
      </c>
      <c r="C610" s="55" t="str">
        <f>IFERROR(__xludf.DUMMYFUNCTION("""COMPUTED_VALUE"""),"Rival")</f>
        <v>Rival</v>
      </c>
      <c r="D610" s="65">
        <f>IFERROR(__xludf.DUMMYFUNCTION("""COMPUTED_VALUE"""),44.60032069955045)</f>
        <v>44.6003207</v>
      </c>
      <c r="E610" s="66">
        <f>IFERROR(__xludf.DUMMYFUNCTION("""COMPUTED_VALUE"""),52.0)</f>
        <v>52</v>
      </c>
    </row>
    <row r="611">
      <c r="A611" s="55" t="str">
        <f>IFERROR(__xludf.DUMMYFUNCTION("""COMPUTED_VALUE"""),"RSC008517")</f>
        <v>RSC008517</v>
      </c>
      <c r="B611" s="60" t="str">
        <f>IFERROR(__xludf.DUMMYFUNCTION("""COMPUTED_VALUE"""),"MOX jori")</f>
        <v>MOX jori</v>
      </c>
      <c r="C611" s="55" t="str">
        <f>IFERROR(__xludf.DUMMYFUNCTION("""COMPUTED_VALUE"""),"Rival")</f>
        <v>Rival</v>
      </c>
      <c r="D611" s="65">
        <f>IFERROR(__xludf.DUMMYFUNCTION("""COMPUTED_VALUE"""),44.5218342024903)</f>
        <v>44.5218342</v>
      </c>
      <c r="E611" s="66">
        <f>IFERROR(__xludf.DUMMYFUNCTION("""COMPUTED_VALUE"""),10.0)</f>
        <v>10</v>
      </c>
    </row>
    <row r="612">
      <c r="A612" s="55" t="str">
        <f>IFERROR(__xludf.DUMMYFUNCTION("""COMPUTED_VALUE"""),"RSC007546")</f>
        <v>RSC007546</v>
      </c>
      <c r="B612" s="60" t="str">
        <f>IFERROR(__xludf.DUMMYFUNCTION("""COMPUTED_VALUE"""),"N0TTopmarx")</f>
        <v>N0TTopmarx</v>
      </c>
      <c r="C612" s="55" t="str">
        <f>IFERROR(__xludf.DUMMYFUNCTION("""COMPUTED_VALUE"""),"Rival")</f>
        <v>Rival</v>
      </c>
      <c r="D612" s="65">
        <f>IFERROR(__xludf.DUMMYFUNCTION("""COMPUTED_VALUE"""),44.07051740425989)</f>
        <v>44.0705174</v>
      </c>
      <c r="E612" s="66">
        <f>IFERROR(__xludf.DUMMYFUNCTION("""COMPUTED_VALUE"""),28.0)</f>
        <v>28</v>
      </c>
    </row>
    <row r="613">
      <c r="A613" s="55" t="str">
        <f>IFERROR(__xludf.DUMMYFUNCTION("""COMPUTED_VALUE"""),"RSC007904")</f>
        <v>RSC007904</v>
      </c>
      <c r="B613" s="60" t="str">
        <f>IFERROR(__xludf.DUMMYFUNCTION("""COMPUTED_VALUE"""),"branthedan")</f>
        <v>branthedan</v>
      </c>
      <c r="C613" s="55" t="str">
        <f>IFERROR(__xludf.DUMMYFUNCTION("""COMPUTED_VALUE"""),"Rival")</f>
        <v>Rival</v>
      </c>
      <c r="D613" s="65">
        <f>IFERROR(__xludf.DUMMYFUNCTION("""COMPUTED_VALUE"""),43.41096246733511)</f>
        <v>43.41096247</v>
      </c>
      <c r="E613" s="66">
        <f>IFERROR(__xludf.DUMMYFUNCTION("""COMPUTED_VALUE"""),55.0)</f>
        <v>55</v>
      </c>
    </row>
    <row r="614">
      <c r="A614" s="55" t="str">
        <f>IFERROR(__xludf.DUMMYFUNCTION("""COMPUTED_VALUE"""),"RSC001082")</f>
        <v>RSC001082</v>
      </c>
      <c r="B614" s="60" t="str">
        <f>IFERROR(__xludf.DUMMYFUNCTION("""COMPUTED_VALUE"""),"Tuxedo Marx")</f>
        <v>Tuxedo Marx</v>
      </c>
      <c r="C614" s="55" t="str">
        <f>IFERROR(__xludf.DUMMYFUNCTION("""COMPUTED_VALUE"""),"Rival")</f>
        <v>Rival</v>
      </c>
      <c r="D614" s="65">
        <f>IFERROR(__xludf.DUMMYFUNCTION("""COMPUTED_VALUE"""),42.722939939121964)</f>
        <v>42.72293994</v>
      </c>
      <c r="E614" s="66">
        <f>IFERROR(__xludf.DUMMYFUNCTION("""COMPUTED_VALUE"""),22.0)</f>
        <v>22</v>
      </c>
    </row>
    <row r="615">
      <c r="A615" s="55" t="str">
        <f>IFERROR(__xludf.DUMMYFUNCTION("""COMPUTED_VALUE"""),"RSC008502")</f>
        <v>RSC008502</v>
      </c>
      <c r="B615" s="60" t="str">
        <f>IFERROR(__xludf.DUMMYFUNCTION("""COMPUTED_VALUE"""),"Jetwind17")</f>
        <v>Jetwind17</v>
      </c>
      <c r="C615" s="55" t="str">
        <f>IFERROR(__xludf.DUMMYFUNCTION("""COMPUTED_VALUE"""),"Rival")</f>
        <v>Rival</v>
      </c>
      <c r="D615" s="65">
        <f>IFERROR(__xludf.DUMMYFUNCTION("""COMPUTED_VALUE"""),42.2397092792538)</f>
        <v>42.23970928</v>
      </c>
      <c r="E615" s="66">
        <f>IFERROR(__xludf.DUMMYFUNCTION("""COMPUTED_VALUE"""),20.0)</f>
        <v>20</v>
      </c>
    </row>
    <row r="616">
      <c r="A616" s="55" t="str">
        <f>IFERROR(__xludf.DUMMYFUNCTION("""COMPUTED_VALUE"""),"RSC006543")</f>
        <v>RSC006543</v>
      </c>
      <c r="B616" s="60" t="str">
        <f>IFERROR(__xludf.DUMMYFUNCTION("""COMPUTED_VALUE"""),"MasonJar")</f>
        <v>MasonJar</v>
      </c>
      <c r="C616" s="55" t="str">
        <f>IFERROR(__xludf.DUMMYFUNCTION("""COMPUTED_VALUE"""),"Rival")</f>
        <v>Rival</v>
      </c>
      <c r="D616" s="65">
        <f>IFERROR(__xludf.DUMMYFUNCTION("""COMPUTED_VALUE"""),41.948214584594794)</f>
        <v>41.94821458</v>
      </c>
      <c r="E616" s="66">
        <f>IFERROR(__xludf.DUMMYFUNCTION("""COMPUTED_VALUE"""),39.0)</f>
        <v>39</v>
      </c>
    </row>
    <row r="617">
      <c r="A617" s="55" t="str">
        <f>IFERROR(__xludf.DUMMYFUNCTION("""COMPUTED_VALUE"""),"RSC001358")</f>
        <v>RSC001358</v>
      </c>
      <c r="B617" s="60" t="str">
        <f>IFERROR(__xludf.DUMMYFUNCTION("""COMPUTED_VALUE"""),"Cob")</f>
        <v>Cob</v>
      </c>
      <c r="C617" s="55" t="str">
        <f>IFERROR(__xludf.DUMMYFUNCTION("""COMPUTED_VALUE"""),"Rival")</f>
        <v>Rival</v>
      </c>
      <c r="D617" s="65">
        <f>IFERROR(__xludf.DUMMYFUNCTION("""COMPUTED_VALUE"""),41.87335860093633)</f>
        <v>41.8733586</v>
      </c>
      <c r="E617" s="66">
        <f>IFERROR(__xludf.DUMMYFUNCTION("""COMPUTED_VALUE"""),52.0)</f>
        <v>52</v>
      </c>
    </row>
    <row r="618">
      <c r="A618" s="55" t="str">
        <f>IFERROR(__xludf.DUMMYFUNCTION("""COMPUTED_VALUE"""),"RSC006017")</f>
        <v>RSC006017</v>
      </c>
      <c r="B618" s="60" t="str">
        <f>IFERROR(__xludf.DUMMYFUNCTION("""COMPUTED_VALUE"""),"Dondo RF")</f>
        <v>Dondo RF</v>
      </c>
      <c r="C618" s="55" t="str">
        <f>IFERROR(__xludf.DUMMYFUNCTION("""COMPUTED_VALUE"""),"Rival")</f>
        <v>Rival</v>
      </c>
      <c r="D618" s="65">
        <f>IFERROR(__xludf.DUMMYFUNCTION("""COMPUTED_VALUE"""),41.71473988789161)</f>
        <v>41.71473989</v>
      </c>
      <c r="E618" s="66">
        <f>IFERROR(__xludf.DUMMYFUNCTION("""COMPUTED_VALUE"""),52.0)</f>
        <v>52</v>
      </c>
    </row>
    <row r="619">
      <c r="A619" s="55" t="str">
        <f>IFERROR(__xludf.DUMMYFUNCTION("""COMPUTED_VALUE"""),"RSC006753")</f>
        <v>RSC006753</v>
      </c>
      <c r="B619" s="60" t="str">
        <f>IFERROR(__xludf.DUMMYFUNCTION("""COMPUTED_VALUE"""),"wakinguptomoney.")</f>
        <v>wakinguptomoney.</v>
      </c>
      <c r="C619" s="55" t="str">
        <f>IFERROR(__xludf.DUMMYFUNCTION("""COMPUTED_VALUE"""),"Rival")</f>
        <v>Rival</v>
      </c>
      <c r="D619" s="65">
        <f>IFERROR(__xludf.DUMMYFUNCTION("""COMPUTED_VALUE"""),41.15246796684301)</f>
        <v>41.15246797</v>
      </c>
      <c r="E619" s="66">
        <f>IFERROR(__xludf.DUMMYFUNCTION("""COMPUTED_VALUE"""),13.0)</f>
        <v>13</v>
      </c>
    </row>
    <row r="620">
      <c r="A620" s="55" t="str">
        <f>IFERROR(__xludf.DUMMYFUNCTION("""COMPUTED_VALUE"""),"RSC008442")</f>
        <v>RSC008442</v>
      </c>
      <c r="B620" s="60" t="str">
        <f>IFERROR(__xludf.DUMMYFUNCTION("""COMPUTED_VALUE"""),"Billionninja")</f>
        <v>Billionninja</v>
      </c>
      <c r="C620" s="55" t="str">
        <f>IFERROR(__xludf.DUMMYFUNCTION("""COMPUTED_VALUE"""),"Rival")</f>
        <v>Rival</v>
      </c>
      <c r="D620" s="65">
        <f>IFERROR(__xludf.DUMMYFUNCTION("""COMPUTED_VALUE"""),40.95275103769286)</f>
        <v>40.95275104</v>
      </c>
      <c r="E620" s="66">
        <f>IFERROR(__xludf.DUMMYFUNCTION("""COMPUTED_VALUE"""),36.0)</f>
        <v>36</v>
      </c>
    </row>
    <row r="621">
      <c r="A621" s="55" t="str">
        <f>IFERROR(__xludf.DUMMYFUNCTION("""COMPUTED_VALUE"""),"RSC007065")</f>
        <v>RSC007065</v>
      </c>
      <c r="B621" s="60" t="str">
        <f>IFERROR(__xludf.DUMMYFUNCTION("""COMPUTED_VALUE"""),"Rampage")</f>
        <v>Rampage</v>
      </c>
      <c r="C621" s="55" t="str">
        <f>IFERROR(__xludf.DUMMYFUNCTION("""COMPUTED_VALUE"""),"Rival")</f>
        <v>Rival</v>
      </c>
      <c r="D621" s="65">
        <f>IFERROR(__xludf.DUMMYFUNCTION("""COMPUTED_VALUE"""),40.720500306951784)</f>
        <v>40.72050031</v>
      </c>
      <c r="E621" s="66">
        <f>IFERROR(__xludf.DUMMYFUNCTION("""COMPUTED_VALUE"""),23.0)</f>
        <v>23</v>
      </c>
    </row>
    <row r="622">
      <c r="A622" s="55" t="str">
        <f>IFERROR(__xludf.DUMMYFUNCTION("""COMPUTED_VALUE"""),"RSC004188")</f>
        <v>RSC004188</v>
      </c>
      <c r="B622" s="60" t="str">
        <f>IFERROR(__xludf.DUMMYFUNCTION("""COMPUTED_VALUE"""),"wntr/x")</f>
        <v>wntr/x</v>
      </c>
      <c r="C622" s="55" t="str">
        <f>IFERROR(__xludf.DUMMYFUNCTION("""COMPUTED_VALUE"""),"Rival")</f>
        <v>Rival</v>
      </c>
      <c r="D622" s="65">
        <f>IFERROR(__xludf.DUMMYFUNCTION("""COMPUTED_VALUE"""),40.482749456613945)</f>
        <v>40.48274946</v>
      </c>
      <c r="E622" s="66">
        <f>IFERROR(__xludf.DUMMYFUNCTION("""COMPUTED_VALUE"""),44.0)</f>
        <v>44</v>
      </c>
    </row>
    <row r="623">
      <c r="A623" s="55" t="str">
        <f>IFERROR(__xludf.DUMMYFUNCTION("""COMPUTED_VALUE"""),"RSC007560")</f>
        <v>RSC007560</v>
      </c>
      <c r="B623" s="60" t="str">
        <f>IFERROR(__xludf.DUMMYFUNCTION("""COMPUTED_VALUE"""),"ObiWan_Can_O_Bee")</f>
        <v>ObiWan_Can_O_Bee</v>
      </c>
      <c r="C623" s="55" t="str">
        <f>IFERROR(__xludf.DUMMYFUNCTION("""COMPUTED_VALUE"""),"Rival")</f>
        <v>Rival</v>
      </c>
      <c r="D623" s="65">
        <f>IFERROR(__xludf.DUMMYFUNCTION("""COMPUTED_VALUE"""),39.794465145991666)</f>
        <v>39.79446515</v>
      </c>
      <c r="E623" s="66">
        <f>IFERROR(__xludf.DUMMYFUNCTION("""COMPUTED_VALUE"""),47.0)</f>
        <v>47</v>
      </c>
    </row>
    <row r="624">
      <c r="A624" s="55" t="str">
        <f>IFERROR(__xludf.DUMMYFUNCTION("""COMPUTED_VALUE"""),"RSC004177")</f>
        <v>RSC004177</v>
      </c>
      <c r="B624" s="60" t="str">
        <f>IFERROR(__xludf.DUMMYFUNCTION("""COMPUTED_VALUE"""),"Abeillonnaise")</f>
        <v>Abeillonnaise</v>
      </c>
      <c r="C624" s="55" t="str">
        <f>IFERROR(__xludf.DUMMYFUNCTION("""COMPUTED_VALUE"""),"Rival")</f>
        <v>Rival</v>
      </c>
      <c r="D624" s="65">
        <f>IFERROR(__xludf.DUMMYFUNCTION("""COMPUTED_VALUE"""),39.14418348531968)</f>
        <v>39.14418349</v>
      </c>
      <c r="E624" s="66">
        <f>IFERROR(__xludf.DUMMYFUNCTION("""COMPUTED_VALUE"""),18.0)</f>
        <v>18</v>
      </c>
    </row>
    <row r="625">
      <c r="A625" s="55" t="str">
        <f>IFERROR(__xludf.DUMMYFUNCTION("""COMPUTED_VALUE"""),"RSC003536")</f>
        <v>RSC003536</v>
      </c>
      <c r="B625" s="60" t="str">
        <f>IFERROR(__xludf.DUMMYFUNCTION("""COMPUTED_VALUE"""),"Charlemagne")</f>
        <v>Charlemagne</v>
      </c>
      <c r="C625" s="55" t="str">
        <f>IFERROR(__xludf.DUMMYFUNCTION("""COMPUTED_VALUE"""),"Rival")</f>
        <v>Rival</v>
      </c>
      <c r="D625" s="65">
        <f>IFERROR(__xludf.DUMMYFUNCTION("""COMPUTED_VALUE"""),38.63200853076722)</f>
        <v>38.63200853</v>
      </c>
      <c r="E625" s="66">
        <f>IFERROR(__xludf.DUMMYFUNCTION("""COMPUTED_VALUE"""),41.0)</f>
        <v>41</v>
      </c>
    </row>
    <row r="626">
      <c r="A626" s="55" t="str">
        <f>IFERROR(__xludf.DUMMYFUNCTION("""COMPUTED_VALUE"""),"RSC006928")</f>
        <v>RSC006928</v>
      </c>
      <c r="B626" s="60" t="str">
        <f>IFERROR(__xludf.DUMMYFUNCTION("""COMPUTED_VALUE"""),"Thunderbolt")</f>
        <v>Thunderbolt</v>
      </c>
      <c r="C626" s="55" t="str">
        <f>IFERROR(__xludf.DUMMYFUNCTION("""COMPUTED_VALUE"""),"Rival")</f>
        <v>Rival</v>
      </c>
      <c r="D626" s="65">
        <f>IFERROR(__xludf.DUMMYFUNCTION("""COMPUTED_VALUE"""),37.705087263825206)</f>
        <v>37.70508726</v>
      </c>
      <c r="E626" s="66">
        <f>IFERROR(__xludf.DUMMYFUNCTION("""COMPUTED_VALUE"""),48.0)</f>
        <v>48</v>
      </c>
    </row>
    <row r="627">
      <c r="A627" s="55" t="str">
        <f>IFERROR(__xludf.DUMMYFUNCTION("""COMPUTED_VALUE"""),"RSC008154")</f>
        <v>RSC008154</v>
      </c>
      <c r="B627" s="60" t="str">
        <f>IFERROR(__xludf.DUMMYFUNCTION("""COMPUTED_VALUE"""),"Blurrryy.")</f>
        <v>Blurrryy.</v>
      </c>
      <c r="C627" s="55" t="str">
        <f>IFERROR(__xludf.DUMMYFUNCTION("""COMPUTED_VALUE"""),"Rival")</f>
        <v>Rival</v>
      </c>
      <c r="D627" s="65">
        <f>IFERROR(__xludf.DUMMYFUNCTION("""COMPUTED_VALUE"""),37.18511091941819)</f>
        <v>37.18511092</v>
      </c>
      <c r="E627" s="66">
        <f>IFERROR(__xludf.DUMMYFUNCTION("""COMPUTED_VALUE"""),37.0)</f>
        <v>37</v>
      </c>
    </row>
    <row r="628">
      <c r="A628" s="55" t="str">
        <f>IFERROR(__xludf.DUMMYFUNCTION("""COMPUTED_VALUE"""),"RSC005289")</f>
        <v>RSC005289</v>
      </c>
      <c r="B628" s="60" t="str">
        <f>IFERROR(__xludf.DUMMYFUNCTION("""COMPUTED_VALUE"""),"Gilly-_")</f>
        <v>Gilly-_</v>
      </c>
      <c r="C628" s="55" t="str">
        <f>IFERROR(__xludf.DUMMYFUNCTION("""COMPUTED_VALUE"""),"Rival")</f>
        <v>Rival</v>
      </c>
      <c r="D628" s="65">
        <f>IFERROR(__xludf.DUMMYFUNCTION("""COMPUTED_VALUE"""),36.615694166631535)</f>
        <v>36.61569417</v>
      </c>
      <c r="E628" s="66">
        <f>IFERROR(__xludf.DUMMYFUNCTION("""COMPUTED_VALUE"""),42.0)</f>
        <v>42</v>
      </c>
    </row>
    <row r="629">
      <c r="A629" s="55" t="str">
        <f>IFERROR(__xludf.DUMMYFUNCTION("""COMPUTED_VALUE"""),"RSC008341")</f>
        <v>RSC008341</v>
      </c>
      <c r="B629" s="60" t="str">
        <f>IFERROR(__xludf.DUMMYFUNCTION("""COMPUTED_VALUE"""),"haileyset")</f>
        <v>haileyset</v>
      </c>
      <c r="C629" s="55" t="str">
        <f>IFERROR(__xludf.DUMMYFUNCTION("""COMPUTED_VALUE"""),"Rival")</f>
        <v>Rival</v>
      </c>
      <c r="D629" s="65">
        <f>IFERROR(__xludf.DUMMYFUNCTION("""COMPUTED_VALUE"""),36.46728848655461)</f>
        <v>36.46728849</v>
      </c>
      <c r="E629" s="66">
        <f>IFERROR(__xludf.DUMMYFUNCTION("""COMPUTED_VALUE"""),55.0)</f>
        <v>55</v>
      </c>
    </row>
    <row r="630">
      <c r="A630" s="55" t="str">
        <f>IFERROR(__xludf.DUMMYFUNCTION("""COMPUTED_VALUE"""),"RSC006777")</f>
        <v>RSC006777</v>
      </c>
      <c r="B630" s="60" t="str">
        <f>IFERROR(__xludf.DUMMYFUNCTION("""COMPUTED_VALUE"""),"AlteredSp4rky")</f>
        <v>AlteredSp4rky</v>
      </c>
      <c r="C630" s="55" t="str">
        <f>IFERROR(__xludf.DUMMYFUNCTION("""COMPUTED_VALUE"""),"Rival")</f>
        <v>Rival</v>
      </c>
      <c r="D630" s="65">
        <f>IFERROR(__xludf.DUMMYFUNCTION("""COMPUTED_VALUE"""),35.788297713567054)</f>
        <v>35.78829771</v>
      </c>
      <c r="E630" s="66">
        <f>IFERROR(__xludf.DUMMYFUNCTION("""COMPUTED_VALUE"""),46.0)</f>
        <v>46</v>
      </c>
    </row>
    <row r="631">
      <c r="A631" s="55" t="str">
        <f>IFERROR(__xludf.DUMMYFUNCTION("""COMPUTED_VALUE"""),"RSC006883")</f>
        <v>RSC006883</v>
      </c>
      <c r="B631" s="60" t="str">
        <f>IFERROR(__xludf.DUMMYFUNCTION("""COMPUTED_VALUE"""),"Kit")</f>
        <v>Kit</v>
      </c>
      <c r="C631" s="55" t="str">
        <f>IFERROR(__xludf.DUMMYFUNCTION("""COMPUTED_VALUE"""),"Rival")</f>
        <v>Rival</v>
      </c>
      <c r="D631" s="65">
        <f>IFERROR(__xludf.DUMMYFUNCTION("""COMPUTED_VALUE"""),35.21677761027453)</f>
        <v>35.21677761</v>
      </c>
      <c r="E631" s="66">
        <f>IFERROR(__xludf.DUMMYFUNCTION("""COMPUTED_VALUE"""),51.0)</f>
        <v>51</v>
      </c>
    </row>
    <row r="632">
      <c r="A632" s="55" t="str">
        <f>IFERROR(__xludf.DUMMYFUNCTION("""COMPUTED_VALUE"""),"RSC007753")</f>
        <v>RSC007753</v>
      </c>
      <c r="B632" s="60" t="str">
        <f>IFERROR(__xludf.DUMMYFUNCTION("""COMPUTED_VALUE"""),"Chromebook")</f>
        <v>Chromebook</v>
      </c>
      <c r="C632" s="55" t="str">
        <f>IFERROR(__xludf.DUMMYFUNCTION("""COMPUTED_VALUE"""),"Rival")</f>
        <v>Rival</v>
      </c>
      <c r="D632" s="65">
        <f>IFERROR(__xludf.DUMMYFUNCTION("""COMPUTED_VALUE"""),35.02438635696985)</f>
        <v>35.02438636</v>
      </c>
      <c r="E632" s="66">
        <f>IFERROR(__xludf.DUMMYFUNCTION("""COMPUTED_VALUE"""),4.0)</f>
        <v>4</v>
      </c>
    </row>
    <row r="633">
      <c r="A633" s="55" t="str">
        <f>IFERROR(__xludf.DUMMYFUNCTION("""COMPUTED_VALUE"""),"RSC006691")</f>
        <v>RSC006691</v>
      </c>
      <c r="B633" s="60" t="str">
        <f>IFERROR(__xludf.DUMMYFUNCTION("""COMPUTED_VALUE"""),"Jixer")</f>
        <v>Jixer</v>
      </c>
      <c r="C633" s="55" t="str">
        <f>IFERROR(__xludf.DUMMYFUNCTION("""COMPUTED_VALUE"""),"Rival")</f>
        <v>Rival</v>
      </c>
      <c r="D633" s="65">
        <f>IFERROR(__xludf.DUMMYFUNCTION("""COMPUTED_VALUE"""),34.170919276542854)</f>
        <v>34.17091928</v>
      </c>
      <c r="E633" s="66">
        <f>IFERROR(__xludf.DUMMYFUNCTION("""COMPUTED_VALUE"""),3.0)</f>
        <v>3</v>
      </c>
    </row>
    <row r="634">
      <c r="A634" s="55" t="str">
        <f>IFERROR(__xludf.DUMMYFUNCTION("""COMPUTED_VALUE"""),"RSC008537")</f>
        <v>RSC008537</v>
      </c>
      <c r="B634" s="60" t="str">
        <f>IFERROR(__xludf.DUMMYFUNCTION("""COMPUTED_VALUE"""),"SirSqwilly")</f>
        <v>SirSqwilly</v>
      </c>
      <c r="C634" s="55" t="str">
        <f>IFERROR(__xludf.DUMMYFUNCTION("""COMPUTED_VALUE"""),"Rival")</f>
        <v>Rival</v>
      </c>
      <c r="D634" s="65">
        <f>IFERROR(__xludf.DUMMYFUNCTION("""COMPUTED_VALUE"""),33.595245791004935)</f>
        <v>33.59524579</v>
      </c>
      <c r="E634" s="66">
        <f>IFERROR(__xludf.DUMMYFUNCTION("""COMPUTED_VALUE"""),17.0)</f>
        <v>17</v>
      </c>
    </row>
    <row r="635">
      <c r="A635" s="55" t="str">
        <f>IFERROR(__xludf.DUMMYFUNCTION("""COMPUTED_VALUE"""),"RSC005475")</f>
        <v>RSC005475</v>
      </c>
      <c r="B635" s="60" t="str">
        <f>IFERROR(__xludf.DUMMYFUNCTION("""COMPUTED_VALUE"""),"Envy")</f>
        <v>Envy</v>
      </c>
      <c r="C635" s="55" t="str">
        <f>IFERROR(__xludf.DUMMYFUNCTION("""COMPUTED_VALUE"""),"Rival")</f>
        <v>Rival</v>
      </c>
      <c r="D635" s="65">
        <f>IFERROR(__xludf.DUMMYFUNCTION("""COMPUTED_VALUE"""),31.964311776456245)</f>
        <v>31.96431178</v>
      </c>
      <c r="E635" s="66">
        <f>IFERROR(__xludf.DUMMYFUNCTION("""COMPUTED_VALUE"""),8.0)</f>
        <v>8</v>
      </c>
    </row>
    <row r="636">
      <c r="A636" s="55" t="str">
        <f>IFERROR(__xludf.DUMMYFUNCTION("""COMPUTED_VALUE"""),"RSC006910")</f>
        <v>RSC006910</v>
      </c>
      <c r="B636" s="60" t="str">
        <f>IFERROR(__xludf.DUMMYFUNCTION("""COMPUTED_VALUE"""),"Swanny2.0")</f>
        <v>Swanny2.0</v>
      </c>
      <c r="C636" s="55" t="str">
        <f>IFERROR(__xludf.DUMMYFUNCTION("""COMPUTED_VALUE"""),"Rival")</f>
        <v>Rival</v>
      </c>
      <c r="D636" s="65">
        <f>IFERROR(__xludf.DUMMYFUNCTION("""COMPUTED_VALUE"""),31.77591524051971)</f>
        <v>31.77591524</v>
      </c>
      <c r="E636" s="66">
        <f>IFERROR(__xludf.DUMMYFUNCTION("""COMPUTED_VALUE"""),44.0)</f>
        <v>44</v>
      </c>
    </row>
    <row r="637">
      <c r="A637" s="55" t="str">
        <f>IFERROR(__xludf.DUMMYFUNCTION("""COMPUTED_VALUE"""),"RSC003118")</f>
        <v>RSC003118</v>
      </c>
      <c r="B637" s="60" t="str">
        <f>IFERROR(__xludf.DUMMYFUNCTION("""COMPUTED_VALUE"""),"Mysty")</f>
        <v>Mysty</v>
      </c>
      <c r="C637" s="55" t="str">
        <f>IFERROR(__xludf.DUMMYFUNCTION("""COMPUTED_VALUE"""),"Rival")</f>
        <v>Rival</v>
      </c>
      <c r="D637" s="65">
        <f>IFERROR(__xludf.DUMMYFUNCTION("""COMPUTED_VALUE"""),31.274653871114594)</f>
        <v>31.27465387</v>
      </c>
      <c r="E637" s="66">
        <f>IFERROR(__xludf.DUMMYFUNCTION("""COMPUTED_VALUE"""),50.0)</f>
        <v>50</v>
      </c>
    </row>
    <row r="638">
      <c r="A638" s="55" t="str">
        <f>IFERROR(__xludf.DUMMYFUNCTION("""COMPUTED_VALUE"""),"RSC008192")</f>
        <v>RSC008192</v>
      </c>
      <c r="B638" s="60" t="str">
        <f>IFERROR(__xludf.DUMMYFUNCTION("""COMPUTED_VALUE"""),"Alpha Dingo")</f>
        <v>Alpha Dingo</v>
      </c>
      <c r="C638" s="55" t="str">
        <f>IFERROR(__xludf.DUMMYFUNCTION("""COMPUTED_VALUE"""),"Rival")</f>
        <v>Rival</v>
      </c>
      <c r="D638" s="65">
        <f>IFERROR(__xludf.DUMMYFUNCTION("""COMPUTED_VALUE"""),30.73129014100803)</f>
        <v>30.73129014</v>
      </c>
      <c r="E638" s="66">
        <f>IFERROR(__xludf.DUMMYFUNCTION("""COMPUTED_VALUE"""),38.0)</f>
        <v>38</v>
      </c>
    </row>
    <row r="639">
      <c r="A639" s="55" t="str">
        <f>IFERROR(__xludf.DUMMYFUNCTION("""COMPUTED_VALUE"""),"RSC003017")</f>
        <v>RSC003017</v>
      </c>
      <c r="B639" s="60" t="str">
        <f>IFERROR(__xludf.DUMMYFUNCTION("""COMPUTED_VALUE"""),"AlanShoreEsq")</f>
        <v>AlanShoreEsq</v>
      </c>
      <c r="C639" s="55" t="str">
        <f>IFERROR(__xludf.DUMMYFUNCTION("""COMPUTED_VALUE"""),"Rival")</f>
        <v>Rival</v>
      </c>
      <c r="D639" s="65">
        <f>IFERROR(__xludf.DUMMYFUNCTION("""COMPUTED_VALUE"""),30.533558437359236)</f>
        <v>30.53355844</v>
      </c>
      <c r="E639" s="66">
        <f>IFERROR(__xludf.DUMMYFUNCTION("""COMPUTED_VALUE"""),7.0)</f>
        <v>7</v>
      </c>
    </row>
    <row r="640">
      <c r="A640" s="55" t="str">
        <f>IFERROR(__xludf.DUMMYFUNCTION("""COMPUTED_VALUE"""),"RSC005526")</f>
        <v>RSC005526</v>
      </c>
      <c r="B640" s="60" t="str">
        <f>IFERROR(__xludf.DUMMYFUNCTION("""COMPUTED_VALUE"""),"Vortex3524")</f>
        <v>Vortex3524</v>
      </c>
      <c r="C640" s="55" t="str">
        <f>IFERROR(__xludf.DUMMYFUNCTION("""COMPUTED_VALUE"""),"Rival")</f>
        <v>Rival</v>
      </c>
      <c r="D640" s="65">
        <f>IFERROR(__xludf.DUMMYFUNCTION("""COMPUTED_VALUE"""),30.485392214195272)</f>
        <v>30.48539221</v>
      </c>
      <c r="E640" s="66">
        <f>IFERROR(__xludf.DUMMYFUNCTION("""COMPUTED_VALUE"""),44.0)</f>
        <v>44</v>
      </c>
    </row>
    <row r="641">
      <c r="A641" s="55" t="str">
        <f>IFERROR(__xludf.DUMMYFUNCTION("""COMPUTED_VALUE"""),"RSC007294")</f>
        <v>RSC007294</v>
      </c>
      <c r="B641" s="60" t="str">
        <f>IFERROR(__xludf.DUMMYFUNCTION("""COMPUTED_VALUE"""),"CF0UR_")</f>
        <v>CF0UR_</v>
      </c>
      <c r="C641" s="55" t="str">
        <f>IFERROR(__xludf.DUMMYFUNCTION("""COMPUTED_VALUE"""),"Rival")</f>
        <v>Rival</v>
      </c>
      <c r="D641" s="65">
        <f>IFERROR(__xludf.DUMMYFUNCTION("""COMPUTED_VALUE"""),29.888592713970567)</f>
        <v>29.88859271</v>
      </c>
      <c r="E641" s="66">
        <f>IFERROR(__xludf.DUMMYFUNCTION("""COMPUTED_VALUE"""),24.0)</f>
        <v>24</v>
      </c>
    </row>
    <row r="642">
      <c r="A642" s="55" t="str">
        <f>IFERROR(__xludf.DUMMYFUNCTION("""COMPUTED_VALUE"""),"RSC000828")</f>
        <v>RSC000828</v>
      </c>
      <c r="B642" s="60" t="str">
        <f>IFERROR(__xludf.DUMMYFUNCTION("""COMPUTED_VALUE"""),"MattViaAirwaves")</f>
        <v>MattViaAirwaves</v>
      </c>
      <c r="C642" s="55" t="str">
        <f>IFERROR(__xludf.DUMMYFUNCTION("""COMPUTED_VALUE"""),"Rival")</f>
        <v>Rival</v>
      </c>
      <c r="D642" s="65">
        <f>IFERROR(__xludf.DUMMYFUNCTION("""COMPUTED_VALUE"""),29.878919915933626)</f>
        <v>29.87891992</v>
      </c>
      <c r="E642" s="66">
        <f>IFERROR(__xludf.DUMMYFUNCTION("""COMPUTED_VALUE"""),54.0)</f>
        <v>54</v>
      </c>
    </row>
    <row r="643">
      <c r="A643" s="55" t="str">
        <f>IFERROR(__xludf.DUMMYFUNCTION("""COMPUTED_VALUE"""),"RSC005253")</f>
        <v>RSC005253</v>
      </c>
      <c r="B643" s="60" t="str">
        <f>IFERROR(__xludf.DUMMYFUNCTION("""COMPUTED_VALUE"""),"dinnindu")</f>
        <v>dinnindu</v>
      </c>
      <c r="C643" s="55" t="str">
        <f>IFERROR(__xludf.DUMMYFUNCTION("""COMPUTED_VALUE"""),"Rival")</f>
        <v>Rival</v>
      </c>
      <c r="D643" s="65">
        <f>IFERROR(__xludf.DUMMYFUNCTION("""COMPUTED_VALUE"""),28.63135087060053)</f>
        <v>28.63135087</v>
      </c>
      <c r="E643" s="66">
        <f>IFERROR(__xludf.DUMMYFUNCTION("""COMPUTED_VALUE"""),18.0)</f>
        <v>18</v>
      </c>
    </row>
    <row r="644">
      <c r="A644" s="55" t="str">
        <f>IFERROR(__xludf.DUMMYFUNCTION("""COMPUTED_VALUE"""),"RSC002128")</f>
        <v>RSC002128</v>
      </c>
      <c r="B644" s="60" t="str">
        <f>IFERROR(__xludf.DUMMYFUNCTION("""COMPUTED_VALUE"""),"Velo")</f>
        <v>Velo</v>
      </c>
      <c r="C644" s="55" t="str">
        <f>IFERROR(__xludf.DUMMYFUNCTION("""COMPUTED_VALUE"""),"Rival")</f>
        <v>Rival</v>
      </c>
      <c r="D644" s="65">
        <f>IFERROR(__xludf.DUMMYFUNCTION("""COMPUTED_VALUE"""),28.619867785845706)</f>
        <v>28.61986779</v>
      </c>
      <c r="E644" s="66">
        <f>IFERROR(__xludf.DUMMYFUNCTION("""COMPUTED_VALUE"""),26.0)</f>
        <v>26</v>
      </c>
    </row>
    <row r="645">
      <c r="A645" s="55" t="str">
        <f>IFERROR(__xludf.DUMMYFUNCTION("""COMPUTED_VALUE"""),"RSC006225")</f>
        <v>RSC006225</v>
      </c>
      <c r="B645" s="60" t="str">
        <f>IFERROR(__xludf.DUMMYFUNCTION("""COMPUTED_VALUE"""),"renightly")</f>
        <v>renightly</v>
      </c>
      <c r="C645" s="55" t="str">
        <f>IFERROR(__xludf.DUMMYFUNCTION("""COMPUTED_VALUE"""),"Rival")</f>
        <v>Rival</v>
      </c>
      <c r="D645" s="65">
        <f>IFERROR(__xludf.DUMMYFUNCTION("""COMPUTED_VALUE"""),28.588702116781633)</f>
        <v>28.58870212</v>
      </c>
      <c r="E645" s="66">
        <f>IFERROR(__xludf.DUMMYFUNCTION("""COMPUTED_VALUE"""),25.0)</f>
        <v>25</v>
      </c>
    </row>
    <row r="646">
      <c r="A646" s="55" t="str">
        <f>IFERROR(__xludf.DUMMYFUNCTION("""COMPUTED_VALUE"""),"RSC007824")</f>
        <v>RSC007824</v>
      </c>
      <c r="B646" s="60" t="str">
        <f>IFERROR(__xludf.DUMMYFUNCTION("""COMPUTED_VALUE"""),"Akki402")</f>
        <v>Akki402</v>
      </c>
      <c r="C646" s="55" t="str">
        <f>IFERROR(__xludf.DUMMYFUNCTION("""COMPUTED_VALUE"""),"Rival")</f>
        <v>Rival</v>
      </c>
      <c r="D646" s="65">
        <f>IFERROR(__xludf.DUMMYFUNCTION("""COMPUTED_VALUE"""),27.39028193388465)</f>
        <v>27.39028193</v>
      </c>
      <c r="E646" s="66">
        <f>IFERROR(__xludf.DUMMYFUNCTION("""COMPUTED_VALUE"""),28.0)</f>
        <v>28</v>
      </c>
    </row>
    <row r="647">
      <c r="A647" s="55" t="str">
        <f>IFERROR(__xludf.DUMMYFUNCTION("""COMPUTED_VALUE"""),"RSC008045")</f>
        <v>RSC008045</v>
      </c>
      <c r="B647" s="60" t="str">
        <f>IFERROR(__xludf.DUMMYFUNCTION("""COMPUTED_VALUE"""),"Uncaringfool230")</f>
        <v>Uncaringfool230</v>
      </c>
      <c r="C647" s="55" t="str">
        <f>IFERROR(__xludf.DUMMYFUNCTION("""COMPUTED_VALUE"""),"Rival")</f>
        <v>Rival</v>
      </c>
      <c r="D647" s="65">
        <f>IFERROR(__xludf.DUMMYFUNCTION("""COMPUTED_VALUE"""),26.201700284628235)</f>
        <v>26.20170028</v>
      </c>
      <c r="E647" s="66">
        <f>IFERROR(__xludf.DUMMYFUNCTION("""COMPUTED_VALUE"""),6.0)</f>
        <v>6</v>
      </c>
    </row>
    <row r="648">
      <c r="A648" s="55" t="str">
        <f>IFERROR(__xludf.DUMMYFUNCTION("""COMPUTED_VALUE"""),"RSC005521")</f>
        <v>RSC005521</v>
      </c>
      <c r="B648" s="60" t="str">
        <f>IFERROR(__xludf.DUMMYFUNCTION("""COMPUTED_VALUE"""),"Mr. MeOnDisplay")</f>
        <v>Mr. MeOnDisplay</v>
      </c>
      <c r="C648" s="55" t="str">
        <f>IFERROR(__xludf.DUMMYFUNCTION("""COMPUTED_VALUE"""),"Rival")</f>
        <v>Rival</v>
      </c>
      <c r="D648" s="65">
        <f>IFERROR(__xludf.DUMMYFUNCTION("""COMPUTED_VALUE"""),25.890703881080917)</f>
        <v>25.89070388</v>
      </c>
      <c r="E648" s="66">
        <f>IFERROR(__xludf.DUMMYFUNCTION("""COMPUTED_VALUE"""),24.0)</f>
        <v>24</v>
      </c>
    </row>
    <row r="649">
      <c r="A649" s="55" t="str">
        <f>IFERROR(__xludf.DUMMYFUNCTION("""COMPUTED_VALUE"""),"RSC006643")</f>
        <v>RSC006643</v>
      </c>
      <c r="B649" s="60" t="str">
        <f>IFERROR(__xludf.DUMMYFUNCTION("""COMPUTED_VALUE"""),"Napkhan")</f>
        <v>Napkhan</v>
      </c>
      <c r="C649" s="55" t="str">
        <f>IFERROR(__xludf.DUMMYFUNCTION("""COMPUTED_VALUE"""),"Rival")</f>
        <v>Rival</v>
      </c>
      <c r="D649" s="65">
        <f>IFERROR(__xludf.DUMMYFUNCTION("""COMPUTED_VALUE"""),24.6257697442054)</f>
        <v>24.62576974</v>
      </c>
      <c r="E649" s="66">
        <f>IFERROR(__xludf.DUMMYFUNCTION("""COMPUTED_VALUE"""),22.0)</f>
        <v>22</v>
      </c>
    </row>
    <row r="650">
      <c r="A650" s="55" t="str">
        <f>IFERROR(__xludf.DUMMYFUNCTION("""COMPUTED_VALUE"""),"RSC007201")</f>
        <v>RSC007201</v>
      </c>
      <c r="B650" s="60" t="str">
        <f>IFERROR(__xludf.DUMMYFUNCTION("""COMPUTED_VALUE"""),"FallenAngel")</f>
        <v>FallenAngel</v>
      </c>
      <c r="C650" s="55" t="str">
        <f>IFERROR(__xludf.DUMMYFUNCTION("""COMPUTED_VALUE"""),"Rival")</f>
        <v>Rival</v>
      </c>
      <c r="D650" s="65">
        <f>IFERROR(__xludf.DUMMYFUNCTION("""COMPUTED_VALUE"""),24.005230388214027)</f>
        <v>24.00523039</v>
      </c>
      <c r="E650" s="66">
        <f>IFERROR(__xludf.DUMMYFUNCTION("""COMPUTED_VALUE"""),44.0)</f>
        <v>44</v>
      </c>
    </row>
    <row r="651">
      <c r="A651" s="55" t="str">
        <f>IFERROR(__xludf.DUMMYFUNCTION("""COMPUTED_VALUE"""),"RSC004670")</f>
        <v>RSC004670</v>
      </c>
      <c r="B651" s="60" t="str">
        <f>IFERROR(__xludf.DUMMYFUNCTION("""COMPUTED_VALUE"""),"CarnageWolfBite")</f>
        <v>CarnageWolfBite</v>
      </c>
      <c r="C651" s="55" t="str">
        <f>IFERROR(__xludf.DUMMYFUNCTION("""COMPUTED_VALUE"""),"Rival")</f>
        <v>Rival</v>
      </c>
      <c r="D651" s="65">
        <f>IFERROR(__xludf.DUMMYFUNCTION("""COMPUTED_VALUE"""),23.59511783666916)</f>
        <v>23.59511784</v>
      </c>
      <c r="E651" s="66">
        <f>IFERROR(__xludf.DUMMYFUNCTION("""COMPUTED_VALUE"""),38.0)</f>
        <v>38</v>
      </c>
    </row>
    <row r="652">
      <c r="A652" s="55" t="str">
        <f>IFERROR(__xludf.DUMMYFUNCTION("""COMPUTED_VALUE"""),"RSC008443")</f>
        <v>RSC008443</v>
      </c>
      <c r="B652" s="60" t="str">
        <f>IFERROR(__xludf.DUMMYFUNCTION("""COMPUTED_VALUE"""),"cow")</f>
        <v>cow</v>
      </c>
      <c r="C652" s="55" t="str">
        <f>IFERROR(__xludf.DUMMYFUNCTION("""COMPUTED_VALUE"""),"Rival")</f>
        <v>Rival</v>
      </c>
      <c r="D652" s="65">
        <f>IFERROR(__xludf.DUMMYFUNCTION("""COMPUTED_VALUE"""),23.351026119089212)</f>
        <v>23.35102612</v>
      </c>
      <c r="E652" s="66">
        <f>IFERROR(__xludf.DUMMYFUNCTION("""COMPUTED_VALUE"""),23.0)</f>
        <v>23</v>
      </c>
    </row>
    <row r="653">
      <c r="A653" s="55" t="str">
        <f>IFERROR(__xludf.DUMMYFUNCTION("""COMPUTED_VALUE"""),"RSC002320")</f>
        <v>RSC002320</v>
      </c>
      <c r="B653" s="60" t="str">
        <f>IFERROR(__xludf.DUMMYFUNCTION("""COMPUTED_VALUE"""),"JoeExotic")</f>
        <v>JoeExotic</v>
      </c>
      <c r="C653" s="55" t="str">
        <f>IFERROR(__xludf.DUMMYFUNCTION("""COMPUTED_VALUE"""),"Rival")</f>
        <v>Rival</v>
      </c>
      <c r="D653" s="65">
        <f>IFERROR(__xludf.DUMMYFUNCTION("""COMPUTED_VALUE"""),21.060675857297916)</f>
        <v>21.06067586</v>
      </c>
      <c r="E653" s="66">
        <f>IFERROR(__xludf.DUMMYFUNCTION("""COMPUTED_VALUE"""),54.0)</f>
        <v>54</v>
      </c>
    </row>
    <row r="654">
      <c r="A654" s="55" t="str">
        <f>IFERROR(__xludf.DUMMYFUNCTION("""COMPUTED_VALUE"""),"RSC000335")</f>
        <v>RSC000335</v>
      </c>
      <c r="B654" s="60" t="str">
        <f>IFERROR(__xludf.DUMMYFUNCTION("""COMPUTED_VALUE"""),"PostMstrGeneral")</f>
        <v>PostMstrGeneral</v>
      </c>
      <c r="C654" s="55" t="str">
        <f>IFERROR(__xludf.DUMMYFUNCTION("""COMPUTED_VALUE"""),"Rival")</f>
        <v>Rival</v>
      </c>
      <c r="D654" s="65">
        <f>IFERROR(__xludf.DUMMYFUNCTION("""COMPUTED_VALUE"""),21.025276508196566)</f>
        <v>21.02527651</v>
      </c>
      <c r="E654" s="66">
        <f>IFERROR(__xludf.DUMMYFUNCTION("""COMPUTED_VALUE"""),31.0)</f>
        <v>31</v>
      </c>
    </row>
    <row r="655">
      <c r="A655" s="55" t="str">
        <f>IFERROR(__xludf.DUMMYFUNCTION("""COMPUTED_VALUE"""),"RSC005154")</f>
        <v>RSC005154</v>
      </c>
      <c r="B655" s="60" t="str">
        <f>IFERROR(__xludf.DUMMYFUNCTION("""COMPUTED_VALUE"""),"TacoBae")</f>
        <v>TacoBae</v>
      </c>
      <c r="C655" s="55" t="str">
        <f>IFERROR(__xludf.DUMMYFUNCTION("""COMPUTED_VALUE"""),"Rival")</f>
        <v>Rival</v>
      </c>
      <c r="D655" s="65">
        <f>IFERROR(__xludf.DUMMYFUNCTION("""COMPUTED_VALUE"""),20.459783604635255)</f>
        <v>20.4597836</v>
      </c>
      <c r="E655" s="66">
        <f>IFERROR(__xludf.DUMMYFUNCTION("""COMPUTED_VALUE"""),37.0)</f>
        <v>37</v>
      </c>
    </row>
    <row r="656">
      <c r="A656" s="55" t="str">
        <f>IFERROR(__xludf.DUMMYFUNCTION("""COMPUTED_VALUE"""),"RSC000111")</f>
        <v>RSC000111</v>
      </c>
      <c r="B656" s="60" t="str">
        <f>IFERROR(__xludf.DUMMYFUNCTION("""COMPUTED_VALUE"""),"Wheelchair {LFLegs}")</f>
        <v>Wheelchair {LFLegs}</v>
      </c>
      <c r="C656" s="55" t="str">
        <f>IFERROR(__xludf.DUMMYFUNCTION("""COMPUTED_VALUE"""),"Rival")</f>
        <v>Rival</v>
      </c>
      <c r="D656" s="65">
        <f>IFERROR(__xludf.DUMMYFUNCTION("""COMPUTED_VALUE"""),19.816614368887812)</f>
        <v>19.81661437</v>
      </c>
      <c r="E656" s="66">
        <f>IFERROR(__xludf.DUMMYFUNCTION("""COMPUTED_VALUE"""),11.0)</f>
        <v>11</v>
      </c>
    </row>
    <row r="657">
      <c r="A657" s="55" t="str">
        <f>IFERROR(__xludf.DUMMYFUNCTION("""COMPUTED_VALUE"""),"RSC002177")</f>
        <v>RSC002177</v>
      </c>
      <c r="B657" s="60" t="str">
        <f>IFERROR(__xludf.DUMMYFUNCTION("""COMPUTED_VALUE"""),"Slygo21")</f>
        <v>Slygo21</v>
      </c>
      <c r="C657" s="55" t="str">
        <f>IFERROR(__xludf.DUMMYFUNCTION("""COMPUTED_VALUE"""),"Rival")</f>
        <v>Rival</v>
      </c>
      <c r="D657" s="65">
        <f>IFERROR(__xludf.DUMMYFUNCTION("""COMPUTED_VALUE"""),18.526099481524394)</f>
        <v>18.52609948</v>
      </c>
      <c r="E657" s="66">
        <f>IFERROR(__xludf.DUMMYFUNCTION("""COMPUTED_VALUE"""),6.0)</f>
        <v>6</v>
      </c>
    </row>
    <row r="658">
      <c r="A658" s="55" t="str">
        <f>IFERROR(__xludf.DUMMYFUNCTION("""COMPUTED_VALUE"""),"RSC006159")</f>
        <v>RSC006159</v>
      </c>
      <c r="B658" s="60" t="str">
        <f>IFERROR(__xludf.DUMMYFUNCTION("""COMPUTED_VALUE"""),"courtesan")</f>
        <v>courtesan</v>
      </c>
      <c r="C658" s="55" t="str">
        <f>IFERROR(__xludf.DUMMYFUNCTION("""COMPUTED_VALUE"""),"Rival")</f>
        <v>Rival</v>
      </c>
      <c r="D658" s="65">
        <f>IFERROR(__xludf.DUMMYFUNCTION("""COMPUTED_VALUE"""),17.916116499849224)</f>
        <v>17.9161165</v>
      </c>
      <c r="E658" s="66">
        <f>IFERROR(__xludf.DUMMYFUNCTION("""COMPUTED_VALUE"""),13.0)</f>
        <v>13</v>
      </c>
    </row>
    <row r="659">
      <c r="A659" s="55" t="str">
        <f>IFERROR(__xludf.DUMMYFUNCTION("""COMPUTED_VALUE"""),"RSC006755")</f>
        <v>RSC006755</v>
      </c>
      <c r="B659" s="60" t="str">
        <f>IFERROR(__xludf.DUMMYFUNCTION("""COMPUTED_VALUE"""),"Fox_gt_400")</f>
        <v>Fox_gt_400</v>
      </c>
      <c r="C659" s="55" t="str">
        <f>IFERROR(__xludf.DUMMYFUNCTION("""COMPUTED_VALUE"""),"Rival")</f>
        <v>Rival</v>
      </c>
      <c r="D659" s="65">
        <f>IFERROR(__xludf.DUMMYFUNCTION("""COMPUTED_VALUE"""),15.969363259225219)</f>
        <v>15.96936326</v>
      </c>
      <c r="E659" s="66">
        <f>IFERROR(__xludf.DUMMYFUNCTION("""COMPUTED_VALUE"""),4.0)</f>
        <v>4</v>
      </c>
    </row>
    <row r="660">
      <c r="A660" s="55" t="str">
        <f>IFERROR(__xludf.DUMMYFUNCTION("""COMPUTED_VALUE"""),"RSC006747")</f>
        <v>RSC006747</v>
      </c>
      <c r="B660" s="60" t="str">
        <f>IFERROR(__xludf.DUMMYFUNCTION("""COMPUTED_VALUE"""),"Panda")</f>
        <v>Panda</v>
      </c>
      <c r="C660" s="55" t="str">
        <f>IFERROR(__xludf.DUMMYFUNCTION("""COMPUTED_VALUE"""),"Rival")</f>
        <v>Rival</v>
      </c>
      <c r="D660" s="65">
        <f>IFERROR(__xludf.DUMMYFUNCTION("""COMPUTED_VALUE"""),13.733398334389065)</f>
        <v>13.73339833</v>
      </c>
      <c r="E660" s="66">
        <f>IFERROR(__xludf.DUMMYFUNCTION("""COMPUTED_VALUE"""),44.0)</f>
        <v>44</v>
      </c>
    </row>
    <row r="661">
      <c r="A661" s="55" t="str">
        <f>IFERROR(__xludf.DUMMYFUNCTION("""COMPUTED_VALUE"""),"RSC007406")</f>
        <v>RSC007406</v>
      </c>
      <c r="B661" s="60" t="str">
        <f>IFERROR(__xludf.DUMMYFUNCTION("""COMPUTED_VALUE"""),"junior1000gsxr")</f>
        <v>junior1000gsxr</v>
      </c>
      <c r="C661" s="55" t="str">
        <f>IFERROR(__xludf.DUMMYFUNCTION("""COMPUTED_VALUE"""),"Rival")</f>
        <v>Rival</v>
      </c>
      <c r="D661" s="65">
        <f>IFERROR(__xludf.DUMMYFUNCTION("""COMPUTED_VALUE"""),12.638847432012007)</f>
        <v>12.63884743</v>
      </c>
      <c r="E661" s="66">
        <f>IFERROR(__xludf.DUMMYFUNCTION("""COMPUTED_VALUE"""),10.0)</f>
        <v>10</v>
      </c>
    </row>
    <row r="662">
      <c r="A662" s="55" t="str">
        <f>IFERROR(__xludf.DUMMYFUNCTION("""COMPUTED_VALUE"""),"RSC000938")</f>
        <v>RSC000938</v>
      </c>
      <c r="B662" s="60" t="str">
        <f>IFERROR(__xludf.DUMMYFUNCTION("""COMPUTED_VALUE"""),"Nukem_IV")</f>
        <v>Nukem_IV</v>
      </c>
      <c r="C662" s="55" t="str">
        <f>IFERROR(__xludf.DUMMYFUNCTION("""COMPUTED_VALUE"""),"Rival")</f>
        <v>Rival</v>
      </c>
      <c r="D662" s="65">
        <f>IFERROR(__xludf.DUMMYFUNCTION("""COMPUTED_VALUE"""),12.454233708270088)</f>
        <v>12.45423371</v>
      </c>
      <c r="E662" s="66">
        <f>IFERROR(__xludf.DUMMYFUNCTION("""COMPUTED_VALUE"""),11.0)</f>
        <v>11</v>
      </c>
    </row>
    <row r="663">
      <c r="A663" s="55" t="str">
        <f>IFERROR(__xludf.DUMMYFUNCTION("""COMPUTED_VALUE"""),"RSC008135")</f>
        <v>RSC008135</v>
      </c>
      <c r="B663" s="60" t="str">
        <f>IFERROR(__xludf.DUMMYFUNCTION("""COMPUTED_VALUE"""),"Ezio_256")</f>
        <v>Ezio_256</v>
      </c>
      <c r="C663" s="55" t="str">
        <f>IFERROR(__xludf.DUMMYFUNCTION("""COMPUTED_VALUE"""),"Rival")</f>
        <v>Rival</v>
      </c>
      <c r="D663" s="65">
        <f>IFERROR(__xludf.DUMMYFUNCTION("""COMPUTED_VALUE"""),3.80830140925449)</f>
        <v>3.808301409</v>
      </c>
      <c r="E663" s="66">
        <f>IFERROR(__xludf.DUMMYFUNCTION("""COMPUTED_VALUE"""),35.0)</f>
        <v>35</v>
      </c>
    </row>
    <row r="664">
      <c r="A664" s="55" t="str">
        <f>IFERROR(__xludf.DUMMYFUNCTION("""COMPUTED_VALUE"""),"RSC001202")</f>
        <v>RSC001202</v>
      </c>
      <c r="B664" s="60" t="str">
        <f>IFERROR(__xludf.DUMMYFUNCTION("""COMPUTED_VALUE"""),"Clown Sandwich")</f>
        <v>Clown Sandwich</v>
      </c>
      <c r="C664" s="55" t="str">
        <f>IFERROR(__xludf.DUMMYFUNCTION("""COMPUTED_VALUE"""),"Rival")</f>
        <v>Rival</v>
      </c>
      <c r="D664" s="65">
        <f>IFERROR(__xludf.DUMMYFUNCTION("""COMPUTED_VALUE"""),2.495871878811627)</f>
        <v>2.495871879</v>
      </c>
      <c r="E664" s="66">
        <f>IFERROR(__xludf.DUMMYFUNCTION("""COMPUTED_VALUE"""),14.0)</f>
        <v>14</v>
      </c>
    </row>
    <row r="665">
      <c r="A665" s="55" t="str">
        <f>IFERROR(__xludf.DUMMYFUNCTION("""COMPUTED_VALUE"""),"RSC008162")</f>
        <v>RSC008162</v>
      </c>
      <c r="B665" s="60" t="str">
        <f>IFERROR(__xludf.DUMMYFUNCTION("""COMPUTED_VALUE"""),"ThatHomieGageTTV")</f>
        <v>ThatHomieGageTTV</v>
      </c>
      <c r="C665" s="55" t="str">
        <f>IFERROR(__xludf.DUMMYFUNCTION("""COMPUTED_VALUE"""),"Rival")</f>
        <v>Rival</v>
      </c>
      <c r="D665" s="65">
        <f>IFERROR(__xludf.DUMMYFUNCTION("""COMPUTED_VALUE"""),-21.262691942778247)</f>
        <v>-21.26269194</v>
      </c>
      <c r="E665" s="66">
        <f>IFERROR(__xludf.DUMMYFUNCTION("""COMPUTED_VALUE"""),11.0)</f>
        <v>11</v>
      </c>
    </row>
    <row r="666">
      <c r="A666" s="55" t="str">
        <f>IFERROR(__xludf.DUMMYFUNCTION("""COMPUTED_VALUE"""),"RSC000347")</f>
        <v>RSC000347</v>
      </c>
      <c r="B666" s="60" t="str">
        <f>IFERROR(__xludf.DUMMYFUNCTION("""COMPUTED_VALUE"""),"Chris.")</f>
        <v>Chris.</v>
      </c>
      <c r="C666" s="55" t="str">
        <f>IFERROR(__xludf.DUMMYFUNCTION("""COMPUTED_VALUE"""),"Rival")</f>
        <v>Rival</v>
      </c>
      <c r="D666" s="65">
        <f>IFERROR(__xludf.DUMMYFUNCTION("""COMPUTED_VALUE"""),-23.590844280450412)</f>
        <v>-23.59084428</v>
      </c>
      <c r="E666" s="66">
        <f>IFERROR(__xludf.DUMMYFUNCTION("""COMPUTED_VALUE"""),5.0)</f>
        <v>5</v>
      </c>
    </row>
    <row r="667">
      <c r="A667" s="55" t="str">
        <f>IFERROR(__xludf.DUMMYFUNCTION("""COMPUTED_VALUE"""),"RSC008543")</f>
        <v>RSC008543</v>
      </c>
      <c r="B667" s="60" t="str">
        <f>IFERROR(__xludf.DUMMYFUNCTION("""COMPUTED_VALUE"""),"T1Ta")</f>
        <v>T1Ta</v>
      </c>
      <c r="C667" s="55" t="str">
        <f>IFERROR(__xludf.DUMMYFUNCTION("""COMPUTED_VALUE"""),"Rival")</f>
        <v>Rival</v>
      </c>
      <c r="D667" s="65">
        <f>IFERROR(__xludf.DUMMYFUNCTION("""COMPUTED_VALUE"""),-40.22240616727335)</f>
        <v>-40.22240617</v>
      </c>
      <c r="E667" s="66">
        <f>IFERROR(__xludf.DUMMYFUNCTION("""COMPUTED_VALUE"""),4.0)</f>
        <v>4</v>
      </c>
    </row>
    <row r="668">
      <c r="A668" s="55" t="str">
        <f>IFERROR(__xludf.DUMMYFUNCTION("""COMPUTED_VALUE"""),"RSC008489")</f>
        <v>RSC008489</v>
      </c>
      <c r="B668" s="60" t="str">
        <f>IFERROR(__xludf.DUMMYFUNCTION("""COMPUTED_VALUE"""),"nacho_nachos2")</f>
        <v>nacho_nachos2</v>
      </c>
      <c r="C668" s="55" t="str">
        <f>IFERROR(__xludf.DUMMYFUNCTION("""COMPUTED_VALUE"""),"Rival")</f>
        <v>Rival</v>
      </c>
      <c r="D668" s="65">
        <f>IFERROR(__xludf.DUMMYFUNCTION("""COMPUTED_VALUE"""),-57.92999381796842)</f>
        <v>-57.92999382</v>
      </c>
      <c r="E668" s="66">
        <f>IFERROR(__xludf.DUMMYFUNCTION("""COMPUTED_VALUE"""),2.0)</f>
        <v>2</v>
      </c>
    </row>
    <row r="669">
      <c r="A669" s="55" t="str">
        <f>IFERROR(__xludf.DUMMYFUNCTION("""COMPUTED_VALUE"""),"RSC008428")</f>
        <v>RSC008428</v>
      </c>
      <c r="B669" s="60" t="str">
        <f>IFERROR(__xludf.DUMMYFUNCTION("""COMPUTED_VALUE"""),"PG_THE3RD")</f>
        <v>PG_THE3RD</v>
      </c>
      <c r="C669" s="55" t="str">
        <f>IFERROR(__xludf.DUMMYFUNCTION("""COMPUTED_VALUE"""),"Veteran")</f>
        <v>Veteran</v>
      </c>
      <c r="D669" s="65">
        <f>IFERROR(__xludf.DUMMYFUNCTION("""COMPUTED_VALUE"""),112.77750744856135)</f>
        <v>112.7775074</v>
      </c>
      <c r="E669" s="66">
        <f>IFERROR(__xludf.DUMMYFUNCTION("""COMPUTED_VALUE"""),51.0)</f>
        <v>51</v>
      </c>
    </row>
    <row r="670">
      <c r="A670" s="55" t="str">
        <f>IFERROR(__xludf.DUMMYFUNCTION("""COMPUTED_VALUE"""),"RSC004035")</f>
        <v>RSC004035</v>
      </c>
      <c r="B670" s="60" t="str">
        <f>IFERROR(__xludf.DUMMYFUNCTION("""COMPUTED_VALUE"""),"Timmy_-_")</f>
        <v>Timmy_-_</v>
      </c>
      <c r="C670" s="55" t="str">
        <f>IFERROR(__xludf.DUMMYFUNCTION("""COMPUTED_VALUE"""),"Veteran")</f>
        <v>Veteran</v>
      </c>
      <c r="D670" s="65">
        <f>IFERROR(__xludf.DUMMYFUNCTION("""COMPUTED_VALUE"""),110.66826622382504)</f>
        <v>110.6682662</v>
      </c>
      <c r="E670" s="66">
        <f>IFERROR(__xludf.DUMMYFUNCTION("""COMPUTED_VALUE"""),56.0)</f>
        <v>56</v>
      </c>
    </row>
    <row r="671">
      <c r="A671" s="55" t="str">
        <f>IFERROR(__xludf.DUMMYFUNCTION("""COMPUTED_VALUE"""),"RSC008369")</f>
        <v>RSC008369</v>
      </c>
      <c r="B671" s="60" t="str">
        <f>IFERROR(__xludf.DUMMYFUNCTION("""COMPUTED_VALUE"""),"EternalJinx")</f>
        <v>EternalJinx</v>
      </c>
      <c r="C671" s="55" t="str">
        <f>IFERROR(__xludf.DUMMYFUNCTION("""COMPUTED_VALUE"""),"Veteran")</f>
        <v>Veteran</v>
      </c>
      <c r="D671" s="65">
        <f>IFERROR(__xludf.DUMMYFUNCTION("""COMPUTED_VALUE"""),107.75466720739081)</f>
        <v>107.7546672</v>
      </c>
      <c r="E671" s="66">
        <f>IFERROR(__xludf.DUMMYFUNCTION("""COMPUTED_VALUE"""),36.0)</f>
        <v>36</v>
      </c>
    </row>
    <row r="672">
      <c r="A672" s="55" t="str">
        <f>IFERROR(__xludf.DUMMYFUNCTION("""COMPUTED_VALUE"""),"RSC008599")</f>
        <v>RSC008599</v>
      </c>
      <c r="B672" s="60" t="str">
        <f>IFERROR(__xludf.DUMMYFUNCTION("""COMPUTED_VALUE"""),"p4rka.")</f>
        <v>p4rka.</v>
      </c>
      <c r="C672" s="55" t="str">
        <f>IFERROR(__xludf.DUMMYFUNCTION("""COMPUTED_VALUE"""),"Veteran")</f>
        <v>Veteran</v>
      </c>
      <c r="D672" s="65">
        <f>IFERROR(__xludf.DUMMYFUNCTION("""COMPUTED_VALUE"""),102.23464411676426)</f>
        <v>102.2346441</v>
      </c>
      <c r="E672" s="66">
        <f>IFERROR(__xludf.DUMMYFUNCTION("""COMPUTED_VALUE"""),4.0)</f>
        <v>4</v>
      </c>
    </row>
    <row r="673">
      <c r="A673" s="55" t="str">
        <f>IFERROR(__xludf.DUMMYFUNCTION("""COMPUTED_VALUE"""),"RSC006945")</f>
        <v>RSC006945</v>
      </c>
      <c r="B673" s="60" t="str">
        <f>IFERROR(__xludf.DUMMYFUNCTION("""COMPUTED_VALUE"""),"nuummite")</f>
        <v>nuummite</v>
      </c>
      <c r="C673" s="55" t="str">
        <f>IFERROR(__xludf.DUMMYFUNCTION("""COMPUTED_VALUE"""),"Veteran")</f>
        <v>Veteran</v>
      </c>
      <c r="D673" s="65">
        <f>IFERROR(__xludf.DUMMYFUNCTION("""COMPUTED_VALUE"""),90.79790754822014)</f>
        <v>90.79790755</v>
      </c>
      <c r="E673" s="66">
        <f>IFERROR(__xludf.DUMMYFUNCTION("""COMPUTED_VALUE"""),51.0)</f>
        <v>51</v>
      </c>
    </row>
    <row r="674">
      <c r="A674" s="55" t="str">
        <f>IFERROR(__xludf.DUMMYFUNCTION("""COMPUTED_VALUE"""),"RSC005210")</f>
        <v>RSC005210</v>
      </c>
      <c r="B674" s="60" t="str">
        <f>IFERROR(__xludf.DUMMYFUNCTION("""COMPUTED_VALUE"""),"baldmanstreamer")</f>
        <v>baldmanstreamer</v>
      </c>
      <c r="C674" s="55" t="str">
        <f>IFERROR(__xludf.DUMMYFUNCTION("""COMPUTED_VALUE"""),"Veteran")</f>
        <v>Veteran</v>
      </c>
      <c r="D674" s="65">
        <f>IFERROR(__xludf.DUMMYFUNCTION("""COMPUTED_VALUE"""),90.72497650178647)</f>
        <v>90.7249765</v>
      </c>
      <c r="E674" s="66">
        <f>IFERROR(__xludf.DUMMYFUNCTION("""COMPUTED_VALUE"""),46.0)</f>
        <v>46</v>
      </c>
    </row>
    <row r="675">
      <c r="A675" s="55" t="str">
        <f>IFERROR(__xludf.DUMMYFUNCTION("""COMPUTED_VALUE"""),"RSC000200")</f>
        <v>RSC000200</v>
      </c>
      <c r="B675" s="60" t="str">
        <f>IFERROR(__xludf.DUMMYFUNCTION("""COMPUTED_VALUE"""),"Jonezy")</f>
        <v>Jonezy</v>
      </c>
      <c r="C675" s="55" t="str">
        <f>IFERROR(__xludf.DUMMYFUNCTION("""COMPUTED_VALUE"""),"Veteran")</f>
        <v>Veteran</v>
      </c>
      <c r="D675" s="65">
        <f>IFERROR(__xludf.DUMMYFUNCTION("""COMPUTED_VALUE"""),86.33078091762772)</f>
        <v>86.33078092</v>
      </c>
      <c r="E675" s="66">
        <f>IFERROR(__xludf.DUMMYFUNCTION("""COMPUTED_VALUE"""),12.0)</f>
        <v>12</v>
      </c>
    </row>
    <row r="676">
      <c r="A676" s="55" t="str">
        <f>IFERROR(__xludf.DUMMYFUNCTION("""COMPUTED_VALUE"""),"RSC001199")</f>
        <v>RSC001199</v>
      </c>
      <c r="B676" s="60" t="str">
        <f>IFERROR(__xludf.DUMMYFUNCTION("""COMPUTED_VALUE"""),"Classy")</f>
        <v>Classy</v>
      </c>
      <c r="C676" s="55" t="str">
        <f>IFERROR(__xludf.DUMMYFUNCTION("""COMPUTED_VALUE"""),"Veteran")</f>
        <v>Veteran</v>
      </c>
      <c r="D676" s="65">
        <f>IFERROR(__xludf.DUMMYFUNCTION("""COMPUTED_VALUE"""),86.14613663804438)</f>
        <v>86.14613664</v>
      </c>
      <c r="E676" s="66">
        <f>IFERROR(__xludf.DUMMYFUNCTION("""COMPUTED_VALUE"""),54.0)</f>
        <v>54</v>
      </c>
    </row>
    <row r="677">
      <c r="A677" s="55" t="str">
        <f>IFERROR(__xludf.DUMMYFUNCTION("""COMPUTED_VALUE"""),"RSC003113")</f>
        <v>RSC003113</v>
      </c>
      <c r="B677" s="60" t="str">
        <f>IFERROR(__xludf.DUMMYFUNCTION("""COMPUTED_VALUE"""),"Nebulade")</f>
        <v>Nebulade</v>
      </c>
      <c r="C677" s="55" t="str">
        <f>IFERROR(__xludf.DUMMYFUNCTION("""COMPUTED_VALUE"""),"Veteran")</f>
        <v>Veteran</v>
      </c>
      <c r="D677" s="65">
        <f>IFERROR(__xludf.DUMMYFUNCTION("""COMPUTED_VALUE"""),85.459824767139)</f>
        <v>85.45982477</v>
      </c>
      <c r="E677" s="66">
        <f>IFERROR(__xludf.DUMMYFUNCTION("""COMPUTED_VALUE"""),56.0)</f>
        <v>56</v>
      </c>
    </row>
    <row r="678">
      <c r="A678" s="55" t="str">
        <f>IFERROR(__xludf.DUMMYFUNCTION("""COMPUTED_VALUE"""),"RSC006613")</f>
        <v>RSC006613</v>
      </c>
      <c r="B678" s="60" t="str">
        <f>IFERROR(__xludf.DUMMYFUNCTION("""COMPUTED_VALUE"""),"cartman_-_")</f>
        <v>cartman_-_</v>
      </c>
      <c r="C678" s="55" t="str">
        <f>IFERROR(__xludf.DUMMYFUNCTION("""COMPUTED_VALUE"""),"Veteran")</f>
        <v>Veteran</v>
      </c>
      <c r="D678" s="65">
        <f>IFERROR(__xludf.DUMMYFUNCTION("""COMPUTED_VALUE"""),84.52978786688303)</f>
        <v>84.52978787</v>
      </c>
      <c r="E678" s="66">
        <f>IFERROR(__xludf.DUMMYFUNCTION("""COMPUTED_VALUE"""),52.0)</f>
        <v>52</v>
      </c>
    </row>
    <row r="679">
      <c r="A679" s="55" t="str">
        <f>IFERROR(__xludf.DUMMYFUNCTION("""COMPUTED_VALUE"""),"RSC007856")</f>
        <v>RSC007856</v>
      </c>
      <c r="B679" s="60" t="str">
        <f>IFERROR(__xludf.DUMMYFUNCTION("""COMPUTED_VALUE"""),"Captain Daddy")</f>
        <v>Captain Daddy</v>
      </c>
      <c r="C679" s="55" t="str">
        <f>IFERROR(__xludf.DUMMYFUNCTION("""COMPUTED_VALUE"""),"Veteran")</f>
        <v>Veteran</v>
      </c>
      <c r="D679" s="65">
        <f>IFERROR(__xludf.DUMMYFUNCTION("""COMPUTED_VALUE"""),83.86553863312781)</f>
        <v>83.86553863</v>
      </c>
      <c r="E679" s="66">
        <f>IFERROR(__xludf.DUMMYFUNCTION("""COMPUTED_VALUE"""),54.0)</f>
        <v>54</v>
      </c>
    </row>
    <row r="680">
      <c r="A680" s="55" t="str">
        <f>IFERROR(__xludf.DUMMYFUNCTION("""COMPUTED_VALUE"""),"RSC006060")</f>
        <v>RSC006060</v>
      </c>
      <c r="B680" s="60" t="str">
        <f>IFERROR(__xludf.DUMMYFUNCTION("""COMPUTED_VALUE"""),"WP_Merciless")</f>
        <v>WP_Merciless</v>
      </c>
      <c r="C680" s="55" t="str">
        <f>IFERROR(__xludf.DUMMYFUNCTION("""COMPUTED_VALUE"""),"Veteran")</f>
        <v>Veteran</v>
      </c>
      <c r="D680" s="65">
        <f>IFERROR(__xludf.DUMMYFUNCTION("""COMPUTED_VALUE"""),83.42445652326326)</f>
        <v>83.42445652</v>
      </c>
      <c r="E680" s="66">
        <f>IFERROR(__xludf.DUMMYFUNCTION("""COMPUTED_VALUE"""),40.0)</f>
        <v>40</v>
      </c>
    </row>
    <row r="681">
      <c r="A681" s="55" t="str">
        <f>IFERROR(__xludf.DUMMYFUNCTION("""COMPUTED_VALUE"""),"RSC007594")</f>
        <v>RSC007594</v>
      </c>
      <c r="B681" s="60" t="str">
        <f>IFERROR(__xludf.DUMMYFUNCTION("""COMPUTED_VALUE"""),"Notbeanrl")</f>
        <v>Notbeanrl</v>
      </c>
      <c r="C681" s="55" t="str">
        <f>IFERROR(__xludf.DUMMYFUNCTION("""COMPUTED_VALUE"""),"Veteran")</f>
        <v>Veteran</v>
      </c>
      <c r="D681" s="65">
        <f>IFERROR(__xludf.DUMMYFUNCTION("""COMPUTED_VALUE"""),82.98972048500912)</f>
        <v>82.98972049</v>
      </c>
      <c r="E681" s="66">
        <f>IFERROR(__xludf.DUMMYFUNCTION("""COMPUTED_VALUE"""),52.0)</f>
        <v>52</v>
      </c>
    </row>
    <row r="682">
      <c r="A682" s="55" t="str">
        <f>IFERROR(__xludf.DUMMYFUNCTION("""COMPUTED_VALUE"""),"RSC007131")</f>
        <v>RSC007131</v>
      </c>
      <c r="B682" s="60" t="str">
        <f>IFERROR(__xludf.DUMMYFUNCTION("""COMPUTED_VALUE"""),"BankShark")</f>
        <v>BankShark</v>
      </c>
      <c r="C682" s="55" t="str">
        <f>IFERROR(__xludf.DUMMYFUNCTION("""COMPUTED_VALUE"""),"Veteran")</f>
        <v>Veteran</v>
      </c>
      <c r="D682" s="65">
        <f>IFERROR(__xludf.DUMMYFUNCTION("""COMPUTED_VALUE"""),82.84715439990777)</f>
        <v>82.8471544</v>
      </c>
      <c r="E682" s="66">
        <f>IFERROR(__xludf.DUMMYFUNCTION("""COMPUTED_VALUE"""),55.0)</f>
        <v>55</v>
      </c>
    </row>
    <row r="683">
      <c r="A683" s="55" t="str">
        <f>IFERROR(__xludf.DUMMYFUNCTION("""COMPUTED_VALUE"""),"RSC002706")</f>
        <v>RSC002706</v>
      </c>
      <c r="B683" s="60" t="str">
        <f>IFERROR(__xludf.DUMMYFUNCTION("""COMPUTED_VALUE"""),"Zarthon77")</f>
        <v>Zarthon77</v>
      </c>
      <c r="C683" s="55" t="str">
        <f>IFERROR(__xludf.DUMMYFUNCTION("""COMPUTED_VALUE"""),"Veteran")</f>
        <v>Veteran</v>
      </c>
      <c r="D683" s="65">
        <f>IFERROR(__xludf.DUMMYFUNCTION("""COMPUTED_VALUE"""),81.02575049698657)</f>
        <v>81.0257505</v>
      </c>
      <c r="E683" s="66">
        <f>IFERROR(__xludf.DUMMYFUNCTION("""COMPUTED_VALUE"""),52.0)</f>
        <v>52</v>
      </c>
    </row>
    <row r="684">
      <c r="A684" s="55" t="str">
        <f>IFERROR(__xludf.DUMMYFUNCTION("""COMPUTED_VALUE"""),"RSC007660")</f>
        <v>RSC007660</v>
      </c>
      <c r="B684" s="60" t="str">
        <f>IFERROR(__xludf.DUMMYFUNCTION("""COMPUTED_VALUE"""),"Shraxl")</f>
        <v>Shraxl</v>
      </c>
      <c r="C684" s="55" t="str">
        <f>IFERROR(__xludf.DUMMYFUNCTION("""COMPUTED_VALUE"""),"Veteran")</f>
        <v>Veteran</v>
      </c>
      <c r="D684" s="65">
        <f>IFERROR(__xludf.DUMMYFUNCTION("""COMPUTED_VALUE"""),80.24737705206718)</f>
        <v>80.24737705</v>
      </c>
      <c r="E684" s="66">
        <f>IFERROR(__xludf.DUMMYFUNCTION("""COMPUTED_VALUE"""),52.0)</f>
        <v>52</v>
      </c>
    </row>
    <row r="685">
      <c r="A685" s="55" t="str">
        <f>IFERROR(__xludf.DUMMYFUNCTION("""COMPUTED_VALUE"""),"RSC008452")</f>
        <v>RSC008452</v>
      </c>
      <c r="B685" s="60" t="str">
        <f>IFERROR(__xludf.DUMMYFUNCTION("""COMPUTED_VALUE"""),"pxiruu")</f>
        <v>pxiruu</v>
      </c>
      <c r="C685" s="55" t="str">
        <f>IFERROR(__xludf.DUMMYFUNCTION("""COMPUTED_VALUE"""),"Veteran")</f>
        <v>Veteran</v>
      </c>
      <c r="D685" s="65">
        <f>IFERROR(__xludf.DUMMYFUNCTION("""COMPUTED_VALUE"""),79.14035285188325)</f>
        <v>79.14035285</v>
      </c>
      <c r="E685" s="66">
        <f>IFERROR(__xludf.DUMMYFUNCTION("""COMPUTED_VALUE"""),51.0)</f>
        <v>51</v>
      </c>
    </row>
    <row r="686">
      <c r="A686" s="55" t="str">
        <f>IFERROR(__xludf.DUMMYFUNCTION("""COMPUTED_VALUE"""),"RSC002780")</f>
        <v>RSC002780</v>
      </c>
      <c r="B686" s="60" t="str">
        <f>IFERROR(__xludf.DUMMYFUNCTION("""COMPUTED_VALUE"""),"Lickadoss77")</f>
        <v>Lickadoss77</v>
      </c>
      <c r="C686" s="55" t="str">
        <f>IFERROR(__xludf.DUMMYFUNCTION("""COMPUTED_VALUE"""),"Veteran")</f>
        <v>Veteran</v>
      </c>
      <c r="D686" s="65">
        <f>IFERROR(__xludf.DUMMYFUNCTION("""COMPUTED_VALUE"""),78.97685082069387)</f>
        <v>78.97685082</v>
      </c>
      <c r="E686" s="66">
        <f>IFERROR(__xludf.DUMMYFUNCTION("""COMPUTED_VALUE"""),56.0)</f>
        <v>56</v>
      </c>
    </row>
    <row r="687">
      <c r="A687" s="55" t="str">
        <f>IFERROR(__xludf.DUMMYFUNCTION("""COMPUTED_VALUE"""),"RSC005682")</f>
        <v>RSC005682</v>
      </c>
      <c r="B687" s="60" t="str">
        <f>IFERROR(__xludf.DUMMYFUNCTION("""COMPUTED_VALUE"""),"S_ckz")</f>
        <v>S_ckz</v>
      </c>
      <c r="C687" s="55" t="str">
        <f>IFERROR(__xludf.DUMMYFUNCTION("""COMPUTED_VALUE"""),"Veteran")</f>
        <v>Veteran</v>
      </c>
      <c r="D687" s="65">
        <f>IFERROR(__xludf.DUMMYFUNCTION("""COMPUTED_VALUE"""),78.66797446342702)</f>
        <v>78.66797446</v>
      </c>
      <c r="E687" s="66">
        <f>IFERROR(__xludf.DUMMYFUNCTION("""COMPUTED_VALUE"""),48.0)</f>
        <v>48</v>
      </c>
    </row>
    <row r="688">
      <c r="A688" s="55" t="str">
        <f>IFERROR(__xludf.DUMMYFUNCTION("""COMPUTED_VALUE"""),"RSC008494")</f>
        <v>RSC008494</v>
      </c>
      <c r="B688" s="60" t="str">
        <f>IFERROR(__xludf.DUMMYFUNCTION("""COMPUTED_VALUE"""),"//Ronx")</f>
        <v>//Ronx</v>
      </c>
      <c r="C688" s="55" t="str">
        <f>IFERROR(__xludf.DUMMYFUNCTION("""COMPUTED_VALUE"""),"Veteran")</f>
        <v>Veteran</v>
      </c>
      <c r="D688" s="65">
        <f>IFERROR(__xludf.DUMMYFUNCTION("""COMPUTED_VALUE"""),77.34156306175491)</f>
        <v>77.34156306</v>
      </c>
      <c r="E688" s="66">
        <f>IFERROR(__xludf.DUMMYFUNCTION("""COMPUTED_VALUE"""),54.0)</f>
        <v>54</v>
      </c>
    </row>
    <row r="689">
      <c r="A689" s="55" t="str">
        <f>IFERROR(__xludf.DUMMYFUNCTION("""COMPUTED_VALUE"""),"RSC008351")</f>
        <v>RSC008351</v>
      </c>
      <c r="B689" s="60" t="str">
        <f>IFERROR(__xludf.DUMMYFUNCTION("""COMPUTED_VALUE"""),"trendy &lt;3")</f>
        <v>trendy &lt;3</v>
      </c>
      <c r="C689" s="55" t="str">
        <f>IFERROR(__xludf.DUMMYFUNCTION("""COMPUTED_VALUE"""),"Veteran")</f>
        <v>Veteran</v>
      </c>
      <c r="D689" s="65">
        <f>IFERROR(__xludf.DUMMYFUNCTION("""COMPUTED_VALUE"""),75.17556986930664)</f>
        <v>75.17556987</v>
      </c>
      <c r="E689" s="66">
        <f>IFERROR(__xludf.DUMMYFUNCTION("""COMPUTED_VALUE"""),56.0)</f>
        <v>56</v>
      </c>
    </row>
    <row r="690">
      <c r="A690" s="55" t="str">
        <f>IFERROR(__xludf.DUMMYFUNCTION("""COMPUTED_VALUE"""),"RSC003238")</f>
        <v>RSC003238</v>
      </c>
      <c r="B690" s="60" t="str">
        <f>IFERROR(__xludf.DUMMYFUNCTION("""COMPUTED_VALUE"""),"Kanye_West_ 2028")</f>
        <v>Kanye_West_ 2028</v>
      </c>
      <c r="C690" s="55" t="str">
        <f>IFERROR(__xludf.DUMMYFUNCTION("""COMPUTED_VALUE"""),"Veteran")</f>
        <v>Veteran</v>
      </c>
      <c r="D690" s="65">
        <f>IFERROR(__xludf.DUMMYFUNCTION("""COMPUTED_VALUE"""),74.337623080262)</f>
        <v>74.33762308</v>
      </c>
      <c r="E690" s="66">
        <f>IFERROR(__xludf.DUMMYFUNCTION("""COMPUTED_VALUE"""),55.0)</f>
        <v>55</v>
      </c>
    </row>
    <row r="691">
      <c r="A691" s="55" t="str">
        <f>IFERROR(__xludf.DUMMYFUNCTION("""COMPUTED_VALUE"""),"RSC006290")</f>
        <v>RSC006290</v>
      </c>
      <c r="B691" s="60" t="str">
        <f>IFERROR(__xludf.DUMMYFUNCTION("""COMPUTED_VALUE"""),"Dirt D Dan")</f>
        <v>Dirt D Dan</v>
      </c>
      <c r="C691" s="55" t="str">
        <f>IFERROR(__xludf.DUMMYFUNCTION("""COMPUTED_VALUE"""),"Veteran")</f>
        <v>Veteran</v>
      </c>
      <c r="D691" s="65">
        <f>IFERROR(__xludf.DUMMYFUNCTION("""COMPUTED_VALUE"""),74.18329574511776)</f>
        <v>74.18329575</v>
      </c>
      <c r="E691" s="66">
        <f>IFERROR(__xludf.DUMMYFUNCTION("""COMPUTED_VALUE"""),36.0)</f>
        <v>36</v>
      </c>
    </row>
    <row r="692">
      <c r="A692" s="55" t="str">
        <f>IFERROR(__xludf.DUMMYFUNCTION("""COMPUTED_VALUE"""),"RSC008165")</f>
        <v>RSC008165</v>
      </c>
      <c r="B692" s="60" t="str">
        <f>IFERROR(__xludf.DUMMYFUNCTION("""COMPUTED_VALUE"""),"JoJo-sepy")</f>
        <v>JoJo-sepy</v>
      </c>
      <c r="C692" s="55" t="str">
        <f>IFERROR(__xludf.DUMMYFUNCTION("""COMPUTED_VALUE"""),"Veteran")</f>
        <v>Veteran</v>
      </c>
      <c r="D692" s="65">
        <f>IFERROR(__xludf.DUMMYFUNCTION("""COMPUTED_VALUE"""),74.11821533282466)</f>
        <v>74.11821533</v>
      </c>
      <c r="E692" s="66">
        <f>IFERROR(__xludf.DUMMYFUNCTION("""COMPUTED_VALUE"""),56.0)</f>
        <v>56</v>
      </c>
    </row>
    <row r="693">
      <c r="A693" s="55" t="str">
        <f>IFERROR(__xludf.DUMMYFUNCTION("""COMPUTED_VALUE"""),"RSC002906")</f>
        <v>RSC002906</v>
      </c>
      <c r="B693" s="60" t="str">
        <f>IFERROR(__xludf.DUMMYFUNCTION("""COMPUTED_VALUE"""),"PackRL")</f>
        <v>PackRL</v>
      </c>
      <c r="C693" s="55" t="str">
        <f>IFERROR(__xludf.DUMMYFUNCTION("""COMPUTED_VALUE"""),"Veteran")</f>
        <v>Veteran</v>
      </c>
      <c r="D693" s="65">
        <f>IFERROR(__xludf.DUMMYFUNCTION("""COMPUTED_VALUE"""),73.3775035384071)</f>
        <v>73.37750354</v>
      </c>
      <c r="E693" s="66">
        <f>IFERROR(__xludf.DUMMYFUNCTION("""COMPUTED_VALUE"""),40.0)</f>
        <v>40</v>
      </c>
    </row>
    <row r="694">
      <c r="A694" s="55" t="str">
        <f>IFERROR(__xludf.DUMMYFUNCTION("""COMPUTED_VALUE"""),"RSC008376")</f>
        <v>RSC008376</v>
      </c>
      <c r="B694" s="60" t="str">
        <f>IFERROR(__xludf.DUMMYFUNCTION("""COMPUTED_VALUE"""),"Storytime")</f>
        <v>Storytime</v>
      </c>
      <c r="C694" s="55" t="str">
        <f>IFERROR(__xludf.DUMMYFUNCTION("""COMPUTED_VALUE"""),"Veteran")</f>
        <v>Veteran</v>
      </c>
      <c r="D694" s="65">
        <f>IFERROR(__xludf.DUMMYFUNCTION("""COMPUTED_VALUE"""),73.3613185345804)</f>
        <v>73.36131853</v>
      </c>
      <c r="E694" s="66">
        <f>IFERROR(__xludf.DUMMYFUNCTION("""COMPUTED_VALUE"""),56.0)</f>
        <v>56</v>
      </c>
    </row>
    <row r="695">
      <c r="A695" s="55" t="str">
        <f>IFERROR(__xludf.DUMMYFUNCTION("""COMPUTED_VALUE"""),"RSC008433")</f>
        <v>RSC008433</v>
      </c>
      <c r="B695" s="60" t="str">
        <f>IFERROR(__xludf.DUMMYFUNCTION("""COMPUTED_VALUE"""),"Headshotn")</f>
        <v>Headshotn</v>
      </c>
      <c r="C695" s="55" t="str">
        <f>IFERROR(__xludf.DUMMYFUNCTION("""COMPUTED_VALUE"""),"Veteran")</f>
        <v>Veteran</v>
      </c>
      <c r="D695" s="65">
        <f>IFERROR(__xludf.DUMMYFUNCTION("""COMPUTED_VALUE"""),73.15219880161649)</f>
        <v>73.1521988</v>
      </c>
      <c r="E695" s="66">
        <f>IFERROR(__xludf.DUMMYFUNCTION("""COMPUTED_VALUE"""),40.0)</f>
        <v>40</v>
      </c>
    </row>
    <row r="696">
      <c r="A696" s="55" t="str">
        <f>IFERROR(__xludf.DUMMYFUNCTION("""COMPUTED_VALUE"""),"RSC008432")</f>
        <v>RSC008432</v>
      </c>
      <c r="B696" s="60" t="str">
        <f>IFERROR(__xludf.DUMMYFUNCTION("""COMPUTED_VALUE"""),"Doinkers.")</f>
        <v>Doinkers.</v>
      </c>
      <c r="C696" s="55" t="str">
        <f>IFERROR(__xludf.DUMMYFUNCTION("""COMPUTED_VALUE"""),"Veteran")</f>
        <v>Veteran</v>
      </c>
      <c r="D696" s="65">
        <f>IFERROR(__xludf.DUMMYFUNCTION("""COMPUTED_VALUE"""),73.138846968651)</f>
        <v>73.13884697</v>
      </c>
      <c r="E696" s="66">
        <f>IFERROR(__xludf.DUMMYFUNCTION("""COMPUTED_VALUE"""),33.0)</f>
        <v>33</v>
      </c>
    </row>
    <row r="697">
      <c r="A697" s="55" t="str">
        <f>IFERROR(__xludf.DUMMYFUNCTION("""COMPUTED_VALUE"""),"RSC002209")</f>
        <v>RSC002209</v>
      </c>
      <c r="B697" s="60" t="str">
        <f>IFERROR(__xludf.DUMMYFUNCTION("""COMPUTED_VALUE"""),"Panick")</f>
        <v>Panick</v>
      </c>
      <c r="C697" s="55" t="str">
        <f>IFERROR(__xludf.DUMMYFUNCTION("""COMPUTED_VALUE"""),"Veteran")</f>
        <v>Veteran</v>
      </c>
      <c r="D697" s="65">
        <f>IFERROR(__xludf.DUMMYFUNCTION("""COMPUTED_VALUE"""),72.96548488759707)</f>
        <v>72.96548489</v>
      </c>
      <c r="E697" s="66">
        <f>IFERROR(__xludf.DUMMYFUNCTION("""COMPUTED_VALUE"""),52.0)</f>
        <v>52</v>
      </c>
    </row>
    <row r="698">
      <c r="A698" s="55" t="str">
        <f>IFERROR(__xludf.DUMMYFUNCTION("""COMPUTED_VALUE"""),"RSC004165")</f>
        <v>RSC004165</v>
      </c>
      <c r="B698" s="60" t="str">
        <f>IFERROR(__xludf.DUMMYFUNCTION("""COMPUTED_VALUE"""),"Absolutely TOR")</f>
        <v>Absolutely TOR</v>
      </c>
      <c r="C698" s="55" t="str">
        <f>IFERROR(__xludf.DUMMYFUNCTION("""COMPUTED_VALUE"""),"Veteran")</f>
        <v>Veteran</v>
      </c>
      <c r="D698" s="65">
        <f>IFERROR(__xludf.DUMMYFUNCTION("""COMPUTED_VALUE"""),72.67354315260754)</f>
        <v>72.67354315</v>
      </c>
      <c r="E698" s="66">
        <f>IFERROR(__xludf.DUMMYFUNCTION("""COMPUTED_VALUE"""),54.0)</f>
        <v>54</v>
      </c>
    </row>
    <row r="699">
      <c r="A699" s="55" t="str">
        <f>IFERROR(__xludf.DUMMYFUNCTION("""COMPUTED_VALUE"""),"RSC005655")</f>
        <v>RSC005655</v>
      </c>
      <c r="B699" s="60" t="str">
        <f>IFERROR(__xludf.DUMMYFUNCTION("""COMPUTED_VALUE"""),"Oneplayamaker")</f>
        <v>Oneplayamaker</v>
      </c>
      <c r="C699" s="55" t="str">
        <f>IFERROR(__xludf.DUMMYFUNCTION("""COMPUTED_VALUE"""),"Veteran")</f>
        <v>Veteran</v>
      </c>
      <c r="D699" s="65">
        <f>IFERROR(__xludf.DUMMYFUNCTION("""COMPUTED_VALUE"""),72.08163306791468)</f>
        <v>72.08163307</v>
      </c>
      <c r="E699" s="66">
        <f>IFERROR(__xludf.DUMMYFUNCTION("""COMPUTED_VALUE"""),43.0)</f>
        <v>43</v>
      </c>
    </row>
    <row r="700">
      <c r="A700" s="55" t="str">
        <f>IFERROR(__xludf.DUMMYFUNCTION("""COMPUTED_VALUE"""),"RSC000550")</f>
        <v>RSC000550</v>
      </c>
      <c r="B700" s="60" t="str">
        <f>IFERROR(__xludf.DUMMYFUNCTION("""COMPUTED_VALUE"""),"ARJ")</f>
        <v>ARJ</v>
      </c>
      <c r="C700" s="55" t="str">
        <f>IFERROR(__xludf.DUMMYFUNCTION("""COMPUTED_VALUE"""),"Veteran")</f>
        <v>Veteran</v>
      </c>
      <c r="D700" s="65">
        <f>IFERROR(__xludf.DUMMYFUNCTION("""COMPUTED_VALUE"""),71.85763205983405)</f>
        <v>71.85763206</v>
      </c>
      <c r="E700" s="66">
        <f>IFERROR(__xludf.DUMMYFUNCTION("""COMPUTED_VALUE"""),35.0)</f>
        <v>35</v>
      </c>
    </row>
    <row r="701">
      <c r="A701" s="55" t="str">
        <f>IFERROR(__xludf.DUMMYFUNCTION("""COMPUTED_VALUE"""),"RSC008384")</f>
        <v>RSC008384</v>
      </c>
      <c r="B701" s="60" t="str">
        <f>IFERROR(__xludf.DUMMYFUNCTION("""COMPUTED_VALUE"""),"NotLuke9")</f>
        <v>NotLuke9</v>
      </c>
      <c r="C701" s="55" t="str">
        <f>IFERROR(__xludf.DUMMYFUNCTION("""COMPUTED_VALUE"""),"Veteran")</f>
        <v>Veteran</v>
      </c>
      <c r="D701" s="65">
        <f>IFERROR(__xludf.DUMMYFUNCTION("""COMPUTED_VALUE"""),71.57861916815727)</f>
        <v>71.57861917</v>
      </c>
      <c r="E701" s="66">
        <f>IFERROR(__xludf.DUMMYFUNCTION("""COMPUTED_VALUE"""),44.0)</f>
        <v>44</v>
      </c>
    </row>
    <row r="702">
      <c r="A702" s="55" t="str">
        <f>IFERROR(__xludf.DUMMYFUNCTION("""COMPUTED_VALUE"""),"RSC007582")</f>
        <v>RSC007582</v>
      </c>
      <c r="B702" s="60" t="str">
        <f>IFERROR(__xludf.DUMMYFUNCTION("""COMPUTED_VALUE"""),"Wavy")</f>
        <v>Wavy</v>
      </c>
      <c r="C702" s="55" t="str">
        <f>IFERROR(__xludf.DUMMYFUNCTION("""COMPUTED_VALUE"""),"Veteran")</f>
        <v>Veteran</v>
      </c>
      <c r="D702" s="65">
        <f>IFERROR(__xludf.DUMMYFUNCTION("""COMPUTED_VALUE"""),70.64478614652046)</f>
        <v>70.64478615</v>
      </c>
      <c r="E702" s="66">
        <f>IFERROR(__xludf.DUMMYFUNCTION("""COMPUTED_VALUE"""),49.0)</f>
        <v>49</v>
      </c>
    </row>
    <row r="703">
      <c r="A703" s="55" t="str">
        <f>IFERROR(__xludf.DUMMYFUNCTION("""COMPUTED_VALUE"""),"RSC000320")</f>
        <v>RSC000320</v>
      </c>
      <c r="B703" s="60" t="str">
        <f>IFERROR(__xludf.DUMMYFUNCTION("""COMPUTED_VALUE"""),"ryanawesome_")</f>
        <v>ryanawesome_</v>
      </c>
      <c r="C703" s="55" t="str">
        <f>IFERROR(__xludf.DUMMYFUNCTION("""COMPUTED_VALUE"""),"Veteran")</f>
        <v>Veteran</v>
      </c>
      <c r="D703" s="65">
        <f>IFERROR(__xludf.DUMMYFUNCTION("""COMPUTED_VALUE"""),70.35210604923728)</f>
        <v>70.35210605</v>
      </c>
      <c r="E703" s="66">
        <f>IFERROR(__xludf.DUMMYFUNCTION("""COMPUTED_VALUE"""),52.0)</f>
        <v>52</v>
      </c>
    </row>
    <row r="704">
      <c r="A704" s="55" t="str">
        <f>IFERROR(__xludf.DUMMYFUNCTION("""COMPUTED_VALUE"""),"RSC008170")</f>
        <v>RSC008170</v>
      </c>
      <c r="B704" s="60" t="str">
        <f>IFERROR(__xludf.DUMMYFUNCTION("""COMPUTED_VALUE"""),"Hypernova")</f>
        <v>Hypernova</v>
      </c>
      <c r="C704" s="55" t="str">
        <f>IFERROR(__xludf.DUMMYFUNCTION("""COMPUTED_VALUE"""),"Veteran")</f>
        <v>Veteran</v>
      </c>
      <c r="D704" s="65">
        <f>IFERROR(__xludf.DUMMYFUNCTION("""COMPUTED_VALUE"""),70.20055478244751)</f>
        <v>70.20055478</v>
      </c>
      <c r="E704" s="66">
        <f>IFERROR(__xludf.DUMMYFUNCTION("""COMPUTED_VALUE"""),41.0)</f>
        <v>41</v>
      </c>
    </row>
    <row r="705">
      <c r="A705" s="55" t="str">
        <f>IFERROR(__xludf.DUMMYFUNCTION("""COMPUTED_VALUE"""),"RSC008422")</f>
        <v>RSC008422</v>
      </c>
      <c r="B705" s="60" t="str">
        <f>IFERROR(__xludf.DUMMYFUNCTION("""COMPUTED_VALUE"""),"carszin")</f>
        <v>carszin</v>
      </c>
      <c r="C705" s="55" t="str">
        <f>IFERROR(__xludf.DUMMYFUNCTION("""COMPUTED_VALUE"""),"Veteran")</f>
        <v>Veteran</v>
      </c>
      <c r="D705" s="65">
        <f>IFERROR(__xludf.DUMMYFUNCTION("""COMPUTED_VALUE"""),69.79937312122917)</f>
        <v>69.79937312</v>
      </c>
      <c r="E705" s="66">
        <f>IFERROR(__xludf.DUMMYFUNCTION("""COMPUTED_VALUE"""),24.0)</f>
        <v>24</v>
      </c>
    </row>
    <row r="706">
      <c r="A706" s="55" t="str">
        <f>IFERROR(__xludf.DUMMYFUNCTION("""COMPUTED_VALUE"""),"RSC006140")</f>
        <v>RSC006140</v>
      </c>
      <c r="B706" s="60" t="str">
        <f>IFERROR(__xludf.DUMMYFUNCTION("""COMPUTED_VALUE"""),"Jay_Kay99")</f>
        <v>Jay_Kay99</v>
      </c>
      <c r="C706" s="55" t="str">
        <f>IFERROR(__xludf.DUMMYFUNCTION("""COMPUTED_VALUE"""),"Veteran")</f>
        <v>Veteran</v>
      </c>
      <c r="D706" s="65">
        <f>IFERROR(__xludf.DUMMYFUNCTION("""COMPUTED_VALUE"""),69.42977241732619)</f>
        <v>69.42977242</v>
      </c>
      <c r="E706" s="66">
        <f>IFERROR(__xludf.DUMMYFUNCTION("""COMPUTED_VALUE"""),54.0)</f>
        <v>54</v>
      </c>
    </row>
    <row r="707">
      <c r="A707" s="55" t="str">
        <f>IFERROR(__xludf.DUMMYFUNCTION("""COMPUTED_VALUE"""),"RSC008553")</f>
        <v>RSC008553</v>
      </c>
      <c r="B707" s="60" t="str">
        <f>IFERROR(__xludf.DUMMYFUNCTION("""COMPUTED_VALUE"""),"Choco")</f>
        <v>Choco</v>
      </c>
      <c r="C707" s="55" t="str">
        <f>IFERROR(__xludf.DUMMYFUNCTION("""COMPUTED_VALUE"""),"Veteran")</f>
        <v>Veteran</v>
      </c>
      <c r="D707" s="65">
        <f>IFERROR(__xludf.DUMMYFUNCTION("""COMPUTED_VALUE"""),67.87436401752726)</f>
        <v>67.87436402</v>
      </c>
      <c r="E707" s="66">
        <f>IFERROR(__xludf.DUMMYFUNCTION("""COMPUTED_VALUE"""),24.0)</f>
        <v>24</v>
      </c>
    </row>
    <row r="708">
      <c r="A708" s="55" t="str">
        <f>IFERROR(__xludf.DUMMYFUNCTION("""COMPUTED_VALUE"""),"RSC007293")</f>
        <v>RSC007293</v>
      </c>
      <c r="B708" s="60" t="str">
        <f>IFERROR(__xludf.DUMMYFUNCTION("""COMPUTED_VALUE"""),"YtExplixiit")</f>
        <v>YtExplixiit</v>
      </c>
      <c r="C708" s="55" t="str">
        <f>IFERROR(__xludf.DUMMYFUNCTION("""COMPUTED_VALUE"""),"Veteran")</f>
        <v>Veteran</v>
      </c>
      <c r="D708" s="65">
        <f>IFERROR(__xludf.DUMMYFUNCTION("""COMPUTED_VALUE"""),66.64161929007422)</f>
        <v>66.64161929</v>
      </c>
      <c r="E708" s="66">
        <f>IFERROR(__xludf.DUMMYFUNCTION("""COMPUTED_VALUE"""),8.0)</f>
        <v>8</v>
      </c>
    </row>
    <row r="709">
      <c r="A709" s="55" t="str">
        <f>IFERROR(__xludf.DUMMYFUNCTION("""COMPUTED_VALUE"""),"RSC007756")</f>
        <v>RSC007756</v>
      </c>
      <c r="B709" s="60" t="str">
        <f>IFERROR(__xludf.DUMMYFUNCTION("""COMPUTED_VALUE"""),"Taunt")</f>
        <v>Taunt</v>
      </c>
      <c r="C709" s="55" t="str">
        <f>IFERROR(__xludf.DUMMYFUNCTION("""COMPUTED_VALUE"""),"Veteran")</f>
        <v>Veteran</v>
      </c>
      <c r="D709" s="65">
        <f>IFERROR(__xludf.DUMMYFUNCTION("""COMPUTED_VALUE"""),66.3333001315894)</f>
        <v>66.33330013</v>
      </c>
      <c r="E709" s="66">
        <f>IFERROR(__xludf.DUMMYFUNCTION("""COMPUTED_VALUE"""),40.0)</f>
        <v>40</v>
      </c>
    </row>
    <row r="710">
      <c r="A710" s="55" t="str">
        <f>IFERROR(__xludf.DUMMYFUNCTION("""COMPUTED_VALUE"""),"RSC007501")</f>
        <v>RSC007501</v>
      </c>
      <c r="B710" s="60" t="str">
        <f>IFERROR(__xludf.DUMMYFUNCTION("""COMPUTED_VALUE"""),"RAW MUSHROOMS")</f>
        <v>RAW MUSHROOMS</v>
      </c>
      <c r="C710" s="55" t="str">
        <f>IFERROR(__xludf.DUMMYFUNCTION("""COMPUTED_VALUE"""),"Veteran")</f>
        <v>Veteran</v>
      </c>
      <c r="D710" s="65">
        <f>IFERROR(__xludf.DUMMYFUNCTION("""COMPUTED_VALUE"""),64.25225390066997)</f>
        <v>64.2522539</v>
      </c>
      <c r="E710" s="66">
        <f>IFERROR(__xludf.DUMMYFUNCTION("""COMPUTED_VALUE"""),4.0)</f>
        <v>4</v>
      </c>
    </row>
    <row r="711">
      <c r="A711" s="55" t="str">
        <f>IFERROR(__xludf.DUMMYFUNCTION("""COMPUTED_VALUE"""),"RSC005577")</f>
        <v>RSC005577</v>
      </c>
      <c r="B711" s="60" t="str">
        <f>IFERROR(__xludf.DUMMYFUNCTION("""COMPUTED_VALUE"""),"Ryan.")</f>
        <v>Ryan.</v>
      </c>
      <c r="C711" s="55" t="str">
        <f>IFERROR(__xludf.DUMMYFUNCTION("""COMPUTED_VALUE"""),"Veteran")</f>
        <v>Veteran</v>
      </c>
      <c r="D711" s="65">
        <f>IFERROR(__xludf.DUMMYFUNCTION("""COMPUTED_VALUE"""),63.7702876982092)</f>
        <v>63.7702877</v>
      </c>
      <c r="E711" s="66">
        <f>IFERROR(__xludf.DUMMYFUNCTION("""COMPUTED_VALUE"""),37.0)</f>
        <v>37</v>
      </c>
    </row>
    <row r="712">
      <c r="A712" s="55" t="str">
        <f>IFERROR(__xludf.DUMMYFUNCTION("""COMPUTED_VALUE"""),"RSC006314")</f>
        <v>RSC006314</v>
      </c>
      <c r="B712" s="60" t="str">
        <f>IFERROR(__xludf.DUMMYFUNCTION("""COMPUTED_VALUE"""),"Mimetic")</f>
        <v>Mimetic</v>
      </c>
      <c r="C712" s="55" t="str">
        <f>IFERROR(__xludf.DUMMYFUNCTION("""COMPUTED_VALUE"""),"Veteran")</f>
        <v>Veteran</v>
      </c>
      <c r="D712" s="65">
        <f>IFERROR(__xludf.DUMMYFUNCTION("""COMPUTED_VALUE"""),62.16364210623261)</f>
        <v>62.16364211</v>
      </c>
      <c r="E712" s="66">
        <f>IFERROR(__xludf.DUMMYFUNCTION("""COMPUTED_VALUE"""),47.0)</f>
        <v>47</v>
      </c>
    </row>
    <row r="713">
      <c r="A713" s="55" t="str">
        <f>IFERROR(__xludf.DUMMYFUNCTION("""COMPUTED_VALUE"""),"RSC007906")</f>
        <v>RSC007906</v>
      </c>
      <c r="B713" s="60" t="str">
        <f>IFERROR(__xludf.DUMMYFUNCTION("""COMPUTED_VALUE"""),"Vaz1fy.")</f>
        <v>Vaz1fy.</v>
      </c>
      <c r="C713" s="55" t="str">
        <f>IFERROR(__xludf.DUMMYFUNCTION("""COMPUTED_VALUE"""),"Veteran")</f>
        <v>Veteran</v>
      </c>
      <c r="D713" s="65">
        <f>IFERROR(__xludf.DUMMYFUNCTION("""COMPUTED_VALUE"""),61.865351484861044)</f>
        <v>61.86535148</v>
      </c>
      <c r="E713" s="66">
        <f>IFERROR(__xludf.DUMMYFUNCTION("""COMPUTED_VALUE"""),43.0)</f>
        <v>43</v>
      </c>
    </row>
    <row r="714">
      <c r="A714" s="55" t="str">
        <f>IFERROR(__xludf.DUMMYFUNCTION("""COMPUTED_VALUE"""),"RSC007482")</f>
        <v>RSC007482</v>
      </c>
      <c r="B714" s="60" t="str">
        <f>IFERROR(__xludf.DUMMYFUNCTION("""COMPUTED_VALUE"""),"MyTyranosaur")</f>
        <v>MyTyranosaur</v>
      </c>
      <c r="C714" s="55" t="str">
        <f>IFERROR(__xludf.DUMMYFUNCTION("""COMPUTED_VALUE"""),"Veteran")</f>
        <v>Veteran</v>
      </c>
      <c r="D714" s="65">
        <f>IFERROR(__xludf.DUMMYFUNCTION("""COMPUTED_VALUE"""),61.7086329531709)</f>
        <v>61.70863295</v>
      </c>
      <c r="E714" s="66">
        <f>IFERROR(__xludf.DUMMYFUNCTION("""COMPUTED_VALUE"""),37.0)</f>
        <v>37</v>
      </c>
    </row>
    <row r="715">
      <c r="A715" s="55" t="str">
        <f>IFERROR(__xludf.DUMMYFUNCTION("""COMPUTED_VALUE"""),"RSC002330")</f>
        <v>RSC002330</v>
      </c>
      <c r="B715" s="60" t="str">
        <f>IFERROR(__xludf.DUMMYFUNCTION("""COMPUTED_VALUE"""),"JesterGG")</f>
        <v>JesterGG</v>
      </c>
      <c r="C715" s="55" t="str">
        <f>IFERROR(__xludf.DUMMYFUNCTION("""COMPUTED_VALUE"""),"Veteran")</f>
        <v>Veteran</v>
      </c>
      <c r="D715" s="65">
        <f>IFERROR(__xludf.DUMMYFUNCTION("""COMPUTED_VALUE"""),61.550357022029786)</f>
        <v>61.55035702</v>
      </c>
      <c r="E715" s="66">
        <f>IFERROR(__xludf.DUMMYFUNCTION("""COMPUTED_VALUE"""),35.0)</f>
        <v>35</v>
      </c>
    </row>
    <row r="716">
      <c r="A716" s="55" t="str">
        <f>IFERROR(__xludf.DUMMYFUNCTION("""COMPUTED_VALUE"""),"RSC005934")</f>
        <v>RSC005934</v>
      </c>
      <c r="B716" s="60" t="str">
        <f>IFERROR(__xludf.DUMMYFUNCTION("""COMPUTED_VALUE"""),"TheodoreThe2")</f>
        <v>TheodoreThe2</v>
      </c>
      <c r="C716" s="55" t="str">
        <f>IFERROR(__xludf.DUMMYFUNCTION("""COMPUTED_VALUE"""),"Veteran")</f>
        <v>Veteran</v>
      </c>
      <c r="D716" s="65">
        <f>IFERROR(__xludf.DUMMYFUNCTION("""COMPUTED_VALUE"""),61.117772619233506)</f>
        <v>61.11777262</v>
      </c>
      <c r="E716" s="66">
        <f>IFERROR(__xludf.DUMMYFUNCTION("""COMPUTED_VALUE"""),15.0)</f>
        <v>15</v>
      </c>
    </row>
    <row r="717">
      <c r="A717" s="55" t="str">
        <f>IFERROR(__xludf.DUMMYFUNCTION("""COMPUTED_VALUE"""),"RSC001487")</f>
        <v>RSC001487</v>
      </c>
      <c r="B717" s="60" t="str">
        <f>IFERROR(__xludf.DUMMYFUNCTION("""COMPUTED_VALUE"""),"M1ke1sMy1ke")</f>
        <v>M1ke1sMy1ke</v>
      </c>
      <c r="C717" s="55" t="str">
        <f>IFERROR(__xludf.DUMMYFUNCTION("""COMPUTED_VALUE"""),"Veteran")</f>
        <v>Veteran</v>
      </c>
      <c r="D717" s="65">
        <f>IFERROR(__xludf.DUMMYFUNCTION("""COMPUTED_VALUE"""),60.79003081554362)</f>
        <v>60.79003082</v>
      </c>
      <c r="E717" s="66">
        <f>IFERROR(__xludf.DUMMYFUNCTION("""COMPUTED_VALUE"""),46.0)</f>
        <v>46</v>
      </c>
    </row>
    <row r="718">
      <c r="A718" s="55" t="str">
        <f>IFERROR(__xludf.DUMMYFUNCTION("""COMPUTED_VALUE"""),"RSC006320")</f>
        <v>RSC006320</v>
      </c>
      <c r="B718" s="60" t="str">
        <f>IFERROR(__xludf.DUMMYFUNCTION("""COMPUTED_VALUE"""),"Escape_Plan1")</f>
        <v>Escape_Plan1</v>
      </c>
      <c r="C718" s="55" t="str">
        <f>IFERROR(__xludf.DUMMYFUNCTION("""COMPUTED_VALUE"""),"Veteran")</f>
        <v>Veteran</v>
      </c>
      <c r="D718" s="65">
        <f>IFERROR(__xludf.DUMMYFUNCTION("""COMPUTED_VALUE"""),60.14207752288179)</f>
        <v>60.14207752</v>
      </c>
      <c r="E718" s="66">
        <f>IFERROR(__xludf.DUMMYFUNCTION("""COMPUTED_VALUE"""),46.0)</f>
        <v>46</v>
      </c>
    </row>
    <row r="719">
      <c r="A719" s="55" t="str">
        <f>IFERROR(__xludf.DUMMYFUNCTION("""COMPUTED_VALUE"""),"RSC002453")</f>
        <v>RSC002453</v>
      </c>
      <c r="B719" s="60" t="str">
        <f>IFERROR(__xludf.DUMMYFUNCTION("""COMPUTED_VALUE"""),"Ghostie")</f>
        <v>Ghostie</v>
      </c>
      <c r="C719" s="55" t="str">
        <f>IFERROR(__xludf.DUMMYFUNCTION("""COMPUTED_VALUE"""),"Veteran")</f>
        <v>Veteran</v>
      </c>
      <c r="D719" s="65">
        <f>IFERROR(__xludf.DUMMYFUNCTION("""COMPUTED_VALUE"""),59.78265802651393)</f>
        <v>59.78265803</v>
      </c>
      <c r="E719" s="66">
        <f>IFERROR(__xludf.DUMMYFUNCTION("""COMPUTED_VALUE"""),4.0)</f>
        <v>4</v>
      </c>
    </row>
    <row r="720">
      <c r="A720" s="55" t="str">
        <f>IFERROR(__xludf.DUMMYFUNCTION("""COMPUTED_VALUE"""),"RSC005165")</f>
        <v>RSC005165</v>
      </c>
      <c r="B720" s="60" t="str">
        <f>IFERROR(__xludf.DUMMYFUNCTION("""COMPUTED_VALUE"""),"Lucas")</f>
        <v>Lucas</v>
      </c>
      <c r="C720" s="55" t="str">
        <f>IFERROR(__xludf.DUMMYFUNCTION("""COMPUTED_VALUE"""),"Veteran")</f>
        <v>Veteran</v>
      </c>
      <c r="D720" s="65">
        <f>IFERROR(__xludf.DUMMYFUNCTION("""COMPUTED_VALUE"""),59.64415324728428)</f>
        <v>59.64415325</v>
      </c>
      <c r="E720" s="66">
        <f>IFERROR(__xludf.DUMMYFUNCTION("""COMPUTED_VALUE"""),56.0)</f>
        <v>56</v>
      </c>
    </row>
    <row r="721">
      <c r="A721" s="55" t="str">
        <f>IFERROR(__xludf.DUMMYFUNCTION("""COMPUTED_VALUE"""),"RSC005482")</f>
        <v>RSC005482</v>
      </c>
      <c r="B721" s="60" t="str">
        <f>IFERROR(__xludf.DUMMYFUNCTION("""COMPUTED_VALUE"""),"Benny!")</f>
        <v>Benny!</v>
      </c>
      <c r="C721" s="55" t="str">
        <f>IFERROR(__xludf.DUMMYFUNCTION("""COMPUTED_VALUE"""),"Veteran")</f>
        <v>Veteran</v>
      </c>
      <c r="D721" s="65">
        <f>IFERROR(__xludf.DUMMYFUNCTION("""COMPUTED_VALUE"""),59.37996467027779)</f>
        <v>59.37996467</v>
      </c>
      <c r="E721" s="66">
        <f>IFERROR(__xludf.DUMMYFUNCTION("""COMPUTED_VALUE"""),48.0)</f>
        <v>48</v>
      </c>
    </row>
    <row r="722">
      <c r="A722" s="55" t="str">
        <f>IFERROR(__xludf.DUMMYFUNCTION("""COMPUTED_VALUE"""),"RSC002668")</f>
        <v>RSC002668</v>
      </c>
      <c r="B722" s="60" t="str">
        <f>IFERROR(__xludf.DUMMYFUNCTION("""COMPUTED_VALUE"""),"Azorh &lt;3")</f>
        <v>Azorh &lt;3</v>
      </c>
      <c r="C722" s="55" t="str">
        <f>IFERROR(__xludf.DUMMYFUNCTION("""COMPUTED_VALUE"""),"Veteran")</f>
        <v>Veteran</v>
      </c>
      <c r="D722" s="65">
        <f>IFERROR(__xludf.DUMMYFUNCTION("""COMPUTED_VALUE"""),59.03591282641936)</f>
        <v>59.03591283</v>
      </c>
      <c r="E722" s="66">
        <f>IFERROR(__xludf.DUMMYFUNCTION("""COMPUTED_VALUE"""),49.0)</f>
        <v>49</v>
      </c>
    </row>
    <row r="723">
      <c r="A723" s="55" t="str">
        <f>IFERROR(__xludf.DUMMYFUNCTION("""COMPUTED_VALUE"""),"RSC004220")</f>
        <v>RSC004220</v>
      </c>
      <c r="B723" s="60" t="str">
        <f>IFERROR(__xludf.DUMMYFUNCTION("""COMPUTED_VALUE"""),"Logixaal")</f>
        <v>Logixaal</v>
      </c>
      <c r="C723" s="55" t="str">
        <f>IFERROR(__xludf.DUMMYFUNCTION("""COMPUTED_VALUE"""),"Veteran")</f>
        <v>Veteran</v>
      </c>
      <c r="D723" s="65">
        <f>IFERROR(__xludf.DUMMYFUNCTION("""COMPUTED_VALUE"""),59.00439739564309)</f>
        <v>59.0043974</v>
      </c>
      <c r="E723" s="66">
        <f>IFERROR(__xludf.DUMMYFUNCTION("""COMPUTED_VALUE"""),56.0)</f>
        <v>56</v>
      </c>
    </row>
    <row r="724">
      <c r="A724" s="55" t="str">
        <f>IFERROR(__xludf.DUMMYFUNCTION("""COMPUTED_VALUE"""),"RSC007331")</f>
        <v>RSC007331</v>
      </c>
      <c r="B724" s="60" t="str">
        <f>IFERROR(__xludf.DUMMYFUNCTION("""COMPUTED_VALUE"""),"Ikigai")</f>
        <v>Ikigai</v>
      </c>
      <c r="C724" s="55" t="str">
        <f>IFERROR(__xludf.DUMMYFUNCTION("""COMPUTED_VALUE"""),"Veteran")</f>
        <v>Veteran</v>
      </c>
      <c r="D724" s="65">
        <f>IFERROR(__xludf.DUMMYFUNCTION("""COMPUTED_VALUE"""),58.1905419529246)</f>
        <v>58.19054195</v>
      </c>
      <c r="E724" s="66">
        <f>IFERROR(__xludf.DUMMYFUNCTION("""COMPUTED_VALUE"""),43.0)</f>
        <v>43</v>
      </c>
    </row>
    <row r="725">
      <c r="A725" s="55" t="str">
        <f>IFERROR(__xludf.DUMMYFUNCTION("""COMPUTED_VALUE"""),"RSC004239")</f>
        <v>RSC004239</v>
      </c>
      <c r="B725" s="60" t="str">
        <f>IFERROR(__xludf.DUMMYFUNCTION("""COMPUTED_VALUE"""),"Nitro")</f>
        <v>Nitro</v>
      </c>
      <c r="C725" s="55" t="str">
        <f>IFERROR(__xludf.DUMMYFUNCTION("""COMPUTED_VALUE"""),"Veteran")</f>
        <v>Veteran</v>
      </c>
      <c r="D725" s="65">
        <f>IFERROR(__xludf.DUMMYFUNCTION("""COMPUTED_VALUE"""),57.936885941335085)</f>
        <v>57.93688594</v>
      </c>
      <c r="E725" s="66">
        <f>IFERROR(__xludf.DUMMYFUNCTION("""COMPUTED_VALUE"""),56.0)</f>
        <v>56</v>
      </c>
    </row>
    <row r="726">
      <c r="A726" s="55" t="str">
        <f>IFERROR(__xludf.DUMMYFUNCTION("""COMPUTED_VALUE"""),"RSC008104")</f>
        <v>RSC008104</v>
      </c>
      <c r="B726" s="60" t="str">
        <f>IFERROR(__xludf.DUMMYFUNCTION("""COMPUTED_VALUE"""),"M0NKEE .")</f>
        <v>M0NKEE .</v>
      </c>
      <c r="C726" s="55" t="str">
        <f>IFERROR(__xludf.DUMMYFUNCTION("""COMPUTED_VALUE"""),"Veteran")</f>
        <v>Veteran</v>
      </c>
      <c r="D726" s="65">
        <f>IFERROR(__xludf.DUMMYFUNCTION("""COMPUTED_VALUE"""),57.3109566782701)</f>
        <v>57.31095668</v>
      </c>
      <c r="E726" s="66">
        <f>IFERROR(__xludf.DUMMYFUNCTION("""COMPUTED_VALUE"""),52.0)</f>
        <v>52</v>
      </c>
    </row>
    <row r="727">
      <c r="A727" s="55" t="str">
        <f>IFERROR(__xludf.DUMMYFUNCTION("""COMPUTED_VALUE"""),"RSC008172")</f>
        <v>RSC008172</v>
      </c>
      <c r="B727" s="60" t="str">
        <f>IFERROR(__xludf.DUMMYFUNCTION("""COMPUTED_VALUE"""),"Vera")</f>
        <v>Vera</v>
      </c>
      <c r="C727" s="55" t="str">
        <f>IFERROR(__xludf.DUMMYFUNCTION("""COMPUTED_VALUE"""),"Veteran")</f>
        <v>Veteran</v>
      </c>
      <c r="D727" s="65">
        <f>IFERROR(__xludf.DUMMYFUNCTION("""COMPUTED_VALUE"""),57.23334797969526)</f>
        <v>57.23334798</v>
      </c>
      <c r="E727" s="66">
        <f>IFERROR(__xludf.DUMMYFUNCTION("""COMPUTED_VALUE"""),11.0)</f>
        <v>11</v>
      </c>
    </row>
    <row r="728">
      <c r="A728" s="55" t="str">
        <f>IFERROR(__xludf.DUMMYFUNCTION("""COMPUTED_VALUE"""),"RSC002295")</f>
        <v>RSC002295</v>
      </c>
      <c r="B728" s="60" t="str">
        <f>IFERROR(__xludf.DUMMYFUNCTION("""COMPUTED_VALUE"""),"DEMOralize")</f>
        <v>DEMOralize</v>
      </c>
      <c r="C728" s="55" t="str">
        <f>IFERROR(__xludf.DUMMYFUNCTION("""COMPUTED_VALUE"""),"Veteran")</f>
        <v>Veteran</v>
      </c>
      <c r="D728" s="65">
        <f>IFERROR(__xludf.DUMMYFUNCTION("""COMPUTED_VALUE"""),57.12694271941327)</f>
        <v>57.12694272</v>
      </c>
      <c r="E728" s="66">
        <f>IFERROR(__xludf.DUMMYFUNCTION("""COMPUTED_VALUE"""),52.0)</f>
        <v>52</v>
      </c>
    </row>
    <row r="729">
      <c r="A729" s="55" t="str">
        <f>IFERROR(__xludf.DUMMYFUNCTION("""COMPUTED_VALUE"""),"RSC007358")</f>
        <v>RSC007358</v>
      </c>
      <c r="B729" s="60" t="str">
        <f>IFERROR(__xludf.DUMMYFUNCTION("""COMPUTED_VALUE"""),"Tropicalshortsba")</f>
        <v>Tropicalshortsba</v>
      </c>
      <c r="C729" s="55" t="str">
        <f>IFERROR(__xludf.DUMMYFUNCTION("""COMPUTED_VALUE"""),"Veteran")</f>
        <v>Veteran</v>
      </c>
      <c r="D729" s="65">
        <f>IFERROR(__xludf.DUMMYFUNCTION("""COMPUTED_VALUE"""),56.90933052477075)</f>
        <v>56.90933052</v>
      </c>
      <c r="E729" s="66">
        <f>IFERROR(__xludf.DUMMYFUNCTION("""COMPUTED_VALUE"""),50.0)</f>
        <v>50</v>
      </c>
    </row>
    <row r="730">
      <c r="A730" s="55" t="str">
        <f>IFERROR(__xludf.DUMMYFUNCTION("""COMPUTED_VALUE"""),"RSC003416")</f>
        <v>RSC003416</v>
      </c>
      <c r="B730" s="60" t="str">
        <f>IFERROR(__xludf.DUMMYFUNCTION("""COMPUTED_VALUE"""),"DrSkimMilk")</f>
        <v>DrSkimMilk</v>
      </c>
      <c r="C730" s="55" t="str">
        <f>IFERROR(__xludf.DUMMYFUNCTION("""COMPUTED_VALUE"""),"Veteran")</f>
        <v>Veteran</v>
      </c>
      <c r="D730" s="65">
        <f>IFERROR(__xludf.DUMMYFUNCTION("""COMPUTED_VALUE"""),56.04334995047728)</f>
        <v>56.04334995</v>
      </c>
      <c r="E730" s="66">
        <f>IFERROR(__xludf.DUMMYFUNCTION("""COMPUTED_VALUE"""),47.0)</f>
        <v>47</v>
      </c>
    </row>
    <row r="731">
      <c r="A731" s="55" t="str">
        <f>IFERROR(__xludf.DUMMYFUNCTION("""COMPUTED_VALUE"""),"RSC006401")</f>
        <v>RSC006401</v>
      </c>
      <c r="B731" s="60" t="str">
        <f>IFERROR(__xludf.DUMMYFUNCTION("""COMPUTED_VALUE"""),"SHAdohwj_")</f>
        <v>SHAdohwj_</v>
      </c>
      <c r="C731" s="55" t="str">
        <f>IFERROR(__xludf.DUMMYFUNCTION("""COMPUTED_VALUE"""),"Veteran")</f>
        <v>Veteran</v>
      </c>
      <c r="D731" s="65">
        <f>IFERROR(__xludf.DUMMYFUNCTION("""COMPUTED_VALUE"""),55.25333051039113)</f>
        <v>55.25333051</v>
      </c>
      <c r="E731" s="66">
        <f>IFERROR(__xludf.DUMMYFUNCTION("""COMPUTED_VALUE"""),11.0)</f>
        <v>11</v>
      </c>
    </row>
    <row r="732">
      <c r="A732" s="55" t="str">
        <f>IFERROR(__xludf.DUMMYFUNCTION("""COMPUTED_VALUE"""),"RSC008508")</f>
        <v>RSC008508</v>
      </c>
      <c r="B732" s="60" t="str">
        <f>IFERROR(__xludf.DUMMYFUNCTION("""COMPUTED_VALUE"""),"Flame_RL10")</f>
        <v>Flame_RL10</v>
      </c>
      <c r="C732" s="55" t="str">
        <f>IFERROR(__xludf.DUMMYFUNCTION("""COMPUTED_VALUE"""),"Veteran")</f>
        <v>Veteran</v>
      </c>
      <c r="D732" s="65">
        <f>IFERROR(__xludf.DUMMYFUNCTION("""COMPUTED_VALUE"""),55.214222033423255)</f>
        <v>55.21422203</v>
      </c>
      <c r="E732" s="66">
        <f>IFERROR(__xludf.DUMMYFUNCTION("""COMPUTED_VALUE"""),4.0)</f>
        <v>4</v>
      </c>
    </row>
    <row r="733">
      <c r="A733" s="55" t="str">
        <f>IFERROR(__xludf.DUMMYFUNCTION("""COMPUTED_VALUE"""),"RSC007202")</f>
        <v>RSC007202</v>
      </c>
      <c r="B733" s="60" t="str">
        <f>IFERROR(__xludf.DUMMYFUNCTION("""COMPUTED_VALUE"""),"GreatHonda")</f>
        <v>GreatHonda</v>
      </c>
      <c r="C733" s="55" t="str">
        <f>IFERROR(__xludf.DUMMYFUNCTION("""COMPUTED_VALUE"""),"Veteran")</f>
        <v>Veteran</v>
      </c>
      <c r="D733" s="65">
        <f>IFERROR(__xludf.DUMMYFUNCTION("""COMPUTED_VALUE"""),55.09011408539662)</f>
        <v>55.09011409</v>
      </c>
      <c r="E733" s="66">
        <f>IFERROR(__xludf.DUMMYFUNCTION("""COMPUTED_VALUE"""),48.0)</f>
        <v>48</v>
      </c>
    </row>
    <row r="734">
      <c r="A734" s="55" t="str">
        <f>IFERROR(__xludf.DUMMYFUNCTION("""COMPUTED_VALUE"""),"RSC008231")</f>
        <v>RSC008231</v>
      </c>
      <c r="B734" s="60" t="str">
        <f>IFERROR(__xludf.DUMMYFUNCTION("""COMPUTED_VALUE"""),"Afino")</f>
        <v>Afino</v>
      </c>
      <c r="C734" s="55" t="str">
        <f>IFERROR(__xludf.DUMMYFUNCTION("""COMPUTED_VALUE"""),"Veteran")</f>
        <v>Veteran</v>
      </c>
      <c r="D734" s="65">
        <f>IFERROR(__xludf.DUMMYFUNCTION("""COMPUTED_VALUE"""),54.56064974662402)</f>
        <v>54.56064975</v>
      </c>
      <c r="E734" s="66">
        <f>IFERROR(__xludf.DUMMYFUNCTION("""COMPUTED_VALUE"""),37.0)</f>
        <v>37</v>
      </c>
    </row>
    <row r="735">
      <c r="A735" s="55" t="str">
        <f>IFERROR(__xludf.DUMMYFUNCTION("""COMPUTED_VALUE"""),"RSC000314")</f>
        <v>RSC000314</v>
      </c>
      <c r="B735" s="60" t="str">
        <f>IFERROR(__xludf.DUMMYFUNCTION("""COMPUTED_VALUE"""),"Yoza")</f>
        <v>Yoza</v>
      </c>
      <c r="C735" s="55" t="str">
        <f>IFERROR(__xludf.DUMMYFUNCTION("""COMPUTED_VALUE"""),"Veteran")</f>
        <v>Veteran</v>
      </c>
      <c r="D735" s="65">
        <f>IFERROR(__xludf.DUMMYFUNCTION("""COMPUTED_VALUE"""),54.53330467682685)</f>
        <v>54.53330468</v>
      </c>
      <c r="E735" s="66">
        <f>IFERROR(__xludf.DUMMYFUNCTION("""COMPUTED_VALUE"""),54.0)</f>
        <v>54</v>
      </c>
    </row>
    <row r="736">
      <c r="A736" s="55" t="str">
        <f>IFERROR(__xludf.DUMMYFUNCTION("""COMPUTED_VALUE"""),"RSC005257")</f>
        <v>RSC005257</v>
      </c>
      <c r="B736" s="60" t="str">
        <f>IFERROR(__xludf.DUMMYFUNCTION("""COMPUTED_VALUE"""),"P0pfgf")</f>
        <v>P0pfgf</v>
      </c>
      <c r="C736" s="55" t="str">
        <f>IFERROR(__xludf.DUMMYFUNCTION("""COMPUTED_VALUE"""),"Veteran")</f>
        <v>Veteran</v>
      </c>
      <c r="D736" s="65">
        <f>IFERROR(__xludf.DUMMYFUNCTION("""COMPUTED_VALUE"""),54.46500031080454)</f>
        <v>54.46500031</v>
      </c>
      <c r="E736" s="66">
        <f>IFERROR(__xludf.DUMMYFUNCTION("""COMPUTED_VALUE"""),54.0)</f>
        <v>54</v>
      </c>
    </row>
    <row r="737">
      <c r="A737" s="55" t="str">
        <f>IFERROR(__xludf.DUMMYFUNCTION("""COMPUTED_VALUE"""),"RSC007850")</f>
        <v>RSC007850</v>
      </c>
      <c r="B737" s="60" t="str">
        <f>IFERROR(__xludf.DUMMYFUNCTION("""COMPUTED_VALUE"""),"harp NO boost")</f>
        <v>harp NO boost</v>
      </c>
      <c r="C737" s="55" t="str">
        <f>IFERROR(__xludf.DUMMYFUNCTION("""COMPUTED_VALUE"""),"Veteran")</f>
        <v>Veteran</v>
      </c>
      <c r="D737" s="65">
        <f>IFERROR(__xludf.DUMMYFUNCTION("""COMPUTED_VALUE"""),54.02956969437838)</f>
        <v>54.02956969</v>
      </c>
      <c r="E737" s="66">
        <f>IFERROR(__xludf.DUMMYFUNCTION("""COMPUTED_VALUE"""),52.0)</f>
        <v>52</v>
      </c>
    </row>
    <row r="738">
      <c r="A738" s="55" t="str">
        <f>IFERROR(__xludf.DUMMYFUNCTION("""COMPUTED_VALUE"""),"RSC004367")</f>
        <v>RSC004367</v>
      </c>
      <c r="B738" s="60" t="str">
        <f>IFERROR(__xludf.DUMMYFUNCTION("""COMPUTED_VALUE"""),"pr.c")</f>
        <v>pr.c</v>
      </c>
      <c r="C738" s="55" t="str">
        <f>IFERROR(__xludf.DUMMYFUNCTION("""COMPUTED_VALUE"""),"Veteran")</f>
        <v>Veteran</v>
      </c>
      <c r="D738" s="65">
        <f>IFERROR(__xludf.DUMMYFUNCTION("""COMPUTED_VALUE"""),53.622901426306655)</f>
        <v>53.62290143</v>
      </c>
      <c r="E738" s="66">
        <f>IFERROR(__xludf.DUMMYFUNCTION("""COMPUTED_VALUE"""),41.0)</f>
        <v>41</v>
      </c>
    </row>
    <row r="739">
      <c r="A739" s="55" t="str">
        <f>IFERROR(__xludf.DUMMYFUNCTION("""COMPUTED_VALUE"""),"RSC008115")</f>
        <v>RSC008115</v>
      </c>
      <c r="B739" s="60" t="str">
        <f>IFERROR(__xludf.DUMMYFUNCTION("""COMPUTED_VALUE"""),"Glint")</f>
        <v>Glint</v>
      </c>
      <c r="C739" s="55" t="str">
        <f>IFERROR(__xludf.DUMMYFUNCTION("""COMPUTED_VALUE"""),"Veteran")</f>
        <v>Veteran</v>
      </c>
      <c r="D739" s="65">
        <f>IFERROR(__xludf.DUMMYFUNCTION("""COMPUTED_VALUE"""),53.428867687328946)</f>
        <v>53.42886769</v>
      </c>
      <c r="E739" s="66">
        <f>IFERROR(__xludf.DUMMYFUNCTION("""COMPUTED_VALUE"""),52.0)</f>
        <v>52</v>
      </c>
    </row>
    <row r="740">
      <c r="A740" s="55" t="str">
        <f>IFERROR(__xludf.DUMMYFUNCTION("""COMPUTED_VALUE"""),"RSC000774")</f>
        <v>RSC000774</v>
      </c>
      <c r="B740" s="60" t="str">
        <f>IFERROR(__xludf.DUMMYFUNCTION("""COMPUTED_VALUE"""),"Earth")</f>
        <v>Earth</v>
      </c>
      <c r="C740" s="55" t="str">
        <f>IFERROR(__xludf.DUMMYFUNCTION("""COMPUTED_VALUE"""),"Veteran")</f>
        <v>Veteran</v>
      </c>
      <c r="D740" s="65">
        <f>IFERROR(__xludf.DUMMYFUNCTION("""COMPUTED_VALUE"""),53.2855549308033)</f>
        <v>53.28555493</v>
      </c>
      <c r="E740" s="66">
        <f>IFERROR(__xludf.DUMMYFUNCTION("""COMPUTED_VALUE"""),32.0)</f>
        <v>32</v>
      </c>
    </row>
    <row r="741">
      <c r="A741" s="55" t="str">
        <f>IFERROR(__xludf.DUMMYFUNCTION("""COMPUTED_VALUE"""),"RSC008320")</f>
        <v>RSC008320</v>
      </c>
      <c r="B741" s="60" t="str">
        <f>IFERROR(__xludf.DUMMYFUNCTION("""COMPUTED_VALUE"""),"Jhammy.")</f>
        <v>Jhammy.</v>
      </c>
      <c r="C741" s="55" t="str">
        <f>IFERROR(__xludf.DUMMYFUNCTION("""COMPUTED_VALUE"""),"Veteran")</f>
        <v>Veteran</v>
      </c>
      <c r="D741" s="65">
        <f>IFERROR(__xludf.DUMMYFUNCTION("""COMPUTED_VALUE"""),53.172942821202916)</f>
        <v>53.17294282</v>
      </c>
      <c r="E741" s="66">
        <f>IFERROR(__xludf.DUMMYFUNCTION("""COMPUTED_VALUE"""),53.0)</f>
        <v>53</v>
      </c>
    </row>
    <row r="742">
      <c r="A742" s="55" t="str">
        <f>IFERROR(__xludf.DUMMYFUNCTION("""COMPUTED_VALUE"""),"RSC007720")</f>
        <v>RSC007720</v>
      </c>
      <c r="B742" s="60" t="str">
        <f>IFERROR(__xludf.DUMMYFUNCTION("""COMPUTED_VALUE"""),"trock")</f>
        <v>trock</v>
      </c>
      <c r="C742" s="55" t="str">
        <f>IFERROR(__xludf.DUMMYFUNCTION("""COMPUTED_VALUE"""),"Veteran")</f>
        <v>Veteran</v>
      </c>
      <c r="D742" s="65">
        <f>IFERROR(__xludf.DUMMYFUNCTION("""COMPUTED_VALUE"""),52.9381632726148)</f>
        <v>52.93816327</v>
      </c>
      <c r="E742" s="66">
        <f>IFERROR(__xludf.DUMMYFUNCTION("""COMPUTED_VALUE"""),52.0)</f>
        <v>52</v>
      </c>
    </row>
    <row r="743">
      <c r="A743" s="55" t="str">
        <f>IFERROR(__xludf.DUMMYFUNCTION("""COMPUTED_VALUE"""),"RSC002937")</f>
        <v>RSC002937</v>
      </c>
      <c r="B743" s="60" t="str">
        <f>IFERROR(__xludf.DUMMYFUNCTION("""COMPUTED_VALUE"""),"SirTommyNoble")</f>
        <v>SirTommyNoble</v>
      </c>
      <c r="C743" s="55" t="str">
        <f>IFERROR(__xludf.DUMMYFUNCTION("""COMPUTED_VALUE"""),"Veteran")</f>
        <v>Veteran</v>
      </c>
      <c r="D743" s="65">
        <f>IFERROR(__xludf.DUMMYFUNCTION("""COMPUTED_VALUE"""),52.91011077356956)</f>
        <v>52.91011077</v>
      </c>
      <c r="E743" s="66">
        <f>IFERROR(__xludf.DUMMYFUNCTION("""COMPUTED_VALUE"""),50.0)</f>
        <v>50</v>
      </c>
    </row>
    <row r="744">
      <c r="A744" s="55" t="str">
        <f>IFERROR(__xludf.DUMMYFUNCTION("""COMPUTED_VALUE"""),"RSC004872")</f>
        <v>RSC004872</v>
      </c>
      <c r="B744" s="60" t="str">
        <f>IFERROR(__xludf.DUMMYFUNCTION("""COMPUTED_VALUE"""),"JustLaben")</f>
        <v>JustLaben</v>
      </c>
      <c r="C744" s="55" t="str">
        <f>IFERROR(__xludf.DUMMYFUNCTION("""COMPUTED_VALUE"""),"Veteran")</f>
        <v>Veteran</v>
      </c>
      <c r="D744" s="65">
        <f>IFERROR(__xludf.DUMMYFUNCTION("""COMPUTED_VALUE"""),52.8441295811069)</f>
        <v>52.84412958</v>
      </c>
      <c r="E744" s="66">
        <f>IFERROR(__xludf.DUMMYFUNCTION("""COMPUTED_VALUE"""),44.0)</f>
        <v>44</v>
      </c>
    </row>
    <row r="745">
      <c r="A745" s="55" t="str">
        <f>IFERROR(__xludf.DUMMYFUNCTION("""COMPUTED_VALUE"""),"RSC008325")</f>
        <v>RSC008325</v>
      </c>
      <c r="B745" s="60" t="str">
        <f>IFERROR(__xludf.DUMMYFUNCTION("""COMPUTED_VALUE"""),"Jxc1zz")</f>
        <v>Jxc1zz</v>
      </c>
      <c r="C745" s="55" t="str">
        <f>IFERROR(__xludf.DUMMYFUNCTION("""COMPUTED_VALUE"""),"Veteran")</f>
        <v>Veteran</v>
      </c>
      <c r="D745" s="65">
        <f>IFERROR(__xludf.DUMMYFUNCTION("""COMPUTED_VALUE"""),52.516762277617985)</f>
        <v>52.51676228</v>
      </c>
      <c r="E745" s="66">
        <f>IFERROR(__xludf.DUMMYFUNCTION("""COMPUTED_VALUE"""),12.0)</f>
        <v>12</v>
      </c>
    </row>
    <row r="746">
      <c r="A746" s="55" t="str">
        <f>IFERROR(__xludf.DUMMYFUNCTION("""COMPUTED_VALUE"""),"RSC004394")</f>
        <v>RSC004394</v>
      </c>
      <c r="B746" s="60" t="str">
        <f>IFERROR(__xludf.DUMMYFUNCTION("""COMPUTED_VALUE"""),"chis")</f>
        <v>chis</v>
      </c>
      <c r="C746" s="55" t="str">
        <f>IFERROR(__xludf.DUMMYFUNCTION("""COMPUTED_VALUE"""),"Veteran")</f>
        <v>Veteran</v>
      </c>
      <c r="D746" s="65">
        <f>IFERROR(__xludf.DUMMYFUNCTION("""COMPUTED_VALUE"""),51.83768693912168)</f>
        <v>51.83768694</v>
      </c>
      <c r="E746" s="66">
        <f>IFERROR(__xludf.DUMMYFUNCTION("""COMPUTED_VALUE"""),48.0)</f>
        <v>48</v>
      </c>
    </row>
    <row r="747">
      <c r="A747" s="55" t="str">
        <f>IFERROR(__xludf.DUMMYFUNCTION("""COMPUTED_VALUE"""),"RSC007512")</f>
        <v>RSC007512</v>
      </c>
      <c r="B747" s="60" t="str">
        <f>IFERROR(__xludf.DUMMYFUNCTION("""COMPUTED_VALUE"""),"BigGreenRL")</f>
        <v>BigGreenRL</v>
      </c>
      <c r="C747" s="55" t="str">
        <f>IFERROR(__xludf.DUMMYFUNCTION("""COMPUTED_VALUE"""),"Veteran")</f>
        <v>Veteran</v>
      </c>
      <c r="D747" s="65">
        <f>IFERROR(__xludf.DUMMYFUNCTION("""COMPUTED_VALUE"""),50.64946997754172)</f>
        <v>50.64946998</v>
      </c>
      <c r="E747" s="66">
        <f>IFERROR(__xludf.DUMMYFUNCTION("""COMPUTED_VALUE"""),44.0)</f>
        <v>44</v>
      </c>
    </row>
    <row r="748">
      <c r="A748" s="55" t="str">
        <f>IFERROR(__xludf.DUMMYFUNCTION("""COMPUTED_VALUE"""),"RSC008535")</f>
        <v>RSC008535</v>
      </c>
      <c r="B748" s="60" t="str">
        <f>IFERROR(__xludf.DUMMYFUNCTION("""COMPUTED_VALUE"""),"Aspiration Aqua")</f>
        <v>Aspiration Aqua</v>
      </c>
      <c r="C748" s="55" t="str">
        <f>IFERROR(__xludf.DUMMYFUNCTION("""COMPUTED_VALUE"""),"Veteran")</f>
        <v>Veteran</v>
      </c>
      <c r="D748" s="65">
        <f>IFERROR(__xludf.DUMMYFUNCTION("""COMPUTED_VALUE"""),49.85094001571408)</f>
        <v>49.85094002</v>
      </c>
      <c r="E748" s="66">
        <f>IFERROR(__xludf.DUMMYFUNCTION("""COMPUTED_VALUE"""),16.0)</f>
        <v>16</v>
      </c>
    </row>
    <row r="749">
      <c r="A749" s="55" t="str">
        <f>IFERROR(__xludf.DUMMYFUNCTION("""COMPUTED_VALUE"""),"RSC003104")</f>
        <v>RSC003104</v>
      </c>
      <c r="B749" s="60" t="str">
        <f>IFERROR(__xludf.DUMMYFUNCTION("""COMPUTED_VALUE"""),"nizz")</f>
        <v>nizz</v>
      </c>
      <c r="C749" s="55" t="str">
        <f>IFERROR(__xludf.DUMMYFUNCTION("""COMPUTED_VALUE"""),"Veteran")</f>
        <v>Veteran</v>
      </c>
      <c r="D749" s="65">
        <f>IFERROR(__xludf.DUMMYFUNCTION("""COMPUTED_VALUE"""),49.66282728333066)</f>
        <v>49.66282728</v>
      </c>
      <c r="E749" s="66">
        <f>IFERROR(__xludf.DUMMYFUNCTION("""COMPUTED_VALUE"""),21.0)</f>
        <v>21</v>
      </c>
    </row>
    <row r="750">
      <c r="A750" s="55" t="str">
        <f>IFERROR(__xludf.DUMMYFUNCTION("""COMPUTED_VALUE"""),"RSC008373")</f>
        <v>RSC008373</v>
      </c>
      <c r="B750" s="60" t="str">
        <f>IFERROR(__xludf.DUMMYFUNCTION("""COMPUTED_VALUE"""),"jhonko")</f>
        <v>jhonko</v>
      </c>
      <c r="C750" s="55" t="str">
        <f>IFERROR(__xludf.DUMMYFUNCTION("""COMPUTED_VALUE"""),"Veteran")</f>
        <v>Veteran</v>
      </c>
      <c r="D750" s="65">
        <f>IFERROR(__xludf.DUMMYFUNCTION("""COMPUTED_VALUE"""),49.3215142242951)</f>
        <v>49.32151422</v>
      </c>
      <c r="E750" s="66">
        <f>IFERROR(__xludf.DUMMYFUNCTION("""COMPUTED_VALUE"""),50.0)</f>
        <v>50</v>
      </c>
    </row>
    <row r="751">
      <c r="A751" s="55" t="str">
        <f>IFERROR(__xludf.DUMMYFUNCTION("""COMPUTED_VALUE"""),"RSC003904")</f>
        <v>RSC003904</v>
      </c>
      <c r="B751" s="60" t="str">
        <f>IFERROR(__xludf.DUMMYFUNCTION("""COMPUTED_VALUE"""),"Tyyphoon454")</f>
        <v>Tyyphoon454</v>
      </c>
      <c r="C751" s="55" t="str">
        <f>IFERROR(__xludf.DUMMYFUNCTION("""COMPUTED_VALUE"""),"Veteran")</f>
        <v>Veteran</v>
      </c>
      <c r="D751" s="65">
        <f>IFERROR(__xludf.DUMMYFUNCTION("""COMPUTED_VALUE"""),48.606993777209645)</f>
        <v>48.60699378</v>
      </c>
      <c r="E751" s="66">
        <f>IFERROR(__xludf.DUMMYFUNCTION("""COMPUTED_VALUE"""),24.0)</f>
        <v>24</v>
      </c>
    </row>
    <row r="752">
      <c r="A752" s="55" t="str">
        <f>IFERROR(__xludf.DUMMYFUNCTION("""COMPUTED_VALUE"""),"RSC002930")</f>
        <v>RSC002930</v>
      </c>
      <c r="B752" s="60" t="str">
        <f>IFERROR(__xludf.DUMMYFUNCTION("""COMPUTED_VALUE"""),"voakes")</f>
        <v>voakes</v>
      </c>
      <c r="C752" s="55" t="str">
        <f>IFERROR(__xludf.DUMMYFUNCTION("""COMPUTED_VALUE"""),"Veteran")</f>
        <v>Veteran</v>
      </c>
      <c r="D752" s="65">
        <f>IFERROR(__xludf.DUMMYFUNCTION("""COMPUTED_VALUE"""),48.32817088879489)</f>
        <v>48.32817089</v>
      </c>
      <c r="E752" s="66">
        <f>IFERROR(__xludf.DUMMYFUNCTION("""COMPUTED_VALUE"""),54.0)</f>
        <v>54</v>
      </c>
    </row>
    <row r="753">
      <c r="A753" s="55" t="str">
        <f>IFERROR(__xludf.DUMMYFUNCTION("""COMPUTED_VALUE"""),"RSC003333")</f>
        <v>RSC003333</v>
      </c>
      <c r="B753" s="60" t="str">
        <f>IFERROR(__xludf.DUMMYFUNCTION("""COMPUTED_VALUE"""),"Mike The Ox")</f>
        <v>Mike The Ox</v>
      </c>
      <c r="C753" s="55" t="str">
        <f>IFERROR(__xludf.DUMMYFUNCTION("""COMPUTED_VALUE"""),"Veteran")</f>
        <v>Veteran</v>
      </c>
      <c r="D753" s="65">
        <f>IFERROR(__xludf.DUMMYFUNCTION("""COMPUTED_VALUE"""),47.663074395486134)</f>
        <v>47.6630744</v>
      </c>
      <c r="E753" s="66">
        <f>IFERROR(__xludf.DUMMYFUNCTION("""COMPUTED_VALUE"""),1.0)</f>
        <v>1</v>
      </c>
    </row>
    <row r="754">
      <c r="A754" s="55" t="str">
        <f>IFERROR(__xludf.DUMMYFUNCTION("""COMPUTED_VALUE"""),"RSC003945")</f>
        <v>RSC003945</v>
      </c>
      <c r="B754" s="60" t="str">
        <f>IFERROR(__xludf.DUMMYFUNCTION("""COMPUTED_VALUE"""),"Gaw1f3d")</f>
        <v>Gaw1f3d</v>
      </c>
      <c r="C754" s="55" t="str">
        <f>IFERROR(__xludf.DUMMYFUNCTION("""COMPUTED_VALUE"""),"Veteran")</f>
        <v>Veteran</v>
      </c>
      <c r="D754" s="65">
        <f>IFERROR(__xludf.DUMMYFUNCTION("""COMPUTED_VALUE"""),47.21780164484861)</f>
        <v>47.21780164</v>
      </c>
      <c r="E754" s="66">
        <f>IFERROR(__xludf.DUMMYFUNCTION("""COMPUTED_VALUE"""),42.0)</f>
        <v>42</v>
      </c>
    </row>
    <row r="755">
      <c r="A755" s="55" t="str">
        <f>IFERROR(__xludf.DUMMYFUNCTION("""COMPUTED_VALUE"""),"RSC007373")</f>
        <v>RSC007373</v>
      </c>
      <c r="B755" s="60" t="str">
        <f>IFERROR(__xludf.DUMMYFUNCTION("""COMPUTED_VALUE"""),"pug")</f>
        <v>pug</v>
      </c>
      <c r="C755" s="55" t="str">
        <f>IFERROR(__xludf.DUMMYFUNCTION("""COMPUTED_VALUE"""),"Veteran")</f>
        <v>Veteran</v>
      </c>
      <c r="D755" s="65">
        <f>IFERROR(__xludf.DUMMYFUNCTION("""COMPUTED_VALUE"""),47.049694409362594)</f>
        <v>47.04969441</v>
      </c>
      <c r="E755" s="66">
        <f>IFERROR(__xludf.DUMMYFUNCTION("""COMPUTED_VALUE"""),13.0)</f>
        <v>13</v>
      </c>
    </row>
    <row r="756">
      <c r="A756" s="55" t="str">
        <f>IFERROR(__xludf.DUMMYFUNCTION("""COMPUTED_VALUE"""),"RSC007173")</f>
        <v>RSC007173</v>
      </c>
      <c r="B756" s="60" t="str">
        <f>IFERROR(__xludf.DUMMYFUNCTION("""COMPUTED_VALUE"""),"mr_marino_")</f>
        <v>mr_marino_</v>
      </c>
      <c r="C756" s="55" t="str">
        <f>IFERROR(__xludf.DUMMYFUNCTION("""COMPUTED_VALUE"""),"Veteran")</f>
        <v>Veteran</v>
      </c>
      <c r="D756" s="65">
        <f>IFERROR(__xludf.DUMMYFUNCTION("""COMPUTED_VALUE"""),47.048050533964165)</f>
        <v>47.04805053</v>
      </c>
      <c r="E756" s="66">
        <f>IFERROR(__xludf.DUMMYFUNCTION("""COMPUTED_VALUE"""),50.0)</f>
        <v>50</v>
      </c>
    </row>
    <row r="757">
      <c r="A757" s="55" t="str">
        <f>IFERROR(__xludf.DUMMYFUNCTION("""COMPUTED_VALUE"""),"RSC002730")</f>
        <v>RSC002730</v>
      </c>
      <c r="B757" s="60" t="str">
        <f>IFERROR(__xludf.DUMMYFUNCTION("""COMPUTED_VALUE"""),"Aquap")</f>
        <v>Aquap</v>
      </c>
      <c r="C757" s="55" t="str">
        <f>IFERROR(__xludf.DUMMYFUNCTION("""COMPUTED_VALUE"""),"Veteran")</f>
        <v>Veteran</v>
      </c>
      <c r="D757" s="65">
        <f>IFERROR(__xludf.DUMMYFUNCTION("""COMPUTED_VALUE"""),46.76277502665947)</f>
        <v>46.76277503</v>
      </c>
      <c r="E757" s="66">
        <f>IFERROR(__xludf.DUMMYFUNCTION("""COMPUTED_VALUE"""),39.0)</f>
        <v>39</v>
      </c>
    </row>
    <row r="758">
      <c r="A758" s="55" t="str">
        <f>IFERROR(__xludf.DUMMYFUNCTION("""COMPUTED_VALUE"""),"RSC008116")</f>
        <v>RSC008116</v>
      </c>
      <c r="B758" s="60" t="str">
        <f>IFERROR(__xludf.DUMMYFUNCTION("""COMPUTED_VALUE"""),"Jake")</f>
        <v>Jake</v>
      </c>
      <c r="C758" s="55" t="str">
        <f>IFERROR(__xludf.DUMMYFUNCTION("""COMPUTED_VALUE"""),"Veteran")</f>
        <v>Veteran</v>
      </c>
      <c r="D758" s="65">
        <f>IFERROR(__xludf.DUMMYFUNCTION("""COMPUTED_VALUE"""),46.59284853280023)</f>
        <v>46.59284853</v>
      </c>
      <c r="E758" s="66">
        <f>IFERROR(__xludf.DUMMYFUNCTION("""COMPUTED_VALUE"""),48.0)</f>
        <v>48</v>
      </c>
    </row>
    <row r="759">
      <c r="A759" s="55" t="str">
        <f>IFERROR(__xludf.DUMMYFUNCTION("""COMPUTED_VALUE"""),"RSC008455")</f>
        <v>RSC008455</v>
      </c>
      <c r="B759" s="60" t="str">
        <f>IFERROR(__xludf.DUMMYFUNCTION("""COMPUTED_VALUE"""),"Craque")</f>
        <v>Craque</v>
      </c>
      <c r="C759" s="55" t="str">
        <f>IFERROR(__xludf.DUMMYFUNCTION("""COMPUTED_VALUE"""),"Veteran")</f>
        <v>Veteran</v>
      </c>
      <c r="D759" s="65">
        <f>IFERROR(__xludf.DUMMYFUNCTION("""COMPUTED_VALUE"""),46.26428017589022)</f>
        <v>46.26428018</v>
      </c>
      <c r="E759" s="66">
        <f>IFERROR(__xludf.DUMMYFUNCTION("""COMPUTED_VALUE"""),52.0)</f>
        <v>52</v>
      </c>
    </row>
    <row r="760">
      <c r="A760" s="55" t="str">
        <f>IFERROR(__xludf.DUMMYFUNCTION("""COMPUTED_VALUE"""),"RSC008400")</f>
        <v>RSC008400</v>
      </c>
      <c r="B760" s="60" t="str">
        <f>IFERROR(__xludf.DUMMYFUNCTION("""COMPUTED_VALUE"""),"Itzmoose")</f>
        <v>Itzmoose</v>
      </c>
      <c r="C760" s="55" t="str">
        <f>IFERROR(__xludf.DUMMYFUNCTION("""COMPUTED_VALUE"""),"Veteran")</f>
        <v>Veteran</v>
      </c>
      <c r="D760" s="65">
        <f>IFERROR(__xludf.DUMMYFUNCTION("""COMPUTED_VALUE"""),46.244930862134844)</f>
        <v>46.24493086</v>
      </c>
      <c r="E760" s="66">
        <f>IFERROR(__xludf.DUMMYFUNCTION("""COMPUTED_VALUE"""),19.0)</f>
        <v>19</v>
      </c>
    </row>
    <row r="761">
      <c r="A761" s="55" t="str">
        <f>IFERROR(__xludf.DUMMYFUNCTION("""COMPUTED_VALUE"""),"RSC000731")</f>
        <v>RSC000731</v>
      </c>
      <c r="B761" s="60" t="str">
        <f>IFERROR(__xludf.DUMMYFUNCTION("""COMPUTED_VALUE"""),"mm2")</f>
        <v>mm2</v>
      </c>
      <c r="C761" s="55" t="str">
        <f>IFERROR(__xludf.DUMMYFUNCTION("""COMPUTED_VALUE"""),"Veteran")</f>
        <v>Veteran</v>
      </c>
      <c r="D761" s="65">
        <f>IFERROR(__xludf.DUMMYFUNCTION("""COMPUTED_VALUE"""),46.11440288089922)</f>
        <v>46.11440288</v>
      </c>
      <c r="E761" s="66">
        <f>IFERROR(__xludf.DUMMYFUNCTION("""COMPUTED_VALUE"""),22.0)</f>
        <v>22</v>
      </c>
    </row>
    <row r="762">
      <c r="A762" s="55" t="str">
        <f>IFERROR(__xludf.DUMMYFUNCTION("""COMPUTED_VALUE"""),"RSC005505")</f>
        <v>RSC005505</v>
      </c>
      <c r="B762" s="60" t="str">
        <f>IFERROR(__xludf.DUMMYFUNCTION("""COMPUTED_VALUE"""),"The_Wheelman_95")</f>
        <v>The_Wheelman_95</v>
      </c>
      <c r="C762" s="55" t="str">
        <f>IFERROR(__xludf.DUMMYFUNCTION("""COMPUTED_VALUE"""),"Veteran")</f>
        <v>Veteran</v>
      </c>
      <c r="D762" s="65">
        <f>IFERROR(__xludf.DUMMYFUNCTION("""COMPUTED_VALUE"""),45.969745469684774)</f>
        <v>45.96974547</v>
      </c>
      <c r="E762" s="66">
        <f>IFERROR(__xludf.DUMMYFUNCTION("""COMPUTED_VALUE"""),25.0)</f>
        <v>25</v>
      </c>
    </row>
    <row r="763">
      <c r="A763" s="55" t="str">
        <f>IFERROR(__xludf.DUMMYFUNCTION("""COMPUTED_VALUE"""),"RSC000851")</f>
        <v>RSC000851</v>
      </c>
      <c r="B763" s="60" t="str">
        <f>IFERROR(__xludf.DUMMYFUNCTION("""COMPUTED_VALUE"""),"JoeZ")</f>
        <v>JoeZ</v>
      </c>
      <c r="C763" s="55" t="str">
        <f>IFERROR(__xludf.DUMMYFUNCTION("""COMPUTED_VALUE"""),"Veteran")</f>
        <v>Veteran</v>
      </c>
      <c r="D763" s="65">
        <f>IFERROR(__xludf.DUMMYFUNCTION("""COMPUTED_VALUE"""),45.724225810783295)</f>
        <v>45.72422581</v>
      </c>
      <c r="E763" s="66">
        <f>IFERROR(__xludf.DUMMYFUNCTION("""COMPUTED_VALUE"""),49.0)</f>
        <v>49</v>
      </c>
    </row>
    <row r="764">
      <c r="A764" s="55" t="str">
        <f>IFERROR(__xludf.DUMMYFUNCTION("""COMPUTED_VALUE"""),"RSC006174")</f>
        <v>RSC006174</v>
      </c>
      <c r="B764" s="60" t="str">
        <f>IFERROR(__xludf.DUMMYFUNCTION("""COMPUTED_VALUE"""),"I like bananas")</f>
        <v>I like bananas</v>
      </c>
      <c r="C764" s="55" t="str">
        <f>IFERROR(__xludf.DUMMYFUNCTION("""COMPUTED_VALUE"""),"Veteran")</f>
        <v>Veteran</v>
      </c>
      <c r="D764" s="65">
        <f>IFERROR(__xludf.DUMMYFUNCTION("""COMPUTED_VALUE"""),45.680792545694324)</f>
        <v>45.68079255</v>
      </c>
      <c r="E764" s="66">
        <f>IFERROR(__xludf.DUMMYFUNCTION("""COMPUTED_VALUE"""),22.0)</f>
        <v>22</v>
      </c>
    </row>
    <row r="765">
      <c r="A765" s="55" t="str">
        <f>IFERROR(__xludf.DUMMYFUNCTION("""COMPUTED_VALUE"""),"RSC007475")</f>
        <v>RSC007475</v>
      </c>
      <c r="B765" s="60" t="str">
        <f>IFERROR(__xludf.DUMMYFUNCTION("""COMPUTED_VALUE"""),"spposse")</f>
        <v>spposse</v>
      </c>
      <c r="C765" s="55" t="str">
        <f>IFERROR(__xludf.DUMMYFUNCTION("""COMPUTED_VALUE"""),"Veteran")</f>
        <v>Veteran</v>
      </c>
      <c r="D765" s="65">
        <f>IFERROR(__xludf.DUMMYFUNCTION("""COMPUTED_VALUE"""),45.64923374221727)</f>
        <v>45.64923374</v>
      </c>
      <c r="E765" s="66">
        <f>IFERROR(__xludf.DUMMYFUNCTION("""COMPUTED_VALUE"""),12.0)</f>
        <v>12</v>
      </c>
    </row>
    <row r="766">
      <c r="A766" s="55" t="str">
        <f>IFERROR(__xludf.DUMMYFUNCTION("""COMPUTED_VALUE"""),"RSC006490")</f>
        <v>RSC006490</v>
      </c>
      <c r="B766" s="60" t="str">
        <f>IFERROR(__xludf.DUMMYFUNCTION("""COMPUTED_VALUE"""),"Dayz")</f>
        <v>Dayz</v>
      </c>
      <c r="C766" s="55" t="str">
        <f>IFERROR(__xludf.DUMMYFUNCTION("""COMPUTED_VALUE"""),"Veteran")</f>
        <v>Veteran</v>
      </c>
      <c r="D766" s="65">
        <f>IFERROR(__xludf.DUMMYFUNCTION("""COMPUTED_VALUE"""),45.646216354081034)</f>
        <v>45.64621635</v>
      </c>
      <c r="E766" s="66">
        <f>IFERROR(__xludf.DUMMYFUNCTION("""COMPUTED_VALUE"""),45.0)</f>
        <v>45</v>
      </c>
    </row>
    <row r="767">
      <c r="A767" s="55" t="str">
        <f>IFERROR(__xludf.DUMMYFUNCTION("""COMPUTED_VALUE"""),"RSC000724")</f>
        <v>RSC000724</v>
      </c>
      <c r="B767" s="60" t="str">
        <f>IFERROR(__xludf.DUMMYFUNCTION("""COMPUTED_VALUE"""),"dunnie14")</f>
        <v>dunnie14</v>
      </c>
      <c r="C767" s="55" t="str">
        <f>IFERROR(__xludf.DUMMYFUNCTION("""COMPUTED_VALUE"""),"Veteran")</f>
        <v>Veteran</v>
      </c>
      <c r="D767" s="65">
        <f>IFERROR(__xludf.DUMMYFUNCTION("""COMPUTED_VALUE"""),45.357853779437235)</f>
        <v>45.35785378</v>
      </c>
      <c r="E767" s="66">
        <f>IFERROR(__xludf.DUMMYFUNCTION("""COMPUTED_VALUE"""),41.0)</f>
        <v>41</v>
      </c>
    </row>
    <row r="768">
      <c r="A768" s="55" t="str">
        <f>IFERROR(__xludf.DUMMYFUNCTION("""COMPUTED_VALUE"""),"RSC003815")</f>
        <v>RSC003815</v>
      </c>
      <c r="B768" s="60" t="str">
        <f>IFERROR(__xludf.DUMMYFUNCTION("""COMPUTED_VALUE"""),"WashedDonk")</f>
        <v>WashedDonk</v>
      </c>
      <c r="C768" s="55" t="str">
        <f>IFERROR(__xludf.DUMMYFUNCTION("""COMPUTED_VALUE"""),"Veteran")</f>
        <v>Veteran</v>
      </c>
      <c r="D768" s="65">
        <f>IFERROR(__xludf.DUMMYFUNCTION("""COMPUTED_VALUE"""),45.1800283604387)</f>
        <v>45.18002836</v>
      </c>
      <c r="E768" s="66">
        <f>IFERROR(__xludf.DUMMYFUNCTION("""COMPUTED_VALUE"""),27.0)</f>
        <v>27</v>
      </c>
    </row>
    <row r="769">
      <c r="A769" s="55" t="str">
        <f>IFERROR(__xludf.DUMMYFUNCTION("""COMPUTED_VALUE"""),"RSC002902")</f>
        <v>RSC002902</v>
      </c>
      <c r="B769" s="60" t="str">
        <f>IFERROR(__xludf.DUMMYFUNCTION("""COMPUTED_VALUE"""),"Stone-Dog Millionaire")</f>
        <v>Stone-Dog Millionaire</v>
      </c>
      <c r="C769" s="55" t="str">
        <f>IFERROR(__xludf.DUMMYFUNCTION("""COMPUTED_VALUE"""),"Veteran")</f>
        <v>Veteran</v>
      </c>
      <c r="D769" s="65">
        <f>IFERROR(__xludf.DUMMYFUNCTION("""COMPUTED_VALUE"""),44.89000093586139)</f>
        <v>44.89000094</v>
      </c>
      <c r="E769" s="66">
        <f>IFERROR(__xludf.DUMMYFUNCTION("""COMPUTED_VALUE"""),40.0)</f>
        <v>40</v>
      </c>
    </row>
    <row r="770">
      <c r="A770" s="55" t="str">
        <f>IFERROR(__xludf.DUMMYFUNCTION("""COMPUTED_VALUE"""),"RSC006938")</f>
        <v>RSC006938</v>
      </c>
      <c r="B770" s="60" t="str">
        <f>IFERROR(__xludf.DUMMYFUNCTION("""COMPUTED_VALUE"""),"Soda. .")</f>
        <v>Soda. .</v>
      </c>
      <c r="C770" s="55" t="str">
        <f>IFERROR(__xludf.DUMMYFUNCTION("""COMPUTED_VALUE"""),"Veteran")</f>
        <v>Veteran</v>
      </c>
      <c r="D770" s="65">
        <f>IFERROR(__xludf.DUMMYFUNCTION("""COMPUTED_VALUE"""),44.52096737712536)</f>
        <v>44.52096738</v>
      </c>
      <c r="E770" s="66">
        <f>IFERROR(__xludf.DUMMYFUNCTION("""COMPUTED_VALUE"""),32.0)</f>
        <v>32</v>
      </c>
    </row>
    <row r="771">
      <c r="A771" s="55" t="str">
        <f>IFERROR(__xludf.DUMMYFUNCTION("""COMPUTED_VALUE"""),"RSC008463")</f>
        <v>RSC008463</v>
      </c>
      <c r="B771" s="60" t="str">
        <f>IFERROR(__xludf.DUMMYFUNCTION("""COMPUTED_VALUE"""),"KryptWard")</f>
        <v>KryptWard</v>
      </c>
      <c r="C771" s="55" t="str">
        <f>IFERROR(__xludf.DUMMYFUNCTION("""COMPUTED_VALUE"""),"Veteran")</f>
        <v>Veteran</v>
      </c>
      <c r="D771" s="65">
        <f>IFERROR(__xludf.DUMMYFUNCTION("""COMPUTED_VALUE"""),44.345739847857104)</f>
        <v>44.34573985</v>
      </c>
      <c r="E771" s="66">
        <f>IFERROR(__xludf.DUMMYFUNCTION("""COMPUTED_VALUE"""),49.0)</f>
        <v>49</v>
      </c>
    </row>
    <row r="772">
      <c r="A772" s="55" t="str">
        <f>IFERROR(__xludf.DUMMYFUNCTION("""COMPUTED_VALUE"""),"RSC006312")</f>
        <v>RSC006312</v>
      </c>
      <c r="B772" s="60" t="str">
        <f>IFERROR(__xludf.DUMMYFUNCTION("""COMPUTED_VALUE"""),"Cognitixn")</f>
        <v>Cognitixn</v>
      </c>
      <c r="C772" s="55" t="str">
        <f>IFERROR(__xludf.DUMMYFUNCTION("""COMPUTED_VALUE"""),"Veteran")</f>
        <v>Veteran</v>
      </c>
      <c r="D772" s="65">
        <f>IFERROR(__xludf.DUMMYFUNCTION("""COMPUTED_VALUE"""),44.002496057797075)</f>
        <v>44.00249606</v>
      </c>
      <c r="E772" s="66">
        <f>IFERROR(__xludf.DUMMYFUNCTION("""COMPUTED_VALUE"""),54.0)</f>
        <v>54</v>
      </c>
    </row>
    <row r="773">
      <c r="A773" s="55" t="str">
        <f>IFERROR(__xludf.DUMMYFUNCTION("""COMPUTED_VALUE"""),"RSC000926")</f>
        <v>RSC000926</v>
      </c>
      <c r="B773" s="60" t="str">
        <f>IFERROR(__xludf.DUMMYFUNCTION("""COMPUTED_VALUE"""),"SlmRnchr")</f>
        <v>SlmRnchr</v>
      </c>
      <c r="C773" s="55" t="str">
        <f>IFERROR(__xludf.DUMMYFUNCTION("""COMPUTED_VALUE"""),"Veteran")</f>
        <v>Veteran</v>
      </c>
      <c r="D773" s="65">
        <f>IFERROR(__xludf.DUMMYFUNCTION("""COMPUTED_VALUE"""),43.65684169547373)</f>
        <v>43.6568417</v>
      </c>
      <c r="E773" s="66">
        <f>IFERROR(__xludf.DUMMYFUNCTION("""COMPUTED_VALUE"""),55.0)</f>
        <v>55</v>
      </c>
    </row>
    <row r="774">
      <c r="A774" s="55" t="str">
        <f>IFERROR(__xludf.DUMMYFUNCTION("""COMPUTED_VALUE"""),"RSC006000")</f>
        <v>RSC006000</v>
      </c>
      <c r="B774" s="60" t="str">
        <f>IFERROR(__xludf.DUMMYFUNCTION("""COMPUTED_VALUE"""),"janixity.")</f>
        <v>janixity.</v>
      </c>
      <c r="C774" s="55" t="str">
        <f>IFERROR(__xludf.DUMMYFUNCTION("""COMPUTED_VALUE"""),"Veteran")</f>
        <v>Veteran</v>
      </c>
      <c r="D774" s="65">
        <f>IFERROR(__xludf.DUMMYFUNCTION("""COMPUTED_VALUE"""),42.80857538045378)</f>
        <v>42.80857538</v>
      </c>
      <c r="E774" s="66">
        <f>IFERROR(__xludf.DUMMYFUNCTION("""COMPUTED_VALUE"""),42.0)</f>
        <v>42</v>
      </c>
    </row>
    <row r="775">
      <c r="A775" s="55" t="str">
        <f>IFERROR(__xludf.DUMMYFUNCTION("""COMPUTED_VALUE"""),"RSC007861")</f>
        <v>RSC007861</v>
      </c>
      <c r="B775" s="60" t="str">
        <f>IFERROR(__xludf.DUMMYFUNCTION("""COMPUTED_VALUE"""),"xmanyaknow")</f>
        <v>xmanyaknow</v>
      </c>
      <c r="C775" s="55" t="str">
        <f>IFERROR(__xludf.DUMMYFUNCTION("""COMPUTED_VALUE"""),"Veteran")</f>
        <v>Veteran</v>
      </c>
      <c r="D775" s="65">
        <f>IFERROR(__xludf.DUMMYFUNCTION("""COMPUTED_VALUE"""),42.734218778393824)</f>
        <v>42.73421878</v>
      </c>
      <c r="E775" s="66">
        <f>IFERROR(__xludf.DUMMYFUNCTION("""COMPUTED_VALUE"""),10.0)</f>
        <v>10</v>
      </c>
    </row>
    <row r="776">
      <c r="A776" s="55" t="str">
        <f>IFERROR(__xludf.DUMMYFUNCTION("""COMPUTED_VALUE"""),"RSC006823")</f>
        <v>RSC006823</v>
      </c>
      <c r="B776" s="60" t="str">
        <f>IFERROR(__xludf.DUMMYFUNCTION("""COMPUTED_VALUE"""),"Onirltv")</f>
        <v>Onirltv</v>
      </c>
      <c r="C776" s="55" t="str">
        <f>IFERROR(__xludf.DUMMYFUNCTION("""COMPUTED_VALUE"""),"Veteran")</f>
        <v>Veteran</v>
      </c>
      <c r="D776" s="65">
        <f>IFERROR(__xludf.DUMMYFUNCTION("""COMPUTED_VALUE"""),42.65488984852378)</f>
        <v>42.65488985</v>
      </c>
      <c r="E776" s="66">
        <f>IFERROR(__xludf.DUMMYFUNCTION("""COMPUTED_VALUE"""),8.0)</f>
        <v>8</v>
      </c>
    </row>
    <row r="777">
      <c r="A777" s="55" t="str">
        <f>IFERROR(__xludf.DUMMYFUNCTION("""COMPUTED_VALUE"""),"RSC006315")</f>
        <v>RSC006315</v>
      </c>
      <c r="B777" s="60" t="str">
        <f>IFERROR(__xludf.DUMMYFUNCTION("""COMPUTED_VALUE"""),"BIGbadBULLMAN13")</f>
        <v>BIGbadBULLMAN13</v>
      </c>
      <c r="C777" s="55" t="str">
        <f>IFERROR(__xludf.DUMMYFUNCTION("""COMPUTED_VALUE"""),"Veteran")</f>
        <v>Veteran</v>
      </c>
      <c r="D777" s="65">
        <f>IFERROR(__xludf.DUMMYFUNCTION("""COMPUTED_VALUE"""),42.52740675885798)</f>
        <v>42.52740676</v>
      </c>
      <c r="E777" s="66">
        <f>IFERROR(__xludf.DUMMYFUNCTION("""COMPUTED_VALUE"""),30.0)</f>
        <v>30</v>
      </c>
    </row>
    <row r="778">
      <c r="A778" s="55" t="str">
        <f>IFERROR(__xludf.DUMMYFUNCTION("""COMPUTED_VALUE"""),"RSC008527")</f>
        <v>RSC008527</v>
      </c>
      <c r="B778" s="60" t="str">
        <f>IFERROR(__xludf.DUMMYFUNCTION("""COMPUTED_VALUE"""),"HouseHoldNugg")</f>
        <v>HouseHoldNugg</v>
      </c>
      <c r="C778" s="55" t="str">
        <f>IFERROR(__xludf.DUMMYFUNCTION("""COMPUTED_VALUE"""),"Veteran")</f>
        <v>Veteran</v>
      </c>
      <c r="D778" s="65">
        <f>IFERROR(__xludf.DUMMYFUNCTION("""COMPUTED_VALUE"""),41.740975396449805)</f>
        <v>41.7409754</v>
      </c>
      <c r="E778" s="66">
        <f>IFERROR(__xludf.DUMMYFUNCTION("""COMPUTED_VALUE"""),18.0)</f>
        <v>18</v>
      </c>
    </row>
    <row r="779">
      <c r="A779" s="55" t="str">
        <f>IFERROR(__xludf.DUMMYFUNCTION("""COMPUTED_VALUE"""),"RSC000182")</f>
        <v>RSC000182</v>
      </c>
      <c r="B779" s="60" t="str">
        <f>IFERROR(__xludf.DUMMYFUNCTION("""COMPUTED_VALUE"""),"Goose")</f>
        <v>Goose</v>
      </c>
      <c r="C779" s="55" t="str">
        <f>IFERROR(__xludf.DUMMYFUNCTION("""COMPUTED_VALUE"""),"Veteran")</f>
        <v>Veteran</v>
      </c>
      <c r="D779" s="65">
        <f>IFERROR(__xludf.DUMMYFUNCTION("""COMPUTED_VALUE"""),40.42180655615265)</f>
        <v>40.42180656</v>
      </c>
      <c r="E779" s="66">
        <f>IFERROR(__xludf.DUMMYFUNCTION("""COMPUTED_VALUE"""),41.0)</f>
        <v>41</v>
      </c>
    </row>
    <row r="780">
      <c r="A780" s="55" t="str">
        <f>IFERROR(__xludf.DUMMYFUNCTION("""COMPUTED_VALUE"""),"RSC008052")</f>
        <v>RSC008052</v>
      </c>
      <c r="B780" s="60" t="str">
        <f>IFERROR(__xludf.DUMMYFUNCTION("""COMPUTED_VALUE"""),"CrypticTide.")</f>
        <v>CrypticTide.</v>
      </c>
      <c r="C780" s="55" t="str">
        <f>IFERROR(__xludf.DUMMYFUNCTION("""COMPUTED_VALUE"""),"Veteran")</f>
        <v>Veteran</v>
      </c>
      <c r="D780" s="65">
        <f>IFERROR(__xludf.DUMMYFUNCTION("""COMPUTED_VALUE"""),39.74648921645268)</f>
        <v>39.74648922</v>
      </c>
      <c r="E780" s="66">
        <f>IFERROR(__xludf.DUMMYFUNCTION("""COMPUTED_VALUE"""),4.0)</f>
        <v>4</v>
      </c>
    </row>
    <row r="781">
      <c r="A781" s="55" t="str">
        <f>IFERROR(__xludf.DUMMYFUNCTION("""COMPUTED_VALUE"""),"RSC005689")</f>
        <v>RSC005689</v>
      </c>
      <c r="B781" s="60" t="str">
        <f>IFERROR(__xludf.DUMMYFUNCTION("""COMPUTED_VALUE"""),"Wntr")</f>
        <v>Wntr</v>
      </c>
      <c r="C781" s="55" t="str">
        <f>IFERROR(__xludf.DUMMYFUNCTION("""COMPUTED_VALUE"""),"Veteran")</f>
        <v>Veteran</v>
      </c>
      <c r="D781" s="65">
        <f>IFERROR(__xludf.DUMMYFUNCTION("""COMPUTED_VALUE"""),39.23113979840825)</f>
        <v>39.2311398</v>
      </c>
      <c r="E781" s="66">
        <f>IFERROR(__xludf.DUMMYFUNCTION("""COMPUTED_VALUE"""),4.0)</f>
        <v>4</v>
      </c>
    </row>
    <row r="782">
      <c r="A782" s="55" t="str">
        <f>IFERROR(__xludf.DUMMYFUNCTION("""COMPUTED_VALUE"""),"RSC006654")</f>
        <v>RSC006654</v>
      </c>
      <c r="B782" s="60" t="str">
        <f>IFERROR(__xludf.DUMMYFUNCTION("""COMPUTED_VALUE"""),"Chicken")</f>
        <v>Chicken</v>
      </c>
      <c r="C782" s="55" t="str">
        <f>IFERROR(__xludf.DUMMYFUNCTION("""COMPUTED_VALUE"""),"Veteran")</f>
        <v>Veteran</v>
      </c>
      <c r="D782" s="65">
        <f>IFERROR(__xludf.DUMMYFUNCTION("""COMPUTED_VALUE"""),38.60085254504483)</f>
        <v>38.60085255</v>
      </c>
      <c r="E782" s="66">
        <f>IFERROR(__xludf.DUMMYFUNCTION("""COMPUTED_VALUE"""),52.0)</f>
        <v>52</v>
      </c>
    </row>
    <row r="783">
      <c r="A783" s="55" t="str">
        <f>IFERROR(__xludf.DUMMYFUNCTION("""COMPUTED_VALUE"""),"RSC008536")</f>
        <v>RSC008536</v>
      </c>
      <c r="B783" s="60" t="str">
        <f>IFERROR(__xludf.DUMMYFUNCTION("""COMPUTED_VALUE"""),"Synbad-")</f>
        <v>Synbad-</v>
      </c>
      <c r="C783" s="55" t="str">
        <f>IFERROR(__xludf.DUMMYFUNCTION("""COMPUTED_VALUE"""),"Veteran")</f>
        <v>Veteran</v>
      </c>
      <c r="D783" s="65">
        <f>IFERROR(__xludf.DUMMYFUNCTION("""COMPUTED_VALUE"""),37.58140357388421)</f>
        <v>37.58140357</v>
      </c>
      <c r="E783" s="66">
        <f>IFERROR(__xludf.DUMMYFUNCTION("""COMPUTED_VALUE"""),28.0)</f>
        <v>28</v>
      </c>
    </row>
    <row r="784">
      <c r="A784" s="55" t="str">
        <f>IFERROR(__xludf.DUMMYFUNCTION("""COMPUTED_VALUE"""),"RSC006199")</f>
        <v>RSC006199</v>
      </c>
      <c r="B784" s="60" t="str">
        <f>IFERROR(__xludf.DUMMYFUNCTION("""COMPUTED_VALUE"""),"Irozuh-")</f>
        <v>Irozuh-</v>
      </c>
      <c r="C784" s="55" t="str">
        <f>IFERROR(__xludf.DUMMYFUNCTION("""COMPUTED_VALUE"""),"Veteran")</f>
        <v>Veteran</v>
      </c>
      <c r="D784" s="65">
        <f>IFERROR(__xludf.DUMMYFUNCTION("""COMPUTED_VALUE"""),36.952576791188875)</f>
        <v>36.95257679</v>
      </c>
      <c r="E784" s="66">
        <f>IFERROR(__xludf.DUMMYFUNCTION("""COMPUTED_VALUE"""),29.0)</f>
        <v>29</v>
      </c>
    </row>
    <row r="785">
      <c r="A785" s="55" t="str">
        <f>IFERROR(__xludf.DUMMYFUNCTION("""COMPUTED_VALUE"""),"RSC008460")</f>
        <v>RSC008460</v>
      </c>
      <c r="B785" s="60" t="str">
        <f>IFERROR(__xludf.DUMMYFUNCTION("""COMPUTED_VALUE"""),"Murleaux")</f>
        <v>Murleaux</v>
      </c>
      <c r="C785" s="55" t="str">
        <f>IFERROR(__xludf.DUMMYFUNCTION("""COMPUTED_VALUE"""),"Veteran")</f>
        <v>Veteran</v>
      </c>
      <c r="D785" s="65">
        <f>IFERROR(__xludf.DUMMYFUNCTION("""COMPUTED_VALUE"""),35.382250349924675)</f>
        <v>35.38225035</v>
      </c>
      <c r="E785" s="66">
        <f>IFERROR(__xludf.DUMMYFUNCTION("""COMPUTED_VALUE"""),51.0)</f>
        <v>51</v>
      </c>
    </row>
    <row r="786">
      <c r="A786" s="55" t="str">
        <f>IFERROR(__xludf.DUMMYFUNCTION("""COMPUTED_VALUE"""),"RSC007213")</f>
        <v>RSC007213</v>
      </c>
      <c r="B786" s="60" t="str">
        <f>IFERROR(__xludf.DUMMYFUNCTION("""COMPUTED_VALUE"""),"Pythronex")</f>
        <v>Pythronex</v>
      </c>
      <c r="C786" s="55" t="str">
        <f>IFERROR(__xludf.DUMMYFUNCTION("""COMPUTED_VALUE"""),"Veteran")</f>
        <v>Veteran</v>
      </c>
      <c r="D786" s="65">
        <f>IFERROR(__xludf.DUMMYFUNCTION("""COMPUTED_VALUE"""),34.76085632371261)</f>
        <v>34.76085632</v>
      </c>
      <c r="E786" s="66">
        <f>IFERROR(__xludf.DUMMYFUNCTION("""COMPUTED_VALUE"""),24.0)</f>
        <v>24</v>
      </c>
    </row>
    <row r="787">
      <c r="A787" s="55" t="str">
        <f>IFERROR(__xludf.DUMMYFUNCTION("""COMPUTED_VALUE"""),"RSC008344")</f>
        <v>RSC008344</v>
      </c>
      <c r="B787" s="60" t="str">
        <f>IFERROR(__xludf.DUMMYFUNCTION("""COMPUTED_VALUE"""),"RealRoice_IsGetz")</f>
        <v>RealRoice_IsGetz</v>
      </c>
      <c r="C787" s="55" t="str">
        <f>IFERROR(__xludf.DUMMYFUNCTION("""COMPUTED_VALUE"""),"Veteran")</f>
        <v>Veteran</v>
      </c>
      <c r="D787" s="65">
        <f>IFERROR(__xludf.DUMMYFUNCTION("""COMPUTED_VALUE"""),34.18501030223064)</f>
        <v>34.1850103</v>
      </c>
      <c r="E787" s="66">
        <f>IFERROR(__xludf.DUMMYFUNCTION("""COMPUTED_VALUE"""),49.0)</f>
        <v>49</v>
      </c>
    </row>
    <row r="788">
      <c r="A788" s="55" t="str">
        <f>IFERROR(__xludf.DUMMYFUNCTION("""COMPUTED_VALUE"""),"RSC004997")</f>
        <v>RSC004997</v>
      </c>
      <c r="B788" s="60" t="str">
        <f>IFERROR(__xludf.DUMMYFUNCTION("""COMPUTED_VALUE"""),"Evelynnx")</f>
        <v>Evelynnx</v>
      </c>
      <c r="C788" s="55" t="str">
        <f>IFERROR(__xludf.DUMMYFUNCTION("""COMPUTED_VALUE"""),"Veteran")</f>
        <v>Veteran</v>
      </c>
      <c r="D788" s="65">
        <f>IFERROR(__xludf.DUMMYFUNCTION("""COMPUTED_VALUE"""),33.72341281613856)</f>
        <v>33.72341282</v>
      </c>
      <c r="E788" s="66">
        <f>IFERROR(__xludf.DUMMYFUNCTION("""COMPUTED_VALUE"""),9.0)</f>
        <v>9</v>
      </c>
    </row>
    <row r="789">
      <c r="A789" s="55" t="str">
        <f>IFERROR(__xludf.DUMMYFUNCTION("""COMPUTED_VALUE"""),"RSC007062")</f>
        <v>RSC007062</v>
      </c>
      <c r="B789" s="60" t="str">
        <f>IFERROR(__xludf.DUMMYFUNCTION("""COMPUTED_VALUE"""),"Ice Phoenix")</f>
        <v>Ice Phoenix</v>
      </c>
      <c r="C789" s="55" t="str">
        <f>IFERROR(__xludf.DUMMYFUNCTION("""COMPUTED_VALUE"""),"Veteran")</f>
        <v>Veteran</v>
      </c>
      <c r="D789" s="65">
        <f>IFERROR(__xludf.DUMMYFUNCTION("""COMPUTED_VALUE"""),32.61305376408242)</f>
        <v>32.61305376</v>
      </c>
      <c r="E789" s="66">
        <f>IFERROR(__xludf.DUMMYFUNCTION("""COMPUTED_VALUE"""),29.0)</f>
        <v>29</v>
      </c>
    </row>
    <row r="790">
      <c r="A790" s="55" t="str">
        <f>IFERROR(__xludf.DUMMYFUNCTION("""COMPUTED_VALUE"""),"RSC000981")</f>
        <v>RSC000981</v>
      </c>
      <c r="B790" s="60" t="str">
        <f>IFERROR(__xludf.DUMMYFUNCTION("""COMPUTED_VALUE"""),"Crimson")</f>
        <v>Crimson</v>
      </c>
      <c r="C790" s="55" t="str">
        <f>IFERROR(__xludf.DUMMYFUNCTION("""COMPUTED_VALUE"""),"Veteran")</f>
        <v>Veteran</v>
      </c>
      <c r="D790" s="65">
        <f>IFERROR(__xludf.DUMMYFUNCTION("""COMPUTED_VALUE"""),32.001072301679116)</f>
        <v>32.0010723</v>
      </c>
      <c r="E790" s="66">
        <f>IFERROR(__xludf.DUMMYFUNCTION("""COMPUTED_VALUE"""),37.0)</f>
        <v>37</v>
      </c>
    </row>
    <row r="791">
      <c r="A791" s="55" t="str">
        <f>IFERROR(__xludf.DUMMYFUNCTION("""COMPUTED_VALUE"""),"RSC007555")</f>
        <v>RSC007555</v>
      </c>
      <c r="B791" s="60" t="str">
        <f>IFERROR(__xludf.DUMMYFUNCTION("""COMPUTED_VALUE"""),"cjastr0-")</f>
        <v>cjastr0-</v>
      </c>
      <c r="C791" s="55" t="str">
        <f>IFERROR(__xludf.DUMMYFUNCTION("""COMPUTED_VALUE"""),"Veteran")</f>
        <v>Veteran</v>
      </c>
      <c r="D791" s="65">
        <f>IFERROR(__xludf.DUMMYFUNCTION("""COMPUTED_VALUE"""),31.910921169750235)</f>
        <v>31.91092117</v>
      </c>
      <c r="E791" s="66">
        <f>IFERROR(__xludf.DUMMYFUNCTION("""COMPUTED_VALUE"""),24.0)</f>
        <v>24</v>
      </c>
    </row>
    <row r="792">
      <c r="A792" s="55" t="str">
        <f>IFERROR(__xludf.DUMMYFUNCTION("""COMPUTED_VALUE"""),"RSC005314")</f>
        <v>RSC005314</v>
      </c>
      <c r="B792" s="60" t="str">
        <f>IFERROR(__xludf.DUMMYFUNCTION("""COMPUTED_VALUE"""),"daggumbigfeet")</f>
        <v>daggumbigfeet</v>
      </c>
      <c r="C792" s="55" t="str">
        <f>IFERROR(__xludf.DUMMYFUNCTION("""COMPUTED_VALUE"""),"Veteran")</f>
        <v>Veteran</v>
      </c>
      <c r="D792" s="65">
        <f>IFERROR(__xludf.DUMMYFUNCTION("""COMPUTED_VALUE"""),31.459369140638845)</f>
        <v>31.45936914</v>
      </c>
      <c r="E792" s="66">
        <f>IFERROR(__xludf.DUMMYFUNCTION("""COMPUTED_VALUE"""),21.0)</f>
        <v>21</v>
      </c>
    </row>
    <row r="793">
      <c r="A793" s="55" t="str">
        <f>IFERROR(__xludf.DUMMYFUNCTION("""COMPUTED_VALUE"""),"RSC008364")</f>
        <v>RSC008364</v>
      </c>
      <c r="B793" s="60" t="str">
        <f>IFERROR(__xludf.DUMMYFUNCTION("""COMPUTED_VALUE"""),"Ken Whiffey Jr.")</f>
        <v>Ken Whiffey Jr.</v>
      </c>
      <c r="C793" s="55" t="str">
        <f>IFERROR(__xludf.DUMMYFUNCTION("""COMPUTED_VALUE"""),"Veteran")</f>
        <v>Veteran</v>
      </c>
      <c r="D793" s="65">
        <f>IFERROR(__xludf.DUMMYFUNCTION("""COMPUTED_VALUE"""),30.70118257895849)</f>
        <v>30.70118258</v>
      </c>
      <c r="E793" s="66">
        <f>IFERROR(__xludf.DUMMYFUNCTION("""COMPUTED_VALUE"""),36.0)</f>
        <v>36</v>
      </c>
    </row>
    <row r="794">
      <c r="A794" s="55" t="str">
        <f>IFERROR(__xludf.DUMMYFUNCTION("""COMPUTED_VALUE"""),"RSC008211")</f>
        <v>RSC008211</v>
      </c>
      <c r="B794" s="60" t="str">
        <f>IFERROR(__xludf.DUMMYFUNCTION("""COMPUTED_VALUE"""),"Astro-HxIIFire")</f>
        <v>Astro-HxIIFire</v>
      </c>
      <c r="C794" s="55" t="str">
        <f>IFERROR(__xludf.DUMMYFUNCTION("""COMPUTED_VALUE"""),"Veteran")</f>
        <v>Veteran</v>
      </c>
      <c r="D794" s="65">
        <f>IFERROR(__xludf.DUMMYFUNCTION("""COMPUTED_VALUE"""),30.677716203325406)</f>
        <v>30.6777162</v>
      </c>
      <c r="E794" s="66">
        <f>IFERROR(__xludf.DUMMYFUNCTION("""COMPUTED_VALUE"""),7.0)</f>
        <v>7</v>
      </c>
    </row>
    <row r="795">
      <c r="A795" s="55" t="str">
        <f>IFERROR(__xludf.DUMMYFUNCTION("""COMPUTED_VALUE"""),"RSC003255")</f>
        <v>RSC003255</v>
      </c>
      <c r="B795" s="60" t="str">
        <f>IFERROR(__xludf.DUMMYFUNCTION("""COMPUTED_VALUE"""),"cozyboy")</f>
        <v>cozyboy</v>
      </c>
      <c r="C795" s="55" t="str">
        <f>IFERROR(__xludf.DUMMYFUNCTION("""COMPUTED_VALUE"""),"Veteran")</f>
        <v>Veteran</v>
      </c>
      <c r="D795" s="65">
        <f>IFERROR(__xludf.DUMMYFUNCTION("""COMPUTED_VALUE"""),30.46363455871767)</f>
        <v>30.46363456</v>
      </c>
      <c r="E795" s="66">
        <f>IFERROR(__xludf.DUMMYFUNCTION("""COMPUTED_VALUE"""),4.0)</f>
        <v>4</v>
      </c>
    </row>
    <row r="796">
      <c r="A796" s="55" t="str">
        <f>IFERROR(__xludf.DUMMYFUNCTION("""COMPUTED_VALUE"""),"RSC007186")</f>
        <v>RSC007186</v>
      </c>
      <c r="B796" s="60" t="str">
        <f>IFERROR(__xludf.DUMMYFUNCTION("""COMPUTED_VALUE"""),"Bushier Brow")</f>
        <v>Bushier Brow</v>
      </c>
      <c r="C796" s="55" t="str">
        <f>IFERROR(__xludf.DUMMYFUNCTION("""COMPUTED_VALUE"""),"Veteran")</f>
        <v>Veteran</v>
      </c>
      <c r="D796" s="65">
        <f>IFERROR(__xludf.DUMMYFUNCTION("""COMPUTED_VALUE"""),30.052092489922906)</f>
        <v>30.05209249</v>
      </c>
      <c r="E796" s="66">
        <f>IFERROR(__xludf.DUMMYFUNCTION("""COMPUTED_VALUE"""),51.0)</f>
        <v>51</v>
      </c>
    </row>
    <row r="797">
      <c r="A797" s="55" t="str">
        <f>IFERROR(__xludf.DUMMYFUNCTION("""COMPUTED_VALUE"""),"RSC007618")</f>
        <v>RSC007618</v>
      </c>
      <c r="B797" s="60" t="str">
        <f>IFERROR(__xludf.DUMMYFUNCTION("""COMPUTED_VALUE"""),"Robbie")</f>
        <v>Robbie</v>
      </c>
      <c r="C797" s="55" t="str">
        <f>IFERROR(__xludf.DUMMYFUNCTION("""COMPUTED_VALUE"""),"Veteran")</f>
        <v>Veteran</v>
      </c>
      <c r="D797" s="65">
        <f>IFERROR(__xludf.DUMMYFUNCTION("""COMPUTED_VALUE"""),29.515364017093766)</f>
        <v>29.51536402</v>
      </c>
      <c r="E797" s="66">
        <f>IFERROR(__xludf.DUMMYFUNCTION("""COMPUTED_VALUE"""),12.0)</f>
        <v>12</v>
      </c>
    </row>
    <row r="798">
      <c r="A798" s="55" t="str">
        <f>IFERROR(__xludf.DUMMYFUNCTION("""COMPUTED_VALUE"""),"RSC006089")</f>
        <v>RSC006089</v>
      </c>
      <c r="B798" s="60" t="str">
        <f>IFERROR(__xludf.DUMMYFUNCTION("""COMPUTED_VALUE"""),"ZeroPop11")</f>
        <v>ZeroPop11</v>
      </c>
      <c r="C798" s="55" t="str">
        <f>IFERROR(__xludf.DUMMYFUNCTION("""COMPUTED_VALUE"""),"Veteran")</f>
        <v>Veteran</v>
      </c>
      <c r="D798" s="65">
        <f>IFERROR(__xludf.DUMMYFUNCTION("""COMPUTED_VALUE"""),28.996663905481984)</f>
        <v>28.99666391</v>
      </c>
      <c r="E798" s="66">
        <f>IFERROR(__xludf.DUMMYFUNCTION("""COMPUTED_VALUE"""),34.0)</f>
        <v>34</v>
      </c>
    </row>
    <row r="799">
      <c r="A799" s="55" t="str">
        <f>IFERROR(__xludf.DUMMYFUNCTION("""COMPUTED_VALUE"""),"RSC007143")</f>
        <v>RSC007143</v>
      </c>
      <c r="B799" s="60" t="str">
        <f>IFERROR(__xludf.DUMMYFUNCTION("""COMPUTED_VALUE"""),"OmniMurders")</f>
        <v>OmniMurders</v>
      </c>
      <c r="C799" s="55" t="str">
        <f>IFERROR(__xludf.DUMMYFUNCTION("""COMPUTED_VALUE"""),"Veteran")</f>
        <v>Veteran</v>
      </c>
      <c r="D799" s="65">
        <f>IFERROR(__xludf.DUMMYFUNCTION("""COMPUTED_VALUE"""),27.116982887605936)</f>
        <v>27.11698289</v>
      </c>
      <c r="E799" s="66">
        <f>IFERROR(__xludf.DUMMYFUNCTION("""COMPUTED_VALUE"""),32.0)</f>
        <v>32</v>
      </c>
    </row>
    <row r="800">
      <c r="A800" s="55" t="str">
        <f>IFERROR(__xludf.DUMMYFUNCTION("""COMPUTED_VALUE"""),"RSC007070")</f>
        <v>RSC007070</v>
      </c>
      <c r="B800" s="60" t="str">
        <f>IFERROR(__xludf.DUMMYFUNCTION("""COMPUTED_VALUE"""),"demha.")</f>
        <v>demha.</v>
      </c>
      <c r="C800" s="55" t="str">
        <f>IFERROR(__xludf.DUMMYFUNCTION("""COMPUTED_VALUE"""),"Veteran")</f>
        <v>Veteran</v>
      </c>
      <c r="D800" s="65">
        <f>IFERROR(__xludf.DUMMYFUNCTION("""COMPUTED_VALUE"""),25.13348011521692)</f>
        <v>25.13348012</v>
      </c>
      <c r="E800" s="66">
        <f>IFERROR(__xludf.DUMMYFUNCTION("""COMPUTED_VALUE"""),3.0)</f>
        <v>3</v>
      </c>
    </row>
    <row r="801">
      <c r="A801" s="55" t="str">
        <f>IFERROR(__xludf.DUMMYFUNCTION("""COMPUTED_VALUE"""),"RSC005355")</f>
        <v>RSC005355</v>
      </c>
      <c r="B801" s="60" t="str">
        <f>IFERROR(__xludf.DUMMYFUNCTION("""COMPUTED_VALUE"""),"Armando")</f>
        <v>Armando</v>
      </c>
      <c r="C801" s="55" t="str">
        <f>IFERROR(__xludf.DUMMYFUNCTION("""COMPUTED_VALUE"""),"Veteran")</f>
        <v>Veteran</v>
      </c>
      <c r="D801" s="65">
        <f>IFERROR(__xludf.DUMMYFUNCTION("""COMPUTED_VALUE"""),24.65863530398397)</f>
        <v>24.6586353</v>
      </c>
      <c r="E801" s="66">
        <f>IFERROR(__xludf.DUMMYFUNCTION("""COMPUTED_VALUE"""),40.0)</f>
        <v>40</v>
      </c>
    </row>
    <row r="802">
      <c r="A802" s="55" t="str">
        <f>IFERROR(__xludf.DUMMYFUNCTION("""COMPUTED_VALUE"""),"RSC008524")</f>
        <v>RSC008524</v>
      </c>
      <c r="B802" s="60" t="str">
        <f>IFERROR(__xludf.DUMMYFUNCTION("""COMPUTED_VALUE"""),"ṽex")</f>
        <v>ṽex</v>
      </c>
      <c r="C802" s="55" t="str">
        <f>IFERROR(__xludf.DUMMYFUNCTION("""COMPUTED_VALUE"""),"Veteran")</f>
        <v>Veteran</v>
      </c>
      <c r="D802" s="65">
        <f>IFERROR(__xludf.DUMMYFUNCTION("""COMPUTED_VALUE"""),24.378845792507654)</f>
        <v>24.37884579</v>
      </c>
      <c r="E802" s="66">
        <f>IFERROR(__xludf.DUMMYFUNCTION("""COMPUTED_VALUE"""),4.0)</f>
        <v>4</v>
      </c>
    </row>
    <row r="803">
      <c r="A803" s="55" t="str">
        <f>IFERROR(__xludf.DUMMYFUNCTION("""COMPUTED_VALUE"""),"RSC006018")</f>
        <v>RSC006018</v>
      </c>
      <c r="B803" s="60" t="str">
        <f>IFERROR(__xludf.DUMMYFUNCTION("""COMPUTED_VALUE"""),"Braamse")</f>
        <v>Braamse</v>
      </c>
      <c r="C803" s="55" t="str">
        <f>IFERROR(__xludf.DUMMYFUNCTION("""COMPUTED_VALUE"""),"Veteran")</f>
        <v>Veteran</v>
      </c>
      <c r="D803" s="65">
        <f>IFERROR(__xludf.DUMMYFUNCTION("""COMPUTED_VALUE"""),23.397608638522698)</f>
        <v>23.39760864</v>
      </c>
      <c r="E803" s="66">
        <f>IFERROR(__xludf.DUMMYFUNCTION("""COMPUTED_VALUE"""),25.0)</f>
        <v>25</v>
      </c>
    </row>
    <row r="804">
      <c r="A804" s="55" t="str">
        <f>IFERROR(__xludf.DUMMYFUNCTION("""COMPUTED_VALUE"""),"RSC003122")</f>
        <v>RSC003122</v>
      </c>
      <c r="B804" s="60" t="str">
        <f>IFERROR(__xludf.DUMMYFUNCTION("""COMPUTED_VALUE"""),"Kovalchuk")</f>
        <v>Kovalchuk</v>
      </c>
      <c r="C804" s="55" t="str">
        <f>IFERROR(__xludf.DUMMYFUNCTION("""COMPUTED_VALUE"""),"Veteran")</f>
        <v>Veteran</v>
      </c>
      <c r="D804" s="65">
        <f>IFERROR(__xludf.DUMMYFUNCTION("""COMPUTED_VALUE"""),22.06496419097918)</f>
        <v>22.06496419</v>
      </c>
      <c r="E804" s="66">
        <f>IFERROR(__xludf.DUMMYFUNCTION("""COMPUTED_VALUE"""),12.0)</f>
        <v>12</v>
      </c>
    </row>
    <row r="805">
      <c r="A805" s="55" t="str">
        <f>IFERROR(__xludf.DUMMYFUNCTION("""COMPUTED_VALUE"""),"RSC008592")</f>
        <v>RSC008592</v>
      </c>
      <c r="B805" s="60" t="str">
        <f>IFERROR(__xludf.DUMMYFUNCTION("""COMPUTED_VALUE"""),"Rezcoh")</f>
        <v>Rezcoh</v>
      </c>
      <c r="C805" s="55" t="str">
        <f>IFERROR(__xludf.DUMMYFUNCTION("""COMPUTED_VALUE"""),"Veteran")</f>
        <v>Veteran</v>
      </c>
      <c r="D805" s="65">
        <f>IFERROR(__xludf.DUMMYFUNCTION("""COMPUTED_VALUE"""),21.655016799161363)</f>
        <v>21.6550168</v>
      </c>
      <c r="E805" s="66">
        <f>IFERROR(__xludf.DUMMYFUNCTION("""COMPUTED_VALUE"""),4.0)</f>
        <v>4</v>
      </c>
    </row>
    <row r="806">
      <c r="A806" s="55" t="str">
        <f>IFERROR(__xludf.DUMMYFUNCTION("""COMPUTED_VALUE"""),"RSC005294")</f>
        <v>RSC005294</v>
      </c>
      <c r="B806" s="60" t="str">
        <f>IFERROR(__xludf.DUMMYFUNCTION("""COMPUTED_VALUE"""),"mogulmaniac5480")</f>
        <v>mogulmaniac5480</v>
      </c>
      <c r="C806" s="55" t="str">
        <f>IFERROR(__xludf.DUMMYFUNCTION("""COMPUTED_VALUE"""),"Veteran")</f>
        <v>Veteran</v>
      </c>
      <c r="D806" s="65">
        <f>IFERROR(__xludf.DUMMYFUNCTION("""COMPUTED_VALUE"""),20.147958893817318)</f>
        <v>20.14795889</v>
      </c>
      <c r="E806" s="66">
        <f>IFERROR(__xludf.DUMMYFUNCTION("""COMPUTED_VALUE"""),16.0)</f>
        <v>16</v>
      </c>
    </row>
    <row r="807">
      <c r="A807" s="55" t="str">
        <f>IFERROR(__xludf.DUMMYFUNCTION("""COMPUTED_VALUE"""),"RSC005438")</f>
        <v>RSC005438</v>
      </c>
      <c r="B807" s="60" t="str">
        <f>IFERROR(__xludf.DUMMYFUNCTION("""COMPUTED_VALUE"""),"ForestmanChubs")</f>
        <v>ForestmanChubs</v>
      </c>
      <c r="C807" s="55" t="str">
        <f>IFERROR(__xludf.DUMMYFUNCTION("""COMPUTED_VALUE"""),"Veteran")</f>
        <v>Veteran</v>
      </c>
      <c r="D807" s="65">
        <f>IFERROR(__xludf.DUMMYFUNCTION("""COMPUTED_VALUE"""),19.86322291775852)</f>
        <v>19.86322292</v>
      </c>
      <c r="E807" s="66">
        <f>IFERROR(__xludf.DUMMYFUNCTION("""COMPUTED_VALUE"""),6.0)</f>
        <v>6</v>
      </c>
    </row>
    <row r="808">
      <c r="A808" s="55" t="str">
        <f>IFERROR(__xludf.DUMMYFUNCTION("""COMPUTED_VALUE"""),"RSC006949")</f>
        <v>RSC006949</v>
      </c>
      <c r="B808" s="60" t="str">
        <f>IFERROR(__xludf.DUMMYFUNCTION("""COMPUTED_VALUE"""),"oiNio")</f>
        <v>oiNio</v>
      </c>
      <c r="C808" s="55" t="str">
        <f>IFERROR(__xludf.DUMMYFUNCTION("""COMPUTED_VALUE"""),"Veteran")</f>
        <v>Veteran</v>
      </c>
      <c r="D808" s="65">
        <f>IFERROR(__xludf.DUMMYFUNCTION("""COMPUTED_VALUE"""),18.07917288813569)</f>
        <v>18.07917289</v>
      </c>
      <c r="E808" s="66">
        <f>IFERROR(__xludf.DUMMYFUNCTION("""COMPUTED_VALUE"""),4.0)</f>
        <v>4</v>
      </c>
    </row>
    <row r="809">
      <c r="A809" s="55" t="str">
        <f>IFERROR(__xludf.DUMMYFUNCTION("""COMPUTED_VALUE"""),"RSC006976")</f>
        <v>RSC006976</v>
      </c>
      <c r="B809" s="60" t="str">
        <f>IFERROR(__xludf.DUMMYFUNCTION("""COMPUTED_VALUE"""),"Slendda")</f>
        <v>Slendda</v>
      </c>
      <c r="C809" s="55" t="str">
        <f>IFERROR(__xludf.DUMMYFUNCTION("""COMPUTED_VALUE"""),"Veteran")</f>
        <v>Veteran</v>
      </c>
      <c r="D809" s="65">
        <f>IFERROR(__xludf.DUMMYFUNCTION("""COMPUTED_VALUE"""),15.490573104598212)</f>
        <v>15.4905731</v>
      </c>
      <c r="E809" s="66">
        <f>IFERROR(__xludf.DUMMYFUNCTION("""COMPUTED_VALUE"""),18.0)</f>
        <v>18</v>
      </c>
    </row>
    <row r="810">
      <c r="A810" s="55" t="str">
        <f>IFERROR(__xludf.DUMMYFUNCTION("""COMPUTED_VALUE"""),"RSC001091")</f>
        <v>RSC001091</v>
      </c>
      <c r="B810" s="60" t="str">
        <f>IFERROR(__xludf.DUMMYFUNCTION("""COMPUTED_VALUE"""),"stealthman777")</f>
        <v>stealthman777</v>
      </c>
      <c r="C810" s="55" t="str">
        <f>IFERROR(__xludf.DUMMYFUNCTION("""COMPUTED_VALUE"""),"Veteran")</f>
        <v>Veteran</v>
      </c>
      <c r="D810" s="65">
        <f>IFERROR(__xludf.DUMMYFUNCTION("""COMPUTED_VALUE"""),14.94029709443555)</f>
        <v>14.94029709</v>
      </c>
      <c r="E810" s="66">
        <f>IFERROR(__xludf.DUMMYFUNCTION("""COMPUTED_VALUE"""),36.0)</f>
        <v>36</v>
      </c>
    </row>
    <row r="811">
      <c r="A811" s="55" t="str">
        <f>IFERROR(__xludf.DUMMYFUNCTION("""COMPUTED_VALUE"""),"RSC006639")</f>
        <v>RSC006639</v>
      </c>
      <c r="B811" s="60" t="str">
        <f>IFERROR(__xludf.DUMMYFUNCTION("""COMPUTED_VALUE"""),"Zxphyr")</f>
        <v>Zxphyr</v>
      </c>
      <c r="C811" s="55" t="str">
        <f>IFERROR(__xludf.DUMMYFUNCTION("""COMPUTED_VALUE"""),"Veteran")</f>
        <v>Veteran</v>
      </c>
      <c r="D811" s="65">
        <f>IFERROR(__xludf.DUMMYFUNCTION("""COMPUTED_VALUE"""),14.698727931184933)</f>
        <v>14.69872793</v>
      </c>
      <c r="E811" s="66">
        <f>IFERROR(__xludf.DUMMYFUNCTION("""COMPUTED_VALUE"""),12.0)</f>
        <v>12</v>
      </c>
    </row>
    <row r="812">
      <c r="A812" s="55" t="str">
        <f>IFERROR(__xludf.DUMMYFUNCTION("""COMPUTED_VALUE"""),"RSC004970")</f>
        <v>RSC004970</v>
      </c>
      <c r="B812" s="60" t="str">
        <f>IFERROR(__xludf.DUMMYFUNCTION("""COMPUTED_VALUE"""),"Tgunn05")</f>
        <v>Tgunn05</v>
      </c>
      <c r="C812" s="55" t="str">
        <f>IFERROR(__xludf.DUMMYFUNCTION("""COMPUTED_VALUE"""),"Veteran")</f>
        <v>Veteran</v>
      </c>
      <c r="D812" s="65">
        <f>IFERROR(__xludf.DUMMYFUNCTION("""COMPUTED_VALUE"""),14.478686876342763)</f>
        <v>14.47868688</v>
      </c>
      <c r="E812" s="66">
        <f>IFERROR(__xludf.DUMMYFUNCTION("""COMPUTED_VALUE"""),34.0)</f>
        <v>34</v>
      </c>
    </row>
    <row r="813">
      <c r="A813" s="55" t="str">
        <f>IFERROR(__xludf.DUMMYFUNCTION("""COMPUTED_VALUE"""),"RSC004385")</f>
        <v>RSC004385</v>
      </c>
      <c r="B813" s="60" t="str">
        <f>IFERROR(__xludf.DUMMYFUNCTION("""COMPUTED_VALUE"""),"Braybaum02")</f>
        <v>Braybaum02</v>
      </c>
      <c r="C813" s="55" t="str">
        <f>IFERROR(__xludf.DUMMYFUNCTION("""COMPUTED_VALUE"""),"Veteran")</f>
        <v>Veteran</v>
      </c>
      <c r="D813" s="65">
        <f>IFERROR(__xludf.DUMMYFUNCTION("""COMPUTED_VALUE"""),14.316361164891823)</f>
        <v>14.31636116</v>
      </c>
      <c r="E813" s="66">
        <f>IFERROR(__xludf.DUMMYFUNCTION("""COMPUTED_VALUE"""),20.0)</f>
        <v>20</v>
      </c>
    </row>
    <row r="814">
      <c r="A814" s="55" t="str">
        <f>IFERROR(__xludf.DUMMYFUNCTION("""COMPUTED_VALUE"""),"RSC008548")</f>
        <v>RSC008548</v>
      </c>
      <c r="B814" s="60" t="str">
        <f>IFERROR(__xludf.DUMMYFUNCTION("""COMPUTED_VALUE"""),"Slinkxyz")</f>
        <v>Slinkxyz</v>
      </c>
      <c r="C814" s="55" t="str">
        <f>IFERROR(__xludf.DUMMYFUNCTION("""COMPUTED_VALUE"""),"Veteran")</f>
        <v>Veteran</v>
      </c>
      <c r="D814" s="65">
        <f>IFERROR(__xludf.DUMMYFUNCTION("""COMPUTED_VALUE"""),13.644231502068145)</f>
        <v>13.6442315</v>
      </c>
      <c r="E814" s="66">
        <f>IFERROR(__xludf.DUMMYFUNCTION("""COMPUTED_VALUE"""),12.0)</f>
        <v>12</v>
      </c>
    </row>
    <row r="815">
      <c r="A815" s="55" t="str">
        <f>IFERROR(__xludf.DUMMYFUNCTION("""COMPUTED_VALUE"""),"RSC000848")</f>
        <v>RSC000848</v>
      </c>
      <c r="B815" s="60" t="str">
        <f>IFERROR(__xludf.DUMMYFUNCTION("""COMPUTED_VALUE"""),"WittingHalo64")</f>
        <v>WittingHalo64</v>
      </c>
      <c r="C815" s="55" t="str">
        <f>IFERROR(__xludf.DUMMYFUNCTION("""COMPUTED_VALUE"""),"Veteran")</f>
        <v>Veteran</v>
      </c>
      <c r="D815" s="65">
        <f>IFERROR(__xludf.DUMMYFUNCTION("""COMPUTED_VALUE"""),9.387599887624845)</f>
        <v>9.387599888</v>
      </c>
      <c r="E815" s="66">
        <f>IFERROR(__xludf.DUMMYFUNCTION("""COMPUTED_VALUE"""),2.0)</f>
        <v>2</v>
      </c>
    </row>
    <row r="816">
      <c r="A816" s="55" t="str">
        <f>IFERROR(__xludf.DUMMYFUNCTION("""COMPUTED_VALUE"""),"RSC006428")</f>
        <v>RSC006428</v>
      </c>
      <c r="B816" s="60" t="str">
        <f>IFERROR(__xludf.DUMMYFUNCTION("""COMPUTED_VALUE"""),"SniperWarrior007")</f>
        <v>SniperWarrior007</v>
      </c>
      <c r="C816" s="55" t="str">
        <f>IFERROR(__xludf.DUMMYFUNCTION("""COMPUTED_VALUE"""),"Veteran")</f>
        <v>Veteran</v>
      </c>
      <c r="D816" s="65">
        <f>IFERROR(__xludf.DUMMYFUNCTION("""COMPUTED_VALUE"""),9.285110987485211)</f>
        <v>9.285110987</v>
      </c>
      <c r="E816" s="66">
        <f>IFERROR(__xludf.DUMMYFUNCTION("""COMPUTED_VALUE"""),8.0)</f>
        <v>8</v>
      </c>
    </row>
    <row r="817">
      <c r="A817" s="55" t="str">
        <f>IFERROR(__xludf.DUMMYFUNCTION("""COMPUTED_VALUE"""),"RSC007576")</f>
        <v>RSC007576</v>
      </c>
      <c r="B817" s="60" t="str">
        <f>IFERROR(__xludf.DUMMYFUNCTION("""COMPUTED_VALUE"""),"CxldHeartedJess")</f>
        <v>CxldHeartedJess</v>
      </c>
      <c r="C817" s="55" t="str">
        <f>IFERROR(__xludf.DUMMYFUNCTION("""COMPUTED_VALUE"""),"Veteran")</f>
        <v>Veteran</v>
      </c>
      <c r="D817" s="65">
        <f>IFERROR(__xludf.DUMMYFUNCTION("""COMPUTED_VALUE"""),7.675488800934609)</f>
        <v>7.675488801</v>
      </c>
      <c r="E817" s="66">
        <f>IFERROR(__xludf.DUMMYFUNCTION("""COMPUTED_VALUE"""),8.0)</f>
        <v>8</v>
      </c>
    </row>
    <row r="818">
      <c r="A818" s="55" t="str">
        <f>IFERROR(__xludf.DUMMYFUNCTION("""COMPUTED_VALUE"""),"RSC008411")</f>
        <v>RSC008411</v>
      </c>
      <c r="B818" s="60" t="str">
        <f>IFERROR(__xludf.DUMMYFUNCTION("""COMPUTED_VALUE"""),"cosmo6430")</f>
        <v>cosmo6430</v>
      </c>
      <c r="C818" s="55" t="str">
        <f>IFERROR(__xludf.DUMMYFUNCTION("""COMPUTED_VALUE"""),"Veteran")</f>
        <v>Veteran</v>
      </c>
      <c r="D818" s="65">
        <f>IFERROR(__xludf.DUMMYFUNCTION("""COMPUTED_VALUE"""),1.4988245456100202)</f>
        <v>1.498824546</v>
      </c>
      <c r="E818" s="66">
        <f>IFERROR(__xludf.DUMMYFUNCTION("""COMPUTED_VALUE"""),23.0)</f>
        <v>23</v>
      </c>
    </row>
    <row r="819">
      <c r="A819" s="55" t="str">
        <f>IFERROR(__xludf.DUMMYFUNCTION("""COMPUTED_VALUE"""),"RSC008562")</f>
        <v>RSC008562</v>
      </c>
      <c r="B819" s="60" t="str">
        <f>IFERROR(__xludf.DUMMYFUNCTION("""COMPUTED_VALUE"""),"lul za za")</f>
        <v>lul za za</v>
      </c>
      <c r="C819" s="55" t="str">
        <f>IFERROR(__xludf.DUMMYFUNCTION("""COMPUTED_VALUE"""),"Veteran")</f>
        <v>Veteran</v>
      </c>
      <c r="D819" s="65">
        <f>IFERROR(__xludf.DUMMYFUNCTION("""COMPUTED_VALUE"""),0.40294608208738225)</f>
        <v>0.4029460821</v>
      </c>
      <c r="E819" s="66">
        <f>IFERROR(__xludf.DUMMYFUNCTION("""COMPUTED_VALUE"""),7.0)</f>
        <v>7</v>
      </c>
    </row>
    <row r="820">
      <c r="A820" s="55" t="str">
        <f>IFERROR(__xludf.DUMMYFUNCTION("""COMPUTED_VALUE"""),"RSC006794")</f>
        <v>RSC006794</v>
      </c>
      <c r="B820" s="60" t="str">
        <f>IFERROR(__xludf.DUMMYFUNCTION("""COMPUTED_VALUE"""),"HI7MAN305")</f>
        <v>HI7MAN305</v>
      </c>
      <c r="C820" s="55" t="str">
        <f>IFERROR(__xludf.DUMMYFUNCTION("""COMPUTED_VALUE"""),"Veteran")</f>
        <v>Veteran</v>
      </c>
      <c r="D820" s="65">
        <f>IFERROR(__xludf.DUMMYFUNCTION("""COMPUTED_VALUE"""),-1.2348662553171437)</f>
        <v>-1.234866255</v>
      </c>
      <c r="E820" s="66">
        <f>IFERROR(__xludf.DUMMYFUNCTION("""COMPUTED_VALUE"""),27.0)</f>
        <v>27</v>
      </c>
    </row>
    <row r="821">
      <c r="A821" s="55" t="str">
        <f>IFERROR(__xludf.DUMMYFUNCTION("""COMPUTED_VALUE"""),"RSC005246")</f>
        <v>RSC005246</v>
      </c>
      <c r="B821" s="60" t="str">
        <f>IFERROR(__xludf.DUMMYFUNCTION("""COMPUTED_VALUE"""),"Irishhhh")</f>
        <v>Irishhhh</v>
      </c>
      <c r="C821" s="55" t="str">
        <f>IFERROR(__xludf.DUMMYFUNCTION("""COMPUTED_VALUE"""),"Veteran")</f>
        <v>Veteran</v>
      </c>
      <c r="D821" s="65">
        <f>IFERROR(__xludf.DUMMYFUNCTION("""COMPUTED_VALUE"""),-4.592551219331142)</f>
        <v>-4.592551219</v>
      </c>
      <c r="E821" s="66">
        <f>IFERROR(__xludf.DUMMYFUNCTION("""COMPUTED_VALUE"""),30.0)</f>
        <v>30</v>
      </c>
    </row>
    <row r="822">
      <c r="A822" s="55" t="str">
        <f>IFERROR(__xludf.DUMMYFUNCTION("""COMPUTED_VALUE"""),"RSC008505")</f>
        <v>RSC008505</v>
      </c>
      <c r="B822" s="60" t="str">
        <f>IFERROR(__xludf.DUMMYFUNCTION("""COMPUTED_VALUE"""),"SpicyShinobi")</f>
        <v>SpicyShinobi</v>
      </c>
      <c r="C822" s="55" t="str">
        <f>IFERROR(__xludf.DUMMYFUNCTION("""COMPUTED_VALUE"""),"Veteran")</f>
        <v>Veteran</v>
      </c>
      <c r="D822" s="65">
        <f>IFERROR(__xludf.DUMMYFUNCTION("""COMPUTED_VALUE"""),-14.140400988513022)</f>
        <v>-14.14040099</v>
      </c>
      <c r="E822" s="66">
        <f>IFERROR(__xludf.DUMMYFUNCTION("""COMPUTED_VALUE"""),7.0)</f>
        <v>7</v>
      </c>
    </row>
    <row r="823">
      <c r="A823" s="55" t="str">
        <f>IFERROR(__xludf.DUMMYFUNCTION("""COMPUTED_VALUE"""),"RSC006187")</f>
        <v>RSC006187</v>
      </c>
      <c r="B823" s="60" t="str">
        <f>IFERROR(__xludf.DUMMYFUNCTION("""COMPUTED_VALUE"""),"1999 Toyota Camry")</f>
        <v>1999 Toyota Camry</v>
      </c>
      <c r="C823" s="55" t="str">
        <f>IFERROR(__xludf.DUMMYFUNCTION("""COMPUTED_VALUE"""),"Veteran")</f>
        <v>Veteran</v>
      </c>
      <c r="D823" s="65">
        <f>IFERROR(__xludf.DUMMYFUNCTION("""COMPUTED_VALUE"""),-22.789495571118863)</f>
        <v>-22.78949557</v>
      </c>
      <c r="E823" s="66">
        <f>IFERROR(__xludf.DUMMYFUNCTION("""COMPUTED_VALUE"""),4.0)</f>
        <v>4</v>
      </c>
    </row>
    <row r="824">
      <c r="A824" s="55" t="str">
        <f>IFERROR(__xludf.DUMMYFUNCTION("""COMPUTED_VALUE"""),"RSC003456")</f>
        <v>RSC003456</v>
      </c>
      <c r="B824" s="60" t="str">
        <f>IFERROR(__xludf.DUMMYFUNCTION("""COMPUTED_VALUE"""),"Brainman_18")</f>
        <v>Brainman_18</v>
      </c>
      <c r="C824" s="55" t="str">
        <f>IFERROR(__xludf.DUMMYFUNCTION("""COMPUTED_VALUE"""),"Veteran")</f>
        <v>Veteran</v>
      </c>
      <c r="D824" s="65">
        <f>IFERROR(__xludf.DUMMYFUNCTION("""COMPUTED_VALUE"""),-32.893030532092354)</f>
        <v>-32.89303053</v>
      </c>
      <c r="E824" s="66">
        <f>IFERROR(__xludf.DUMMYFUNCTION("""COMPUTED_VALUE"""),2.0)</f>
        <v>2</v>
      </c>
    </row>
    <row r="825">
      <c r="A825" s="55"/>
      <c r="B825" s="60"/>
      <c r="C825" s="55"/>
      <c r="D825" s="65"/>
      <c r="E825" s="66"/>
    </row>
    <row r="826">
      <c r="A826" s="55"/>
      <c r="B826" s="60"/>
      <c r="C826" s="55"/>
      <c r="D826" s="65"/>
      <c r="E826" s="66"/>
    </row>
    <row r="827">
      <c r="A827" s="55"/>
      <c r="B827" s="60"/>
      <c r="C827" s="55"/>
      <c r="D827" s="65"/>
      <c r="E827" s="66"/>
    </row>
    <row r="828">
      <c r="A828" s="55"/>
      <c r="B828" s="60"/>
      <c r="C828" s="55"/>
      <c r="D828" s="65"/>
      <c r="E828" s="66"/>
    </row>
    <row r="829">
      <c r="A829" s="55"/>
      <c r="B829" s="60"/>
      <c r="C829" s="55"/>
      <c r="D829" s="65"/>
      <c r="E829" s="66"/>
    </row>
    <row r="830">
      <c r="A830" s="55"/>
      <c r="B830" s="60"/>
      <c r="C830" s="55"/>
      <c r="D830" s="65"/>
      <c r="E830" s="66"/>
    </row>
    <row r="831">
      <c r="A831" s="55"/>
      <c r="B831" s="60"/>
      <c r="C831" s="55"/>
      <c r="D831" s="65"/>
      <c r="E831" s="66"/>
    </row>
    <row r="832">
      <c r="A832" s="55"/>
      <c r="B832" s="60"/>
      <c r="C832" s="55"/>
      <c r="D832" s="65"/>
      <c r="E832" s="66"/>
    </row>
    <row r="833">
      <c r="A833" s="55"/>
      <c r="B833" s="60"/>
      <c r="C833" s="55"/>
      <c r="D833" s="65"/>
      <c r="E833" s="66"/>
    </row>
    <row r="834">
      <c r="A834" s="55"/>
      <c r="B834" s="60"/>
      <c r="C834" s="55"/>
      <c r="D834" s="65"/>
      <c r="E834" s="66"/>
    </row>
    <row r="835">
      <c r="A835" s="55"/>
      <c r="B835" s="60"/>
      <c r="C835" s="55"/>
      <c r="D835" s="65"/>
      <c r="E835" s="66"/>
    </row>
    <row r="836">
      <c r="A836" s="55"/>
      <c r="B836" s="60"/>
      <c r="C836" s="55"/>
      <c r="D836" s="65"/>
      <c r="E836" s="66"/>
    </row>
    <row r="837">
      <c r="A837" s="55"/>
      <c r="B837" s="60"/>
      <c r="C837" s="55"/>
      <c r="D837" s="65"/>
      <c r="E837" s="66"/>
    </row>
    <row r="838">
      <c r="A838" s="55"/>
      <c r="B838" s="60"/>
      <c r="C838" s="55"/>
      <c r="D838" s="65"/>
      <c r="E838" s="66"/>
    </row>
    <row r="839">
      <c r="A839" s="55"/>
      <c r="B839" s="60"/>
      <c r="C839" s="55"/>
      <c r="D839" s="65"/>
      <c r="E839" s="66"/>
    </row>
    <row r="840">
      <c r="A840" s="55"/>
      <c r="B840" s="60"/>
      <c r="C840" s="55"/>
      <c r="D840" s="65"/>
      <c r="E840" s="66"/>
    </row>
    <row r="841">
      <c r="A841" s="55"/>
      <c r="B841" s="60"/>
      <c r="C841" s="55"/>
      <c r="D841" s="65"/>
      <c r="E841" s="66"/>
    </row>
    <row r="842">
      <c r="A842" s="55"/>
      <c r="B842" s="60"/>
      <c r="C842" s="55"/>
      <c r="D842" s="65"/>
      <c r="E842" s="66"/>
    </row>
    <row r="843">
      <c r="A843" s="55"/>
      <c r="B843" s="60"/>
      <c r="C843" s="55"/>
      <c r="D843" s="65"/>
      <c r="E843" s="66"/>
    </row>
    <row r="844">
      <c r="A844" s="55"/>
      <c r="B844" s="60"/>
      <c r="C844" s="55"/>
      <c r="D844" s="65"/>
      <c r="E844" s="66"/>
    </row>
    <row r="845">
      <c r="A845" s="55"/>
      <c r="B845" s="60"/>
      <c r="C845" s="55"/>
      <c r="D845" s="65"/>
      <c r="E845" s="66"/>
    </row>
    <row r="846">
      <c r="A846" s="55"/>
      <c r="B846" s="60"/>
      <c r="C846" s="55"/>
      <c r="D846" s="65"/>
      <c r="E846" s="66"/>
    </row>
    <row r="847">
      <c r="A847" s="55"/>
      <c r="B847" s="60"/>
      <c r="C847" s="55"/>
      <c r="D847" s="65"/>
      <c r="E847" s="66"/>
    </row>
    <row r="848">
      <c r="A848" s="55"/>
      <c r="B848" s="60"/>
      <c r="C848" s="55"/>
      <c r="D848" s="65"/>
      <c r="E848" s="66"/>
    </row>
    <row r="849">
      <c r="A849" s="55"/>
      <c r="B849" s="60"/>
      <c r="C849" s="55"/>
      <c r="D849" s="65"/>
      <c r="E849" s="66"/>
    </row>
    <row r="850">
      <c r="A850" s="55"/>
      <c r="B850" s="60"/>
      <c r="C850" s="55"/>
      <c r="D850" s="65"/>
      <c r="E850" s="66"/>
    </row>
    <row r="851">
      <c r="A851" s="55"/>
      <c r="B851" s="60"/>
      <c r="C851" s="55"/>
      <c r="D851" s="65"/>
      <c r="E851" s="66"/>
    </row>
    <row r="852">
      <c r="A852" s="55"/>
      <c r="B852" s="60"/>
      <c r="C852" s="55"/>
      <c r="D852" s="65"/>
      <c r="E852" s="66"/>
    </row>
    <row r="853">
      <c r="A853" s="55"/>
      <c r="B853" s="60"/>
      <c r="C853" s="55"/>
      <c r="D853" s="65"/>
      <c r="E853" s="66"/>
    </row>
    <row r="854">
      <c r="A854" s="55"/>
      <c r="B854" s="60"/>
      <c r="C854" s="55"/>
      <c r="D854" s="65"/>
      <c r="E854" s="66"/>
    </row>
    <row r="855">
      <c r="A855" s="55"/>
      <c r="B855" s="60"/>
      <c r="C855" s="55"/>
      <c r="D855" s="65"/>
      <c r="E855" s="66"/>
    </row>
    <row r="856">
      <c r="A856" s="55"/>
      <c r="B856" s="60"/>
      <c r="C856" s="55"/>
      <c r="D856" s="65"/>
      <c r="E856" s="66"/>
    </row>
    <row r="857">
      <c r="A857" s="55"/>
      <c r="B857" s="60"/>
      <c r="C857" s="55"/>
      <c r="D857" s="65"/>
      <c r="E857" s="66"/>
    </row>
    <row r="858">
      <c r="A858" s="55"/>
      <c r="B858" s="60"/>
      <c r="C858" s="55"/>
      <c r="D858" s="65"/>
      <c r="E858" s="66"/>
    </row>
    <row r="859">
      <c r="A859" s="55"/>
      <c r="B859" s="60"/>
      <c r="C859" s="55"/>
      <c r="D859" s="65"/>
      <c r="E859" s="66"/>
    </row>
    <row r="860">
      <c r="A860" s="55"/>
      <c r="B860" s="60"/>
      <c r="C860" s="55"/>
      <c r="D860" s="65"/>
      <c r="E860" s="66"/>
    </row>
    <row r="861">
      <c r="A861" s="55"/>
      <c r="B861" s="60"/>
      <c r="C861" s="55"/>
      <c r="D861" s="65"/>
      <c r="E861" s="66"/>
    </row>
    <row r="862">
      <c r="A862" s="55"/>
      <c r="B862" s="60"/>
      <c r="C862" s="55"/>
      <c r="D862" s="65"/>
      <c r="E862" s="66"/>
    </row>
    <row r="863">
      <c r="A863" s="55"/>
      <c r="B863" s="60"/>
      <c r="C863" s="55"/>
      <c r="D863" s="65"/>
      <c r="E863" s="66"/>
    </row>
    <row r="864">
      <c r="A864" s="55"/>
      <c r="B864" s="60"/>
      <c r="C864" s="55"/>
      <c r="D864" s="65"/>
      <c r="E864" s="66"/>
    </row>
    <row r="865">
      <c r="A865" s="55"/>
      <c r="B865" s="60"/>
      <c r="C865" s="55"/>
      <c r="D865" s="65"/>
      <c r="E865" s="66"/>
    </row>
    <row r="866">
      <c r="A866" s="55"/>
      <c r="B866" s="60"/>
      <c r="C866" s="55"/>
      <c r="D866" s="65"/>
      <c r="E866" s="66"/>
    </row>
    <row r="867">
      <c r="A867" s="55"/>
      <c r="B867" s="60"/>
      <c r="C867" s="55"/>
      <c r="D867" s="65"/>
      <c r="E867" s="66"/>
    </row>
    <row r="868">
      <c r="A868" s="55"/>
      <c r="B868" s="60"/>
      <c r="C868" s="55"/>
      <c r="D868" s="65"/>
      <c r="E868" s="66"/>
    </row>
    <row r="869">
      <c r="A869" s="55"/>
      <c r="B869" s="60"/>
      <c r="C869" s="55"/>
      <c r="D869" s="65"/>
      <c r="E869" s="66"/>
    </row>
    <row r="870">
      <c r="A870" s="55"/>
      <c r="B870" s="60"/>
      <c r="C870" s="55"/>
      <c r="D870" s="65"/>
      <c r="E870" s="66"/>
    </row>
    <row r="871">
      <c r="A871" s="55"/>
      <c r="B871" s="60"/>
      <c r="C871" s="55"/>
      <c r="D871" s="65"/>
      <c r="E871" s="66"/>
    </row>
    <row r="872">
      <c r="A872" s="55"/>
      <c r="B872" s="60"/>
      <c r="C872" s="55"/>
      <c r="D872" s="65"/>
      <c r="E872" s="66"/>
    </row>
    <row r="873">
      <c r="A873" s="55"/>
      <c r="B873" s="60"/>
      <c r="C873" s="55"/>
      <c r="D873" s="65"/>
      <c r="E873" s="66"/>
    </row>
    <row r="874">
      <c r="A874" s="55"/>
      <c r="B874" s="60"/>
      <c r="C874" s="55"/>
      <c r="D874" s="65"/>
      <c r="E874" s="66"/>
    </row>
    <row r="875">
      <c r="A875" s="55"/>
      <c r="B875" s="60"/>
      <c r="C875" s="55"/>
      <c r="D875" s="65"/>
      <c r="E875" s="66"/>
    </row>
    <row r="876">
      <c r="A876" s="55"/>
      <c r="B876" s="60"/>
      <c r="C876" s="55"/>
      <c r="D876" s="65"/>
      <c r="E876" s="66"/>
    </row>
    <row r="877">
      <c r="A877" s="55"/>
      <c r="B877" s="60"/>
      <c r="C877" s="55"/>
      <c r="D877" s="65"/>
      <c r="E877" s="66"/>
    </row>
    <row r="878">
      <c r="A878" s="55"/>
      <c r="B878" s="60"/>
      <c r="C878" s="55"/>
      <c r="D878" s="65"/>
      <c r="E878" s="66"/>
    </row>
    <row r="879">
      <c r="A879" s="55"/>
      <c r="B879" s="60"/>
      <c r="C879" s="55"/>
      <c r="D879" s="65"/>
      <c r="E879" s="66"/>
    </row>
    <row r="880">
      <c r="A880" s="55"/>
      <c r="B880" s="60"/>
      <c r="C880" s="55"/>
      <c r="D880" s="65"/>
      <c r="E880" s="66"/>
    </row>
    <row r="881">
      <c r="A881" s="55"/>
      <c r="B881" s="60"/>
      <c r="C881" s="55"/>
      <c r="D881" s="65"/>
      <c r="E881" s="66"/>
    </row>
    <row r="882">
      <c r="A882" s="55"/>
      <c r="B882" s="60"/>
      <c r="C882" s="55"/>
      <c r="D882" s="65"/>
      <c r="E882" s="66"/>
    </row>
    <row r="883">
      <c r="A883" s="55"/>
      <c r="B883" s="60"/>
      <c r="C883" s="55"/>
      <c r="D883" s="65"/>
      <c r="E883" s="66"/>
    </row>
    <row r="884">
      <c r="A884" s="55"/>
      <c r="B884" s="60"/>
      <c r="C884" s="55"/>
      <c r="D884" s="65"/>
      <c r="E884" s="66"/>
    </row>
    <row r="885">
      <c r="A885" s="55"/>
      <c r="B885" s="60"/>
      <c r="C885" s="55"/>
      <c r="D885" s="65"/>
      <c r="E885" s="66"/>
    </row>
    <row r="886">
      <c r="A886" s="55"/>
      <c r="B886" s="60"/>
      <c r="C886" s="55"/>
      <c r="D886" s="65"/>
      <c r="E886" s="66"/>
    </row>
    <row r="887">
      <c r="A887" s="55"/>
      <c r="B887" s="60"/>
      <c r="C887" s="55"/>
      <c r="D887" s="65"/>
      <c r="E887" s="66"/>
    </row>
    <row r="888">
      <c r="A888" s="55"/>
      <c r="B888" s="60"/>
      <c r="C888" s="55"/>
      <c r="D888" s="65"/>
      <c r="E888" s="66"/>
    </row>
    <row r="889">
      <c r="A889" s="55"/>
      <c r="B889" s="60"/>
      <c r="C889" s="55"/>
      <c r="D889" s="65"/>
      <c r="E889" s="66"/>
    </row>
    <row r="890">
      <c r="A890" s="55"/>
      <c r="B890" s="60"/>
      <c r="C890" s="55"/>
      <c r="D890" s="65"/>
      <c r="E890" s="66"/>
    </row>
    <row r="891">
      <c r="A891" s="55"/>
      <c r="B891" s="60"/>
      <c r="C891" s="55"/>
      <c r="D891" s="65"/>
      <c r="E891" s="66"/>
    </row>
    <row r="892">
      <c r="A892" s="55"/>
      <c r="B892" s="60"/>
      <c r="C892" s="55"/>
      <c r="D892" s="65"/>
      <c r="E892" s="66"/>
    </row>
    <row r="893">
      <c r="A893" s="55"/>
      <c r="B893" s="60"/>
      <c r="C893" s="55"/>
      <c r="D893" s="65"/>
      <c r="E893" s="66"/>
    </row>
    <row r="894">
      <c r="A894" s="55"/>
      <c r="B894" s="60"/>
      <c r="C894" s="55"/>
      <c r="D894" s="65"/>
      <c r="E894" s="66"/>
    </row>
    <row r="895">
      <c r="A895" s="55"/>
      <c r="B895" s="60"/>
      <c r="C895" s="55"/>
      <c r="D895" s="65"/>
      <c r="E895" s="66"/>
    </row>
    <row r="896">
      <c r="A896" s="55"/>
      <c r="B896" s="60"/>
      <c r="C896" s="55"/>
      <c r="D896" s="65"/>
      <c r="E896" s="66"/>
    </row>
    <row r="897">
      <c r="A897" s="55"/>
      <c r="B897" s="60"/>
      <c r="C897" s="55"/>
      <c r="D897" s="65"/>
      <c r="E897" s="66"/>
    </row>
    <row r="898">
      <c r="A898" s="55"/>
      <c r="B898" s="60"/>
      <c r="C898" s="55"/>
      <c r="D898" s="65"/>
      <c r="E898" s="66"/>
    </row>
    <row r="899">
      <c r="A899" s="55"/>
      <c r="B899" s="60"/>
      <c r="C899" s="55"/>
      <c r="D899" s="65"/>
      <c r="E899" s="66"/>
    </row>
    <row r="900">
      <c r="A900" s="55"/>
      <c r="B900" s="60"/>
      <c r="C900" s="55"/>
      <c r="D900" s="65"/>
      <c r="E900" s="66"/>
    </row>
    <row r="901">
      <c r="A901" s="55"/>
      <c r="B901" s="60"/>
      <c r="C901" s="55"/>
      <c r="D901" s="65"/>
      <c r="E901" s="66"/>
    </row>
    <row r="902">
      <c r="A902" s="55"/>
      <c r="B902" s="60"/>
      <c r="C902" s="55"/>
      <c r="D902" s="65"/>
      <c r="E902" s="66"/>
    </row>
    <row r="903">
      <c r="A903" s="55"/>
      <c r="B903" s="60"/>
      <c r="C903" s="55"/>
      <c r="D903" s="65"/>
      <c r="E903" s="66"/>
    </row>
    <row r="904">
      <c r="A904" s="55"/>
      <c r="B904" s="60"/>
      <c r="C904" s="55"/>
      <c r="D904" s="65"/>
      <c r="E904" s="66"/>
    </row>
    <row r="905">
      <c r="A905" s="55"/>
      <c r="B905" s="60"/>
      <c r="C905" s="55"/>
      <c r="D905" s="65"/>
      <c r="E905" s="66"/>
    </row>
    <row r="906">
      <c r="A906" s="55"/>
      <c r="B906" s="60"/>
      <c r="C906" s="55"/>
      <c r="D906" s="65"/>
      <c r="E906" s="66"/>
    </row>
    <row r="907">
      <c r="A907" s="55"/>
      <c r="B907" s="60"/>
      <c r="C907" s="55"/>
      <c r="D907" s="65"/>
      <c r="E907" s="66"/>
    </row>
    <row r="908">
      <c r="A908" s="55"/>
      <c r="B908" s="60"/>
      <c r="C908" s="55"/>
      <c r="D908" s="65"/>
      <c r="E908" s="66"/>
    </row>
    <row r="909">
      <c r="A909" s="55"/>
      <c r="B909" s="60"/>
      <c r="C909" s="55"/>
      <c r="D909" s="65"/>
      <c r="E909" s="66"/>
    </row>
    <row r="910">
      <c r="A910" s="55"/>
      <c r="B910" s="60"/>
      <c r="C910" s="55"/>
      <c r="D910" s="65"/>
      <c r="E910" s="66"/>
    </row>
    <row r="911">
      <c r="A911" s="55"/>
      <c r="B911" s="60"/>
      <c r="C911" s="55"/>
      <c r="D911" s="65"/>
      <c r="E911" s="66"/>
    </row>
    <row r="912">
      <c r="A912" s="55"/>
      <c r="B912" s="60"/>
      <c r="C912" s="55"/>
      <c r="D912" s="65"/>
      <c r="E912" s="66"/>
    </row>
    <row r="913">
      <c r="A913" s="55"/>
      <c r="B913" s="60"/>
      <c r="C913" s="55"/>
      <c r="D913" s="65"/>
      <c r="E913" s="66"/>
    </row>
    <row r="914">
      <c r="A914" s="55"/>
      <c r="B914" s="60"/>
      <c r="C914" s="55"/>
      <c r="D914" s="65"/>
      <c r="E914" s="66"/>
    </row>
    <row r="915">
      <c r="A915" s="55"/>
      <c r="B915" s="60"/>
      <c r="C915" s="55"/>
      <c r="D915" s="65"/>
      <c r="E915" s="66"/>
    </row>
    <row r="916">
      <c r="A916" s="55"/>
      <c r="B916" s="60"/>
      <c r="C916" s="55"/>
      <c r="D916" s="65"/>
      <c r="E916" s="66"/>
    </row>
    <row r="917">
      <c r="A917" s="55"/>
      <c r="B917" s="60"/>
      <c r="C917" s="55"/>
      <c r="D917" s="65"/>
      <c r="E917" s="66"/>
    </row>
    <row r="918">
      <c r="A918" s="55"/>
      <c r="B918" s="60"/>
      <c r="C918" s="55"/>
      <c r="D918" s="65"/>
      <c r="E918" s="66"/>
    </row>
    <row r="919">
      <c r="A919" s="55"/>
      <c r="B919" s="60"/>
      <c r="C919" s="55"/>
      <c r="D919" s="65"/>
      <c r="E919" s="66"/>
    </row>
    <row r="920">
      <c r="A920" s="55"/>
      <c r="B920" s="60"/>
      <c r="C920" s="55"/>
      <c r="D920" s="65"/>
      <c r="E920" s="66"/>
    </row>
    <row r="921">
      <c r="A921" s="55"/>
      <c r="B921" s="60"/>
      <c r="C921" s="55"/>
      <c r="D921" s="65"/>
      <c r="E921" s="66"/>
    </row>
    <row r="922">
      <c r="A922" s="55"/>
      <c r="B922" s="60"/>
      <c r="C922" s="55"/>
      <c r="D922" s="65"/>
      <c r="E922" s="66"/>
    </row>
    <row r="923">
      <c r="A923" s="55"/>
      <c r="B923" s="60"/>
      <c r="C923" s="55"/>
      <c r="D923" s="65"/>
      <c r="E923" s="66"/>
    </row>
    <row r="924">
      <c r="A924" s="55"/>
      <c r="B924" s="60"/>
      <c r="C924" s="55"/>
      <c r="D924" s="65"/>
      <c r="E924" s="66"/>
    </row>
    <row r="925">
      <c r="A925" s="55"/>
      <c r="B925" s="60"/>
      <c r="C925" s="55"/>
      <c r="D925" s="65"/>
      <c r="E925" s="66"/>
    </row>
    <row r="926">
      <c r="A926" s="55"/>
      <c r="B926" s="60"/>
      <c r="C926" s="55"/>
      <c r="D926" s="65"/>
      <c r="E926" s="66"/>
    </row>
    <row r="927">
      <c r="A927" s="55"/>
      <c r="B927" s="60"/>
      <c r="C927" s="55"/>
      <c r="D927" s="65"/>
      <c r="E927" s="66"/>
    </row>
    <row r="928">
      <c r="A928" s="55"/>
      <c r="B928" s="60"/>
      <c r="C928" s="55"/>
      <c r="D928" s="65"/>
      <c r="E928" s="66"/>
    </row>
    <row r="929">
      <c r="A929" s="55"/>
      <c r="B929" s="60"/>
      <c r="C929" s="55"/>
      <c r="D929" s="65"/>
      <c r="E929" s="66"/>
    </row>
    <row r="930">
      <c r="A930" s="55"/>
      <c r="B930" s="60"/>
      <c r="C930" s="55"/>
      <c r="D930" s="65"/>
      <c r="E930" s="66"/>
    </row>
    <row r="931">
      <c r="A931" s="55"/>
      <c r="B931" s="60"/>
      <c r="C931" s="55"/>
      <c r="D931" s="65"/>
      <c r="E931" s="66"/>
    </row>
    <row r="932">
      <c r="A932" s="55"/>
      <c r="B932" s="60"/>
      <c r="C932" s="55"/>
      <c r="D932" s="65"/>
      <c r="E932" s="66"/>
    </row>
    <row r="933">
      <c r="A933" s="55"/>
      <c r="B933" s="60"/>
      <c r="C933" s="55"/>
      <c r="D933" s="65"/>
      <c r="E933" s="66"/>
    </row>
    <row r="934">
      <c r="A934" s="55"/>
      <c r="B934" s="60"/>
      <c r="C934" s="55"/>
      <c r="D934" s="65"/>
      <c r="E934" s="66"/>
    </row>
    <row r="935">
      <c r="A935" s="55"/>
      <c r="B935" s="60"/>
      <c r="C935" s="55"/>
      <c r="D935" s="65"/>
      <c r="E935" s="66"/>
    </row>
    <row r="936">
      <c r="A936" s="55"/>
      <c r="B936" s="60"/>
      <c r="C936" s="55"/>
      <c r="D936" s="65"/>
      <c r="E936" s="66"/>
    </row>
    <row r="937">
      <c r="A937" s="55"/>
      <c r="B937" s="60"/>
      <c r="C937" s="55"/>
      <c r="D937" s="65"/>
      <c r="E937" s="66"/>
    </row>
    <row r="938">
      <c r="A938" s="55"/>
      <c r="B938" s="60"/>
      <c r="C938" s="55"/>
      <c r="D938" s="65"/>
      <c r="E938" s="66"/>
    </row>
    <row r="939">
      <c r="A939" s="55"/>
      <c r="B939" s="60"/>
      <c r="C939" s="55"/>
      <c r="D939" s="65"/>
      <c r="E939" s="66"/>
    </row>
    <row r="940">
      <c r="A940" s="55"/>
      <c r="B940" s="60"/>
      <c r="C940" s="55"/>
      <c r="D940" s="65"/>
      <c r="E940" s="66"/>
    </row>
    <row r="941">
      <c r="A941" s="55"/>
      <c r="B941" s="60"/>
      <c r="C941" s="55"/>
      <c r="D941" s="65"/>
      <c r="E941" s="66"/>
    </row>
    <row r="942">
      <c r="A942" s="55"/>
      <c r="B942" s="60"/>
      <c r="C942" s="55"/>
      <c r="D942" s="65"/>
      <c r="E942" s="66"/>
    </row>
    <row r="943">
      <c r="A943" s="55"/>
      <c r="B943" s="60"/>
      <c r="C943" s="55"/>
      <c r="D943" s="65"/>
      <c r="E943" s="66"/>
    </row>
    <row r="944">
      <c r="A944" s="55"/>
      <c r="B944" s="60"/>
      <c r="C944" s="61"/>
      <c r="D944" s="65"/>
      <c r="E944" s="66"/>
    </row>
    <row r="945">
      <c r="A945" s="55"/>
      <c r="B945" s="60"/>
      <c r="C945" s="55"/>
      <c r="D945" s="65"/>
      <c r="E945" s="66"/>
    </row>
    <row r="946">
      <c r="A946" s="55"/>
      <c r="B946" s="60"/>
      <c r="C946" s="55"/>
      <c r="D946" s="65"/>
      <c r="E946" s="66"/>
    </row>
    <row r="947">
      <c r="A947" s="55"/>
      <c r="B947" s="60"/>
      <c r="C947" s="55"/>
      <c r="D947" s="65"/>
      <c r="E947" s="66"/>
    </row>
    <row r="948">
      <c r="A948" s="55"/>
      <c r="B948" s="60"/>
      <c r="C948" s="55"/>
      <c r="D948" s="65"/>
      <c r="E948" s="66"/>
    </row>
    <row r="949">
      <c r="A949" s="55"/>
      <c r="B949" s="60"/>
      <c r="C949" s="55"/>
      <c r="D949" s="65"/>
      <c r="E949" s="66"/>
    </row>
    <row r="950">
      <c r="A950" s="55"/>
      <c r="B950" s="60"/>
      <c r="C950" s="55"/>
      <c r="D950" s="65"/>
      <c r="E950" s="66"/>
    </row>
    <row r="951">
      <c r="A951" s="55"/>
      <c r="B951" s="60"/>
      <c r="C951" s="55"/>
      <c r="D951" s="65"/>
      <c r="E951" s="66"/>
    </row>
    <row r="952">
      <c r="A952" s="55"/>
      <c r="B952" s="60"/>
      <c r="C952" s="55"/>
      <c r="D952" s="65"/>
      <c r="E952" s="66"/>
    </row>
    <row r="953">
      <c r="A953" s="55"/>
      <c r="B953" s="60"/>
      <c r="C953" s="55"/>
      <c r="D953" s="65"/>
      <c r="E953" s="66"/>
    </row>
    <row r="954">
      <c r="A954" s="55"/>
      <c r="B954" s="60"/>
      <c r="C954" s="55"/>
      <c r="D954" s="65"/>
      <c r="E954" s="66"/>
    </row>
    <row r="955">
      <c r="A955" s="55"/>
      <c r="B955" s="60"/>
      <c r="C955" s="55"/>
      <c r="D955" s="65"/>
      <c r="E955" s="66"/>
    </row>
    <row r="956">
      <c r="A956" s="55"/>
      <c r="B956" s="60"/>
      <c r="C956" s="55"/>
      <c r="D956" s="65"/>
      <c r="E956" s="66"/>
    </row>
    <row r="957">
      <c r="A957" s="55"/>
      <c r="B957" s="60"/>
      <c r="C957" s="55"/>
      <c r="D957" s="65"/>
      <c r="E957" s="66"/>
    </row>
    <row r="958">
      <c r="A958" s="55"/>
      <c r="B958" s="60"/>
      <c r="C958" s="55"/>
      <c r="D958" s="65"/>
      <c r="E958" s="66"/>
    </row>
    <row r="959">
      <c r="A959" s="55"/>
      <c r="B959" s="60"/>
      <c r="C959" s="55"/>
      <c r="D959" s="65"/>
      <c r="E959" s="66"/>
    </row>
    <row r="960">
      <c r="A960" s="55"/>
      <c r="B960" s="60"/>
      <c r="C960" s="55"/>
      <c r="D960" s="65"/>
      <c r="E960" s="66"/>
    </row>
    <row r="961">
      <c r="A961" s="55"/>
      <c r="B961" s="60"/>
      <c r="C961" s="55"/>
      <c r="D961" s="65"/>
      <c r="E961" s="66"/>
    </row>
    <row r="962">
      <c r="A962" s="55"/>
      <c r="B962" s="60"/>
      <c r="C962" s="55"/>
      <c r="D962" s="65"/>
      <c r="E962" s="66"/>
    </row>
    <row r="963">
      <c r="A963" s="55"/>
      <c r="B963" s="60"/>
      <c r="C963" s="55"/>
      <c r="D963" s="65"/>
      <c r="E963" s="66"/>
    </row>
    <row r="964">
      <c r="A964" s="55"/>
      <c r="B964" s="60"/>
      <c r="C964" s="55"/>
      <c r="D964" s="65"/>
      <c r="E964" s="66"/>
    </row>
    <row r="965">
      <c r="A965" s="55"/>
      <c r="B965" s="60"/>
      <c r="C965" s="55"/>
      <c r="D965" s="65"/>
      <c r="E965" s="66"/>
    </row>
    <row r="966">
      <c r="A966" s="55"/>
      <c r="B966" s="60"/>
      <c r="C966" s="55"/>
      <c r="D966" s="65"/>
      <c r="E966" s="66"/>
    </row>
    <row r="967">
      <c r="A967" s="55"/>
      <c r="B967" s="60"/>
      <c r="C967" s="55"/>
      <c r="D967" s="65"/>
      <c r="E967" s="66"/>
    </row>
    <row r="968">
      <c r="A968" s="55"/>
      <c r="B968" s="60"/>
      <c r="C968" s="55"/>
      <c r="D968" s="65"/>
      <c r="E968" s="66"/>
    </row>
    <row r="969">
      <c r="A969" s="55"/>
      <c r="B969" s="60"/>
      <c r="C969" s="55"/>
      <c r="D969" s="65"/>
      <c r="E969" s="66"/>
    </row>
    <row r="970">
      <c r="A970" s="55"/>
      <c r="B970" s="60"/>
      <c r="C970" s="55"/>
      <c r="D970" s="65"/>
      <c r="E970" s="66"/>
    </row>
    <row r="971">
      <c r="A971" s="55"/>
      <c r="B971" s="60"/>
      <c r="C971" s="55"/>
      <c r="D971" s="65"/>
      <c r="E971" s="66"/>
    </row>
    <row r="972">
      <c r="A972" s="55"/>
      <c r="B972" s="60"/>
      <c r="C972" s="55"/>
      <c r="D972" s="65"/>
      <c r="E972" s="66"/>
    </row>
    <row r="973">
      <c r="A973" s="55"/>
      <c r="B973" s="60"/>
      <c r="C973" s="55"/>
      <c r="D973" s="65"/>
      <c r="E973" s="66"/>
    </row>
    <row r="974">
      <c r="A974" s="55"/>
      <c r="B974" s="60"/>
      <c r="C974" s="55"/>
      <c r="D974" s="65"/>
      <c r="E974" s="66"/>
    </row>
    <row r="975">
      <c r="A975" s="55"/>
      <c r="B975" s="60"/>
      <c r="C975" s="55"/>
      <c r="D975" s="65"/>
      <c r="E975" s="66"/>
    </row>
    <row r="976">
      <c r="A976" s="55"/>
      <c r="B976" s="60"/>
      <c r="C976" s="55"/>
      <c r="D976" s="65"/>
      <c r="E976" s="66"/>
    </row>
    <row r="977">
      <c r="A977" s="55"/>
      <c r="B977" s="60"/>
      <c r="C977" s="55"/>
      <c r="D977" s="65"/>
      <c r="E977" s="66"/>
    </row>
    <row r="978">
      <c r="A978" s="55"/>
      <c r="B978" s="60"/>
      <c r="C978" s="55"/>
      <c r="D978" s="65"/>
      <c r="E978" s="66"/>
    </row>
    <row r="979">
      <c r="A979" s="55"/>
      <c r="B979" s="60"/>
      <c r="C979" s="55"/>
      <c r="D979" s="65"/>
      <c r="E979" s="66"/>
    </row>
    <row r="980">
      <c r="A980" s="55"/>
      <c r="B980" s="60"/>
      <c r="C980" s="55"/>
      <c r="D980" s="65"/>
      <c r="E980" s="66"/>
    </row>
    <row r="981">
      <c r="A981" s="55"/>
      <c r="B981" s="60"/>
      <c r="C981" s="55"/>
      <c r="D981" s="65"/>
      <c r="E981" s="66"/>
    </row>
    <row r="982">
      <c r="A982" s="55"/>
      <c r="B982" s="60"/>
      <c r="C982" s="55"/>
      <c r="D982" s="65"/>
      <c r="E982" s="66"/>
    </row>
    <row r="983">
      <c r="A983" s="55"/>
      <c r="B983" s="60"/>
      <c r="C983" s="55"/>
      <c r="D983" s="65"/>
      <c r="E983" s="66"/>
    </row>
    <row r="984">
      <c r="A984" s="55"/>
      <c r="B984" s="60"/>
      <c r="C984" s="55"/>
      <c r="D984" s="65"/>
      <c r="E984" s="66"/>
    </row>
    <row r="985">
      <c r="A985" s="55"/>
      <c r="B985" s="60"/>
      <c r="C985" s="55"/>
      <c r="D985" s="65"/>
      <c r="E985" s="66"/>
    </row>
    <row r="986">
      <c r="A986" s="55"/>
      <c r="B986" s="60"/>
      <c r="C986" s="55"/>
      <c r="D986" s="65"/>
      <c r="E986" s="66"/>
    </row>
    <row r="987">
      <c r="A987" s="55"/>
      <c r="B987" s="60"/>
      <c r="C987" s="55"/>
      <c r="D987" s="65"/>
      <c r="E987" s="66"/>
    </row>
    <row r="988">
      <c r="A988" s="55"/>
      <c r="B988" s="60"/>
      <c r="C988" s="55"/>
      <c r="D988" s="65"/>
      <c r="E988" s="66"/>
    </row>
    <row r="989">
      <c r="A989" s="55"/>
      <c r="B989" s="60"/>
      <c r="C989" s="55"/>
      <c r="D989" s="65"/>
      <c r="E989" s="66"/>
    </row>
    <row r="990">
      <c r="A990" s="55"/>
      <c r="B990" s="60"/>
      <c r="C990" s="55"/>
      <c r="D990" s="65"/>
      <c r="E990" s="66"/>
    </row>
    <row r="991">
      <c r="A991" s="55"/>
      <c r="B991" s="60"/>
      <c r="C991" s="55"/>
      <c r="D991" s="65"/>
      <c r="E991" s="66"/>
    </row>
    <row r="992">
      <c r="A992" s="55"/>
      <c r="B992" s="60"/>
      <c r="C992" s="55"/>
      <c r="D992" s="65"/>
      <c r="E992" s="66"/>
    </row>
    <row r="993">
      <c r="A993" s="55"/>
      <c r="B993" s="60"/>
      <c r="C993" s="55"/>
      <c r="D993" s="65"/>
      <c r="E993" s="66"/>
    </row>
    <row r="994">
      <c r="A994" s="55"/>
      <c r="B994" s="60"/>
      <c r="C994" s="55"/>
      <c r="D994" s="65"/>
      <c r="E994" s="66"/>
    </row>
    <row r="995">
      <c r="A995" s="55"/>
      <c r="B995" s="60"/>
      <c r="C995" s="55"/>
      <c r="D995" s="65"/>
      <c r="E995" s="66"/>
    </row>
    <row r="996">
      <c r="A996" s="55"/>
      <c r="B996" s="60"/>
      <c r="C996" s="55"/>
      <c r="D996" s="65"/>
      <c r="E996" s="66"/>
    </row>
    <row r="997">
      <c r="A997" s="55"/>
      <c r="B997" s="60"/>
      <c r="C997" s="55"/>
      <c r="D997" s="65"/>
      <c r="E997" s="66"/>
    </row>
    <row r="998">
      <c r="A998" s="55"/>
      <c r="B998" s="60"/>
      <c r="C998" s="55"/>
      <c r="D998" s="65"/>
      <c r="E998" s="66"/>
    </row>
    <row r="999">
      <c r="A999" s="55"/>
      <c r="B999" s="60"/>
      <c r="C999" s="55"/>
      <c r="D999" s="65"/>
      <c r="E999" s="66"/>
    </row>
    <row r="1000">
      <c r="A1000" s="55"/>
      <c r="B1000" s="60"/>
      <c r="C1000" s="55"/>
      <c r="D1000" s="65"/>
      <c r="E1000" s="66"/>
    </row>
    <row r="1001">
      <c r="A1001" s="55"/>
      <c r="B1001" s="60"/>
      <c r="C1001" s="55"/>
      <c r="D1001" s="65"/>
      <c r="E1001" s="66"/>
    </row>
    <row r="1002">
      <c r="A1002" s="55"/>
      <c r="B1002" s="60"/>
      <c r="C1002" s="55"/>
      <c r="D1002" s="65"/>
      <c r="E1002" s="66"/>
    </row>
    <row r="1003">
      <c r="A1003" s="55"/>
      <c r="B1003" s="60"/>
      <c r="C1003" s="55"/>
      <c r="D1003" s="65"/>
      <c r="E1003" s="66"/>
    </row>
    <row r="1004">
      <c r="A1004" s="55"/>
      <c r="B1004" s="60"/>
      <c r="C1004" s="55"/>
      <c r="D1004" s="65"/>
      <c r="E1004" s="66"/>
    </row>
    <row r="1005">
      <c r="A1005" s="55"/>
      <c r="B1005" s="60"/>
      <c r="C1005" s="55"/>
      <c r="D1005" s="65"/>
      <c r="E1005" s="66"/>
    </row>
    <row r="1006">
      <c r="A1006" s="55"/>
      <c r="B1006" s="60"/>
      <c r="C1006" s="55"/>
      <c r="D1006" s="65"/>
      <c r="E1006" s="66"/>
    </row>
    <row r="1007">
      <c r="A1007" s="55"/>
      <c r="B1007" s="60"/>
      <c r="C1007" s="55"/>
      <c r="D1007" s="65"/>
      <c r="E1007" s="66"/>
    </row>
    <row r="1008">
      <c r="A1008" s="55"/>
      <c r="B1008" s="60"/>
      <c r="C1008" s="55"/>
      <c r="D1008" s="65"/>
      <c r="E1008" s="66"/>
    </row>
    <row r="1009">
      <c r="A1009" s="55"/>
      <c r="B1009" s="60"/>
      <c r="C1009" s="55"/>
      <c r="D1009" s="65"/>
      <c r="E1009" s="66"/>
    </row>
    <row r="1010">
      <c r="A1010" s="55"/>
      <c r="B1010" s="60"/>
      <c r="C1010" s="55"/>
      <c r="D1010" s="65"/>
      <c r="E1010" s="66"/>
    </row>
    <row r="1011">
      <c r="A1011" s="55"/>
      <c r="B1011" s="60"/>
      <c r="C1011" s="55"/>
      <c r="D1011" s="65"/>
      <c r="E1011" s="66"/>
    </row>
    <row r="1012">
      <c r="A1012" s="55"/>
      <c r="B1012" s="60"/>
      <c r="C1012" s="55"/>
      <c r="D1012" s="65"/>
      <c r="E1012" s="66"/>
    </row>
    <row r="1013">
      <c r="A1013" s="55"/>
      <c r="B1013" s="60"/>
      <c r="C1013" s="55"/>
      <c r="D1013" s="65"/>
      <c r="E1013" s="66"/>
    </row>
    <row r="1014">
      <c r="A1014" s="55"/>
      <c r="B1014" s="60"/>
      <c r="C1014" s="55"/>
      <c r="D1014" s="65"/>
      <c r="E1014" s="66"/>
    </row>
    <row r="1015">
      <c r="A1015" s="55"/>
      <c r="B1015" s="60"/>
      <c r="C1015" s="55"/>
      <c r="D1015" s="65"/>
      <c r="E1015" s="66"/>
    </row>
    <row r="1016">
      <c r="A1016" s="55"/>
      <c r="B1016" s="60"/>
      <c r="C1016" s="55"/>
      <c r="D1016" s="65"/>
      <c r="E1016" s="66"/>
    </row>
    <row r="1017">
      <c r="A1017" s="55"/>
      <c r="B1017" s="60"/>
      <c r="C1017" s="55"/>
      <c r="D1017" s="65"/>
      <c r="E1017" s="66"/>
    </row>
    <row r="1018">
      <c r="A1018" s="55"/>
      <c r="B1018" s="60"/>
      <c r="C1018" s="55"/>
      <c r="D1018" s="65"/>
      <c r="E1018" s="66"/>
    </row>
    <row r="1019">
      <c r="A1019" s="55"/>
      <c r="B1019" s="60"/>
      <c r="C1019" s="55"/>
      <c r="D1019" s="65"/>
      <c r="E1019" s="66"/>
    </row>
    <row r="1020">
      <c r="A1020" s="55"/>
      <c r="B1020" s="60"/>
      <c r="C1020" s="55"/>
      <c r="D1020" s="65"/>
      <c r="E1020" s="66"/>
    </row>
    <row r="1021">
      <c r="A1021" s="55"/>
      <c r="B1021" s="60"/>
      <c r="C1021" s="55"/>
      <c r="D1021" s="65"/>
      <c r="E1021" s="66"/>
    </row>
    <row r="1022">
      <c r="A1022" s="55"/>
      <c r="B1022" s="60"/>
      <c r="C1022" s="55"/>
      <c r="D1022" s="65"/>
      <c r="E1022" s="66"/>
    </row>
    <row r="1023">
      <c r="A1023" s="55"/>
      <c r="B1023" s="60"/>
      <c r="C1023" s="55"/>
      <c r="D1023" s="65"/>
      <c r="E1023" s="66"/>
    </row>
    <row r="1024">
      <c r="A1024" s="55"/>
      <c r="B1024" s="60"/>
      <c r="C1024" s="55"/>
      <c r="D1024" s="65"/>
      <c r="E1024" s="66"/>
    </row>
    <row r="1025">
      <c r="A1025" s="55"/>
      <c r="B1025" s="60"/>
      <c r="C1025" s="55"/>
      <c r="D1025" s="65"/>
      <c r="E1025" s="66"/>
    </row>
    <row r="1026">
      <c r="A1026" s="55"/>
      <c r="B1026" s="60"/>
      <c r="C1026" s="55"/>
      <c r="D1026" s="65"/>
      <c r="E1026" s="66"/>
    </row>
    <row r="1027">
      <c r="A1027" s="55"/>
      <c r="B1027" s="60"/>
      <c r="C1027" s="55"/>
      <c r="D1027" s="65"/>
      <c r="E1027" s="66"/>
    </row>
    <row r="1028">
      <c r="A1028" s="55"/>
      <c r="B1028" s="60"/>
      <c r="C1028" s="55"/>
      <c r="D1028" s="65"/>
      <c r="E1028" s="66"/>
    </row>
    <row r="1029">
      <c r="A1029" s="55"/>
      <c r="B1029" s="60"/>
      <c r="C1029" s="55"/>
      <c r="D1029" s="65"/>
      <c r="E1029" s="66"/>
    </row>
    <row r="1030">
      <c r="A1030" s="55"/>
      <c r="B1030" s="60"/>
      <c r="C1030" s="55"/>
      <c r="D1030" s="65"/>
      <c r="E1030" s="66"/>
    </row>
    <row r="1031">
      <c r="A1031" s="55"/>
      <c r="B1031" s="60"/>
      <c r="C1031" s="55"/>
      <c r="D1031" s="65"/>
      <c r="E1031" s="66"/>
    </row>
    <row r="1032">
      <c r="A1032" s="55"/>
      <c r="B1032" s="60"/>
      <c r="C1032" s="55"/>
      <c r="D1032" s="65"/>
      <c r="E1032" s="66"/>
    </row>
    <row r="1033">
      <c r="A1033" s="55"/>
      <c r="B1033" s="60"/>
      <c r="C1033" s="55"/>
      <c r="D1033" s="65"/>
      <c r="E1033" s="66"/>
    </row>
    <row r="1034">
      <c r="A1034" s="55"/>
      <c r="B1034" s="60"/>
      <c r="C1034" s="55"/>
      <c r="D1034" s="65"/>
      <c r="E1034" s="66"/>
    </row>
    <row r="1035">
      <c r="A1035" s="55"/>
      <c r="B1035" s="60"/>
      <c r="C1035" s="55"/>
      <c r="D1035" s="65"/>
      <c r="E1035" s="66"/>
    </row>
    <row r="1036">
      <c r="A1036" s="55"/>
      <c r="B1036" s="60"/>
      <c r="C1036" s="55"/>
      <c r="D1036" s="65"/>
      <c r="E1036" s="66"/>
    </row>
    <row r="1037">
      <c r="A1037" s="55"/>
      <c r="B1037" s="60"/>
      <c r="C1037" s="55"/>
      <c r="D1037" s="65"/>
      <c r="E1037" s="66"/>
    </row>
    <row r="1038">
      <c r="A1038" s="55"/>
      <c r="B1038" s="60"/>
      <c r="C1038" s="55"/>
      <c r="D1038" s="65"/>
      <c r="E1038" s="66"/>
    </row>
    <row r="1039">
      <c r="A1039" s="55"/>
      <c r="B1039" s="60"/>
      <c r="C1039" s="55"/>
      <c r="D1039" s="65"/>
      <c r="E1039" s="66"/>
    </row>
    <row r="1040">
      <c r="A1040" s="55"/>
      <c r="B1040" s="60"/>
      <c r="C1040" s="55"/>
      <c r="D1040" s="65"/>
      <c r="E1040" s="66"/>
    </row>
    <row r="1041">
      <c r="A1041" s="55"/>
      <c r="B1041" s="60"/>
      <c r="C1041" s="55"/>
      <c r="D1041" s="65"/>
      <c r="E1041" s="66"/>
    </row>
    <row r="1042">
      <c r="A1042" s="55"/>
      <c r="B1042" s="60"/>
      <c r="C1042" s="55"/>
      <c r="D1042" s="65"/>
      <c r="E1042" s="66"/>
    </row>
    <row r="1043">
      <c r="A1043" s="55"/>
      <c r="B1043" s="60"/>
      <c r="C1043" s="55"/>
      <c r="D1043" s="65"/>
      <c r="E1043" s="66"/>
    </row>
    <row r="1044">
      <c r="A1044" s="55"/>
      <c r="B1044" s="60"/>
      <c r="C1044" s="55"/>
      <c r="D1044" s="65"/>
      <c r="E1044" s="66"/>
    </row>
    <row r="1045">
      <c r="A1045" s="55"/>
      <c r="B1045" s="60"/>
      <c r="C1045" s="55"/>
      <c r="D1045" s="65"/>
      <c r="E1045" s="66"/>
    </row>
    <row r="1046">
      <c r="A1046" s="55"/>
      <c r="B1046" s="60"/>
      <c r="C1046" s="55"/>
      <c r="D1046" s="65"/>
      <c r="E1046" s="66"/>
    </row>
    <row r="1047">
      <c r="A1047" s="55"/>
      <c r="B1047" s="60"/>
      <c r="C1047" s="55"/>
      <c r="D1047" s="65"/>
      <c r="E1047" s="66"/>
    </row>
    <row r="1048">
      <c r="A1048" s="55"/>
      <c r="B1048" s="60"/>
      <c r="C1048" s="55"/>
      <c r="D1048" s="65"/>
      <c r="E1048" s="66"/>
    </row>
    <row r="1049">
      <c r="A1049" s="55"/>
      <c r="B1049" s="60"/>
      <c r="C1049" s="55"/>
      <c r="D1049" s="65"/>
      <c r="E1049" s="66"/>
    </row>
    <row r="1050">
      <c r="A1050" s="55"/>
      <c r="B1050" s="60"/>
      <c r="C1050" s="55"/>
      <c r="D1050" s="65"/>
      <c r="E1050" s="66"/>
    </row>
    <row r="1051">
      <c r="A1051" s="55"/>
      <c r="B1051" s="60"/>
      <c r="C1051" s="55"/>
      <c r="D1051" s="65"/>
      <c r="E1051" s="66"/>
    </row>
    <row r="1052">
      <c r="A1052" s="55"/>
      <c r="B1052" s="60"/>
      <c r="C1052" s="55"/>
      <c r="D1052" s="65"/>
      <c r="E1052" s="66"/>
    </row>
    <row r="1053">
      <c r="A1053" s="55"/>
      <c r="B1053" s="60"/>
      <c r="C1053" s="55"/>
      <c r="D1053" s="65"/>
      <c r="E1053" s="66"/>
    </row>
    <row r="1054">
      <c r="A1054" s="55"/>
      <c r="B1054" s="60"/>
      <c r="C1054" s="55"/>
      <c r="D1054" s="65"/>
      <c r="E1054" s="66"/>
    </row>
    <row r="1055">
      <c r="A1055" s="55"/>
      <c r="B1055" s="60"/>
      <c r="C1055" s="55"/>
      <c r="D1055" s="65"/>
      <c r="E1055" s="66"/>
    </row>
    <row r="1056">
      <c r="A1056" s="55"/>
      <c r="B1056" s="60"/>
      <c r="C1056" s="55"/>
      <c r="D1056" s="65"/>
      <c r="E1056" s="66"/>
    </row>
    <row r="1057">
      <c r="A1057" s="55"/>
      <c r="B1057" s="60"/>
      <c r="C1057" s="55"/>
      <c r="D1057" s="65"/>
      <c r="E1057" s="66"/>
    </row>
    <row r="1058">
      <c r="A1058" s="55"/>
      <c r="B1058" s="60"/>
      <c r="C1058" s="55"/>
      <c r="D1058" s="65"/>
      <c r="E1058" s="66"/>
    </row>
    <row r="1059">
      <c r="A1059" s="55"/>
      <c r="B1059" s="60"/>
      <c r="C1059" s="55"/>
      <c r="D1059" s="65"/>
      <c r="E1059" s="66"/>
    </row>
    <row r="1060">
      <c r="A1060" s="55"/>
      <c r="B1060" s="60"/>
      <c r="C1060" s="55"/>
      <c r="D1060" s="65"/>
      <c r="E1060" s="66"/>
    </row>
    <row r="1061">
      <c r="A1061" s="55"/>
      <c r="B1061" s="60"/>
      <c r="C1061" s="55"/>
      <c r="D1061" s="65"/>
      <c r="E1061" s="66"/>
    </row>
    <row r="1062">
      <c r="A1062" s="55"/>
      <c r="B1062" s="60"/>
      <c r="C1062" s="55"/>
      <c r="D1062" s="65"/>
      <c r="E1062" s="66"/>
    </row>
    <row r="1063">
      <c r="A1063" s="55"/>
      <c r="B1063" s="60"/>
      <c r="C1063" s="55"/>
      <c r="D1063" s="65"/>
      <c r="E1063" s="66"/>
    </row>
    <row r="1064">
      <c r="A1064" s="55"/>
      <c r="B1064" s="60"/>
      <c r="C1064" s="55"/>
      <c r="D1064" s="65"/>
      <c r="E1064" s="66"/>
    </row>
    <row r="1065">
      <c r="A1065" s="55"/>
      <c r="B1065" s="60"/>
      <c r="C1065" s="55"/>
      <c r="D1065" s="65"/>
      <c r="E1065" s="66"/>
    </row>
    <row r="1066">
      <c r="A1066" s="55"/>
      <c r="B1066" s="60"/>
      <c r="C1066" s="55"/>
      <c r="D1066" s="65"/>
      <c r="E1066" s="66"/>
    </row>
    <row r="1067">
      <c r="A1067" s="55"/>
      <c r="B1067" s="60"/>
      <c r="C1067" s="55"/>
      <c r="D1067" s="65"/>
      <c r="E1067" s="66"/>
    </row>
    <row r="1068">
      <c r="A1068" s="55"/>
      <c r="B1068" s="60"/>
      <c r="C1068" s="55"/>
      <c r="D1068" s="65"/>
      <c r="E1068" s="66"/>
    </row>
    <row r="1069">
      <c r="A1069" s="55"/>
      <c r="B1069" s="60"/>
      <c r="C1069" s="55"/>
      <c r="D1069" s="65"/>
      <c r="E1069" s="66"/>
    </row>
    <row r="1070">
      <c r="A1070" s="55"/>
      <c r="B1070" s="60"/>
      <c r="C1070" s="55"/>
      <c r="D1070" s="65"/>
      <c r="E1070" s="66"/>
    </row>
    <row r="1071">
      <c r="A1071" s="55"/>
      <c r="B1071" s="60"/>
      <c r="C1071" s="55"/>
      <c r="D1071" s="65"/>
      <c r="E1071" s="66"/>
    </row>
    <row r="1072">
      <c r="A1072" s="55"/>
      <c r="B1072" s="60"/>
      <c r="C1072" s="55"/>
      <c r="D1072" s="65"/>
      <c r="E1072" s="66"/>
    </row>
    <row r="1073">
      <c r="A1073" s="55"/>
      <c r="B1073" s="60"/>
      <c r="C1073" s="55"/>
      <c r="D1073" s="65"/>
      <c r="E1073" s="66"/>
    </row>
    <row r="1074">
      <c r="A1074" s="55"/>
      <c r="B1074" s="60"/>
      <c r="C1074" s="55"/>
      <c r="D1074" s="65"/>
      <c r="E1074" s="66"/>
    </row>
    <row r="1075">
      <c r="A1075" s="55"/>
      <c r="B1075" s="60"/>
      <c r="C1075" s="55"/>
      <c r="D1075" s="65"/>
      <c r="E1075" s="66"/>
    </row>
    <row r="1076">
      <c r="A1076" s="55"/>
      <c r="B1076" s="60"/>
      <c r="C1076" s="55"/>
      <c r="D1076" s="65"/>
      <c r="E1076" s="66"/>
    </row>
    <row r="1077">
      <c r="A1077" s="55"/>
      <c r="B1077" s="60"/>
      <c r="C1077" s="55"/>
      <c r="D1077" s="65"/>
      <c r="E1077" s="66"/>
    </row>
    <row r="1078">
      <c r="A1078" s="55"/>
      <c r="B1078" s="60"/>
      <c r="C1078" s="55"/>
      <c r="D1078" s="65"/>
      <c r="E1078" s="66"/>
    </row>
    <row r="1079">
      <c r="A1079" s="55"/>
      <c r="B1079" s="60"/>
      <c r="C1079" s="55"/>
      <c r="D1079" s="65"/>
      <c r="E1079" s="66"/>
    </row>
    <row r="1080">
      <c r="A1080" s="55"/>
      <c r="B1080" s="60"/>
      <c r="C1080" s="55"/>
      <c r="D1080" s="65"/>
      <c r="E1080" s="66"/>
    </row>
    <row r="1081">
      <c r="A1081" s="55"/>
      <c r="B1081" s="60"/>
      <c r="C1081" s="55"/>
      <c r="D1081" s="65"/>
      <c r="E1081" s="66"/>
    </row>
    <row r="1082">
      <c r="A1082" s="55"/>
      <c r="B1082" s="60"/>
      <c r="C1082" s="55"/>
      <c r="D1082" s="65"/>
      <c r="E1082" s="66"/>
    </row>
    <row r="1083">
      <c r="A1083" s="55"/>
      <c r="B1083" s="60"/>
      <c r="C1083" s="55"/>
      <c r="D1083" s="65"/>
      <c r="E1083" s="66"/>
    </row>
    <row r="1084">
      <c r="A1084" s="55"/>
      <c r="B1084" s="60"/>
      <c r="C1084" s="55"/>
      <c r="D1084" s="65"/>
      <c r="E1084" s="66"/>
    </row>
    <row r="1085">
      <c r="A1085" s="55"/>
      <c r="B1085" s="60"/>
      <c r="C1085" s="55"/>
      <c r="D1085" s="65"/>
      <c r="E1085" s="66"/>
    </row>
    <row r="1086">
      <c r="A1086" s="55"/>
      <c r="B1086" s="60"/>
      <c r="C1086" s="55"/>
      <c r="D1086" s="65"/>
      <c r="E1086" s="66"/>
    </row>
    <row r="1087">
      <c r="A1087" s="55"/>
      <c r="B1087" s="60"/>
      <c r="C1087" s="55"/>
      <c r="D1087" s="65"/>
      <c r="E1087" s="66"/>
    </row>
    <row r="1088">
      <c r="A1088" s="55"/>
      <c r="B1088" s="60"/>
      <c r="C1088" s="55"/>
      <c r="D1088" s="65"/>
      <c r="E1088" s="66"/>
    </row>
    <row r="1089">
      <c r="A1089" s="55"/>
      <c r="B1089" s="60"/>
      <c r="C1089" s="55"/>
      <c r="D1089" s="65"/>
      <c r="E1089" s="66"/>
    </row>
    <row r="1090">
      <c r="A1090" s="55"/>
      <c r="B1090" s="60"/>
      <c r="C1090" s="55"/>
      <c r="D1090" s="65"/>
      <c r="E1090" s="66"/>
    </row>
    <row r="1091">
      <c r="A1091" s="55"/>
      <c r="B1091" s="60"/>
      <c r="C1091" s="55"/>
      <c r="D1091" s="65"/>
      <c r="E1091" s="66"/>
    </row>
    <row r="1092">
      <c r="A1092" s="55"/>
      <c r="B1092" s="60"/>
      <c r="C1092" s="55"/>
      <c r="D1092" s="65"/>
      <c r="E1092" s="66"/>
    </row>
    <row r="1093">
      <c r="A1093" s="55"/>
      <c r="B1093" s="60"/>
      <c r="C1093" s="55"/>
      <c r="D1093" s="65"/>
      <c r="E1093" s="66"/>
    </row>
    <row r="1094">
      <c r="A1094" s="55"/>
      <c r="B1094" s="60"/>
      <c r="C1094" s="55"/>
      <c r="D1094" s="65"/>
      <c r="E1094" s="66"/>
    </row>
    <row r="1095">
      <c r="A1095" s="55"/>
      <c r="B1095" s="60"/>
      <c r="C1095" s="55"/>
      <c r="D1095" s="65"/>
      <c r="E1095" s="66"/>
    </row>
    <row r="1096">
      <c r="A1096" s="55"/>
      <c r="B1096" s="60"/>
      <c r="C1096" s="55"/>
      <c r="D1096" s="65"/>
      <c r="E1096" s="66"/>
    </row>
    <row r="1097">
      <c r="A1097" s="55"/>
      <c r="B1097" s="60"/>
      <c r="C1097" s="55"/>
      <c r="D1097" s="65"/>
      <c r="E1097" s="66"/>
    </row>
    <row r="1098">
      <c r="A1098" s="55"/>
      <c r="B1098" s="60"/>
      <c r="C1098" s="55"/>
      <c r="D1098" s="65"/>
      <c r="E1098" s="66"/>
    </row>
    <row r="1099">
      <c r="A1099" s="55"/>
      <c r="B1099" s="60"/>
      <c r="C1099" s="55"/>
      <c r="D1099" s="65"/>
      <c r="E1099" s="66"/>
    </row>
    <row r="1100">
      <c r="A1100" s="55"/>
      <c r="B1100" s="60"/>
      <c r="C1100" s="55"/>
      <c r="D1100" s="65"/>
      <c r="E1100" s="66"/>
    </row>
    <row r="1101">
      <c r="A1101" s="55"/>
      <c r="B1101" s="60"/>
      <c r="C1101" s="55"/>
      <c r="D1101" s="65"/>
      <c r="E1101" s="66"/>
    </row>
    <row r="1102">
      <c r="A1102" s="55"/>
      <c r="B1102" s="60"/>
      <c r="C1102" s="55"/>
      <c r="D1102" s="65"/>
      <c r="E1102" s="66"/>
    </row>
    <row r="1103">
      <c r="A1103" s="55"/>
      <c r="B1103" s="60"/>
      <c r="C1103" s="55"/>
      <c r="D1103" s="65"/>
      <c r="E1103" s="66"/>
    </row>
    <row r="1104">
      <c r="A1104" s="55"/>
      <c r="B1104" s="60"/>
      <c r="C1104" s="55"/>
      <c r="D1104" s="65"/>
      <c r="E1104" s="66"/>
    </row>
    <row r="1105">
      <c r="A1105" s="55"/>
      <c r="B1105" s="60"/>
      <c r="C1105" s="55"/>
      <c r="D1105" s="65"/>
      <c r="E1105" s="66"/>
    </row>
    <row r="1106">
      <c r="A1106" s="55"/>
      <c r="B1106" s="60"/>
      <c r="C1106" s="55"/>
      <c r="D1106" s="65"/>
      <c r="E1106" s="66"/>
    </row>
    <row r="1107">
      <c r="A1107" s="55"/>
      <c r="B1107" s="60"/>
      <c r="C1107" s="55"/>
      <c r="D1107" s="65"/>
      <c r="E1107" s="66"/>
    </row>
    <row r="1108">
      <c r="A1108" s="55"/>
      <c r="B1108" s="60"/>
      <c r="C1108" s="55"/>
      <c r="D1108" s="65"/>
      <c r="E1108" s="66"/>
    </row>
    <row r="1109">
      <c r="A1109" s="55"/>
      <c r="B1109" s="60"/>
      <c r="C1109" s="55"/>
      <c r="D1109" s="65"/>
      <c r="E1109" s="66"/>
    </row>
    <row r="1110">
      <c r="A1110" s="55"/>
      <c r="B1110" s="60"/>
      <c r="C1110" s="55"/>
      <c r="D1110" s="65"/>
      <c r="E1110" s="66"/>
    </row>
    <row r="1111">
      <c r="A1111" s="55"/>
      <c r="B1111" s="60"/>
      <c r="C1111" s="55"/>
      <c r="D1111" s="65"/>
      <c r="E1111" s="66"/>
    </row>
    <row r="1112">
      <c r="A1112" s="55"/>
      <c r="B1112" s="60"/>
      <c r="C1112" s="55"/>
      <c r="D1112" s="65"/>
      <c r="E1112" s="66"/>
    </row>
    <row r="1113">
      <c r="A1113" s="55"/>
      <c r="B1113" s="60"/>
      <c r="C1113" s="55"/>
      <c r="D1113" s="65"/>
      <c r="E1113" s="66"/>
    </row>
    <row r="1114">
      <c r="A1114" s="55"/>
      <c r="B1114" s="60"/>
      <c r="C1114" s="55"/>
      <c r="D1114" s="65"/>
      <c r="E1114" s="66"/>
    </row>
    <row r="1115">
      <c r="A1115" s="55"/>
      <c r="B1115" s="60"/>
      <c r="C1115" s="55"/>
      <c r="D1115" s="65"/>
      <c r="E1115" s="66"/>
    </row>
    <row r="1116">
      <c r="A1116" s="55"/>
      <c r="B1116" s="60"/>
      <c r="C1116" s="55"/>
      <c r="D1116" s="65"/>
      <c r="E1116" s="66"/>
    </row>
    <row r="1117">
      <c r="A1117" s="55"/>
      <c r="B1117" s="60"/>
      <c r="C1117" s="55"/>
      <c r="D1117" s="65"/>
      <c r="E1117" s="66"/>
    </row>
    <row r="1118">
      <c r="A1118" s="55"/>
      <c r="B1118" s="60"/>
      <c r="C1118" s="55"/>
      <c r="D1118" s="65"/>
      <c r="E1118" s="66"/>
    </row>
    <row r="1119">
      <c r="A1119" s="55"/>
      <c r="B1119" s="60"/>
      <c r="C1119" s="55"/>
      <c r="D1119" s="65"/>
      <c r="E1119" s="66"/>
    </row>
    <row r="1120">
      <c r="A1120" s="55"/>
      <c r="B1120" s="60"/>
      <c r="C1120" s="55"/>
      <c r="D1120" s="65"/>
      <c r="E1120" s="66"/>
    </row>
    <row r="1121">
      <c r="A1121" s="55"/>
      <c r="B1121" s="60"/>
      <c r="C1121" s="55"/>
      <c r="D1121" s="65"/>
      <c r="E1121" s="66"/>
    </row>
    <row r="1122">
      <c r="A1122" s="55"/>
      <c r="B1122" s="60"/>
      <c r="C1122" s="55"/>
      <c r="D1122" s="65"/>
      <c r="E1122" s="66"/>
    </row>
    <row r="1123">
      <c r="A1123" s="55"/>
      <c r="B1123" s="60"/>
      <c r="C1123" s="55"/>
      <c r="D1123" s="65"/>
      <c r="E1123" s="66"/>
    </row>
    <row r="1124">
      <c r="A1124" s="55"/>
      <c r="B1124" s="60"/>
      <c r="C1124" s="55"/>
      <c r="D1124" s="65"/>
      <c r="E1124" s="66"/>
    </row>
    <row r="1125">
      <c r="A1125" s="55"/>
      <c r="B1125" s="60"/>
      <c r="C1125" s="55"/>
      <c r="D1125" s="65"/>
      <c r="E1125" s="66"/>
    </row>
    <row r="1126">
      <c r="A1126" s="55"/>
      <c r="B1126" s="60"/>
      <c r="C1126" s="55"/>
      <c r="D1126" s="65"/>
      <c r="E1126" s="66"/>
    </row>
    <row r="1127">
      <c r="A1127" s="55"/>
      <c r="B1127" s="60"/>
      <c r="C1127" s="55"/>
      <c r="D1127" s="65"/>
      <c r="E1127" s="66"/>
    </row>
    <row r="1128">
      <c r="A1128" s="55"/>
      <c r="B1128" s="60"/>
      <c r="C1128" s="55"/>
      <c r="D1128" s="65"/>
      <c r="E1128" s="66"/>
    </row>
    <row r="1129">
      <c r="A1129" s="55"/>
      <c r="B1129" s="60"/>
      <c r="C1129" s="55"/>
      <c r="D1129" s="65"/>
      <c r="E1129" s="66"/>
    </row>
    <row r="1130">
      <c r="A1130" s="55"/>
      <c r="B1130" s="60"/>
      <c r="C1130" s="55"/>
      <c r="D1130" s="65"/>
      <c r="E1130" s="66"/>
    </row>
    <row r="1131">
      <c r="A1131" s="55"/>
      <c r="B1131" s="60"/>
      <c r="C1131" s="55"/>
      <c r="D1131" s="65"/>
      <c r="E1131" s="66"/>
    </row>
    <row r="1132">
      <c r="A1132" s="55"/>
      <c r="B1132" s="60"/>
      <c r="C1132" s="55"/>
      <c r="D1132" s="65"/>
      <c r="E1132" s="66"/>
    </row>
    <row r="1133">
      <c r="A1133" s="55"/>
      <c r="B1133" s="60"/>
      <c r="C1133" s="55"/>
      <c r="D1133" s="65"/>
      <c r="E1133" s="66"/>
    </row>
    <row r="1134">
      <c r="A1134" s="55"/>
      <c r="B1134" s="60"/>
      <c r="C1134" s="55"/>
      <c r="D1134" s="65"/>
      <c r="E1134" s="66"/>
    </row>
    <row r="1135">
      <c r="A1135" s="55"/>
      <c r="B1135" s="60"/>
      <c r="C1135" s="55"/>
      <c r="D1135" s="65"/>
      <c r="E1135" s="66"/>
    </row>
    <row r="1136">
      <c r="A1136" s="55"/>
      <c r="B1136" s="60"/>
      <c r="C1136" s="55"/>
      <c r="D1136" s="65"/>
      <c r="E1136" s="66"/>
    </row>
    <row r="1137">
      <c r="A1137" s="55"/>
      <c r="B1137" s="60"/>
      <c r="C1137" s="55"/>
      <c r="D1137" s="65"/>
      <c r="E1137" s="66"/>
    </row>
    <row r="1138">
      <c r="A1138" s="55"/>
      <c r="B1138" s="60"/>
      <c r="C1138" s="55"/>
      <c r="D1138" s="65"/>
      <c r="E1138" s="66"/>
    </row>
    <row r="1139">
      <c r="A1139" s="55"/>
      <c r="B1139" s="60"/>
      <c r="C1139" s="55"/>
      <c r="D1139" s="65"/>
      <c r="E1139" s="66"/>
    </row>
    <row r="1140">
      <c r="A1140" s="55"/>
      <c r="B1140" s="60"/>
      <c r="C1140" s="55"/>
      <c r="D1140" s="65"/>
      <c r="E1140" s="66"/>
    </row>
    <row r="1141">
      <c r="A1141" s="55"/>
      <c r="B1141" s="60"/>
      <c r="C1141" s="55"/>
      <c r="D1141" s="65"/>
      <c r="E1141" s="66"/>
    </row>
    <row r="1142">
      <c r="A1142" s="55"/>
      <c r="B1142" s="60"/>
      <c r="C1142" s="55"/>
      <c r="D1142" s="65"/>
      <c r="E1142" s="66"/>
    </row>
    <row r="1143">
      <c r="A1143" s="55"/>
      <c r="B1143" s="60"/>
      <c r="C1143" s="55"/>
      <c r="D1143" s="65"/>
      <c r="E1143" s="66"/>
    </row>
    <row r="1144">
      <c r="A1144" s="55"/>
      <c r="B1144" s="60"/>
      <c r="C1144" s="55"/>
      <c r="D1144" s="65"/>
      <c r="E1144" s="66"/>
    </row>
    <row r="1145">
      <c r="A1145" s="55"/>
      <c r="B1145" s="60"/>
      <c r="C1145" s="55"/>
      <c r="D1145" s="65"/>
      <c r="E1145" s="66"/>
    </row>
    <row r="1146">
      <c r="A1146" s="55"/>
      <c r="B1146" s="60"/>
      <c r="C1146" s="55"/>
      <c r="D1146" s="65"/>
      <c r="E1146" s="66"/>
    </row>
    <row r="1147">
      <c r="A1147" s="55"/>
      <c r="B1147" s="60"/>
      <c r="C1147" s="55"/>
      <c r="D1147" s="65"/>
      <c r="E1147" s="66"/>
    </row>
    <row r="1148">
      <c r="A1148" s="55"/>
      <c r="B1148" s="60"/>
      <c r="C1148" s="55"/>
      <c r="D1148" s="65"/>
      <c r="E1148" s="66"/>
    </row>
    <row r="1149">
      <c r="A1149" s="55"/>
      <c r="B1149" s="60"/>
      <c r="C1149" s="55"/>
      <c r="D1149" s="65"/>
      <c r="E1149" s="66"/>
    </row>
    <row r="1150">
      <c r="A1150" s="55"/>
      <c r="B1150" s="60"/>
      <c r="C1150" s="55"/>
      <c r="D1150" s="65"/>
      <c r="E1150" s="66"/>
    </row>
    <row r="1151">
      <c r="A1151" s="55"/>
      <c r="B1151" s="60"/>
      <c r="C1151" s="55"/>
      <c r="D1151" s="65"/>
      <c r="E1151" s="66"/>
    </row>
    <row r="1152">
      <c r="A1152" s="55"/>
      <c r="B1152" s="60"/>
      <c r="C1152" s="55"/>
      <c r="D1152" s="65"/>
      <c r="E1152" s="66"/>
    </row>
    <row r="1153">
      <c r="A1153" s="55"/>
      <c r="B1153" s="60"/>
      <c r="C1153" s="55"/>
      <c r="D1153" s="65"/>
      <c r="E1153" s="66"/>
    </row>
    <row r="1154">
      <c r="A1154" s="55"/>
      <c r="B1154" s="60"/>
      <c r="C1154" s="55"/>
      <c r="D1154" s="65"/>
      <c r="E1154" s="66"/>
    </row>
    <row r="1155">
      <c r="A1155" s="55"/>
      <c r="B1155" s="60"/>
      <c r="C1155" s="55"/>
      <c r="D1155" s="65"/>
      <c r="E1155" s="66"/>
    </row>
    <row r="1156">
      <c r="A1156" s="55"/>
      <c r="B1156" s="60"/>
      <c r="C1156" s="55"/>
      <c r="D1156" s="65"/>
      <c r="E1156" s="66"/>
    </row>
    <row r="1157">
      <c r="A1157" s="55"/>
      <c r="B1157" s="60"/>
      <c r="C1157" s="55"/>
      <c r="D1157" s="65"/>
      <c r="E1157" s="66"/>
    </row>
    <row r="1158">
      <c r="A1158" s="55"/>
      <c r="B1158" s="60"/>
      <c r="C1158" s="55"/>
      <c r="D1158" s="65"/>
      <c r="E1158" s="66"/>
    </row>
    <row r="1159">
      <c r="A1159" s="55"/>
      <c r="B1159" s="60"/>
      <c r="C1159" s="55"/>
      <c r="D1159" s="65"/>
      <c r="E1159" s="66"/>
    </row>
    <row r="1160">
      <c r="A1160" s="55"/>
      <c r="B1160" s="60"/>
      <c r="C1160" s="55"/>
      <c r="D1160" s="65"/>
      <c r="E1160" s="66"/>
    </row>
    <row r="1161">
      <c r="A1161" s="55"/>
      <c r="B1161" s="60"/>
      <c r="C1161" s="55"/>
      <c r="D1161" s="65"/>
      <c r="E1161" s="66"/>
    </row>
    <row r="1162">
      <c r="A1162" s="55"/>
      <c r="B1162" s="60"/>
      <c r="C1162" s="55"/>
      <c r="D1162" s="65"/>
      <c r="E1162" s="66"/>
    </row>
    <row r="1163">
      <c r="A1163" s="55"/>
      <c r="B1163" s="60"/>
      <c r="C1163" s="55"/>
      <c r="D1163" s="65"/>
      <c r="E1163" s="66"/>
    </row>
    <row r="1164">
      <c r="A1164" s="55"/>
      <c r="B1164" s="60"/>
      <c r="C1164" s="55"/>
      <c r="D1164" s="65"/>
      <c r="E1164" s="66"/>
    </row>
    <row r="1165">
      <c r="A1165" s="55"/>
      <c r="B1165" s="60"/>
      <c r="C1165" s="55"/>
      <c r="D1165" s="65"/>
      <c r="E1165" s="66"/>
    </row>
    <row r="1166">
      <c r="A1166" s="55"/>
      <c r="B1166" s="60"/>
      <c r="C1166" s="55"/>
      <c r="D1166" s="65"/>
      <c r="E1166" s="66"/>
    </row>
    <row r="1167">
      <c r="A1167" s="55"/>
      <c r="B1167" s="60"/>
      <c r="C1167" s="55"/>
      <c r="D1167" s="65"/>
      <c r="E1167" s="66"/>
    </row>
    <row r="1168">
      <c r="A1168" s="55"/>
      <c r="B1168" s="60"/>
      <c r="C1168" s="55"/>
      <c r="D1168" s="65"/>
      <c r="E1168" s="66"/>
    </row>
    <row r="1169">
      <c r="A1169" s="55"/>
      <c r="B1169" s="60"/>
      <c r="C1169" s="55"/>
      <c r="D1169" s="65"/>
      <c r="E1169" s="66"/>
    </row>
    <row r="1170">
      <c r="A1170" s="55"/>
      <c r="B1170" s="60"/>
      <c r="C1170" s="55"/>
      <c r="D1170" s="65"/>
      <c r="E1170" s="66"/>
    </row>
    <row r="1171">
      <c r="A1171" s="55"/>
      <c r="B1171" s="60"/>
      <c r="C1171" s="55"/>
      <c r="D1171" s="65"/>
      <c r="E1171" s="66"/>
    </row>
    <row r="1172">
      <c r="A1172" s="55"/>
      <c r="B1172" s="60"/>
      <c r="C1172" s="55"/>
      <c r="D1172" s="65"/>
      <c r="E1172" s="66"/>
    </row>
    <row r="1173">
      <c r="A1173" s="55"/>
      <c r="B1173" s="60"/>
      <c r="C1173" s="55"/>
      <c r="D1173" s="65"/>
      <c r="E1173" s="66"/>
    </row>
    <row r="1174">
      <c r="A1174" s="55"/>
      <c r="B1174" s="60"/>
      <c r="C1174" s="55"/>
      <c r="D1174" s="65"/>
      <c r="E1174" s="66"/>
    </row>
    <row r="1175">
      <c r="A1175" s="55"/>
      <c r="B1175" s="60"/>
      <c r="C1175" s="55"/>
      <c r="D1175" s="65"/>
      <c r="E1175" s="66"/>
    </row>
    <row r="1176">
      <c r="A1176" s="55"/>
      <c r="B1176" s="60"/>
      <c r="C1176" s="55"/>
      <c r="D1176" s="65"/>
      <c r="E1176" s="66"/>
    </row>
    <row r="1177">
      <c r="A1177" s="55"/>
      <c r="B1177" s="60"/>
      <c r="C1177" s="55"/>
      <c r="D1177" s="65"/>
      <c r="E1177" s="66"/>
    </row>
    <row r="1178">
      <c r="A1178" s="55"/>
      <c r="B1178" s="60"/>
      <c r="C1178" s="55"/>
      <c r="D1178" s="65"/>
      <c r="E1178" s="66"/>
    </row>
    <row r="1179">
      <c r="A1179" s="55"/>
      <c r="B1179" s="60"/>
      <c r="C1179" s="55"/>
      <c r="D1179" s="65"/>
      <c r="E1179" s="66"/>
    </row>
    <row r="1180">
      <c r="A1180" s="55"/>
      <c r="B1180" s="60"/>
      <c r="C1180" s="55"/>
      <c r="D1180" s="65"/>
      <c r="E1180" s="66"/>
    </row>
    <row r="1181">
      <c r="A1181" s="55"/>
      <c r="B1181" s="60"/>
      <c r="C1181" s="55"/>
      <c r="D1181" s="65"/>
      <c r="E1181" s="66"/>
    </row>
    <row r="1182">
      <c r="A1182" s="55"/>
      <c r="B1182" s="60"/>
      <c r="C1182" s="55"/>
      <c r="D1182" s="65"/>
      <c r="E1182" s="66"/>
    </row>
    <row r="1183">
      <c r="A1183" s="55"/>
      <c r="B1183" s="60"/>
      <c r="C1183" s="55"/>
      <c r="D1183" s="65"/>
      <c r="E1183" s="66"/>
    </row>
    <row r="1184">
      <c r="A1184" s="55"/>
      <c r="B1184" s="60"/>
      <c r="C1184" s="55"/>
      <c r="D1184" s="65"/>
      <c r="E1184" s="66"/>
    </row>
    <row r="1185">
      <c r="A1185" s="55"/>
      <c r="B1185" s="60"/>
      <c r="C1185" s="55"/>
      <c r="D1185" s="65"/>
      <c r="E1185" s="66"/>
    </row>
    <row r="1186">
      <c r="A1186" s="55"/>
      <c r="B1186" s="60"/>
      <c r="C1186" s="55"/>
      <c r="D1186" s="65"/>
      <c r="E1186" s="66"/>
    </row>
    <row r="1187">
      <c r="A1187" s="55"/>
      <c r="B1187" s="60"/>
      <c r="C1187" s="55"/>
      <c r="D1187" s="65"/>
      <c r="E1187" s="66"/>
    </row>
    <row r="1188">
      <c r="A1188" s="55"/>
      <c r="B1188" s="60"/>
      <c r="C1188" s="55"/>
      <c r="D1188" s="65"/>
      <c r="E1188" s="66"/>
    </row>
    <row r="1189">
      <c r="A1189" s="55"/>
      <c r="B1189" s="60"/>
      <c r="C1189" s="55"/>
      <c r="D1189" s="65"/>
      <c r="E1189" s="66"/>
    </row>
    <row r="1190">
      <c r="A1190" s="55"/>
      <c r="B1190" s="60"/>
      <c r="C1190" s="55"/>
      <c r="D1190" s="65"/>
      <c r="E1190" s="66"/>
    </row>
    <row r="1191">
      <c r="A1191" s="55"/>
      <c r="B1191" s="60"/>
      <c r="C1191" s="55"/>
      <c r="D1191" s="65"/>
      <c r="E1191" s="66"/>
    </row>
    <row r="1192">
      <c r="A1192" s="55"/>
      <c r="B1192" s="60"/>
      <c r="C1192" s="55"/>
      <c r="D1192" s="65"/>
      <c r="E1192" s="66"/>
    </row>
    <row r="1193">
      <c r="A1193" s="55"/>
      <c r="B1193" s="60"/>
      <c r="C1193" s="55"/>
      <c r="D1193" s="65"/>
      <c r="E1193" s="66"/>
    </row>
    <row r="1194">
      <c r="A1194" s="55"/>
      <c r="B1194" s="60"/>
      <c r="C1194" s="55"/>
      <c r="D1194" s="65"/>
      <c r="E1194" s="66"/>
    </row>
    <row r="1195">
      <c r="A1195" s="55"/>
      <c r="B1195" s="60"/>
      <c r="C1195" s="55"/>
      <c r="D1195" s="65"/>
      <c r="E1195" s="66"/>
    </row>
    <row r="1196">
      <c r="A1196" s="55"/>
      <c r="B1196" s="60"/>
      <c r="C1196" s="55"/>
      <c r="D1196" s="65"/>
      <c r="E1196" s="66"/>
    </row>
    <row r="1197">
      <c r="A1197" s="55"/>
      <c r="B1197" s="60"/>
      <c r="C1197" s="55"/>
      <c r="D1197" s="65"/>
      <c r="E1197" s="66"/>
    </row>
    <row r="1198">
      <c r="A1198" s="55"/>
      <c r="B1198" s="60"/>
      <c r="C1198" s="55"/>
      <c r="D1198" s="65"/>
      <c r="E1198" s="66"/>
    </row>
    <row r="1199">
      <c r="A1199" s="55"/>
      <c r="B1199" s="60"/>
      <c r="C1199" s="55"/>
      <c r="D1199" s="65"/>
      <c r="E1199" s="66"/>
    </row>
    <row r="1200">
      <c r="A1200" s="55"/>
      <c r="B1200" s="60"/>
      <c r="C1200" s="55"/>
      <c r="D1200" s="65"/>
      <c r="E1200" s="66"/>
    </row>
    <row r="1201">
      <c r="A1201" s="55"/>
      <c r="B1201" s="60"/>
      <c r="C1201" s="55"/>
      <c r="D1201" s="65"/>
      <c r="E1201" s="66"/>
    </row>
    <row r="1202">
      <c r="A1202" s="55"/>
      <c r="B1202" s="60"/>
      <c r="C1202" s="55"/>
      <c r="D1202" s="65"/>
      <c r="E1202" s="66"/>
    </row>
    <row r="1203">
      <c r="A1203" s="55"/>
      <c r="B1203" s="60"/>
      <c r="C1203" s="55"/>
      <c r="D1203" s="65"/>
      <c r="E1203" s="66"/>
    </row>
    <row r="1204">
      <c r="A1204" s="55"/>
      <c r="B1204" s="60"/>
      <c r="C1204" s="55"/>
      <c r="D1204" s="65"/>
      <c r="E1204" s="66"/>
    </row>
    <row r="1205">
      <c r="A1205" s="55"/>
      <c r="B1205" s="60"/>
      <c r="C1205" s="55"/>
      <c r="D1205" s="65"/>
      <c r="E1205" s="66"/>
    </row>
    <row r="1206">
      <c r="A1206" s="55"/>
      <c r="B1206" s="60"/>
      <c r="C1206" s="55"/>
      <c r="D1206" s="65"/>
      <c r="E1206" s="66"/>
    </row>
    <row r="1207">
      <c r="A1207" s="55"/>
      <c r="B1207" s="60"/>
      <c r="C1207" s="55"/>
      <c r="D1207" s="65"/>
      <c r="E1207" s="66"/>
    </row>
    <row r="1208">
      <c r="A1208" s="55"/>
      <c r="B1208" s="60"/>
      <c r="C1208" s="55"/>
      <c r="D1208" s="65"/>
      <c r="E1208" s="66"/>
    </row>
    <row r="1209">
      <c r="A1209" s="55"/>
      <c r="B1209" s="60"/>
      <c r="C1209" s="55"/>
      <c r="D1209" s="65"/>
      <c r="E1209" s="66"/>
    </row>
    <row r="1210">
      <c r="A1210" s="55"/>
      <c r="B1210" s="60"/>
      <c r="C1210" s="55"/>
      <c r="D1210" s="65"/>
      <c r="E1210" s="66"/>
    </row>
    <row r="1211">
      <c r="A1211" s="55"/>
      <c r="B1211" s="60"/>
      <c r="C1211" s="55"/>
      <c r="D1211" s="65"/>
      <c r="E1211" s="66"/>
    </row>
    <row r="1212">
      <c r="A1212" s="55"/>
      <c r="B1212" s="60"/>
      <c r="C1212" s="55"/>
      <c r="D1212" s="65"/>
      <c r="E1212" s="66"/>
    </row>
    <row r="1213">
      <c r="A1213" s="55"/>
      <c r="B1213" s="60"/>
      <c r="C1213" s="55"/>
      <c r="D1213" s="65"/>
      <c r="E1213" s="66"/>
    </row>
    <row r="1214">
      <c r="A1214" s="55"/>
      <c r="B1214" s="60"/>
      <c r="C1214" s="55"/>
      <c r="D1214" s="65"/>
      <c r="E1214" s="66"/>
    </row>
    <row r="1215">
      <c r="A1215" s="55"/>
      <c r="B1215" s="60"/>
      <c r="C1215" s="55"/>
      <c r="D1215" s="65"/>
      <c r="E1215" s="66"/>
    </row>
    <row r="1216">
      <c r="A1216" s="55"/>
      <c r="B1216" s="60"/>
      <c r="C1216" s="55"/>
      <c r="D1216" s="65"/>
      <c r="E1216" s="66"/>
    </row>
    <row r="1217">
      <c r="A1217" s="55"/>
      <c r="B1217" s="60"/>
      <c r="C1217" s="55"/>
      <c r="D1217" s="65"/>
      <c r="E1217" s="66"/>
    </row>
    <row r="1218">
      <c r="A1218" s="55"/>
      <c r="B1218" s="60"/>
      <c r="C1218" s="55"/>
      <c r="D1218" s="65"/>
      <c r="E1218" s="66"/>
    </row>
    <row r="1219">
      <c r="A1219" s="55"/>
      <c r="B1219" s="60"/>
      <c r="C1219" s="55"/>
      <c r="D1219" s="65"/>
      <c r="E1219" s="66"/>
    </row>
    <row r="1220">
      <c r="A1220" s="55"/>
      <c r="B1220" s="60"/>
      <c r="C1220" s="55"/>
      <c r="D1220" s="65"/>
      <c r="E1220" s="66"/>
    </row>
    <row r="1221">
      <c r="A1221" s="55"/>
      <c r="B1221" s="60"/>
      <c r="C1221" s="55"/>
      <c r="D1221" s="65"/>
      <c r="E1221" s="66"/>
    </row>
    <row r="1222">
      <c r="A1222" s="55"/>
      <c r="B1222" s="60"/>
      <c r="C1222" s="55"/>
      <c r="D1222" s="65"/>
      <c r="E1222" s="66"/>
    </row>
    <row r="1223">
      <c r="A1223" s="55"/>
      <c r="B1223" s="60"/>
      <c r="C1223" s="55"/>
      <c r="D1223" s="65"/>
      <c r="E1223" s="66"/>
    </row>
    <row r="1224">
      <c r="A1224" s="55"/>
      <c r="B1224" s="60"/>
      <c r="C1224" s="55"/>
      <c r="D1224" s="65"/>
      <c r="E1224" s="66"/>
    </row>
    <row r="1225">
      <c r="A1225" s="55"/>
      <c r="B1225" s="60"/>
      <c r="C1225" s="55"/>
      <c r="D1225" s="65"/>
      <c r="E1225" s="66"/>
    </row>
    <row r="1226">
      <c r="A1226" s="55"/>
      <c r="B1226" s="60"/>
      <c r="C1226" s="55"/>
      <c r="D1226" s="65"/>
      <c r="E1226" s="66"/>
    </row>
    <row r="1227">
      <c r="A1227" s="55"/>
      <c r="B1227" s="60"/>
      <c r="C1227" s="55"/>
      <c r="D1227" s="65"/>
      <c r="E1227" s="66"/>
    </row>
    <row r="1228">
      <c r="A1228" s="55"/>
      <c r="B1228" s="60"/>
      <c r="C1228" s="55"/>
      <c r="D1228" s="65"/>
      <c r="E1228" s="66"/>
    </row>
    <row r="1229">
      <c r="A1229" s="55"/>
      <c r="B1229" s="60"/>
      <c r="C1229" s="55"/>
      <c r="D1229" s="65"/>
      <c r="E1229" s="66"/>
    </row>
    <row r="1230">
      <c r="A1230" s="55"/>
      <c r="B1230" s="60"/>
      <c r="C1230" s="55"/>
      <c r="D1230" s="65"/>
      <c r="E1230" s="66"/>
    </row>
    <row r="1231">
      <c r="A1231" s="55"/>
      <c r="B1231" s="60"/>
      <c r="C1231" s="55"/>
      <c r="D1231" s="65"/>
      <c r="E1231" s="66"/>
    </row>
    <row r="1232">
      <c r="A1232" s="55"/>
      <c r="B1232" s="60"/>
      <c r="C1232" s="55"/>
      <c r="D1232" s="65"/>
      <c r="E1232" s="66"/>
    </row>
    <row r="1233">
      <c r="A1233" s="55"/>
      <c r="B1233" s="60"/>
      <c r="C1233" s="55"/>
      <c r="D1233" s="65"/>
      <c r="E1233" s="66"/>
    </row>
    <row r="1234">
      <c r="A1234" s="55"/>
      <c r="B1234" s="60"/>
      <c r="C1234" s="55"/>
      <c r="D1234" s="65"/>
      <c r="E1234" s="66"/>
    </row>
    <row r="1235">
      <c r="A1235" s="55"/>
      <c r="B1235" s="60"/>
      <c r="C1235" s="55"/>
      <c r="D1235" s="65"/>
      <c r="E1235" s="66"/>
    </row>
    <row r="1236">
      <c r="A1236" s="55"/>
      <c r="B1236" s="60"/>
      <c r="C1236" s="55"/>
      <c r="D1236" s="65"/>
      <c r="E1236" s="66"/>
    </row>
    <row r="1237">
      <c r="A1237" s="55"/>
      <c r="B1237" s="60"/>
      <c r="C1237" s="55"/>
      <c r="D1237" s="65"/>
      <c r="E1237" s="66"/>
    </row>
    <row r="1238">
      <c r="A1238" s="55"/>
      <c r="B1238" s="60"/>
      <c r="C1238" s="55"/>
      <c r="D1238" s="65"/>
      <c r="E1238" s="66"/>
    </row>
    <row r="1239">
      <c r="A1239" s="55"/>
      <c r="B1239" s="60"/>
      <c r="C1239" s="55"/>
      <c r="D1239" s="65"/>
      <c r="E1239" s="66"/>
    </row>
    <row r="1240">
      <c r="A1240" s="55"/>
      <c r="B1240" s="60"/>
      <c r="C1240" s="55"/>
      <c r="D1240" s="65"/>
      <c r="E1240" s="66"/>
    </row>
    <row r="1241">
      <c r="A1241" s="55"/>
      <c r="B1241" s="60"/>
      <c r="C1241" s="55"/>
      <c r="D1241" s="65"/>
      <c r="E1241" s="66"/>
    </row>
    <row r="1242">
      <c r="A1242" s="55"/>
      <c r="B1242" s="60"/>
      <c r="C1242" s="55"/>
      <c r="D1242" s="65"/>
      <c r="E1242" s="66"/>
    </row>
    <row r="1243">
      <c r="A1243" s="55"/>
      <c r="B1243" s="60"/>
      <c r="C1243" s="55"/>
      <c r="D1243" s="65"/>
      <c r="E1243" s="66"/>
    </row>
    <row r="1244">
      <c r="A1244" s="55"/>
      <c r="B1244" s="60"/>
      <c r="C1244" s="55"/>
      <c r="D1244" s="65"/>
      <c r="E1244" s="66"/>
    </row>
    <row r="1245">
      <c r="A1245" s="55"/>
      <c r="B1245" s="60"/>
      <c r="C1245" s="55"/>
      <c r="D1245" s="65"/>
      <c r="E1245" s="66"/>
    </row>
    <row r="1246">
      <c r="A1246" s="55"/>
      <c r="B1246" s="60"/>
      <c r="C1246" s="55"/>
      <c r="D1246" s="65"/>
      <c r="E1246" s="66"/>
    </row>
    <row r="1247">
      <c r="A1247" s="55"/>
      <c r="B1247" s="60"/>
      <c r="C1247" s="55"/>
      <c r="D1247" s="65"/>
      <c r="E1247" s="55"/>
    </row>
    <row r="1248">
      <c r="A1248" s="55"/>
      <c r="B1248" s="60"/>
      <c r="C1248" s="55"/>
      <c r="D1248" s="65"/>
      <c r="E1248" s="55"/>
    </row>
    <row r="1249">
      <c r="A1249" s="55"/>
      <c r="B1249" s="60"/>
      <c r="C1249" s="55"/>
      <c r="D1249" s="65"/>
      <c r="E1249" s="55"/>
    </row>
    <row r="1250">
      <c r="A1250" s="55"/>
      <c r="B1250" s="60"/>
      <c r="C1250" s="55"/>
      <c r="D1250" s="65"/>
      <c r="E1250" s="55"/>
    </row>
    <row r="1251">
      <c r="A1251" s="55"/>
      <c r="B1251" s="60"/>
      <c r="C1251" s="55"/>
      <c r="D1251" s="65"/>
      <c r="E1251" s="55"/>
    </row>
    <row r="1252">
      <c r="A1252" s="55"/>
      <c r="B1252" s="60"/>
      <c r="C1252" s="55"/>
      <c r="D1252" s="65"/>
      <c r="E1252" s="55"/>
    </row>
    <row r="1253">
      <c r="A1253" s="55"/>
      <c r="B1253" s="60"/>
      <c r="C1253" s="55"/>
      <c r="D1253" s="65"/>
      <c r="E1253" s="55"/>
    </row>
    <row r="1254">
      <c r="A1254" s="55"/>
      <c r="B1254" s="60"/>
      <c r="C1254" s="55"/>
      <c r="D1254" s="65"/>
      <c r="E1254" s="55"/>
    </row>
    <row r="1255">
      <c r="A1255" s="55"/>
      <c r="B1255" s="60"/>
      <c r="C1255" s="55"/>
      <c r="D1255" s="65"/>
      <c r="E1255" s="55"/>
    </row>
    <row r="1256">
      <c r="A1256" s="55"/>
      <c r="B1256" s="60"/>
      <c r="C1256" s="55"/>
      <c r="D1256" s="65"/>
      <c r="E1256" s="55"/>
    </row>
    <row r="1257">
      <c r="A1257" s="55"/>
      <c r="B1257" s="60"/>
      <c r="C1257" s="55"/>
      <c r="D1257" s="65"/>
      <c r="E1257" s="55"/>
    </row>
    <row r="1258">
      <c r="A1258" s="55"/>
      <c r="B1258" s="60"/>
      <c r="C1258" s="55"/>
      <c r="D1258" s="65"/>
      <c r="E1258" s="55"/>
    </row>
    <row r="1259">
      <c r="A1259" s="55"/>
      <c r="B1259" s="60"/>
      <c r="C1259" s="55"/>
      <c r="D1259" s="65"/>
      <c r="E1259" s="55"/>
    </row>
    <row r="1260">
      <c r="A1260" s="55"/>
      <c r="B1260" s="60"/>
      <c r="C1260" s="55"/>
      <c r="D1260" s="65"/>
      <c r="E1260" s="55"/>
    </row>
    <row r="1261">
      <c r="A1261" s="55"/>
      <c r="B1261" s="60"/>
      <c r="C1261" s="55"/>
      <c r="D1261" s="65"/>
      <c r="E1261" s="55"/>
    </row>
    <row r="1262">
      <c r="A1262" s="55"/>
      <c r="B1262" s="60"/>
      <c r="C1262" s="55"/>
      <c r="D1262" s="65"/>
      <c r="E1262" s="55"/>
    </row>
    <row r="1263">
      <c r="A1263" s="55"/>
      <c r="B1263" s="60"/>
      <c r="C1263" s="55"/>
      <c r="D1263" s="65"/>
      <c r="E1263" s="55"/>
    </row>
    <row r="1264">
      <c r="A1264" s="55"/>
      <c r="B1264" s="60"/>
      <c r="C1264" s="55"/>
      <c r="D1264" s="65"/>
      <c r="E1264" s="55"/>
    </row>
    <row r="1265">
      <c r="A1265" s="55"/>
      <c r="B1265" s="60"/>
      <c r="C1265" s="55"/>
      <c r="D1265" s="65"/>
      <c r="E1265" s="55"/>
    </row>
    <row r="1266">
      <c r="A1266" s="55"/>
      <c r="B1266" s="60"/>
      <c r="C1266" s="55"/>
      <c r="D1266" s="65"/>
      <c r="E1266" s="55"/>
    </row>
    <row r="1267">
      <c r="A1267" s="55"/>
      <c r="B1267" s="60"/>
      <c r="C1267" s="55"/>
      <c r="D1267" s="65"/>
      <c r="E1267" s="55"/>
    </row>
    <row r="1268">
      <c r="A1268" s="55"/>
      <c r="B1268" s="60"/>
      <c r="C1268" s="55"/>
      <c r="D1268" s="65"/>
      <c r="E1268" s="55"/>
    </row>
    <row r="1269">
      <c r="A1269" s="55"/>
      <c r="B1269" s="60"/>
      <c r="C1269" s="55"/>
      <c r="D1269" s="65"/>
      <c r="E1269" s="55"/>
    </row>
    <row r="1270">
      <c r="A1270" s="55"/>
      <c r="B1270" s="60"/>
      <c r="C1270" s="55"/>
      <c r="D1270" s="65"/>
      <c r="E1270" s="55"/>
    </row>
    <row r="1271">
      <c r="A1271" s="55"/>
      <c r="B1271" s="60"/>
      <c r="C1271" s="55"/>
      <c r="D1271" s="65"/>
      <c r="E1271" s="55"/>
    </row>
    <row r="1272">
      <c r="A1272" s="55"/>
      <c r="B1272" s="60"/>
      <c r="C1272" s="55"/>
      <c r="D1272" s="65"/>
      <c r="E1272" s="55"/>
    </row>
    <row r="1273">
      <c r="A1273" s="55"/>
      <c r="B1273" s="60"/>
      <c r="C1273" s="55"/>
      <c r="D1273" s="65"/>
      <c r="E1273" s="55"/>
    </row>
    <row r="1274">
      <c r="A1274" s="55"/>
      <c r="B1274" s="60"/>
      <c r="C1274" s="55"/>
      <c r="D1274" s="65"/>
      <c r="E1274" s="55"/>
    </row>
    <row r="1275">
      <c r="A1275" s="55"/>
      <c r="B1275" s="60"/>
      <c r="C1275" s="55"/>
      <c r="D1275" s="65"/>
      <c r="E1275" s="55"/>
    </row>
    <row r="1276">
      <c r="A1276" s="55"/>
      <c r="B1276" s="60"/>
      <c r="C1276" s="55"/>
      <c r="D1276" s="65"/>
      <c r="E1276" s="55"/>
    </row>
    <row r="1277">
      <c r="A1277" s="55"/>
      <c r="B1277" s="60"/>
      <c r="C1277" s="55"/>
      <c r="D1277" s="65"/>
      <c r="E1277" s="55"/>
    </row>
    <row r="1278">
      <c r="A1278" s="55"/>
      <c r="B1278" s="60"/>
      <c r="C1278" s="55"/>
      <c r="D1278" s="65"/>
      <c r="E1278" s="55"/>
    </row>
    <row r="1279">
      <c r="A1279" s="55"/>
      <c r="B1279" s="60"/>
      <c r="C1279" s="55"/>
      <c r="D1279" s="65"/>
      <c r="E1279" s="55"/>
    </row>
    <row r="1280">
      <c r="A1280" s="55"/>
      <c r="B1280" s="60"/>
      <c r="C1280" s="55"/>
      <c r="D1280" s="65"/>
      <c r="E1280" s="55"/>
    </row>
    <row r="1281">
      <c r="A1281" s="55"/>
      <c r="B1281" s="60"/>
      <c r="C1281" s="55"/>
      <c r="D1281" s="65"/>
      <c r="E1281" s="55"/>
    </row>
    <row r="1282">
      <c r="A1282" s="55"/>
      <c r="B1282" s="60"/>
      <c r="C1282" s="55"/>
      <c r="D1282" s="65"/>
      <c r="E1282" s="55"/>
    </row>
    <row r="1283">
      <c r="A1283" s="55"/>
      <c r="B1283" s="60"/>
      <c r="C1283" s="55"/>
      <c r="D1283" s="65"/>
      <c r="E1283" s="55"/>
    </row>
    <row r="1284">
      <c r="A1284" s="55"/>
      <c r="B1284" s="60"/>
      <c r="C1284" s="55"/>
      <c r="D1284" s="65"/>
      <c r="E1284" s="55"/>
    </row>
    <row r="1285">
      <c r="A1285" s="55"/>
      <c r="B1285" s="60"/>
      <c r="C1285" s="55"/>
      <c r="D1285" s="65"/>
      <c r="E1285" s="55"/>
    </row>
    <row r="1286">
      <c r="A1286" s="55"/>
      <c r="B1286" s="60"/>
      <c r="C1286" s="55"/>
      <c r="D1286" s="65"/>
      <c r="E1286" s="55"/>
    </row>
    <row r="1287">
      <c r="A1287" s="55"/>
      <c r="B1287" s="60"/>
      <c r="C1287" s="55"/>
      <c r="D1287" s="65"/>
      <c r="E1287" s="55"/>
    </row>
    <row r="1288">
      <c r="A1288" s="55"/>
      <c r="B1288" s="60"/>
      <c r="C1288" s="55"/>
      <c r="D1288" s="65"/>
      <c r="E1288" s="55"/>
    </row>
    <row r="1289">
      <c r="A1289" s="55"/>
      <c r="B1289" s="60"/>
      <c r="C1289" s="55"/>
      <c r="D1289" s="65"/>
      <c r="E1289" s="55"/>
    </row>
    <row r="1290">
      <c r="A1290" s="55"/>
      <c r="B1290" s="60"/>
      <c r="C1290" s="55"/>
      <c r="D1290" s="65"/>
      <c r="E1290" s="55"/>
    </row>
    <row r="1291">
      <c r="A1291" s="55"/>
      <c r="B1291" s="60"/>
      <c r="C1291" s="55"/>
      <c r="D1291" s="65"/>
      <c r="E1291" s="55"/>
    </row>
    <row r="1292">
      <c r="A1292" s="55"/>
      <c r="B1292" s="60"/>
      <c r="C1292" s="55"/>
      <c r="D1292" s="65"/>
      <c r="E1292" s="55"/>
    </row>
    <row r="1293">
      <c r="A1293" s="55"/>
      <c r="B1293" s="60"/>
      <c r="C1293" s="55"/>
      <c r="D1293" s="65"/>
      <c r="E1293" s="55"/>
    </row>
    <row r="1294">
      <c r="A1294" s="55"/>
      <c r="B1294" s="60"/>
      <c r="C1294" s="55"/>
      <c r="D1294" s="65"/>
      <c r="E1294" s="55"/>
    </row>
    <row r="1295">
      <c r="A1295" s="55"/>
      <c r="B1295" s="60"/>
      <c r="C1295" s="55"/>
      <c r="D1295" s="65"/>
      <c r="E1295" s="55"/>
    </row>
    <row r="1296">
      <c r="A1296" s="55"/>
      <c r="B1296" s="60"/>
      <c r="C1296" s="55"/>
      <c r="D1296" s="65"/>
      <c r="E1296" s="55"/>
    </row>
    <row r="1297">
      <c r="A1297" s="55"/>
      <c r="B1297" s="60"/>
      <c r="C1297" s="55"/>
      <c r="D1297" s="65"/>
      <c r="E1297" s="55"/>
    </row>
    <row r="1298">
      <c r="A1298" s="55"/>
      <c r="B1298" s="60"/>
      <c r="C1298" s="55"/>
      <c r="D1298" s="65"/>
      <c r="E1298" s="55"/>
    </row>
    <row r="1299">
      <c r="A1299" s="55"/>
      <c r="B1299" s="60"/>
      <c r="C1299" s="55"/>
      <c r="D1299" s="65"/>
      <c r="E1299" s="55"/>
    </row>
    <row r="1300">
      <c r="A1300" s="55"/>
      <c r="B1300" s="60"/>
      <c r="C1300" s="55"/>
      <c r="D1300" s="65"/>
      <c r="E1300" s="55"/>
    </row>
    <row r="1301">
      <c r="A1301" s="55"/>
      <c r="B1301" s="60"/>
      <c r="C1301" s="55"/>
      <c r="D1301" s="65"/>
      <c r="E1301" s="55"/>
    </row>
    <row r="1302">
      <c r="A1302" s="55"/>
      <c r="B1302" s="60"/>
      <c r="C1302" s="55"/>
      <c r="D1302" s="65"/>
      <c r="E1302" s="55"/>
    </row>
    <row r="1303">
      <c r="A1303" s="55"/>
      <c r="B1303" s="60"/>
      <c r="C1303" s="55"/>
      <c r="D1303" s="65"/>
      <c r="E1303" s="55"/>
    </row>
    <row r="1304">
      <c r="A1304" s="55"/>
      <c r="B1304" s="60"/>
      <c r="C1304" s="55"/>
      <c r="D1304" s="65"/>
      <c r="E1304" s="55"/>
    </row>
    <row r="1305">
      <c r="A1305" s="55"/>
      <c r="B1305" s="60"/>
      <c r="C1305" s="55"/>
      <c r="D1305" s="65"/>
      <c r="E1305" s="55"/>
    </row>
    <row r="1306">
      <c r="A1306" s="55"/>
      <c r="B1306" s="60"/>
      <c r="C1306" s="55"/>
      <c r="D1306" s="65"/>
      <c r="E1306" s="55"/>
    </row>
    <row r="1307">
      <c r="A1307" s="55"/>
      <c r="B1307" s="60"/>
      <c r="C1307" s="55"/>
      <c r="D1307" s="65"/>
      <c r="E1307" s="55"/>
    </row>
    <row r="1308">
      <c r="A1308" s="55"/>
      <c r="B1308" s="60"/>
      <c r="C1308" s="55"/>
      <c r="D1308" s="65"/>
      <c r="E1308" s="55"/>
    </row>
    <row r="1309">
      <c r="A1309" s="55"/>
      <c r="B1309" s="60"/>
      <c r="C1309" s="55"/>
      <c r="D1309" s="65"/>
      <c r="E1309" s="55"/>
    </row>
    <row r="1310">
      <c r="A1310" s="55"/>
      <c r="B1310" s="60"/>
      <c r="C1310" s="55"/>
      <c r="D1310" s="65"/>
      <c r="E1310" s="55"/>
    </row>
    <row r="1311">
      <c r="A1311" s="55"/>
      <c r="B1311" s="60"/>
      <c r="C1311" s="55"/>
      <c r="D1311" s="65"/>
      <c r="E1311" s="55"/>
    </row>
    <row r="1312">
      <c r="A1312" s="55"/>
      <c r="B1312" s="60"/>
      <c r="C1312" s="55"/>
      <c r="D1312" s="65"/>
      <c r="E1312" s="55"/>
    </row>
    <row r="1313">
      <c r="A1313" s="55"/>
      <c r="B1313" s="60"/>
      <c r="C1313" s="55"/>
      <c r="D1313" s="65"/>
      <c r="E1313" s="55"/>
    </row>
    <row r="1314">
      <c r="A1314" s="55"/>
      <c r="B1314" s="60"/>
      <c r="C1314" s="55"/>
      <c r="D1314" s="65"/>
      <c r="E1314" s="55"/>
    </row>
    <row r="1315">
      <c r="A1315" s="55"/>
      <c r="B1315" s="60"/>
      <c r="C1315" s="55"/>
      <c r="D1315" s="65"/>
      <c r="E1315" s="55"/>
    </row>
    <row r="1316">
      <c r="A1316" s="55"/>
      <c r="B1316" s="60"/>
      <c r="C1316" s="55"/>
      <c r="D1316" s="65"/>
      <c r="E1316" s="55"/>
    </row>
    <row r="1317">
      <c r="A1317" s="55"/>
      <c r="B1317" s="60"/>
      <c r="C1317" s="55"/>
      <c r="D1317" s="65"/>
      <c r="E1317" s="55"/>
    </row>
    <row r="1318">
      <c r="A1318" s="55"/>
      <c r="B1318" s="60"/>
      <c r="C1318" s="55"/>
      <c r="D1318" s="65"/>
      <c r="E1318" s="55"/>
    </row>
    <row r="1319">
      <c r="A1319" s="55"/>
      <c r="B1319" s="60"/>
      <c r="C1319" s="55"/>
      <c r="D1319" s="65"/>
      <c r="E1319" s="55"/>
    </row>
    <row r="1320">
      <c r="A1320" s="55"/>
      <c r="B1320" s="60"/>
      <c r="C1320" s="55"/>
      <c r="D1320" s="65"/>
      <c r="E1320" s="55"/>
    </row>
    <row r="1321">
      <c r="A1321" s="55"/>
      <c r="B1321" s="60"/>
      <c r="C1321" s="55"/>
      <c r="D1321" s="65"/>
      <c r="E1321" s="55"/>
    </row>
    <row r="1322">
      <c r="A1322" s="55"/>
      <c r="B1322" s="60"/>
      <c r="C1322" s="55"/>
      <c r="D1322" s="65"/>
      <c r="E1322" s="55"/>
    </row>
    <row r="1323">
      <c r="A1323" s="55"/>
      <c r="B1323" s="60"/>
      <c r="C1323" s="55"/>
      <c r="D1323" s="65"/>
      <c r="E1323" s="55"/>
    </row>
    <row r="1324">
      <c r="A1324" s="55"/>
      <c r="B1324" s="60"/>
      <c r="C1324" s="55"/>
      <c r="D1324" s="65"/>
      <c r="E1324" s="55"/>
    </row>
    <row r="1325">
      <c r="A1325" s="55"/>
      <c r="B1325" s="60"/>
      <c r="C1325" s="55"/>
      <c r="D1325" s="65"/>
      <c r="E1325" s="55"/>
    </row>
    <row r="1326">
      <c r="A1326" s="55"/>
      <c r="B1326" s="60"/>
      <c r="C1326" s="55"/>
      <c r="D1326" s="65"/>
      <c r="E1326" s="55"/>
    </row>
    <row r="1327">
      <c r="A1327" s="55"/>
      <c r="B1327" s="60"/>
      <c r="C1327" s="55"/>
      <c r="D1327" s="65"/>
      <c r="E1327" s="55"/>
    </row>
    <row r="1328">
      <c r="A1328" s="55"/>
      <c r="B1328" s="60"/>
      <c r="C1328" s="55"/>
      <c r="D1328" s="65"/>
      <c r="E1328" s="55"/>
    </row>
    <row r="1329">
      <c r="A1329" s="55"/>
      <c r="B1329" s="60"/>
      <c r="C1329" s="55"/>
      <c r="D1329" s="65"/>
      <c r="E1329" s="55"/>
    </row>
    <row r="1330">
      <c r="A1330" s="55"/>
      <c r="B1330" s="60"/>
      <c r="C1330" s="55"/>
      <c r="D1330" s="65"/>
      <c r="E1330" s="55"/>
    </row>
    <row r="1331">
      <c r="A1331" s="55"/>
      <c r="B1331" s="60"/>
      <c r="C1331" s="55"/>
      <c r="D1331" s="65"/>
      <c r="E1331" s="55"/>
    </row>
    <row r="1332">
      <c r="A1332" s="55"/>
      <c r="B1332" s="60"/>
      <c r="C1332" s="55"/>
      <c r="D1332" s="65"/>
      <c r="E1332" s="55"/>
    </row>
    <row r="1333">
      <c r="A1333" s="55"/>
      <c r="B1333" s="60"/>
      <c r="C1333" s="55"/>
      <c r="D1333" s="65"/>
      <c r="E1333" s="55"/>
    </row>
    <row r="1334">
      <c r="A1334" s="55"/>
      <c r="B1334" s="60"/>
      <c r="C1334" s="55"/>
      <c r="D1334" s="65"/>
      <c r="E1334" s="55"/>
    </row>
    <row r="1335">
      <c r="A1335" s="55"/>
      <c r="B1335" s="60"/>
      <c r="C1335" s="55"/>
      <c r="D1335" s="65"/>
      <c r="E1335" s="55"/>
    </row>
    <row r="1336">
      <c r="A1336" s="55"/>
      <c r="B1336" s="60"/>
      <c r="C1336" s="55"/>
      <c r="D1336" s="65"/>
      <c r="E1336" s="55"/>
    </row>
    <row r="1337">
      <c r="A1337" s="55"/>
      <c r="B1337" s="60"/>
      <c r="C1337" s="55"/>
      <c r="D1337" s="65"/>
      <c r="E1337" s="55"/>
    </row>
    <row r="1338">
      <c r="A1338" s="55"/>
      <c r="B1338" s="60"/>
      <c r="C1338" s="55"/>
      <c r="D1338" s="65"/>
      <c r="E1338" s="55"/>
    </row>
    <row r="1339">
      <c r="A1339" s="55"/>
      <c r="B1339" s="60"/>
      <c r="C1339" s="55"/>
      <c r="D1339" s="65"/>
      <c r="E1339" s="55"/>
    </row>
    <row r="1340">
      <c r="A1340" s="55"/>
      <c r="B1340" s="60"/>
      <c r="C1340" s="55"/>
      <c r="D1340" s="65"/>
      <c r="E1340" s="55"/>
    </row>
    <row r="1341">
      <c r="A1341" s="55"/>
      <c r="B1341" s="60"/>
      <c r="C1341" s="55"/>
      <c r="D1341" s="65"/>
      <c r="E1341" s="55"/>
    </row>
    <row r="1342">
      <c r="A1342" s="55"/>
      <c r="B1342" s="60"/>
      <c r="C1342" s="55"/>
      <c r="D1342" s="65"/>
      <c r="E1342" s="55"/>
    </row>
    <row r="1343">
      <c r="A1343" s="55"/>
      <c r="B1343" s="60"/>
      <c r="C1343" s="55"/>
      <c r="D1343" s="65"/>
      <c r="E1343" s="55"/>
    </row>
    <row r="1344">
      <c r="A1344" s="55"/>
      <c r="B1344" s="60"/>
      <c r="C1344" s="55"/>
      <c r="D1344" s="65"/>
      <c r="E1344" s="55"/>
    </row>
    <row r="1345">
      <c r="A1345" s="55"/>
      <c r="B1345" s="60"/>
      <c r="C1345" s="55"/>
      <c r="D1345" s="65"/>
      <c r="E1345" s="55"/>
    </row>
    <row r="1346">
      <c r="A1346" s="55"/>
      <c r="B1346" s="60"/>
      <c r="C1346" s="55"/>
      <c r="D1346" s="65"/>
      <c r="E1346" s="55"/>
    </row>
    <row r="1347">
      <c r="A1347" s="55"/>
      <c r="B1347" s="60"/>
      <c r="C1347" s="55"/>
      <c r="D1347" s="65"/>
      <c r="E1347" s="55"/>
    </row>
    <row r="1348">
      <c r="A1348" s="55"/>
      <c r="B1348" s="60"/>
      <c r="C1348" s="55"/>
      <c r="D1348" s="65"/>
      <c r="E1348" s="55"/>
    </row>
    <row r="1349">
      <c r="A1349" s="55"/>
      <c r="B1349" s="60"/>
      <c r="C1349" s="55"/>
      <c r="D1349" s="65"/>
      <c r="E1349" s="55"/>
    </row>
    <row r="1350">
      <c r="A1350" s="55"/>
      <c r="B1350" s="60"/>
      <c r="C1350" s="55"/>
      <c r="D1350" s="65"/>
      <c r="E1350" s="55"/>
    </row>
    <row r="1351">
      <c r="A1351" s="55"/>
      <c r="B1351" s="60"/>
      <c r="C1351" s="55"/>
      <c r="D1351" s="65"/>
      <c r="E1351" s="55"/>
    </row>
    <row r="1352">
      <c r="A1352" s="55"/>
      <c r="B1352" s="60"/>
      <c r="C1352" s="55"/>
      <c r="D1352" s="65"/>
      <c r="E1352" s="55"/>
    </row>
    <row r="1353">
      <c r="A1353" s="55"/>
      <c r="B1353" s="60"/>
      <c r="C1353" s="55"/>
      <c r="D1353" s="65"/>
      <c r="E1353" s="55"/>
    </row>
    <row r="1354">
      <c r="A1354" s="55"/>
      <c r="B1354" s="60"/>
      <c r="C1354" s="55"/>
      <c r="D1354" s="65"/>
      <c r="E1354" s="55"/>
    </row>
    <row r="1355">
      <c r="A1355" s="55"/>
      <c r="B1355" s="60"/>
      <c r="C1355" s="55"/>
      <c r="D1355" s="65"/>
      <c r="E1355" s="55"/>
    </row>
    <row r="1356">
      <c r="A1356" s="55"/>
      <c r="B1356" s="60"/>
      <c r="C1356" s="55"/>
      <c r="D1356" s="65"/>
      <c r="E1356" s="55"/>
    </row>
    <row r="1357">
      <c r="A1357" s="55"/>
      <c r="B1357" s="60"/>
      <c r="C1357" s="55"/>
      <c r="D1357" s="65"/>
      <c r="E1357" s="55"/>
    </row>
    <row r="1358">
      <c r="A1358" s="55"/>
      <c r="B1358" s="60"/>
      <c r="C1358" s="55"/>
      <c r="D1358" s="65"/>
      <c r="E1358" s="55"/>
    </row>
    <row r="1359">
      <c r="A1359" s="55"/>
      <c r="B1359" s="60"/>
      <c r="C1359" s="55"/>
      <c r="D1359" s="65"/>
      <c r="E1359" s="55"/>
    </row>
    <row r="1360">
      <c r="A1360" s="55"/>
      <c r="B1360" s="60"/>
      <c r="C1360" s="55"/>
      <c r="D1360" s="65"/>
      <c r="E1360" s="55"/>
    </row>
    <row r="1361">
      <c r="A1361" s="55"/>
      <c r="B1361" s="60"/>
      <c r="C1361" s="55"/>
      <c r="D1361" s="65"/>
      <c r="E1361" s="55"/>
    </row>
    <row r="1362">
      <c r="A1362" s="55"/>
      <c r="B1362" s="60"/>
      <c r="C1362" s="55"/>
      <c r="D1362" s="65"/>
      <c r="E1362" s="55"/>
    </row>
    <row r="1363">
      <c r="A1363" s="55"/>
      <c r="B1363" s="60"/>
      <c r="C1363" s="55"/>
      <c r="D1363" s="65"/>
      <c r="E1363" s="55"/>
    </row>
    <row r="1364">
      <c r="A1364" s="55"/>
      <c r="B1364" s="60"/>
      <c r="C1364" s="55"/>
      <c r="D1364" s="65"/>
      <c r="E1364" s="55"/>
    </row>
    <row r="1365">
      <c r="A1365" s="55"/>
      <c r="B1365" s="60"/>
      <c r="C1365" s="55"/>
      <c r="D1365" s="65"/>
      <c r="E1365" s="55"/>
    </row>
    <row r="1366">
      <c r="A1366" s="55"/>
      <c r="B1366" s="60"/>
      <c r="C1366" s="55"/>
      <c r="D1366" s="65"/>
      <c r="E1366" s="55"/>
    </row>
    <row r="1367">
      <c r="A1367" s="55"/>
      <c r="B1367" s="60"/>
      <c r="C1367" s="55"/>
      <c r="D1367" s="65"/>
      <c r="E1367" s="55"/>
    </row>
    <row r="1368">
      <c r="A1368" s="55"/>
      <c r="B1368" s="60"/>
      <c r="C1368" s="55"/>
      <c r="D1368" s="65"/>
      <c r="E1368" s="55"/>
    </row>
    <row r="1369">
      <c r="A1369" s="55"/>
      <c r="B1369" s="60"/>
      <c r="C1369" s="55"/>
      <c r="D1369" s="65"/>
      <c r="E1369" s="55"/>
    </row>
    <row r="1370">
      <c r="A1370" s="55"/>
      <c r="B1370" s="60"/>
      <c r="C1370" s="55"/>
      <c r="D1370" s="65"/>
      <c r="E1370" s="55"/>
    </row>
    <row r="1371">
      <c r="A1371" s="55"/>
      <c r="B1371" s="60"/>
      <c r="C1371" s="55"/>
      <c r="D1371" s="65"/>
      <c r="E1371" s="55"/>
    </row>
    <row r="1372">
      <c r="A1372" s="55"/>
      <c r="B1372" s="60"/>
      <c r="C1372" s="55"/>
      <c r="D1372" s="65"/>
      <c r="E1372" s="55"/>
    </row>
    <row r="1373">
      <c r="A1373" s="55"/>
      <c r="B1373" s="60"/>
      <c r="C1373" s="55"/>
      <c r="D1373" s="65"/>
      <c r="E1373" s="55"/>
    </row>
    <row r="1374">
      <c r="A1374" s="55"/>
      <c r="B1374" s="60"/>
      <c r="C1374" s="55"/>
      <c r="D1374" s="65"/>
      <c r="E1374" s="55"/>
    </row>
    <row r="1375">
      <c r="A1375" s="55"/>
      <c r="B1375" s="60"/>
      <c r="C1375" s="55"/>
      <c r="D1375" s="65"/>
      <c r="E1375" s="55"/>
    </row>
    <row r="1376">
      <c r="A1376" s="55"/>
      <c r="B1376" s="60"/>
      <c r="C1376" s="55"/>
      <c r="D1376" s="65"/>
      <c r="E1376" s="55"/>
    </row>
    <row r="1377">
      <c r="A1377" s="55"/>
      <c r="B1377" s="60"/>
      <c r="C1377" s="55"/>
      <c r="D1377" s="65"/>
      <c r="E1377" s="55"/>
    </row>
    <row r="1378">
      <c r="A1378" s="55"/>
      <c r="B1378" s="60"/>
      <c r="C1378" s="55"/>
      <c r="D1378" s="65"/>
      <c r="E1378" s="55"/>
    </row>
    <row r="1379">
      <c r="A1379" s="55"/>
      <c r="B1379" s="60"/>
      <c r="C1379" s="55"/>
      <c r="D1379" s="65"/>
      <c r="E1379" s="55"/>
    </row>
    <row r="1380">
      <c r="A1380" s="55"/>
      <c r="B1380" s="60"/>
      <c r="C1380" s="55"/>
      <c r="D1380" s="65"/>
      <c r="E1380" s="55"/>
    </row>
    <row r="1381">
      <c r="A1381" s="55"/>
      <c r="B1381" s="60"/>
      <c r="C1381" s="55"/>
      <c r="D1381" s="65"/>
      <c r="E1381" s="55"/>
    </row>
    <row r="1382">
      <c r="A1382" s="55"/>
      <c r="B1382" s="60"/>
      <c r="C1382" s="55"/>
      <c r="D1382" s="65"/>
      <c r="E1382" s="55"/>
    </row>
    <row r="1383">
      <c r="A1383" s="55"/>
      <c r="B1383" s="60"/>
      <c r="C1383" s="55"/>
      <c r="D1383" s="65"/>
      <c r="E1383" s="55"/>
    </row>
    <row r="1384">
      <c r="A1384" s="55"/>
      <c r="B1384" s="60"/>
      <c r="C1384" s="55"/>
      <c r="D1384" s="65"/>
      <c r="E1384" s="55"/>
    </row>
    <row r="1385">
      <c r="A1385" s="55"/>
      <c r="B1385" s="60"/>
      <c r="C1385" s="55"/>
      <c r="D1385" s="65"/>
      <c r="E1385" s="55"/>
    </row>
    <row r="1386">
      <c r="A1386" s="55"/>
      <c r="B1386" s="60"/>
      <c r="C1386" s="55"/>
      <c r="D1386" s="65"/>
      <c r="E1386" s="55"/>
    </row>
    <row r="1387">
      <c r="A1387" s="55"/>
      <c r="B1387" s="60"/>
      <c r="C1387" s="55"/>
      <c r="D1387" s="65"/>
      <c r="E1387" s="55"/>
    </row>
    <row r="1388">
      <c r="A1388" s="55"/>
      <c r="B1388" s="60"/>
      <c r="C1388" s="55"/>
      <c r="D1388" s="65"/>
      <c r="E1388" s="55"/>
    </row>
    <row r="1389">
      <c r="A1389" s="55"/>
      <c r="B1389" s="60"/>
      <c r="C1389" s="55"/>
      <c r="D1389" s="65"/>
      <c r="E1389" s="55"/>
    </row>
    <row r="1390">
      <c r="A1390" s="55"/>
      <c r="B1390" s="60"/>
      <c r="C1390" s="55"/>
      <c r="D1390" s="65"/>
      <c r="E1390" s="55"/>
    </row>
    <row r="1391">
      <c r="A1391" s="55"/>
      <c r="B1391" s="60"/>
      <c r="C1391" s="55"/>
      <c r="D1391" s="65"/>
      <c r="E1391" s="55"/>
    </row>
    <row r="1392">
      <c r="A1392" s="55"/>
      <c r="B1392" s="60"/>
      <c r="C1392" s="55"/>
      <c r="D1392" s="65"/>
      <c r="E1392" s="55"/>
    </row>
    <row r="1393">
      <c r="A1393" s="55"/>
      <c r="B1393" s="60"/>
      <c r="C1393" s="55"/>
      <c r="D1393" s="65"/>
      <c r="E1393" s="55"/>
    </row>
    <row r="1394">
      <c r="A1394" s="55"/>
      <c r="B1394" s="60"/>
      <c r="C1394" s="55"/>
      <c r="D1394" s="65"/>
      <c r="E1394" s="55"/>
    </row>
    <row r="1395">
      <c r="A1395" s="55"/>
      <c r="B1395" s="60"/>
      <c r="C1395" s="55"/>
      <c r="D1395" s="65"/>
      <c r="E1395" s="55"/>
    </row>
    <row r="1396">
      <c r="A1396" s="55"/>
      <c r="B1396" s="60"/>
      <c r="C1396" s="55"/>
      <c r="D1396" s="65"/>
      <c r="E1396" s="55"/>
    </row>
    <row r="1397">
      <c r="A1397" s="55"/>
      <c r="B1397" s="60"/>
      <c r="C1397" s="55"/>
      <c r="D1397" s="65"/>
      <c r="E1397" s="55"/>
    </row>
    <row r="1398">
      <c r="A1398" s="55"/>
      <c r="B1398" s="60"/>
      <c r="C1398" s="55"/>
      <c r="D1398" s="65"/>
      <c r="E1398" s="55"/>
    </row>
    <row r="1399">
      <c r="A1399" s="55"/>
      <c r="B1399" s="60"/>
      <c r="C1399" s="55"/>
      <c r="D1399" s="65"/>
      <c r="E1399" s="55"/>
    </row>
    <row r="1400">
      <c r="A1400" s="55"/>
      <c r="B1400" s="60"/>
      <c r="C1400" s="55"/>
      <c r="D1400" s="65"/>
      <c r="E1400" s="55"/>
    </row>
    <row r="1401">
      <c r="A1401" s="55"/>
      <c r="B1401" s="60"/>
      <c r="C1401" s="55"/>
      <c r="D1401" s="65"/>
      <c r="E1401" s="55"/>
    </row>
    <row r="1402">
      <c r="A1402" s="55"/>
      <c r="B1402" s="60"/>
      <c r="C1402" s="55"/>
      <c r="D1402" s="65"/>
      <c r="E1402" s="55"/>
    </row>
    <row r="1403">
      <c r="A1403" s="55"/>
      <c r="B1403" s="60"/>
      <c r="C1403" s="55"/>
      <c r="D1403" s="65"/>
      <c r="E1403" s="55"/>
    </row>
    <row r="1404">
      <c r="A1404" s="55"/>
      <c r="B1404" s="60"/>
      <c r="C1404" s="55"/>
      <c r="D1404" s="65"/>
      <c r="E1404" s="55"/>
    </row>
    <row r="1405">
      <c r="A1405" s="55"/>
      <c r="B1405" s="60"/>
      <c r="C1405" s="55"/>
      <c r="D1405" s="65"/>
      <c r="E1405" s="55"/>
    </row>
    <row r="1406">
      <c r="A1406" s="55"/>
      <c r="B1406" s="60"/>
      <c r="C1406" s="55"/>
      <c r="D1406" s="65"/>
      <c r="E1406" s="55"/>
    </row>
    <row r="1407">
      <c r="A1407" s="55"/>
      <c r="B1407" s="60"/>
      <c r="C1407" s="55"/>
      <c r="D1407" s="65"/>
      <c r="E1407" s="55"/>
    </row>
    <row r="1408">
      <c r="A1408" s="55"/>
      <c r="B1408" s="60"/>
      <c r="C1408" s="55"/>
      <c r="D1408" s="65"/>
      <c r="E1408" s="55"/>
    </row>
    <row r="1409">
      <c r="A1409" s="55"/>
      <c r="B1409" s="60"/>
      <c r="C1409" s="55"/>
      <c r="D1409" s="65"/>
      <c r="E1409" s="55"/>
    </row>
    <row r="1410">
      <c r="A1410" s="55"/>
      <c r="B1410" s="60"/>
      <c r="C1410" s="55"/>
      <c r="D1410" s="65"/>
      <c r="E1410" s="55"/>
    </row>
    <row r="1411">
      <c r="A1411" s="55"/>
      <c r="B1411" s="60"/>
      <c r="C1411" s="55"/>
      <c r="D1411" s="65"/>
      <c r="E1411" s="55"/>
    </row>
    <row r="1412">
      <c r="A1412" s="55"/>
      <c r="B1412" s="60"/>
      <c r="C1412" s="55"/>
      <c r="D1412" s="65"/>
      <c r="E1412" s="55"/>
    </row>
    <row r="1413">
      <c r="A1413" s="55"/>
      <c r="B1413" s="60"/>
      <c r="C1413" s="55"/>
      <c r="D1413" s="65"/>
      <c r="E1413" s="55"/>
    </row>
    <row r="1414">
      <c r="A1414" s="55"/>
      <c r="B1414" s="60"/>
      <c r="C1414" s="55"/>
      <c r="D1414" s="65"/>
      <c r="E1414" s="55"/>
    </row>
    <row r="1415">
      <c r="A1415" s="55"/>
      <c r="B1415" s="60"/>
      <c r="C1415" s="55"/>
      <c r="D1415" s="65"/>
      <c r="E1415" s="55"/>
    </row>
    <row r="1416">
      <c r="A1416" s="55"/>
      <c r="B1416" s="60"/>
      <c r="C1416" s="55"/>
      <c r="D1416" s="65"/>
      <c r="E1416" s="55"/>
    </row>
    <row r="1417">
      <c r="A1417" s="55"/>
      <c r="B1417" s="60"/>
      <c r="C1417" s="55"/>
      <c r="D1417" s="65"/>
      <c r="E1417" s="55"/>
    </row>
    <row r="1418">
      <c r="A1418" s="55"/>
      <c r="B1418" s="60"/>
      <c r="C1418" s="55"/>
      <c r="D1418" s="65"/>
      <c r="E1418" s="55"/>
    </row>
    <row r="1419">
      <c r="A1419" s="55"/>
      <c r="B1419" s="60"/>
      <c r="C1419" s="55"/>
      <c r="D1419" s="65"/>
      <c r="E1419" s="55"/>
    </row>
    <row r="1420">
      <c r="A1420" s="55"/>
      <c r="B1420" s="60"/>
      <c r="C1420" s="55"/>
      <c r="D1420" s="65"/>
      <c r="E1420" s="55"/>
    </row>
    <row r="1421">
      <c r="A1421" s="55"/>
      <c r="B1421" s="60"/>
      <c r="C1421" s="55"/>
      <c r="D1421" s="65"/>
      <c r="E1421" s="55"/>
    </row>
    <row r="1422">
      <c r="A1422" s="55"/>
      <c r="B1422" s="60"/>
      <c r="C1422" s="55"/>
      <c r="D1422" s="65"/>
      <c r="E1422" s="55"/>
    </row>
    <row r="1423">
      <c r="A1423" s="55"/>
      <c r="B1423" s="60"/>
      <c r="C1423" s="55"/>
      <c r="D1423" s="65"/>
      <c r="E1423" s="55"/>
    </row>
    <row r="1424">
      <c r="A1424" s="55"/>
      <c r="B1424" s="60"/>
      <c r="C1424" s="55"/>
      <c r="D1424" s="65"/>
      <c r="E1424" s="55"/>
    </row>
    <row r="1425">
      <c r="A1425" s="55"/>
      <c r="B1425" s="60"/>
      <c r="C1425" s="55"/>
      <c r="D1425" s="65"/>
      <c r="E1425" s="55"/>
    </row>
    <row r="1426">
      <c r="A1426" s="55"/>
      <c r="B1426" s="60"/>
      <c r="C1426" s="55"/>
      <c r="D1426" s="65"/>
      <c r="E1426" s="55"/>
    </row>
    <row r="1427">
      <c r="A1427" s="55"/>
      <c r="B1427" s="60"/>
      <c r="C1427" s="55"/>
      <c r="D1427" s="65"/>
      <c r="E1427" s="55"/>
    </row>
    <row r="1428">
      <c r="A1428" s="55"/>
      <c r="B1428" s="60"/>
      <c r="C1428" s="55"/>
      <c r="D1428" s="65"/>
      <c r="E1428" s="55"/>
    </row>
    <row r="1429">
      <c r="A1429" s="55"/>
      <c r="B1429" s="60"/>
      <c r="C1429" s="55"/>
      <c r="D1429" s="65"/>
      <c r="E1429" s="55"/>
    </row>
    <row r="1430">
      <c r="A1430" s="55"/>
      <c r="B1430" s="60"/>
      <c r="C1430" s="55"/>
      <c r="D1430" s="65"/>
      <c r="E1430" s="55"/>
    </row>
    <row r="1431">
      <c r="A1431" s="55"/>
      <c r="B1431" s="60"/>
      <c r="C1431" s="55"/>
      <c r="D1431" s="65"/>
      <c r="E1431" s="55"/>
    </row>
    <row r="1432">
      <c r="A1432" s="55"/>
      <c r="B1432" s="60"/>
      <c r="C1432" s="55"/>
      <c r="D1432" s="65"/>
      <c r="E1432" s="55"/>
    </row>
    <row r="1433">
      <c r="A1433" s="55"/>
      <c r="B1433" s="60"/>
      <c r="C1433" s="55"/>
      <c r="D1433" s="65"/>
      <c r="E1433" s="55"/>
    </row>
    <row r="1434">
      <c r="A1434" s="55"/>
      <c r="B1434" s="60"/>
      <c r="C1434" s="55"/>
      <c r="D1434" s="65"/>
      <c r="E1434" s="55"/>
    </row>
    <row r="1435">
      <c r="A1435" s="55"/>
      <c r="B1435" s="60"/>
      <c r="C1435" s="55"/>
      <c r="D1435" s="65"/>
      <c r="E1435" s="55"/>
    </row>
    <row r="1436">
      <c r="A1436" s="55"/>
      <c r="B1436" s="60"/>
      <c r="C1436" s="55"/>
      <c r="D1436" s="65"/>
      <c r="E1436" s="55"/>
    </row>
    <row r="1437">
      <c r="A1437" s="55"/>
      <c r="B1437" s="60"/>
      <c r="C1437" s="55"/>
      <c r="D1437" s="65"/>
      <c r="E1437" s="55"/>
    </row>
    <row r="1438">
      <c r="A1438" s="55"/>
      <c r="B1438" s="60"/>
      <c r="C1438" s="55"/>
      <c r="D1438" s="65"/>
      <c r="E1438" s="55"/>
    </row>
    <row r="1439">
      <c r="A1439" s="55"/>
      <c r="B1439" s="60"/>
      <c r="C1439" s="55"/>
      <c r="D1439" s="65"/>
      <c r="E1439" s="55"/>
    </row>
    <row r="1440">
      <c r="A1440" s="55"/>
      <c r="B1440" s="60"/>
      <c r="C1440" s="55"/>
      <c r="D1440" s="65"/>
      <c r="E1440" s="55"/>
    </row>
    <row r="1441">
      <c r="A1441" s="55"/>
      <c r="B1441" s="60"/>
      <c r="C1441" s="55"/>
      <c r="D1441" s="65"/>
      <c r="E1441" s="55"/>
    </row>
    <row r="1442">
      <c r="A1442" s="55"/>
      <c r="B1442" s="60"/>
      <c r="C1442" s="55"/>
      <c r="D1442" s="65"/>
      <c r="E1442" s="55"/>
    </row>
    <row r="1443">
      <c r="A1443" s="55"/>
      <c r="B1443" s="60"/>
      <c r="C1443" s="55"/>
      <c r="D1443" s="65"/>
      <c r="E1443" s="55"/>
    </row>
    <row r="1444">
      <c r="A1444" s="55"/>
      <c r="B1444" s="60"/>
      <c r="C1444" s="55"/>
      <c r="D1444" s="65"/>
      <c r="E1444" s="55"/>
    </row>
    <row r="1445">
      <c r="A1445" s="55"/>
      <c r="B1445" s="60"/>
      <c r="C1445" s="55"/>
      <c r="D1445" s="65"/>
      <c r="E1445" s="55"/>
    </row>
    <row r="1446">
      <c r="A1446" s="55"/>
      <c r="B1446" s="60"/>
      <c r="C1446" s="55"/>
      <c r="D1446" s="65"/>
      <c r="E1446" s="55"/>
    </row>
    <row r="1447">
      <c r="A1447" s="55"/>
      <c r="B1447" s="60"/>
      <c r="C1447" s="55"/>
      <c r="D1447" s="65"/>
      <c r="E1447" s="55"/>
    </row>
    <row r="1448">
      <c r="A1448" s="55"/>
      <c r="B1448" s="60"/>
      <c r="C1448" s="55"/>
      <c r="D1448" s="65"/>
      <c r="E1448" s="55"/>
    </row>
    <row r="1449">
      <c r="A1449" s="55"/>
      <c r="B1449" s="60"/>
      <c r="C1449" s="55"/>
      <c r="D1449" s="65"/>
      <c r="E1449" s="55"/>
    </row>
    <row r="1450">
      <c r="A1450" s="55"/>
      <c r="B1450" s="60"/>
      <c r="C1450" s="55"/>
      <c r="D1450" s="65"/>
      <c r="E1450" s="55"/>
    </row>
    <row r="1451">
      <c r="A1451" s="55"/>
      <c r="B1451" s="60"/>
      <c r="C1451" s="55"/>
      <c r="D1451" s="65"/>
      <c r="E1451" s="55"/>
    </row>
    <row r="1452">
      <c r="A1452" s="55"/>
      <c r="B1452" s="60"/>
      <c r="C1452" s="55"/>
      <c r="D1452" s="65"/>
      <c r="E1452" s="55"/>
    </row>
    <row r="1453">
      <c r="A1453" s="55"/>
      <c r="B1453" s="60"/>
      <c r="C1453" s="55"/>
      <c r="D1453" s="65"/>
      <c r="E1453" s="55"/>
    </row>
    <row r="1454">
      <c r="A1454" s="55"/>
      <c r="B1454" s="60"/>
      <c r="C1454" s="55"/>
      <c r="D1454" s="65"/>
      <c r="E1454" s="55"/>
    </row>
    <row r="1455">
      <c r="A1455" s="55"/>
      <c r="B1455" s="60"/>
      <c r="C1455" s="55"/>
      <c r="D1455" s="65"/>
      <c r="E1455" s="55"/>
    </row>
    <row r="1456">
      <c r="A1456" s="55"/>
      <c r="B1456" s="60"/>
      <c r="C1456" s="55"/>
      <c r="D1456" s="65"/>
      <c r="E1456" s="55"/>
    </row>
    <row r="1457">
      <c r="A1457" s="55"/>
      <c r="B1457" s="60"/>
      <c r="C1457" s="55"/>
      <c r="D1457" s="65"/>
      <c r="E1457" s="55"/>
    </row>
    <row r="1458">
      <c r="A1458" s="55"/>
      <c r="B1458" s="60"/>
      <c r="C1458" s="55"/>
      <c r="D1458" s="65"/>
      <c r="E1458" s="55"/>
    </row>
    <row r="1459">
      <c r="A1459" s="55"/>
      <c r="B1459" s="60"/>
      <c r="C1459" s="55"/>
      <c r="D1459" s="65"/>
      <c r="E1459" s="55"/>
    </row>
    <row r="1460">
      <c r="A1460" s="55"/>
      <c r="B1460" s="60"/>
      <c r="C1460" s="55"/>
      <c r="D1460" s="65"/>
      <c r="E1460" s="55"/>
    </row>
    <row r="1461">
      <c r="A1461" s="55"/>
      <c r="B1461" s="60"/>
      <c r="C1461" s="55"/>
      <c r="D1461" s="65"/>
      <c r="E1461" s="55"/>
    </row>
    <row r="1462">
      <c r="A1462" s="55"/>
      <c r="B1462" s="60"/>
      <c r="C1462" s="55"/>
      <c r="D1462" s="65"/>
      <c r="E1462" s="55"/>
    </row>
    <row r="1463">
      <c r="A1463" s="55"/>
      <c r="B1463" s="60"/>
      <c r="C1463" s="55"/>
      <c r="D1463" s="65"/>
      <c r="E1463" s="55"/>
    </row>
    <row r="1464">
      <c r="A1464" s="55"/>
      <c r="B1464" s="60"/>
      <c r="C1464" s="55"/>
      <c r="D1464" s="65"/>
      <c r="E1464" s="55"/>
    </row>
    <row r="1465">
      <c r="A1465" s="55"/>
      <c r="B1465" s="60"/>
      <c r="C1465" s="55"/>
      <c r="D1465" s="65"/>
      <c r="E1465" s="55"/>
    </row>
    <row r="1466">
      <c r="A1466" s="55"/>
      <c r="B1466" s="60"/>
      <c r="C1466" s="55"/>
      <c r="D1466" s="65"/>
      <c r="E1466" s="55"/>
    </row>
    <row r="1467">
      <c r="A1467" s="55"/>
      <c r="B1467" s="60"/>
      <c r="C1467" s="55"/>
      <c r="D1467" s="65"/>
      <c r="E1467" s="55"/>
    </row>
    <row r="1468">
      <c r="A1468" s="55"/>
      <c r="B1468" s="60"/>
      <c r="C1468" s="55"/>
      <c r="D1468" s="65"/>
      <c r="E1468" s="55"/>
    </row>
    <row r="1469">
      <c r="A1469" s="55"/>
      <c r="B1469" s="60"/>
      <c r="C1469" s="55"/>
      <c r="D1469" s="65"/>
      <c r="E1469" s="55"/>
    </row>
    <row r="1470">
      <c r="A1470" s="55"/>
      <c r="B1470" s="60"/>
      <c r="C1470" s="55"/>
      <c r="D1470" s="65"/>
      <c r="E1470" s="55"/>
    </row>
    <row r="1471">
      <c r="A1471" s="55"/>
      <c r="B1471" s="60"/>
      <c r="C1471" s="55"/>
      <c r="D1471" s="65"/>
      <c r="E1471" s="55"/>
    </row>
    <row r="1472">
      <c r="A1472" s="55"/>
      <c r="B1472" s="60"/>
      <c r="C1472" s="55"/>
      <c r="D1472" s="65"/>
      <c r="E1472" s="55"/>
    </row>
    <row r="1473">
      <c r="A1473" s="55"/>
      <c r="B1473" s="60"/>
      <c r="C1473" s="55"/>
      <c r="D1473" s="65"/>
      <c r="E1473" s="55"/>
    </row>
    <row r="1474">
      <c r="A1474" s="55"/>
      <c r="B1474" s="60"/>
      <c r="C1474" s="55"/>
      <c r="D1474" s="65"/>
      <c r="E1474" s="55"/>
    </row>
    <row r="1475">
      <c r="A1475" s="55"/>
      <c r="B1475" s="60"/>
      <c r="C1475" s="55"/>
      <c r="D1475" s="65"/>
      <c r="E1475" s="55"/>
    </row>
    <row r="1476">
      <c r="A1476" s="55"/>
      <c r="B1476" s="60"/>
      <c r="C1476" s="55"/>
      <c r="D1476" s="65"/>
      <c r="E1476" s="55"/>
    </row>
    <row r="1477">
      <c r="A1477" s="55"/>
      <c r="B1477" s="60"/>
      <c r="C1477" s="55"/>
      <c r="D1477" s="65"/>
      <c r="E1477" s="55"/>
    </row>
    <row r="1478">
      <c r="A1478" s="55"/>
      <c r="B1478" s="60"/>
      <c r="C1478" s="55"/>
      <c r="D1478" s="65"/>
      <c r="E1478" s="55"/>
    </row>
    <row r="1479">
      <c r="A1479" s="55"/>
      <c r="B1479" s="60"/>
      <c r="C1479" s="55"/>
      <c r="D1479" s="65"/>
      <c r="E1479" s="55"/>
    </row>
    <row r="1480">
      <c r="A1480" s="55"/>
      <c r="B1480" s="60"/>
      <c r="C1480" s="55"/>
      <c r="D1480" s="65"/>
      <c r="E1480" s="55"/>
    </row>
    <row r="1481">
      <c r="A1481" s="55"/>
      <c r="B1481" s="60"/>
      <c r="C1481" s="55"/>
      <c r="D1481" s="65"/>
      <c r="E1481" s="55"/>
    </row>
    <row r="1482">
      <c r="A1482" s="55"/>
      <c r="B1482" s="60"/>
      <c r="C1482" s="55"/>
      <c r="D1482" s="65"/>
      <c r="E1482" s="55"/>
    </row>
    <row r="1483">
      <c r="A1483" s="55"/>
      <c r="B1483" s="60"/>
      <c r="C1483" s="55"/>
      <c r="D1483" s="65"/>
      <c r="E1483" s="55"/>
    </row>
    <row r="1484">
      <c r="A1484" s="55"/>
      <c r="B1484" s="60"/>
      <c r="C1484" s="55"/>
      <c r="D1484" s="65"/>
      <c r="E1484" s="55"/>
    </row>
    <row r="1485">
      <c r="A1485" s="55"/>
      <c r="B1485" s="60"/>
      <c r="C1485" s="55"/>
      <c r="D1485" s="65"/>
      <c r="E1485" s="55"/>
    </row>
    <row r="1486">
      <c r="A1486" s="55"/>
      <c r="B1486" s="60"/>
      <c r="C1486" s="55"/>
      <c r="D1486" s="65"/>
      <c r="E1486" s="55"/>
    </row>
    <row r="1487">
      <c r="A1487" s="55"/>
      <c r="B1487" s="60"/>
      <c r="C1487" s="55"/>
      <c r="D1487" s="65"/>
      <c r="E1487" s="55"/>
    </row>
    <row r="1488">
      <c r="A1488" s="55"/>
      <c r="B1488" s="60"/>
      <c r="C1488" s="55"/>
      <c r="D1488" s="65"/>
      <c r="E1488" s="55"/>
    </row>
    <row r="1489">
      <c r="A1489" s="55"/>
      <c r="B1489" s="60"/>
      <c r="C1489" s="55"/>
      <c r="D1489" s="65"/>
      <c r="E1489" s="55"/>
    </row>
    <row r="1490">
      <c r="A1490" s="55"/>
      <c r="B1490" s="60"/>
      <c r="C1490" s="55"/>
      <c r="D1490" s="65"/>
      <c r="E1490" s="55"/>
    </row>
    <row r="1491">
      <c r="A1491" s="55"/>
      <c r="B1491" s="60"/>
      <c r="C1491" s="55"/>
      <c r="D1491" s="65"/>
      <c r="E1491" s="55"/>
    </row>
    <row r="1492">
      <c r="A1492" s="55"/>
      <c r="B1492" s="60"/>
      <c r="C1492" s="55"/>
      <c r="D1492" s="65"/>
      <c r="E1492" s="55"/>
    </row>
    <row r="1493">
      <c r="A1493" s="55"/>
      <c r="B1493" s="60"/>
      <c r="C1493" s="55"/>
      <c r="D1493" s="65"/>
      <c r="E1493" s="55"/>
    </row>
    <row r="1494">
      <c r="A1494" s="55"/>
      <c r="B1494" s="60"/>
      <c r="C1494" s="55"/>
      <c r="D1494" s="65"/>
      <c r="E1494" s="55"/>
    </row>
    <row r="1495">
      <c r="A1495" s="55"/>
      <c r="B1495" s="60"/>
      <c r="C1495" s="55"/>
      <c r="D1495" s="65"/>
      <c r="E1495" s="55"/>
    </row>
    <row r="1496">
      <c r="A1496" s="55"/>
      <c r="B1496" s="60"/>
      <c r="C1496" s="55"/>
      <c r="D1496" s="65"/>
      <c r="E1496" s="55"/>
    </row>
    <row r="1497">
      <c r="A1497" s="55"/>
      <c r="B1497" s="60"/>
      <c r="C1497" s="55"/>
      <c r="D1497" s="65"/>
      <c r="E1497" s="55"/>
    </row>
    <row r="1498">
      <c r="A1498" s="55"/>
      <c r="B1498" s="60"/>
      <c r="C1498" s="55"/>
      <c r="D1498" s="65"/>
      <c r="E1498" s="55"/>
    </row>
    <row r="1499">
      <c r="A1499" s="55"/>
      <c r="B1499" s="60"/>
      <c r="C1499" s="55"/>
      <c r="D1499" s="65"/>
      <c r="E1499" s="55"/>
    </row>
    <row r="1500">
      <c r="A1500" s="55"/>
      <c r="B1500" s="60"/>
      <c r="C1500" s="55"/>
      <c r="D1500" s="65"/>
      <c r="E1500" s="55"/>
    </row>
    <row r="1501">
      <c r="A1501" s="55"/>
      <c r="B1501" s="60"/>
      <c r="C1501" s="55"/>
      <c r="D1501" s="65"/>
      <c r="E1501" s="55"/>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44.25"/>
    <col customWidth="1" min="3" max="3" width="14.5"/>
    <col customWidth="1" min="4" max="4" width="13.63"/>
    <col customWidth="1" min="5" max="5" width="15.38"/>
    <col customWidth="1" min="7" max="7" width="14.88"/>
  </cols>
  <sheetData>
    <row r="1">
      <c r="A1" s="67" t="s">
        <v>878</v>
      </c>
      <c r="B1" s="68" t="s">
        <v>879</v>
      </c>
      <c r="C1" s="69"/>
      <c r="D1" s="69"/>
      <c r="E1" s="69"/>
      <c r="F1" s="70" t="s">
        <v>880</v>
      </c>
      <c r="G1" s="71">
        <f>TODAY()</f>
        <v>45964</v>
      </c>
    </row>
    <row r="2">
      <c r="A2" s="67" t="s">
        <v>881</v>
      </c>
      <c r="B2" s="72" t="s">
        <v>882</v>
      </c>
      <c r="C2" s="69"/>
      <c r="D2" s="69"/>
      <c r="E2" s="69"/>
      <c r="F2" s="73"/>
      <c r="G2" s="74"/>
    </row>
    <row r="3">
      <c r="A3" s="67" t="s">
        <v>883</v>
      </c>
      <c r="B3" s="75" t="s">
        <v>884</v>
      </c>
      <c r="C3" s="69"/>
      <c r="D3" s="69"/>
      <c r="E3" s="69"/>
      <c r="F3" s="69"/>
      <c r="G3" s="69"/>
    </row>
    <row r="4">
      <c r="A4" s="67" t="s">
        <v>885</v>
      </c>
      <c r="B4" s="76" t="s">
        <v>886</v>
      </c>
      <c r="C4" s="69"/>
      <c r="D4" s="69"/>
      <c r="E4" s="69"/>
      <c r="F4" s="69"/>
      <c r="G4" s="69"/>
    </row>
    <row r="5">
      <c r="A5" s="67" t="s">
        <v>887</v>
      </c>
      <c r="B5" s="76" t="s">
        <v>888</v>
      </c>
      <c r="C5" s="69"/>
      <c r="D5" s="69"/>
      <c r="E5" s="69"/>
      <c r="F5" s="69"/>
      <c r="G5" s="69"/>
    </row>
    <row r="6">
      <c r="A6" s="67" t="s">
        <v>889</v>
      </c>
      <c r="B6" s="77" t="s">
        <v>890</v>
      </c>
      <c r="C6" s="78"/>
      <c r="D6" s="78"/>
      <c r="E6" s="79"/>
      <c r="F6" s="80"/>
      <c r="G6" s="80"/>
    </row>
    <row r="7">
      <c r="A7" s="81"/>
      <c r="B7" s="82"/>
      <c r="C7" s="78"/>
      <c r="D7" s="78"/>
      <c r="E7" s="79"/>
      <c r="F7" s="80"/>
      <c r="G7" s="80"/>
    </row>
    <row r="8">
      <c r="A8" s="83" t="s">
        <v>5</v>
      </c>
      <c r="B8" s="84" t="s">
        <v>891</v>
      </c>
      <c r="C8" s="83" t="s">
        <v>892</v>
      </c>
      <c r="D8" s="85" t="s">
        <v>893</v>
      </c>
      <c r="E8" s="85" t="s">
        <v>894</v>
      </c>
      <c r="F8" s="86" t="s">
        <v>895</v>
      </c>
      <c r="G8" s="86" t="s">
        <v>896</v>
      </c>
    </row>
    <row r="9">
      <c r="A9" s="87" t="s">
        <v>897</v>
      </c>
      <c r="B9" s="88">
        <f t="shared" ref="B9:B17" si="1">ROUNDUP((60/100)*(C9*4) ,0)</f>
        <v>34</v>
      </c>
      <c r="C9" s="89" t="s">
        <v>898</v>
      </c>
      <c r="D9" s="90">
        <f t="shared" ref="D9:D17" si="2">ROUNDUP((60/100)*(E9*4) ,0)</f>
        <v>34</v>
      </c>
      <c r="E9" s="91">
        <f t="shared" ref="E9:E17" si="3">if(C9="13",COUNTIFS(G$9:G$21,"&lt;"&amp;G$1),if(C9="14",COUNTIFS(G$9:G$22,"&lt;"&amp;G$1),if(C9="15",COUNTIFS(G$9:G$23,"&lt;"&amp;G$1),if(C9="16",COUNTIFS(G$9:G24,"&lt;"&amp;G$1)))))</f>
        <v>14</v>
      </c>
      <c r="F9" s="92">
        <v>1.0</v>
      </c>
      <c r="G9" s="93">
        <v>45910.0</v>
      </c>
    </row>
    <row r="10">
      <c r="A10" s="94" t="s">
        <v>899</v>
      </c>
      <c r="B10" s="88">
        <f t="shared" si="1"/>
        <v>36</v>
      </c>
      <c r="C10" s="89" t="s">
        <v>900</v>
      </c>
      <c r="D10" s="90">
        <f t="shared" si="2"/>
        <v>34</v>
      </c>
      <c r="E10" s="91">
        <f t="shared" si="3"/>
        <v>14</v>
      </c>
      <c r="F10" s="92">
        <v>2.0</v>
      </c>
      <c r="G10" s="93">
        <v>45915.0</v>
      </c>
    </row>
    <row r="11">
      <c r="A11" s="95" t="s">
        <v>901</v>
      </c>
      <c r="B11" s="88">
        <f t="shared" si="1"/>
        <v>36</v>
      </c>
      <c r="C11" s="89" t="s">
        <v>900</v>
      </c>
      <c r="D11" s="90">
        <f t="shared" si="2"/>
        <v>34</v>
      </c>
      <c r="E11" s="91">
        <f t="shared" si="3"/>
        <v>14</v>
      </c>
      <c r="F11" s="92">
        <v>3.0</v>
      </c>
      <c r="G11" s="93">
        <v>45917.0</v>
      </c>
    </row>
    <row r="12">
      <c r="A12" s="96" t="s">
        <v>902</v>
      </c>
      <c r="B12" s="88">
        <f t="shared" si="1"/>
        <v>39</v>
      </c>
      <c r="C12" s="89" t="s">
        <v>903</v>
      </c>
      <c r="D12" s="90">
        <f t="shared" si="2"/>
        <v>34</v>
      </c>
      <c r="E12" s="91">
        <f t="shared" si="3"/>
        <v>14</v>
      </c>
      <c r="F12" s="92">
        <v>4.0</v>
      </c>
      <c r="G12" s="93">
        <v>45922.0</v>
      </c>
    </row>
    <row r="13">
      <c r="A13" s="97" t="s">
        <v>904</v>
      </c>
      <c r="B13" s="88">
        <f t="shared" si="1"/>
        <v>39</v>
      </c>
      <c r="C13" s="89" t="s">
        <v>903</v>
      </c>
      <c r="D13" s="90">
        <f t="shared" si="2"/>
        <v>34</v>
      </c>
      <c r="E13" s="91">
        <f t="shared" si="3"/>
        <v>14</v>
      </c>
      <c r="F13" s="92">
        <v>5.0</v>
      </c>
      <c r="G13" s="93">
        <v>45924.0</v>
      </c>
    </row>
    <row r="14">
      <c r="A14" s="98" t="s">
        <v>905</v>
      </c>
      <c r="B14" s="88">
        <f t="shared" si="1"/>
        <v>36</v>
      </c>
      <c r="C14" s="89" t="s">
        <v>900</v>
      </c>
      <c r="D14" s="90">
        <f t="shared" si="2"/>
        <v>34</v>
      </c>
      <c r="E14" s="91">
        <f t="shared" si="3"/>
        <v>14</v>
      </c>
      <c r="F14" s="92">
        <v>6.0</v>
      </c>
      <c r="G14" s="93">
        <v>45929.0</v>
      </c>
    </row>
    <row r="15">
      <c r="A15" s="99" t="s">
        <v>906</v>
      </c>
      <c r="B15" s="88">
        <f t="shared" si="1"/>
        <v>36</v>
      </c>
      <c r="C15" s="89" t="s">
        <v>900</v>
      </c>
      <c r="D15" s="90">
        <f t="shared" si="2"/>
        <v>34</v>
      </c>
      <c r="E15" s="91">
        <f t="shared" si="3"/>
        <v>14</v>
      </c>
      <c r="F15" s="92">
        <v>7.0</v>
      </c>
      <c r="G15" s="93">
        <v>45931.0</v>
      </c>
    </row>
    <row r="16">
      <c r="A16" s="100" t="s">
        <v>907</v>
      </c>
      <c r="B16" s="88">
        <f t="shared" si="1"/>
        <v>32</v>
      </c>
      <c r="C16" s="89" t="s">
        <v>908</v>
      </c>
      <c r="D16" s="90">
        <f t="shared" si="2"/>
        <v>32</v>
      </c>
      <c r="E16" s="91">
        <f t="shared" si="3"/>
        <v>13</v>
      </c>
      <c r="F16" s="92">
        <v>8.0</v>
      </c>
      <c r="G16" s="93">
        <v>45936.0</v>
      </c>
    </row>
    <row r="17">
      <c r="A17" s="101" t="s">
        <v>909</v>
      </c>
      <c r="B17" s="88">
        <f t="shared" si="1"/>
        <v>34</v>
      </c>
      <c r="C17" s="89" t="s">
        <v>898</v>
      </c>
      <c r="D17" s="90">
        <f t="shared" si="2"/>
        <v>34</v>
      </c>
      <c r="E17" s="91">
        <f t="shared" si="3"/>
        <v>14</v>
      </c>
      <c r="F17" s="92">
        <v>9.0</v>
      </c>
      <c r="G17" s="93">
        <v>45938.0</v>
      </c>
    </row>
    <row r="18">
      <c r="A18" s="102"/>
      <c r="B18" s="102"/>
      <c r="C18" s="102"/>
      <c r="D18" s="102"/>
      <c r="E18" s="102"/>
      <c r="F18" s="92">
        <v>10.0</v>
      </c>
      <c r="G18" s="93">
        <v>45945.0</v>
      </c>
    </row>
    <row r="19">
      <c r="A19" s="102"/>
      <c r="B19" s="102"/>
      <c r="C19" s="102"/>
      <c r="D19" s="102"/>
      <c r="E19" s="102"/>
      <c r="F19" s="92">
        <v>11.0</v>
      </c>
      <c r="G19" s="93">
        <v>45950.0</v>
      </c>
    </row>
    <row r="20">
      <c r="A20" s="103"/>
      <c r="B20" s="102"/>
      <c r="C20" s="104"/>
      <c r="D20" s="102"/>
      <c r="E20" s="102"/>
      <c r="F20" s="92">
        <v>12.0</v>
      </c>
      <c r="G20" s="93">
        <v>45952.0</v>
      </c>
    </row>
    <row r="21">
      <c r="A21" s="105"/>
      <c r="B21" s="102"/>
      <c r="C21" s="106"/>
      <c r="D21" s="102"/>
      <c r="E21" s="102"/>
      <c r="F21" s="92">
        <v>13.0</v>
      </c>
      <c r="G21" s="93">
        <v>45957.0</v>
      </c>
    </row>
    <row r="22">
      <c r="A22" s="105"/>
      <c r="B22" s="102"/>
      <c r="C22" s="106"/>
      <c r="D22" s="102"/>
      <c r="E22" s="102"/>
      <c r="F22" s="92">
        <v>14.0</v>
      </c>
      <c r="G22" s="93">
        <v>45959.0</v>
      </c>
    </row>
    <row r="23">
      <c r="A23" s="105"/>
      <c r="B23" s="102"/>
      <c r="C23" s="106"/>
      <c r="D23" s="102"/>
      <c r="E23" s="102"/>
      <c r="F23" s="92">
        <v>15.0</v>
      </c>
      <c r="G23" s="93">
        <v>45964.0</v>
      </c>
    </row>
    <row r="24">
      <c r="A24" s="105"/>
      <c r="B24" s="102"/>
      <c r="C24" s="106"/>
      <c r="D24" s="102"/>
      <c r="E24" s="102"/>
      <c r="F24" s="92">
        <v>16.0</v>
      </c>
      <c r="G24" s="93">
        <v>45966.0</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2.0"/>
    <col customWidth="1" min="4" max="4" width="15.63"/>
    <col customWidth="1" min="6" max="10" width="12.63"/>
  </cols>
  <sheetData>
    <row r="1">
      <c r="A1" s="43" t="s">
        <v>61</v>
      </c>
      <c r="B1" s="44" t="s">
        <v>1</v>
      </c>
      <c r="C1" s="42" t="s">
        <v>5</v>
      </c>
      <c r="D1" s="45" t="s">
        <v>6</v>
      </c>
      <c r="E1" s="42" t="s">
        <v>10</v>
      </c>
      <c r="F1" s="46" t="s">
        <v>15</v>
      </c>
      <c r="G1" s="47" t="s">
        <v>23</v>
      </c>
      <c r="H1" s="48" t="s">
        <v>19</v>
      </c>
      <c r="I1" s="49" t="s">
        <v>12</v>
      </c>
      <c r="J1" s="50" t="s">
        <v>23</v>
      </c>
    </row>
    <row r="2">
      <c r="A2" s="52" t="str">
        <f>IFERROR(__xludf.DUMMYFUNCTION("sort(QUERY(IMPORTRANGE(Variables!B4, ""Player Playoff Stats!A2:I""),""select Col1, Col2, Col3, Col4, Col6, Col7, Col9""),3,true,6,false)"),"#REF!")</f>
        <v>#REF!</v>
      </c>
      <c r="B2" s="53"/>
      <c r="C2" s="51"/>
      <c r="D2" s="54"/>
      <c r="E2" s="55"/>
      <c r="F2" s="62"/>
      <c r="G2" s="57"/>
      <c r="H2" s="58" t="str">
        <f>IFERROR(__xludf.DUMMYFUNCTION("iferror(if(A2="""", ,filter('Playoff IDR Import'!D:D,'Playoff IDR Import'!A:A=A2,'Playoff IDR Import'!C:C=C2)),)"),"")</f>
        <v/>
      </c>
      <c r="I2" s="58" t="str">
        <f t="array" ref="I2:I1501">if(H2:H1501="",F2:F1501 ,(F2:F1501+H2:H1501)/2)</f>
        <v/>
      </c>
      <c r="J2" s="59" t="str">
        <f t="shared" ref="J2:J1501" si="1">G2</f>
        <v/>
      </c>
    </row>
    <row r="3">
      <c r="A3" s="55"/>
      <c r="B3" s="60"/>
      <c r="C3" s="55"/>
      <c r="D3" s="54"/>
      <c r="E3" s="55"/>
      <c r="F3" s="62"/>
      <c r="G3" s="57"/>
      <c r="H3" s="58" t="str">
        <f>IFERROR(__xludf.DUMMYFUNCTION("iferror(if(A3="""", ,filter('Playoff IDR Import'!D:D,'Playoff IDR Import'!A:A=A3,'Playoff IDR Import'!C:C=C3)),)"),"")</f>
        <v/>
      </c>
      <c r="I3" s="58"/>
      <c r="J3" s="59" t="str">
        <f t="shared" si="1"/>
        <v/>
      </c>
    </row>
    <row r="4">
      <c r="A4" s="55"/>
      <c r="B4" s="60"/>
      <c r="C4" s="55"/>
      <c r="D4" s="54"/>
      <c r="E4" s="55"/>
      <c r="F4" s="62"/>
      <c r="G4" s="57"/>
      <c r="H4" s="58" t="str">
        <f>IFERROR(__xludf.DUMMYFUNCTION("iferror(if(A4="""", ,filter('Playoff IDR Import'!D:D,'Playoff IDR Import'!A:A=A4,'Playoff IDR Import'!C:C=C4)),)"),"")</f>
        <v/>
      </c>
      <c r="I4" s="58"/>
      <c r="J4" s="59" t="str">
        <f t="shared" si="1"/>
        <v/>
      </c>
    </row>
    <row r="5">
      <c r="A5" s="55"/>
      <c r="B5" s="60"/>
      <c r="C5" s="55"/>
      <c r="D5" s="54"/>
      <c r="E5" s="55"/>
      <c r="F5" s="62"/>
      <c r="G5" s="57"/>
      <c r="H5" s="58" t="str">
        <f>IFERROR(__xludf.DUMMYFUNCTION("iferror(if(A5="""", ,filter('Playoff IDR Import'!D:D,'Playoff IDR Import'!A:A=A5,'Playoff IDR Import'!C:C=C5)),)"),"")</f>
        <v/>
      </c>
      <c r="I5" s="58"/>
      <c r="J5" s="59" t="str">
        <f t="shared" si="1"/>
        <v/>
      </c>
    </row>
    <row r="6">
      <c r="A6" s="55"/>
      <c r="B6" s="60"/>
      <c r="C6" s="55"/>
      <c r="D6" s="54"/>
      <c r="E6" s="55"/>
      <c r="F6" s="62"/>
      <c r="G6" s="57"/>
      <c r="H6" s="58" t="str">
        <f>IFERROR(__xludf.DUMMYFUNCTION("iferror(if(A6="""", ,filter('Playoff IDR Import'!D:D,'Playoff IDR Import'!A:A=A6,'Playoff IDR Import'!C:C=C6)),)"),"")</f>
        <v/>
      </c>
      <c r="I6" s="58"/>
      <c r="J6" s="59" t="str">
        <f t="shared" si="1"/>
        <v/>
      </c>
    </row>
    <row r="7">
      <c r="A7" s="55"/>
      <c r="B7" s="60"/>
      <c r="C7" s="55"/>
      <c r="D7" s="54"/>
      <c r="E7" s="55"/>
      <c r="F7" s="62"/>
      <c r="G7" s="57"/>
      <c r="H7" s="58" t="str">
        <f>IFERROR(__xludf.DUMMYFUNCTION("iferror(if(A7="""", ,filter('Playoff IDR Import'!D:D,'Playoff IDR Import'!A:A=A7,'Playoff IDR Import'!C:C=C7)),)"),"")</f>
        <v/>
      </c>
      <c r="I7" s="58"/>
      <c r="J7" s="59" t="str">
        <f t="shared" si="1"/>
        <v/>
      </c>
    </row>
    <row r="8">
      <c r="A8" s="55"/>
      <c r="B8" s="60"/>
      <c r="C8" s="55"/>
      <c r="D8" s="54"/>
      <c r="E8" s="55"/>
      <c r="F8" s="62"/>
      <c r="G8" s="57"/>
      <c r="H8" s="58" t="str">
        <f>IFERROR(__xludf.DUMMYFUNCTION("iferror(if(A8="""", ,filter('Playoff IDR Import'!D:D,'Playoff IDR Import'!A:A=A8,'Playoff IDR Import'!C:C=C8)),)"),"")</f>
        <v/>
      </c>
      <c r="I8" s="58"/>
      <c r="J8" s="59" t="str">
        <f t="shared" si="1"/>
        <v/>
      </c>
    </row>
    <row r="9">
      <c r="A9" s="55"/>
      <c r="B9" s="60"/>
      <c r="C9" s="55"/>
      <c r="D9" s="54"/>
      <c r="E9" s="55"/>
      <c r="F9" s="62"/>
      <c r="G9" s="57"/>
      <c r="H9" s="58" t="str">
        <f>IFERROR(__xludf.DUMMYFUNCTION("iferror(if(A9="""", ,filter('Playoff IDR Import'!D:D,'Playoff IDR Import'!A:A=A9,'Playoff IDR Import'!C:C=C9)),)"),"")</f>
        <v/>
      </c>
      <c r="I9" s="58"/>
      <c r="J9" s="59" t="str">
        <f t="shared" si="1"/>
        <v/>
      </c>
    </row>
    <row r="10">
      <c r="A10" s="55"/>
      <c r="B10" s="60"/>
      <c r="C10" s="55"/>
      <c r="D10" s="54"/>
      <c r="E10" s="55"/>
      <c r="F10" s="62"/>
      <c r="G10" s="57"/>
      <c r="H10" s="58" t="str">
        <f>IFERROR(__xludf.DUMMYFUNCTION("iferror(if(A10="""", ,filter('Playoff IDR Import'!D:D,'Playoff IDR Import'!A:A=A10,'Playoff IDR Import'!C:C=C10)),)"),"")</f>
        <v/>
      </c>
      <c r="I10" s="58"/>
      <c r="J10" s="59" t="str">
        <f t="shared" si="1"/>
        <v/>
      </c>
    </row>
    <row r="11">
      <c r="A11" s="55"/>
      <c r="B11" s="60"/>
      <c r="C11" s="55"/>
      <c r="D11" s="54"/>
      <c r="E11" s="55"/>
      <c r="F11" s="62"/>
      <c r="G11" s="57"/>
      <c r="H11" s="58" t="str">
        <f>IFERROR(__xludf.DUMMYFUNCTION("iferror(if(A11="""", ,filter('Playoff IDR Import'!D:D,'Playoff IDR Import'!A:A=A11,'Playoff IDR Import'!C:C=C11)),)"),"")</f>
        <v/>
      </c>
      <c r="I11" s="58"/>
      <c r="J11" s="59" t="str">
        <f t="shared" si="1"/>
        <v/>
      </c>
    </row>
    <row r="12">
      <c r="A12" s="55"/>
      <c r="B12" s="60"/>
      <c r="C12" s="55"/>
      <c r="D12" s="54"/>
      <c r="E12" s="55"/>
      <c r="F12" s="62"/>
      <c r="G12" s="57"/>
      <c r="H12" s="58" t="str">
        <f>IFERROR(__xludf.DUMMYFUNCTION("iferror(if(A12="""", ,filter('Playoff IDR Import'!D:D,'Playoff IDR Import'!A:A=A12,'Playoff IDR Import'!C:C=C12)),)"),"")</f>
        <v/>
      </c>
      <c r="I12" s="58"/>
      <c r="J12" s="59" t="str">
        <f t="shared" si="1"/>
        <v/>
      </c>
    </row>
    <row r="13">
      <c r="A13" s="55"/>
      <c r="B13" s="60"/>
      <c r="C13" s="55"/>
      <c r="D13" s="54"/>
      <c r="E13" s="55"/>
      <c r="F13" s="62"/>
      <c r="G13" s="57"/>
      <c r="H13" s="58" t="str">
        <f>IFERROR(__xludf.DUMMYFUNCTION("iferror(if(A13="""", ,filter('Playoff IDR Import'!D:D,'Playoff IDR Import'!A:A=A13,'Playoff IDR Import'!C:C=C13)),)"),"")</f>
        <v/>
      </c>
      <c r="I13" s="58"/>
      <c r="J13" s="59" t="str">
        <f t="shared" si="1"/>
        <v/>
      </c>
    </row>
    <row r="14">
      <c r="A14" s="55"/>
      <c r="B14" s="60"/>
      <c r="C14" s="55"/>
      <c r="D14" s="54"/>
      <c r="E14" s="55"/>
      <c r="F14" s="62"/>
      <c r="G14" s="57"/>
      <c r="H14" s="58" t="str">
        <f>IFERROR(__xludf.DUMMYFUNCTION("iferror(if(A14="""", ,filter('Playoff IDR Import'!D:D,'Playoff IDR Import'!A:A=A14,'Playoff IDR Import'!C:C=C14)),)"),"")</f>
        <v/>
      </c>
      <c r="I14" s="58"/>
      <c r="J14" s="59" t="str">
        <f t="shared" si="1"/>
        <v/>
      </c>
    </row>
    <row r="15">
      <c r="A15" s="55"/>
      <c r="B15" s="60"/>
      <c r="C15" s="55"/>
      <c r="D15" s="54"/>
      <c r="E15" s="55"/>
      <c r="F15" s="62"/>
      <c r="G15" s="57"/>
      <c r="H15" s="58" t="str">
        <f>IFERROR(__xludf.DUMMYFUNCTION("iferror(if(A15="""", ,filter('Playoff IDR Import'!D:D,'Playoff IDR Import'!A:A=A15,'Playoff IDR Import'!C:C=C15)),)"),"")</f>
        <v/>
      </c>
      <c r="I15" s="58"/>
      <c r="J15" s="59" t="str">
        <f t="shared" si="1"/>
        <v/>
      </c>
    </row>
    <row r="16">
      <c r="A16" s="55"/>
      <c r="B16" s="60"/>
      <c r="C16" s="55"/>
      <c r="D16" s="54"/>
      <c r="E16" s="55"/>
      <c r="F16" s="62"/>
      <c r="G16" s="57"/>
      <c r="H16" s="58" t="str">
        <f>IFERROR(__xludf.DUMMYFUNCTION("iferror(if(A16="""", ,filter('Playoff IDR Import'!D:D,'Playoff IDR Import'!A:A=A16,'Playoff IDR Import'!C:C=C16)),)"),"")</f>
        <v/>
      </c>
      <c r="I16" s="58"/>
      <c r="J16" s="59" t="str">
        <f t="shared" si="1"/>
        <v/>
      </c>
    </row>
    <row r="17">
      <c r="A17" s="55"/>
      <c r="B17" s="60"/>
      <c r="C17" s="55"/>
      <c r="D17" s="54"/>
      <c r="E17" s="55"/>
      <c r="F17" s="62"/>
      <c r="G17" s="57"/>
      <c r="H17" s="58" t="str">
        <f>IFERROR(__xludf.DUMMYFUNCTION("iferror(if(A17="""", ,filter('Playoff IDR Import'!D:D,'Playoff IDR Import'!A:A=A17,'Playoff IDR Import'!C:C=C17)),)"),"")</f>
        <v/>
      </c>
      <c r="I17" s="58"/>
      <c r="J17" s="59" t="str">
        <f t="shared" si="1"/>
        <v/>
      </c>
    </row>
    <row r="18">
      <c r="A18" s="55"/>
      <c r="B18" s="60"/>
      <c r="C18" s="55"/>
      <c r="D18" s="54"/>
      <c r="E18" s="55"/>
      <c r="F18" s="62"/>
      <c r="G18" s="57"/>
      <c r="H18" s="58" t="str">
        <f>IFERROR(__xludf.DUMMYFUNCTION("iferror(if(A18="""", ,filter('Playoff IDR Import'!D:D,'Playoff IDR Import'!A:A=A18,'Playoff IDR Import'!C:C=C18)),)"),"")</f>
        <v/>
      </c>
      <c r="I18" s="58"/>
      <c r="J18" s="59" t="str">
        <f t="shared" si="1"/>
        <v/>
      </c>
    </row>
    <row r="19">
      <c r="A19" s="55"/>
      <c r="B19" s="60"/>
      <c r="C19" s="55"/>
      <c r="D19" s="54"/>
      <c r="E19" s="55"/>
      <c r="F19" s="62"/>
      <c r="G19" s="57"/>
      <c r="H19" s="58" t="str">
        <f>IFERROR(__xludf.DUMMYFUNCTION("iferror(if(A19="""", ,filter('Playoff IDR Import'!D:D,'Playoff IDR Import'!A:A=A19,'Playoff IDR Import'!C:C=C19)),)"),"")</f>
        <v/>
      </c>
      <c r="I19" s="58"/>
      <c r="J19" s="59" t="str">
        <f t="shared" si="1"/>
        <v/>
      </c>
    </row>
    <row r="20">
      <c r="A20" s="55"/>
      <c r="B20" s="60"/>
      <c r="C20" s="55"/>
      <c r="D20" s="54"/>
      <c r="E20" s="55"/>
      <c r="F20" s="62"/>
      <c r="G20" s="57"/>
      <c r="H20" s="58" t="str">
        <f>IFERROR(__xludf.DUMMYFUNCTION("iferror(if(A20="""", ,filter('Playoff IDR Import'!D:D,'Playoff IDR Import'!A:A=A20,'Playoff IDR Import'!C:C=C20)),)"),"")</f>
        <v/>
      </c>
      <c r="I20" s="58"/>
      <c r="J20" s="59" t="str">
        <f t="shared" si="1"/>
        <v/>
      </c>
    </row>
    <row r="21">
      <c r="A21" s="55"/>
      <c r="B21" s="60"/>
      <c r="C21" s="55"/>
      <c r="D21" s="54"/>
      <c r="E21" s="55"/>
      <c r="F21" s="62"/>
      <c r="G21" s="57"/>
      <c r="H21" s="58" t="str">
        <f>IFERROR(__xludf.DUMMYFUNCTION("iferror(if(A21="""", ,filter('Playoff IDR Import'!D:D,'Playoff IDR Import'!A:A=A21,'Playoff IDR Import'!C:C=C21)),)"),"")</f>
        <v/>
      </c>
      <c r="I21" s="58"/>
      <c r="J21" s="59" t="str">
        <f t="shared" si="1"/>
        <v/>
      </c>
    </row>
    <row r="22">
      <c r="A22" s="55"/>
      <c r="B22" s="60"/>
      <c r="C22" s="55"/>
      <c r="D22" s="54"/>
      <c r="E22" s="55"/>
      <c r="F22" s="62"/>
      <c r="G22" s="57"/>
      <c r="H22" s="58" t="str">
        <f>IFERROR(__xludf.DUMMYFUNCTION("iferror(if(A22="""", ,filter('Playoff IDR Import'!D:D,'Playoff IDR Import'!A:A=A22,'Playoff IDR Import'!C:C=C22)),)"),"")</f>
        <v/>
      </c>
      <c r="I22" s="58"/>
      <c r="J22" s="59" t="str">
        <f t="shared" si="1"/>
        <v/>
      </c>
    </row>
    <row r="23">
      <c r="A23" s="55"/>
      <c r="B23" s="60"/>
      <c r="C23" s="55"/>
      <c r="D23" s="54"/>
      <c r="E23" s="55"/>
      <c r="F23" s="62"/>
      <c r="G23" s="57"/>
      <c r="H23" s="58" t="str">
        <f>IFERROR(__xludf.DUMMYFUNCTION("iferror(if(A23="""", ,filter('Playoff IDR Import'!D:D,'Playoff IDR Import'!A:A=A23,'Playoff IDR Import'!C:C=C23)),)"),"")</f>
        <v/>
      </c>
      <c r="I23" s="58"/>
      <c r="J23" s="59" t="str">
        <f t="shared" si="1"/>
        <v/>
      </c>
    </row>
    <row r="24">
      <c r="A24" s="55"/>
      <c r="B24" s="60"/>
      <c r="C24" s="55"/>
      <c r="D24" s="54"/>
      <c r="E24" s="55"/>
      <c r="F24" s="62"/>
      <c r="G24" s="57"/>
      <c r="H24" s="58" t="str">
        <f>IFERROR(__xludf.DUMMYFUNCTION("iferror(if(A24="""", ,filter('Playoff IDR Import'!D:D,'Playoff IDR Import'!A:A=A24,'Playoff IDR Import'!C:C=C24)),)"),"")</f>
        <v/>
      </c>
      <c r="I24" s="58"/>
      <c r="J24" s="59" t="str">
        <f t="shared" si="1"/>
        <v/>
      </c>
    </row>
    <row r="25">
      <c r="A25" s="55"/>
      <c r="B25" s="60"/>
      <c r="C25" s="55"/>
      <c r="D25" s="54"/>
      <c r="E25" s="55"/>
      <c r="F25" s="62"/>
      <c r="G25" s="57"/>
      <c r="H25" s="58" t="str">
        <f>IFERROR(__xludf.DUMMYFUNCTION("iferror(if(A25="""", ,filter('Playoff IDR Import'!D:D,'Playoff IDR Import'!A:A=A25,'Playoff IDR Import'!C:C=C25)),)"),"")</f>
        <v/>
      </c>
      <c r="I25" s="58"/>
      <c r="J25" s="59" t="str">
        <f t="shared" si="1"/>
        <v/>
      </c>
    </row>
    <row r="26">
      <c r="A26" s="55"/>
      <c r="B26" s="60"/>
      <c r="C26" s="55"/>
      <c r="D26" s="54"/>
      <c r="E26" s="55"/>
      <c r="F26" s="62"/>
      <c r="G26" s="57"/>
      <c r="H26" s="58" t="str">
        <f>IFERROR(__xludf.DUMMYFUNCTION("iferror(if(A26="""", ,filter('Playoff IDR Import'!D:D,'Playoff IDR Import'!A:A=A26,'Playoff IDR Import'!C:C=C26)),)"),"")</f>
        <v/>
      </c>
      <c r="I26" s="58"/>
      <c r="J26" s="59" t="str">
        <f t="shared" si="1"/>
        <v/>
      </c>
    </row>
    <row r="27">
      <c r="A27" s="55"/>
      <c r="B27" s="60"/>
      <c r="C27" s="55"/>
      <c r="D27" s="54"/>
      <c r="E27" s="55"/>
      <c r="F27" s="62"/>
      <c r="G27" s="57"/>
      <c r="H27" s="58" t="str">
        <f>IFERROR(__xludf.DUMMYFUNCTION("iferror(if(A27="""", ,filter('Playoff IDR Import'!D:D,'Playoff IDR Import'!A:A=A27,'Playoff IDR Import'!C:C=C27)),)"),"")</f>
        <v/>
      </c>
      <c r="I27" s="58"/>
      <c r="J27" s="59" t="str">
        <f t="shared" si="1"/>
        <v/>
      </c>
    </row>
    <row r="28">
      <c r="A28" s="55"/>
      <c r="B28" s="60"/>
      <c r="C28" s="55"/>
      <c r="D28" s="54"/>
      <c r="E28" s="55"/>
      <c r="F28" s="62"/>
      <c r="G28" s="57"/>
      <c r="H28" s="58" t="str">
        <f>IFERROR(__xludf.DUMMYFUNCTION("iferror(if(A28="""", ,filter('Playoff IDR Import'!D:D,'Playoff IDR Import'!A:A=A28,'Playoff IDR Import'!C:C=C28)),)"),"")</f>
        <v/>
      </c>
      <c r="I28" s="58"/>
      <c r="J28" s="59" t="str">
        <f t="shared" si="1"/>
        <v/>
      </c>
    </row>
    <row r="29">
      <c r="A29" s="55"/>
      <c r="B29" s="60"/>
      <c r="C29" s="55"/>
      <c r="D29" s="54"/>
      <c r="E29" s="55"/>
      <c r="F29" s="62"/>
      <c r="G29" s="57"/>
      <c r="H29" s="58" t="str">
        <f>IFERROR(__xludf.DUMMYFUNCTION("iferror(if(A29="""", ,filter('Playoff IDR Import'!D:D,'Playoff IDR Import'!A:A=A29,'Playoff IDR Import'!C:C=C29)),)"),"")</f>
        <v/>
      </c>
      <c r="I29" s="58"/>
      <c r="J29" s="59" t="str">
        <f t="shared" si="1"/>
        <v/>
      </c>
    </row>
    <row r="30">
      <c r="A30" s="55"/>
      <c r="B30" s="60"/>
      <c r="C30" s="55"/>
      <c r="D30" s="54"/>
      <c r="E30" s="55"/>
      <c r="F30" s="62"/>
      <c r="G30" s="57"/>
      <c r="H30" s="58" t="str">
        <f>IFERROR(__xludf.DUMMYFUNCTION("iferror(if(A30="""", ,filter('Playoff IDR Import'!D:D,'Playoff IDR Import'!A:A=A30,'Playoff IDR Import'!C:C=C30)),)"),"")</f>
        <v/>
      </c>
      <c r="I30" s="58"/>
      <c r="J30" s="59" t="str">
        <f t="shared" si="1"/>
        <v/>
      </c>
    </row>
    <row r="31">
      <c r="A31" s="55"/>
      <c r="B31" s="60"/>
      <c r="C31" s="55"/>
      <c r="D31" s="54"/>
      <c r="E31" s="55"/>
      <c r="F31" s="62"/>
      <c r="G31" s="57"/>
      <c r="H31" s="58" t="str">
        <f>IFERROR(__xludf.DUMMYFUNCTION("iferror(if(A31="""", ,filter('Playoff IDR Import'!D:D,'Playoff IDR Import'!A:A=A31,'Playoff IDR Import'!C:C=C31)),)"),"")</f>
        <v/>
      </c>
      <c r="I31" s="58"/>
      <c r="J31" s="59" t="str">
        <f t="shared" si="1"/>
        <v/>
      </c>
    </row>
    <row r="32">
      <c r="A32" s="55"/>
      <c r="B32" s="60"/>
      <c r="C32" s="55"/>
      <c r="D32" s="54"/>
      <c r="E32" s="55"/>
      <c r="F32" s="62"/>
      <c r="G32" s="57"/>
      <c r="H32" s="58" t="str">
        <f>IFERROR(__xludf.DUMMYFUNCTION("iferror(if(A32="""", ,filter('Playoff IDR Import'!D:D,'Playoff IDR Import'!A:A=A32,'Playoff IDR Import'!C:C=C32)),)"),"")</f>
        <v/>
      </c>
      <c r="I32" s="58"/>
      <c r="J32" s="59" t="str">
        <f t="shared" si="1"/>
        <v/>
      </c>
    </row>
    <row r="33">
      <c r="A33" s="55"/>
      <c r="B33" s="60"/>
      <c r="C33" s="55"/>
      <c r="D33" s="54"/>
      <c r="E33" s="55"/>
      <c r="F33" s="62"/>
      <c r="G33" s="57"/>
      <c r="H33" s="58" t="str">
        <f>IFERROR(__xludf.DUMMYFUNCTION("iferror(if(A33="""", ,filter('Playoff IDR Import'!D:D,'Playoff IDR Import'!A:A=A33,'Playoff IDR Import'!C:C=C33)),)"),"")</f>
        <v/>
      </c>
      <c r="I33" s="58"/>
      <c r="J33" s="59" t="str">
        <f t="shared" si="1"/>
        <v/>
      </c>
    </row>
    <row r="34">
      <c r="A34" s="55"/>
      <c r="B34" s="60"/>
      <c r="C34" s="55"/>
      <c r="D34" s="54"/>
      <c r="E34" s="55"/>
      <c r="F34" s="62"/>
      <c r="G34" s="57"/>
      <c r="H34" s="58" t="str">
        <f>IFERROR(__xludf.DUMMYFUNCTION("iferror(if(A34="""", ,filter('Playoff IDR Import'!D:D,'Playoff IDR Import'!A:A=A34,'Playoff IDR Import'!C:C=C34)),)"),"")</f>
        <v/>
      </c>
      <c r="I34" s="58"/>
      <c r="J34" s="59" t="str">
        <f t="shared" si="1"/>
        <v/>
      </c>
    </row>
    <row r="35">
      <c r="A35" s="55"/>
      <c r="B35" s="60"/>
      <c r="C35" s="55"/>
      <c r="D35" s="54"/>
      <c r="E35" s="55"/>
      <c r="F35" s="62"/>
      <c r="G35" s="57"/>
      <c r="H35" s="58" t="str">
        <f>IFERROR(__xludf.DUMMYFUNCTION("iferror(if(A35="""", ,filter('Playoff IDR Import'!D:D,'Playoff IDR Import'!A:A=A35,'Playoff IDR Import'!C:C=C35)),)"),"")</f>
        <v/>
      </c>
      <c r="I35" s="58"/>
      <c r="J35" s="59" t="str">
        <f t="shared" si="1"/>
        <v/>
      </c>
    </row>
    <row r="36">
      <c r="A36" s="55"/>
      <c r="B36" s="60"/>
      <c r="C36" s="55"/>
      <c r="D36" s="54"/>
      <c r="E36" s="55"/>
      <c r="F36" s="62"/>
      <c r="G36" s="57"/>
      <c r="H36" s="58" t="str">
        <f>IFERROR(__xludf.DUMMYFUNCTION("iferror(if(A36="""", ,filter('Playoff IDR Import'!D:D,'Playoff IDR Import'!A:A=A36,'Playoff IDR Import'!C:C=C36)),)"),"")</f>
        <v/>
      </c>
      <c r="I36" s="58"/>
      <c r="J36" s="59" t="str">
        <f t="shared" si="1"/>
        <v/>
      </c>
    </row>
    <row r="37">
      <c r="A37" s="55"/>
      <c r="B37" s="60"/>
      <c r="C37" s="55"/>
      <c r="D37" s="54"/>
      <c r="E37" s="55"/>
      <c r="F37" s="62"/>
      <c r="G37" s="57"/>
      <c r="H37" s="58" t="str">
        <f>IFERROR(__xludf.DUMMYFUNCTION("iferror(if(A37="""", ,filter('Playoff IDR Import'!D:D,'Playoff IDR Import'!A:A=A37,'Playoff IDR Import'!C:C=C37)),)"),"")</f>
        <v/>
      </c>
      <c r="I37" s="58"/>
      <c r="J37" s="59" t="str">
        <f t="shared" si="1"/>
        <v/>
      </c>
    </row>
    <row r="38">
      <c r="A38" s="55"/>
      <c r="B38" s="60"/>
      <c r="C38" s="55"/>
      <c r="D38" s="54"/>
      <c r="E38" s="55"/>
      <c r="F38" s="62"/>
      <c r="G38" s="57"/>
      <c r="H38" s="58" t="str">
        <f>IFERROR(__xludf.DUMMYFUNCTION("iferror(if(A38="""", ,filter('Playoff IDR Import'!D:D,'Playoff IDR Import'!A:A=A38,'Playoff IDR Import'!C:C=C38)),)"),"")</f>
        <v/>
      </c>
      <c r="I38" s="58"/>
      <c r="J38" s="59" t="str">
        <f t="shared" si="1"/>
        <v/>
      </c>
    </row>
    <row r="39">
      <c r="A39" s="55"/>
      <c r="B39" s="60"/>
      <c r="C39" s="55"/>
      <c r="D39" s="54"/>
      <c r="E39" s="55"/>
      <c r="F39" s="62"/>
      <c r="G39" s="57"/>
      <c r="H39" s="58" t="str">
        <f>IFERROR(__xludf.DUMMYFUNCTION("iferror(if(A39="""", ,filter('Playoff IDR Import'!D:D,'Playoff IDR Import'!A:A=A39,'Playoff IDR Import'!C:C=C39)),)"),"")</f>
        <v/>
      </c>
      <c r="I39" s="58"/>
      <c r="J39" s="59" t="str">
        <f t="shared" si="1"/>
        <v/>
      </c>
    </row>
    <row r="40">
      <c r="A40" s="55"/>
      <c r="B40" s="60"/>
      <c r="C40" s="55"/>
      <c r="D40" s="54"/>
      <c r="E40" s="55"/>
      <c r="F40" s="62"/>
      <c r="G40" s="57"/>
      <c r="H40" s="58" t="str">
        <f>IFERROR(__xludf.DUMMYFUNCTION("iferror(if(A40="""", ,filter('Playoff IDR Import'!D:D,'Playoff IDR Import'!A:A=A40,'Playoff IDR Import'!C:C=C40)),)"),"")</f>
        <v/>
      </c>
      <c r="I40" s="58"/>
      <c r="J40" s="59" t="str">
        <f t="shared" si="1"/>
        <v/>
      </c>
    </row>
    <row r="41">
      <c r="A41" s="55"/>
      <c r="B41" s="60"/>
      <c r="C41" s="55"/>
      <c r="D41" s="54"/>
      <c r="E41" s="55"/>
      <c r="F41" s="62"/>
      <c r="G41" s="57"/>
      <c r="H41" s="58" t="str">
        <f>IFERROR(__xludf.DUMMYFUNCTION("iferror(if(A41="""", ,filter('Playoff IDR Import'!D:D,'Playoff IDR Import'!A:A=A41,'Playoff IDR Import'!C:C=C41)),)"),"")</f>
        <v/>
      </c>
      <c r="I41" s="58"/>
      <c r="J41" s="59" t="str">
        <f t="shared" si="1"/>
        <v/>
      </c>
    </row>
    <row r="42">
      <c r="A42" s="55"/>
      <c r="B42" s="60"/>
      <c r="C42" s="55"/>
      <c r="D42" s="54"/>
      <c r="E42" s="55"/>
      <c r="F42" s="62"/>
      <c r="G42" s="57"/>
      <c r="H42" s="58" t="str">
        <f>IFERROR(__xludf.DUMMYFUNCTION("iferror(if(A42="""", ,filter('Playoff IDR Import'!D:D,'Playoff IDR Import'!A:A=A42,'Playoff IDR Import'!C:C=C42)),)"),"")</f>
        <v/>
      </c>
      <c r="I42" s="58"/>
      <c r="J42" s="59" t="str">
        <f t="shared" si="1"/>
        <v/>
      </c>
    </row>
    <row r="43">
      <c r="A43" s="55"/>
      <c r="B43" s="60"/>
      <c r="C43" s="55"/>
      <c r="D43" s="54"/>
      <c r="E43" s="55"/>
      <c r="F43" s="62"/>
      <c r="G43" s="57"/>
      <c r="H43" s="58" t="str">
        <f>IFERROR(__xludf.DUMMYFUNCTION("iferror(if(A43="""", ,filter('Playoff IDR Import'!D:D,'Playoff IDR Import'!A:A=A43,'Playoff IDR Import'!C:C=C43)),)"),"")</f>
        <v/>
      </c>
      <c r="I43" s="58"/>
      <c r="J43" s="59" t="str">
        <f t="shared" si="1"/>
        <v/>
      </c>
    </row>
    <row r="44">
      <c r="A44" s="55"/>
      <c r="B44" s="60"/>
      <c r="C44" s="55"/>
      <c r="D44" s="54"/>
      <c r="E44" s="55"/>
      <c r="F44" s="62"/>
      <c r="G44" s="57"/>
      <c r="H44" s="58" t="str">
        <f>IFERROR(__xludf.DUMMYFUNCTION("iferror(if(A44="""", ,filter('Playoff IDR Import'!D:D,'Playoff IDR Import'!A:A=A44,'Playoff IDR Import'!C:C=C44)),)"),"")</f>
        <v/>
      </c>
      <c r="I44" s="58"/>
      <c r="J44" s="59" t="str">
        <f t="shared" si="1"/>
        <v/>
      </c>
    </row>
    <row r="45">
      <c r="A45" s="55"/>
      <c r="B45" s="60"/>
      <c r="C45" s="55"/>
      <c r="D45" s="54"/>
      <c r="E45" s="55"/>
      <c r="F45" s="62"/>
      <c r="G45" s="57"/>
      <c r="H45" s="58" t="str">
        <f>IFERROR(__xludf.DUMMYFUNCTION("iferror(if(A45="""", ,filter('Playoff IDR Import'!D:D,'Playoff IDR Import'!A:A=A45,'Playoff IDR Import'!C:C=C45)),)"),"")</f>
        <v/>
      </c>
      <c r="I45" s="58"/>
      <c r="J45" s="59" t="str">
        <f t="shared" si="1"/>
        <v/>
      </c>
    </row>
    <row r="46">
      <c r="A46" s="55"/>
      <c r="B46" s="60"/>
      <c r="C46" s="55"/>
      <c r="D46" s="54"/>
      <c r="E46" s="55"/>
      <c r="F46" s="62"/>
      <c r="G46" s="57"/>
      <c r="H46" s="58" t="str">
        <f>IFERROR(__xludf.DUMMYFUNCTION("iferror(if(A46="""", ,filter('Playoff IDR Import'!D:D,'Playoff IDR Import'!A:A=A46,'Playoff IDR Import'!C:C=C46)),)"),"")</f>
        <v/>
      </c>
      <c r="I46" s="58"/>
      <c r="J46" s="59" t="str">
        <f t="shared" si="1"/>
        <v/>
      </c>
    </row>
    <row r="47">
      <c r="A47" s="55"/>
      <c r="B47" s="60"/>
      <c r="C47" s="55"/>
      <c r="D47" s="54"/>
      <c r="E47" s="55"/>
      <c r="F47" s="62"/>
      <c r="G47" s="57"/>
      <c r="H47" s="58" t="str">
        <f>IFERROR(__xludf.DUMMYFUNCTION("iferror(if(A47="""", ,filter('Playoff IDR Import'!D:D,'Playoff IDR Import'!A:A=A47,'Playoff IDR Import'!C:C=C47)),)"),"")</f>
        <v/>
      </c>
      <c r="I47" s="58"/>
      <c r="J47" s="59" t="str">
        <f t="shared" si="1"/>
        <v/>
      </c>
    </row>
    <row r="48">
      <c r="A48" s="55"/>
      <c r="B48" s="60"/>
      <c r="C48" s="55"/>
      <c r="D48" s="54"/>
      <c r="E48" s="55"/>
      <c r="F48" s="62"/>
      <c r="G48" s="57"/>
      <c r="H48" s="58" t="str">
        <f>IFERROR(__xludf.DUMMYFUNCTION("iferror(if(A48="""", ,filter('Playoff IDR Import'!D:D,'Playoff IDR Import'!A:A=A48,'Playoff IDR Import'!C:C=C48)),)"),"")</f>
        <v/>
      </c>
      <c r="I48" s="58"/>
      <c r="J48" s="59" t="str">
        <f t="shared" si="1"/>
        <v/>
      </c>
    </row>
    <row r="49">
      <c r="A49" s="55"/>
      <c r="B49" s="60"/>
      <c r="C49" s="55"/>
      <c r="D49" s="54"/>
      <c r="E49" s="55"/>
      <c r="F49" s="62"/>
      <c r="G49" s="57"/>
      <c r="H49" s="58" t="str">
        <f>IFERROR(__xludf.DUMMYFUNCTION("iferror(if(A49="""", ,filter('Playoff IDR Import'!D:D,'Playoff IDR Import'!A:A=A49,'Playoff IDR Import'!C:C=C49)),)"),"")</f>
        <v/>
      </c>
      <c r="I49" s="58"/>
      <c r="J49" s="59" t="str">
        <f t="shared" si="1"/>
        <v/>
      </c>
    </row>
    <row r="50">
      <c r="A50" s="55"/>
      <c r="B50" s="60"/>
      <c r="C50" s="55"/>
      <c r="D50" s="54"/>
      <c r="E50" s="55"/>
      <c r="F50" s="62"/>
      <c r="G50" s="57"/>
      <c r="H50" s="58" t="str">
        <f>IFERROR(__xludf.DUMMYFUNCTION("iferror(if(A50="""", ,filter('Playoff IDR Import'!D:D,'Playoff IDR Import'!A:A=A50,'Playoff IDR Import'!C:C=C50)),)"),"")</f>
        <v/>
      </c>
      <c r="I50" s="58"/>
      <c r="J50" s="59" t="str">
        <f t="shared" si="1"/>
        <v/>
      </c>
    </row>
    <row r="51">
      <c r="A51" s="55"/>
      <c r="B51" s="60"/>
      <c r="C51" s="55"/>
      <c r="D51" s="54"/>
      <c r="E51" s="55"/>
      <c r="F51" s="62"/>
      <c r="G51" s="57"/>
      <c r="H51" s="58" t="str">
        <f>IFERROR(__xludf.DUMMYFUNCTION("iferror(if(A51="""", ,filter('Playoff IDR Import'!D:D,'Playoff IDR Import'!A:A=A51,'Playoff IDR Import'!C:C=C51)),)"),"")</f>
        <v/>
      </c>
      <c r="I51" s="58"/>
      <c r="J51" s="59" t="str">
        <f t="shared" si="1"/>
        <v/>
      </c>
    </row>
    <row r="52">
      <c r="A52" s="55"/>
      <c r="B52" s="60"/>
      <c r="C52" s="55"/>
      <c r="D52" s="54"/>
      <c r="E52" s="55"/>
      <c r="F52" s="62"/>
      <c r="G52" s="57"/>
      <c r="H52" s="58" t="str">
        <f>IFERROR(__xludf.DUMMYFUNCTION("iferror(if(A52="""", ,filter('Playoff IDR Import'!D:D,'Playoff IDR Import'!A:A=A52,'Playoff IDR Import'!C:C=C52)),)"),"")</f>
        <v/>
      </c>
      <c r="I52" s="58"/>
      <c r="J52" s="59" t="str">
        <f t="shared" si="1"/>
        <v/>
      </c>
    </row>
    <row r="53">
      <c r="A53" s="55"/>
      <c r="B53" s="60"/>
      <c r="C53" s="55"/>
      <c r="D53" s="54"/>
      <c r="E53" s="55"/>
      <c r="F53" s="62"/>
      <c r="G53" s="57"/>
      <c r="H53" s="58" t="str">
        <f>IFERROR(__xludf.DUMMYFUNCTION("iferror(if(A53="""", ,filter('Playoff IDR Import'!D:D,'Playoff IDR Import'!A:A=A53,'Playoff IDR Import'!C:C=C53)),)"),"")</f>
        <v/>
      </c>
      <c r="I53" s="58"/>
      <c r="J53" s="59" t="str">
        <f t="shared" si="1"/>
        <v/>
      </c>
    </row>
    <row r="54">
      <c r="A54" s="55"/>
      <c r="B54" s="60"/>
      <c r="C54" s="55"/>
      <c r="D54" s="54"/>
      <c r="E54" s="55"/>
      <c r="F54" s="62"/>
      <c r="G54" s="57"/>
      <c r="H54" s="58" t="str">
        <f>IFERROR(__xludf.DUMMYFUNCTION("iferror(if(A54="""", ,filter('Playoff IDR Import'!D:D,'Playoff IDR Import'!A:A=A54,'Playoff IDR Import'!C:C=C54)),)"),"")</f>
        <v/>
      </c>
      <c r="I54" s="58"/>
      <c r="J54" s="59" t="str">
        <f t="shared" si="1"/>
        <v/>
      </c>
    </row>
    <row r="55">
      <c r="A55" s="55"/>
      <c r="B55" s="60"/>
      <c r="C55" s="55"/>
      <c r="D55" s="54"/>
      <c r="E55" s="55"/>
      <c r="F55" s="62"/>
      <c r="G55" s="57"/>
      <c r="H55" s="58" t="str">
        <f>IFERROR(__xludf.DUMMYFUNCTION("iferror(if(A55="""", ,filter('Playoff IDR Import'!D:D,'Playoff IDR Import'!A:A=A55,'Playoff IDR Import'!C:C=C55)),)"),"")</f>
        <v/>
      </c>
      <c r="I55" s="58"/>
      <c r="J55" s="59" t="str">
        <f t="shared" si="1"/>
        <v/>
      </c>
    </row>
    <row r="56">
      <c r="A56" s="55"/>
      <c r="B56" s="60"/>
      <c r="C56" s="55"/>
      <c r="D56" s="54"/>
      <c r="E56" s="55"/>
      <c r="F56" s="62"/>
      <c r="G56" s="57"/>
      <c r="H56" s="58" t="str">
        <f>IFERROR(__xludf.DUMMYFUNCTION("iferror(if(A56="""", ,filter('Playoff IDR Import'!D:D,'Playoff IDR Import'!A:A=A56,'Playoff IDR Import'!C:C=C56)),)"),"")</f>
        <v/>
      </c>
      <c r="I56" s="58"/>
      <c r="J56" s="59" t="str">
        <f t="shared" si="1"/>
        <v/>
      </c>
    </row>
    <row r="57">
      <c r="A57" s="55"/>
      <c r="B57" s="60"/>
      <c r="C57" s="55"/>
      <c r="D57" s="54"/>
      <c r="E57" s="55"/>
      <c r="F57" s="62"/>
      <c r="G57" s="57"/>
      <c r="H57" s="58" t="str">
        <f>IFERROR(__xludf.DUMMYFUNCTION("iferror(if(A57="""", ,filter('Playoff IDR Import'!D:D,'Playoff IDR Import'!A:A=A57,'Playoff IDR Import'!C:C=C57)),)"),"")</f>
        <v/>
      </c>
      <c r="I57" s="58"/>
      <c r="J57" s="59" t="str">
        <f t="shared" si="1"/>
        <v/>
      </c>
    </row>
    <row r="58">
      <c r="A58" s="55"/>
      <c r="B58" s="60"/>
      <c r="C58" s="55"/>
      <c r="D58" s="54"/>
      <c r="E58" s="55"/>
      <c r="F58" s="62"/>
      <c r="G58" s="57"/>
      <c r="H58" s="58" t="str">
        <f>IFERROR(__xludf.DUMMYFUNCTION("iferror(if(A58="""", ,filter('Playoff IDR Import'!D:D,'Playoff IDR Import'!A:A=A58,'Playoff IDR Import'!C:C=C58)),)"),"")</f>
        <v/>
      </c>
      <c r="I58" s="58"/>
      <c r="J58" s="59" t="str">
        <f t="shared" si="1"/>
        <v/>
      </c>
    </row>
    <row r="59">
      <c r="A59" s="55"/>
      <c r="B59" s="60"/>
      <c r="C59" s="55"/>
      <c r="D59" s="54"/>
      <c r="E59" s="55"/>
      <c r="F59" s="62"/>
      <c r="G59" s="57"/>
      <c r="H59" s="58" t="str">
        <f>IFERROR(__xludf.DUMMYFUNCTION("iferror(if(A59="""", ,filter('Playoff IDR Import'!D:D,'Playoff IDR Import'!A:A=A59,'Playoff IDR Import'!C:C=C59)),)"),"")</f>
        <v/>
      </c>
      <c r="I59" s="58"/>
      <c r="J59" s="59" t="str">
        <f t="shared" si="1"/>
        <v/>
      </c>
    </row>
    <row r="60">
      <c r="A60" s="55"/>
      <c r="B60" s="60"/>
      <c r="C60" s="55"/>
      <c r="D60" s="54"/>
      <c r="E60" s="55"/>
      <c r="F60" s="62"/>
      <c r="G60" s="57"/>
      <c r="H60" s="58" t="str">
        <f>IFERROR(__xludf.DUMMYFUNCTION("iferror(if(A60="""", ,filter('Playoff IDR Import'!D:D,'Playoff IDR Import'!A:A=A60,'Playoff IDR Import'!C:C=C60)),)"),"")</f>
        <v/>
      </c>
      <c r="I60" s="58"/>
      <c r="J60" s="59" t="str">
        <f t="shared" si="1"/>
        <v/>
      </c>
    </row>
    <row r="61">
      <c r="A61" s="55"/>
      <c r="B61" s="60"/>
      <c r="C61" s="55"/>
      <c r="D61" s="54"/>
      <c r="E61" s="55"/>
      <c r="F61" s="62"/>
      <c r="G61" s="57"/>
      <c r="H61" s="58" t="str">
        <f>IFERROR(__xludf.DUMMYFUNCTION("iferror(if(A61="""", ,filter('Playoff IDR Import'!D:D,'Playoff IDR Import'!A:A=A61,'Playoff IDR Import'!C:C=C61)),)"),"")</f>
        <v/>
      </c>
      <c r="I61" s="58"/>
      <c r="J61" s="59" t="str">
        <f t="shared" si="1"/>
        <v/>
      </c>
    </row>
    <row r="62">
      <c r="A62" s="55"/>
      <c r="B62" s="60"/>
      <c r="C62" s="55"/>
      <c r="D62" s="54"/>
      <c r="E62" s="55"/>
      <c r="F62" s="62"/>
      <c r="G62" s="57"/>
      <c r="H62" s="58" t="str">
        <f>IFERROR(__xludf.DUMMYFUNCTION("iferror(if(A62="""", ,filter('Playoff IDR Import'!D:D,'Playoff IDR Import'!A:A=A62,'Playoff IDR Import'!C:C=C62)),)"),"")</f>
        <v/>
      </c>
      <c r="I62" s="58"/>
      <c r="J62" s="59" t="str">
        <f t="shared" si="1"/>
        <v/>
      </c>
    </row>
    <row r="63">
      <c r="A63" s="55"/>
      <c r="B63" s="60"/>
      <c r="C63" s="55"/>
      <c r="D63" s="54"/>
      <c r="E63" s="55"/>
      <c r="F63" s="62"/>
      <c r="G63" s="57"/>
      <c r="H63" s="58" t="str">
        <f>IFERROR(__xludf.DUMMYFUNCTION("iferror(if(A63="""", ,filter('Playoff IDR Import'!D:D,'Playoff IDR Import'!A:A=A63,'Playoff IDR Import'!C:C=C63)),)"),"")</f>
        <v/>
      </c>
      <c r="I63" s="58"/>
      <c r="J63" s="59" t="str">
        <f t="shared" si="1"/>
        <v/>
      </c>
    </row>
    <row r="64">
      <c r="A64" s="55"/>
      <c r="B64" s="60"/>
      <c r="C64" s="55"/>
      <c r="D64" s="54"/>
      <c r="E64" s="55"/>
      <c r="F64" s="62"/>
      <c r="G64" s="57"/>
      <c r="H64" s="58" t="str">
        <f>IFERROR(__xludf.DUMMYFUNCTION("iferror(if(A64="""", ,filter('Playoff IDR Import'!D:D,'Playoff IDR Import'!A:A=A64,'Playoff IDR Import'!C:C=C64)),)"),"")</f>
        <v/>
      </c>
      <c r="I64" s="58"/>
      <c r="J64" s="59" t="str">
        <f t="shared" si="1"/>
        <v/>
      </c>
    </row>
    <row r="65">
      <c r="A65" s="55"/>
      <c r="B65" s="60"/>
      <c r="C65" s="55"/>
      <c r="D65" s="54"/>
      <c r="E65" s="55"/>
      <c r="F65" s="62"/>
      <c r="G65" s="57"/>
      <c r="H65" s="58" t="str">
        <f>IFERROR(__xludf.DUMMYFUNCTION("iferror(if(A65="""", ,filter('Playoff IDR Import'!D:D,'Playoff IDR Import'!A:A=A65,'Playoff IDR Import'!C:C=C65)),)"),"")</f>
        <v/>
      </c>
      <c r="I65" s="58"/>
      <c r="J65" s="59" t="str">
        <f t="shared" si="1"/>
        <v/>
      </c>
    </row>
    <row r="66">
      <c r="A66" s="55"/>
      <c r="B66" s="60"/>
      <c r="C66" s="55"/>
      <c r="D66" s="54"/>
      <c r="E66" s="55"/>
      <c r="F66" s="62"/>
      <c r="G66" s="57"/>
      <c r="H66" s="58" t="str">
        <f>IFERROR(__xludf.DUMMYFUNCTION("iferror(if(A66="""", ,filter('Playoff IDR Import'!D:D,'Playoff IDR Import'!A:A=A66,'Playoff IDR Import'!C:C=C66)),)"),"")</f>
        <v/>
      </c>
      <c r="I66" s="58"/>
      <c r="J66" s="59" t="str">
        <f t="shared" si="1"/>
        <v/>
      </c>
    </row>
    <row r="67">
      <c r="A67" s="55"/>
      <c r="B67" s="60"/>
      <c r="C67" s="55"/>
      <c r="D67" s="54"/>
      <c r="E67" s="55"/>
      <c r="F67" s="62"/>
      <c r="G67" s="57"/>
      <c r="H67" s="58" t="str">
        <f>IFERROR(__xludf.DUMMYFUNCTION("iferror(if(A67="""", ,filter('Playoff IDR Import'!D:D,'Playoff IDR Import'!A:A=A67,'Playoff IDR Import'!C:C=C67)),)"),"")</f>
        <v/>
      </c>
      <c r="I67" s="58"/>
      <c r="J67" s="59" t="str">
        <f t="shared" si="1"/>
        <v/>
      </c>
    </row>
    <row r="68">
      <c r="A68" s="55"/>
      <c r="B68" s="60"/>
      <c r="C68" s="55"/>
      <c r="D68" s="54"/>
      <c r="E68" s="55"/>
      <c r="F68" s="62"/>
      <c r="G68" s="57"/>
      <c r="H68" s="58" t="str">
        <f>IFERROR(__xludf.DUMMYFUNCTION("iferror(if(A68="""", ,filter('Playoff IDR Import'!D:D,'Playoff IDR Import'!A:A=A68,'Playoff IDR Import'!C:C=C68)),)"),"")</f>
        <v/>
      </c>
      <c r="I68" s="58"/>
      <c r="J68" s="59" t="str">
        <f t="shared" si="1"/>
        <v/>
      </c>
    </row>
    <row r="69">
      <c r="A69" s="55"/>
      <c r="B69" s="60"/>
      <c r="C69" s="55"/>
      <c r="D69" s="54"/>
      <c r="E69" s="55"/>
      <c r="F69" s="62"/>
      <c r="G69" s="57"/>
      <c r="H69" s="58" t="str">
        <f>IFERROR(__xludf.DUMMYFUNCTION("iferror(if(A69="""", ,filter('Playoff IDR Import'!D:D,'Playoff IDR Import'!A:A=A69,'Playoff IDR Import'!C:C=C69)),)"),"")</f>
        <v/>
      </c>
      <c r="I69" s="58"/>
      <c r="J69" s="59" t="str">
        <f t="shared" si="1"/>
        <v/>
      </c>
    </row>
    <row r="70">
      <c r="A70" s="55"/>
      <c r="B70" s="60"/>
      <c r="C70" s="55"/>
      <c r="D70" s="54"/>
      <c r="E70" s="55"/>
      <c r="F70" s="62"/>
      <c r="G70" s="57"/>
      <c r="H70" s="58" t="str">
        <f>IFERROR(__xludf.DUMMYFUNCTION("iferror(if(A70="""", ,filter('Playoff IDR Import'!D:D,'Playoff IDR Import'!A:A=A70,'Playoff IDR Import'!C:C=C70)),)"),"")</f>
        <v/>
      </c>
      <c r="I70" s="58"/>
      <c r="J70" s="59" t="str">
        <f t="shared" si="1"/>
        <v/>
      </c>
    </row>
    <row r="71">
      <c r="A71" s="55"/>
      <c r="B71" s="60"/>
      <c r="C71" s="55"/>
      <c r="D71" s="54"/>
      <c r="E71" s="55"/>
      <c r="F71" s="62"/>
      <c r="G71" s="57"/>
      <c r="H71" s="58" t="str">
        <f>IFERROR(__xludf.DUMMYFUNCTION("iferror(if(A71="""", ,filter('Playoff IDR Import'!D:D,'Playoff IDR Import'!A:A=A71,'Playoff IDR Import'!C:C=C71)),)"),"")</f>
        <v/>
      </c>
      <c r="I71" s="58"/>
      <c r="J71" s="59" t="str">
        <f t="shared" si="1"/>
        <v/>
      </c>
    </row>
    <row r="72">
      <c r="A72" s="55"/>
      <c r="B72" s="60"/>
      <c r="C72" s="55"/>
      <c r="D72" s="54"/>
      <c r="E72" s="55"/>
      <c r="F72" s="62"/>
      <c r="G72" s="57"/>
      <c r="H72" s="58" t="str">
        <f>IFERROR(__xludf.DUMMYFUNCTION("iferror(if(A72="""", ,filter('Playoff IDR Import'!D:D,'Playoff IDR Import'!A:A=A72,'Playoff IDR Import'!C:C=C72)),)"),"")</f>
        <v/>
      </c>
      <c r="I72" s="58"/>
      <c r="J72" s="59" t="str">
        <f t="shared" si="1"/>
        <v/>
      </c>
    </row>
    <row r="73">
      <c r="A73" s="55"/>
      <c r="B73" s="60"/>
      <c r="C73" s="55"/>
      <c r="D73" s="54"/>
      <c r="E73" s="55"/>
      <c r="F73" s="62"/>
      <c r="G73" s="57"/>
      <c r="H73" s="58" t="str">
        <f>IFERROR(__xludf.DUMMYFUNCTION("iferror(if(A73="""", ,filter('Playoff IDR Import'!D:D,'Playoff IDR Import'!A:A=A73,'Playoff IDR Import'!C:C=C73)),)"),"")</f>
        <v/>
      </c>
      <c r="I73" s="58"/>
      <c r="J73" s="59" t="str">
        <f t="shared" si="1"/>
        <v/>
      </c>
    </row>
    <row r="74">
      <c r="A74" s="55"/>
      <c r="B74" s="60"/>
      <c r="C74" s="55"/>
      <c r="D74" s="54"/>
      <c r="E74" s="55"/>
      <c r="F74" s="62"/>
      <c r="G74" s="57"/>
      <c r="H74" s="58" t="str">
        <f>IFERROR(__xludf.DUMMYFUNCTION("iferror(if(A74="""", ,filter('Playoff IDR Import'!D:D,'Playoff IDR Import'!A:A=A74,'Playoff IDR Import'!C:C=C74)),)"),"")</f>
        <v/>
      </c>
      <c r="I74" s="58"/>
      <c r="J74" s="59" t="str">
        <f t="shared" si="1"/>
        <v/>
      </c>
    </row>
    <row r="75">
      <c r="A75" s="55"/>
      <c r="B75" s="60"/>
      <c r="C75" s="55"/>
      <c r="D75" s="54"/>
      <c r="E75" s="55"/>
      <c r="F75" s="62"/>
      <c r="G75" s="57"/>
      <c r="H75" s="58" t="str">
        <f>IFERROR(__xludf.DUMMYFUNCTION("iferror(if(A75="""", ,filter('Playoff IDR Import'!D:D,'Playoff IDR Import'!A:A=A75,'Playoff IDR Import'!C:C=C75)),)"),"")</f>
        <v/>
      </c>
      <c r="I75" s="58"/>
      <c r="J75" s="59" t="str">
        <f t="shared" si="1"/>
        <v/>
      </c>
    </row>
    <row r="76">
      <c r="A76" s="55"/>
      <c r="B76" s="60"/>
      <c r="C76" s="55"/>
      <c r="D76" s="54"/>
      <c r="E76" s="55"/>
      <c r="F76" s="62"/>
      <c r="G76" s="57"/>
      <c r="H76" s="58" t="str">
        <f>IFERROR(__xludf.DUMMYFUNCTION("iferror(if(A76="""", ,filter('Playoff IDR Import'!D:D,'Playoff IDR Import'!A:A=A76,'Playoff IDR Import'!C:C=C76)),)"),"")</f>
        <v/>
      </c>
      <c r="I76" s="58"/>
      <c r="J76" s="59" t="str">
        <f t="shared" si="1"/>
        <v/>
      </c>
    </row>
    <row r="77">
      <c r="A77" s="55"/>
      <c r="B77" s="60"/>
      <c r="C77" s="55"/>
      <c r="D77" s="54"/>
      <c r="E77" s="55"/>
      <c r="F77" s="62"/>
      <c r="G77" s="57"/>
      <c r="H77" s="58" t="str">
        <f>IFERROR(__xludf.DUMMYFUNCTION("iferror(if(A77="""", ,filter('Playoff IDR Import'!D:D,'Playoff IDR Import'!A:A=A77,'Playoff IDR Import'!C:C=C77)),)"),"")</f>
        <v/>
      </c>
      <c r="I77" s="58"/>
      <c r="J77" s="59" t="str">
        <f t="shared" si="1"/>
        <v/>
      </c>
    </row>
    <row r="78">
      <c r="A78" s="55"/>
      <c r="B78" s="60"/>
      <c r="C78" s="55"/>
      <c r="D78" s="54"/>
      <c r="E78" s="55"/>
      <c r="F78" s="62"/>
      <c r="G78" s="57"/>
      <c r="H78" s="58" t="str">
        <f>IFERROR(__xludf.DUMMYFUNCTION("iferror(if(A78="""", ,filter('Playoff IDR Import'!D:D,'Playoff IDR Import'!A:A=A78,'Playoff IDR Import'!C:C=C78)),)"),"")</f>
        <v/>
      </c>
      <c r="I78" s="58"/>
      <c r="J78" s="59" t="str">
        <f t="shared" si="1"/>
        <v/>
      </c>
    </row>
    <row r="79">
      <c r="A79" s="55"/>
      <c r="B79" s="60"/>
      <c r="C79" s="55"/>
      <c r="D79" s="54"/>
      <c r="E79" s="55"/>
      <c r="F79" s="62"/>
      <c r="G79" s="57"/>
      <c r="H79" s="58" t="str">
        <f>IFERROR(__xludf.DUMMYFUNCTION("iferror(if(A79="""", ,filter('Playoff IDR Import'!D:D,'Playoff IDR Import'!A:A=A79,'Playoff IDR Import'!C:C=C79)),)"),"")</f>
        <v/>
      </c>
      <c r="I79" s="58"/>
      <c r="J79" s="59" t="str">
        <f t="shared" si="1"/>
        <v/>
      </c>
    </row>
    <row r="80">
      <c r="A80" s="55"/>
      <c r="B80" s="60"/>
      <c r="C80" s="55"/>
      <c r="D80" s="54"/>
      <c r="E80" s="55"/>
      <c r="F80" s="62"/>
      <c r="G80" s="57"/>
      <c r="H80" s="58" t="str">
        <f>IFERROR(__xludf.DUMMYFUNCTION("iferror(if(A80="""", ,filter('Playoff IDR Import'!D:D,'Playoff IDR Import'!A:A=A80,'Playoff IDR Import'!C:C=C80)),)"),"")</f>
        <v/>
      </c>
      <c r="I80" s="58"/>
      <c r="J80" s="59" t="str">
        <f t="shared" si="1"/>
        <v/>
      </c>
    </row>
    <row r="81">
      <c r="A81" s="55"/>
      <c r="B81" s="60"/>
      <c r="C81" s="55"/>
      <c r="D81" s="54"/>
      <c r="E81" s="55"/>
      <c r="F81" s="62"/>
      <c r="G81" s="57"/>
      <c r="H81" s="58" t="str">
        <f>IFERROR(__xludf.DUMMYFUNCTION("iferror(if(A81="""", ,filter('Playoff IDR Import'!D:D,'Playoff IDR Import'!A:A=A81,'Playoff IDR Import'!C:C=C81)),)"),"")</f>
        <v/>
      </c>
      <c r="I81" s="58"/>
      <c r="J81" s="59" t="str">
        <f t="shared" si="1"/>
        <v/>
      </c>
    </row>
    <row r="82">
      <c r="A82" s="55"/>
      <c r="B82" s="60"/>
      <c r="C82" s="55"/>
      <c r="D82" s="54"/>
      <c r="E82" s="55"/>
      <c r="F82" s="62"/>
      <c r="G82" s="57"/>
      <c r="H82" s="58" t="str">
        <f>IFERROR(__xludf.DUMMYFUNCTION("iferror(if(A82="""", ,filter('Playoff IDR Import'!D:D,'Playoff IDR Import'!A:A=A82,'Playoff IDR Import'!C:C=C82)),)"),"")</f>
        <v/>
      </c>
      <c r="I82" s="58"/>
      <c r="J82" s="59" t="str">
        <f t="shared" si="1"/>
        <v/>
      </c>
    </row>
    <row r="83">
      <c r="A83" s="55"/>
      <c r="B83" s="60"/>
      <c r="C83" s="55"/>
      <c r="D83" s="54"/>
      <c r="E83" s="55"/>
      <c r="F83" s="62"/>
      <c r="G83" s="57"/>
      <c r="H83" s="58" t="str">
        <f>IFERROR(__xludf.DUMMYFUNCTION("iferror(if(A83="""", ,filter('Playoff IDR Import'!D:D,'Playoff IDR Import'!A:A=A83,'Playoff IDR Import'!C:C=C83)),)"),"")</f>
        <v/>
      </c>
      <c r="I83" s="58"/>
      <c r="J83" s="59" t="str">
        <f t="shared" si="1"/>
        <v/>
      </c>
    </row>
    <row r="84">
      <c r="A84" s="55"/>
      <c r="B84" s="60"/>
      <c r="C84" s="55"/>
      <c r="D84" s="54"/>
      <c r="E84" s="55"/>
      <c r="F84" s="62"/>
      <c r="G84" s="57"/>
      <c r="H84" s="58" t="str">
        <f>IFERROR(__xludf.DUMMYFUNCTION("iferror(if(A84="""", ,filter('Playoff IDR Import'!D:D,'Playoff IDR Import'!A:A=A84,'Playoff IDR Import'!C:C=C84)),)"),"")</f>
        <v/>
      </c>
      <c r="I84" s="58"/>
      <c r="J84" s="59" t="str">
        <f t="shared" si="1"/>
        <v/>
      </c>
    </row>
    <row r="85">
      <c r="A85" s="55"/>
      <c r="B85" s="60"/>
      <c r="C85" s="55"/>
      <c r="D85" s="54"/>
      <c r="E85" s="55"/>
      <c r="F85" s="62"/>
      <c r="G85" s="57"/>
      <c r="H85" s="58" t="str">
        <f>IFERROR(__xludf.DUMMYFUNCTION("iferror(if(A85="""", ,filter('Playoff IDR Import'!D:D,'Playoff IDR Import'!A:A=A85,'Playoff IDR Import'!C:C=C85)),)"),"")</f>
        <v/>
      </c>
      <c r="I85" s="58"/>
      <c r="J85" s="59" t="str">
        <f t="shared" si="1"/>
        <v/>
      </c>
    </row>
    <row r="86">
      <c r="A86" s="55"/>
      <c r="B86" s="60"/>
      <c r="C86" s="55"/>
      <c r="D86" s="54"/>
      <c r="E86" s="55"/>
      <c r="F86" s="62"/>
      <c r="G86" s="57"/>
      <c r="H86" s="58" t="str">
        <f>IFERROR(__xludf.DUMMYFUNCTION("iferror(if(A86="""", ,filter('Playoff IDR Import'!D:D,'Playoff IDR Import'!A:A=A86,'Playoff IDR Import'!C:C=C86)),)"),"")</f>
        <v/>
      </c>
      <c r="I86" s="58"/>
      <c r="J86" s="59" t="str">
        <f t="shared" si="1"/>
        <v/>
      </c>
    </row>
    <row r="87">
      <c r="A87" s="55"/>
      <c r="B87" s="60"/>
      <c r="C87" s="55"/>
      <c r="D87" s="54"/>
      <c r="E87" s="55"/>
      <c r="F87" s="62"/>
      <c r="G87" s="57"/>
      <c r="H87" s="58" t="str">
        <f>IFERROR(__xludf.DUMMYFUNCTION("iferror(if(A87="""", ,filter('Playoff IDR Import'!D:D,'Playoff IDR Import'!A:A=A87,'Playoff IDR Import'!C:C=C87)),)"),"")</f>
        <v/>
      </c>
      <c r="I87" s="58"/>
      <c r="J87" s="59" t="str">
        <f t="shared" si="1"/>
        <v/>
      </c>
    </row>
    <row r="88">
      <c r="A88" s="55"/>
      <c r="B88" s="60"/>
      <c r="C88" s="55"/>
      <c r="D88" s="54"/>
      <c r="E88" s="55"/>
      <c r="F88" s="62"/>
      <c r="G88" s="57"/>
      <c r="H88" s="58" t="str">
        <f>IFERROR(__xludf.DUMMYFUNCTION("iferror(if(A88="""", ,filter('Playoff IDR Import'!D:D,'Playoff IDR Import'!A:A=A88,'Playoff IDR Import'!C:C=C88)),)"),"")</f>
        <v/>
      </c>
      <c r="I88" s="58"/>
      <c r="J88" s="59" t="str">
        <f t="shared" si="1"/>
        <v/>
      </c>
    </row>
    <row r="89">
      <c r="A89" s="55"/>
      <c r="B89" s="60"/>
      <c r="C89" s="55"/>
      <c r="D89" s="54"/>
      <c r="E89" s="55"/>
      <c r="F89" s="62"/>
      <c r="G89" s="57"/>
      <c r="H89" s="58" t="str">
        <f>IFERROR(__xludf.DUMMYFUNCTION("iferror(if(A89="""", ,filter('Playoff IDR Import'!D:D,'Playoff IDR Import'!A:A=A89,'Playoff IDR Import'!C:C=C89)),)"),"")</f>
        <v/>
      </c>
      <c r="I89" s="58"/>
      <c r="J89" s="59" t="str">
        <f t="shared" si="1"/>
        <v/>
      </c>
    </row>
    <row r="90">
      <c r="A90" s="55"/>
      <c r="B90" s="60"/>
      <c r="C90" s="55"/>
      <c r="D90" s="54"/>
      <c r="E90" s="55"/>
      <c r="F90" s="62"/>
      <c r="G90" s="57"/>
      <c r="H90" s="58" t="str">
        <f>IFERROR(__xludf.DUMMYFUNCTION("iferror(if(A90="""", ,filter('Playoff IDR Import'!D:D,'Playoff IDR Import'!A:A=A90,'Playoff IDR Import'!C:C=C90)),)"),"")</f>
        <v/>
      </c>
      <c r="I90" s="58"/>
      <c r="J90" s="59" t="str">
        <f t="shared" si="1"/>
        <v/>
      </c>
    </row>
    <row r="91">
      <c r="A91" s="55"/>
      <c r="B91" s="60"/>
      <c r="C91" s="55"/>
      <c r="D91" s="54"/>
      <c r="E91" s="55"/>
      <c r="F91" s="62"/>
      <c r="G91" s="57"/>
      <c r="H91" s="58" t="str">
        <f>IFERROR(__xludf.DUMMYFUNCTION("iferror(if(A91="""", ,filter('Playoff IDR Import'!D:D,'Playoff IDR Import'!A:A=A91,'Playoff IDR Import'!C:C=C91)),)"),"")</f>
        <v/>
      </c>
      <c r="I91" s="58"/>
      <c r="J91" s="59" t="str">
        <f t="shared" si="1"/>
        <v/>
      </c>
    </row>
    <row r="92">
      <c r="A92" s="55"/>
      <c r="B92" s="60"/>
      <c r="C92" s="55"/>
      <c r="D92" s="54"/>
      <c r="E92" s="55"/>
      <c r="F92" s="62"/>
      <c r="G92" s="57"/>
      <c r="H92" s="58" t="str">
        <f>IFERROR(__xludf.DUMMYFUNCTION("iferror(if(A92="""", ,filter('Playoff IDR Import'!D:D,'Playoff IDR Import'!A:A=A92,'Playoff IDR Import'!C:C=C92)),)"),"")</f>
        <v/>
      </c>
      <c r="I92" s="58"/>
      <c r="J92" s="59" t="str">
        <f t="shared" si="1"/>
        <v/>
      </c>
    </row>
    <row r="93">
      <c r="A93" s="55"/>
      <c r="B93" s="60"/>
      <c r="C93" s="55"/>
      <c r="D93" s="54"/>
      <c r="E93" s="55"/>
      <c r="F93" s="62"/>
      <c r="G93" s="57"/>
      <c r="H93" s="58" t="str">
        <f>IFERROR(__xludf.DUMMYFUNCTION("iferror(if(A93="""", ,filter('Playoff IDR Import'!D:D,'Playoff IDR Import'!A:A=A93,'Playoff IDR Import'!C:C=C93)),)"),"")</f>
        <v/>
      </c>
      <c r="I93" s="58"/>
      <c r="J93" s="59" t="str">
        <f t="shared" si="1"/>
        <v/>
      </c>
    </row>
    <row r="94">
      <c r="A94" s="55"/>
      <c r="B94" s="60"/>
      <c r="C94" s="55"/>
      <c r="D94" s="54"/>
      <c r="E94" s="55"/>
      <c r="F94" s="62"/>
      <c r="G94" s="57"/>
      <c r="H94" s="58" t="str">
        <f>IFERROR(__xludf.DUMMYFUNCTION("iferror(if(A94="""", ,filter('Playoff IDR Import'!D:D,'Playoff IDR Import'!A:A=A94,'Playoff IDR Import'!C:C=C94)),)"),"")</f>
        <v/>
      </c>
      <c r="I94" s="58"/>
      <c r="J94" s="59" t="str">
        <f t="shared" si="1"/>
        <v/>
      </c>
    </row>
    <row r="95">
      <c r="A95" s="55"/>
      <c r="B95" s="60"/>
      <c r="C95" s="55"/>
      <c r="D95" s="54"/>
      <c r="E95" s="55"/>
      <c r="F95" s="62"/>
      <c r="G95" s="57"/>
      <c r="H95" s="58" t="str">
        <f>IFERROR(__xludf.DUMMYFUNCTION("iferror(if(A95="""", ,filter('Playoff IDR Import'!D:D,'Playoff IDR Import'!A:A=A95,'Playoff IDR Import'!C:C=C95)),)"),"")</f>
        <v/>
      </c>
      <c r="I95" s="58"/>
      <c r="J95" s="59" t="str">
        <f t="shared" si="1"/>
        <v/>
      </c>
    </row>
    <row r="96">
      <c r="A96" s="55"/>
      <c r="B96" s="60"/>
      <c r="C96" s="55"/>
      <c r="D96" s="54"/>
      <c r="E96" s="55"/>
      <c r="F96" s="62"/>
      <c r="G96" s="57"/>
      <c r="H96" s="58" t="str">
        <f>IFERROR(__xludf.DUMMYFUNCTION("iferror(if(A96="""", ,filter('Playoff IDR Import'!D:D,'Playoff IDR Import'!A:A=A96,'Playoff IDR Import'!C:C=C96)),)"),"")</f>
        <v/>
      </c>
      <c r="I96" s="58"/>
      <c r="J96" s="59" t="str">
        <f t="shared" si="1"/>
        <v/>
      </c>
    </row>
    <row r="97">
      <c r="A97" s="55"/>
      <c r="B97" s="60"/>
      <c r="C97" s="55"/>
      <c r="D97" s="54"/>
      <c r="E97" s="55"/>
      <c r="F97" s="62"/>
      <c r="G97" s="57"/>
      <c r="H97" s="58" t="str">
        <f>IFERROR(__xludf.DUMMYFUNCTION("iferror(if(A97="""", ,filter('Playoff IDR Import'!D:D,'Playoff IDR Import'!A:A=A97,'Playoff IDR Import'!C:C=C97)),)"),"")</f>
        <v/>
      </c>
      <c r="I97" s="58"/>
      <c r="J97" s="59" t="str">
        <f t="shared" si="1"/>
        <v/>
      </c>
    </row>
    <row r="98">
      <c r="A98" s="55"/>
      <c r="B98" s="60"/>
      <c r="C98" s="55"/>
      <c r="D98" s="54"/>
      <c r="E98" s="55"/>
      <c r="F98" s="62"/>
      <c r="G98" s="57"/>
      <c r="H98" s="58" t="str">
        <f>IFERROR(__xludf.DUMMYFUNCTION("iferror(if(A98="""", ,filter('Playoff IDR Import'!D:D,'Playoff IDR Import'!A:A=A98,'Playoff IDR Import'!C:C=C98)),)"),"")</f>
        <v/>
      </c>
      <c r="I98" s="58"/>
      <c r="J98" s="59" t="str">
        <f t="shared" si="1"/>
        <v/>
      </c>
    </row>
    <row r="99">
      <c r="A99" s="55"/>
      <c r="B99" s="60"/>
      <c r="C99" s="55"/>
      <c r="D99" s="54"/>
      <c r="E99" s="55"/>
      <c r="F99" s="62"/>
      <c r="G99" s="57"/>
      <c r="H99" s="58" t="str">
        <f>IFERROR(__xludf.DUMMYFUNCTION("iferror(if(A99="""", ,filter('Playoff IDR Import'!D:D,'Playoff IDR Import'!A:A=A99,'Playoff IDR Import'!C:C=C99)),)"),"")</f>
        <v/>
      </c>
      <c r="I99" s="58"/>
      <c r="J99" s="59" t="str">
        <f t="shared" si="1"/>
        <v/>
      </c>
    </row>
    <row r="100">
      <c r="A100" s="55"/>
      <c r="B100" s="60"/>
      <c r="C100" s="55"/>
      <c r="D100" s="54"/>
      <c r="E100" s="55"/>
      <c r="F100" s="62"/>
      <c r="G100" s="57"/>
      <c r="H100" s="58" t="str">
        <f>IFERROR(__xludf.DUMMYFUNCTION("iferror(if(A100="""", ,filter('Playoff IDR Import'!D:D,'Playoff IDR Import'!A:A=A100,'Playoff IDR Import'!C:C=C100)),)"),"")</f>
        <v/>
      </c>
      <c r="I100" s="58"/>
      <c r="J100" s="59" t="str">
        <f t="shared" si="1"/>
        <v/>
      </c>
    </row>
    <row r="101">
      <c r="A101" s="55"/>
      <c r="B101" s="60"/>
      <c r="C101" s="55"/>
      <c r="D101" s="54"/>
      <c r="E101" s="55"/>
      <c r="F101" s="62"/>
      <c r="G101" s="57"/>
      <c r="H101" s="58" t="str">
        <f>IFERROR(__xludf.DUMMYFUNCTION("iferror(if(A101="""", ,filter('Playoff IDR Import'!D:D,'Playoff IDR Import'!A:A=A101,'Playoff IDR Import'!C:C=C101)),)"),"")</f>
        <v/>
      </c>
      <c r="I101" s="58"/>
      <c r="J101" s="59" t="str">
        <f t="shared" si="1"/>
        <v/>
      </c>
    </row>
    <row r="102">
      <c r="A102" s="55"/>
      <c r="B102" s="60"/>
      <c r="C102" s="55"/>
      <c r="D102" s="54"/>
      <c r="E102" s="55"/>
      <c r="F102" s="62"/>
      <c r="G102" s="57"/>
      <c r="H102" s="58" t="str">
        <f>IFERROR(__xludf.DUMMYFUNCTION("iferror(if(A102="""", ,filter('Playoff IDR Import'!D:D,'Playoff IDR Import'!A:A=A102,'Playoff IDR Import'!C:C=C102)),)"),"")</f>
        <v/>
      </c>
      <c r="I102" s="58"/>
      <c r="J102" s="59" t="str">
        <f t="shared" si="1"/>
        <v/>
      </c>
    </row>
    <row r="103">
      <c r="A103" s="55"/>
      <c r="B103" s="60"/>
      <c r="C103" s="55"/>
      <c r="D103" s="54"/>
      <c r="E103" s="55"/>
      <c r="F103" s="62"/>
      <c r="G103" s="57"/>
      <c r="H103" s="58" t="str">
        <f>IFERROR(__xludf.DUMMYFUNCTION("iferror(if(A103="""", ,filter('Playoff IDR Import'!D:D,'Playoff IDR Import'!A:A=A103,'Playoff IDR Import'!C:C=C103)),)"),"")</f>
        <v/>
      </c>
      <c r="I103" s="58"/>
      <c r="J103" s="59" t="str">
        <f t="shared" si="1"/>
        <v/>
      </c>
    </row>
    <row r="104">
      <c r="A104" s="55"/>
      <c r="B104" s="60"/>
      <c r="C104" s="55"/>
      <c r="D104" s="54"/>
      <c r="E104" s="55"/>
      <c r="F104" s="62"/>
      <c r="G104" s="57"/>
      <c r="H104" s="58" t="str">
        <f>IFERROR(__xludf.DUMMYFUNCTION("iferror(if(A104="""", ,filter('Playoff IDR Import'!D:D,'Playoff IDR Import'!A:A=A104,'Playoff IDR Import'!C:C=C104)),)"),"")</f>
        <v/>
      </c>
      <c r="I104" s="58"/>
      <c r="J104" s="59" t="str">
        <f t="shared" si="1"/>
        <v/>
      </c>
    </row>
    <row r="105">
      <c r="A105" s="55"/>
      <c r="B105" s="60"/>
      <c r="C105" s="55"/>
      <c r="D105" s="54"/>
      <c r="E105" s="55"/>
      <c r="F105" s="62"/>
      <c r="G105" s="57"/>
      <c r="H105" s="58" t="str">
        <f>IFERROR(__xludf.DUMMYFUNCTION("iferror(if(A105="""", ,filter('Playoff IDR Import'!D:D,'Playoff IDR Import'!A:A=A105,'Playoff IDR Import'!C:C=C105)),)"),"")</f>
        <v/>
      </c>
      <c r="I105" s="58"/>
      <c r="J105" s="59" t="str">
        <f t="shared" si="1"/>
        <v/>
      </c>
    </row>
    <row r="106">
      <c r="A106" s="55"/>
      <c r="B106" s="60"/>
      <c r="C106" s="55"/>
      <c r="D106" s="54"/>
      <c r="E106" s="55"/>
      <c r="F106" s="62"/>
      <c r="G106" s="57"/>
      <c r="H106" s="58" t="str">
        <f>IFERROR(__xludf.DUMMYFUNCTION("iferror(if(A106="""", ,filter('Playoff IDR Import'!D:D,'Playoff IDR Import'!A:A=A106,'Playoff IDR Import'!C:C=C106)),)"),"")</f>
        <v/>
      </c>
      <c r="I106" s="58"/>
      <c r="J106" s="59" t="str">
        <f t="shared" si="1"/>
        <v/>
      </c>
    </row>
    <row r="107">
      <c r="A107" s="55"/>
      <c r="B107" s="60"/>
      <c r="C107" s="55"/>
      <c r="D107" s="54"/>
      <c r="E107" s="55"/>
      <c r="F107" s="62"/>
      <c r="G107" s="57"/>
      <c r="H107" s="58" t="str">
        <f>IFERROR(__xludf.DUMMYFUNCTION("iferror(if(A107="""", ,filter('Playoff IDR Import'!D:D,'Playoff IDR Import'!A:A=A107,'Playoff IDR Import'!C:C=C107)),)"),"")</f>
        <v/>
      </c>
      <c r="I107" s="58"/>
      <c r="J107" s="59" t="str">
        <f t="shared" si="1"/>
        <v/>
      </c>
    </row>
    <row r="108">
      <c r="A108" s="55"/>
      <c r="B108" s="60"/>
      <c r="C108" s="55"/>
      <c r="D108" s="54"/>
      <c r="E108" s="55"/>
      <c r="F108" s="62"/>
      <c r="G108" s="57"/>
      <c r="H108" s="58" t="str">
        <f>IFERROR(__xludf.DUMMYFUNCTION("iferror(if(A108="""", ,filter('Playoff IDR Import'!D:D,'Playoff IDR Import'!A:A=A108,'Playoff IDR Import'!C:C=C108)),)"),"")</f>
        <v/>
      </c>
      <c r="I108" s="58"/>
      <c r="J108" s="59" t="str">
        <f t="shared" si="1"/>
        <v/>
      </c>
    </row>
    <row r="109">
      <c r="A109" s="55"/>
      <c r="B109" s="60"/>
      <c r="C109" s="55"/>
      <c r="D109" s="54"/>
      <c r="E109" s="55"/>
      <c r="F109" s="62"/>
      <c r="G109" s="57"/>
      <c r="H109" s="58" t="str">
        <f>IFERROR(__xludf.DUMMYFUNCTION("iferror(if(A109="""", ,filter('Playoff IDR Import'!D:D,'Playoff IDR Import'!A:A=A109,'Playoff IDR Import'!C:C=C109)),)"),"")</f>
        <v/>
      </c>
      <c r="I109" s="58"/>
      <c r="J109" s="59" t="str">
        <f t="shared" si="1"/>
        <v/>
      </c>
    </row>
    <row r="110">
      <c r="A110" s="55"/>
      <c r="B110" s="60"/>
      <c r="C110" s="55"/>
      <c r="D110" s="54"/>
      <c r="E110" s="55"/>
      <c r="F110" s="62"/>
      <c r="G110" s="57"/>
      <c r="H110" s="58" t="str">
        <f>IFERROR(__xludf.DUMMYFUNCTION("iferror(if(A110="""", ,filter('Playoff IDR Import'!D:D,'Playoff IDR Import'!A:A=A110,'Playoff IDR Import'!C:C=C110)),)"),"")</f>
        <v/>
      </c>
      <c r="I110" s="58"/>
      <c r="J110" s="59" t="str">
        <f t="shared" si="1"/>
        <v/>
      </c>
    </row>
    <row r="111">
      <c r="A111" s="55"/>
      <c r="B111" s="60"/>
      <c r="C111" s="55"/>
      <c r="D111" s="54"/>
      <c r="E111" s="55"/>
      <c r="F111" s="62"/>
      <c r="G111" s="57"/>
      <c r="H111" s="58" t="str">
        <f>IFERROR(__xludf.DUMMYFUNCTION("iferror(if(A111="""", ,filter('Playoff IDR Import'!D:D,'Playoff IDR Import'!A:A=A111,'Playoff IDR Import'!C:C=C111)),)"),"")</f>
        <v/>
      </c>
      <c r="I111" s="58"/>
      <c r="J111" s="59" t="str">
        <f t="shared" si="1"/>
        <v/>
      </c>
    </row>
    <row r="112">
      <c r="A112" s="55"/>
      <c r="B112" s="60"/>
      <c r="C112" s="55"/>
      <c r="D112" s="54"/>
      <c r="E112" s="55"/>
      <c r="F112" s="62"/>
      <c r="G112" s="57"/>
      <c r="H112" s="58" t="str">
        <f>IFERROR(__xludf.DUMMYFUNCTION("iferror(if(A112="""", ,filter('Playoff IDR Import'!D:D,'Playoff IDR Import'!A:A=A112,'Playoff IDR Import'!C:C=C112)),)"),"")</f>
        <v/>
      </c>
      <c r="I112" s="58"/>
      <c r="J112" s="59" t="str">
        <f t="shared" si="1"/>
        <v/>
      </c>
    </row>
    <row r="113">
      <c r="A113" s="55"/>
      <c r="B113" s="60"/>
      <c r="C113" s="55"/>
      <c r="D113" s="54"/>
      <c r="E113" s="55"/>
      <c r="F113" s="62"/>
      <c r="G113" s="57"/>
      <c r="H113" s="58" t="str">
        <f>IFERROR(__xludf.DUMMYFUNCTION("iferror(if(A113="""", ,filter('Playoff IDR Import'!D:D,'Playoff IDR Import'!A:A=A113,'Playoff IDR Import'!C:C=C113)),)"),"")</f>
        <v/>
      </c>
      <c r="I113" s="58"/>
      <c r="J113" s="59" t="str">
        <f t="shared" si="1"/>
        <v/>
      </c>
    </row>
    <row r="114">
      <c r="A114" s="55"/>
      <c r="B114" s="60"/>
      <c r="C114" s="55"/>
      <c r="D114" s="54"/>
      <c r="E114" s="55"/>
      <c r="F114" s="62"/>
      <c r="G114" s="57"/>
      <c r="H114" s="58" t="str">
        <f>IFERROR(__xludf.DUMMYFUNCTION("iferror(if(A114="""", ,filter('Playoff IDR Import'!D:D,'Playoff IDR Import'!A:A=A114,'Playoff IDR Import'!C:C=C114)),)"),"")</f>
        <v/>
      </c>
      <c r="I114" s="58"/>
      <c r="J114" s="59" t="str">
        <f t="shared" si="1"/>
        <v/>
      </c>
    </row>
    <row r="115">
      <c r="A115" s="55"/>
      <c r="B115" s="60"/>
      <c r="C115" s="55"/>
      <c r="D115" s="54"/>
      <c r="E115" s="55"/>
      <c r="F115" s="62"/>
      <c r="G115" s="57"/>
      <c r="H115" s="58" t="str">
        <f>IFERROR(__xludf.DUMMYFUNCTION("iferror(if(A115="""", ,filter('Playoff IDR Import'!D:D,'Playoff IDR Import'!A:A=A115,'Playoff IDR Import'!C:C=C115)),)"),"")</f>
        <v/>
      </c>
      <c r="I115" s="58"/>
      <c r="J115" s="59" t="str">
        <f t="shared" si="1"/>
        <v/>
      </c>
    </row>
    <row r="116">
      <c r="A116" s="55"/>
      <c r="B116" s="60"/>
      <c r="C116" s="55"/>
      <c r="D116" s="54"/>
      <c r="E116" s="55"/>
      <c r="F116" s="62"/>
      <c r="G116" s="57"/>
      <c r="H116" s="58" t="str">
        <f>IFERROR(__xludf.DUMMYFUNCTION("iferror(if(A116="""", ,filter('Playoff IDR Import'!D:D,'Playoff IDR Import'!A:A=A116,'Playoff IDR Import'!C:C=C116)),)"),"")</f>
        <v/>
      </c>
      <c r="I116" s="58"/>
      <c r="J116" s="59" t="str">
        <f t="shared" si="1"/>
        <v/>
      </c>
    </row>
    <row r="117">
      <c r="A117" s="55"/>
      <c r="B117" s="60"/>
      <c r="C117" s="55"/>
      <c r="D117" s="54"/>
      <c r="E117" s="55"/>
      <c r="F117" s="62"/>
      <c r="G117" s="57"/>
      <c r="H117" s="58" t="str">
        <f>IFERROR(__xludf.DUMMYFUNCTION("iferror(if(A117="""", ,filter('Playoff IDR Import'!D:D,'Playoff IDR Import'!A:A=A117,'Playoff IDR Import'!C:C=C117)),)"),"")</f>
        <v/>
      </c>
      <c r="I117" s="58"/>
      <c r="J117" s="59" t="str">
        <f t="shared" si="1"/>
        <v/>
      </c>
    </row>
    <row r="118">
      <c r="A118" s="55"/>
      <c r="B118" s="60"/>
      <c r="C118" s="55"/>
      <c r="D118" s="54"/>
      <c r="E118" s="55"/>
      <c r="F118" s="62"/>
      <c r="G118" s="57"/>
      <c r="H118" s="58" t="str">
        <f>IFERROR(__xludf.DUMMYFUNCTION("iferror(if(A118="""", ,filter('Playoff IDR Import'!D:D,'Playoff IDR Import'!A:A=A118,'Playoff IDR Import'!C:C=C118)),)"),"")</f>
        <v/>
      </c>
      <c r="I118" s="58"/>
      <c r="J118" s="59" t="str">
        <f t="shared" si="1"/>
        <v/>
      </c>
    </row>
    <row r="119">
      <c r="A119" s="55"/>
      <c r="B119" s="60"/>
      <c r="C119" s="55"/>
      <c r="D119" s="54"/>
      <c r="E119" s="55"/>
      <c r="F119" s="62"/>
      <c r="G119" s="57"/>
      <c r="H119" s="58" t="str">
        <f>IFERROR(__xludf.DUMMYFUNCTION("iferror(if(A119="""", ,filter('Playoff IDR Import'!D:D,'Playoff IDR Import'!A:A=A119,'Playoff IDR Import'!C:C=C119)),)"),"")</f>
        <v/>
      </c>
      <c r="I119" s="58"/>
      <c r="J119" s="59" t="str">
        <f t="shared" si="1"/>
        <v/>
      </c>
    </row>
    <row r="120">
      <c r="A120" s="55"/>
      <c r="B120" s="60"/>
      <c r="C120" s="55"/>
      <c r="D120" s="54"/>
      <c r="E120" s="55"/>
      <c r="F120" s="62"/>
      <c r="G120" s="57"/>
      <c r="H120" s="58" t="str">
        <f>IFERROR(__xludf.DUMMYFUNCTION("iferror(if(A120="""", ,filter('Playoff IDR Import'!D:D,'Playoff IDR Import'!A:A=A120,'Playoff IDR Import'!C:C=C120)),)"),"")</f>
        <v/>
      </c>
      <c r="I120" s="58"/>
      <c r="J120" s="59" t="str">
        <f t="shared" si="1"/>
        <v/>
      </c>
    </row>
    <row r="121">
      <c r="A121" s="55"/>
      <c r="B121" s="60"/>
      <c r="C121" s="55"/>
      <c r="D121" s="54"/>
      <c r="E121" s="55"/>
      <c r="F121" s="62"/>
      <c r="G121" s="57"/>
      <c r="H121" s="58" t="str">
        <f>IFERROR(__xludf.DUMMYFUNCTION("iferror(if(A121="""", ,filter('Playoff IDR Import'!D:D,'Playoff IDR Import'!A:A=A121,'Playoff IDR Import'!C:C=C121)),)"),"")</f>
        <v/>
      </c>
      <c r="I121" s="58"/>
      <c r="J121" s="59" t="str">
        <f t="shared" si="1"/>
        <v/>
      </c>
    </row>
    <row r="122">
      <c r="A122" s="55"/>
      <c r="B122" s="60"/>
      <c r="C122" s="55"/>
      <c r="D122" s="54"/>
      <c r="E122" s="55"/>
      <c r="F122" s="62"/>
      <c r="G122" s="57"/>
      <c r="H122" s="58" t="str">
        <f>IFERROR(__xludf.DUMMYFUNCTION("iferror(if(A122="""", ,filter('Playoff IDR Import'!D:D,'Playoff IDR Import'!A:A=A122,'Playoff IDR Import'!C:C=C122)),)"),"")</f>
        <v/>
      </c>
      <c r="I122" s="58"/>
      <c r="J122" s="59" t="str">
        <f t="shared" si="1"/>
        <v/>
      </c>
    </row>
    <row r="123">
      <c r="A123" s="55"/>
      <c r="B123" s="60"/>
      <c r="C123" s="55"/>
      <c r="D123" s="54"/>
      <c r="E123" s="55"/>
      <c r="F123" s="62"/>
      <c r="G123" s="57"/>
      <c r="H123" s="58" t="str">
        <f>IFERROR(__xludf.DUMMYFUNCTION("iferror(if(A123="""", ,filter('Playoff IDR Import'!D:D,'Playoff IDR Import'!A:A=A123,'Playoff IDR Import'!C:C=C123)),)"),"")</f>
        <v/>
      </c>
      <c r="I123" s="58"/>
      <c r="J123" s="59" t="str">
        <f t="shared" si="1"/>
        <v/>
      </c>
    </row>
    <row r="124">
      <c r="A124" s="55"/>
      <c r="B124" s="60"/>
      <c r="C124" s="55"/>
      <c r="D124" s="54"/>
      <c r="E124" s="55"/>
      <c r="F124" s="62"/>
      <c r="G124" s="57"/>
      <c r="H124" s="58" t="str">
        <f>IFERROR(__xludf.DUMMYFUNCTION("iferror(if(A124="""", ,filter('Playoff IDR Import'!D:D,'Playoff IDR Import'!A:A=A124,'Playoff IDR Import'!C:C=C124)),)"),"")</f>
        <v/>
      </c>
      <c r="I124" s="58"/>
      <c r="J124" s="59" t="str">
        <f t="shared" si="1"/>
        <v/>
      </c>
    </row>
    <row r="125">
      <c r="A125" s="55"/>
      <c r="B125" s="60"/>
      <c r="C125" s="55"/>
      <c r="D125" s="54"/>
      <c r="E125" s="55"/>
      <c r="F125" s="62"/>
      <c r="G125" s="57"/>
      <c r="H125" s="58" t="str">
        <f>IFERROR(__xludf.DUMMYFUNCTION("iferror(if(A125="""", ,filter('Playoff IDR Import'!D:D,'Playoff IDR Import'!A:A=A125,'Playoff IDR Import'!C:C=C125)),)"),"")</f>
        <v/>
      </c>
      <c r="I125" s="58"/>
      <c r="J125" s="59" t="str">
        <f t="shared" si="1"/>
        <v/>
      </c>
    </row>
    <row r="126">
      <c r="A126" s="55"/>
      <c r="B126" s="60"/>
      <c r="C126" s="55"/>
      <c r="D126" s="54"/>
      <c r="E126" s="55"/>
      <c r="F126" s="62"/>
      <c r="G126" s="57"/>
      <c r="H126" s="58" t="str">
        <f>IFERROR(__xludf.DUMMYFUNCTION("iferror(if(A126="""", ,filter('Playoff IDR Import'!D:D,'Playoff IDR Import'!A:A=A126,'Playoff IDR Import'!C:C=C126)),)"),"")</f>
        <v/>
      </c>
      <c r="I126" s="58"/>
      <c r="J126" s="59" t="str">
        <f t="shared" si="1"/>
        <v/>
      </c>
    </row>
    <row r="127">
      <c r="A127" s="55"/>
      <c r="B127" s="60"/>
      <c r="C127" s="55"/>
      <c r="D127" s="54"/>
      <c r="E127" s="55"/>
      <c r="F127" s="62"/>
      <c r="G127" s="57"/>
      <c r="H127" s="58" t="str">
        <f>IFERROR(__xludf.DUMMYFUNCTION("iferror(if(A127="""", ,filter('Playoff IDR Import'!D:D,'Playoff IDR Import'!A:A=A127,'Playoff IDR Import'!C:C=C127)),)"),"")</f>
        <v/>
      </c>
      <c r="I127" s="58"/>
      <c r="J127" s="59" t="str">
        <f t="shared" si="1"/>
        <v/>
      </c>
    </row>
    <row r="128">
      <c r="A128" s="55"/>
      <c r="B128" s="60"/>
      <c r="C128" s="55"/>
      <c r="D128" s="54"/>
      <c r="E128" s="55"/>
      <c r="F128" s="62"/>
      <c r="G128" s="57"/>
      <c r="H128" s="58" t="str">
        <f>IFERROR(__xludf.DUMMYFUNCTION("iferror(if(A128="""", ,filter('Playoff IDR Import'!D:D,'Playoff IDR Import'!A:A=A128,'Playoff IDR Import'!C:C=C128)),)"),"")</f>
        <v/>
      </c>
      <c r="I128" s="58"/>
      <c r="J128" s="59" t="str">
        <f t="shared" si="1"/>
        <v/>
      </c>
    </row>
    <row r="129">
      <c r="A129" s="55"/>
      <c r="B129" s="60"/>
      <c r="C129" s="55"/>
      <c r="D129" s="54"/>
      <c r="E129" s="55"/>
      <c r="F129" s="62"/>
      <c r="G129" s="57"/>
      <c r="H129" s="58" t="str">
        <f>IFERROR(__xludf.DUMMYFUNCTION("iferror(if(A129="""", ,filter('Playoff IDR Import'!D:D,'Playoff IDR Import'!A:A=A129,'Playoff IDR Import'!C:C=C129)),)"),"")</f>
        <v/>
      </c>
      <c r="I129" s="58"/>
      <c r="J129" s="59" t="str">
        <f t="shared" si="1"/>
        <v/>
      </c>
    </row>
    <row r="130">
      <c r="A130" s="55"/>
      <c r="B130" s="60"/>
      <c r="C130" s="55"/>
      <c r="D130" s="54"/>
      <c r="E130" s="55"/>
      <c r="F130" s="62"/>
      <c r="G130" s="57"/>
      <c r="H130" s="58" t="str">
        <f>IFERROR(__xludf.DUMMYFUNCTION("iferror(if(A130="""", ,filter('Playoff IDR Import'!D:D,'Playoff IDR Import'!A:A=A130,'Playoff IDR Import'!C:C=C130)),)"),"")</f>
        <v/>
      </c>
      <c r="I130" s="58"/>
      <c r="J130" s="59" t="str">
        <f t="shared" si="1"/>
        <v/>
      </c>
    </row>
    <row r="131">
      <c r="A131" s="55"/>
      <c r="B131" s="60"/>
      <c r="C131" s="55"/>
      <c r="D131" s="54"/>
      <c r="E131" s="55"/>
      <c r="F131" s="62"/>
      <c r="G131" s="57"/>
      <c r="H131" s="58" t="str">
        <f>IFERROR(__xludf.DUMMYFUNCTION("iferror(if(A131="""", ,filter('Playoff IDR Import'!D:D,'Playoff IDR Import'!A:A=A131,'Playoff IDR Import'!C:C=C131)),)"),"")</f>
        <v/>
      </c>
      <c r="I131" s="58"/>
      <c r="J131" s="59" t="str">
        <f t="shared" si="1"/>
        <v/>
      </c>
    </row>
    <row r="132">
      <c r="A132" s="55"/>
      <c r="B132" s="60"/>
      <c r="C132" s="55"/>
      <c r="D132" s="54"/>
      <c r="E132" s="55"/>
      <c r="F132" s="62"/>
      <c r="G132" s="57"/>
      <c r="H132" s="58" t="str">
        <f>IFERROR(__xludf.DUMMYFUNCTION("iferror(if(A132="""", ,filter('Playoff IDR Import'!D:D,'Playoff IDR Import'!A:A=A132,'Playoff IDR Import'!C:C=C132)),)"),"")</f>
        <v/>
      </c>
      <c r="I132" s="58"/>
      <c r="J132" s="59" t="str">
        <f t="shared" si="1"/>
        <v/>
      </c>
    </row>
    <row r="133">
      <c r="A133" s="55"/>
      <c r="B133" s="60"/>
      <c r="C133" s="55"/>
      <c r="D133" s="54"/>
      <c r="E133" s="55"/>
      <c r="F133" s="62"/>
      <c r="G133" s="57"/>
      <c r="H133" s="58" t="str">
        <f>IFERROR(__xludf.DUMMYFUNCTION("iferror(if(A133="""", ,filter('Playoff IDR Import'!D:D,'Playoff IDR Import'!A:A=A133,'Playoff IDR Import'!C:C=C133)),)"),"")</f>
        <v/>
      </c>
      <c r="I133" s="58"/>
      <c r="J133" s="59" t="str">
        <f t="shared" si="1"/>
        <v/>
      </c>
    </row>
    <row r="134">
      <c r="A134" s="55"/>
      <c r="B134" s="60"/>
      <c r="C134" s="55"/>
      <c r="D134" s="54"/>
      <c r="E134" s="55"/>
      <c r="F134" s="62"/>
      <c r="G134" s="57"/>
      <c r="H134" s="58" t="str">
        <f>IFERROR(__xludf.DUMMYFUNCTION("iferror(if(A134="""", ,filter('Playoff IDR Import'!D:D,'Playoff IDR Import'!A:A=A134,'Playoff IDR Import'!C:C=C134)),)"),"")</f>
        <v/>
      </c>
      <c r="I134" s="58"/>
      <c r="J134" s="59" t="str">
        <f t="shared" si="1"/>
        <v/>
      </c>
    </row>
    <row r="135">
      <c r="A135" s="55"/>
      <c r="B135" s="60"/>
      <c r="C135" s="55"/>
      <c r="D135" s="54"/>
      <c r="E135" s="55"/>
      <c r="F135" s="62"/>
      <c r="G135" s="57"/>
      <c r="H135" s="58" t="str">
        <f>IFERROR(__xludf.DUMMYFUNCTION("iferror(if(A135="""", ,filter('Playoff IDR Import'!D:D,'Playoff IDR Import'!A:A=A135,'Playoff IDR Import'!C:C=C135)),)"),"")</f>
        <v/>
      </c>
      <c r="I135" s="58"/>
      <c r="J135" s="59" t="str">
        <f t="shared" si="1"/>
        <v/>
      </c>
    </row>
    <row r="136">
      <c r="A136" s="55"/>
      <c r="B136" s="60"/>
      <c r="C136" s="55"/>
      <c r="D136" s="54"/>
      <c r="E136" s="55"/>
      <c r="F136" s="62"/>
      <c r="G136" s="57"/>
      <c r="H136" s="58" t="str">
        <f>IFERROR(__xludf.DUMMYFUNCTION("iferror(if(A136="""", ,filter('Playoff IDR Import'!D:D,'Playoff IDR Import'!A:A=A136,'Playoff IDR Import'!C:C=C136)),)"),"")</f>
        <v/>
      </c>
      <c r="I136" s="58"/>
      <c r="J136" s="59" t="str">
        <f t="shared" si="1"/>
        <v/>
      </c>
    </row>
    <row r="137">
      <c r="A137" s="55"/>
      <c r="B137" s="60"/>
      <c r="C137" s="55"/>
      <c r="D137" s="54"/>
      <c r="E137" s="55"/>
      <c r="F137" s="62"/>
      <c r="G137" s="57"/>
      <c r="H137" s="58" t="str">
        <f>IFERROR(__xludf.DUMMYFUNCTION("iferror(if(A137="""", ,filter('Playoff IDR Import'!D:D,'Playoff IDR Import'!A:A=A137,'Playoff IDR Import'!C:C=C137)),)"),"")</f>
        <v/>
      </c>
      <c r="I137" s="58"/>
      <c r="J137" s="59" t="str">
        <f t="shared" si="1"/>
        <v/>
      </c>
    </row>
    <row r="138">
      <c r="A138" s="55"/>
      <c r="B138" s="60"/>
      <c r="C138" s="55"/>
      <c r="D138" s="54"/>
      <c r="E138" s="55"/>
      <c r="F138" s="62"/>
      <c r="G138" s="57"/>
      <c r="H138" s="58" t="str">
        <f>IFERROR(__xludf.DUMMYFUNCTION("iferror(if(A138="""", ,filter('Playoff IDR Import'!D:D,'Playoff IDR Import'!A:A=A138,'Playoff IDR Import'!C:C=C138)),)"),"")</f>
        <v/>
      </c>
      <c r="I138" s="58"/>
      <c r="J138" s="59" t="str">
        <f t="shared" si="1"/>
        <v/>
      </c>
    </row>
    <row r="139">
      <c r="A139" s="55"/>
      <c r="B139" s="60"/>
      <c r="C139" s="55"/>
      <c r="D139" s="54"/>
      <c r="E139" s="55"/>
      <c r="F139" s="62"/>
      <c r="G139" s="57"/>
      <c r="H139" s="58" t="str">
        <f>IFERROR(__xludf.DUMMYFUNCTION("iferror(if(A139="""", ,filter('Playoff IDR Import'!D:D,'Playoff IDR Import'!A:A=A139,'Playoff IDR Import'!C:C=C139)),)"),"")</f>
        <v/>
      </c>
      <c r="I139" s="58"/>
      <c r="J139" s="59" t="str">
        <f t="shared" si="1"/>
        <v/>
      </c>
    </row>
    <row r="140">
      <c r="A140" s="55"/>
      <c r="B140" s="60"/>
      <c r="C140" s="55"/>
      <c r="D140" s="54"/>
      <c r="E140" s="55"/>
      <c r="F140" s="62"/>
      <c r="G140" s="57"/>
      <c r="H140" s="58" t="str">
        <f>IFERROR(__xludf.DUMMYFUNCTION("iferror(if(A140="""", ,filter('Playoff IDR Import'!D:D,'Playoff IDR Import'!A:A=A140,'Playoff IDR Import'!C:C=C140)),)"),"")</f>
        <v/>
      </c>
      <c r="I140" s="58"/>
      <c r="J140" s="59" t="str">
        <f t="shared" si="1"/>
        <v/>
      </c>
    </row>
    <row r="141">
      <c r="A141" s="55"/>
      <c r="B141" s="60"/>
      <c r="C141" s="55"/>
      <c r="D141" s="54"/>
      <c r="E141" s="55"/>
      <c r="F141" s="62"/>
      <c r="G141" s="57"/>
      <c r="H141" s="58" t="str">
        <f>IFERROR(__xludf.DUMMYFUNCTION("iferror(if(A141="""", ,filter('Playoff IDR Import'!D:D,'Playoff IDR Import'!A:A=A141,'Playoff IDR Import'!C:C=C141)),)"),"")</f>
        <v/>
      </c>
      <c r="I141" s="58"/>
      <c r="J141" s="59" t="str">
        <f t="shared" si="1"/>
        <v/>
      </c>
    </row>
    <row r="142">
      <c r="A142" s="55"/>
      <c r="B142" s="60"/>
      <c r="C142" s="55"/>
      <c r="D142" s="54"/>
      <c r="E142" s="55"/>
      <c r="F142" s="62"/>
      <c r="G142" s="57"/>
      <c r="H142" s="58" t="str">
        <f>IFERROR(__xludf.DUMMYFUNCTION("iferror(if(A142="""", ,filter('Playoff IDR Import'!D:D,'Playoff IDR Import'!A:A=A142,'Playoff IDR Import'!C:C=C142)),)"),"")</f>
        <v/>
      </c>
      <c r="I142" s="58"/>
      <c r="J142" s="59" t="str">
        <f t="shared" si="1"/>
        <v/>
      </c>
    </row>
    <row r="143">
      <c r="A143" s="55"/>
      <c r="B143" s="60"/>
      <c r="C143" s="55"/>
      <c r="D143" s="54"/>
      <c r="E143" s="55"/>
      <c r="F143" s="62"/>
      <c r="G143" s="57"/>
      <c r="H143" s="58" t="str">
        <f>IFERROR(__xludf.DUMMYFUNCTION("iferror(if(A143="""", ,filter('Playoff IDR Import'!D:D,'Playoff IDR Import'!A:A=A143,'Playoff IDR Import'!C:C=C143)),)"),"")</f>
        <v/>
      </c>
      <c r="I143" s="58"/>
      <c r="J143" s="59" t="str">
        <f t="shared" si="1"/>
        <v/>
      </c>
    </row>
    <row r="144">
      <c r="A144" s="55"/>
      <c r="B144" s="60"/>
      <c r="C144" s="55"/>
      <c r="D144" s="54"/>
      <c r="E144" s="55"/>
      <c r="F144" s="62"/>
      <c r="G144" s="57"/>
      <c r="H144" s="58" t="str">
        <f>IFERROR(__xludf.DUMMYFUNCTION("iferror(if(A144="""", ,filter('Playoff IDR Import'!D:D,'Playoff IDR Import'!A:A=A144,'Playoff IDR Import'!C:C=C144)),)"),"")</f>
        <v/>
      </c>
      <c r="I144" s="58"/>
      <c r="J144" s="59" t="str">
        <f t="shared" si="1"/>
        <v/>
      </c>
    </row>
    <row r="145">
      <c r="A145" s="55"/>
      <c r="B145" s="60"/>
      <c r="C145" s="55"/>
      <c r="D145" s="54"/>
      <c r="E145" s="55"/>
      <c r="F145" s="62"/>
      <c r="G145" s="57"/>
      <c r="H145" s="58" t="str">
        <f>IFERROR(__xludf.DUMMYFUNCTION("iferror(if(A145="""", ,filter('Playoff IDR Import'!D:D,'Playoff IDR Import'!A:A=A145,'Playoff IDR Import'!C:C=C145)),)"),"")</f>
        <v/>
      </c>
      <c r="I145" s="58"/>
      <c r="J145" s="59" t="str">
        <f t="shared" si="1"/>
        <v/>
      </c>
    </row>
    <row r="146">
      <c r="A146" s="55"/>
      <c r="B146" s="60"/>
      <c r="C146" s="55"/>
      <c r="D146" s="54"/>
      <c r="E146" s="55"/>
      <c r="F146" s="62"/>
      <c r="G146" s="57"/>
      <c r="H146" s="58" t="str">
        <f>IFERROR(__xludf.DUMMYFUNCTION("iferror(if(A146="""", ,filter('Playoff IDR Import'!D:D,'Playoff IDR Import'!A:A=A146,'Playoff IDR Import'!C:C=C146)),)"),"")</f>
        <v/>
      </c>
      <c r="I146" s="58"/>
      <c r="J146" s="59" t="str">
        <f t="shared" si="1"/>
        <v/>
      </c>
    </row>
    <row r="147">
      <c r="A147" s="55"/>
      <c r="B147" s="60"/>
      <c r="C147" s="55"/>
      <c r="D147" s="54"/>
      <c r="E147" s="55"/>
      <c r="F147" s="62"/>
      <c r="G147" s="57"/>
      <c r="H147" s="58" t="str">
        <f>IFERROR(__xludf.DUMMYFUNCTION("iferror(if(A147="""", ,filter('Playoff IDR Import'!D:D,'Playoff IDR Import'!A:A=A147,'Playoff IDR Import'!C:C=C147)),)"),"")</f>
        <v/>
      </c>
      <c r="I147" s="58"/>
      <c r="J147" s="59" t="str">
        <f t="shared" si="1"/>
        <v/>
      </c>
    </row>
    <row r="148">
      <c r="A148" s="55"/>
      <c r="B148" s="60"/>
      <c r="C148" s="55"/>
      <c r="D148" s="54"/>
      <c r="E148" s="55"/>
      <c r="F148" s="62"/>
      <c r="G148" s="57"/>
      <c r="H148" s="58" t="str">
        <f>IFERROR(__xludf.DUMMYFUNCTION("iferror(if(A148="""", ,filter('Playoff IDR Import'!D:D,'Playoff IDR Import'!A:A=A148,'Playoff IDR Import'!C:C=C148)),)"),"")</f>
        <v/>
      </c>
      <c r="I148" s="58"/>
      <c r="J148" s="59" t="str">
        <f t="shared" si="1"/>
        <v/>
      </c>
    </row>
    <row r="149">
      <c r="A149" s="55"/>
      <c r="B149" s="60"/>
      <c r="C149" s="55"/>
      <c r="D149" s="54"/>
      <c r="E149" s="55"/>
      <c r="F149" s="62"/>
      <c r="G149" s="57"/>
      <c r="H149" s="58" t="str">
        <f>IFERROR(__xludf.DUMMYFUNCTION("iferror(if(A149="""", ,filter('Playoff IDR Import'!D:D,'Playoff IDR Import'!A:A=A149,'Playoff IDR Import'!C:C=C149)),)"),"")</f>
        <v/>
      </c>
      <c r="I149" s="58"/>
      <c r="J149" s="59" t="str">
        <f t="shared" si="1"/>
        <v/>
      </c>
    </row>
    <row r="150">
      <c r="A150" s="55"/>
      <c r="B150" s="60"/>
      <c r="C150" s="55"/>
      <c r="D150" s="54"/>
      <c r="E150" s="55"/>
      <c r="F150" s="62"/>
      <c r="G150" s="57"/>
      <c r="H150" s="58" t="str">
        <f>IFERROR(__xludf.DUMMYFUNCTION("iferror(if(A150="""", ,filter('Playoff IDR Import'!D:D,'Playoff IDR Import'!A:A=A150,'Playoff IDR Import'!C:C=C150)),)"),"")</f>
        <v/>
      </c>
      <c r="I150" s="58"/>
      <c r="J150" s="59" t="str">
        <f t="shared" si="1"/>
        <v/>
      </c>
    </row>
    <row r="151">
      <c r="A151" s="55"/>
      <c r="B151" s="60"/>
      <c r="C151" s="55"/>
      <c r="D151" s="54"/>
      <c r="E151" s="55"/>
      <c r="F151" s="62"/>
      <c r="G151" s="57"/>
      <c r="H151" s="58" t="str">
        <f>IFERROR(__xludf.DUMMYFUNCTION("iferror(if(A151="""", ,filter('Playoff IDR Import'!D:D,'Playoff IDR Import'!A:A=A151,'Playoff IDR Import'!C:C=C151)),)"),"")</f>
        <v/>
      </c>
      <c r="I151" s="58"/>
      <c r="J151" s="59" t="str">
        <f t="shared" si="1"/>
        <v/>
      </c>
    </row>
    <row r="152">
      <c r="A152" s="55"/>
      <c r="B152" s="60"/>
      <c r="C152" s="55"/>
      <c r="D152" s="54"/>
      <c r="E152" s="55"/>
      <c r="F152" s="62"/>
      <c r="G152" s="57"/>
      <c r="H152" s="58" t="str">
        <f>IFERROR(__xludf.DUMMYFUNCTION("iferror(if(A152="""", ,filter('Playoff IDR Import'!D:D,'Playoff IDR Import'!A:A=A152,'Playoff IDR Import'!C:C=C152)),)"),"")</f>
        <v/>
      </c>
      <c r="I152" s="58"/>
      <c r="J152" s="59" t="str">
        <f t="shared" si="1"/>
        <v/>
      </c>
    </row>
    <row r="153">
      <c r="A153" s="55"/>
      <c r="B153" s="60"/>
      <c r="C153" s="55"/>
      <c r="D153" s="54"/>
      <c r="E153" s="55"/>
      <c r="F153" s="62"/>
      <c r="G153" s="57"/>
      <c r="H153" s="58" t="str">
        <f>IFERROR(__xludf.DUMMYFUNCTION("iferror(if(A153="""", ,filter('Playoff IDR Import'!D:D,'Playoff IDR Import'!A:A=A153,'Playoff IDR Import'!C:C=C153)),)"),"")</f>
        <v/>
      </c>
      <c r="I153" s="58"/>
      <c r="J153" s="59" t="str">
        <f t="shared" si="1"/>
        <v/>
      </c>
    </row>
    <row r="154">
      <c r="A154" s="55"/>
      <c r="B154" s="60"/>
      <c r="C154" s="55"/>
      <c r="D154" s="54"/>
      <c r="E154" s="55"/>
      <c r="F154" s="62"/>
      <c r="G154" s="57"/>
      <c r="H154" s="58" t="str">
        <f>IFERROR(__xludf.DUMMYFUNCTION("iferror(if(A154="""", ,filter('Playoff IDR Import'!D:D,'Playoff IDR Import'!A:A=A154,'Playoff IDR Import'!C:C=C154)),)"),"")</f>
        <v/>
      </c>
      <c r="I154" s="58"/>
      <c r="J154" s="59" t="str">
        <f t="shared" si="1"/>
        <v/>
      </c>
    </row>
    <row r="155">
      <c r="A155" s="55"/>
      <c r="B155" s="60"/>
      <c r="C155" s="55"/>
      <c r="D155" s="54"/>
      <c r="E155" s="55"/>
      <c r="F155" s="62"/>
      <c r="G155" s="57"/>
      <c r="H155" s="58" t="str">
        <f>IFERROR(__xludf.DUMMYFUNCTION("iferror(if(A155="""", ,filter('Playoff IDR Import'!D:D,'Playoff IDR Import'!A:A=A155,'Playoff IDR Import'!C:C=C155)),)"),"")</f>
        <v/>
      </c>
      <c r="I155" s="58"/>
      <c r="J155" s="59" t="str">
        <f t="shared" si="1"/>
        <v/>
      </c>
    </row>
    <row r="156">
      <c r="A156" s="55"/>
      <c r="B156" s="60"/>
      <c r="C156" s="55"/>
      <c r="D156" s="54"/>
      <c r="E156" s="55"/>
      <c r="F156" s="62"/>
      <c r="G156" s="57"/>
      <c r="H156" s="58" t="str">
        <f>IFERROR(__xludf.DUMMYFUNCTION("iferror(if(A156="""", ,filter('Playoff IDR Import'!D:D,'Playoff IDR Import'!A:A=A156,'Playoff IDR Import'!C:C=C156)),)"),"")</f>
        <v/>
      </c>
      <c r="I156" s="58"/>
      <c r="J156" s="59" t="str">
        <f t="shared" si="1"/>
        <v/>
      </c>
    </row>
    <row r="157">
      <c r="A157" s="55"/>
      <c r="B157" s="60"/>
      <c r="C157" s="55"/>
      <c r="D157" s="54"/>
      <c r="E157" s="55"/>
      <c r="F157" s="62"/>
      <c r="G157" s="57"/>
      <c r="H157" s="58" t="str">
        <f>IFERROR(__xludf.DUMMYFUNCTION("iferror(if(A157="""", ,filter('Playoff IDR Import'!D:D,'Playoff IDR Import'!A:A=A157,'Playoff IDR Import'!C:C=C157)),)"),"")</f>
        <v/>
      </c>
      <c r="I157" s="58"/>
      <c r="J157" s="59" t="str">
        <f t="shared" si="1"/>
        <v/>
      </c>
    </row>
    <row r="158">
      <c r="A158" s="55"/>
      <c r="B158" s="60"/>
      <c r="C158" s="55"/>
      <c r="D158" s="54"/>
      <c r="E158" s="55"/>
      <c r="F158" s="62"/>
      <c r="G158" s="57"/>
      <c r="H158" s="58" t="str">
        <f>IFERROR(__xludf.DUMMYFUNCTION("iferror(if(A158="""", ,filter('Playoff IDR Import'!D:D,'Playoff IDR Import'!A:A=A158,'Playoff IDR Import'!C:C=C158)),)"),"")</f>
        <v/>
      </c>
      <c r="I158" s="58"/>
      <c r="J158" s="59" t="str">
        <f t="shared" si="1"/>
        <v/>
      </c>
    </row>
    <row r="159">
      <c r="A159" s="55"/>
      <c r="B159" s="60"/>
      <c r="C159" s="55"/>
      <c r="D159" s="54"/>
      <c r="E159" s="55"/>
      <c r="F159" s="62"/>
      <c r="G159" s="57"/>
      <c r="H159" s="58" t="str">
        <f>IFERROR(__xludf.DUMMYFUNCTION("iferror(if(A159="""", ,filter('Playoff IDR Import'!D:D,'Playoff IDR Import'!A:A=A159,'Playoff IDR Import'!C:C=C159)),)"),"")</f>
        <v/>
      </c>
      <c r="I159" s="58"/>
      <c r="J159" s="59" t="str">
        <f t="shared" si="1"/>
        <v/>
      </c>
    </row>
    <row r="160">
      <c r="A160" s="55"/>
      <c r="B160" s="60"/>
      <c r="C160" s="55"/>
      <c r="D160" s="54"/>
      <c r="E160" s="55"/>
      <c r="F160" s="62"/>
      <c r="G160" s="57"/>
      <c r="H160" s="58" t="str">
        <f>IFERROR(__xludf.DUMMYFUNCTION("iferror(if(A160="""", ,filter('Playoff IDR Import'!D:D,'Playoff IDR Import'!A:A=A160,'Playoff IDR Import'!C:C=C160)),)"),"")</f>
        <v/>
      </c>
      <c r="I160" s="58"/>
      <c r="J160" s="59" t="str">
        <f t="shared" si="1"/>
        <v/>
      </c>
    </row>
    <row r="161">
      <c r="A161" s="55"/>
      <c r="B161" s="60"/>
      <c r="C161" s="55"/>
      <c r="D161" s="54"/>
      <c r="E161" s="55"/>
      <c r="F161" s="62"/>
      <c r="G161" s="57"/>
      <c r="H161" s="58" t="str">
        <f>IFERROR(__xludf.DUMMYFUNCTION("iferror(if(A161="""", ,filter('Playoff IDR Import'!D:D,'Playoff IDR Import'!A:A=A161,'Playoff IDR Import'!C:C=C161)),)"),"")</f>
        <v/>
      </c>
      <c r="I161" s="58"/>
      <c r="J161" s="59" t="str">
        <f t="shared" si="1"/>
        <v/>
      </c>
    </row>
    <row r="162">
      <c r="A162" s="55"/>
      <c r="B162" s="60"/>
      <c r="C162" s="55"/>
      <c r="D162" s="54"/>
      <c r="E162" s="55"/>
      <c r="F162" s="62"/>
      <c r="G162" s="57"/>
      <c r="H162" s="58" t="str">
        <f>IFERROR(__xludf.DUMMYFUNCTION("iferror(if(A162="""", ,filter('Playoff IDR Import'!D:D,'Playoff IDR Import'!A:A=A162,'Playoff IDR Import'!C:C=C162)),)"),"")</f>
        <v/>
      </c>
      <c r="I162" s="58"/>
      <c r="J162" s="59" t="str">
        <f t="shared" si="1"/>
        <v/>
      </c>
    </row>
    <row r="163">
      <c r="A163" s="55"/>
      <c r="B163" s="60"/>
      <c r="C163" s="55"/>
      <c r="D163" s="54"/>
      <c r="E163" s="55"/>
      <c r="F163" s="62"/>
      <c r="G163" s="57"/>
      <c r="H163" s="58" t="str">
        <f>IFERROR(__xludf.DUMMYFUNCTION("iferror(if(A163="""", ,filter('Playoff IDR Import'!D:D,'Playoff IDR Import'!A:A=A163,'Playoff IDR Import'!C:C=C163)),)"),"")</f>
        <v/>
      </c>
      <c r="I163" s="58"/>
      <c r="J163" s="59" t="str">
        <f t="shared" si="1"/>
        <v/>
      </c>
    </row>
    <row r="164">
      <c r="A164" s="55"/>
      <c r="B164" s="60"/>
      <c r="C164" s="55"/>
      <c r="D164" s="54"/>
      <c r="E164" s="55"/>
      <c r="F164" s="62"/>
      <c r="G164" s="57"/>
      <c r="H164" s="58" t="str">
        <f>IFERROR(__xludf.DUMMYFUNCTION("iferror(if(A164="""", ,filter('Playoff IDR Import'!D:D,'Playoff IDR Import'!A:A=A164,'Playoff IDR Import'!C:C=C164)),)"),"")</f>
        <v/>
      </c>
      <c r="I164" s="58"/>
      <c r="J164" s="59" t="str">
        <f t="shared" si="1"/>
        <v/>
      </c>
    </row>
    <row r="165">
      <c r="A165" s="55"/>
      <c r="B165" s="60"/>
      <c r="C165" s="55"/>
      <c r="D165" s="54"/>
      <c r="E165" s="55"/>
      <c r="F165" s="62"/>
      <c r="G165" s="57"/>
      <c r="H165" s="58" t="str">
        <f>IFERROR(__xludf.DUMMYFUNCTION("iferror(if(A165="""", ,filter('Playoff IDR Import'!D:D,'Playoff IDR Import'!A:A=A165,'Playoff IDR Import'!C:C=C165)),)"),"")</f>
        <v/>
      </c>
      <c r="I165" s="58"/>
      <c r="J165" s="59" t="str">
        <f t="shared" si="1"/>
        <v/>
      </c>
    </row>
    <row r="166">
      <c r="A166" s="55"/>
      <c r="B166" s="60"/>
      <c r="C166" s="55"/>
      <c r="D166" s="54"/>
      <c r="E166" s="55"/>
      <c r="F166" s="62"/>
      <c r="G166" s="57"/>
      <c r="H166" s="58" t="str">
        <f>IFERROR(__xludf.DUMMYFUNCTION("iferror(if(A166="""", ,filter('Playoff IDR Import'!D:D,'Playoff IDR Import'!A:A=A166,'Playoff IDR Import'!C:C=C166)),)"),"")</f>
        <v/>
      </c>
      <c r="I166" s="58"/>
      <c r="J166" s="59" t="str">
        <f t="shared" si="1"/>
        <v/>
      </c>
    </row>
    <row r="167">
      <c r="A167" s="55"/>
      <c r="B167" s="60"/>
      <c r="C167" s="55"/>
      <c r="D167" s="54"/>
      <c r="E167" s="55"/>
      <c r="F167" s="62"/>
      <c r="G167" s="57"/>
      <c r="H167" s="58" t="str">
        <f>IFERROR(__xludf.DUMMYFUNCTION("iferror(if(A167="""", ,filter('Playoff IDR Import'!D:D,'Playoff IDR Import'!A:A=A167,'Playoff IDR Import'!C:C=C167)),)"),"")</f>
        <v/>
      </c>
      <c r="I167" s="58"/>
      <c r="J167" s="59" t="str">
        <f t="shared" si="1"/>
        <v/>
      </c>
    </row>
    <row r="168">
      <c r="A168" s="55"/>
      <c r="B168" s="60"/>
      <c r="C168" s="55"/>
      <c r="D168" s="54"/>
      <c r="E168" s="55"/>
      <c r="F168" s="62"/>
      <c r="G168" s="57"/>
      <c r="H168" s="58" t="str">
        <f>IFERROR(__xludf.DUMMYFUNCTION("iferror(if(A168="""", ,filter('Playoff IDR Import'!D:D,'Playoff IDR Import'!A:A=A168,'Playoff IDR Import'!C:C=C168)),)"),"")</f>
        <v/>
      </c>
      <c r="I168" s="58"/>
      <c r="J168" s="59" t="str">
        <f t="shared" si="1"/>
        <v/>
      </c>
    </row>
    <row r="169">
      <c r="A169" s="55"/>
      <c r="B169" s="60"/>
      <c r="C169" s="55"/>
      <c r="D169" s="54"/>
      <c r="E169" s="55"/>
      <c r="F169" s="62"/>
      <c r="G169" s="57"/>
      <c r="H169" s="58" t="str">
        <f>IFERROR(__xludf.DUMMYFUNCTION("iferror(if(A169="""", ,filter('Playoff IDR Import'!D:D,'Playoff IDR Import'!A:A=A169,'Playoff IDR Import'!C:C=C169)),)"),"")</f>
        <v/>
      </c>
      <c r="I169" s="58"/>
      <c r="J169" s="59" t="str">
        <f t="shared" si="1"/>
        <v/>
      </c>
    </row>
    <row r="170">
      <c r="A170" s="55"/>
      <c r="B170" s="60"/>
      <c r="C170" s="55"/>
      <c r="D170" s="54"/>
      <c r="E170" s="55"/>
      <c r="F170" s="62"/>
      <c r="G170" s="57"/>
      <c r="H170" s="58" t="str">
        <f>IFERROR(__xludf.DUMMYFUNCTION("iferror(if(A170="""", ,filter('Playoff IDR Import'!D:D,'Playoff IDR Import'!A:A=A170,'Playoff IDR Import'!C:C=C170)),)"),"")</f>
        <v/>
      </c>
      <c r="I170" s="58"/>
      <c r="J170" s="59" t="str">
        <f t="shared" si="1"/>
        <v/>
      </c>
    </row>
    <row r="171">
      <c r="A171" s="55"/>
      <c r="B171" s="60"/>
      <c r="C171" s="55"/>
      <c r="D171" s="54"/>
      <c r="E171" s="55"/>
      <c r="F171" s="62"/>
      <c r="G171" s="57"/>
      <c r="H171" s="58" t="str">
        <f>IFERROR(__xludf.DUMMYFUNCTION("iferror(if(A171="""", ,filter('Playoff IDR Import'!D:D,'Playoff IDR Import'!A:A=A171,'Playoff IDR Import'!C:C=C171)),)"),"")</f>
        <v/>
      </c>
      <c r="I171" s="58"/>
      <c r="J171" s="59" t="str">
        <f t="shared" si="1"/>
        <v/>
      </c>
    </row>
    <row r="172">
      <c r="A172" s="55"/>
      <c r="B172" s="60"/>
      <c r="C172" s="55"/>
      <c r="D172" s="54"/>
      <c r="E172" s="55"/>
      <c r="F172" s="62"/>
      <c r="G172" s="57"/>
      <c r="H172" s="58" t="str">
        <f>IFERROR(__xludf.DUMMYFUNCTION("iferror(if(A172="""", ,filter('Playoff IDR Import'!D:D,'Playoff IDR Import'!A:A=A172,'Playoff IDR Import'!C:C=C172)),)"),"")</f>
        <v/>
      </c>
      <c r="I172" s="58"/>
      <c r="J172" s="59" t="str">
        <f t="shared" si="1"/>
        <v/>
      </c>
    </row>
    <row r="173">
      <c r="A173" s="55"/>
      <c r="B173" s="60"/>
      <c r="C173" s="55"/>
      <c r="D173" s="54"/>
      <c r="E173" s="55"/>
      <c r="F173" s="62"/>
      <c r="G173" s="57"/>
      <c r="H173" s="58" t="str">
        <f>IFERROR(__xludf.DUMMYFUNCTION("iferror(if(A173="""", ,filter('Playoff IDR Import'!D:D,'Playoff IDR Import'!A:A=A173,'Playoff IDR Import'!C:C=C173)),)"),"")</f>
        <v/>
      </c>
      <c r="I173" s="58"/>
      <c r="J173" s="59" t="str">
        <f t="shared" si="1"/>
        <v/>
      </c>
    </row>
    <row r="174">
      <c r="A174" s="55"/>
      <c r="B174" s="60"/>
      <c r="C174" s="55"/>
      <c r="D174" s="54"/>
      <c r="E174" s="55"/>
      <c r="F174" s="62"/>
      <c r="G174" s="57"/>
      <c r="H174" s="58" t="str">
        <f>IFERROR(__xludf.DUMMYFUNCTION("iferror(if(A174="""", ,filter('Playoff IDR Import'!D:D,'Playoff IDR Import'!A:A=A174,'Playoff IDR Import'!C:C=C174)),)"),"")</f>
        <v/>
      </c>
      <c r="I174" s="58"/>
      <c r="J174" s="59" t="str">
        <f t="shared" si="1"/>
        <v/>
      </c>
    </row>
    <row r="175">
      <c r="A175" s="55"/>
      <c r="B175" s="60"/>
      <c r="C175" s="55"/>
      <c r="D175" s="54"/>
      <c r="E175" s="55"/>
      <c r="F175" s="62"/>
      <c r="G175" s="57"/>
      <c r="H175" s="58" t="str">
        <f>IFERROR(__xludf.DUMMYFUNCTION("iferror(if(A175="""", ,filter('Playoff IDR Import'!D:D,'Playoff IDR Import'!A:A=A175,'Playoff IDR Import'!C:C=C175)),)"),"")</f>
        <v/>
      </c>
      <c r="I175" s="58"/>
      <c r="J175" s="59" t="str">
        <f t="shared" si="1"/>
        <v/>
      </c>
    </row>
    <row r="176">
      <c r="A176" s="55"/>
      <c r="B176" s="60"/>
      <c r="C176" s="55"/>
      <c r="D176" s="54"/>
      <c r="E176" s="55"/>
      <c r="F176" s="62"/>
      <c r="G176" s="57"/>
      <c r="H176" s="58" t="str">
        <f>IFERROR(__xludf.DUMMYFUNCTION("iferror(if(A176="""", ,filter('Playoff IDR Import'!D:D,'Playoff IDR Import'!A:A=A176,'Playoff IDR Import'!C:C=C176)),)"),"")</f>
        <v/>
      </c>
      <c r="I176" s="58"/>
      <c r="J176" s="59" t="str">
        <f t="shared" si="1"/>
        <v/>
      </c>
    </row>
    <row r="177">
      <c r="A177" s="55"/>
      <c r="B177" s="60"/>
      <c r="C177" s="55"/>
      <c r="D177" s="54"/>
      <c r="E177" s="55"/>
      <c r="F177" s="62"/>
      <c r="G177" s="57"/>
      <c r="H177" s="58" t="str">
        <f>IFERROR(__xludf.DUMMYFUNCTION("iferror(if(A177="""", ,filter('Playoff IDR Import'!D:D,'Playoff IDR Import'!A:A=A177,'Playoff IDR Import'!C:C=C177)),)"),"")</f>
        <v/>
      </c>
      <c r="I177" s="58"/>
      <c r="J177" s="59" t="str">
        <f t="shared" si="1"/>
        <v/>
      </c>
    </row>
    <row r="178">
      <c r="A178" s="55"/>
      <c r="B178" s="60"/>
      <c r="C178" s="55"/>
      <c r="D178" s="54"/>
      <c r="E178" s="55"/>
      <c r="F178" s="62"/>
      <c r="G178" s="57"/>
      <c r="H178" s="58" t="str">
        <f>IFERROR(__xludf.DUMMYFUNCTION("iferror(if(A178="""", ,filter('Playoff IDR Import'!D:D,'Playoff IDR Import'!A:A=A178,'Playoff IDR Import'!C:C=C178)),)"),"")</f>
        <v/>
      </c>
      <c r="I178" s="58"/>
      <c r="J178" s="59" t="str">
        <f t="shared" si="1"/>
        <v/>
      </c>
    </row>
    <row r="179">
      <c r="A179" s="55"/>
      <c r="B179" s="60"/>
      <c r="C179" s="55"/>
      <c r="D179" s="54"/>
      <c r="E179" s="55"/>
      <c r="F179" s="62"/>
      <c r="G179" s="57"/>
      <c r="H179" s="58" t="str">
        <f>IFERROR(__xludf.DUMMYFUNCTION("iferror(if(A179="""", ,filter('Playoff IDR Import'!D:D,'Playoff IDR Import'!A:A=A179,'Playoff IDR Import'!C:C=C179)),)"),"")</f>
        <v/>
      </c>
      <c r="I179" s="58"/>
      <c r="J179" s="59" t="str">
        <f t="shared" si="1"/>
        <v/>
      </c>
    </row>
    <row r="180">
      <c r="A180" s="55"/>
      <c r="B180" s="60"/>
      <c r="C180" s="55"/>
      <c r="D180" s="54"/>
      <c r="E180" s="55"/>
      <c r="F180" s="62"/>
      <c r="G180" s="57"/>
      <c r="H180" s="58" t="str">
        <f>IFERROR(__xludf.DUMMYFUNCTION("iferror(if(A180="""", ,filter('Playoff IDR Import'!D:D,'Playoff IDR Import'!A:A=A180,'Playoff IDR Import'!C:C=C180)),)"),"")</f>
        <v/>
      </c>
      <c r="I180" s="58"/>
      <c r="J180" s="59" t="str">
        <f t="shared" si="1"/>
        <v/>
      </c>
    </row>
    <row r="181">
      <c r="A181" s="55"/>
      <c r="B181" s="60"/>
      <c r="C181" s="55"/>
      <c r="D181" s="54"/>
      <c r="E181" s="55"/>
      <c r="F181" s="62"/>
      <c r="G181" s="57"/>
      <c r="H181" s="58" t="str">
        <f>IFERROR(__xludf.DUMMYFUNCTION("iferror(if(A181="""", ,filter('Playoff IDR Import'!D:D,'Playoff IDR Import'!A:A=A181,'Playoff IDR Import'!C:C=C181)),)"),"")</f>
        <v/>
      </c>
      <c r="I181" s="58"/>
      <c r="J181" s="59" t="str">
        <f t="shared" si="1"/>
        <v/>
      </c>
    </row>
    <row r="182">
      <c r="A182" s="55"/>
      <c r="B182" s="60"/>
      <c r="C182" s="55"/>
      <c r="D182" s="54"/>
      <c r="E182" s="55"/>
      <c r="F182" s="62"/>
      <c r="G182" s="57"/>
      <c r="H182" s="58" t="str">
        <f>IFERROR(__xludf.DUMMYFUNCTION("iferror(if(A182="""", ,filter('Playoff IDR Import'!D:D,'Playoff IDR Import'!A:A=A182,'Playoff IDR Import'!C:C=C182)),)"),"")</f>
        <v/>
      </c>
      <c r="I182" s="58"/>
      <c r="J182" s="59" t="str">
        <f t="shared" si="1"/>
        <v/>
      </c>
    </row>
    <row r="183">
      <c r="A183" s="55"/>
      <c r="B183" s="60"/>
      <c r="C183" s="55"/>
      <c r="D183" s="54"/>
      <c r="E183" s="55"/>
      <c r="F183" s="62"/>
      <c r="G183" s="57"/>
      <c r="H183" s="58" t="str">
        <f>IFERROR(__xludf.DUMMYFUNCTION("iferror(if(A183="""", ,filter('Playoff IDR Import'!D:D,'Playoff IDR Import'!A:A=A183,'Playoff IDR Import'!C:C=C183)),)"),"")</f>
        <v/>
      </c>
      <c r="I183" s="58"/>
      <c r="J183" s="59" t="str">
        <f t="shared" si="1"/>
        <v/>
      </c>
    </row>
    <row r="184">
      <c r="A184" s="55"/>
      <c r="B184" s="60"/>
      <c r="C184" s="55"/>
      <c r="D184" s="54"/>
      <c r="E184" s="55"/>
      <c r="F184" s="62"/>
      <c r="G184" s="57"/>
      <c r="H184" s="58" t="str">
        <f>IFERROR(__xludf.DUMMYFUNCTION("iferror(if(A184="""", ,filter('Playoff IDR Import'!D:D,'Playoff IDR Import'!A:A=A184,'Playoff IDR Import'!C:C=C184)),)"),"")</f>
        <v/>
      </c>
      <c r="I184" s="58"/>
      <c r="J184" s="59" t="str">
        <f t="shared" si="1"/>
        <v/>
      </c>
    </row>
    <row r="185">
      <c r="A185" s="55"/>
      <c r="B185" s="60"/>
      <c r="C185" s="55"/>
      <c r="D185" s="54"/>
      <c r="E185" s="55"/>
      <c r="F185" s="62"/>
      <c r="G185" s="57"/>
      <c r="H185" s="58" t="str">
        <f>IFERROR(__xludf.DUMMYFUNCTION("iferror(if(A185="""", ,filter('Playoff IDR Import'!D:D,'Playoff IDR Import'!A:A=A185,'Playoff IDR Import'!C:C=C185)),)"),"")</f>
        <v/>
      </c>
      <c r="I185" s="58"/>
      <c r="J185" s="59" t="str">
        <f t="shared" si="1"/>
        <v/>
      </c>
    </row>
    <row r="186">
      <c r="A186" s="55"/>
      <c r="B186" s="60"/>
      <c r="C186" s="55"/>
      <c r="D186" s="54"/>
      <c r="E186" s="55"/>
      <c r="F186" s="62"/>
      <c r="G186" s="57"/>
      <c r="H186" s="58" t="str">
        <f>IFERROR(__xludf.DUMMYFUNCTION("iferror(if(A186="""", ,filter('Playoff IDR Import'!D:D,'Playoff IDR Import'!A:A=A186,'Playoff IDR Import'!C:C=C186)),)"),"")</f>
        <v/>
      </c>
      <c r="I186" s="58"/>
      <c r="J186" s="59" t="str">
        <f t="shared" si="1"/>
        <v/>
      </c>
    </row>
    <row r="187">
      <c r="A187" s="55"/>
      <c r="B187" s="60"/>
      <c r="C187" s="55"/>
      <c r="D187" s="54"/>
      <c r="E187" s="55"/>
      <c r="F187" s="62"/>
      <c r="G187" s="57"/>
      <c r="H187" s="58" t="str">
        <f>IFERROR(__xludf.DUMMYFUNCTION("iferror(if(A187="""", ,filter('Playoff IDR Import'!D:D,'Playoff IDR Import'!A:A=A187,'Playoff IDR Import'!C:C=C187)),)"),"")</f>
        <v/>
      </c>
      <c r="I187" s="58"/>
      <c r="J187" s="59" t="str">
        <f t="shared" si="1"/>
        <v/>
      </c>
    </row>
    <row r="188">
      <c r="A188" s="55"/>
      <c r="B188" s="60"/>
      <c r="C188" s="55"/>
      <c r="D188" s="54"/>
      <c r="E188" s="55"/>
      <c r="F188" s="62"/>
      <c r="G188" s="57"/>
      <c r="H188" s="58" t="str">
        <f>IFERROR(__xludf.DUMMYFUNCTION("iferror(if(A188="""", ,filter('Playoff IDR Import'!D:D,'Playoff IDR Import'!A:A=A188,'Playoff IDR Import'!C:C=C188)),)"),"")</f>
        <v/>
      </c>
      <c r="I188" s="58"/>
      <c r="J188" s="59" t="str">
        <f t="shared" si="1"/>
        <v/>
      </c>
    </row>
    <row r="189">
      <c r="A189" s="55"/>
      <c r="B189" s="60"/>
      <c r="C189" s="55"/>
      <c r="D189" s="54"/>
      <c r="E189" s="55"/>
      <c r="F189" s="62"/>
      <c r="G189" s="57"/>
      <c r="H189" s="58" t="str">
        <f>IFERROR(__xludf.DUMMYFUNCTION("iferror(if(A189="""", ,filter('Playoff IDR Import'!D:D,'Playoff IDR Import'!A:A=A189,'Playoff IDR Import'!C:C=C189)),)"),"")</f>
        <v/>
      </c>
      <c r="I189" s="58"/>
      <c r="J189" s="59" t="str">
        <f t="shared" si="1"/>
        <v/>
      </c>
    </row>
    <row r="190">
      <c r="A190" s="55"/>
      <c r="B190" s="60"/>
      <c r="C190" s="55"/>
      <c r="D190" s="54"/>
      <c r="E190" s="55"/>
      <c r="F190" s="62"/>
      <c r="G190" s="57"/>
      <c r="H190" s="58" t="str">
        <f>IFERROR(__xludf.DUMMYFUNCTION("iferror(if(A190="""", ,filter('Playoff IDR Import'!D:D,'Playoff IDR Import'!A:A=A190,'Playoff IDR Import'!C:C=C190)),)"),"")</f>
        <v/>
      </c>
      <c r="I190" s="58"/>
      <c r="J190" s="59" t="str">
        <f t="shared" si="1"/>
        <v/>
      </c>
    </row>
    <row r="191">
      <c r="A191" s="55"/>
      <c r="B191" s="60"/>
      <c r="C191" s="55"/>
      <c r="D191" s="54"/>
      <c r="E191" s="55"/>
      <c r="F191" s="62"/>
      <c r="G191" s="57"/>
      <c r="H191" s="58" t="str">
        <f>IFERROR(__xludf.DUMMYFUNCTION("iferror(if(A191="""", ,filter('Playoff IDR Import'!D:D,'Playoff IDR Import'!A:A=A191,'Playoff IDR Import'!C:C=C191)),)"),"")</f>
        <v/>
      </c>
      <c r="I191" s="58"/>
      <c r="J191" s="59" t="str">
        <f t="shared" si="1"/>
        <v/>
      </c>
    </row>
    <row r="192">
      <c r="A192" s="55"/>
      <c r="B192" s="60"/>
      <c r="C192" s="55"/>
      <c r="D192" s="54"/>
      <c r="E192" s="55"/>
      <c r="F192" s="62"/>
      <c r="G192" s="57"/>
      <c r="H192" s="58" t="str">
        <f>IFERROR(__xludf.DUMMYFUNCTION("iferror(if(A192="""", ,filter('Playoff IDR Import'!D:D,'Playoff IDR Import'!A:A=A192,'Playoff IDR Import'!C:C=C192)),)"),"")</f>
        <v/>
      </c>
      <c r="I192" s="58"/>
      <c r="J192" s="59" t="str">
        <f t="shared" si="1"/>
        <v/>
      </c>
    </row>
    <row r="193">
      <c r="A193" s="55"/>
      <c r="B193" s="60"/>
      <c r="C193" s="55"/>
      <c r="D193" s="54"/>
      <c r="E193" s="55"/>
      <c r="F193" s="62"/>
      <c r="G193" s="57"/>
      <c r="H193" s="58" t="str">
        <f>IFERROR(__xludf.DUMMYFUNCTION("iferror(if(A193="""", ,filter('Playoff IDR Import'!D:D,'Playoff IDR Import'!A:A=A193,'Playoff IDR Import'!C:C=C193)),)"),"")</f>
        <v/>
      </c>
      <c r="I193" s="58"/>
      <c r="J193" s="59" t="str">
        <f t="shared" si="1"/>
        <v/>
      </c>
    </row>
    <row r="194">
      <c r="A194" s="55"/>
      <c r="B194" s="60"/>
      <c r="C194" s="55"/>
      <c r="D194" s="54"/>
      <c r="E194" s="55"/>
      <c r="F194" s="62"/>
      <c r="G194" s="57"/>
      <c r="H194" s="58" t="str">
        <f>IFERROR(__xludf.DUMMYFUNCTION("iferror(if(A194="""", ,filter('Playoff IDR Import'!D:D,'Playoff IDR Import'!A:A=A194,'Playoff IDR Import'!C:C=C194)),)"),"")</f>
        <v/>
      </c>
      <c r="I194" s="58"/>
      <c r="J194" s="59" t="str">
        <f t="shared" si="1"/>
        <v/>
      </c>
    </row>
    <row r="195">
      <c r="A195" s="55"/>
      <c r="B195" s="60"/>
      <c r="C195" s="55"/>
      <c r="D195" s="54"/>
      <c r="E195" s="55"/>
      <c r="F195" s="62"/>
      <c r="G195" s="57"/>
      <c r="H195" s="58" t="str">
        <f>IFERROR(__xludf.DUMMYFUNCTION("iferror(if(A195="""", ,filter('Playoff IDR Import'!D:D,'Playoff IDR Import'!A:A=A195,'Playoff IDR Import'!C:C=C195)),)"),"")</f>
        <v/>
      </c>
      <c r="I195" s="58"/>
      <c r="J195" s="59" t="str">
        <f t="shared" si="1"/>
        <v/>
      </c>
    </row>
    <row r="196">
      <c r="A196" s="55"/>
      <c r="B196" s="60"/>
      <c r="C196" s="55"/>
      <c r="D196" s="54"/>
      <c r="E196" s="55"/>
      <c r="F196" s="62"/>
      <c r="G196" s="57"/>
      <c r="H196" s="58" t="str">
        <f>IFERROR(__xludf.DUMMYFUNCTION("iferror(if(A196="""", ,filter('Playoff IDR Import'!D:D,'Playoff IDR Import'!A:A=A196,'Playoff IDR Import'!C:C=C196)),)"),"")</f>
        <v/>
      </c>
      <c r="I196" s="58"/>
      <c r="J196" s="59" t="str">
        <f t="shared" si="1"/>
        <v/>
      </c>
    </row>
    <row r="197">
      <c r="A197" s="55"/>
      <c r="B197" s="60"/>
      <c r="C197" s="55"/>
      <c r="D197" s="54"/>
      <c r="E197" s="55"/>
      <c r="F197" s="62"/>
      <c r="G197" s="57"/>
      <c r="H197" s="58" t="str">
        <f>IFERROR(__xludf.DUMMYFUNCTION("iferror(if(A197="""", ,filter('Playoff IDR Import'!D:D,'Playoff IDR Import'!A:A=A197,'Playoff IDR Import'!C:C=C197)),)"),"")</f>
        <v/>
      </c>
      <c r="I197" s="58"/>
      <c r="J197" s="59" t="str">
        <f t="shared" si="1"/>
        <v/>
      </c>
    </row>
    <row r="198">
      <c r="A198" s="55"/>
      <c r="B198" s="60"/>
      <c r="C198" s="55"/>
      <c r="D198" s="54"/>
      <c r="E198" s="55"/>
      <c r="F198" s="62"/>
      <c r="G198" s="57"/>
      <c r="H198" s="58" t="str">
        <f>IFERROR(__xludf.DUMMYFUNCTION("iferror(if(A198="""", ,filter('Playoff IDR Import'!D:D,'Playoff IDR Import'!A:A=A198,'Playoff IDR Import'!C:C=C198)),)"),"")</f>
        <v/>
      </c>
      <c r="I198" s="58"/>
      <c r="J198" s="59" t="str">
        <f t="shared" si="1"/>
        <v/>
      </c>
    </row>
    <row r="199">
      <c r="A199" s="55"/>
      <c r="B199" s="60"/>
      <c r="C199" s="55"/>
      <c r="D199" s="54"/>
      <c r="E199" s="55"/>
      <c r="F199" s="62"/>
      <c r="G199" s="57"/>
      <c r="H199" s="58" t="str">
        <f>IFERROR(__xludf.DUMMYFUNCTION("iferror(if(A199="""", ,filter('Playoff IDR Import'!D:D,'Playoff IDR Import'!A:A=A199,'Playoff IDR Import'!C:C=C199)),)"),"")</f>
        <v/>
      </c>
      <c r="I199" s="58"/>
      <c r="J199" s="59" t="str">
        <f t="shared" si="1"/>
        <v/>
      </c>
    </row>
    <row r="200">
      <c r="A200" s="55"/>
      <c r="B200" s="60"/>
      <c r="C200" s="55"/>
      <c r="D200" s="54"/>
      <c r="E200" s="55"/>
      <c r="F200" s="62"/>
      <c r="G200" s="57"/>
      <c r="H200" s="58" t="str">
        <f>IFERROR(__xludf.DUMMYFUNCTION("iferror(if(A200="""", ,filter('Playoff IDR Import'!D:D,'Playoff IDR Import'!A:A=A200,'Playoff IDR Import'!C:C=C200)),)"),"")</f>
        <v/>
      </c>
      <c r="I200" s="58"/>
      <c r="J200" s="59" t="str">
        <f t="shared" si="1"/>
        <v/>
      </c>
    </row>
    <row r="201">
      <c r="A201" s="55"/>
      <c r="B201" s="60"/>
      <c r="C201" s="55"/>
      <c r="D201" s="54"/>
      <c r="E201" s="55"/>
      <c r="F201" s="62"/>
      <c r="G201" s="57"/>
      <c r="H201" s="58" t="str">
        <f>IFERROR(__xludf.DUMMYFUNCTION("iferror(if(A201="""", ,filter('Playoff IDR Import'!D:D,'Playoff IDR Import'!A:A=A201,'Playoff IDR Import'!C:C=C201)),)"),"")</f>
        <v/>
      </c>
      <c r="I201" s="58"/>
      <c r="J201" s="59" t="str">
        <f t="shared" si="1"/>
        <v/>
      </c>
    </row>
    <row r="202">
      <c r="A202" s="55"/>
      <c r="B202" s="60"/>
      <c r="C202" s="55"/>
      <c r="D202" s="54"/>
      <c r="E202" s="55"/>
      <c r="F202" s="62"/>
      <c r="G202" s="57"/>
      <c r="H202" s="58" t="str">
        <f>IFERROR(__xludf.DUMMYFUNCTION("iferror(if(A202="""", ,filter('Playoff IDR Import'!D:D,'Playoff IDR Import'!A:A=A202,'Playoff IDR Import'!C:C=C202)),)"),"")</f>
        <v/>
      </c>
      <c r="I202" s="58"/>
      <c r="J202" s="59" t="str">
        <f t="shared" si="1"/>
        <v/>
      </c>
    </row>
    <row r="203">
      <c r="A203" s="55"/>
      <c r="B203" s="60"/>
      <c r="C203" s="55"/>
      <c r="D203" s="54"/>
      <c r="E203" s="55"/>
      <c r="F203" s="62"/>
      <c r="G203" s="57"/>
      <c r="H203" s="58" t="str">
        <f>IFERROR(__xludf.DUMMYFUNCTION("iferror(if(A203="""", ,filter('Playoff IDR Import'!D:D,'Playoff IDR Import'!A:A=A203,'Playoff IDR Import'!C:C=C203)),)"),"")</f>
        <v/>
      </c>
      <c r="I203" s="58"/>
      <c r="J203" s="59" t="str">
        <f t="shared" si="1"/>
        <v/>
      </c>
    </row>
    <row r="204">
      <c r="A204" s="55"/>
      <c r="B204" s="60"/>
      <c r="C204" s="55"/>
      <c r="D204" s="54"/>
      <c r="E204" s="55"/>
      <c r="F204" s="62"/>
      <c r="G204" s="57"/>
      <c r="H204" s="58" t="str">
        <f>IFERROR(__xludf.DUMMYFUNCTION("iferror(if(A204="""", ,filter('Playoff IDR Import'!D:D,'Playoff IDR Import'!A:A=A204,'Playoff IDR Import'!C:C=C204)),)"),"")</f>
        <v/>
      </c>
      <c r="I204" s="58"/>
      <c r="J204" s="59" t="str">
        <f t="shared" si="1"/>
        <v/>
      </c>
    </row>
    <row r="205">
      <c r="A205" s="55"/>
      <c r="B205" s="60"/>
      <c r="C205" s="55"/>
      <c r="D205" s="54"/>
      <c r="E205" s="55"/>
      <c r="F205" s="62"/>
      <c r="G205" s="57"/>
      <c r="H205" s="58" t="str">
        <f>IFERROR(__xludf.DUMMYFUNCTION("iferror(if(A205="""", ,filter('Playoff IDR Import'!D:D,'Playoff IDR Import'!A:A=A205,'Playoff IDR Import'!C:C=C205)),)"),"")</f>
        <v/>
      </c>
      <c r="I205" s="58"/>
      <c r="J205" s="59" t="str">
        <f t="shared" si="1"/>
        <v/>
      </c>
    </row>
    <row r="206">
      <c r="A206" s="55"/>
      <c r="B206" s="60"/>
      <c r="C206" s="55"/>
      <c r="D206" s="54"/>
      <c r="E206" s="55"/>
      <c r="F206" s="62"/>
      <c r="G206" s="57"/>
      <c r="H206" s="58" t="str">
        <f>IFERROR(__xludf.DUMMYFUNCTION("iferror(if(A206="""", ,filter('Playoff IDR Import'!D:D,'Playoff IDR Import'!A:A=A206,'Playoff IDR Import'!C:C=C206)),)"),"")</f>
        <v/>
      </c>
      <c r="I206" s="58"/>
      <c r="J206" s="59" t="str">
        <f t="shared" si="1"/>
        <v/>
      </c>
    </row>
    <row r="207">
      <c r="A207" s="55"/>
      <c r="B207" s="60"/>
      <c r="C207" s="55"/>
      <c r="D207" s="54"/>
      <c r="E207" s="55"/>
      <c r="F207" s="62"/>
      <c r="G207" s="57"/>
      <c r="H207" s="58" t="str">
        <f>IFERROR(__xludf.DUMMYFUNCTION("iferror(if(A207="""", ,filter('Playoff IDR Import'!D:D,'Playoff IDR Import'!A:A=A207,'Playoff IDR Import'!C:C=C207)),)"),"")</f>
        <v/>
      </c>
      <c r="I207" s="58"/>
      <c r="J207" s="59" t="str">
        <f t="shared" si="1"/>
        <v/>
      </c>
    </row>
    <row r="208">
      <c r="A208" s="55"/>
      <c r="B208" s="60"/>
      <c r="C208" s="55"/>
      <c r="D208" s="54"/>
      <c r="E208" s="55"/>
      <c r="F208" s="62"/>
      <c r="G208" s="57"/>
      <c r="H208" s="58" t="str">
        <f>IFERROR(__xludf.DUMMYFUNCTION("iferror(if(A208="""", ,filter('Playoff IDR Import'!D:D,'Playoff IDR Import'!A:A=A208,'Playoff IDR Import'!C:C=C208)),)"),"")</f>
        <v/>
      </c>
      <c r="I208" s="58"/>
      <c r="J208" s="59" t="str">
        <f t="shared" si="1"/>
        <v/>
      </c>
    </row>
    <row r="209">
      <c r="A209" s="55"/>
      <c r="B209" s="60"/>
      <c r="C209" s="55"/>
      <c r="D209" s="54"/>
      <c r="E209" s="55"/>
      <c r="F209" s="62"/>
      <c r="G209" s="57"/>
      <c r="H209" s="58" t="str">
        <f>IFERROR(__xludf.DUMMYFUNCTION("iferror(if(A209="""", ,filter('Playoff IDR Import'!D:D,'Playoff IDR Import'!A:A=A209,'Playoff IDR Import'!C:C=C209)),)"),"")</f>
        <v/>
      </c>
      <c r="I209" s="58"/>
      <c r="J209" s="59" t="str">
        <f t="shared" si="1"/>
        <v/>
      </c>
    </row>
    <row r="210">
      <c r="A210" s="55"/>
      <c r="B210" s="60"/>
      <c r="C210" s="55"/>
      <c r="D210" s="54"/>
      <c r="E210" s="55"/>
      <c r="F210" s="62"/>
      <c r="G210" s="57"/>
      <c r="H210" s="58" t="str">
        <f>IFERROR(__xludf.DUMMYFUNCTION("iferror(if(A210="""", ,filter('Playoff IDR Import'!D:D,'Playoff IDR Import'!A:A=A210,'Playoff IDR Import'!C:C=C210)),)"),"")</f>
        <v/>
      </c>
      <c r="I210" s="58"/>
      <c r="J210" s="59" t="str">
        <f t="shared" si="1"/>
        <v/>
      </c>
    </row>
    <row r="211">
      <c r="A211" s="55"/>
      <c r="B211" s="60"/>
      <c r="C211" s="55"/>
      <c r="D211" s="54"/>
      <c r="E211" s="55"/>
      <c r="F211" s="62"/>
      <c r="G211" s="57"/>
      <c r="H211" s="58" t="str">
        <f>IFERROR(__xludf.DUMMYFUNCTION("iferror(if(A211="""", ,filter('Playoff IDR Import'!D:D,'Playoff IDR Import'!A:A=A211,'Playoff IDR Import'!C:C=C211)),)"),"")</f>
        <v/>
      </c>
      <c r="I211" s="58"/>
      <c r="J211" s="59" t="str">
        <f t="shared" si="1"/>
        <v/>
      </c>
    </row>
    <row r="212">
      <c r="A212" s="55"/>
      <c r="B212" s="60"/>
      <c r="C212" s="55"/>
      <c r="D212" s="54"/>
      <c r="E212" s="55"/>
      <c r="F212" s="62"/>
      <c r="G212" s="57"/>
      <c r="H212" s="58" t="str">
        <f>IFERROR(__xludf.DUMMYFUNCTION("iferror(if(A212="""", ,filter('Playoff IDR Import'!D:D,'Playoff IDR Import'!A:A=A212,'Playoff IDR Import'!C:C=C212)),)"),"")</f>
        <v/>
      </c>
      <c r="I212" s="58"/>
      <c r="J212" s="59" t="str">
        <f t="shared" si="1"/>
        <v/>
      </c>
    </row>
    <row r="213">
      <c r="A213" s="55"/>
      <c r="B213" s="60"/>
      <c r="C213" s="55"/>
      <c r="D213" s="54"/>
      <c r="E213" s="55"/>
      <c r="F213" s="62"/>
      <c r="G213" s="57"/>
      <c r="H213" s="58" t="str">
        <f>IFERROR(__xludf.DUMMYFUNCTION("iferror(if(A213="""", ,filter('Playoff IDR Import'!D:D,'Playoff IDR Import'!A:A=A213,'Playoff IDR Import'!C:C=C213)),)"),"")</f>
        <v/>
      </c>
      <c r="I213" s="58"/>
      <c r="J213" s="59" t="str">
        <f t="shared" si="1"/>
        <v/>
      </c>
    </row>
    <row r="214">
      <c r="A214" s="55"/>
      <c r="B214" s="60"/>
      <c r="C214" s="55"/>
      <c r="D214" s="54"/>
      <c r="E214" s="55"/>
      <c r="F214" s="62"/>
      <c r="G214" s="57"/>
      <c r="H214" s="58" t="str">
        <f>IFERROR(__xludf.DUMMYFUNCTION("iferror(if(A214="""", ,filter('Playoff IDR Import'!D:D,'Playoff IDR Import'!A:A=A214,'Playoff IDR Import'!C:C=C214)),)"),"")</f>
        <v/>
      </c>
      <c r="I214" s="58"/>
      <c r="J214" s="59" t="str">
        <f t="shared" si="1"/>
        <v/>
      </c>
    </row>
    <row r="215">
      <c r="A215" s="55"/>
      <c r="B215" s="60"/>
      <c r="C215" s="55"/>
      <c r="D215" s="54"/>
      <c r="E215" s="55"/>
      <c r="F215" s="62"/>
      <c r="G215" s="57"/>
      <c r="H215" s="58" t="str">
        <f>IFERROR(__xludf.DUMMYFUNCTION("iferror(if(A215="""", ,filter('Playoff IDR Import'!D:D,'Playoff IDR Import'!A:A=A215,'Playoff IDR Import'!C:C=C215)),)"),"")</f>
        <v/>
      </c>
      <c r="I215" s="58"/>
      <c r="J215" s="59" t="str">
        <f t="shared" si="1"/>
        <v/>
      </c>
    </row>
    <row r="216">
      <c r="A216" s="55"/>
      <c r="B216" s="60"/>
      <c r="C216" s="55"/>
      <c r="D216" s="54"/>
      <c r="E216" s="55"/>
      <c r="F216" s="62"/>
      <c r="G216" s="57"/>
      <c r="H216" s="58" t="str">
        <f>IFERROR(__xludf.DUMMYFUNCTION("iferror(if(A216="""", ,filter('Playoff IDR Import'!D:D,'Playoff IDR Import'!A:A=A216,'Playoff IDR Import'!C:C=C216)),)"),"")</f>
        <v/>
      </c>
      <c r="I216" s="58"/>
      <c r="J216" s="59" t="str">
        <f t="shared" si="1"/>
        <v/>
      </c>
    </row>
    <row r="217">
      <c r="A217" s="55"/>
      <c r="B217" s="60"/>
      <c r="C217" s="55"/>
      <c r="D217" s="54"/>
      <c r="E217" s="55"/>
      <c r="F217" s="62"/>
      <c r="G217" s="57"/>
      <c r="H217" s="58" t="str">
        <f>IFERROR(__xludf.DUMMYFUNCTION("iferror(if(A217="""", ,filter('Playoff IDR Import'!D:D,'Playoff IDR Import'!A:A=A217,'Playoff IDR Import'!C:C=C217)),)"),"")</f>
        <v/>
      </c>
      <c r="I217" s="58"/>
      <c r="J217" s="59" t="str">
        <f t="shared" si="1"/>
        <v/>
      </c>
    </row>
    <row r="218">
      <c r="A218" s="55"/>
      <c r="B218" s="60"/>
      <c r="C218" s="55"/>
      <c r="D218" s="54"/>
      <c r="E218" s="55"/>
      <c r="F218" s="62"/>
      <c r="G218" s="57"/>
      <c r="H218" s="58" t="str">
        <f>IFERROR(__xludf.DUMMYFUNCTION("iferror(if(A218="""", ,filter('Playoff IDR Import'!D:D,'Playoff IDR Import'!A:A=A218,'Playoff IDR Import'!C:C=C218)),)"),"")</f>
        <v/>
      </c>
      <c r="I218" s="58"/>
      <c r="J218" s="59" t="str">
        <f t="shared" si="1"/>
        <v/>
      </c>
    </row>
    <row r="219">
      <c r="A219" s="55"/>
      <c r="B219" s="60"/>
      <c r="C219" s="55"/>
      <c r="D219" s="54"/>
      <c r="E219" s="55"/>
      <c r="F219" s="62"/>
      <c r="G219" s="57"/>
      <c r="H219" s="58" t="str">
        <f>IFERROR(__xludf.DUMMYFUNCTION("iferror(if(A219="""", ,filter('Playoff IDR Import'!D:D,'Playoff IDR Import'!A:A=A219,'Playoff IDR Import'!C:C=C219)),)"),"")</f>
        <v/>
      </c>
      <c r="I219" s="58"/>
      <c r="J219" s="59" t="str">
        <f t="shared" si="1"/>
        <v/>
      </c>
    </row>
    <row r="220">
      <c r="A220" s="55"/>
      <c r="B220" s="60"/>
      <c r="C220" s="55"/>
      <c r="D220" s="54"/>
      <c r="E220" s="55"/>
      <c r="F220" s="62"/>
      <c r="G220" s="57"/>
      <c r="H220" s="58" t="str">
        <f>IFERROR(__xludf.DUMMYFUNCTION("iferror(if(A220="""", ,filter('Playoff IDR Import'!D:D,'Playoff IDR Import'!A:A=A220,'Playoff IDR Import'!C:C=C220)),)"),"")</f>
        <v/>
      </c>
      <c r="I220" s="58"/>
      <c r="J220" s="59" t="str">
        <f t="shared" si="1"/>
        <v/>
      </c>
    </row>
    <row r="221">
      <c r="A221" s="55"/>
      <c r="B221" s="60"/>
      <c r="C221" s="55"/>
      <c r="D221" s="54"/>
      <c r="E221" s="55"/>
      <c r="F221" s="62"/>
      <c r="G221" s="57"/>
      <c r="H221" s="58" t="str">
        <f>IFERROR(__xludf.DUMMYFUNCTION("iferror(if(A221="""", ,filter('Playoff IDR Import'!D:D,'Playoff IDR Import'!A:A=A221,'Playoff IDR Import'!C:C=C221)),)"),"")</f>
        <v/>
      </c>
      <c r="I221" s="58"/>
      <c r="J221" s="59" t="str">
        <f t="shared" si="1"/>
        <v/>
      </c>
    </row>
    <row r="222">
      <c r="A222" s="55"/>
      <c r="B222" s="60"/>
      <c r="C222" s="55"/>
      <c r="D222" s="54"/>
      <c r="E222" s="55"/>
      <c r="F222" s="62"/>
      <c r="G222" s="57"/>
      <c r="H222" s="58" t="str">
        <f>IFERROR(__xludf.DUMMYFUNCTION("iferror(if(A222="""", ,filter('Playoff IDR Import'!D:D,'Playoff IDR Import'!A:A=A222,'Playoff IDR Import'!C:C=C222)),)"),"")</f>
        <v/>
      </c>
      <c r="I222" s="58"/>
      <c r="J222" s="59" t="str">
        <f t="shared" si="1"/>
        <v/>
      </c>
    </row>
    <row r="223">
      <c r="A223" s="55"/>
      <c r="B223" s="60"/>
      <c r="C223" s="55"/>
      <c r="D223" s="54"/>
      <c r="E223" s="55"/>
      <c r="F223" s="62"/>
      <c r="G223" s="57"/>
      <c r="H223" s="58" t="str">
        <f>IFERROR(__xludf.DUMMYFUNCTION("iferror(if(A223="""", ,filter('Playoff IDR Import'!D:D,'Playoff IDR Import'!A:A=A223,'Playoff IDR Import'!C:C=C223)),)"),"")</f>
        <v/>
      </c>
      <c r="I223" s="58"/>
      <c r="J223" s="59" t="str">
        <f t="shared" si="1"/>
        <v/>
      </c>
    </row>
    <row r="224">
      <c r="A224" s="55"/>
      <c r="B224" s="60"/>
      <c r="C224" s="55"/>
      <c r="D224" s="54"/>
      <c r="E224" s="55"/>
      <c r="F224" s="62"/>
      <c r="G224" s="57"/>
      <c r="H224" s="58" t="str">
        <f>IFERROR(__xludf.DUMMYFUNCTION("iferror(if(A224="""", ,filter('Playoff IDR Import'!D:D,'Playoff IDR Import'!A:A=A224,'Playoff IDR Import'!C:C=C224)),)"),"")</f>
        <v/>
      </c>
      <c r="I224" s="58"/>
      <c r="J224" s="59" t="str">
        <f t="shared" si="1"/>
        <v/>
      </c>
    </row>
    <row r="225">
      <c r="A225" s="55"/>
      <c r="B225" s="60"/>
      <c r="C225" s="55"/>
      <c r="D225" s="54"/>
      <c r="E225" s="55"/>
      <c r="F225" s="62"/>
      <c r="G225" s="57"/>
      <c r="H225" s="58" t="str">
        <f>IFERROR(__xludf.DUMMYFUNCTION("iferror(if(A225="""", ,filter('Playoff IDR Import'!D:D,'Playoff IDR Import'!A:A=A225,'Playoff IDR Import'!C:C=C225)),)"),"")</f>
        <v/>
      </c>
      <c r="I225" s="58"/>
      <c r="J225" s="59" t="str">
        <f t="shared" si="1"/>
        <v/>
      </c>
    </row>
    <row r="226">
      <c r="A226" s="55"/>
      <c r="B226" s="60"/>
      <c r="C226" s="55"/>
      <c r="D226" s="54"/>
      <c r="E226" s="55"/>
      <c r="F226" s="62"/>
      <c r="G226" s="57"/>
      <c r="H226" s="58" t="str">
        <f>IFERROR(__xludf.DUMMYFUNCTION("iferror(if(A226="""", ,filter('Playoff IDR Import'!D:D,'Playoff IDR Import'!A:A=A226,'Playoff IDR Import'!C:C=C226)),)"),"")</f>
        <v/>
      </c>
      <c r="I226" s="58"/>
      <c r="J226" s="59" t="str">
        <f t="shared" si="1"/>
        <v/>
      </c>
    </row>
    <row r="227">
      <c r="A227" s="55"/>
      <c r="B227" s="60"/>
      <c r="C227" s="55"/>
      <c r="D227" s="54"/>
      <c r="E227" s="55"/>
      <c r="F227" s="62"/>
      <c r="G227" s="57"/>
      <c r="H227" s="58" t="str">
        <f>IFERROR(__xludf.DUMMYFUNCTION("iferror(if(A227="""", ,filter('Playoff IDR Import'!D:D,'Playoff IDR Import'!A:A=A227,'Playoff IDR Import'!C:C=C227)),)"),"")</f>
        <v/>
      </c>
      <c r="I227" s="58"/>
      <c r="J227" s="59" t="str">
        <f t="shared" si="1"/>
        <v/>
      </c>
    </row>
    <row r="228">
      <c r="A228" s="55"/>
      <c r="B228" s="60"/>
      <c r="C228" s="55"/>
      <c r="D228" s="54"/>
      <c r="E228" s="55"/>
      <c r="F228" s="62"/>
      <c r="G228" s="57"/>
      <c r="H228" s="58" t="str">
        <f>IFERROR(__xludf.DUMMYFUNCTION("iferror(if(A228="""", ,filter('Playoff IDR Import'!D:D,'Playoff IDR Import'!A:A=A228,'Playoff IDR Import'!C:C=C228)),)"),"")</f>
        <v/>
      </c>
      <c r="I228" s="58"/>
      <c r="J228" s="59" t="str">
        <f t="shared" si="1"/>
        <v/>
      </c>
    </row>
    <row r="229">
      <c r="A229" s="55"/>
      <c r="B229" s="60"/>
      <c r="C229" s="55"/>
      <c r="D229" s="54"/>
      <c r="E229" s="55"/>
      <c r="F229" s="62"/>
      <c r="G229" s="57"/>
      <c r="H229" s="58" t="str">
        <f>IFERROR(__xludf.DUMMYFUNCTION("iferror(if(A229="""", ,filter('Playoff IDR Import'!D:D,'Playoff IDR Import'!A:A=A229,'Playoff IDR Import'!C:C=C229)),)"),"")</f>
        <v/>
      </c>
      <c r="I229" s="58"/>
      <c r="J229" s="59" t="str">
        <f t="shared" si="1"/>
        <v/>
      </c>
    </row>
    <row r="230">
      <c r="A230" s="55"/>
      <c r="B230" s="60"/>
      <c r="C230" s="55"/>
      <c r="D230" s="54"/>
      <c r="E230" s="55"/>
      <c r="F230" s="62"/>
      <c r="G230" s="57"/>
      <c r="H230" s="58" t="str">
        <f>IFERROR(__xludf.DUMMYFUNCTION("iferror(if(A230="""", ,filter('Playoff IDR Import'!D:D,'Playoff IDR Import'!A:A=A230,'Playoff IDR Import'!C:C=C230)),)"),"")</f>
        <v/>
      </c>
      <c r="I230" s="58"/>
      <c r="J230" s="59" t="str">
        <f t="shared" si="1"/>
        <v/>
      </c>
    </row>
    <row r="231">
      <c r="A231" s="55"/>
      <c r="B231" s="60"/>
      <c r="C231" s="55"/>
      <c r="D231" s="54"/>
      <c r="E231" s="55"/>
      <c r="F231" s="62"/>
      <c r="G231" s="57"/>
      <c r="H231" s="58" t="str">
        <f>IFERROR(__xludf.DUMMYFUNCTION("iferror(if(A231="""", ,filter('Playoff IDR Import'!D:D,'Playoff IDR Import'!A:A=A231,'Playoff IDR Import'!C:C=C231)),)"),"")</f>
        <v/>
      </c>
      <c r="I231" s="58"/>
      <c r="J231" s="59" t="str">
        <f t="shared" si="1"/>
        <v/>
      </c>
    </row>
    <row r="232">
      <c r="A232" s="55"/>
      <c r="B232" s="60"/>
      <c r="C232" s="55"/>
      <c r="D232" s="54"/>
      <c r="E232" s="55"/>
      <c r="F232" s="62"/>
      <c r="G232" s="57"/>
      <c r="H232" s="58" t="str">
        <f>IFERROR(__xludf.DUMMYFUNCTION("iferror(if(A232="""", ,filter('Playoff IDR Import'!D:D,'Playoff IDR Import'!A:A=A232,'Playoff IDR Import'!C:C=C232)),)"),"")</f>
        <v/>
      </c>
      <c r="I232" s="58"/>
      <c r="J232" s="59" t="str">
        <f t="shared" si="1"/>
        <v/>
      </c>
    </row>
    <row r="233">
      <c r="A233" s="55"/>
      <c r="B233" s="60"/>
      <c r="C233" s="55"/>
      <c r="D233" s="54"/>
      <c r="E233" s="55"/>
      <c r="F233" s="62"/>
      <c r="G233" s="57"/>
      <c r="H233" s="58" t="str">
        <f>IFERROR(__xludf.DUMMYFUNCTION("iferror(if(A233="""", ,filter('Playoff IDR Import'!D:D,'Playoff IDR Import'!A:A=A233,'Playoff IDR Import'!C:C=C233)),)"),"")</f>
        <v/>
      </c>
      <c r="I233" s="58"/>
      <c r="J233" s="59" t="str">
        <f t="shared" si="1"/>
        <v/>
      </c>
    </row>
    <row r="234">
      <c r="A234" s="55"/>
      <c r="B234" s="60"/>
      <c r="C234" s="55"/>
      <c r="D234" s="54"/>
      <c r="E234" s="55"/>
      <c r="F234" s="62"/>
      <c r="G234" s="57"/>
      <c r="H234" s="58" t="str">
        <f>IFERROR(__xludf.DUMMYFUNCTION("iferror(if(A234="""", ,filter('Playoff IDR Import'!D:D,'Playoff IDR Import'!A:A=A234,'Playoff IDR Import'!C:C=C234)),)"),"")</f>
        <v/>
      </c>
      <c r="I234" s="58"/>
      <c r="J234" s="59" t="str">
        <f t="shared" si="1"/>
        <v/>
      </c>
    </row>
    <row r="235">
      <c r="A235" s="55"/>
      <c r="B235" s="60"/>
      <c r="C235" s="55"/>
      <c r="D235" s="54"/>
      <c r="E235" s="55"/>
      <c r="F235" s="62"/>
      <c r="G235" s="57"/>
      <c r="H235" s="58" t="str">
        <f>IFERROR(__xludf.DUMMYFUNCTION("iferror(if(A235="""", ,filter('Playoff IDR Import'!D:D,'Playoff IDR Import'!A:A=A235,'Playoff IDR Import'!C:C=C235)),)"),"")</f>
        <v/>
      </c>
      <c r="I235" s="58"/>
      <c r="J235" s="59" t="str">
        <f t="shared" si="1"/>
        <v/>
      </c>
    </row>
    <row r="236">
      <c r="A236" s="55"/>
      <c r="B236" s="60"/>
      <c r="C236" s="55"/>
      <c r="D236" s="54"/>
      <c r="E236" s="55"/>
      <c r="F236" s="62"/>
      <c r="G236" s="57"/>
      <c r="H236" s="58" t="str">
        <f>IFERROR(__xludf.DUMMYFUNCTION("iferror(if(A236="""", ,filter('Playoff IDR Import'!D:D,'Playoff IDR Import'!A:A=A236,'Playoff IDR Import'!C:C=C236)),)"),"")</f>
        <v/>
      </c>
      <c r="I236" s="58"/>
      <c r="J236" s="59" t="str">
        <f t="shared" si="1"/>
        <v/>
      </c>
    </row>
    <row r="237">
      <c r="A237" s="55"/>
      <c r="B237" s="60"/>
      <c r="C237" s="55"/>
      <c r="D237" s="54"/>
      <c r="E237" s="55"/>
      <c r="F237" s="62"/>
      <c r="G237" s="57"/>
      <c r="H237" s="58" t="str">
        <f>IFERROR(__xludf.DUMMYFUNCTION("iferror(if(A237="""", ,filter('Playoff IDR Import'!D:D,'Playoff IDR Import'!A:A=A237,'Playoff IDR Import'!C:C=C237)),)"),"")</f>
        <v/>
      </c>
      <c r="I237" s="58"/>
      <c r="J237" s="59" t="str">
        <f t="shared" si="1"/>
        <v/>
      </c>
    </row>
    <row r="238">
      <c r="A238" s="55"/>
      <c r="B238" s="60"/>
      <c r="C238" s="55"/>
      <c r="D238" s="54"/>
      <c r="E238" s="55"/>
      <c r="F238" s="62"/>
      <c r="G238" s="57"/>
      <c r="H238" s="58" t="str">
        <f>IFERROR(__xludf.DUMMYFUNCTION("iferror(if(A238="""", ,filter('Playoff IDR Import'!D:D,'Playoff IDR Import'!A:A=A238,'Playoff IDR Import'!C:C=C238)),)"),"")</f>
        <v/>
      </c>
      <c r="I238" s="58"/>
      <c r="J238" s="59" t="str">
        <f t="shared" si="1"/>
        <v/>
      </c>
    </row>
    <row r="239">
      <c r="A239" s="55"/>
      <c r="B239" s="60"/>
      <c r="C239" s="55"/>
      <c r="D239" s="54"/>
      <c r="E239" s="55"/>
      <c r="F239" s="62"/>
      <c r="G239" s="57"/>
      <c r="H239" s="58" t="str">
        <f>IFERROR(__xludf.DUMMYFUNCTION("iferror(if(A239="""", ,filter('Playoff IDR Import'!D:D,'Playoff IDR Import'!A:A=A239,'Playoff IDR Import'!C:C=C239)),)"),"")</f>
        <v/>
      </c>
      <c r="I239" s="58"/>
      <c r="J239" s="59" t="str">
        <f t="shared" si="1"/>
        <v/>
      </c>
    </row>
    <row r="240">
      <c r="A240" s="55"/>
      <c r="B240" s="60"/>
      <c r="C240" s="55"/>
      <c r="D240" s="54"/>
      <c r="E240" s="55"/>
      <c r="F240" s="62"/>
      <c r="G240" s="57"/>
      <c r="H240" s="58" t="str">
        <f>IFERROR(__xludf.DUMMYFUNCTION("iferror(if(A240="""", ,filter('Playoff IDR Import'!D:D,'Playoff IDR Import'!A:A=A240,'Playoff IDR Import'!C:C=C240)),)"),"")</f>
        <v/>
      </c>
      <c r="I240" s="58"/>
      <c r="J240" s="59" t="str">
        <f t="shared" si="1"/>
        <v/>
      </c>
    </row>
    <row r="241">
      <c r="A241" s="55"/>
      <c r="B241" s="60"/>
      <c r="C241" s="55"/>
      <c r="D241" s="54"/>
      <c r="E241" s="55"/>
      <c r="F241" s="62"/>
      <c r="G241" s="57"/>
      <c r="H241" s="58" t="str">
        <f>IFERROR(__xludf.DUMMYFUNCTION("iferror(if(A241="""", ,filter('Playoff IDR Import'!D:D,'Playoff IDR Import'!A:A=A241,'Playoff IDR Import'!C:C=C241)),)"),"")</f>
        <v/>
      </c>
      <c r="I241" s="58"/>
      <c r="J241" s="59" t="str">
        <f t="shared" si="1"/>
        <v/>
      </c>
    </row>
    <row r="242">
      <c r="A242" s="55"/>
      <c r="B242" s="60"/>
      <c r="C242" s="55"/>
      <c r="D242" s="54"/>
      <c r="E242" s="55"/>
      <c r="F242" s="62"/>
      <c r="G242" s="57"/>
      <c r="H242" s="58" t="str">
        <f>IFERROR(__xludf.DUMMYFUNCTION("iferror(if(A242="""", ,filter('Playoff IDR Import'!D:D,'Playoff IDR Import'!A:A=A242,'Playoff IDR Import'!C:C=C242)),)"),"")</f>
        <v/>
      </c>
      <c r="I242" s="58"/>
      <c r="J242" s="59" t="str">
        <f t="shared" si="1"/>
        <v/>
      </c>
    </row>
    <row r="243">
      <c r="A243" s="55"/>
      <c r="B243" s="60"/>
      <c r="C243" s="55"/>
      <c r="D243" s="54"/>
      <c r="E243" s="55"/>
      <c r="F243" s="62"/>
      <c r="G243" s="57"/>
      <c r="H243" s="58" t="str">
        <f>IFERROR(__xludf.DUMMYFUNCTION("iferror(if(A243="""", ,filter('Playoff IDR Import'!D:D,'Playoff IDR Import'!A:A=A243,'Playoff IDR Import'!C:C=C243)),)"),"")</f>
        <v/>
      </c>
      <c r="I243" s="58"/>
      <c r="J243" s="59" t="str">
        <f t="shared" si="1"/>
        <v/>
      </c>
    </row>
    <row r="244">
      <c r="A244" s="55"/>
      <c r="B244" s="60"/>
      <c r="C244" s="55"/>
      <c r="D244" s="54"/>
      <c r="E244" s="55"/>
      <c r="F244" s="62"/>
      <c r="G244" s="57"/>
      <c r="H244" s="58" t="str">
        <f>IFERROR(__xludf.DUMMYFUNCTION("iferror(if(A244="""", ,filter('Playoff IDR Import'!D:D,'Playoff IDR Import'!A:A=A244,'Playoff IDR Import'!C:C=C244)),)"),"")</f>
        <v/>
      </c>
      <c r="I244" s="58"/>
      <c r="J244" s="59" t="str">
        <f t="shared" si="1"/>
        <v/>
      </c>
    </row>
    <row r="245">
      <c r="A245" s="55"/>
      <c r="B245" s="60"/>
      <c r="C245" s="55"/>
      <c r="D245" s="54"/>
      <c r="E245" s="55"/>
      <c r="F245" s="62"/>
      <c r="G245" s="57"/>
      <c r="H245" s="58" t="str">
        <f>IFERROR(__xludf.DUMMYFUNCTION("iferror(if(A245="""", ,filter('Playoff IDR Import'!D:D,'Playoff IDR Import'!A:A=A245,'Playoff IDR Import'!C:C=C245)),)"),"")</f>
        <v/>
      </c>
      <c r="I245" s="58"/>
      <c r="J245" s="59" t="str">
        <f t="shared" si="1"/>
        <v/>
      </c>
    </row>
    <row r="246">
      <c r="A246" s="55"/>
      <c r="B246" s="60"/>
      <c r="C246" s="55"/>
      <c r="D246" s="54"/>
      <c r="E246" s="55"/>
      <c r="F246" s="62"/>
      <c r="G246" s="57"/>
      <c r="H246" s="58" t="str">
        <f>IFERROR(__xludf.DUMMYFUNCTION("iferror(if(A246="""", ,filter('Playoff IDR Import'!D:D,'Playoff IDR Import'!A:A=A246,'Playoff IDR Import'!C:C=C246)),)"),"")</f>
        <v/>
      </c>
      <c r="I246" s="58"/>
      <c r="J246" s="59" t="str">
        <f t="shared" si="1"/>
        <v/>
      </c>
    </row>
    <row r="247">
      <c r="A247" s="55"/>
      <c r="B247" s="60"/>
      <c r="C247" s="55"/>
      <c r="D247" s="54"/>
      <c r="E247" s="55"/>
      <c r="F247" s="62"/>
      <c r="G247" s="57"/>
      <c r="H247" s="58" t="str">
        <f>IFERROR(__xludf.DUMMYFUNCTION("iferror(if(A247="""", ,filter('Playoff IDR Import'!D:D,'Playoff IDR Import'!A:A=A247,'Playoff IDR Import'!C:C=C247)),)"),"")</f>
        <v/>
      </c>
      <c r="I247" s="58"/>
      <c r="J247" s="59" t="str">
        <f t="shared" si="1"/>
        <v/>
      </c>
    </row>
    <row r="248">
      <c r="A248" s="55"/>
      <c r="B248" s="60"/>
      <c r="C248" s="55"/>
      <c r="D248" s="54"/>
      <c r="E248" s="55"/>
      <c r="F248" s="62"/>
      <c r="G248" s="57"/>
      <c r="H248" s="58" t="str">
        <f>IFERROR(__xludf.DUMMYFUNCTION("iferror(if(A248="""", ,filter('Playoff IDR Import'!D:D,'Playoff IDR Import'!A:A=A248,'Playoff IDR Import'!C:C=C248)),)"),"")</f>
        <v/>
      </c>
      <c r="I248" s="58"/>
      <c r="J248" s="59" t="str">
        <f t="shared" si="1"/>
        <v/>
      </c>
    </row>
    <row r="249">
      <c r="A249" s="55"/>
      <c r="B249" s="60"/>
      <c r="C249" s="55"/>
      <c r="D249" s="54"/>
      <c r="E249" s="55"/>
      <c r="F249" s="62"/>
      <c r="G249" s="57"/>
      <c r="H249" s="58" t="str">
        <f>IFERROR(__xludf.DUMMYFUNCTION("iferror(if(A249="""", ,filter('Playoff IDR Import'!D:D,'Playoff IDR Import'!A:A=A249,'Playoff IDR Import'!C:C=C249)),)"),"")</f>
        <v/>
      </c>
      <c r="I249" s="58"/>
      <c r="J249" s="59" t="str">
        <f t="shared" si="1"/>
        <v/>
      </c>
    </row>
    <row r="250">
      <c r="A250" s="55"/>
      <c r="B250" s="60"/>
      <c r="C250" s="55"/>
      <c r="D250" s="54"/>
      <c r="E250" s="55"/>
      <c r="F250" s="62"/>
      <c r="G250" s="57"/>
      <c r="H250" s="58" t="str">
        <f>IFERROR(__xludf.DUMMYFUNCTION("iferror(if(A250="""", ,filter('Playoff IDR Import'!D:D,'Playoff IDR Import'!A:A=A250,'Playoff IDR Import'!C:C=C250)),)"),"")</f>
        <v/>
      </c>
      <c r="I250" s="58"/>
      <c r="J250" s="59" t="str">
        <f t="shared" si="1"/>
        <v/>
      </c>
    </row>
    <row r="251">
      <c r="A251" s="55"/>
      <c r="B251" s="60"/>
      <c r="C251" s="55"/>
      <c r="D251" s="54"/>
      <c r="E251" s="55"/>
      <c r="F251" s="62"/>
      <c r="G251" s="57"/>
      <c r="H251" s="58" t="str">
        <f>IFERROR(__xludf.DUMMYFUNCTION("iferror(if(A251="""", ,filter('Playoff IDR Import'!D:D,'Playoff IDR Import'!A:A=A251,'Playoff IDR Import'!C:C=C251)),)"),"")</f>
        <v/>
      </c>
      <c r="I251" s="58"/>
      <c r="J251" s="59" t="str">
        <f t="shared" si="1"/>
        <v/>
      </c>
    </row>
    <row r="252">
      <c r="A252" s="55"/>
      <c r="B252" s="60"/>
      <c r="C252" s="55"/>
      <c r="D252" s="54"/>
      <c r="E252" s="55"/>
      <c r="F252" s="62"/>
      <c r="G252" s="57"/>
      <c r="H252" s="58" t="str">
        <f>IFERROR(__xludf.DUMMYFUNCTION("iferror(if(A252="""", ,filter('Playoff IDR Import'!D:D,'Playoff IDR Import'!A:A=A252,'Playoff IDR Import'!C:C=C252)),)"),"")</f>
        <v/>
      </c>
      <c r="I252" s="58"/>
      <c r="J252" s="59" t="str">
        <f t="shared" si="1"/>
        <v/>
      </c>
    </row>
    <row r="253">
      <c r="A253" s="55"/>
      <c r="B253" s="60"/>
      <c r="C253" s="55"/>
      <c r="D253" s="54"/>
      <c r="E253" s="55"/>
      <c r="F253" s="62"/>
      <c r="G253" s="57"/>
      <c r="H253" s="58" t="str">
        <f>IFERROR(__xludf.DUMMYFUNCTION("iferror(if(A253="""", ,filter('Playoff IDR Import'!D:D,'Playoff IDR Import'!A:A=A253,'Playoff IDR Import'!C:C=C253)),)"),"")</f>
        <v/>
      </c>
      <c r="I253" s="58"/>
      <c r="J253" s="59" t="str">
        <f t="shared" si="1"/>
        <v/>
      </c>
    </row>
    <row r="254">
      <c r="A254" s="55"/>
      <c r="B254" s="60"/>
      <c r="C254" s="55"/>
      <c r="D254" s="54"/>
      <c r="E254" s="55"/>
      <c r="F254" s="62"/>
      <c r="G254" s="57"/>
      <c r="H254" s="58" t="str">
        <f>IFERROR(__xludf.DUMMYFUNCTION("iferror(if(A254="""", ,filter('Playoff IDR Import'!D:D,'Playoff IDR Import'!A:A=A254,'Playoff IDR Import'!C:C=C254)),)"),"")</f>
        <v/>
      </c>
      <c r="I254" s="58"/>
      <c r="J254" s="59" t="str">
        <f t="shared" si="1"/>
        <v/>
      </c>
    </row>
    <row r="255">
      <c r="A255" s="55"/>
      <c r="B255" s="60"/>
      <c r="C255" s="55"/>
      <c r="D255" s="54"/>
      <c r="E255" s="55"/>
      <c r="F255" s="62"/>
      <c r="G255" s="57"/>
      <c r="H255" s="58" t="str">
        <f>IFERROR(__xludf.DUMMYFUNCTION("iferror(if(A255="""", ,filter('Playoff IDR Import'!D:D,'Playoff IDR Import'!A:A=A255,'Playoff IDR Import'!C:C=C255)),)"),"")</f>
        <v/>
      </c>
      <c r="I255" s="58"/>
      <c r="J255" s="59" t="str">
        <f t="shared" si="1"/>
        <v/>
      </c>
    </row>
    <row r="256">
      <c r="A256" s="55"/>
      <c r="B256" s="60"/>
      <c r="C256" s="55"/>
      <c r="D256" s="54"/>
      <c r="E256" s="55"/>
      <c r="F256" s="62"/>
      <c r="G256" s="57"/>
      <c r="H256" s="58" t="str">
        <f>IFERROR(__xludf.DUMMYFUNCTION("iferror(if(A256="""", ,filter('Playoff IDR Import'!D:D,'Playoff IDR Import'!A:A=A256,'Playoff IDR Import'!C:C=C256)),)"),"")</f>
        <v/>
      </c>
      <c r="I256" s="58"/>
      <c r="J256" s="59" t="str">
        <f t="shared" si="1"/>
        <v/>
      </c>
    </row>
    <row r="257">
      <c r="A257" s="55"/>
      <c r="B257" s="60"/>
      <c r="C257" s="55"/>
      <c r="D257" s="54"/>
      <c r="E257" s="55"/>
      <c r="F257" s="62"/>
      <c r="G257" s="57"/>
      <c r="H257" s="58" t="str">
        <f>IFERROR(__xludf.DUMMYFUNCTION("iferror(if(A257="""", ,filter('Playoff IDR Import'!D:D,'Playoff IDR Import'!A:A=A257,'Playoff IDR Import'!C:C=C257)),)"),"")</f>
        <v/>
      </c>
      <c r="I257" s="58"/>
      <c r="J257" s="59" t="str">
        <f t="shared" si="1"/>
        <v/>
      </c>
    </row>
    <row r="258">
      <c r="A258" s="55"/>
      <c r="B258" s="60"/>
      <c r="C258" s="55"/>
      <c r="D258" s="54"/>
      <c r="E258" s="55"/>
      <c r="F258" s="62"/>
      <c r="G258" s="57"/>
      <c r="H258" s="58" t="str">
        <f>IFERROR(__xludf.DUMMYFUNCTION("iferror(if(A258="""", ,filter('Playoff IDR Import'!D:D,'Playoff IDR Import'!A:A=A258,'Playoff IDR Import'!C:C=C258)),)"),"")</f>
        <v/>
      </c>
      <c r="I258" s="58"/>
      <c r="J258" s="59" t="str">
        <f t="shared" si="1"/>
        <v/>
      </c>
    </row>
    <row r="259">
      <c r="A259" s="55"/>
      <c r="B259" s="60"/>
      <c r="C259" s="55"/>
      <c r="D259" s="54"/>
      <c r="E259" s="55"/>
      <c r="F259" s="62"/>
      <c r="G259" s="57"/>
      <c r="H259" s="58" t="str">
        <f>IFERROR(__xludf.DUMMYFUNCTION("iferror(if(A259="""", ,filter('Playoff IDR Import'!D:D,'Playoff IDR Import'!A:A=A259,'Playoff IDR Import'!C:C=C259)),)"),"")</f>
        <v/>
      </c>
      <c r="I259" s="58"/>
      <c r="J259" s="59" t="str">
        <f t="shared" si="1"/>
        <v/>
      </c>
    </row>
    <row r="260">
      <c r="A260" s="55"/>
      <c r="B260" s="60"/>
      <c r="C260" s="55"/>
      <c r="D260" s="54"/>
      <c r="E260" s="55"/>
      <c r="F260" s="62"/>
      <c r="G260" s="57"/>
      <c r="H260" s="58" t="str">
        <f>IFERROR(__xludf.DUMMYFUNCTION("iferror(if(A260="""", ,filter('Playoff IDR Import'!D:D,'Playoff IDR Import'!A:A=A260,'Playoff IDR Import'!C:C=C260)),)"),"")</f>
        <v/>
      </c>
      <c r="I260" s="58"/>
      <c r="J260" s="59" t="str">
        <f t="shared" si="1"/>
        <v/>
      </c>
    </row>
    <row r="261">
      <c r="A261" s="55"/>
      <c r="B261" s="60"/>
      <c r="C261" s="55"/>
      <c r="D261" s="54"/>
      <c r="E261" s="55"/>
      <c r="F261" s="62"/>
      <c r="G261" s="57"/>
      <c r="H261" s="58" t="str">
        <f>IFERROR(__xludf.DUMMYFUNCTION("iferror(if(A261="""", ,filter('Playoff IDR Import'!D:D,'Playoff IDR Import'!A:A=A261,'Playoff IDR Import'!C:C=C261)),)"),"")</f>
        <v/>
      </c>
      <c r="I261" s="58"/>
      <c r="J261" s="59" t="str">
        <f t="shared" si="1"/>
        <v/>
      </c>
    </row>
    <row r="262">
      <c r="A262" s="55"/>
      <c r="B262" s="60"/>
      <c r="C262" s="55"/>
      <c r="D262" s="54"/>
      <c r="E262" s="55"/>
      <c r="F262" s="62"/>
      <c r="G262" s="57"/>
      <c r="H262" s="58" t="str">
        <f>IFERROR(__xludf.DUMMYFUNCTION("iferror(if(A262="""", ,filter('Playoff IDR Import'!D:D,'Playoff IDR Import'!A:A=A262,'Playoff IDR Import'!C:C=C262)),)"),"")</f>
        <v/>
      </c>
      <c r="I262" s="58"/>
      <c r="J262" s="59" t="str">
        <f t="shared" si="1"/>
        <v/>
      </c>
    </row>
    <row r="263">
      <c r="A263" s="55"/>
      <c r="B263" s="60"/>
      <c r="C263" s="55"/>
      <c r="D263" s="54"/>
      <c r="E263" s="55"/>
      <c r="F263" s="62"/>
      <c r="G263" s="57"/>
      <c r="H263" s="58" t="str">
        <f>IFERROR(__xludf.DUMMYFUNCTION("iferror(if(A263="""", ,filter('Playoff IDR Import'!D:D,'Playoff IDR Import'!A:A=A263,'Playoff IDR Import'!C:C=C263)),)"),"")</f>
        <v/>
      </c>
      <c r="I263" s="58"/>
      <c r="J263" s="59" t="str">
        <f t="shared" si="1"/>
        <v/>
      </c>
    </row>
    <row r="264">
      <c r="A264" s="55"/>
      <c r="B264" s="60"/>
      <c r="C264" s="55"/>
      <c r="D264" s="54"/>
      <c r="E264" s="55"/>
      <c r="F264" s="62"/>
      <c r="G264" s="57"/>
      <c r="H264" s="58" t="str">
        <f>IFERROR(__xludf.DUMMYFUNCTION("iferror(if(A264="""", ,filter('Playoff IDR Import'!D:D,'Playoff IDR Import'!A:A=A264,'Playoff IDR Import'!C:C=C264)),)"),"")</f>
        <v/>
      </c>
      <c r="I264" s="58"/>
      <c r="J264" s="59" t="str">
        <f t="shared" si="1"/>
        <v/>
      </c>
    </row>
    <row r="265">
      <c r="A265" s="55"/>
      <c r="B265" s="60"/>
      <c r="C265" s="55"/>
      <c r="D265" s="54"/>
      <c r="E265" s="55"/>
      <c r="F265" s="62"/>
      <c r="G265" s="57"/>
      <c r="H265" s="58" t="str">
        <f>IFERROR(__xludf.DUMMYFUNCTION("iferror(if(A265="""", ,filter('Playoff IDR Import'!D:D,'Playoff IDR Import'!A:A=A265,'Playoff IDR Import'!C:C=C265)),)"),"")</f>
        <v/>
      </c>
      <c r="I265" s="58"/>
      <c r="J265" s="59" t="str">
        <f t="shared" si="1"/>
        <v/>
      </c>
    </row>
    <row r="266">
      <c r="A266" s="55"/>
      <c r="B266" s="60"/>
      <c r="C266" s="55"/>
      <c r="D266" s="54"/>
      <c r="E266" s="55"/>
      <c r="F266" s="62"/>
      <c r="G266" s="57"/>
      <c r="H266" s="58" t="str">
        <f>IFERROR(__xludf.DUMMYFUNCTION("iferror(if(A266="""", ,filter('Playoff IDR Import'!D:D,'Playoff IDR Import'!A:A=A266,'Playoff IDR Import'!C:C=C266)),)"),"")</f>
        <v/>
      </c>
      <c r="I266" s="58"/>
      <c r="J266" s="59" t="str">
        <f t="shared" si="1"/>
        <v/>
      </c>
    </row>
    <row r="267">
      <c r="A267" s="55"/>
      <c r="B267" s="60"/>
      <c r="C267" s="55"/>
      <c r="D267" s="54"/>
      <c r="E267" s="55"/>
      <c r="F267" s="62"/>
      <c r="G267" s="57"/>
      <c r="H267" s="58" t="str">
        <f>IFERROR(__xludf.DUMMYFUNCTION("iferror(if(A267="""", ,filter('Playoff IDR Import'!D:D,'Playoff IDR Import'!A:A=A267,'Playoff IDR Import'!C:C=C267)),)"),"")</f>
        <v/>
      </c>
      <c r="I267" s="58"/>
      <c r="J267" s="59" t="str">
        <f t="shared" si="1"/>
        <v/>
      </c>
    </row>
    <row r="268">
      <c r="A268" s="55"/>
      <c r="B268" s="60"/>
      <c r="C268" s="55"/>
      <c r="D268" s="54"/>
      <c r="E268" s="55"/>
      <c r="F268" s="62"/>
      <c r="G268" s="57"/>
      <c r="H268" s="58" t="str">
        <f>IFERROR(__xludf.DUMMYFUNCTION("iferror(if(A268="""", ,filter('Playoff IDR Import'!D:D,'Playoff IDR Import'!A:A=A268,'Playoff IDR Import'!C:C=C268)),)"),"")</f>
        <v/>
      </c>
      <c r="I268" s="58"/>
      <c r="J268" s="59" t="str">
        <f t="shared" si="1"/>
        <v/>
      </c>
    </row>
    <row r="269">
      <c r="A269" s="55"/>
      <c r="B269" s="60"/>
      <c r="C269" s="55"/>
      <c r="D269" s="54"/>
      <c r="E269" s="55"/>
      <c r="F269" s="62"/>
      <c r="G269" s="57"/>
      <c r="H269" s="58" t="str">
        <f>IFERROR(__xludf.DUMMYFUNCTION("iferror(if(A269="""", ,filter('Playoff IDR Import'!D:D,'Playoff IDR Import'!A:A=A269,'Playoff IDR Import'!C:C=C269)),)"),"")</f>
        <v/>
      </c>
      <c r="I269" s="58"/>
      <c r="J269" s="59" t="str">
        <f t="shared" si="1"/>
        <v/>
      </c>
    </row>
    <row r="270">
      <c r="A270" s="55"/>
      <c r="B270" s="60"/>
      <c r="C270" s="55"/>
      <c r="D270" s="54"/>
      <c r="E270" s="55"/>
      <c r="F270" s="62"/>
      <c r="G270" s="57"/>
      <c r="H270" s="58" t="str">
        <f>IFERROR(__xludf.DUMMYFUNCTION("iferror(if(A270="""", ,filter('Playoff IDR Import'!D:D,'Playoff IDR Import'!A:A=A270,'Playoff IDR Import'!C:C=C270)),)"),"")</f>
        <v/>
      </c>
      <c r="I270" s="58"/>
      <c r="J270" s="59" t="str">
        <f t="shared" si="1"/>
        <v/>
      </c>
    </row>
    <row r="271">
      <c r="A271" s="55"/>
      <c r="B271" s="60"/>
      <c r="C271" s="55"/>
      <c r="D271" s="54"/>
      <c r="E271" s="55"/>
      <c r="F271" s="62"/>
      <c r="G271" s="57"/>
      <c r="H271" s="58" t="str">
        <f>IFERROR(__xludf.DUMMYFUNCTION("iferror(if(A271="""", ,filter('Playoff IDR Import'!D:D,'Playoff IDR Import'!A:A=A271,'Playoff IDR Import'!C:C=C271)),)"),"")</f>
        <v/>
      </c>
      <c r="I271" s="58"/>
      <c r="J271" s="59" t="str">
        <f t="shared" si="1"/>
        <v/>
      </c>
    </row>
    <row r="272">
      <c r="A272" s="55"/>
      <c r="B272" s="60"/>
      <c r="C272" s="55"/>
      <c r="D272" s="54"/>
      <c r="E272" s="55"/>
      <c r="F272" s="62"/>
      <c r="G272" s="57"/>
      <c r="H272" s="58" t="str">
        <f>IFERROR(__xludf.DUMMYFUNCTION("iferror(if(A272="""", ,filter('Playoff IDR Import'!D:D,'Playoff IDR Import'!A:A=A272,'Playoff IDR Import'!C:C=C272)),)"),"")</f>
        <v/>
      </c>
      <c r="I272" s="58"/>
      <c r="J272" s="59" t="str">
        <f t="shared" si="1"/>
        <v/>
      </c>
    </row>
    <row r="273">
      <c r="A273" s="55"/>
      <c r="B273" s="60"/>
      <c r="C273" s="55"/>
      <c r="D273" s="54"/>
      <c r="E273" s="55"/>
      <c r="F273" s="62"/>
      <c r="G273" s="57"/>
      <c r="H273" s="58" t="str">
        <f>IFERROR(__xludf.DUMMYFUNCTION("iferror(if(A273="""", ,filter('Playoff IDR Import'!D:D,'Playoff IDR Import'!A:A=A273,'Playoff IDR Import'!C:C=C273)),)"),"")</f>
        <v/>
      </c>
      <c r="I273" s="58"/>
      <c r="J273" s="59" t="str">
        <f t="shared" si="1"/>
        <v/>
      </c>
    </row>
    <row r="274">
      <c r="A274" s="55"/>
      <c r="B274" s="60"/>
      <c r="C274" s="55"/>
      <c r="D274" s="54"/>
      <c r="E274" s="55"/>
      <c r="F274" s="62"/>
      <c r="G274" s="57"/>
      <c r="H274" s="58" t="str">
        <f>IFERROR(__xludf.DUMMYFUNCTION("iferror(if(A274="""", ,filter('Playoff IDR Import'!D:D,'Playoff IDR Import'!A:A=A274,'Playoff IDR Import'!C:C=C274)),)"),"")</f>
        <v/>
      </c>
      <c r="I274" s="58"/>
      <c r="J274" s="59" t="str">
        <f t="shared" si="1"/>
        <v/>
      </c>
    </row>
    <row r="275">
      <c r="A275" s="55"/>
      <c r="B275" s="60"/>
      <c r="C275" s="55"/>
      <c r="D275" s="54"/>
      <c r="E275" s="55"/>
      <c r="F275" s="62"/>
      <c r="G275" s="57"/>
      <c r="H275" s="58" t="str">
        <f>IFERROR(__xludf.DUMMYFUNCTION("iferror(if(A275="""", ,filter('Playoff IDR Import'!D:D,'Playoff IDR Import'!A:A=A275,'Playoff IDR Import'!C:C=C275)),)"),"")</f>
        <v/>
      </c>
      <c r="I275" s="58"/>
      <c r="J275" s="59" t="str">
        <f t="shared" si="1"/>
        <v/>
      </c>
    </row>
    <row r="276">
      <c r="A276" s="55"/>
      <c r="B276" s="60"/>
      <c r="C276" s="55"/>
      <c r="D276" s="54"/>
      <c r="E276" s="55"/>
      <c r="F276" s="62"/>
      <c r="G276" s="57"/>
      <c r="H276" s="58" t="str">
        <f>IFERROR(__xludf.DUMMYFUNCTION("iferror(if(A276="""", ,filter('Playoff IDR Import'!D:D,'Playoff IDR Import'!A:A=A276,'Playoff IDR Import'!C:C=C276)),)"),"")</f>
        <v/>
      </c>
      <c r="I276" s="58"/>
      <c r="J276" s="59" t="str">
        <f t="shared" si="1"/>
        <v/>
      </c>
    </row>
    <row r="277">
      <c r="A277" s="55"/>
      <c r="B277" s="60"/>
      <c r="C277" s="55"/>
      <c r="D277" s="54"/>
      <c r="E277" s="55"/>
      <c r="F277" s="62"/>
      <c r="G277" s="57"/>
      <c r="H277" s="58" t="str">
        <f>IFERROR(__xludf.DUMMYFUNCTION("iferror(if(A277="""", ,filter('Playoff IDR Import'!D:D,'Playoff IDR Import'!A:A=A277,'Playoff IDR Import'!C:C=C277)),)"),"")</f>
        <v/>
      </c>
      <c r="I277" s="58"/>
      <c r="J277" s="59" t="str">
        <f t="shared" si="1"/>
        <v/>
      </c>
    </row>
    <row r="278">
      <c r="A278" s="55"/>
      <c r="B278" s="60"/>
      <c r="C278" s="55"/>
      <c r="D278" s="54"/>
      <c r="E278" s="55"/>
      <c r="F278" s="62"/>
      <c r="G278" s="57"/>
      <c r="H278" s="58" t="str">
        <f>IFERROR(__xludf.DUMMYFUNCTION("iferror(if(A278="""", ,filter('Playoff IDR Import'!D:D,'Playoff IDR Import'!A:A=A278,'Playoff IDR Import'!C:C=C278)),)"),"")</f>
        <v/>
      </c>
      <c r="I278" s="58"/>
      <c r="J278" s="59" t="str">
        <f t="shared" si="1"/>
        <v/>
      </c>
    </row>
    <row r="279">
      <c r="A279" s="55"/>
      <c r="B279" s="60"/>
      <c r="C279" s="55"/>
      <c r="D279" s="54"/>
      <c r="E279" s="55"/>
      <c r="F279" s="62"/>
      <c r="G279" s="57"/>
      <c r="H279" s="58" t="str">
        <f>IFERROR(__xludf.DUMMYFUNCTION("iferror(if(A279="""", ,filter('Playoff IDR Import'!D:D,'Playoff IDR Import'!A:A=A279,'Playoff IDR Import'!C:C=C279)),)"),"")</f>
        <v/>
      </c>
      <c r="I279" s="58"/>
      <c r="J279" s="59" t="str">
        <f t="shared" si="1"/>
        <v/>
      </c>
    </row>
    <row r="280">
      <c r="A280" s="55"/>
      <c r="B280" s="60"/>
      <c r="C280" s="55"/>
      <c r="D280" s="54"/>
      <c r="E280" s="55"/>
      <c r="F280" s="62"/>
      <c r="G280" s="57"/>
      <c r="H280" s="58" t="str">
        <f>IFERROR(__xludf.DUMMYFUNCTION("iferror(if(A280="""", ,filter('Playoff IDR Import'!D:D,'Playoff IDR Import'!A:A=A280,'Playoff IDR Import'!C:C=C280)),)"),"")</f>
        <v/>
      </c>
      <c r="I280" s="58"/>
      <c r="J280" s="59" t="str">
        <f t="shared" si="1"/>
        <v/>
      </c>
    </row>
    <row r="281">
      <c r="A281" s="55"/>
      <c r="B281" s="60"/>
      <c r="C281" s="55"/>
      <c r="D281" s="54"/>
      <c r="E281" s="55"/>
      <c r="F281" s="62"/>
      <c r="G281" s="57"/>
      <c r="H281" s="58" t="str">
        <f>IFERROR(__xludf.DUMMYFUNCTION("iferror(if(A281="""", ,filter('Playoff IDR Import'!D:D,'Playoff IDR Import'!A:A=A281,'Playoff IDR Import'!C:C=C281)),)"),"")</f>
        <v/>
      </c>
      <c r="I281" s="58"/>
      <c r="J281" s="59" t="str">
        <f t="shared" si="1"/>
        <v/>
      </c>
    </row>
    <row r="282">
      <c r="A282" s="55"/>
      <c r="B282" s="60"/>
      <c r="C282" s="55"/>
      <c r="D282" s="54"/>
      <c r="E282" s="55"/>
      <c r="F282" s="62"/>
      <c r="G282" s="57"/>
      <c r="H282" s="58" t="str">
        <f>IFERROR(__xludf.DUMMYFUNCTION("iferror(if(A282="""", ,filter('Playoff IDR Import'!D:D,'Playoff IDR Import'!A:A=A282,'Playoff IDR Import'!C:C=C282)),)"),"")</f>
        <v/>
      </c>
      <c r="I282" s="58"/>
      <c r="J282" s="59" t="str">
        <f t="shared" si="1"/>
        <v/>
      </c>
    </row>
    <row r="283">
      <c r="A283" s="55"/>
      <c r="B283" s="60"/>
      <c r="C283" s="55"/>
      <c r="D283" s="54"/>
      <c r="E283" s="55"/>
      <c r="F283" s="62"/>
      <c r="G283" s="57"/>
      <c r="H283" s="58" t="str">
        <f>IFERROR(__xludf.DUMMYFUNCTION("iferror(if(A283="""", ,filter('Playoff IDR Import'!D:D,'Playoff IDR Import'!A:A=A283,'Playoff IDR Import'!C:C=C283)),)"),"")</f>
        <v/>
      </c>
      <c r="I283" s="58"/>
      <c r="J283" s="59" t="str">
        <f t="shared" si="1"/>
        <v/>
      </c>
    </row>
    <row r="284">
      <c r="A284" s="55"/>
      <c r="B284" s="60"/>
      <c r="C284" s="55"/>
      <c r="D284" s="54"/>
      <c r="E284" s="55"/>
      <c r="F284" s="62"/>
      <c r="G284" s="57"/>
      <c r="H284" s="58" t="str">
        <f>IFERROR(__xludf.DUMMYFUNCTION("iferror(if(A284="""", ,filter('Playoff IDR Import'!D:D,'Playoff IDR Import'!A:A=A284,'Playoff IDR Import'!C:C=C284)),)"),"")</f>
        <v/>
      </c>
      <c r="I284" s="58"/>
      <c r="J284" s="59" t="str">
        <f t="shared" si="1"/>
        <v/>
      </c>
    </row>
    <row r="285">
      <c r="A285" s="55"/>
      <c r="B285" s="60"/>
      <c r="C285" s="55"/>
      <c r="D285" s="54"/>
      <c r="E285" s="55"/>
      <c r="F285" s="62"/>
      <c r="G285" s="57"/>
      <c r="H285" s="58" t="str">
        <f>IFERROR(__xludf.DUMMYFUNCTION("iferror(if(A285="""", ,filter('Playoff IDR Import'!D:D,'Playoff IDR Import'!A:A=A285,'Playoff IDR Import'!C:C=C285)),)"),"")</f>
        <v/>
      </c>
      <c r="I285" s="58"/>
      <c r="J285" s="59" t="str">
        <f t="shared" si="1"/>
        <v/>
      </c>
    </row>
    <row r="286">
      <c r="A286" s="55"/>
      <c r="B286" s="60"/>
      <c r="C286" s="55"/>
      <c r="D286" s="54"/>
      <c r="E286" s="55"/>
      <c r="F286" s="62"/>
      <c r="G286" s="57"/>
      <c r="H286" s="58" t="str">
        <f>IFERROR(__xludf.DUMMYFUNCTION("iferror(if(A286="""", ,filter('Playoff IDR Import'!D:D,'Playoff IDR Import'!A:A=A286,'Playoff IDR Import'!C:C=C286)),)"),"")</f>
        <v/>
      </c>
      <c r="I286" s="58"/>
      <c r="J286" s="59" t="str">
        <f t="shared" si="1"/>
        <v/>
      </c>
    </row>
    <row r="287">
      <c r="A287" s="55"/>
      <c r="B287" s="60"/>
      <c r="C287" s="55"/>
      <c r="D287" s="54"/>
      <c r="E287" s="55"/>
      <c r="F287" s="62"/>
      <c r="G287" s="57"/>
      <c r="H287" s="58" t="str">
        <f>IFERROR(__xludf.DUMMYFUNCTION("iferror(if(A287="""", ,filter('Playoff IDR Import'!D:D,'Playoff IDR Import'!A:A=A287,'Playoff IDR Import'!C:C=C287)),)"),"")</f>
        <v/>
      </c>
      <c r="I287" s="58"/>
      <c r="J287" s="59" t="str">
        <f t="shared" si="1"/>
        <v/>
      </c>
    </row>
    <row r="288">
      <c r="A288" s="55"/>
      <c r="B288" s="60"/>
      <c r="C288" s="55"/>
      <c r="D288" s="54"/>
      <c r="E288" s="55"/>
      <c r="F288" s="62"/>
      <c r="G288" s="57"/>
      <c r="H288" s="58" t="str">
        <f>IFERROR(__xludf.DUMMYFUNCTION("iferror(if(A288="""", ,filter('Playoff IDR Import'!D:D,'Playoff IDR Import'!A:A=A288,'Playoff IDR Import'!C:C=C288)),)"),"")</f>
        <v/>
      </c>
      <c r="I288" s="58"/>
      <c r="J288" s="59" t="str">
        <f t="shared" si="1"/>
        <v/>
      </c>
    </row>
    <row r="289">
      <c r="A289" s="55"/>
      <c r="B289" s="60"/>
      <c r="C289" s="55"/>
      <c r="D289" s="54"/>
      <c r="E289" s="55"/>
      <c r="F289" s="62"/>
      <c r="G289" s="57"/>
      <c r="H289" s="58" t="str">
        <f>IFERROR(__xludf.DUMMYFUNCTION("iferror(if(A289="""", ,filter('Playoff IDR Import'!D:D,'Playoff IDR Import'!A:A=A289,'Playoff IDR Import'!C:C=C289)),)"),"")</f>
        <v/>
      </c>
      <c r="I289" s="58"/>
      <c r="J289" s="59" t="str">
        <f t="shared" si="1"/>
        <v/>
      </c>
    </row>
    <row r="290">
      <c r="A290" s="55"/>
      <c r="B290" s="60"/>
      <c r="C290" s="55"/>
      <c r="D290" s="54"/>
      <c r="E290" s="55"/>
      <c r="F290" s="62"/>
      <c r="G290" s="57"/>
      <c r="H290" s="58" t="str">
        <f>IFERROR(__xludf.DUMMYFUNCTION("iferror(if(A290="""", ,filter('Playoff IDR Import'!D:D,'Playoff IDR Import'!A:A=A290,'Playoff IDR Import'!C:C=C290)),)"),"")</f>
        <v/>
      </c>
      <c r="I290" s="58"/>
      <c r="J290" s="59" t="str">
        <f t="shared" si="1"/>
        <v/>
      </c>
    </row>
    <row r="291">
      <c r="A291" s="55"/>
      <c r="B291" s="60"/>
      <c r="C291" s="55"/>
      <c r="D291" s="54"/>
      <c r="E291" s="55"/>
      <c r="F291" s="62"/>
      <c r="G291" s="57"/>
      <c r="H291" s="58" t="str">
        <f>IFERROR(__xludf.DUMMYFUNCTION("iferror(if(A291="""", ,filter('Playoff IDR Import'!D:D,'Playoff IDR Import'!A:A=A291,'Playoff IDR Import'!C:C=C291)),)"),"")</f>
        <v/>
      </c>
      <c r="I291" s="58"/>
      <c r="J291" s="59" t="str">
        <f t="shared" si="1"/>
        <v/>
      </c>
    </row>
    <row r="292">
      <c r="A292" s="55"/>
      <c r="B292" s="60"/>
      <c r="C292" s="55"/>
      <c r="D292" s="54"/>
      <c r="E292" s="55"/>
      <c r="F292" s="62"/>
      <c r="G292" s="57"/>
      <c r="H292" s="58" t="str">
        <f>IFERROR(__xludf.DUMMYFUNCTION("iferror(if(A292="""", ,filter('Playoff IDR Import'!D:D,'Playoff IDR Import'!A:A=A292,'Playoff IDR Import'!C:C=C292)),)"),"")</f>
        <v/>
      </c>
      <c r="I292" s="58"/>
      <c r="J292" s="59" t="str">
        <f t="shared" si="1"/>
        <v/>
      </c>
    </row>
    <row r="293">
      <c r="A293" s="55"/>
      <c r="B293" s="60"/>
      <c r="C293" s="55"/>
      <c r="D293" s="54"/>
      <c r="E293" s="55"/>
      <c r="F293" s="62"/>
      <c r="G293" s="57"/>
      <c r="H293" s="58" t="str">
        <f>IFERROR(__xludf.DUMMYFUNCTION("iferror(if(A293="""", ,filter('Playoff IDR Import'!D:D,'Playoff IDR Import'!A:A=A293,'Playoff IDR Import'!C:C=C293)),)"),"")</f>
        <v/>
      </c>
      <c r="I293" s="58"/>
      <c r="J293" s="59" t="str">
        <f t="shared" si="1"/>
        <v/>
      </c>
    </row>
    <row r="294">
      <c r="A294" s="55"/>
      <c r="B294" s="60"/>
      <c r="C294" s="55"/>
      <c r="D294" s="54"/>
      <c r="E294" s="55"/>
      <c r="F294" s="62"/>
      <c r="G294" s="57"/>
      <c r="H294" s="58" t="str">
        <f>IFERROR(__xludf.DUMMYFUNCTION("iferror(if(A294="""", ,filter('Playoff IDR Import'!D:D,'Playoff IDR Import'!A:A=A294,'Playoff IDR Import'!C:C=C294)),)"),"")</f>
        <v/>
      </c>
      <c r="I294" s="58"/>
      <c r="J294" s="59" t="str">
        <f t="shared" si="1"/>
        <v/>
      </c>
    </row>
    <row r="295">
      <c r="A295" s="55"/>
      <c r="B295" s="60"/>
      <c r="C295" s="55"/>
      <c r="D295" s="54"/>
      <c r="E295" s="55"/>
      <c r="F295" s="62"/>
      <c r="G295" s="57"/>
      <c r="H295" s="58" t="str">
        <f>IFERROR(__xludf.DUMMYFUNCTION("iferror(if(A295="""", ,filter('Playoff IDR Import'!D:D,'Playoff IDR Import'!A:A=A295,'Playoff IDR Import'!C:C=C295)),)"),"")</f>
        <v/>
      </c>
      <c r="I295" s="58"/>
      <c r="J295" s="59" t="str">
        <f t="shared" si="1"/>
        <v/>
      </c>
    </row>
    <row r="296">
      <c r="A296" s="55"/>
      <c r="B296" s="60"/>
      <c r="C296" s="55"/>
      <c r="D296" s="54"/>
      <c r="E296" s="55"/>
      <c r="F296" s="62"/>
      <c r="G296" s="57"/>
      <c r="H296" s="58" t="str">
        <f>IFERROR(__xludf.DUMMYFUNCTION("iferror(if(A296="""", ,filter('Playoff IDR Import'!D:D,'Playoff IDR Import'!A:A=A296,'Playoff IDR Import'!C:C=C296)),)"),"")</f>
        <v/>
      </c>
      <c r="I296" s="58"/>
      <c r="J296" s="59" t="str">
        <f t="shared" si="1"/>
        <v/>
      </c>
    </row>
    <row r="297">
      <c r="A297" s="55"/>
      <c r="B297" s="60"/>
      <c r="C297" s="55"/>
      <c r="D297" s="54"/>
      <c r="E297" s="55"/>
      <c r="F297" s="62"/>
      <c r="G297" s="57"/>
      <c r="H297" s="58" t="str">
        <f>IFERROR(__xludf.DUMMYFUNCTION("iferror(if(A297="""", ,filter('Playoff IDR Import'!D:D,'Playoff IDR Import'!A:A=A297,'Playoff IDR Import'!C:C=C297)),)"),"")</f>
        <v/>
      </c>
      <c r="I297" s="58"/>
      <c r="J297" s="59" t="str">
        <f t="shared" si="1"/>
        <v/>
      </c>
    </row>
    <row r="298">
      <c r="A298" s="55"/>
      <c r="B298" s="60"/>
      <c r="C298" s="55"/>
      <c r="D298" s="54"/>
      <c r="E298" s="55"/>
      <c r="F298" s="62"/>
      <c r="G298" s="57"/>
      <c r="H298" s="58" t="str">
        <f>IFERROR(__xludf.DUMMYFUNCTION("iferror(if(A298="""", ,filter('Playoff IDR Import'!D:D,'Playoff IDR Import'!A:A=A298,'Playoff IDR Import'!C:C=C298)),)"),"")</f>
        <v/>
      </c>
      <c r="I298" s="58"/>
      <c r="J298" s="59" t="str">
        <f t="shared" si="1"/>
        <v/>
      </c>
    </row>
    <row r="299">
      <c r="A299" s="55"/>
      <c r="B299" s="60"/>
      <c r="C299" s="55"/>
      <c r="D299" s="54"/>
      <c r="E299" s="55"/>
      <c r="F299" s="62"/>
      <c r="G299" s="57"/>
      <c r="H299" s="58" t="str">
        <f>IFERROR(__xludf.DUMMYFUNCTION("iferror(if(A299="""", ,filter('Playoff IDR Import'!D:D,'Playoff IDR Import'!A:A=A299,'Playoff IDR Import'!C:C=C299)),)"),"")</f>
        <v/>
      </c>
      <c r="I299" s="58"/>
      <c r="J299" s="59" t="str">
        <f t="shared" si="1"/>
        <v/>
      </c>
    </row>
    <row r="300">
      <c r="A300" s="55"/>
      <c r="B300" s="60"/>
      <c r="C300" s="55"/>
      <c r="D300" s="54"/>
      <c r="E300" s="55"/>
      <c r="F300" s="62"/>
      <c r="G300" s="57"/>
      <c r="H300" s="58" t="str">
        <f>IFERROR(__xludf.DUMMYFUNCTION("iferror(if(A300="""", ,filter('Playoff IDR Import'!D:D,'Playoff IDR Import'!A:A=A300,'Playoff IDR Import'!C:C=C300)),)"),"")</f>
        <v/>
      </c>
      <c r="I300" s="58"/>
      <c r="J300" s="59" t="str">
        <f t="shared" si="1"/>
        <v/>
      </c>
    </row>
    <row r="301">
      <c r="A301" s="55"/>
      <c r="B301" s="60"/>
      <c r="C301" s="55"/>
      <c r="D301" s="54"/>
      <c r="E301" s="55"/>
      <c r="F301" s="62"/>
      <c r="G301" s="57"/>
      <c r="H301" s="58" t="str">
        <f>IFERROR(__xludf.DUMMYFUNCTION("iferror(if(A301="""", ,filter('Playoff IDR Import'!D:D,'Playoff IDR Import'!A:A=A301,'Playoff IDR Import'!C:C=C301)),)"),"")</f>
        <v/>
      </c>
      <c r="I301" s="58"/>
      <c r="J301" s="59" t="str">
        <f t="shared" si="1"/>
        <v/>
      </c>
    </row>
    <row r="302">
      <c r="A302" s="55"/>
      <c r="B302" s="60"/>
      <c r="C302" s="55"/>
      <c r="D302" s="54"/>
      <c r="E302" s="55"/>
      <c r="F302" s="62"/>
      <c r="G302" s="57"/>
      <c r="H302" s="58" t="str">
        <f>IFERROR(__xludf.DUMMYFUNCTION("iferror(if(A302="""", ,filter('Playoff IDR Import'!D:D,'Playoff IDR Import'!A:A=A302,'Playoff IDR Import'!C:C=C302)),)"),"")</f>
        <v/>
      </c>
      <c r="I302" s="58"/>
      <c r="J302" s="59" t="str">
        <f t="shared" si="1"/>
        <v/>
      </c>
    </row>
    <row r="303">
      <c r="A303" s="55"/>
      <c r="B303" s="60"/>
      <c r="C303" s="55"/>
      <c r="D303" s="54"/>
      <c r="E303" s="55"/>
      <c r="F303" s="62"/>
      <c r="G303" s="57"/>
      <c r="H303" s="58" t="str">
        <f>IFERROR(__xludf.DUMMYFUNCTION("iferror(if(A303="""", ,filter('Playoff IDR Import'!D:D,'Playoff IDR Import'!A:A=A303,'Playoff IDR Import'!C:C=C303)),)"),"")</f>
        <v/>
      </c>
      <c r="I303" s="58"/>
      <c r="J303" s="59" t="str">
        <f t="shared" si="1"/>
        <v/>
      </c>
    </row>
    <row r="304">
      <c r="A304" s="55"/>
      <c r="B304" s="60"/>
      <c r="C304" s="55"/>
      <c r="D304" s="54"/>
      <c r="E304" s="55"/>
      <c r="F304" s="62"/>
      <c r="G304" s="57"/>
      <c r="H304" s="58" t="str">
        <f>IFERROR(__xludf.DUMMYFUNCTION("iferror(if(A304="""", ,filter('Playoff IDR Import'!D:D,'Playoff IDR Import'!A:A=A304,'Playoff IDR Import'!C:C=C304)),)"),"")</f>
        <v/>
      </c>
      <c r="I304" s="58"/>
      <c r="J304" s="59" t="str">
        <f t="shared" si="1"/>
        <v/>
      </c>
    </row>
    <row r="305">
      <c r="A305" s="55"/>
      <c r="B305" s="60"/>
      <c r="C305" s="55"/>
      <c r="D305" s="54"/>
      <c r="E305" s="55"/>
      <c r="F305" s="62"/>
      <c r="G305" s="57"/>
      <c r="H305" s="58" t="str">
        <f>IFERROR(__xludf.DUMMYFUNCTION("iferror(if(A305="""", ,filter('Playoff IDR Import'!D:D,'Playoff IDR Import'!A:A=A305,'Playoff IDR Import'!C:C=C305)),)"),"")</f>
        <v/>
      </c>
      <c r="I305" s="58"/>
      <c r="J305" s="59" t="str">
        <f t="shared" si="1"/>
        <v/>
      </c>
    </row>
    <row r="306">
      <c r="A306" s="55"/>
      <c r="B306" s="60"/>
      <c r="C306" s="55"/>
      <c r="D306" s="54"/>
      <c r="E306" s="55"/>
      <c r="F306" s="62"/>
      <c r="G306" s="57"/>
      <c r="H306" s="58" t="str">
        <f>IFERROR(__xludf.DUMMYFUNCTION("iferror(if(A306="""", ,filter('Playoff IDR Import'!D:D,'Playoff IDR Import'!A:A=A306,'Playoff IDR Import'!C:C=C306)),)"),"")</f>
        <v/>
      </c>
      <c r="I306" s="58"/>
      <c r="J306" s="59" t="str">
        <f t="shared" si="1"/>
        <v/>
      </c>
    </row>
    <row r="307">
      <c r="A307" s="55"/>
      <c r="B307" s="60"/>
      <c r="C307" s="55"/>
      <c r="D307" s="54"/>
      <c r="E307" s="55"/>
      <c r="F307" s="62"/>
      <c r="G307" s="57"/>
      <c r="H307" s="58" t="str">
        <f>IFERROR(__xludf.DUMMYFUNCTION("iferror(if(A307="""", ,filter('Playoff IDR Import'!D:D,'Playoff IDR Import'!A:A=A307,'Playoff IDR Import'!C:C=C307)),)"),"")</f>
        <v/>
      </c>
      <c r="I307" s="58"/>
      <c r="J307" s="59" t="str">
        <f t="shared" si="1"/>
        <v/>
      </c>
    </row>
    <row r="308">
      <c r="A308" s="55"/>
      <c r="B308" s="60"/>
      <c r="C308" s="55"/>
      <c r="D308" s="54"/>
      <c r="E308" s="55"/>
      <c r="F308" s="62"/>
      <c r="G308" s="57"/>
      <c r="H308" s="58" t="str">
        <f>IFERROR(__xludf.DUMMYFUNCTION("iferror(if(A308="""", ,filter('Playoff IDR Import'!D:D,'Playoff IDR Import'!A:A=A308,'Playoff IDR Import'!C:C=C308)),)"),"")</f>
        <v/>
      </c>
      <c r="I308" s="58"/>
      <c r="J308" s="59" t="str">
        <f t="shared" si="1"/>
        <v/>
      </c>
    </row>
    <row r="309">
      <c r="A309" s="55"/>
      <c r="B309" s="60"/>
      <c r="C309" s="55"/>
      <c r="D309" s="54"/>
      <c r="E309" s="55"/>
      <c r="F309" s="62"/>
      <c r="G309" s="57"/>
      <c r="H309" s="58" t="str">
        <f>IFERROR(__xludf.DUMMYFUNCTION("iferror(if(A309="""", ,filter('Playoff IDR Import'!D:D,'Playoff IDR Import'!A:A=A309,'Playoff IDR Import'!C:C=C309)),)"),"")</f>
        <v/>
      </c>
      <c r="I309" s="58"/>
      <c r="J309" s="59" t="str">
        <f t="shared" si="1"/>
        <v/>
      </c>
    </row>
    <row r="310">
      <c r="A310" s="55"/>
      <c r="B310" s="60"/>
      <c r="C310" s="55"/>
      <c r="D310" s="54"/>
      <c r="E310" s="55"/>
      <c r="F310" s="62"/>
      <c r="G310" s="57"/>
      <c r="H310" s="58" t="str">
        <f>IFERROR(__xludf.DUMMYFUNCTION("iferror(if(A310="""", ,filter('Playoff IDR Import'!D:D,'Playoff IDR Import'!A:A=A310,'Playoff IDR Import'!C:C=C310)),)"),"")</f>
        <v/>
      </c>
      <c r="I310" s="58"/>
      <c r="J310" s="59" t="str">
        <f t="shared" si="1"/>
        <v/>
      </c>
    </row>
    <row r="311">
      <c r="A311" s="55"/>
      <c r="B311" s="60"/>
      <c r="C311" s="55"/>
      <c r="D311" s="54"/>
      <c r="E311" s="55"/>
      <c r="F311" s="62"/>
      <c r="G311" s="57"/>
      <c r="H311" s="58" t="str">
        <f>IFERROR(__xludf.DUMMYFUNCTION("iferror(if(A311="""", ,filter('Playoff IDR Import'!D:D,'Playoff IDR Import'!A:A=A311,'Playoff IDR Import'!C:C=C311)),)"),"")</f>
        <v/>
      </c>
      <c r="I311" s="58"/>
      <c r="J311" s="59" t="str">
        <f t="shared" si="1"/>
        <v/>
      </c>
    </row>
    <row r="312">
      <c r="A312" s="55"/>
      <c r="B312" s="60"/>
      <c r="C312" s="55"/>
      <c r="D312" s="54"/>
      <c r="E312" s="55"/>
      <c r="F312" s="62"/>
      <c r="G312" s="57"/>
      <c r="H312" s="58" t="str">
        <f>IFERROR(__xludf.DUMMYFUNCTION("iferror(if(A312="""", ,filter('Playoff IDR Import'!D:D,'Playoff IDR Import'!A:A=A312,'Playoff IDR Import'!C:C=C312)),)"),"")</f>
        <v/>
      </c>
      <c r="I312" s="58"/>
      <c r="J312" s="59" t="str">
        <f t="shared" si="1"/>
        <v/>
      </c>
    </row>
    <row r="313">
      <c r="A313" s="55"/>
      <c r="B313" s="60"/>
      <c r="C313" s="55"/>
      <c r="D313" s="54"/>
      <c r="E313" s="55"/>
      <c r="F313" s="62"/>
      <c r="G313" s="57"/>
      <c r="H313" s="58" t="str">
        <f>IFERROR(__xludf.DUMMYFUNCTION("iferror(if(A313="""", ,filter('Playoff IDR Import'!D:D,'Playoff IDR Import'!A:A=A313,'Playoff IDR Import'!C:C=C313)),)"),"")</f>
        <v/>
      </c>
      <c r="I313" s="58"/>
      <c r="J313" s="59" t="str">
        <f t="shared" si="1"/>
        <v/>
      </c>
    </row>
    <row r="314">
      <c r="A314" s="55"/>
      <c r="B314" s="60"/>
      <c r="C314" s="55"/>
      <c r="D314" s="54"/>
      <c r="E314" s="55"/>
      <c r="F314" s="62"/>
      <c r="G314" s="57"/>
      <c r="H314" s="58" t="str">
        <f>IFERROR(__xludf.DUMMYFUNCTION("iferror(if(A314="""", ,filter('Playoff IDR Import'!D:D,'Playoff IDR Import'!A:A=A314,'Playoff IDR Import'!C:C=C314)),)"),"")</f>
        <v/>
      </c>
      <c r="I314" s="58"/>
      <c r="J314" s="59" t="str">
        <f t="shared" si="1"/>
        <v/>
      </c>
    </row>
    <row r="315">
      <c r="A315" s="55"/>
      <c r="B315" s="60"/>
      <c r="C315" s="55"/>
      <c r="D315" s="54"/>
      <c r="E315" s="55"/>
      <c r="F315" s="62"/>
      <c r="G315" s="57"/>
      <c r="H315" s="58" t="str">
        <f>IFERROR(__xludf.DUMMYFUNCTION("iferror(if(A315="""", ,filter('Playoff IDR Import'!D:D,'Playoff IDR Import'!A:A=A315,'Playoff IDR Import'!C:C=C315)),)"),"")</f>
        <v/>
      </c>
      <c r="I315" s="58"/>
      <c r="J315" s="59" t="str">
        <f t="shared" si="1"/>
        <v/>
      </c>
    </row>
    <row r="316">
      <c r="A316" s="55"/>
      <c r="B316" s="60"/>
      <c r="C316" s="55"/>
      <c r="D316" s="54"/>
      <c r="E316" s="55"/>
      <c r="F316" s="62"/>
      <c r="G316" s="57"/>
      <c r="H316" s="58" t="str">
        <f>IFERROR(__xludf.DUMMYFUNCTION("iferror(if(A316="""", ,filter('Playoff IDR Import'!D:D,'Playoff IDR Import'!A:A=A316,'Playoff IDR Import'!C:C=C316)),)"),"")</f>
        <v/>
      </c>
      <c r="I316" s="58"/>
      <c r="J316" s="59" t="str">
        <f t="shared" si="1"/>
        <v/>
      </c>
    </row>
    <row r="317">
      <c r="A317" s="55"/>
      <c r="B317" s="60"/>
      <c r="C317" s="55"/>
      <c r="D317" s="54"/>
      <c r="E317" s="55"/>
      <c r="F317" s="62"/>
      <c r="G317" s="57"/>
      <c r="H317" s="58" t="str">
        <f>IFERROR(__xludf.DUMMYFUNCTION("iferror(if(A317="""", ,filter('Playoff IDR Import'!D:D,'Playoff IDR Import'!A:A=A317,'Playoff IDR Import'!C:C=C317)),)"),"")</f>
        <v/>
      </c>
      <c r="I317" s="58"/>
      <c r="J317" s="59" t="str">
        <f t="shared" si="1"/>
        <v/>
      </c>
    </row>
    <row r="318">
      <c r="A318" s="55"/>
      <c r="B318" s="60"/>
      <c r="C318" s="55"/>
      <c r="D318" s="54"/>
      <c r="E318" s="55"/>
      <c r="F318" s="62"/>
      <c r="G318" s="57"/>
      <c r="H318" s="58" t="str">
        <f>IFERROR(__xludf.DUMMYFUNCTION("iferror(if(A318="""", ,filter('Playoff IDR Import'!D:D,'Playoff IDR Import'!A:A=A318,'Playoff IDR Import'!C:C=C318)),)"),"")</f>
        <v/>
      </c>
      <c r="I318" s="58"/>
      <c r="J318" s="59" t="str">
        <f t="shared" si="1"/>
        <v/>
      </c>
    </row>
    <row r="319">
      <c r="A319" s="55"/>
      <c r="B319" s="60"/>
      <c r="C319" s="55"/>
      <c r="D319" s="54"/>
      <c r="E319" s="55"/>
      <c r="F319" s="62"/>
      <c r="G319" s="57"/>
      <c r="H319" s="58" t="str">
        <f>IFERROR(__xludf.DUMMYFUNCTION("iferror(if(A319="""", ,filter('Playoff IDR Import'!D:D,'Playoff IDR Import'!A:A=A319,'Playoff IDR Import'!C:C=C319)),)"),"")</f>
        <v/>
      </c>
      <c r="I319" s="58"/>
      <c r="J319" s="59" t="str">
        <f t="shared" si="1"/>
        <v/>
      </c>
    </row>
    <row r="320">
      <c r="A320" s="55"/>
      <c r="B320" s="60"/>
      <c r="C320" s="55"/>
      <c r="D320" s="54"/>
      <c r="E320" s="55"/>
      <c r="F320" s="62"/>
      <c r="G320" s="57"/>
      <c r="H320" s="58" t="str">
        <f>IFERROR(__xludf.DUMMYFUNCTION("iferror(if(A320="""", ,filter('Playoff IDR Import'!D:D,'Playoff IDR Import'!A:A=A320,'Playoff IDR Import'!C:C=C320)),)"),"")</f>
        <v/>
      </c>
      <c r="I320" s="58"/>
      <c r="J320" s="59" t="str">
        <f t="shared" si="1"/>
        <v/>
      </c>
    </row>
    <row r="321">
      <c r="A321" s="55"/>
      <c r="B321" s="60"/>
      <c r="C321" s="55"/>
      <c r="D321" s="54"/>
      <c r="E321" s="55"/>
      <c r="F321" s="62"/>
      <c r="G321" s="57"/>
      <c r="H321" s="58" t="str">
        <f>IFERROR(__xludf.DUMMYFUNCTION("iferror(if(A321="""", ,filter('Playoff IDR Import'!D:D,'Playoff IDR Import'!A:A=A321,'Playoff IDR Import'!C:C=C321)),)"),"")</f>
        <v/>
      </c>
      <c r="I321" s="58"/>
      <c r="J321" s="59" t="str">
        <f t="shared" si="1"/>
        <v/>
      </c>
    </row>
    <row r="322">
      <c r="A322" s="55"/>
      <c r="B322" s="60"/>
      <c r="C322" s="55"/>
      <c r="D322" s="54"/>
      <c r="E322" s="55"/>
      <c r="F322" s="62"/>
      <c r="G322" s="57"/>
      <c r="H322" s="58" t="str">
        <f>IFERROR(__xludf.DUMMYFUNCTION("iferror(if(A322="""", ,filter('Playoff IDR Import'!D:D,'Playoff IDR Import'!A:A=A322,'Playoff IDR Import'!C:C=C322)),)"),"")</f>
        <v/>
      </c>
      <c r="I322" s="58"/>
      <c r="J322" s="59" t="str">
        <f t="shared" si="1"/>
        <v/>
      </c>
    </row>
    <row r="323">
      <c r="A323" s="55"/>
      <c r="B323" s="60"/>
      <c r="C323" s="55"/>
      <c r="D323" s="54"/>
      <c r="E323" s="55"/>
      <c r="F323" s="62"/>
      <c r="G323" s="57"/>
      <c r="H323" s="58" t="str">
        <f>IFERROR(__xludf.DUMMYFUNCTION("iferror(if(A323="""", ,filter('Playoff IDR Import'!D:D,'Playoff IDR Import'!A:A=A323,'Playoff IDR Import'!C:C=C323)),)"),"")</f>
        <v/>
      </c>
      <c r="I323" s="58"/>
      <c r="J323" s="59" t="str">
        <f t="shared" si="1"/>
        <v/>
      </c>
    </row>
    <row r="324">
      <c r="A324" s="55"/>
      <c r="B324" s="60"/>
      <c r="C324" s="55"/>
      <c r="D324" s="54"/>
      <c r="E324" s="55"/>
      <c r="F324" s="62"/>
      <c r="G324" s="57"/>
      <c r="H324" s="58" t="str">
        <f>IFERROR(__xludf.DUMMYFUNCTION("iferror(if(A324="""", ,filter('Playoff IDR Import'!D:D,'Playoff IDR Import'!A:A=A324,'Playoff IDR Import'!C:C=C324)),)"),"")</f>
        <v/>
      </c>
      <c r="I324" s="58"/>
      <c r="J324" s="59" t="str">
        <f t="shared" si="1"/>
        <v/>
      </c>
    </row>
    <row r="325">
      <c r="A325" s="55"/>
      <c r="B325" s="60"/>
      <c r="C325" s="55"/>
      <c r="D325" s="54"/>
      <c r="E325" s="55"/>
      <c r="F325" s="62"/>
      <c r="G325" s="57"/>
      <c r="H325" s="58" t="str">
        <f>IFERROR(__xludf.DUMMYFUNCTION("iferror(if(A325="""", ,filter('Playoff IDR Import'!D:D,'Playoff IDR Import'!A:A=A325,'Playoff IDR Import'!C:C=C325)),)"),"")</f>
        <v/>
      </c>
      <c r="I325" s="58"/>
      <c r="J325" s="59" t="str">
        <f t="shared" si="1"/>
        <v/>
      </c>
    </row>
    <row r="326">
      <c r="A326" s="55"/>
      <c r="B326" s="60"/>
      <c r="C326" s="55"/>
      <c r="D326" s="54"/>
      <c r="E326" s="55"/>
      <c r="F326" s="62"/>
      <c r="G326" s="57"/>
      <c r="H326" s="58" t="str">
        <f>IFERROR(__xludf.DUMMYFUNCTION("iferror(if(A326="""", ,filter('Playoff IDR Import'!D:D,'Playoff IDR Import'!A:A=A326,'Playoff IDR Import'!C:C=C326)),)"),"")</f>
        <v/>
      </c>
      <c r="I326" s="58"/>
      <c r="J326" s="59" t="str">
        <f t="shared" si="1"/>
        <v/>
      </c>
    </row>
    <row r="327">
      <c r="A327" s="55"/>
      <c r="B327" s="60"/>
      <c r="C327" s="55"/>
      <c r="D327" s="54"/>
      <c r="E327" s="55"/>
      <c r="F327" s="62"/>
      <c r="G327" s="57"/>
      <c r="H327" s="58" t="str">
        <f>IFERROR(__xludf.DUMMYFUNCTION("iferror(if(A327="""", ,filter('Playoff IDR Import'!D:D,'Playoff IDR Import'!A:A=A327,'Playoff IDR Import'!C:C=C327)),)"),"")</f>
        <v/>
      </c>
      <c r="I327" s="58"/>
      <c r="J327" s="59" t="str">
        <f t="shared" si="1"/>
        <v/>
      </c>
    </row>
    <row r="328">
      <c r="A328" s="55"/>
      <c r="B328" s="60"/>
      <c r="C328" s="55"/>
      <c r="D328" s="54"/>
      <c r="E328" s="55"/>
      <c r="F328" s="62"/>
      <c r="G328" s="57"/>
      <c r="H328" s="58" t="str">
        <f>IFERROR(__xludf.DUMMYFUNCTION("iferror(if(A328="""", ,filter('Playoff IDR Import'!D:D,'Playoff IDR Import'!A:A=A328,'Playoff IDR Import'!C:C=C328)),)"),"")</f>
        <v/>
      </c>
      <c r="I328" s="58"/>
      <c r="J328" s="59" t="str">
        <f t="shared" si="1"/>
        <v/>
      </c>
    </row>
    <row r="329">
      <c r="A329" s="55"/>
      <c r="B329" s="60"/>
      <c r="C329" s="55"/>
      <c r="D329" s="54"/>
      <c r="E329" s="55"/>
      <c r="F329" s="62"/>
      <c r="G329" s="57"/>
      <c r="H329" s="58" t="str">
        <f>IFERROR(__xludf.DUMMYFUNCTION("iferror(if(A329="""", ,filter('Playoff IDR Import'!D:D,'Playoff IDR Import'!A:A=A329,'Playoff IDR Import'!C:C=C329)),)"),"")</f>
        <v/>
      </c>
      <c r="I329" s="58"/>
      <c r="J329" s="59" t="str">
        <f t="shared" si="1"/>
        <v/>
      </c>
    </row>
    <row r="330">
      <c r="A330" s="55"/>
      <c r="B330" s="60"/>
      <c r="C330" s="55"/>
      <c r="D330" s="54"/>
      <c r="E330" s="55"/>
      <c r="F330" s="62"/>
      <c r="G330" s="57"/>
      <c r="H330" s="58" t="str">
        <f>IFERROR(__xludf.DUMMYFUNCTION("iferror(if(A330="""", ,filter('Playoff IDR Import'!D:D,'Playoff IDR Import'!A:A=A330,'Playoff IDR Import'!C:C=C330)),)"),"")</f>
        <v/>
      </c>
      <c r="I330" s="58"/>
      <c r="J330" s="59" t="str">
        <f t="shared" si="1"/>
        <v/>
      </c>
    </row>
    <row r="331">
      <c r="A331" s="55"/>
      <c r="B331" s="60"/>
      <c r="C331" s="55"/>
      <c r="D331" s="54"/>
      <c r="E331" s="55"/>
      <c r="F331" s="62"/>
      <c r="G331" s="57"/>
      <c r="H331" s="58" t="str">
        <f>IFERROR(__xludf.DUMMYFUNCTION("iferror(if(A331="""", ,filter('Playoff IDR Import'!D:D,'Playoff IDR Import'!A:A=A331,'Playoff IDR Import'!C:C=C331)),)"),"")</f>
        <v/>
      </c>
      <c r="I331" s="58"/>
      <c r="J331" s="59" t="str">
        <f t="shared" si="1"/>
        <v/>
      </c>
    </row>
    <row r="332">
      <c r="A332" s="55"/>
      <c r="B332" s="60"/>
      <c r="C332" s="55"/>
      <c r="D332" s="54"/>
      <c r="E332" s="55"/>
      <c r="F332" s="62"/>
      <c r="G332" s="57"/>
      <c r="H332" s="58" t="str">
        <f>IFERROR(__xludf.DUMMYFUNCTION("iferror(if(A332="""", ,filter('Playoff IDR Import'!D:D,'Playoff IDR Import'!A:A=A332,'Playoff IDR Import'!C:C=C332)),)"),"")</f>
        <v/>
      </c>
      <c r="I332" s="58"/>
      <c r="J332" s="59" t="str">
        <f t="shared" si="1"/>
        <v/>
      </c>
    </row>
    <row r="333">
      <c r="A333" s="55"/>
      <c r="B333" s="60"/>
      <c r="C333" s="55"/>
      <c r="D333" s="54"/>
      <c r="E333" s="55"/>
      <c r="F333" s="62"/>
      <c r="G333" s="57"/>
      <c r="H333" s="58" t="str">
        <f>IFERROR(__xludf.DUMMYFUNCTION("iferror(if(A333="""", ,filter('Playoff IDR Import'!D:D,'Playoff IDR Import'!A:A=A333,'Playoff IDR Import'!C:C=C333)),)"),"")</f>
        <v/>
      </c>
      <c r="I333" s="58"/>
      <c r="J333" s="59" t="str">
        <f t="shared" si="1"/>
        <v/>
      </c>
    </row>
    <row r="334">
      <c r="A334" s="55"/>
      <c r="B334" s="60"/>
      <c r="C334" s="55"/>
      <c r="D334" s="54"/>
      <c r="E334" s="55"/>
      <c r="F334" s="62"/>
      <c r="G334" s="57"/>
      <c r="H334" s="58" t="str">
        <f>IFERROR(__xludf.DUMMYFUNCTION("iferror(if(A334="""", ,filter('Playoff IDR Import'!D:D,'Playoff IDR Import'!A:A=A334,'Playoff IDR Import'!C:C=C334)),)"),"")</f>
        <v/>
      </c>
      <c r="I334" s="58"/>
      <c r="J334" s="59" t="str">
        <f t="shared" si="1"/>
        <v/>
      </c>
    </row>
    <row r="335">
      <c r="A335" s="55"/>
      <c r="B335" s="60"/>
      <c r="C335" s="55"/>
      <c r="D335" s="54"/>
      <c r="E335" s="55"/>
      <c r="F335" s="62"/>
      <c r="G335" s="57"/>
      <c r="H335" s="58" t="str">
        <f>IFERROR(__xludf.DUMMYFUNCTION("iferror(if(A335="""", ,filter('Playoff IDR Import'!D:D,'Playoff IDR Import'!A:A=A335,'Playoff IDR Import'!C:C=C335)),)"),"")</f>
        <v/>
      </c>
      <c r="I335" s="58"/>
      <c r="J335" s="59" t="str">
        <f t="shared" si="1"/>
        <v/>
      </c>
    </row>
    <row r="336">
      <c r="A336" s="55"/>
      <c r="B336" s="60"/>
      <c r="C336" s="55"/>
      <c r="D336" s="54"/>
      <c r="E336" s="55"/>
      <c r="F336" s="62"/>
      <c r="G336" s="57"/>
      <c r="H336" s="58" t="str">
        <f>IFERROR(__xludf.DUMMYFUNCTION("iferror(if(A336="""", ,filter('Playoff IDR Import'!D:D,'Playoff IDR Import'!A:A=A336,'Playoff IDR Import'!C:C=C336)),)"),"")</f>
        <v/>
      </c>
      <c r="I336" s="58"/>
      <c r="J336" s="59" t="str">
        <f t="shared" si="1"/>
        <v/>
      </c>
    </row>
    <row r="337">
      <c r="A337" s="55"/>
      <c r="B337" s="60"/>
      <c r="C337" s="55"/>
      <c r="D337" s="54"/>
      <c r="E337" s="55"/>
      <c r="F337" s="62"/>
      <c r="G337" s="57"/>
      <c r="H337" s="58" t="str">
        <f>IFERROR(__xludf.DUMMYFUNCTION("iferror(if(A337="""", ,filter('Playoff IDR Import'!D:D,'Playoff IDR Import'!A:A=A337,'Playoff IDR Import'!C:C=C337)),)"),"")</f>
        <v/>
      </c>
      <c r="I337" s="58"/>
      <c r="J337" s="59" t="str">
        <f t="shared" si="1"/>
        <v/>
      </c>
    </row>
    <row r="338">
      <c r="A338" s="55"/>
      <c r="B338" s="60"/>
      <c r="C338" s="55"/>
      <c r="D338" s="54"/>
      <c r="E338" s="55"/>
      <c r="F338" s="62"/>
      <c r="G338" s="57"/>
      <c r="H338" s="58" t="str">
        <f>IFERROR(__xludf.DUMMYFUNCTION("iferror(if(A338="""", ,filter('Playoff IDR Import'!D:D,'Playoff IDR Import'!A:A=A338,'Playoff IDR Import'!C:C=C338)),)"),"")</f>
        <v/>
      </c>
      <c r="I338" s="58"/>
      <c r="J338" s="59" t="str">
        <f t="shared" si="1"/>
        <v/>
      </c>
    </row>
    <row r="339">
      <c r="A339" s="55"/>
      <c r="B339" s="60"/>
      <c r="C339" s="55"/>
      <c r="D339" s="54"/>
      <c r="E339" s="55"/>
      <c r="F339" s="62"/>
      <c r="G339" s="57"/>
      <c r="H339" s="58" t="str">
        <f>IFERROR(__xludf.DUMMYFUNCTION("iferror(if(A339="""", ,filter('Playoff IDR Import'!D:D,'Playoff IDR Import'!A:A=A339,'Playoff IDR Import'!C:C=C339)),)"),"")</f>
        <v/>
      </c>
      <c r="I339" s="58"/>
      <c r="J339" s="59" t="str">
        <f t="shared" si="1"/>
        <v/>
      </c>
    </row>
    <row r="340">
      <c r="A340" s="55"/>
      <c r="B340" s="60"/>
      <c r="C340" s="55"/>
      <c r="D340" s="54"/>
      <c r="E340" s="55"/>
      <c r="F340" s="62"/>
      <c r="G340" s="57"/>
      <c r="H340" s="58" t="str">
        <f>IFERROR(__xludf.DUMMYFUNCTION("iferror(if(A340="""", ,filter('Playoff IDR Import'!D:D,'Playoff IDR Import'!A:A=A340,'Playoff IDR Import'!C:C=C340)),)"),"")</f>
        <v/>
      </c>
      <c r="I340" s="58"/>
      <c r="J340" s="59" t="str">
        <f t="shared" si="1"/>
        <v/>
      </c>
    </row>
    <row r="341">
      <c r="A341" s="55"/>
      <c r="B341" s="60"/>
      <c r="C341" s="55"/>
      <c r="D341" s="54"/>
      <c r="E341" s="55"/>
      <c r="F341" s="62"/>
      <c r="G341" s="57"/>
      <c r="H341" s="58" t="str">
        <f>IFERROR(__xludf.DUMMYFUNCTION("iferror(if(A341="""", ,filter('Playoff IDR Import'!D:D,'Playoff IDR Import'!A:A=A341,'Playoff IDR Import'!C:C=C341)),)"),"")</f>
        <v/>
      </c>
      <c r="I341" s="58"/>
      <c r="J341" s="59" t="str">
        <f t="shared" si="1"/>
        <v/>
      </c>
    </row>
    <row r="342">
      <c r="A342" s="55"/>
      <c r="B342" s="60"/>
      <c r="C342" s="55"/>
      <c r="D342" s="54"/>
      <c r="E342" s="55"/>
      <c r="F342" s="62"/>
      <c r="G342" s="57"/>
      <c r="H342" s="58" t="str">
        <f>IFERROR(__xludf.DUMMYFUNCTION("iferror(if(A342="""", ,filter('Playoff IDR Import'!D:D,'Playoff IDR Import'!A:A=A342,'Playoff IDR Import'!C:C=C342)),)"),"")</f>
        <v/>
      </c>
      <c r="I342" s="58"/>
      <c r="J342" s="59" t="str">
        <f t="shared" si="1"/>
        <v/>
      </c>
    </row>
    <row r="343">
      <c r="A343" s="55"/>
      <c r="B343" s="60"/>
      <c r="C343" s="55"/>
      <c r="D343" s="54"/>
      <c r="E343" s="55"/>
      <c r="F343" s="62"/>
      <c r="G343" s="57"/>
      <c r="H343" s="58" t="str">
        <f>IFERROR(__xludf.DUMMYFUNCTION("iferror(if(A343="""", ,filter('Playoff IDR Import'!D:D,'Playoff IDR Import'!A:A=A343,'Playoff IDR Import'!C:C=C343)),)"),"")</f>
        <v/>
      </c>
      <c r="I343" s="58"/>
      <c r="J343" s="59" t="str">
        <f t="shared" si="1"/>
        <v/>
      </c>
    </row>
    <row r="344">
      <c r="A344" s="55"/>
      <c r="B344" s="60"/>
      <c r="C344" s="55"/>
      <c r="D344" s="54"/>
      <c r="E344" s="55"/>
      <c r="F344" s="62"/>
      <c r="G344" s="57"/>
      <c r="H344" s="58" t="str">
        <f>IFERROR(__xludf.DUMMYFUNCTION("iferror(if(A344="""", ,filter('Playoff IDR Import'!D:D,'Playoff IDR Import'!A:A=A344,'Playoff IDR Import'!C:C=C344)),)"),"")</f>
        <v/>
      </c>
      <c r="I344" s="58"/>
      <c r="J344" s="59" t="str">
        <f t="shared" si="1"/>
        <v/>
      </c>
    </row>
    <row r="345">
      <c r="A345" s="55"/>
      <c r="B345" s="60"/>
      <c r="C345" s="55"/>
      <c r="D345" s="54"/>
      <c r="E345" s="55"/>
      <c r="F345" s="62"/>
      <c r="G345" s="57"/>
      <c r="H345" s="58" t="str">
        <f>IFERROR(__xludf.DUMMYFUNCTION("iferror(if(A345="""", ,filter('Playoff IDR Import'!D:D,'Playoff IDR Import'!A:A=A345,'Playoff IDR Import'!C:C=C345)),)"),"")</f>
        <v/>
      </c>
      <c r="I345" s="58"/>
      <c r="J345" s="59" t="str">
        <f t="shared" si="1"/>
        <v/>
      </c>
    </row>
    <row r="346">
      <c r="A346" s="55"/>
      <c r="B346" s="60"/>
      <c r="C346" s="55"/>
      <c r="D346" s="54"/>
      <c r="E346" s="55"/>
      <c r="F346" s="62"/>
      <c r="G346" s="57"/>
      <c r="H346" s="58" t="str">
        <f>IFERROR(__xludf.DUMMYFUNCTION("iferror(if(A346="""", ,filter('Playoff IDR Import'!D:D,'Playoff IDR Import'!A:A=A346,'Playoff IDR Import'!C:C=C346)),)"),"")</f>
        <v/>
      </c>
      <c r="I346" s="58"/>
      <c r="J346" s="59" t="str">
        <f t="shared" si="1"/>
        <v/>
      </c>
    </row>
    <row r="347">
      <c r="A347" s="55"/>
      <c r="B347" s="60"/>
      <c r="C347" s="55"/>
      <c r="D347" s="54"/>
      <c r="E347" s="55"/>
      <c r="F347" s="62"/>
      <c r="G347" s="57"/>
      <c r="H347" s="58" t="str">
        <f>IFERROR(__xludf.DUMMYFUNCTION("iferror(if(A347="""", ,filter('Playoff IDR Import'!D:D,'Playoff IDR Import'!A:A=A347,'Playoff IDR Import'!C:C=C347)),)"),"")</f>
        <v/>
      </c>
      <c r="I347" s="58"/>
      <c r="J347" s="59" t="str">
        <f t="shared" si="1"/>
        <v/>
      </c>
    </row>
    <row r="348">
      <c r="A348" s="55"/>
      <c r="B348" s="60"/>
      <c r="C348" s="55"/>
      <c r="D348" s="54"/>
      <c r="E348" s="55"/>
      <c r="F348" s="62"/>
      <c r="G348" s="57"/>
      <c r="H348" s="58" t="str">
        <f>IFERROR(__xludf.DUMMYFUNCTION("iferror(if(A348="""", ,filter('Playoff IDR Import'!D:D,'Playoff IDR Import'!A:A=A348,'Playoff IDR Import'!C:C=C348)),)"),"")</f>
        <v/>
      </c>
      <c r="I348" s="58"/>
      <c r="J348" s="59" t="str">
        <f t="shared" si="1"/>
        <v/>
      </c>
    </row>
    <row r="349">
      <c r="A349" s="55"/>
      <c r="B349" s="60"/>
      <c r="C349" s="55"/>
      <c r="D349" s="54"/>
      <c r="E349" s="55"/>
      <c r="F349" s="62"/>
      <c r="G349" s="57"/>
      <c r="H349" s="58" t="str">
        <f>IFERROR(__xludf.DUMMYFUNCTION("iferror(if(A349="""", ,filter('Playoff IDR Import'!D:D,'Playoff IDR Import'!A:A=A349,'Playoff IDR Import'!C:C=C349)),)"),"")</f>
        <v/>
      </c>
      <c r="I349" s="58"/>
      <c r="J349" s="59" t="str">
        <f t="shared" si="1"/>
        <v/>
      </c>
    </row>
    <row r="350">
      <c r="A350" s="55"/>
      <c r="B350" s="60"/>
      <c r="C350" s="55"/>
      <c r="D350" s="54"/>
      <c r="E350" s="55"/>
      <c r="F350" s="62"/>
      <c r="G350" s="57"/>
      <c r="H350" s="58" t="str">
        <f>IFERROR(__xludf.DUMMYFUNCTION("iferror(if(A350="""", ,filter('Playoff IDR Import'!D:D,'Playoff IDR Import'!A:A=A350,'Playoff IDR Import'!C:C=C350)),)"),"")</f>
        <v/>
      </c>
      <c r="I350" s="58"/>
      <c r="J350" s="59" t="str">
        <f t="shared" si="1"/>
        <v/>
      </c>
    </row>
    <row r="351">
      <c r="A351" s="55"/>
      <c r="B351" s="60"/>
      <c r="C351" s="55"/>
      <c r="D351" s="54"/>
      <c r="E351" s="55"/>
      <c r="F351" s="62"/>
      <c r="G351" s="57"/>
      <c r="H351" s="58" t="str">
        <f>IFERROR(__xludf.DUMMYFUNCTION("iferror(if(A351="""", ,filter('Playoff IDR Import'!D:D,'Playoff IDR Import'!A:A=A351,'Playoff IDR Import'!C:C=C351)),)"),"")</f>
        <v/>
      </c>
      <c r="I351" s="58"/>
      <c r="J351" s="59" t="str">
        <f t="shared" si="1"/>
        <v/>
      </c>
    </row>
    <row r="352">
      <c r="A352" s="55"/>
      <c r="B352" s="60"/>
      <c r="C352" s="55"/>
      <c r="D352" s="54"/>
      <c r="E352" s="55"/>
      <c r="F352" s="62"/>
      <c r="G352" s="57"/>
      <c r="H352" s="58" t="str">
        <f>IFERROR(__xludf.DUMMYFUNCTION("iferror(if(A352="""", ,filter('Playoff IDR Import'!D:D,'Playoff IDR Import'!A:A=A352,'Playoff IDR Import'!C:C=C352)),)"),"")</f>
        <v/>
      </c>
      <c r="I352" s="58"/>
      <c r="J352" s="59" t="str">
        <f t="shared" si="1"/>
        <v/>
      </c>
    </row>
    <row r="353">
      <c r="A353" s="55"/>
      <c r="B353" s="60"/>
      <c r="C353" s="55"/>
      <c r="D353" s="54"/>
      <c r="E353" s="55"/>
      <c r="F353" s="62"/>
      <c r="G353" s="57"/>
      <c r="H353" s="58" t="str">
        <f>IFERROR(__xludf.DUMMYFUNCTION("iferror(if(A353="""", ,filter('Playoff IDR Import'!D:D,'Playoff IDR Import'!A:A=A353,'Playoff IDR Import'!C:C=C353)),)"),"")</f>
        <v/>
      </c>
      <c r="I353" s="58"/>
      <c r="J353" s="59" t="str">
        <f t="shared" si="1"/>
        <v/>
      </c>
    </row>
    <row r="354">
      <c r="A354" s="55"/>
      <c r="B354" s="60"/>
      <c r="C354" s="55"/>
      <c r="D354" s="54"/>
      <c r="E354" s="55"/>
      <c r="F354" s="62"/>
      <c r="G354" s="57"/>
      <c r="H354" s="58" t="str">
        <f>IFERROR(__xludf.DUMMYFUNCTION("iferror(if(A354="""", ,filter('Playoff IDR Import'!D:D,'Playoff IDR Import'!A:A=A354,'Playoff IDR Import'!C:C=C354)),)"),"")</f>
        <v/>
      </c>
      <c r="I354" s="58"/>
      <c r="J354" s="59" t="str">
        <f t="shared" si="1"/>
        <v/>
      </c>
    </row>
    <row r="355">
      <c r="A355" s="55"/>
      <c r="B355" s="60"/>
      <c r="C355" s="55"/>
      <c r="D355" s="54"/>
      <c r="E355" s="55"/>
      <c r="F355" s="62"/>
      <c r="G355" s="57"/>
      <c r="H355" s="58" t="str">
        <f>IFERROR(__xludf.DUMMYFUNCTION("iferror(if(A355="""", ,filter('Playoff IDR Import'!D:D,'Playoff IDR Import'!A:A=A355,'Playoff IDR Import'!C:C=C355)),)"),"")</f>
        <v/>
      </c>
      <c r="I355" s="58"/>
      <c r="J355" s="59" t="str">
        <f t="shared" si="1"/>
        <v/>
      </c>
    </row>
    <row r="356">
      <c r="A356" s="55"/>
      <c r="B356" s="60"/>
      <c r="C356" s="55"/>
      <c r="D356" s="54"/>
      <c r="E356" s="55"/>
      <c r="F356" s="62"/>
      <c r="G356" s="57"/>
      <c r="H356" s="58" t="str">
        <f>IFERROR(__xludf.DUMMYFUNCTION("iferror(if(A356="""", ,filter('Playoff IDR Import'!D:D,'Playoff IDR Import'!A:A=A356,'Playoff IDR Import'!C:C=C356)),)"),"")</f>
        <v/>
      </c>
      <c r="I356" s="58"/>
      <c r="J356" s="59" t="str">
        <f t="shared" si="1"/>
        <v/>
      </c>
    </row>
    <row r="357">
      <c r="A357" s="55"/>
      <c r="B357" s="60"/>
      <c r="C357" s="55"/>
      <c r="D357" s="54"/>
      <c r="E357" s="55"/>
      <c r="F357" s="62"/>
      <c r="G357" s="57"/>
      <c r="H357" s="58" t="str">
        <f>IFERROR(__xludf.DUMMYFUNCTION("iferror(if(A357="""", ,filter('Playoff IDR Import'!D:D,'Playoff IDR Import'!A:A=A357,'Playoff IDR Import'!C:C=C357)),)"),"")</f>
        <v/>
      </c>
      <c r="I357" s="58"/>
      <c r="J357" s="59" t="str">
        <f t="shared" si="1"/>
        <v/>
      </c>
    </row>
    <row r="358">
      <c r="A358" s="55"/>
      <c r="B358" s="60"/>
      <c r="C358" s="55"/>
      <c r="D358" s="54"/>
      <c r="E358" s="55"/>
      <c r="F358" s="62"/>
      <c r="G358" s="57"/>
      <c r="H358" s="58" t="str">
        <f>IFERROR(__xludf.DUMMYFUNCTION("iferror(if(A358="""", ,filter('Playoff IDR Import'!D:D,'Playoff IDR Import'!A:A=A358,'Playoff IDR Import'!C:C=C358)),)"),"")</f>
        <v/>
      </c>
      <c r="I358" s="58"/>
      <c r="J358" s="59" t="str">
        <f t="shared" si="1"/>
        <v/>
      </c>
    </row>
    <row r="359">
      <c r="A359" s="55"/>
      <c r="B359" s="60"/>
      <c r="C359" s="55"/>
      <c r="D359" s="54"/>
      <c r="E359" s="55"/>
      <c r="F359" s="62"/>
      <c r="G359" s="57"/>
      <c r="H359" s="58" t="str">
        <f>IFERROR(__xludf.DUMMYFUNCTION("iferror(if(A359="""", ,filter('Playoff IDR Import'!D:D,'Playoff IDR Import'!A:A=A359,'Playoff IDR Import'!C:C=C359)),)"),"")</f>
        <v/>
      </c>
      <c r="I359" s="58"/>
      <c r="J359" s="59" t="str">
        <f t="shared" si="1"/>
        <v/>
      </c>
    </row>
    <row r="360">
      <c r="A360" s="55"/>
      <c r="B360" s="60"/>
      <c r="C360" s="55"/>
      <c r="D360" s="54"/>
      <c r="E360" s="55"/>
      <c r="F360" s="62"/>
      <c r="G360" s="57"/>
      <c r="H360" s="58" t="str">
        <f>IFERROR(__xludf.DUMMYFUNCTION("iferror(if(A360="""", ,filter('Playoff IDR Import'!D:D,'Playoff IDR Import'!A:A=A360,'Playoff IDR Import'!C:C=C360)),)"),"")</f>
        <v/>
      </c>
      <c r="I360" s="58"/>
      <c r="J360" s="59" t="str">
        <f t="shared" si="1"/>
        <v/>
      </c>
    </row>
    <row r="361">
      <c r="A361" s="55"/>
      <c r="B361" s="60"/>
      <c r="C361" s="55"/>
      <c r="D361" s="54"/>
      <c r="E361" s="55"/>
      <c r="F361" s="62"/>
      <c r="G361" s="57"/>
      <c r="H361" s="58" t="str">
        <f>IFERROR(__xludf.DUMMYFUNCTION("iferror(if(A361="""", ,filter('Playoff IDR Import'!D:D,'Playoff IDR Import'!A:A=A361,'Playoff IDR Import'!C:C=C361)),)"),"")</f>
        <v/>
      </c>
      <c r="I361" s="58"/>
      <c r="J361" s="59" t="str">
        <f t="shared" si="1"/>
        <v/>
      </c>
    </row>
    <row r="362">
      <c r="A362" s="55"/>
      <c r="B362" s="60"/>
      <c r="C362" s="55"/>
      <c r="D362" s="54"/>
      <c r="E362" s="55"/>
      <c r="F362" s="62"/>
      <c r="G362" s="57"/>
      <c r="H362" s="58" t="str">
        <f>IFERROR(__xludf.DUMMYFUNCTION("iferror(if(A362="""", ,filter('Playoff IDR Import'!D:D,'Playoff IDR Import'!A:A=A362,'Playoff IDR Import'!C:C=C362)),)"),"")</f>
        <v/>
      </c>
      <c r="I362" s="58"/>
      <c r="J362" s="59" t="str">
        <f t="shared" si="1"/>
        <v/>
      </c>
    </row>
    <row r="363">
      <c r="A363" s="55"/>
      <c r="B363" s="60"/>
      <c r="C363" s="55"/>
      <c r="D363" s="54"/>
      <c r="E363" s="55"/>
      <c r="F363" s="62"/>
      <c r="G363" s="57"/>
      <c r="H363" s="58" t="str">
        <f>IFERROR(__xludf.DUMMYFUNCTION("iferror(if(A363="""", ,filter('Playoff IDR Import'!D:D,'Playoff IDR Import'!A:A=A363,'Playoff IDR Import'!C:C=C363)),)"),"")</f>
        <v/>
      </c>
      <c r="I363" s="58"/>
      <c r="J363" s="59" t="str">
        <f t="shared" si="1"/>
        <v/>
      </c>
    </row>
    <row r="364">
      <c r="A364" s="55"/>
      <c r="B364" s="60"/>
      <c r="C364" s="55"/>
      <c r="D364" s="54"/>
      <c r="E364" s="55"/>
      <c r="F364" s="62"/>
      <c r="G364" s="57"/>
      <c r="H364" s="58" t="str">
        <f>IFERROR(__xludf.DUMMYFUNCTION("iferror(if(A364="""", ,filter('Playoff IDR Import'!D:D,'Playoff IDR Import'!A:A=A364,'Playoff IDR Import'!C:C=C364)),)"),"")</f>
        <v/>
      </c>
      <c r="I364" s="58"/>
      <c r="J364" s="59" t="str">
        <f t="shared" si="1"/>
        <v/>
      </c>
    </row>
    <row r="365">
      <c r="A365" s="55"/>
      <c r="B365" s="60"/>
      <c r="C365" s="55"/>
      <c r="D365" s="54"/>
      <c r="E365" s="55"/>
      <c r="F365" s="62"/>
      <c r="G365" s="57"/>
      <c r="H365" s="58" t="str">
        <f>IFERROR(__xludf.DUMMYFUNCTION("iferror(if(A365="""", ,filter('Playoff IDR Import'!D:D,'Playoff IDR Import'!A:A=A365,'Playoff IDR Import'!C:C=C365)),)"),"")</f>
        <v/>
      </c>
      <c r="I365" s="58"/>
      <c r="J365" s="59" t="str">
        <f t="shared" si="1"/>
        <v/>
      </c>
    </row>
    <row r="366">
      <c r="A366" s="55"/>
      <c r="B366" s="60"/>
      <c r="C366" s="55"/>
      <c r="D366" s="54"/>
      <c r="E366" s="55"/>
      <c r="F366" s="62"/>
      <c r="G366" s="57"/>
      <c r="H366" s="58" t="str">
        <f>IFERROR(__xludf.DUMMYFUNCTION("iferror(if(A366="""", ,filter('Playoff IDR Import'!D:D,'Playoff IDR Import'!A:A=A366,'Playoff IDR Import'!C:C=C366)),)"),"")</f>
        <v/>
      </c>
      <c r="I366" s="58"/>
      <c r="J366" s="59" t="str">
        <f t="shared" si="1"/>
        <v/>
      </c>
    </row>
    <row r="367">
      <c r="A367" s="55"/>
      <c r="B367" s="60"/>
      <c r="C367" s="55"/>
      <c r="D367" s="54"/>
      <c r="E367" s="55"/>
      <c r="F367" s="62"/>
      <c r="G367" s="57"/>
      <c r="H367" s="58" t="str">
        <f>IFERROR(__xludf.DUMMYFUNCTION("iferror(if(A367="""", ,filter('Playoff IDR Import'!D:D,'Playoff IDR Import'!A:A=A367,'Playoff IDR Import'!C:C=C367)),)"),"")</f>
        <v/>
      </c>
      <c r="I367" s="58"/>
      <c r="J367" s="59" t="str">
        <f t="shared" si="1"/>
        <v/>
      </c>
    </row>
    <row r="368">
      <c r="A368" s="55"/>
      <c r="B368" s="60"/>
      <c r="C368" s="55"/>
      <c r="D368" s="54"/>
      <c r="E368" s="55"/>
      <c r="F368" s="62"/>
      <c r="G368" s="57"/>
      <c r="H368" s="58" t="str">
        <f>IFERROR(__xludf.DUMMYFUNCTION("iferror(if(A368="""", ,filter('Playoff IDR Import'!D:D,'Playoff IDR Import'!A:A=A368,'Playoff IDR Import'!C:C=C368)),)"),"")</f>
        <v/>
      </c>
      <c r="I368" s="58"/>
      <c r="J368" s="59" t="str">
        <f t="shared" si="1"/>
        <v/>
      </c>
    </row>
    <row r="369">
      <c r="A369" s="55"/>
      <c r="B369" s="60"/>
      <c r="C369" s="55"/>
      <c r="D369" s="54"/>
      <c r="E369" s="55"/>
      <c r="F369" s="62"/>
      <c r="G369" s="57"/>
      <c r="H369" s="58" t="str">
        <f>IFERROR(__xludf.DUMMYFUNCTION("iferror(if(A369="""", ,filter('Playoff IDR Import'!D:D,'Playoff IDR Import'!A:A=A369,'Playoff IDR Import'!C:C=C369)),)"),"")</f>
        <v/>
      </c>
      <c r="I369" s="58"/>
      <c r="J369" s="59" t="str">
        <f t="shared" si="1"/>
        <v/>
      </c>
    </row>
    <row r="370">
      <c r="A370" s="55"/>
      <c r="B370" s="60"/>
      <c r="C370" s="55"/>
      <c r="D370" s="54"/>
      <c r="E370" s="55"/>
      <c r="F370" s="62"/>
      <c r="G370" s="57"/>
      <c r="H370" s="58" t="str">
        <f>IFERROR(__xludf.DUMMYFUNCTION("iferror(if(A370="""", ,filter('Playoff IDR Import'!D:D,'Playoff IDR Import'!A:A=A370,'Playoff IDR Import'!C:C=C370)),)"),"")</f>
        <v/>
      </c>
      <c r="I370" s="58"/>
      <c r="J370" s="59" t="str">
        <f t="shared" si="1"/>
        <v/>
      </c>
    </row>
    <row r="371">
      <c r="A371" s="55"/>
      <c r="B371" s="60"/>
      <c r="C371" s="55"/>
      <c r="D371" s="54"/>
      <c r="E371" s="55"/>
      <c r="F371" s="62"/>
      <c r="G371" s="57"/>
      <c r="H371" s="58" t="str">
        <f>IFERROR(__xludf.DUMMYFUNCTION("iferror(if(A371="""", ,filter('Playoff IDR Import'!D:D,'Playoff IDR Import'!A:A=A371,'Playoff IDR Import'!C:C=C371)),)"),"")</f>
        <v/>
      </c>
      <c r="I371" s="58"/>
      <c r="J371" s="59" t="str">
        <f t="shared" si="1"/>
        <v/>
      </c>
    </row>
    <row r="372">
      <c r="A372" s="55"/>
      <c r="B372" s="60"/>
      <c r="C372" s="55"/>
      <c r="D372" s="54"/>
      <c r="E372" s="55"/>
      <c r="F372" s="62"/>
      <c r="G372" s="57"/>
      <c r="H372" s="58" t="str">
        <f>IFERROR(__xludf.DUMMYFUNCTION("iferror(if(A372="""", ,filter('Playoff IDR Import'!D:D,'Playoff IDR Import'!A:A=A372,'Playoff IDR Import'!C:C=C372)),)"),"")</f>
        <v/>
      </c>
      <c r="I372" s="58"/>
      <c r="J372" s="59" t="str">
        <f t="shared" si="1"/>
        <v/>
      </c>
    </row>
    <row r="373">
      <c r="A373" s="55"/>
      <c r="B373" s="60"/>
      <c r="C373" s="55"/>
      <c r="D373" s="54"/>
      <c r="E373" s="55"/>
      <c r="F373" s="62"/>
      <c r="G373" s="57"/>
      <c r="H373" s="58" t="str">
        <f>IFERROR(__xludf.DUMMYFUNCTION("iferror(if(A373="""", ,filter('Playoff IDR Import'!D:D,'Playoff IDR Import'!A:A=A373,'Playoff IDR Import'!C:C=C373)),)"),"")</f>
        <v/>
      </c>
      <c r="I373" s="58"/>
      <c r="J373" s="59" t="str">
        <f t="shared" si="1"/>
        <v/>
      </c>
    </row>
    <row r="374">
      <c r="A374" s="55"/>
      <c r="B374" s="60"/>
      <c r="C374" s="55"/>
      <c r="D374" s="54"/>
      <c r="E374" s="55"/>
      <c r="F374" s="62"/>
      <c r="G374" s="57"/>
      <c r="H374" s="58" t="str">
        <f>IFERROR(__xludf.DUMMYFUNCTION("iferror(if(A374="""", ,filter('Playoff IDR Import'!D:D,'Playoff IDR Import'!A:A=A374,'Playoff IDR Import'!C:C=C374)),)"),"")</f>
        <v/>
      </c>
      <c r="I374" s="58"/>
      <c r="J374" s="59" t="str">
        <f t="shared" si="1"/>
        <v/>
      </c>
    </row>
    <row r="375">
      <c r="A375" s="55"/>
      <c r="B375" s="60"/>
      <c r="C375" s="55"/>
      <c r="D375" s="54"/>
      <c r="E375" s="55"/>
      <c r="F375" s="62"/>
      <c r="G375" s="57"/>
      <c r="H375" s="58" t="str">
        <f>IFERROR(__xludf.DUMMYFUNCTION("iferror(if(A375="""", ,filter('Playoff IDR Import'!D:D,'Playoff IDR Import'!A:A=A375,'Playoff IDR Import'!C:C=C375)),)"),"")</f>
        <v/>
      </c>
      <c r="I375" s="58"/>
      <c r="J375" s="59" t="str">
        <f t="shared" si="1"/>
        <v/>
      </c>
    </row>
    <row r="376">
      <c r="A376" s="55"/>
      <c r="B376" s="60"/>
      <c r="C376" s="55"/>
      <c r="D376" s="54"/>
      <c r="E376" s="55"/>
      <c r="F376" s="62"/>
      <c r="G376" s="57"/>
      <c r="H376" s="58" t="str">
        <f>IFERROR(__xludf.DUMMYFUNCTION("iferror(if(A376="""", ,filter('Playoff IDR Import'!D:D,'Playoff IDR Import'!A:A=A376,'Playoff IDR Import'!C:C=C376)),)"),"")</f>
        <v/>
      </c>
      <c r="I376" s="58"/>
      <c r="J376" s="59" t="str">
        <f t="shared" si="1"/>
        <v/>
      </c>
    </row>
    <row r="377">
      <c r="A377" s="55"/>
      <c r="B377" s="60"/>
      <c r="C377" s="55"/>
      <c r="D377" s="54"/>
      <c r="E377" s="55"/>
      <c r="F377" s="62"/>
      <c r="G377" s="57"/>
      <c r="H377" s="58" t="str">
        <f>IFERROR(__xludf.DUMMYFUNCTION("iferror(if(A377="""", ,filter('Playoff IDR Import'!D:D,'Playoff IDR Import'!A:A=A377,'Playoff IDR Import'!C:C=C377)),)"),"")</f>
        <v/>
      </c>
      <c r="I377" s="58"/>
      <c r="J377" s="59" t="str">
        <f t="shared" si="1"/>
        <v/>
      </c>
    </row>
    <row r="378">
      <c r="A378" s="55"/>
      <c r="B378" s="60"/>
      <c r="C378" s="55"/>
      <c r="D378" s="54"/>
      <c r="E378" s="55"/>
      <c r="F378" s="62"/>
      <c r="G378" s="57"/>
      <c r="H378" s="58" t="str">
        <f>IFERROR(__xludf.DUMMYFUNCTION("iferror(if(A378="""", ,filter('Playoff IDR Import'!D:D,'Playoff IDR Import'!A:A=A378,'Playoff IDR Import'!C:C=C378)),)"),"")</f>
        <v/>
      </c>
      <c r="I378" s="58"/>
      <c r="J378" s="59" t="str">
        <f t="shared" si="1"/>
        <v/>
      </c>
    </row>
    <row r="379">
      <c r="A379" s="55"/>
      <c r="B379" s="60"/>
      <c r="C379" s="55"/>
      <c r="D379" s="54"/>
      <c r="E379" s="55"/>
      <c r="F379" s="62"/>
      <c r="G379" s="57"/>
      <c r="H379" s="58" t="str">
        <f>IFERROR(__xludf.DUMMYFUNCTION("iferror(if(A379="""", ,filter('Playoff IDR Import'!D:D,'Playoff IDR Import'!A:A=A379,'Playoff IDR Import'!C:C=C379)),)"),"")</f>
        <v/>
      </c>
      <c r="I379" s="58"/>
      <c r="J379" s="59" t="str">
        <f t="shared" si="1"/>
        <v/>
      </c>
    </row>
    <row r="380">
      <c r="A380" s="55"/>
      <c r="B380" s="60"/>
      <c r="C380" s="55"/>
      <c r="D380" s="54"/>
      <c r="E380" s="55"/>
      <c r="F380" s="62"/>
      <c r="G380" s="57"/>
      <c r="H380" s="58" t="str">
        <f>IFERROR(__xludf.DUMMYFUNCTION("iferror(if(A380="""", ,filter('Playoff IDR Import'!D:D,'Playoff IDR Import'!A:A=A380,'Playoff IDR Import'!C:C=C380)),)"),"")</f>
        <v/>
      </c>
      <c r="I380" s="58"/>
      <c r="J380" s="59" t="str">
        <f t="shared" si="1"/>
        <v/>
      </c>
    </row>
    <row r="381">
      <c r="A381" s="55"/>
      <c r="B381" s="60"/>
      <c r="C381" s="55"/>
      <c r="D381" s="54"/>
      <c r="E381" s="55"/>
      <c r="F381" s="62"/>
      <c r="G381" s="57"/>
      <c r="H381" s="58" t="str">
        <f>IFERROR(__xludf.DUMMYFUNCTION("iferror(if(A381="""", ,filter('Playoff IDR Import'!D:D,'Playoff IDR Import'!A:A=A381,'Playoff IDR Import'!C:C=C381)),)"),"")</f>
        <v/>
      </c>
      <c r="I381" s="58"/>
      <c r="J381" s="59" t="str">
        <f t="shared" si="1"/>
        <v/>
      </c>
    </row>
    <row r="382">
      <c r="A382" s="55"/>
      <c r="B382" s="60"/>
      <c r="C382" s="55"/>
      <c r="D382" s="54"/>
      <c r="E382" s="55"/>
      <c r="F382" s="62"/>
      <c r="G382" s="57"/>
      <c r="H382" s="58" t="str">
        <f>IFERROR(__xludf.DUMMYFUNCTION("iferror(if(A382="""", ,filter('Playoff IDR Import'!D:D,'Playoff IDR Import'!A:A=A382,'Playoff IDR Import'!C:C=C382)),)"),"")</f>
        <v/>
      </c>
      <c r="I382" s="58"/>
      <c r="J382" s="59" t="str">
        <f t="shared" si="1"/>
        <v/>
      </c>
    </row>
    <row r="383">
      <c r="A383" s="55"/>
      <c r="B383" s="60"/>
      <c r="C383" s="55"/>
      <c r="D383" s="54"/>
      <c r="E383" s="55"/>
      <c r="F383" s="62"/>
      <c r="G383" s="57"/>
      <c r="H383" s="58" t="str">
        <f>IFERROR(__xludf.DUMMYFUNCTION("iferror(if(A383="""", ,filter('Playoff IDR Import'!D:D,'Playoff IDR Import'!A:A=A383,'Playoff IDR Import'!C:C=C383)),)"),"")</f>
        <v/>
      </c>
      <c r="I383" s="58"/>
      <c r="J383" s="59" t="str">
        <f t="shared" si="1"/>
        <v/>
      </c>
    </row>
    <row r="384">
      <c r="A384" s="55"/>
      <c r="B384" s="60"/>
      <c r="C384" s="55"/>
      <c r="D384" s="54"/>
      <c r="E384" s="55"/>
      <c r="F384" s="62"/>
      <c r="G384" s="57"/>
      <c r="H384" s="58" t="str">
        <f>IFERROR(__xludf.DUMMYFUNCTION("iferror(if(A384="""", ,filter('Playoff IDR Import'!D:D,'Playoff IDR Import'!A:A=A384,'Playoff IDR Import'!C:C=C384)),)"),"")</f>
        <v/>
      </c>
      <c r="I384" s="58"/>
      <c r="J384" s="59" t="str">
        <f t="shared" si="1"/>
        <v/>
      </c>
    </row>
    <row r="385">
      <c r="A385" s="55"/>
      <c r="B385" s="60"/>
      <c r="C385" s="55"/>
      <c r="D385" s="54"/>
      <c r="E385" s="55"/>
      <c r="F385" s="62"/>
      <c r="G385" s="57"/>
      <c r="H385" s="58" t="str">
        <f>IFERROR(__xludf.DUMMYFUNCTION("iferror(if(A385="""", ,filter('Playoff IDR Import'!D:D,'Playoff IDR Import'!A:A=A385,'Playoff IDR Import'!C:C=C385)),)"),"")</f>
        <v/>
      </c>
      <c r="I385" s="58"/>
      <c r="J385" s="59" t="str">
        <f t="shared" si="1"/>
        <v/>
      </c>
    </row>
    <row r="386">
      <c r="A386" s="55"/>
      <c r="B386" s="60"/>
      <c r="C386" s="55"/>
      <c r="D386" s="54"/>
      <c r="E386" s="55"/>
      <c r="F386" s="62"/>
      <c r="G386" s="57"/>
      <c r="H386" s="58" t="str">
        <f>IFERROR(__xludf.DUMMYFUNCTION("iferror(if(A386="""", ,filter('Playoff IDR Import'!D:D,'Playoff IDR Import'!A:A=A386,'Playoff IDR Import'!C:C=C386)),)"),"")</f>
        <v/>
      </c>
      <c r="I386" s="58"/>
      <c r="J386" s="59" t="str">
        <f t="shared" si="1"/>
        <v/>
      </c>
    </row>
    <row r="387">
      <c r="A387" s="55"/>
      <c r="B387" s="60"/>
      <c r="C387" s="55"/>
      <c r="D387" s="54"/>
      <c r="E387" s="55"/>
      <c r="F387" s="62"/>
      <c r="G387" s="57"/>
      <c r="H387" s="58" t="str">
        <f>IFERROR(__xludf.DUMMYFUNCTION("iferror(if(A387="""", ,filter('Playoff IDR Import'!D:D,'Playoff IDR Import'!A:A=A387,'Playoff IDR Import'!C:C=C387)),)"),"")</f>
        <v/>
      </c>
      <c r="I387" s="58"/>
      <c r="J387" s="59" t="str">
        <f t="shared" si="1"/>
        <v/>
      </c>
    </row>
    <row r="388">
      <c r="A388" s="55"/>
      <c r="B388" s="60"/>
      <c r="C388" s="55"/>
      <c r="D388" s="54"/>
      <c r="E388" s="55"/>
      <c r="F388" s="62"/>
      <c r="G388" s="57"/>
      <c r="H388" s="58" t="str">
        <f>IFERROR(__xludf.DUMMYFUNCTION("iferror(if(A388="""", ,filter('Playoff IDR Import'!D:D,'Playoff IDR Import'!A:A=A388,'Playoff IDR Import'!C:C=C388)),)"),"")</f>
        <v/>
      </c>
      <c r="I388" s="58"/>
      <c r="J388" s="59" t="str">
        <f t="shared" si="1"/>
        <v/>
      </c>
    </row>
    <row r="389">
      <c r="A389" s="55"/>
      <c r="B389" s="60"/>
      <c r="C389" s="55"/>
      <c r="D389" s="54"/>
      <c r="E389" s="55"/>
      <c r="F389" s="62"/>
      <c r="G389" s="57"/>
      <c r="H389" s="58" t="str">
        <f>IFERROR(__xludf.DUMMYFUNCTION("iferror(if(A389="""", ,filter('Playoff IDR Import'!D:D,'Playoff IDR Import'!A:A=A389,'Playoff IDR Import'!C:C=C389)),)"),"")</f>
        <v/>
      </c>
      <c r="I389" s="58"/>
      <c r="J389" s="59" t="str">
        <f t="shared" si="1"/>
        <v/>
      </c>
    </row>
    <row r="390">
      <c r="A390" s="55"/>
      <c r="B390" s="60"/>
      <c r="C390" s="55"/>
      <c r="D390" s="54"/>
      <c r="E390" s="55"/>
      <c r="F390" s="62"/>
      <c r="G390" s="57"/>
      <c r="H390" s="58" t="str">
        <f>IFERROR(__xludf.DUMMYFUNCTION("iferror(if(A390="""", ,filter('Playoff IDR Import'!D:D,'Playoff IDR Import'!A:A=A390,'Playoff IDR Import'!C:C=C390)),)"),"")</f>
        <v/>
      </c>
      <c r="I390" s="58"/>
      <c r="J390" s="59" t="str">
        <f t="shared" si="1"/>
        <v/>
      </c>
    </row>
    <row r="391">
      <c r="A391" s="55"/>
      <c r="B391" s="60"/>
      <c r="C391" s="55"/>
      <c r="D391" s="54"/>
      <c r="E391" s="55"/>
      <c r="F391" s="62"/>
      <c r="G391" s="57"/>
      <c r="H391" s="58" t="str">
        <f>IFERROR(__xludf.DUMMYFUNCTION("iferror(if(A391="""", ,filter('Playoff IDR Import'!D:D,'Playoff IDR Import'!A:A=A391,'Playoff IDR Import'!C:C=C391)),)"),"")</f>
        <v/>
      </c>
      <c r="I391" s="58"/>
      <c r="J391" s="59" t="str">
        <f t="shared" si="1"/>
        <v/>
      </c>
    </row>
    <row r="392">
      <c r="A392" s="55"/>
      <c r="B392" s="60"/>
      <c r="C392" s="55"/>
      <c r="D392" s="54"/>
      <c r="E392" s="55"/>
      <c r="F392" s="62"/>
      <c r="G392" s="57"/>
      <c r="H392" s="58" t="str">
        <f>IFERROR(__xludf.DUMMYFUNCTION("iferror(if(A392="""", ,filter('Playoff IDR Import'!D:D,'Playoff IDR Import'!A:A=A392,'Playoff IDR Import'!C:C=C392)),)"),"")</f>
        <v/>
      </c>
      <c r="I392" s="58"/>
      <c r="J392" s="59" t="str">
        <f t="shared" si="1"/>
        <v/>
      </c>
    </row>
    <row r="393">
      <c r="A393" s="55"/>
      <c r="B393" s="60"/>
      <c r="C393" s="55"/>
      <c r="D393" s="54"/>
      <c r="E393" s="55"/>
      <c r="F393" s="62"/>
      <c r="G393" s="57"/>
      <c r="H393" s="58" t="str">
        <f>IFERROR(__xludf.DUMMYFUNCTION("iferror(if(A393="""", ,filter('Playoff IDR Import'!D:D,'Playoff IDR Import'!A:A=A393,'Playoff IDR Import'!C:C=C393)),)"),"")</f>
        <v/>
      </c>
      <c r="I393" s="58"/>
      <c r="J393" s="59" t="str">
        <f t="shared" si="1"/>
        <v/>
      </c>
    </row>
    <row r="394">
      <c r="A394" s="55"/>
      <c r="B394" s="60"/>
      <c r="C394" s="55"/>
      <c r="D394" s="54"/>
      <c r="E394" s="55"/>
      <c r="F394" s="62"/>
      <c r="G394" s="57"/>
      <c r="H394" s="58" t="str">
        <f>IFERROR(__xludf.DUMMYFUNCTION("iferror(if(A394="""", ,filter('Playoff IDR Import'!D:D,'Playoff IDR Import'!A:A=A394,'Playoff IDR Import'!C:C=C394)),)"),"")</f>
        <v/>
      </c>
      <c r="I394" s="58"/>
      <c r="J394" s="59" t="str">
        <f t="shared" si="1"/>
        <v/>
      </c>
    </row>
    <row r="395">
      <c r="A395" s="55"/>
      <c r="B395" s="60"/>
      <c r="C395" s="55"/>
      <c r="D395" s="54"/>
      <c r="E395" s="55"/>
      <c r="F395" s="62"/>
      <c r="G395" s="57"/>
      <c r="H395" s="58" t="str">
        <f>IFERROR(__xludf.DUMMYFUNCTION("iferror(if(A395="""", ,filter('Playoff IDR Import'!D:D,'Playoff IDR Import'!A:A=A395,'Playoff IDR Import'!C:C=C395)),)"),"")</f>
        <v/>
      </c>
      <c r="I395" s="58"/>
      <c r="J395" s="59" t="str">
        <f t="shared" si="1"/>
        <v/>
      </c>
    </row>
    <row r="396">
      <c r="A396" s="55"/>
      <c r="B396" s="60"/>
      <c r="C396" s="55"/>
      <c r="D396" s="54"/>
      <c r="E396" s="55"/>
      <c r="F396" s="62"/>
      <c r="G396" s="57"/>
      <c r="H396" s="58" t="str">
        <f>IFERROR(__xludf.DUMMYFUNCTION("iferror(if(A396="""", ,filter('Playoff IDR Import'!D:D,'Playoff IDR Import'!A:A=A396,'Playoff IDR Import'!C:C=C396)),)"),"")</f>
        <v/>
      </c>
      <c r="I396" s="58"/>
      <c r="J396" s="59" t="str">
        <f t="shared" si="1"/>
        <v/>
      </c>
    </row>
    <row r="397">
      <c r="A397" s="55"/>
      <c r="B397" s="60"/>
      <c r="C397" s="55"/>
      <c r="D397" s="54"/>
      <c r="E397" s="55"/>
      <c r="F397" s="62"/>
      <c r="G397" s="57"/>
      <c r="H397" s="58" t="str">
        <f>IFERROR(__xludf.DUMMYFUNCTION("iferror(if(A397="""", ,filter('Playoff IDR Import'!D:D,'Playoff IDR Import'!A:A=A397,'Playoff IDR Import'!C:C=C397)),)"),"")</f>
        <v/>
      </c>
      <c r="I397" s="58"/>
      <c r="J397" s="59" t="str">
        <f t="shared" si="1"/>
        <v/>
      </c>
    </row>
    <row r="398">
      <c r="A398" s="55"/>
      <c r="B398" s="60"/>
      <c r="C398" s="55"/>
      <c r="D398" s="54"/>
      <c r="E398" s="55"/>
      <c r="F398" s="62"/>
      <c r="G398" s="57"/>
      <c r="H398" s="58" t="str">
        <f>IFERROR(__xludf.DUMMYFUNCTION("iferror(if(A398="""", ,filter('Playoff IDR Import'!D:D,'Playoff IDR Import'!A:A=A398,'Playoff IDR Import'!C:C=C398)),)"),"")</f>
        <v/>
      </c>
      <c r="I398" s="58"/>
      <c r="J398" s="59" t="str">
        <f t="shared" si="1"/>
        <v/>
      </c>
    </row>
    <row r="399">
      <c r="A399" s="55"/>
      <c r="B399" s="60"/>
      <c r="C399" s="55"/>
      <c r="D399" s="54"/>
      <c r="E399" s="55"/>
      <c r="F399" s="62"/>
      <c r="G399" s="57"/>
      <c r="H399" s="58" t="str">
        <f>IFERROR(__xludf.DUMMYFUNCTION("iferror(if(A399="""", ,filter('Playoff IDR Import'!D:D,'Playoff IDR Import'!A:A=A399,'Playoff IDR Import'!C:C=C399)),)"),"")</f>
        <v/>
      </c>
      <c r="I399" s="58"/>
      <c r="J399" s="59" t="str">
        <f t="shared" si="1"/>
        <v/>
      </c>
    </row>
    <row r="400">
      <c r="A400" s="55"/>
      <c r="B400" s="60"/>
      <c r="C400" s="55"/>
      <c r="D400" s="54"/>
      <c r="E400" s="55"/>
      <c r="F400" s="62"/>
      <c r="G400" s="57"/>
      <c r="H400" s="58" t="str">
        <f>IFERROR(__xludf.DUMMYFUNCTION("iferror(if(A400="""", ,filter('Playoff IDR Import'!D:D,'Playoff IDR Import'!A:A=A400,'Playoff IDR Import'!C:C=C400)),)"),"")</f>
        <v/>
      </c>
      <c r="I400" s="58"/>
      <c r="J400" s="59" t="str">
        <f t="shared" si="1"/>
        <v/>
      </c>
    </row>
    <row r="401">
      <c r="A401" s="55"/>
      <c r="B401" s="60"/>
      <c r="C401" s="55"/>
      <c r="D401" s="54"/>
      <c r="E401" s="55"/>
      <c r="F401" s="62"/>
      <c r="G401" s="57"/>
      <c r="H401" s="58" t="str">
        <f>IFERROR(__xludf.DUMMYFUNCTION("iferror(if(A401="""", ,filter('Playoff IDR Import'!D:D,'Playoff IDR Import'!A:A=A401,'Playoff IDR Import'!C:C=C401)),)"),"")</f>
        <v/>
      </c>
      <c r="I401" s="58"/>
      <c r="J401" s="59" t="str">
        <f t="shared" si="1"/>
        <v/>
      </c>
    </row>
    <row r="402">
      <c r="A402" s="55"/>
      <c r="B402" s="60"/>
      <c r="C402" s="55"/>
      <c r="D402" s="54"/>
      <c r="E402" s="55"/>
      <c r="F402" s="62"/>
      <c r="G402" s="57"/>
      <c r="H402" s="58" t="str">
        <f>IFERROR(__xludf.DUMMYFUNCTION("iferror(if(A402="""", ,filter('Playoff IDR Import'!D:D,'Playoff IDR Import'!A:A=A402,'Playoff IDR Import'!C:C=C402)),)"),"")</f>
        <v/>
      </c>
      <c r="I402" s="58"/>
      <c r="J402" s="59" t="str">
        <f t="shared" si="1"/>
        <v/>
      </c>
    </row>
    <row r="403">
      <c r="A403" s="55"/>
      <c r="B403" s="60"/>
      <c r="C403" s="55"/>
      <c r="D403" s="54"/>
      <c r="E403" s="55"/>
      <c r="F403" s="62"/>
      <c r="G403" s="57"/>
      <c r="H403" s="58" t="str">
        <f>IFERROR(__xludf.DUMMYFUNCTION("iferror(if(A403="""", ,filter('Playoff IDR Import'!D:D,'Playoff IDR Import'!A:A=A403,'Playoff IDR Import'!C:C=C403)),)"),"")</f>
        <v/>
      </c>
      <c r="I403" s="58"/>
      <c r="J403" s="59" t="str">
        <f t="shared" si="1"/>
        <v/>
      </c>
    </row>
    <row r="404">
      <c r="A404" s="55"/>
      <c r="B404" s="60"/>
      <c r="C404" s="55"/>
      <c r="D404" s="54"/>
      <c r="E404" s="55"/>
      <c r="F404" s="62"/>
      <c r="G404" s="57"/>
      <c r="H404" s="58" t="str">
        <f>IFERROR(__xludf.DUMMYFUNCTION("iferror(if(A404="""", ,filter('Playoff IDR Import'!D:D,'Playoff IDR Import'!A:A=A404,'Playoff IDR Import'!C:C=C404)),)"),"")</f>
        <v/>
      </c>
      <c r="I404" s="58"/>
      <c r="J404" s="59" t="str">
        <f t="shared" si="1"/>
        <v/>
      </c>
    </row>
    <row r="405">
      <c r="A405" s="55"/>
      <c r="B405" s="60"/>
      <c r="C405" s="55"/>
      <c r="D405" s="54"/>
      <c r="E405" s="55"/>
      <c r="F405" s="62"/>
      <c r="G405" s="57"/>
      <c r="H405" s="58" t="str">
        <f>IFERROR(__xludf.DUMMYFUNCTION("iferror(if(A405="""", ,filter('Playoff IDR Import'!D:D,'Playoff IDR Import'!A:A=A405,'Playoff IDR Import'!C:C=C405)),)"),"")</f>
        <v/>
      </c>
      <c r="I405" s="58"/>
      <c r="J405" s="59" t="str">
        <f t="shared" si="1"/>
        <v/>
      </c>
    </row>
    <row r="406">
      <c r="A406" s="55"/>
      <c r="B406" s="60"/>
      <c r="C406" s="55"/>
      <c r="D406" s="54"/>
      <c r="E406" s="55"/>
      <c r="F406" s="62"/>
      <c r="G406" s="57"/>
      <c r="H406" s="58" t="str">
        <f>IFERROR(__xludf.DUMMYFUNCTION("iferror(if(A406="""", ,filter('Playoff IDR Import'!D:D,'Playoff IDR Import'!A:A=A406,'Playoff IDR Import'!C:C=C406)),)"),"")</f>
        <v/>
      </c>
      <c r="I406" s="58"/>
      <c r="J406" s="59" t="str">
        <f t="shared" si="1"/>
        <v/>
      </c>
    </row>
    <row r="407">
      <c r="A407" s="55"/>
      <c r="B407" s="60"/>
      <c r="C407" s="55"/>
      <c r="D407" s="54"/>
      <c r="E407" s="55"/>
      <c r="F407" s="62"/>
      <c r="G407" s="57"/>
      <c r="H407" s="58" t="str">
        <f>IFERROR(__xludf.DUMMYFUNCTION("iferror(if(A407="""", ,filter('Playoff IDR Import'!D:D,'Playoff IDR Import'!A:A=A407,'Playoff IDR Import'!C:C=C407)),)"),"")</f>
        <v/>
      </c>
      <c r="I407" s="58"/>
      <c r="J407" s="59" t="str">
        <f t="shared" si="1"/>
        <v/>
      </c>
    </row>
    <row r="408">
      <c r="A408" s="55"/>
      <c r="B408" s="60"/>
      <c r="C408" s="55"/>
      <c r="D408" s="54"/>
      <c r="E408" s="55"/>
      <c r="F408" s="62"/>
      <c r="G408" s="57"/>
      <c r="H408" s="58" t="str">
        <f>IFERROR(__xludf.DUMMYFUNCTION("iferror(if(A408="""", ,filter('Playoff IDR Import'!D:D,'Playoff IDR Import'!A:A=A408,'Playoff IDR Import'!C:C=C408)),)"),"")</f>
        <v/>
      </c>
      <c r="I408" s="58"/>
      <c r="J408" s="59" t="str">
        <f t="shared" si="1"/>
        <v/>
      </c>
    </row>
    <row r="409">
      <c r="A409" s="55"/>
      <c r="B409" s="60"/>
      <c r="C409" s="55"/>
      <c r="D409" s="54"/>
      <c r="E409" s="55"/>
      <c r="F409" s="62"/>
      <c r="G409" s="57"/>
      <c r="H409" s="58" t="str">
        <f>IFERROR(__xludf.DUMMYFUNCTION("iferror(if(A409="""", ,filter('Playoff IDR Import'!D:D,'Playoff IDR Import'!A:A=A409,'Playoff IDR Import'!C:C=C409)),)"),"")</f>
        <v/>
      </c>
      <c r="I409" s="58"/>
      <c r="J409" s="59" t="str">
        <f t="shared" si="1"/>
        <v/>
      </c>
    </row>
    <row r="410">
      <c r="A410" s="55"/>
      <c r="B410" s="60"/>
      <c r="C410" s="55"/>
      <c r="D410" s="54"/>
      <c r="E410" s="55"/>
      <c r="F410" s="62"/>
      <c r="G410" s="57"/>
      <c r="H410" s="58" t="str">
        <f>IFERROR(__xludf.DUMMYFUNCTION("iferror(if(A410="""", ,filter('Playoff IDR Import'!D:D,'Playoff IDR Import'!A:A=A410,'Playoff IDR Import'!C:C=C410)),)"),"")</f>
        <v/>
      </c>
      <c r="I410" s="58"/>
      <c r="J410" s="59" t="str">
        <f t="shared" si="1"/>
        <v/>
      </c>
    </row>
    <row r="411">
      <c r="A411" s="55"/>
      <c r="B411" s="60"/>
      <c r="C411" s="55"/>
      <c r="D411" s="54"/>
      <c r="E411" s="55"/>
      <c r="F411" s="62"/>
      <c r="G411" s="57"/>
      <c r="H411" s="58" t="str">
        <f>IFERROR(__xludf.DUMMYFUNCTION("iferror(if(A411="""", ,filter('Playoff IDR Import'!D:D,'Playoff IDR Import'!A:A=A411,'Playoff IDR Import'!C:C=C411)),)"),"")</f>
        <v/>
      </c>
      <c r="I411" s="58"/>
      <c r="J411" s="59" t="str">
        <f t="shared" si="1"/>
        <v/>
      </c>
    </row>
    <row r="412">
      <c r="A412" s="55"/>
      <c r="B412" s="60"/>
      <c r="C412" s="55"/>
      <c r="D412" s="54"/>
      <c r="E412" s="55"/>
      <c r="F412" s="62"/>
      <c r="G412" s="57"/>
      <c r="H412" s="58" t="str">
        <f>IFERROR(__xludf.DUMMYFUNCTION("iferror(if(A412="""", ,filter('Playoff IDR Import'!D:D,'Playoff IDR Import'!A:A=A412,'Playoff IDR Import'!C:C=C412)),)"),"")</f>
        <v/>
      </c>
      <c r="I412" s="58"/>
      <c r="J412" s="59" t="str">
        <f t="shared" si="1"/>
        <v/>
      </c>
    </row>
    <row r="413">
      <c r="A413" s="55"/>
      <c r="B413" s="60"/>
      <c r="C413" s="55"/>
      <c r="D413" s="54"/>
      <c r="E413" s="55"/>
      <c r="F413" s="62"/>
      <c r="G413" s="57"/>
      <c r="H413" s="58" t="str">
        <f>IFERROR(__xludf.DUMMYFUNCTION("iferror(if(A413="""", ,filter('Playoff IDR Import'!D:D,'Playoff IDR Import'!A:A=A413,'Playoff IDR Import'!C:C=C413)),)"),"")</f>
        <v/>
      </c>
      <c r="I413" s="58"/>
      <c r="J413" s="59" t="str">
        <f t="shared" si="1"/>
        <v/>
      </c>
    </row>
    <row r="414">
      <c r="A414" s="55"/>
      <c r="B414" s="60"/>
      <c r="C414" s="55"/>
      <c r="D414" s="54"/>
      <c r="E414" s="55"/>
      <c r="F414" s="62"/>
      <c r="G414" s="57"/>
      <c r="H414" s="58" t="str">
        <f>IFERROR(__xludf.DUMMYFUNCTION("iferror(if(A414="""", ,filter('Playoff IDR Import'!D:D,'Playoff IDR Import'!A:A=A414,'Playoff IDR Import'!C:C=C414)),)"),"")</f>
        <v/>
      </c>
      <c r="I414" s="58"/>
      <c r="J414" s="59" t="str">
        <f t="shared" si="1"/>
        <v/>
      </c>
    </row>
    <row r="415">
      <c r="A415" s="55"/>
      <c r="B415" s="60"/>
      <c r="C415" s="55"/>
      <c r="D415" s="54"/>
      <c r="E415" s="55"/>
      <c r="F415" s="62"/>
      <c r="G415" s="57"/>
      <c r="H415" s="58" t="str">
        <f>IFERROR(__xludf.DUMMYFUNCTION("iferror(if(A415="""", ,filter('Playoff IDR Import'!D:D,'Playoff IDR Import'!A:A=A415,'Playoff IDR Import'!C:C=C415)),)"),"")</f>
        <v/>
      </c>
      <c r="I415" s="58"/>
      <c r="J415" s="59" t="str">
        <f t="shared" si="1"/>
        <v/>
      </c>
    </row>
    <row r="416">
      <c r="A416" s="55"/>
      <c r="B416" s="60"/>
      <c r="C416" s="55"/>
      <c r="D416" s="54"/>
      <c r="E416" s="55"/>
      <c r="F416" s="62"/>
      <c r="G416" s="57"/>
      <c r="H416" s="58" t="str">
        <f>IFERROR(__xludf.DUMMYFUNCTION("iferror(if(A416="""", ,filter('Playoff IDR Import'!D:D,'Playoff IDR Import'!A:A=A416,'Playoff IDR Import'!C:C=C416)),)"),"")</f>
        <v/>
      </c>
      <c r="I416" s="58"/>
      <c r="J416" s="59" t="str">
        <f t="shared" si="1"/>
        <v/>
      </c>
    </row>
    <row r="417">
      <c r="A417" s="55"/>
      <c r="B417" s="60"/>
      <c r="C417" s="55"/>
      <c r="D417" s="54"/>
      <c r="E417" s="55"/>
      <c r="F417" s="62"/>
      <c r="G417" s="57"/>
      <c r="H417" s="58" t="str">
        <f>IFERROR(__xludf.DUMMYFUNCTION("iferror(if(A417="""", ,filter('Playoff IDR Import'!D:D,'Playoff IDR Import'!A:A=A417,'Playoff IDR Import'!C:C=C417)),)"),"")</f>
        <v/>
      </c>
      <c r="I417" s="58"/>
      <c r="J417" s="59" t="str">
        <f t="shared" si="1"/>
        <v/>
      </c>
    </row>
    <row r="418">
      <c r="A418" s="55"/>
      <c r="B418" s="60"/>
      <c r="C418" s="55"/>
      <c r="D418" s="54"/>
      <c r="E418" s="55"/>
      <c r="F418" s="62"/>
      <c r="G418" s="57"/>
      <c r="H418" s="58" t="str">
        <f>IFERROR(__xludf.DUMMYFUNCTION("iferror(if(A418="""", ,filter('Playoff IDR Import'!D:D,'Playoff IDR Import'!A:A=A418,'Playoff IDR Import'!C:C=C418)),)"),"")</f>
        <v/>
      </c>
      <c r="I418" s="58"/>
      <c r="J418" s="59" t="str">
        <f t="shared" si="1"/>
        <v/>
      </c>
    </row>
    <row r="419">
      <c r="A419" s="55"/>
      <c r="B419" s="60"/>
      <c r="C419" s="55"/>
      <c r="D419" s="54"/>
      <c r="E419" s="55"/>
      <c r="F419" s="62"/>
      <c r="G419" s="57"/>
      <c r="H419" s="58" t="str">
        <f>IFERROR(__xludf.DUMMYFUNCTION("iferror(if(A419="""", ,filter('Playoff IDR Import'!D:D,'Playoff IDR Import'!A:A=A419,'Playoff IDR Import'!C:C=C419)),)"),"")</f>
        <v/>
      </c>
      <c r="I419" s="58"/>
      <c r="J419" s="59" t="str">
        <f t="shared" si="1"/>
        <v/>
      </c>
    </row>
    <row r="420">
      <c r="A420" s="55"/>
      <c r="B420" s="60"/>
      <c r="C420" s="55"/>
      <c r="D420" s="54"/>
      <c r="E420" s="55"/>
      <c r="F420" s="62"/>
      <c r="G420" s="57"/>
      <c r="H420" s="58" t="str">
        <f>IFERROR(__xludf.DUMMYFUNCTION("iferror(if(A420="""", ,filter('Playoff IDR Import'!D:D,'Playoff IDR Import'!A:A=A420,'Playoff IDR Import'!C:C=C420)),)"),"")</f>
        <v/>
      </c>
      <c r="I420" s="58"/>
      <c r="J420" s="59" t="str">
        <f t="shared" si="1"/>
        <v/>
      </c>
    </row>
    <row r="421">
      <c r="A421" s="55"/>
      <c r="B421" s="60"/>
      <c r="C421" s="55"/>
      <c r="D421" s="54"/>
      <c r="E421" s="55"/>
      <c r="F421" s="62"/>
      <c r="G421" s="57"/>
      <c r="H421" s="58" t="str">
        <f>IFERROR(__xludf.DUMMYFUNCTION("iferror(if(A421="""", ,filter('Playoff IDR Import'!D:D,'Playoff IDR Import'!A:A=A421,'Playoff IDR Import'!C:C=C421)),)"),"")</f>
        <v/>
      </c>
      <c r="I421" s="58"/>
      <c r="J421" s="59" t="str">
        <f t="shared" si="1"/>
        <v/>
      </c>
    </row>
    <row r="422">
      <c r="A422" s="55"/>
      <c r="B422" s="60"/>
      <c r="C422" s="55"/>
      <c r="D422" s="54"/>
      <c r="E422" s="55"/>
      <c r="F422" s="62"/>
      <c r="G422" s="57"/>
      <c r="H422" s="58" t="str">
        <f>IFERROR(__xludf.DUMMYFUNCTION("iferror(if(A422="""", ,filter('Playoff IDR Import'!D:D,'Playoff IDR Import'!A:A=A422,'Playoff IDR Import'!C:C=C422)),)"),"")</f>
        <v/>
      </c>
      <c r="I422" s="58"/>
      <c r="J422" s="59" t="str">
        <f t="shared" si="1"/>
        <v/>
      </c>
    </row>
    <row r="423">
      <c r="A423" s="55"/>
      <c r="B423" s="60"/>
      <c r="C423" s="55"/>
      <c r="D423" s="54"/>
      <c r="E423" s="55"/>
      <c r="F423" s="62"/>
      <c r="G423" s="57"/>
      <c r="H423" s="58" t="str">
        <f>IFERROR(__xludf.DUMMYFUNCTION("iferror(if(A423="""", ,filter('Playoff IDR Import'!D:D,'Playoff IDR Import'!A:A=A423,'Playoff IDR Import'!C:C=C423)),)"),"")</f>
        <v/>
      </c>
      <c r="I423" s="58"/>
      <c r="J423" s="59" t="str">
        <f t="shared" si="1"/>
        <v/>
      </c>
    </row>
    <row r="424">
      <c r="A424" s="55"/>
      <c r="B424" s="60"/>
      <c r="C424" s="55"/>
      <c r="D424" s="54"/>
      <c r="E424" s="55"/>
      <c r="F424" s="62"/>
      <c r="G424" s="57"/>
      <c r="H424" s="58" t="str">
        <f>IFERROR(__xludf.DUMMYFUNCTION("iferror(if(A424="""", ,filter('Playoff IDR Import'!D:D,'Playoff IDR Import'!A:A=A424,'Playoff IDR Import'!C:C=C424)),)"),"")</f>
        <v/>
      </c>
      <c r="I424" s="58"/>
      <c r="J424" s="59" t="str">
        <f t="shared" si="1"/>
        <v/>
      </c>
    </row>
    <row r="425">
      <c r="A425" s="55"/>
      <c r="B425" s="60"/>
      <c r="C425" s="55"/>
      <c r="D425" s="54"/>
      <c r="E425" s="55"/>
      <c r="F425" s="62"/>
      <c r="G425" s="57"/>
      <c r="H425" s="58" t="str">
        <f>IFERROR(__xludf.DUMMYFUNCTION("iferror(if(A425="""", ,filter('Playoff IDR Import'!D:D,'Playoff IDR Import'!A:A=A425,'Playoff IDR Import'!C:C=C425)),)"),"")</f>
        <v/>
      </c>
      <c r="I425" s="58"/>
      <c r="J425" s="59" t="str">
        <f t="shared" si="1"/>
        <v/>
      </c>
    </row>
    <row r="426">
      <c r="A426" s="55"/>
      <c r="B426" s="60"/>
      <c r="C426" s="55"/>
      <c r="D426" s="54"/>
      <c r="E426" s="55"/>
      <c r="F426" s="62"/>
      <c r="G426" s="57"/>
      <c r="H426" s="58" t="str">
        <f>IFERROR(__xludf.DUMMYFUNCTION("iferror(if(A426="""", ,filter('Playoff IDR Import'!D:D,'Playoff IDR Import'!A:A=A426,'Playoff IDR Import'!C:C=C426)),)"),"")</f>
        <v/>
      </c>
      <c r="I426" s="58"/>
      <c r="J426" s="59" t="str">
        <f t="shared" si="1"/>
        <v/>
      </c>
    </row>
    <row r="427">
      <c r="A427" s="55"/>
      <c r="B427" s="60"/>
      <c r="C427" s="55"/>
      <c r="D427" s="54"/>
      <c r="E427" s="55"/>
      <c r="F427" s="62"/>
      <c r="G427" s="57"/>
      <c r="H427" s="58" t="str">
        <f>IFERROR(__xludf.DUMMYFUNCTION("iferror(if(A427="""", ,filter('Playoff IDR Import'!D:D,'Playoff IDR Import'!A:A=A427,'Playoff IDR Import'!C:C=C427)),)"),"")</f>
        <v/>
      </c>
      <c r="I427" s="58"/>
      <c r="J427" s="59" t="str">
        <f t="shared" si="1"/>
        <v/>
      </c>
    </row>
    <row r="428">
      <c r="A428" s="55"/>
      <c r="B428" s="60"/>
      <c r="C428" s="55"/>
      <c r="D428" s="54"/>
      <c r="E428" s="55"/>
      <c r="F428" s="62"/>
      <c r="G428" s="57"/>
      <c r="H428" s="58" t="str">
        <f>IFERROR(__xludf.DUMMYFUNCTION("iferror(if(A428="""", ,filter('Playoff IDR Import'!D:D,'Playoff IDR Import'!A:A=A428,'Playoff IDR Import'!C:C=C428)),)"),"")</f>
        <v/>
      </c>
      <c r="I428" s="58"/>
      <c r="J428" s="59" t="str">
        <f t="shared" si="1"/>
        <v/>
      </c>
    </row>
    <row r="429">
      <c r="A429" s="55"/>
      <c r="B429" s="60"/>
      <c r="C429" s="55"/>
      <c r="D429" s="54"/>
      <c r="E429" s="55"/>
      <c r="F429" s="62"/>
      <c r="G429" s="57"/>
      <c r="H429" s="58" t="str">
        <f>IFERROR(__xludf.DUMMYFUNCTION("iferror(if(A429="""", ,filter('Playoff IDR Import'!D:D,'Playoff IDR Import'!A:A=A429,'Playoff IDR Import'!C:C=C429)),)"),"")</f>
        <v/>
      </c>
      <c r="I429" s="58"/>
      <c r="J429" s="59" t="str">
        <f t="shared" si="1"/>
        <v/>
      </c>
    </row>
    <row r="430">
      <c r="A430" s="55"/>
      <c r="B430" s="60"/>
      <c r="C430" s="55"/>
      <c r="D430" s="54"/>
      <c r="E430" s="55"/>
      <c r="F430" s="62"/>
      <c r="G430" s="57"/>
      <c r="H430" s="58" t="str">
        <f>IFERROR(__xludf.DUMMYFUNCTION("iferror(if(A430="""", ,filter('Playoff IDR Import'!D:D,'Playoff IDR Import'!A:A=A430,'Playoff IDR Import'!C:C=C430)),)"),"")</f>
        <v/>
      </c>
      <c r="I430" s="58"/>
      <c r="J430" s="59" t="str">
        <f t="shared" si="1"/>
        <v/>
      </c>
    </row>
    <row r="431">
      <c r="A431" s="55"/>
      <c r="B431" s="60"/>
      <c r="C431" s="55"/>
      <c r="D431" s="54"/>
      <c r="E431" s="55"/>
      <c r="F431" s="62"/>
      <c r="G431" s="57"/>
      <c r="H431" s="58" t="str">
        <f>IFERROR(__xludf.DUMMYFUNCTION("iferror(if(A431="""", ,filter('Playoff IDR Import'!D:D,'Playoff IDR Import'!A:A=A431,'Playoff IDR Import'!C:C=C431)),)"),"")</f>
        <v/>
      </c>
      <c r="I431" s="58"/>
      <c r="J431" s="59" t="str">
        <f t="shared" si="1"/>
        <v/>
      </c>
    </row>
    <row r="432">
      <c r="A432" s="55"/>
      <c r="B432" s="60"/>
      <c r="C432" s="55"/>
      <c r="D432" s="54"/>
      <c r="E432" s="55"/>
      <c r="F432" s="62"/>
      <c r="G432" s="57"/>
      <c r="H432" s="58" t="str">
        <f>IFERROR(__xludf.DUMMYFUNCTION("iferror(if(A432="""", ,filter('Playoff IDR Import'!D:D,'Playoff IDR Import'!A:A=A432,'Playoff IDR Import'!C:C=C432)),)"),"")</f>
        <v/>
      </c>
      <c r="I432" s="58"/>
      <c r="J432" s="59" t="str">
        <f t="shared" si="1"/>
        <v/>
      </c>
    </row>
    <row r="433">
      <c r="A433" s="55"/>
      <c r="B433" s="60"/>
      <c r="C433" s="55"/>
      <c r="D433" s="54"/>
      <c r="E433" s="55"/>
      <c r="F433" s="62"/>
      <c r="G433" s="57"/>
      <c r="H433" s="58" t="str">
        <f>IFERROR(__xludf.DUMMYFUNCTION("iferror(if(A433="""", ,filter('Playoff IDR Import'!D:D,'Playoff IDR Import'!A:A=A433,'Playoff IDR Import'!C:C=C433)),)"),"")</f>
        <v/>
      </c>
      <c r="I433" s="58"/>
      <c r="J433" s="59" t="str">
        <f t="shared" si="1"/>
        <v/>
      </c>
    </row>
    <row r="434">
      <c r="A434" s="55"/>
      <c r="B434" s="60"/>
      <c r="C434" s="55"/>
      <c r="D434" s="54"/>
      <c r="E434" s="55"/>
      <c r="F434" s="62"/>
      <c r="G434" s="57"/>
      <c r="H434" s="58" t="str">
        <f>IFERROR(__xludf.DUMMYFUNCTION("iferror(if(A434="""", ,filter('Playoff IDR Import'!D:D,'Playoff IDR Import'!A:A=A434,'Playoff IDR Import'!C:C=C434)),)"),"")</f>
        <v/>
      </c>
      <c r="I434" s="58"/>
      <c r="J434" s="59" t="str">
        <f t="shared" si="1"/>
        <v/>
      </c>
    </row>
    <row r="435">
      <c r="A435" s="55"/>
      <c r="B435" s="60"/>
      <c r="C435" s="55"/>
      <c r="D435" s="54"/>
      <c r="E435" s="55"/>
      <c r="F435" s="62"/>
      <c r="G435" s="57"/>
      <c r="H435" s="58" t="str">
        <f>IFERROR(__xludf.DUMMYFUNCTION("iferror(if(A435="""", ,filter('Playoff IDR Import'!D:D,'Playoff IDR Import'!A:A=A435,'Playoff IDR Import'!C:C=C435)),)"),"")</f>
        <v/>
      </c>
      <c r="I435" s="58"/>
      <c r="J435" s="59" t="str">
        <f t="shared" si="1"/>
        <v/>
      </c>
    </row>
    <row r="436">
      <c r="A436" s="55"/>
      <c r="B436" s="60"/>
      <c r="C436" s="55"/>
      <c r="D436" s="54"/>
      <c r="E436" s="55"/>
      <c r="F436" s="62"/>
      <c r="G436" s="57"/>
      <c r="H436" s="58" t="str">
        <f>IFERROR(__xludf.DUMMYFUNCTION("iferror(if(A436="""", ,filter('Playoff IDR Import'!D:D,'Playoff IDR Import'!A:A=A436,'Playoff IDR Import'!C:C=C436)),)"),"")</f>
        <v/>
      </c>
      <c r="I436" s="58"/>
      <c r="J436" s="59" t="str">
        <f t="shared" si="1"/>
        <v/>
      </c>
    </row>
    <row r="437">
      <c r="A437" s="55"/>
      <c r="B437" s="60"/>
      <c r="C437" s="55"/>
      <c r="D437" s="54"/>
      <c r="E437" s="55"/>
      <c r="F437" s="62"/>
      <c r="G437" s="57"/>
      <c r="H437" s="58" t="str">
        <f>IFERROR(__xludf.DUMMYFUNCTION("iferror(if(A437="""", ,filter('Playoff IDR Import'!D:D,'Playoff IDR Import'!A:A=A437,'Playoff IDR Import'!C:C=C437)),)"),"")</f>
        <v/>
      </c>
      <c r="I437" s="58"/>
      <c r="J437" s="59" t="str">
        <f t="shared" si="1"/>
        <v/>
      </c>
    </row>
    <row r="438">
      <c r="A438" s="55"/>
      <c r="B438" s="60"/>
      <c r="C438" s="55"/>
      <c r="D438" s="54"/>
      <c r="E438" s="55"/>
      <c r="F438" s="62"/>
      <c r="G438" s="57"/>
      <c r="H438" s="58" t="str">
        <f>IFERROR(__xludf.DUMMYFUNCTION("iferror(if(A438="""", ,filter('Playoff IDR Import'!D:D,'Playoff IDR Import'!A:A=A438,'Playoff IDR Import'!C:C=C438)),)"),"")</f>
        <v/>
      </c>
      <c r="I438" s="58"/>
      <c r="J438" s="59" t="str">
        <f t="shared" si="1"/>
        <v/>
      </c>
    </row>
    <row r="439">
      <c r="A439" s="55"/>
      <c r="B439" s="60"/>
      <c r="C439" s="55"/>
      <c r="D439" s="54"/>
      <c r="E439" s="55"/>
      <c r="F439" s="62"/>
      <c r="G439" s="57"/>
      <c r="H439" s="58" t="str">
        <f>IFERROR(__xludf.DUMMYFUNCTION("iferror(if(A439="""", ,filter('Playoff IDR Import'!D:D,'Playoff IDR Import'!A:A=A439,'Playoff IDR Import'!C:C=C439)),)"),"")</f>
        <v/>
      </c>
      <c r="I439" s="58"/>
      <c r="J439" s="59" t="str">
        <f t="shared" si="1"/>
        <v/>
      </c>
    </row>
    <row r="440">
      <c r="A440" s="55"/>
      <c r="B440" s="60"/>
      <c r="C440" s="55"/>
      <c r="D440" s="54"/>
      <c r="E440" s="55"/>
      <c r="F440" s="62"/>
      <c r="G440" s="57"/>
      <c r="H440" s="58" t="str">
        <f>IFERROR(__xludf.DUMMYFUNCTION("iferror(if(A440="""", ,filter('Playoff IDR Import'!D:D,'Playoff IDR Import'!A:A=A440,'Playoff IDR Import'!C:C=C440)),)"),"")</f>
        <v/>
      </c>
      <c r="I440" s="58"/>
      <c r="J440" s="59" t="str">
        <f t="shared" si="1"/>
        <v/>
      </c>
    </row>
    <row r="441">
      <c r="A441" s="55"/>
      <c r="B441" s="60"/>
      <c r="C441" s="55"/>
      <c r="D441" s="54"/>
      <c r="E441" s="55"/>
      <c r="F441" s="62"/>
      <c r="G441" s="57"/>
      <c r="H441" s="58" t="str">
        <f>IFERROR(__xludf.DUMMYFUNCTION("iferror(if(A441="""", ,filter('Playoff IDR Import'!D:D,'Playoff IDR Import'!A:A=A441,'Playoff IDR Import'!C:C=C441)),)"),"")</f>
        <v/>
      </c>
      <c r="I441" s="58"/>
      <c r="J441" s="59" t="str">
        <f t="shared" si="1"/>
        <v/>
      </c>
    </row>
    <row r="442">
      <c r="A442" s="55"/>
      <c r="B442" s="60"/>
      <c r="C442" s="55"/>
      <c r="D442" s="54"/>
      <c r="E442" s="55"/>
      <c r="F442" s="62"/>
      <c r="G442" s="57"/>
      <c r="H442" s="58" t="str">
        <f>IFERROR(__xludf.DUMMYFUNCTION("iferror(if(A442="""", ,filter('Playoff IDR Import'!D:D,'Playoff IDR Import'!A:A=A442,'Playoff IDR Import'!C:C=C442)),)"),"")</f>
        <v/>
      </c>
      <c r="I442" s="58"/>
      <c r="J442" s="59" t="str">
        <f t="shared" si="1"/>
        <v/>
      </c>
    </row>
    <row r="443">
      <c r="A443" s="55"/>
      <c r="B443" s="60"/>
      <c r="C443" s="55"/>
      <c r="D443" s="54"/>
      <c r="E443" s="55"/>
      <c r="F443" s="62"/>
      <c r="G443" s="57"/>
      <c r="H443" s="58" t="str">
        <f>IFERROR(__xludf.DUMMYFUNCTION("iferror(if(A443="""", ,filter('Playoff IDR Import'!D:D,'Playoff IDR Import'!A:A=A443,'Playoff IDR Import'!C:C=C443)),)"),"")</f>
        <v/>
      </c>
      <c r="I443" s="58"/>
      <c r="J443" s="59" t="str">
        <f t="shared" si="1"/>
        <v/>
      </c>
    </row>
    <row r="444">
      <c r="A444" s="55"/>
      <c r="B444" s="60"/>
      <c r="C444" s="55"/>
      <c r="D444" s="54"/>
      <c r="E444" s="55"/>
      <c r="F444" s="62"/>
      <c r="G444" s="57"/>
      <c r="H444" s="58" t="str">
        <f>IFERROR(__xludf.DUMMYFUNCTION("iferror(if(A444="""", ,filter('Playoff IDR Import'!D:D,'Playoff IDR Import'!A:A=A444,'Playoff IDR Import'!C:C=C444)),)"),"")</f>
        <v/>
      </c>
      <c r="I444" s="58"/>
      <c r="J444" s="59" t="str">
        <f t="shared" si="1"/>
        <v/>
      </c>
    </row>
    <row r="445">
      <c r="A445" s="55"/>
      <c r="B445" s="60"/>
      <c r="C445" s="55"/>
      <c r="D445" s="54"/>
      <c r="E445" s="55"/>
      <c r="F445" s="62"/>
      <c r="G445" s="57"/>
      <c r="H445" s="58" t="str">
        <f>IFERROR(__xludf.DUMMYFUNCTION("iferror(if(A445="""", ,filter('Playoff IDR Import'!D:D,'Playoff IDR Import'!A:A=A445,'Playoff IDR Import'!C:C=C445)),)"),"")</f>
        <v/>
      </c>
      <c r="I445" s="58"/>
      <c r="J445" s="59" t="str">
        <f t="shared" si="1"/>
        <v/>
      </c>
    </row>
    <row r="446">
      <c r="A446" s="55"/>
      <c r="B446" s="60"/>
      <c r="C446" s="55"/>
      <c r="D446" s="54"/>
      <c r="E446" s="55"/>
      <c r="F446" s="62"/>
      <c r="G446" s="57"/>
      <c r="H446" s="58" t="str">
        <f>IFERROR(__xludf.DUMMYFUNCTION("iferror(if(A446="""", ,filter('Playoff IDR Import'!D:D,'Playoff IDR Import'!A:A=A446,'Playoff IDR Import'!C:C=C446)),)"),"")</f>
        <v/>
      </c>
      <c r="I446" s="58"/>
      <c r="J446" s="59" t="str">
        <f t="shared" si="1"/>
        <v/>
      </c>
    </row>
    <row r="447">
      <c r="A447" s="55"/>
      <c r="B447" s="60"/>
      <c r="C447" s="55"/>
      <c r="D447" s="54"/>
      <c r="E447" s="55"/>
      <c r="F447" s="62"/>
      <c r="G447" s="57"/>
      <c r="H447" s="58" t="str">
        <f>IFERROR(__xludf.DUMMYFUNCTION("iferror(if(A447="""", ,filter('Playoff IDR Import'!D:D,'Playoff IDR Import'!A:A=A447,'Playoff IDR Import'!C:C=C447)),)"),"")</f>
        <v/>
      </c>
      <c r="I447" s="58"/>
      <c r="J447" s="59" t="str">
        <f t="shared" si="1"/>
        <v/>
      </c>
    </row>
    <row r="448">
      <c r="A448" s="55"/>
      <c r="B448" s="60"/>
      <c r="C448" s="55"/>
      <c r="D448" s="54"/>
      <c r="E448" s="55"/>
      <c r="F448" s="62"/>
      <c r="G448" s="57"/>
      <c r="H448" s="58" t="str">
        <f>IFERROR(__xludf.DUMMYFUNCTION("iferror(if(A448="""", ,filter('Playoff IDR Import'!D:D,'Playoff IDR Import'!A:A=A448,'Playoff IDR Import'!C:C=C448)),)"),"")</f>
        <v/>
      </c>
      <c r="I448" s="58"/>
      <c r="J448" s="59" t="str">
        <f t="shared" si="1"/>
        <v/>
      </c>
    </row>
    <row r="449">
      <c r="A449" s="55"/>
      <c r="B449" s="60"/>
      <c r="C449" s="55"/>
      <c r="D449" s="54"/>
      <c r="E449" s="55"/>
      <c r="F449" s="62"/>
      <c r="G449" s="57"/>
      <c r="H449" s="58" t="str">
        <f>IFERROR(__xludf.DUMMYFUNCTION("iferror(if(A449="""", ,filter('Playoff IDR Import'!D:D,'Playoff IDR Import'!A:A=A449,'Playoff IDR Import'!C:C=C449)),)"),"")</f>
        <v/>
      </c>
      <c r="I449" s="58"/>
      <c r="J449" s="59" t="str">
        <f t="shared" si="1"/>
        <v/>
      </c>
    </row>
    <row r="450">
      <c r="A450" s="55"/>
      <c r="B450" s="60"/>
      <c r="C450" s="55"/>
      <c r="D450" s="54"/>
      <c r="E450" s="55"/>
      <c r="F450" s="62"/>
      <c r="G450" s="57"/>
      <c r="H450" s="58" t="str">
        <f>IFERROR(__xludf.DUMMYFUNCTION("iferror(if(A450="""", ,filter('Playoff IDR Import'!D:D,'Playoff IDR Import'!A:A=A450,'Playoff IDR Import'!C:C=C450)),)"),"")</f>
        <v/>
      </c>
      <c r="I450" s="58"/>
      <c r="J450" s="59" t="str">
        <f t="shared" si="1"/>
        <v/>
      </c>
    </row>
    <row r="451">
      <c r="A451" s="55"/>
      <c r="B451" s="60"/>
      <c r="C451" s="55"/>
      <c r="D451" s="54"/>
      <c r="E451" s="55"/>
      <c r="F451" s="62"/>
      <c r="G451" s="57"/>
      <c r="H451" s="58" t="str">
        <f>IFERROR(__xludf.DUMMYFUNCTION("iferror(if(A451="""", ,filter('Playoff IDR Import'!D:D,'Playoff IDR Import'!A:A=A451,'Playoff IDR Import'!C:C=C451)),)"),"")</f>
        <v/>
      </c>
      <c r="I451" s="58"/>
      <c r="J451" s="59" t="str">
        <f t="shared" si="1"/>
        <v/>
      </c>
    </row>
    <row r="452">
      <c r="A452" s="55"/>
      <c r="B452" s="60"/>
      <c r="C452" s="55"/>
      <c r="D452" s="54"/>
      <c r="E452" s="55"/>
      <c r="F452" s="62"/>
      <c r="G452" s="57"/>
      <c r="H452" s="58" t="str">
        <f>IFERROR(__xludf.DUMMYFUNCTION("iferror(if(A452="""", ,filter('Playoff IDR Import'!D:D,'Playoff IDR Import'!A:A=A452,'Playoff IDR Import'!C:C=C452)),)"),"")</f>
        <v/>
      </c>
      <c r="I452" s="58"/>
      <c r="J452" s="59" t="str">
        <f t="shared" si="1"/>
        <v/>
      </c>
    </row>
    <row r="453">
      <c r="A453" s="55"/>
      <c r="B453" s="60"/>
      <c r="C453" s="55"/>
      <c r="D453" s="54"/>
      <c r="E453" s="55"/>
      <c r="F453" s="62"/>
      <c r="G453" s="57"/>
      <c r="H453" s="58" t="str">
        <f>IFERROR(__xludf.DUMMYFUNCTION("iferror(if(A453="""", ,filter('Playoff IDR Import'!D:D,'Playoff IDR Import'!A:A=A453,'Playoff IDR Import'!C:C=C453)),)"),"")</f>
        <v/>
      </c>
      <c r="I453" s="58"/>
      <c r="J453" s="59" t="str">
        <f t="shared" si="1"/>
        <v/>
      </c>
    </row>
    <row r="454">
      <c r="A454" s="55"/>
      <c r="B454" s="60"/>
      <c r="C454" s="55"/>
      <c r="D454" s="54"/>
      <c r="E454" s="55"/>
      <c r="F454" s="62"/>
      <c r="G454" s="57"/>
      <c r="H454" s="58" t="str">
        <f>IFERROR(__xludf.DUMMYFUNCTION("iferror(if(A454="""", ,filter('Playoff IDR Import'!D:D,'Playoff IDR Import'!A:A=A454,'Playoff IDR Import'!C:C=C454)),)"),"")</f>
        <v/>
      </c>
      <c r="I454" s="58"/>
      <c r="J454" s="59" t="str">
        <f t="shared" si="1"/>
        <v/>
      </c>
    </row>
    <row r="455">
      <c r="A455" s="55"/>
      <c r="B455" s="60"/>
      <c r="C455" s="55"/>
      <c r="D455" s="54"/>
      <c r="E455" s="55"/>
      <c r="F455" s="62"/>
      <c r="G455" s="57"/>
      <c r="H455" s="58" t="str">
        <f>IFERROR(__xludf.DUMMYFUNCTION("iferror(if(A455="""", ,filter('Playoff IDR Import'!D:D,'Playoff IDR Import'!A:A=A455,'Playoff IDR Import'!C:C=C455)),)"),"")</f>
        <v/>
      </c>
      <c r="I455" s="58"/>
      <c r="J455" s="59" t="str">
        <f t="shared" si="1"/>
        <v/>
      </c>
    </row>
    <row r="456">
      <c r="A456" s="55"/>
      <c r="B456" s="60"/>
      <c r="C456" s="55"/>
      <c r="D456" s="54"/>
      <c r="E456" s="55"/>
      <c r="F456" s="62"/>
      <c r="G456" s="57"/>
      <c r="H456" s="58" t="str">
        <f>IFERROR(__xludf.DUMMYFUNCTION("iferror(if(A456="""", ,filter('Playoff IDR Import'!D:D,'Playoff IDR Import'!A:A=A456,'Playoff IDR Import'!C:C=C456)),)"),"")</f>
        <v/>
      </c>
      <c r="I456" s="58"/>
      <c r="J456" s="59" t="str">
        <f t="shared" si="1"/>
        <v/>
      </c>
    </row>
    <row r="457">
      <c r="A457" s="55"/>
      <c r="B457" s="60"/>
      <c r="C457" s="55"/>
      <c r="D457" s="54"/>
      <c r="E457" s="55"/>
      <c r="F457" s="62"/>
      <c r="G457" s="57"/>
      <c r="H457" s="58" t="str">
        <f>IFERROR(__xludf.DUMMYFUNCTION("iferror(if(A457="""", ,filter('Playoff IDR Import'!D:D,'Playoff IDR Import'!A:A=A457,'Playoff IDR Import'!C:C=C457)),)"),"")</f>
        <v/>
      </c>
      <c r="I457" s="58"/>
      <c r="J457" s="59" t="str">
        <f t="shared" si="1"/>
        <v/>
      </c>
    </row>
    <row r="458">
      <c r="A458" s="55"/>
      <c r="B458" s="60"/>
      <c r="C458" s="55"/>
      <c r="D458" s="54"/>
      <c r="E458" s="55"/>
      <c r="F458" s="62"/>
      <c r="G458" s="57"/>
      <c r="H458" s="58" t="str">
        <f>IFERROR(__xludf.DUMMYFUNCTION("iferror(if(A458="""", ,filter('Playoff IDR Import'!D:D,'Playoff IDR Import'!A:A=A458,'Playoff IDR Import'!C:C=C458)),)"),"")</f>
        <v/>
      </c>
      <c r="I458" s="58"/>
      <c r="J458" s="59" t="str">
        <f t="shared" si="1"/>
        <v/>
      </c>
    </row>
    <row r="459">
      <c r="A459" s="55"/>
      <c r="B459" s="60"/>
      <c r="C459" s="55"/>
      <c r="D459" s="54"/>
      <c r="E459" s="55"/>
      <c r="F459" s="62"/>
      <c r="G459" s="57"/>
      <c r="H459" s="58" t="str">
        <f>IFERROR(__xludf.DUMMYFUNCTION("iferror(if(A459="""", ,filter('Playoff IDR Import'!D:D,'Playoff IDR Import'!A:A=A459,'Playoff IDR Import'!C:C=C459)),)"),"")</f>
        <v/>
      </c>
      <c r="I459" s="58"/>
      <c r="J459" s="59" t="str">
        <f t="shared" si="1"/>
        <v/>
      </c>
    </row>
    <row r="460">
      <c r="A460" s="55"/>
      <c r="B460" s="60"/>
      <c r="C460" s="55"/>
      <c r="D460" s="54"/>
      <c r="E460" s="55"/>
      <c r="F460" s="62"/>
      <c r="G460" s="57"/>
      <c r="H460" s="58" t="str">
        <f>IFERROR(__xludf.DUMMYFUNCTION("iferror(if(A460="""", ,filter('Playoff IDR Import'!D:D,'Playoff IDR Import'!A:A=A460,'Playoff IDR Import'!C:C=C460)),)"),"")</f>
        <v/>
      </c>
      <c r="I460" s="58"/>
      <c r="J460" s="59" t="str">
        <f t="shared" si="1"/>
        <v/>
      </c>
    </row>
    <row r="461">
      <c r="A461" s="55"/>
      <c r="B461" s="60"/>
      <c r="C461" s="55"/>
      <c r="D461" s="54"/>
      <c r="E461" s="55"/>
      <c r="F461" s="62"/>
      <c r="G461" s="57"/>
      <c r="H461" s="58" t="str">
        <f>IFERROR(__xludf.DUMMYFUNCTION("iferror(if(A461="""", ,filter('Playoff IDR Import'!D:D,'Playoff IDR Import'!A:A=A461,'Playoff IDR Import'!C:C=C461)),)"),"")</f>
        <v/>
      </c>
      <c r="I461" s="58"/>
      <c r="J461" s="59" t="str">
        <f t="shared" si="1"/>
        <v/>
      </c>
    </row>
    <row r="462">
      <c r="A462" s="55"/>
      <c r="B462" s="60"/>
      <c r="C462" s="55"/>
      <c r="D462" s="54"/>
      <c r="E462" s="55"/>
      <c r="F462" s="62"/>
      <c r="G462" s="57"/>
      <c r="H462" s="58" t="str">
        <f>IFERROR(__xludf.DUMMYFUNCTION("iferror(if(A462="""", ,filter('Playoff IDR Import'!D:D,'Playoff IDR Import'!A:A=A462,'Playoff IDR Import'!C:C=C462)),)"),"")</f>
        <v/>
      </c>
      <c r="I462" s="58"/>
      <c r="J462" s="59" t="str">
        <f t="shared" si="1"/>
        <v/>
      </c>
    </row>
    <row r="463">
      <c r="A463" s="55"/>
      <c r="B463" s="60"/>
      <c r="C463" s="55"/>
      <c r="D463" s="54"/>
      <c r="E463" s="55"/>
      <c r="F463" s="62"/>
      <c r="G463" s="57"/>
      <c r="H463" s="58" t="str">
        <f>IFERROR(__xludf.DUMMYFUNCTION("iferror(if(A463="""", ,filter('Playoff IDR Import'!D:D,'Playoff IDR Import'!A:A=A463,'Playoff IDR Import'!C:C=C463)),)"),"")</f>
        <v/>
      </c>
      <c r="I463" s="58"/>
      <c r="J463" s="59" t="str">
        <f t="shared" si="1"/>
        <v/>
      </c>
    </row>
    <row r="464">
      <c r="A464" s="55"/>
      <c r="B464" s="60"/>
      <c r="C464" s="55"/>
      <c r="D464" s="54"/>
      <c r="E464" s="55"/>
      <c r="F464" s="62"/>
      <c r="G464" s="57"/>
      <c r="H464" s="58" t="str">
        <f>IFERROR(__xludf.DUMMYFUNCTION("iferror(if(A464="""", ,filter('Playoff IDR Import'!D:D,'Playoff IDR Import'!A:A=A464,'Playoff IDR Import'!C:C=C464)),)"),"")</f>
        <v/>
      </c>
      <c r="I464" s="58"/>
      <c r="J464" s="59" t="str">
        <f t="shared" si="1"/>
        <v/>
      </c>
    </row>
    <row r="465">
      <c r="A465" s="55"/>
      <c r="B465" s="60"/>
      <c r="C465" s="55"/>
      <c r="D465" s="54"/>
      <c r="E465" s="55"/>
      <c r="F465" s="62"/>
      <c r="G465" s="57"/>
      <c r="H465" s="58" t="str">
        <f>IFERROR(__xludf.DUMMYFUNCTION("iferror(if(A465="""", ,filter('Playoff IDR Import'!D:D,'Playoff IDR Import'!A:A=A465,'Playoff IDR Import'!C:C=C465)),)"),"")</f>
        <v/>
      </c>
      <c r="I465" s="58"/>
      <c r="J465" s="59" t="str">
        <f t="shared" si="1"/>
        <v/>
      </c>
    </row>
    <row r="466">
      <c r="A466" s="55"/>
      <c r="B466" s="60"/>
      <c r="C466" s="55"/>
      <c r="D466" s="54"/>
      <c r="E466" s="55"/>
      <c r="F466" s="62"/>
      <c r="G466" s="57"/>
      <c r="H466" s="58" t="str">
        <f>IFERROR(__xludf.DUMMYFUNCTION("iferror(if(A466="""", ,filter('Playoff IDR Import'!D:D,'Playoff IDR Import'!A:A=A466,'Playoff IDR Import'!C:C=C466)),)"),"")</f>
        <v/>
      </c>
      <c r="I466" s="58"/>
      <c r="J466" s="59" t="str">
        <f t="shared" si="1"/>
        <v/>
      </c>
    </row>
    <row r="467">
      <c r="A467" s="55"/>
      <c r="B467" s="60"/>
      <c r="C467" s="55"/>
      <c r="D467" s="54"/>
      <c r="E467" s="55"/>
      <c r="F467" s="62"/>
      <c r="G467" s="57"/>
      <c r="H467" s="58" t="str">
        <f>IFERROR(__xludf.DUMMYFUNCTION("iferror(if(A467="""", ,filter('Playoff IDR Import'!D:D,'Playoff IDR Import'!A:A=A467,'Playoff IDR Import'!C:C=C467)),)"),"")</f>
        <v/>
      </c>
      <c r="I467" s="58"/>
      <c r="J467" s="59" t="str">
        <f t="shared" si="1"/>
        <v/>
      </c>
    </row>
    <row r="468">
      <c r="A468" s="55"/>
      <c r="B468" s="60"/>
      <c r="C468" s="55"/>
      <c r="D468" s="54"/>
      <c r="E468" s="55"/>
      <c r="F468" s="62"/>
      <c r="G468" s="57"/>
      <c r="H468" s="58" t="str">
        <f>IFERROR(__xludf.DUMMYFUNCTION("iferror(if(A468="""", ,filter('Playoff IDR Import'!D:D,'Playoff IDR Import'!A:A=A468,'Playoff IDR Import'!C:C=C468)),)"),"")</f>
        <v/>
      </c>
      <c r="I468" s="58"/>
      <c r="J468" s="59" t="str">
        <f t="shared" si="1"/>
        <v/>
      </c>
    </row>
    <row r="469">
      <c r="A469" s="55"/>
      <c r="B469" s="60"/>
      <c r="C469" s="55"/>
      <c r="D469" s="54"/>
      <c r="E469" s="55"/>
      <c r="F469" s="62"/>
      <c r="G469" s="57"/>
      <c r="H469" s="58" t="str">
        <f>IFERROR(__xludf.DUMMYFUNCTION("iferror(if(A469="""", ,filter('Playoff IDR Import'!D:D,'Playoff IDR Import'!A:A=A469,'Playoff IDR Import'!C:C=C469)),)"),"")</f>
        <v/>
      </c>
      <c r="I469" s="58"/>
      <c r="J469" s="59" t="str">
        <f t="shared" si="1"/>
        <v/>
      </c>
    </row>
    <row r="470">
      <c r="A470" s="55"/>
      <c r="B470" s="60"/>
      <c r="C470" s="55"/>
      <c r="D470" s="54"/>
      <c r="E470" s="55"/>
      <c r="F470" s="62"/>
      <c r="G470" s="57"/>
      <c r="H470" s="58" t="str">
        <f>IFERROR(__xludf.DUMMYFUNCTION("iferror(if(A470="""", ,filter('Playoff IDR Import'!D:D,'Playoff IDR Import'!A:A=A470,'Playoff IDR Import'!C:C=C470)),)"),"")</f>
        <v/>
      </c>
      <c r="I470" s="58"/>
      <c r="J470" s="59" t="str">
        <f t="shared" si="1"/>
        <v/>
      </c>
    </row>
    <row r="471">
      <c r="A471" s="55"/>
      <c r="B471" s="60"/>
      <c r="C471" s="55"/>
      <c r="D471" s="54"/>
      <c r="E471" s="55"/>
      <c r="F471" s="62"/>
      <c r="G471" s="57"/>
      <c r="H471" s="58" t="str">
        <f>IFERROR(__xludf.DUMMYFUNCTION("iferror(if(A471="""", ,filter('Playoff IDR Import'!D:D,'Playoff IDR Import'!A:A=A471,'Playoff IDR Import'!C:C=C471)),)"),"")</f>
        <v/>
      </c>
      <c r="I471" s="58"/>
      <c r="J471" s="59" t="str">
        <f t="shared" si="1"/>
        <v/>
      </c>
    </row>
    <row r="472">
      <c r="A472" s="55"/>
      <c r="B472" s="60"/>
      <c r="C472" s="55"/>
      <c r="D472" s="54"/>
      <c r="E472" s="55"/>
      <c r="F472" s="62"/>
      <c r="G472" s="57"/>
      <c r="H472" s="58" t="str">
        <f>IFERROR(__xludf.DUMMYFUNCTION("iferror(if(A472="""", ,filter('Playoff IDR Import'!D:D,'Playoff IDR Import'!A:A=A472,'Playoff IDR Import'!C:C=C472)),)"),"")</f>
        <v/>
      </c>
      <c r="I472" s="58"/>
      <c r="J472" s="59" t="str">
        <f t="shared" si="1"/>
        <v/>
      </c>
    </row>
    <row r="473">
      <c r="A473" s="55"/>
      <c r="B473" s="60"/>
      <c r="C473" s="55"/>
      <c r="D473" s="54"/>
      <c r="E473" s="55"/>
      <c r="F473" s="62"/>
      <c r="G473" s="57"/>
      <c r="H473" s="58" t="str">
        <f>IFERROR(__xludf.DUMMYFUNCTION("iferror(if(A473="""", ,filter('Playoff IDR Import'!D:D,'Playoff IDR Import'!A:A=A473,'Playoff IDR Import'!C:C=C473)),)"),"")</f>
        <v/>
      </c>
      <c r="I473" s="58"/>
      <c r="J473" s="59" t="str">
        <f t="shared" si="1"/>
        <v/>
      </c>
    </row>
    <row r="474">
      <c r="A474" s="55"/>
      <c r="B474" s="60"/>
      <c r="C474" s="55"/>
      <c r="D474" s="54"/>
      <c r="E474" s="55"/>
      <c r="F474" s="62"/>
      <c r="G474" s="57"/>
      <c r="H474" s="58" t="str">
        <f>IFERROR(__xludf.DUMMYFUNCTION("iferror(if(A474="""", ,filter('Playoff IDR Import'!D:D,'Playoff IDR Import'!A:A=A474,'Playoff IDR Import'!C:C=C474)),)"),"")</f>
        <v/>
      </c>
      <c r="I474" s="58"/>
      <c r="J474" s="59" t="str">
        <f t="shared" si="1"/>
        <v/>
      </c>
    </row>
    <row r="475">
      <c r="A475" s="55"/>
      <c r="B475" s="60"/>
      <c r="C475" s="55"/>
      <c r="D475" s="54"/>
      <c r="E475" s="55"/>
      <c r="F475" s="62"/>
      <c r="G475" s="57"/>
      <c r="H475" s="58" t="str">
        <f>IFERROR(__xludf.DUMMYFUNCTION("iferror(if(A475="""", ,filter('Playoff IDR Import'!D:D,'Playoff IDR Import'!A:A=A475,'Playoff IDR Import'!C:C=C475)),)"),"")</f>
        <v/>
      </c>
      <c r="I475" s="58"/>
      <c r="J475" s="59" t="str">
        <f t="shared" si="1"/>
        <v/>
      </c>
    </row>
    <row r="476">
      <c r="A476" s="55"/>
      <c r="B476" s="60"/>
      <c r="C476" s="55"/>
      <c r="D476" s="54"/>
      <c r="E476" s="55"/>
      <c r="F476" s="62"/>
      <c r="G476" s="57"/>
      <c r="H476" s="58" t="str">
        <f>IFERROR(__xludf.DUMMYFUNCTION("iferror(if(A476="""", ,filter('Playoff IDR Import'!D:D,'Playoff IDR Import'!A:A=A476,'Playoff IDR Import'!C:C=C476)),)"),"")</f>
        <v/>
      </c>
      <c r="I476" s="58"/>
      <c r="J476" s="59" t="str">
        <f t="shared" si="1"/>
        <v/>
      </c>
    </row>
    <row r="477">
      <c r="A477" s="55"/>
      <c r="B477" s="60"/>
      <c r="C477" s="55"/>
      <c r="D477" s="54"/>
      <c r="E477" s="55"/>
      <c r="F477" s="62"/>
      <c r="G477" s="57"/>
      <c r="H477" s="58" t="str">
        <f>IFERROR(__xludf.DUMMYFUNCTION("iferror(if(A477="""", ,filter('Playoff IDR Import'!D:D,'Playoff IDR Import'!A:A=A477,'Playoff IDR Import'!C:C=C477)),)"),"")</f>
        <v/>
      </c>
      <c r="I477" s="58"/>
      <c r="J477" s="59" t="str">
        <f t="shared" si="1"/>
        <v/>
      </c>
    </row>
    <row r="478">
      <c r="A478" s="55"/>
      <c r="B478" s="60"/>
      <c r="C478" s="55"/>
      <c r="D478" s="54"/>
      <c r="E478" s="55"/>
      <c r="F478" s="62"/>
      <c r="G478" s="57"/>
      <c r="H478" s="58" t="str">
        <f>IFERROR(__xludf.DUMMYFUNCTION("iferror(if(A478="""", ,filter('Playoff IDR Import'!D:D,'Playoff IDR Import'!A:A=A478,'Playoff IDR Import'!C:C=C478)),)"),"")</f>
        <v/>
      </c>
      <c r="I478" s="58"/>
      <c r="J478" s="59" t="str">
        <f t="shared" si="1"/>
        <v/>
      </c>
    </row>
    <row r="479">
      <c r="A479" s="55"/>
      <c r="B479" s="60"/>
      <c r="C479" s="55"/>
      <c r="D479" s="54"/>
      <c r="E479" s="55"/>
      <c r="F479" s="62"/>
      <c r="G479" s="57"/>
      <c r="H479" s="58" t="str">
        <f>IFERROR(__xludf.DUMMYFUNCTION("iferror(if(A479="""", ,filter('Playoff IDR Import'!D:D,'Playoff IDR Import'!A:A=A479,'Playoff IDR Import'!C:C=C479)),)"),"")</f>
        <v/>
      </c>
      <c r="I479" s="58"/>
      <c r="J479" s="59" t="str">
        <f t="shared" si="1"/>
        <v/>
      </c>
    </row>
    <row r="480">
      <c r="A480" s="55"/>
      <c r="B480" s="60"/>
      <c r="C480" s="55"/>
      <c r="D480" s="54"/>
      <c r="E480" s="55"/>
      <c r="F480" s="62"/>
      <c r="G480" s="57"/>
      <c r="H480" s="58" t="str">
        <f>IFERROR(__xludf.DUMMYFUNCTION("iferror(if(A480="""", ,filter('Playoff IDR Import'!D:D,'Playoff IDR Import'!A:A=A480,'Playoff IDR Import'!C:C=C480)),)"),"")</f>
        <v/>
      </c>
      <c r="I480" s="58"/>
      <c r="J480" s="59" t="str">
        <f t="shared" si="1"/>
        <v/>
      </c>
    </row>
    <row r="481">
      <c r="A481" s="55"/>
      <c r="B481" s="60"/>
      <c r="C481" s="55"/>
      <c r="D481" s="54"/>
      <c r="E481" s="55"/>
      <c r="F481" s="62"/>
      <c r="G481" s="57"/>
      <c r="H481" s="58" t="str">
        <f>IFERROR(__xludf.DUMMYFUNCTION("iferror(if(A481="""", ,filter('Playoff IDR Import'!D:D,'Playoff IDR Import'!A:A=A481,'Playoff IDR Import'!C:C=C481)),)"),"")</f>
        <v/>
      </c>
      <c r="I481" s="58"/>
      <c r="J481" s="59" t="str">
        <f t="shared" si="1"/>
        <v/>
      </c>
    </row>
    <row r="482">
      <c r="A482" s="55"/>
      <c r="B482" s="60"/>
      <c r="C482" s="55"/>
      <c r="D482" s="54"/>
      <c r="E482" s="55"/>
      <c r="F482" s="62"/>
      <c r="G482" s="57"/>
      <c r="H482" s="58" t="str">
        <f>IFERROR(__xludf.DUMMYFUNCTION("iferror(if(A482="""", ,filter('Playoff IDR Import'!D:D,'Playoff IDR Import'!A:A=A482,'Playoff IDR Import'!C:C=C482)),)"),"")</f>
        <v/>
      </c>
      <c r="I482" s="58"/>
      <c r="J482" s="59" t="str">
        <f t="shared" si="1"/>
        <v/>
      </c>
    </row>
    <row r="483">
      <c r="A483" s="55"/>
      <c r="B483" s="60"/>
      <c r="C483" s="55"/>
      <c r="D483" s="54"/>
      <c r="E483" s="55"/>
      <c r="F483" s="62"/>
      <c r="G483" s="57"/>
      <c r="H483" s="58" t="str">
        <f>IFERROR(__xludf.DUMMYFUNCTION("iferror(if(A483="""", ,filter('Playoff IDR Import'!D:D,'Playoff IDR Import'!A:A=A483,'Playoff IDR Import'!C:C=C483)),)"),"")</f>
        <v/>
      </c>
      <c r="I483" s="58"/>
      <c r="J483" s="59" t="str">
        <f t="shared" si="1"/>
        <v/>
      </c>
    </row>
    <row r="484">
      <c r="A484" s="55"/>
      <c r="B484" s="60"/>
      <c r="C484" s="55"/>
      <c r="D484" s="54"/>
      <c r="E484" s="55"/>
      <c r="F484" s="62"/>
      <c r="G484" s="57"/>
      <c r="H484" s="58" t="str">
        <f>IFERROR(__xludf.DUMMYFUNCTION("iferror(if(A484="""", ,filter('Playoff IDR Import'!D:D,'Playoff IDR Import'!A:A=A484,'Playoff IDR Import'!C:C=C484)),)"),"")</f>
        <v/>
      </c>
      <c r="I484" s="58"/>
      <c r="J484" s="59" t="str">
        <f t="shared" si="1"/>
        <v/>
      </c>
    </row>
    <row r="485">
      <c r="A485" s="55"/>
      <c r="B485" s="60"/>
      <c r="C485" s="55"/>
      <c r="D485" s="54"/>
      <c r="E485" s="55"/>
      <c r="F485" s="62"/>
      <c r="G485" s="57"/>
      <c r="H485" s="58" t="str">
        <f>IFERROR(__xludf.DUMMYFUNCTION("iferror(if(A485="""", ,filter('Playoff IDR Import'!D:D,'Playoff IDR Import'!A:A=A485,'Playoff IDR Import'!C:C=C485)),)"),"")</f>
        <v/>
      </c>
      <c r="I485" s="58"/>
      <c r="J485" s="59" t="str">
        <f t="shared" si="1"/>
        <v/>
      </c>
    </row>
    <row r="486">
      <c r="A486" s="55"/>
      <c r="B486" s="60"/>
      <c r="C486" s="55"/>
      <c r="D486" s="54"/>
      <c r="E486" s="55"/>
      <c r="F486" s="62"/>
      <c r="G486" s="57"/>
      <c r="H486" s="58" t="str">
        <f>IFERROR(__xludf.DUMMYFUNCTION("iferror(if(A486="""", ,filter('Playoff IDR Import'!D:D,'Playoff IDR Import'!A:A=A486,'Playoff IDR Import'!C:C=C486)),)"),"")</f>
        <v/>
      </c>
      <c r="I486" s="58"/>
      <c r="J486" s="59" t="str">
        <f t="shared" si="1"/>
        <v/>
      </c>
    </row>
    <row r="487">
      <c r="A487" s="55"/>
      <c r="B487" s="60"/>
      <c r="C487" s="55"/>
      <c r="D487" s="54"/>
      <c r="E487" s="55"/>
      <c r="F487" s="62"/>
      <c r="G487" s="57"/>
      <c r="H487" s="58" t="str">
        <f>IFERROR(__xludf.DUMMYFUNCTION("iferror(if(A487="""", ,filter('Playoff IDR Import'!D:D,'Playoff IDR Import'!A:A=A487,'Playoff IDR Import'!C:C=C487)),)"),"")</f>
        <v/>
      </c>
      <c r="I487" s="58"/>
      <c r="J487" s="59" t="str">
        <f t="shared" si="1"/>
        <v/>
      </c>
    </row>
    <row r="488">
      <c r="A488" s="55"/>
      <c r="B488" s="60"/>
      <c r="C488" s="55"/>
      <c r="D488" s="54"/>
      <c r="E488" s="55"/>
      <c r="F488" s="62"/>
      <c r="G488" s="57"/>
      <c r="H488" s="58" t="str">
        <f>IFERROR(__xludf.DUMMYFUNCTION("iferror(if(A488="""", ,filter('Playoff IDR Import'!D:D,'Playoff IDR Import'!A:A=A488,'Playoff IDR Import'!C:C=C488)),)"),"")</f>
        <v/>
      </c>
      <c r="I488" s="58"/>
      <c r="J488" s="59" t="str">
        <f t="shared" si="1"/>
        <v/>
      </c>
    </row>
    <row r="489">
      <c r="A489" s="55"/>
      <c r="B489" s="60"/>
      <c r="C489" s="55"/>
      <c r="D489" s="54"/>
      <c r="E489" s="55"/>
      <c r="F489" s="62"/>
      <c r="G489" s="57"/>
      <c r="H489" s="58" t="str">
        <f>IFERROR(__xludf.DUMMYFUNCTION("iferror(if(A489="""", ,filter('Playoff IDR Import'!D:D,'Playoff IDR Import'!A:A=A489,'Playoff IDR Import'!C:C=C489)),)"),"")</f>
        <v/>
      </c>
      <c r="I489" s="58"/>
      <c r="J489" s="59" t="str">
        <f t="shared" si="1"/>
        <v/>
      </c>
    </row>
    <row r="490">
      <c r="A490" s="55"/>
      <c r="B490" s="60"/>
      <c r="C490" s="55"/>
      <c r="D490" s="54"/>
      <c r="E490" s="55"/>
      <c r="F490" s="62"/>
      <c r="G490" s="57"/>
      <c r="H490" s="58" t="str">
        <f>IFERROR(__xludf.DUMMYFUNCTION("iferror(if(A490="""", ,filter('Playoff IDR Import'!D:D,'Playoff IDR Import'!A:A=A490,'Playoff IDR Import'!C:C=C490)),)"),"")</f>
        <v/>
      </c>
      <c r="I490" s="58"/>
      <c r="J490" s="59" t="str">
        <f t="shared" si="1"/>
        <v/>
      </c>
    </row>
    <row r="491">
      <c r="A491" s="55"/>
      <c r="B491" s="60"/>
      <c r="C491" s="55"/>
      <c r="D491" s="54"/>
      <c r="E491" s="55"/>
      <c r="F491" s="62"/>
      <c r="G491" s="57"/>
      <c r="H491" s="58" t="str">
        <f>IFERROR(__xludf.DUMMYFUNCTION("iferror(if(A491="""", ,filter('Playoff IDR Import'!D:D,'Playoff IDR Import'!A:A=A491,'Playoff IDR Import'!C:C=C491)),)"),"")</f>
        <v/>
      </c>
      <c r="I491" s="58"/>
      <c r="J491" s="59" t="str">
        <f t="shared" si="1"/>
        <v/>
      </c>
    </row>
    <row r="492">
      <c r="A492" s="55"/>
      <c r="B492" s="60"/>
      <c r="C492" s="55"/>
      <c r="D492" s="54"/>
      <c r="E492" s="55"/>
      <c r="F492" s="62"/>
      <c r="G492" s="57"/>
      <c r="H492" s="58" t="str">
        <f>IFERROR(__xludf.DUMMYFUNCTION("iferror(if(A492="""", ,filter('Playoff IDR Import'!D:D,'Playoff IDR Import'!A:A=A492,'Playoff IDR Import'!C:C=C492)),)"),"")</f>
        <v/>
      </c>
      <c r="I492" s="58"/>
      <c r="J492" s="59" t="str">
        <f t="shared" si="1"/>
        <v/>
      </c>
    </row>
    <row r="493">
      <c r="A493" s="55"/>
      <c r="B493" s="60"/>
      <c r="C493" s="55"/>
      <c r="D493" s="54"/>
      <c r="E493" s="55"/>
      <c r="F493" s="62"/>
      <c r="G493" s="57"/>
      <c r="H493" s="58" t="str">
        <f>IFERROR(__xludf.DUMMYFUNCTION("iferror(if(A493="""", ,filter('Playoff IDR Import'!D:D,'Playoff IDR Import'!A:A=A493,'Playoff IDR Import'!C:C=C493)),)"),"")</f>
        <v/>
      </c>
      <c r="I493" s="58"/>
      <c r="J493" s="59" t="str">
        <f t="shared" si="1"/>
        <v/>
      </c>
    </row>
    <row r="494">
      <c r="A494" s="55"/>
      <c r="B494" s="60"/>
      <c r="C494" s="55"/>
      <c r="D494" s="54"/>
      <c r="E494" s="55"/>
      <c r="F494" s="62"/>
      <c r="G494" s="57"/>
      <c r="H494" s="58" t="str">
        <f>IFERROR(__xludf.DUMMYFUNCTION("iferror(if(A494="""", ,filter('Playoff IDR Import'!D:D,'Playoff IDR Import'!A:A=A494,'Playoff IDR Import'!C:C=C494)),)"),"")</f>
        <v/>
      </c>
      <c r="I494" s="58"/>
      <c r="J494" s="59" t="str">
        <f t="shared" si="1"/>
        <v/>
      </c>
    </row>
    <row r="495">
      <c r="A495" s="55"/>
      <c r="B495" s="60"/>
      <c r="C495" s="55"/>
      <c r="D495" s="54"/>
      <c r="E495" s="55"/>
      <c r="F495" s="62"/>
      <c r="G495" s="57"/>
      <c r="H495" s="58" t="str">
        <f>IFERROR(__xludf.DUMMYFUNCTION("iferror(if(A495="""", ,filter('Playoff IDR Import'!D:D,'Playoff IDR Import'!A:A=A495,'Playoff IDR Import'!C:C=C495)),)"),"")</f>
        <v/>
      </c>
      <c r="I495" s="58"/>
      <c r="J495" s="59" t="str">
        <f t="shared" si="1"/>
        <v/>
      </c>
    </row>
    <row r="496">
      <c r="A496" s="55"/>
      <c r="B496" s="60"/>
      <c r="C496" s="55"/>
      <c r="D496" s="54"/>
      <c r="E496" s="55"/>
      <c r="F496" s="62"/>
      <c r="G496" s="57"/>
      <c r="H496" s="58" t="str">
        <f>IFERROR(__xludf.DUMMYFUNCTION("iferror(if(A496="""", ,filter('Playoff IDR Import'!D:D,'Playoff IDR Import'!A:A=A496,'Playoff IDR Import'!C:C=C496)),)"),"")</f>
        <v/>
      </c>
      <c r="I496" s="58"/>
      <c r="J496" s="59" t="str">
        <f t="shared" si="1"/>
        <v/>
      </c>
    </row>
    <row r="497">
      <c r="A497" s="55"/>
      <c r="B497" s="60"/>
      <c r="C497" s="55"/>
      <c r="D497" s="54"/>
      <c r="E497" s="55"/>
      <c r="F497" s="62"/>
      <c r="G497" s="57"/>
      <c r="H497" s="58" t="str">
        <f>IFERROR(__xludf.DUMMYFUNCTION("iferror(if(A497="""", ,filter('Playoff IDR Import'!D:D,'Playoff IDR Import'!A:A=A497,'Playoff IDR Import'!C:C=C497)),)"),"")</f>
        <v/>
      </c>
      <c r="I497" s="58"/>
      <c r="J497" s="59" t="str">
        <f t="shared" si="1"/>
        <v/>
      </c>
    </row>
    <row r="498">
      <c r="A498" s="55"/>
      <c r="B498" s="60"/>
      <c r="C498" s="55"/>
      <c r="D498" s="54"/>
      <c r="E498" s="55"/>
      <c r="F498" s="62"/>
      <c r="G498" s="57"/>
      <c r="H498" s="58" t="str">
        <f>IFERROR(__xludf.DUMMYFUNCTION("iferror(if(A498="""", ,filter('Playoff IDR Import'!D:D,'Playoff IDR Import'!A:A=A498,'Playoff IDR Import'!C:C=C498)),)"),"")</f>
        <v/>
      </c>
      <c r="I498" s="58"/>
      <c r="J498" s="59" t="str">
        <f t="shared" si="1"/>
        <v/>
      </c>
    </row>
    <row r="499">
      <c r="A499" s="55"/>
      <c r="B499" s="60"/>
      <c r="C499" s="55"/>
      <c r="D499" s="54"/>
      <c r="E499" s="55"/>
      <c r="F499" s="62"/>
      <c r="G499" s="57"/>
      <c r="H499" s="58" t="str">
        <f>IFERROR(__xludf.DUMMYFUNCTION("iferror(if(A499="""", ,filter('Playoff IDR Import'!D:D,'Playoff IDR Import'!A:A=A499,'Playoff IDR Import'!C:C=C499)),)"),"")</f>
        <v/>
      </c>
      <c r="I499" s="58"/>
      <c r="J499" s="59" t="str">
        <f t="shared" si="1"/>
        <v/>
      </c>
    </row>
    <row r="500">
      <c r="A500" s="55"/>
      <c r="B500" s="60"/>
      <c r="C500" s="55"/>
      <c r="D500" s="54"/>
      <c r="E500" s="55"/>
      <c r="F500" s="62"/>
      <c r="G500" s="57"/>
      <c r="H500" s="58" t="str">
        <f>IFERROR(__xludf.DUMMYFUNCTION("iferror(if(A500="""", ,filter('Playoff IDR Import'!D:D,'Playoff IDR Import'!A:A=A500,'Playoff IDR Import'!C:C=C500)),)"),"")</f>
        <v/>
      </c>
      <c r="I500" s="58"/>
      <c r="J500" s="59" t="str">
        <f t="shared" si="1"/>
        <v/>
      </c>
    </row>
    <row r="501">
      <c r="A501" s="55"/>
      <c r="B501" s="60"/>
      <c r="C501" s="55"/>
      <c r="D501" s="54"/>
      <c r="E501" s="55"/>
      <c r="F501" s="62"/>
      <c r="G501" s="57"/>
      <c r="H501" s="58" t="str">
        <f>IFERROR(__xludf.DUMMYFUNCTION("iferror(if(A501="""", ,filter('Playoff IDR Import'!D:D,'Playoff IDR Import'!A:A=A501,'Playoff IDR Import'!C:C=C501)),)"),"")</f>
        <v/>
      </c>
      <c r="I501" s="58"/>
      <c r="J501" s="59" t="str">
        <f t="shared" si="1"/>
        <v/>
      </c>
    </row>
    <row r="502">
      <c r="A502" s="55"/>
      <c r="B502" s="60"/>
      <c r="C502" s="55"/>
      <c r="D502" s="54"/>
      <c r="E502" s="55"/>
      <c r="F502" s="62"/>
      <c r="G502" s="57"/>
      <c r="H502" s="58" t="str">
        <f>IFERROR(__xludf.DUMMYFUNCTION("iferror(if(A502="""", ,filter('Playoff IDR Import'!D:D,'Playoff IDR Import'!A:A=A502,'Playoff IDR Import'!C:C=C502)),)"),"")</f>
        <v/>
      </c>
      <c r="I502" s="58"/>
      <c r="J502" s="59" t="str">
        <f t="shared" si="1"/>
        <v/>
      </c>
    </row>
    <row r="503">
      <c r="A503" s="55"/>
      <c r="B503" s="60"/>
      <c r="C503" s="55"/>
      <c r="D503" s="54"/>
      <c r="E503" s="55"/>
      <c r="F503" s="62"/>
      <c r="G503" s="57"/>
      <c r="H503" s="58" t="str">
        <f>IFERROR(__xludf.DUMMYFUNCTION("iferror(if(A503="""", ,filter('Playoff IDR Import'!D:D,'Playoff IDR Import'!A:A=A503,'Playoff IDR Import'!C:C=C503)),)"),"")</f>
        <v/>
      </c>
      <c r="I503" s="58"/>
      <c r="J503" s="59" t="str">
        <f t="shared" si="1"/>
        <v/>
      </c>
    </row>
    <row r="504">
      <c r="A504" s="55"/>
      <c r="B504" s="60"/>
      <c r="C504" s="55"/>
      <c r="D504" s="54"/>
      <c r="E504" s="55"/>
      <c r="F504" s="62"/>
      <c r="G504" s="57"/>
      <c r="H504" s="58" t="str">
        <f>IFERROR(__xludf.DUMMYFUNCTION("iferror(if(A504="""", ,filter('Playoff IDR Import'!D:D,'Playoff IDR Import'!A:A=A504,'Playoff IDR Import'!C:C=C504)),)"),"")</f>
        <v/>
      </c>
      <c r="I504" s="58"/>
      <c r="J504" s="59" t="str">
        <f t="shared" si="1"/>
        <v/>
      </c>
    </row>
    <row r="505">
      <c r="A505" s="55"/>
      <c r="B505" s="60"/>
      <c r="C505" s="55"/>
      <c r="D505" s="54"/>
      <c r="E505" s="55"/>
      <c r="F505" s="62"/>
      <c r="G505" s="57"/>
      <c r="H505" s="58" t="str">
        <f>IFERROR(__xludf.DUMMYFUNCTION("iferror(if(A505="""", ,filter('Playoff IDR Import'!D:D,'Playoff IDR Import'!A:A=A505,'Playoff IDR Import'!C:C=C505)),)"),"")</f>
        <v/>
      </c>
      <c r="I505" s="58"/>
      <c r="J505" s="59" t="str">
        <f t="shared" si="1"/>
        <v/>
      </c>
    </row>
    <row r="506">
      <c r="A506" s="55"/>
      <c r="B506" s="60"/>
      <c r="C506" s="55"/>
      <c r="D506" s="54"/>
      <c r="E506" s="55"/>
      <c r="F506" s="62"/>
      <c r="G506" s="57"/>
      <c r="H506" s="58" t="str">
        <f>IFERROR(__xludf.DUMMYFUNCTION("iferror(if(A506="""", ,filter('Playoff IDR Import'!D:D,'Playoff IDR Import'!A:A=A506,'Playoff IDR Import'!C:C=C506)),)"),"")</f>
        <v/>
      </c>
      <c r="I506" s="58"/>
      <c r="J506" s="59" t="str">
        <f t="shared" si="1"/>
        <v/>
      </c>
    </row>
    <row r="507">
      <c r="A507" s="55"/>
      <c r="B507" s="60"/>
      <c r="C507" s="55"/>
      <c r="D507" s="54"/>
      <c r="E507" s="55"/>
      <c r="F507" s="62"/>
      <c r="G507" s="57"/>
      <c r="H507" s="58" t="str">
        <f>IFERROR(__xludf.DUMMYFUNCTION("iferror(if(A507="""", ,filter('Playoff IDR Import'!D:D,'Playoff IDR Import'!A:A=A507,'Playoff IDR Import'!C:C=C507)),)"),"")</f>
        <v/>
      </c>
      <c r="I507" s="58"/>
      <c r="J507" s="59" t="str">
        <f t="shared" si="1"/>
        <v/>
      </c>
    </row>
    <row r="508">
      <c r="A508" s="55"/>
      <c r="B508" s="60"/>
      <c r="C508" s="55"/>
      <c r="D508" s="54"/>
      <c r="E508" s="55"/>
      <c r="F508" s="62"/>
      <c r="G508" s="57"/>
      <c r="H508" s="58" t="str">
        <f>IFERROR(__xludf.DUMMYFUNCTION("iferror(if(A508="""", ,filter('Playoff IDR Import'!D:D,'Playoff IDR Import'!A:A=A508,'Playoff IDR Import'!C:C=C508)),)"),"")</f>
        <v/>
      </c>
      <c r="I508" s="58"/>
      <c r="J508" s="59" t="str">
        <f t="shared" si="1"/>
        <v/>
      </c>
    </row>
    <row r="509">
      <c r="A509" s="55"/>
      <c r="B509" s="60"/>
      <c r="C509" s="55"/>
      <c r="D509" s="54"/>
      <c r="E509" s="55"/>
      <c r="F509" s="62"/>
      <c r="G509" s="57"/>
      <c r="H509" s="58" t="str">
        <f>IFERROR(__xludf.DUMMYFUNCTION("iferror(if(A509="""", ,filter('Playoff IDR Import'!D:D,'Playoff IDR Import'!A:A=A509,'Playoff IDR Import'!C:C=C509)),)"),"")</f>
        <v/>
      </c>
      <c r="I509" s="58"/>
      <c r="J509" s="59" t="str">
        <f t="shared" si="1"/>
        <v/>
      </c>
    </row>
    <row r="510">
      <c r="A510" s="55"/>
      <c r="B510" s="60"/>
      <c r="C510" s="55"/>
      <c r="D510" s="54"/>
      <c r="E510" s="55"/>
      <c r="F510" s="62"/>
      <c r="G510" s="57"/>
      <c r="H510" s="58" t="str">
        <f>IFERROR(__xludf.DUMMYFUNCTION("iferror(if(A510="""", ,filter('Playoff IDR Import'!D:D,'Playoff IDR Import'!A:A=A510,'Playoff IDR Import'!C:C=C510)),)"),"")</f>
        <v/>
      </c>
      <c r="I510" s="58"/>
      <c r="J510" s="59" t="str">
        <f t="shared" si="1"/>
        <v/>
      </c>
    </row>
    <row r="511">
      <c r="A511" s="55"/>
      <c r="B511" s="60"/>
      <c r="C511" s="55"/>
      <c r="D511" s="54"/>
      <c r="E511" s="55"/>
      <c r="F511" s="62"/>
      <c r="G511" s="57"/>
      <c r="H511" s="58" t="str">
        <f>IFERROR(__xludf.DUMMYFUNCTION("iferror(if(A511="""", ,filter('Playoff IDR Import'!D:D,'Playoff IDR Import'!A:A=A511,'Playoff IDR Import'!C:C=C511)),)"),"")</f>
        <v/>
      </c>
      <c r="I511" s="58"/>
      <c r="J511" s="59" t="str">
        <f t="shared" si="1"/>
        <v/>
      </c>
    </row>
    <row r="512">
      <c r="A512" s="55"/>
      <c r="B512" s="60"/>
      <c r="C512" s="55"/>
      <c r="D512" s="54"/>
      <c r="E512" s="55"/>
      <c r="F512" s="62"/>
      <c r="G512" s="57"/>
      <c r="H512" s="58" t="str">
        <f>IFERROR(__xludf.DUMMYFUNCTION("iferror(if(A512="""", ,filter('Playoff IDR Import'!D:D,'Playoff IDR Import'!A:A=A512,'Playoff IDR Import'!C:C=C512)),)"),"")</f>
        <v/>
      </c>
      <c r="I512" s="58"/>
      <c r="J512" s="59" t="str">
        <f t="shared" si="1"/>
        <v/>
      </c>
    </row>
    <row r="513">
      <c r="A513" s="55"/>
      <c r="B513" s="60"/>
      <c r="C513" s="55"/>
      <c r="D513" s="54"/>
      <c r="E513" s="55"/>
      <c r="F513" s="62"/>
      <c r="G513" s="57"/>
      <c r="H513" s="58" t="str">
        <f>IFERROR(__xludf.DUMMYFUNCTION("iferror(if(A513="""", ,filter('Playoff IDR Import'!D:D,'Playoff IDR Import'!A:A=A513,'Playoff IDR Import'!C:C=C513)),)"),"")</f>
        <v/>
      </c>
      <c r="I513" s="58"/>
      <c r="J513" s="59" t="str">
        <f t="shared" si="1"/>
        <v/>
      </c>
    </row>
    <row r="514">
      <c r="A514" s="55"/>
      <c r="B514" s="60"/>
      <c r="C514" s="55"/>
      <c r="D514" s="54"/>
      <c r="E514" s="55"/>
      <c r="F514" s="62"/>
      <c r="G514" s="57"/>
      <c r="H514" s="58" t="str">
        <f>IFERROR(__xludf.DUMMYFUNCTION("iferror(if(A514="""", ,filter('Playoff IDR Import'!D:D,'Playoff IDR Import'!A:A=A514,'Playoff IDR Import'!C:C=C514)),)"),"")</f>
        <v/>
      </c>
      <c r="I514" s="58"/>
      <c r="J514" s="59" t="str">
        <f t="shared" si="1"/>
        <v/>
      </c>
    </row>
    <row r="515">
      <c r="A515" s="55"/>
      <c r="B515" s="60"/>
      <c r="C515" s="55"/>
      <c r="D515" s="54"/>
      <c r="E515" s="55"/>
      <c r="F515" s="62"/>
      <c r="G515" s="57"/>
      <c r="H515" s="58" t="str">
        <f>IFERROR(__xludf.DUMMYFUNCTION("iferror(if(A515="""", ,filter('Playoff IDR Import'!D:D,'Playoff IDR Import'!A:A=A515,'Playoff IDR Import'!C:C=C515)),)"),"")</f>
        <v/>
      </c>
      <c r="I515" s="58"/>
      <c r="J515" s="59" t="str">
        <f t="shared" si="1"/>
        <v/>
      </c>
    </row>
    <row r="516">
      <c r="A516" s="55"/>
      <c r="B516" s="60"/>
      <c r="C516" s="55"/>
      <c r="D516" s="54"/>
      <c r="E516" s="55"/>
      <c r="F516" s="62"/>
      <c r="G516" s="57"/>
      <c r="H516" s="58" t="str">
        <f>IFERROR(__xludf.DUMMYFUNCTION("iferror(if(A516="""", ,filter('Playoff IDR Import'!D:D,'Playoff IDR Import'!A:A=A516,'Playoff IDR Import'!C:C=C516)),)"),"")</f>
        <v/>
      </c>
      <c r="I516" s="58"/>
      <c r="J516" s="59" t="str">
        <f t="shared" si="1"/>
        <v/>
      </c>
    </row>
    <row r="517">
      <c r="A517" s="55"/>
      <c r="B517" s="60"/>
      <c r="C517" s="55"/>
      <c r="D517" s="54"/>
      <c r="E517" s="55"/>
      <c r="F517" s="62"/>
      <c r="G517" s="57"/>
      <c r="H517" s="58" t="str">
        <f>IFERROR(__xludf.DUMMYFUNCTION("iferror(if(A517="""", ,filter('Playoff IDR Import'!D:D,'Playoff IDR Import'!A:A=A517,'Playoff IDR Import'!C:C=C517)),)"),"")</f>
        <v/>
      </c>
      <c r="I517" s="58"/>
      <c r="J517" s="59" t="str">
        <f t="shared" si="1"/>
        <v/>
      </c>
    </row>
    <row r="518">
      <c r="A518" s="55"/>
      <c r="B518" s="60"/>
      <c r="C518" s="55"/>
      <c r="D518" s="54"/>
      <c r="E518" s="55"/>
      <c r="F518" s="62"/>
      <c r="G518" s="57"/>
      <c r="H518" s="58" t="str">
        <f>IFERROR(__xludf.DUMMYFUNCTION("iferror(if(A518="""", ,filter('Playoff IDR Import'!D:D,'Playoff IDR Import'!A:A=A518,'Playoff IDR Import'!C:C=C518)),)"),"")</f>
        <v/>
      </c>
      <c r="I518" s="58"/>
      <c r="J518" s="59" t="str">
        <f t="shared" si="1"/>
        <v/>
      </c>
    </row>
    <row r="519">
      <c r="A519" s="55"/>
      <c r="B519" s="60"/>
      <c r="C519" s="55"/>
      <c r="D519" s="54"/>
      <c r="E519" s="55"/>
      <c r="F519" s="62"/>
      <c r="G519" s="57"/>
      <c r="H519" s="58" t="str">
        <f>IFERROR(__xludf.DUMMYFUNCTION("iferror(if(A519="""", ,filter('Playoff IDR Import'!D:D,'Playoff IDR Import'!A:A=A519,'Playoff IDR Import'!C:C=C519)),)"),"")</f>
        <v/>
      </c>
      <c r="I519" s="58"/>
      <c r="J519" s="59" t="str">
        <f t="shared" si="1"/>
        <v/>
      </c>
    </row>
    <row r="520">
      <c r="A520" s="55"/>
      <c r="B520" s="60"/>
      <c r="C520" s="55"/>
      <c r="D520" s="54"/>
      <c r="E520" s="55"/>
      <c r="F520" s="62"/>
      <c r="G520" s="57"/>
      <c r="H520" s="58" t="str">
        <f>IFERROR(__xludf.DUMMYFUNCTION("iferror(if(A520="""", ,filter('Playoff IDR Import'!D:D,'Playoff IDR Import'!A:A=A520,'Playoff IDR Import'!C:C=C520)),)"),"")</f>
        <v/>
      </c>
      <c r="I520" s="58"/>
      <c r="J520" s="59" t="str">
        <f t="shared" si="1"/>
        <v/>
      </c>
    </row>
    <row r="521">
      <c r="A521" s="55"/>
      <c r="B521" s="60"/>
      <c r="C521" s="55"/>
      <c r="D521" s="54"/>
      <c r="E521" s="55"/>
      <c r="F521" s="62"/>
      <c r="G521" s="57"/>
      <c r="H521" s="58" t="str">
        <f>IFERROR(__xludf.DUMMYFUNCTION("iferror(if(A521="""", ,filter('Playoff IDR Import'!D:D,'Playoff IDR Import'!A:A=A521,'Playoff IDR Import'!C:C=C521)),)"),"")</f>
        <v/>
      </c>
      <c r="I521" s="58"/>
      <c r="J521" s="59" t="str">
        <f t="shared" si="1"/>
        <v/>
      </c>
    </row>
    <row r="522">
      <c r="A522" s="55"/>
      <c r="B522" s="60"/>
      <c r="C522" s="55"/>
      <c r="D522" s="54"/>
      <c r="E522" s="55"/>
      <c r="F522" s="62"/>
      <c r="G522" s="57"/>
      <c r="H522" s="58" t="str">
        <f>IFERROR(__xludf.DUMMYFUNCTION("iferror(if(A522="""", ,filter('Playoff IDR Import'!D:D,'Playoff IDR Import'!A:A=A522,'Playoff IDR Import'!C:C=C522)),)"),"")</f>
        <v/>
      </c>
      <c r="I522" s="58"/>
      <c r="J522" s="59" t="str">
        <f t="shared" si="1"/>
        <v/>
      </c>
    </row>
    <row r="523">
      <c r="A523" s="55"/>
      <c r="B523" s="60"/>
      <c r="C523" s="55"/>
      <c r="D523" s="54"/>
      <c r="E523" s="55"/>
      <c r="F523" s="62"/>
      <c r="G523" s="57"/>
      <c r="H523" s="58" t="str">
        <f>IFERROR(__xludf.DUMMYFUNCTION("iferror(if(A523="""", ,filter('Playoff IDR Import'!D:D,'Playoff IDR Import'!A:A=A523,'Playoff IDR Import'!C:C=C523)),)"),"")</f>
        <v/>
      </c>
      <c r="I523" s="58"/>
      <c r="J523" s="59" t="str">
        <f t="shared" si="1"/>
        <v/>
      </c>
    </row>
    <row r="524">
      <c r="A524" s="55"/>
      <c r="B524" s="60"/>
      <c r="C524" s="55"/>
      <c r="D524" s="54"/>
      <c r="E524" s="55"/>
      <c r="F524" s="62"/>
      <c r="G524" s="57"/>
      <c r="H524" s="58" t="str">
        <f>IFERROR(__xludf.DUMMYFUNCTION("iferror(if(A524="""", ,filter('Playoff IDR Import'!D:D,'Playoff IDR Import'!A:A=A524,'Playoff IDR Import'!C:C=C524)),)"),"")</f>
        <v/>
      </c>
      <c r="I524" s="58"/>
      <c r="J524" s="59" t="str">
        <f t="shared" si="1"/>
        <v/>
      </c>
    </row>
    <row r="525">
      <c r="A525" s="55"/>
      <c r="B525" s="60"/>
      <c r="C525" s="55"/>
      <c r="D525" s="54"/>
      <c r="E525" s="55"/>
      <c r="F525" s="62"/>
      <c r="G525" s="57"/>
      <c r="H525" s="58" t="str">
        <f>IFERROR(__xludf.DUMMYFUNCTION("iferror(if(A525="""", ,filter('Playoff IDR Import'!D:D,'Playoff IDR Import'!A:A=A525,'Playoff IDR Import'!C:C=C525)),)"),"")</f>
        <v/>
      </c>
      <c r="I525" s="58"/>
      <c r="J525" s="59" t="str">
        <f t="shared" si="1"/>
        <v/>
      </c>
    </row>
    <row r="526">
      <c r="A526" s="55"/>
      <c r="B526" s="60"/>
      <c r="C526" s="55"/>
      <c r="D526" s="54"/>
      <c r="E526" s="55"/>
      <c r="F526" s="62"/>
      <c r="G526" s="57"/>
      <c r="H526" s="58" t="str">
        <f>IFERROR(__xludf.DUMMYFUNCTION("iferror(if(A526="""", ,filter('Playoff IDR Import'!D:D,'Playoff IDR Import'!A:A=A526,'Playoff IDR Import'!C:C=C526)),)"),"")</f>
        <v/>
      </c>
      <c r="I526" s="58"/>
      <c r="J526" s="59" t="str">
        <f t="shared" si="1"/>
        <v/>
      </c>
    </row>
    <row r="527">
      <c r="A527" s="55"/>
      <c r="B527" s="60"/>
      <c r="C527" s="55"/>
      <c r="D527" s="54"/>
      <c r="E527" s="55"/>
      <c r="F527" s="62"/>
      <c r="G527" s="57"/>
      <c r="H527" s="58" t="str">
        <f>IFERROR(__xludf.DUMMYFUNCTION("iferror(if(A527="""", ,filter('Playoff IDR Import'!D:D,'Playoff IDR Import'!A:A=A527,'Playoff IDR Import'!C:C=C527)),)"),"")</f>
        <v/>
      </c>
      <c r="I527" s="58"/>
      <c r="J527" s="59" t="str">
        <f t="shared" si="1"/>
        <v/>
      </c>
    </row>
    <row r="528">
      <c r="A528" s="55"/>
      <c r="B528" s="60"/>
      <c r="C528" s="55"/>
      <c r="D528" s="54"/>
      <c r="E528" s="55"/>
      <c r="F528" s="62"/>
      <c r="G528" s="57"/>
      <c r="H528" s="58" t="str">
        <f>IFERROR(__xludf.DUMMYFUNCTION("iferror(if(A528="""", ,filter('Playoff IDR Import'!D:D,'Playoff IDR Import'!A:A=A528,'Playoff IDR Import'!C:C=C528)),)"),"")</f>
        <v/>
      </c>
      <c r="I528" s="58"/>
      <c r="J528" s="59" t="str">
        <f t="shared" si="1"/>
        <v/>
      </c>
    </row>
    <row r="529">
      <c r="A529" s="55"/>
      <c r="B529" s="60"/>
      <c r="C529" s="55"/>
      <c r="D529" s="54"/>
      <c r="E529" s="55"/>
      <c r="F529" s="62"/>
      <c r="G529" s="57"/>
      <c r="H529" s="58" t="str">
        <f>IFERROR(__xludf.DUMMYFUNCTION("iferror(if(A529="""", ,filter('Playoff IDR Import'!D:D,'Playoff IDR Import'!A:A=A529,'Playoff IDR Import'!C:C=C529)),)"),"")</f>
        <v/>
      </c>
      <c r="I529" s="58"/>
      <c r="J529" s="59" t="str">
        <f t="shared" si="1"/>
        <v/>
      </c>
    </row>
    <row r="530">
      <c r="A530" s="55"/>
      <c r="B530" s="60"/>
      <c r="C530" s="55"/>
      <c r="D530" s="54"/>
      <c r="E530" s="55"/>
      <c r="F530" s="62"/>
      <c r="G530" s="57"/>
      <c r="H530" s="58" t="str">
        <f>IFERROR(__xludf.DUMMYFUNCTION("iferror(if(A530="""", ,filter('Playoff IDR Import'!D:D,'Playoff IDR Import'!A:A=A530,'Playoff IDR Import'!C:C=C530)),)"),"")</f>
        <v/>
      </c>
      <c r="I530" s="58"/>
      <c r="J530" s="59" t="str">
        <f t="shared" si="1"/>
        <v/>
      </c>
    </row>
    <row r="531">
      <c r="A531" s="55"/>
      <c r="B531" s="60"/>
      <c r="C531" s="55"/>
      <c r="D531" s="54"/>
      <c r="E531" s="55"/>
      <c r="F531" s="62"/>
      <c r="G531" s="57"/>
      <c r="H531" s="58" t="str">
        <f>IFERROR(__xludf.DUMMYFUNCTION("iferror(if(A531="""", ,filter('Playoff IDR Import'!D:D,'Playoff IDR Import'!A:A=A531,'Playoff IDR Import'!C:C=C531)),)"),"")</f>
        <v/>
      </c>
      <c r="I531" s="58"/>
      <c r="J531" s="59" t="str">
        <f t="shared" si="1"/>
        <v/>
      </c>
    </row>
    <row r="532">
      <c r="A532" s="55"/>
      <c r="B532" s="60"/>
      <c r="C532" s="55"/>
      <c r="D532" s="54"/>
      <c r="E532" s="55"/>
      <c r="F532" s="62"/>
      <c r="G532" s="57"/>
      <c r="H532" s="58" t="str">
        <f>IFERROR(__xludf.DUMMYFUNCTION("iferror(if(A532="""", ,filter('Playoff IDR Import'!D:D,'Playoff IDR Import'!A:A=A532,'Playoff IDR Import'!C:C=C532)),)"),"")</f>
        <v/>
      </c>
      <c r="I532" s="58"/>
      <c r="J532" s="59" t="str">
        <f t="shared" si="1"/>
        <v/>
      </c>
    </row>
    <row r="533">
      <c r="A533" s="55"/>
      <c r="B533" s="60"/>
      <c r="C533" s="55"/>
      <c r="D533" s="54"/>
      <c r="E533" s="55"/>
      <c r="F533" s="62"/>
      <c r="G533" s="57"/>
      <c r="H533" s="58" t="str">
        <f>IFERROR(__xludf.DUMMYFUNCTION("iferror(if(A533="""", ,filter('Playoff IDR Import'!D:D,'Playoff IDR Import'!A:A=A533,'Playoff IDR Import'!C:C=C533)),)"),"")</f>
        <v/>
      </c>
      <c r="I533" s="58"/>
      <c r="J533" s="59" t="str">
        <f t="shared" si="1"/>
        <v/>
      </c>
    </row>
    <row r="534">
      <c r="A534" s="55"/>
      <c r="B534" s="60"/>
      <c r="C534" s="55"/>
      <c r="D534" s="54"/>
      <c r="E534" s="55"/>
      <c r="F534" s="62"/>
      <c r="G534" s="57"/>
      <c r="H534" s="58" t="str">
        <f>IFERROR(__xludf.DUMMYFUNCTION("iferror(if(A534="""", ,filter('Playoff IDR Import'!D:D,'Playoff IDR Import'!A:A=A534,'Playoff IDR Import'!C:C=C534)),)"),"")</f>
        <v/>
      </c>
      <c r="I534" s="58"/>
      <c r="J534" s="59" t="str">
        <f t="shared" si="1"/>
        <v/>
      </c>
    </row>
    <row r="535">
      <c r="A535" s="55"/>
      <c r="B535" s="60"/>
      <c r="C535" s="55"/>
      <c r="D535" s="54"/>
      <c r="E535" s="55"/>
      <c r="F535" s="62"/>
      <c r="G535" s="57"/>
      <c r="H535" s="58" t="str">
        <f>IFERROR(__xludf.DUMMYFUNCTION("iferror(if(A535="""", ,filter('Playoff IDR Import'!D:D,'Playoff IDR Import'!A:A=A535,'Playoff IDR Import'!C:C=C535)),)"),"")</f>
        <v/>
      </c>
      <c r="I535" s="58"/>
      <c r="J535" s="59" t="str">
        <f t="shared" si="1"/>
        <v/>
      </c>
    </row>
    <row r="536">
      <c r="A536" s="55"/>
      <c r="B536" s="60"/>
      <c r="C536" s="55"/>
      <c r="D536" s="54"/>
      <c r="E536" s="55"/>
      <c r="F536" s="62"/>
      <c r="G536" s="57"/>
      <c r="H536" s="58" t="str">
        <f>IFERROR(__xludf.DUMMYFUNCTION("iferror(if(A536="""", ,filter('Playoff IDR Import'!D:D,'Playoff IDR Import'!A:A=A536,'Playoff IDR Import'!C:C=C536)),)"),"")</f>
        <v/>
      </c>
      <c r="I536" s="58"/>
      <c r="J536" s="59" t="str">
        <f t="shared" si="1"/>
        <v/>
      </c>
    </row>
    <row r="537">
      <c r="A537" s="55"/>
      <c r="B537" s="60"/>
      <c r="C537" s="55"/>
      <c r="D537" s="54"/>
      <c r="E537" s="55"/>
      <c r="F537" s="62"/>
      <c r="G537" s="57"/>
      <c r="H537" s="58" t="str">
        <f>IFERROR(__xludf.DUMMYFUNCTION("iferror(if(A537="""", ,filter('Playoff IDR Import'!D:D,'Playoff IDR Import'!A:A=A537,'Playoff IDR Import'!C:C=C537)),)"),"")</f>
        <v/>
      </c>
      <c r="I537" s="58"/>
      <c r="J537" s="59" t="str">
        <f t="shared" si="1"/>
        <v/>
      </c>
    </row>
    <row r="538">
      <c r="A538" s="55"/>
      <c r="B538" s="60"/>
      <c r="C538" s="55"/>
      <c r="D538" s="54"/>
      <c r="E538" s="55"/>
      <c r="F538" s="62"/>
      <c r="G538" s="57"/>
      <c r="H538" s="58" t="str">
        <f>IFERROR(__xludf.DUMMYFUNCTION("iferror(if(A538="""", ,filter('Playoff IDR Import'!D:D,'Playoff IDR Import'!A:A=A538,'Playoff IDR Import'!C:C=C538)),)"),"")</f>
        <v/>
      </c>
      <c r="I538" s="58"/>
      <c r="J538" s="59" t="str">
        <f t="shared" si="1"/>
        <v/>
      </c>
    </row>
    <row r="539">
      <c r="A539" s="55"/>
      <c r="B539" s="60"/>
      <c r="C539" s="55"/>
      <c r="D539" s="54"/>
      <c r="E539" s="55"/>
      <c r="F539" s="62"/>
      <c r="G539" s="57"/>
      <c r="H539" s="58" t="str">
        <f>IFERROR(__xludf.DUMMYFUNCTION("iferror(if(A539="""", ,filter('Playoff IDR Import'!D:D,'Playoff IDR Import'!A:A=A539,'Playoff IDR Import'!C:C=C539)),)"),"")</f>
        <v/>
      </c>
      <c r="I539" s="58"/>
      <c r="J539" s="59" t="str">
        <f t="shared" si="1"/>
        <v/>
      </c>
    </row>
    <row r="540">
      <c r="A540" s="55"/>
      <c r="B540" s="60"/>
      <c r="C540" s="55"/>
      <c r="D540" s="54"/>
      <c r="E540" s="55"/>
      <c r="F540" s="62"/>
      <c r="G540" s="57"/>
      <c r="H540" s="58" t="str">
        <f>IFERROR(__xludf.DUMMYFUNCTION("iferror(if(A540="""", ,filter('Playoff IDR Import'!D:D,'Playoff IDR Import'!A:A=A540,'Playoff IDR Import'!C:C=C540)),)"),"")</f>
        <v/>
      </c>
      <c r="I540" s="58"/>
      <c r="J540" s="59" t="str">
        <f t="shared" si="1"/>
        <v/>
      </c>
    </row>
    <row r="541">
      <c r="A541" s="55"/>
      <c r="B541" s="60"/>
      <c r="C541" s="55"/>
      <c r="D541" s="54"/>
      <c r="E541" s="55"/>
      <c r="F541" s="62"/>
      <c r="G541" s="57"/>
      <c r="H541" s="58" t="str">
        <f>IFERROR(__xludf.DUMMYFUNCTION("iferror(if(A541="""", ,filter('Playoff IDR Import'!D:D,'Playoff IDR Import'!A:A=A541,'Playoff IDR Import'!C:C=C541)),)"),"")</f>
        <v/>
      </c>
      <c r="I541" s="58"/>
      <c r="J541" s="59" t="str">
        <f t="shared" si="1"/>
        <v/>
      </c>
    </row>
    <row r="542">
      <c r="A542" s="55"/>
      <c r="B542" s="60"/>
      <c r="C542" s="55"/>
      <c r="D542" s="54"/>
      <c r="E542" s="55"/>
      <c r="F542" s="62"/>
      <c r="G542" s="57"/>
      <c r="H542" s="58" t="str">
        <f>IFERROR(__xludf.DUMMYFUNCTION("iferror(if(A542="""", ,filter('Playoff IDR Import'!D:D,'Playoff IDR Import'!A:A=A542,'Playoff IDR Import'!C:C=C542)),)"),"")</f>
        <v/>
      </c>
      <c r="I542" s="58"/>
      <c r="J542" s="59" t="str">
        <f t="shared" si="1"/>
        <v/>
      </c>
    </row>
    <row r="543">
      <c r="A543" s="55"/>
      <c r="B543" s="60"/>
      <c r="C543" s="55"/>
      <c r="D543" s="54"/>
      <c r="E543" s="55"/>
      <c r="F543" s="62"/>
      <c r="G543" s="57"/>
      <c r="H543" s="58" t="str">
        <f>IFERROR(__xludf.DUMMYFUNCTION("iferror(if(A543="""", ,filter('Playoff IDR Import'!D:D,'Playoff IDR Import'!A:A=A543,'Playoff IDR Import'!C:C=C543)),)"),"")</f>
        <v/>
      </c>
      <c r="I543" s="58"/>
      <c r="J543" s="59" t="str">
        <f t="shared" si="1"/>
        <v/>
      </c>
    </row>
    <row r="544">
      <c r="A544" s="55"/>
      <c r="B544" s="60"/>
      <c r="C544" s="55"/>
      <c r="D544" s="54"/>
      <c r="E544" s="55"/>
      <c r="F544" s="62"/>
      <c r="G544" s="57"/>
      <c r="H544" s="58" t="str">
        <f>IFERROR(__xludf.DUMMYFUNCTION("iferror(if(A544="""", ,filter('Playoff IDR Import'!D:D,'Playoff IDR Import'!A:A=A544,'Playoff IDR Import'!C:C=C544)),)"),"")</f>
        <v/>
      </c>
      <c r="I544" s="58"/>
      <c r="J544" s="59" t="str">
        <f t="shared" si="1"/>
        <v/>
      </c>
    </row>
    <row r="545">
      <c r="A545" s="55"/>
      <c r="B545" s="60"/>
      <c r="C545" s="55"/>
      <c r="D545" s="54"/>
      <c r="E545" s="55"/>
      <c r="F545" s="62"/>
      <c r="G545" s="57"/>
      <c r="H545" s="58" t="str">
        <f>IFERROR(__xludf.DUMMYFUNCTION("iferror(if(A545="""", ,filter('Playoff IDR Import'!D:D,'Playoff IDR Import'!A:A=A545,'Playoff IDR Import'!C:C=C545)),)"),"")</f>
        <v/>
      </c>
      <c r="I545" s="58"/>
      <c r="J545" s="59" t="str">
        <f t="shared" si="1"/>
        <v/>
      </c>
    </row>
    <row r="546">
      <c r="A546" s="55"/>
      <c r="B546" s="60"/>
      <c r="C546" s="55"/>
      <c r="D546" s="54"/>
      <c r="E546" s="55"/>
      <c r="F546" s="62"/>
      <c r="G546" s="57"/>
      <c r="H546" s="58" t="str">
        <f>IFERROR(__xludf.DUMMYFUNCTION("iferror(if(A546="""", ,filter('Playoff IDR Import'!D:D,'Playoff IDR Import'!A:A=A546,'Playoff IDR Import'!C:C=C546)),)"),"")</f>
        <v/>
      </c>
      <c r="I546" s="58"/>
      <c r="J546" s="59" t="str">
        <f t="shared" si="1"/>
        <v/>
      </c>
    </row>
    <row r="547">
      <c r="A547" s="55"/>
      <c r="B547" s="60"/>
      <c r="C547" s="55"/>
      <c r="D547" s="54"/>
      <c r="E547" s="55"/>
      <c r="F547" s="62"/>
      <c r="G547" s="57"/>
      <c r="H547" s="58" t="str">
        <f>IFERROR(__xludf.DUMMYFUNCTION("iferror(if(A547="""", ,filter('Playoff IDR Import'!D:D,'Playoff IDR Import'!A:A=A547,'Playoff IDR Import'!C:C=C547)),)"),"")</f>
        <v/>
      </c>
      <c r="I547" s="58"/>
      <c r="J547" s="59" t="str">
        <f t="shared" si="1"/>
        <v/>
      </c>
    </row>
    <row r="548">
      <c r="A548" s="55"/>
      <c r="B548" s="60"/>
      <c r="C548" s="55"/>
      <c r="D548" s="54"/>
      <c r="E548" s="55"/>
      <c r="F548" s="62"/>
      <c r="G548" s="57"/>
      <c r="H548" s="58" t="str">
        <f>IFERROR(__xludf.DUMMYFUNCTION("iferror(if(A548="""", ,filter('Playoff IDR Import'!D:D,'Playoff IDR Import'!A:A=A548,'Playoff IDR Import'!C:C=C548)),)"),"")</f>
        <v/>
      </c>
      <c r="I548" s="58"/>
      <c r="J548" s="59" t="str">
        <f t="shared" si="1"/>
        <v/>
      </c>
    </row>
    <row r="549">
      <c r="A549" s="55"/>
      <c r="B549" s="60"/>
      <c r="C549" s="55"/>
      <c r="D549" s="54"/>
      <c r="E549" s="55"/>
      <c r="F549" s="62"/>
      <c r="G549" s="57"/>
      <c r="H549" s="58" t="str">
        <f>IFERROR(__xludf.DUMMYFUNCTION("iferror(if(A549="""", ,filter('Playoff IDR Import'!D:D,'Playoff IDR Import'!A:A=A549,'Playoff IDR Import'!C:C=C549)),)"),"")</f>
        <v/>
      </c>
      <c r="I549" s="58"/>
      <c r="J549" s="59" t="str">
        <f t="shared" si="1"/>
        <v/>
      </c>
    </row>
    <row r="550">
      <c r="A550" s="55"/>
      <c r="B550" s="60"/>
      <c r="C550" s="55"/>
      <c r="D550" s="54"/>
      <c r="E550" s="55"/>
      <c r="F550" s="62"/>
      <c r="G550" s="57"/>
      <c r="H550" s="58" t="str">
        <f>IFERROR(__xludf.DUMMYFUNCTION("iferror(if(A550="""", ,filter('Playoff IDR Import'!D:D,'Playoff IDR Import'!A:A=A550,'Playoff IDR Import'!C:C=C550)),)"),"")</f>
        <v/>
      </c>
      <c r="I550" s="58"/>
      <c r="J550" s="59" t="str">
        <f t="shared" si="1"/>
        <v/>
      </c>
    </row>
    <row r="551">
      <c r="A551" s="55"/>
      <c r="B551" s="60"/>
      <c r="C551" s="55"/>
      <c r="D551" s="54"/>
      <c r="E551" s="55"/>
      <c r="F551" s="62"/>
      <c r="G551" s="57"/>
      <c r="H551" s="58" t="str">
        <f>IFERROR(__xludf.DUMMYFUNCTION("iferror(if(A551="""", ,filter('Playoff IDR Import'!D:D,'Playoff IDR Import'!A:A=A551,'Playoff IDR Import'!C:C=C551)),)"),"")</f>
        <v/>
      </c>
      <c r="I551" s="58"/>
      <c r="J551" s="59" t="str">
        <f t="shared" si="1"/>
        <v/>
      </c>
    </row>
    <row r="552">
      <c r="A552" s="55"/>
      <c r="B552" s="60"/>
      <c r="C552" s="55"/>
      <c r="D552" s="54"/>
      <c r="E552" s="55"/>
      <c r="F552" s="62"/>
      <c r="G552" s="57"/>
      <c r="H552" s="58" t="str">
        <f>IFERROR(__xludf.DUMMYFUNCTION("iferror(if(A552="""", ,filter('Playoff IDR Import'!D:D,'Playoff IDR Import'!A:A=A552,'Playoff IDR Import'!C:C=C552)),)"),"")</f>
        <v/>
      </c>
      <c r="I552" s="58"/>
      <c r="J552" s="59" t="str">
        <f t="shared" si="1"/>
        <v/>
      </c>
    </row>
    <row r="553">
      <c r="A553" s="55"/>
      <c r="B553" s="60"/>
      <c r="C553" s="55"/>
      <c r="D553" s="54"/>
      <c r="E553" s="55"/>
      <c r="F553" s="62"/>
      <c r="G553" s="57"/>
      <c r="H553" s="58" t="str">
        <f>IFERROR(__xludf.DUMMYFUNCTION("iferror(if(A553="""", ,filter('Playoff IDR Import'!D:D,'Playoff IDR Import'!A:A=A553,'Playoff IDR Import'!C:C=C553)),)"),"")</f>
        <v/>
      </c>
      <c r="I553" s="58"/>
      <c r="J553" s="59" t="str">
        <f t="shared" si="1"/>
        <v/>
      </c>
    </row>
    <row r="554">
      <c r="A554" s="55"/>
      <c r="B554" s="60"/>
      <c r="C554" s="55"/>
      <c r="D554" s="54"/>
      <c r="E554" s="55"/>
      <c r="F554" s="62"/>
      <c r="G554" s="57"/>
      <c r="H554" s="58" t="str">
        <f>IFERROR(__xludf.DUMMYFUNCTION("iferror(if(A554="""", ,filter('Playoff IDR Import'!D:D,'Playoff IDR Import'!A:A=A554,'Playoff IDR Import'!C:C=C554)),)"),"")</f>
        <v/>
      </c>
      <c r="I554" s="58"/>
      <c r="J554" s="59" t="str">
        <f t="shared" si="1"/>
        <v/>
      </c>
    </row>
    <row r="555">
      <c r="A555" s="55"/>
      <c r="B555" s="60"/>
      <c r="C555" s="55"/>
      <c r="D555" s="54"/>
      <c r="E555" s="55"/>
      <c r="F555" s="62"/>
      <c r="G555" s="57"/>
      <c r="H555" s="58" t="str">
        <f>IFERROR(__xludf.DUMMYFUNCTION("iferror(if(A555="""", ,filter('Playoff IDR Import'!D:D,'Playoff IDR Import'!A:A=A555,'Playoff IDR Import'!C:C=C555)),)"),"")</f>
        <v/>
      </c>
      <c r="I555" s="58"/>
      <c r="J555" s="59" t="str">
        <f t="shared" si="1"/>
        <v/>
      </c>
    </row>
    <row r="556">
      <c r="A556" s="55"/>
      <c r="B556" s="60"/>
      <c r="C556" s="55"/>
      <c r="D556" s="54"/>
      <c r="E556" s="55"/>
      <c r="F556" s="62"/>
      <c r="G556" s="57"/>
      <c r="H556" s="58" t="str">
        <f>IFERROR(__xludf.DUMMYFUNCTION("iferror(if(A556="""", ,filter('Playoff IDR Import'!D:D,'Playoff IDR Import'!A:A=A556,'Playoff IDR Import'!C:C=C556)),)"),"")</f>
        <v/>
      </c>
      <c r="I556" s="58"/>
      <c r="J556" s="59" t="str">
        <f t="shared" si="1"/>
        <v/>
      </c>
    </row>
    <row r="557">
      <c r="A557" s="55"/>
      <c r="B557" s="60"/>
      <c r="C557" s="55"/>
      <c r="D557" s="54"/>
      <c r="E557" s="55"/>
      <c r="F557" s="62"/>
      <c r="G557" s="57"/>
      <c r="H557" s="58" t="str">
        <f>IFERROR(__xludf.DUMMYFUNCTION("iferror(if(A557="""", ,filter('Playoff IDR Import'!D:D,'Playoff IDR Import'!A:A=A557,'Playoff IDR Import'!C:C=C557)),)"),"")</f>
        <v/>
      </c>
      <c r="I557" s="58"/>
      <c r="J557" s="59" t="str">
        <f t="shared" si="1"/>
        <v/>
      </c>
    </row>
    <row r="558">
      <c r="A558" s="55"/>
      <c r="B558" s="60"/>
      <c r="C558" s="55"/>
      <c r="D558" s="54"/>
      <c r="E558" s="55"/>
      <c r="F558" s="62"/>
      <c r="G558" s="57"/>
      <c r="H558" s="58" t="str">
        <f>IFERROR(__xludf.DUMMYFUNCTION("iferror(if(A558="""", ,filter('Playoff IDR Import'!D:D,'Playoff IDR Import'!A:A=A558,'Playoff IDR Import'!C:C=C558)),)"),"")</f>
        <v/>
      </c>
      <c r="I558" s="58"/>
      <c r="J558" s="59" t="str">
        <f t="shared" si="1"/>
        <v/>
      </c>
    </row>
    <row r="559">
      <c r="A559" s="55"/>
      <c r="B559" s="60"/>
      <c r="C559" s="55"/>
      <c r="D559" s="54"/>
      <c r="E559" s="55"/>
      <c r="F559" s="62"/>
      <c r="G559" s="57"/>
      <c r="H559" s="58" t="str">
        <f>IFERROR(__xludf.DUMMYFUNCTION("iferror(if(A559="""", ,filter('Playoff IDR Import'!D:D,'Playoff IDR Import'!A:A=A559,'Playoff IDR Import'!C:C=C559)),)"),"")</f>
        <v/>
      </c>
      <c r="I559" s="58"/>
      <c r="J559" s="59" t="str">
        <f t="shared" si="1"/>
        <v/>
      </c>
    </row>
    <row r="560">
      <c r="A560" s="55"/>
      <c r="B560" s="60"/>
      <c r="C560" s="55"/>
      <c r="D560" s="54"/>
      <c r="E560" s="55"/>
      <c r="F560" s="62"/>
      <c r="G560" s="57"/>
      <c r="H560" s="58" t="str">
        <f>IFERROR(__xludf.DUMMYFUNCTION("iferror(if(A560="""", ,filter('Playoff IDR Import'!D:D,'Playoff IDR Import'!A:A=A560,'Playoff IDR Import'!C:C=C560)),)"),"")</f>
        <v/>
      </c>
      <c r="I560" s="58"/>
      <c r="J560" s="59" t="str">
        <f t="shared" si="1"/>
        <v/>
      </c>
    </row>
    <row r="561">
      <c r="A561" s="55"/>
      <c r="B561" s="60"/>
      <c r="C561" s="55"/>
      <c r="D561" s="54"/>
      <c r="E561" s="55"/>
      <c r="F561" s="62"/>
      <c r="G561" s="57"/>
      <c r="H561" s="58" t="str">
        <f>IFERROR(__xludf.DUMMYFUNCTION("iferror(if(A561="""", ,filter('Playoff IDR Import'!D:D,'Playoff IDR Import'!A:A=A561,'Playoff IDR Import'!C:C=C561)),)"),"")</f>
        <v/>
      </c>
      <c r="I561" s="58"/>
      <c r="J561" s="59" t="str">
        <f t="shared" si="1"/>
        <v/>
      </c>
    </row>
    <row r="562">
      <c r="A562" s="55"/>
      <c r="B562" s="60"/>
      <c r="C562" s="55"/>
      <c r="D562" s="54"/>
      <c r="E562" s="55"/>
      <c r="F562" s="62"/>
      <c r="G562" s="57"/>
      <c r="H562" s="58" t="str">
        <f>IFERROR(__xludf.DUMMYFUNCTION("iferror(if(A562="""", ,filter('Playoff IDR Import'!D:D,'Playoff IDR Import'!A:A=A562,'Playoff IDR Import'!C:C=C562)),)"),"")</f>
        <v/>
      </c>
      <c r="I562" s="58"/>
      <c r="J562" s="59" t="str">
        <f t="shared" si="1"/>
        <v/>
      </c>
    </row>
    <row r="563">
      <c r="A563" s="55"/>
      <c r="B563" s="60"/>
      <c r="C563" s="55"/>
      <c r="D563" s="54"/>
      <c r="E563" s="55"/>
      <c r="F563" s="62"/>
      <c r="G563" s="57"/>
      <c r="H563" s="58" t="str">
        <f>IFERROR(__xludf.DUMMYFUNCTION("iferror(if(A563="""", ,filter('Playoff IDR Import'!D:D,'Playoff IDR Import'!A:A=A563,'Playoff IDR Import'!C:C=C563)),)"),"")</f>
        <v/>
      </c>
      <c r="I563" s="58"/>
      <c r="J563" s="59" t="str">
        <f t="shared" si="1"/>
        <v/>
      </c>
    </row>
    <row r="564">
      <c r="A564" s="55"/>
      <c r="B564" s="60"/>
      <c r="C564" s="55"/>
      <c r="D564" s="54"/>
      <c r="E564" s="55"/>
      <c r="F564" s="62"/>
      <c r="G564" s="57"/>
      <c r="H564" s="58" t="str">
        <f>IFERROR(__xludf.DUMMYFUNCTION("iferror(if(A564="""", ,filter('Playoff IDR Import'!D:D,'Playoff IDR Import'!A:A=A564,'Playoff IDR Import'!C:C=C564)),)"),"")</f>
        <v/>
      </c>
      <c r="I564" s="58"/>
      <c r="J564" s="59" t="str">
        <f t="shared" si="1"/>
        <v/>
      </c>
    </row>
    <row r="565">
      <c r="A565" s="55"/>
      <c r="B565" s="60"/>
      <c r="C565" s="55"/>
      <c r="D565" s="54"/>
      <c r="E565" s="55"/>
      <c r="F565" s="62"/>
      <c r="G565" s="57"/>
      <c r="H565" s="58" t="str">
        <f>IFERROR(__xludf.DUMMYFUNCTION("iferror(if(A565="""", ,filter('Playoff IDR Import'!D:D,'Playoff IDR Import'!A:A=A565,'Playoff IDR Import'!C:C=C565)),)"),"")</f>
        <v/>
      </c>
      <c r="I565" s="58"/>
      <c r="J565" s="59" t="str">
        <f t="shared" si="1"/>
        <v/>
      </c>
    </row>
    <row r="566">
      <c r="A566" s="55"/>
      <c r="B566" s="60"/>
      <c r="C566" s="55"/>
      <c r="D566" s="54"/>
      <c r="E566" s="55"/>
      <c r="F566" s="62"/>
      <c r="G566" s="57"/>
      <c r="H566" s="58" t="str">
        <f>IFERROR(__xludf.DUMMYFUNCTION("iferror(if(A566="""", ,filter('Playoff IDR Import'!D:D,'Playoff IDR Import'!A:A=A566,'Playoff IDR Import'!C:C=C566)),)"),"")</f>
        <v/>
      </c>
      <c r="I566" s="58"/>
      <c r="J566" s="59" t="str">
        <f t="shared" si="1"/>
        <v/>
      </c>
    </row>
    <row r="567">
      <c r="A567" s="55"/>
      <c r="B567" s="60"/>
      <c r="C567" s="55"/>
      <c r="D567" s="54"/>
      <c r="E567" s="55"/>
      <c r="F567" s="62"/>
      <c r="G567" s="57"/>
      <c r="H567" s="58" t="str">
        <f>IFERROR(__xludf.DUMMYFUNCTION("iferror(if(A567="""", ,filter('Playoff IDR Import'!D:D,'Playoff IDR Import'!A:A=A567,'Playoff IDR Import'!C:C=C567)),)"),"")</f>
        <v/>
      </c>
      <c r="I567" s="58"/>
      <c r="J567" s="59" t="str">
        <f t="shared" si="1"/>
        <v/>
      </c>
    </row>
    <row r="568">
      <c r="A568" s="55"/>
      <c r="B568" s="60"/>
      <c r="C568" s="55"/>
      <c r="D568" s="54"/>
      <c r="E568" s="55"/>
      <c r="F568" s="62"/>
      <c r="G568" s="57"/>
      <c r="H568" s="58" t="str">
        <f>IFERROR(__xludf.DUMMYFUNCTION("iferror(if(A568="""", ,filter('Playoff IDR Import'!D:D,'Playoff IDR Import'!A:A=A568,'Playoff IDR Import'!C:C=C568)),)"),"")</f>
        <v/>
      </c>
      <c r="I568" s="58"/>
      <c r="J568" s="59" t="str">
        <f t="shared" si="1"/>
        <v/>
      </c>
    </row>
    <row r="569">
      <c r="A569" s="55"/>
      <c r="B569" s="60"/>
      <c r="C569" s="55"/>
      <c r="D569" s="54"/>
      <c r="E569" s="55"/>
      <c r="F569" s="62"/>
      <c r="G569" s="57"/>
      <c r="H569" s="58" t="str">
        <f>IFERROR(__xludf.DUMMYFUNCTION("iferror(if(A569="""", ,filter('Playoff IDR Import'!D:D,'Playoff IDR Import'!A:A=A569,'Playoff IDR Import'!C:C=C569)),)"),"")</f>
        <v/>
      </c>
      <c r="I569" s="58"/>
      <c r="J569" s="59" t="str">
        <f t="shared" si="1"/>
        <v/>
      </c>
    </row>
    <row r="570">
      <c r="A570" s="55"/>
      <c r="B570" s="60"/>
      <c r="C570" s="55"/>
      <c r="D570" s="54"/>
      <c r="E570" s="55"/>
      <c r="F570" s="62"/>
      <c r="G570" s="57"/>
      <c r="H570" s="58" t="str">
        <f>IFERROR(__xludf.DUMMYFUNCTION("iferror(if(A570="""", ,filter('Playoff IDR Import'!D:D,'Playoff IDR Import'!A:A=A570,'Playoff IDR Import'!C:C=C570)),)"),"")</f>
        <v/>
      </c>
      <c r="I570" s="58"/>
      <c r="J570" s="59" t="str">
        <f t="shared" si="1"/>
        <v/>
      </c>
    </row>
    <row r="571">
      <c r="A571" s="55"/>
      <c r="B571" s="60"/>
      <c r="C571" s="55"/>
      <c r="D571" s="54"/>
      <c r="E571" s="55"/>
      <c r="F571" s="62"/>
      <c r="G571" s="57"/>
      <c r="H571" s="58" t="str">
        <f>IFERROR(__xludf.DUMMYFUNCTION("iferror(if(A571="""", ,filter('Playoff IDR Import'!D:D,'Playoff IDR Import'!A:A=A571,'Playoff IDR Import'!C:C=C571)),)"),"")</f>
        <v/>
      </c>
      <c r="I571" s="58"/>
      <c r="J571" s="59" t="str">
        <f t="shared" si="1"/>
        <v/>
      </c>
    </row>
    <row r="572">
      <c r="A572" s="55"/>
      <c r="B572" s="60"/>
      <c r="C572" s="55"/>
      <c r="D572" s="54"/>
      <c r="E572" s="55"/>
      <c r="F572" s="62"/>
      <c r="G572" s="57"/>
      <c r="H572" s="58" t="str">
        <f>IFERROR(__xludf.DUMMYFUNCTION("iferror(if(A572="""", ,filter('Playoff IDR Import'!D:D,'Playoff IDR Import'!A:A=A572,'Playoff IDR Import'!C:C=C572)),)"),"")</f>
        <v/>
      </c>
      <c r="I572" s="58"/>
      <c r="J572" s="59" t="str">
        <f t="shared" si="1"/>
        <v/>
      </c>
    </row>
    <row r="573">
      <c r="A573" s="55"/>
      <c r="B573" s="60"/>
      <c r="C573" s="55"/>
      <c r="D573" s="54"/>
      <c r="E573" s="55"/>
      <c r="F573" s="62"/>
      <c r="G573" s="57"/>
      <c r="H573" s="58" t="str">
        <f>IFERROR(__xludf.DUMMYFUNCTION("iferror(if(A573="""", ,filter('Playoff IDR Import'!D:D,'Playoff IDR Import'!A:A=A573,'Playoff IDR Import'!C:C=C573)),)"),"")</f>
        <v/>
      </c>
      <c r="I573" s="58"/>
      <c r="J573" s="59" t="str">
        <f t="shared" si="1"/>
        <v/>
      </c>
    </row>
    <row r="574">
      <c r="A574" s="55"/>
      <c r="B574" s="60"/>
      <c r="C574" s="55"/>
      <c r="D574" s="54"/>
      <c r="E574" s="55"/>
      <c r="F574" s="62"/>
      <c r="G574" s="57"/>
      <c r="H574" s="58" t="str">
        <f>IFERROR(__xludf.DUMMYFUNCTION("iferror(if(A574="""", ,filter('Playoff IDR Import'!D:D,'Playoff IDR Import'!A:A=A574,'Playoff IDR Import'!C:C=C574)),)"),"")</f>
        <v/>
      </c>
      <c r="I574" s="58"/>
      <c r="J574" s="59" t="str">
        <f t="shared" si="1"/>
        <v/>
      </c>
    </row>
    <row r="575">
      <c r="A575" s="55"/>
      <c r="B575" s="60"/>
      <c r="C575" s="55"/>
      <c r="D575" s="54"/>
      <c r="E575" s="55"/>
      <c r="F575" s="62"/>
      <c r="G575" s="57"/>
      <c r="H575" s="58" t="str">
        <f>IFERROR(__xludf.DUMMYFUNCTION("iferror(if(A575="""", ,filter('Playoff IDR Import'!D:D,'Playoff IDR Import'!A:A=A575,'Playoff IDR Import'!C:C=C575)),)"),"")</f>
        <v/>
      </c>
      <c r="I575" s="58"/>
      <c r="J575" s="59" t="str">
        <f t="shared" si="1"/>
        <v/>
      </c>
    </row>
    <row r="576">
      <c r="A576" s="55"/>
      <c r="B576" s="60"/>
      <c r="C576" s="55"/>
      <c r="D576" s="54"/>
      <c r="E576" s="55"/>
      <c r="F576" s="62"/>
      <c r="G576" s="57"/>
      <c r="H576" s="58" t="str">
        <f>IFERROR(__xludf.DUMMYFUNCTION("iferror(if(A576="""", ,filter('Playoff IDR Import'!D:D,'Playoff IDR Import'!A:A=A576,'Playoff IDR Import'!C:C=C576)),)"),"")</f>
        <v/>
      </c>
      <c r="I576" s="58"/>
      <c r="J576" s="59" t="str">
        <f t="shared" si="1"/>
        <v/>
      </c>
    </row>
    <row r="577">
      <c r="A577" s="55"/>
      <c r="B577" s="60"/>
      <c r="C577" s="55"/>
      <c r="D577" s="54"/>
      <c r="E577" s="55"/>
      <c r="F577" s="62"/>
      <c r="G577" s="57"/>
      <c r="H577" s="58" t="str">
        <f>IFERROR(__xludf.DUMMYFUNCTION("iferror(if(A577="""", ,filter('Playoff IDR Import'!D:D,'Playoff IDR Import'!A:A=A577,'Playoff IDR Import'!C:C=C577)),)"),"")</f>
        <v/>
      </c>
      <c r="I577" s="58"/>
      <c r="J577" s="59" t="str">
        <f t="shared" si="1"/>
        <v/>
      </c>
    </row>
    <row r="578">
      <c r="A578" s="55"/>
      <c r="B578" s="60"/>
      <c r="C578" s="55"/>
      <c r="D578" s="54"/>
      <c r="E578" s="55"/>
      <c r="F578" s="62"/>
      <c r="G578" s="57"/>
      <c r="H578" s="58" t="str">
        <f>IFERROR(__xludf.DUMMYFUNCTION("iferror(if(A578="""", ,filter('Playoff IDR Import'!D:D,'Playoff IDR Import'!A:A=A578,'Playoff IDR Import'!C:C=C578)),)"),"")</f>
        <v/>
      </c>
      <c r="I578" s="58"/>
      <c r="J578" s="59" t="str">
        <f t="shared" si="1"/>
        <v/>
      </c>
    </row>
    <row r="579">
      <c r="A579" s="55"/>
      <c r="B579" s="60"/>
      <c r="C579" s="55"/>
      <c r="D579" s="54"/>
      <c r="E579" s="55"/>
      <c r="F579" s="62"/>
      <c r="G579" s="57"/>
      <c r="H579" s="58" t="str">
        <f>IFERROR(__xludf.DUMMYFUNCTION("iferror(if(A579="""", ,filter('Playoff IDR Import'!D:D,'Playoff IDR Import'!A:A=A579,'Playoff IDR Import'!C:C=C579)),)"),"")</f>
        <v/>
      </c>
      <c r="I579" s="58"/>
      <c r="J579" s="59" t="str">
        <f t="shared" si="1"/>
        <v/>
      </c>
    </row>
    <row r="580">
      <c r="A580" s="55"/>
      <c r="B580" s="60"/>
      <c r="C580" s="55"/>
      <c r="D580" s="54"/>
      <c r="E580" s="55"/>
      <c r="F580" s="62"/>
      <c r="G580" s="57"/>
      <c r="H580" s="58" t="str">
        <f>IFERROR(__xludf.DUMMYFUNCTION("iferror(if(A580="""", ,filter('Playoff IDR Import'!D:D,'Playoff IDR Import'!A:A=A580,'Playoff IDR Import'!C:C=C580)),)"),"")</f>
        <v/>
      </c>
      <c r="I580" s="58"/>
      <c r="J580" s="59" t="str">
        <f t="shared" si="1"/>
        <v/>
      </c>
    </row>
    <row r="581">
      <c r="A581" s="55"/>
      <c r="B581" s="60"/>
      <c r="C581" s="55"/>
      <c r="D581" s="54"/>
      <c r="E581" s="55"/>
      <c r="F581" s="62"/>
      <c r="G581" s="57"/>
      <c r="H581" s="58" t="str">
        <f>IFERROR(__xludf.DUMMYFUNCTION("iferror(if(A581="""", ,filter('Playoff IDR Import'!D:D,'Playoff IDR Import'!A:A=A581,'Playoff IDR Import'!C:C=C581)),)"),"")</f>
        <v/>
      </c>
      <c r="I581" s="58"/>
      <c r="J581" s="59" t="str">
        <f t="shared" si="1"/>
        <v/>
      </c>
    </row>
    <row r="582">
      <c r="A582" s="55"/>
      <c r="B582" s="60"/>
      <c r="C582" s="55"/>
      <c r="D582" s="54"/>
      <c r="E582" s="55"/>
      <c r="F582" s="62"/>
      <c r="G582" s="57"/>
      <c r="H582" s="58" t="str">
        <f>IFERROR(__xludf.DUMMYFUNCTION("iferror(if(A582="""", ,filter('Playoff IDR Import'!D:D,'Playoff IDR Import'!A:A=A582,'Playoff IDR Import'!C:C=C582)),)"),"")</f>
        <v/>
      </c>
      <c r="I582" s="58"/>
      <c r="J582" s="59" t="str">
        <f t="shared" si="1"/>
        <v/>
      </c>
    </row>
    <row r="583">
      <c r="A583" s="55"/>
      <c r="B583" s="60"/>
      <c r="C583" s="55"/>
      <c r="D583" s="54"/>
      <c r="E583" s="55"/>
      <c r="F583" s="62"/>
      <c r="G583" s="57"/>
      <c r="H583" s="58" t="str">
        <f>IFERROR(__xludf.DUMMYFUNCTION("iferror(if(A583="""", ,filter('Playoff IDR Import'!D:D,'Playoff IDR Import'!A:A=A583,'Playoff IDR Import'!C:C=C583)),)"),"")</f>
        <v/>
      </c>
      <c r="I583" s="58"/>
      <c r="J583" s="59" t="str">
        <f t="shared" si="1"/>
        <v/>
      </c>
    </row>
    <row r="584">
      <c r="A584" s="55"/>
      <c r="B584" s="60"/>
      <c r="C584" s="55"/>
      <c r="D584" s="54"/>
      <c r="E584" s="55"/>
      <c r="F584" s="62"/>
      <c r="G584" s="57"/>
      <c r="H584" s="58" t="str">
        <f>IFERROR(__xludf.DUMMYFUNCTION("iferror(if(A584="""", ,filter('Playoff IDR Import'!D:D,'Playoff IDR Import'!A:A=A584,'Playoff IDR Import'!C:C=C584)),)"),"")</f>
        <v/>
      </c>
      <c r="I584" s="58"/>
      <c r="J584" s="59" t="str">
        <f t="shared" si="1"/>
        <v/>
      </c>
    </row>
    <row r="585">
      <c r="A585" s="55"/>
      <c r="B585" s="60"/>
      <c r="C585" s="55"/>
      <c r="D585" s="54"/>
      <c r="E585" s="55"/>
      <c r="F585" s="62"/>
      <c r="G585" s="57"/>
      <c r="H585" s="58" t="str">
        <f>IFERROR(__xludf.DUMMYFUNCTION("iferror(if(A585="""", ,filter('Playoff IDR Import'!D:D,'Playoff IDR Import'!A:A=A585,'Playoff IDR Import'!C:C=C585)),)"),"")</f>
        <v/>
      </c>
      <c r="I585" s="58"/>
      <c r="J585" s="59" t="str">
        <f t="shared" si="1"/>
        <v/>
      </c>
    </row>
    <row r="586">
      <c r="A586" s="55"/>
      <c r="B586" s="60"/>
      <c r="C586" s="55"/>
      <c r="D586" s="54"/>
      <c r="E586" s="55"/>
      <c r="F586" s="62"/>
      <c r="G586" s="57"/>
      <c r="H586" s="58" t="str">
        <f>IFERROR(__xludf.DUMMYFUNCTION("iferror(if(A586="""", ,filter('Playoff IDR Import'!D:D,'Playoff IDR Import'!A:A=A586,'Playoff IDR Import'!C:C=C586)),)"),"")</f>
        <v/>
      </c>
      <c r="I586" s="58"/>
      <c r="J586" s="59" t="str">
        <f t="shared" si="1"/>
        <v/>
      </c>
    </row>
    <row r="587">
      <c r="A587" s="55"/>
      <c r="B587" s="60"/>
      <c r="C587" s="55"/>
      <c r="D587" s="54"/>
      <c r="E587" s="55"/>
      <c r="F587" s="62"/>
      <c r="G587" s="57"/>
      <c r="H587" s="58" t="str">
        <f>IFERROR(__xludf.DUMMYFUNCTION("iferror(if(A587="""", ,filter('Playoff IDR Import'!D:D,'Playoff IDR Import'!A:A=A587,'Playoff IDR Import'!C:C=C587)),)"),"")</f>
        <v/>
      </c>
      <c r="I587" s="58"/>
      <c r="J587" s="59" t="str">
        <f t="shared" si="1"/>
        <v/>
      </c>
    </row>
    <row r="588">
      <c r="A588" s="55"/>
      <c r="B588" s="60"/>
      <c r="C588" s="55"/>
      <c r="D588" s="54"/>
      <c r="E588" s="55"/>
      <c r="F588" s="62"/>
      <c r="G588" s="57"/>
      <c r="H588" s="58" t="str">
        <f>IFERROR(__xludf.DUMMYFUNCTION("iferror(if(A588="""", ,filter('Playoff IDR Import'!D:D,'Playoff IDR Import'!A:A=A588,'Playoff IDR Import'!C:C=C588)),)"),"")</f>
        <v/>
      </c>
      <c r="I588" s="58"/>
      <c r="J588" s="59" t="str">
        <f t="shared" si="1"/>
        <v/>
      </c>
    </row>
    <row r="589">
      <c r="A589" s="55"/>
      <c r="B589" s="60"/>
      <c r="C589" s="55"/>
      <c r="D589" s="54"/>
      <c r="E589" s="55"/>
      <c r="F589" s="62"/>
      <c r="G589" s="57"/>
      <c r="H589" s="58" t="str">
        <f>IFERROR(__xludf.DUMMYFUNCTION("iferror(if(A589="""", ,filter('Playoff IDR Import'!D:D,'Playoff IDR Import'!A:A=A589,'Playoff IDR Import'!C:C=C589)),)"),"")</f>
        <v/>
      </c>
      <c r="I589" s="58"/>
      <c r="J589" s="59" t="str">
        <f t="shared" si="1"/>
        <v/>
      </c>
    </row>
    <row r="590">
      <c r="A590" s="55"/>
      <c r="B590" s="60"/>
      <c r="C590" s="55"/>
      <c r="D590" s="54"/>
      <c r="E590" s="55"/>
      <c r="F590" s="62"/>
      <c r="G590" s="57"/>
      <c r="H590" s="58" t="str">
        <f>IFERROR(__xludf.DUMMYFUNCTION("iferror(if(A590="""", ,filter('Playoff IDR Import'!D:D,'Playoff IDR Import'!A:A=A590,'Playoff IDR Import'!C:C=C590)),)"),"")</f>
        <v/>
      </c>
      <c r="I590" s="58"/>
      <c r="J590" s="59" t="str">
        <f t="shared" si="1"/>
        <v/>
      </c>
    </row>
    <row r="591">
      <c r="A591" s="55"/>
      <c r="B591" s="60"/>
      <c r="C591" s="55"/>
      <c r="D591" s="54"/>
      <c r="E591" s="55"/>
      <c r="F591" s="62"/>
      <c r="G591" s="57"/>
      <c r="H591" s="58" t="str">
        <f>IFERROR(__xludf.DUMMYFUNCTION("iferror(if(A591="""", ,filter('Playoff IDR Import'!D:D,'Playoff IDR Import'!A:A=A591,'Playoff IDR Import'!C:C=C591)),)"),"")</f>
        <v/>
      </c>
      <c r="I591" s="58"/>
      <c r="J591" s="59" t="str">
        <f t="shared" si="1"/>
        <v/>
      </c>
    </row>
    <row r="592">
      <c r="A592" s="55"/>
      <c r="B592" s="60"/>
      <c r="C592" s="55"/>
      <c r="D592" s="54"/>
      <c r="E592" s="55"/>
      <c r="F592" s="62"/>
      <c r="G592" s="57"/>
      <c r="H592" s="58" t="str">
        <f>IFERROR(__xludf.DUMMYFUNCTION("iferror(if(A592="""", ,filter('Playoff IDR Import'!D:D,'Playoff IDR Import'!A:A=A592,'Playoff IDR Import'!C:C=C592)),)"),"")</f>
        <v/>
      </c>
      <c r="I592" s="58"/>
      <c r="J592" s="59" t="str">
        <f t="shared" si="1"/>
        <v/>
      </c>
    </row>
    <row r="593">
      <c r="A593" s="55"/>
      <c r="B593" s="60"/>
      <c r="C593" s="55"/>
      <c r="D593" s="54"/>
      <c r="E593" s="55"/>
      <c r="F593" s="62"/>
      <c r="G593" s="57"/>
      <c r="H593" s="58" t="str">
        <f>IFERROR(__xludf.DUMMYFUNCTION("iferror(if(A593="""", ,filter('Playoff IDR Import'!D:D,'Playoff IDR Import'!A:A=A593,'Playoff IDR Import'!C:C=C593)),)"),"")</f>
        <v/>
      </c>
      <c r="I593" s="58"/>
      <c r="J593" s="59" t="str">
        <f t="shared" si="1"/>
        <v/>
      </c>
    </row>
    <row r="594">
      <c r="A594" s="55"/>
      <c r="B594" s="60"/>
      <c r="C594" s="55"/>
      <c r="D594" s="54"/>
      <c r="E594" s="55"/>
      <c r="F594" s="62"/>
      <c r="G594" s="57"/>
      <c r="H594" s="58" t="str">
        <f>IFERROR(__xludf.DUMMYFUNCTION("iferror(if(A594="""", ,filter('Playoff IDR Import'!D:D,'Playoff IDR Import'!A:A=A594,'Playoff IDR Import'!C:C=C594)),)"),"")</f>
        <v/>
      </c>
      <c r="I594" s="58"/>
      <c r="J594" s="59" t="str">
        <f t="shared" si="1"/>
        <v/>
      </c>
    </row>
    <row r="595">
      <c r="A595" s="55"/>
      <c r="B595" s="60"/>
      <c r="C595" s="55"/>
      <c r="D595" s="54"/>
      <c r="E595" s="55"/>
      <c r="F595" s="62"/>
      <c r="G595" s="57"/>
      <c r="H595" s="58" t="str">
        <f>IFERROR(__xludf.DUMMYFUNCTION("iferror(if(A595="""", ,filter('Playoff IDR Import'!D:D,'Playoff IDR Import'!A:A=A595,'Playoff IDR Import'!C:C=C595)),)"),"")</f>
        <v/>
      </c>
      <c r="I595" s="58"/>
      <c r="J595" s="59" t="str">
        <f t="shared" si="1"/>
        <v/>
      </c>
    </row>
    <row r="596">
      <c r="A596" s="55"/>
      <c r="B596" s="60"/>
      <c r="C596" s="55"/>
      <c r="D596" s="54"/>
      <c r="E596" s="55"/>
      <c r="F596" s="62"/>
      <c r="G596" s="57"/>
      <c r="H596" s="58" t="str">
        <f>IFERROR(__xludf.DUMMYFUNCTION("iferror(if(A596="""", ,filter('Playoff IDR Import'!D:D,'Playoff IDR Import'!A:A=A596,'Playoff IDR Import'!C:C=C596)),)"),"")</f>
        <v/>
      </c>
      <c r="I596" s="58"/>
      <c r="J596" s="59" t="str">
        <f t="shared" si="1"/>
        <v/>
      </c>
    </row>
    <row r="597">
      <c r="A597" s="55"/>
      <c r="B597" s="60"/>
      <c r="C597" s="55"/>
      <c r="D597" s="54"/>
      <c r="E597" s="55"/>
      <c r="F597" s="62"/>
      <c r="G597" s="57"/>
      <c r="H597" s="58" t="str">
        <f>IFERROR(__xludf.DUMMYFUNCTION("iferror(if(A597="""", ,filter('Playoff IDR Import'!D:D,'Playoff IDR Import'!A:A=A597,'Playoff IDR Import'!C:C=C597)),)"),"")</f>
        <v/>
      </c>
      <c r="I597" s="58"/>
      <c r="J597" s="59" t="str">
        <f t="shared" si="1"/>
        <v/>
      </c>
    </row>
    <row r="598">
      <c r="A598" s="55"/>
      <c r="B598" s="60"/>
      <c r="C598" s="55"/>
      <c r="D598" s="54"/>
      <c r="E598" s="55"/>
      <c r="F598" s="62"/>
      <c r="G598" s="57"/>
      <c r="H598" s="58" t="str">
        <f>IFERROR(__xludf.DUMMYFUNCTION("iferror(if(A598="""", ,filter('Playoff IDR Import'!D:D,'Playoff IDR Import'!A:A=A598,'Playoff IDR Import'!C:C=C598)),)"),"")</f>
        <v/>
      </c>
      <c r="I598" s="58"/>
      <c r="J598" s="59" t="str">
        <f t="shared" si="1"/>
        <v/>
      </c>
    </row>
    <row r="599">
      <c r="A599" s="55"/>
      <c r="B599" s="60"/>
      <c r="C599" s="55"/>
      <c r="D599" s="54"/>
      <c r="E599" s="55"/>
      <c r="F599" s="62"/>
      <c r="G599" s="57"/>
      <c r="H599" s="58" t="str">
        <f>IFERROR(__xludf.DUMMYFUNCTION("iferror(if(A599="""", ,filter('Playoff IDR Import'!D:D,'Playoff IDR Import'!A:A=A599,'Playoff IDR Import'!C:C=C599)),)"),"")</f>
        <v/>
      </c>
      <c r="I599" s="58"/>
      <c r="J599" s="59" t="str">
        <f t="shared" si="1"/>
        <v/>
      </c>
    </row>
    <row r="600">
      <c r="A600" s="55"/>
      <c r="B600" s="60"/>
      <c r="C600" s="55"/>
      <c r="D600" s="54"/>
      <c r="E600" s="55"/>
      <c r="F600" s="62"/>
      <c r="G600" s="57"/>
      <c r="H600" s="58" t="str">
        <f>IFERROR(__xludf.DUMMYFUNCTION("iferror(if(A600="""", ,filter('Playoff IDR Import'!D:D,'Playoff IDR Import'!A:A=A600,'Playoff IDR Import'!C:C=C600)),)"),"")</f>
        <v/>
      </c>
      <c r="I600" s="58"/>
      <c r="J600" s="59" t="str">
        <f t="shared" si="1"/>
        <v/>
      </c>
    </row>
    <row r="601">
      <c r="A601" s="55"/>
      <c r="B601" s="60"/>
      <c r="C601" s="55"/>
      <c r="D601" s="54"/>
      <c r="E601" s="55"/>
      <c r="F601" s="62"/>
      <c r="G601" s="57"/>
      <c r="H601" s="58" t="str">
        <f>IFERROR(__xludf.DUMMYFUNCTION("iferror(if(A601="""", ,filter('Playoff IDR Import'!D:D,'Playoff IDR Import'!A:A=A601,'Playoff IDR Import'!C:C=C601)),)"),"")</f>
        <v/>
      </c>
      <c r="I601" s="58"/>
      <c r="J601" s="59" t="str">
        <f t="shared" si="1"/>
        <v/>
      </c>
    </row>
    <row r="602">
      <c r="A602" s="55"/>
      <c r="B602" s="60"/>
      <c r="C602" s="55"/>
      <c r="D602" s="54"/>
      <c r="E602" s="55"/>
      <c r="F602" s="62"/>
      <c r="G602" s="57"/>
      <c r="H602" s="58" t="str">
        <f>IFERROR(__xludf.DUMMYFUNCTION("iferror(if(A602="""", ,filter('Playoff IDR Import'!D:D,'Playoff IDR Import'!A:A=A602,'Playoff IDR Import'!C:C=C602)),)"),"")</f>
        <v/>
      </c>
      <c r="I602" s="58"/>
      <c r="J602" s="59" t="str">
        <f t="shared" si="1"/>
        <v/>
      </c>
    </row>
    <row r="603">
      <c r="A603" s="55"/>
      <c r="B603" s="60"/>
      <c r="C603" s="55"/>
      <c r="D603" s="54"/>
      <c r="E603" s="55"/>
      <c r="F603" s="62"/>
      <c r="G603" s="57"/>
      <c r="H603" s="58" t="str">
        <f>IFERROR(__xludf.DUMMYFUNCTION("iferror(if(A603="""", ,filter('Playoff IDR Import'!D:D,'Playoff IDR Import'!A:A=A603,'Playoff IDR Import'!C:C=C603)),)"),"")</f>
        <v/>
      </c>
      <c r="I603" s="58"/>
      <c r="J603" s="59" t="str">
        <f t="shared" si="1"/>
        <v/>
      </c>
    </row>
    <row r="604">
      <c r="A604" s="55"/>
      <c r="B604" s="60"/>
      <c r="C604" s="55"/>
      <c r="D604" s="54"/>
      <c r="E604" s="55"/>
      <c r="F604" s="62"/>
      <c r="G604" s="57"/>
      <c r="H604" s="58" t="str">
        <f>IFERROR(__xludf.DUMMYFUNCTION("iferror(if(A604="""", ,filter('Playoff IDR Import'!D:D,'Playoff IDR Import'!A:A=A604,'Playoff IDR Import'!C:C=C604)),)"),"")</f>
        <v/>
      </c>
      <c r="I604" s="58"/>
      <c r="J604" s="59" t="str">
        <f t="shared" si="1"/>
        <v/>
      </c>
    </row>
    <row r="605">
      <c r="A605" s="55"/>
      <c r="B605" s="60"/>
      <c r="C605" s="55"/>
      <c r="D605" s="54"/>
      <c r="E605" s="55"/>
      <c r="F605" s="62"/>
      <c r="G605" s="57"/>
      <c r="H605" s="58" t="str">
        <f>IFERROR(__xludf.DUMMYFUNCTION("iferror(if(A605="""", ,filter('Playoff IDR Import'!D:D,'Playoff IDR Import'!A:A=A605,'Playoff IDR Import'!C:C=C605)),)"),"")</f>
        <v/>
      </c>
      <c r="I605" s="58"/>
      <c r="J605" s="59" t="str">
        <f t="shared" si="1"/>
        <v/>
      </c>
    </row>
    <row r="606">
      <c r="A606" s="55"/>
      <c r="B606" s="60"/>
      <c r="C606" s="55"/>
      <c r="D606" s="54"/>
      <c r="E606" s="55"/>
      <c r="F606" s="62"/>
      <c r="G606" s="57"/>
      <c r="H606" s="58" t="str">
        <f>IFERROR(__xludf.DUMMYFUNCTION("iferror(if(A606="""", ,filter('Playoff IDR Import'!D:D,'Playoff IDR Import'!A:A=A606,'Playoff IDR Import'!C:C=C606)),)"),"")</f>
        <v/>
      </c>
      <c r="I606" s="58"/>
      <c r="J606" s="59" t="str">
        <f t="shared" si="1"/>
        <v/>
      </c>
    </row>
    <row r="607">
      <c r="A607" s="55"/>
      <c r="B607" s="60"/>
      <c r="C607" s="55"/>
      <c r="D607" s="54"/>
      <c r="E607" s="55"/>
      <c r="F607" s="62"/>
      <c r="G607" s="57"/>
      <c r="H607" s="58" t="str">
        <f>IFERROR(__xludf.DUMMYFUNCTION("iferror(if(A607="""", ,filter('Playoff IDR Import'!D:D,'Playoff IDR Import'!A:A=A607,'Playoff IDR Import'!C:C=C607)),)"),"")</f>
        <v/>
      </c>
      <c r="I607" s="58"/>
      <c r="J607" s="59" t="str">
        <f t="shared" si="1"/>
        <v/>
      </c>
    </row>
    <row r="608">
      <c r="A608" s="55"/>
      <c r="B608" s="60"/>
      <c r="C608" s="55"/>
      <c r="D608" s="54"/>
      <c r="E608" s="55"/>
      <c r="F608" s="62"/>
      <c r="G608" s="57"/>
      <c r="H608" s="58" t="str">
        <f>IFERROR(__xludf.DUMMYFUNCTION("iferror(if(A608="""", ,filter('Playoff IDR Import'!D:D,'Playoff IDR Import'!A:A=A608,'Playoff IDR Import'!C:C=C608)),)"),"")</f>
        <v/>
      </c>
      <c r="I608" s="58"/>
      <c r="J608" s="59" t="str">
        <f t="shared" si="1"/>
        <v/>
      </c>
    </row>
    <row r="609">
      <c r="A609" s="55"/>
      <c r="B609" s="60"/>
      <c r="C609" s="55"/>
      <c r="D609" s="54"/>
      <c r="E609" s="55"/>
      <c r="F609" s="62"/>
      <c r="G609" s="57"/>
      <c r="H609" s="58" t="str">
        <f>IFERROR(__xludf.DUMMYFUNCTION("iferror(if(A609="""", ,filter('Playoff IDR Import'!D:D,'Playoff IDR Import'!A:A=A609,'Playoff IDR Import'!C:C=C609)),)"),"")</f>
        <v/>
      </c>
      <c r="I609" s="58"/>
      <c r="J609" s="59" t="str">
        <f t="shared" si="1"/>
        <v/>
      </c>
    </row>
    <row r="610">
      <c r="A610" s="55"/>
      <c r="B610" s="60"/>
      <c r="C610" s="55"/>
      <c r="D610" s="54"/>
      <c r="E610" s="55"/>
      <c r="F610" s="62"/>
      <c r="G610" s="57"/>
      <c r="H610" s="58" t="str">
        <f>IFERROR(__xludf.DUMMYFUNCTION("iferror(if(A610="""", ,filter('Playoff IDR Import'!D:D,'Playoff IDR Import'!A:A=A610,'Playoff IDR Import'!C:C=C610)),)"),"")</f>
        <v/>
      </c>
      <c r="I610" s="58"/>
      <c r="J610" s="59" t="str">
        <f t="shared" si="1"/>
        <v/>
      </c>
    </row>
    <row r="611">
      <c r="A611" s="55"/>
      <c r="B611" s="60"/>
      <c r="C611" s="55"/>
      <c r="D611" s="54"/>
      <c r="E611" s="55"/>
      <c r="F611" s="62"/>
      <c r="G611" s="57"/>
      <c r="H611" s="58" t="str">
        <f>IFERROR(__xludf.DUMMYFUNCTION("iferror(if(A611="""", ,filter('Playoff IDR Import'!D:D,'Playoff IDR Import'!A:A=A611,'Playoff IDR Import'!C:C=C611)),)"),"")</f>
        <v/>
      </c>
      <c r="I611" s="58"/>
      <c r="J611" s="59" t="str">
        <f t="shared" si="1"/>
        <v/>
      </c>
    </row>
    <row r="612">
      <c r="A612" s="55"/>
      <c r="B612" s="60"/>
      <c r="C612" s="55"/>
      <c r="D612" s="54"/>
      <c r="E612" s="55"/>
      <c r="F612" s="62"/>
      <c r="G612" s="57"/>
      <c r="H612" s="58" t="str">
        <f>IFERROR(__xludf.DUMMYFUNCTION("iferror(if(A612="""", ,filter('Playoff IDR Import'!D:D,'Playoff IDR Import'!A:A=A612,'Playoff IDR Import'!C:C=C612)),)"),"")</f>
        <v/>
      </c>
      <c r="I612" s="58"/>
      <c r="J612" s="59" t="str">
        <f t="shared" si="1"/>
        <v/>
      </c>
    </row>
    <row r="613">
      <c r="A613" s="55"/>
      <c r="B613" s="60"/>
      <c r="C613" s="55"/>
      <c r="D613" s="54"/>
      <c r="E613" s="55"/>
      <c r="F613" s="62"/>
      <c r="G613" s="57"/>
      <c r="H613" s="58" t="str">
        <f>IFERROR(__xludf.DUMMYFUNCTION("iferror(if(A613="""", ,filter('Playoff IDR Import'!D:D,'Playoff IDR Import'!A:A=A613,'Playoff IDR Import'!C:C=C613)),)"),"")</f>
        <v/>
      </c>
      <c r="I613" s="58"/>
      <c r="J613" s="59" t="str">
        <f t="shared" si="1"/>
        <v/>
      </c>
    </row>
    <row r="614">
      <c r="A614" s="55"/>
      <c r="B614" s="60"/>
      <c r="C614" s="55"/>
      <c r="D614" s="54"/>
      <c r="E614" s="55"/>
      <c r="F614" s="62"/>
      <c r="G614" s="57"/>
      <c r="H614" s="58" t="str">
        <f>IFERROR(__xludf.DUMMYFUNCTION("iferror(if(A614="""", ,filter('Playoff IDR Import'!D:D,'Playoff IDR Import'!A:A=A614,'Playoff IDR Import'!C:C=C614)),)"),"")</f>
        <v/>
      </c>
      <c r="I614" s="58"/>
      <c r="J614" s="59" t="str">
        <f t="shared" si="1"/>
        <v/>
      </c>
    </row>
    <row r="615">
      <c r="A615" s="55"/>
      <c r="B615" s="60"/>
      <c r="C615" s="55"/>
      <c r="D615" s="54"/>
      <c r="E615" s="55"/>
      <c r="F615" s="62"/>
      <c r="G615" s="57"/>
      <c r="H615" s="58" t="str">
        <f>IFERROR(__xludf.DUMMYFUNCTION("iferror(if(A615="""", ,filter('Playoff IDR Import'!D:D,'Playoff IDR Import'!A:A=A615,'Playoff IDR Import'!C:C=C615)),)"),"")</f>
        <v/>
      </c>
      <c r="I615" s="58"/>
      <c r="J615" s="59" t="str">
        <f t="shared" si="1"/>
        <v/>
      </c>
    </row>
    <row r="616">
      <c r="A616" s="55"/>
      <c r="B616" s="60"/>
      <c r="C616" s="55"/>
      <c r="D616" s="54"/>
      <c r="E616" s="55"/>
      <c r="F616" s="62"/>
      <c r="G616" s="57"/>
      <c r="H616" s="58" t="str">
        <f>IFERROR(__xludf.DUMMYFUNCTION("iferror(if(A616="""", ,filter('Playoff IDR Import'!D:D,'Playoff IDR Import'!A:A=A616,'Playoff IDR Import'!C:C=C616)),)"),"")</f>
        <v/>
      </c>
      <c r="I616" s="58"/>
      <c r="J616" s="59" t="str">
        <f t="shared" si="1"/>
        <v/>
      </c>
    </row>
    <row r="617">
      <c r="A617" s="55"/>
      <c r="B617" s="60"/>
      <c r="C617" s="55"/>
      <c r="D617" s="54"/>
      <c r="E617" s="55"/>
      <c r="F617" s="62"/>
      <c r="G617" s="57"/>
      <c r="H617" s="58" t="str">
        <f>IFERROR(__xludf.DUMMYFUNCTION("iferror(if(A617="""", ,filter('Playoff IDR Import'!D:D,'Playoff IDR Import'!A:A=A617,'Playoff IDR Import'!C:C=C617)),)"),"")</f>
        <v/>
      </c>
      <c r="I617" s="58"/>
      <c r="J617" s="59" t="str">
        <f t="shared" si="1"/>
        <v/>
      </c>
    </row>
    <row r="618">
      <c r="A618" s="55"/>
      <c r="B618" s="60"/>
      <c r="C618" s="55"/>
      <c r="D618" s="54"/>
      <c r="E618" s="55"/>
      <c r="F618" s="62"/>
      <c r="G618" s="57"/>
      <c r="H618" s="58" t="str">
        <f>IFERROR(__xludf.DUMMYFUNCTION("iferror(if(A618="""", ,filter('Playoff IDR Import'!D:D,'Playoff IDR Import'!A:A=A618,'Playoff IDR Import'!C:C=C618)),)"),"")</f>
        <v/>
      </c>
      <c r="I618" s="58"/>
      <c r="J618" s="59" t="str">
        <f t="shared" si="1"/>
        <v/>
      </c>
    </row>
    <row r="619">
      <c r="A619" s="55"/>
      <c r="B619" s="60"/>
      <c r="C619" s="55"/>
      <c r="D619" s="54"/>
      <c r="E619" s="55"/>
      <c r="F619" s="62"/>
      <c r="G619" s="57"/>
      <c r="H619" s="58" t="str">
        <f>IFERROR(__xludf.DUMMYFUNCTION("iferror(if(A619="""", ,filter('Playoff IDR Import'!D:D,'Playoff IDR Import'!A:A=A619,'Playoff IDR Import'!C:C=C619)),)"),"")</f>
        <v/>
      </c>
      <c r="I619" s="58"/>
      <c r="J619" s="59" t="str">
        <f t="shared" si="1"/>
        <v/>
      </c>
    </row>
    <row r="620">
      <c r="A620" s="55"/>
      <c r="B620" s="60"/>
      <c r="C620" s="55"/>
      <c r="D620" s="54"/>
      <c r="E620" s="55"/>
      <c r="F620" s="62"/>
      <c r="G620" s="57"/>
      <c r="H620" s="58" t="str">
        <f>IFERROR(__xludf.DUMMYFUNCTION("iferror(if(A620="""", ,filter('Playoff IDR Import'!D:D,'Playoff IDR Import'!A:A=A620,'Playoff IDR Import'!C:C=C620)),)"),"")</f>
        <v/>
      </c>
      <c r="I620" s="58"/>
      <c r="J620" s="59" t="str">
        <f t="shared" si="1"/>
        <v/>
      </c>
    </row>
    <row r="621">
      <c r="A621" s="55"/>
      <c r="B621" s="60"/>
      <c r="C621" s="55"/>
      <c r="D621" s="54"/>
      <c r="E621" s="55"/>
      <c r="F621" s="62"/>
      <c r="G621" s="57"/>
      <c r="H621" s="58" t="str">
        <f>IFERROR(__xludf.DUMMYFUNCTION("iferror(if(A621="""", ,filter('Playoff IDR Import'!D:D,'Playoff IDR Import'!A:A=A621,'Playoff IDR Import'!C:C=C621)),)"),"")</f>
        <v/>
      </c>
      <c r="I621" s="58"/>
      <c r="J621" s="59" t="str">
        <f t="shared" si="1"/>
        <v/>
      </c>
    </row>
    <row r="622">
      <c r="A622" s="55"/>
      <c r="B622" s="60"/>
      <c r="C622" s="55"/>
      <c r="D622" s="54"/>
      <c r="E622" s="55"/>
      <c r="F622" s="62"/>
      <c r="G622" s="57"/>
      <c r="H622" s="58" t="str">
        <f>IFERROR(__xludf.DUMMYFUNCTION("iferror(if(A622="""", ,filter('Playoff IDR Import'!D:D,'Playoff IDR Import'!A:A=A622,'Playoff IDR Import'!C:C=C622)),)"),"")</f>
        <v/>
      </c>
      <c r="I622" s="58"/>
      <c r="J622" s="59" t="str">
        <f t="shared" si="1"/>
        <v/>
      </c>
    </row>
    <row r="623">
      <c r="A623" s="55"/>
      <c r="B623" s="60"/>
      <c r="C623" s="55"/>
      <c r="D623" s="54"/>
      <c r="E623" s="55"/>
      <c r="F623" s="62"/>
      <c r="G623" s="57"/>
      <c r="H623" s="58" t="str">
        <f>IFERROR(__xludf.DUMMYFUNCTION("iferror(if(A623="""", ,filter('Playoff IDR Import'!D:D,'Playoff IDR Import'!A:A=A623,'Playoff IDR Import'!C:C=C623)),)"),"")</f>
        <v/>
      </c>
      <c r="I623" s="58"/>
      <c r="J623" s="59" t="str">
        <f t="shared" si="1"/>
        <v/>
      </c>
    </row>
    <row r="624">
      <c r="A624" s="55"/>
      <c r="B624" s="60"/>
      <c r="C624" s="55"/>
      <c r="D624" s="54"/>
      <c r="E624" s="55"/>
      <c r="F624" s="62"/>
      <c r="G624" s="57"/>
      <c r="H624" s="58" t="str">
        <f>IFERROR(__xludf.DUMMYFUNCTION("iferror(if(A624="""", ,filter('Playoff IDR Import'!D:D,'Playoff IDR Import'!A:A=A624,'Playoff IDR Import'!C:C=C624)),)"),"")</f>
        <v/>
      </c>
      <c r="I624" s="58"/>
      <c r="J624" s="59" t="str">
        <f t="shared" si="1"/>
        <v/>
      </c>
    </row>
    <row r="625">
      <c r="A625" s="55"/>
      <c r="B625" s="60"/>
      <c r="C625" s="55"/>
      <c r="D625" s="54"/>
      <c r="E625" s="55"/>
      <c r="F625" s="62"/>
      <c r="G625" s="57"/>
      <c r="H625" s="58" t="str">
        <f>IFERROR(__xludf.DUMMYFUNCTION("iferror(if(A625="""", ,filter('Playoff IDR Import'!D:D,'Playoff IDR Import'!A:A=A625,'Playoff IDR Import'!C:C=C625)),)"),"")</f>
        <v/>
      </c>
      <c r="I625" s="58"/>
      <c r="J625" s="59" t="str">
        <f t="shared" si="1"/>
        <v/>
      </c>
    </row>
    <row r="626">
      <c r="A626" s="55"/>
      <c r="B626" s="60"/>
      <c r="C626" s="55"/>
      <c r="D626" s="54"/>
      <c r="E626" s="55"/>
      <c r="F626" s="62"/>
      <c r="G626" s="57"/>
      <c r="H626" s="58" t="str">
        <f>IFERROR(__xludf.DUMMYFUNCTION("iferror(if(A626="""", ,filter('Playoff IDR Import'!D:D,'Playoff IDR Import'!A:A=A626,'Playoff IDR Import'!C:C=C626)),)"),"")</f>
        <v/>
      </c>
      <c r="I626" s="58"/>
      <c r="J626" s="59" t="str">
        <f t="shared" si="1"/>
        <v/>
      </c>
    </row>
    <row r="627">
      <c r="A627" s="55"/>
      <c r="B627" s="60"/>
      <c r="C627" s="55"/>
      <c r="D627" s="54"/>
      <c r="E627" s="55"/>
      <c r="F627" s="62"/>
      <c r="G627" s="57"/>
      <c r="H627" s="58" t="str">
        <f>IFERROR(__xludf.DUMMYFUNCTION("iferror(if(A627="""", ,filter('Playoff IDR Import'!D:D,'Playoff IDR Import'!A:A=A627,'Playoff IDR Import'!C:C=C627)),)"),"")</f>
        <v/>
      </c>
      <c r="I627" s="58"/>
      <c r="J627" s="59" t="str">
        <f t="shared" si="1"/>
        <v/>
      </c>
    </row>
    <row r="628">
      <c r="A628" s="55"/>
      <c r="B628" s="60"/>
      <c r="C628" s="55"/>
      <c r="D628" s="54"/>
      <c r="E628" s="55"/>
      <c r="F628" s="62"/>
      <c r="G628" s="57"/>
      <c r="H628" s="58" t="str">
        <f>IFERROR(__xludf.DUMMYFUNCTION("iferror(if(A628="""", ,filter('Playoff IDR Import'!D:D,'Playoff IDR Import'!A:A=A628,'Playoff IDR Import'!C:C=C628)),)"),"")</f>
        <v/>
      </c>
      <c r="I628" s="58"/>
      <c r="J628" s="59" t="str">
        <f t="shared" si="1"/>
        <v/>
      </c>
    </row>
    <row r="629">
      <c r="A629" s="55"/>
      <c r="B629" s="60"/>
      <c r="C629" s="55"/>
      <c r="D629" s="54"/>
      <c r="E629" s="55"/>
      <c r="F629" s="62"/>
      <c r="G629" s="57"/>
      <c r="H629" s="58" t="str">
        <f>IFERROR(__xludf.DUMMYFUNCTION("iferror(if(A629="""", ,filter('Playoff IDR Import'!D:D,'Playoff IDR Import'!A:A=A629,'Playoff IDR Import'!C:C=C629)),)"),"")</f>
        <v/>
      </c>
      <c r="I629" s="58"/>
      <c r="J629" s="59" t="str">
        <f t="shared" si="1"/>
        <v/>
      </c>
    </row>
    <row r="630">
      <c r="A630" s="55"/>
      <c r="B630" s="60"/>
      <c r="C630" s="55"/>
      <c r="D630" s="54"/>
      <c r="E630" s="55"/>
      <c r="F630" s="62"/>
      <c r="G630" s="57"/>
      <c r="H630" s="58" t="str">
        <f>IFERROR(__xludf.DUMMYFUNCTION("iferror(if(A630="""", ,filter('Playoff IDR Import'!D:D,'Playoff IDR Import'!A:A=A630,'Playoff IDR Import'!C:C=C630)),)"),"")</f>
        <v/>
      </c>
      <c r="I630" s="58"/>
      <c r="J630" s="59" t="str">
        <f t="shared" si="1"/>
        <v/>
      </c>
    </row>
    <row r="631">
      <c r="A631" s="55"/>
      <c r="B631" s="60"/>
      <c r="C631" s="55"/>
      <c r="D631" s="54"/>
      <c r="E631" s="55"/>
      <c r="F631" s="62"/>
      <c r="G631" s="57"/>
      <c r="H631" s="58" t="str">
        <f>IFERROR(__xludf.DUMMYFUNCTION("iferror(if(A631="""", ,filter('Playoff IDR Import'!D:D,'Playoff IDR Import'!A:A=A631,'Playoff IDR Import'!C:C=C631)),)"),"")</f>
        <v/>
      </c>
      <c r="I631" s="58"/>
      <c r="J631" s="59" t="str">
        <f t="shared" si="1"/>
        <v/>
      </c>
    </row>
    <row r="632">
      <c r="A632" s="55"/>
      <c r="B632" s="60"/>
      <c r="C632" s="55"/>
      <c r="D632" s="54"/>
      <c r="E632" s="55"/>
      <c r="F632" s="62"/>
      <c r="G632" s="57"/>
      <c r="H632" s="58" t="str">
        <f>IFERROR(__xludf.DUMMYFUNCTION("iferror(if(A632="""", ,filter('Playoff IDR Import'!D:D,'Playoff IDR Import'!A:A=A632,'Playoff IDR Import'!C:C=C632)),)"),"")</f>
        <v/>
      </c>
      <c r="I632" s="58"/>
      <c r="J632" s="59" t="str">
        <f t="shared" si="1"/>
        <v/>
      </c>
    </row>
    <row r="633">
      <c r="A633" s="55"/>
      <c r="B633" s="60"/>
      <c r="C633" s="55"/>
      <c r="D633" s="54"/>
      <c r="E633" s="55"/>
      <c r="F633" s="62"/>
      <c r="G633" s="57"/>
      <c r="H633" s="58" t="str">
        <f>IFERROR(__xludf.DUMMYFUNCTION("iferror(if(A633="""", ,filter('Playoff IDR Import'!D:D,'Playoff IDR Import'!A:A=A633,'Playoff IDR Import'!C:C=C633)),)"),"")</f>
        <v/>
      </c>
      <c r="I633" s="58"/>
      <c r="J633" s="59" t="str">
        <f t="shared" si="1"/>
        <v/>
      </c>
    </row>
    <row r="634">
      <c r="A634" s="55"/>
      <c r="B634" s="60"/>
      <c r="C634" s="55"/>
      <c r="D634" s="54"/>
      <c r="E634" s="55"/>
      <c r="F634" s="62"/>
      <c r="G634" s="57"/>
      <c r="H634" s="58" t="str">
        <f>IFERROR(__xludf.DUMMYFUNCTION("iferror(if(A634="""", ,filter('Playoff IDR Import'!D:D,'Playoff IDR Import'!A:A=A634,'Playoff IDR Import'!C:C=C634)),)"),"")</f>
        <v/>
      </c>
      <c r="I634" s="58"/>
      <c r="J634" s="59" t="str">
        <f t="shared" si="1"/>
        <v/>
      </c>
    </row>
    <row r="635">
      <c r="A635" s="55"/>
      <c r="B635" s="60"/>
      <c r="C635" s="55"/>
      <c r="D635" s="54"/>
      <c r="E635" s="55"/>
      <c r="F635" s="62"/>
      <c r="G635" s="57"/>
      <c r="H635" s="58" t="str">
        <f>IFERROR(__xludf.DUMMYFUNCTION("iferror(if(A635="""", ,filter('Playoff IDR Import'!D:D,'Playoff IDR Import'!A:A=A635,'Playoff IDR Import'!C:C=C635)),)"),"")</f>
        <v/>
      </c>
      <c r="I635" s="58"/>
      <c r="J635" s="59" t="str">
        <f t="shared" si="1"/>
        <v/>
      </c>
    </row>
    <row r="636">
      <c r="A636" s="55"/>
      <c r="B636" s="60"/>
      <c r="C636" s="55"/>
      <c r="D636" s="54"/>
      <c r="E636" s="55"/>
      <c r="F636" s="62"/>
      <c r="G636" s="57"/>
      <c r="H636" s="58" t="str">
        <f>IFERROR(__xludf.DUMMYFUNCTION("iferror(if(A636="""", ,filter('Playoff IDR Import'!D:D,'Playoff IDR Import'!A:A=A636,'Playoff IDR Import'!C:C=C636)),)"),"")</f>
        <v/>
      </c>
      <c r="I636" s="58"/>
      <c r="J636" s="59" t="str">
        <f t="shared" si="1"/>
        <v/>
      </c>
    </row>
    <row r="637">
      <c r="A637" s="55"/>
      <c r="B637" s="60"/>
      <c r="C637" s="55"/>
      <c r="D637" s="54"/>
      <c r="E637" s="55"/>
      <c r="F637" s="62"/>
      <c r="G637" s="57"/>
      <c r="H637" s="58" t="str">
        <f>IFERROR(__xludf.DUMMYFUNCTION("iferror(if(A637="""", ,filter('Playoff IDR Import'!D:D,'Playoff IDR Import'!A:A=A637,'Playoff IDR Import'!C:C=C637)),)"),"")</f>
        <v/>
      </c>
      <c r="I637" s="58"/>
      <c r="J637" s="59" t="str">
        <f t="shared" si="1"/>
        <v/>
      </c>
    </row>
    <row r="638">
      <c r="A638" s="55"/>
      <c r="B638" s="60"/>
      <c r="C638" s="55"/>
      <c r="D638" s="54"/>
      <c r="E638" s="55"/>
      <c r="F638" s="62"/>
      <c r="G638" s="57"/>
      <c r="H638" s="58" t="str">
        <f>IFERROR(__xludf.DUMMYFUNCTION("iferror(if(A638="""", ,filter('Playoff IDR Import'!D:D,'Playoff IDR Import'!A:A=A638,'Playoff IDR Import'!C:C=C638)),)"),"")</f>
        <v/>
      </c>
      <c r="I638" s="58"/>
      <c r="J638" s="59" t="str">
        <f t="shared" si="1"/>
        <v/>
      </c>
    </row>
    <row r="639">
      <c r="A639" s="55"/>
      <c r="B639" s="60"/>
      <c r="C639" s="55"/>
      <c r="D639" s="54"/>
      <c r="E639" s="55"/>
      <c r="F639" s="62"/>
      <c r="G639" s="57"/>
      <c r="H639" s="58" t="str">
        <f>IFERROR(__xludf.DUMMYFUNCTION("iferror(if(A639="""", ,filter('Playoff IDR Import'!D:D,'Playoff IDR Import'!A:A=A639,'Playoff IDR Import'!C:C=C639)),)"),"")</f>
        <v/>
      </c>
      <c r="I639" s="58"/>
      <c r="J639" s="59" t="str">
        <f t="shared" si="1"/>
        <v/>
      </c>
    </row>
    <row r="640">
      <c r="A640" s="55"/>
      <c r="B640" s="60"/>
      <c r="C640" s="55"/>
      <c r="D640" s="54"/>
      <c r="E640" s="55"/>
      <c r="F640" s="62"/>
      <c r="G640" s="57"/>
      <c r="H640" s="58" t="str">
        <f>IFERROR(__xludf.DUMMYFUNCTION("iferror(if(A640="""", ,filter('Playoff IDR Import'!D:D,'Playoff IDR Import'!A:A=A640,'Playoff IDR Import'!C:C=C640)),)"),"")</f>
        <v/>
      </c>
      <c r="I640" s="58"/>
      <c r="J640" s="59" t="str">
        <f t="shared" si="1"/>
        <v/>
      </c>
    </row>
    <row r="641">
      <c r="A641" s="55"/>
      <c r="B641" s="60"/>
      <c r="C641" s="55"/>
      <c r="D641" s="54"/>
      <c r="E641" s="55"/>
      <c r="F641" s="62"/>
      <c r="G641" s="57"/>
      <c r="H641" s="58" t="str">
        <f>IFERROR(__xludf.DUMMYFUNCTION("iferror(if(A641="""", ,filter('Playoff IDR Import'!D:D,'Playoff IDR Import'!A:A=A641,'Playoff IDR Import'!C:C=C641)),)"),"")</f>
        <v/>
      </c>
      <c r="I641" s="58"/>
      <c r="J641" s="59" t="str">
        <f t="shared" si="1"/>
        <v/>
      </c>
    </row>
    <row r="642">
      <c r="A642" s="55"/>
      <c r="B642" s="60"/>
      <c r="C642" s="55"/>
      <c r="D642" s="54"/>
      <c r="E642" s="55"/>
      <c r="F642" s="62"/>
      <c r="G642" s="57"/>
      <c r="H642" s="58" t="str">
        <f>IFERROR(__xludf.DUMMYFUNCTION("iferror(if(A642="""", ,filter('Playoff IDR Import'!D:D,'Playoff IDR Import'!A:A=A642,'Playoff IDR Import'!C:C=C642)),)"),"")</f>
        <v/>
      </c>
      <c r="I642" s="58"/>
      <c r="J642" s="59" t="str">
        <f t="shared" si="1"/>
        <v/>
      </c>
    </row>
    <row r="643">
      <c r="A643" s="55"/>
      <c r="B643" s="60"/>
      <c r="C643" s="55"/>
      <c r="D643" s="54"/>
      <c r="E643" s="55"/>
      <c r="F643" s="62"/>
      <c r="G643" s="57"/>
      <c r="H643" s="58" t="str">
        <f>IFERROR(__xludf.DUMMYFUNCTION("iferror(if(A643="""", ,filter('Playoff IDR Import'!D:D,'Playoff IDR Import'!A:A=A643,'Playoff IDR Import'!C:C=C643)),)"),"")</f>
        <v/>
      </c>
      <c r="I643" s="58"/>
      <c r="J643" s="59" t="str">
        <f t="shared" si="1"/>
        <v/>
      </c>
    </row>
    <row r="644">
      <c r="A644" s="55"/>
      <c r="B644" s="60"/>
      <c r="C644" s="55"/>
      <c r="D644" s="54"/>
      <c r="E644" s="55"/>
      <c r="F644" s="62"/>
      <c r="G644" s="57"/>
      <c r="H644" s="58" t="str">
        <f>IFERROR(__xludf.DUMMYFUNCTION("iferror(if(A644="""", ,filter('Playoff IDR Import'!D:D,'Playoff IDR Import'!A:A=A644,'Playoff IDR Import'!C:C=C644)),)"),"")</f>
        <v/>
      </c>
      <c r="I644" s="58"/>
      <c r="J644" s="59" t="str">
        <f t="shared" si="1"/>
        <v/>
      </c>
    </row>
    <row r="645">
      <c r="A645" s="55"/>
      <c r="B645" s="60"/>
      <c r="C645" s="55"/>
      <c r="D645" s="54"/>
      <c r="E645" s="55"/>
      <c r="F645" s="62"/>
      <c r="G645" s="57"/>
      <c r="H645" s="58" t="str">
        <f>IFERROR(__xludf.DUMMYFUNCTION("iferror(if(A645="""", ,filter('Playoff IDR Import'!D:D,'Playoff IDR Import'!A:A=A645,'Playoff IDR Import'!C:C=C645)),)"),"")</f>
        <v/>
      </c>
      <c r="I645" s="58"/>
      <c r="J645" s="59" t="str">
        <f t="shared" si="1"/>
        <v/>
      </c>
    </row>
    <row r="646">
      <c r="A646" s="55"/>
      <c r="B646" s="60"/>
      <c r="C646" s="55"/>
      <c r="D646" s="54"/>
      <c r="E646" s="55"/>
      <c r="F646" s="62"/>
      <c r="G646" s="57"/>
      <c r="H646" s="58" t="str">
        <f>IFERROR(__xludf.DUMMYFUNCTION("iferror(if(A646="""", ,filter('Playoff IDR Import'!D:D,'Playoff IDR Import'!A:A=A646,'Playoff IDR Import'!C:C=C646)),)"),"")</f>
        <v/>
      </c>
      <c r="I646" s="58"/>
      <c r="J646" s="59" t="str">
        <f t="shared" si="1"/>
        <v/>
      </c>
    </row>
    <row r="647">
      <c r="A647" s="55"/>
      <c r="B647" s="60"/>
      <c r="C647" s="55"/>
      <c r="D647" s="54"/>
      <c r="E647" s="55"/>
      <c r="F647" s="62"/>
      <c r="G647" s="57"/>
      <c r="H647" s="58" t="str">
        <f>IFERROR(__xludf.DUMMYFUNCTION("iferror(if(A647="""", ,filter('Playoff IDR Import'!D:D,'Playoff IDR Import'!A:A=A647,'Playoff IDR Import'!C:C=C647)),)"),"")</f>
        <v/>
      </c>
      <c r="I647" s="58"/>
      <c r="J647" s="59" t="str">
        <f t="shared" si="1"/>
        <v/>
      </c>
    </row>
    <row r="648">
      <c r="A648" s="55"/>
      <c r="B648" s="60"/>
      <c r="C648" s="55"/>
      <c r="D648" s="54"/>
      <c r="E648" s="55"/>
      <c r="F648" s="62"/>
      <c r="G648" s="57"/>
      <c r="H648" s="58" t="str">
        <f>IFERROR(__xludf.DUMMYFUNCTION("iferror(if(A648="""", ,filter('Playoff IDR Import'!D:D,'Playoff IDR Import'!A:A=A648,'Playoff IDR Import'!C:C=C648)),)"),"")</f>
        <v/>
      </c>
      <c r="I648" s="58"/>
      <c r="J648" s="59" t="str">
        <f t="shared" si="1"/>
        <v/>
      </c>
    </row>
    <row r="649">
      <c r="A649" s="55"/>
      <c r="B649" s="60"/>
      <c r="C649" s="55"/>
      <c r="D649" s="54"/>
      <c r="E649" s="55"/>
      <c r="F649" s="62"/>
      <c r="G649" s="57"/>
      <c r="H649" s="58" t="str">
        <f>IFERROR(__xludf.DUMMYFUNCTION("iferror(if(A649="""", ,filter('Playoff IDR Import'!D:D,'Playoff IDR Import'!A:A=A649,'Playoff IDR Import'!C:C=C649)),)"),"")</f>
        <v/>
      </c>
      <c r="I649" s="58"/>
      <c r="J649" s="59" t="str">
        <f t="shared" si="1"/>
        <v/>
      </c>
    </row>
    <row r="650">
      <c r="A650" s="55"/>
      <c r="B650" s="60"/>
      <c r="C650" s="55"/>
      <c r="D650" s="54"/>
      <c r="E650" s="55"/>
      <c r="F650" s="62"/>
      <c r="G650" s="57"/>
      <c r="H650" s="58" t="str">
        <f>IFERROR(__xludf.DUMMYFUNCTION("iferror(if(A650="""", ,filter('Playoff IDR Import'!D:D,'Playoff IDR Import'!A:A=A650,'Playoff IDR Import'!C:C=C650)),)"),"")</f>
        <v/>
      </c>
      <c r="I650" s="58"/>
      <c r="J650" s="59" t="str">
        <f t="shared" si="1"/>
        <v/>
      </c>
    </row>
    <row r="651">
      <c r="A651" s="55"/>
      <c r="B651" s="60"/>
      <c r="C651" s="55"/>
      <c r="D651" s="54"/>
      <c r="E651" s="55"/>
      <c r="F651" s="62"/>
      <c r="G651" s="57"/>
      <c r="H651" s="58" t="str">
        <f>IFERROR(__xludf.DUMMYFUNCTION("iferror(if(A651="""", ,filter('Playoff IDR Import'!D:D,'Playoff IDR Import'!A:A=A651,'Playoff IDR Import'!C:C=C651)),)"),"")</f>
        <v/>
      </c>
      <c r="I651" s="58"/>
      <c r="J651" s="59" t="str">
        <f t="shared" si="1"/>
        <v/>
      </c>
    </row>
    <row r="652">
      <c r="A652" s="55"/>
      <c r="B652" s="60"/>
      <c r="C652" s="55"/>
      <c r="D652" s="54"/>
      <c r="E652" s="55"/>
      <c r="F652" s="62"/>
      <c r="G652" s="57"/>
      <c r="H652" s="58" t="str">
        <f>IFERROR(__xludf.DUMMYFUNCTION("iferror(if(A652="""", ,filter('Playoff IDR Import'!D:D,'Playoff IDR Import'!A:A=A652,'Playoff IDR Import'!C:C=C652)),)"),"")</f>
        <v/>
      </c>
      <c r="I652" s="58"/>
      <c r="J652" s="59" t="str">
        <f t="shared" si="1"/>
        <v/>
      </c>
    </row>
    <row r="653">
      <c r="A653" s="55"/>
      <c r="B653" s="60"/>
      <c r="C653" s="55"/>
      <c r="D653" s="54"/>
      <c r="E653" s="55"/>
      <c r="F653" s="62"/>
      <c r="G653" s="57"/>
      <c r="H653" s="58" t="str">
        <f>IFERROR(__xludf.DUMMYFUNCTION("iferror(if(A653="""", ,filter('Playoff IDR Import'!D:D,'Playoff IDR Import'!A:A=A653,'Playoff IDR Import'!C:C=C653)),)"),"")</f>
        <v/>
      </c>
      <c r="I653" s="58"/>
      <c r="J653" s="59" t="str">
        <f t="shared" si="1"/>
        <v/>
      </c>
    </row>
    <row r="654">
      <c r="A654" s="55"/>
      <c r="B654" s="60"/>
      <c r="C654" s="55"/>
      <c r="D654" s="54"/>
      <c r="E654" s="55"/>
      <c r="F654" s="62"/>
      <c r="G654" s="57"/>
      <c r="H654" s="58" t="str">
        <f>IFERROR(__xludf.DUMMYFUNCTION("iferror(if(A654="""", ,filter('Playoff IDR Import'!D:D,'Playoff IDR Import'!A:A=A654,'Playoff IDR Import'!C:C=C654)),)"),"")</f>
        <v/>
      </c>
      <c r="I654" s="58"/>
      <c r="J654" s="59" t="str">
        <f t="shared" si="1"/>
        <v/>
      </c>
    </row>
    <row r="655">
      <c r="A655" s="55"/>
      <c r="B655" s="60"/>
      <c r="C655" s="55"/>
      <c r="D655" s="54"/>
      <c r="E655" s="55"/>
      <c r="F655" s="62"/>
      <c r="G655" s="57"/>
      <c r="H655" s="58" t="str">
        <f>IFERROR(__xludf.DUMMYFUNCTION("iferror(if(A655="""", ,filter('Playoff IDR Import'!D:D,'Playoff IDR Import'!A:A=A655,'Playoff IDR Import'!C:C=C655)),)"),"")</f>
        <v/>
      </c>
      <c r="I655" s="58"/>
      <c r="J655" s="59" t="str">
        <f t="shared" si="1"/>
        <v/>
      </c>
    </row>
    <row r="656">
      <c r="A656" s="55"/>
      <c r="B656" s="60"/>
      <c r="C656" s="55"/>
      <c r="D656" s="54"/>
      <c r="E656" s="55"/>
      <c r="F656" s="62"/>
      <c r="G656" s="57"/>
      <c r="H656" s="58" t="str">
        <f>IFERROR(__xludf.DUMMYFUNCTION("iferror(if(A656="""", ,filter('Playoff IDR Import'!D:D,'Playoff IDR Import'!A:A=A656,'Playoff IDR Import'!C:C=C656)),)"),"")</f>
        <v/>
      </c>
      <c r="I656" s="58"/>
      <c r="J656" s="59" t="str">
        <f t="shared" si="1"/>
        <v/>
      </c>
    </row>
    <row r="657">
      <c r="A657" s="55"/>
      <c r="B657" s="60"/>
      <c r="C657" s="55"/>
      <c r="D657" s="54"/>
      <c r="E657" s="55"/>
      <c r="F657" s="62"/>
      <c r="G657" s="57"/>
      <c r="H657" s="58" t="str">
        <f>IFERROR(__xludf.DUMMYFUNCTION("iferror(if(A657="""", ,filter('Playoff IDR Import'!D:D,'Playoff IDR Import'!A:A=A657,'Playoff IDR Import'!C:C=C657)),)"),"")</f>
        <v/>
      </c>
      <c r="I657" s="58"/>
      <c r="J657" s="59" t="str">
        <f t="shared" si="1"/>
        <v/>
      </c>
    </row>
    <row r="658">
      <c r="A658" s="55"/>
      <c r="B658" s="60"/>
      <c r="C658" s="55"/>
      <c r="D658" s="54"/>
      <c r="E658" s="55"/>
      <c r="F658" s="62"/>
      <c r="G658" s="57"/>
      <c r="H658" s="58" t="str">
        <f>IFERROR(__xludf.DUMMYFUNCTION("iferror(if(A658="""", ,filter('Playoff IDR Import'!D:D,'Playoff IDR Import'!A:A=A658,'Playoff IDR Import'!C:C=C658)),)"),"")</f>
        <v/>
      </c>
      <c r="I658" s="58"/>
      <c r="J658" s="59" t="str">
        <f t="shared" si="1"/>
        <v/>
      </c>
    </row>
    <row r="659">
      <c r="A659" s="55"/>
      <c r="B659" s="60"/>
      <c r="C659" s="55"/>
      <c r="D659" s="54"/>
      <c r="E659" s="55"/>
      <c r="F659" s="62"/>
      <c r="G659" s="57"/>
      <c r="H659" s="58" t="str">
        <f>IFERROR(__xludf.DUMMYFUNCTION("iferror(if(A659="""", ,filter('Playoff IDR Import'!D:D,'Playoff IDR Import'!A:A=A659,'Playoff IDR Import'!C:C=C659)),)"),"")</f>
        <v/>
      </c>
      <c r="I659" s="58"/>
      <c r="J659" s="59" t="str">
        <f t="shared" si="1"/>
        <v/>
      </c>
    </row>
    <row r="660">
      <c r="A660" s="55"/>
      <c r="B660" s="60"/>
      <c r="C660" s="55"/>
      <c r="D660" s="54"/>
      <c r="E660" s="55"/>
      <c r="F660" s="62"/>
      <c r="G660" s="57"/>
      <c r="H660" s="58" t="str">
        <f>IFERROR(__xludf.DUMMYFUNCTION("iferror(if(A660="""", ,filter('Playoff IDR Import'!D:D,'Playoff IDR Import'!A:A=A660,'Playoff IDR Import'!C:C=C660)),)"),"")</f>
        <v/>
      </c>
      <c r="I660" s="58"/>
      <c r="J660" s="59" t="str">
        <f t="shared" si="1"/>
        <v/>
      </c>
    </row>
    <row r="661">
      <c r="A661" s="55"/>
      <c r="B661" s="60"/>
      <c r="C661" s="55"/>
      <c r="D661" s="54"/>
      <c r="E661" s="55"/>
      <c r="F661" s="62"/>
      <c r="G661" s="57"/>
      <c r="H661" s="58" t="str">
        <f>IFERROR(__xludf.DUMMYFUNCTION("iferror(if(A661="""", ,filter('Playoff IDR Import'!D:D,'Playoff IDR Import'!A:A=A661,'Playoff IDR Import'!C:C=C661)),)"),"")</f>
        <v/>
      </c>
      <c r="I661" s="58"/>
      <c r="J661" s="59" t="str">
        <f t="shared" si="1"/>
        <v/>
      </c>
    </row>
    <row r="662">
      <c r="A662" s="55"/>
      <c r="B662" s="60"/>
      <c r="C662" s="55"/>
      <c r="D662" s="54"/>
      <c r="E662" s="55"/>
      <c r="F662" s="62"/>
      <c r="G662" s="57"/>
      <c r="H662" s="58" t="str">
        <f>IFERROR(__xludf.DUMMYFUNCTION("iferror(if(A662="""", ,filter('Playoff IDR Import'!D:D,'Playoff IDR Import'!A:A=A662,'Playoff IDR Import'!C:C=C662)),)"),"")</f>
        <v/>
      </c>
      <c r="I662" s="58"/>
      <c r="J662" s="59" t="str">
        <f t="shared" si="1"/>
        <v/>
      </c>
    </row>
    <row r="663">
      <c r="A663" s="55"/>
      <c r="B663" s="60"/>
      <c r="C663" s="55"/>
      <c r="D663" s="54"/>
      <c r="E663" s="55"/>
      <c r="F663" s="62"/>
      <c r="G663" s="57"/>
      <c r="H663" s="58" t="str">
        <f>IFERROR(__xludf.DUMMYFUNCTION("iferror(if(A663="""", ,filter('Playoff IDR Import'!D:D,'Playoff IDR Import'!A:A=A663,'Playoff IDR Import'!C:C=C663)),)"),"")</f>
        <v/>
      </c>
      <c r="I663" s="58"/>
      <c r="J663" s="59" t="str">
        <f t="shared" si="1"/>
        <v/>
      </c>
    </row>
    <row r="664">
      <c r="A664" s="55"/>
      <c r="B664" s="60"/>
      <c r="C664" s="55"/>
      <c r="D664" s="54"/>
      <c r="E664" s="55"/>
      <c r="F664" s="62"/>
      <c r="G664" s="57"/>
      <c r="H664" s="58" t="str">
        <f>IFERROR(__xludf.DUMMYFUNCTION("iferror(if(A664="""", ,filter('Playoff IDR Import'!D:D,'Playoff IDR Import'!A:A=A664,'Playoff IDR Import'!C:C=C664)),)"),"")</f>
        <v/>
      </c>
      <c r="I664" s="58"/>
      <c r="J664" s="59" t="str">
        <f t="shared" si="1"/>
        <v/>
      </c>
    </row>
    <row r="665">
      <c r="A665" s="55"/>
      <c r="B665" s="60"/>
      <c r="C665" s="55"/>
      <c r="D665" s="54"/>
      <c r="E665" s="55"/>
      <c r="F665" s="62"/>
      <c r="G665" s="57"/>
      <c r="H665" s="58" t="str">
        <f>IFERROR(__xludf.DUMMYFUNCTION("iferror(if(A665="""", ,filter('Playoff IDR Import'!D:D,'Playoff IDR Import'!A:A=A665,'Playoff IDR Import'!C:C=C665)),)"),"")</f>
        <v/>
      </c>
      <c r="I665" s="58"/>
      <c r="J665" s="59" t="str">
        <f t="shared" si="1"/>
        <v/>
      </c>
    </row>
    <row r="666">
      <c r="A666" s="55"/>
      <c r="B666" s="60"/>
      <c r="C666" s="55"/>
      <c r="D666" s="54"/>
      <c r="E666" s="55"/>
      <c r="F666" s="62"/>
      <c r="G666" s="57"/>
      <c r="H666" s="58" t="str">
        <f>IFERROR(__xludf.DUMMYFUNCTION("iferror(if(A666="""", ,filter('Playoff IDR Import'!D:D,'Playoff IDR Import'!A:A=A666,'Playoff IDR Import'!C:C=C666)),)"),"")</f>
        <v/>
      </c>
      <c r="I666" s="58"/>
      <c r="J666" s="59" t="str">
        <f t="shared" si="1"/>
        <v/>
      </c>
    </row>
    <row r="667">
      <c r="A667" s="55"/>
      <c r="B667" s="60"/>
      <c r="C667" s="55"/>
      <c r="D667" s="54"/>
      <c r="E667" s="55"/>
      <c r="F667" s="62"/>
      <c r="G667" s="57"/>
      <c r="H667" s="58" t="str">
        <f>IFERROR(__xludf.DUMMYFUNCTION("iferror(if(A667="""", ,filter('Playoff IDR Import'!D:D,'Playoff IDR Import'!A:A=A667,'Playoff IDR Import'!C:C=C667)),)"),"")</f>
        <v/>
      </c>
      <c r="I667" s="58"/>
      <c r="J667" s="59" t="str">
        <f t="shared" si="1"/>
        <v/>
      </c>
    </row>
    <row r="668">
      <c r="A668" s="55"/>
      <c r="B668" s="60"/>
      <c r="C668" s="55"/>
      <c r="D668" s="54"/>
      <c r="E668" s="55"/>
      <c r="F668" s="62"/>
      <c r="G668" s="57"/>
      <c r="H668" s="58" t="str">
        <f>IFERROR(__xludf.DUMMYFUNCTION("iferror(if(A668="""", ,filter('Playoff IDR Import'!D:D,'Playoff IDR Import'!A:A=A668,'Playoff IDR Import'!C:C=C668)),)"),"")</f>
        <v/>
      </c>
      <c r="I668" s="58"/>
      <c r="J668" s="59" t="str">
        <f t="shared" si="1"/>
        <v/>
      </c>
    </row>
    <row r="669">
      <c r="A669" s="55"/>
      <c r="B669" s="60"/>
      <c r="C669" s="55"/>
      <c r="D669" s="54"/>
      <c r="E669" s="55"/>
      <c r="F669" s="62"/>
      <c r="G669" s="57"/>
      <c r="H669" s="58" t="str">
        <f>IFERROR(__xludf.DUMMYFUNCTION("iferror(if(A669="""", ,filter('Playoff IDR Import'!D:D,'Playoff IDR Import'!A:A=A669,'Playoff IDR Import'!C:C=C669)),)"),"")</f>
        <v/>
      </c>
      <c r="I669" s="58"/>
      <c r="J669" s="59" t="str">
        <f t="shared" si="1"/>
        <v/>
      </c>
    </row>
    <row r="670">
      <c r="A670" s="55"/>
      <c r="B670" s="60"/>
      <c r="C670" s="55"/>
      <c r="D670" s="54"/>
      <c r="E670" s="55"/>
      <c r="F670" s="62"/>
      <c r="G670" s="57"/>
      <c r="H670" s="58" t="str">
        <f>IFERROR(__xludf.DUMMYFUNCTION("iferror(if(A670="""", ,filter('Playoff IDR Import'!D:D,'Playoff IDR Import'!A:A=A670,'Playoff IDR Import'!C:C=C670)),)"),"")</f>
        <v/>
      </c>
      <c r="I670" s="58"/>
      <c r="J670" s="59" t="str">
        <f t="shared" si="1"/>
        <v/>
      </c>
    </row>
    <row r="671">
      <c r="A671" s="55"/>
      <c r="B671" s="60"/>
      <c r="C671" s="55"/>
      <c r="D671" s="54"/>
      <c r="E671" s="55"/>
      <c r="F671" s="62"/>
      <c r="G671" s="57"/>
      <c r="H671" s="58" t="str">
        <f>IFERROR(__xludf.DUMMYFUNCTION("iferror(if(A671="""", ,filter('Playoff IDR Import'!D:D,'Playoff IDR Import'!A:A=A671,'Playoff IDR Import'!C:C=C671)),)"),"")</f>
        <v/>
      </c>
      <c r="I671" s="58"/>
      <c r="J671" s="59" t="str">
        <f t="shared" si="1"/>
        <v/>
      </c>
    </row>
    <row r="672">
      <c r="A672" s="55"/>
      <c r="B672" s="60"/>
      <c r="C672" s="55"/>
      <c r="D672" s="54"/>
      <c r="E672" s="55"/>
      <c r="F672" s="62"/>
      <c r="G672" s="57"/>
      <c r="H672" s="58" t="str">
        <f>IFERROR(__xludf.DUMMYFUNCTION("iferror(if(A672="""", ,filter('Playoff IDR Import'!D:D,'Playoff IDR Import'!A:A=A672,'Playoff IDR Import'!C:C=C672)),)"),"")</f>
        <v/>
      </c>
      <c r="I672" s="58"/>
      <c r="J672" s="59" t="str">
        <f t="shared" si="1"/>
        <v/>
      </c>
    </row>
    <row r="673">
      <c r="A673" s="55"/>
      <c r="B673" s="60"/>
      <c r="C673" s="55"/>
      <c r="D673" s="54"/>
      <c r="E673" s="55"/>
      <c r="F673" s="62"/>
      <c r="G673" s="57"/>
      <c r="H673" s="58" t="str">
        <f>IFERROR(__xludf.DUMMYFUNCTION("iferror(if(A673="""", ,filter('Playoff IDR Import'!D:D,'Playoff IDR Import'!A:A=A673,'Playoff IDR Import'!C:C=C673)),)"),"")</f>
        <v/>
      </c>
      <c r="I673" s="58"/>
      <c r="J673" s="59" t="str">
        <f t="shared" si="1"/>
        <v/>
      </c>
    </row>
    <row r="674">
      <c r="A674" s="55"/>
      <c r="B674" s="60"/>
      <c r="C674" s="55"/>
      <c r="D674" s="54"/>
      <c r="E674" s="55"/>
      <c r="F674" s="62"/>
      <c r="G674" s="57"/>
      <c r="H674" s="58" t="str">
        <f>IFERROR(__xludf.DUMMYFUNCTION("iferror(if(A674="""", ,filter('Playoff IDR Import'!D:D,'Playoff IDR Import'!A:A=A674,'Playoff IDR Import'!C:C=C674)),)"),"")</f>
        <v/>
      </c>
      <c r="I674" s="58"/>
      <c r="J674" s="59" t="str">
        <f t="shared" si="1"/>
        <v/>
      </c>
    </row>
    <row r="675">
      <c r="A675" s="55"/>
      <c r="B675" s="60"/>
      <c r="C675" s="55"/>
      <c r="D675" s="54"/>
      <c r="E675" s="55"/>
      <c r="F675" s="62"/>
      <c r="G675" s="57"/>
      <c r="H675" s="58" t="str">
        <f>IFERROR(__xludf.DUMMYFUNCTION("iferror(if(A675="""", ,filter('Playoff IDR Import'!D:D,'Playoff IDR Import'!A:A=A675,'Playoff IDR Import'!C:C=C675)),)"),"")</f>
        <v/>
      </c>
      <c r="I675" s="58"/>
      <c r="J675" s="59" t="str">
        <f t="shared" si="1"/>
        <v/>
      </c>
    </row>
    <row r="676">
      <c r="A676" s="55"/>
      <c r="B676" s="60"/>
      <c r="C676" s="55"/>
      <c r="D676" s="54"/>
      <c r="E676" s="55"/>
      <c r="F676" s="62"/>
      <c r="G676" s="57"/>
      <c r="H676" s="58" t="str">
        <f>IFERROR(__xludf.DUMMYFUNCTION("iferror(if(A676="""", ,filter('Playoff IDR Import'!D:D,'Playoff IDR Import'!A:A=A676,'Playoff IDR Import'!C:C=C676)),)"),"")</f>
        <v/>
      </c>
      <c r="I676" s="58"/>
      <c r="J676" s="59" t="str">
        <f t="shared" si="1"/>
        <v/>
      </c>
    </row>
    <row r="677">
      <c r="A677" s="55"/>
      <c r="B677" s="60"/>
      <c r="C677" s="55"/>
      <c r="D677" s="54"/>
      <c r="E677" s="55"/>
      <c r="F677" s="62"/>
      <c r="G677" s="57"/>
      <c r="H677" s="58" t="str">
        <f>IFERROR(__xludf.DUMMYFUNCTION("iferror(if(A677="""", ,filter('Playoff IDR Import'!D:D,'Playoff IDR Import'!A:A=A677,'Playoff IDR Import'!C:C=C677)),)"),"")</f>
        <v/>
      </c>
      <c r="I677" s="58"/>
      <c r="J677" s="59" t="str">
        <f t="shared" si="1"/>
        <v/>
      </c>
    </row>
    <row r="678">
      <c r="A678" s="55"/>
      <c r="B678" s="60"/>
      <c r="C678" s="55"/>
      <c r="D678" s="54"/>
      <c r="E678" s="55"/>
      <c r="F678" s="62"/>
      <c r="G678" s="57"/>
      <c r="H678" s="58" t="str">
        <f>IFERROR(__xludf.DUMMYFUNCTION("iferror(if(A678="""", ,filter('Playoff IDR Import'!D:D,'Playoff IDR Import'!A:A=A678,'Playoff IDR Import'!C:C=C678)),)"),"")</f>
        <v/>
      </c>
      <c r="I678" s="58"/>
      <c r="J678" s="59" t="str">
        <f t="shared" si="1"/>
        <v/>
      </c>
    </row>
    <row r="679">
      <c r="A679" s="55"/>
      <c r="B679" s="60"/>
      <c r="C679" s="55"/>
      <c r="D679" s="54"/>
      <c r="E679" s="55"/>
      <c r="F679" s="62"/>
      <c r="G679" s="57"/>
      <c r="H679" s="58" t="str">
        <f>IFERROR(__xludf.DUMMYFUNCTION("iferror(if(A679="""", ,filter('Playoff IDR Import'!D:D,'Playoff IDR Import'!A:A=A679,'Playoff IDR Import'!C:C=C679)),)"),"")</f>
        <v/>
      </c>
      <c r="I679" s="58"/>
      <c r="J679" s="59" t="str">
        <f t="shared" si="1"/>
        <v/>
      </c>
    </row>
    <row r="680">
      <c r="A680" s="55"/>
      <c r="B680" s="60"/>
      <c r="C680" s="55"/>
      <c r="D680" s="54"/>
      <c r="E680" s="55"/>
      <c r="F680" s="62"/>
      <c r="G680" s="57"/>
      <c r="H680" s="58" t="str">
        <f>IFERROR(__xludf.DUMMYFUNCTION("iferror(if(A680="""", ,filter('Playoff IDR Import'!D:D,'Playoff IDR Import'!A:A=A680,'Playoff IDR Import'!C:C=C680)),)"),"")</f>
        <v/>
      </c>
      <c r="I680" s="58"/>
      <c r="J680" s="59" t="str">
        <f t="shared" si="1"/>
        <v/>
      </c>
    </row>
    <row r="681">
      <c r="A681" s="55"/>
      <c r="B681" s="60"/>
      <c r="C681" s="55"/>
      <c r="D681" s="54"/>
      <c r="E681" s="55"/>
      <c r="F681" s="62"/>
      <c r="G681" s="57"/>
      <c r="H681" s="58" t="str">
        <f>IFERROR(__xludf.DUMMYFUNCTION("iferror(if(A681="""", ,filter('Playoff IDR Import'!D:D,'Playoff IDR Import'!A:A=A681,'Playoff IDR Import'!C:C=C681)),)"),"")</f>
        <v/>
      </c>
      <c r="I681" s="58"/>
      <c r="J681" s="59" t="str">
        <f t="shared" si="1"/>
        <v/>
      </c>
    </row>
    <row r="682">
      <c r="A682" s="55"/>
      <c r="B682" s="60"/>
      <c r="C682" s="55"/>
      <c r="D682" s="54"/>
      <c r="E682" s="55"/>
      <c r="F682" s="62"/>
      <c r="G682" s="57"/>
      <c r="H682" s="58" t="str">
        <f>IFERROR(__xludf.DUMMYFUNCTION("iferror(if(A682="""", ,filter('Playoff IDR Import'!D:D,'Playoff IDR Import'!A:A=A682,'Playoff IDR Import'!C:C=C682)),)"),"")</f>
        <v/>
      </c>
      <c r="I682" s="58"/>
      <c r="J682" s="59" t="str">
        <f t="shared" si="1"/>
        <v/>
      </c>
    </row>
    <row r="683">
      <c r="A683" s="55"/>
      <c r="B683" s="60"/>
      <c r="C683" s="55"/>
      <c r="D683" s="54"/>
      <c r="E683" s="55"/>
      <c r="F683" s="62"/>
      <c r="G683" s="57"/>
      <c r="H683" s="58" t="str">
        <f>IFERROR(__xludf.DUMMYFUNCTION("iferror(if(A683="""", ,filter('Playoff IDR Import'!D:D,'Playoff IDR Import'!A:A=A683,'Playoff IDR Import'!C:C=C683)),)"),"")</f>
        <v/>
      </c>
      <c r="I683" s="58"/>
      <c r="J683" s="59" t="str">
        <f t="shared" si="1"/>
        <v/>
      </c>
    </row>
    <row r="684">
      <c r="A684" s="55"/>
      <c r="B684" s="60"/>
      <c r="C684" s="55"/>
      <c r="D684" s="54"/>
      <c r="E684" s="55"/>
      <c r="F684" s="62"/>
      <c r="G684" s="57"/>
      <c r="H684" s="58" t="str">
        <f>IFERROR(__xludf.DUMMYFUNCTION("iferror(if(A684="""", ,filter('Playoff IDR Import'!D:D,'Playoff IDR Import'!A:A=A684,'Playoff IDR Import'!C:C=C684)),)"),"")</f>
        <v/>
      </c>
      <c r="I684" s="58"/>
      <c r="J684" s="59" t="str">
        <f t="shared" si="1"/>
        <v/>
      </c>
    </row>
    <row r="685">
      <c r="A685" s="55"/>
      <c r="B685" s="60"/>
      <c r="C685" s="55"/>
      <c r="D685" s="54"/>
      <c r="E685" s="55"/>
      <c r="F685" s="62"/>
      <c r="G685" s="57"/>
      <c r="H685" s="58" t="str">
        <f>IFERROR(__xludf.DUMMYFUNCTION("iferror(if(A685="""", ,filter('Playoff IDR Import'!D:D,'Playoff IDR Import'!A:A=A685,'Playoff IDR Import'!C:C=C685)),)"),"")</f>
        <v/>
      </c>
      <c r="I685" s="58"/>
      <c r="J685" s="59" t="str">
        <f t="shared" si="1"/>
        <v/>
      </c>
    </row>
    <row r="686">
      <c r="A686" s="55"/>
      <c r="B686" s="60"/>
      <c r="C686" s="55"/>
      <c r="D686" s="54"/>
      <c r="E686" s="55"/>
      <c r="F686" s="62"/>
      <c r="G686" s="57"/>
      <c r="H686" s="58" t="str">
        <f>IFERROR(__xludf.DUMMYFUNCTION("iferror(if(A686="""", ,filter('Playoff IDR Import'!D:D,'Playoff IDR Import'!A:A=A686,'Playoff IDR Import'!C:C=C686)),)"),"")</f>
        <v/>
      </c>
      <c r="I686" s="58"/>
      <c r="J686" s="59" t="str">
        <f t="shared" si="1"/>
        <v/>
      </c>
    </row>
    <row r="687">
      <c r="A687" s="55"/>
      <c r="B687" s="60"/>
      <c r="C687" s="55"/>
      <c r="D687" s="54"/>
      <c r="E687" s="55"/>
      <c r="F687" s="62"/>
      <c r="G687" s="57"/>
      <c r="H687" s="58" t="str">
        <f>IFERROR(__xludf.DUMMYFUNCTION("iferror(if(A687="""", ,filter('Playoff IDR Import'!D:D,'Playoff IDR Import'!A:A=A687,'Playoff IDR Import'!C:C=C687)),)"),"")</f>
        <v/>
      </c>
      <c r="I687" s="58"/>
      <c r="J687" s="59" t="str">
        <f t="shared" si="1"/>
        <v/>
      </c>
    </row>
    <row r="688">
      <c r="A688" s="55"/>
      <c r="B688" s="60"/>
      <c r="C688" s="55"/>
      <c r="D688" s="54"/>
      <c r="E688" s="55"/>
      <c r="F688" s="62"/>
      <c r="G688" s="57"/>
      <c r="H688" s="58" t="str">
        <f>IFERROR(__xludf.DUMMYFUNCTION("iferror(if(A688="""", ,filter('Playoff IDR Import'!D:D,'Playoff IDR Import'!A:A=A688,'Playoff IDR Import'!C:C=C688)),)"),"")</f>
        <v/>
      </c>
      <c r="I688" s="58"/>
      <c r="J688" s="59" t="str">
        <f t="shared" si="1"/>
        <v/>
      </c>
    </row>
    <row r="689">
      <c r="A689" s="55"/>
      <c r="B689" s="60"/>
      <c r="C689" s="55"/>
      <c r="D689" s="54"/>
      <c r="E689" s="55"/>
      <c r="F689" s="62"/>
      <c r="G689" s="57"/>
      <c r="H689" s="58" t="str">
        <f>IFERROR(__xludf.DUMMYFUNCTION("iferror(if(A689="""", ,filter('Playoff IDR Import'!D:D,'Playoff IDR Import'!A:A=A689,'Playoff IDR Import'!C:C=C689)),)"),"")</f>
        <v/>
      </c>
      <c r="I689" s="58"/>
      <c r="J689" s="59" t="str">
        <f t="shared" si="1"/>
        <v/>
      </c>
    </row>
    <row r="690">
      <c r="A690" s="55"/>
      <c r="B690" s="60"/>
      <c r="C690" s="55"/>
      <c r="D690" s="54"/>
      <c r="E690" s="55"/>
      <c r="F690" s="62"/>
      <c r="G690" s="57"/>
      <c r="H690" s="58" t="str">
        <f>IFERROR(__xludf.DUMMYFUNCTION("iferror(if(A690="""", ,filter('Playoff IDR Import'!D:D,'Playoff IDR Import'!A:A=A690,'Playoff IDR Import'!C:C=C690)),)"),"")</f>
        <v/>
      </c>
      <c r="I690" s="58"/>
      <c r="J690" s="59" t="str">
        <f t="shared" si="1"/>
        <v/>
      </c>
    </row>
    <row r="691">
      <c r="A691" s="55"/>
      <c r="B691" s="60"/>
      <c r="C691" s="55"/>
      <c r="D691" s="54"/>
      <c r="E691" s="55"/>
      <c r="F691" s="62"/>
      <c r="G691" s="57"/>
      <c r="H691" s="58" t="str">
        <f>IFERROR(__xludf.DUMMYFUNCTION("iferror(if(A691="""", ,filter('Playoff IDR Import'!D:D,'Playoff IDR Import'!A:A=A691,'Playoff IDR Import'!C:C=C691)),)"),"")</f>
        <v/>
      </c>
      <c r="I691" s="58"/>
      <c r="J691" s="59" t="str">
        <f t="shared" si="1"/>
        <v/>
      </c>
    </row>
    <row r="692">
      <c r="A692" s="55"/>
      <c r="B692" s="60"/>
      <c r="C692" s="55"/>
      <c r="D692" s="54"/>
      <c r="E692" s="55"/>
      <c r="F692" s="62"/>
      <c r="G692" s="57"/>
      <c r="H692" s="58" t="str">
        <f>IFERROR(__xludf.DUMMYFUNCTION("iferror(if(A692="""", ,filter('Playoff IDR Import'!D:D,'Playoff IDR Import'!A:A=A692,'Playoff IDR Import'!C:C=C692)),)"),"")</f>
        <v/>
      </c>
      <c r="I692" s="58"/>
      <c r="J692" s="59" t="str">
        <f t="shared" si="1"/>
        <v/>
      </c>
    </row>
    <row r="693">
      <c r="A693" s="55"/>
      <c r="B693" s="60"/>
      <c r="C693" s="55"/>
      <c r="D693" s="54"/>
      <c r="E693" s="55"/>
      <c r="F693" s="62"/>
      <c r="G693" s="57"/>
      <c r="H693" s="58" t="str">
        <f>IFERROR(__xludf.DUMMYFUNCTION("iferror(if(A693="""", ,filter('Playoff IDR Import'!D:D,'Playoff IDR Import'!A:A=A693,'Playoff IDR Import'!C:C=C693)),)"),"")</f>
        <v/>
      </c>
      <c r="I693" s="58"/>
      <c r="J693" s="59" t="str">
        <f t="shared" si="1"/>
        <v/>
      </c>
    </row>
    <row r="694">
      <c r="A694" s="55"/>
      <c r="B694" s="60"/>
      <c r="C694" s="55"/>
      <c r="D694" s="54"/>
      <c r="E694" s="55"/>
      <c r="F694" s="62"/>
      <c r="G694" s="57"/>
      <c r="H694" s="58" t="str">
        <f>IFERROR(__xludf.DUMMYFUNCTION("iferror(if(A694="""", ,filter('Playoff IDR Import'!D:D,'Playoff IDR Import'!A:A=A694,'Playoff IDR Import'!C:C=C694)),)"),"")</f>
        <v/>
      </c>
      <c r="I694" s="58"/>
      <c r="J694" s="59" t="str">
        <f t="shared" si="1"/>
        <v/>
      </c>
    </row>
    <row r="695">
      <c r="A695" s="55"/>
      <c r="B695" s="60"/>
      <c r="C695" s="55"/>
      <c r="D695" s="54"/>
      <c r="E695" s="55"/>
      <c r="F695" s="62"/>
      <c r="G695" s="57"/>
      <c r="H695" s="58" t="str">
        <f>IFERROR(__xludf.DUMMYFUNCTION("iferror(if(A695="""", ,filter('Playoff IDR Import'!D:D,'Playoff IDR Import'!A:A=A695,'Playoff IDR Import'!C:C=C695)),)"),"")</f>
        <v/>
      </c>
      <c r="I695" s="58"/>
      <c r="J695" s="59" t="str">
        <f t="shared" si="1"/>
        <v/>
      </c>
    </row>
    <row r="696">
      <c r="A696" s="55"/>
      <c r="B696" s="60"/>
      <c r="C696" s="55"/>
      <c r="D696" s="54"/>
      <c r="E696" s="55"/>
      <c r="F696" s="62"/>
      <c r="G696" s="57"/>
      <c r="H696" s="58" t="str">
        <f>IFERROR(__xludf.DUMMYFUNCTION("iferror(if(A696="""", ,filter('Playoff IDR Import'!D:D,'Playoff IDR Import'!A:A=A696,'Playoff IDR Import'!C:C=C696)),)"),"")</f>
        <v/>
      </c>
      <c r="I696" s="58"/>
      <c r="J696" s="59" t="str">
        <f t="shared" si="1"/>
        <v/>
      </c>
    </row>
    <row r="697">
      <c r="A697" s="55"/>
      <c r="B697" s="60"/>
      <c r="C697" s="55"/>
      <c r="D697" s="54"/>
      <c r="E697" s="55"/>
      <c r="F697" s="62"/>
      <c r="G697" s="57"/>
      <c r="H697" s="58" t="str">
        <f>IFERROR(__xludf.DUMMYFUNCTION("iferror(if(A697="""", ,filter('Playoff IDR Import'!D:D,'Playoff IDR Import'!A:A=A697,'Playoff IDR Import'!C:C=C697)),)"),"")</f>
        <v/>
      </c>
      <c r="I697" s="58"/>
      <c r="J697" s="59" t="str">
        <f t="shared" si="1"/>
        <v/>
      </c>
    </row>
    <row r="698">
      <c r="A698" s="55"/>
      <c r="B698" s="60"/>
      <c r="C698" s="55"/>
      <c r="D698" s="54"/>
      <c r="E698" s="55"/>
      <c r="F698" s="62"/>
      <c r="G698" s="57"/>
      <c r="H698" s="58" t="str">
        <f>IFERROR(__xludf.DUMMYFUNCTION("iferror(if(A698="""", ,filter('Playoff IDR Import'!D:D,'Playoff IDR Import'!A:A=A698,'Playoff IDR Import'!C:C=C698)),)"),"")</f>
        <v/>
      </c>
      <c r="I698" s="58"/>
      <c r="J698" s="59" t="str">
        <f t="shared" si="1"/>
        <v/>
      </c>
    </row>
    <row r="699">
      <c r="A699" s="55"/>
      <c r="B699" s="60"/>
      <c r="C699" s="55"/>
      <c r="D699" s="54"/>
      <c r="E699" s="55"/>
      <c r="F699" s="62"/>
      <c r="G699" s="57"/>
      <c r="H699" s="58" t="str">
        <f>IFERROR(__xludf.DUMMYFUNCTION("iferror(if(A699="""", ,filter('Playoff IDR Import'!D:D,'Playoff IDR Import'!A:A=A699,'Playoff IDR Import'!C:C=C699)),)"),"")</f>
        <v/>
      </c>
      <c r="I699" s="58"/>
      <c r="J699" s="59" t="str">
        <f t="shared" si="1"/>
        <v/>
      </c>
    </row>
    <row r="700">
      <c r="A700" s="55"/>
      <c r="B700" s="60"/>
      <c r="C700" s="55"/>
      <c r="D700" s="54"/>
      <c r="E700" s="55"/>
      <c r="F700" s="62"/>
      <c r="G700" s="57"/>
      <c r="H700" s="58" t="str">
        <f>IFERROR(__xludf.DUMMYFUNCTION("iferror(if(A700="""", ,filter('Playoff IDR Import'!D:D,'Playoff IDR Import'!A:A=A700,'Playoff IDR Import'!C:C=C700)),)"),"")</f>
        <v/>
      </c>
      <c r="I700" s="58"/>
      <c r="J700" s="59" t="str">
        <f t="shared" si="1"/>
        <v/>
      </c>
    </row>
    <row r="701">
      <c r="A701" s="55"/>
      <c r="B701" s="60"/>
      <c r="C701" s="55"/>
      <c r="D701" s="54"/>
      <c r="E701" s="55"/>
      <c r="F701" s="62"/>
      <c r="G701" s="57"/>
      <c r="H701" s="58" t="str">
        <f>IFERROR(__xludf.DUMMYFUNCTION("iferror(if(A701="""", ,filter('Playoff IDR Import'!D:D,'Playoff IDR Import'!A:A=A701,'Playoff IDR Import'!C:C=C701)),)"),"")</f>
        <v/>
      </c>
      <c r="I701" s="58"/>
      <c r="J701" s="59" t="str">
        <f t="shared" si="1"/>
        <v/>
      </c>
    </row>
    <row r="702">
      <c r="A702" s="55"/>
      <c r="B702" s="60"/>
      <c r="C702" s="55"/>
      <c r="D702" s="54"/>
      <c r="E702" s="55"/>
      <c r="F702" s="62"/>
      <c r="G702" s="57"/>
      <c r="H702" s="58" t="str">
        <f>IFERROR(__xludf.DUMMYFUNCTION("iferror(if(A702="""", ,filter('Playoff IDR Import'!D:D,'Playoff IDR Import'!A:A=A702,'Playoff IDR Import'!C:C=C702)),)"),"")</f>
        <v/>
      </c>
      <c r="I702" s="58"/>
      <c r="J702" s="59" t="str">
        <f t="shared" si="1"/>
        <v/>
      </c>
    </row>
    <row r="703">
      <c r="A703" s="55"/>
      <c r="B703" s="60"/>
      <c r="C703" s="55"/>
      <c r="D703" s="54"/>
      <c r="E703" s="55"/>
      <c r="F703" s="62"/>
      <c r="G703" s="57"/>
      <c r="H703" s="58" t="str">
        <f>IFERROR(__xludf.DUMMYFUNCTION("iferror(if(A703="""", ,filter('Playoff IDR Import'!D:D,'Playoff IDR Import'!A:A=A703,'Playoff IDR Import'!C:C=C703)),)"),"")</f>
        <v/>
      </c>
      <c r="I703" s="58"/>
      <c r="J703" s="59" t="str">
        <f t="shared" si="1"/>
        <v/>
      </c>
    </row>
    <row r="704">
      <c r="A704" s="55"/>
      <c r="B704" s="60"/>
      <c r="C704" s="55"/>
      <c r="D704" s="54"/>
      <c r="E704" s="55"/>
      <c r="F704" s="62"/>
      <c r="G704" s="57"/>
      <c r="H704" s="58" t="str">
        <f>IFERROR(__xludf.DUMMYFUNCTION("iferror(if(A704="""", ,filter('Playoff IDR Import'!D:D,'Playoff IDR Import'!A:A=A704,'Playoff IDR Import'!C:C=C704)),)"),"")</f>
        <v/>
      </c>
      <c r="I704" s="58"/>
      <c r="J704" s="59" t="str">
        <f t="shared" si="1"/>
        <v/>
      </c>
    </row>
    <row r="705">
      <c r="A705" s="55"/>
      <c r="B705" s="60"/>
      <c r="C705" s="55"/>
      <c r="D705" s="54"/>
      <c r="E705" s="55"/>
      <c r="F705" s="62"/>
      <c r="G705" s="57"/>
      <c r="H705" s="58" t="str">
        <f>IFERROR(__xludf.DUMMYFUNCTION("iferror(if(A705="""", ,filter('Playoff IDR Import'!D:D,'Playoff IDR Import'!A:A=A705,'Playoff IDR Import'!C:C=C705)),)"),"")</f>
        <v/>
      </c>
      <c r="I705" s="58"/>
      <c r="J705" s="59" t="str">
        <f t="shared" si="1"/>
        <v/>
      </c>
    </row>
    <row r="706">
      <c r="A706" s="55"/>
      <c r="B706" s="60"/>
      <c r="C706" s="55"/>
      <c r="D706" s="54"/>
      <c r="E706" s="55"/>
      <c r="F706" s="62"/>
      <c r="G706" s="57"/>
      <c r="H706" s="58" t="str">
        <f>IFERROR(__xludf.DUMMYFUNCTION("iferror(if(A706="""", ,filter('Playoff IDR Import'!D:D,'Playoff IDR Import'!A:A=A706,'Playoff IDR Import'!C:C=C706)),)"),"")</f>
        <v/>
      </c>
      <c r="I706" s="58"/>
      <c r="J706" s="59" t="str">
        <f t="shared" si="1"/>
        <v/>
      </c>
    </row>
    <row r="707">
      <c r="A707" s="55"/>
      <c r="B707" s="60"/>
      <c r="C707" s="55"/>
      <c r="D707" s="54"/>
      <c r="E707" s="55"/>
      <c r="F707" s="62"/>
      <c r="G707" s="57"/>
      <c r="H707" s="58" t="str">
        <f>IFERROR(__xludf.DUMMYFUNCTION("iferror(if(A707="""", ,filter('Playoff IDR Import'!D:D,'Playoff IDR Import'!A:A=A707,'Playoff IDR Import'!C:C=C707)),)"),"")</f>
        <v/>
      </c>
      <c r="I707" s="58"/>
      <c r="J707" s="59" t="str">
        <f t="shared" si="1"/>
        <v/>
      </c>
    </row>
    <row r="708">
      <c r="A708" s="55"/>
      <c r="B708" s="60"/>
      <c r="C708" s="55"/>
      <c r="D708" s="54"/>
      <c r="E708" s="55"/>
      <c r="F708" s="62"/>
      <c r="G708" s="57"/>
      <c r="H708" s="58" t="str">
        <f>IFERROR(__xludf.DUMMYFUNCTION("iferror(if(A708="""", ,filter('Playoff IDR Import'!D:D,'Playoff IDR Import'!A:A=A708,'Playoff IDR Import'!C:C=C708)),)"),"")</f>
        <v/>
      </c>
      <c r="I708" s="58"/>
      <c r="J708" s="59" t="str">
        <f t="shared" si="1"/>
        <v/>
      </c>
    </row>
    <row r="709">
      <c r="A709" s="55"/>
      <c r="B709" s="60"/>
      <c r="C709" s="55"/>
      <c r="D709" s="54"/>
      <c r="E709" s="55"/>
      <c r="F709" s="62"/>
      <c r="G709" s="57"/>
      <c r="H709" s="58" t="str">
        <f>IFERROR(__xludf.DUMMYFUNCTION("iferror(if(A709="""", ,filter('Playoff IDR Import'!D:D,'Playoff IDR Import'!A:A=A709,'Playoff IDR Import'!C:C=C709)),)"),"")</f>
        <v/>
      </c>
      <c r="I709" s="58"/>
      <c r="J709" s="59" t="str">
        <f t="shared" si="1"/>
        <v/>
      </c>
    </row>
    <row r="710">
      <c r="A710" s="55"/>
      <c r="B710" s="60"/>
      <c r="C710" s="55"/>
      <c r="D710" s="54"/>
      <c r="E710" s="55"/>
      <c r="F710" s="62"/>
      <c r="G710" s="57"/>
      <c r="H710" s="58" t="str">
        <f>IFERROR(__xludf.DUMMYFUNCTION("iferror(if(A710="""", ,filter('Playoff IDR Import'!D:D,'Playoff IDR Import'!A:A=A710,'Playoff IDR Import'!C:C=C710)),)"),"")</f>
        <v/>
      </c>
      <c r="I710" s="58"/>
      <c r="J710" s="59" t="str">
        <f t="shared" si="1"/>
        <v/>
      </c>
    </row>
    <row r="711">
      <c r="A711" s="55"/>
      <c r="B711" s="60"/>
      <c r="C711" s="55"/>
      <c r="D711" s="54"/>
      <c r="E711" s="55"/>
      <c r="F711" s="62"/>
      <c r="G711" s="57"/>
      <c r="H711" s="58" t="str">
        <f>IFERROR(__xludf.DUMMYFUNCTION("iferror(if(A711="""", ,filter('Playoff IDR Import'!D:D,'Playoff IDR Import'!A:A=A711,'Playoff IDR Import'!C:C=C711)),)"),"")</f>
        <v/>
      </c>
      <c r="I711" s="58"/>
      <c r="J711" s="59" t="str">
        <f t="shared" si="1"/>
        <v/>
      </c>
    </row>
    <row r="712">
      <c r="A712" s="55"/>
      <c r="B712" s="60"/>
      <c r="C712" s="55"/>
      <c r="D712" s="54"/>
      <c r="E712" s="55"/>
      <c r="F712" s="62"/>
      <c r="G712" s="57"/>
      <c r="H712" s="58" t="str">
        <f>IFERROR(__xludf.DUMMYFUNCTION("iferror(if(A712="""", ,filter('Playoff IDR Import'!D:D,'Playoff IDR Import'!A:A=A712,'Playoff IDR Import'!C:C=C712)),)"),"")</f>
        <v/>
      </c>
      <c r="I712" s="58"/>
      <c r="J712" s="59" t="str">
        <f t="shared" si="1"/>
        <v/>
      </c>
    </row>
    <row r="713">
      <c r="A713" s="55"/>
      <c r="B713" s="60"/>
      <c r="C713" s="55"/>
      <c r="D713" s="54"/>
      <c r="E713" s="55"/>
      <c r="F713" s="62"/>
      <c r="G713" s="57"/>
      <c r="H713" s="58" t="str">
        <f>IFERROR(__xludf.DUMMYFUNCTION("iferror(if(A713="""", ,filter('Playoff IDR Import'!D:D,'Playoff IDR Import'!A:A=A713,'Playoff IDR Import'!C:C=C713)),)"),"")</f>
        <v/>
      </c>
      <c r="I713" s="58"/>
      <c r="J713" s="59" t="str">
        <f t="shared" si="1"/>
        <v/>
      </c>
    </row>
    <row r="714">
      <c r="A714" s="55"/>
      <c r="B714" s="60"/>
      <c r="C714" s="55"/>
      <c r="D714" s="54"/>
      <c r="E714" s="55"/>
      <c r="F714" s="62"/>
      <c r="G714" s="57"/>
      <c r="H714" s="58" t="str">
        <f>IFERROR(__xludf.DUMMYFUNCTION("iferror(if(A714="""", ,filter('Playoff IDR Import'!D:D,'Playoff IDR Import'!A:A=A714,'Playoff IDR Import'!C:C=C714)),)"),"")</f>
        <v/>
      </c>
      <c r="I714" s="58"/>
      <c r="J714" s="59" t="str">
        <f t="shared" si="1"/>
        <v/>
      </c>
    </row>
    <row r="715">
      <c r="A715" s="55"/>
      <c r="B715" s="60"/>
      <c r="C715" s="55"/>
      <c r="D715" s="54"/>
      <c r="E715" s="55"/>
      <c r="F715" s="62"/>
      <c r="G715" s="57"/>
      <c r="H715" s="58" t="str">
        <f>IFERROR(__xludf.DUMMYFUNCTION("iferror(if(A715="""", ,filter('Playoff IDR Import'!D:D,'Playoff IDR Import'!A:A=A715,'Playoff IDR Import'!C:C=C715)),)"),"")</f>
        <v/>
      </c>
      <c r="I715" s="58"/>
      <c r="J715" s="59" t="str">
        <f t="shared" si="1"/>
        <v/>
      </c>
    </row>
    <row r="716">
      <c r="A716" s="55"/>
      <c r="B716" s="60"/>
      <c r="C716" s="55"/>
      <c r="D716" s="54"/>
      <c r="E716" s="55"/>
      <c r="F716" s="62"/>
      <c r="G716" s="57"/>
      <c r="H716" s="58" t="str">
        <f>IFERROR(__xludf.DUMMYFUNCTION("iferror(if(A716="""", ,filter('Playoff IDR Import'!D:D,'Playoff IDR Import'!A:A=A716,'Playoff IDR Import'!C:C=C716)),)"),"")</f>
        <v/>
      </c>
      <c r="I716" s="58"/>
      <c r="J716" s="59" t="str">
        <f t="shared" si="1"/>
        <v/>
      </c>
    </row>
    <row r="717">
      <c r="A717" s="55"/>
      <c r="B717" s="60"/>
      <c r="C717" s="55"/>
      <c r="D717" s="54"/>
      <c r="E717" s="55"/>
      <c r="F717" s="62"/>
      <c r="G717" s="57"/>
      <c r="H717" s="58" t="str">
        <f>IFERROR(__xludf.DUMMYFUNCTION("iferror(if(A717="""", ,filter('Playoff IDR Import'!D:D,'Playoff IDR Import'!A:A=A717,'Playoff IDR Import'!C:C=C717)),)"),"")</f>
        <v/>
      </c>
      <c r="I717" s="58"/>
      <c r="J717" s="59" t="str">
        <f t="shared" si="1"/>
        <v/>
      </c>
    </row>
    <row r="718">
      <c r="A718" s="55"/>
      <c r="B718" s="60"/>
      <c r="C718" s="55"/>
      <c r="D718" s="54"/>
      <c r="E718" s="55"/>
      <c r="F718" s="62"/>
      <c r="G718" s="57"/>
      <c r="H718" s="58" t="str">
        <f>IFERROR(__xludf.DUMMYFUNCTION("iferror(if(A718="""", ,filter('Playoff IDR Import'!D:D,'Playoff IDR Import'!A:A=A718,'Playoff IDR Import'!C:C=C718)),)"),"")</f>
        <v/>
      </c>
      <c r="I718" s="58"/>
      <c r="J718" s="59" t="str">
        <f t="shared" si="1"/>
        <v/>
      </c>
    </row>
    <row r="719">
      <c r="A719" s="55"/>
      <c r="B719" s="60"/>
      <c r="C719" s="55"/>
      <c r="D719" s="54"/>
      <c r="E719" s="55"/>
      <c r="F719" s="62"/>
      <c r="G719" s="57"/>
      <c r="H719" s="58" t="str">
        <f>IFERROR(__xludf.DUMMYFUNCTION("iferror(if(A719="""", ,filter('Playoff IDR Import'!D:D,'Playoff IDR Import'!A:A=A719,'Playoff IDR Import'!C:C=C719)),)"),"")</f>
        <v/>
      </c>
      <c r="I719" s="58"/>
      <c r="J719" s="59" t="str">
        <f t="shared" si="1"/>
        <v/>
      </c>
    </row>
    <row r="720">
      <c r="A720" s="55"/>
      <c r="B720" s="60"/>
      <c r="C720" s="55"/>
      <c r="D720" s="54"/>
      <c r="E720" s="55"/>
      <c r="F720" s="62"/>
      <c r="G720" s="57"/>
      <c r="H720" s="58" t="str">
        <f>IFERROR(__xludf.DUMMYFUNCTION("iferror(if(A720="""", ,filter('Playoff IDR Import'!D:D,'Playoff IDR Import'!A:A=A720,'Playoff IDR Import'!C:C=C720)),)"),"")</f>
        <v/>
      </c>
      <c r="I720" s="58"/>
      <c r="J720" s="59" t="str">
        <f t="shared" si="1"/>
        <v/>
      </c>
    </row>
    <row r="721">
      <c r="A721" s="55"/>
      <c r="B721" s="60"/>
      <c r="C721" s="55"/>
      <c r="D721" s="54"/>
      <c r="E721" s="55"/>
      <c r="F721" s="62"/>
      <c r="G721" s="57"/>
      <c r="H721" s="58" t="str">
        <f>IFERROR(__xludf.DUMMYFUNCTION("iferror(if(A721="""", ,filter('Playoff IDR Import'!D:D,'Playoff IDR Import'!A:A=A721,'Playoff IDR Import'!C:C=C721)),)"),"")</f>
        <v/>
      </c>
      <c r="I721" s="58"/>
      <c r="J721" s="59" t="str">
        <f t="shared" si="1"/>
        <v/>
      </c>
    </row>
    <row r="722">
      <c r="A722" s="55"/>
      <c r="B722" s="60"/>
      <c r="C722" s="55"/>
      <c r="D722" s="54"/>
      <c r="E722" s="55"/>
      <c r="F722" s="62"/>
      <c r="G722" s="57"/>
      <c r="H722" s="58" t="str">
        <f>IFERROR(__xludf.DUMMYFUNCTION("iferror(if(A722="""", ,filter('Playoff IDR Import'!D:D,'Playoff IDR Import'!A:A=A722,'Playoff IDR Import'!C:C=C722)),)"),"")</f>
        <v/>
      </c>
      <c r="I722" s="58"/>
      <c r="J722" s="59" t="str">
        <f t="shared" si="1"/>
        <v/>
      </c>
    </row>
    <row r="723">
      <c r="A723" s="55"/>
      <c r="B723" s="60"/>
      <c r="C723" s="55"/>
      <c r="D723" s="54"/>
      <c r="E723" s="55"/>
      <c r="F723" s="62"/>
      <c r="G723" s="57"/>
      <c r="H723" s="58" t="str">
        <f>IFERROR(__xludf.DUMMYFUNCTION("iferror(if(A723="""", ,filter('Playoff IDR Import'!D:D,'Playoff IDR Import'!A:A=A723,'Playoff IDR Import'!C:C=C723)),)"),"")</f>
        <v/>
      </c>
      <c r="I723" s="58"/>
      <c r="J723" s="59" t="str">
        <f t="shared" si="1"/>
        <v/>
      </c>
    </row>
    <row r="724">
      <c r="A724" s="55"/>
      <c r="B724" s="60"/>
      <c r="C724" s="55"/>
      <c r="D724" s="54"/>
      <c r="E724" s="55"/>
      <c r="F724" s="62"/>
      <c r="G724" s="57"/>
      <c r="H724" s="58" t="str">
        <f>IFERROR(__xludf.DUMMYFUNCTION("iferror(if(A724="""", ,filter('Playoff IDR Import'!D:D,'Playoff IDR Import'!A:A=A724,'Playoff IDR Import'!C:C=C724)),)"),"")</f>
        <v/>
      </c>
      <c r="I724" s="58"/>
      <c r="J724" s="59" t="str">
        <f t="shared" si="1"/>
        <v/>
      </c>
    </row>
    <row r="725">
      <c r="A725" s="55"/>
      <c r="B725" s="60"/>
      <c r="C725" s="55"/>
      <c r="D725" s="54"/>
      <c r="E725" s="55"/>
      <c r="F725" s="62"/>
      <c r="G725" s="57"/>
      <c r="H725" s="58" t="str">
        <f>IFERROR(__xludf.DUMMYFUNCTION("iferror(if(A725="""", ,filter('Playoff IDR Import'!D:D,'Playoff IDR Import'!A:A=A725,'Playoff IDR Import'!C:C=C725)),)"),"")</f>
        <v/>
      </c>
      <c r="I725" s="58"/>
      <c r="J725" s="59" t="str">
        <f t="shared" si="1"/>
        <v/>
      </c>
    </row>
    <row r="726">
      <c r="A726" s="55"/>
      <c r="B726" s="60"/>
      <c r="C726" s="55"/>
      <c r="D726" s="54"/>
      <c r="E726" s="55"/>
      <c r="F726" s="62"/>
      <c r="G726" s="57"/>
      <c r="H726" s="58" t="str">
        <f>IFERROR(__xludf.DUMMYFUNCTION("iferror(if(A726="""", ,filter('Playoff IDR Import'!D:D,'Playoff IDR Import'!A:A=A726,'Playoff IDR Import'!C:C=C726)),)"),"")</f>
        <v/>
      </c>
      <c r="I726" s="58"/>
      <c r="J726" s="59" t="str">
        <f t="shared" si="1"/>
        <v/>
      </c>
    </row>
    <row r="727">
      <c r="A727" s="55"/>
      <c r="B727" s="60"/>
      <c r="C727" s="55"/>
      <c r="D727" s="54"/>
      <c r="E727" s="55"/>
      <c r="F727" s="62"/>
      <c r="G727" s="57"/>
      <c r="H727" s="58" t="str">
        <f>IFERROR(__xludf.DUMMYFUNCTION("iferror(if(A727="""", ,filter('Playoff IDR Import'!D:D,'Playoff IDR Import'!A:A=A727,'Playoff IDR Import'!C:C=C727)),)"),"")</f>
        <v/>
      </c>
      <c r="I727" s="58"/>
      <c r="J727" s="59" t="str">
        <f t="shared" si="1"/>
        <v/>
      </c>
    </row>
    <row r="728">
      <c r="A728" s="55"/>
      <c r="B728" s="60"/>
      <c r="C728" s="55"/>
      <c r="D728" s="54"/>
      <c r="E728" s="55"/>
      <c r="F728" s="62"/>
      <c r="G728" s="57"/>
      <c r="H728" s="58" t="str">
        <f>IFERROR(__xludf.DUMMYFUNCTION("iferror(if(A728="""", ,filter('Playoff IDR Import'!D:D,'Playoff IDR Import'!A:A=A728,'Playoff IDR Import'!C:C=C728)),)"),"")</f>
        <v/>
      </c>
      <c r="I728" s="58"/>
      <c r="J728" s="59" t="str">
        <f t="shared" si="1"/>
        <v/>
      </c>
    </row>
    <row r="729">
      <c r="A729" s="55"/>
      <c r="B729" s="60"/>
      <c r="C729" s="55"/>
      <c r="D729" s="54"/>
      <c r="E729" s="55"/>
      <c r="F729" s="62"/>
      <c r="G729" s="57"/>
      <c r="H729" s="58" t="str">
        <f>IFERROR(__xludf.DUMMYFUNCTION("iferror(if(A729="""", ,filter('Playoff IDR Import'!D:D,'Playoff IDR Import'!A:A=A729,'Playoff IDR Import'!C:C=C729)),)"),"")</f>
        <v/>
      </c>
      <c r="I729" s="58"/>
      <c r="J729" s="59" t="str">
        <f t="shared" si="1"/>
        <v/>
      </c>
    </row>
    <row r="730">
      <c r="A730" s="55"/>
      <c r="B730" s="60"/>
      <c r="C730" s="55"/>
      <c r="D730" s="54"/>
      <c r="E730" s="55"/>
      <c r="F730" s="62"/>
      <c r="G730" s="57"/>
      <c r="H730" s="58" t="str">
        <f>IFERROR(__xludf.DUMMYFUNCTION("iferror(if(A730="""", ,filter('Playoff IDR Import'!D:D,'Playoff IDR Import'!A:A=A730,'Playoff IDR Import'!C:C=C730)),)"),"")</f>
        <v/>
      </c>
      <c r="I730" s="58"/>
      <c r="J730" s="59" t="str">
        <f t="shared" si="1"/>
        <v/>
      </c>
    </row>
    <row r="731">
      <c r="A731" s="55"/>
      <c r="B731" s="60"/>
      <c r="C731" s="55"/>
      <c r="D731" s="54"/>
      <c r="E731" s="55"/>
      <c r="F731" s="62"/>
      <c r="G731" s="57"/>
      <c r="H731" s="58" t="str">
        <f>IFERROR(__xludf.DUMMYFUNCTION("iferror(if(A731="""", ,filter('Playoff IDR Import'!D:D,'Playoff IDR Import'!A:A=A731,'Playoff IDR Import'!C:C=C731)),)"),"")</f>
        <v/>
      </c>
      <c r="I731" s="58"/>
      <c r="J731" s="59" t="str">
        <f t="shared" si="1"/>
        <v/>
      </c>
    </row>
    <row r="732">
      <c r="A732" s="55"/>
      <c r="B732" s="60"/>
      <c r="C732" s="55"/>
      <c r="D732" s="54"/>
      <c r="E732" s="55"/>
      <c r="F732" s="62"/>
      <c r="G732" s="57"/>
      <c r="H732" s="58" t="str">
        <f>IFERROR(__xludf.DUMMYFUNCTION("iferror(if(A732="""", ,filter('Playoff IDR Import'!D:D,'Playoff IDR Import'!A:A=A732,'Playoff IDR Import'!C:C=C732)),)"),"")</f>
        <v/>
      </c>
      <c r="I732" s="58"/>
      <c r="J732" s="59" t="str">
        <f t="shared" si="1"/>
        <v/>
      </c>
    </row>
    <row r="733">
      <c r="A733" s="55"/>
      <c r="B733" s="60"/>
      <c r="C733" s="55"/>
      <c r="D733" s="54"/>
      <c r="E733" s="55"/>
      <c r="F733" s="62"/>
      <c r="G733" s="57"/>
      <c r="H733" s="58" t="str">
        <f>IFERROR(__xludf.DUMMYFUNCTION("iferror(if(A733="""", ,filter('Playoff IDR Import'!D:D,'Playoff IDR Import'!A:A=A733,'Playoff IDR Import'!C:C=C733)),)"),"")</f>
        <v/>
      </c>
      <c r="I733" s="58"/>
      <c r="J733" s="59" t="str">
        <f t="shared" si="1"/>
        <v/>
      </c>
    </row>
    <row r="734">
      <c r="A734" s="55"/>
      <c r="B734" s="60"/>
      <c r="C734" s="55"/>
      <c r="D734" s="54"/>
      <c r="E734" s="55"/>
      <c r="F734" s="62"/>
      <c r="G734" s="57"/>
      <c r="H734" s="58" t="str">
        <f>IFERROR(__xludf.DUMMYFUNCTION("iferror(if(A734="""", ,filter('Playoff IDR Import'!D:D,'Playoff IDR Import'!A:A=A734,'Playoff IDR Import'!C:C=C734)),)"),"")</f>
        <v/>
      </c>
      <c r="I734" s="58"/>
      <c r="J734" s="59" t="str">
        <f t="shared" si="1"/>
        <v/>
      </c>
    </row>
    <row r="735">
      <c r="A735" s="55"/>
      <c r="B735" s="60"/>
      <c r="C735" s="55"/>
      <c r="D735" s="54"/>
      <c r="E735" s="55"/>
      <c r="F735" s="62"/>
      <c r="G735" s="57"/>
      <c r="H735" s="58" t="str">
        <f>IFERROR(__xludf.DUMMYFUNCTION("iferror(if(A735="""", ,filter('Playoff IDR Import'!D:D,'Playoff IDR Import'!A:A=A735,'Playoff IDR Import'!C:C=C735)),)"),"")</f>
        <v/>
      </c>
      <c r="I735" s="58"/>
      <c r="J735" s="59" t="str">
        <f t="shared" si="1"/>
        <v/>
      </c>
    </row>
    <row r="736">
      <c r="A736" s="55"/>
      <c r="B736" s="60"/>
      <c r="C736" s="55"/>
      <c r="D736" s="54"/>
      <c r="E736" s="55"/>
      <c r="F736" s="62"/>
      <c r="G736" s="57"/>
      <c r="H736" s="58" t="str">
        <f>IFERROR(__xludf.DUMMYFUNCTION("iferror(if(A736="""", ,filter('Playoff IDR Import'!D:D,'Playoff IDR Import'!A:A=A736,'Playoff IDR Import'!C:C=C736)),)"),"")</f>
        <v/>
      </c>
      <c r="I736" s="58"/>
      <c r="J736" s="59" t="str">
        <f t="shared" si="1"/>
        <v/>
      </c>
    </row>
    <row r="737">
      <c r="A737" s="55"/>
      <c r="B737" s="60"/>
      <c r="C737" s="55"/>
      <c r="D737" s="54"/>
      <c r="E737" s="55"/>
      <c r="F737" s="62"/>
      <c r="G737" s="57"/>
      <c r="H737" s="58" t="str">
        <f>IFERROR(__xludf.DUMMYFUNCTION("iferror(if(A737="""", ,filter('Playoff IDR Import'!D:D,'Playoff IDR Import'!A:A=A737,'Playoff IDR Import'!C:C=C737)),)"),"")</f>
        <v/>
      </c>
      <c r="I737" s="58"/>
      <c r="J737" s="59" t="str">
        <f t="shared" si="1"/>
        <v/>
      </c>
    </row>
    <row r="738">
      <c r="A738" s="55"/>
      <c r="B738" s="60"/>
      <c r="C738" s="55"/>
      <c r="D738" s="54"/>
      <c r="E738" s="55"/>
      <c r="F738" s="62"/>
      <c r="G738" s="57"/>
      <c r="H738" s="58" t="str">
        <f>IFERROR(__xludf.DUMMYFUNCTION("iferror(if(A738="""", ,filter('Playoff IDR Import'!D:D,'Playoff IDR Import'!A:A=A738,'Playoff IDR Import'!C:C=C738)),)"),"")</f>
        <v/>
      </c>
      <c r="I738" s="58"/>
      <c r="J738" s="59" t="str">
        <f t="shared" si="1"/>
        <v/>
      </c>
    </row>
    <row r="739">
      <c r="A739" s="55"/>
      <c r="B739" s="60"/>
      <c r="C739" s="55"/>
      <c r="D739" s="54"/>
      <c r="E739" s="55"/>
      <c r="F739" s="62"/>
      <c r="G739" s="57"/>
      <c r="H739" s="58" t="str">
        <f>IFERROR(__xludf.DUMMYFUNCTION("iferror(if(A739="""", ,filter('Playoff IDR Import'!D:D,'Playoff IDR Import'!A:A=A739,'Playoff IDR Import'!C:C=C739)),)"),"")</f>
        <v/>
      </c>
      <c r="I739" s="58"/>
      <c r="J739" s="59" t="str">
        <f t="shared" si="1"/>
        <v/>
      </c>
    </row>
    <row r="740">
      <c r="A740" s="55"/>
      <c r="B740" s="60"/>
      <c r="C740" s="55"/>
      <c r="D740" s="54"/>
      <c r="E740" s="55"/>
      <c r="F740" s="62"/>
      <c r="G740" s="57"/>
      <c r="H740" s="58" t="str">
        <f>IFERROR(__xludf.DUMMYFUNCTION("iferror(if(A740="""", ,filter('Playoff IDR Import'!D:D,'Playoff IDR Import'!A:A=A740,'Playoff IDR Import'!C:C=C740)),)"),"")</f>
        <v/>
      </c>
      <c r="I740" s="58"/>
      <c r="J740" s="59" t="str">
        <f t="shared" si="1"/>
        <v/>
      </c>
    </row>
    <row r="741">
      <c r="A741" s="55"/>
      <c r="B741" s="60"/>
      <c r="C741" s="55"/>
      <c r="D741" s="54"/>
      <c r="E741" s="55"/>
      <c r="F741" s="62"/>
      <c r="G741" s="57"/>
      <c r="H741" s="58" t="str">
        <f>IFERROR(__xludf.DUMMYFUNCTION("iferror(if(A741="""", ,filter('Playoff IDR Import'!D:D,'Playoff IDR Import'!A:A=A741,'Playoff IDR Import'!C:C=C741)),)"),"")</f>
        <v/>
      </c>
      <c r="I741" s="58"/>
      <c r="J741" s="59" t="str">
        <f t="shared" si="1"/>
        <v/>
      </c>
    </row>
    <row r="742">
      <c r="A742" s="55"/>
      <c r="B742" s="60"/>
      <c r="C742" s="55"/>
      <c r="D742" s="54"/>
      <c r="E742" s="55"/>
      <c r="F742" s="62"/>
      <c r="G742" s="57"/>
      <c r="H742" s="58" t="str">
        <f>IFERROR(__xludf.DUMMYFUNCTION("iferror(if(A742="""", ,filter('Playoff IDR Import'!D:D,'Playoff IDR Import'!A:A=A742,'Playoff IDR Import'!C:C=C742)),)"),"")</f>
        <v/>
      </c>
      <c r="I742" s="58"/>
      <c r="J742" s="59" t="str">
        <f t="shared" si="1"/>
        <v/>
      </c>
    </row>
    <row r="743">
      <c r="A743" s="55"/>
      <c r="B743" s="60"/>
      <c r="C743" s="55"/>
      <c r="D743" s="54"/>
      <c r="E743" s="55"/>
      <c r="F743" s="62"/>
      <c r="G743" s="57"/>
      <c r="H743" s="58" t="str">
        <f>IFERROR(__xludf.DUMMYFUNCTION("iferror(if(A743="""", ,filter('Playoff IDR Import'!D:D,'Playoff IDR Import'!A:A=A743,'Playoff IDR Import'!C:C=C743)),)"),"")</f>
        <v/>
      </c>
      <c r="I743" s="58"/>
      <c r="J743" s="59" t="str">
        <f t="shared" si="1"/>
        <v/>
      </c>
    </row>
    <row r="744">
      <c r="A744" s="55"/>
      <c r="B744" s="60"/>
      <c r="C744" s="55"/>
      <c r="D744" s="54"/>
      <c r="E744" s="55"/>
      <c r="F744" s="62"/>
      <c r="G744" s="57"/>
      <c r="H744" s="58" t="str">
        <f>IFERROR(__xludf.DUMMYFUNCTION("iferror(if(A744="""", ,filter('Playoff IDR Import'!D:D,'Playoff IDR Import'!A:A=A744,'Playoff IDR Import'!C:C=C744)),)"),"")</f>
        <v/>
      </c>
      <c r="I744" s="58"/>
      <c r="J744" s="59" t="str">
        <f t="shared" si="1"/>
        <v/>
      </c>
    </row>
    <row r="745">
      <c r="A745" s="55"/>
      <c r="B745" s="60"/>
      <c r="C745" s="55"/>
      <c r="D745" s="54"/>
      <c r="E745" s="55"/>
      <c r="F745" s="62"/>
      <c r="G745" s="57"/>
      <c r="H745" s="58" t="str">
        <f>IFERROR(__xludf.DUMMYFUNCTION("iferror(if(A745="""", ,filter('Playoff IDR Import'!D:D,'Playoff IDR Import'!A:A=A745,'Playoff IDR Import'!C:C=C745)),)"),"")</f>
        <v/>
      </c>
      <c r="I745" s="58"/>
      <c r="J745" s="59" t="str">
        <f t="shared" si="1"/>
        <v/>
      </c>
    </row>
    <row r="746">
      <c r="A746" s="55"/>
      <c r="B746" s="60"/>
      <c r="C746" s="55"/>
      <c r="D746" s="54"/>
      <c r="E746" s="55"/>
      <c r="F746" s="62"/>
      <c r="G746" s="57"/>
      <c r="H746" s="58" t="str">
        <f>IFERROR(__xludf.DUMMYFUNCTION("iferror(if(A746="""", ,filter('Playoff IDR Import'!D:D,'Playoff IDR Import'!A:A=A746,'Playoff IDR Import'!C:C=C746)),)"),"")</f>
        <v/>
      </c>
      <c r="I746" s="58"/>
      <c r="J746" s="59" t="str">
        <f t="shared" si="1"/>
        <v/>
      </c>
    </row>
    <row r="747">
      <c r="A747" s="55"/>
      <c r="B747" s="60"/>
      <c r="C747" s="55"/>
      <c r="D747" s="54"/>
      <c r="E747" s="55"/>
      <c r="F747" s="62"/>
      <c r="G747" s="57"/>
      <c r="H747" s="58" t="str">
        <f>IFERROR(__xludf.DUMMYFUNCTION("iferror(if(A747="""", ,filter('Playoff IDR Import'!D:D,'Playoff IDR Import'!A:A=A747,'Playoff IDR Import'!C:C=C747)),)"),"")</f>
        <v/>
      </c>
      <c r="I747" s="58"/>
      <c r="J747" s="59" t="str">
        <f t="shared" si="1"/>
        <v/>
      </c>
    </row>
    <row r="748">
      <c r="A748" s="55"/>
      <c r="B748" s="60"/>
      <c r="C748" s="55"/>
      <c r="D748" s="54"/>
      <c r="E748" s="55"/>
      <c r="F748" s="62"/>
      <c r="G748" s="57"/>
      <c r="H748" s="58" t="str">
        <f>IFERROR(__xludf.DUMMYFUNCTION("iferror(if(A748="""", ,filter('Playoff IDR Import'!D:D,'Playoff IDR Import'!A:A=A748,'Playoff IDR Import'!C:C=C748)),)"),"")</f>
        <v/>
      </c>
      <c r="I748" s="58"/>
      <c r="J748" s="59" t="str">
        <f t="shared" si="1"/>
        <v/>
      </c>
    </row>
    <row r="749">
      <c r="A749" s="55"/>
      <c r="B749" s="60"/>
      <c r="C749" s="55"/>
      <c r="D749" s="54"/>
      <c r="E749" s="55"/>
      <c r="F749" s="62"/>
      <c r="G749" s="57"/>
      <c r="H749" s="58" t="str">
        <f>IFERROR(__xludf.DUMMYFUNCTION("iferror(if(A749="""", ,filter('Playoff IDR Import'!D:D,'Playoff IDR Import'!A:A=A749,'Playoff IDR Import'!C:C=C749)),)"),"")</f>
        <v/>
      </c>
      <c r="I749" s="58"/>
      <c r="J749" s="59" t="str">
        <f t="shared" si="1"/>
        <v/>
      </c>
    </row>
    <row r="750">
      <c r="A750" s="55"/>
      <c r="B750" s="60"/>
      <c r="C750" s="55"/>
      <c r="D750" s="54"/>
      <c r="E750" s="55"/>
      <c r="F750" s="62"/>
      <c r="G750" s="57"/>
      <c r="H750" s="58" t="str">
        <f>IFERROR(__xludf.DUMMYFUNCTION("iferror(if(A750="""", ,filter('Playoff IDR Import'!D:D,'Playoff IDR Import'!A:A=A750,'Playoff IDR Import'!C:C=C750)),)"),"")</f>
        <v/>
      </c>
      <c r="I750" s="58"/>
      <c r="J750" s="59" t="str">
        <f t="shared" si="1"/>
        <v/>
      </c>
    </row>
    <row r="751">
      <c r="A751" s="55"/>
      <c r="B751" s="60"/>
      <c r="C751" s="55"/>
      <c r="D751" s="54"/>
      <c r="E751" s="55"/>
      <c r="F751" s="62"/>
      <c r="G751" s="57"/>
      <c r="H751" s="58" t="str">
        <f>IFERROR(__xludf.DUMMYFUNCTION("iferror(if(A751="""", ,filter('Playoff IDR Import'!D:D,'Playoff IDR Import'!A:A=A751,'Playoff IDR Import'!C:C=C751)),)"),"")</f>
        <v/>
      </c>
      <c r="I751" s="58"/>
      <c r="J751" s="59" t="str">
        <f t="shared" si="1"/>
        <v/>
      </c>
    </row>
    <row r="752">
      <c r="A752" s="55"/>
      <c r="B752" s="60"/>
      <c r="C752" s="55"/>
      <c r="D752" s="54"/>
      <c r="E752" s="55"/>
      <c r="F752" s="62"/>
      <c r="G752" s="57"/>
      <c r="H752" s="58" t="str">
        <f>IFERROR(__xludf.DUMMYFUNCTION("iferror(if(A752="""", ,filter('Playoff IDR Import'!D:D,'Playoff IDR Import'!A:A=A752,'Playoff IDR Import'!C:C=C752)),)"),"")</f>
        <v/>
      </c>
      <c r="I752" s="58"/>
      <c r="J752" s="59" t="str">
        <f t="shared" si="1"/>
        <v/>
      </c>
    </row>
    <row r="753">
      <c r="A753" s="55"/>
      <c r="B753" s="60"/>
      <c r="C753" s="55"/>
      <c r="D753" s="54"/>
      <c r="E753" s="55"/>
      <c r="F753" s="62"/>
      <c r="G753" s="57"/>
      <c r="H753" s="58" t="str">
        <f>IFERROR(__xludf.DUMMYFUNCTION("iferror(if(A753="""", ,filter('Playoff IDR Import'!D:D,'Playoff IDR Import'!A:A=A753,'Playoff IDR Import'!C:C=C753)),)"),"")</f>
        <v/>
      </c>
      <c r="I753" s="58"/>
      <c r="J753" s="59" t="str">
        <f t="shared" si="1"/>
        <v/>
      </c>
    </row>
    <row r="754">
      <c r="A754" s="55"/>
      <c r="B754" s="60"/>
      <c r="C754" s="55"/>
      <c r="D754" s="54"/>
      <c r="E754" s="55"/>
      <c r="F754" s="62"/>
      <c r="G754" s="57"/>
      <c r="H754" s="58" t="str">
        <f>IFERROR(__xludf.DUMMYFUNCTION("iferror(if(A754="""", ,filter('Playoff IDR Import'!D:D,'Playoff IDR Import'!A:A=A754,'Playoff IDR Import'!C:C=C754)),)"),"")</f>
        <v/>
      </c>
      <c r="I754" s="58"/>
      <c r="J754" s="59" t="str">
        <f t="shared" si="1"/>
        <v/>
      </c>
    </row>
    <row r="755">
      <c r="A755" s="55"/>
      <c r="B755" s="60"/>
      <c r="C755" s="55"/>
      <c r="D755" s="54"/>
      <c r="E755" s="55"/>
      <c r="F755" s="62"/>
      <c r="G755" s="57"/>
      <c r="H755" s="58" t="str">
        <f>IFERROR(__xludf.DUMMYFUNCTION("iferror(if(A755="""", ,filter('Playoff IDR Import'!D:D,'Playoff IDR Import'!A:A=A755,'Playoff IDR Import'!C:C=C755)),)"),"")</f>
        <v/>
      </c>
      <c r="I755" s="58"/>
      <c r="J755" s="59" t="str">
        <f t="shared" si="1"/>
        <v/>
      </c>
    </row>
    <row r="756">
      <c r="A756" s="55"/>
      <c r="B756" s="60"/>
      <c r="C756" s="55"/>
      <c r="D756" s="54"/>
      <c r="E756" s="55"/>
      <c r="F756" s="62"/>
      <c r="G756" s="57"/>
      <c r="H756" s="58" t="str">
        <f>IFERROR(__xludf.DUMMYFUNCTION("iferror(if(A756="""", ,filter('Playoff IDR Import'!D:D,'Playoff IDR Import'!A:A=A756,'Playoff IDR Import'!C:C=C756)),)"),"")</f>
        <v/>
      </c>
      <c r="I756" s="58"/>
      <c r="J756" s="59" t="str">
        <f t="shared" si="1"/>
        <v/>
      </c>
    </row>
    <row r="757">
      <c r="A757" s="55"/>
      <c r="B757" s="60"/>
      <c r="C757" s="55"/>
      <c r="D757" s="54"/>
      <c r="E757" s="55"/>
      <c r="F757" s="62"/>
      <c r="G757" s="57"/>
      <c r="H757" s="58" t="str">
        <f>IFERROR(__xludf.DUMMYFUNCTION("iferror(if(A757="""", ,filter('Playoff IDR Import'!D:D,'Playoff IDR Import'!A:A=A757,'Playoff IDR Import'!C:C=C757)),)"),"")</f>
        <v/>
      </c>
      <c r="I757" s="58"/>
      <c r="J757" s="59" t="str">
        <f t="shared" si="1"/>
        <v/>
      </c>
    </row>
    <row r="758">
      <c r="A758" s="55"/>
      <c r="B758" s="60"/>
      <c r="C758" s="55"/>
      <c r="D758" s="54"/>
      <c r="E758" s="55"/>
      <c r="F758" s="62"/>
      <c r="G758" s="57"/>
      <c r="H758" s="58" t="str">
        <f>IFERROR(__xludf.DUMMYFUNCTION("iferror(if(A758="""", ,filter('Playoff IDR Import'!D:D,'Playoff IDR Import'!A:A=A758,'Playoff IDR Import'!C:C=C758)),)"),"")</f>
        <v/>
      </c>
      <c r="I758" s="58"/>
      <c r="J758" s="59" t="str">
        <f t="shared" si="1"/>
        <v/>
      </c>
    </row>
    <row r="759">
      <c r="A759" s="55"/>
      <c r="B759" s="60"/>
      <c r="C759" s="55"/>
      <c r="D759" s="54"/>
      <c r="E759" s="55"/>
      <c r="F759" s="62"/>
      <c r="G759" s="57"/>
      <c r="H759" s="58" t="str">
        <f>IFERROR(__xludf.DUMMYFUNCTION("iferror(if(A759="""", ,filter('Playoff IDR Import'!D:D,'Playoff IDR Import'!A:A=A759,'Playoff IDR Import'!C:C=C759)),)"),"")</f>
        <v/>
      </c>
      <c r="I759" s="58"/>
      <c r="J759" s="59" t="str">
        <f t="shared" si="1"/>
        <v/>
      </c>
    </row>
    <row r="760">
      <c r="A760" s="55"/>
      <c r="B760" s="60"/>
      <c r="C760" s="55"/>
      <c r="D760" s="54"/>
      <c r="E760" s="55"/>
      <c r="F760" s="62"/>
      <c r="G760" s="57"/>
      <c r="H760" s="58" t="str">
        <f>IFERROR(__xludf.DUMMYFUNCTION("iferror(if(A760="""", ,filter('Playoff IDR Import'!D:D,'Playoff IDR Import'!A:A=A760,'Playoff IDR Import'!C:C=C760)),)"),"")</f>
        <v/>
      </c>
      <c r="I760" s="58"/>
      <c r="J760" s="59" t="str">
        <f t="shared" si="1"/>
        <v/>
      </c>
    </row>
    <row r="761">
      <c r="A761" s="55"/>
      <c r="B761" s="60"/>
      <c r="C761" s="55"/>
      <c r="D761" s="54"/>
      <c r="E761" s="55"/>
      <c r="F761" s="62"/>
      <c r="G761" s="57"/>
      <c r="H761" s="58" t="str">
        <f>IFERROR(__xludf.DUMMYFUNCTION("iferror(if(A761="""", ,filter('Playoff IDR Import'!D:D,'Playoff IDR Import'!A:A=A761,'Playoff IDR Import'!C:C=C761)),)"),"")</f>
        <v/>
      </c>
      <c r="I761" s="58"/>
      <c r="J761" s="59" t="str">
        <f t="shared" si="1"/>
        <v/>
      </c>
    </row>
    <row r="762">
      <c r="A762" s="55"/>
      <c r="B762" s="60"/>
      <c r="C762" s="55"/>
      <c r="D762" s="54"/>
      <c r="E762" s="55"/>
      <c r="F762" s="62"/>
      <c r="G762" s="57"/>
      <c r="H762" s="58" t="str">
        <f>IFERROR(__xludf.DUMMYFUNCTION("iferror(if(A762="""", ,filter('Playoff IDR Import'!D:D,'Playoff IDR Import'!A:A=A762,'Playoff IDR Import'!C:C=C762)),)"),"")</f>
        <v/>
      </c>
      <c r="I762" s="58"/>
      <c r="J762" s="59" t="str">
        <f t="shared" si="1"/>
        <v/>
      </c>
    </row>
    <row r="763">
      <c r="A763" s="55"/>
      <c r="B763" s="60"/>
      <c r="C763" s="55"/>
      <c r="D763" s="54"/>
      <c r="E763" s="55"/>
      <c r="F763" s="62"/>
      <c r="G763" s="57"/>
      <c r="H763" s="58" t="str">
        <f>IFERROR(__xludf.DUMMYFUNCTION("iferror(if(A763="""", ,filter('Playoff IDR Import'!D:D,'Playoff IDR Import'!A:A=A763,'Playoff IDR Import'!C:C=C763)),)"),"")</f>
        <v/>
      </c>
      <c r="I763" s="58"/>
      <c r="J763" s="59" t="str">
        <f t="shared" si="1"/>
        <v/>
      </c>
    </row>
    <row r="764">
      <c r="A764" s="55"/>
      <c r="B764" s="60"/>
      <c r="C764" s="55"/>
      <c r="D764" s="54"/>
      <c r="E764" s="55"/>
      <c r="F764" s="62"/>
      <c r="G764" s="57"/>
      <c r="H764" s="58" t="str">
        <f>IFERROR(__xludf.DUMMYFUNCTION("iferror(if(A764="""", ,filter('Playoff IDR Import'!D:D,'Playoff IDR Import'!A:A=A764,'Playoff IDR Import'!C:C=C764)),)"),"")</f>
        <v/>
      </c>
      <c r="I764" s="58"/>
      <c r="J764" s="59" t="str">
        <f t="shared" si="1"/>
        <v/>
      </c>
    </row>
    <row r="765">
      <c r="A765" s="55"/>
      <c r="B765" s="60"/>
      <c r="C765" s="55"/>
      <c r="D765" s="54"/>
      <c r="E765" s="55"/>
      <c r="F765" s="62"/>
      <c r="G765" s="57"/>
      <c r="H765" s="58" t="str">
        <f>IFERROR(__xludf.DUMMYFUNCTION("iferror(if(A765="""", ,filter('Playoff IDR Import'!D:D,'Playoff IDR Import'!A:A=A765,'Playoff IDR Import'!C:C=C765)),)"),"")</f>
        <v/>
      </c>
      <c r="I765" s="58"/>
      <c r="J765" s="59" t="str">
        <f t="shared" si="1"/>
        <v/>
      </c>
    </row>
    <row r="766">
      <c r="A766" s="55"/>
      <c r="B766" s="60"/>
      <c r="C766" s="55"/>
      <c r="D766" s="54"/>
      <c r="E766" s="55"/>
      <c r="F766" s="62"/>
      <c r="G766" s="57"/>
      <c r="H766" s="58" t="str">
        <f>IFERROR(__xludf.DUMMYFUNCTION("iferror(if(A766="""", ,filter('Playoff IDR Import'!D:D,'Playoff IDR Import'!A:A=A766,'Playoff IDR Import'!C:C=C766)),)"),"")</f>
        <v/>
      </c>
      <c r="I766" s="58"/>
      <c r="J766" s="59" t="str">
        <f t="shared" si="1"/>
        <v/>
      </c>
    </row>
    <row r="767">
      <c r="A767" s="55"/>
      <c r="B767" s="60"/>
      <c r="C767" s="55"/>
      <c r="D767" s="54"/>
      <c r="E767" s="55"/>
      <c r="F767" s="62"/>
      <c r="G767" s="57"/>
      <c r="H767" s="58" t="str">
        <f>IFERROR(__xludf.DUMMYFUNCTION("iferror(if(A767="""", ,filter('Playoff IDR Import'!D:D,'Playoff IDR Import'!A:A=A767,'Playoff IDR Import'!C:C=C767)),)"),"")</f>
        <v/>
      </c>
      <c r="I767" s="58"/>
      <c r="J767" s="59" t="str">
        <f t="shared" si="1"/>
        <v/>
      </c>
    </row>
    <row r="768">
      <c r="A768" s="55"/>
      <c r="B768" s="60"/>
      <c r="C768" s="55"/>
      <c r="D768" s="54"/>
      <c r="E768" s="55"/>
      <c r="F768" s="62"/>
      <c r="G768" s="57"/>
      <c r="H768" s="58" t="str">
        <f>IFERROR(__xludf.DUMMYFUNCTION("iferror(if(A768="""", ,filter('Playoff IDR Import'!D:D,'Playoff IDR Import'!A:A=A768,'Playoff IDR Import'!C:C=C768)),)"),"")</f>
        <v/>
      </c>
      <c r="I768" s="58"/>
      <c r="J768" s="59" t="str">
        <f t="shared" si="1"/>
        <v/>
      </c>
    </row>
    <row r="769">
      <c r="A769" s="55"/>
      <c r="B769" s="60"/>
      <c r="C769" s="55"/>
      <c r="D769" s="54"/>
      <c r="E769" s="55"/>
      <c r="F769" s="62"/>
      <c r="G769" s="57"/>
      <c r="H769" s="58" t="str">
        <f>IFERROR(__xludf.DUMMYFUNCTION("iferror(if(A769="""", ,filter('Playoff IDR Import'!D:D,'Playoff IDR Import'!A:A=A769,'Playoff IDR Import'!C:C=C769)),)"),"")</f>
        <v/>
      </c>
      <c r="I769" s="58"/>
      <c r="J769" s="59" t="str">
        <f t="shared" si="1"/>
        <v/>
      </c>
    </row>
    <row r="770">
      <c r="A770" s="55"/>
      <c r="B770" s="60"/>
      <c r="C770" s="55"/>
      <c r="D770" s="54"/>
      <c r="E770" s="55"/>
      <c r="F770" s="62"/>
      <c r="G770" s="57"/>
      <c r="H770" s="58" t="str">
        <f>IFERROR(__xludf.DUMMYFUNCTION("iferror(if(A770="""", ,filter('Playoff IDR Import'!D:D,'Playoff IDR Import'!A:A=A770,'Playoff IDR Import'!C:C=C770)),)"),"")</f>
        <v/>
      </c>
      <c r="I770" s="58"/>
      <c r="J770" s="59" t="str">
        <f t="shared" si="1"/>
        <v/>
      </c>
    </row>
    <row r="771">
      <c r="A771" s="55"/>
      <c r="B771" s="60"/>
      <c r="C771" s="55"/>
      <c r="D771" s="54"/>
      <c r="E771" s="55"/>
      <c r="F771" s="62"/>
      <c r="G771" s="57"/>
      <c r="H771" s="58" t="str">
        <f>IFERROR(__xludf.DUMMYFUNCTION("iferror(if(A771="""", ,filter('Playoff IDR Import'!D:D,'Playoff IDR Import'!A:A=A771,'Playoff IDR Import'!C:C=C771)),)"),"")</f>
        <v/>
      </c>
      <c r="I771" s="58"/>
      <c r="J771" s="59" t="str">
        <f t="shared" si="1"/>
        <v/>
      </c>
    </row>
    <row r="772">
      <c r="A772" s="55"/>
      <c r="B772" s="60"/>
      <c r="C772" s="55"/>
      <c r="D772" s="54"/>
      <c r="E772" s="55"/>
      <c r="F772" s="62"/>
      <c r="G772" s="57"/>
      <c r="H772" s="58" t="str">
        <f>IFERROR(__xludf.DUMMYFUNCTION("iferror(if(A772="""", ,filter('Playoff IDR Import'!D:D,'Playoff IDR Import'!A:A=A772,'Playoff IDR Import'!C:C=C772)),)"),"")</f>
        <v/>
      </c>
      <c r="I772" s="58"/>
      <c r="J772" s="59" t="str">
        <f t="shared" si="1"/>
        <v/>
      </c>
    </row>
    <row r="773">
      <c r="A773" s="55"/>
      <c r="B773" s="60"/>
      <c r="C773" s="55"/>
      <c r="D773" s="54"/>
      <c r="E773" s="55"/>
      <c r="F773" s="62"/>
      <c r="G773" s="57"/>
      <c r="H773" s="58" t="str">
        <f>IFERROR(__xludf.DUMMYFUNCTION("iferror(if(A773="""", ,filter('Playoff IDR Import'!D:D,'Playoff IDR Import'!A:A=A773,'Playoff IDR Import'!C:C=C773)),)"),"")</f>
        <v/>
      </c>
      <c r="I773" s="58"/>
      <c r="J773" s="59" t="str">
        <f t="shared" si="1"/>
        <v/>
      </c>
    </row>
    <row r="774">
      <c r="A774" s="55"/>
      <c r="B774" s="60"/>
      <c r="C774" s="55"/>
      <c r="D774" s="54"/>
      <c r="E774" s="55"/>
      <c r="F774" s="62"/>
      <c r="G774" s="57"/>
      <c r="H774" s="58" t="str">
        <f>IFERROR(__xludf.DUMMYFUNCTION("iferror(if(A774="""", ,filter('Playoff IDR Import'!D:D,'Playoff IDR Import'!A:A=A774,'Playoff IDR Import'!C:C=C774)),)"),"")</f>
        <v/>
      </c>
      <c r="I774" s="58"/>
      <c r="J774" s="59" t="str">
        <f t="shared" si="1"/>
        <v/>
      </c>
    </row>
    <row r="775">
      <c r="A775" s="55"/>
      <c r="B775" s="60"/>
      <c r="C775" s="55"/>
      <c r="D775" s="54"/>
      <c r="E775" s="55"/>
      <c r="F775" s="62"/>
      <c r="G775" s="57"/>
      <c r="H775" s="58" t="str">
        <f>IFERROR(__xludf.DUMMYFUNCTION("iferror(if(A775="""", ,filter('Playoff IDR Import'!D:D,'Playoff IDR Import'!A:A=A775,'Playoff IDR Import'!C:C=C775)),)"),"")</f>
        <v/>
      </c>
      <c r="I775" s="58"/>
      <c r="J775" s="59" t="str">
        <f t="shared" si="1"/>
        <v/>
      </c>
    </row>
    <row r="776">
      <c r="A776" s="55"/>
      <c r="B776" s="60"/>
      <c r="C776" s="55"/>
      <c r="D776" s="54"/>
      <c r="E776" s="55"/>
      <c r="F776" s="62"/>
      <c r="G776" s="57"/>
      <c r="H776" s="58" t="str">
        <f>IFERROR(__xludf.DUMMYFUNCTION("iferror(if(A776="""", ,filter('Playoff IDR Import'!D:D,'Playoff IDR Import'!A:A=A776,'Playoff IDR Import'!C:C=C776)),)"),"")</f>
        <v/>
      </c>
      <c r="I776" s="58"/>
      <c r="J776" s="59" t="str">
        <f t="shared" si="1"/>
        <v/>
      </c>
    </row>
    <row r="777">
      <c r="A777" s="55"/>
      <c r="B777" s="60"/>
      <c r="C777" s="55"/>
      <c r="D777" s="54"/>
      <c r="E777" s="55"/>
      <c r="F777" s="62"/>
      <c r="G777" s="57"/>
      <c r="H777" s="58" t="str">
        <f>IFERROR(__xludf.DUMMYFUNCTION("iferror(if(A777="""", ,filter('Playoff IDR Import'!D:D,'Playoff IDR Import'!A:A=A777,'Playoff IDR Import'!C:C=C777)),)"),"")</f>
        <v/>
      </c>
      <c r="I777" s="58"/>
      <c r="J777" s="59" t="str">
        <f t="shared" si="1"/>
        <v/>
      </c>
    </row>
    <row r="778">
      <c r="A778" s="55"/>
      <c r="B778" s="60"/>
      <c r="C778" s="55"/>
      <c r="D778" s="54"/>
      <c r="E778" s="55"/>
      <c r="F778" s="62"/>
      <c r="G778" s="57"/>
      <c r="H778" s="58" t="str">
        <f>IFERROR(__xludf.DUMMYFUNCTION("iferror(if(A778="""", ,filter('Playoff IDR Import'!D:D,'Playoff IDR Import'!A:A=A778,'Playoff IDR Import'!C:C=C778)),)"),"")</f>
        <v/>
      </c>
      <c r="I778" s="58"/>
      <c r="J778" s="59" t="str">
        <f t="shared" si="1"/>
        <v/>
      </c>
    </row>
    <row r="779">
      <c r="A779" s="55"/>
      <c r="B779" s="60"/>
      <c r="C779" s="55"/>
      <c r="D779" s="54"/>
      <c r="E779" s="55"/>
      <c r="F779" s="62"/>
      <c r="G779" s="57"/>
      <c r="H779" s="58" t="str">
        <f>IFERROR(__xludf.DUMMYFUNCTION("iferror(if(A779="""", ,filter('Playoff IDR Import'!D:D,'Playoff IDR Import'!A:A=A779,'Playoff IDR Import'!C:C=C779)),)"),"")</f>
        <v/>
      </c>
      <c r="I779" s="58"/>
      <c r="J779" s="59" t="str">
        <f t="shared" si="1"/>
        <v/>
      </c>
    </row>
    <row r="780">
      <c r="A780" s="55"/>
      <c r="B780" s="60"/>
      <c r="C780" s="55"/>
      <c r="D780" s="54"/>
      <c r="E780" s="55"/>
      <c r="F780" s="62"/>
      <c r="G780" s="57"/>
      <c r="H780" s="58" t="str">
        <f>IFERROR(__xludf.DUMMYFUNCTION("iferror(if(A780="""", ,filter('Playoff IDR Import'!D:D,'Playoff IDR Import'!A:A=A780,'Playoff IDR Import'!C:C=C780)),)"),"")</f>
        <v/>
      </c>
      <c r="I780" s="58"/>
      <c r="J780" s="59" t="str">
        <f t="shared" si="1"/>
        <v/>
      </c>
    </row>
    <row r="781">
      <c r="A781" s="55"/>
      <c r="B781" s="60"/>
      <c r="C781" s="55"/>
      <c r="D781" s="54"/>
      <c r="E781" s="55"/>
      <c r="F781" s="62"/>
      <c r="G781" s="57"/>
      <c r="H781" s="58" t="str">
        <f>IFERROR(__xludf.DUMMYFUNCTION("iferror(if(A781="""", ,filter('Playoff IDR Import'!D:D,'Playoff IDR Import'!A:A=A781,'Playoff IDR Import'!C:C=C781)),)"),"")</f>
        <v/>
      </c>
      <c r="I781" s="58"/>
      <c r="J781" s="59" t="str">
        <f t="shared" si="1"/>
        <v/>
      </c>
    </row>
    <row r="782">
      <c r="A782" s="55"/>
      <c r="B782" s="60"/>
      <c r="C782" s="55"/>
      <c r="D782" s="54"/>
      <c r="E782" s="55"/>
      <c r="F782" s="62"/>
      <c r="G782" s="57"/>
      <c r="H782" s="58" t="str">
        <f>IFERROR(__xludf.DUMMYFUNCTION("iferror(if(A782="""", ,filter('Playoff IDR Import'!D:D,'Playoff IDR Import'!A:A=A782,'Playoff IDR Import'!C:C=C782)),)"),"")</f>
        <v/>
      </c>
      <c r="I782" s="58"/>
      <c r="J782" s="59" t="str">
        <f t="shared" si="1"/>
        <v/>
      </c>
    </row>
    <row r="783">
      <c r="A783" s="55"/>
      <c r="B783" s="60"/>
      <c r="C783" s="55"/>
      <c r="D783" s="54"/>
      <c r="E783" s="55"/>
      <c r="F783" s="62"/>
      <c r="G783" s="57"/>
      <c r="H783" s="58" t="str">
        <f>IFERROR(__xludf.DUMMYFUNCTION("iferror(if(A783="""", ,filter('Playoff IDR Import'!D:D,'Playoff IDR Import'!A:A=A783,'Playoff IDR Import'!C:C=C783)),)"),"")</f>
        <v/>
      </c>
      <c r="I783" s="58"/>
      <c r="J783" s="59" t="str">
        <f t="shared" si="1"/>
        <v/>
      </c>
    </row>
    <row r="784">
      <c r="A784" s="55"/>
      <c r="B784" s="60"/>
      <c r="C784" s="55"/>
      <c r="D784" s="54"/>
      <c r="E784" s="55"/>
      <c r="F784" s="62"/>
      <c r="G784" s="57"/>
      <c r="H784" s="58" t="str">
        <f>IFERROR(__xludf.DUMMYFUNCTION("iferror(if(A784="""", ,filter('Playoff IDR Import'!D:D,'Playoff IDR Import'!A:A=A784,'Playoff IDR Import'!C:C=C784)),)"),"")</f>
        <v/>
      </c>
      <c r="I784" s="58"/>
      <c r="J784" s="59" t="str">
        <f t="shared" si="1"/>
        <v/>
      </c>
    </row>
    <row r="785">
      <c r="A785" s="55"/>
      <c r="B785" s="60"/>
      <c r="C785" s="55"/>
      <c r="D785" s="54"/>
      <c r="E785" s="55"/>
      <c r="F785" s="62"/>
      <c r="G785" s="57"/>
      <c r="H785" s="58" t="str">
        <f>IFERROR(__xludf.DUMMYFUNCTION("iferror(if(A785="""", ,filter('Playoff IDR Import'!D:D,'Playoff IDR Import'!A:A=A785,'Playoff IDR Import'!C:C=C785)),)"),"")</f>
        <v/>
      </c>
      <c r="I785" s="58"/>
      <c r="J785" s="59" t="str">
        <f t="shared" si="1"/>
        <v/>
      </c>
    </row>
    <row r="786">
      <c r="A786" s="55"/>
      <c r="B786" s="60"/>
      <c r="C786" s="55"/>
      <c r="D786" s="54"/>
      <c r="E786" s="55"/>
      <c r="F786" s="62"/>
      <c r="G786" s="57"/>
      <c r="H786" s="58" t="str">
        <f>IFERROR(__xludf.DUMMYFUNCTION("iferror(if(A786="""", ,filter('Playoff IDR Import'!D:D,'Playoff IDR Import'!A:A=A786,'Playoff IDR Import'!C:C=C786)),)"),"")</f>
        <v/>
      </c>
      <c r="I786" s="58"/>
      <c r="J786" s="59" t="str">
        <f t="shared" si="1"/>
        <v/>
      </c>
    </row>
    <row r="787">
      <c r="A787" s="55"/>
      <c r="B787" s="60"/>
      <c r="C787" s="55"/>
      <c r="D787" s="54"/>
      <c r="E787" s="55"/>
      <c r="F787" s="62"/>
      <c r="G787" s="57"/>
      <c r="H787" s="58" t="str">
        <f>IFERROR(__xludf.DUMMYFUNCTION("iferror(if(A787="""", ,filter('Playoff IDR Import'!D:D,'Playoff IDR Import'!A:A=A787,'Playoff IDR Import'!C:C=C787)),)"),"")</f>
        <v/>
      </c>
      <c r="I787" s="58"/>
      <c r="J787" s="59" t="str">
        <f t="shared" si="1"/>
        <v/>
      </c>
    </row>
    <row r="788">
      <c r="A788" s="55"/>
      <c r="B788" s="60"/>
      <c r="C788" s="55"/>
      <c r="D788" s="54"/>
      <c r="E788" s="55"/>
      <c r="F788" s="62"/>
      <c r="G788" s="57"/>
      <c r="H788" s="58" t="str">
        <f>IFERROR(__xludf.DUMMYFUNCTION("iferror(if(A788="""", ,filter('Playoff IDR Import'!D:D,'Playoff IDR Import'!A:A=A788,'Playoff IDR Import'!C:C=C788)),)"),"")</f>
        <v/>
      </c>
      <c r="I788" s="58"/>
      <c r="J788" s="59" t="str">
        <f t="shared" si="1"/>
        <v/>
      </c>
    </row>
    <row r="789">
      <c r="A789" s="55"/>
      <c r="B789" s="60"/>
      <c r="C789" s="55"/>
      <c r="D789" s="54"/>
      <c r="E789" s="55"/>
      <c r="F789" s="62"/>
      <c r="G789" s="57"/>
      <c r="H789" s="58" t="str">
        <f>IFERROR(__xludf.DUMMYFUNCTION("iferror(if(A789="""", ,filter('Playoff IDR Import'!D:D,'Playoff IDR Import'!A:A=A789,'Playoff IDR Import'!C:C=C789)),)"),"")</f>
        <v/>
      </c>
      <c r="I789" s="58"/>
      <c r="J789" s="59" t="str">
        <f t="shared" si="1"/>
        <v/>
      </c>
    </row>
    <row r="790">
      <c r="A790" s="55"/>
      <c r="B790" s="60"/>
      <c r="C790" s="55"/>
      <c r="D790" s="54"/>
      <c r="E790" s="55"/>
      <c r="F790" s="62"/>
      <c r="G790" s="57"/>
      <c r="H790" s="58" t="str">
        <f>IFERROR(__xludf.DUMMYFUNCTION("iferror(if(A790="""", ,filter('Playoff IDR Import'!D:D,'Playoff IDR Import'!A:A=A790,'Playoff IDR Import'!C:C=C790)),)"),"")</f>
        <v/>
      </c>
      <c r="I790" s="58"/>
      <c r="J790" s="59" t="str">
        <f t="shared" si="1"/>
        <v/>
      </c>
    </row>
    <row r="791">
      <c r="A791" s="55"/>
      <c r="B791" s="60"/>
      <c r="C791" s="55"/>
      <c r="D791" s="54"/>
      <c r="E791" s="55"/>
      <c r="F791" s="62"/>
      <c r="G791" s="57"/>
      <c r="H791" s="58" t="str">
        <f>IFERROR(__xludf.DUMMYFUNCTION("iferror(if(A791="""", ,filter('Playoff IDR Import'!D:D,'Playoff IDR Import'!A:A=A791,'Playoff IDR Import'!C:C=C791)),)"),"")</f>
        <v/>
      </c>
      <c r="I791" s="58"/>
      <c r="J791" s="59" t="str">
        <f t="shared" si="1"/>
        <v/>
      </c>
    </row>
    <row r="792">
      <c r="A792" s="55"/>
      <c r="B792" s="60"/>
      <c r="C792" s="55"/>
      <c r="D792" s="54"/>
      <c r="E792" s="55"/>
      <c r="F792" s="62"/>
      <c r="G792" s="57"/>
      <c r="H792" s="58" t="str">
        <f>IFERROR(__xludf.DUMMYFUNCTION("iferror(if(A792="""", ,filter('Playoff IDR Import'!D:D,'Playoff IDR Import'!A:A=A792,'Playoff IDR Import'!C:C=C792)),)"),"")</f>
        <v/>
      </c>
      <c r="I792" s="58"/>
      <c r="J792" s="59" t="str">
        <f t="shared" si="1"/>
        <v/>
      </c>
    </row>
    <row r="793">
      <c r="A793" s="55"/>
      <c r="B793" s="60"/>
      <c r="C793" s="55"/>
      <c r="D793" s="54"/>
      <c r="E793" s="55"/>
      <c r="F793" s="62"/>
      <c r="G793" s="57"/>
      <c r="H793" s="58" t="str">
        <f>IFERROR(__xludf.DUMMYFUNCTION("iferror(if(A793="""", ,filter('Playoff IDR Import'!D:D,'Playoff IDR Import'!A:A=A793,'Playoff IDR Import'!C:C=C793)),)"),"")</f>
        <v/>
      </c>
      <c r="I793" s="58"/>
      <c r="J793" s="59" t="str">
        <f t="shared" si="1"/>
        <v/>
      </c>
    </row>
    <row r="794">
      <c r="A794" s="55"/>
      <c r="B794" s="60"/>
      <c r="C794" s="55"/>
      <c r="D794" s="54"/>
      <c r="E794" s="55"/>
      <c r="F794" s="62"/>
      <c r="G794" s="57"/>
      <c r="H794" s="58" t="str">
        <f>IFERROR(__xludf.DUMMYFUNCTION("iferror(if(A794="""", ,filter('Playoff IDR Import'!D:D,'Playoff IDR Import'!A:A=A794,'Playoff IDR Import'!C:C=C794)),)"),"")</f>
        <v/>
      </c>
      <c r="I794" s="58"/>
      <c r="J794" s="59" t="str">
        <f t="shared" si="1"/>
        <v/>
      </c>
    </row>
    <row r="795">
      <c r="A795" s="55"/>
      <c r="B795" s="60"/>
      <c r="C795" s="55"/>
      <c r="D795" s="54"/>
      <c r="E795" s="55"/>
      <c r="F795" s="62"/>
      <c r="G795" s="57"/>
      <c r="H795" s="58" t="str">
        <f>IFERROR(__xludf.DUMMYFUNCTION("iferror(if(A795="""", ,filter('Playoff IDR Import'!D:D,'Playoff IDR Import'!A:A=A795,'Playoff IDR Import'!C:C=C795)),)"),"")</f>
        <v/>
      </c>
      <c r="I795" s="58"/>
      <c r="J795" s="59" t="str">
        <f t="shared" si="1"/>
        <v/>
      </c>
    </row>
    <row r="796">
      <c r="A796" s="55"/>
      <c r="B796" s="60"/>
      <c r="C796" s="55"/>
      <c r="D796" s="54"/>
      <c r="E796" s="55"/>
      <c r="F796" s="62"/>
      <c r="G796" s="57"/>
      <c r="H796" s="58" t="str">
        <f>IFERROR(__xludf.DUMMYFUNCTION("iferror(if(A796="""", ,filter('Playoff IDR Import'!D:D,'Playoff IDR Import'!A:A=A796,'Playoff IDR Import'!C:C=C796)),)"),"")</f>
        <v/>
      </c>
      <c r="I796" s="58"/>
      <c r="J796" s="59" t="str">
        <f t="shared" si="1"/>
        <v/>
      </c>
    </row>
    <row r="797">
      <c r="A797" s="55"/>
      <c r="B797" s="60"/>
      <c r="C797" s="55"/>
      <c r="D797" s="54"/>
      <c r="E797" s="55"/>
      <c r="F797" s="62"/>
      <c r="G797" s="57"/>
      <c r="H797" s="58" t="str">
        <f>IFERROR(__xludf.DUMMYFUNCTION("iferror(if(A797="""", ,filter('Playoff IDR Import'!D:D,'Playoff IDR Import'!A:A=A797,'Playoff IDR Import'!C:C=C797)),)"),"")</f>
        <v/>
      </c>
      <c r="I797" s="58"/>
      <c r="J797" s="59" t="str">
        <f t="shared" si="1"/>
        <v/>
      </c>
    </row>
    <row r="798">
      <c r="A798" s="55"/>
      <c r="B798" s="60"/>
      <c r="C798" s="55"/>
      <c r="D798" s="54"/>
      <c r="E798" s="55"/>
      <c r="F798" s="62"/>
      <c r="G798" s="57"/>
      <c r="H798" s="58" t="str">
        <f>IFERROR(__xludf.DUMMYFUNCTION("iferror(if(A798="""", ,filter('Playoff IDR Import'!D:D,'Playoff IDR Import'!A:A=A798,'Playoff IDR Import'!C:C=C798)),)"),"")</f>
        <v/>
      </c>
      <c r="I798" s="58"/>
      <c r="J798" s="59" t="str">
        <f t="shared" si="1"/>
        <v/>
      </c>
    </row>
    <row r="799">
      <c r="A799" s="55"/>
      <c r="B799" s="60"/>
      <c r="C799" s="55"/>
      <c r="D799" s="54"/>
      <c r="E799" s="55"/>
      <c r="F799" s="62"/>
      <c r="G799" s="57"/>
      <c r="H799" s="58" t="str">
        <f>IFERROR(__xludf.DUMMYFUNCTION("iferror(if(A799="""", ,filter('Playoff IDR Import'!D:D,'Playoff IDR Import'!A:A=A799,'Playoff IDR Import'!C:C=C799)),)"),"")</f>
        <v/>
      </c>
      <c r="I799" s="58"/>
      <c r="J799" s="59" t="str">
        <f t="shared" si="1"/>
        <v/>
      </c>
    </row>
    <row r="800">
      <c r="A800" s="55"/>
      <c r="B800" s="60"/>
      <c r="C800" s="55"/>
      <c r="D800" s="54"/>
      <c r="E800" s="55"/>
      <c r="F800" s="62"/>
      <c r="G800" s="57"/>
      <c r="H800" s="58" t="str">
        <f>IFERROR(__xludf.DUMMYFUNCTION("iferror(if(A800="""", ,filter('Playoff IDR Import'!D:D,'Playoff IDR Import'!A:A=A800,'Playoff IDR Import'!C:C=C800)),)"),"")</f>
        <v/>
      </c>
      <c r="I800" s="58"/>
      <c r="J800" s="59" t="str">
        <f t="shared" si="1"/>
        <v/>
      </c>
    </row>
    <row r="801">
      <c r="A801" s="55"/>
      <c r="B801" s="60"/>
      <c r="C801" s="55"/>
      <c r="D801" s="54"/>
      <c r="E801" s="55"/>
      <c r="F801" s="62"/>
      <c r="G801" s="57"/>
      <c r="H801" s="58" t="str">
        <f>IFERROR(__xludf.DUMMYFUNCTION("iferror(if(A801="""", ,filter('Playoff IDR Import'!D:D,'Playoff IDR Import'!A:A=A801,'Playoff IDR Import'!C:C=C801)),)"),"")</f>
        <v/>
      </c>
      <c r="I801" s="58"/>
      <c r="J801" s="59" t="str">
        <f t="shared" si="1"/>
        <v/>
      </c>
    </row>
    <row r="802">
      <c r="A802" s="55"/>
      <c r="B802" s="60"/>
      <c r="C802" s="55"/>
      <c r="D802" s="54"/>
      <c r="E802" s="55"/>
      <c r="F802" s="62"/>
      <c r="G802" s="57"/>
      <c r="H802" s="58" t="str">
        <f>IFERROR(__xludf.DUMMYFUNCTION("iferror(if(A802="""", ,filter('Playoff IDR Import'!D:D,'Playoff IDR Import'!A:A=A802,'Playoff IDR Import'!C:C=C802)),)"),"")</f>
        <v/>
      </c>
      <c r="I802" s="58"/>
      <c r="J802" s="59" t="str">
        <f t="shared" si="1"/>
        <v/>
      </c>
    </row>
    <row r="803">
      <c r="A803" s="55"/>
      <c r="B803" s="60"/>
      <c r="C803" s="55"/>
      <c r="D803" s="54"/>
      <c r="E803" s="55"/>
      <c r="F803" s="62"/>
      <c r="G803" s="57"/>
      <c r="H803" s="58" t="str">
        <f>IFERROR(__xludf.DUMMYFUNCTION("iferror(if(A803="""", ,filter('Playoff IDR Import'!D:D,'Playoff IDR Import'!A:A=A803,'Playoff IDR Import'!C:C=C803)),)"),"")</f>
        <v/>
      </c>
      <c r="I803" s="58"/>
      <c r="J803" s="59" t="str">
        <f t="shared" si="1"/>
        <v/>
      </c>
    </row>
    <row r="804">
      <c r="A804" s="55"/>
      <c r="B804" s="60"/>
      <c r="C804" s="55"/>
      <c r="D804" s="54"/>
      <c r="E804" s="55"/>
      <c r="F804" s="62"/>
      <c r="G804" s="57"/>
      <c r="H804" s="58" t="str">
        <f>IFERROR(__xludf.DUMMYFUNCTION("iferror(if(A804="""", ,filter('Playoff IDR Import'!D:D,'Playoff IDR Import'!A:A=A804,'Playoff IDR Import'!C:C=C804)),)"),"")</f>
        <v/>
      </c>
      <c r="I804" s="58"/>
      <c r="J804" s="59" t="str">
        <f t="shared" si="1"/>
        <v/>
      </c>
    </row>
    <row r="805">
      <c r="A805" s="55"/>
      <c r="B805" s="60"/>
      <c r="C805" s="55"/>
      <c r="D805" s="54"/>
      <c r="E805" s="55"/>
      <c r="F805" s="62"/>
      <c r="G805" s="57"/>
      <c r="H805" s="58" t="str">
        <f>IFERROR(__xludf.DUMMYFUNCTION("iferror(if(A805="""", ,filter('Playoff IDR Import'!D:D,'Playoff IDR Import'!A:A=A805,'Playoff IDR Import'!C:C=C805)),)"),"")</f>
        <v/>
      </c>
      <c r="I805" s="58"/>
      <c r="J805" s="59" t="str">
        <f t="shared" si="1"/>
        <v/>
      </c>
    </row>
    <row r="806">
      <c r="A806" s="55"/>
      <c r="B806" s="60"/>
      <c r="C806" s="55"/>
      <c r="D806" s="54"/>
      <c r="E806" s="55"/>
      <c r="F806" s="62"/>
      <c r="G806" s="57"/>
      <c r="H806" s="58" t="str">
        <f>IFERROR(__xludf.DUMMYFUNCTION("iferror(if(A806="""", ,filter('Playoff IDR Import'!D:D,'Playoff IDR Import'!A:A=A806,'Playoff IDR Import'!C:C=C806)),)"),"")</f>
        <v/>
      </c>
      <c r="I806" s="58"/>
      <c r="J806" s="59" t="str">
        <f t="shared" si="1"/>
        <v/>
      </c>
    </row>
    <row r="807">
      <c r="A807" s="55"/>
      <c r="B807" s="60"/>
      <c r="C807" s="55"/>
      <c r="D807" s="54"/>
      <c r="E807" s="55"/>
      <c r="F807" s="62"/>
      <c r="G807" s="57"/>
      <c r="H807" s="58" t="str">
        <f>IFERROR(__xludf.DUMMYFUNCTION("iferror(if(A807="""", ,filter('Playoff IDR Import'!D:D,'Playoff IDR Import'!A:A=A807,'Playoff IDR Import'!C:C=C807)),)"),"")</f>
        <v/>
      </c>
      <c r="I807" s="58"/>
      <c r="J807" s="59" t="str">
        <f t="shared" si="1"/>
        <v/>
      </c>
    </row>
    <row r="808">
      <c r="A808" s="55"/>
      <c r="B808" s="60"/>
      <c r="C808" s="55"/>
      <c r="D808" s="54"/>
      <c r="E808" s="55"/>
      <c r="F808" s="62"/>
      <c r="G808" s="57"/>
      <c r="H808" s="58" t="str">
        <f>IFERROR(__xludf.DUMMYFUNCTION("iferror(if(A808="""", ,filter('Playoff IDR Import'!D:D,'Playoff IDR Import'!A:A=A808,'Playoff IDR Import'!C:C=C808)),)"),"")</f>
        <v/>
      </c>
      <c r="I808" s="58"/>
      <c r="J808" s="59" t="str">
        <f t="shared" si="1"/>
        <v/>
      </c>
    </row>
    <row r="809">
      <c r="A809" s="55"/>
      <c r="B809" s="60"/>
      <c r="C809" s="55"/>
      <c r="D809" s="54"/>
      <c r="E809" s="55"/>
      <c r="F809" s="62"/>
      <c r="G809" s="57"/>
      <c r="H809" s="58" t="str">
        <f>IFERROR(__xludf.DUMMYFUNCTION("iferror(if(A809="""", ,filter('Playoff IDR Import'!D:D,'Playoff IDR Import'!A:A=A809,'Playoff IDR Import'!C:C=C809)),)"),"")</f>
        <v/>
      </c>
      <c r="I809" s="58"/>
      <c r="J809" s="59" t="str">
        <f t="shared" si="1"/>
        <v/>
      </c>
    </row>
    <row r="810">
      <c r="A810" s="55"/>
      <c r="B810" s="60"/>
      <c r="C810" s="55"/>
      <c r="D810" s="54"/>
      <c r="E810" s="55"/>
      <c r="F810" s="62"/>
      <c r="G810" s="57"/>
      <c r="H810" s="58" t="str">
        <f>IFERROR(__xludf.DUMMYFUNCTION("iferror(if(A810="""", ,filter('Playoff IDR Import'!D:D,'Playoff IDR Import'!A:A=A810,'Playoff IDR Import'!C:C=C810)),)"),"")</f>
        <v/>
      </c>
      <c r="I810" s="58"/>
      <c r="J810" s="59" t="str">
        <f t="shared" si="1"/>
        <v/>
      </c>
    </row>
    <row r="811">
      <c r="A811" s="55"/>
      <c r="B811" s="60"/>
      <c r="C811" s="55"/>
      <c r="D811" s="54"/>
      <c r="E811" s="55"/>
      <c r="F811" s="62"/>
      <c r="G811" s="57"/>
      <c r="H811" s="58" t="str">
        <f>IFERROR(__xludf.DUMMYFUNCTION("iferror(if(A811="""", ,filter('Playoff IDR Import'!D:D,'Playoff IDR Import'!A:A=A811,'Playoff IDR Import'!C:C=C811)),)"),"")</f>
        <v/>
      </c>
      <c r="I811" s="58"/>
      <c r="J811" s="59" t="str">
        <f t="shared" si="1"/>
        <v/>
      </c>
    </row>
    <row r="812">
      <c r="A812" s="55"/>
      <c r="B812" s="60"/>
      <c r="C812" s="55"/>
      <c r="D812" s="54"/>
      <c r="E812" s="55"/>
      <c r="F812" s="62"/>
      <c r="G812" s="57"/>
      <c r="H812" s="58" t="str">
        <f>IFERROR(__xludf.DUMMYFUNCTION("iferror(if(A812="""", ,filter('Playoff IDR Import'!D:D,'Playoff IDR Import'!A:A=A812,'Playoff IDR Import'!C:C=C812)),)"),"")</f>
        <v/>
      </c>
      <c r="I812" s="58"/>
      <c r="J812" s="59" t="str">
        <f t="shared" si="1"/>
        <v/>
      </c>
    </row>
    <row r="813">
      <c r="A813" s="55"/>
      <c r="B813" s="60"/>
      <c r="C813" s="55"/>
      <c r="D813" s="54"/>
      <c r="E813" s="55"/>
      <c r="F813" s="62"/>
      <c r="G813" s="57"/>
      <c r="H813" s="58" t="str">
        <f>IFERROR(__xludf.DUMMYFUNCTION("iferror(if(A813="""", ,filter('Playoff IDR Import'!D:D,'Playoff IDR Import'!A:A=A813,'Playoff IDR Import'!C:C=C813)),)"),"")</f>
        <v/>
      </c>
      <c r="I813" s="58"/>
      <c r="J813" s="59" t="str">
        <f t="shared" si="1"/>
        <v/>
      </c>
    </row>
    <row r="814">
      <c r="A814" s="55"/>
      <c r="B814" s="60"/>
      <c r="C814" s="55"/>
      <c r="D814" s="54"/>
      <c r="E814" s="55"/>
      <c r="F814" s="62"/>
      <c r="G814" s="57"/>
      <c r="H814" s="58" t="str">
        <f>IFERROR(__xludf.DUMMYFUNCTION("iferror(if(A814="""", ,filter('Playoff IDR Import'!D:D,'Playoff IDR Import'!A:A=A814,'Playoff IDR Import'!C:C=C814)),)"),"")</f>
        <v/>
      </c>
      <c r="I814" s="58"/>
      <c r="J814" s="59" t="str">
        <f t="shared" si="1"/>
        <v/>
      </c>
    </row>
    <row r="815">
      <c r="A815" s="55"/>
      <c r="B815" s="60"/>
      <c r="C815" s="55"/>
      <c r="D815" s="54"/>
      <c r="E815" s="55"/>
      <c r="F815" s="62"/>
      <c r="G815" s="57"/>
      <c r="H815" s="58" t="str">
        <f>IFERROR(__xludf.DUMMYFUNCTION("iferror(if(A815="""", ,filter('Playoff IDR Import'!D:D,'Playoff IDR Import'!A:A=A815,'Playoff IDR Import'!C:C=C815)),)"),"")</f>
        <v/>
      </c>
      <c r="I815" s="58"/>
      <c r="J815" s="59" t="str">
        <f t="shared" si="1"/>
        <v/>
      </c>
    </row>
    <row r="816">
      <c r="A816" s="55"/>
      <c r="B816" s="60"/>
      <c r="C816" s="55"/>
      <c r="D816" s="54"/>
      <c r="E816" s="55"/>
      <c r="F816" s="62"/>
      <c r="G816" s="57"/>
      <c r="H816" s="58" t="str">
        <f>IFERROR(__xludf.DUMMYFUNCTION("iferror(if(A816="""", ,filter('Playoff IDR Import'!D:D,'Playoff IDR Import'!A:A=A816,'Playoff IDR Import'!C:C=C816)),)"),"")</f>
        <v/>
      </c>
      <c r="I816" s="58"/>
      <c r="J816" s="59" t="str">
        <f t="shared" si="1"/>
        <v/>
      </c>
    </row>
    <row r="817">
      <c r="A817" s="55"/>
      <c r="B817" s="60"/>
      <c r="C817" s="55"/>
      <c r="D817" s="54"/>
      <c r="E817" s="55"/>
      <c r="F817" s="62"/>
      <c r="G817" s="57"/>
      <c r="H817" s="58" t="str">
        <f>IFERROR(__xludf.DUMMYFUNCTION("iferror(if(A817="""", ,filter('Playoff IDR Import'!D:D,'Playoff IDR Import'!A:A=A817,'Playoff IDR Import'!C:C=C817)),)"),"")</f>
        <v/>
      </c>
      <c r="I817" s="58"/>
      <c r="J817" s="59" t="str">
        <f t="shared" si="1"/>
        <v/>
      </c>
    </row>
    <row r="818">
      <c r="A818" s="55"/>
      <c r="B818" s="60"/>
      <c r="C818" s="55"/>
      <c r="D818" s="54"/>
      <c r="E818" s="55"/>
      <c r="F818" s="62"/>
      <c r="G818" s="57"/>
      <c r="H818" s="58" t="str">
        <f>IFERROR(__xludf.DUMMYFUNCTION("iferror(if(A818="""", ,filter('Playoff IDR Import'!D:D,'Playoff IDR Import'!A:A=A818,'Playoff IDR Import'!C:C=C818)),)"),"")</f>
        <v/>
      </c>
      <c r="I818" s="58"/>
      <c r="J818" s="59" t="str">
        <f t="shared" si="1"/>
        <v/>
      </c>
    </row>
    <row r="819">
      <c r="A819" s="55"/>
      <c r="B819" s="60"/>
      <c r="C819" s="55"/>
      <c r="D819" s="54"/>
      <c r="E819" s="55"/>
      <c r="F819" s="62"/>
      <c r="G819" s="57"/>
      <c r="H819" s="58" t="str">
        <f>IFERROR(__xludf.DUMMYFUNCTION("iferror(if(A819="""", ,filter('Playoff IDR Import'!D:D,'Playoff IDR Import'!A:A=A819,'Playoff IDR Import'!C:C=C819)),)"),"")</f>
        <v/>
      </c>
      <c r="I819" s="58"/>
      <c r="J819" s="59" t="str">
        <f t="shared" si="1"/>
        <v/>
      </c>
    </row>
    <row r="820">
      <c r="A820" s="55"/>
      <c r="B820" s="60"/>
      <c r="C820" s="55"/>
      <c r="D820" s="54"/>
      <c r="E820" s="55"/>
      <c r="F820" s="62"/>
      <c r="G820" s="57"/>
      <c r="H820" s="58" t="str">
        <f>IFERROR(__xludf.DUMMYFUNCTION("iferror(if(A820="""", ,filter('Playoff IDR Import'!D:D,'Playoff IDR Import'!A:A=A820,'Playoff IDR Import'!C:C=C820)),)"),"")</f>
        <v/>
      </c>
      <c r="I820" s="58"/>
      <c r="J820" s="59" t="str">
        <f t="shared" si="1"/>
        <v/>
      </c>
    </row>
    <row r="821">
      <c r="A821" s="55"/>
      <c r="B821" s="60"/>
      <c r="C821" s="55"/>
      <c r="D821" s="54"/>
      <c r="E821" s="55"/>
      <c r="F821" s="62"/>
      <c r="G821" s="57"/>
      <c r="H821" s="58" t="str">
        <f>IFERROR(__xludf.DUMMYFUNCTION("iferror(if(A821="""", ,filter('Playoff IDR Import'!D:D,'Playoff IDR Import'!A:A=A821,'Playoff IDR Import'!C:C=C821)),)"),"")</f>
        <v/>
      </c>
      <c r="I821" s="58"/>
      <c r="J821" s="59" t="str">
        <f t="shared" si="1"/>
        <v/>
      </c>
    </row>
    <row r="822">
      <c r="A822" s="55"/>
      <c r="B822" s="60"/>
      <c r="C822" s="55"/>
      <c r="D822" s="54"/>
      <c r="E822" s="55"/>
      <c r="F822" s="62"/>
      <c r="G822" s="57"/>
      <c r="H822" s="58" t="str">
        <f>IFERROR(__xludf.DUMMYFUNCTION("iferror(if(A822="""", ,filter('Playoff IDR Import'!D:D,'Playoff IDR Import'!A:A=A822,'Playoff IDR Import'!C:C=C822)),)"),"")</f>
        <v/>
      </c>
      <c r="I822" s="58"/>
      <c r="J822" s="59" t="str">
        <f t="shared" si="1"/>
        <v/>
      </c>
    </row>
    <row r="823">
      <c r="A823" s="55"/>
      <c r="B823" s="60"/>
      <c r="C823" s="55"/>
      <c r="D823" s="54"/>
      <c r="E823" s="55"/>
      <c r="F823" s="62"/>
      <c r="G823" s="57"/>
      <c r="H823" s="58" t="str">
        <f>IFERROR(__xludf.DUMMYFUNCTION("iferror(if(A823="""", ,filter('Playoff IDR Import'!D:D,'Playoff IDR Import'!A:A=A823,'Playoff IDR Import'!C:C=C823)),)"),"")</f>
        <v/>
      </c>
      <c r="I823" s="58"/>
      <c r="J823" s="59" t="str">
        <f t="shared" si="1"/>
        <v/>
      </c>
    </row>
    <row r="824">
      <c r="A824" s="55"/>
      <c r="B824" s="60"/>
      <c r="C824" s="55"/>
      <c r="D824" s="54"/>
      <c r="E824" s="55"/>
      <c r="F824" s="62"/>
      <c r="G824" s="57"/>
      <c r="H824" s="58" t="str">
        <f>IFERROR(__xludf.DUMMYFUNCTION("iferror(if(A824="""", ,filter('Playoff IDR Import'!D:D,'Playoff IDR Import'!A:A=A824,'Playoff IDR Import'!C:C=C824)),)"),"")</f>
        <v/>
      </c>
      <c r="I824" s="58"/>
      <c r="J824" s="59" t="str">
        <f t="shared" si="1"/>
        <v/>
      </c>
    </row>
    <row r="825">
      <c r="A825" s="55"/>
      <c r="B825" s="60"/>
      <c r="C825" s="55"/>
      <c r="D825" s="54"/>
      <c r="E825" s="55"/>
      <c r="F825" s="62"/>
      <c r="G825" s="57"/>
      <c r="H825" s="58" t="str">
        <f>IFERROR(__xludf.DUMMYFUNCTION("iferror(if(A825="""", ,filter('Playoff IDR Import'!D:D,'Playoff IDR Import'!A:A=A825,'Playoff IDR Import'!C:C=C825)),)"),"")</f>
        <v/>
      </c>
      <c r="I825" s="58"/>
      <c r="J825" s="59" t="str">
        <f t="shared" si="1"/>
        <v/>
      </c>
    </row>
    <row r="826">
      <c r="A826" s="55"/>
      <c r="B826" s="60"/>
      <c r="C826" s="55"/>
      <c r="D826" s="54"/>
      <c r="E826" s="55"/>
      <c r="F826" s="62"/>
      <c r="G826" s="57"/>
      <c r="H826" s="58" t="str">
        <f>IFERROR(__xludf.DUMMYFUNCTION("iferror(if(A826="""", ,filter('Playoff IDR Import'!D:D,'Playoff IDR Import'!A:A=A826,'Playoff IDR Import'!C:C=C826)),)"),"")</f>
        <v/>
      </c>
      <c r="I826" s="58"/>
      <c r="J826" s="59" t="str">
        <f t="shared" si="1"/>
        <v/>
      </c>
    </row>
    <row r="827">
      <c r="A827" s="55"/>
      <c r="B827" s="60"/>
      <c r="C827" s="55"/>
      <c r="D827" s="54"/>
      <c r="E827" s="55"/>
      <c r="F827" s="62"/>
      <c r="G827" s="57"/>
      <c r="H827" s="58" t="str">
        <f>IFERROR(__xludf.DUMMYFUNCTION("iferror(if(A827="""", ,filter('Playoff IDR Import'!D:D,'Playoff IDR Import'!A:A=A827,'Playoff IDR Import'!C:C=C827)),)"),"")</f>
        <v/>
      </c>
      <c r="I827" s="58"/>
      <c r="J827" s="59" t="str">
        <f t="shared" si="1"/>
        <v/>
      </c>
    </row>
    <row r="828">
      <c r="A828" s="55"/>
      <c r="B828" s="60"/>
      <c r="C828" s="55"/>
      <c r="D828" s="54"/>
      <c r="E828" s="55"/>
      <c r="F828" s="62"/>
      <c r="G828" s="57"/>
      <c r="H828" s="58" t="str">
        <f>IFERROR(__xludf.DUMMYFUNCTION("iferror(if(A828="""", ,filter('Playoff IDR Import'!D:D,'Playoff IDR Import'!A:A=A828,'Playoff IDR Import'!C:C=C828)),)"),"")</f>
        <v/>
      </c>
      <c r="I828" s="58"/>
      <c r="J828" s="59" t="str">
        <f t="shared" si="1"/>
        <v/>
      </c>
    </row>
    <row r="829">
      <c r="A829" s="55"/>
      <c r="B829" s="60"/>
      <c r="C829" s="55"/>
      <c r="D829" s="54"/>
      <c r="E829" s="55"/>
      <c r="F829" s="62"/>
      <c r="G829" s="57"/>
      <c r="H829" s="58" t="str">
        <f>IFERROR(__xludf.DUMMYFUNCTION("iferror(if(A829="""", ,filter('Playoff IDR Import'!D:D,'Playoff IDR Import'!A:A=A829,'Playoff IDR Import'!C:C=C829)),)"),"")</f>
        <v/>
      </c>
      <c r="I829" s="58"/>
      <c r="J829" s="59" t="str">
        <f t="shared" si="1"/>
        <v/>
      </c>
    </row>
    <row r="830">
      <c r="A830" s="55"/>
      <c r="B830" s="60"/>
      <c r="C830" s="55"/>
      <c r="D830" s="54"/>
      <c r="E830" s="55"/>
      <c r="F830" s="62"/>
      <c r="G830" s="57"/>
      <c r="H830" s="58" t="str">
        <f>IFERROR(__xludf.DUMMYFUNCTION("iferror(if(A830="""", ,filter('Playoff IDR Import'!D:D,'Playoff IDR Import'!A:A=A830,'Playoff IDR Import'!C:C=C830)),)"),"")</f>
        <v/>
      </c>
      <c r="I830" s="58"/>
      <c r="J830" s="59" t="str">
        <f t="shared" si="1"/>
        <v/>
      </c>
    </row>
    <row r="831">
      <c r="A831" s="55"/>
      <c r="B831" s="60"/>
      <c r="C831" s="55"/>
      <c r="D831" s="54"/>
      <c r="E831" s="55"/>
      <c r="F831" s="62"/>
      <c r="G831" s="57"/>
      <c r="H831" s="58" t="str">
        <f>IFERROR(__xludf.DUMMYFUNCTION("iferror(if(A831="""", ,filter('Playoff IDR Import'!D:D,'Playoff IDR Import'!A:A=A831,'Playoff IDR Import'!C:C=C831)),)"),"")</f>
        <v/>
      </c>
      <c r="I831" s="58"/>
      <c r="J831" s="59" t="str">
        <f t="shared" si="1"/>
        <v/>
      </c>
    </row>
    <row r="832">
      <c r="A832" s="55"/>
      <c r="B832" s="60"/>
      <c r="C832" s="55"/>
      <c r="D832" s="54"/>
      <c r="E832" s="55"/>
      <c r="F832" s="62"/>
      <c r="G832" s="57"/>
      <c r="H832" s="58" t="str">
        <f>IFERROR(__xludf.DUMMYFUNCTION("iferror(if(A832="""", ,filter('Playoff IDR Import'!D:D,'Playoff IDR Import'!A:A=A832,'Playoff IDR Import'!C:C=C832)),)"),"")</f>
        <v/>
      </c>
      <c r="I832" s="58"/>
      <c r="J832" s="59" t="str">
        <f t="shared" si="1"/>
        <v/>
      </c>
    </row>
    <row r="833">
      <c r="A833" s="55"/>
      <c r="B833" s="60"/>
      <c r="C833" s="55"/>
      <c r="D833" s="54"/>
      <c r="E833" s="55"/>
      <c r="F833" s="62"/>
      <c r="G833" s="57"/>
      <c r="H833" s="58" t="str">
        <f>IFERROR(__xludf.DUMMYFUNCTION("iferror(if(A833="""", ,filter('Playoff IDR Import'!D:D,'Playoff IDR Import'!A:A=A833,'Playoff IDR Import'!C:C=C833)),)"),"")</f>
        <v/>
      </c>
      <c r="I833" s="58"/>
      <c r="J833" s="59" t="str">
        <f t="shared" si="1"/>
        <v/>
      </c>
    </row>
    <row r="834">
      <c r="A834" s="55"/>
      <c r="B834" s="60"/>
      <c r="C834" s="55"/>
      <c r="D834" s="54"/>
      <c r="E834" s="55"/>
      <c r="F834" s="62"/>
      <c r="G834" s="57"/>
      <c r="H834" s="58" t="str">
        <f>IFERROR(__xludf.DUMMYFUNCTION("iferror(if(A834="""", ,filter('Playoff IDR Import'!D:D,'Playoff IDR Import'!A:A=A834,'Playoff IDR Import'!C:C=C834)),)"),"")</f>
        <v/>
      </c>
      <c r="I834" s="58"/>
      <c r="J834" s="59" t="str">
        <f t="shared" si="1"/>
        <v/>
      </c>
    </row>
    <row r="835">
      <c r="A835" s="55"/>
      <c r="B835" s="60"/>
      <c r="C835" s="55"/>
      <c r="D835" s="54"/>
      <c r="E835" s="55"/>
      <c r="F835" s="62"/>
      <c r="G835" s="57"/>
      <c r="H835" s="58" t="str">
        <f>IFERROR(__xludf.DUMMYFUNCTION("iferror(if(A835="""", ,filter('Playoff IDR Import'!D:D,'Playoff IDR Import'!A:A=A835,'Playoff IDR Import'!C:C=C835)),)"),"")</f>
        <v/>
      </c>
      <c r="I835" s="58"/>
      <c r="J835" s="59" t="str">
        <f t="shared" si="1"/>
        <v/>
      </c>
    </row>
    <row r="836">
      <c r="A836" s="55"/>
      <c r="B836" s="60"/>
      <c r="C836" s="55"/>
      <c r="D836" s="54"/>
      <c r="E836" s="55"/>
      <c r="F836" s="62"/>
      <c r="G836" s="57"/>
      <c r="H836" s="58" t="str">
        <f>IFERROR(__xludf.DUMMYFUNCTION("iferror(if(A836="""", ,filter('Playoff IDR Import'!D:D,'Playoff IDR Import'!A:A=A836,'Playoff IDR Import'!C:C=C836)),)"),"")</f>
        <v/>
      </c>
      <c r="I836" s="58"/>
      <c r="J836" s="59" t="str">
        <f t="shared" si="1"/>
        <v/>
      </c>
    </row>
    <row r="837">
      <c r="A837" s="55"/>
      <c r="B837" s="60"/>
      <c r="C837" s="55"/>
      <c r="D837" s="54"/>
      <c r="E837" s="55"/>
      <c r="F837" s="62"/>
      <c r="G837" s="57"/>
      <c r="H837" s="58" t="str">
        <f>IFERROR(__xludf.DUMMYFUNCTION("iferror(if(A837="""", ,filter('Playoff IDR Import'!D:D,'Playoff IDR Import'!A:A=A837,'Playoff IDR Import'!C:C=C837)),)"),"")</f>
        <v/>
      </c>
      <c r="I837" s="58"/>
      <c r="J837" s="59" t="str">
        <f t="shared" si="1"/>
        <v/>
      </c>
    </row>
    <row r="838">
      <c r="A838" s="55"/>
      <c r="B838" s="60"/>
      <c r="C838" s="55"/>
      <c r="D838" s="54"/>
      <c r="E838" s="55"/>
      <c r="F838" s="62"/>
      <c r="G838" s="57"/>
      <c r="H838" s="58" t="str">
        <f>IFERROR(__xludf.DUMMYFUNCTION("iferror(if(A838="""", ,filter('Playoff IDR Import'!D:D,'Playoff IDR Import'!A:A=A838,'Playoff IDR Import'!C:C=C838)),)"),"")</f>
        <v/>
      </c>
      <c r="I838" s="58"/>
      <c r="J838" s="59" t="str">
        <f t="shared" si="1"/>
        <v/>
      </c>
    </row>
    <row r="839">
      <c r="A839" s="55"/>
      <c r="B839" s="60"/>
      <c r="C839" s="55"/>
      <c r="D839" s="54"/>
      <c r="E839" s="55"/>
      <c r="F839" s="62"/>
      <c r="G839" s="57"/>
      <c r="H839" s="58" t="str">
        <f>IFERROR(__xludf.DUMMYFUNCTION("iferror(if(A839="""", ,filter('Playoff IDR Import'!D:D,'Playoff IDR Import'!A:A=A839,'Playoff IDR Import'!C:C=C839)),)"),"")</f>
        <v/>
      </c>
      <c r="I839" s="58"/>
      <c r="J839" s="59" t="str">
        <f t="shared" si="1"/>
        <v/>
      </c>
    </row>
    <row r="840">
      <c r="A840" s="55"/>
      <c r="B840" s="60"/>
      <c r="C840" s="55"/>
      <c r="D840" s="54"/>
      <c r="E840" s="55"/>
      <c r="F840" s="62"/>
      <c r="G840" s="57"/>
      <c r="H840" s="58" t="str">
        <f>IFERROR(__xludf.DUMMYFUNCTION("iferror(if(A840="""", ,filter('Playoff IDR Import'!D:D,'Playoff IDR Import'!A:A=A840,'Playoff IDR Import'!C:C=C840)),)"),"")</f>
        <v/>
      </c>
      <c r="I840" s="58"/>
      <c r="J840" s="59" t="str">
        <f t="shared" si="1"/>
        <v/>
      </c>
    </row>
    <row r="841">
      <c r="A841" s="55"/>
      <c r="B841" s="60"/>
      <c r="C841" s="55"/>
      <c r="D841" s="54"/>
      <c r="E841" s="55"/>
      <c r="F841" s="62"/>
      <c r="G841" s="57"/>
      <c r="H841" s="58" t="str">
        <f>IFERROR(__xludf.DUMMYFUNCTION("iferror(if(A841="""", ,filter('Playoff IDR Import'!D:D,'Playoff IDR Import'!A:A=A841,'Playoff IDR Import'!C:C=C841)),)"),"")</f>
        <v/>
      </c>
      <c r="I841" s="58"/>
      <c r="J841" s="59" t="str">
        <f t="shared" si="1"/>
        <v/>
      </c>
    </row>
    <row r="842">
      <c r="A842" s="55"/>
      <c r="B842" s="60"/>
      <c r="C842" s="55"/>
      <c r="D842" s="54"/>
      <c r="E842" s="55"/>
      <c r="F842" s="62"/>
      <c r="G842" s="57"/>
      <c r="H842" s="58" t="str">
        <f>IFERROR(__xludf.DUMMYFUNCTION("iferror(if(A842="""", ,filter('Playoff IDR Import'!D:D,'Playoff IDR Import'!A:A=A842,'Playoff IDR Import'!C:C=C842)),)"),"")</f>
        <v/>
      </c>
      <c r="I842" s="58"/>
      <c r="J842" s="59" t="str">
        <f t="shared" si="1"/>
        <v/>
      </c>
    </row>
    <row r="843">
      <c r="A843" s="55"/>
      <c r="B843" s="60"/>
      <c r="C843" s="55"/>
      <c r="D843" s="54"/>
      <c r="E843" s="55"/>
      <c r="F843" s="62"/>
      <c r="G843" s="57"/>
      <c r="H843" s="58" t="str">
        <f>IFERROR(__xludf.DUMMYFUNCTION("iferror(if(A843="""", ,filter('Playoff IDR Import'!D:D,'Playoff IDR Import'!A:A=A843,'Playoff IDR Import'!C:C=C843)),)"),"")</f>
        <v/>
      </c>
      <c r="I843" s="58"/>
      <c r="J843" s="59" t="str">
        <f t="shared" si="1"/>
        <v/>
      </c>
    </row>
    <row r="844">
      <c r="A844" s="55"/>
      <c r="B844" s="60"/>
      <c r="C844" s="55"/>
      <c r="D844" s="54"/>
      <c r="E844" s="55"/>
      <c r="F844" s="62"/>
      <c r="G844" s="57"/>
      <c r="H844" s="58" t="str">
        <f>IFERROR(__xludf.DUMMYFUNCTION("iferror(if(A844="""", ,filter('Playoff IDR Import'!D:D,'Playoff IDR Import'!A:A=A844,'Playoff IDR Import'!C:C=C844)),)"),"")</f>
        <v/>
      </c>
      <c r="I844" s="58"/>
      <c r="J844" s="59" t="str">
        <f t="shared" si="1"/>
        <v/>
      </c>
    </row>
    <row r="845">
      <c r="A845" s="55"/>
      <c r="B845" s="60"/>
      <c r="C845" s="55"/>
      <c r="D845" s="54"/>
      <c r="E845" s="55"/>
      <c r="F845" s="62"/>
      <c r="G845" s="57"/>
      <c r="H845" s="58" t="str">
        <f>IFERROR(__xludf.DUMMYFUNCTION("iferror(if(A845="""", ,filter('Playoff IDR Import'!D:D,'Playoff IDR Import'!A:A=A845,'Playoff IDR Import'!C:C=C845)),)"),"")</f>
        <v/>
      </c>
      <c r="I845" s="58"/>
      <c r="J845" s="59" t="str">
        <f t="shared" si="1"/>
        <v/>
      </c>
    </row>
    <row r="846">
      <c r="A846" s="55"/>
      <c r="B846" s="60"/>
      <c r="C846" s="55"/>
      <c r="D846" s="54"/>
      <c r="E846" s="55"/>
      <c r="F846" s="62"/>
      <c r="G846" s="57"/>
      <c r="H846" s="58" t="str">
        <f>IFERROR(__xludf.DUMMYFUNCTION("iferror(if(A846="""", ,filter('Playoff IDR Import'!D:D,'Playoff IDR Import'!A:A=A846,'Playoff IDR Import'!C:C=C846)),)"),"")</f>
        <v/>
      </c>
      <c r="I846" s="58"/>
      <c r="J846" s="59" t="str">
        <f t="shared" si="1"/>
        <v/>
      </c>
    </row>
    <row r="847">
      <c r="A847" s="55"/>
      <c r="B847" s="60"/>
      <c r="C847" s="55"/>
      <c r="D847" s="54"/>
      <c r="E847" s="55"/>
      <c r="F847" s="62"/>
      <c r="G847" s="57"/>
      <c r="H847" s="58" t="str">
        <f>IFERROR(__xludf.DUMMYFUNCTION("iferror(if(A847="""", ,filter('Playoff IDR Import'!D:D,'Playoff IDR Import'!A:A=A847,'Playoff IDR Import'!C:C=C847)),)"),"")</f>
        <v/>
      </c>
      <c r="I847" s="58"/>
      <c r="J847" s="59" t="str">
        <f t="shared" si="1"/>
        <v/>
      </c>
    </row>
    <row r="848">
      <c r="A848" s="55"/>
      <c r="B848" s="60"/>
      <c r="C848" s="55"/>
      <c r="D848" s="54"/>
      <c r="E848" s="55"/>
      <c r="F848" s="62"/>
      <c r="G848" s="57"/>
      <c r="H848" s="58" t="str">
        <f>IFERROR(__xludf.DUMMYFUNCTION("iferror(if(A848="""", ,filter('Playoff IDR Import'!D:D,'Playoff IDR Import'!A:A=A848,'Playoff IDR Import'!C:C=C848)),)"),"")</f>
        <v/>
      </c>
      <c r="I848" s="58"/>
      <c r="J848" s="59" t="str">
        <f t="shared" si="1"/>
        <v/>
      </c>
    </row>
    <row r="849">
      <c r="A849" s="55"/>
      <c r="B849" s="60"/>
      <c r="C849" s="55"/>
      <c r="D849" s="54"/>
      <c r="E849" s="55"/>
      <c r="F849" s="62"/>
      <c r="G849" s="57"/>
      <c r="H849" s="58" t="str">
        <f>IFERROR(__xludf.DUMMYFUNCTION("iferror(if(A849="""", ,filter('Playoff IDR Import'!D:D,'Playoff IDR Import'!A:A=A849,'Playoff IDR Import'!C:C=C849)),)"),"")</f>
        <v/>
      </c>
      <c r="I849" s="58"/>
      <c r="J849" s="59" t="str">
        <f t="shared" si="1"/>
        <v/>
      </c>
    </row>
    <row r="850">
      <c r="A850" s="55"/>
      <c r="B850" s="60"/>
      <c r="C850" s="55"/>
      <c r="D850" s="54"/>
      <c r="E850" s="55"/>
      <c r="F850" s="62"/>
      <c r="G850" s="57"/>
      <c r="H850" s="58" t="str">
        <f>IFERROR(__xludf.DUMMYFUNCTION("iferror(if(A850="""", ,filter('Playoff IDR Import'!D:D,'Playoff IDR Import'!A:A=A850,'Playoff IDR Import'!C:C=C850)),)"),"")</f>
        <v/>
      </c>
      <c r="I850" s="58"/>
      <c r="J850" s="59" t="str">
        <f t="shared" si="1"/>
        <v/>
      </c>
    </row>
    <row r="851">
      <c r="A851" s="55"/>
      <c r="B851" s="60"/>
      <c r="C851" s="55"/>
      <c r="D851" s="54"/>
      <c r="E851" s="55"/>
      <c r="F851" s="62"/>
      <c r="G851" s="57"/>
      <c r="H851" s="58" t="str">
        <f>IFERROR(__xludf.DUMMYFUNCTION("iferror(if(A851="""", ,filter('Playoff IDR Import'!D:D,'Playoff IDR Import'!A:A=A851,'Playoff IDR Import'!C:C=C851)),)"),"")</f>
        <v/>
      </c>
      <c r="I851" s="58"/>
      <c r="J851" s="59" t="str">
        <f t="shared" si="1"/>
        <v/>
      </c>
    </row>
    <row r="852">
      <c r="A852" s="55"/>
      <c r="B852" s="60"/>
      <c r="C852" s="55"/>
      <c r="D852" s="54"/>
      <c r="E852" s="55"/>
      <c r="F852" s="62"/>
      <c r="G852" s="57"/>
      <c r="H852" s="58" t="str">
        <f>IFERROR(__xludf.DUMMYFUNCTION("iferror(if(A852="""", ,filter('Playoff IDR Import'!D:D,'Playoff IDR Import'!A:A=A852,'Playoff IDR Import'!C:C=C852)),)"),"")</f>
        <v/>
      </c>
      <c r="I852" s="58"/>
      <c r="J852" s="59" t="str">
        <f t="shared" si="1"/>
        <v/>
      </c>
    </row>
    <row r="853">
      <c r="A853" s="55"/>
      <c r="B853" s="60"/>
      <c r="C853" s="55"/>
      <c r="D853" s="54"/>
      <c r="E853" s="55"/>
      <c r="F853" s="62"/>
      <c r="G853" s="57"/>
      <c r="H853" s="58" t="str">
        <f>IFERROR(__xludf.DUMMYFUNCTION("iferror(if(A853="""", ,filter('Playoff IDR Import'!D:D,'Playoff IDR Import'!A:A=A853,'Playoff IDR Import'!C:C=C853)),)"),"")</f>
        <v/>
      </c>
      <c r="I853" s="58"/>
      <c r="J853" s="59" t="str">
        <f t="shared" si="1"/>
        <v/>
      </c>
    </row>
    <row r="854">
      <c r="A854" s="55"/>
      <c r="B854" s="60"/>
      <c r="C854" s="55"/>
      <c r="D854" s="54"/>
      <c r="E854" s="55"/>
      <c r="F854" s="62"/>
      <c r="G854" s="57"/>
      <c r="H854" s="58" t="str">
        <f>IFERROR(__xludf.DUMMYFUNCTION("iferror(if(A854="""", ,filter('Playoff IDR Import'!D:D,'Playoff IDR Import'!A:A=A854,'Playoff IDR Import'!C:C=C854)),)"),"")</f>
        <v/>
      </c>
      <c r="I854" s="58"/>
      <c r="J854" s="59" t="str">
        <f t="shared" si="1"/>
        <v/>
      </c>
    </row>
    <row r="855">
      <c r="A855" s="55"/>
      <c r="B855" s="60"/>
      <c r="C855" s="55"/>
      <c r="D855" s="54"/>
      <c r="E855" s="55"/>
      <c r="F855" s="62"/>
      <c r="G855" s="57"/>
      <c r="H855" s="58" t="str">
        <f>IFERROR(__xludf.DUMMYFUNCTION("iferror(if(A855="""", ,filter('Playoff IDR Import'!D:D,'Playoff IDR Import'!A:A=A855,'Playoff IDR Import'!C:C=C855)),)"),"")</f>
        <v/>
      </c>
      <c r="I855" s="58"/>
      <c r="J855" s="59" t="str">
        <f t="shared" si="1"/>
        <v/>
      </c>
    </row>
    <row r="856">
      <c r="A856" s="55"/>
      <c r="B856" s="60"/>
      <c r="C856" s="55"/>
      <c r="D856" s="54"/>
      <c r="E856" s="55"/>
      <c r="F856" s="62"/>
      <c r="G856" s="57"/>
      <c r="H856" s="58" t="str">
        <f>IFERROR(__xludf.DUMMYFUNCTION("iferror(if(A856="""", ,filter('Playoff IDR Import'!D:D,'Playoff IDR Import'!A:A=A856,'Playoff IDR Import'!C:C=C856)),)"),"")</f>
        <v/>
      </c>
      <c r="I856" s="58"/>
      <c r="J856" s="59" t="str">
        <f t="shared" si="1"/>
        <v/>
      </c>
    </row>
    <row r="857">
      <c r="A857" s="55"/>
      <c r="B857" s="60"/>
      <c r="C857" s="55"/>
      <c r="D857" s="54"/>
      <c r="E857" s="55"/>
      <c r="F857" s="62"/>
      <c r="G857" s="57"/>
      <c r="H857" s="58" t="str">
        <f>IFERROR(__xludf.DUMMYFUNCTION("iferror(if(A857="""", ,filter('Playoff IDR Import'!D:D,'Playoff IDR Import'!A:A=A857,'Playoff IDR Import'!C:C=C857)),)"),"")</f>
        <v/>
      </c>
      <c r="I857" s="58"/>
      <c r="J857" s="59" t="str">
        <f t="shared" si="1"/>
        <v/>
      </c>
    </row>
    <row r="858">
      <c r="A858" s="55"/>
      <c r="B858" s="60"/>
      <c r="C858" s="55"/>
      <c r="D858" s="54"/>
      <c r="E858" s="55"/>
      <c r="F858" s="62"/>
      <c r="G858" s="57"/>
      <c r="H858" s="58" t="str">
        <f>IFERROR(__xludf.DUMMYFUNCTION("iferror(if(A858="""", ,filter('Playoff IDR Import'!D:D,'Playoff IDR Import'!A:A=A858,'Playoff IDR Import'!C:C=C858)),)"),"")</f>
        <v/>
      </c>
      <c r="I858" s="58"/>
      <c r="J858" s="59" t="str">
        <f t="shared" si="1"/>
        <v/>
      </c>
    </row>
    <row r="859">
      <c r="A859" s="55"/>
      <c r="B859" s="60"/>
      <c r="C859" s="55"/>
      <c r="D859" s="54"/>
      <c r="E859" s="55"/>
      <c r="F859" s="62"/>
      <c r="G859" s="57"/>
      <c r="H859" s="58" t="str">
        <f>IFERROR(__xludf.DUMMYFUNCTION("iferror(if(A859="""", ,filter('Playoff IDR Import'!D:D,'Playoff IDR Import'!A:A=A859,'Playoff IDR Import'!C:C=C859)),)"),"")</f>
        <v/>
      </c>
      <c r="I859" s="58"/>
      <c r="J859" s="59" t="str">
        <f t="shared" si="1"/>
        <v/>
      </c>
    </row>
    <row r="860">
      <c r="A860" s="55"/>
      <c r="B860" s="60"/>
      <c r="C860" s="55"/>
      <c r="D860" s="54"/>
      <c r="E860" s="55"/>
      <c r="F860" s="62"/>
      <c r="G860" s="57"/>
      <c r="H860" s="58" t="str">
        <f>IFERROR(__xludf.DUMMYFUNCTION("iferror(if(A860="""", ,filter('Playoff IDR Import'!D:D,'Playoff IDR Import'!A:A=A860,'Playoff IDR Import'!C:C=C860)),)"),"")</f>
        <v/>
      </c>
      <c r="I860" s="58"/>
      <c r="J860" s="59" t="str">
        <f t="shared" si="1"/>
        <v/>
      </c>
    </row>
    <row r="861">
      <c r="A861" s="55"/>
      <c r="B861" s="60"/>
      <c r="C861" s="55"/>
      <c r="D861" s="54"/>
      <c r="E861" s="55"/>
      <c r="F861" s="62"/>
      <c r="G861" s="57"/>
      <c r="H861" s="58" t="str">
        <f>IFERROR(__xludf.DUMMYFUNCTION("iferror(if(A861="""", ,filter('Playoff IDR Import'!D:D,'Playoff IDR Import'!A:A=A861,'Playoff IDR Import'!C:C=C861)),)"),"")</f>
        <v/>
      </c>
      <c r="I861" s="58"/>
      <c r="J861" s="59" t="str">
        <f t="shared" si="1"/>
        <v/>
      </c>
    </row>
    <row r="862">
      <c r="A862" s="55"/>
      <c r="B862" s="60"/>
      <c r="C862" s="55"/>
      <c r="D862" s="54"/>
      <c r="E862" s="55"/>
      <c r="F862" s="62"/>
      <c r="G862" s="57"/>
      <c r="H862" s="58" t="str">
        <f>IFERROR(__xludf.DUMMYFUNCTION("iferror(if(A862="""", ,filter('Playoff IDR Import'!D:D,'Playoff IDR Import'!A:A=A862,'Playoff IDR Import'!C:C=C862)),)"),"")</f>
        <v/>
      </c>
      <c r="I862" s="58"/>
      <c r="J862" s="59" t="str">
        <f t="shared" si="1"/>
        <v/>
      </c>
    </row>
    <row r="863">
      <c r="A863" s="55"/>
      <c r="B863" s="60"/>
      <c r="C863" s="55"/>
      <c r="D863" s="54"/>
      <c r="E863" s="55"/>
      <c r="F863" s="62"/>
      <c r="G863" s="57"/>
      <c r="H863" s="58" t="str">
        <f>IFERROR(__xludf.DUMMYFUNCTION("iferror(if(A863="""", ,filter('Playoff IDR Import'!D:D,'Playoff IDR Import'!A:A=A863,'Playoff IDR Import'!C:C=C863)),)"),"")</f>
        <v/>
      </c>
      <c r="I863" s="58"/>
      <c r="J863" s="59" t="str">
        <f t="shared" si="1"/>
        <v/>
      </c>
    </row>
    <row r="864">
      <c r="A864" s="55"/>
      <c r="B864" s="60"/>
      <c r="C864" s="55"/>
      <c r="D864" s="54"/>
      <c r="E864" s="55"/>
      <c r="F864" s="62"/>
      <c r="G864" s="57"/>
      <c r="H864" s="58" t="str">
        <f>IFERROR(__xludf.DUMMYFUNCTION("iferror(if(A864="""", ,filter('Playoff IDR Import'!D:D,'Playoff IDR Import'!A:A=A864,'Playoff IDR Import'!C:C=C864)),)"),"")</f>
        <v/>
      </c>
      <c r="I864" s="58"/>
      <c r="J864" s="59" t="str">
        <f t="shared" si="1"/>
        <v/>
      </c>
    </row>
    <row r="865">
      <c r="A865" s="55"/>
      <c r="B865" s="60"/>
      <c r="C865" s="55"/>
      <c r="D865" s="54"/>
      <c r="E865" s="55"/>
      <c r="F865" s="62"/>
      <c r="G865" s="57"/>
      <c r="H865" s="58" t="str">
        <f>IFERROR(__xludf.DUMMYFUNCTION("iferror(if(A865="""", ,filter('Playoff IDR Import'!D:D,'Playoff IDR Import'!A:A=A865,'Playoff IDR Import'!C:C=C865)),)"),"")</f>
        <v/>
      </c>
      <c r="I865" s="58"/>
      <c r="J865" s="59" t="str">
        <f t="shared" si="1"/>
        <v/>
      </c>
    </row>
    <row r="866">
      <c r="A866" s="55"/>
      <c r="B866" s="60"/>
      <c r="C866" s="55"/>
      <c r="D866" s="54"/>
      <c r="E866" s="55"/>
      <c r="F866" s="62"/>
      <c r="G866" s="57"/>
      <c r="H866" s="58" t="str">
        <f>IFERROR(__xludf.DUMMYFUNCTION("iferror(if(A866="""", ,filter('Playoff IDR Import'!D:D,'Playoff IDR Import'!A:A=A866,'Playoff IDR Import'!C:C=C866)),)"),"")</f>
        <v/>
      </c>
      <c r="I866" s="58"/>
      <c r="J866" s="59" t="str">
        <f t="shared" si="1"/>
        <v/>
      </c>
    </row>
    <row r="867">
      <c r="A867" s="55"/>
      <c r="B867" s="60"/>
      <c r="C867" s="55"/>
      <c r="D867" s="54"/>
      <c r="E867" s="55"/>
      <c r="F867" s="62"/>
      <c r="G867" s="57"/>
      <c r="H867" s="58" t="str">
        <f>IFERROR(__xludf.DUMMYFUNCTION("iferror(if(A867="""", ,filter('Playoff IDR Import'!D:D,'Playoff IDR Import'!A:A=A867,'Playoff IDR Import'!C:C=C867)),)"),"")</f>
        <v/>
      </c>
      <c r="I867" s="58"/>
      <c r="J867" s="59" t="str">
        <f t="shared" si="1"/>
        <v/>
      </c>
    </row>
    <row r="868">
      <c r="A868" s="55"/>
      <c r="B868" s="60"/>
      <c r="C868" s="55"/>
      <c r="D868" s="54"/>
      <c r="E868" s="55"/>
      <c r="F868" s="62"/>
      <c r="G868" s="57"/>
      <c r="H868" s="58" t="str">
        <f>IFERROR(__xludf.DUMMYFUNCTION("iferror(if(A868="""", ,filter('Playoff IDR Import'!D:D,'Playoff IDR Import'!A:A=A868,'Playoff IDR Import'!C:C=C868)),)"),"")</f>
        <v/>
      </c>
      <c r="I868" s="58"/>
      <c r="J868" s="59" t="str">
        <f t="shared" si="1"/>
        <v/>
      </c>
    </row>
    <row r="869">
      <c r="A869" s="55"/>
      <c r="B869" s="60"/>
      <c r="C869" s="55"/>
      <c r="D869" s="54"/>
      <c r="E869" s="55"/>
      <c r="F869" s="62"/>
      <c r="G869" s="57"/>
      <c r="H869" s="58" t="str">
        <f>IFERROR(__xludf.DUMMYFUNCTION("iferror(if(A869="""", ,filter('Playoff IDR Import'!D:D,'Playoff IDR Import'!A:A=A869,'Playoff IDR Import'!C:C=C869)),)"),"")</f>
        <v/>
      </c>
      <c r="I869" s="58"/>
      <c r="J869" s="59" t="str">
        <f t="shared" si="1"/>
        <v/>
      </c>
    </row>
    <row r="870">
      <c r="A870" s="55"/>
      <c r="B870" s="60"/>
      <c r="C870" s="55"/>
      <c r="D870" s="54"/>
      <c r="E870" s="55"/>
      <c r="F870" s="62"/>
      <c r="G870" s="57"/>
      <c r="H870" s="58" t="str">
        <f>IFERROR(__xludf.DUMMYFUNCTION("iferror(if(A870="""", ,filter('Playoff IDR Import'!D:D,'Playoff IDR Import'!A:A=A870,'Playoff IDR Import'!C:C=C870)),)"),"")</f>
        <v/>
      </c>
      <c r="I870" s="58"/>
      <c r="J870" s="59" t="str">
        <f t="shared" si="1"/>
        <v/>
      </c>
    </row>
    <row r="871">
      <c r="A871" s="55"/>
      <c r="B871" s="60"/>
      <c r="C871" s="55"/>
      <c r="D871" s="54"/>
      <c r="E871" s="55"/>
      <c r="F871" s="62"/>
      <c r="G871" s="57"/>
      <c r="H871" s="58" t="str">
        <f>IFERROR(__xludf.DUMMYFUNCTION("iferror(if(A871="""", ,filter('Playoff IDR Import'!D:D,'Playoff IDR Import'!A:A=A871,'Playoff IDR Import'!C:C=C871)),)"),"")</f>
        <v/>
      </c>
      <c r="I871" s="58"/>
      <c r="J871" s="59" t="str">
        <f t="shared" si="1"/>
        <v/>
      </c>
    </row>
    <row r="872">
      <c r="A872" s="55"/>
      <c r="B872" s="60"/>
      <c r="C872" s="55"/>
      <c r="D872" s="54"/>
      <c r="E872" s="55"/>
      <c r="F872" s="62"/>
      <c r="G872" s="57"/>
      <c r="H872" s="58" t="str">
        <f>IFERROR(__xludf.DUMMYFUNCTION("iferror(if(A872="""", ,filter('Playoff IDR Import'!D:D,'Playoff IDR Import'!A:A=A872,'Playoff IDR Import'!C:C=C872)),)"),"")</f>
        <v/>
      </c>
      <c r="I872" s="58"/>
      <c r="J872" s="59" t="str">
        <f t="shared" si="1"/>
        <v/>
      </c>
    </row>
    <row r="873">
      <c r="A873" s="55"/>
      <c r="B873" s="60"/>
      <c r="C873" s="55"/>
      <c r="D873" s="54"/>
      <c r="E873" s="55"/>
      <c r="F873" s="62"/>
      <c r="G873" s="57"/>
      <c r="H873" s="58" t="str">
        <f>IFERROR(__xludf.DUMMYFUNCTION("iferror(if(A873="""", ,filter('Playoff IDR Import'!D:D,'Playoff IDR Import'!A:A=A873,'Playoff IDR Import'!C:C=C873)),)"),"")</f>
        <v/>
      </c>
      <c r="I873" s="58"/>
      <c r="J873" s="59" t="str">
        <f t="shared" si="1"/>
        <v/>
      </c>
    </row>
    <row r="874">
      <c r="A874" s="55"/>
      <c r="B874" s="60"/>
      <c r="C874" s="55"/>
      <c r="D874" s="54"/>
      <c r="E874" s="55"/>
      <c r="F874" s="62"/>
      <c r="G874" s="57"/>
      <c r="H874" s="58" t="str">
        <f>IFERROR(__xludf.DUMMYFUNCTION("iferror(if(A874="""", ,filter('Playoff IDR Import'!D:D,'Playoff IDR Import'!A:A=A874,'Playoff IDR Import'!C:C=C874)),)"),"")</f>
        <v/>
      </c>
      <c r="I874" s="58"/>
      <c r="J874" s="59" t="str">
        <f t="shared" si="1"/>
        <v/>
      </c>
    </row>
    <row r="875">
      <c r="A875" s="55"/>
      <c r="B875" s="60"/>
      <c r="C875" s="55"/>
      <c r="D875" s="54"/>
      <c r="E875" s="55"/>
      <c r="F875" s="62"/>
      <c r="G875" s="57"/>
      <c r="H875" s="58" t="str">
        <f>IFERROR(__xludf.DUMMYFUNCTION("iferror(if(A875="""", ,filter('Playoff IDR Import'!D:D,'Playoff IDR Import'!A:A=A875,'Playoff IDR Import'!C:C=C875)),)"),"")</f>
        <v/>
      </c>
      <c r="I875" s="58"/>
      <c r="J875" s="59" t="str">
        <f t="shared" si="1"/>
        <v/>
      </c>
    </row>
    <row r="876">
      <c r="A876" s="55"/>
      <c r="B876" s="60"/>
      <c r="C876" s="55"/>
      <c r="D876" s="54"/>
      <c r="E876" s="55"/>
      <c r="F876" s="62"/>
      <c r="G876" s="57"/>
      <c r="H876" s="58" t="str">
        <f>IFERROR(__xludf.DUMMYFUNCTION("iferror(if(A876="""", ,filter('Playoff IDR Import'!D:D,'Playoff IDR Import'!A:A=A876,'Playoff IDR Import'!C:C=C876)),)"),"")</f>
        <v/>
      </c>
      <c r="I876" s="58"/>
      <c r="J876" s="59" t="str">
        <f t="shared" si="1"/>
        <v/>
      </c>
    </row>
    <row r="877">
      <c r="A877" s="55"/>
      <c r="B877" s="60"/>
      <c r="C877" s="55"/>
      <c r="D877" s="54"/>
      <c r="E877" s="55"/>
      <c r="F877" s="62"/>
      <c r="G877" s="57"/>
      <c r="H877" s="58" t="str">
        <f>IFERROR(__xludf.DUMMYFUNCTION("iferror(if(A877="""", ,filter('Playoff IDR Import'!D:D,'Playoff IDR Import'!A:A=A877,'Playoff IDR Import'!C:C=C877)),)"),"")</f>
        <v/>
      </c>
      <c r="I877" s="58"/>
      <c r="J877" s="59" t="str">
        <f t="shared" si="1"/>
        <v/>
      </c>
    </row>
    <row r="878">
      <c r="A878" s="55"/>
      <c r="B878" s="60"/>
      <c r="C878" s="55"/>
      <c r="D878" s="54"/>
      <c r="E878" s="55"/>
      <c r="F878" s="62"/>
      <c r="G878" s="57"/>
      <c r="H878" s="58" t="str">
        <f>IFERROR(__xludf.DUMMYFUNCTION("iferror(if(A878="""", ,filter('Playoff IDR Import'!D:D,'Playoff IDR Import'!A:A=A878,'Playoff IDR Import'!C:C=C878)),)"),"")</f>
        <v/>
      </c>
      <c r="I878" s="58"/>
      <c r="J878" s="59" t="str">
        <f t="shared" si="1"/>
        <v/>
      </c>
    </row>
    <row r="879">
      <c r="A879" s="55"/>
      <c r="B879" s="60"/>
      <c r="C879" s="55"/>
      <c r="D879" s="54"/>
      <c r="E879" s="55"/>
      <c r="F879" s="62"/>
      <c r="G879" s="57"/>
      <c r="H879" s="58" t="str">
        <f>IFERROR(__xludf.DUMMYFUNCTION("iferror(if(A879="""", ,filter('Playoff IDR Import'!D:D,'Playoff IDR Import'!A:A=A879,'Playoff IDR Import'!C:C=C879)),)"),"")</f>
        <v/>
      </c>
      <c r="I879" s="58"/>
      <c r="J879" s="59" t="str">
        <f t="shared" si="1"/>
        <v/>
      </c>
    </row>
    <row r="880">
      <c r="A880" s="55"/>
      <c r="B880" s="60"/>
      <c r="C880" s="55"/>
      <c r="D880" s="54"/>
      <c r="E880" s="55"/>
      <c r="F880" s="62"/>
      <c r="G880" s="57"/>
      <c r="H880" s="58" t="str">
        <f>IFERROR(__xludf.DUMMYFUNCTION("iferror(if(A880="""", ,filter('Playoff IDR Import'!D:D,'Playoff IDR Import'!A:A=A880,'Playoff IDR Import'!C:C=C880)),)"),"")</f>
        <v/>
      </c>
      <c r="I880" s="58"/>
      <c r="J880" s="59" t="str">
        <f t="shared" si="1"/>
        <v/>
      </c>
    </row>
    <row r="881">
      <c r="A881" s="55"/>
      <c r="B881" s="60"/>
      <c r="C881" s="55"/>
      <c r="D881" s="54"/>
      <c r="E881" s="55"/>
      <c r="F881" s="62"/>
      <c r="G881" s="57"/>
      <c r="H881" s="58" t="str">
        <f>IFERROR(__xludf.DUMMYFUNCTION("iferror(if(A881="""", ,filter('Playoff IDR Import'!D:D,'Playoff IDR Import'!A:A=A881,'Playoff IDR Import'!C:C=C881)),)"),"")</f>
        <v/>
      </c>
      <c r="I881" s="58"/>
      <c r="J881" s="59" t="str">
        <f t="shared" si="1"/>
        <v/>
      </c>
    </row>
    <row r="882">
      <c r="A882" s="55"/>
      <c r="B882" s="60"/>
      <c r="C882" s="55"/>
      <c r="D882" s="54"/>
      <c r="E882" s="55"/>
      <c r="F882" s="62"/>
      <c r="G882" s="57"/>
      <c r="H882" s="58" t="str">
        <f>IFERROR(__xludf.DUMMYFUNCTION("iferror(if(A882="""", ,filter('Playoff IDR Import'!D:D,'Playoff IDR Import'!A:A=A882,'Playoff IDR Import'!C:C=C882)),)"),"")</f>
        <v/>
      </c>
      <c r="I882" s="58"/>
      <c r="J882" s="59" t="str">
        <f t="shared" si="1"/>
        <v/>
      </c>
    </row>
    <row r="883">
      <c r="A883" s="55"/>
      <c r="B883" s="60"/>
      <c r="C883" s="55"/>
      <c r="D883" s="54"/>
      <c r="E883" s="55"/>
      <c r="F883" s="62"/>
      <c r="G883" s="57"/>
      <c r="H883" s="58" t="str">
        <f>IFERROR(__xludf.DUMMYFUNCTION("iferror(if(A883="""", ,filter('Playoff IDR Import'!D:D,'Playoff IDR Import'!A:A=A883,'Playoff IDR Import'!C:C=C883)),)"),"")</f>
        <v/>
      </c>
      <c r="I883" s="58"/>
      <c r="J883" s="59" t="str">
        <f t="shared" si="1"/>
        <v/>
      </c>
    </row>
    <row r="884">
      <c r="A884" s="55"/>
      <c r="B884" s="60"/>
      <c r="C884" s="55"/>
      <c r="D884" s="54"/>
      <c r="E884" s="55"/>
      <c r="F884" s="62"/>
      <c r="G884" s="57"/>
      <c r="H884" s="58" t="str">
        <f>IFERROR(__xludf.DUMMYFUNCTION("iferror(if(A884="""", ,filter('Playoff IDR Import'!D:D,'Playoff IDR Import'!A:A=A884,'Playoff IDR Import'!C:C=C884)),)"),"")</f>
        <v/>
      </c>
      <c r="I884" s="58"/>
      <c r="J884" s="59" t="str">
        <f t="shared" si="1"/>
        <v/>
      </c>
    </row>
    <row r="885">
      <c r="A885" s="55"/>
      <c r="B885" s="60"/>
      <c r="C885" s="55"/>
      <c r="D885" s="54"/>
      <c r="E885" s="55"/>
      <c r="F885" s="62"/>
      <c r="G885" s="57"/>
      <c r="H885" s="58" t="str">
        <f>IFERROR(__xludf.DUMMYFUNCTION("iferror(if(A885="""", ,filter('Playoff IDR Import'!D:D,'Playoff IDR Import'!A:A=A885,'Playoff IDR Import'!C:C=C885)),)"),"")</f>
        <v/>
      </c>
      <c r="I885" s="58"/>
      <c r="J885" s="59" t="str">
        <f t="shared" si="1"/>
        <v/>
      </c>
    </row>
    <row r="886">
      <c r="A886" s="55"/>
      <c r="B886" s="60"/>
      <c r="C886" s="55"/>
      <c r="D886" s="54"/>
      <c r="E886" s="55"/>
      <c r="F886" s="62"/>
      <c r="G886" s="57"/>
      <c r="H886" s="58" t="str">
        <f>IFERROR(__xludf.DUMMYFUNCTION("iferror(if(A886="""", ,filter('Playoff IDR Import'!D:D,'Playoff IDR Import'!A:A=A886,'Playoff IDR Import'!C:C=C886)),)"),"")</f>
        <v/>
      </c>
      <c r="I886" s="58"/>
      <c r="J886" s="59" t="str">
        <f t="shared" si="1"/>
        <v/>
      </c>
    </row>
    <row r="887">
      <c r="A887" s="55"/>
      <c r="B887" s="60"/>
      <c r="C887" s="55"/>
      <c r="D887" s="54"/>
      <c r="E887" s="55"/>
      <c r="F887" s="62"/>
      <c r="G887" s="57"/>
      <c r="H887" s="58" t="str">
        <f>IFERROR(__xludf.DUMMYFUNCTION("iferror(if(A887="""", ,filter('Playoff IDR Import'!D:D,'Playoff IDR Import'!A:A=A887,'Playoff IDR Import'!C:C=C887)),)"),"")</f>
        <v/>
      </c>
      <c r="I887" s="58"/>
      <c r="J887" s="59" t="str">
        <f t="shared" si="1"/>
        <v/>
      </c>
    </row>
    <row r="888">
      <c r="A888" s="55"/>
      <c r="B888" s="60"/>
      <c r="C888" s="55"/>
      <c r="D888" s="54"/>
      <c r="E888" s="55"/>
      <c r="F888" s="62"/>
      <c r="G888" s="57"/>
      <c r="H888" s="58" t="str">
        <f>IFERROR(__xludf.DUMMYFUNCTION("iferror(if(A888="""", ,filter('Playoff IDR Import'!D:D,'Playoff IDR Import'!A:A=A888,'Playoff IDR Import'!C:C=C888)),)"),"")</f>
        <v/>
      </c>
      <c r="I888" s="58"/>
      <c r="J888" s="59" t="str">
        <f t="shared" si="1"/>
        <v/>
      </c>
    </row>
    <row r="889">
      <c r="A889" s="55"/>
      <c r="B889" s="60"/>
      <c r="C889" s="55"/>
      <c r="D889" s="54"/>
      <c r="E889" s="55"/>
      <c r="F889" s="62"/>
      <c r="G889" s="57"/>
      <c r="H889" s="58" t="str">
        <f>IFERROR(__xludf.DUMMYFUNCTION("iferror(if(A889="""", ,filter('Playoff IDR Import'!D:D,'Playoff IDR Import'!A:A=A889,'Playoff IDR Import'!C:C=C889)),)"),"")</f>
        <v/>
      </c>
      <c r="I889" s="58"/>
      <c r="J889" s="59" t="str">
        <f t="shared" si="1"/>
        <v/>
      </c>
    </row>
    <row r="890">
      <c r="A890" s="55"/>
      <c r="B890" s="60"/>
      <c r="C890" s="55"/>
      <c r="D890" s="54"/>
      <c r="E890" s="55"/>
      <c r="F890" s="62"/>
      <c r="G890" s="57"/>
      <c r="H890" s="58" t="str">
        <f>IFERROR(__xludf.DUMMYFUNCTION("iferror(if(A890="""", ,filter('Playoff IDR Import'!D:D,'Playoff IDR Import'!A:A=A890,'Playoff IDR Import'!C:C=C890)),)"),"")</f>
        <v/>
      </c>
      <c r="I890" s="58"/>
      <c r="J890" s="59" t="str">
        <f t="shared" si="1"/>
        <v/>
      </c>
    </row>
    <row r="891">
      <c r="A891" s="55"/>
      <c r="B891" s="60"/>
      <c r="C891" s="55"/>
      <c r="D891" s="54"/>
      <c r="E891" s="55"/>
      <c r="F891" s="62"/>
      <c r="G891" s="57"/>
      <c r="H891" s="58" t="str">
        <f>IFERROR(__xludf.DUMMYFUNCTION("iferror(if(A891="""", ,filter('Playoff IDR Import'!D:D,'Playoff IDR Import'!A:A=A891,'Playoff IDR Import'!C:C=C891)),)"),"")</f>
        <v/>
      </c>
      <c r="I891" s="58"/>
      <c r="J891" s="59" t="str">
        <f t="shared" si="1"/>
        <v/>
      </c>
    </row>
    <row r="892">
      <c r="A892" s="55"/>
      <c r="B892" s="60"/>
      <c r="C892" s="55"/>
      <c r="D892" s="54"/>
      <c r="E892" s="55"/>
      <c r="F892" s="62"/>
      <c r="G892" s="57"/>
      <c r="H892" s="58" t="str">
        <f>IFERROR(__xludf.DUMMYFUNCTION("iferror(if(A892="""", ,filter('Playoff IDR Import'!D:D,'Playoff IDR Import'!A:A=A892,'Playoff IDR Import'!C:C=C892)),)"),"")</f>
        <v/>
      </c>
      <c r="I892" s="58"/>
      <c r="J892" s="59" t="str">
        <f t="shared" si="1"/>
        <v/>
      </c>
    </row>
    <row r="893">
      <c r="A893" s="55"/>
      <c r="B893" s="60"/>
      <c r="C893" s="55"/>
      <c r="D893" s="54"/>
      <c r="E893" s="55"/>
      <c r="F893" s="62"/>
      <c r="G893" s="57"/>
      <c r="H893" s="58" t="str">
        <f>IFERROR(__xludf.DUMMYFUNCTION("iferror(if(A893="""", ,filter('Playoff IDR Import'!D:D,'Playoff IDR Import'!A:A=A893,'Playoff IDR Import'!C:C=C893)),)"),"")</f>
        <v/>
      </c>
      <c r="I893" s="58"/>
      <c r="J893" s="59" t="str">
        <f t="shared" si="1"/>
        <v/>
      </c>
    </row>
    <row r="894">
      <c r="A894" s="55"/>
      <c r="B894" s="60"/>
      <c r="C894" s="55"/>
      <c r="D894" s="54"/>
      <c r="E894" s="55"/>
      <c r="F894" s="62"/>
      <c r="G894" s="57"/>
      <c r="H894" s="58" t="str">
        <f>IFERROR(__xludf.DUMMYFUNCTION("iferror(if(A894="""", ,filter('Playoff IDR Import'!D:D,'Playoff IDR Import'!A:A=A894,'Playoff IDR Import'!C:C=C894)),)"),"")</f>
        <v/>
      </c>
      <c r="I894" s="58"/>
      <c r="J894" s="59" t="str">
        <f t="shared" si="1"/>
        <v/>
      </c>
    </row>
    <row r="895">
      <c r="A895" s="55"/>
      <c r="B895" s="60"/>
      <c r="C895" s="55"/>
      <c r="D895" s="54"/>
      <c r="E895" s="55"/>
      <c r="F895" s="62"/>
      <c r="G895" s="57"/>
      <c r="H895" s="58" t="str">
        <f>IFERROR(__xludf.DUMMYFUNCTION("iferror(if(A895="""", ,filter('Playoff IDR Import'!D:D,'Playoff IDR Import'!A:A=A895,'Playoff IDR Import'!C:C=C895)),)"),"")</f>
        <v/>
      </c>
      <c r="I895" s="58"/>
      <c r="J895" s="59" t="str">
        <f t="shared" si="1"/>
        <v/>
      </c>
    </row>
    <row r="896">
      <c r="A896" s="55"/>
      <c r="B896" s="60"/>
      <c r="C896" s="55"/>
      <c r="D896" s="54"/>
      <c r="E896" s="55"/>
      <c r="F896" s="62"/>
      <c r="G896" s="57"/>
      <c r="H896" s="58" t="str">
        <f>IFERROR(__xludf.DUMMYFUNCTION("iferror(if(A896="""", ,filter('Playoff IDR Import'!D:D,'Playoff IDR Import'!A:A=A896,'Playoff IDR Import'!C:C=C896)),)"),"")</f>
        <v/>
      </c>
      <c r="I896" s="58"/>
      <c r="J896" s="59" t="str">
        <f t="shared" si="1"/>
        <v/>
      </c>
    </row>
    <row r="897">
      <c r="A897" s="55"/>
      <c r="B897" s="60"/>
      <c r="C897" s="55"/>
      <c r="D897" s="54"/>
      <c r="E897" s="55"/>
      <c r="F897" s="62"/>
      <c r="G897" s="57"/>
      <c r="H897" s="58" t="str">
        <f>IFERROR(__xludf.DUMMYFUNCTION("iferror(if(A897="""", ,filter('Playoff IDR Import'!D:D,'Playoff IDR Import'!A:A=A897,'Playoff IDR Import'!C:C=C897)),)"),"")</f>
        <v/>
      </c>
      <c r="I897" s="58"/>
      <c r="J897" s="59" t="str">
        <f t="shared" si="1"/>
        <v/>
      </c>
    </row>
    <row r="898">
      <c r="A898" s="55"/>
      <c r="B898" s="60"/>
      <c r="C898" s="55"/>
      <c r="D898" s="54"/>
      <c r="E898" s="55"/>
      <c r="F898" s="62"/>
      <c r="G898" s="57"/>
      <c r="H898" s="58" t="str">
        <f>IFERROR(__xludf.DUMMYFUNCTION("iferror(if(A898="""", ,filter('Playoff IDR Import'!D:D,'Playoff IDR Import'!A:A=A898,'Playoff IDR Import'!C:C=C898)),)"),"")</f>
        <v/>
      </c>
      <c r="I898" s="58"/>
      <c r="J898" s="59" t="str">
        <f t="shared" si="1"/>
        <v/>
      </c>
    </row>
    <row r="899">
      <c r="A899" s="55"/>
      <c r="B899" s="60"/>
      <c r="C899" s="55"/>
      <c r="D899" s="54"/>
      <c r="E899" s="55"/>
      <c r="F899" s="62"/>
      <c r="G899" s="57"/>
      <c r="H899" s="58" t="str">
        <f>IFERROR(__xludf.DUMMYFUNCTION("iferror(if(A899="""", ,filter('Playoff IDR Import'!D:D,'Playoff IDR Import'!A:A=A899,'Playoff IDR Import'!C:C=C899)),)"),"")</f>
        <v/>
      </c>
      <c r="I899" s="58"/>
      <c r="J899" s="59" t="str">
        <f t="shared" si="1"/>
        <v/>
      </c>
    </row>
    <row r="900">
      <c r="A900" s="55"/>
      <c r="B900" s="60"/>
      <c r="C900" s="55"/>
      <c r="D900" s="54"/>
      <c r="E900" s="55"/>
      <c r="F900" s="62"/>
      <c r="G900" s="57"/>
      <c r="H900" s="58" t="str">
        <f>IFERROR(__xludf.DUMMYFUNCTION("iferror(if(A900="""", ,filter('Playoff IDR Import'!D:D,'Playoff IDR Import'!A:A=A900,'Playoff IDR Import'!C:C=C900)),)"),"")</f>
        <v/>
      </c>
      <c r="I900" s="58"/>
      <c r="J900" s="59" t="str">
        <f t="shared" si="1"/>
        <v/>
      </c>
    </row>
    <row r="901">
      <c r="A901" s="55"/>
      <c r="B901" s="60"/>
      <c r="C901" s="55"/>
      <c r="D901" s="54"/>
      <c r="E901" s="55"/>
      <c r="F901" s="62"/>
      <c r="G901" s="57"/>
      <c r="H901" s="58" t="str">
        <f>IFERROR(__xludf.DUMMYFUNCTION("iferror(if(A901="""", ,filter('Playoff IDR Import'!D:D,'Playoff IDR Import'!A:A=A901,'Playoff IDR Import'!C:C=C901)),)"),"")</f>
        <v/>
      </c>
      <c r="I901" s="58"/>
      <c r="J901" s="59" t="str">
        <f t="shared" si="1"/>
        <v/>
      </c>
    </row>
    <row r="902">
      <c r="A902" s="55"/>
      <c r="B902" s="60"/>
      <c r="C902" s="55"/>
      <c r="D902" s="54"/>
      <c r="E902" s="55"/>
      <c r="F902" s="62"/>
      <c r="G902" s="57"/>
      <c r="H902" s="58" t="str">
        <f>IFERROR(__xludf.DUMMYFUNCTION("iferror(if(A902="""", ,filter('Playoff IDR Import'!D:D,'Playoff IDR Import'!A:A=A902,'Playoff IDR Import'!C:C=C902)),)"),"")</f>
        <v/>
      </c>
      <c r="I902" s="58"/>
      <c r="J902" s="59" t="str">
        <f t="shared" si="1"/>
        <v/>
      </c>
    </row>
    <row r="903">
      <c r="A903" s="55"/>
      <c r="B903" s="60"/>
      <c r="C903" s="55"/>
      <c r="D903" s="54"/>
      <c r="E903" s="55"/>
      <c r="F903" s="62"/>
      <c r="G903" s="57"/>
      <c r="H903" s="58" t="str">
        <f>IFERROR(__xludf.DUMMYFUNCTION("iferror(if(A903="""", ,filter('Playoff IDR Import'!D:D,'Playoff IDR Import'!A:A=A903,'Playoff IDR Import'!C:C=C903)),)"),"")</f>
        <v/>
      </c>
      <c r="I903" s="58"/>
      <c r="J903" s="59" t="str">
        <f t="shared" si="1"/>
        <v/>
      </c>
    </row>
    <row r="904">
      <c r="A904" s="55"/>
      <c r="B904" s="60"/>
      <c r="C904" s="55"/>
      <c r="D904" s="54"/>
      <c r="E904" s="55"/>
      <c r="F904" s="62"/>
      <c r="G904" s="57"/>
      <c r="H904" s="58" t="str">
        <f>IFERROR(__xludf.DUMMYFUNCTION("iferror(if(A904="""", ,filter('Playoff IDR Import'!D:D,'Playoff IDR Import'!A:A=A904,'Playoff IDR Import'!C:C=C904)),)"),"")</f>
        <v/>
      </c>
      <c r="I904" s="58"/>
      <c r="J904" s="59" t="str">
        <f t="shared" si="1"/>
        <v/>
      </c>
    </row>
    <row r="905">
      <c r="A905" s="55"/>
      <c r="B905" s="60"/>
      <c r="C905" s="55"/>
      <c r="D905" s="54"/>
      <c r="E905" s="55"/>
      <c r="F905" s="62"/>
      <c r="G905" s="57"/>
      <c r="H905" s="58" t="str">
        <f>IFERROR(__xludf.DUMMYFUNCTION("iferror(if(A905="""", ,filter('Playoff IDR Import'!D:D,'Playoff IDR Import'!A:A=A905,'Playoff IDR Import'!C:C=C905)),)"),"")</f>
        <v/>
      </c>
      <c r="I905" s="58"/>
      <c r="J905" s="59" t="str">
        <f t="shared" si="1"/>
        <v/>
      </c>
    </row>
    <row r="906">
      <c r="A906" s="55"/>
      <c r="B906" s="60"/>
      <c r="C906" s="55"/>
      <c r="D906" s="54"/>
      <c r="E906" s="55"/>
      <c r="F906" s="62"/>
      <c r="G906" s="57"/>
      <c r="H906" s="58" t="str">
        <f>IFERROR(__xludf.DUMMYFUNCTION("iferror(if(A906="""", ,filter('Playoff IDR Import'!D:D,'Playoff IDR Import'!A:A=A906,'Playoff IDR Import'!C:C=C906)),)"),"")</f>
        <v/>
      </c>
      <c r="I906" s="58"/>
      <c r="J906" s="59" t="str">
        <f t="shared" si="1"/>
        <v/>
      </c>
    </row>
    <row r="907">
      <c r="A907" s="55"/>
      <c r="B907" s="60"/>
      <c r="C907" s="55"/>
      <c r="D907" s="54"/>
      <c r="E907" s="55"/>
      <c r="F907" s="62"/>
      <c r="G907" s="57"/>
      <c r="H907" s="58" t="str">
        <f>IFERROR(__xludf.DUMMYFUNCTION("iferror(if(A907="""", ,filter('Playoff IDR Import'!D:D,'Playoff IDR Import'!A:A=A907,'Playoff IDR Import'!C:C=C907)),)"),"")</f>
        <v/>
      </c>
      <c r="I907" s="58"/>
      <c r="J907" s="59" t="str">
        <f t="shared" si="1"/>
        <v/>
      </c>
    </row>
    <row r="908">
      <c r="A908" s="55"/>
      <c r="B908" s="60"/>
      <c r="C908" s="55"/>
      <c r="D908" s="54"/>
      <c r="E908" s="55"/>
      <c r="F908" s="62"/>
      <c r="G908" s="57"/>
      <c r="H908" s="58" t="str">
        <f>IFERROR(__xludf.DUMMYFUNCTION("iferror(if(A908="""", ,filter('Playoff IDR Import'!D:D,'Playoff IDR Import'!A:A=A908,'Playoff IDR Import'!C:C=C908)),)"),"")</f>
        <v/>
      </c>
      <c r="I908" s="58"/>
      <c r="J908" s="59" t="str">
        <f t="shared" si="1"/>
        <v/>
      </c>
    </row>
    <row r="909">
      <c r="A909" s="55"/>
      <c r="B909" s="60"/>
      <c r="C909" s="55"/>
      <c r="D909" s="54"/>
      <c r="E909" s="55"/>
      <c r="F909" s="62"/>
      <c r="G909" s="57"/>
      <c r="H909" s="58" t="str">
        <f>IFERROR(__xludf.DUMMYFUNCTION("iferror(if(A909="""", ,filter('Playoff IDR Import'!D:D,'Playoff IDR Import'!A:A=A909,'Playoff IDR Import'!C:C=C909)),)"),"")</f>
        <v/>
      </c>
      <c r="I909" s="58"/>
      <c r="J909" s="59" t="str">
        <f t="shared" si="1"/>
        <v/>
      </c>
    </row>
    <row r="910">
      <c r="A910" s="55"/>
      <c r="B910" s="60"/>
      <c r="C910" s="55"/>
      <c r="D910" s="54"/>
      <c r="E910" s="55"/>
      <c r="F910" s="62"/>
      <c r="G910" s="57"/>
      <c r="H910" s="58" t="str">
        <f>IFERROR(__xludf.DUMMYFUNCTION("iferror(if(A910="""", ,filter('Playoff IDR Import'!D:D,'Playoff IDR Import'!A:A=A910,'Playoff IDR Import'!C:C=C910)),)"),"")</f>
        <v/>
      </c>
      <c r="I910" s="58"/>
      <c r="J910" s="59" t="str">
        <f t="shared" si="1"/>
        <v/>
      </c>
    </row>
    <row r="911">
      <c r="A911" s="55"/>
      <c r="B911" s="60"/>
      <c r="C911" s="55"/>
      <c r="D911" s="54"/>
      <c r="E911" s="55"/>
      <c r="F911" s="62"/>
      <c r="G911" s="57"/>
      <c r="H911" s="58" t="str">
        <f>IFERROR(__xludf.DUMMYFUNCTION("iferror(if(A911="""", ,filter('Playoff IDR Import'!D:D,'Playoff IDR Import'!A:A=A911,'Playoff IDR Import'!C:C=C911)),)"),"")</f>
        <v/>
      </c>
      <c r="I911" s="58"/>
      <c r="J911" s="59" t="str">
        <f t="shared" si="1"/>
        <v/>
      </c>
    </row>
    <row r="912">
      <c r="A912" s="55"/>
      <c r="B912" s="60"/>
      <c r="C912" s="55"/>
      <c r="D912" s="54"/>
      <c r="E912" s="55"/>
      <c r="F912" s="62"/>
      <c r="G912" s="57"/>
      <c r="H912" s="58" t="str">
        <f>IFERROR(__xludf.DUMMYFUNCTION("iferror(if(A912="""", ,filter('Playoff IDR Import'!D:D,'Playoff IDR Import'!A:A=A912,'Playoff IDR Import'!C:C=C912)),)"),"")</f>
        <v/>
      </c>
      <c r="I912" s="58"/>
      <c r="J912" s="59" t="str">
        <f t="shared" si="1"/>
        <v/>
      </c>
    </row>
    <row r="913">
      <c r="A913" s="55"/>
      <c r="B913" s="60"/>
      <c r="C913" s="55"/>
      <c r="D913" s="54"/>
      <c r="E913" s="55"/>
      <c r="F913" s="62"/>
      <c r="G913" s="57"/>
      <c r="H913" s="58" t="str">
        <f>IFERROR(__xludf.DUMMYFUNCTION("iferror(if(A913="""", ,filter('Playoff IDR Import'!D:D,'Playoff IDR Import'!A:A=A913,'Playoff IDR Import'!C:C=C913)),)"),"")</f>
        <v/>
      </c>
      <c r="I913" s="58"/>
      <c r="J913" s="59" t="str">
        <f t="shared" si="1"/>
        <v/>
      </c>
    </row>
    <row r="914">
      <c r="A914" s="55"/>
      <c r="B914" s="60"/>
      <c r="C914" s="55"/>
      <c r="D914" s="54"/>
      <c r="E914" s="55"/>
      <c r="F914" s="62"/>
      <c r="G914" s="57"/>
      <c r="H914" s="58" t="str">
        <f>IFERROR(__xludf.DUMMYFUNCTION("iferror(if(A914="""", ,filter('Playoff IDR Import'!D:D,'Playoff IDR Import'!A:A=A914,'Playoff IDR Import'!C:C=C914)),)"),"")</f>
        <v/>
      </c>
      <c r="I914" s="58"/>
      <c r="J914" s="59" t="str">
        <f t="shared" si="1"/>
        <v/>
      </c>
    </row>
    <row r="915">
      <c r="A915" s="55"/>
      <c r="B915" s="60"/>
      <c r="C915" s="55"/>
      <c r="D915" s="54"/>
      <c r="E915" s="55"/>
      <c r="F915" s="62"/>
      <c r="G915" s="57"/>
      <c r="H915" s="58" t="str">
        <f>IFERROR(__xludf.DUMMYFUNCTION("iferror(if(A915="""", ,filter('Playoff IDR Import'!D:D,'Playoff IDR Import'!A:A=A915,'Playoff IDR Import'!C:C=C915)),)"),"")</f>
        <v/>
      </c>
      <c r="I915" s="58"/>
      <c r="J915" s="59" t="str">
        <f t="shared" si="1"/>
        <v/>
      </c>
    </row>
    <row r="916">
      <c r="A916" s="55"/>
      <c r="B916" s="60"/>
      <c r="C916" s="55"/>
      <c r="D916" s="54"/>
      <c r="E916" s="55"/>
      <c r="F916" s="62"/>
      <c r="G916" s="57"/>
      <c r="H916" s="58" t="str">
        <f>IFERROR(__xludf.DUMMYFUNCTION("iferror(if(A916="""", ,filter('Playoff IDR Import'!D:D,'Playoff IDR Import'!A:A=A916,'Playoff IDR Import'!C:C=C916)),)"),"")</f>
        <v/>
      </c>
      <c r="I916" s="58"/>
      <c r="J916" s="59" t="str">
        <f t="shared" si="1"/>
        <v/>
      </c>
    </row>
    <row r="917">
      <c r="A917" s="55"/>
      <c r="B917" s="60"/>
      <c r="C917" s="55"/>
      <c r="D917" s="54"/>
      <c r="E917" s="55"/>
      <c r="F917" s="62"/>
      <c r="G917" s="57"/>
      <c r="H917" s="58" t="str">
        <f>IFERROR(__xludf.DUMMYFUNCTION("iferror(if(A917="""", ,filter('Playoff IDR Import'!D:D,'Playoff IDR Import'!A:A=A917,'Playoff IDR Import'!C:C=C917)),)"),"")</f>
        <v/>
      </c>
      <c r="I917" s="58"/>
      <c r="J917" s="59" t="str">
        <f t="shared" si="1"/>
        <v/>
      </c>
    </row>
    <row r="918">
      <c r="A918" s="55"/>
      <c r="B918" s="60"/>
      <c r="C918" s="55"/>
      <c r="D918" s="54"/>
      <c r="E918" s="55"/>
      <c r="F918" s="62"/>
      <c r="G918" s="57"/>
      <c r="H918" s="58" t="str">
        <f>IFERROR(__xludf.DUMMYFUNCTION("iferror(if(A918="""", ,filter('Playoff IDR Import'!D:D,'Playoff IDR Import'!A:A=A918,'Playoff IDR Import'!C:C=C918)),)"),"")</f>
        <v/>
      </c>
      <c r="I918" s="58"/>
      <c r="J918" s="59" t="str">
        <f t="shared" si="1"/>
        <v/>
      </c>
    </row>
    <row r="919">
      <c r="A919" s="55"/>
      <c r="B919" s="60"/>
      <c r="C919" s="55"/>
      <c r="D919" s="54"/>
      <c r="E919" s="55"/>
      <c r="F919" s="62"/>
      <c r="G919" s="57"/>
      <c r="H919" s="58" t="str">
        <f>IFERROR(__xludf.DUMMYFUNCTION("iferror(if(A919="""", ,filter('Playoff IDR Import'!D:D,'Playoff IDR Import'!A:A=A919,'Playoff IDR Import'!C:C=C919)),)"),"")</f>
        <v/>
      </c>
      <c r="I919" s="58"/>
      <c r="J919" s="59" t="str">
        <f t="shared" si="1"/>
        <v/>
      </c>
    </row>
    <row r="920">
      <c r="A920" s="55"/>
      <c r="B920" s="60"/>
      <c r="C920" s="55"/>
      <c r="D920" s="54"/>
      <c r="E920" s="55"/>
      <c r="F920" s="62"/>
      <c r="G920" s="57"/>
      <c r="H920" s="58" t="str">
        <f>IFERROR(__xludf.DUMMYFUNCTION("iferror(if(A920="""", ,filter('Playoff IDR Import'!D:D,'Playoff IDR Import'!A:A=A920,'Playoff IDR Import'!C:C=C920)),)"),"")</f>
        <v/>
      </c>
      <c r="I920" s="58"/>
      <c r="J920" s="59" t="str">
        <f t="shared" si="1"/>
        <v/>
      </c>
    </row>
    <row r="921">
      <c r="A921" s="55"/>
      <c r="B921" s="60"/>
      <c r="C921" s="55"/>
      <c r="D921" s="54"/>
      <c r="E921" s="55"/>
      <c r="F921" s="62"/>
      <c r="G921" s="57"/>
      <c r="H921" s="58" t="str">
        <f>IFERROR(__xludf.DUMMYFUNCTION("iferror(if(A921="""", ,filter('Playoff IDR Import'!D:D,'Playoff IDR Import'!A:A=A921,'Playoff IDR Import'!C:C=C921)),)"),"")</f>
        <v/>
      </c>
      <c r="I921" s="58"/>
      <c r="J921" s="59" t="str">
        <f t="shared" si="1"/>
        <v/>
      </c>
    </row>
    <row r="922">
      <c r="A922" s="55"/>
      <c r="B922" s="60"/>
      <c r="C922" s="55"/>
      <c r="D922" s="54"/>
      <c r="E922" s="55"/>
      <c r="F922" s="62"/>
      <c r="G922" s="57"/>
      <c r="H922" s="58" t="str">
        <f>IFERROR(__xludf.DUMMYFUNCTION("iferror(if(A922="""", ,filter('Playoff IDR Import'!D:D,'Playoff IDR Import'!A:A=A922,'Playoff IDR Import'!C:C=C922)),)"),"")</f>
        <v/>
      </c>
      <c r="I922" s="58"/>
      <c r="J922" s="59" t="str">
        <f t="shared" si="1"/>
        <v/>
      </c>
    </row>
    <row r="923">
      <c r="A923" s="55"/>
      <c r="B923" s="60"/>
      <c r="C923" s="55"/>
      <c r="D923" s="54"/>
      <c r="E923" s="55"/>
      <c r="F923" s="62"/>
      <c r="G923" s="57"/>
      <c r="H923" s="58" t="str">
        <f>IFERROR(__xludf.DUMMYFUNCTION("iferror(if(A923="""", ,filter('Playoff IDR Import'!D:D,'Playoff IDR Import'!A:A=A923,'Playoff IDR Import'!C:C=C923)),)"),"")</f>
        <v/>
      </c>
      <c r="I923" s="58"/>
      <c r="J923" s="59" t="str">
        <f t="shared" si="1"/>
        <v/>
      </c>
    </row>
    <row r="924">
      <c r="A924" s="55"/>
      <c r="B924" s="60"/>
      <c r="C924" s="55"/>
      <c r="D924" s="54"/>
      <c r="E924" s="55"/>
      <c r="F924" s="62"/>
      <c r="G924" s="57"/>
      <c r="H924" s="58" t="str">
        <f>IFERROR(__xludf.DUMMYFUNCTION("iferror(if(A924="""", ,filter('Playoff IDR Import'!D:D,'Playoff IDR Import'!A:A=A924,'Playoff IDR Import'!C:C=C924)),)"),"")</f>
        <v/>
      </c>
      <c r="I924" s="58"/>
      <c r="J924" s="59" t="str">
        <f t="shared" si="1"/>
        <v/>
      </c>
    </row>
    <row r="925">
      <c r="A925" s="55"/>
      <c r="B925" s="60"/>
      <c r="C925" s="55"/>
      <c r="D925" s="54"/>
      <c r="E925" s="55"/>
      <c r="F925" s="62"/>
      <c r="G925" s="57"/>
      <c r="H925" s="58" t="str">
        <f>IFERROR(__xludf.DUMMYFUNCTION("iferror(if(A925="""", ,filter('Playoff IDR Import'!D:D,'Playoff IDR Import'!A:A=A925,'Playoff IDR Import'!C:C=C925)),)"),"")</f>
        <v/>
      </c>
      <c r="I925" s="58"/>
      <c r="J925" s="59" t="str">
        <f t="shared" si="1"/>
        <v/>
      </c>
    </row>
    <row r="926">
      <c r="A926" s="55"/>
      <c r="B926" s="60"/>
      <c r="C926" s="55"/>
      <c r="D926" s="54"/>
      <c r="E926" s="55"/>
      <c r="F926" s="62"/>
      <c r="G926" s="57"/>
      <c r="H926" s="58" t="str">
        <f>IFERROR(__xludf.DUMMYFUNCTION("iferror(if(A926="""", ,filter('Playoff IDR Import'!D:D,'Playoff IDR Import'!A:A=A926,'Playoff IDR Import'!C:C=C926)),)"),"")</f>
        <v/>
      </c>
      <c r="I926" s="58"/>
      <c r="J926" s="59" t="str">
        <f t="shared" si="1"/>
        <v/>
      </c>
    </row>
    <row r="927">
      <c r="A927" s="55"/>
      <c r="B927" s="60"/>
      <c r="C927" s="55"/>
      <c r="D927" s="54"/>
      <c r="E927" s="55"/>
      <c r="F927" s="62"/>
      <c r="G927" s="57"/>
      <c r="H927" s="58" t="str">
        <f>IFERROR(__xludf.DUMMYFUNCTION("iferror(if(A927="""", ,filter('Playoff IDR Import'!D:D,'Playoff IDR Import'!A:A=A927,'Playoff IDR Import'!C:C=C927)),)"),"")</f>
        <v/>
      </c>
      <c r="I927" s="58"/>
      <c r="J927" s="59" t="str">
        <f t="shared" si="1"/>
        <v/>
      </c>
    </row>
    <row r="928">
      <c r="A928" s="55"/>
      <c r="B928" s="60"/>
      <c r="C928" s="55"/>
      <c r="D928" s="54"/>
      <c r="E928" s="55"/>
      <c r="F928" s="62"/>
      <c r="G928" s="57"/>
      <c r="H928" s="58" t="str">
        <f>IFERROR(__xludf.DUMMYFUNCTION("iferror(if(A928="""", ,filter('Playoff IDR Import'!D:D,'Playoff IDR Import'!A:A=A928,'Playoff IDR Import'!C:C=C928)),)"),"")</f>
        <v/>
      </c>
      <c r="I928" s="58"/>
      <c r="J928" s="59" t="str">
        <f t="shared" si="1"/>
        <v/>
      </c>
    </row>
    <row r="929">
      <c r="A929" s="55"/>
      <c r="B929" s="60"/>
      <c r="C929" s="55"/>
      <c r="D929" s="54"/>
      <c r="E929" s="55"/>
      <c r="F929" s="62"/>
      <c r="G929" s="57"/>
      <c r="H929" s="58" t="str">
        <f>IFERROR(__xludf.DUMMYFUNCTION("iferror(if(A929="""", ,filter('Playoff IDR Import'!D:D,'Playoff IDR Import'!A:A=A929,'Playoff IDR Import'!C:C=C929)),)"),"")</f>
        <v/>
      </c>
      <c r="I929" s="58"/>
      <c r="J929" s="59" t="str">
        <f t="shared" si="1"/>
        <v/>
      </c>
    </row>
    <row r="930">
      <c r="A930" s="55"/>
      <c r="B930" s="60"/>
      <c r="C930" s="55"/>
      <c r="D930" s="54"/>
      <c r="E930" s="55"/>
      <c r="F930" s="62"/>
      <c r="G930" s="57"/>
      <c r="H930" s="58" t="str">
        <f>IFERROR(__xludf.DUMMYFUNCTION("iferror(if(A930="""", ,filter('Playoff IDR Import'!D:D,'Playoff IDR Import'!A:A=A930,'Playoff IDR Import'!C:C=C930)),)"),"")</f>
        <v/>
      </c>
      <c r="I930" s="58"/>
      <c r="J930" s="59" t="str">
        <f t="shared" si="1"/>
        <v/>
      </c>
    </row>
    <row r="931">
      <c r="A931" s="55"/>
      <c r="B931" s="60"/>
      <c r="C931" s="55"/>
      <c r="D931" s="54"/>
      <c r="E931" s="55"/>
      <c r="F931" s="62"/>
      <c r="G931" s="57"/>
      <c r="H931" s="58" t="str">
        <f>IFERROR(__xludf.DUMMYFUNCTION("iferror(if(A931="""", ,filter('Playoff IDR Import'!D:D,'Playoff IDR Import'!A:A=A931,'Playoff IDR Import'!C:C=C931)),)"),"")</f>
        <v/>
      </c>
      <c r="I931" s="58"/>
      <c r="J931" s="59" t="str">
        <f t="shared" si="1"/>
        <v/>
      </c>
    </row>
    <row r="932">
      <c r="A932" s="55"/>
      <c r="B932" s="60"/>
      <c r="C932" s="55"/>
      <c r="D932" s="54"/>
      <c r="E932" s="55"/>
      <c r="F932" s="62"/>
      <c r="G932" s="57"/>
      <c r="H932" s="58" t="str">
        <f>IFERROR(__xludf.DUMMYFUNCTION("iferror(if(A932="""", ,filter('Playoff IDR Import'!D:D,'Playoff IDR Import'!A:A=A932,'Playoff IDR Import'!C:C=C932)),)"),"")</f>
        <v/>
      </c>
      <c r="I932" s="58"/>
      <c r="J932" s="59" t="str">
        <f t="shared" si="1"/>
        <v/>
      </c>
    </row>
    <row r="933">
      <c r="A933" s="55"/>
      <c r="B933" s="60"/>
      <c r="C933" s="55"/>
      <c r="D933" s="54"/>
      <c r="E933" s="55"/>
      <c r="F933" s="62"/>
      <c r="G933" s="57"/>
      <c r="H933" s="58" t="str">
        <f>IFERROR(__xludf.DUMMYFUNCTION("iferror(if(A933="""", ,filter('Playoff IDR Import'!D:D,'Playoff IDR Import'!A:A=A933,'Playoff IDR Import'!C:C=C933)),)"),"")</f>
        <v/>
      </c>
      <c r="I933" s="58"/>
      <c r="J933" s="59" t="str">
        <f t="shared" si="1"/>
        <v/>
      </c>
    </row>
    <row r="934">
      <c r="A934" s="55"/>
      <c r="B934" s="60"/>
      <c r="C934" s="55"/>
      <c r="D934" s="54"/>
      <c r="E934" s="55"/>
      <c r="F934" s="62"/>
      <c r="G934" s="57"/>
      <c r="H934" s="58" t="str">
        <f>IFERROR(__xludf.DUMMYFUNCTION("iferror(if(A934="""", ,filter('Playoff IDR Import'!D:D,'Playoff IDR Import'!A:A=A934,'Playoff IDR Import'!C:C=C934)),)"),"")</f>
        <v/>
      </c>
      <c r="I934" s="58"/>
      <c r="J934" s="59" t="str">
        <f t="shared" si="1"/>
        <v/>
      </c>
    </row>
    <row r="935">
      <c r="A935" s="55"/>
      <c r="B935" s="60"/>
      <c r="C935" s="55"/>
      <c r="D935" s="54"/>
      <c r="E935" s="55"/>
      <c r="F935" s="62"/>
      <c r="G935" s="57"/>
      <c r="H935" s="58" t="str">
        <f>IFERROR(__xludf.DUMMYFUNCTION("iferror(if(A935="""", ,filter('Playoff IDR Import'!D:D,'Playoff IDR Import'!A:A=A935,'Playoff IDR Import'!C:C=C935)),)"),"")</f>
        <v/>
      </c>
      <c r="I935" s="58"/>
      <c r="J935" s="59" t="str">
        <f t="shared" si="1"/>
        <v/>
      </c>
    </row>
    <row r="936">
      <c r="A936" s="55"/>
      <c r="B936" s="60"/>
      <c r="C936" s="55"/>
      <c r="D936" s="54"/>
      <c r="E936" s="55"/>
      <c r="F936" s="62"/>
      <c r="G936" s="57"/>
      <c r="H936" s="58" t="str">
        <f>IFERROR(__xludf.DUMMYFUNCTION("iferror(if(A936="""", ,filter('Playoff IDR Import'!D:D,'Playoff IDR Import'!A:A=A936,'Playoff IDR Import'!C:C=C936)),)"),"")</f>
        <v/>
      </c>
      <c r="I936" s="58"/>
      <c r="J936" s="59" t="str">
        <f t="shared" si="1"/>
        <v/>
      </c>
    </row>
    <row r="937">
      <c r="A937" s="55"/>
      <c r="B937" s="60"/>
      <c r="C937" s="55"/>
      <c r="D937" s="54"/>
      <c r="E937" s="55"/>
      <c r="F937" s="62"/>
      <c r="G937" s="57"/>
      <c r="H937" s="58" t="str">
        <f>IFERROR(__xludf.DUMMYFUNCTION("iferror(if(A937="""", ,filter('Playoff IDR Import'!D:D,'Playoff IDR Import'!A:A=A937,'Playoff IDR Import'!C:C=C937)),)"),"")</f>
        <v/>
      </c>
      <c r="I937" s="58"/>
      <c r="J937" s="59" t="str">
        <f t="shared" si="1"/>
        <v/>
      </c>
    </row>
    <row r="938">
      <c r="A938" s="55"/>
      <c r="B938" s="60"/>
      <c r="C938" s="55"/>
      <c r="D938" s="54"/>
      <c r="E938" s="55"/>
      <c r="F938" s="62"/>
      <c r="G938" s="57"/>
      <c r="H938" s="58" t="str">
        <f>IFERROR(__xludf.DUMMYFUNCTION("iferror(if(A938="""", ,filter('Playoff IDR Import'!D:D,'Playoff IDR Import'!A:A=A938,'Playoff IDR Import'!C:C=C938)),)"),"")</f>
        <v/>
      </c>
      <c r="I938" s="58"/>
      <c r="J938" s="59" t="str">
        <f t="shared" si="1"/>
        <v/>
      </c>
    </row>
    <row r="939">
      <c r="A939" s="55"/>
      <c r="B939" s="60"/>
      <c r="C939" s="55"/>
      <c r="D939" s="54"/>
      <c r="E939" s="55"/>
      <c r="F939" s="62"/>
      <c r="G939" s="57"/>
      <c r="H939" s="58" t="str">
        <f>IFERROR(__xludf.DUMMYFUNCTION("iferror(if(A939="""", ,filter('Playoff IDR Import'!D:D,'Playoff IDR Import'!A:A=A939,'Playoff IDR Import'!C:C=C939)),)"),"")</f>
        <v/>
      </c>
      <c r="I939" s="58"/>
      <c r="J939" s="59" t="str">
        <f t="shared" si="1"/>
        <v/>
      </c>
    </row>
    <row r="940">
      <c r="A940" s="55"/>
      <c r="B940" s="60"/>
      <c r="C940" s="55"/>
      <c r="D940" s="54"/>
      <c r="E940" s="55"/>
      <c r="F940" s="62"/>
      <c r="G940" s="57"/>
      <c r="H940" s="58" t="str">
        <f>IFERROR(__xludf.DUMMYFUNCTION("iferror(if(A940="""", ,filter('Playoff IDR Import'!D:D,'Playoff IDR Import'!A:A=A940,'Playoff IDR Import'!C:C=C940)),)"),"")</f>
        <v/>
      </c>
      <c r="I940" s="58"/>
      <c r="J940" s="59" t="str">
        <f t="shared" si="1"/>
        <v/>
      </c>
    </row>
    <row r="941">
      <c r="A941" s="55"/>
      <c r="B941" s="60"/>
      <c r="C941" s="55"/>
      <c r="D941" s="54"/>
      <c r="E941" s="55"/>
      <c r="F941" s="62"/>
      <c r="G941" s="57"/>
      <c r="H941" s="58" t="str">
        <f>IFERROR(__xludf.DUMMYFUNCTION("iferror(if(A941="""", ,filter('Playoff IDR Import'!D:D,'Playoff IDR Import'!A:A=A941,'Playoff IDR Import'!C:C=C941)),)"),"")</f>
        <v/>
      </c>
      <c r="I941" s="58"/>
      <c r="J941" s="59" t="str">
        <f t="shared" si="1"/>
        <v/>
      </c>
    </row>
    <row r="942">
      <c r="A942" s="55"/>
      <c r="B942" s="60"/>
      <c r="C942" s="55"/>
      <c r="D942" s="54"/>
      <c r="E942" s="55"/>
      <c r="F942" s="62"/>
      <c r="G942" s="57"/>
      <c r="H942" s="58" t="str">
        <f>IFERROR(__xludf.DUMMYFUNCTION("iferror(if(A942="""", ,filter('Playoff IDR Import'!D:D,'Playoff IDR Import'!A:A=A942,'Playoff IDR Import'!C:C=C942)),)"),"")</f>
        <v/>
      </c>
      <c r="I942" s="58"/>
      <c r="J942" s="59" t="str">
        <f t="shared" si="1"/>
        <v/>
      </c>
    </row>
    <row r="943">
      <c r="A943" s="55"/>
      <c r="B943" s="60"/>
      <c r="C943" s="55"/>
      <c r="D943" s="54"/>
      <c r="E943" s="55"/>
      <c r="F943" s="62"/>
      <c r="G943" s="57"/>
      <c r="H943" s="58" t="str">
        <f>IFERROR(__xludf.DUMMYFUNCTION("iferror(if(A943="""", ,filter('Playoff IDR Import'!D:D,'Playoff IDR Import'!A:A=A943,'Playoff IDR Import'!C:C=C943)),)"),"")</f>
        <v/>
      </c>
      <c r="I943" s="58"/>
      <c r="J943" s="59" t="str">
        <f t="shared" si="1"/>
        <v/>
      </c>
    </row>
    <row r="944">
      <c r="A944" s="55"/>
      <c r="B944" s="60"/>
      <c r="C944" s="61"/>
      <c r="D944" s="54"/>
      <c r="E944" s="55"/>
      <c r="F944" s="62"/>
      <c r="G944" s="57"/>
      <c r="H944" s="58" t="str">
        <f>IFERROR(__xludf.DUMMYFUNCTION("iferror(if(A944="""", ,filter('Playoff IDR Import'!D:D,'Playoff IDR Import'!A:A=A944,'Playoff IDR Import'!C:C=C944)),)"),"")</f>
        <v/>
      </c>
      <c r="I944" s="58"/>
      <c r="J944" s="59" t="str">
        <f t="shared" si="1"/>
        <v/>
      </c>
    </row>
    <row r="945">
      <c r="A945" s="55"/>
      <c r="B945" s="60"/>
      <c r="C945" s="55"/>
      <c r="D945" s="54"/>
      <c r="E945" s="55"/>
      <c r="F945" s="62"/>
      <c r="G945" s="57"/>
      <c r="H945" s="58" t="str">
        <f>IFERROR(__xludf.DUMMYFUNCTION("iferror(if(A945="""", ,filter('Playoff IDR Import'!D:D,'Playoff IDR Import'!A:A=A945,'Playoff IDR Import'!C:C=C945)),)"),"")</f>
        <v/>
      </c>
      <c r="I945" s="58"/>
      <c r="J945" s="59" t="str">
        <f t="shared" si="1"/>
        <v/>
      </c>
    </row>
    <row r="946">
      <c r="A946" s="55"/>
      <c r="B946" s="60"/>
      <c r="C946" s="55"/>
      <c r="D946" s="54"/>
      <c r="E946" s="55"/>
      <c r="F946" s="62"/>
      <c r="G946" s="57"/>
      <c r="H946" s="58" t="str">
        <f>IFERROR(__xludf.DUMMYFUNCTION("iferror(if(A946="""", ,filter('Playoff IDR Import'!D:D,'Playoff IDR Import'!A:A=A946,'Playoff IDR Import'!C:C=C946)),)"),"")</f>
        <v/>
      </c>
      <c r="I946" s="58"/>
      <c r="J946" s="59" t="str">
        <f t="shared" si="1"/>
        <v/>
      </c>
    </row>
    <row r="947">
      <c r="A947" s="55"/>
      <c r="B947" s="60"/>
      <c r="C947" s="55"/>
      <c r="D947" s="54"/>
      <c r="E947" s="55"/>
      <c r="F947" s="62"/>
      <c r="G947" s="57"/>
      <c r="H947" s="58" t="str">
        <f>IFERROR(__xludf.DUMMYFUNCTION("iferror(if(A947="""", ,filter('Playoff IDR Import'!D:D,'Playoff IDR Import'!A:A=A947,'Playoff IDR Import'!C:C=C947)),)"),"")</f>
        <v/>
      </c>
      <c r="I947" s="58"/>
      <c r="J947" s="59" t="str">
        <f t="shared" si="1"/>
        <v/>
      </c>
    </row>
    <row r="948">
      <c r="A948" s="55"/>
      <c r="B948" s="60"/>
      <c r="C948" s="55"/>
      <c r="D948" s="54"/>
      <c r="E948" s="55"/>
      <c r="F948" s="62"/>
      <c r="G948" s="57"/>
      <c r="H948" s="58" t="str">
        <f>IFERROR(__xludf.DUMMYFUNCTION("iferror(if(A948="""", ,filter('Playoff IDR Import'!D:D,'Playoff IDR Import'!A:A=A948,'Playoff IDR Import'!C:C=C948)),)"),"")</f>
        <v/>
      </c>
      <c r="I948" s="58"/>
      <c r="J948" s="59" t="str">
        <f t="shared" si="1"/>
        <v/>
      </c>
    </row>
    <row r="949">
      <c r="A949" s="55"/>
      <c r="B949" s="60"/>
      <c r="C949" s="55"/>
      <c r="D949" s="54"/>
      <c r="E949" s="55"/>
      <c r="F949" s="62"/>
      <c r="G949" s="57"/>
      <c r="H949" s="58" t="str">
        <f>IFERROR(__xludf.DUMMYFUNCTION("iferror(if(A949="""", ,filter('Playoff IDR Import'!D:D,'Playoff IDR Import'!A:A=A949,'Playoff IDR Import'!C:C=C949)),)"),"")</f>
        <v/>
      </c>
      <c r="I949" s="58"/>
      <c r="J949" s="59" t="str">
        <f t="shared" si="1"/>
        <v/>
      </c>
    </row>
    <row r="950">
      <c r="A950" s="55"/>
      <c r="B950" s="60"/>
      <c r="C950" s="55"/>
      <c r="D950" s="54"/>
      <c r="E950" s="55"/>
      <c r="F950" s="62"/>
      <c r="G950" s="57"/>
      <c r="H950" s="58" t="str">
        <f>IFERROR(__xludf.DUMMYFUNCTION("iferror(if(A950="""", ,filter('Playoff IDR Import'!D:D,'Playoff IDR Import'!A:A=A950,'Playoff IDR Import'!C:C=C950)),)"),"")</f>
        <v/>
      </c>
      <c r="I950" s="58"/>
      <c r="J950" s="59" t="str">
        <f t="shared" si="1"/>
        <v/>
      </c>
    </row>
    <row r="951">
      <c r="A951" s="55"/>
      <c r="B951" s="60"/>
      <c r="C951" s="55"/>
      <c r="D951" s="54"/>
      <c r="E951" s="55"/>
      <c r="F951" s="62"/>
      <c r="G951" s="57"/>
      <c r="H951" s="58" t="str">
        <f>IFERROR(__xludf.DUMMYFUNCTION("iferror(if(A951="""", ,filter('Playoff IDR Import'!D:D,'Playoff IDR Import'!A:A=A951,'Playoff IDR Import'!C:C=C951)),)"),"")</f>
        <v/>
      </c>
      <c r="I951" s="58"/>
      <c r="J951" s="59" t="str">
        <f t="shared" si="1"/>
        <v/>
      </c>
    </row>
    <row r="952">
      <c r="A952" s="55"/>
      <c r="B952" s="60"/>
      <c r="C952" s="55"/>
      <c r="D952" s="54"/>
      <c r="E952" s="55"/>
      <c r="F952" s="62"/>
      <c r="G952" s="57"/>
      <c r="H952" s="58" t="str">
        <f>IFERROR(__xludf.DUMMYFUNCTION("iferror(if(A952="""", ,filter('Playoff IDR Import'!D:D,'Playoff IDR Import'!A:A=A952,'Playoff IDR Import'!C:C=C952)),)"),"")</f>
        <v/>
      </c>
      <c r="I952" s="58"/>
      <c r="J952" s="59" t="str">
        <f t="shared" si="1"/>
        <v/>
      </c>
    </row>
    <row r="953">
      <c r="A953" s="55"/>
      <c r="B953" s="60"/>
      <c r="C953" s="55"/>
      <c r="D953" s="54"/>
      <c r="E953" s="55"/>
      <c r="F953" s="62"/>
      <c r="G953" s="57"/>
      <c r="H953" s="58" t="str">
        <f>IFERROR(__xludf.DUMMYFUNCTION("iferror(if(A953="""", ,filter('Playoff IDR Import'!D:D,'Playoff IDR Import'!A:A=A953,'Playoff IDR Import'!C:C=C953)),)"),"")</f>
        <v/>
      </c>
      <c r="I953" s="58"/>
      <c r="J953" s="59" t="str">
        <f t="shared" si="1"/>
        <v/>
      </c>
    </row>
    <row r="954">
      <c r="A954" s="55"/>
      <c r="B954" s="60"/>
      <c r="C954" s="55"/>
      <c r="D954" s="54"/>
      <c r="E954" s="55"/>
      <c r="F954" s="62"/>
      <c r="G954" s="57"/>
      <c r="H954" s="58" t="str">
        <f>IFERROR(__xludf.DUMMYFUNCTION("iferror(if(A954="""", ,filter('Playoff IDR Import'!D:D,'Playoff IDR Import'!A:A=A954,'Playoff IDR Import'!C:C=C954)),)"),"")</f>
        <v/>
      </c>
      <c r="I954" s="58"/>
      <c r="J954" s="59" t="str">
        <f t="shared" si="1"/>
        <v/>
      </c>
    </row>
    <row r="955">
      <c r="A955" s="55"/>
      <c r="B955" s="60"/>
      <c r="C955" s="55"/>
      <c r="D955" s="54"/>
      <c r="E955" s="55"/>
      <c r="F955" s="62"/>
      <c r="G955" s="57"/>
      <c r="H955" s="58" t="str">
        <f>IFERROR(__xludf.DUMMYFUNCTION("iferror(if(A955="""", ,filter('Playoff IDR Import'!D:D,'Playoff IDR Import'!A:A=A955,'Playoff IDR Import'!C:C=C955)),)"),"")</f>
        <v/>
      </c>
      <c r="I955" s="58"/>
      <c r="J955" s="59" t="str">
        <f t="shared" si="1"/>
        <v/>
      </c>
    </row>
    <row r="956">
      <c r="A956" s="55"/>
      <c r="B956" s="60"/>
      <c r="C956" s="55"/>
      <c r="D956" s="54"/>
      <c r="E956" s="55"/>
      <c r="F956" s="62"/>
      <c r="G956" s="57"/>
      <c r="H956" s="58" t="str">
        <f>IFERROR(__xludf.DUMMYFUNCTION("iferror(if(A956="""", ,filter('Playoff IDR Import'!D:D,'Playoff IDR Import'!A:A=A956,'Playoff IDR Import'!C:C=C956)),)"),"")</f>
        <v/>
      </c>
      <c r="I956" s="58"/>
      <c r="J956" s="59" t="str">
        <f t="shared" si="1"/>
        <v/>
      </c>
    </row>
    <row r="957">
      <c r="A957" s="55"/>
      <c r="B957" s="60"/>
      <c r="C957" s="55"/>
      <c r="D957" s="54"/>
      <c r="E957" s="55"/>
      <c r="F957" s="62"/>
      <c r="G957" s="57"/>
      <c r="H957" s="58" t="str">
        <f>IFERROR(__xludf.DUMMYFUNCTION("iferror(if(A957="""", ,filter('Playoff IDR Import'!D:D,'Playoff IDR Import'!A:A=A957,'Playoff IDR Import'!C:C=C957)),)"),"")</f>
        <v/>
      </c>
      <c r="I957" s="58"/>
      <c r="J957" s="59" t="str">
        <f t="shared" si="1"/>
        <v/>
      </c>
    </row>
    <row r="958">
      <c r="A958" s="55"/>
      <c r="B958" s="60"/>
      <c r="C958" s="55"/>
      <c r="D958" s="54"/>
      <c r="E958" s="55"/>
      <c r="F958" s="62"/>
      <c r="G958" s="57"/>
      <c r="H958" s="58" t="str">
        <f>IFERROR(__xludf.DUMMYFUNCTION("iferror(if(A958="""", ,filter('Playoff IDR Import'!D:D,'Playoff IDR Import'!A:A=A958,'Playoff IDR Import'!C:C=C958)),)"),"")</f>
        <v/>
      </c>
      <c r="I958" s="58"/>
      <c r="J958" s="59" t="str">
        <f t="shared" si="1"/>
        <v/>
      </c>
    </row>
    <row r="959">
      <c r="A959" s="55"/>
      <c r="B959" s="60"/>
      <c r="C959" s="55"/>
      <c r="D959" s="54"/>
      <c r="E959" s="55"/>
      <c r="F959" s="62"/>
      <c r="G959" s="57"/>
      <c r="H959" s="58" t="str">
        <f>IFERROR(__xludf.DUMMYFUNCTION("iferror(if(A959="""", ,filter('Playoff IDR Import'!D:D,'Playoff IDR Import'!A:A=A959,'Playoff IDR Import'!C:C=C959)),)"),"")</f>
        <v/>
      </c>
      <c r="I959" s="58"/>
      <c r="J959" s="59" t="str">
        <f t="shared" si="1"/>
        <v/>
      </c>
    </row>
    <row r="960">
      <c r="A960" s="55"/>
      <c r="B960" s="60"/>
      <c r="C960" s="55"/>
      <c r="D960" s="54"/>
      <c r="E960" s="55"/>
      <c r="F960" s="62"/>
      <c r="G960" s="57"/>
      <c r="H960" s="58" t="str">
        <f>IFERROR(__xludf.DUMMYFUNCTION("iferror(if(A960="""", ,filter('Playoff IDR Import'!D:D,'Playoff IDR Import'!A:A=A960,'Playoff IDR Import'!C:C=C960)),)"),"")</f>
        <v/>
      </c>
      <c r="I960" s="58"/>
      <c r="J960" s="59" t="str">
        <f t="shared" si="1"/>
        <v/>
      </c>
    </row>
    <row r="961">
      <c r="A961" s="55"/>
      <c r="B961" s="60"/>
      <c r="C961" s="55"/>
      <c r="D961" s="54"/>
      <c r="E961" s="55"/>
      <c r="F961" s="62"/>
      <c r="G961" s="57"/>
      <c r="H961" s="58" t="str">
        <f>IFERROR(__xludf.DUMMYFUNCTION("iferror(if(A961="""", ,filter('Playoff IDR Import'!D:D,'Playoff IDR Import'!A:A=A961,'Playoff IDR Import'!C:C=C961)),)"),"")</f>
        <v/>
      </c>
      <c r="I961" s="58"/>
      <c r="J961" s="59" t="str">
        <f t="shared" si="1"/>
        <v/>
      </c>
    </row>
    <row r="962">
      <c r="A962" s="55"/>
      <c r="B962" s="60"/>
      <c r="C962" s="55"/>
      <c r="D962" s="54"/>
      <c r="E962" s="55"/>
      <c r="F962" s="62"/>
      <c r="G962" s="57"/>
      <c r="H962" s="58" t="str">
        <f>IFERROR(__xludf.DUMMYFUNCTION("iferror(if(A962="""", ,filter('Playoff IDR Import'!D:D,'Playoff IDR Import'!A:A=A962,'Playoff IDR Import'!C:C=C962)),)"),"")</f>
        <v/>
      </c>
      <c r="I962" s="58"/>
      <c r="J962" s="59" t="str">
        <f t="shared" si="1"/>
        <v/>
      </c>
    </row>
    <row r="963">
      <c r="A963" s="55"/>
      <c r="B963" s="60"/>
      <c r="C963" s="55"/>
      <c r="D963" s="54"/>
      <c r="E963" s="55"/>
      <c r="F963" s="62"/>
      <c r="G963" s="57"/>
      <c r="H963" s="58" t="str">
        <f>IFERROR(__xludf.DUMMYFUNCTION("iferror(if(A963="""", ,filter('Playoff IDR Import'!D:D,'Playoff IDR Import'!A:A=A963,'Playoff IDR Import'!C:C=C963)),)"),"")</f>
        <v/>
      </c>
      <c r="I963" s="58"/>
      <c r="J963" s="59" t="str">
        <f t="shared" si="1"/>
        <v/>
      </c>
    </row>
    <row r="964">
      <c r="A964" s="55"/>
      <c r="B964" s="60"/>
      <c r="C964" s="55"/>
      <c r="D964" s="54"/>
      <c r="E964" s="55"/>
      <c r="F964" s="62"/>
      <c r="G964" s="57"/>
      <c r="H964" s="58" t="str">
        <f>IFERROR(__xludf.DUMMYFUNCTION("iferror(if(A964="""", ,filter('Playoff IDR Import'!D:D,'Playoff IDR Import'!A:A=A964,'Playoff IDR Import'!C:C=C964)),)"),"")</f>
        <v/>
      </c>
      <c r="I964" s="58"/>
      <c r="J964" s="59" t="str">
        <f t="shared" si="1"/>
        <v/>
      </c>
    </row>
    <row r="965">
      <c r="A965" s="55"/>
      <c r="B965" s="60"/>
      <c r="C965" s="55"/>
      <c r="D965" s="54"/>
      <c r="E965" s="55"/>
      <c r="F965" s="62"/>
      <c r="G965" s="57"/>
      <c r="H965" s="58" t="str">
        <f>IFERROR(__xludf.DUMMYFUNCTION("iferror(if(A965="""", ,filter('Playoff IDR Import'!D:D,'Playoff IDR Import'!A:A=A965,'Playoff IDR Import'!C:C=C965)),)"),"")</f>
        <v/>
      </c>
      <c r="I965" s="58"/>
      <c r="J965" s="59" t="str">
        <f t="shared" si="1"/>
        <v/>
      </c>
    </row>
    <row r="966">
      <c r="A966" s="55"/>
      <c r="B966" s="60"/>
      <c r="C966" s="55"/>
      <c r="D966" s="54"/>
      <c r="E966" s="55"/>
      <c r="F966" s="62"/>
      <c r="G966" s="57"/>
      <c r="H966" s="58" t="str">
        <f>IFERROR(__xludf.DUMMYFUNCTION("iferror(if(A966="""", ,filter('Playoff IDR Import'!D:D,'Playoff IDR Import'!A:A=A966,'Playoff IDR Import'!C:C=C966)),)"),"")</f>
        <v/>
      </c>
      <c r="I966" s="58"/>
      <c r="J966" s="59" t="str">
        <f t="shared" si="1"/>
        <v/>
      </c>
    </row>
    <row r="967">
      <c r="A967" s="55"/>
      <c r="B967" s="60"/>
      <c r="C967" s="55"/>
      <c r="D967" s="54"/>
      <c r="E967" s="55"/>
      <c r="F967" s="62"/>
      <c r="G967" s="57"/>
      <c r="H967" s="58" t="str">
        <f>IFERROR(__xludf.DUMMYFUNCTION("iferror(if(A967="""", ,filter('Playoff IDR Import'!D:D,'Playoff IDR Import'!A:A=A967,'Playoff IDR Import'!C:C=C967)),)"),"")</f>
        <v/>
      </c>
      <c r="I967" s="58"/>
      <c r="J967" s="59" t="str">
        <f t="shared" si="1"/>
        <v/>
      </c>
    </row>
    <row r="968">
      <c r="A968" s="55"/>
      <c r="B968" s="60"/>
      <c r="C968" s="55"/>
      <c r="D968" s="54"/>
      <c r="E968" s="55"/>
      <c r="F968" s="62"/>
      <c r="G968" s="57"/>
      <c r="H968" s="58" t="str">
        <f>IFERROR(__xludf.DUMMYFUNCTION("iferror(if(A968="""", ,filter('Playoff IDR Import'!D:D,'Playoff IDR Import'!A:A=A968,'Playoff IDR Import'!C:C=C968)),)"),"")</f>
        <v/>
      </c>
      <c r="I968" s="58"/>
      <c r="J968" s="59" t="str">
        <f t="shared" si="1"/>
        <v/>
      </c>
    </row>
    <row r="969">
      <c r="A969" s="55"/>
      <c r="B969" s="60"/>
      <c r="C969" s="55"/>
      <c r="D969" s="54"/>
      <c r="E969" s="55"/>
      <c r="F969" s="62"/>
      <c r="G969" s="57"/>
      <c r="H969" s="58" t="str">
        <f>IFERROR(__xludf.DUMMYFUNCTION("iferror(if(A969="""", ,filter('Playoff IDR Import'!D:D,'Playoff IDR Import'!A:A=A969,'Playoff IDR Import'!C:C=C969)),)"),"")</f>
        <v/>
      </c>
      <c r="I969" s="58"/>
      <c r="J969" s="59" t="str">
        <f t="shared" si="1"/>
        <v/>
      </c>
    </row>
    <row r="970">
      <c r="A970" s="55"/>
      <c r="B970" s="60"/>
      <c r="C970" s="55"/>
      <c r="D970" s="54"/>
      <c r="E970" s="55"/>
      <c r="F970" s="62"/>
      <c r="G970" s="57"/>
      <c r="H970" s="58" t="str">
        <f>IFERROR(__xludf.DUMMYFUNCTION("iferror(if(A970="""", ,filter('Playoff IDR Import'!D:D,'Playoff IDR Import'!A:A=A970,'Playoff IDR Import'!C:C=C970)),)"),"")</f>
        <v/>
      </c>
      <c r="I970" s="58"/>
      <c r="J970" s="59" t="str">
        <f t="shared" si="1"/>
        <v/>
      </c>
    </row>
    <row r="971">
      <c r="A971" s="55"/>
      <c r="B971" s="60"/>
      <c r="C971" s="55"/>
      <c r="D971" s="54"/>
      <c r="E971" s="55"/>
      <c r="F971" s="62"/>
      <c r="G971" s="57"/>
      <c r="H971" s="58" t="str">
        <f>IFERROR(__xludf.DUMMYFUNCTION("iferror(if(A971="""", ,filter('Playoff IDR Import'!D:D,'Playoff IDR Import'!A:A=A971,'Playoff IDR Import'!C:C=C971)),)"),"")</f>
        <v/>
      </c>
      <c r="I971" s="58"/>
      <c r="J971" s="59" t="str">
        <f t="shared" si="1"/>
        <v/>
      </c>
    </row>
    <row r="972">
      <c r="A972" s="55"/>
      <c r="B972" s="60"/>
      <c r="C972" s="55"/>
      <c r="D972" s="54"/>
      <c r="E972" s="55"/>
      <c r="F972" s="62"/>
      <c r="G972" s="57"/>
      <c r="H972" s="58" t="str">
        <f>IFERROR(__xludf.DUMMYFUNCTION("iferror(if(A972="""", ,filter('Playoff IDR Import'!D:D,'Playoff IDR Import'!A:A=A972,'Playoff IDR Import'!C:C=C972)),)"),"")</f>
        <v/>
      </c>
      <c r="I972" s="58"/>
      <c r="J972" s="59" t="str">
        <f t="shared" si="1"/>
        <v/>
      </c>
    </row>
    <row r="973">
      <c r="A973" s="55"/>
      <c r="B973" s="60"/>
      <c r="C973" s="55"/>
      <c r="D973" s="54"/>
      <c r="E973" s="55"/>
      <c r="F973" s="62"/>
      <c r="G973" s="57"/>
      <c r="H973" s="58" t="str">
        <f>IFERROR(__xludf.DUMMYFUNCTION("iferror(if(A973="""", ,filter('Playoff IDR Import'!D:D,'Playoff IDR Import'!A:A=A973,'Playoff IDR Import'!C:C=C973)),)"),"")</f>
        <v/>
      </c>
      <c r="I973" s="58"/>
      <c r="J973" s="59" t="str">
        <f t="shared" si="1"/>
        <v/>
      </c>
    </row>
    <row r="974">
      <c r="A974" s="55"/>
      <c r="B974" s="60"/>
      <c r="C974" s="55"/>
      <c r="D974" s="54"/>
      <c r="E974" s="55"/>
      <c r="F974" s="62"/>
      <c r="G974" s="57"/>
      <c r="H974" s="58" t="str">
        <f>IFERROR(__xludf.DUMMYFUNCTION("iferror(if(A974="""", ,filter('Playoff IDR Import'!D:D,'Playoff IDR Import'!A:A=A974,'Playoff IDR Import'!C:C=C974)),)"),"")</f>
        <v/>
      </c>
      <c r="I974" s="58"/>
      <c r="J974" s="59" t="str">
        <f t="shared" si="1"/>
        <v/>
      </c>
    </row>
    <row r="975">
      <c r="A975" s="55"/>
      <c r="B975" s="60"/>
      <c r="C975" s="55"/>
      <c r="D975" s="54"/>
      <c r="E975" s="55"/>
      <c r="F975" s="62"/>
      <c r="G975" s="57"/>
      <c r="H975" s="58" t="str">
        <f>IFERROR(__xludf.DUMMYFUNCTION("iferror(if(A975="""", ,filter('Playoff IDR Import'!D:D,'Playoff IDR Import'!A:A=A975,'Playoff IDR Import'!C:C=C975)),)"),"")</f>
        <v/>
      </c>
      <c r="I975" s="58"/>
      <c r="J975" s="59" t="str">
        <f t="shared" si="1"/>
        <v/>
      </c>
    </row>
    <row r="976">
      <c r="A976" s="55"/>
      <c r="B976" s="60"/>
      <c r="C976" s="55"/>
      <c r="D976" s="54"/>
      <c r="E976" s="55"/>
      <c r="F976" s="62"/>
      <c r="G976" s="57"/>
      <c r="H976" s="58" t="str">
        <f>IFERROR(__xludf.DUMMYFUNCTION("iferror(if(A976="""", ,filter('Playoff IDR Import'!D:D,'Playoff IDR Import'!A:A=A976,'Playoff IDR Import'!C:C=C976)),)"),"")</f>
        <v/>
      </c>
      <c r="I976" s="58"/>
      <c r="J976" s="59" t="str">
        <f t="shared" si="1"/>
        <v/>
      </c>
    </row>
    <row r="977">
      <c r="A977" s="55"/>
      <c r="B977" s="60"/>
      <c r="C977" s="55"/>
      <c r="D977" s="54"/>
      <c r="E977" s="55"/>
      <c r="F977" s="62"/>
      <c r="G977" s="57"/>
      <c r="H977" s="58" t="str">
        <f>IFERROR(__xludf.DUMMYFUNCTION("iferror(if(A977="""", ,filter('Playoff IDR Import'!D:D,'Playoff IDR Import'!A:A=A977,'Playoff IDR Import'!C:C=C977)),)"),"")</f>
        <v/>
      </c>
      <c r="I977" s="58"/>
      <c r="J977" s="59" t="str">
        <f t="shared" si="1"/>
        <v/>
      </c>
    </row>
    <row r="978">
      <c r="A978" s="55"/>
      <c r="B978" s="60"/>
      <c r="C978" s="55"/>
      <c r="D978" s="54"/>
      <c r="E978" s="55"/>
      <c r="F978" s="62"/>
      <c r="G978" s="57"/>
      <c r="H978" s="58" t="str">
        <f>IFERROR(__xludf.DUMMYFUNCTION("iferror(if(A978="""", ,filter('Playoff IDR Import'!D:D,'Playoff IDR Import'!A:A=A978,'Playoff IDR Import'!C:C=C978)),)"),"")</f>
        <v/>
      </c>
      <c r="I978" s="58"/>
      <c r="J978" s="59" t="str">
        <f t="shared" si="1"/>
        <v/>
      </c>
    </row>
    <row r="979">
      <c r="A979" s="55"/>
      <c r="B979" s="60"/>
      <c r="C979" s="55"/>
      <c r="D979" s="54"/>
      <c r="E979" s="55"/>
      <c r="F979" s="62"/>
      <c r="G979" s="57"/>
      <c r="H979" s="58" t="str">
        <f>IFERROR(__xludf.DUMMYFUNCTION("iferror(if(A979="""", ,filter('Playoff IDR Import'!D:D,'Playoff IDR Import'!A:A=A979,'Playoff IDR Import'!C:C=C979)),)"),"")</f>
        <v/>
      </c>
      <c r="I979" s="58"/>
      <c r="J979" s="59" t="str">
        <f t="shared" si="1"/>
        <v/>
      </c>
    </row>
    <row r="980">
      <c r="A980" s="55"/>
      <c r="B980" s="60"/>
      <c r="C980" s="55"/>
      <c r="D980" s="54"/>
      <c r="E980" s="55"/>
      <c r="F980" s="62"/>
      <c r="G980" s="57"/>
      <c r="H980" s="58" t="str">
        <f>IFERROR(__xludf.DUMMYFUNCTION("iferror(if(A980="""", ,filter('Playoff IDR Import'!D:D,'Playoff IDR Import'!A:A=A980,'Playoff IDR Import'!C:C=C980)),)"),"")</f>
        <v/>
      </c>
      <c r="I980" s="58"/>
      <c r="J980" s="59" t="str">
        <f t="shared" si="1"/>
        <v/>
      </c>
    </row>
    <row r="981">
      <c r="A981" s="55"/>
      <c r="B981" s="60"/>
      <c r="C981" s="55"/>
      <c r="D981" s="54"/>
      <c r="E981" s="55"/>
      <c r="F981" s="62"/>
      <c r="G981" s="57"/>
      <c r="H981" s="58" t="str">
        <f>IFERROR(__xludf.DUMMYFUNCTION("iferror(if(A981="""", ,filter('Playoff IDR Import'!D:D,'Playoff IDR Import'!A:A=A981,'Playoff IDR Import'!C:C=C981)),)"),"")</f>
        <v/>
      </c>
      <c r="I981" s="58"/>
      <c r="J981" s="59" t="str">
        <f t="shared" si="1"/>
        <v/>
      </c>
    </row>
    <row r="982">
      <c r="A982" s="55"/>
      <c r="B982" s="60"/>
      <c r="C982" s="55"/>
      <c r="D982" s="54"/>
      <c r="E982" s="55"/>
      <c r="F982" s="62"/>
      <c r="G982" s="57"/>
      <c r="H982" s="58" t="str">
        <f>IFERROR(__xludf.DUMMYFUNCTION("iferror(if(A982="""", ,filter('Playoff IDR Import'!D:D,'Playoff IDR Import'!A:A=A982,'Playoff IDR Import'!C:C=C982)),)"),"")</f>
        <v/>
      </c>
      <c r="I982" s="58"/>
      <c r="J982" s="59" t="str">
        <f t="shared" si="1"/>
        <v/>
      </c>
    </row>
    <row r="983">
      <c r="A983" s="55"/>
      <c r="B983" s="60"/>
      <c r="C983" s="55"/>
      <c r="D983" s="54"/>
      <c r="E983" s="55"/>
      <c r="F983" s="62"/>
      <c r="G983" s="57"/>
      <c r="H983" s="58" t="str">
        <f>IFERROR(__xludf.DUMMYFUNCTION("iferror(if(A983="""", ,filter('Playoff IDR Import'!D:D,'Playoff IDR Import'!A:A=A983,'Playoff IDR Import'!C:C=C983)),)"),"")</f>
        <v/>
      </c>
      <c r="I983" s="58"/>
      <c r="J983" s="59" t="str">
        <f t="shared" si="1"/>
        <v/>
      </c>
    </row>
    <row r="984">
      <c r="A984" s="55"/>
      <c r="B984" s="60"/>
      <c r="C984" s="55"/>
      <c r="D984" s="54"/>
      <c r="E984" s="55"/>
      <c r="F984" s="62"/>
      <c r="G984" s="57"/>
      <c r="H984" s="58" t="str">
        <f>IFERROR(__xludf.DUMMYFUNCTION("iferror(if(A984="""", ,filter('Playoff IDR Import'!D:D,'Playoff IDR Import'!A:A=A984,'Playoff IDR Import'!C:C=C984)),)"),"")</f>
        <v/>
      </c>
      <c r="I984" s="58"/>
      <c r="J984" s="59" t="str">
        <f t="shared" si="1"/>
        <v/>
      </c>
    </row>
    <row r="985">
      <c r="A985" s="55"/>
      <c r="B985" s="60"/>
      <c r="C985" s="55"/>
      <c r="D985" s="54"/>
      <c r="E985" s="55"/>
      <c r="F985" s="62"/>
      <c r="G985" s="57"/>
      <c r="H985" s="58" t="str">
        <f>IFERROR(__xludf.DUMMYFUNCTION("iferror(if(A985="""", ,filter('Playoff IDR Import'!D:D,'Playoff IDR Import'!A:A=A985,'Playoff IDR Import'!C:C=C985)),)"),"")</f>
        <v/>
      </c>
      <c r="I985" s="58"/>
      <c r="J985" s="59" t="str">
        <f t="shared" si="1"/>
        <v/>
      </c>
    </row>
    <row r="986">
      <c r="A986" s="55"/>
      <c r="B986" s="60"/>
      <c r="C986" s="55"/>
      <c r="D986" s="54"/>
      <c r="E986" s="55"/>
      <c r="F986" s="62"/>
      <c r="G986" s="57"/>
      <c r="H986" s="58" t="str">
        <f>IFERROR(__xludf.DUMMYFUNCTION("iferror(if(A986="""", ,filter('Playoff IDR Import'!D:D,'Playoff IDR Import'!A:A=A986,'Playoff IDR Import'!C:C=C986)),)"),"")</f>
        <v/>
      </c>
      <c r="I986" s="58"/>
      <c r="J986" s="59" t="str">
        <f t="shared" si="1"/>
        <v/>
      </c>
    </row>
    <row r="987">
      <c r="A987" s="55"/>
      <c r="B987" s="60"/>
      <c r="C987" s="55"/>
      <c r="D987" s="54"/>
      <c r="E987" s="55"/>
      <c r="F987" s="62"/>
      <c r="G987" s="57"/>
      <c r="H987" s="58" t="str">
        <f>IFERROR(__xludf.DUMMYFUNCTION("iferror(if(A987="""", ,filter('Playoff IDR Import'!D:D,'Playoff IDR Import'!A:A=A987,'Playoff IDR Import'!C:C=C987)),)"),"")</f>
        <v/>
      </c>
      <c r="I987" s="58"/>
      <c r="J987" s="59" t="str">
        <f t="shared" si="1"/>
        <v/>
      </c>
    </row>
    <row r="988">
      <c r="A988" s="55"/>
      <c r="B988" s="60"/>
      <c r="C988" s="55"/>
      <c r="D988" s="54"/>
      <c r="E988" s="55"/>
      <c r="F988" s="62"/>
      <c r="G988" s="57"/>
      <c r="H988" s="58" t="str">
        <f>IFERROR(__xludf.DUMMYFUNCTION("iferror(if(A988="""", ,filter('Playoff IDR Import'!D:D,'Playoff IDR Import'!A:A=A988,'Playoff IDR Import'!C:C=C988)),)"),"")</f>
        <v/>
      </c>
      <c r="I988" s="58"/>
      <c r="J988" s="59" t="str">
        <f t="shared" si="1"/>
        <v/>
      </c>
    </row>
    <row r="989">
      <c r="A989" s="55"/>
      <c r="B989" s="60"/>
      <c r="C989" s="55"/>
      <c r="D989" s="54"/>
      <c r="E989" s="55"/>
      <c r="F989" s="62"/>
      <c r="G989" s="57"/>
      <c r="H989" s="58" t="str">
        <f>IFERROR(__xludf.DUMMYFUNCTION("iferror(if(A989="""", ,filter('Playoff IDR Import'!D:D,'Playoff IDR Import'!A:A=A989,'Playoff IDR Import'!C:C=C989)),)"),"")</f>
        <v/>
      </c>
      <c r="I989" s="58"/>
      <c r="J989" s="59" t="str">
        <f t="shared" si="1"/>
        <v/>
      </c>
    </row>
    <row r="990">
      <c r="A990" s="55"/>
      <c r="B990" s="60"/>
      <c r="C990" s="55"/>
      <c r="D990" s="54"/>
      <c r="E990" s="55"/>
      <c r="F990" s="62"/>
      <c r="G990" s="57"/>
      <c r="H990" s="58" t="str">
        <f>IFERROR(__xludf.DUMMYFUNCTION("iferror(if(A990="""", ,filter('Playoff IDR Import'!D:D,'Playoff IDR Import'!A:A=A990,'Playoff IDR Import'!C:C=C990)),)"),"")</f>
        <v/>
      </c>
      <c r="I990" s="58"/>
      <c r="J990" s="59" t="str">
        <f t="shared" si="1"/>
        <v/>
      </c>
    </row>
    <row r="991">
      <c r="A991" s="55"/>
      <c r="B991" s="60"/>
      <c r="C991" s="55"/>
      <c r="D991" s="54"/>
      <c r="E991" s="55"/>
      <c r="F991" s="62"/>
      <c r="G991" s="57"/>
      <c r="H991" s="58" t="str">
        <f>IFERROR(__xludf.DUMMYFUNCTION("iferror(if(A991="""", ,filter('Playoff IDR Import'!D:D,'Playoff IDR Import'!A:A=A991,'Playoff IDR Import'!C:C=C991)),)"),"")</f>
        <v/>
      </c>
      <c r="I991" s="58"/>
      <c r="J991" s="59" t="str">
        <f t="shared" si="1"/>
        <v/>
      </c>
    </row>
    <row r="992">
      <c r="A992" s="55"/>
      <c r="B992" s="60"/>
      <c r="C992" s="55"/>
      <c r="D992" s="54"/>
      <c r="E992" s="55"/>
      <c r="F992" s="62"/>
      <c r="G992" s="57"/>
      <c r="H992" s="58" t="str">
        <f>IFERROR(__xludf.DUMMYFUNCTION("iferror(if(A992="""", ,filter('Playoff IDR Import'!D:D,'Playoff IDR Import'!A:A=A992,'Playoff IDR Import'!C:C=C992)),)"),"")</f>
        <v/>
      </c>
      <c r="I992" s="58"/>
      <c r="J992" s="59" t="str">
        <f t="shared" si="1"/>
        <v/>
      </c>
    </row>
    <row r="993">
      <c r="A993" s="55"/>
      <c r="B993" s="60"/>
      <c r="C993" s="55"/>
      <c r="D993" s="54"/>
      <c r="E993" s="55"/>
      <c r="F993" s="62"/>
      <c r="G993" s="57"/>
      <c r="H993" s="58" t="str">
        <f>IFERROR(__xludf.DUMMYFUNCTION("iferror(if(A993="""", ,filter('Playoff IDR Import'!D:D,'Playoff IDR Import'!A:A=A993,'Playoff IDR Import'!C:C=C993)),)"),"")</f>
        <v/>
      </c>
      <c r="I993" s="58"/>
      <c r="J993" s="59" t="str">
        <f t="shared" si="1"/>
        <v/>
      </c>
    </row>
    <row r="994">
      <c r="A994" s="55"/>
      <c r="B994" s="60"/>
      <c r="C994" s="55"/>
      <c r="D994" s="54"/>
      <c r="E994" s="55"/>
      <c r="F994" s="62"/>
      <c r="G994" s="57"/>
      <c r="H994" s="58" t="str">
        <f>IFERROR(__xludf.DUMMYFUNCTION("iferror(if(A994="""", ,filter('Playoff IDR Import'!D:D,'Playoff IDR Import'!A:A=A994,'Playoff IDR Import'!C:C=C994)),)"),"")</f>
        <v/>
      </c>
      <c r="I994" s="58"/>
      <c r="J994" s="59" t="str">
        <f t="shared" si="1"/>
        <v/>
      </c>
    </row>
    <row r="995">
      <c r="A995" s="55"/>
      <c r="B995" s="60"/>
      <c r="C995" s="55"/>
      <c r="D995" s="54"/>
      <c r="E995" s="55"/>
      <c r="F995" s="62"/>
      <c r="G995" s="57"/>
      <c r="H995" s="58" t="str">
        <f>IFERROR(__xludf.DUMMYFUNCTION("iferror(if(A995="""", ,filter('Playoff IDR Import'!D:D,'Playoff IDR Import'!A:A=A995,'Playoff IDR Import'!C:C=C995)),)"),"")</f>
        <v/>
      </c>
      <c r="I995" s="58"/>
      <c r="J995" s="59" t="str">
        <f t="shared" si="1"/>
        <v/>
      </c>
    </row>
    <row r="996">
      <c r="A996" s="55"/>
      <c r="B996" s="60"/>
      <c r="C996" s="55"/>
      <c r="D996" s="54"/>
      <c r="E996" s="55"/>
      <c r="F996" s="62"/>
      <c r="G996" s="57"/>
      <c r="H996" s="58" t="str">
        <f>IFERROR(__xludf.DUMMYFUNCTION("iferror(if(A996="""", ,filter('Playoff IDR Import'!D:D,'Playoff IDR Import'!A:A=A996,'Playoff IDR Import'!C:C=C996)),)"),"")</f>
        <v/>
      </c>
      <c r="I996" s="58"/>
      <c r="J996" s="59" t="str">
        <f t="shared" si="1"/>
        <v/>
      </c>
    </row>
    <row r="997">
      <c r="A997" s="55"/>
      <c r="B997" s="60"/>
      <c r="C997" s="55"/>
      <c r="D997" s="54"/>
      <c r="E997" s="55"/>
      <c r="F997" s="62"/>
      <c r="G997" s="57"/>
      <c r="H997" s="58" t="str">
        <f>IFERROR(__xludf.DUMMYFUNCTION("iferror(if(A997="""", ,filter('Playoff IDR Import'!D:D,'Playoff IDR Import'!A:A=A997,'Playoff IDR Import'!C:C=C997)),)"),"")</f>
        <v/>
      </c>
      <c r="I997" s="58"/>
      <c r="J997" s="59" t="str">
        <f t="shared" si="1"/>
        <v/>
      </c>
    </row>
    <row r="998">
      <c r="A998" s="55"/>
      <c r="B998" s="60"/>
      <c r="C998" s="55"/>
      <c r="D998" s="54"/>
      <c r="E998" s="55"/>
      <c r="F998" s="62"/>
      <c r="G998" s="57"/>
      <c r="H998" s="58" t="str">
        <f>IFERROR(__xludf.DUMMYFUNCTION("iferror(if(A998="""", ,filter('Playoff IDR Import'!D:D,'Playoff IDR Import'!A:A=A998,'Playoff IDR Import'!C:C=C998)),)"),"")</f>
        <v/>
      </c>
      <c r="I998" s="58"/>
      <c r="J998" s="59" t="str">
        <f t="shared" si="1"/>
        <v/>
      </c>
    </row>
    <row r="999">
      <c r="A999" s="55"/>
      <c r="B999" s="60"/>
      <c r="C999" s="55"/>
      <c r="D999" s="54"/>
      <c r="E999" s="55"/>
      <c r="F999" s="62"/>
      <c r="G999" s="57"/>
      <c r="H999" s="58" t="str">
        <f>IFERROR(__xludf.DUMMYFUNCTION("iferror(if(A999="""", ,filter('Playoff IDR Import'!D:D,'Playoff IDR Import'!A:A=A999,'Playoff IDR Import'!C:C=C999)),)"),"")</f>
        <v/>
      </c>
      <c r="I999" s="58"/>
      <c r="J999" s="59" t="str">
        <f t="shared" si="1"/>
        <v/>
      </c>
    </row>
    <row r="1000">
      <c r="A1000" s="55"/>
      <c r="B1000" s="60"/>
      <c r="C1000" s="55"/>
      <c r="D1000" s="54"/>
      <c r="E1000" s="55"/>
      <c r="F1000" s="62"/>
      <c r="G1000" s="57"/>
      <c r="H1000" s="58" t="str">
        <f>IFERROR(__xludf.DUMMYFUNCTION("iferror(if(A1000="""", ,filter('Playoff IDR Import'!D:D,'Playoff IDR Import'!A:A=A1000,'Playoff IDR Import'!C:C=C1000)),)"),"")</f>
        <v/>
      </c>
      <c r="I1000" s="58"/>
      <c r="J1000" s="59" t="str">
        <f t="shared" si="1"/>
        <v/>
      </c>
    </row>
    <row r="1001">
      <c r="A1001" s="55"/>
      <c r="B1001" s="60"/>
      <c r="C1001" s="55"/>
      <c r="D1001" s="54"/>
      <c r="E1001" s="55"/>
      <c r="F1001" s="62"/>
      <c r="G1001" s="57"/>
      <c r="H1001" s="58" t="str">
        <f>IFERROR(__xludf.DUMMYFUNCTION("iferror(if(A1001="""", ,filter('Playoff IDR Import'!D:D,'Playoff IDR Import'!A:A=A1001,'Playoff IDR Import'!C:C=C1001)),)"),"")</f>
        <v/>
      </c>
      <c r="I1001" s="58"/>
      <c r="J1001" s="59" t="str">
        <f t="shared" si="1"/>
        <v/>
      </c>
    </row>
    <row r="1002">
      <c r="A1002" s="55"/>
      <c r="B1002" s="60"/>
      <c r="C1002" s="55"/>
      <c r="D1002" s="54"/>
      <c r="E1002" s="55"/>
      <c r="F1002" s="62"/>
      <c r="G1002" s="57"/>
      <c r="H1002" s="58" t="str">
        <f>IFERROR(__xludf.DUMMYFUNCTION("iferror(if(A1002="""", ,filter('Playoff IDR Import'!D:D,'Playoff IDR Import'!A:A=A1002,'Playoff IDR Import'!C:C=C1002)),)"),"")</f>
        <v/>
      </c>
      <c r="I1002" s="58"/>
      <c r="J1002" s="59" t="str">
        <f t="shared" si="1"/>
        <v/>
      </c>
    </row>
    <row r="1003">
      <c r="A1003" s="55"/>
      <c r="B1003" s="60"/>
      <c r="C1003" s="55"/>
      <c r="D1003" s="54"/>
      <c r="E1003" s="55"/>
      <c r="F1003" s="62"/>
      <c r="G1003" s="57"/>
      <c r="H1003" s="58" t="str">
        <f>IFERROR(__xludf.DUMMYFUNCTION("iferror(if(A1003="""", ,filter('Playoff IDR Import'!D:D,'Playoff IDR Import'!A:A=A1003,'Playoff IDR Import'!C:C=C1003)),)"),"")</f>
        <v/>
      </c>
      <c r="I1003" s="58"/>
      <c r="J1003" s="59" t="str">
        <f t="shared" si="1"/>
        <v/>
      </c>
    </row>
    <row r="1004">
      <c r="A1004" s="55"/>
      <c r="B1004" s="60"/>
      <c r="C1004" s="55"/>
      <c r="D1004" s="54"/>
      <c r="E1004" s="55"/>
      <c r="F1004" s="62"/>
      <c r="G1004" s="57"/>
      <c r="H1004" s="58" t="str">
        <f>IFERROR(__xludf.DUMMYFUNCTION("iferror(if(A1004="""", ,filter('Playoff IDR Import'!D:D,'Playoff IDR Import'!A:A=A1004,'Playoff IDR Import'!C:C=C1004)),)"),"")</f>
        <v/>
      </c>
      <c r="I1004" s="58"/>
      <c r="J1004" s="59" t="str">
        <f t="shared" si="1"/>
        <v/>
      </c>
    </row>
    <row r="1005">
      <c r="A1005" s="55"/>
      <c r="B1005" s="60"/>
      <c r="C1005" s="55"/>
      <c r="D1005" s="54"/>
      <c r="E1005" s="55"/>
      <c r="F1005" s="62"/>
      <c r="G1005" s="57"/>
      <c r="H1005" s="58" t="str">
        <f>IFERROR(__xludf.DUMMYFUNCTION("iferror(if(A1005="""", ,filter('Playoff IDR Import'!D:D,'Playoff IDR Import'!A:A=A1005,'Playoff IDR Import'!C:C=C1005)),)"),"")</f>
        <v/>
      </c>
      <c r="I1005" s="58"/>
      <c r="J1005" s="59" t="str">
        <f t="shared" si="1"/>
        <v/>
      </c>
    </row>
    <row r="1006">
      <c r="A1006" s="55"/>
      <c r="B1006" s="60"/>
      <c r="C1006" s="55"/>
      <c r="D1006" s="54"/>
      <c r="E1006" s="55"/>
      <c r="F1006" s="62"/>
      <c r="G1006" s="57"/>
      <c r="H1006" s="58" t="str">
        <f>IFERROR(__xludf.DUMMYFUNCTION("iferror(if(A1006="""", ,filter('Playoff IDR Import'!D:D,'Playoff IDR Import'!A:A=A1006,'Playoff IDR Import'!C:C=C1006)),)"),"")</f>
        <v/>
      </c>
      <c r="I1006" s="58"/>
      <c r="J1006" s="59" t="str">
        <f t="shared" si="1"/>
        <v/>
      </c>
    </row>
    <row r="1007">
      <c r="A1007" s="55"/>
      <c r="B1007" s="60"/>
      <c r="C1007" s="55"/>
      <c r="D1007" s="54"/>
      <c r="E1007" s="55"/>
      <c r="F1007" s="62"/>
      <c r="G1007" s="57"/>
      <c r="H1007" s="58" t="str">
        <f>IFERROR(__xludf.DUMMYFUNCTION("iferror(if(A1007="""", ,filter('Playoff IDR Import'!D:D,'Playoff IDR Import'!A:A=A1007,'Playoff IDR Import'!C:C=C1007)),)"),"")</f>
        <v/>
      </c>
      <c r="I1007" s="58"/>
      <c r="J1007" s="59" t="str">
        <f t="shared" si="1"/>
        <v/>
      </c>
    </row>
    <row r="1008">
      <c r="A1008" s="55"/>
      <c r="B1008" s="60"/>
      <c r="C1008" s="55"/>
      <c r="D1008" s="54"/>
      <c r="E1008" s="55"/>
      <c r="F1008" s="62"/>
      <c r="G1008" s="57"/>
      <c r="H1008" s="58" t="str">
        <f>IFERROR(__xludf.DUMMYFUNCTION("iferror(if(A1008="""", ,filter('Playoff IDR Import'!D:D,'Playoff IDR Import'!A:A=A1008,'Playoff IDR Import'!C:C=C1008)),)"),"")</f>
        <v/>
      </c>
      <c r="I1008" s="58"/>
      <c r="J1008" s="59" t="str">
        <f t="shared" si="1"/>
        <v/>
      </c>
    </row>
    <row r="1009">
      <c r="A1009" s="55"/>
      <c r="B1009" s="60"/>
      <c r="C1009" s="55"/>
      <c r="D1009" s="54"/>
      <c r="E1009" s="55"/>
      <c r="F1009" s="62"/>
      <c r="G1009" s="57"/>
      <c r="H1009" s="58" t="str">
        <f>IFERROR(__xludf.DUMMYFUNCTION("iferror(if(A1009="""", ,filter('Playoff IDR Import'!D:D,'Playoff IDR Import'!A:A=A1009,'Playoff IDR Import'!C:C=C1009)),)"),"")</f>
        <v/>
      </c>
      <c r="I1009" s="58"/>
      <c r="J1009" s="59" t="str">
        <f t="shared" si="1"/>
        <v/>
      </c>
    </row>
    <row r="1010">
      <c r="A1010" s="55"/>
      <c r="B1010" s="60"/>
      <c r="C1010" s="55"/>
      <c r="D1010" s="54"/>
      <c r="E1010" s="55"/>
      <c r="F1010" s="62"/>
      <c r="G1010" s="57"/>
      <c r="H1010" s="58" t="str">
        <f>IFERROR(__xludf.DUMMYFUNCTION("iferror(if(A1010="""", ,filter('Playoff IDR Import'!D:D,'Playoff IDR Import'!A:A=A1010,'Playoff IDR Import'!C:C=C1010)),)"),"")</f>
        <v/>
      </c>
      <c r="I1010" s="58"/>
      <c r="J1010" s="59" t="str">
        <f t="shared" si="1"/>
        <v/>
      </c>
    </row>
    <row r="1011">
      <c r="A1011" s="55"/>
      <c r="B1011" s="60"/>
      <c r="C1011" s="55"/>
      <c r="D1011" s="54"/>
      <c r="E1011" s="55"/>
      <c r="F1011" s="62"/>
      <c r="G1011" s="57"/>
      <c r="H1011" s="58" t="str">
        <f>IFERROR(__xludf.DUMMYFUNCTION("iferror(if(A1011="""", ,filter('Playoff IDR Import'!D:D,'Playoff IDR Import'!A:A=A1011,'Playoff IDR Import'!C:C=C1011)),)"),"")</f>
        <v/>
      </c>
      <c r="I1011" s="58"/>
      <c r="J1011" s="59" t="str">
        <f t="shared" si="1"/>
        <v/>
      </c>
    </row>
    <row r="1012">
      <c r="A1012" s="55"/>
      <c r="B1012" s="60"/>
      <c r="C1012" s="55"/>
      <c r="D1012" s="54"/>
      <c r="E1012" s="55"/>
      <c r="F1012" s="62"/>
      <c r="G1012" s="57"/>
      <c r="H1012" s="58" t="str">
        <f>IFERROR(__xludf.DUMMYFUNCTION("iferror(if(A1012="""", ,filter('Playoff IDR Import'!D:D,'Playoff IDR Import'!A:A=A1012,'Playoff IDR Import'!C:C=C1012)),)"),"")</f>
        <v/>
      </c>
      <c r="I1012" s="58"/>
      <c r="J1012" s="59" t="str">
        <f t="shared" si="1"/>
        <v/>
      </c>
    </row>
    <row r="1013">
      <c r="A1013" s="55"/>
      <c r="B1013" s="60"/>
      <c r="C1013" s="55"/>
      <c r="D1013" s="54"/>
      <c r="E1013" s="55"/>
      <c r="F1013" s="62"/>
      <c r="G1013" s="57"/>
      <c r="H1013" s="58" t="str">
        <f>IFERROR(__xludf.DUMMYFUNCTION("iferror(if(A1013="""", ,filter('Playoff IDR Import'!D:D,'Playoff IDR Import'!A:A=A1013,'Playoff IDR Import'!C:C=C1013)),)"),"")</f>
        <v/>
      </c>
      <c r="I1013" s="58"/>
      <c r="J1013" s="59" t="str">
        <f t="shared" si="1"/>
        <v/>
      </c>
    </row>
    <row r="1014">
      <c r="A1014" s="55"/>
      <c r="B1014" s="60"/>
      <c r="C1014" s="55"/>
      <c r="D1014" s="54"/>
      <c r="E1014" s="55"/>
      <c r="F1014" s="62"/>
      <c r="G1014" s="57"/>
      <c r="H1014" s="58" t="str">
        <f>IFERROR(__xludf.DUMMYFUNCTION("iferror(if(A1014="""", ,filter('Playoff IDR Import'!D:D,'Playoff IDR Import'!A:A=A1014,'Playoff IDR Import'!C:C=C1014)),)"),"")</f>
        <v/>
      </c>
      <c r="I1014" s="58"/>
      <c r="J1014" s="59" t="str">
        <f t="shared" si="1"/>
        <v/>
      </c>
    </row>
    <row r="1015">
      <c r="A1015" s="55"/>
      <c r="B1015" s="60"/>
      <c r="C1015" s="55"/>
      <c r="D1015" s="54"/>
      <c r="E1015" s="55"/>
      <c r="F1015" s="62"/>
      <c r="G1015" s="57"/>
      <c r="H1015" s="58" t="str">
        <f>IFERROR(__xludf.DUMMYFUNCTION("iferror(if(A1015="""", ,filter('Playoff IDR Import'!D:D,'Playoff IDR Import'!A:A=A1015,'Playoff IDR Import'!C:C=C1015)),)"),"")</f>
        <v/>
      </c>
      <c r="I1015" s="58"/>
      <c r="J1015" s="59" t="str">
        <f t="shared" si="1"/>
        <v/>
      </c>
    </row>
    <row r="1016">
      <c r="A1016" s="55"/>
      <c r="B1016" s="60"/>
      <c r="C1016" s="55"/>
      <c r="D1016" s="54"/>
      <c r="E1016" s="55"/>
      <c r="F1016" s="62"/>
      <c r="G1016" s="57"/>
      <c r="H1016" s="58" t="str">
        <f>IFERROR(__xludf.DUMMYFUNCTION("iferror(if(A1016="""", ,filter('Playoff IDR Import'!D:D,'Playoff IDR Import'!A:A=A1016,'Playoff IDR Import'!C:C=C1016)),)"),"")</f>
        <v/>
      </c>
      <c r="I1016" s="58"/>
      <c r="J1016" s="59" t="str">
        <f t="shared" si="1"/>
        <v/>
      </c>
    </row>
    <row r="1017">
      <c r="A1017" s="55"/>
      <c r="B1017" s="60"/>
      <c r="C1017" s="55"/>
      <c r="D1017" s="54"/>
      <c r="E1017" s="55"/>
      <c r="F1017" s="62"/>
      <c r="G1017" s="57"/>
      <c r="H1017" s="58" t="str">
        <f>IFERROR(__xludf.DUMMYFUNCTION("iferror(if(A1017="""", ,filter('Playoff IDR Import'!D:D,'Playoff IDR Import'!A:A=A1017,'Playoff IDR Import'!C:C=C1017)),)"),"")</f>
        <v/>
      </c>
      <c r="I1017" s="58"/>
      <c r="J1017" s="59" t="str">
        <f t="shared" si="1"/>
        <v/>
      </c>
    </row>
    <row r="1018">
      <c r="A1018" s="55"/>
      <c r="B1018" s="60"/>
      <c r="C1018" s="55"/>
      <c r="D1018" s="54"/>
      <c r="E1018" s="55"/>
      <c r="F1018" s="62"/>
      <c r="G1018" s="57"/>
      <c r="H1018" s="58" t="str">
        <f>IFERROR(__xludf.DUMMYFUNCTION("iferror(if(A1018="""", ,filter('Playoff IDR Import'!D:D,'Playoff IDR Import'!A:A=A1018,'Playoff IDR Import'!C:C=C1018)),)"),"")</f>
        <v/>
      </c>
      <c r="I1018" s="58"/>
      <c r="J1018" s="59" t="str">
        <f t="shared" si="1"/>
        <v/>
      </c>
    </row>
    <row r="1019">
      <c r="A1019" s="55"/>
      <c r="B1019" s="60"/>
      <c r="C1019" s="55"/>
      <c r="D1019" s="54"/>
      <c r="E1019" s="55"/>
      <c r="F1019" s="62"/>
      <c r="G1019" s="57"/>
      <c r="H1019" s="58" t="str">
        <f>IFERROR(__xludf.DUMMYFUNCTION("iferror(if(A1019="""", ,filter('Playoff IDR Import'!D:D,'Playoff IDR Import'!A:A=A1019,'Playoff IDR Import'!C:C=C1019)),)"),"")</f>
        <v/>
      </c>
      <c r="I1019" s="58"/>
      <c r="J1019" s="59" t="str">
        <f t="shared" si="1"/>
        <v/>
      </c>
    </row>
    <row r="1020">
      <c r="A1020" s="55"/>
      <c r="B1020" s="60"/>
      <c r="C1020" s="55"/>
      <c r="D1020" s="54"/>
      <c r="E1020" s="55"/>
      <c r="F1020" s="62"/>
      <c r="G1020" s="57"/>
      <c r="H1020" s="58" t="str">
        <f>IFERROR(__xludf.DUMMYFUNCTION("iferror(if(A1020="""", ,filter('Playoff IDR Import'!D:D,'Playoff IDR Import'!A:A=A1020,'Playoff IDR Import'!C:C=C1020)),)"),"")</f>
        <v/>
      </c>
      <c r="I1020" s="58"/>
      <c r="J1020" s="59" t="str">
        <f t="shared" si="1"/>
        <v/>
      </c>
    </row>
    <row r="1021">
      <c r="A1021" s="55"/>
      <c r="B1021" s="60"/>
      <c r="C1021" s="55"/>
      <c r="D1021" s="54"/>
      <c r="E1021" s="55"/>
      <c r="F1021" s="62"/>
      <c r="G1021" s="57"/>
      <c r="H1021" s="58" t="str">
        <f>IFERROR(__xludf.DUMMYFUNCTION("iferror(if(A1021="""", ,filter('Playoff IDR Import'!D:D,'Playoff IDR Import'!A:A=A1021,'Playoff IDR Import'!C:C=C1021)),)"),"")</f>
        <v/>
      </c>
      <c r="I1021" s="58"/>
      <c r="J1021" s="59" t="str">
        <f t="shared" si="1"/>
        <v/>
      </c>
    </row>
    <row r="1022">
      <c r="A1022" s="55"/>
      <c r="B1022" s="60"/>
      <c r="C1022" s="55"/>
      <c r="D1022" s="54"/>
      <c r="E1022" s="55"/>
      <c r="F1022" s="62"/>
      <c r="G1022" s="57"/>
      <c r="H1022" s="58" t="str">
        <f>IFERROR(__xludf.DUMMYFUNCTION("iferror(if(A1022="""", ,filter('Playoff IDR Import'!D:D,'Playoff IDR Import'!A:A=A1022,'Playoff IDR Import'!C:C=C1022)),)"),"")</f>
        <v/>
      </c>
      <c r="I1022" s="58"/>
      <c r="J1022" s="59" t="str">
        <f t="shared" si="1"/>
        <v/>
      </c>
    </row>
    <row r="1023">
      <c r="A1023" s="55"/>
      <c r="B1023" s="60"/>
      <c r="C1023" s="55"/>
      <c r="D1023" s="54"/>
      <c r="E1023" s="55"/>
      <c r="F1023" s="62"/>
      <c r="G1023" s="57"/>
      <c r="H1023" s="58" t="str">
        <f>IFERROR(__xludf.DUMMYFUNCTION("iferror(if(A1023="""", ,filter('Playoff IDR Import'!D:D,'Playoff IDR Import'!A:A=A1023,'Playoff IDR Import'!C:C=C1023)),)"),"")</f>
        <v/>
      </c>
      <c r="I1023" s="58"/>
      <c r="J1023" s="59" t="str">
        <f t="shared" si="1"/>
        <v/>
      </c>
    </row>
    <row r="1024">
      <c r="A1024" s="55"/>
      <c r="B1024" s="60"/>
      <c r="C1024" s="55"/>
      <c r="D1024" s="54"/>
      <c r="E1024" s="55"/>
      <c r="F1024" s="62"/>
      <c r="G1024" s="57"/>
      <c r="H1024" s="58" t="str">
        <f>IFERROR(__xludf.DUMMYFUNCTION("iferror(if(A1024="""", ,filter('Playoff IDR Import'!D:D,'Playoff IDR Import'!A:A=A1024,'Playoff IDR Import'!C:C=C1024)),)"),"")</f>
        <v/>
      </c>
      <c r="I1024" s="58"/>
      <c r="J1024" s="59" t="str">
        <f t="shared" si="1"/>
        <v/>
      </c>
    </row>
    <row r="1025">
      <c r="A1025" s="55"/>
      <c r="B1025" s="60"/>
      <c r="C1025" s="55"/>
      <c r="D1025" s="54"/>
      <c r="E1025" s="55"/>
      <c r="F1025" s="62"/>
      <c r="G1025" s="57"/>
      <c r="H1025" s="58" t="str">
        <f>IFERROR(__xludf.DUMMYFUNCTION("iferror(if(A1025="""", ,filter('Playoff IDR Import'!D:D,'Playoff IDR Import'!A:A=A1025,'Playoff IDR Import'!C:C=C1025)),)"),"")</f>
        <v/>
      </c>
      <c r="I1025" s="58"/>
      <c r="J1025" s="59" t="str">
        <f t="shared" si="1"/>
        <v/>
      </c>
    </row>
    <row r="1026">
      <c r="A1026" s="55"/>
      <c r="B1026" s="60"/>
      <c r="C1026" s="55"/>
      <c r="D1026" s="54"/>
      <c r="E1026" s="55"/>
      <c r="F1026" s="62"/>
      <c r="G1026" s="57"/>
      <c r="H1026" s="58" t="str">
        <f>IFERROR(__xludf.DUMMYFUNCTION("iferror(if(A1026="""", ,filter('Playoff IDR Import'!D:D,'Playoff IDR Import'!A:A=A1026,'Playoff IDR Import'!C:C=C1026)),)"),"")</f>
        <v/>
      </c>
      <c r="I1026" s="58"/>
      <c r="J1026" s="59" t="str">
        <f t="shared" si="1"/>
        <v/>
      </c>
    </row>
    <row r="1027">
      <c r="A1027" s="55"/>
      <c r="B1027" s="60"/>
      <c r="C1027" s="55"/>
      <c r="D1027" s="54"/>
      <c r="E1027" s="55"/>
      <c r="F1027" s="62"/>
      <c r="G1027" s="57"/>
      <c r="H1027" s="58" t="str">
        <f>IFERROR(__xludf.DUMMYFUNCTION("iferror(if(A1027="""", ,filter('Playoff IDR Import'!D:D,'Playoff IDR Import'!A:A=A1027,'Playoff IDR Import'!C:C=C1027)),)"),"")</f>
        <v/>
      </c>
      <c r="I1027" s="58"/>
      <c r="J1027" s="59" t="str">
        <f t="shared" si="1"/>
        <v/>
      </c>
    </row>
    <row r="1028">
      <c r="A1028" s="55"/>
      <c r="B1028" s="60"/>
      <c r="C1028" s="55"/>
      <c r="D1028" s="54"/>
      <c r="E1028" s="55"/>
      <c r="F1028" s="62"/>
      <c r="G1028" s="57"/>
      <c r="H1028" s="58" t="str">
        <f>IFERROR(__xludf.DUMMYFUNCTION("iferror(if(A1028="""", ,filter('Playoff IDR Import'!D:D,'Playoff IDR Import'!A:A=A1028,'Playoff IDR Import'!C:C=C1028)),)"),"")</f>
        <v/>
      </c>
      <c r="I1028" s="58"/>
      <c r="J1028" s="59" t="str">
        <f t="shared" si="1"/>
        <v/>
      </c>
    </row>
    <row r="1029">
      <c r="A1029" s="55"/>
      <c r="B1029" s="60"/>
      <c r="C1029" s="55"/>
      <c r="D1029" s="54"/>
      <c r="E1029" s="55"/>
      <c r="F1029" s="62"/>
      <c r="G1029" s="57"/>
      <c r="H1029" s="58" t="str">
        <f>IFERROR(__xludf.DUMMYFUNCTION("iferror(if(A1029="""", ,filter('Playoff IDR Import'!D:D,'Playoff IDR Import'!A:A=A1029,'Playoff IDR Import'!C:C=C1029)),)"),"")</f>
        <v/>
      </c>
      <c r="I1029" s="58"/>
      <c r="J1029" s="59" t="str">
        <f t="shared" si="1"/>
        <v/>
      </c>
    </row>
    <row r="1030">
      <c r="A1030" s="55"/>
      <c r="B1030" s="60"/>
      <c r="C1030" s="55"/>
      <c r="D1030" s="54"/>
      <c r="E1030" s="55"/>
      <c r="F1030" s="62"/>
      <c r="G1030" s="57"/>
      <c r="H1030" s="58" t="str">
        <f>IFERROR(__xludf.DUMMYFUNCTION("iferror(if(A1030="""", ,filter('Playoff IDR Import'!D:D,'Playoff IDR Import'!A:A=A1030,'Playoff IDR Import'!C:C=C1030)),)"),"")</f>
        <v/>
      </c>
      <c r="I1030" s="58"/>
      <c r="J1030" s="59" t="str">
        <f t="shared" si="1"/>
        <v/>
      </c>
    </row>
    <row r="1031">
      <c r="A1031" s="55"/>
      <c r="B1031" s="60"/>
      <c r="C1031" s="55"/>
      <c r="D1031" s="54"/>
      <c r="E1031" s="55"/>
      <c r="F1031" s="62"/>
      <c r="G1031" s="57"/>
      <c r="H1031" s="58" t="str">
        <f>IFERROR(__xludf.DUMMYFUNCTION("iferror(if(A1031="""", ,filter('Playoff IDR Import'!D:D,'Playoff IDR Import'!A:A=A1031,'Playoff IDR Import'!C:C=C1031)),)"),"")</f>
        <v/>
      </c>
      <c r="I1031" s="58"/>
      <c r="J1031" s="59" t="str">
        <f t="shared" si="1"/>
        <v/>
      </c>
    </row>
    <row r="1032">
      <c r="A1032" s="55"/>
      <c r="B1032" s="60"/>
      <c r="C1032" s="55"/>
      <c r="D1032" s="54"/>
      <c r="E1032" s="55"/>
      <c r="F1032" s="62"/>
      <c r="G1032" s="57"/>
      <c r="H1032" s="58" t="str">
        <f>IFERROR(__xludf.DUMMYFUNCTION("iferror(if(A1032="""", ,filter('Playoff IDR Import'!D:D,'Playoff IDR Import'!A:A=A1032,'Playoff IDR Import'!C:C=C1032)),)"),"")</f>
        <v/>
      </c>
      <c r="I1032" s="58"/>
      <c r="J1032" s="59" t="str">
        <f t="shared" si="1"/>
        <v/>
      </c>
    </row>
    <row r="1033">
      <c r="A1033" s="55"/>
      <c r="B1033" s="60"/>
      <c r="C1033" s="55"/>
      <c r="D1033" s="54"/>
      <c r="E1033" s="55"/>
      <c r="F1033" s="62"/>
      <c r="G1033" s="57"/>
      <c r="H1033" s="58" t="str">
        <f>IFERROR(__xludf.DUMMYFUNCTION("iferror(if(A1033="""", ,filter('Playoff IDR Import'!D:D,'Playoff IDR Import'!A:A=A1033,'Playoff IDR Import'!C:C=C1033)),)"),"")</f>
        <v/>
      </c>
      <c r="I1033" s="58"/>
      <c r="J1033" s="59" t="str">
        <f t="shared" si="1"/>
        <v/>
      </c>
    </row>
    <row r="1034">
      <c r="A1034" s="55"/>
      <c r="B1034" s="60"/>
      <c r="C1034" s="55"/>
      <c r="D1034" s="54"/>
      <c r="E1034" s="55"/>
      <c r="F1034" s="62"/>
      <c r="G1034" s="57"/>
      <c r="H1034" s="58" t="str">
        <f>IFERROR(__xludf.DUMMYFUNCTION("iferror(if(A1034="""", ,filter('Playoff IDR Import'!D:D,'Playoff IDR Import'!A:A=A1034,'Playoff IDR Import'!C:C=C1034)),)"),"")</f>
        <v/>
      </c>
      <c r="I1034" s="58"/>
      <c r="J1034" s="59" t="str">
        <f t="shared" si="1"/>
        <v/>
      </c>
    </row>
    <row r="1035">
      <c r="A1035" s="55"/>
      <c r="B1035" s="60"/>
      <c r="C1035" s="55"/>
      <c r="D1035" s="54"/>
      <c r="E1035" s="55"/>
      <c r="F1035" s="62"/>
      <c r="G1035" s="57"/>
      <c r="H1035" s="58" t="str">
        <f>IFERROR(__xludf.DUMMYFUNCTION("iferror(if(A1035="""", ,filter('Playoff IDR Import'!D:D,'Playoff IDR Import'!A:A=A1035,'Playoff IDR Import'!C:C=C1035)),)"),"")</f>
        <v/>
      </c>
      <c r="I1035" s="58"/>
      <c r="J1035" s="59" t="str">
        <f t="shared" si="1"/>
        <v/>
      </c>
    </row>
    <row r="1036">
      <c r="A1036" s="55"/>
      <c r="B1036" s="60"/>
      <c r="C1036" s="55"/>
      <c r="D1036" s="54"/>
      <c r="E1036" s="55"/>
      <c r="F1036" s="62"/>
      <c r="G1036" s="57"/>
      <c r="H1036" s="58" t="str">
        <f>IFERROR(__xludf.DUMMYFUNCTION("iferror(if(A1036="""", ,filter('Playoff IDR Import'!D:D,'Playoff IDR Import'!A:A=A1036,'Playoff IDR Import'!C:C=C1036)),)"),"")</f>
        <v/>
      </c>
      <c r="I1036" s="58"/>
      <c r="J1036" s="59" t="str">
        <f t="shared" si="1"/>
        <v/>
      </c>
    </row>
    <row r="1037">
      <c r="A1037" s="55"/>
      <c r="B1037" s="60"/>
      <c r="C1037" s="55"/>
      <c r="D1037" s="54"/>
      <c r="E1037" s="55"/>
      <c r="F1037" s="62"/>
      <c r="G1037" s="57"/>
      <c r="H1037" s="58" t="str">
        <f>IFERROR(__xludf.DUMMYFUNCTION("iferror(if(A1037="""", ,filter('Playoff IDR Import'!D:D,'Playoff IDR Import'!A:A=A1037,'Playoff IDR Import'!C:C=C1037)),)"),"")</f>
        <v/>
      </c>
      <c r="I1037" s="58"/>
      <c r="J1037" s="59" t="str">
        <f t="shared" si="1"/>
        <v/>
      </c>
    </row>
    <row r="1038">
      <c r="A1038" s="55"/>
      <c r="B1038" s="60"/>
      <c r="C1038" s="55"/>
      <c r="D1038" s="54"/>
      <c r="E1038" s="55"/>
      <c r="F1038" s="62"/>
      <c r="G1038" s="57"/>
      <c r="H1038" s="58" t="str">
        <f>IFERROR(__xludf.DUMMYFUNCTION("iferror(if(A1038="""", ,filter('Playoff IDR Import'!D:D,'Playoff IDR Import'!A:A=A1038,'Playoff IDR Import'!C:C=C1038)),)"),"")</f>
        <v/>
      </c>
      <c r="I1038" s="58"/>
      <c r="J1038" s="59" t="str">
        <f t="shared" si="1"/>
        <v/>
      </c>
    </row>
    <row r="1039">
      <c r="A1039" s="55"/>
      <c r="B1039" s="60"/>
      <c r="C1039" s="55"/>
      <c r="D1039" s="54"/>
      <c r="E1039" s="55"/>
      <c r="F1039" s="62"/>
      <c r="G1039" s="57"/>
      <c r="H1039" s="58" t="str">
        <f>IFERROR(__xludf.DUMMYFUNCTION("iferror(if(A1039="""", ,filter('Playoff IDR Import'!D:D,'Playoff IDR Import'!A:A=A1039,'Playoff IDR Import'!C:C=C1039)),)"),"")</f>
        <v/>
      </c>
      <c r="I1039" s="58"/>
      <c r="J1039" s="59" t="str">
        <f t="shared" si="1"/>
        <v/>
      </c>
    </row>
    <row r="1040">
      <c r="A1040" s="55"/>
      <c r="B1040" s="60"/>
      <c r="C1040" s="55"/>
      <c r="D1040" s="54"/>
      <c r="E1040" s="55"/>
      <c r="F1040" s="62"/>
      <c r="G1040" s="57"/>
      <c r="H1040" s="58" t="str">
        <f>IFERROR(__xludf.DUMMYFUNCTION("iferror(if(A1040="""", ,filter('Playoff IDR Import'!D:D,'Playoff IDR Import'!A:A=A1040,'Playoff IDR Import'!C:C=C1040)),)"),"")</f>
        <v/>
      </c>
      <c r="I1040" s="58"/>
      <c r="J1040" s="59" t="str">
        <f t="shared" si="1"/>
        <v/>
      </c>
    </row>
    <row r="1041">
      <c r="A1041" s="55"/>
      <c r="B1041" s="60"/>
      <c r="C1041" s="55"/>
      <c r="D1041" s="54"/>
      <c r="E1041" s="55"/>
      <c r="F1041" s="62"/>
      <c r="G1041" s="57"/>
      <c r="H1041" s="58" t="str">
        <f>IFERROR(__xludf.DUMMYFUNCTION("iferror(if(A1041="""", ,filter('Playoff IDR Import'!D:D,'Playoff IDR Import'!A:A=A1041,'Playoff IDR Import'!C:C=C1041)),)"),"")</f>
        <v/>
      </c>
      <c r="I1041" s="58"/>
      <c r="J1041" s="59" t="str">
        <f t="shared" si="1"/>
        <v/>
      </c>
    </row>
    <row r="1042">
      <c r="A1042" s="55"/>
      <c r="B1042" s="60"/>
      <c r="C1042" s="55"/>
      <c r="D1042" s="54"/>
      <c r="E1042" s="55"/>
      <c r="F1042" s="62"/>
      <c r="G1042" s="57"/>
      <c r="H1042" s="58" t="str">
        <f>IFERROR(__xludf.DUMMYFUNCTION("iferror(if(A1042="""", ,filter('Playoff IDR Import'!D:D,'Playoff IDR Import'!A:A=A1042,'Playoff IDR Import'!C:C=C1042)),)"),"")</f>
        <v/>
      </c>
      <c r="I1042" s="58"/>
      <c r="J1042" s="59" t="str">
        <f t="shared" si="1"/>
        <v/>
      </c>
    </row>
    <row r="1043">
      <c r="A1043" s="55"/>
      <c r="B1043" s="60"/>
      <c r="C1043" s="55"/>
      <c r="D1043" s="54"/>
      <c r="E1043" s="55"/>
      <c r="F1043" s="62"/>
      <c r="G1043" s="57"/>
      <c r="H1043" s="58" t="str">
        <f>IFERROR(__xludf.DUMMYFUNCTION("iferror(if(A1043="""", ,filter('Playoff IDR Import'!D:D,'Playoff IDR Import'!A:A=A1043,'Playoff IDR Import'!C:C=C1043)),)"),"")</f>
        <v/>
      </c>
      <c r="I1043" s="58"/>
      <c r="J1043" s="59" t="str">
        <f t="shared" si="1"/>
        <v/>
      </c>
    </row>
    <row r="1044">
      <c r="A1044" s="55"/>
      <c r="B1044" s="60"/>
      <c r="C1044" s="55"/>
      <c r="D1044" s="54"/>
      <c r="E1044" s="55"/>
      <c r="F1044" s="62"/>
      <c r="G1044" s="57"/>
      <c r="H1044" s="58" t="str">
        <f>IFERROR(__xludf.DUMMYFUNCTION("iferror(if(A1044="""", ,filter('Playoff IDR Import'!D:D,'Playoff IDR Import'!A:A=A1044,'Playoff IDR Import'!C:C=C1044)),)"),"")</f>
        <v/>
      </c>
      <c r="I1044" s="58"/>
      <c r="J1044" s="59" t="str">
        <f t="shared" si="1"/>
        <v/>
      </c>
    </row>
    <row r="1045">
      <c r="A1045" s="55"/>
      <c r="B1045" s="60"/>
      <c r="C1045" s="55"/>
      <c r="D1045" s="54"/>
      <c r="E1045" s="55"/>
      <c r="F1045" s="62"/>
      <c r="G1045" s="57"/>
      <c r="H1045" s="58" t="str">
        <f>IFERROR(__xludf.DUMMYFUNCTION("iferror(if(A1045="""", ,filter('Playoff IDR Import'!D:D,'Playoff IDR Import'!A:A=A1045,'Playoff IDR Import'!C:C=C1045)),)"),"")</f>
        <v/>
      </c>
      <c r="I1045" s="58"/>
      <c r="J1045" s="59" t="str">
        <f t="shared" si="1"/>
        <v/>
      </c>
    </row>
    <row r="1046">
      <c r="A1046" s="55"/>
      <c r="B1046" s="60"/>
      <c r="C1046" s="55"/>
      <c r="D1046" s="54"/>
      <c r="E1046" s="55"/>
      <c r="F1046" s="62"/>
      <c r="G1046" s="57"/>
      <c r="H1046" s="58" t="str">
        <f>IFERROR(__xludf.DUMMYFUNCTION("iferror(if(A1046="""", ,filter('Playoff IDR Import'!D:D,'Playoff IDR Import'!A:A=A1046,'Playoff IDR Import'!C:C=C1046)),)"),"")</f>
        <v/>
      </c>
      <c r="I1046" s="58"/>
      <c r="J1046" s="59" t="str">
        <f t="shared" si="1"/>
        <v/>
      </c>
    </row>
    <row r="1047">
      <c r="A1047" s="55"/>
      <c r="B1047" s="60"/>
      <c r="C1047" s="55"/>
      <c r="D1047" s="54"/>
      <c r="E1047" s="55"/>
      <c r="F1047" s="62"/>
      <c r="G1047" s="57"/>
      <c r="H1047" s="58" t="str">
        <f>IFERROR(__xludf.DUMMYFUNCTION("iferror(if(A1047="""", ,filter('Playoff IDR Import'!D:D,'Playoff IDR Import'!A:A=A1047,'Playoff IDR Import'!C:C=C1047)),)"),"")</f>
        <v/>
      </c>
      <c r="I1047" s="58"/>
      <c r="J1047" s="59" t="str">
        <f t="shared" si="1"/>
        <v/>
      </c>
    </row>
    <row r="1048">
      <c r="A1048" s="55"/>
      <c r="B1048" s="60"/>
      <c r="C1048" s="55"/>
      <c r="D1048" s="54"/>
      <c r="E1048" s="55"/>
      <c r="F1048" s="62"/>
      <c r="G1048" s="57"/>
      <c r="H1048" s="58" t="str">
        <f>IFERROR(__xludf.DUMMYFUNCTION("iferror(if(A1048="""", ,filter('Playoff IDR Import'!D:D,'Playoff IDR Import'!A:A=A1048,'Playoff IDR Import'!C:C=C1048)),)"),"")</f>
        <v/>
      </c>
      <c r="I1048" s="58"/>
      <c r="J1048" s="59" t="str">
        <f t="shared" si="1"/>
        <v/>
      </c>
    </row>
    <row r="1049">
      <c r="A1049" s="55"/>
      <c r="B1049" s="60"/>
      <c r="C1049" s="55"/>
      <c r="D1049" s="54"/>
      <c r="E1049" s="55"/>
      <c r="F1049" s="62"/>
      <c r="G1049" s="57"/>
      <c r="H1049" s="58" t="str">
        <f>IFERROR(__xludf.DUMMYFUNCTION("iferror(if(A1049="""", ,filter('Playoff IDR Import'!D:D,'Playoff IDR Import'!A:A=A1049,'Playoff IDR Import'!C:C=C1049)),)"),"")</f>
        <v/>
      </c>
      <c r="I1049" s="58"/>
      <c r="J1049" s="59" t="str">
        <f t="shared" si="1"/>
        <v/>
      </c>
    </row>
    <row r="1050">
      <c r="A1050" s="55"/>
      <c r="B1050" s="60"/>
      <c r="C1050" s="55"/>
      <c r="D1050" s="54"/>
      <c r="E1050" s="55"/>
      <c r="F1050" s="62"/>
      <c r="G1050" s="57"/>
      <c r="H1050" s="58" t="str">
        <f>IFERROR(__xludf.DUMMYFUNCTION("iferror(if(A1050="""", ,filter('Playoff IDR Import'!D:D,'Playoff IDR Import'!A:A=A1050,'Playoff IDR Import'!C:C=C1050)),)"),"")</f>
        <v/>
      </c>
      <c r="I1050" s="58"/>
      <c r="J1050" s="59" t="str">
        <f t="shared" si="1"/>
        <v/>
      </c>
    </row>
    <row r="1051">
      <c r="A1051" s="55"/>
      <c r="B1051" s="60"/>
      <c r="C1051" s="55"/>
      <c r="D1051" s="54"/>
      <c r="E1051" s="55"/>
      <c r="F1051" s="62"/>
      <c r="G1051" s="57"/>
      <c r="H1051" s="58" t="str">
        <f>IFERROR(__xludf.DUMMYFUNCTION("iferror(if(A1051="""", ,filter('Playoff IDR Import'!D:D,'Playoff IDR Import'!A:A=A1051,'Playoff IDR Import'!C:C=C1051)),)"),"")</f>
        <v/>
      </c>
      <c r="I1051" s="58"/>
      <c r="J1051" s="59" t="str">
        <f t="shared" si="1"/>
        <v/>
      </c>
    </row>
    <row r="1052">
      <c r="A1052" s="55"/>
      <c r="B1052" s="60"/>
      <c r="C1052" s="55"/>
      <c r="D1052" s="54"/>
      <c r="E1052" s="55"/>
      <c r="F1052" s="62"/>
      <c r="G1052" s="57"/>
      <c r="H1052" s="58" t="str">
        <f>IFERROR(__xludf.DUMMYFUNCTION("iferror(if(A1052="""", ,filter('Playoff IDR Import'!D:D,'Playoff IDR Import'!A:A=A1052,'Playoff IDR Import'!C:C=C1052)),)"),"")</f>
        <v/>
      </c>
      <c r="I1052" s="58"/>
      <c r="J1052" s="59" t="str">
        <f t="shared" si="1"/>
        <v/>
      </c>
    </row>
    <row r="1053">
      <c r="A1053" s="55"/>
      <c r="B1053" s="60"/>
      <c r="C1053" s="55"/>
      <c r="D1053" s="54"/>
      <c r="E1053" s="55"/>
      <c r="F1053" s="62"/>
      <c r="G1053" s="57"/>
      <c r="H1053" s="58" t="str">
        <f>IFERROR(__xludf.DUMMYFUNCTION("iferror(if(A1053="""", ,filter('Playoff IDR Import'!D:D,'Playoff IDR Import'!A:A=A1053,'Playoff IDR Import'!C:C=C1053)),)"),"")</f>
        <v/>
      </c>
      <c r="I1053" s="58"/>
      <c r="J1053" s="59" t="str">
        <f t="shared" si="1"/>
        <v/>
      </c>
    </row>
    <row r="1054">
      <c r="A1054" s="55"/>
      <c r="B1054" s="60"/>
      <c r="C1054" s="55"/>
      <c r="D1054" s="54"/>
      <c r="E1054" s="55"/>
      <c r="F1054" s="62"/>
      <c r="G1054" s="57"/>
      <c r="H1054" s="58" t="str">
        <f>IFERROR(__xludf.DUMMYFUNCTION("iferror(if(A1054="""", ,filter('Playoff IDR Import'!D:D,'Playoff IDR Import'!A:A=A1054,'Playoff IDR Import'!C:C=C1054)),)"),"")</f>
        <v/>
      </c>
      <c r="I1054" s="58"/>
      <c r="J1054" s="59" t="str">
        <f t="shared" si="1"/>
        <v/>
      </c>
    </row>
    <row r="1055">
      <c r="A1055" s="55"/>
      <c r="B1055" s="60"/>
      <c r="C1055" s="55"/>
      <c r="D1055" s="54"/>
      <c r="E1055" s="55"/>
      <c r="F1055" s="62"/>
      <c r="G1055" s="57"/>
      <c r="H1055" s="58" t="str">
        <f>IFERROR(__xludf.DUMMYFUNCTION("iferror(if(A1055="""", ,filter('Playoff IDR Import'!D:D,'Playoff IDR Import'!A:A=A1055,'Playoff IDR Import'!C:C=C1055)),)"),"")</f>
        <v/>
      </c>
      <c r="I1055" s="58"/>
      <c r="J1055" s="59" t="str">
        <f t="shared" si="1"/>
        <v/>
      </c>
    </row>
    <row r="1056">
      <c r="A1056" s="55"/>
      <c r="B1056" s="60"/>
      <c r="C1056" s="55"/>
      <c r="D1056" s="54"/>
      <c r="E1056" s="55"/>
      <c r="F1056" s="62"/>
      <c r="G1056" s="57"/>
      <c r="H1056" s="58" t="str">
        <f>IFERROR(__xludf.DUMMYFUNCTION("iferror(if(A1056="""", ,filter('Playoff IDR Import'!D:D,'Playoff IDR Import'!A:A=A1056,'Playoff IDR Import'!C:C=C1056)),)"),"")</f>
        <v/>
      </c>
      <c r="I1056" s="58"/>
      <c r="J1056" s="59" t="str">
        <f t="shared" si="1"/>
        <v/>
      </c>
    </row>
    <row r="1057">
      <c r="A1057" s="55"/>
      <c r="B1057" s="60"/>
      <c r="C1057" s="55"/>
      <c r="D1057" s="54"/>
      <c r="E1057" s="55"/>
      <c r="F1057" s="62"/>
      <c r="G1057" s="57"/>
      <c r="H1057" s="58" t="str">
        <f>IFERROR(__xludf.DUMMYFUNCTION("iferror(if(A1057="""", ,filter('Playoff IDR Import'!D:D,'Playoff IDR Import'!A:A=A1057,'Playoff IDR Import'!C:C=C1057)),)"),"")</f>
        <v/>
      </c>
      <c r="I1057" s="58"/>
      <c r="J1057" s="59" t="str">
        <f t="shared" si="1"/>
        <v/>
      </c>
    </row>
    <row r="1058">
      <c r="A1058" s="55"/>
      <c r="B1058" s="60"/>
      <c r="C1058" s="55"/>
      <c r="D1058" s="54"/>
      <c r="E1058" s="55"/>
      <c r="F1058" s="62"/>
      <c r="G1058" s="57"/>
      <c r="H1058" s="58" t="str">
        <f>IFERROR(__xludf.DUMMYFUNCTION("iferror(if(A1058="""", ,filter('Playoff IDR Import'!D:D,'Playoff IDR Import'!A:A=A1058,'Playoff IDR Import'!C:C=C1058)),)"),"")</f>
        <v/>
      </c>
      <c r="I1058" s="58"/>
      <c r="J1058" s="59" t="str">
        <f t="shared" si="1"/>
        <v/>
      </c>
    </row>
    <row r="1059">
      <c r="A1059" s="55"/>
      <c r="B1059" s="60"/>
      <c r="C1059" s="55"/>
      <c r="D1059" s="54"/>
      <c r="E1059" s="55"/>
      <c r="F1059" s="62"/>
      <c r="G1059" s="57"/>
      <c r="H1059" s="58" t="str">
        <f>IFERROR(__xludf.DUMMYFUNCTION("iferror(if(A1059="""", ,filter('Playoff IDR Import'!D:D,'Playoff IDR Import'!A:A=A1059,'Playoff IDR Import'!C:C=C1059)),)"),"")</f>
        <v/>
      </c>
      <c r="I1059" s="58"/>
      <c r="J1059" s="59" t="str">
        <f t="shared" si="1"/>
        <v/>
      </c>
    </row>
    <row r="1060">
      <c r="A1060" s="55"/>
      <c r="B1060" s="60"/>
      <c r="C1060" s="55"/>
      <c r="D1060" s="54"/>
      <c r="E1060" s="55"/>
      <c r="F1060" s="62"/>
      <c r="G1060" s="57"/>
      <c r="H1060" s="58" t="str">
        <f>IFERROR(__xludf.DUMMYFUNCTION("iferror(if(A1060="""", ,filter('Playoff IDR Import'!D:D,'Playoff IDR Import'!A:A=A1060,'Playoff IDR Import'!C:C=C1060)),)"),"")</f>
        <v/>
      </c>
      <c r="I1060" s="58"/>
      <c r="J1060" s="59" t="str">
        <f t="shared" si="1"/>
        <v/>
      </c>
    </row>
    <row r="1061">
      <c r="A1061" s="55"/>
      <c r="B1061" s="60"/>
      <c r="C1061" s="55"/>
      <c r="D1061" s="54"/>
      <c r="E1061" s="55"/>
      <c r="F1061" s="62"/>
      <c r="G1061" s="57"/>
      <c r="H1061" s="58" t="str">
        <f>IFERROR(__xludf.DUMMYFUNCTION("iferror(if(A1061="""", ,filter('Playoff IDR Import'!D:D,'Playoff IDR Import'!A:A=A1061,'Playoff IDR Import'!C:C=C1061)),)"),"")</f>
        <v/>
      </c>
      <c r="I1061" s="58"/>
      <c r="J1061" s="59" t="str">
        <f t="shared" si="1"/>
        <v/>
      </c>
    </row>
    <row r="1062">
      <c r="A1062" s="55"/>
      <c r="B1062" s="60"/>
      <c r="C1062" s="55"/>
      <c r="D1062" s="54"/>
      <c r="E1062" s="55"/>
      <c r="F1062" s="62"/>
      <c r="G1062" s="57"/>
      <c r="H1062" s="58" t="str">
        <f>IFERROR(__xludf.DUMMYFUNCTION("iferror(if(A1062="""", ,filter('Playoff IDR Import'!D:D,'Playoff IDR Import'!A:A=A1062,'Playoff IDR Import'!C:C=C1062)),)"),"")</f>
        <v/>
      </c>
      <c r="I1062" s="58"/>
      <c r="J1062" s="59" t="str">
        <f t="shared" si="1"/>
        <v/>
      </c>
    </row>
    <row r="1063">
      <c r="A1063" s="55"/>
      <c r="B1063" s="60"/>
      <c r="C1063" s="55"/>
      <c r="D1063" s="54"/>
      <c r="E1063" s="55"/>
      <c r="F1063" s="62"/>
      <c r="G1063" s="57"/>
      <c r="H1063" s="58" t="str">
        <f>IFERROR(__xludf.DUMMYFUNCTION("iferror(if(A1063="""", ,filter('Playoff IDR Import'!D:D,'Playoff IDR Import'!A:A=A1063,'Playoff IDR Import'!C:C=C1063)),)"),"")</f>
        <v/>
      </c>
      <c r="I1063" s="58"/>
      <c r="J1063" s="59" t="str">
        <f t="shared" si="1"/>
        <v/>
      </c>
    </row>
    <row r="1064">
      <c r="A1064" s="55"/>
      <c r="B1064" s="60"/>
      <c r="C1064" s="55"/>
      <c r="D1064" s="54"/>
      <c r="E1064" s="55"/>
      <c r="F1064" s="62"/>
      <c r="G1064" s="57"/>
      <c r="H1064" s="58" t="str">
        <f>IFERROR(__xludf.DUMMYFUNCTION("iferror(if(A1064="""", ,filter('Playoff IDR Import'!D:D,'Playoff IDR Import'!A:A=A1064,'Playoff IDR Import'!C:C=C1064)),)"),"")</f>
        <v/>
      </c>
      <c r="I1064" s="58"/>
      <c r="J1064" s="59" t="str">
        <f t="shared" si="1"/>
        <v/>
      </c>
    </row>
    <row r="1065">
      <c r="A1065" s="55"/>
      <c r="B1065" s="60"/>
      <c r="C1065" s="55"/>
      <c r="D1065" s="54"/>
      <c r="E1065" s="55"/>
      <c r="F1065" s="62"/>
      <c r="G1065" s="57"/>
      <c r="H1065" s="58" t="str">
        <f>IFERROR(__xludf.DUMMYFUNCTION("iferror(if(A1065="""", ,filter('Playoff IDR Import'!D:D,'Playoff IDR Import'!A:A=A1065,'Playoff IDR Import'!C:C=C1065)),)"),"")</f>
        <v/>
      </c>
      <c r="I1065" s="58"/>
      <c r="J1065" s="59" t="str">
        <f t="shared" si="1"/>
        <v/>
      </c>
    </row>
    <row r="1066">
      <c r="A1066" s="55"/>
      <c r="B1066" s="60"/>
      <c r="C1066" s="55"/>
      <c r="D1066" s="54"/>
      <c r="E1066" s="55"/>
      <c r="F1066" s="62"/>
      <c r="G1066" s="57"/>
      <c r="H1066" s="58" t="str">
        <f>IFERROR(__xludf.DUMMYFUNCTION("iferror(if(A1066="""", ,filter('Playoff IDR Import'!D:D,'Playoff IDR Import'!A:A=A1066,'Playoff IDR Import'!C:C=C1066)),)"),"")</f>
        <v/>
      </c>
      <c r="I1066" s="58"/>
      <c r="J1066" s="59" t="str">
        <f t="shared" si="1"/>
        <v/>
      </c>
    </row>
    <row r="1067">
      <c r="A1067" s="55"/>
      <c r="B1067" s="60"/>
      <c r="C1067" s="55"/>
      <c r="D1067" s="54"/>
      <c r="E1067" s="55"/>
      <c r="F1067" s="62"/>
      <c r="G1067" s="57"/>
      <c r="H1067" s="58" t="str">
        <f>IFERROR(__xludf.DUMMYFUNCTION("iferror(if(A1067="""", ,filter('Playoff IDR Import'!D:D,'Playoff IDR Import'!A:A=A1067,'Playoff IDR Import'!C:C=C1067)),)"),"")</f>
        <v/>
      </c>
      <c r="I1067" s="58"/>
      <c r="J1067" s="59" t="str">
        <f t="shared" si="1"/>
        <v/>
      </c>
    </row>
    <row r="1068">
      <c r="A1068" s="55"/>
      <c r="B1068" s="60"/>
      <c r="C1068" s="55"/>
      <c r="D1068" s="54"/>
      <c r="E1068" s="55"/>
      <c r="F1068" s="62"/>
      <c r="G1068" s="57"/>
      <c r="H1068" s="58" t="str">
        <f>IFERROR(__xludf.DUMMYFUNCTION("iferror(if(A1068="""", ,filter('Playoff IDR Import'!D:D,'Playoff IDR Import'!A:A=A1068,'Playoff IDR Import'!C:C=C1068)),)"),"")</f>
        <v/>
      </c>
      <c r="I1068" s="58"/>
      <c r="J1068" s="59" t="str">
        <f t="shared" si="1"/>
        <v/>
      </c>
    </row>
    <row r="1069">
      <c r="A1069" s="55"/>
      <c r="B1069" s="60"/>
      <c r="C1069" s="55"/>
      <c r="D1069" s="54"/>
      <c r="E1069" s="55"/>
      <c r="F1069" s="62"/>
      <c r="G1069" s="57"/>
      <c r="H1069" s="58" t="str">
        <f>IFERROR(__xludf.DUMMYFUNCTION("iferror(if(A1069="""", ,filter('Playoff IDR Import'!D:D,'Playoff IDR Import'!A:A=A1069,'Playoff IDR Import'!C:C=C1069)),)"),"")</f>
        <v/>
      </c>
      <c r="I1069" s="58"/>
      <c r="J1069" s="59" t="str">
        <f t="shared" si="1"/>
        <v/>
      </c>
    </row>
    <row r="1070">
      <c r="A1070" s="55"/>
      <c r="B1070" s="60"/>
      <c r="C1070" s="55"/>
      <c r="D1070" s="54"/>
      <c r="E1070" s="55"/>
      <c r="F1070" s="62"/>
      <c r="G1070" s="57"/>
      <c r="H1070" s="58" t="str">
        <f>IFERROR(__xludf.DUMMYFUNCTION("iferror(if(A1070="""", ,filter('Playoff IDR Import'!D:D,'Playoff IDR Import'!A:A=A1070,'Playoff IDR Import'!C:C=C1070)),)"),"")</f>
        <v/>
      </c>
      <c r="I1070" s="58"/>
      <c r="J1070" s="59" t="str">
        <f t="shared" si="1"/>
        <v/>
      </c>
    </row>
    <row r="1071">
      <c r="A1071" s="55"/>
      <c r="B1071" s="60"/>
      <c r="C1071" s="55"/>
      <c r="D1071" s="54"/>
      <c r="E1071" s="55"/>
      <c r="F1071" s="62"/>
      <c r="G1071" s="57"/>
      <c r="H1071" s="58" t="str">
        <f>IFERROR(__xludf.DUMMYFUNCTION("iferror(if(A1071="""", ,filter('Playoff IDR Import'!D:D,'Playoff IDR Import'!A:A=A1071,'Playoff IDR Import'!C:C=C1071)),)"),"")</f>
        <v/>
      </c>
      <c r="I1071" s="58"/>
      <c r="J1071" s="59" t="str">
        <f t="shared" si="1"/>
        <v/>
      </c>
    </row>
    <row r="1072">
      <c r="A1072" s="55"/>
      <c r="B1072" s="60"/>
      <c r="C1072" s="55"/>
      <c r="D1072" s="54"/>
      <c r="E1072" s="55"/>
      <c r="F1072" s="62"/>
      <c r="G1072" s="57"/>
      <c r="H1072" s="58" t="str">
        <f>IFERROR(__xludf.DUMMYFUNCTION("iferror(if(A1072="""", ,filter('Playoff IDR Import'!D:D,'Playoff IDR Import'!A:A=A1072,'Playoff IDR Import'!C:C=C1072)),)"),"")</f>
        <v/>
      </c>
      <c r="I1072" s="58"/>
      <c r="J1072" s="59" t="str">
        <f t="shared" si="1"/>
        <v/>
      </c>
    </row>
    <row r="1073">
      <c r="A1073" s="55"/>
      <c r="B1073" s="60"/>
      <c r="C1073" s="55"/>
      <c r="D1073" s="54"/>
      <c r="E1073" s="55"/>
      <c r="F1073" s="62"/>
      <c r="G1073" s="57"/>
      <c r="H1073" s="58" t="str">
        <f>IFERROR(__xludf.DUMMYFUNCTION("iferror(if(A1073="""", ,filter('Playoff IDR Import'!D:D,'Playoff IDR Import'!A:A=A1073,'Playoff IDR Import'!C:C=C1073)),)"),"")</f>
        <v/>
      </c>
      <c r="I1073" s="58"/>
      <c r="J1073" s="59" t="str">
        <f t="shared" si="1"/>
        <v/>
      </c>
    </row>
    <row r="1074">
      <c r="A1074" s="55"/>
      <c r="B1074" s="60"/>
      <c r="C1074" s="55"/>
      <c r="D1074" s="54"/>
      <c r="E1074" s="55"/>
      <c r="F1074" s="62"/>
      <c r="G1074" s="57"/>
      <c r="H1074" s="58" t="str">
        <f>IFERROR(__xludf.DUMMYFUNCTION("iferror(if(A1074="""", ,filter('Playoff IDR Import'!D:D,'Playoff IDR Import'!A:A=A1074,'Playoff IDR Import'!C:C=C1074)),)"),"")</f>
        <v/>
      </c>
      <c r="I1074" s="58"/>
      <c r="J1074" s="59" t="str">
        <f t="shared" si="1"/>
        <v/>
      </c>
    </row>
    <row r="1075">
      <c r="A1075" s="55"/>
      <c r="B1075" s="60"/>
      <c r="C1075" s="55"/>
      <c r="D1075" s="54"/>
      <c r="E1075" s="55"/>
      <c r="F1075" s="62"/>
      <c r="G1075" s="57"/>
      <c r="H1075" s="58" t="str">
        <f>IFERROR(__xludf.DUMMYFUNCTION("iferror(if(A1075="""", ,filter('Playoff IDR Import'!D:D,'Playoff IDR Import'!A:A=A1075,'Playoff IDR Import'!C:C=C1075)),)"),"")</f>
        <v/>
      </c>
      <c r="I1075" s="58"/>
      <c r="J1075" s="59" t="str">
        <f t="shared" si="1"/>
        <v/>
      </c>
    </row>
    <row r="1076">
      <c r="A1076" s="55"/>
      <c r="B1076" s="60"/>
      <c r="C1076" s="55"/>
      <c r="D1076" s="54"/>
      <c r="E1076" s="55"/>
      <c r="F1076" s="62"/>
      <c r="G1076" s="57"/>
      <c r="H1076" s="58" t="str">
        <f>IFERROR(__xludf.DUMMYFUNCTION("iferror(if(A1076="""", ,filter('Playoff IDR Import'!D:D,'Playoff IDR Import'!A:A=A1076,'Playoff IDR Import'!C:C=C1076)),)"),"")</f>
        <v/>
      </c>
      <c r="I1076" s="58"/>
      <c r="J1076" s="59" t="str">
        <f t="shared" si="1"/>
        <v/>
      </c>
    </row>
    <row r="1077">
      <c r="A1077" s="55"/>
      <c r="B1077" s="60"/>
      <c r="C1077" s="55"/>
      <c r="D1077" s="54"/>
      <c r="E1077" s="55"/>
      <c r="F1077" s="62"/>
      <c r="G1077" s="57"/>
      <c r="H1077" s="58" t="str">
        <f>IFERROR(__xludf.DUMMYFUNCTION("iferror(if(A1077="""", ,filter('Playoff IDR Import'!D:D,'Playoff IDR Import'!A:A=A1077,'Playoff IDR Import'!C:C=C1077)),)"),"")</f>
        <v/>
      </c>
      <c r="I1077" s="58"/>
      <c r="J1077" s="59" t="str">
        <f t="shared" si="1"/>
        <v/>
      </c>
    </row>
    <row r="1078">
      <c r="A1078" s="55"/>
      <c r="B1078" s="60"/>
      <c r="C1078" s="55"/>
      <c r="D1078" s="54"/>
      <c r="E1078" s="55"/>
      <c r="F1078" s="62"/>
      <c r="G1078" s="57"/>
      <c r="H1078" s="58" t="str">
        <f>IFERROR(__xludf.DUMMYFUNCTION("iferror(if(A1078="""", ,filter('Playoff IDR Import'!D:D,'Playoff IDR Import'!A:A=A1078,'Playoff IDR Import'!C:C=C1078)),)"),"")</f>
        <v/>
      </c>
      <c r="I1078" s="58"/>
      <c r="J1078" s="59" t="str">
        <f t="shared" si="1"/>
        <v/>
      </c>
    </row>
    <row r="1079">
      <c r="A1079" s="55"/>
      <c r="B1079" s="60"/>
      <c r="C1079" s="55"/>
      <c r="D1079" s="54"/>
      <c r="E1079" s="55"/>
      <c r="F1079" s="62"/>
      <c r="G1079" s="57"/>
      <c r="H1079" s="58" t="str">
        <f>IFERROR(__xludf.DUMMYFUNCTION("iferror(if(A1079="""", ,filter('Playoff IDR Import'!D:D,'Playoff IDR Import'!A:A=A1079,'Playoff IDR Import'!C:C=C1079)),)"),"")</f>
        <v/>
      </c>
      <c r="I1079" s="58"/>
      <c r="J1079" s="59" t="str">
        <f t="shared" si="1"/>
        <v/>
      </c>
    </row>
    <row r="1080">
      <c r="A1080" s="55"/>
      <c r="B1080" s="60"/>
      <c r="C1080" s="55"/>
      <c r="D1080" s="54"/>
      <c r="E1080" s="55"/>
      <c r="F1080" s="62"/>
      <c r="G1080" s="57"/>
      <c r="H1080" s="58" t="str">
        <f>IFERROR(__xludf.DUMMYFUNCTION("iferror(if(A1080="""", ,filter('Playoff IDR Import'!D:D,'Playoff IDR Import'!A:A=A1080,'Playoff IDR Import'!C:C=C1080)),)"),"")</f>
        <v/>
      </c>
      <c r="I1080" s="58"/>
      <c r="J1080" s="59" t="str">
        <f t="shared" si="1"/>
        <v/>
      </c>
    </row>
    <row r="1081">
      <c r="A1081" s="55"/>
      <c r="B1081" s="60"/>
      <c r="C1081" s="55"/>
      <c r="D1081" s="54"/>
      <c r="E1081" s="55"/>
      <c r="F1081" s="62"/>
      <c r="G1081" s="57"/>
      <c r="H1081" s="58" t="str">
        <f>IFERROR(__xludf.DUMMYFUNCTION("iferror(if(A1081="""", ,filter('Playoff IDR Import'!D:D,'Playoff IDR Import'!A:A=A1081,'Playoff IDR Import'!C:C=C1081)),)"),"")</f>
        <v/>
      </c>
      <c r="I1081" s="58"/>
      <c r="J1081" s="59" t="str">
        <f t="shared" si="1"/>
        <v/>
      </c>
    </row>
    <row r="1082">
      <c r="A1082" s="55"/>
      <c r="B1082" s="60"/>
      <c r="C1082" s="55"/>
      <c r="D1082" s="54"/>
      <c r="E1082" s="55"/>
      <c r="F1082" s="62"/>
      <c r="G1082" s="57"/>
      <c r="H1082" s="58" t="str">
        <f>IFERROR(__xludf.DUMMYFUNCTION("iferror(if(A1082="""", ,filter('Playoff IDR Import'!D:D,'Playoff IDR Import'!A:A=A1082,'Playoff IDR Import'!C:C=C1082)),)"),"")</f>
        <v/>
      </c>
      <c r="I1082" s="58"/>
      <c r="J1082" s="59" t="str">
        <f t="shared" si="1"/>
        <v/>
      </c>
    </row>
    <row r="1083">
      <c r="A1083" s="55"/>
      <c r="B1083" s="60"/>
      <c r="C1083" s="55"/>
      <c r="D1083" s="54"/>
      <c r="E1083" s="55"/>
      <c r="F1083" s="62"/>
      <c r="G1083" s="57"/>
      <c r="H1083" s="58" t="str">
        <f>IFERROR(__xludf.DUMMYFUNCTION("iferror(if(A1083="""", ,filter('Playoff IDR Import'!D:D,'Playoff IDR Import'!A:A=A1083,'Playoff IDR Import'!C:C=C1083)),)"),"")</f>
        <v/>
      </c>
      <c r="I1083" s="58"/>
      <c r="J1083" s="59" t="str">
        <f t="shared" si="1"/>
        <v/>
      </c>
    </row>
    <row r="1084">
      <c r="A1084" s="55"/>
      <c r="B1084" s="60"/>
      <c r="C1084" s="55"/>
      <c r="D1084" s="54"/>
      <c r="E1084" s="55"/>
      <c r="F1084" s="62"/>
      <c r="G1084" s="57"/>
      <c r="H1084" s="58" t="str">
        <f>IFERROR(__xludf.DUMMYFUNCTION("iferror(if(A1084="""", ,filter('Playoff IDR Import'!D:D,'Playoff IDR Import'!A:A=A1084,'Playoff IDR Import'!C:C=C1084)),)"),"")</f>
        <v/>
      </c>
      <c r="I1084" s="58"/>
      <c r="J1084" s="59" t="str">
        <f t="shared" si="1"/>
        <v/>
      </c>
    </row>
    <row r="1085">
      <c r="A1085" s="55"/>
      <c r="B1085" s="60"/>
      <c r="C1085" s="55"/>
      <c r="D1085" s="54"/>
      <c r="E1085" s="55"/>
      <c r="F1085" s="62"/>
      <c r="G1085" s="57"/>
      <c r="H1085" s="58" t="str">
        <f>IFERROR(__xludf.DUMMYFUNCTION("iferror(if(A1085="""", ,filter('Playoff IDR Import'!D:D,'Playoff IDR Import'!A:A=A1085,'Playoff IDR Import'!C:C=C1085)),)"),"")</f>
        <v/>
      </c>
      <c r="I1085" s="58"/>
      <c r="J1085" s="59" t="str">
        <f t="shared" si="1"/>
        <v/>
      </c>
    </row>
    <row r="1086">
      <c r="A1086" s="55"/>
      <c r="B1086" s="60"/>
      <c r="C1086" s="55"/>
      <c r="D1086" s="54"/>
      <c r="E1086" s="55"/>
      <c r="F1086" s="62"/>
      <c r="G1086" s="57"/>
      <c r="H1086" s="58" t="str">
        <f>IFERROR(__xludf.DUMMYFUNCTION("iferror(if(A1086="""", ,filter('Playoff IDR Import'!D:D,'Playoff IDR Import'!A:A=A1086,'Playoff IDR Import'!C:C=C1086)),)"),"")</f>
        <v/>
      </c>
      <c r="I1086" s="58"/>
      <c r="J1086" s="59" t="str">
        <f t="shared" si="1"/>
        <v/>
      </c>
    </row>
    <row r="1087">
      <c r="A1087" s="55"/>
      <c r="B1087" s="60"/>
      <c r="C1087" s="55"/>
      <c r="D1087" s="54"/>
      <c r="E1087" s="55"/>
      <c r="F1087" s="62"/>
      <c r="G1087" s="57"/>
      <c r="H1087" s="58" t="str">
        <f>IFERROR(__xludf.DUMMYFUNCTION("iferror(if(A1087="""", ,filter('Playoff IDR Import'!D:D,'Playoff IDR Import'!A:A=A1087,'Playoff IDR Import'!C:C=C1087)),)"),"")</f>
        <v/>
      </c>
      <c r="I1087" s="58"/>
      <c r="J1087" s="59" t="str">
        <f t="shared" si="1"/>
        <v/>
      </c>
    </row>
    <row r="1088">
      <c r="A1088" s="55"/>
      <c r="B1088" s="60"/>
      <c r="C1088" s="55"/>
      <c r="D1088" s="54"/>
      <c r="E1088" s="55"/>
      <c r="F1088" s="62"/>
      <c r="G1088" s="57"/>
      <c r="H1088" s="58" t="str">
        <f>IFERROR(__xludf.DUMMYFUNCTION("iferror(if(A1088="""", ,filter('Playoff IDR Import'!D:D,'Playoff IDR Import'!A:A=A1088,'Playoff IDR Import'!C:C=C1088)),)"),"")</f>
        <v/>
      </c>
      <c r="I1088" s="58"/>
      <c r="J1088" s="59" t="str">
        <f t="shared" si="1"/>
        <v/>
      </c>
    </row>
    <row r="1089">
      <c r="A1089" s="55"/>
      <c r="B1089" s="60"/>
      <c r="C1089" s="55"/>
      <c r="D1089" s="54"/>
      <c r="E1089" s="55"/>
      <c r="F1089" s="62"/>
      <c r="G1089" s="57"/>
      <c r="H1089" s="58" t="str">
        <f>IFERROR(__xludf.DUMMYFUNCTION("iferror(if(A1089="""", ,filter('Playoff IDR Import'!D:D,'Playoff IDR Import'!A:A=A1089,'Playoff IDR Import'!C:C=C1089)),)"),"")</f>
        <v/>
      </c>
      <c r="I1089" s="58"/>
      <c r="J1089" s="59" t="str">
        <f t="shared" si="1"/>
        <v/>
      </c>
    </row>
    <row r="1090">
      <c r="A1090" s="55"/>
      <c r="B1090" s="60"/>
      <c r="C1090" s="55"/>
      <c r="D1090" s="54"/>
      <c r="E1090" s="55"/>
      <c r="F1090" s="62"/>
      <c r="G1090" s="57"/>
      <c r="H1090" s="58" t="str">
        <f>IFERROR(__xludf.DUMMYFUNCTION("iferror(if(A1090="""", ,filter('Playoff IDR Import'!D:D,'Playoff IDR Import'!A:A=A1090,'Playoff IDR Import'!C:C=C1090)),)"),"")</f>
        <v/>
      </c>
      <c r="I1090" s="58"/>
      <c r="J1090" s="59" t="str">
        <f t="shared" si="1"/>
        <v/>
      </c>
    </row>
    <row r="1091">
      <c r="A1091" s="55"/>
      <c r="B1091" s="60"/>
      <c r="C1091" s="55"/>
      <c r="D1091" s="54"/>
      <c r="E1091" s="55"/>
      <c r="F1091" s="62"/>
      <c r="G1091" s="57"/>
      <c r="H1091" s="58" t="str">
        <f>IFERROR(__xludf.DUMMYFUNCTION("iferror(if(A1091="""", ,filter('Playoff IDR Import'!D:D,'Playoff IDR Import'!A:A=A1091,'Playoff IDR Import'!C:C=C1091)),)"),"")</f>
        <v/>
      </c>
      <c r="I1091" s="58"/>
      <c r="J1091" s="59" t="str">
        <f t="shared" si="1"/>
        <v/>
      </c>
    </row>
    <row r="1092">
      <c r="A1092" s="55"/>
      <c r="B1092" s="60"/>
      <c r="C1092" s="55"/>
      <c r="D1092" s="54"/>
      <c r="E1092" s="55"/>
      <c r="F1092" s="62"/>
      <c r="G1092" s="57"/>
      <c r="H1092" s="58" t="str">
        <f>IFERROR(__xludf.DUMMYFUNCTION("iferror(if(A1092="""", ,filter('Playoff IDR Import'!D:D,'Playoff IDR Import'!A:A=A1092,'Playoff IDR Import'!C:C=C1092)),)"),"")</f>
        <v/>
      </c>
      <c r="I1092" s="58"/>
      <c r="J1092" s="59" t="str">
        <f t="shared" si="1"/>
        <v/>
      </c>
    </row>
    <row r="1093">
      <c r="A1093" s="55"/>
      <c r="B1093" s="60"/>
      <c r="C1093" s="55"/>
      <c r="D1093" s="54"/>
      <c r="E1093" s="55"/>
      <c r="F1093" s="62"/>
      <c r="G1093" s="57"/>
      <c r="H1093" s="58" t="str">
        <f>IFERROR(__xludf.DUMMYFUNCTION("iferror(if(A1093="""", ,filter('Playoff IDR Import'!D:D,'Playoff IDR Import'!A:A=A1093,'Playoff IDR Import'!C:C=C1093)),)"),"")</f>
        <v/>
      </c>
      <c r="I1093" s="58"/>
      <c r="J1093" s="59" t="str">
        <f t="shared" si="1"/>
        <v/>
      </c>
    </row>
    <row r="1094">
      <c r="A1094" s="55"/>
      <c r="B1094" s="60"/>
      <c r="C1094" s="55"/>
      <c r="D1094" s="54"/>
      <c r="E1094" s="55"/>
      <c r="F1094" s="62"/>
      <c r="G1094" s="57"/>
      <c r="H1094" s="58" t="str">
        <f>IFERROR(__xludf.DUMMYFUNCTION("iferror(if(A1094="""", ,filter('Playoff IDR Import'!D:D,'Playoff IDR Import'!A:A=A1094,'Playoff IDR Import'!C:C=C1094)),)"),"")</f>
        <v/>
      </c>
      <c r="I1094" s="58"/>
      <c r="J1094" s="59" t="str">
        <f t="shared" si="1"/>
        <v/>
      </c>
    </row>
    <row r="1095">
      <c r="A1095" s="55"/>
      <c r="B1095" s="60"/>
      <c r="C1095" s="55"/>
      <c r="D1095" s="54"/>
      <c r="E1095" s="55"/>
      <c r="F1095" s="62"/>
      <c r="G1095" s="57"/>
      <c r="H1095" s="58" t="str">
        <f>IFERROR(__xludf.DUMMYFUNCTION("iferror(if(A1095="""", ,filter('Playoff IDR Import'!D:D,'Playoff IDR Import'!A:A=A1095,'Playoff IDR Import'!C:C=C1095)),)"),"")</f>
        <v/>
      </c>
      <c r="I1095" s="58"/>
      <c r="J1095" s="59" t="str">
        <f t="shared" si="1"/>
        <v/>
      </c>
    </row>
    <row r="1096">
      <c r="A1096" s="55"/>
      <c r="B1096" s="60"/>
      <c r="C1096" s="55"/>
      <c r="D1096" s="54"/>
      <c r="E1096" s="55"/>
      <c r="F1096" s="62"/>
      <c r="G1096" s="57"/>
      <c r="H1096" s="58" t="str">
        <f>IFERROR(__xludf.DUMMYFUNCTION("iferror(if(A1096="""", ,filter('Playoff IDR Import'!D:D,'Playoff IDR Import'!A:A=A1096,'Playoff IDR Import'!C:C=C1096)),)"),"")</f>
        <v/>
      </c>
      <c r="I1096" s="58"/>
      <c r="J1096" s="59" t="str">
        <f t="shared" si="1"/>
        <v/>
      </c>
    </row>
    <row r="1097">
      <c r="A1097" s="55"/>
      <c r="B1097" s="60"/>
      <c r="C1097" s="55"/>
      <c r="D1097" s="54"/>
      <c r="E1097" s="55"/>
      <c r="F1097" s="62"/>
      <c r="G1097" s="57"/>
      <c r="H1097" s="58" t="str">
        <f>IFERROR(__xludf.DUMMYFUNCTION("iferror(if(A1097="""", ,filter('Playoff IDR Import'!D:D,'Playoff IDR Import'!A:A=A1097,'Playoff IDR Import'!C:C=C1097)),)"),"")</f>
        <v/>
      </c>
      <c r="I1097" s="58"/>
      <c r="J1097" s="59" t="str">
        <f t="shared" si="1"/>
        <v/>
      </c>
    </row>
    <row r="1098">
      <c r="A1098" s="55"/>
      <c r="B1098" s="60"/>
      <c r="C1098" s="55"/>
      <c r="D1098" s="54"/>
      <c r="E1098" s="55"/>
      <c r="F1098" s="62"/>
      <c r="G1098" s="57"/>
      <c r="H1098" s="58" t="str">
        <f>IFERROR(__xludf.DUMMYFUNCTION("iferror(if(A1098="""", ,filter('Playoff IDR Import'!D:D,'Playoff IDR Import'!A:A=A1098,'Playoff IDR Import'!C:C=C1098)),)"),"")</f>
        <v/>
      </c>
      <c r="I1098" s="58"/>
      <c r="J1098" s="59" t="str">
        <f t="shared" si="1"/>
        <v/>
      </c>
    </row>
    <row r="1099">
      <c r="A1099" s="55"/>
      <c r="B1099" s="60"/>
      <c r="C1099" s="55"/>
      <c r="D1099" s="54"/>
      <c r="E1099" s="55"/>
      <c r="F1099" s="62"/>
      <c r="G1099" s="57"/>
      <c r="H1099" s="58" t="str">
        <f>IFERROR(__xludf.DUMMYFUNCTION("iferror(if(A1099="""", ,filter('Playoff IDR Import'!D:D,'Playoff IDR Import'!A:A=A1099,'Playoff IDR Import'!C:C=C1099)),)"),"")</f>
        <v/>
      </c>
      <c r="I1099" s="58"/>
      <c r="J1099" s="59" t="str">
        <f t="shared" si="1"/>
        <v/>
      </c>
    </row>
    <row r="1100">
      <c r="A1100" s="55"/>
      <c r="B1100" s="60"/>
      <c r="C1100" s="55"/>
      <c r="D1100" s="54"/>
      <c r="E1100" s="55"/>
      <c r="F1100" s="62"/>
      <c r="G1100" s="57"/>
      <c r="H1100" s="58" t="str">
        <f>IFERROR(__xludf.DUMMYFUNCTION("iferror(if(A1100="""", ,filter('Playoff IDR Import'!D:D,'Playoff IDR Import'!A:A=A1100,'Playoff IDR Import'!C:C=C1100)),)"),"")</f>
        <v/>
      </c>
      <c r="I1100" s="58"/>
      <c r="J1100" s="59" t="str">
        <f t="shared" si="1"/>
        <v/>
      </c>
    </row>
    <row r="1101">
      <c r="A1101" s="55"/>
      <c r="B1101" s="60"/>
      <c r="C1101" s="55"/>
      <c r="D1101" s="54"/>
      <c r="E1101" s="55"/>
      <c r="F1101" s="62"/>
      <c r="G1101" s="57"/>
      <c r="H1101" s="58" t="str">
        <f>IFERROR(__xludf.DUMMYFUNCTION("iferror(if(A1101="""", ,filter('Playoff IDR Import'!D:D,'Playoff IDR Import'!A:A=A1101,'Playoff IDR Import'!C:C=C1101)),)"),"")</f>
        <v/>
      </c>
      <c r="I1101" s="58"/>
      <c r="J1101" s="59" t="str">
        <f t="shared" si="1"/>
        <v/>
      </c>
    </row>
    <row r="1102">
      <c r="A1102" s="55"/>
      <c r="B1102" s="60"/>
      <c r="C1102" s="55"/>
      <c r="D1102" s="54"/>
      <c r="E1102" s="55"/>
      <c r="F1102" s="62"/>
      <c r="G1102" s="57"/>
      <c r="H1102" s="58" t="str">
        <f>IFERROR(__xludf.DUMMYFUNCTION("iferror(if(A1102="""", ,filter('Playoff IDR Import'!D:D,'Playoff IDR Import'!A:A=A1102,'Playoff IDR Import'!C:C=C1102)),)"),"")</f>
        <v/>
      </c>
      <c r="I1102" s="58"/>
      <c r="J1102" s="59" t="str">
        <f t="shared" si="1"/>
        <v/>
      </c>
    </row>
    <row r="1103">
      <c r="A1103" s="55"/>
      <c r="B1103" s="60"/>
      <c r="C1103" s="55"/>
      <c r="D1103" s="54"/>
      <c r="E1103" s="55"/>
      <c r="F1103" s="62"/>
      <c r="G1103" s="57"/>
      <c r="H1103" s="58" t="str">
        <f>IFERROR(__xludf.DUMMYFUNCTION("iferror(if(A1103="""", ,filter('Playoff IDR Import'!D:D,'Playoff IDR Import'!A:A=A1103,'Playoff IDR Import'!C:C=C1103)),)"),"")</f>
        <v/>
      </c>
      <c r="I1103" s="58"/>
      <c r="J1103" s="59" t="str">
        <f t="shared" si="1"/>
        <v/>
      </c>
    </row>
    <row r="1104">
      <c r="A1104" s="55"/>
      <c r="B1104" s="60"/>
      <c r="C1104" s="55"/>
      <c r="D1104" s="54"/>
      <c r="E1104" s="55"/>
      <c r="F1104" s="62"/>
      <c r="G1104" s="57"/>
      <c r="H1104" s="58" t="str">
        <f>IFERROR(__xludf.DUMMYFUNCTION("iferror(if(A1104="""", ,filter('Playoff IDR Import'!D:D,'Playoff IDR Import'!A:A=A1104,'Playoff IDR Import'!C:C=C1104)),)"),"")</f>
        <v/>
      </c>
      <c r="I1104" s="58"/>
      <c r="J1104" s="59" t="str">
        <f t="shared" si="1"/>
        <v/>
      </c>
    </row>
    <row r="1105">
      <c r="A1105" s="55"/>
      <c r="B1105" s="60"/>
      <c r="C1105" s="55"/>
      <c r="D1105" s="54"/>
      <c r="E1105" s="55"/>
      <c r="F1105" s="62"/>
      <c r="G1105" s="57"/>
      <c r="H1105" s="58" t="str">
        <f>IFERROR(__xludf.DUMMYFUNCTION("iferror(if(A1105="""", ,filter('Playoff IDR Import'!D:D,'Playoff IDR Import'!A:A=A1105,'Playoff IDR Import'!C:C=C1105)),)"),"")</f>
        <v/>
      </c>
      <c r="I1105" s="58"/>
      <c r="J1105" s="59" t="str">
        <f t="shared" si="1"/>
        <v/>
      </c>
    </row>
    <row r="1106">
      <c r="A1106" s="55"/>
      <c r="B1106" s="60"/>
      <c r="C1106" s="55"/>
      <c r="D1106" s="54"/>
      <c r="E1106" s="55"/>
      <c r="F1106" s="62"/>
      <c r="G1106" s="57"/>
      <c r="H1106" s="58" t="str">
        <f>IFERROR(__xludf.DUMMYFUNCTION("iferror(if(A1106="""", ,filter('Playoff IDR Import'!D:D,'Playoff IDR Import'!A:A=A1106,'Playoff IDR Import'!C:C=C1106)),)"),"")</f>
        <v/>
      </c>
      <c r="I1106" s="58"/>
      <c r="J1106" s="59" t="str">
        <f t="shared" si="1"/>
        <v/>
      </c>
    </row>
    <row r="1107">
      <c r="A1107" s="55"/>
      <c r="B1107" s="60"/>
      <c r="C1107" s="55"/>
      <c r="D1107" s="54"/>
      <c r="E1107" s="55"/>
      <c r="F1107" s="62"/>
      <c r="G1107" s="57"/>
      <c r="H1107" s="58" t="str">
        <f>IFERROR(__xludf.DUMMYFUNCTION("iferror(if(A1107="""", ,filter('Playoff IDR Import'!D:D,'Playoff IDR Import'!A:A=A1107,'Playoff IDR Import'!C:C=C1107)),)"),"")</f>
        <v/>
      </c>
      <c r="I1107" s="58"/>
      <c r="J1107" s="59" t="str">
        <f t="shared" si="1"/>
        <v/>
      </c>
    </row>
    <row r="1108">
      <c r="A1108" s="55"/>
      <c r="B1108" s="60"/>
      <c r="C1108" s="55"/>
      <c r="D1108" s="54"/>
      <c r="E1108" s="55"/>
      <c r="F1108" s="62"/>
      <c r="G1108" s="57"/>
      <c r="H1108" s="58" t="str">
        <f>IFERROR(__xludf.DUMMYFUNCTION("iferror(if(A1108="""", ,filter('Playoff IDR Import'!D:D,'Playoff IDR Import'!A:A=A1108,'Playoff IDR Import'!C:C=C1108)),)"),"")</f>
        <v/>
      </c>
      <c r="I1108" s="58"/>
      <c r="J1108" s="59" t="str">
        <f t="shared" si="1"/>
        <v/>
      </c>
    </row>
    <row r="1109">
      <c r="A1109" s="55"/>
      <c r="B1109" s="60"/>
      <c r="C1109" s="55"/>
      <c r="D1109" s="54"/>
      <c r="E1109" s="55"/>
      <c r="F1109" s="62"/>
      <c r="G1109" s="57"/>
      <c r="H1109" s="58" t="str">
        <f>IFERROR(__xludf.DUMMYFUNCTION("iferror(if(A1109="""", ,filter('Playoff IDR Import'!D:D,'Playoff IDR Import'!A:A=A1109,'Playoff IDR Import'!C:C=C1109)),)"),"")</f>
        <v/>
      </c>
      <c r="I1109" s="58"/>
      <c r="J1109" s="59" t="str">
        <f t="shared" si="1"/>
        <v/>
      </c>
    </row>
    <row r="1110">
      <c r="A1110" s="55"/>
      <c r="B1110" s="60"/>
      <c r="C1110" s="55"/>
      <c r="D1110" s="54"/>
      <c r="E1110" s="55"/>
      <c r="F1110" s="62"/>
      <c r="G1110" s="57"/>
      <c r="H1110" s="58" t="str">
        <f>IFERROR(__xludf.DUMMYFUNCTION("iferror(if(A1110="""", ,filter('Playoff IDR Import'!D:D,'Playoff IDR Import'!A:A=A1110,'Playoff IDR Import'!C:C=C1110)),)"),"")</f>
        <v/>
      </c>
      <c r="I1110" s="58"/>
      <c r="J1110" s="59" t="str">
        <f t="shared" si="1"/>
        <v/>
      </c>
    </row>
    <row r="1111">
      <c r="A1111" s="55"/>
      <c r="B1111" s="60"/>
      <c r="C1111" s="55"/>
      <c r="D1111" s="54"/>
      <c r="E1111" s="55"/>
      <c r="F1111" s="62"/>
      <c r="G1111" s="57"/>
      <c r="H1111" s="58" t="str">
        <f>IFERROR(__xludf.DUMMYFUNCTION("iferror(if(A1111="""", ,filter('Playoff IDR Import'!D:D,'Playoff IDR Import'!A:A=A1111,'Playoff IDR Import'!C:C=C1111)),)"),"")</f>
        <v/>
      </c>
      <c r="I1111" s="58"/>
      <c r="J1111" s="59" t="str">
        <f t="shared" si="1"/>
        <v/>
      </c>
    </row>
    <row r="1112">
      <c r="A1112" s="55"/>
      <c r="B1112" s="60"/>
      <c r="C1112" s="55"/>
      <c r="D1112" s="54"/>
      <c r="E1112" s="55"/>
      <c r="F1112" s="62"/>
      <c r="G1112" s="57"/>
      <c r="H1112" s="58" t="str">
        <f>IFERROR(__xludf.DUMMYFUNCTION("iferror(if(A1112="""", ,filter('Playoff IDR Import'!D:D,'Playoff IDR Import'!A:A=A1112,'Playoff IDR Import'!C:C=C1112)),)"),"")</f>
        <v/>
      </c>
      <c r="I1112" s="58"/>
      <c r="J1112" s="59" t="str">
        <f t="shared" si="1"/>
        <v/>
      </c>
    </row>
    <row r="1113">
      <c r="A1113" s="55"/>
      <c r="B1113" s="60"/>
      <c r="C1113" s="55"/>
      <c r="D1113" s="54"/>
      <c r="E1113" s="55"/>
      <c r="F1113" s="62"/>
      <c r="G1113" s="57"/>
      <c r="H1113" s="58" t="str">
        <f>IFERROR(__xludf.DUMMYFUNCTION("iferror(if(A1113="""", ,filter('Playoff IDR Import'!D:D,'Playoff IDR Import'!A:A=A1113,'Playoff IDR Import'!C:C=C1113)),)"),"")</f>
        <v/>
      </c>
      <c r="I1113" s="58"/>
      <c r="J1113" s="59" t="str">
        <f t="shared" si="1"/>
        <v/>
      </c>
    </row>
    <row r="1114">
      <c r="A1114" s="55"/>
      <c r="B1114" s="60"/>
      <c r="C1114" s="55"/>
      <c r="D1114" s="54"/>
      <c r="E1114" s="55"/>
      <c r="F1114" s="62"/>
      <c r="G1114" s="57"/>
      <c r="H1114" s="58" t="str">
        <f>IFERROR(__xludf.DUMMYFUNCTION("iferror(if(A1114="""", ,filter('Playoff IDR Import'!D:D,'Playoff IDR Import'!A:A=A1114,'Playoff IDR Import'!C:C=C1114)),)"),"")</f>
        <v/>
      </c>
      <c r="I1114" s="58"/>
      <c r="J1114" s="59" t="str">
        <f t="shared" si="1"/>
        <v/>
      </c>
    </row>
    <row r="1115">
      <c r="A1115" s="55"/>
      <c r="B1115" s="60"/>
      <c r="C1115" s="55"/>
      <c r="D1115" s="54"/>
      <c r="E1115" s="55"/>
      <c r="F1115" s="62"/>
      <c r="G1115" s="57"/>
      <c r="H1115" s="58" t="str">
        <f>IFERROR(__xludf.DUMMYFUNCTION("iferror(if(A1115="""", ,filter('Playoff IDR Import'!D:D,'Playoff IDR Import'!A:A=A1115,'Playoff IDR Import'!C:C=C1115)),)"),"")</f>
        <v/>
      </c>
      <c r="I1115" s="58"/>
      <c r="J1115" s="59" t="str">
        <f t="shared" si="1"/>
        <v/>
      </c>
    </row>
    <row r="1116">
      <c r="A1116" s="55"/>
      <c r="B1116" s="60"/>
      <c r="C1116" s="55"/>
      <c r="D1116" s="54"/>
      <c r="E1116" s="55"/>
      <c r="F1116" s="62"/>
      <c r="G1116" s="57"/>
      <c r="H1116" s="58" t="str">
        <f>IFERROR(__xludf.DUMMYFUNCTION("iferror(if(A1116="""", ,filter('Playoff IDR Import'!D:D,'Playoff IDR Import'!A:A=A1116,'Playoff IDR Import'!C:C=C1116)),)"),"")</f>
        <v/>
      </c>
      <c r="I1116" s="58"/>
      <c r="J1116" s="59" t="str">
        <f t="shared" si="1"/>
        <v/>
      </c>
    </row>
    <row r="1117">
      <c r="A1117" s="55"/>
      <c r="B1117" s="60"/>
      <c r="C1117" s="55"/>
      <c r="D1117" s="54"/>
      <c r="E1117" s="55"/>
      <c r="F1117" s="62"/>
      <c r="G1117" s="57"/>
      <c r="H1117" s="58" t="str">
        <f>IFERROR(__xludf.DUMMYFUNCTION("iferror(if(A1117="""", ,filter('Playoff IDR Import'!D:D,'Playoff IDR Import'!A:A=A1117,'Playoff IDR Import'!C:C=C1117)),)"),"")</f>
        <v/>
      </c>
      <c r="I1117" s="58"/>
      <c r="J1117" s="59" t="str">
        <f t="shared" si="1"/>
        <v/>
      </c>
    </row>
    <row r="1118">
      <c r="A1118" s="55"/>
      <c r="B1118" s="60"/>
      <c r="C1118" s="55"/>
      <c r="D1118" s="54"/>
      <c r="E1118" s="55"/>
      <c r="F1118" s="62"/>
      <c r="G1118" s="57"/>
      <c r="H1118" s="58" t="str">
        <f>IFERROR(__xludf.DUMMYFUNCTION("iferror(if(A1118="""", ,filter('Playoff IDR Import'!D:D,'Playoff IDR Import'!A:A=A1118,'Playoff IDR Import'!C:C=C1118)),)"),"")</f>
        <v/>
      </c>
      <c r="I1118" s="58"/>
      <c r="J1118" s="59" t="str">
        <f t="shared" si="1"/>
        <v/>
      </c>
    </row>
    <row r="1119">
      <c r="A1119" s="55"/>
      <c r="B1119" s="60"/>
      <c r="C1119" s="55"/>
      <c r="D1119" s="54"/>
      <c r="E1119" s="55"/>
      <c r="F1119" s="62"/>
      <c r="G1119" s="57"/>
      <c r="H1119" s="58" t="str">
        <f>IFERROR(__xludf.DUMMYFUNCTION("iferror(if(A1119="""", ,filter('Playoff IDR Import'!D:D,'Playoff IDR Import'!A:A=A1119,'Playoff IDR Import'!C:C=C1119)),)"),"")</f>
        <v/>
      </c>
      <c r="I1119" s="58"/>
      <c r="J1119" s="59" t="str">
        <f t="shared" si="1"/>
        <v/>
      </c>
    </row>
    <row r="1120">
      <c r="A1120" s="55"/>
      <c r="B1120" s="60"/>
      <c r="C1120" s="55"/>
      <c r="D1120" s="54"/>
      <c r="E1120" s="55"/>
      <c r="F1120" s="62"/>
      <c r="G1120" s="57"/>
      <c r="H1120" s="58" t="str">
        <f>IFERROR(__xludf.DUMMYFUNCTION("iferror(if(A1120="""", ,filter('Playoff IDR Import'!D:D,'Playoff IDR Import'!A:A=A1120,'Playoff IDR Import'!C:C=C1120)),)"),"")</f>
        <v/>
      </c>
      <c r="I1120" s="58"/>
      <c r="J1120" s="59" t="str">
        <f t="shared" si="1"/>
        <v/>
      </c>
    </row>
    <row r="1121">
      <c r="A1121" s="55"/>
      <c r="B1121" s="60"/>
      <c r="C1121" s="55"/>
      <c r="D1121" s="54"/>
      <c r="E1121" s="55"/>
      <c r="F1121" s="62"/>
      <c r="G1121" s="57"/>
      <c r="H1121" s="58" t="str">
        <f>IFERROR(__xludf.DUMMYFUNCTION("iferror(if(A1121="""", ,filter('Playoff IDR Import'!D:D,'Playoff IDR Import'!A:A=A1121,'Playoff IDR Import'!C:C=C1121)),)"),"")</f>
        <v/>
      </c>
      <c r="I1121" s="58"/>
      <c r="J1121" s="59" t="str">
        <f t="shared" si="1"/>
        <v/>
      </c>
    </row>
    <row r="1122">
      <c r="A1122" s="55"/>
      <c r="B1122" s="60"/>
      <c r="C1122" s="55"/>
      <c r="D1122" s="54"/>
      <c r="E1122" s="55"/>
      <c r="F1122" s="62"/>
      <c r="G1122" s="57"/>
      <c r="H1122" s="58" t="str">
        <f>IFERROR(__xludf.DUMMYFUNCTION("iferror(if(A1122="""", ,filter('Playoff IDR Import'!D:D,'Playoff IDR Import'!A:A=A1122,'Playoff IDR Import'!C:C=C1122)),)"),"")</f>
        <v/>
      </c>
      <c r="I1122" s="58"/>
      <c r="J1122" s="59" t="str">
        <f t="shared" si="1"/>
        <v/>
      </c>
    </row>
    <row r="1123">
      <c r="A1123" s="55"/>
      <c r="B1123" s="60"/>
      <c r="C1123" s="55"/>
      <c r="D1123" s="54"/>
      <c r="E1123" s="55"/>
      <c r="F1123" s="62"/>
      <c r="G1123" s="57"/>
      <c r="H1123" s="58" t="str">
        <f>IFERROR(__xludf.DUMMYFUNCTION("iferror(if(A1123="""", ,filter('Playoff IDR Import'!D:D,'Playoff IDR Import'!A:A=A1123,'Playoff IDR Import'!C:C=C1123)),)"),"")</f>
        <v/>
      </c>
      <c r="I1123" s="58"/>
      <c r="J1123" s="59" t="str">
        <f t="shared" si="1"/>
        <v/>
      </c>
    </row>
    <row r="1124">
      <c r="A1124" s="55"/>
      <c r="B1124" s="60"/>
      <c r="C1124" s="55"/>
      <c r="D1124" s="54"/>
      <c r="E1124" s="55"/>
      <c r="F1124" s="62"/>
      <c r="G1124" s="57"/>
      <c r="H1124" s="58" t="str">
        <f>IFERROR(__xludf.DUMMYFUNCTION("iferror(if(A1124="""", ,filter('Playoff IDR Import'!D:D,'Playoff IDR Import'!A:A=A1124,'Playoff IDR Import'!C:C=C1124)),)"),"")</f>
        <v/>
      </c>
      <c r="I1124" s="58"/>
      <c r="J1124" s="59" t="str">
        <f t="shared" si="1"/>
        <v/>
      </c>
    </row>
    <row r="1125">
      <c r="A1125" s="55"/>
      <c r="B1125" s="60"/>
      <c r="C1125" s="55"/>
      <c r="D1125" s="54"/>
      <c r="E1125" s="55"/>
      <c r="F1125" s="62"/>
      <c r="G1125" s="57"/>
      <c r="H1125" s="58" t="str">
        <f>IFERROR(__xludf.DUMMYFUNCTION("iferror(if(A1125="""", ,filter('Playoff IDR Import'!D:D,'Playoff IDR Import'!A:A=A1125,'Playoff IDR Import'!C:C=C1125)),)"),"")</f>
        <v/>
      </c>
      <c r="I1125" s="58"/>
      <c r="J1125" s="59" t="str">
        <f t="shared" si="1"/>
        <v/>
      </c>
    </row>
    <row r="1126">
      <c r="A1126" s="55"/>
      <c r="B1126" s="60"/>
      <c r="C1126" s="55"/>
      <c r="D1126" s="54"/>
      <c r="E1126" s="55"/>
      <c r="F1126" s="62"/>
      <c r="G1126" s="57"/>
      <c r="H1126" s="58" t="str">
        <f>IFERROR(__xludf.DUMMYFUNCTION("iferror(if(A1126="""", ,filter('Playoff IDR Import'!D:D,'Playoff IDR Import'!A:A=A1126,'Playoff IDR Import'!C:C=C1126)),)"),"")</f>
        <v/>
      </c>
      <c r="I1126" s="58"/>
      <c r="J1126" s="59" t="str">
        <f t="shared" si="1"/>
        <v/>
      </c>
    </row>
    <row r="1127">
      <c r="A1127" s="55"/>
      <c r="B1127" s="60"/>
      <c r="C1127" s="55"/>
      <c r="D1127" s="54"/>
      <c r="E1127" s="55"/>
      <c r="F1127" s="62"/>
      <c r="G1127" s="57"/>
      <c r="H1127" s="58" t="str">
        <f>IFERROR(__xludf.DUMMYFUNCTION("iferror(if(A1127="""", ,filter('Playoff IDR Import'!D:D,'Playoff IDR Import'!A:A=A1127,'Playoff IDR Import'!C:C=C1127)),)"),"")</f>
        <v/>
      </c>
      <c r="I1127" s="58"/>
      <c r="J1127" s="59" t="str">
        <f t="shared" si="1"/>
        <v/>
      </c>
    </row>
    <row r="1128">
      <c r="A1128" s="55"/>
      <c r="B1128" s="60"/>
      <c r="C1128" s="55"/>
      <c r="D1128" s="54"/>
      <c r="E1128" s="55"/>
      <c r="F1128" s="62"/>
      <c r="G1128" s="57"/>
      <c r="H1128" s="58" t="str">
        <f>IFERROR(__xludf.DUMMYFUNCTION("iferror(if(A1128="""", ,filter('Playoff IDR Import'!D:D,'Playoff IDR Import'!A:A=A1128,'Playoff IDR Import'!C:C=C1128)),)"),"")</f>
        <v/>
      </c>
      <c r="I1128" s="58"/>
      <c r="J1128" s="59" t="str">
        <f t="shared" si="1"/>
        <v/>
      </c>
    </row>
    <row r="1129">
      <c r="A1129" s="55"/>
      <c r="B1129" s="60"/>
      <c r="C1129" s="55"/>
      <c r="D1129" s="54"/>
      <c r="E1129" s="55"/>
      <c r="F1129" s="62"/>
      <c r="G1129" s="57"/>
      <c r="H1129" s="58" t="str">
        <f>IFERROR(__xludf.DUMMYFUNCTION("iferror(if(A1129="""", ,filter('Playoff IDR Import'!D:D,'Playoff IDR Import'!A:A=A1129,'Playoff IDR Import'!C:C=C1129)),)"),"")</f>
        <v/>
      </c>
      <c r="I1129" s="58"/>
      <c r="J1129" s="59" t="str">
        <f t="shared" si="1"/>
        <v/>
      </c>
    </row>
    <row r="1130">
      <c r="A1130" s="55"/>
      <c r="B1130" s="60"/>
      <c r="C1130" s="55"/>
      <c r="D1130" s="54"/>
      <c r="E1130" s="55"/>
      <c r="F1130" s="62"/>
      <c r="G1130" s="57"/>
      <c r="H1130" s="58" t="str">
        <f>IFERROR(__xludf.DUMMYFUNCTION("iferror(if(A1130="""", ,filter('Playoff IDR Import'!D:D,'Playoff IDR Import'!A:A=A1130,'Playoff IDR Import'!C:C=C1130)),)"),"")</f>
        <v/>
      </c>
      <c r="I1130" s="58"/>
      <c r="J1130" s="59" t="str">
        <f t="shared" si="1"/>
        <v/>
      </c>
    </row>
    <row r="1131">
      <c r="A1131" s="55"/>
      <c r="B1131" s="60"/>
      <c r="C1131" s="55"/>
      <c r="D1131" s="54"/>
      <c r="E1131" s="55"/>
      <c r="F1131" s="62"/>
      <c r="G1131" s="57"/>
      <c r="H1131" s="58" t="str">
        <f>IFERROR(__xludf.DUMMYFUNCTION("iferror(if(A1131="""", ,filter('Playoff IDR Import'!D:D,'Playoff IDR Import'!A:A=A1131,'Playoff IDR Import'!C:C=C1131)),)"),"")</f>
        <v/>
      </c>
      <c r="I1131" s="58"/>
      <c r="J1131" s="59" t="str">
        <f t="shared" si="1"/>
        <v/>
      </c>
    </row>
    <row r="1132">
      <c r="A1132" s="55"/>
      <c r="B1132" s="60"/>
      <c r="C1132" s="55"/>
      <c r="D1132" s="54"/>
      <c r="E1132" s="55"/>
      <c r="F1132" s="62"/>
      <c r="G1132" s="57"/>
      <c r="H1132" s="58" t="str">
        <f>IFERROR(__xludf.DUMMYFUNCTION("iferror(if(A1132="""", ,filter('Playoff IDR Import'!D:D,'Playoff IDR Import'!A:A=A1132,'Playoff IDR Import'!C:C=C1132)),)"),"")</f>
        <v/>
      </c>
      <c r="I1132" s="58"/>
      <c r="J1132" s="59" t="str">
        <f t="shared" si="1"/>
        <v/>
      </c>
    </row>
    <row r="1133">
      <c r="A1133" s="55"/>
      <c r="B1133" s="60"/>
      <c r="C1133" s="55"/>
      <c r="D1133" s="54"/>
      <c r="E1133" s="55"/>
      <c r="F1133" s="62"/>
      <c r="G1133" s="57"/>
      <c r="H1133" s="58" t="str">
        <f>IFERROR(__xludf.DUMMYFUNCTION("iferror(if(A1133="""", ,filter('Playoff IDR Import'!D:D,'Playoff IDR Import'!A:A=A1133,'Playoff IDR Import'!C:C=C1133)),)"),"")</f>
        <v/>
      </c>
      <c r="I1133" s="58"/>
      <c r="J1133" s="59" t="str">
        <f t="shared" si="1"/>
        <v/>
      </c>
    </row>
    <row r="1134">
      <c r="A1134" s="55"/>
      <c r="B1134" s="60"/>
      <c r="C1134" s="55"/>
      <c r="D1134" s="54"/>
      <c r="E1134" s="55"/>
      <c r="F1134" s="62"/>
      <c r="G1134" s="57"/>
      <c r="H1134" s="58" t="str">
        <f>IFERROR(__xludf.DUMMYFUNCTION("iferror(if(A1134="""", ,filter('Playoff IDR Import'!D:D,'Playoff IDR Import'!A:A=A1134,'Playoff IDR Import'!C:C=C1134)),)"),"")</f>
        <v/>
      </c>
      <c r="I1134" s="58"/>
      <c r="J1134" s="59" t="str">
        <f t="shared" si="1"/>
        <v/>
      </c>
    </row>
    <row r="1135">
      <c r="A1135" s="55"/>
      <c r="B1135" s="60"/>
      <c r="C1135" s="55"/>
      <c r="D1135" s="54"/>
      <c r="E1135" s="55"/>
      <c r="F1135" s="62"/>
      <c r="G1135" s="57"/>
      <c r="H1135" s="58" t="str">
        <f>IFERROR(__xludf.DUMMYFUNCTION("iferror(if(A1135="""", ,filter('Playoff IDR Import'!D:D,'Playoff IDR Import'!A:A=A1135,'Playoff IDR Import'!C:C=C1135)),)"),"")</f>
        <v/>
      </c>
      <c r="I1135" s="58"/>
      <c r="J1135" s="59" t="str">
        <f t="shared" si="1"/>
        <v/>
      </c>
    </row>
    <row r="1136">
      <c r="A1136" s="55"/>
      <c r="B1136" s="60"/>
      <c r="C1136" s="55"/>
      <c r="D1136" s="54"/>
      <c r="E1136" s="55"/>
      <c r="F1136" s="62"/>
      <c r="G1136" s="57"/>
      <c r="H1136" s="58" t="str">
        <f>IFERROR(__xludf.DUMMYFUNCTION("iferror(if(A1136="""", ,filter('Playoff IDR Import'!D:D,'Playoff IDR Import'!A:A=A1136,'Playoff IDR Import'!C:C=C1136)),)"),"")</f>
        <v/>
      </c>
      <c r="I1136" s="58"/>
      <c r="J1136" s="59" t="str">
        <f t="shared" si="1"/>
        <v/>
      </c>
    </row>
    <row r="1137">
      <c r="A1137" s="55"/>
      <c r="B1137" s="60"/>
      <c r="C1137" s="55"/>
      <c r="D1137" s="54"/>
      <c r="E1137" s="55"/>
      <c r="F1137" s="62"/>
      <c r="G1137" s="57"/>
      <c r="H1137" s="58" t="str">
        <f>IFERROR(__xludf.DUMMYFUNCTION("iferror(if(A1137="""", ,filter('Playoff IDR Import'!D:D,'Playoff IDR Import'!A:A=A1137,'Playoff IDR Import'!C:C=C1137)),)"),"")</f>
        <v/>
      </c>
      <c r="I1137" s="58"/>
      <c r="J1137" s="59" t="str">
        <f t="shared" si="1"/>
        <v/>
      </c>
    </row>
    <row r="1138">
      <c r="A1138" s="55"/>
      <c r="B1138" s="60"/>
      <c r="C1138" s="55"/>
      <c r="D1138" s="54"/>
      <c r="E1138" s="55"/>
      <c r="F1138" s="62"/>
      <c r="G1138" s="57"/>
      <c r="H1138" s="58" t="str">
        <f>IFERROR(__xludf.DUMMYFUNCTION("iferror(if(A1138="""", ,filter('Playoff IDR Import'!D:D,'Playoff IDR Import'!A:A=A1138,'Playoff IDR Import'!C:C=C1138)),)"),"")</f>
        <v/>
      </c>
      <c r="I1138" s="58"/>
      <c r="J1138" s="59" t="str">
        <f t="shared" si="1"/>
        <v/>
      </c>
    </row>
    <row r="1139">
      <c r="A1139" s="55"/>
      <c r="B1139" s="60"/>
      <c r="C1139" s="55"/>
      <c r="D1139" s="54"/>
      <c r="E1139" s="55"/>
      <c r="F1139" s="62"/>
      <c r="G1139" s="57"/>
      <c r="H1139" s="58" t="str">
        <f>IFERROR(__xludf.DUMMYFUNCTION("iferror(if(A1139="""", ,filter('Playoff IDR Import'!D:D,'Playoff IDR Import'!A:A=A1139,'Playoff IDR Import'!C:C=C1139)),)"),"")</f>
        <v/>
      </c>
      <c r="I1139" s="58"/>
      <c r="J1139" s="59" t="str">
        <f t="shared" si="1"/>
        <v/>
      </c>
    </row>
    <row r="1140">
      <c r="A1140" s="55"/>
      <c r="B1140" s="60"/>
      <c r="C1140" s="55"/>
      <c r="D1140" s="54"/>
      <c r="E1140" s="55"/>
      <c r="F1140" s="62"/>
      <c r="G1140" s="57"/>
      <c r="H1140" s="58" t="str">
        <f>IFERROR(__xludf.DUMMYFUNCTION("iferror(if(A1140="""", ,filter('Playoff IDR Import'!D:D,'Playoff IDR Import'!A:A=A1140,'Playoff IDR Import'!C:C=C1140)),)"),"")</f>
        <v/>
      </c>
      <c r="I1140" s="58"/>
      <c r="J1140" s="59" t="str">
        <f t="shared" si="1"/>
        <v/>
      </c>
    </row>
    <row r="1141">
      <c r="A1141" s="55"/>
      <c r="B1141" s="60"/>
      <c r="C1141" s="55"/>
      <c r="D1141" s="54"/>
      <c r="E1141" s="55"/>
      <c r="F1141" s="62"/>
      <c r="G1141" s="57"/>
      <c r="H1141" s="58" t="str">
        <f>IFERROR(__xludf.DUMMYFUNCTION("iferror(if(A1141="""", ,filter('Playoff IDR Import'!D:D,'Playoff IDR Import'!A:A=A1141,'Playoff IDR Import'!C:C=C1141)),)"),"")</f>
        <v/>
      </c>
      <c r="I1141" s="58"/>
      <c r="J1141" s="59" t="str">
        <f t="shared" si="1"/>
        <v/>
      </c>
    </row>
    <row r="1142">
      <c r="A1142" s="55"/>
      <c r="B1142" s="60"/>
      <c r="C1142" s="55"/>
      <c r="D1142" s="54"/>
      <c r="E1142" s="55"/>
      <c r="F1142" s="62"/>
      <c r="G1142" s="57"/>
      <c r="H1142" s="58" t="str">
        <f>IFERROR(__xludf.DUMMYFUNCTION("iferror(if(A1142="""", ,filter('Playoff IDR Import'!D:D,'Playoff IDR Import'!A:A=A1142,'Playoff IDR Import'!C:C=C1142)),)"),"")</f>
        <v/>
      </c>
      <c r="I1142" s="58"/>
      <c r="J1142" s="59" t="str">
        <f t="shared" si="1"/>
        <v/>
      </c>
    </row>
    <row r="1143">
      <c r="A1143" s="55"/>
      <c r="B1143" s="60"/>
      <c r="C1143" s="55"/>
      <c r="D1143" s="54"/>
      <c r="E1143" s="55"/>
      <c r="F1143" s="62"/>
      <c r="G1143" s="57"/>
      <c r="H1143" s="58" t="str">
        <f>IFERROR(__xludf.DUMMYFUNCTION("iferror(if(A1143="""", ,filter('Playoff IDR Import'!D:D,'Playoff IDR Import'!A:A=A1143,'Playoff IDR Import'!C:C=C1143)),)"),"")</f>
        <v/>
      </c>
      <c r="I1143" s="58"/>
      <c r="J1143" s="59" t="str">
        <f t="shared" si="1"/>
        <v/>
      </c>
    </row>
    <row r="1144">
      <c r="A1144" s="55"/>
      <c r="B1144" s="60"/>
      <c r="C1144" s="55"/>
      <c r="D1144" s="54"/>
      <c r="E1144" s="55"/>
      <c r="F1144" s="62"/>
      <c r="G1144" s="57"/>
      <c r="H1144" s="58" t="str">
        <f>IFERROR(__xludf.DUMMYFUNCTION("iferror(if(A1144="""", ,filter('Playoff IDR Import'!D:D,'Playoff IDR Import'!A:A=A1144,'Playoff IDR Import'!C:C=C1144)),)"),"")</f>
        <v/>
      </c>
      <c r="I1144" s="58"/>
      <c r="J1144" s="59" t="str">
        <f t="shared" si="1"/>
        <v/>
      </c>
    </row>
    <row r="1145">
      <c r="A1145" s="55"/>
      <c r="B1145" s="60"/>
      <c r="C1145" s="55"/>
      <c r="D1145" s="54"/>
      <c r="E1145" s="55"/>
      <c r="F1145" s="62"/>
      <c r="G1145" s="57"/>
      <c r="H1145" s="58" t="str">
        <f>IFERROR(__xludf.DUMMYFUNCTION("iferror(if(A1145="""", ,filter('Playoff IDR Import'!D:D,'Playoff IDR Import'!A:A=A1145,'Playoff IDR Import'!C:C=C1145)),)"),"")</f>
        <v/>
      </c>
      <c r="I1145" s="58"/>
      <c r="J1145" s="59" t="str">
        <f t="shared" si="1"/>
        <v/>
      </c>
    </row>
    <row r="1146">
      <c r="A1146" s="55"/>
      <c r="B1146" s="60"/>
      <c r="C1146" s="55"/>
      <c r="D1146" s="54"/>
      <c r="E1146" s="55"/>
      <c r="F1146" s="62"/>
      <c r="G1146" s="57"/>
      <c r="H1146" s="58" t="str">
        <f>IFERROR(__xludf.DUMMYFUNCTION("iferror(if(A1146="""", ,filter('Playoff IDR Import'!D:D,'Playoff IDR Import'!A:A=A1146,'Playoff IDR Import'!C:C=C1146)),)"),"")</f>
        <v/>
      </c>
      <c r="I1146" s="58"/>
      <c r="J1146" s="59" t="str">
        <f t="shared" si="1"/>
        <v/>
      </c>
    </row>
    <row r="1147">
      <c r="A1147" s="55"/>
      <c r="B1147" s="60"/>
      <c r="C1147" s="55"/>
      <c r="D1147" s="54"/>
      <c r="E1147" s="55"/>
      <c r="F1147" s="62"/>
      <c r="G1147" s="57"/>
      <c r="H1147" s="58" t="str">
        <f>IFERROR(__xludf.DUMMYFUNCTION("iferror(if(A1147="""", ,filter('Playoff IDR Import'!D:D,'Playoff IDR Import'!A:A=A1147,'Playoff IDR Import'!C:C=C1147)),)"),"")</f>
        <v/>
      </c>
      <c r="I1147" s="58"/>
      <c r="J1147" s="59" t="str">
        <f t="shared" si="1"/>
        <v/>
      </c>
    </row>
    <row r="1148">
      <c r="A1148" s="55"/>
      <c r="B1148" s="60"/>
      <c r="C1148" s="55"/>
      <c r="D1148" s="54"/>
      <c r="E1148" s="55"/>
      <c r="F1148" s="62"/>
      <c r="G1148" s="57"/>
      <c r="H1148" s="58" t="str">
        <f>IFERROR(__xludf.DUMMYFUNCTION("iferror(if(A1148="""", ,filter('Playoff IDR Import'!D:D,'Playoff IDR Import'!A:A=A1148,'Playoff IDR Import'!C:C=C1148)),)"),"")</f>
        <v/>
      </c>
      <c r="I1148" s="58"/>
      <c r="J1148" s="59" t="str">
        <f t="shared" si="1"/>
        <v/>
      </c>
    </row>
    <row r="1149">
      <c r="A1149" s="55"/>
      <c r="B1149" s="60"/>
      <c r="C1149" s="55"/>
      <c r="D1149" s="54"/>
      <c r="E1149" s="55"/>
      <c r="F1149" s="62"/>
      <c r="G1149" s="57"/>
      <c r="H1149" s="58" t="str">
        <f>IFERROR(__xludf.DUMMYFUNCTION("iferror(if(A1149="""", ,filter('Playoff IDR Import'!D:D,'Playoff IDR Import'!A:A=A1149,'Playoff IDR Import'!C:C=C1149)),)"),"")</f>
        <v/>
      </c>
      <c r="I1149" s="58"/>
      <c r="J1149" s="59" t="str">
        <f t="shared" si="1"/>
        <v/>
      </c>
    </row>
    <row r="1150">
      <c r="A1150" s="55"/>
      <c r="B1150" s="60"/>
      <c r="C1150" s="55"/>
      <c r="D1150" s="54"/>
      <c r="E1150" s="55"/>
      <c r="F1150" s="62"/>
      <c r="G1150" s="57"/>
      <c r="H1150" s="58" t="str">
        <f>IFERROR(__xludf.DUMMYFUNCTION("iferror(if(A1150="""", ,filter('Playoff IDR Import'!D:D,'Playoff IDR Import'!A:A=A1150,'Playoff IDR Import'!C:C=C1150)),)"),"")</f>
        <v/>
      </c>
      <c r="I1150" s="58"/>
      <c r="J1150" s="59" t="str">
        <f t="shared" si="1"/>
        <v/>
      </c>
    </row>
    <row r="1151">
      <c r="A1151" s="55"/>
      <c r="B1151" s="60"/>
      <c r="C1151" s="55"/>
      <c r="D1151" s="54"/>
      <c r="E1151" s="55"/>
      <c r="F1151" s="62"/>
      <c r="G1151" s="57"/>
      <c r="H1151" s="58" t="str">
        <f>IFERROR(__xludf.DUMMYFUNCTION("iferror(if(A1151="""", ,filter('Playoff IDR Import'!D:D,'Playoff IDR Import'!A:A=A1151,'Playoff IDR Import'!C:C=C1151)),)"),"")</f>
        <v/>
      </c>
      <c r="I1151" s="58"/>
      <c r="J1151" s="59" t="str">
        <f t="shared" si="1"/>
        <v/>
      </c>
    </row>
    <row r="1152">
      <c r="A1152" s="55"/>
      <c r="B1152" s="60"/>
      <c r="C1152" s="55"/>
      <c r="D1152" s="54"/>
      <c r="E1152" s="55"/>
      <c r="F1152" s="62"/>
      <c r="G1152" s="57"/>
      <c r="H1152" s="58" t="str">
        <f>IFERROR(__xludf.DUMMYFUNCTION("iferror(if(A1152="""", ,filter('Playoff IDR Import'!D:D,'Playoff IDR Import'!A:A=A1152,'Playoff IDR Import'!C:C=C1152)),)"),"")</f>
        <v/>
      </c>
      <c r="I1152" s="58"/>
      <c r="J1152" s="59" t="str">
        <f t="shared" si="1"/>
        <v/>
      </c>
    </row>
    <row r="1153">
      <c r="A1153" s="55"/>
      <c r="B1153" s="60"/>
      <c r="C1153" s="55"/>
      <c r="D1153" s="54"/>
      <c r="E1153" s="55"/>
      <c r="F1153" s="62"/>
      <c r="G1153" s="57"/>
      <c r="H1153" s="58" t="str">
        <f>IFERROR(__xludf.DUMMYFUNCTION("iferror(if(A1153="""", ,filter('Playoff IDR Import'!D:D,'Playoff IDR Import'!A:A=A1153,'Playoff IDR Import'!C:C=C1153)),)"),"")</f>
        <v/>
      </c>
      <c r="I1153" s="58"/>
      <c r="J1153" s="59" t="str">
        <f t="shared" si="1"/>
        <v/>
      </c>
    </row>
    <row r="1154">
      <c r="A1154" s="55"/>
      <c r="B1154" s="60"/>
      <c r="C1154" s="55"/>
      <c r="D1154" s="54"/>
      <c r="E1154" s="55"/>
      <c r="F1154" s="62"/>
      <c r="G1154" s="57"/>
      <c r="H1154" s="58" t="str">
        <f>IFERROR(__xludf.DUMMYFUNCTION("iferror(if(A1154="""", ,filter('Playoff IDR Import'!D:D,'Playoff IDR Import'!A:A=A1154,'Playoff IDR Import'!C:C=C1154)),)"),"")</f>
        <v/>
      </c>
      <c r="I1154" s="58"/>
      <c r="J1154" s="59" t="str">
        <f t="shared" si="1"/>
        <v/>
      </c>
    </row>
    <row r="1155">
      <c r="A1155" s="55"/>
      <c r="B1155" s="60"/>
      <c r="C1155" s="55"/>
      <c r="D1155" s="54"/>
      <c r="E1155" s="55"/>
      <c r="F1155" s="62"/>
      <c r="G1155" s="57"/>
      <c r="H1155" s="58" t="str">
        <f>IFERROR(__xludf.DUMMYFUNCTION("iferror(if(A1155="""", ,filter('Playoff IDR Import'!D:D,'Playoff IDR Import'!A:A=A1155,'Playoff IDR Import'!C:C=C1155)),)"),"")</f>
        <v/>
      </c>
      <c r="I1155" s="58"/>
      <c r="J1155" s="59" t="str">
        <f t="shared" si="1"/>
        <v/>
      </c>
    </row>
    <row r="1156">
      <c r="A1156" s="55"/>
      <c r="B1156" s="60"/>
      <c r="C1156" s="55"/>
      <c r="D1156" s="54"/>
      <c r="E1156" s="55"/>
      <c r="F1156" s="62"/>
      <c r="G1156" s="57"/>
      <c r="H1156" s="58" t="str">
        <f>IFERROR(__xludf.DUMMYFUNCTION("iferror(if(A1156="""", ,filter('Playoff IDR Import'!D:D,'Playoff IDR Import'!A:A=A1156,'Playoff IDR Import'!C:C=C1156)),)"),"")</f>
        <v/>
      </c>
      <c r="I1156" s="58"/>
      <c r="J1156" s="59" t="str">
        <f t="shared" si="1"/>
        <v/>
      </c>
    </row>
    <row r="1157">
      <c r="A1157" s="55"/>
      <c r="B1157" s="60"/>
      <c r="C1157" s="55"/>
      <c r="D1157" s="54"/>
      <c r="E1157" s="55"/>
      <c r="F1157" s="62"/>
      <c r="G1157" s="57"/>
      <c r="H1157" s="58" t="str">
        <f>IFERROR(__xludf.DUMMYFUNCTION("iferror(if(A1157="""", ,filter('Playoff IDR Import'!D:D,'Playoff IDR Import'!A:A=A1157,'Playoff IDR Import'!C:C=C1157)),)"),"")</f>
        <v/>
      </c>
      <c r="I1157" s="58"/>
      <c r="J1157" s="59" t="str">
        <f t="shared" si="1"/>
        <v/>
      </c>
    </row>
    <row r="1158">
      <c r="A1158" s="55"/>
      <c r="B1158" s="60"/>
      <c r="C1158" s="55"/>
      <c r="D1158" s="54"/>
      <c r="E1158" s="55"/>
      <c r="F1158" s="62"/>
      <c r="G1158" s="57"/>
      <c r="H1158" s="58" t="str">
        <f>IFERROR(__xludf.DUMMYFUNCTION("iferror(if(A1158="""", ,filter('Playoff IDR Import'!D:D,'Playoff IDR Import'!A:A=A1158,'Playoff IDR Import'!C:C=C1158)),)"),"")</f>
        <v/>
      </c>
      <c r="I1158" s="58"/>
      <c r="J1158" s="59" t="str">
        <f t="shared" si="1"/>
        <v/>
      </c>
    </row>
    <row r="1159">
      <c r="A1159" s="55"/>
      <c r="B1159" s="60"/>
      <c r="C1159" s="55"/>
      <c r="D1159" s="54"/>
      <c r="E1159" s="55"/>
      <c r="F1159" s="62"/>
      <c r="G1159" s="57"/>
      <c r="H1159" s="58" t="str">
        <f>IFERROR(__xludf.DUMMYFUNCTION("iferror(if(A1159="""", ,filter('Playoff IDR Import'!D:D,'Playoff IDR Import'!A:A=A1159,'Playoff IDR Import'!C:C=C1159)),)"),"")</f>
        <v/>
      </c>
      <c r="I1159" s="58"/>
      <c r="J1159" s="59" t="str">
        <f t="shared" si="1"/>
        <v/>
      </c>
    </row>
    <row r="1160">
      <c r="A1160" s="55"/>
      <c r="B1160" s="60"/>
      <c r="C1160" s="55"/>
      <c r="D1160" s="54"/>
      <c r="E1160" s="55"/>
      <c r="F1160" s="62"/>
      <c r="G1160" s="57"/>
      <c r="H1160" s="58" t="str">
        <f>IFERROR(__xludf.DUMMYFUNCTION("iferror(if(A1160="""", ,filter('Playoff IDR Import'!D:D,'Playoff IDR Import'!A:A=A1160,'Playoff IDR Import'!C:C=C1160)),)"),"")</f>
        <v/>
      </c>
      <c r="I1160" s="58"/>
      <c r="J1160" s="59" t="str">
        <f t="shared" si="1"/>
        <v/>
      </c>
    </row>
    <row r="1161">
      <c r="A1161" s="55"/>
      <c r="B1161" s="60"/>
      <c r="C1161" s="55"/>
      <c r="D1161" s="54"/>
      <c r="E1161" s="55"/>
      <c r="F1161" s="62"/>
      <c r="G1161" s="57"/>
      <c r="H1161" s="58" t="str">
        <f>IFERROR(__xludf.DUMMYFUNCTION("iferror(if(A1161="""", ,filter('Playoff IDR Import'!D:D,'Playoff IDR Import'!A:A=A1161,'Playoff IDR Import'!C:C=C1161)),)"),"")</f>
        <v/>
      </c>
      <c r="I1161" s="58"/>
      <c r="J1161" s="59" t="str">
        <f t="shared" si="1"/>
        <v/>
      </c>
    </row>
    <row r="1162">
      <c r="A1162" s="55"/>
      <c r="B1162" s="60"/>
      <c r="C1162" s="55"/>
      <c r="D1162" s="54"/>
      <c r="E1162" s="55"/>
      <c r="F1162" s="62"/>
      <c r="G1162" s="57"/>
      <c r="H1162" s="58" t="str">
        <f>IFERROR(__xludf.DUMMYFUNCTION("iferror(if(A1162="""", ,filter('Playoff IDR Import'!D:D,'Playoff IDR Import'!A:A=A1162,'Playoff IDR Import'!C:C=C1162)),)"),"")</f>
        <v/>
      </c>
      <c r="I1162" s="58"/>
      <c r="J1162" s="59" t="str">
        <f t="shared" si="1"/>
        <v/>
      </c>
    </row>
    <row r="1163">
      <c r="A1163" s="55"/>
      <c r="B1163" s="60"/>
      <c r="C1163" s="55"/>
      <c r="D1163" s="54"/>
      <c r="E1163" s="55"/>
      <c r="F1163" s="62"/>
      <c r="G1163" s="57"/>
      <c r="H1163" s="58" t="str">
        <f>IFERROR(__xludf.DUMMYFUNCTION("iferror(if(A1163="""", ,filter('Playoff IDR Import'!D:D,'Playoff IDR Import'!A:A=A1163,'Playoff IDR Import'!C:C=C1163)),)"),"")</f>
        <v/>
      </c>
      <c r="I1163" s="58"/>
      <c r="J1163" s="59" t="str">
        <f t="shared" si="1"/>
        <v/>
      </c>
    </row>
    <row r="1164">
      <c r="A1164" s="55"/>
      <c r="B1164" s="60"/>
      <c r="C1164" s="55"/>
      <c r="D1164" s="54"/>
      <c r="E1164" s="55"/>
      <c r="F1164" s="62"/>
      <c r="G1164" s="57"/>
      <c r="H1164" s="58" t="str">
        <f>IFERROR(__xludf.DUMMYFUNCTION("iferror(if(A1164="""", ,filter('Playoff IDR Import'!D:D,'Playoff IDR Import'!A:A=A1164,'Playoff IDR Import'!C:C=C1164)),)"),"")</f>
        <v/>
      </c>
      <c r="I1164" s="58"/>
      <c r="J1164" s="59" t="str">
        <f t="shared" si="1"/>
        <v/>
      </c>
    </row>
    <row r="1165">
      <c r="A1165" s="55"/>
      <c r="B1165" s="60"/>
      <c r="C1165" s="55"/>
      <c r="D1165" s="54"/>
      <c r="E1165" s="55"/>
      <c r="F1165" s="62"/>
      <c r="G1165" s="57"/>
      <c r="H1165" s="58" t="str">
        <f>IFERROR(__xludf.DUMMYFUNCTION("iferror(if(A1165="""", ,filter('Playoff IDR Import'!D:D,'Playoff IDR Import'!A:A=A1165,'Playoff IDR Import'!C:C=C1165)),)"),"")</f>
        <v/>
      </c>
      <c r="I1165" s="58"/>
      <c r="J1165" s="59" t="str">
        <f t="shared" si="1"/>
        <v/>
      </c>
    </row>
    <row r="1166">
      <c r="A1166" s="55"/>
      <c r="B1166" s="60"/>
      <c r="C1166" s="55"/>
      <c r="D1166" s="54"/>
      <c r="E1166" s="55"/>
      <c r="F1166" s="62"/>
      <c r="G1166" s="57"/>
      <c r="H1166" s="58" t="str">
        <f>IFERROR(__xludf.DUMMYFUNCTION("iferror(if(A1166="""", ,filter('Playoff IDR Import'!D:D,'Playoff IDR Import'!A:A=A1166,'Playoff IDR Import'!C:C=C1166)),)"),"")</f>
        <v/>
      </c>
      <c r="I1166" s="58"/>
      <c r="J1166" s="59" t="str">
        <f t="shared" si="1"/>
        <v/>
      </c>
    </row>
    <row r="1167">
      <c r="A1167" s="55"/>
      <c r="B1167" s="60"/>
      <c r="C1167" s="55"/>
      <c r="D1167" s="54"/>
      <c r="E1167" s="55"/>
      <c r="F1167" s="62"/>
      <c r="G1167" s="57"/>
      <c r="H1167" s="58" t="str">
        <f>IFERROR(__xludf.DUMMYFUNCTION("iferror(if(A1167="""", ,filter('Playoff IDR Import'!D:D,'Playoff IDR Import'!A:A=A1167,'Playoff IDR Import'!C:C=C1167)),)"),"")</f>
        <v/>
      </c>
      <c r="I1167" s="58"/>
      <c r="J1167" s="59" t="str">
        <f t="shared" si="1"/>
        <v/>
      </c>
    </row>
    <row r="1168">
      <c r="A1168" s="55"/>
      <c r="B1168" s="60"/>
      <c r="C1168" s="55"/>
      <c r="D1168" s="54"/>
      <c r="E1168" s="55"/>
      <c r="F1168" s="62"/>
      <c r="G1168" s="57"/>
      <c r="H1168" s="58" t="str">
        <f>IFERROR(__xludf.DUMMYFUNCTION("iferror(if(A1168="""", ,filter('Playoff IDR Import'!D:D,'Playoff IDR Import'!A:A=A1168,'Playoff IDR Import'!C:C=C1168)),)"),"")</f>
        <v/>
      </c>
      <c r="I1168" s="58"/>
      <c r="J1168" s="59" t="str">
        <f t="shared" si="1"/>
        <v/>
      </c>
    </row>
    <row r="1169">
      <c r="A1169" s="55"/>
      <c r="B1169" s="60"/>
      <c r="C1169" s="55"/>
      <c r="D1169" s="54"/>
      <c r="E1169" s="55"/>
      <c r="F1169" s="62"/>
      <c r="G1169" s="57"/>
      <c r="H1169" s="58" t="str">
        <f>IFERROR(__xludf.DUMMYFUNCTION("iferror(if(A1169="""", ,filter('Playoff IDR Import'!D:D,'Playoff IDR Import'!A:A=A1169,'Playoff IDR Import'!C:C=C1169)),)"),"")</f>
        <v/>
      </c>
      <c r="I1169" s="58"/>
      <c r="J1169" s="59" t="str">
        <f t="shared" si="1"/>
        <v/>
      </c>
    </row>
    <row r="1170">
      <c r="A1170" s="55"/>
      <c r="B1170" s="60"/>
      <c r="C1170" s="55"/>
      <c r="D1170" s="54"/>
      <c r="E1170" s="55"/>
      <c r="F1170" s="62"/>
      <c r="G1170" s="57"/>
      <c r="H1170" s="58" t="str">
        <f>IFERROR(__xludf.DUMMYFUNCTION("iferror(if(A1170="""", ,filter('Playoff IDR Import'!D:D,'Playoff IDR Import'!A:A=A1170,'Playoff IDR Import'!C:C=C1170)),)"),"")</f>
        <v/>
      </c>
      <c r="I1170" s="58"/>
      <c r="J1170" s="59" t="str">
        <f t="shared" si="1"/>
        <v/>
      </c>
    </row>
    <row r="1171">
      <c r="A1171" s="55"/>
      <c r="B1171" s="60"/>
      <c r="C1171" s="55"/>
      <c r="D1171" s="54"/>
      <c r="E1171" s="55"/>
      <c r="F1171" s="62"/>
      <c r="G1171" s="57"/>
      <c r="H1171" s="58" t="str">
        <f>IFERROR(__xludf.DUMMYFUNCTION("iferror(if(A1171="""", ,filter('Playoff IDR Import'!D:D,'Playoff IDR Import'!A:A=A1171,'Playoff IDR Import'!C:C=C1171)),)"),"")</f>
        <v/>
      </c>
      <c r="I1171" s="58"/>
      <c r="J1171" s="59" t="str">
        <f t="shared" si="1"/>
        <v/>
      </c>
    </row>
    <row r="1172">
      <c r="A1172" s="55"/>
      <c r="B1172" s="60"/>
      <c r="C1172" s="55"/>
      <c r="D1172" s="54"/>
      <c r="E1172" s="55"/>
      <c r="F1172" s="62"/>
      <c r="G1172" s="57"/>
      <c r="H1172" s="58" t="str">
        <f>IFERROR(__xludf.DUMMYFUNCTION("iferror(if(A1172="""", ,filter('Playoff IDR Import'!D:D,'Playoff IDR Import'!A:A=A1172,'Playoff IDR Import'!C:C=C1172)),)"),"")</f>
        <v/>
      </c>
      <c r="I1172" s="58"/>
      <c r="J1172" s="59" t="str">
        <f t="shared" si="1"/>
        <v/>
      </c>
    </row>
    <row r="1173">
      <c r="A1173" s="55"/>
      <c r="B1173" s="60"/>
      <c r="C1173" s="55"/>
      <c r="D1173" s="54"/>
      <c r="E1173" s="55"/>
      <c r="F1173" s="62"/>
      <c r="G1173" s="57"/>
      <c r="H1173" s="58" t="str">
        <f>IFERROR(__xludf.DUMMYFUNCTION("iferror(if(A1173="""", ,filter('Playoff IDR Import'!D:D,'Playoff IDR Import'!A:A=A1173,'Playoff IDR Import'!C:C=C1173)),)"),"")</f>
        <v/>
      </c>
      <c r="I1173" s="58"/>
      <c r="J1173" s="59" t="str">
        <f t="shared" si="1"/>
        <v/>
      </c>
    </row>
    <row r="1174">
      <c r="A1174" s="55"/>
      <c r="B1174" s="60"/>
      <c r="C1174" s="55"/>
      <c r="D1174" s="54"/>
      <c r="E1174" s="55"/>
      <c r="F1174" s="62"/>
      <c r="G1174" s="57"/>
      <c r="H1174" s="58" t="str">
        <f>IFERROR(__xludf.DUMMYFUNCTION("iferror(if(A1174="""", ,filter('Playoff IDR Import'!D:D,'Playoff IDR Import'!A:A=A1174,'Playoff IDR Import'!C:C=C1174)),)"),"")</f>
        <v/>
      </c>
      <c r="I1174" s="58"/>
      <c r="J1174" s="59" t="str">
        <f t="shared" si="1"/>
        <v/>
      </c>
    </row>
    <row r="1175">
      <c r="A1175" s="55"/>
      <c r="B1175" s="60"/>
      <c r="C1175" s="55"/>
      <c r="D1175" s="54"/>
      <c r="E1175" s="55"/>
      <c r="F1175" s="62"/>
      <c r="G1175" s="57"/>
      <c r="H1175" s="58" t="str">
        <f>IFERROR(__xludf.DUMMYFUNCTION("iferror(if(A1175="""", ,filter('Playoff IDR Import'!D:D,'Playoff IDR Import'!A:A=A1175,'Playoff IDR Import'!C:C=C1175)),)"),"")</f>
        <v/>
      </c>
      <c r="I1175" s="58"/>
      <c r="J1175" s="59" t="str">
        <f t="shared" si="1"/>
        <v/>
      </c>
    </row>
    <row r="1176">
      <c r="A1176" s="55"/>
      <c r="B1176" s="60"/>
      <c r="C1176" s="55"/>
      <c r="D1176" s="54"/>
      <c r="E1176" s="55"/>
      <c r="F1176" s="62"/>
      <c r="G1176" s="57"/>
      <c r="H1176" s="58" t="str">
        <f>IFERROR(__xludf.DUMMYFUNCTION("iferror(if(A1176="""", ,filter('Playoff IDR Import'!D:D,'Playoff IDR Import'!A:A=A1176,'Playoff IDR Import'!C:C=C1176)),)"),"")</f>
        <v/>
      </c>
      <c r="I1176" s="58"/>
      <c r="J1176" s="59" t="str">
        <f t="shared" si="1"/>
        <v/>
      </c>
    </row>
    <row r="1177">
      <c r="A1177" s="55"/>
      <c r="B1177" s="60"/>
      <c r="C1177" s="55"/>
      <c r="D1177" s="54"/>
      <c r="E1177" s="55"/>
      <c r="F1177" s="62"/>
      <c r="G1177" s="57"/>
      <c r="H1177" s="58" t="str">
        <f>IFERROR(__xludf.DUMMYFUNCTION("iferror(if(A1177="""", ,filter('Playoff IDR Import'!D:D,'Playoff IDR Import'!A:A=A1177,'Playoff IDR Import'!C:C=C1177)),)"),"")</f>
        <v/>
      </c>
      <c r="I1177" s="58"/>
      <c r="J1177" s="59" t="str">
        <f t="shared" si="1"/>
        <v/>
      </c>
    </row>
    <row r="1178">
      <c r="A1178" s="55"/>
      <c r="B1178" s="60"/>
      <c r="C1178" s="55"/>
      <c r="D1178" s="54"/>
      <c r="E1178" s="55"/>
      <c r="F1178" s="62"/>
      <c r="G1178" s="57"/>
      <c r="H1178" s="58" t="str">
        <f>IFERROR(__xludf.DUMMYFUNCTION("iferror(if(A1178="""", ,filter('Playoff IDR Import'!D:D,'Playoff IDR Import'!A:A=A1178,'Playoff IDR Import'!C:C=C1178)),)"),"")</f>
        <v/>
      </c>
      <c r="I1178" s="58"/>
      <c r="J1178" s="59" t="str">
        <f t="shared" si="1"/>
        <v/>
      </c>
    </row>
    <row r="1179">
      <c r="A1179" s="55"/>
      <c r="B1179" s="60"/>
      <c r="C1179" s="55"/>
      <c r="D1179" s="54"/>
      <c r="E1179" s="55"/>
      <c r="F1179" s="62"/>
      <c r="G1179" s="57"/>
      <c r="H1179" s="58" t="str">
        <f>IFERROR(__xludf.DUMMYFUNCTION("iferror(if(A1179="""", ,filter('Playoff IDR Import'!D:D,'Playoff IDR Import'!A:A=A1179,'Playoff IDR Import'!C:C=C1179)),)"),"")</f>
        <v/>
      </c>
      <c r="I1179" s="58"/>
      <c r="J1179" s="59" t="str">
        <f t="shared" si="1"/>
        <v/>
      </c>
    </row>
    <row r="1180">
      <c r="A1180" s="55"/>
      <c r="B1180" s="60"/>
      <c r="C1180" s="55"/>
      <c r="D1180" s="54"/>
      <c r="E1180" s="55"/>
      <c r="F1180" s="62"/>
      <c r="G1180" s="57"/>
      <c r="H1180" s="58" t="str">
        <f>IFERROR(__xludf.DUMMYFUNCTION("iferror(if(A1180="""", ,filter('Playoff IDR Import'!D:D,'Playoff IDR Import'!A:A=A1180,'Playoff IDR Import'!C:C=C1180)),)"),"")</f>
        <v/>
      </c>
      <c r="I1180" s="58"/>
      <c r="J1180" s="59" t="str">
        <f t="shared" si="1"/>
        <v/>
      </c>
    </row>
    <row r="1181">
      <c r="A1181" s="55"/>
      <c r="B1181" s="60"/>
      <c r="C1181" s="55"/>
      <c r="D1181" s="54"/>
      <c r="E1181" s="55"/>
      <c r="F1181" s="62"/>
      <c r="G1181" s="57"/>
      <c r="H1181" s="58" t="str">
        <f>IFERROR(__xludf.DUMMYFUNCTION("iferror(if(A1181="""", ,filter('Playoff IDR Import'!D:D,'Playoff IDR Import'!A:A=A1181,'Playoff IDR Import'!C:C=C1181)),)"),"")</f>
        <v/>
      </c>
      <c r="I1181" s="58"/>
      <c r="J1181" s="59" t="str">
        <f t="shared" si="1"/>
        <v/>
      </c>
    </row>
    <row r="1182">
      <c r="A1182" s="55"/>
      <c r="B1182" s="60"/>
      <c r="C1182" s="55"/>
      <c r="D1182" s="54"/>
      <c r="E1182" s="55"/>
      <c r="F1182" s="62"/>
      <c r="G1182" s="57"/>
      <c r="H1182" s="58" t="str">
        <f>IFERROR(__xludf.DUMMYFUNCTION("iferror(if(A1182="""", ,filter('Playoff IDR Import'!D:D,'Playoff IDR Import'!A:A=A1182,'Playoff IDR Import'!C:C=C1182)),)"),"")</f>
        <v/>
      </c>
      <c r="I1182" s="58"/>
      <c r="J1182" s="59" t="str">
        <f t="shared" si="1"/>
        <v/>
      </c>
    </row>
    <row r="1183">
      <c r="A1183" s="55"/>
      <c r="B1183" s="60"/>
      <c r="C1183" s="55"/>
      <c r="D1183" s="54"/>
      <c r="E1183" s="55"/>
      <c r="F1183" s="62"/>
      <c r="G1183" s="57"/>
      <c r="H1183" s="58" t="str">
        <f>IFERROR(__xludf.DUMMYFUNCTION("iferror(if(A1183="""", ,filter('Playoff IDR Import'!D:D,'Playoff IDR Import'!A:A=A1183,'Playoff IDR Import'!C:C=C1183)),)"),"")</f>
        <v/>
      </c>
      <c r="I1183" s="58"/>
      <c r="J1183" s="59" t="str">
        <f t="shared" si="1"/>
        <v/>
      </c>
    </row>
    <row r="1184">
      <c r="A1184" s="55"/>
      <c r="B1184" s="60"/>
      <c r="C1184" s="55"/>
      <c r="D1184" s="54"/>
      <c r="E1184" s="55"/>
      <c r="F1184" s="62"/>
      <c r="G1184" s="57"/>
      <c r="H1184" s="58" t="str">
        <f>IFERROR(__xludf.DUMMYFUNCTION("iferror(if(A1184="""", ,filter('Playoff IDR Import'!D:D,'Playoff IDR Import'!A:A=A1184,'Playoff IDR Import'!C:C=C1184)),)"),"")</f>
        <v/>
      </c>
      <c r="I1184" s="58"/>
      <c r="J1184" s="59" t="str">
        <f t="shared" si="1"/>
        <v/>
      </c>
    </row>
    <row r="1185">
      <c r="A1185" s="55"/>
      <c r="B1185" s="60"/>
      <c r="C1185" s="55"/>
      <c r="D1185" s="54"/>
      <c r="E1185" s="55"/>
      <c r="F1185" s="62"/>
      <c r="G1185" s="57"/>
      <c r="H1185" s="58" t="str">
        <f>IFERROR(__xludf.DUMMYFUNCTION("iferror(if(A1185="""", ,filter('Playoff IDR Import'!D:D,'Playoff IDR Import'!A:A=A1185,'Playoff IDR Import'!C:C=C1185)),)"),"")</f>
        <v/>
      </c>
      <c r="I1185" s="58"/>
      <c r="J1185" s="59" t="str">
        <f t="shared" si="1"/>
        <v/>
      </c>
    </row>
    <row r="1186">
      <c r="A1186" s="55"/>
      <c r="B1186" s="60"/>
      <c r="C1186" s="55"/>
      <c r="D1186" s="54"/>
      <c r="E1186" s="55"/>
      <c r="F1186" s="62"/>
      <c r="G1186" s="57"/>
      <c r="H1186" s="58" t="str">
        <f>IFERROR(__xludf.DUMMYFUNCTION("iferror(if(A1186="""", ,filter('Playoff IDR Import'!D:D,'Playoff IDR Import'!A:A=A1186,'Playoff IDR Import'!C:C=C1186)),)"),"")</f>
        <v/>
      </c>
      <c r="I1186" s="58"/>
      <c r="J1186" s="59" t="str">
        <f t="shared" si="1"/>
        <v/>
      </c>
    </row>
    <row r="1187">
      <c r="A1187" s="55"/>
      <c r="B1187" s="60"/>
      <c r="C1187" s="55"/>
      <c r="D1187" s="54"/>
      <c r="E1187" s="55"/>
      <c r="F1187" s="62"/>
      <c r="G1187" s="57"/>
      <c r="H1187" s="58" t="str">
        <f>IFERROR(__xludf.DUMMYFUNCTION("iferror(if(A1187="""", ,filter('Playoff IDR Import'!D:D,'Playoff IDR Import'!A:A=A1187,'Playoff IDR Import'!C:C=C1187)),)"),"")</f>
        <v/>
      </c>
      <c r="I1187" s="58"/>
      <c r="J1187" s="59" t="str">
        <f t="shared" si="1"/>
        <v/>
      </c>
    </row>
    <row r="1188">
      <c r="A1188" s="55"/>
      <c r="B1188" s="60"/>
      <c r="C1188" s="55"/>
      <c r="D1188" s="54"/>
      <c r="E1188" s="55"/>
      <c r="F1188" s="62"/>
      <c r="G1188" s="57"/>
      <c r="H1188" s="58" t="str">
        <f>IFERROR(__xludf.DUMMYFUNCTION("iferror(if(A1188="""", ,filter('Playoff IDR Import'!D:D,'Playoff IDR Import'!A:A=A1188,'Playoff IDR Import'!C:C=C1188)),)"),"")</f>
        <v/>
      </c>
      <c r="I1188" s="58"/>
      <c r="J1188" s="59" t="str">
        <f t="shared" si="1"/>
        <v/>
      </c>
    </row>
    <row r="1189">
      <c r="A1189" s="55"/>
      <c r="B1189" s="60"/>
      <c r="C1189" s="55"/>
      <c r="D1189" s="54"/>
      <c r="E1189" s="55"/>
      <c r="F1189" s="62"/>
      <c r="G1189" s="57"/>
      <c r="H1189" s="58" t="str">
        <f>IFERROR(__xludf.DUMMYFUNCTION("iferror(if(A1189="""", ,filter('Playoff IDR Import'!D:D,'Playoff IDR Import'!A:A=A1189,'Playoff IDR Import'!C:C=C1189)),)"),"")</f>
        <v/>
      </c>
      <c r="I1189" s="58"/>
      <c r="J1189" s="59" t="str">
        <f t="shared" si="1"/>
        <v/>
      </c>
    </row>
    <row r="1190">
      <c r="A1190" s="55"/>
      <c r="B1190" s="60"/>
      <c r="C1190" s="55"/>
      <c r="D1190" s="54"/>
      <c r="E1190" s="55"/>
      <c r="F1190" s="62"/>
      <c r="G1190" s="57"/>
      <c r="H1190" s="58" t="str">
        <f>IFERROR(__xludf.DUMMYFUNCTION("iferror(if(A1190="""", ,filter('Playoff IDR Import'!D:D,'Playoff IDR Import'!A:A=A1190,'Playoff IDR Import'!C:C=C1190)),)"),"")</f>
        <v/>
      </c>
      <c r="I1190" s="58"/>
      <c r="J1190" s="59" t="str">
        <f t="shared" si="1"/>
        <v/>
      </c>
    </row>
    <row r="1191">
      <c r="A1191" s="55"/>
      <c r="B1191" s="60"/>
      <c r="C1191" s="55"/>
      <c r="D1191" s="54"/>
      <c r="E1191" s="55"/>
      <c r="F1191" s="62"/>
      <c r="G1191" s="57"/>
      <c r="H1191" s="58" t="str">
        <f>IFERROR(__xludf.DUMMYFUNCTION("iferror(if(A1191="""", ,filter('Playoff IDR Import'!D:D,'Playoff IDR Import'!A:A=A1191,'Playoff IDR Import'!C:C=C1191)),)"),"")</f>
        <v/>
      </c>
      <c r="I1191" s="58"/>
      <c r="J1191" s="59" t="str">
        <f t="shared" si="1"/>
        <v/>
      </c>
    </row>
    <row r="1192">
      <c r="A1192" s="55"/>
      <c r="B1192" s="60"/>
      <c r="C1192" s="55"/>
      <c r="D1192" s="54"/>
      <c r="E1192" s="55"/>
      <c r="F1192" s="62"/>
      <c r="G1192" s="57"/>
      <c r="H1192" s="58" t="str">
        <f>IFERROR(__xludf.DUMMYFUNCTION("iferror(if(A1192="""", ,filter('Playoff IDR Import'!D:D,'Playoff IDR Import'!A:A=A1192,'Playoff IDR Import'!C:C=C1192)),)"),"")</f>
        <v/>
      </c>
      <c r="I1192" s="58"/>
      <c r="J1192" s="59" t="str">
        <f t="shared" si="1"/>
        <v/>
      </c>
    </row>
    <row r="1193">
      <c r="A1193" s="55"/>
      <c r="B1193" s="60"/>
      <c r="C1193" s="55"/>
      <c r="D1193" s="54"/>
      <c r="E1193" s="55"/>
      <c r="F1193" s="62"/>
      <c r="G1193" s="57"/>
      <c r="H1193" s="58" t="str">
        <f>IFERROR(__xludf.DUMMYFUNCTION("iferror(if(A1193="""", ,filter('Playoff IDR Import'!D:D,'Playoff IDR Import'!A:A=A1193,'Playoff IDR Import'!C:C=C1193)),)"),"")</f>
        <v/>
      </c>
      <c r="I1193" s="58"/>
      <c r="J1193" s="59" t="str">
        <f t="shared" si="1"/>
        <v/>
      </c>
    </row>
    <row r="1194">
      <c r="A1194" s="55"/>
      <c r="B1194" s="60"/>
      <c r="C1194" s="55"/>
      <c r="D1194" s="54"/>
      <c r="E1194" s="55"/>
      <c r="F1194" s="62"/>
      <c r="G1194" s="57"/>
      <c r="H1194" s="58" t="str">
        <f>IFERROR(__xludf.DUMMYFUNCTION("iferror(if(A1194="""", ,filter('Playoff IDR Import'!D:D,'Playoff IDR Import'!A:A=A1194,'Playoff IDR Import'!C:C=C1194)),)"),"")</f>
        <v/>
      </c>
      <c r="I1194" s="58"/>
      <c r="J1194" s="59" t="str">
        <f t="shared" si="1"/>
        <v/>
      </c>
    </row>
    <row r="1195">
      <c r="A1195" s="55"/>
      <c r="B1195" s="60"/>
      <c r="C1195" s="55"/>
      <c r="D1195" s="54"/>
      <c r="E1195" s="55"/>
      <c r="F1195" s="62"/>
      <c r="G1195" s="57"/>
      <c r="H1195" s="58" t="str">
        <f>IFERROR(__xludf.DUMMYFUNCTION("iferror(if(A1195="""", ,filter('Playoff IDR Import'!D:D,'Playoff IDR Import'!A:A=A1195,'Playoff IDR Import'!C:C=C1195)),)"),"")</f>
        <v/>
      </c>
      <c r="I1195" s="58"/>
      <c r="J1195" s="59" t="str">
        <f t="shared" si="1"/>
        <v/>
      </c>
    </row>
    <row r="1196">
      <c r="A1196" s="55"/>
      <c r="B1196" s="60"/>
      <c r="C1196" s="55"/>
      <c r="D1196" s="54"/>
      <c r="E1196" s="55"/>
      <c r="F1196" s="62"/>
      <c r="G1196" s="57"/>
      <c r="H1196" s="58" t="str">
        <f>IFERROR(__xludf.DUMMYFUNCTION("iferror(if(A1196="""", ,filter('Playoff IDR Import'!D:D,'Playoff IDR Import'!A:A=A1196,'Playoff IDR Import'!C:C=C1196)),)"),"")</f>
        <v/>
      </c>
      <c r="I1196" s="58"/>
      <c r="J1196" s="59" t="str">
        <f t="shared" si="1"/>
        <v/>
      </c>
    </row>
    <row r="1197">
      <c r="A1197" s="55"/>
      <c r="B1197" s="60"/>
      <c r="C1197" s="55"/>
      <c r="D1197" s="54"/>
      <c r="E1197" s="55"/>
      <c r="F1197" s="62"/>
      <c r="G1197" s="57"/>
      <c r="H1197" s="58" t="str">
        <f>IFERROR(__xludf.DUMMYFUNCTION("iferror(if(A1197="""", ,filter('Playoff IDR Import'!D:D,'Playoff IDR Import'!A:A=A1197,'Playoff IDR Import'!C:C=C1197)),)"),"")</f>
        <v/>
      </c>
      <c r="I1197" s="58"/>
      <c r="J1197" s="59" t="str">
        <f t="shared" si="1"/>
        <v/>
      </c>
    </row>
    <row r="1198">
      <c r="A1198" s="55"/>
      <c r="B1198" s="60"/>
      <c r="C1198" s="55"/>
      <c r="D1198" s="54"/>
      <c r="E1198" s="55"/>
      <c r="F1198" s="62"/>
      <c r="G1198" s="57"/>
      <c r="H1198" s="58" t="str">
        <f>IFERROR(__xludf.DUMMYFUNCTION("iferror(if(A1198="""", ,filter('Playoff IDR Import'!D:D,'Playoff IDR Import'!A:A=A1198,'Playoff IDR Import'!C:C=C1198)),)"),"")</f>
        <v/>
      </c>
      <c r="I1198" s="58"/>
      <c r="J1198" s="59" t="str">
        <f t="shared" si="1"/>
        <v/>
      </c>
    </row>
    <row r="1199">
      <c r="A1199" s="55"/>
      <c r="B1199" s="60"/>
      <c r="C1199" s="55"/>
      <c r="D1199" s="54"/>
      <c r="E1199" s="55"/>
      <c r="F1199" s="62"/>
      <c r="G1199" s="57"/>
      <c r="H1199" s="58" t="str">
        <f>IFERROR(__xludf.DUMMYFUNCTION("iferror(if(A1199="""", ,filter('Playoff IDR Import'!D:D,'Playoff IDR Import'!A:A=A1199,'Playoff IDR Import'!C:C=C1199)),)"),"")</f>
        <v/>
      </c>
      <c r="I1199" s="58"/>
      <c r="J1199" s="59" t="str">
        <f t="shared" si="1"/>
        <v/>
      </c>
    </row>
    <row r="1200">
      <c r="A1200" s="55"/>
      <c r="B1200" s="60"/>
      <c r="C1200" s="55"/>
      <c r="D1200" s="54"/>
      <c r="E1200" s="55"/>
      <c r="F1200" s="62"/>
      <c r="G1200" s="57"/>
      <c r="H1200" s="58" t="str">
        <f>IFERROR(__xludf.DUMMYFUNCTION("iferror(if(A1200="""", ,filter('Playoff IDR Import'!D:D,'Playoff IDR Import'!A:A=A1200,'Playoff IDR Import'!C:C=C1200)),)"),"")</f>
        <v/>
      </c>
      <c r="I1200" s="58"/>
      <c r="J1200" s="59" t="str">
        <f t="shared" si="1"/>
        <v/>
      </c>
    </row>
    <row r="1201">
      <c r="A1201" s="55"/>
      <c r="B1201" s="60"/>
      <c r="C1201" s="55"/>
      <c r="D1201" s="54"/>
      <c r="E1201" s="55"/>
      <c r="F1201" s="62"/>
      <c r="G1201" s="57"/>
      <c r="H1201" s="58" t="str">
        <f>IFERROR(__xludf.DUMMYFUNCTION("iferror(if(A1201="""", ,filter('Playoff IDR Import'!D:D,'Playoff IDR Import'!A:A=A1201,'Playoff IDR Import'!C:C=C1201)),)"),"")</f>
        <v/>
      </c>
      <c r="I1201" s="58"/>
      <c r="J1201" s="59" t="str">
        <f t="shared" si="1"/>
        <v/>
      </c>
    </row>
    <row r="1202">
      <c r="A1202" s="55"/>
      <c r="B1202" s="60"/>
      <c r="C1202" s="55"/>
      <c r="D1202" s="54"/>
      <c r="E1202" s="55"/>
      <c r="F1202" s="62"/>
      <c r="G1202" s="57"/>
      <c r="H1202" s="58" t="str">
        <f>IFERROR(__xludf.DUMMYFUNCTION("iferror(if(A1202="""", ,filter('Playoff IDR Import'!D:D,'Playoff IDR Import'!A:A=A1202,'Playoff IDR Import'!C:C=C1202)),)"),"")</f>
        <v/>
      </c>
      <c r="I1202" s="58"/>
      <c r="J1202" s="59" t="str">
        <f t="shared" si="1"/>
        <v/>
      </c>
    </row>
    <row r="1203">
      <c r="A1203" s="55"/>
      <c r="B1203" s="60"/>
      <c r="C1203" s="55"/>
      <c r="D1203" s="54"/>
      <c r="E1203" s="55"/>
      <c r="F1203" s="62"/>
      <c r="G1203" s="57"/>
      <c r="H1203" s="58" t="str">
        <f>IFERROR(__xludf.DUMMYFUNCTION("iferror(if(A1203="""", ,filter('Playoff IDR Import'!D:D,'Playoff IDR Import'!A:A=A1203,'Playoff IDR Import'!C:C=C1203)),)"),"")</f>
        <v/>
      </c>
      <c r="I1203" s="58"/>
      <c r="J1203" s="59" t="str">
        <f t="shared" si="1"/>
        <v/>
      </c>
    </row>
    <row r="1204">
      <c r="A1204" s="55"/>
      <c r="B1204" s="60"/>
      <c r="C1204" s="55"/>
      <c r="D1204" s="54"/>
      <c r="E1204" s="55"/>
      <c r="F1204" s="62"/>
      <c r="G1204" s="57"/>
      <c r="H1204" s="58" t="str">
        <f>IFERROR(__xludf.DUMMYFUNCTION("iferror(if(A1204="""", ,filter('Playoff IDR Import'!D:D,'Playoff IDR Import'!A:A=A1204,'Playoff IDR Import'!C:C=C1204)),)"),"")</f>
        <v/>
      </c>
      <c r="I1204" s="58"/>
      <c r="J1204" s="59" t="str">
        <f t="shared" si="1"/>
        <v/>
      </c>
    </row>
    <row r="1205">
      <c r="A1205" s="55"/>
      <c r="B1205" s="60"/>
      <c r="C1205" s="55"/>
      <c r="D1205" s="54"/>
      <c r="E1205" s="55"/>
      <c r="F1205" s="62"/>
      <c r="G1205" s="57"/>
      <c r="H1205" s="58" t="str">
        <f>IFERROR(__xludf.DUMMYFUNCTION("iferror(if(A1205="""", ,filter('Playoff IDR Import'!D:D,'Playoff IDR Import'!A:A=A1205,'Playoff IDR Import'!C:C=C1205)),)"),"")</f>
        <v/>
      </c>
      <c r="I1205" s="58"/>
      <c r="J1205" s="59" t="str">
        <f t="shared" si="1"/>
        <v/>
      </c>
    </row>
    <row r="1206">
      <c r="A1206" s="55"/>
      <c r="B1206" s="60"/>
      <c r="C1206" s="55"/>
      <c r="D1206" s="54"/>
      <c r="E1206" s="55"/>
      <c r="F1206" s="62"/>
      <c r="G1206" s="57"/>
      <c r="H1206" s="58" t="str">
        <f>IFERROR(__xludf.DUMMYFUNCTION("iferror(if(A1206="""", ,filter('Playoff IDR Import'!D:D,'Playoff IDR Import'!A:A=A1206,'Playoff IDR Import'!C:C=C1206)),)"),"")</f>
        <v/>
      </c>
      <c r="I1206" s="58"/>
      <c r="J1206" s="59" t="str">
        <f t="shared" si="1"/>
        <v/>
      </c>
    </row>
    <row r="1207">
      <c r="A1207" s="55"/>
      <c r="B1207" s="60"/>
      <c r="C1207" s="55"/>
      <c r="D1207" s="54"/>
      <c r="E1207" s="55"/>
      <c r="F1207" s="62"/>
      <c r="G1207" s="57"/>
      <c r="H1207" s="58" t="str">
        <f>IFERROR(__xludf.DUMMYFUNCTION("iferror(if(A1207="""", ,filter('Playoff IDR Import'!D:D,'Playoff IDR Import'!A:A=A1207,'Playoff IDR Import'!C:C=C1207)),)"),"")</f>
        <v/>
      </c>
      <c r="I1207" s="58"/>
      <c r="J1207" s="59" t="str">
        <f t="shared" si="1"/>
        <v/>
      </c>
    </row>
    <row r="1208">
      <c r="A1208" s="55"/>
      <c r="B1208" s="60"/>
      <c r="C1208" s="55"/>
      <c r="D1208" s="54"/>
      <c r="E1208" s="55"/>
      <c r="F1208" s="62"/>
      <c r="G1208" s="57"/>
      <c r="H1208" s="58" t="str">
        <f>IFERROR(__xludf.DUMMYFUNCTION("iferror(if(A1208="""", ,filter('Playoff IDR Import'!D:D,'Playoff IDR Import'!A:A=A1208,'Playoff IDR Import'!C:C=C1208)),)"),"")</f>
        <v/>
      </c>
      <c r="I1208" s="58"/>
      <c r="J1208" s="59" t="str">
        <f t="shared" si="1"/>
        <v/>
      </c>
    </row>
    <row r="1209">
      <c r="A1209" s="55"/>
      <c r="B1209" s="60"/>
      <c r="C1209" s="55"/>
      <c r="D1209" s="54"/>
      <c r="E1209" s="55"/>
      <c r="F1209" s="62"/>
      <c r="G1209" s="57"/>
      <c r="H1209" s="58" t="str">
        <f>IFERROR(__xludf.DUMMYFUNCTION("iferror(if(A1209="""", ,filter('Playoff IDR Import'!D:D,'Playoff IDR Import'!A:A=A1209,'Playoff IDR Import'!C:C=C1209)),)"),"")</f>
        <v/>
      </c>
      <c r="I1209" s="58"/>
      <c r="J1209" s="59" t="str">
        <f t="shared" si="1"/>
        <v/>
      </c>
    </row>
    <row r="1210">
      <c r="A1210" s="55"/>
      <c r="B1210" s="60"/>
      <c r="C1210" s="55"/>
      <c r="D1210" s="54"/>
      <c r="E1210" s="55"/>
      <c r="F1210" s="62"/>
      <c r="G1210" s="57"/>
      <c r="H1210" s="58" t="str">
        <f>IFERROR(__xludf.DUMMYFUNCTION("iferror(if(A1210="""", ,filter('Playoff IDR Import'!D:D,'Playoff IDR Import'!A:A=A1210,'Playoff IDR Import'!C:C=C1210)),)"),"")</f>
        <v/>
      </c>
      <c r="I1210" s="58"/>
      <c r="J1210" s="59" t="str">
        <f t="shared" si="1"/>
        <v/>
      </c>
    </row>
    <row r="1211">
      <c r="A1211" s="55"/>
      <c r="B1211" s="60"/>
      <c r="C1211" s="55"/>
      <c r="D1211" s="54"/>
      <c r="E1211" s="55"/>
      <c r="F1211" s="62"/>
      <c r="G1211" s="57"/>
      <c r="H1211" s="58" t="str">
        <f>IFERROR(__xludf.DUMMYFUNCTION("iferror(if(A1211="""", ,filter('Playoff IDR Import'!D:D,'Playoff IDR Import'!A:A=A1211,'Playoff IDR Import'!C:C=C1211)),)"),"")</f>
        <v/>
      </c>
      <c r="I1211" s="58"/>
      <c r="J1211" s="59" t="str">
        <f t="shared" si="1"/>
        <v/>
      </c>
    </row>
    <row r="1212">
      <c r="A1212" s="55"/>
      <c r="B1212" s="60"/>
      <c r="C1212" s="55"/>
      <c r="D1212" s="54"/>
      <c r="E1212" s="55"/>
      <c r="F1212" s="62"/>
      <c r="G1212" s="57"/>
      <c r="H1212" s="58" t="str">
        <f>IFERROR(__xludf.DUMMYFUNCTION("iferror(if(A1212="""", ,filter('Playoff IDR Import'!D:D,'Playoff IDR Import'!A:A=A1212,'Playoff IDR Import'!C:C=C1212)),)"),"")</f>
        <v/>
      </c>
      <c r="I1212" s="58"/>
      <c r="J1212" s="59" t="str">
        <f t="shared" si="1"/>
        <v/>
      </c>
    </row>
    <row r="1213">
      <c r="A1213" s="55"/>
      <c r="B1213" s="60"/>
      <c r="C1213" s="55"/>
      <c r="D1213" s="54"/>
      <c r="E1213" s="55"/>
      <c r="F1213" s="62"/>
      <c r="G1213" s="57"/>
      <c r="H1213" s="58" t="str">
        <f>IFERROR(__xludf.DUMMYFUNCTION("iferror(if(A1213="""", ,filter('Playoff IDR Import'!D:D,'Playoff IDR Import'!A:A=A1213,'Playoff IDR Import'!C:C=C1213)),)"),"")</f>
        <v/>
      </c>
      <c r="I1213" s="58"/>
      <c r="J1213" s="59" t="str">
        <f t="shared" si="1"/>
        <v/>
      </c>
    </row>
    <row r="1214">
      <c r="A1214" s="55"/>
      <c r="B1214" s="60"/>
      <c r="C1214" s="55"/>
      <c r="D1214" s="54"/>
      <c r="E1214" s="55"/>
      <c r="F1214" s="62"/>
      <c r="G1214" s="57"/>
      <c r="H1214" s="58" t="str">
        <f>IFERROR(__xludf.DUMMYFUNCTION("iferror(if(A1214="""", ,filter('Playoff IDR Import'!D:D,'Playoff IDR Import'!A:A=A1214,'Playoff IDR Import'!C:C=C1214)),)"),"")</f>
        <v/>
      </c>
      <c r="I1214" s="58"/>
      <c r="J1214" s="59" t="str">
        <f t="shared" si="1"/>
        <v/>
      </c>
    </row>
    <row r="1215">
      <c r="A1215" s="55"/>
      <c r="B1215" s="60"/>
      <c r="C1215" s="55"/>
      <c r="D1215" s="54"/>
      <c r="E1215" s="55"/>
      <c r="F1215" s="62"/>
      <c r="G1215" s="57"/>
      <c r="H1215" s="58" t="str">
        <f>IFERROR(__xludf.DUMMYFUNCTION("iferror(if(A1215="""", ,filter('Playoff IDR Import'!D:D,'Playoff IDR Import'!A:A=A1215,'Playoff IDR Import'!C:C=C1215)),)"),"")</f>
        <v/>
      </c>
      <c r="I1215" s="58"/>
      <c r="J1215" s="59" t="str">
        <f t="shared" si="1"/>
        <v/>
      </c>
    </row>
    <row r="1216">
      <c r="A1216" s="55"/>
      <c r="B1216" s="60"/>
      <c r="C1216" s="55"/>
      <c r="D1216" s="54"/>
      <c r="E1216" s="55"/>
      <c r="F1216" s="62"/>
      <c r="G1216" s="57"/>
      <c r="H1216" s="58" t="str">
        <f>IFERROR(__xludf.DUMMYFUNCTION("iferror(if(A1216="""", ,filter('Playoff IDR Import'!D:D,'Playoff IDR Import'!A:A=A1216,'Playoff IDR Import'!C:C=C1216)),)"),"")</f>
        <v/>
      </c>
      <c r="I1216" s="58"/>
      <c r="J1216" s="59" t="str">
        <f t="shared" si="1"/>
        <v/>
      </c>
    </row>
    <row r="1217">
      <c r="A1217" s="55"/>
      <c r="B1217" s="60"/>
      <c r="C1217" s="55"/>
      <c r="D1217" s="54"/>
      <c r="E1217" s="55"/>
      <c r="F1217" s="62"/>
      <c r="G1217" s="57"/>
      <c r="H1217" s="58" t="str">
        <f>IFERROR(__xludf.DUMMYFUNCTION("iferror(if(A1217="""", ,filter('Playoff IDR Import'!D:D,'Playoff IDR Import'!A:A=A1217,'Playoff IDR Import'!C:C=C1217)),)"),"")</f>
        <v/>
      </c>
      <c r="I1217" s="58"/>
      <c r="J1217" s="59" t="str">
        <f t="shared" si="1"/>
        <v/>
      </c>
    </row>
    <row r="1218">
      <c r="A1218" s="55"/>
      <c r="B1218" s="60"/>
      <c r="C1218" s="55"/>
      <c r="D1218" s="54"/>
      <c r="E1218" s="55"/>
      <c r="F1218" s="62"/>
      <c r="G1218" s="57"/>
      <c r="H1218" s="58" t="str">
        <f>IFERROR(__xludf.DUMMYFUNCTION("iferror(if(A1218="""", ,filter('Playoff IDR Import'!D:D,'Playoff IDR Import'!A:A=A1218,'Playoff IDR Import'!C:C=C1218)),)"),"")</f>
        <v/>
      </c>
      <c r="I1218" s="58"/>
      <c r="J1218" s="59" t="str">
        <f t="shared" si="1"/>
        <v/>
      </c>
    </row>
    <row r="1219">
      <c r="A1219" s="55"/>
      <c r="B1219" s="60"/>
      <c r="C1219" s="55"/>
      <c r="D1219" s="54"/>
      <c r="E1219" s="55"/>
      <c r="F1219" s="62"/>
      <c r="G1219" s="57"/>
      <c r="H1219" s="58" t="str">
        <f>IFERROR(__xludf.DUMMYFUNCTION("iferror(if(A1219="""", ,filter('Playoff IDR Import'!D:D,'Playoff IDR Import'!A:A=A1219,'Playoff IDR Import'!C:C=C1219)),)"),"")</f>
        <v/>
      </c>
      <c r="I1219" s="58"/>
      <c r="J1219" s="59" t="str">
        <f t="shared" si="1"/>
        <v/>
      </c>
    </row>
    <row r="1220">
      <c r="A1220" s="55"/>
      <c r="B1220" s="60"/>
      <c r="C1220" s="55"/>
      <c r="D1220" s="54"/>
      <c r="E1220" s="55"/>
      <c r="F1220" s="62"/>
      <c r="G1220" s="57"/>
      <c r="H1220" s="58" t="str">
        <f>IFERROR(__xludf.DUMMYFUNCTION("iferror(if(A1220="""", ,filter('Playoff IDR Import'!D:D,'Playoff IDR Import'!A:A=A1220,'Playoff IDR Import'!C:C=C1220)),)"),"")</f>
        <v/>
      </c>
      <c r="I1220" s="58"/>
      <c r="J1220" s="59" t="str">
        <f t="shared" si="1"/>
        <v/>
      </c>
    </row>
    <row r="1221">
      <c r="A1221" s="55"/>
      <c r="B1221" s="60"/>
      <c r="C1221" s="55"/>
      <c r="D1221" s="54"/>
      <c r="E1221" s="55"/>
      <c r="F1221" s="62"/>
      <c r="G1221" s="57"/>
      <c r="H1221" s="58" t="str">
        <f>IFERROR(__xludf.DUMMYFUNCTION("iferror(if(A1221="""", ,filter('Playoff IDR Import'!D:D,'Playoff IDR Import'!A:A=A1221,'Playoff IDR Import'!C:C=C1221)),)"),"")</f>
        <v/>
      </c>
      <c r="I1221" s="58"/>
      <c r="J1221" s="59" t="str">
        <f t="shared" si="1"/>
        <v/>
      </c>
    </row>
    <row r="1222">
      <c r="A1222" s="55"/>
      <c r="B1222" s="60"/>
      <c r="C1222" s="55"/>
      <c r="D1222" s="54"/>
      <c r="E1222" s="55"/>
      <c r="F1222" s="62"/>
      <c r="G1222" s="57"/>
      <c r="H1222" s="58" t="str">
        <f>IFERROR(__xludf.DUMMYFUNCTION("iferror(if(A1222="""", ,filter('Playoff IDR Import'!D:D,'Playoff IDR Import'!A:A=A1222,'Playoff IDR Import'!C:C=C1222)),)"),"")</f>
        <v/>
      </c>
      <c r="I1222" s="58"/>
      <c r="J1222" s="59" t="str">
        <f t="shared" si="1"/>
        <v/>
      </c>
    </row>
    <row r="1223">
      <c r="A1223" s="55"/>
      <c r="B1223" s="60"/>
      <c r="C1223" s="55"/>
      <c r="D1223" s="54"/>
      <c r="E1223" s="55"/>
      <c r="F1223" s="62"/>
      <c r="G1223" s="57"/>
      <c r="H1223" s="58" t="str">
        <f>IFERROR(__xludf.DUMMYFUNCTION("iferror(if(A1223="""", ,filter('Playoff IDR Import'!D:D,'Playoff IDR Import'!A:A=A1223,'Playoff IDR Import'!C:C=C1223)),)"),"")</f>
        <v/>
      </c>
      <c r="I1223" s="58"/>
      <c r="J1223" s="59" t="str">
        <f t="shared" si="1"/>
        <v/>
      </c>
    </row>
    <row r="1224">
      <c r="A1224" s="55"/>
      <c r="B1224" s="60"/>
      <c r="C1224" s="55"/>
      <c r="D1224" s="54"/>
      <c r="E1224" s="55"/>
      <c r="F1224" s="62"/>
      <c r="G1224" s="57"/>
      <c r="H1224" s="58" t="str">
        <f>IFERROR(__xludf.DUMMYFUNCTION("iferror(if(A1224="""", ,filter('Playoff IDR Import'!D:D,'Playoff IDR Import'!A:A=A1224,'Playoff IDR Import'!C:C=C1224)),)"),"")</f>
        <v/>
      </c>
      <c r="I1224" s="58"/>
      <c r="J1224" s="59" t="str">
        <f t="shared" si="1"/>
        <v/>
      </c>
    </row>
    <row r="1225">
      <c r="A1225" s="55"/>
      <c r="B1225" s="60"/>
      <c r="C1225" s="55"/>
      <c r="D1225" s="54"/>
      <c r="E1225" s="55"/>
      <c r="F1225" s="62"/>
      <c r="G1225" s="57"/>
      <c r="H1225" s="58" t="str">
        <f>IFERROR(__xludf.DUMMYFUNCTION("iferror(if(A1225="""", ,filter('Playoff IDR Import'!D:D,'Playoff IDR Import'!A:A=A1225,'Playoff IDR Import'!C:C=C1225)),)"),"")</f>
        <v/>
      </c>
      <c r="I1225" s="58"/>
      <c r="J1225" s="59" t="str">
        <f t="shared" si="1"/>
        <v/>
      </c>
    </row>
    <row r="1226">
      <c r="A1226" s="55"/>
      <c r="B1226" s="60"/>
      <c r="C1226" s="55"/>
      <c r="D1226" s="54"/>
      <c r="E1226" s="55"/>
      <c r="F1226" s="62"/>
      <c r="G1226" s="57"/>
      <c r="H1226" s="58" t="str">
        <f>IFERROR(__xludf.DUMMYFUNCTION("iferror(if(A1226="""", ,filter('Playoff IDR Import'!D:D,'Playoff IDR Import'!A:A=A1226,'Playoff IDR Import'!C:C=C1226)),)"),"")</f>
        <v/>
      </c>
      <c r="I1226" s="58"/>
      <c r="J1226" s="59" t="str">
        <f t="shared" si="1"/>
        <v/>
      </c>
    </row>
    <row r="1227">
      <c r="A1227" s="55"/>
      <c r="B1227" s="60"/>
      <c r="C1227" s="55"/>
      <c r="D1227" s="54"/>
      <c r="E1227" s="55"/>
      <c r="F1227" s="62"/>
      <c r="G1227" s="57"/>
      <c r="H1227" s="58" t="str">
        <f>IFERROR(__xludf.DUMMYFUNCTION("iferror(if(A1227="""", ,filter('Playoff IDR Import'!D:D,'Playoff IDR Import'!A:A=A1227,'Playoff IDR Import'!C:C=C1227)),)"),"")</f>
        <v/>
      </c>
      <c r="I1227" s="58"/>
      <c r="J1227" s="59" t="str">
        <f t="shared" si="1"/>
        <v/>
      </c>
    </row>
    <row r="1228">
      <c r="A1228" s="55"/>
      <c r="B1228" s="60"/>
      <c r="C1228" s="55"/>
      <c r="D1228" s="54"/>
      <c r="E1228" s="55"/>
      <c r="F1228" s="62"/>
      <c r="G1228" s="57"/>
      <c r="H1228" s="58" t="str">
        <f>IFERROR(__xludf.DUMMYFUNCTION("iferror(if(A1228="""", ,filter('Playoff IDR Import'!D:D,'Playoff IDR Import'!A:A=A1228,'Playoff IDR Import'!C:C=C1228)),)"),"")</f>
        <v/>
      </c>
      <c r="I1228" s="58"/>
      <c r="J1228" s="59" t="str">
        <f t="shared" si="1"/>
        <v/>
      </c>
    </row>
    <row r="1229">
      <c r="A1229" s="55"/>
      <c r="B1229" s="60"/>
      <c r="C1229" s="55"/>
      <c r="D1229" s="54"/>
      <c r="E1229" s="55"/>
      <c r="F1229" s="62"/>
      <c r="G1229" s="57"/>
      <c r="H1229" s="58" t="str">
        <f>IFERROR(__xludf.DUMMYFUNCTION("iferror(if(A1229="""", ,filter('Playoff IDR Import'!D:D,'Playoff IDR Import'!A:A=A1229,'Playoff IDR Import'!C:C=C1229)),)"),"")</f>
        <v/>
      </c>
      <c r="I1229" s="58"/>
      <c r="J1229" s="59" t="str">
        <f t="shared" si="1"/>
        <v/>
      </c>
    </row>
    <row r="1230">
      <c r="A1230" s="55"/>
      <c r="B1230" s="60"/>
      <c r="C1230" s="55"/>
      <c r="D1230" s="54"/>
      <c r="E1230" s="55"/>
      <c r="F1230" s="62"/>
      <c r="G1230" s="57"/>
      <c r="H1230" s="58" t="str">
        <f>IFERROR(__xludf.DUMMYFUNCTION("iferror(if(A1230="""", ,filter('Playoff IDR Import'!D:D,'Playoff IDR Import'!A:A=A1230,'Playoff IDR Import'!C:C=C1230)),)"),"")</f>
        <v/>
      </c>
      <c r="I1230" s="58"/>
      <c r="J1230" s="59" t="str">
        <f t="shared" si="1"/>
        <v/>
      </c>
    </row>
    <row r="1231">
      <c r="A1231" s="55"/>
      <c r="B1231" s="60"/>
      <c r="C1231" s="55"/>
      <c r="D1231" s="54"/>
      <c r="E1231" s="55"/>
      <c r="F1231" s="62"/>
      <c r="G1231" s="57"/>
      <c r="H1231" s="58" t="str">
        <f>IFERROR(__xludf.DUMMYFUNCTION("iferror(if(A1231="""", ,filter('Playoff IDR Import'!D:D,'Playoff IDR Import'!A:A=A1231,'Playoff IDR Import'!C:C=C1231)),)"),"")</f>
        <v/>
      </c>
      <c r="I1231" s="58"/>
      <c r="J1231" s="59" t="str">
        <f t="shared" si="1"/>
        <v/>
      </c>
    </row>
    <row r="1232">
      <c r="A1232" s="55"/>
      <c r="B1232" s="60"/>
      <c r="C1232" s="55"/>
      <c r="D1232" s="54"/>
      <c r="E1232" s="55"/>
      <c r="F1232" s="62"/>
      <c r="G1232" s="57"/>
      <c r="H1232" s="58" t="str">
        <f>IFERROR(__xludf.DUMMYFUNCTION("iferror(if(A1232="""", ,filter('Playoff IDR Import'!D:D,'Playoff IDR Import'!A:A=A1232,'Playoff IDR Import'!C:C=C1232)),)"),"")</f>
        <v/>
      </c>
      <c r="I1232" s="58"/>
      <c r="J1232" s="59" t="str">
        <f t="shared" si="1"/>
        <v/>
      </c>
    </row>
    <row r="1233">
      <c r="A1233" s="55"/>
      <c r="B1233" s="60"/>
      <c r="C1233" s="55"/>
      <c r="D1233" s="54"/>
      <c r="E1233" s="55"/>
      <c r="F1233" s="62"/>
      <c r="G1233" s="57"/>
      <c r="H1233" s="58" t="str">
        <f>IFERROR(__xludf.DUMMYFUNCTION("iferror(if(A1233="""", ,filter('Playoff IDR Import'!D:D,'Playoff IDR Import'!A:A=A1233,'Playoff IDR Import'!C:C=C1233)),)"),"")</f>
        <v/>
      </c>
      <c r="I1233" s="58"/>
      <c r="J1233" s="59" t="str">
        <f t="shared" si="1"/>
        <v/>
      </c>
    </row>
    <row r="1234">
      <c r="A1234" s="55"/>
      <c r="B1234" s="60"/>
      <c r="C1234" s="55"/>
      <c r="D1234" s="54"/>
      <c r="E1234" s="55"/>
      <c r="F1234" s="62"/>
      <c r="G1234" s="57"/>
      <c r="H1234" s="58" t="str">
        <f>IFERROR(__xludf.DUMMYFUNCTION("iferror(if(A1234="""", ,filter('Playoff IDR Import'!D:D,'Playoff IDR Import'!A:A=A1234,'Playoff IDR Import'!C:C=C1234)),)"),"")</f>
        <v/>
      </c>
      <c r="I1234" s="58"/>
      <c r="J1234" s="59" t="str">
        <f t="shared" si="1"/>
        <v/>
      </c>
    </row>
    <row r="1235">
      <c r="A1235" s="55"/>
      <c r="B1235" s="60"/>
      <c r="C1235" s="55"/>
      <c r="D1235" s="54"/>
      <c r="E1235" s="55"/>
      <c r="F1235" s="62"/>
      <c r="G1235" s="57"/>
      <c r="H1235" s="58" t="str">
        <f>IFERROR(__xludf.DUMMYFUNCTION("iferror(if(A1235="""", ,filter('Playoff IDR Import'!D:D,'Playoff IDR Import'!A:A=A1235,'Playoff IDR Import'!C:C=C1235)),)"),"")</f>
        <v/>
      </c>
      <c r="I1235" s="58"/>
      <c r="J1235" s="59" t="str">
        <f t="shared" si="1"/>
        <v/>
      </c>
    </row>
    <row r="1236">
      <c r="A1236" s="55"/>
      <c r="B1236" s="60"/>
      <c r="C1236" s="55"/>
      <c r="D1236" s="54"/>
      <c r="E1236" s="55"/>
      <c r="F1236" s="62"/>
      <c r="G1236" s="57"/>
      <c r="H1236" s="58" t="str">
        <f>IFERROR(__xludf.DUMMYFUNCTION("iferror(if(A1236="""", ,filter('Playoff IDR Import'!D:D,'Playoff IDR Import'!A:A=A1236,'Playoff IDR Import'!C:C=C1236)),)"),"")</f>
        <v/>
      </c>
      <c r="I1236" s="58"/>
      <c r="J1236" s="59" t="str">
        <f t="shared" si="1"/>
        <v/>
      </c>
    </row>
    <row r="1237">
      <c r="A1237" s="55"/>
      <c r="B1237" s="60"/>
      <c r="C1237" s="55"/>
      <c r="D1237" s="54"/>
      <c r="E1237" s="55"/>
      <c r="F1237" s="62"/>
      <c r="G1237" s="57"/>
      <c r="H1237" s="58" t="str">
        <f>IFERROR(__xludf.DUMMYFUNCTION("iferror(if(A1237="""", ,filter('Playoff IDR Import'!D:D,'Playoff IDR Import'!A:A=A1237,'Playoff IDR Import'!C:C=C1237)),)"),"")</f>
        <v/>
      </c>
      <c r="I1237" s="58"/>
      <c r="J1237" s="59" t="str">
        <f t="shared" si="1"/>
        <v/>
      </c>
    </row>
    <row r="1238">
      <c r="A1238" s="55"/>
      <c r="B1238" s="60"/>
      <c r="C1238" s="55"/>
      <c r="D1238" s="54"/>
      <c r="E1238" s="55"/>
      <c r="F1238" s="62"/>
      <c r="G1238" s="57"/>
      <c r="H1238" s="58" t="str">
        <f>IFERROR(__xludf.DUMMYFUNCTION("iferror(if(A1238="""", ,filter('Playoff IDR Import'!D:D,'Playoff IDR Import'!A:A=A1238,'Playoff IDR Import'!C:C=C1238)),)"),"")</f>
        <v/>
      </c>
      <c r="I1238" s="58"/>
      <c r="J1238" s="59" t="str">
        <f t="shared" si="1"/>
        <v/>
      </c>
    </row>
    <row r="1239">
      <c r="A1239" s="55"/>
      <c r="B1239" s="60"/>
      <c r="C1239" s="55"/>
      <c r="D1239" s="54"/>
      <c r="E1239" s="55"/>
      <c r="F1239" s="62"/>
      <c r="G1239" s="57"/>
      <c r="H1239" s="58" t="str">
        <f>IFERROR(__xludf.DUMMYFUNCTION("iferror(if(A1239="""", ,filter('Playoff IDR Import'!D:D,'Playoff IDR Import'!A:A=A1239,'Playoff IDR Import'!C:C=C1239)),)"),"")</f>
        <v/>
      </c>
      <c r="I1239" s="58"/>
      <c r="J1239" s="59" t="str">
        <f t="shared" si="1"/>
        <v/>
      </c>
    </row>
    <row r="1240">
      <c r="A1240" s="55"/>
      <c r="B1240" s="60"/>
      <c r="C1240" s="55"/>
      <c r="D1240" s="54"/>
      <c r="E1240" s="55"/>
      <c r="F1240" s="62"/>
      <c r="G1240" s="57"/>
      <c r="H1240" s="58" t="str">
        <f>IFERROR(__xludf.DUMMYFUNCTION("iferror(if(A1240="""", ,filter('Playoff IDR Import'!D:D,'Playoff IDR Import'!A:A=A1240,'Playoff IDR Import'!C:C=C1240)),)"),"")</f>
        <v/>
      </c>
      <c r="I1240" s="58"/>
      <c r="J1240" s="59" t="str">
        <f t="shared" si="1"/>
        <v/>
      </c>
    </row>
    <row r="1241">
      <c r="A1241" s="55"/>
      <c r="B1241" s="60"/>
      <c r="C1241" s="55"/>
      <c r="D1241" s="54"/>
      <c r="E1241" s="55"/>
      <c r="F1241" s="62"/>
      <c r="G1241" s="57"/>
      <c r="H1241" s="58" t="str">
        <f>IFERROR(__xludf.DUMMYFUNCTION("iferror(if(A1241="""", ,filter('Playoff IDR Import'!D:D,'Playoff IDR Import'!A:A=A1241,'Playoff IDR Import'!C:C=C1241)),)"),"")</f>
        <v/>
      </c>
      <c r="I1241" s="58"/>
      <c r="J1241" s="59" t="str">
        <f t="shared" si="1"/>
        <v/>
      </c>
    </row>
    <row r="1242">
      <c r="A1242" s="55"/>
      <c r="B1242" s="60"/>
      <c r="C1242" s="55"/>
      <c r="D1242" s="54"/>
      <c r="E1242" s="55"/>
      <c r="F1242" s="62"/>
      <c r="G1242" s="57"/>
      <c r="H1242" s="58" t="str">
        <f>IFERROR(__xludf.DUMMYFUNCTION("iferror(if(A1242="""", ,filter('Playoff IDR Import'!D:D,'Playoff IDR Import'!A:A=A1242,'Playoff IDR Import'!C:C=C1242)),)"),"")</f>
        <v/>
      </c>
      <c r="I1242" s="58"/>
      <c r="J1242" s="59" t="str">
        <f t="shared" si="1"/>
        <v/>
      </c>
    </row>
    <row r="1243">
      <c r="A1243" s="55"/>
      <c r="B1243" s="60"/>
      <c r="C1243" s="55"/>
      <c r="D1243" s="54"/>
      <c r="E1243" s="55"/>
      <c r="F1243" s="62"/>
      <c r="G1243" s="57"/>
      <c r="H1243" s="58" t="str">
        <f>IFERROR(__xludf.DUMMYFUNCTION("iferror(if(A1243="""", ,filter('Playoff IDR Import'!D:D,'Playoff IDR Import'!A:A=A1243,'Playoff IDR Import'!C:C=C1243)),)"),"")</f>
        <v/>
      </c>
      <c r="I1243" s="58"/>
      <c r="J1243" s="59" t="str">
        <f t="shared" si="1"/>
        <v/>
      </c>
    </row>
    <row r="1244">
      <c r="A1244" s="55"/>
      <c r="B1244" s="60"/>
      <c r="C1244" s="55"/>
      <c r="D1244" s="54"/>
      <c r="E1244" s="55"/>
      <c r="F1244" s="62"/>
      <c r="G1244" s="57"/>
      <c r="H1244" s="58" t="str">
        <f>IFERROR(__xludf.DUMMYFUNCTION("iferror(if(A1244="""", ,filter('Playoff IDR Import'!D:D,'Playoff IDR Import'!A:A=A1244,'Playoff IDR Import'!C:C=C1244)),)"),"")</f>
        <v/>
      </c>
      <c r="I1244" s="58"/>
      <c r="J1244" s="59" t="str">
        <f t="shared" si="1"/>
        <v/>
      </c>
    </row>
    <row r="1245">
      <c r="A1245" s="55"/>
      <c r="B1245" s="60"/>
      <c r="C1245" s="55"/>
      <c r="D1245" s="54"/>
      <c r="E1245" s="55"/>
      <c r="F1245" s="62"/>
      <c r="G1245" s="57"/>
      <c r="H1245" s="58" t="str">
        <f>IFERROR(__xludf.DUMMYFUNCTION("iferror(if(A1245="""", ,filter('Playoff IDR Import'!D:D,'Playoff IDR Import'!A:A=A1245,'Playoff IDR Import'!C:C=C1245)),)"),"")</f>
        <v/>
      </c>
      <c r="I1245" s="58"/>
      <c r="J1245" s="59" t="str">
        <f t="shared" si="1"/>
        <v/>
      </c>
    </row>
    <row r="1246">
      <c r="A1246" s="55"/>
      <c r="B1246" s="60"/>
      <c r="C1246" s="55"/>
      <c r="D1246" s="54"/>
      <c r="E1246" s="55"/>
      <c r="F1246" s="62"/>
      <c r="G1246" s="57"/>
      <c r="H1246" s="58" t="str">
        <f>IFERROR(__xludf.DUMMYFUNCTION("iferror(if(A1246="""", ,filter('Playoff IDR Import'!D:D,'Playoff IDR Import'!A:A=A1246,'Playoff IDR Import'!C:C=C1246)),)"),"")</f>
        <v/>
      </c>
      <c r="I1246" s="58"/>
      <c r="J1246" s="59" t="str">
        <f t="shared" si="1"/>
        <v/>
      </c>
    </row>
    <row r="1247">
      <c r="A1247" s="55"/>
      <c r="B1247" s="60"/>
      <c r="C1247" s="55"/>
      <c r="D1247" s="54"/>
      <c r="E1247" s="55"/>
      <c r="F1247" s="62"/>
      <c r="G1247" s="57"/>
      <c r="H1247" s="58" t="str">
        <f>IFERROR(__xludf.DUMMYFUNCTION("iferror(if(A1247="""", ,filter('Playoff IDR Import'!D:D,'Playoff IDR Import'!A:A=A1247,'Playoff IDR Import'!C:C=C1247)),)"),"")</f>
        <v/>
      </c>
      <c r="I1247" s="58"/>
      <c r="J1247" s="59" t="str">
        <f t="shared" si="1"/>
        <v/>
      </c>
    </row>
    <row r="1248">
      <c r="A1248" s="55"/>
      <c r="B1248" s="60"/>
      <c r="C1248" s="55"/>
      <c r="D1248" s="54"/>
      <c r="E1248" s="55"/>
      <c r="F1248" s="62"/>
      <c r="G1248" s="57"/>
      <c r="H1248" s="58" t="str">
        <f>IFERROR(__xludf.DUMMYFUNCTION("iferror(if(A1248="""", ,filter('Playoff IDR Import'!D:D,'Playoff IDR Import'!A:A=A1248,'Playoff IDR Import'!C:C=C1248)),)"),"")</f>
        <v/>
      </c>
      <c r="I1248" s="58"/>
      <c r="J1248" s="59" t="str">
        <f t="shared" si="1"/>
        <v/>
      </c>
    </row>
    <row r="1249">
      <c r="A1249" s="55"/>
      <c r="B1249" s="60"/>
      <c r="C1249" s="55"/>
      <c r="D1249" s="54"/>
      <c r="E1249" s="55"/>
      <c r="F1249" s="62"/>
      <c r="G1249" s="57"/>
      <c r="H1249" s="58" t="str">
        <f>IFERROR(__xludf.DUMMYFUNCTION("iferror(if(A1249="""", ,filter('Playoff IDR Import'!D:D,'Playoff IDR Import'!A:A=A1249,'Playoff IDR Import'!C:C=C1249)),)"),"")</f>
        <v/>
      </c>
      <c r="I1249" s="58"/>
      <c r="J1249" s="59" t="str">
        <f t="shared" si="1"/>
        <v/>
      </c>
    </row>
    <row r="1250">
      <c r="A1250" s="55"/>
      <c r="B1250" s="60"/>
      <c r="C1250" s="55"/>
      <c r="D1250" s="54"/>
      <c r="E1250" s="55"/>
      <c r="F1250" s="62"/>
      <c r="G1250" s="57"/>
      <c r="H1250" s="58" t="str">
        <f>IFERROR(__xludf.DUMMYFUNCTION("iferror(if(A1250="""", ,filter('Playoff IDR Import'!D:D,'Playoff IDR Import'!A:A=A1250,'Playoff IDR Import'!C:C=C1250)),)"),"")</f>
        <v/>
      </c>
      <c r="I1250" s="58"/>
      <c r="J1250" s="59" t="str">
        <f t="shared" si="1"/>
        <v/>
      </c>
    </row>
    <row r="1251">
      <c r="A1251" s="55"/>
      <c r="B1251" s="60"/>
      <c r="C1251" s="55"/>
      <c r="D1251" s="54"/>
      <c r="E1251" s="55"/>
      <c r="F1251" s="62"/>
      <c r="G1251" s="57"/>
      <c r="H1251" s="58" t="str">
        <f>IFERROR(__xludf.DUMMYFUNCTION("iferror(if(A1251="""", ,filter('Playoff IDR Import'!D:D,'Playoff IDR Import'!A:A=A1251,'Playoff IDR Import'!C:C=C1251)),)"),"")</f>
        <v/>
      </c>
      <c r="I1251" s="58"/>
      <c r="J1251" s="59" t="str">
        <f t="shared" si="1"/>
        <v/>
      </c>
    </row>
    <row r="1252">
      <c r="A1252" s="55"/>
      <c r="B1252" s="60"/>
      <c r="C1252" s="55"/>
      <c r="D1252" s="54"/>
      <c r="E1252" s="55"/>
      <c r="F1252" s="62"/>
      <c r="G1252" s="57"/>
      <c r="H1252" s="58" t="str">
        <f>IFERROR(__xludf.DUMMYFUNCTION("iferror(if(A1252="""", ,filter('Playoff IDR Import'!D:D,'Playoff IDR Import'!A:A=A1252,'Playoff IDR Import'!C:C=C1252)),)"),"")</f>
        <v/>
      </c>
      <c r="I1252" s="58"/>
      <c r="J1252" s="59" t="str">
        <f t="shared" si="1"/>
        <v/>
      </c>
    </row>
    <row r="1253">
      <c r="A1253" s="55"/>
      <c r="B1253" s="60"/>
      <c r="C1253" s="55"/>
      <c r="D1253" s="54"/>
      <c r="E1253" s="55"/>
      <c r="F1253" s="62"/>
      <c r="G1253" s="57"/>
      <c r="H1253" s="58" t="str">
        <f>IFERROR(__xludf.DUMMYFUNCTION("iferror(if(A1253="""", ,filter('Playoff IDR Import'!D:D,'Playoff IDR Import'!A:A=A1253,'Playoff IDR Import'!C:C=C1253)),)"),"")</f>
        <v/>
      </c>
      <c r="I1253" s="58"/>
      <c r="J1253" s="59" t="str">
        <f t="shared" si="1"/>
        <v/>
      </c>
    </row>
    <row r="1254">
      <c r="A1254" s="55"/>
      <c r="B1254" s="60"/>
      <c r="C1254" s="55"/>
      <c r="D1254" s="54"/>
      <c r="E1254" s="55"/>
      <c r="F1254" s="62"/>
      <c r="G1254" s="57"/>
      <c r="H1254" s="58" t="str">
        <f>IFERROR(__xludf.DUMMYFUNCTION("iferror(if(A1254="""", ,filter('Playoff IDR Import'!D:D,'Playoff IDR Import'!A:A=A1254,'Playoff IDR Import'!C:C=C1254)),)"),"")</f>
        <v/>
      </c>
      <c r="I1254" s="58"/>
      <c r="J1254" s="59" t="str">
        <f t="shared" si="1"/>
        <v/>
      </c>
    </row>
    <row r="1255">
      <c r="A1255" s="55"/>
      <c r="B1255" s="60"/>
      <c r="C1255" s="55"/>
      <c r="D1255" s="54"/>
      <c r="E1255" s="55"/>
      <c r="F1255" s="62"/>
      <c r="G1255" s="57"/>
      <c r="H1255" s="58" t="str">
        <f>IFERROR(__xludf.DUMMYFUNCTION("iferror(if(A1255="""", ,filter('Playoff IDR Import'!D:D,'Playoff IDR Import'!A:A=A1255,'Playoff IDR Import'!C:C=C1255)),)"),"")</f>
        <v/>
      </c>
      <c r="I1255" s="58"/>
      <c r="J1255" s="59" t="str">
        <f t="shared" si="1"/>
        <v/>
      </c>
    </row>
    <row r="1256">
      <c r="A1256" s="55"/>
      <c r="B1256" s="60"/>
      <c r="C1256" s="55"/>
      <c r="D1256" s="54"/>
      <c r="E1256" s="55"/>
      <c r="F1256" s="62"/>
      <c r="G1256" s="57"/>
      <c r="H1256" s="58" t="str">
        <f>IFERROR(__xludf.DUMMYFUNCTION("iferror(if(A1256="""", ,filter('Playoff IDR Import'!D:D,'Playoff IDR Import'!A:A=A1256,'Playoff IDR Import'!C:C=C1256)),)"),"")</f>
        <v/>
      </c>
      <c r="I1256" s="58"/>
      <c r="J1256" s="59" t="str">
        <f t="shared" si="1"/>
        <v/>
      </c>
    </row>
    <row r="1257">
      <c r="A1257" s="55"/>
      <c r="B1257" s="60"/>
      <c r="C1257" s="55"/>
      <c r="D1257" s="54"/>
      <c r="E1257" s="55"/>
      <c r="F1257" s="62"/>
      <c r="G1257" s="57"/>
      <c r="H1257" s="58" t="str">
        <f>IFERROR(__xludf.DUMMYFUNCTION("iferror(if(A1257="""", ,filter('Playoff IDR Import'!D:D,'Playoff IDR Import'!A:A=A1257,'Playoff IDR Import'!C:C=C1257)),)"),"")</f>
        <v/>
      </c>
      <c r="I1257" s="58"/>
      <c r="J1257" s="59" t="str">
        <f t="shared" si="1"/>
        <v/>
      </c>
    </row>
    <row r="1258">
      <c r="A1258" s="55"/>
      <c r="B1258" s="60"/>
      <c r="C1258" s="55"/>
      <c r="D1258" s="54"/>
      <c r="E1258" s="55"/>
      <c r="F1258" s="62"/>
      <c r="G1258" s="57"/>
      <c r="H1258" s="58" t="str">
        <f>IFERROR(__xludf.DUMMYFUNCTION("iferror(if(A1258="""", ,filter('Playoff IDR Import'!D:D,'Playoff IDR Import'!A:A=A1258,'Playoff IDR Import'!C:C=C1258)),)"),"")</f>
        <v/>
      </c>
      <c r="I1258" s="58"/>
      <c r="J1258" s="59" t="str">
        <f t="shared" si="1"/>
        <v/>
      </c>
    </row>
    <row r="1259">
      <c r="A1259" s="55"/>
      <c r="B1259" s="60"/>
      <c r="C1259" s="55"/>
      <c r="D1259" s="54"/>
      <c r="E1259" s="55"/>
      <c r="F1259" s="62"/>
      <c r="G1259" s="57"/>
      <c r="H1259" s="58" t="str">
        <f>IFERROR(__xludf.DUMMYFUNCTION("iferror(if(A1259="""", ,filter('Playoff IDR Import'!D:D,'Playoff IDR Import'!A:A=A1259,'Playoff IDR Import'!C:C=C1259)),)"),"")</f>
        <v/>
      </c>
      <c r="I1259" s="58"/>
      <c r="J1259" s="59" t="str">
        <f t="shared" si="1"/>
        <v/>
      </c>
    </row>
    <row r="1260">
      <c r="A1260" s="55"/>
      <c r="B1260" s="60"/>
      <c r="C1260" s="55"/>
      <c r="D1260" s="54"/>
      <c r="E1260" s="55"/>
      <c r="F1260" s="62"/>
      <c r="G1260" s="57"/>
      <c r="H1260" s="58" t="str">
        <f>IFERROR(__xludf.DUMMYFUNCTION("iferror(if(A1260="""", ,filter('Playoff IDR Import'!D:D,'Playoff IDR Import'!A:A=A1260,'Playoff IDR Import'!C:C=C1260)),)"),"")</f>
        <v/>
      </c>
      <c r="I1260" s="58"/>
      <c r="J1260" s="59" t="str">
        <f t="shared" si="1"/>
        <v/>
      </c>
    </row>
    <row r="1261">
      <c r="A1261" s="55"/>
      <c r="B1261" s="60"/>
      <c r="C1261" s="55"/>
      <c r="D1261" s="54"/>
      <c r="E1261" s="55"/>
      <c r="F1261" s="62"/>
      <c r="G1261" s="57"/>
      <c r="H1261" s="58" t="str">
        <f>IFERROR(__xludf.DUMMYFUNCTION("iferror(if(A1261="""", ,filter('Playoff IDR Import'!D:D,'Playoff IDR Import'!A:A=A1261,'Playoff IDR Import'!C:C=C1261)),)"),"")</f>
        <v/>
      </c>
      <c r="I1261" s="58"/>
      <c r="J1261" s="59" t="str">
        <f t="shared" si="1"/>
        <v/>
      </c>
    </row>
    <row r="1262">
      <c r="A1262" s="55"/>
      <c r="B1262" s="60"/>
      <c r="C1262" s="55"/>
      <c r="D1262" s="54"/>
      <c r="E1262" s="55"/>
      <c r="F1262" s="62"/>
      <c r="G1262" s="57"/>
      <c r="H1262" s="58" t="str">
        <f>IFERROR(__xludf.DUMMYFUNCTION("iferror(if(A1262="""", ,filter('Playoff IDR Import'!D:D,'Playoff IDR Import'!A:A=A1262,'Playoff IDR Import'!C:C=C1262)),)"),"")</f>
        <v/>
      </c>
      <c r="I1262" s="58"/>
      <c r="J1262" s="59" t="str">
        <f t="shared" si="1"/>
        <v/>
      </c>
    </row>
    <row r="1263">
      <c r="A1263" s="55"/>
      <c r="B1263" s="60"/>
      <c r="C1263" s="55"/>
      <c r="D1263" s="54"/>
      <c r="E1263" s="55"/>
      <c r="F1263" s="62"/>
      <c r="G1263" s="57"/>
      <c r="H1263" s="58" t="str">
        <f>IFERROR(__xludf.DUMMYFUNCTION("iferror(if(A1263="""", ,filter('Playoff IDR Import'!D:D,'Playoff IDR Import'!A:A=A1263,'Playoff IDR Import'!C:C=C1263)),)"),"")</f>
        <v/>
      </c>
      <c r="I1263" s="58"/>
      <c r="J1263" s="59" t="str">
        <f t="shared" si="1"/>
        <v/>
      </c>
    </row>
    <row r="1264">
      <c r="A1264" s="55"/>
      <c r="B1264" s="60"/>
      <c r="C1264" s="55"/>
      <c r="D1264" s="54"/>
      <c r="E1264" s="55"/>
      <c r="F1264" s="62"/>
      <c r="G1264" s="57"/>
      <c r="H1264" s="58" t="str">
        <f>IFERROR(__xludf.DUMMYFUNCTION("iferror(if(A1264="""", ,filter('Playoff IDR Import'!D:D,'Playoff IDR Import'!A:A=A1264,'Playoff IDR Import'!C:C=C1264)),)"),"")</f>
        <v/>
      </c>
      <c r="I1264" s="58"/>
      <c r="J1264" s="59" t="str">
        <f t="shared" si="1"/>
        <v/>
      </c>
    </row>
    <row r="1265">
      <c r="A1265" s="55"/>
      <c r="B1265" s="60"/>
      <c r="C1265" s="55"/>
      <c r="D1265" s="54"/>
      <c r="E1265" s="55"/>
      <c r="F1265" s="62"/>
      <c r="G1265" s="57"/>
      <c r="H1265" s="58" t="str">
        <f>IFERROR(__xludf.DUMMYFUNCTION("iferror(if(A1265="""", ,filter('Playoff IDR Import'!D:D,'Playoff IDR Import'!A:A=A1265,'Playoff IDR Import'!C:C=C1265)),)"),"")</f>
        <v/>
      </c>
      <c r="I1265" s="58"/>
      <c r="J1265" s="59" t="str">
        <f t="shared" si="1"/>
        <v/>
      </c>
    </row>
    <row r="1266">
      <c r="A1266" s="55"/>
      <c r="B1266" s="60"/>
      <c r="C1266" s="55"/>
      <c r="D1266" s="54"/>
      <c r="E1266" s="55"/>
      <c r="F1266" s="62"/>
      <c r="G1266" s="57"/>
      <c r="H1266" s="58" t="str">
        <f>IFERROR(__xludf.DUMMYFUNCTION("iferror(if(A1266="""", ,filter('Playoff IDR Import'!D:D,'Playoff IDR Import'!A:A=A1266,'Playoff IDR Import'!C:C=C1266)),)"),"")</f>
        <v/>
      </c>
      <c r="I1266" s="58"/>
      <c r="J1266" s="59" t="str">
        <f t="shared" si="1"/>
        <v/>
      </c>
    </row>
    <row r="1267">
      <c r="A1267" s="55"/>
      <c r="B1267" s="60"/>
      <c r="C1267" s="55"/>
      <c r="D1267" s="54"/>
      <c r="E1267" s="55"/>
      <c r="F1267" s="62"/>
      <c r="G1267" s="57"/>
      <c r="H1267" s="58" t="str">
        <f>IFERROR(__xludf.DUMMYFUNCTION("iferror(if(A1267="""", ,filter('Playoff IDR Import'!D:D,'Playoff IDR Import'!A:A=A1267,'Playoff IDR Import'!C:C=C1267)),)"),"")</f>
        <v/>
      </c>
      <c r="I1267" s="58"/>
      <c r="J1267" s="59" t="str">
        <f t="shared" si="1"/>
        <v/>
      </c>
    </row>
    <row r="1268">
      <c r="A1268" s="55"/>
      <c r="B1268" s="60"/>
      <c r="C1268" s="55"/>
      <c r="D1268" s="54"/>
      <c r="E1268" s="55"/>
      <c r="F1268" s="62"/>
      <c r="G1268" s="57"/>
      <c r="H1268" s="58" t="str">
        <f>IFERROR(__xludf.DUMMYFUNCTION("iferror(if(A1268="""", ,filter('Playoff IDR Import'!D:D,'Playoff IDR Import'!A:A=A1268,'Playoff IDR Import'!C:C=C1268)),)"),"")</f>
        <v/>
      </c>
      <c r="I1268" s="58"/>
      <c r="J1268" s="59" t="str">
        <f t="shared" si="1"/>
        <v/>
      </c>
    </row>
    <row r="1269">
      <c r="A1269" s="55"/>
      <c r="B1269" s="60"/>
      <c r="C1269" s="55"/>
      <c r="D1269" s="54"/>
      <c r="E1269" s="55"/>
      <c r="F1269" s="62"/>
      <c r="G1269" s="57"/>
      <c r="H1269" s="58" t="str">
        <f>IFERROR(__xludf.DUMMYFUNCTION("iferror(if(A1269="""", ,filter('Playoff IDR Import'!D:D,'Playoff IDR Import'!A:A=A1269,'Playoff IDR Import'!C:C=C1269)),)"),"")</f>
        <v/>
      </c>
      <c r="I1269" s="58"/>
      <c r="J1269" s="59" t="str">
        <f t="shared" si="1"/>
        <v/>
      </c>
    </row>
    <row r="1270">
      <c r="A1270" s="55"/>
      <c r="B1270" s="60"/>
      <c r="C1270" s="55"/>
      <c r="D1270" s="54"/>
      <c r="E1270" s="55"/>
      <c r="F1270" s="62"/>
      <c r="G1270" s="57"/>
      <c r="H1270" s="58" t="str">
        <f>IFERROR(__xludf.DUMMYFUNCTION("iferror(if(A1270="""", ,filter('Playoff IDR Import'!D:D,'Playoff IDR Import'!A:A=A1270,'Playoff IDR Import'!C:C=C1270)),)"),"")</f>
        <v/>
      </c>
      <c r="I1270" s="58"/>
      <c r="J1270" s="59" t="str">
        <f t="shared" si="1"/>
        <v/>
      </c>
    </row>
    <row r="1271">
      <c r="A1271" s="55"/>
      <c r="B1271" s="60"/>
      <c r="C1271" s="55"/>
      <c r="D1271" s="54"/>
      <c r="E1271" s="55"/>
      <c r="F1271" s="62"/>
      <c r="G1271" s="57"/>
      <c r="H1271" s="58" t="str">
        <f>IFERROR(__xludf.DUMMYFUNCTION("iferror(if(A1271="""", ,filter('Playoff IDR Import'!D:D,'Playoff IDR Import'!A:A=A1271,'Playoff IDR Import'!C:C=C1271)),)"),"")</f>
        <v/>
      </c>
      <c r="I1271" s="58"/>
      <c r="J1271" s="59" t="str">
        <f t="shared" si="1"/>
        <v/>
      </c>
    </row>
    <row r="1272">
      <c r="A1272" s="55"/>
      <c r="B1272" s="60"/>
      <c r="C1272" s="55"/>
      <c r="D1272" s="54"/>
      <c r="E1272" s="55"/>
      <c r="F1272" s="62"/>
      <c r="G1272" s="57"/>
      <c r="H1272" s="58" t="str">
        <f>IFERROR(__xludf.DUMMYFUNCTION("iferror(if(A1272="""", ,filter('Playoff IDR Import'!D:D,'Playoff IDR Import'!A:A=A1272,'Playoff IDR Import'!C:C=C1272)),)"),"")</f>
        <v/>
      </c>
      <c r="I1272" s="58"/>
      <c r="J1272" s="59" t="str">
        <f t="shared" si="1"/>
        <v/>
      </c>
    </row>
    <row r="1273">
      <c r="A1273" s="55"/>
      <c r="B1273" s="60"/>
      <c r="C1273" s="55"/>
      <c r="D1273" s="54"/>
      <c r="E1273" s="55"/>
      <c r="F1273" s="62"/>
      <c r="G1273" s="57"/>
      <c r="H1273" s="58" t="str">
        <f>IFERROR(__xludf.DUMMYFUNCTION("iferror(if(A1273="""", ,filter('Playoff IDR Import'!D:D,'Playoff IDR Import'!A:A=A1273,'Playoff IDR Import'!C:C=C1273)),)"),"")</f>
        <v/>
      </c>
      <c r="I1273" s="58"/>
      <c r="J1273" s="59" t="str">
        <f t="shared" si="1"/>
        <v/>
      </c>
    </row>
    <row r="1274">
      <c r="A1274" s="55"/>
      <c r="B1274" s="60"/>
      <c r="C1274" s="55"/>
      <c r="D1274" s="54"/>
      <c r="E1274" s="55"/>
      <c r="F1274" s="62"/>
      <c r="G1274" s="57"/>
      <c r="H1274" s="58" t="str">
        <f>IFERROR(__xludf.DUMMYFUNCTION("iferror(if(A1274="""", ,filter('Playoff IDR Import'!D:D,'Playoff IDR Import'!A:A=A1274,'Playoff IDR Import'!C:C=C1274)),)"),"")</f>
        <v/>
      </c>
      <c r="I1274" s="58"/>
      <c r="J1274" s="59" t="str">
        <f t="shared" si="1"/>
        <v/>
      </c>
    </row>
    <row r="1275">
      <c r="A1275" s="55"/>
      <c r="B1275" s="60"/>
      <c r="C1275" s="55"/>
      <c r="D1275" s="54"/>
      <c r="E1275" s="55"/>
      <c r="F1275" s="62"/>
      <c r="G1275" s="57"/>
      <c r="H1275" s="58" t="str">
        <f>IFERROR(__xludf.DUMMYFUNCTION("iferror(if(A1275="""", ,filter('Playoff IDR Import'!D:D,'Playoff IDR Import'!A:A=A1275,'Playoff IDR Import'!C:C=C1275)),)"),"")</f>
        <v/>
      </c>
      <c r="I1275" s="58"/>
      <c r="J1275" s="59" t="str">
        <f t="shared" si="1"/>
        <v/>
      </c>
    </row>
    <row r="1276">
      <c r="A1276" s="55"/>
      <c r="B1276" s="60"/>
      <c r="C1276" s="55"/>
      <c r="D1276" s="54"/>
      <c r="E1276" s="55"/>
      <c r="F1276" s="62"/>
      <c r="G1276" s="57"/>
      <c r="H1276" s="58" t="str">
        <f>IFERROR(__xludf.DUMMYFUNCTION("iferror(if(A1276="""", ,filter('Playoff IDR Import'!D:D,'Playoff IDR Import'!A:A=A1276,'Playoff IDR Import'!C:C=C1276)),)"),"")</f>
        <v/>
      </c>
      <c r="I1276" s="58"/>
      <c r="J1276" s="59" t="str">
        <f t="shared" si="1"/>
        <v/>
      </c>
    </row>
    <row r="1277">
      <c r="A1277" s="55"/>
      <c r="B1277" s="60"/>
      <c r="C1277" s="55"/>
      <c r="D1277" s="54"/>
      <c r="E1277" s="55"/>
      <c r="F1277" s="62"/>
      <c r="G1277" s="57"/>
      <c r="H1277" s="58" t="str">
        <f>IFERROR(__xludf.DUMMYFUNCTION("iferror(if(A1277="""", ,filter('Playoff IDR Import'!D:D,'Playoff IDR Import'!A:A=A1277,'Playoff IDR Import'!C:C=C1277)),)"),"")</f>
        <v/>
      </c>
      <c r="I1277" s="58"/>
      <c r="J1277" s="59" t="str">
        <f t="shared" si="1"/>
        <v/>
      </c>
    </row>
    <row r="1278">
      <c r="A1278" s="55"/>
      <c r="B1278" s="60"/>
      <c r="C1278" s="55"/>
      <c r="D1278" s="54"/>
      <c r="E1278" s="55"/>
      <c r="F1278" s="62"/>
      <c r="G1278" s="57"/>
      <c r="H1278" s="58" t="str">
        <f>IFERROR(__xludf.DUMMYFUNCTION("iferror(if(A1278="""", ,filter('Playoff IDR Import'!D:D,'Playoff IDR Import'!A:A=A1278,'Playoff IDR Import'!C:C=C1278)),)"),"")</f>
        <v/>
      </c>
      <c r="I1278" s="58"/>
      <c r="J1278" s="59" t="str">
        <f t="shared" si="1"/>
        <v/>
      </c>
    </row>
    <row r="1279">
      <c r="A1279" s="55"/>
      <c r="B1279" s="60"/>
      <c r="C1279" s="55"/>
      <c r="D1279" s="54"/>
      <c r="E1279" s="55"/>
      <c r="F1279" s="62"/>
      <c r="G1279" s="57"/>
      <c r="H1279" s="58" t="str">
        <f>IFERROR(__xludf.DUMMYFUNCTION("iferror(if(A1279="""", ,filter('Playoff IDR Import'!D:D,'Playoff IDR Import'!A:A=A1279,'Playoff IDR Import'!C:C=C1279)),)"),"")</f>
        <v/>
      </c>
      <c r="I1279" s="58"/>
      <c r="J1279" s="59" t="str">
        <f t="shared" si="1"/>
        <v/>
      </c>
    </row>
    <row r="1280">
      <c r="A1280" s="55"/>
      <c r="B1280" s="60"/>
      <c r="C1280" s="55"/>
      <c r="D1280" s="54"/>
      <c r="E1280" s="55"/>
      <c r="F1280" s="62"/>
      <c r="G1280" s="57"/>
      <c r="H1280" s="58" t="str">
        <f>IFERROR(__xludf.DUMMYFUNCTION("iferror(if(A1280="""", ,filter('Playoff IDR Import'!D:D,'Playoff IDR Import'!A:A=A1280,'Playoff IDR Import'!C:C=C1280)),)"),"")</f>
        <v/>
      </c>
      <c r="I1280" s="58"/>
      <c r="J1280" s="59" t="str">
        <f t="shared" si="1"/>
        <v/>
      </c>
    </row>
    <row r="1281">
      <c r="A1281" s="55"/>
      <c r="B1281" s="60"/>
      <c r="C1281" s="55"/>
      <c r="D1281" s="54"/>
      <c r="E1281" s="55"/>
      <c r="F1281" s="62"/>
      <c r="G1281" s="57"/>
      <c r="H1281" s="58" t="str">
        <f>IFERROR(__xludf.DUMMYFUNCTION("iferror(if(A1281="""", ,filter('Playoff IDR Import'!D:D,'Playoff IDR Import'!A:A=A1281,'Playoff IDR Import'!C:C=C1281)),)"),"")</f>
        <v/>
      </c>
      <c r="I1281" s="58"/>
      <c r="J1281" s="59" t="str">
        <f t="shared" si="1"/>
        <v/>
      </c>
    </row>
    <row r="1282">
      <c r="A1282" s="55"/>
      <c r="B1282" s="60"/>
      <c r="C1282" s="55"/>
      <c r="D1282" s="54"/>
      <c r="E1282" s="55"/>
      <c r="F1282" s="62"/>
      <c r="G1282" s="57"/>
      <c r="H1282" s="58" t="str">
        <f>IFERROR(__xludf.DUMMYFUNCTION("iferror(if(A1282="""", ,filter('Playoff IDR Import'!D:D,'Playoff IDR Import'!A:A=A1282,'Playoff IDR Import'!C:C=C1282)),)"),"")</f>
        <v/>
      </c>
      <c r="I1282" s="58"/>
      <c r="J1282" s="59" t="str">
        <f t="shared" si="1"/>
        <v/>
      </c>
    </row>
    <row r="1283">
      <c r="A1283" s="55"/>
      <c r="B1283" s="60"/>
      <c r="C1283" s="55"/>
      <c r="D1283" s="54"/>
      <c r="E1283" s="55"/>
      <c r="F1283" s="62"/>
      <c r="G1283" s="57"/>
      <c r="H1283" s="58" t="str">
        <f>IFERROR(__xludf.DUMMYFUNCTION("iferror(if(A1283="""", ,filter('Playoff IDR Import'!D:D,'Playoff IDR Import'!A:A=A1283,'Playoff IDR Import'!C:C=C1283)),)"),"")</f>
        <v/>
      </c>
      <c r="I1283" s="58"/>
      <c r="J1283" s="59" t="str">
        <f t="shared" si="1"/>
        <v/>
      </c>
    </row>
    <row r="1284">
      <c r="A1284" s="55"/>
      <c r="B1284" s="60"/>
      <c r="C1284" s="55"/>
      <c r="D1284" s="54"/>
      <c r="E1284" s="55"/>
      <c r="F1284" s="62"/>
      <c r="G1284" s="57"/>
      <c r="H1284" s="58" t="str">
        <f>IFERROR(__xludf.DUMMYFUNCTION("iferror(if(A1284="""", ,filter('Playoff IDR Import'!D:D,'Playoff IDR Import'!A:A=A1284,'Playoff IDR Import'!C:C=C1284)),)"),"")</f>
        <v/>
      </c>
      <c r="I1284" s="58"/>
      <c r="J1284" s="59" t="str">
        <f t="shared" si="1"/>
        <v/>
      </c>
    </row>
    <row r="1285">
      <c r="A1285" s="55"/>
      <c r="B1285" s="60"/>
      <c r="C1285" s="55"/>
      <c r="D1285" s="54"/>
      <c r="E1285" s="55"/>
      <c r="F1285" s="62"/>
      <c r="G1285" s="57"/>
      <c r="H1285" s="58" t="str">
        <f>IFERROR(__xludf.DUMMYFUNCTION("iferror(if(A1285="""", ,filter('Playoff IDR Import'!D:D,'Playoff IDR Import'!A:A=A1285,'Playoff IDR Import'!C:C=C1285)),)"),"")</f>
        <v/>
      </c>
      <c r="I1285" s="58"/>
      <c r="J1285" s="59" t="str">
        <f t="shared" si="1"/>
        <v/>
      </c>
    </row>
    <row r="1286">
      <c r="A1286" s="55"/>
      <c r="B1286" s="60"/>
      <c r="C1286" s="55"/>
      <c r="D1286" s="54"/>
      <c r="E1286" s="55"/>
      <c r="F1286" s="62"/>
      <c r="G1286" s="57"/>
      <c r="H1286" s="58" t="str">
        <f>IFERROR(__xludf.DUMMYFUNCTION("iferror(if(A1286="""", ,filter('Playoff IDR Import'!D:D,'Playoff IDR Import'!A:A=A1286,'Playoff IDR Import'!C:C=C1286)),)"),"")</f>
        <v/>
      </c>
      <c r="I1286" s="58"/>
      <c r="J1286" s="59" t="str">
        <f t="shared" si="1"/>
        <v/>
      </c>
    </row>
    <row r="1287">
      <c r="A1287" s="55"/>
      <c r="B1287" s="60"/>
      <c r="C1287" s="55"/>
      <c r="D1287" s="54"/>
      <c r="E1287" s="55"/>
      <c r="F1287" s="62"/>
      <c r="G1287" s="57"/>
      <c r="H1287" s="58" t="str">
        <f>IFERROR(__xludf.DUMMYFUNCTION("iferror(if(A1287="""", ,filter('Playoff IDR Import'!D:D,'Playoff IDR Import'!A:A=A1287,'Playoff IDR Import'!C:C=C1287)),)"),"")</f>
        <v/>
      </c>
      <c r="I1287" s="58"/>
      <c r="J1287" s="59" t="str">
        <f t="shared" si="1"/>
        <v/>
      </c>
    </row>
    <row r="1288">
      <c r="A1288" s="55"/>
      <c r="B1288" s="60"/>
      <c r="C1288" s="55"/>
      <c r="D1288" s="54"/>
      <c r="E1288" s="55"/>
      <c r="F1288" s="62"/>
      <c r="G1288" s="57"/>
      <c r="H1288" s="58" t="str">
        <f>IFERROR(__xludf.DUMMYFUNCTION("iferror(if(A1288="""", ,filter('Playoff IDR Import'!D:D,'Playoff IDR Import'!A:A=A1288,'Playoff IDR Import'!C:C=C1288)),)"),"")</f>
        <v/>
      </c>
      <c r="I1288" s="58"/>
      <c r="J1288" s="59" t="str">
        <f t="shared" si="1"/>
        <v/>
      </c>
    </row>
    <row r="1289">
      <c r="A1289" s="55"/>
      <c r="B1289" s="60"/>
      <c r="C1289" s="55"/>
      <c r="D1289" s="54"/>
      <c r="E1289" s="55"/>
      <c r="F1289" s="62"/>
      <c r="G1289" s="57"/>
      <c r="H1289" s="58" t="str">
        <f>IFERROR(__xludf.DUMMYFUNCTION("iferror(if(A1289="""", ,filter('Playoff IDR Import'!D:D,'Playoff IDR Import'!A:A=A1289,'Playoff IDR Import'!C:C=C1289)),)"),"")</f>
        <v/>
      </c>
      <c r="I1289" s="58"/>
      <c r="J1289" s="59" t="str">
        <f t="shared" si="1"/>
        <v/>
      </c>
    </row>
    <row r="1290">
      <c r="A1290" s="55"/>
      <c r="B1290" s="60"/>
      <c r="C1290" s="55"/>
      <c r="D1290" s="54"/>
      <c r="E1290" s="55"/>
      <c r="F1290" s="62"/>
      <c r="G1290" s="57"/>
      <c r="H1290" s="58" t="str">
        <f>IFERROR(__xludf.DUMMYFUNCTION("iferror(if(A1290="""", ,filter('Playoff IDR Import'!D:D,'Playoff IDR Import'!A:A=A1290,'Playoff IDR Import'!C:C=C1290)),)"),"")</f>
        <v/>
      </c>
      <c r="I1290" s="58"/>
      <c r="J1290" s="59" t="str">
        <f t="shared" si="1"/>
        <v/>
      </c>
    </row>
    <row r="1291">
      <c r="A1291" s="55"/>
      <c r="B1291" s="60"/>
      <c r="C1291" s="55"/>
      <c r="D1291" s="54"/>
      <c r="E1291" s="55"/>
      <c r="F1291" s="62"/>
      <c r="G1291" s="57"/>
      <c r="H1291" s="58" t="str">
        <f>IFERROR(__xludf.DUMMYFUNCTION("iferror(if(A1291="""", ,filter('Playoff IDR Import'!D:D,'Playoff IDR Import'!A:A=A1291,'Playoff IDR Import'!C:C=C1291)),)"),"")</f>
        <v/>
      </c>
      <c r="I1291" s="58"/>
      <c r="J1291" s="59" t="str">
        <f t="shared" si="1"/>
        <v/>
      </c>
    </row>
    <row r="1292">
      <c r="A1292" s="55"/>
      <c r="B1292" s="60"/>
      <c r="C1292" s="55"/>
      <c r="D1292" s="54"/>
      <c r="E1292" s="55"/>
      <c r="F1292" s="62"/>
      <c r="G1292" s="57"/>
      <c r="H1292" s="58" t="str">
        <f>IFERROR(__xludf.DUMMYFUNCTION("iferror(if(A1292="""", ,filter('Playoff IDR Import'!D:D,'Playoff IDR Import'!A:A=A1292,'Playoff IDR Import'!C:C=C1292)),)"),"")</f>
        <v/>
      </c>
      <c r="I1292" s="58"/>
      <c r="J1292" s="59" t="str">
        <f t="shared" si="1"/>
        <v/>
      </c>
    </row>
    <row r="1293">
      <c r="A1293" s="55"/>
      <c r="B1293" s="60"/>
      <c r="C1293" s="55"/>
      <c r="D1293" s="54"/>
      <c r="E1293" s="55"/>
      <c r="F1293" s="62"/>
      <c r="G1293" s="57"/>
      <c r="H1293" s="58" t="str">
        <f>IFERROR(__xludf.DUMMYFUNCTION("iferror(if(A1293="""", ,filter('Playoff IDR Import'!D:D,'Playoff IDR Import'!A:A=A1293,'Playoff IDR Import'!C:C=C1293)),)"),"")</f>
        <v/>
      </c>
      <c r="I1293" s="58"/>
      <c r="J1293" s="59" t="str">
        <f t="shared" si="1"/>
        <v/>
      </c>
    </row>
    <row r="1294">
      <c r="A1294" s="55"/>
      <c r="B1294" s="60"/>
      <c r="C1294" s="55"/>
      <c r="D1294" s="54"/>
      <c r="E1294" s="55"/>
      <c r="F1294" s="62"/>
      <c r="G1294" s="57"/>
      <c r="H1294" s="58" t="str">
        <f>IFERROR(__xludf.DUMMYFUNCTION("iferror(if(A1294="""", ,filter('Playoff IDR Import'!D:D,'Playoff IDR Import'!A:A=A1294,'Playoff IDR Import'!C:C=C1294)),)"),"")</f>
        <v/>
      </c>
      <c r="I1294" s="58"/>
      <c r="J1294" s="59" t="str">
        <f t="shared" si="1"/>
        <v/>
      </c>
    </row>
    <row r="1295">
      <c r="A1295" s="55"/>
      <c r="B1295" s="60"/>
      <c r="C1295" s="55"/>
      <c r="D1295" s="54"/>
      <c r="E1295" s="55"/>
      <c r="F1295" s="62"/>
      <c r="G1295" s="57"/>
      <c r="H1295" s="58" t="str">
        <f>IFERROR(__xludf.DUMMYFUNCTION("iferror(if(A1295="""", ,filter('Playoff IDR Import'!D:D,'Playoff IDR Import'!A:A=A1295,'Playoff IDR Import'!C:C=C1295)),)"),"")</f>
        <v/>
      </c>
      <c r="I1295" s="58"/>
      <c r="J1295" s="59" t="str">
        <f t="shared" si="1"/>
        <v/>
      </c>
    </row>
    <row r="1296">
      <c r="A1296" s="55"/>
      <c r="B1296" s="60"/>
      <c r="C1296" s="55"/>
      <c r="D1296" s="54"/>
      <c r="E1296" s="55"/>
      <c r="F1296" s="62"/>
      <c r="G1296" s="57"/>
      <c r="H1296" s="58" t="str">
        <f>IFERROR(__xludf.DUMMYFUNCTION("iferror(if(A1296="""", ,filter('Playoff IDR Import'!D:D,'Playoff IDR Import'!A:A=A1296,'Playoff IDR Import'!C:C=C1296)),)"),"")</f>
        <v/>
      </c>
      <c r="I1296" s="58"/>
      <c r="J1296" s="59" t="str">
        <f t="shared" si="1"/>
        <v/>
      </c>
    </row>
    <row r="1297">
      <c r="A1297" s="55"/>
      <c r="B1297" s="60"/>
      <c r="C1297" s="55"/>
      <c r="D1297" s="54"/>
      <c r="E1297" s="55"/>
      <c r="F1297" s="62"/>
      <c r="G1297" s="57"/>
      <c r="H1297" s="58" t="str">
        <f>IFERROR(__xludf.DUMMYFUNCTION("iferror(if(A1297="""", ,filter('Playoff IDR Import'!D:D,'Playoff IDR Import'!A:A=A1297,'Playoff IDR Import'!C:C=C1297)),)"),"")</f>
        <v/>
      </c>
      <c r="I1297" s="58"/>
      <c r="J1297" s="59" t="str">
        <f t="shared" si="1"/>
        <v/>
      </c>
    </row>
    <row r="1298">
      <c r="A1298" s="55"/>
      <c r="B1298" s="60"/>
      <c r="C1298" s="55"/>
      <c r="D1298" s="54"/>
      <c r="E1298" s="55"/>
      <c r="F1298" s="62"/>
      <c r="G1298" s="57"/>
      <c r="H1298" s="58" t="str">
        <f>IFERROR(__xludf.DUMMYFUNCTION("iferror(if(A1298="""", ,filter('Playoff IDR Import'!D:D,'Playoff IDR Import'!A:A=A1298,'Playoff IDR Import'!C:C=C1298)),)"),"")</f>
        <v/>
      </c>
      <c r="I1298" s="58"/>
      <c r="J1298" s="59" t="str">
        <f t="shared" si="1"/>
        <v/>
      </c>
    </row>
    <row r="1299">
      <c r="A1299" s="55"/>
      <c r="B1299" s="60"/>
      <c r="C1299" s="55"/>
      <c r="D1299" s="54"/>
      <c r="E1299" s="55"/>
      <c r="F1299" s="62"/>
      <c r="G1299" s="57"/>
      <c r="H1299" s="58" t="str">
        <f>IFERROR(__xludf.DUMMYFUNCTION("iferror(if(A1299="""", ,filter('Playoff IDR Import'!D:D,'Playoff IDR Import'!A:A=A1299,'Playoff IDR Import'!C:C=C1299)),)"),"")</f>
        <v/>
      </c>
      <c r="I1299" s="58"/>
      <c r="J1299" s="59" t="str">
        <f t="shared" si="1"/>
        <v/>
      </c>
    </row>
    <row r="1300">
      <c r="A1300" s="55"/>
      <c r="B1300" s="60"/>
      <c r="C1300" s="55"/>
      <c r="D1300" s="54"/>
      <c r="E1300" s="55"/>
      <c r="F1300" s="62"/>
      <c r="G1300" s="57"/>
      <c r="H1300" s="58" t="str">
        <f>IFERROR(__xludf.DUMMYFUNCTION("iferror(if(A1300="""", ,filter('Playoff IDR Import'!D:D,'Playoff IDR Import'!A:A=A1300,'Playoff IDR Import'!C:C=C1300)),)"),"")</f>
        <v/>
      </c>
      <c r="I1300" s="58"/>
      <c r="J1300" s="59" t="str">
        <f t="shared" si="1"/>
        <v/>
      </c>
    </row>
    <row r="1301">
      <c r="A1301" s="55"/>
      <c r="B1301" s="60"/>
      <c r="C1301" s="55"/>
      <c r="D1301" s="54"/>
      <c r="E1301" s="55"/>
      <c r="F1301" s="62"/>
      <c r="G1301" s="57"/>
      <c r="H1301" s="58" t="str">
        <f>IFERROR(__xludf.DUMMYFUNCTION("iferror(if(A1301="""", ,filter('Playoff IDR Import'!D:D,'Playoff IDR Import'!A:A=A1301,'Playoff IDR Import'!C:C=C1301)),)"),"")</f>
        <v/>
      </c>
      <c r="I1301" s="58"/>
      <c r="J1301" s="59" t="str">
        <f t="shared" si="1"/>
        <v/>
      </c>
    </row>
    <row r="1302">
      <c r="A1302" s="55"/>
      <c r="B1302" s="60"/>
      <c r="C1302" s="55"/>
      <c r="D1302" s="54"/>
      <c r="E1302" s="55"/>
      <c r="F1302" s="62"/>
      <c r="G1302" s="57"/>
      <c r="H1302" s="58" t="str">
        <f>IFERROR(__xludf.DUMMYFUNCTION("iferror(if(A1302="""", ,filter('Playoff IDR Import'!D:D,'Playoff IDR Import'!A:A=A1302,'Playoff IDR Import'!C:C=C1302)),)"),"")</f>
        <v/>
      </c>
      <c r="I1302" s="58"/>
      <c r="J1302" s="59" t="str">
        <f t="shared" si="1"/>
        <v/>
      </c>
    </row>
    <row r="1303">
      <c r="A1303" s="55"/>
      <c r="B1303" s="60"/>
      <c r="C1303" s="55"/>
      <c r="D1303" s="54"/>
      <c r="E1303" s="55"/>
      <c r="F1303" s="62"/>
      <c r="G1303" s="57"/>
      <c r="H1303" s="58" t="str">
        <f>IFERROR(__xludf.DUMMYFUNCTION("iferror(if(A1303="""", ,filter('Playoff IDR Import'!D:D,'Playoff IDR Import'!A:A=A1303,'Playoff IDR Import'!C:C=C1303)),)"),"")</f>
        <v/>
      </c>
      <c r="I1303" s="58"/>
      <c r="J1303" s="59" t="str">
        <f t="shared" si="1"/>
        <v/>
      </c>
    </row>
    <row r="1304">
      <c r="A1304" s="55"/>
      <c r="B1304" s="60"/>
      <c r="C1304" s="55"/>
      <c r="D1304" s="54"/>
      <c r="E1304" s="55"/>
      <c r="F1304" s="62"/>
      <c r="G1304" s="57"/>
      <c r="H1304" s="58" t="str">
        <f>IFERROR(__xludf.DUMMYFUNCTION("iferror(if(A1304="""", ,filter('Playoff IDR Import'!D:D,'Playoff IDR Import'!A:A=A1304,'Playoff IDR Import'!C:C=C1304)),)"),"")</f>
        <v/>
      </c>
      <c r="I1304" s="58"/>
      <c r="J1304" s="59" t="str">
        <f t="shared" si="1"/>
        <v/>
      </c>
    </row>
    <row r="1305">
      <c r="A1305" s="55"/>
      <c r="B1305" s="60"/>
      <c r="C1305" s="55"/>
      <c r="D1305" s="54"/>
      <c r="E1305" s="55"/>
      <c r="F1305" s="62"/>
      <c r="G1305" s="57"/>
      <c r="H1305" s="58" t="str">
        <f>IFERROR(__xludf.DUMMYFUNCTION("iferror(if(A1305="""", ,filter('Playoff IDR Import'!D:D,'Playoff IDR Import'!A:A=A1305,'Playoff IDR Import'!C:C=C1305)),)"),"")</f>
        <v/>
      </c>
      <c r="I1305" s="58"/>
      <c r="J1305" s="59" t="str">
        <f t="shared" si="1"/>
        <v/>
      </c>
    </row>
    <row r="1306">
      <c r="A1306" s="55"/>
      <c r="B1306" s="60"/>
      <c r="C1306" s="55"/>
      <c r="D1306" s="54"/>
      <c r="E1306" s="55"/>
      <c r="F1306" s="62"/>
      <c r="G1306" s="57"/>
      <c r="H1306" s="58" t="str">
        <f>IFERROR(__xludf.DUMMYFUNCTION("iferror(if(A1306="""", ,filter('Playoff IDR Import'!D:D,'Playoff IDR Import'!A:A=A1306,'Playoff IDR Import'!C:C=C1306)),)"),"")</f>
        <v/>
      </c>
      <c r="I1306" s="58"/>
      <c r="J1306" s="59" t="str">
        <f t="shared" si="1"/>
        <v/>
      </c>
    </row>
    <row r="1307">
      <c r="A1307" s="55"/>
      <c r="B1307" s="60"/>
      <c r="C1307" s="55"/>
      <c r="D1307" s="54"/>
      <c r="E1307" s="55"/>
      <c r="F1307" s="62"/>
      <c r="G1307" s="57"/>
      <c r="H1307" s="58" t="str">
        <f>IFERROR(__xludf.DUMMYFUNCTION("iferror(if(A1307="""", ,filter('Playoff IDR Import'!D:D,'Playoff IDR Import'!A:A=A1307,'Playoff IDR Import'!C:C=C1307)),)"),"")</f>
        <v/>
      </c>
      <c r="I1307" s="58"/>
      <c r="J1307" s="59" t="str">
        <f t="shared" si="1"/>
        <v/>
      </c>
    </row>
    <row r="1308">
      <c r="A1308" s="55"/>
      <c r="B1308" s="60"/>
      <c r="C1308" s="55"/>
      <c r="D1308" s="54"/>
      <c r="E1308" s="55"/>
      <c r="F1308" s="62"/>
      <c r="G1308" s="57"/>
      <c r="H1308" s="58" t="str">
        <f>IFERROR(__xludf.DUMMYFUNCTION("iferror(if(A1308="""", ,filter('Playoff IDR Import'!D:D,'Playoff IDR Import'!A:A=A1308,'Playoff IDR Import'!C:C=C1308)),)"),"")</f>
        <v/>
      </c>
      <c r="I1308" s="58"/>
      <c r="J1308" s="59" t="str">
        <f t="shared" si="1"/>
        <v/>
      </c>
    </row>
    <row r="1309">
      <c r="A1309" s="55"/>
      <c r="B1309" s="60"/>
      <c r="C1309" s="55"/>
      <c r="D1309" s="54"/>
      <c r="E1309" s="55"/>
      <c r="F1309" s="62"/>
      <c r="G1309" s="57"/>
      <c r="H1309" s="58" t="str">
        <f>IFERROR(__xludf.DUMMYFUNCTION("iferror(if(A1309="""", ,filter('Playoff IDR Import'!D:D,'Playoff IDR Import'!A:A=A1309,'Playoff IDR Import'!C:C=C1309)),)"),"")</f>
        <v/>
      </c>
      <c r="I1309" s="58"/>
      <c r="J1309" s="59" t="str">
        <f t="shared" si="1"/>
        <v/>
      </c>
    </row>
    <row r="1310">
      <c r="A1310" s="55"/>
      <c r="B1310" s="60"/>
      <c r="C1310" s="55"/>
      <c r="D1310" s="54"/>
      <c r="E1310" s="55"/>
      <c r="F1310" s="62"/>
      <c r="G1310" s="57"/>
      <c r="H1310" s="58" t="str">
        <f>IFERROR(__xludf.DUMMYFUNCTION("iferror(if(A1310="""", ,filter('Playoff IDR Import'!D:D,'Playoff IDR Import'!A:A=A1310,'Playoff IDR Import'!C:C=C1310)),)"),"")</f>
        <v/>
      </c>
      <c r="I1310" s="58"/>
      <c r="J1310" s="59" t="str">
        <f t="shared" si="1"/>
        <v/>
      </c>
    </row>
    <row r="1311">
      <c r="A1311" s="55"/>
      <c r="B1311" s="60"/>
      <c r="C1311" s="55"/>
      <c r="D1311" s="54"/>
      <c r="E1311" s="55"/>
      <c r="F1311" s="62"/>
      <c r="G1311" s="57"/>
      <c r="H1311" s="58" t="str">
        <f>IFERROR(__xludf.DUMMYFUNCTION("iferror(if(A1311="""", ,filter('Playoff IDR Import'!D:D,'Playoff IDR Import'!A:A=A1311,'Playoff IDR Import'!C:C=C1311)),)"),"")</f>
        <v/>
      </c>
      <c r="I1311" s="58"/>
      <c r="J1311" s="59" t="str">
        <f t="shared" si="1"/>
        <v/>
      </c>
    </row>
    <row r="1312">
      <c r="A1312" s="55"/>
      <c r="B1312" s="60"/>
      <c r="C1312" s="55"/>
      <c r="D1312" s="54"/>
      <c r="E1312" s="55"/>
      <c r="F1312" s="62"/>
      <c r="G1312" s="57"/>
      <c r="H1312" s="58" t="str">
        <f>IFERROR(__xludf.DUMMYFUNCTION("iferror(if(A1312="""", ,filter('Playoff IDR Import'!D:D,'Playoff IDR Import'!A:A=A1312,'Playoff IDR Import'!C:C=C1312)),)"),"")</f>
        <v/>
      </c>
      <c r="I1312" s="58"/>
      <c r="J1312" s="59" t="str">
        <f t="shared" si="1"/>
        <v/>
      </c>
    </row>
    <row r="1313">
      <c r="A1313" s="55"/>
      <c r="B1313" s="60"/>
      <c r="C1313" s="55"/>
      <c r="D1313" s="54"/>
      <c r="E1313" s="55"/>
      <c r="F1313" s="62"/>
      <c r="G1313" s="57"/>
      <c r="H1313" s="58" t="str">
        <f>IFERROR(__xludf.DUMMYFUNCTION("iferror(if(A1313="""", ,filter('Playoff IDR Import'!D:D,'Playoff IDR Import'!A:A=A1313,'Playoff IDR Import'!C:C=C1313)),)"),"")</f>
        <v/>
      </c>
      <c r="I1313" s="58"/>
      <c r="J1313" s="59" t="str">
        <f t="shared" si="1"/>
        <v/>
      </c>
    </row>
    <row r="1314">
      <c r="A1314" s="55"/>
      <c r="B1314" s="60"/>
      <c r="C1314" s="55"/>
      <c r="D1314" s="54"/>
      <c r="E1314" s="55"/>
      <c r="F1314" s="62"/>
      <c r="G1314" s="57"/>
      <c r="H1314" s="58" t="str">
        <f>IFERROR(__xludf.DUMMYFUNCTION("iferror(if(A1314="""", ,filter('Playoff IDR Import'!D:D,'Playoff IDR Import'!A:A=A1314,'Playoff IDR Import'!C:C=C1314)),)"),"")</f>
        <v/>
      </c>
      <c r="I1314" s="58"/>
      <c r="J1314" s="59" t="str">
        <f t="shared" si="1"/>
        <v/>
      </c>
    </row>
    <row r="1315">
      <c r="A1315" s="55"/>
      <c r="B1315" s="60"/>
      <c r="C1315" s="55"/>
      <c r="D1315" s="54"/>
      <c r="E1315" s="55"/>
      <c r="F1315" s="62"/>
      <c r="G1315" s="57"/>
      <c r="H1315" s="58" t="str">
        <f>IFERROR(__xludf.DUMMYFUNCTION("iferror(if(A1315="""", ,filter('Playoff IDR Import'!D:D,'Playoff IDR Import'!A:A=A1315,'Playoff IDR Import'!C:C=C1315)),)"),"")</f>
        <v/>
      </c>
      <c r="I1315" s="58"/>
      <c r="J1315" s="59" t="str">
        <f t="shared" si="1"/>
        <v/>
      </c>
    </row>
    <row r="1316">
      <c r="A1316" s="55"/>
      <c r="B1316" s="60"/>
      <c r="C1316" s="55"/>
      <c r="D1316" s="54"/>
      <c r="E1316" s="55"/>
      <c r="F1316" s="62"/>
      <c r="G1316" s="57"/>
      <c r="H1316" s="58" t="str">
        <f>IFERROR(__xludf.DUMMYFUNCTION("iferror(if(A1316="""", ,filter('Playoff IDR Import'!D:D,'Playoff IDR Import'!A:A=A1316,'Playoff IDR Import'!C:C=C1316)),)"),"")</f>
        <v/>
      </c>
      <c r="I1316" s="58"/>
      <c r="J1316" s="59" t="str">
        <f t="shared" si="1"/>
        <v/>
      </c>
    </row>
    <row r="1317">
      <c r="A1317" s="55"/>
      <c r="B1317" s="60"/>
      <c r="C1317" s="55"/>
      <c r="D1317" s="54"/>
      <c r="E1317" s="55"/>
      <c r="F1317" s="62"/>
      <c r="G1317" s="57"/>
      <c r="H1317" s="58" t="str">
        <f>IFERROR(__xludf.DUMMYFUNCTION("iferror(if(A1317="""", ,filter('Playoff IDR Import'!D:D,'Playoff IDR Import'!A:A=A1317,'Playoff IDR Import'!C:C=C1317)),)"),"")</f>
        <v/>
      </c>
      <c r="I1317" s="58"/>
      <c r="J1317" s="59" t="str">
        <f t="shared" si="1"/>
        <v/>
      </c>
    </row>
    <row r="1318">
      <c r="A1318" s="55"/>
      <c r="B1318" s="60"/>
      <c r="C1318" s="55"/>
      <c r="D1318" s="54"/>
      <c r="E1318" s="55"/>
      <c r="F1318" s="62"/>
      <c r="G1318" s="57"/>
      <c r="H1318" s="58" t="str">
        <f>IFERROR(__xludf.DUMMYFUNCTION("iferror(if(A1318="""", ,filter('Playoff IDR Import'!D:D,'Playoff IDR Import'!A:A=A1318,'Playoff IDR Import'!C:C=C1318)),)"),"")</f>
        <v/>
      </c>
      <c r="I1318" s="58"/>
      <c r="J1318" s="59" t="str">
        <f t="shared" si="1"/>
        <v/>
      </c>
    </row>
    <row r="1319">
      <c r="A1319" s="55"/>
      <c r="B1319" s="60"/>
      <c r="C1319" s="55"/>
      <c r="D1319" s="54"/>
      <c r="E1319" s="55"/>
      <c r="F1319" s="62"/>
      <c r="G1319" s="57"/>
      <c r="H1319" s="58" t="str">
        <f>IFERROR(__xludf.DUMMYFUNCTION("iferror(if(A1319="""", ,filter('Playoff IDR Import'!D:D,'Playoff IDR Import'!A:A=A1319,'Playoff IDR Import'!C:C=C1319)),)"),"")</f>
        <v/>
      </c>
      <c r="I1319" s="58"/>
      <c r="J1319" s="59" t="str">
        <f t="shared" si="1"/>
        <v/>
      </c>
    </row>
    <row r="1320">
      <c r="A1320" s="55"/>
      <c r="B1320" s="60"/>
      <c r="C1320" s="55"/>
      <c r="D1320" s="54"/>
      <c r="E1320" s="55"/>
      <c r="F1320" s="62"/>
      <c r="G1320" s="57"/>
      <c r="H1320" s="58" t="str">
        <f>IFERROR(__xludf.DUMMYFUNCTION("iferror(if(A1320="""", ,filter('Playoff IDR Import'!D:D,'Playoff IDR Import'!A:A=A1320,'Playoff IDR Import'!C:C=C1320)),)"),"")</f>
        <v/>
      </c>
      <c r="I1320" s="58"/>
      <c r="J1320" s="59" t="str">
        <f t="shared" si="1"/>
        <v/>
      </c>
    </row>
    <row r="1321">
      <c r="A1321" s="55"/>
      <c r="B1321" s="60"/>
      <c r="C1321" s="55"/>
      <c r="D1321" s="54"/>
      <c r="E1321" s="55"/>
      <c r="F1321" s="62"/>
      <c r="G1321" s="57"/>
      <c r="H1321" s="58" t="str">
        <f>IFERROR(__xludf.DUMMYFUNCTION("iferror(if(A1321="""", ,filter('Playoff IDR Import'!D:D,'Playoff IDR Import'!A:A=A1321,'Playoff IDR Import'!C:C=C1321)),)"),"")</f>
        <v/>
      </c>
      <c r="I1321" s="58"/>
      <c r="J1321" s="59" t="str">
        <f t="shared" si="1"/>
        <v/>
      </c>
    </row>
    <row r="1322">
      <c r="A1322" s="55"/>
      <c r="B1322" s="60"/>
      <c r="C1322" s="55"/>
      <c r="D1322" s="54"/>
      <c r="E1322" s="55"/>
      <c r="F1322" s="62"/>
      <c r="G1322" s="57"/>
      <c r="H1322" s="58" t="str">
        <f>IFERROR(__xludf.DUMMYFUNCTION("iferror(if(A1322="""", ,filter('Playoff IDR Import'!D:D,'Playoff IDR Import'!A:A=A1322,'Playoff IDR Import'!C:C=C1322)),)"),"")</f>
        <v/>
      </c>
      <c r="I1322" s="58"/>
      <c r="J1322" s="59" t="str">
        <f t="shared" si="1"/>
        <v/>
      </c>
    </row>
    <row r="1323">
      <c r="A1323" s="55"/>
      <c r="B1323" s="60"/>
      <c r="C1323" s="55"/>
      <c r="D1323" s="54"/>
      <c r="E1323" s="55"/>
      <c r="F1323" s="62"/>
      <c r="G1323" s="57"/>
      <c r="H1323" s="58" t="str">
        <f>IFERROR(__xludf.DUMMYFUNCTION("iferror(if(A1323="""", ,filter('Playoff IDR Import'!D:D,'Playoff IDR Import'!A:A=A1323,'Playoff IDR Import'!C:C=C1323)),)"),"")</f>
        <v/>
      </c>
      <c r="I1323" s="58"/>
      <c r="J1323" s="59" t="str">
        <f t="shared" si="1"/>
        <v/>
      </c>
    </row>
    <row r="1324">
      <c r="A1324" s="55"/>
      <c r="B1324" s="60"/>
      <c r="C1324" s="55"/>
      <c r="D1324" s="54"/>
      <c r="E1324" s="55"/>
      <c r="F1324" s="62"/>
      <c r="G1324" s="57"/>
      <c r="H1324" s="58" t="str">
        <f>IFERROR(__xludf.DUMMYFUNCTION("iferror(if(A1324="""", ,filter('Playoff IDR Import'!D:D,'Playoff IDR Import'!A:A=A1324,'Playoff IDR Import'!C:C=C1324)),)"),"")</f>
        <v/>
      </c>
      <c r="I1324" s="58"/>
      <c r="J1324" s="59" t="str">
        <f t="shared" si="1"/>
        <v/>
      </c>
    </row>
    <row r="1325">
      <c r="A1325" s="55"/>
      <c r="B1325" s="60"/>
      <c r="C1325" s="55"/>
      <c r="D1325" s="54"/>
      <c r="E1325" s="55"/>
      <c r="F1325" s="62"/>
      <c r="G1325" s="57"/>
      <c r="H1325" s="58" t="str">
        <f>IFERROR(__xludf.DUMMYFUNCTION("iferror(if(A1325="""", ,filter('Playoff IDR Import'!D:D,'Playoff IDR Import'!A:A=A1325,'Playoff IDR Import'!C:C=C1325)),)"),"")</f>
        <v/>
      </c>
      <c r="I1325" s="58"/>
      <c r="J1325" s="59" t="str">
        <f t="shared" si="1"/>
        <v/>
      </c>
    </row>
    <row r="1326">
      <c r="A1326" s="55"/>
      <c r="B1326" s="60"/>
      <c r="C1326" s="55"/>
      <c r="D1326" s="54"/>
      <c r="E1326" s="55"/>
      <c r="F1326" s="62"/>
      <c r="G1326" s="57"/>
      <c r="H1326" s="58" t="str">
        <f>IFERROR(__xludf.DUMMYFUNCTION("iferror(if(A1326="""", ,filter('Playoff IDR Import'!D:D,'Playoff IDR Import'!A:A=A1326,'Playoff IDR Import'!C:C=C1326)),)"),"")</f>
        <v/>
      </c>
      <c r="I1326" s="58"/>
      <c r="J1326" s="59" t="str">
        <f t="shared" si="1"/>
        <v/>
      </c>
    </row>
    <row r="1327">
      <c r="A1327" s="55"/>
      <c r="B1327" s="60"/>
      <c r="C1327" s="55"/>
      <c r="D1327" s="54"/>
      <c r="E1327" s="55"/>
      <c r="F1327" s="62"/>
      <c r="G1327" s="57"/>
      <c r="H1327" s="58" t="str">
        <f>IFERROR(__xludf.DUMMYFUNCTION("iferror(if(A1327="""", ,filter('Playoff IDR Import'!D:D,'Playoff IDR Import'!A:A=A1327,'Playoff IDR Import'!C:C=C1327)),)"),"")</f>
        <v/>
      </c>
      <c r="I1327" s="58"/>
      <c r="J1327" s="59" t="str">
        <f t="shared" si="1"/>
        <v/>
      </c>
    </row>
    <row r="1328">
      <c r="A1328" s="55"/>
      <c r="B1328" s="60"/>
      <c r="C1328" s="55"/>
      <c r="D1328" s="54"/>
      <c r="E1328" s="55"/>
      <c r="F1328" s="62"/>
      <c r="G1328" s="57"/>
      <c r="H1328" s="58" t="str">
        <f>IFERROR(__xludf.DUMMYFUNCTION("iferror(if(A1328="""", ,filter('Playoff IDR Import'!D:D,'Playoff IDR Import'!A:A=A1328,'Playoff IDR Import'!C:C=C1328)),)"),"")</f>
        <v/>
      </c>
      <c r="I1328" s="58"/>
      <c r="J1328" s="59" t="str">
        <f t="shared" si="1"/>
        <v/>
      </c>
    </row>
    <row r="1329">
      <c r="A1329" s="55"/>
      <c r="B1329" s="60"/>
      <c r="C1329" s="55"/>
      <c r="D1329" s="54"/>
      <c r="E1329" s="55"/>
      <c r="F1329" s="62"/>
      <c r="G1329" s="57"/>
      <c r="H1329" s="58" t="str">
        <f>IFERROR(__xludf.DUMMYFUNCTION("iferror(if(A1329="""", ,filter('Playoff IDR Import'!D:D,'Playoff IDR Import'!A:A=A1329,'Playoff IDR Import'!C:C=C1329)),)"),"")</f>
        <v/>
      </c>
      <c r="I1329" s="58"/>
      <c r="J1329" s="59" t="str">
        <f t="shared" si="1"/>
        <v/>
      </c>
    </row>
    <row r="1330">
      <c r="A1330" s="55"/>
      <c r="B1330" s="60"/>
      <c r="C1330" s="55"/>
      <c r="D1330" s="54"/>
      <c r="E1330" s="55"/>
      <c r="F1330" s="62"/>
      <c r="G1330" s="57"/>
      <c r="H1330" s="58" t="str">
        <f>IFERROR(__xludf.DUMMYFUNCTION("iferror(if(A1330="""", ,filter('Playoff IDR Import'!D:D,'Playoff IDR Import'!A:A=A1330,'Playoff IDR Import'!C:C=C1330)),)"),"")</f>
        <v/>
      </c>
      <c r="I1330" s="58"/>
      <c r="J1330" s="59" t="str">
        <f t="shared" si="1"/>
        <v/>
      </c>
    </row>
    <row r="1331">
      <c r="A1331" s="55"/>
      <c r="B1331" s="60"/>
      <c r="C1331" s="55"/>
      <c r="D1331" s="54"/>
      <c r="E1331" s="55"/>
      <c r="F1331" s="62"/>
      <c r="G1331" s="57"/>
      <c r="H1331" s="58" t="str">
        <f>IFERROR(__xludf.DUMMYFUNCTION("iferror(if(A1331="""", ,filter('Playoff IDR Import'!D:D,'Playoff IDR Import'!A:A=A1331,'Playoff IDR Import'!C:C=C1331)),)"),"")</f>
        <v/>
      </c>
      <c r="I1331" s="58"/>
      <c r="J1331" s="59" t="str">
        <f t="shared" si="1"/>
        <v/>
      </c>
    </row>
    <row r="1332">
      <c r="A1332" s="55"/>
      <c r="B1332" s="60"/>
      <c r="C1332" s="55"/>
      <c r="D1332" s="54"/>
      <c r="E1332" s="55"/>
      <c r="F1332" s="62"/>
      <c r="G1332" s="57"/>
      <c r="H1332" s="58" t="str">
        <f>IFERROR(__xludf.DUMMYFUNCTION("iferror(if(A1332="""", ,filter('Playoff IDR Import'!D:D,'Playoff IDR Import'!A:A=A1332,'Playoff IDR Import'!C:C=C1332)),)"),"")</f>
        <v/>
      </c>
      <c r="I1332" s="58"/>
      <c r="J1332" s="59" t="str">
        <f t="shared" si="1"/>
        <v/>
      </c>
    </row>
    <row r="1333">
      <c r="A1333" s="55"/>
      <c r="B1333" s="60"/>
      <c r="C1333" s="55"/>
      <c r="D1333" s="54"/>
      <c r="E1333" s="55"/>
      <c r="F1333" s="62"/>
      <c r="G1333" s="57"/>
      <c r="H1333" s="58" t="str">
        <f>IFERROR(__xludf.DUMMYFUNCTION("iferror(if(A1333="""", ,filter('Playoff IDR Import'!D:D,'Playoff IDR Import'!A:A=A1333,'Playoff IDR Import'!C:C=C1333)),)"),"")</f>
        <v/>
      </c>
      <c r="I1333" s="58"/>
      <c r="J1333" s="59" t="str">
        <f t="shared" si="1"/>
        <v/>
      </c>
    </row>
    <row r="1334">
      <c r="A1334" s="55"/>
      <c r="B1334" s="60"/>
      <c r="C1334" s="55"/>
      <c r="D1334" s="54"/>
      <c r="E1334" s="55"/>
      <c r="F1334" s="62"/>
      <c r="G1334" s="57"/>
      <c r="H1334" s="58" t="str">
        <f>IFERROR(__xludf.DUMMYFUNCTION("iferror(if(A1334="""", ,filter('Playoff IDR Import'!D:D,'Playoff IDR Import'!A:A=A1334,'Playoff IDR Import'!C:C=C1334)),)"),"")</f>
        <v/>
      </c>
      <c r="I1334" s="58"/>
      <c r="J1334" s="59" t="str">
        <f t="shared" si="1"/>
        <v/>
      </c>
    </row>
    <row r="1335">
      <c r="A1335" s="55"/>
      <c r="B1335" s="60"/>
      <c r="C1335" s="55"/>
      <c r="D1335" s="54"/>
      <c r="E1335" s="55"/>
      <c r="F1335" s="62"/>
      <c r="G1335" s="57"/>
      <c r="H1335" s="58" t="str">
        <f>IFERROR(__xludf.DUMMYFUNCTION("iferror(if(A1335="""", ,filter('Playoff IDR Import'!D:D,'Playoff IDR Import'!A:A=A1335,'Playoff IDR Import'!C:C=C1335)),)"),"")</f>
        <v/>
      </c>
      <c r="I1335" s="58"/>
      <c r="J1335" s="59" t="str">
        <f t="shared" si="1"/>
        <v/>
      </c>
    </row>
    <row r="1336">
      <c r="A1336" s="55"/>
      <c r="B1336" s="60"/>
      <c r="C1336" s="55"/>
      <c r="D1336" s="54"/>
      <c r="E1336" s="55"/>
      <c r="F1336" s="62"/>
      <c r="G1336" s="57"/>
      <c r="H1336" s="58" t="str">
        <f>IFERROR(__xludf.DUMMYFUNCTION("iferror(if(A1336="""", ,filter('Playoff IDR Import'!D:D,'Playoff IDR Import'!A:A=A1336,'Playoff IDR Import'!C:C=C1336)),)"),"")</f>
        <v/>
      </c>
      <c r="I1336" s="58"/>
      <c r="J1336" s="59" t="str">
        <f t="shared" si="1"/>
        <v/>
      </c>
    </row>
    <row r="1337">
      <c r="A1337" s="55"/>
      <c r="B1337" s="60"/>
      <c r="C1337" s="55"/>
      <c r="D1337" s="54"/>
      <c r="E1337" s="55"/>
      <c r="F1337" s="62"/>
      <c r="G1337" s="57"/>
      <c r="H1337" s="58" t="str">
        <f>IFERROR(__xludf.DUMMYFUNCTION("iferror(if(A1337="""", ,filter('Playoff IDR Import'!D:D,'Playoff IDR Import'!A:A=A1337,'Playoff IDR Import'!C:C=C1337)),)"),"")</f>
        <v/>
      </c>
      <c r="I1337" s="58"/>
      <c r="J1337" s="59" t="str">
        <f t="shared" si="1"/>
        <v/>
      </c>
    </row>
    <row r="1338">
      <c r="A1338" s="55"/>
      <c r="B1338" s="60"/>
      <c r="C1338" s="55"/>
      <c r="D1338" s="54"/>
      <c r="E1338" s="55"/>
      <c r="F1338" s="62"/>
      <c r="G1338" s="57"/>
      <c r="H1338" s="58" t="str">
        <f>IFERROR(__xludf.DUMMYFUNCTION("iferror(if(A1338="""", ,filter('Playoff IDR Import'!D:D,'Playoff IDR Import'!A:A=A1338,'Playoff IDR Import'!C:C=C1338)),)"),"")</f>
        <v/>
      </c>
      <c r="I1338" s="58"/>
      <c r="J1338" s="59" t="str">
        <f t="shared" si="1"/>
        <v/>
      </c>
    </row>
    <row r="1339">
      <c r="A1339" s="55"/>
      <c r="B1339" s="60"/>
      <c r="C1339" s="55"/>
      <c r="D1339" s="54"/>
      <c r="E1339" s="55"/>
      <c r="F1339" s="62"/>
      <c r="G1339" s="57"/>
      <c r="H1339" s="58" t="str">
        <f>IFERROR(__xludf.DUMMYFUNCTION("iferror(if(A1339="""", ,filter('Playoff IDR Import'!D:D,'Playoff IDR Import'!A:A=A1339,'Playoff IDR Import'!C:C=C1339)),)"),"")</f>
        <v/>
      </c>
      <c r="I1339" s="58"/>
      <c r="J1339" s="59" t="str">
        <f t="shared" si="1"/>
        <v/>
      </c>
    </row>
    <row r="1340">
      <c r="A1340" s="55"/>
      <c r="B1340" s="60"/>
      <c r="C1340" s="55"/>
      <c r="D1340" s="54"/>
      <c r="E1340" s="55"/>
      <c r="F1340" s="62"/>
      <c r="G1340" s="57"/>
      <c r="H1340" s="58" t="str">
        <f>IFERROR(__xludf.DUMMYFUNCTION("iferror(if(A1340="""", ,filter('Playoff IDR Import'!D:D,'Playoff IDR Import'!A:A=A1340,'Playoff IDR Import'!C:C=C1340)),)"),"")</f>
        <v/>
      </c>
      <c r="I1340" s="58"/>
      <c r="J1340" s="59" t="str">
        <f t="shared" si="1"/>
        <v/>
      </c>
    </row>
    <row r="1341">
      <c r="A1341" s="55"/>
      <c r="B1341" s="60"/>
      <c r="C1341" s="55"/>
      <c r="D1341" s="54"/>
      <c r="E1341" s="55"/>
      <c r="F1341" s="62"/>
      <c r="G1341" s="57"/>
      <c r="H1341" s="58" t="str">
        <f>IFERROR(__xludf.DUMMYFUNCTION("iferror(if(A1341="""", ,filter('Playoff IDR Import'!D:D,'Playoff IDR Import'!A:A=A1341,'Playoff IDR Import'!C:C=C1341)),)"),"")</f>
        <v/>
      </c>
      <c r="I1341" s="58"/>
      <c r="J1341" s="59" t="str">
        <f t="shared" si="1"/>
        <v/>
      </c>
    </row>
    <row r="1342">
      <c r="A1342" s="55"/>
      <c r="B1342" s="60"/>
      <c r="C1342" s="55"/>
      <c r="D1342" s="54"/>
      <c r="E1342" s="55"/>
      <c r="F1342" s="62"/>
      <c r="G1342" s="57"/>
      <c r="H1342" s="58" t="str">
        <f>IFERROR(__xludf.DUMMYFUNCTION("iferror(if(A1342="""", ,filter('Playoff IDR Import'!D:D,'Playoff IDR Import'!A:A=A1342,'Playoff IDR Import'!C:C=C1342)),)"),"")</f>
        <v/>
      </c>
      <c r="I1342" s="58"/>
      <c r="J1342" s="59" t="str">
        <f t="shared" si="1"/>
        <v/>
      </c>
    </row>
    <row r="1343">
      <c r="A1343" s="55"/>
      <c r="B1343" s="60"/>
      <c r="C1343" s="55"/>
      <c r="D1343" s="54"/>
      <c r="E1343" s="55"/>
      <c r="F1343" s="62"/>
      <c r="G1343" s="57"/>
      <c r="H1343" s="58" t="str">
        <f>IFERROR(__xludf.DUMMYFUNCTION("iferror(if(A1343="""", ,filter('Playoff IDR Import'!D:D,'Playoff IDR Import'!A:A=A1343,'Playoff IDR Import'!C:C=C1343)),)"),"")</f>
        <v/>
      </c>
      <c r="I1343" s="58"/>
      <c r="J1343" s="59" t="str">
        <f t="shared" si="1"/>
        <v/>
      </c>
    </row>
    <row r="1344">
      <c r="A1344" s="55"/>
      <c r="B1344" s="60"/>
      <c r="C1344" s="55"/>
      <c r="D1344" s="54"/>
      <c r="E1344" s="55"/>
      <c r="F1344" s="62"/>
      <c r="G1344" s="57"/>
      <c r="H1344" s="58" t="str">
        <f>IFERROR(__xludf.DUMMYFUNCTION("iferror(if(A1344="""", ,filter('Playoff IDR Import'!D:D,'Playoff IDR Import'!A:A=A1344,'Playoff IDR Import'!C:C=C1344)),)"),"")</f>
        <v/>
      </c>
      <c r="I1344" s="58"/>
      <c r="J1344" s="59" t="str">
        <f t="shared" si="1"/>
        <v/>
      </c>
    </row>
    <row r="1345">
      <c r="A1345" s="55"/>
      <c r="B1345" s="60"/>
      <c r="C1345" s="55"/>
      <c r="D1345" s="54"/>
      <c r="E1345" s="55"/>
      <c r="F1345" s="62"/>
      <c r="G1345" s="57"/>
      <c r="H1345" s="58" t="str">
        <f>IFERROR(__xludf.DUMMYFUNCTION("iferror(if(A1345="""", ,filter('Playoff IDR Import'!D:D,'Playoff IDR Import'!A:A=A1345,'Playoff IDR Import'!C:C=C1345)),)"),"")</f>
        <v/>
      </c>
      <c r="I1345" s="58"/>
      <c r="J1345" s="59" t="str">
        <f t="shared" si="1"/>
        <v/>
      </c>
    </row>
    <row r="1346">
      <c r="A1346" s="55"/>
      <c r="B1346" s="60"/>
      <c r="C1346" s="55"/>
      <c r="D1346" s="54"/>
      <c r="E1346" s="55"/>
      <c r="F1346" s="62"/>
      <c r="G1346" s="57"/>
      <c r="H1346" s="58" t="str">
        <f>IFERROR(__xludf.DUMMYFUNCTION("iferror(if(A1346="""", ,filter('Playoff IDR Import'!D:D,'Playoff IDR Import'!A:A=A1346,'Playoff IDR Import'!C:C=C1346)),)"),"")</f>
        <v/>
      </c>
      <c r="I1346" s="58"/>
      <c r="J1346" s="59" t="str">
        <f t="shared" si="1"/>
        <v/>
      </c>
    </row>
    <row r="1347">
      <c r="A1347" s="55"/>
      <c r="B1347" s="60"/>
      <c r="C1347" s="55"/>
      <c r="D1347" s="54"/>
      <c r="E1347" s="55"/>
      <c r="F1347" s="62"/>
      <c r="G1347" s="57"/>
      <c r="H1347" s="58" t="str">
        <f>IFERROR(__xludf.DUMMYFUNCTION("iferror(if(A1347="""", ,filter('Playoff IDR Import'!D:D,'Playoff IDR Import'!A:A=A1347,'Playoff IDR Import'!C:C=C1347)),)"),"")</f>
        <v/>
      </c>
      <c r="I1347" s="58"/>
      <c r="J1347" s="59" t="str">
        <f t="shared" si="1"/>
        <v/>
      </c>
    </row>
    <row r="1348">
      <c r="A1348" s="55"/>
      <c r="B1348" s="60"/>
      <c r="C1348" s="55"/>
      <c r="D1348" s="54"/>
      <c r="E1348" s="55"/>
      <c r="F1348" s="62"/>
      <c r="G1348" s="57"/>
      <c r="H1348" s="58" t="str">
        <f>IFERROR(__xludf.DUMMYFUNCTION("iferror(if(A1348="""", ,filter('Playoff IDR Import'!D:D,'Playoff IDR Import'!A:A=A1348,'Playoff IDR Import'!C:C=C1348)),)"),"")</f>
        <v/>
      </c>
      <c r="I1348" s="58"/>
      <c r="J1348" s="59" t="str">
        <f t="shared" si="1"/>
        <v/>
      </c>
    </row>
    <row r="1349">
      <c r="A1349" s="55"/>
      <c r="B1349" s="60"/>
      <c r="C1349" s="55"/>
      <c r="D1349" s="54"/>
      <c r="E1349" s="55"/>
      <c r="F1349" s="62"/>
      <c r="G1349" s="57"/>
      <c r="H1349" s="58" t="str">
        <f>IFERROR(__xludf.DUMMYFUNCTION("iferror(if(A1349="""", ,filter('Playoff IDR Import'!D:D,'Playoff IDR Import'!A:A=A1349,'Playoff IDR Import'!C:C=C1349)),)"),"")</f>
        <v/>
      </c>
      <c r="I1349" s="58"/>
      <c r="J1349" s="59" t="str">
        <f t="shared" si="1"/>
        <v/>
      </c>
    </row>
    <row r="1350">
      <c r="A1350" s="55"/>
      <c r="B1350" s="60"/>
      <c r="C1350" s="55"/>
      <c r="D1350" s="54"/>
      <c r="E1350" s="55"/>
      <c r="F1350" s="62"/>
      <c r="G1350" s="57"/>
      <c r="H1350" s="58" t="str">
        <f>IFERROR(__xludf.DUMMYFUNCTION("iferror(if(A1350="""", ,filter('Playoff IDR Import'!D:D,'Playoff IDR Import'!A:A=A1350,'Playoff IDR Import'!C:C=C1350)),)"),"")</f>
        <v/>
      </c>
      <c r="I1350" s="58"/>
      <c r="J1350" s="59" t="str">
        <f t="shared" si="1"/>
        <v/>
      </c>
    </row>
    <row r="1351">
      <c r="A1351" s="55"/>
      <c r="B1351" s="60"/>
      <c r="C1351" s="55"/>
      <c r="D1351" s="54"/>
      <c r="E1351" s="55"/>
      <c r="F1351" s="62"/>
      <c r="G1351" s="57"/>
      <c r="H1351" s="58" t="str">
        <f>IFERROR(__xludf.DUMMYFUNCTION("iferror(if(A1351="""", ,filter('Playoff IDR Import'!D:D,'Playoff IDR Import'!A:A=A1351,'Playoff IDR Import'!C:C=C1351)),)"),"")</f>
        <v/>
      </c>
      <c r="I1351" s="58"/>
      <c r="J1351" s="59" t="str">
        <f t="shared" si="1"/>
        <v/>
      </c>
    </row>
    <row r="1352">
      <c r="A1352" s="55"/>
      <c r="B1352" s="60"/>
      <c r="C1352" s="55"/>
      <c r="D1352" s="54"/>
      <c r="E1352" s="55"/>
      <c r="F1352" s="62"/>
      <c r="G1352" s="57"/>
      <c r="H1352" s="58" t="str">
        <f>IFERROR(__xludf.DUMMYFUNCTION("iferror(if(A1352="""", ,filter('Playoff IDR Import'!D:D,'Playoff IDR Import'!A:A=A1352,'Playoff IDR Import'!C:C=C1352)),)"),"")</f>
        <v/>
      </c>
      <c r="I1352" s="58"/>
      <c r="J1352" s="59" t="str">
        <f t="shared" si="1"/>
        <v/>
      </c>
    </row>
    <row r="1353">
      <c r="A1353" s="55"/>
      <c r="B1353" s="60"/>
      <c r="C1353" s="55"/>
      <c r="D1353" s="54"/>
      <c r="E1353" s="55"/>
      <c r="F1353" s="62"/>
      <c r="G1353" s="57"/>
      <c r="H1353" s="58" t="str">
        <f>IFERROR(__xludf.DUMMYFUNCTION("iferror(if(A1353="""", ,filter('Playoff IDR Import'!D:D,'Playoff IDR Import'!A:A=A1353,'Playoff IDR Import'!C:C=C1353)),)"),"")</f>
        <v/>
      </c>
      <c r="I1353" s="58"/>
      <c r="J1353" s="59" t="str">
        <f t="shared" si="1"/>
        <v/>
      </c>
    </row>
    <row r="1354">
      <c r="A1354" s="55"/>
      <c r="B1354" s="60"/>
      <c r="C1354" s="55"/>
      <c r="D1354" s="54"/>
      <c r="E1354" s="55"/>
      <c r="F1354" s="62"/>
      <c r="G1354" s="57"/>
      <c r="H1354" s="58" t="str">
        <f>IFERROR(__xludf.DUMMYFUNCTION("iferror(if(A1354="""", ,filter('Playoff IDR Import'!D:D,'Playoff IDR Import'!A:A=A1354,'Playoff IDR Import'!C:C=C1354)),)"),"")</f>
        <v/>
      </c>
      <c r="I1354" s="58"/>
      <c r="J1354" s="59" t="str">
        <f t="shared" si="1"/>
        <v/>
      </c>
    </row>
    <row r="1355">
      <c r="A1355" s="55"/>
      <c r="B1355" s="60"/>
      <c r="C1355" s="55"/>
      <c r="D1355" s="54"/>
      <c r="E1355" s="55"/>
      <c r="F1355" s="62"/>
      <c r="G1355" s="57"/>
      <c r="H1355" s="58" t="str">
        <f>IFERROR(__xludf.DUMMYFUNCTION("iferror(if(A1355="""", ,filter('Playoff IDR Import'!D:D,'Playoff IDR Import'!A:A=A1355,'Playoff IDR Import'!C:C=C1355)),)"),"")</f>
        <v/>
      </c>
      <c r="I1355" s="58"/>
      <c r="J1355" s="59" t="str">
        <f t="shared" si="1"/>
        <v/>
      </c>
    </row>
    <row r="1356">
      <c r="A1356" s="55"/>
      <c r="B1356" s="60"/>
      <c r="C1356" s="55"/>
      <c r="D1356" s="54"/>
      <c r="E1356" s="55"/>
      <c r="F1356" s="62"/>
      <c r="G1356" s="57"/>
      <c r="H1356" s="58" t="str">
        <f>IFERROR(__xludf.DUMMYFUNCTION("iferror(if(A1356="""", ,filter('Playoff IDR Import'!D:D,'Playoff IDR Import'!A:A=A1356,'Playoff IDR Import'!C:C=C1356)),)"),"")</f>
        <v/>
      </c>
      <c r="I1356" s="58"/>
      <c r="J1356" s="59" t="str">
        <f t="shared" si="1"/>
        <v/>
      </c>
    </row>
    <row r="1357">
      <c r="A1357" s="55"/>
      <c r="B1357" s="60"/>
      <c r="C1357" s="55"/>
      <c r="D1357" s="54"/>
      <c r="E1357" s="55"/>
      <c r="F1357" s="62"/>
      <c r="G1357" s="57"/>
      <c r="H1357" s="58" t="str">
        <f>IFERROR(__xludf.DUMMYFUNCTION("iferror(if(A1357="""", ,filter('Playoff IDR Import'!D:D,'Playoff IDR Import'!A:A=A1357,'Playoff IDR Import'!C:C=C1357)),)"),"")</f>
        <v/>
      </c>
      <c r="I1357" s="58"/>
      <c r="J1357" s="59" t="str">
        <f t="shared" si="1"/>
        <v/>
      </c>
    </row>
    <row r="1358">
      <c r="A1358" s="55"/>
      <c r="B1358" s="60"/>
      <c r="C1358" s="55"/>
      <c r="D1358" s="54"/>
      <c r="E1358" s="55"/>
      <c r="F1358" s="62"/>
      <c r="G1358" s="57"/>
      <c r="H1358" s="58" t="str">
        <f>IFERROR(__xludf.DUMMYFUNCTION("iferror(if(A1358="""", ,filter('Playoff IDR Import'!D:D,'Playoff IDR Import'!A:A=A1358,'Playoff IDR Import'!C:C=C1358)),)"),"")</f>
        <v/>
      </c>
      <c r="I1358" s="58"/>
      <c r="J1358" s="59" t="str">
        <f t="shared" si="1"/>
        <v/>
      </c>
    </row>
    <row r="1359">
      <c r="A1359" s="55"/>
      <c r="B1359" s="60"/>
      <c r="C1359" s="55"/>
      <c r="D1359" s="54"/>
      <c r="E1359" s="55"/>
      <c r="F1359" s="62"/>
      <c r="G1359" s="57"/>
      <c r="H1359" s="58" t="str">
        <f>IFERROR(__xludf.DUMMYFUNCTION("iferror(if(A1359="""", ,filter('Playoff IDR Import'!D:D,'Playoff IDR Import'!A:A=A1359,'Playoff IDR Import'!C:C=C1359)),)"),"")</f>
        <v/>
      </c>
      <c r="I1359" s="58"/>
      <c r="J1359" s="59" t="str">
        <f t="shared" si="1"/>
        <v/>
      </c>
    </row>
    <row r="1360">
      <c r="A1360" s="55"/>
      <c r="B1360" s="60"/>
      <c r="C1360" s="55"/>
      <c r="D1360" s="54"/>
      <c r="E1360" s="55"/>
      <c r="F1360" s="62"/>
      <c r="G1360" s="57"/>
      <c r="H1360" s="58" t="str">
        <f>IFERROR(__xludf.DUMMYFUNCTION("iferror(if(A1360="""", ,filter('Playoff IDR Import'!D:D,'Playoff IDR Import'!A:A=A1360,'Playoff IDR Import'!C:C=C1360)),)"),"")</f>
        <v/>
      </c>
      <c r="I1360" s="58"/>
      <c r="J1360" s="59" t="str">
        <f t="shared" si="1"/>
        <v/>
      </c>
    </row>
    <row r="1361">
      <c r="A1361" s="55"/>
      <c r="B1361" s="60"/>
      <c r="C1361" s="55"/>
      <c r="D1361" s="54"/>
      <c r="E1361" s="55"/>
      <c r="F1361" s="62"/>
      <c r="G1361" s="57"/>
      <c r="H1361" s="58" t="str">
        <f>IFERROR(__xludf.DUMMYFUNCTION("iferror(if(A1361="""", ,filter('Playoff IDR Import'!D:D,'Playoff IDR Import'!A:A=A1361,'Playoff IDR Import'!C:C=C1361)),)"),"")</f>
        <v/>
      </c>
      <c r="I1361" s="58"/>
      <c r="J1361" s="59" t="str">
        <f t="shared" si="1"/>
        <v/>
      </c>
    </row>
    <row r="1362">
      <c r="A1362" s="55"/>
      <c r="B1362" s="60"/>
      <c r="C1362" s="55"/>
      <c r="D1362" s="54"/>
      <c r="E1362" s="55"/>
      <c r="F1362" s="62"/>
      <c r="G1362" s="57"/>
      <c r="H1362" s="58" t="str">
        <f>IFERROR(__xludf.DUMMYFUNCTION("iferror(if(A1362="""", ,filter('Playoff IDR Import'!D:D,'Playoff IDR Import'!A:A=A1362,'Playoff IDR Import'!C:C=C1362)),)"),"")</f>
        <v/>
      </c>
      <c r="I1362" s="58"/>
      <c r="J1362" s="59" t="str">
        <f t="shared" si="1"/>
        <v/>
      </c>
    </row>
    <row r="1363">
      <c r="A1363" s="55"/>
      <c r="B1363" s="60"/>
      <c r="C1363" s="55"/>
      <c r="D1363" s="54"/>
      <c r="E1363" s="55"/>
      <c r="F1363" s="62"/>
      <c r="G1363" s="57"/>
      <c r="H1363" s="58" t="str">
        <f>IFERROR(__xludf.DUMMYFUNCTION("iferror(if(A1363="""", ,filter('Playoff IDR Import'!D:D,'Playoff IDR Import'!A:A=A1363,'Playoff IDR Import'!C:C=C1363)),)"),"")</f>
        <v/>
      </c>
      <c r="I1363" s="58"/>
      <c r="J1363" s="59" t="str">
        <f t="shared" si="1"/>
        <v/>
      </c>
    </row>
    <row r="1364">
      <c r="A1364" s="55"/>
      <c r="B1364" s="60"/>
      <c r="C1364" s="55"/>
      <c r="D1364" s="54"/>
      <c r="E1364" s="55"/>
      <c r="F1364" s="62"/>
      <c r="G1364" s="57"/>
      <c r="H1364" s="58" t="str">
        <f>IFERROR(__xludf.DUMMYFUNCTION("iferror(if(A1364="""", ,filter('Playoff IDR Import'!D:D,'Playoff IDR Import'!A:A=A1364,'Playoff IDR Import'!C:C=C1364)),)"),"")</f>
        <v/>
      </c>
      <c r="I1364" s="58"/>
      <c r="J1364" s="59" t="str">
        <f t="shared" si="1"/>
        <v/>
      </c>
    </row>
    <row r="1365">
      <c r="A1365" s="55"/>
      <c r="B1365" s="60"/>
      <c r="C1365" s="55"/>
      <c r="D1365" s="54"/>
      <c r="E1365" s="55"/>
      <c r="F1365" s="62"/>
      <c r="G1365" s="57"/>
      <c r="H1365" s="58" t="str">
        <f>IFERROR(__xludf.DUMMYFUNCTION("iferror(if(A1365="""", ,filter('Playoff IDR Import'!D:D,'Playoff IDR Import'!A:A=A1365,'Playoff IDR Import'!C:C=C1365)),)"),"")</f>
        <v/>
      </c>
      <c r="I1365" s="58"/>
      <c r="J1365" s="59" t="str">
        <f t="shared" si="1"/>
        <v/>
      </c>
    </row>
    <row r="1366">
      <c r="A1366" s="55"/>
      <c r="B1366" s="60"/>
      <c r="C1366" s="55"/>
      <c r="D1366" s="54"/>
      <c r="E1366" s="55"/>
      <c r="F1366" s="62"/>
      <c r="G1366" s="57"/>
      <c r="H1366" s="58" t="str">
        <f>IFERROR(__xludf.DUMMYFUNCTION("iferror(if(A1366="""", ,filter('Playoff IDR Import'!D:D,'Playoff IDR Import'!A:A=A1366,'Playoff IDR Import'!C:C=C1366)),)"),"")</f>
        <v/>
      </c>
      <c r="I1366" s="58"/>
      <c r="J1366" s="59" t="str">
        <f t="shared" si="1"/>
        <v/>
      </c>
    </row>
    <row r="1367">
      <c r="A1367" s="55"/>
      <c r="B1367" s="60"/>
      <c r="C1367" s="55"/>
      <c r="D1367" s="54"/>
      <c r="E1367" s="55"/>
      <c r="F1367" s="62"/>
      <c r="G1367" s="57"/>
      <c r="H1367" s="58" t="str">
        <f>IFERROR(__xludf.DUMMYFUNCTION("iferror(if(A1367="""", ,filter('Playoff IDR Import'!D:D,'Playoff IDR Import'!A:A=A1367,'Playoff IDR Import'!C:C=C1367)),)"),"")</f>
        <v/>
      </c>
      <c r="I1367" s="58"/>
      <c r="J1367" s="59" t="str">
        <f t="shared" si="1"/>
        <v/>
      </c>
    </row>
    <row r="1368">
      <c r="A1368" s="55"/>
      <c r="B1368" s="60"/>
      <c r="C1368" s="55"/>
      <c r="D1368" s="54"/>
      <c r="E1368" s="55"/>
      <c r="F1368" s="62"/>
      <c r="G1368" s="57"/>
      <c r="H1368" s="58" t="str">
        <f>IFERROR(__xludf.DUMMYFUNCTION("iferror(if(A1368="""", ,filter('Playoff IDR Import'!D:D,'Playoff IDR Import'!A:A=A1368,'Playoff IDR Import'!C:C=C1368)),)"),"")</f>
        <v/>
      </c>
      <c r="I1368" s="58"/>
      <c r="J1368" s="59" t="str">
        <f t="shared" si="1"/>
        <v/>
      </c>
    </row>
    <row r="1369">
      <c r="A1369" s="55"/>
      <c r="B1369" s="60"/>
      <c r="C1369" s="55"/>
      <c r="D1369" s="54"/>
      <c r="E1369" s="55"/>
      <c r="F1369" s="62"/>
      <c r="G1369" s="57"/>
      <c r="H1369" s="58" t="str">
        <f>IFERROR(__xludf.DUMMYFUNCTION("iferror(if(A1369="""", ,filter('Playoff IDR Import'!D:D,'Playoff IDR Import'!A:A=A1369,'Playoff IDR Import'!C:C=C1369)),)"),"")</f>
        <v/>
      </c>
      <c r="I1369" s="58"/>
      <c r="J1369" s="59" t="str">
        <f t="shared" si="1"/>
        <v/>
      </c>
    </row>
    <row r="1370">
      <c r="A1370" s="55"/>
      <c r="B1370" s="60"/>
      <c r="C1370" s="55"/>
      <c r="D1370" s="54"/>
      <c r="E1370" s="55"/>
      <c r="F1370" s="62"/>
      <c r="G1370" s="57"/>
      <c r="H1370" s="58" t="str">
        <f>IFERROR(__xludf.DUMMYFUNCTION("iferror(if(A1370="""", ,filter('Playoff IDR Import'!D:D,'Playoff IDR Import'!A:A=A1370,'Playoff IDR Import'!C:C=C1370)),)"),"")</f>
        <v/>
      </c>
      <c r="I1370" s="58"/>
      <c r="J1370" s="59" t="str">
        <f t="shared" si="1"/>
        <v/>
      </c>
    </row>
    <row r="1371">
      <c r="A1371" s="55"/>
      <c r="B1371" s="60"/>
      <c r="C1371" s="55"/>
      <c r="D1371" s="54"/>
      <c r="E1371" s="55"/>
      <c r="F1371" s="62"/>
      <c r="G1371" s="57"/>
      <c r="H1371" s="58" t="str">
        <f>IFERROR(__xludf.DUMMYFUNCTION("iferror(if(A1371="""", ,filter('Playoff IDR Import'!D:D,'Playoff IDR Import'!A:A=A1371,'Playoff IDR Import'!C:C=C1371)),)"),"")</f>
        <v/>
      </c>
      <c r="I1371" s="58"/>
      <c r="J1371" s="59" t="str">
        <f t="shared" si="1"/>
        <v/>
      </c>
    </row>
    <row r="1372">
      <c r="A1372" s="55"/>
      <c r="B1372" s="60"/>
      <c r="C1372" s="55"/>
      <c r="D1372" s="54"/>
      <c r="E1372" s="55"/>
      <c r="F1372" s="62"/>
      <c r="G1372" s="57"/>
      <c r="H1372" s="58" t="str">
        <f>IFERROR(__xludf.DUMMYFUNCTION("iferror(if(A1372="""", ,filter('Playoff IDR Import'!D:D,'Playoff IDR Import'!A:A=A1372,'Playoff IDR Import'!C:C=C1372)),)"),"")</f>
        <v/>
      </c>
      <c r="I1372" s="58"/>
      <c r="J1372" s="59" t="str">
        <f t="shared" si="1"/>
        <v/>
      </c>
    </row>
    <row r="1373">
      <c r="A1373" s="55"/>
      <c r="B1373" s="60"/>
      <c r="C1373" s="55"/>
      <c r="D1373" s="54"/>
      <c r="E1373" s="55"/>
      <c r="F1373" s="62"/>
      <c r="G1373" s="57"/>
      <c r="H1373" s="58" t="str">
        <f>IFERROR(__xludf.DUMMYFUNCTION("iferror(if(A1373="""", ,filter('Playoff IDR Import'!D:D,'Playoff IDR Import'!A:A=A1373,'Playoff IDR Import'!C:C=C1373)),)"),"")</f>
        <v/>
      </c>
      <c r="I1373" s="58"/>
      <c r="J1373" s="59" t="str">
        <f t="shared" si="1"/>
        <v/>
      </c>
    </row>
    <row r="1374">
      <c r="A1374" s="55"/>
      <c r="B1374" s="60"/>
      <c r="C1374" s="55"/>
      <c r="D1374" s="54"/>
      <c r="E1374" s="55"/>
      <c r="F1374" s="62"/>
      <c r="G1374" s="57"/>
      <c r="H1374" s="58" t="str">
        <f>IFERROR(__xludf.DUMMYFUNCTION("iferror(if(A1374="""", ,filter('Playoff IDR Import'!D:D,'Playoff IDR Import'!A:A=A1374,'Playoff IDR Import'!C:C=C1374)),)"),"")</f>
        <v/>
      </c>
      <c r="I1374" s="58"/>
      <c r="J1374" s="59" t="str">
        <f t="shared" si="1"/>
        <v/>
      </c>
    </row>
    <row r="1375">
      <c r="A1375" s="55"/>
      <c r="B1375" s="60"/>
      <c r="C1375" s="55"/>
      <c r="D1375" s="54"/>
      <c r="E1375" s="55"/>
      <c r="F1375" s="62"/>
      <c r="G1375" s="57"/>
      <c r="H1375" s="58" t="str">
        <f>IFERROR(__xludf.DUMMYFUNCTION("iferror(if(A1375="""", ,filter('Playoff IDR Import'!D:D,'Playoff IDR Import'!A:A=A1375,'Playoff IDR Import'!C:C=C1375)),)"),"")</f>
        <v/>
      </c>
      <c r="I1375" s="58"/>
      <c r="J1375" s="59" t="str">
        <f t="shared" si="1"/>
        <v/>
      </c>
    </row>
    <row r="1376">
      <c r="A1376" s="55"/>
      <c r="B1376" s="60"/>
      <c r="C1376" s="55"/>
      <c r="D1376" s="54"/>
      <c r="E1376" s="55"/>
      <c r="F1376" s="62"/>
      <c r="G1376" s="57"/>
      <c r="H1376" s="58" t="str">
        <f>IFERROR(__xludf.DUMMYFUNCTION("iferror(if(A1376="""", ,filter('Playoff IDR Import'!D:D,'Playoff IDR Import'!A:A=A1376,'Playoff IDR Import'!C:C=C1376)),)"),"")</f>
        <v/>
      </c>
      <c r="I1376" s="58"/>
      <c r="J1376" s="59" t="str">
        <f t="shared" si="1"/>
        <v/>
      </c>
    </row>
    <row r="1377">
      <c r="A1377" s="55"/>
      <c r="B1377" s="60"/>
      <c r="C1377" s="55"/>
      <c r="D1377" s="54"/>
      <c r="E1377" s="55"/>
      <c r="F1377" s="62"/>
      <c r="G1377" s="57"/>
      <c r="H1377" s="58" t="str">
        <f>IFERROR(__xludf.DUMMYFUNCTION("iferror(if(A1377="""", ,filter('Playoff IDR Import'!D:D,'Playoff IDR Import'!A:A=A1377,'Playoff IDR Import'!C:C=C1377)),)"),"")</f>
        <v/>
      </c>
      <c r="I1377" s="58"/>
      <c r="J1377" s="59" t="str">
        <f t="shared" si="1"/>
        <v/>
      </c>
    </row>
    <row r="1378">
      <c r="A1378" s="55"/>
      <c r="B1378" s="60"/>
      <c r="C1378" s="55"/>
      <c r="D1378" s="54"/>
      <c r="E1378" s="55"/>
      <c r="F1378" s="62"/>
      <c r="G1378" s="57"/>
      <c r="H1378" s="58" t="str">
        <f>IFERROR(__xludf.DUMMYFUNCTION("iferror(if(A1378="""", ,filter('Playoff IDR Import'!D:D,'Playoff IDR Import'!A:A=A1378,'Playoff IDR Import'!C:C=C1378)),)"),"")</f>
        <v/>
      </c>
      <c r="I1378" s="58"/>
      <c r="J1378" s="59" t="str">
        <f t="shared" si="1"/>
        <v/>
      </c>
    </row>
    <row r="1379">
      <c r="A1379" s="55"/>
      <c r="B1379" s="60"/>
      <c r="C1379" s="55"/>
      <c r="D1379" s="54"/>
      <c r="E1379" s="55"/>
      <c r="F1379" s="62"/>
      <c r="G1379" s="57"/>
      <c r="H1379" s="58" t="str">
        <f>IFERROR(__xludf.DUMMYFUNCTION("iferror(if(A1379="""", ,filter('Playoff IDR Import'!D:D,'Playoff IDR Import'!A:A=A1379,'Playoff IDR Import'!C:C=C1379)),)"),"")</f>
        <v/>
      </c>
      <c r="I1379" s="58"/>
      <c r="J1379" s="59" t="str">
        <f t="shared" si="1"/>
        <v/>
      </c>
    </row>
    <row r="1380">
      <c r="A1380" s="55"/>
      <c r="B1380" s="60"/>
      <c r="C1380" s="55"/>
      <c r="D1380" s="54"/>
      <c r="E1380" s="55"/>
      <c r="F1380" s="62"/>
      <c r="G1380" s="57"/>
      <c r="H1380" s="58" t="str">
        <f>IFERROR(__xludf.DUMMYFUNCTION("iferror(if(A1380="""", ,filter('Playoff IDR Import'!D:D,'Playoff IDR Import'!A:A=A1380,'Playoff IDR Import'!C:C=C1380)),)"),"")</f>
        <v/>
      </c>
      <c r="I1380" s="58"/>
      <c r="J1380" s="59" t="str">
        <f t="shared" si="1"/>
        <v/>
      </c>
    </row>
    <row r="1381">
      <c r="A1381" s="55"/>
      <c r="B1381" s="60"/>
      <c r="C1381" s="55"/>
      <c r="D1381" s="54"/>
      <c r="E1381" s="55"/>
      <c r="F1381" s="62"/>
      <c r="G1381" s="57"/>
      <c r="H1381" s="58" t="str">
        <f>IFERROR(__xludf.DUMMYFUNCTION("iferror(if(A1381="""", ,filter('Playoff IDR Import'!D:D,'Playoff IDR Import'!A:A=A1381,'Playoff IDR Import'!C:C=C1381)),)"),"")</f>
        <v/>
      </c>
      <c r="I1381" s="58"/>
      <c r="J1381" s="59" t="str">
        <f t="shared" si="1"/>
        <v/>
      </c>
    </row>
    <row r="1382">
      <c r="A1382" s="55"/>
      <c r="B1382" s="60"/>
      <c r="C1382" s="55"/>
      <c r="D1382" s="54"/>
      <c r="E1382" s="55"/>
      <c r="F1382" s="62"/>
      <c r="G1382" s="57"/>
      <c r="H1382" s="58" t="str">
        <f>IFERROR(__xludf.DUMMYFUNCTION("iferror(if(A1382="""", ,filter('Playoff IDR Import'!D:D,'Playoff IDR Import'!A:A=A1382,'Playoff IDR Import'!C:C=C1382)),)"),"")</f>
        <v/>
      </c>
      <c r="I1382" s="58"/>
      <c r="J1382" s="59" t="str">
        <f t="shared" si="1"/>
        <v/>
      </c>
    </row>
    <row r="1383">
      <c r="A1383" s="55"/>
      <c r="B1383" s="60"/>
      <c r="C1383" s="55"/>
      <c r="D1383" s="54"/>
      <c r="E1383" s="55"/>
      <c r="F1383" s="62"/>
      <c r="G1383" s="57"/>
      <c r="H1383" s="58" t="str">
        <f>IFERROR(__xludf.DUMMYFUNCTION("iferror(if(A1383="""", ,filter('Playoff IDR Import'!D:D,'Playoff IDR Import'!A:A=A1383,'Playoff IDR Import'!C:C=C1383)),)"),"")</f>
        <v/>
      </c>
      <c r="I1383" s="58"/>
      <c r="J1383" s="59" t="str">
        <f t="shared" si="1"/>
        <v/>
      </c>
    </row>
    <row r="1384">
      <c r="A1384" s="55"/>
      <c r="B1384" s="60"/>
      <c r="C1384" s="55"/>
      <c r="D1384" s="54"/>
      <c r="E1384" s="55"/>
      <c r="F1384" s="62"/>
      <c r="G1384" s="57"/>
      <c r="H1384" s="58" t="str">
        <f>IFERROR(__xludf.DUMMYFUNCTION("iferror(if(A1384="""", ,filter('Playoff IDR Import'!D:D,'Playoff IDR Import'!A:A=A1384,'Playoff IDR Import'!C:C=C1384)),)"),"")</f>
        <v/>
      </c>
      <c r="I1384" s="58"/>
      <c r="J1384" s="59" t="str">
        <f t="shared" si="1"/>
        <v/>
      </c>
    </row>
    <row r="1385">
      <c r="A1385" s="55"/>
      <c r="B1385" s="60"/>
      <c r="C1385" s="55"/>
      <c r="D1385" s="54"/>
      <c r="E1385" s="55"/>
      <c r="F1385" s="62"/>
      <c r="G1385" s="57"/>
      <c r="H1385" s="58" t="str">
        <f>IFERROR(__xludf.DUMMYFUNCTION("iferror(if(A1385="""", ,filter('Playoff IDR Import'!D:D,'Playoff IDR Import'!A:A=A1385,'Playoff IDR Import'!C:C=C1385)),)"),"")</f>
        <v/>
      </c>
      <c r="I1385" s="58"/>
      <c r="J1385" s="59" t="str">
        <f t="shared" si="1"/>
        <v/>
      </c>
    </row>
    <row r="1386">
      <c r="A1386" s="55"/>
      <c r="B1386" s="60"/>
      <c r="C1386" s="55"/>
      <c r="D1386" s="54"/>
      <c r="E1386" s="55"/>
      <c r="F1386" s="62"/>
      <c r="G1386" s="57"/>
      <c r="H1386" s="58" t="str">
        <f>IFERROR(__xludf.DUMMYFUNCTION("iferror(if(A1386="""", ,filter('Playoff IDR Import'!D:D,'Playoff IDR Import'!A:A=A1386,'Playoff IDR Import'!C:C=C1386)),)"),"")</f>
        <v/>
      </c>
      <c r="I1386" s="58"/>
      <c r="J1386" s="59" t="str">
        <f t="shared" si="1"/>
        <v/>
      </c>
    </row>
    <row r="1387">
      <c r="A1387" s="55"/>
      <c r="B1387" s="60"/>
      <c r="C1387" s="55"/>
      <c r="D1387" s="54"/>
      <c r="E1387" s="55"/>
      <c r="F1387" s="62"/>
      <c r="G1387" s="57"/>
      <c r="H1387" s="58" t="str">
        <f>IFERROR(__xludf.DUMMYFUNCTION("iferror(if(A1387="""", ,filter('Playoff IDR Import'!D:D,'Playoff IDR Import'!A:A=A1387,'Playoff IDR Import'!C:C=C1387)),)"),"")</f>
        <v/>
      </c>
      <c r="I1387" s="58"/>
      <c r="J1387" s="59" t="str">
        <f t="shared" si="1"/>
        <v/>
      </c>
    </row>
    <row r="1388">
      <c r="A1388" s="55"/>
      <c r="B1388" s="60"/>
      <c r="C1388" s="55"/>
      <c r="D1388" s="54"/>
      <c r="E1388" s="55"/>
      <c r="F1388" s="62"/>
      <c r="G1388" s="57"/>
      <c r="H1388" s="58" t="str">
        <f>IFERROR(__xludf.DUMMYFUNCTION("iferror(if(A1388="""", ,filter('Playoff IDR Import'!D:D,'Playoff IDR Import'!A:A=A1388,'Playoff IDR Import'!C:C=C1388)),)"),"")</f>
        <v/>
      </c>
      <c r="I1388" s="58"/>
      <c r="J1388" s="59" t="str">
        <f t="shared" si="1"/>
        <v/>
      </c>
    </row>
    <row r="1389">
      <c r="A1389" s="55"/>
      <c r="B1389" s="60"/>
      <c r="C1389" s="55"/>
      <c r="D1389" s="54"/>
      <c r="E1389" s="55"/>
      <c r="F1389" s="62"/>
      <c r="G1389" s="57"/>
      <c r="H1389" s="58" t="str">
        <f>IFERROR(__xludf.DUMMYFUNCTION("iferror(if(A1389="""", ,filter('Playoff IDR Import'!D:D,'Playoff IDR Import'!A:A=A1389,'Playoff IDR Import'!C:C=C1389)),)"),"")</f>
        <v/>
      </c>
      <c r="I1389" s="58"/>
      <c r="J1389" s="59" t="str">
        <f t="shared" si="1"/>
        <v/>
      </c>
    </row>
    <row r="1390">
      <c r="A1390" s="55"/>
      <c r="B1390" s="60"/>
      <c r="C1390" s="55"/>
      <c r="D1390" s="54"/>
      <c r="E1390" s="55"/>
      <c r="F1390" s="62"/>
      <c r="G1390" s="57"/>
      <c r="H1390" s="58" t="str">
        <f>IFERROR(__xludf.DUMMYFUNCTION("iferror(if(A1390="""", ,filter('Playoff IDR Import'!D:D,'Playoff IDR Import'!A:A=A1390,'Playoff IDR Import'!C:C=C1390)),)"),"")</f>
        <v/>
      </c>
      <c r="I1390" s="58"/>
      <c r="J1390" s="59" t="str">
        <f t="shared" si="1"/>
        <v/>
      </c>
    </row>
    <row r="1391">
      <c r="A1391" s="55"/>
      <c r="B1391" s="60"/>
      <c r="C1391" s="55"/>
      <c r="D1391" s="54"/>
      <c r="E1391" s="55"/>
      <c r="F1391" s="62"/>
      <c r="G1391" s="57"/>
      <c r="H1391" s="58" t="str">
        <f>IFERROR(__xludf.DUMMYFUNCTION("iferror(if(A1391="""", ,filter('Playoff IDR Import'!D:D,'Playoff IDR Import'!A:A=A1391,'Playoff IDR Import'!C:C=C1391)),)"),"")</f>
        <v/>
      </c>
      <c r="I1391" s="58"/>
      <c r="J1391" s="59" t="str">
        <f t="shared" si="1"/>
        <v/>
      </c>
    </row>
    <row r="1392">
      <c r="A1392" s="55"/>
      <c r="B1392" s="60"/>
      <c r="C1392" s="55"/>
      <c r="D1392" s="54"/>
      <c r="E1392" s="55"/>
      <c r="F1392" s="62"/>
      <c r="G1392" s="57"/>
      <c r="H1392" s="58" t="str">
        <f>IFERROR(__xludf.DUMMYFUNCTION("iferror(if(A1392="""", ,filter('Playoff IDR Import'!D:D,'Playoff IDR Import'!A:A=A1392,'Playoff IDR Import'!C:C=C1392)),)"),"")</f>
        <v/>
      </c>
      <c r="I1392" s="58"/>
      <c r="J1392" s="59" t="str">
        <f t="shared" si="1"/>
        <v/>
      </c>
    </row>
    <row r="1393">
      <c r="A1393" s="55"/>
      <c r="B1393" s="60"/>
      <c r="C1393" s="55"/>
      <c r="D1393" s="54"/>
      <c r="E1393" s="55"/>
      <c r="F1393" s="62"/>
      <c r="G1393" s="57"/>
      <c r="H1393" s="58" t="str">
        <f>IFERROR(__xludf.DUMMYFUNCTION("iferror(if(A1393="""", ,filter('Playoff IDR Import'!D:D,'Playoff IDR Import'!A:A=A1393,'Playoff IDR Import'!C:C=C1393)),)"),"")</f>
        <v/>
      </c>
      <c r="I1393" s="58"/>
      <c r="J1393" s="59" t="str">
        <f t="shared" si="1"/>
        <v/>
      </c>
    </row>
    <row r="1394">
      <c r="A1394" s="55"/>
      <c r="B1394" s="60"/>
      <c r="C1394" s="55"/>
      <c r="D1394" s="54"/>
      <c r="E1394" s="55"/>
      <c r="F1394" s="62"/>
      <c r="G1394" s="57"/>
      <c r="H1394" s="58" t="str">
        <f>IFERROR(__xludf.DUMMYFUNCTION("iferror(if(A1394="""", ,filter('Playoff IDR Import'!D:D,'Playoff IDR Import'!A:A=A1394,'Playoff IDR Import'!C:C=C1394)),)"),"")</f>
        <v/>
      </c>
      <c r="I1394" s="58"/>
      <c r="J1394" s="59" t="str">
        <f t="shared" si="1"/>
        <v/>
      </c>
    </row>
    <row r="1395">
      <c r="A1395" s="55"/>
      <c r="B1395" s="60"/>
      <c r="C1395" s="55"/>
      <c r="D1395" s="54"/>
      <c r="E1395" s="55"/>
      <c r="F1395" s="62"/>
      <c r="G1395" s="57"/>
      <c r="H1395" s="58" t="str">
        <f>IFERROR(__xludf.DUMMYFUNCTION("iferror(if(A1395="""", ,filter('Playoff IDR Import'!D:D,'Playoff IDR Import'!A:A=A1395,'Playoff IDR Import'!C:C=C1395)),)"),"")</f>
        <v/>
      </c>
      <c r="I1395" s="58"/>
      <c r="J1395" s="59" t="str">
        <f t="shared" si="1"/>
        <v/>
      </c>
    </row>
    <row r="1396">
      <c r="A1396" s="55"/>
      <c r="B1396" s="60"/>
      <c r="C1396" s="55"/>
      <c r="D1396" s="54"/>
      <c r="E1396" s="55"/>
      <c r="F1396" s="62"/>
      <c r="G1396" s="57"/>
      <c r="H1396" s="58" t="str">
        <f>IFERROR(__xludf.DUMMYFUNCTION("iferror(if(A1396="""", ,filter('Playoff IDR Import'!D:D,'Playoff IDR Import'!A:A=A1396,'Playoff IDR Import'!C:C=C1396)),)"),"")</f>
        <v/>
      </c>
      <c r="I1396" s="58"/>
      <c r="J1396" s="59" t="str">
        <f t="shared" si="1"/>
        <v/>
      </c>
    </row>
    <row r="1397">
      <c r="A1397" s="55"/>
      <c r="B1397" s="60"/>
      <c r="C1397" s="55"/>
      <c r="D1397" s="54"/>
      <c r="E1397" s="55"/>
      <c r="F1397" s="62"/>
      <c r="G1397" s="57"/>
      <c r="H1397" s="58" t="str">
        <f>IFERROR(__xludf.DUMMYFUNCTION("iferror(if(A1397="""", ,filter('Playoff IDR Import'!D:D,'Playoff IDR Import'!A:A=A1397,'Playoff IDR Import'!C:C=C1397)),)"),"")</f>
        <v/>
      </c>
      <c r="I1397" s="58"/>
      <c r="J1397" s="59" t="str">
        <f t="shared" si="1"/>
        <v/>
      </c>
    </row>
    <row r="1398">
      <c r="A1398" s="55"/>
      <c r="B1398" s="60"/>
      <c r="C1398" s="55"/>
      <c r="D1398" s="54"/>
      <c r="E1398" s="55"/>
      <c r="F1398" s="62"/>
      <c r="G1398" s="57"/>
      <c r="H1398" s="58" t="str">
        <f>IFERROR(__xludf.DUMMYFUNCTION("iferror(if(A1398="""", ,filter('Playoff IDR Import'!D:D,'Playoff IDR Import'!A:A=A1398,'Playoff IDR Import'!C:C=C1398)),)"),"")</f>
        <v/>
      </c>
      <c r="I1398" s="58"/>
      <c r="J1398" s="59" t="str">
        <f t="shared" si="1"/>
        <v/>
      </c>
    </row>
    <row r="1399">
      <c r="A1399" s="55"/>
      <c r="B1399" s="60"/>
      <c r="C1399" s="55"/>
      <c r="D1399" s="54"/>
      <c r="E1399" s="55"/>
      <c r="F1399" s="62"/>
      <c r="G1399" s="57"/>
      <c r="H1399" s="58" t="str">
        <f>IFERROR(__xludf.DUMMYFUNCTION("iferror(if(A1399="""", ,filter('Playoff IDR Import'!D:D,'Playoff IDR Import'!A:A=A1399,'Playoff IDR Import'!C:C=C1399)),)"),"")</f>
        <v/>
      </c>
      <c r="I1399" s="58"/>
      <c r="J1399" s="59" t="str">
        <f t="shared" si="1"/>
        <v/>
      </c>
    </row>
    <row r="1400">
      <c r="A1400" s="55"/>
      <c r="B1400" s="60"/>
      <c r="C1400" s="55"/>
      <c r="D1400" s="54"/>
      <c r="E1400" s="55"/>
      <c r="F1400" s="62"/>
      <c r="G1400" s="57"/>
      <c r="H1400" s="58" t="str">
        <f>IFERROR(__xludf.DUMMYFUNCTION("iferror(if(A1400="""", ,filter('Playoff IDR Import'!D:D,'Playoff IDR Import'!A:A=A1400,'Playoff IDR Import'!C:C=C1400)),)"),"")</f>
        <v/>
      </c>
      <c r="I1400" s="58"/>
      <c r="J1400" s="59" t="str">
        <f t="shared" si="1"/>
        <v/>
      </c>
    </row>
    <row r="1401">
      <c r="A1401" s="55"/>
      <c r="B1401" s="60"/>
      <c r="C1401" s="55"/>
      <c r="D1401" s="54"/>
      <c r="E1401" s="55"/>
      <c r="F1401" s="62"/>
      <c r="G1401" s="57"/>
      <c r="H1401" s="58" t="str">
        <f>IFERROR(__xludf.DUMMYFUNCTION("iferror(if(A1401="""", ,filter('Playoff IDR Import'!D:D,'Playoff IDR Import'!A:A=A1401,'Playoff IDR Import'!C:C=C1401)),)"),"")</f>
        <v/>
      </c>
      <c r="I1401" s="58"/>
      <c r="J1401" s="59" t="str">
        <f t="shared" si="1"/>
        <v/>
      </c>
    </row>
    <row r="1402">
      <c r="A1402" s="55"/>
      <c r="B1402" s="60"/>
      <c r="C1402" s="55"/>
      <c r="D1402" s="54"/>
      <c r="E1402" s="55"/>
      <c r="F1402" s="62"/>
      <c r="G1402" s="57"/>
      <c r="H1402" s="58" t="str">
        <f>IFERROR(__xludf.DUMMYFUNCTION("iferror(if(A1402="""", ,filter('Playoff IDR Import'!D:D,'Playoff IDR Import'!A:A=A1402,'Playoff IDR Import'!C:C=C1402)),)"),"")</f>
        <v/>
      </c>
      <c r="I1402" s="58"/>
      <c r="J1402" s="59" t="str">
        <f t="shared" si="1"/>
        <v/>
      </c>
    </row>
    <row r="1403">
      <c r="A1403" s="55"/>
      <c r="B1403" s="60"/>
      <c r="C1403" s="55"/>
      <c r="D1403" s="54"/>
      <c r="E1403" s="55"/>
      <c r="F1403" s="62"/>
      <c r="G1403" s="57"/>
      <c r="H1403" s="58" t="str">
        <f>IFERROR(__xludf.DUMMYFUNCTION("iferror(if(A1403="""", ,filter('Playoff IDR Import'!D:D,'Playoff IDR Import'!A:A=A1403,'Playoff IDR Import'!C:C=C1403)),)"),"")</f>
        <v/>
      </c>
      <c r="I1403" s="58"/>
      <c r="J1403" s="59" t="str">
        <f t="shared" si="1"/>
        <v/>
      </c>
    </row>
    <row r="1404">
      <c r="A1404" s="55"/>
      <c r="B1404" s="60"/>
      <c r="C1404" s="55"/>
      <c r="D1404" s="54"/>
      <c r="E1404" s="55"/>
      <c r="F1404" s="62"/>
      <c r="G1404" s="57"/>
      <c r="H1404" s="58" t="str">
        <f>IFERROR(__xludf.DUMMYFUNCTION("iferror(if(A1404="""", ,filter('Playoff IDR Import'!D:D,'Playoff IDR Import'!A:A=A1404,'Playoff IDR Import'!C:C=C1404)),)"),"")</f>
        <v/>
      </c>
      <c r="I1404" s="58"/>
      <c r="J1404" s="59" t="str">
        <f t="shared" si="1"/>
        <v/>
      </c>
    </row>
    <row r="1405">
      <c r="A1405" s="55"/>
      <c r="B1405" s="60"/>
      <c r="C1405" s="55"/>
      <c r="D1405" s="54"/>
      <c r="E1405" s="55"/>
      <c r="F1405" s="62"/>
      <c r="G1405" s="57"/>
      <c r="H1405" s="58" t="str">
        <f>IFERROR(__xludf.DUMMYFUNCTION("iferror(if(A1405="""", ,filter('Playoff IDR Import'!D:D,'Playoff IDR Import'!A:A=A1405,'Playoff IDR Import'!C:C=C1405)),)"),"")</f>
        <v/>
      </c>
      <c r="I1405" s="58"/>
      <c r="J1405" s="59" t="str">
        <f t="shared" si="1"/>
        <v/>
      </c>
    </row>
    <row r="1406">
      <c r="A1406" s="55"/>
      <c r="B1406" s="60"/>
      <c r="C1406" s="55"/>
      <c r="D1406" s="54"/>
      <c r="E1406" s="55"/>
      <c r="F1406" s="62"/>
      <c r="G1406" s="57"/>
      <c r="H1406" s="58" t="str">
        <f>IFERROR(__xludf.DUMMYFUNCTION("iferror(if(A1406="""", ,filter('Playoff IDR Import'!D:D,'Playoff IDR Import'!A:A=A1406,'Playoff IDR Import'!C:C=C1406)),)"),"")</f>
        <v/>
      </c>
      <c r="I1406" s="58"/>
      <c r="J1406" s="59" t="str">
        <f t="shared" si="1"/>
        <v/>
      </c>
    </row>
    <row r="1407">
      <c r="A1407" s="55"/>
      <c r="B1407" s="60"/>
      <c r="C1407" s="55"/>
      <c r="D1407" s="54"/>
      <c r="E1407" s="55"/>
      <c r="F1407" s="62"/>
      <c r="G1407" s="57"/>
      <c r="H1407" s="58" t="str">
        <f>IFERROR(__xludf.DUMMYFUNCTION("iferror(if(A1407="""", ,filter('Playoff IDR Import'!D:D,'Playoff IDR Import'!A:A=A1407,'Playoff IDR Import'!C:C=C1407)),)"),"")</f>
        <v/>
      </c>
      <c r="I1407" s="58"/>
      <c r="J1407" s="59" t="str">
        <f t="shared" si="1"/>
        <v/>
      </c>
    </row>
    <row r="1408">
      <c r="A1408" s="55"/>
      <c r="B1408" s="60"/>
      <c r="C1408" s="55"/>
      <c r="D1408" s="54"/>
      <c r="E1408" s="55"/>
      <c r="F1408" s="62"/>
      <c r="G1408" s="57"/>
      <c r="H1408" s="58" t="str">
        <f>IFERROR(__xludf.DUMMYFUNCTION("iferror(if(A1408="""", ,filter('Playoff IDR Import'!D:D,'Playoff IDR Import'!A:A=A1408,'Playoff IDR Import'!C:C=C1408)),)"),"")</f>
        <v/>
      </c>
      <c r="I1408" s="58"/>
      <c r="J1408" s="59" t="str">
        <f t="shared" si="1"/>
        <v/>
      </c>
    </row>
    <row r="1409">
      <c r="A1409" s="55"/>
      <c r="B1409" s="60"/>
      <c r="C1409" s="55"/>
      <c r="D1409" s="54"/>
      <c r="E1409" s="55"/>
      <c r="F1409" s="62"/>
      <c r="G1409" s="57"/>
      <c r="H1409" s="58" t="str">
        <f>IFERROR(__xludf.DUMMYFUNCTION("iferror(if(A1409="""", ,filter('Playoff IDR Import'!D:D,'Playoff IDR Import'!A:A=A1409,'Playoff IDR Import'!C:C=C1409)),)"),"")</f>
        <v/>
      </c>
      <c r="I1409" s="58"/>
      <c r="J1409" s="59" t="str">
        <f t="shared" si="1"/>
        <v/>
      </c>
    </row>
    <row r="1410">
      <c r="A1410" s="55"/>
      <c r="B1410" s="60"/>
      <c r="C1410" s="55"/>
      <c r="D1410" s="54"/>
      <c r="E1410" s="55"/>
      <c r="F1410" s="62"/>
      <c r="G1410" s="57"/>
      <c r="H1410" s="58" t="str">
        <f>IFERROR(__xludf.DUMMYFUNCTION("iferror(if(A1410="""", ,filter('Playoff IDR Import'!D:D,'Playoff IDR Import'!A:A=A1410,'Playoff IDR Import'!C:C=C1410)),)"),"")</f>
        <v/>
      </c>
      <c r="I1410" s="58"/>
      <c r="J1410" s="59" t="str">
        <f t="shared" si="1"/>
        <v/>
      </c>
    </row>
    <row r="1411">
      <c r="A1411" s="55"/>
      <c r="B1411" s="60"/>
      <c r="C1411" s="55"/>
      <c r="D1411" s="54"/>
      <c r="E1411" s="55"/>
      <c r="F1411" s="62"/>
      <c r="G1411" s="57"/>
      <c r="H1411" s="58" t="str">
        <f>IFERROR(__xludf.DUMMYFUNCTION("iferror(if(A1411="""", ,filter('Playoff IDR Import'!D:D,'Playoff IDR Import'!A:A=A1411,'Playoff IDR Import'!C:C=C1411)),)"),"")</f>
        <v/>
      </c>
      <c r="I1411" s="58"/>
      <c r="J1411" s="59" t="str">
        <f t="shared" si="1"/>
        <v/>
      </c>
    </row>
    <row r="1412">
      <c r="A1412" s="55"/>
      <c r="B1412" s="60"/>
      <c r="C1412" s="55"/>
      <c r="D1412" s="54"/>
      <c r="E1412" s="55"/>
      <c r="F1412" s="62"/>
      <c r="G1412" s="57"/>
      <c r="H1412" s="58" t="str">
        <f>IFERROR(__xludf.DUMMYFUNCTION("iferror(if(A1412="""", ,filter('Playoff IDR Import'!D:D,'Playoff IDR Import'!A:A=A1412,'Playoff IDR Import'!C:C=C1412)),)"),"")</f>
        <v/>
      </c>
      <c r="I1412" s="58"/>
      <c r="J1412" s="59" t="str">
        <f t="shared" si="1"/>
        <v/>
      </c>
    </row>
    <row r="1413">
      <c r="A1413" s="55"/>
      <c r="B1413" s="60"/>
      <c r="C1413" s="55"/>
      <c r="D1413" s="54"/>
      <c r="E1413" s="55"/>
      <c r="F1413" s="62"/>
      <c r="G1413" s="57"/>
      <c r="H1413" s="58" t="str">
        <f>IFERROR(__xludf.DUMMYFUNCTION("iferror(if(A1413="""", ,filter('Playoff IDR Import'!D:D,'Playoff IDR Import'!A:A=A1413,'Playoff IDR Import'!C:C=C1413)),)"),"")</f>
        <v/>
      </c>
      <c r="I1413" s="58"/>
      <c r="J1413" s="59" t="str">
        <f t="shared" si="1"/>
        <v/>
      </c>
    </row>
    <row r="1414">
      <c r="A1414" s="55"/>
      <c r="B1414" s="60"/>
      <c r="C1414" s="55"/>
      <c r="D1414" s="54"/>
      <c r="E1414" s="55"/>
      <c r="F1414" s="62"/>
      <c r="G1414" s="57"/>
      <c r="H1414" s="58" t="str">
        <f>IFERROR(__xludf.DUMMYFUNCTION("iferror(if(A1414="""", ,filter('Playoff IDR Import'!D:D,'Playoff IDR Import'!A:A=A1414,'Playoff IDR Import'!C:C=C1414)),)"),"")</f>
        <v/>
      </c>
      <c r="I1414" s="58"/>
      <c r="J1414" s="59" t="str">
        <f t="shared" si="1"/>
        <v/>
      </c>
    </row>
    <row r="1415">
      <c r="A1415" s="55"/>
      <c r="B1415" s="60"/>
      <c r="C1415" s="55"/>
      <c r="D1415" s="54"/>
      <c r="E1415" s="55"/>
      <c r="F1415" s="62"/>
      <c r="G1415" s="57"/>
      <c r="H1415" s="58" t="str">
        <f>IFERROR(__xludf.DUMMYFUNCTION("iferror(if(A1415="""", ,filter('Playoff IDR Import'!D:D,'Playoff IDR Import'!A:A=A1415,'Playoff IDR Import'!C:C=C1415)),)"),"")</f>
        <v/>
      </c>
      <c r="I1415" s="58"/>
      <c r="J1415" s="59" t="str">
        <f t="shared" si="1"/>
        <v/>
      </c>
    </row>
    <row r="1416">
      <c r="A1416" s="55"/>
      <c r="B1416" s="60"/>
      <c r="C1416" s="55"/>
      <c r="D1416" s="54"/>
      <c r="E1416" s="55"/>
      <c r="F1416" s="62"/>
      <c r="G1416" s="57"/>
      <c r="H1416" s="58" t="str">
        <f>IFERROR(__xludf.DUMMYFUNCTION("iferror(if(A1416="""", ,filter('Playoff IDR Import'!D:D,'Playoff IDR Import'!A:A=A1416,'Playoff IDR Import'!C:C=C1416)),)"),"")</f>
        <v/>
      </c>
      <c r="I1416" s="58"/>
      <c r="J1416" s="59" t="str">
        <f t="shared" si="1"/>
        <v/>
      </c>
    </row>
    <row r="1417">
      <c r="A1417" s="55"/>
      <c r="B1417" s="60"/>
      <c r="C1417" s="55"/>
      <c r="D1417" s="54"/>
      <c r="E1417" s="55"/>
      <c r="F1417" s="62"/>
      <c r="G1417" s="57"/>
      <c r="H1417" s="58" t="str">
        <f>IFERROR(__xludf.DUMMYFUNCTION("iferror(if(A1417="""", ,filter('Playoff IDR Import'!D:D,'Playoff IDR Import'!A:A=A1417,'Playoff IDR Import'!C:C=C1417)),)"),"")</f>
        <v/>
      </c>
      <c r="I1417" s="58"/>
      <c r="J1417" s="59" t="str">
        <f t="shared" si="1"/>
        <v/>
      </c>
    </row>
    <row r="1418">
      <c r="A1418" s="55"/>
      <c r="B1418" s="60"/>
      <c r="C1418" s="55"/>
      <c r="D1418" s="54"/>
      <c r="E1418" s="55"/>
      <c r="F1418" s="62"/>
      <c r="G1418" s="57"/>
      <c r="H1418" s="58" t="str">
        <f>IFERROR(__xludf.DUMMYFUNCTION("iferror(if(A1418="""", ,filter('Playoff IDR Import'!D:D,'Playoff IDR Import'!A:A=A1418,'Playoff IDR Import'!C:C=C1418)),)"),"")</f>
        <v/>
      </c>
      <c r="I1418" s="58"/>
      <c r="J1418" s="59" t="str">
        <f t="shared" si="1"/>
        <v/>
      </c>
    </row>
    <row r="1419">
      <c r="A1419" s="55"/>
      <c r="B1419" s="60"/>
      <c r="C1419" s="55"/>
      <c r="D1419" s="54"/>
      <c r="E1419" s="55"/>
      <c r="F1419" s="62"/>
      <c r="G1419" s="57"/>
      <c r="H1419" s="58" t="str">
        <f>IFERROR(__xludf.DUMMYFUNCTION("iferror(if(A1419="""", ,filter('Playoff IDR Import'!D:D,'Playoff IDR Import'!A:A=A1419,'Playoff IDR Import'!C:C=C1419)),)"),"")</f>
        <v/>
      </c>
      <c r="I1419" s="58"/>
      <c r="J1419" s="59" t="str">
        <f t="shared" si="1"/>
        <v/>
      </c>
    </row>
    <row r="1420">
      <c r="A1420" s="55"/>
      <c r="B1420" s="60"/>
      <c r="C1420" s="55"/>
      <c r="D1420" s="54"/>
      <c r="E1420" s="55"/>
      <c r="F1420" s="62"/>
      <c r="G1420" s="57"/>
      <c r="H1420" s="58" t="str">
        <f>IFERROR(__xludf.DUMMYFUNCTION("iferror(if(A1420="""", ,filter('Playoff IDR Import'!D:D,'Playoff IDR Import'!A:A=A1420,'Playoff IDR Import'!C:C=C1420)),)"),"")</f>
        <v/>
      </c>
      <c r="I1420" s="58"/>
      <c r="J1420" s="59" t="str">
        <f t="shared" si="1"/>
        <v/>
      </c>
    </row>
    <row r="1421">
      <c r="A1421" s="55"/>
      <c r="B1421" s="60"/>
      <c r="C1421" s="55"/>
      <c r="D1421" s="54"/>
      <c r="E1421" s="55"/>
      <c r="F1421" s="62"/>
      <c r="G1421" s="57"/>
      <c r="H1421" s="58" t="str">
        <f>IFERROR(__xludf.DUMMYFUNCTION("iferror(if(A1421="""", ,filter('Playoff IDR Import'!D:D,'Playoff IDR Import'!A:A=A1421,'Playoff IDR Import'!C:C=C1421)),)"),"")</f>
        <v/>
      </c>
      <c r="I1421" s="58"/>
      <c r="J1421" s="59" t="str">
        <f t="shared" si="1"/>
        <v/>
      </c>
    </row>
    <row r="1422">
      <c r="A1422" s="55"/>
      <c r="B1422" s="60"/>
      <c r="C1422" s="55"/>
      <c r="D1422" s="54"/>
      <c r="E1422" s="55"/>
      <c r="F1422" s="62"/>
      <c r="G1422" s="57"/>
      <c r="H1422" s="58" t="str">
        <f>IFERROR(__xludf.DUMMYFUNCTION("iferror(if(A1422="""", ,filter('Playoff IDR Import'!D:D,'Playoff IDR Import'!A:A=A1422,'Playoff IDR Import'!C:C=C1422)),)"),"")</f>
        <v/>
      </c>
      <c r="I1422" s="58"/>
      <c r="J1422" s="59" t="str">
        <f t="shared" si="1"/>
        <v/>
      </c>
    </row>
    <row r="1423">
      <c r="A1423" s="55"/>
      <c r="B1423" s="60"/>
      <c r="C1423" s="55"/>
      <c r="D1423" s="54"/>
      <c r="E1423" s="55"/>
      <c r="F1423" s="62"/>
      <c r="G1423" s="57"/>
      <c r="H1423" s="58" t="str">
        <f>IFERROR(__xludf.DUMMYFUNCTION("iferror(if(A1423="""", ,filter('Playoff IDR Import'!D:D,'Playoff IDR Import'!A:A=A1423,'Playoff IDR Import'!C:C=C1423)),)"),"")</f>
        <v/>
      </c>
      <c r="I1423" s="58"/>
      <c r="J1423" s="59" t="str">
        <f t="shared" si="1"/>
        <v/>
      </c>
    </row>
    <row r="1424">
      <c r="A1424" s="55"/>
      <c r="B1424" s="60"/>
      <c r="C1424" s="55"/>
      <c r="D1424" s="54"/>
      <c r="E1424" s="55"/>
      <c r="F1424" s="62"/>
      <c r="G1424" s="57"/>
      <c r="H1424" s="58" t="str">
        <f>IFERROR(__xludf.DUMMYFUNCTION("iferror(if(A1424="""", ,filter('Playoff IDR Import'!D:D,'Playoff IDR Import'!A:A=A1424,'Playoff IDR Import'!C:C=C1424)),)"),"")</f>
        <v/>
      </c>
      <c r="I1424" s="58"/>
      <c r="J1424" s="59" t="str">
        <f t="shared" si="1"/>
        <v/>
      </c>
    </row>
    <row r="1425">
      <c r="A1425" s="55"/>
      <c r="B1425" s="60"/>
      <c r="C1425" s="55"/>
      <c r="D1425" s="54"/>
      <c r="E1425" s="55"/>
      <c r="F1425" s="62"/>
      <c r="G1425" s="57"/>
      <c r="H1425" s="58" t="str">
        <f>IFERROR(__xludf.DUMMYFUNCTION("iferror(if(A1425="""", ,filter('Playoff IDR Import'!D:D,'Playoff IDR Import'!A:A=A1425,'Playoff IDR Import'!C:C=C1425)),)"),"")</f>
        <v/>
      </c>
      <c r="I1425" s="58"/>
      <c r="J1425" s="59" t="str">
        <f t="shared" si="1"/>
        <v/>
      </c>
    </row>
    <row r="1426">
      <c r="A1426" s="55"/>
      <c r="B1426" s="60"/>
      <c r="C1426" s="55"/>
      <c r="D1426" s="54"/>
      <c r="E1426" s="55"/>
      <c r="F1426" s="62"/>
      <c r="G1426" s="57"/>
      <c r="H1426" s="58" t="str">
        <f>IFERROR(__xludf.DUMMYFUNCTION("iferror(if(A1426="""", ,filter('Playoff IDR Import'!D:D,'Playoff IDR Import'!A:A=A1426,'Playoff IDR Import'!C:C=C1426)),)"),"")</f>
        <v/>
      </c>
      <c r="I1426" s="58"/>
      <c r="J1426" s="59" t="str">
        <f t="shared" si="1"/>
        <v/>
      </c>
    </row>
    <row r="1427">
      <c r="A1427" s="55"/>
      <c r="B1427" s="60"/>
      <c r="C1427" s="55"/>
      <c r="D1427" s="54"/>
      <c r="E1427" s="55"/>
      <c r="F1427" s="62"/>
      <c r="G1427" s="57"/>
      <c r="H1427" s="58" t="str">
        <f>IFERROR(__xludf.DUMMYFUNCTION("iferror(if(A1427="""", ,filter('Playoff IDR Import'!D:D,'Playoff IDR Import'!A:A=A1427,'Playoff IDR Import'!C:C=C1427)),)"),"")</f>
        <v/>
      </c>
      <c r="I1427" s="58"/>
      <c r="J1427" s="59" t="str">
        <f t="shared" si="1"/>
        <v/>
      </c>
    </row>
    <row r="1428">
      <c r="A1428" s="55"/>
      <c r="B1428" s="60"/>
      <c r="C1428" s="55"/>
      <c r="D1428" s="54"/>
      <c r="E1428" s="55"/>
      <c r="F1428" s="62"/>
      <c r="G1428" s="57"/>
      <c r="H1428" s="58" t="str">
        <f>IFERROR(__xludf.DUMMYFUNCTION("iferror(if(A1428="""", ,filter('Playoff IDR Import'!D:D,'Playoff IDR Import'!A:A=A1428,'Playoff IDR Import'!C:C=C1428)),)"),"")</f>
        <v/>
      </c>
      <c r="I1428" s="58"/>
      <c r="J1428" s="59" t="str">
        <f t="shared" si="1"/>
        <v/>
      </c>
    </row>
    <row r="1429">
      <c r="A1429" s="55"/>
      <c r="B1429" s="60"/>
      <c r="C1429" s="55"/>
      <c r="D1429" s="54"/>
      <c r="E1429" s="55"/>
      <c r="F1429" s="62"/>
      <c r="G1429" s="57"/>
      <c r="H1429" s="58" t="str">
        <f>IFERROR(__xludf.DUMMYFUNCTION("iferror(if(A1429="""", ,filter('Playoff IDR Import'!D:D,'Playoff IDR Import'!A:A=A1429,'Playoff IDR Import'!C:C=C1429)),)"),"")</f>
        <v/>
      </c>
      <c r="I1429" s="58"/>
      <c r="J1429" s="59" t="str">
        <f t="shared" si="1"/>
        <v/>
      </c>
    </row>
    <row r="1430">
      <c r="A1430" s="55"/>
      <c r="B1430" s="60"/>
      <c r="C1430" s="55"/>
      <c r="D1430" s="54"/>
      <c r="E1430" s="55"/>
      <c r="F1430" s="62"/>
      <c r="G1430" s="57"/>
      <c r="H1430" s="58" t="str">
        <f>IFERROR(__xludf.DUMMYFUNCTION("iferror(if(A1430="""", ,filter('Playoff IDR Import'!D:D,'Playoff IDR Import'!A:A=A1430,'Playoff IDR Import'!C:C=C1430)),)"),"")</f>
        <v/>
      </c>
      <c r="I1430" s="58"/>
      <c r="J1430" s="59" t="str">
        <f t="shared" si="1"/>
        <v/>
      </c>
    </row>
    <row r="1431">
      <c r="A1431" s="55"/>
      <c r="B1431" s="60"/>
      <c r="C1431" s="55"/>
      <c r="D1431" s="54"/>
      <c r="E1431" s="55"/>
      <c r="F1431" s="62"/>
      <c r="G1431" s="57"/>
      <c r="H1431" s="58" t="str">
        <f>IFERROR(__xludf.DUMMYFUNCTION("iferror(if(A1431="""", ,filter('Playoff IDR Import'!D:D,'Playoff IDR Import'!A:A=A1431,'Playoff IDR Import'!C:C=C1431)),)"),"")</f>
        <v/>
      </c>
      <c r="I1431" s="58"/>
      <c r="J1431" s="59" t="str">
        <f t="shared" si="1"/>
        <v/>
      </c>
    </row>
    <row r="1432">
      <c r="A1432" s="55"/>
      <c r="B1432" s="60"/>
      <c r="C1432" s="55"/>
      <c r="D1432" s="54"/>
      <c r="E1432" s="55"/>
      <c r="F1432" s="62"/>
      <c r="G1432" s="57"/>
      <c r="H1432" s="58" t="str">
        <f>IFERROR(__xludf.DUMMYFUNCTION("iferror(if(A1432="""", ,filter('Playoff IDR Import'!D:D,'Playoff IDR Import'!A:A=A1432,'Playoff IDR Import'!C:C=C1432)),)"),"")</f>
        <v/>
      </c>
      <c r="I1432" s="58"/>
      <c r="J1432" s="59" t="str">
        <f t="shared" si="1"/>
        <v/>
      </c>
    </row>
    <row r="1433">
      <c r="A1433" s="55"/>
      <c r="B1433" s="60"/>
      <c r="C1433" s="55"/>
      <c r="D1433" s="54"/>
      <c r="E1433" s="55"/>
      <c r="F1433" s="62"/>
      <c r="G1433" s="57"/>
      <c r="H1433" s="58" t="str">
        <f>IFERROR(__xludf.DUMMYFUNCTION("iferror(if(A1433="""", ,filter('Playoff IDR Import'!D:D,'Playoff IDR Import'!A:A=A1433,'Playoff IDR Import'!C:C=C1433)),)"),"")</f>
        <v/>
      </c>
      <c r="I1433" s="58"/>
      <c r="J1433" s="59" t="str">
        <f t="shared" si="1"/>
        <v/>
      </c>
    </row>
    <row r="1434">
      <c r="A1434" s="55"/>
      <c r="B1434" s="60"/>
      <c r="C1434" s="55"/>
      <c r="D1434" s="54"/>
      <c r="E1434" s="55"/>
      <c r="F1434" s="62"/>
      <c r="G1434" s="57"/>
      <c r="H1434" s="58" t="str">
        <f>IFERROR(__xludf.DUMMYFUNCTION("iferror(if(A1434="""", ,filter('Playoff IDR Import'!D:D,'Playoff IDR Import'!A:A=A1434,'Playoff IDR Import'!C:C=C1434)),)"),"")</f>
        <v/>
      </c>
      <c r="I1434" s="58"/>
      <c r="J1434" s="59" t="str">
        <f t="shared" si="1"/>
        <v/>
      </c>
    </row>
    <row r="1435">
      <c r="A1435" s="55"/>
      <c r="B1435" s="60"/>
      <c r="C1435" s="55"/>
      <c r="D1435" s="54"/>
      <c r="E1435" s="55"/>
      <c r="F1435" s="62"/>
      <c r="G1435" s="57"/>
      <c r="H1435" s="58" t="str">
        <f>IFERROR(__xludf.DUMMYFUNCTION("iferror(if(A1435="""", ,filter('Playoff IDR Import'!D:D,'Playoff IDR Import'!A:A=A1435,'Playoff IDR Import'!C:C=C1435)),)"),"")</f>
        <v/>
      </c>
      <c r="I1435" s="58"/>
      <c r="J1435" s="59" t="str">
        <f t="shared" si="1"/>
        <v/>
      </c>
    </row>
    <row r="1436">
      <c r="A1436" s="55"/>
      <c r="B1436" s="60"/>
      <c r="C1436" s="55"/>
      <c r="D1436" s="54"/>
      <c r="E1436" s="55"/>
      <c r="F1436" s="62"/>
      <c r="G1436" s="57"/>
      <c r="H1436" s="58" t="str">
        <f>IFERROR(__xludf.DUMMYFUNCTION("iferror(if(A1436="""", ,filter('Playoff IDR Import'!D:D,'Playoff IDR Import'!A:A=A1436,'Playoff IDR Import'!C:C=C1436)),)"),"")</f>
        <v/>
      </c>
      <c r="I1436" s="58"/>
      <c r="J1436" s="59" t="str">
        <f t="shared" si="1"/>
        <v/>
      </c>
    </row>
    <row r="1437">
      <c r="A1437" s="55"/>
      <c r="B1437" s="60"/>
      <c r="C1437" s="55"/>
      <c r="D1437" s="54"/>
      <c r="E1437" s="55"/>
      <c r="F1437" s="62"/>
      <c r="G1437" s="57"/>
      <c r="H1437" s="58" t="str">
        <f>IFERROR(__xludf.DUMMYFUNCTION("iferror(if(A1437="""", ,filter('Playoff IDR Import'!D:D,'Playoff IDR Import'!A:A=A1437,'Playoff IDR Import'!C:C=C1437)),)"),"")</f>
        <v/>
      </c>
      <c r="I1437" s="58"/>
      <c r="J1437" s="59" t="str">
        <f t="shared" si="1"/>
        <v/>
      </c>
    </row>
    <row r="1438">
      <c r="A1438" s="55"/>
      <c r="B1438" s="60"/>
      <c r="C1438" s="55"/>
      <c r="D1438" s="54"/>
      <c r="E1438" s="55"/>
      <c r="F1438" s="62"/>
      <c r="G1438" s="57"/>
      <c r="H1438" s="58" t="str">
        <f>IFERROR(__xludf.DUMMYFUNCTION("iferror(if(A1438="""", ,filter('Playoff IDR Import'!D:D,'Playoff IDR Import'!A:A=A1438,'Playoff IDR Import'!C:C=C1438)),)"),"")</f>
        <v/>
      </c>
      <c r="I1438" s="58"/>
      <c r="J1438" s="59" t="str">
        <f t="shared" si="1"/>
        <v/>
      </c>
    </row>
    <row r="1439">
      <c r="A1439" s="55"/>
      <c r="B1439" s="60"/>
      <c r="C1439" s="55"/>
      <c r="D1439" s="54"/>
      <c r="E1439" s="55"/>
      <c r="F1439" s="62"/>
      <c r="G1439" s="57"/>
      <c r="H1439" s="58" t="str">
        <f>IFERROR(__xludf.DUMMYFUNCTION("iferror(if(A1439="""", ,filter('Playoff IDR Import'!D:D,'Playoff IDR Import'!A:A=A1439,'Playoff IDR Import'!C:C=C1439)),)"),"")</f>
        <v/>
      </c>
      <c r="I1439" s="58"/>
      <c r="J1439" s="59" t="str">
        <f t="shared" si="1"/>
        <v/>
      </c>
    </row>
    <row r="1440">
      <c r="A1440" s="55"/>
      <c r="B1440" s="60"/>
      <c r="C1440" s="55"/>
      <c r="D1440" s="54"/>
      <c r="E1440" s="55"/>
      <c r="F1440" s="62"/>
      <c r="G1440" s="57"/>
      <c r="H1440" s="58" t="str">
        <f>IFERROR(__xludf.DUMMYFUNCTION("iferror(if(A1440="""", ,filter('Playoff IDR Import'!D:D,'Playoff IDR Import'!A:A=A1440,'Playoff IDR Import'!C:C=C1440)),)"),"")</f>
        <v/>
      </c>
      <c r="I1440" s="58"/>
      <c r="J1440" s="59" t="str">
        <f t="shared" si="1"/>
        <v/>
      </c>
    </row>
    <row r="1441">
      <c r="A1441" s="55"/>
      <c r="B1441" s="60"/>
      <c r="C1441" s="55"/>
      <c r="D1441" s="54"/>
      <c r="E1441" s="55"/>
      <c r="F1441" s="62"/>
      <c r="G1441" s="57"/>
      <c r="H1441" s="58" t="str">
        <f>IFERROR(__xludf.DUMMYFUNCTION("iferror(if(A1441="""", ,filter('Playoff IDR Import'!D:D,'Playoff IDR Import'!A:A=A1441,'Playoff IDR Import'!C:C=C1441)),)"),"")</f>
        <v/>
      </c>
      <c r="I1441" s="58"/>
      <c r="J1441" s="59" t="str">
        <f t="shared" si="1"/>
        <v/>
      </c>
    </row>
    <row r="1442">
      <c r="A1442" s="55"/>
      <c r="B1442" s="60"/>
      <c r="C1442" s="55"/>
      <c r="D1442" s="54"/>
      <c r="E1442" s="55"/>
      <c r="F1442" s="62"/>
      <c r="G1442" s="57"/>
      <c r="H1442" s="58" t="str">
        <f>IFERROR(__xludf.DUMMYFUNCTION("iferror(if(A1442="""", ,filter('Playoff IDR Import'!D:D,'Playoff IDR Import'!A:A=A1442,'Playoff IDR Import'!C:C=C1442)),)"),"")</f>
        <v/>
      </c>
      <c r="I1442" s="58"/>
      <c r="J1442" s="59" t="str">
        <f t="shared" si="1"/>
        <v/>
      </c>
    </row>
    <row r="1443">
      <c r="A1443" s="55"/>
      <c r="B1443" s="60"/>
      <c r="C1443" s="55"/>
      <c r="D1443" s="54"/>
      <c r="E1443" s="55"/>
      <c r="F1443" s="62"/>
      <c r="G1443" s="57"/>
      <c r="H1443" s="58" t="str">
        <f>IFERROR(__xludf.DUMMYFUNCTION("iferror(if(A1443="""", ,filter('Playoff IDR Import'!D:D,'Playoff IDR Import'!A:A=A1443,'Playoff IDR Import'!C:C=C1443)),)"),"")</f>
        <v/>
      </c>
      <c r="I1443" s="58"/>
      <c r="J1443" s="59" t="str">
        <f t="shared" si="1"/>
        <v/>
      </c>
    </row>
    <row r="1444">
      <c r="A1444" s="55"/>
      <c r="B1444" s="60"/>
      <c r="C1444" s="55"/>
      <c r="D1444" s="54"/>
      <c r="E1444" s="55"/>
      <c r="F1444" s="62"/>
      <c r="G1444" s="57"/>
      <c r="H1444" s="58" t="str">
        <f>IFERROR(__xludf.DUMMYFUNCTION("iferror(if(A1444="""", ,filter('Playoff IDR Import'!D:D,'Playoff IDR Import'!A:A=A1444,'Playoff IDR Import'!C:C=C1444)),)"),"")</f>
        <v/>
      </c>
      <c r="I1444" s="58"/>
      <c r="J1444" s="59" t="str">
        <f t="shared" si="1"/>
        <v/>
      </c>
    </row>
    <row r="1445">
      <c r="A1445" s="55"/>
      <c r="B1445" s="60"/>
      <c r="C1445" s="55"/>
      <c r="D1445" s="54"/>
      <c r="E1445" s="55"/>
      <c r="F1445" s="62"/>
      <c r="G1445" s="57"/>
      <c r="H1445" s="58" t="str">
        <f>IFERROR(__xludf.DUMMYFUNCTION("iferror(if(A1445="""", ,filter('Playoff IDR Import'!D:D,'Playoff IDR Import'!A:A=A1445,'Playoff IDR Import'!C:C=C1445)),)"),"")</f>
        <v/>
      </c>
      <c r="I1445" s="58"/>
      <c r="J1445" s="59" t="str">
        <f t="shared" si="1"/>
        <v/>
      </c>
    </row>
    <row r="1446">
      <c r="A1446" s="55"/>
      <c r="B1446" s="60"/>
      <c r="C1446" s="55"/>
      <c r="D1446" s="54"/>
      <c r="E1446" s="55"/>
      <c r="F1446" s="62"/>
      <c r="G1446" s="57"/>
      <c r="H1446" s="58" t="str">
        <f>IFERROR(__xludf.DUMMYFUNCTION("iferror(if(A1446="""", ,filter('Playoff IDR Import'!D:D,'Playoff IDR Import'!A:A=A1446,'Playoff IDR Import'!C:C=C1446)),)"),"")</f>
        <v/>
      </c>
      <c r="I1446" s="58"/>
      <c r="J1446" s="59" t="str">
        <f t="shared" si="1"/>
        <v/>
      </c>
    </row>
    <row r="1447">
      <c r="A1447" s="55"/>
      <c r="B1447" s="60"/>
      <c r="C1447" s="55"/>
      <c r="D1447" s="54"/>
      <c r="E1447" s="55"/>
      <c r="F1447" s="62"/>
      <c r="G1447" s="57"/>
      <c r="H1447" s="58" t="str">
        <f>IFERROR(__xludf.DUMMYFUNCTION("iferror(if(A1447="""", ,filter('Playoff IDR Import'!D:D,'Playoff IDR Import'!A:A=A1447,'Playoff IDR Import'!C:C=C1447)),)"),"")</f>
        <v/>
      </c>
      <c r="I1447" s="58"/>
      <c r="J1447" s="59" t="str">
        <f t="shared" si="1"/>
        <v/>
      </c>
    </row>
    <row r="1448">
      <c r="A1448" s="55"/>
      <c r="B1448" s="60"/>
      <c r="C1448" s="55"/>
      <c r="D1448" s="54"/>
      <c r="E1448" s="55"/>
      <c r="F1448" s="62"/>
      <c r="G1448" s="57"/>
      <c r="H1448" s="58" t="str">
        <f>IFERROR(__xludf.DUMMYFUNCTION("iferror(if(A1448="""", ,filter('Playoff IDR Import'!D:D,'Playoff IDR Import'!A:A=A1448,'Playoff IDR Import'!C:C=C1448)),)"),"")</f>
        <v/>
      </c>
      <c r="I1448" s="58"/>
      <c r="J1448" s="59" t="str">
        <f t="shared" si="1"/>
        <v/>
      </c>
    </row>
    <row r="1449">
      <c r="A1449" s="55"/>
      <c r="B1449" s="60"/>
      <c r="C1449" s="55"/>
      <c r="D1449" s="54"/>
      <c r="E1449" s="55"/>
      <c r="F1449" s="62"/>
      <c r="G1449" s="57"/>
      <c r="H1449" s="58" t="str">
        <f>IFERROR(__xludf.DUMMYFUNCTION("iferror(if(A1449="""", ,filter('Playoff IDR Import'!D:D,'Playoff IDR Import'!A:A=A1449,'Playoff IDR Import'!C:C=C1449)),)"),"")</f>
        <v/>
      </c>
      <c r="I1449" s="58"/>
      <c r="J1449" s="59" t="str">
        <f t="shared" si="1"/>
        <v/>
      </c>
    </row>
    <row r="1450">
      <c r="A1450" s="55"/>
      <c r="B1450" s="60"/>
      <c r="C1450" s="55"/>
      <c r="D1450" s="54"/>
      <c r="E1450" s="55"/>
      <c r="F1450" s="62"/>
      <c r="G1450" s="57"/>
      <c r="H1450" s="58" t="str">
        <f>IFERROR(__xludf.DUMMYFUNCTION("iferror(if(A1450="""", ,filter('Playoff IDR Import'!D:D,'Playoff IDR Import'!A:A=A1450,'Playoff IDR Import'!C:C=C1450)),)"),"")</f>
        <v/>
      </c>
      <c r="I1450" s="58"/>
      <c r="J1450" s="59" t="str">
        <f t="shared" si="1"/>
        <v/>
      </c>
    </row>
    <row r="1451">
      <c r="A1451" s="55"/>
      <c r="B1451" s="60"/>
      <c r="C1451" s="55"/>
      <c r="D1451" s="54"/>
      <c r="E1451" s="55"/>
      <c r="F1451" s="62"/>
      <c r="G1451" s="57"/>
      <c r="H1451" s="58" t="str">
        <f>IFERROR(__xludf.DUMMYFUNCTION("iferror(if(A1451="""", ,filter('Playoff IDR Import'!D:D,'Playoff IDR Import'!A:A=A1451,'Playoff IDR Import'!C:C=C1451)),)"),"")</f>
        <v/>
      </c>
      <c r="I1451" s="58"/>
      <c r="J1451" s="59" t="str">
        <f t="shared" si="1"/>
        <v/>
      </c>
    </row>
    <row r="1452">
      <c r="A1452" s="55"/>
      <c r="B1452" s="60"/>
      <c r="C1452" s="55"/>
      <c r="D1452" s="54"/>
      <c r="E1452" s="55"/>
      <c r="F1452" s="62"/>
      <c r="G1452" s="57"/>
      <c r="H1452" s="58" t="str">
        <f>IFERROR(__xludf.DUMMYFUNCTION("iferror(if(A1452="""", ,filter('Playoff IDR Import'!D:D,'Playoff IDR Import'!A:A=A1452,'Playoff IDR Import'!C:C=C1452)),)"),"")</f>
        <v/>
      </c>
      <c r="I1452" s="58"/>
      <c r="J1452" s="59" t="str">
        <f t="shared" si="1"/>
        <v/>
      </c>
    </row>
    <row r="1453">
      <c r="A1453" s="55"/>
      <c r="B1453" s="60"/>
      <c r="C1453" s="55"/>
      <c r="D1453" s="54"/>
      <c r="E1453" s="55"/>
      <c r="F1453" s="62"/>
      <c r="G1453" s="57"/>
      <c r="H1453" s="58" t="str">
        <f>IFERROR(__xludf.DUMMYFUNCTION("iferror(if(A1453="""", ,filter('Playoff IDR Import'!D:D,'Playoff IDR Import'!A:A=A1453,'Playoff IDR Import'!C:C=C1453)),)"),"")</f>
        <v/>
      </c>
      <c r="I1453" s="58"/>
      <c r="J1453" s="59" t="str">
        <f t="shared" si="1"/>
        <v/>
      </c>
    </row>
    <row r="1454">
      <c r="A1454" s="55"/>
      <c r="B1454" s="60"/>
      <c r="C1454" s="55"/>
      <c r="D1454" s="54"/>
      <c r="E1454" s="55"/>
      <c r="F1454" s="62"/>
      <c r="G1454" s="57"/>
      <c r="H1454" s="58" t="str">
        <f>IFERROR(__xludf.DUMMYFUNCTION("iferror(if(A1454="""", ,filter('Playoff IDR Import'!D:D,'Playoff IDR Import'!A:A=A1454,'Playoff IDR Import'!C:C=C1454)),)"),"")</f>
        <v/>
      </c>
      <c r="I1454" s="58"/>
      <c r="J1454" s="59" t="str">
        <f t="shared" si="1"/>
        <v/>
      </c>
    </row>
    <row r="1455">
      <c r="A1455" s="55"/>
      <c r="B1455" s="60"/>
      <c r="C1455" s="55"/>
      <c r="D1455" s="54"/>
      <c r="E1455" s="55"/>
      <c r="F1455" s="62"/>
      <c r="G1455" s="57"/>
      <c r="H1455" s="58" t="str">
        <f>IFERROR(__xludf.DUMMYFUNCTION("iferror(if(A1455="""", ,filter('Playoff IDR Import'!D:D,'Playoff IDR Import'!A:A=A1455,'Playoff IDR Import'!C:C=C1455)),)"),"")</f>
        <v/>
      </c>
      <c r="I1455" s="58"/>
      <c r="J1455" s="59" t="str">
        <f t="shared" si="1"/>
        <v/>
      </c>
    </row>
    <row r="1456">
      <c r="A1456" s="55"/>
      <c r="B1456" s="60"/>
      <c r="C1456" s="55"/>
      <c r="D1456" s="54"/>
      <c r="E1456" s="55"/>
      <c r="F1456" s="62"/>
      <c r="G1456" s="57"/>
      <c r="H1456" s="58" t="str">
        <f>IFERROR(__xludf.DUMMYFUNCTION("iferror(if(A1456="""", ,filter('Playoff IDR Import'!D:D,'Playoff IDR Import'!A:A=A1456,'Playoff IDR Import'!C:C=C1456)),)"),"")</f>
        <v/>
      </c>
      <c r="I1456" s="58"/>
      <c r="J1456" s="59" t="str">
        <f t="shared" si="1"/>
        <v/>
      </c>
    </row>
    <row r="1457">
      <c r="A1457" s="55"/>
      <c r="B1457" s="60"/>
      <c r="C1457" s="55"/>
      <c r="D1457" s="54"/>
      <c r="E1457" s="55"/>
      <c r="F1457" s="62"/>
      <c r="G1457" s="57"/>
      <c r="H1457" s="58" t="str">
        <f>IFERROR(__xludf.DUMMYFUNCTION("iferror(if(A1457="""", ,filter('Playoff IDR Import'!D:D,'Playoff IDR Import'!A:A=A1457,'Playoff IDR Import'!C:C=C1457)),)"),"")</f>
        <v/>
      </c>
      <c r="I1457" s="58"/>
      <c r="J1457" s="59" t="str">
        <f t="shared" si="1"/>
        <v/>
      </c>
    </row>
    <row r="1458">
      <c r="A1458" s="55"/>
      <c r="B1458" s="60"/>
      <c r="C1458" s="55"/>
      <c r="D1458" s="54"/>
      <c r="E1458" s="55"/>
      <c r="F1458" s="62"/>
      <c r="G1458" s="57"/>
      <c r="H1458" s="58" t="str">
        <f>IFERROR(__xludf.DUMMYFUNCTION("iferror(if(A1458="""", ,filter('Playoff IDR Import'!D:D,'Playoff IDR Import'!A:A=A1458,'Playoff IDR Import'!C:C=C1458)),)"),"")</f>
        <v/>
      </c>
      <c r="I1458" s="58"/>
      <c r="J1458" s="59" t="str">
        <f t="shared" si="1"/>
        <v/>
      </c>
    </row>
    <row r="1459">
      <c r="A1459" s="55"/>
      <c r="B1459" s="60"/>
      <c r="C1459" s="55"/>
      <c r="D1459" s="54"/>
      <c r="E1459" s="55"/>
      <c r="F1459" s="62"/>
      <c r="G1459" s="57"/>
      <c r="H1459" s="58" t="str">
        <f>IFERROR(__xludf.DUMMYFUNCTION("iferror(if(A1459="""", ,filter('Playoff IDR Import'!D:D,'Playoff IDR Import'!A:A=A1459,'Playoff IDR Import'!C:C=C1459)),)"),"")</f>
        <v/>
      </c>
      <c r="I1459" s="58"/>
      <c r="J1459" s="59" t="str">
        <f t="shared" si="1"/>
        <v/>
      </c>
    </row>
    <row r="1460">
      <c r="A1460" s="55"/>
      <c r="B1460" s="60"/>
      <c r="C1460" s="55"/>
      <c r="D1460" s="54"/>
      <c r="E1460" s="55"/>
      <c r="F1460" s="62"/>
      <c r="G1460" s="57"/>
      <c r="H1460" s="58" t="str">
        <f>IFERROR(__xludf.DUMMYFUNCTION("iferror(if(A1460="""", ,filter('Playoff IDR Import'!D:D,'Playoff IDR Import'!A:A=A1460,'Playoff IDR Import'!C:C=C1460)),)"),"")</f>
        <v/>
      </c>
      <c r="I1460" s="58"/>
      <c r="J1460" s="59" t="str">
        <f t="shared" si="1"/>
        <v/>
      </c>
    </row>
    <row r="1461">
      <c r="A1461" s="55"/>
      <c r="B1461" s="60"/>
      <c r="C1461" s="55"/>
      <c r="D1461" s="54"/>
      <c r="E1461" s="55"/>
      <c r="F1461" s="62"/>
      <c r="G1461" s="57"/>
      <c r="H1461" s="58" t="str">
        <f>IFERROR(__xludf.DUMMYFUNCTION("iferror(if(A1461="""", ,filter('Playoff IDR Import'!D:D,'Playoff IDR Import'!A:A=A1461,'Playoff IDR Import'!C:C=C1461)),)"),"")</f>
        <v/>
      </c>
      <c r="I1461" s="58"/>
      <c r="J1461" s="59" t="str">
        <f t="shared" si="1"/>
        <v/>
      </c>
    </row>
    <row r="1462">
      <c r="A1462" s="55"/>
      <c r="B1462" s="60"/>
      <c r="C1462" s="55"/>
      <c r="D1462" s="54"/>
      <c r="E1462" s="55"/>
      <c r="F1462" s="62"/>
      <c r="G1462" s="57"/>
      <c r="H1462" s="58" t="str">
        <f>IFERROR(__xludf.DUMMYFUNCTION("iferror(if(A1462="""", ,filter('Playoff IDR Import'!D:D,'Playoff IDR Import'!A:A=A1462,'Playoff IDR Import'!C:C=C1462)),)"),"")</f>
        <v/>
      </c>
      <c r="I1462" s="58"/>
      <c r="J1462" s="59" t="str">
        <f t="shared" si="1"/>
        <v/>
      </c>
    </row>
    <row r="1463">
      <c r="A1463" s="55"/>
      <c r="B1463" s="60"/>
      <c r="C1463" s="55"/>
      <c r="D1463" s="54"/>
      <c r="E1463" s="55"/>
      <c r="F1463" s="62"/>
      <c r="G1463" s="57"/>
      <c r="H1463" s="58" t="str">
        <f>IFERROR(__xludf.DUMMYFUNCTION("iferror(if(A1463="""", ,filter('Playoff IDR Import'!D:D,'Playoff IDR Import'!A:A=A1463,'Playoff IDR Import'!C:C=C1463)),)"),"")</f>
        <v/>
      </c>
      <c r="I1463" s="58"/>
      <c r="J1463" s="59" t="str">
        <f t="shared" si="1"/>
        <v/>
      </c>
    </row>
    <row r="1464">
      <c r="A1464" s="55"/>
      <c r="B1464" s="60"/>
      <c r="C1464" s="55"/>
      <c r="D1464" s="54"/>
      <c r="E1464" s="55"/>
      <c r="F1464" s="62"/>
      <c r="G1464" s="57"/>
      <c r="H1464" s="58" t="str">
        <f>IFERROR(__xludf.DUMMYFUNCTION("iferror(if(A1464="""", ,filter('Playoff IDR Import'!D:D,'Playoff IDR Import'!A:A=A1464,'Playoff IDR Import'!C:C=C1464)),)"),"")</f>
        <v/>
      </c>
      <c r="I1464" s="58"/>
      <c r="J1464" s="59" t="str">
        <f t="shared" si="1"/>
        <v/>
      </c>
    </row>
    <row r="1465">
      <c r="A1465" s="55"/>
      <c r="B1465" s="60"/>
      <c r="C1465" s="55"/>
      <c r="D1465" s="54"/>
      <c r="E1465" s="55"/>
      <c r="F1465" s="62"/>
      <c r="G1465" s="57"/>
      <c r="H1465" s="58" t="str">
        <f>IFERROR(__xludf.DUMMYFUNCTION("iferror(if(A1465="""", ,filter('Playoff IDR Import'!D:D,'Playoff IDR Import'!A:A=A1465,'Playoff IDR Import'!C:C=C1465)),)"),"")</f>
        <v/>
      </c>
      <c r="I1465" s="58"/>
      <c r="J1465" s="59" t="str">
        <f t="shared" si="1"/>
        <v/>
      </c>
    </row>
    <row r="1466">
      <c r="A1466" s="55"/>
      <c r="B1466" s="60"/>
      <c r="C1466" s="55"/>
      <c r="D1466" s="54"/>
      <c r="E1466" s="55"/>
      <c r="F1466" s="62"/>
      <c r="G1466" s="57"/>
      <c r="H1466" s="58" t="str">
        <f>IFERROR(__xludf.DUMMYFUNCTION("iferror(if(A1466="""", ,filter('Playoff IDR Import'!D:D,'Playoff IDR Import'!A:A=A1466,'Playoff IDR Import'!C:C=C1466)),)"),"")</f>
        <v/>
      </c>
      <c r="I1466" s="58"/>
      <c r="J1466" s="59" t="str">
        <f t="shared" si="1"/>
        <v/>
      </c>
    </row>
    <row r="1467">
      <c r="A1467" s="55"/>
      <c r="B1467" s="60"/>
      <c r="C1467" s="55"/>
      <c r="D1467" s="54"/>
      <c r="E1467" s="55"/>
      <c r="F1467" s="62"/>
      <c r="G1467" s="57"/>
      <c r="H1467" s="58" t="str">
        <f>IFERROR(__xludf.DUMMYFUNCTION("iferror(if(A1467="""", ,filter('Playoff IDR Import'!D:D,'Playoff IDR Import'!A:A=A1467,'Playoff IDR Import'!C:C=C1467)),)"),"")</f>
        <v/>
      </c>
      <c r="I1467" s="58"/>
      <c r="J1467" s="59" t="str">
        <f t="shared" si="1"/>
        <v/>
      </c>
    </row>
    <row r="1468">
      <c r="A1468" s="55"/>
      <c r="B1468" s="60"/>
      <c r="C1468" s="55"/>
      <c r="D1468" s="54"/>
      <c r="E1468" s="55"/>
      <c r="F1468" s="62"/>
      <c r="G1468" s="57"/>
      <c r="H1468" s="58" t="str">
        <f>IFERROR(__xludf.DUMMYFUNCTION("iferror(if(A1468="""", ,filter('Playoff IDR Import'!D:D,'Playoff IDR Import'!A:A=A1468,'Playoff IDR Import'!C:C=C1468)),)"),"")</f>
        <v/>
      </c>
      <c r="I1468" s="58"/>
      <c r="J1468" s="59" t="str">
        <f t="shared" si="1"/>
        <v/>
      </c>
    </row>
    <row r="1469">
      <c r="A1469" s="55"/>
      <c r="B1469" s="60"/>
      <c r="C1469" s="55"/>
      <c r="D1469" s="54"/>
      <c r="E1469" s="55"/>
      <c r="F1469" s="62"/>
      <c r="G1469" s="57"/>
      <c r="H1469" s="58" t="str">
        <f>IFERROR(__xludf.DUMMYFUNCTION("iferror(if(A1469="""", ,filter('Playoff IDR Import'!D:D,'Playoff IDR Import'!A:A=A1469,'Playoff IDR Import'!C:C=C1469)),)"),"")</f>
        <v/>
      </c>
      <c r="I1469" s="58"/>
      <c r="J1469" s="59" t="str">
        <f t="shared" si="1"/>
        <v/>
      </c>
    </row>
    <row r="1470">
      <c r="A1470" s="55"/>
      <c r="B1470" s="60"/>
      <c r="C1470" s="55"/>
      <c r="D1470" s="54"/>
      <c r="E1470" s="55"/>
      <c r="F1470" s="62"/>
      <c r="G1470" s="57"/>
      <c r="H1470" s="58" t="str">
        <f>IFERROR(__xludf.DUMMYFUNCTION("iferror(if(A1470="""", ,filter('Playoff IDR Import'!D:D,'Playoff IDR Import'!A:A=A1470,'Playoff IDR Import'!C:C=C1470)),)"),"")</f>
        <v/>
      </c>
      <c r="I1470" s="58"/>
      <c r="J1470" s="59" t="str">
        <f t="shared" si="1"/>
        <v/>
      </c>
    </row>
    <row r="1471">
      <c r="A1471" s="55"/>
      <c r="B1471" s="60"/>
      <c r="C1471" s="55"/>
      <c r="D1471" s="54"/>
      <c r="E1471" s="55"/>
      <c r="F1471" s="62"/>
      <c r="G1471" s="57"/>
      <c r="H1471" s="58" t="str">
        <f>IFERROR(__xludf.DUMMYFUNCTION("iferror(if(A1471="""", ,filter('Playoff IDR Import'!D:D,'Playoff IDR Import'!A:A=A1471,'Playoff IDR Import'!C:C=C1471)),)"),"")</f>
        <v/>
      </c>
      <c r="I1471" s="58"/>
      <c r="J1471" s="59" t="str">
        <f t="shared" si="1"/>
        <v/>
      </c>
    </row>
    <row r="1472">
      <c r="A1472" s="55"/>
      <c r="B1472" s="60"/>
      <c r="C1472" s="55"/>
      <c r="D1472" s="54"/>
      <c r="E1472" s="55"/>
      <c r="F1472" s="62"/>
      <c r="G1472" s="57"/>
      <c r="H1472" s="58" t="str">
        <f>IFERROR(__xludf.DUMMYFUNCTION("iferror(if(A1472="""", ,filter('Playoff IDR Import'!D:D,'Playoff IDR Import'!A:A=A1472,'Playoff IDR Import'!C:C=C1472)),)"),"")</f>
        <v/>
      </c>
      <c r="I1472" s="58"/>
      <c r="J1472" s="59" t="str">
        <f t="shared" si="1"/>
        <v/>
      </c>
    </row>
    <row r="1473">
      <c r="A1473" s="55"/>
      <c r="B1473" s="60"/>
      <c r="C1473" s="55"/>
      <c r="D1473" s="54"/>
      <c r="E1473" s="55"/>
      <c r="F1473" s="62"/>
      <c r="G1473" s="57"/>
      <c r="H1473" s="58" t="str">
        <f>IFERROR(__xludf.DUMMYFUNCTION("iferror(if(A1473="""", ,filter('Playoff IDR Import'!D:D,'Playoff IDR Import'!A:A=A1473,'Playoff IDR Import'!C:C=C1473)),)"),"")</f>
        <v/>
      </c>
      <c r="I1473" s="58"/>
      <c r="J1473" s="59" t="str">
        <f t="shared" si="1"/>
        <v/>
      </c>
    </row>
    <row r="1474">
      <c r="A1474" s="55"/>
      <c r="B1474" s="60"/>
      <c r="C1474" s="55"/>
      <c r="D1474" s="54"/>
      <c r="E1474" s="55"/>
      <c r="F1474" s="62"/>
      <c r="G1474" s="57"/>
      <c r="H1474" s="58" t="str">
        <f>IFERROR(__xludf.DUMMYFUNCTION("iferror(if(A1474="""", ,filter('Playoff IDR Import'!D:D,'Playoff IDR Import'!A:A=A1474,'Playoff IDR Import'!C:C=C1474)),)"),"")</f>
        <v/>
      </c>
      <c r="I1474" s="58"/>
      <c r="J1474" s="59" t="str">
        <f t="shared" si="1"/>
        <v/>
      </c>
    </row>
    <row r="1475">
      <c r="A1475" s="55"/>
      <c r="B1475" s="60"/>
      <c r="C1475" s="55"/>
      <c r="D1475" s="54"/>
      <c r="E1475" s="55"/>
      <c r="F1475" s="62"/>
      <c r="G1475" s="57"/>
      <c r="H1475" s="58" t="str">
        <f>IFERROR(__xludf.DUMMYFUNCTION("iferror(if(A1475="""", ,filter('Playoff IDR Import'!D:D,'Playoff IDR Import'!A:A=A1475,'Playoff IDR Import'!C:C=C1475)),)"),"")</f>
        <v/>
      </c>
      <c r="I1475" s="58"/>
      <c r="J1475" s="59" t="str">
        <f t="shared" si="1"/>
        <v/>
      </c>
    </row>
    <row r="1476">
      <c r="A1476" s="55"/>
      <c r="B1476" s="60"/>
      <c r="C1476" s="55"/>
      <c r="D1476" s="54"/>
      <c r="E1476" s="55"/>
      <c r="F1476" s="62"/>
      <c r="G1476" s="57"/>
      <c r="H1476" s="58" t="str">
        <f>IFERROR(__xludf.DUMMYFUNCTION("iferror(if(A1476="""", ,filter('Playoff IDR Import'!D:D,'Playoff IDR Import'!A:A=A1476,'Playoff IDR Import'!C:C=C1476)),)"),"")</f>
        <v/>
      </c>
      <c r="I1476" s="58"/>
      <c r="J1476" s="59" t="str">
        <f t="shared" si="1"/>
        <v/>
      </c>
    </row>
    <row r="1477">
      <c r="A1477" s="55"/>
      <c r="B1477" s="60"/>
      <c r="C1477" s="55"/>
      <c r="D1477" s="54"/>
      <c r="E1477" s="55"/>
      <c r="F1477" s="62"/>
      <c r="G1477" s="57"/>
      <c r="H1477" s="58" t="str">
        <f>IFERROR(__xludf.DUMMYFUNCTION("iferror(if(A1477="""", ,filter('Playoff IDR Import'!D:D,'Playoff IDR Import'!A:A=A1477,'Playoff IDR Import'!C:C=C1477)),)"),"")</f>
        <v/>
      </c>
      <c r="I1477" s="58"/>
      <c r="J1477" s="59" t="str">
        <f t="shared" si="1"/>
        <v/>
      </c>
    </row>
    <row r="1478">
      <c r="A1478" s="55"/>
      <c r="B1478" s="60"/>
      <c r="C1478" s="55"/>
      <c r="D1478" s="54"/>
      <c r="E1478" s="55"/>
      <c r="F1478" s="62"/>
      <c r="G1478" s="57"/>
      <c r="H1478" s="58" t="str">
        <f>IFERROR(__xludf.DUMMYFUNCTION("iferror(if(A1478="""", ,filter('Playoff IDR Import'!D:D,'Playoff IDR Import'!A:A=A1478,'Playoff IDR Import'!C:C=C1478)),)"),"")</f>
        <v/>
      </c>
      <c r="I1478" s="58"/>
      <c r="J1478" s="59" t="str">
        <f t="shared" si="1"/>
        <v/>
      </c>
    </row>
    <row r="1479">
      <c r="A1479" s="55"/>
      <c r="B1479" s="60"/>
      <c r="C1479" s="55"/>
      <c r="D1479" s="54"/>
      <c r="E1479" s="55"/>
      <c r="F1479" s="62"/>
      <c r="G1479" s="57"/>
      <c r="H1479" s="58" t="str">
        <f>IFERROR(__xludf.DUMMYFUNCTION("iferror(if(A1479="""", ,filter('Playoff IDR Import'!D:D,'Playoff IDR Import'!A:A=A1479,'Playoff IDR Import'!C:C=C1479)),)"),"")</f>
        <v/>
      </c>
      <c r="I1479" s="58"/>
      <c r="J1479" s="59" t="str">
        <f t="shared" si="1"/>
        <v/>
      </c>
    </row>
    <row r="1480">
      <c r="A1480" s="55"/>
      <c r="B1480" s="60"/>
      <c r="C1480" s="55"/>
      <c r="D1480" s="54"/>
      <c r="E1480" s="55"/>
      <c r="F1480" s="62"/>
      <c r="G1480" s="57"/>
      <c r="H1480" s="58" t="str">
        <f>IFERROR(__xludf.DUMMYFUNCTION("iferror(if(A1480="""", ,filter('Playoff IDR Import'!D:D,'Playoff IDR Import'!A:A=A1480,'Playoff IDR Import'!C:C=C1480)),)"),"")</f>
        <v/>
      </c>
      <c r="I1480" s="58"/>
      <c r="J1480" s="59" t="str">
        <f t="shared" si="1"/>
        <v/>
      </c>
    </row>
    <row r="1481">
      <c r="A1481" s="55"/>
      <c r="B1481" s="60"/>
      <c r="C1481" s="55"/>
      <c r="D1481" s="54"/>
      <c r="E1481" s="55"/>
      <c r="F1481" s="62"/>
      <c r="G1481" s="57"/>
      <c r="H1481" s="58" t="str">
        <f>IFERROR(__xludf.DUMMYFUNCTION("iferror(if(A1481="""", ,filter('Playoff IDR Import'!D:D,'Playoff IDR Import'!A:A=A1481,'Playoff IDR Import'!C:C=C1481)),)"),"")</f>
        <v/>
      </c>
      <c r="I1481" s="58"/>
      <c r="J1481" s="59" t="str">
        <f t="shared" si="1"/>
        <v/>
      </c>
    </row>
    <row r="1482">
      <c r="A1482" s="55"/>
      <c r="B1482" s="60"/>
      <c r="C1482" s="55"/>
      <c r="D1482" s="54"/>
      <c r="E1482" s="55"/>
      <c r="F1482" s="62"/>
      <c r="G1482" s="57"/>
      <c r="H1482" s="58" t="str">
        <f>IFERROR(__xludf.DUMMYFUNCTION("iferror(if(A1482="""", ,filter('Playoff IDR Import'!D:D,'Playoff IDR Import'!A:A=A1482,'Playoff IDR Import'!C:C=C1482)),)"),"")</f>
        <v/>
      </c>
      <c r="I1482" s="58"/>
      <c r="J1482" s="59" t="str">
        <f t="shared" si="1"/>
        <v/>
      </c>
    </row>
    <row r="1483">
      <c r="A1483" s="55"/>
      <c r="B1483" s="60"/>
      <c r="C1483" s="55"/>
      <c r="D1483" s="54"/>
      <c r="E1483" s="55"/>
      <c r="F1483" s="62"/>
      <c r="G1483" s="57"/>
      <c r="H1483" s="58" t="str">
        <f>IFERROR(__xludf.DUMMYFUNCTION("iferror(if(A1483="""", ,filter('Playoff IDR Import'!D:D,'Playoff IDR Import'!A:A=A1483,'Playoff IDR Import'!C:C=C1483)),)"),"")</f>
        <v/>
      </c>
      <c r="I1483" s="58"/>
      <c r="J1483" s="59" t="str">
        <f t="shared" si="1"/>
        <v/>
      </c>
    </row>
    <row r="1484">
      <c r="A1484" s="55"/>
      <c r="B1484" s="60"/>
      <c r="C1484" s="55"/>
      <c r="D1484" s="54"/>
      <c r="E1484" s="55"/>
      <c r="F1484" s="62"/>
      <c r="G1484" s="57"/>
      <c r="H1484" s="58" t="str">
        <f>IFERROR(__xludf.DUMMYFUNCTION("iferror(if(A1484="""", ,filter('Playoff IDR Import'!D:D,'Playoff IDR Import'!A:A=A1484,'Playoff IDR Import'!C:C=C1484)),)"),"")</f>
        <v/>
      </c>
      <c r="I1484" s="58"/>
      <c r="J1484" s="59" t="str">
        <f t="shared" si="1"/>
        <v/>
      </c>
    </row>
    <row r="1485">
      <c r="A1485" s="55"/>
      <c r="B1485" s="60"/>
      <c r="C1485" s="55"/>
      <c r="D1485" s="54"/>
      <c r="E1485" s="55"/>
      <c r="F1485" s="62"/>
      <c r="G1485" s="57"/>
      <c r="H1485" s="58" t="str">
        <f>IFERROR(__xludf.DUMMYFUNCTION("iferror(if(A1485="""", ,filter('Playoff IDR Import'!D:D,'Playoff IDR Import'!A:A=A1485,'Playoff IDR Import'!C:C=C1485)),)"),"")</f>
        <v/>
      </c>
      <c r="I1485" s="58"/>
      <c r="J1485" s="59" t="str">
        <f t="shared" si="1"/>
        <v/>
      </c>
    </row>
    <row r="1486">
      <c r="A1486" s="55"/>
      <c r="B1486" s="60"/>
      <c r="C1486" s="55"/>
      <c r="D1486" s="54"/>
      <c r="E1486" s="55"/>
      <c r="F1486" s="62"/>
      <c r="G1486" s="57"/>
      <c r="H1486" s="58" t="str">
        <f>IFERROR(__xludf.DUMMYFUNCTION("iferror(if(A1486="""", ,filter('Playoff IDR Import'!D:D,'Playoff IDR Import'!A:A=A1486,'Playoff IDR Import'!C:C=C1486)),)"),"")</f>
        <v/>
      </c>
      <c r="I1486" s="58"/>
      <c r="J1486" s="59" t="str">
        <f t="shared" si="1"/>
        <v/>
      </c>
    </row>
    <row r="1487">
      <c r="A1487" s="55"/>
      <c r="B1487" s="60"/>
      <c r="C1487" s="55"/>
      <c r="D1487" s="54"/>
      <c r="E1487" s="55"/>
      <c r="F1487" s="62"/>
      <c r="G1487" s="57"/>
      <c r="H1487" s="58" t="str">
        <f>IFERROR(__xludf.DUMMYFUNCTION("iferror(if(A1487="""", ,filter('Playoff IDR Import'!D:D,'Playoff IDR Import'!A:A=A1487,'Playoff IDR Import'!C:C=C1487)),)"),"")</f>
        <v/>
      </c>
      <c r="I1487" s="58"/>
      <c r="J1487" s="59" t="str">
        <f t="shared" si="1"/>
        <v/>
      </c>
    </row>
    <row r="1488">
      <c r="A1488" s="55"/>
      <c r="B1488" s="60"/>
      <c r="C1488" s="55"/>
      <c r="D1488" s="54"/>
      <c r="E1488" s="55"/>
      <c r="F1488" s="62"/>
      <c r="G1488" s="57"/>
      <c r="H1488" s="58" t="str">
        <f>IFERROR(__xludf.DUMMYFUNCTION("iferror(if(A1488="""", ,filter('Playoff IDR Import'!D:D,'Playoff IDR Import'!A:A=A1488,'Playoff IDR Import'!C:C=C1488)),)"),"")</f>
        <v/>
      </c>
      <c r="I1488" s="58"/>
      <c r="J1488" s="59" t="str">
        <f t="shared" si="1"/>
        <v/>
      </c>
    </row>
    <row r="1489">
      <c r="A1489" s="55"/>
      <c r="B1489" s="60"/>
      <c r="C1489" s="55"/>
      <c r="D1489" s="54"/>
      <c r="E1489" s="55"/>
      <c r="F1489" s="62"/>
      <c r="G1489" s="57"/>
      <c r="H1489" s="58" t="str">
        <f>IFERROR(__xludf.DUMMYFUNCTION("iferror(if(A1489="""", ,filter('Playoff IDR Import'!D:D,'Playoff IDR Import'!A:A=A1489,'Playoff IDR Import'!C:C=C1489)),)"),"")</f>
        <v/>
      </c>
      <c r="I1489" s="58"/>
      <c r="J1489" s="59" t="str">
        <f t="shared" si="1"/>
        <v/>
      </c>
    </row>
    <row r="1490">
      <c r="A1490" s="55"/>
      <c r="B1490" s="60"/>
      <c r="C1490" s="55"/>
      <c r="D1490" s="54"/>
      <c r="E1490" s="55"/>
      <c r="F1490" s="62"/>
      <c r="G1490" s="57"/>
      <c r="H1490" s="58" t="str">
        <f>IFERROR(__xludf.DUMMYFUNCTION("iferror(if(A1490="""", ,filter('Playoff IDR Import'!D:D,'Playoff IDR Import'!A:A=A1490,'Playoff IDR Import'!C:C=C1490)),)"),"")</f>
        <v/>
      </c>
      <c r="I1490" s="58"/>
      <c r="J1490" s="59" t="str">
        <f t="shared" si="1"/>
        <v/>
      </c>
    </row>
    <row r="1491">
      <c r="A1491" s="55"/>
      <c r="B1491" s="60"/>
      <c r="C1491" s="55"/>
      <c r="D1491" s="54"/>
      <c r="E1491" s="55"/>
      <c r="F1491" s="62"/>
      <c r="G1491" s="57"/>
      <c r="H1491" s="58" t="str">
        <f>IFERROR(__xludf.DUMMYFUNCTION("iferror(if(A1491="""", ,filter('Playoff IDR Import'!D:D,'Playoff IDR Import'!A:A=A1491,'Playoff IDR Import'!C:C=C1491)),)"),"")</f>
        <v/>
      </c>
      <c r="I1491" s="58"/>
      <c r="J1491" s="59" t="str">
        <f t="shared" si="1"/>
        <v/>
      </c>
    </row>
    <row r="1492">
      <c r="A1492" s="55"/>
      <c r="B1492" s="60"/>
      <c r="C1492" s="55"/>
      <c r="D1492" s="54"/>
      <c r="E1492" s="55"/>
      <c r="F1492" s="62"/>
      <c r="G1492" s="57"/>
      <c r="H1492" s="58" t="str">
        <f>IFERROR(__xludf.DUMMYFUNCTION("iferror(if(A1492="""", ,filter('Playoff IDR Import'!D:D,'Playoff IDR Import'!A:A=A1492,'Playoff IDR Import'!C:C=C1492)),)"),"")</f>
        <v/>
      </c>
      <c r="I1492" s="58"/>
      <c r="J1492" s="59" t="str">
        <f t="shared" si="1"/>
        <v/>
      </c>
    </row>
    <row r="1493">
      <c r="A1493" s="55"/>
      <c r="B1493" s="60"/>
      <c r="C1493" s="55"/>
      <c r="D1493" s="54"/>
      <c r="E1493" s="55"/>
      <c r="F1493" s="62"/>
      <c r="G1493" s="57"/>
      <c r="H1493" s="58" t="str">
        <f>IFERROR(__xludf.DUMMYFUNCTION("iferror(if(A1493="""", ,filter('Playoff IDR Import'!D:D,'Playoff IDR Import'!A:A=A1493,'Playoff IDR Import'!C:C=C1493)),)"),"")</f>
        <v/>
      </c>
      <c r="I1493" s="58"/>
      <c r="J1493" s="59" t="str">
        <f t="shared" si="1"/>
        <v/>
      </c>
    </row>
    <row r="1494">
      <c r="A1494" s="55"/>
      <c r="B1494" s="60"/>
      <c r="C1494" s="55"/>
      <c r="D1494" s="54"/>
      <c r="E1494" s="55"/>
      <c r="F1494" s="62"/>
      <c r="G1494" s="57"/>
      <c r="H1494" s="58" t="str">
        <f>IFERROR(__xludf.DUMMYFUNCTION("iferror(if(A1494="""", ,filter('Playoff IDR Import'!D:D,'Playoff IDR Import'!A:A=A1494,'Playoff IDR Import'!C:C=C1494)),)"),"")</f>
        <v/>
      </c>
      <c r="I1494" s="58"/>
      <c r="J1494" s="59" t="str">
        <f t="shared" si="1"/>
        <v/>
      </c>
    </row>
    <row r="1495">
      <c r="A1495" s="55"/>
      <c r="B1495" s="60"/>
      <c r="C1495" s="55"/>
      <c r="D1495" s="54"/>
      <c r="E1495" s="55"/>
      <c r="F1495" s="62"/>
      <c r="G1495" s="57"/>
      <c r="H1495" s="58" t="str">
        <f>IFERROR(__xludf.DUMMYFUNCTION("iferror(if(A1495="""", ,filter('Playoff IDR Import'!D:D,'Playoff IDR Import'!A:A=A1495,'Playoff IDR Import'!C:C=C1495)),)"),"")</f>
        <v/>
      </c>
      <c r="I1495" s="58"/>
      <c r="J1495" s="59" t="str">
        <f t="shared" si="1"/>
        <v/>
      </c>
    </row>
    <row r="1496">
      <c r="A1496" s="55"/>
      <c r="B1496" s="60"/>
      <c r="C1496" s="55"/>
      <c r="D1496" s="54"/>
      <c r="E1496" s="55"/>
      <c r="F1496" s="62"/>
      <c r="G1496" s="57"/>
      <c r="H1496" s="58" t="str">
        <f>IFERROR(__xludf.DUMMYFUNCTION("iferror(if(A1496="""", ,filter('Playoff IDR Import'!D:D,'Playoff IDR Import'!A:A=A1496,'Playoff IDR Import'!C:C=C1496)),)"),"")</f>
        <v/>
      </c>
      <c r="I1496" s="58"/>
      <c r="J1496" s="59" t="str">
        <f t="shared" si="1"/>
        <v/>
      </c>
    </row>
    <row r="1497">
      <c r="A1497" s="55"/>
      <c r="B1497" s="60"/>
      <c r="C1497" s="55"/>
      <c r="D1497" s="54"/>
      <c r="E1497" s="55"/>
      <c r="F1497" s="62"/>
      <c r="G1497" s="57"/>
      <c r="H1497" s="58" t="str">
        <f>IFERROR(__xludf.DUMMYFUNCTION("iferror(if(A1497="""", ,filter('Playoff IDR Import'!D:D,'Playoff IDR Import'!A:A=A1497,'Playoff IDR Import'!C:C=C1497)),)"),"")</f>
        <v/>
      </c>
      <c r="I1497" s="58"/>
      <c r="J1497" s="59" t="str">
        <f t="shared" si="1"/>
        <v/>
      </c>
    </row>
    <row r="1498">
      <c r="A1498" s="55"/>
      <c r="B1498" s="60"/>
      <c r="C1498" s="55"/>
      <c r="D1498" s="54"/>
      <c r="E1498" s="55"/>
      <c r="F1498" s="62"/>
      <c r="G1498" s="57"/>
      <c r="H1498" s="58" t="str">
        <f>IFERROR(__xludf.DUMMYFUNCTION("iferror(if(A1498="""", ,filter('Playoff IDR Import'!D:D,'Playoff IDR Import'!A:A=A1498,'Playoff IDR Import'!C:C=C1498)),)"),"")</f>
        <v/>
      </c>
      <c r="I1498" s="58"/>
      <c r="J1498" s="59" t="str">
        <f t="shared" si="1"/>
        <v/>
      </c>
    </row>
    <row r="1499">
      <c r="A1499" s="55"/>
      <c r="B1499" s="60"/>
      <c r="C1499" s="55"/>
      <c r="D1499" s="54"/>
      <c r="E1499" s="55"/>
      <c r="F1499" s="62"/>
      <c r="G1499" s="57"/>
      <c r="H1499" s="58" t="str">
        <f>IFERROR(__xludf.DUMMYFUNCTION("iferror(if(A1499="""", ,filter('Playoff IDR Import'!D:D,'Playoff IDR Import'!A:A=A1499,'Playoff IDR Import'!C:C=C1499)),)"),"")</f>
        <v/>
      </c>
      <c r="I1499" s="58"/>
      <c r="J1499" s="59" t="str">
        <f t="shared" si="1"/>
        <v/>
      </c>
    </row>
    <row r="1500">
      <c r="A1500" s="55"/>
      <c r="B1500" s="60"/>
      <c r="C1500" s="55"/>
      <c r="D1500" s="54"/>
      <c r="E1500" s="55"/>
      <c r="F1500" s="62"/>
      <c r="G1500" s="57"/>
      <c r="H1500" s="58" t="str">
        <f>IFERROR(__xludf.DUMMYFUNCTION("iferror(if(A1500="""", ,filter('Playoff IDR Import'!D:D,'Playoff IDR Import'!A:A=A1500,'Playoff IDR Import'!C:C=C1500)),)"),"")</f>
        <v/>
      </c>
      <c r="I1500" s="58"/>
      <c r="J1500" s="59" t="str">
        <f t="shared" si="1"/>
        <v/>
      </c>
    </row>
    <row r="1501">
      <c r="A1501" s="55"/>
      <c r="B1501" s="60"/>
      <c r="C1501" s="55"/>
      <c r="D1501" s="54"/>
      <c r="E1501" s="55"/>
      <c r="F1501" s="62"/>
      <c r="G1501" s="57"/>
      <c r="H1501" s="58" t="str">
        <f>IFERROR(__xludf.DUMMYFUNCTION("iferror(if(A1501="""", ,filter('Playoff IDR Import'!D:D,'Playoff IDR Import'!A:A=A1501,'Playoff IDR Import'!C:C=C1501)),)"),"")</f>
        <v/>
      </c>
      <c r="I1501" s="58"/>
      <c r="J1501" s="59" t="str">
        <f t="shared" si="1"/>
        <v/>
      </c>
    </row>
  </sheetData>
  <conditionalFormatting sqref="I1:I1501">
    <cfRule type="colorScale" priority="1">
      <colorScale>
        <cfvo type="min"/>
        <cfvo type="formula" val="50"/>
        <cfvo type="max"/>
        <color rgb="FFE67C73"/>
        <color rgb="FFCCCCCC"/>
        <color rgb="FF57BB8A"/>
      </colorScale>
    </cfRule>
  </conditionalFormatting>
  <conditionalFormatting sqref="H1:H1501">
    <cfRule type="colorScale" priority="2">
      <colorScale>
        <cfvo type="min"/>
        <cfvo type="formula" val="50"/>
        <cfvo type="max"/>
        <color rgb="FFE67C73"/>
        <color rgb="FFCCCCCC"/>
        <color rgb="FF57BB8A"/>
      </colorScale>
    </cfRule>
  </conditionalFormatting>
  <conditionalFormatting sqref="F1:F1501">
    <cfRule type="colorScale" priority="3">
      <colorScale>
        <cfvo type="min"/>
        <cfvo type="formula" val="50"/>
        <cfvo type="max"/>
        <color rgb="FFE67C73"/>
        <color rgb="FFCCCCCC"/>
        <color rgb="FF57BB8A"/>
      </colorScale>
    </cfRule>
  </conditionalFormatting>
  <conditionalFormatting sqref="A1:D1501">
    <cfRule type="expression" dxfId="3" priority="4">
      <formula>$C1="Amateur"</formula>
    </cfRule>
  </conditionalFormatting>
  <conditionalFormatting sqref="J1:J1501">
    <cfRule type="colorScale" priority="5">
      <colorScale>
        <cfvo type="min"/>
        <cfvo type="percent" val="50"/>
        <cfvo type="max"/>
        <color rgb="FFE67C73"/>
        <color rgb="FFCCCCCC"/>
        <color rgb="FF57BB8A"/>
      </colorScale>
    </cfRule>
  </conditionalFormatting>
  <conditionalFormatting sqref="A1:D1501">
    <cfRule type="expression" dxfId="4" priority="6">
      <formula>$C1="Contender"</formula>
    </cfRule>
  </conditionalFormatting>
  <conditionalFormatting sqref="A1:D1501">
    <cfRule type="expression" dxfId="5" priority="7">
      <formula>$C1="Prospect"</formula>
    </cfRule>
  </conditionalFormatting>
  <conditionalFormatting sqref="A1:D1501">
    <cfRule type="expression" dxfId="6" priority="8">
      <formula>$C1="Challenger"</formula>
    </cfRule>
  </conditionalFormatting>
  <conditionalFormatting sqref="A1:D1501">
    <cfRule type="expression" dxfId="7" priority="9">
      <formula>$C1="Rival"</formula>
    </cfRule>
  </conditionalFormatting>
  <conditionalFormatting sqref="A1:D1501">
    <cfRule type="expression" dxfId="8" priority="10">
      <formula>$C1="Veteran"</formula>
    </cfRule>
  </conditionalFormatting>
  <conditionalFormatting sqref="A1:D1501">
    <cfRule type="expression" dxfId="9" priority="11">
      <formula>$C1="Elite"</formula>
    </cfRule>
  </conditionalFormatting>
  <conditionalFormatting sqref="A1:D1501">
    <cfRule type="expression" dxfId="10" priority="12">
      <formula>$C1="Master"</formula>
    </cfRule>
  </conditionalFormatting>
  <conditionalFormatting sqref="A1:D1501">
    <cfRule type="expression" dxfId="11" priority="13">
      <formula>$C1="Premier"</formula>
    </cfRule>
  </conditionalFormatting>
  <conditionalFormatting sqref="A1:J1501">
    <cfRule type="containsBlanks" dxfId="12" priority="14">
      <formula>LEN(TRIM(A1))=0</formula>
    </cfRule>
  </conditionalFormatting>
  <conditionalFormatting sqref="E1:E1501">
    <cfRule type="cellIs" dxfId="10" priority="15" operator="equal">
      <formula>"Lunar"</formula>
    </cfRule>
  </conditionalFormatting>
  <conditionalFormatting sqref="E1:E1501">
    <cfRule type="cellIs" dxfId="6" priority="16" operator="equal">
      <formula>"Solar"</formula>
    </cfRule>
  </conditionalFormatting>
  <conditionalFormatting sqref="E1:E1501">
    <cfRule type="cellIs" dxfId="14" priority="17" operator="equal">
      <formula>"N/A"</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t="s">
        <v>61</v>
      </c>
      <c r="B1" s="44" t="s">
        <v>877</v>
      </c>
      <c r="C1" s="42" t="s">
        <v>5</v>
      </c>
      <c r="D1" s="45" t="s">
        <v>19</v>
      </c>
      <c r="E1" s="42" t="s">
        <v>23</v>
      </c>
    </row>
    <row r="2">
      <c r="A2" s="55" t="str">
        <f>IFERROR(__xludf.DUMMYFUNCTION("sort(query(importrange(Variables!B3,""Playoff IDR View!A6:I""),""select Col2, Col3, Col1, Col5, Col9""),3,true,4,false)"),"")</f>
        <v/>
      </c>
      <c r="B2" s="53"/>
      <c r="C2" s="51"/>
      <c r="D2" s="65"/>
      <c r="E2" s="66"/>
    </row>
    <row r="3">
      <c r="A3" s="55"/>
      <c r="B3" s="60"/>
      <c r="C3" s="55"/>
      <c r="D3" s="65"/>
      <c r="E3" s="66"/>
    </row>
    <row r="4">
      <c r="A4" s="55"/>
      <c r="B4" s="60"/>
      <c r="C4" s="55"/>
      <c r="D4" s="65"/>
      <c r="E4" s="66"/>
    </row>
    <row r="5">
      <c r="A5" s="55"/>
      <c r="B5" s="60"/>
      <c r="C5" s="55"/>
      <c r="D5" s="65"/>
      <c r="E5" s="66"/>
    </row>
    <row r="6">
      <c r="A6" s="55"/>
      <c r="B6" s="60"/>
      <c r="C6" s="55"/>
      <c r="D6" s="65"/>
      <c r="E6" s="66"/>
    </row>
    <row r="7">
      <c r="A7" s="55"/>
      <c r="B7" s="60"/>
      <c r="C7" s="55"/>
      <c r="D7" s="65"/>
      <c r="E7" s="66"/>
    </row>
    <row r="8">
      <c r="A8" s="55"/>
      <c r="B8" s="60"/>
      <c r="C8" s="55"/>
      <c r="D8" s="65"/>
      <c r="E8" s="66"/>
    </row>
    <row r="9">
      <c r="A9" s="55"/>
      <c r="B9" s="60"/>
      <c r="C9" s="55"/>
      <c r="D9" s="65"/>
      <c r="E9" s="66"/>
    </row>
    <row r="10">
      <c r="A10" s="55"/>
      <c r="B10" s="60"/>
      <c r="C10" s="55"/>
      <c r="D10" s="65"/>
      <c r="E10" s="66"/>
    </row>
    <row r="11">
      <c r="A11" s="55"/>
      <c r="B11" s="60"/>
      <c r="C11" s="55"/>
      <c r="D11" s="65"/>
      <c r="E11" s="66"/>
    </row>
    <row r="12">
      <c r="A12" s="55"/>
      <c r="B12" s="60"/>
      <c r="C12" s="55"/>
      <c r="D12" s="65"/>
      <c r="E12" s="66"/>
    </row>
    <row r="13">
      <c r="A13" s="55"/>
      <c r="B13" s="60"/>
      <c r="C13" s="55"/>
      <c r="D13" s="65"/>
      <c r="E13" s="66"/>
    </row>
    <row r="14">
      <c r="A14" s="55"/>
      <c r="B14" s="60"/>
      <c r="C14" s="55"/>
      <c r="D14" s="65"/>
      <c r="E14" s="66"/>
    </row>
    <row r="15">
      <c r="A15" s="55"/>
      <c r="B15" s="60"/>
      <c r="C15" s="55"/>
      <c r="D15" s="65"/>
      <c r="E15" s="66"/>
    </row>
    <row r="16">
      <c r="A16" s="55"/>
      <c r="B16" s="60"/>
      <c r="C16" s="55"/>
      <c r="D16" s="65"/>
      <c r="E16" s="66"/>
    </row>
    <row r="17">
      <c r="A17" s="55"/>
      <c r="B17" s="60"/>
      <c r="C17" s="55"/>
      <c r="D17" s="65"/>
      <c r="E17" s="66"/>
    </row>
    <row r="18">
      <c r="A18" s="55"/>
      <c r="B18" s="60"/>
      <c r="C18" s="55"/>
      <c r="D18" s="65"/>
      <c r="E18" s="66"/>
    </row>
    <row r="19">
      <c r="A19" s="55"/>
      <c r="B19" s="60"/>
      <c r="C19" s="55"/>
      <c r="D19" s="65"/>
      <c r="E19" s="66"/>
    </row>
    <row r="20">
      <c r="A20" s="55"/>
      <c r="B20" s="60"/>
      <c r="C20" s="55"/>
      <c r="D20" s="65"/>
      <c r="E20" s="66"/>
    </row>
    <row r="21">
      <c r="A21" s="55"/>
      <c r="B21" s="60"/>
      <c r="C21" s="55"/>
      <c r="D21" s="65"/>
      <c r="E21" s="66"/>
    </row>
    <row r="22">
      <c r="A22" s="55"/>
      <c r="B22" s="60"/>
      <c r="C22" s="55"/>
      <c r="D22" s="65"/>
      <c r="E22" s="66"/>
    </row>
    <row r="23">
      <c r="A23" s="55"/>
      <c r="B23" s="60"/>
      <c r="C23" s="55"/>
      <c r="D23" s="65"/>
      <c r="E23" s="66"/>
    </row>
    <row r="24">
      <c r="A24" s="55"/>
      <c r="B24" s="60"/>
      <c r="C24" s="55"/>
      <c r="D24" s="65"/>
      <c r="E24" s="66"/>
    </row>
    <row r="25">
      <c r="A25" s="55"/>
      <c r="B25" s="60"/>
      <c r="C25" s="55"/>
      <c r="D25" s="65"/>
      <c r="E25" s="66"/>
    </row>
    <row r="26">
      <c r="A26" s="55"/>
      <c r="B26" s="60"/>
      <c r="C26" s="55"/>
      <c r="D26" s="65"/>
      <c r="E26" s="66"/>
    </row>
    <row r="27">
      <c r="A27" s="55"/>
      <c r="B27" s="60"/>
      <c r="C27" s="55"/>
      <c r="D27" s="65"/>
      <c r="E27" s="66"/>
    </row>
    <row r="28">
      <c r="A28" s="55"/>
      <c r="B28" s="60"/>
      <c r="C28" s="55"/>
      <c r="D28" s="65"/>
      <c r="E28" s="66"/>
    </row>
    <row r="29">
      <c r="A29" s="55"/>
      <c r="B29" s="60"/>
      <c r="C29" s="55"/>
      <c r="D29" s="65"/>
      <c r="E29" s="66"/>
    </row>
    <row r="30">
      <c r="A30" s="55"/>
      <c r="B30" s="60"/>
      <c r="C30" s="55"/>
      <c r="D30" s="65"/>
      <c r="E30" s="66"/>
    </row>
    <row r="31">
      <c r="A31" s="55"/>
      <c r="B31" s="60"/>
      <c r="C31" s="55"/>
      <c r="D31" s="65"/>
      <c r="E31" s="66"/>
    </row>
    <row r="32">
      <c r="A32" s="55"/>
      <c r="B32" s="60"/>
      <c r="C32" s="55"/>
      <c r="D32" s="65"/>
      <c r="E32" s="66"/>
    </row>
    <row r="33">
      <c r="A33" s="55"/>
      <c r="B33" s="60"/>
      <c r="C33" s="55"/>
      <c r="D33" s="65"/>
      <c r="E33" s="66"/>
    </row>
    <row r="34">
      <c r="A34" s="55"/>
      <c r="B34" s="60"/>
      <c r="C34" s="55"/>
      <c r="D34" s="65"/>
      <c r="E34" s="66"/>
    </row>
    <row r="35">
      <c r="A35" s="55"/>
      <c r="B35" s="60"/>
      <c r="C35" s="55"/>
      <c r="D35" s="65"/>
      <c r="E35" s="66"/>
    </row>
    <row r="36">
      <c r="A36" s="55"/>
      <c r="B36" s="60"/>
      <c r="C36" s="55"/>
      <c r="D36" s="65"/>
      <c r="E36" s="66"/>
    </row>
    <row r="37">
      <c r="A37" s="55"/>
      <c r="B37" s="60"/>
      <c r="C37" s="55"/>
      <c r="D37" s="65"/>
      <c r="E37" s="66"/>
    </row>
    <row r="38">
      <c r="A38" s="55"/>
      <c r="B38" s="60"/>
      <c r="C38" s="55"/>
      <c r="D38" s="65"/>
      <c r="E38" s="66"/>
    </row>
    <row r="39">
      <c r="A39" s="55"/>
      <c r="B39" s="60"/>
      <c r="C39" s="55"/>
      <c r="D39" s="65"/>
      <c r="E39" s="66"/>
    </row>
    <row r="40">
      <c r="A40" s="55"/>
      <c r="B40" s="60"/>
      <c r="C40" s="55"/>
      <c r="D40" s="65"/>
      <c r="E40" s="66"/>
    </row>
    <row r="41">
      <c r="A41" s="55"/>
      <c r="B41" s="60"/>
      <c r="C41" s="55"/>
      <c r="D41" s="65"/>
      <c r="E41" s="66"/>
    </row>
    <row r="42">
      <c r="A42" s="55"/>
      <c r="B42" s="60"/>
      <c r="C42" s="55"/>
      <c r="D42" s="65"/>
      <c r="E42" s="66"/>
    </row>
    <row r="43">
      <c r="A43" s="55"/>
      <c r="B43" s="60"/>
      <c r="C43" s="55"/>
      <c r="D43" s="65"/>
      <c r="E43" s="66"/>
    </row>
    <row r="44">
      <c r="A44" s="55"/>
      <c r="B44" s="60"/>
      <c r="C44" s="55"/>
      <c r="D44" s="65"/>
      <c r="E44" s="66"/>
    </row>
    <row r="45">
      <c r="A45" s="55"/>
      <c r="B45" s="60"/>
      <c r="C45" s="55"/>
      <c r="D45" s="65"/>
      <c r="E45" s="66"/>
    </row>
    <row r="46">
      <c r="A46" s="55"/>
      <c r="B46" s="60"/>
      <c r="C46" s="55"/>
      <c r="D46" s="65"/>
      <c r="E46" s="66"/>
    </row>
    <row r="47">
      <c r="A47" s="55"/>
      <c r="B47" s="60"/>
      <c r="C47" s="55"/>
      <c r="D47" s="65"/>
      <c r="E47" s="66"/>
    </row>
    <row r="48">
      <c r="A48" s="55"/>
      <c r="B48" s="60"/>
      <c r="C48" s="55"/>
      <c r="D48" s="65"/>
      <c r="E48" s="66"/>
    </row>
    <row r="49">
      <c r="A49" s="55"/>
      <c r="B49" s="60"/>
      <c r="C49" s="55"/>
      <c r="D49" s="65"/>
      <c r="E49" s="66"/>
    </row>
    <row r="50">
      <c r="A50" s="55"/>
      <c r="B50" s="60"/>
      <c r="C50" s="55"/>
      <c r="D50" s="65"/>
      <c r="E50" s="66"/>
    </row>
    <row r="51">
      <c r="A51" s="55"/>
      <c r="B51" s="60"/>
      <c r="C51" s="55"/>
      <c r="D51" s="65"/>
      <c r="E51" s="66"/>
    </row>
    <row r="52">
      <c r="A52" s="55"/>
      <c r="B52" s="60"/>
      <c r="C52" s="55"/>
      <c r="D52" s="65"/>
      <c r="E52" s="66"/>
    </row>
    <row r="53">
      <c r="A53" s="55"/>
      <c r="B53" s="60"/>
      <c r="C53" s="55"/>
      <c r="D53" s="65"/>
      <c r="E53" s="66"/>
    </row>
    <row r="54">
      <c r="A54" s="55"/>
      <c r="B54" s="60"/>
      <c r="C54" s="55"/>
      <c r="D54" s="65"/>
      <c r="E54" s="66"/>
    </row>
    <row r="55">
      <c r="A55" s="55"/>
      <c r="B55" s="60"/>
      <c r="C55" s="55"/>
      <c r="D55" s="65"/>
      <c r="E55" s="66"/>
    </row>
    <row r="56">
      <c r="A56" s="55"/>
      <c r="B56" s="60"/>
      <c r="C56" s="55"/>
      <c r="D56" s="65"/>
      <c r="E56" s="66"/>
    </row>
    <row r="57">
      <c r="A57" s="55"/>
      <c r="B57" s="60"/>
      <c r="C57" s="55"/>
      <c r="D57" s="65"/>
      <c r="E57" s="66"/>
    </row>
    <row r="58">
      <c r="A58" s="55"/>
      <c r="B58" s="60"/>
      <c r="C58" s="55"/>
      <c r="D58" s="65"/>
      <c r="E58" s="66"/>
    </row>
    <row r="59">
      <c r="A59" s="55"/>
      <c r="B59" s="60"/>
      <c r="C59" s="55"/>
      <c r="D59" s="65"/>
      <c r="E59" s="66"/>
    </row>
    <row r="60">
      <c r="A60" s="55"/>
      <c r="B60" s="60"/>
      <c r="C60" s="55"/>
      <c r="D60" s="65"/>
      <c r="E60" s="66"/>
    </row>
    <row r="61">
      <c r="A61" s="55"/>
      <c r="B61" s="60"/>
      <c r="C61" s="55"/>
      <c r="D61" s="65"/>
      <c r="E61" s="66"/>
    </row>
    <row r="62">
      <c r="A62" s="55"/>
      <c r="B62" s="60"/>
      <c r="C62" s="55"/>
      <c r="D62" s="65"/>
      <c r="E62" s="66"/>
    </row>
    <row r="63">
      <c r="A63" s="55"/>
      <c r="B63" s="60"/>
      <c r="C63" s="55"/>
      <c r="D63" s="65"/>
      <c r="E63" s="66"/>
    </row>
    <row r="64">
      <c r="A64" s="55"/>
      <c r="B64" s="60"/>
      <c r="C64" s="55"/>
      <c r="D64" s="65"/>
      <c r="E64" s="66"/>
    </row>
    <row r="65">
      <c r="A65" s="55"/>
      <c r="B65" s="60"/>
      <c r="C65" s="55"/>
      <c r="D65" s="65"/>
      <c r="E65" s="66"/>
    </row>
    <row r="66">
      <c r="A66" s="55"/>
      <c r="B66" s="60"/>
      <c r="C66" s="55"/>
      <c r="D66" s="65"/>
      <c r="E66" s="66"/>
    </row>
    <row r="67">
      <c r="A67" s="55"/>
      <c r="B67" s="60"/>
      <c r="C67" s="55"/>
      <c r="D67" s="65"/>
      <c r="E67" s="66"/>
    </row>
    <row r="68">
      <c r="A68" s="55"/>
      <c r="B68" s="60"/>
      <c r="C68" s="55"/>
      <c r="D68" s="65"/>
      <c r="E68" s="66"/>
    </row>
    <row r="69">
      <c r="A69" s="55"/>
      <c r="B69" s="60"/>
      <c r="C69" s="55"/>
      <c r="D69" s="65"/>
      <c r="E69" s="66"/>
    </row>
    <row r="70">
      <c r="A70" s="55"/>
      <c r="B70" s="60"/>
      <c r="C70" s="55"/>
      <c r="D70" s="65"/>
      <c r="E70" s="66"/>
    </row>
    <row r="71">
      <c r="A71" s="55"/>
      <c r="B71" s="60"/>
      <c r="C71" s="55"/>
      <c r="D71" s="65"/>
      <c r="E71" s="66"/>
    </row>
    <row r="72">
      <c r="A72" s="55"/>
      <c r="B72" s="60"/>
      <c r="C72" s="55"/>
      <c r="D72" s="65"/>
      <c r="E72" s="66"/>
    </row>
    <row r="73">
      <c r="A73" s="55"/>
      <c r="B73" s="60"/>
      <c r="C73" s="55"/>
      <c r="D73" s="65"/>
      <c r="E73" s="66"/>
    </row>
    <row r="74">
      <c r="A74" s="55"/>
      <c r="B74" s="60"/>
      <c r="C74" s="55"/>
      <c r="D74" s="65"/>
      <c r="E74" s="66"/>
    </row>
    <row r="75">
      <c r="A75" s="55"/>
      <c r="B75" s="60"/>
      <c r="C75" s="55"/>
      <c r="D75" s="65"/>
      <c r="E75" s="66"/>
    </row>
    <row r="76">
      <c r="A76" s="55"/>
      <c r="B76" s="60"/>
      <c r="C76" s="55"/>
      <c r="D76" s="65"/>
      <c r="E76" s="66"/>
    </row>
    <row r="77">
      <c r="A77" s="55"/>
      <c r="B77" s="60"/>
      <c r="C77" s="55"/>
      <c r="D77" s="65"/>
      <c r="E77" s="66"/>
    </row>
    <row r="78">
      <c r="A78" s="55"/>
      <c r="B78" s="60"/>
      <c r="C78" s="55"/>
      <c r="D78" s="65"/>
      <c r="E78" s="66"/>
    </row>
    <row r="79">
      <c r="A79" s="55"/>
      <c r="B79" s="60"/>
      <c r="C79" s="55"/>
      <c r="D79" s="65"/>
      <c r="E79" s="66"/>
    </row>
    <row r="80">
      <c r="A80" s="55"/>
      <c r="B80" s="60"/>
      <c r="C80" s="55"/>
      <c r="D80" s="65"/>
      <c r="E80" s="66"/>
    </row>
    <row r="81">
      <c r="A81" s="55"/>
      <c r="B81" s="60"/>
      <c r="C81" s="55"/>
      <c r="D81" s="65"/>
      <c r="E81" s="66"/>
    </row>
    <row r="82">
      <c r="A82" s="55"/>
      <c r="B82" s="60"/>
      <c r="C82" s="55"/>
      <c r="D82" s="65"/>
      <c r="E82" s="66"/>
    </row>
    <row r="83">
      <c r="A83" s="55"/>
      <c r="B83" s="60"/>
      <c r="C83" s="55"/>
      <c r="D83" s="65"/>
      <c r="E83" s="66"/>
    </row>
    <row r="84">
      <c r="A84" s="55"/>
      <c r="B84" s="60"/>
      <c r="C84" s="55"/>
      <c r="D84" s="65"/>
      <c r="E84" s="66"/>
    </row>
    <row r="85">
      <c r="A85" s="55"/>
      <c r="B85" s="60"/>
      <c r="C85" s="55"/>
      <c r="D85" s="65"/>
      <c r="E85" s="66"/>
    </row>
    <row r="86">
      <c r="A86" s="55"/>
      <c r="B86" s="60"/>
      <c r="C86" s="55"/>
      <c r="D86" s="65"/>
      <c r="E86" s="66"/>
    </row>
    <row r="87">
      <c r="A87" s="55"/>
      <c r="B87" s="60"/>
      <c r="C87" s="55"/>
      <c r="D87" s="65"/>
      <c r="E87" s="66"/>
    </row>
    <row r="88">
      <c r="A88" s="55"/>
      <c r="B88" s="60"/>
      <c r="C88" s="55"/>
      <c r="D88" s="65"/>
      <c r="E88" s="66"/>
    </row>
    <row r="89">
      <c r="A89" s="55"/>
      <c r="B89" s="60"/>
      <c r="C89" s="55"/>
      <c r="D89" s="65"/>
      <c r="E89" s="66"/>
    </row>
    <row r="90">
      <c r="A90" s="55"/>
      <c r="B90" s="60"/>
      <c r="C90" s="55"/>
      <c r="D90" s="65"/>
      <c r="E90" s="66"/>
    </row>
    <row r="91">
      <c r="A91" s="55"/>
      <c r="B91" s="60"/>
      <c r="C91" s="55"/>
      <c r="D91" s="65"/>
      <c r="E91" s="66"/>
    </row>
    <row r="92">
      <c r="A92" s="55"/>
      <c r="B92" s="60"/>
      <c r="C92" s="55"/>
      <c r="D92" s="65"/>
      <c r="E92" s="66"/>
    </row>
    <row r="93">
      <c r="A93" s="55"/>
      <c r="B93" s="60"/>
      <c r="C93" s="55"/>
      <c r="D93" s="65"/>
      <c r="E93" s="66"/>
    </row>
    <row r="94">
      <c r="A94" s="55"/>
      <c r="B94" s="60"/>
      <c r="C94" s="55"/>
      <c r="D94" s="65"/>
      <c r="E94" s="66"/>
    </row>
    <row r="95">
      <c r="A95" s="55"/>
      <c r="B95" s="60"/>
      <c r="C95" s="55"/>
      <c r="D95" s="65"/>
      <c r="E95" s="66"/>
    </row>
    <row r="96">
      <c r="A96" s="55"/>
      <c r="B96" s="60"/>
      <c r="C96" s="55"/>
      <c r="D96" s="65"/>
      <c r="E96" s="66"/>
    </row>
    <row r="97">
      <c r="A97" s="55"/>
      <c r="B97" s="60"/>
      <c r="C97" s="55"/>
      <c r="D97" s="65"/>
      <c r="E97" s="66"/>
    </row>
    <row r="98">
      <c r="A98" s="55"/>
      <c r="B98" s="60"/>
      <c r="C98" s="55"/>
      <c r="D98" s="65"/>
      <c r="E98" s="66"/>
    </row>
    <row r="99">
      <c r="A99" s="55"/>
      <c r="B99" s="60"/>
      <c r="C99" s="55"/>
      <c r="D99" s="65"/>
      <c r="E99" s="66"/>
    </row>
    <row r="100">
      <c r="A100" s="55"/>
      <c r="B100" s="60"/>
      <c r="C100" s="55"/>
      <c r="D100" s="65"/>
      <c r="E100" s="66"/>
    </row>
    <row r="101">
      <c r="A101" s="55"/>
      <c r="B101" s="60"/>
      <c r="C101" s="55"/>
      <c r="D101" s="65"/>
      <c r="E101" s="66"/>
    </row>
    <row r="102">
      <c r="A102" s="55"/>
      <c r="B102" s="60"/>
      <c r="C102" s="55"/>
      <c r="D102" s="65"/>
      <c r="E102" s="66"/>
    </row>
    <row r="103">
      <c r="A103" s="55"/>
      <c r="B103" s="60"/>
      <c r="C103" s="55"/>
      <c r="D103" s="65"/>
      <c r="E103" s="66"/>
    </row>
    <row r="104">
      <c r="A104" s="55"/>
      <c r="B104" s="60"/>
      <c r="C104" s="55"/>
      <c r="D104" s="65"/>
      <c r="E104" s="66"/>
    </row>
    <row r="105">
      <c r="A105" s="55"/>
      <c r="B105" s="60"/>
      <c r="C105" s="55"/>
      <c r="D105" s="65"/>
      <c r="E105" s="66"/>
    </row>
    <row r="106">
      <c r="A106" s="55"/>
      <c r="B106" s="60"/>
      <c r="C106" s="55"/>
      <c r="D106" s="65"/>
      <c r="E106" s="66"/>
    </row>
    <row r="107">
      <c r="A107" s="55"/>
      <c r="B107" s="60"/>
      <c r="C107" s="55"/>
      <c r="D107" s="65"/>
      <c r="E107" s="66"/>
    </row>
    <row r="108">
      <c r="A108" s="55"/>
      <c r="B108" s="60"/>
      <c r="C108" s="55"/>
      <c r="D108" s="65"/>
      <c r="E108" s="66"/>
    </row>
    <row r="109">
      <c r="A109" s="55"/>
      <c r="B109" s="60"/>
      <c r="C109" s="55"/>
      <c r="D109" s="65"/>
      <c r="E109" s="66"/>
    </row>
    <row r="110">
      <c r="A110" s="55"/>
      <c r="B110" s="60"/>
      <c r="C110" s="55"/>
      <c r="D110" s="65"/>
      <c r="E110" s="66"/>
    </row>
    <row r="111">
      <c r="A111" s="55"/>
      <c r="B111" s="60"/>
      <c r="C111" s="55"/>
      <c r="D111" s="65"/>
      <c r="E111" s="66"/>
    </row>
    <row r="112">
      <c r="A112" s="55"/>
      <c r="B112" s="60"/>
      <c r="C112" s="55"/>
      <c r="D112" s="65"/>
      <c r="E112" s="66"/>
    </row>
    <row r="113">
      <c r="A113" s="55"/>
      <c r="B113" s="60"/>
      <c r="C113" s="55"/>
      <c r="D113" s="65"/>
      <c r="E113" s="66"/>
    </row>
    <row r="114">
      <c r="A114" s="55"/>
      <c r="B114" s="60"/>
      <c r="C114" s="55"/>
      <c r="D114" s="65"/>
      <c r="E114" s="66"/>
    </row>
    <row r="115">
      <c r="A115" s="55"/>
      <c r="B115" s="60"/>
      <c r="C115" s="55"/>
      <c r="D115" s="65"/>
      <c r="E115" s="66"/>
    </row>
    <row r="116">
      <c r="A116" s="55"/>
      <c r="B116" s="60"/>
      <c r="C116" s="55"/>
      <c r="D116" s="65"/>
      <c r="E116" s="66"/>
    </row>
    <row r="117">
      <c r="A117" s="55"/>
      <c r="B117" s="60"/>
      <c r="C117" s="55"/>
      <c r="D117" s="65"/>
      <c r="E117" s="66"/>
    </row>
    <row r="118">
      <c r="A118" s="55"/>
      <c r="B118" s="60"/>
      <c r="C118" s="55"/>
      <c r="D118" s="65"/>
      <c r="E118" s="66"/>
    </row>
    <row r="119">
      <c r="A119" s="55"/>
      <c r="B119" s="60"/>
      <c r="C119" s="55"/>
      <c r="D119" s="65"/>
      <c r="E119" s="66"/>
    </row>
    <row r="120">
      <c r="A120" s="55"/>
      <c r="B120" s="60"/>
      <c r="C120" s="55"/>
      <c r="D120" s="65"/>
      <c r="E120" s="66"/>
    </row>
    <row r="121">
      <c r="A121" s="55"/>
      <c r="B121" s="60"/>
      <c r="C121" s="55"/>
      <c r="D121" s="65"/>
      <c r="E121" s="66"/>
    </row>
    <row r="122">
      <c r="A122" s="55"/>
      <c r="B122" s="60"/>
      <c r="C122" s="55"/>
      <c r="D122" s="65"/>
      <c r="E122" s="66"/>
    </row>
    <row r="123">
      <c r="A123" s="55"/>
      <c r="B123" s="60"/>
      <c r="C123" s="55"/>
      <c r="D123" s="65"/>
      <c r="E123" s="66"/>
    </row>
    <row r="124">
      <c r="A124" s="55"/>
      <c r="B124" s="60"/>
      <c r="C124" s="55"/>
      <c r="D124" s="65"/>
      <c r="E124" s="66"/>
    </row>
    <row r="125">
      <c r="A125" s="55"/>
      <c r="B125" s="60"/>
      <c r="C125" s="55"/>
      <c r="D125" s="65"/>
      <c r="E125" s="66"/>
    </row>
    <row r="126">
      <c r="A126" s="55"/>
      <c r="B126" s="60"/>
      <c r="C126" s="55"/>
      <c r="D126" s="65"/>
      <c r="E126" s="66"/>
    </row>
    <row r="127">
      <c r="A127" s="55"/>
      <c r="B127" s="60"/>
      <c r="C127" s="55"/>
      <c r="D127" s="65"/>
      <c r="E127" s="66"/>
    </row>
    <row r="128">
      <c r="A128" s="55"/>
      <c r="B128" s="60"/>
      <c r="C128" s="55"/>
      <c r="D128" s="65"/>
      <c r="E128" s="66"/>
    </row>
    <row r="129">
      <c r="A129" s="55"/>
      <c r="B129" s="60"/>
      <c r="C129" s="55"/>
      <c r="D129" s="65"/>
      <c r="E129" s="66"/>
    </row>
    <row r="130">
      <c r="A130" s="55"/>
      <c r="B130" s="60"/>
      <c r="C130" s="55"/>
      <c r="D130" s="65"/>
      <c r="E130" s="66"/>
    </row>
    <row r="131">
      <c r="A131" s="55"/>
      <c r="B131" s="60"/>
      <c r="C131" s="55"/>
      <c r="D131" s="65"/>
      <c r="E131" s="66"/>
    </row>
    <row r="132">
      <c r="A132" s="55"/>
      <c r="B132" s="60"/>
      <c r="C132" s="55"/>
      <c r="D132" s="65"/>
      <c r="E132" s="66"/>
    </row>
    <row r="133">
      <c r="A133" s="55"/>
      <c r="B133" s="60"/>
      <c r="C133" s="55"/>
      <c r="D133" s="65"/>
      <c r="E133" s="66"/>
    </row>
    <row r="134">
      <c r="A134" s="55"/>
      <c r="B134" s="60"/>
      <c r="C134" s="55"/>
      <c r="D134" s="65"/>
      <c r="E134" s="66"/>
    </row>
    <row r="135">
      <c r="A135" s="55"/>
      <c r="B135" s="60"/>
      <c r="C135" s="55"/>
      <c r="D135" s="65"/>
      <c r="E135" s="66"/>
    </row>
    <row r="136">
      <c r="A136" s="55"/>
      <c r="B136" s="60"/>
      <c r="C136" s="55"/>
      <c r="D136" s="65"/>
      <c r="E136" s="66"/>
    </row>
    <row r="137">
      <c r="A137" s="55"/>
      <c r="B137" s="60"/>
      <c r="C137" s="55"/>
      <c r="D137" s="65"/>
      <c r="E137" s="66"/>
    </row>
    <row r="138">
      <c r="A138" s="55"/>
      <c r="B138" s="60"/>
      <c r="C138" s="55"/>
      <c r="D138" s="65"/>
      <c r="E138" s="66"/>
    </row>
    <row r="139">
      <c r="A139" s="55"/>
      <c r="B139" s="60"/>
      <c r="C139" s="55"/>
      <c r="D139" s="65"/>
      <c r="E139" s="66"/>
    </row>
    <row r="140">
      <c r="A140" s="55"/>
      <c r="B140" s="60"/>
      <c r="C140" s="55"/>
      <c r="D140" s="65"/>
      <c r="E140" s="66"/>
    </row>
    <row r="141">
      <c r="A141" s="55"/>
      <c r="B141" s="60"/>
      <c r="C141" s="55"/>
      <c r="D141" s="65"/>
      <c r="E141" s="66"/>
    </row>
    <row r="142">
      <c r="A142" s="55"/>
      <c r="B142" s="60"/>
      <c r="C142" s="55"/>
      <c r="D142" s="65"/>
      <c r="E142" s="66"/>
    </row>
    <row r="143">
      <c r="A143" s="55"/>
      <c r="B143" s="60"/>
      <c r="C143" s="55"/>
      <c r="D143" s="65"/>
      <c r="E143" s="66"/>
    </row>
    <row r="144">
      <c r="A144" s="55"/>
      <c r="B144" s="60"/>
      <c r="C144" s="55"/>
      <c r="D144" s="65"/>
      <c r="E144" s="66"/>
    </row>
    <row r="145">
      <c r="A145" s="55"/>
      <c r="B145" s="60"/>
      <c r="C145" s="55"/>
      <c r="D145" s="65"/>
      <c r="E145" s="66"/>
    </row>
    <row r="146">
      <c r="A146" s="55"/>
      <c r="B146" s="60"/>
      <c r="C146" s="55"/>
      <c r="D146" s="65"/>
      <c r="E146" s="66"/>
    </row>
    <row r="147">
      <c r="A147" s="55"/>
      <c r="B147" s="60"/>
      <c r="C147" s="55"/>
      <c r="D147" s="65"/>
      <c r="E147" s="66"/>
    </row>
    <row r="148">
      <c r="A148" s="55"/>
      <c r="B148" s="60"/>
      <c r="C148" s="55"/>
      <c r="D148" s="65"/>
      <c r="E148" s="66"/>
    </row>
    <row r="149">
      <c r="A149" s="55"/>
      <c r="B149" s="60"/>
      <c r="C149" s="55"/>
      <c r="D149" s="65"/>
      <c r="E149" s="66"/>
    </row>
    <row r="150">
      <c r="A150" s="55"/>
      <c r="B150" s="60"/>
      <c r="C150" s="55"/>
      <c r="D150" s="65"/>
      <c r="E150" s="66"/>
    </row>
    <row r="151">
      <c r="A151" s="55"/>
      <c r="B151" s="60"/>
      <c r="C151" s="55"/>
      <c r="D151" s="65"/>
      <c r="E151" s="66"/>
    </row>
    <row r="152">
      <c r="A152" s="55"/>
      <c r="B152" s="60"/>
      <c r="C152" s="55"/>
      <c r="D152" s="65"/>
      <c r="E152" s="66"/>
    </row>
    <row r="153">
      <c r="A153" s="55"/>
      <c r="B153" s="60"/>
      <c r="C153" s="55"/>
      <c r="D153" s="65"/>
      <c r="E153" s="66"/>
    </row>
    <row r="154">
      <c r="A154" s="55"/>
      <c r="B154" s="60"/>
      <c r="C154" s="55"/>
      <c r="D154" s="65"/>
      <c r="E154" s="66"/>
    </row>
    <row r="155">
      <c r="A155" s="55"/>
      <c r="B155" s="60"/>
      <c r="C155" s="55"/>
      <c r="D155" s="65"/>
      <c r="E155" s="66"/>
    </row>
    <row r="156">
      <c r="A156" s="55"/>
      <c r="B156" s="60"/>
      <c r="C156" s="55"/>
      <c r="D156" s="65"/>
      <c r="E156" s="66"/>
    </row>
    <row r="157">
      <c r="A157" s="55"/>
      <c r="B157" s="60"/>
      <c r="C157" s="55"/>
      <c r="D157" s="65"/>
      <c r="E157" s="66"/>
    </row>
    <row r="158">
      <c r="A158" s="55"/>
      <c r="B158" s="60"/>
      <c r="C158" s="55"/>
      <c r="D158" s="65"/>
      <c r="E158" s="66"/>
    </row>
    <row r="159">
      <c r="A159" s="55"/>
      <c r="B159" s="60"/>
      <c r="C159" s="55"/>
      <c r="D159" s="65"/>
      <c r="E159" s="66"/>
    </row>
    <row r="160">
      <c r="A160" s="55"/>
      <c r="B160" s="60"/>
      <c r="C160" s="55"/>
      <c r="D160" s="65"/>
      <c r="E160" s="66"/>
    </row>
    <row r="161">
      <c r="A161" s="55"/>
      <c r="B161" s="60"/>
      <c r="C161" s="55"/>
      <c r="D161" s="65"/>
      <c r="E161" s="66"/>
    </row>
    <row r="162">
      <c r="A162" s="55"/>
      <c r="B162" s="60"/>
      <c r="C162" s="55"/>
      <c r="D162" s="65"/>
      <c r="E162" s="66"/>
    </row>
    <row r="163">
      <c r="A163" s="55"/>
      <c r="B163" s="60"/>
      <c r="C163" s="55"/>
      <c r="D163" s="65"/>
      <c r="E163" s="66"/>
    </row>
    <row r="164">
      <c r="A164" s="55"/>
      <c r="B164" s="60"/>
      <c r="C164" s="55"/>
      <c r="D164" s="65"/>
      <c r="E164" s="66"/>
    </row>
    <row r="165">
      <c r="A165" s="55"/>
      <c r="B165" s="60"/>
      <c r="C165" s="55"/>
      <c r="D165" s="65"/>
      <c r="E165" s="66"/>
    </row>
    <row r="166">
      <c r="A166" s="55"/>
      <c r="B166" s="60"/>
      <c r="C166" s="55"/>
      <c r="D166" s="65"/>
      <c r="E166" s="66"/>
    </row>
    <row r="167">
      <c r="A167" s="55"/>
      <c r="B167" s="60"/>
      <c r="C167" s="55"/>
      <c r="D167" s="65"/>
      <c r="E167" s="66"/>
    </row>
    <row r="168">
      <c r="A168" s="55"/>
      <c r="B168" s="60"/>
      <c r="C168" s="55"/>
      <c r="D168" s="65"/>
      <c r="E168" s="66"/>
    </row>
    <row r="169">
      <c r="A169" s="55"/>
      <c r="B169" s="60"/>
      <c r="C169" s="55"/>
      <c r="D169" s="65"/>
      <c r="E169" s="66"/>
    </row>
    <row r="170">
      <c r="A170" s="55"/>
      <c r="B170" s="60"/>
      <c r="C170" s="55"/>
      <c r="D170" s="65"/>
      <c r="E170" s="66"/>
    </row>
    <row r="171">
      <c r="A171" s="55"/>
      <c r="B171" s="60"/>
      <c r="C171" s="55"/>
      <c r="D171" s="65"/>
      <c r="E171" s="66"/>
    </row>
    <row r="172">
      <c r="A172" s="55"/>
      <c r="B172" s="60"/>
      <c r="C172" s="55"/>
      <c r="D172" s="65"/>
      <c r="E172" s="66"/>
    </row>
    <row r="173">
      <c r="A173" s="55"/>
      <c r="B173" s="60"/>
      <c r="C173" s="55"/>
      <c r="D173" s="65"/>
      <c r="E173" s="66"/>
    </row>
    <row r="174">
      <c r="A174" s="55"/>
      <c r="B174" s="60"/>
      <c r="C174" s="55"/>
      <c r="D174" s="65"/>
      <c r="E174" s="66"/>
    </row>
    <row r="175">
      <c r="A175" s="55"/>
      <c r="B175" s="60"/>
      <c r="C175" s="55"/>
      <c r="D175" s="65"/>
      <c r="E175" s="66"/>
    </row>
    <row r="176">
      <c r="A176" s="55"/>
      <c r="B176" s="60"/>
      <c r="C176" s="55"/>
      <c r="D176" s="65"/>
      <c r="E176" s="66"/>
    </row>
    <row r="177">
      <c r="A177" s="55"/>
      <c r="B177" s="60"/>
      <c r="C177" s="55"/>
      <c r="D177" s="65"/>
      <c r="E177" s="66"/>
    </row>
    <row r="178">
      <c r="A178" s="55"/>
      <c r="B178" s="60"/>
      <c r="C178" s="55"/>
      <c r="D178" s="65"/>
      <c r="E178" s="66"/>
    </row>
    <row r="179">
      <c r="A179" s="55"/>
      <c r="B179" s="60"/>
      <c r="C179" s="55"/>
      <c r="D179" s="65"/>
      <c r="E179" s="66"/>
    </row>
    <row r="180">
      <c r="A180" s="55"/>
      <c r="B180" s="60"/>
      <c r="C180" s="55"/>
      <c r="D180" s="65"/>
      <c r="E180" s="66"/>
    </row>
    <row r="181">
      <c r="A181" s="55"/>
      <c r="B181" s="60"/>
      <c r="C181" s="55"/>
      <c r="D181" s="65"/>
      <c r="E181" s="66"/>
    </row>
    <row r="182">
      <c r="A182" s="55"/>
      <c r="B182" s="60"/>
      <c r="C182" s="55"/>
      <c r="D182" s="65"/>
      <c r="E182" s="66"/>
    </row>
    <row r="183">
      <c r="A183" s="55"/>
      <c r="B183" s="60"/>
      <c r="C183" s="55"/>
      <c r="D183" s="65"/>
      <c r="E183" s="66"/>
    </row>
    <row r="184">
      <c r="A184" s="55"/>
      <c r="B184" s="60"/>
      <c r="C184" s="55"/>
      <c r="D184" s="65"/>
      <c r="E184" s="66"/>
    </row>
    <row r="185">
      <c r="A185" s="55"/>
      <c r="B185" s="60"/>
      <c r="C185" s="55"/>
      <c r="D185" s="65"/>
      <c r="E185" s="66"/>
    </row>
    <row r="186">
      <c r="A186" s="55"/>
      <c r="B186" s="60"/>
      <c r="C186" s="55"/>
      <c r="D186" s="65"/>
      <c r="E186" s="66"/>
    </row>
    <row r="187">
      <c r="A187" s="55"/>
      <c r="B187" s="60"/>
      <c r="C187" s="55"/>
      <c r="D187" s="65"/>
      <c r="E187" s="66"/>
    </row>
    <row r="188">
      <c r="A188" s="55"/>
      <c r="B188" s="60"/>
      <c r="C188" s="55"/>
      <c r="D188" s="65"/>
      <c r="E188" s="66"/>
    </row>
    <row r="189">
      <c r="A189" s="55"/>
      <c r="B189" s="60"/>
      <c r="C189" s="55"/>
      <c r="D189" s="65"/>
      <c r="E189" s="66"/>
    </row>
    <row r="190">
      <c r="A190" s="55"/>
      <c r="B190" s="60"/>
      <c r="C190" s="55"/>
      <c r="D190" s="65"/>
      <c r="E190" s="66"/>
    </row>
    <row r="191">
      <c r="A191" s="55"/>
      <c r="B191" s="60"/>
      <c r="C191" s="55"/>
      <c r="D191" s="65"/>
      <c r="E191" s="66"/>
    </row>
    <row r="192">
      <c r="A192" s="55"/>
      <c r="B192" s="60"/>
      <c r="C192" s="55"/>
      <c r="D192" s="65"/>
      <c r="E192" s="66"/>
    </row>
    <row r="193">
      <c r="A193" s="55"/>
      <c r="B193" s="60"/>
      <c r="C193" s="55"/>
      <c r="D193" s="65"/>
      <c r="E193" s="66"/>
    </row>
    <row r="194">
      <c r="A194" s="55"/>
      <c r="B194" s="60"/>
      <c r="C194" s="55"/>
      <c r="D194" s="65"/>
      <c r="E194" s="66"/>
    </row>
    <row r="195">
      <c r="A195" s="55"/>
      <c r="B195" s="60"/>
      <c r="C195" s="55"/>
      <c r="D195" s="65"/>
      <c r="E195" s="66"/>
    </row>
    <row r="196">
      <c r="A196" s="55"/>
      <c r="B196" s="60"/>
      <c r="C196" s="55"/>
      <c r="D196" s="65"/>
      <c r="E196" s="66"/>
    </row>
    <row r="197">
      <c r="A197" s="55"/>
      <c r="B197" s="60"/>
      <c r="C197" s="55"/>
      <c r="D197" s="65"/>
      <c r="E197" s="66"/>
    </row>
    <row r="198">
      <c r="A198" s="55"/>
      <c r="B198" s="60"/>
      <c r="C198" s="55"/>
      <c r="D198" s="65"/>
      <c r="E198" s="66"/>
    </row>
    <row r="199">
      <c r="A199" s="55"/>
      <c r="B199" s="60"/>
      <c r="C199" s="55"/>
      <c r="D199" s="65"/>
      <c r="E199" s="66"/>
    </row>
    <row r="200">
      <c r="A200" s="55"/>
      <c r="B200" s="60"/>
      <c r="C200" s="55"/>
      <c r="D200" s="65"/>
      <c r="E200" s="66"/>
    </row>
    <row r="201">
      <c r="A201" s="55"/>
      <c r="B201" s="60"/>
      <c r="C201" s="55"/>
      <c r="D201" s="65"/>
      <c r="E201" s="66"/>
    </row>
    <row r="202">
      <c r="A202" s="55"/>
      <c r="B202" s="60"/>
      <c r="C202" s="55"/>
      <c r="D202" s="65"/>
      <c r="E202" s="66"/>
    </row>
    <row r="203">
      <c r="A203" s="55"/>
      <c r="B203" s="60"/>
      <c r="C203" s="55"/>
      <c r="D203" s="65"/>
      <c r="E203" s="66"/>
    </row>
    <row r="204">
      <c r="A204" s="55"/>
      <c r="B204" s="60"/>
      <c r="C204" s="55"/>
      <c r="D204" s="65"/>
      <c r="E204" s="66"/>
    </row>
    <row r="205">
      <c r="A205" s="55"/>
      <c r="B205" s="60"/>
      <c r="C205" s="55"/>
      <c r="D205" s="65"/>
      <c r="E205" s="66"/>
    </row>
    <row r="206">
      <c r="A206" s="55"/>
      <c r="B206" s="60"/>
      <c r="C206" s="55"/>
      <c r="D206" s="65"/>
      <c r="E206" s="66"/>
    </row>
    <row r="207">
      <c r="A207" s="55"/>
      <c r="B207" s="60"/>
      <c r="C207" s="55"/>
      <c r="D207" s="65"/>
      <c r="E207" s="66"/>
    </row>
    <row r="208">
      <c r="A208" s="55"/>
      <c r="B208" s="60"/>
      <c r="C208" s="55"/>
      <c r="D208" s="65"/>
      <c r="E208" s="66"/>
    </row>
    <row r="209">
      <c r="A209" s="55"/>
      <c r="B209" s="60"/>
      <c r="C209" s="55"/>
      <c r="D209" s="65"/>
      <c r="E209" s="66"/>
    </row>
    <row r="210">
      <c r="A210" s="55"/>
      <c r="B210" s="60"/>
      <c r="C210" s="55"/>
      <c r="D210" s="65"/>
      <c r="E210" s="66"/>
    </row>
    <row r="211">
      <c r="A211" s="55"/>
      <c r="B211" s="60"/>
      <c r="C211" s="55"/>
      <c r="D211" s="65"/>
      <c r="E211" s="66"/>
    </row>
    <row r="212">
      <c r="A212" s="55"/>
      <c r="B212" s="60"/>
      <c r="C212" s="55"/>
      <c r="D212" s="65"/>
      <c r="E212" s="66"/>
    </row>
    <row r="213">
      <c r="A213" s="55"/>
      <c r="B213" s="60"/>
      <c r="C213" s="55"/>
      <c r="D213" s="65"/>
      <c r="E213" s="66"/>
    </row>
    <row r="214">
      <c r="A214" s="55"/>
      <c r="B214" s="60"/>
      <c r="C214" s="55"/>
      <c r="D214" s="65"/>
      <c r="E214" s="66"/>
    </row>
    <row r="215">
      <c r="A215" s="55"/>
      <c r="B215" s="60"/>
      <c r="C215" s="55"/>
      <c r="D215" s="65"/>
      <c r="E215" s="66"/>
    </row>
    <row r="216">
      <c r="A216" s="55"/>
      <c r="B216" s="60"/>
      <c r="C216" s="55"/>
      <c r="D216" s="65"/>
      <c r="E216" s="66"/>
    </row>
    <row r="217">
      <c r="A217" s="55"/>
      <c r="B217" s="60"/>
      <c r="C217" s="55"/>
      <c r="D217" s="65"/>
      <c r="E217" s="66"/>
    </row>
    <row r="218">
      <c r="A218" s="55"/>
      <c r="B218" s="60"/>
      <c r="C218" s="55"/>
      <c r="D218" s="65"/>
      <c r="E218" s="66"/>
    </row>
    <row r="219">
      <c r="A219" s="55"/>
      <c r="B219" s="60"/>
      <c r="C219" s="55"/>
      <c r="D219" s="65"/>
      <c r="E219" s="66"/>
    </row>
    <row r="220">
      <c r="A220" s="55"/>
      <c r="B220" s="60"/>
      <c r="C220" s="55"/>
      <c r="D220" s="65"/>
      <c r="E220" s="66"/>
    </row>
    <row r="221">
      <c r="A221" s="55"/>
      <c r="B221" s="60"/>
      <c r="C221" s="55"/>
      <c r="D221" s="65"/>
      <c r="E221" s="66"/>
    </row>
    <row r="222">
      <c r="A222" s="55"/>
      <c r="B222" s="60"/>
      <c r="C222" s="55"/>
      <c r="D222" s="65"/>
      <c r="E222" s="66"/>
    </row>
    <row r="223">
      <c r="A223" s="55"/>
      <c r="B223" s="60"/>
      <c r="C223" s="55"/>
      <c r="D223" s="65"/>
      <c r="E223" s="66"/>
    </row>
    <row r="224">
      <c r="A224" s="55"/>
      <c r="B224" s="60"/>
      <c r="C224" s="55"/>
      <c r="D224" s="65"/>
      <c r="E224" s="66"/>
    </row>
    <row r="225">
      <c r="A225" s="55"/>
      <c r="B225" s="60"/>
      <c r="C225" s="55"/>
      <c r="D225" s="65"/>
      <c r="E225" s="66"/>
    </row>
    <row r="226">
      <c r="A226" s="55"/>
      <c r="B226" s="60"/>
      <c r="C226" s="55"/>
      <c r="D226" s="65"/>
      <c r="E226" s="66"/>
    </row>
    <row r="227">
      <c r="A227" s="55"/>
      <c r="B227" s="60"/>
      <c r="C227" s="55"/>
      <c r="D227" s="65"/>
      <c r="E227" s="66"/>
    </row>
    <row r="228">
      <c r="A228" s="55"/>
      <c r="B228" s="60"/>
      <c r="C228" s="55"/>
      <c r="D228" s="65"/>
      <c r="E228" s="66"/>
    </row>
    <row r="229">
      <c r="A229" s="55"/>
      <c r="B229" s="60"/>
      <c r="C229" s="55"/>
      <c r="D229" s="65"/>
      <c r="E229" s="66"/>
    </row>
    <row r="230">
      <c r="A230" s="55"/>
      <c r="B230" s="60"/>
      <c r="C230" s="55"/>
      <c r="D230" s="65"/>
      <c r="E230" s="66"/>
    </row>
    <row r="231">
      <c r="A231" s="55"/>
      <c r="B231" s="60"/>
      <c r="C231" s="55"/>
      <c r="D231" s="65"/>
      <c r="E231" s="66"/>
    </row>
    <row r="232">
      <c r="A232" s="55"/>
      <c r="B232" s="60"/>
      <c r="C232" s="55"/>
      <c r="D232" s="65"/>
      <c r="E232" s="66"/>
    </row>
    <row r="233">
      <c r="A233" s="55"/>
      <c r="B233" s="60"/>
      <c r="C233" s="55"/>
      <c r="D233" s="65"/>
      <c r="E233" s="66"/>
    </row>
    <row r="234">
      <c r="A234" s="55"/>
      <c r="B234" s="60"/>
      <c r="C234" s="55"/>
      <c r="D234" s="65"/>
      <c r="E234" s="66"/>
    </row>
    <row r="235">
      <c r="A235" s="55"/>
      <c r="B235" s="60"/>
      <c r="C235" s="55"/>
      <c r="D235" s="65"/>
      <c r="E235" s="66"/>
    </row>
    <row r="236">
      <c r="A236" s="55"/>
      <c r="B236" s="60"/>
      <c r="C236" s="55"/>
      <c r="D236" s="65"/>
      <c r="E236" s="66"/>
    </row>
    <row r="237">
      <c r="A237" s="55"/>
      <c r="B237" s="60"/>
      <c r="C237" s="55"/>
      <c r="D237" s="65"/>
      <c r="E237" s="66"/>
    </row>
    <row r="238">
      <c r="A238" s="55"/>
      <c r="B238" s="60"/>
      <c r="C238" s="55"/>
      <c r="D238" s="65"/>
      <c r="E238" s="66"/>
    </row>
    <row r="239">
      <c r="A239" s="55"/>
      <c r="B239" s="60"/>
      <c r="C239" s="55"/>
      <c r="D239" s="65"/>
      <c r="E239" s="66"/>
    </row>
    <row r="240">
      <c r="A240" s="55"/>
      <c r="B240" s="60"/>
      <c r="C240" s="55"/>
      <c r="D240" s="65"/>
      <c r="E240" s="66"/>
    </row>
    <row r="241">
      <c r="A241" s="55"/>
      <c r="B241" s="60"/>
      <c r="C241" s="55"/>
      <c r="D241" s="65"/>
      <c r="E241" s="66"/>
    </row>
    <row r="242">
      <c r="A242" s="55"/>
      <c r="B242" s="60"/>
      <c r="C242" s="55"/>
      <c r="D242" s="65"/>
      <c r="E242" s="66"/>
    </row>
    <row r="243">
      <c r="A243" s="55"/>
      <c r="B243" s="60"/>
      <c r="C243" s="55"/>
      <c r="D243" s="65"/>
      <c r="E243" s="66"/>
    </row>
    <row r="244">
      <c r="A244" s="55"/>
      <c r="B244" s="60"/>
      <c r="C244" s="55"/>
      <c r="D244" s="65"/>
      <c r="E244" s="66"/>
    </row>
    <row r="245">
      <c r="A245" s="55"/>
      <c r="B245" s="60"/>
      <c r="C245" s="55"/>
      <c r="D245" s="65"/>
      <c r="E245" s="66"/>
    </row>
    <row r="246">
      <c r="A246" s="55"/>
      <c r="B246" s="60"/>
      <c r="C246" s="55"/>
      <c r="D246" s="65"/>
      <c r="E246" s="66"/>
    </row>
    <row r="247">
      <c r="A247" s="55"/>
      <c r="B247" s="60"/>
      <c r="C247" s="55"/>
      <c r="D247" s="65"/>
      <c r="E247" s="66"/>
    </row>
    <row r="248">
      <c r="A248" s="55"/>
      <c r="B248" s="60"/>
      <c r="C248" s="55"/>
      <c r="D248" s="65"/>
      <c r="E248" s="66"/>
    </row>
    <row r="249">
      <c r="A249" s="55"/>
      <c r="B249" s="60"/>
      <c r="C249" s="55"/>
      <c r="D249" s="65"/>
      <c r="E249" s="66"/>
    </row>
    <row r="250">
      <c r="A250" s="55"/>
      <c r="B250" s="60"/>
      <c r="C250" s="55"/>
      <c r="D250" s="65"/>
      <c r="E250" s="66"/>
    </row>
    <row r="251">
      <c r="A251" s="55"/>
      <c r="B251" s="60"/>
      <c r="C251" s="55"/>
      <c r="D251" s="65"/>
      <c r="E251" s="66"/>
    </row>
    <row r="252">
      <c r="A252" s="55"/>
      <c r="B252" s="60"/>
      <c r="C252" s="55"/>
      <c r="D252" s="65"/>
      <c r="E252" s="66"/>
    </row>
    <row r="253">
      <c r="A253" s="55"/>
      <c r="B253" s="60"/>
      <c r="C253" s="55"/>
      <c r="D253" s="65"/>
      <c r="E253" s="66"/>
    </row>
    <row r="254">
      <c r="A254" s="55"/>
      <c r="B254" s="60"/>
      <c r="C254" s="55"/>
      <c r="D254" s="65"/>
      <c r="E254" s="66"/>
    </row>
    <row r="255">
      <c r="A255" s="55"/>
      <c r="B255" s="60"/>
      <c r="C255" s="55"/>
      <c r="D255" s="65"/>
      <c r="E255" s="66"/>
    </row>
    <row r="256">
      <c r="A256" s="55"/>
      <c r="B256" s="60"/>
      <c r="C256" s="55"/>
      <c r="D256" s="65"/>
      <c r="E256" s="66"/>
    </row>
    <row r="257">
      <c r="A257" s="55"/>
      <c r="B257" s="60"/>
      <c r="C257" s="55"/>
      <c r="D257" s="65"/>
      <c r="E257" s="66"/>
    </row>
    <row r="258">
      <c r="A258" s="55"/>
      <c r="B258" s="60"/>
      <c r="C258" s="55"/>
      <c r="D258" s="65"/>
      <c r="E258" s="66"/>
    </row>
    <row r="259">
      <c r="A259" s="55"/>
      <c r="B259" s="60"/>
      <c r="C259" s="55"/>
      <c r="D259" s="65"/>
      <c r="E259" s="66"/>
    </row>
    <row r="260">
      <c r="A260" s="55"/>
      <c r="B260" s="60"/>
      <c r="C260" s="55"/>
      <c r="D260" s="65"/>
      <c r="E260" s="66"/>
    </row>
    <row r="261">
      <c r="A261" s="55"/>
      <c r="B261" s="60"/>
      <c r="C261" s="55"/>
      <c r="D261" s="65"/>
      <c r="E261" s="66"/>
    </row>
    <row r="262">
      <c r="A262" s="55"/>
      <c r="B262" s="60"/>
      <c r="C262" s="55"/>
      <c r="D262" s="65"/>
      <c r="E262" s="66"/>
    </row>
    <row r="263">
      <c r="A263" s="55"/>
      <c r="B263" s="60"/>
      <c r="C263" s="55"/>
      <c r="D263" s="65"/>
      <c r="E263" s="66"/>
    </row>
    <row r="264">
      <c r="A264" s="55"/>
      <c r="B264" s="60"/>
      <c r="C264" s="55"/>
      <c r="D264" s="65"/>
      <c r="E264" s="66"/>
    </row>
    <row r="265">
      <c r="A265" s="55"/>
      <c r="B265" s="60"/>
      <c r="C265" s="55"/>
      <c r="D265" s="65"/>
      <c r="E265" s="66"/>
    </row>
    <row r="266">
      <c r="A266" s="55"/>
      <c r="B266" s="60"/>
      <c r="C266" s="55"/>
      <c r="D266" s="65"/>
      <c r="E266" s="66"/>
    </row>
    <row r="267">
      <c r="A267" s="55"/>
      <c r="B267" s="60"/>
      <c r="C267" s="55"/>
      <c r="D267" s="65"/>
      <c r="E267" s="66"/>
    </row>
    <row r="268">
      <c r="A268" s="55"/>
      <c r="B268" s="60"/>
      <c r="C268" s="55"/>
      <c r="D268" s="65"/>
      <c r="E268" s="66"/>
    </row>
    <row r="269">
      <c r="A269" s="55"/>
      <c r="B269" s="60"/>
      <c r="C269" s="55"/>
      <c r="D269" s="65"/>
      <c r="E269" s="66"/>
    </row>
    <row r="270">
      <c r="A270" s="55"/>
      <c r="B270" s="60"/>
      <c r="C270" s="55"/>
      <c r="D270" s="65"/>
      <c r="E270" s="66"/>
    </row>
    <row r="271">
      <c r="A271" s="55"/>
      <c r="B271" s="60"/>
      <c r="C271" s="55"/>
      <c r="D271" s="65"/>
      <c r="E271" s="66"/>
    </row>
    <row r="272">
      <c r="A272" s="55"/>
      <c r="B272" s="60"/>
      <c r="C272" s="55"/>
      <c r="D272" s="65"/>
      <c r="E272" s="66"/>
    </row>
    <row r="273">
      <c r="A273" s="55"/>
      <c r="B273" s="60"/>
      <c r="C273" s="55"/>
      <c r="D273" s="65"/>
      <c r="E273" s="66"/>
    </row>
    <row r="274">
      <c r="A274" s="55"/>
      <c r="B274" s="60"/>
      <c r="C274" s="55"/>
      <c r="D274" s="65"/>
      <c r="E274" s="66"/>
    </row>
    <row r="275">
      <c r="A275" s="55"/>
      <c r="B275" s="60"/>
      <c r="C275" s="55"/>
      <c r="D275" s="65"/>
      <c r="E275" s="66"/>
    </row>
    <row r="276">
      <c r="A276" s="55"/>
      <c r="B276" s="60"/>
      <c r="C276" s="55"/>
      <c r="D276" s="65"/>
      <c r="E276" s="66"/>
    </row>
    <row r="277">
      <c r="A277" s="55"/>
      <c r="B277" s="60"/>
      <c r="C277" s="55"/>
      <c r="D277" s="65"/>
      <c r="E277" s="66"/>
    </row>
    <row r="278">
      <c r="A278" s="55"/>
      <c r="B278" s="60"/>
      <c r="C278" s="55"/>
      <c r="D278" s="65"/>
      <c r="E278" s="66"/>
    </row>
    <row r="279">
      <c r="A279" s="55"/>
      <c r="B279" s="60"/>
      <c r="C279" s="55"/>
      <c r="D279" s="65"/>
      <c r="E279" s="66"/>
    </row>
    <row r="280">
      <c r="A280" s="55"/>
      <c r="B280" s="60"/>
      <c r="C280" s="55"/>
      <c r="D280" s="65"/>
      <c r="E280" s="66"/>
    </row>
    <row r="281">
      <c r="A281" s="55"/>
      <c r="B281" s="60"/>
      <c r="C281" s="55"/>
      <c r="D281" s="65"/>
      <c r="E281" s="66"/>
    </row>
    <row r="282">
      <c r="A282" s="55"/>
      <c r="B282" s="60"/>
      <c r="C282" s="55"/>
      <c r="D282" s="65"/>
      <c r="E282" s="66"/>
    </row>
    <row r="283">
      <c r="A283" s="55"/>
      <c r="B283" s="60"/>
      <c r="C283" s="55"/>
      <c r="D283" s="65"/>
      <c r="E283" s="66"/>
    </row>
    <row r="284">
      <c r="A284" s="55"/>
      <c r="B284" s="60"/>
      <c r="C284" s="55"/>
      <c r="D284" s="65"/>
      <c r="E284" s="66"/>
    </row>
    <row r="285">
      <c r="A285" s="55"/>
      <c r="B285" s="60"/>
      <c r="C285" s="55"/>
      <c r="D285" s="65"/>
      <c r="E285" s="66"/>
    </row>
    <row r="286">
      <c r="A286" s="55"/>
      <c r="B286" s="60"/>
      <c r="C286" s="55"/>
      <c r="D286" s="65"/>
      <c r="E286" s="66"/>
    </row>
    <row r="287">
      <c r="A287" s="55"/>
      <c r="B287" s="60"/>
      <c r="C287" s="55"/>
      <c r="D287" s="65"/>
      <c r="E287" s="66"/>
    </row>
    <row r="288">
      <c r="A288" s="55"/>
      <c r="B288" s="60"/>
      <c r="C288" s="55"/>
      <c r="D288" s="65"/>
      <c r="E288" s="66"/>
    </row>
    <row r="289">
      <c r="A289" s="55"/>
      <c r="B289" s="60"/>
      <c r="C289" s="55"/>
      <c r="D289" s="65"/>
      <c r="E289" s="66"/>
    </row>
    <row r="290">
      <c r="A290" s="55"/>
      <c r="B290" s="60"/>
      <c r="C290" s="55"/>
      <c r="D290" s="65"/>
      <c r="E290" s="66"/>
    </row>
    <row r="291">
      <c r="A291" s="55"/>
      <c r="B291" s="60"/>
      <c r="C291" s="55"/>
      <c r="D291" s="65"/>
      <c r="E291" s="66"/>
    </row>
    <row r="292">
      <c r="A292" s="55"/>
      <c r="B292" s="60"/>
      <c r="C292" s="55"/>
      <c r="D292" s="65"/>
      <c r="E292" s="66"/>
    </row>
    <row r="293">
      <c r="A293" s="55"/>
      <c r="B293" s="60"/>
      <c r="C293" s="55"/>
      <c r="D293" s="65"/>
      <c r="E293" s="66"/>
    </row>
    <row r="294">
      <c r="A294" s="55"/>
      <c r="B294" s="60"/>
      <c r="C294" s="55"/>
      <c r="D294" s="65"/>
      <c r="E294" s="66"/>
    </row>
    <row r="295">
      <c r="A295" s="55"/>
      <c r="B295" s="60"/>
      <c r="C295" s="55"/>
      <c r="D295" s="65"/>
      <c r="E295" s="66"/>
    </row>
    <row r="296">
      <c r="A296" s="55"/>
      <c r="B296" s="60"/>
      <c r="C296" s="55"/>
      <c r="D296" s="65"/>
      <c r="E296" s="66"/>
    </row>
    <row r="297">
      <c r="A297" s="55"/>
      <c r="B297" s="60"/>
      <c r="C297" s="55"/>
      <c r="D297" s="65"/>
      <c r="E297" s="66"/>
    </row>
    <row r="298">
      <c r="A298" s="55"/>
      <c r="B298" s="60"/>
      <c r="C298" s="55"/>
      <c r="D298" s="65"/>
      <c r="E298" s="66"/>
    </row>
    <row r="299">
      <c r="A299" s="55"/>
      <c r="B299" s="60"/>
      <c r="C299" s="55"/>
      <c r="D299" s="65"/>
      <c r="E299" s="66"/>
    </row>
    <row r="300">
      <c r="A300" s="55"/>
      <c r="B300" s="60"/>
      <c r="C300" s="55"/>
      <c r="D300" s="65"/>
      <c r="E300" s="66"/>
    </row>
    <row r="301">
      <c r="A301" s="55"/>
      <c r="B301" s="60"/>
      <c r="C301" s="55"/>
      <c r="D301" s="65"/>
      <c r="E301" s="66"/>
    </row>
    <row r="302">
      <c r="A302" s="55"/>
      <c r="B302" s="60"/>
      <c r="C302" s="55"/>
      <c r="D302" s="65"/>
      <c r="E302" s="66"/>
    </row>
    <row r="303">
      <c r="A303" s="55"/>
      <c r="B303" s="60"/>
      <c r="C303" s="55"/>
      <c r="D303" s="65"/>
      <c r="E303" s="66"/>
    </row>
    <row r="304">
      <c r="A304" s="55"/>
      <c r="B304" s="60"/>
      <c r="C304" s="55"/>
      <c r="D304" s="65"/>
      <c r="E304" s="66"/>
    </row>
    <row r="305">
      <c r="A305" s="55"/>
      <c r="B305" s="60"/>
      <c r="C305" s="55"/>
      <c r="D305" s="65"/>
      <c r="E305" s="66"/>
    </row>
    <row r="306">
      <c r="A306" s="55"/>
      <c r="B306" s="60"/>
      <c r="C306" s="55"/>
      <c r="D306" s="65"/>
      <c r="E306" s="66"/>
    </row>
    <row r="307">
      <c r="A307" s="55"/>
      <c r="B307" s="60"/>
      <c r="C307" s="55"/>
      <c r="D307" s="65"/>
      <c r="E307" s="66"/>
    </row>
    <row r="308">
      <c r="A308" s="55"/>
      <c r="B308" s="60"/>
      <c r="C308" s="55"/>
      <c r="D308" s="65"/>
      <c r="E308" s="66"/>
    </row>
    <row r="309">
      <c r="A309" s="55"/>
      <c r="B309" s="60"/>
      <c r="C309" s="55"/>
      <c r="D309" s="65"/>
      <c r="E309" s="66"/>
    </row>
    <row r="310">
      <c r="A310" s="55"/>
      <c r="B310" s="60"/>
      <c r="C310" s="55"/>
      <c r="D310" s="65"/>
      <c r="E310" s="66"/>
    </row>
    <row r="311">
      <c r="A311" s="55"/>
      <c r="B311" s="60"/>
      <c r="C311" s="55"/>
      <c r="D311" s="65"/>
      <c r="E311" s="66"/>
    </row>
    <row r="312">
      <c r="A312" s="55"/>
      <c r="B312" s="60"/>
      <c r="C312" s="55"/>
      <c r="D312" s="65"/>
      <c r="E312" s="66"/>
    </row>
    <row r="313">
      <c r="A313" s="55"/>
      <c r="B313" s="60"/>
      <c r="C313" s="55"/>
      <c r="D313" s="65"/>
      <c r="E313" s="66"/>
    </row>
    <row r="314">
      <c r="A314" s="55"/>
      <c r="B314" s="60"/>
      <c r="C314" s="55"/>
      <c r="D314" s="65"/>
      <c r="E314" s="66"/>
    </row>
    <row r="315">
      <c r="A315" s="55"/>
      <c r="B315" s="60"/>
      <c r="C315" s="55"/>
      <c r="D315" s="65"/>
      <c r="E315" s="66"/>
    </row>
    <row r="316">
      <c r="A316" s="55"/>
      <c r="B316" s="60"/>
      <c r="C316" s="55"/>
      <c r="D316" s="65"/>
      <c r="E316" s="66"/>
    </row>
    <row r="317">
      <c r="A317" s="55"/>
      <c r="B317" s="60"/>
      <c r="C317" s="55"/>
      <c r="D317" s="65"/>
      <c r="E317" s="66"/>
    </row>
    <row r="318">
      <c r="A318" s="55"/>
      <c r="B318" s="60"/>
      <c r="C318" s="55"/>
      <c r="D318" s="65"/>
      <c r="E318" s="66"/>
    </row>
    <row r="319">
      <c r="A319" s="55"/>
      <c r="B319" s="60"/>
      <c r="C319" s="55"/>
      <c r="D319" s="65"/>
      <c r="E319" s="66"/>
    </row>
    <row r="320">
      <c r="A320" s="55"/>
      <c r="B320" s="60"/>
      <c r="C320" s="55"/>
      <c r="D320" s="65"/>
      <c r="E320" s="66"/>
    </row>
    <row r="321">
      <c r="A321" s="55"/>
      <c r="B321" s="60"/>
      <c r="C321" s="55"/>
      <c r="D321" s="65"/>
      <c r="E321" s="66"/>
    </row>
    <row r="322">
      <c r="A322" s="55"/>
      <c r="B322" s="60"/>
      <c r="C322" s="55"/>
      <c r="D322" s="65"/>
      <c r="E322" s="66"/>
    </row>
    <row r="323">
      <c r="A323" s="55"/>
      <c r="B323" s="60"/>
      <c r="C323" s="55"/>
      <c r="D323" s="65"/>
      <c r="E323" s="66"/>
    </row>
    <row r="324">
      <c r="A324" s="55"/>
      <c r="B324" s="60"/>
      <c r="C324" s="55"/>
      <c r="D324" s="65"/>
      <c r="E324" s="66"/>
    </row>
    <row r="325">
      <c r="A325" s="55"/>
      <c r="B325" s="60"/>
      <c r="C325" s="55"/>
      <c r="D325" s="65"/>
      <c r="E325" s="66"/>
    </row>
    <row r="326">
      <c r="A326" s="55"/>
      <c r="B326" s="60"/>
      <c r="C326" s="55"/>
      <c r="D326" s="65"/>
      <c r="E326" s="66"/>
    </row>
    <row r="327">
      <c r="A327" s="55"/>
      <c r="B327" s="60"/>
      <c r="C327" s="55"/>
      <c r="D327" s="65"/>
      <c r="E327" s="66"/>
    </row>
    <row r="328">
      <c r="A328" s="55"/>
      <c r="B328" s="60"/>
      <c r="C328" s="55"/>
      <c r="D328" s="65"/>
      <c r="E328" s="66"/>
    </row>
    <row r="329">
      <c r="A329" s="55"/>
      <c r="B329" s="60"/>
      <c r="C329" s="55"/>
      <c r="D329" s="65"/>
      <c r="E329" s="66"/>
    </row>
    <row r="330">
      <c r="A330" s="55"/>
      <c r="B330" s="60"/>
      <c r="C330" s="55"/>
      <c r="D330" s="65"/>
      <c r="E330" s="66"/>
    </row>
    <row r="331">
      <c r="A331" s="55"/>
      <c r="B331" s="60"/>
      <c r="C331" s="55"/>
      <c r="D331" s="65"/>
      <c r="E331" s="66"/>
    </row>
    <row r="332">
      <c r="A332" s="55"/>
      <c r="B332" s="60"/>
      <c r="C332" s="55"/>
      <c r="D332" s="65"/>
      <c r="E332" s="66"/>
    </row>
    <row r="333">
      <c r="A333" s="55"/>
      <c r="B333" s="60"/>
      <c r="C333" s="55"/>
      <c r="D333" s="65"/>
      <c r="E333" s="66"/>
    </row>
    <row r="334">
      <c r="A334" s="55"/>
      <c r="B334" s="60"/>
      <c r="C334" s="55"/>
      <c r="D334" s="65"/>
      <c r="E334" s="66"/>
    </row>
    <row r="335">
      <c r="A335" s="55"/>
      <c r="B335" s="60"/>
      <c r="C335" s="55"/>
      <c r="D335" s="65"/>
      <c r="E335" s="66"/>
    </row>
    <row r="336">
      <c r="A336" s="55"/>
      <c r="B336" s="60"/>
      <c r="C336" s="55"/>
      <c r="D336" s="65"/>
      <c r="E336" s="66"/>
    </row>
    <row r="337">
      <c r="A337" s="55"/>
      <c r="B337" s="60"/>
      <c r="C337" s="55"/>
      <c r="D337" s="65"/>
      <c r="E337" s="66"/>
    </row>
    <row r="338">
      <c r="A338" s="55"/>
      <c r="B338" s="60"/>
      <c r="C338" s="55"/>
      <c r="D338" s="65"/>
      <c r="E338" s="66"/>
    </row>
    <row r="339">
      <c r="A339" s="55"/>
      <c r="B339" s="60"/>
      <c r="C339" s="55"/>
      <c r="D339" s="65"/>
      <c r="E339" s="66"/>
    </row>
    <row r="340">
      <c r="A340" s="55"/>
      <c r="B340" s="60"/>
      <c r="C340" s="55"/>
      <c r="D340" s="65"/>
      <c r="E340" s="66"/>
    </row>
    <row r="341">
      <c r="A341" s="55"/>
      <c r="B341" s="60"/>
      <c r="C341" s="55"/>
      <c r="D341" s="65"/>
      <c r="E341" s="66"/>
    </row>
    <row r="342">
      <c r="A342" s="55"/>
      <c r="B342" s="60"/>
      <c r="C342" s="55"/>
      <c r="D342" s="65"/>
      <c r="E342" s="66"/>
    </row>
    <row r="343">
      <c r="A343" s="55"/>
      <c r="B343" s="60"/>
      <c r="C343" s="55"/>
      <c r="D343" s="65"/>
      <c r="E343" s="66"/>
    </row>
    <row r="344">
      <c r="A344" s="55"/>
      <c r="B344" s="60"/>
      <c r="C344" s="55"/>
      <c r="D344" s="65"/>
      <c r="E344" s="66"/>
    </row>
    <row r="345">
      <c r="A345" s="55"/>
      <c r="B345" s="60"/>
      <c r="C345" s="55"/>
      <c r="D345" s="65"/>
      <c r="E345" s="66"/>
    </row>
    <row r="346">
      <c r="A346" s="55"/>
      <c r="B346" s="60"/>
      <c r="C346" s="55"/>
      <c r="D346" s="65"/>
      <c r="E346" s="66"/>
    </row>
    <row r="347">
      <c r="A347" s="55"/>
      <c r="B347" s="60"/>
      <c r="C347" s="55"/>
      <c r="D347" s="65"/>
      <c r="E347" s="66"/>
    </row>
    <row r="348">
      <c r="A348" s="55"/>
      <c r="B348" s="60"/>
      <c r="C348" s="55"/>
      <c r="D348" s="65"/>
      <c r="E348" s="66"/>
    </row>
    <row r="349">
      <c r="A349" s="55"/>
      <c r="B349" s="60"/>
      <c r="C349" s="55"/>
      <c r="D349" s="65"/>
      <c r="E349" s="66"/>
    </row>
    <row r="350">
      <c r="A350" s="55"/>
      <c r="B350" s="60"/>
      <c r="C350" s="55"/>
      <c r="D350" s="65"/>
      <c r="E350" s="66"/>
    </row>
    <row r="351">
      <c r="A351" s="55"/>
      <c r="B351" s="60"/>
      <c r="C351" s="55"/>
      <c r="D351" s="65"/>
      <c r="E351" s="66"/>
    </row>
    <row r="352">
      <c r="A352" s="55"/>
      <c r="B352" s="60"/>
      <c r="C352" s="55"/>
      <c r="D352" s="65"/>
      <c r="E352" s="66"/>
    </row>
    <row r="353">
      <c r="A353" s="55"/>
      <c r="B353" s="60"/>
      <c r="C353" s="55"/>
      <c r="D353" s="65"/>
      <c r="E353" s="66"/>
    </row>
    <row r="354">
      <c r="A354" s="55"/>
      <c r="B354" s="60"/>
      <c r="C354" s="55"/>
      <c r="D354" s="65"/>
      <c r="E354" s="66"/>
    </row>
    <row r="355">
      <c r="A355" s="55"/>
      <c r="B355" s="60"/>
      <c r="C355" s="55"/>
      <c r="D355" s="65"/>
      <c r="E355" s="66"/>
    </row>
    <row r="356">
      <c r="A356" s="55"/>
      <c r="B356" s="60"/>
      <c r="C356" s="55"/>
      <c r="D356" s="65"/>
      <c r="E356" s="66"/>
    </row>
    <row r="357">
      <c r="A357" s="55"/>
      <c r="B357" s="60"/>
      <c r="C357" s="55"/>
      <c r="D357" s="65"/>
      <c r="E357" s="66"/>
    </row>
    <row r="358">
      <c r="A358" s="55"/>
      <c r="B358" s="60"/>
      <c r="C358" s="55"/>
      <c r="D358" s="65"/>
      <c r="E358" s="66"/>
    </row>
    <row r="359">
      <c r="A359" s="55"/>
      <c r="B359" s="60"/>
      <c r="C359" s="55"/>
      <c r="D359" s="65"/>
      <c r="E359" s="66"/>
    </row>
    <row r="360">
      <c r="A360" s="55"/>
      <c r="B360" s="60"/>
      <c r="C360" s="55"/>
      <c r="D360" s="65"/>
      <c r="E360" s="66"/>
    </row>
    <row r="361">
      <c r="A361" s="55"/>
      <c r="B361" s="60"/>
      <c r="C361" s="55"/>
      <c r="D361" s="65"/>
      <c r="E361" s="66"/>
    </row>
    <row r="362">
      <c r="A362" s="55"/>
      <c r="B362" s="60"/>
      <c r="C362" s="55"/>
      <c r="D362" s="65"/>
      <c r="E362" s="66"/>
    </row>
    <row r="363">
      <c r="A363" s="55"/>
      <c r="B363" s="60"/>
      <c r="C363" s="55"/>
      <c r="D363" s="65"/>
      <c r="E363" s="66"/>
    </row>
    <row r="364">
      <c r="A364" s="55"/>
      <c r="B364" s="60"/>
      <c r="C364" s="55"/>
      <c r="D364" s="65"/>
      <c r="E364" s="66"/>
    </row>
    <row r="365">
      <c r="A365" s="55"/>
      <c r="B365" s="60"/>
      <c r="C365" s="55"/>
      <c r="D365" s="65"/>
      <c r="E365" s="66"/>
    </row>
    <row r="366">
      <c r="A366" s="55"/>
      <c r="B366" s="60"/>
      <c r="C366" s="55"/>
      <c r="D366" s="65"/>
      <c r="E366" s="66"/>
    </row>
    <row r="367">
      <c r="A367" s="55"/>
      <c r="B367" s="60"/>
      <c r="C367" s="55"/>
      <c r="D367" s="65"/>
      <c r="E367" s="66"/>
    </row>
    <row r="368">
      <c r="A368" s="55"/>
      <c r="B368" s="60"/>
      <c r="C368" s="55"/>
      <c r="D368" s="65"/>
      <c r="E368" s="66"/>
    </row>
    <row r="369">
      <c r="A369" s="55"/>
      <c r="B369" s="60"/>
      <c r="C369" s="55"/>
      <c r="D369" s="65"/>
      <c r="E369" s="66"/>
    </row>
    <row r="370">
      <c r="A370" s="55"/>
      <c r="B370" s="60"/>
      <c r="C370" s="55"/>
      <c r="D370" s="65"/>
      <c r="E370" s="66"/>
    </row>
    <row r="371">
      <c r="A371" s="55"/>
      <c r="B371" s="60"/>
      <c r="C371" s="55"/>
      <c r="D371" s="65"/>
      <c r="E371" s="66"/>
    </row>
    <row r="372">
      <c r="A372" s="55"/>
      <c r="B372" s="60"/>
      <c r="C372" s="55"/>
      <c r="D372" s="65"/>
      <c r="E372" s="66"/>
    </row>
    <row r="373">
      <c r="A373" s="55"/>
      <c r="B373" s="60"/>
      <c r="C373" s="55"/>
      <c r="D373" s="65"/>
      <c r="E373" s="66"/>
    </row>
    <row r="374">
      <c r="A374" s="55"/>
      <c r="B374" s="60"/>
      <c r="C374" s="55"/>
      <c r="D374" s="65"/>
      <c r="E374" s="66"/>
    </row>
    <row r="375">
      <c r="A375" s="55"/>
      <c r="B375" s="60"/>
      <c r="C375" s="55"/>
      <c r="D375" s="65"/>
      <c r="E375" s="66"/>
    </row>
    <row r="376">
      <c r="A376" s="55"/>
      <c r="B376" s="60"/>
      <c r="C376" s="55"/>
      <c r="D376" s="65"/>
      <c r="E376" s="66"/>
    </row>
    <row r="377">
      <c r="A377" s="55"/>
      <c r="B377" s="60"/>
      <c r="C377" s="55"/>
      <c r="D377" s="65"/>
      <c r="E377" s="66"/>
    </row>
    <row r="378">
      <c r="A378" s="55"/>
      <c r="B378" s="60"/>
      <c r="C378" s="55"/>
      <c r="D378" s="65"/>
      <c r="E378" s="66"/>
    </row>
    <row r="379">
      <c r="A379" s="55"/>
      <c r="B379" s="60"/>
      <c r="C379" s="55"/>
      <c r="D379" s="65"/>
      <c r="E379" s="66"/>
    </row>
    <row r="380">
      <c r="A380" s="55"/>
      <c r="B380" s="60"/>
      <c r="C380" s="55"/>
      <c r="D380" s="65"/>
      <c r="E380" s="66"/>
    </row>
    <row r="381">
      <c r="A381" s="55"/>
      <c r="B381" s="60"/>
      <c r="C381" s="55"/>
      <c r="D381" s="65"/>
      <c r="E381" s="66"/>
    </row>
    <row r="382">
      <c r="A382" s="55"/>
      <c r="B382" s="60"/>
      <c r="C382" s="55"/>
      <c r="D382" s="65"/>
      <c r="E382" s="66"/>
    </row>
    <row r="383">
      <c r="A383" s="55"/>
      <c r="B383" s="60"/>
      <c r="C383" s="55"/>
      <c r="D383" s="65"/>
      <c r="E383" s="66"/>
    </row>
    <row r="384">
      <c r="A384" s="55"/>
      <c r="B384" s="60"/>
      <c r="C384" s="55"/>
      <c r="D384" s="65"/>
      <c r="E384" s="66"/>
    </row>
    <row r="385">
      <c r="A385" s="55"/>
      <c r="B385" s="60"/>
      <c r="C385" s="55"/>
      <c r="D385" s="65"/>
      <c r="E385" s="66"/>
    </row>
    <row r="386">
      <c r="A386" s="55"/>
      <c r="B386" s="60"/>
      <c r="C386" s="55"/>
      <c r="D386" s="65"/>
      <c r="E386" s="66"/>
    </row>
    <row r="387">
      <c r="A387" s="55"/>
      <c r="B387" s="60"/>
      <c r="C387" s="55"/>
      <c r="D387" s="65"/>
      <c r="E387" s="66"/>
    </row>
    <row r="388">
      <c r="A388" s="55"/>
      <c r="B388" s="60"/>
      <c r="C388" s="55"/>
      <c r="D388" s="65"/>
      <c r="E388" s="66"/>
    </row>
    <row r="389">
      <c r="A389" s="55"/>
      <c r="B389" s="60"/>
      <c r="C389" s="55"/>
      <c r="D389" s="65"/>
      <c r="E389" s="66"/>
    </row>
    <row r="390">
      <c r="A390" s="55"/>
      <c r="B390" s="60"/>
      <c r="C390" s="55"/>
      <c r="D390" s="65"/>
      <c r="E390" s="66"/>
    </row>
    <row r="391">
      <c r="A391" s="55"/>
      <c r="B391" s="60"/>
      <c r="C391" s="55"/>
      <c r="D391" s="65"/>
      <c r="E391" s="66"/>
    </row>
    <row r="392">
      <c r="A392" s="55"/>
      <c r="B392" s="60"/>
      <c r="C392" s="55"/>
      <c r="D392" s="65"/>
      <c r="E392" s="66"/>
    </row>
    <row r="393">
      <c r="A393" s="55"/>
      <c r="B393" s="60"/>
      <c r="C393" s="55"/>
      <c r="D393" s="65"/>
      <c r="E393" s="66"/>
    </row>
    <row r="394">
      <c r="A394" s="55"/>
      <c r="B394" s="60"/>
      <c r="C394" s="55"/>
      <c r="D394" s="65"/>
      <c r="E394" s="66"/>
    </row>
    <row r="395">
      <c r="A395" s="55"/>
      <c r="B395" s="60"/>
      <c r="C395" s="55"/>
      <c r="D395" s="65"/>
      <c r="E395" s="66"/>
    </row>
    <row r="396">
      <c r="A396" s="55"/>
      <c r="B396" s="60"/>
      <c r="C396" s="55"/>
      <c r="D396" s="65"/>
      <c r="E396" s="66"/>
    </row>
    <row r="397">
      <c r="A397" s="55"/>
      <c r="B397" s="60"/>
      <c r="C397" s="55"/>
      <c r="D397" s="65"/>
      <c r="E397" s="66"/>
    </row>
    <row r="398">
      <c r="A398" s="55"/>
      <c r="B398" s="60"/>
      <c r="C398" s="55"/>
      <c r="D398" s="65"/>
      <c r="E398" s="66"/>
    </row>
    <row r="399">
      <c r="A399" s="55"/>
      <c r="B399" s="60"/>
      <c r="C399" s="55"/>
      <c r="D399" s="65"/>
      <c r="E399" s="66"/>
    </row>
    <row r="400">
      <c r="A400" s="55"/>
      <c r="B400" s="60"/>
      <c r="C400" s="55"/>
      <c r="D400" s="65"/>
      <c r="E400" s="66"/>
    </row>
    <row r="401">
      <c r="A401" s="55"/>
      <c r="B401" s="60"/>
      <c r="C401" s="55"/>
      <c r="D401" s="65"/>
      <c r="E401" s="66"/>
    </row>
    <row r="402">
      <c r="A402" s="55"/>
      <c r="B402" s="60"/>
      <c r="C402" s="55"/>
      <c r="D402" s="65"/>
      <c r="E402" s="66"/>
    </row>
    <row r="403">
      <c r="A403" s="55"/>
      <c r="B403" s="60"/>
      <c r="C403" s="55"/>
      <c r="D403" s="65"/>
      <c r="E403" s="66"/>
    </row>
    <row r="404">
      <c r="A404" s="55"/>
      <c r="B404" s="60"/>
      <c r="C404" s="55"/>
      <c r="D404" s="65"/>
      <c r="E404" s="66"/>
    </row>
    <row r="405">
      <c r="A405" s="55"/>
      <c r="B405" s="60"/>
      <c r="C405" s="55"/>
      <c r="D405" s="65"/>
      <c r="E405" s="66"/>
    </row>
    <row r="406">
      <c r="A406" s="55"/>
      <c r="B406" s="60"/>
      <c r="C406" s="55"/>
      <c r="D406" s="65"/>
      <c r="E406" s="66"/>
    </row>
    <row r="407">
      <c r="A407" s="55"/>
      <c r="B407" s="60"/>
      <c r="C407" s="55"/>
      <c r="D407" s="65"/>
      <c r="E407" s="66"/>
    </row>
    <row r="408">
      <c r="A408" s="55"/>
      <c r="B408" s="60"/>
      <c r="C408" s="55"/>
      <c r="D408" s="65"/>
      <c r="E408" s="66"/>
    </row>
    <row r="409">
      <c r="A409" s="55"/>
      <c r="B409" s="60"/>
      <c r="C409" s="55"/>
      <c r="D409" s="65"/>
      <c r="E409" s="66"/>
    </row>
    <row r="410">
      <c r="A410" s="55"/>
      <c r="B410" s="60"/>
      <c r="C410" s="55"/>
      <c r="D410" s="65"/>
      <c r="E410" s="66"/>
    </row>
    <row r="411">
      <c r="A411" s="55"/>
      <c r="B411" s="60"/>
      <c r="C411" s="55"/>
      <c r="D411" s="65"/>
      <c r="E411" s="66"/>
    </row>
    <row r="412">
      <c r="A412" s="55"/>
      <c r="B412" s="60"/>
      <c r="C412" s="55"/>
      <c r="D412" s="65"/>
      <c r="E412" s="66"/>
    </row>
    <row r="413">
      <c r="A413" s="55"/>
      <c r="B413" s="60"/>
      <c r="C413" s="55"/>
      <c r="D413" s="65"/>
      <c r="E413" s="66"/>
    </row>
    <row r="414">
      <c r="A414" s="55"/>
      <c r="B414" s="60"/>
      <c r="C414" s="55"/>
      <c r="D414" s="65"/>
      <c r="E414" s="66"/>
    </row>
    <row r="415">
      <c r="A415" s="55"/>
      <c r="B415" s="60"/>
      <c r="C415" s="55"/>
      <c r="D415" s="65"/>
      <c r="E415" s="66"/>
    </row>
    <row r="416">
      <c r="A416" s="55"/>
      <c r="B416" s="60"/>
      <c r="C416" s="55"/>
      <c r="D416" s="65"/>
      <c r="E416" s="66"/>
    </row>
    <row r="417">
      <c r="A417" s="55"/>
      <c r="B417" s="60"/>
      <c r="C417" s="55"/>
      <c r="D417" s="65"/>
      <c r="E417" s="66"/>
    </row>
    <row r="418">
      <c r="A418" s="55"/>
      <c r="B418" s="60"/>
      <c r="C418" s="55"/>
      <c r="D418" s="65"/>
      <c r="E418" s="66"/>
    </row>
    <row r="419">
      <c r="A419" s="55"/>
      <c r="B419" s="60"/>
      <c r="C419" s="55"/>
      <c r="D419" s="65"/>
      <c r="E419" s="66"/>
    </row>
    <row r="420">
      <c r="A420" s="55"/>
      <c r="B420" s="60"/>
      <c r="C420" s="55"/>
      <c r="D420" s="65"/>
      <c r="E420" s="66"/>
    </row>
    <row r="421">
      <c r="A421" s="55"/>
      <c r="B421" s="60"/>
      <c r="C421" s="55"/>
      <c r="D421" s="65"/>
      <c r="E421" s="66"/>
    </row>
    <row r="422">
      <c r="A422" s="55"/>
      <c r="B422" s="60"/>
      <c r="C422" s="55"/>
      <c r="D422" s="65"/>
      <c r="E422" s="66"/>
    </row>
    <row r="423">
      <c r="A423" s="55"/>
      <c r="B423" s="60"/>
      <c r="C423" s="55"/>
      <c r="D423" s="65"/>
      <c r="E423" s="66"/>
    </row>
    <row r="424">
      <c r="A424" s="55"/>
      <c r="B424" s="60"/>
      <c r="C424" s="55"/>
      <c r="D424" s="65"/>
      <c r="E424" s="66"/>
    </row>
    <row r="425">
      <c r="A425" s="55"/>
      <c r="B425" s="60"/>
      <c r="C425" s="55"/>
      <c r="D425" s="65"/>
      <c r="E425" s="66"/>
    </row>
    <row r="426">
      <c r="A426" s="55"/>
      <c r="B426" s="60"/>
      <c r="C426" s="55"/>
      <c r="D426" s="65"/>
      <c r="E426" s="66"/>
    </row>
    <row r="427">
      <c r="A427" s="55"/>
      <c r="B427" s="60"/>
      <c r="C427" s="55"/>
      <c r="D427" s="65"/>
      <c r="E427" s="66"/>
    </row>
    <row r="428">
      <c r="A428" s="55"/>
      <c r="B428" s="60"/>
      <c r="C428" s="55"/>
      <c r="D428" s="65"/>
      <c r="E428" s="66"/>
    </row>
    <row r="429">
      <c r="A429" s="55"/>
      <c r="B429" s="60"/>
      <c r="C429" s="55"/>
      <c r="D429" s="65"/>
      <c r="E429" s="66"/>
    </row>
    <row r="430">
      <c r="A430" s="55"/>
      <c r="B430" s="60"/>
      <c r="C430" s="55"/>
      <c r="D430" s="65"/>
      <c r="E430" s="66"/>
    </row>
    <row r="431">
      <c r="A431" s="55"/>
      <c r="B431" s="60"/>
      <c r="C431" s="55"/>
      <c r="D431" s="65"/>
      <c r="E431" s="66"/>
    </row>
    <row r="432">
      <c r="A432" s="55"/>
      <c r="B432" s="60"/>
      <c r="C432" s="55"/>
      <c r="D432" s="65"/>
      <c r="E432" s="66"/>
    </row>
    <row r="433">
      <c r="A433" s="55"/>
      <c r="B433" s="60"/>
      <c r="C433" s="55"/>
      <c r="D433" s="65"/>
      <c r="E433" s="66"/>
    </row>
    <row r="434">
      <c r="A434" s="55"/>
      <c r="B434" s="60"/>
      <c r="C434" s="55"/>
      <c r="D434" s="65"/>
      <c r="E434" s="66"/>
    </row>
    <row r="435">
      <c r="A435" s="55"/>
      <c r="B435" s="60"/>
      <c r="C435" s="55"/>
      <c r="D435" s="65"/>
      <c r="E435" s="66"/>
    </row>
    <row r="436">
      <c r="A436" s="55"/>
      <c r="B436" s="60"/>
      <c r="C436" s="55"/>
      <c r="D436" s="65"/>
      <c r="E436" s="66"/>
    </row>
    <row r="437">
      <c r="A437" s="55"/>
      <c r="B437" s="60"/>
      <c r="C437" s="55"/>
      <c r="D437" s="65"/>
      <c r="E437" s="66"/>
    </row>
    <row r="438">
      <c r="A438" s="55"/>
      <c r="B438" s="60"/>
      <c r="C438" s="55"/>
      <c r="D438" s="65"/>
      <c r="E438" s="66"/>
    </row>
    <row r="439">
      <c r="A439" s="55"/>
      <c r="B439" s="60"/>
      <c r="C439" s="55"/>
      <c r="D439" s="65"/>
      <c r="E439" s="66"/>
    </row>
    <row r="440">
      <c r="A440" s="55"/>
      <c r="B440" s="60"/>
      <c r="C440" s="55"/>
      <c r="D440" s="65"/>
      <c r="E440" s="66"/>
    </row>
    <row r="441">
      <c r="A441" s="55"/>
      <c r="B441" s="60"/>
      <c r="C441" s="55"/>
      <c r="D441" s="65"/>
      <c r="E441" s="66"/>
    </row>
    <row r="442">
      <c r="A442" s="55"/>
      <c r="B442" s="60"/>
      <c r="C442" s="55"/>
      <c r="D442" s="65"/>
      <c r="E442" s="66"/>
    </row>
    <row r="443">
      <c r="A443" s="55"/>
      <c r="B443" s="60"/>
      <c r="C443" s="55"/>
      <c r="D443" s="65"/>
      <c r="E443" s="66"/>
    </row>
    <row r="444">
      <c r="A444" s="55"/>
      <c r="B444" s="60"/>
      <c r="C444" s="55"/>
      <c r="D444" s="65"/>
      <c r="E444" s="66"/>
    </row>
    <row r="445">
      <c r="A445" s="55"/>
      <c r="B445" s="60"/>
      <c r="C445" s="55"/>
      <c r="D445" s="65"/>
      <c r="E445" s="66"/>
    </row>
    <row r="446">
      <c r="A446" s="55"/>
      <c r="B446" s="60"/>
      <c r="C446" s="55"/>
      <c r="D446" s="65"/>
      <c r="E446" s="66"/>
    </row>
    <row r="447">
      <c r="A447" s="55"/>
      <c r="B447" s="60"/>
      <c r="C447" s="55"/>
      <c r="D447" s="65"/>
      <c r="E447" s="66"/>
    </row>
    <row r="448">
      <c r="A448" s="55"/>
      <c r="B448" s="60"/>
      <c r="C448" s="55"/>
      <c r="D448" s="65"/>
      <c r="E448" s="66"/>
    </row>
    <row r="449">
      <c r="A449" s="55"/>
      <c r="B449" s="60"/>
      <c r="C449" s="55"/>
      <c r="D449" s="65"/>
      <c r="E449" s="66"/>
    </row>
    <row r="450">
      <c r="A450" s="55"/>
      <c r="B450" s="60"/>
      <c r="C450" s="55"/>
      <c r="D450" s="65"/>
      <c r="E450" s="66"/>
    </row>
    <row r="451">
      <c r="A451" s="55"/>
      <c r="B451" s="60"/>
      <c r="C451" s="55"/>
      <c r="D451" s="65"/>
      <c r="E451" s="66"/>
    </row>
    <row r="452">
      <c r="A452" s="55"/>
      <c r="B452" s="60"/>
      <c r="C452" s="55"/>
      <c r="D452" s="65"/>
      <c r="E452" s="66"/>
    </row>
    <row r="453">
      <c r="A453" s="55"/>
      <c r="B453" s="60"/>
      <c r="C453" s="55"/>
      <c r="D453" s="65"/>
      <c r="E453" s="66"/>
    </row>
    <row r="454">
      <c r="A454" s="55"/>
      <c r="B454" s="60"/>
      <c r="C454" s="55"/>
      <c r="D454" s="65"/>
      <c r="E454" s="66"/>
    </row>
    <row r="455">
      <c r="A455" s="55"/>
      <c r="B455" s="60"/>
      <c r="C455" s="55"/>
      <c r="D455" s="65"/>
      <c r="E455" s="66"/>
    </row>
    <row r="456">
      <c r="A456" s="55"/>
      <c r="B456" s="60"/>
      <c r="C456" s="55"/>
      <c r="D456" s="65"/>
      <c r="E456" s="66"/>
    </row>
    <row r="457">
      <c r="A457" s="55"/>
      <c r="B457" s="60"/>
      <c r="C457" s="55"/>
      <c r="D457" s="65"/>
      <c r="E457" s="66"/>
    </row>
    <row r="458">
      <c r="A458" s="55"/>
      <c r="B458" s="60"/>
      <c r="C458" s="55"/>
      <c r="D458" s="65"/>
      <c r="E458" s="66"/>
    </row>
    <row r="459">
      <c r="A459" s="55"/>
      <c r="B459" s="60"/>
      <c r="C459" s="55"/>
      <c r="D459" s="65"/>
      <c r="E459" s="66"/>
    </row>
    <row r="460">
      <c r="A460" s="55"/>
      <c r="B460" s="60"/>
      <c r="C460" s="55"/>
      <c r="D460" s="65"/>
      <c r="E460" s="66"/>
    </row>
    <row r="461">
      <c r="A461" s="55"/>
      <c r="B461" s="60"/>
      <c r="C461" s="55"/>
      <c r="D461" s="65"/>
      <c r="E461" s="66"/>
    </row>
    <row r="462">
      <c r="A462" s="55"/>
      <c r="B462" s="60"/>
      <c r="C462" s="55"/>
      <c r="D462" s="65"/>
      <c r="E462" s="66"/>
    </row>
    <row r="463">
      <c r="A463" s="55"/>
      <c r="B463" s="60"/>
      <c r="C463" s="55"/>
      <c r="D463" s="65"/>
      <c r="E463" s="66"/>
    </row>
    <row r="464">
      <c r="A464" s="55"/>
      <c r="B464" s="60"/>
      <c r="C464" s="55"/>
      <c r="D464" s="65"/>
      <c r="E464" s="66"/>
    </row>
    <row r="465">
      <c r="A465" s="55"/>
      <c r="B465" s="60"/>
      <c r="C465" s="55"/>
      <c r="D465" s="65"/>
      <c r="E465" s="66"/>
    </row>
    <row r="466">
      <c r="A466" s="55"/>
      <c r="B466" s="60"/>
      <c r="C466" s="55"/>
      <c r="D466" s="65"/>
      <c r="E466" s="66"/>
    </row>
    <row r="467">
      <c r="A467" s="55"/>
      <c r="B467" s="60"/>
      <c r="C467" s="55"/>
      <c r="D467" s="65"/>
      <c r="E467" s="66"/>
    </row>
    <row r="468">
      <c r="A468" s="55"/>
      <c r="B468" s="60"/>
      <c r="C468" s="55"/>
      <c r="D468" s="65"/>
      <c r="E468" s="66"/>
    </row>
    <row r="469">
      <c r="A469" s="55"/>
      <c r="B469" s="60"/>
      <c r="C469" s="55"/>
      <c r="D469" s="65"/>
      <c r="E469" s="66"/>
    </row>
    <row r="470">
      <c r="A470" s="55"/>
      <c r="B470" s="60"/>
      <c r="C470" s="55"/>
      <c r="D470" s="65"/>
      <c r="E470" s="66"/>
    </row>
    <row r="471">
      <c r="A471" s="55"/>
      <c r="B471" s="60"/>
      <c r="C471" s="55"/>
      <c r="D471" s="65"/>
      <c r="E471" s="66"/>
    </row>
    <row r="472">
      <c r="A472" s="55"/>
      <c r="B472" s="60"/>
      <c r="C472" s="55"/>
      <c r="D472" s="65"/>
      <c r="E472" s="66"/>
    </row>
    <row r="473">
      <c r="A473" s="55"/>
      <c r="B473" s="60"/>
      <c r="C473" s="55"/>
      <c r="D473" s="65"/>
      <c r="E473" s="66"/>
    </row>
    <row r="474">
      <c r="A474" s="55"/>
      <c r="B474" s="60"/>
      <c r="C474" s="55"/>
      <c r="D474" s="65"/>
      <c r="E474" s="66"/>
    </row>
    <row r="475">
      <c r="A475" s="55"/>
      <c r="B475" s="60"/>
      <c r="C475" s="55"/>
      <c r="D475" s="65"/>
      <c r="E475" s="66"/>
    </row>
    <row r="476">
      <c r="A476" s="55"/>
      <c r="B476" s="60"/>
      <c r="C476" s="55"/>
      <c r="D476" s="65"/>
      <c r="E476" s="66"/>
    </row>
    <row r="477">
      <c r="A477" s="55"/>
      <c r="B477" s="60"/>
      <c r="C477" s="55"/>
      <c r="D477" s="65"/>
      <c r="E477" s="66"/>
    </row>
    <row r="478">
      <c r="A478" s="55"/>
      <c r="B478" s="60"/>
      <c r="C478" s="55"/>
      <c r="D478" s="65"/>
      <c r="E478" s="66"/>
    </row>
    <row r="479">
      <c r="A479" s="55"/>
      <c r="B479" s="60"/>
      <c r="C479" s="55"/>
      <c r="D479" s="65"/>
      <c r="E479" s="66"/>
    </row>
    <row r="480">
      <c r="A480" s="55"/>
      <c r="B480" s="60"/>
      <c r="C480" s="55"/>
      <c r="D480" s="65"/>
      <c r="E480" s="66"/>
    </row>
    <row r="481">
      <c r="A481" s="55"/>
      <c r="B481" s="60"/>
      <c r="C481" s="55"/>
      <c r="D481" s="65"/>
      <c r="E481" s="66"/>
    </row>
    <row r="482">
      <c r="A482" s="55"/>
      <c r="B482" s="60"/>
      <c r="C482" s="55"/>
      <c r="D482" s="65"/>
      <c r="E482" s="66"/>
    </row>
    <row r="483">
      <c r="A483" s="55"/>
      <c r="B483" s="60"/>
      <c r="C483" s="55"/>
      <c r="D483" s="65"/>
      <c r="E483" s="66"/>
    </row>
    <row r="484">
      <c r="A484" s="55"/>
      <c r="B484" s="60"/>
      <c r="C484" s="55"/>
      <c r="D484" s="65"/>
      <c r="E484" s="66"/>
    </row>
    <row r="485">
      <c r="A485" s="55"/>
      <c r="B485" s="60"/>
      <c r="C485" s="55"/>
      <c r="D485" s="65"/>
      <c r="E485" s="66"/>
    </row>
    <row r="486">
      <c r="A486" s="55"/>
      <c r="B486" s="60"/>
      <c r="C486" s="55"/>
      <c r="D486" s="65"/>
      <c r="E486" s="66"/>
    </row>
    <row r="487">
      <c r="A487" s="55"/>
      <c r="B487" s="60"/>
      <c r="C487" s="55"/>
      <c r="D487" s="65"/>
      <c r="E487" s="66"/>
    </row>
    <row r="488">
      <c r="A488" s="55"/>
      <c r="B488" s="60"/>
      <c r="C488" s="55"/>
      <c r="D488" s="65"/>
      <c r="E488" s="66"/>
    </row>
    <row r="489">
      <c r="A489" s="55"/>
      <c r="B489" s="60"/>
      <c r="C489" s="55"/>
      <c r="D489" s="65"/>
      <c r="E489" s="66"/>
    </row>
    <row r="490">
      <c r="A490" s="55"/>
      <c r="B490" s="60"/>
      <c r="C490" s="55"/>
      <c r="D490" s="65"/>
      <c r="E490" s="66"/>
    </row>
    <row r="491">
      <c r="A491" s="55"/>
      <c r="B491" s="60"/>
      <c r="C491" s="55"/>
      <c r="D491" s="65"/>
      <c r="E491" s="66"/>
    </row>
    <row r="492">
      <c r="A492" s="55"/>
      <c r="B492" s="60"/>
      <c r="C492" s="55"/>
      <c r="D492" s="65"/>
      <c r="E492" s="66"/>
    </row>
    <row r="493">
      <c r="A493" s="55"/>
      <c r="B493" s="60"/>
      <c r="C493" s="55"/>
      <c r="D493" s="65"/>
      <c r="E493" s="66"/>
    </row>
    <row r="494">
      <c r="A494" s="55"/>
      <c r="B494" s="60"/>
      <c r="C494" s="55"/>
      <c r="D494" s="65"/>
      <c r="E494" s="66"/>
    </row>
    <row r="495">
      <c r="A495" s="55"/>
      <c r="B495" s="60"/>
      <c r="C495" s="55"/>
      <c r="D495" s="65"/>
      <c r="E495" s="66"/>
    </row>
    <row r="496">
      <c r="A496" s="55"/>
      <c r="B496" s="60"/>
      <c r="C496" s="55"/>
      <c r="D496" s="65"/>
      <c r="E496" s="66"/>
    </row>
    <row r="497">
      <c r="A497" s="55"/>
      <c r="B497" s="60"/>
      <c r="C497" s="55"/>
      <c r="D497" s="65"/>
      <c r="E497" s="66"/>
    </row>
    <row r="498">
      <c r="A498" s="55"/>
      <c r="B498" s="60"/>
      <c r="C498" s="55"/>
      <c r="D498" s="65"/>
      <c r="E498" s="66"/>
    </row>
    <row r="499">
      <c r="A499" s="55"/>
      <c r="B499" s="60"/>
      <c r="C499" s="55"/>
      <c r="D499" s="65"/>
      <c r="E499" s="66"/>
    </row>
    <row r="500">
      <c r="A500" s="55"/>
      <c r="B500" s="60"/>
      <c r="C500" s="55"/>
      <c r="D500" s="65"/>
      <c r="E500" s="66"/>
    </row>
    <row r="501">
      <c r="A501" s="55"/>
      <c r="B501" s="60"/>
      <c r="C501" s="55"/>
      <c r="D501" s="65"/>
      <c r="E501" s="66"/>
    </row>
    <row r="502">
      <c r="A502" s="55"/>
      <c r="B502" s="60"/>
      <c r="C502" s="55"/>
      <c r="D502" s="65"/>
      <c r="E502" s="66"/>
    </row>
    <row r="503">
      <c r="A503" s="55"/>
      <c r="B503" s="60"/>
      <c r="C503" s="55"/>
      <c r="D503" s="65"/>
      <c r="E503" s="66"/>
    </row>
    <row r="504">
      <c r="A504" s="55"/>
      <c r="B504" s="60"/>
      <c r="C504" s="55"/>
      <c r="D504" s="65"/>
      <c r="E504" s="66"/>
    </row>
    <row r="505">
      <c r="A505" s="55"/>
      <c r="B505" s="60"/>
      <c r="C505" s="55"/>
      <c r="D505" s="65"/>
      <c r="E505" s="66"/>
    </row>
    <row r="506">
      <c r="A506" s="55"/>
      <c r="B506" s="60"/>
      <c r="C506" s="55"/>
      <c r="D506" s="65"/>
      <c r="E506" s="66"/>
    </row>
    <row r="507">
      <c r="A507" s="55"/>
      <c r="B507" s="60"/>
      <c r="C507" s="55"/>
      <c r="D507" s="65"/>
      <c r="E507" s="66"/>
    </row>
    <row r="508">
      <c r="A508" s="55"/>
      <c r="B508" s="60"/>
      <c r="C508" s="55"/>
      <c r="D508" s="65"/>
      <c r="E508" s="66"/>
    </row>
    <row r="509">
      <c r="A509" s="55"/>
      <c r="B509" s="60"/>
      <c r="C509" s="55"/>
      <c r="D509" s="65"/>
      <c r="E509" s="66"/>
    </row>
    <row r="510">
      <c r="A510" s="55"/>
      <c r="B510" s="60"/>
      <c r="C510" s="55"/>
      <c r="D510" s="65"/>
      <c r="E510" s="66"/>
    </row>
    <row r="511">
      <c r="A511" s="55"/>
      <c r="B511" s="60"/>
      <c r="C511" s="55"/>
      <c r="D511" s="65"/>
      <c r="E511" s="66"/>
    </row>
    <row r="512">
      <c r="A512" s="55"/>
      <c r="B512" s="60"/>
      <c r="C512" s="55"/>
      <c r="D512" s="65"/>
      <c r="E512" s="66"/>
    </row>
    <row r="513">
      <c r="A513" s="55"/>
      <c r="B513" s="60"/>
      <c r="C513" s="55"/>
      <c r="D513" s="65"/>
      <c r="E513" s="66"/>
    </row>
    <row r="514">
      <c r="A514" s="55"/>
      <c r="B514" s="60"/>
      <c r="C514" s="55"/>
      <c r="D514" s="65"/>
      <c r="E514" s="66"/>
    </row>
    <row r="515">
      <c r="A515" s="55"/>
      <c r="B515" s="60"/>
      <c r="C515" s="55"/>
      <c r="D515" s="65"/>
      <c r="E515" s="66"/>
    </row>
    <row r="516">
      <c r="A516" s="55"/>
      <c r="B516" s="60"/>
      <c r="C516" s="55"/>
      <c r="D516" s="65"/>
      <c r="E516" s="66"/>
    </row>
    <row r="517">
      <c r="A517" s="55"/>
      <c r="B517" s="60"/>
      <c r="C517" s="55"/>
      <c r="D517" s="65"/>
      <c r="E517" s="66"/>
    </row>
    <row r="518">
      <c r="A518" s="55"/>
      <c r="B518" s="60"/>
      <c r="C518" s="55"/>
      <c r="D518" s="65"/>
      <c r="E518" s="66"/>
    </row>
    <row r="519">
      <c r="A519" s="55"/>
      <c r="B519" s="60"/>
      <c r="C519" s="55"/>
      <c r="D519" s="65"/>
      <c r="E519" s="66"/>
    </row>
    <row r="520">
      <c r="A520" s="55"/>
      <c r="B520" s="60"/>
      <c r="C520" s="55"/>
      <c r="D520" s="65"/>
      <c r="E520" s="66"/>
    </row>
    <row r="521">
      <c r="A521" s="55"/>
      <c r="B521" s="60"/>
      <c r="C521" s="55"/>
      <c r="D521" s="65"/>
      <c r="E521" s="66"/>
    </row>
    <row r="522">
      <c r="A522" s="55"/>
      <c r="B522" s="60"/>
      <c r="C522" s="55"/>
      <c r="D522" s="65"/>
      <c r="E522" s="66"/>
    </row>
    <row r="523">
      <c r="A523" s="55"/>
      <c r="B523" s="60"/>
      <c r="C523" s="55"/>
      <c r="D523" s="65"/>
      <c r="E523" s="66"/>
    </row>
    <row r="524">
      <c r="A524" s="55"/>
      <c r="B524" s="60"/>
      <c r="C524" s="55"/>
      <c r="D524" s="65"/>
      <c r="E524" s="66"/>
    </row>
    <row r="525">
      <c r="A525" s="55"/>
      <c r="B525" s="60"/>
      <c r="C525" s="55"/>
      <c r="D525" s="65"/>
      <c r="E525" s="66"/>
    </row>
    <row r="526">
      <c r="A526" s="55"/>
      <c r="B526" s="60"/>
      <c r="C526" s="55"/>
      <c r="D526" s="65"/>
      <c r="E526" s="66"/>
    </row>
    <row r="527">
      <c r="A527" s="55"/>
      <c r="B527" s="60"/>
      <c r="C527" s="55"/>
      <c r="D527" s="65"/>
      <c r="E527" s="66"/>
    </row>
    <row r="528">
      <c r="A528" s="55"/>
      <c r="B528" s="60"/>
      <c r="C528" s="55"/>
      <c r="D528" s="65"/>
      <c r="E528" s="66"/>
    </row>
    <row r="529">
      <c r="A529" s="55"/>
      <c r="B529" s="60"/>
      <c r="C529" s="55"/>
      <c r="D529" s="65"/>
      <c r="E529" s="66"/>
    </row>
    <row r="530">
      <c r="A530" s="55"/>
      <c r="B530" s="60"/>
      <c r="C530" s="55"/>
      <c r="D530" s="65"/>
      <c r="E530" s="66"/>
    </row>
    <row r="531">
      <c r="A531" s="55"/>
      <c r="B531" s="60"/>
      <c r="C531" s="55"/>
      <c r="D531" s="65"/>
      <c r="E531" s="66"/>
    </row>
    <row r="532">
      <c r="A532" s="55"/>
      <c r="B532" s="60"/>
      <c r="C532" s="55"/>
      <c r="D532" s="65"/>
      <c r="E532" s="66"/>
    </row>
    <row r="533">
      <c r="A533" s="55"/>
      <c r="B533" s="60"/>
      <c r="C533" s="55"/>
      <c r="D533" s="65"/>
      <c r="E533" s="66"/>
    </row>
    <row r="534">
      <c r="A534" s="55"/>
      <c r="B534" s="60"/>
      <c r="C534" s="55"/>
      <c r="D534" s="65"/>
      <c r="E534" s="66"/>
    </row>
    <row r="535">
      <c r="A535" s="55"/>
      <c r="B535" s="60"/>
      <c r="C535" s="55"/>
      <c r="D535" s="65"/>
      <c r="E535" s="66"/>
    </row>
    <row r="536">
      <c r="A536" s="55"/>
      <c r="B536" s="60"/>
      <c r="C536" s="55"/>
      <c r="D536" s="65"/>
      <c r="E536" s="66"/>
    </row>
    <row r="537">
      <c r="A537" s="55"/>
      <c r="B537" s="60"/>
      <c r="C537" s="55"/>
      <c r="D537" s="65"/>
      <c r="E537" s="66"/>
    </row>
    <row r="538">
      <c r="A538" s="55"/>
      <c r="B538" s="60"/>
      <c r="C538" s="55"/>
      <c r="D538" s="65"/>
      <c r="E538" s="66"/>
    </row>
    <row r="539">
      <c r="A539" s="55"/>
      <c r="B539" s="60"/>
      <c r="C539" s="55"/>
      <c r="D539" s="65"/>
      <c r="E539" s="66"/>
    </row>
    <row r="540">
      <c r="A540" s="55"/>
      <c r="B540" s="60"/>
      <c r="C540" s="55"/>
      <c r="D540" s="65"/>
      <c r="E540" s="66"/>
    </row>
    <row r="541">
      <c r="A541" s="55"/>
      <c r="B541" s="60"/>
      <c r="C541" s="55"/>
      <c r="D541" s="65"/>
      <c r="E541" s="66"/>
    </row>
    <row r="542">
      <c r="A542" s="55"/>
      <c r="B542" s="60"/>
      <c r="C542" s="55"/>
      <c r="D542" s="65"/>
      <c r="E542" s="66"/>
    </row>
    <row r="543">
      <c r="A543" s="55"/>
      <c r="B543" s="60"/>
      <c r="C543" s="55"/>
      <c r="D543" s="65"/>
      <c r="E543" s="66"/>
    </row>
    <row r="544">
      <c r="A544" s="55"/>
      <c r="B544" s="60"/>
      <c r="C544" s="55"/>
      <c r="D544" s="65"/>
      <c r="E544" s="66"/>
    </row>
    <row r="545">
      <c r="A545" s="55"/>
      <c r="B545" s="60"/>
      <c r="C545" s="55"/>
      <c r="D545" s="65"/>
      <c r="E545" s="66"/>
    </row>
    <row r="546">
      <c r="A546" s="55"/>
      <c r="B546" s="60"/>
      <c r="C546" s="55"/>
      <c r="D546" s="65"/>
      <c r="E546" s="66"/>
    </row>
    <row r="547">
      <c r="A547" s="55"/>
      <c r="B547" s="60"/>
      <c r="C547" s="55"/>
      <c r="D547" s="65"/>
      <c r="E547" s="66"/>
    </row>
    <row r="548">
      <c r="A548" s="55"/>
      <c r="B548" s="60"/>
      <c r="C548" s="55"/>
      <c r="D548" s="65"/>
      <c r="E548" s="66"/>
    </row>
    <row r="549">
      <c r="A549" s="55"/>
      <c r="B549" s="60"/>
      <c r="C549" s="55"/>
      <c r="D549" s="65"/>
      <c r="E549" s="66"/>
    </row>
    <row r="550">
      <c r="A550" s="55"/>
      <c r="B550" s="60"/>
      <c r="C550" s="55"/>
      <c r="D550" s="65"/>
      <c r="E550" s="66"/>
    </row>
    <row r="551">
      <c r="A551" s="55"/>
      <c r="B551" s="60"/>
      <c r="C551" s="55"/>
      <c r="D551" s="65"/>
      <c r="E551" s="66"/>
    </row>
    <row r="552">
      <c r="A552" s="55"/>
      <c r="B552" s="60"/>
      <c r="C552" s="55"/>
      <c r="D552" s="65"/>
      <c r="E552" s="66"/>
    </row>
    <row r="553">
      <c r="A553" s="55"/>
      <c r="B553" s="60"/>
      <c r="C553" s="55"/>
      <c r="D553" s="65"/>
      <c r="E553" s="66"/>
    </row>
    <row r="554">
      <c r="A554" s="55"/>
      <c r="B554" s="60"/>
      <c r="C554" s="55"/>
      <c r="D554" s="65"/>
      <c r="E554" s="66"/>
    </row>
    <row r="555">
      <c r="A555" s="55"/>
      <c r="B555" s="60"/>
      <c r="C555" s="55"/>
      <c r="D555" s="65"/>
      <c r="E555" s="66"/>
    </row>
    <row r="556">
      <c r="A556" s="55"/>
      <c r="B556" s="60"/>
      <c r="C556" s="55"/>
      <c r="D556" s="65"/>
      <c r="E556" s="66"/>
    </row>
    <row r="557">
      <c r="A557" s="55"/>
      <c r="B557" s="60"/>
      <c r="C557" s="55"/>
      <c r="D557" s="65"/>
      <c r="E557" s="66"/>
    </row>
    <row r="558">
      <c r="A558" s="55"/>
      <c r="B558" s="60"/>
      <c r="C558" s="55"/>
      <c r="D558" s="65"/>
      <c r="E558" s="66"/>
    </row>
    <row r="559">
      <c r="A559" s="55"/>
      <c r="B559" s="60"/>
      <c r="C559" s="55"/>
      <c r="D559" s="65"/>
      <c r="E559" s="66"/>
    </row>
    <row r="560">
      <c r="A560" s="55"/>
      <c r="B560" s="60"/>
      <c r="C560" s="55"/>
      <c r="D560" s="65"/>
      <c r="E560" s="66"/>
    </row>
    <row r="561">
      <c r="A561" s="55"/>
      <c r="B561" s="60"/>
      <c r="C561" s="55"/>
      <c r="D561" s="65"/>
      <c r="E561" s="66"/>
    </row>
    <row r="562">
      <c r="A562" s="55"/>
      <c r="B562" s="60"/>
      <c r="C562" s="55"/>
      <c r="D562" s="65"/>
      <c r="E562" s="66"/>
    </row>
    <row r="563">
      <c r="A563" s="55"/>
      <c r="B563" s="60"/>
      <c r="C563" s="55"/>
      <c r="D563" s="65"/>
      <c r="E563" s="66"/>
    </row>
    <row r="564">
      <c r="A564" s="55"/>
      <c r="B564" s="60"/>
      <c r="C564" s="55"/>
      <c r="D564" s="65"/>
      <c r="E564" s="66"/>
    </row>
    <row r="565">
      <c r="A565" s="55"/>
      <c r="B565" s="60"/>
      <c r="C565" s="55"/>
      <c r="D565" s="65"/>
      <c r="E565" s="66"/>
    </row>
    <row r="566">
      <c r="A566" s="55"/>
      <c r="B566" s="60"/>
      <c r="C566" s="55"/>
      <c r="D566" s="65"/>
      <c r="E566" s="66"/>
    </row>
    <row r="567">
      <c r="A567" s="55"/>
      <c r="B567" s="60"/>
      <c r="C567" s="55"/>
      <c r="D567" s="65"/>
      <c r="E567" s="66"/>
    </row>
    <row r="568">
      <c r="A568" s="55"/>
      <c r="B568" s="60"/>
      <c r="C568" s="55"/>
      <c r="D568" s="65"/>
      <c r="E568" s="66"/>
    </row>
    <row r="569">
      <c r="A569" s="55"/>
      <c r="B569" s="60"/>
      <c r="C569" s="55"/>
      <c r="D569" s="65"/>
      <c r="E569" s="66"/>
    </row>
    <row r="570">
      <c r="A570" s="55"/>
      <c r="B570" s="60"/>
      <c r="C570" s="55"/>
      <c r="D570" s="65"/>
      <c r="E570" s="66"/>
    </row>
    <row r="571">
      <c r="A571" s="55"/>
      <c r="B571" s="60"/>
      <c r="C571" s="55"/>
      <c r="D571" s="65"/>
      <c r="E571" s="66"/>
    </row>
    <row r="572">
      <c r="A572" s="55"/>
      <c r="B572" s="60"/>
      <c r="C572" s="55"/>
      <c r="D572" s="65"/>
      <c r="E572" s="66"/>
    </row>
    <row r="573">
      <c r="A573" s="55"/>
      <c r="B573" s="60"/>
      <c r="C573" s="55"/>
      <c r="D573" s="65"/>
      <c r="E573" s="66"/>
    </row>
    <row r="574">
      <c r="A574" s="55"/>
      <c r="B574" s="60"/>
      <c r="C574" s="55"/>
      <c r="D574" s="65"/>
      <c r="E574" s="66"/>
    </row>
    <row r="575">
      <c r="A575" s="55"/>
      <c r="B575" s="60"/>
      <c r="C575" s="55"/>
      <c r="D575" s="65"/>
      <c r="E575" s="66"/>
    </row>
    <row r="576">
      <c r="A576" s="55"/>
      <c r="B576" s="60"/>
      <c r="C576" s="55"/>
      <c r="D576" s="65"/>
      <c r="E576" s="66"/>
    </row>
    <row r="577">
      <c r="A577" s="55"/>
      <c r="B577" s="60"/>
      <c r="C577" s="55"/>
      <c r="D577" s="65"/>
      <c r="E577" s="66"/>
    </row>
    <row r="578">
      <c r="A578" s="55"/>
      <c r="B578" s="60"/>
      <c r="C578" s="55"/>
      <c r="D578" s="65"/>
      <c r="E578" s="66"/>
    </row>
    <row r="579">
      <c r="A579" s="55"/>
      <c r="B579" s="60"/>
      <c r="C579" s="55"/>
      <c r="D579" s="65"/>
      <c r="E579" s="66"/>
    </row>
    <row r="580">
      <c r="A580" s="55"/>
      <c r="B580" s="60"/>
      <c r="C580" s="55"/>
      <c r="D580" s="65"/>
      <c r="E580" s="66"/>
    </row>
    <row r="581">
      <c r="A581" s="55"/>
      <c r="B581" s="60"/>
      <c r="C581" s="55"/>
      <c r="D581" s="65"/>
      <c r="E581" s="66"/>
    </row>
    <row r="582">
      <c r="A582" s="55"/>
      <c r="B582" s="60"/>
      <c r="C582" s="55"/>
      <c r="D582" s="65"/>
      <c r="E582" s="66"/>
    </row>
    <row r="583">
      <c r="A583" s="55"/>
      <c r="B583" s="60"/>
      <c r="C583" s="55"/>
      <c r="D583" s="65"/>
      <c r="E583" s="66"/>
    </row>
    <row r="584">
      <c r="A584" s="55"/>
      <c r="B584" s="60"/>
      <c r="C584" s="55"/>
      <c r="D584" s="65"/>
      <c r="E584" s="66"/>
    </row>
    <row r="585">
      <c r="A585" s="55"/>
      <c r="B585" s="60"/>
      <c r="C585" s="55"/>
      <c r="D585" s="65"/>
      <c r="E585" s="66"/>
    </row>
    <row r="586">
      <c r="A586" s="55"/>
      <c r="B586" s="60"/>
      <c r="C586" s="55"/>
      <c r="D586" s="65"/>
      <c r="E586" s="66"/>
    </row>
    <row r="587">
      <c r="A587" s="55"/>
      <c r="B587" s="60"/>
      <c r="C587" s="55"/>
      <c r="D587" s="65"/>
      <c r="E587" s="66"/>
    </row>
    <row r="588">
      <c r="A588" s="55"/>
      <c r="B588" s="60"/>
      <c r="C588" s="55"/>
      <c r="D588" s="65"/>
      <c r="E588" s="66"/>
    </row>
    <row r="589">
      <c r="A589" s="55"/>
      <c r="B589" s="60"/>
      <c r="C589" s="55"/>
      <c r="D589" s="65"/>
      <c r="E589" s="66"/>
    </row>
    <row r="590">
      <c r="A590" s="55"/>
      <c r="B590" s="60"/>
      <c r="C590" s="55"/>
      <c r="D590" s="65"/>
      <c r="E590" s="66"/>
    </row>
    <row r="591">
      <c r="A591" s="55"/>
      <c r="B591" s="60"/>
      <c r="C591" s="55"/>
      <c r="D591" s="65"/>
      <c r="E591" s="66"/>
    </row>
    <row r="592">
      <c r="A592" s="55"/>
      <c r="B592" s="60"/>
      <c r="C592" s="55"/>
      <c r="D592" s="65"/>
      <c r="E592" s="66"/>
    </row>
    <row r="593">
      <c r="A593" s="55"/>
      <c r="B593" s="60"/>
      <c r="C593" s="55"/>
      <c r="D593" s="65"/>
      <c r="E593" s="66"/>
    </row>
    <row r="594">
      <c r="A594" s="55"/>
      <c r="B594" s="60"/>
      <c r="C594" s="55"/>
      <c r="D594" s="65"/>
      <c r="E594" s="66"/>
    </row>
    <row r="595">
      <c r="A595" s="55"/>
      <c r="B595" s="60"/>
      <c r="C595" s="55"/>
      <c r="D595" s="65"/>
      <c r="E595" s="66"/>
    </row>
    <row r="596">
      <c r="A596" s="55"/>
      <c r="B596" s="60"/>
      <c r="C596" s="55"/>
      <c r="D596" s="65"/>
      <c r="E596" s="66"/>
    </row>
    <row r="597">
      <c r="A597" s="55"/>
      <c r="B597" s="60"/>
      <c r="C597" s="55"/>
      <c r="D597" s="65"/>
      <c r="E597" s="66"/>
    </row>
    <row r="598">
      <c r="A598" s="55"/>
      <c r="B598" s="60"/>
      <c r="C598" s="55"/>
      <c r="D598" s="65"/>
      <c r="E598" s="66"/>
    </row>
    <row r="599">
      <c r="A599" s="55"/>
      <c r="B599" s="60"/>
      <c r="C599" s="55"/>
      <c r="D599" s="65"/>
      <c r="E599" s="66"/>
    </row>
    <row r="600">
      <c r="A600" s="55"/>
      <c r="B600" s="60"/>
      <c r="C600" s="55"/>
      <c r="D600" s="65"/>
      <c r="E600" s="66"/>
    </row>
    <row r="601">
      <c r="A601" s="55"/>
      <c r="B601" s="60"/>
      <c r="C601" s="55"/>
      <c r="D601" s="65"/>
      <c r="E601" s="66"/>
    </row>
    <row r="602">
      <c r="A602" s="55"/>
      <c r="B602" s="60"/>
      <c r="C602" s="55"/>
      <c r="D602" s="65"/>
      <c r="E602" s="66"/>
    </row>
    <row r="603">
      <c r="A603" s="55"/>
      <c r="B603" s="60"/>
      <c r="C603" s="55"/>
      <c r="D603" s="65"/>
      <c r="E603" s="66"/>
    </row>
    <row r="604">
      <c r="A604" s="55"/>
      <c r="B604" s="60"/>
      <c r="C604" s="55"/>
      <c r="D604" s="65"/>
      <c r="E604" s="66"/>
    </row>
    <row r="605">
      <c r="A605" s="55"/>
      <c r="B605" s="60"/>
      <c r="C605" s="55"/>
      <c r="D605" s="65"/>
      <c r="E605" s="66"/>
    </row>
    <row r="606">
      <c r="A606" s="55"/>
      <c r="B606" s="60"/>
      <c r="C606" s="55"/>
      <c r="D606" s="65"/>
      <c r="E606" s="66"/>
    </row>
    <row r="607">
      <c r="A607" s="55"/>
      <c r="B607" s="60"/>
      <c r="C607" s="55"/>
      <c r="D607" s="65"/>
      <c r="E607" s="66"/>
    </row>
    <row r="608">
      <c r="A608" s="55"/>
      <c r="B608" s="60"/>
      <c r="C608" s="55"/>
      <c r="D608" s="65"/>
      <c r="E608" s="66"/>
    </row>
    <row r="609">
      <c r="A609" s="55"/>
      <c r="B609" s="60"/>
      <c r="C609" s="55"/>
      <c r="D609" s="65"/>
      <c r="E609" s="66"/>
    </row>
    <row r="610">
      <c r="A610" s="55"/>
      <c r="B610" s="60"/>
      <c r="C610" s="55"/>
      <c r="D610" s="65"/>
      <c r="E610" s="66"/>
    </row>
    <row r="611">
      <c r="A611" s="55"/>
      <c r="B611" s="60"/>
      <c r="C611" s="55"/>
      <c r="D611" s="65"/>
      <c r="E611" s="66"/>
    </row>
    <row r="612">
      <c r="A612" s="55"/>
      <c r="B612" s="60"/>
      <c r="C612" s="55"/>
      <c r="D612" s="65"/>
      <c r="E612" s="66"/>
    </row>
    <row r="613">
      <c r="A613" s="55"/>
      <c r="B613" s="60"/>
      <c r="C613" s="55"/>
      <c r="D613" s="65"/>
      <c r="E613" s="66"/>
    </row>
    <row r="614">
      <c r="A614" s="55"/>
      <c r="B614" s="60"/>
      <c r="C614" s="55"/>
      <c r="D614" s="65"/>
      <c r="E614" s="66"/>
    </row>
    <row r="615">
      <c r="A615" s="55"/>
      <c r="B615" s="60"/>
      <c r="C615" s="55"/>
      <c r="D615" s="65"/>
      <c r="E615" s="66"/>
    </row>
    <row r="616">
      <c r="A616" s="55"/>
      <c r="B616" s="60"/>
      <c r="C616" s="55"/>
      <c r="D616" s="65"/>
      <c r="E616" s="66"/>
    </row>
    <row r="617">
      <c r="A617" s="55"/>
      <c r="B617" s="60"/>
      <c r="C617" s="55"/>
      <c r="D617" s="65"/>
      <c r="E617" s="66"/>
    </row>
    <row r="618">
      <c r="A618" s="55"/>
      <c r="B618" s="60"/>
      <c r="C618" s="55"/>
      <c r="D618" s="65"/>
      <c r="E618" s="66"/>
    </row>
    <row r="619">
      <c r="A619" s="55"/>
      <c r="B619" s="60"/>
      <c r="C619" s="55"/>
      <c r="D619" s="65"/>
      <c r="E619" s="66"/>
    </row>
    <row r="620">
      <c r="A620" s="55"/>
      <c r="B620" s="60"/>
      <c r="C620" s="55"/>
      <c r="D620" s="65"/>
      <c r="E620" s="66"/>
    </row>
    <row r="621">
      <c r="A621" s="55"/>
      <c r="B621" s="60"/>
      <c r="C621" s="55"/>
      <c r="D621" s="65"/>
      <c r="E621" s="66"/>
    </row>
    <row r="622">
      <c r="A622" s="55"/>
      <c r="B622" s="60"/>
      <c r="C622" s="55"/>
      <c r="D622" s="65"/>
      <c r="E622" s="66"/>
    </row>
    <row r="623">
      <c r="A623" s="55"/>
      <c r="B623" s="60"/>
      <c r="C623" s="55"/>
      <c r="D623" s="65"/>
      <c r="E623" s="66"/>
    </row>
    <row r="624">
      <c r="A624" s="55"/>
      <c r="B624" s="60"/>
      <c r="C624" s="55"/>
      <c r="D624" s="65"/>
      <c r="E624" s="66"/>
    </row>
    <row r="625">
      <c r="A625" s="55"/>
      <c r="B625" s="60"/>
      <c r="C625" s="55"/>
      <c r="D625" s="65"/>
      <c r="E625" s="66"/>
    </row>
    <row r="626">
      <c r="A626" s="55"/>
      <c r="B626" s="60"/>
      <c r="C626" s="55"/>
      <c r="D626" s="65"/>
      <c r="E626" s="66"/>
    </row>
    <row r="627">
      <c r="A627" s="55"/>
      <c r="B627" s="60"/>
      <c r="C627" s="55"/>
      <c r="D627" s="65"/>
      <c r="E627" s="66"/>
    </row>
    <row r="628">
      <c r="A628" s="55"/>
      <c r="B628" s="60"/>
      <c r="C628" s="55"/>
      <c r="D628" s="65"/>
      <c r="E628" s="66"/>
    </row>
    <row r="629">
      <c r="A629" s="55"/>
      <c r="B629" s="60"/>
      <c r="C629" s="55"/>
      <c r="D629" s="65"/>
      <c r="E629" s="66"/>
    </row>
    <row r="630">
      <c r="A630" s="55"/>
      <c r="B630" s="60"/>
      <c r="C630" s="55"/>
      <c r="D630" s="65"/>
      <c r="E630" s="66"/>
    </row>
    <row r="631">
      <c r="A631" s="55"/>
      <c r="B631" s="60"/>
      <c r="C631" s="55"/>
      <c r="D631" s="65"/>
      <c r="E631" s="66"/>
    </row>
    <row r="632">
      <c r="A632" s="55"/>
      <c r="B632" s="60"/>
      <c r="C632" s="55"/>
      <c r="D632" s="65"/>
      <c r="E632" s="66"/>
    </row>
    <row r="633">
      <c r="A633" s="55"/>
      <c r="B633" s="60"/>
      <c r="C633" s="55"/>
      <c r="D633" s="65"/>
      <c r="E633" s="66"/>
    </row>
    <row r="634">
      <c r="A634" s="55"/>
      <c r="B634" s="60"/>
      <c r="C634" s="55"/>
      <c r="D634" s="65"/>
      <c r="E634" s="66"/>
    </row>
    <row r="635">
      <c r="A635" s="55"/>
      <c r="B635" s="60"/>
      <c r="C635" s="55"/>
      <c r="D635" s="65"/>
      <c r="E635" s="66"/>
    </row>
    <row r="636">
      <c r="A636" s="55"/>
      <c r="B636" s="60"/>
      <c r="C636" s="55"/>
      <c r="D636" s="65"/>
      <c r="E636" s="66"/>
    </row>
    <row r="637">
      <c r="A637" s="55"/>
      <c r="B637" s="60"/>
      <c r="C637" s="55"/>
      <c r="D637" s="65"/>
      <c r="E637" s="66"/>
    </row>
    <row r="638">
      <c r="A638" s="55"/>
      <c r="B638" s="60"/>
      <c r="C638" s="55"/>
      <c r="D638" s="65"/>
      <c r="E638" s="66"/>
    </row>
    <row r="639">
      <c r="A639" s="55"/>
      <c r="B639" s="60"/>
      <c r="C639" s="55"/>
      <c r="D639" s="65"/>
      <c r="E639" s="66"/>
    </row>
    <row r="640">
      <c r="A640" s="55"/>
      <c r="B640" s="60"/>
      <c r="C640" s="55"/>
      <c r="D640" s="65"/>
      <c r="E640" s="66"/>
    </row>
    <row r="641">
      <c r="A641" s="55"/>
      <c r="B641" s="60"/>
      <c r="C641" s="55"/>
      <c r="D641" s="65"/>
      <c r="E641" s="66"/>
    </row>
    <row r="642">
      <c r="A642" s="55"/>
      <c r="B642" s="60"/>
      <c r="C642" s="55"/>
      <c r="D642" s="65"/>
      <c r="E642" s="66"/>
    </row>
    <row r="643">
      <c r="A643" s="55"/>
      <c r="B643" s="60"/>
      <c r="C643" s="55"/>
      <c r="D643" s="65"/>
      <c r="E643" s="66"/>
    </row>
    <row r="644">
      <c r="A644" s="55"/>
      <c r="B644" s="60"/>
      <c r="C644" s="55"/>
      <c r="D644" s="65"/>
      <c r="E644" s="66"/>
    </row>
    <row r="645">
      <c r="A645" s="55"/>
      <c r="B645" s="60"/>
      <c r="C645" s="55"/>
      <c r="D645" s="65"/>
      <c r="E645" s="66"/>
    </row>
    <row r="646">
      <c r="A646" s="55"/>
      <c r="B646" s="60"/>
      <c r="C646" s="55"/>
      <c r="D646" s="65"/>
      <c r="E646" s="66"/>
    </row>
    <row r="647">
      <c r="A647" s="55"/>
      <c r="B647" s="60"/>
      <c r="C647" s="55"/>
      <c r="D647" s="65"/>
      <c r="E647" s="66"/>
    </row>
    <row r="648">
      <c r="A648" s="55"/>
      <c r="B648" s="60"/>
      <c r="C648" s="55"/>
      <c r="D648" s="65"/>
      <c r="E648" s="66"/>
    </row>
    <row r="649">
      <c r="A649" s="55"/>
      <c r="B649" s="60"/>
      <c r="C649" s="55"/>
      <c r="D649" s="65"/>
      <c r="E649" s="66"/>
    </row>
    <row r="650">
      <c r="A650" s="55"/>
      <c r="B650" s="60"/>
      <c r="C650" s="55"/>
      <c r="D650" s="65"/>
      <c r="E650" s="66"/>
    </row>
    <row r="651">
      <c r="A651" s="55"/>
      <c r="B651" s="60"/>
      <c r="C651" s="55"/>
      <c r="D651" s="65"/>
      <c r="E651" s="66"/>
    </row>
    <row r="652">
      <c r="A652" s="55"/>
      <c r="B652" s="60"/>
      <c r="C652" s="55"/>
      <c r="D652" s="65"/>
      <c r="E652" s="66"/>
    </row>
    <row r="653">
      <c r="A653" s="55"/>
      <c r="B653" s="60"/>
      <c r="C653" s="55"/>
      <c r="D653" s="65"/>
      <c r="E653" s="66"/>
    </row>
    <row r="654">
      <c r="A654" s="55"/>
      <c r="B654" s="60"/>
      <c r="C654" s="55"/>
      <c r="D654" s="65"/>
      <c r="E654" s="66"/>
    </row>
    <row r="655">
      <c r="A655" s="55"/>
      <c r="B655" s="60"/>
      <c r="C655" s="55"/>
      <c r="D655" s="65"/>
      <c r="E655" s="66"/>
    </row>
    <row r="656">
      <c r="A656" s="55"/>
      <c r="B656" s="60"/>
      <c r="C656" s="55"/>
      <c r="D656" s="65"/>
      <c r="E656" s="66"/>
    </row>
    <row r="657">
      <c r="A657" s="55"/>
      <c r="B657" s="60"/>
      <c r="C657" s="55"/>
      <c r="D657" s="65"/>
      <c r="E657" s="66"/>
    </row>
    <row r="658">
      <c r="A658" s="55"/>
      <c r="B658" s="60"/>
      <c r="C658" s="55"/>
      <c r="D658" s="65"/>
      <c r="E658" s="66"/>
    </row>
    <row r="659">
      <c r="A659" s="55"/>
      <c r="B659" s="60"/>
      <c r="C659" s="55"/>
      <c r="D659" s="65"/>
      <c r="E659" s="66"/>
    </row>
    <row r="660">
      <c r="A660" s="55"/>
      <c r="B660" s="60"/>
      <c r="C660" s="55"/>
      <c r="D660" s="65"/>
      <c r="E660" s="66"/>
    </row>
    <row r="661">
      <c r="A661" s="55"/>
      <c r="B661" s="60"/>
      <c r="C661" s="55"/>
      <c r="D661" s="65"/>
      <c r="E661" s="66"/>
    </row>
    <row r="662">
      <c r="A662" s="55"/>
      <c r="B662" s="60"/>
      <c r="C662" s="55"/>
      <c r="D662" s="65"/>
      <c r="E662" s="66"/>
    </row>
    <row r="663">
      <c r="A663" s="55"/>
      <c r="B663" s="60"/>
      <c r="C663" s="55"/>
      <c r="D663" s="65"/>
      <c r="E663" s="66"/>
    </row>
    <row r="664">
      <c r="A664" s="55"/>
      <c r="B664" s="60"/>
      <c r="C664" s="55"/>
      <c r="D664" s="65"/>
      <c r="E664" s="66"/>
    </row>
    <row r="665">
      <c r="A665" s="55"/>
      <c r="B665" s="60"/>
      <c r="C665" s="55"/>
      <c r="D665" s="65"/>
      <c r="E665" s="66"/>
    </row>
    <row r="666">
      <c r="A666" s="55"/>
      <c r="B666" s="60"/>
      <c r="C666" s="55"/>
      <c r="D666" s="65"/>
      <c r="E666" s="66"/>
    </row>
    <row r="667">
      <c r="A667" s="55"/>
      <c r="B667" s="60"/>
      <c r="C667" s="55"/>
      <c r="D667" s="65"/>
      <c r="E667" s="66"/>
    </row>
    <row r="668">
      <c r="A668" s="55"/>
      <c r="B668" s="60"/>
      <c r="C668" s="55"/>
      <c r="D668" s="65"/>
      <c r="E668" s="66"/>
    </row>
    <row r="669">
      <c r="A669" s="55"/>
      <c r="B669" s="60"/>
      <c r="C669" s="55"/>
      <c r="D669" s="65"/>
      <c r="E669" s="66"/>
    </row>
    <row r="670">
      <c r="A670" s="55"/>
      <c r="B670" s="60"/>
      <c r="C670" s="55"/>
      <c r="D670" s="65"/>
      <c r="E670" s="66"/>
    </row>
    <row r="671">
      <c r="A671" s="55"/>
      <c r="B671" s="60"/>
      <c r="C671" s="55"/>
      <c r="D671" s="65"/>
      <c r="E671" s="66"/>
    </row>
    <row r="672">
      <c r="A672" s="55"/>
      <c r="B672" s="60"/>
      <c r="C672" s="55"/>
      <c r="D672" s="65"/>
      <c r="E672" s="66"/>
    </row>
    <row r="673">
      <c r="A673" s="55"/>
      <c r="B673" s="60"/>
      <c r="C673" s="55"/>
      <c r="D673" s="65"/>
      <c r="E673" s="66"/>
    </row>
    <row r="674">
      <c r="A674" s="55"/>
      <c r="B674" s="60"/>
      <c r="C674" s="55"/>
      <c r="D674" s="65"/>
      <c r="E674" s="66"/>
    </row>
    <row r="675">
      <c r="A675" s="55"/>
      <c r="B675" s="60"/>
      <c r="C675" s="55"/>
      <c r="D675" s="65"/>
      <c r="E675" s="66"/>
    </row>
    <row r="676">
      <c r="A676" s="55"/>
      <c r="B676" s="60"/>
      <c r="C676" s="55"/>
      <c r="D676" s="65"/>
      <c r="E676" s="66"/>
    </row>
    <row r="677">
      <c r="A677" s="55"/>
      <c r="B677" s="60"/>
      <c r="C677" s="55"/>
      <c r="D677" s="65"/>
      <c r="E677" s="66"/>
    </row>
    <row r="678">
      <c r="A678" s="55"/>
      <c r="B678" s="60"/>
      <c r="C678" s="55"/>
      <c r="D678" s="65"/>
      <c r="E678" s="66"/>
    </row>
    <row r="679">
      <c r="A679" s="55"/>
      <c r="B679" s="60"/>
      <c r="C679" s="55"/>
      <c r="D679" s="65"/>
      <c r="E679" s="66"/>
    </row>
    <row r="680">
      <c r="A680" s="55"/>
      <c r="B680" s="60"/>
      <c r="C680" s="55"/>
      <c r="D680" s="65"/>
      <c r="E680" s="66"/>
    </row>
    <row r="681">
      <c r="A681" s="55"/>
      <c r="B681" s="60"/>
      <c r="C681" s="55"/>
      <c r="D681" s="65"/>
      <c r="E681" s="66"/>
    </row>
    <row r="682">
      <c r="A682" s="55"/>
      <c r="B682" s="60"/>
      <c r="C682" s="55"/>
      <c r="D682" s="65"/>
      <c r="E682" s="66"/>
    </row>
    <row r="683">
      <c r="A683" s="55"/>
      <c r="B683" s="60"/>
      <c r="C683" s="55"/>
      <c r="D683" s="65"/>
      <c r="E683" s="66"/>
    </row>
    <row r="684">
      <c r="A684" s="55"/>
      <c r="B684" s="60"/>
      <c r="C684" s="55"/>
      <c r="D684" s="65"/>
      <c r="E684" s="66"/>
    </row>
    <row r="685">
      <c r="A685" s="55"/>
      <c r="B685" s="60"/>
      <c r="C685" s="55"/>
      <c r="D685" s="65"/>
      <c r="E685" s="66"/>
    </row>
    <row r="686">
      <c r="A686" s="55"/>
      <c r="B686" s="60"/>
      <c r="C686" s="55"/>
      <c r="D686" s="65"/>
      <c r="E686" s="66"/>
    </row>
    <row r="687">
      <c r="A687" s="55"/>
      <c r="B687" s="60"/>
      <c r="C687" s="55"/>
      <c r="D687" s="65"/>
      <c r="E687" s="66"/>
    </row>
    <row r="688">
      <c r="A688" s="55"/>
      <c r="B688" s="60"/>
      <c r="C688" s="55"/>
      <c r="D688" s="65"/>
      <c r="E688" s="66"/>
    </row>
    <row r="689">
      <c r="A689" s="55"/>
      <c r="B689" s="60"/>
      <c r="C689" s="55"/>
      <c r="D689" s="65"/>
      <c r="E689" s="66"/>
    </row>
    <row r="690">
      <c r="A690" s="55"/>
      <c r="B690" s="60"/>
      <c r="C690" s="55"/>
      <c r="D690" s="65"/>
      <c r="E690" s="66"/>
    </row>
    <row r="691">
      <c r="A691" s="55"/>
      <c r="B691" s="60"/>
      <c r="C691" s="55"/>
      <c r="D691" s="65"/>
      <c r="E691" s="66"/>
    </row>
    <row r="692">
      <c r="A692" s="55"/>
      <c r="B692" s="60"/>
      <c r="C692" s="55"/>
      <c r="D692" s="65"/>
      <c r="E692" s="66"/>
    </row>
    <row r="693">
      <c r="A693" s="55"/>
      <c r="B693" s="60"/>
      <c r="C693" s="55"/>
      <c r="D693" s="65"/>
      <c r="E693" s="66"/>
    </row>
    <row r="694">
      <c r="A694" s="55"/>
      <c r="B694" s="60"/>
      <c r="C694" s="55"/>
      <c r="D694" s="65"/>
      <c r="E694" s="66"/>
    </row>
    <row r="695">
      <c r="A695" s="55"/>
      <c r="B695" s="60"/>
      <c r="C695" s="55"/>
      <c r="D695" s="65"/>
      <c r="E695" s="66"/>
    </row>
    <row r="696">
      <c r="A696" s="55"/>
      <c r="B696" s="60"/>
      <c r="C696" s="55"/>
      <c r="D696" s="65"/>
      <c r="E696" s="66"/>
    </row>
    <row r="697">
      <c r="A697" s="55"/>
      <c r="B697" s="60"/>
      <c r="C697" s="55"/>
      <c r="D697" s="65"/>
      <c r="E697" s="66"/>
    </row>
    <row r="698">
      <c r="A698" s="55"/>
      <c r="B698" s="60"/>
      <c r="C698" s="55"/>
      <c r="D698" s="65"/>
      <c r="E698" s="66"/>
    </row>
    <row r="699">
      <c r="A699" s="55"/>
      <c r="B699" s="60"/>
      <c r="C699" s="55"/>
      <c r="D699" s="65"/>
      <c r="E699" s="66"/>
    </row>
    <row r="700">
      <c r="A700" s="55"/>
      <c r="B700" s="60"/>
      <c r="C700" s="55"/>
      <c r="D700" s="65"/>
      <c r="E700" s="66"/>
    </row>
    <row r="701">
      <c r="A701" s="55"/>
      <c r="B701" s="60"/>
      <c r="C701" s="55"/>
      <c r="D701" s="65"/>
      <c r="E701" s="66"/>
    </row>
    <row r="702">
      <c r="A702" s="55"/>
      <c r="B702" s="60"/>
      <c r="C702" s="55"/>
      <c r="D702" s="65"/>
      <c r="E702" s="66"/>
    </row>
    <row r="703">
      <c r="A703" s="55"/>
      <c r="B703" s="60"/>
      <c r="C703" s="55"/>
      <c r="D703" s="65"/>
      <c r="E703" s="66"/>
    </row>
    <row r="704">
      <c r="A704" s="55"/>
      <c r="B704" s="60"/>
      <c r="C704" s="55"/>
      <c r="D704" s="65"/>
      <c r="E704" s="66"/>
    </row>
    <row r="705">
      <c r="A705" s="55"/>
      <c r="B705" s="60"/>
      <c r="C705" s="55"/>
      <c r="D705" s="65"/>
      <c r="E705" s="66"/>
    </row>
    <row r="706">
      <c r="A706" s="55"/>
      <c r="B706" s="60"/>
      <c r="C706" s="55"/>
      <c r="D706" s="65"/>
      <c r="E706" s="66"/>
    </row>
    <row r="707">
      <c r="A707" s="55"/>
      <c r="B707" s="60"/>
      <c r="C707" s="55"/>
      <c r="D707" s="65"/>
      <c r="E707" s="66"/>
    </row>
    <row r="708">
      <c r="A708" s="55"/>
      <c r="B708" s="60"/>
      <c r="C708" s="55"/>
      <c r="D708" s="65"/>
      <c r="E708" s="66"/>
    </row>
    <row r="709">
      <c r="A709" s="55"/>
      <c r="B709" s="60"/>
      <c r="C709" s="55"/>
      <c r="D709" s="65"/>
      <c r="E709" s="66"/>
    </row>
    <row r="710">
      <c r="A710" s="55"/>
      <c r="B710" s="60"/>
      <c r="C710" s="55"/>
      <c r="D710" s="65"/>
      <c r="E710" s="66"/>
    </row>
    <row r="711">
      <c r="A711" s="55"/>
      <c r="B711" s="60"/>
      <c r="C711" s="55"/>
      <c r="D711" s="65"/>
      <c r="E711" s="66"/>
    </row>
    <row r="712">
      <c r="A712" s="55"/>
      <c r="B712" s="60"/>
      <c r="C712" s="55"/>
      <c r="D712" s="65"/>
      <c r="E712" s="66"/>
    </row>
    <row r="713">
      <c r="A713" s="55"/>
      <c r="B713" s="60"/>
      <c r="C713" s="55"/>
      <c r="D713" s="65"/>
      <c r="E713" s="66"/>
    </row>
    <row r="714">
      <c r="A714" s="55"/>
      <c r="B714" s="60"/>
      <c r="C714" s="55"/>
      <c r="D714" s="65"/>
      <c r="E714" s="66"/>
    </row>
    <row r="715">
      <c r="A715" s="55"/>
      <c r="B715" s="60"/>
      <c r="C715" s="55"/>
      <c r="D715" s="65"/>
      <c r="E715" s="66"/>
    </row>
    <row r="716">
      <c r="A716" s="55"/>
      <c r="B716" s="60"/>
      <c r="C716" s="55"/>
      <c r="D716" s="65"/>
      <c r="E716" s="66"/>
    </row>
    <row r="717">
      <c r="A717" s="55"/>
      <c r="B717" s="60"/>
      <c r="C717" s="55"/>
      <c r="D717" s="65"/>
      <c r="E717" s="66"/>
    </row>
    <row r="718">
      <c r="A718" s="55"/>
      <c r="B718" s="60"/>
      <c r="C718" s="55"/>
      <c r="D718" s="65"/>
      <c r="E718" s="66"/>
    </row>
    <row r="719">
      <c r="A719" s="55"/>
      <c r="B719" s="60"/>
      <c r="C719" s="55"/>
      <c r="D719" s="65"/>
      <c r="E719" s="66"/>
    </row>
    <row r="720">
      <c r="A720" s="55"/>
      <c r="B720" s="60"/>
      <c r="C720" s="55"/>
      <c r="D720" s="65"/>
      <c r="E720" s="66"/>
    </row>
    <row r="721">
      <c r="A721" s="55"/>
      <c r="B721" s="60"/>
      <c r="C721" s="55"/>
      <c r="D721" s="65"/>
      <c r="E721" s="66"/>
    </row>
    <row r="722">
      <c r="A722" s="55"/>
      <c r="B722" s="60"/>
      <c r="C722" s="55"/>
      <c r="D722" s="65"/>
      <c r="E722" s="66"/>
    </row>
    <row r="723">
      <c r="A723" s="55"/>
      <c r="B723" s="60"/>
      <c r="C723" s="55"/>
      <c r="D723" s="65"/>
      <c r="E723" s="66"/>
    </row>
    <row r="724">
      <c r="A724" s="55"/>
      <c r="B724" s="60"/>
      <c r="C724" s="55"/>
      <c r="D724" s="65"/>
      <c r="E724" s="66"/>
    </row>
    <row r="725">
      <c r="A725" s="55"/>
      <c r="B725" s="60"/>
      <c r="C725" s="55"/>
      <c r="D725" s="65"/>
      <c r="E725" s="66"/>
    </row>
    <row r="726">
      <c r="A726" s="55"/>
      <c r="B726" s="60"/>
      <c r="C726" s="55"/>
      <c r="D726" s="65"/>
      <c r="E726" s="66"/>
    </row>
    <row r="727">
      <c r="A727" s="55"/>
      <c r="B727" s="60"/>
      <c r="C727" s="55"/>
      <c r="D727" s="65"/>
      <c r="E727" s="66"/>
    </row>
    <row r="728">
      <c r="A728" s="55"/>
      <c r="B728" s="60"/>
      <c r="C728" s="55"/>
      <c r="D728" s="65"/>
      <c r="E728" s="66"/>
    </row>
    <row r="729">
      <c r="A729" s="55"/>
      <c r="B729" s="60"/>
      <c r="C729" s="55"/>
      <c r="D729" s="65"/>
      <c r="E729" s="66"/>
    </row>
    <row r="730">
      <c r="A730" s="55"/>
      <c r="B730" s="60"/>
      <c r="C730" s="55"/>
      <c r="D730" s="65"/>
      <c r="E730" s="66"/>
    </row>
    <row r="731">
      <c r="A731" s="55"/>
      <c r="B731" s="60"/>
      <c r="C731" s="55"/>
      <c r="D731" s="65"/>
      <c r="E731" s="66"/>
    </row>
    <row r="732">
      <c r="A732" s="55"/>
      <c r="B732" s="60"/>
      <c r="C732" s="55"/>
      <c r="D732" s="65"/>
      <c r="E732" s="66"/>
    </row>
    <row r="733">
      <c r="A733" s="55"/>
      <c r="B733" s="60"/>
      <c r="C733" s="55"/>
      <c r="D733" s="65"/>
      <c r="E733" s="66"/>
    </row>
    <row r="734">
      <c r="A734" s="55"/>
      <c r="B734" s="60"/>
      <c r="C734" s="55"/>
      <c r="D734" s="65"/>
      <c r="E734" s="66"/>
    </row>
    <row r="735">
      <c r="A735" s="55"/>
      <c r="B735" s="60"/>
      <c r="C735" s="55"/>
      <c r="D735" s="65"/>
      <c r="E735" s="66"/>
    </row>
    <row r="736">
      <c r="A736" s="55"/>
      <c r="B736" s="60"/>
      <c r="C736" s="55"/>
      <c r="D736" s="65"/>
      <c r="E736" s="66"/>
    </row>
    <row r="737">
      <c r="A737" s="55"/>
      <c r="B737" s="60"/>
      <c r="C737" s="55"/>
      <c r="D737" s="65"/>
      <c r="E737" s="66"/>
    </row>
    <row r="738">
      <c r="A738" s="55"/>
      <c r="B738" s="60"/>
      <c r="C738" s="55"/>
      <c r="D738" s="65"/>
      <c r="E738" s="66"/>
    </row>
    <row r="739">
      <c r="A739" s="55"/>
      <c r="B739" s="60"/>
      <c r="C739" s="55"/>
      <c r="D739" s="65"/>
      <c r="E739" s="66"/>
    </row>
    <row r="740">
      <c r="A740" s="55"/>
      <c r="B740" s="60"/>
      <c r="C740" s="55"/>
      <c r="D740" s="65"/>
      <c r="E740" s="66"/>
    </row>
    <row r="741">
      <c r="A741" s="55"/>
      <c r="B741" s="60"/>
      <c r="C741" s="55"/>
      <c r="D741" s="65"/>
      <c r="E741" s="66"/>
    </row>
    <row r="742">
      <c r="A742" s="55"/>
      <c r="B742" s="60"/>
      <c r="C742" s="55"/>
      <c r="D742" s="65"/>
      <c r="E742" s="66"/>
    </row>
    <row r="743">
      <c r="A743" s="55"/>
      <c r="B743" s="60"/>
      <c r="C743" s="55"/>
      <c r="D743" s="65"/>
      <c r="E743" s="66"/>
    </row>
    <row r="744">
      <c r="A744" s="55"/>
      <c r="B744" s="60"/>
      <c r="C744" s="55"/>
      <c r="D744" s="65"/>
      <c r="E744" s="66"/>
    </row>
    <row r="745">
      <c r="A745" s="55"/>
      <c r="B745" s="60"/>
      <c r="C745" s="55"/>
      <c r="D745" s="65"/>
      <c r="E745" s="66"/>
    </row>
    <row r="746">
      <c r="A746" s="55"/>
      <c r="B746" s="60"/>
      <c r="C746" s="55"/>
      <c r="D746" s="65"/>
      <c r="E746" s="66"/>
    </row>
    <row r="747">
      <c r="A747" s="55"/>
      <c r="B747" s="60"/>
      <c r="C747" s="55"/>
      <c r="D747" s="65"/>
      <c r="E747" s="66"/>
    </row>
    <row r="748">
      <c r="A748" s="55"/>
      <c r="B748" s="60"/>
      <c r="C748" s="55"/>
      <c r="D748" s="65"/>
      <c r="E748" s="66"/>
    </row>
    <row r="749">
      <c r="A749" s="55"/>
      <c r="B749" s="60"/>
      <c r="C749" s="55"/>
      <c r="D749" s="65"/>
      <c r="E749" s="66"/>
    </row>
    <row r="750">
      <c r="A750" s="55"/>
      <c r="B750" s="60"/>
      <c r="C750" s="55"/>
      <c r="D750" s="65"/>
      <c r="E750" s="66"/>
    </row>
    <row r="751">
      <c r="A751" s="55"/>
      <c r="B751" s="60"/>
      <c r="C751" s="55"/>
      <c r="D751" s="65"/>
      <c r="E751" s="66"/>
    </row>
    <row r="752">
      <c r="A752" s="55"/>
      <c r="B752" s="60"/>
      <c r="C752" s="55"/>
      <c r="D752" s="65"/>
      <c r="E752" s="66"/>
    </row>
    <row r="753">
      <c r="A753" s="55"/>
      <c r="B753" s="60"/>
      <c r="C753" s="55"/>
      <c r="D753" s="65"/>
      <c r="E753" s="66"/>
    </row>
    <row r="754">
      <c r="A754" s="55"/>
      <c r="B754" s="60"/>
      <c r="C754" s="55"/>
      <c r="D754" s="65"/>
      <c r="E754" s="66"/>
    </row>
    <row r="755">
      <c r="A755" s="55"/>
      <c r="B755" s="60"/>
      <c r="C755" s="55"/>
      <c r="D755" s="65"/>
      <c r="E755" s="66"/>
    </row>
    <row r="756">
      <c r="A756" s="55"/>
      <c r="B756" s="60"/>
      <c r="C756" s="55"/>
      <c r="D756" s="65"/>
      <c r="E756" s="66"/>
    </row>
    <row r="757">
      <c r="A757" s="55"/>
      <c r="B757" s="60"/>
      <c r="C757" s="55"/>
      <c r="D757" s="65"/>
      <c r="E757" s="66"/>
    </row>
    <row r="758">
      <c r="A758" s="55"/>
      <c r="B758" s="60"/>
      <c r="C758" s="55"/>
      <c r="D758" s="65"/>
      <c r="E758" s="66"/>
    </row>
    <row r="759">
      <c r="A759" s="55"/>
      <c r="B759" s="60"/>
      <c r="C759" s="55"/>
      <c r="D759" s="65"/>
      <c r="E759" s="66"/>
    </row>
    <row r="760">
      <c r="A760" s="55"/>
      <c r="B760" s="60"/>
      <c r="C760" s="55"/>
      <c r="D760" s="65"/>
      <c r="E760" s="66"/>
    </row>
    <row r="761">
      <c r="A761" s="55"/>
      <c r="B761" s="60"/>
      <c r="C761" s="55"/>
      <c r="D761" s="65"/>
      <c r="E761" s="66"/>
    </row>
    <row r="762">
      <c r="A762" s="55"/>
      <c r="B762" s="60"/>
      <c r="C762" s="55"/>
      <c r="D762" s="65"/>
      <c r="E762" s="66"/>
    </row>
    <row r="763">
      <c r="A763" s="55"/>
      <c r="B763" s="60"/>
      <c r="C763" s="55"/>
      <c r="D763" s="65"/>
      <c r="E763" s="66"/>
    </row>
    <row r="764">
      <c r="A764" s="55"/>
      <c r="B764" s="60"/>
      <c r="C764" s="55"/>
      <c r="D764" s="65"/>
      <c r="E764" s="66"/>
    </row>
    <row r="765">
      <c r="A765" s="55"/>
      <c r="B765" s="60"/>
      <c r="C765" s="55"/>
      <c r="D765" s="65"/>
      <c r="E765" s="66"/>
    </row>
    <row r="766">
      <c r="A766" s="55"/>
      <c r="B766" s="60"/>
      <c r="C766" s="55"/>
      <c r="D766" s="65"/>
      <c r="E766" s="66"/>
    </row>
    <row r="767">
      <c r="A767" s="55"/>
      <c r="B767" s="60"/>
      <c r="C767" s="55"/>
      <c r="D767" s="65"/>
      <c r="E767" s="66"/>
    </row>
    <row r="768">
      <c r="A768" s="55"/>
      <c r="B768" s="60"/>
      <c r="C768" s="55"/>
      <c r="D768" s="65"/>
      <c r="E768" s="66"/>
    </row>
    <row r="769">
      <c r="A769" s="55"/>
      <c r="B769" s="60"/>
      <c r="C769" s="55"/>
      <c r="D769" s="65"/>
      <c r="E769" s="66"/>
    </row>
    <row r="770">
      <c r="A770" s="55"/>
      <c r="B770" s="60"/>
      <c r="C770" s="55"/>
      <c r="D770" s="65"/>
      <c r="E770" s="66"/>
    </row>
    <row r="771">
      <c r="A771" s="55"/>
      <c r="B771" s="60"/>
      <c r="C771" s="55"/>
      <c r="D771" s="65"/>
      <c r="E771" s="66"/>
    </row>
    <row r="772">
      <c r="A772" s="55"/>
      <c r="B772" s="60"/>
      <c r="C772" s="55"/>
      <c r="D772" s="65"/>
      <c r="E772" s="66"/>
    </row>
    <row r="773">
      <c r="A773" s="55"/>
      <c r="B773" s="60"/>
      <c r="C773" s="55"/>
      <c r="D773" s="65"/>
      <c r="E773" s="66"/>
    </row>
    <row r="774">
      <c r="A774" s="55"/>
      <c r="B774" s="60"/>
      <c r="C774" s="55"/>
      <c r="D774" s="65"/>
      <c r="E774" s="66"/>
    </row>
    <row r="775">
      <c r="A775" s="55"/>
      <c r="B775" s="60"/>
      <c r="C775" s="55"/>
      <c r="D775" s="65"/>
      <c r="E775" s="66"/>
    </row>
    <row r="776">
      <c r="A776" s="55"/>
      <c r="B776" s="60"/>
      <c r="C776" s="55"/>
      <c r="D776" s="65"/>
      <c r="E776" s="66"/>
    </row>
    <row r="777">
      <c r="A777" s="55"/>
      <c r="B777" s="60"/>
      <c r="C777" s="55"/>
      <c r="D777" s="65"/>
      <c r="E777" s="66"/>
    </row>
    <row r="778">
      <c r="A778" s="55"/>
      <c r="B778" s="60"/>
      <c r="C778" s="55"/>
      <c r="D778" s="65"/>
      <c r="E778" s="66"/>
    </row>
    <row r="779">
      <c r="A779" s="55"/>
      <c r="B779" s="60"/>
      <c r="C779" s="55"/>
      <c r="D779" s="65"/>
      <c r="E779" s="66"/>
    </row>
    <row r="780">
      <c r="A780" s="55"/>
      <c r="B780" s="60"/>
      <c r="C780" s="55"/>
      <c r="D780" s="65"/>
      <c r="E780" s="66"/>
    </row>
    <row r="781">
      <c r="A781" s="55"/>
      <c r="B781" s="60"/>
      <c r="C781" s="55"/>
      <c r="D781" s="65"/>
      <c r="E781" s="66"/>
    </row>
    <row r="782">
      <c r="A782" s="55"/>
      <c r="B782" s="60"/>
      <c r="C782" s="55"/>
      <c r="D782" s="65"/>
      <c r="E782" s="66"/>
    </row>
    <row r="783">
      <c r="A783" s="55"/>
      <c r="B783" s="60"/>
      <c r="C783" s="55"/>
      <c r="D783" s="65"/>
      <c r="E783" s="66"/>
    </row>
    <row r="784">
      <c r="A784" s="55"/>
      <c r="B784" s="60"/>
      <c r="C784" s="55"/>
      <c r="D784" s="65"/>
      <c r="E784" s="66"/>
    </row>
    <row r="785">
      <c r="A785" s="55"/>
      <c r="B785" s="60"/>
      <c r="C785" s="55"/>
      <c r="D785" s="65"/>
      <c r="E785" s="66"/>
    </row>
    <row r="786">
      <c r="A786" s="55"/>
      <c r="B786" s="60"/>
      <c r="C786" s="55"/>
      <c r="D786" s="65"/>
      <c r="E786" s="66"/>
    </row>
    <row r="787">
      <c r="A787" s="55"/>
      <c r="B787" s="60"/>
      <c r="C787" s="55"/>
      <c r="D787" s="65"/>
      <c r="E787" s="66"/>
    </row>
    <row r="788">
      <c r="A788" s="55"/>
      <c r="B788" s="60"/>
      <c r="C788" s="55"/>
      <c r="D788" s="65"/>
      <c r="E788" s="66"/>
    </row>
    <row r="789">
      <c r="A789" s="55"/>
      <c r="B789" s="60"/>
      <c r="C789" s="55"/>
      <c r="D789" s="65"/>
      <c r="E789" s="66"/>
    </row>
    <row r="790">
      <c r="A790" s="55"/>
      <c r="B790" s="60"/>
      <c r="C790" s="55"/>
      <c r="D790" s="65"/>
      <c r="E790" s="66"/>
    </row>
    <row r="791">
      <c r="A791" s="55"/>
      <c r="B791" s="60"/>
      <c r="C791" s="55"/>
      <c r="D791" s="65"/>
      <c r="E791" s="66"/>
    </row>
    <row r="792">
      <c r="A792" s="55"/>
      <c r="B792" s="60"/>
      <c r="C792" s="55"/>
      <c r="D792" s="65"/>
      <c r="E792" s="66"/>
    </row>
    <row r="793">
      <c r="A793" s="55"/>
      <c r="B793" s="60"/>
      <c r="C793" s="55"/>
      <c r="D793" s="65"/>
      <c r="E793" s="66"/>
    </row>
    <row r="794">
      <c r="A794" s="55"/>
      <c r="B794" s="60"/>
      <c r="C794" s="55"/>
      <c r="D794" s="65"/>
      <c r="E794" s="66"/>
    </row>
    <row r="795">
      <c r="A795" s="55"/>
      <c r="B795" s="60"/>
      <c r="C795" s="55"/>
      <c r="D795" s="65"/>
      <c r="E795" s="66"/>
    </row>
    <row r="796">
      <c r="A796" s="55"/>
      <c r="B796" s="60"/>
      <c r="C796" s="55"/>
      <c r="D796" s="65"/>
      <c r="E796" s="66"/>
    </row>
    <row r="797">
      <c r="A797" s="55"/>
      <c r="B797" s="60"/>
      <c r="C797" s="55"/>
      <c r="D797" s="65"/>
      <c r="E797" s="66"/>
    </row>
    <row r="798">
      <c r="A798" s="55"/>
      <c r="B798" s="60"/>
      <c r="C798" s="55"/>
      <c r="D798" s="65"/>
      <c r="E798" s="66"/>
    </row>
    <row r="799">
      <c r="A799" s="55"/>
      <c r="B799" s="60"/>
      <c r="C799" s="55"/>
      <c r="D799" s="65"/>
      <c r="E799" s="66"/>
    </row>
    <row r="800">
      <c r="A800" s="55"/>
      <c r="B800" s="60"/>
      <c r="C800" s="55"/>
      <c r="D800" s="65"/>
      <c r="E800" s="66"/>
    </row>
    <row r="801">
      <c r="A801" s="55"/>
      <c r="B801" s="60"/>
      <c r="C801" s="55"/>
      <c r="D801" s="65"/>
      <c r="E801" s="66"/>
    </row>
    <row r="802">
      <c r="A802" s="55"/>
      <c r="B802" s="60"/>
      <c r="C802" s="55"/>
      <c r="D802" s="65"/>
      <c r="E802" s="66"/>
    </row>
    <row r="803">
      <c r="A803" s="55"/>
      <c r="B803" s="60"/>
      <c r="C803" s="55"/>
      <c r="D803" s="65"/>
      <c r="E803" s="66"/>
    </row>
    <row r="804">
      <c r="A804" s="55"/>
      <c r="B804" s="60"/>
      <c r="C804" s="55"/>
      <c r="D804" s="65"/>
      <c r="E804" s="66"/>
    </row>
    <row r="805">
      <c r="A805" s="55"/>
      <c r="B805" s="60"/>
      <c r="C805" s="55"/>
      <c r="D805" s="65"/>
      <c r="E805" s="66"/>
    </row>
    <row r="806">
      <c r="A806" s="55"/>
      <c r="B806" s="60"/>
      <c r="C806" s="55"/>
      <c r="D806" s="65"/>
      <c r="E806" s="66"/>
    </row>
    <row r="807">
      <c r="A807" s="55"/>
      <c r="B807" s="60"/>
      <c r="C807" s="55"/>
      <c r="D807" s="65"/>
      <c r="E807" s="66"/>
    </row>
    <row r="808">
      <c r="A808" s="55"/>
      <c r="B808" s="60"/>
      <c r="C808" s="55"/>
      <c r="D808" s="65"/>
      <c r="E808" s="66"/>
    </row>
    <row r="809">
      <c r="A809" s="55"/>
      <c r="B809" s="60"/>
      <c r="C809" s="55"/>
      <c r="D809" s="65"/>
      <c r="E809" s="66"/>
    </row>
    <row r="810">
      <c r="A810" s="55"/>
      <c r="B810" s="60"/>
      <c r="C810" s="55"/>
      <c r="D810" s="65"/>
      <c r="E810" s="66"/>
    </row>
    <row r="811">
      <c r="A811" s="55"/>
      <c r="B811" s="60"/>
      <c r="C811" s="55"/>
      <c r="D811" s="65"/>
      <c r="E811" s="66"/>
    </row>
    <row r="812">
      <c r="A812" s="55"/>
      <c r="B812" s="60"/>
      <c r="C812" s="55"/>
      <c r="D812" s="65"/>
      <c r="E812" s="66"/>
    </row>
    <row r="813">
      <c r="A813" s="55"/>
      <c r="B813" s="60"/>
      <c r="C813" s="55"/>
      <c r="D813" s="65"/>
      <c r="E813" s="66"/>
    </row>
    <row r="814">
      <c r="A814" s="55"/>
      <c r="B814" s="60"/>
      <c r="C814" s="55"/>
      <c r="D814" s="65"/>
      <c r="E814" s="66"/>
    </row>
    <row r="815">
      <c r="A815" s="55"/>
      <c r="B815" s="60"/>
      <c r="C815" s="55"/>
      <c r="D815" s="65"/>
      <c r="E815" s="66"/>
    </row>
    <row r="816">
      <c r="A816" s="55"/>
      <c r="B816" s="60"/>
      <c r="C816" s="55"/>
      <c r="D816" s="65"/>
      <c r="E816" s="66"/>
    </row>
    <row r="817">
      <c r="A817" s="55"/>
      <c r="B817" s="60"/>
      <c r="C817" s="55"/>
      <c r="D817" s="65"/>
      <c r="E817" s="66"/>
    </row>
    <row r="818">
      <c r="A818" s="55"/>
      <c r="B818" s="60"/>
      <c r="C818" s="55"/>
      <c r="D818" s="65"/>
      <c r="E818" s="66"/>
    </row>
    <row r="819">
      <c r="A819" s="55"/>
      <c r="B819" s="60"/>
      <c r="C819" s="55"/>
      <c r="D819" s="65"/>
      <c r="E819" s="66"/>
    </row>
    <row r="820">
      <c r="A820" s="55"/>
      <c r="B820" s="60"/>
      <c r="C820" s="55"/>
      <c r="D820" s="65"/>
      <c r="E820" s="66"/>
    </row>
    <row r="821">
      <c r="A821" s="55"/>
      <c r="B821" s="60"/>
      <c r="C821" s="55"/>
      <c r="D821" s="65"/>
      <c r="E821" s="66"/>
    </row>
    <row r="822">
      <c r="A822" s="55"/>
      <c r="B822" s="60"/>
      <c r="C822" s="55"/>
      <c r="D822" s="65"/>
      <c r="E822" s="66"/>
    </row>
    <row r="823">
      <c r="A823" s="55"/>
      <c r="B823" s="60"/>
      <c r="C823" s="55"/>
      <c r="D823" s="65"/>
      <c r="E823" s="66"/>
    </row>
    <row r="824">
      <c r="A824" s="55"/>
      <c r="B824" s="60"/>
      <c r="C824" s="55"/>
      <c r="D824" s="65"/>
      <c r="E824" s="66"/>
    </row>
    <row r="825">
      <c r="A825" s="55"/>
      <c r="B825" s="60"/>
      <c r="C825" s="55"/>
      <c r="D825" s="65"/>
      <c r="E825" s="66"/>
    </row>
    <row r="826">
      <c r="A826" s="55"/>
      <c r="B826" s="60"/>
      <c r="C826" s="55"/>
      <c r="D826" s="65"/>
      <c r="E826" s="66"/>
    </row>
    <row r="827">
      <c r="A827" s="55"/>
      <c r="B827" s="60"/>
      <c r="C827" s="55"/>
      <c r="D827" s="65"/>
      <c r="E827" s="66"/>
    </row>
    <row r="828">
      <c r="A828" s="55"/>
      <c r="B828" s="60"/>
      <c r="C828" s="55"/>
      <c r="D828" s="65"/>
      <c r="E828" s="66"/>
    </row>
    <row r="829">
      <c r="A829" s="55"/>
      <c r="B829" s="60"/>
      <c r="C829" s="55"/>
      <c r="D829" s="65"/>
      <c r="E829" s="66"/>
    </row>
    <row r="830">
      <c r="A830" s="55"/>
      <c r="B830" s="60"/>
      <c r="C830" s="55"/>
      <c r="D830" s="65"/>
      <c r="E830" s="66"/>
    </row>
    <row r="831">
      <c r="A831" s="55"/>
      <c r="B831" s="60"/>
      <c r="C831" s="55"/>
      <c r="D831" s="65"/>
      <c r="E831" s="66"/>
    </row>
    <row r="832">
      <c r="A832" s="55"/>
      <c r="B832" s="60"/>
      <c r="C832" s="55"/>
      <c r="D832" s="65"/>
      <c r="E832" s="66"/>
    </row>
    <row r="833">
      <c r="A833" s="55"/>
      <c r="B833" s="60"/>
      <c r="C833" s="55"/>
      <c r="D833" s="65"/>
      <c r="E833" s="66"/>
    </row>
    <row r="834">
      <c r="A834" s="55"/>
      <c r="B834" s="60"/>
      <c r="C834" s="55"/>
      <c r="D834" s="65"/>
      <c r="E834" s="66"/>
    </row>
    <row r="835">
      <c r="A835" s="55"/>
      <c r="B835" s="60"/>
      <c r="C835" s="55"/>
      <c r="D835" s="65"/>
      <c r="E835" s="66"/>
    </row>
    <row r="836">
      <c r="A836" s="55"/>
      <c r="B836" s="60"/>
      <c r="C836" s="55"/>
      <c r="D836" s="65"/>
      <c r="E836" s="66"/>
    </row>
    <row r="837">
      <c r="A837" s="55"/>
      <c r="B837" s="60"/>
      <c r="C837" s="55"/>
      <c r="D837" s="65"/>
      <c r="E837" s="66"/>
    </row>
    <row r="838">
      <c r="A838" s="55"/>
      <c r="B838" s="60"/>
      <c r="C838" s="55"/>
      <c r="D838" s="65"/>
      <c r="E838" s="66"/>
    </row>
    <row r="839">
      <c r="A839" s="55"/>
      <c r="B839" s="60"/>
      <c r="C839" s="55"/>
      <c r="D839" s="65"/>
      <c r="E839" s="66"/>
    </row>
    <row r="840">
      <c r="A840" s="55"/>
      <c r="B840" s="60"/>
      <c r="C840" s="55"/>
      <c r="D840" s="65"/>
      <c r="E840" s="66"/>
    </row>
    <row r="841">
      <c r="A841" s="55"/>
      <c r="B841" s="60"/>
      <c r="C841" s="55"/>
      <c r="D841" s="65"/>
      <c r="E841" s="66"/>
    </row>
    <row r="842">
      <c r="A842" s="55"/>
      <c r="B842" s="60"/>
      <c r="C842" s="55"/>
      <c r="D842" s="65"/>
      <c r="E842" s="66"/>
    </row>
    <row r="843">
      <c r="A843" s="55"/>
      <c r="B843" s="60"/>
      <c r="C843" s="55"/>
      <c r="D843" s="65"/>
      <c r="E843" s="66"/>
    </row>
    <row r="844">
      <c r="A844" s="55"/>
      <c r="B844" s="60"/>
      <c r="C844" s="55"/>
      <c r="D844" s="65"/>
      <c r="E844" s="66"/>
    </row>
    <row r="845">
      <c r="A845" s="55"/>
      <c r="B845" s="60"/>
      <c r="C845" s="55"/>
      <c r="D845" s="65"/>
      <c r="E845" s="66"/>
    </row>
    <row r="846">
      <c r="A846" s="55"/>
      <c r="B846" s="60"/>
      <c r="C846" s="55"/>
      <c r="D846" s="65"/>
      <c r="E846" s="66"/>
    </row>
    <row r="847">
      <c r="A847" s="55"/>
      <c r="B847" s="60"/>
      <c r="C847" s="55"/>
      <c r="D847" s="65"/>
      <c r="E847" s="66"/>
    </row>
    <row r="848">
      <c r="A848" s="55"/>
      <c r="B848" s="60"/>
      <c r="C848" s="55"/>
      <c r="D848" s="65"/>
      <c r="E848" s="66"/>
    </row>
    <row r="849">
      <c r="A849" s="55"/>
      <c r="B849" s="60"/>
      <c r="C849" s="55"/>
      <c r="D849" s="65"/>
      <c r="E849" s="66"/>
    </row>
    <row r="850">
      <c r="A850" s="55"/>
      <c r="B850" s="60"/>
      <c r="C850" s="55"/>
      <c r="D850" s="65"/>
      <c r="E850" s="66"/>
    </row>
    <row r="851">
      <c r="A851" s="55"/>
      <c r="B851" s="60"/>
      <c r="C851" s="55"/>
      <c r="D851" s="65"/>
      <c r="E851" s="66"/>
    </row>
    <row r="852">
      <c r="A852" s="55"/>
      <c r="B852" s="60"/>
      <c r="C852" s="55"/>
      <c r="D852" s="65"/>
      <c r="E852" s="66"/>
    </row>
    <row r="853">
      <c r="A853" s="55"/>
      <c r="B853" s="60"/>
      <c r="C853" s="55"/>
      <c r="D853" s="65"/>
      <c r="E853" s="66"/>
    </row>
    <row r="854">
      <c r="A854" s="55"/>
      <c r="B854" s="60"/>
      <c r="C854" s="55"/>
      <c r="D854" s="65"/>
      <c r="E854" s="66"/>
    </row>
    <row r="855">
      <c r="A855" s="55"/>
      <c r="B855" s="60"/>
      <c r="C855" s="55"/>
      <c r="D855" s="65"/>
      <c r="E855" s="66"/>
    </row>
    <row r="856">
      <c r="A856" s="55"/>
      <c r="B856" s="60"/>
      <c r="C856" s="55"/>
      <c r="D856" s="65"/>
      <c r="E856" s="66"/>
    </row>
    <row r="857">
      <c r="A857" s="55"/>
      <c r="B857" s="60"/>
      <c r="C857" s="55"/>
      <c r="D857" s="65"/>
      <c r="E857" s="66"/>
    </row>
    <row r="858">
      <c r="A858" s="55"/>
      <c r="B858" s="60"/>
      <c r="C858" s="55"/>
      <c r="D858" s="65"/>
      <c r="E858" s="66"/>
    </row>
    <row r="859">
      <c r="A859" s="55"/>
      <c r="B859" s="60"/>
      <c r="C859" s="55"/>
      <c r="D859" s="65"/>
      <c r="E859" s="66"/>
    </row>
    <row r="860">
      <c r="A860" s="55"/>
      <c r="B860" s="60"/>
      <c r="C860" s="55"/>
      <c r="D860" s="65"/>
      <c r="E860" s="66"/>
    </row>
    <row r="861">
      <c r="A861" s="55"/>
      <c r="B861" s="60"/>
      <c r="C861" s="55"/>
      <c r="D861" s="65"/>
      <c r="E861" s="66"/>
    </row>
    <row r="862">
      <c r="A862" s="55"/>
      <c r="B862" s="60"/>
      <c r="C862" s="55"/>
      <c r="D862" s="65"/>
      <c r="E862" s="66"/>
    </row>
    <row r="863">
      <c r="A863" s="55"/>
      <c r="B863" s="60"/>
      <c r="C863" s="55"/>
      <c r="D863" s="65"/>
      <c r="E863" s="66"/>
    </row>
    <row r="864">
      <c r="A864" s="55"/>
      <c r="B864" s="60"/>
      <c r="C864" s="55"/>
      <c r="D864" s="65"/>
      <c r="E864" s="66"/>
    </row>
    <row r="865">
      <c r="A865" s="55"/>
      <c r="B865" s="60"/>
      <c r="C865" s="55"/>
      <c r="D865" s="65"/>
      <c r="E865" s="66"/>
    </row>
    <row r="866">
      <c r="A866" s="55"/>
      <c r="B866" s="60"/>
      <c r="C866" s="55"/>
      <c r="D866" s="65"/>
      <c r="E866" s="66"/>
    </row>
    <row r="867">
      <c r="A867" s="55"/>
      <c r="B867" s="60"/>
      <c r="C867" s="55"/>
      <c r="D867" s="65"/>
      <c r="E867" s="66"/>
    </row>
    <row r="868">
      <c r="A868" s="55"/>
      <c r="B868" s="60"/>
      <c r="C868" s="55"/>
      <c r="D868" s="65"/>
      <c r="E868" s="66"/>
    </row>
    <row r="869">
      <c r="A869" s="55"/>
      <c r="B869" s="60"/>
      <c r="C869" s="55"/>
      <c r="D869" s="65"/>
      <c r="E869" s="66"/>
    </row>
    <row r="870">
      <c r="A870" s="55"/>
      <c r="B870" s="60"/>
      <c r="C870" s="55"/>
      <c r="D870" s="65"/>
      <c r="E870" s="66"/>
    </row>
    <row r="871">
      <c r="A871" s="55"/>
      <c r="B871" s="60"/>
      <c r="C871" s="55"/>
      <c r="D871" s="65"/>
      <c r="E871" s="66"/>
    </row>
    <row r="872">
      <c r="A872" s="55"/>
      <c r="B872" s="60"/>
      <c r="C872" s="55"/>
      <c r="D872" s="65"/>
      <c r="E872" s="66"/>
    </row>
    <row r="873">
      <c r="A873" s="55"/>
      <c r="B873" s="60"/>
      <c r="C873" s="55"/>
      <c r="D873" s="65"/>
      <c r="E873" s="66"/>
    </row>
    <row r="874">
      <c r="A874" s="55"/>
      <c r="B874" s="60"/>
      <c r="C874" s="55"/>
      <c r="D874" s="65"/>
      <c r="E874" s="66"/>
    </row>
    <row r="875">
      <c r="A875" s="55"/>
      <c r="B875" s="60"/>
      <c r="C875" s="55"/>
      <c r="D875" s="65"/>
      <c r="E875" s="66"/>
    </row>
    <row r="876">
      <c r="A876" s="55"/>
      <c r="B876" s="60"/>
      <c r="C876" s="55"/>
      <c r="D876" s="65"/>
      <c r="E876" s="66"/>
    </row>
    <row r="877">
      <c r="A877" s="55"/>
      <c r="B877" s="60"/>
      <c r="C877" s="55"/>
      <c r="D877" s="65"/>
      <c r="E877" s="66"/>
    </row>
    <row r="878">
      <c r="A878" s="55"/>
      <c r="B878" s="60"/>
      <c r="C878" s="55"/>
      <c r="D878" s="65"/>
      <c r="E878" s="66"/>
    </row>
    <row r="879">
      <c r="A879" s="55"/>
      <c r="B879" s="60"/>
      <c r="C879" s="55"/>
      <c r="D879" s="65"/>
      <c r="E879" s="66"/>
    </row>
    <row r="880">
      <c r="A880" s="55"/>
      <c r="B880" s="60"/>
      <c r="C880" s="55"/>
      <c r="D880" s="65"/>
      <c r="E880" s="66"/>
    </row>
    <row r="881">
      <c r="A881" s="55"/>
      <c r="B881" s="60"/>
      <c r="C881" s="55"/>
      <c r="D881" s="65"/>
      <c r="E881" s="66"/>
    </row>
    <row r="882">
      <c r="A882" s="55"/>
      <c r="B882" s="60"/>
      <c r="C882" s="55"/>
      <c r="D882" s="65"/>
      <c r="E882" s="66"/>
    </row>
    <row r="883">
      <c r="A883" s="55"/>
      <c r="B883" s="60"/>
      <c r="C883" s="55"/>
      <c r="D883" s="65"/>
      <c r="E883" s="66"/>
    </row>
    <row r="884">
      <c r="A884" s="55"/>
      <c r="B884" s="60"/>
      <c r="C884" s="55"/>
      <c r="D884" s="65"/>
      <c r="E884" s="66"/>
    </row>
    <row r="885">
      <c r="A885" s="55"/>
      <c r="B885" s="60"/>
      <c r="C885" s="55"/>
      <c r="D885" s="65"/>
      <c r="E885" s="66"/>
    </row>
    <row r="886">
      <c r="A886" s="55"/>
      <c r="B886" s="60"/>
      <c r="C886" s="55"/>
      <c r="D886" s="65"/>
      <c r="E886" s="66"/>
    </row>
    <row r="887">
      <c r="A887" s="55"/>
      <c r="B887" s="60"/>
      <c r="C887" s="55"/>
      <c r="D887" s="65"/>
      <c r="E887" s="66"/>
    </row>
    <row r="888">
      <c r="A888" s="55"/>
      <c r="B888" s="60"/>
      <c r="C888" s="55"/>
      <c r="D888" s="65"/>
      <c r="E888" s="66"/>
    </row>
    <row r="889">
      <c r="A889" s="55"/>
      <c r="B889" s="60"/>
      <c r="C889" s="55"/>
      <c r="D889" s="65"/>
      <c r="E889" s="66"/>
    </row>
    <row r="890">
      <c r="A890" s="55"/>
      <c r="B890" s="60"/>
      <c r="C890" s="55"/>
      <c r="D890" s="65"/>
      <c r="E890" s="66"/>
    </row>
    <row r="891">
      <c r="A891" s="55"/>
      <c r="B891" s="60"/>
      <c r="C891" s="55"/>
      <c r="D891" s="65"/>
      <c r="E891" s="66"/>
    </row>
    <row r="892">
      <c r="A892" s="55"/>
      <c r="B892" s="60"/>
      <c r="C892" s="55"/>
      <c r="D892" s="65"/>
      <c r="E892" s="66"/>
    </row>
    <row r="893">
      <c r="A893" s="55"/>
      <c r="B893" s="60"/>
      <c r="C893" s="55"/>
      <c r="D893" s="65"/>
      <c r="E893" s="66"/>
    </row>
    <row r="894">
      <c r="A894" s="55"/>
      <c r="B894" s="60"/>
      <c r="C894" s="55"/>
      <c r="D894" s="65"/>
      <c r="E894" s="66"/>
    </row>
    <row r="895">
      <c r="A895" s="55"/>
      <c r="B895" s="60"/>
      <c r="C895" s="55"/>
      <c r="D895" s="65"/>
      <c r="E895" s="66"/>
    </row>
    <row r="896">
      <c r="A896" s="55"/>
      <c r="B896" s="60"/>
      <c r="C896" s="55"/>
      <c r="D896" s="65"/>
      <c r="E896" s="66"/>
    </row>
    <row r="897">
      <c r="A897" s="55"/>
      <c r="B897" s="60"/>
      <c r="C897" s="55"/>
      <c r="D897" s="65"/>
      <c r="E897" s="66"/>
    </row>
    <row r="898">
      <c r="A898" s="55"/>
      <c r="B898" s="60"/>
      <c r="C898" s="55"/>
      <c r="D898" s="65"/>
      <c r="E898" s="66"/>
    </row>
    <row r="899">
      <c r="A899" s="55"/>
      <c r="B899" s="60"/>
      <c r="C899" s="55"/>
      <c r="D899" s="65"/>
      <c r="E899" s="66"/>
    </row>
    <row r="900">
      <c r="A900" s="55"/>
      <c r="B900" s="60"/>
      <c r="C900" s="55"/>
      <c r="D900" s="65"/>
      <c r="E900" s="66"/>
    </row>
    <row r="901">
      <c r="A901" s="55"/>
      <c r="B901" s="60"/>
      <c r="C901" s="55"/>
      <c r="D901" s="65"/>
      <c r="E901" s="66"/>
    </row>
    <row r="902">
      <c r="A902" s="55"/>
      <c r="B902" s="60"/>
      <c r="C902" s="55"/>
      <c r="D902" s="65"/>
      <c r="E902" s="66"/>
    </row>
    <row r="903">
      <c r="A903" s="55"/>
      <c r="B903" s="60"/>
      <c r="C903" s="55"/>
      <c r="D903" s="65"/>
      <c r="E903" s="66"/>
    </row>
    <row r="904">
      <c r="A904" s="55"/>
      <c r="B904" s="60"/>
      <c r="C904" s="55"/>
      <c r="D904" s="65"/>
      <c r="E904" s="66"/>
    </row>
    <row r="905">
      <c r="A905" s="55"/>
      <c r="B905" s="60"/>
      <c r="C905" s="55"/>
      <c r="D905" s="65"/>
      <c r="E905" s="66"/>
    </row>
    <row r="906">
      <c r="A906" s="55"/>
      <c r="B906" s="60"/>
      <c r="C906" s="55"/>
      <c r="D906" s="65"/>
      <c r="E906" s="66"/>
    </row>
    <row r="907">
      <c r="A907" s="55"/>
      <c r="B907" s="60"/>
      <c r="C907" s="55"/>
      <c r="D907" s="65"/>
      <c r="E907" s="66"/>
    </row>
    <row r="908">
      <c r="A908" s="55"/>
      <c r="B908" s="60"/>
      <c r="C908" s="55"/>
      <c r="D908" s="65"/>
      <c r="E908" s="66"/>
    </row>
    <row r="909">
      <c r="A909" s="55"/>
      <c r="B909" s="60"/>
      <c r="C909" s="55"/>
      <c r="D909" s="65"/>
      <c r="E909" s="66"/>
    </row>
    <row r="910">
      <c r="A910" s="55"/>
      <c r="B910" s="60"/>
      <c r="C910" s="55"/>
      <c r="D910" s="65"/>
      <c r="E910" s="66"/>
    </row>
    <row r="911">
      <c r="A911" s="55"/>
      <c r="B911" s="60"/>
      <c r="C911" s="55"/>
      <c r="D911" s="65"/>
      <c r="E911" s="66"/>
    </row>
    <row r="912">
      <c r="A912" s="55"/>
      <c r="B912" s="60"/>
      <c r="C912" s="55"/>
      <c r="D912" s="65"/>
      <c r="E912" s="66"/>
    </row>
    <row r="913">
      <c r="A913" s="55"/>
      <c r="B913" s="60"/>
      <c r="C913" s="55"/>
      <c r="D913" s="65"/>
      <c r="E913" s="66"/>
    </row>
    <row r="914">
      <c r="A914" s="55"/>
      <c r="B914" s="60"/>
      <c r="C914" s="55"/>
      <c r="D914" s="65"/>
      <c r="E914" s="66"/>
    </row>
    <row r="915">
      <c r="A915" s="55"/>
      <c r="B915" s="60"/>
      <c r="C915" s="55"/>
      <c r="D915" s="65"/>
      <c r="E915" s="66"/>
    </row>
    <row r="916">
      <c r="A916" s="55"/>
      <c r="B916" s="60"/>
      <c r="C916" s="55"/>
      <c r="D916" s="65"/>
      <c r="E916" s="66"/>
    </row>
    <row r="917">
      <c r="A917" s="55"/>
      <c r="B917" s="60"/>
      <c r="C917" s="55"/>
      <c r="D917" s="65"/>
      <c r="E917" s="66"/>
    </row>
    <row r="918">
      <c r="A918" s="55"/>
      <c r="B918" s="60"/>
      <c r="C918" s="55"/>
      <c r="D918" s="65"/>
      <c r="E918" s="66"/>
    </row>
    <row r="919">
      <c r="A919" s="55"/>
      <c r="B919" s="60"/>
      <c r="C919" s="55"/>
      <c r="D919" s="65"/>
      <c r="E919" s="66"/>
    </row>
    <row r="920">
      <c r="A920" s="55"/>
      <c r="B920" s="60"/>
      <c r="C920" s="55"/>
      <c r="D920" s="65"/>
      <c r="E920" s="66"/>
    </row>
    <row r="921">
      <c r="A921" s="55"/>
      <c r="B921" s="60"/>
      <c r="C921" s="55"/>
      <c r="D921" s="65"/>
      <c r="E921" s="66"/>
    </row>
    <row r="922">
      <c r="A922" s="55"/>
      <c r="B922" s="60"/>
      <c r="C922" s="55"/>
      <c r="D922" s="65"/>
      <c r="E922" s="66"/>
    </row>
    <row r="923">
      <c r="A923" s="55"/>
      <c r="B923" s="60"/>
      <c r="C923" s="55"/>
      <c r="D923" s="65"/>
      <c r="E923" s="66"/>
    </row>
    <row r="924">
      <c r="A924" s="55"/>
      <c r="B924" s="60"/>
      <c r="C924" s="55"/>
      <c r="D924" s="65"/>
      <c r="E924" s="66"/>
    </row>
    <row r="925">
      <c r="A925" s="55"/>
      <c r="B925" s="60"/>
      <c r="C925" s="55"/>
      <c r="D925" s="65"/>
      <c r="E925" s="66"/>
    </row>
    <row r="926">
      <c r="A926" s="55"/>
      <c r="B926" s="60"/>
      <c r="C926" s="55"/>
      <c r="D926" s="65"/>
      <c r="E926" s="66"/>
    </row>
    <row r="927">
      <c r="A927" s="55"/>
      <c r="B927" s="60"/>
      <c r="C927" s="55"/>
      <c r="D927" s="65"/>
      <c r="E927" s="66"/>
    </row>
    <row r="928">
      <c r="A928" s="55"/>
      <c r="B928" s="60"/>
      <c r="C928" s="55"/>
      <c r="D928" s="65"/>
      <c r="E928" s="66"/>
    </row>
    <row r="929">
      <c r="A929" s="55"/>
      <c r="B929" s="60"/>
      <c r="C929" s="55"/>
      <c r="D929" s="65"/>
      <c r="E929" s="66"/>
    </row>
    <row r="930">
      <c r="A930" s="55"/>
      <c r="B930" s="60"/>
      <c r="C930" s="55"/>
      <c r="D930" s="65"/>
      <c r="E930" s="66"/>
    </row>
    <row r="931">
      <c r="A931" s="55"/>
      <c r="B931" s="60"/>
      <c r="C931" s="55"/>
      <c r="D931" s="65"/>
      <c r="E931" s="66"/>
    </row>
    <row r="932">
      <c r="A932" s="55"/>
      <c r="B932" s="60"/>
      <c r="C932" s="55"/>
      <c r="D932" s="65"/>
      <c r="E932" s="66"/>
    </row>
    <row r="933">
      <c r="A933" s="55"/>
      <c r="B933" s="60"/>
      <c r="C933" s="55"/>
      <c r="D933" s="65"/>
      <c r="E933" s="66"/>
    </row>
    <row r="934">
      <c r="A934" s="55"/>
      <c r="B934" s="60"/>
      <c r="C934" s="55"/>
      <c r="D934" s="65"/>
      <c r="E934" s="66"/>
    </row>
    <row r="935">
      <c r="A935" s="55"/>
      <c r="B935" s="60"/>
      <c r="C935" s="55"/>
      <c r="D935" s="65"/>
      <c r="E935" s="66"/>
    </row>
    <row r="936">
      <c r="A936" s="55"/>
      <c r="B936" s="60"/>
      <c r="C936" s="55"/>
      <c r="D936" s="65"/>
      <c r="E936" s="66"/>
    </row>
    <row r="937">
      <c r="A937" s="55"/>
      <c r="B937" s="60"/>
      <c r="C937" s="55"/>
      <c r="D937" s="65"/>
      <c r="E937" s="66"/>
    </row>
    <row r="938">
      <c r="A938" s="55"/>
      <c r="B938" s="60"/>
      <c r="C938" s="55"/>
      <c r="D938" s="65"/>
      <c r="E938" s="66"/>
    </row>
    <row r="939">
      <c r="A939" s="55"/>
      <c r="B939" s="60"/>
      <c r="C939" s="55"/>
      <c r="D939" s="65"/>
      <c r="E939" s="66"/>
    </row>
    <row r="940">
      <c r="A940" s="55"/>
      <c r="B940" s="60"/>
      <c r="C940" s="55"/>
      <c r="D940" s="65"/>
      <c r="E940" s="66"/>
    </row>
    <row r="941">
      <c r="A941" s="55"/>
      <c r="B941" s="60"/>
      <c r="C941" s="55"/>
      <c r="D941" s="65"/>
      <c r="E941" s="66"/>
    </row>
    <row r="942">
      <c r="A942" s="55"/>
      <c r="B942" s="60"/>
      <c r="C942" s="55"/>
      <c r="D942" s="65"/>
      <c r="E942" s="66"/>
    </row>
    <row r="943">
      <c r="A943" s="55"/>
      <c r="B943" s="60"/>
      <c r="C943" s="55"/>
      <c r="D943" s="65"/>
      <c r="E943" s="66"/>
    </row>
    <row r="944">
      <c r="A944" s="55"/>
      <c r="B944" s="60"/>
      <c r="C944" s="61"/>
      <c r="D944" s="65"/>
      <c r="E944" s="66"/>
    </row>
    <row r="945">
      <c r="A945" s="55"/>
      <c r="B945" s="60"/>
      <c r="C945" s="55"/>
      <c r="D945" s="65"/>
      <c r="E945" s="66"/>
    </row>
    <row r="946">
      <c r="A946" s="55"/>
      <c r="B946" s="60"/>
      <c r="C946" s="55"/>
      <c r="D946" s="65"/>
      <c r="E946" s="66"/>
    </row>
    <row r="947">
      <c r="A947" s="55"/>
      <c r="B947" s="60"/>
      <c r="C947" s="55"/>
      <c r="D947" s="65"/>
      <c r="E947" s="66"/>
    </row>
    <row r="948">
      <c r="A948" s="55"/>
      <c r="B948" s="60"/>
      <c r="C948" s="55"/>
      <c r="D948" s="65"/>
      <c r="E948" s="66"/>
    </row>
    <row r="949">
      <c r="A949" s="55"/>
      <c r="B949" s="60"/>
      <c r="C949" s="55"/>
      <c r="D949" s="65"/>
      <c r="E949" s="66"/>
    </row>
    <row r="950">
      <c r="A950" s="55"/>
      <c r="B950" s="60"/>
      <c r="C950" s="55"/>
      <c r="D950" s="65"/>
      <c r="E950" s="66"/>
    </row>
    <row r="951">
      <c r="A951" s="55"/>
      <c r="B951" s="60"/>
      <c r="C951" s="55"/>
      <c r="D951" s="65"/>
      <c r="E951" s="66"/>
    </row>
    <row r="952">
      <c r="A952" s="55"/>
      <c r="B952" s="60"/>
      <c r="C952" s="55"/>
      <c r="D952" s="65"/>
      <c r="E952" s="55"/>
    </row>
    <row r="953">
      <c r="A953" s="55"/>
      <c r="B953" s="60"/>
      <c r="C953" s="55"/>
      <c r="D953" s="65"/>
      <c r="E953" s="55"/>
    </row>
    <row r="954">
      <c r="A954" s="55"/>
      <c r="B954" s="60"/>
      <c r="C954" s="55"/>
      <c r="D954" s="65"/>
      <c r="E954" s="55"/>
    </row>
    <row r="955">
      <c r="A955" s="55"/>
      <c r="B955" s="60"/>
      <c r="C955" s="55"/>
      <c r="D955" s="65"/>
      <c r="E955" s="55"/>
    </row>
    <row r="956">
      <c r="A956" s="55"/>
      <c r="B956" s="60"/>
      <c r="C956" s="55"/>
      <c r="D956" s="65"/>
      <c r="E956" s="55"/>
    </row>
    <row r="957">
      <c r="A957" s="55"/>
      <c r="B957" s="60"/>
      <c r="C957" s="55"/>
      <c r="D957" s="65"/>
      <c r="E957" s="55"/>
    </row>
    <row r="958">
      <c r="A958" s="55"/>
      <c r="B958" s="60"/>
      <c r="C958" s="55"/>
      <c r="D958" s="65"/>
      <c r="E958" s="55"/>
    </row>
    <row r="959">
      <c r="A959" s="55"/>
      <c r="B959" s="60"/>
      <c r="C959" s="55"/>
      <c r="D959" s="65"/>
      <c r="E959" s="55"/>
    </row>
    <row r="960">
      <c r="A960" s="55"/>
      <c r="B960" s="60"/>
      <c r="C960" s="55"/>
      <c r="D960" s="65"/>
      <c r="E960" s="55"/>
    </row>
    <row r="961">
      <c r="A961" s="55"/>
      <c r="B961" s="60"/>
      <c r="C961" s="55"/>
      <c r="D961" s="65"/>
      <c r="E961" s="55"/>
    </row>
    <row r="962">
      <c r="A962" s="55"/>
      <c r="B962" s="60"/>
      <c r="C962" s="55"/>
      <c r="D962" s="65"/>
      <c r="E962" s="55"/>
    </row>
    <row r="963">
      <c r="A963" s="55"/>
      <c r="B963" s="60"/>
      <c r="C963" s="55"/>
      <c r="D963" s="65"/>
      <c r="E963" s="55"/>
    </row>
    <row r="964">
      <c r="A964" s="55"/>
      <c r="B964" s="60"/>
      <c r="C964" s="55"/>
      <c r="D964" s="65"/>
      <c r="E964" s="55"/>
    </row>
    <row r="965">
      <c r="A965" s="55"/>
      <c r="B965" s="60"/>
      <c r="C965" s="55"/>
      <c r="D965" s="65"/>
      <c r="E965" s="55"/>
    </row>
    <row r="966">
      <c r="A966" s="55"/>
      <c r="B966" s="60"/>
      <c r="C966" s="55"/>
      <c r="D966" s="65"/>
      <c r="E966" s="55"/>
    </row>
    <row r="967">
      <c r="A967" s="55"/>
      <c r="B967" s="60"/>
      <c r="C967" s="55"/>
      <c r="D967" s="65"/>
      <c r="E967" s="55"/>
    </row>
    <row r="968">
      <c r="A968" s="55"/>
      <c r="B968" s="60"/>
      <c r="C968" s="55"/>
      <c r="D968" s="65"/>
      <c r="E968" s="55"/>
    </row>
    <row r="969">
      <c r="A969" s="55"/>
      <c r="B969" s="60"/>
      <c r="C969" s="55"/>
      <c r="D969" s="65"/>
      <c r="E969" s="55"/>
    </row>
    <row r="970">
      <c r="A970" s="55"/>
      <c r="B970" s="60"/>
      <c r="C970" s="55"/>
      <c r="D970" s="65"/>
      <c r="E970" s="55"/>
    </row>
    <row r="971">
      <c r="A971" s="55"/>
      <c r="B971" s="60"/>
      <c r="C971" s="55"/>
      <c r="D971" s="65"/>
      <c r="E971" s="55"/>
    </row>
    <row r="972">
      <c r="A972" s="55"/>
      <c r="B972" s="60"/>
      <c r="C972" s="55"/>
      <c r="D972" s="65"/>
      <c r="E972" s="55"/>
    </row>
    <row r="973">
      <c r="A973" s="55"/>
      <c r="B973" s="60"/>
      <c r="C973" s="55"/>
      <c r="D973" s="65"/>
      <c r="E973" s="55"/>
    </row>
    <row r="974">
      <c r="A974" s="55"/>
      <c r="B974" s="60"/>
      <c r="C974" s="55"/>
      <c r="D974" s="65"/>
      <c r="E974" s="55"/>
    </row>
    <row r="975">
      <c r="A975" s="55"/>
      <c r="B975" s="60"/>
      <c r="C975" s="55"/>
      <c r="D975" s="65"/>
      <c r="E975" s="55"/>
    </row>
    <row r="976">
      <c r="A976" s="55"/>
      <c r="B976" s="60"/>
      <c r="C976" s="55"/>
      <c r="D976" s="65"/>
      <c r="E976" s="55"/>
    </row>
    <row r="977">
      <c r="A977" s="55"/>
      <c r="B977" s="60"/>
      <c r="C977" s="55"/>
      <c r="D977" s="65"/>
      <c r="E977" s="55"/>
    </row>
    <row r="978">
      <c r="A978" s="55"/>
      <c r="B978" s="60"/>
      <c r="C978" s="55"/>
      <c r="D978" s="65"/>
      <c r="E978" s="55"/>
    </row>
    <row r="979">
      <c r="A979" s="55"/>
      <c r="B979" s="60"/>
      <c r="C979" s="55"/>
      <c r="D979" s="65"/>
      <c r="E979" s="55"/>
    </row>
    <row r="980">
      <c r="A980" s="55"/>
      <c r="B980" s="60"/>
      <c r="C980" s="55"/>
      <c r="D980" s="65"/>
      <c r="E980" s="55"/>
    </row>
    <row r="981">
      <c r="A981" s="55"/>
      <c r="B981" s="60"/>
      <c r="C981" s="55"/>
      <c r="D981" s="65"/>
      <c r="E981" s="55"/>
    </row>
    <row r="982">
      <c r="A982" s="55"/>
      <c r="B982" s="60"/>
      <c r="C982" s="55"/>
      <c r="D982" s="65"/>
      <c r="E982" s="55"/>
    </row>
    <row r="983">
      <c r="A983" s="55"/>
      <c r="B983" s="60"/>
      <c r="C983" s="55"/>
      <c r="D983" s="65"/>
      <c r="E983" s="55"/>
    </row>
    <row r="984">
      <c r="A984" s="55"/>
      <c r="B984" s="60"/>
      <c r="C984" s="55"/>
      <c r="D984" s="65"/>
      <c r="E984" s="55"/>
    </row>
    <row r="985">
      <c r="A985" s="55"/>
      <c r="B985" s="60"/>
      <c r="C985" s="55"/>
      <c r="D985" s="65"/>
      <c r="E985" s="55"/>
    </row>
    <row r="986">
      <c r="A986" s="55"/>
      <c r="B986" s="60"/>
      <c r="C986" s="55"/>
      <c r="D986" s="65"/>
      <c r="E986" s="55"/>
    </row>
    <row r="987">
      <c r="A987" s="55"/>
      <c r="B987" s="60"/>
      <c r="C987" s="55"/>
      <c r="D987" s="65"/>
      <c r="E987" s="55"/>
    </row>
    <row r="988">
      <c r="A988" s="55"/>
      <c r="B988" s="60"/>
      <c r="C988" s="55"/>
      <c r="D988" s="65"/>
      <c r="E988" s="55"/>
    </row>
    <row r="989">
      <c r="A989" s="55"/>
      <c r="B989" s="60"/>
      <c r="C989" s="55"/>
      <c r="D989" s="65"/>
      <c r="E989" s="55"/>
    </row>
    <row r="990">
      <c r="A990" s="55"/>
      <c r="B990" s="60"/>
      <c r="C990" s="55"/>
      <c r="D990" s="65"/>
      <c r="E990" s="55"/>
    </row>
    <row r="991">
      <c r="A991" s="55"/>
      <c r="B991" s="60"/>
      <c r="C991" s="55"/>
      <c r="D991" s="65"/>
      <c r="E991" s="55"/>
    </row>
    <row r="992">
      <c r="A992" s="55"/>
      <c r="B992" s="60"/>
      <c r="C992" s="55"/>
      <c r="D992" s="65"/>
      <c r="E992" s="55"/>
    </row>
    <row r="993">
      <c r="A993" s="55"/>
      <c r="B993" s="60"/>
      <c r="C993" s="55"/>
      <c r="D993" s="65"/>
      <c r="E993" s="55"/>
    </row>
    <row r="994">
      <c r="A994" s="55"/>
      <c r="B994" s="60"/>
      <c r="C994" s="55"/>
      <c r="D994" s="65"/>
      <c r="E994" s="55"/>
    </row>
    <row r="995">
      <c r="A995" s="55"/>
      <c r="B995" s="60"/>
      <c r="C995" s="55"/>
      <c r="D995" s="65"/>
      <c r="E995" s="55"/>
    </row>
    <row r="996">
      <c r="A996" s="55"/>
      <c r="B996" s="60"/>
      <c r="C996" s="55"/>
      <c r="D996" s="65"/>
      <c r="E996" s="55"/>
    </row>
    <row r="997">
      <c r="A997" s="55"/>
      <c r="B997" s="60"/>
      <c r="C997" s="55"/>
      <c r="D997" s="65"/>
      <c r="E997" s="55"/>
    </row>
    <row r="998">
      <c r="A998" s="55"/>
      <c r="B998" s="60"/>
      <c r="C998" s="55"/>
      <c r="D998" s="65"/>
      <c r="E998" s="55"/>
    </row>
    <row r="999">
      <c r="A999" s="55"/>
      <c r="B999" s="60"/>
      <c r="C999" s="55"/>
      <c r="D999" s="65"/>
      <c r="E999" s="55"/>
    </row>
    <row r="1000">
      <c r="A1000" s="55"/>
      <c r="B1000" s="60"/>
      <c r="C1000" s="55"/>
      <c r="D1000" s="65"/>
      <c r="E1000" s="55"/>
    </row>
    <row r="1001">
      <c r="A1001" s="55"/>
      <c r="B1001" s="60"/>
      <c r="C1001" s="55"/>
      <c r="D1001" s="65"/>
      <c r="E1001" s="55"/>
    </row>
    <row r="1002">
      <c r="A1002" s="55"/>
      <c r="B1002" s="60"/>
      <c r="C1002" s="55"/>
      <c r="D1002" s="65"/>
      <c r="E1002" s="55"/>
    </row>
    <row r="1003">
      <c r="A1003" s="55"/>
      <c r="B1003" s="60"/>
      <c r="C1003" s="55"/>
      <c r="D1003" s="65"/>
      <c r="E1003" s="55"/>
    </row>
    <row r="1004">
      <c r="A1004" s="55"/>
      <c r="B1004" s="60"/>
      <c r="C1004" s="55"/>
      <c r="D1004" s="65"/>
      <c r="E1004" s="55"/>
    </row>
    <row r="1005">
      <c r="A1005" s="55"/>
      <c r="B1005" s="60"/>
      <c r="C1005" s="55"/>
      <c r="D1005" s="65"/>
      <c r="E1005" s="55"/>
    </row>
    <row r="1006">
      <c r="A1006" s="55"/>
      <c r="B1006" s="60"/>
      <c r="C1006" s="55"/>
      <c r="D1006" s="65"/>
      <c r="E1006" s="55"/>
    </row>
    <row r="1007">
      <c r="A1007" s="55"/>
      <c r="B1007" s="60"/>
      <c r="C1007" s="55"/>
      <c r="D1007" s="65"/>
      <c r="E1007" s="55"/>
    </row>
    <row r="1008">
      <c r="A1008" s="55"/>
      <c r="B1008" s="60"/>
      <c r="C1008" s="55"/>
      <c r="D1008" s="65"/>
      <c r="E1008" s="55"/>
    </row>
    <row r="1009">
      <c r="A1009" s="55"/>
      <c r="B1009" s="60"/>
      <c r="C1009" s="55"/>
      <c r="D1009" s="65"/>
      <c r="E1009" s="55"/>
    </row>
    <row r="1010">
      <c r="A1010" s="55"/>
      <c r="B1010" s="60"/>
      <c r="C1010" s="55"/>
      <c r="D1010" s="65"/>
      <c r="E1010" s="55"/>
    </row>
    <row r="1011">
      <c r="A1011" s="55"/>
      <c r="B1011" s="60"/>
      <c r="C1011" s="55"/>
      <c r="D1011" s="65"/>
      <c r="E1011" s="55"/>
    </row>
    <row r="1012">
      <c r="A1012" s="55"/>
      <c r="B1012" s="60"/>
      <c r="C1012" s="55"/>
      <c r="D1012" s="65"/>
      <c r="E1012" s="55"/>
    </row>
    <row r="1013">
      <c r="A1013" s="55"/>
      <c r="B1013" s="60"/>
      <c r="C1013" s="55"/>
      <c r="D1013" s="65"/>
      <c r="E1013" s="55"/>
    </row>
    <row r="1014">
      <c r="A1014" s="55"/>
      <c r="B1014" s="60"/>
      <c r="C1014" s="55"/>
      <c r="D1014" s="65"/>
      <c r="E1014" s="55"/>
    </row>
    <row r="1015">
      <c r="A1015" s="55"/>
      <c r="B1015" s="60"/>
      <c r="C1015" s="55"/>
      <c r="D1015" s="65"/>
      <c r="E1015" s="55"/>
    </row>
    <row r="1016">
      <c r="A1016" s="55"/>
      <c r="B1016" s="60"/>
      <c r="C1016" s="55"/>
      <c r="D1016" s="65"/>
      <c r="E1016" s="55"/>
    </row>
    <row r="1017">
      <c r="A1017" s="55"/>
      <c r="B1017" s="60"/>
      <c r="C1017" s="55"/>
      <c r="D1017" s="65"/>
      <c r="E1017" s="55"/>
    </row>
    <row r="1018">
      <c r="A1018" s="55"/>
      <c r="B1018" s="60"/>
      <c r="C1018" s="55"/>
      <c r="D1018" s="65"/>
      <c r="E1018" s="55"/>
    </row>
    <row r="1019">
      <c r="A1019" s="55"/>
      <c r="B1019" s="60"/>
      <c r="C1019" s="55"/>
      <c r="D1019" s="65"/>
      <c r="E1019" s="55"/>
    </row>
    <row r="1020">
      <c r="A1020" s="55"/>
      <c r="B1020" s="60"/>
      <c r="C1020" s="55"/>
      <c r="D1020" s="65"/>
      <c r="E1020" s="55"/>
    </row>
    <row r="1021">
      <c r="A1021" s="55"/>
      <c r="B1021" s="60"/>
      <c r="C1021" s="55"/>
      <c r="D1021" s="65"/>
      <c r="E1021" s="55"/>
    </row>
    <row r="1022">
      <c r="A1022" s="55"/>
      <c r="B1022" s="60"/>
      <c r="C1022" s="55"/>
      <c r="D1022" s="65"/>
      <c r="E1022" s="55"/>
    </row>
    <row r="1023">
      <c r="A1023" s="55"/>
      <c r="B1023" s="60"/>
      <c r="C1023" s="55"/>
      <c r="D1023" s="65"/>
      <c r="E1023" s="55"/>
    </row>
    <row r="1024">
      <c r="A1024" s="55"/>
      <c r="B1024" s="60"/>
      <c r="C1024" s="55"/>
      <c r="D1024" s="65"/>
      <c r="E1024" s="55"/>
    </row>
    <row r="1025">
      <c r="A1025" s="55"/>
      <c r="B1025" s="60"/>
      <c r="C1025" s="55"/>
      <c r="D1025" s="65"/>
      <c r="E1025" s="55"/>
    </row>
    <row r="1026">
      <c r="A1026" s="55"/>
      <c r="B1026" s="60"/>
      <c r="C1026" s="55"/>
      <c r="D1026" s="65"/>
      <c r="E1026" s="55"/>
    </row>
    <row r="1027">
      <c r="A1027" s="55"/>
      <c r="B1027" s="60"/>
      <c r="C1027" s="55"/>
      <c r="D1027" s="65"/>
      <c r="E1027" s="55"/>
    </row>
    <row r="1028">
      <c r="A1028" s="55"/>
      <c r="B1028" s="60"/>
      <c r="C1028" s="55"/>
      <c r="D1028" s="65"/>
      <c r="E1028" s="55"/>
    </row>
    <row r="1029">
      <c r="A1029" s="55"/>
      <c r="B1029" s="60"/>
      <c r="C1029" s="55"/>
      <c r="D1029" s="65"/>
      <c r="E1029" s="55"/>
    </row>
    <row r="1030">
      <c r="A1030" s="55"/>
      <c r="B1030" s="60"/>
      <c r="C1030" s="55"/>
      <c r="D1030" s="65"/>
      <c r="E1030" s="55"/>
    </row>
    <row r="1031">
      <c r="A1031" s="55"/>
      <c r="B1031" s="60"/>
      <c r="C1031" s="55"/>
      <c r="D1031" s="65"/>
      <c r="E1031" s="55"/>
    </row>
    <row r="1032">
      <c r="A1032" s="55"/>
      <c r="B1032" s="60"/>
      <c r="C1032" s="55"/>
      <c r="D1032" s="65"/>
      <c r="E1032" s="55"/>
    </row>
    <row r="1033">
      <c r="A1033" s="55"/>
      <c r="B1033" s="60"/>
      <c r="C1033" s="55"/>
      <c r="D1033" s="65"/>
      <c r="E1033" s="55"/>
    </row>
    <row r="1034">
      <c r="A1034" s="55"/>
      <c r="B1034" s="60"/>
      <c r="C1034" s="55"/>
      <c r="D1034" s="65"/>
      <c r="E1034" s="55"/>
    </row>
    <row r="1035">
      <c r="A1035" s="55"/>
      <c r="B1035" s="60"/>
      <c r="C1035" s="55"/>
      <c r="D1035" s="65"/>
      <c r="E1035" s="55"/>
    </row>
    <row r="1036">
      <c r="A1036" s="55"/>
      <c r="B1036" s="60"/>
      <c r="C1036" s="55"/>
      <c r="D1036" s="65"/>
      <c r="E1036" s="55"/>
    </row>
    <row r="1037">
      <c r="A1037" s="55"/>
      <c r="B1037" s="60"/>
      <c r="C1037" s="55"/>
      <c r="D1037" s="65"/>
      <c r="E1037" s="55"/>
    </row>
    <row r="1038">
      <c r="A1038" s="55"/>
      <c r="B1038" s="60"/>
      <c r="C1038" s="55"/>
      <c r="D1038" s="65"/>
      <c r="E1038" s="55"/>
    </row>
    <row r="1039">
      <c r="A1039" s="55"/>
      <c r="B1039" s="60"/>
      <c r="C1039" s="55"/>
      <c r="D1039" s="65"/>
      <c r="E1039" s="55"/>
    </row>
    <row r="1040">
      <c r="A1040" s="55"/>
      <c r="B1040" s="60"/>
      <c r="C1040" s="55"/>
      <c r="D1040" s="65"/>
      <c r="E1040" s="55"/>
    </row>
    <row r="1041">
      <c r="A1041" s="55"/>
      <c r="B1041" s="60"/>
      <c r="C1041" s="55"/>
      <c r="D1041" s="65"/>
      <c r="E1041" s="55"/>
    </row>
    <row r="1042">
      <c r="A1042" s="55"/>
      <c r="B1042" s="60"/>
      <c r="C1042" s="55"/>
      <c r="D1042" s="65"/>
      <c r="E1042" s="55"/>
    </row>
    <row r="1043">
      <c r="A1043" s="55"/>
      <c r="B1043" s="60"/>
      <c r="C1043" s="55"/>
      <c r="D1043" s="65"/>
      <c r="E1043" s="55"/>
    </row>
    <row r="1044">
      <c r="A1044" s="55"/>
      <c r="B1044" s="60"/>
      <c r="C1044" s="55"/>
      <c r="D1044" s="65"/>
      <c r="E1044" s="55"/>
    </row>
    <row r="1045">
      <c r="A1045" s="55"/>
      <c r="B1045" s="60"/>
      <c r="C1045" s="55"/>
      <c r="D1045" s="65"/>
      <c r="E1045" s="55"/>
    </row>
    <row r="1046">
      <c r="A1046" s="55"/>
      <c r="B1046" s="60"/>
      <c r="C1046" s="55"/>
      <c r="D1046" s="65"/>
      <c r="E1046" s="55"/>
    </row>
    <row r="1047">
      <c r="A1047" s="55"/>
      <c r="B1047" s="60"/>
      <c r="C1047" s="55"/>
      <c r="D1047" s="65"/>
      <c r="E1047" s="55"/>
    </row>
    <row r="1048">
      <c r="A1048" s="55"/>
      <c r="B1048" s="60"/>
      <c r="C1048" s="55"/>
      <c r="D1048" s="65"/>
      <c r="E1048" s="55"/>
    </row>
    <row r="1049">
      <c r="A1049" s="55"/>
      <c r="B1049" s="60"/>
      <c r="C1049" s="55"/>
      <c r="D1049" s="65"/>
      <c r="E1049" s="55"/>
    </row>
    <row r="1050">
      <c r="A1050" s="55"/>
      <c r="B1050" s="60"/>
      <c r="C1050" s="55"/>
      <c r="D1050" s="65"/>
      <c r="E1050" s="55"/>
    </row>
    <row r="1051">
      <c r="A1051" s="55"/>
      <c r="B1051" s="60"/>
      <c r="C1051" s="55"/>
      <c r="D1051" s="65"/>
      <c r="E1051" s="55"/>
    </row>
    <row r="1052">
      <c r="A1052" s="55"/>
      <c r="B1052" s="60"/>
      <c r="C1052" s="55"/>
      <c r="D1052" s="65"/>
      <c r="E1052" s="55"/>
    </row>
    <row r="1053">
      <c r="A1053" s="55"/>
      <c r="B1053" s="60"/>
      <c r="C1053" s="55"/>
      <c r="D1053" s="65"/>
      <c r="E1053" s="55"/>
    </row>
    <row r="1054">
      <c r="A1054" s="55"/>
      <c r="B1054" s="60"/>
      <c r="C1054" s="55"/>
      <c r="D1054" s="65"/>
      <c r="E1054" s="55"/>
    </row>
    <row r="1055">
      <c r="A1055" s="55"/>
      <c r="B1055" s="60"/>
      <c r="C1055" s="55"/>
      <c r="D1055" s="65"/>
      <c r="E1055" s="55"/>
    </row>
    <row r="1056">
      <c r="A1056" s="55"/>
      <c r="B1056" s="60"/>
      <c r="C1056" s="55"/>
      <c r="D1056" s="65"/>
      <c r="E1056" s="55"/>
    </row>
    <row r="1057">
      <c r="A1057" s="55"/>
      <c r="B1057" s="60"/>
      <c r="C1057" s="55"/>
      <c r="D1057" s="65"/>
      <c r="E1057" s="55"/>
    </row>
    <row r="1058">
      <c r="A1058" s="55"/>
      <c r="B1058" s="60"/>
      <c r="C1058" s="55"/>
      <c r="D1058" s="65"/>
      <c r="E1058" s="55"/>
    </row>
    <row r="1059">
      <c r="A1059" s="55"/>
      <c r="B1059" s="60"/>
      <c r="C1059" s="55"/>
      <c r="D1059" s="65"/>
      <c r="E1059" s="55"/>
    </row>
    <row r="1060">
      <c r="A1060" s="55"/>
      <c r="B1060" s="60"/>
      <c r="C1060" s="55"/>
      <c r="D1060" s="65"/>
      <c r="E1060" s="55"/>
    </row>
    <row r="1061">
      <c r="A1061" s="55"/>
      <c r="B1061" s="60"/>
      <c r="C1061" s="55"/>
      <c r="D1061" s="65"/>
      <c r="E1061" s="55"/>
    </row>
    <row r="1062">
      <c r="A1062" s="55"/>
      <c r="B1062" s="60"/>
      <c r="C1062" s="55"/>
      <c r="D1062" s="65"/>
      <c r="E1062" s="55"/>
    </row>
    <row r="1063">
      <c r="A1063" s="55"/>
      <c r="B1063" s="60"/>
      <c r="C1063" s="55"/>
      <c r="D1063" s="65"/>
      <c r="E1063" s="55"/>
    </row>
    <row r="1064">
      <c r="A1064" s="55"/>
      <c r="B1064" s="60"/>
      <c r="C1064" s="55"/>
      <c r="D1064" s="65"/>
      <c r="E1064" s="55"/>
    </row>
    <row r="1065">
      <c r="A1065" s="55"/>
      <c r="B1065" s="60"/>
      <c r="C1065" s="55"/>
      <c r="D1065" s="65"/>
      <c r="E1065" s="55"/>
    </row>
    <row r="1066">
      <c r="A1066" s="55"/>
      <c r="B1066" s="60"/>
      <c r="C1066" s="55"/>
      <c r="D1066" s="65"/>
      <c r="E1066" s="55"/>
    </row>
    <row r="1067">
      <c r="A1067" s="55"/>
      <c r="B1067" s="60"/>
      <c r="C1067" s="55"/>
      <c r="D1067" s="65"/>
      <c r="E1067" s="55"/>
    </row>
    <row r="1068">
      <c r="A1068" s="55"/>
      <c r="B1068" s="60"/>
      <c r="C1068" s="55"/>
      <c r="D1068" s="65"/>
      <c r="E1068" s="55"/>
    </row>
    <row r="1069">
      <c r="A1069" s="55"/>
      <c r="B1069" s="60"/>
      <c r="C1069" s="55"/>
      <c r="D1069" s="65"/>
      <c r="E1069" s="55"/>
    </row>
    <row r="1070">
      <c r="A1070" s="55"/>
      <c r="B1070" s="60"/>
      <c r="C1070" s="55"/>
      <c r="D1070" s="65"/>
      <c r="E1070" s="55"/>
    </row>
    <row r="1071">
      <c r="A1071" s="55"/>
      <c r="B1071" s="60"/>
      <c r="C1071" s="55"/>
      <c r="D1071" s="65"/>
      <c r="E1071" s="55"/>
    </row>
    <row r="1072">
      <c r="A1072" s="55"/>
      <c r="B1072" s="60"/>
      <c r="C1072" s="55"/>
      <c r="D1072" s="65"/>
      <c r="E1072" s="55"/>
    </row>
    <row r="1073">
      <c r="A1073" s="55"/>
      <c r="B1073" s="60"/>
      <c r="C1073" s="55"/>
      <c r="D1073" s="65"/>
      <c r="E1073" s="55"/>
    </row>
    <row r="1074">
      <c r="A1074" s="55"/>
      <c r="B1074" s="60"/>
      <c r="C1074" s="55"/>
      <c r="D1074" s="65"/>
      <c r="E1074" s="55"/>
    </row>
    <row r="1075">
      <c r="A1075" s="55"/>
      <c r="B1075" s="60"/>
      <c r="C1075" s="55"/>
      <c r="D1075" s="65"/>
      <c r="E1075" s="55"/>
    </row>
    <row r="1076">
      <c r="A1076" s="55"/>
      <c r="B1076" s="60"/>
      <c r="C1076" s="55"/>
      <c r="D1076" s="65"/>
      <c r="E1076" s="55"/>
    </row>
    <row r="1077">
      <c r="A1077" s="55"/>
      <c r="B1077" s="60"/>
      <c r="C1077" s="55"/>
      <c r="D1077" s="65"/>
      <c r="E1077" s="55"/>
    </row>
    <row r="1078">
      <c r="A1078" s="55"/>
      <c r="B1078" s="60"/>
      <c r="C1078" s="55"/>
      <c r="D1078" s="65"/>
      <c r="E1078" s="55"/>
    </row>
    <row r="1079">
      <c r="A1079" s="55"/>
      <c r="B1079" s="60"/>
      <c r="C1079" s="55"/>
      <c r="D1079" s="65"/>
      <c r="E1079" s="55"/>
    </row>
    <row r="1080">
      <c r="A1080" s="55"/>
      <c r="B1080" s="60"/>
      <c r="C1080" s="55"/>
      <c r="D1080" s="65"/>
      <c r="E1080" s="55"/>
    </row>
    <row r="1081">
      <c r="A1081" s="55"/>
      <c r="B1081" s="60"/>
      <c r="C1081" s="55"/>
      <c r="D1081" s="65"/>
      <c r="E1081" s="55"/>
    </row>
    <row r="1082">
      <c r="A1082" s="55"/>
      <c r="B1082" s="60"/>
      <c r="C1082" s="55"/>
      <c r="D1082" s="65"/>
      <c r="E1082" s="55"/>
    </row>
    <row r="1083">
      <c r="A1083" s="55"/>
      <c r="B1083" s="60"/>
      <c r="C1083" s="55"/>
      <c r="D1083" s="65"/>
      <c r="E1083" s="55"/>
    </row>
    <row r="1084">
      <c r="A1084" s="55"/>
      <c r="B1084" s="60"/>
      <c r="C1084" s="55"/>
      <c r="D1084" s="65"/>
      <c r="E1084" s="55"/>
    </row>
    <row r="1085">
      <c r="A1085" s="55"/>
      <c r="B1085" s="60"/>
      <c r="C1085" s="55"/>
      <c r="D1085" s="65"/>
      <c r="E1085" s="55"/>
    </row>
    <row r="1086">
      <c r="A1086" s="55"/>
      <c r="B1086" s="60"/>
      <c r="C1086" s="55"/>
      <c r="D1086" s="65"/>
      <c r="E1086" s="55"/>
    </row>
    <row r="1087">
      <c r="A1087" s="55"/>
      <c r="B1087" s="60"/>
      <c r="C1087" s="55"/>
      <c r="D1087" s="65"/>
      <c r="E1087" s="55"/>
    </row>
    <row r="1088">
      <c r="A1088" s="55"/>
      <c r="B1088" s="60"/>
      <c r="C1088" s="55"/>
      <c r="D1088" s="65"/>
      <c r="E1088" s="55"/>
    </row>
    <row r="1089">
      <c r="A1089" s="55"/>
      <c r="B1089" s="60"/>
      <c r="C1089" s="55"/>
      <c r="D1089" s="65"/>
      <c r="E1089" s="55"/>
    </row>
    <row r="1090">
      <c r="A1090" s="55"/>
      <c r="B1090" s="60"/>
      <c r="C1090" s="55"/>
      <c r="D1090" s="65"/>
      <c r="E1090" s="55"/>
    </row>
    <row r="1091">
      <c r="A1091" s="55"/>
      <c r="B1091" s="60"/>
      <c r="C1091" s="55"/>
      <c r="D1091" s="65"/>
      <c r="E1091" s="55"/>
    </row>
    <row r="1092">
      <c r="A1092" s="55"/>
      <c r="B1092" s="60"/>
      <c r="C1092" s="55"/>
      <c r="D1092" s="65"/>
      <c r="E1092" s="55"/>
    </row>
    <row r="1093">
      <c r="A1093" s="55"/>
      <c r="B1093" s="60"/>
      <c r="C1093" s="55"/>
      <c r="D1093" s="65"/>
      <c r="E1093" s="55"/>
    </row>
    <row r="1094">
      <c r="A1094" s="55"/>
      <c r="B1094" s="60"/>
      <c r="C1094" s="55"/>
      <c r="D1094" s="65"/>
      <c r="E1094" s="55"/>
    </row>
    <row r="1095">
      <c r="A1095" s="55"/>
      <c r="B1095" s="60"/>
      <c r="C1095" s="55"/>
      <c r="D1095" s="65"/>
      <c r="E1095" s="55"/>
    </row>
    <row r="1096">
      <c r="A1096" s="55"/>
      <c r="B1096" s="60"/>
      <c r="C1096" s="55"/>
      <c r="D1096" s="65"/>
      <c r="E1096" s="55"/>
    </row>
    <row r="1097">
      <c r="A1097" s="55"/>
      <c r="B1097" s="60"/>
      <c r="C1097" s="55"/>
      <c r="D1097" s="65"/>
      <c r="E1097" s="55"/>
    </row>
    <row r="1098">
      <c r="A1098" s="55"/>
      <c r="B1098" s="60"/>
      <c r="C1098" s="55"/>
      <c r="D1098" s="65"/>
      <c r="E1098" s="55"/>
    </row>
    <row r="1099">
      <c r="A1099" s="55"/>
      <c r="B1099" s="60"/>
      <c r="C1099" s="55"/>
      <c r="D1099" s="65"/>
      <c r="E1099" s="55"/>
    </row>
    <row r="1100">
      <c r="A1100" s="55"/>
      <c r="B1100" s="60"/>
      <c r="C1100" s="55"/>
      <c r="D1100" s="65"/>
      <c r="E1100" s="55"/>
    </row>
    <row r="1101">
      <c r="A1101" s="55"/>
      <c r="B1101" s="60"/>
      <c r="C1101" s="55"/>
      <c r="D1101" s="65"/>
      <c r="E1101" s="55"/>
    </row>
    <row r="1102">
      <c r="A1102" s="55"/>
      <c r="B1102" s="60"/>
      <c r="C1102" s="55"/>
      <c r="D1102" s="65"/>
      <c r="E1102" s="55"/>
    </row>
    <row r="1103">
      <c r="A1103" s="55"/>
      <c r="B1103" s="60"/>
      <c r="C1103" s="55"/>
      <c r="D1103" s="65"/>
      <c r="E1103" s="55"/>
    </row>
    <row r="1104">
      <c r="A1104" s="55"/>
      <c r="B1104" s="60"/>
      <c r="C1104" s="55"/>
      <c r="D1104" s="65"/>
      <c r="E1104" s="55"/>
    </row>
    <row r="1105">
      <c r="A1105" s="55"/>
      <c r="B1105" s="60"/>
      <c r="C1105" s="55"/>
      <c r="D1105" s="65"/>
      <c r="E1105" s="55"/>
    </row>
    <row r="1106">
      <c r="A1106" s="55"/>
      <c r="B1106" s="60"/>
      <c r="C1106" s="55"/>
      <c r="D1106" s="65"/>
      <c r="E1106" s="55"/>
    </row>
    <row r="1107">
      <c r="A1107" s="55"/>
      <c r="B1107" s="60"/>
      <c r="C1107" s="55"/>
      <c r="D1107" s="65"/>
      <c r="E1107" s="55"/>
    </row>
    <row r="1108">
      <c r="A1108" s="55"/>
      <c r="B1108" s="60"/>
      <c r="C1108" s="55"/>
      <c r="D1108" s="65"/>
      <c r="E1108" s="55"/>
    </row>
    <row r="1109">
      <c r="A1109" s="55"/>
      <c r="B1109" s="60"/>
      <c r="C1109" s="55"/>
      <c r="D1109" s="65"/>
      <c r="E1109" s="55"/>
    </row>
    <row r="1110">
      <c r="A1110" s="55"/>
      <c r="B1110" s="60"/>
      <c r="C1110" s="55"/>
      <c r="D1110" s="65"/>
      <c r="E1110" s="55"/>
    </row>
    <row r="1111">
      <c r="A1111" s="55"/>
      <c r="B1111" s="60"/>
      <c r="C1111" s="55"/>
      <c r="D1111" s="65"/>
      <c r="E1111" s="55"/>
    </row>
    <row r="1112">
      <c r="A1112" s="55"/>
      <c r="B1112" s="60"/>
      <c r="C1112" s="55"/>
      <c r="D1112" s="65"/>
      <c r="E1112" s="55"/>
    </row>
    <row r="1113">
      <c r="A1113" s="55"/>
      <c r="B1113" s="60"/>
      <c r="C1113" s="55"/>
      <c r="D1113" s="65"/>
      <c r="E1113" s="55"/>
    </row>
    <row r="1114">
      <c r="A1114" s="55"/>
      <c r="B1114" s="60"/>
      <c r="C1114" s="55"/>
      <c r="D1114" s="65"/>
      <c r="E1114" s="55"/>
    </row>
    <row r="1115">
      <c r="A1115" s="55"/>
      <c r="B1115" s="60"/>
      <c r="C1115" s="55"/>
      <c r="D1115" s="65"/>
      <c r="E1115" s="55"/>
    </row>
    <row r="1116">
      <c r="A1116" s="55"/>
      <c r="B1116" s="60"/>
      <c r="C1116" s="55"/>
      <c r="D1116" s="65"/>
      <c r="E1116" s="55"/>
    </row>
    <row r="1117">
      <c r="A1117" s="55"/>
      <c r="B1117" s="60"/>
      <c r="C1117" s="55"/>
      <c r="D1117" s="65"/>
      <c r="E1117" s="55"/>
    </row>
    <row r="1118">
      <c r="A1118" s="55"/>
      <c r="B1118" s="60"/>
      <c r="C1118" s="55"/>
      <c r="D1118" s="65"/>
      <c r="E1118" s="55"/>
    </row>
    <row r="1119">
      <c r="A1119" s="55"/>
      <c r="B1119" s="60"/>
      <c r="C1119" s="55"/>
      <c r="D1119" s="65"/>
      <c r="E1119" s="55"/>
    </row>
    <row r="1120">
      <c r="A1120" s="55"/>
      <c r="B1120" s="60"/>
      <c r="C1120" s="55"/>
      <c r="D1120" s="65"/>
      <c r="E1120" s="55"/>
    </row>
    <row r="1121">
      <c r="A1121" s="55"/>
      <c r="B1121" s="60"/>
      <c r="C1121" s="55"/>
      <c r="D1121" s="65"/>
      <c r="E1121" s="55"/>
    </row>
    <row r="1122">
      <c r="A1122" s="55"/>
      <c r="B1122" s="60"/>
      <c r="C1122" s="55"/>
      <c r="D1122" s="65"/>
      <c r="E1122" s="55"/>
    </row>
    <row r="1123">
      <c r="A1123" s="55"/>
      <c r="B1123" s="60"/>
      <c r="C1123" s="55"/>
      <c r="D1123" s="65"/>
      <c r="E1123" s="55"/>
    </row>
    <row r="1124">
      <c r="A1124" s="55"/>
      <c r="B1124" s="60"/>
      <c r="C1124" s="55"/>
      <c r="D1124" s="65"/>
      <c r="E1124" s="55"/>
    </row>
    <row r="1125">
      <c r="A1125" s="55"/>
      <c r="B1125" s="60"/>
      <c r="C1125" s="55"/>
      <c r="D1125" s="65"/>
      <c r="E1125" s="55"/>
    </row>
    <row r="1126">
      <c r="A1126" s="55"/>
      <c r="B1126" s="60"/>
      <c r="C1126" s="55"/>
      <c r="D1126" s="65"/>
      <c r="E1126" s="55"/>
    </row>
    <row r="1127">
      <c r="A1127" s="55"/>
      <c r="B1127" s="60"/>
      <c r="C1127" s="55"/>
      <c r="D1127" s="65"/>
      <c r="E1127" s="55"/>
    </row>
    <row r="1128">
      <c r="A1128" s="55"/>
      <c r="B1128" s="60"/>
      <c r="C1128" s="55"/>
      <c r="D1128" s="65"/>
      <c r="E1128" s="55"/>
    </row>
    <row r="1129">
      <c r="A1129" s="55"/>
      <c r="B1129" s="60"/>
      <c r="C1129" s="55"/>
      <c r="D1129" s="65"/>
      <c r="E1129" s="55"/>
    </row>
    <row r="1130">
      <c r="A1130" s="55"/>
      <c r="B1130" s="60"/>
      <c r="C1130" s="55"/>
      <c r="D1130" s="65"/>
      <c r="E1130" s="55"/>
    </row>
    <row r="1131">
      <c r="A1131" s="55"/>
      <c r="B1131" s="60"/>
      <c r="C1131" s="55"/>
      <c r="D1131" s="65"/>
      <c r="E1131" s="55"/>
    </row>
    <row r="1132">
      <c r="A1132" s="55"/>
      <c r="B1132" s="60"/>
      <c r="C1132" s="55"/>
      <c r="D1132" s="65"/>
      <c r="E1132" s="55"/>
    </row>
    <row r="1133">
      <c r="A1133" s="55"/>
      <c r="B1133" s="60"/>
      <c r="C1133" s="55"/>
      <c r="D1133" s="65"/>
      <c r="E1133" s="55"/>
    </row>
    <row r="1134">
      <c r="A1134" s="55"/>
      <c r="B1134" s="60"/>
      <c r="C1134" s="55"/>
      <c r="D1134" s="65"/>
      <c r="E1134" s="55"/>
    </row>
    <row r="1135">
      <c r="A1135" s="55"/>
      <c r="B1135" s="60"/>
      <c r="C1135" s="55"/>
      <c r="D1135" s="65"/>
      <c r="E1135" s="55"/>
    </row>
    <row r="1136">
      <c r="A1136" s="55"/>
      <c r="B1136" s="60"/>
      <c r="C1136" s="55"/>
      <c r="D1136" s="65"/>
      <c r="E1136" s="55"/>
    </row>
    <row r="1137">
      <c r="A1137" s="55"/>
      <c r="B1137" s="60"/>
      <c r="C1137" s="55"/>
      <c r="D1137" s="65"/>
      <c r="E1137" s="55"/>
    </row>
    <row r="1138">
      <c r="A1138" s="55"/>
      <c r="B1138" s="60"/>
      <c r="C1138" s="55"/>
      <c r="D1138" s="65"/>
      <c r="E1138" s="55"/>
    </row>
    <row r="1139">
      <c r="A1139" s="55"/>
      <c r="B1139" s="60"/>
      <c r="C1139" s="55"/>
      <c r="D1139" s="65"/>
      <c r="E1139" s="55"/>
    </row>
    <row r="1140">
      <c r="A1140" s="55"/>
      <c r="B1140" s="60"/>
      <c r="C1140" s="55"/>
      <c r="D1140" s="65"/>
      <c r="E1140" s="55"/>
    </row>
    <row r="1141">
      <c r="A1141" s="55"/>
      <c r="B1141" s="60"/>
      <c r="C1141" s="55"/>
      <c r="D1141" s="65"/>
      <c r="E1141" s="55"/>
    </row>
    <row r="1142">
      <c r="A1142" s="55"/>
      <c r="B1142" s="60"/>
      <c r="C1142" s="55"/>
      <c r="D1142" s="65"/>
      <c r="E1142" s="55"/>
    </row>
    <row r="1143">
      <c r="A1143" s="55"/>
      <c r="B1143" s="60"/>
      <c r="C1143" s="55"/>
      <c r="D1143" s="65"/>
      <c r="E1143" s="55"/>
    </row>
    <row r="1144">
      <c r="A1144" s="55"/>
      <c r="B1144" s="60"/>
      <c r="C1144" s="55"/>
      <c r="D1144" s="65"/>
      <c r="E1144" s="55"/>
    </row>
    <row r="1145">
      <c r="A1145" s="55"/>
      <c r="B1145" s="60"/>
      <c r="C1145" s="55"/>
      <c r="D1145" s="65"/>
      <c r="E1145" s="55"/>
    </row>
    <row r="1146">
      <c r="A1146" s="55"/>
      <c r="B1146" s="60"/>
      <c r="C1146" s="55"/>
      <c r="D1146" s="65"/>
      <c r="E1146" s="55"/>
    </row>
    <row r="1147">
      <c r="A1147" s="55"/>
      <c r="B1147" s="60"/>
      <c r="C1147" s="55"/>
      <c r="D1147" s="65"/>
      <c r="E1147" s="55"/>
    </row>
    <row r="1148">
      <c r="A1148" s="55"/>
      <c r="B1148" s="60"/>
      <c r="C1148" s="55"/>
      <c r="D1148" s="65"/>
      <c r="E1148" s="55"/>
    </row>
    <row r="1149">
      <c r="A1149" s="55"/>
      <c r="B1149" s="60"/>
      <c r="C1149" s="55"/>
      <c r="D1149" s="65"/>
      <c r="E1149" s="55"/>
    </row>
    <row r="1150">
      <c r="A1150" s="55"/>
      <c r="B1150" s="60"/>
      <c r="C1150" s="55"/>
      <c r="D1150" s="65"/>
      <c r="E1150" s="55"/>
    </row>
    <row r="1151">
      <c r="A1151" s="55"/>
      <c r="B1151" s="60"/>
      <c r="C1151" s="55"/>
      <c r="D1151" s="65"/>
      <c r="E1151" s="55"/>
    </row>
    <row r="1152">
      <c r="A1152" s="55"/>
      <c r="B1152" s="60"/>
      <c r="C1152" s="55"/>
      <c r="D1152" s="65"/>
      <c r="E1152" s="55"/>
    </row>
    <row r="1153">
      <c r="A1153" s="55"/>
      <c r="B1153" s="60"/>
      <c r="C1153" s="55"/>
      <c r="D1153" s="65"/>
      <c r="E1153" s="55"/>
    </row>
    <row r="1154">
      <c r="A1154" s="55"/>
      <c r="B1154" s="60"/>
      <c r="C1154" s="55"/>
      <c r="D1154" s="65"/>
      <c r="E1154" s="55"/>
    </row>
    <row r="1155">
      <c r="A1155" s="55"/>
      <c r="B1155" s="60"/>
      <c r="C1155" s="55"/>
      <c r="D1155" s="65"/>
      <c r="E1155" s="55"/>
    </row>
    <row r="1156">
      <c r="A1156" s="55"/>
      <c r="B1156" s="60"/>
      <c r="C1156" s="55"/>
      <c r="D1156" s="65"/>
      <c r="E1156" s="55"/>
    </row>
    <row r="1157">
      <c r="A1157" s="55"/>
      <c r="B1157" s="60"/>
      <c r="C1157" s="55"/>
      <c r="D1157" s="65"/>
      <c r="E1157" s="55"/>
    </row>
    <row r="1158">
      <c r="A1158" s="55"/>
      <c r="B1158" s="60"/>
      <c r="C1158" s="55"/>
      <c r="D1158" s="65"/>
      <c r="E1158" s="55"/>
    </row>
    <row r="1159">
      <c r="A1159" s="55"/>
      <c r="B1159" s="60"/>
      <c r="C1159" s="55"/>
      <c r="D1159" s="65"/>
      <c r="E1159" s="55"/>
    </row>
    <row r="1160">
      <c r="A1160" s="55"/>
      <c r="B1160" s="60"/>
      <c r="C1160" s="55"/>
      <c r="D1160" s="65"/>
      <c r="E1160" s="55"/>
    </row>
    <row r="1161">
      <c r="A1161" s="55"/>
      <c r="B1161" s="60"/>
      <c r="C1161" s="55"/>
      <c r="D1161" s="65"/>
      <c r="E1161" s="55"/>
    </row>
    <row r="1162">
      <c r="A1162" s="55"/>
      <c r="B1162" s="60"/>
      <c r="C1162" s="55"/>
      <c r="D1162" s="65"/>
      <c r="E1162" s="55"/>
    </row>
    <row r="1163">
      <c r="A1163" s="55"/>
      <c r="B1163" s="60"/>
      <c r="C1163" s="55"/>
      <c r="D1163" s="65"/>
      <c r="E1163" s="55"/>
    </row>
    <row r="1164">
      <c r="A1164" s="55"/>
      <c r="B1164" s="60"/>
      <c r="C1164" s="55"/>
      <c r="D1164" s="65"/>
      <c r="E1164" s="55"/>
    </row>
    <row r="1165">
      <c r="A1165" s="55"/>
      <c r="B1165" s="60"/>
      <c r="C1165" s="55"/>
      <c r="D1165" s="65"/>
      <c r="E1165" s="55"/>
    </row>
    <row r="1166">
      <c r="A1166" s="55"/>
      <c r="B1166" s="60"/>
      <c r="C1166" s="55"/>
      <c r="D1166" s="65"/>
      <c r="E1166" s="55"/>
    </row>
    <row r="1167">
      <c r="A1167" s="55"/>
      <c r="B1167" s="60"/>
      <c r="C1167" s="55"/>
      <c r="D1167" s="65"/>
      <c r="E1167" s="55"/>
    </row>
    <row r="1168">
      <c r="A1168" s="55"/>
      <c r="B1168" s="60"/>
      <c r="C1168" s="55"/>
      <c r="D1168" s="65"/>
      <c r="E1168" s="55"/>
    </row>
    <row r="1169">
      <c r="A1169" s="55"/>
      <c r="B1169" s="60"/>
      <c r="C1169" s="55"/>
      <c r="D1169" s="65"/>
      <c r="E1169" s="55"/>
    </row>
    <row r="1170">
      <c r="A1170" s="55"/>
      <c r="B1170" s="60"/>
      <c r="C1170" s="55"/>
      <c r="D1170" s="65"/>
      <c r="E1170" s="55"/>
    </row>
    <row r="1171">
      <c r="A1171" s="55"/>
      <c r="B1171" s="60"/>
      <c r="C1171" s="55"/>
      <c r="D1171" s="65"/>
      <c r="E1171" s="55"/>
    </row>
    <row r="1172">
      <c r="A1172" s="55"/>
      <c r="B1172" s="60"/>
      <c r="C1172" s="55"/>
      <c r="D1172" s="65"/>
      <c r="E1172" s="55"/>
    </row>
    <row r="1173">
      <c r="A1173" s="55"/>
      <c r="B1173" s="60"/>
      <c r="C1173" s="55"/>
      <c r="D1173" s="65"/>
      <c r="E1173" s="55"/>
    </row>
    <row r="1174">
      <c r="A1174" s="55"/>
      <c r="B1174" s="60"/>
      <c r="C1174" s="55"/>
      <c r="D1174" s="65"/>
      <c r="E1174" s="55"/>
    </row>
    <row r="1175">
      <c r="A1175" s="55"/>
      <c r="B1175" s="60"/>
      <c r="C1175" s="55"/>
      <c r="D1175" s="65"/>
      <c r="E1175" s="55"/>
    </row>
    <row r="1176">
      <c r="A1176" s="55"/>
      <c r="B1176" s="60"/>
      <c r="C1176" s="55"/>
      <c r="D1176" s="65"/>
      <c r="E1176" s="55"/>
    </row>
    <row r="1177">
      <c r="A1177" s="55"/>
      <c r="B1177" s="60"/>
      <c r="C1177" s="55"/>
      <c r="D1177" s="65"/>
      <c r="E1177" s="55"/>
    </row>
    <row r="1178">
      <c r="A1178" s="55"/>
      <c r="B1178" s="60"/>
      <c r="C1178" s="55"/>
      <c r="D1178" s="65"/>
      <c r="E1178" s="55"/>
    </row>
    <row r="1179">
      <c r="A1179" s="55"/>
      <c r="B1179" s="60"/>
      <c r="C1179" s="55"/>
      <c r="D1179" s="65"/>
      <c r="E1179" s="55"/>
    </row>
    <row r="1180">
      <c r="A1180" s="55"/>
      <c r="B1180" s="60"/>
      <c r="C1180" s="55"/>
      <c r="D1180" s="65"/>
      <c r="E1180" s="55"/>
    </row>
    <row r="1181">
      <c r="A1181" s="55"/>
      <c r="B1181" s="60"/>
      <c r="C1181" s="55"/>
      <c r="D1181" s="65"/>
      <c r="E1181" s="55"/>
    </row>
    <row r="1182">
      <c r="A1182" s="55"/>
      <c r="B1182" s="60"/>
      <c r="C1182" s="55"/>
      <c r="D1182" s="65"/>
      <c r="E1182" s="55"/>
    </row>
    <row r="1183">
      <c r="A1183" s="55"/>
      <c r="B1183" s="60"/>
      <c r="C1183" s="55"/>
      <c r="D1183" s="65"/>
      <c r="E1183" s="55"/>
    </row>
    <row r="1184">
      <c r="A1184" s="55"/>
      <c r="B1184" s="60"/>
      <c r="C1184" s="55"/>
      <c r="D1184" s="65"/>
      <c r="E1184" s="55"/>
    </row>
    <row r="1185">
      <c r="A1185" s="55"/>
      <c r="B1185" s="60"/>
      <c r="C1185" s="55"/>
      <c r="D1185" s="65"/>
      <c r="E1185" s="55"/>
    </row>
    <row r="1186">
      <c r="A1186" s="55"/>
      <c r="B1186" s="60"/>
      <c r="C1186" s="55"/>
      <c r="D1186" s="65"/>
      <c r="E1186" s="55"/>
    </row>
    <row r="1187">
      <c r="A1187" s="55"/>
      <c r="B1187" s="60"/>
      <c r="C1187" s="55"/>
      <c r="D1187" s="65"/>
      <c r="E1187" s="55"/>
    </row>
    <row r="1188">
      <c r="A1188" s="55"/>
      <c r="B1188" s="60"/>
      <c r="C1188" s="55"/>
      <c r="D1188" s="65"/>
      <c r="E1188" s="55"/>
    </row>
    <row r="1189">
      <c r="A1189" s="55"/>
      <c r="B1189" s="60"/>
      <c r="C1189" s="55"/>
      <c r="D1189" s="65"/>
      <c r="E1189" s="55"/>
    </row>
    <row r="1190">
      <c r="A1190" s="55"/>
      <c r="B1190" s="60"/>
      <c r="C1190" s="55"/>
      <c r="D1190" s="65"/>
      <c r="E1190" s="55"/>
    </row>
    <row r="1191">
      <c r="A1191" s="55"/>
      <c r="B1191" s="60"/>
      <c r="C1191" s="55"/>
      <c r="D1191" s="65"/>
      <c r="E1191" s="55"/>
    </row>
    <row r="1192">
      <c r="A1192" s="55"/>
      <c r="B1192" s="60"/>
      <c r="C1192" s="55"/>
      <c r="D1192" s="65"/>
      <c r="E1192" s="55"/>
    </row>
    <row r="1193">
      <c r="A1193" s="55"/>
      <c r="B1193" s="60"/>
      <c r="C1193" s="55"/>
      <c r="D1193" s="65"/>
      <c r="E1193" s="55"/>
    </row>
    <row r="1194">
      <c r="A1194" s="55"/>
      <c r="B1194" s="60"/>
      <c r="C1194" s="55"/>
      <c r="D1194" s="65"/>
      <c r="E1194" s="55"/>
    </row>
    <row r="1195">
      <c r="A1195" s="55"/>
      <c r="B1195" s="60"/>
      <c r="C1195" s="55"/>
      <c r="D1195" s="65"/>
      <c r="E1195" s="55"/>
    </row>
    <row r="1196">
      <c r="A1196" s="55"/>
      <c r="B1196" s="60"/>
      <c r="C1196" s="55"/>
      <c r="D1196" s="65"/>
      <c r="E1196" s="55"/>
    </row>
    <row r="1197">
      <c r="A1197" s="55"/>
      <c r="B1197" s="60"/>
      <c r="C1197" s="55"/>
      <c r="D1197" s="65"/>
      <c r="E1197" s="55"/>
    </row>
    <row r="1198">
      <c r="A1198" s="55"/>
      <c r="B1198" s="60"/>
      <c r="C1198" s="55"/>
      <c r="D1198" s="65"/>
      <c r="E1198" s="55"/>
    </row>
    <row r="1199">
      <c r="A1199" s="55"/>
      <c r="B1199" s="60"/>
      <c r="C1199" s="55"/>
      <c r="D1199" s="65"/>
      <c r="E1199" s="55"/>
    </row>
    <row r="1200">
      <c r="A1200" s="55"/>
      <c r="B1200" s="60"/>
      <c r="C1200" s="55"/>
      <c r="D1200" s="65"/>
      <c r="E1200" s="55"/>
    </row>
    <row r="1201">
      <c r="A1201" s="55"/>
      <c r="B1201" s="60"/>
      <c r="C1201" s="55"/>
      <c r="D1201" s="65"/>
      <c r="E1201" s="55"/>
    </row>
    <row r="1202">
      <c r="A1202" s="55"/>
      <c r="B1202" s="60"/>
      <c r="C1202" s="55"/>
      <c r="D1202" s="65"/>
      <c r="E1202" s="55"/>
    </row>
    <row r="1203">
      <c r="A1203" s="55"/>
      <c r="B1203" s="60"/>
      <c r="C1203" s="55"/>
      <c r="D1203" s="65"/>
      <c r="E1203" s="55"/>
    </row>
    <row r="1204">
      <c r="A1204" s="55"/>
      <c r="B1204" s="60"/>
      <c r="C1204" s="55"/>
      <c r="D1204" s="65"/>
      <c r="E1204" s="55"/>
    </row>
    <row r="1205">
      <c r="A1205" s="55"/>
      <c r="B1205" s="60"/>
      <c r="C1205" s="55"/>
      <c r="D1205" s="65"/>
      <c r="E1205" s="55"/>
    </row>
    <row r="1206">
      <c r="A1206" s="55"/>
      <c r="B1206" s="60"/>
      <c r="C1206" s="55"/>
      <c r="D1206" s="65"/>
      <c r="E1206" s="55"/>
    </row>
    <row r="1207">
      <c r="A1207" s="55"/>
      <c r="B1207" s="60"/>
      <c r="C1207" s="55"/>
      <c r="D1207" s="65"/>
      <c r="E1207" s="55"/>
    </row>
    <row r="1208">
      <c r="A1208" s="55"/>
      <c r="B1208" s="60"/>
      <c r="C1208" s="55"/>
      <c r="D1208" s="65"/>
      <c r="E1208" s="55"/>
    </row>
    <row r="1209">
      <c r="A1209" s="55"/>
      <c r="B1209" s="60"/>
      <c r="C1209" s="55"/>
      <c r="D1209" s="65"/>
      <c r="E1209" s="55"/>
    </row>
    <row r="1210">
      <c r="A1210" s="55"/>
      <c r="B1210" s="60"/>
      <c r="C1210" s="55"/>
      <c r="D1210" s="65"/>
      <c r="E1210" s="55"/>
    </row>
    <row r="1211">
      <c r="A1211" s="55"/>
      <c r="B1211" s="60"/>
      <c r="C1211" s="55"/>
      <c r="D1211" s="65"/>
      <c r="E1211" s="55"/>
    </row>
    <row r="1212">
      <c r="A1212" s="55"/>
      <c r="B1212" s="60"/>
      <c r="C1212" s="55"/>
      <c r="D1212" s="65"/>
      <c r="E1212" s="55"/>
    </row>
    <row r="1213">
      <c r="A1213" s="55"/>
      <c r="B1213" s="60"/>
      <c r="C1213" s="55"/>
      <c r="D1213" s="65"/>
      <c r="E1213" s="55"/>
    </row>
    <row r="1214">
      <c r="A1214" s="55"/>
      <c r="B1214" s="60"/>
      <c r="C1214" s="55"/>
      <c r="D1214" s="65"/>
      <c r="E1214" s="55"/>
    </row>
    <row r="1215">
      <c r="A1215" s="55"/>
      <c r="B1215" s="60"/>
      <c r="C1215" s="55"/>
      <c r="D1215" s="65"/>
      <c r="E1215" s="55"/>
    </row>
    <row r="1216">
      <c r="A1216" s="55"/>
      <c r="B1216" s="60"/>
      <c r="C1216" s="55"/>
      <c r="D1216" s="65"/>
      <c r="E1216" s="55"/>
    </row>
    <row r="1217">
      <c r="A1217" s="55"/>
      <c r="B1217" s="60"/>
      <c r="C1217" s="55"/>
      <c r="D1217" s="65"/>
      <c r="E1217" s="55"/>
    </row>
    <row r="1218">
      <c r="A1218" s="55"/>
      <c r="B1218" s="60"/>
      <c r="C1218" s="55"/>
      <c r="D1218" s="65"/>
      <c r="E1218" s="55"/>
    </row>
    <row r="1219">
      <c r="A1219" s="55"/>
      <c r="B1219" s="60"/>
      <c r="C1219" s="55"/>
      <c r="D1219" s="65"/>
      <c r="E1219" s="55"/>
    </row>
    <row r="1220">
      <c r="A1220" s="55"/>
      <c r="B1220" s="60"/>
      <c r="C1220" s="55"/>
      <c r="D1220" s="65"/>
      <c r="E1220" s="55"/>
    </row>
    <row r="1221">
      <c r="A1221" s="55"/>
      <c r="B1221" s="60"/>
      <c r="C1221" s="55"/>
      <c r="D1221" s="65"/>
      <c r="E1221" s="55"/>
    </row>
    <row r="1222">
      <c r="A1222" s="55"/>
      <c r="B1222" s="60"/>
      <c r="C1222" s="55"/>
      <c r="D1222" s="65"/>
      <c r="E1222" s="55"/>
    </row>
    <row r="1223">
      <c r="A1223" s="55"/>
      <c r="B1223" s="60"/>
      <c r="C1223" s="55"/>
      <c r="D1223" s="65"/>
      <c r="E1223" s="55"/>
    </row>
    <row r="1224">
      <c r="A1224" s="55"/>
      <c r="B1224" s="60"/>
      <c r="C1224" s="55"/>
      <c r="D1224" s="65"/>
      <c r="E1224" s="55"/>
    </row>
    <row r="1225">
      <c r="A1225" s="55"/>
      <c r="B1225" s="60"/>
      <c r="C1225" s="55"/>
      <c r="D1225" s="65"/>
      <c r="E1225" s="55"/>
    </row>
    <row r="1226">
      <c r="A1226" s="55"/>
      <c r="B1226" s="60"/>
      <c r="C1226" s="55"/>
      <c r="D1226" s="65"/>
      <c r="E1226" s="55"/>
    </row>
    <row r="1227">
      <c r="A1227" s="55"/>
      <c r="B1227" s="60"/>
      <c r="C1227" s="55"/>
      <c r="D1227" s="65"/>
      <c r="E1227" s="55"/>
    </row>
    <row r="1228">
      <c r="A1228" s="55"/>
      <c r="B1228" s="60"/>
      <c r="C1228" s="55"/>
      <c r="D1228" s="65"/>
      <c r="E1228" s="55"/>
    </row>
    <row r="1229">
      <c r="A1229" s="55"/>
      <c r="B1229" s="60"/>
      <c r="C1229" s="55"/>
      <c r="D1229" s="65"/>
      <c r="E1229" s="55"/>
    </row>
    <row r="1230">
      <c r="A1230" s="55"/>
      <c r="B1230" s="60"/>
      <c r="C1230" s="55"/>
      <c r="D1230" s="65"/>
      <c r="E1230" s="55"/>
    </row>
    <row r="1231">
      <c r="A1231" s="55"/>
      <c r="B1231" s="60"/>
      <c r="C1231" s="55"/>
      <c r="D1231" s="65"/>
      <c r="E1231" s="55"/>
    </row>
    <row r="1232">
      <c r="A1232" s="55"/>
      <c r="B1232" s="60"/>
      <c r="C1232" s="55"/>
      <c r="D1232" s="65"/>
      <c r="E1232" s="55"/>
    </row>
    <row r="1233">
      <c r="A1233" s="55"/>
      <c r="B1233" s="60"/>
      <c r="C1233" s="55"/>
      <c r="D1233" s="65"/>
      <c r="E1233" s="55"/>
    </row>
    <row r="1234">
      <c r="A1234" s="55"/>
      <c r="B1234" s="60"/>
      <c r="C1234" s="55"/>
      <c r="D1234" s="65"/>
      <c r="E1234" s="55"/>
    </row>
    <row r="1235">
      <c r="A1235" s="55"/>
      <c r="B1235" s="60"/>
      <c r="C1235" s="55"/>
      <c r="D1235" s="65"/>
      <c r="E1235" s="55"/>
    </row>
    <row r="1236">
      <c r="A1236" s="55"/>
      <c r="B1236" s="60"/>
      <c r="C1236" s="55"/>
      <c r="D1236" s="65"/>
      <c r="E1236" s="55"/>
    </row>
    <row r="1237">
      <c r="A1237" s="55"/>
      <c r="B1237" s="60"/>
      <c r="C1237" s="55"/>
      <c r="D1237" s="65"/>
      <c r="E1237" s="55"/>
    </row>
    <row r="1238">
      <c r="A1238" s="55"/>
      <c r="B1238" s="60"/>
      <c r="C1238" s="55"/>
      <c r="D1238" s="65"/>
      <c r="E1238" s="55"/>
    </row>
    <row r="1239">
      <c r="A1239" s="55"/>
      <c r="B1239" s="60"/>
      <c r="C1239" s="55"/>
      <c r="D1239" s="65"/>
      <c r="E1239" s="55"/>
    </row>
    <row r="1240">
      <c r="A1240" s="55"/>
      <c r="B1240" s="60"/>
      <c r="C1240" s="55"/>
      <c r="D1240" s="65"/>
      <c r="E1240" s="55"/>
    </row>
    <row r="1241">
      <c r="A1241" s="55"/>
      <c r="B1241" s="60"/>
      <c r="C1241" s="55"/>
      <c r="D1241" s="65"/>
      <c r="E1241" s="55"/>
    </row>
    <row r="1242">
      <c r="A1242" s="55"/>
      <c r="B1242" s="60"/>
      <c r="C1242" s="55"/>
      <c r="D1242" s="65"/>
      <c r="E1242" s="55"/>
    </row>
    <row r="1243">
      <c r="A1243" s="55"/>
      <c r="B1243" s="60"/>
      <c r="C1243" s="55"/>
      <c r="D1243" s="65"/>
      <c r="E1243" s="55"/>
    </row>
    <row r="1244">
      <c r="A1244" s="55"/>
      <c r="B1244" s="60"/>
      <c r="C1244" s="55"/>
      <c r="D1244" s="65"/>
      <c r="E1244" s="55"/>
    </row>
    <row r="1245">
      <c r="A1245" s="55"/>
      <c r="B1245" s="60"/>
      <c r="C1245" s="55"/>
      <c r="D1245" s="65"/>
      <c r="E1245" s="55"/>
    </row>
    <row r="1246">
      <c r="A1246" s="55"/>
      <c r="B1246" s="60"/>
      <c r="C1246" s="55"/>
      <c r="D1246" s="65"/>
      <c r="E1246" s="55"/>
    </row>
    <row r="1247">
      <c r="A1247" s="55"/>
      <c r="B1247" s="60"/>
      <c r="C1247" s="55"/>
      <c r="D1247" s="65"/>
      <c r="E1247" s="55"/>
    </row>
    <row r="1248">
      <c r="A1248" s="55"/>
      <c r="B1248" s="60"/>
      <c r="C1248" s="55"/>
      <c r="D1248" s="65"/>
      <c r="E1248" s="55"/>
    </row>
    <row r="1249">
      <c r="A1249" s="55"/>
      <c r="B1249" s="60"/>
      <c r="C1249" s="55"/>
      <c r="D1249" s="65"/>
      <c r="E1249" s="55"/>
    </row>
    <row r="1250">
      <c r="A1250" s="55"/>
      <c r="B1250" s="60"/>
      <c r="C1250" s="55"/>
      <c r="D1250" s="65"/>
      <c r="E1250" s="55"/>
    </row>
    <row r="1251">
      <c r="A1251" s="55"/>
      <c r="B1251" s="60"/>
      <c r="C1251" s="55"/>
      <c r="D1251" s="65"/>
      <c r="E1251" s="55"/>
    </row>
    <row r="1252">
      <c r="A1252" s="55"/>
      <c r="B1252" s="60"/>
      <c r="C1252" s="55"/>
      <c r="D1252" s="65"/>
      <c r="E1252" s="55"/>
    </row>
    <row r="1253">
      <c r="A1253" s="55"/>
      <c r="B1253" s="60"/>
      <c r="C1253" s="55"/>
      <c r="D1253" s="65"/>
      <c r="E1253" s="55"/>
    </row>
    <row r="1254">
      <c r="A1254" s="55"/>
      <c r="B1254" s="60"/>
      <c r="C1254" s="55"/>
      <c r="D1254" s="65"/>
      <c r="E1254" s="55"/>
    </row>
    <row r="1255">
      <c r="A1255" s="55"/>
      <c r="B1255" s="60"/>
      <c r="C1255" s="55"/>
      <c r="D1255" s="65"/>
      <c r="E1255" s="55"/>
    </row>
    <row r="1256">
      <c r="A1256" s="55"/>
      <c r="B1256" s="60"/>
      <c r="C1256" s="55"/>
      <c r="D1256" s="65"/>
      <c r="E1256" s="55"/>
    </row>
    <row r="1257">
      <c r="A1257" s="55"/>
      <c r="B1257" s="60"/>
      <c r="C1257" s="55"/>
      <c r="D1257" s="65"/>
      <c r="E1257" s="55"/>
    </row>
    <row r="1258">
      <c r="A1258" s="55"/>
      <c r="B1258" s="60"/>
      <c r="C1258" s="55"/>
      <c r="D1258" s="65"/>
      <c r="E1258" s="55"/>
    </row>
    <row r="1259">
      <c r="A1259" s="55"/>
      <c r="B1259" s="60"/>
      <c r="C1259" s="55"/>
      <c r="D1259" s="65"/>
      <c r="E1259" s="55"/>
    </row>
    <row r="1260">
      <c r="A1260" s="55"/>
      <c r="B1260" s="60"/>
      <c r="C1260" s="55"/>
      <c r="D1260" s="65"/>
      <c r="E1260" s="55"/>
    </row>
    <row r="1261">
      <c r="A1261" s="55"/>
      <c r="B1261" s="60"/>
      <c r="C1261" s="55"/>
      <c r="D1261" s="65"/>
      <c r="E1261" s="55"/>
    </row>
    <row r="1262">
      <c r="A1262" s="55"/>
      <c r="B1262" s="60"/>
      <c r="C1262" s="55"/>
      <c r="D1262" s="65"/>
      <c r="E1262" s="55"/>
    </row>
    <row r="1263">
      <c r="A1263" s="55"/>
      <c r="B1263" s="60"/>
      <c r="C1263" s="55"/>
      <c r="D1263" s="65"/>
      <c r="E1263" s="55"/>
    </row>
    <row r="1264">
      <c r="A1264" s="55"/>
      <c r="B1264" s="60"/>
      <c r="C1264" s="55"/>
      <c r="D1264" s="65"/>
      <c r="E1264" s="55"/>
    </row>
    <row r="1265">
      <c r="A1265" s="55"/>
      <c r="B1265" s="60"/>
      <c r="C1265" s="55"/>
      <c r="D1265" s="65"/>
      <c r="E1265" s="55"/>
    </row>
    <row r="1266">
      <c r="A1266" s="55"/>
      <c r="B1266" s="60"/>
      <c r="C1266" s="55"/>
      <c r="D1266" s="65"/>
      <c r="E1266" s="55"/>
    </row>
    <row r="1267">
      <c r="A1267" s="55"/>
      <c r="B1267" s="60"/>
      <c r="C1267" s="55"/>
      <c r="D1267" s="65"/>
      <c r="E1267" s="55"/>
    </row>
    <row r="1268">
      <c r="A1268" s="55"/>
      <c r="B1268" s="60"/>
      <c r="C1268" s="55"/>
      <c r="D1268" s="65"/>
      <c r="E1268" s="55"/>
    </row>
    <row r="1269">
      <c r="A1269" s="55"/>
      <c r="B1269" s="60"/>
      <c r="C1269" s="55"/>
      <c r="D1269" s="65"/>
      <c r="E1269" s="55"/>
    </row>
    <row r="1270">
      <c r="A1270" s="55"/>
      <c r="B1270" s="60"/>
      <c r="C1270" s="55"/>
      <c r="D1270" s="65"/>
      <c r="E1270" s="55"/>
    </row>
    <row r="1271">
      <c r="A1271" s="55"/>
      <c r="B1271" s="60"/>
      <c r="C1271" s="55"/>
      <c r="D1271" s="65"/>
      <c r="E1271" s="55"/>
    </row>
    <row r="1272">
      <c r="A1272" s="55"/>
      <c r="B1272" s="60"/>
      <c r="C1272" s="55"/>
      <c r="D1272" s="65"/>
      <c r="E1272" s="55"/>
    </row>
    <row r="1273">
      <c r="A1273" s="55"/>
      <c r="B1273" s="60"/>
      <c r="C1273" s="55"/>
      <c r="D1273" s="65"/>
      <c r="E1273" s="55"/>
    </row>
    <row r="1274">
      <c r="A1274" s="55"/>
      <c r="B1274" s="60"/>
      <c r="C1274" s="55"/>
      <c r="D1274" s="65"/>
      <c r="E1274" s="55"/>
    </row>
    <row r="1275">
      <c r="A1275" s="55"/>
      <c r="B1275" s="60"/>
      <c r="C1275" s="55"/>
      <c r="D1275" s="65"/>
      <c r="E1275" s="55"/>
    </row>
    <row r="1276">
      <c r="A1276" s="55"/>
      <c r="B1276" s="60"/>
      <c r="C1276" s="55"/>
      <c r="D1276" s="65"/>
      <c r="E1276" s="55"/>
    </row>
    <row r="1277">
      <c r="A1277" s="55"/>
      <c r="B1277" s="60"/>
      <c r="C1277" s="55"/>
      <c r="D1277" s="65"/>
      <c r="E1277" s="55"/>
    </row>
    <row r="1278">
      <c r="A1278" s="55"/>
      <c r="B1278" s="60"/>
      <c r="C1278" s="55"/>
      <c r="D1278" s="65"/>
      <c r="E1278" s="55"/>
    </row>
    <row r="1279">
      <c r="A1279" s="55"/>
      <c r="B1279" s="60"/>
      <c r="C1279" s="55"/>
      <c r="D1279" s="65"/>
      <c r="E1279" s="55"/>
    </row>
    <row r="1280">
      <c r="A1280" s="55"/>
      <c r="B1280" s="60"/>
      <c r="C1280" s="55"/>
      <c r="D1280" s="65"/>
      <c r="E1280" s="55"/>
    </row>
    <row r="1281">
      <c r="A1281" s="55"/>
      <c r="B1281" s="60"/>
      <c r="C1281" s="55"/>
      <c r="D1281" s="65"/>
      <c r="E1281" s="55"/>
    </row>
    <row r="1282">
      <c r="A1282" s="55"/>
      <c r="B1282" s="60"/>
      <c r="C1282" s="55"/>
      <c r="D1282" s="65"/>
      <c r="E1282" s="55"/>
    </row>
    <row r="1283">
      <c r="A1283" s="55"/>
      <c r="B1283" s="60"/>
      <c r="C1283" s="55"/>
      <c r="D1283" s="65"/>
      <c r="E1283" s="55"/>
    </row>
    <row r="1284">
      <c r="A1284" s="55"/>
      <c r="B1284" s="60"/>
      <c r="C1284" s="55"/>
      <c r="D1284" s="65"/>
      <c r="E1284" s="55"/>
    </row>
    <row r="1285">
      <c r="A1285" s="55"/>
      <c r="B1285" s="60"/>
      <c r="C1285" s="55"/>
      <c r="D1285" s="65"/>
      <c r="E1285" s="55"/>
    </row>
    <row r="1286">
      <c r="A1286" s="55"/>
      <c r="B1286" s="60"/>
      <c r="C1286" s="55"/>
      <c r="D1286" s="65"/>
      <c r="E1286" s="55"/>
    </row>
    <row r="1287">
      <c r="A1287" s="55"/>
      <c r="B1287" s="60"/>
      <c r="C1287" s="55"/>
      <c r="D1287" s="65"/>
      <c r="E1287" s="55"/>
    </row>
    <row r="1288">
      <c r="A1288" s="55"/>
      <c r="B1288" s="60"/>
      <c r="C1288" s="55"/>
      <c r="D1288" s="65"/>
      <c r="E1288" s="55"/>
    </row>
    <row r="1289">
      <c r="A1289" s="55"/>
      <c r="B1289" s="60"/>
      <c r="C1289" s="55"/>
      <c r="D1289" s="65"/>
      <c r="E1289" s="55"/>
    </row>
    <row r="1290">
      <c r="A1290" s="55"/>
      <c r="B1290" s="60"/>
      <c r="C1290" s="55"/>
      <c r="D1290" s="65"/>
      <c r="E1290" s="55"/>
    </row>
    <row r="1291">
      <c r="A1291" s="55"/>
      <c r="B1291" s="60"/>
      <c r="C1291" s="55"/>
      <c r="D1291" s="65"/>
      <c r="E1291" s="55"/>
    </row>
    <row r="1292">
      <c r="A1292" s="55"/>
      <c r="B1292" s="60"/>
      <c r="C1292" s="55"/>
      <c r="D1292" s="65"/>
      <c r="E1292" s="55"/>
    </row>
    <row r="1293">
      <c r="A1293" s="55"/>
      <c r="B1293" s="60"/>
      <c r="C1293" s="55"/>
      <c r="D1293" s="65"/>
      <c r="E1293" s="55"/>
    </row>
    <row r="1294">
      <c r="A1294" s="55"/>
      <c r="B1294" s="60"/>
      <c r="C1294" s="55"/>
      <c r="D1294" s="65"/>
      <c r="E1294" s="55"/>
    </row>
    <row r="1295">
      <c r="A1295" s="55"/>
      <c r="B1295" s="60"/>
      <c r="C1295" s="55"/>
      <c r="D1295" s="65"/>
      <c r="E1295" s="55"/>
    </row>
    <row r="1296">
      <c r="A1296" s="55"/>
      <c r="B1296" s="60"/>
      <c r="C1296" s="55"/>
      <c r="D1296" s="65"/>
      <c r="E1296" s="55"/>
    </row>
    <row r="1297">
      <c r="A1297" s="55"/>
      <c r="B1297" s="60"/>
      <c r="C1297" s="55"/>
      <c r="D1297" s="65"/>
      <c r="E1297" s="55"/>
    </row>
    <row r="1298">
      <c r="A1298" s="55"/>
      <c r="B1298" s="60"/>
      <c r="C1298" s="55"/>
      <c r="D1298" s="65"/>
      <c r="E1298" s="55"/>
    </row>
    <row r="1299">
      <c r="A1299" s="55"/>
      <c r="B1299" s="60"/>
      <c r="C1299" s="55"/>
      <c r="D1299" s="65"/>
      <c r="E1299" s="55"/>
    </row>
    <row r="1300">
      <c r="A1300" s="55"/>
      <c r="B1300" s="60"/>
      <c r="C1300" s="55"/>
      <c r="D1300" s="65"/>
      <c r="E1300" s="55"/>
    </row>
    <row r="1301">
      <c r="A1301" s="55"/>
      <c r="B1301" s="60"/>
      <c r="C1301" s="55"/>
      <c r="D1301" s="65"/>
      <c r="E1301" s="55"/>
    </row>
    <row r="1302">
      <c r="A1302" s="55"/>
      <c r="B1302" s="60"/>
      <c r="C1302" s="55"/>
      <c r="D1302" s="65"/>
      <c r="E1302" s="55"/>
    </row>
    <row r="1303">
      <c r="A1303" s="55"/>
      <c r="B1303" s="60"/>
      <c r="C1303" s="55"/>
      <c r="D1303" s="65"/>
      <c r="E1303" s="55"/>
    </row>
    <row r="1304">
      <c r="A1304" s="55"/>
      <c r="B1304" s="60"/>
      <c r="C1304" s="55"/>
      <c r="D1304" s="65"/>
      <c r="E1304" s="55"/>
    </row>
    <row r="1305">
      <c r="A1305" s="55"/>
      <c r="B1305" s="60"/>
      <c r="C1305" s="55"/>
      <c r="D1305" s="65"/>
      <c r="E1305" s="55"/>
    </row>
    <row r="1306">
      <c r="A1306" s="55"/>
      <c r="B1306" s="60"/>
      <c r="C1306" s="55"/>
      <c r="D1306" s="65"/>
      <c r="E1306" s="55"/>
    </row>
    <row r="1307">
      <c r="A1307" s="55"/>
      <c r="B1307" s="60"/>
      <c r="C1307" s="55"/>
      <c r="D1307" s="65"/>
      <c r="E1307" s="55"/>
    </row>
    <row r="1308">
      <c r="A1308" s="55"/>
      <c r="B1308" s="60"/>
      <c r="C1308" s="55"/>
      <c r="D1308" s="65"/>
      <c r="E1308" s="55"/>
    </row>
    <row r="1309">
      <c r="A1309" s="55"/>
      <c r="B1309" s="60"/>
      <c r="C1309" s="55"/>
      <c r="D1309" s="65"/>
      <c r="E1309" s="55"/>
    </row>
    <row r="1310">
      <c r="A1310" s="55"/>
      <c r="B1310" s="60"/>
      <c r="C1310" s="55"/>
      <c r="D1310" s="65"/>
      <c r="E1310" s="55"/>
    </row>
    <row r="1311">
      <c r="A1311" s="55"/>
      <c r="B1311" s="60"/>
      <c r="C1311" s="55"/>
      <c r="D1311" s="65"/>
      <c r="E1311" s="55"/>
    </row>
    <row r="1312">
      <c r="A1312" s="55"/>
      <c r="B1312" s="60"/>
      <c r="C1312" s="55"/>
      <c r="D1312" s="65"/>
      <c r="E1312" s="55"/>
    </row>
    <row r="1313">
      <c r="A1313" s="55"/>
      <c r="B1313" s="60"/>
      <c r="C1313" s="55"/>
      <c r="D1313" s="65"/>
      <c r="E1313" s="55"/>
    </row>
    <row r="1314">
      <c r="A1314" s="55"/>
      <c r="B1314" s="60"/>
      <c r="C1314" s="55"/>
      <c r="D1314" s="65"/>
      <c r="E1314" s="55"/>
    </row>
    <row r="1315">
      <c r="A1315" s="55"/>
      <c r="B1315" s="60"/>
      <c r="C1315" s="55"/>
      <c r="D1315" s="65"/>
      <c r="E1315" s="55"/>
    </row>
    <row r="1316">
      <c r="A1316" s="55"/>
      <c r="B1316" s="60"/>
      <c r="C1316" s="55"/>
      <c r="D1316" s="65"/>
      <c r="E1316" s="55"/>
    </row>
    <row r="1317">
      <c r="A1317" s="55"/>
      <c r="B1317" s="60"/>
      <c r="C1317" s="55"/>
      <c r="D1317" s="65"/>
      <c r="E1317" s="55"/>
    </row>
    <row r="1318">
      <c r="A1318" s="55"/>
      <c r="B1318" s="60"/>
      <c r="C1318" s="55"/>
      <c r="D1318" s="65"/>
      <c r="E1318" s="55"/>
    </row>
    <row r="1319">
      <c r="A1319" s="55"/>
      <c r="B1319" s="60"/>
      <c r="C1319" s="55"/>
      <c r="D1319" s="65"/>
      <c r="E1319" s="55"/>
    </row>
    <row r="1320">
      <c r="A1320" s="55"/>
      <c r="B1320" s="60"/>
      <c r="C1320" s="55"/>
      <c r="D1320" s="65"/>
      <c r="E1320" s="55"/>
    </row>
    <row r="1321">
      <c r="A1321" s="55"/>
      <c r="B1321" s="60"/>
      <c r="C1321" s="55"/>
      <c r="D1321" s="65"/>
      <c r="E1321" s="55"/>
    </row>
    <row r="1322">
      <c r="A1322" s="55"/>
      <c r="B1322" s="60"/>
      <c r="C1322" s="55"/>
      <c r="D1322" s="65"/>
      <c r="E1322" s="55"/>
    </row>
    <row r="1323">
      <c r="A1323" s="55"/>
      <c r="B1323" s="60"/>
      <c r="C1323" s="55"/>
      <c r="D1323" s="65"/>
      <c r="E1323" s="55"/>
    </row>
    <row r="1324">
      <c r="A1324" s="55"/>
      <c r="B1324" s="60"/>
      <c r="C1324" s="55"/>
      <c r="D1324" s="65"/>
      <c r="E1324" s="55"/>
    </row>
    <row r="1325">
      <c r="A1325" s="55"/>
      <c r="B1325" s="60"/>
      <c r="C1325" s="55"/>
      <c r="D1325" s="65"/>
      <c r="E1325" s="55"/>
    </row>
    <row r="1326">
      <c r="A1326" s="55"/>
      <c r="B1326" s="60"/>
      <c r="C1326" s="55"/>
      <c r="D1326" s="65"/>
      <c r="E1326" s="55"/>
    </row>
    <row r="1327">
      <c r="A1327" s="55"/>
      <c r="B1327" s="60"/>
      <c r="C1327" s="55"/>
      <c r="D1327" s="65"/>
      <c r="E1327" s="55"/>
    </row>
    <row r="1328">
      <c r="A1328" s="55"/>
      <c r="B1328" s="60"/>
      <c r="C1328" s="55"/>
      <c r="D1328" s="65"/>
      <c r="E1328" s="55"/>
    </row>
    <row r="1329">
      <c r="A1329" s="55"/>
      <c r="B1329" s="60"/>
      <c r="C1329" s="55"/>
      <c r="D1329" s="65"/>
      <c r="E1329" s="55"/>
    </row>
    <row r="1330">
      <c r="A1330" s="55"/>
      <c r="B1330" s="60"/>
      <c r="C1330" s="55"/>
      <c r="D1330" s="65"/>
      <c r="E1330" s="55"/>
    </row>
    <row r="1331">
      <c r="A1331" s="55"/>
      <c r="B1331" s="60"/>
      <c r="C1331" s="55"/>
      <c r="D1331" s="65"/>
      <c r="E1331" s="55"/>
    </row>
    <row r="1332">
      <c r="A1332" s="55"/>
      <c r="B1332" s="60"/>
      <c r="C1332" s="55"/>
      <c r="D1332" s="65"/>
      <c r="E1332" s="55"/>
    </row>
    <row r="1333">
      <c r="A1333" s="55"/>
      <c r="B1333" s="60"/>
      <c r="C1333" s="55"/>
      <c r="D1333" s="65"/>
      <c r="E1333" s="55"/>
    </row>
    <row r="1334">
      <c r="A1334" s="55"/>
      <c r="B1334" s="60"/>
      <c r="C1334" s="55"/>
      <c r="D1334" s="65"/>
      <c r="E1334" s="55"/>
    </row>
    <row r="1335">
      <c r="A1335" s="55"/>
      <c r="B1335" s="60"/>
      <c r="C1335" s="55"/>
      <c r="D1335" s="65"/>
      <c r="E1335" s="55"/>
    </row>
    <row r="1336">
      <c r="A1336" s="55"/>
      <c r="B1336" s="60"/>
      <c r="C1336" s="55"/>
      <c r="D1336" s="65"/>
      <c r="E1336" s="55"/>
    </row>
    <row r="1337">
      <c r="A1337" s="55"/>
      <c r="B1337" s="60"/>
      <c r="C1337" s="55"/>
      <c r="D1337" s="65"/>
      <c r="E1337" s="55"/>
    </row>
    <row r="1338">
      <c r="A1338" s="55"/>
      <c r="B1338" s="60"/>
      <c r="C1338" s="55"/>
      <c r="D1338" s="65"/>
      <c r="E1338" s="55"/>
    </row>
    <row r="1339">
      <c r="A1339" s="55"/>
      <c r="B1339" s="60"/>
      <c r="C1339" s="55"/>
      <c r="D1339" s="65"/>
      <c r="E1339" s="55"/>
    </row>
    <row r="1340">
      <c r="A1340" s="55"/>
      <c r="B1340" s="60"/>
      <c r="C1340" s="55"/>
      <c r="D1340" s="65"/>
      <c r="E1340" s="55"/>
    </row>
    <row r="1341">
      <c r="A1341" s="55"/>
      <c r="B1341" s="60"/>
      <c r="C1341" s="55"/>
      <c r="D1341" s="65"/>
      <c r="E1341" s="55"/>
    </row>
    <row r="1342">
      <c r="A1342" s="55"/>
      <c r="B1342" s="60"/>
      <c r="C1342" s="55"/>
      <c r="D1342" s="65"/>
      <c r="E1342" s="55"/>
    </row>
    <row r="1343">
      <c r="A1343" s="55"/>
      <c r="B1343" s="60"/>
      <c r="C1343" s="55"/>
      <c r="D1343" s="65"/>
      <c r="E1343" s="55"/>
    </row>
    <row r="1344">
      <c r="A1344" s="55"/>
      <c r="B1344" s="60"/>
      <c r="C1344" s="55"/>
      <c r="D1344" s="65"/>
      <c r="E1344" s="55"/>
    </row>
    <row r="1345">
      <c r="A1345" s="55"/>
      <c r="B1345" s="60"/>
      <c r="C1345" s="55"/>
      <c r="D1345" s="65"/>
      <c r="E1345" s="55"/>
    </row>
    <row r="1346">
      <c r="A1346" s="55"/>
      <c r="B1346" s="60"/>
      <c r="C1346" s="55"/>
      <c r="D1346" s="65"/>
      <c r="E1346" s="55"/>
    </row>
    <row r="1347">
      <c r="A1347" s="55"/>
      <c r="B1347" s="60"/>
      <c r="C1347" s="55"/>
      <c r="D1347" s="65"/>
      <c r="E1347" s="55"/>
    </row>
    <row r="1348">
      <c r="A1348" s="55"/>
      <c r="B1348" s="60"/>
      <c r="C1348" s="55"/>
      <c r="D1348" s="65"/>
      <c r="E1348" s="55"/>
    </row>
    <row r="1349">
      <c r="A1349" s="55"/>
      <c r="B1349" s="60"/>
      <c r="C1349" s="55"/>
      <c r="D1349" s="65"/>
      <c r="E1349" s="55"/>
    </row>
    <row r="1350">
      <c r="A1350" s="55"/>
      <c r="B1350" s="60"/>
      <c r="C1350" s="55"/>
      <c r="D1350" s="65"/>
      <c r="E1350" s="55"/>
    </row>
    <row r="1351">
      <c r="A1351" s="55"/>
      <c r="B1351" s="60"/>
      <c r="C1351" s="55"/>
      <c r="D1351" s="65"/>
      <c r="E1351" s="55"/>
    </row>
    <row r="1352">
      <c r="A1352" s="55"/>
      <c r="B1352" s="60"/>
      <c r="C1352" s="55"/>
      <c r="D1352" s="65"/>
      <c r="E1352" s="55"/>
    </row>
    <row r="1353">
      <c r="A1353" s="55"/>
      <c r="B1353" s="60"/>
      <c r="C1353" s="55"/>
      <c r="D1353" s="65"/>
      <c r="E1353" s="55"/>
    </row>
    <row r="1354">
      <c r="A1354" s="55"/>
      <c r="B1354" s="60"/>
      <c r="C1354" s="55"/>
      <c r="D1354" s="65"/>
      <c r="E1354" s="55"/>
    </row>
    <row r="1355">
      <c r="A1355" s="55"/>
      <c r="B1355" s="60"/>
      <c r="C1355" s="55"/>
      <c r="D1355" s="65"/>
      <c r="E1355" s="55"/>
    </row>
    <row r="1356">
      <c r="A1356" s="55"/>
      <c r="B1356" s="60"/>
      <c r="C1356" s="55"/>
      <c r="D1356" s="65"/>
      <c r="E1356" s="55"/>
    </row>
    <row r="1357">
      <c r="A1357" s="55"/>
      <c r="B1357" s="60"/>
      <c r="C1357" s="55"/>
      <c r="D1357" s="65"/>
      <c r="E1357" s="55"/>
    </row>
    <row r="1358">
      <c r="A1358" s="55"/>
      <c r="B1358" s="60"/>
      <c r="C1358" s="55"/>
      <c r="D1358" s="65"/>
      <c r="E1358" s="55"/>
    </row>
    <row r="1359">
      <c r="A1359" s="55"/>
      <c r="B1359" s="60"/>
      <c r="C1359" s="55"/>
      <c r="D1359" s="65"/>
      <c r="E1359" s="55"/>
    </row>
    <row r="1360">
      <c r="A1360" s="55"/>
      <c r="B1360" s="60"/>
      <c r="C1360" s="55"/>
      <c r="D1360" s="65"/>
      <c r="E1360" s="55"/>
    </row>
    <row r="1361">
      <c r="A1361" s="55"/>
      <c r="B1361" s="60"/>
      <c r="C1361" s="55"/>
      <c r="D1361" s="65"/>
      <c r="E1361" s="55"/>
    </row>
    <row r="1362">
      <c r="A1362" s="55"/>
      <c r="B1362" s="60"/>
      <c r="C1362" s="55"/>
      <c r="D1362" s="65"/>
      <c r="E1362" s="55"/>
    </row>
    <row r="1363">
      <c r="A1363" s="55"/>
      <c r="B1363" s="60"/>
      <c r="C1363" s="55"/>
      <c r="D1363" s="65"/>
      <c r="E1363" s="55"/>
    </row>
    <row r="1364">
      <c r="A1364" s="55"/>
      <c r="B1364" s="60"/>
      <c r="C1364" s="55"/>
      <c r="D1364" s="65"/>
      <c r="E1364" s="55"/>
    </row>
    <row r="1365">
      <c r="A1365" s="55"/>
      <c r="B1365" s="60"/>
      <c r="C1365" s="55"/>
      <c r="D1365" s="65"/>
      <c r="E1365" s="55"/>
    </row>
    <row r="1366">
      <c r="A1366" s="55"/>
      <c r="B1366" s="60"/>
      <c r="C1366" s="55"/>
      <c r="D1366" s="65"/>
      <c r="E1366" s="55"/>
    </row>
    <row r="1367">
      <c r="A1367" s="55"/>
      <c r="B1367" s="60"/>
      <c r="C1367" s="55"/>
      <c r="D1367" s="65"/>
      <c r="E1367" s="55"/>
    </row>
    <row r="1368">
      <c r="A1368" s="55"/>
      <c r="B1368" s="60"/>
      <c r="C1368" s="55"/>
      <c r="D1368" s="65"/>
      <c r="E1368" s="55"/>
    </row>
    <row r="1369">
      <c r="A1369" s="55"/>
      <c r="B1369" s="60"/>
      <c r="C1369" s="55"/>
      <c r="D1369" s="65"/>
      <c r="E1369" s="55"/>
    </row>
    <row r="1370">
      <c r="A1370" s="55"/>
      <c r="B1370" s="60"/>
      <c r="C1370" s="55"/>
      <c r="D1370" s="65"/>
      <c r="E1370" s="55"/>
    </row>
    <row r="1371">
      <c r="A1371" s="55"/>
      <c r="B1371" s="60"/>
      <c r="C1371" s="55"/>
      <c r="D1371" s="65"/>
      <c r="E1371" s="55"/>
    </row>
    <row r="1372">
      <c r="A1372" s="55"/>
      <c r="B1372" s="60"/>
      <c r="C1372" s="55"/>
      <c r="D1372" s="65"/>
      <c r="E1372" s="55"/>
    </row>
    <row r="1373">
      <c r="A1373" s="55"/>
      <c r="B1373" s="60"/>
      <c r="C1373" s="55"/>
      <c r="D1373" s="65"/>
      <c r="E1373" s="55"/>
    </row>
    <row r="1374">
      <c r="A1374" s="55"/>
      <c r="B1374" s="60"/>
      <c r="C1374" s="55"/>
      <c r="D1374" s="65"/>
      <c r="E1374" s="55"/>
    </row>
    <row r="1375">
      <c r="A1375" s="55"/>
      <c r="B1375" s="60"/>
      <c r="C1375" s="55"/>
      <c r="D1375" s="65"/>
      <c r="E1375" s="55"/>
    </row>
    <row r="1376">
      <c r="A1376" s="55"/>
      <c r="B1376" s="60"/>
      <c r="C1376" s="55"/>
      <c r="D1376" s="65"/>
      <c r="E1376" s="55"/>
    </row>
    <row r="1377">
      <c r="A1377" s="55"/>
      <c r="B1377" s="60"/>
      <c r="C1377" s="55"/>
      <c r="D1377" s="65"/>
      <c r="E1377" s="55"/>
    </row>
    <row r="1378">
      <c r="A1378" s="55"/>
      <c r="B1378" s="60"/>
      <c r="C1378" s="55"/>
      <c r="D1378" s="65"/>
      <c r="E1378" s="55"/>
    </row>
    <row r="1379">
      <c r="A1379" s="55"/>
      <c r="B1379" s="60"/>
      <c r="C1379" s="55"/>
      <c r="D1379" s="65"/>
      <c r="E1379" s="55"/>
    </row>
    <row r="1380">
      <c r="A1380" s="55"/>
      <c r="B1380" s="60"/>
      <c r="C1380" s="55"/>
      <c r="D1380" s="65"/>
      <c r="E1380" s="55"/>
    </row>
    <row r="1381">
      <c r="A1381" s="55"/>
      <c r="B1381" s="60"/>
      <c r="C1381" s="55"/>
      <c r="D1381" s="65"/>
      <c r="E1381" s="55"/>
    </row>
    <row r="1382">
      <c r="A1382" s="55"/>
      <c r="B1382" s="60"/>
      <c r="C1382" s="55"/>
      <c r="D1382" s="65"/>
      <c r="E1382" s="55"/>
    </row>
    <row r="1383">
      <c r="A1383" s="55"/>
      <c r="B1383" s="60"/>
      <c r="C1383" s="55"/>
      <c r="D1383" s="65"/>
      <c r="E1383" s="55"/>
    </row>
    <row r="1384">
      <c r="A1384" s="55"/>
      <c r="B1384" s="60"/>
      <c r="C1384" s="55"/>
      <c r="D1384" s="65"/>
      <c r="E1384" s="55"/>
    </row>
    <row r="1385">
      <c r="A1385" s="55"/>
      <c r="B1385" s="60"/>
      <c r="C1385" s="55"/>
      <c r="D1385" s="65"/>
      <c r="E1385" s="55"/>
    </row>
    <row r="1386">
      <c r="A1386" s="55"/>
      <c r="B1386" s="60"/>
      <c r="C1386" s="55"/>
      <c r="D1386" s="65"/>
      <c r="E1386" s="55"/>
    </row>
    <row r="1387">
      <c r="A1387" s="55"/>
      <c r="B1387" s="60"/>
      <c r="C1387" s="55"/>
      <c r="D1387" s="65"/>
      <c r="E1387" s="55"/>
    </row>
    <row r="1388">
      <c r="A1388" s="55"/>
      <c r="B1388" s="60"/>
      <c r="C1388" s="55"/>
      <c r="D1388" s="65"/>
      <c r="E1388" s="55"/>
    </row>
    <row r="1389">
      <c r="A1389" s="55"/>
      <c r="B1389" s="60"/>
      <c r="C1389" s="55"/>
      <c r="D1389" s="65"/>
      <c r="E1389" s="55"/>
    </row>
    <row r="1390">
      <c r="A1390" s="55"/>
      <c r="B1390" s="60"/>
      <c r="C1390" s="55"/>
      <c r="D1390" s="65"/>
      <c r="E1390" s="55"/>
    </row>
    <row r="1391">
      <c r="A1391" s="55"/>
      <c r="B1391" s="60"/>
      <c r="C1391" s="55"/>
      <c r="D1391" s="65"/>
      <c r="E1391" s="55"/>
    </row>
    <row r="1392">
      <c r="A1392" s="55"/>
      <c r="B1392" s="60"/>
      <c r="C1392" s="55"/>
      <c r="D1392" s="65"/>
      <c r="E1392" s="55"/>
    </row>
    <row r="1393">
      <c r="A1393" s="55"/>
      <c r="B1393" s="60"/>
      <c r="C1393" s="55"/>
      <c r="D1393" s="65"/>
      <c r="E1393" s="55"/>
    </row>
    <row r="1394">
      <c r="A1394" s="55"/>
      <c r="B1394" s="60"/>
      <c r="C1394" s="55"/>
      <c r="D1394" s="65"/>
      <c r="E1394" s="55"/>
    </row>
    <row r="1395">
      <c r="A1395" s="55"/>
      <c r="B1395" s="60"/>
      <c r="C1395" s="55"/>
      <c r="D1395" s="65"/>
      <c r="E1395" s="55"/>
    </row>
    <row r="1396">
      <c r="A1396" s="55"/>
      <c r="B1396" s="60"/>
      <c r="C1396" s="55"/>
      <c r="D1396" s="65"/>
      <c r="E1396" s="55"/>
    </row>
    <row r="1397">
      <c r="A1397" s="55"/>
      <c r="B1397" s="60"/>
      <c r="C1397" s="55"/>
      <c r="D1397" s="65"/>
      <c r="E1397" s="55"/>
    </row>
    <row r="1398">
      <c r="A1398" s="55"/>
      <c r="B1398" s="60"/>
      <c r="C1398" s="55"/>
      <c r="D1398" s="65"/>
      <c r="E1398" s="55"/>
    </row>
    <row r="1399">
      <c r="A1399" s="55"/>
      <c r="B1399" s="60"/>
      <c r="C1399" s="55"/>
      <c r="D1399" s="65"/>
      <c r="E1399" s="55"/>
    </row>
    <row r="1400">
      <c r="A1400" s="55"/>
      <c r="B1400" s="60"/>
      <c r="C1400" s="55"/>
      <c r="D1400" s="65"/>
      <c r="E1400" s="55"/>
    </row>
    <row r="1401">
      <c r="A1401" s="55"/>
      <c r="B1401" s="60"/>
      <c r="C1401" s="55"/>
      <c r="D1401" s="65"/>
      <c r="E1401" s="55"/>
    </row>
    <row r="1402">
      <c r="A1402" s="55"/>
      <c r="B1402" s="60"/>
      <c r="C1402" s="55"/>
      <c r="D1402" s="65"/>
      <c r="E1402" s="55"/>
    </row>
    <row r="1403">
      <c r="A1403" s="55"/>
      <c r="B1403" s="60"/>
      <c r="C1403" s="55"/>
      <c r="D1403" s="65"/>
      <c r="E1403" s="55"/>
    </row>
    <row r="1404">
      <c r="A1404" s="55"/>
      <c r="B1404" s="60"/>
      <c r="C1404" s="55"/>
      <c r="D1404" s="65"/>
      <c r="E1404" s="55"/>
    </row>
    <row r="1405">
      <c r="A1405" s="55"/>
      <c r="B1405" s="60"/>
      <c r="C1405" s="55"/>
      <c r="D1405" s="65"/>
      <c r="E1405" s="55"/>
    </row>
    <row r="1406">
      <c r="A1406" s="55"/>
      <c r="B1406" s="60"/>
      <c r="C1406" s="55"/>
      <c r="D1406" s="65"/>
      <c r="E1406" s="55"/>
    </row>
    <row r="1407">
      <c r="A1407" s="55"/>
      <c r="B1407" s="60"/>
      <c r="C1407" s="55"/>
      <c r="D1407" s="65"/>
      <c r="E1407" s="55"/>
    </row>
    <row r="1408">
      <c r="A1408" s="55"/>
      <c r="B1408" s="60"/>
      <c r="C1408" s="55"/>
      <c r="D1408" s="65"/>
      <c r="E1408" s="55"/>
    </row>
    <row r="1409">
      <c r="A1409" s="55"/>
      <c r="B1409" s="60"/>
      <c r="C1409" s="55"/>
      <c r="D1409" s="65"/>
      <c r="E1409" s="55"/>
    </row>
    <row r="1410">
      <c r="A1410" s="55"/>
      <c r="B1410" s="60"/>
      <c r="C1410" s="55"/>
      <c r="D1410" s="65"/>
      <c r="E1410" s="55"/>
    </row>
    <row r="1411">
      <c r="A1411" s="55"/>
      <c r="B1411" s="60"/>
      <c r="C1411" s="55"/>
      <c r="D1411" s="65"/>
      <c r="E1411" s="55"/>
    </row>
    <row r="1412">
      <c r="A1412" s="55"/>
      <c r="B1412" s="60"/>
      <c r="C1412" s="55"/>
      <c r="D1412" s="65"/>
      <c r="E1412" s="55"/>
    </row>
    <row r="1413">
      <c r="A1413" s="55"/>
      <c r="B1413" s="60"/>
      <c r="C1413" s="55"/>
      <c r="D1413" s="65"/>
      <c r="E1413" s="55"/>
    </row>
    <row r="1414">
      <c r="A1414" s="55"/>
      <c r="B1414" s="60"/>
      <c r="C1414" s="55"/>
      <c r="D1414" s="65"/>
      <c r="E1414" s="55"/>
    </row>
    <row r="1415">
      <c r="A1415" s="55"/>
      <c r="B1415" s="60"/>
      <c r="C1415" s="55"/>
      <c r="D1415" s="65"/>
      <c r="E1415" s="55"/>
    </row>
    <row r="1416">
      <c r="A1416" s="55"/>
      <c r="B1416" s="60"/>
      <c r="C1416" s="55"/>
      <c r="D1416" s="65"/>
      <c r="E1416" s="55"/>
    </row>
    <row r="1417">
      <c r="A1417" s="55"/>
      <c r="B1417" s="60"/>
      <c r="C1417" s="55"/>
      <c r="D1417" s="65"/>
      <c r="E1417" s="55"/>
    </row>
    <row r="1418">
      <c r="A1418" s="55"/>
      <c r="B1418" s="60"/>
      <c r="C1418" s="55"/>
      <c r="D1418" s="65"/>
      <c r="E1418" s="55"/>
    </row>
    <row r="1419">
      <c r="A1419" s="55"/>
      <c r="B1419" s="60"/>
      <c r="C1419" s="55"/>
      <c r="D1419" s="65"/>
      <c r="E1419" s="55"/>
    </row>
    <row r="1420">
      <c r="A1420" s="55"/>
      <c r="B1420" s="60"/>
      <c r="C1420" s="55"/>
      <c r="D1420" s="65"/>
      <c r="E1420" s="55"/>
    </row>
    <row r="1421">
      <c r="A1421" s="55"/>
      <c r="B1421" s="60"/>
      <c r="C1421" s="55"/>
      <c r="D1421" s="65"/>
      <c r="E1421" s="55"/>
    </row>
    <row r="1422">
      <c r="A1422" s="55"/>
      <c r="B1422" s="60"/>
      <c r="C1422" s="55"/>
      <c r="D1422" s="65"/>
      <c r="E1422" s="55"/>
    </row>
    <row r="1423">
      <c r="A1423" s="55"/>
      <c r="B1423" s="60"/>
      <c r="C1423" s="55"/>
      <c r="D1423" s="65"/>
      <c r="E1423" s="55"/>
    </row>
    <row r="1424">
      <c r="A1424" s="55"/>
      <c r="B1424" s="60"/>
      <c r="C1424" s="55"/>
      <c r="D1424" s="65"/>
      <c r="E1424" s="55"/>
    </row>
    <row r="1425">
      <c r="A1425" s="55"/>
      <c r="B1425" s="60"/>
      <c r="C1425" s="55"/>
      <c r="D1425" s="65"/>
      <c r="E1425" s="55"/>
    </row>
    <row r="1426">
      <c r="A1426" s="55"/>
      <c r="B1426" s="60"/>
      <c r="C1426" s="55"/>
      <c r="D1426" s="65"/>
      <c r="E1426" s="55"/>
    </row>
    <row r="1427">
      <c r="A1427" s="55"/>
      <c r="B1427" s="60"/>
      <c r="C1427" s="55"/>
      <c r="D1427" s="65"/>
      <c r="E1427" s="55"/>
    </row>
    <row r="1428">
      <c r="A1428" s="55"/>
      <c r="B1428" s="60"/>
      <c r="C1428" s="55"/>
      <c r="D1428" s="65"/>
      <c r="E1428" s="55"/>
    </row>
    <row r="1429">
      <c r="A1429" s="55"/>
      <c r="B1429" s="60"/>
      <c r="C1429" s="55"/>
      <c r="D1429" s="65"/>
      <c r="E1429" s="55"/>
    </row>
    <row r="1430">
      <c r="A1430" s="55"/>
      <c r="B1430" s="60"/>
      <c r="C1430" s="55"/>
      <c r="D1430" s="65"/>
      <c r="E1430" s="55"/>
    </row>
    <row r="1431">
      <c r="A1431" s="55"/>
      <c r="B1431" s="60"/>
      <c r="C1431" s="55"/>
      <c r="D1431" s="65"/>
      <c r="E1431" s="55"/>
    </row>
    <row r="1432">
      <c r="A1432" s="55"/>
      <c r="B1432" s="60"/>
      <c r="C1432" s="55"/>
      <c r="D1432" s="65"/>
      <c r="E1432" s="55"/>
    </row>
    <row r="1433">
      <c r="A1433" s="55"/>
      <c r="B1433" s="60"/>
      <c r="C1433" s="55"/>
      <c r="D1433" s="65"/>
      <c r="E1433" s="55"/>
    </row>
    <row r="1434">
      <c r="A1434" s="55"/>
      <c r="B1434" s="60"/>
      <c r="C1434" s="55"/>
      <c r="D1434" s="65"/>
      <c r="E1434" s="55"/>
    </row>
    <row r="1435">
      <c r="A1435" s="55"/>
      <c r="B1435" s="60"/>
      <c r="C1435" s="55"/>
      <c r="D1435" s="65"/>
      <c r="E1435" s="55"/>
    </row>
    <row r="1436">
      <c r="A1436" s="55"/>
      <c r="B1436" s="60"/>
      <c r="C1436" s="55"/>
      <c r="D1436" s="65"/>
      <c r="E1436" s="55"/>
    </row>
    <row r="1437">
      <c r="A1437" s="55"/>
      <c r="B1437" s="60"/>
      <c r="C1437" s="55"/>
      <c r="D1437" s="65"/>
      <c r="E1437" s="55"/>
    </row>
    <row r="1438">
      <c r="A1438" s="55"/>
      <c r="B1438" s="60"/>
      <c r="C1438" s="55"/>
      <c r="D1438" s="65"/>
      <c r="E1438" s="55"/>
    </row>
    <row r="1439">
      <c r="A1439" s="55"/>
      <c r="B1439" s="60"/>
      <c r="C1439" s="55"/>
      <c r="D1439" s="65"/>
      <c r="E1439" s="55"/>
    </row>
    <row r="1440">
      <c r="A1440" s="55"/>
      <c r="B1440" s="60"/>
      <c r="C1440" s="55"/>
      <c r="D1440" s="65"/>
      <c r="E1440" s="55"/>
    </row>
    <row r="1441">
      <c r="A1441" s="55"/>
      <c r="B1441" s="60"/>
      <c r="C1441" s="55"/>
      <c r="D1441" s="65"/>
      <c r="E1441" s="55"/>
    </row>
    <row r="1442">
      <c r="A1442" s="55"/>
      <c r="B1442" s="60"/>
      <c r="C1442" s="55"/>
      <c r="D1442" s="65"/>
      <c r="E1442" s="55"/>
    </row>
    <row r="1443">
      <c r="A1443" s="55"/>
      <c r="B1443" s="60"/>
      <c r="C1443" s="55"/>
      <c r="D1443" s="65"/>
      <c r="E1443" s="55"/>
    </row>
    <row r="1444">
      <c r="A1444" s="55"/>
      <c r="B1444" s="60"/>
      <c r="C1444" s="55"/>
      <c r="D1444" s="65"/>
      <c r="E1444" s="55"/>
    </row>
    <row r="1445">
      <c r="A1445" s="55"/>
      <c r="B1445" s="60"/>
      <c r="C1445" s="55"/>
      <c r="D1445" s="65"/>
      <c r="E1445" s="55"/>
    </row>
    <row r="1446">
      <c r="A1446" s="55"/>
      <c r="B1446" s="60"/>
      <c r="C1446" s="55"/>
      <c r="D1446" s="65"/>
      <c r="E1446" s="55"/>
    </row>
    <row r="1447">
      <c r="A1447" s="55"/>
      <c r="B1447" s="60"/>
      <c r="C1447" s="55"/>
      <c r="D1447" s="65"/>
      <c r="E1447" s="55"/>
    </row>
    <row r="1448">
      <c r="A1448" s="55"/>
      <c r="B1448" s="60"/>
      <c r="C1448" s="55"/>
      <c r="D1448" s="65"/>
      <c r="E1448" s="55"/>
    </row>
    <row r="1449">
      <c r="A1449" s="55"/>
      <c r="B1449" s="60"/>
      <c r="C1449" s="55"/>
      <c r="D1449" s="65"/>
      <c r="E1449" s="55"/>
    </row>
    <row r="1450">
      <c r="A1450" s="55"/>
      <c r="B1450" s="60"/>
      <c r="C1450" s="55"/>
      <c r="D1450" s="65"/>
      <c r="E1450" s="55"/>
    </row>
    <row r="1451">
      <c r="A1451" s="55"/>
      <c r="B1451" s="60"/>
      <c r="C1451" s="55"/>
      <c r="D1451" s="65"/>
      <c r="E1451" s="55"/>
    </row>
    <row r="1452">
      <c r="A1452" s="55"/>
      <c r="B1452" s="60"/>
      <c r="C1452" s="55"/>
      <c r="D1452" s="65"/>
      <c r="E1452" s="55"/>
    </row>
    <row r="1453">
      <c r="A1453" s="55"/>
      <c r="B1453" s="60"/>
      <c r="C1453" s="55"/>
      <c r="D1453" s="65"/>
      <c r="E1453" s="55"/>
    </row>
    <row r="1454">
      <c r="A1454" s="55"/>
      <c r="B1454" s="60"/>
      <c r="C1454" s="55"/>
      <c r="D1454" s="65"/>
      <c r="E1454" s="55"/>
    </row>
    <row r="1455">
      <c r="A1455" s="55"/>
      <c r="B1455" s="60"/>
      <c r="C1455" s="55"/>
      <c r="D1455" s="65"/>
      <c r="E1455" s="55"/>
    </row>
    <row r="1456">
      <c r="A1456" s="55"/>
      <c r="B1456" s="60"/>
      <c r="C1456" s="55"/>
      <c r="D1456" s="65"/>
      <c r="E1456" s="55"/>
    </row>
    <row r="1457">
      <c r="A1457" s="55"/>
      <c r="B1457" s="60"/>
      <c r="C1457" s="55"/>
      <c r="D1457" s="65"/>
      <c r="E1457" s="55"/>
    </row>
    <row r="1458">
      <c r="A1458" s="55"/>
      <c r="B1458" s="60"/>
      <c r="C1458" s="55"/>
      <c r="D1458" s="65"/>
      <c r="E1458" s="55"/>
    </row>
    <row r="1459">
      <c r="A1459" s="55"/>
      <c r="B1459" s="60"/>
      <c r="C1459" s="55"/>
      <c r="D1459" s="65"/>
      <c r="E1459" s="55"/>
    </row>
    <row r="1460">
      <c r="A1460" s="55"/>
      <c r="B1460" s="60"/>
      <c r="C1460" s="55"/>
      <c r="D1460" s="65"/>
      <c r="E1460" s="55"/>
    </row>
    <row r="1461">
      <c r="A1461" s="55"/>
      <c r="B1461" s="60"/>
      <c r="C1461" s="55"/>
      <c r="D1461" s="65"/>
      <c r="E1461" s="55"/>
    </row>
    <row r="1462">
      <c r="A1462" s="55"/>
      <c r="B1462" s="60"/>
      <c r="C1462" s="55"/>
      <c r="D1462" s="65"/>
      <c r="E1462" s="55"/>
    </row>
    <row r="1463">
      <c r="A1463" s="55"/>
      <c r="B1463" s="60"/>
      <c r="C1463" s="55"/>
      <c r="D1463" s="65"/>
      <c r="E1463" s="55"/>
    </row>
    <row r="1464">
      <c r="A1464" s="55"/>
      <c r="B1464" s="60"/>
      <c r="C1464" s="55"/>
      <c r="D1464" s="65"/>
      <c r="E1464" s="55"/>
    </row>
    <row r="1465">
      <c r="A1465" s="55"/>
      <c r="B1465" s="60"/>
      <c r="C1465" s="55"/>
      <c r="D1465" s="65"/>
      <c r="E1465" s="55"/>
    </row>
    <row r="1466">
      <c r="A1466" s="55"/>
      <c r="B1466" s="60"/>
      <c r="C1466" s="55"/>
      <c r="D1466" s="65"/>
      <c r="E1466" s="55"/>
    </row>
    <row r="1467">
      <c r="A1467" s="55"/>
      <c r="B1467" s="60"/>
      <c r="C1467" s="55"/>
      <c r="D1467" s="65"/>
      <c r="E1467" s="55"/>
    </row>
    <row r="1468">
      <c r="A1468" s="55"/>
      <c r="B1468" s="60"/>
      <c r="C1468" s="55"/>
      <c r="D1468" s="65"/>
      <c r="E1468" s="55"/>
    </row>
    <row r="1469">
      <c r="A1469" s="55"/>
      <c r="B1469" s="60"/>
      <c r="C1469" s="55"/>
      <c r="D1469" s="65"/>
      <c r="E1469" s="55"/>
    </row>
    <row r="1470">
      <c r="A1470" s="55"/>
      <c r="B1470" s="60"/>
      <c r="C1470" s="55"/>
      <c r="D1470" s="65"/>
      <c r="E1470" s="55"/>
    </row>
    <row r="1471">
      <c r="A1471" s="55"/>
      <c r="B1471" s="60"/>
      <c r="C1471" s="55"/>
      <c r="D1471" s="65"/>
      <c r="E1471" s="55"/>
    </row>
    <row r="1472">
      <c r="A1472" s="55"/>
      <c r="B1472" s="60"/>
      <c r="C1472" s="55"/>
      <c r="D1472" s="65"/>
      <c r="E1472" s="55"/>
    </row>
    <row r="1473">
      <c r="A1473" s="55"/>
      <c r="B1473" s="60"/>
      <c r="C1473" s="55"/>
      <c r="D1473" s="65"/>
      <c r="E1473" s="55"/>
    </row>
    <row r="1474">
      <c r="A1474" s="55"/>
      <c r="B1474" s="60"/>
      <c r="C1474" s="55"/>
      <c r="D1474" s="65"/>
      <c r="E1474" s="55"/>
    </row>
    <row r="1475">
      <c r="A1475" s="55"/>
      <c r="B1475" s="60"/>
      <c r="C1475" s="55"/>
      <c r="D1475" s="65"/>
      <c r="E1475" s="55"/>
    </row>
    <row r="1476">
      <c r="A1476" s="55"/>
      <c r="B1476" s="60"/>
      <c r="C1476" s="55"/>
      <c r="D1476" s="65"/>
      <c r="E1476" s="55"/>
    </row>
    <row r="1477">
      <c r="A1477" s="55"/>
      <c r="B1477" s="60"/>
      <c r="C1477" s="55"/>
      <c r="D1477" s="65"/>
      <c r="E1477" s="55"/>
    </row>
    <row r="1478">
      <c r="A1478" s="55"/>
      <c r="B1478" s="60"/>
      <c r="C1478" s="55"/>
      <c r="D1478" s="65"/>
      <c r="E1478" s="55"/>
    </row>
    <row r="1479">
      <c r="A1479" s="55"/>
      <c r="B1479" s="60"/>
      <c r="C1479" s="55"/>
      <c r="D1479" s="65"/>
      <c r="E1479" s="55"/>
    </row>
    <row r="1480">
      <c r="A1480" s="55"/>
      <c r="B1480" s="60"/>
      <c r="C1480" s="55"/>
      <c r="D1480" s="65"/>
      <c r="E1480" s="55"/>
    </row>
    <row r="1481">
      <c r="A1481" s="55"/>
      <c r="B1481" s="60"/>
      <c r="C1481" s="55"/>
      <c r="D1481" s="65"/>
      <c r="E1481" s="55"/>
    </row>
    <row r="1482">
      <c r="A1482" s="55"/>
      <c r="B1482" s="60"/>
      <c r="C1482" s="55"/>
      <c r="D1482" s="65"/>
      <c r="E1482" s="55"/>
    </row>
    <row r="1483">
      <c r="A1483" s="55"/>
      <c r="B1483" s="60"/>
      <c r="C1483" s="55"/>
      <c r="D1483" s="65"/>
      <c r="E1483" s="55"/>
    </row>
    <row r="1484">
      <c r="A1484" s="55"/>
      <c r="B1484" s="60"/>
      <c r="C1484" s="55"/>
      <c r="D1484" s="65"/>
      <c r="E1484" s="55"/>
    </row>
    <row r="1485">
      <c r="A1485" s="55"/>
      <c r="B1485" s="60"/>
      <c r="C1485" s="55"/>
      <c r="D1485" s="65"/>
      <c r="E1485" s="55"/>
    </row>
    <row r="1486">
      <c r="A1486" s="55"/>
      <c r="B1486" s="60"/>
      <c r="C1486" s="55"/>
      <c r="D1486" s="65"/>
      <c r="E1486" s="55"/>
    </row>
    <row r="1487">
      <c r="A1487" s="55"/>
      <c r="B1487" s="60"/>
      <c r="C1487" s="55"/>
      <c r="D1487" s="65"/>
      <c r="E1487" s="55"/>
    </row>
    <row r="1488">
      <c r="A1488" s="55"/>
      <c r="B1488" s="60"/>
      <c r="C1488" s="55"/>
      <c r="D1488" s="65"/>
      <c r="E1488" s="55"/>
    </row>
    <row r="1489">
      <c r="A1489" s="55"/>
      <c r="B1489" s="60"/>
      <c r="C1489" s="55"/>
      <c r="D1489" s="65"/>
      <c r="E1489" s="55"/>
    </row>
    <row r="1490">
      <c r="A1490" s="55"/>
      <c r="B1490" s="60"/>
      <c r="C1490" s="55"/>
      <c r="D1490" s="65"/>
      <c r="E1490" s="55"/>
    </row>
    <row r="1491">
      <c r="A1491" s="55"/>
      <c r="B1491" s="60"/>
      <c r="C1491" s="55"/>
      <c r="D1491" s="65"/>
      <c r="E1491" s="55"/>
    </row>
    <row r="1492">
      <c r="A1492" s="55"/>
      <c r="B1492" s="60"/>
      <c r="C1492" s="55"/>
      <c r="D1492" s="65"/>
      <c r="E1492" s="55"/>
    </row>
    <row r="1493">
      <c r="A1493" s="55"/>
      <c r="B1493" s="60"/>
      <c r="C1493" s="55"/>
      <c r="D1493" s="65"/>
      <c r="E1493" s="55"/>
    </row>
    <row r="1494">
      <c r="A1494" s="55"/>
      <c r="B1494" s="60"/>
      <c r="C1494" s="55"/>
      <c r="D1494" s="65"/>
      <c r="E1494" s="55"/>
    </row>
    <row r="1495">
      <c r="A1495" s="55"/>
      <c r="B1495" s="60"/>
      <c r="C1495" s="55"/>
      <c r="D1495" s="65"/>
      <c r="E1495" s="55"/>
    </row>
    <row r="1496">
      <c r="A1496" s="55"/>
      <c r="B1496" s="60"/>
      <c r="C1496" s="55"/>
      <c r="D1496" s="65"/>
      <c r="E1496" s="55"/>
    </row>
    <row r="1497">
      <c r="A1497" s="55"/>
      <c r="B1497" s="60"/>
      <c r="C1497" s="55"/>
      <c r="D1497" s="65"/>
      <c r="E1497" s="55"/>
    </row>
    <row r="1498">
      <c r="A1498" s="55"/>
      <c r="B1498" s="60"/>
      <c r="C1498" s="55"/>
      <c r="D1498" s="65"/>
      <c r="E1498" s="55"/>
    </row>
    <row r="1499">
      <c r="A1499" s="55"/>
      <c r="B1499" s="60"/>
      <c r="C1499" s="55"/>
      <c r="D1499" s="65"/>
      <c r="E1499" s="55"/>
    </row>
    <row r="1500">
      <c r="A1500" s="55"/>
      <c r="B1500" s="60"/>
      <c r="C1500" s="55"/>
      <c r="D1500" s="65"/>
      <c r="E1500" s="55"/>
    </row>
    <row r="1501">
      <c r="A1501" s="55"/>
      <c r="B1501" s="60"/>
      <c r="C1501" s="55"/>
      <c r="D1501" s="65"/>
      <c r="E1501" s="5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7" t="s">
        <v>5</v>
      </c>
      <c r="B1" s="17" t="s">
        <v>61</v>
      </c>
      <c r="C1" s="17" t="s">
        <v>1</v>
      </c>
      <c r="D1" s="20" t="s">
        <v>62</v>
      </c>
      <c r="E1" s="25" t="s">
        <v>23</v>
      </c>
      <c r="F1" s="26" t="s">
        <v>26</v>
      </c>
      <c r="G1" s="26" t="s">
        <v>28</v>
      </c>
      <c r="H1" s="27" t="s">
        <v>63</v>
      </c>
      <c r="I1" s="108" t="s">
        <v>33</v>
      </c>
      <c r="J1" s="108" t="s">
        <v>36</v>
      </c>
      <c r="K1" s="109" t="s">
        <v>40</v>
      </c>
      <c r="L1" s="108" t="s">
        <v>43</v>
      </c>
      <c r="M1" s="109" t="s">
        <v>46</v>
      </c>
      <c r="N1" s="108" t="s">
        <v>49</v>
      </c>
      <c r="O1" s="110" t="s">
        <v>50</v>
      </c>
      <c r="P1" s="111" t="s">
        <v>38</v>
      </c>
      <c r="Q1" s="111" t="s">
        <v>41</v>
      </c>
      <c r="R1" s="112" t="s">
        <v>44</v>
      </c>
      <c r="S1" s="112" t="s">
        <v>47</v>
      </c>
      <c r="T1" s="113" t="s">
        <v>64</v>
      </c>
      <c r="U1" s="114" t="s">
        <v>65</v>
      </c>
      <c r="V1" s="114" t="s">
        <v>66</v>
      </c>
      <c r="W1" s="114" t="s">
        <v>67</v>
      </c>
      <c r="X1" s="114" t="s">
        <v>68</v>
      </c>
      <c r="Y1" s="115" t="s">
        <v>52</v>
      </c>
      <c r="Z1" s="115" t="s">
        <v>55</v>
      </c>
    </row>
    <row r="2">
      <c r="A2" s="116" t="str">
        <f t="array" ref="A2:N1503">Raw_Stats!A2:N1000</f>
        <v>Elite</v>
      </c>
      <c r="B2" s="117" t="s">
        <v>260</v>
      </c>
      <c r="C2" s="117" t="s">
        <v>910</v>
      </c>
      <c r="D2" s="117" t="s">
        <v>911</v>
      </c>
      <c r="E2" s="118">
        <v>56.0</v>
      </c>
      <c r="F2" s="119">
        <v>39.0</v>
      </c>
      <c r="G2" s="119">
        <v>17.0</v>
      </c>
      <c r="H2" s="120">
        <v>0.6964285714285714</v>
      </c>
      <c r="I2" s="121">
        <v>21.0</v>
      </c>
      <c r="J2" s="121">
        <v>22878.0</v>
      </c>
      <c r="K2" s="121">
        <v>68.0</v>
      </c>
      <c r="L2" s="121">
        <v>42.0</v>
      </c>
      <c r="M2" s="121">
        <v>62.0</v>
      </c>
      <c r="N2" s="121">
        <v>178.0</v>
      </c>
      <c r="O2" s="122">
        <f t="shared" ref="O2:O920" si="1">K2/N2</f>
        <v>0.3820224719</v>
      </c>
      <c r="P2" s="123">
        <f>J2/$E$2</f>
        <v>408.5357143</v>
      </c>
      <c r="Q2" s="123">
        <f t="shared" ref="Q2:Q920" si="2">K2/E2</f>
        <v>1.214285714</v>
      </c>
      <c r="R2" s="123">
        <f>L2/$E$2</f>
        <v>0.75</v>
      </c>
      <c r="S2" s="123">
        <f t="shared" ref="S2:S920" si="3">M2/E2</f>
        <v>1.107142857</v>
      </c>
      <c r="T2" s="123">
        <f t="shared" ref="T2:T920" si="4">N2/E2</f>
        <v>3.178571429</v>
      </c>
      <c r="U2" s="124">
        <f t="array" ref="U2:X1503">Raw_Stats!O2:R1000</f>
        <v>25</v>
      </c>
      <c r="V2" s="124">
        <v>5.0</v>
      </c>
      <c r="W2" s="124">
        <v>1.0</v>
      </c>
      <c r="X2" s="124">
        <v>3.0</v>
      </c>
      <c r="Y2" s="124">
        <f t="array" ref="Y2:Z1503">Raw_Stats!V2:W1000</f>
        <v>34</v>
      </c>
      <c r="Z2" s="124">
        <v>62.0</v>
      </c>
    </row>
    <row r="3">
      <c r="A3" s="41" t="s">
        <v>905</v>
      </c>
      <c r="B3" s="41" t="s">
        <v>112</v>
      </c>
      <c r="C3" s="41" t="s">
        <v>912</v>
      </c>
      <c r="D3" s="41" t="s">
        <v>913</v>
      </c>
      <c r="E3" s="41">
        <v>56.0</v>
      </c>
      <c r="F3" s="41">
        <v>40.0</v>
      </c>
      <c r="G3" s="41">
        <v>16.0</v>
      </c>
      <c r="H3" s="125">
        <v>0.7142857142857143</v>
      </c>
      <c r="I3" s="41">
        <v>11.0</v>
      </c>
      <c r="J3" s="41">
        <v>20958.0</v>
      </c>
      <c r="K3" s="41">
        <v>47.0</v>
      </c>
      <c r="L3" s="41">
        <v>50.0</v>
      </c>
      <c r="M3" s="41">
        <v>55.0</v>
      </c>
      <c r="N3" s="41">
        <v>179.0</v>
      </c>
      <c r="O3" s="122">
        <f t="shared" si="1"/>
        <v>0.2625698324</v>
      </c>
      <c r="P3" s="123">
        <f t="shared" ref="P3:P920" si="5">J3/E3</f>
        <v>374.25</v>
      </c>
      <c r="Q3" s="123">
        <f t="shared" si="2"/>
        <v>0.8392857143</v>
      </c>
      <c r="R3" s="123">
        <f t="shared" ref="R3:R920" si="6">L3/E3</f>
        <v>0.8928571429</v>
      </c>
      <c r="S3" s="123">
        <f t="shared" si="3"/>
        <v>0.9821428571</v>
      </c>
      <c r="T3" s="123">
        <f t="shared" si="4"/>
        <v>3.196428571</v>
      </c>
      <c r="U3" s="41">
        <v>10.0</v>
      </c>
      <c r="V3" s="41">
        <v>3.0</v>
      </c>
      <c r="W3" s="41">
        <v>4.0</v>
      </c>
      <c r="X3" s="41">
        <v>4.0</v>
      </c>
      <c r="Y3" s="41">
        <v>62.0</v>
      </c>
      <c r="Z3" s="41">
        <v>58.0</v>
      </c>
    </row>
    <row r="4">
      <c r="A4" s="41" t="s">
        <v>901</v>
      </c>
      <c r="B4" s="41" t="s">
        <v>308</v>
      </c>
      <c r="C4" s="41" t="s">
        <v>914</v>
      </c>
      <c r="D4" s="41" t="s">
        <v>915</v>
      </c>
      <c r="E4" s="41">
        <v>37.0</v>
      </c>
      <c r="F4" s="41">
        <v>22.0</v>
      </c>
      <c r="G4" s="41">
        <v>15.0</v>
      </c>
      <c r="H4" s="125">
        <v>0.5945945945945946</v>
      </c>
      <c r="I4" s="41">
        <v>6.0</v>
      </c>
      <c r="J4" s="41">
        <v>13278.0</v>
      </c>
      <c r="K4" s="41">
        <v>33.0</v>
      </c>
      <c r="L4" s="41">
        <v>23.0</v>
      </c>
      <c r="M4" s="41">
        <v>63.0</v>
      </c>
      <c r="N4" s="41">
        <v>80.0</v>
      </c>
      <c r="O4" s="122">
        <f t="shared" si="1"/>
        <v>0.4125</v>
      </c>
      <c r="P4" s="123">
        <f t="shared" si="5"/>
        <v>358.8648649</v>
      </c>
      <c r="Q4" s="123">
        <f t="shared" si="2"/>
        <v>0.8918918919</v>
      </c>
      <c r="R4" s="123">
        <f t="shared" si="6"/>
        <v>0.6216216216</v>
      </c>
      <c r="S4" s="123">
        <f t="shared" si="3"/>
        <v>1.702702703</v>
      </c>
      <c r="T4" s="123">
        <f t="shared" si="4"/>
        <v>2.162162162</v>
      </c>
      <c r="U4" s="41">
        <v>8.0</v>
      </c>
      <c r="V4" s="41">
        <v>2.0</v>
      </c>
      <c r="W4" s="41">
        <v>2.0</v>
      </c>
      <c r="X4" s="41">
        <v>9.0</v>
      </c>
      <c r="Y4" s="41">
        <v>38.0</v>
      </c>
      <c r="Z4" s="41">
        <v>43.0</v>
      </c>
    </row>
    <row r="5">
      <c r="A5" s="41" t="s">
        <v>901</v>
      </c>
      <c r="B5" s="41" t="s">
        <v>354</v>
      </c>
      <c r="C5" s="41" t="s">
        <v>916</v>
      </c>
      <c r="D5" s="41" t="s">
        <v>917</v>
      </c>
      <c r="E5" s="41">
        <v>31.0</v>
      </c>
      <c r="F5" s="41">
        <v>16.0</v>
      </c>
      <c r="G5" s="41">
        <v>15.0</v>
      </c>
      <c r="H5" s="125">
        <v>0.5161290322580645</v>
      </c>
      <c r="I5" s="41">
        <v>5.0</v>
      </c>
      <c r="J5" s="41">
        <v>10296.0</v>
      </c>
      <c r="K5" s="41">
        <v>20.0</v>
      </c>
      <c r="L5" s="41">
        <v>20.0</v>
      </c>
      <c r="M5" s="41">
        <v>43.0</v>
      </c>
      <c r="N5" s="41">
        <v>71.0</v>
      </c>
      <c r="O5" s="122">
        <f t="shared" si="1"/>
        <v>0.2816901408</v>
      </c>
      <c r="P5" s="123">
        <f t="shared" si="5"/>
        <v>332.1290323</v>
      </c>
      <c r="Q5" s="123">
        <f t="shared" si="2"/>
        <v>0.6451612903</v>
      </c>
      <c r="R5" s="123">
        <f t="shared" si="6"/>
        <v>0.6451612903</v>
      </c>
      <c r="S5" s="123">
        <f t="shared" si="3"/>
        <v>1.387096774</v>
      </c>
      <c r="T5" s="123">
        <f t="shared" si="4"/>
        <v>2.290322581</v>
      </c>
      <c r="U5" s="41">
        <v>4.0</v>
      </c>
      <c r="V5" s="41">
        <v>0.0</v>
      </c>
      <c r="W5" s="41">
        <v>1.0</v>
      </c>
      <c r="X5" s="41">
        <v>6.0</v>
      </c>
      <c r="Y5" s="41">
        <v>12.0</v>
      </c>
      <c r="Z5" s="41">
        <v>31.0</v>
      </c>
    </row>
    <row r="6">
      <c r="A6" s="41" t="s">
        <v>904</v>
      </c>
      <c r="B6" s="41" t="s">
        <v>666</v>
      </c>
      <c r="C6" s="41" t="s">
        <v>918</v>
      </c>
      <c r="D6" s="41" t="s">
        <v>919</v>
      </c>
      <c r="E6" s="41">
        <v>20.0</v>
      </c>
      <c r="F6" s="41">
        <v>12.0</v>
      </c>
      <c r="G6" s="41">
        <v>8.0</v>
      </c>
      <c r="H6" s="125">
        <v>0.6</v>
      </c>
      <c r="I6" s="41">
        <v>0.0</v>
      </c>
      <c r="J6" s="41">
        <v>6430.0</v>
      </c>
      <c r="K6" s="41">
        <v>19.0</v>
      </c>
      <c r="L6" s="41">
        <v>8.0</v>
      </c>
      <c r="M6" s="41">
        <v>22.0</v>
      </c>
      <c r="N6" s="41">
        <v>48.0</v>
      </c>
      <c r="O6" s="122">
        <f t="shared" si="1"/>
        <v>0.3958333333</v>
      </c>
      <c r="P6" s="123">
        <f t="shared" si="5"/>
        <v>321.5</v>
      </c>
      <c r="Q6" s="123">
        <f t="shared" si="2"/>
        <v>0.95</v>
      </c>
      <c r="R6" s="123">
        <f t="shared" si="6"/>
        <v>0.4</v>
      </c>
      <c r="S6" s="123">
        <f t="shared" si="3"/>
        <v>1.1</v>
      </c>
      <c r="T6" s="123">
        <f t="shared" si="4"/>
        <v>2.4</v>
      </c>
      <c r="U6" s="41">
        <v>2.0</v>
      </c>
      <c r="V6" s="41">
        <v>1.0</v>
      </c>
      <c r="W6" s="41">
        <v>0.0</v>
      </c>
      <c r="X6" s="41">
        <v>2.0</v>
      </c>
      <c r="Y6" s="41">
        <v>30.0</v>
      </c>
      <c r="Z6" s="41">
        <v>22.0</v>
      </c>
    </row>
    <row r="7">
      <c r="A7" s="41" t="s">
        <v>905</v>
      </c>
      <c r="B7" s="41" t="s">
        <v>200</v>
      </c>
      <c r="C7" s="41" t="s">
        <v>920</v>
      </c>
      <c r="D7" s="41" t="s">
        <v>921</v>
      </c>
      <c r="E7" s="41">
        <v>47.0</v>
      </c>
      <c r="F7" s="41">
        <v>22.0</v>
      </c>
      <c r="G7" s="41">
        <v>25.0</v>
      </c>
      <c r="H7" s="125">
        <v>0.46808510638297873</v>
      </c>
      <c r="I7" s="41">
        <v>5.0</v>
      </c>
      <c r="J7" s="41">
        <v>14501.0</v>
      </c>
      <c r="K7" s="41">
        <v>29.0</v>
      </c>
      <c r="L7" s="41">
        <v>25.0</v>
      </c>
      <c r="M7" s="41">
        <v>49.0</v>
      </c>
      <c r="N7" s="41">
        <v>98.0</v>
      </c>
      <c r="O7" s="122">
        <f t="shared" si="1"/>
        <v>0.2959183673</v>
      </c>
      <c r="P7" s="123">
        <f t="shared" si="5"/>
        <v>308.5319149</v>
      </c>
      <c r="Q7" s="123">
        <f t="shared" si="2"/>
        <v>0.6170212766</v>
      </c>
      <c r="R7" s="123">
        <f t="shared" si="6"/>
        <v>0.5319148936</v>
      </c>
      <c r="S7" s="123">
        <f t="shared" si="3"/>
        <v>1.042553191</v>
      </c>
      <c r="T7" s="123">
        <f t="shared" si="4"/>
        <v>2.085106383</v>
      </c>
      <c r="U7" s="41">
        <v>5.0</v>
      </c>
      <c r="V7" s="41">
        <v>0.0</v>
      </c>
      <c r="W7" s="41">
        <v>1.0</v>
      </c>
      <c r="X7" s="41">
        <v>3.0</v>
      </c>
      <c r="Y7" s="41">
        <v>42.0</v>
      </c>
      <c r="Z7" s="41">
        <v>42.0</v>
      </c>
    </row>
    <row r="8">
      <c r="A8" s="41" t="s">
        <v>909</v>
      </c>
      <c r="B8" s="41" t="s">
        <v>74</v>
      </c>
      <c r="C8" s="41" t="s">
        <v>922</v>
      </c>
      <c r="D8" s="41" t="s">
        <v>923</v>
      </c>
      <c r="E8" s="41">
        <v>32.0</v>
      </c>
      <c r="F8" s="41">
        <v>15.0</v>
      </c>
      <c r="G8" s="41">
        <v>17.0</v>
      </c>
      <c r="H8" s="125">
        <v>0.46875</v>
      </c>
      <c r="I8" s="41">
        <v>7.0</v>
      </c>
      <c r="J8" s="41">
        <v>10264.0</v>
      </c>
      <c r="K8" s="41">
        <v>30.0</v>
      </c>
      <c r="L8" s="41">
        <v>15.0</v>
      </c>
      <c r="M8" s="41">
        <v>21.0</v>
      </c>
      <c r="N8" s="41">
        <v>103.0</v>
      </c>
      <c r="O8" s="122">
        <f t="shared" si="1"/>
        <v>0.2912621359</v>
      </c>
      <c r="P8" s="123">
        <f t="shared" si="5"/>
        <v>320.75</v>
      </c>
      <c r="Q8" s="123">
        <f t="shared" si="2"/>
        <v>0.9375</v>
      </c>
      <c r="R8" s="123">
        <f t="shared" si="6"/>
        <v>0.46875</v>
      </c>
      <c r="S8" s="123">
        <f t="shared" si="3"/>
        <v>0.65625</v>
      </c>
      <c r="T8" s="123">
        <f t="shared" si="4"/>
        <v>3.21875</v>
      </c>
      <c r="U8" s="41">
        <v>3.0</v>
      </c>
      <c r="V8" s="41">
        <v>3.0</v>
      </c>
      <c r="W8" s="41">
        <v>0.0</v>
      </c>
      <c r="X8" s="41">
        <v>1.0</v>
      </c>
      <c r="Y8" s="41">
        <v>50.0</v>
      </c>
      <c r="Z8" s="41">
        <v>20.0</v>
      </c>
    </row>
    <row r="9">
      <c r="A9" s="41" t="s">
        <v>904</v>
      </c>
      <c r="B9" s="41" t="s">
        <v>716</v>
      </c>
      <c r="C9" s="41" t="s">
        <v>924</v>
      </c>
      <c r="D9" s="41" t="s">
        <v>925</v>
      </c>
      <c r="E9" s="41">
        <v>11.0</v>
      </c>
      <c r="F9" s="41">
        <v>4.0</v>
      </c>
      <c r="G9" s="41">
        <v>7.0</v>
      </c>
      <c r="H9" s="125">
        <v>0.36363636363636365</v>
      </c>
      <c r="I9" s="41">
        <v>0.0</v>
      </c>
      <c r="J9" s="41">
        <v>2751.0</v>
      </c>
      <c r="K9" s="41">
        <v>5.0</v>
      </c>
      <c r="L9" s="41">
        <v>6.0</v>
      </c>
      <c r="M9" s="41">
        <v>14.0</v>
      </c>
      <c r="N9" s="41">
        <v>15.0</v>
      </c>
      <c r="O9" s="122">
        <f t="shared" si="1"/>
        <v>0.3333333333</v>
      </c>
      <c r="P9" s="123">
        <f t="shared" si="5"/>
        <v>250.0909091</v>
      </c>
      <c r="Q9" s="123">
        <f t="shared" si="2"/>
        <v>0.4545454545</v>
      </c>
      <c r="R9" s="123">
        <f t="shared" si="6"/>
        <v>0.5454545455</v>
      </c>
      <c r="S9" s="123">
        <f t="shared" si="3"/>
        <v>1.272727273</v>
      </c>
      <c r="T9" s="123">
        <f t="shared" si="4"/>
        <v>1.363636364</v>
      </c>
      <c r="U9" s="41">
        <v>0.0</v>
      </c>
      <c r="V9" s="41">
        <v>0.0</v>
      </c>
      <c r="W9" s="41">
        <v>1.0</v>
      </c>
      <c r="X9" s="41">
        <v>1.0</v>
      </c>
      <c r="Y9" s="41">
        <v>13.0</v>
      </c>
      <c r="Z9" s="41">
        <v>16.0</v>
      </c>
    </row>
    <row r="10">
      <c r="A10" s="41" t="s">
        <v>904</v>
      </c>
      <c r="B10" s="41" t="s">
        <v>612</v>
      </c>
      <c r="C10" s="41" t="s">
        <v>926</v>
      </c>
      <c r="D10" s="41" t="s">
        <v>927</v>
      </c>
      <c r="E10" s="41">
        <v>43.0</v>
      </c>
      <c r="F10" s="41">
        <v>26.0</v>
      </c>
      <c r="G10" s="41">
        <v>17.0</v>
      </c>
      <c r="H10" s="125">
        <v>0.6046511627906976</v>
      </c>
      <c r="I10" s="41">
        <v>5.0</v>
      </c>
      <c r="J10" s="41">
        <v>15022.0</v>
      </c>
      <c r="K10" s="41">
        <v>47.0</v>
      </c>
      <c r="L10" s="41">
        <v>24.0</v>
      </c>
      <c r="M10" s="41">
        <v>38.0</v>
      </c>
      <c r="N10" s="41">
        <v>118.0</v>
      </c>
      <c r="O10" s="122">
        <f t="shared" si="1"/>
        <v>0.3983050847</v>
      </c>
      <c r="P10" s="123">
        <f t="shared" si="5"/>
        <v>349.3488372</v>
      </c>
      <c r="Q10" s="123">
        <f t="shared" si="2"/>
        <v>1.093023256</v>
      </c>
      <c r="R10" s="123">
        <f t="shared" si="6"/>
        <v>0.5581395349</v>
      </c>
      <c r="S10" s="123">
        <f t="shared" si="3"/>
        <v>0.8837209302</v>
      </c>
      <c r="T10" s="123">
        <f t="shared" si="4"/>
        <v>2.744186047</v>
      </c>
      <c r="U10" s="41">
        <v>4.0</v>
      </c>
      <c r="V10" s="41">
        <v>3.0</v>
      </c>
      <c r="W10" s="41">
        <v>1.0</v>
      </c>
      <c r="X10" s="41">
        <v>2.0</v>
      </c>
      <c r="Y10" s="41">
        <v>24.0</v>
      </c>
      <c r="Z10" s="41">
        <v>46.0</v>
      </c>
    </row>
    <row r="11">
      <c r="A11" s="41" t="s">
        <v>904</v>
      </c>
      <c r="B11" s="41" t="s">
        <v>578</v>
      </c>
      <c r="C11" s="41" t="s">
        <v>928</v>
      </c>
      <c r="D11" s="41" t="s">
        <v>927</v>
      </c>
      <c r="E11" s="41">
        <v>39.0</v>
      </c>
      <c r="F11" s="41">
        <v>25.0</v>
      </c>
      <c r="G11" s="41">
        <v>14.0</v>
      </c>
      <c r="H11" s="125">
        <v>0.6410256410256411</v>
      </c>
      <c r="I11" s="41">
        <v>9.0</v>
      </c>
      <c r="J11" s="41">
        <v>15240.0</v>
      </c>
      <c r="K11" s="41">
        <v>46.0</v>
      </c>
      <c r="L11" s="41">
        <v>35.0</v>
      </c>
      <c r="M11" s="41">
        <v>41.0</v>
      </c>
      <c r="N11" s="41">
        <v>116.0</v>
      </c>
      <c r="O11" s="122">
        <f t="shared" si="1"/>
        <v>0.3965517241</v>
      </c>
      <c r="P11" s="123">
        <f t="shared" si="5"/>
        <v>390.7692308</v>
      </c>
      <c r="Q11" s="123">
        <f t="shared" si="2"/>
        <v>1.179487179</v>
      </c>
      <c r="R11" s="123">
        <f t="shared" si="6"/>
        <v>0.8974358974</v>
      </c>
      <c r="S11" s="123">
        <f t="shared" si="3"/>
        <v>1.051282051</v>
      </c>
      <c r="T11" s="123">
        <f t="shared" si="4"/>
        <v>2.974358974</v>
      </c>
      <c r="U11" s="41">
        <v>13.0</v>
      </c>
      <c r="V11" s="41">
        <v>2.0</v>
      </c>
      <c r="W11" s="41">
        <v>1.0</v>
      </c>
      <c r="X11" s="41">
        <v>3.0</v>
      </c>
      <c r="Y11" s="41">
        <v>37.0</v>
      </c>
      <c r="Z11" s="41">
        <v>43.0</v>
      </c>
    </row>
    <row r="12">
      <c r="A12" s="41" t="s">
        <v>897</v>
      </c>
      <c r="B12" s="41" t="s">
        <v>485</v>
      </c>
      <c r="C12" s="41" t="s">
        <v>929</v>
      </c>
      <c r="D12" s="41" t="s">
        <v>930</v>
      </c>
      <c r="E12" s="41">
        <v>50.0</v>
      </c>
      <c r="F12" s="41">
        <v>27.0</v>
      </c>
      <c r="G12" s="41">
        <v>23.0</v>
      </c>
      <c r="H12" s="125">
        <v>0.54</v>
      </c>
      <c r="I12" s="41">
        <v>13.0</v>
      </c>
      <c r="J12" s="41">
        <v>18627.0</v>
      </c>
      <c r="K12" s="41">
        <v>46.0</v>
      </c>
      <c r="L12" s="41">
        <v>36.0</v>
      </c>
      <c r="M12" s="41">
        <v>58.0</v>
      </c>
      <c r="N12" s="41">
        <v>160.0</v>
      </c>
      <c r="O12" s="122">
        <f t="shared" si="1"/>
        <v>0.2875</v>
      </c>
      <c r="P12" s="123">
        <f t="shared" si="5"/>
        <v>372.54</v>
      </c>
      <c r="Q12" s="123">
        <f t="shared" si="2"/>
        <v>0.92</v>
      </c>
      <c r="R12" s="123">
        <f t="shared" si="6"/>
        <v>0.72</v>
      </c>
      <c r="S12" s="123">
        <f t="shared" si="3"/>
        <v>1.16</v>
      </c>
      <c r="T12" s="123">
        <f t="shared" si="4"/>
        <v>3.2</v>
      </c>
      <c r="U12" s="41">
        <v>10.0</v>
      </c>
      <c r="V12" s="41">
        <v>5.0</v>
      </c>
      <c r="W12" s="41">
        <v>2.0</v>
      </c>
      <c r="X12" s="41">
        <v>6.0</v>
      </c>
      <c r="Y12" s="41">
        <v>97.0</v>
      </c>
      <c r="Z12" s="41">
        <v>46.0</v>
      </c>
    </row>
    <row r="13">
      <c r="A13" s="41" t="s">
        <v>902</v>
      </c>
      <c r="B13" s="41" t="s">
        <v>837</v>
      </c>
      <c r="C13" s="41" t="s">
        <v>931</v>
      </c>
      <c r="D13" s="41" t="s">
        <v>932</v>
      </c>
      <c r="E13" s="41">
        <v>41.0</v>
      </c>
      <c r="F13" s="41">
        <v>14.0</v>
      </c>
      <c r="G13" s="41">
        <v>27.0</v>
      </c>
      <c r="H13" s="125">
        <v>0.34146341463414637</v>
      </c>
      <c r="I13" s="41">
        <v>5.0</v>
      </c>
      <c r="J13" s="41">
        <v>12825.0</v>
      </c>
      <c r="K13" s="41">
        <v>34.0</v>
      </c>
      <c r="L13" s="41">
        <v>19.0</v>
      </c>
      <c r="M13" s="41">
        <v>47.0</v>
      </c>
      <c r="N13" s="41">
        <v>104.0</v>
      </c>
      <c r="O13" s="122">
        <f t="shared" si="1"/>
        <v>0.3269230769</v>
      </c>
      <c r="P13" s="123">
        <f t="shared" si="5"/>
        <v>312.804878</v>
      </c>
      <c r="Q13" s="123">
        <f t="shared" si="2"/>
        <v>0.8292682927</v>
      </c>
      <c r="R13" s="123">
        <f t="shared" si="6"/>
        <v>0.4634146341</v>
      </c>
      <c r="S13" s="123">
        <f t="shared" si="3"/>
        <v>1.146341463</v>
      </c>
      <c r="T13" s="123">
        <f t="shared" si="4"/>
        <v>2.536585366</v>
      </c>
      <c r="U13" s="41">
        <v>4.0</v>
      </c>
      <c r="V13" s="41">
        <v>3.0</v>
      </c>
      <c r="W13" s="41">
        <v>0.0</v>
      </c>
      <c r="X13" s="41">
        <v>4.0</v>
      </c>
      <c r="Y13" s="41">
        <v>81.0</v>
      </c>
      <c r="Z13" s="41">
        <v>31.0</v>
      </c>
    </row>
    <row r="14">
      <c r="A14" s="41" t="s">
        <v>901</v>
      </c>
      <c r="B14" s="41" t="s">
        <v>390</v>
      </c>
      <c r="C14" s="41" t="s">
        <v>933</v>
      </c>
      <c r="D14" s="41" t="s">
        <v>934</v>
      </c>
      <c r="E14" s="41">
        <v>42.0</v>
      </c>
      <c r="F14" s="41">
        <v>18.0</v>
      </c>
      <c r="G14" s="41">
        <v>24.0</v>
      </c>
      <c r="H14" s="125">
        <v>0.42857142857142855</v>
      </c>
      <c r="I14" s="41">
        <v>3.0</v>
      </c>
      <c r="J14" s="41">
        <v>13419.0</v>
      </c>
      <c r="K14" s="41">
        <v>25.0</v>
      </c>
      <c r="L14" s="41">
        <v>15.0</v>
      </c>
      <c r="M14" s="41">
        <v>55.0</v>
      </c>
      <c r="N14" s="41">
        <v>99.0</v>
      </c>
      <c r="O14" s="122">
        <f t="shared" si="1"/>
        <v>0.2525252525</v>
      </c>
      <c r="P14" s="123">
        <f t="shared" si="5"/>
        <v>319.5</v>
      </c>
      <c r="Q14" s="123">
        <f t="shared" si="2"/>
        <v>0.5952380952</v>
      </c>
      <c r="R14" s="123">
        <f t="shared" si="6"/>
        <v>0.3571428571</v>
      </c>
      <c r="S14" s="123">
        <f t="shared" si="3"/>
        <v>1.30952381</v>
      </c>
      <c r="T14" s="123">
        <f t="shared" si="4"/>
        <v>2.357142857</v>
      </c>
      <c r="U14" s="41">
        <v>5.0</v>
      </c>
      <c r="V14" s="41">
        <v>0.0</v>
      </c>
      <c r="W14" s="41">
        <v>0.0</v>
      </c>
      <c r="X14" s="41">
        <v>7.0</v>
      </c>
      <c r="Y14" s="41">
        <v>51.0</v>
      </c>
      <c r="Z14" s="41">
        <v>46.0</v>
      </c>
    </row>
    <row r="15">
      <c r="A15" s="41" t="s">
        <v>899</v>
      </c>
      <c r="B15" s="41" t="s">
        <v>468</v>
      </c>
      <c r="C15" s="41" t="s">
        <v>935</v>
      </c>
      <c r="D15" s="41" t="s">
        <v>936</v>
      </c>
      <c r="E15" s="41">
        <v>2.0</v>
      </c>
      <c r="F15" s="41">
        <v>1.0</v>
      </c>
      <c r="G15" s="41">
        <v>1.0</v>
      </c>
      <c r="H15" s="125">
        <v>0.5</v>
      </c>
      <c r="I15" s="41">
        <v>1.0</v>
      </c>
      <c r="J15" s="41">
        <v>757.0</v>
      </c>
      <c r="K15" s="41">
        <v>3.0</v>
      </c>
      <c r="L15" s="41">
        <v>0.0</v>
      </c>
      <c r="M15" s="41">
        <v>4.0</v>
      </c>
      <c r="N15" s="41">
        <v>4.0</v>
      </c>
      <c r="O15" s="122">
        <f t="shared" si="1"/>
        <v>0.75</v>
      </c>
      <c r="P15" s="123">
        <f t="shared" si="5"/>
        <v>378.5</v>
      </c>
      <c r="Q15" s="123">
        <f t="shared" si="2"/>
        <v>1.5</v>
      </c>
      <c r="R15" s="123">
        <f t="shared" si="6"/>
        <v>0</v>
      </c>
      <c r="S15" s="123">
        <f t="shared" si="3"/>
        <v>2</v>
      </c>
      <c r="T15" s="123">
        <f t="shared" si="4"/>
        <v>2</v>
      </c>
      <c r="U15" s="41">
        <v>0.0</v>
      </c>
      <c r="V15" s="41">
        <v>0.0</v>
      </c>
      <c r="W15" s="41">
        <v>0.0</v>
      </c>
      <c r="X15" s="41">
        <v>1.0</v>
      </c>
      <c r="Y15" s="41">
        <v>2.0</v>
      </c>
      <c r="Z15" s="41">
        <v>2.0</v>
      </c>
    </row>
    <row r="16">
      <c r="A16" s="41" t="s">
        <v>902</v>
      </c>
      <c r="B16" s="41" t="s">
        <v>468</v>
      </c>
      <c r="C16" s="41" t="s">
        <v>935</v>
      </c>
      <c r="D16" s="41" t="s">
        <v>937</v>
      </c>
      <c r="E16" s="41">
        <v>12.0</v>
      </c>
      <c r="F16" s="41">
        <v>6.0</v>
      </c>
      <c r="G16" s="41">
        <v>6.0</v>
      </c>
      <c r="H16" s="125">
        <v>0.5</v>
      </c>
      <c r="I16" s="41">
        <v>3.0</v>
      </c>
      <c r="J16" s="41">
        <v>5234.0</v>
      </c>
      <c r="K16" s="41">
        <v>14.0</v>
      </c>
      <c r="L16" s="41">
        <v>8.0</v>
      </c>
      <c r="M16" s="41">
        <v>19.0</v>
      </c>
      <c r="N16" s="41">
        <v>40.0</v>
      </c>
      <c r="O16" s="122">
        <f t="shared" si="1"/>
        <v>0.35</v>
      </c>
      <c r="P16" s="123">
        <f t="shared" si="5"/>
        <v>436.1666667</v>
      </c>
      <c r="Q16" s="123">
        <f t="shared" si="2"/>
        <v>1.166666667</v>
      </c>
      <c r="R16" s="123">
        <f t="shared" si="6"/>
        <v>0.6666666667</v>
      </c>
      <c r="S16" s="123">
        <f t="shared" si="3"/>
        <v>1.583333333</v>
      </c>
      <c r="T16" s="123">
        <f t="shared" si="4"/>
        <v>3.333333333</v>
      </c>
      <c r="U16" s="41">
        <v>3.0</v>
      </c>
      <c r="V16" s="41">
        <v>0.0</v>
      </c>
      <c r="W16" s="41">
        <v>1.0</v>
      </c>
      <c r="X16" s="41">
        <v>4.0</v>
      </c>
      <c r="Y16" s="41">
        <v>12.0</v>
      </c>
      <c r="Z16" s="41">
        <v>22.0</v>
      </c>
    </row>
    <row r="17">
      <c r="A17" s="41" t="s">
        <v>901</v>
      </c>
      <c r="B17" s="41" t="s">
        <v>388</v>
      </c>
      <c r="C17" s="41" t="s">
        <v>938</v>
      </c>
      <c r="D17" s="41" t="s">
        <v>934</v>
      </c>
      <c r="E17" s="41">
        <v>32.0</v>
      </c>
      <c r="F17" s="41">
        <v>10.0</v>
      </c>
      <c r="G17" s="41">
        <v>22.0</v>
      </c>
      <c r="H17" s="125">
        <v>0.3125</v>
      </c>
      <c r="I17" s="41">
        <v>2.0</v>
      </c>
      <c r="J17" s="41">
        <v>9428.0</v>
      </c>
      <c r="K17" s="41">
        <v>18.0</v>
      </c>
      <c r="L17" s="41">
        <v>16.0</v>
      </c>
      <c r="M17" s="41">
        <v>29.0</v>
      </c>
      <c r="N17" s="41">
        <v>76.0</v>
      </c>
      <c r="O17" s="122">
        <f t="shared" si="1"/>
        <v>0.2368421053</v>
      </c>
      <c r="P17" s="123">
        <f t="shared" si="5"/>
        <v>294.625</v>
      </c>
      <c r="Q17" s="123">
        <f t="shared" si="2"/>
        <v>0.5625</v>
      </c>
      <c r="R17" s="123">
        <f t="shared" si="6"/>
        <v>0.5</v>
      </c>
      <c r="S17" s="123">
        <f t="shared" si="3"/>
        <v>0.90625</v>
      </c>
      <c r="T17" s="123">
        <f t="shared" si="4"/>
        <v>2.375</v>
      </c>
      <c r="U17" s="41">
        <v>4.0</v>
      </c>
      <c r="V17" s="41">
        <v>0.0</v>
      </c>
      <c r="W17" s="41">
        <v>0.0</v>
      </c>
      <c r="X17" s="41">
        <v>2.0</v>
      </c>
      <c r="Y17" s="41">
        <v>36.0</v>
      </c>
      <c r="Z17" s="41">
        <v>31.0</v>
      </c>
    </row>
    <row r="18">
      <c r="A18" s="41" t="s">
        <v>905</v>
      </c>
      <c r="B18" s="41" t="s">
        <v>195</v>
      </c>
      <c r="C18" s="41" t="s">
        <v>939</v>
      </c>
      <c r="D18" s="41" t="s">
        <v>940</v>
      </c>
      <c r="E18" s="41">
        <v>44.0</v>
      </c>
      <c r="F18" s="41">
        <v>17.0</v>
      </c>
      <c r="G18" s="41">
        <v>27.0</v>
      </c>
      <c r="H18" s="125">
        <v>0.38636363636363635</v>
      </c>
      <c r="I18" s="41">
        <v>6.0</v>
      </c>
      <c r="J18" s="41">
        <v>14285.0</v>
      </c>
      <c r="K18" s="41">
        <v>36.0</v>
      </c>
      <c r="L18" s="41">
        <v>22.0</v>
      </c>
      <c r="M18" s="41">
        <v>47.0</v>
      </c>
      <c r="N18" s="41">
        <v>100.0</v>
      </c>
      <c r="O18" s="122">
        <f t="shared" si="1"/>
        <v>0.36</v>
      </c>
      <c r="P18" s="123">
        <f t="shared" si="5"/>
        <v>324.6590909</v>
      </c>
      <c r="Q18" s="123">
        <f t="shared" si="2"/>
        <v>0.8181818182</v>
      </c>
      <c r="R18" s="123">
        <f t="shared" si="6"/>
        <v>0.5</v>
      </c>
      <c r="S18" s="123">
        <f t="shared" si="3"/>
        <v>1.068181818</v>
      </c>
      <c r="T18" s="123">
        <f t="shared" si="4"/>
        <v>2.272727273</v>
      </c>
      <c r="U18" s="41">
        <v>6.0</v>
      </c>
      <c r="V18" s="41">
        <v>2.0</v>
      </c>
      <c r="W18" s="41">
        <v>2.0</v>
      </c>
      <c r="X18" s="41">
        <v>3.0</v>
      </c>
      <c r="Y18" s="41">
        <v>46.0</v>
      </c>
      <c r="Z18" s="41">
        <v>53.0</v>
      </c>
    </row>
    <row r="19">
      <c r="A19" s="41" t="s">
        <v>905</v>
      </c>
      <c r="B19" s="41" t="s">
        <v>133</v>
      </c>
      <c r="C19" s="41" t="s">
        <v>941</v>
      </c>
      <c r="D19" s="41" t="s">
        <v>942</v>
      </c>
      <c r="E19" s="41">
        <v>20.0</v>
      </c>
      <c r="F19" s="41">
        <v>16.0</v>
      </c>
      <c r="G19" s="41">
        <v>4.0</v>
      </c>
      <c r="H19" s="125">
        <v>0.8</v>
      </c>
      <c r="I19" s="41">
        <v>3.0</v>
      </c>
      <c r="J19" s="41">
        <v>6833.0</v>
      </c>
      <c r="K19" s="41">
        <v>16.0</v>
      </c>
      <c r="L19" s="41">
        <v>16.0</v>
      </c>
      <c r="M19" s="41">
        <v>21.0</v>
      </c>
      <c r="N19" s="41">
        <v>49.0</v>
      </c>
      <c r="O19" s="122">
        <f t="shared" si="1"/>
        <v>0.3265306122</v>
      </c>
      <c r="P19" s="123">
        <f t="shared" si="5"/>
        <v>341.65</v>
      </c>
      <c r="Q19" s="123">
        <f t="shared" si="2"/>
        <v>0.8</v>
      </c>
      <c r="R19" s="123">
        <f t="shared" si="6"/>
        <v>0.8</v>
      </c>
      <c r="S19" s="123">
        <f t="shared" si="3"/>
        <v>1.05</v>
      </c>
      <c r="T19" s="123">
        <f t="shared" si="4"/>
        <v>2.45</v>
      </c>
      <c r="U19" s="41">
        <v>2.0</v>
      </c>
      <c r="V19" s="41">
        <v>2.0</v>
      </c>
      <c r="W19" s="41">
        <v>0.0</v>
      </c>
      <c r="X19" s="41">
        <v>1.0</v>
      </c>
      <c r="Y19" s="41">
        <v>29.0</v>
      </c>
      <c r="Z19" s="41">
        <v>29.0</v>
      </c>
    </row>
    <row r="20">
      <c r="A20" s="41" t="s">
        <v>902</v>
      </c>
      <c r="B20" s="41" t="s">
        <v>780</v>
      </c>
      <c r="C20" s="41" t="s">
        <v>943</v>
      </c>
      <c r="D20" s="41" t="s">
        <v>944</v>
      </c>
      <c r="E20" s="41">
        <v>54.0</v>
      </c>
      <c r="F20" s="41">
        <v>22.0</v>
      </c>
      <c r="G20" s="41">
        <v>32.0</v>
      </c>
      <c r="H20" s="125">
        <v>0.4074074074074074</v>
      </c>
      <c r="I20" s="41">
        <v>6.0</v>
      </c>
      <c r="J20" s="41">
        <v>18669.0</v>
      </c>
      <c r="K20" s="41">
        <v>50.0</v>
      </c>
      <c r="L20" s="41">
        <v>23.0</v>
      </c>
      <c r="M20" s="41">
        <v>63.0</v>
      </c>
      <c r="N20" s="41">
        <v>167.0</v>
      </c>
      <c r="O20" s="122">
        <f t="shared" si="1"/>
        <v>0.2994011976</v>
      </c>
      <c r="P20" s="123">
        <f t="shared" si="5"/>
        <v>345.7222222</v>
      </c>
      <c r="Q20" s="123">
        <f t="shared" si="2"/>
        <v>0.9259259259</v>
      </c>
      <c r="R20" s="123">
        <f t="shared" si="6"/>
        <v>0.4259259259</v>
      </c>
      <c r="S20" s="123">
        <f t="shared" si="3"/>
        <v>1.166666667</v>
      </c>
      <c r="T20" s="123">
        <f t="shared" si="4"/>
        <v>3.092592593</v>
      </c>
      <c r="U20" s="41">
        <v>8.0</v>
      </c>
      <c r="V20" s="41">
        <v>5.0</v>
      </c>
      <c r="W20" s="41">
        <v>1.0</v>
      </c>
      <c r="X20" s="41">
        <v>6.0</v>
      </c>
      <c r="Y20" s="41">
        <v>54.0</v>
      </c>
      <c r="Z20" s="41">
        <v>61.0</v>
      </c>
    </row>
    <row r="21">
      <c r="A21" s="41" t="s">
        <v>902</v>
      </c>
      <c r="B21" s="41" t="s">
        <v>754</v>
      </c>
      <c r="C21" s="41" t="s">
        <v>945</v>
      </c>
      <c r="D21" s="41" t="s">
        <v>946</v>
      </c>
      <c r="E21" s="41">
        <v>52.0</v>
      </c>
      <c r="F21" s="41">
        <v>30.0</v>
      </c>
      <c r="G21" s="41">
        <v>22.0</v>
      </c>
      <c r="H21" s="125">
        <v>0.5769230769230769</v>
      </c>
      <c r="I21" s="41">
        <v>11.0</v>
      </c>
      <c r="J21" s="41">
        <v>20701.0</v>
      </c>
      <c r="K21" s="41">
        <v>56.0</v>
      </c>
      <c r="L21" s="41">
        <v>26.0</v>
      </c>
      <c r="M21" s="41">
        <v>82.0</v>
      </c>
      <c r="N21" s="41">
        <v>144.0</v>
      </c>
      <c r="O21" s="122">
        <f t="shared" si="1"/>
        <v>0.3888888889</v>
      </c>
      <c r="P21" s="123">
        <f t="shared" si="5"/>
        <v>398.0961538</v>
      </c>
      <c r="Q21" s="123">
        <f t="shared" si="2"/>
        <v>1.076923077</v>
      </c>
      <c r="R21" s="123">
        <f t="shared" si="6"/>
        <v>0.5</v>
      </c>
      <c r="S21" s="123">
        <f t="shared" si="3"/>
        <v>1.576923077</v>
      </c>
      <c r="T21" s="123">
        <f t="shared" si="4"/>
        <v>2.769230769</v>
      </c>
      <c r="U21" s="41">
        <v>13.0</v>
      </c>
      <c r="V21" s="41">
        <v>3.0</v>
      </c>
      <c r="W21" s="41">
        <v>0.0</v>
      </c>
      <c r="X21" s="41">
        <v>10.0</v>
      </c>
      <c r="Y21" s="41">
        <v>69.0</v>
      </c>
      <c r="Z21" s="41">
        <v>58.0</v>
      </c>
    </row>
    <row r="22">
      <c r="A22" s="41" t="s">
        <v>909</v>
      </c>
      <c r="B22" s="41" t="s">
        <v>99</v>
      </c>
      <c r="C22" s="41" t="s">
        <v>947</v>
      </c>
      <c r="D22" s="41" t="s">
        <v>948</v>
      </c>
      <c r="E22" s="41">
        <v>49.0</v>
      </c>
      <c r="F22" s="41">
        <v>13.0</v>
      </c>
      <c r="G22" s="41">
        <v>36.0</v>
      </c>
      <c r="H22" s="125">
        <v>0.2653061224489796</v>
      </c>
      <c r="I22" s="41">
        <v>4.0</v>
      </c>
      <c r="J22" s="41">
        <v>12519.0</v>
      </c>
      <c r="K22" s="41">
        <v>19.0</v>
      </c>
      <c r="L22" s="41">
        <v>14.0</v>
      </c>
      <c r="M22" s="41">
        <v>54.0</v>
      </c>
      <c r="N22" s="41">
        <v>81.0</v>
      </c>
      <c r="O22" s="122">
        <f t="shared" si="1"/>
        <v>0.2345679012</v>
      </c>
      <c r="P22" s="123">
        <f t="shared" si="5"/>
        <v>255.4897959</v>
      </c>
      <c r="Q22" s="123">
        <f t="shared" si="2"/>
        <v>0.387755102</v>
      </c>
      <c r="R22" s="123">
        <f t="shared" si="6"/>
        <v>0.2857142857</v>
      </c>
      <c r="S22" s="123">
        <f t="shared" si="3"/>
        <v>1.102040816</v>
      </c>
      <c r="T22" s="123">
        <f t="shared" si="4"/>
        <v>1.653061224</v>
      </c>
      <c r="U22" s="41">
        <v>2.0</v>
      </c>
      <c r="V22" s="41">
        <v>2.0</v>
      </c>
      <c r="W22" s="41">
        <v>0.0</v>
      </c>
      <c r="X22" s="41">
        <v>5.0</v>
      </c>
      <c r="Y22" s="41">
        <v>20.0</v>
      </c>
      <c r="Z22" s="41">
        <v>45.0</v>
      </c>
    </row>
    <row r="23">
      <c r="A23" s="41" t="s">
        <v>899</v>
      </c>
      <c r="B23" s="41" t="s">
        <v>457</v>
      </c>
      <c r="C23" s="41" t="s">
        <v>949</v>
      </c>
      <c r="D23" s="41" t="s">
        <v>936</v>
      </c>
      <c r="E23" s="41">
        <v>42.0</v>
      </c>
      <c r="F23" s="41">
        <v>21.0</v>
      </c>
      <c r="G23" s="41">
        <v>21.0</v>
      </c>
      <c r="H23" s="125">
        <v>0.5</v>
      </c>
      <c r="I23" s="41">
        <v>8.0</v>
      </c>
      <c r="J23" s="41">
        <v>14408.0</v>
      </c>
      <c r="K23" s="41">
        <v>26.0</v>
      </c>
      <c r="L23" s="41">
        <v>21.0</v>
      </c>
      <c r="M23" s="41">
        <v>66.0</v>
      </c>
      <c r="N23" s="41">
        <v>93.0</v>
      </c>
      <c r="O23" s="122">
        <f t="shared" si="1"/>
        <v>0.2795698925</v>
      </c>
      <c r="P23" s="123">
        <f t="shared" si="5"/>
        <v>343.047619</v>
      </c>
      <c r="Q23" s="123">
        <f t="shared" si="2"/>
        <v>0.619047619</v>
      </c>
      <c r="R23" s="123">
        <f t="shared" si="6"/>
        <v>0.5</v>
      </c>
      <c r="S23" s="123">
        <f t="shared" si="3"/>
        <v>1.571428571</v>
      </c>
      <c r="T23" s="123">
        <f t="shared" si="4"/>
        <v>2.214285714</v>
      </c>
      <c r="U23" s="41">
        <v>6.0</v>
      </c>
      <c r="V23" s="41">
        <v>2.0</v>
      </c>
      <c r="W23" s="41">
        <v>1.0</v>
      </c>
      <c r="X23" s="41">
        <v>16.0</v>
      </c>
      <c r="Y23" s="41">
        <v>44.0</v>
      </c>
      <c r="Z23" s="41">
        <v>44.0</v>
      </c>
    </row>
    <row r="24">
      <c r="A24" s="41" t="s">
        <v>904</v>
      </c>
      <c r="B24" s="41" t="s">
        <v>661</v>
      </c>
      <c r="C24" s="41" t="s">
        <v>950</v>
      </c>
      <c r="D24" s="41" t="s">
        <v>951</v>
      </c>
      <c r="E24" s="41">
        <v>52.0</v>
      </c>
      <c r="F24" s="41">
        <v>20.0</v>
      </c>
      <c r="G24" s="41">
        <v>32.0</v>
      </c>
      <c r="H24" s="125">
        <v>0.38461538461538464</v>
      </c>
      <c r="I24" s="41">
        <v>7.0</v>
      </c>
      <c r="J24" s="41">
        <v>16938.0</v>
      </c>
      <c r="K24" s="41">
        <v>31.0</v>
      </c>
      <c r="L24" s="41">
        <v>31.0</v>
      </c>
      <c r="M24" s="41">
        <v>57.0</v>
      </c>
      <c r="N24" s="41">
        <v>124.0</v>
      </c>
      <c r="O24" s="122">
        <f t="shared" si="1"/>
        <v>0.25</v>
      </c>
      <c r="P24" s="123">
        <f t="shared" si="5"/>
        <v>325.7307692</v>
      </c>
      <c r="Q24" s="123">
        <f t="shared" si="2"/>
        <v>0.5961538462</v>
      </c>
      <c r="R24" s="123">
        <f t="shared" si="6"/>
        <v>0.5961538462</v>
      </c>
      <c r="S24" s="123">
        <f t="shared" si="3"/>
        <v>1.096153846</v>
      </c>
      <c r="T24" s="123">
        <f t="shared" si="4"/>
        <v>2.384615385</v>
      </c>
      <c r="U24" s="41">
        <v>5.0</v>
      </c>
      <c r="V24" s="41">
        <v>2.0</v>
      </c>
      <c r="W24" s="41">
        <v>2.0</v>
      </c>
      <c r="X24" s="41">
        <v>6.0</v>
      </c>
      <c r="Y24" s="41">
        <v>52.0</v>
      </c>
      <c r="Z24" s="41">
        <v>51.0</v>
      </c>
    </row>
    <row r="25">
      <c r="A25" s="41" t="s">
        <v>904</v>
      </c>
      <c r="B25" s="41" t="s">
        <v>711</v>
      </c>
      <c r="C25" s="41" t="s">
        <v>952</v>
      </c>
      <c r="D25" s="41" t="s">
        <v>953</v>
      </c>
      <c r="E25" s="41">
        <v>31.0</v>
      </c>
      <c r="F25" s="41">
        <v>9.0</v>
      </c>
      <c r="G25" s="41">
        <v>22.0</v>
      </c>
      <c r="H25" s="125">
        <v>0.2903225806451613</v>
      </c>
      <c r="I25" s="41">
        <v>3.0</v>
      </c>
      <c r="J25" s="41">
        <v>9242.0</v>
      </c>
      <c r="K25" s="41">
        <v>19.0</v>
      </c>
      <c r="L25" s="41">
        <v>7.0</v>
      </c>
      <c r="M25" s="41">
        <v>39.0</v>
      </c>
      <c r="N25" s="41">
        <v>63.0</v>
      </c>
      <c r="O25" s="122">
        <f t="shared" si="1"/>
        <v>0.3015873016</v>
      </c>
      <c r="P25" s="123">
        <f t="shared" si="5"/>
        <v>298.1290323</v>
      </c>
      <c r="Q25" s="123">
        <f t="shared" si="2"/>
        <v>0.6129032258</v>
      </c>
      <c r="R25" s="123">
        <f t="shared" si="6"/>
        <v>0.2258064516</v>
      </c>
      <c r="S25" s="123">
        <f t="shared" si="3"/>
        <v>1.258064516</v>
      </c>
      <c r="T25" s="123">
        <f t="shared" si="4"/>
        <v>2.032258065</v>
      </c>
      <c r="U25" s="41">
        <v>4.0</v>
      </c>
      <c r="V25" s="41">
        <v>2.0</v>
      </c>
      <c r="W25" s="41">
        <v>0.0</v>
      </c>
      <c r="X25" s="41">
        <v>5.0</v>
      </c>
      <c r="Y25" s="41">
        <v>27.0</v>
      </c>
      <c r="Z25" s="41">
        <v>27.0</v>
      </c>
    </row>
    <row r="26">
      <c r="A26" s="41" t="s">
        <v>901</v>
      </c>
      <c r="B26" s="41" t="s">
        <v>277</v>
      </c>
      <c r="C26" s="41" t="s">
        <v>954</v>
      </c>
      <c r="D26" s="41" t="s">
        <v>911</v>
      </c>
      <c r="E26" s="41">
        <v>56.0</v>
      </c>
      <c r="F26" s="41">
        <v>39.0</v>
      </c>
      <c r="G26" s="41">
        <v>17.0</v>
      </c>
      <c r="H26" s="125">
        <v>0.6964285714285714</v>
      </c>
      <c r="I26" s="41">
        <v>11.0</v>
      </c>
      <c r="J26" s="41">
        <v>21630.0</v>
      </c>
      <c r="K26" s="41">
        <v>51.0</v>
      </c>
      <c r="L26" s="41">
        <v>43.0</v>
      </c>
      <c r="M26" s="41">
        <v>75.0</v>
      </c>
      <c r="N26" s="41">
        <v>161.0</v>
      </c>
      <c r="O26" s="122">
        <f t="shared" si="1"/>
        <v>0.3167701863</v>
      </c>
      <c r="P26" s="123">
        <f t="shared" si="5"/>
        <v>386.25</v>
      </c>
      <c r="Q26" s="123">
        <f t="shared" si="2"/>
        <v>0.9107142857</v>
      </c>
      <c r="R26" s="123">
        <f t="shared" si="6"/>
        <v>0.7678571429</v>
      </c>
      <c r="S26" s="123">
        <f t="shared" si="3"/>
        <v>1.339285714</v>
      </c>
      <c r="T26" s="123">
        <f t="shared" si="4"/>
        <v>2.875</v>
      </c>
      <c r="U26" s="41">
        <v>14.0</v>
      </c>
      <c r="V26" s="41">
        <v>3.0</v>
      </c>
      <c r="W26" s="41">
        <v>1.0</v>
      </c>
      <c r="X26" s="41">
        <v>10.0</v>
      </c>
      <c r="Y26" s="41">
        <v>31.0</v>
      </c>
      <c r="Z26" s="41">
        <v>76.0</v>
      </c>
    </row>
    <row r="27">
      <c r="A27" s="41" t="s">
        <v>904</v>
      </c>
      <c r="B27" s="41" t="s">
        <v>155</v>
      </c>
      <c r="C27" s="41" t="s">
        <v>955</v>
      </c>
      <c r="D27" s="41" t="s">
        <v>956</v>
      </c>
      <c r="E27" s="41">
        <v>5.0</v>
      </c>
      <c r="F27" s="41">
        <v>0.0</v>
      </c>
      <c r="G27" s="41">
        <v>5.0</v>
      </c>
      <c r="H27" s="125">
        <v>0.0</v>
      </c>
      <c r="I27" s="41">
        <v>0.0</v>
      </c>
      <c r="J27" s="41">
        <v>1043.0</v>
      </c>
      <c r="K27" s="41">
        <v>1.0</v>
      </c>
      <c r="L27" s="41">
        <v>1.0</v>
      </c>
      <c r="M27" s="41">
        <v>7.0</v>
      </c>
      <c r="N27" s="41">
        <v>7.0</v>
      </c>
      <c r="O27" s="122">
        <f t="shared" si="1"/>
        <v>0.1428571429</v>
      </c>
      <c r="P27" s="123">
        <f t="shared" si="5"/>
        <v>208.6</v>
      </c>
      <c r="Q27" s="123">
        <f t="shared" si="2"/>
        <v>0.2</v>
      </c>
      <c r="R27" s="123">
        <f t="shared" si="6"/>
        <v>0.2</v>
      </c>
      <c r="S27" s="123">
        <f t="shared" si="3"/>
        <v>1.4</v>
      </c>
      <c r="T27" s="123">
        <f t="shared" si="4"/>
        <v>1.4</v>
      </c>
      <c r="U27" s="41">
        <v>0.0</v>
      </c>
      <c r="V27" s="41">
        <v>0.0</v>
      </c>
      <c r="W27" s="41">
        <v>0.0</v>
      </c>
      <c r="X27" s="41">
        <v>1.0</v>
      </c>
      <c r="Y27" s="41">
        <v>5.0</v>
      </c>
      <c r="Z27" s="41">
        <v>6.0</v>
      </c>
    </row>
    <row r="28">
      <c r="A28" s="41" t="s">
        <v>905</v>
      </c>
      <c r="B28" s="41" t="s">
        <v>155</v>
      </c>
      <c r="C28" s="41" t="s">
        <v>955</v>
      </c>
      <c r="D28" s="41" t="s">
        <v>957</v>
      </c>
      <c r="E28" s="41">
        <v>5.0</v>
      </c>
      <c r="F28" s="41">
        <v>3.0</v>
      </c>
      <c r="G28" s="41">
        <v>2.0</v>
      </c>
      <c r="H28" s="125">
        <v>0.6</v>
      </c>
      <c r="I28" s="41">
        <v>0.0</v>
      </c>
      <c r="J28" s="41">
        <v>1630.0</v>
      </c>
      <c r="K28" s="41">
        <v>4.0</v>
      </c>
      <c r="L28" s="41">
        <v>4.0</v>
      </c>
      <c r="M28" s="41">
        <v>5.0</v>
      </c>
      <c r="N28" s="41">
        <v>12.0</v>
      </c>
      <c r="O28" s="122">
        <f t="shared" si="1"/>
        <v>0.3333333333</v>
      </c>
      <c r="P28" s="123">
        <f t="shared" si="5"/>
        <v>326</v>
      </c>
      <c r="Q28" s="123">
        <f t="shared" si="2"/>
        <v>0.8</v>
      </c>
      <c r="R28" s="123">
        <f t="shared" si="6"/>
        <v>0.8</v>
      </c>
      <c r="S28" s="123">
        <f t="shared" si="3"/>
        <v>1</v>
      </c>
      <c r="T28" s="123">
        <f t="shared" si="4"/>
        <v>2.4</v>
      </c>
      <c r="U28" s="41">
        <v>1.0</v>
      </c>
      <c r="V28" s="41">
        <v>1.0</v>
      </c>
      <c r="W28" s="41">
        <v>0.0</v>
      </c>
      <c r="X28" s="41">
        <v>0.0</v>
      </c>
      <c r="Y28" s="41">
        <v>4.0</v>
      </c>
      <c r="Z28" s="41">
        <v>7.0</v>
      </c>
    </row>
    <row r="29">
      <c r="A29" s="41" t="s">
        <v>905</v>
      </c>
      <c r="B29" s="41" t="s">
        <v>230</v>
      </c>
      <c r="C29" s="41" t="s">
        <v>958</v>
      </c>
      <c r="D29" s="41" t="s">
        <v>959</v>
      </c>
      <c r="E29" s="41">
        <v>32.0</v>
      </c>
      <c r="F29" s="41">
        <v>12.0</v>
      </c>
      <c r="G29" s="41">
        <v>20.0</v>
      </c>
      <c r="H29" s="125">
        <v>0.375</v>
      </c>
      <c r="I29" s="41">
        <v>2.0</v>
      </c>
      <c r="J29" s="41">
        <v>8830.0</v>
      </c>
      <c r="K29" s="41">
        <v>16.0</v>
      </c>
      <c r="L29" s="41">
        <v>15.0</v>
      </c>
      <c r="M29" s="41">
        <v>32.0</v>
      </c>
      <c r="N29" s="41">
        <v>68.0</v>
      </c>
      <c r="O29" s="122">
        <f t="shared" si="1"/>
        <v>0.2352941176</v>
      </c>
      <c r="P29" s="123">
        <f t="shared" si="5"/>
        <v>275.9375</v>
      </c>
      <c r="Q29" s="123">
        <f t="shared" si="2"/>
        <v>0.5</v>
      </c>
      <c r="R29" s="123">
        <f t="shared" si="6"/>
        <v>0.46875</v>
      </c>
      <c r="S29" s="123">
        <f t="shared" si="3"/>
        <v>1</v>
      </c>
      <c r="T29" s="123">
        <f t="shared" si="4"/>
        <v>2.125</v>
      </c>
      <c r="U29" s="41">
        <v>1.0</v>
      </c>
      <c r="V29" s="41">
        <v>1.0</v>
      </c>
      <c r="W29" s="41">
        <v>1.0</v>
      </c>
      <c r="X29" s="41">
        <v>4.0</v>
      </c>
      <c r="Y29" s="41">
        <v>9.0</v>
      </c>
      <c r="Z29" s="41">
        <v>34.0</v>
      </c>
    </row>
    <row r="30">
      <c r="A30" s="41" t="s">
        <v>905</v>
      </c>
      <c r="B30" s="41" t="s">
        <v>170</v>
      </c>
      <c r="C30" s="41" t="s">
        <v>960</v>
      </c>
      <c r="D30" s="41" t="s">
        <v>961</v>
      </c>
      <c r="E30" s="41">
        <v>45.0</v>
      </c>
      <c r="F30" s="41">
        <v>21.0</v>
      </c>
      <c r="G30" s="41">
        <v>24.0</v>
      </c>
      <c r="H30" s="125">
        <v>0.4666666666666667</v>
      </c>
      <c r="I30" s="41">
        <v>5.0</v>
      </c>
      <c r="J30" s="41">
        <v>15111.0</v>
      </c>
      <c r="K30" s="41">
        <v>37.0</v>
      </c>
      <c r="L30" s="41">
        <v>22.0</v>
      </c>
      <c r="M30" s="41">
        <v>56.0</v>
      </c>
      <c r="N30" s="41">
        <v>98.0</v>
      </c>
      <c r="O30" s="122">
        <f t="shared" si="1"/>
        <v>0.3775510204</v>
      </c>
      <c r="P30" s="123">
        <f t="shared" si="5"/>
        <v>335.8</v>
      </c>
      <c r="Q30" s="123">
        <f t="shared" si="2"/>
        <v>0.8222222222</v>
      </c>
      <c r="R30" s="123">
        <f t="shared" si="6"/>
        <v>0.4888888889</v>
      </c>
      <c r="S30" s="123">
        <f t="shared" si="3"/>
        <v>1.244444444</v>
      </c>
      <c r="T30" s="123">
        <f t="shared" si="4"/>
        <v>2.177777778</v>
      </c>
      <c r="U30" s="41">
        <v>10.0</v>
      </c>
      <c r="V30" s="41">
        <v>1.0</v>
      </c>
      <c r="W30" s="41">
        <v>0.0</v>
      </c>
      <c r="X30" s="41">
        <v>6.0</v>
      </c>
      <c r="Y30" s="41">
        <v>34.0</v>
      </c>
      <c r="Z30" s="41">
        <v>38.0</v>
      </c>
    </row>
    <row r="31">
      <c r="A31" s="41" t="s">
        <v>904</v>
      </c>
      <c r="B31" s="41" t="s">
        <v>591</v>
      </c>
      <c r="C31" s="41" t="s">
        <v>962</v>
      </c>
      <c r="D31" s="41" t="s">
        <v>963</v>
      </c>
      <c r="E31" s="41">
        <v>28.0</v>
      </c>
      <c r="F31" s="41">
        <v>18.0</v>
      </c>
      <c r="G31" s="41">
        <v>10.0</v>
      </c>
      <c r="H31" s="125">
        <v>0.6428571428571429</v>
      </c>
      <c r="I31" s="41">
        <v>5.0</v>
      </c>
      <c r="J31" s="41">
        <v>11047.0</v>
      </c>
      <c r="K31" s="41">
        <v>35.0</v>
      </c>
      <c r="L31" s="41">
        <v>14.0</v>
      </c>
      <c r="M31" s="41">
        <v>35.0</v>
      </c>
      <c r="N31" s="41">
        <v>84.0</v>
      </c>
      <c r="O31" s="122">
        <f t="shared" si="1"/>
        <v>0.4166666667</v>
      </c>
      <c r="P31" s="123">
        <f t="shared" si="5"/>
        <v>394.5357143</v>
      </c>
      <c r="Q31" s="123">
        <f t="shared" si="2"/>
        <v>1.25</v>
      </c>
      <c r="R31" s="123">
        <f t="shared" si="6"/>
        <v>0.5</v>
      </c>
      <c r="S31" s="123">
        <f t="shared" si="3"/>
        <v>1.25</v>
      </c>
      <c r="T31" s="123">
        <f t="shared" si="4"/>
        <v>3</v>
      </c>
      <c r="U31" s="41">
        <v>6.0</v>
      </c>
      <c r="V31" s="41">
        <v>5.0</v>
      </c>
      <c r="W31" s="41">
        <v>0.0</v>
      </c>
      <c r="X31" s="41">
        <v>2.0</v>
      </c>
      <c r="Y31" s="41">
        <v>36.0</v>
      </c>
      <c r="Z31" s="41">
        <v>23.0</v>
      </c>
    </row>
    <row r="32">
      <c r="A32" s="41" t="s">
        <v>906</v>
      </c>
      <c r="B32" s="41" t="s">
        <v>517</v>
      </c>
      <c r="C32" s="41" t="s">
        <v>964</v>
      </c>
      <c r="D32" s="41" t="s">
        <v>965</v>
      </c>
      <c r="E32" s="41">
        <v>52.0</v>
      </c>
      <c r="F32" s="41">
        <v>40.0</v>
      </c>
      <c r="G32" s="41">
        <v>12.0</v>
      </c>
      <c r="H32" s="125">
        <v>0.7692307692307693</v>
      </c>
      <c r="I32" s="41">
        <v>25.0</v>
      </c>
      <c r="J32" s="41">
        <v>23777.0</v>
      </c>
      <c r="K32" s="41">
        <v>70.0</v>
      </c>
      <c r="L32" s="41">
        <v>45.0</v>
      </c>
      <c r="M32" s="41">
        <v>71.0</v>
      </c>
      <c r="N32" s="41">
        <v>185.0</v>
      </c>
      <c r="O32" s="122">
        <f t="shared" si="1"/>
        <v>0.3783783784</v>
      </c>
      <c r="P32" s="123">
        <f t="shared" si="5"/>
        <v>457.25</v>
      </c>
      <c r="Q32" s="123">
        <f t="shared" si="2"/>
        <v>1.346153846</v>
      </c>
      <c r="R32" s="123">
        <f t="shared" si="6"/>
        <v>0.8653846154</v>
      </c>
      <c r="S32" s="123">
        <f t="shared" si="3"/>
        <v>1.365384615</v>
      </c>
      <c r="T32" s="123">
        <f t="shared" si="4"/>
        <v>3.557692308</v>
      </c>
      <c r="U32" s="41">
        <v>14.0</v>
      </c>
      <c r="V32" s="41">
        <v>9.0</v>
      </c>
      <c r="W32" s="41">
        <v>5.0</v>
      </c>
      <c r="X32" s="41">
        <v>8.0</v>
      </c>
      <c r="Y32" s="41">
        <v>21.0</v>
      </c>
      <c r="Z32" s="41">
        <v>51.0</v>
      </c>
    </row>
    <row r="33">
      <c r="A33" s="41" t="s">
        <v>897</v>
      </c>
      <c r="B33" s="41" t="s">
        <v>481</v>
      </c>
      <c r="C33" s="41" t="s">
        <v>966</v>
      </c>
      <c r="D33" s="41" t="s">
        <v>930</v>
      </c>
      <c r="E33" s="41">
        <v>41.0</v>
      </c>
      <c r="F33" s="41">
        <v>21.0</v>
      </c>
      <c r="G33" s="41">
        <v>20.0</v>
      </c>
      <c r="H33" s="125">
        <v>0.5121951219512195</v>
      </c>
      <c r="I33" s="41">
        <v>7.0</v>
      </c>
      <c r="J33" s="41">
        <v>15924.0</v>
      </c>
      <c r="K33" s="41">
        <v>36.0</v>
      </c>
      <c r="L33" s="41">
        <v>34.0</v>
      </c>
      <c r="M33" s="41">
        <v>63.0</v>
      </c>
      <c r="N33" s="41">
        <v>109.0</v>
      </c>
      <c r="O33" s="122">
        <f t="shared" si="1"/>
        <v>0.3302752294</v>
      </c>
      <c r="P33" s="123">
        <f t="shared" si="5"/>
        <v>388.3902439</v>
      </c>
      <c r="Q33" s="123">
        <f t="shared" si="2"/>
        <v>0.8780487805</v>
      </c>
      <c r="R33" s="123">
        <f t="shared" si="6"/>
        <v>0.8292682927</v>
      </c>
      <c r="S33" s="123">
        <f t="shared" si="3"/>
        <v>1.536585366</v>
      </c>
      <c r="T33" s="123">
        <f t="shared" si="4"/>
        <v>2.658536585</v>
      </c>
      <c r="U33" s="41">
        <v>8.0</v>
      </c>
      <c r="V33" s="41">
        <v>1.0</v>
      </c>
      <c r="W33" s="41">
        <v>3.0</v>
      </c>
      <c r="X33" s="41">
        <v>7.0</v>
      </c>
      <c r="Y33" s="41">
        <v>47.0</v>
      </c>
      <c r="Z33" s="41">
        <v>45.0</v>
      </c>
    </row>
    <row r="34">
      <c r="A34" s="41" t="s">
        <v>905</v>
      </c>
      <c r="B34" s="41" t="s">
        <v>193</v>
      </c>
      <c r="C34" s="41" t="s">
        <v>967</v>
      </c>
      <c r="D34" s="41" t="s">
        <v>968</v>
      </c>
      <c r="E34" s="41">
        <v>26.0</v>
      </c>
      <c r="F34" s="41">
        <v>9.0</v>
      </c>
      <c r="G34" s="41">
        <v>17.0</v>
      </c>
      <c r="H34" s="125">
        <v>0.34615384615384615</v>
      </c>
      <c r="I34" s="41">
        <v>3.0</v>
      </c>
      <c r="J34" s="41">
        <v>8678.0</v>
      </c>
      <c r="K34" s="41">
        <v>14.0</v>
      </c>
      <c r="L34" s="41">
        <v>13.0</v>
      </c>
      <c r="M34" s="41">
        <v>40.0</v>
      </c>
      <c r="N34" s="41">
        <v>69.0</v>
      </c>
      <c r="O34" s="122">
        <f t="shared" si="1"/>
        <v>0.2028985507</v>
      </c>
      <c r="P34" s="123">
        <f t="shared" si="5"/>
        <v>333.7692308</v>
      </c>
      <c r="Q34" s="123">
        <f t="shared" si="2"/>
        <v>0.5384615385</v>
      </c>
      <c r="R34" s="123">
        <f t="shared" si="6"/>
        <v>0.5</v>
      </c>
      <c r="S34" s="123">
        <f t="shared" si="3"/>
        <v>1.538461538</v>
      </c>
      <c r="T34" s="123">
        <f t="shared" si="4"/>
        <v>2.653846154</v>
      </c>
      <c r="U34" s="41">
        <v>3.0</v>
      </c>
      <c r="V34" s="41">
        <v>0.0</v>
      </c>
      <c r="W34" s="41">
        <v>1.0</v>
      </c>
      <c r="X34" s="41">
        <v>4.0</v>
      </c>
      <c r="Y34" s="41">
        <v>17.0</v>
      </c>
      <c r="Z34" s="41">
        <v>28.0</v>
      </c>
    </row>
    <row r="35">
      <c r="A35" s="41" t="s">
        <v>904</v>
      </c>
      <c r="B35" s="41" t="s">
        <v>598</v>
      </c>
      <c r="C35" s="41" t="s">
        <v>969</v>
      </c>
      <c r="D35" s="41" t="s">
        <v>970</v>
      </c>
      <c r="E35" s="41">
        <v>39.0</v>
      </c>
      <c r="F35" s="41">
        <v>22.0</v>
      </c>
      <c r="G35" s="41">
        <v>17.0</v>
      </c>
      <c r="H35" s="125">
        <v>0.5641025641025641</v>
      </c>
      <c r="I35" s="41">
        <v>12.0</v>
      </c>
      <c r="J35" s="41">
        <v>14619.0</v>
      </c>
      <c r="K35" s="41">
        <v>44.0</v>
      </c>
      <c r="L35" s="41">
        <v>23.0</v>
      </c>
      <c r="M35" s="41">
        <v>51.0</v>
      </c>
      <c r="N35" s="41">
        <v>116.0</v>
      </c>
      <c r="O35" s="122">
        <f t="shared" si="1"/>
        <v>0.3793103448</v>
      </c>
      <c r="P35" s="123">
        <f t="shared" si="5"/>
        <v>374.8461538</v>
      </c>
      <c r="Q35" s="123">
        <f t="shared" si="2"/>
        <v>1.128205128</v>
      </c>
      <c r="R35" s="123">
        <f t="shared" si="6"/>
        <v>0.5897435897</v>
      </c>
      <c r="S35" s="123">
        <f t="shared" si="3"/>
        <v>1.307692308</v>
      </c>
      <c r="T35" s="123">
        <f t="shared" si="4"/>
        <v>2.974358974</v>
      </c>
      <c r="U35" s="41">
        <v>15.0</v>
      </c>
      <c r="V35" s="41">
        <v>2.0</v>
      </c>
      <c r="W35" s="41">
        <v>0.0</v>
      </c>
      <c r="X35" s="41">
        <v>8.0</v>
      </c>
      <c r="Y35" s="41">
        <v>32.0</v>
      </c>
      <c r="Z35" s="41">
        <v>41.0</v>
      </c>
    </row>
    <row r="36">
      <c r="A36" s="41" t="s">
        <v>905</v>
      </c>
      <c r="B36" s="41" t="s">
        <v>158</v>
      </c>
      <c r="C36" s="41" t="s">
        <v>971</v>
      </c>
      <c r="D36" s="41" t="s">
        <v>961</v>
      </c>
      <c r="E36" s="41">
        <v>43.0</v>
      </c>
      <c r="F36" s="41">
        <v>19.0</v>
      </c>
      <c r="G36" s="41">
        <v>24.0</v>
      </c>
      <c r="H36" s="125">
        <v>0.4418604651162791</v>
      </c>
      <c r="I36" s="41">
        <v>7.0</v>
      </c>
      <c r="J36" s="41">
        <v>15429.0</v>
      </c>
      <c r="K36" s="41">
        <v>36.0</v>
      </c>
      <c r="L36" s="41">
        <v>24.0</v>
      </c>
      <c r="M36" s="41">
        <v>64.0</v>
      </c>
      <c r="N36" s="41">
        <v>101.0</v>
      </c>
      <c r="O36" s="122">
        <f t="shared" si="1"/>
        <v>0.3564356436</v>
      </c>
      <c r="P36" s="123">
        <f t="shared" si="5"/>
        <v>358.8139535</v>
      </c>
      <c r="Q36" s="123">
        <f t="shared" si="2"/>
        <v>0.8372093023</v>
      </c>
      <c r="R36" s="123">
        <f t="shared" si="6"/>
        <v>0.5581395349</v>
      </c>
      <c r="S36" s="123">
        <f t="shared" si="3"/>
        <v>1.488372093</v>
      </c>
      <c r="T36" s="123">
        <f t="shared" si="4"/>
        <v>2.348837209</v>
      </c>
      <c r="U36" s="41">
        <v>9.0</v>
      </c>
      <c r="V36" s="41">
        <v>3.0</v>
      </c>
      <c r="W36" s="41">
        <v>1.0</v>
      </c>
      <c r="X36" s="41">
        <v>7.0</v>
      </c>
      <c r="Y36" s="41">
        <v>60.0</v>
      </c>
      <c r="Z36" s="41">
        <v>38.0</v>
      </c>
    </row>
    <row r="37">
      <c r="A37" s="41" t="s">
        <v>904</v>
      </c>
      <c r="B37" s="41" t="s">
        <v>616</v>
      </c>
      <c r="C37" s="41" t="s">
        <v>972</v>
      </c>
      <c r="D37" s="41" t="s">
        <v>973</v>
      </c>
      <c r="E37" s="41">
        <v>56.0</v>
      </c>
      <c r="F37" s="41">
        <v>26.0</v>
      </c>
      <c r="G37" s="41">
        <v>30.0</v>
      </c>
      <c r="H37" s="125">
        <v>0.4642857142857143</v>
      </c>
      <c r="I37" s="41">
        <v>13.0</v>
      </c>
      <c r="J37" s="41">
        <v>20242.0</v>
      </c>
      <c r="K37" s="41">
        <v>43.0</v>
      </c>
      <c r="L37" s="41">
        <v>31.0</v>
      </c>
      <c r="M37" s="41">
        <v>79.0</v>
      </c>
      <c r="N37" s="41">
        <v>141.0</v>
      </c>
      <c r="O37" s="122">
        <f t="shared" si="1"/>
        <v>0.304964539</v>
      </c>
      <c r="P37" s="123">
        <f t="shared" si="5"/>
        <v>361.4642857</v>
      </c>
      <c r="Q37" s="123">
        <f t="shared" si="2"/>
        <v>0.7678571429</v>
      </c>
      <c r="R37" s="123">
        <f t="shared" si="6"/>
        <v>0.5535714286</v>
      </c>
      <c r="S37" s="123">
        <f t="shared" si="3"/>
        <v>1.410714286</v>
      </c>
      <c r="T37" s="123">
        <f t="shared" si="4"/>
        <v>2.517857143</v>
      </c>
      <c r="U37" s="41">
        <v>13.0</v>
      </c>
      <c r="V37" s="41">
        <v>2.0</v>
      </c>
      <c r="W37" s="41">
        <v>1.0</v>
      </c>
      <c r="X37" s="41">
        <v>11.0</v>
      </c>
      <c r="Y37" s="41">
        <v>47.0</v>
      </c>
      <c r="Z37" s="41">
        <v>64.0</v>
      </c>
    </row>
    <row r="38">
      <c r="A38" s="41" t="s">
        <v>902</v>
      </c>
      <c r="B38" s="41" t="s">
        <v>762</v>
      </c>
      <c r="C38" s="41" t="s">
        <v>974</v>
      </c>
      <c r="D38" s="41" t="s">
        <v>975</v>
      </c>
      <c r="E38" s="41">
        <v>35.0</v>
      </c>
      <c r="F38" s="41">
        <v>18.0</v>
      </c>
      <c r="G38" s="41">
        <v>17.0</v>
      </c>
      <c r="H38" s="125">
        <v>0.5142857142857142</v>
      </c>
      <c r="I38" s="41">
        <v>5.0</v>
      </c>
      <c r="J38" s="41">
        <v>12486.0</v>
      </c>
      <c r="K38" s="41">
        <v>35.0</v>
      </c>
      <c r="L38" s="41">
        <v>25.0</v>
      </c>
      <c r="M38" s="41">
        <v>39.0</v>
      </c>
      <c r="N38" s="41">
        <v>96.0</v>
      </c>
      <c r="O38" s="122">
        <f t="shared" si="1"/>
        <v>0.3645833333</v>
      </c>
      <c r="P38" s="123">
        <f t="shared" si="5"/>
        <v>356.7428571</v>
      </c>
      <c r="Q38" s="123">
        <f t="shared" si="2"/>
        <v>1</v>
      </c>
      <c r="R38" s="123">
        <f t="shared" si="6"/>
        <v>0.7142857143</v>
      </c>
      <c r="S38" s="123">
        <f t="shared" si="3"/>
        <v>1.114285714</v>
      </c>
      <c r="T38" s="123">
        <f t="shared" si="4"/>
        <v>2.742857143</v>
      </c>
      <c r="U38" s="41">
        <v>8.0</v>
      </c>
      <c r="V38" s="41">
        <v>3.0</v>
      </c>
      <c r="W38" s="41">
        <v>1.0</v>
      </c>
      <c r="X38" s="41">
        <v>4.0</v>
      </c>
      <c r="Y38" s="41">
        <v>25.0</v>
      </c>
      <c r="Z38" s="41">
        <v>34.0</v>
      </c>
    </row>
    <row r="39">
      <c r="A39" s="41" t="s">
        <v>897</v>
      </c>
      <c r="B39" s="41" t="s">
        <v>494</v>
      </c>
      <c r="C39" s="41" t="s">
        <v>976</v>
      </c>
      <c r="D39" s="41" t="s">
        <v>977</v>
      </c>
      <c r="E39" s="41">
        <v>51.0</v>
      </c>
      <c r="F39" s="41">
        <v>35.0</v>
      </c>
      <c r="G39" s="41">
        <v>16.0</v>
      </c>
      <c r="H39" s="125">
        <v>0.6862745098039216</v>
      </c>
      <c r="I39" s="41">
        <v>7.0</v>
      </c>
      <c r="J39" s="41">
        <v>18187.0</v>
      </c>
      <c r="K39" s="41">
        <v>45.0</v>
      </c>
      <c r="L39" s="41">
        <v>32.0</v>
      </c>
      <c r="M39" s="41">
        <v>52.0</v>
      </c>
      <c r="N39" s="41">
        <v>149.0</v>
      </c>
      <c r="O39" s="122">
        <f t="shared" si="1"/>
        <v>0.3020134228</v>
      </c>
      <c r="P39" s="123">
        <f t="shared" si="5"/>
        <v>356.6078431</v>
      </c>
      <c r="Q39" s="123">
        <f t="shared" si="2"/>
        <v>0.8823529412</v>
      </c>
      <c r="R39" s="123">
        <f t="shared" si="6"/>
        <v>0.6274509804</v>
      </c>
      <c r="S39" s="123">
        <f t="shared" si="3"/>
        <v>1.019607843</v>
      </c>
      <c r="T39" s="123">
        <f t="shared" si="4"/>
        <v>2.921568627</v>
      </c>
      <c r="U39" s="41">
        <v>8.0</v>
      </c>
      <c r="V39" s="41">
        <v>2.0</v>
      </c>
      <c r="W39" s="41">
        <v>2.0</v>
      </c>
      <c r="X39" s="41">
        <v>7.0</v>
      </c>
      <c r="Y39" s="41">
        <v>23.0</v>
      </c>
      <c r="Z39" s="41">
        <v>59.0</v>
      </c>
    </row>
    <row r="40">
      <c r="A40" s="41" t="s">
        <v>897</v>
      </c>
      <c r="B40" s="41" t="s">
        <v>501</v>
      </c>
      <c r="C40" s="41" t="s">
        <v>978</v>
      </c>
      <c r="D40" s="41" t="s">
        <v>979</v>
      </c>
      <c r="E40" s="41">
        <v>56.0</v>
      </c>
      <c r="F40" s="41">
        <v>18.0</v>
      </c>
      <c r="G40" s="41">
        <v>38.0</v>
      </c>
      <c r="H40" s="125">
        <v>0.32142857142857145</v>
      </c>
      <c r="I40" s="41">
        <v>5.0</v>
      </c>
      <c r="J40" s="41">
        <v>19206.0</v>
      </c>
      <c r="K40" s="41">
        <v>45.0</v>
      </c>
      <c r="L40" s="41">
        <v>32.0</v>
      </c>
      <c r="M40" s="41">
        <v>66.0</v>
      </c>
      <c r="N40" s="41">
        <v>171.0</v>
      </c>
      <c r="O40" s="122">
        <f t="shared" si="1"/>
        <v>0.2631578947</v>
      </c>
      <c r="P40" s="123">
        <f t="shared" si="5"/>
        <v>342.9642857</v>
      </c>
      <c r="Q40" s="123">
        <f t="shared" si="2"/>
        <v>0.8035714286</v>
      </c>
      <c r="R40" s="123">
        <f t="shared" si="6"/>
        <v>0.5714285714</v>
      </c>
      <c r="S40" s="123">
        <f t="shared" si="3"/>
        <v>1.178571429</v>
      </c>
      <c r="T40" s="123">
        <f t="shared" si="4"/>
        <v>3.053571429</v>
      </c>
      <c r="U40" s="41">
        <v>12.0</v>
      </c>
      <c r="V40" s="41">
        <v>3.0</v>
      </c>
      <c r="W40" s="41">
        <v>1.0</v>
      </c>
      <c r="X40" s="41">
        <v>2.0</v>
      </c>
      <c r="Y40" s="41">
        <v>55.0</v>
      </c>
      <c r="Z40" s="41">
        <v>63.0</v>
      </c>
    </row>
    <row r="41">
      <c r="A41" s="41" t="s">
        <v>901</v>
      </c>
      <c r="B41" s="41" t="s">
        <v>279</v>
      </c>
      <c r="C41" s="41" t="s">
        <v>980</v>
      </c>
      <c r="D41" s="41" t="s">
        <v>981</v>
      </c>
      <c r="E41" s="41">
        <v>52.0</v>
      </c>
      <c r="F41" s="41">
        <v>34.0</v>
      </c>
      <c r="G41" s="41">
        <v>18.0</v>
      </c>
      <c r="H41" s="125">
        <v>0.6538461538461539</v>
      </c>
      <c r="I41" s="41">
        <v>3.0</v>
      </c>
      <c r="J41" s="41">
        <v>18571.0</v>
      </c>
      <c r="K41" s="41">
        <v>49.0</v>
      </c>
      <c r="L41" s="41">
        <v>36.0</v>
      </c>
      <c r="M41" s="41">
        <v>63.0</v>
      </c>
      <c r="N41" s="41">
        <v>145.0</v>
      </c>
      <c r="O41" s="122">
        <f t="shared" si="1"/>
        <v>0.3379310345</v>
      </c>
      <c r="P41" s="123">
        <f t="shared" si="5"/>
        <v>357.1346154</v>
      </c>
      <c r="Q41" s="123">
        <f t="shared" si="2"/>
        <v>0.9423076923</v>
      </c>
      <c r="R41" s="123">
        <f t="shared" si="6"/>
        <v>0.6923076923</v>
      </c>
      <c r="S41" s="123">
        <f t="shared" si="3"/>
        <v>1.211538462</v>
      </c>
      <c r="T41" s="123">
        <f t="shared" si="4"/>
        <v>2.788461538</v>
      </c>
      <c r="U41" s="41">
        <v>13.0</v>
      </c>
      <c r="V41" s="41">
        <v>2.0</v>
      </c>
      <c r="W41" s="41">
        <v>1.0</v>
      </c>
      <c r="X41" s="41">
        <v>6.0</v>
      </c>
      <c r="Y41" s="41">
        <v>66.0</v>
      </c>
      <c r="Z41" s="41">
        <v>48.0</v>
      </c>
    </row>
    <row r="42">
      <c r="A42" s="41" t="s">
        <v>901</v>
      </c>
      <c r="B42" s="41" t="s">
        <v>396</v>
      </c>
      <c r="C42" s="41" t="s">
        <v>982</v>
      </c>
      <c r="D42" s="41" t="s">
        <v>983</v>
      </c>
      <c r="E42" s="41">
        <v>5.0</v>
      </c>
      <c r="F42" s="41">
        <v>2.0</v>
      </c>
      <c r="G42" s="41">
        <v>3.0</v>
      </c>
      <c r="H42" s="125">
        <v>0.4</v>
      </c>
      <c r="I42" s="41">
        <v>0.0</v>
      </c>
      <c r="J42" s="41">
        <v>1671.0</v>
      </c>
      <c r="K42" s="41">
        <v>2.0</v>
      </c>
      <c r="L42" s="41">
        <v>3.0</v>
      </c>
      <c r="M42" s="41">
        <v>12.0</v>
      </c>
      <c r="N42" s="41">
        <v>8.0</v>
      </c>
      <c r="O42" s="122">
        <f t="shared" si="1"/>
        <v>0.25</v>
      </c>
      <c r="P42" s="123">
        <f t="shared" si="5"/>
        <v>334.2</v>
      </c>
      <c r="Q42" s="123">
        <f t="shared" si="2"/>
        <v>0.4</v>
      </c>
      <c r="R42" s="123">
        <f t="shared" si="6"/>
        <v>0.6</v>
      </c>
      <c r="S42" s="123">
        <f t="shared" si="3"/>
        <v>2.4</v>
      </c>
      <c r="T42" s="123">
        <f t="shared" si="4"/>
        <v>1.6</v>
      </c>
      <c r="U42" s="41">
        <v>0.0</v>
      </c>
      <c r="V42" s="41">
        <v>0.0</v>
      </c>
      <c r="W42" s="41">
        <v>0.0</v>
      </c>
      <c r="X42" s="41">
        <v>2.0</v>
      </c>
      <c r="Y42" s="41">
        <v>2.0</v>
      </c>
      <c r="Z42" s="41">
        <v>2.0</v>
      </c>
    </row>
    <row r="43">
      <c r="A43" s="41" t="s">
        <v>909</v>
      </c>
      <c r="B43" s="41" t="s">
        <v>87</v>
      </c>
      <c r="C43" s="41" t="s">
        <v>984</v>
      </c>
      <c r="D43" s="41" t="s">
        <v>985</v>
      </c>
      <c r="E43" s="41">
        <v>4.0</v>
      </c>
      <c r="F43" s="41">
        <v>2.0</v>
      </c>
      <c r="G43" s="41">
        <v>2.0</v>
      </c>
      <c r="H43" s="125">
        <v>0.5</v>
      </c>
      <c r="I43" s="41">
        <v>2.0</v>
      </c>
      <c r="J43" s="41">
        <v>1118.0</v>
      </c>
      <c r="K43" s="41">
        <v>2.0</v>
      </c>
      <c r="L43" s="41">
        <v>1.0</v>
      </c>
      <c r="M43" s="41">
        <v>6.0</v>
      </c>
      <c r="N43" s="41">
        <v>5.0</v>
      </c>
      <c r="O43" s="122">
        <f t="shared" si="1"/>
        <v>0.4</v>
      </c>
      <c r="P43" s="123">
        <f t="shared" si="5"/>
        <v>279.5</v>
      </c>
      <c r="Q43" s="123">
        <f t="shared" si="2"/>
        <v>0.5</v>
      </c>
      <c r="R43" s="123">
        <f t="shared" si="6"/>
        <v>0.25</v>
      </c>
      <c r="S43" s="123">
        <f t="shared" si="3"/>
        <v>1.5</v>
      </c>
      <c r="T43" s="123">
        <f t="shared" si="4"/>
        <v>1.25</v>
      </c>
      <c r="U43" s="41">
        <v>1.0</v>
      </c>
      <c r="V43" s="41">
        <v>0.0</v>
      </c>
      <c r="W43" s="41">
        <v>0.0</v>
      </c>
      <c r="X43" s="41">
        <v>1.0</v>
      </c>
      <c r="Y43" s="41">
        <v>1.0</v>
      </c>
      <c r="Z43" s="41">
        <v>0.0</v>
      </c>
    </row>
    <row r="44">
      <c r="A44" s="41" t="s">
        <v>897</v>
      </c>
      <c r="B44" s="41" t="s">
        <v>451</v>
      </c>
      <c r="C44" s="41" t="s">
        <v>986</v>
      </c>
      <c r="D44" s="41" t="s">
        <v>987</v>
      </c>
      <c r="E44" s="41">
        <v>2.0</v>
      </c>
      <c r="F44" s="41">
        <v>0.0</v>
      </c>
      <c r="G44" s="41">
        <v>2.0</v>
      </c>
      <c r="H44" s="125">
        <v>0.0</v>
      </c>
      <c r="I44" s="41">
        <v>0.0</v>
      </c>
      <c r="J44" s="41">
        <v>606.0</v>
      </c>
      <c r="K44" s="41">
        <v>1.0</v>
      </c>
      <c r="L44" s="41">
        <v>1.0</v>
      </c>
      <c r="M44" s="41">
        <v>3.0</v>
      </c>
      <c r="N44" s="41">
        <v>4.0</v>
      </c>
      <c r="O44" s="122">
        <f t="shared" si="1"/>
        <v>0.25</v>
      </c>
      <c r="P44" s="123">
        <f t="shared" si="5"/>
        <v>303</v>
      </c>
      <c r="Q44" s="123">
        <f t="shared" si="2"/>
        <v>0.5</v>
      </c>
      <c r="R44" s="123">
        <f t="shared" si="6"/>
        <v>0.5</v>
      </c>
      <c r="S44" s="123">
        <f t="shared" si="3"/>
        <v>1.5</v>
      </c>
      <c r="T44" s="123">
        <f t="shared" si="4"/>
        <v>2</v>
      </c>
      <c r="U44" s="41">
        <v>0.0</v>
      </c>
      <c r="V44" s="41">
        <v>0.0</v>
      </c>
      <c r="W44" s="41">
        <v>0.0</v>
      </c>
      <c r="X44" s="41">
        <v>1.0</v>
      </c>
      <c r="Y44" s="41">
        <v>1.0</v>
      </c>
      <c r="Z44" s="41">
        <v>5.0</v>
      </c>
    </row>
    <row r="45">
      <c r="A45" s="41" t="s">
        <v>899</v>
      </c>
      <c r="B45" s="41" t="s">
        <v>451</v>
      </c>
      <c r="C45" s="41" t="s">
        <v>986</v>
      </c>
      <c r="D45" s="41" t="s">
        <v>988</v>
      </c>
      <c r="E45" s="41">
        <v>48.0</v>
      </c>
      <c r="F45" s="41">
        <v>31.0</v>
      </c>
      <c r="G45" s="41">
        <v>17.0</v>
      </c>
      <c r="H45" s="125">
        <v>0.6458333333333334</v>
      </c>
      <c r="I45" s="41">
        <v>11.0</v>
      </c>
      <c r="J45" s="41">
        <v>14457.0</v>
      </c>
      <c r="K45" s="41">
        <v>24.0</v>
      </c>
      <c r="L45" s="41">
        <v>35.0</v>
      </c>
      <c r="M45" s="41">
        <v>56.0</v>
      </c>
      <c r="N45" s="41">
        <v>113.0</v>
      </c>
      <c r="O45" s="122">
        <f t="shared" si="1"/>
        <v>0.2123893805</v>
      </c>
      <c r="P45" s="123">
        <f t="shared" si="5"/>
        <v>301.1875</v>
      </c>
      <c r="Q45" s="123">
        <f t="shared" si="2"/>
        <v>0.5</v>
      </c>
      <c r="R45" s="123">
        <f t="shared" si="6"/>
        <v>0.7291666667</v>
      </c>
      <c r="S45" s="123">
        <f t="shared" si="3"/>
        <v>1.166666667</v>
      </c>
      <c r="T45" s="123">
        <f t="shared" si="4"/>
        <v>2.354166667</v>
      </c>
      <c r="U45" s="41">
        <v>8.0</v>
      </c>
      <c r="V45" s="41">
        <v>0.0</v>
      </c>
      <c r="W45" s="41">
        <v>4.0</v>
      </c>
      <c r="X45" s="41">
        <v>8.0</v>
      </c>
      <c r="Y45" s="41">
        <v>57.0</v>
      </c>
      <c r="Z45" s="41">
        <v>45.0</v>
      </c>
    </row>
    <row r="46">
      <c r="A46" s="41" t="s">
        <v>901</v>
      </c>
      <c r="B46" s="41" t="s">
        <v>315</v>
      </c>
      <c r="C46" s="41" t="s">
        <v>989</v>
      </c>
      <c r="D46" s="41" t="s">
        <v>990</v>
      </c>
      <c r="E46" s="41">
        <v>52.0</v>
      </c>
      <c r="F46" s="41">
        <v>32.0</v>
      </c>
      <c r="G46" s="41">
        <v>20.0</v>
      </c>
      <c r="H46" s="125">
        <v>0.6153846153846154</v>
      </c>
      <c r="I46" s="41">
        <v>5.0</v>
      </c>
      <c r="J46" s="41">
        <v>17909.0</v>
      </c>
      <c r="K46" s="41">
        <v>42.0</v>
      </c>
      <c r="L46" s="41">
        <v>39.0</v>
      </c>
      <c r="M46" s="41">
        <v>54.0</v>
      </c>
      <c r="N46" s="41">
        <v>146.0</v>
      </c>
      <c r="O46" s="122">
        <f t="shared" si="1"/>
        <v>0.2876712329</v>
      </c>
      <c r="P46" s="123">
        <f t="shared" si="5"/>
        <v>344.4038462</v>
      </c>
      <c r="Q46" s="123">
        <f t="shared" si="2"/>
        <v>0.8076923077</v>
      </c>
      <c r="R46" s="123">
        <f t="shared" si="6"/>
        <v>0.75</v>
      </c>
      <c r="S46" s="123">
        <f t="shared" si="3"/>
        <v>1.038461538</v>
      </c>
      <c r="T46" s="123">
        <f t="shared" si="4"/>
        <v>2.807692308</v>
      </c>
      <c r="U46" s="41">
        <v>15.0</v>
      </c>
      <c r="V46" s="41">
        <v>3.0</v>
      </c>
      <c r="W46" s="41">
        <v>0.0</v>
      </c>
      <c r="X46" s="41">
        <v>6.0</v>
      </c>
      <c r="Y46" s="41">
        <v>21.0</v>
      </c>
      <c r="Z46" s="41">
        <v>63.0</v>
      </c>
    </row>
    <row r="47">
      <c r="A47" s="41" t="s">
        <v>906</v>
      </c>
      <c r="B47" s="41" t="s">
        <v>534</v>
      </c>
      <c r="C47" s="41" t="s">
        <v>991</v>
      </c>
      <c r="D47" s="41" t="s">
        <v>992</v>
      </c>
      <c r="E47" s="41">
        <v>44.0</v>
      </c>
      <c r="F47" s="41">
        <v>32.0</v>
      </c>
      <c r="G47" s="41">
        <v>12.0</v>
      </c>
      <c r="H47" s="125">
        <v>0.7272727272727273</v>
      </c>
      <c r="I47" s="41">
        <v>11.0</v>
      </c>
      <c r="J47" s="41">
        <v>14308.0</v>
      </c>
      <c r="K47" s="41">
        <v>40.0</v>
      </c>
      <c r="L47" s="41">
        <v>23.0</v>
      </c>
      <c r="M47" s="41">
        <v>36.0</v>
      </c>
      <c r="N47" s="41">
        <v>128.0</v>
      </c>
      <c r="O47" s="122">
        <f t="shared" si="1"/>
        <v>0.3125</v>
      </c>
      <c r="P47" s="123">
        <f t="shared" si="5"/>
        <v>325.1818182</v>
      </c>
      <c r="Q47" s="123">
        <f t="shared" si="2"/>
        <v>0.9090909091</v>
      </c>
      <c r="R47" s="123">
        <f t="shared" si="6"/>
        <v>0.5227272727</v>
      </c>
      <c r="S47" s="123">
        <f t="shared" si="3"/>
        <v>0.8181818182</v>
      </c>
      <c r="T47" s="123">
        <f t="shared" si="4"/>
        <v>2.909090909</v>
      </c>
      <c r="U47" s="41">
        <v>4.0</v>
      </c>
      <c r="V47" s="41">
        <v>6.0</v>
      </c>
      <c r="W47" s="41">
        <v>1.0</v>
      </c>
      <c r="X47" s="41">
        <v>3.0</v>
      </c>
      <c r="Y47" s="41">
        <v>47.0</v>
      </c>
      <c r="Z47" s="41">
        <v>58.0</v>
      </c>
    </row>
    <row r="48">
      <c r="A48" s="41" t="s">
        <v>901</v>
      </c>
      <c r="B48" s="41" t="s">
        <v>393</v>
      </c>
      <c r="C48" s="41" t="s">
        <v>993</v>
      </c>
      <c r="D48" s="41" t="s">
        <v>994</v>
      </c>
      <c r="E48" s="41">
        <v>11.0</v>
      </c>
      <c r="F48" s="41">
        <v>3.0</v>
      </c>
      <c r="G48" s="41">
        <v>8.0</v>
      </c>
      <c r="H48" s="125">
        <v>0.2727272727272727</v>
      </c>
      <c r="I48" s="41">
        <v>3.0</v>
      </c>
      <c r="J48" s="41">
        <v>3622.0</v>
      </c>
      <c r="K48" s="41">
        <v>8.0</v>
      </c>
      <c r="L48" s="41">
        <v>2.0</v>
      </c>
      <c r="M48" s="41">
        <v>17.0</v>
      </c>
      <c r="N48" s="41">
        <v>24.0</v>
      </c>
      <c r="O48" s="122">
        <f t="shared" si="1"/>
        <v>0.3333333333</v>
      </c>
      <c r="P48" s="123">
        <f t="shared" si="5"/>
        <v>329.2727273</v>
      </c>
      <c r="Q48" s="123">
        <f t="shared" si="2"/>
        <v>0.7272727273</v>
      </c>
      <c r="R48" s="123">
        <f t="shared" si="6"/>
        <v>0.1818181818</v>
      </c>
      <c r="S48" s="123">
        <f t="shared" si="3"/>
        <v>1.545454545</v>
      </c>
      <c r="T48" s="123">
        <f t="shared" si="4"/>
        <v>2.181818182</v>
      </c>
      <c r="U48" s="41">
        <v>0.0</v>
      </c>
      <c r="V48" s="41">
        <v>1.0</v>
      </c>
      <c r="W48" s="41">
        <v>0.0</v>
      </c>
      <c r="X48" s="41">
        <v>2.0</v>
      </c>
      <c r="Y48" s="41">
        <v>13.0</v>
      </c>
      <c r="Z48" s="41">
        <v>11.0</v>
      </c>
    </row>
    <row r="49">
      <c r="A49" s="41" t="s">
        <v>899</v>
      </c>
      <c r="B49" s="41" t="s">
        <v>448</v>
      </c>
      <c r="C49" s="41" t="s">
        <v>995</v>
      </c>
      <c r="D49" s="41" t="s">
        <v>996</v>
      </c>
      <c r="E49" s="41">
        <v>12.0</v>
      </c>
      <c r="F49" s="41">
        <v>5.0</v>
      </c>
      <c r="G49" s="41">
        <v>7.0</v>
      </c>
      <c r="H49" s="125">
        <v>0.4166666666666667</v>
      </c>
      <c r="I49" s="41">
        <v>2.0</v>
      </c>
      <c r="J49" s="41">
        <v>4325.0</v>
      </c>
      <c r="K49" s="41">
        <v>10.0</v>
      </c>
      <c r="L49" s="41">
        <v>5.0</v>
      </c>
      <c r="M49" s="41">
        <v>9.0</v>
      </c>
      <c r="N49" s="41">
        <v>44.0</v>
      </c>
      <c r="O49" s="122">
        <f t="shared" si="1"/>
        <v>0.2272727273</v>
      </c>
      <c r="P49" s="123">
        <f t="shared" si="5"/>
        <v>360.4166667</v>
      </c>
      <c r="Q49" s="123">
        <f t="shared" si="2"/>
        <v>0.8333333333</v>
      </c>
      <c r="R49" s="123">
        <f t="shared" si="6"/>
        <v>0.4166666667</v>
      </c>
      <c r="S49" s="123">
        <f t="shared" si="3"/>
        <v>0.75</v>
      </c>
      <c r="T49" s="123">
        <f t="shared" si="4"/>
        <v>3.666666667</v>
      </c>
      <c r="U49" s="41">
        <v>2.0</v>
      </c>
      <c r="V49" s="41">
        <v>1.0</v>
      </c>
      <c r="W49" s="41">
        <v>0.0</v>
      </c>
      <c r="X49" s="41">
        <v>0.0</v>
      </c>
      <c r="Y49" s="41">
        <v>14.0</v>
      </c>
      <c r="Z49" s="41">
        <v>8.0</v>
      </c>
    </row>
    <row r="50">
      <c r="A50" s="41" t="s">
        <v>902</v>
      </c>
      <c r="B50" s="41" t="s">
        <v>805</v>
      </c>
      <c r="C50" s="41" t="s">
        <v>997</v>
      </c>
      <c r="D50" s="41" t="s">
        <v>998</v>
      </c>
      <c r="E50" s="41">
        <v>41.0</v>
      </c>
      <c r="F50" s="41">
        <v>18.0</v>
      </c>
      <c r="G50" s="41">
        <v>23.0</v>
      </c>
      <c r="H50" s="125">
        <v>0.43902439024390244</v>
      </c>
      <c r="I50" s="41">
        <v>5.0</v>
      </c>
      <c r="J50" s="41">
        <v>14915.0</v>
      </c>
      <c r="K50" s="41">
        <v>25.0</v>
      </c>
      <c r="L50" s="41">
        <v>23.0</v>
      </c>
      <c r="M50" s="41">
        <v>74.0</v>
      </c>
      <c r="N50" s="41">
        <v>84.0</v>
      </c>
      <c r="O50" s="122">
        <f t="shared" si="1"/>
        <v>0.2976190476</v>
      </c>
      <c r="P50" s="123">
        <f t="shared" si="5"/>
        <v>363.7804878</v>
      </c>
      <c r="Q50" s="123">
        <f t="shared" si="2"/>
        <v>0.6097560976</v>
      </c>
      <c r="R50" s="123">
        <f t="shared" si="6"/>
        <v>0.5609756098</v>
      </c>
      <c r="S50" s="123">
        <f t="shared" si="3"/>
        <v>1.804878049</v>
      </c>
      <c r="T50" s="123">
        <f t="shared" si="4"/>
        <v>2.048780488</v>
      </c>
      <c r="U50" s="41">
        <v>6.0</v>
      </c>
      <c r="V50" s="41">
        <v>0.0</v>
      </c>
      <c r="W50" s="41">
        <v>0.0</v>
      </c>
      <c r="X50" s="41">
        <v>14.0</v>
      </c>
      <c r="Y50" s="41">
        <v>24.0</v>
      </c>
      <c r="Z50" s="41">
        <v>52.0</v>
      </c>
    </row>
    <row r="51">
      <c r="A51" s="41" t="s">
        <v>902</v>
      </c>
      <c r="B51" s="41" t="s">
        <v>803</v>
      </c>
      <c r="C51" s="41" t="s">
        <v>999</v>
      </c>
      <c r="D51" s="41" t="s">
        <v>1000</v>
      </c>
      <c r="E51" s="41">
        <v>22.0</v>
      </c>
      <c r="F51" s="41">
        <v>9.0</v>
      </c>
      <c r="G51" s="41">
        <v>13.0</v>
      </c>
      <c r="H51" s="125">
        <v>0.4090909090909091</v>
      </c>
      <c r="I51" s="41">
        <v>3.0</v>
      </c>
      <c r="J51" s="41">
        <v>7856.0</v>
      </c>
      <c r="K51" s="41">
        <v>17.0</v>
      </c>
      <c r="L51" s="41">
        <v>12.0</v>
      </c>
      <c r="M51" s="41">
        <v>31.0</v>
      </c>
      <c r="N51" s="41">
        <v>53.0</v>
      </c>
      <c r="O51" s="122">
        <f t="shared" si="1"/>
        <v>0.320754717</v>
      </c>
      <c r="P51" s="123">
        <f t="shared" si="5"/>
        <v>357.0909091</v>
      </c>
      <c r="Q51" s="123">
        <f t="shared" si="2"/>
        <v>0.7727272727</v>
      </c>
      <c r="R51" s="123">
        <f t="shared" si="6"/>
        <v>0.5454545455</v>
      </c>
      <c r="S51" s="123">
        <f t="shared" si="3"/>
        <v>1.409090909</v>
      </c>
      <c r="T51" s="123">
        <f t="shared" si="4"/>
        <v>2.409090909</v>
      </c>
      <c r="U51" s="41">
        <v>3.0</v>
      </c>
      <c r="V51" s="41">
        <v>1.0</v>
      </c>
      <c r="W51" s="41">
        <v>0.0</v>
      </c>
      <c r="X51" s="41">
        <v>4.0</v>
      </c>
      <c r="Y51" s="41">
        <v>28.0</v>
      </c>
      <c r="Z51" s="41">
        <v>28.0</v>
      </c>
    </row>
    <row r="52">
      <c r="A52" s="41" t="s">
        <v>899</v>
      </c>
      <c r="B52" s="41" t="s">
        <v>439</v>
      </c>
      <c r="C52" s="41" t="s">
        <v>1001</v>
      </c>
      <c r="D52" s="41" t="s">
        <v>1002</v>
      </c>
      <c r="E52" s="41">
        <v>11.0</v>
      </c>
      <c r="F52" s="41">
        <v>5.0</v>
      </c>
      <c r="G52" s="41">
        <v>6.0</v>
      </c>
      <c r="H52" s="125">
        <v>0.45454545454545453</v>
      </c>
      <c r="I52" s="41">
        <v>3.0</v>
      </c>
      <c r="J52" s="41">
        <v>4348.0</v>
      </c>
      <c r="K52" s="41">
        <v>10.0</v>
      </c>
      <c r="L52" s="41">
        <v>6.0</v>
      </c>
      <c r="M52" s="41">
        <v>15.0</v>
      </c>
      <c r="N52" s="41">
        <v>36.0</v>
      </c>
      <c r="O52" s="122">
        <f t="shared" si="1"/>
        <v>0.2777777778</v>
      </c>
      <c r="P52" s="123">
        <f t="shared" si="5"/>
        <v>395.2727273</v>
      </c>
      <c r="Q52" s="123">
        <f t="shared" si="2"/>
        <v>0.9090909091</v>
      </c>
      <c r="R52" s="123">
        <f t="shared" si="6"/>
        <v>0.5454545455</v>
      </c>
      <c r="S52" s="123">
        <f t="shared" si="3"/>
        <v>1.363636364</v>
      </c>
      <c r="T52" s="123">
        <f t="shared" si="4"/>
        <v>3.272727273</v>
      </c>
      <c r="U52" s="41">
        <v>3.0</v>
      </c>
      <c r="V52" s="41">
        <v>1.0</v>
      </c>
      <c r="W52" s="41">
        <v>0.0</v>
      </c>
      <c r="X52" s="41">
        <v>1.0</v>
      </c>
      <c r="Y52" s="41">
        <v>10.0</v>
      </c>
      <c r="Z52" s="41">
        <v>19.0</v>
      </c>
    </row>
    <row r="53">
      <c r="A53" s="41" t="s">
        <v>901</v>
      </c>
      <c r="B53" s="41" t="s">
        <v>361</v>
      </c>
      <c r="C53" s="41" t="s">
        <v>1003</v>
      </c>
      <c r="D53" s="41" t="s">
        <v>1004</v>
      </c>
      <c r="E53" s="41">
        <v>31.0</v>
      </c>
      <c r="F53" s="41">
        <v>11.0</v>
      </c>
      <c r="G53" s="41">
        <v>20.0</v>
      </c>
      <c r="H53" s="125">
        <v>0.3548387096774194</v>
      </c>
      <c r="I53" s="41">
        <v>3.0</v>
      </c>
      <c r="J53" s="41">
        <v>11546.0</v>
      </c>
      <c r="K53" s="41">
        <v>25.0</v>
      </c>
      <c r="L53" s="41">
        <v>14.0</v>
      </c>
      <c r="M53" s="41">
        <v>40.0</v>
      </c>
      <c r="N53" s="41">
        <v>83.0</v>
      </c>
      <c r="O53" s="122">
        <f t="shared" si="1"/>
        <v>0.3012048193</v>
      </c>
      <c r="P53" s="123">
        <f t="shared" si="5"/>
        <v>372.4516129</v>
      </c>
      <c r="Q53" s="123">
        <f t="shared" si="2"/>
        <v>0.8064516129</v>
      </c>
      <c r="R53" s="123">
        <f t="shared" si="6"/>
        <v>0.4516129032</v>
      </c>
      <c r="S53" s="123">
        <f t="shared" si="3"/>
        <v>1.290322581</v>
      </c>
      <c r="T53" s="123">
        <f t="shared" si="4"/>
        <v>2.677419355</v>
      </c>
      <c r="U53" s="41">
        <v>4.0</v>
      </c>
      <c r="V53" s="41">
        <v>3.0</v>
      </c>
      <c r="W53" s="41">
        <v>0.0</v>
      </c>
      <c r="X53" s="41">
        <v>3.0</v>
      </c>
      <c r="Y53" s="41">
        <v>36.0</v>
      </c>
      <c r="Z53" s="41">
        <v>30.0</v>
      </c>
    </row>
    <row r="54">
      <c r="A54" s="41" t="s">
        <v>902</v>
      </c>
      <c r="B54" s="41" t="s">
        <v>797</v>
      </c>
      <c r="C54" s="41" t="s">
        <v>1005</v>
      </c>
      <c r="D54" s="41" t="s">
        <v>1006</v>
      </c>
      <c r="E54" s="41">
        <v>32.0</v>
      </c>
      <c r="F54" s="41">
        <v>15.0</v>
      </c>
      <c r="G54" s="41">
        <v>17.0</v>
      </c>
      <c r="H54" s="125">
        <v>0.46875</v>
      </c>
      <c r="I54" s="41">
        <v>8.0</v>
      </c>
      <c r="J54" s="41">
        <v>11510.0</v>
      </c>
      <c r="K54" s="41">
        <v>22.0</v>
      </c>
      <c r="L54" s="41">
        <v>21.0</v>
      </c>
      <c r="M54" s="41">
        <v>47.0</v>
      </c>
      <c r="N54" s="41">
        <v>88.0</v>
      </c>
      <c r="O54" s="122">
        <f t="shared" si="1"/>
        <v>0.25</v>
      </c>
      <c r="P54" s="123">
        <f t="shared" si="5"/>
        <v>359.6875</v>
      </c>
      <c r="Q54" s="123">
        <f t="shared" si="2"/>
        <v>0.6875</v>
      </c>
      <c r="R54" s="123">
        <f t="shared" si="6"/>
        <v>0.65625</v>
      </c>
      <c r="S54" s="123">
        <f t="shared" si="3"/>
        <v>1.46875</v>
      </c>
      <c r="T54" s="123">
        <f t="shared" si="4"/>
        <v>2.75</v>
      </c>
      <c r="U54" s="41">
        <v>4.0</v>
      </c>
      <c r="V54" s="41">
        <v>2.0</v>
      </c>
      <c r="W54" s="41">
        <v>1.0</v>
      </c>
      <c r="X54" s="41">
        <v>5.0</v>
      </c>
      <c r="Y54" s="41">
        <v>24.0</v>
      </c>
      <c r="Z54" s="41">
        <v>43.0</v>
      </c>
    </row>
    <row r="55">
      <c r="A55" s="41" t="s">
        <v>901</v>
      </c>
      <c r="B55" s="41" t="s">
        <v>360</v>
      </c>
      <c r="C55" s="41" t="s">
        <v>1007</v>
      </c>
      <c r="D55" s="41" t="s">
        <v>1008</v>
      </c>
      <c r="E55" s="41">
        <v>52.0</v>
      </c>
      <c r="F55" s="41">
        <v>29.0</v>
      </c>
      <c r="G55" s="41">
        <v>23.0</v>
      </c>
      <c r="H55" s="125">
        <v>0.5576923076923077</v>
      </c>
      <c r="I55" s="41">
        <v>7.0</v>
      </c>
      <c r="J55" s="41">
        <v>18358.0</v>
      </c>
      <c r="K55" s="41">
        <v>31.0</v>
      </c>
      <c r="L55" s="41">
        <v>32.0</v>
      </c>
      <c r="M55" s="41">
        <v>88.0</v>
      </c>
      <c r="N55" s="41">
        <v>110.0</v>
      </c>
      <c r="O55" s="122">
        <f t="shared" si="1"/>
        <v>0.2818181818</v>
      </c>
      <c r="P55" s="123">
        <f t="shared" si="5"/>
        <v>353.0384615</v>
      </c>
      <c r="Q55" s="123">
        <f t="shared" si="2"/>
        <v>0.5961538462</v>
      </c>
      <c r="R55" s="123">
        <f t="shared" si="6"/>
        <v>0.6153846154</v>
      </c>
      <c r="S55" s="123">
        <f t="shared" si="3"/>
        <v>1.692307692</v>
      </c>
      <c r="T55" s="123">
        <f t="shared" si="4"/>
        <v>2.115384615</v>
      </c>
      <c r="U55" s="41">
        <v>11.0</v>
      </c>
      <c r="V55" s="41">
        <v>1.0</v>
      </c>
      <c r="W55" s="41">
        <v>0.0</v>
      </c>
      <c r="X55" s="41">
        <v>17.0</v>
      </c>
      <c r="Y55" s="41">
        <v>48.0</v>
      </c>
      <c r="Z55" s="41">
        <v>49.0</v>
      </c>
    </row>
    <row r="56">
      <c r="A56" s="41" t="s">
        <v>904</v>
      </c>
      <c r="B56" s="41" t="s">
        <v>671</v>
      </c>
      <c r="C56" s="41" t="s">
        <v>1009</v>
      </c>
      <c r="D56" s="41" t="s">
        <v>1010</v>
      </c>
      <c r="E56" s="41">
        <v>21.0</v>
      </c>
      <c r="F56" s="41">
        <v>10.0</v>
      </c>
      <c r="G56" s="41">
        <v>11.0</v>
      </c>
      <c r="H56" s="125">
        <v>0.47619047619047616</v>
      </c>
      <c r="I56" s="41">
        <v>2.0</v>
      </c>
      <c r="J56" s="41">
        <v>7343.0</v>
      </c>
      <c r="K56" s="41">
        <v>14.0</v>
      </c>
      <c r="L56" s="41">
        <v>11.0</v>
      </c>
      <c r="M56" s="41">
        <v>30.0</v>
      </c>
      <c r="N56" s="41">
        <v>55.0</v>
      </c>
      <c r="O56" s="122">
        <f t="shared" si="1"/>
        <v>0.2545454545</v>
      </c>
      <c r="P56" s="123">
        <f t="shared" si="5"/>
        <v>349.6666667</v>
      </c>
      <c r="Q56" s="123">
        <f t="shared" si="2"/>
        <v>0.6666666667</v>
      </c>
      <c r="R56" s="123">
        <f t="shared" si="6"/>
        <v>0.5238095238</v>
      </c>
      <c r="S56" s="123">
        <f t="shared" si="3"/>
        <v>1.428571429</v>
      </c>
      <c r="T56" s="123">
        <f t="shared" si="4"/>
        <v>2.619047619</v>
      </c>
      <c r="U56" s="41">
        <v>3.0</v>
      </c>
      <c r="V56" s="41">
        <v>0.0</v>
      </c>
      <c r="W56" s="41">
        <v>0.0</v>
      </c>
      <c r="X56" s="41">
        <v>3.0</v>
      </c>
      <c r="Y56" s="41">
        <v>17.0</v>
      </c>
      <c r="Z56" s="41">
        <v>20.0</v>
      </c>
    </row>
    <row r="57">
      <c r="A57" s="41" t="s">
        <v>899</v>
      </c>
      <c r="B57" s="41" t="s">
        <v>433</v>
      </c>
      <c r="C57" s="41" t="s">
        <v>1011</v>
      </c>
      <c r="D57" s="41" t="s">
        <v>1012</v>
      </c>
      <c r="E57" s="41">
        <v>42.0</v>
      </c>
      <c r="F57" s="41">
        <v>21.0</v>
      </c>
      <c r="G57" s="41">
        <v>21.0</v>
      </c>
      <c r="H57" s="125">
        <v>0.5</v>
      </c>
      <c r="I57" s="41">
        <v>9.0</v>
      </c>
      <c r="J57" s="41">
        <v>14675.0</v>
      </c>
      <c r="K57" s="41">
        <v>32.0</v>
      </c>
      <c r="L57" s="41">
        <v>28.0</v>
      </c>
      <c r="M57" s="41">
        <v>48.0</v>
      </c>
      <c r="N57" s="41">
        <v>112.0</v>
      </c>
      <c r="O57" s="122">
        <f t="shared" si="1"/>
        <v>0.2857142857</v>
      </c>
      <c r="P57" s="123">
        <f t="shared" si="5"/>
        <v>349.4047619</v>
      </c>
      <c r="Q57" s="123">
        <f t="shared" si="2"/>
        <v>0.7619047619</v>
      </c>
      <c r="R57" s="123">
        <f t="shared" si="6"/>
        <v>0.6666666667</v>
      </c>
      <c r="S57" s="123">
        <f t="shared" si="3"/>
        <v>1.142857143</v>
      </c>
      <c r="T57" s="123">
        <f t="shared" si="4"/>
        <v>2.666666667</v>
      </c>
      <c r="U57" s="41">
        <v>13.0</v>
      </c>
      <c r="V57" s="41">
        <v>0.0</v>
      </c>
      <c r="W57" s="41">
        <v>1.0</v>
      </c>
      <c r="X57" s="41">
        <v>3.0</v>
      </c>
      <c r="Y57" s="41">
        <v>43.0</v>
      </c>
      <c r="Z57" s="41">
        <v>59.0</v>
      </c>
    </row>
    <row r="58">
      <c r="A58" s="41" t="s">
        <v>905</v>
      </c>
      <c r="B58" s="41" t="s">
        <v>204</v>
      </c>
      <c r="C58" s="41" t="s">
        <v>1013</v>
      </c>
      <c r="D58" s="41" t="s">
        <v>1014</v>
      </c>
      <c r="E58" s="41">
        <v>38.0</v>
      </c>
      <c r="F58" s="41">
        <v>20.0</v>
      </c>
      <c r="G58" s="41">
        <v>18.0</v>
      </c>
      <c r="H58" s="125">
        <v>0.5263157894736842</v>
      </c>
      <c r="I58" s="41">
        <v>4.0</v>
      </c>
      <c r="J58" s="41">
        <v>11946.0</v>
      </c>
      <c r="K58" s="41">
        <v>29.0</v>
      </c>
      <c r="L58" s="41">
        <v>16.0</v>
      </c>
      <c r="M58" s="41">
        <v>47.0</v>
      </c>
      <c r="N58" s="41">
        <v>85.0</v>
      </c>
      <c r="O58" s="122">
        <f t="shared" si="1"/>
        <v>0.3411764706</v>
      </c>
      <c r="P58" s="123">
        <f t="shared" si="5"/>
        <v>314.3684211</v>
      </c>
      <c r="Q58" s="123">
        <f t="shared" si="2"/>
        <v>0.7631578947</v>
      </c>
      <c r="R58" s="123">
        <f t="shared" si="6"/>
        <v>0.4210526316</v>
      </c>
      <c r="S58" s="123">
        <f t="shared" si="3"/>
        <v>1.236842105</v>
      </c>
      <c r="T58" s="123">
        <f t="shared" si="4"/>
        <v>2.236842105</v>
      </c>
      <c r="U58" s="41">
        <v>1.0</v>
      </c>
      <c r="V58" s="41">
        <v>2.0</v>
      </c>
      <c r="W58" s="41">
        <v>1.0</v>
      </c>
      <c r="X58" s="41">
        <v>4.0</v>
      </c>
      <c r="Y58" s="41">
        <v>23.0</v>
      </c>
      <c r="Z58" s="41">
        <v>39.0</v>
      </c>
    </row>
    <row r="59">
      <c r="A59" s="41" t="s">
        <v>904</v>
      </c>
      <c r="B59" s="41" t="s">
        <v>683</v>
      </c>
      <c r="C59" s="41" t="s">
        <v>1015</v>
      </c>
      <c r="D59" s="41" t="s">
        <v>973</v>
      </c>
      <c r="E59" s="41">
        <v>12.0</v>
      </c>
      <c r="F59" s="41">
        <v>5.0</v>
      </c>
      <c r="G59" s="41">
        <v>7.0</v>
      </c>
      <c r="H59" s="125">
        <v>0.4166666666666667</v>
      </c>
      <c r="I59" s="41">
        <v>2.0</v>
      </c>
      <c r="J59" s="41">
        <v>3445.0</v>
      </c>
      <c r="K59" s="41">
        <v>9.0</v>
      </c>
      <c r="L59" s="41">
        <v>7.0</v>
      </c>
      <c r="M59" s="41">
        <v>7.0</v>
      </c>
      <c r="N59" s="41">
        <v>24.0</v>
      </c>
      <c r="O59" s="122">
        <f t="shared" si="1"/>
        <v>0.375</v>
      </c>
      <c r="P59" s="123">
        <f t="shared" si="5"/>
        <v>287.0833333</v>
      </c>
      <c r="Q59" s="123">
        <f t="shared" si="2"/>
        <v>0.75</v>
      </c>
      <c r="R59" s="123">
        <f t="shared" si="6"/>
        <v>0.5833333333</v>
      </c>
      <c r="S59" s="123">
        <f t="shared" si="3"/>
        <v>0.5833333333</v>
      </c>
      <c r="T59" s="123">
        <f t="shared" si="4"/>
        <v>2</v>
      </c>
      <c r="U59" s="41">
        <v>1.0</v>
      </c>
      <c r="V59" s="41">
        <v>0.0</v>
      </c>
      <c r="W59" s="41">
        <v>0.0</v>
      </c>
      <c r="X59" s="41">
        <v>0.0</v>
      </c>
      <c r="Y59" s="41">
        <v>28.0</v>
      </c>
      <c r="Z59" s="41">
        <v>15.0</v>
      </c>
    </row>
    <row r="60">
      <c r="A60" s="41" t="s">
        <v>904</v>
      </c>
      <c r="B60" s="41" t="s">
        <v>696</v>
      </c>
      <c r="C60" s="41" t="s">
        <v>1016</v>
      </c>
      <c r="D60" s="41" t="s">
        <v>1017</v>
      </c>
      <c r="E60" s="41">
        <v>54.0</v>
      </c>
      <c r="F60" s="41">
        <v>15.0</v>
      </c>
      <c r="G60" s="41">
        <v>39.0</v>
      </c>
      <c r="H60" s="125">
        <v>0.2777777777777778</v>
      </c>
      <c r="I60" s="41">
        <v>5.0</v>
      </c>
      <c r="J60" s="41">
        <v>17481.0</v>
      </c>
      <c r="K60" s="41">
        <v>35.0</v>
      </c>
      <c r="L60" s="41">
        <v>16.0</v>
      </c>
      <c r="M60" s="41">
        <v>73.0</v>
      </c>
      <c r="N60" s="41">
        <v>127.0</v>
      </c>
      <c r="O60" s="122">
        <f t="shared" si="1"/>
        <v>0.2755905512</v>
      </c>
      <c r="P60" s="123">
        <f t="shared" si="5"/>
        <v>323.7222222</v>
      </c>
      <c r="Q60" s="123">
        <f t="shared" si="2"/>
        <v>0.6481481481</v>
      </c>
      <c r="R60" s="123">
        <f t="shared" si="6"/>
        <v>0.2962962963</v>
      </c>
      <c r="S60" s="123">
        <f t="shared" si="3"/>
        <v>1.351851852</v>
      </c>
      <c r="T60" s="123">
        <f t="shared" si="4"/>
        <v>2.351851852</v>
      </c>
      <c r="U60" s="41">
        <v>5.0</v>
      </c>
      <c r="V60" s="41">
        <v>1.0</v>
      </c>
      <c r="W60" s="41">
        <v>0.0</v>
      </c>
      <c r="X60" s="41">
        <v>9.0</v>
      </c>
      <c r="Y60" s="41">
        <v>49.0</v>
      </c>
      <c r="Z60" s="41">
        <v>69.0</v>
      </c>
    </row>
    <row r="61">
      <c r="A61" s="41" t="s">
        <v>902</v>
      </c>
      <c r="B61" s="41" t="s">
        <v>868</v>
      </c>
      <c r="C61" s="41" t="s">
        <v>1018</v>
      </c>
      <c r="D61" s="41" t="s">
        <v>1019</v>
      </c>
      <c r="E61" s="41">
        <v>2.0</v>
      </c>
      <c r="F61" s="41">
        <v>0.0</v>
      </c>
      <c r="G61" s="41">
        <v>2.0</v>
      </c>
      <c r="H61" s="125">
        <v>0.0</v>
      </c>
      <c r="I61" s="41">
        <v>0.0</v>
      </c>
      <c r="J61" s="41">
        <v>478.0</v>
      </c>
      <c r="K61" s="41">
        <v>1.0</v>
      </c>
      <c r="L61" s="41">
        <v>0.0</v>
      </c>
      <c r="M61" s="41">
        <v>1.0</v>
      </c>
      <c r="N61" s="41">
        <v>6.0</v>
      </c>
      <c r="O61" s="122">
        <f t="shared" si="1"/>
        <v>0.1666666667</v>
      </c>
      <c r="P61" s="123">
        <f t="shared" si="5"/>
        <v>239</v>
      </c>
      <c r="Q61" s="123">
        <f t="shared" si="2"/>
        <v>0.5</v>
      </c>
      <c r="R61" s="123">
        <f t="shared" si="6"/>
        <v>0</v>
      </c>
      <c r="S61" s="123">
        <f t="shared" si="3"/>
        <v>0.5</v>
      </c>
      <c r="T61" s="123">
        <f t="shared" si="4"/>
        <v>3</v>
      </c>
      <c r="U61" s="41">
        <v>0.0</v>
      </c>
      <c r="V61" s="41">
        <v>0.0</v>
      </c>
      <c r="W61" s="41">
        <v>0.0</v>
      </c>
      <c r="X61" s="41">
        <v>0.0</v>
      </c>
      <c r="Y61" s="41">
        <v>1.0</v>
      </c>
      <c r="Z61" s="41">
        <v>1.0</v>
      </c>
    </row>
    <row r="62">
      <c r="A62" s="41" t="s">
        <v>902</v>
      </c>
      <c r="B62" s="41" t="s">
        <v>826</v>
      </c>
      <c r="C62" s="41" t="s">
        <v>1020</v>
      </c>
      <c r="D62" s="41" t="s">
        <v>1021</v>
      </c>
      <c r="E62" s="41">
        <v>49.0</v>
      </c>
      <c r="F62" s="41">
        <v>21.0</v>
      </c>
      <c r="G62" s="41">
        <v>28.0</v>
      </c>
      <c r="H62" s="125">
        <v>0.42857142857142855</v>
      </c>
      <c r="I62" s="41">
        <v>7.0</v>
      </c>
      <c r="J62" s="41">
        <v>16554.0</v>
      </c>
      <c r="K62" s="41">
        <v>38.0</v>
      </c>
      <c r="L62" s="41">
        <v>27.0</v>
      </c>
      <c r="M62" s="41">
        <v>72.0</v>
      </c>
      <c r="N62" s="41">
        <v>105.0</v>
      </c>
      <c r="O62" s="122">
        <f t="shared" si="1"/>
        <v>0.3619047619</v>
      </c>
      <c r="P62" s="123">
        <f t="shared" si="5"/>
        <v>337.8367347</v>
      </c>
      <c r="Q62" s="123">
        <f t="shared" si="2"/>
        <v>0.7755102041</v>
      </c>
      <c r="R62" s="123">
        <f t="shared" si="6"/>
        <v>0.5510204082</v>
      </c>
      <c r="S62" s="123">
        <f t="shared" si="3"/>
        <v>1.469387755</v>
      </c>
      <c r="T62" s="123">
        <f t="shared" si="4"/>
        <v>2.142857143</v>
      </c>
      <c r="U62" s="41">
        <v>10.0</v>
      </c>
      <c r="V62" s="41">
        <v>2.0</v>
      </c>
      <c r="W62" s="41">
        <v>1.0</v>
      </c>
      <c r="X62" s="41">
        <v>10.0</v>
      </c>
      <c r="Y62" s="41">
        <v>74.0</v>
      </c>
      <c r="Z62" s="41">
        <v>51.0</v>
      </c>
    </row>
    <row r="63">
      <c r="A63" s="41" t="s">
        <v>905</v>
      </c>
      <c r="B63" s="41" t="s">
        <v>136</v>
      </c>
      <c r="C63" s="41" t="s">
        <v>1022</v>
      </c>
      <c r="D63" s="41" t="s">
        <v>1023</v>
      </c>
      <c r="E63" s="41">
        <v>53.0</v>
      </c>
      <c r="F63" s="41">
        <v>34.0</v>
      </c>
      <c r="G63" s="41">
        <v>19.0</v>
      </c>
      <c r="H63" s="125">
        <v>0.6415094339622641</v>
      </c>
      <c r="I63" s="41">
        <v>19.0</v>
      </c>
      <c r="J63" s="41">
        <v>18527.0</v>
      </c>
      <c r="K63" s="41">
        <v>45.0</v>
      </c>
      <c r="L63" s="41">
        <v>26.0</v>
      </c>
      <c r="M63" s="41">
        <v>60.0</v>
      </c>
      <c r="N63" s="41">
        <v>144.0</v>
      </c>
      <c r="O63" s="122">
        <f t="shared" si="1"/>
        <v>0.3125</v>
      </c>
      <c r="P63" s="123">
        <f t="shared" si="5"/>
        <v>349.5660377</v>
      </c>
      <c r="Q63" s="123">
        <f t="shared" si="2"/>
        <v>0.8490566038</v>
      </c>
      <c r="R63" s="123">
        <f t="shared" si="6"/>
        <v>0.4905660377</v>
      </c>
      <c r="S63" s="123">
        <f t="shared" si="3"/>
        <v>1.132075472</v>
      </c>
      <c r="T63" s="123">
        <f t="shared" si="4"/>
        <v>2.716981132</v>
      </c>
      <c r="U63" s="41">
        <v>14.0</v>
      </c>
      <c r="V63" s="41">
        <v>3.0</v>
      </c>
      <c r="W63" s="41">
        <v>1.0</v>
      </c>
      <c r="X63" s="41">
        <v>6.0</v>
      </c>
      <c r="Y63" s="41">
        <v>39.0</v>
      </c>
      <c r="Z63" s="41">
        <v>45.0</v>
      </c>
    </row>
    <row r="64">
      <c r="A64" s="41" t="s">
        <v>901</v>
      </c>
      <c r="B64" s="41" t="s">
        <v>416</v>
      </c>
      <c r="C64" s="41" t="s">
        <v>1024</v>
      </c>
      <c r="D64" s="41" t="s">
        <v>994</v>
      </c>
      <c r="E64" s="41">
        <v>1.0</v>
      </c>
      <c r="F64" s="41">
        <v>0.0</v>
      </c>
      <c r="G64" s="41">
        <v>1.0</v>
      </c>
      <c r="H64" s="125">
        <v>0.0</v>
      </c>
      <c r="I64" s="41">
        <v>0.0</v>
      </c>
      <c r="J64" s="41">
        <v>128.0</v>
      </c>
      <c r="K64" s="41">
        <v>0.0</v>
      </c>
      <c r="L64" s="41">
        <v>0.0</v>
      </c>
      <c r="M64" s="41">
        <v>1.0</v>
      </c>
      <c r="N64" s="41">
        <v>1.0</v>
      </c>
      <c r="O64" s="122">
        <f t="shared" si="1"/>
        <v>0</v>
      </c>
      <c r="P64" s="123">
        <f t="shared" si="5"/>
        <v>128</v>
      </c>
      <c r="Q64" s="123">
        <f t="shared" si="2"/>
        <v>0</v>
      </c>
      <c r="R64" s="123">
        <f t="shared" si="6"/>
        <v>0</v>
      </c>
      <c r="S64" s="123">
        <f t="shared" si="3"/>
        <v>1</v>
      </c>
      <c r="T64" s="123">
        <f t="shared" si="4"/>
        <v>1</v>
      </c>
      <c r="U64" s="41">
        <v>0.0</v>
      </c>
      <c r="V64" s="41">
        <v>0.0</v>
      </c>
      <c r="W64" s="41">
        <v>0.0</v>
      </c>
      <c r="X64" s="41">
        <v>0.0</v>
      </c>
      <c r="Y64" s="41">
        <v>2.0</v>
      </c>
      <c r="Z64" s="41">
        <v>0.0</v>
      </c>
    </row>
    <row r="65">
      <c r="A65" s="41" t="s">
        <v>902</v>
      </c>
      <c r="B65" s="41" t="s">
        <v>817</v>
      </c>
      <c r="C65" s="41" t="s">
        <v>1025</v>
      </c>
      <c r="D65" s="41" t="s">
        <v>932</v>
      </c>
      <c r="E65" s="41">
        <v>55.0</v>
      </c>
      <c r="F65" s="41">
        <v>21.0</v>
      </c>
      <c r="G65" s="41">
        <v>34.0</v>
      </c>
      <c r="H65" s="125">
        <v>0.38181818181818183</v>
      </c>
      <c r="I65" s="41">
        <v>7.0</v>
      </c>
      <c r="J65" s="41">
        <v>19029.0</v>
      </c>
      <c r="K65" s="41">
        <v>39.0</v>
      </c>
      <c r="L65" s="41">
        <v>31.0</v>
      </c>
      <c r="M65" s="41">
        <v>72.0</v>
      </c>
      <c r="N65" s="41">
        <v>133.0</v>
      </c>
      <c r="O65" s="122">
        <f t="shared" si="1"/>
        <v>0.2932330827</v>
      </c>
      <c r="P65" s="123">
        <f t="shared" si="5"/>
        <v>345.9818182</v>
      </c>
      <c r="Q65" s="123">
        <f t="shared" si="2"/>
        <v>0.7090909091</v>
      </c>
      <c r="R65" s="123">
        <f t="shared" si="6"/>
        <v>0.5636363636</v>
      </c>
      <c r="S65" s="123">
        <f t="shared" si="3"/>
        <v>1.309090909</v>
      </c>
      <c r="T65" s="123">
        <f t="shared" si="4"/>
        <v>2.418181818</v>
      </c>
      <c r="U65" s="41">
        <v>11.0</v>
      </c>
      <c r="V65" s="41">
        <v>0.0</v>
      </c>
      <c r="W65" s="41">
        <v>0.0</v>
      </c>
      <c r="X65" s="41">
        <v>6.0</v>
      </c>
      <c r="Y65" s="41">
        <v>24.0</v>
      </c>
      <c r="Z65" s="41">
        <v>60.0</v>
      </c>
    </row>
    <row r="66">
      <c r="A66" s="41" t="s">
        <v>904</v>
      </c>
      <c r="B66" s="41" t="s">
        <v>720</v>
      </c>
      <c r="C66" s="41" t="s">
        <v>1026</v>
      </c>
      <c r="D66" s="41" t="s">
        <v>1027</v>
      </c>
      <c r="E66" s="41">
        <v>11.0</v>
      </c>
      <c r="F66" s="41">
        <v>4.0</v>
      </c>
      <c r="G66" s="41">
        <v>7.0</v>
      </c>
      <c r="H66" s="125">
        <v>0.36363636363636365</v>
      </c>
      <c r="I66" s="41">
        <v>2.0</v>
      </c>
      <c r="J66" s="41">
        <v>3117.0</v>
      </c>
      <c r="K66" s="41">
        <v>6.0</v>
      </c>
      <c r="L66" s="41">
        <v>3.0</v>
      </c>
      <c r="M66" s="41">
        <v>13.0</v>
      </c>
      <c r="N66" s="41">
        <v>23.0</v>
      </c>
      <c r="O66" s="122">
        <f t="shared" si="1"/>
        <v>0.2608695652</v>
      </c>
      <c r="P66" s="123">
        <f t="shared" si="5"/>
        <v>283.3636364</v>
      </c>
      <c r="Q66" s="123">
        <f t="shared" si="2"/>
        <v>0.5454545455</v>
      </c>
      <c r="R66" s="123">
        <f t="shared" si="6"/>
        <v>0.2727272727</v>
      </c>
      <c r="S66" s="123">
        <f t="shared" si="3"/>
        <v>1.181818182</v>
      </c>
      <c r="T66" s="123">
        <f t="shared" si="4"/>
        <v>2.090909091</v>
      </c>
      <c r="U66" s="41">
        <v>2.0</v>
      </c>
      <c r="V66" s="41">
        <v>0.0</v>
      </c>
      <c r="W66" s="41">
        <v>0.0</v>
      </c>
      <c r="X66" s="41">
        <v>1.0</v>
      </c>
      <c r="Y66" s="41">
        <v>10.0</v>
      </c>
      <c r="Z66" s="41">
        <v>14.0</v>
      </c>
    </row>
    <row r="67">
      <c r="A67" s="41" t="s">
        <v>909</v>
      </c>
      <c r="B67" s="41" t="s">
        <v>76</v>
      </c>
      <c r="C67" s="41" t="s">
        <v>1028</v>
      </c>
      <c r="D67" s="41" t="s">
        <v>1029</v>
      </c>
      <c r="E67" s="41">
        <v>55.0</v>
      </c>
      <c r="F67" s="41">
        <v>38.0</v>
      </c>
      <c r="G67" s="41">
        <v>17.0</v>
      </c>
      <c r="H67" s="125">
        <v>0.6909090909090909</v>
      </c>
      <c r="I67" s="41">
        <v>16.0</v>
      </c>
      <c r="J67" s="41">
        <v>18891.0</v>
      </c>
      <c r="K67" s="41">
        <v>54.0</v>
      </c>
      <c r="L67" s="41">
        <v>24.0</v>
      </c>
      <c r="M67" s="41">
        <v>49.0</v>
      </c>
      <c r="N67" s="41">
        <v>159.0</v>
      </c>
      <c r="O67" s="122">
        <f t="shared" si="1"/>
        <v>0.3396226415</v>
      </c>
      <c r="P67" s="123">
        <f t="shared" si="5"/>
        <v>343.4727273</v>
      </c>
      <c r="Q67" s="123">
        <f t="shared" si="2"/>
        <v>0.9818181818</v>
      </c>
      <c r="R67" s="123">
        <f t="shared" si="6"/>
        <v>0.4363636364</v>
      </c>
      <c r="S67" s="123">
        <f t="shared" si="3"/>
        <v>0.8909090909</v>
      </c>
      <c r="T67" s="123">
        <f t="shared" si="4"/>
        <v>2.890909091</v>
      </c>
      <c r="U67" s="41">
        <v>10.0</v>
      </c>
      <c r="V67" s="41">
        <v>5.0</v>
      </c>
      <c r="W67" s="41">
        <v>0.0</v>
      </c>
      <c r="X67" s="41">
        <v>4.0</v>
      </c>
      <c r="Y67" s="41">
        <v>45.0</v>
      </c>
      <c r="Z67" s="41">
        <v>43.0</v>
      </c>
    </row>
    <row r="68">
      <c r="A68" s="41" t="s">
        <v>905</v>
      </c>
      <c r="B68" s="41" t="s">
        <v>141</v>
      </c>
      <c r="C68" s="41" t="s">
        <v>1030</v>
      </c>
      <c r="D68" s="41" t="s">
        <v>1031</v>
      </c>
      <c r="E68" s="41">
        <v>24.0</v>
      </c>
      <c r="F68" s="41">
        <v>12.0</v>
      </c>
      <c r="G68" s="41">
        <v>12.0</v>
      </c>
      <c r="H68" s="125">
        <v>0.5</v>
      </c>
      <c r="I68" s="41">
        <v>3.0</v>
      </c>
      <c r="J68" s="41">
        <v>8342.0</v>
      </c>
      <c r="K68" s="41">
        <v>22.0</v>
      </c>
      <c r="L68" s="41">
        <v>14.0</v>
      </c>
      <c r="M68" s="41">
        <v>28.0</v>
      </c>
      <c r="N68" s="41">
        <v>68.0</v>
      </c>
      <c r="O68" s="122">
        <f t="shared" si="1"/>
        <v>0.3235294118</v>
      </c>
      <c r="P68" s="123">
        <f t="shared" si="5"/>
        <v>347.5833333</v>
      </c>
      <c r="Q68" s="123">
        <f t="shared" si="2"/>
        <v>0.9166666667</v>
      </c>
      <c r="R68" s="123">
        <f t="shared" si="6"/>
        <v>0.5833333333</v>
      </c>
      <c r="S68" s="123">
        <f t="shared" si="3"/>
        <v>1.166666667</v>
      </c>
      <c r="T68" s="123">
        <f t="shared" si="4"/>
        <v>2.833333333</v>
      </c>
      <c r="U68" s="41">
        <v>6.0</v>
      </c>
      <c r="V68" s="41">
        <v>1.0</v>
      </c>
      <c r="W68" s="41">
        <v>0.0</v>
      </c>
      <c r="X68" s="41">
        <v>3.0</v>
      </c>
      <c r="Y68" s="41">
        <v>19.0</v>
      </c>
      <c r="Z68" s="41">
        <v>32.0</v>
      </c>
    </row>
    <row r="69">
      <c r="A69" s="41" t="s">
        <v>902</v>
      </c>
      <c r="B69" s="41" t="s">
        <v>842</v>
      </c>
      <c r="C69" s="41" t="s">
        <v>1032</v>
      </c>
      <c r="D69" s="41" t="s">
        <v>1033</v>
      </c>
      <c r="E69" s="41">
        <v>37.0</v>
      </c>
      <c r="F69" s="41">
        <v>11.0</v>
      </c>
      <c r="G69" s="41">
        <v>26.0</v>
      </c>
      <c r="H69" s="125">
        <v>0.2972972972972973</v>
      </c>
      <c r="I69" s="41">
        <v>4.0</v>
      </c>
      <c r="J69" s="41">
        <v>12668.0</v>
      </c>
      <c r="K69" s="41">
        <v>31.0</v>
      </c>
      <c r="L69" s="41">
        <v>11.0</v>
      </c>
      <c r="M69" s="41">
        <v>47.0</v>
      </c>
      <c r="N69" s="41">
        <v>97.0</v>
      </c>
      <c r="O69" s="122">
        <f t="shared" si="1"/>
        <v>0.3195876289</v>
      </c>
      <c r="P69" s="123">
        <f t="shared" si="5"/>
        <v>342.3783784</v>
      </c>
      <c r="Q69" s="123">
        <f t="shared" si="2"/>
        <v>0.8378378378</v>
      </c>
      <c r="R69" s="123">
        <f t="shared" si="6"/>
        <v>0.2972972973</v>
      </c>
      <c r="S69" s="123">
        <f t="shared" si="3"/>
        <v>1.27027027</v>
      </c>
      <c r="T69" s="123">
        <f t="shared" si="4"/>
        <v>2.621621622</v>
      </c>
      <c r="U69" s="41">
        <v>3.0</v>
      </c>
      <c r="V69" s="41">
        <v>0.0</v>
      </c>
      <c r="W69" s="41">
        <v>0.0</v>
      </c>
      <c r="X69" s="41">
        <v>6.0</v>
      </c>
      <c r="Y69" s="41">
        <v>42.0</v>
      </c>
      <c r="Z69" s="41">
        <v>54.0</v>
      </c>
    </row>
    <row r="70">
      <c r="A70" s="41" t="s">
        <v>906</v>
      </c>
      <c r="B70" s="41" t="s">
        <v>560</v>
      </c>
      <c r="C70" s="41" t="s">
        <v>1034</v>
      </c>
      <c r="D70" s="41" t="s">
        <v>1005</v>
      </c>
      <c r="E70" s="41">
        <v>31.0</v>
      </c>
      <c r="F70" s="41">
        <v>13.0</v>
      </c>
      <c r="G70" s="41">
        <v>18.0</v>
      </c>
      <c r="H70" s="125">
        <v>0.41935483870967744</v>
      </c>
      <c r="I70" s="41">
        <v>1.0</v>
      </c>
      <c r="J70" s="41">
        <v>8312.0</v>
      </c>
      <c r="K70" s="41">
        <v>19.0</v>
      </c>
      <c r="L70" s="41">
        <v>13.0</v>
      </c>
      <c r="M70" s="41">
        <v>24.0</v>
      </c>
      <c r="N70" s="41">
        <v>68.0</v>
      </c>
      <c r="O70" s="122">
        <f t="shared" si="1"/>
        <v>0.2794117647</v>
      </c>
      <c r="P70" s="123">
        <f t="shared" si="5"/>
        <v>268.1290323</v>
      </c>
      <c r="Q70" s="123">
        <f t="shared" si="2"/>
        <v>0.6129032258</v>
      </c>
      <c r="R70" s="123">
        <f t="shared" si="6"/>
        <v>0.4193548387</v>
      </c>
      <c r="S70" s="123">
        <f t="shared" si="3"/>
        <v>0.7741935484</v>
      </c>
      <c r="T70" s="123">
        <f t="shared" si="4"/>
        <v>2.193548387</v>
      </c>
      <c r="U70" s="41">
        <v>3.0</v>
      </c>
      <c r="V70" s="41">
        <v>0.0</v>
      </c>
      <c r="W70" s="41">
        <v>1.0</v>
      </c>
      <c r="X70" s="41">
        <v>2.0</v>
      </c>
      <c r="Y70" s="41">
        <v>38.0</v>
      </c>
      <c r="Z70" s="41">
        <v>27.0</v>
      </c>
    </row>
    <row r="71">
      <c r="A71" s="41" t="s">
        <v>897</v>
      </c>
      <c r="B71" s="41" t="s">
        <v>515</v>
      </c>
      <c r="C71" s="41" t="s">
        <v>1035</v>
      </c>
      <c r="D71" s="41" t="s">
        <v>930</v>
      </c>
      <c r="E71" s="41">
        <v>14.0</v>
      </c>
      <c r="F71" s="41">
        <v>3.0</v>
      </c>
      <c r="G71" s="41">
        <v>11.0</v>
      </c>
      <c r="H71" s="125">
        <v>0.21428571428571427</v>
      </c>
      <c r="I71" s="41">
        <v>1.0</v>
      </c>
      <c r="J71" s="41">
        <v>4290.0</v>
      </c>
      <c r="K71" s="41">
        <v>6.0</v>
      </c>
      <c r="L71" s="41">
        <v>6.0</v>
      </c>
      <c r="M71" s="41">
        <v>23.0</v>
      </c>
      <c r="N71" s="41">
        <v>36.0</v>
      </c>
      <c r="O71" s="122">
        <f t="shared" si="1"/>
        <v>0.1666666667</v>
      </c>
      <c r="P71" s="123">
        <f t="shared" si="5"/>
        <v>306.4285714</v>
      </c>
      <c r="Q71" s="123">
        <f t="shared" si="2"/>
        <v>0.4285714286</v>
      </c>
      <c r="R71" s="123">
        <f t="shared" si="6"/>
        <v>0.4285714286</v>
      </c>
      <c r="S71" s="123">
        <f t="shared" si="3"/>
        <v>1.642857143</v>
      </c>
      <c r="T71" s="123">
        <f t="shared" si="4"/>
        <v>2.571428571</v>
      </c>
      <c r="U71" s="41">
        <v>0.0</v>
      </c>
      <c r="V71" s="41">
        <v>0.0</v>
      </c>
      <c r="W71" s="41">
        <v>0.0</v>
      </c>
      <c r="X71" s="41">
        <v>4.0</v>
      </c>
      <c r="Y71" s="41">
        <v>17.0</v>
      </c>
      <c r="Z71" s="41">
        <v>19.0</v>
      </c>
    </row>
    <row r="72">
      <c r="A72" s="41" t="s">
        <v>899</v>
      </c>
      <c r="B72" s="41" t="s">
        <v>466</v>
      </c>
      <c r="C72" s="41" t="s">
        <v>1036</v>
      </c>
      <c r="D72" s="41" t="s">
        <v>1037</v>
      </c>
      <c r="E72" s="41">
        <v>26.0</v>
      </c>
      <c r="F72" s="41">
        <v>6.0</v>
      </c>
      <c r="G72" s="41">
        <v>20.0</v>
      </c>
      <c r="H72" s="125">
        <v>0.23076923076923078</v>
      </c>
      <c r="I72" s="41">
        <v>1.0</v>
      </c>
      <c r="J72" s="41">
        <v>7038.0</v>
      </c>
      <c r="K72" s="41">
        <v>13.0</v>
      </c>
      <c r="L72" s="41">
        <v>9.0</v>
      </c>
      <c r="M72" s="41">
        <v>31.0</v>
      </c>
      <c r="N72" s="41">
        <v>44.0</v>
      </c>
      <c r="O72" s="122">
        <f t="shared" si="1"/>
        <v>0.2954545455</v>
      </c>
      <c r="P72" s="123">
        <f t="shared" si="5"/>
        <v>270.6923077</v>
      </c>
      <c r="Q72" s="123">
        <f t="shared" si="2"/>
        <v>0.5</v>
      </c>
      <c r="R72" s="123">
        <f t="shared" si="6"/>
        <v>0.3461538462</v>
      </c>
      <c r="S72" s="123">
        <f t="shared" si="3"/>
        <v>1.192307692</v>
      </c>
      <c r="T72" s="123">
        <f t="shared" si="4"/>
        <v>1.692307692</v>
      </c>
      <c r="U72" s="41">
        <v>3.0</v>
      </c>
      <c r="V72" s="41">
        <v>0.0</v>
      </c>
      <c r="W72" s="41">
        <v>0.0</v>
      </c>
      <c r="X72" s="41">
        <v>4.0</v>
      </c>
      <c r="Y72" s="41">
        <v>29.0</v>
      </c>
      <c r="Z72" s="41">
        <v>33.0</v>
      </c>
    </row>
    <row r="73">
      <c r="A73" s="41" t="s">
        <v>905</v>
      </c>
      <c r="B73" s="41" t="s">
        <v>186</v>
      </c>
      <c r="C73" s="41" t="s">
        <v>1038</v>
      </c>
      <c r="D73" s="41" t="s">
        <v>1039</v>
      </c>
      <c r="E73" s="41">
        <v>26.0</v>
      </c>
      <c r="F73" s="41">
        <v>12.0</v>
      </c>
      <c r="G73" s="41">
        <v>14.0</v>
      </c>
      <c r="H73" s="125">
        <v>0.46153846153846156</v>
      </c>
      <c r="I73" s="41">
        <v>6.0</v>
      </c>
      <c r="J73" s="41">
        <v>9070.0</v>
      </c>
      <c r="K73" s="41">
        <v>24.0</v>
      </c>
      <c r="L73" s="41">
        <v>8.0</v>
      </c>
      <c r="M73" s="41">
        <v>34.0</v>
      </c>
      <c r="N73" s="41">
        <v>70.0</v>
      </c>
      <c r="O73" s="122">
        <f t="shared" si="1"/>
        <v>0.3428571429</v>
      </c>
      <c r="P73" s="123">
        <f t="shared" si="5"/>
        <v>348.8461538</v>
      </c>
      <c r="Q73" s="123">
        <f t="shared" si="2"/>
        <v>0.9230769231</v>
      </c>
      <c r="R73" s="123">
        <f t="shared" si="6"/>
        <v>0.3076923077</v>
      </c>
      <c r="S73" s="123">
        <f t="shared" si="3"/>
        <v>1.307692308</v>
      </c>
      <c r="T73" s="123">
        <f t="shared" si="4"/>
        <v>2.692307692</v>
      </c>
      <c r="U73" s="41">
        <v>2.0</v>
      </c>
      <c r="V73" s="41">
        <v>3.0</v>
      </c>
      <c r="W73" s="41">
        <v>1.0</v>
      </c>
      <c r="X73" s="41">
        <v>2.0</v>
      </c>
      <c r="Y73" s="41">
        <v>10.0</v>
      </c>
      <c r="Z73" s="41">
        <v>21.0</v>
      </c>
    </row>
    <row r="74">
      <c r="A74" s="41" t="s">
        <v>904</v>
      </c>
      <c r="B74" s="41" t="s">
        <v>674</v>
      </c>
      <c r="C74" s="41" t="s">
        <v>1040</v>
      </c>
      <c r="D74" s="41" t="s">
        <v>1041</v>
      </c>
      <c r="E74" s="41">
        <v>22.0</v>
      </c>
      <c r="F74" s="41">
        <v>8.0</v>
      </c>
      <c r="G74" s="41">
        <v>14.0</v>
      </c>
      <c r="H74" s="125">
        <v>0.36363636363636365</v>
      </c>
      <c r="I74" s="41">
        <v>3.0</v>
      </c>
      <c r="J74" s="41">
        <v>7093.0</v>
      </c>
      <c r="K74" s="41">
        <v>16.0</v>
      </c>
      <c r="L74" s="41">
        <v>9.0</v>
      </c>
      <c r="M74" s="41">
        <v>24.0</v>
      </c>
      <c r="N74" s="41">
        <v>48.0</v>
      </c>
      <c r="O74" s="122">
        <f t="shared" si="1"/>
        <v>0.3333333333</v>
      </c>
      <c r="P74" s="123">
        <f t="shared" si="5"/>
        <v>322.4090909</v>
      </c>
      <c r="Q74" s="123">
        <f t="shared" si="2"/>
        <v>0.7272727273</v>
      </c>
      <c r="R74" s="123">
        <f t="shared" si="6"/>
        <v>0.4090909091</v>
      </c>
      <c r="S74" s="123">
        <f t="shared" si="3"/>
        <v>1.090909091</v>
      </c>
      <c r="T74" s="123">
        <f t="shared" si="4"/>
        <v>2.181818182</v>
      </c>
      <c r="U74" s="41">
        <v>2.0</v>
      </c>
      <c r="V74" s="41">
        <v>1.0</v>
      </c>
      <c r="W74" s="41">
        <v>0.0</v>
      </c>
      <c r="X74" s="41">
        <v>1.0</v>
      </c>
      <c r="Y74" s="41">
        <v>6.0</v>
      </c>
      <c r="Z74" s="41">
        <v>22.0</v>
      </c>
    </row>
    <row r="75">
      <c r="A75" s="41" t="s">
        <v>902</v>
      </c>
      <c r="B75" s="41" t="s">
        <v>863</v>
      </c>
      <c r="C75" s="41" t="s">
        <v>1042</v>
      </c>
      <c r="D75" s="41" t="s">
        <v>1043</v>
      </c>
      <c r="E75" s="41">
        <v>36.0</v>
      </c>
      <c r="F75" s="41">
        <v>13.0</v>
      </c>
      <c r="G75" s="41">
        <v>23.0</v>
      </c>
      <c r="H75" s="125">
        <v>0.3611111111111111</v>
      </c>
      <c r="I75" s="41">
        <v>3.0</v>
      </c>
      <c r="J75" s="41">
        <v>9297.0</v>
      </c>
      <c r="K75" s="41">
        <v>9.0</v>
      </c>
      <c r="L75" s="41">
        <v>17.0</v>
      </c>
      <c r="M75" s="41">
        <v>46.0</v>
      </c>
      <c r="N75" s="41">
        <v>71.0</v>
      </c>
      <c r="O75" s="122">
        <f t="shared" si="1"/>
        <v>0.1267605634</v>
      </c>
      <c r="P75" s="123">
        <f t="shared" si="5"/>
        <v>258.25</v>
      </c>
      <c r="Q75" s="123">
        <f t="shared" si="2"/>
        <v>0.25</v>
      </c>
      <c r="R75" s="123">
        <f t="shared" si="6"/>
        <v>0.4722222222</v>
      </c>
      <c r="S75" s="123">
        <f t="shared" si="3"/>
        <v>1.277777778</v>
      </c>
      <c r="T75" s="123">
        <f t="shared" si="4"/>
        <v>1.972222222</v>
      </c>
      <c r="U75" s="41">
        <v>4.0</v>
      </c>
      <c r="V75" s="41">
        <v>0.0</v>
      </c>
      <c r="W75" s="41">
        <v>0.0</v>
      </c>
      <c r="X75" s="41">
        <v>5.0</v>
      </c>
      <c r="Y75" s="41">
        <v>7.0</v>
      </c>
      <c r="Z75" s="41">
        <v>37.0</v>
      </c>
    </row>
    <row r="76">
      <c r="A76" s="41" t="s">
        <v>901</v>
      </c>
      <c r="B76" s="41" t="s">
        <v>381</v>
      </c>
      <c r="C76" s="41" t="s">
        <v>1044</v>
      </c>
      <c r="D76" s="41" t="s">
        <v>1045</v>
      </c>
      <c r="E76" s="41">
        <v>34.0</v>
      </c>
      <c r="F76" s="41">
        <v>13.0</v>
      </c>
      <c r="G76" s="41">
        <v>21.0</v>
      </c>
      <c r="H76" s="125">
        <v>0.38235294117647056</v>
      </c>
      <c r="I76" s="41">
        <v>4.0</v>
      </c>
      <c r="J76" s="41">
        <v>10717.0</v>
      </c>
      <c r="K76" s="41">
        <v>21.0</v>
      </c>
      <c r="L76" s="41">
        <v>15.0</v>
      </c>
      <c r="M76" s="41">
        <v>38.0</v>
      </c>
      <c r="N76" s="41">
        <v>83.0</v>
      </c>
      <c r="O76" s="122">
        <f t="shared" si="1"/>
        <v>0.2530120482</v>
      </c>
      <c r="P76" s="123">
        <f t="shared" si="5"/>
        <v>315.2058824</v>
      </c>
      <c r="Q76" s="123">
        <f t="shared" si="2"/>
        <v>0.6176470588</v>
      </c>
      <c r="R76" s="123">
        <f t="shared" si="6"/>
        <v>0.4411764706</v>
      </c>
      <c r="S76" s="123">
        <f t="shared" si="3"/>
        <v>1.117647059</v>
      </c>
      <c r="T76" s="123">
        <f t="shared" si="4"/>
        <v>2.441176471</v>
      </c>
      <c r="U76" s="41">
        <v>4.0</v>
      </c>
      <c r="V76" s="41">
        <v>0.0</v>
      </c>
      <c r="W76" s="41">
        <v>0.0</v>
      </c>
      <c r="X76" s="41">
        <v>5.0</v>
      </c>
      <c r="Y76" s="41">
        <v>47.0</v>
      </c>
      <c r="Z76" s="41">
        <v>31.0</v>
      </c>
    </row>
    <row r="77">
      <c r="A77" s="41" t="s">
        <v>897</v>
      </c>
      <c r="B77" s="41" t="s">
        <v>500</v>
      </c>
      <c r="C77" s="41" t="s">
        <v>1046</v>
      </c>
      <c r="D77" s="41" t="s">
        <v>1047</v>
      </c>
      <c r="E77" s="41">
        <v>48.0</v>
      </c>
      <c r="F77" s="41">
        <v>20.0</v>
      </c>
      <c r="G77" s="41">
        <v>28.0</v>
      </c>
      <c r="H77" s="125">
        <v>0.4166666666666667</v>
      </c>
      <c r="I77" s="41">
        <v>6.0</v>
      </c>
      <c r="J77" s="41">
        <v>16010.0</v>
      </c>
      <c r="K77" s="41">
        <v>35.0</v>
      </c>
      <c r="L77" s="41">
        <v>34.0</v>
      </c>
      <c r="M77" s="41">
        <v>47.0</v>
      </c>
      <c r="N77" s="41">
        <v>142.0</v>
      </c>
      <c r="O77" s="122">
        <f t="shared" si="1"/>
        <v>0.2464788732</v>
      </c>
      <c r="P77" s="123">
        <f t="shared" si="5"/>
        <v>333.5416667</v>
      </c>
      <c r="Q77" s="123">
        <f t="shared" si="2"/>
        <v>0.7291666667</v>
      </c>
      <c r="R77" s="123">
        <f t="shared" si="6"/>
        <v>0.7083333333</v>
      </c>
      <c r="S77" s="123">
        <f t="shared" si="3"/>
        <v>0.9791666667</v>
      </c>
      <c r="T77" s="123">
        <f t="shared" si="4"/>
        <v>2.958333333</v>
      </c>
      <c r="U77" s="41">
        <v>7.0</v>
      </c>
      <c r="V77" s="41">
        <v>4.0</v>
      </c>
      <c r="W77" s="41">
        <v>1.0</v>
      </c>
      <c r="X77" s="41">
        <v>4.0</v>
      </c>
      <c r="Y77" s="41">
        <v>74.0</v>
      </c>
      <c r="Z77" s="41">
        <v>39.0</v>
      </c>
    </row>
    <row r="78">
      <c r="A78" s="41" t="s">
        <v>902</v>
      </c>
      <c r="B78" s="41" t="s">
        <v>737</v>
      </c>
      <c r="C78" s="41" t="s">
        <v>1048</v>
      </c>
      <c r="D78" s="41" t="s">
        <v>1019</v>
      </c>
      <c r="E78" s="41">
        <v>54.0</v>
      </c>
      <c r="F78" s="41">
        <v>34.0</v>
      </c>
      <c r="G78" s="41">
        <v>20.0</v>
      </c>
      <c r="H78" s="125">
        <v>0.6296296296296297</v>
      </c>
      <c r="I78" s="41">
        <v>16.0</v>
      </c>
      <c r="J78" s="41">
        <v>21629.0</v>
      </c>
      <c r="K78" s="41">
        <v>52.0</v>
      </c>
      <c r="L78" s="41">
        <v>40.0</v>
      </c>
      <c r="M78" s="41">
        <v>71.0</v>
      </c>
      <c r="N78" s="41">
        <v>164.0</v>
      </c>
      <c r="O78" s="122">
        <f t="shared" si="1"/>
        <v>0.3170731707</v>
      </c>
      <c r="P78" s="123">
        <f t="shared" si="5"/>
        <v>400.537037</v>
      </c>
      <c r="Q78" s="123">
        <f t="shared" si="2"/>
        <v>0.962962963</v>
      </c>
      <c r="R78" s="123">
        <f t="shared" si="6"/>
        <v>0.7407407407</v>
      </c>
      <c r="S78" s="123">
        <f t="shared" si="3"/>
        <v>1.314814815</v>
      </c>
      <c r="T78" s="123">
        <f t="shared" si="4"/>
        <v>3.037037037</v>
      </c>
      <c r="U78" s="41">
        <v>14.0</v>
      </c>
      <c r="V78" s="41">
        <v>4.0</v>
      </c>
      <c r="W78" s="41">
        <v>3.0</v>
      </c>
      <c r="X78" s="41">
        <v>9.0</v>
      </c>
      <c r="Y78" s="41">
        <v>58.0</v>
      </c>
      <c r="Z78" s="41">
        <v>42.0</v>
      </c>
    </row>
    <row r="79">
      <c r="A79" s="41" t="s">
        <v>904</v>
      </c>
      <c r="B79" s="41" t="s">
        <v>723</v>
      </c>
      <c r="C79" s="41" t="s">
        <v>1049</v>
      </c>
      <c r="D79" s="41" t="s">
        <v>951</v>
      </c>
      <c r="E79" s="41">
        <v>14.0</v>
      </c>
      <c r="F79" s="41">
        <v>1.0</v>
      </c>
      <c r="G79" s="41">
        <v>13.0</v>
      </c>
      <c r="H79" s="125">
        <v>0.07142857142857142</v>
      </c>
      <c r="I79" s="41">
        <v>0.0</v>
      </c>
      <c r="J79" s="41">
        <v>4071.0</v>
      </c>
      <c r="K79" s="41">
        <v>8.0</v>
      </c>
      <c r="L79" s="41">
        <v>4.0</v>
      </c>
      <c r="M79" s="41">
        <v>23.0</v>
      </c>
      <c r="N79" s="41">
        <v>20.0</v>
      </c>
      <c r="O79" s="122">
        <f t="shared" si="1"/>
        <v>0.4</v>
      </c>
      <c r="P79" s="123">
        <f t="shared" si="5"/>
        <v>290.7857143</v>
      </c>
      <c r="Q79" s="123">
        <f t="shared" si="2"/>
        <v>0.5714285714</v>
      </c>
      <c r="R79" s="123">
        <f t="shared" si="6"/>
        <v>0.2857142857</v>
      </c>
      <c r="S79" s="123">
        <f t="shared" si="3"/>
        <v>1.642857143</v>
      </c>
      <c r="T79" s="123">
        <f t="shared" si="4"/>
        <v>1.428571429</v>
      </c>
      <c r="U79" s="41">
        <v>1.0</v>
      </c>
      <c r="V79" s="41">
        <v>0.0</v>
      </c>
      <c r="W79" s="41">
        <v>1.0</v>
      </c>
      <c r="X79" s="41">
        <v>4.0</v>
      </c>
      <c r="Y79" s="41">
        <v>6.0</v>
      </c>
      <c r="Z79" s="41">
        <v>16.0</v>
      </c>
    </row>
    <row r="80">
      <c r="A80" s="41" t="s">
        <v>899</v>
      </c>
      <c r="B80" s="41" t="s">
        <v>437</v>
      </c>
      <c r="C80" s="41" t="s">
        <v>1050</v>
      </c>
      <c r="D80" s="41" t="s">
        <v>1051</v>
      </c>
      <c r="E80" s="41">
        <v>32.0</v>
      </c>
      <c r="F80" s="41">
        <v>11.0</v>
      </c>
      <c r="G80" s="41">
        <v>21.0</v>
      </c>
      <c r="H80" s="125">
        <v>0.34375</v>
      </c>
      <c r="I80" s="41">
        <v>3.0</v>
      </c>
      <c r="J80" s="41">
        <v>12462.0</v>
      </c>
      <c r="K80" s="41">
        <v>28.0</v>
      </c>
      <c r="L80" s="41">
        <v>17.0</v>
      </c>
      <c r="M80" s="41">
        <v>42.0</v>
      </c>
      <c r="N80" s="41">
        <v>100.0</v>
      </c>
      <c r="O80" s="122">
        <f t="shared" si="1"/>
        <v>0.28</v>
      </c>
      <c r="P80" s="123">
        <f t="shared" si="5"/>
        <v>389.4375</v>
      </c>
      <c r="Q80" s="123">
        <f t="shared" si="2"/>
        <v>0.875</v>
      </c>
      <c r="R80" s="123">
        <f t="shared" si="6"/>
        <v>0.53125</v>
      </c>
      <c r="S80" s="123">
        <f t="shared" si="3"/>
        <v>1.3125</v>
      </c>
      <c r="T80" s="123">
        <f t="shared" si="4"/>
        <v>3.125</v>
      </c>
      <c r="U80" s="41">
        <v>7.0</v>
      </c>
      <c r="V80" s="41">
        <v>1.0</v>
      </c>
      <c r="W80" s="41">
        <v>0.0</v>
      </c>
      <c r="X80" s="41">
        <v>3.0</v>
      </c>
      <c r="Y80" s="41">
        <v>31.0</v>
      </c>
      <c r="Z80" s="41">
        <v>46.0</v>
      </c>
    </row>
    <row r="81">
      <c r="A81" s="41" t="s">
        <v>901</v>
      </c>
      <c r="B81" s="41" t="s">
        <v>321</v>
      </c>
      <c r="C81" s="41" t="s">
        <v>1052</v>
      </c>
      <c r="D81" s="41" t="s">
        <v>911</v>
      </c>
      <c r="E81" s="41">
        <v>56.0</v>
      </c>
      <c r="F81" s="41">
        <v>39.0</v>
      </c>
      <c r="G81" s="41">
        <v>17.0</v>
      </c>
      <c r="H81" s="125">
        <v>0.6964285714285714</v>
      </c>
      <c r="I81" s="41">
        <v>7.0</v>
      </c>
      <c r="J81" s="41">
        <v>18508.0</v>
      </c>
      <c r="K81" s="41">
        <v>39.0</v>
      </c>
      <c r="L81" s="41">
        <v>40.0</v>
      </c>
      <c r="M81" s="41">
        <v>57.0</v>
      </c>
      <c r="N81" s="41">
        <v>156.0</v>
      </c>
      <c r="O81" s="122">
        <f t="shared" si="1"/>
        <v>0.25</v>
      </c>
      <c r="P81" s="123">
        <f t="shared" si="5"/>
        <v>330.5</v>
      </c>
      <c r="Q81" s="123">
        <f t="shared" si="2"/>
        <v>0.6964285714</v>
      </c>
      <c r="R81" s="123">
        <f t="shared" si="6"/>
        <v>0.7142857143</v>
      </c>
      <c r="S81" s="123">
        <f t="shared" si="3"/>
        <v>1.017857143</v>
      </c>
      <c r="T81" s="123">
        <f t="shared" si="4"/>
        <v>2.785714286</v>
      </c>
      <c r="U81" s="41">
        <v>11.0</v>
      </c>
      <c r="V81" s="41">
        <v>1.0</v>
      </c>
      <c r="W81" s="41">
        <v>3.0</v>
      </c>
      <c r="X81" s="41">
        <v>4.0</v>
      </c>
      <c r="Y81" s="41">
        <v>26.0</v>
      </c>
      <c r="Z81" s="41">
        <v>64.0</v>
      </c>
    </row>
    <row r="82">
      <c r="A82" s="41" t="s">
        <v>904</v>
      </c>
      <c r="B82" s="41" t="s">
        <v>603</v>
      </c>
      <c r="C82" s="41" t="s">
        <v>1053</v>
      </c>
      <c r="D82" s="41" t="s">
        <v>1054</v>
      </c>
      <c r="E82" s="41">
        <v>19.0</v>
      </c>
      <c r="F82" s="41">
        <v>8.0</v>
      </c>
      <c r="G82" s="41">
        <v>11.0</v>
      </c>
      <c r="H82" s="125">
        <v>0.42105263157894735</v>
      </c>
      <c r="I82" s="41">
        <v>5.0</v>
      </c>
      <c r="J82" s="41">
        <v>6444.0</v>
      </c>
      <c r="K82" s="41">
        <v>16.0</v>
      </c>
      <c r="L82" s="41">
        <v>11.0</v>
      </c>
      <c r="M82" s="41">
        <v>19.0</v>
      </c>
      <c r="N82" s="41">
        <v>60.0</v>
      </c>
      <c r="O82" s="122">
        <f t="shared" si="1"/>
        <v>0.2666666667</v>
      </c>
      <c r="P82" s="123">
        <f t="shared" si="5"/>
        <v>339.1578947</v>
      </c>
      <c r="Q82" s="123">
        <f t="shared" si="2"/>
        <v>0.8421052632</v>
      </c>
      <c r="R82" s="123">
        <f t="shared" si="6"/>
        <v>0.5789473684</v>
      </c>
      <c r="S82" s="123">
        <f t="shared" si="3"/>
        <v>1</v>
      </c>
      <c r="T82" s="123">
        <f t="shared" si="4"/>
        <v>3.157894737</v>
      </c>
      <c r="U82" s="41">
        <v>2.0</v>
      </c>
      <c r="V82" s="41">
        <v>1.0</v>
      </c>
      <c r="W82" s="41">
        <v>1.0</v>
      </c>
      <c r="X82" s="41">
        <v>2.0</v>
      </c>
      <c r="Y82" s="41">
        <v>7.0</v>
      </c>
      <c r="Z82" s="41">
        <v>22.0</v>
      </c>
    </row>
    <row r="83">
      <c r="A83" s="41" t="s">
        <v>899</v>
      </c>
      <c r="B83" s="41" t="s">
        <v>450</v>
      </c>
      <c r="C83" s="41" t="s">
        <v>1055</v>
      </c>
      <c r="D83" s="41" t="s">
        <v>1056</v>
      </c>
      <c r="E83" s="41">
        <v>4.0</v>
      </c>
      <c r="F83" s="41">
        <v>0.0</v>
      </c>
      <c r="G83" s="41">
        <v>4.0</v>
      </c>
      <c r="H83" s="125">
        <v>0.0</v>
      </c>
      <c r="I83" s="41">
        <v>0.0</v>
      </c>
      <c r="J83" s="41">
        <v>1858.0</v>
      </c>
      <c r="K83" s="41">
        <v>2.0</v>
      </c>
      <c r="L83" s="41">
        <v>3.0</v>
      </c>
      <c r="M83" s="41">
        <v>10.0</v>
      </c>
      <c r="N83" s="41">
        <v>10.0</v>
      </c>
      <c r="O83" s="122">
        <f t="shared" si="1"/>
        <v>0.2</v>
      </c>
      <c r="P83" s="123">
        <f t="shared" si="5"/>
        <v>464.5</v>
      </c>
      <c r="Q83" s="123">
        <f t="shared" si="2"/>
        <v>0.5</v>
      </c>
      <c r="R83" s="123">
        <f t="shared" si="6"/>
        <v>0.75</v>
      </c>
      <c r="S83" s="123">
        <f t="shared" si="3"/>
        <v>2.5</v>
      </c>
      <c r="T83" s="123">
        <f t="shared" si="4"/>
        <v>2.5</v>
      </c>
      <c r="U83" s="41">
        <v>0.0</v>
      </c>
      <c r="V83" s="41">
        <v>0.0</v>
      </c>
      <c r="W83" s="41">
        <v>0.0</v>
      </c>
      <c r="X83" s="41">
        <v>2.0</v>
      </c>
      <c r="Y83" s="41">
        <v>1.0</v>
      </c>
      <c r="Z83" s="41">
        <v>2.0</v>
      </c>
    </row>
    <row r="84">
      <c r="A84" s="41" t="s">
        <v>904</v>
      </c>
      <c r="B84" s="41" t="s">
        <v>675</v>
      </c>
      <c r="C84" s="41" t="s">
        <v>1057</v>
      </c>
      <c r="D84" s="41" t="s">
        <v>1058</v>
      </c>
      <c r="E84" s="41">
        <v>52.0</v>
      </c>
      <c r="F84" s="41">
        <v>25.0</v>
      </c>
      <c r="G84" s="41">
        <v>27.0</v>
      </c>
      <c r="H84" s="125">
        <v>0.4807692307692308</v>
      </c>
      <c r="I84" s="41">
        <v>7.0</v>
      </c>
      <c r="J84" s="41">
        <v>16239.0</v>
      </c>
      <c r="K84" s="41">
        <v>33.0</v>
      </c>
      <c r="L84" s="41">
        <v>25.0</v>
      </c>
      <c r="M84" s="41">
        <v>66.0</v>
      </c>
      <c r="N84" s="41">
        <v>123.0</v>
      </c>
      <c r="O84" s="122">
        <f t="shared" si="1"/>
        <v>0.2682926829</v>
      </c>
      <c r="P84" s="123">
        <f t="shared" si="5"/>
        <v>312.2884615</v>
      </c>
      <c r="Q84" s="123">
        <f t="shared" si="2"/>
        <v>0.6346153846</v>
      </c>
      <c r="R84" s="123">
        <f t="shared" si="6"/>
        <v>0.4807692308</v>
      </c>
      <c r="S84" s="123">
        <f t="shared" si="3"/>
        <v>1.269230769</v>
      </c>
      <c r="T84" s="123">
        <f t="shared" si="4"/>
        <v>2.365384615</v>
      </c>
      <c r="U84" s="41">
        <v>6.0</v>
      </c>
      <c r="V84" s="41">
        <v>1.0</v>
      </c>
      <c r="W84" s="41">
        <v>1.0</v>
      </c>
      <c r="X84" s="41">
        <v>7.0</v>
      </c>
      <c r="Y84" s="41">
        <v>35.0</v>
      </c>
      <c r="Z84" s="41">
        <v>35.0</v>
      </c>
    </row>
    <row r="85">
      <c r="A85" s="41" t="s">
        <v>902</v>
      </c>
      <c r="B85" s="41" t="s">
        <v>778</v>
      </c>
      <c r="C85" s="41" t="s">
        <v>1059</v>
      </c>
      <c r="D85" s="41" t="s">
        <v>946</v>
      </c>
      <c r="E85" s="41">
        <v>46.0</v>
      </c>
      <c r="F85" s="41">
        <v>27.0</v>
      </c>
      <c r="G85" s="41">
        <v>19.0</v>
      </c>
      <c r="H85" s="125">
        <v>0.5869565217391305</v>
      </c>
      <c r="I85" s="41">
        <v>7.0</v>
      </c>
      <c r="J85" s="41">
        <v>16310.0</v>
      </c>
      <c r="K85" s="41">
        <v>38.0</v>
      </c>
      <c r="L85" s="41">
        <v>29.0</v>
      </c>
      <c r="M85" s="41">
        <v>69.0</v>
      </c>
      <c r="N85" s="41">
        <v>115.0</v>
      </c>
      <c r="O85" s="122">
        <f t="shared" si="1"/>
        <v>0.3304347826</v>
      </c>
      <c r="P85" s="123">
        <f t="shared" si="5"/>
        <v>354.5652174</v>
      </c>
      <c r="Q85" s="123">
        <f t="shared" si="2"/>
        <v>0.8260869565</v>
      </c>
      <c r="R85" s="123">
        <f t="shared" si="6"/>
        <v>0.6304347826</v>
      </c>
      <c r="S85" s="123">
        <f t="shared" si="3"/>
        <v>1.5</v>
      </c>
      <c r="T85" s="123">
        <f t="shared" si="4"/>
        <v>2.5</v>
      </c>
      <c r="U85" s="41">
        <v>11.0</v>
      </c>
      <c r="V85" s="41">
        <v>3.0</v>
      </c>
      <c r="W85" s="41">
        <v>1.0</v>
      </c>
      <c r="X85" s="41">
        <v>8.0</v>
      </c>
      <c r="Y85" s="41">
        <v>55.0</v>
      </c>
      <c r="Z85" s="41">
        <v>54.0</v>
      </c>
    </row>
    <row r="86">
      <c r="A86" s="41" t="s">
        <v>906</v>
      </c>
      <c r="B86" s="41" t="s">
        <v>520</v>
      </c>
      <c r="C86" s="41" t="s">
        <v>1060</v>
      </c>
      <c r="D86" s="41" t="s">
        <v>1061</v>
      </c>
      <c r="E86" s="41">
        <v>56.0</v>
      </c>
      <c r="F86" s="41">
        <v>31.0</v>
      </c>
      <c r="G86" s="41">
        <v>25.0</v>
      </c>
      <c r="H86" s="125">
        <v>0.5535714285714286</v>
      </c>
      <c r="I86" s="41">
        <v>10.0</v>
      </c>
      <c r="J86" s="41">
        <v>20730.0</v>
      </c>
      <c r="K86" s="41">
        <v>47.0</v>
      </c>
      <c r="L86" s="41">
        <v>30.0</v>
      </c>
      <c r="M86" s="41">
        <v>69.0</v>
      </c>
      <c r="N86" s="41">
        <v>159.0</v>
      </c>
      <c r="O86" s="122">
        <f t="shared" si="1"/>
        <v>0.2955974843</v>
      </c>
      <c r="P86" s="123">
        <f t="shared" si="5"/>
        <v>370.1785714</v>
      </c>
      <c r="Q86" s="123">
        <f t="shared" si="2"/>
        <v>0.8392857143</v>
      </c>
      <c r="R86" s="123">
        <f t="shared" si="6"/>
        <v>0.5357142857</v>
      </c>
      <c r="S86" s="123">
        <f t="shared" si="3"/>
        <v>1.232142857</v>
      </c>
      <c r="T86" s="123">
        <f t="shared" si="4"/>
        <v>2.839285714</v>
      </c>
      <c r="U86" s="41">
        <v>11.0</v>
      </c>
      <c r="V86" s="41">
        <v>2.0</v>
      </c>
      <c r="W86" s="41">
        <v>0.0</v>
      </c>
      <c r="X86" s="41">
        <v>8.0</v>
      </c>
      <c r="Y86" s="41">
        <v>33.0</v>
      </c>
      <c r="Z86" s="41">
        <v>46.0</v>
      </c>
    </row>
    <row r="87">
      <c r="A87" s="41" t="s">
        <v>904</v>
      </c>
      <c r="B87" s="41" t="s">
        <v>619</v>
      </c>
      <c r="C87" s="41" t="s">
        <v>1062</v>
      </c>
      <c r="D87" s="41" t="s">
        <v>1063</v>
      </c>
      <c r="E87" s="41">
        <v>24.0</v>
      </c>
      <c r="F87" s="41">
        <v>16.0</v>
      </c>
      <c r="G87" s="41">
        <v>8.0</v>
      </c>
      <c r="H87" s="125">
        <v>0.6666666666666666</v>
      </c>
      <c r="I87" s="41">
        <v>4.0</v>
      </c>
      <c r="J87" s="41">
        <v>8252.0</v>
      </c>
      <c r="K87" s="41">
        <v>23.0</v>
      </c>
      <c r="L87" s="41">
        <v>13.0</v>
      </c>
      <c r="M87" s="41">
        <v>27.0</v>
      </c>
      <c r="N87" s="41">
        <v>64.0</v>
      </c>
      <c r="O87" s="122">
        <f t="shared" si="1"/>
        <v>0.359375</v>
      </c>
      <c r="P87" s="123">
        <f t="shared" si="5"/>
        <v>343.8333333</v>
      </c>
      <c r="Q87" s="123">
        <f t="shared" si="2"/>
        <v>0.9583333333</v>
      </c>
      <c r="R87" s="123">
        <f t="shared" si="6"/>
        <v>0.5416666667</v>
      </c>
      <c r="S87" s="123">
        <f t="shared" si="3"/>
        <v>1.125</v>
      </c>
      <c r="T87" s="123">
        <f t="shared" si="4"/>
        <v>2.666666667</v>
      </c>
      <c r="U87" s="41">
        <v>4.0</v>
      </c>
      <c r="V87" s="41">
        <v>2.0</v>
      </c>
      <c r="W87" s="41">
        <v>0.0</v>
      </c>
      <c r="X87" s="41">
        <v>0.0</v>
      </c>
      <c r="Y87" s="41">
        <v>38.0</v>
      </c>
      <c r="Z87" s="41">
        <v>21.0</v>
      </c>
    </row>
    <row r="88">
      <c r="A88" s="41" t="s">
        <v>905</v>
      </c>
      <c r="B88" s="41" t="s">
        <v>241</v>
      </c>
      <c r="C88" s="41" t="s">
        <v>1064</v>
      </c>
      <c r="D88" s="41" t="s">
        <v>1065</v>
      </c>
      <c r="E88" s="41">
        <v>10.0</v>
      </c>
      <c r="F88" s="41">
        <v>3.0</v>
      </c>
      <c r="G88" s="41">
        <v>7.0</v>
      </c>
      <c r="H88" s="125">
        <v>0.3</v>
      </c>
      <c r="I88" s="41">
        <v>0.0</v>
      </c>
      <c r="J88" s="41">
        <v>2637.0</v>
      </c>
      <c r="K88" s="41">
        <v>8.0</v>
      </c>
      <c r="L88" s="41">
        <v>2.0</v>
      </c>
      <c r="M88" s="41">
        <v>7.0</v>
      </c>
      <c r="N88" s="41">
        <v>22.0</v>
      </c>
      <c r="O88" s="122">
        <f t="shared" si="1"/>
        <v>0.3636363636</v>
      </c>
      <c r="P88" s="123">
        <f t="shared" si="5"/>
        <v>263.7</v>
      </c>
      <c r="Q88" s="123">
        <f t="shared" si="2"/>
        <v>0.8</v>
      </c>
      <c r="R88" s="123">
        <f t="shared" si="6"/>
        <v>0.2</v>
      </c>
      <c r="S88" s="123">
        <f t="shared" si="3"/>
        <v>0.7</v>
      </c>
      <c r="T88" s="123">
        <f t="shared" si="4"/>
        <v>2.2</v>
      </c>
      <c r="U88" s="41">
        <v>1.0</v>
      </c>
      <c r="V88" s="41">
        <v>0.0</v>
      </c>
      <c r="W88" s="41">
        <v>0.0</v>
      </c>
      <c r="X88" s="41">
        <v>0.0</v>
      </c>
      <c r="Y88" s="41">
        <v>26.0</v>
      </c>
      <c r="Z88" s="41">
        <v>0.0</v>
      </c>
    </row>
    <row r="89">
      <c r="A89" s="41" t="s">
        <v>901</v>
      </c>
      <c r="B89" s="41" t="s">
        <v>317</v>
      </c>
      <c r="C89" s="41" t="s">
        <v>1066</v>
      </c>
      <c r="D89" s="41" t="s">
        <v>1067</v>
      </c>
      <c r="E89" s="41">
        <v>54.0</v>
      </c>
      <c r="F89" s="41">
        <v>27.0</v>
      </c>
      <c r="G89" s="41">
        <v>27.0</v>
      </c>
      <c r="H89" s="125">
        <v>0.5</v>
      </c>
      <c r="I89" s="41">
        <v>9.0</v>
      </c>
      <c r="J89" s="41">
        <v>18729.0</v>
      </c>
      <c r="K89" s="41">
        <v>45.0</v>
      </c>
      <c r="L89" s="41">
        <v>30.0</v>
      </c>
      <c r="M89" s="41">
        <v>77.0</v>
      </c>
      <c r="N89" s="41">
        <v>153.0</v>
      </c>
      <c r="O89" s="122">
        <f t="shared" si="1"/>
        <v>0.2941176471</v>
      </c>
      <c r="P89" s="123">
        <f t="shared" si="5"/>
        <v>346.8333333</v>
      </c>
      <c r="Q89" s="123">
        <f t="shared" si="2"/>
        <v>0.8333333333</v>
      </c>
      <c r="R89" s="123">
        <f t="shared" si="6"/>
        <v>0.5555555556</v>
      </c>
      <c r="S89" s="123">
        <f t="shared" si="3"/>
        <v>1.425925926</v>
      </c>
      <c r="T89" s="123">
        <f t="shared" si="4"/>
        <v>2.833333333</v>
      </c>
      <c r="U89" s="41">
        <v>8.0</v>
      </c>
      <c r="V89" s="41">
        <v>5.0</v>
      </c>
      <c r="W89" s="41">
        <v>1.0</v>
      </c>
      <c r="X89" s="41">
        <v>7.0</v>
      </c>
      <c r="Y89" s="41">
        <v>66.0</v>
      </c>
      <c r="Z89" s="41">
        <v>61.0</v>
      </c>
    </row>
    <row r="90">
      <c r="A90" s="41" t="s">
        <v>904</v>
      </c>
      <c r="B90" s="41" t="s">
        <v>662</v>
      </c>
      <c r="C90" s="41" t="s">
        <v>1068</v>
      </c>
      <c r="D90" s="41" t="s">
        <v>1069</v>
      </c>
      <c r="E90" s="41">
        <v>43.0</v>
      </c>
      <c r="F90" s="41">
        <v>19.0</v>
      </c>
      <c r="G90" s="41">
        <v>24.0</v>
      </c>
      <c r="H90" s="125">
        <v>0.4418604651162791</v>
      </c>
      <c r="I90" s="41">
        <v>5.0</v>
      </c>
      <c r="J90" s="41">
        <v>15382.0</v>
      </c>
      <c r="K90" s="41">
        <v>41.0</v>
      </c>
      <c r="L90" s="41">
        <v>20.0</v>
      </c>
      <c r="M90" s="41">
        <v>58.0</v>
      </c>
      <c r="N90" s="41">
        <v>108.0</v>
      </c>
      <c r="O90" s="122">
        <f t="shared" si="1"/>
        <v>0.3796296296</v>
      </c>
      <c r="P90" s="123">
        <f t="shared" si="5"/>
        <v>357.7209302</v>
      </c>
      <c r="Q90" s="123">
        <f t="shared" si="2"/>
        <v>0.9534883721</v>
      </c>
      <c r="R90" s="123">
        <f t="shared" si="6"/>
        <v>0.4651162791</v>
      </c>
      <c r="S90" s="123">
        <f t="shared" si="3"/>
        <v>1.348837209</v>
      </c>
      <c r="T90" s="123">
        <f t="shared" si="4"/>
        <v>2.511627907</v>
      </c>
      <c r="U90" s="41">
        <v>9.0</v>
      </c>
      <c r="V90" s="41">
        <v>5.0</v>
      </c>
      <c r="W90" s="41">
        <v>0.0</v>
      </c>
      <c r="X90" s="41">
        <v>4.0</v>
      </c>
      <c r="Y90" s="41">
        <v>26.0</v>
      </c>
      <c r="Z90" s="41">
        <v>42.0</v>
      </c>
    </row>
    <row r="91">
      <c r="A91" s="41" t="s">
        <v>897</v>
      </c>
      <c r="B91" s="41" t="s">
        <v>509</v>
      </c>
      <c r="C91" s="41" t="s">
        <v>1070</v>
      </c>
      <c r="D91" s="41" t="s">
        <v>1071</v>
      </c>
      <c r="E91" s="41">
        <v>35.0</v>
      </c>
      <c r="F91" s="41">
        <v>16.0</v>
      </c>
      <c r="G91" s="41">
        <v>19.0</v>
      </c>
      <c r="H91" s="125">
        <v>0.45714285714285713</v>
      </c>
      <c r="I91" s="41">
        <v>5.0</v>
      </c>
      <c r="J91" s="41">
        <v>12508.0</v>
      </c>
      <c r="K91" s="41">
        <v>22.0</v>
      </c>
      <c r="L91" s="41">
        <v>24.0</v>
      </c>
      <c r="M91" s="41">
        <v>57.0</v>
      </c>
      <c r="N91" s="41">
        <v>77.0</v>
      </c>
      <c r="O91" s="122">
        <f t="shared" si="1"/>
        <v>0.2857142857</v>
      </c>
      <c r="P91" s="123">
        <f t="shared" si="5"/>
        <v>357.3714286</v>
      </c>
      <c r="Q91" s="123">
        <f t="shared" si="2"/>
        <v>0.6285714286</v>
      </c>
      <c r="R91" s="123">
        <f t="shared" si="6"/>
        <v>0.6857142857</v>
      </c>
      <c r="S91" s="123">
        <f t="shared" si="3"/>
        <v>1.628571429</v>
      </c>
      <c r="T91" s="123">
        <f t="shared" si="4"/>
        <v>2.2</v>
      </c>
      <c r="U91" s="41">
        <v>4.0</v>
      </c>
      <c r="V91" s="41">
        <v>2.0</v>
      </c>
      <c r="W91" s="41">
        <v>1.0</v>
      </c>
      <c r="X91" s="41">
        <v>8.0</v>
      </c>
      <c r="Y91" s="41">
        <v>18.0</v>
      </c>
      <c r="Z91" s="41">
        <v>30.0</v>
      </c>
    </row>
    <row r="92">
      <c r="A92" s="41" t="s">
        <v>899</v>
      </c>
      <c r="B92" s="41" t="s">
        <v>455</v>
      </c>
      <c r="C92" s="41" t="s">
        <v>1072</v>
      </c>
      <c r="D92" s="41" t="s">
        <v>1073</v>
      </c>
      <c r="E92" s="41">
        <v>44.0</v>
      </c>
      <c r="F92" s="41">
        <v>21.0</v>
      </c>
      <c r="G92" s="41">
        <v>23.0</v>
      </c>
      <c r="H92" s="125">
        <v>0.4772727272727273</v>
      </c>
      <c r="I92" s="41">
        <v>6.0</v>
      </c>
      <c r="J92" s="41">
        <v>14597.0</v>
      </c>
      <c r="K92" s="41">
        <v>27.0</v>
      </c>
      <c r="L92" s="41">
        <v>25.0</v>
      </c>
      <c r="M92" s="41">
        <v>74.0</v>
      </c>
      <c r="N92" s="41">
        <v>83.0</v>
      </c>
      <c r="O92" s="122">
        <f t="shared" si="1"/>
        <v>0.3253012048</v>
      </c>
      <c r="P92" s="123">
        <f t="shared" si="5"/>
        <v>331.75</v>
      </c>
      <c r="Q92" s="123">
        <f t="shared" si="2"/>
        <v>0.6136363636</v>
      </c>
      <c r="R92" s="123">
        <f t="shared" si="6"/>
        <v>0.5681818182</v>
      </c>
      <c r="S92" s="123">
        <f t="shared" si="3"/>
        <v>1.681818182</v>
      </c>
      <c r="T92" s="123">
        <f t="shared" si="4"/>
        <v>1.886363636</v>
      </c>
      <c r="U92" s="41">
        <v>5.0</v>
      </c>
      <c r="V92" s="41">
        <v>0.0</v>
      </c>
      <c r="W92" s="41">
        <v>1.0</v>
      </c>
      <c r="X92" s="41">
        <v>12.0</v>
      </c>
      <c r="Y92" s="41">
        <v>25.0</v>
      </c>
      <c r="Z92" s="41">
        <v>37.0</v>
      </c>
    </row>
    <row r="93">
      <c r="A93" s="41" t="s">
        <v>899</v>
      </c>
      <c r="B93" s="41" t="s">
        <v>441</v>
      </c>
      <c r="C93" s="41" t="s">
        <v>1074</v>
      </c>
      <c r="D93" s="41" t="s">
        <v>1075</v>
      </c>
      <c r="E93" s="41">
        <v>40.0</v>
      </c>
      <c r="F93" s="41">
        <v>18.0</v>
      </c>
      <c r="G93" s="41">
        <v>22.0</v>
      </c>
      <c r="H93" s="125">
        <v>0.45</v>
      </c>
      <c r="I93" s="41">
        <v>8.0</v>
      </c>
      <c r="J93" s="41">
        <v>12223.0</v>
      </c>
      <c r="K93" s="41">
        <v>24.0</v>
      </c>
      <c r="L93" s="41">
        <v>28.0</v>
      </c>
      <c r="M93" s="41">
        <v>38.0</v>
      </c>
      <c r="N93" s="41">
        <v>96.0</v>
      </c>
      <c r="O93" s="122">
        <f t="shared" si="1"/>
        <v>0.25</v>
      </c>
      <c r="P93" s="123">
        <f t="shared" si="5"/>
        <v>305.575</v>
      </c>
      <c r="Q93" s="123">
        <f t="shared" si="2"/>
        <v>0.6</v>
      </c>
      <c r="R93" s="123">
        <f t="shared" si="6"/>
        <v>0.7</v>
      </c>
      <c r="S93" s="123">
        <f t="shared" si="3"/>
        <v>0.95</v>
      </c>
      <c r="T93" s="123">
        <f t="shared" si="4"/>
        <v>2.4</v>
      </c>
      <c r="U93" s="41">
        <v>6.0</v>
      </c>
      <c r="V93" s="41">
        <v>2.0</v>
      </c>
      <c r="W93" s="41">
        <v>1.0</v>
      </c>
      <c r="X93" s="41">
        <v>4.0</v>
      </c>
      <c r="Y93" s="41">
        <v>29.0</v>
      </c>
      <c r="Z93" s="41">
        <v>43.0</v>
      </c>
    </row>
    <row r="94">
      <c r="A94" s="41" t="s">
        <v>897</v>
      </c>
      <c r="B94" s="41" t="s">
        <v>511</v>
      </c>
      <c r="C94" s="41" t="s">
        <v>1076</v>
      </c>
      <c r="D94" s="41" t="s">
        <v>987</v>
      </c>
      <c r="E94" s="41">
        <v>45.0</v>
      </c>
      <c r="F94" s="41">
        <v>19.0</v>
      </c>
      <c r="G94" s="41">
        <v>26.0</v>
      </c>
      <c r="H94" s="125">
        <v>0.4222222222222222</v>
      </c>
      <c r="I94" s="41">
        <v>5.0</v>
      </c>
      <c r="J94" s="41">
        <v>15652.0</v>
      </c>
      <c r="K94" s="41">
        <v>32.0</v>
      </c>
      <c r="L94" s="41">
        <v>20.0</v>
      </c>
      <c r="M94" s="41">
        <v>53.0</v>
      </c>
      <c r="N94" s="41">
        <v>117.0</v>
      </c>
      <c r="O94" s="122">
        <f t="shared" si="1"/>
        <v>0.2735042735</v>
      </c>
      <c r="P94" s="123">
        <f t="shared" si="5"/>
        <v>347.8222222</v>
      </c>
      <c r="Q94" s="123">
        <f t="shared" si="2"/>
        <v>0.7111111111</v>
      </c>
      <c r="R94" s="123">
        <f t="shared" si="6"/>
        <v>0.4444444444</v>
      </c>
      <c r="S94" s="123">
        <f t="shared" si="3"/>
        <v>1.177777778</v>
      </c>
      <c r="T94" s="123">
        <f t="shared" si="4"/>
        <v>2.6</v>
      </c>
      <c r="U94" s="41">
        <v>5.0</v>
      </c>
      <c r="V94" s="41">
        <v>1.0</v>
      </c>
      <c r="W94" s="41">
        <v>0.0</v>
      </c>
      <c r="X94" s="41">
        <v>6.0</v>
      </c>
      <c r="Y94" s="41">
        <v>52.0</v>
      </c>
      <c r="Z94" s="41">
        <v>30.0</v>
      </c>
    </row>
    <row r="95">
      <c r="A95" s="41" t="s">
        <v>901</v>
      </c>
      <c r="B95" s="41" t="s">
        <v>368</v>
      </c>
      <c r="C95" s="41" t="s">
        <v>1077</v>
      </c>
      <c r="D95" s="41" t="s">
        <v>1078</v>
      </c>
      <c r="E95" s="41">
        <v>14.0</v>
      </c>
      <c r="F95" s="41">
        <v>4.0</v>
      </c>
      <c r="G95" s="41">
        <v>10.0</v>
      </c>
      <c r="H95" s="125">
        <v>0.2857142857142857</v>
      </c>
      <c r="I95" s="41">
        <v>2.0</v>
      </c>
      <c r="J95" s="41">
        <v>5279.0</v>
      </c>
      <c r="K95" s="41">
        <v>10.0</v>
      </c>
      <c r="L95" s="41">
        <v>10.0</v>
      </c>
      <c r="M95" s="41">
        <v>24.0</v>
      </c>
      <c r="N95" s="41">
        <v>36.0</v>
      </c>
      <c r="O95" s="122">
        <f t="shared" si="1"/>
        <v>0.2777777778</v>
      </c>
      <c r="P95" s="123">
        <f t="shared" si="5"/>
        <v>377.0714286</v>
      </c>
      <c r="Q95" s="123">
        <f t="shared" si="2"/>
        <v>0.7142857143</v>
      </c>
      <c r="R95" s="123">
        <f t="shared" si="6"/>
        <v>0.7142857143</v>
      </c>
      <c r="S95" s="123">
        <f t="shared" si="3"/>
        <v>1.714285714</v>
      </c>
      <c r="T95" s="123">
        <f t="shared" si="4"/>
        <v>2.571428571</v>
      </c>
      <c r="U95" s="41">
        <v>2.0</v>
      </c>
      <c r="V95" s="41">
        <v>2.0</v>
      </c>
      <c r="W95" s="41">
        <v>1.0</v>
      </c>
      <c r="X95" s="41">
        <v>5.0</v>
      </c>
      <c r="Y95" s="41">
        <v>14.0</v>
      </c>
      <c r="Z95" s="41">
        <v>18.0</v>
      </c>
    </row>
    <row r="96">
      <c r="A96" s="41" t="s">
        <v>905</v>
      </c>
      <c r="B96" s="41" t="s">
        <v>139</v>
      </c>
      <c r="C96" s="41" t="s">
        <v>1079</v>
      </c>
      <c r="D96" s="41" t="s">
        <v>1080</v>
      </c>
      <c r="E96" s="41">
        <v>36.0</v>
      </c>
      <c r="F96" s="41">
        <v>18.0</v>
      </c>
      <c r="G96" s="41">
        <v>18.0</v>
      </c>
      <c r="H96" s="125">
        <v>0.5</v>
      </c>
      <c r="I96" s="41">
        <v>10.0</v>
      </c>
      <c r="J96" s="41">
        <v>13661.0</v>
      </c>
      <c r="K96" s="41">
        <v>30.0</v>
      </c>
      <c r="L96" s="41">
        <v>18.0</v>
      </c>
      <c r="M96" s="41">
        <v>54.0</v>
      </c>
      <c r="N96" s="41">
        <v>102.0</v>
      </c>
      <c r="O96" s="122">
        <f t="shared" si="1"/>
        <v>0.2941176471</v>
      </c>
      <c r="P96" s="123">
        <f t="shared" si="5"/>
        <v>379.4722222</v>
      </c>
      <c r="Q96" s="123">
        <f t="shared" si="2"/>
        <v>0.8333333333</v>
      </c>
      <c r="R96" s="123">
        <f t="shared" si="6"/>
        <v>0.5</v>
      </c>
      <c r="S96" s="123">
        <f t="shared" si="3"/>
        <v>1.5</v>
      </c>
      <c r="T96" s="123">
        <f t="shared" si="4"/>
        <v>2.833333333</v>
      </c>
      <c r="U96" s="41">
        <v>4.0</v>
      </c>
      <c r="V96" s="41">
        <v>1.0</v>
      </c>
      <c r="W96" s="41">
        <v>1.0</v>
      </c>
      <c r="X96" s="41">
        <v>8.0</v>
      </c>
      <c r="Y96" s="41">
        <v>9.0</v>
      </c>
      <c r="Z96" s="41">
        <v>51.0</v>
      </c>
    </row>
    <row r="97">
      <c r="A97" s="41" t="s">
        <v>897</v>
      </c>
      <c r="B97" s="41" t="s">
        <v>503</v>
      </c>
      <c r="C97" s="41" t="s">
        <v>1081</v>
      </c>
      <c r="D97" s="41" t="s">
        <v>1082</v>
      </c>
      <c r="E97" s="41">
        <v>30.0</v>
      </c>
      <c r="F97" s="41">
        <v>12.0</v>
      </c>
      <c r="G97" s="41">
        <v>18.0</v>
      </c>
      <c r="H97" s="125">
        <v>0.4</v>
      </c>
      <c r="I97" s="41">
        <v>6.0</v>
      </c>
      <c r="J97" s="41">
        <v>11158.0</v>
      </c>
      <c r="K97" s="41">
        <v>23.0</v>
      </c>
      <c r="L97" s="41">
        <v>13.0</v>
      </c>
      <c r="M97" s="41">
        <v>56.0</v>
      </c>
      <c r="N97" s="41">
        <v>74.0</v>
      </c>
      <c r="O97" s="122">
        <f t="shared" si="1"/>
        <v>0.3108108108</v>
      </c>
      <c r="P97" s="123">
        <f t="shared" si="5"/>
        <v>371.9333333</v>
      </c>
      <c r="Q97" s="123">
        <f t="shared" si="2"/>
        <v>0.7666666667</v>
      </c>
      <c r="R97" s="123">
        <f t="shared" si="6"/>
        <v>0.4333333333</v>
      </c>
      <c r="S97" s="123">
        <f t="shared" si="3"/>
        <v>1.866666667</v>
      </c>
      <c r="T97" s="123">
        <f t="shared" si="4"/>
        <v>2.466666667</v>
      </c>
      <c r="U97" s="41">
        <v>7.0</v>
      </c>
      <c r="V97" s="41">
        <v>1.0</v>
      </c>
      <c r="W97" s="41">
        <v>0.0</v>
      </c>
      <c r="X97" s="41">
        <v>7.0</v>
      </c>
      <c r="Y97" s="41">
        <v>22.0</v>
      </c>
      <c r="Z97" s="41">
        <v>19.0</v>
      </c>
    </row>
    <row r="98">
      <c r="A98" s="41" t="s">
        <v>897</v>
      </c>
      <c r="B98" s="41" t="s">
        <v>490</v>
      </c>
      <c r="C98" s="41" t="s">
        <v>1083</v>
      </c>
      <c r="D98" s="41" t="s">
        <v>1084</v>
      </c>
      <c r="E98" s="41">
        <v>12.0</v>
      </c>
      <c r="F98" s="41">
        <v>6.0</v>
      </c>
      <c r="G98" s="41">
        <v>6.0</v>
      </c>
      <c r="H98" s="125">
        <v>0.5</v>
      </c>
      <c r="I98" s="41">
        <v>2.0</v>
      </c>
      <c r="J98" s="41">
        <v>4773.0</v>
      </c>
      <c r="K98" s="41">
        <v>11.0</v>
      </c>
      <c r="L98" s="41">
        <v>7.0</v>
      </c>
      <c r="M98" s="41">
        <v>18.0</v>
      </c>
      <c r="N98" s="41">
        <v>40.0</v>
      </c>
      <c r="O98" s="122">
        <f t="shared" si="1"/>
        <v>0.275</v>
      </c>
      <c r="P98" s="123">
        <f t="shared" si="5"/>
        <v>397.75</v>
      </c>
      <c r="Q98" s="123">
        <f t="shared" si="2"/>
        <v>0.9166666667</v>
      </c>
      <c r="R98" s="123">
        <f t="shared" si="6"/>
        <v>0.5833333333</v>
      </c>
      <c r="S98" s="123">
        <f t="shared" si="3"/>
        <v>1.5</v>
      </c>
      <c r="T98" s="123">
        <f t="shared" si="4"/>
        <v>3.333333333</v>
      </c>
      <c r="U98" s="41">
        <v>1.0</v>
      </c>
      <c r="V98" s="41">
        <v>0.0</v>
      </c>
      <c r="W98" s="41">
        <v>0.0</v>
      </c>
      <c r="X98" s="41">
        <v>4.0</v>
      </c>
      <c r="Y98" s="41">
        <v>6.0</v>
      </c>
      <c r="Z98" s="41">
        <v>13.0</v>
      </c>
    </row>
    <row r="99">
      <c r="A99" s="41" t="s">
        <v>904</v>
      </c>
      <c r="B99" s="41" t="s">
        <v>702</v>
      </c>
      <c r="C99" s="41" t="s">
        <v>1085</v>
      </c>
      <c r="D99" s="41" t="s">
        <v>1086</v>
      </c>
      <c r="E99" s="41">
        <v>26.0</v>
      </c>
      <c r="F99" s="41">
        <v>13.0</v>
      </c>
      <c r="G99" s="41">
        <v>13.0</v>
      </c>
      <c r="H99" s="125">
        <v>0.5</v>
      </c>
      <c r="I99" s="41">
        <v>1.0</v>
      </c>
      <c r="J99" s="41">
        <v>6630.0</v>
      </c>
      <c r="K99" s="41">
        <v>10.0</v>
      </c>
      <c r="L99" s="41">
        <v>15.0</v>
      </c>
      <c r="M99" s="41">
        <v>22.0</v>
      </c>
      <c r="N99" s="41">
        <v>39.0</v>
      </c>
      <c r="O99" s="122">
        <f t="shared" si="1"/>
        <v>0.2564102564</v>
      </c>
      <c r="P99" s="123">
        <f t="shared" si="5"/>
        <v>255</v>
      </c>
      <c r="Q99" s="123">
        <f t="shared" si="2"/>
        <v>0.3846153846</v>
      </c>
      <c r="R99" s="123">
        <f t="shared" si="6"/>
        <v>0.5769230769</v>
      </c>
      <c r="S99" s="123">
        <f t="shared" si="3"/>
        <v>0.8461538462</v>
      </c>
      <c r="T99" s="123">
        <f t="shared" si="4"/>
        <v>1.5</v>
      </c>
      <c r="U99" s="41">
        <v>4.0</v>
      </c>
      <c r="V99" s="41">
        <v>0.0</v>
      </c>
      <c r="W99" s="41">
        <v>0.0</v>
      </c>
      <c r="X99" s="41">
        <v>3.0</v>
      </c>
      <c r="Y99" s="41">
        <v>17.0</v>
      </c>
      <c r="Z99" s="41">
        <v>20.0</v>
      </c>
    </row>
    <row r="100">
      <c r="A100" s="41" t="s">
        <v>901</v>
      </c>
      <c r="B100" s="41" t="s">
        <v>353</v>
      </c>
      <c r="C100" s="41" t="s">
        <v>1087</v>
      </c>
      <c r="D100" s="41" t="s">
        <v>1088</v>
      </c>
      <c r="E100" s="41">
        <v>50.0</v>
      </c>
      <c r="F100" s="41">
        <v>18.0</v>
      </c>
      <c r="G100" s="41">
        <v>32.0</v>
      </c>
      <c r="H100" s="125">
        <v>0.36</v>
      </c>
      <c r="I100" s="41">
        <v>6.0</v>
      </c>
      <c r="J100" s="41">
        <v>18046.0</v>
      </c>
      <c r="K100" s="41">
        <v>39.0</v>
      </c>
      <c r="L100" s="41">
        <v>28.0</v>
      </c>
      <c r="M100" s="41">
        <v>67.0</v>
      </c>
      <c r="N100" s="41">
        <v>142.0</v>
      </c>
      <c r="O100" s="122">
        <f t="shared" si="1"/>
        <v>0.2746478873</v>
      </c>
      <c r="P100" s="123">
        <f t="shared" si="5"/>
        <v>360.92</v>
      </c>
      <c r="Q100" s="123">
        <f t="shared" si="2"/>
        <v>0.78</v>
      </c>
      <c r="R100" s="123">
        <f t="shared" si="6"/>
        <v>0.56</v>
      </c>
      <c r="S100" s="123">
        <f t="shared" si="3"/>
        <v>1.34</v>
      </c>
      <c r="T100" s="123">
        <f t="shared" si="4"/>
        <v>2.84</v>
      </c>
      <c r="U100" s="41">
        <v>7.0</v>
      </c>
      <c r="V100" s="41">
        <v>3.0</v>
      </c>
      <c r="W100" s="41">
        <v>3.0</v>
      </c>
      <c r="X100" s="41">
        <v>9.0</v>
      </c>
      <c r="Y100" s="41">
        <v>64.0</v>
      </c>
      <c r="Z100" s="41">
        <v>66.0</v>
      </c>
    </row>
    <row r="101">
      <c r="A101" s="41" t="s">
        <v>904</v>
      </c>
      <c r="B101" s="41" t="s">
        <v>719</v>
      </c>
      <c r="C101" s="41" t="s">
        <v>1089</v>
      </c>
      <c r="D101" s="41" t="s">
        <v>970</v>
      </c>
      <c r="E101" s="41">
        <v>6.0</v>
      </c>
      <c r="F101" s="41">
        <v>2.0</v>
      </c>
      <c r="G101" s="41">
        <v>4.0</v>
      </c>
      <c r="H101" s="125">
        <v>0.3333333333333333</v>
      </c>
      <c r="I101" s="41">
        <v>0.0</v>
      </c>
      <c r="J101" s="41">
        <v>1416.0</v>
      </c>
      <c r="K101" s="41">
        <v>4.0</v>
      </c>
      <c r="L101" s="41">
        <v>2.0</v>
      </c>
      <c r="M101" s="41">
        <v>2.0</v>
      </c>
      <c r="N101" s="41">
        <v>14.0</v>
      </c>
      <c r="O101" s="122">
        <f t="shared" si="1"/>
        <v>0.2857142857</v>
      </c>
      <c r="P101" s="123">
        <f t="shared" si="5"/>
        <v>236</v>
      </c>
      <c r="Q101" s="123">
        <f t="shared" si="2"/>
        <v>0.6666666667</v>
      </c>
      <c r="R101" s="123">
        <f t="shared" si="6"/>
        <v>0.3333333333</v>
      </c>
      <c r="S101" s="123">
        <f t="shared" si="3"/>
        <v>0.3333333333</v>
      </c>
      <c r="T101" s="123">
        <f t="shared" si="4"/>
        <v>2.333333333</v>
      </c>
      <c r="U101" s="41">
        <v>0.0</v>
      </c>
      <c r="V101" s="41">
        <v>0.0</v>
      </c>
      <c r="W101" s="41">
        <v>0.0</v>
      </c>
      <c r="X101" s="41">
        <v>0.0</v>
      </c>
      <c r="Y101" s="41">
        <v>5.0</v>
      </c>
      <c r="Z101" s="41">
        <v>7.0</v>
      </c>
    </row>
    <row r="102">
      <c r="A102" s="41" t="s">
        <v>902</v>
      </c>
      <c r="B102" s="41" t="s">
        <v>753</v>
      </c>
      <c r="C102" s="41" t="s">
        <v>1090</v>
      </c>
      <c r="D102" s="41" t="s">
        <v>1091</v>
      </c>
      <c r="E102" s="41">
        <v>52.0</v>
      </c>
      <c r="F102" s="41">
        <v>34.0</v>
      </c>
      <c r="G102" s="41">
        <v>18.0</v>
      </c>
      <c r="H102" s="125">
        <v>0.6538461538461539</v>
      </c>
      <c r="I102" s="41">
        <v>13.0</v>
      </c>
      <c r="J102" s="41">
        <v>18847.0</v>
      </c>
      <c r="K102" s="41">
        <v>43.0</v>
      </c>
      <c r="L102" s="41">
        <v>38.0</v>
      </c>
      <c r="M102" s="41">
        <v>61.0</v>
      </c>
      <c r="N102" s="41">
        <v>142.0</v>
      </c>
      <c r="O102" s="122">
        <f t="shared" si="1"/>
        <v>0.3028169014</v>
      </c>
      <c r="P102" s="123">
        <f t="shared" si="5"/>
        <v>362.4423077</v>
      </c>
      <c r="Q102" s="123">
        <f t="shared" si="2"/>
        <v>0.8269230769</v>
      </c>
      <c r="R102" s="123">
        <f t="shared" si="6"/>
        <v>0.7307692308</v>
      </c>
      <c r="S102" s="123">
        <f t="shared" si="3"/>
        <v>1.173076923</v>
      </c>
      <c r="T102" s="123">
        <f t="shared" si="4"/>
        <v>2.730769231</v>
      </c>
      <c r="U102" s="41">
        <v>10.0</v>
      </c>
      <c r="V102" s="41">
        <v>5.0</v>
      </c>
      <c r="W102" s="41">
        <v>1.0</v>
      </c>
      <c r="X102" s="41">
        <v>6.0</v>
      </c>
      <c r="Y102" s="41">
        <v>101.0</v>
      </c>
      <c r="Z102" s="41">
        <v>49.0</v>
      </c>
    </row>
    <row r="103">
      <c r="A103" s="41" t="s">
        <v>901</v>
      </c>
      <c r="B103" s="41" t="s">
        <v>302</v>
      </c>
      <c r="C103" s="41" t="s">
        <v>1092</v>
      </c>
      <c r="D103" s="41" t="s">
        <v>1093</v>
      </c>
      <c r="E103" s="41">
        <v>55.0</v>
      </c>
      <c r="F103" s="41">
        <v>28.0</v>
      </c>
      <c r="G103" s="41">
        <v>27.0</v>
      </c>
      <c r="H103" s="125">
        <v>0.509090909090909</v>
      </c>
      <c r="I103" s="41">
        <v>8.0</v>
      </c>
      <c r="J103" s="41">
        <v>21992.0</v>
      </c>
      <c r="K103" s="41">
        <v>56.0</v>
      </c>
      <c r="L103" s="41">
        <v>32.0</v>
      </c>
      <c r="M103" s="41">
        <v>81.0</v>
      </c>
      <c r="N103" s="41">
        <v>150.0</v>
      </c>
      <c r="O103" s="122">
        <f t="shared" si="1"/>
        <v>0.3733333333</v>
      </c>
      <c r="P103" s="123">
        <f t="shared" si="5"/>
        <v>399.8545455</v>
      </c>
      <c r="Q103" s="123">
        <f t="shared" si="2"/>
        <v>1.018181818</v>
      </c>
      <c r="R103" s="123">
        <f t="shared" si="6"/>
        <v>0.5818181818</v>
      </c>
      <c r="S103" s="123">
        <f t="shared" si="3"/>
        <v>1.472727273</v>
      </c>
      <c r="T103" s="123">
        <f t="shared" si="4"/>
        <v>2.727272727</v>
      </c>
      <c r="U103" s="41">
        <v>16.0</v>
      </c>
      <c r="V103" s="41">
        <v>2.0</v>
      </c>
      <c r="W103" s="41">
        <v>0.0</v>
      </c>
      <c r="X103" s="41">
        <v>10.0</v>
      </c>
      <c r="Y103" s="41">
        <v>62.0</v>
      </c>
      <c r="Z103" s="41">
        <v>47.0</v>
      </c>
    </row>
    <row r="104">
      <c r="A104" s="41" t="s">
        <v>904</v>
      </c>
      <c r="B104" s="41" t="s">
        <v>611</v>
      </c>
      <c r="C104" s="41" t="s">
        <v>1094</v>
      </c>
      <c r="D104" s="41" t="s">
        <v>1095</v>
      </c>
      <c r="E104" s="41">
        <v>46.0</v>
      </c>
      <c r="F104" s="41">
        <v>21.0</v>
      </c>
      <c r="G104" s="41">
        <v>25.0</v>
      </c>
      <c r="H104" s="125">
        <v>0.45652173913043476</v>
      </c>
      <c r="I104" s="41">
        <v>12.0</v>
      </c>
      <c r="J104" s="41">
        <v>18609.0</v>
      </c>
      <c r="K104" s="41">
        <v>40.0</v>
      </c>
      <c r="L104" s="41">
        <v>21.0</v>
      </c>
      <c r="M104" s="41">
        <v>76.0</v>
      </c>
      <c r="N104" s="41">
        <v>133.0</v>
      </c>
      <c r="O104" s="122">
        <f t="shared" si="1"/>
        <v>0.3007518797</v>
      </c>
      <c r="P104" s="123">
        <f t="shared" si="5"/>
        <v>404.5434783</v>
      </c>
      <c r="Q104" s="123">
        <f t="shared" si="2"/>
        <v>0.8695652174</v>
      </c>
      <c r="R104" s="123">
        <f t="shared" si="6"/>
        <v>0.4565217391</v>
      </c>
      <c r="S104" s="123">
        <f t="shared" si="3"/>
        <v>1.652173913</v>
      </c>
      <c r="T104" s="123">
        <f t="shared" si="4"/>
        <v>2.891304348</v>
      </c>
      <c r="U104" s="41">
        <v>10.0</v>
      </c>
      <c r="V104" s="41">
        <v>3.0</v>
      </c>
      <c r="W104" s="41">
        <v>0.0</v>
      </c>
      <c r="X104" s="41">
        <v>9.0</v>
      </c>
      <c r="Y104" s="41">
        <v>31.0</v>
      </c>
      <c r="Z104" s="41">
        <v>42.0</v>
      </c>
    </row>
    <row r="105">
      <c r="A105" s="41" t="s">
        <v>902</v>
      </c>
      <c r="B105" s="41" t="s">
        <v>781</v>
      </c>
      <c r="C105" s="41" t="s">
        <v>1096</v>
      </c>
      <c r="D105" s="41" t="s">
        <v>1097</v>
      </c>
      <c r="E105" s="41">
        <v>52.0</v>
      </c>
      <c r="F105" s="41">
        <v>24.0</v>
      </c>
      <c r="G105" s="41">
        <v>28.0</v>
      </c>
      <c r="H105" s="125">
        <v>0.46153846153846156</v>
      </c>
      <c r="I105" s="41">
        <v>6.0</v>
      </c>
      <c r="J105" s="41">
        <v>19238.0</v>
      </c>
      <c r="K105" s="41">
        <v>42.0</v>
      </c>
      <c r="L105" s="41">
        <v>35.0</v>
      </c>
      <c r="M105" s="41">
        <v>67.0</v>
      </c>
      <c r="N105" s="41">
        <v>143.0</v>
      </c>
      <c r="O105" s="122">
        <f t="shared" si="1"/>
        <v>0.2937062937</v>
      </c>
      <c r="P105" s="123">
        <f t="shared" si="5"/>
        <v>369.9615385</v>
      </c>
      <c r="Q105" s="123">
        <f t="shared" si="2"/>
        <v>0.8076923077</v>
      </c>
      <c r="R105" s="123">
        <f t="shared" si="6"/>
        <v>0.6730769231</v>
      </c>
      <c r="S105" s="123">
        <f t="shared" si="3"/>
        <v>1.288461538</v>
      </c>
      <c r="T105" s="123">
        <f t="shared" si="4"/>
        <v>2.75</v>
      </c>
      <c r="U105" s="41">
        <v>13.0</v>
      </c>
      <c r="V105" s="41">
        <v>2.0</v>
      </c>
      <c r="W105" s="41">
        <v>2.0</v>
      </c>
      <c r="X105" s="41">
        <v>8.0</v>
      </c>
      <c r="Y105" s="41">
        <v>227.0</v>
      </c>
      <c r="Z105" s="41">
        <v>62.0</v>
      </c>
    </row>
    <row r="106">
      <c r="A106" s="41" t="s">
        <v>904</v>
      </c>
      <c r="B106" s="41" t="s">
        <v>709</v>
      </c>
      <c r="C106" s="41" t="s">
        <v>1098</v>
      </c>
      <c r="D106" s="41" t="s">
        <v>1017</v>
      </c>
      <c r="E106" s="41">
        <v>54.0</v>
      </c>
      <c r="F106" s="41">
        <v>14.0</v>
      </c>
      <c r="G106" s="41">
        <v>40.0</v>
      </c>
      <c r="H106" s="125">
        <v>0.25925925925925924</v>
      </c>
      <c r="I106" s="41">
        <v>3.0</v>
      </c>
      <c r="J106" s="41">
        <v>16216.0</v>
      </c>
      <c r="K106" s="41">
        <v>30.0</v>
      </c>
      <c r="L106" s="41">
        <v>18.0</v>
      </c>
      <c r="M106" s="41">
        <v>69.0</v>
      </c>
      <c r="N106" s="41">
        <v>111.0</v>
      </c>
      <c r="O106" s="122">
        <f t="shared" si="1"/>
        <v>0.2702702703</v>
      </c>
      <c r="P106" s="123">
        <f t="shared" si="5"/>
        <v>300.2962963</v>
      </c>
      <c r="Q106" s="123">
        <f t="shared" si="2"/>
        <v>0.5555555556</v>
      </c>
      <c r="R106" s="123">
        <f t="shared" si="6"/>
        <v>0.3333333333</v>
      </c>
      <c r="S106" s="123">
        <f t="shared" si="3"/>
        <v>1.277777778</v>
      </c>
      <c r="T106" s="123">
        <f t="shared" si="4"/>
        <v>2.055555556</v>
      </c>
      <c r="U106" s="41">
        <v>6.0</v>
      </c>
      <c r="V106" s="41">
        <v>0.0</v>
      </c>
      <c r="W106" s="41">
        <v>0.0</v>
      </c>
      <c r="X106" s="41">
        <v>8.0</v>
      </c>
      <c r="Y106" s="41">
        <v>35.0</v>
      </c>
      <c r="Z106" s="41">
        <v>52.0</v>
      </c>
    </row>
    <row r="107">
      <c r="A107" s="41" t="s">
        <v>902</v>
      </c>
      <c r="B107" s="41" t="s">
        <v>765</v>
      </c>
      <c r="C107" s="41" t="s">
        <v>1099</v>
      </c>
      <c r="D107" s="41" t="s">
        <v>1100</v>
      </c>
      <c r="E107" s="41">
        <v>35.0</v>
      </c>
      <c r="F107" s="41">
        <v>21.0</v>
      </c>
      <c r="G107" s="41">
        <v>14.0</v>
      </c>
      <c r="H107" s="125">
        <v>0.6</v>
      </c>
      <c r="I107" s="41">
        <v>5.0</v>
      </c>
      <c r="J107" s="41">
        <v>13288.0</v>
      </c>
      <c r="K107" s="41">
        <v>33.0</v>
      </c>
      <c r="L107" s="41">
        <v>15.0</v>
      </c>
      <c r="M107" s="41">
        <v>50.0</v>
      </c>
      <c r="N107" s="41">
        <v>94.0</v>
      </c>
      <c r="O107" s="122">
        <f t="shared" si="1"/>
        <v>0.3510638298</v>
      </c>
      <c r="P107" s="123">
        <f t="shared" si="5"/>
        <v>379.6571429</v>
      </c>
      <c r="Q107" s="123">
        <f t="shared" si="2"/>
        <v>0.9428571429</v>
      </c>
      <c r="R107" s="123">
        <f t="shared" si="6"/>
        <v>0.4285714286</v>
      </c>
      <c r="S107" s="123">
        <f t="shared" si="3"/>
        <v>1.428571429</v>
      </c>
      <c r="T107" s="123">
        <f t="shared" si="4"/>
        <v>2.685714286</v>
      </c>
      <c r="U107" s="41">
        <v>5.0</v>
      </c>
      <c r="V107" s="41">
        <v>1.0</v>
      </c>
      <c r="W107" s="41">
        <v>0.0</v>
      </c>
      <c r="X107" s="41">
        <v>5.0</v>
      </c>
      <c r="Y107" s="41">
        <v>44.0</v>
      </c>
      <c r="Z107" s="41">
        <v>38.0</v>
      </c>
    </row>
    <row r="108">
      <c r="A108" s="41" t="s">
        <v>906</v>
      </c>
      <c r="B108" s="41" t="s">
        <v>538</v>
      </c>
      <c r="C108" s="41" t="s">
        <v>1101</v>
      </c>
      <c r="D108" s="41" t="s">
        <v>1102</v>
      </c>
      <c r="E108" s="41">
        <v>55.0</v>
      </c>
      <c r="F108" s="41">
        <v>31.0</v>
      </c>
      <c r="G108" s="41">
        <v>24.0</v>
      </c>
      <c r="H108" s="125">
        <v>0.5636363636363636</v>
      </c>
      <c r="I108" s="41">
        <v>12.0</v>
      </c>
      <c r="J108" s="41">
        <v>18650.0</v>
      </c>
      <c r="K108" s="41">
        <v>43.0</v>
      </c>
      <c r="L108" s="41">
        <v>32.0</v>
      </c>
      <c r="M108" s="41">
        <v>55.0</v>
      </c>
      <c r="N108" s="41">
        <v>145.0</v>
      </c>
      <c r="O108" s="122">
        <f t="shared" si="1"/>
        <v>0.2965517241</v>
      </c>
      <c r="P108" s="123">
        <f t="shared" si="5"/>
        <v>339.0909091</v>
      </c>
      <c r="Q108" s="123">
        <f t="shared" si="2"/>
        <v>0.7818181818</v>
      </c>
      <c r="R108" s="123">
        <f t="shared" si="6"/>
        <v>0.5818181818</v>
      </c>
      <c r="S108" s="123">
        <f t="shared" si="3"/>
        <v>1</v>
      </c>
      <c r="T108" s="123">
        <f t="shared" si="4"/>
        <v>2.636363636</v>
      </c>
      <c r="U108" s="41">
        <v>9.0</v>
      </c>
      <c r="V108" s="41">
        <v>3.0</v>
      </c>
      <c r="W108" s="41">
        <v>3.0</v>
      </c>
      <c r="X108" s="41">
        <v>2.0</v>
      </c>
      <c r="Y108" s="41">
        <v>56.0</v>
      </c>
      <c r="Z108" s="41">
        <v>38.0</v>
      </c>
    </row>
    <row r="109">
      <c r="A109" s="41" t="s">
        <v>905</v>
      </c>
      <c r="B109" s="41" t="s">
        <v>107</v>
      </c>
      <c r="C109" s="41" t="s">
        <v>1103</v>
      </c>
      <c r="D109" s="41" t="s">
        <v>913</v>
      </c>
      <c r="E109" s="41">
        <v>56.0</v>
      </c>
      <c r="F109" s="41">
        <v>40.0</v>
      </c>
      <c r="G109" s="41">
        <v>16.0</v>
      </c>
      <c r="H109" s="125">
        <v>0.7142857142857143</v>
      </c>
      <c r="I109" s="41">
        <v>14.0</v>
      </c>
      <c r="J109" s="41">
        <v>22611.0</v>
      </c>
      <c r="K109" s="41">
        <v>73.0</v>
      </c>
      <c r="L109" s="41">
        <v>48.0</v>
      </c>
      <c r="M109" s="41">
        <v>47.0</v>
      </c>
      <c r="N109" s="41">
        <v>208.0</v>
      </c>
      <c r="O109" s="122">
        <f t="shared" si="1"/>
        <v>0.3509615385</v>
      </c>
      <c r="P109" s="123">
        <f t="shared" si="5"/>
        <v>403.7678571</v>
      </c>
      <c r="Q109" s="123">
        <f t="shared" si="2"/>
        <v>1.303571429</v>
      </c>
      <c r="R109" s="123">
        <f t="shared" si="6"/>
        <v>0.8571428571</v>
      </c>
      <c r="S109" s="123">
        <f t="shared" si="3"/>
        <v>0.8392857143</v>
      </c>
      <c r="T109" s="123">
        <f t="shared" si="4"/>
        <v>3.714285714</v>
      </c>
      <c r="U109" s="41">
        <v>18.0</v>
      </c>
      <c r="V109" s="41">
        <v>6.0</v>
      </c>
      <c r="W109" s="41">
        <v>1.0</v>
      </c>
      <c r="X109" s="41">
        <v>2.0</v>
      </c>
      <c r="Y109" s="41">
        <v>35.0</v>
      </c>
      <c r="Z109" s="41">
        <v>58.0</v>
      </c>
    </row>
    <row r="110">
      <c r="A110" s="41" t="s">
        <v>904</v>
      </c>
      <c r="B110" s="41" t="s">
        <v>664</v>
      </c>
      <c r="C110" s="41" t="s">
        <v>1104</v>
      </c>
      <c r="D110" s="41" t="s">
        <v>1105</v>
      </c>
      <c r="E110" s="41">
        <v>20.0</v>
      </c>
      <c r="F110" s="41">
        <v>12.0</v>
      </c>
      <c r="G110" s="41">
        <v>8.0</v>
      </c>
      <c r="H110" s="125">
        <v>0.6</v>
      </c>
      <c r="I110" s="41">
        <v>4.0</v>
      </c>
      <c r="J110" s="41">
        <v>6282.0</v>
      </c>
      <c r="K110" s="41">
        <v>16.0</v>
      </c>
      <c r="L110" s="41">
        <v>11.0</v>
      </c>
      <c r="M110" s="41">
        <v>20.0</v>
      </c>
      <c r="N110" s="41">
        <v>46.0</v>
      </c>
      <c r="O110" s="122">
        <f t="shared" si="1"/>
        <v>0.347826087</v>
      </c>
      <c r="P110" s="123">
        <f t="shared" si="5"/>
        <v>314.1</v>
      </c>
      <c r="Q110" s="123">
        <f t="shared" si="2"/>
        <v>0.8</v>
      </c>
      <c r="R110" s="123">
        <f t="shared" si="6"/>
        <v>0.55</v>
      </c>
      <c r="S110" s="123">
        <f t="shared" si="3"/>
        <v>1</v>
      </c>
      <c r="T110" s="123">
        <f t="shared" si="4"/>
        <v>2.3</v>
      </c>
      <c r="U110" s="41">
        <v>5.0</v>
      </c>
      <c r="V110" s="41">
        <v>0.0</v>
      </c>
      <c r="W110" s="41">
        <v>0.0</v>
      </c>
      <c r="X110" s="41">
        <v>0.0</v>
      </c>
      <c r="Y110" s="41">
        <v>17.0</v>
      </c>
      <c r="Z110" s="41">
        <v>21.0</v>
      </c>
    </row>
    <row r="111">
      <c r="A111" s="41" t="s">
        <v>904</v>
      </c>
      <c r="B111" s="41" t="s">
        <v>656</v>
      </c>
      <c r="C111" s="41" t="s">
        <v>1106</v>
      </c>
      <c r="D111" s="41" t="s">
        <v>1107</v>
      </c>
      <c r="E111" s="41">
        <v>12.0</v>
      </c>
      <c r="F111" s="41">
        <v>7.0</v>
      </c>
      <c r="G111" s="41">
        <v>5.0</v>
      </c>
      <c r="H111" s="125">
        <v>0.5833333333333334</v>
      </c>
      <c r="I111" s="41">
        <v>2.0</v>
      </c>
      <c r="J111" s="41">
        <v>3999.0</v>
      </c>
      <c r="K111" s="41">
        <v>6.0</v>
      </c>
      <c r="L111" s="41">
        <v>10.0</v>
      </c>
      <c r="M111" s="41">
        <v>13.0</v>
      </c>
      <c r="N111" s="41">
        <v>25.0</v>
      </c>
      <c r="O111" s="122">
        <f t="shared" si="1"/>
        <v>0.24</v>
      </c>
      <c r="P111" s="123">
        <f t="shared" si="5"/>
        <v>333.25</v>
      </c>
      <c r="Q111" s="123">
        <f t="shared" si="2"/>
        <v>0.5</v>
      </c>
      <c r="R111" s="123">
        <f t="shared" si="6"/>
        <v>0.8333333333</v>
      </c>
      <c r="S111" s="123">
        <f t="shared" si="3"/>
        <v>1.083333333</v>
      </c>
      <c r="T111" s="123">
        <f t="shared" si="4"/>
        <v>2.083333333</v>
      </c>
      <c r="U111" s="41">
        <v>2.0</v>
      </c>
      <c r="V111" s="41">
        <v>0.0</v>
      </c>
      <c r="W111" s="41">
        <v>1.0</v>
      </c>
      <c r="X111" s="41">
        <v>1.0</v>
      </c>
      <c r="Y111" s="41">
        <v>8.0</v>
      </c>
      <c r="Z111" s="41">
        <v>10.0</v>
      </c>
    </row>
    <row r="112">
      <c r="A112" s="41" t="s">
        <v>901</v>
      </c>
      <c r="B112" s="41" t="s">
        <v>389</v>
      </c>
      <c r="C112" s="41" t="s">
        <v>1108</v>
      </c>
      <c r="D112" s="41" t="s">
        <v>1109</v>
      </c>
      <c r="E112" s="41">
        <v>2.0</v>
      </c>
      <c r="F112" s="41">
        <v>2.0</v>
      </c>
      <c r="G112" s="41">
        <v>0.0</v>
      </c>
      <c r="H112" s="125">
        <v>1.0</v>
      </c>
      <c r="I112" s="41">
        <v>0.0</v>
      </c>
      <c r="J112" s="41">
        <v>414.0</v>
      </c>
      <c r="K112" s="41">
        <v>1.0</v>
      </c>
      <c r="L112" s="41">
        <v>0.0</v>
      </c>
      <c r="M112" s="41">
        <v>1.0</v>
      </c>
      <c r="N112" s="41">
        <v>5.0</v>
      </c>
      <c r="O112" s="122">
        <f t="shared" si="1"/>
        <v>0.2</v>
      </c>
      <c r="P112" s="123">
        <f t="shared" si="5"/>
        <v>207</v>
      </c>
      <c r="Q112" s="123">
        <f t="shared" si="2"/>
        <v>0.5</v>
      </c>
      <c r="R112" s="123">
        <f t="shared" si="6"/>
        <v>0</v>
      </c>
      <c r="S112" s="123">
        <f t="shared" si="3"/>
        <v>0.5</v>
      </c>
      <c r="T112" s="123">
        <f t="shared" si="4"/>
        <v>2.5</v>
      </c>
      <c r="U112" s="41">
        <v>0.0</v>
      </c>
      <c r="V112" s="41">
        <v>0.0</v>
      </c>
      <c r="W112" s="41">
        <v>0.0</v>
      </c>
      <c r="X112" s="41">
        <v>0.0</v>
      </c>
      <c r="Y112" s="41">
        <v>1.0</v>
      </c>
      <c r="Z112" s="41">
        <v>1.0</v>
      </c>
    </row>
    <row r="113">
      <c r="A113" s="41" t="s">
        <v>904</v>
      </c>
      <c r="B113" s="41" t="s">
        <v>658</v>
      </c>
      <c r="C113" s="41" t="s">
        <v>1110</v>
      </c>
      <c r="D113" s="41" t="s">
        <v>1111</v>
      </c>
      <c r="E113" s="41">
        <v>40.0</v>
      </c>
      <c r="F113" s="41">
        <v>17.0</v>
      </c>
      <c r="G113" s="41">
        <v>23.0</v>
      </c>
      <c r="H113" s="125">
        <v>0.425</v>
      </c>
      <c r="I113" s="41">
        <v>7.0</v>
      </c>
      <c r="J113" s="41">
        <v>13033.0</v>
      </c>
      <c r="K113" s="41">
        <v>32.0</v>
      </c>
      <c r="L113" s="41">
        <v>16.0</v>
      </c>
      <c r="M113" s="41">
        <v>45.0</v>
      </c>
      <c r="N113" s="41">
        <v>113.0</v>
      </c>
      <c r="O113" s="122">
        <f t="shared" si="1"/>
        <v>0.2831858407</v>
      </c>
      <c r="P113" s="123">
        <f t="shared" si="5"/>
        <v>325.825</v>
      </c>
      <c r="Q113" s="123">
        <f t="shared" si="2"/>
        <v>0.8</v>
      </c>
      <c r="R113" s="123">
        <f t="shared" si="6"/>
        <v>0.4</v>
      </c>
      <c r="S113" s="123">
        <f t="shared" si="3"/>
        <v>1.125</v>
      </c>
      <c r="T113" s="123">
        <f t="shared" si="4"/>
        <v>2.825</v>
      </c>
      <c r="U113" s="41">
        <v>7.0</v>
      </c>
      <c r="V113" s="41">
        <v>2.0</v>
      </c>
      <c r="W113" s="41">
        <v>0.0</v>
      </c>
      <c r="X113" s="41">
        <v>5.0</v>
      </c>
      <c r="Y113" s="41">
        <v>28.0</v>
      </c>
      <c r="Z113" s="41">
        <v>49.0</v>
      </c>
    </row>
    <row r="114">
      <c r="A114" s="41" t="s">
        <v>902</v>
      </c>
      <c r="B114" s="41" t="s">
        <v>772</v>
      </c>
      <c r="C114" s="41" t="s">
        <v>1112</v>
      </c>
      <c r="D114" s="41" t="s">
        <v>1113</v>
      </c>
      <c r="E114" s="41">
        <v>4.0</v>
      </c>
      <c r="F114" s="41">
        <v>1.0</v>
      </c>
      <c r="G114" s="41">
        <v>3.0</v>
      </c>
      <c r="H114" s="125">
        <v>0.25</v>
      </c>
      <c r="I114" s="41">
        <v>0.0</v>
      </c>
      <c r="J114" s="41">
        <v>1304.0</v>
      </c>
      <c r="K114" s="41">
        <v>4.0</v>
      </c>
      <c r="L114" s="41">
        <v>3.0</v>
      </c>
      <c r="M114" s="41">
        <v>3.0</v>
      </c>
      <c r="N114" s="41">
        <v>11.0</v>
      </c>
      <c r="O114" s="122">
        <f t="shared" si="1"/>
        <v>0.3636363636</v>
      </c>
      <c r="P114" s="123">
        <f t="shared" si="5"/>
        <v>326</v>
      </c>
      <c r="Q114" s="123">
        <f t="shared" si="2"/>
        <v>1</v>
      </c>
      <c r="R114" s="123">
        <f t="shared" si="6"/>
        <v>0.75</v>
      </c>
      <c r="S114" s="123">
        <f t="shared" si="3"/>
        <v>0.75</v>
      </c>
      <c r="T114" s="123">
        <f t="shared" si="4"/>
        <v>2.75</v>
      </c>
      <c r="U114" s="41">
        <v>1.0</v>
      </c>
      <c r="V114" s="41">
        <v>0.0</v>
      </c>
      <c r="W114" s="41">
        <v>0.0</v>
      </c>
      <c r="X114" s="41">
        <v>0.0</v>
      </c>
      <c r="Y114" s="41">
        <v>2.0</v>
      </c>
      <c r="Z114" s="41">
        <v>9.0</v>
      </c>
    </row>
    <row r="115">
      <c r="A115" s="41" t="s">
        <v>899</v>
      </c>
      <c r="B115" s="41" t="s">
        <v>444</v>
      </c>
      <c r="C115" s="41" t="s">
        <v>1114</v>
      </c>
      <c r="D115" s="41" t="s">
        <v>1073</v>
      </c>
      <c r="E115" s="41">
        <v>48.0</v>
      </c>
      <c r="F115" s="41">
        <v>21.0</v>
      </c>
      <c r="G115" s="41">
        <v>27.0</v>
      </c>
      <c r="H115" s="125">
        <v>0.4375</v>
      </c>
      <c r="I115" s="41">
        <v>8.0</v>
      </c>
      <c r="J115" s="41">
        <v>15818.0</v>
      </c>
      <c r="K115" s="41">
        <v>37.0</v>
      </c>
      <c r="L115" s="41">
        <v>21.0</v>
      </c>
      <c r="M115" s="41">
        <v>50.0</v>
      </c>
      <c r="N115" s="41">
        <v>119.0</v>
      </c>
      <c r="O115" s="122">
        <f t="shared" si="1"/>
        <v>0.3109243697</v>
      </c>
      <c r="P115" s="123">
        <f t="shared" si="5"/>
        <v>329.5416667</v>
      </c>
      <c r="Q115" s="123">
        <f t="shared" si="2"/>
        <v>0.7708333333</v>
      </c>
      <c r="R115" s="123">
        <f t="shared" si="6"/>
        <v>0.4375</v>
      </c>
      <c r="S115" s="123">
        <f t="shared" si="3"/>
        <v>1.041666667</v>
      </c>
      <c r="T115" s="123">
        <f t="shared" si="4"/>
        <v>2.479166667</v>
      </c>
      <c r="U115" s="41">
        <v>6.0</v>
      </c>
      <c r="V115" s="41">
        <v>4.0</v>
      </c>
      <c r="W115" s="41">
        <v>1.0</v>
      </c>
      <c r="X115" s="41">
        <v>4.0</v>
      </c>
      <c r="Y115" s="41">
        <v>40.0</v>
      </c>
      <c r="Z115" s="41">
        <v>58.0</v>
      </c>
    </row>
    <row r="116">
      <c r="A116" s="41" t="s">
        <v>906</v>
      </c>
      <c r="B116" s="41" t="s">
        <v>518</v>
      </c>
      <c r="C116" s="41" t="s">
        <v>1115</v>
      </c>
      <c r="D116" s="41" t="s">
        <v>1116</v>
      </c>
      <c r="E116" s="41">
        <v>39.0</v>
      </c>
      <c r="F116" s="41">
        <v>21.0</v>
      </c>
      <c r="G116" s="41">
        <v>18.0</v>
      </c>
      <c r="H116" s="125">
        <v>0.5384615384615384</v>
      </c>
      <c r="I116" s="41">
        <v>12.0</v>
      </c>
      <c r="J116" s="41">
        <v>14341.0</v>
      </c>
      <c r="K116" s="41">
        <v>38.0</v>
      </c>
      <c r="L116" s="41">
        <v>14.0</v>
      </c>
      <c r="M116" s="41">
        <v>44.0</v>
      </c>
      <c r="N116" s="41">
        <v>109.0</v>
      </c>
      <c r="O116" s="122">
        <f t="shared" si="1"/>
        <v>0.3486238532</v>
      </c>
      <c r="P116" s="123">
        <f t="shared" si="5"/>
        <v>367.7179487</v>
      </c>
      <c r="Q116" s="123">
        <f t="shared" si="2"/>
        <v>0.9743589744</v>
      </c>
      <c r="R116" s="123">
        <f t="shared" si="6"/>
        <v>0.358974359</v>
      </c>
      <c r="S116" s="123">
        <f t="shared" si="3"/>
        <v>1.128205128</v>
      </c>
      <c r="T116" s="123">
        <f t="shared" si="4"/>
        <v>2.794871795</v>
      </c>
      <c r="U116" s="41">
        <v>6.0</v>
      </c>
      <c r="V116" s="41">
        <v>2.0</v>
      </c>
      <c r="W116" s="41">
        <v>0.0</v>
      </c>
      <c r="X116" s="41">
        <v>5.0</v>
      </c>
      <c r="Y116" s="41">
        <v>25.0</v>
      </c>
      <c r="Z116" s="41">
        <v>35.0</v>
      </c>
    </row>
    <row r="117">
      <c r="A117" s="41" t="s">
        <v>901</v>
      </c>
      <c r="B117" s="41" t="s">
        <v>295</v>
      </c>
      <c r="C117" s="41" t="s">
        <v>1117</v>
      </c>
      <c r="D117" s="41" t="s">
        <v>1118</v>
      </c>
      <c r="E117" s="41">
        <v>28.0</v>
      </c>
      <c r="F117" s="41">
        <v>11.0</v>
      </c>
      <c r="G117" s="41">
        <v>17.0</v>
      </c>
      <c r="H117" s="125">
        <v>0.39285714285714285</v>
      </c>
      <c r="I117" s="41">
        <v>4.0</v>
      </c>
      <c r="J117" s="41">
        <v>11263.0</v>
      </c>
      <c r="K117" s="41">
        <v>24.0</v>
      </c>
      <c r="L117" s="41">
        <v>24.0</v>
      </c>
      <c r="M117" s="41">
        <v>37.0</v>
      </c>
      <c r="N117" s="41">
        <v>92.0</v>
      </c>
      <c r="O117" s="122">
        <f t="shared" si="1"/>
        <v>0.2608695652</v>
      </c>
      <c r="P117" s="123">
        <f t="shared" si="5"/>
        <v>402.25</v>
      </c>
      <c r="Q117" s="123">
        <f t="shared" si="2"/>
        <v>0.8571428571</v>
      </c>
      <c r="R117" s="123">
        <f t="shared" si="6"/>
        <v>0.8571428571</v>
      </c>
      <c r="S117" s="123">
        <f t="shared" si="3"/>
        <v>1.321428571</v>
      </c>
      <c r="T117" s="123">
        <f t="shared" si="4"/>
        <v>3.285714286</v>
      </c>
      <c r="U117" s="41">
        <v>5.0</v>
      </c>
      <c r="V117" s="41">
        <v>1.0</v>
      </c>
      <c r="W117" s="41">
        <v>1.0</v>
      </c>
      <c r="X117" s="41">
        <v>6.0</v>
      </c>
      <c r="Y117" s="41">
        <v>25.0</v>
      </c>
      <c r="Z117" s="41">
        <v>27.0</v>
      </c>
    </row>
    <row r="118">
      <c r="A118" s="41" t="s">
        <v>905</v>
      </c>
      <c r="B118" s="41" t="s">
        <v>250</v>
      </c>
      <c r="C118" s="41" t="s">
        <v>1119</v>
      </c>
      <c r="D118" s="41" t="s">
        <v>1120</v>
      </c>
      <c r="E118" s="41">
        <v>10.0</v>
      </c>
      <c r="F118" s="41">
        <v>4.0</v>
      </c>
      <c r="G118" s="41">
        <v>6.0</v>
      </c>
      <c r="H118" s="125">
        <v>0.4</v>
      </c>
      <c r="I118" s="41">
        <v>1.0</v>
      </c>
      <c r="J118" s="41">
        <v>2655.0</v>
      </c>
      <c r="K118" s="41">
        <v>4.0</v>
      </c>
      <c r="L118" s="41">
        <v>0.0</v>
      </c>
      <c r="M118" s="41">
        <v>13.0</v>
      </c>
      <c r="N118" s="41">
        <v>23.0</v>
      </c>
      <c r="O118" s="122">
        <f t="shared" si="1"/>
        <v>0.1739130435</v>
      </c>
      <c r="P118" s="123">
        <f t="shared" si="5"/>
        <v>265.5</v>
      </c>
      <c r="Q118" s="123">
        <f t="shared" si="2"/>
        <v>0.4</v>
      </c>
      <c r="R118" s="123">
        <f t="shared" si="6"/>
        <v>0</v>
      </c>
      <c r="S118" s="123">
        <f t="shared" si="3"/>
        <v>1.3</v>
      </c>
      <c r="T118" s="123">
        <f t="shared" si="4"/>
        <v>2.3</v>
      </c>
      <c r="U118" s="41">
        <v>0.0</v>
      </c>
      <c r="V118" s="41">
        <v>0.0</v>
      </c>
      <c r="W118" s="41">
        <v>0.0</v>
      </c>
      <c r="X118" s="41">
        <v>1.0</v>
      </c>
      <c r="Y118" s="41">
        <v>15.0</v>
      </c>
      <c r="Z118" s="41">
        <v>13.0</v>
      </c>
    </row>
    <row r="119">
      <c r="A119" s="41" t="s">
        <v>901</v>
      </c>
      <c r="B119" s="41" t="s">
        <v>403</v>
      </c>
      <c r="C119" s="41" t="s">
        <v>1121</v>
      </c>
      <c r="D119" s="41" t="s">
        <v>1122</v>
      </c>
      <c r="E119" s="41">
        <v>1.0</v>
      </c>
      <c r="F119" s="41">
        <v>0.0</v>
      </c>
      <c r="G119" s="41">
        <v>1.0</v>
      </c>
      <c r="H119" s="125">
        <v>0.0</v>
      </c>
      <c r="I119" s="41">
        <v>0.0</v>
      </c>
      <c r="J119" s="41">
        <v>284.0</v>
      </c>
      <c r="K119" s="41">
        <v>0.0</v>
      </c>
      <c r="L119" s="41">
        <v>1.0</v>
      </c>
      <c r="M119" s="41">
        <v>2.0</v>
      </c>
      <c r="N119" s="41">
        <v>3.0</v>
      </c>
      <c r="O119" s="122">
        <f t="shared" si="1"/>
        <v>0</v>
      </c>
      <c r="P119" s="123">
        <f t="shared" si="5"/>
        <v>284</v>
      </c>
      <c r="Q119" s="123">
        <f t="shared" si="2"/>
        <v>0</v>
      </c>
      <c r="R119" s="123">
        <f t="shared" si="6"/>
        <v>1</v>
      </c>
      <c r="S119" s="123">
        <f t="shared" si="3"/>
        <v>2</v>
      </c>
      <c r="T119" s="123">
        <f t="shared" si="4"/>
        <v>3</v>
      </c>
      <c r="U119" s="41">
        <v>0.0</v>
      </c>
      <c r="V119" s="41">
        <v>0.0</v>
      </c>
      <c r="W119" s="41">
        <v>0.0</v>
      </c>
      <c r="X119" s="41">
        <v>0.0</v>
      </c>
      <c r="Y119" s="41">
        <v>2.0</v>
      </c>
      <c r="Z119" s="41">
        <v>3.0</v>
      </c>
    </row>
    <row r="120">
      <c r="A120" s="41" t="s">
        <v>901</v>
      </c>
      <c r="B120" s="41" t="s">
        <v>343</v>
      </c>
      <c r="C120" s="41" t="s">
        <v>1123</v>
      </c>
      <c r="D120" s="41" t="s">
        <v>1124</v>
      </c>
      <c r="E120" s="41">
        <v>39.0</v>
      </c>
      <c r="F120" s="41">
        <v>20.0</v>
      </c>
      <c r="G120" s="41">
        <v>19.0</v>
      </c>
      <c r="H120" s="125">
        <v>0.5128205128205128</v>
      </c>
      <c r="I120" s="41">
        <v>3.0</v>
      </c>
      <c r="J120" s="41">
        <v>14255.0</v>
      </c>
      <c r="K120" s="41">
        <v>32.0</v>
      </c>
      <c r="L120" s="41">
        <v>17.0</v>
      </c>
      <c r="M120" s="41">
        <v>62.0</v>
      </c>
      <c r="N120" s="41">
        <v>110.0</v>
      </c>
      <c r="O120" s="122">
        <f t="shared" si="1"/>
        <v>0.2909090909</v>
      </c>
      <c r="P120" s="123">
        <f t="shared" si="5"/>
        <v>365.5128205</v>
      </c>
      <c r="Q120" s="123">
        <f t="shared" si="2"/>
        <v>0.8205128205</v>
      </c>
      <c r="R120" s="123">
        <f t="shared" si="6"/>
        <v>0.4358974359</v>
      </c>
      <c r="S120" s="123">
        <f t="shared" si="3"/>
        <v>1.58974359</v>
      </c>
      <c r="T120" s="123">
        <f t="shared" si="4"/>
        <v>2.820512821</v>
      </c>
      <c r="U120" s="41">
        <v>7.0</v>
      </c>
      <c r="V120" s="41">
        <v>1.0</v>
      </c>
      <c r="W120" s="41">
        <v>1.0</v>
      </c>
      <c r="X120" s="41">
        <v>8.0</v>
      </c>
      <c r="Y120" s="41">
        <v>66.0</v>
      </c>
      <c r="Z120" s="41">
        <v>47.0</v>
      </c>
    </row>
    <row r="121">
      <c r="A121" s="41" t="s">
        <v>901</v>
      </c>
      <c r="B121" s="41" t="s">
        <v>330</v>
      </c>
      <c r="C121" s="41" t="s">
        <v>1125</v>
      </c>
      <c r="D121" s="41" t="s">
        <v>1126</v>
      </c>
      <c r="E121" s="41">
        <v>25.0</v>
      </c>
      <c r="F121" s="41">
        <v>17.0</v>
      </c>
      <c r="G121" s="41">
        <v>8.0</v>
      </c>
      <c r="H121" s="125">
        <v>0.68</v>
      </c>
      <c r="I121" s="41">
        <v>6.0</v>
      </c>
      <c r="J121" s="41">
        <v>8308.0</v>
      </c>
      <c r="K121" s="41">
        <v>16.0</v>
      </c>
      <c r="L121" s="41">
        <v>15.0</v>
      </c>
      <c r="M121" s="41">
        <v>33.0</v>
      </c>
      <c r="N121" s="41">
        <v>67.0</v>
      </c>
      <c r="O121" s="122">
        <f t="shared" si="1"/>
        <v>0.2388059701</v>
      </c>
      <c r="P121" s="123">
        <f t="shared" si="5"/>
        <v>332.32</v>
      </c>
      <c r="Q121" s="123">
        <f t="shared" si="2"/>
        <v>0.64</v>
      </c>
      <c r="R121" s="123">
        <f t="shared" si="6"/>
        <v>0.6</v>
      </c>
      <c r="S121" s="123">
        <f t="shared" si="3"/>
        <v>1.32</v>
      </c>
      <c r="T121" s="123">
        <f t="shared" si="4"/>
        <v>2.68</v>
      </c>
      <c r="U121" s="41">
        <v>7.0</v>
      </c>
      <c r="V121" s="41">
        <v>1.0</v>
      </c>
      <c r="W121" s="41">
        <v>1.0</v>
      </c>
      <c r="X121" s="41">
        <v>3.0</v>
      </c>
      <c r="Y121" s="41">
        <v>28.0</v>
      </c>
      <c r="Z121" s="41">
        <v>31.0</v>
      </c>
    </row>
    <row r="122">
      <c r="A122" s="41" t="s">
        <v>899</v>
      </c>
      <c r="B122" s="41" t="s">
        <v>469</v>
      </c>
      <c r="C122" s="41" t="s">
        <v>1127</v>
      </c>
      <c r="D122" s="41" t="s">
        <v>1073</v>
      </c>
      <c r="E122" s="41">
        <v>8.0</v>
      </c>
      <c r="F122" s="41">
        <v>2.0</v>
      </c>
      <c r="G122" s="41">
        <v>6.0</v>
      </c>
      <c r="H122" s="125">
        <v>0.25</v>
      </c>
      <c r="I122" s="41">
        <v>0.0</v>
      </c>
      <c r="J122" s="41">
        <v>2294.0</v>
      </c>
      <c r="K122" s="41">
        <v>2.0</v>
      </c>
      <c r="L122" s="41">
        <v>5.0</v>
      </c>
      <c r="M122" s="41">
        <v>9.0</v>
      </c>
      <c r="N122" s="41">
        <v>20.0</v>
      </c>
      <c r="O122" s="122">
        <f t="shared" si="1"/>
        <v>0.1</v>
      </c>
      <c r="P122" s="123">
        <f t="shared" si="5"/>
        <v>286.75</v>
      </c>
      <c r="Q122" s="123">
        <f t="shared" si="2"/>
        <v>0.25</v>
      </c>
      <c r="R122" s="123">
        <f t="shared" si="6"/>
        <v>0.625</v>
      </c>
      <c r="S122" s="123">
        <f t="shared" si="3"/>
        <v>1.125</v>
      </c>
      <c r="T122" s="123">
        <f t="shared" si="4"/>
        <v>2.5</v>
      </c>
      <c r="U122" s="41">
        <v>0.0</v>
      </c>
      <c r="V122" s="41">
        <v>0.0</v>
      </c>
      <c r="W122" s="41">
        <v>0.0</v>
      </c>
      <c r="X122" s="41">
        <v>1.0</v>
      </c>
      <c r="Y122" s="41">
        <v>3.0</v>
      </c>
      <c r="Z122" s="41">
        <v>17.0</v>
      </c>
    </row>
    <row r="123">
      <c r="A123" s="41" t="s">
        <v>905</v>
      </c>
      <c r="B123" s="41" t="s">
        <v>254</v>
      </c>
      <c r="C123" s="41" t="s">
        <v>1128</v>
      </c>
      <c r="D123" s="41" t="s">
        <v>913</v>
      </c>
      <c r="E123" s="41">
        <v>4.0</v>
      </c>
      <c r="F123" s="41">
        <v>1.0</v>
      </c>
      <c r="G123" s="41">
        <v>3.0</v>
      </c>
      <c r="H123" s="125">
        <v>0.25</v>
      </c>
      <c r="I123" s="41">
        <v>1.0</v>
      </c>
      <c r="J123" s="41">
        <v>782.0</v>
      </c>
      <c r="K123" s="41">
        <v>2.0</v>
      </c>
      <c r="L123" s="41">
        <v>1.0</v>
      </c>
      <c r="M123" s="41">
        <v>2.0</v>
      </c>
      <c r="N123" s="41">
        <v>6.0</v>
      </c>
      <c r="O123" s="122">
        <f t="shared" si="1"/>
        <v>0.3333333333</v>
      </c>
      <c r="P123" s="123">
        <f t="shared" si="5"/>
        <v>195.5</v>
      </c>
      <c r="Q123" s="123">
        <f t="shared" si="2"/>
        <v>0.5</v>
      </c>
      <c r="R123" s="123">
        <f t="shared" si="6"/>
        <v>0.25</v>
      </c>
      <c r="S123" s="123">
        <f t="shared" si="3"/>
        <v>0.5</v>
      </c>
      <c r="T123" s="123">
        <f t="shared" si="4"/>
        <v>1.5</v>
      </c>
      <c r="U123" s="41">
        <v>1.0</v>
      </c>
      <c r="V123" s="41">
        <v>0.0</v>
      </c>
      <c r="W123" s="41">
        <v>0.0</v>
      </c>
      <c r="X123" s="41">
        <v>0.0</v>
      </c>
      <c r="Y123" s="41">
        <v>3.0</v>
      </c>
      <c r="Z123" s="41">
        <v>4.0</v>
      </c>
    </row>
    <row r="124">
      <c r="A124" s="41" t="s">
        <v>902</v>
      </c>
      <c r="B124" s="41" t="s">
        <v>775</v>
      </c>
      <c r="C124" s="41" t="s">
        <v>1129</v>
      </c>
      <c r="D124" s="41" t="s">
        <v>1130</v>
      </c>
      <c r="E124" s="41">
        <v>49.0</v>
      </c>
      <c r="F124" s="41">
        <v>24.0</v>
      </c>
      <c r="G124" s="41">
        <v>25.0</v>
      </c>
      <c r="H124" s="125">
        <v>0.4897959183673469</v>
      </c>
      <c r="I124" s="41">
        <v>10.0</v>
      </c>
      <c r="J124" s="41">
        <v>18090.0</v>
      </c>
      <c r="K124" s="41">
        <v>48.0</v>
      </c>
      <c r="L124" s="41">
        <v>25.0</v>
      </c>
      <c r="M124" s="41">
        <v>65.0</v>
      </c>
      <c r="N124" s="41">
        <v>133.0</v>
      </c>
      <c r="O124" s="122">
        <f t="shared" si="1"/>
        <v>0.3609022556</v>
      </c>
      <c r="P124" s="123">
        <f t="shared" si="5"/>
        <v>369.1836735</v>
      </c>
      <c r="Q124" s="123">
        <f t="shared" si="2"/>
        <v>0.9795918367</v>
      </c>
      <c r="R124" s="123">
        <f t="shared" si="6"/>
        <v>0.5102040816</v>
      </c>
      <c r="S124" s="123">
        <f t="shared" si="3"/>
        <v>1.326530612</v>
      </c>
      <c r="T124" s="123">
        <f t="shared" si="4"/>
        <v>2.714285714</v>
      </c>
      <c r="U124" s="41">
        <v>8.0</v>
      </c>
      <c r="V124" s="41">
        <v>5.0</v>
      </c>
      <c r="W124" s="41">
        <v>1.0</v>
      </c>
      <c r="X124" s="41">
        <v>8.0</v>
      </c>
      <c r="Y124" s="41">
        <v>22.0</v>
      </c>
      <c r="Z124" s="41">
        <v>41.0</v>
      </c>
    </row>
    <row r="125">
      <c r="A125" s="41" t="s">
        <v>902</v>
      </c>
      <c r="B125" s="41" t="s">
        <v>736</v>
      </c>
      <c r="C125" s="41" t="s">
        <v>1131</v>
      </c>
      <c r="D125" s="41" t="s">
        <v>1132</v>
      </c>
      <c r="E125" s="41">
        <v>52.0</v>
      </c>
      <c r="F125" s="41">
        <v>33.0</v>
      </c>
      <c r="G125" s="41">
        <v>19.0</v>
      </c>
      <c r="H125" s="125">
        <v>0.6346153846153846</v>
      </c>
      <c r="I125" s="41">
        <v>16.0</v>
      </c>
      <c r="J125" s="41">
        <v>20865.0</v>
      </c>
      <c r="K125" s="41">
        <v>54.0</v>
      </c>
      <c r="L125" s="41">
        <v>33.0</v>
      </c>
      <c r="M125" s="41">
        <v>73.0</v>
      </c>
      <c r="N125" s="41">
        <v>164.0</v>
      </c>
      <c r="O125" s="122">
        <f t="shared" si="1"/>
        <v>0.3292682927</v>
      </c>
      <c r="P125" s="123">
        <f t="shared" si="5"/>
        <v>401.25</v>
      </c>
      <c r="Q125" s="123">
        <f t="shared" si="2"/>
        <v>1.038461538</v>
      </c>
      <c r="R125" s="123">
        <f t="shared" si="6"/>
        <v>0.6346153846</v>
      </c>
      <c r="S125" s="123">
        <f t="shared" si="3"/>
        <v>1.403846154</v>
      </c>
      <c r="T125" s="123">
        <f t="shared" si="4"/>
        <v>3.153846154</v>
      </c>
      <c r="U125" s="41">
        <v>12.0</v>
      </c>
      <c r="V125" s="41">
        <v>3.0</v>
      </c>
      <c r="W125" s="41">
        <v>3.0</v>
      </c>
      <c r="X125" s="41">
        <v>9.0</v>
      </c>
      <c r="Y125" s="41">
        <v>14.0</v>
      </c>
      <c r="Z125" s="41">
        <v>63.0</v>
      </c>
    </row>
    <row r="126">
      <c r="A126" s="41" t="s">
        <v>909</v>
      </c>
      <c r="B126" s="41" t="s">
        <v>83</v>
      </c>
      <c r="C126" s="41" t="s">
        <v>1133</v>
      </c>
      <c r="D126" s="41" t="s">
        <v>1134</v>
      </c>
      <c r="E126" s="41">
        <v>32.0</v>
      </c>
      <c r="F126" s="41">
        <v>22.0</v>
      </c>
      <c r="G126" s="41">
        <v>10.0</v>
      </c>
      <c r="H126" s="125">
        <v>0.6875</v>
      </c>
      <c r="I126" s="41">
        <v>7.0</v>
      </c>
      <c r="J126" s="41">
        <v>10408.0</v>
      </c>
      <c r="K126" s="41">
        <v>30.0</v>
      </c>
      <c r="L126" s="41">
        <v>11.0</v>
      </c>
      <c r="M126" s="41">
        <v>30.0</v>
      </c>
      <c r="N126" s="41">
        <v>79.0</v>
      </c>
      <c r="O126" s="122">
        <f t="shared" si="1"/>
        <v>0.3797468354</v>
      </c>
      <c r="P126" s="123">
        <f t="shared" si="5"/>
        <v>325.25</v>
      </c>
      <c r="Q126" s="123">
        <f t="shared" si="2"/>
        <v>0.9375</v>
      </c>
      <c r="R126" s="123">
        <f t="shared" si="6"/>
        <v>0.34375</v>
      </c>
      <c r="S126" s="123">
        <f t="shared" si="3"/>
        <v>0.9375</v>
      </c>
      <c r="T126" s="123">
        <f t="shared" si="4"/>
        <v>2.46875</v>
      </c>
      <c r="U126" s="41">
        <v>3.0</v>
      </c>
      <c r="V126" s="41">
        <v>1.0</v>
      </c>
      <c r="W126" s="41">
        <v>0.0</v>
      </c>
      <c r="X126" s="41">
        <v>2.0</v>
      </c>
      <c r="Y126" s="41">
        <v>15.0</v>
      </c>
      <c r="Z126" s="41">
        <v>33.0</v>
      </c>
    </row>
    <row r="127">
      <c r="A127" s="41" t="s">
        <v>897</v>
      </c>
      <c r="B127" s="41" t="s">
        <v>488</v>
      </c>
      <c r="C127" s="41" t="s">
        <v>1135</v>
      </c>
      <c r="D127" s="41" t="s">
        <v>1071</v>
      </c>
      <c r="E127" s="41">
        <v>47.0</v>
      </c>
      <c r="F127" s="41">
        <v>24.0</v>
      </c>
      <c r="G127" s="41">
        <v>23.0</v>
      </c>
      <c r="H127" s="125">
        <v>0.5106382978723404</v>
      </c>
      <c r="I127" s="41">
        <v>9.0</v>
      </c>
      <c r="J127" s="41">
        <v>18509.0</v>
      </c>
      <c r="K127" s="41">
        <v>44.0</v>
      </c>
      <c r="L127" s="41">
        <v>26.0</v>
      </c>
      <c r="M127" s="41">
        <v>61.0</v>
      </c>
      <c r="N127" s="41">
        <v>149.0</v>
      </c>
      <c r="O127" s="122">
        <f t="shared" si="1"/>
        <v>0.2953020134</v>
      </c>
      <c r="P127" s="123">
        <f t="shared" si="5"/>
        <v>393.8085106</v>
      </c>
      <c r="Q127" s="123">
        <f t="shared" si="2"/>
        <v>0.9361702128</v>
      </c>
      <c r="R127" s="123">
        <f t="shared" si="6"/>
        <v>0.5531914894</v>
      </c>
      <c r="S127" s="123">
        <f t="shared" si="3"/>
        <v>1.29787234</v>
      </c>
      <c r="T127" s="123">
        <f t="shared" si="4"/>
        <v>3.170212766</v>
      </c>
      <c r="U127" s="41">
        <v>12.0</v>
      </c>
      <c r="V127" s="41">
        <v>2.0</v>
      </c>
      <c r="W127" s="41">
        <v>1.0</v>
      </c>
      <c r="X127" s="41">
        <v>5.0</v>
      </c>
      <c r="Y127" s="41">
        <v>53.0</v>
      </c>
      <c r="Z127" s="41">
        <v>63.0</v>
      </c>
    </row>
    <row r="128">
      <c r="A128" s="41" t="s">
        <v>901</v>
      </c>
      <c r="B128" s="41" t="s">
        <v>331</v>
      </c>
      <c r="C128" s="41" t="s">
        <v>1136</v>
      </c>
      <c r="D128" s="41" t="s">
        <v>1137</v>
      </c>
      <c r="E128" s="41">
        <v>56.0</v>
      </c>
      <c r="F128" s="41">
        <v>24.0</v>
      </c>
      <c r="G128" s="41">
        <v>32.0</v>
      </c>
      <c r="H128" s="125">
        <v>0.42857142857142855</v>
      </c>
      <c r="I128" s="41">
        <v>10.0</v>
      </c>
      <c r="J128" s="41">
        <v>19153.0</v>
      </c>
      <c r="K128" s="41">
        <v>40.0</v>
      </c>
      <c r="L128" s="41">
        <v>36.0</v>
      </c>
      <c r="M128" s="41">
        <v>61.0</v>
      </c>
      <c r="N128" s="41">
        <v>166.0</v>
      </c>
      <c r="O128" s="122">
        <f t="shared" si="1"/>
        <v>0.2409638554</v>
      </c>
      <c r="P128" s="123">
        <f t="shared" si="5"/>
        <v>342.0178571</v>
      </c>
      <c r="Q128" s="123">
        <f t="shared" si="2"/>
        <v>0.7142857143</v>
      </c>
      <c r="R128" s="123">
        <f t="shared" si="6"/>
        <v>0.6428571429</v>
      </c>
      <c r="S128" s="123">
        <f t="shared" si="3"/>
        <v>1.089285714</v>
      </c>
      <c r="T128" s="123">
        <f t="shared" si="4"/>
        <v>2.964285714</v>
      </c>
      <c r="U128" s="41">
        <v>7.0</v>
      </c>
      <c r="V128" s="41">
        <v>2.0</v>
      </c>
      <c r="W128" s="41">
        <v>4.0</v>
      </c>
      <c r="X128" s="41">
        <v>7.0</v>
      </c>
      <c r="Y128" s="41">
        <v>54.0</v>
      </c>
      <c r="Z128" s="41">
        <v>73.0</v>
      </c>
    </row>
    <row r="129">
      <c r="A129" s="41" t="s">
        <v>902</v>
      </c>
      <c r="B129" s="41" t="s">
        <v>823</v>
      </c>
      <c r="C129" s="41" t="s">
        <v>1138</v>
      </c>
      <c r="D129" s="41" t="s">
        <v>1000</v>
      </c>
      <c r="E129" s="41">
        <v>39.0</v>
      </c>
      <c r="F129" s="41">
        <v>13.0</v>
      </c>
      <c r="G129" s="41">
        <v>26.0</v>
      </c>
      <c r="H129" s="125">
        <v>0.3333333333333333</v>
      </c>
      <c r="I129" s="41">
        <v>4.0</v>
      </c>
      <c r="J129" s="41">
        <v>12612.0</v>
      </c>
      <c r="K129" s="41">
        <v>26.0</v>
      </c>
      <c r="L129" s="41">
        <v>22.0</v>
      </c>
      <c r="M129" s="41">
        <v>42.0</v>
      </c>
      <c r="N129" s="41">
        <v>99.0</v>
      </c>
      <c r="O129" s="122">
        <f t="shared" si="1"/>
        <v>0.2626262626</v>
      </c>
      <c r="P129" s="123">
        <f t="shared" si="5"/>
        <v>323.3846154</v>
      </c>
      <c r="Q129" s="123">
        <f t="shared" si="2"/>
        <v>0.6666666667</v>
      </c>
      <c r="R129" s="123">
        <f t="shared" si="6"/>
        <v>0.5641025641</v>
      </c>
      <c r="S129" s="123">
        <f t="shared" si="3"/>
        <v>1.076923077</v>
      </c>
      <c r="T129" s="123">
        <f t="shared" si="4"/>
        <v>2.538461538</v>
      </c>
      <c r="U129" s="41">
        <v>8.0</v>
      </c>
      <c r="V129" s="41">
        <v>0.0</v>
      </c>
      <c r="W129" s="41">
        <v>0.0</v>
      </c>
      <c r="X129" s="41">
        <v>4.0</v>
      </c>
      <c r="Y129" s="41">
        <v>25.0</v>
      </c>
      <c r="Z129" s="41">
        <v>46.0</v>
      </c>
    </row>
    <row r="130">
      <c r="A130" s="41" t="s">
        <v>902</v>
      </c>
      <c r="B130" s="41" t="s">
        <v>745</v>
      </c>
      <c r="C130" s="41" t="s">
        <v>1139</v>
      </c>
      <c r="D130" s="41" t="s">
        <v>1019</v>
      </c>
      <c r="E130" s="41">
        <v>56.0</v>
      </c>
      <c r="F130" s="41">
        <v>34.0</v>
      </c>
      <c r="G130" s="41">
        <v>22.0</v>
      </c>
      <c r="H130" s="125">
        <v>0.6071428571428571</v>
      </c>
      <c r="I130" s="41">
        <v>7.0</v>
      </c>
      <c r="J130" s="41">
        <v>21641.0</v>
      </c>
      <c r="K130" s="41">
        <v>51.0</v>
      </c>
      <c r="L130" s="41">
        <v>40.0</v>
      </c>
      <c r="M130" s="41">
        <v>76.0</v>
      </c>
      <c r="N130" s="41">
        <v>156.0</v>
      </c>
      <c r="O130" s="122">
        <f t="shared" si="1"/>
        <v>0.3269230769</v>
      </c>
      <c r="P130" s="123">
        <f t="shared" si="5"/>
        <v>386.4464286</v>
      </c>
      <c r="Q130" s="123">
        <f t="shared" si="2"/>
        <v>0.9107142857</v>
      </c>
      <c r="R130" s="123">
        <f t="shared" si="6"/>
        <v>0.7142857143</v>
      </c>
      <c r="S130" s="123">
        <f t="shared" si="3"/>
        <v>1.357142857</v>
      </c>
      <c r="T130" s="123">
        <f t="shared" si="4"/>
        <v>2.785714286</v>
      </c>
      <c r="U130" s="41">
        <v>14.0</v>
      </c>
      <c r="V130" s="41">
        <v>5.0</v>
      </c>
      <c r="W130" s="41">
        <v>3.0</v>
      </c>
      <c r="X130" s="41">
        <v>7.0</v>
      </c>
      <c r="Y130" s="41">
        <v>56.0</v>
      </c>
      <c r="Z130" s="41">
        <v>53.0</v>
      </c>
    </row>
    <row r="131">
      <c r="A131" s="41" t="s">
        <v>905</v>
      </c>
      <c r="B131" s="41" t="s">
        <v>239</v>
      </c>
      <c r="C131" s="41" t="s">
        <v>1140</v>
      </c>
      <c r="D131" s="41" t="s">
        <v>1141</v>
      </c>
      <c r="E131" s="41">
        <v>44.0</v>
      </c>
      <c r="F131" s="41">
        <v>20.0</v>
      </c>
      <c r="G131" s="41">
        <v>24.0</v>
      </c>
      <c r="H131" s="125">
        <v>0.45454545454545453</v>
      </c>
      <c r="I131" s="41">
        <v>3.0</v>
      </c>
      <c r="J131" s="41">
        <v>12198.0</v>
      </c>
      <c r="K131" s="41">
        <v>20.0</v>
      </c>
      <c r="L131" s="41">
        <v>19.0</v>
      </c>
      <c r="M131" s="41">
        <v>48.0</v>
      </c>
      <c r="N131" s="41">
        <v>78.0</v>
      </c>
      <c r="O131" s="122">
        <f t="shared" si="1"/>
        <v>0.2564102564</v>
      </c>
      <c r="P131" s="123">
        <f t="shared" si="5"/>
        <v>277.2272727</v>
      </c>
      <c r="Q131" s="123">
        <f t="shared" si="2"/>
        <v>0.4545454545</v>
      </c>
      <c r="R131" s="123">
        <f t="shared" si="6"/>
        <v>0.4318181818</v>
      </c>
      <c r="S131" s="123">
        <f t="shared" si="3"/>
        <v>1.090909091</v>
      </c>
      <c r="T131" s="123">
        <f t="shared" si="4"/>
        <v>1.772727273</v>
      </c>
      <c r="U131" s="41">
        <v>5.0</v>
      </c>
      <c r="V131" s="41">
        <v>1.0</v>
      </c>
      <c r="W131" s="41">
        <v>0.0</v>
      </c>
      <c r="X131" s="41">
        <v>4.0</v>
      </c>
      <c r="Y131" s="41">
        <v>37.0</v>
      </c>
      <c r="Z131" s="41">
        <v>35.0</v>
      </c>
    </row>
    <row r="132">
      <c r="A132" s="41" t="s">
        <v>904</v>
      </c>
      <c r="B132" s="41" t="s">
        <v>637</v>
      </c>
      <c r="C132" s="41" t="s">
        <v>1142</v>
      </c>
      <c r="D132" s="41" t="s">
        <v>1143</v>
      </c>
      <c r="E132" s="41">
        <v>43.0</v>
      </c>
      <c r="F132" s="41">
        <v>24.0</v>
      </c>
      <c r="G132" s="41">
        <v>19.0</v>
      </c>
      <c r="H132" s="125">
        <v>0.5581395348837209</v>
      </c>
      <c r="I132" s="41">
        <v>8.0</v>
      </c>
      <c r="J132" s="41">
        <v>14362.0</v>
      </c>
      <c r="K132" s="41">
        <v>33.0</v>
      </c>
      <c r="L132" s="41">
        <v>26.0</v>
      </c>
      <c r="M132" s="41">
        <v>51.0</v>
      </c>
      <c r="N132" s="41">
        <v>96.0</v>
      </c>
      <c r="O132" s="122">
        <f t="shared" si="1"/>
        <v>0.34375</v>
      </c>
      <c r="P132" s="123">
        <f t="shared" si="5"/>
        <v>334</v>
      </c>
      <c r="Q132" s="123">
        <f t="shared" si="2"/>
        <v>0.7674418605</v>
      </c>
      <c r="R132" s="123">
        <f t="shared" si="6"/>
        <v>0.6046511628</v>
      </c>
      <c r="S132" s="123">
        <f t="shared" si="3"/>
        <v>1.186046512</v>
      </c>
      <c r="T132" s="123">
        <f t="shared" si="4"/>
        <v>2.23255814</v>
      </c>
      <c r="U132" s="41">
        <v>6.0</v>
      </c>
      <c r="V132" s="41">
        <v>2.0</v>
      </c>
      <c r="W132" s="41">
        <v>0.0</v>
      </c>
      <c r="X132" s="41">
        <v>6.0</v>
      </c>
      <c r="Y132" s="41">
        <v>55.0</v>
      </c>
      <c r="Z132" s="41">
        <v>47.0</v>
      </c>
    </row>
    <row r="133">
      <c r="A133" s="41" t="s">
        <v>904</v>
      </c>
      <c r="B133" s="41" t="s">
        <v>615</v>
      </c>
      <c r="C133" s="41" t="s">
        <v>1144</v>
      </c>
      <c r="D133" s="41" t="s">
        <v>1145</v>
      </c>
      <c r="E133" s="41">
        <v>12.0</v>
      </c>
      <c r="F133" s="41">
        <v>5.0</v>
      </c>
      <c r="G133" s="41">
        <v>7.0</v>
      </c>
      <c r="H133" s="125">
        <v>0.4166666666666667</v>
      </c>
      <c r="I133" s="41">
        <v>2.0</v>
      </c>
      <c r="J133" s="41">
        <v>4609.0</v>
      </c>
      <c r="K133" s="41">
        <v>16.0</v>
      </c>
      <c r="L133" s="41">
        <v>3.0</v>
      </c>
      <c r="M133" s="41">
        <v>13.0</v>
      </c>
      <c r="N133" s="41">
        <v>35.0</v>
      </c>
      <c r="O133" s="122">
        <f t="shared" si="1"/>
        <v>0.4571428571</v>
      </c>
      <c r="P133" s="123">
        <f t="shared" si="5"/>
        <v>384.0833333</v>
      </c>
      <c r="Q133" s="123">
        <f t="shared" si="2"/>
        <v>1.333333333</v>
      </c>
      <c r="R133" s="123">
        <f t="shared" si="6"/>
        <v>0.25</v>
      </c>
      <c r="S133" s="123">
        <f t="shared" si="3"/>
        <v>1.083333333</v>
      </c>
      <c r="T133" s="123">
        <f t="shared" si="4"/>
        <v>2.916666667</v>
      </c>
      <c r="U133" s="41">
        <v>0.0</v>
      </c>
      <c r="V133" s="41">
        <v>1.0</v>
      </c>
      <c r="W133" s="41">
        <v>0.0</v>
      </c>
      <c r="X133" s="41">
        <v>0.0</v>
      </c>
      <c r="Y133" s="41">
        <v>7.0</v>
      </c>
      <c r="Z133" s="41">
        <v>15.0</v>
      </c>
    </row>
    <row r="134">
      <c r="A134" s="41" t="s">
        <v>901</v>
      </c>
      <c r="B134" s="41" t="s">
        <v>338</v>
      </c>
      <c r="C134" s="41" t="s">
        <v>1146</v>
      </c>
      <c r="D134" s="41" t="s">
        <v>1147</v>
      </c>
      <c r="E134" s="41">
        <v>45.0</v>
      </c>
      <c r="F134" s="41">
        <v>10.0</v>
      </c>
      <c r="G134" s="41">
        <v>35.0</v>
      </c>
      <c r="H134" s="125">
        <v>0.2222222222222222</v>
      </c>
      <c r="I134" s="41">
        <v>3.0</v>
      </c>
      <c r="J134" s="41">
        <v>17511.0</v>
      </c>
      <c r="K134" s="41">
        <v>33.0</v>
      </c>
      <c r="L134" s="41">
        <v>29.0</v>
      </c>
      <c r="M134" s="41">
        <v>70.0</v>
      </c>
      <c r="N134" s="41">
        <v>128.0</v>
      </c>
      <c r="O134" s="122">
        <f t="shared" si="1"/>
        <v>0.2578125</v>
      </c>
      <c r="P134" s="123">
        <f t="shared" si="5"/>
        <v>389.1333333</v>
      </c>
      <c r="Q134" s="123">
        <f t="shared" si="2"/>
        <v>0.7333333333</v>
      </c>
      <c r="R134" s="123">
        <f t="shared" si="6"/>
        <v>0.6444444444</v>
      </c>
      <c r="S134" s="123">
        <f t="shared" si="3"/>
        <v>1.555555556</v>
      </c>
      <c r="T134" s="123">
        <f t="shared" si="4"/>
        <v>2.844444444</v>
      </c>
      <c r="U134" s="41">
        <v>8.0</v>
      </c>
      <c r="V134" s="41">
        <v>5.0</v>
      </c>
      <c r="W134" s="41">
        <v>2.0</v>
      </c>
      <c r="X134" s="41">
        <v>10.0</v>
      </c>
      <c r="Y134" s="41">
        <v>47.0</v>
      </c>
      <c r="Z134" s="41">
        <v>57.0</v>
      </c>
    </row>
    <row r="135">
      <c r="A135" s="41" t="s">
        <v>905</v>
      </c>
      <c r="B135" s="41" t="s">
        <v>151</v>
      </c>
      <c r="C135" s="41" t="s">
        <v>1148</v>
      </c>
      <c r="D135" s="41" t="s">
        <v>961</v>
      </c>
      <c r="E135" s="41">
        <v>17.0</v>
      </c>
      <c r="F135" s="41">
        <v>7.0</v>
      </c>
      <c r="G135" s="41">
        <v>10.0</v>
      </c>
      <c r="H135" s="125">
        <v>0.4117647058823529</v>
      </c>
      <c r="I135" s="41">
        <v>2.0</v>
      </c>
      <c r="J135" s="41">
        <v>6019.0</v>
      </c>
      <c r="K135" s="41">
        <v>12.0</v>
      </c>
      <c r="L135" s="41">
        <v>14.0</v>
      </c>
      <c r="M135" s="41">
        <v>22.0</v>
      </c>
      <c r="N135" s="41">
        <v>35.0</v>
      </c>
      <c r="O135" s="122">
        <f t="shared" si="1"/>
        <v>0.3428571429</v>
      </c>
      <c r="P135" s="123">
        <f t="shared" si="5"/>
        <v>354.0588235</v>
      </c>
      <c r="Q135" s="123">
        <f t="shared" si="2"/>
        <v>0.7058823529</v>
      </c>
      <c r="R135" s="123">
        <f t="shared" si="6"/>
        <v>0.8235294118</v>
      </c>
      <c r="S135" s="123">
        <f t="shared" si="3"/>
        <v>1.294117647</v>
      </c>
      <c r="T135" s="123">
        <f t="shared" si="4"/>
        <v>2.058823529</v>
      </c>
      <c r="U135" s="41">
        <v>4.0</v>
      </c>
      <c r="V135" s="41">
        <v>0.0</v>
      </c>
      <c r="W135" s="41">
        <v>0.0</v>
      </c>
      <c r="X135" s="41">
        <v>1.0</v>
      </c>
      <c r="Y135" s="41">
        <v>16.0</v>
      </c>
      <c r="Z135" s="41">
        <v>20.0</v>
      </c>
    </row>
    <row r="136">
      <c r="A136" s="41" t="s">
        <v>899</v>
      </c>
      <c r="B136" s="41" t="s">
        <v>419</v>
      </c>
      <c r="C136" s="41" t="s">
        <v>1149</v>
      </c>
      <c r="D136" s="41" t="s">
        <v>1150</v>
      </c>
      <c r="E136" s="41">
        <v>8.0</v>
      </c>
      <c r="F136" s="41">
        <v>6.0</v>
      </c>
      <c r="G136" s="41">
        <v>2.0</v>
      </c>
      <c r="H136" s="125">
        <v>0.75</v>
      </c>
      <c r="I136" s="41">
        <v>1.0</v>
      </c>
      <c r="J136" s="41">
        <v>2734.0</v>
      </c>
      <c r="K136" s="41">
        <v>8.0</v>
      </c>
      <c r="L136" s="41">
        <v>7.0</v>
      </c>
      <c r="M136" s="41">
        <v>5.0</v>
      </c>
      <c r="N136" s="41">
        <v>24.0</v>
      </c>
      <c r="O136" s="122">
        <f t="shared" si="1"/>
        <v>0.3333333333</v>
      </c>
      <c r="P136" s="123">
        <f t="shared" si="5"/>
        <v>341.75</v>
      </c>
      <c r="Q136" s="123">
        <f t="shared" si="2"/>
        <v>1</v>
      </c>
      <c r="R136" s="123">
        <f t="shared" si="6"/>
        <v>0.875</v>
      </c>
      <c r="S136" s="123">
        <f t="shared" si="3"/>
        <v>0.625</v>
      </c>
      <c r="T136" s="123">
        <f t="shared" si="4"/>
        <v>3</v>
      </c>
      <c r="U136" s="41">
        <v>2.0</v>
      </c>
      <c r="V136" s="41">
        <v>1.0</v>
      </c>
      <c r="W136" s="41">
        <v>0.0</v>
      </c>
      <c r="X136" s="41">
        <v>0.0</v>
      </c>
      <c r="Y136" s="41">
        <v>10.0</v>
      </c>
      <c r="Z136" s="41">
        <v>6.0</v>
      </c>
    </row>
    <row r="137">
      <c r="A137" s="41" t="s">
        <v>901</v>
      </c>
      <c r="B137" s="41" t="s">
        <v>329</v>
      </c>
      <c r="C137" s="41" t="s">
        <v>1151</v>
      </c>
      <c r="D137" s="41" t="s">
        <v>1152</v>
      </c>
      <c r="E137" s="41">
        <v>48.0</v>
      </c>
      <c r="F137" s="41">
        <v>20.0</v>
      </c>
      <c r="G137" s="41">
        <v>28.0</v>
      </c>
      <c r="H137" s="125">
        <v>0.4166666666666667</v>
      </c>
      <c r="I137" s="41">
        <v>6.0</v>
      </c>
      <c r="J137" s="41">
        <v>16081.0</v>
      </c>
      <c r="K137" s="41">
        <v>38.0</v>
      </c>
      <c r="L137" s="41">
        <v>30.0</v>
      </c>
      <c r="M137" s="41">
        <v>54.0</v>
      </c>
      <c r="N137" s="41">
        <v>135.0</v>
      </c>
      <c r="O137" s="122">
        <f t="shared" si="1"/>
        <v>0.2814814815</v>
      </c>
      <c r="P137" s="123">
        <f t="shared" si="5"/>
        <v>335.0208333</v>
      </c>
      <c r="Q137" s="123">
        <f t="shared" si="2"/>
        <v>0.7916666667</v>
      </c>
      <c r="R137" s="123">
        <f t="shared" si="6"/>
        <v>0.625</v>
      </c>
      <c r="S137" s="123">
        <f t="shared" si="3"/>
        <v>1.125</v>
      </c>
      <c r="T137" s="123">
        <f t="shared" si="4"/>
        <v>2.8125</v>
      </c>
      <c r="U137" s="41">
        <v>7.0</v>
      </c>
      <c r="V137" s="41">
        <v>3.0</v>
      </c>
      <c r="W137" s="41">
        <v>0.0</v>
      </c>
      <c r="X137" s="41">
        <v>5.0</v>
      </c>
      <c r="Y137" s="41">
        <v>24.0</v>
      </c>
      <c r="Z137" s="41">
        <v>48.0</v>
      </c>
    </row>
    <row r="138">
      <c r="A138" s="41" t="s">
        <v>905</v>
      </c>
      <c r="B138" s="41" t="s">
        <v>148</v>
      </c>
      <c r="C138" s="41" t="s">
        <v>1153</v>
      </c>
      <c r="D138" s="41" t="s">
        <v>1154</v>
      </c>
      <c r="E138" s="41">
        <v>55.0</v>
      </c>
      <c r="F138" s="41">
        <v>32.0</v>
      </c>
      <c r="G138" s="41">
        <v>23.0</v>
      </c>
      <c r="H138" s="125">
        <v>0.5818181818181818</v>
      </c>
      <c r="I138" s="41">
        <v>13.0</v>
      </c>
      <c r="J138" s="41">
        <v>20458.0</v>
      </c>
      <c r="K138" s="41">
        <v>56.0</v>
      </c>
      <c r="L138" s="41">
        <v>23.0</v>
      </c>
      <c r="M138" s="41">
        <v>78.0</v>
      </c>
      <c r="N138" s="41">
        <v>149.0</v>
      </c>
      <c r="O138" s="122">
        <f t="shared" si="1"/>
        <v>0.3758389262</v>
      </c>
      <c r="P138" s="123">
        <f t="shared" si="5"/>
        <v>371.9636364</v>
      </c>
      <c r="Q138" s="123">
        <f t="shared" si="2"/>
        <v>1.018181818</v>
      </c>
      <c r="R138" s="123">
        <f t="shared" si="6"/>
        <v>0.4181818182</v>
      </c>
      <c r="S138" s="123">
        <f t="shared" si="3"/>
        <v>1.418181818</v>
      </c>
      <c r="T138" s="123">
        <f t="shared" si="4"/>
        <v>2.709090909</v>
      </c>
      <c r="U138" s="41">
        <v>12.0</v>
      </c>
      <c r="V138" s="41">
        <v>3.0</v>
      </c>
      <c r="W138" s="41">
        <v>0.0</v>
      </c>
      <c r="X138" s="41">
        <v>7.0</v>
      </c>
      <c r="Y138" s="41">
        <v>32.0</v>
      </c>
      <c r="Z138" s="41">
        <v>47.0</v>
      </c>
    </row>
    <row r="139">
      <c r="A139" s="41" t="s">
        <v>901</v>
      </c>
      <c r="B139" s="41" t="s">
        <v>406</v>
      </c>
      <c r="C139" s="41" t="s">
        <v>1155</v>
      </c>
      <c r="D139" s="41" t="s">
        <v>1156</v>
      </c>
      <c r="E139" s="41">
        <v>4.0</v>
      </c>
      <c r="F139" s="41">
        <v>1.0</v>
      </c>
      <c r="G139" s="41">
        <v>3.0</v>
      </c>
      <c r="H139" s="125">
        <v>0.25</v>
      </c>
      <c r="I139" s="41">
        <v>0.0</v>
      </c>
      <c r="J139" s="41">
        <v>1239.0</v>
      </c>
      <c r="K139" s="41">
        <v>1.0</v>
      </c>
      <c r="L139" s="41">
        <v>2.0</v>
      </c>
      <c r="M139" s="41">
        <v>9.0</v>
      </c>
      <c r="N139" s="41">
        <v>7.0</v>
      </c>
      <c r="O139" s="122">
        <f t="shared" si="1"/>
        <v>0.1428571429</v>
      </c>
      <c r="P139" s="123">
        <f t="shared" si="5"/>
        <v>309.75</v>
      </c>
      <c r="Q139" s="123">
        <f t="shared" si="2"/>
        <v>0.25</v>
      </c>
      <c r="R139" s="123">
        <f t="shared" si="6"/>
        <v>0.5</v>
      </c>
      <c r="S139" s="123">
        <f t="shared" si="3"/>
        <v>2.25</v>
      </c>
      <c r="T139" s="123">
        <f t="shared" si="4"/>
        <v>1.75</v>
      </c>
      <c r="U139" s="41">
        <v>0.0</v>
      </c>
      <c r="V139" s="41">
        <v>0.0</v>
      </c>
      <c r="W139" s="41">
        <v>0.0</v>
      </c>
      <c r="X139" s="41">
        <v>2.0</v>
      </c>
      <c r="Y139" s="41">
        <v>3.0</v>
      </c>
      <c r="Z139" s="41">
        <v>8.0</v>
      </c>
    </row>
    <row r="140">
      <c r="A140" s="41" t="s">
        <v>902</v>
      </c>
      <c r="B140" s="41" t="s">
        <v>406</v>
      </c>
      <c r="C140" s="41" t="s">
        <v>1155</v>
      </c>
      <c r="D140" s="41" t="s">
        <v>1097</v>
      </c>
      <c r="E140" s="41">
        <v>40.0</v>
      </c>
      <c r="F140" s="41">
        <v>20.0</v>
      </c>
      <c r="G140" s="41">
        <v>20.0</v>
      </c>
      <c r="H140" s="125">
        <v>0.5</v>
      </c>
      <c r="I140" s="41">
        <v>3.0</v>
      </c>
      <c r="J140" s="41">
        <v>12916.0</v>
      </c>
      <c r="K140" s="41">
        <v>29.0</v>
      </c>
      <c r="L140" s="41">
        <v>23.0</v>
      </c>
      <c r="M140" s="41">
        <v>46.0</v>
      </c>
      <c r="N140" s="41">
        <v>100.0</v>
      </c>
      <c r="O140" s="122">
        <f t="shared" si="1"/>
        <v>0.29</v>
      </c>
      <c r="P140" s="123">
        <f t="shared" si="5"/>
        <v>322.9</v>
      </c>
      <c r="Q140" s="123">
        <f t="shared" si="2"/>
        <v>0.725</v>
      </c>
      <c r="R140" s="123">
        <f t="shared" si="6"/>
        <v>0.575</v>
      </c>
      <c r="S140" s="123">
        <f t="shared" si="3"/>
        <v>1.15</v>
      </c>
      <c r="T140" s="123">
        <f t="shared" si="4"/>
        <v>2.5</v>
      </c>
      <c r="U140" s="41">
        <v>5.0</v>
      </c>
      <c r="V140" s="41">
        <v>2.0</v>
      </c>
      <c r="W140" s="41">
        <v>0.0</v>
      </c>
      <c r="X140" s="41">
        <v>4.0</v>
      </c>
      <c r="Y140" s="41">
        <v>85.0</v>
      </c>
      <c r="Z140" s="41">
        <v>36.0</v>
      </c>
    </row>
    <row r="141">
      <c r="A141" s="41" t="s">
        <v>902</v>
      </c>
      <c r="B141" s="41" t="s">
        <v>746</v>
      </c>
      <c r="C141" s="41" t="s">
        <v>1157</v>
      </c>
      <c r="D141" s="41" t="s">
        <v>1158</v>
      </c>
      <c r="E141" s="41">
        <v>40.0</v>
      </c>
      <c r="F141" s="41">
        <v>24.0</v>
      </c>
      <c r="G141" s="41">
        <v>16.0</v>
      </c>
      <c r="H141" s="125">
        <v>0.6</v>
      </c>
      <c r="I141" s="41">
        <v>6.0</v>
      </c>
      <c r="J141" s="41">
        <v>15994.0</v>
      </c>
      <c r="K141" s="41">
        <v>33.0</v>
      </c>
      <c r="L141" s="41">
        <v>26.0</v>
      </c>
      <c r="M141" s="41">
        <v>57.0</v>
      </c>
      <c r="N141" s="41">
        <v>121.0</v>
      </c>
      <c r="O141" s="122">
        <f t="shared" si="1"/>
        <v>0.2727272727</v>
      </c>
      <c r="P141" s="123">
        <f t="shared" si="5"/>
        <v>399.85</v>
      </c>
      <c r="Q141" s="123">
        <f t="shared" si="2"/>
        <v>0.825</v>
      </c>
      <c r="R141" s="123">
        <f t="shared" si="6"/>
        <v>0.65</v>
      </c>
      <c r="S141" s="123">
        <f t="shared" si="3"/>
        <v>1.425</v>
      </c>
      <c r="T141" s="123">
        <f t="shared" si="4"/>
        <v>3.025</v>
      </c>
      <c r="U141" s="41">
        <v>5.0</v>
      </c>
      <c r="V141" s="41">
        <v>1.0</v>
      </c>
      <c r="W141" s="41">
        <v>0.0</v>
      </c>
      <c r="X141" s="41">
        <v>7.0</v>
      </c>
      <c r="Y141" s="41">
        <v>38.0</v>
      </c>
      <c r="Z141" s="41">
        <v>33.0</v>
      </c>
    </row>
    <row r="142">
      <c r="A142" s="41" t="s">
        <v>905</v>
      </c>
      <c r="B142" s="41" t="s">
        <v>253</v>
      </c>
      <c r="C142" s="41" t="s">
        <v>1159</v>
      </c>
      <c r="D142" s="41" t="s">
        <v>921</v>
      </c>
      <c r="E142" s="41">
        <v>1.0</v>
      </c>
      <c r="F142" s="41">
        <v>0.0</v>
      </c>
      <c r="G142" s="41">
        <v>1.0</v>
      </c>
      <c r="H142" s="125">
        <v>0.0</v>
      </c>
      <c r="I142" s="41">
        <v>0.0</v>
      </c>
      <c r="J142" s="41">
        <v>532.0</v>
      </c>
      <c r="K142" s="41">
        <v>1.0</v>
      </c>
      <c r="L142" s="41">
        <v>0.0</v>
      </c>
      <c r="M142" s="41">
        <v>4.0</v>
      </c>
      <c r="N142" s="41">
        <v>3.0</v>
      </c>
      <c r="O142" s="122">
        <f t="shared" si="1"/>
        <v>0.3333333333</v>
      </c>
      <c r="P142" s="123">
        <f t="shared" si="5"/>
        <v>532</v>
      </c>
      <c r="Q142" s="123">
        <f t="shared" si="2"/>
        <v>1</v>
      </c>
      <c r="R142" s="123">
        <f t="shared" si="6"/>
        <v>0</v>
      </c>
      <c r="S142" s="123">
        <f t="shared" si="3"/>
        <v>4</v>
      </c>
      <c r="T142" s="123">
        <f t="shared" si="4"/>
        <v>3</v>
      </c>
      <c r="U142" s="41">
        <v>0.0</v>
      </c>
      <c r="V142" s="41">
        <v>0.0</v>
      </c>
      <c r="W142" s="41">
        <v>0.0</v>
      </c>
      <c r="X142" s="41">
        <v>1.0</v>
      </c>
      <c r="Y142" s="41">
        <v>0.0</v>
      </c>
      <c r="Z142" s="41">
        <v>1.0</v>
      </c>
    </row>
    <row r="143">
      <c r="A143" s="41" t="s">
        <v>902</v>
      </c>
      <c r="B143" s="41" t="s">
        <v>804</v>
      </c>
      <c r="C143" s="41" t="s">
        <v>1160</v>
      </c>
      <c r="D143" s="41" t="s">
        <v>1161</v>
      </c>
      <c r="E143" s="41">
        <v>54.0</v>
      </c>
      <c r="F143" s="41">
        <v>25.0</v>
      </c>
      <c r="G143" s="41">
        <v>29.0</v>
      </c>
      <c r="H143" s="125">
        <v>0.46296296296296297</v>
      </c>
      <c r="I143" s="41">
        <v>8.0</v>
      </c>
      <c r="J143" s="41">
        <v>18798.0</v>
      </c>
      <c r="K143" s="41">
        <v>43.0</v>
      </c>
      <c r="L143" s="41">
        <v>25.0</v>
      </c>
      <c r="M143" s="41">
        <v>76.0</v>
      </c>
      <c r="N143" s="41">
        <v>137.0</v>
      </c>
      <c r="O143" s="122">
        <f t="shared" si="1"/>
        <v>0.3138686131</v>
      </c>
      <c r="P143" s="123">
        <f t="shared" si="5"/>
        <v>348.1111111</v>
      </c>
      <c r="Q143" s="123">
        <f t="shared" si="2"/>
        <v>0.7962962963</v>
      </c>
      <c r="R143" s="123">
        <f t="shared" si="6"/>
        <v>0.462962963</v>
      </c>
      <c r="S143" s="123">
        <f t="shared" si="3"/>
        <v>1.407407407</v>
      </c>
      <c r="T143" s="123">
        <f t="shared" si="4"/>
        <v>2.537037037</v>
      </c>
      <c r="U143" s="41">
        <v>6.0</v>
      </c>
      <c r="V143" s="41">
        <v>5.0</v>
      </c>
      <c r="W143" s="41">
        <v>1.0</v>
      </c>
      <c r="X143" s="41">
        <v>8.0</v>
      </c>
      <c r="Y143" s="41">
        <v>51.0</v>
      </c>
      <c r="Z143" s="41">
        <v>74.0</v>
      </c>
    </row>
    <row r="144">
      <c r="A144" s="41" t="s">
        <v>904</v>
      </c>
      <c r="B144" s="41" t="s">
        <v>659</v>
      </c>
      <c r="C144" s="41" t="s">
        <v>1162</v>
      </c>
      <c r="D144" s="41" t="s">
        <v>1163</v>
      </c>
      <c r="E144" s="41">
        <v>23.0</v>
      </c>
      <c r="F144" s="41">
        <v>13.0</v>
      </c>
      <c r="G144" s="41">
        <v>10.0</v>
      </c>
      <c r="H144" s="125">
        <v>0.5652173913043478</v>
      </c>
      <c r="I144" s="41">
        <v>1.0</v>
      </c>
      <c r="J144" s="41">
        <v>7028.0</v>
      </c>
      <c r="K144" s="41">
        <v>17.0</v>
      </c>
      <c r="L144" s="41">
        <v>14.0</v>
      </c>
      <c r="M144" s="41">
        <v>17.0</v>
      </c>
      <c r="N144" s="41">
        <v>43.0</v>
      </c>
      <c r="O144" s="122">
        <f t="shared" si="1"/>
        <v>0.3953488372</v>
      </c>
      <c r="P144" s="123">
        <f t="shared" si="5"/>
        <v>305.5652174</v>
      </c>
      <c r="Q144" s="123">
        <f t="shared" si="2"/>
        <v>0.7391304348</v>
      </c>
      <c r="R144" s="123">
        <f t="shared" si="6"/>
        <v>0.6086956522</v>
      </c>
      <c r="S144" s="123">
        <f t="shared" si="3"/>
        <v>0.7391304348</v>
      </c>
      <c r="T144" s="123">
        <f t="shared" si="4"/>
        <v>1.869565217</v>
      </c>
      <c r="U144" s="41">
        <v>5.0</v>
      </c>
      <c r="V144" s="41">
        <v>0.0</v>
      </c>
      <c r="W144" s="41">
        <v>1.0</v>
      </c>
      <c r="X144" s="41">
        <v>0.0</v>
      </c>
      <c r="Y144" s="41">
        <v>30.0</v>
      </c>
      <c r="Z144" s="41">
        <v>17.0</v>
      </c>
    </row>
    <row r="145">
      <c r="A145" s="41" t="s">
        <v>902</v>
      </c>
      <c r="B145" s="41" t="s">
        <v>771</v>
      </c>
      <c r="C145" s="41" t="s">
        <v>1164</v>
      </c>
      <c r="D145" s="41" t="s">
        <v>1165</v>
      </c>
      <c r="E145" s="41">
        <v>50.0</v>
      </c>
      <c r="F145" s="41">
        <v>19.0</v>
      </c>
      <c r="G145" s="41">
        <v>31.0</v>
      </c>
      <c r="H145" s="125">
        <v>0.38</v>
      </c>
      <c r="I145" s="41">
        <v>7.0</v>
      </c>
      <c r="J145" s="41">
        <v>19115.0</v>
      </c>
      <c r="K145" s="41">
        <v>45.0</v>
      </c>
      <c r="L145" s="41">
        <v>24.0</v>
      </c>
      <c r="M145" s="41">
        <v>76.0</v>
      </c>
      <c r="N145" s="41">
        <v>162.0</v>
      </c>
      <c r="O145" s="122">
        <f t="shared" si="1"/>
        <v>0.2777777778</v>
      </c>
      <c r="P145" s="123">
        <f t="shared" si="5"/>
        <v>382.3</v>
      </c>
      <c r="Q145" s="123">
        <f t="shared" si="2"/>
        <v>0.9</v>
      </c>
      <c r="R145" s="123">
        <f t="shared" si="6"/>
        <v>0.48</v>
      </c>
      <c r="S145" s="123">
        <f t="shared" si="3"/>
        <v>1.52</v>
      </c>
      <c r="T145" s="123">
        <f t="shared" si="4"/>
        <v>3.24</v>
      </c>
      <c r="U145" s="41">
        <v>9.0</v>
      </c>
      <c r="V145" s="41">
        <v>2.0</v>
      </c>
      <c r="W145" s="41">
        <v>0.0</v>
      </c>
      <c r="X145" s="41">
        <v>7.0</v>
      </c>
      <c r="Y145" s="41">
        <v>52.0</v>
      </c>
      <c r="Z145" s="41">
        <v>45.0</v>
      </c>
    </row>
    <row r="146">
      <c r="A146" s="41" t="s">
        <v>904</v>
      </c>
      <c r="B146" s="41" t="s">
        <v>640</v>
      </c>
      <c r="C146" s="41" t="s">
        <v>1166</v>
      </c>
      <c r="D146" s="41" t="s">
        <v>1167</v>
      </c>
      <c r="E146" s="41">
        <v>53.0</v>
      </c>
      <c r="F146" s="41">
        <v>34.0</v>
      </c>
      <c r="G146" s="41">
        <v>19.0</v>
      </c>
      <c r="H146" s="125">
        <v>0.6415094339622641</v>
      </c>
      <c r="I146" s="41">
        <v>7.0</v>
      </c>
      <c r="J146" s="41">
        <v>17882.0</v>
      </c>
      <c r="K146" s="41">
        <v>36.0</v>
      </c>
      <c r="L146" s="41">
        <v>37.0</v>
      </c>
      <c r="M146" s="41">
        <v>64.0</v>
      </c>
      <c r="N146" s="41">
        <v>110.0</v>
      </c>
      <c r="O146" s="122">
        <f t="shared" si="1"/>
        <v>0.3272727273</v>
      </c>
      <c r="P146" s="123">
        <f t="shared" si="5"/>
        <v>337.3962264</v>
      </c>
      <c r="Q146" s="123">
        <f t="shared" si="2"/>
        <v>0.679245283</v>
      </c>
      <c r="R146" s="123">
        <f t="shared" si="6"/>
        <v>0.6981132075</v>
      </c>
      <c r="S146" s="123">
        <f t="shared" si="3"/>
        <v>1.20754717</v>
      </c>
      <c r="T146" s="123">
        <f t="shared" si="4"/>
        <v>2.075471698</v>
      </c>
      <c r="U146" s="41">
        <v>6.0</v>
      </c>
      <c r="V146" s="41">
        <v>0.0</v>
      </c>
      <c r="W146" s="41">
        <v>1.0</v>
      </c>
      <c r="X146" s="41">
        <v>8.0</v>
      </c>
      <c r="Y146" s="41">
        <v>39.0</v>
      </c>
      <c r="Z146" s="41">
        <v>61.0</v>
      </c>
    </row>
    <row r="147">
      <c r="A147" s="41" t="s">
        <v>904</v>
      </c>
      <c r="B147" s="41" t="s">
        <v>672</v>
      </c>
      <c r="C147" s="41" t="s">
        <v>1168</v>
      </c>
      <c r="D147" s="41" t="s">
        <v>1145</v>
      </c>
      <c r="E147" s="41">
        <v>52.0</v>
      </c>
      <c r="F147" s="41">
        <v>29.0</v>
      </c>
      <c r="G147" s="41">
        <v>23.0</v>
      </c>
      <c r="H147" s="125">
        <v>0.5576923076923077</v>
      </c>
      <c r="I147" s="41">
        <v>5.0</v>
      </c>
      <c r="J147" s="41">
        <v>17769.0</v>
      </c>
      <c r="K147" s="41">
        <v>33.0</v>
      </c>
      <c r="L147" s="41">
        <v>30.0</v>
      </c>
      <c r="M147" s="41">
        <v>72.0</v>
      </c>
      <c r="N147" s="41">
        <v>127.0</v>
      </c>
      <c r="O147" s="122">
        <f t="shared" si="1"/>
        <v>0.2598425197</v>
      </c>
      <c r="P147" s="123">
        <f t="shared" si="5"/>
        <v>341.7115385</v>
      </c>
      <c r="Q147" s="123">
        <f t="shared" si="2"/>
        <v>0.6346153846</v>
      </c>
      <c r="R147" s="123">
        <f t="shared" si="6"/>
        <v>0.5769230769</v>
      </c>
      <c r="S147" s="123">
        <f t="shared" si="3"/>
        <v>1.384615385</v>
      </c>
      <c r="T147" s="123">
        <f t="shared" si="4"/>
        <v>2.442307692</v>
      </c>
      <c r="U147" s="41">
        <v>10.0</v>
      </c>
      <c r="V147" s="41">
        <v>1.0</v>
      </c>
      <c r="W147" s="41">
        <v>1.0</v>
      </c>
      <c r="X147" s="41">
        <v>11.0</v>
      </c>
      <c r="Y147" s="41">
        <v>40.0</v>
      </c>
      <c r="Z147" s="41">
        <v>51.0</v>
      </c>
    </row>
    <row r="148">
      <c r="A148" s="41" t="s">
        <v>899</v>
      </c>
      <c r="B148" s="41" t="s">
        <v>427</v>
      </c>
      <c r="C148" s="41" t="s">
        <v>1169</v>
      </c>
      <c r="D148" s="41" t="s">
        <v>1170</v>
      </c>
      <c r="E148" s="41">
        <v>56.0</v>
      </c>
      <c r="F148" s="41">
        <v>35.0</v>
      </c>
      <c r="G148" s="41">
        <v>21.0</v>
      </c>
      <c r="H148" s="125">
        <v>0.625</v>
      </c>
      <c r="I148" s="41">
        <v>16.0</v>
      </c>
      <c r="J148" s="41">
        <v>20317.0</v>
      </c>
      <c r="K148" s="41">
        <v>47.0</v>
      </c>
      <c r="L148" s="41">
        <v>28.0</v>
      </c>
      <c r="M148" s="41">
        <v>71.0</v>
      </c>
      <c r="N148" s="41">
        <v>165.0</v>
      </c>
      <c r="O148" s="122">
        <f t="shared" si="1"/>
        <v>0.2848484848</v>
      </c>
      <c r="P148" s="123">
        <f t="shared" si="5"/>
        <v>362.8035714</v>
      </c>
      <c r="Q148" s="123">
        <f t="shared" si="2"/>
        <v>0.8392857143</v>
      </c>
      <c r="R148" s="123">
        <f t="shared" si="6"/>
        <v>0.5</v>
      </c>
      <c r="S148" s="123">
        <f t="shared" si="3"/>
        <v>1.267857143</v>
      </c>
      <c r="T148" s="123">
        <f t="shared" si="4"/>
        <v>2.946428571</v>
      </c>
      <c r="U148" s="41">
        <v>11.0</v>
      </c>
      <c r="V148" s="41">
        <v>5.0</v>
      </c>
      <c r="W148" s="41">
        <v>1.0</v>
      </c>
      <c r="X148" s="41">
        <v>9.0</v>
      </c>
      <c r="Y148" s="41">
        <v>32.0</v>
      </c>
      <c r="Z148" s="41">
        <v>61.0</v>
      </c>
    </row>
    <row r="149">
      <c r="A149" s="41" t="s">
        <v>904</v>
      </c>
      <c r="B149" s="41" t="s">
        <v>667</v>
      </c>
      <c r="C149" s="41" t="s">
        <v>1171</v>
      </c>
      <c r="D149" s="41" t="s">
        <v>1172</v>
      </c>
      <c r="E149" s="41">
        <v>7.0</v>
      </c>
      <c r="F149" s="41">
        <v>0.0</v>
      </c>
      <c r="G149" s="41">
        <v>7.0</v>
      </c>
      <c r="H149" s="125">
        <v>0.0</v>
      </c>
      <c r="I149" s="41">
        <v>0.0</v>
      </c>
      <c r="J149" s="41">
        <v>2294.0</v>
      </c>
      <c r="K149" s="41">
        <v>2.0</v>
      </c>
      <c r="L149" s="41">
        <v>4.0</v>
      </c>
      <c r="M149" s="41">
        <v>11.0</v>
      </c>
      <c r="N149" s="41">
        <v>20.0</v>
      </c>
      <c r="O149" s="122">
        <f t="shared" si="1"/>
        <v>0.1</v>
      </c>
      <c r="P149" s="123">
        <f t="shared" si="5"/>
        <v>327.7142857</v>
      </c>
      <c r="Q149" s="123">
        <f t="shared" si="2"/>
        <v>0.2857142857</v>
      </c>
      <c r="R149" s="123">
        <f t="shared" si="6"/>
        <v>0.5714285714</v>
      </c>
      <c r="S149" s="123">
        <f t="shared" si="3"/>
        <v>1.571428571</v>
      </c>
      <c r="T149" s="123">
        <f t="shared" si="4"/>
        <v>2.857142857</v>
      </c>
      <c r="U149" s="41">
        <v>2.0</v>
      </c>
      <c r="V149" s="41">
        <v>0.0</v>
      </c>
      <c r="W149" s="41">
        <v>0.0</v>
      </c>
      <c r="X149" s="41">
        <v>1.0</v>
      </c>
      <c r="Y149" s="41">
        <v>7.0</v>
      </c>
      <c r="Z149" s="41">
        <v>3.0</v>
      </c>
    </row>
    <row r="150">
      <c r="A150" s="41" t="s">
        <v>901</v>
      </c>
      <c r="B150" s="41" t="s">
        <v>385</v>
      </c>
      <c r="C150" s="41" t="s">
        <v>1173</v>
      </c>
      <c r="D150" s="41" t="s">
        <v>1174</v>
      </c>
      <c r="E150" s="41">
        <v>12.0</v>
      </c>
      <c r="F150" s="41">
        <v>6.0</v>
      </c>
      <c r="G150" s="41">
        <v>6.0</v>
      </c>
      <c r="H150" s="125">
        <v>0.5</v>
      </c>
      <c r="I150" s="41">
        <v>1.0</v>
      </c>
      <c r="J150" s="41">
        <v>3646.0</v>
      </c>
      <c r="K150" s="41">
        <v>8.0</v>
      </c>
      <c r="L150" s="41">
        <v>6.0</v>
      </c>
      <c r="M150" s="41">
        <v>13.0</v>
      </c>
      <c r="N150" s="41">
        <v>30.0</v>
      </c>
      <c r="O150" s="122">
        <f t="shared" si="1"/>
        <v>0.2666666667</v>
      </c>
      <c r="P150" s="123">
        <f t="shared" si="5"/>
        <v>303.8333333</v>
      </c>
      <c r="Q150" s="123">
        <f t="shared" si="2"/>
        <v>0.6666666667</v>
      </c>
      <c r="R150" s="123">
        <f t="shared" si="6"/>
        <v>0.5</v>
      </c>
      <c r="S150" s="123">
        <f t="shared" si="3"/>
        <v>1.083333333</v>
      </c>
      <c r="T150" s="123">
        <f t="shared" si="4"/>
        <v>2.5</v>
      </c>
      <c r="U150" s="41">
        <v>1.0</v>
      </c>
      <c r="V150" s="41">
        <v>1.0</v>
      </c>
      <c r="W150" s="41">
        <v>0.0</v>
      </c>
      <c r="X150" s="41">
        <v>1.0</v>
      </c>
      <c r="Y150" s="41">
        <v>14.0</v>
      </c>
      <c r="Z150" s="41">
        <v>19.0</v>
      </c>
    </row>
    <row r="151">
      <c r="A151" s="41" t="s">
        <v>901</v>
      </c>
      <c r="B151" s="41" t="s">
        <v>314</v>
      </c>
      <c r="C151" s="41" t="s">
        <v>1175</v>
      </c>
      <c r="D151" s="41" t="s">
        <v>934</v>
      </c>
      <c r="E151" s="41">
        <v>39.0</v>
      </c>
      <c r="F151" s="41">
        <v>19.0</v>
      </c>
      <c r="G151" s="41">
        <v>20.0</v>
      </c>
      <c r="H151" s="125">
        <v>0.48717948717948717</v>
      </c>
      <c r="I151" s="41">
        <v>10.0</v>
      </c>
      <c r="J151" s="41">
        <v>15364.0</v>
      </c>
      <c r="K151" s="41">
        <v>33.0</v>
      </c>
      <c r="L151" s="41">
        <v>24.0</v>
      </c>
      <c r="M151" s="41">
        <v>61.0</v>
      </c>
      <c r="N151" s="41">
        <v>96.0</v>
      </c>
      <c r="O151" s="122">
        <f t="shared" si="1"/>
        <v>0.34375</v>
      </c>
      <c r="P151" s="123">
        <f t="shared" si="5"/>
        <v>393.9487179</v>
      </c>
      <c r="Q151" s="123">
        <f t="shared" si="2"/>
        <v>0.8461538462</v>
      </c>
      <c r="R151" s="123">
        <f t="shared" si="6"/>
        <v>0.6153846154</v>
      </c>
      <c r="S151" s="123">
        <f t="shared" si="3"/>
        <v>1.564102564</v>
      </c>
      <c r="T151" s="123">
        <f t="shared" si="4"/>
        <v>2.461538462</v>
      </c>
      <c r="U151" s="41">
        <v>5.0</v>
      </c>
      <c r="V151" s="41">
        <v>3.0</v>
      </c>
      <c r="W151" s="41">
        <v>1.0</v>
      </c>
      <c r="X151" s="41">
        <v>8.0</v>
      </c>
      <c r="Y151" s="41">
        <v>46.0</v>
      </c>
      <c r="Z151" s="41">
        <v>43.0</v>
      </c>
    </row>
    <row r="152">
      <c r="A152" s="41" t="s">
        <v>902</v>
      </c>
      <c r="B152" s="41" t="s">
        <v>812</v>
      </c>
      <c r="C152" s="41" t="s">
        <v>1176</v>
      </c>
      <c r="D152" s="41" t="s">
        <v>1177</v>
      </c>
      <c r="E152" s="41">
        <v>21.0</v>
      </c>
      <c r="F152" s="41">
        <v>11.0</v>
      </c>
      <c r="G152" s="41">
        <v>10.0</v>
      </c>
      <c r="H152" s="125">
        <v>0.5238095238095238</v>
      </c>
      <c r="I152" s="41">
        <v>3.0</v>
      </c>
      <c r="J152" s="41">
        <v>7232.0</v>
      </c>
      <c r="K152" s="41">
        <v>20.0</v>
      </c>
      <c r="L152" s="41">
        <v>12.0</v>
      </c>
      <c r="M152" s="41">
        <v>21.0</v>
      </c>
      <c r="N152" s="41">
        <v>62.0</v>
      </c>
      <c r="O152" s="122">
        <f t="shared" si="1"/>
        <v>0.3225806452</v>
      </c>
      <c r="P152" s="123">
        <f t="shared" si="5"/>
        <v>344.3809524</v>
      </c>
      <c r="Q152" s="123">
        <f t="shared" si="2"/>
        <v>0.9523809524</v>
      </c>
      <c r="R152" s="123">
        <f t="shared" si="6"/>
        <v>0.5714285714</v>
      </c>
      <c r="S152" s="123">
        <f t="shared" si="3"/>
        <v>1</v>
      </c>
      <c r="T152" s="123">
        <f t="shared" si="4"/>
        <v>2.952380952</v>
      </c>
      <c r="U152" s="41">
        <v>2.0</v>
      </c>
      <c r="V152" s="41">
        <v>1.0</v>
      </c>
      <c r="W152" s="41">
        <v>0.0</v>
      </c>
      <c r="X152" s="41">
        <v>1.0</v>
      </c>
      <c r="Y152" s="41">
        <v>16.0</v>
      </c>
      <c r="Z152" s="41">
        <v>23.0</v>
      </c>
    </row>
    <row r="153">
      <c r="A153" s="41" t="s">
        <v>905</v>
      </c>
      <c r="B153" s="41" t="s">
        <v>144</v>
      </c>
      <c r="C153" s="41" t="s">
        <v>1178</v>
      </c>
      <c r="D153" s="41" t="s">
        <v>1179</v>
      </c>
      <c r="E153" s="41">
        <v>55.0</v>
      </c>
      <c r="F153" s="41">
        <v>29.0</v>
      </c>
      <c r="G153" s="41">
        <v>26.0</v>
      </c>
      <c r="H153" s="125">
        <v>0.5272727272727272</v>
      </c>
      <c r="I153" s="41">
        <v>12.0</v>
      </c>
      <c r="J153" s="41">
        <v>18940.0</v>
      </c>
      <c r="K153" s="41">
        <v>42.0</v>
      </c>
      <c r="L153" s="41">
        <v>40.0</v>
      </c>
      <c r="M153" s="41">
        <v>64.0</v>
      </c>
      <c r="N153" s="41">
        <v>156.0</v>
      </c>
      <c r="O153" s="122">
        <f t="shared" si="1"/>
        <v>0.2692307692</v>
      </c>
      <c r="P153" s="123">
        <f t="shared" si="5"/>
        <v>344.3636364</v>
      </c>
      <c r="Q153" s="123">
        <f t="shared" si="2"/>
        <v>0.7636363636</v>
      </c>
      <c r="R153" s="123">
        <f t="shared" si="6"/>
        <v>0.7272727273</v>
      </c>
      <c r="S153" s="123">
        <f t="shared" si="3"/>
        <v>1.163636364</v>
      </c>
      <c r="T153" s="123">
        <f t="shared" si="4"/>
        <v>2.836363636</v>
      </c>
      <c r="U153" s="41">
        <v>9.0</v>
      </c>
      <c r="V153" s="41">
        <v>4.0</v>
      </c>
      <c r="W153" s="41">
        <v>2.0</v>
      </c>
      <c r="X153" s="41">
        <v>6.0</v>
      </c>
      <c r="Y153" s="41">
        <v>42.0</v>
      </c>
      <c r="Z153" s="41">
        <v>60.0</v>
      </c>
    </row>
    <row r="154">
      <c r="A154" s="41" t="s">
        <v>902</v>
      </c>
      <c r="B154" s="41" t="s">
        <v>742</v>
      </c>
      <c r="C154" s="41" t="s">
        <v>1180</v>
      </c>
      <c r="D154" s="41" t="s">
        <v>1181</v>
      </c>
      <c r="E154" s="41">
        <v>56.0</v>
      </c>
      <c r="F154" s="41">
        <v>36.0</v>
      </c>
      <c r="G154" s="41">
        <v>20.0</v>
      </c>
      <c r="H154" s="125">
        <v>0.6428571428571429</v>
      </c>
      <c r="I154" s="41">
        <v>12.0</v>
      </c>
      <c r="J154" s="41">
        <v>22783.0</v>
      </c>
      <c r="K154" s="41">
        <v>67.0</v>
      </c>
      <c r="L154" s="41">
        <v>39.0</v>
      </c>
      <c r="M154" s="41">
        <v>66.0</v>
      </c>
      <c r="N154" s="41">
        <v>197.0</v>
      </c>
      <c r="O154" s="122">
        <f t="shared" si="1"/>
        <v>0.3401015228</v>
      </c>
      <c r="P154" s="123">
        <f t="shared" si="5"/>
        <v>406.8392857</v>
      </c>
      <c r="Q154" s="123">
        <f t="shared" si="2"/>
        <v>1.196428571</v>
      </c>
      <c r="R154" s="123">
        <f t="shared" si="6"/>
        <v>0.6964285714</v>
      </c>
      <c r="S154" s="123">
        <f t="shared" si="3"/>
        <v>1.178571429</v>
      </c>
      <c r="T154" s="123">
        <f t="shared" si="4"/>
        <v>3.517857143</v>
      </c>
      <c r="U154" s="41">
        <v>11.0</v>
      </c>
      <c r="V154" s="41">
        <v>5.0</v>
      </c>
      <c r="W154" s="41">
        <v>2.0</v>
      </c>
      <c r="X154" s="41">
        <v>8.0</v>
      </c>
      <c r="Y154" s="41">
        <v>29.0</v>
      </c>
      <c r="Z154" s="41">
        <v>59.0</v>
      </c>
    </row>
    <row r="155">
      <c r="A155" s="41" t="s">
        <v>904</v>
      </c>
      <c r="B155" s="41" t="s">
        <v>698</v>
      </c>
      <c r="C155" s="41" t="s">
        <v>1182</v>
      </c>
      <c r="D155" s="41" t="s">
        <v>1183</v>
      </c>
      <c r="E155" s="41">
        <v>50.0</v>
      </c>
      <c r="F155" s="41">
        <v>18.0</v>
      </c>
      <c r="G155" s="41">
        <v>32.0</v>
      </c>
      <c r="H155" s="125">
        <v>0.36</v>
      </c>
      <c r="I155" s="41">
        <v>7.0</v>
      </c>
      <c r="J155" s="41">
        <v>14476.0</v>
      </c>
      <c r="K155" s="41">
        <v>19.0</v>
      </c>
      <c r="L155" s="41">
        <v>27.0</v>
      </c>
      <c r="M155" s="41">
        <v>65.0</v>
      </c>
      <c r="N155" s="41">
        <v>109.0</v>
      </c>
      <c r="O155" s="122">
        <f t="shared" si="1"/>
        <v>0.1743119266</v>
      </c>
      <c r="P155" s="123">
        <f t="shared" si="5"/>
        <v>289.52</v>
      </c>
      <c r="Q155" s="123">
        <f t="shared" si="2"/>
        <v>0.38</v>
      </c>
      <c r="R155" s="123">
        <f t="shared" si="6"/>
        <v>0.54</v>
      </c>
      <c r="S155" s="123">
        <f t="shared" si="3"/>
        <v>1.3</v>
      </c>
      <c r="T155" s="123">
        <f t="shared" si="4"/>
        <v>2.18</v>
      </c>
      <c r="U155" s="41">
        <v>8.0</v>
      </c>
      <c r="V155" s="41">
        <v>0.0</v>
      </c>
      <c r="W155" s="41">
        <v>0.0</v>
      </c>
      <c r="X155" s="41">
        <v>6.0</v>
      </c>
      <c r="Y155" s="41">
        <v>36.0</v>
      </c>
      <c r="Z155" s="41">
        <v>48.0</v>
      </c>
    </row>
    <row r="156">
      <c r="A156" s="41" t="s">
        <v>902</v>
      </c>
      <c r="B156" s="41" t="s">
        <v>857</v>
      </c>
      <c r="C156" s="41" t="s">
        <v>1184</v>
      </c>
      <c r="D156" s="41" t="s">
        <v>1185</v>
      </c>
      <c r="E156" s="41">
        <v>12.0</v>
      </c>
      <c r="F156" s="41">
        <v>5.0</v>
      </c>
      <c r="G156" s="41">
        <v>7.0</v>
      </c>
      <c r="H156" s="125">
        <v>0.4166666666666667</v>
      </c>
      <c r="I156" s="41">
        <v>1.0</v>
      </c>
      <c r="J156" s="41">
        <v>4095.0</v>
      </c>
      <c r="K156" s="41">
        <v>7.0</v>
      </c>
      <c r="L156" s="41">
        <v>2.0</v>
      </c>
      <c r="M156" s="41">
        <v>22.0</v>
      </c>
      <c r="N156" s="41">
        <v>30.0</v>
      </c>
      <c r="O156" s="122">
        <f t="shared" si="1"/>
        <v>0.2333333333</v>
      </c>
      <c r="P156" s="123">
        <f t="shared" si="5"/>
        <v>341.25</v>
      </c>
      <c r="Q156" s="123">
        <f t="shared" si="2"/>
        <v>0.5833333333</v>
      </c>
      <c r="R156" s="123">
        <f t="shared" si="6"/>
        <v>0.1666666667</v>
      </c>
      <c r="S156" s="123">
        <f t="shared" si="3"/>
        <v>1.833333333</v>
      </c>
      <c r="T156" s="123">
        <f t="shared" si="4"/>
        <v>2.5</v>
      </c>
      <c r="U156" s="41">
        <v>1.0</v>
      </c>
      <c r="V156" s="41">
        <v>0.0</v>
      </c>
      <c r="W156" s="41">
        <v>0.0</v>
      </c>
      <c r="X156" s="41">
        <v>2.0</v>
      </c>
      <c r="Y156" s="41">
        <v>5.0</v>
      </c>
      <c r="Z156" s="41">
        <v>10.0</v>
      </c>
    </row>
    <row r="157">
      <c r="A157" s="41" t="s">
        <v>899</v>
      </c>
      <c r="B157" s="41" t="s">
        <v>465</v>
      </c>
      <c r="C157" s="41" t="s">
        <v>1186</v>
      </c>
      <c r="D157" s="41" t="s">
        <v>1170</v>
      </c>
      <c r="E157" s="41">
        <v>22.0</v>
      </c>
      <c r="F157" s="41">
        <v>11.0</v>
      </c>
      <c r="G157" s="41">
        <v>11.0</v>
      </c>
      <c r="H157" s="125">
        <v>0.5</v>
      </c>
      <c r="I157" s="41">
        <v>0.0</v>
      </c>
      <c r="J157" s="41">
        <v>5648.0</v>
      </c>
      <c r="K157" s="41">
        <v>9.0</v>
      </c>
      <c r="L157" s="41">
        <v>9.0</v>
      </c>
      <c r="M157" s="41">
        <v>26.0</v>
      </c>
      <c r="N157" s="41">
        <v>37.0</v>
      </c>
      <c r="O157" s="122">
        <f t="shared" si="1"/>
        <v>0.2432432432</v>
      </c>
      <c r="P157" s="123">
        <f t="shared" si="5"/>
        <v>256.7272727</v>
      </c>
      <c r="Q157" s="123">
        <f t="shared" si="2"/>
        <v>0.4090909091</v>
      </c>
      <c r="R157" s="123">
        <f t="shared" si="6"/>
        <v>0.4090909091</v>
      </c>
      <c r="S157" s="123">
        <f t="shared" si="3"/>
        <v>1.181818182</v>
      </c>
      <c r="T157" s="123">
        <f t="shared" si="4"/>
        <v>1.681818182</v>
      </c>
      <c r="U157" s="41">
        <v>2.0</v>
      </c>
      <c r="V157" s="41">
        <v>0.0</v>
      </c>
      <c r="W157" s="41">
        <v>1.0</v>
      </c>
      <c r="X157" s="41">
        <v>5.0</v>
      </c>
      <c r="Y157" s="41">
        <v>12.0</v>
      </c>
      <c r="Z157" s="41">
        <v>27.0</v>
      </c>
    </row>
    <row r="158">
      <c r="A158" s="41" t="s">
        <v>901</v>
      </c>
      <c r="B158" s="41" t="s">
        <v>355</v>
      </c>
      <c r="C158" s="41" t="s">
        <v>1187</v>
      </c>
      <c r="D158" s="41" t="s">
        <v>1188</v>
      </c>
      <c r="E158" s="41">
        <v>40.0</v>
      </c>
      <c r="F158" s="41">
        <v>13.0</v>
      </c>
      <c r="G158" s="41">
        <v>27.0</v>
      </c>
      <c r="H158" s="125">
        <v>0.325</v>
      </c>
      <c r="I158" s="41">
        <v>7.0</v>
      </c>
      <c r="J158" s="41">
        <v>16383.0</v>
      </c>
      <c r="K158" s="41">
        <v>27.0</v>
      </c>
      <c r="L158" s="41">
        <v>21.0</v>
      </c>
      <c r="M158" s="41">
        <v>95.0</v>
      </c>
      <c r="N158" s="41">
        <v>80.0</v>
      </c>
      <c r="O158" s="122">
        <f t="shared" si="1"/>
        <v>0.3375</v>
      </c>
      <c r="P158" s="123">
        <f t="shared" si="5"/>
        <v>409.575</v>
      </c>
      <c r="Q158" s="123">
        <f t="shared" si="2"/>
        <v>0.675</v>
      </c>
      <c r="R158" s="123">
        <f t="shared" si="6"/>
        <v>0.525</v>
      </c>
      <c r="S158" s="123">
        <f t="shared" si="3"/>
        <v>2.375</v>
      </c>
      <c r="T158" s="123">
        <f t="shared" si="4"/>
        <v>2</v>
      </c>
      <c r="U158" s="41">
        <v>7.0</v>
      </c>
      <c r="V158" s="41">
        <v>0.0</v>
      </c>
      <c r="W158" s="41">
        <v>0.0</v>
      </c>
      <c r="X158" s="41">
        <v>18.0</v>
      </c>
      <c r="Y158" s="41">
        <v>63.0</v>
      </c>
      <c r="Z158" s="41">
        <v>33.0</v>
      </c>
    </row>
    <row r="159">
      <c r="A159" s="41" t="s">
        <v>901</v>
      </c>
      <c r="B159" s="41" t="s">
        <v>276</v>
      </c>
      <c r="C159" s="41" t="s">
        <v>1189</v>
      </c>
      <c r="D159" s="41" t="s">
        <v>1190</v>
      </c>
      <c r="E159" s="41">
        <v>56.0</v>
      </c>
      <c r="F159" s="41">
        <v>27.0</v>
      </c>
      <c r="G159" s="41">
        <v>29.0</v>
      </c>
      <c r="H159" s="125">
        <v>0.48214285714285715</v>
      </c>
      <c r="I159" s="41">
        <v>16.0</v>
      </c>
      <c r="J159" s="41">
        <v>21828.0</v>
      </c>
      <c r="K159" s="41">
        <v>63.0</v>
      </c>
      <c r="L159" s="41">
        <v>38.0</v>
      </c>
      <c r="M159" s="41">
        <v>71.0</v>
      </c>
      <c r="N159" s="41">
        <v>183.0</v>
      </c>
      <c r="O159" s="122">
        <f t="shared" si="1"/>
        <v>0.3442622951</v>
      </c>
      <c r="P159" s="123">
        <f t="shared" si="5"/>
        <v>389.7857143</v>
      </c>
      <c r="Q159" s="123">
        <f t="shared" si="2"/>
        <v>1.125</v>
      </c>
      <c r="R159" s="123">
        <f t="shared" si="6"/>
        <v>0.6785714286</v>
      </c>
      <c r="S159" s="123">
        <f t="shared" si="3"/>
        <v>1.267857143</v>
      </c>
      <c r="T159" s="123">
        <f t="shared" si="4"/>
        <v>3.267857143</v>
      </c>
      <c r="U159" s="41">
        <v>14.0</v>
      </c>
      <c r="V159" s="41">
        <v>5.0</v>
      </c>
      <c r="W159" s="41">
        <v>2.0</v>
      </c>
      <c r="X159" s="41">
        <v>4.0</v>
      </c>
      <c r="Y159" s="41">
        <v>62.0</v>
      </c>
      <c r="Z159" s="41">
        <v>53.0</v>
      </c>
    </row>
    <row r="160">
      <c r="A160" s="41" t="s">
        <v>905</v>
      </c>
      <c r="B160" s="41" t="s">
        <v>227</v>
      </c>
      <c r="C160" s="41" t="s">
        <v>1191</v>
      </c>
      <c r="D160" s="41" t="s">
        <v>959</v>
      </c>
      <c r="E160" s="41">
        <v>39.0</v>
      </c>
      <c r="F160" s="41">
        <v>12.0</v>
      </c>
      <c r="G160" s="41">
        <v>27.0</v>
      </c>
      <c r="H160" s="125">
        <v>0.3076923076923077</v>
      </c>
      <c r="I160" s="41">
        <v>5.0</v>
      </c>
      <c r="J160" s="41">
        <v>12480.0</v>
      </c>
      <c r="K160" s="41">
        <v>32.0</v>
      </c>
      <c r="L160" s="41">
        <v>5.0</v>
      </c>
      <c r="M160" s="41">
        <v>52.0</v>
      </c>
      <c r="N160" s="41">
        <v>96.0</v>
      </c>
      <c r="O160" s="122">
        <f t="shared" si="1"/>
        <v>0.3333333333</v>
      </c>
      <c r="P160" s="123">
        <f t="shared" si="5"/>
        <v>320</v>
      </c>
      <c r="Q160" s="123">
        <f t="shared" si="2"/>
        <v>0.8205128205</v>
      </c>
      <c r="R160" s="123">
        <f t="shared" si="6"/>
        <v>0.1282051282</v>
      </c>
      <c r="S160" s="123">
        <f t="shared" si="3"/>
        <v>1.333333333</v>
      </c>
      <c r="T160" s="123">
        <f t="shared" si="4"/>
        <v>2.461538462</v>
      </c>
      <c r="U160" s="41">
        <v>0.0</v>
      </c>
      <c r="V160" s="41">
        <v>1.0</v>
      </c>
      <c r="W160" s="41">
        <v>0.0</v>
      </c>
      <c r="X160" s="41">
        <v>6.0</v>
      </c>
      <c r="Y160" s="41">
        <v>25.0</v>
      </c>
      <c r="Z160" s="41">
        <v>50.0</v>
      </c>
    </row>
    <row r="161">
      <c r="A161" s="41" t="s">
        <v>905</v>
      </c>
      <c r="B161" s="41" t="s">
        <v>240</v>
      </c>
      <c r="C161" s="41" t="s">
        <v>1192</v>
      </c>
      <c r="D161" s="41" t="s">
        <v>921</v>
      </c>
      <c r="E161" s="41">
        <v>22.0</v>
      </c>
      <c r="F161" s="41">
        <v>8.0</v>
      </c>
      <c r="G161" s="41">
        <v>14.0</v>
      </c>
      <c r="H161" s="125">
        <v>0.36363636363636365</v>
      </c>
      <c r="I161" s="41">
        <v>2.0</v>
      </c>
      <c r="J161" s="41">
        <v>6526.0</v>
      </c>
      <c r="K161" s="41">
        <v>13.0</v>
      </c>
      <c r="L161" s="41">
        <v>11.0</v>
      </c>
      <c r="M161" s="41">
        <v>27.0</v>
      </c>
      <c r="N161" s="41">
        <v>47.0</v>
      </c>
      <c r="O161" s="122">
        <f t="shared" si="1"/>
        <v>0.2765957447</v>
      </c>
      <c r="P161" s="123">
        <f t="shared" si="5"/>
        <v>296.6363636</v>
      </c>
      <c r="Q161" s="123">
        <f t="shared" si="2"/>
        <v>0.5909090909</v>
      </c>
      <c r="R161" s="123">
        <f t="shared" si="6"/>
        <v>0.5</v>
      </c>
      <c r="S161" s="123">
        <f t="shared" si="3"/>
        <v>1.227272727</v>
      </c>
      <c r="T161" s="123">
        <f t="shared" si="4"/>
        <v>2.136363636</v>
      </c>
      <c r="U161" s="41">
        <v>2.0</v>
      </c>
      <c r="V161" s="41">
        <v>0.0</v>
      </c>
      <c r="W161" s="41">
        <v>0.0</v>
      </c>
      <c r="X161" s="41">
        <v>3.0</v>
      </c>
      <c r="Y161" s="41">
        <v>17.0</v>
      </c>
      <c r="Z161" s="41">
        <v>27.0</v>
      </c>
    </row>
    <row r="162">
      <c r="A162" s="41" t="s">
        <v>902</v>
      </c>
      <c r="B162" s="41" t="s">
        <v>752</v>
      </c>
      <c r="C162" s="41" t="s">
        <v>1193</v>
      </c>
      <c r="D162" s="41" t="s">
        <v>1194</v>
      </c>
      <c r="E162" s="41">
        <v>55.0</v>
      </c>
      <c r="F162" s="41">
        <v>39.0</v>
      </c>
      <c r="G162" s="41">
        <v>16.0</v>
      </c>
      <c r="H162" s="125">
        <v>0.7090909090909091</v>
      </c>
      <c r="I162" s="41">
        <v>11.0</v>
      </c>
      <c r="J162" s="41">
        <v>21535.0</v>
      </c>
      <c r="K162" s="41">
        <v>53.0</v>
      </c>
      <c r="L162" s="41">
        <v>33.0</v>
      </c>
      <c r="M162" s="41">
        <v>78.0</v>
      </c>
      <c r="N162" s="41">
        <v>152.0</v>
      </c>
      <c r="O162" s="122">
        <f t="shared" si="1"/>
        <v>0.3486842105</v>
      </c>
      <c r="P162" s="123">
        <f t="shared" si="5"/>
        <v>391.5454545</v>
      </c>
      <c r="Q162" s="123">
        <f t="shared" si="2"/>
        <v>0.9636363636</v>
      </c>
      <c r="R162" s="123">
        <f t="shared" si="6"/>
        <v>0.6</v>
      </c>
      <c r="S162" s="123">
        <f t="shared" si="3"/>
        <v>1.418181818</v>
      </c>
      <c r="T162" s="123">
        <f t="shared" si="4"/>
        <v>2.763636364</v>
      </c>
      <c r="U162" s="41">
        <v>17.0</v>
      </c>
      <c r="V162" s="41">
        <v>2.0</v>
      </c>
      <c r="W162" s="41">
        <v>1.0</v>
      </c>
      <c r="X162" s="41">
        <v>6.0</v>
      </c>
      <c r="Y162" s="41">
        <v>123.0</v>
      </c>
      <c r="Z162" s="41">
        <v>55.0</v>
      </c>
    </row>
    <row r="163">
      <c r="A163" s="41" t="s">
        <v>901</v>
      </c>
      <c r="B163" s="41" t="s">
        <v>294</v>
      </c>
      <c r="C163" s="41" t="s">
        <v>1195</v>
      </c>
      <c r="D163" s="41" t="s">
        <v>1196</v>
      </c>
      <c r="E163" s="41">
        <v>7.0</v>
      </c>
      <c r="F163" s="41">
        <v>3.0</v>
      </c>
      <c r="G163" s="41">
        <v>4.0</v>
      </c>
      <c r="H163" s="125">
        <v>0.42857142857142855</v>
      </c>
      <c r="I163" s="41">
        <v>0.0</v>
      </c>
      <c r="J163" s="41">
        <v>2635.0</v>
      </c>
      <c r="K163" s="41">
        <v>8.0</v>
      </c>
      <c r="L163" s="41">
        <v>4.0</v>
      </c>
      <c r="M163" s="41">
        <v>8.0</v>
      </c>
      <c r="N163" s="41">
        <v>15.0</v>
      </c>
      <c r="O163" s="122">
        <f t="shared" si="1"/>
        <v>0.5333333333</v>
      </c>
      <c r="P163" s="123">
        <f t="shared" si="5"/>
        <v>376.4285714</v>
      </c>
      <c r="Q163" s="123">
        <f t="shared" si="2"/>
        <v>1.142857143</v>
      </c>
      <c r="R163" s="123">
        <f t="shared" si="6"/>
        <v>0.5714285714</v>
      </c>
      <c r="S163" s="123">
        <f t="shared" si="3"/>
        <v>1.142857143</v>
      </c>
      <c r="T163" s="123">
        <f t="shared" si="4"/>
        <v>2.142857143</v>
      </c>
      <c r="U163" s="41">
        <v>2.0</v>
      </c>
      <c r="V163" s="41">
        <v>0.0</v>
      </c>
      <c r="W163" s="41">
        <v>0.0</v>
      </c>
      <c r="X163" s="41">
        <v>1.0</v>
      </c>
      <c r="Y163" s="41">
        <v>3.0</v>
      </c>
      <c r="Z163" s="41">
        <v>6.0</v>
      </c>
    </row>
    <row r="164">
      <c r="A164" s="41" t="s">
        <v>902</v>
      </c>
      <c r="B164" s="41" t="s">
        <v>858</v>
      </c>
      <c r="C164" s="41" t="s">
        <v>1197</v>
      </c>
      <c r="D164" s="41" t="s">
        <v>1194</v>
      </c>
      <c r="E164" s="41">
        <v>4.0</v>
      </c>
      <c r="F164" s="41">
        <v>1.0</v>
      </c>
      <c r="G164" s="41">
        <v>3.0</v>
      </c>
      <c r="H164" s="125">
        <v>0.25</v>
      </c>
      <c r="I164" s="41">
        <v>0.0</v>
      </c>
      <c r="J164" s="41">
        <v>1081.0</v>
      </c>
      <c r="K164" s="41">
        <v>2.0</v>
      </c>
      <c r="L164" s="41">
        <v>2.0</v>
      </c>
      <c r="M164" s="41">
        <v>6.0</v>
      </c>
      <c r="N164" s="41">
        <v>7.0</v>
      </c>
      <c r="O164" s="122">
        <f t="shared" si="1"/>
        <v>0.2857142857</v>
      </c>
      <c r="P164" s="123">
        <f t="shared" si="5"/>
        <v>270.25</v>
      </c>
      <c r="Q164" s="123">
        <f t="shared" si="2"/>
        <v>0.5</v>
      </c>
      <c r="R164" s="123">
        <f t="shared" si="6"/>
        <v>0.5</v>
      </c>
      <c r="S164" s="123">
        <f t="shared" si="3"/>
        <v>1.5</v>
      </c>
      <c r="T164" s="123">
        <f t="shared" si="4"/>
        <v>1.75</v>
      </c>
      <c r="U164" s="41">
        <v>1.0</v>
      </c>
      <c r="V164" s="41">
        <v>0.0</v>
      </c>
      <c r="W164" s="41">
        <v>0.0</v>
      </c>
      <c r="X164" s="41">
        <v>1.0</v>
      </c>
      <c r="Y164" s="41">
        <v>8.0</v>
      </c>
      <c r="Z164" s="41">
        <v>3.0</v>
      </c>
    </row>
    <row r="165">
      <c r="A165" s="41" t="s">
        <v>901</v>
      </c>
      <c r="B165" s="41" t="s">
        <v>383</v>
      </c>
      <c r="C165" s="41" t="s">
        <v>1198</v>
      </c>
      <c r="D165" s="41" t="s">
        <v>1199</v>
      </c>
      <c r="E165" s="41">
        <v>33.0</v>
      </c>
      <c r="F165" s="41">
        <v>15.0</v>
      </c>
      <c r="G165" s="41">
        <v>18.0</v>
      </c>
      <c r="H165" s="125">
        <v>0.45454545454545453</v>
      </c>
      <c r="I165" s="41">
        <v>8.0</v>
      </c>
      <c r="J165" s="41">
        <v>12152.0</v>
      </c>
      <c r="K165" s="41">
        <v>18.0</v>
      </c>
      <c r="L165" s="41">
        <v>14.0</v>
      </c>
      <c r="M165" s="41">
        <v>66.0</v>
      </c>
      <c r="N165" s="41">
        <v>69.0</v>
      </c>
      <c r="O165" s="122">
        <f t="shared" si="1"/>
        <v>0.2608695652</v>
      </c>
      <c r="P165" s="123">
        <f t="shared" si="5"/>
        <v>368.2424242</v>
      </c>
      <c r="Q165" s="123">
        <f t="shared" si="2"/>
        <v>0.5454545455</v>
      </c>
      <c r="R165" s="123">
        <f t="shared" si="6"/>
        <v>0.4242424242</v>
      </c>
      <c r="S165" s="123">
        <f t="shared" si="3"/>
        <v>2</v>
      </c>
      <c r="T165" s="123">
        <f t="shared" si="4"/>
        <v>2.090909091</v>
      </c>
      <c r="U165" s="41">
        <v>4.0</v>
      </c>
      <c r="V165" s="41">
        <v>0.0</v>
      </c>
      <c r="W165" s="41">
        <v>1.0</v>
      </c>
      <c r="X165" s="41">
        <v>11.0</v>
      </c>
      <c r="Y165" s="41">
        <v>39.0</v>
      </c>
      <c r="Z165" s="41">
        <v>39.0</v>
      </c>
    </row>
    <row r="166">
      <c r="A166" s="41" t="s">
        <v>899</v>
      </c>
      <c r="B166" s="41" t="s">
        <v>464</v>
      </c>
      <c r="C166" s="41" t="s">
        <v>1200</v>
      </c>
      <c r="D166" s="41" t="s">
        <v>1201</v>
      </c>
      <c r="E166" s="41">
        <v>50.0</v>
      </c>
      <c r="F166" s="41">
        <v>27.0</v>
      </c>
      <c r="G166" s="41">
        <v>23.0</v>
      </c>
      <c r="H166" s="125">
        <v>0.54</v>
      </c>
      <c r="I166" s="41">
        <v>9.0</v>
      </c>
      <c r="J166" s="41">
        <v>13957.0</v>
      </c>
      <c r="K166" s="41">
        <v>20.0</v>
      </c>
      <c r="L166" s="41">
        <v>26.0</v>
      </c>
      <c r="M166" s="41">
        <v>55.0</v>
      </c>
      <c r="N166" s="41">
        <v>93.0</v>
      </c>
      <c r="O166" s="122">
        <f t="shared" si="1"/>
        <v>0.2150537634</v>
      </c>
      <c r="P166" s="123">
        <f t="shared" si="5"/>
        <v>279.14</v>
      </c>
      <c r="Q166" s="123">
        <f t="shared" si="2"/>
        <v>0.4</v>
      </c>
      <c r="R166" s="123">
        <f t="shared" si="6"/>
        <v>0.52</v>
      </c>
      <c r="S166" s="123">
        <f t="shared" si="3"/>
        <v>1.1</v>
      </c>
      <c r="T166" s="123">
        <f t="shared" si="4"/>
        <v>1.86</v>
      </c>
      <c r="U166" s="41">
        <v>6.0</v>
      </c>
      <c r="V166" s="41">
        <v>1.0</v>
      </c>
      <c r="W166" s="41">
        <v>1.0</v>
      </c>
      <c r="X166" s="41">
        <v>3.0</v>
      </c>
      <c r="Y166" s="41">
        <v>48.0</v>
      </c>
      <c r="Z166" s="41">
        <v>44.0</v>
      </c>
    </row>
    <row r="167">
      <c r="A167" s="41" t="s">
        <v>905</v>
      </c>
      <c r="B167" s="41" t="s">
        <v>137</v>
      </c>
      <c r="C167" s="41" t="s">
        <v>1202</v>
      </c>
      <c r="D167" s="41" t="s">
        <v>1014</v>
      </c>
      <c r="E167" s="41">
        <v>52.0</v>
      </c>
      <c r="F167" s="41">
        <v>26.0</v>
      </c>
      <c r="G167" s="41">
        <v>26.0</v>
      </c>
      <c r="H167" s="125">
        <v>0.5</v>
      </c>
      <c r="I167" s="41">
        <v>20.0</v>
      </c>
      <c r="J167" s="41">
        <v>19986.0</v>
      </c>
      <c r="K167" s="41">
        <v>51.0</v>
      </c>
      <c r="L167" s="41">
        <v>25.0</v>
      </c>
      <c r="M167" s="41">
        <v>67.0</v>
      </c>
      <c r="N167" s="41">
        <v>139.0</v>
      </c>
      <c r="O167" s="122">
        <f t="shared" si="1"/>
        <v>0.3669064748</v>
      </c>
      <c r="P167" s="123">
        <f t="shared" si="5"/>
        <v>384.3461538</v>
      </c>
      <c r="Q167" s="123">
        <f t="shared" si="2"/>
        <v>0.9807692308</v>
      </c>
      <c r="R167" s="123">
        <f t="shared" si="6"/>
        <v>0.4807692308</v>
      </c>
      <c r="S167" s="123">
        <f t="shared" si="3"/>
        <v>1.288461538</v>
      </c>
      <c r="T167" s="123">
        <f t="shared" si="4"/>
        <v>2.673076923</v>
      </c>
      <c r="U167" s="41">
        <v>9.0</v>
      </c>
      <c r="V167" s="41">
        <v>5.0</v>
      </c>
      <c r="W167" s="41">
        <v>0.0</v>
      </c>
      <c r="X167" s="41">
        <v>7.0</v>
      </c>
      <c r="Y167" s="41">
        <v>63.0</v>
      </c>
      <c r="Z167" s="41">
        <v>48.0</v>
      </c>
    </row>
    <row r="168">
      <c r="A168" s="41" t="s">
        <v>902</v>
      </c>
      <c r="B168" s="41" t="s">
        <v>807</v>
      </c>
      <c r="C168" s="41" t="s">
        <v>1203</v>
      </c>
      <c r="D168" s="41" t="s">
        <v>1204</v>
      </c>
      <c r="E168" s="41">
        <v>1.0</v>
      </c>
      <c r="F168" s="41">
        <v>1.0</v>
      </c>
      <c r="G168" s="41">
        <v>0.0</v>
      </c>
      <c r="H168" s="125">
        <v>1.0</v>
      </c>
      <c r="I168" s="41">
        <v>0.0</v>
      </c>
      <c r="J168" s="41">
        <v>216.0</v>
      </c>
      <c r="K168" s="41">
        <v>0.0</v>
      </c>
      <c r="L168" s="41">
        <v>1.0</v>
      </c>
      <c r="M168" s="41">
        <v>1.0</v>
      </c>
      <c r="N168" s="41">
        <v>1.0</v>
      </c>
      <c r="O168" s="122">
        <f t="shared" si="1"/>
        <v>0</v>
      </c>
      <c r="P168" s="123">
        <f t="shared" si="5"/>
        <v>216</v>
      </c>
      <c r="Q168" s="123">
        <f t="shared" si="2"/>
        <v>0</v>
      </c>
      <c r="R168" s="123">
        <f t="shared" si="6"/>
        <v>1</v>
      </c>
      <c r="S168" s="123">
        <f t="shared" si="3"/>
        <v>1</v>
      </c>
      <c r="T168" s="123">
        <f t="shared" si="4"/>
        <v>1</v>
      </c>
      <c r="U168" s="41">
        <v>0.0</v>
      </c>
      <c r="V168" s="41">
        <v>0.0</v>
      </c>
      <c r="W168" s="41">
        <v>0.0</v>
      </c>
      <c r="X168" s="41">
        <v>0.0</v>
      </c>
      <c r="Y168" s="41">
        <v>0.0</v>
      </c>
      <c r="Z168" s="41">
        <v>2.0</v>
      </c>
    </row>
    <row r="169">
      <c r="A169" s="41" t="s">
        <v>905</v>
      </c>
      <c r="B169" s="41" t="s">
        <v>232</v>
      </c>
      <c r="C169" s="41" t="s">
        <v>1205</v>
      </c>
      <c r="D169" s="41" t="s">
        <v>1206</v>
      </c>
      <c r="E169" s="41">
        <v>4.0</v>
      </c>
      <c r="F169" s="41">
        <v>1.0</v>
      </c>
      <c r="G169" s="41">
        <v>3.0</v>
      </c>
      <c r="H169" s="125">
        <v>0.25</v>
      </c>
      <c r="I169" s="41">
        <v>0.0</v>
      </c>
      <c r="J169" s="41">
        <v>1181.0</v>
      </c>
      <c r="K169" s="41">
        <v>1.0</v>
      </c>
      <c r="L169" s="41">
        <v>3.0</v>
      </c>
      <c r="M169" s="41">
        <v>8.0</v>
      </c>
      <c r="N169" s="41">
        <v>3.0</v>
      </c>
      <c r="O169" s="122">
        <f t="shared" si="1"/>
        <v>0.3333333333</v>
      </c>
      <c r="P169" s="123">
        <f t="shared" si="5"/>
        <v>295.25</v>
      </c>
      <c r="Q169" s="123">
        <f t="shared" si="2"/>
        <v>0.25</v>
      </c>
      <c r="R169" s="123">
        <f t="shared" si="6"/>
        <v>0.75</v>
      </c>
      <c r="S169" s="123">
        <f t="shared" si="3"/>
        <v>2</v>
      </c>
      <c r="T169" s="123">
        <f t="shared" si="4"/>
        <v>0.75</v>
      </c>
      <c r="U169" s="41">
        <v>1.0</v>
      </c>
      <c r="V169" s="41">
        <v>0.0</v>
      </c>
      <c r="W169" s="41">
        <v>0.0</v>
      </c>
      <c r="X169" s="41">
        <v>2.0</v>
      </c>
      <c r="Y169" s="41">
        <v>4.0</v>
      </c>
      <c r="Z169" s="41">
        <v>4.0</v>
      </c>
    </row>
    <row r="170">
      <c r="A170" s="41" t="s">
        <v>901</v>
      </c>
      <c r="B170" s="41" t="s">
        <v>285</v>
      </c>
      <c r="C170" s="41" t="s">
        <v>1207</v>
      </c>
      <c r="D170" s="41" t="s">
        <v>1208</v>
      </c>
      <c r="E170" s="41">
        <v>56.0</v>
      </c>
      <c r="F170" s="41">
        <v>40.0</v>
      </c>
      <c r="G170" s="41">
        <v>16.0</v>
      </c>
      <c r="H170" s="125">
        <v>0.7142857142857143</v>
      </c>
      <c r="I170" s="41">
        <v>16.0</v>
      </c>
      <c r="J170" s="41">
        <v>21199.0</v>
      </c>
      <c r="K170" s="41">
        <v>65.0</v>
      </c>
      <c r="L170" s="41">
        <v>27.0</v>
      </c>
      <c r="M170" s="41">
        <v>76.0</v>
      </c>
      <c r="N170" s="41">
        <v>164.0</v>
      </c>
      <c r="O170" s="122">
        <f t="shared" si="1"/>
        <v>0.3963414634</v>
      </c>
      <c r="P170" s="123">
        <f t="shared" si="5"/>
        <v>378.5535714</v>
      </c>
      <c r="Q170" s="123">
        <f t="shared" si="2"/>
        <v>1.160714286</v>
      </c>
      <c r="R170" s="123">
        <f t="shared" si="6"/>
        <v>0.4821428571</v>
      </c>
      <c r="S170" s="123">
        <f t="shared" si="3"/>
        <v>1.357142857</v>
      </c>
      <c r="T170" s="123">
        <f t="shared" si="4"/>
        <v>2.928571429</v>
      </c>
      <c r="U170" s="41">
        <v>9.0</v>
      </c>
      <c r="V170" s="41">
        <v>6.0</v>
      </c>
      <c r="W170" s="41">
        <v>1.0</v>
      </c>
      <c r="X170" s="41">
        <v>6.0</v>
      </c>
      <c r="Y170" s="41">
        <v>61.0</v>
      </c>
      <c r="Z170" s="41">
        <v>61.0</v>
      </c>
    </row>
    <row r="171">
      <c r="A171" s="41" t="s">
        <v>905</v>
      </c>
      <c r="B171" s="41" t="s">
        <v>196</v>
      </c>
      <c r="C171" s="41" t="s">
        <v>1209</v>
      </c>
      <c r="D171" s="41" t="s">
        <v>1210</v>
      </c>
      <c r="E171" s="41">
        <v>30.0</v>
      </c>
      <c r="F171" s="41">
        <v>12.0</v>
      </c>
      <c r="G171" s="41">
        <v>18.0</v>
      </c>
      <c r="H171" s="125">
        <v>0.4</v>
      </c>
      <c r="I171" s="41">
        <v>3.0</v>
      </c>
      <c r="J171" s="41">
        <v>10336.0</v>
      </c>
      <c r="K171" s="41">
        <v>22.0</v>
      </c>
      <c r="L171" s="41">
        <v>13.0</v>
      </c>
      <c r="M171" s="41">
        <v>45.0</v>
      </c>
      <c r="N171" s="41">
        <v>60.0</v>
      </c>
      <c r="O171" s="122">
        <f t="shared" si="1"/>
        <v>0.3666666667</v>
      </c>
      <c r="P171" s="123">
        <f t="shared" si="5"/>
        <v>344.5333333</v>
      </c>
      <c r="Q171" s="123">
        <f t="shared" si="2"/>
        <v>0.7333333333</v>
      </c>
      <c r="R171" s="123">
        <f t="shared" si="6"/>
        <v>0.4333333333</v>
      </c>
      <c r="S171" s="123">
        <f t="shared" si="3"/>
        <v>1.5</v>
      </c>
      <c r="T171" s="123">
        <f t="shared" si="4"/>
        <v>2</v>
      </c>
      <c r="U171" s="41">
        <v>3.0</v>
      </c>
      <c r="V171" s="41">
        <v>1.0</v>
      </c>
      <c r="W171" s="41">
        <v>0.0</v>
      </c>
      <c r="X171" s="41">
        <v>3.0</v>
      </c>
      <c r="Y171" s="41">
        <v>9.0</v>
      </c>
      <c r="Z171" s="41">
        <v>36.0</v>
      </c>
    </row>
    <row r="172">
      <c r="A172" s="41" t="s">
        <v>904</v>
      </c>
      <c r="B172" s="41" t="s">
        <v>587</v>
      </c>
      <c r="C172" s="41" t="s">
        <v>1211</v>
      </c>
      <c r="D172" s="41" t="s">
        <v>1212</v>
      </c>
      <c r="E172" s="41">
        <v>7.0</v>
      </c>
      <c r="F172" s="41">
        <v>4.0</v>
      </c>
      <c r="G172" s="41">
        <v>3.0</v>
      </c>
      <c r="H172" s="125">
        <v>0.5714285714285714</v>
      </c>
      <c r="I172" s="41">
        <v>1.0</v>
      </c>
      <c r="J172" s="41">
        <v>2812.0</v>
      </c>
      <c r="K172" s="41">
        <v>6.0</v>
      </c>
      <c r="L172" s="41">
        <v>5.0</v>
      </c>
      <c r="M172" s="41">
        <v>12.0</v>
      </c>
      <c r="N172" s="41">
        <v>24.0</v>
      </c>
      <c r="O172" s="122">
        <f t="shared" si="1"/>
        <v>0.25</v>
      </c>
      <c r="P172" s="123">
        <f t="shared" si="5"/>
        <v>401.7142857</v>
      </c>
      <c r="Q172" s="123">
        <f t="shared" si="2"/>
        <v>0.8571428571</v>
      </c>
      <c r="R172" s="123">
        <f t="shared" si="6"/>
        <v>0.7142857143</v>
      </c>
      <c r="S172" s="123">
        <f t="shared" si="3"/>
        <v>1.714285714</v>
      </c>
      <c r="T172" s="123">
        <f t="shared" si="4"/>
        <v>3.428571429</v>
      </c>
      <c r="U172" s="41">
        <v>3.0</v>
      </c>
      <c r="V172" s="41">
        <v>1.0</v>
      </c>
      <c r="W172" s="41">
        <v>0.0</v>
      </c>
      <c r="X172" s="41">
        <v>1.0</v>
      </c>
      <c r="Y172" s="41">
        <v>5.0</v>
      </c>
      <c r="Z172" s="41">
        <v>5.0</v>
      </c>
    </row>
    <row r="173">
      <c r="A173" s="41" t="s">
        <v>901</v>
      </c>
      <c r="B173" s="41" t="s">
        <v>274</v>
      </c>
      <c r="C173" s="41" t="s">
        <v>1213</v>
      </c>
      <c r="D173" s="41" t="s">
        <v>1214</v>
      </c>
      <c r="E173" s="41">
        <v>41.0</v>
      </c>
      <c r="F173" s="41">
        <v>24.0</v>
      </c>
      <c r="G173" s="41">
        <v>17.0</v>
      </c>
      <c r="H173" s="125">
        <v>0.5853658536585366</v>
      </c>
      <c r="I173" s="41">
        <v>12.0</v>
      </c>
      <c r="J173" s="41">
        <v>16753.0</v>
      </c>
      <c r="K173" s="41">
        <v>43.0</v>
      </c>
      <c r="L173" s="41">
        <v>27.0</v>
      </c>
      <c r="M173" s="41">
        <v>57.0</v>
      </c>
      <c r="N173" s="41">
        <v>140.0</v>
      </c>
      <c r="O173" s="122">
        <f t="shared" si="1"/>
        <v>0.3071428571</v>
      </c>
      <c r="P173" s="123">
        <f t="shared" si="5"/>
        <v>408.6097561</v>
      </c>
      <c r="Q173" s="123">
        <f t="shared" si="2"/>
        <v>1.048780488</v>
      </c>
      <c r="R173" s="123">
        <f t="shared" si="6"/>
        <v>0.6585365854</v>
      </c>
      <c r="S173" s="123">
        <f t="shared" si="3"/>
        <v>1.390243902</v>
      </c>
      <c r="T173" s="123">
        <f t="shared" si="4"/>
        <v>3.414634146</v>
      </c>
      <c r="U173" s="41">
        <v>12.0</v>
      </c>
      <c r="V173" s="41">
        <v>4.0</v>
      </c>
      <c r="W173" s="41">
        <v>0.0</v>
      </c>
      <c r="X173" s="41">
        <v>11.0</v>
      </c>
      <c r="Y173" s="41">
        <v>29.0</v>
      </c>
      <c r="Z173" s="41">
        <v>38.0</v>
      </c>
    </row>
    <row r="174">
      <c r="A174" s="41" t="s">
        <v>902</v>
      </c>
      <c r="B174" s="41" t="s">
        <v>791</v>
      </c>
      <c r="C174" s="41" t="s">
        <v>1215</v>
      </c>
      <c r="D174" s="41" t="s">
        <v>1006</v>
      </c>
      <c r="E174" s="41">
        <v>47.0</v>
      </c>
      <c r="F174" s="41">
        <v>24.0</v>
      </c>
      <c r="G174" s="41">
        <v>23.0</v>
      </c>
      <c r="H174" s="125">
        <v>0.5106382978723404</v>
      </c>
      <c r="I174" s="41">
        <v>5.0</v>
      </c>
      <c r="J174" s="41">
        <v>16836.0</v>
      </c>
      <c r="K174" s="41">
        <v>38.0</v>
      </c>
      <c r="L174" s="41">
        <v>25.0</v>
      </c>
      <c r="M174" s="41">
        <v>66.0</v>
      </c>
      <c r="N174" s="41">
        <v>125.0</v>
      </c>
      <c r="O174" s="122">
        <f t="shared" si="1"/>
        <v>0.304</v>
      </c>
      <c r="P174" s="123">
        <f t="shared" si="5"/>
        <v>358.212766</v>
      </c>
      <c r="Q174" s="123">
        <f t="shared" si="2"/>
        <v>0.8085106383</v>
      </c>
      <c r="R174" s="123">
        <f t="shared" si="6"/>
        <v>0.5319148936</v>
      </c>
      <c r="S174" s="123">
        <f t="shared" si="3"/>
        <v>1.404255319</v>
      </c>
      <c r="T174" s="123">
        <f t="shared" si="4"/>
        <v>2.659574468</v>
      </c>
      <c r="U174" s="41">
        <v>6.0</v>
      </c>
      <c r="V174" s="41">
        <v>4.0</v>
      </c>
      <c r="W174" s="41">
        <v>2.0</v>
      </c>
      <c r="X174" s="41">
        <v>10.0</v>
      </c>
      <c r="Y174" s="41">
        <v>42.0</v>
      </c>
      <c r="Z174" s="41">
        <v>49.0</v>
      </c>
    </row>
    <row r="175">
      <c r="A175" s="41" t="s">
        <v>901</v>
      </c>
      <c r="B175" s="41" t="s">
        <v>324</v>
      </c>
      <c r="C175" s="41" t="s">
        <v>1216</v>
      </c>
      <c r="D175" s="41" t="s">
        <v>1217</v>
      </c>
      <c r="E175" s="41">
        <v>50.0</v>
      </c>
      <c r="F175" s="41">
        <v>23.0</v>
      </c>
      <c r="G175" s="41">
        <v>27.0</v>
      </c>
      <c r="H175" s="125">
        <v>0.46</v>
      </c>
      <c r="I175" s="41">
        <v>6.0</v>
      </c>
      <c r="J175" s="41">
        <v>17146.0</v>
      </c>
      <c r="K175" s="41">
        <v>34.0</v>
      </c>
      <c r="L175" s="41">
        <v>34.0</v>
      </c>
      <c r="M175" s="41">
        <v>66.0</v>
      </c>
      <c r="N175" s="41">
        <v>119.0</v>
      </c>
      <c r="O175" s="122">
        <f t="shared" si="1"/>
        <v>0.2857142857</v>
      </c>
      <c r="P175" s="123">
        <f t="shared" si="5"/>
        <v>342.92</v>
      </c>
      <c r="Q175" s="123">
        <f t="shared" si="2"/>
        <v>0.68</v>
      </c>
      <c r="R175" s="123">
        <f t="shared" si="6"/>
        <v>0.68</v>
      </c>
      <c r="S175" s="123">
        <f t="shared" si="3"/>
        <v>1.32</v>
      </c>
      <c r="T175" s="123">
        <f t="shared" si="4"/>
        <v>2.38</v>
      </c>
      <c r="U175" s="41">
        <v>9.0</v>
      </c>
      <c r="V175" s="41">
        <v>2.0</v>
      </c>
      <c r="W175" s="41">
        <v>0.0</v>
      </c>
      <c r="X175" s="41">
        <v>6.0</v>
      </c>
      <c r="Y175" s="41">
        <v>46.0</v>
      </c>
      <c r="Z175" s="41">
        <v>55.0</v>
      </c>
    </row>
    <row r="176">
      <c r="A176" s="41" t="s">
        <v>906</v>
      </c>
      <c r="B176" s="41" t="s">
        <v>525</v>
      </c>
      <c r="C176" s="41" t="s">
        <v>1218</v>
      </c>
      <c r="D176" s="41" t="s">
        <v>1219</v>
      </c>
      <c r="E176" s="41">
        <v>47.0</v>
      </c>
      <c r="F176" s="41">
        <v>21.0</v>
      </c>
      <c r="G176" s="41">
        <v>26.0</v>
      </c>
      <c r="H176" s="125">
        <v>0.44680851063829785</v>
      </c>
      <c r="I176" s="41">
        <v>9.0</v>
      </c>
      <c r="J176" s="41">
        <v>16537.0</v>
      </c>
      <c r="K176" s="41">
        <v>45.0</v>
      </c>
      <c r="L176" s="41">
        <v>23.0</v>
      </c>
      <c r="M176" s="41">
        <v>51.0</v>
      </c>
      <c r="N176" s="41">
        <v>128.0</v>
      </c>
      <c r="O176" s="122">
        <f t="shared" si="1"/>
        <v>0.3515625</v>
      </c>
      <c r="P176" s="123">
        <f t="shared" si="5"/>
        <v>351.8510638</v>
      </c>
      <c r="Q176" s="123">
        <f t="shared" si="2"/>
        <v>0.9574468085</v>
      </c>
      <c r="R176" s="123">
        <f t="shared" si="6"/>
        <v>0.4893617021</v>
      </c>
      <c r="S176" s="123">
        <f t="shared" si="3"/>
        <v>1.085106383</v>
      </c>
      <c r="T176" s="123">
        <f t="shared" si="4"/>
        <v>2.723404255</v>
      </c>
      <c r="U176" s="41">
        <v>9.0</v>
      </c>
      <c r="V176" s="41">
        <v>5.0</v>
      </c>
      <c r="W176" s="41">
        <v>0.0</v>
      </c>
      <c r="X176" s="41">
        <v>4.0</v>
      </c>
      <c r="Y176" s="41">
        <v>27.0</v>
      </c>
      <c r="Z176" s="41">
        <v>45.0</v>
      </c>
    </row>
    <row r="177">
      <c r="A177" s="41" t="s">
        <v>899</v>
      </c>
      <c r="B177" s="41" t="s">
        <v>459</v>
      </c>
      <c r="C177" s="41" t="s">
        <v>1220</v>
      </c>
      <c r="D177" s="41" t="s">
        <v>1221</v>
      </c>
      <c r="E177" s="41">
        <v>12.0</v>
      </c>
      <c r="F177" s="41">
        <v>5.0</v>
      </c>
      <c r="G177" s="41">
        <v>7.0</v>
      </c>
      <c r="H177" s="125">
        <v>0.4166666666666667</v>
      </c>
      <c r="I177" s="41">
        <v>0.0</v>
      </c>
      <c r="J177" s="41">
        <v>2649.0</v>
      </c>
      <c r="K177" s="41">
        <v>4.0</v>
      </c>
      <c r="L177" s="41">
        <v>7.0</v>
      </c>
      <c r="M177" s="41">
        <v>9.0</v>
      </c>
      <c r="N177" s="41">
        <v>20.0</v>
      </c>
      <c r="O177" s="122">
        <f t="shared" si="1"/>
        <v>0.2</v>
      </c>
      <c r="P177" s="123">
        <f t="shared" si="5"/>
        <v>220.75</v>
      </c>
      <c r="Q177" s="123">
        <f t="shared" si="2"/>
        <v>0.3333333333</v>
      </c>
      <c r="R177" s="123">
        <f t="shared" si="6"/>
        <v>0.5833333333</v>
      </c>
      <c r="S177" s="123">
        <f t="shared" si="3"/>
        <v>0.75</v>
      </c>
      <c r="T177" s="123">
        <f t="shared" si="4"/>
        <v>1.666666667</v>
      </c>
      <c r="U177" s="41">
        <v>1.0</v>
      </c>
      <c r="V177" s="41">
        <v>0.0</v>
      </c>
      <c r="W177" s="41">
        <v>0.0</v>
      </c>
      <c r="X177" s="41">
        <v>2.0</v>
      </c>
      <c r="Y177" s="41">
        <v>10.0</v>
      </c>
      <c r="Z177" s="41">
        <v>5.0</v>
      </c>
    </row>
    <row r="178">
      <c r="A178" s="41" t="s">
        <v>902</v>
      </c>
      <c r="B178" s="41" t="s">
        <v>875</v>
      </c>
      <c r="C178" s="41" t="s">
        <v>1222</v>
      </c>
      <c r="D178" s="41" t="s">
        <v>1130</v>
      </c>
      <c r="E178" s="41">
        <v>2.0</v>
      </c>
      <c r="F178" s="41">
        <v>0.0</v>
      </c>
      <c r="G178" s="41">
        <v>2.0</v>
      </c>
      <c r="H178" s="125">
        <v>0.0</v>
      </c>
      <c r="I178" s="41">
        <v>0.0</v>
      </c>
      <c r="J178" s="41">
        <v>368.0</v>
      </c>
      <c r="K178" s="41">
        <v>1.0</v>
      </c>
      <c r="L178" s="41">
        <v>0.0</v>
      </c>
      <c r="M178" s="41">
        <v>1.0</v>
      </c>
      <c r="N178" s="41">
        <v>3.0</v>
      </c>
      <c r="O178" s="122">
        <f t="shared" si="1"/>
        <v>0.3333333333</v>
      </c>
      <c r="P178" s="123">
        <f t="shared" si="5"/>
        <v>184</v>
      </c>
      <c r="Q178" s="123">
        <f t="shared" si="2"/>
        <v>0.5</v>
      </c>
      <c r="R178" s="123">
        <f t="shared" si="6"/>
        <v>0</v>
      </c>
      <c r="S178" s="123">
        <f t="shared" si="3"/>
        <v>0.5</v>
      </c>
      <c r="T178" s="123">
        <f t="shared" si="4"/>
        <v>1.5</v>
      </c>
      <c r="U178" s="41">
        <v>0.0</v>
      </c>
      <c r="V178" s="41">
        <v>0.0</v>
      </c>
      <c r="W178" s="41">
        <v>0.0</v>
      </c>
      <c r="X178" s="41">
        <v>0.0</v>
      </c>
      <c r="Y178" s="41">
        <v>2.0</v>
      </c>
      <c r="Z178" s="41">
        <v>6.0</v>
      </c>
    </row>
    <row r="179">
      <c r="A179" s="41" t="s">
        <v>905</v>
      </c>
      <c r="B179" s="41" t="s">
        <v>176</v>
      </c>
      <c r="C179" s="41" t="s">
        <v>1223</v>
      </c>
      <c r="D179" s="41" t="s">
        <v>1224</v>
      </c>
      <c r="E179" s="41">
        <v>55.0</v>
      </c>
      <c r="F179" s="41">
        <v>31.0</v>
      </c>
      <c r="G179" s="41">
        <v>24.0</v>
      </c>
      <c r="H179" s="125">
        <v>0.5636363636363636</v>
      </c>
      <c r="I179" s="41">
        <v>8.0</v>
      </c>
      <c r="J179" s="41">
        <v>18278.0</v>
      </c>
      <c r="K179" s="41">
        <v>34.0</v>
      </c>
      <c r="L179" s="41">
        <v>31.0</v>
      </c>
      <c r="M179" s="41">
        <v>82.0</v>
      </c>
      <c r="N179" s="41">
        <v>121.0</v>
      </c>
      <c r="O179" s="122">
        <f t="shared" si="1"/>
        <v>0.2809917355</v>
      </c>
      <c r="P179" s="123">
        <f t="shared" si="5"/>
        <v>332.3272727</v>
      </c>
      <c r="Q179" s="123">
        <f t="shared" si="2"/>
        <v>0.6181818182</v>
      </c>
      <c r="R179" s="123">
        <f t="shared" si="6"/>
        <v>0.5636363636</v>
      </c>
      <c r="S179" s="123">
        <f t="shared" si="3"/>
        <v>1.490909091</v>
      </c>
      <c r="T179" s="123">
        <f t="shared" si="4"/>
        <v>2.2</v>
      </c>
      <c r="U179" s="41">
        <v>8.0</v>
      </c>
      <c r="V179" s="41">
        <v>1.0</v>
      </c>
      <c r="W179" s="41">
        <v>1.0</v>
      </c>
      <c r="X179" s="41">
        <v>8.0</v>
      </c>
      <c r="Y179" s="41">
        <v>57.0</v>
      </c>
      <c r="Z179" s="41">
        <v>49.0</v>
      </c>
    </row>
    <row r="180">
      <c r="A180" s="41" t="s">
        <v>904</v>
      </c>
      <c r="B180" s="41" t="s">
        <v>676</v>
      </c>
      <c r="C180" s="41" t="s">
        <v>1225</v>
      </c>
      <c r="D180" s="41" t="s">
        <v>1226</v>
      </c>
      <c r="E180" s="41">
        <v>41.0</v>
      </c>
      <c r="F180" s="41">
        <v>20.0</v>
      </c>
      <c r="G180" s="41">
        <v>21.0</v>
      </c>
      <c r="H180" s="125">
        <v>0.4878048780487805</v>
      </c>
      <c r="I180" s="41">
        <v>6.0</v>
      </c>
      <c r="J180" s="41">
        <v>13058.0</v>
      </c>
      <c r="K180" s="41">
        <v>30.0</v>
      </c>
      <c r="L180" s="41">
        <v>17.0</v>
      </c>
      <c r="M180" s="41">
        <v>50.0</v>
      </c>
      <c r="N180" s="41">
        <v>83.0</v>
      </c>
      <c r="O180" s="122">
        <f t="shared" si="1"/>
        <v>0.3614457831</v>
      </c>
      <c r="P180" s="123">
        <f t="shared" si="5"/>
        <v>318.4878049</v>
      </c>
      <c r="Q180" s="123">
        <f t="shared" si="2"/>
        <v>0.7317073171</v>
      </c>
      <c r="R180" s="123">
        <f t="shared" si="6"/>
        <v>0.4146341463</v>
      </c>
      <c r="S180" s="123">
        <f t="shared" si="3"/>
        <v>1.219512195</v>
      </c>
      <c r="T180" s="123">
        <f t="shared" si="4"/>
        <v>2.024390244</v>
      </c>
      <c r="U180" s="41">
        <v>5.0</v>
      </c>
      <c r="V180" s="41">
        <v>2.0</v>
      </c>
      <c r="W180" s="41">
        <v>1.0</v>
      </c>
      <c r="X180" s="41">
        <v>6.0</v>
      </c>
      <c r="Y180" s="41">
        <v>14.0</v>
      </c>
      <c r="Z180" s="41">
        <v>40.0</v>
      </c>
    </row>
    <row r="181">
      <c r="A181" s="41" t="s">
        <v>901</v>
      </c>
      <c r="B181" s="41" t="s">
        <v>380</v>
      </c>
      <c r="C181" s="41" t="s">
        <v>1227</v>
      </c>
      <c r="D181" s="41" t="s">
        <v>1228</v>
      </c>
      <c r="E181" s="41">
        <v>33.0</v>
      </c>
      <c r="F181" s="41">
        <v>7.0</v>
      </c>
      <c r="G181" s="41">
        <v>26.0</v>
      </c>
      <c r="H181" s="125">
        <v>0.21212121212121213</v>
      </c>
      <c r="I181" s="41">
        <v>4.0</v>
      </c>
      <c r="J181" s="41">
        <v>10636.0</v>
      </c>
      <c r="K181" s="41">
        <v>19.0</v>
      </c>
      <c r="L181" s="41">
        <v>18.0</v>
      </c>
      <c r="M181" s="41">
        <v>42.0</v>
      </c>
      <c r="N181" s="41">
        <v>79.0</v>
      </c>
      <c r="O181" s="122">
        <f t="shared" si="1"/>
        <v>0.2405063291</v>
      </c>
      <c r="P181" s="123">
        <f t="shared" si="5"/>
        <v>322.3030303</v>
      </c>
      <c r="Q181" s="123">
        <f t="shared" si="2"/>
        <v>0.5757575758</v>
      </c>
      <c r="R181" s="123">
        <f t="shared" si="6"/>
        <v>0.5454545455</v>
      </c>
      <c r="S181" s="123">
        <f t="shared" si="3"/>
        <v>1.272727273</v>
      </c>
      <c r="T181" s="123">
        <f t="shared" si="4"/>
        <v>2.393939394</v>
      </c>
      <c r="U181" s="41">
        <v>2.0</v>
      </c>
      <c r="V181" s="41">
        <v>1.0</v>
      </c>
      <c r="W181" s="41">
        <v>1.0</v>
      </c>
      <c r="X181" s="41">
        <v>4.0</v>
      </c>
      <c r="Y181" s="41">
        <v>41.0</v>
      </c>
      <c r="Z181" s="41">
        <v>43.0</v>
      </c>
    </row>
    <row r="182">
      <c r="A182" s="41" t="s">
        <v>905</v>
      </c>
      <c r="B182" s="41" t="s">
        <v>161</v>
      </c>
      <c r="C182" s="41" t="s">
        <v>1229</v>
      </c>
      <c r="D182" s="41" t="s">
        <v>1230</v>
      </c>
      <c r="E182" s="41">
        <v>34.0</v>
      </c>
      <c r="F182" s="41">
        <v>17.0</v>
      </c>
      <c r="G182" s="41">
        <v>17.0</v>
      </c>
      <c r="H182" s="125">
        <v>0.5</v>
      </c>
      <c r="I182" s="41">
        <v>5.0</v>
      </c>
      <c r="J182" s="41">
        <v>12585.0</v>
      </c>
      <c r="K182" s="41">
        <v>31.0</v>
      </c>
      <c r="L182" s="41">
        <v>17.0</v>
      </c>
      <c r="M182" s="41">
        <v>47.0</v>
      </c>
      <c r="N182" s="41">
        <v>71.0</v>
      </c>
      <c r="O182" s="122">
        <f t="shared" si="1"/>
        <v>0.4366197183</v>
      </c>
      <c r="P182" s="123">
        <f t="shared" si="5"/>
        <v>370.1470588</v>
      </c>
      <c r="Q182" s="123">
        <f t="shared" si="2"/>
        <v>0.9117647059</v>
      </c>
      <c r="R182" s="123">
        <f t="shared" si="6"/>
        <v>0.5</v>
      </c>
      <c r="S182" s="123">
        <f t="shared" si="3"/>
        <v>1.382352941</v>
      </c>
      <c r="T182" s="123">
        <f t="shared" si="4"/>
        <v>2.088235294</v>
      </c>
      <c r="U182" s="41">
        <v>6.0</v>
      </c>
      <c r="V182" s="41">
        <v>2.0</v>
      </c>
      <c r="W182" s="41">
        <v>0.0</v>
      </c>
      <c r="X182" s="41">
        <v>6.0</v>
      </c>
      <c r="Y182" s="41">
        <v>33.0</v>
      </c>
      <c r="Z182" s="41">
        <v>36.0</v>
      </c>
    </row>
    <row r="183">
      <c r="A183" s="41" t="s">
        <v>905</v>
      </c>
      <c r="B183" s="41" t="s">
        <v>248</v>
      </c>
      <c r="C183" s="41" t="s">
        <v>1231</v>
      </c>
      <c r="D183" s="41" t="s">
        <v>1232</v>
      </c>
      <c r="E183" s="41">
        <v>21.0</v>
      </c>
      <c r="F183" s="41">
        <v>5.0</v>
      </c>
      <c r="G183" s="41">
        <v>16.0</v>
      </c>
      <c r="H183" s="125">
        <v>0.23809523809523808</v>
      </c>
      <c r="I183" s="41">
        <v>1.0</v>
      </c>
      <c r="J183" s="41">
        <v>5946.0</v>
      </c>
      <c r="K183" s="41">
        <v>10.0</v>
      </c>
      <c r="L183" s="41">
        <v>7.0</v>
      </c>
      <c r="M183" s="41">
        <v>25.0</v>
      </c>
      <c r="N183" s="41">
        <v>46.0</v>
      </c>
      <c r="O183" s="122">
        <f t="shared" si="1"/>
        <v>0.2173913043</v>
      </c>
      <c r="P183" s="123">
        <f t="shared" si="5"/>
        <v>283.1428571</v>
      </c>
      <c r="Q183" s="123">
        <f t="shared" si="2"/>
        <v>0.4761904762</v>
      </c>
      <c r="R183" s="123">
        <f t="shared" si="6"/>
        <v>0.3333333333</v>
      </c>
      <c r="S183" s="123">
        <f t="shared" si="3"/>
        <v>1.19047619</v>
      </c>
      <c r="T183" s="123">
        <f t="shared" si="4"/>
        <v>2.19047619</v>
      </c>
      <c r="U183" s="41">
        <v>2.0</v>
      </c>
      <c r="V183" s="41">
        <v>1.0</v>
      </c>
      <c r="W183" s="41">
        <v>1.0</v>
      </c>
      <c r="X183" s="41">
        <v>2.0</v>
      </c>
      <c r="Y183" s="41">
        <v>24.0</v>
      </c>
      <c r="Z183" s="41">
        <v>21.0</v>
      </c>
    </row>
    <row r="184">
      <c r="A184" s="41" t="s">
        <v>901</v>
      </c>
      <c r="B184" s="41" t="s">
        <v>307</v>
      </c>
      <c r="C184" s="41" t="s">
        <v>1233</v>
      </c>
      <c r="D184" s="41" t="s">
        <v>1122</v>
      </c>
      <c r="E184" s="41">
        <v>48.0</v>
      </c>
      <c r="F184" s="41">
        <v>24.0</v>
      </c>
      <c r="G184" s="41">
        <v>24.0</v>
      </c>
      <c r="H184" s="125">
        <v>0.5</v>
      </c>
      <c r="I184" s="41">
        <v>9.0</v>
      </c>
      <c r="J184" s="41">
        <v>18411.0</v>
      </c>
      <c r="K184" s="41">
        <v>41.0</v>
      </c>
      <c r="L184" s="41">
        <v>29.0</v>
      </c>
      <c r="M184" s="41">
        <v>77.0</v>
      </c>
      <c r="N184" s="41">
        <v>142.0</v>
      </c>
      <c r="O184" s="122">
        <f t="shared" si="1"/>
        <v>0.2887323944</v>
      </c>
      <c r="P184" s="123">
        <f t="shared" si="5"/>
        <v>383.5625</v>
      </c>
      <c r="Q184" s="123">
        <f t="shared" si="2"/>
        <v>0.8541666667</v>
      </c>
      <c r="R184" s="123">
        <f t="shared" si="6"/>
        <v>0.6041666667</v>
      </c>
      <c r="S184" s="123">
        <f t="shared" si="3"/>
        <v>1.604166667</v>
      </c>
      <c r="T184" s="123">
        <f t="shared" si="4"/>
        <v>2.958333333</v>
      </c>
      <c r="U184" s="41">
        <v>10.0</v>
      </c>
      <c r="V184" s="41">
        <v>1.0</v>
      </c>
      <c r="W184" s="41">
        <v>2.0</v>
      </c>
      <c r="X184" s="41">
        <v>12.0</v>
      </c>
      <c r="Y184" s="41">
        <v>65.0</v>
      </c>
      <c r="Z184" s="41">
        <v>52.0</v>
      </c>
    </row>
    <row r="185">
      <c r="A185" s="41" t="s">
        <v>899</v>
      </c>
      <c r="B185" s="41" t="s">
        <v>443</v>
      </c>
      <c r="C185" s="41" t="s">
        <v>1234</v>
      </c>
      <c r="D185" s="41" t="s">
        <v>1235</v>
      </c>
      <c r="E185" s="41">
        <v>40.0</v>
      </c>
      <c r="F185" s="41">
        <v>17.0</v>
      </c>
      <c r="G185" s="41">
        <v>23.0</v>
      </c>
      <c r="H185" s="125">
        <v>0.425</v>
      </c>
      <c r="I185" s="41">
        <v>7.0</v>
      </c>
      <c r="J185" s="41">
        <v>13747.0</v>
      </c>
      <c r="K185" s="41">
        <v>27.0</v>
      </c>
      <c r="L185" s="41">
        <v>18.0</v>
      </c>
      <c r="M185" s="41">
        <v>61.0</v>
      </c>
      <c r="N185" s="41">
        <v>86.0</v>
      </c>
      <c r="O185" s="122">
        <f t="shared" si="1"/>
        <v>0.3139534884</v>
      </c>
      <c r="P185" s="123">
        <f t="shared" si="5"/>
        <v>343.675</v>
      </c>
      <c r="Q185" s="123">
        <f t="shared" si="2"/>
        <v>0.675</v>
      </c>
      <c r="R185" s="123">
        <f t="shared" si="6"/>
        <v>0.45</v>
      </c>
      <c r="S185" s="123">
        <f t="shared" si="3"/>
        <v>1.525</v>
      </c>
      <c r="T185" s="123">
        <f t="shared" si="4"/>
        <v>2.15</v>
      </c>
      <c r="U185" s="41">
        <v>8.0</v>
      </c>
      <c r="V185" s="41">
        <v>1.0</v>
      </c>
      <c r="W185" s="41">
        <v>0.0</v>
      </c>
      <c r="X185" s="41">
        <v>13.0</v>
      </c>
      <c r="Y185" s="41">
        <v>69.0</v>
      </c>
      <c r="Z185" s="41">
        <v>54.0</v>
      </c>
    </row>
    <row r="186">
      <c r="A186" s="41" t="s">
        <v>905</v>
      </c>
      <c r="B186" s="41" t="s">
        <v>215</v>
      </c>
      <c r="C186" s="41" t="s">
        <v>1236</v>
      </c>
      <c r="D186" s="41" t="s">
        <v>1237</v>
      </c>
      <c r="E186" s="41">
        <v>11.0</v>
      </c>
      <c r="F186" s="41">
        <v>8.0</v>
      </c>
      <c r="G186" s="41">
        <v>3.0</v>
      </c>
      <c r="H186" s="125">
        <v>0.7272727272727273</v>
      </c>
      <c r="I186" s="41">
        <v>1.0</v>
      </c>
      <c r="J186" s="41">
        <v>2771.0</v>
      </c>
      <c r="K186" s="41">
        <v>6.0</v>
      </c>
      <c r="L186" s="41">
        <v>5.0</v>
      </c>
      <c r="M186" s="41">
        <v>8.0</v>
      </c>
      <c r="N186" s="41">
        <v>20.0</v>
      </c>
      <c r="O186" s="122">
        <f t="shared" si="1"/>
        <v>0.3</v>
      </c>
      <c r="P186" s="123">
        <f t="shared" si="5"/>
        <v>251.9090909</v>
      </c>
      <c r="Q186" s="123">
        <f t="shared" si="2"/>
        <v>0.5454545455</v>
      </c>
      <c r="R186" s="123">
        <f t="shared" si="6"/>
        <v>0.4545454545</v>
      </c>
      <c r="S186" s="123">
        <f t="shared" si="3"/>
        <v>0.7272727273</v>
      </c>
      <c r="T186" s="123">
        <f t="shared" si="4"/>
        <v>1.818181818</v>
      </c>
      <c r="U186" s="41">
        <v>2.0</v>
      </c>
      <c r="V186" s="41">
        <v>0.0</v>
      </c>
      <c r="W186" s="41">
        <v>0.0</v>
      </c>
      <c r="X186" s="41">
        <v>1.0</v>
      </c>
      <c r="Y186" s="41">
        <v>8.0</v>
      </c>
      <c r="Z186" s="41">
        <v>9.0</v>
      </c>
    </row>
    <row r="187">
      <c r="A187" s="41" t="s">
        <v>897</v>
      </c>
      <c r="B187" s="41" t="s">
        <v>489</v>
      </c>
      <c r="C187" s="41" t="s">
        <v>1238</v>
      </c>
      <c r="D187" s="41" t="s">
        <v>1071</v>
      </c>
      <c r="E187" s="41">
        <v>33.0</v>
      </c>
      <c r="F187" s="41">
        <v>18.0</v>
      </c>
      <c r="G187" s="41">
        <v>15.0</v>
      </c>
      <c r="H187" s="125">
        <v>0.5454545454545454</v>
      </c>
      <c r="I187" s="41">
        <v>5.0</v>
      </c>
      <c r="J187" s="41">
        <v>13506.0</v>
      </c>
      <c r="K187" s="41">
        <v>33.0</v>
      </c>
      <c r="L187" s="41">
        <v>24.0</v>
      </c>
      <c r="M187" s="41">
        <v>56.0</v>
      </c>
      <c r="N187" s="41">
        <v>82.0</v>
      </c>
      <c r="O187" s="122">
        <f t="shared" si="1"/>
        <v>0.4024390244</v>
      </c>
      <c r="P187" s="123">
        <f t="shared" si="5"/>
        <v>409.2727273</v>
      </c>
      <c r="Q187" s="123">
        <f t="shared" si="2"/>
        <v>1</v>
      </c>
      <c r="R187" s="123">
        <f t="shared" si="6"/>
        <v>0.7272727273</v>
      </c>
      <c r="S187" s="123">
        <f t="shared" si="3"/>
        <v>1.696969697</v>
      </c>
      <c r="T187" s="123">
        <f t="shared" si="4"/>
        <v>2.484848485</v>
      </c>
      <c r="U187" s="41">
        <v>10.0</v>
      </c>
      <c r="V187" s="41">
        <v>2.0</v>
      </c>
      <c r="W187" s="41">
        <v>1.0</v>
      </c>
      <c r="X187" s="41">
        <v>7.0</v>
      </c>
      <c r="Y187" s="41">
        <v>30.0</v>
      </c>
      <c r="Z187" s="41">
        <v>28.0</v>
      </c>
    </row>
    <row r="188">
      <c r="A188" s="41" t="s">
        <v>897</v>
      </c>
      <c r="B188" s="41" t="s">
        <v>487</v>
      </c>
      <c r="C188" s="41" t="s">
        <v>1239</v>
      </c>
      <c r="D188" s="41" t="s">
        <v>1240</v>
      </c>
      <c r="E188" s="41">
        <v>16.0</v>
      </c>
      <c r="F188" s="41">
        <v>8.0</v>
      </c>
      <c r="G188" s="41">
        <v>8.0</v>
      </c>
      <c r="H188" s="125">
        <v>0.5</v>
      </c>
      <c r="I188" s="41">
        <v>4.0</v>
      </c>
      <c r="J188" s="41">
        <v>6606.0</v>
      </c>
      <c r="K188" s="41">
        <v>12.0</v>
      </c>
      <c r="L188" s="41">
        <v>10.0</v>
      </c>
      <c r="M188" s="41">
        <v>25.0</v>
      </c>
      <c r="N188" s="41">
        <v>58.0</v>
      </c>
      <c r="O188" s="122">
        <f t="shared" si="1"/>
        <v>0.2068965517</v>
      </c>
      <c r="P188" s="123">
        <f t="shared" si="5"/>
        <v>412.875</v>
      </c>
      <c r="Q188" s="123">
        <f t="shared" si="2"/>
        <v>0.75</v>
      </c>
      <c r="R188" s="123">
        <f t="shared" si="6"/>
        <v>0.625</v>
      </c>
      <c r="S188" s="123">
        <f t="shared" si="3"/>
        <v>1.5625</v>
      </c>
      <c r="T188" s="123">
        <f t="shared" si="4"/>
        <v>3.625</v>
      </c>
      <c r="U188" s="41">
        <v>6.0</v>
      </c>
      <c r="V188" s="41">
        <v>1.0</v>
      </c>
      <c r="W188" s="41">
        <v>0.0</v>
      </c>
      <c r="X188" s="41">
        <v>4.0</v>
      </c>
      <c r="Y188" s="41">
        <v>15.0</v>
      </c>
      <c r="Z188" s="41">
        <v>16.0</v>
      </c>
    </row>
    <row r="189">
      <c r="A189" s="41" t="s">
        <v>899</v>
      </c>
      <c r="B189" s="41" t="s">
        <v>475</v>
      </c>
      <c r="C189" s="41" t="s">
        <v>1241</v>
      </c>
      <c r="D189" s="41" t="s">
        <v>1056</v>
      </c>
      <c r="E189" s="41">
        <v>3.0</v>
      </c>
      <c r="F189" s="41">
        <v>0.0</v>
      </c>
      <c r="G189" s="41">
        <v>3.0</v>
      </c>
      <c r="H189" s="125">
        <v>0.0</v>
      </c>
      <c r="I189" s="41">
        <v>0.0</v>
      </c>
      <c r="J189" s="41">
        <v>825.0</v>
      </c>
      <c r="K189" s="41">
        <v>2.0</v>
      </c>
      <c r="L189" s="41">
        <v>2.0</v>
      </c>
      <c r="M189" s="41">
        <v>3.0</v>
      </c>
      <c r="N189" s="41">
        <v>2.0</v>
      </c>
      <c r="O189" s="122">
        <f t="shared" si="1"/>
        <v>1</v>
      </c>
      <c r="P189" s="123">
        <f t="shared" si="5"/>
        <v>275</v>
      </c>
      <c r="Q189" s="123">
        <f t="shared" si="2"/>
        <v>0.6666666667</v>
      </c>
      <c r="R189" s="123">
        <f t="shared" si="6"/>
        <v>0.6666666667</v>
      </c>
      <c r="S189" s="123">
        <f t="shared" si="3"/>
        <v>1</v>
      </c>
      <c r="T189" s="123">
        <f t="shared" si="4"/>
        <v>0.6666666667</v>
      </c>
      <c r="U189" s="41">
        <v>0.0</v>
      </c>
      <c r="V189" s="41">
        <v>0.0</v>
      </c>
      <c r="W189" s="41">
        <v>0.0</v>
      </c>
      <c r="X189" s="41">
        <v>0.0</v>
      </c>
      <c r="Y189" s="41">
        <v>3.0</v>
      </c>
      <c r="Z189" s="41">
        <v>5.0</v>
      </c>
    </row>
    <row r="190">
      <c r="A190" s="41" t="s">
        <v>897</v>
      </c>
      <c r="B190" s="41" t="s">
        <v>510</v>
      </c>
      <c r="C190" s="41" t="s">
        <v>1242</v>
      </c>
      <c r="D190" s="41" t="s">
        <v>1243</v>
      </c>
      <c r="E190" s="41">
        <v>23.0</v>
      </c>
      <c r="F190" s="41">
        <v>9.0</v>
      </c>
      <c r="G190" s="41">
        <v>14.0</v>
      </c>
      <c r="H190" s="125">
        <v>0.391304347826087</v>
      </c>
      <c r="I190" s="41">
        <v>2.0</v>
      </c>
      <c r="J190" s="41">
        <v>7626.0</v>
      </c>
      <c r="K190" s="41">
        <v>14.0</v>
      </c>
      <c r="L190" s="41">
        <v>20.0</v>
      </c>
      <c r="M190" s="41">
        <v>22.0</v>
      </c>
      <c r="N190" s="41">
        <v>59.0</v>
      </c>
      <c r="O190" s="122">
        <f t="shared" si="1"/>
        <v>0.2372881356</v>
      </c>
      <c r="P190" s="123">
        <f t="shared" si="5"/>
        <v>331.5652174</v>
      </c>
      <c r="Q190" s="123">
        <f t="shared" si="2"/>
        <v>0.6086956522</v>
      </c>
      <c r="R190" s="123">
        <f t="shared" si="6"/>
        <v>0.8695652174</v>
      </c>
      <c r="S190" s="123">
        <f t="shared" si="3"/>
        <v>0.9565217391</v>
      </c>
      <c r="T190" s="123">
        <f t="shared" si="4"/>
        <v>2.565217391</v>
      </c>
      <c r="U190" s="41">
        <v>4.0</v>
      </c>
      <c r="V190" s="41">
        <v>0.0</v>
      </c>
      <c r="W190" s="41">
        <v>0.0</v>
      </c>
      <c r="X190" s="41">
        <v>1.0</v>
      </c>
      <c r="Y190" s="41">
        <v>16.0</v>
      </c>
      <c r="Z190" s="41">
        <v>32.0</v>
      </c>
    </row>
    <row r="191">
      <c r="A191" s="41" t="s">
        <v>902</v>
      </c>
      <c r="B191" s="41" t="s">
        <v>809</v>
      </c>
      <c r="C191" s="41" t="s">
        <v>1244</v>
      </c>
      <c r="D191" s="41" t="s">
        <v>1245</v>
      </c>
      <c r="E191" s="41">
        <v>27.0</v>
      </c>
      <c r="F191" s="41">
        <v>12.0</v>
      </c>
      <c r="G191" s="41">
        <v>15.0</v>
      </c>
      <c r="H191" s="125">
        <v>0.4444444444444444</v>
      </c>
      <c r="I191" s="41">
        <v>5.0</v>
      </c>
      <c r="J191" s="41">
        <v>9372.0</v>
      </c>
      <c r="K191" s="41">
        <v>16.0</v>
      </c>
      <c r="L191" s="41">
        <v>17.0</v>
      </c>
      <c r="M191" s="41">
        <v>42.0</v>
      </c>
      <c r="N191" s="41">
        <v>55.0</v>
      </c>
      <c r="O191" s="122">
        <f t="shared" si="1"/>
        <v>0.2909090909</v>
      </c>
      <c r="P191" s="123">
        <f t="shared" si="5"/>
        <v>347.1111111</v>
      </c>
      <c r="Q191" s="123">
        <f t="shared" si="2"/>
        <v>0.5925925926</v>
      </c>
      <c r="R191" s="123">
        <f t="shared" si="6"/>
        <v>0.6296296296</v>
      </c>
      <c r="S191" s="123">
        <f t="shared" si="3"/>
        <v>1.555555556</v>
      </c>
      <c r="T191" s="123">
        <f t="shared" si="4"/>
        <v>2.037037037</v>
      </c>
      <c r="U191" s="41">
        <v>2.0</v>
      </c>
      <c r="V191" s="41">
        <v>1.0</v>
      </c>
      <c r="W191" s="41">
        <v>0.0</v>
      </c>
      <c r="X191" s="41">
        <v>5.0</v>
      </c>
      <c r="Y191" s="41">
        <v>30.0</v>
      </c>
      <c r="Z191" s="41">
        <v>17.0</v>
      </c>
    </row>
    <row r="192">
      <c r="A192" s="41" t="s">
        <v>901</v>
      </c>
      <c r="B192" s="41" t="s">
        <v>364</v>
      </c>
      <c r="C192" s="41" t="s">
        <v>1246</v>
      </c>
      <c r="D192" s="41" t="s">
        <v>981</v>
      </c>
      <c r="E192" s="41">
        <v>10.0</v>
      </c>
      <c r="F192" s="41">
        <v>8.0</v>
      </c>
      <c r="G192" s="41">
        <v>2.0</v>
      </c>
      <c r="H192" s="125">
        <v>0.8</v>
      </c>
      <c r="I192" s="41">
        <v>1.0</v>
      </c>
      <c r="J192" s="41">
        <v>3490.0</v>
      </c>
      <c r="K192" s="41">
        <v>6.0</v>
      </c>
      <c r="L192" s="41">
        <v>6.0</v>
      </c>
      <c r="M192" s="41">
        <v>18.0</v>
      </c>
      <c r="N192" s="41">
        <v>22.0</v>
      </c>
      <c r="O192" s="122">
        <f t="shared" si="1"/>
        <v>0.2727272727</v>
      </c>
      <c r="P192" s="123">
        <f t="shared" si="5"/>
        <v>349</v>
      </c>
      <c r="Q192" s="123">
        <f t="shared" si="2"/>
        <v>0.6</v>
      </c>
      <c r="R192" s="123">
        <f t="shared" si="6"/>
        <v>0.6</v>
      </c>
      <c r="S192" s="123">
        <f t="shared" si="3"/>
        <v>1.8</v>
      </c>
      <c r="T192" s="123">
        <f t="shared" si="4"/>
        <v>2.2</v>
      </c>
      <c r="U192" s="41">
        <v>4.0</v>
      </c>
      <c r="V192" s="41">
        <v>0.0</v>
      </c>
      <c r="W192" s="41">
        <v>0.0</v>
      </c>
      <c r="X192" s="41">
        <v>2.0</v>
      </c>
      <c r="Y192" s="41">
        <v>6.0</v>
      </c>
      <c r="Z192" s="41">
        <v>14.0</v>
      </c>
    </row>
    <row r="193">
      <c r="A193" s="41" t="s">
        <v>901</v>
      </c>
      <c r="B193" s="41" t="s">
        <v>291</v>
      </c>
      <c r="C193" s="41" t="s">
        <v>1247</v>
      </c>
      <c r="D193" s="41" t="s">
        <v>1248</v>
      </c>
      <c r="E193" s="41">
        <v>38.0</v>
      </c>
      <c r="F193" s="41">
        <v>17.0</v>
      </c>
      <c r="G193" s="41">
        <v>21.0</v>
      </c>
      <c r="H193" s="125">
        <v>0.4473684210526316</v>
      </c>
      <c r="I193" s="41">
        <v>5.0</v>
      </c>
      <c r="J193" s="41">
        <v>15086.0</v>
      </c>
      <c r="K193" s="41">
        <v>33.0</v>
      </c>
      <c r="L193" s="41">
        <v>28.0</v>
      </c>
      <c r="M193" s="41">
        <v>55.0</v>
      </c>
      <c r="N193" s="41">
        <v>112.0</v>
      </c>
      <c r="O193" s="122">
        <f t="shared" si="1"/>
        <v>0.2946428571</v>
      </c>
      <c r="P193" s="123">
        <f t="shared" si="5"/>
        <v>397</v>
      </c>
      <c r="Q193" s="123">
        <f t="shared" si="2"/>
        <v>0.8684210526</v>
      </c>
      <c r="R193" s="123">
        <f t="shared" si="6"/>
        <v>0.7368421053</v>
      </c>
      <c r="S193" s="123">
        <f t="shared" si="3"/>
        <v>1.447368421</v>
      </c>
      <c r="T193" s="123">
        <f t="shared" si="4"/>
        <v>2.947368421</v>
      </c>
      <c r="U193" s="41">
        <v>8.0</v>
      </c>
      <c r="V193" s="41">
        <v>2.0</v>
      </c>
      <c r="W193" s="41">
        <v>2.0</v>
      </c>
      <c r="X193" s="41">
        <v>9.0</v>
      </c>
      <c r="Y193" s="41">
        <v>34.0</v>
      </c>
      <c r="Z193" s="41">
        <v>25.0</v>
      </c>
    </row>
    <row r="194">
      <c r="A194" s="41" t="s">
        <v>905</v>
      </c>
      <c r="B194" s="41" t="s">
        <v>231</v>
      </c>
      <c r="C194" s="41" t="s">
        <v>1249</v>
      </c>
      <c r="D194" s="41" t="s">
        <v>1250</v>
      </c>
      <c r="E194" s="41">
        <v>24.0</v>
      </c>
      <c r="F194" s="41">
        <v>6.0</v>
      </c>
      <c r="G194" s="41">
        <v>18.0</v>
      </c>
      <c r="H194" s="125">
        <v>0.25</v>
      </c>
      <c r="I194" s="41">
        <v>2.0</v>
      </c>
      <c r="J194" s="41">
        <v>8004.0</v>
      </c>
      <c r="K194" s="41">
        <v>11.0</v>
      </c>
      <c r="L194" s="41">
        <v>10.0</v>
      </c>
      <c r="M194" s="41">
        <v>40.0</v>
      </c>
      <c r="N194" s="41">
        <v>47.0</v>
      </c>
      <c r="O194" s="122">
        <f t="shared" si="1"/>
        <v>0.2340425532</v>
      </c>
      <c r="P194" s="123">
        <f t="shared" si="5"/>
        <v>333.5</v>
      </c>
      <c r="Q194" s="123">
        <f t="shared" si="2"/>
        <v>0.4583333333</v>
      </c>
      <c r="R194" s="123">
        <f t="shared" si="6"/>
        <v>0.4166666667</v>
      </c>
      <c r="S194" s="123">
        <f t="shared" si="3"/>
        <v>1.666666667</v>
      </c>
      <c r="T194" s="123">
        <f t="shared" si="4"/>
        <v>1.958333333</v>
      </c>
      <c r="U194" s="41">
        <v>3.0</v>
      </c>
      <c r="V194" s="41">
        <v>0.0</v>
      </c>
      <c r="W194" s="41">
        <v>0.0</v>
      </c>
      <c r="X194" s="41">
        <v>6.0</v>
      </c>
      <c r="Y194" s="41">
        <v>19.0</v>
      </c>
      <c r="Z194" s="41">
        <v>27.0</v>
      </c>
    </row>
    <row r="195">
      <c r="A195" s="41" t="s">
        <v>905</v>
      </c>
      <c r="B195" s="41" t="s">
        <v>138</v>
      </c>
      <c r="C195" s="41" t="s">
        <v>1251</v>
      </c>
      <c r="D195" s="41" t="s">
        <v>1252</v>
      </c>
      <c r="E195" s="41">
        <v>48.0</v>
      </c>
      <c r="F195" s="41">
        <v>21.0</v>
      </c>
      <c r="G195" s="41">
        <v>27.0</v>
      </c>
      <c r="H195" s="125">
        <v>0.4375</v>
      </c>
      <c r="I195" s="41">
        <v>8.0</v>
      </c>
      <c r="J195" s="41">
        <v>19036.0</v>
      </c>
      <c r="K195" s="41">
        <v>49.0</v>
      </c>
      <c r="L195" s="41">
        <v>23.0</v>
      </c>
      <c r="M195" s="41">
        <v>74.0</v>
      </c>
      <c r="N195" s="41">
        <v>135.0</v>
      </c>
      <c r="O195" s="122">
        <f t="shared" si="1"/>
        <v>0.362962963</v>
      </c>
      <c r="P195" s="123">
        <f t="shared" si="5"/>
        <v>396.5833333</v>
      </c>
      <c r="Q195" s="123">
        <f t="shared" si="2"/>
        <v>1.020833333</v>
      </c>
      <c r="R195" s="123">
        <f t="shared" si="6"/>
        <v>0.4791666667</v>
      </c>
      <c r="S195" s="123">
        <f t="shared" si="3"/>
        <v>1.541666667</v>
      </c>
      <c r="T195" s="123">
        <f t="shared" si="4"/>
        <v>2.8125</v>
      </c>
      <c r="U195" s="41">
        <v>7.0</v>
      </c>
      <c r="V195" s="41">
        <v>3.0</v>
      </c>
      <c r="W195" s="41">
        <v>2.0</v>
      </c>
      <c r="X195" s="41">
        <v>10.0</v>
      </c>
      <c r="Y195" s="41">
        <v>37.0</v>
      </c>
      <c r="Z195" s="41">
        <v>51.0</v>
      </c>
    </row>
    <row r="196">
      <c r="A196" s="41" t="s">
        <v>905</v>
      </c>
      <c r="B196" s="41" t="s">
        <v>192</v>
      </c>
      <c r="C196" s="41" t="s">
        <v>1253</v>
      </c>
      <c r="D196" s="41" t="s">
        <v>959</v>
      </c>
      <c r="E196" s="41">
        <v>52.0</v>
      </c>
      <c r="F196" s="41">
        <v>16.0</v>
      </c>
      <c r="G196" s="41">
        <v>36.0</v>
      </c>
      <c r="H196" s="125">
        <v>0.3076923076923077</v>
      </c>
      <c r="I196" s="41">
        <v>6.0</v>
      </c>
      <c r="J196" s="41">
        <v>17781.0</v>
      </c>
      <c r="K196" s="41">
        <v>28.0</v>
      </c>
      <c r="L196" s="41">
        <v>28.0</v>
      </c>
      <c r="M196" s="41">
        <v>75.0</v>
      </c>
      <c r="N196" s="41">
        <v>114.0</v>
      </c>
      <c r="O196" s="122">
        <f t="shared" si="1"/>
        <v>0.2456140351</v>
      </c>
      <c r="P196" s="123">
        <f t="shared" si="5"/>
        <v>341.9423077</v>
      </c>
      <c r="Q196" s="123">
        <f t="shared" si="2"/>
        <v>0.5384615385</v>
      </c>
      <c r="R196" s="123">
        <f t="shared" si="6"/>
        <v>0.5384615385</v>
      </c>
      <c r="S196" s="123">
        <f t="shared" si="3"/>
        <v>1.442307692</v>
      </c>
      <c r="T196" s="123">
        <f t="shared" si="4"/>
        <v>2.192307692</v>
      </c>
      <c r="U196" s="41">
        <v>5.0</v>
      </c>
      <c r="V196" s="41">
        <v>2.0</v>
      </c>
      <c r="W196" s="41">
        <v>1.0</v>
      </c>
      <c r="X196" s="41">
        <v>6.0</v>
      </c>
      <c r="Y196" s="41">
        <v>41.0</v>
      </c>
      <c r="Z196" s="41">
        <v>47.0</v>
      </c>
    </row>
    <row r="197">
      <c r="A197" s="41" t="s">
        <v>902</v>
      </c>
      <c r="B197" s="41" t="s">
        <v>811</v>
      </c>
      <c r="C197" s="41" t="s">
        <v>1254</v>
      </c>
      <c r="D197" s="41" t="s">
        <v>1255</v>
      </c>
      <c r="E197" s="41">
        <v>24.0</v>
      </c>
      <c r="F197" s="41">
        <v>10.0</v>
      </c>
      <c r="G197" s="41">
        <v>14.0</v>
      </c>
      <c r="H197" s="125">
        <v>0.4166666666666667</v>
      </c>
      <c r="I197" s="41">
        <v>0.0</v>
      </c>
      <c r="J197" s="41">
        <v>7208.0</v>
      </c>
      <c r="K197" s="41">
        <v>13.0</v>
      </c>
      <c r="L197" s="41">
        <v>19.0</v>
      </c>
      <c r="M197" s="41">
        <v>25.0</v>
      </c>
      <c r="N197" s="41">
        <v>54.0</v>
      </c>
      <c r="O197" s="122">
        <f t="shared" si="1"/>
        <v>0.2407407407</v>
      </c>
      <c r="P197" s="123">
        <f t="shared" si="5"/>
        <v>300.3333333</v>
      </c>
      <c r="Q197" s="123">
        <f t="shared" si="2"/>
        <v>0.5416666667</v>
      </c>
      <c r="R197" s="123">
        <f t="shared" si="6"/>
        <v>0.7916666667</v>
      </c>
      <c r="S197" s="123">
        <f t="shared" si="3"/>
        <v>1.041666667</v>
      </c>
      <c r="T197" s="123">
        <f t="shared" si="4"/>
        <v>2.25</v>
      </c>
      <c r="U197" s="41">
        <v>2.0</v>
      </c>
      <c r="V197" s="41">
        <v>0.0</v>
      </c>
      <c r="W197" s="41">
        <v>2.0</v>
      </c>
      <c r="X197" s="41">
        <v>3.0</v>
      </c>
      <c r="Y197" s="41">
        <v>32.0</v>
      </c>
      <c r="Z197" s="41">
        <v>21.0</v>
      </c>
    </row>
    <row r="198">
      <c r="A198" s="41" t="s">
        <v>902</v>
      </c>
      <c r="B198" s="41" t="s">
        <v>818</v>
      </c>
      <c r="C198" s="41" t="s">
        <v>1256</v>
      </c>
      <c r="D198" s="41" t="s">
        <v>1000</v>
      </c>
      <c r="E198" s="41">
        <v>42.0</v>
      </c>
      <c r="F198" s="41">
        <v>16.0</v>
      </c>
      <c r="G198" s="41">
        <v>26.0</v>
      </c>
      <c r="H198" s="125">
        <v>0.38095238095238093</v>
      </c>
      <c r="I198" s="41">
        <v>5.0</v>
      </c>
      <c r="J198" s="41">
        <v>14343.0</v>
      </c>
      <c r="K198" s="41">
        <v>29.0</v>
      </c>
      <c r="L198" s="41">
        <v>28.0</v>
      </c>
      <c r="M198" s="41">
        <v>56.0</v>
      </c>
      <c r="N198" s="41">
        <v>110.0</v>
      </c>
      <c r="O198" s="122">
        <f t="shared" si="1"/>
        <v>0.2636363636</v>
      </c>
      <c r="P198" s="123">
        <f t="shared" si="5"/>
        <v>341.5</v>
      </c>
      <c r="Q198" s="123">
        <f t="shared" si="2"/>
        <v>0.6904761905</v>
      </c>
      <c r="R198" s="123">
        <f t="shared" si="6"/>
        <v>0.6666666667</v>
      </c>
      <c r="S198" s="123">
        <f t="shared" si="3"/>
        <v>1.333333333</v>
      </c>
      <c r="T198" s="123">
        <f t="shared" si="4"/>
        <v>2.619047619</v>
      </c>
      <c r="U198" s="41">
        <v>8.0</v>
      </c>
      <c r="V198" s="41">
        <v>0.0</v>
      </c>
      <c r="W198" s="41">
        <v>1.0</v>
      </c>
      <c r="X198" s="41">
        <v>6.0</v>
      </c>
      <c r="Y198" s="41">
        <v>70.0</v>
      </c>
      <c r="Z198" s="41">
        <v>52.0</v>
      </c>
    </row>
    <row r="199">
      <c r="A199" s="41" t="s">
        <v>901</v>
      </c>
      <c r="B199" s="41" t="s">
        <v>402</v>
      </c>
      <c r="C199" s="41" t="s">
        <v>1257</v>
      </c>
      <c r="D199" s="41" t="s">
        <v>1258</v>
      </c>
      <c r="E199" s="41">
        <v>14.0</v>
      </c>
      <c r="F199" s="41">
        <v>7.0</v>
      </c>
      <c r="G199" s="41">
        <v>7.0</v>
      </c>
      <c r="H199" s="125">
        <v>0.5</v>
      </c>
      <c r="I199" s="41">
        <v>0.0</v>
      </c>
      <c r="J199" s="41">
        <v>4153.0</v>
      </c>
      <c r="K199" s="41">
        <v>1.0</v>
      </c>
      <c r="L199" s="41">
        <v>12.0</v>
      </c>
      <c r="M199" s="41">
        <v>22.0</v>
      </c>
      <c r="N199" s="41">
        <v>24.0</v>
      </c>
      <c r="O199" s="122">
        <f t="shared" si="1"/>
        <v>0.04166666667</v>
      </c>
      <c r="P199" s="123">
        <f t="shared" si="5"/>
        <v>296.6428571</v>
      </c>
      <c r="Q199" s="123">
        <f t="shared" si="2"/>
        <v>0.07142857143</v>
      </c>
      <c r="R199" s="123">
        <f t="shared" si="6"/>
        <v>0.8571428571</v>
      </c>
      <c r="S199" s="123">
        <f t="shared" si="3"/>
        <v>1.571428571</v>
      </c>
      <c r="T199" s="123">
        <f t="shared" si="4"/>
        <v>1.714285714</v>
      </c>
      <c r="U199" s="41">
        <v>0.0</v>
      </c>
      <c r="V199" s="41">
        <v>0.0</v>
      </c>
      <c r="W199" s="41">
        <v>1.0</v>
      </c>
      <c r="X199" s="41">
        <v>2.0</v>
      </c>
      <c r="Y199" s="41">
        <v>6.0</v>
      </c>
      <c r="Z199" s="41">
        <v>26.0</v>
      </c>
    </row>
    <row r="200">
      <c r="A200" s="41" t="s">
        <v>899</v>
      </c>
      <c r="B200" s="41" t="s">
        <v>472</v>
      </c>
      <c r="C200" s="41" t="s">
        <v>1259</v>
      </c>
      <c r="D200" s="41" t="s">
        <v>1260</v>
      </c>
      <c r="E200" s="41">
        <v>4.0</v>
      </c>
      <c r="F200" s="41">
        <v>2.0</v>
      </c>
      <c r="G200" s="41">
        <v>2.0</v>
      </c>
      <c r="H200" s="125">
        <v>0.5</v>
      </c>
      <c r="I200" s="41">
        <v>1.0</v>
      </c>
      <c r="J200" s="41">
        <v>1063.0</v>
      </c>
      <c r="K200" s="41">
        <v>2.0</v>
      </c>
      <c r="L200" s="41">
        <v>2.0</v>
      </c>
      <c r="M200" s="41">
        <v>4.0</v>
      </c>
      <c r="N200" s="41">
        <v>6.0</v>
      </c>
      <c r="O200" s="122">
        <f t="shared" si="1"/>
        <v>0.3333333333</v>
      </c>
      <c r="P200" s="123">
        <f t="shared" si="5"/>
        <v>265.75</v>
      </c>
      <c r="Q200" s="123">
        <f t="shared" si="2"/>
        <v>0.5</v>
      </c>
      <c r="R200" s="123">
        <f t="shared" si="6"/>
        <v>0.5</v>
      </c>
      <c r="S200" s="123">
        <f t="shared" si="3"/>
        <v>1</v>
      </c>
      <c r="T200" s="123">
        <f t="shared" si="4"/>
        <v>1.5</v>
      </c>
      <c r="U200" s="41">
        <v>1.0</v>
      </c>
      <c r="V200" s="41">
        <v>0.0</v>
      </c>
      <c r="W200" s="41">
        <v>0.0</v>
      </c>
      <c r="X200" s="41">
        <v>0.0</v>
      </c>
      <c r="Y200" s="41">
        <v>1.0</v>
      </c>
      <c r="Z200" s="41">
        <v>4.0</v>
      </c>
    </row>
    <row r="201">
      <c r="A201" s="41" t="s">
        <v>906</v>
      </c>
      <c r="B201" s="41" t="s">
        <v>536</v>
      </c>
      <c r="C201" s="41" t="s">
        <v>1261</v>
      </c>
      <c r="D201" s="41" t="s">
        <v>1061</v>
      </c>
      <c r="E201" s="41">
        <v>56.0</v>
      </c>
      <c r="F201" s="41">
        <v>31.0</v>
      </c>
      <c r="G201" s="41">
        <v>25.0</v>
      </c>
      <c r="H201" s="125">
        <v>0.5535714285714286</v>
      </c>
      <c r="I201" s="41">
        <v>12.0</v>
      </c>
      <c r="J201" s="41">
        <v>19796.0</v>
      </c>
      <c r="K201" s="41">
        <v>47.0</v>
      </c>
      <c r="L201" s="41">
        <v>29.0</v>
      </c>
      <c r="M201" s="41">
        <v>65.0</v>
      </c>
      <c r="N201" s="41">
        <v>124.0</v>
      </c>
      <c r="O201" s="122">
        <f t="shared" si="1"/>
        <v>0.3790322581</v>
      </c>
      <c r="P201" s="123">
        <f t="shared" si="5"/>
        <v>353.5</v>
      </c>
      <c r="Q201" s="123">
        <f t="shared" si="2"/>
        <v>0.8392857143</v>
      </c>
      <c r="R201" s="123">
        <f t="shared" si="6"/>
        <v>0.5178571429</v>
      </c>
      <c r="S201" s="123">
        <f t="shared" si="3"/>
        <v>1.160714286</v>
      </c>
      <c r="T201" s="123">
        <f t="shared" si="4"/>
        <v>2.214285714</v>
      </c>
      <c r="U201" s="41">
        <v>9.0</v>
      </c>
      <c r="V201" s="41">
        <v>4.0</v>
      </c>
      <c r="W201" s="41">
        <v>0.0</v>
      </c>
      <c r="X201" s="41">
        <v>8.0</v>
      </c>
      <c r="Y201" s="41">
        <v>52.0</v>
      </c>
      <c r="Z201" s="41">
        <v>52.0</v>
      </c>
    </row>
    <row r="202">
      <c r="A202" s="41" t="s">
        <v>902</v>
      </c>
      <c r="B202" s="41" t="s">
        <v>727</v>
      </c>
      <c r="C202" s="41" t="s">
        <v>1262</v>
      </c>
      <c r="D202" s="41" t="s">
        <v>1255</v>
      </c>
      <c r="E202" s="41">
        <v>56.0</v>
      </c>
      <c r="F202" s="41">
        <v>37.0</v>
      </c>
      <c r="G202" s="41">
        <v>19.0</v>
      </c>
      <c r="H202" s="125">
        <v>0.6607142857142857</v>
      </c>
      <c r="I202" s="41">
        <v>17.0</v>
      </c>
      <c r="J202" s="41">
        <v>25719.0</v>
      </c>
      <c r="K202" s="41">
        <v>77.0</v>
      </c>
      <c r="L202" s="41">
        <v>46.0</v>
      </c>
      <c r="M202" s="41">
        <v>76.0</v>
      </c>
      <c r="N202" s="41">
        <v>184.0</v>
      </c>
      <c r="O202" s="122">
        <f t="shared" si="1"/>
        <v>0.4184782609</v>
      </c>
      <c r="P202" s="123">
        <f t="shared" si="5"/>
        <v>459.2678571</v>
      </c>
      <c r="Q202" s="123">
        <f t="shared" si="2"/>
        <v>1.375</v>
      </c>
      <c r="R202" s="123">
        <f t="shared" si="6"/>
        <v>0.8214285714</v>
      </c>
      <c r="S202" s="123">
        <f t="shared" si="3"/>
        <v>1.357142857</v>
      </c>
      <c r="T202" s="123">
        <f t="shared" si="4"/>
        <v>3.285714286</v>
      </c>
      <c r="U202" s="41">
        <v>15.0</v>
      </c>
      <c r="V202" s="41">
        <v>8.0</v>
      </c>
      <c r="W202" s="41">
        <v>4.0</v>
      </c>
      <c r="X202" s="41">
        <v>8.0</v>
      </c>
      <c r="Y202" s="41">
        <v>21.0</v>
      </c>
      <c r="Z202" s="41">
        <v>61.0</v>
      </c>
    </row>
    <row r="203">
      <c r="A203" s="41" t="s">
        <v>897</v>
      </c>
      <c r="B203" s="41" t="s">
        <v>484</v>
      </c>
      <c r="C203" s="41" t="s">
        <v>1263</v>
      </c>
      <c r="D203" s="41" t="s">
        <v>1264</v>
      </c>
      <c r="E203" s="41">
        <v>56.0</v>
      </c>
      <c r="F203" s="41">
        <v>32.0</v>
      </c>
      <c r="G203" s="41">
        <v>24.0</v>
      </c>
      <c r="H203" s="125">
        <v>0.5714285714285714</v>
      </c>
      <c r="I203" s="41">
        <v>14.0</v>
      </c>
      <c r="J203" s="41">
        <v>24005.0</v>
      </c>
      <c r="K203" s="41">
        <v>63.0</v>
      </c>
      <c r="L203" s="41">
        <v>37.0</v>
      </c>
      <c r="M203" s="41">
        <v>78.0</v>
      </c>
      <c r="N203" s="41">
        <v>167.0</v>
      </c>
      <c r="O203" s="122">
        <f t="shared" si="1"/>
        <v>0.377245509</v>
      </c>
      <c r="P203" s="123">
        <f t="shared" si="5"/>
        <v>428.6607143</v>
      </c>
      <c r="Q203" s="123">
        <f t="shared" si="2"/>
        <v>1.125</v>
      </c>
      <c r="R203" s="123">
        <f t="shared" si="6"/>
        <v>0.6607142857</v>
      </c>
      <c r="S203" s="123">
        <f t="shared" si="3"/>
        <v>1.392857143</v>
      </c>
      <c r="T203" s="123">
        <f t="shared" si="4"/>
        <v>2.982142857</v>
      </c>
      <c r="U203" s="41">
        <v>14.0</v>
      </c>
      <c r="V203" s="41">
        <v>5.0</v>
      </c>
      <c r="W203" s="41">
        <v>0.0</v>
      </c>
      <c r="X203" s="41">
        <v>13.0</v>
      </c>
      <c r="Y203" s="41">
        <v>69.0</v>
      </c>
      <c r="Z203" s="41">
        <v>64.0</v>
      </c>
    </row>
    <row r="204">
      <c r="A204" s="41" t="s">
        <v>901</v>
      </c>
      <c r="B204" s="41" t="s">
        <v>281</v>
      </c>
      <c r="C204" s="41" t="s">
        <v>1265</v>
      </c>
      <c r="D204" s="41" t="s">
        <v>1156</v>
      </c>
      <c r="E204" s="41">
        <v>16.0</v>
      </c>
      <c r="F204" s="41">
        <v>9.0</v>
      </c>
      <c r="G204" s="41">
        <v>7.0</v>
      </c>
      <c r="H204" s="125">
        <v>0.5625</v>
      </c>
      <c r="I204" s="41">
        <v>2.0</v>
      </c>
      <c r="J204" s="41">
        <v>6544.0</v>
      </c>
      <c r="K204" s="41">
        <v>17.0</v>
      </c>
      <c r="L204" s="41">
        <v>10.0</v>
      </c>
      <c r="M204" s="41">
        <v>22.0</v>
      </c>
      <c r="N204" s="41">
        <v>52.0</v>
      </c>
      <c r="O204" s="122">
        <f t="shared" si="1"/>
        <v>0.3269230769</v>
      </c>
      <c r="P204" s="123">
        <f t="shared" si="5"/>
        <v>409</v>
      </c>
      <c r="Q204" s="123">
        <f t="shared" si="2"/>
        <v>1.0625</v>
      </c>
      <c r="R204" s="123">
        <f t="shared" si="6"/>
        <v>0.625</v>
      </c>
      <c r="S204" s="123">
        <f t="shared" si="3"/>
        <v>1.375</v>
      </c>
      <c r="T204" s="123">
        <f t="shared" si="4"/>
        <v>3.25</v>
      </c>
      <c r="U204" s="41">
        <v>6.0</v>
      </c>
      <c r="V204" s="41">
        <v>2.0</v>
      </c>
      <c r="W204" s="41">
        <v>0.0</v>
      </c>
      <c r="X204" s="41">
        <v>2.0</v>
      </c>
      <c r="Y204" s="41">
        <v>15.0</v>
      </c>
      <c r="Z204" s="41">
        <v>12.0</v>
      </c>
    </row>
    <row r="205">
      <c r="A205" s="41" t="s">
        <v>901</v>
      </c>
      <c r="B205" s="41" t="s">
        <v>392</v>
      </c>
      <c r="C205" s="41" t="s">
        <v>1266</v>
      </c>
      <c r="D205" s="41" t="s">
        <v>1109</v>
      </c>
      <c r="E205" s="41">
        <v>19.0</v>
      </c>
      <c r="F205" s="41">
        <v>8.0</v>
      </c>
      <c r="G205" s="41">
        <v>11.0</v>
      </c>
      <c r="H205" s="125">
        <v>0.42105263157894735</v>
      </c>
      <c r="I205" s="41">
        <v>1.0</v>
      </c>
      <c r="J205" s="41">
        <v>5924.0</v>
      </c>
      <c r="K205" s="41">
        <v>14.0</v>
      </c>
      <c r="L205" s="41">
        <v>8.0</v>
      </c>
      <c r="M205" s="41">
        <v>26.0</v>
      </c>
      <c r="N205" s="41">
        <v>37.0</v>
      </c>
      <c r="O205" s="122">
        <f t="shared" si="1"/>
        <v>0.3783783784</v>
      </c>
      <c r="P205" s="123">
        <f t="shared" si="5"/>
        <v>311.7894737</v>
      </c>
      <c r="Q205" s="123">
        <f t="shared" si="2"/>
        <v>0.7368421053</v>
      </c>
      <c r="R205" s="123">
        <f t="shared" si="6"/>
        <v>0.4210526316</v>
      </c>
      <c r="S205" s="123">
        <f t="shared" si="3"/>
        <v>1.368421053</v>
      </c>
      <c r="T205" s="123">
        <f t="shared" si="4"/>
        <v>1.947368421</v>
      </c>
      <c r="U205" s="41">
        <v>2.0</v>
      </c>
      <c r="V205" s="41">
        <v>1.0</v>
      </c>
      <c r="W205" s="41">
        <v>0.0</v>
      </c>
      <c r="X205" s="41">
        <v>3.0</v>
      </c>
      <c r="Y205" s="41">
        <v>5.0</v>
      </c>
      <c r="Z205" s="41">
        <v>20.0</v>
      </c>
    </row>
    <row r="206">
      <c r="A206" s="41" t="s">
        <v>901</v>
      </c>
      <c r="B206" s="41" t="s">
        <v>322</v>
      </c>
      <c r="C206" s="41" t="s">
        <v>1267</v>
      </c>
      <c r="D206" s="41" t="s">
        <v>1248</v>
      </c>
      <c r="E206" s="41">
        <v>19.0</v>
      </c>
      <c r="F206" s="41">
        <v>9.0</v>
      </c>
      <c r="G206" s="41">
        <v>10.0</v>
      </c>
      <c r="H206" s="125">
        <v>0.47368421052631576</v>
      </c>
      <c r="I206" s="41">
        <v>4.0</v>
      </c>
      <c r="J206" s="41">
        <v>6329.0</v>
      </c>
      <c r="K206" s="41">
        <v>18.0</v>
      </c>
      <c r="L206" s="41">
        <v>13.0</v>
      </c>
      <c r="M206" s="41">
        <v>16.0</v>
      </c>
      <c r="N206" s="41">
        <v>55.0</v>
      </c>
      <c r="O206" s="122">
        <f t="shared" si="1"/>
        <v>0.3272727273</v>
      </c>
      <c r="P206" s="123">
        <f t="shared" si="5"/>
        <v>333.1052632</v>
      </c>
      <c r="Q206" s="123">
        <f t="shared" si="2"/>
        <v>0.9473684211</v>
      </c>
      <c r="R206" s="123">
        <f t="shared" si="6"/>
        <v>0.6842105263</v>
      </c>
      <c r="S206" s="123">
        <f t="shared" si="3"/>
        <v>0.8421052632</v>
      </c>
      <c r="T206" s="123">
        <f t="shared" si="4"/>
        <v>2.894736842</v>
      </c>
      <c r="U206" s="41">
        <v>4.0</v>
      </c>
      <c r="V206" s="41">
        <v>3.0</v>
      </c>
      <c r="W206" s="41">
        <v>1.0</v>
      </c>
      <c r="X206" s="41">
        <v>1.0</v>
      </c>
      <c r="Y206" s="41">
        <v>29.0</v>
      </c>
      <c r="Z206" s="41">
        <v>28.0</v>
      </c>
    </row>
    <row r="207">
      <c r="A207" s="41" t="s">
        <v>899</v>
      </c>
      <c r="B207" s="41" t="s">
        <v>423</v>
      </c>
      <c r="C207" s="41" t="s">
        <v>1268</v>
      </c>
      <c r="D207" s="41" t="s">
        <v>1170</v>
      </c>
      <c r="E207" s="41">
        <v>56.0</v>
      </c>
      <c r="F207" s="41">
        <v>35.0</v>
      </c>
      <c r="G207" s="41">
        <v>21.0</v>
      </c>
      <c r="H207" s="125">
        <v>0.625</v>
      </c>
      <c r="I207" s="41">
        <v>14.0</v>
      </c>
      <c r="J207" s="41">
        <v>21410.0</v>
      </c>
      <c r="K207" s="41">
        <v>48.0</v>
      </c>
      <c r="L207" s="41">
        <v>35.0</v>
      </c>
      <c r="M207" s="41">
        <v>89.0</v>
      </c>
      <c r="N207" s="41">
        <v>144.0</v>
      </c>
      <c r="O207" s="122">
        <f t="shared" si="1"/>
        <v>0.3333333333</v>
      </c>
      <c r="P207" s="123">
        <f t="shared" si="5"/>
        <v>382.3214286</v>
      </c>
      <c r="Q207" s="123">
        <f t="shared" si="2"/>
        <v>0.8571428571</v>
      </c>
      <c r="R207" s="123">
        <f t="shared" si="6"/>
        <v>0.625</v>
      </c>
      <c r="S207" s="123">
        <f t="shared" si="3"/>
        <v>1.589285714</v>
      </c>
      <c r="T207" s="123">
        <f t="shared" si="4"/>
        <v>2.571428571</v>
      </c>
      <c r="U207" s="41">
        <v>12.0</v>
      </c>
      <c r="V207" s="41">
        <v>4.0</v>
      </c>
      <c r="W207" s="41">
        <v>0.0</v>
      </c>
      <c r="X207" s="41">
        <v>14.0</v>
      </c>
      <c r="Y207" s="41">
        <v>92.0</v>
      </c>
      <c r="Z207" s="41">
        <v>66.0</v>
      </c>
    </row>
    <row r="208">
      <c r="A208" s="41" t="s">
        <v>897</v>
      </c>
      <c r="B208" s="41" t="s">
        <v>497</v>
      </c>
      <c r="C208" s="41" t="s">
        <v>1269</v>
      </c>
      <c r="D208" s="41" t="s">
        <v>1270</v>
      </c>
      <c r="E208" s="41">
        <v>21.0</v>
      </c>
      <c r="F208" s="41">
        <v>12.0</v>
      </c>
      <c r="G208" s="41">
        <v>9.0</v>
      </c>
      <c r="H208" s="125">
        <v>0.5714285714285714</v>
      </c>
      <c r="I208" s="41">
        <v>1.0</v>
      </c>
      <c r="J208" s="41">
        <v>7311.0</v>
      </c>
      <c r="K208" s="41">
        <v>18.0</v>
      </c>
      <c r="L208" s="41">
        <v>13.0</v>
      </c>
      <c r="M208" s="41">
        <v>22.0</v>
      </c>
      <c r="N208" s="41">
        <v>68.0</v>
      </c>
      <c r="O208" s="122">
        <f t="shared" si="1"/>
        <v>0.2647058824</v>
      </c>
      <c r="P208" s="123">
        <f t="shared" si="5"/>
        <v>348.1428571</v>
      </c>
      <c r="Q208" s="123">
        <f t="shared" si="2"/>
        <v>0.8571428571</v>
      </c>
      <c r="R208" s="123">
        <f t="shared" si="6"/>
        <v>0.619047619</v>
      </c>
      <c r="S208" s="123">
        <f t="shared" si="3"/>
        <v>1.047619048</v>
      </c>
      <c r="T208" s="123">
        <f t="shared" si="4"/>
        <v>3.238095238</v>
      </c>
      <c r="U208" s="41">
        <v>4.0</v>
      </c>
      <c r="V208" s="41">
        <v>0.0</v>
      </c>
      <c r="W208" s="41">
        <v>1.0</v>
      </c>
      <c r="X208" s="41">
        <v>1.0</v>
      </c>
      <c r="Y208" s="41">
        <v>30.0</v>
      </c>
      <c r="Z208" s="41">
        <v>40.0</v>
      </c>
    </row>
    <row r="209">
      <c r="A209" s="41" t="s">
        <v>897</v>
      </c>
      <c r="B209" s="41" t="s">
        <v>498</v>
      </c>
      <c r="C209" s="41" t="s">
        <v>1271</v>
      </c>
      <c r="D209" s="41" t="s">
        <v>1264</v>
      </c>
      <c r="E209" s="41">
        <v>52.0</v>
      </c>
      <c r="F209" s="41">
        <v>30.0</v>
      </c>
      <c r="G209" s="41">
        <v>22.0</v>
      </c>
      <c r="H209" s="125">
        <v>0.5769230769230769</v>
      </c>
      <c r="I209" s="41">
        <v>6.0</v>
      </c>
      <c r="J209" s="41">
        <v>20311.0</v>
      </c>
      <c r="K209" s="41">
        <v>36.0</v>
      </c>
      <c r="L209" s="41">
        <v>40.0</v>
      </c>
      <c r="M209" s="41">
        <v>84.0</v>
      </c>
      <c r="N209" s="41">
        <v>138.0</v>
      </c>
      <c r="O209" s="122">
        <f t="shared" si="1"/>
        <v>0.2608695652</v>
      </c>
      <c r="P209" s="123">
        <f t="shared" si="5"/>
        <v>390.5961538</v>
      </c>
      <c r="Q209" s="123">
        <f t="shared" si="2"/>
        <v>0.6923076923</v>
      </c>
      <c r="R209" s="123">
        <f t="shared" si="6"/>
        <v>0.7692307692</v>
      </c>
      <c r="S209" s="123">
        <f t="shared" si="3"/>
        <v>1.615384615</v>
      </c>
      <c r="T209" s="123">
        <f t="shared" si="4"/>
        <v>2.653846154</v>
      </c>
      <c r="U209" s="41">
        <v>15.0</v>
      </c>
      <c r="V209" s="41">
        <v>2.0</v>
      </c>
      <c r="W209" s="41">
        <v>0.0</v>
      </c>
      <c r="X209" s="41">
        <v>13.0</v>
      </c>
      <c r="Y209" s="41">
        <v>29.0</v>
      </c>
      <c r="Z209" s="41">
        <v>67.0</v>
      </c>
    </row>
    <row r="210">
      <c r="A210" s="41" t="s">
        <v>902</v>
      </c>
      <c r="B210" s="41" t="s">
        <v>747</v>
      </c>
      <c r="C210" s="41" t="s">
        <v>1272</v>
      </c>
      <c r="D210" s="41" t="s">
        <v>1273</v>
      </c>
      <c r="E210" s="41">
        <v>54.0</v>
      </c>
      <c r="F210" s="41">
        <v>26.0</v>
      </c>
      <c r="G210" s="41">
        <v>28.0</v>
      </c>
      <c r="H210" s="125">
        <v>0.48148148148148145</v>
      </c>
      <c r="I210" s="41">
        <v>14.0</v>
      </c>
      <c r="J210" s="41">
        <v>21773.0</v>
      </c>
      <c r="K210" s="41">
        <v>63.0</v>
      </c>
      <c r="L210" s="41">
        <v>29.0</v>
      </c>
      <c r="M210" s="41">
        <v>71.0</v>
      </c>
      <c r="N210" s="41">
        <v>157.0</v>
      </c>
      <c r="O210" s="122">
        <f t="shared" si="1"/>
        <v>0.4012738854</v>
      </c>
      <c r="P210" s="123">
        <f t="shared" si="5"/>
        <v>403.2037037</v>
      </c>
      <c r="Q210" s="123">
        <f t="shared" si="2"/>
        <v>1.166666667</v>
      </c>
      <c r="R210" s="123">
        <f t="shared" si="6"/>
        <v>0.537037037</v>
      </c>
      <c r="S210" s="123">
        <f t="shared" si="3"/>
        <v>1.314814815</v>
      </c>
      <c r="T210" s="123">
        <f t="shared" si="4"/>
        <v>2.907407407</v>
      </c>
      <c r="U210" s="41">
        <v>6.0</v>
      </c>
      <c r="V210" s="41">
        <v>7.0</v>
      </c>
      <c r="W210" s="41">
        <v>2.0</v>
      </c>
      <c r="X210" s="41">
        <v>10.0</v>
      </c>
      <c r="Y210" s="41">
        <v>51.0</v>
      </c>
      <c r="Z210" s="41">
        <v>72.0</v>
      </c>
    </row>
    <row r="211">
      <c r="A211" s="41" t="s">
        <v>904</v>
      </c>
      <c r="B211" s="41" t="s">
        <v>693</v>
      </c>
      <c r="C211" s="41" t="s">
        <v>1274</v>
      </c>
      <c r="D211" s="41" t="s">
        <v>1275</v>
      </c>
      <c r="E211" s="41">
        <v>18.0</v>
      </c>
      <c r="F211" s="41">
        <v>11.0</v>
      </c>
      <c r="G211" s="41">
        <v>7.0</v>
      </c>
      <c r="H211" s="125">
        <v>0.6111111111111112</v>
      </c>
      <c r="I211" s="41">
        <v>2.0</v>
      </c>
      <c r="J211" s="41">
        <v>4761.0</v>
      </c>
      <c r="K211" s="41">
        <v>13.0</v>
      </c>
      <c r="L211" s="41">
        <v>8.0</v>
      </c>
      <c r="M211" s="41">
        <v>14.0</v>
      </c>
      <c r="N211" s="41">
        <v>32.0</v>
      </c>
      <c r="O211" s="122">
        <f t="shared" si="1"/>
        <v>0.40625</v>
      </c>
      <c r="P211" s="123">
        <f t="shared" si="5"/>
        <v>264.5</v>
      </c>
      <c r="Q211" s="123">
        <f t="shared" si="2"/>
        <v>0.7222222222</v>
      </c>
      <c r="R211" s="123">
        <f t="shared" si="6"/>
        <v>0.4444444444</v>
      </c>
      <c r="S211" s="123">
        <f t="shared" si="3"/>
        <v>0.7777777778</v>
      </c>
      <c r="T211" s="123">
        <f t="shared" si="4"/>
        <v>1.777777778</v>
      </c>
      <c r="U211" s="41">
        <v>2.0</v>
      </c>
      <c r="V211" s="41">
        <v>0.0</v>
      </c>
      <c r="W211" s="41">
        <v>0.0</v>
      </c>
      <c r="X211" s="41">
        <v>0.0</v>
      </c>
      <c r="Y211" s="41">
        <v>11.0</v>
      </c>
      <c r="Z211" s="41">
        <v>23.0</v>
      </c>
    </row>
    <row r="212">
      <c r="A212" s="41" t="s">
        <v>904</v>
      </c>
      <c r="B212" s="41" t="s">
        <v>670</v>
      </c>
      <c r="C212" s="41" t="s">
        <v>1276</v>
      </c>
      <c r="D212" s="41" t="s">
        <v>1226</v>
      </c>
      <c r="E212" s="41">
        <v>44.0</v>
      </c>
      <c r="F212" s="41">
        <v>18.0</v>
      </c>
      <c r="G212" s="41">
        <v>26.0</v>
      </c>
      <c r="H212" s="125">
        <v>0.4090909090909091</v>
      </c>
      <c r="I212" s="41">
        <v>5.0</v>
      </c>
      <c r="J212" s="41">
        <v>13356.0</v>
      </c>
      <c r="K212" s="41">
        <v>26.0</v>
      </c>
      <c r="L212" s="41">
        <v>30.0</v>
      </c>
      <c r="M212" s="41">
        <v>45.0</v>
      </c>
      <c r="N212" s="41">
        <v>90.0</v>
      </c>
      <c r="O212" s="122">
        <f t="shared" si="1"/>
        <v>0.2888888889</v>
      </c>
      <c r="P212" s="123">
        <f t="shared" si="5"/>
        <v>303.5454545</v>
      </c>
      <c r="Q212" s="123">
        <f t="shared" si="2"/>
        <v>0.5909090909</v>
      </c>
      <c r="R212" s="123">
        <f t="shared" si="6"/>
        <v>0.6818181818</v>
      </c>
      <c r="S212" s="123">
        <f t="shared" si="3"/>
        <v>1.022727273</v>
      </c>
      <c r="T212" s="123">
        <f t="shared" si="4"/>
        <v>2.045454545</v>
      </c>
      <c r="U212" s="41">
        <v>5.0</v>
      </c>
      <c r="V212" s="41">
        <v>0.0</v>
      </c>
      <c r="W212" s="41">
        <v>1.0</v>
      </c>
      <c r="X212" s="41">
        <v>4.0</v>
      </c>
      <c r="Y212" s="41">
        <v>60.0</v>
      </c>
      <c r="Z212" s="41">
        <v>43.0</v>
      </c>
    </row>
    <row r="213">
      <c r="A213" s="41" t="s">
        <v>899</v>
      </c>
      <c r="B213" s="41" t="s">
        <v>432</v>
      </c>
      <c r="C213" s="41" t="s">
        <v>1277</v>
      </c>
      <c r="D213" s="41" t="s">
        <v>1278</v>
      </c>
      <c r="E213" s="41">
        <v>56.0</v>
      </c>
      <c r="F213" s="41">
        <v>36.0</v>
      </c>
      <c r="G213" s="41">
        <v>20.0</v>
      </c>
      <c r="H213" s="125">
        <v>0.6428571428571429</v>
      </c>
      <c r="I213" s="41">
        <v>11.0</v>
      </c>
      <c r="J213" s="41">
        <v>18177.0</v>
      </c>
      <c r="K213" s="41">
        <v>42.0</v>
      </c>
      <c r="L213" s="41">
        <v>34.0</v>
      </c>
      <c r="M213" s="41">
        <v>66.0</v>
      </c>
      <c r="N213" s="41">
        <v>132.0</v>
      </c>
      <c r="O213" s="122">
        <f t="shared" si="1"/>
        <v>0.3181818182</v>
      </c>
      <c r="P213" s="123">
        <f t="shared" si="5"/>
        <v>324.5892857</v>
      </c>
      <c r="Q213" s="123">
        <f t="shared" si="2"/>
        <v>0.75</v>
      </c>
      <c r="R213" s="123">
        <f t="shared" si="6"/>
        <v>0.6071428571</v>
      </c>
      <c r="S213" s="123">
        <f t="shared" si="3"/>
        <v>1.178571429</v>
      </c>
      <c r="T213" s="123">
        <f t="shared" si="4"/>
        <v>2.357142857</v>
      </c>
      <c r="U213" s="41">
        <v>5.0</v>
      </c>
      <c r="V213" s="41">
        <v>5.0</v>
      </c>
      <c r="W213" s="41">
        <v>1.0</v>
      </c>
      <c r="X213" s="41">
        <v>7.0</v>
      </c>
      <c r="Y213" s="41">
        <v>88.0</v>
      </c>
      <c r="Z213" s="41">
        <v>36.0</v>
      </c>
    </row>
    <row r="214">
      <c r="A214" s="41" t="s">
        <v>901</v>
      </c>
      <c r="B214" s="41" t="s">
        <v>340</v>
      </c>
      <c r="C214" s="41" t="s">
        <v>1279</v>
      </c>
      <c r="D214" s="41" t="s">
        <v>934</v>
      </c>
      <c r="E214" s="41">
        <v>51.0</v>
      </c>
      <c r="F214" s="41">
        <v>19.0</v>
      </c>
      <c r="G214" s="41">
        <v>32.0</v>
      </c>
      <c r="H214" s="125">
        <v>0.37254901960784315</v>
      </c>
      <c r="I214" s="41">
        <v>7.0</v>
      </c>
      <c r="J214" s="41">
        <v>18365.0</v>
      </c>
      <c r="K214" s="41">
        <v>40.0</v>
      </c>
      <c r="L214" s="41">
        <v>28.0</v>
      </c>
      <c r="M214" s="41">
        <v>77.0</v>
      </c>
      <c r="N214" s="41">
        <v>128.0</v>
      </c>
      <c r="O214" s="122">
        <f t="shared" si="1"/>
        <v>0.3125</v>
      </c>
      <c r="P214" s="123">
        <f t="shared" si="5"/>
        <v>360.0980392</v>
      </c>
      <c r="Q214" s="123">
        <f t="shared" si="2"/>
        <v>0.7843137255</v>
      </c>
      <c r="R214" s="123">
        <f t="shared" si="6"/>
        <v>0.5490196078</v>
      </c>
      <c r="S214" s="123">
        <f t="shared" si="3"/>
        <v>1.509803922</v>
      </c>
      <c r="T214" s="123">
        <f t="shared" si="4"/>
        <v>2.509803922</v>
      </c>
      <c r="U214" s="41">
        <v>11.0</v>
      </c>
      <c r="V214" s="41">
        <v>2.0</v>
      </c>
      <c r="W214" s="41">
        <v>1.0</v>
      </c>
      <c r="X214" s="41">
        <v>12.0</v>
      </c>
      <c r="Y214" s="41">
        <v>24.0</v>
      </c>
      <c r="Z214" s="41">
        <v>53.0</v>
      </c>
    </row>
    <row r="215">
      <c r="A215" s="41" t="s">
        <v>897</v>
      </c>
      <c r="B215" s="41" t="s">
        <v>480</v>
      </c>
      <c r="C215" s="41" t="s">
        <v>1280</v>
      </c>
      <c r="D215" s="41" t="s">
        <v>977</v>
      </c>
      <c r="E215" s="41">
        <v>43.0</v>
      </c>
      <c r="F215" s="41">
        <v>28.0</v>
      </c>
      <c r="G215" s="41">
        <v>15.0</v>
      </c>
      <c r="H215" s="125">
        <v>0.6511627906976745</v>
      </c>
      <c r="I215" s="41">
        <v>9.0</v>
      </c>
      <c r="J215" s="41">
        <v>15884.0</v>
      </c>
      <c r="K215" s="41">
        <v>42.0</v>
      </c>
      <c r="L215" s="41">
        <v>37.0</v>
      </c>
      <c r="M215" s="41">
        <v>46.0</v>
      </c>
      <c r="N215" s="41">
        <v>133.0</v>
      </c>
      <c r="O215" s="122">
        <f t="shared" si="1"/>
        <v>0.3157894737</v>
      </c>
      <c r="P215" s="123">
        <f t="shared" si="5"/>
        <v>369.3953488</v>
      </c>
      <c r="Q215" s="123">
        <f t="shared" si="2"/>
        <v>0.976744186</v>
      </c>
      <c r="R215" s="123">
        <f t="shared" si="6"/>
        <v>0.8604651163</v>
      </c>
      <c r="S215" s="123">
        <f t="shared" si="3"/>
        <v>1.069767442</v>
      </c>
      <c r="T215" s="123">
        <f t="shared" si="4"/>
        <v>3.093023256</v>
      </c>
      <c r="U215" s="41">
        <v>10.0</v>
      </c>
      <c r="V215" s="41">
        <v>2.0</v>
      </c>
      <c r="W215" s="41">
        <v>3.0</v>
      </c>
      <c r="X215" s="41">
        <v>5.0</v>
      </c>
      <c r="Y215" s="41">
        <v>102.0</v>
      </c>
      <c r="Z215" s="41">
        <v>46.0</v>
      </c>
    </row>
    <row r="216">
      <c r="A216" s="41" t="s">
        <v>902</v>
      </c>
      <c r="B216" s="41" t="s">
        <v>789</v>
      </c>
      <c r="C216" s="41" t="s">
        <v>1281</v>
      </c>
      <c r="D216" s="41" t="s">
        <v>1091</v>
      </c>
      <c r="E216" s="41">
        <v>56.0</v>
      </c>
      <c r="F216" s="41">
        <v>37.0</v>
      </c>
      <c r="G216" s="41">
        <v>19.0</v>
      </c>
      <c r="H216" s="125">
        <v>0.6607142857142857</v>
      </c>
      <c r="I216" s="41">
        <v>5.0</v>
      </c>
      <c r="J216" s="41">
        <v>18710.0</v>
      </c>
      <c r="K216" s="41">
        <v>37.0</v>
      </c>
      <c r="L216" s="41">
        <v>40.0</v>
      </c>
      <c r="M216" s="41">
        <v>63.0</v>
      </c>
      <c r="N216" s="41">
        <v>127.0</v>
      </c>
      <c r="O216" s="122">
        <f t="shared" si="1"/>
        <v>0.2913385827</v>
      </c>
      <c r="P216" s="123">
        <f t="shared" si="5"/>
        <v>334.1071429</v>
      </c>
      <c r="Q216" s="123">
        <f t="shared" si="2"/>
        <v>0.6607142857</v>
      </c>
      <c r="R216" s="123">
        <f t="shared" si="6"/>
        <v>0.7142857143</v>
      </c>
      <c r="S216" s="123">
        <f t="shared" si="3"/>
        <v>1.125</v>
      </c>
      <c r="T216" s="123">
        <f t="shared" si="4"/>
        <v>2.267857143</v>
      </c>
      <c r="U216" s="41">
        <v>9.0</v>
      </c>
      <c r="V216" s="41">
        <v>1.0</v>
      </c>
      <c r="W216" s="41">
        <v>2.0</v>
      </c>
      <c r="X216" s="41">
        <v>6.0</v>
      </c>
      <c r="Y216" s="41">
        <v>44.0</v>
      </c>
      <c r="Z216" s="41">
        <v>62.0</v>
      </c>
    </row>
    <row r="217">
      <c r="A217" s="41" t="s">
        <v>902</v>
      </c>
      <c r="B217" s="41" t="s">
        <v>779</v>
      </c>
      <c r="C217" s="41" t="s">
        <v>1282</v>
      </c>
      <c r="D217" s="41" t="s">
        <v>1283</v>
      </c>
      <c r="E217" s="41">
        <v>56.0</v>
      </c>
      <c r="F217" s="41">
        <v>27.0</v>
      </c>
      <c r="G217" s="41">
        <v>29.0</v>
      </c>
      <c r="H217" s="125">
        <v>0.48214285714285715</v>
      </c>
      <c r="I217" s="41">
        <v>9.0</v>
      </c>
      <c r="J217" s="41">
        <v>20734.0</v>
      </c>
      <c r="K217" s="41">
        <v>52.0</v>
      </c>
      <c r="L217" s="41">
        <v>25.0</v>
      </c>
      <c r="M217" s="41">
        <v>96.0</v>
      </c>
      <c r="N217" s="41">
        <v>160.0</v>
      </c>
      <c r="O217" s="122">
        <f t="shared" si="1"/>
        <v>0.325</v>
      </c>
      <c r="P217" s="123">
        <f t="shared" si="5"/>
        <v>370.25</v>
      </c>
      <c r="Q217" s="123">
        <f t="shared" si="2"/>
        <v>0.9285714286</v>
      </c>
      <c r="R217" s="123">
        <f t="shared" si="6"/>
        <v>0.4464285714</v>
      </c>
      <c r="S217" s="123">
        <f t="shared" si="3"/>
        <v>1.714285714</v>
      </c>
      <c r="T217" s="123">
        <f t="shared" si="4"/>
        <v>2.857142857</v>
      </c>
      <c r="U217" s="41">
        <v>12.0</v>
      </c>
      <c r="V217" s="41">
        <v>5.0</v>
      </c>
      <c r="W217" s="41">
        <v>0.0</v>
      </c>
      <c r="X217" s="41">
        <v>12.0</v>
      </c>
      <c r="Y217" s="41">
        <v>37.0</v>
      </c>
      <c r="Z217" s="41">
        <v>67.0</v>
      </c>
    </row>
    <row r="218">
      <c r="A218" s="41" t="s">
        <v>905</v>
      </c>
      <c r="B218" s="41" t="s">
        <v>174</v>
      </c>
      <c r="C218" s="41" t="s">
        <v>1284</v>
      </c>
      <c r="D218" s="41" t="s">
        <v>1237</v>
      </c>
      <c r="E218" s="41">
        <v>53.0</v>
      </c>
      <c r="F218" s="41">
        <v>32.0</v>
      </c>
      <c r="G218" s="41">
        <v>21.0</v>
      </c>
      <c r="H218" s="125">
        <v>0.6037735849056604</v>
      </c>
      <c r="I218" s="41">
        <v>4.0</v>
      </c>
      <c r="J218" s="41">
        <v>17460.0</v>
      </c>
      <c r="K218" s="41">
        <v>48.0</v>
      </c>
      <c r="L218" s="41">
        <v>21.0</v>
      </c>
      <c r="M218" s="41">
        <v>57.0</v>
      </c>
      <c r="N218" s="41">
        <v>150.0</v>
      </c>
      <c r="O218" s="122">
        <f t="shared" si="1"/>
        <v>0.32</v>
      </c>
      <c r="P218" s="123">
        <f t="shared" si="5"/>
        <v>329.4339623</v>
      </c>
      <c r="Q218" s="123">
        <f t="shared" si="2"/>
        <v>0.9056603774</v>
      </c>
      <c r="R218" s="123">
        <f t="shared" si="6"/>
        <v>0.3962264151</v>
      </c>
      <c r="S218" s="123">
        <f t="shared" si="3"/>
        <v>1.075471698</v>
      </c>
      <c r="T218" s="123">
        <f t="shared" si="4"/>
        <v>2.830188679</v>
      </c>
      <c r="U218" s="41">
        <v>5.0</v>
      </c>
      <c r="V218" s="41">
        <v>3.0</v>
      </c>
      <c r="W218" s="41">
        <v>0.0</v>
      </c>
      <c r="X218" s="41">
        <v>5.0</v>
      </c>
      <c r="Y218" s="41">
        <v>52.0</v>
      </c>
      <c r="Z218" s="41">
        <v>27.0</v>
      </c>
    </row>
    <row r="219">
      <c r="A219" s="41" t="s">
        <v>902</v>
      </c>
      <c r="B219" s="41" t="s">
        <v>792</v>
      </c>
      <c r="C219" s="41" t="s">
        <v>1285</v>
      </c>
      <c r="D219" s="41" t="s">
        <v>1286</v>
      </c>
      <c r="E219" s="41">
        <v>41.0</v>
      </c>
      <c r="F219" s="41">
        <v>17.0</v>
      </c>
      <c r="G219" s="41">
        <v>24.0</v>
      </c>
      <c r="H219" s="125">
        <v>0.4146341463414634</v>
      </c>
      <c r="I219" s="41">
        <v>8.0</v>
      </c>
      <c r="J219" s="41">
        <v>13597.0</v>
      </c>
      <c r="K219" s="41">
        <v>35.0</v>
      </c>
      <c r="L219" s="41">
        <v>21.0</v>
      </c>
      <c r="M219" s="41">
        <v>47.0</v>
      </c>
      <c r="N219" s="41">
        <v>114.0</v>
      </c>
      <c r="O219" s="122">
        <f t="shared" si="1"/>
        <v>0.3070175439</v>
      </c>
      <c r="P219" s="123">
        <f t="shared" si="5"/>
        <v>331.6341463</v>
      </c>
      <c r="Q219" s="123">
        <f t="shared" si="2"/>
        <v>0.8536585366</v>
      </c>
      <c r="R219" s="123">
        <f t="shared" si="6"/>
        <v>0.512195122</v>
      </c>
      <c r="S219" s="123">
        <f t="shared" si="3"/>
        <v>1.146341463</v>
      </c>
      <c r="T219" s="123">
        <f t="shared" si="4"/>
        <v>2.780487805</v>
      </c>
      <c r="U219" s="41">
        <v>5.0</v>
      </c>
      <c r="V219" s="41">
        <v>4.0</v>
      </c>
      <c r="W219" s="41">
        <v>0.0</v>
      </c>
      <c r="X219" s="41">
        <v>4.0</v>
      </c>
      <c r="Y219" s="41">
        <v>29.0</v>
      </c>
      <c r="Z219" s="41">
        <v>41.0</v>
      </c>
    </row>
    <row r="220">
      <c r="A220" s="41" t="s">
        <v>902</v>
      </c>
      <c r="B220" s="41" t="s">
        <v>862</v>
      </c>
      <c r="C220" s="41" t="s">
        <v>1287</v>
      </c>
      <c r="D220" s="41" t="s">
        <v>1288</v>
      </c>
      <c r="E220" s="41">
        <v>20.0</v>
      </c>
      <c r="F220" s="41">
        <v>5.0</v>
      </c>
      <c r="G220" s="41">
        <v>15.0</v>
      </c>
      <c r="H220" s="125">
        <v>0.25</v>
      </c>
      <c r="I220" s="41">
        <v>1.0</v>
      </c>
      <c r="J220" s="41">
        <v>6354.0</v>
      </c>
      <c r="K220" s="41">
        <v>11.0</v>
      </c>
      <c r="L220" s="41">
        <v>9.0</v>
      </c>
      <c r="M220" s="41">
        <v>32.0</v>
      </c>
      <c r="N220" s="41">
        <v>35.0</v>
      </c>
      <c r="O220" s="122">
        <f t="shared" si="1"/>
        <v>0.3142857143</v>
      </c>
      <c r="P220" s="123">
        <f t="shared" si="5"/>
        <v>317.7</v>
      </c>
      <c r="Q220" s="123">
        <f t="shared" si="2"/>
        <v>0.55</v>
      </c>
      <c r="R220" s="123">
        <f t="shared" si="6"/>
        <v>0.45</v>
      </c>
      <c r="S220" s="123">
        <f t="shared" si="3"/>
        <v>1.6</v>
      </c>
      <c r="T220" s="123">
        <f t="shared" si="4"/>
        <v>1.75</v>
      </c>
      <c r="U220" s="41">
        <v>2.0</v>
      </c>
      <c r="V220" s="41">
        <v>1.0</v>
      </c>
      <c r="W220" s="41">
        <v>0.0</v>
      </c>
      <c r="X220" s="41">
        <v>5.0</v>
      </c>
      <c r="Y220" s="41">
        <v>15.0</v>
      </c>
      <c r="Z220" s="41">
        <v>25.0</v>
      </c>
    </row>
    <row r="221">
      <c r="A221" s="41" t="s">
        <v>902</v>
      </c>
      <c r="B221" s="41" t="s">
        <v>806</v>
      </c>
      <c r="C221" s="41" t="s">
        <v>1289</v>
      </c>
      <c r="D221" s="41" t="s">
        <v>1290</v>
      </c>
      <c r="E221" s="41">
        <v>48.0</v>
      </c>
      <c r="F221" s="41">
        <v>21.0</v>
      </c>
      <c r="G221" s="41">
        <v>27.0</v>
      </c>
      <c r="H221" s="125">
        <v>0.4375</v>
      </c>
      <c r="I221" s="41">
        <v>4.0</v>
      </c>
      <c r="J221" s="41">
        <v>15655.0</v>
      </c>
      <c r="K221" s="41">
        <v>30.0</v>
      </c>
      <c r="L221" s="41">
        <v>34.0</v>
      </c>
      <c r="M221" s="41">
        <v>58.0</v>
      </c>
      <c r="N221" s="41">
        <v>106.0</v>
      </c>
      <c r="O221" s="122">
        <f t="shared" si="1"/>
        <v>0.2830188679</v>
      </c>
      <c r="P221" s="123">
        <f t="shared" si="5"/>
        <v>326.1458333</v>
      </c>
      <c r="Q221" s="123">
        <f t="shared" si="2"/>
        <v>0.625</v>
      </c>
      <c r="R221" s="123">
        <f t="shared" si="6"/>
        <v>0.7083333333</v>
      </c>
      <c r="S221" s="123">
        <f t="shared" si="3"/>
        <v>1.208333333</v>
      </c>
      <c r="T221" s="123">
        <f t="shared" si="4"/>
        <v>2.208333333</v>
      </c>
      <c r="U221" s="41">
        <v>11.0</v>
      </c>
      <c r="V221" s="41">
        <v>1.0</v>
      </c>
      <c r="W221" s="41">
        <v>1.0</v>
      </c>
      <c r="X221" s="41">
        <v>5.0</v>
      </c>
      <c r="Y221" s="41">
        <v>57.0</v>
      </c>
      <c r="Z221" s="41">
        <v>61.0</v>
      </c>
    </row>
    <row r="222">
      <c r="A222" s="41" t="s">
        <v>904</v>
      </c>
      <c r="B222" s="41" t="s">
        <v>604</v>
      </c>
      <c r="C222" s="41" t="s">
        <v>1291</v>
      </c>
      <c r="D222" s="41" t="s">
        <v>970</v>
      </c>
      <c r="E222" s="41">
        <v>40.0</v>
      </c>
      <c r="F222" s="41">
        <v>21.0</v>
      </c>
      <c r="G222" s="41">
        <v>19.0</v>
      </c>
      <c r="H222" s="125">
        <v>0.525</v>
      </c>
      <c r="I222" s="41">
        <v>8.0</v>
      </c>
      <c r="J222" s="41">
        <v>15910.0</v>
      </c>
      <c r="K222" s="41">
        <v>35.0</v>
      </c>
      <c r="L222" s="41">
        <v>24.0</v>
      </c>
      <c r="M222" s="41">
        <v>55.0</v>
      </c>
      <c r="N222" s="41">
        <v>106.0</v>
      </c>
      <c r="O222" s="122">
        <f t="shared" si="1"/>
        <v>0.3301886792</v>
      </c>
      <c r="P222" s="123">
        <f t="shared" si="5"/>
        <v>397.75</v>
      </c>
      <c r="Q222" s="123">
        <f t="shared" si="2"/>
        <v>0.875</v>
      </c>
      <c r="R222" s="123">
        <f t="shared" si="6"/>
        <v>0.6</v>
      </c>
      <c r="S222" s="123">
        <f t="shared" si="3"/>
        <v>1.375</v>
      </c>
      <c r="T222" s="123">
        <f t="shared" si="4"/>
        <v>2.65</v>
      </c>
      <c r="U222" s="41">
        <v>13.0</v>
      </c>
      <c r="V222" s="41">
        <v>2.0</v>
      </c>
      <c r="W222" s="41">
        <v>0.0</v>
      </c>
      <c r="X222" s="41">
        <v>6.0</v>
      </c>
      <c r="Y222" s="41">
        <v>27.0</v>
      </c>
      <c r="Z222" s="41">
        <v>39.0</v>
      </c>
    </row>
    <row r="223">
      <c r="A223" s="41" t="s">
        <v>909</v>
      </c>
      <c r="B223" s="41" t="s">
        <v>90</v>
      </c>
      <c r="C223" s="41" t="s">
        <v>1292</v>
      </c>
      <c r="D223" s="41" t="s">
        <v>1293</v>
      </c>
      <c r="E223" s="41">
        <v>55.0</v>
      </c>
      <c r="F223" s="41">
        <v>24.0</v>
      </c>
      <c r="G223" s="41">
        <v>31.0</v>
      </c>
      <c r="H223" s="125">
        <v>0.43636363636363634</v>
      </c>
      <c r="I223" s="41">
        <v>6.0</v>
      </c>
      <c r="J223" s="41">
        <v>16188.0</v>
      </c>
      <c r="K223" s="41">
        <v>43.0</v>
      </c>
      <c r="L223" s="41">
        <v>25.0</v>
      </c>
      <c r="M223" s="41">
        <v>61.0</v>
      </c>
      <c r="N223" s="41">
        <v>89.0</v>
      </c>
      <c r="O223" s="122">
        <f t="shared" si="1"/>
        <v>0.4831460674</v>
      </c>
      <c r="P223" s="123">
        <f t="shared" si="5"/>
        <v>294.3272727</v>
      </c>
      <c r="Q223" s="123">
        <f t="shared" si="2"/>
        <v>0.7818181818</v>
      </c>
      <c r="R223" s="123">
        <f t="shared" si="6"/>
        <v>0.4545454545</v>
      </c>
      <c r="S223" s="123">
        <f t="shared" si="3"/>
        <v>1.109090909</v>
      </c>
      <c r="T223" s="123">
        <f t="shared" si="4"/>
        <v>1.618181818</v>
      </c>
      <c r="U223" s="41">
        <v>6.0</v>
      </c>
      <c r="V223" s="41">
        <v>1.0</v>
      </c>
      <c r="W223" s="41">
        <v>1.0</v>
      </c>
      <c r="X223" s="41">
        <v>8.0</v>
      </c>
      <c r="Y223" s="41">
        <v>16.0</v>
      </c>
      <c r="Z223" s="41">
        <v>41.0</v>
      </c>
    </row>
    <row r="224">
      <c r="A224" s="41" t="s">
        <v>905</v>
      </c>
      <c r="B224" s="41" t="s">
        <v>191</v>
      </c>
      <c r="C224" s="41" t="s">
        <v>1294</v>
      </c>
      <c r="D224" s="41" t="s">
        <v>1295</v>
      </c>
      <c r="E224" s="41">
        <v>4.0</v>
      </c>
      <c r="F224" s="41">
        <v>1.0</v>
      </c>
      <c r="G224" s="41">
        <v>3.0</v>
      </c>
      <c r="H224" s="125">
        <v>0.25</v>
      </c>
      <c r="I224" s="41">
        <v>0.0</v>
      </c>
      <c r="J224" s="41">
        <v>1165.0</v>
      </c>
      <c r="K224" s="41">
        <v>2.0</v>
      </c>
      <c r="L224" s="41">
        <v>3.0</v>
      </c>
      <c r="M224" s="41">
        <v>4.0</v>
      </c>
      <c r="N224" s="41">
        <v>6.0</v>
      </c>
      <c r="O224" s="122">
        <f t="shared" si="1"/>
        <v>0.3333333333</v>
      </c>
      <c r="P224" s="123">
        <f t="shared" si="5"/>
        <v>291.25</v>
      </c>
      <c r="Q224" s="123">
        <f t="shared" si="2"/>
        <v>0.5</v>
      </c>
      <c r="R224" s="123">
        <f t="shared" si="6"/>
        <v>0.75</v>
      </c>
      <c r="S224" s="123">
        <f t="shared" si="3"/>
        <v>1</v>
      </c>
      <c r="T224" s="123">
        <f t="shared" si="4"/>
        <v>1.5</v>
      </c>
      <c r="U224" s="41">
        <v>1.0</v>
      </c>
      <c r="V224" s="41">
        <v>0.0</v>
      </c>
      <c r="W224" s="41">
        <v>0.0</v>
      </c>
      <c r="X224" s="41">
        <v>0.0</v>
      </c>
      <c r="Y224" s="41">
        <v>2.0</v>
      </c>
      <c r="Z224" s="41">
        <v>5.0</v>
      </c>
    </row>
    <row r="225">
      <c r="A225" s="41" t="s">
        <v>906</v>
      </c>
      <c r="B225" s="41" t="s">
        <v>549</v>
      </c>
      <c r="C225" s="41" t="s">
        <v>1296</v>
      </c>
      <c r="D225" s="41" t="s">
        <v>1297</v>
      </c>
      <c r="E225" s="41">
        <v>15.0</v>
      </c>
      <c r="F225" s="41">
        <v>9.0</v>
      </c>
      <c r="G225" s="41">
        <v>6.0</v>
      </c>
      <c r="H225" s="125">
        <v>0.6</v>
      </c>
      <c r="I225" s="41">
        <v>3.0</v>
      </c>
      <c r="J225" s="41">
        <v>5002.0</v>
      </c>
      <c r="K225" s="41">
        <v>10.0</v>
      </c>
      <c r="L225" s="41">
        <v>4.0</v>
      </c>
      <c r="M225" s="41">
        <v>15.0</v>
      </c>
      <c r="N225" s="41">
        <v>34.0</v>
      </c>
      <c r="O225" s="122">
        <f t="shared" si="1"/>
        <v>0.2941176471</v>
      </c>
      <c r="P225" s="123">
        <f t="shared" si="5"/>
        <v>333.4666667</v>
      </c>
      <c r="Q225" s="123">
        <f t="shared" si="2"/>
        <v>0.6666666667</v>
      </c>
      <c r="R225" s="123">
        <f t="shared" si="6"/>
        <v>0.2666666667</v>
      </c>
      <c r="S225" s="123">
        <f t="shared" si="3"/>
        <v>1</v>
      </c>
      <c r="T225" s="123">
        <f t="shared" si="4"/>
        <v>2.266666667</v>
      </c>
      <c r="U225" s="41">
        <v>1.0</v>
      </c>
      <c r="V225" s="41">
        <v>1.0</v>
      </c>
      <c r="W225" s="41">
        <v>0.0</v>
      </c>
      <c r="X225" s="41">
        <v>1.0</v>
      </c>
      <c r="Y225" s="41">
        <v>16.0</v>
      </c>
      <c r="Z225" s="41">
        <v>11.0</v>
      </c>
    </row>
    <row r="226">
      <c r="A226" s="41" t="s">
        <v>904</v>
      </c>
      <c r="B226" s="41" t="s">
        <v>584</v>
      </c>
      <c r="C226" s="41" t="s">
        <v>1298</v>
      </c>
      <c r="D226" s="41" t="s">
        <v>1167</v>
      </c>
      <c r="E226" s="41">
        <v>28.0</v>
      </c>
      <c r="F226" s="41">
        <v>19.0</v>
      </c>
      <c r="G226" s="41">
        <v>9.0</v>
      </c>
      <c r="H226" s="125">
        <v>0.6785714285714286</v>
      </c>
      <c r="I226" s="41">
        <v>10.0</v>
      </c>
      <c r="J226" s="41">
        <v>10815.0</v>
      </c>
      <c r="K226" s="41">
        <v>29.0</v>
      </c>
      <c r="L226" s="41">
        <v>18.0</v>
      </c>
      <c r="M226" s="41">
        <v>40.0</v>
      </c>
      <c r="N226" s="41">
        <v>89.0</v>
      </c>
      <c r="O226" s="122">
        <f t="shared" si="1"/>
        <v>0.3258426966</v>
      </c>
      <c r="P226" s="123">
        <f t="shared" si="5"/>
        <v>386.25</v>
      </c>
      <c r="Q226" s="123">
        <f t="shared" si="2"/>
        <v>1.035714286</v>
      </c>
      <c r="R226" s="123">
        <f t="shared" si="6"/>
        <v>0.6428571429</v>
      </c>
      <c r="S226" s="123">
        <f t="shared" si="3"/>
        <v>1.428571429</v>
      </c>
      <c r="T226" s="123">
        <f t="shared" si="4"/>
        <v>3.178571429</v>
      </c>
      <c r="U226" s="41">
        <v>5.0</v>
      </c>
      <c r="V226" s="41">
        <v>3.0</v>
      </c>
      <c r="W226" s="41">
        <v>1.0</v>
      </c>
      <c r="X226" s="41">
        <v>7.0</v>
      </c>
      <c r="Y226" s="41">
        <v>21.0</v>
      </c>
      <c r="Z226" s="41">
        <v>38.0</v>
      </c>
    </row>
    <row r="227">
      <c r="A227" s="41" t="s">
        <v>905</v>
      </c>
      <c r="B227" s="41" t="s">
        <v>208</v>
      </c>
      <c r="C227" s="41" t="s">
        <v>1299</v>
      </c>
      <c r="D227" s="41" t="s">
        <v>1154</v>
      </c>
      <c r="E227" s="41">
        <v>29.0</v>
      </c>
      <c r="F227" s="41">
        <v>18.0</v>
      </c>
      <c r="G227" s="41">
        <v>11.0</v>
      </c>
      <c r="H227" s="125">
        <v>0.6206896551724138</v>
      </c>
      <c r="I227" s="41">
        <v>3.0</v>
      </c>
      <c r="J227" s="41">
        <v>8373.0</v>
      </c>
      <c r="K227" s="41">
        <v>16.0</v>
      </c>
      <c r="L227" s="41">
        <v>17.0</v>
      </c>
      <c r="M227" s="41">
        <v>29.0</v>
      </c>
      <c r="N227" s="41">
        <v>58.0</v>
      </c>
      <c r="O227" s="122">
        <f t="shared" si="1"/>
        <v>0.275862069</v>
      </c>
      <c r="P227" s="123">
        <f t="shared" si="5"/>
        <v>288.7241379</v>
      </c>
      <c r="Q227" s="123">
        <f t="shared" si="2"/>
        <v>0.5517241379</v>
      </c>
      <c r="R227" s="123">
        <f t="shared" si="6"/>
        <v>0.5862068966</v>
      </c>
      <c r="S227" s="123">
        <f t="shared" si="3"/>
        <v>1</v>
      </c>
      <c r="T227" s="123">
        <f t="shared" si="4"/>
        <v>2</v>
      </c>
      <c r="U227" s="41">
        <v>7.0</v>
      </c>
      <c r="V227" s="41">
        <v>1.0</v>
      </c>
      <c r="W227" s="41">
        <v>0.0</v>
      </c>
      <c r="X227" s="41">
        <v>2.0</v>
      </c>
      <c r="Y227" s="41">
        <v>23.0</v>
      </c>
      <c r="Z227" s="41">
        <v>33.0</v>
      </c>
    </row>
    <row r="228">
      <c r="A228" s="41" t="s">
        <v>897</v>
      </c>
      <c r="B228" s="41" t="s">
        <v>417</v>
      </c>
      <c r="C228" s="41" t="s">
        <v>1300</v>
      </c>
      <c r="D228" s="41" t="s">
        <v>987</v>
      </c>
      <c r="E228" s="41">
        <v>25.0</v>
      </c>
      <c r="F228" s="41">
        <v>8.0</v>
      </c>
      <c r="G228" s="41">
        <v>17.0</v>
      </c>
      <c r="H228" s="125">
        <v>0.32</v>
      </c>
      <c r="I228" s="41">
        <v>4.0</v>
      </c>
      <c r="J228" s="41">
        <v>9909.0</v>
      </c>
      <c r="K228" s="41">
        <v>28.0</v>
      </c>
      <c r="L228" s="41">
        <v>15.0</v>
      </c>
      <c r="M228" s="41">
        <v>37.0</v>
      </c>
      <c r="N228" s="41">
        <v>84.0</v>
      </c>
      <c r="O228" s="122">
        <f t="shared" si="1"/>
        <v>0.3333333333</v>
      </c>
      <c r="P228" s="123">
        <f t="shared" si="5"/>
        <v>396.36</v>
      </c>
      <c r="Q228" s="123">
        <f t="shared" si="2"/>
        <v>1.12</v>
      </c>
      <c r="R228" s="123">
        <f t="shared" si="6"/>
        <v>0.6</v>
      </c>
      <c r="S228" s="123">
        <f t="shared" si="3"/>
        <v>1.48</v>
      </c>
      <c r="T228" s="123">
        <f t="shared" si="4"/>
        <v>3.36</v>
      </c>
      <c r="U228" s="41">
        <v>10.0</v>
      </c>
      <c r="V228" s="41">
        <v>2.0</v>
      </c>
      <c r="W228" s="41">
        <v>0.0</v>
      </c>
      <c r="X228" s="41">
        <v>4.0</v>
      </c>
      <c r="Y228" s="41">
        <v>33.0</v>
      </c>
      <c r="Z228" s="41">
        <v>25.0</v>
      </c>
    </row>
    <row r="229">
      <c r="A229" s="41" t="s">
        <v>899</v>
      </c>
      <c r="B229" s="41" t="s">
        <v>417</v>
      </c>
      <c r="C229" s="41" t="s">
        <v>1300</v>
      </c>
      <c r="D229" s="41" t="s">
        <v>1201</v>
      </c>
      <c r="E229" s="41">
        <v>8.0</v>
      </c>
      <c r="F229" s="41">
        <v>5.0</v>
      </c>
      <c r="G229" s="41">
        <v>3.0</v>
      </c>
      <c r="H229" s="125">
        <v>0.625</v>
      </c>
      <c r="I229" s="41">
        <v>5.0</v>
      </c>
      <c r="J229" s="41">
        <v>4063.0</v>
      </c>
      <c r="K229" s="41">
        <v>11.0</v>
      </c>
      <c r="L229" s="41">
        <v>3.0</v>
      </c>
      <c r="M229" s="41">
        <v>16.0</v>
      </c>
      <c r="N229" s="41">
        <v>30.0</v>
      </c>
      <c r="O229" s="122">
        <f t="shared" si="1"/>
        <v>0.3666666667</v>
      </c>
      <c r="P229" s="123">
        <f t="shared" si="5"/>
        <v>507.875</v>
      </c>
      <c r="Q229" s="123">
        <f t="shared" si="2"/>
        <v>1.375</v>
      </c>
      <c r="R229" s="123">
        <f t="shared" si="6"/>
        <v>0.375</v>
      </c>
      <c r="S229" s="123">
        <f t="shared" si="3"/>
        <v>2</v>
      </c>
      <c r="T229" s="123">
        <f t="shared" si="4"/>
        <v>3.75</v>
      </c>
      <c r="U229" s="41">
        <v>2.0</v>
      </c>
      <c r="V229" s="41">
        <v>1.0</v>
      </c>
      <c r="W229" s="41">
        <v>0.0</v>
      </c>
      <c r="X229" s="41">
        <v>4.0</v>
      </c>
      <c r="Y229" s="41">
        <v>12.0</v>
      </c>
      <c r="Z229" s="41">
        <v>6.0</v>
      </c>
    </row>
    <row r="230">
      <c r="A230" s="41" t="s">
        <v>905</v>
      </c>
      <c r="B230" s="41" t="s">
        <v>125</v>
      </c>
      <c r="C230" s="41" t="s">
        <v>1301</v>
      </c>
      <c r="D230" s="41" t="s">
        <v>1065</v>
      </c>
      <c r="E230" s="41">
        <v>38.0</v>
      </c>
      <c r="F230" s="41">
        <v>22.0</v>
      </c>
      <c r="G230" s="41">
        <v>16.0</v>
      </c>
      <c r="H230" s="125">
        <v>0.5789473684210527</v>
      </c>
      <c r="I230" s="41">
        <v>9.0</v>
      </c>
      <c r="J230" s="41">
        <v>14377.0</v>
      </c>
      <c r="K230" s="41">
        <v>31.0</v>
      </c>
      <c r="L230" s="41">
        <v>27.0</v>
      </c>
      <c r="M230" s="41">
        <v>51.0</v>
      </c>
      <c r="N230" s="41">
        <v>103.0</v>
      </c>
      <c r="O230" s="122">
        <f t="shared" si="1"/>
        <v>0.3009708738</v>
      </c>
      <c r="P230" s="123">
        <f t="shared" si="5"/>
        <v>378.3421053</v>
      </c>
      <c r="Q230" s="123">
        <f t="shared" si="2"/>
        <v>0.8157894737</v>
      </c>
      <c r="R230" s="123">
        <f t="shared" si="6"/>
        <v>0.7105263158</v>
      </c>
      <c r="S230" s="123">
        <f t="shared" si="3"/>
        <v>1.342105263</v>
      </c>
      <c r="T230" s="123">
        <f t="shared" si="4"/>
        <v>2.710526316</v>
      </c>
      <c r="U230" s="41">
        <v>13.0</v>
      </c>
      <c r="V230" s="41">
        <v>2.0</v>
      </c>
      <c r="W230" s="41">
        <v>1.0</v>
      </c>
      <c r="X230" s="41">
        <v>4.0</v>
      </c>
      <c r="Y230" s="41">
        <v>62.0</v>
      </c>
      <c r="Z230" s="41">
        <v>28.0</v>
      </c>
    </row>
    <row r="231">
      <c r="A231" s="41" t="s">
        <v>904</v>
      </c>
      <c r="B231" s="41" t="s">
        <v>663</v>
      </c>
      <c r="C231" s="41" t="s">
        <v>1302</v>
      </c>
      <c r="D231" s="41" t="s">
        <v>1303</v>
      </c>
      <c r="E231" s="41">
        <v>42.0</v>
      </c>
      <c r="F231" s="41">
        <v>21.0</v>
      </c>
      <c r="G231" s="41">
        <v>21.0</v>
      </c>
      <c r="H231" s="125">
        <v>0.5</v>
      </c>
      <c r="I231" s="41">
        <v>6.0</v>
      </c>
      <c r="J231" s="41">
        <v>13377.0</v>
      </c>
      <c r="K231" s="41">
        <v>23.0</v>
      </c>
      <c r="L231" s="41">
        <v>27.0</v>
      </c>
      <c r="M231" s="41">
        <v>46.0</v>
      </c>
      <c r="N231" s="41">
        <v>99.0</v>
      </c>
      <c r="O231" s="122">
        <f t="shared" si="1"/>
        <v>0.2323232323</v>
      </c>
      <c r="P231" s="123">
        <f t="shared" si="5"/>
        <v>318.5</v>
      </c>
      <c r="Q231" s="123">
        <f t="shared" si="2"/>
        <v>0.5476190476</v>
      </c>
      <c r="R231" s="123">
        <f t="shared" si="6"/>
        <v>0.6428571429</v>
      </c>
      <c r="S231" s="123">
        <f t="shared" si="3"/>
        <v>1.095238095</v>
      </c>
      <c r="T231" s="123">
        <f t="shared" si="4"/>
        <v>2.357142857</v>
      </c>
      <c r="U231" s="41">
        <v>7.0</v>
      </c>
      <c r="V231" s="41">
        <v>0.0</v>
      </c>
      <c r="W231" s="41">
        <v>0.0</v>
      </c>
      <c r="X231" s="41">
        <v>5.0</v>
      </c>
      <c r="Y231" s="41">
        <v>16.0</v>
      </c>
      <c r="Z231" s="41">
        <v>35.0</v>
      </c>
    </row>
    <row r="232">
      <c r="A232" s="41" t="s">
        <v>904</v>
      </c>
      <c r="B232" s="41" t="s">
        <v>712</v>
      </c>
      <c r="C232" s="41" t="s">
        <v>1304</v>
      </c>
      <c r="D232" s="41" t="s">
        <v>1305</v>
      </c>
      <c r="E232" s="41">
        <v>38.0</v>
      </c>
      <c r="F232" s="41">
        <v>12.0</v>
      </c>
      <c r="G232" s="41">
        <v>26.0</v>
      </c>
      <c r="H232" s="125">
        <v>0.3157894736842105</v>
      </c>
      <c r="I232" s="41">
        <v>3.0</v>
      </c>
      <c r="J232" s="41">
        <v>10647.0</v>
      </c>
      <c r="K232" s="41">
        <v>16.0</v>
      </c>
      <c r="L232" s="41">
        <v>15.0</v>
      </c>
      <c r="M232" s="41">
        <v>36.0</v>
      </c>
      <c r="N232" s="41">
        <v>83.0</v>
      </c>
      <c r="O232" s="122">
        <f t="shared" si="1"/>
        <v>0.1927710843</v>
      </c>
      <c r="P232" s="123">
        <f t="shared" si="5"/>
        <v>280.1842105</v>
      </c>
      <c r="Q232" s="123">
        <f t="shared" si="2"/>
        <v>0.4210526316</v>
      </c>
      <c r="R232" s="123">
        <f t="shared" si="6"/>
        <v>0.3947368421</v>
      </c>
      <c r="S232" s="123">
        <f t="shared" si="3"/>
        <v>0.9473684211</v>
      </c>
      <c r="T232" s="123">
        <f t="shared" si="4"/>
        <v>2.184210526</v>
      </c>
      <c r="U232" s="41">
        <v>2.0</v>
      </c>
      <c r="V232" s="41">
        <v>0.0</v>
      </c>
      <c r="W232" s="41">
        <v>0.0</v>
      </c>
      <c r="X232" s="41">
        <v>4.0</v>
      </c>
      <c r="Y232" s="41">
        <v>80.0</v>
      </c>
      <c r="Z232" s="41">
        <v>27.0</v>
      </c>
    </row>
    <row r="233">
      <c r="A233" s="41" t="s">
        <v>899</v>
      </c>
      <c r="B233" s="41" t="s">
        <v>452</v>
      </c>
      <c r="C233" s="41" t="s">
        <v>1306</v>
      </c>
      <c r="D233" s="41" t="s">
        <v>936</v>
      </c>
      <c r="E233" s="41">
        <v>44.0</v>
      </c>
      <c r="F233" s="41">
        <v>21.0</v>
      </c>
      <c r="G233" s="41">
        <v>23.0</v>
      </c>
      <c r="H233" s="125">
        <v>0.4772727272727273</v>
      </c>
      <c r="I233" s="41">
        <v>9.0</v>
      </c>
      <c r="J233" s="41">
        <v>14357.0</v>
      </c>
      <c r="K233" s="41">
        <v>28.0</v>
      </c>
      <c r="L233" s="41">
        <v>25.0</v>
      </c>
      <c r="M233" s="41">
        <v>56.0</v>
      </c>
      <c r="N233" s="41">
        <v>104.0</v>
      </c>
      <c r="O233" s="122">
        <f t="shared" si="1"/>
        <v>0.2692307692</v>
      </c>
      <c r="P233" s="123">
        <f t="shared" si="5"/>
        <v>326.2954545</v>
      </c>
      <c r="Q233" s="123">
        <f t="shared" si="2"/>
        <v>0.6363636364</v>
      </c>
      <c r="R233" s="123">
        <f t="shared" si="6"/>
        <v>0.5681818182</v>
      </c>
      <c r="S233" s="123">
        <f t="shared" si="3"/>
        <v>1.272727273</v>
      </c>
      <c r="T233" s="123">
        <f t="shared" si="4"/>
        <v>2.363636364</v>
      </c>
      <c r="U233" s="41">
        <v>13.0</v>
      </c>
      <c r="V233" s="41">
        <v>1.0</v>
      </c>
      <c r="W233" s="41">
        <v>0.0</v>
      </c>
      <c r="X233" s="41">
        <v>8.0</v>
      </c>
      <c r="Y233" s="41">
        <v>59.0</v>
      </c>
      <c r="Z233" s="41">
        <v>48.0</v>
      </c>
    </row>
    <row r="234">
      <c r="A234" s="41" t="s">
        <v>899</v>
      </c>
      <c r="B234" s="41" t="s">
        <v>436</v>
      </c>
      <c r="C234" s="41" t="s">
        <v>1307</v>
      </c>
      <c r="D234" s="41" t="s">
        <v>1150</v>
      </c>
      <c r="E234" s="41">
        <v>49.0</v>
      </c>
      <c r="F234" s="41">
        <v>24.0</v>
      </c>
      <c r="G234" s="41">
        <v>25.0</v>
      </c>
      <c r="H234" s="125">
        <v>0.4897959183673469</v>
      </c>
      <c r="I234" s="41">
        <v>7.0</v>
      </c>
      <c r="J234" s="41">
        <v>16891.0</v>
      </c>
      <c r="K234" s="41">
        <v>31.0</v>
      </c>
      <c r="L234" s="41">
        <v>28.0</v>
      </c>
      <c r="M234" s="41">
        <v>75.0</v>
      </c>
      <c r="N234" s="41">
        <v>103.0</v>
      </c>
      <c r="O234" s="122">
        <f t="shared" si="1"/>
        <v>0.3009708738</v>
      </c>
      <c r="P234" s="123">
        <f t="shared" si="5"/>
        <v>344.7142857</v>
      </c>
      <c r="Q234" s="123">
        <f t="shared" si="2"/>
        <v>0.6326530612</v>
      </c>
      <c r="R234" s="123">
        <f t="shared" si="6"/>
        <v>0.5714285714</v>
      </c>
      <c r="S234" s="123">
        <f t="shared" si="3"/>
        <v>1.530612245</v>
      </c>
      <c r="T234" s="123">
        <f t="shared" si="4"/>
        <v>2.102040816</v>
      </c>
      <c r="U234" s="41">
        <v>8.0</v>
      </c>
      <c r="V234" s="41">
        <v>2.0</v>
      </c>
      <c r="W234" s="41">
        <v>1.0</v>
      </c>
      <c r="X234" s="41">
        <v>9.0</v>
      </c>
      <c r="Y234" s="41">
        <v>68.0</v>
      </c>
      <c r="Z234" s="41">
        <v>42.0</v>
      </c>
    </row>
    <row r="235">
      <c r="A235" s="41" t="s">
        <v>901</v>
      </c>
      <c r="B235" s="41" t="s">
        <v>363</v>
      </c>
      <c r="C235" s="41" t="s">
        <v>1308</v>
      </c>
      <c r="D235" s="41" t="s">
        <v>1309</v>
      </c>
      <c r="E235" s="41">
        <v>12.0</v>
      </c>
      <c r="F235" s="41">
        <v>9.0</v>
      </c>
      <c r="G235" s="41">
        <v>3.0</v>
      </c>
      <c r="H235" s="125">
        <v>0.75</v>
      </c>
      <c r="I235" s="41">
        <v>1.0</v>
      </c>
      <c r="J235" s="41">
        <v>3655.0</v>
      </c>
      <c r="K235" s="41">
        <v>9.0</v>
      </c>
      <c r="L235" s="41">
        <v>7.0</v>
      </c>
      <c r="M235" s="41">
        <v>17.0</v>
      </c>
      <c r="N235" s="41">
        <v>28.0</v>
      </c>
      <c r="O235" s="122">
        <f t="shared" si="1"/>
        <v>0.3214285714</v>
      </c>
      <c r="P235" s="123">
        <f t="shared" si="5"/>
        <v>304.5833333</v>
      </c>
      <c r="Q235" s="123">
        <f t="shared" si="2"/>
        <v>0.75</v>
      </c>
      <c r="R235" s="123">
        <f t="shared" si="6"/>
        <v>0.5833333333</v>
      </c>
      <c r="S235" s="123">
        <f t="shared" si="3"/>
        <v>1.416666667</v>
      </c>
      <c r="T235" s="123">
        <f t="shared" si="4"/>
        <v>2.333333333</v>
      </c>
      <c r="U235" s="41">
        <v>2.0</v>
      </c>
      <c r="V235" s="41">
        <v>0.0</v>
      </c>
      <c r="W235" s="41">
        <v>0.0</v>
      </c>
      <c r="X235" s="41">
        <v>2.0</v>
      </c>
      <c r="Y235" s="41">
        <v>8.0</v>
      </c>
      <c r="Z235" s="41">
        <v>12.0</v>
      </c>
    </row>
    <row r="236">
      <c r="A236" s="41" t="s">
        <v>904</v>
      </c>
      <c r="B236" s="41" t="s">
        <v>627</v>
      </c>
      <c r="C236" s="41" t="s">
        <v>1310</v>
      </c>
      <c r="D236" s="41" t="s">
        <v>1167</v>
      </c>
      <c r="E236" s="41">
        <v>31.0</v>
      </c>
      <c r="F236" s="41">
        <v>17.0</v>
      </c>
      <c r="G236" s="41">
        <v>14.0</v>
      </c>
      <c r="H236" s="125">
        <v>0.5483870967741935</v>
      </c>
      <c r="I236" s="41">
        <v>3.0</v>
      </c>
      <c r="J236" s="41">
        <v>9959.0</v>
      </c>
      <c r="K236" s="41">
        <v>27.0</v>
      </c>
      <c r="L236" s="41">
        <v>15.0</v>
      </c>
      <c r="M236" s="41">
        <v>33.0</v>
      </c>
      <c r="N236" s="41">
        <v>88.0</v>
      </c>
      <c r="O236" s="122">
        <f t="shared" si="1"/>
        <v>0.3068181818</v>
      </c>
      <c r="P236" s="123">
        <f t="shared" si="5"/>
        <v>321.2580645</v>
      </c>
      <c r="Q236" s="123">
        <f t="shared" si="2"/>
        <v>0.8709677419</v>
      </c>
      <c r="R236" s="123">
        <f t="shared" si="6"/>
        <v>0.4838709677</v>
      </c>
      <c r="S236" s="123">
        <f t="shared" si="3"/>
        <v>1.064516129</v>
      </c>
      <c r="T236" s="123">
        <f t="shared" si="4"/>
        <v>2.838709677</v>
      </c>
      <c r="U236" s="41">
        <v>6.0</v>
      </c>
      <c r="V236" s="41">
        <v>1.0</v>
      </c>
      <c r="W236" s="41">
        <v>0.0</v>
      </c>
      <c r="X236" s="41">
        <v>3.0</v>
      </c>
      <c r="Y236" s="41">
        <v>10.0</v>
      </c>
      <c r="Z236" s="41">
        <v>32.0</v>
      </c>
    </row>
    <row r="237">
      <c r="A237" s="41" t="s">
        <v>901</v>
      </c>
      <c r="B237" s="41" t="s">
        <v>275</v>
      </c>
      <c r="C237" s="41" t="s">
        <v>1311</v>
      </c>
      <c r="D237" s="41" t="s">
        <v>990</v>
      </c>
      <c r="E237" s="41">
        <v>55.0</v>
      </c>
      <c r="F237" s="41">
        <v>33.0</v>
      </c>
      <c r="G237" s="41">
        <v>22.0</v>
      </c>
      <c r="H237" s="125">
        <v>0.6</v>
      </c>
      <c r="I237" s="41">
        <v>16.0</v>
      </c>
      <c r="J237" s="41">
        <v>21333.0</v>
      </c>
      <c r="K237" s="41">
        <v>60.0</v>
      </c>
      <c r="L237" s="41">
        <v>27.0</v>
      </c>
      <c r="M237" s="41">
        <v>71.0</v>
      </c>
      <c r="N237" s="41">
        <v>200.0</v>
      </c>
      <c r="O237" s="122">
        <f t="shared" si="1"/>
        <v>0.3</v>
      </c>
      <c r="P237" s="123">
        <f t="shared" si="5"/>
        <v>387.8727273</v>
      </c>
      <c r="Q237" s="123">
        <f t="shared" si="2"/>
        <v>1.090909091</v>
      </c>
      <c r="R237" s="123">
        <f t="shared" si="6"/>
        <v>0.4909090909</v>
      </c>
      <c r="S237" s="123">
        <f t="shared" si="3"/>
        <v>1.290909091</v>
      </c>
      <c r="T237" s="123">
        <f t="shared" si="4"/>
        <v>3.636363636</v>
      </c>
      <c r="U237" s="41">
        <v>13.0</v>
      </c>
      <c r="V237" s="41">
        <v>6.0</v>
      </c>
      <c r="W237" s="41">
        <v>0.0</v>
      </c>
      <c r="X237" s="41">
        <v>6.0</v>
      </c>
      <c r="Y237" s="41">
        <v>82.0</v>
      </c>
      <c r="Z237" s="41">
        <v>55.0</v>
      </c>
    </row>
    <row r="238">
      <c r="A238" s="41" t="s">
        <v>902</v>
      </c>
      <c r="B238" s="41" t="s">
        <v>799</v>
      </c>
      <c r="C238" s="41" t="s">
        <v>1312</v>
      </c>
      <c r="D238" s="41" t="s">
        <v>1273</v>
      </c>
      <c r="E238" s="41">
        <v>44.0</v>
      </c>
      <c r="F238" s="41">
        <v>22.0</v>
      </c>
      <c r="G238" s="41">
        <v>22.0</v>
      </c>
      <c r="H238" s="125">
        <v>0.5</v>
      </c>
      <c r="I238" s="41">
        <v>5.0</v>
      </c>
      <c r="J238" s="41">
        <v>15570.0</v>
      </c>
      <c r="K238" s="41">
        <v>36.0</v>
      </c>
      <c r="L238" s="41">
        <v>22.0</v>
      </c>
      <c r="M238" s="41">
        <v>59.0</v>
      </c>
      <c r="N238" s="41">
        <v>114.0</v>
      </c>
      <c r="O238" s="122">
        <f t="shared" si="1"/>
        <v>0.3157894737</v>
      </c>
      <c r="P238" s="123">
        <f t="shared" si="5"/>
        <v>353.8636364</v>
      </c>
      <c r="Q238" s="123">
        <f t="shared" si="2"/>
        <v>0.8181818182</v>
      </c>
      <c r="R238" s="123">
        <f t="shared" si="6"/>
        <v>0.5</v>
      </c>
      <c r="S238" s="123">
        <f t="shared" si="3"/>
        <v>1.340909091</v>
      </c>
      <c r="T238" s="123">
        <f t="shared" si="4"/>
        <v>2.590909091</v>
      </c>
      <c r="U238" s="41">
        <v>8.0</v>
      </c>
      <c r="V238" s="41">
        <v>1.0</v>
      </c>
      <c r="W238" s="41">
        <v>1.0</v>
      </c>
      <c r="X238" s="41">
        <v>8.0</v>
      </c>
      <c r="Y238" s="41">
        <v>30.0</v>
      </c>
      <c r="Z238" s="41">
        <v>46.0</v>
      </c>
    </row>
    <row r="239">
      <c r="A239" s="41" t="s">
        <v>906</v>
      </c>
      <c r="B239" s="41" t="s">
        <v>558</v>
      </c>
      <c r="C239" s="41" t="s">
        <v>1313</v>
      </c>
      <c r="D239" s="41" t="s">
        <v>1314</v>
      </c>
      <c r="E239" s="41">
        <v>21.0</v>
      </c>
      <c r="F239" s="41">
        <v>8.0</v>
      </c>
      <c r="G239" s="41">
        <v>13.0</v>
      </c>
      <c r="H239" s="125">
        <v>0.38095238095238093</v>
      </c>
      <c r="I239" s="41">
        <v>3.0</v>
      </c>
      <c r="J239" s="41">
        <v>6567.0</v>
      </c>
      <c r="K239" s="41">
        <v>15.0</v>
      </c>
      <c r="L239" s="41">
        <v>8.0</v>
      </c>
      <c r="M239" s="41">
        <v>24.0</v>
      </c>
      <c r="N239" s="41">
        <v>39.0</v>
      </c>
      <c r="O239" s="122">
        <f t="shared" si="1"/>
        <v>0.3846153846</v>
      </c>
      <c r="P239" s="123">
        <f t="shared" si="5"/>
        <v>312.7142857</v>
      </c>
      <c r="Q239" s="123">
        <f t="shared" si="2"/>
        <v>0.7142857143</v>
      </c>
      <c r="R239" s="123">
        <f t="shared" si="6"/>
        <v>0.380952381</v>
      </c>
      <c r="S239" s="123">
        <f t="shared" si="3"/>
        <v>1.142857143</v>
      </c>
      <c r="T239" s="123">
        <f t="shared" si="4"/>
        <v>1.857142857</v>
      </c>
      <c r="U239" s="41">
        <v>1.0</v>
      </c>
      <c r="V239" s="41">
        <v>2.0</v>
      </c>
      <c r="W239" s="41">
        <v>1.0</v>
      </c>
      <c r="X239" s="41">
        <v>4.0</v>
      </c>
      <c r="Y239" s="41">
        <v>14.0</v>
      </c>
      <c r="Z239" s="41">
        <v>22.0</v>
      </c>
    </row>
    <row r="240">
      <c r="A240" s="41" t="s">
        <v>904</v>
      </c>
      <c r="B240" s="41" t="s">
        <v>654</v>
      </c>
      <c r="C240" s="41" t="s">
        <v>1315</v>
      </c>
      <c r="D240" s="41" t="s">
        <v>1316</v>
      </c>
      <c r="E240" s="41">
        <v>39.0</v>
      </c>
      <c r="F240" s="41">
        <v>19.0</v>
      </c>
      <c r="G240" s="41">
        <v>20.0</v>
      </c>
      <c r="H240" s="125">
        <v>0.48717948717948717</v>
      </c>
      <c r="I240" s="41">
        <v>8.0</v>
      </c>
      <c r="J240" s="41">
        <v>14048.0</v>
      </c>
      <c r="K240" s="41">
        <v>28.0</v>
      </c>
      <c r="L240" s="41">
        <v>17.0</v>
      </c>
      <c r="M240" s="41">
        <v>64.0</v>
      </c>
      <c r="N240" s="41">
        <v>98.0</v>
      </c>
      <c r="O240" s="122">
        <f t="shared" si="1"/>
        <v>0.2857142857</v>
      </c>
      <c r="P240" s="123">
        <f t="shared" si="5"/>
        <v>360.2051282</v>
      </c>
      <c r="Q240" s="123">
        <f t="shared" si="2"/>
        <v>0.7179487179</v>
      </c>
      <c r="R240" s="123">
        <f t="shared" si="6"/>
        <v>0.4358974359</v>
      </c>
      <c r="S240" s="123">
        <f t="shared" si="3"/>
        <v>1.641025641</v>
      </c>
      <c r="T240" s="123">
        <f t="shared" si="4"/>
        <v>2.512820513</v>
      </c>
      <c r="U240" s="41">
        <v>6.0</v>
      </c>
      <c r="V240" s="41">
        <v>2.0</v>
      </c>
      <c r="W240" s="41">
        <v>1.0</v>
      </c>
      <c r="X240" s="41">
        <v>8.0</v>
      </c>
      <c r="Y240" s="41">
        <v>38.0</v>
      </c>
      <c r="Z240" s="41">
        <v>36.0</v>
      </c>
    </row>
    <row r="241">
      <c r="A241" s="41" t="s">
        <v>901</v>
      </c>
      <c r="B241" s="41" t="s">
        <v>327</v>
      </c>
      <c r="C241" s="41" t="s">
        <v>1317</v>
      </c>
      <c r="D241" s="41" t="s">
        <v>1318</v>
      </c>
      <c r="E241" s="41">
        <v>8.0</v>
      </c>
      <c r="F241" s="41">
        <v>4.0</v>
      </c>
      <c r="G241" s="41">
        <v>4.0</v>
      </c>
      <c r="H241" s="125">
        <v>0.5</v>
      </c>
      <c r="I241" s="41">
        <v>1.0</v>
      </c>
      <c r="J241" s="41">
        <v>3101.0</v>
      </c>
      <c r="K241" s="41">
        <v>8.0</v>
      </c>
      <c r="L241" s="41">
        <v>6.0</v>
      </c>
      <c r="M241" s="41">
        <v>9.0</v>
      </c>
      <c r="N241" s="41">
        <v>20.0</v>
      </c>
      <c r="O241" s="122">
        <f t="shared" si="1"/>
        <v>0.4</v>
      </c>
      <c r="P241" s="123">
        <f t="shared" si="5"/>
        <v>387.625</v>
      </c>
      <c r="Q241" s="123">
        <f t="shared" si="2"/>
        <v>1</v>
      </c>
      <c r="R241" s="123">
        <f t="shared" si="6"/>
        <v>0.75</v>
      </c>
      <c r="S241" s="123">
        <f t="shared" si="3"/>
        <v>1.125</v>
      </c>
      <c r="T241" s="123">
        <f t="shared" si="4"/>
        <v>2.5</v>
      </c>
      <c r="U241" s="41">
        <v>3.0</v>
      </c>
      <c r="V241" s="41">
        <v>1.0</v>
      </c>
      <c r="W241" s="41">
        <v>0.0</v>
      </c>
      <c r="X241" s="41">
        <v>1.0</v>
      </c>
      <c r="Y241" s="41">
        <v>7.0</v>
      </c>
      <c r="Z241" s="41">
        <v>7.0</v>
      </c>
    </row>
    <row r="242">
      <c r="A242" s="41" t="s">
        <v>901</v>
      </c>
      <c r="B242" s="41" t="s">
        <v>292</v>
      </c>
      <c r="C242" s="41" t="s">
        <v>1319</v>
      </c>
      <c r="D242" s="41" t="s">
        <v>1320</v>
      </c>
      <c r="E242" s="41">
        <v>54.0</v>
      </c>
      <c r="F242" s="41">
        <v>30.0</v>
      </c>
      <c r="G242" s="41">
        <v>24.0</v>
      </c>
      <c r="H242" s="125">
        <v>0.5555555555555556</v>
      </c>
      <c r="I242" s="41">
        <v>13.0</v>
      </c>
      <c r="J242" s="41">
        <v>20957.0</v>
      </c>
      <c r="K242" s="41">
        <v>55.0</v>
      </c>
      <c r="L242" s="41">
        <v>35.0</v>
      </c>
      <c r="M242" s="41">
        <v>80.0</v>
      </c>
      <c r="N242" s="41">
        <v>157.0</v>
      </c>
      <c r="O242" s="122">
        <f t="shared" si="1"/>
        <v>0.3503184713</v>
      </c>
      <c r="P242" s="123">
        <f t="shared" si="5"/>
        <v>388.0925926</v>
      </c>
      <c r="Q242" s="123">
        <f t="shared" si="2"/>
        <v>1.018518519</v>
      </c>
      <c r="R242" s="123">
        <f t="shared" si="6"/>
        <v>0.6481481481</v>
      </c>
      <c r="S242" s="123">
        <f t="shared" si="3"/>
        <v>1.481481481</v>
      </c>
      <c r="T242" s="123">
        <f t="shared" si="4"/>
        <v>2.907407407</v>
      </c>
      <c r="U242" s="41">
        <v>12.0</v>
      </c>
      <c r="V242" s="41">
        <v>4.0</v>
      </c>
      <c r="W242" s="41">
        <v>2.0</v>
      </c>
      <c r="X242" s="41">
        <v>12.0</v>
      </c>
      <c r="Y242" s="41">
        <v>74.0</v>
      </c>
      <c r="Z242" s="41">
        <v>60.0</v>
      </c>
    </row>
    <row r="243">
      <c r="A243" s="41" t="s">
        <v>901</v>
      </c>
      <c r="B243" s="41" t="s">
        <v>268</v>
      </c>
      <c r="C243" s="41" t="s">
        <v>1321</v>
      </c>
      <c r="D243" s="41" t="s">
        <v>915</v>
      </c>
      <c r="E243" s="41">
        <v>34.0</v>
      </c>
      <c r="F243" s="41">
        <v>25.0</v>
      </c>
      <c r="G243" s="41">
        <v>9.0</v>
      </c>
      <c r="H243" s="125">
        <v>0.7352941176470589</v>
      </c>
      <c r="I243" s="41">
        <v>10.0</v>
      </c>
      <c r="J243" s="41">
        <v>12698.0</v>
      </c>
      <c r="K243" s="41">
        <v>38.0</v>
      </c>
      <c r="L243" s="41">
        <v>29.0</v>
      </c>
      <c r="M243" s="41">
        <v>38.0</v>
      </c>
      <c r="N243" s="41">
        <v>96.0</v>
      </c>
      <c r="O243" s="122">
        <f t="shared" si="1"/>
        <v>0.3958333333</v>
      </c>
      <c r="P243" s="123">
        <f t="shared" si="5"/>
        <v>373.4705882</v>
      </c>
      <c r="Q243" s="123">
        <f t="shared" si="2"/>
        <v>1.117647059</v>
      </c>
      <c r="R243" s="123">
        <f t="shared" si="6"/>
        <v>0.8529411765</v>
      </c>
      <c r="S243" s="123">
        <f t="shared" si="3"/>
        <v>1.117647059</v>
      </c>
      <c r="T243" s="123">
        <f t="shared" si="4"/>
        <v>2.823529412</v>
      </c>
      <c r="U243" s="41">
        <v>12.0</v>
      </c>
      <c r="V243" s="41">
        <v>3.0</v>
      </c>
      <c r="W243" s="41">
        <v>3.0</v>
      </c>
      <c r="X243" s="41">
        <v>3.0</v>
      </c>
      <c r="Y243" s="41">
        <v>32.0</v>
      </c>
      <c r="Z243" s="41">
        <v>35.0</v>
      </c>
    </row>
    <row r="244">
      <c r="A244" s="41" t="s">
        <v>902</v>
      </c>
      <c r="B244" s="41" t="s">
        <v>864</v>
      </c>
      <c r="C244" s="41" t="s">
        <v>1322</v>
      </c>
      <c r="D244" s="41" t="s">
        <v>1323</v>
      </c>
      <c r="E244" s="41">
        <v>34.0</v>
      </c>
      <c r="F244" s="41">
        <v>11.0</v>
      </c>
      <c r="G244" s="41">
        <v>23.0</v>
      </c>
      <c r="H244" s="125">
        <v>0.3235294117647059</v>
      </c>
      <c r="I244" s="41">
        <v>3.0</v>
      </c>
      <c r="J244" s="41">
        <v>9866.0</v>
      </c>
      <c r="K244" s="41">
        <v>18.0</v>
      </c>
      <c r="L244" s="41">
        <v>14.0</v>
      </c>
      <c r="M244" s="41">
        <v>45.0</v>
      </c>
      <c r="N244" s="41">
        <v>67.0</v>
      </c>
      <c r="O244" s="122">
        <f t="shared" si="1"/>
        <v>0.2686567164</v>
      </c>
      <c r="P244" s="123">
        <f t="shared" si="5"/>
        <v>290.1764706</v>
      </c>
      <c r="Q244" s="123">
        <f t="shared" si="2"/>
        <v>0.5294117647</v>
      </c>
      <c r="R244" s="123">
        <f t="shared" si="6"/>
        <v>0.4117647059</v>
      </c>
      <c r="S244" s="123">
        <f t="shared" si="3"/>
        <v>1.323529412</v>
      </c>
      <c r="T244" s="123">
        <f t="shared" si="4"/>
        <v>1.970588235</v>
      </c>
      <c r="U244" s="41">
        <v>5.0</v>
      </c>
      <c r="V244" s="41">
        <v>0.0</v>
      </c>
      <c r="W244" s="41">
        <v>0.0</v>
      </c>
      <c r="X244" s="41">
        <v>4.0</v>
      </c>
      <c r="Y244" s="41">
        <v>32.0</v>
      </c>
      <c r="Z244" s="41">
        <v>37.0</v>
      </c>
    </row>
    <row r="245">
      <c r="A245" s="41" t="s">
        <v>902</v>
      </c>
      <c r="B245" s="41" t="s">
        <v>850</v>
      </c>
      <c r="C245" s="41" t="s">
        <v>1324</v>
      </c>
      <c r="D245" s="41" t="s">
        <v>1325</v>
      </c>
      <c r="E245" s="41">
        <v>9.0</v>
      </c>
      <c r="F245" s="41">
        <v>3.0</v>
      </c>
      <c r="G245" s="41">
        <v>6.0</v>
      </c>
      <c r="H245" s="125">
        <v>0.3333333333333333</v>
      </c>
      <c r="I245" s="41">
        <v>2.0</v>
      </c>
      <c r="J245" s="41">
        <v>2899.0</v>
      </c>
      <c r="K245" s="41">
        <v>6.0</v>
      </c>
      <c r="L245" s="41">
        <v>5.0</v>
      </c>
      <c r="M245" s="41">
        <v>14.0</v>
      </c>
      <c r="N245" s="41">
        <v>20.0</v>
      </c>
      <c r="O245" s="122">
        <f t="shared" si="1"/>
        <v>0.3</v>
      </c>
      <c r="P245" s="123">
        <f t="shared" si="5"/>
        <v>322.1111111</v>
      </c>
      <c r="Q245" s="123">
        <f t="shared" si="2"/>
        <v>0.6666666667</v>
      </c>
      <c r="R245" s="123">
        <f t="shared" si="6"/>
        <v>0.5555555556</v>
      </c>
      <c r="S245" s="123">
        <f t="shared" si="3"/>
        <v>1.555555556</v>
      </c>
      <c r="T245" s="123">
        <f t="shared" si="4"/>
        <v>2.222222222</v>
      </c>
      <c r="U245" s="41">
        <v>2.0</v>
      </c>
      <c r="V245" s="41">
        <v>1.0</v>
      </c>
      <c r="W245" s="41">
        <v>0.0</v>
      </c>
      <c r="X245" s="41">
        <v>3.0</v>
      </c>
      <c r="Y245" s="41">
        <v>11.0</v>
      </c>
      <c r="Z245" s="41">
        <v>12.0</v>
      </c>
    </row>
    <row r="246">
      <c r="A246" s="41" t="s">
        <v>905</v>
      </c>
      <c r="B246" s="41" t="s">
        <v>236</v>
      </c>
      <c r="C246" s="41" t="s">
        <v>1326</v>
      </c>
      <c r="D246" s="41" t="s">
        <v>1014</v>
      </c>
      <c r="E246" s="41">
        <v>25.0</v>
      </c>
      <c r="F246" s="41">
        <v>13.0</v>
      </c>
      <c r="G246" s="41">
        <v>12.0</v>
      </c>
      <c r="H246" s="125">
        <v>0.52</v>
      </c>
      <c r="I246" s="41">
        <v>0.0</v>
      </c>
      <c r="J246" s="41">
        <v>6805.0</v>
      </c>
      <c r="K246" s="41">
        <v>14.0</v>
      </c>
      <c r="L246" s="41">
        <v>7.0</v>
      </c>
      <c r="M246" s="41">
        <v>29.0</v>
      </c>
      <c r="N246" s="41">
        <v>45.0</v>
      </c>
      <c r="O246" s="122">
        <f t="shared" si="1"/>
        <v>0.3111111111</v>
      </c>
      <c r="P246" s="123">
        <f t="shared" si="5"/>
        <v>272.2</v>
      </c>
      <c r="Q246" s="123">
        <f t="shared" si="2"/>
        <v>0.56</v>
      </c>
      <c r="R246" s="123">
        <f t="shared" si="6"/>
        <v>0.28</v>
      </c>
      <c r="S246" s="123">
        <f t="shared" si="3"/>
        <v>1.16</v>
      </c>
      <c r="T246" s="123">
        <f t="shared" si="4"/>
        <v>1.8</v>
      </c>
      <c r="U246" s="41">
        <v>1.0</v>
      </c>
      <c r="V246" s="41">
        <v>0.0</v>
      </c>
      <c r="W246" s="41">
        <v>0.0</v>
      </c>
      <c r="X246" s="41">
        <v>4.0</v>
      </c>
      <c r="Y246" s="41">
        <v>29.0</v>
      </c>
      <c r="Z246" s="41">
        <v>21.0</v>
      </c>
    </row>
    <row r="247">
      <c r="A247" s="41" t="s">
        <v>899</v>
      </c>
      <c r="B247" s="41" t="s">
        <v>442</v>
      </c>
      <c r="C247" s="41" t="s">
        <v>1327</v>
      </c>
      <c r="D247" s="41" t="s">
        <v>1012</v>
      </c>
      <c r="E247" s="41">
        <v>48.0</v>
      </c>
      <c r="F247" s="41">
        <v>25.0</v>
      </c>
      <c r="G247" s="41">
        <v>23.0</v>
      </c>
      <c r="H247" s="125">
        <v>0.5208333333333334</v>
      </c>
      <c r="I247" s="41">
        <v>10.0</v>
      </c>
      <c r="J247" s="41">
        <v>15021.0</v>
      </c>
      <c r="K247" s="41">
        <v>35.0</v>
      </c>
      <c r="L247" s="41">
        <v>20.0</v>
      </c>
      <c r="M247" s="41">
        <v>56.0</v>
      </c>
      <c r="N247" s="41">
        <v>117.0</v>
      </c>
      <c r="O247" s="122">
        <f t="shared" si="1"/>
        <v>0.2991452991</v>
      </c>
      <c r="P247" s="123">
        <f t="shared" si="5"/>
        <v>312.9375</v>
      </c>
      <c r="Q247" s="123">
        <f t="shared" si="2"/>
        <v>0.7291666667</v>
      </c>
      <c r="R247" s="123">
        <f t="shared" si="6"/>
        <v>0.4166666667</v>
      </c>
      <c r="S247" s="123">
        <f t="shared" si="3"/>
        <v>1.166666667</v>
      </c>
      <c r="T247" s="123">
        <f t="shared" si="4"/>
        <v>2.4375</v>
      </c>
      <c r="U247" s="41">
        <v>6.0</v>
      </c>
      <c r="V247" s="41">
        <v>4.0</v>
      </c>
      <c r="W247" s="41">
        <v>0.0</v>
      </c>
      <c r="X247" s="41">
        <v>5.0</v>
      </c>
      <c r="Y247" s="41">
        <v>33.0</v>
      </c>
      <c r="Z247" s="41">
        <v>55.0</v>
      </c>
    </row>
    <row r="248">
      <c r="A248" s="41" t="s">
        <v>904</v>
      </c>
      <c r="B248" s="41" t="s">
        <v>624</v>
      </c>
      <c r="C248" s="41" t="s">
        <v>1328</v>
      </c>
      <c r="D248" s="41" t="s">
        <v>1329</v>
      </c>
      <c r="E248" s="41">
        <v>27.0</v>
      </c>
      <c r="F248" s="41">
        <v>21.0</v>
      </c>
      <c r="G248" s="41">
        <v>6.0</v>
      </c>
      <c r="H248" s="125">
        <v>0.7777777777777778</v>
      </c>
      <c r="I248" s="41">
        <v>2.0</v>
      </c>
      <c r="J248" s="41">
        <v>8843.0</v>
      </c>
      <c r="K248" s="41">
        <v>28.0</v>
      </c>
      <c r="L248" s="41">
        <v>12.0</v>
      </c>
      <c r="M248" s="41">
        <v>24.0</v>
      </c>
      <c r="N248" s="41">
        <v>79.0</v>
      </c>
      <c r="O248" s="122">
        <f t="shared" si="1"/>
        <v>0.3544303797</v>
      </c>
      <c r="P248" s="123">
        <f t="shared" si="5"/>
        <v>327.5185185</v>
      </c>
      <c r="Q248" s="123">
        <f t="shared" si="2"/>
        <v>1.037037037</v>
      </c>
      <c r="R248" s="123">
        <f t="shared" si="6"/>
        <v>0.4444444444</v>
      </c>
      <c r="S248" s="123">
        <f t="shared" si="3"/>
        <v>0.8888888889</v>
      </c>
      <c r="T248" s="123">
        <f t="shared" si="4"/>
        <v>2.925925926</v>
      </c>
      <c r="U248" s="41">
        <v>2.0</v>
      </c>
      <c r="V248" s="41">
        <v>2.0</v>
      </c>
      <c r="W248" s="41">
        <v>0.0</v>
      </c>
      <c r="X248" s="41">
        <v>0.0</v>
      </c>
      <c r="Y248" s="41">
        <v>17.0</v>
      </c>
      <c r="Z248" s="41">
        <v>34.0</v>
      </c>
    </row>
    <row r="249">
      <c r="A249" s="41" t="s">
        <v>905</v>
      </c>
      <c r="B249" s="41" t="s">
        <v>237</v>
      </c>
      <c r="C249" s="41" t="s">
        <v>1330</v>
      </c>
      <c r="D249" s="41" t="s">
        <v>1331</v>
      </c>
      <c r="E249" s="41">
        <v>30.0</v>
      </c>
      <c r="F249" s="41">
        <v>9.0</v>
      </c>
      <c r="G249" s="41">
        <v>21.0</v>
      </c>
      <c r="H249" s="125">
        <v>0.3</v>
      </c>
      <c r="I249" s="41">
        <v>3.0</v>
      </c>
      <c r="J249" s="41">
        <v>9308.0</v>
      </c>
      <c r="K249" s="41">
        <v>12.0</v>
      </c>
      <c r="L249" s="41">
        <v>14.0</v>
      </c>
      <c r="M249" s="41">
        <v>54.0</v>
      </c>
      <c r="N249" s="41">
        <v>45.0</v>
      </c>
      <c r="O249" s="122">
        <f t="shared" si="1"/>
        <v>0.2666666667</v>
      </c>
      <c r="P249" s="123">
        <f t="shared" si="5"/>
        <v>310.2666667</v>
      </c>
      <c r="Q249" s="123">
        <f t="shared" si="2"/>
        <v>0.4</v>
      </c>
      <c r="R249" s="123">
        <f t="shared" si="6"/>
        <v>0.4666666667</v>
      </c>
      <c r="S249" s="123">
        <f t="shared" si="3"/>
        <v>1.8</v>
      </c>
      <c r="T249" s="123">
        <f t="shared" si="4"/>
        <v>1.5</v>
      </c>
      <c r="U249" s="41">
        <v>5.0</v>
      </c>
      <c r="V249" s="41">
        <v>1.0</v>
      </c>
      <c r="W249" s="41">
        <v>0.0</v>
      </c>
      <c r="X249" s="41">
        <v>9.0</v>
      </c>
      <c r="Y249" s="41">
        <v>33.0</v>
      </c>
      <c r="Z249" s="41">
        <v>26.0</v>
      </c>
    </row>
    <row r="250">
      <c r="A250" s="41" t="s">
        <v>905</v>
      </c>
      <c r="B250" s="41" t="s">
        <v>214</v>
      </c>
      <c r="C250" s="41" t="s">
        <v>1332</v>
      </c>
      <c r="D250" s="41" t="s">
        <v>1333</v>
      </c>
      <c r="E250" s="41">
        <v>50.0</v>
      </c>
      <c r="F250" s="41">
        <v>16.0</v>
      </c>
      <c r="G250" s="41">
        <v>34.0</v>
      </c>
      <c r="H250" s="125">
        <v>0.32</v>
      </c>
      <c r="I250" s="41">
        <v>7.0</v>
      </c>
      <c r="J250" s="41">
        <v>16783.0</v>
      </c>
      <c r="K250" s="41">
        <v>37.0</v>
      </c>
      <c r="L250" s="41">
        <v>16.0</v>
      </c>
      <c r="M250" s="41">
        <v>80.0</v>
      </c>
      <c r="N250" s="41">
        <v>96.0</v>
      </c>
      <c r="O250" s="122">
        <f t="shared" si="1"/>
        <v>0.3854166667</v>
      </c>
      <c r="P250" s="123">
        <f t="shared" si="5"/>
        <v>335.66</v>
      </c>
      <c r="Q250" s="123">
        <f t="shared" si="2"/>
        <v>0.74</v>
      </c>
      <c r="R250" s="123">
        <f t="shared" si="6"/>
        <v>0.32</v>
      </c>
      <c r="S250" s="123">
        <f t="shared" si="3"/>
        <v>1.6</v>
      </c>
      <c r="T250" s="123">
        <f t="shared" si="4"/>
        <v>1.92</v>
      </c>
      <c r="U250" s="41">
        <v>6.0</v>
      </c>
      <c r="V250" s="41">
        <v>1.0</v>
      </c>
      <c r="W250" s="41">
        <v>0.0</v>
      </c>
      <c r="X250" s="41">
        <v>9.0</v>
      </c>
      <c r="Y250" s="41">
        <v>65.0</v>
      </c>
      <c r="Z250" s="41">
        <v>54.0</v>
      </c>
    </row>
    <row r="251">
      <c r="A251" s="41" t="s">
        <v>905</v>
      </c>
      <c r="B251" s="41" t="s">
        <v>233</v>
      </c>
      <c r="C251" s="41" t="s">
        <v>1334</v>
      </c>
      <c r="D251" s="41" t="s">
        <v>1335</v>
      </c>
      <c r="E251" s="41">
        <v>32.0</v>
      </c>
      <c r="F251" s="41">
        <v>9.0</v>
      </c>
      <c r="G251" s="41">
        <v>23.0</v>
      </c>
      <c r="H251" s="125">
        <v>0.28125</v>
      </c>
      <c r="I251" s="41">
        <v>2.0</v>
      </c>
      <c r="J251" s="41">
        <v>8886.0</v>
      </c>
      <c r="K251" s="41">
        <v>24.0</v>
      </c>
      <c r="L251" s="41">
        <v>12.0</v>
      </c>
      <c r="M251" s="41">
        <v>24.0</v>
      </c>
      <c r="N251" s="41">
        <v>75.0</v>
      </c>
      <c r="O251" s="122">
        <f t="shared" si="1"/>
        <v>0.32</v>
      </c>
      <c r="P251" s="123">
        <f t="shared" si="5"/>
        <v>277.6875</v>
      </c>
      <c r="Q251" s="123">
        <f t="shared" si="2"/>
        <v>0.75</v>
      </c>
      <c r="R251" s="123">
        <f t="shared" si="6"/>
        <v>0.375</v>
      </c>
      <c r="S251" s="123">
        <f t="shared" si="3"/>
        <v>0.75</v>
      </c>
      <c r="T251" s="123">
        <f t="shared" si="4"/>
        <v>2.34375</v>
      </c>
      <c r="U251" s="41">
        <v>2.0</v>
      </c>
      <c r="V251" s="41">
        <v>2.0</v>
      </c>
      <c r="W251" s="41">
        <v>0.0</v>
      </c>
      <c r="X251" s="41">
        <v>3.0</v>
      </c>
      <c r="Y251" s="41">
        <v>18.0</v>
      </c>
      <c r="Z251" s="41">
        <v>28.0</v>
      </c>
    </row>
    <row r="252">
      <c r="A252" s="41" t="s">
        <v>904</v>
      </c>
      <c r="B252" s="41" t="s">
        <v>590</v>
      </c>
      <c r="C252" s="41" t="s">
        <v>1336</v>
      </c>
      <c r="D252" s="41" t="s">
        <v>1305</v>
      </c>
      <c r="E252" s="41">
        <v>8.0</v>
      </c>
      <c r="F252" s="41">
        <v>5.0</v>
      </c>
      <c r="G252" s="41">
        <v>3.0</v>
      </c>
      <c r="H252" s="125">
        <v>0.625</v>
      </c>
      <c r="I252" s="41">
        <v>2.0</v>
      </c>
      <c r="J252" s="41">
        <v>3239.0</v>
      </c>
      <c r="K252" s="41">
        <v>5.0</v>
      </c>
      <c r="L252" s="41">
        <v>11.0</v>
      </c>
      <c r="M252" s="41">
        <v>12.0</v>
      </c>
      <c r="N252" s="41">
        <v>26.0</v>
      </c>
      <c r="O252" s="122">
        <f t="shared" si="1"/>
        <v>0.1923076923</v>
      </c>
      <c r="P252" s="123">
        <f t="shared" si="5"/>
        <v>404.875</v>
      </c>
      <c r="Q252" s="123">
        <f t="shared" si="2"/>
        <v>0.625</v>
      </c>
      <c r="R252" s="123">
        <f t="shared" si="6"/>
        <v>1.375</v>
      </c>
      <c r="S252" s="123">
        <f t="shared" si="3"/>
        <v>1.5</v>
      </c>
      <c r="T252" s="123">
        <f t="shared" si="4"/>
        <v>3.25</v>
      </c>
      <c r="U252" s="41">
        <v>2.0</v>
      </c>
      <c r="V252" s="41">
        <v>0.0</v>
      </c>
      <c r="W252" s="41">
        <v>1.0</v>
      </c>
      <c r="X252" s="41">
        <v>1.0</v>
      </c>
      <c r="Y252" s="41">
        <v>8.0</v>
      </c>
      <c r="Z252" s="41">
        <v>7.0</v>
      </c>
    </row>
    <row r="253">
      <c r="A253" s="41" t="s">
        <v>904</v>
      </c>
      <c r="B253" s="41" t="s">
        <v>717</v>
      </c>
      <c r="C253" s="41" t="s">
        <v>1337</v>
      </c>
      <c r="D253" s="41" t="s">
        <v>1338</v>
      </c>
      <c r="E253" s="41">
        <v>37.0</v>
      </c>
      <c r="F253" s="41">
        <v>18.0</v>
      </c>
      <c r="G253" s="41">
        <v>19.0</v>
      </c>
      <c r="H253" s="125">
        <v>0.4864864864864865</v>
      </c>
      <c r="I253" s="41">
        <v>3.0</v>
      </c>
      <c r="J253" s="41">
        <v>9980.0</v>
      </c>
      <c r="K253" s="41">
        <v>21.0</v>
      </c>
      <c r="L253" s="41">
        <v>15.0</v>
      </c>
      <c r="M253" s="41">
        <v>38.0</v>
      </c>
      <c r="N253" s="41">
        <v>60.0</v>
      </c>
      <c r="O253" s="122">
        <f t="shared" si="1"/>
        <v>0.35</v>
      </c>
      <c r="P253" s="123">
        <f t="shared" si="5"/>
        <v>269.7297297</v>
      </c>
      <c r="Q253" s="123">
        <f t="shared" si="2"/>
        <v>0.5675675676</v>
      </c>
      <c r="R253" s="123">
        <f t="shared" si="6"/>
        <v>0.4054054054</v>
      </c>
      <c r="S253" s="123">
        <f t="shared" si="3"/>
        <v>1.027027027</v>
      </c>
      <c r="T253" s="123">
        <f t="shared" si="4"/>
        <v>1.621621622</v>
      </c>
      <c r="U253" s="41">
        <v>2.0</v>
      </c>
      <c r="V253" s="41">
        <v>1.0</v>
      </c>
      <c r="W253" s="41">
        <v>0.0</v>
      </c>
      <c r="X253" s="41">
        <v>2.0</v>
      </c>
      <c r="Y253" s="41">
        <v>44.0</v>
      </c>
      <c r="Z253" s="41">
        <v>31.0</v>
      </c>
    </row>
    <row r="254">
      <c r="A254" s="41" t="s">
        <v>902</v>
      </c>
      <c r="B254" s="41" t="s">
        <v>782</v>
      </c>
      <c r="C254" s="41" t="s">
        <v>1339</v>
      </c>
      <c r="D254" s="41" t="s">
        <v>1158</v>
      </c>
      <c r="E254" s="41">
        <v>56.0</v>
      </c>
      <c r="F254" s="41">
        <v>33.0</v>
      </c>
      <c r="G254" s="41">
        <v>23.0</v>
      </c>
      <c r="H254" s="125">
        <v>0.5892857142857143</v>
      </c>
      <c r="I254" s="41">
        <v>12.0</v>
      </c>
      <c r="J254" s="41">
        <v>20774.0</v>
      </c>
      <c r="K254" s="41">
        <v>41.0</v>
      </c>
      <c r="L254" s="41">
        <v>40.0</v>
      </c>
      <c r="M254" s="41">
        <v>90.0</v>
      </c>
      <c r="N254" s="41">
        <v>132.0</v>
      </c>
      <c r="O254" s="122">
        <f t="shared" si="1"/>
        <v>0.3106060606</v>
      </c>
      <c r="P254" s="123">
        <f t="shared" si="5"/>
        <v>370.9642857</v>
      </c>
      <c r="Q254" s="123">
        <f t="shared" si="2"/>
        <v>0.7321428571</v>
      </c>
      <c r="R254" s="123">
        <f t="shared" si="6"/>
        <v>0.7142857143</v>
      </c>
      <c r="S254" s="123">
        <f t="shared" si="3"/>
        <v>1.607142857</v>
      </c>
      <c r="T254" s="123">
        <f t="shared" si="4"/>
        <v>2.357142857</v>
      </c>
      <c r="U254" s="41">
        <v>10.0</v>
      </c>
      <c r="V254" s="41">
        <v>3.0</v>
      </c>
      <c r="W254" s="41">
        <v>3.0</v>
      </c>
      <c r="X254" s="41">
        <v>11.0</v>
      </c>
      <c r="Y254" s="41">
        <v>101.0</v>
      </c>
      <c r="Z254" s="41">
        <v>56.0</v>
      </c>
    </row>
    <row r="255">
      <c r="A255" s="41" t="s">
        <v>897</v>
      </c>
      <c r="B255" s="41" t="s">
        <v>493</v>
      </c>
      <c r="C255" s="41" t="s">
        <v>1340</v>
      </c>
      <c r="D255" s="41" t="s">
        <v>1341</v>
      </c>
      <c r="E255" s="41">
        <v>25.0</v>
      </c>
      <c r="F255" s="41">
        <v>14.0</v>
      </c>
      <c r="G255" s="41">
        <v>11.0</v>
      </c>
      <c r="H255" s="125">
        <v>0.56</v>
      </c>
      <c r="I255" s="41">
        <v>7.0</v>
      </c>
      <c r="J255" s="41">
        <v>9981.0</v>
      </c>
      <c r="K255" s="41">
        <v>21.0</v>
      </c>
      <c r="L255" s="41">
        <v>18.0</v>
      </c>
      <c r="M255" s="41">
        <v>39.0</v>
      </c>
      <c r="N255" s="41">
        <v>63.0</v>
      </c>
      <c r="O255" s="122">
        <f t="shared" si="1"/>
        <v>0.3333333333</v>
      </c>
      <c r="P255" s="123">
        <f t="shared" si="5"/>
        <v>399.24</v>
      </c>
      <c r="Q255" s="123">
        <f t="shared" si="2"/>
        <v>0.84</v>
      </c>
      <c r="R255" s="123">
        <f t="shared" si="6"/>
        <v>0.72</v>
      </c>
      <c r="S255" s="123">
        <f t="shared" si="3"/>
        <v>1.56</v>
      </c>
      <c r="T255" s="123">
        <f t="shared" si="4"/>
        <v>2.52</v>
      </c>
      <c r="U255" s="41">
        <v>5.0</v>
      </c>
      <c r="V255" s="41">
        <v>1.0</v>
      </c>
      <c r="W255" s="41">
        <v>1.0</v>
      </c>
      <c r="X255" s="41">
        <v>6.0</v>
      </c>
      <c r="Y255" s="41">
        <v>20.0</v>
      </c>
      <c r="Z255" s="41">
        <v>25.0</v>
      </c>
    </row>
    <row r="256">
      <c r="A256" s="41" t="s">
        <v>897</v>
      </c>
      <c r="B256" s="41" t="s">
        <v>514</v>
      </c>
      <c r="C256" s="41" t="s">
        <v>1342</v>
      </c>
      <c r="D256" s="41" t="s">
        <v>1084</v>
      </c>
      <c r="E256" s="41">
        <v>12.0</v>
      </c>
      <c r="F256" s="41">
        <v>6.0</v>
      </c>
      <c r="G256" s="41">
        <v>6.0</v>
      </c>
      <c r="H256" s="125">
        <v>0.5</v>
      </c>
      <c r="I256" s="41">
        <v>0.0</v>
      </c>
      <c r="J256" s="41">
        <v>3261.0</v>
      </c>
      <c r="K256" s="41">
        <v>7.0</v>
      </c>
      <c r="L256" s="41">
        <v>5.0</v>
      </c>
      <c r="M256" s="41">
        <v>9.0</v>
      </c>
      <c r="N256" s="41">
        <v>31.0</v>
      </c>
      <c r="O256" s="122">
        <f t="shared" si="1"/>
        <v>0.2258064516</v>
      </c>
      <c r="P256" s="123">
        <f t="shared" si="5"/>
        <v>271.75</v>
      </c>
      <c r="Q256" s="123">
        <f t="shared" si="2"/>
        <v>0.5833333333</v>
      </c>
      <c r="R256" s="123">
        <f t="shared" si="6"/>
        <v>0.4166666667</v>
      </c>
      <c r="S256" s="123">
        <f t="shared" si="3"/>
        <v>0.75</v>
      </c>
      <c r="T256" s="123">
        <f t="shared" si="4"/>
        <v>2.583333333</v>
      </c>
      <c r="U256" s="41">
        <v>1.0</v>
      </c>
      <c r="V256" s="41">
        <v>0.0</v>
      </c>
      <c r="W256" s="41">
        <v>0.0</v>
      </c>
      <c r="X256" s="41">
        <v>0.0</v>
      </c>
      <c r="Y256" s="41">
        <v>17.0</v>
      </c>
      <c r="Z256" s="41">
        <v>18.0</v>
      </c>
    </row>
    <row r="257">
      <c r="A257" s="41" t="s">
        <v>902</v>
      </c>
      <c r="B257" s="41" t="s">
        <v>731</v>
      </c>
      <c r="C257" s="41" t="s">
        <v>1343</v>
      </c>
      <c r="D257" s="41" t="s">
        <v>1344</v>
      </c>
      <c r="E257" s="41">
        <v>46.0</v>
      </c>
      <c r="F257" s="41">
        <v>25.0</v>
      </c>
      <c r="G257" s="41">
        <v>21.0</v>
      </c>
      <c r="H257" s="125">
        <v>0.5434782608695652</v>
      </c>
      <c r="I257" s="41">
        <v>14.0</v>
      </c>
      <c r="J257" s="41">
        <v>19244.0</v>
      </c>
      <c r="K257" s="41">
        <v>57.0</v>
      </c>
      <c r="L257" s="41">
        <v>37.0</v>
      </c>
      <c r="M257" s="41">
        <v>61.0</v>
      </c>
      <c r="N257" s="41">
        <v>154.0</v>
      </c>
      <c r="O257" s="122">
        <f t="shared" si="1"/>
        <v>0.3701298701</v>
      </c>
      <c r="P257" s="123">
        <f t="shared" si="5"/>
        <v>418.3478261</v>
      </c>
      <c r="Q257" s="123">
        <f t="shared" si="2"/>
        <v>1.239130435</v>
      </c>
      <c r="R257" s="123">
        <f t="shared" si="6"/>
        <v>0.8043478261</v>
      </c>
      <c r="S257" s="123">
        <f t="shared" si="3"/>
        <v>1.326086957</v>
      </c>
      <c r="T257" s="123">
        <f t="shared" si="4"/>
        <v>3.347826087</v>
      </c>
      <c r="U257" s="41">
        <v>14.0</v>
      </c>
      <c r="V257" s="41">
        <v>6.0</v>
      </c>
      <c r="W257" s="41">
        <v>3.0</v>
      </c>
      <c r="X257" s="41">
        <v>7.0</v>
      </c>
      <c r="Y257" s="41">
        <v>44.0</v>
      </c>
      <c r="Z257" s="41">
        <v>49.0</v>
      </c>
    </row>
    <row r="258">
      <c r="A258" s="41" t="s">
        <v>905</v>
      </c>
      <c r="B258" s="41" t="s">
        <v>190</v>
      </c>
      <c r="C258" s="41" t="s">
        <v>1345</v>
      </c>
      <c r="D258" s="41" t="s">
        <v>1023</v>
      </c>
      <c r="E258" s="41">
        <v>17.0</v>
      </c>
      <c r="F258" s="41">
        <v>7.0</v>
      </c>
      <c r="G258" s="41">
        <v>10.0</v>
      </c>
      <c r="H258" s="125">
        <v>0.4117647058823529</v>
      </c>
      <c r="I258" s="41">
        <v>2.0</v>
      </c>
      <c r="J258" s="41">
        <v>4538.0</v>
      </c>
      <c r="K258" s="41">
        <v>7.0</v>
      </c>
      <c r="L258" s="41">
        <v>11.0</v>
      </c>
      <c r="M258" s="41">
        <v>15.0</v>
      </c>
      <c r="N258" s="41">
        <v>37.0</v>
      </c>
      <c r="O258" s="122">
        <f t="shared" si="1"/>
        <v>0.1891891892</v>
      </c>
      <c r="P258" s="123">
        <f t="shared" si="5"/>
        <v>266.9411765</v>
      </c>
      <c r="Q258" s="123">
        <f t="shared" si="2"/>
        <v>0.4117647059</v>
      </c>
      <c r="R258" s="123">
        <f t="shared" si="6"/>
        <v>0.6470588235</v>
      </c>
      <c r="S258" s="123">
        <f t="shared" si="3"/>
        <v>0.8823529412</v>
      </c>
      <c r="T258" s="123">
        <f t="shared" si="4"/>
        <v>2.176470588</v>
      </c>
      <c r="U258" s="41">
        <v>1.0</v>
      </c>
      <c r="V258" s="41">
        <v>0.0</v>
      </c>
      <c r="W258" s="41">
        <v>0.0</v>
      </c>
      <c r="X258" s="41">
        <v>2.0</v>
      </c>
      <c r="Y258" s="41">
        <v>11.0</v>
      </c>
      <c r="Z258" s="41">
        <v>14.0</v>
      </c>
    </row>
    <row r="259">
      <c r="A259" s="41" t="s">
        <v>899</v>
      </c>
      <c r="B259" s="41" t="s">
        <v>470</v>
      </c>
      <c r="C259" s="41" t="s">
        <v>1346</v>
      </c>
      <c r="D259" s="41" t="s">
        <v>1201</v>
      </c>
      <c r="E259" s="41">
        <v>26.0</v>
      </c>
      <c r="F259" s="41">
        <v>10.0</v>
      </c>
      <c r="G259" s="41">
        <v>16.0</v>
      </c>
      <c r="H259" s="125">
        <v>0.38461538461538464</v>
      </c>
      <c r="I259" s="41">
        <v>1.0</v>
      </c>
      <c r="J259" s="41">
        <v>7998.0</v>
      </c>
      <c r="K259" s="41">
        <v>14.0</v>
      </c>
      <c r="L259" s="41">
        <v>14.0</v>
      </c>
      <c r="M259" s="41">
        <v>36.0</v>
      </c>
      <c r="N259" s="41">
        <v>56.0</v>
      </c>
      <c r="O259" s="122">
        <f t="shared" si="1"/>
        <v>0.25</v>
      </c>
      <c r="P259" s="123">
        <f t="shared" si="5"/>
        <v>307.6153846</v>
      </c>
      <c r="Q259" s="123">
        <f t="shared" si="2"/>
        <v>0.5384615385</v>
      </c>
      <c r="R259" s="123">
        <f t="shared" si="6"/>
        <v>0.5384615385</v>
      </c>
      <c r="S259" s="123">
        <f t="shared" si="3"/>
        <v>1.384615385</v>
      </c>
      <c r="T259" s="123">
        <f t="shared" si="4"/>
        <v>2.153846154</v>
      </c>
      <c r="U259" s="41">
        <v>5.0</v>
      </c>
      <c r="V259" s="41">
        <v>0.0</v>
      </c>
      <c r="W259" s="41">
        <v>1.0</v>
      </c>
      <c r="X259" s="41">
        <v>5.0</v>
      </c>
      <c r="Y259" s="41">
        <v>14.0</v>
      </c>
      <c r="Z259" s="41">
        <v>21.0</v>
      </c>
    </row>
    <row r="260">
      <c r="A260" s="41" t="s">
        <v>899</v>
      </c>
      <c r="B260" s="41" t="s">
        <v>460</v>
      </c>
      <c r="C260" s="41" t="s">
        <v>1347</v>
      </c>
      <c r="D260" s="41" t="s">
        <v>936</v>
      </c>
      <c r="E260" s="41">
        <v>30.0</v>
      </c>
      <c r="F260" s="41">
        <v>9.0</v>
      </c>
      <c r="G260" s="41">
        <v>21.0</v>
      </c>
      <c r="H260" s="125">
        <v>0.3</v>
      </c>
      <c r="I260" s="41">
        <v>3.0</v>
      </c>
      <c r="J260" s="41">
        <v>11029.0</v>
      </c>
      <c r="K260" s="41">
        <v>17.0</v>
      </c>
      <c r="L260" s="41">
        <v>18.0</v>
      </c>
      <c r="M260" s="41">
        <v>54.0</v>
      </c>
      <c r="N260" s="41">
        <v>80.0</v>
      </c>
      <c r="O260" s="122">
        <f t="shared" si="1"/>
        <v>0.2125</v>
      </c>
      <c r="P260" s="123">
        <f t="shared" si="5"/>
        <v>367.6333333</v>
      </c>
      <c r="Q260" s="123">
        <f t="shared" si="2"/>
        <v>0.5666666667</v>
      </c>
      <c r="R260" s="123">
        <f t="shared" si="6"/>
        <v>0.6</v>
      </c>
      <c r="S260" s="123">
        <f t="shared" si="3"/>
        <v>1.8</v>
      </c>
      <c r="T260" s="123">
        <f t="shared" si="4"/>
        <v>2.666666667</v>
      </c>
      <c r="U260" s="41">
        <v>2.0</v>
      </c>
      <c r="V260" s="41">
        <v>1.0</v>
      </c>
      <c r="W260" s="41">
        <v>0.0</v>
      </c>
      <c r="X260" s="41">
        <v>8.0</v>
      </c>
      <c r="Y260" s="41">
        <v>63.0</v>
      </c>
      <c r="Z260" s="41">
        <v>35.0</v>
      </c>
    </row>
    <row r="261">
      <c r="A261" s="41" t="s">
        <v>901</v>
      </c>
      <c r="B261" s="41" t="s">
        <v>273</v>
      </c>
      <c r="C261" s="41" t="s">
        <v>1348</v>
      </c>
      <c r="D261" s="41" t="s">
        <v>1349</v>
      </c>
      <c r="E261" s="41">
        <v>49.0</v>
      </c>
      <c r="F261" s="41">
        <v>34.0</v>
      </c>
      <c r="G261" s="41">
        <v>15.0</v>
      </c>
      <c r="H261" s="125">
        <v>0.6938775510204082</v>
      </c>
      <c r="I261" s="41">
        <v>11.0</v>
      </c>
      <c r="J261" s="41">
        <v>20373.0</v>
      </c>
      <c r="K261" s="41">
        <v>46.0</v>
      </c>
      <c r="L261" s="41">
        <v>39.0</v>
      </c>
      <c r="M261" s="41">
        <v>78.0</v>
      </c>
      <c r="N261" s="41">
        <v>144.0</v>
      </c>
      <c r="O261" s="122">
        <f t="shared" si="1"/>
        <v>0.3194444444</v>
      </c>
      <c r="P261" s="123">
        <f t="shared" si="5"/>
        <v>415.7755102</v>
      </c>
      <c r="Q261" s="123">
        <f t="shared" si="2"/>
        <v>0.9387755102</v>
      </c>
      <c r="R261" s="123">
        <f t="shared" si="6"/>
        <v>0.7959183673</v>
      </c>
      <c r="S261" s="123">
        <f t="shared" si="3"/>
        <v>1.591836735</v>
      </c>
      <c r="T261" s="123">
        <f t="shared" si="4"/>
        <v>2.93877551</v>
      </c>
      <c r="U261" s="41">
        <v>13.0</v>
      </c>
      <c r="V261" s="41">
        <v>4.0</v>
      </c>
      <c r="W261" s="41">
        <v>2.0</v>
      </c>
      <c r="X261" s="41">
        <v>10.0</v>
      </c>
      <c r="Y261" s="41">
        <v>75.0</v>
      </c>
      <c r="Z261" s="41">
        <v>53.0</v>
      </c>
    </row>
    <row r="262">
      <c r="A262" s="41" t="s">
        <v>902</v>
      </c>
      <c r="B262" s="41" t="s">
        <v>872</v>
      </c>
      <c r="C262" s="41" t="s">
        <v>1350</v>
      </c>
      <c r="D262" s="41" t="s">
        <v>1351</v>
      </c>
      <c r="E262" s="41">
        <v>30.0</v>
      </c>
      <c r="F262" s="41">
        <v>10.0</v>
      </c>
      <c r="G262" s="41">
        <v>20.0</v>
      </c>
      <c r="H262" s="125">
        <v>0.3333333333333333</v>
      </c>
      <c r="I262" s="41">
        <v>1.0</v>
      </c>
      <c r="J262" s="41">
        <v>7416.0</v>
      </c>
      <c r="K262" s="41">
        <v>11.0</v>
      </c>
      <c r="L262" s="41">
        <v>6.0</v>
      </c>
      <c r="M262" s="41">
        <v>36.0</v>
      </c>
      <c r="N262" s="41">
        <v>56.0</v>
      </c>
      <c r="O262" s="122">
        <f t="shared" si="1"/>
        <v>0.1964285714</v>
      </c>
      <c r="P262" s="123">
        <f t="shared" si="5"/>
        <v>247.2</v>
      </c>
      <c r="Q262" s="123">
        <f t="shared" si="2"/>
        <v>0.3666666667</v>
      </c>
      <c r="R262" s="123">
        <f t="shared" si="6"/>
        <v>0.2</v>
      </c>
      <c r="S262" s="123">
        <f t="shared" si="3"/>
        <v>1.2</v>
      </c>
      <c r="T262" s="123">
        <f t="shared" si="4"/>
        <v>1.866666667</v>
      </c>
      <c r="U262" s="41">
        <v>1.0</v>
      </c>
      <c r="V262" s="41">
        <v>1.0</v>
      </c>
      <c r="W262" s="41">
        <v>0.0</v>
      </c>
      <c r="X262" s="41">
        <v>4.0</v>
      </c>
      <c r="Y262" s="41">
        <v>27.0</v>
      </c>
      <c r="Z262" s="41">
        <v>40.0</v>
      </c>
    </row>
    <row r="263">
      <c r="A263" s="41" t="s">
        <v>906</v>
      </c>
      <c r="B263" s="41" t="s">
        <v>545</v>
      </c>
      <c r="C263" s="41" t="s">
        <v>1352</v>
      </c>
      <c r="D263" s="41" t="s">
        <v>1005</v>
      </c>
      <c r="E263" s="41">
        <v>55.0</v>
      </c>
      <c r="F263" s="41">
        <v>18.0</v>
      </c>
      <c r="G263" s="41">
        <v>37.0</v>
      </c>
      <c r="H263" s="125">
        <v>0.32727272727272727</v>
      </c>
      <c r="I263" s="41">
        <v>8.0</v>
      </c>
      <c r="J263" s="41">
        <v>18831.0</v>
      </c>
      <c r="K263" s="41">
        <v>43.0</v>
      </c>
      <c r="L263" s="41">
        <v>19.0</v>
      </c>
      <c r="M263" s="41">
        <v>65.0</v>
      </c>
      <c r="N263" s="41">
        <v>157.0</v>
      </c>
      <c r="O263" s="122">
        <f t="shared" si="1"/>
        <v>0.2738853503</v>
      </c>
      <c r="P263" s="123">
        <f t="shared" si="5"/>
        <v>342.3818182</v>
      </c>
      <c r="Q263" s="123">
        <f t="shared" si="2"/>
        <v>0.7818181818</v>
      </c>
      <c r="R263" s="123">
        <f t="shared" si="6"/>
        <v>0.3454545455</v>
      </c>
      <c r="S263" s="123">
        <f t="shared" si="3"/>
        <v>1.181818182</v>
      </c>
      <c r="T263" s="123">
        <f t="shared" si="4"/>
        <v>2.854545455</v>
      </c>
      <c r="U263" s="41">
        <v>6.0</v>
      </c>
      <c r="V263" s="41">
        <v>3.0</v>
      </c>
      <c r="W263" s="41">
        <v>0.0</v>
      </c>
      <c r="X263" s="41">
        <v>6.0</v>
      </c>
      <c r="Y263" s="41">
        <v>11.0</v>
      </c>
      <c r="Z263" s="41">
        <v>60.0</v>
      </c>
    </row>
    <row r="264">
      <c r="A264" s="41" t="s">
        <v>904</v>
      </c>
      <c r="B264" s="41" t="s">
        <v>710</v>
      </c>
      <c r="C264" s="41" t="s">
        <v>1353</v>
      </c>
      <c r="D264" s="41" t="s">
        <v>1354</v>
      </c>
      <c r="E264" s="41">
        <v>18.0</v>
      </c>
      <c r="F264" s="41">
        <v>8.0</v>
      </c>
      <c r="G264" s="41">
        <v>10.0</v>
      </c>
      <c r="H264" s="125">
        <v>0.4444444444444444</v>
      </c>
      <c r="I264" s="41">
        <v>2.0</v>
      </c>
      <c r="J264" s="41">
        <v>4827.0</v>
      </c>
      <c r="K264" s="41">
        <v>12.0</v>
      </c>
      <c r="L264" s="41">
        <v>8.0</v>
      </c>
      <c r="M264" s="41">
        <v>14.0</v>
      </c>
      <c r="N264" s="41">
        <v>30.0</v>
      </c>
      <c r="O264" s="122">
        <f t="shared" si="1"/>
        <v>0.4</v>
      </c>
      <c r="P264" s="123">
        <f t="shared" si="5"/>
        <v>268.1666667</v>
      </c>
      <c r="Q264" s="123">
        <f t="shared" si="2"/>
        <v>0.6666666667</v>
      </c>
      <c r="R264" s="123">
        <f t="shared" si="6"/>
        <v>0.4444444444</v>
      </c>
      <c r="S264" s="123">
        <f t="shared" si="3"/>
        <v>0.7777777778</v>
      </c>
      <c r="T264" s="123">
        <f t="shared" si="4"/>
        <v>1.666666667</v>
      </c>
      <c r="U264" s="41">
        <v>2.0</v>
      </c>
      <c r="V264" s="41">
        <v>0.0</v>
      </c>
      <c r="W264" s="41">
        <v>0.0</v>
      </c>
      <c r="X264" s="41">
        <v>2.0</v>
      </c>
      <c r="Y264" s="41">
        <v>19.0</v>
      </c>
      <c r="Z264" s="41">
        <v>15.0</v>
      </c>
    </row>
    <row r="265">
      <c r="A265" s="41" t="s">
        <v>902</v>
      </c>
      <c r="B265" s="41" t="s">
        <v>790</v>
      </c>
      <c r="C265" s="41" t="s">
        <v>1355</v>
      </c>
      <c r="D265" s="41" t="s">
        <v>1132</v>
      </c>
      <c r="E265" s="41">
        <v>54.0</v>
      </c>
      <c r="F265" s="41">
        <v>32.0</v>
      </c>
      <c r="G265" s="41">
        <v>22.0</v>
      </c>
      <c r="H265" s="125">
        <v>0.5925925925925926</v>
      </c>
      <c r="I265" s="41">
        <v>8.0</v>
      </c>
      <c r="J265" s="41">
        <v>18220.0</v>
      </c>
      <c r="K265" s="41">
        <v>39.0</v>
      </c>
      <c r="L265" s="41">
        <v>30.0</v>
      </c>
      <c r="M265" s="41">
        <v>66.0</v>
      </c>
      <c r="N265" s="41">
        <v>131.0</v>
      </c>
      <c r="O265" s="122">
        <f t="shared" si="1"/>
        <v>0.2977099237</v>
      </c>
      <c r="P265" s="123">
        <f t="shared" si="5"/>
        <v>337.4074074</v>
      </c>
      <c r="Q265" s="123">
        <f t="shared" si="2"/>
        <v>0.7222222222</v>
      </c>
      <c r="R265" s="123">
        <f t="shared" si="6"/>
        <v>0.5555555556</v>
      </c>
      <c r="S265" s="123">
        <f t="shared" si="3"/>
        <v>1.222222222</v>
      </c>
      <c r="T265" s="123">
        <f t="shared" si="4"/>
        <v>2.425925926</v>
      </c>
      <c r="U265" s="41">
        <v>8.0</v>
      </c>
      <c r="V265" s="41">
        <v>1.0</v>
      </c>
      <c r="W265" s="41">
        <v>3.0</v>
      </c>
      <c r="X265" s="41">
        <v>8.0</v>
      </c>
      <c r="Y265" s="41">
        <v>52.0</v>
      </c>
      <c r="Z265" s="41">
        <v>75.0</v>
      </c>
    </row>
    <row r="266">
      <c r="A266" s="41" t="s">
        <v>904</v>
      </c>
      <c r="B266" s="41" t="s">
        <v>586</v>
      </c>
      <c r="C266" s="41" t="s">
        <v>1356</v>
      </c>
      <c r="D266" s="41" t="s">
        <v>1167</v>
      </c>
      <c r="E266" s="41">
        <v>52.0</v>
      </c>
      <c r="F266" s="41">
        <v>32.0</v>
      </c>
      <c r="G266" s="41">
        <v>20.0</v>
      </c>
      <c r="H266" s="125">
        <v>0.6153846153846154</v>
      </c>
      <c r="I266" s="41">
        <v>14.0</v>
      </c>
      <c r="J266" s="41">
        <v>19823.0</v>
      </c>
      <c r="K266" s="41">
        <v>43.0</v>
      </c>
      <c r="L266" s="41">
        <v>38.0</v>
      </c>
      <c r="M266" s="41">
        <v>77.0</v>
      </c>
      <c r="N266" s="41">
        <v>145.0</v>
      </c>
      <c r="O266" s="122">
        <f t="shared" si="1"/>
        <v>0.2965517241</v>
      </c>
      <c r="P266" s="123">
        <f t="shared" si="5"/>
        <v>381.2115385</v>
      </c>
      <c r="Q266" s="123">
        <f t="shared" si="2"/>
        <v>0.8269230769</v>
      </c>
      <c r="R266" s="123">
        <f t="shared" si="6"/>
        <v>0.7307692308</v>
      </c>
      <c r="S266" s="123">
        <f t="shared" si="3"/>
        <v>1.480769231</v>
      </c>
      <c r="T266" s="123">
        <f t="shared" si="4"/>
        <v>2.788461538</v>
      </c>
      <c r="U266" s="41">
        <v>11.0</v>
      </c>
      <c r="V266" s="41">
        <v>3.0</v>
      </c>
      <c r="W266" s="41">
        <v>1.0</v>
      </c>
      <c r="X266" s="41">
        <v>9.0</v>
      </c>
      <c r="Y266" s="41">
        <v>33.0</v>
      </c>
      <c r="Z266" s="41">
        <v>55.0</v>
      </c>
    </row>
    <row r="267">
      <c r="A267" s="41" t="s">
        <v>901</v>
      </c>
      <c r="B267" s="41" t="s">
        <v>296</v>
      </c>
      <c r="C267" s="41" t="s">
        <v>1357</v>
      </c>
      <c r="D267" s="41" t="s">
        <v>1152</v>
      </c>
      <c r="E267" s="41">
        <v>56.0</v>
      </c>
      <c r="F267" s="41">
        <v>23.0</v>
      </c>
      <c r="G267" s="41">
        <v>33.0</v>
      </c>
      <c r="H267" s="125">
        <v>0.4107142857142857</v>
      </c>
      <c r="I267" s="41">
        <v>12.0</v>
      </c>
      <c r="J267" s="41">
        <v>21948.0</v>
      </c>
      <c r="K267" s="41">
        <v>47.0</v>
      </c>
      <c r="L267" s="41">
        <v>39.0</v>
      </c>
      <c r="M267" s="41">
        <v>77.0</v>
      </c>
      <c r="N267" s="41">
        <v>161.0</v>
      </c>
      <c r="O267" s="122">
        <f t="shared" si="1"/>
        <v>0.2919254658</v>
      </c>
      <c r="P267" s="123">
        <f t="shared" si="5"/>
        <v>391.9285714</v>
      </c>
      <c r="Q267" s="123">
        <f t="shared" si="2"/>
        <v>0.8392857143</v>
      </c>
      <c r="R267" s="123">
        <f t="shared" si="6"/>
        <v>0.6964285714</v>
      </c>
      <c r="S267" s="123">
        <f t="shared" si="3"/>
        <v>1.375</v>
      </c>
      <c r="T267" s="123">
        <f t="shared" si="4"/>
        <v>2.875</v>
      </c>
      <c r="U267" s="41">
        <v>12.0</v>
      </c>
      <c r="V267" s="41">
        <v>2.0</v>
      </c>
      <c r="W267" s="41">
        <v>2.0</v>
      </c>
      <c r="X267" s="41">
        <v>10.0</v>
      </c>
      <c r="Y267" s="41">
        <v>63.0</v>
      </c>
      <c r="Z267" s="41">
        <v>51.0</v>
      </c>
    </row>
    <row r="268">
      <c r="A268" s="41" t="s">
        <v>901</v>
      </c>
      <c r="B268" s="41" t="s">
        <v>309</v>
      </c>
      <c r="C268" s="41" t="s">
        <v>1358</v>
      </c>
      <c r="D268" s="41" t="s">
        <v>1359</v>
      </c>
      <c r="E268" s="41">
        <v>56.0</v>
      </c>
      <c r="F268" s="41">
        <v>29.0</v>
      </c>
      <c r="G268" s="41">
        <v>27.0</v>
      </c>
      <c r="H268" s="125">
        <v>0.5178571428571429</v>
      </c>
      <c r="I268" s="41">
        <v>12.0</v>
      </c>
      <c r="J268" s="41">
        <v>23121.0</v>
      </c>
      <c r="K268" s="41">
        <v>43.0</v>
      </c>
      <c r="L268" s="41">
        <v>34.0</v>
      </c>
      <c r="M268" s="41">
        <v>109.0</v>
      </c>
      <c r="N268" s="41">
        <v>147.0</v>
      </c>
      <c r="O268" s="122">
        <f t="shared" si="1"/>
        <v>0.2925170068</v>
      </c>
      <c r="P268" s="123">
        <f t="shared" si="5"/>
        <v>412.875</v>
      </c>
      <c r="Q268" s="123">
        <f t="shared" si="2"/>
        <v>0.7678571429</v>
      </c>
      <c r="R268" s="123">
        <f t="shared" si="6"/>
        <v>0.6071428571</v>
      </c>
      <c r="S268" s="123">
        <f t="shared" si="3"/>
        <v>1.946428571</v>
      </c>
      <c r="T268" s="123">
        <f t="shared" si="4"/>
        <v>2.625</v>
      </c>
      <c r="U268" s="41">
        <v>11.0</v>
      </c>
      <c r="V268" s="41">
        <v>2.0</v>
      </c>
      <c r="W268" s="41">
        <v>4.0</v>
      </c>
      <c r="X268" s="41">
        <v>15.0</v>
      </c>
      <c r="Y268" s="41">
        <v>70.0</v>
      </c>
      <c r="Z268" s="41">
        <v>55.0</v>
      </c>
    </row>
    <row r="269">
      <c r="A269" s="41" t="s">
        <v>904</v>
      </c>
      <c r="B269" s="41" t="s">
        <v>690</v>
      </c>
      <c r="C269" s="41" t="s">
        <v>1360</v>
      </c>
      <c r="D269" s="41" t="s">
        <v>970</v>
      </c>
      <c r="E269" s="41">
        <v>42.0</v>
      </c>
      <c r="F269" s="41">
        <v>18.0</v>
      </c>
      <c r="G269" s="41">
        <v>24.0</v>
      </c>
      <c r="H269" s="125">
        <v>0.42857142857142855</v>
      </c>
      <c r="I269" s="41">
        <v>3.0</v>
      </c>
      <c r="J269" s="41">
        <v>12891.0</v>
      </c>
      <c r="K269" s="41">
        <v>27.0</v>
      </c>
      <c r="L269" s="41">
        <v>20.0</v>
      </c>
      <c r="M269" s="41">
        <v>55.0</v>
      </c>
      <c r="N269" s="41">
        <v>100.0</v>
      </c>
      <c r="O269" s="122">
        <f t="shared" si="1"/>
        <v>0.27</v>
      </c>
      <c r="P269" s="123">
        <f t="shared" si="5"/>
        <v>306.9285714</v>
      </c>
      <c r="Q269" s="123">
        <f t="shared" si="2"/>
        <v>0.6428571429</v>
      </c>
      <c r="R269" s="123">
        <f t="shared" si="6"/>
        <v>0.4761904762</v>
      </c>
      <c r="S269" s="123">
        <f t="shared" si="3"/>
        <v>1.30952381</v>
      </c>
      <c r="T269" s="123">
        <f t="shared" si="4"/>
        <v>2.380952381</v>
      </c>
      <c r="U269" s="41">
        <v>5.0</v>
      </c>
      <c r="V269" s="41">
        <v>1.0</v>
      </c>
      <c r="W269" s="41">
        <v>0.0</v>
      </c>
      <c r="X269" s="41">
        <v>5.0</v>
      </c>
      <c r="Y269" s="41">
        <v>44.0</v>
      </c>
      <c r="Z269" s="41">
        <v>27.0</v>
      </c>
    </row>
    <row r="270">
      <c r="A270" s="41" t="s">
        <v>899</v>
      </c>
      <c r="B270" s="41" t="s">
        <v>426</v>
      </c>
      <c r="C270" s="41" t="s">
        <v>1361</v>
      </c>
      <c r="D270" s="41" t="s">
        <v>996</v>
      </c>
      <c r="E270" s="41">
        <v>34.0</v>
      </c>
      <c r="F270" s="41">
        <v>21.0</v>
      </c>
      <c r="G270" s="41">
        <v>13.0</v>
      </c>
      <c r="H270" s="125">
        <v>0.6176470588235294</v>
      </c>
      <c r="I270" s="41">
        <v>4.0</v>
      </c>
      <c r="J270" s="41">
        <v>11603.0</v>
      </c>
      <c r="K270" s="41">
        <v>31.0</v>
      </c>
      <c r="L270" s="41">
        <v>23.0</v>
      </c>
      <c r="M270" s="41">
        <v>37.0</v>
      </c>
      <c r="N270" s="41">
        <v>90.0</v>
      </c>
      <c r="O270" s="122">
        <f t="shared" si="1"/>
        <v>0.3444444444</v>
      </c>
      <c r="P270" s="123">
        <f t="shared" si="5"/>
        <v>341.2647059</v>
      </c>
      <c r="Q270" s="123">
        <f t="shared" si="2"/>
        <v>0.9117647059</v>
      </c>
      <c r="R270" s="123">
        <f t="shared" si="6"/>
        <v>0.6764705882</v>
      </c>
      <c r="S270" s="123">
        <f t="shared" si="3"/>
        <v>1.088235294</v>
      </c>
      <c r="T270" s="123">
        <f t="shared" si="4"/>
        <v>2.647058824</v>
      </c>
      <c r="U270" s="41">
        <v>6.0</v>
      </c>
      <c r="V270" s="41">
        <v>4.0</v>
      </c>
      <c r="W270" s="41">
        <v>0.0</v>
      </c>
      <c r="X270" s="41">
        <v>3.0</v>
      </c>
      <c r="Y270" s="41">
        <v>30.0</v>
      </c>
      <c r="Z270" s="41">
        <v>35.0</v>
      </c>
    </row>
    <row r="271">
      <c r="A271" s="41" t="s">
        <v>902</v>
      </c>
      <c r="B271" s="41" t="s">
        <v>854</v>
      </c>
      <c r="C271" s="41" t="s">
        <v>1362</v>
      </c>
      <c r="D271" s="41" t="s">
        <v>1363</v>
      </c>
      <c r="E271" s="41">
        <v>16.0</v>
      </c>
      <c r="F271" s="41">
        <v>4.0</v>
      </c>
      <c r="G271" s="41">
        <v>12.0</v>
      </c>
      <c r="H271" s="125">
        <v>0.25</v>
      </c>
      <c r="I271" s="41">
        <v>3.0</v>
      </c>
      <c r="J271" s="41">
        <v>4901.0</v>
      </c>
      <c r="K271" s="41">
        <v>8.0</v>
      </c>
      <c r="L271" s="41">
        <v>5.0</v>
      </c>
      <c r="M271" s="41">
        <v>25.0</v>
      </c>
      <c r="N271" s="41">
        <v>37.0</v>
      </c>
      <c r="O271" s="122">
        <f t="shared" si="1"/>
        <v>0.2162162162</v>
      </c>
      <c r="P271" s="123">
        <f t="shared" si="5"/>
        <v>306.3125</v>
      </c>
      <c r="Q271" s="123">
        <f t="shared" si="2"/>
        <v>0.5</v>
      </c>
      <c r="R271" s="123">
        <f t="shared" si="6"/>
        <v>0.3125</v>
      </c>
      <c r="S271" s="123">
        <f t="shared" si="3"/>
        <v>1.5625</v>
      </c>
      <c r="T271" s="123">
        <f t="shared" si="4"/>
        <v>2.3125</v>
      </c>
      <c r="U271" s="41">
        <v>2.0</v>
      </c>
      <c r="V271" s="41">
        <v>0.0</v>
      </c>
      <c r="W271" s="41">
        <v>0.0</v>
      </c>
      <c r="X271" s="41">
        <v>3.0</v>
      </c>
      <c r="Y271" s="41">
        <v>22.0</v>
      </c>
      <c r="Z271" s="41">
        <v>23.0</v>
      </c>
    </row>
    <row r="272">
      <c r="A272" s="41" t="s">
        <v>899</v>
      </c>
      <c r="B272" s="41" t="s">
        <v>456</v>
      </c>
      <c r="C272" s="41" t="s">
        <v>1364</v>
      </c>
      <c r="D272" s="41" t="s">
        <v>1278</v>
      </c>
      <c r="E272" s="41">
        <v>9.0</v>
      </c>
      <c r="F272" s="41">
        <v>7.0</v>
      </c>
      <c r="G272" s="41">
        <v>2.0</v>
      </c>
      <c r="H272" s="125">
        <v>0.7777777777777778</v>
      </c>
      <c r="I272" s="41">
        <v>2.0</v>
      </c>
      <c r="J272" s="41">
        <v>3003.0</v>
      </c>
      <c r="K272" s="41">
        <v>11.0</v>
      </c>
      <c r="L272" s="41">
        <v>3.0</v>
      </c>
      <c r="M272" s="41">
        <v>8.0</v>
      </c>
      <c r="N272" s="41">
        <v>22.0</v>
      </c>
      <c r="O272" s="122">
        <f t="shared" si="1"/>
        <v>0.5</v>
      </c>
      <c r="P272" s="123">
        <f t="shared" si="5"/>
        <v>333.6666667</v>
      </c>
      <c r="Q272" s="123">
        <f t="shared" si="2"/>
        <v>1.222222222</v>
      </c>
      <c r="R272" s="123">
        <f t="shared" si="6"/>
        <v>0.3333333333</v>
      </c>
      <c r="S272" s="123">
        <f t="shared" si="3"/>
        <v>0.8888888889</v>
      </c>
      <c r="T272" s="123">
        <f t="shared" si="4"/>
        <v>2.444444444</v>
      </c>
      <c r="U272" s="41">
        <v>1.0</v>
      </c>
      <c r="V272" s="41">
        <v>1.0</v>
      </c>
      <c r="W272" s="41">
        <v>0.0</v>
      </c>
      <c r="X272" s="41">
        <v>0.0</v>
      </c>
      <c r="Y272" s="41">
        <v>7.0</v>
      </c>
      <c r="Z272" s="41">
        <v>12.0</v>
      </c>
    </row>
    <row r="273">
      <c r="A273" s="41" t="s">
        <v>904</v>
      </c>
      <c r="B273" s="41" t="s">
        <v>620</v>
      </c>
      <c r="C273" s="41" t="s">
        <v>1365</v>
      </c>
      <c r="D273" s="41" t="s">
        <v>1366</v>
      </c>
      <c r="E273" s="41">
        <v>55.0</v>
      </c>
      <c r="F273" s="41">
        <v>29.0</v>
      </c>
      <c r="G273" s="41">
        <v>26.0</v>
      </c>
      <c r="H273" s="125">
        <v>0.5272727272727272</v>
      </c>
      <c r="I273" s="41">
        <v>12.0</v>
      </c>
      <c r="J273" s="41">
        <v>19487.0</v>
      </c>
      <c r="K273" s="41">
        <v>47.0</v>
      </c>
      <c r="L273" s="41">
        <v>33.0</v>
      </c>
      <c r="M273" s="41">
        <v>69.0</v>
      </c>
      <c r="N273" s="41">
        <v>163.0</v>
      </c>
      <c r="O273" s="122">
        <f t="shared" si="1"/>
        <v>0.2883435583</v>
      </c>
      <c r="P273" s="123">
        <f t="shared" si="5"/>
        <v>354.3090909</v>
      </c>
      <c r="Q273" s="123">
        <f t="shared" si="2"/>
        <v>0.8545454545</v>
      </c>
      <c r="R273" s="123">
        <f t="shared" si="6"/>
        <v>0.6</v>
      </c>
      <c r="S273" s="123">
        <f t="shared" si="3"/>
        <v>1.254545455</v>
      </c>
      <c r="T273" s="123">
        <f t="shared" si="4"/>
        <v>2.963636364</v>
      </c>
      <c r="U273" s="41">
        <v>12.0</v>
      </c>
      <c r="V273" s="41">
        <v>5.0</v>
      </c>
      <c r="W273" s="41">
        <v>2.0</v>
      </c>
      <c r="X273" s="41">
        <v>7.0</v>
      </c>
      <c r="Y273" s="41">
        <v>40.0</v>
      </c>
      <c r="Z273" s="41">
        <v>44.0</v>
      </c>
    </row>
    <row r="274">
      <c r="A274" s="41" t="s">
        <v>901</v>
      </c>
      <c r="B274" s="41" t="s">
        <v>366</v>
      </c>
      <c r="C274" s="41" t="s">
        <v>1367</v>
      </c>
      <c r="D274" s="41" t="s">
        <v>1152</v>
      </c>
      <c r="E274" s="41">
        <v>25.0</v>
      </c>
      <c r="F274" s="41">
        <v>13.0</v>
      </c>
      <c r="G274" s="41">
        <v>12.0</v>
      </c>
      <c r="H274" s="125">
        <v>0.52</v>
      </c>
      <c r="I274" s="41">
        <v>1.0</v>
      </c>
      <c r="J274" s="41">
        <v>8693.0</v>
      </c>
      <c r="K274" s="41">
        <v>17.0</v>
      </c>
      <c r="L274" s="41">
        <v>12.0</v>
      </c>
      <c r="M274" s="41">
        <v>43.0</v>
      </c>
      <c r="N274" s="41">
        <v>57.0</v>
      </c>
      <c r="O274" s="122">
        <f t="shared" si="1"/>
        <v>0.298245614</v>
      </c>
      <c r="P274" s="123">
        <f t="shared" si="5"/>
        <v>347.72</v>
      </c>
      <c r="Q274" s="123">
        <f t="shared" si="2"/>
        <v>0.68</v>
      </c>
      <c r="R274" s="123">
        <f t="shared" si="6"/>
        <v>0.48</v>
      </c>
      <c r="S274" s="123">
        <f t="shared" si="3"/>
        <v>1.72</v>
      </c>
      <c r="T274" s="123">
        <f t="shared" si="4"/>
        <v>2.28</v>
      </c>
      <c r="U274" s="41">
        <v>5.0</v>
      </c>
      <c r="V274" s="41">
        <v>0.0</v>
      </c>
      <c r="W274" s="41">
        <v>0.0</v>
      </c>
      <c r="X274" s="41">
        <v>7.0</v>
      </c>
      <c r="Y274" s="41">
        <v>27.0</v>
      </c>
      <c r="Z274" s="41">
        <v>25.0</v>
      </c>
    </row>
    <row r="275">
      <c r="A275" s="41" t="s">
        <v>902</v>
      </c>
      <c r="B275" s="41" t="s">
        <v>849</v>
      </c>
      <c r="C275" s="41" t="s">
        <v>1368</v>
      </c>
      <c r="D275" s="41" t="s">
        <v>1351</v>
      </c>
      <c r="E275" s="41">
        <v>21.0</v>
      </c>
      <c r="F275" s="41">
        <v>7.0</v>
      </c>
      <c r="G275" s="41">
        <v>14.0</v>
      </c>
      <c r="H275" s="125">
        <v>0.3333333333333333</v>
      </c>
      <c r="I275" s="41">
        <v>1.0</v>
      </c>
      <c r="J275" s="41">
        <v>6827.0</v>
      </c>
      <c r="K275" s="41">
        <v>16.0</v>
      </c>
      <c r="L275" s="41">
        <v>9.0</v>
      </c>
      <c r="M275" s="41">
        <v>22.0</v>
      </c>
      <c r="N275" s="41">
        <v>47.0</v>
      </c>
      <c r="O275" s="122">
        <f t="shared" si="1"/>
        <v>0.3404255319</v>
      </c>
      <c r="P275" s="123">
        <f t="shared" si="5"/>
        <v>325.0952381</v>
      </c>
      <c r="Q275" s="123">
        <f t="shared" si="2"/>
        <v>0.7619047619</v>
      </c>
      <c r="R275" s="123">
        <f t="shared" si="6"/>
        <v>0.4285714286</v>
      </c>
      <c r="S275" s="123">
        <f t="shared" si="3"/>
        <v>1.047619048</v>
      </c>
      <c r="T275" s="123">
        <f t="shared" si="4"/>
        <v>2.238095238</v>
      </c>
      <c r="U275" s="41">
        <v>1.0</v>
      </c>
      <c r="V275" s="41">
        <v>0.0</v>
      </c>
      <c r="W275" s="41">
        <v>0.0</v>
      </c>
      <c r="X275" s="41">
        <v>1.0</v>
      </c>
      <c r="Y275" s="41">
        <v>18.0</v>
      </c>
      <c r="Z275" s="41">
        <v>27.0</v>
      </c>
    </row>
    <row r="276">
      <c r="A276" s="41" t="s">
        <v>897</v>
      </c>
      <c r="B276" s="41" t="s">
        <v>506</v>
      </c>
      <c r="C276" s="41" t="s">
        <v>1369</v>
      </c>
      <c r="D276" s="41" t="s">
        <v>1370</v>
      </c>
      <c r="E276" s="41">
        <v>35.0</v>
      </c>
      <c r="F276" s="41">
        <v>16.0</v>
      </c>
      <c r="G276" s="41">
        <v>19.0</v>
      </c>
      <c r="H276" s="125">
        <v>0.45714285714285713</v>
      </c>
      <c r="I276" s="41">
        <v>2.0</v>
      </c>
      <c r="J276" s="41">
        <v>13496.0</v>
      </c>
      <c r="K276" s="41">
        <v>24.0</v>
      </c>
      <c r="L276" s="41">
        <v>22.0</v>
      </c>
      <c r="M276" s="41">
        <v>67.0</v>
      </c>
      <c r="N276" s="41">
        <v>97.0</v>
      </c>
      <c r="O276" s="122">
        <f t="shared" si="1"/>
        <v>0.2474226804</v>
      </c>
      <c r="P276" s="123">
        <f t="shared" si="5"/>
        <v>385.6</v>
      </c>
      <c r="Q276" s="123">
        <f t="shared" si="2"/>
        <v>0.6857142857</v>
      </c>
      <c r="R276" s="123">
        <f t="shared" si="6"/>
        <v>0.6285714286</v>
      </c>
      <c r="S276" s="123">
        <f t="shared" si="3"/>
        <v>1.914285714</v>
      </c>
      <c r="T276" s="123">
        <f t="shared" si="4"/>
        <v>2.771428571</v>
      </c>
      <c r="U276" s="41">
        <v>6.0</v>
      </c>
      <c r="V276" s="41">
        <v>1.0</v>
      </c>
      <c r="W276" s="41">
        <v>0.0</v>
      </c>
      <c r="X276" s="41">
        <v>9.0</v>
      </c>
      <c r="Y276" s="41">
        <v>43.0</v>
      </c>
      <c r="Z276" s="41">
        <v>38.0</v>
      </c>
    </row>
    <row r="277">
      <c r="A277" s="41" t="s">
        <v>906</v>
      </c>
      <c r="B277" s="41" t="s">
        <v>531</v>
      </c>
      <c r="C277" s="41" t="s">
        <v>1371</v>
      </c>
      <c r="D277" s="41" t="s">
        <v>1372</v>
      </c>
      <c r="E277" s="41">
        <v>1.0</v>
      </c>
      <c r="F277" s="41">
        <v>0.0</v>
      </c>
      <c r="G277" s="41">
        <v>1.0</v>
      </c>
      <c r="H277" s="125">
        <v>0.0</v>
      </c>
      <c r="I277" s="41">
        <v>0.0</v>
      </c>
      <c r="J277" s="41">
        <v>354.0</v>
      </c>
      <c r="K277" s="41">
        <v>1.0</v>
      </c>
      <c r="L277" s="41">
        <v>1.0</v>
      </c>
      <c r="M277" s="41">
        <v>1.0</v>
      </c>
      <c r="N277" s="41">
        <v>1.0</v>
      </c>
      <c r="O277" s="122">
        <f t="shared" si="1"/>
        <v>1</v>
      </c>
      <c r="P277" s="123">
        <f t="shared" si="5"/>
        <v>354</v>
      </c>
      <c r="Q277" s="123">
        <f t="shared" si="2"/>
        <v>1</v>
      </c>
      <c r="R277" s="123">
        <f t="shared" si="6"/>
        <v>1</v>
      </c>
      <c r="S277" s="123">
        <f t="shared" si="3"/>
        <v>1</v>
      </c>
      <c r="T277" s="123">
        <f t="shared" si="4"/>
        <v>1</v>
      </c>
      <c r="U277" s="41">
        <v>1.0</v>
      </c>
      <c r="V277" s="41">
        <v>0.0</v>
      </c>
      <c r="W277" s="41">
        <v>0.0</v>
      </c>
      <c r="X277" s="41">
        <v>0.0</v>
      </c>
      <c r="Y277" s="41">
        <v>0.0</v>
      </c>
      <c r="Z277" s="41">
        <v>0.0</v>
      </c>
    </row>
    <row r="278">
      <c r="A278" s="41" t="s">
        <v>897</v>
      </c>
      <c r="B278" s="41" t="s">
        <v>508</v>
      </c>
      <c r="C278" s="41" t="s">
        <v>1373</v>
      </c>
      <c r="D278" s="41" t="s">
        <v>930</v>
      </c>
      <c r="E278" s="41">
        <v>44.0</v>
      </c>
      <c r="F278" s="41">
        <v>22.0</v>
      </c>
      <c r="G278" s="41">
        <v>22.0</v>
      </c>
      <c r="H278" s="125">
        <v>0.5</v>
      </c>
      <c r="I278" s="41">
        <v>5.0</v>
      </c>
      <c r="J278" s="41">
        <v>13891.0</v>
      </c>
      <c r="K278" s="41">
        <v>36.0</v>
      </c>
      <c r="L278" s="41">
        <v>22.0</v>
      </c>
      <c r="M278" s="41">
        <v>46.0</v>
      </c>
      <c r="N278" s="41">
        <v>110.0</v>
      </c>
      <c r="O278" s="122">
        <f t="shared" si="1"/>
        <v>0.3272727273</v>
      </c>
      <c r="P278" s="123">
        <f t="shared" si="5"/>
        <v>315.7045455</v>
      </c>
      <c r="Q278" s="123">
        <f t="shared" si="2"/>
        <v>0.8181818182</v>
      </c>
      <c r="R278" s="123">
        <f t="shared" si="6"/>
        <v>0.5</v>
      </c>
      <c r="S278" s="123">
        <f t="shared" si="3"/>
        <v>1.045454545</v>
      </c>
      <c r="T278" s="123">
        <f t="shared" si="4"/>
        <v>2.5</v>
      </c>
      <c r="U278" s="41">
        <v>4.0</v>
      </c>
      <c r="V278" s="41">
        <v>1.0</v>
      </c>
      <c r="W278" s="41">
        <v>0.0</v>
      </c>
      <c r="X278" s="41">
        <v>4.0</v>
      </c>
      <c r="Y278" s="41">
        <v>49.0</v>
      </c>
      <c r="Z278" s="41">
        <v>45.0</v>
      </c>
    </row>
    <row r="279">
      <c r="A279" s="41" t="s">
        <v>899</v>
      </c>
      <c r="B279" s="41" t="s">
        <v>435</v>
      </c>
      <c r="C279" s="41" t="s">
        <v>1374</v>
      </c>
      <c r="D279" s="41" t="s">
        <v>1056</v>
      </c>
      <c r="E279" s="41">
        <v>27.0</v>
      </c>
      <c r="F279" s="41">
        <v>11.0</v>
      </c>
      <c r="G279" s="41">
        <v>16.0</v>
      </c>
      <c r="H279" s="125">
        <v>0.4074074074074074</v>
      </c>
      <c r="I279" s="41">
        <v>3.0</v>
      </c>
      <c r="J279" s="41">
        <v>8277.0</v>
      </c>
      <c r="K279" s="41">
        <v>19.0</v>
      </c>
      <c r="L279" s="41">
        <v>16.0</v>
      </c>
      <c r="M279" s="41">
        <v>27.0</v>
      </c>
      <c r="N279" s="41">
        <v>70.0</v>
      </c>
      <c r="O279" s="122">
        <f t="shared" si="1"/>
        <v>0.2714285714</v>
      </c>
      <c r="P279" s="123">
        <f t="shared" si="5"/>
        <v>306.5555556</v>
      </c>
      <c r="Q279" s="123">
        <f t="shared" si="2"/>
        <v>0.7037037037</v>
      </c>
      <c r="R279" s="123">
        <f t="shared" si="6"/>
        <v>0.5925925926</v>
      </c>
      <c r="S279" s="123">
        <f t="shared" si="3"/>
        <v>1</v>
      </c>
      <c r="T279" s="123">
        <f t="shared" si="4"/>
        <v>2.592592593</v>
      </c>
      <c r="U279" s="41">
        <v>3.0</v>
      </c>
      <c r="V279" s="41">
        <v>1.0</v>
      </c>
      <c r="W279" s="41">
        <v>1.0</v>
      </c>
      <c r="X279" s="41">
        <v>2.0</v>
      </c>
      <c r="Y279" s="41">
        <v>30.0</v>
      </c>
      <c r="Z279" s="41">
        <v>19.0</v>
      </c>
    </row>
    <row r="280">
      <c r="A280" s="41" t="s">
        <v>902</v>
      </c>
      <c r="B280" s="41" t="s">
        <v>853</v>
      </c>
      <c r="C280" s="41" t="s">
        <v>1375</v>
      </c>
      <c r="D280" s="41" t="s">
        <v>1363</v>
      </c>
      <c r="E280" s="41">
        <v>40.0</v>
      </c>
      <c r="F280" s="41">
        <v>17.0</v>
      </c>
      <c r="G280" s="41">
        <v>23.0</v>
      </c>
      <c r="H280" s="125">
        <v>0.425</v>
      </c>
      <c r="I280" s="41">
        <v>2.0</v>
      </c>
      <c r="J280" s="41">
        <v>11946.0</v>
      </c>
      <c r="K280" s="41">
        <v>24.0</v>
      </c>
      <c r="L280" s="41">
        <v>17.0</v>
      </c>
      <c r="M280" s="41">
        <v>50.0</v>
      </c>
      <c r="N280" s="41">
        <v>74.0</v>
      </c>
      <c r="O280" s="122">
        <f t="shared" si="1"/>
        <v>0.3243243243</v>
      </c>
      <c r="P280" s="123">
        <f t="shared" si="5"/>
        <v>298.65</v>
      </c>
      <c r="Q280" s="123">
        <f t="shared" si="2"/>
        <v>0.6</v>
      </c>
      <c r="R280" s="123">
        <f t="shared" si="6"/>
        <v>0.425</v>
      </c>
      <c r="S280" s="123">
        <f t="shared" si="3"/>
        <v>1.25</v>
      </c>
      <c r="T280" s="123">
        <f t="shared" si="4"/>
        <v>1.85</v>
      </c>
      <c r="U280" s="41">
        <v>4.0</v>
      </c>
      <c r="V280" s="41">
        <v>1.0</v>
      </c>
      <c r="W280" s="41">
        <v>0.0</v>
      </c>
      <c r="X280" s="41">
        <v>3.0</v>
      </c>
      <c r="Y280" s="41">
        <v>35.0</v>
      </c>
      <c r="Z280" s="41">
        <v>54.0</v>
      </c>
    </row>
    <row r="281">
      <c r="A281" s="41" t="s">
        <v>901</v>
      </c>
      <c r="B281" s="41" t="s">
        <v>358</v>
      </c>
      <c r="C281" s="41" t="s">
        <v>1376</v>
      </c>
      <c r="D281" s="41" t="s">
        <v>990</v>
      </c>
      <c r="E281" s="41">
        <v>30.0</v>
      </c>
      <c r="F281" s="41">
        <v>16.0</v>
      </c>
      <c r="G281" s="41">
        <v>14.0</v>
      </c>
      <c r="H281" s="125">
        <v>0.5333333333333333</v>
      </c>
      <c r="I281" s="41">
        <v>6.0</v>
      </c>
      <c r="J281" s="41">
        <v>9591.0</v>
      </c>
      <c r="K281" s="41">
        <v>17.0</v>
      </c>
      <c r="L281" s="41">
        <v>19.0</v>
      </c>
      <c r="M281" s="41">
        <v>35.0</v>
      </c>
      <c r="N281" s="41">
        <v>88.0</v>
      </c>
      <c r="O281" s="122">
        <f t="shared" si="1"/>
        <v>0.1931818182</v>
      </c>
      <c r="P281" s="123">
        <f t="shared" si="5"/>
        <v>319.7</v>
      </c>
      <c r="Q281" s="123">
        <f t="shared" si="2"/>
        <v>0.5666666667</v>
      </c>
      <c r="R281" s="123">
        <f t="shared" si="6"/>
        <v>0.6333333333</v>
      </c>
      <c r="S281" s="123">
        <f t="shared" si="3"/>
        <v>1.166666667</v>
      </c>
      <c r="T281" s="123">
        <f t="shared" si="4"/>
        <v>2.933333333</v>
      </c>
      <c r="U281" s="41">
        <v>7.0</v>
      </c>
      <c r="V281" s="41">
        <v>0.0</v>
      </c>
      <c r="W281" s="41">
        <v>1.0</v>
      </c>
      <c r="X281" s="41">
        <v>3.0</v>
      </c>
      <c r="Y281" s="41">
        <v>22.0</v>
      </c>
      <c r="Z281" s="41">
        <v>28.0</v>
      </c>
    </row>
    <row r="282">
      <c r="A282" s="41" t="s">
        <v>901</v>
      </c>
      <c r="B282" s="41" t="s">
        <v>300</v>
      </c>
      <c r="C282" s="41" t="s">
        <v>1377</v>
      </c>
      <c r="D282" s="41" t="s">
        <v>1217</v>
      </c>
      <c r="E282" s="41">
        <v>42.0</v>
      </c>
      <c r="F282" s="41">
        <v>21.0</v>
      </c>
      <c r="G282" s="41">
        <v>21.0</v>
      </c>
      <c r="H282" s="125">
        <v>0.5</v>
      </c>
      <c r="I282" s="41">
        <v>7.0</v>
      </c>
      <c r="J282" s="41">
        <v>15759.0</v>
      </c>
      <c r="K282" s="41">
        <v>38.0</v>
      </c>
      <c r="L282" s="41">
        <v>19.0</v>
      </c>
      <c r="M282" s="41">
        <v>60.0</v>
      </c>
      <c r="N282" s="41">
        <v>124.0</v>
      </c>
      <c r="O282" s="122">
        <f t="shared" si="1"/>
        <v>0.3064516129</v>
      </c>
      <c r="P282" s="123">
        <f t="shared" si="5"/>
        <v>375.2142857</v>
      </c>
      <c r="Q282" s="123">
        <f t="shared" si="2"/>
        <v>0.9047619048</v>
      </c>
      <c r="R282" s="123">
        <f t="shared" si="6"/>
        <v>0.4523809524</v>
      </c>
      <c r="S282" s="123">
        <f t="shared" si="3"/>
        <v>1.428571429</v>
      </c>
      <c r="T282" s="123">
        <f t="shared" si="4"/>
        <v>2.952380952</v>
      </c>
      <c r="U282" s="41">
        <v>7.0</v>
      </c>
      <c r="V282" s="41">
        <v>3.0</v>
      </c>
      <c r="W282" s="41">
        <v>1.0</v>
      </c>
      <c r="X282" s="41">
        <v>9.0</v>
      </c>
      <c r="Y282" s="41">
        <v>78.0</v>
      </c>
      <c r="Z282" s="41">
        <v>41.0</v>
      </c>
    </row>
    <row r="283">
      <c r="A283" s="41" t="s">
        <v>904</v>
      </c>
      <c r="B283" s="41" t="s">
        <v>629</v>
      </c>
      <c r="C283" s="41" t="s">
        <v>1378</v>
      </c>
      <c r="D283" s="41" t="s">
        <v>1379</v>
      </c>
      <c r="E283" s="41">
        <v>42.0</v>
      </c>
      <c r="F283" s="41">
        <v>15.0</v>
      </c>
      <c r="G283" s="41">
        <v>27.0</v>
      </c>
      <c r="H283" s="125">
        <v>0.35714285714285715</v>
      </c>
      <c r="I283" s="41">
        <v>8.0</v>
      </c>
      <c r="J283" s="41">
        <v>15723.0</v>
      </c>
      <c r="K283" s="41">
        <v>31.0</v>
      </c>
      <c r="L283" s="41">
        <v>28.0</v>
      </c>
      <c r="M283" s="41">
        <v>59.0</v>
      </c>
      <c r="N283" s="41">
        <v>105.0</v>
      </c>
      <c r="O283" s="122">
        <f t="shared" si="1"/>
        <v>0.2952380952</v>
      </c>
      <c r="P283" s="123">
        <f t="shared" si="5"/>
        <v>374.3571429</v>
      </c>
      <c r="Q283" s="123">
        <f t="shared" si="2"/>
        <v>0.7380952381</v>
      </c>
      <c r="R283" s="123">
        <f t="shared" si="6"/>
        <v>0.6666666667</v>
      </c>
      <c r="S283" s="123">
        <f t="shared" si="3"/>
        <v>1.404761905</v>
      </c>
      <c r="T283" s="123">
        <f t="shared" si="4"/>
        <v>2.5</v>
      </c>
      <c r="U283" s="41">
        <v>6.0</v>
      </c>
      <c r="V283" s="41">
        <v>1.0</v>
      </c>
      <c r="W283" s="41">
        <v>2.0</v>
      </c>
      <c r="X283" s="41">
        <v>7.0</v>
      </c>
      <c r="Y283" s="41">
        <v>46.0</v>
      </c>
      <c r="Z283" s="41">
        <v>30.0</v>
      </c>
    </row>
    <row r="284">
      <c r="A284" s="41" t="s">
        <v>905</v>
      </c>
      <c r="B284" s="41" t="s">
        <v>203</v>
      </c>
      <c r="C284" s="41" t="s">
        <v>1380</v>
      </c>
      <c r="D284" s="41" t="s">
        <v>1333</v>
      </c>
      <c r="E284" s="41">
        <v>44.0</v>
      </c>
      <c r="F284" s="41">
        <v>17.0</v>
      </c>
      <c r="G284" s="41">
        <v>27.0</v>
      </c>
      <c r="H284" s="125">
        <v>0.38636363636363635</v>
      </c>
      <c r="I284" s="41">
        <v>6.0</v>
      </c>
      <c r="J284" s="41">
        <v>13904.0</v>
      </c>
      <c r="K284" s="41">
        <v>22.0</v>
      </c>
      <c r="L284" s="41">
        <v>20.0</v>
      </c>
      <c r="M284" s="41">
        <v>65.0</v>
      </c>
      <c r="N284" s="41">
        <v>104.0</v>
      </c>
      <c r="O284" s="122">
        <f t="shared" si="1"/>
        <v>0.2115384615</v>
      </c>
      <c r="P284" s="123">
        <f t="shared" si="5"/>
        <v>316</v>
      </c>
      <c r="Q284" s="123">
        <f t="shared" si="2"/>
        <v>0.5</v>
      </c>
      <c r="R284" s="123">
        <f t="shared" si="6"/>
        <v>0.4545454545</v>
      </c>
      <c r="S284" s="123">
        <f t="shared" si="3"/>
        <v>1.477272727</v>
      </c>
      <c r="T284" s="123">
        <f t="shared" si="4"/>
        <v>2.363636364</v>
      </c>
      <c r="U284" s="41">
        <v>8.0</v>
      </c>
      <c r="V284" s="41">
        <v>1.0</v>
      </c>
      <c r="W284" s="41">
        <v>1.0</v>
      </c>
      <c r="X284" s="41">
        <v>8.0</v>
      </c>
      <c r="Y284" s="41">
        <v>34.0</v>
      </c>
      <c r="Z284" s="41">
        <v>49.0</v>
      </c>
    </row>
    <row r="285">
      <c r="A285" s="41" t="s">
        <v>902</v>
      </c>
      <c r="B285" s="41" t="s">
        <v>860</v>
      </c>
      <c r="C285" s="41" t="s">
        <v>1381</v>
      </c>
      <c r="D285" s="41" t="s">
        <v>1382</v>
      </c>
      <c r="E285" s="41">
        <v>6.0</v>
      </c>
      <c r="F285" s="41">
        <v>4.0</v>
      </c>
      <c r="G285" s="41">
        <v>2.0</v>
      </c>
      <c r="H285" s="125">
        <v>0.6666666666666666</v>
      </c>
      <c r="I285" s="41">
        <v>1.0</v>
      </c>
      <c r="J285" s="41">
        <v>1793.0</v>
      </c>
      <c r="K285" s="41">
        <v>4.0</v>
      </c>
      <c r="L285" s="41">
        <v>1.0</v>
      </c>
      <c r="M285" s="41">
        <v>8.0</v>
      </c>
      <c r="N285" s="41">
        <v>10.0</v>
      </c>
      <c r="O285" s="122">
        <f t="shared" si="1"/>
        <v>0.4</v>
      </c>
      <c r="P285" s="123">
        <f t="shared" si="5"/>
        <v>298.8333333</v>
      </c>
      <c r="Q285" s="123">
        <f t="shared" si="2"/>
        <v>0.6666666667</v>
      </c>
      <c r="R285" s="123">
        <f t="shared" si="6"/>
        <v>0.1666666667</v>
      </c>
      <c r="S285" s="123">
        <f t="shared" si="3"/>
        <v>1.333333333</v>
      </c>
      <c r="T285" s="123">
        <f t="shared" si="4"/>
        <v>1.666666667</v>
      </c>
      <c r="U285" s="41">
        <v>1.0</v>
      </c>
      <c r="V285" s="41">
        <v>0.0</v>
      </c>
      <c r="W285" s="41">
        <v>0.0</v>
      </c>
      <c r="X285" s="41">
        <v>1.0</v>
      </c>
      <c r="Y285" s="41">
        <v>4.0</v>
      </c>
      <c r="Z285" s="41">
        <v>3.0</v>
      </c>
    </row>
    <row r="286">
      <c r="A286" s="41" t="s">
        <v>901</v>
      </c>
      <c r="B286" s="41" t="s">
        <v>374</v>
      </c>
      <c r="C286" s="41" t="s">
        <v>1383</v>
      </c>
      <c r="D286" s="41" t="s">
        <v>1199</v>
      </c>
      <c r="E286" s="41">
        <v>27.0</v>
      </c>
      <c r="F286" s="41">
        <v>15.0</v>
      </c>
      <c r="G286" s="41">
        <v>12.0</v>
      </c>
      <c r="H286" s="125">
        <v>0.5555555555555556</v>
      </c>
      <c r="I286" s="41">
        <v>2.0</v>
      </c>
      <c r="J286" s="41">
        <v>8921.0</v>
      </c>
      <c r="K286" s="41">
        <v>15.0</v>
      </c>
      <c r="L286" s="41">
        <v>16.0</v>
      </c>
      <c r="M286" s="41">
        <v>38.0</v>
      </c>
      <c r="N286" s="41">
        <v>58.0</v>
      </c>
      <c r="O286" s="122">
        <f t="shared" si="1"/>
        <v>0.2586206897</v>
      </c>
      <c r="P286" s="123">
        <f t="shared" si="5"/>
        <v>330.4074074</v>
      </c>
      <c r="Q286" s="123">
        <f t="shared" si="2"/>
        <v>0.5555555556</v>
      </c>
      <c r="R286" s="123">
        <f t="shared" si="6"/>
        <v>0.5925925926</v>
      </c>
      <c r="S286" s="123">
        <f t="shared" si="3"/>
        <v>1.407407407</v>
      </c>
      <c r="T286" s="123">
        <f t="shared" si="4"/>
        <v>2.148148148</v>
      </c>
      <c r="U286" s="41">
        <v>7.0</v>
      </c>
      <c r="V286" s="41">
        <v>0.0</v>
      </c>
      <c r="W286" s="41">
        <v>0.0</v>
      </c>
      <c r="X286" s="41">
        <v>5.0</v>
      </c>
      <c r="Y286" s="41">
        <v>24.0</v>
      </c>
      <c r="Z286" s="41">
        <v>36.0</v>
      </c>
    </row>
    <row r="287">
      <c r="A287" s="41" t="s">
        <v>901</v>
      </c>
      <c r="B287" s="41" t="s">
        <v>362</v>
      </c>
      <c r="C287" s="41" t="s">
        <v>1384</v>
      </c>
      <c r="D287" s="41" t="s">
        <v>1385</v>
      </c>
      <c r="E287" s="41">
        <v>39.0</v>
      </c>
      <c r="F287" s="41">
        <v>17.0</v>
      </c>
      <c r="G287" s="41">
        <v>22.0</v>
      </c>
      <c r="H287" s="125">
        <v>0.4358974358974359</v>
      </c>
      <c r="I287" s="41">
        <v>7.0</v>
      </c>
      <c r="J287" s="41">
        <v>12591.0</v>
      </c>
      <c r="K287" s="41">
        <v>25.0</v>
      </c>
      <c r="L287" s="41">
        <v>18.0</v>
      </c>
      <c r="M287" s="41">
        <v>58.0</v>
      </c>
      <c r="N287" s="41">
        <v>83.0</v>
      </c>
      <c r="O287" s="122">
        <f t="shared" si="1"/>
        <v>0.3012048193</v>
      </c>
      <c r="P287" s="123">
        <f t="shared" si="5"/>
        <v>322.8461538</v>
      </c>
      <c r="Q287" s="123">
        <f t="shared" si="2"/>
        <v>0.641025641</v>
      </c>
      <c r="R287" s="123">
        <f t="shared" si="6"/>
        <v>0.4615384615</v>
      </c>
      <c r="S287" s="123">
        <f t="shared" si="3"/>
        <v>1.487179487</v>
      </c>
      <c r="T287" s="123">
        <f t="shared" si="4"/>
        <v>2.128205128</v>
      </c>
      <c r="U287" s="41">
        <v>7.0</v>
      </c>
      <c r="V287" s="41">
        <v>1.0</v>
      </c>
      <c r="W287" s="41">
        <v>0.0</v>
      </c>
      <c r="X287" s="41">
        <v>6.0</v>
      </c>
      <c r="Y287" s="41">
        <v>29.0</v>
      </c>
      <c r="Z287" s="41">
        <v>38.0</v>
      </c>
    </row>
    <row r="288">
      <c r="A288" s="41" t="s">
        <v>909</v>
      </c>
      <c r="B288" s="41" t="s">
        <v>100</v>
      </c>
      <c r="C288" s="41" t="s">
        <v>1386</v>
      </c>
      <c r="D288" s="41" t="s">
        <v>948</v>
      </c>
      <c r="E288" s="41">
        <v>21.0</v>
      </c>
      <c r="F288" s="41">
        <v>7.0</v>
      </c>
      <c r="G288" s="41">
        <v>14.0</v>
      </c>
      <c r="H288" s="125">
        <v>0.3333333333333333</v>
      </c>
      <c r="I288" s="41">
        <v>0.0</v>
      </c>
      <c r="J288" s="41">
        <v>5105.0</v>
      </c>
      <c r="K288" s="41">
        <v>8.0</v>
      </c>
      <c r="L288" s="41">
        <v>8.0</v>
      </c>
      <c r="M288" s="41">
        <v>27.0</v>
      </c>
      <c r="N288" s="41">
        <v>20.0</v>
      </c>
      <c r="O288" s="122">
        <f t="shared" si="1"/>
        <v>0.4</v>
      </c>
      <c r="P288" s="123">
        <f t="shared" si="5"/>
        <v>243.0952381</v>
      </c>
      <c r="Q288" s="123">
        <f t="shared" si="2"/>
        <v>0.380952381</v>
      </c>
      <c r="R288" s="123">
        <f t="shared" si="6"/>
        <v>0.380952381</v>
      </c>
      <c r="S288" s="123">
        <f t="shared" si="3"/>
        <v>1.285714286</v>
      </c>
      <c r="T288" s="123">
        <f t="shared" si="4"/>
        <v>0.9523809524</v>
      </c>
      <c r="U288" s="41">
        <v>0.0</v>
      </c>
      <c r="V288" s="41">
        <v>0.0</v>
      </c>
      <c r="W288" s="41">
        <v>0.0</v>
      </c>
      <c r="X288" s="41">
        <v>4.0</v>
      </c>
      <c r="Y288" s="41">
        <v>14.0</v>
      </c>
      <c r="Z288" s="41">
        <v>25.0</v>
      </c>
    </row>
    <row r="289">
      <c r="A289" s="41" t="s">
        <v>904</v>
      </c>
      <c r="B289" s="41" t="s">
        <v>699</v>
      </c>
      <c r="C289" s="41" t="s">
        <v>1387</v>
      </c>
      <c r="D289" s="41" t="s">
        <v>1388</v>
      </c>
      <c r="E289" s="41">
        <v>8.0</v>
      </c>
      <c r="F289" s="41">
        <v>3.0</v>
      </c>
      <c r="G289" s="41">
        <v>5.0</v>
      </c>
      <c r="H289" s="125">
        <v>0.375</v>
      </c>
      <c r="I289" s="41">
        <v>0.0</v>
      </c>
      <c r="J289" s="41">
        <v>2431.0</v>
      </c>
      <c r="K289" s="41">
        <v>5.0</v>
      </c>
      <c r="L289" s="41">
        <v>2.0</v>
      </c>
      <c r="M289" s="41">
        <v>11.0</v>
      </c>
      <c r="N289" s="41">
        <v>15.0</v>
      </c>
      <c r="O289" s="122">
        <f t="shared" si="1"/>
        <v>0.3333333333</v>
      </c>
      <c r="P289" s="123">
        <f t="shared" si="5"/>
        <v>303.875</v>
      </c>
      <c r="Q289" s="123">
        <f t="shared" si="2"/>
        <v>0.625</v>
      </c>
      <c r="R289" s="123">
        <f t="shared" si="6"/>
        <v>0.25</v>
      </c>
      <c r="S289" s="123">
        <f t="shared" si="3"/>
        <v>1.375</v>
      </c>
      <c r="T289" s="123">
        <f t="shared" si="4"/>
        <v>1.875</v>
      </c>
      <c r="U289" s="41">
        <v>1.0</v>
      </c>
      <c r="V289" s="41">
        <v>0.0</v>
      </c>
      <c r="W289" s="41">
        <v>0.0</v>
      </c>
      <c r="X289" s="41">
        <v>1.0</v>
      </c>
      <c r="Y289" s="41">
        <v>6.0</v>
      </c>
      <c r="Z289" s="41">
        <v>9.0</v>
      </c>
    </row>
    <row r="290">
      <c r="A290" s="41" t="s">
        <v>902</v>
      </c>
      <c r="B290" s="41" t="s">
        <v>760</v>
      </c>
      <c r="C290" s="41" t="s">
        <v>1389</v>
      </c>
      <c r="D290" s="41" t="s">
        <v>1363</v>
      </c>
      <c r="E290" s="41">
        <v>48.0</v>
      </c>
      <c r="F290" s="41">
        <v>17.0</v>
      </c>
      <c r="G290" s="41">
        <v>31.0</v>
      </c>
      <c r="H290" s="125">
        <v>0.3541666666666667</v>
      </c>
      <c r="I290" s="41">
        <v>9.0</v>
      </c>
      <c r="J290" s="41">
        <v>19917.0</v>
      </c>
      <c r="K290" s="41">
        <v>41.0</v>
      </c>
      <c r="L290" s="41">
        <v>26.0</v>
      </c>
      <c r="M290" s="41">
        <v>84.0</v>
      </c>
      <c r="N290" s="41">
        <v>133.0</v>
      </c>
      <c r="O290" s="122">
        <f t="shared" si="1"/>
        <v>0.3082706767</v>
      </c>
      <c r="P290" s="123">
        <f t="shared" si="5"/>
        <v>414.9375</v>
      </c>
      <c r="Q290" s="123">
        <f t="shared" si="2"/>
        <v>0.8541666667</v>
      </c>
      <c r="R290" s="123">
        <f t="shared" si="6"/>
        <v>0.5416666667</v>
      </c>
      <c r="S290" s="123">
        <f t="shared" si="3"/>
        <v>1.75</v>
      </c>
      <c r="T290" s="123">
        <f t="shared" si="4"/>
        <v>2.770833333</v>
      </c>
      <c r="U290" s="41">
        <v>8.0</v>
      </c>
      <c r="V290" s="41">
        <v>2.0</v>
      </c>
      <c r="W290" s="41">
        <v>0.0</v>
      </c>
      <c r="X290" s="41">
        <v>14.0</v>
      </c>
      <c r="Y290" s="41">
        <v>67.0</v>
      </c>
      <c r="Z290" s="41">
        <v>47.0</v>
      </c>
    </row>
    <row r="291">
      <c r="A291" s="41" t="s">
        <v>901</v>
      </c>
      <c r="B291" s="41" t="s">
        <v>332</v>
      </c>
      <c r="C291" s="41" t="s">
        <v>1390</v>
      </c>
      <c r="D291" s="41" t="s">
        <v>1067</v>
      </c>
      <c r="E291" s="41">
        <v>52.0</v>
      </c>
      <c r="F291" s="41">
        <v>27.0</v>
      </c>
      <c r="G291" s="41">
        <v>25.0</v>
      </c>
      <c r="H291" s="125">
        <v>0.5192307692307693</v>
      </c>
      <c r="I291" s="41">
        <v>5.0</v>
      </c>
      <c r="J291" s="41">
        <v>18165.0</v>
      </c>
      <c r="K291" s="41">
        <v>43.0</v>
      </c>
      <c r="L291" s="41">
        <v>29.0</v>
      </c>
      <c r="M291" s="41">
        <v>69.0</v>
      </c>
      <c r="N291" s="41">
        <v>126.0</v>
      </c>
      <c r="O291" s="122">
        <f t="shared" si="1"/>
        <v>0.3412698413</v>
      </c>
      <c r="P291" s="123">
        <f t="shared" si="5"/>
        <v>349.3269231</v>
      </c>
      <c r="Q291" s="123">
        <f t="shared" si="2"/>
        <v>0.8269230769</v>
      </c>
      <c r="R291" s="123">
        <f t="shared" si="6"/>
        <v>0.5576923077</v>
      </c>
      <c r="S291" s="123">
        <f t="shared" si="3"/>
        <v>1.326923077</v>
      </c>
      <c r="T291" s="123">
        <f t="shared" si="4"/>
        <v>2.423076923</v>
      </c>
      <c r="U291" s="41">
        <v>10.0</v>
      </c>
      <c r="V291" s="41">
        <v>4.0</v>
      </c>
      <c r="W291" s="41">
        <v>1.0</v>
      </c>
      <c r="X291" s="41">
        <v>8.0</v>
      </c>
      <c r="Y291" s="41">
        <v>40.0</v>
      </c>
      <c r="Z291" s="41">
        <v>61.0</v>
      </c>
    </row>
    <row r="292">
      <c r="A292" s="41" t="s">
        <v>899</v>
      </c>
      <c r="B292" s="41" t="s">
        <v>430</v>
      </c>
      <c r="C292" s="41" t="s">
        <v>1391</v>
      </c>
      <c r="D292" s="41" t="s">
        <v>1150</v>
      </c>
      <c r="E292" s="41">
        <v>55.0</v>
      </c>
      <c r="F292" s="41">
        <v>28.0</v>
      </c>
      <c r="G292" s="41">
        <v>27.0</v>
      </c>
      <c r="H292" s="125">
        <v>0.509090909090909</v>
      </c>
      <c r="I292" s="41">
        <v>10.0</v>
      </c>
      <c r="J292" s="41">
        <v>18599.0</v>
      </c>
      <c r="K292" s="41">
        <v>48.0</v>
      </c>
      <c r="L292" s="41">
        <v>31.0</v>
      </c>
      <c r="M292" s="41">
        <v>69.0</v>
      </c>
      <c r="N292" s="41">
        <v>112.0</v>
      </c>
      <c r="O292" s="122">
        <f t="shared" si="1"/>
        <v>0.4285714286</v>
      </c>
      <c r="P292" s="123">
        <f t="shared" si="5"/>
        <v>338.1636364</v>
      </c>
      <c r="Q292" s="123">
        <f t="shared" si="2"/>
        <v>0.8727272727</v>
      </c>
      <c r="R292" s="123">
        <f t="shared" si="6"/>
        <v>0.5636363636</v>
      </c>
      <c r="S292" s="123">
        <f t="shared" si="3"/>
        <v>1.254545455</v>
      </c>
      <c r="T292" s="123">
        <f t="shared" si="4"/>
        <v>2.036363636</v>
      </c>
      <c r="U292" s="41">
        <v>14.0</v>
      </c>
      <c r="V292" s="41">
        <v>4.0</v>
      </c>
      <c r="W292" s="41">
        <v>1.0</v>
      </c>
      <c r="X292" s="41">
        <v>3.0</v>
      </c>
      <c r="Y292" s="41">
        <v>65.0</v>
      </c>
      <c r="Z292" s="41">
        <v>51.0</v>
      </c>
    </row>
    <row r="293">
      <c r="A293" s="41" t="s">
        <v>902</v>
      </c>
      <c r="B293" s="41" t="s">
        <v>830</v>
      </c>
      <c r="C293" s="41" t="s">
        <v>1392</v>
      </c>
      <c r="D293" s="41" t="s">
        <v>1006</v>
      </c>
      <c r="E293" s="41">
        <v>25.0</v>
      </c>
      <c r="F293" s="41">
        <v>9.0</v>
      </c>
      <c r="G293" s="41">
        <v>16.0</v>
      </c>
      <c r="H293" s="125">
        <v>0.36</v>
      </c>
      <c r="I293" s="41">
        <v>1.0</v>
      </c>
      <c r="J293" s="41">
        <v>7640.0</v>
      </c>
      <c r="K293" s="41">
        <v>14.0</v>
      </c>
      <c r="L293" s="41">
        <v>14.0</v>
      </c>
      <c r="M293" s="41">
        <v>31.0</v>
      </c>
      <c r="N293" s="41">
        <v>65.0</v>
      </c>
      <c r="O293" s="122">
        <f t="shared" si="1"/>
        <v>0.2153846154</v>
      </c>
      <c r="P293" s="123">
        <f t="shared" si="5"/>
        <v>305.6</v>
      </c>
      <c r="Q293" s="123">
        <f t="shared" si="2"/>
        <v>0.56</v>
      </c>
      <c r="R293" s="123">
        <f t="shared" si="6"/>
        <v>0.56</v>
      </c>
      <c r="S293" s="123">
        <f t="shared" si="3"/>
        <v>1.24</v>
      </c>
      <c r="T293" s="123">
        <f t="shared" si="4"/>
        <v>2.6</v>
      </c>
      <c r="U293" s="41">
        <v>4.0</v>
      </c>
      <c r="V293" s="41">
        <v>0.0</v>
      </c>
      <c r="W293" s="41">
        <v>0.0</v>
      </c>
      <c r="X293" s="41">
        <v>2.0</v>
      </c>
      <c r="Y293" s="41">
        <v>53.0</v>
      </c>
      <c r="Z293" s="41">
        <v>24.0</v>
      </c>
    </row>
    <row r="294">
      <c r="A294" s="41" t="s">
        <v>904</v>
      </c>
      <c r="B294" s="41" t="s">
        <v>651</v>
      </c>
      <c r="C294" s="41" t="s">
        <v>1393</v>
      </c>
      <c r="D294" s="41" t="s">
        <v>1394</v>
      </c>
      <c r="E294" s="41">
        <v>52.0</v>
      </c>
      <c r="F294" s="41">
        <v>33.0</v>
      </c>
      <c r="G294" s="41">
        <v>19.0</v>
      </c>
      <c r="H294" s="125">
        <v>0.6346153846153846</v>
      </c>
      <c r="I294" s="41">
        <v>9.0</v>
      </c>
      <c r="J294" s="41">
        <v>16337.0</v>
      </c>
      <c r="K294" s="41">
        <v>33.0</v>
      </c>
      <c r="L294" s="41">
        <v>29.0</v>
      </c>
      <c r="M294" s="41">
        <v>62.0</v>
      </c>
      <c r="N294" s="41">
        <v>127.0</v>
      </c>
      <c r="O294" s="122">
        <f t="shared" si="1"/>
        <v>0.2598425197</v>
      </c>
      <c r="P294" s="123">
        <f t="shared" si="5"/>
        <v>314.1730769</v>
      </c>
      <c r="Q294" s="123">
        <f t="shared" si="2"/>
        <v>0.6346153846</v>
      </c>
      <c r="R294" s="123">
        <f t="shared" si="6"/>
        <v>0.5576923077</v>
      </c>
      <c r="S294" s="123">
        <f t="shared" si="3"/>
        <v>1.192307692</v>
      </c>
      <c r="T294" s="123">
        <f t="shared" si="4"/>
        <v>2.442307692</v>
      </c>
      <c r="U294" s="41">
        <v>13.0</v>
      </c>
      <c r="V294" s="41">
        <v>0.0</v>
      </c>
      <c r="W294" s="41">
        <v>1.0</v>
      </c>
      <c r="X294" s="41">
        <v>4.0</v>
      </c>
      <c r="Y294" s="41">
        <v>68.0</v>
      </c>
      <c r="Z294" s="41">
        <v>52.0</v>
      </c>
    </row>
    <row r="295">
      <c r="A295" s="41" t="s">
        <v>901</v>
      </c>
      <c r="B295" s="41" t="s">
        <v>342</v>
      </c>
      <c r="C295" s="41" t="s">
        <v>1395</v>
      </c>
      <c r="D295" s="41" t="s">
        <v>1152</v>
      </c>
      <c r="E295" s="41">
        <v>39.0</v>
      </c>
      <c r="F295" s="41">
        <v>13.0</v>
      </c>
      <c r="G295" s="41">
        <v>26.0</v>
      </c>
      <c r="H295" s="125">
        <v>0.3333333333333333</v>
      </c>
      <c r="I295" s="41">
        <v>4.0</v>
      </c>
      <c r="J295" s="41">
        <v>13674.0</v>
      </c>
      <c r="K295" s="41">
        <v>33.0</v>
      </c>
      <c r="L295" s="41">
        <v>18.0</v>
      </c>
      <c r="M295" s="41">
        <v>53.0</v>
      </c>
      <c r="N295" s="41">
        <v>112.0</v>
      </c>
      <c r="O295" s="122">
        <f t="shared" si="1"/>
        <v>0.2946428571</v>
      </c>
      <c r="P295" s="123">
        <f t="shared" si="5"/>
        <v>350.6153846</v>
      </c>
      <c r="Q295" s="123">
        <f t="shared" si="2"/>
        <v>0.8461538462</v>
      </c>
      <c r="R295" s="123">
        <f t="shared" si="6"/>
        <v>0.4615384615</v>
      </c>
      <c r="S295" s="123">
        <f t="shared" si="3"/>
        <v>1.358974359</v>
      </c>
      <c r="T295" s="123">
        <f t="shared" si="4"/>
        <v>2.871794872</v>
      </c>
      <c r="U295" s="41">
        <v>8.0</v>
      </c>
      <c r="V295" s="41">
        <v>1.0</v>
      </c>
      <c r="W295" s="41">
        <v>0.0</v>
      </c>
      <c r="X295" s="41">
        <v>6.0</v>
      </c>
      <c r="Y295" s="41">
        <v>83.0</v>
      </c>
      <c r="Z295" s="41">
        <v>41.0</v>
      </c>
    </row>
    <row r="296">
      <c r="A296" s="41" t="s">
        <v>901</v>
      </c>
      <c r="B296" s="41" t="s">
        <v>303</v>
      </c>
      <c r="C296" s="41" t="s">
        <v>1396</v>
      </c>
      <c r="D296" s="41" t="s">
        <v>915</v>
      </c>
      <c r="E296" s="41">
        <v>45.0</v>
      </c>
      <c r="F296" s="41">
        <v>28.0</v>
      </c>
      <c r="G296" s="41">
        <v>17.0</v>
      </c>
      <c r="H296" s="125">
        <v>0.6222222222222222</v>
      </c>
      <c r="I296" s="41">
        <v>11.0</v>
      </c>
      <c r="J296" s="41">
        <v>17024.0</v>
      </c>
      <c r="K296" s="41">
        <v>39.0</v>
      </c>
      <c r="L296" s="41">
        <v>27.0</v>
      </c>
      <c r="M296" s="41">
        <v>69.0</v>
      </c>
      <c r="N296" s="41">
        <v>105.0</v>
      </c>
      <c r="O296" s="122">
        <f t="shared" si="1"/>
        <v>0.3714285714</v>
      </c>
      <c r="P296" s="123">
        <f t="shared" si="5"/>
        <v>378.3111111</v>
      </c>
      <c r="Q296" s="123">
        <f t="shared" si="2"/>
        <v>0.8666666667</v>
      </c>
      <c r="R296" s="123">
        <f t="shared" si="6"/>
        <v>0.6</v>
      </c>
      <c r="S296" s="123">
        <f t="shared" si="3"/>
        <v>1.533333333</v>
      </c>
      <c r="T296" s="123">
        <f t="shared" si="4"/>
        <v>2.333333333</v>
      </c>
      <c r="U296" s="41">
        <v>15.0</v>
      </c>
      <c r="V296" s="41">
        <v>2.0</v>
      </c>
      <c r="W296" s="41">
        <v>0.0</v>
      </c>
      <c r="X296" s="41">
        <v>8.0</v>
      </c>
      <c r="Y296" s="41">
        <v>76.0</v>
      </c>
      <c r="Z296" s="41">
        <v>37.0</v>
      </c>
    </row>
    <row r="297">
      <c r="A297" s="41" t="s">
        <v>901</v>
      </c>
      <c r="B297" s="41" t="s">
        <v>271</v>
      </c>
      <c r="C297" s="41" t="s">
        <v>1397</v>
      </c>
      <c r="D297" s="41" t="s">
        <v>1156</v>
      </c>
      <c r="E297" s="41">
        <v>36.0</v>
      </c>
      <c r="F297" s="41">
        <v>20.0</v>
      </c>
      <c r="G297" s="41">
        <v>16.0</v>
      </c>
      <c r="H297" s="125">
        <v>0.5555555555555556</v>
      </c>
      <c r="I297" s="41">
        <v>11.0</v>
      </c>
      <c r="J297" s="41">
        <v>15962.0</v>
      </c>
      <c r="K297" s="41">
        <v>37.0</v>
      </c>
      <c r="L297" s="41">
        <v>24.0</v>
      </c>
      <c r="M297" s="41">
        <v>71.0</v>
      </c>
      <c r="N297" s="41">
        <v>110.0</v>
      </c>
      <c r="O297" s="122">
        <f t="shared" si="1"/>
        <v>0.3363636364</v>
      </c>
      <c r="P297" s="123">
        <f t="shared" si="5"/>
        <v>443.3888889</v>
      </c>
      <c r="Q297" s="123">
        <f t="shared" si="2"/>
        <v>1.027777778</v>
      </c>
      <c r="R297" s="123">
        <f t="shared" si="6"/>
        <v>0.6666666667</v>
      </c>
      <c r="S297" s="123">
        <f t="shared" si="3"/>
        <v>1.972222222</v>
      </c>
      <c r="T297" s="123">
        <f t="shared" si="4"/>
        <v>3.055555556</v>
      </c>
      <c r="U297" s="41">
        <v>9.0</v>
      </c>
      <c r="V297" s="41">
        <v>4.0</v>
      </c>
      <c r="W297" s="41">
        <v>2.0</v>
      </c>
      <c r="X297" s="41">
        <v>11.0</v>
      </c>
      <c r="Y297" s="41">
        <v>38.0</v>
      </c>
      <c r="Z297" s="41">
        <v>36.0</v>
      </c>
    </row>
    <row r="298">
      <c r="A298" s="41" t="s">
        <v>904</v>
      </c>
      <c r="B298" s="41" t="s">
        <v>706</v>
      </c>
      <c r="C298" s="41" t="s">
        <v>1398</v>
      </c>
      <c r="D298" s="41" t="s">
        <v>1399</v>
      </c>
      <c r="E298" s="41">
        <v>24.0</v>
      </c>
      <c r="F298" s="41">
        <v>10.0</v>
      </c>
      <c r="G298" s="41">
        <v>14.0</v>
      </c>
      <c r="H298" s="125">
        <v>0.4166666666666667</v>
      </c>
      <c r="I298" s="41">
        <v>0.0</v>
      </c>
      <c r="J298" s="41">
        <v>6604.0</v>
      </c>
      <c r="K298" s="41">
        <v>11.0</v>
      </c>
      <c r="L298" s="41">
        <v>10.0</v>
      </c>
      <c r="M298" s="41">
        <v>25.0</v>
      </c>
      <c r="N298" s="41">
        <v>49.0</v>
      </c>
      <c r="O298" s="122">
        <f t="shared" si="1"/>
        <v>0.2244897959</v>
      </c>
      <c r="P298" s="123">
        <f t="shared" si="5"/>
        <v>275.1666667</v>
      </c>
      <c r="Q298" s="123">
        <f t="shared" si="2"/>
        <v>0.4583333333</v>
      </c>
      <c r="R298" s="123">
        <f t="shared" si="6"/>
        <v>0.4166666667</v>
      </c>
      <c r="S298" s="123">
        <f t="shared" si="3"/>
        <v>1.041666667</v>
      </c>
      <c r="T298" s="123">
        <f t="shared" si="4"/>
        <v>2.041666667</v>
      </c>
      <c r="U298" s="41">
        <v>2.0</v>
      </c>
      <c r="V298" s="41">
        <v>0.0</v>
      </c>
      <c r="W298" s="41">
        <v>1.0</v>
      </c>
      <c r="X298" s="41">
        <v>3.0</v>
      </c>
      <c r="Y298" s="41">
        <v>23.0</v>
      </c>
      <c r="Z298" s="41">
        <v>22.0</v>
      </c>
    </row>
    <row r="299">
      <c r="A299" s="41" t="s">
        <v>904</v>
      </c>
      <c r="B299" s="41" t="s">
        <v>626</v>
      </c>
      <c r="C299" s="41" t="s">
        <v>1400</v>
      </c>
      <c r="D299" s="41" t="s">
        <v>1329</v>
      </c>
      <c r="E299" s="41">
        <v>56.0</v>
      </c>
      <c r="F299" s="41">
        <v>40.0</v>
      </c>
      <c r="G299" s="41">
        <v>16.0</v>
      </c>
      <c r="H299" s="125">
        <v>0.7142857142857143</v>
      </c>
      <c r="I299" s="41">
        <v>11.0</v>
      </c>
      <c r="J299" s="41">
        <v>19134.0</v>
      </c>
      <c r="K299" s="41">
        <v>47.0</v>
      </c>
      <c r="L299" s="41">
        <v>32.0</v>
      </c>
      <c r="M299" s="41">
        <v>64.0</v>
      </c>
      <c r="N299" s="41">
        <v>132.0</v>
      </c>
      <c r="O299" s="122">
        <f t="shared" si="1"/>
        <v>0.3560606061</v>
      </c>
      <c r="P299" s="123">
        <f t="shared" si="5"/>
        <v>341.6785714</v>
      </c>
      <c r="Q299" s="123">
        <f t="shared" si="2"/>
        <v>0.8392857143</v>
      </c>
      <c r="R299" s="123">
        <f t="shared" si="6"/>
        <v>0.5714285714</v>
      </c>
      <c r="S299" s="123">
        <f t="shared" si="3"/>
        <v>1.142857143</v>
      </c>
      <c r="T299" s="123">
        <f t="shared" si="4"/>
        <v>2.357142857</v>
      </c>
      <c r="U299" s="41">
        <v>9.0</v>
      </c>
      <c r="V299" s="41">
        <v>2.0</v>
      </c>
      <c r="W299" s="41">
        <v>2.0</v>
      </c>
      <c r="X299" s="41">
        <v>7.0</v>
      </c>
      <c r="Y299" s="41">
        <v>95.0</v>
      </c>
      <c r="Z299" s="41">
        <v>54.0</v>
      </c>
    </row>
    <row r="300">
      <c r="A300" s="41" t="s">
        <v>901</v>
      </c>
      <c r="B300" s="41" t="s">
        <v>269</v>
      </c>
      <c r="C300" s="41" t="s">
        <v>1401</v>
      </c>
      <c r="D300" s="41" t="s">
        <v>1109</v>
      </c>
      <c r="E300" s="41">
        <v>56.0</v>
      </c>
      <c r="F300" s="41">
        <v>31.0</v>
      </c>
      <c r="G300" s="41">
        <v>25.0</v>
      </c>
      <c r="H300" s="125">
        <v>0.5535714285714286</v>
      </c>
      <c r="I300" s="41">
        <v>17.0</v>
      </c>
      <c r="J300" s="41">
        <v>23227.0</v>
      </c>
      <c r="K300" s="41">
        <v>47.0</v>
      </c>
      <c r="L300" s="41">
        <v>49.0</v>
      </c>
      <c r="M300" s="41">
        <v>84.0</v>
      </c>
      <c r="N300" s="41">
        <v>164.0</v>
      </c>
      <c r="O300" s="122">
        <f t="shared" si="1"/>
        <v>0.2865853659</v>
      </c>
      <c r="P300" s="123">
        <f t="shared" si="5"/>
        <v>414.7678571</v>
      </c>
      <c r="Q300" s="123">
        <f t="shared" si="2"/>
        <v>0.8392857143</v>
      </c>
      <c r="R300" s="123">
        <f t="shared" si="6"/>
        <v>0.875</v>
      </c>
      <c r="S300" s="123">
        <f t="shared" si="3"/>
        <v>1.5</v>
      </c>
      <c r="T300" s="123">
        <f t="shared" si="4"/>
        <v>2.928571429</v>
      </c>
      <c r="U300" s="41">
        <v>14.0</v>
      </c>
      <c r="V300" s="41">
        <v>4.0</v>
      </c>
      <c r="W300" s="41">
        <v>3.0</v>
      </c>
      <c r="X300" s="41">
        <v>13.0</v>
      </c>
      <c r="Y300" s="41">
        <v>20.0</v>
      </c>
      <c r="Z300" s="41">
        <v>68.0</v>
      </c>
    </row>
    <row r="301">
      <c r="A301" s="41" t="s">
        <v>904</v>
      </c>
      <c r="B301" s="41" t="s">
        <v>704</v>
      </c>
      <c r="C301" s="41" t="s">
        <v>1402</v>
      </c>
      <c r="D301" s="41" t="s">
        <v>1379</v>
      </c>
      <c r="E301" s="41">
        <v>44.0</v>
      </c>
      <c r="F301" s="41">
        <v>14.0</v>
      </c>
      <c r="G301" s="41">
        <v>30.0</v>
      </c>
      <c r="H301" s="125">
        <v>0.3181818181818182</v>
      </c>
      <c r="I301" s="41">
        <v>4.0</v>
      </c>
      <c r="J301" s="41">
        <v>14012.0</v>
      </c>
      <c r="K301" s="41">
        <v>33.0</v>
      </c>
      <c r="L301" s="41">
        <v>13.0</v>
      </c>
      <c r="M301" s="41">
        <v>47.0</v>
      </c>
      <c r="N301" s="41">
        <v>104.0</v>
      </c>
      <c r="O301" s="122">
        <f t="shared" si="1"/>
        <v>0.3173076923</v>
      </c>
      <c r="P301" s="123">
        <f t="shared" si="5"/>
        <v>318.4545455</v>
      </c>
      <c r="Q301" s="123">
        <f t="shared" si="2"/>
        <v>0.75</v>
      </c>
      <c r="R301" s="123">
        <f t="shared" si="6"/>
        <v>0.2954545455</v>
      </c>
      <c r="S301" s="123">
        <f t="shared" si="3"/>
        <v>1.068181818</v>
      </c>
      <c r="T301" s="123">
        <f t="shared" si="4"/>
        <v>2.363636364</v>
      </c>
      <c r="U301" s="41">
        <v>1.0</v>
      </c>
      <c r="V301" s="41">
        <v>3.0</v>
      </c>
      <c r="W301" s="41">
        <v>0.0</v>
      </c>
      <c r="X301" s="41">
        <v>5.0</v>
      </c>
      <c r="Y301" s="41">
        <v>33.0</v>
      </c>
      <c r="Z301" s="41">
        <v>53.0</v>
      </c>
    </row>
    <row r="302">
      <c r="A302" s="41" t="s">
        <v>906</v>
      </c>
      <c r="B302" s="41" t="s">
        <v>570</v>
      </c>
      <c r="C302" s="41" t="s">
        <v>1403</v>
      </c>
      <c r="D302" s="41" t="s">
        <v>1404</v>
      </c>
      <c r="E302" s="41">
        <v>40.0</v>
      </c>
      <c r="F302" s="41">
        <v>10.0</v>
      </c>
      <c r="G302" s="41">
        <v>30.0</v>
      </c>
      <c r="H302" s="125">
        <v>0.25</v>
      </c>
      <c r="I302" s="41">
        <v>3.0</v>
      </c>
      <c r="J302" s="41">
        <v>9674.0</v>
      </c>
      <c r="K302" s="41">
        <v>20.0</v>
      </c>
      <c r="L302" s="41">
        <v>13.0</v>
      </c>
      <c r="M302" s="41">
        <v>42.0</v>
      </c>
      <c r="N302" s="41">
        <v>51.0</v>
      </c>
      <c r="O302" s="122">
        <f t="shared" si="1"/>
        <v>0.3921568627</v>
      </c>
      <c r="P302" s="123">
        <f t="shared" si="5"/>
        <v>241.85</v>
      </c>
      <c r="Q302" s="123">
        <f t="shared" si="2"/>
        <v>0.5</v>
      </c>
      <c r="R302" s="123">
        <f t="shared" si="6"/>
        <v>0.325</v>
      </c>
      <c r="S302" s="123">
        <f t="shared" si="3"/>
        <v>1.05</v>
      </c>
      <c r="T302" s="123">
        <f t="shared" si="4"/>
        <v>1.275</v>
      </c>
      <c r="U302" s="41">
        <v>2.0</v>
      </c>
      <c r="V302" s="41">
        <v>0.0</v>
      </c>
      <c r="W302" s="41">
        <v>1.0</v>
      </c>
      <c r="X302" s="41">
        <v>5.0</v>
      </c>
      <c r="Y302" s="41">
        <v>41.0</v>
      </c>
      <c r="Z302" s="41">
        <v>49.0</v>
      </c>
    </row>
    <row r="303">
      <c r="A303" s="41" t="s">
        <v>906</v>
      </c>
      <c r="B303" s="41" t="s">
        <v>554</v>
      </c>
      <c r="C303" s="41" t="s">
        <v>1405</v>
      </c>
      <c r="D303" s="41" t="s">
        <v>1005</v>
      </c>
      <c r="E303" s="41">
        <v>53.0</v>
      </c>
      <c r="F303" s="41">
        <v>18.0</v>
      </c>
      <c r="G303" s="41">
        <v>35.0</v>
      </c>
      <c r="H303" s="125">
        <v>0.33962264150943394</v>
      </c>
      <c r="I303" s="41">
        <v>8.0</v>
      </c>
      <c r="J303" s="41">
        <v>16591.0</v>
      </c>
      <c r="K303" s="41">
        <v>35.0</v>
      </c>
      <c r="L303" s="41">
        <v>22.0</v>
      </c>
      <c r="M303" s="41">
        <v>62.0</v>
      </c>
      <c r="N303" s="41">
        <v>123.0</v>
      </c>
      <c r="O303" s="122">
        <f t="shared" si="1"/>
        <v>0.2845528455</v>
      </c>
      <c r="P303" s="123">
        <f t="shared" si="5"/>
        <v>313.0377358</v>
      </c>
      <c r="Q303" s="123">
        <f t="shared" si="2"/>
        <v>0.6603773585</v>
      </c>
      <c r="R303" s="123">
        <f t="shared" si="6"/>
        <v>0.4150943396</v>
      </c>
      <c r="S303" s="123">
        <f t="shared" si="3"/>
        <v>1.169811321</v>
      </c>
      <c r="T303" s="123">
        <f t="shared" si="4"/>
        <v>2.320754717</v>
      </c>
      <c r="U303" s="41">
        <v>2.0</v>
      </c>
      <c r="V303" s="41">
        <v>2.0</v>
      </c>
      <c r="W303" s="41">
        <v>2.0</v>
      </c>
      <c r="X303" s="41">
        <v>5.0</v>
      </c>
      <c r="Y303" s="41">
        <v>87.0</v>
      </c>
      <c r="Z303" s="41">
        <v>57.0</v>
      </c>
    </row>
    <row r="304">
      <c r="A304" s="41" t="s">
        <v>905</v>
      </c>
      <c r="B304" s="41" t="s">
        <v>116</v>
      </c>
      <c r="C304" s="41" t="s">
        <v>1406</v>
      </c>
      <c r="D304" s="41" t="s">
        <v>1407</v>
      </c>
      <c r="E304" s="41">
        <v>2.0</v>
      </c>
      <c r="F304" s="41">
        <v>1.0</v>
      </c>
      <c r="G304" s="41">
        <v>1.0</v>
      </c>
      <c r="H304" s="125">
        <v>0.5</v>
      </c>
      <c r="I304" s="41">
        <v>0.0</v>
      </c>
      <c r="J304" s="41">
        <v>709.0</v>
      </c>
      <c r="K304" s="41">
        <v>3.0</v>
      </c>
      <c r="L304" s="41">
        <v>1.0</v>
      </c>
      <c r="M304" s="41">
        <v>1.0</v>
      </c>
      <c r="N304" s="41">
        <v>6.0</v>
      </c>
      <c r="O304" s="122">
        <f t="shared" si="1"/>
        <v>0.5</v>
      </c>
      <c r="P304" s="123">
        <f t="shared" si="5"/>
        <v>354.5</v>
      </c>
      <c r="Q304" s="123">
        <f t="shared" si="2"/>
        <v>1.5</v>
      </c>
      <c r="R304" s="123">
        <f t="shared" si="6"/>
        <v>0.5</v>
      </c>
      <c r="S304" s="123">
        <f t="shared" si="3"/>
        <v>0.5</v>
      </c>
      <c r="T304" s="123">
        <f t="shared" si="4"/>
        <v>3</v>
      </c>
      <c r="U304" s="41">
        <v>0.0</v>
      </c>
      <c r="V304" s="41">
        <v>0.0</v>
      </c>
      <c r="W304" s="41">
        <v>0.0</v>
      </c>
      <c r="X304" s="41">
        <v>0.0</v>
      </c>
      <c r="Y304" s="41">
        <v>1.0</v>
      </c>
      <c r="Z304" s="41">
        <v>3.0</v>
      </c>
    </row>
    <row r="305">
      <c r="A305" s="41" t="s">
        <v>902</v>
      </c>
      <c r="B305" s="41" t="s">
        <v>764</v>
      </c>
      <c r="C305" s="41" t="s">
        <v>1408</v>
      </c>
      <c r="D305" s="41" t="s">
        <v>1409</v>
      </c>
      <c r="E305" s="41">
        <v>37.0</v>
      </c>
      <c r="F305" s="41">
        <v>20.0</v>
      </c>
      <c r="G305" s="41">
        <v>17.0</v>
      </c>
      <c r="H305" s="125">
        <v>0.5405405405405406</v>
      </c>
      <c r="I305" s="41">
        <v>6.0</v>
      </c>
      <c r="J305" s="41">
        <v>14368.0</v>
      </c>
      <c r="K305" s="41">
        <v>31.0</v>
      </c>
      <c r="L305" s="41">
        <v>18.0</v>
      </c>
      <c r="M305" s="41">
        <v>63.0</v>
      </c>
      <c r="N305" s="41">
        <v>109.0</v>
      </c>
      <c r="O305" s="122">
        <f t="shared" si="1"/>
        <v>0.2844036697</v>
      </c>
      <c r="P305" s="123">
        <f t="shared" si="5"/>
        <v>388.3243243</v>
      </c>
      <c r="Q305" s="123">
        <f t="shared" si="2"/>
        <v>0.8378378378</v>
      </c>
      <c r="R305" s="123">
        <f t="shared" si="6"/>
        <v>0.4864864865</v>
      </c>
      <c r="S305" s="123">
        <f t="shared" si="3"/>
        <v>1.702702703</v>
      </c>
      <c r="T305" s="123">
        <f t="shared" si="4"/>
        <v>2.945945946</v>
      </c>
      <c r="U305" s="41">
        <v>6.0</v>
      </c>
      <c r="V305" s="41">
        <v>2.0</v>
      </c>
      <c r="W305" s="41">
        <v>0.0</v>
      </c>
      <c r="X305" s="41">
        <v>8.0</v>
      </c>
      <c r="Y305" s="41">
        <v>18.0</v>
      </c>
      <c r="Z305" s="41">
        <v>54.0</v>
      </c>
    </row>
    <row r="306">
      <c r="A306" s="41" t="s">
        <v>905</v>
      </c>
      <c r="B306" s="41" t="s">
        <v>123</v>
      </c>
      <c r="C306" s="41" t="s">
        <v>1410</v>
      </c>
      <c r="D306" s="41" t="s">
        <v>1224</v>
      </c>
      <c r="E306" s="41">
        <v>49.0</v>
      </c>
      <c r="F306" s="41">
        <v>27.0</v>
      </c>
      <c r="G306" s="41">
        <v>22.0</v>
      </c>
      <c r="H306" s="125">
        <v>0.5510204081632653</v>
      </c>
      <c r="I306" s="41">
        <v>14.0</v>
      </c>
      <c r="J306" s="41">
        <v>18183.0</v>
      </c>
      <c r="K306" s="41">
        <v>53.0</v>
      </c>
      <c r="L306" s="41">
        <v>26.0</v>
      </c>
      <c r="M306" s="41">
        <v>54.0</v>
      </c>
      <c r="N306" s="41">
        <v>134.0</v>
      </c>
      <c r="O306" s="122">
        <f t="shared" si="1"/>
        <v>0.3955223881</v>
      </c>
      <c r="P306" s="123">
        <f t="shared" si="5"/>
        <v>371.0816327</v>
      </c>
      <c r="Q306" s="123">
        <f t="shared" si="2"/>
        <v>1.081632653</v>
      </c>
      <c r="R306" s="123">
        <f t="shared" si="6"/>
        <v>0.5306122449</v>
      </c>
      <c r="S306" s="123">
        <f t="shared" si="3"/>
        <v>1.102040816</v>
      </c>
      <c r="T306" s="123">
        <f t="shared" si="4"/>
        <v>2.734693878</v>
      </c>
      <c r="U306" s="41">
        <v>7.0</v>
      </c>
      <c r="V306" s="41">
        <v>6.0</v>
      </c>
      <c r="W306" s="41">
        <v>0.0</v>
      </c>
      <c r="X306" s="41">
        <v>5.0</v>
      </c>
      <c r="Y306" s="41">
        <v>54.0</v>
      </c>
      <c r="Z306" s="41">
        <v>36.0</v>
      </c>
    </row>
    <row r="307">
      <c r="A307" s="41" t="s">
        <v>905</v>
      </c>
      <c r="B307" s="41" t="s">
        <v>201</v>
      </c>
      <c r="C307" s="41" t="s">
        <v>1411</v>
      </c>
      <c r="D307" s="41" t="s">
        <v>1412</v>
      </c>
      <c r="E307" s="41">
        <v>40.0</v>
      </c>
      <c r="F307" s="41">
        <v>18.0</v>
      </c>
      <c r="G307" s="41">
        <v>22.0</v>
      </c>
      <c r="H307" s="125">
        <v>0.45</v>
      </c>
      <c r="I307" s="41">
        <v>2.0</v>
      </c>
      <c r="J307" s="41">
        <v>11001.0</v>
      </c>
      <c r="K307" s="41">
        <v>25.0</v>
      </c>
      <c r="L307" s="41">
        <v>28.0</v>
      </c>
      <c r="M307" s="41">
        <v>37.0</v>
      </c>
      <c r="N307" s="41">
        <v>74.0</v>
      </c>
      <c r="O307" s="122">
        <f t="shared" si="1"/>
        <v>0.3378378378</v>
      </c>
      <c r="P307" s="123">
        <f t="shared" si="5"/>
        <v>275.025</v>
      </c>
      <c r="Q307" s="123">
        <f t="shared" si="2"/>
        <v>0.625</v>
      </c>
      <c r="R307" s="123">
        <f t="shared" si="6"/>
        <v>0.7</v>
      </c>
      <c r="S307" s="123">
        <f t="shared" si="3"/>
        <v>0.925</v>
      </c>
      <c r="T307" s="123">
        <f t="shared" si="4"/>
        <v>1.85</v>
      </c>
      <c r="U307" s="41">
        <v>8.0</v>
      </c>
      <c r="V307" s="41">
        <v>0.0</v>
      </c>
      <c r="W307" s="41">
        <v>0.0</v>
      </c>
      <c r="X307" s="41">
        <v>2.0</v>
      </c>
      <c r="Y307" s="41">
        <v>40.0</v>
      </c>
      <c r="Z307" s="41">
        <v>36.0</v>
      </c>
    </row>
    <row r="308">
      <c r="A308" s="41" t="s">
        <v>899</v>
      </c>
      <c r="B308" s="41" t="s">
        <v>424</v>
      </c>
      <c r="C308" s="41" t="s">
        <v>1413</v>
      </c>
      <c r="D308" s="41" t="s">
        <v>1012</v>
      </c>
      <c r="E308" s="41">
        <v>20.0</v>
      </c>
      <c r="F308" s="41">
        <v>11.0</v>
      </c>
      <c r="G308" s="41">
        <v>9.0</v>
      </c>
      <c r="H308" s="125">
        <v>0.55</v>
      </c>
      <c r="I308" s="41">
        <v>4.0</v>
      </c>
      <c r="J308" s="41">
        <v>5920.0</v>
      </c>
      <c r="K308" s="41">
        <v>11.0</v>
      </c>
      <c r="L308" s="41">
        <v>8.0</v>
      </c>
      <c r="M308" s="41">
        <v>24.0</v>
      </c>
      <c r="N308" s="41">
        <v>39.0</v>
      </c>
      <c r="O308" s="122">
        <f t="shared" si="1"/>
        <v>0.2820512821</v>
      </c>
      <c r="P308" s="123">
        <f t="shared" si="5"/>
        <v>296</v>
      </c>
      <c r="Q308" s="123">
        <f t="shared" si="2"/>
        <v>0.55</v>
      </c>
      <c r="R308" s="123">
        <f t="shared" si="6"/>
        <v>0.4</v>
      </c>
      <c r="S308" s="123">
        <f t="shared" si="3"/>
        <v>1.2</v>
      </c>
      <c r="T308" s="123">
        <f t="shared" si="4"/>
        <v>1.95</v>
      </c>
      <c r="U308" s="41">
        <v>3.0</v>
      </c>
      <c r="V308" s="41">
        <v>2.0</v>
      </c>
      <c r="W308" s="41">
        <v>0.0</v>
      </c>
      <c r="X308" s="41">
        <v>3.0</v>
      </c>
      <c r="Y308" s="41">
        <v>16.0</v>
      </c>
      <c r="Z308" s="41">
        <v>14.0</v>
      </c>
    </row>
    <row r="309">
      <c r="A309" s="41" t="s">
        <v>902</v>
      </c>
      <c r="B309" s="41" t="s">
        <v>749</v>
      </c>
      <c r="C309" s="41" t="s">
        <v>1414</v>
      </c>
      <c r="D309" s="41" t="s">
        <v>1204</v>
      </c>
      <c r="E309" s="41">
        <v>43.0</v>
      </c>
      <c r="F309" s="41">
        <v>24.0</v>
      </c>
      <c r="G309" s="41">
        <v>19.0</v>
      </c>
      <c r="H309" s="125">
        <v>0.5581395348837209</v>
      </c>
      <c r="I309" s="41">
        <v>6.0</v>
      </c>
      <c r="J309" s="41">
        <v>15812.0</v>
      </c>
      <c r="K309" s="41">
        <v>27.0</v>
      </c>
      <c r="L309" s="41">
        <v>38.0</v>
      </c>
      <c r="M309" s="41">
        <v>60.0</v>
      </c>
      <c r="N309" s="41">
        <v>122.0</v>
      </c>
      <c r="O309" s="122">
        <f t="shared" si="1"/>
        <v>0.2213114754</v>
      </c>
      <c r="P309" s="123">
        <f t="shared" si="5"/>
        <v>367.7209302</v>
      </c>
      <c r="Q309" s="123">
        <f t="shared" si="2"/>
        <v>0.6279069767</v>
      </c>
      <c r="R309" s="123">
        <f t="shared" si="6"/>
        <v>0.8837209302</v>
      </c>
      <c r="S309" s="123">
        <f t="shared" si="3"/>
        <v>1.395348837</v>
      </c>
      <c r="T309" s="123">
        <f t="shared" si="4"/>
        <v>2.837209302</v>
      </c>
      <c r="U309" s="41">
        <v>12.0</v>
      </c>
      <c r="V309" s="41">
        <v>0.0</v>
      </c>
      <c r="W309" s="41">
        <v>2.0</v>
      </c>
      <c r="X309" s="41">
        <v>9.0</v>
      </c>
      <c r="Y309" s="41">
        <v>40.0</v>
      </c>
      <c r="Z309" s="41">
        <v>32.0</v>
      </c>
    </row>
    <row r="310">
      <c r="A310" s="41" t="s">
        <v>905</v>
      </c>
      <c r="B310" s="41" t="s">
        <v>149</v>
      </c>
      <c r="C310" s="41" t="s">
        <v>1415</v>
      </c>
      <c r="D310" s="41" t="s">
        <v>1407</v>
      </c>
      <c r="E310" s="41">
        <v>55.0</v>
      </c>
      <c r="F310" s="41">
        <v>35.0</v>
      </c>
      <c r="G310" s="41">
        <v>20.0</v>
      </c>
      <c r="H310" s="125">
        <v>0.6363636363636364</v>
      </c>
      <c r="I310" s="41">
        <v>10.0</v>
      </c>
      <c r="J310" s="41">
        <v>18098.0</v>
      </c>
      <c r="K310" s="41">
        <v>48.0</v>
      </c>
      <c r="L310" s="41">
        <v>32.0</v>
      </c>
      <c r="M310" s="41">
        <v>48.0</v>
      </c>
      <c r="N310" s="41">
        <v>138.0</v>
      </c>
      <c r="O310" s="122">
        <f t="shared" si="1"/>
        <v>0.347826087</v>
      </c>
      <c r="P310" s="123">
        <f t="shared" si="5"/>
        <v>329.0545455</v>
      </c>
      <c r="Q310" s="123">
        <f t="shared" si="2"/>
        <v>0.8727272727</v>
      </c>
      <c r="R310" s="123">
        <f t="shared" si="6"/>
        <v>0.5818181818</v>
      </c>
      <c r="S310" s="123">
        <f t="shared" si="3"/>
        <v>0.8727272727</v>
      </c>
      <c r="T310" s="123">
        <f t="shared" si="4"/>
        <v>2.509090909</v>
      </c>
      <c r="U310" s="41">
        <v>10.0</v>
      </c>
      <c r="V310" s="41">
        <v>3.0</v>
      </c>
      <c r="W310" s="41">
        <v>1.0</v>
      </c>
      <c r="X310" s="41">
        <v>3.0</v>
      </c>
      <c r="Y310" s="41">
        <v>53.0</v>
      </c>
      <c r="Z310" s="41">
        <v>41.0</v>
      </c>
    </row>
    <row r="311">
      <c r="A311" s="41" t="s">
        <v>902</v>
      </c>
      <c r="B311" s="41" t="s">
        <v>743</v>
      </c>
      <c r="C311" s="41" t="s">
        <v>1416</v>
      </c>
      <c r="D311" s="41" t="s">
        <v>975</v>
      </c>
      <c r="E311" s="41">
        <v>48.0</v>
      </c>
      <c r="F311" s="41">
        <v>24.0</v>
      </c>
      <c r="G311" s="41">
        <v>24.0</v>
      </c>
      <c r="H311" s="125">
        <v>0.5</v>
      </c>
      <c r="I311" s="41">
        <v>11.0</v>
      </c>
      <c r="J311" s="41">
        <v>18088.0</v>
      </c>
      <c r="K311" s="41">
        <v>44.0</v>
      </c>
      <c r="L311" s="41">
        <v>40.0</v>
      </c>
      <c r="M311" s="41">
        <v>58.0</v>
      </c>
      <c r="N311" s="41">
        <v>137.0</v>
      </c>
      <c r="O311" s="122">
        <f t="shared" si="1"/>
        <v>0.3211678832</v>
      </c>
      <c r="P311" s="123">
        <f t="shared" si="5"/>
        <v>376.8333333</v>
      </c>
      <c r="Q311" s="123">
        <f t="shared" si="2"/>
        <v>0.9166666667</v>
      </c>
      <c r="R311" s="123">
        <f t="shared" si="6"/>
        <v>0.8333333333</v>
      </c>
      <c r="S311" s="123">
        <f t="shared" si="3"/>
        <v>1.208333333</v>
      </c>
      <c r="T311" s="123">
        <f t="shared" si="4"/>
        <v>2.854166667</v>
      </c>
      <c r="U311" s="41">
        <v>9.0</v>
      </c>
      <c r="V311" s="41">
        <v>4.0</v>
      </c>
      <c r="W311" s="41">
        <v>6.0</v>
      </c>
      <c r="X311" s="41">
        <v>6.0</v>
      </c>
      <c r="Y311" s="41">
        <v>85.0</v>
      </c>
      <c r="Z311" s="41">
        <v>55.0</v>
      </c>
    </row>
    <row r="312">
      <c r="A312" s="41" t="s">
        <v>902</v>
      </c>
      <c r="B312" s="41" t="s">
        <v>852</v>
      </c>
      <c r="C312" s="41" t="s">
        <v>1417</v>
      </c>
      <c r="D312" s="41" t="s">
        <v>1181</v>
      </c>
      <c r="E312" s="41">
        <v>4.0</v>
      </c>
      <c r="F312" s="41">
        <v>0.0</v>
      </c>
      <c r="G312" s="41">
        <v>4.0</v>
      </c>
      <c r="H312" s="125">
        <v>0.0</v>
      </c>
      <c r="I312" s="41">
        <v>0.0</v>
      </c>
      <c r="J312" s="41">
        <v>1101.0</v>
      </c>
      <c r="K312" s="41">
        <v>1.0</v>
      </c>
      <c r="L312" s="41">
        <v>4.0</v>
      </c>
      <c r="M312" s="41">
        <v>5.0</v>
      </c>
      <c r="N312" s="41">
        <v>11.0</v>
      </c>
      <c r="O312" s="122">
        <f t="shared" si="1"/>
        <v>0.09090909091</v>
      </c>
      <c r="P312" s="123">
        <f t="shared" si="5"/>
        <v>275.25</v>
      </c>
      <c r="Q312" s="123">
        <f t="shared" si="2"/>
        <v>0.25</v>
      </c>
      <c r="R312" s="123">
        <f t="shared" si="6"/>
        <v>1</v>
      </c>
      <c r="S312" s="123">
        <f t="shared" si="3"/>
        <v>1.25</v>
      </c>
      <c r="T312" s="123">
        <f t="shared" si="4"/>
        <v>2.75</v>
      </c>
      <c r="U312" s="41">
        <v>1.0</v>
      </c>
      <c r="V312" s="41">
        <v>0.0</v>
      </c>
      <c r="W312" s="41">
        <v>0.0</v>
      </c>
      <c r="X312" s="41">
        <v>0.0</v>
      </c>
      <c r="Y312" s="41">
        <v>5.0</v>
      </c>
      <c r="Z312" s="41">
        <v>7.0</v>
      </c>
    </row>
    <row r="313">
      <c r="A313" s="41" t="s">
        <v>899</v>
      </c>
      <c r="B313" s="41" t="s">
        <v>429</v>
      </c>
      <c r="C313" s="41" t="s">
        <v>1418</v>
      </c>
      <c r="D313" s="41" t="s">
        <v>936</v>
      </c>
      <c r="E313" s="41">
        <v>42.0</v>
      </c>
      <c r="F313" s="41">
        <v>20.0</v>
      </c>
      <c r="G313" s="41">
        <v>22.0</v>
      </c>
      <c r="H313" s="125">
        <v>0.47619047619047616</v>
      </c>
      <c r="I313" s="41">
        <v>4.0</v>
      </c>
      <c r="J313" s="41">
        <v>14860.0</v>
      </c>
      <c r="K313" s="41">
        <v>39.0</v>
      </c>
      <c r="L313" s="41">
        <v>27.0</v>
      </c>
      <c r="M313" s="41">
        <v>52.0</v>
      </c>
      <c r="N313" s="41">
        <v>104.0</v>
      </c>
      <c r="O313" s="122">
        <f t="shared" si="1"/>
        <v>0.375</v>
      </c>
      <c r="P313" s="123">
        <f t="shared" si="5"/>
        <v>353.8095238</v>
      </c>
      <c r="Q313" s="123">
        <f t="shared" si="2"/>
        <v>0.9285714286</v>
      </c>
      <c r="R313" s="123">
        <f t="shared" si="6"/>
        <v>0.6428571429</v>
      </c>
      <c r="S313" s="123">
        <f t="shared" si="3"/>
        <v>1.238095238</v>
      </c>
      <c r="T313" s="123">
        <f t="shared" si="4"/>
        <v>2.476190476</v>
      </c>
      <c r="U313" s="41">
        <v>8.0</v>
      </c>
      <c r="V313" s="41">
        <v>2.0</v>
      </c>
      <c r="W313" s="41">
        <v>2.0</v>
      </c>
      <c r="X313" s="41">
        <v>7.0</v>
      </c>
      <c r="Y313" s="41">
        <v>58.0</v>
      </c>
      <c r="Z313" s="41">
        <v>41.0</v>
      </c>
    </row>
    <row r="314">
      <c r="A314" s="41" t="s">
        <v>904</v>
      </c>
      <c r="B314" s="41" t="s">
        <v>580</v>
      </c>
      <c r="C314" s="41" t="s">
        <v>1419</v>
      </c>
      <c r="D314" s="41" t="s">
        <v>963</v>
      </c>
      <c r="E314" s="41">
        <v>54.0</v>
      </c>
      <c r="F314" s="41">
        <v>29.0</v>
      </c>
      <c r="G314" s="41">
        <v>25.0</v>
      </c>
      <c r="H314" s="125">
        <v>0.5370370370370371</v>
      </c>
      <c r="I314" s="41">
        <v>13.0</v>
      </c>
      <c r="J314" s="41">
        <v>21639.0</v>
      </c>
      <c r="K314" s="41">
        <v>58.0</v>
      </c>
      <c r="L314" s="41">
        <v>42.0</v>
      </c>
      <c r="M314" s="41">
        <v>70.0</v>
      </c>
      <c r="N314" s="41">
        <v>172.0</v>
      </c>
      <c r="O314" s="122">
        <f t="shared" si="1"/>
        <v>0.3372093023</v>
      </c>
      <c r="P314" s="123">
        <f t="shared" si="5"/>
        <v>400.7222222</v>
      </c>
      <c r="Q314" s="123">
        <f t="shared" si="2"/>
        <v>1.074074074</v>
      </c>
      <c r="R314" s="123">
        <f t="shared" si="6"/>
        <v>0.7777777778</v>
      </c>
      <c r="S314" s="123">
        <f t="shared" si="3"/>
        <v>1.296296296</v>
      </c>
      <c r="T314" s="123">
        <f t="shared" si="4"/>
        <v>3.185185185</v>
      </c>
      <c r="U314" s="41">
        <v>14.0</v>
      </c>
      <c r="V314" s="41">
        <v>3.0</v>
      </c>
      <c r="W314" s="41">
        <v>3.0</v>
      </c>
      <c r="X314" s="41">
        <v>5.0</v>
      </c>
      <c r="Y314" s="41">
        <v>56.0</v>
      </c>
      <c r="Z314" s="41">
        <v>39.0</v>
      </c>
    </row>
    <row r="315">
      <c r="A315" s="41" t="s">
        <v>899</v>
      </c>
      <c r="B315" s="41" t="s">
        <v>446</v>
      </c>
      <c r="C315" s="41" t="s">
        <v>1420</v>
      </c>
      <c r="D315" s="41" t="s">
        <v>1421</v>
      </c>
      <c r="E315" s="41">
        <v>32.0</v>
      </c>
      <c r="F315" s="41">
        <v>21.0</v>
      </c>
      <c r="G315" s="41">
        <v>11.0</v>
      </c>
      <c r="H315" s="125">
        <v>0.65625</v>
      </c>
      <c r="I315" s="41">
        <v>5.0</v>
      </c>
      <c r="J315" s="41">
        <v>10632.0</v>
      </c>
      <c r="K315" s="41">
        <v>23.0</v>
      </c>
      <c r="L315" s="41">
        <v>22.0</v>
      </c>
      <c r="M315" s="41">
        <v>33.0</v>
      </c>
      <c r="N315" s="41">
        <v>65.0</v>
      </c>
      <c r="O315" s="122">
        <f t="shared" si="1"/>
        <v>0.3538461538</v>
      </c>
      <c r="P315" s="123">
        <f t="shared" si="5"/>
        <v>332.25</v>
      </c>
      <c r="Q315" s="123">
        <f t="shared" si="2"/>
        <v>0.71875</v>
      </c>
      <c r="R315" s="123">
        <f t="shared" si="6"/>
        <v>0.6875</v>
      </c>
      <c r="S315" s="123">
        <f t="shared" si="3"/>
        <v>1.03125</v>
      </c>
      <c r="T315" s="123">
        <f t="shared" si="4"/>
        <v>2.03125</v>
      </c>
      <c r="U315" s="41">
        <v>4.0</v>
      </c>
      <c r="V315" s="41">
        <v>1.0</v>
      </c>
      <c r="W315" s="41">
        <v>2.0</v>
      </c>
      <c r="X315" s="41">
        <v>2.0</v>
      </c>
      <c r="Y315" s="41">
        <v>32.0</v>
      </c>
      <c r="Z315" s="41">
        <v>30.0</v>
      </c>
    </row>
    <row r="316">
      <c r="A316" s="41" t="s">
        <v>901</v>
      </c>
      <c r="B316" s="41" t="s">
        <v>265</v>
      </c>
      <c r="C316" s="41" t="s">
        <v>1422</v>
      </c>
      <c r="D316" s="41" t="s">
        <v>1423</v>
      </c>
      <c r="E316" s="41">
        <v>21.0</v>
      </c>
      <c r="F316" s="41">
        <v>15.0</v>
      </c>
      <c r="G316" s="41">
        <v>6.0</v>
      </c>
      <c r="H316" s="125">
        <v>0.7142857142857143</v>
      </c>
      <c r="I316" s="41">
        <v>7.0</v>
      </c>
      <c r="J316" s="41">
        <v>8858.0</v>
      </c>
      <c r="K316" s="41">
        <v>21.0</v>
      </c>
      <c r="L316" s="41">
        <v>23.0</v>
      </c>
      <c r="M316" s="41">
        <v>28.0</v>
      </c>
      <c r="N316" s="41">
        <v>55.0</v>
      </c>
      <c r="O316" s="122">
        <f t="shared" si="1"/>
        <v>0.3818181818</v>
      </c>
      <c r="P316" s="123">
        <f t="shared" si="5"/>
        <v>421.8095238</v>
      </c>
      <c r="Q316" s="123">
        <f t="shared" si="2"/>
        <v>1</v>
      </c>
      <c r="R316" s="123">
        <f t="shared" si="6"/>
        <v>1.095238095</v>
      </c>
      <c r="S316" s="123">
        <f t="shared" si="3"/>
        <v>1.333333333</v>
      </c>
      <c r="T316" s="123">
        <f t="shared" si="4"/>
        <v>2.619047619</v>
      </c>
      <c r="U316" s="41">
        <v>9.0</v>
      </c>
      <c r="V316" s="41">
        <v>1.0</v>
      </c>
      <c r="W316" s="41">
        <v>4.0</v>
      </c>
      <c r="X316" s="41">
        <v>2.0</v>
      </c>
      <c r="Y316" s="41">
        <v>17.0</v>
      </c>
      <c r="Z316" s="41">
        <v>39.0</v>
      </c>
    </row>
    <row r="317">
      <c r="A317" s="41" t="s">
        <v>906</v>
      </c>
      <c r="B317" s="41" t="s">
        <v>564</v>
      </c>
      <c r="C317" s="41" t="s">
        <v>1424</v>
      </c>
      <c r="D317" s="41" t="s">
        <v>1425</v>
      </c>
      <c r="E317" s="41">
        <v>41.0</v>
      </c>
      <c r="F317" s="41">
        <v>16.0</v>
      </c>
      <c r="G317" s="41">
        <v>25.0</v>
      </c>
      <c r="H317" s="125">
        <v>0.3902439024390244</v>
      </c>
      <c r="I317" s="41">
        <v>1.0</v>
      </c>
      <c r="J317" s="41">
        <v>11349.0</v>
      </c>
      <c r="K317" s="41">
        <v>21.0</v>
      </c>
      <c r="L317" s="41">
        <v>12.0</v>
      </c>
      <c r="M317" s="41">
        <v>51.0</v>
      </c>
      <c r="N317" s="41">
        <v>71.0</v>
      </c>
      <c r="O317" s="122">
        <f t="shared" si="1"/>
        <v>0.2957746479</v>
      </c>
      <c r="P317" s="123">
        <f t="shared" si="5"/>
        <v>276.804878</v>
      </c>
      <c r="Q317" s="123">
        <f t="shared" si="2"/>
        <v>0.512195122</v>
      </c>
      <c r="R317" s="123">
        <f t="shared" si="6"/>
        <v>0.2926829268</v>
      </c>
      <c r="S317" s="123">
        <f t="shared" si="3"/>
        <v>1.243902439</v>
      </c>
      <c r="T317" s="123">
        <f t="shared" si="4"/>
        <v>1.731707317</v>
      </c>
      <c r="U317" s="41">
        <v>1.0</v>
      </c>
      <c r="V317" s="41">
        <v>1.0</v>
      </c>
      <c r="W317" s="41">
        <v>0.0</v>
      </c>
      <c r="X317" s="41">
        <v>6.0</v>
      </c>
      <c r="Y317" s="41">
        <v>102.0</v>
      </c>
      <c r="Z317" s="41">
        <v>32.0</v>
      </c>
    </row>
    <row r="318">
      <c r="A318" s="41" t="s">
        <v>904</v>
      </c>
      <c r="B318" s="41" t="s">
        <v>643</v>
      </c>
      <c r="C318" s="41" t="s">
        <v>1426</v>
      </c>
      <c r="D318" s="41" t="s">
        <v>1427</v>
      </c>
      <c r="E318" s="41">
        <v>52.0</v>
      </c>
      <c r="F318" s="41">
        <v>22.0</v>
      </c>
      <c r="G318" s="41">
        <v>30.0</v>
      </c>
      <c r="H318" s="125">
        <v>0.4230769230769231</v>
      </c>
      <c r="I318" s="41">
        <v>8.0</v>
      </c>
      <c r="J318" s="41">
        <v>18349.0</v>
      </c>
      <c r="K318" s="41">
        <v>33.0</v>
      </c>
      <c r="L318" s="41">
        <v>25.0</v>
      </c>
      <c r="M318" s="41">
        <v>74.0</v>
      </c>
      <c r="N318" s="41">
        <v>120.0</v>
      </c>
      <c r="O318" s="122">
        <f t="shared" si="1"/>
        <v>0.275</v>
      </c>
      <c r="P318" s="123">
        <f t="shared" si="5"/>
        <v>352.8653846</v>
      </c>
      <c r="Q318" s="123">
        <f t="shared" si="2"/>
        <v>0.6346153846</v>
      </c>
      <c r="R318" s="123">
        <f t="shared" si="6"/>
        <v>0.4807692308</v>
      </c>
      <c r="S318" s="123">
        <f t="shared" si="3"/>
        <v>1.423076923</v>
      </c>
      <c r="T318" s="123">
        <f t="shared" si="4"/>
        <v>2.307692308</v>
      </c>
      <c r="U318" s="41">
        <v>7.0</v>
      </c>
      <c r="V318" s="41">
        <v>1.0</v>
      </c>
      <c r="W318" s="41">
        <v>0.0</v>
      </c>
      <c r="X318" s="41">
        <v>9.0</v>
      </c>
      <c r="Y318" s="41">
        <v>56.0</v>
      </c>
      <c r="Z318" s="41">
        <v>56.0</v>
      </c>
    </row>
    <row r="319">
      <c r="A319" s="41" t="s">
        <v>901</v>
      </c>
      <c r="B319" s="41" t="s">
        <v>375</v>
      </c>
      <c r="C319" s="41" t="s">
        <v>1428</v>
      </c>
      <c r="D319" s="41" t="s">
        <v>1248</v>
      </c>
      <c r="E319" s="41">
        <v>11.0</v>
      </c>
      <c r="F319" s="41">
        <v>5.0</v>
      </c>
      <c r="G319" s="41">
        <v>6.0</v>
      </c>
      <c r="H319" s="125">
        <v>0.45454545454545453</v>
      </c>
      <c r="I319" s="41">
        <v>0.0</v>
      </c>
      <c r="J319" s="41">
        <v>3544.0</v>
      </c>
      <c r="K319" s="41">
        <v>4.0</v>
      </c>
      <c r="L319" s="41">
        <v>9.0</v>
      </c>
      <c r="M319" s="41">
        <v>16.0</v>
      </c>
      <c r="N319" s="41">
        <v>28.0</v>
      </c>
      <c r="O319" s="122">
        <f t="shared" si="1"/>
        <v>0.1428571429</v>
      </c>
      <c r="P319" s="123">
        <f t="shared" si="5"/>
        <v>322.1818182</v>
      </c>
      <c r="Q319" s="123">
        <f t="shared" si="2"/>
        <v>0.3636363636</v>
      </c>
      <c r="R319" s="123">
        <f t="shared" si="6"/>
        <v>0.8181818182</v>
      </c>
      <c r="S319" s="123">
        <f t="shared" si="3"/>
        <v>1.454545455</v>
      </c>
      <c r="T319" s="123">
        <f t="shared" si="4"/>
        <v>2.545454545</v>
      </c>
      <c r="U319" s="41">
        <v>1.0</v>
      </c>
      <c r="V319" s="41">
        <v>0.0</v>
      </c>
      <c r="W319" s="41">
        <v>1.0</v>
      </c>
      <c r="X319" s="41">
        <v>2.0</v>
      </c>
      <c r="Y319" s="41">
        <v>21.0</v>
      </c>
      <c r="Z319" s="41">
        <v>7.0</v>
      </c>
    </row>
    <row r="320">
      <c r="A320" s="41" t="s">
        <v>901</v>
      </c>
      <c r="B320" s="41" t="s">
        <v>326</v>
      </c>
      <c r="C320" s="41" t="s">
        <v>1429</v>
      </c>
      <c r="D320" s="41" t="s">
        <v>1122</v>
      </c>
      <c r="E320" s="41">
        <v>3.0</v>
      </c>
      <c r="F320" s="41">
        <v>1.0</v>
      </c>
      <c r="G320" s="41">
        <v>2.0</v>
      </c>
      <c r="H320" s="125">
        <v>0.3333333333333333</v>
      </c>
      <c r="I320" s="41">
        <v>0.0</v>
      </c>
      <c r="J320" s="41">
        <v>990.0</v>
      </c>
      <c r="K320" s="41">
        <v>1.0</v>
      </c>
      <c r="L320" s="41">
        <v>4.0</v>
      </c>
      <c r="M320" s="41">
        <v>6.0</v>
      </c>
      <c r="N320" s="41">
        <v>7.0</v>
      </c>
      <c r="O320" s="122">
        <f t="shared" si="1"/>
        <v>0.1428571429</v>
      </c>
      <c r="P320" s="123">
        <f t="shared" si="5"/>
        <v>330</v>
      </c>
      <c r="Q320" s="123">
        <f t="shared" si="2"/>
        <v>0.3333333333</v>
      </c>
      <c r="R320" s="123">
        <f t="shared" si="6"/>
        <v>1.333333333</v>
      </c>
      <c r="S320" s="123">
        <f t="shared" si="3"/>
        <v>2</v>
      </c>
      <c r="T320" s="123">
        <f t="shared" si="4"/>
        <v>2.333333333</v>
      </c>
      <c r="U320" s="41">
        <v>1.0</v>
      </c>
      <c r="V320" s="41">
        <v>0.0</v>
      </c>
      <c r="W320" s="41">
        <v>0.0</v>
      </c>
      <c r="X320" s="41">
        <v>1.0</v>
      </c>
      <c r="Y320" s="41">
        <v>7.0</v>
      </c>
      <c r="Z320" s="41">
        <v>2.0</v>
      </c>
    </row>
    <row r="321">
      <c r="A321" s="41" t="s">
        <v>904</v>
      </c>
      <c r="B321" s="41" t="s">
        <v>636</v>
      </c>
      <c r="C321" s="41" t="s">
        <v>1430</v>
      </c>
      <c r="D321" s="41" t="s">
        <v>1431</v>
      </c>
      <c r="E321" s="41">
        <v>12.0</v>
      </c>
      <c r="F321" s="41">
        <v>4.0</v>
      </c>
      <c r="G321" s="41">
        <v>8.0</v>
      </c>
      <c r="H321" s="125">
        <v>0.3333333333333333</v>
      </c>
      <c r="I321" s="41">
        <v>2.0</v>
      </c>
      <c r="J321" s="41">
        <v>4696.0</v>
      </c>
      <c r="K321" s="41">
        <v>12.0</v>
      </c>
      <c r="L321" s="41">
        <v>5.0</v>
      </c>
      <c r="M321" s="41">
        <v>19.0</v>
      </c>
      <c r="N321" s="41">
        <v>28.0</v>
      </c>
      <c r="O321" s="122">
        <f t="shared" si="1"/>
        <v>0.4285714286</v>
      </c>
      <c r="P321" s="123">
        <f t="shared" si="5"/>
        <v>391.3333333</v>
      </c>
      <c r="Q321" s="123">
        <f t="shared" si="2"/>
        <v>1</v>
      </c>
      <c r="R321" s="123">
        <f t="shared" si="6"/>
        <v>0.4166666667</v>
      </c>
      <c r="S321" s="123">
        <f t="shared" si="3"/>
        <v>1.583333333</v>
      </c>
      <c r="T321" s="123">
        <f t="shared" si="4"/>
        <v>2.333333333</v>
      </c>
      <c r="U321" s="41">
        <v>4.0</v>
      </c>
      <c r="V321" s="41">
        <v>1.0</v>
      </c>
      <c r="W321" s="41">
        <v>0.0</v>
      </c>
      <c r="X321" s="41">
        <v>3.0</v>
      </c>
      <c r="Y321" s="41">
        <v>12.0</v>
      </c>
      <c r="Z321" s="41">
        <v>12.0</v>
      </c>
    </row>
    <row r="322">
      <c r="A322" s="41" t="s">
        <v>904</v>
      </c>
      <c r="B322" s="41" t="s">
        <v>595</v>
      </c>
      <c r="C322" s="41" t="s">
        <v>1432</v>
      </c>
      <c r="D322" s="41" t="s">
        <v>1303</v>
      </c>
      <c r="E322" s="41">
        <v>54.0</v>
      </c>
      <c r="F322" s="41">
        <v>25.0</v>
      </c>
      <c r="G322" s="41">
        <v>29.0</v>
      </c>
      <c r="H322" s="125">
        <v>0.46296296296296297</v>
      </c>
      <c r="I322" s="41">
        <v>14.0</v>
      </c>
      <c r="J322" s="41">
        <v>21613.0</v>
      </c>
      <c r="K322" s="41">
        <v>56.0</v>
      </c>
      <c r="L322" s="41">
        <v>30.0</v>
      </c>
      <c r="M322" s="41">
        <v>80.0</v>
      </c>
      <c r="N322" s="41">
        <v>147.0</v>
      </c>
      <c r="O322" s="122">
        <f t="shared" si="1"/>
        <v>0.380952381</v>
      </c>
      <c r="P322" s="123">
        <f t="shared" si="5"/>
        <v>400.2407407</v>
      </c>
      <c r="Q322" s="123">
        <f t="shared" si="2"/>
        <v>1.037037037</v>
      </c>
      <c r="R322" s="123">
        <f t="shared" si="6"/>
        <v>0.5555555556</v>
      </c>
      <c r="S322" s="123">
        <f t="shared" si="3"/>
        <v>1.481481481</v>
      </c>
      <c r="T322" s="123">
        <f t="shared" si="4"/>
        <v>2.722222222</v>
      </c>
      <c r="U322" s="41">
        <v>15.0</v>
      </c>
      <c r="V322" s="41">
        <v>4.0</v>
      </c>
      <c r="W322" s="41">
        <v>2.0</v>
      </c>
      <c r="X322" s="41">
        <v>9.0</v>
      </c>
      <c r="Y322" s="41">
        <v>48.0</v>
      </c>
      <c r="Z322" s="41">
        <v>53.0</v>
      </c>
    </row>
    <row r="323">
      <c r="A323" s="41" t="s">
        <v>905</v>
      </c>
      <c r="B323" s="41" t="s">
        <v>145</v>
      </c>
      <c r="C323" s="41" t="s">
        <v>1433</v>
      </c>
      <c r="D323" s="41" t="s">
        <v>1434</v>
      </c>
      <c r="E323" s="41">
        <v>56.0</v>
      </c>
      <c r="F323" s="41">
        <v>33.0</v>
      </c>
      <c r="G323" s="41">
        <v>23.0</v>
      </c>
      <c r="H323" s="125">
        <v>0.5892857142857143</v>
      </c>
      <c r="I323" s="41">
        <v>5.0</v>
      </c>
      <c r="J323" s="41">
        <v>18707.0</v>
      </c>
      <c r="K323" s="41">
        <v>47.0</v>
      </c>
      <c r="L323" s="41">
        <v>36.0</v>
      </c>
      <c r="M323" s="41">
        <v>55.0</v>
      </c>
      <c r="N323" s="41">
        <v>139.0</v>
      </c>
      <c r="O323" s="122">
        <f t="shared" si="1"/>
        <v>0.3381294964</v>
      </c>
      <c r="P323" s="123">
        <f t="shared" si="5"/>
        <v>334.0535714</v>
      </c>
      <c r="Q323" s="123">
        <f t="shared" si="2"/>
        <v>0.8392857143</v>
      </c>
      <c r="R323" s="123">
        <f t="shared" si="6"/>
        <v>0.6428571429</v>
      </c>
      <c r="S323" s="123">
        <f t="shared" si="3"/>
        <v>0.9821428571</v>
      </c>
      <c r="T323" s="123">
        <f t="shared" si="4"/>
        <v>2.482142857</v>
      </c>
      <c r="U323" s="41">
        <v>13.0</v>
      </c>
      <c r="V323" s="41">
        <v>4.0</v>
      </c>
      <c r="W323" s="41">
        <v>1.0</v>
      </c>
      <c r="X323" s="41">
        <v>2.0</v>
      </c>
      <c r="Y323" s="41">
        <v>78.0</v>
      </c>
      <c r="Z323" s="41">
        <v>48.0</v>
      </c>
    </row>
    <row r="324">
      <c r="A324" s="41" t="s">
        <v>906</v>
      </c>
      <c r="B324" s="41" t="s">
        <v>559</v>
      </c>
      <c r="C324" s="41" t="s">
        <v>1435</v>
      </c>
      <c r="D324" s="41" t="s">
        <v>1219</v>
      </c>
      <c r="E324" s="41">
        <v>20.0</v>
      </c>
      <c r="F324" s="41">
        <v>5.0</v>
      </c>
      <c r="G324" s="41">
        <v>15.0</v>
      </c>
      <c r="H324" s="125">
        <v>0.25</v>
      </c>
      <c r="I324" s="41">
        <v>2.0</v>
      </c>
      <c r="J324" s="41">
        <v>5836.0</v>
      </c>
      <c r="K324" s="41">
        <v>9.0</v>
      </c>
      <c r="L324" s="41">
        <v>8.0</v>
      </c>
      <c r="M324" s="41">
        <v>27.0</v>
      </c>
      <c r="N324" s="41">
        <v>35.0</v>
      </c>
      <c r="O324" s="122">
        <f t="shared" si="1"/>
        <v>0.2571428571</v>
      </c>
      <c r="P324" s="123">
        <f t="shared" si="5"/>
        <v>291.8</v>
      </c>
      <c r="Q324" s="123">
        <f t="shared" si="2"/>
        <v>0.45</v>
      </c>
      <c r="R324" s="123">
        <f t="shared" si="6"/>
        <v>0.4</v>
      </c>
      <c r="S324" s="123">
        <f t="shared" si="3"/>
        <v>1.35</v>
      </c>
      <c r="T324" s="123">
        <f t="shared" si="4"/>
        <v>1.75</v>
      </c>
      <c r="U324" s="41">
        <v>2.0</v>
      </c>
      <c r="V324" s="41">
        <v>0.0</v>
      </c>
      <c r="W324" s="41">
        <v>0.0</v>
      </c>
      <c r="X324" s="41">
        <v>5.0</v>
      </c>
      <c r="Y324" s="41">
        <v>16.0</v>
      </c>
      <c r="Z324" s="41">
        <v>23.0</v>
      </c>
    </row>
    <row r="325">
      <c r="A325" s="41" t="s">
        <v>901</v>
      </c>
      <c r="B325" s="41" t="s">
        <v>297</v>
      </c>
      <c r="C325" s="41" t="s">
        <v>1436</v>
      </c>
      <c r="D325" s="41" t="s">
        <v>1078</v>
      </c>
      <c r="E325" s="41">
        <v>51.0</v>
      </c>
      <c r="F325" s="41">
        <v>23.0</v>
      </c>
      <c r="G325" s="41">
        <v>28.0</v>
      </c>
      <c r="H325" s="125">
        <v>0.45098039215686275</v>
      </c>
      <c r="I325" s="41">
        <v>8.0</v>
      </c>
      <c r="J325" s="41">
        <v>20834.0</v>
      </c>
      <c r="K325" s="41">
        <v>55.0</v>
      </c>
      <c r="L325" s="41">
        <v>29.0</v>
      </c>
      <c r="M325" s="41">
        <v>79.0</v>
      </c>
      <c r="N325" s="41">
        <v>148.0</v>
      </c>
      <c r="O325" s="122">
        <f t="shared" si="1"/>
        <v>0.3716216216</v>
      </c>
      <c r="P325" s="123">
        <f t="shared" si="5"/>
        <v>408.5098039</v>
      </c>
      <c r="Q325" s="123">
        <f t="shared" si="2"/>
        <v>1.078431373</v>
      </c>
      <c r="R325" s="123">
        <f t="shared" si="6"/>
        <v>0.568627451</v>
      </c>
      <c r="S325" s="123">
        <f t="shared" si="3"/>
        <v>1.549019608</v>
      </c>
      <c r="T325" s="123">
        <f t="shared" si="4"/>
        <v>2.901960784</v>
      </c>
      <c r="U325" s="41">
        <v>12.0</v>
      </c>
      <c r="V325" s="41">
        <v>3.0</v>
      </c>
      <c r="W325" s="41">
        <v>1.0</v>
      </c>
      <c r="X325" s="41">
        <v>13.0</v>
      </c>
      <c r="Y325" s="41">
        <v>47.0</v>
      </c>
      <c r="Z325" s="41">
        <v>50.0</v>
      </c>
    </row>
    <row r="326">
      <c r="A326" s="41" t="s">
        <v>904</v>
      </c>
      <c r="B326" s="41" t="s">
        <v>589</v>
      </c>
      <c r="C326" s="41" t="s">
        <v>1437</v>
      </c>
      <c r="D326" s="41" t="s">
        <v>1438</v>
      </c>
      <c r="E326" s="41">
        <v>56.0</v>
      </c>
      <c r="F326" s="41">
        <v>35.0</v>
      </c>
      <c r="G326" s="41">
        <v>21.0</v>
      </c>
      <c r="H326" s="125">
        <v>0.625</v>
      </c>
      <c r="I326" s="41">
        <v>16.0</v>
      </c>
      <c r="J326" s="41">
        <v>20970.0</v>
      </c>
      <c r="K326" s="41">
        <v>55.0</v>
      </c>
      <c r="L326" s="41">
        <v>30.0</v>
      </c>
      <c r="M326" s="41">
        <v>66.0</v>
      </c>
      <c r="N326" s="41">
        <v>174.0</v>
      </c>
      <c r="O326" s="122">
        <f t="shared" si="1"/>
        <v>0.316091954</v>
      </c>
      <c r="P326" s="123">
        <f t="shared" si="5"/>
        <v>374.4642857</v>
      </c>
      <c r="Q326" s="123">
        <f t="shared" si="2"/>
        <v>0.9821428571</v>
      </c>
      <c r="R326" s="123">
        <f t="shared" si="6"/>
        <v>0.5357142857</v>
      </c>
      <c r="S326" s="123">
        <f t="shared" si="3"/>
        <v>1.178571429</v>
      </c>
      <c r="T326" s="123">
        <f t="shared" si="4"/>
        <v>3.107142857</v>
      </c>
      <c r="U326" s="41">
        <v>8.0</v>
      </c>
      <c r="V326" s="41">
        <v>4.0</v>
      </c>
      <c r="W326" s="41">
        <v>0.0</v>
      </c>
      <c r="X326" s="41">
        <v>6.0</v>
      </c>
      <c r="Y326" s="41">
        <v>54.0</v>
      </c>
      <c r="Z326" s="41">
        <v>57.0</v>
      </c>
    </row>
    <row r="327">
      <c r="A327" s="41" t="s">
        <v>905</v>
      </c>
      <c r="B327" s="41" t="s">
        <v>210</v>
      </c>
      <c r="C327" s="41" t="s">
        <v>1439</v>
      </c>
      <c r="D327" s="41" t="s">
        <v>940</v>
      </c>
      <c r="E327" s="41">
        <v>40.0</v>
      </c>
      <c r="F327" s="41">
        <v>19.0</v>
      </c>
      <c r="G327" s="41">
        <v>21.0</v>
      </c>
      <c r="H327" s="125">
        <v>0.475</v>
      </c>
      <c r="I327" s="41">
        <v>3.0</v>
      </c>
      <c r="J327" s="41">
        <v>12455.0</v>
      </c>
      <c r="K327" s="41">
        <v>25.0</v>
      </c>
      <c r="L327" s="41">
        <v>19.0</v>
      </c>
      <c r="M327" s="41">
        <v>47.0</v>
      </c>
      <c r="N327" s="41">
        <v>88.0</v>
      </c>
      <c r="O327" s="122">
        <f t="shared" si="1"/>
        <v>0.2840909091</v>
      </c>
      <c r="P327" s="123">
        <f t="shared" si="5"/>
        <v>311.375</v>
      </c>
      <c r="Q327" s="123">
        <f t="shared" si="2"/>
        <v>0.625</v>
      </c>
      <c r="R327" s="123">
        <f t="shared" si="6"/>
        <v>0.475</v>
      </c>
      <c r="S327" s="123">
        <f t="shared" si="3"/>
        <v>1.175</v>
      </c>
      <c r="T327" s="123">
        <f t="shared" si="4"/>
        <v>2.2</v>
      </c>
      <c r="U327" s="41">
        <v>3.0</v>
      </c>
      <c r="V327" s="41">
        <v>0.0</v>
      </c>
      <c r="W327" s="41">
        <v>1.0</v>
      </c>
      <c r="X327" s="41">
        <v>5.0</v>
      </c>
      <c r="Y327" s="41">
        <v>29.0</v>
      </c>
      <c r="Z327" s="41">
        <v>28.0</v>
      </c>
    </row>
    <row r="328">
      <c r="A328" s="41" t="s">
        <v>904</v>
      </c>
      <c r="B328" s="41" t="s">
        <v>609</v>
      </c>
      <c r="C328" s="41" t="s">
        <v>1440</v>
      </c>
      <c r="D328" s="41" t="s">
        <v>1212</v>
      </c>
      <c r="E328" s="41">
        <v>52.0</v>
      </c>
      <c r="F328" s="41">
        <v>25.0</v>
      </c>
      <c r="G328" s="41">
        <v>27.0</v>
      </c>
      <c r="H328" s="125">
        <v>0.4807692307692308</v>
      </c>
      <c r="I328" s="41">
        <v>10.0</v>
      </c>
      <c r="J328" s="41">
        <v>19524.0</v>
      </c>
      <c r="K328" s="41">
        <v>42.0</v>
      </c>
      <c r="L328" s="41">
        <v>31.0</v>
      </c>
      <c r="M328" s="41">
        <v>78.0</v>
      </c>
      <c r="N328" s="41">
        <v>118.0</v>
      </c>
      <c r="O328" s="122">
        <f t="shared" si="1"/>
        <v>0.3559322034</v>
      </c>
      <c r="P328" s="123">
        <f t="shared" si="5"/>
        <v>375.4615385</v>
      </c>
      <c r="Q328" s="123">
        <f t="shared" si="2"/>
        <v>0.8076923077</v>
      </c>
      <c r="R328" s="123">
        <f t="shared" si="6"/>
        <v>0.5961538462</v>
      </c>
      <c r="S328" s="123">
        <f t="shared" si="3"/>
        <v>1.5</v>
      </c>
      <c r="T328" s="123">
        <f t="shared" si="4"/>
        <v>2.269230769</v>
      </c>
      <c r="U328" s="41">
        <v>11.0</v>
      </c>
      <c r="V328" s="41">
        <v>1.0</v>
      </c>
      <c r="W328" s="41">
        <v>0.0</v>
      </c>
      <c r="X328" s="41">
        <v>11.0</v>
      </c>
      <c r="Y328" s="41">
        <v>46.0</v>
      </c>
      <c r="Z328" s="41">
        <v>47.0</v>
      </c>
    </row>
    <row r="329">
      <c r="A329" s="41" t="s">
        <v>899</v>
      </c>
      <c r="B329" s="41" t="s">
        <v>449</v>
      </c>
      <c r="C329" s="41" t="s">
        <v>1441</v>
      </c>
      <c r="D329" s="41" t="s">
        <v>1442</v>
      </c>
      <c r="E329" s="41">
        <v>44.0</v>
      </c>
      <c r="F329" s="41">
        <v>21.0</v>
      </c>
      <c r="G329" s="41">
        <v>23.0</v>
      </c>
      <c r="H329" s="125">
        <v>0.4772727272727273</v>
      </c>
      <c r="I329" s="41">
        <v>6.0</v>
      </c>
      <c r="J329" s="41">
        <v>15443.0</v>
      </c>
      <c r="K329" s="41">
        <v>23.0</v>
      </c>
      <c r="L329" s="41">
        <v>27.0</v>
      </c>
      <c r="M329" s="41">
        <v>74.0</v>
      </c>
      <c r="N329" s="41">
        <v>92.0</v>
      </c>
      <c r="O329" s="122">
        <f t="shared" si="1"/>
        <v>0.25</v>
      </c>
      <c r="P329" s="123">
        <f t="shared" si="5"/>
        <v>350.9772727</v>
      </c>
      <c r="Q329" s="123">
        <f t="shared" si="2"/>
        <v>0.5227272727</v>
      </c>
      <c r="R329" s="123">
        <f t="shared" si="6"/>
        <v>0.6136363636</v>
      </c>
      <c r="S329" s="123">
        <f t="shared" si="3"/>
        <v>1.681818182</v>
      </c>
      <c r="T329" s="123">
        <f t="shared" si="4"/>
        <v>2.090909091</v>
      </c>
      <c r="U329" s="41">
        <v>10.0</v>
      </c>
      <c r="V329" s="41">
        <v>1.0</v>
      </c>
      <c r="W329" s="41">
        <v>0.0</v>
      </c>
      <c r="X329" s="41">
        <v>14.0</v>
      </c>
      <c r="Y329" s="41">
        <v>46.0</v>
      </c>
      <c r="Z329" s="41">
        <v>45.0</v>
      </c>
    </row>
    <row r="330">
      <c r="A330" s="41" t="s">
        <v>905</v>
      </c>
      <c r="B330" s="41" t="s">
        <v>162</v>
      </c>
      <c r="C330" s="41" t="s">
        <v>1443</v>
      </c>
      <c r="D330" s="41" t="s">
        <v>1444</v>
      </c>
      <c r="E330" s="41">
        <v>36.0</v>
      </c>
      <c r="F330" s="41">
        <v>24.0</v>
      </c>
      <c r="G330" s="41">
        <v>12.0</v>
      </c>
      <c r="H330" s="125">
        <v>0.6666666666666666</v>
      </c>
      <c r="I330" s="41">
        <v>3.0</v>
      </c>
      <c r="J330" s="41">
        <v>10945.0</v>
      </c>
      <c r="K330" s="41">
        <v>16.0</v>
      </c>
      <c r="L330" s="41">
        <v>28.0</v>
      </c>
      <c r="M330" s="41">
        <v>42.0</v>
      </c>
      <c r="N330" s="41">
        <v>74.0</v>
      </c>
      <c r="O330" s="122">
        <f t="shared" si="1"/>
        <v>0.2162162162</v>
      </c>
      <c r="P330" s="123">
        <f t="shared" si="5"/>
        <v>304.0277778</v>
      </c>
      <c r="Q330" s="123">
        <f t="shared" si="2"/>
        <v>0.4444444444</v>
      </c>
      <c r="R330" s="123">
        <f t="shared" si="6"/>
        <v>0.7777777778</v>
      </c>
      <c r="S330" s="123">
        <f t="shared" si="3"/>
        <v>1.166666667</v>
      </c>
      <c r="T330" s="123">
        <f t="shared" si="4"/>
        <v>2.055555556</v>
      </c>
      <c r="U330" s="41">
        <v>6.0</v>
      </c>
      <c r="V330" s="41">
        <v>0.0</v>
      </c>
      <c r="W330" s="41">
        <v>2.0</v>
      </c>
      <c r="X330" s="41">
        <v>3.0</v>
      </c>
      <c r="Y330" s="41">
        <v>49.0</v>
      </c>
      <c r="Z330" s="41">
        <v>22.0</v>
      </c>
    </row>
    <row r="331">
      <c r="A331" s="41" t="s">
        <v>897</v>
      </c>
      <c r="B331" s="41" t="s">
        <v>482</v>
      </c>
      <c r="C331" s="41" t="s">
        <v>1445</v>
      </c>
      <c r="D331" s="41" t="s">
        <v>1264</v>
      </c>
      <c r="E331" s="41">
        <v>28.0</v>
      </c>
      <c r="F331" s="41">
        <v>17.0</v>
      </c>
      <c r="G331" s="41">
        <v>11.0</v>
      </c>
      <c r="H331" s="125">
        <v>0.6071428571428571</v>
      </c>
      <c r="I331" s="41">
        <v>7.0</v>
      </c>
      <c r="J331" s="41">
        <v>13273.0</v>
      </c>
      <c r="K331" s="41">
        <v>26.0</v>
      </c>
      <c r="L331" s="41">
        <v>17.0</v>
      </c>
      <c r="M331" s="41">
        <v>67.0</v>
      </c>
      <c r="N331" s="41">
        <v>102.0</v>
      </c>
      <c r="O331" s="122">
        <f t="shared" si="1"/>
        <v>0.2549019608</v>
      </c>
      <c r="P331" s="123">
        <f t="shared" si="5"/>
        <v>474.0357143</v>
      </c>
      <c r="Q331" s="123">
        <f t="shared" si="2"/>
        <v>0.9285714286</v>
      </c>
      <c r="R331" s="123">
        <f t="shared" si="6"/>
        <v>0.6071428571</v>
      </c>
      <c r="S331" s="123">
        <f t="shared" si="3"/>
        <v>2.392857143</v>
      </c>
      <c r="T331" s="123">
        <f t="shared" si="4"/>
        <v>3.642857143</v>
      </c>
      <c r="U331" s="41">
        <v>9.0</v>
      </c>
      <c r="V331" s="41">
        <v>2.0</v>
      </c>
      <c r="W331" s="41">
        <v>0.0</v>
      </c>
      <c r="X331" s="41">
        <v>12.0</v>
      </c>
      <c r="Y331" s="41">
        <v>22.0</v>
      </c>
      <c r="Z331" s="41">
        <v>40.0</v>
      </c>
    </row>
    <row r="332">
      <c r="A332" s="41" t="s">
        <v>902</v>
      </c>
      <c r="B332" s="41" t="s">
        <v>767</v>
      </c>
      <c r="C332" s="41" t="s">
        <v>1446</v>
      </c>
      <c r="D332" s="41" t="s">
        <v>1447</v>
      </c>
      <c r="E332" s="41">
        <v>15.0</v>
      </c>
      <c r="F332" s="41">
        <v>9.0</v>
      </c>
      <c r="G332" s="41">
        <v>6.0</v>
      </c>
      <c r="H332" s="125">
        <v>0.6</v>
      </c>
      <c r="I332" s="41">
        <v>4.0</v>
      </c>
      <c r="J332" s="41">
        <v>5860.0</v>
      </c>
      <c r="K332" s="41">
        <v>13.0</v>
      </c>
      <c r="L332" s="41">
        <v>9.0</v>
      </c>
      <c r="M332" s="41">
        <v>25.0</v>
      </c>
      <c r="N332" s="41">
        <v>38.0</v>
      </c>
      <c r="O332" s="122">
        <f t="shared" si="1"/>
        <v>0.3421052632</v>
      </c>
      <c r="P332" s="123">
        <f t="shared" si="5"/>
        <v>390.6666667</v>
      </c>
      <c r="Q332" s="123">
        <f t="shared" si="2"/>
        <v>0.8666666667</v>
      </c>
      <c r="R332" s="123">
        <f t="shared" si="6"/>
        <v>0.6</v>
      </c>
      <c r="S332" s="123">
        <f t="shared" si="3"/>
        <v>1.666666667</v>
      </c>
      <c r="T332" s="123">
        <f t="shared" si="4"/>
        <v>2.533333333</v>
      </c>
      <c r="U332" s="41">
        <v>2.0</v>
      </c>
      <c r="V332" s="41">
        <v>1.0</v>
      </c>
      <c r="W332" s="41">
        <v>0.0</v>
      </c>
      <c r="X332" s="41">
        <v>5.0</v>
      </c>
      <c r="Y332" s="41">
        <v>9.0</v>
      </c>
      <c r="Z332" s="41">
        <v>14.0</v>
      </c>
    </row>
    <row r="333">
      <c r="A333" s="41" t="s">
        <v>901</v>
      </c>
      <c r="B333" s="41" t="s">
        <v>411</v>
      </c>
      <c r="C333" s="41" t="s">
        <v>1448</v>
      </c>
      <c r="D333" s="41" t="s">
        <v>1385</v>
      </c>
      <c r="E333" s="41">
        <v>5.0</v>
      </c>
      <c r="F333" s="41">
        <v>1.0</v>
      </c>
      <c r="G333" s="41">
        <v>4.0</v>
      </c>
      <c r="H333" s="125">
        <v>0.2</v>
      </c>
      <c r="I333" s="41">
        <v>0.0</v>
      </c>
      <c r="J333" s="41">
        <v>1237.0</v>
      </c>
      <c r="K333" s="41">
        <v>0.0</v>
      </c>
      <c r="L333" s="41">
        <v>2.0</v>
      </c>
      <c r="M333" s="41">
        <v>7.0</v>
      </c>
      <c r="N333" s="41">
        <v>8.0</v>
      </c>
      <c r="O333" s="122">
        <f t="shared" si="1"/>
        <v>0</v>
      </c>
      <c r="P333" s="123">
        <f t="shared" si="5"/>
        <v>247.4</v>
      </c>
      <c r="Q333" s="123">
        <f t="shared" si="2"/>
        <v>0</v>
      </c>
      <c r="R333" s="123">
        <f t="shared" si="6"/>
        <v>0.4</v>
      </c>
      <c r="S333" s="123">
        <f t="shared" si="3"/>
        <v>1.4</v>
      </c>
      <c r="T333" s="123">
        <f t="shared" si="4"/>
        <v>1.6</v>
      </c>
      <c r="U333" s="41">
        <v>0.0</v>
      </c>
      <c r="V333" s="41">
        <v>0.0</v>
      </c>
      <c r="W333" s="41">
        <v>0.0</v>
      </c>
      <c r="X333" s="41">
        <v>1.0</v>
      </c>
      <c r="Y333" s="41">
        <v>2.0</v>
      </c>
      <c r="Z333" s="41">
        <v>2.0</v>
      </c>
    </row>
    <row r="334">
      <c r="A334" s="41" t="s">
        <v>906</v>
      </c>
      <c r="B334" s="41" t="s">
        <v>557</v>
      </c>
      <c r="C334" s="41" t="s">
        <v>1449</v>
      </c>
      <c r="D334" s="41" t="s">
        <v>1372</v>
      </c>
      <c r="E334" s="41">
        <v>36.0</v>
      </c>
      <c r="F334" s="41">
        <v>24.0</v>
      </c>
      <c r="G334" s="41">
        <v>12.0</v>
      </c>
      <c r="H334" s="125">
        <v>0.6666666666666666</v>
      </c>
      <c r="I334" s="41">
        <v>4.0</v>
      </c>
      <c r="J334" s="41">
        <v>10128.0</v>
      </c>
      <c r="K334" s="41">
        <v>18.0</v>
      </c>
      <c r="L334" s="41">
        <v>19.0</v>
      </c>
      <c r="M334" s="41">
        <v>40.0</v>
      </c>
      <c r="N334" s="41">
        <v>65.0</v>
      </c>
      <c r="O334" s="122">
        <f t="shared" si="1"/>
        <v>0.2769230769</v>
      </c>
      <c r="P334" s="123">
        <f t="shared" si="5"/>
        <v>281.3333333</v>
      </c>
      <c r="Q334" s="123">
        <f t="shared" si="2"/>
        <v>0.5</v>
      </c>
      <c r="R334" s="123">
        <f t="shared" si="6"/>
        <v>0.5277777778</v>
      </c>
      <c r="S334" s="123">
        <f t="shared" si="3"/>
        <v>1.111111111</v>
      </c>
      <c r="T334" s="123">
        <f t="shared" si="4"/>
        <v>1.805555556</v>
      </c>
      <c r="U334" s="41">
        <v>3.0</v>
      </c>
      <c r="V334" s="41">
        <v>1.0</v>
      </c>
      <c r="W334" s="41">
        <v>0.0</v>
      </c>
      <c r="X334" s="41">
        <v>3.0</v>
      </c>
      <c r="Y334" s="41">
        <v>47.0</v>
      </c>
      <c r="Z334" s="41">
        <v>26.0</v>
      </c>
    </row>
    <row r="335">
      <c r="A335" s="41" t="s">
        <v>904</v>
      </c>
      <c r="B335" s="41" t="s">
        <v>634</v>
      </c>
      <c r="C335" s="41" t="s">
        <v>1450</v>
      </c>
      <c r="D335" s="41" t="s">
        <v>919</v>
      </c>
      <c r="E335" s="41">
        <v>47.0</v>
      </c>
      <c r="F335" s="41">
        <v>26.0</v>
      </c>
      <c r="G335" s="41">
        <v>21.0</v>
      </c>
      <c r="H335" s="125">
        <v>0.5531914893617021</v>
      </c>
      <c r="I335" s="41">
        <v>15.0</v>
      </c>
      <c r="J335" s="41">
        <v>16310.0</v>
      </c>
      <c r="K335" s="41">
        <v>43.0</v>
      </c>
      <c r="L335" s="41">
        <v>23.0</v>
      </c>
      <c r="M335" s="41">
        <v>58.0</v>
      </c>
      <c r="N335" s="41">
        <v>133.0</v>
      </c>
      <c r="O335" s="122">
        <f t="shared" si="1"/>
        <v>0.3233082707</v>
      </c>
      <c r="P335" s="123">
        <f t="shared" si="5"/>
        <v>347.0212766</v>
      </c>
      <c r="Q335" s="123">
        <f t="shared" si="2"/>
        <v>0.914893617</v>
      </c>
      <c r="R335" s="123">
        <f t="shared" si="6"/>
        <v>0.4893617021</v>
      </c>
      <c r="S335" s="123">
        <f t="shared" si="3"/>
        <v>1.234042553</v>
      </c>
      <c r="T335" s="123">
        <f t="shared" si="4"/>
        <v>2.829787234</v>
      </c>
      <c r="U335" s="41">
        <v>7.0</v>
      </c>
      <c r="V335" s="41">
        <v>5.0</v>
      </c>
      <c r="W335" s="41">
        <v>0.0</v>
      </c>
      <c r="X335" s="41">
        <v>8.0</v>
      </c>
      <c r="Y335" s="41">
        <v>47.0</v>
      </c>
      <c r="Z335" s="41">
        <v>40.0</v>
      </c>
    </row>
    <row r="336">
      <c r="A336" s="41" t="s">
        <v>902</v>
      </c>
      <c r="B336" s="41" t="s">
        <v>822</v>
      </c>
      <c r="C336" s="41" t="s">
        <v>1451</v>
      </c>
      <c r="D336" s="41" t="s">
        <v>1452</v>
      </c>
      <c r="E336" s="41">
        <v>42.0</v>
      </c>
      <c r="F336" s="41">
        <v>17.0</v>
      </c>
      <c r="G336" s="41">
        <v>25.0</v>
      </c>
      <c r="H336" s="125">
        <v>0.40476190476190477</v>
      </c>
      <c r="I336" s="41">
        <v>6.0</v>
      </c>
      <c r="J336" s="41">
        <v>14335.0</v>
      </c>
      <c r="K336" s="41">
        <v>31.0</v>
      </c>
      <c r="L336" s="41">
        <v>19.0</v>
      </c>
      <c r="M336" s="41">
        <v>62.0</v>
      </c>
      <c r="N336" s="41">
        <v>91.0</v>
      </c>
      <c r="O336" s="122">
        <f t="shared" si="1"/>
        <v>0.3406593407</v>
      </c>
      <c r="P336" s="123">
        <f t="shared" si="5"/>
        <v>341.3095238</v>
      </c>
      <c r="Q336" s="123">
        <f t="shared" si="2"/>
        <v>0.7380952381</v>
      </c>
      <c r="R336" s="123">
        <f t="shared" si="6"/>
        <v>0.4523809524</v>
      </c>
      <c r="S336" s="123">
        <f t="shared" si="3"/>
        <v>1.476190476</v>
      </c>
      <c r="T336" s="123">
        <f t="shared" si="4"/>
        <v>2.166666667</v>
      </c>
      <c r="U336" s="41">
        <v>9.0</v>
      </c>
      <c r="V336" s="41">
        <v>3.0</v>
      </c>
      <c r="W336" s="41">
        <v>0.0</v>
      </c>
      <c r="X336" s="41">
        <v>10.0</v>
      </c>
      <c r="Y336" s="41">
        <v>51.0</v>
      </c>
      <c r="Z336" s="41">
        <v>47.0</v>
      </c>
    </row>
    <row r="337">
      <c r="A337" s="41" t="s">
        <v>904</v>
      </c>
      <c r="B337" s="41" t="s">
        <v>678</v>
      </c>
      <c r="C337" s="41" t="s">
        <v>1453</v>
      </c>
      <c r="D337" s="41" t="s">
        <v>1454</v>
      </c>
      <c r="E337" s="41">
        <v>52.0</v>
      </c>
      <c r="F337" s="41">
        <v>24.0</v>
      </c>
      <c r="G337" s="41">
        <v>28.0</v>
      </c>
      <c r="H337" s="125">
        <v>0.46153846153846156</v>
      </c>
      <c r="I337" s="41">
        <v>7.0</v>
      </c>
      <c r="J337" s="41">
        <v>16459.0</v>
      </c>
      <c r="K337" s="41">
        <v>31.0</v>
      </c>
      <c r="L337" s="41">
        <v>28.0</v>
      </c>
      <c r="M337" s="41">
        <v>59.0</v>
      </c>
      <c r="N337" s="41">
        <v>110.0</v>
      </c>
      <c r="O337" s="122">
        <f t="shared" si="1"/>
        <v>0.2818181818</v>
      </c>
      <c r="P337" s="123">
        <f t="shared" si="5"/>
        <v>316.5192308</v>
      </c>
      <c r="Q337" s="123">
        <f t="shared" si="2"/>
        <v>0.5961538462</v>
      </c>
      <c r="R337" s="123">
        <f t="shared" si="6"/>
        <v>0.5384615385</v>
      </c>
      <c r="S337" s="123">
        <f t="shared" si="3"/>
        <v>1.134615385</v>
      </c>
      <c r="T337" s="123">
        <f t="shared" si="4"/>
        <v>2.115384615</v>
      </c>
      <c r="U337" s="41">
        <v>5.0</v>
      </c>
      <c r="V337" s="41">
        <v>3.0</v>
      </c>
      <c r="W337" s="41">
        <v>1.0</v>
      </c>
      <c r="X337" s="41">
        <v>6.0</v>
      </c>
      <c r="Y337" s="41">
        <v>58.0</v>
      </c>
      <c r="Z337" s="41">
        <v>45.0</v>
      </c>
    </row>
    <row r="338">
      <c r="A338" s="41" t="s">
        <v>901</v>
      </c>
      <c r="B338" s="41" t="s">
        <v>410</v>
      </c>
      <c r="C338" s="41" t="s">
        <v>1455</v>
      </c>
      <c r="D338" s="41" t="s">
        <v>934</v>
      </c>
      <c r="E338" s="41">
        <v>4.0</v>
      </c>
      <c r="F338" s="41">
        <v>0.0</v>
      </c>
      <c r="G338" s="41">
        <v>4.0</v>
      </c>
      <c r="H338" s="125">
        <v>0.0</v>
      </c>
      <c r="I338" s="41">
        <v>0.0</v>
      </c>
      <c r="J338" s="41">
        <v>746.0</v>
      </c>
      <c r="K338" s="41">
        <v>0.0</v>
      </c>
      <c r="L338" s="41">
        <v>2.0</v>
      </c>
      <c r="M338" s="41">
        <v>3.0</v>
      </c>
      <c r="N338" s="41">
        <v>11.0</v>
      </c>
      <c r="O338" s="122">
        <f t="shared" si="1"/>
        <v>0</v>
      </c>
      <c r="P338" s="123">
        <f t="shared" si="5"/>
        <v>186.5</v>
      </c>
      <c r="Q338" s="123">
        <f t="shared" si="2"/>
        <v>0</v>
      </c>
      <c r="R338" s="123">
        <f t="shared" si="6"/>
        <v>0.5</v>
      </c>
      <c r="S338" s="123">
        <f t="shared" si="3"/>
        <v>0.75</v>
      </c>
      <c r="T338" s="123">
        <f t="shared" si="4"/>
        <v>2.75</v>
      </c>
      <c r="U338" s="41">
        <v>0.0</v>
      </c>
      <c r="V338" s="41">
        <v>0.0</v>
      </c>
      <c r="W338" s="41">
        <v>0.0</v>
      </c>
      <c r="X338" s="41">
        <v>0.0</v>
      </c>
      <c r="Y338" s="41">
        <v>5.0</v>
      </c>
      <c r="Z338" s="41">
        <v>7.0</v>
      </c>
    </row>
    <row r="339">
      <c r="A339" s="41" t="s">
        <v>902</v>
      </c>
      <c r="B339" s="41" t="s">
        <v>410</v>
      </c>
      <c r="C339" s="41" t="s">
        <v>1455</v>
      </c>
      <c r="D339" s="41" t="s">
        <v>932</v>
      </c>
      <c r="E339" s="41">
        <v>25.0</v>
      </c>
      <c r="F339" s="41">
        <v>10.0</v>
      </c>
      <c r="G339" s="41">
        <v>15.0</v>
      </c>
      <c r="H339" s="125">
        <v>0.4</v>
      </c>
      <c r="I339" s="41">
        <v>3.0</v>
      </c>
      <c r="J339" s="41">
        <v>7578.0</v>
      </c>
      <c r="K339" s="41">
        <v>14.0</v>
      </c>
      <c r="L339" s="41">
        <v>10.0</v>
      </c>
      <c r="M339" s="41">
        <v>27.0</v>
      </c>
      <c r="N339" s="41">
        <v>52.0</v>
      </c>
      <c r="O339" s="122">
        <f t="shared" si="1"/>
        <v>0.2692307692</v>
      </c>
      <c r="P339" s="123">
        <f t="shared" si="5"/>
        <v>303.12</v>
      </c>
      <c r="Q339" s="123">
        <f t="shared" si="2"/>
        <v>0.56</v>
      </c>
      <c r="R339" s="123">
        <f t="shared" si="6"/>
        <v>0.4</v>
      </c>
      <c r="S339" s="123">
        <f t="shared" si="3"/>
        <v>1.08</v>
      </c>
      <c r="T339" s="123">
        <f t="shared" si="4"/>
        <v>2.08</v>
      </c>
      <c r="U339" s="41">
        <v>1.0</v>
      </c>
      <c r="V339" s="41">
        <v>1.0</v>
      </c>
      <c r="W339" s="41">
        <v>0.0</v>
      </c>
      <c r="X339" s="41">
        <v>1.0</v>
      </c>
      <c r="Y339" s="41">
        <v>26.0</v>
      </c>
      <c r="Z339" s="41">
        <v>36.0</v>
      </c>
    </row>
    <row r="340">
      <c r="A340" s="41" t="s">
        <v>902</v>
      </c>
      <c r="B340" s="41" t="s">
        <v>734</v>
      </c>
      <c r="C340" s="41" t="s">
        <v>1456</v>
      </c>
      <c r="D340" s="41" t="s">
        <v>1457</v>
      </c>
      <c r="E340" s="41">
        <v>40.0</v>
      </c>
      <c r="F340" s="41">
        <v>22.0</v>
      </c>
      <c r="G340" s="41">
        <v>18.0</v>
      </c>
      <c r="H340" s="125">
        <v>0.55</v>
      </c>
      <c r="I340" s="41">
        <v>9.0</v>
      </c>
      <c r="J340" s="41">
        <v>17476.0</v>
      </c>
      <c r="K340" s="41">
        <v>49.0</v>
      </c>
      <c r="L340" s="41">
        <v>25.0</v>
      </c>
      <c r="M340" s="41">
        <v>51.0</v>
      </c>
      <c r="N340" s="41">
        <v>128.0</v>
      </c>
      <c r="O340" s="122">
        <f t="shared" si="1"/>
        <v>0.3828125</v>
      </c>
      <c r="P340" s="123">
        <f t="shared" si="5"/>
        <v>436.9</v>
      </c>
      <c r="Q340" s="123">
        <f t="shared" si="2"/>
        <v>1.225</v>
      </c>
      <c r="R340" s="123">
        <f t="shared" si="6"/>
        <v>0.625</v>
      </c>
      <c r="S340" s="123">
        <f t="shared" si="3"/>
        <v>1.275</v>
      </c>
      <c r="T340" s="123">
        <f t="shared" si="4"/>
        <v>3.2</v>
      </c>
      <c r="U340" s="41">
        <v>10.0</v>
      </c>
      <c r="V340" s="41">
        <v>6.0</v>
      </c>
      <c r="W340" s="41">
        <v>1.0</v>
      </c>
      <c r="X340" s="41">
        <v>6.0</v>
      </c>
      <c r="Y340" s="41">
        <v>34.0</v>
      </c>
      <c r="Z340" s="41">
        <v>45.0</v>
      </c>
    </row>
    <row r="341">
      <c r="A341" s="41" t="s">
        <v>905</v>
      </c>
      <c r="B341" s="41" t="s">
        <v>114</v>
      </c>
      <c r="C341" s="41" t="s">
        <v>1458</v>
      </c>
      <c r="D341" s="41" t="s">
        <v>1154</v>
      </c>
      <c r="E341" s="41">
        <v>56.0</v>
      </c>
      <c r="F341" s="41">
        <v>32.0</v>
      </c>
      <c r="G341" s="41">
        <v>24.0</v>
      </c>
      <c r="H341" s="125">
        <v>0.5714285714285714</v>
      </c>
      <c r="I341" s="41">
        <v>14.0</v>
      </c>
      <c r="J341" s="41">
        <v>22246.0</v>
      </c>
      <c r="K341" s="41">
        <v>52.0</v>
      </c>
      <c r="L341" s="41">
        <v>48.0</v>
      </c>
      <c r="M341" s="41">
        <v>78.0</v>
      </c>
      <c r="N341" s="41">
        <v>153.0</v>
      </c>
      <c r="O341" s="122">
        <f t="shared" si="1"/>
        <v>0.339869281</v>
      </c>
      <c r="P341" s="123">
        <f t="shared" si="5"/>
        <v>397.25</v>
      </c>
      <c r="Q341" s="123">
        <f t="shared" si="2"/>
        <v>0.9285714286</v>
      </c>
      <c r="R341" s="123">
        <f t="shared" si="6"/>
        <v>0.8571428571</v>
      </c>
      <c r="S341" s="123">
        <f t="shared" si="3"/>
        <v>1.392857143</v>
      </c>
      <c r="T341" s="123">
        <f t="shared" si="4"/>
        <v>2.732142857</v>
      </c>
      <c r="U341" s="41">
        <v>18.0</v>
      </c>
      <c r="V341" s="41">
        <v>4.0</v>
      </c>
      <c r="W341" s="41">
        <v>1.0</v>
      </c>
      <c r="X341" s="41">
        <v>8.0</v>
      </c>
      <c r="Y341" s="41">
        <v>47.0</v>
      </c>
      <c r="Z341" s="41">
        <v>60.0</v>
      </c>
    </row>
    <row r="342">
      <c r="A342" s="41" t="s">
        <v>904</v>
      </c>
      <c r="B342" s="41" t="s">
        <v>655</v>
      </c>
      <c r="C342" s="41" t="s">
        <v>1459</v>
      </c>
      <c r="D342" s="41" t="s">
        <v>1054</v>
      </c>
      <c r="E342" s="41">
        <v>55.0</v>
      </c>
      <c r="F342" s="41">
        <v>29.0</v>
      </c>
      <c r="G342" s="41">
        <v>26.0</v>
      </c>
      <c r="H342" s="125">
        <v>0.5272727272727272</v>
      </c>
      <c r="I342" s="41">
        <v>10.0</v>
      </c>
      <c r="J342" s="41">
        <v>18132.0</v>
      </c>
      <c r="K342" s="41">
        <v>37.0</v>
      </c>
      <c r="L342" s="41">
        <v>24.0</v>
      </c>
      <c r="M342" s="41">
        <v>68.0</v>
      </c>
      <c r="N342" s="41">
        <v>153.0</v>
      </c>
      <c r="O342" s="122">
        <f t="shared" si="1"/>
        <v>0.2418300654</v>
      </c>
      <c r="P342" s="123">
        <f t="shared" si="5"/>
        <v>329.6727273</v>
      </c>
      <c r="Q342" s="123">
        <f t="shared" si="2"/>
        <v>0.6727272727</v>
      </c>
      <c r="R342" s="123">
        <f t="shared" si="6"/>
        <v>0.4363636364</v>
      </c>
      <c r="S342" s="123">
        <f t="shared" si="3"/>
        <v>1.236363636</v>
      </c>
      <c r="T342" s="123">
        <f t="shared" si="4"/>
        <v>2.781818182</v>
      </c>
      <c r="U342" s="41">
        <v>9.0</v>
      </c>
      <c r="V342" s="41">
        <v>1.0</v>
      </c>
      <c r="W342" s="41">
        <v>0.0</v>
      </c>
      <c r="X342" s="41">
        <v>5.0</v>
      </c>
      <c r="Y342" s="41">
        <v>57.0</v>
      </c>
      <c r="Z342" s="41">
        <v>47.0</v>
      </c>
    </row>
    <row r="343">
      <c r="A343" s="41" t="s">
        <v>904</v>
      </c>
      <c r="B343" s="41" t="s">
        <v>633</v>
      </c>
      <c r="C343" s="41" t="s">
        <v>1460</v>
      </c>
      <c r="D343" s="41" t="s">
        <v>1454</v>
      </c>
      <c r="E343" s="41">
        <v>48.0</v>
      </c>
      <c r="F343" s="41">
        <v>24.0</v>
      </c>
      <c r="G343" s="41">
        <v>24.0</v>
      </c>
      <c r="H343" s="125">
        <v>0.5</v>
      </c>
      <c r="I343" s="41">
        <v>9.0</v>
      </c>
      <c r="J343" s="41">
        <v>16193.0</v>
      </c>
      <c r="K343" s="41">
        <v>26.0</v>
      </c>
      <c r="L343" s="41">
        <v>29.0</v>
      </c>
      <c r="M343" s="41">
        <v>71.0</v>
      </c>
      <c r="N343" s="41">
        <v>129.0</v>
      </c>
      <c r="O343" s="122">
        <f t="shared" si="1"/>
        <v>0.2015503876</v>
      </c>
      <c r="P343" s="123">
        <f t="shared" si="5"/>
        <v>337.3541667</v>
      </c>
      <c r="Q343" s="123">
        <f t="shared" si="2"/>
        <v>0.5416666667</v>
      </c>
      <c r="R343" s="123">
        <f t="shared" si="6"/>
        <v>0.6041666667</v>
      </c>
      <c r="S343" s="123">
        <f t="shared" si="3"/>
        <v>1.479166667</v>
      </c>
      <c r="T343" s="123">
        <f t="shared" si="4"/>
        <v>2.6875</v>
      </c>
      <c r="U343" s="41">
        <v>10.0</v>
      </c>
      <c r="V343" s="41">
        <v>1.0</v>
      </c>
      <c r="W343" s="41">
        <v>1.0</v>
      </c>
      <c r="X343" s="41">
        <v>10.0</v>
      </c>
      <c r="Y343" s="41">
        <v>52.0</v>
      </c>
      <c r="Z343" s="41">
        <v>43.0</v>
      </c>
    </row>
    <row r="344">
      <c r="A344" s="41" t="s">
        <v>899</v>
      </c>
      <c r="B344" s="41" t="s">
        <v>447</v>
      </c>
      <c r="C344" s="41" t="s">
        <v>1461</v>
      </c>
      <c r="D344" s="41" t="s">
        <v>1056</v>
      </c>
      <c r="E344" s="41">
        <v>49.0</v>
      </c>
      <c r="F344" s="41">
        <v>20.0</v>
      </c>
      <c r="G344" s="41">
        <v>29.0</v>
      </c>
      <c r="H344" s="125">
        <v>0.40816326530612246</v>
      </c>
      <c r="I344" s="41">
        <v>6.0</v>
      </c>
      <c r="J344" s="41">
        <v>15838.0</v>
      </c>
      <c r="K344" s="41">
        <v>39.0</v>
      </c>
      <c r="L344" s="41">
        <v>25.0</v>
      </c>
      <c r="M344" s="41">
        <v>60.0</v>
      </c>
      <c r="N344" s="41">
        <v>114.0</v>
      </c>
      <c r="O344" s="122">
        <f t="shared" si="1"/>
        <v>0.3421052632</v>
      </c>
      <c r="P344" s="123">
        <f t="shared" si="5"/>
        <v>323.2244898</v>
      </c>
      <c r="Q344" s="123">
        <f t="shared" si="2"/>
        <v>0.7959183673</v>
      </c>
      <c r="R344" s="123">
        <f t="shared" si="6"/>
        <v>0.5102040816</v>
      </c>
      <c r="S344" s="123">
        <f t="shared" si="3"/>
        <v>1.224489796</v>
      </c>
      <c r="T344" s="123">
        <f t="shared" si="4"/>
        <v>2.326530612</v>
      </c>
      <c r="U344" s="41">
        <v>9.0</v>
      </c>
      <c r="V344" s="41">
        <v>4.0</v>
      </c>
      <c r="W344" s="41">
        <v>0.0</v>
      </c>
      <c r="X344" s="41">
        <v>6.0</v>
      </c>
      <c r="Y344" s="41">
        <v>55.0</v>
      </c>
      <c r="Z344" s="41">
        <v>54.0</v>
      </c>
    </row>
    <row r="345">
      <c r="A345" s="41" t="s">
        <v>902</v>
      </c>
      <c r="B345" s="41" t="s">
        <v>847</v>
      </c>
      <c r="C345" s="41" t="s">
        <v>1462</v>
      </c>
      <c r="D345" s="41" t="s">
        <v>1021</v>
      </c>
      <c r="E345" s="41">
        <v>34.0</v>
      </c>
      <c r="F345" s="41">
        <v>13.0</v>
      </c>
      <c r="G345" s="41">
        <v>21.0</v>
      </c>
      <c r="H345" s="125">
        <v>0.38235294117647056</v>
      </c>
      <c r="I345" s="41">
        <v>3.0</v>
      </c>
      <c r="J345" s="41">
        <v>10999.0</v>
      </c>
      <c r="K345" s="41">
        <v>18.0</v>
      </c>
      <c r="L345" s="41">
        <v>13.0</v>
      </c>
      <c r="M345" s="41">
        <v>53.0</v>
      </c>
      <c r="N345" s="41">
        <v>70.0</v>
      </c>
      <c r="O345" s="122">
        <f t="shared" si="1"/>
        <v>0.2571428571</v>
      </c>
      <c r="P345" s="123">
        <f t="shared" si="5"/>
        <v>323.5</v>
      </c>
      <c r="Q345" s="123">
        <f t="shared" si="2"/>
        <v>0.5294117647</v>
      </c>
      <c r="R345" s="123">
        <f t="shared" si="6"/>
        <v>0.3823529412</v>
      </c>
      <c r="S345" s="123">
        <f t="shared" si="3"/>
        <v>1.558823529</v>
      </c>
      <c r="T345" s="123">
        <f t="shared" si="4"/>
        <v>2.058823529</v>
      </c>
      <c r="U345" s="41">
        <v>3.0</v>
      </c>
      <c r="V345" s="41">
        <v>1.0</v>
      </c>
      <c r="W345" s="41">
        <v>0.0</v>
      </c>
      <c r="X345" s="41">
        <v>9.0</v>
      </c>
      <c r="Y345" s="41">
        <v>6.0</v>
      </c>
      <c r="Z345" s="41">
        <v>59.0</v>
      </c>
    </row>
    <row r="346">
      <c r="A346" s="41" t="s">
        <v>905</v>
      </c>
      <c r="B346" s="41" t="s">
        <v>146</v>
      </c>
      <c r="C346" s="41" t="s">
        <v>1463</v>
      </c>
      <c r="D346" s="41" t="s">
        <v>1407</v>
      </c>
      <c r="E346" s="41">
        <v>52.0</v>
      </c>
      <c r="F346" s="41">
        <v>33.0</v>
      </c>
      <c r="G346" s="41">
        <v>19.0</v>
      </c>
      <c r="H346" s="125">
        <v>0.6346153846153846</v>
      </c>
      <c r="I346" s="41">
        <v>12.0</v>
      </c>
      <c r="J346" s="41">
        <v>17438.0</v>
      </c>
      <c r="K346" s="41">
        <v>50.0</v>
      </c>
      <c r="L346" s="41">
        <v>28.0</v>
      </c>
      <c r="M346" s="41">
        <v>47.0</v>
      </c>
      <c r="N346" s="41">
        <v>134.0</v>
      </c>
      <c r="O346" s="122">
        <f t="shared" si="1"/>
        <v>0.3731343284</v>
      </c>
      <c r="P346" s="123">
        <f t="shared" si="5"/>
        <v>335.3461538</v>
      </c>
      <c r="Q346" s="123">
        <f t="shared" si="2"/>
        <v>0.9615384615</v>
      </c>
      <c r="R346" s="123">
        <f t="shared" si="6"/>
        <v>0.5384615385</v>
      </c>
      <c r="S346" s="123">
        <f t="shared" si="3"/>
        <v>0.9038461538</v>
      </c>
      <c r="T346" s="123">
        <f t="shared" si="4"/>
        <v>2.576923077</v>
      </c>
      <c r="U346" s="41">
        <v>7.0</v>
      </c>
      <c r="V346" s="41">
        <v>3.0</v>
      </c>
      <c r="W346" s="41">
        <v>0.0</v>
      </c>
      <c r="X346" s="41">
        <v>2.0</v>
      </c>
      <c r="Y346" s="41">
        <v>53.0</v>
      </c>
      <c r="Z346" s="41">
        <v>40.0</v>
      </c>
    </row>
    <row r="347">
      <c r="A347" s="41" t="s">
        <v>909</v>
      </c>
      <c r="B347" s="41" t="s">
        <v>96</v>
      </c>
      <c r="C347" s="41" t="s">
        <v>1464</v>
      </c>
      <c r="D347" s="41" t="s">
        <v>985</v>
      </c>
      <c r="E347" s="41">
        <v>28.0</v>
      </c>
      <c r="F347" s="41">
        <v>13.0</v>
      </c>
      <c r="G347" s="41">
        <v>15.0</v>
      </c>
      <c r="H347" s="125">
        <v>0.4642857142857143</v>
      </c>
      <c r="I347" s="41">
        <v>5.0</v>
      </c>
      <c r="J347" s="41">
        <v>7237.0</v>
      </c>
      <c r="K347" s="41">
        <v>15.0</v>
      </c>
      <c r="L347" s="41">
        <v>11.0</v>
      </c>
      <c r="M347" s="41">
        <v>30.0</v>
      </c>
      <c r="N347" s="41">
        <v>49.0</v>
      </c>
      <c r="O347" s="122">
        <f t="shared" si="1"/>
        <v>0.306122449</v>
      </c>
      <c r="P347" s="123">
        <f t="shared" si="5"/>
        <v>258.4642857</v>
      </c>
      <c r="Q347" s="123">
        <f t="shared" si="2"/>
        <v>0.5357142857</v>
      </c>
      <c r="R347" s="123">
        <f t="shared" si="6"/>
        <v>0.3928571429</v>
      </c>
      <c r="S347" s="123">
        <f t="shared" si="3"/>
        <v>1.071428571</v>
      </c>
      <c r="T347" s="123">
        <f t="shared" si="4"/>
        <v>1.75</v>
      </c>
      <c r="U347" s="41">
        <v>3.0</v>
      </c>
      <c r="V347" s="41">
        <v>2.0</v>
      </c>
      <c r="W347" s="41">
        <v>0.0</v>
      </c>
      <c r="X347" s="41">
        <v>3.0</v>
      </c>
      <c r="Y347" s="41">
        <v>19.0</v>
      </c>
      <c r="Z347" s="41">
        <v>10.0</v>
      </c>
    </row>
    <row r="348">
      <c r="A348" s="41" t="s">
        <v>902</v>
      </c>
      <c r="B348" s="41" t="s">
        <v>756</v>
      </c>
      <c r="C348" s="41" t="s">
        <v>1465</v>
      </c>
      <c r="D348" s="41" t="s">
        <v>1466</v>
      </c>
      <c r="E348" s="41">
        <v>54.0</v>
      </c>
      <c r="F348" s="41">
        <v>29.0</v>
      </c>
      <c r="G348" s="41">
        <v>25.0</v>
      </c>
      <c r="H348" s="125">
        <v>0.5370370370370371</v>
      </c>
      <c r="I348" s="41">
        <v>10.0</v>
      </c>
      <c r="J348" s="41">
        <v>20569.0</v>
      </c>
      <c r="K348" s="41">
        <v>40.0</v>
      </c>
      <c r="L348" s="41">
        <v>44.0</v>
      </c>
      <c r="M348" s="41">
        <v>81.0</v>
      </c>
      <c r="N348" s="41">
        <v>144.0</v>
      </c>
      <c r="O348" s="122">
        <f t="shared" si="1"/>
        <v>0.2777777778</v>
      </c>
      <c r="P348" s="123">
        <f t="shared" si="5"/>
        <v>380.9074074</v>
      </c>
      <c r="Q348" s="123">
        <f t="shared" si="2"/>
        <v>0.7407407407</v>
      </c>
      <c r="R348" s="123">
        <f t="shared" si="6"/>
        <v>0.8148148148</v>
      </c>
      <c r="S348" s="123">
        <f t="shared" si="3"/>
        <v>1.5</v>
      </c>
      <c r="T348" s="123">
        <f t="shared" si="4"/>
        <v>2.666666667</v>
      </c>
      <c r="U348" s="41">
        <v>12.0</v>
      </c>
      <c r="V348" s="41">
        <v>4.0</v>
      </c>
      <c r="W348" s="41">
        <v>1.0</v>
      </c>
      <c r="X348" s="41">
        <v>10.0</v>
      </c>
      <c r="Y348" s="41">
        <v>82.0</v>
      </c>
      <c r="Z348" s="41">
        <v>41.0</v>
      </c>
    </row>
    <row r="349">
      <c r="A349" s="41" t="s">
        <v>904</v>
      </c>
      <c r="B349" s="41" t="s">
        <v>718</v>
      </c>
      <c r="C349" s="41" t="s">
        <v>1467</v>
      </c>
      <c r="D349" s="41" t="s">
        <v>1095</v>
      </c>
      <c r="E349" s="41">
        <v>13.0</v>
      </c>
      <c r="F349" s="41">
        <v>4.0</v>
      </c>
      <c r="G349" s="41">
        <v>9.0</v>
      </c>
      <c r="H349" s="125">
        <v>0.3076923076923077</v>
      </c>
      <c r="I349" s="41">
        <v>2.0</v>
      </c>
      <c r="J349" s="41">
        <v>3471.0</v>
      </c>
      <c r="K349" s="41">
        <v>8.0</v>
      </c>
      <c r="L349" s="41">
        <v>3.0</v>
      </c>
      <c r="M349" s="41">
        <v>13.0</v>
      </c>
      <c r="N349" s="41">
        <v>24.0</v>
      </c>
      <c r="O349" s="122">
        <f t="shared" si="1"/>
        <v>0.3333333333</v>
      </c>
      <c r="P349" s="123">
        <f t="shared" si="5"/>
        <v>267</v>
      </c>
      <c r="Q349" s="123">
        <f t="shared" si="2"/>
        <v>0.6153846154</v>
      </c>
      <c r="R349" s="123">
        <f t="shared" si="6"/>
        <v>0.2307692308</v>
      </c>
      <c r="S349" s="123">
        <f t="shared" si="3"/>
        <v>1</v>
      </c>
      <c r="T349" s="123">
        <f t="shared" si="4"/>
        <v>1.846153846</v>
      </c>
      <c r="U349" s="41">
        <v>0.0</v>
      </c>
      <c r="V349" s="41">
        <v>1.0</v>
      </c>
      <c r="W349" s="41">
        <v>0.0</v>
      </c>
      <c r="X349" s="41">
        <v>1.0</v>
      </c>
      <c r="Y349" s="41">
        <v>16.0</v>
      </c>
      <c r="Z349" s="41">
        <v>7.0</v>
      </c>
    </row>
    <row r="350">
      <c r="A350" s="41" t="s">
        <v>901</v>
      </c>
      <c r="B350" s="41" t="s">
        <v>391</v>
      </c>
      <c r="C350" s="41" t="s">
        <v>1468</v>
      </c>
      <c r="D350" s="41" t="s">
        <v>1469</v>
      </c>
      <c r="E350" s="41">
        <v>37.0</v>
      </c>
      <c r="F350" s="41">
        <v>12.0</v>
      </c>
      <c r="G350" s="41">
        <v>25.0</v>
      </c>
      <c r="H350" s="125">
        <v>0.32432432432432434</v>
      </c>
      <c r="I350" s="41">
        <v>2.0</v>
      </c>
      <c r="J350" s="41">
        <v>11844.0</v>
      </c>
      <c r="K350" s="41">
        <v>20.0</v>
      </c>
      <c r="L350" s="41">
        <v>21.0</v>
      </c>
      <c r="M350" s="41">
        <v>55.0</v>
      </c>
      <c r="N350" s="41">
        <v>84.0</v>
      </c>
      <c r="O350" s="122">
        <f t="shared" si="1"/>
        <v>0.2380952381</v>
      </c>
      <c r="P350" s="123">
        <f t="shared" si="5"/>
        <v>320.1081081</v>
      </c>
      <c r="Q350" s="123">
        <f t="shared" si="2"/>
        <v>0.5405405405</v>
      </c>
      <c r="R350" s="123">
        <f t="shared" si="6"/>
        <v>0.5675675676</v>
      </c>
      <c r="S350" s="123">
        <f t="shared" si="3"/>
        <v>1.486486486</v>
      </c>
      <c r="T350" s="123">
        <f t="shared" si="4"/>
        <v>2.27027027</v>
      </c>
      <c r="U350" s="41">
        <v>5.0</v>
      </c>
      <c r="V350" s="41">
        <v>1.0</v>
      </c>
      <c r="W350" s="41">
        <v>1.0</v>
      </c>
      <c r="X350" s="41">
        <v>7.0</v>
      </c>
      <c r="Y350" s="41">
        <v>32.0</v>
      </c>
      <c r="Z350" s="41">
        <v>49.0</v>
      </c>
    </row>
    <row r="351">
      <c r="A351" s="41" t="s">
        <v>902</v>
      </c>
      <c r="B351" s="41" t="s">
        <v>827</v>
      </c>
      <c r="C351" s="41" t="s">
        <v>1470</v>
      </c>
      <c r="D351" s="41" t="s">
        <v>1471</v>
      </c>
      <c r="E351" s="41">
        <v>22.0</v>
      </c>
      <c r="F351" s="41">
        <v>9.0</v>
      </c>
      <c r="G351" s="41">
        <v>13.0</v>
      </c>
      <c r="H351" s="125">
        <v>0.4090909090909091</v>
      </c>
      <c r="I351" s="41">
        <v>2.0</v>
      </c>
      <c r="J351" s="41">
        <v>7447.0</v>
      </c>
      <c r="K351" s="41">
        <v>18.0</v>
      </c>
      <c r="L351" s="41">
        <v>12.0</v>
      </c>
      <c r="M351" s="41">
        <v>29.0</v>
      </c>
      <c r="N351" s="41">
        <v>50.0</v>
      </c>
      <c r="O351" s="122">
        <f t="shared" si="1"/>
        <v>0.36</v>
      </c>
      <c r="P351" s="123">
        <f t="shared" si="5"/>
        <v>338.5</v>
      </c>
      <c r="Q351" s="123">
        <f t="shared" si="2"/>
        <v>0.8181818182</v>
      </c>
      <c r="R351" s="123">
        <f t="shared" si="6"/>
        <v>0.5454545455</v>
      </c>
      <c r="S351" s="123">
        <f t="shared" si="3"/>
        <v>1.318181818</v>
      </c>
      <c r="T351" s="123">
        <f t="shared" si="4"/>
        <v>2.272727273</v>
      </c>
      <c r="U351" s="41">
        <v>5.0</v>
      </c>
      <c r="V351" s="41">
        <v>2.0</v>
      </c>
      <c r="W351" s="41">
        <v>1.0</v>
      </c>
      <c r="X351" s="41">
        <v>3.0</v>
      </c>
      <c r="Y351" s="41">
        <v>19.0</v>
      </c>
      <c r="Z351" s="41">
        <v>23.0</v>
      </c>
    </row>
    <row r="352">
      <c r="A352" s="41" t="s">
        <v>905</v>
      </c>
      <c r="B352" s="41" t="s">
        <v>118</v>
      </c>
      <c r="C352" s="41" t="s">
        <v>1472</v>
      </c>
      <c r="D352" s="41" t="s">
        <v>1473</v>
      </c>
      <c r="E352" s="41">
        <v>56.0</v>
      </c>
      <c r="F352" s="41">
        <v>29.0</v>
      </c>
      <c r="G352" s="41">
        <v>27.0</v>
      </c>
      <c r="H352" s="125">
        <v>0.5178571428571429</v>
      </c>
      <c r="I352" s="41">
        <v>16.0</v>
      </c>
      <c r="J352" s="41">
        <v>22575.0</v>
      </c>
      <c r="K352" s="41">
        <v>52.0</v>
      </c>
      <c r="L352" s="41">
        <v>41.0</v>
      </c>
      <c r="M352" s="41">
        <v>72.0</v>
      </c>
      <c r="N352" s="41">
        <v>194.0</v>
      </c>
      <c r="O352" s="122">
        <f t="shared" si="1"/>
        <v>0.2680412371</v>
      </c>
      <c r="P352" s="123">
        <f t="shared" si="5"/>
        <v>403.125</v>
      </c>
      <c r="Q352" s="123">
        <f t="shared" si="2"/>
        <v>0.9285714286</v>
      </c>
      <c r="R352" s="123">
        <f t="shared" si="6"/>
        <v>0.7321428571</v>
      </c>
      <c r="S352" s="123">
        <f t="shared" si="3"/>
        <v>1.285714286</v>
      </c>
      <c r="T352" s="123">
        <f t="shared" si="4"/>
        <v>3.464285714</v>
      </c>
      <c r="U352" s="41">
        <v>16.0</v>
      </c>
      <c r="V352" s="41">
        <v>6.0</v>
      </c>
      <c r="W352" s="41">
        <v>0.0</v>
      </c>
      <c r="X352" s="41">
        <v>8.0</v>
      </c>
      <c r="Y352" s="41">
        <v>38.0</v>
      </c>
      <c r="Z352" s="41">
        <v>64.0</v>
      </c>
    </row>
    <row r="353">
      <c r="A353" s="41" t="s">
        <v>902</v>
      </c>
      <c r="B353" s="41" t="s">
        <v>131</v>
      </c>
      <c r="C353" s="41" t="s">
        <v>1474</v>
      </c>
      <c r="D353" s="41" t="s">
        <v>1130</v>
      </c>
      <c r="E353" s="41">
        <v>4.0</v>
      </c>
      <c r="F353" s="41">
        <v>0.0</v>
      </c>
      <c r="G353" s="41">
        <v>4.0</v>
      </c>
      <c r="H353" s="125">
        <v>0.0</v>
      </c>
      <c r="I353" s="41">
        <v>0.0</v>
      </c>
      <c r="J353" s="41">
        <v>664.0</v>
      </c>
      <c r="K353" s="41">
        <v>1.0</v>
      </c>
      <c r="L353" s="41">
        <v>1.0</v>
      </c>
      <c r="M353" s="41">
        <v>3.0</v>
      </c>
      <c r="N353" s="41">
        <v>5.0</v>
      </c>
      <c r="O353" s="122">
        <f t="shared" si="1"/>
        <v>0.2</v>
      </c>
      <c r="P353" s="123">
        <f t="shared" si="5"/>
        <v>166</v>
      </c>
      <c r="Q353" s="123">
        <f t="shared" si="2"/>
        <v>0.25</v>
      </c>
      <c r="R353" s="123">
        <f t="shared" si="6"/>
        <v>0.25</v>
      </c>
      <c r="S353" s="123">
        <f t="shared" si="3"/>
        <v>0.75</v>
      </c>
      <c r="T353" s="123">
        <f t="shared" si="4"/>
        <v>1.25</v>
      </c>
      <c r="U353" s="41">
        <v>0.0</v>
      </c>
      <c r="V353" s="41">
        <v>0.0</v>
      </c>
      <c r="W353" s="41">
        <v>0.0</v>
      </c>
      <c r="X353" s="41">
        <v>0.0</v>
      </c>
      <c r="Y353" s="41">
        <v>3.0</v>
      </c>
      <c r="Z353" s="41">
        <v>6.0</v>
      </c>
    </row>
    <row r="354">
      <c r="A354" s="41" t="s">
        <v>904</v>
      </c>
      <c r="B354" s="41" t="s">
        <v>131</v>
      </c>
      <c r="C354" s="41" t="s">
        <v>1474</v>
      </c>
      <c r="D354" s="41" t="s">
        <v>951</v>
      </c>
      <c r="E354" s="41">
        <v>16.0</v>
      </c>
      <c r="F354" s="41">
        <v>8.0</v>
      </c>
      <c r="G354" s="41">
        <v>8.0</v>
      </c>
      <c r="H354" s="125">
        <v>0.5</v>
      </c>
      <c r="I354" s="41">
        <v>4.0</v>
      </c>
      <c r="J354" s="41">
        <v>5685.0</v>
      </c>
      <c r="K354" s="41">
        <v>14.0</v>
      </c>
      <c r="L354" s="41">
        <v>13.0</v>
      </c>
      <c r="M354" s="41">
        <v>20.0</v>
      </c>
      <c r="N354" s="41">
        <v>38.0</v>
      </c>
      <c r="O354" s="122">
        <f t="shared" si="1"/>
        <v>0.3684210526</v>
      </c>
      <c r="P354" s="123">
        <f t="shared" si="5"/>
        <v>355.3125</v>
      </c>
      <c r="Q354" s="123">
        <f t="shared" si="2"/>
        <v>0.875</v>
      </c>
      <c r="R354" s="123">
        <f t="shared" si="6"/>
        <v>0.8125</v>
      </c>
      <c r="S354" s="123">
        <f t="shared" si="3"/>
        <v>1.25</v>
      </c>
      <c r="T354" s="123">
        <f t="shared" si="4"/>
        <v>2.375</v>
      </c>
      <c r="U354" s="41">
        <v>7.0</v>
      </c>
      <c r="V354" s="41">
        <v>0.0</v>
      </c>
      <c r="W354" s="41">
        <v>0.0</v>
      </c>
      <c r="X354" s="41">
        <v>3.0</v>
      </c>
      <c r="Y354" s="41">
        <v>23.0</v>
      </c>
      <c r="Z354" s="41">
        <v>10.0</v>
      </c>
    </row>
    <row r="355">
      <c r="A355" s="41" t="s">
        <v>905</v>
      </c>
      <c r="B355" s="41" t="s">
        <v>131</v>
      </c>
      <c r="C355" s="41" t="s">
        <v>1474</v>
      </c>
      <c r="D355" s="41" t="s">
        <v>942</v>
      </c>
      <c r="E355" s="41">
        <v>11.0</v>
      </c>
      <c r="F355" s="41">
        <v>4.0</v>
      </c>
      <c r="G355" s="41">
        <v>7.0</v>
      </c>
      <c r="H355" s="125">
        <v>0.36363636363636365</v>
      </c>
      <c r="I355" s="41">
        <v>0.0</v>
      </c>
      <c r="J355" s="41">
        <v>4058.0</v>
      </c>
      <c r="K355" s="41">
        <v>13.0</v>
      </c>
      <c r="L355" s="41">
        <v>6.0</v>
      </c>
      <c r="M355" s="41">
        <v>11.0</v>
      </c>
      <c r="N355" s="41">
        <v>32.0</v>
      </c>
      <c r="O355" s="122">
        <f t="shared" si="1"/>
        <v>0.40625</v>
      </c>
      <c r="P355" s="123">
        <f t="shared" si="5"/>
        <v>368.9090909</v>
      </c>
      <c r="Q355" s="123">
        <f t="shared" si="2"/>
        <v>1.181818182</v>
      </c>
      <c r="R355" s="123">
        <f t="shared" si="6"/>
        <v>0.5454545455</v>
      </c>
      <c r="S355" s="123">
        <f t="shared" si="3"/>
        <v>1</v>
      </c>
      <c r="T355" s="123">
        <f t="shared" si="4"/>
        <v>2.909090909</v>
      </c>
      <c r="U355" s="41">
        <v>5.0</v>
      </c>
      <c r="V355" s="41">
        <v>1.0</v>
      </c>
      <c r="W355" s="41">
        <v>0.0</v>
      </c>
      <c r="X355" s="41">
        <v>1.0</v>
      </c>
      <c r="Y355" s="41">
        <v>11.0</v>
      </c>
      <c r="Z355" s="41">
        <v>4.0</v>
      </c>
    </row>
    <row r="356">
      <c r="A356" s="41" t="s">
        <v>901</v>
      </c>
      <c r="B356" s="41" t="s">
        <v>278</v>
      </c>
      <c r="C356" s="41" t="s">
        <v>1475</v>
      </c>
      <c r="D356" s="41" t="s">
        <v>1349</v>
      </c>
      <c r="E356" s="41">
        <v>51.0</v>
      </c>
      <c r="F356" s="41">
        <v>34.0</v>
      </c>
      <c r="G356" s="41">
        <v>17.0</v>
      </c>
      <c r="H356" s="125">
        <v>0.6666666666666666</v>
      </c>
      <c r="I356" s="41">
        <v>9.0</v>
      </c>
      <c r="J356" s="41">
        <v>18239.0</v>
      </c>
      <c r="K356" s="41">
        <v>51.0</v>
      </c>
      <c r="L356" s="41">
        <v>42.0</v>
      </c>
      <c r="M356" s="41">
        <v>49.0</v>
      </c>
      <c r="N356" s="41">
        <v>156.0</v>
      </c>
      <c r="O356" s="122">
        <f t="shared" si="1"/>
        <v>0.3269230769</v>
      </c>
      <c r="P356" s="123">
        <f t="shared" si="5"/>
        <v>357.627451</v>
      </c>
      <c r="Q356" s="123">
        <f t="shared" si="2"/>
        <v>1</v>
      </c>
      <c r="R356" s="123">
        <f t="shared" si="6"/>
        <v>0.8235294118</v>
      </c>
      <c r="S356" s="123">
        <f t="shared" si="3"/>
        <v>0.9607843137</v>
      </c>
      <c r="T356" s="123">
        <f t="shared" si="4"/>
        <v>3.058823529</v>
      </c>
      <c r="U356" s="41">
        <v>10.0</v>
      </c>
      <c r="V356" s="41">
        <v>5.0</v>
      </c>
      <c r="W356" s="41">
        <v>2.0</v>
      </c>
      <c r="X356" s="41">
        <v>4.0</v>
      </c>
      <c r="Y356" s="41">
        <v>35.0</v>
      </c>
      <c r="Z356" s="41">
        <v>70.0</v>
      </c>
    </row>
    <row r="357">
      <c r="A357" s="41" t="s">
        <v>902</v>
      </c>
      <c r="B357" s="41" t="s">
        <v>835</v>
      </c>
      <c r="C357" s="41" t="s">
        <v>1476</v>
      </c>
      <c r="D357" s="41" t="s">
        <v>1477</v>
      </c>
      <c r="E357" s="41">
        <v>29.0</v>
      </c>
      <c r="F357" s="41">
        <v>15.0</v>
      </c>
      <c r="G357" s="41">
        <v>14.0</v>
      </c>
      <c r="H357" s="125">
        <v>0.5172413793103449</v>
      </c>
      <c r="I357" s="41">
        <v>3.0</v>
      </c>
      <c r="J357" s="41">
        <v>9158.0</v>
      </c>
      <c r="K357" s="41">
        <v>17.0</v>
      </c>
      <c r="L357" s="41">
        <v>14.0</v>
      </c>
      <c r="M357" s="41">
        <v>45.0</v>
      </c>
      <c r="N357" s="41">
        <v>56.0</v>
      </c>
      <c r="O357" s="122">
        <f t="shared" si="1"/>
        <v>0.3035714286</v>
      </c>
      <c r="P357" s="123">
        <f t="shared" si="5"/>
        <v>315.7931034</v>
      </c>
      <c r="Q357" s="123">
        <f t="shared" si="2"/>
        <v>0.5862068966</v>
      </c>
      <c r="R357" s="123">
        <f t="shared" si="6"/>
        <v>0.4827586207</v>
      </c>
      <c r="S357" s="123">
        <f t="shared" si="3"/>
        <v>1.551724138</v>
      </c>
      <c r="T357" s="123">
        <f t="shared" si="4"/>
        <v>1.931034483</v>
      </c>
      <c r="U357" s="41">
        <v>5.0</v>
      </c>
      <c r="V357" s="41">
        <v>0.0</v>
      </c>
      <c r="W357" s="41">
        <v>0.0</v>
      </c>
      <c r="X357" s="41">
        <v>7.0</v>
      </c>
      <c r="Y357" s="41">
        <v>22.0</v>
      </c>
      <c r="Z357" s="41">
        <v>28.0</v>
      </c>
    </row>
    <row r="358">
      <c r="A358" s="41" t="s">
        <v>904</v>
      </c>
      <c r="B358" s="41" t="s">
        <v>605</v>
      </c>
      <c r="C358" s="41" t="s">
        <v>1478</v>
      </c>
      <c r="D358" s="41" t="s">
        <v>1479</v>
      </c>
      <c r="E358" s="41">
        <v>52.0</v>
      </c>
      <c r="F358" s="41">
        <v>24.0</v>
      </c>
      <c r="G358" s="41">
        <v>28.0</v>
      </c>
      <c r="H358" s="125">
        <v>0.46153846153846156</v>
      </c>
      <c r="I358" s="41">
        <v>15.0</v>
      </c>
      <c r="J358" s="41">
        <v>19417.0</v>
      </c>
      <c r="K358" s="41">
        <v>57.0</v>
      </c>
      <c r="L358" s="41">
        <v>19.0</v>
      </c>
      <c r="M358" s="41">
        <v>66.0</v>
      </c>
      <c r="N358" s="41">
        <v>151.0</v>
      </c>
      <c r="O358" s="122">
        <f t="shared" si="1"/>
        <v>0.3774834437</v>
      </c>
      <c r="P358" s="123">
        <f t="shared" si="5"/>
        <v>373.4038462</v>
      </c>
      <c r="Q358" s="123">
        <f t="shared" si="2"/>
        <v>1.096153846</v>
      </c>
      <c r="R358" s="123">
        <f t="shared" si="6"/>
        <v>0.3653846154</v>
      </c>
      <c r="S358" s="123">
        <f t="shared" si="3"/>
        <v>1.269230769</v>
      </c>
      <c r="T358" s="123">
        <f t="shared" si="4"/>
        <v>2.903846154</v>
      </c>
      <c r="U358" s="41">
        <v>9.0</v>
      </c>
      <c r="V358" s="41">
        <v>3.0</v>
      </c>
      <c r="W358" s="41">
        <v>0.0</v>
      </c>
      <c r="X358" s="41">
        <v>6.0</v>
      </c>
      <c r="Y358" s="41">
        <v>57.0</v>
      </c>
      <c r="Z358" s="41">
        <v>39.0</v>
      </c>
    </row>
    <row r="359">
      <c r="A359" s="41" t="s">
        <v>904</v>
      </c>
      <c r="B359" s="41" t="s">
        <v>647</v>
      </c>
      <c r="C359" s="41" t="s">
        <v>1480</v>
      </c>
      <c r="D359" s="41" t="s">
        <v>1316</v>
      </c>
      <c r="E359" s="41">
        <v>51.0</v>
      </c>
      <c r="F359" s="41">
        <v>29.0</v>
      </c>
      <c r="G359" s="41">
        <v>22.0</v>
      </c>
      <c r="H359" s="125">
        <v>0.5686274509803921</v>
      </c>
      <c r="I359" s="41">
        <v>8.0</v>
      </c>
      <c r="J359" s="41">
        <v>17791.0</v>
      </c>
      <c r="K359" s="41">
        <v>40.0</v>
      </c>
      <c r="L359" s="41">
        <v>30.0</v>
      </c>
      <c r="M359" s="41">
        <v>70.0</v>
      </c>
      <c r="N359" s="41">
        <v>113.0</v>
      </c>
      <c r="O359" s="122">
        <f t="shared" si="1"/>
        <v>0.3539823009</v>
      </c>
      <c r="P359" s="123">
        <f t="shared" si="5"/>
        <v>348.8431373</v>
      </c>
      <c r="Q359" s="123">
        <f t="shared" si="2"/>
        <v>0.7843137255</v>
      </c>
      <c r="R359" s="123">
        <f t="shared" si="6"/>
        <v>0.5882352941</v>
      </c>
      <c r="S359" s="123">
        <f t="shared" si="3"/>
        <v>1.37254902</v>
      </c>
      <c r="T359" s="123">
        <f t="shared" si="4"/>
        <v>2.215686275</v>
      </c>
      <c r="U359" s="41">
        <v>11.0</v>
      </c>
      <c r="V359" s="41">
        <v>2.0</v>
      </c>
      <c r="W359" s="41">
        <v>2.0</v>
      </c>
      <c r="X359" s="41">
        <v>9.0</v>
      </c>
      <c r="Y359" s="41">
        <v>59.0</v>
      </c>
      <c r="Z359" s="41">
        <v>41.0</v>
      </c>
    </row>
    <row r="360">
      <c r="A360" s="41" t="s">
        <v>901</v>
      </c>
      <c r="B360" s="41" t="s">
        <v>336</v>
      </c>
      <c r="C360" s="41" t="s">
        <v>1481</v>
      </c>
      <c r="D360" s="41" t="s">
        <v>1482</v>
      </c>
      <c r="E360" s="41">
        <v>34.0</v>
      </c>
      <c r="F360" s="41">
        <v>11.0</v>
      </c>
      <c r="G360" s="41">
        <v>23.0</v>
      </c>
      <c r="H360" s="125">
        <v>0.3235294117647059</v>
      </c>
      <c r="I360" s="41">
        <v>2.0</v>
      </c>
      <c r="J360" s="41">
        <v>14234.0</v>
      </c>
      <c r="K360" s="41">
        <v>27.0</v>
      </c>
      <c r="L360" s="41">
        <v>18.0</v>
      </c>
      <c r="M360" s="41">
        <v>68.0</v>
      </c>
      <c r="N360" s="41">
        <v>90.0</v>
      </c>
      <c r="O360" s="122">
        <f t="shared" si="1"/>
        <v>0.3</v>
      </c>
      <c r="P360" s="123">
        <f t="shared" si="5"/>
        <v>418.6470588</v>
      </c>
      <c r="Q360" s="123">
        <f t="shared" si="2"/>
        <v>0.7941176471</v>
      </c>
      <c r="R360" s="123">
        <f t="shared" si="6"/>
        <v>0.5294117647</v>
      </c>
      <c r="S360" s="123">
        <f t="shared" si="3"/>
        <v>2</v>
      </c>
      <c r="T360" s="123">
        <f t="shared" si="4"/>
        <v>2.647058824</v>
      </c>
      <c r="U360" s="41">
        <v>8.0</v>
      </c>
      <c r="V360" s="41">
        <v>1.0</v>
      </c>
      <c r="W360" s="41">
        <v>2.0</v>
      </c>
      <c r="X360" s="41">
        <v>9.0</v>
      </c>
      <c r="Y360" s="41">
        <v>27.0</v>
      </c>
      <c r="Z360" s="41">
        <v>37.0</v>
      </c>
    </row>
    <row r="361">
      <c r="A361" s="41" t="s">
        <v>904</v>
      </c>
      <c r="B361" s="41" t="s">
        <v>714</v>
      </c>
      <c r="C361" s="41" t="s">
        <v>1483</v>
      </c>
      <c r="D361" s="41" t="s">
        <v>1316</v>
      </c>
      <c r="E361" s="41">
        <v>25.0</v>
      </c>
      <c r="F361" s="41">
        <v>11.0</v>
      </c>
      <c r="G361" s="41">
        <v>14.0</v>
      </c>
      <c r="H361" s="125">
        <v>0.44</v>
      </c>
      <c r="I361" s="41">
        <v>2.0</v>
      </c>
      <c r="J361" s="41">
        <v>6962.0</v>
      </c>
      <c r="K361" s="41">
        <v>17.0</v>
      </c>
      <c r="L361" s="41">
        <v>11.0</v>
      </c>
      <c r="M361" s="41">
        <v>16.0</v>
      </c>
      <c r="N361" s="41">
        <v>51.0</v>
      </c>
      <c r="O361" s="122">
        <f t="shared" si="1"/>
        <v>0.3333333333</v>
      </c>
      <c r="P361" s="123">
        <f t="shared" si="5"/>
        <v>278.48</v>
      </c>
      <c r="Q361" s="123">
        <f t="shared" si="2"/>
        <v>0.68</v>
      </c>
      <c r="R361" s="123">
        <f t="shared" si="6"/>
        <v>0.44</v>
      </c>
      <c r="S361" s="123">
        <f t="shared" si="3"/>
        <v>0.64</v>
      </c>
      <c r="T361" s="123">
        <f t="shared" si="4"/>
        <v>2.04</v>
      </c>
      <c r="U361" s="41">
        <v>2.0</v>
      </c>
      <c r="V361" s="41">
        <v>0.0</v>
      </c>
      <c r="W361" s="41">
        <v>1.0</v>
      </c>
      <c r="X361" s="41">
        <v>1.0</v>
      </c>
      <c r="Y361" s="41">
        <v>10.0</v>
      </c>
      <c r="Z361" s="41">
        <v>26.0</v>
      </c>
    </row>
    <row r="362">
      <c r="A362" s="41" t="s">
        <v>905</v>
      </c>
      <c r="B362" s="41" t="s">
        <v>111</v>
      </c>
      <c r="C362" s="41" t="s">
        <v>1484</v>
      </c>
      <c r="D362" s="41" t="s">
        <v>913</v>
      </c>
      <c r="E362" s="41">
        <v>52.0</v>
      </c>
      <c r="F362" s="41">
        <v>39.0</v>
      </c>
      <c r="G362" s="41">
        <v>13.0</v>
      </c>
      <c r="H362" s="125">
        <v>0.75</v>
      </c>
      <c r="I362" s="41">
        <v>14.0</v>
      </c>
      <c r="J362" s="41">
        <v>20440.0</v>
      </c>
      <c r="K362" s="41">
        <v>65.0</v>
      </c>
      <c r="L362" s="41">
        <v>38.0</v>
      </c>
      <c r="M362" s="41">
        <v>60.0</v>
      </c>
      <c r="N362" s="41">
        <v>157.0</v>
      </c>
      <c r="O362" s="122">
        <f t="shared" si="1"/>
        <v>0.4140127389</v>
      </c>
      <c r="P362" s="123">
        <f t="shared" si="5"/>
        <v>393.0769231</v>
      </c>
      <c r="Q362" s="123">
        <f t="shared" si="2"/>
        <v>1.25</v>
      </c>
      <c r="R362" s="123">
        <f t="shared" si="6"/>
        <v>0.7307692308</v>
      </c>
      <c r="S362" s="123">
        <f t="shared" si="3"/>
        <v>1.153846154</v>
      </c>
      <c r="T362" s="123">
        <f t="shared" si="4"/>
        <v>3.019230769</v>
      </c>
      <c r="U362" s="41">
        <v>13.0</v>
      </c>
      <c r="V362" s="41">
        <v>6.0</v>
      </c>
      <c r="W362" s="41">
        <v>3.0</v>
      </c>
      <c r="X362" s="41">
        <v>8.0</v>
      </c>
      <c r="Y362" s="41">
        <v>46.0</v>
      </c>
      <c r="Z362" s="41">
        <v>42.0</v>
      </c>
    </row>
    <row r="363">
      <c r="A363" s="41" t="s">
        <v>906</v>
      </c>
      <c r="B363" s="41" t="s">
        <v>542</v>
      </c>
      <c r="C363" s="41" t="s">
        <v>1485</v>
      </c>
      <c r="D363" s="41" t="s">
        <v>1486</v>
      </c>
      <c r="E363" s="41">
        <v>41.0</v>
      </c>
      <c r="F363" s="41">
        <v>21.0</v>
      </c>
      <c r="G363" s="41">
        <v>20.0</v>
      </c>
      <c r="H363" s="125">
        <v>0.5121951219512195</v>
      </c>
      <c r="I363" s="41">
        <v>4.0</v>
      </c>
      <c r="J363" s="41">
        <v>14147.0</v>
      </c>
      <c r="K363" s="41">
        <v>33.0</v>
      </c>
      <c r="L363" s="41">
        <v>17.0</v>
      </c>
      <c r="M363" s="41">
        <v>57.0</v>
      </c>
      <c r="N363" s="41">
        <v>98.0</v>
      </c>
      <c r="O363" s="122">
        <f t="shared" si="1"/>
        <v>0.3367346939</v>
      </c>
      <c r="P363" s="123">
        <f t="shared" si="5"/>
        <v>345.0487805</v>
      </c>
      <c r="Q363" s="123">
        <f t="shared" si="2"/>
        <v>0.8048780488</v>
      </c>
      <c r="R363" s="123">
        <f t="shared" si="6"/>
        <v>0.4146341463</v>
      </c>
      <c r="S363" s="123">
        <f t="shared" si="3"/>
        <v>1.390243902</v>
      </c>
      <c r="T363" s="123">
        <f t="shared" si="4"/>
        <v>2.390243902</v>
      </c>
      <c r="U363" s="41">
        <v>3.0</v>
      </c>
      <c r="V363" s="41">
        <v>4.0</v>
      </c>
      <c r="W363" s="41">
        <v>0.0</v>
      </c>
      <c r="X363" s="41">
        <v>6.0</v>
      </c>
      <c r="Y363" s="41">
        <v>38.0</v>
      </c>
      <c r="Z363" s="41">
        <v>42.0</v>
      </c>
    </row>
    <row r="364">
      <c r="A364" s="41" t="s">
        <v>906</v>
      </c>
      <c r="B364" s="41" t="s">
        <v>550</v>
      </c>
      <c r="C364" s="41" t="s">
        <v>1487</v>
      </c>
      <c r="D364" s="41" t="s">
        <v>1061</v>
      </c>
      <c r="E364" s="41">
        <v>56.0</v>
      </c>
      <c r="F364" s="41">
        <v>31.0</v>
      </c>
      <c r="G364" s="41">
        <v>25.0</v>
      </c>
      <c r="H364" s="125">
        <v>0.5535714285714286</v>
      </c>
      <c r="I364" s="41">
        <v>9.0</v>
      </c>
      <c r="J364" s="41">
        <v>17509.0</v>
      </c>
      <c r="K364" s="41">
        <v>46.0</v>
      </c>
      <c r="L364" s="41">
        <v>28.0</v>
      </c>
      <c r="M364" s="41">
        <v>62.0</v>
      </c>
      <c r="N364" s="41">
        <v>115.0</v>
      </c>
      <c r="O364" s="122">
        <f t="shared" si="1"/>
        <v>0.4</v>
      </c>
      <c r="P364" s="123">
        <f t="shared" si="5"/>
        <v>312.6607143</v>
      </c>
      <c r="Q364" s="123">
        <f t="shared" si="2"/>
        <v>0.8214285714</v>
      </c>
      <c r="R364" s="123">
        <f t="shared" si="6"/>
        <v>0.5</v>
      </c>
      <c r="S364" s="123">
        <f t="shared" si="3"/>
        <v>1.107142857</v>
      </c>
      <c r="T364" s="123">
        <f t="shared" si="4"/>
        <v>2.053571429</v>
      </c>
      <c r="U364" s="41">
        <v>6.0</v>
      </c>
      <c r="V364" s="41">
        <v>4.0</v>
      </c>
      <c r="W364" s="41">
        <v>1.0</v>
      </c>
      <c r="X364" s="41">
        <v>7.0</v>
      </c>
      <c r="Y364" s="41">
        <v>57.0</v>
      </c>
      <c r="Z364" s="41">
        <v>70.0</v>
      </c>
    </row>
    <row r="365">
      <c r="A365" s="41" t="s">
        <v>901</v>
      </c>
      <c r="B365" s="41" t="s">
        <v>306</v>
      </c>
      <c r="C365" s="41" t="s">
        <v>1488</v>
      </c>
      <c r="D365" s="41" t="s">
        <v>1385</v>
      </c>
      <c r="E365" s="41">
        <v>52.0</v>
      </c>
      <c r="F365" s="41">
        <v>24.0</v>
      </c>
      <c r="G365" s="41">
        <v>28.0</v>
      </c>
      <c r="H365" s="125">
        <v>0.46153846153846156</v>
      </c>
      <c r="I365" s="41">
        <v>8.0</v>
      </c>
      <c r="J365" s="41">
        <v>19434.0</v>
      </c>
      <c r="K365" s="41">
        <v>40.0</v>
      </c>
      <c r="L365" s="41">
        <v>31.0</v>
      </c>
      <c r="M365" s="41">
        <v>83.0</v>
      </c>
      <c r="N365" s="41">
        <v>135.0</v>
      </c>
      <c r="O365" s="122">
        <f t="shared" si="1"/>
        <v>0.2962962963</v>
      </c>
      <c r="P365" s="123">
        <f t="shared" si="5"/>
        <v>373.7307692</v>
      </c>
      <c r="Q365" s="123">
        <f t="shared" si="2"/>
        <v>0.7692307692</v>
      </c>
      <c r="R365" s="123">
        <f t="shared" si="6"/>
        <v>0.5961538462</v>
      </c>
      <c r="S365" s="123">
        <f t="shared" si="3"/>
        <v>1.596153846</v>
      </c>
      <c r="T365" s="123">
        <f t="shared" si="4"/>
        <v>2.596153846</v>
      </c>
      <c r="U365" s="41">
        <v>12.0</v>
      </c>
      <c r="V365" s="41">
        <v>2.0</v>
      </c>
      <c r="W365" s="41">
        <v>1.0</v>
      </c>
      <c r="X365" s="41">
        <v>13.0</v>
      </c>
      <c r="Y365" s="41">
        <v>37.0</v>
      </c>
      <c r="Z365" s="41">
        <v>60.0</v>
      </c>
    </row>
    <row r="366">
      <c r="A366" s="41" t="s">
        <v>905</v>
      </c>
      <c r="B366" s="41" t="s">
        <v>235</v>
      </c>
      <c r="C366" s="41" t="s">
        <v>1489</v>
      </c>
      <c r="D366" s="41" t="s">
        <v>1333</v>
      </c>
      <c r="E366" s="41">
        <v>34.0</v>
      </c>
      <c r="F366" s="41">
        <v>10.0</v>
      </c>
      <c r="G366" s="41">
        <v>24.0</v>
      </c>
      <c r="H366" s="125">
        <v>0.29411764705882354</v>
      </c>
      <c r="I366" s="41">
        <v>2.0</v>
      </c>
      <c r="J366" s="41">
        <v>10327.0</v>
      </c>
      <c r="K366" s="41">
        <v>19.0</v>
      </c>
      <c r="L366" s="41">
        <v>13.0</v>
      </c>
      <c r="M366" s="41">
        <v>47.0</v>
      </c>
      <c r="N366" s="41">
        <v>70.0</v>
      </c>
      <c r="O366" s="122">
        <f t="shared" si="1"/>
        <v>0.2714285714</v>
      </c>
      <c r="P366" s="123">
        <f t="shared" si="5"/>
        <v>303.7352941</v>
      </c>
      <c r="Q366" s="123">
        <f t="shared" si="2"/>
        <v>0.5588235294</v>
      </c>
      <c r="R366" s="123">
        <f t="shared" si="6"/>
        <v>0.3823529412</v>
      </c>
      <c r="S366" s="123">
        <f t="shared" si="3"/>
        <v>1.382352941</v>
      </c>
      <c r="T366" s="123">
        <f t="shared" si="4"/>
        <v>2.058823529</v>
      </c>
      <c r="U366" s="41">
        <v>5.0</v>
      </c>
      <c r="V366" s="41">
        <v>0.0</v>
      </c>
      <c r="W366" s="41">
        <v>0.0</v>
      </c>
      <c r="X366" s="41">
        <v>6.0</v>
      </c>
      <c r="Y366" s="41">
        <v>21.0</v>
      </c>
      <c r="Z366" s="41">
        <v>16.0</v>
      </c>
    </row>
    <row r="367">
      <c r="A367" s="41" t="s">
        <v>901</v>
      </c>
      <c r="B367" s="41" t="s">
        <v>310</v>
      </c>
      <c r="C367" s="41" t="s">
        <v>1490</v>
      </c>
      <c r="D367" s="41" t="s">
        <v>1491</v>
      </c>
      <c r="E367" s="41">
        <v>34.0</v>
      </c>
      <c r="F367" s="41">
        <v>25.0</v>
      </c>
      <c r="G367" s="41">
        <v>9.0</v>
      </c>
      <c r="H367" s="125">
        <v>0.7352941176470589</v>
      </c>
      <c r="I367" s="41">
        <v>5.0</v>
      </c>
      <c r="J367" s="41">
        <v>11935.0</v>
      </c>
      <c r="K367" s="41">
        <v>30.0</v>
      </c>
      <c r="L367" s="41">
        <v>25.0</v>
      </c>
      <c r="M367" s="41">
        <v>34.0</v>
      </c>
      <c r="N367" s="41">
        <v>100.0</v>
      </c>
      <c r="O367" s="122">
        <f t="shared" si="1"/>
        <v>0.3</v>
      </c>
      <c r="P367" s="123">
        <f t="shared" si="5"/>
        <v>351.0294118</v>
      </c>
      <c r="Q367" s="123">
        <f t="shared" si="2"/>
        <v>0.8823529412</v>
      </c>
      <c r="R367" s="123">
        <f t="shared" si="6"/>
        <v>0.7352941176</v>
      </c>
      <c r="S367" s="123">
        <f t="shared" si="3"/>
        <v>1</v>
      </c>
      <c r="T367" s="123">
        <f t="shared" si="4"/>
        <v>2.941176471</v>
      </c>
      <c r="U367" s="41">
        <v>8.0</v>
      </c>
      <c r="V367" s="41">
        <v>3.0</v>
      </c>
      <c r="W367" s="41">
        <v>1.0</v>
      </c>
      <c r="X367" s="41">
        <v>2.0</v>
      </c>
      <c r="Y367" s="41">
        <v>41.0</v>
      </c>
      <c r="Z367" s="41">
        <v>41.0</v>
      </c>
    </row>
    <row r="368">
      <c r="A368" s="41" t="s">
        <v>901</v>
      </c>
      <c r="B368" s="41" t="s">
        <v>311</v>
      </c>
      <c r="C368" s="41" t="s">
        <v>1492</v>
      </c>
      <c r="D368" s="41" t="s">
        <v>1493</v>
      </c>
      <c r="E368" s="41">
        <v>10.0</v>
      </c>
      <c r="F368" s="41">
        <v>8.0</v>
      </c>
      <c r="G368" s="41">
        <v>2.0</v>
      </c>
      <c r="H368" s="125">
        <v>0.8</v>
      </c>
      <c r="I368" s="41">
        <v>3.0</v>
      </c>
      <c r="J368" s="41">
        <v>3916.0</v>
      </c>
      <c r="K368" s="41">
        <v>6.0</v>
      </c>
      <c r="L368" s="41">
        <v>9.0</v>
      </c>
      <c r="M368" s="41">
        <v>17.0</v>
      </c>
      <c r="N368" s="41">
        <v>31.0</v>
      </c>
      <c r="O368" s="122">
        <f t="shared" si="1"/>
        <v>0.1935483871</v>
      </c>
      <c r="P368" s="123">
        <f t="shared" si="5"/>
        <v>391.6</v>
      </c>
      <c r="Q368" s="123">
        <f t="shared" si="2"/>
        <v>0.6</v>
      </c>
      <c r="R368" s="123">
        <f t="shared" si="6"/>
        <v>0.9</v>
      </c>
      <c r="S368" s="123">
        <f t="shared" si="3"/>
        <v>1.7</v>
      </c>
      <c r="T368" s="123">
        <f t="shared" si="4"/>
        <v>3.1</v>
      </c>
      <c r="U368" s="41">
        <v>1.0</v>
      </c>
      <c r="V368" s="41">
        <v>0.0</v>
      </c>
      <c r="W368" s="41">
        <v>2.0</v>
      </c>
      <c r="X368" s="41">
        <v>3.0</v>
      </c>
      <c r="Y368" s="41">
        <v>5.0</v>
      </c>
      <c r="Z368" s="41">
        <v>13.0</v>
      </c>
    </row>
    <row r="369">
      <c r="A369" s="41" t="s">
        <v>902</v>
      </c>
      <c r="B369" s="41" t="s">
        <v>748</v>
      </c>
      <c r="C369" s="41" t="s">
        <v>1494</v>
      </c>
      <c r="D369" s="41" t="s">
        <v>1477</v>
      </c>
      <c r="E369" s="41">
        <v>36.0</v>
      </c>
      <c r="F369" s="41">
        <v>22.0</v>
      </c>
      <c r="G369" s="41">
        <v>14.0</v>
      </c>
      <c r="H369" s="125">
        <v>0.6111111111111112</v>
      </c>
      <c r="I369" s="41">
        <v>7.0</v>
      </c>
      <c r="J369" s="41">
        <v>13512.0</v>
      </c>
      <c r="K369" s="41">
        <v>37.0</v>
      </c>
      <c r="L369" s="41">
        <v>22.0</v>
      </c>
      <c r="M369" s="41">
        <v>32.0</v>
      </c>
      <c r="N369" s="41">
        <v>102.0</v>
      </c>
      <c r="O369" s="122">
        <f t="shared" si="1"/>
        <v>0.362745098</v>
      </c>
      <c r="P369" s="123">
        <f t="shared" si="5"/>
        <v>375.3333333</v>
      </c>
      <c r="Q369" s="123">
        <f t="shared" si="2"/>
        <v>1.027777778</v>
      </c>
      <c r="R369" s="123">
        <f t="shared" si="6"/>
        <v>0.6111111111</v>
      </c>
      <c r="S369" s="123">
        <f t="shared" si="3"/>
        <v>0.8888888889</v>
      </c>
      <c r="T369" s="123">
        <f t="shared" si="4"/>
        <v>2.833333333</v>
      </c>
      <c r="U369" s="41">
        <v>4.0</v>
      </c>
      <c r="V369" s="41">
        <v>5.0</v>
      </c>
      <c r="W369" s="41">
        <v>0.0</v>
      </c>
      <c r="X369" s="41">
        <v>1.0</v>
      </c>
      <c r="Y369" s="41">
        <v>16.0</v>
      </c>
      <c r="Z369" s="41">
        <v>47.0</v>
      </c>
    </row>
    <row r="370">
      <c r="A370" s="41" t="s">
        <v>905</v>
      </c>
      <c r="B370" s="41" t="s">
        <v>184</v>
      </c>
      <c r="C370" s="41" t="s">
        <v>1495</v>
      </c>
      <c r="D370" s="41" t="s">
        <v>1496</v>
      </c>
      <c r="E370" s="41">
        <v>53.0</v>
      </c>
      <c r="F370" s="41">
        <v>22.0</v>
      </c>
      <c r="G370" s="41">
        <v>31.0</v>
      </c>
      <c r="H370" s="125">
        <v>0.41509433962264153</v>
      </c>
      <c r="I370" s="41">
        <v>6.0</v>
      </c>
      <c r="J370" s="41">
        <v>15871.0</v>
      </c>
      <c r="K370" s="41">
        <v>29.0</v>
      </c>
      <c r="L370" s="41">
        <v>30.0</v>
      </c>
      <c r="M370" s="41">
        <v>52.0</v>
      </c>
      <c r="N370" s="41">
        <v>135.0</v>
      </c>
      <c r="O370" s="122">
        <f t="shared" si="1"/>
        <v>0.2148148148</v>
      </c>
      <c r="P370" s="123">
        <f t="shared" si="5"/>
        <v>299.4528302</v>
      </c>
      <c r="Q370" s="123">
        <f t="shared" si="2"/>
        <v>0.5471698113</v>
      </c>
      <c r="R370" s="123">
        <f t="shared" si="6"/>
        <v>0.5660377358</v>
      </c>
      <c r="S370" s="123">
        <f t="shared" si="3"/>
        <v>0.9811320755</v>
      </c>
      <c r="T370" s="123">
        <f t="shared" si="4"/>
        <v>2.547169811</v>
      </c>
      <c r="U370" s="41">
        <v>9.0</v>
      </c>
      <c r="V370" s="41">
        <v>0.0</v>
      </c>
      <c r="W370" s="41">
        <v>1.0</v>
      </c>
      <c r="X370" s="41">
        <v>4.0</v>
      </c>
      <c r="Y370" s="41">
        <v>50.0</v>
      </c>
      <c r="Z370" s="41">
        <v>49.0</v>
      </c>
    </row>
    <row r="371">
      <c r="A371" s="41" t="s">
        <v>902</v>
      </c>
      <c r="B371" s="41" t="s">
        <v>810</v>
      </c>
      <c r="C371" s="41" t="s">
        <v>1497</v>
      </c>
      <c r="D371" s="41" t="s">
        <v>1498</v>
      </c>
      <c r="E371" s="41">
        <v>54.0</v>
      </c>
      <c r="F371" s="41">
        <v>28.0</v>
      </c>
      <c r="G371" s="41">
        <v>26.0</v>
      </c>
      <c r="H371" s="125">
        <v>0.5185185185185185</v>
      </c>
      <c r="I371" s="41">
        <v>9.0</v>
      </c>
      <c r="J371" s="41">
        <v>17964.0</v>
      </c>
      <c r="K371" s="41">
        <v>39.0</v>
      </c>
      <c r="L371" s="41">
        <v>19.0</v>
      </c>
      <c r="M371" s="41">
        <v>79.0</v>
      </c>
      <c r="N371" s="41">
        <v>139.0</v>
      </c>
      <c r="O371" s="122">
        <f t="shared" si="1"/>
        <v>0.2805755396</v>
      </c>
      <c r="P371" s="123">
        <f t="shared" si="5"/>
        <v>332.6666667</v>
      </c>
      <c r="Q371" s="123">
        <f t="shared" si="2"/>
        <v>0.7222222222</v>
      </c>
      <c r="R371" s="123">
        <f t="shared" si="6"/>
        <v>0.3518518519</v>
      </c>
      <c r="S371" s="123">
        <f t="shared" si="3"/>
        <v>1.462962963</v>
      </c>
      <c r="T371" s="123">
        <f t="shared" si="4"/>
        <v>2.574074074</v>
      </c>
      <c r="U371" s="41">
        <v>6.0</v>
      </c>
      <c r="V371" s="41">
        <v>4.0</v>
      </c>
      <c r="W371" s="41">
        <v>0.0</v>
      </c>
      <c r="X371" s="41">
        <v>7.0</v>
      </c>
      <c r="Y371" s="41">
        <v>51.0</v>
      </c>
      <c r="Z371" s="41">
        <v>69.0</v>
      </c>
    </row>
    <row r="372">
      <c r="A372" s="41" t="s">
        <v>902</v>
      </c>
      <c r="B372" s="41" t="s">
        <v>787</v>
      </c>
      <c r="C372" s="41" t="s">
        <v>1499</v>
      </c>
      <c r="D372" s="41" t="s">
        <v>1500</v>
      </c>
      <c r="E372" s="41">
        <v>47.0</v>
      </c>
      <c r="F372" s="41">
        <v>26.0</v>
      </c>
      <c r="G372" s="41">
        <v>21.0</v>
      </c>
      <c r="H372" s="125">
        <v>0.5531914893617021</v>
      </c>
      <c r="I372" s="41">
        <v>9.0</v>
      </c>
      <c r="J372" s="41">
        <v>16572.0</v>
      </c>
      <c r="K372" s="41">
        <v>37.0</v>
      </c>
      <c r="L372" s="41">
        <v>34.0</v>
      </c>
      <c r="M372" s="41">
        <v>56.0</v>
      </c>
      <c r="N372" s="41">
        <v>126.0</v>
      </c>
      <c r="O372" s="122">
        <f t="shared" si="1"/>
        <v>0.2936507937</v>
      </c>
      <c r="P372" s="123">
        <f t="shared" si="5"/>
        <v>352.5957447</v>
      </c>
      <c r="Q372" s="123">
        <f t="shared" si="2"/>
        <v>0.7872340426</v>
      </c>
      <c r="R372" s="123">
        <f t="shared" si="6"/>
        <v>0.7234042553</v>
      </c>
      <c r="S372" s="123">
        <f t="shared" si="3"/>
        <v>1.191489362</v>
      </c>
      <c r="T372" s="123">
        <f t="shared" si="4"/>
        <v>2.680851064</v>
      </c>
      <c r="U372" s="41">
        <v>10.0</v>
      </c>
      <c r="V372" s="41">
        <v>3.0</v>
      </c>
      <c r="W372" s="41">
        <v>1.0</v>
      </c>
      <c r="X372" s="41">
        <v>4.0</v>
      </c>
      <c r="Y372" s="41">
        <v>55.0</v>
      </c>
      <c r="Z372" s="41">
        <v>63.0</v>
      </c>
    </row>
    <row r="373">
      <c r="A373" s="41" t="s">
        <v>902</v>
      </c>
      <c r="B373" s="41" t="s">
        <v>833</v>
      </c>
      <c r="C373" s="41" t="s">
        <v>1501</v>
      </c>
      <c r="D373" s="41" t="s">
        <v>1043</v>
      </c>
      <c r="E373" s="41">
        <v>30.0</v>
      </c>
      <c r="F373" s="41">
        <v>15.0</v>
      </c>
      <c r="G373" s="41">
        <v>15.0</v>
      </c>
      <c r="H373" s="125">
        <v>0.5</v>
      </c>
      <c r="I373" s="41">
        <v>3.0</v>
      </c>
      <c r="J373" s="41">
        <v>8822.0</v>
      </c>
      <c r="K373" s="41">
        <v>16.0</v>
      </c>
      <c r="L373" s="41">
        <v>18.0</v>
      </c>
      <c r="M373" s="41">
        <v>28.0</v>
      </c>
      <c r="N373" s="41">
        <v>70.0</v>
      </c>
      <c r="O373" s="122">
        <f t="shared" si="1"/>
        <v>0.2285714286</v>
      </c>
      <c r="P373" s="123">
        <f t="shared" si="5"/>
        <v>294.0666667</v>
      </c>
      <c r="Q373" s="123">
        <f t="shared" si="2"/>
        <v>0.5333333333</v>
      </c>
      <c r="R373" s="123">
        <f t="shared" si="6"/>
        <v>0.6</v>
      </c>
      <c r="S373" s="123">
        <f t="shared" si="3"/>
        <v>0.9333333333</v>
      </c>
      <c r="T373" s="123">
        <f t="shared" si="4"/>
        <v>2.333333333</v>
      </c>
      <c r="U373" s="41">
        <v>4.0</v>
      </c>
      <c r="V373" s="41">
        <v>1.0</v>
      </c>
      <c r="W373" s="41">
        <v>1.0</v>
      </c>
      <c r="X373" s="41">
        <v>2.0</v>
      </c>
      <c r="Y373" s="41">
        <v>66.0</v>
      </c>
      <c r="Z373" s="41">
        <v>26.0</v>
      </c>
    </row>
    <row r="374">
      <c r="A374" s="41" t="s">
        <v>902</v>
      </c>
      <c r="B374" s="41" t="s">
        <v>769</v>
      </c>
      <c r="C374" s="41" t="s">
        <v>1502</v>
      </c>
      <c r="D374" s="41" t="s">
        <v>1043</v>
      </c>
      <c r="E374" s="41">
        <v>46.0</v>
      </c>
      <c r="F374" s="41">
        <v>25.0</v>
      </c>
      <c r="G374" s="41">
        <v>21.0</v>
      </c>
      <c r="H374" s="125">
        <v>0.5434782608695652</v>
      </c>
      <c r="I374" s="41">
        <v>13.0</v>
      </c>
      <c r="J374" s="41">
        <v>17786.0</v>
      </c>
      <c r="K374" s="41">
        <v>43.0</v>
      </c>
      <c r="L374" s="41">
        <v>26.0</v>
      </c>
      <c r="M374" s="41">
        <v>78.0</v>
      </c>
      <c r="N374" s="41">
        <v>114.0</v>
      </c>
      <c r="O374" s="122">
        <f t="shared" si="1"/>
        <v>0.3771929825</v>
      </c>
      <c r="P374" s="123">
        <f t="shared" si="5"/>
        <v>386.6521739</v>
      </c>
      <c r="Q374" s="123">
        <f t="shared" si="2"/>
        <v>0.9347826087</v>
      </c>
      <c r="R374" s="123">
        <f t="shared" si="6"/>
        <v>0.5652173913</v>
      </c>
      <c r="S374" s="123">
        <f t="shared" si="3"/>
        <v>1.695652174</v>
      </c>
      <c r="T374" s="123">
        <f t="shared" si="4"/>
        <v>2.47826087</v>
      </c>
      <c r="U374" s="41">
        <v>13.0</v>
      </c>
      <c r="V374" s="41">
        <v>5.0</v>
      </c>
      <c r="W374" s="41">
        <v>0.0</v>
      </c>
      <c r="X374" s="41">
        <v>10.0</v>
      </c>
      <c r="Y374" s="41">
        <v>37.0</v>
      </c>
      <c r="Z374" s="41">
        <v>54.0</v>
      </c>
    </row>
    <row r="375">
      <c r="A375" s="41" t="s">
        <v>905</v>
      </c>
      <c r="B375" s="41" t="s">
        <v>182</v>
      </c>
      <c r="C375" s="41" t="s">
        <v>1503</v>
      </c>
      <c r="D375" s="41" t="s">
        <v>1065</v>
      </c>
      <c r="E375" s="41">
        <v>56.0</v>
      </c>
      <c r="F375" s="41">
        <v>27.0</v>
      </c>
      <c r="G375" s="41">
        <v>29.0</v>
      </c>
      <c r="H375" s="125">
        <v>0.48214285714285715</v>
      </c>
      <c r="I375" s="41">
        <v>8.0</v>
      </c>
      <c r="J375" s="41">
        <v>19970.0</v>
      </c>
      <c r="K375" s="41">
        <v>46.0</v>
      </c>
      <c r="L375" s="41">
        <v>18.0</v>
      </c>
      <c r="M375" s="41">
        <v>92.0</v>
      </c>
      <c r="N375" s="41">
        <v>144.0</v>
      </c>
      <c r="O375" s="122">
        <f t="shared" si="1"/>
        <v>0.3194444444</v>
      </c>
      <c r="P375" s="123">
        <f t="shared" si="5"/>
        <v>356.6071429</v>
      </c>
      <c r="Q375" s="123">
        <f t="shared" si="2"/>
        <v>0.8214285714</v>
      </c>
      <c r="R375" s="123">
        <f t="shared" si="6"/>
        <v>0.3214285714</v>
      </c>
      <c r="S375" s="123">
        <f t="shared" si="3"/>
        <v>1.642857143</v>
      </c>
      <c r="T375" s="123">
        <f t="shared" si="4"/>
        <v>2.571428571</v>
      </c>
      <c r="U375" s="41">
        <v>11.0</v>
      </c>
      <c r="V375" s="41">
        <v>1.0</v>
      </c>
      <c r="W375" s="41">
        <v>0.0</v>
      </c>
      <c r="X375" s="41">
        <v>14.0</v>
      </c>
      <c r="Y375" s="41">
        <v>114.0</v>
      </c>
      <c r="Z375" s="41">
        <v>50.0</v>
      </c>
    </row>
    <row r="376">
      <c r="A376" s="41" t="s">
        <v>905</v>
      </c>
      <c r="B376" s="41" t="s">
        <v>150</v>
      </c>
      <c r="C376" s="41" t="s">
        <v>1504</v>
      </c>
      <c r="D376" s="41" t="s">
        <v>1224</v>
      </c>
      <c r="E376" s="41">
        <v>47.0</v>
      </c>
      <c r="F376" s="41">
        <v>30.0</v>
      </c>
      <c r="G376" s="41">
        <v>17.0</v>
      </c>
      <c r="H376" s="125">
        <v>0.6382978723404256</v>
      </c>
      <c r="I376" s="41">
        <v>9.0</v>
      </c>
      <c r="J376" s="41">
        <v>15360.0</v>
      </c>
      <c r="K376" s="41">
        <v>38.0</v>
      </c>
      <c r="L376" s="41">
        <v>33.0</v>
      </c>
      <c r="M376" s="41">
        <v>49.0</v>
      </c>
      <c r="N376" s="41">
        <v>97.0</v>
      </c>
      <c r="O376" s="122">
        <f t="shared" si="1"/>
        <v>0.3917525773</v>
      </c>
      <c r="P376" s="123">
        <f t="shared" si="5"/>
        <v>326.8085106</v>
      </c>
      <c r="Q376" s="123">
        <f t="shared" si="2"/>
        <v>0.8085106383</v>
      </c>
      <c r="R376" s="123">
        <f t="shared" si="6"/>
        <v>0.7021276596</v>
      </c>
      <c r="S376" s="123">
        <f t="shared" si="3"/>
        <v>1.042553191</v>
      </c>
      <c r="T376" s="123">
        <f t="shared" si="4"/>
        <v>2.063829787</v>
      </c>
      <c r="U376" s="41">
        <v>5.0</v>
      </c>
      <c r="V376" s="41">
        <v>1.0</v>
      </c>
      <c r="W376" s="41">
        <v>1.0</v>
      </c>
      <c r="X376" s="41">
        <v>6.0</v>
      </c>
      <c r="Y376" s="41">
        <v>34.0</v>
      </c>
      <c r="Z376" s="41">
        <v>37.0</v>
      </c>
    </row>
    <row r="377">
      <c r="A377" s="41" t="s">
        <v>905</v>
      </c>
      <c r="B377" s="41" t="s">
        <v>166</v>
      </c>
      <c r="C377" s="41" t="s">
        <v>1505</v>
      </c>
      <c r="D377" s="41" t="s">
        <v>1434</v>
      </c>
      <c r="E377" s="41">
        <v>46.0</v>
      </c>
      <c r="F377" s="41">
        <v>25.0</v>
      </c>
      <c r="G377" s="41">
        <v>21.0</v>
      </c>
      <c r="H377" s="125">
        <v>0.5434782608695652</v>
      </c>
      <c r="I377" s="41">
        <v>8.0</v>
      </c>
      <c r="J377" s="41">
        <v>15539.0</v>
      </c>
      <c r="K377" s="41">
        <v>44.0</v>
      </c>
      <c r="L377" s="41">
        <v>22.0</v>
      </c>
      <c r="M377" s="41">
        <v>44.0</v>
      </c>
      <c r="N377" s="41">
        <v>112.0</v>
      </c>
      <c r="O377" s="122">
        <f t="shared" si="1"/>
        <v>0.3928571429</v>
      </c>
      <c r="P377" s="123">
        <f t="shared" si="5"/>
        <v>337.8043478</v>
      </c>
      <c r="Q377" s="123">
        <f t="shared" si="2"/>
        <v>0.9565217391</v>
      </c>
      <c r="R377" s="123">
        <f t="shared" si="6"/>
        <v>0.4782608696</v>
      </c>
      <c r="S377" s="123">
        <f t="shared" si="3"/>
        <v>0.9565217391</v>
      </c>
      <c r="T377" s="123">
        <f t="shared" si="4"/>
        <v>2.434782609</v>
      </c>
      <c r="U377" s="41">
        <v>5.0</v>
      </c>
      <c r="V377" s="41">
        <v>4.0</v>
      </c>
      <c r="W377" s="41">
        <v>1.0</v>
      </c>
      <c r="X377" s="41">
        <v>3.0</v>
      </c>
      <c r="Y377" s="41">
        <v>24.0</v>
      </c>
      <c r="Z377" s="41">
        <v>51.0</v>
      </c>
    </row>
    <row r="378">
      <c r="A378" s="41" t="s">
        <v>905</v>
      </c>
      <c r="B378" s="41" t="s">
        <v>234</v>
      </c>
      <c r="C378" s="41" t="s">
        <v>1506</v>
      </c>
      <c r="D378" s="41" t="s">
        <v>1507</v>
      </c>
      <c r="E378" s="41">
        <v>41.0</v>
      </c>
      <c r="F378" s="41">
        <v>10.0</v>
      </c>
      <c r="G378" s="41">
        <v>31.0</v>
      </c>
      <c r="H378" s="125">
        <v>0.24390243902439024</v>
      </c>
      <c r="I378" s="41">
        <v>3.0</v>
      </c>
      <c r="J378" s="41">
        <v>13309.0</v>
      </c>
      <c r="K378" s="41">
        <v>28.0</v>
      </c>
      <c r="L378" s="41">
        <v>11.0</v>
      </c>
      <c r="M378" s="41">
        <v>68.0</v>
      </c>
      <c r="N378" s="41">
        <v>82.0</v>
      </c>
      <c r="O378" s="122">
        <f t="shared" si="1"/>
        <v>0.3414634146</v>
      </c>
      <c r="P378" s="123">
        <f t="shared" si="5"/>
        <v>324.6097561</v>
      </c>
      <c r="Q378" s="123">
        <f t="shared" si="2"/>
        <v>0.6829268293</v>
      </c>
      <c r="R378" s="123">
        <f t="shared" si="6"/>
        <v>0.2682926829</v>
      </c>
      <c r="S378" s="123">
        <f t="shared" si="3"/>
        <v>1.658536585</v>
      </c>
      <c r="T378" s="123">
        <f t="shared" si="4"/>
        <v>2</v>
      </c>
      <c r="U378" s="41">
        <v>3.0</v>
      </c>
      <c r="V378" s="41">
        <v>2.0</v>
      </c>
      <c r="W378" s="41">
        <v>0.0</v>
      </c>
      <c r="X378" s="41">
        <v>11.0</v>
      </c>
      <c r="Y378" s="41">
        <v>35.0</v>
      </c>
      <c r="Z378" s="41">
        <v>42.0</v>
      </c>
    </row>
    <row r="379">
      <c r="A379" s="41" t="s">
        <v>909</v>
      </c>
      <c r="B379" s="41" t="s">
        <v>105</v>
      </c>
      <c r="C379" s="41" t="s">
        <v>1508</v>
      </c>
      <c r="D379" s="41" t="s">
        <v>948</v>
      </c>
      <c r="E379" s="41">
        <v>3.0</v>
      </c>
      <c r="F379" s="41">
        <v>0.0</v>
      </c>
      <c r="G379" s="41">
        <v>3.0</v>
      </c>
      <c r="H379" s="125">
        <v>0.0</v>
      </c>
      <c r="I379" s="41">
        <v>0.0</v>
      </c>
      <c r="J379" s="41">
        <v>467.0</v>
      </c>
      <c r="K379" s="41">
        <v>0.0</v>
      </c>
      <c r="L379" s="41">
        <v>0.0</v>
      </c>
      <c r="M379" s="41">
        <v>4.0</v>
      </c>
      <c r="N379" s="41">
        <v>3.0</v>
      </c>
      <c r="O379" s="122">
        <f t="shared" si="1"/>
        <v>0</v>
      </c>
      <c r="P379" s="123">
        <f t="shared" si="5"/>
        <v>155.6666667</v>
      </c>
      <c r="Q379" s="123">
        <f t="shared" si="2"/>
        <v>0</v>
      </c>
      <c r="R379" s="123">
        <f t="shared" si="6"/>
        <v>0</v>
      </c>
      <c r="S379" s="123">
        <f t="shared" si="3"/>
        <v>1.333333333</v>
      </c>
      <c r="T379" s="123">
        <f t="shared" si="4"/>
        <v>1</v>
      </c>
      <c r="U379" s="41">
        <v>0.0</v>
      </c>
      <c r="V379" s="41">
        <v>0.0</v>
      </c>
      <c r="W379" s="41">
        <v>0.0</v>
      </c>
      <c r="X379" s="41">
        <v>0.0</v>
      </c>
      <c r="Y379" s="41">
        <v>1.0</v>
      </c>
      <c r="Z379" s="41">
        <v>2.0</v>
      </c>
    </row>
    <row r="380">
      <c r="A380" s="41" t="s">
        <v>905</v>
      </c>
      <c r="B380" s="41" t="s">
        <v>205</v>
      </c>
      <c r="C380" s="41" t="s">
        <v>1509</v>
      </c>
      <c r="D380" s="41" t="s">
        <v>1065</v>
      </c>
      <c r="E380" s="41">
        <v>4.0</v>
      </c>
      <c r="F380" s="41">
        <v>1.0</v>
      </c>
      <c r="G380" s="41">
        <v>3.0</v>
      </c>
      <c r="H380" s="125">
        <v>0.25</v>
      </c>
      <c r="I380" s="41">
        <v>0.0</v>
      </c>
      <c r="J380" s="41">
        <v>1500.0</v>
      </c>
      <c r="K380" s="41">
        <v>3.0</v>
      </c>
      <c r="L380" s="41">
        <v>2.0</v>
      </c>
      <c r="M380" s="41">
        <v>8.0</v>
      </c>
      <c r="N380" s="41">
        <v>9.0</v>
      </c>
      <c r="O380" s="122">
        <f t="shared" si="1"/>
        <v>0.3333333333</v>
      </c>
      <c r="P380" s="123">
        <f t="shared" si="5"/>
        <v>375</v>
      </c>
      <c r="Q380" s="123">
        <f t="shared" si="2"/>
        <v>0.75</v>
      </c>
      <c r="R380" s="123">
        <f t="shared" si="6"/>
        <v>0.5</v>
      </c>
      <c r="S380" s="123">
        <f t="shared" si="3"/>
        <v>2</v>
      </c>
      <c r="T380" s="123">
        <f t="shared" si="4"/>
        <v>2.25</v>
      </c>
      <c r="U380" s="41">
        <v>2.0</v>
      </c>
      <c r="V380" s="41">
        <v>0.0</v>
      </c>
      <c r="W380" s="41">
        <v>0.0</v>
      </c>
      <c r="X380" s="41">
        <v>1.0</v>
      </c>
      <c r="Y380" s="41">
        <v>5.0</v>
      </c>
      <c r="Z380" s="41">
        <v>3.0</v>
      </c>
    </row>
    <row r="381">
      <c r="A381" s="41" t="s">
        <v>909</v>
      </c>
      <c r="B381" s="41" t="s">
        <v>85</v>
      </c>
      <c r="C381" s="41" t="s">
        <v>1510</v>
      </c>
      <c r="D381" s="41" t="s">
        <v>1511</v>
      </c>
      <c r="E381" s="41">
        <v>42.0</v>
      </c>
      <c r="F381" s="41">
        <v>23.0</v>
      </c>
      <c r="G381" s="41">
        <v>19.0</v>
      </c>
      <c r="H381" s="125">
        <v>0.5476190476190477</v>
      </c>
      <c r="I381" s="41">
        <v>4.0</v>
      </c>
      <c r="J381" s="41">
        <v>11869.0</v>
      </c>
      <c r="K381" s="41">
        <v>33.0</v>
      </c>
      <c r="L381" s="41">
        <v>22.0</v>
      </c>
      <c r="M381" s="41">
        <v>17.0</v>
      </c>
      <c r="N381" s="41">
        <v>101.0</v>
      </c>
      <c r="O381" s="122">
        <f t="shared" si="1"/>
        <v>0.3267326733</v>
      </c>
      <c r="P381" s="123">
        <f t="shared" si="5"/>
        <v>282.5952381</v>
      </c>
      <c r="Q381" s="123">
        <f t="shared" si="2"/>
        <v>0.7857142857</v>
      </c>
      <c r="R381" s="123">
        <f t="shared" si="6"/>
        <v>0.5238095238</v>
      </c>
      <c r="S381" s="123">
        <f t="shared" si="3"/>
        <v>0.4047619048</v>
      </c>
      <c r="T381" s="123">
        <f t="shared" si="4"/>
        <v>2.404761905</v>
      </c>
      <c r="U381" s="41">
        <v>4.0</v>
      </c>
      <c r="V381" s="41">
        <v>2.0</v>
      </c>
      <c r="W381" s="41">
        <v>0.0</v>
      </c>
      <c r="X381" s="41">
        <v>0.0</v>
      </c>
      <c r="Y381" s="41">
        <v>54.0</v>
      </c>
      <c r="Z381" s="41">
        <v>41.0</v>
      </c>
    </row>
    <row r="382">
      <c r="A382" s="41" t="s">
        <v>901</v>
      </c>
      <c r="B382" s="41" t="s">
        <v>345</v>
      </c>
      <c r="C382" s="41" t="s">
        <v>1512</v>
      </c>
      <c r="D382" s="41" t="s">
        <v>1188</v>
      </c>
      <c r="E382" s="41">
        <v>23.0</v>
      </c>
      <c r="F382" s="41">
        <v>7.0</v>
      </c>
      <c r="G382" s="41">
        <v>16.0</v>
      </c>
      <c r="H382" s="125">
        <v>0.30434782608695654</v>
      </c>
      <c r="I382" s="41">
        <v>1.0</v>
      </c>
      <c r="J382" s="41">
        <v>8262.0</v>
      </c>
      <c r="K382" s="41">
        <v>17.0</v>
      </c>
      <c r="L382" s="41">
        <v>12.0</v>
      </c>
      <c r="M382" s="41">
        <v>38.0</v>
      </c>
      <c r="N382" s="41">
        <v>58.0</v>
      </c>
      <c r="O382" s="122">
        <f t="shared" si="1"/>
        <v>0.2931034483</v>
      </c>
      <c r="P382" s="123">
        <f t="shared" si="5"/>
        <v>359.2173913</v>
      </c>
      <c r="Q382" s="123">
        <f t="shared" si="2"/>
        <v>0.7391304348</v>
      </c>
      <c r="R382" s="123">
        <f t="shared" si="6"/>
        <v>0.5217391304</v>
      </c>
      <c r="S382" s="123">
        <f t="shared" si="3"/>
        <v>1.652173913</v>
      </c>
      <c r="T382" s="123">
        <f t="shared" si="4"/>
        <v>2.52173913</v>
      </c>
      <c r="U382" s="41">
        <v>5.0</v>
      </c>
      <c r="V382" s="41">
        <v>1.0</v>
      </c>
      <c r="W382" s="41">
        <v>0.0</v>
      </c>
      <c r="X382" s="41">
        <v>7.0</v>
      </c>
      <c r="Y382" s="41">
        <v>11.0</v>
      </c>
      <c r="Z382" s="41">
        <v>34.0</v>
      </c>
    </row>
    <row r="383">
      <c r="A383" s="41" t="s">
        <v>906</v>
      </c>
      <c r="B383" s="41" t="s">
        <v>569</v>
      </c>
      <c r="C383" s="41" t="s">
        <v>1513</v>
      </c>
      <c r="D383" s="41" t="s">
        <v>1514</v>
      </c>
      <c r="E383" s="41">
        <v>24.0</v>
      </c>
      <c r="F383" s="41">
        <v>6.0</v>
      </c>
      <c r="G383" s="41">
        <v>18.0</v>
      </c>
      <c r="H383" s="125">
        <v>0.25</v>
      </c>
      <c r="I383" s="41">
        <v>0.0</v>
      </c>
      <c r="J383" s="41">
        <v>5522.0</v>
      </c>
      <c r="K383" s="41">
        <v>6.0</v>
      </c>
      <c r="L383" s="41">
        <v>11.0</v>
      </c>
      <c r="M383" s="41">
        <v>15.0</v>
      </c>
      <c r="N383" s="41">
        <v>44.0</v>
      </c>
      <c r="O383" s="122">
        <f t="shared" si="1"/>
        <v>0.1363636364</v>
      </c>
      <c r="P383" s="123">
        <f t="shared" si="5"/>
        <v>230.0833333</v>
      </c>
      <c r="Q383" s="123">
        <f t="shared" si="2"/>
        <v>0.25</v>
      </c>
      <c r="R383" s="123">
        <f t="shared" si="6"/>
        <v>0.4583333333</v>
      </c>
      <c r="S383" s="123">
        <f t="shared" si="3"/>
        <v>0.625</v>
      </c>
      <c r="T383" s="123">
        <f t="shared" si="4"/>
        <v>1.833333333</v>
      </c>
      <c r="U383" s="41">
        <v>1.0</v>
      </c>
      <c r="V383" s="41">
        <v>0.0</v>
      </c>
      <c r="W383" s="41">
        <v>1.0</v>
      </c>
      <c r="X383" s="41">
        <v>1.0</v>
      </c>
      <c r="Y383" s="41">
        <v>24.0</v>
      </c>
      <c r="Z383" s="41">
        <v>24.0</v>
      </c>
    </row>
    <row r="384">
      <c r="A384" s="41" t="s">
        <v>902</v>
      </c>
      <c r="B384" s="41" t="s">
        <v>793</v>
      </c>
      <c r="C384" s="41" t="s">
        <v>1515</v>
      </c>
      <c r="D384" s="41" t="s">
        <v>1092</v>
      </c>
      <c r="E384" s="41">
        <v>11.0</v>
      </c>
      <c r="F384" s="41">
        <v>6.0</v>
      </c>
      <c r="G384" s="41">
        <v>5.0</v>
      </c>
      <c r="H384" s="125">
        <v>0.5454545454545454</v>
      </c>
      <c r="I384" s="41">
        <v>1.0</v>
      </c>
      <c r="J384" s="41">
        <v>3675.0</v>
      </c>
      <c r="K384" s="41">
        <v>12.0</v>
      </c>
      <c r="L384" s="41">
        <v>3.0</v>
      </c>
      <c r="M384" s="41">
        <v>15.0</v>
      </c>
      <c r="N384" s="41">
        <v>28.0</v>
      </c>
      <c r="O384" s="122">
        <f t="shared" si="1"/>
        <v>0.4285714286</v>
      </c>
      <c r="P384" s="123">
        <f t="shared" si="5"/>
        <v>334.0909091</v>
      </c>
      <c r="Q384" s="123">
        <f t="shared" si="2"/>
        <v>1.090909091</v>
      </c>
      <c r="R384" s="123">
        <f t="shared" si="6"/>
        <v>0.2727272727</v>
      </c>
      <c r="S384" s="123">
        <f t="shared" si="3"/>
        <v>1.363636364</v>
      </c>
      <c r="T384" s="123">
        <f t="shared" si="4"/>
        <v>2.545454545</v>
      </c>
      <c r="U384" s="41">
        <v>0.0</v>
      </c>
      <c r="V384" s="41">
        <v>1.0</v>
      </c>
      <c r="W384" s="41">
        <v>0.0</v>
      </c>
      <c r="X384" s="41">
        <v>2.0</v>
      </c>
      <c r="Y384" s="41">
        <v>15.0</v>
      </c>
      <c r="Z384" s="41">
        <v>9.0</v>
      </c>
    </row>
    <row r="385">
      <c r="A385" s="41" t="s">
        <v>906</v>
      </c>
      <c r="B385" s="41" t="s">
        <v>561</v>
      </c>
      <c r="C385" s="41" t="s">
        <v>1516</v>
      </c>
      <c r="D385" s="41" t="s">
        <v>1517</v>
      </c>
      <c r="E385" s="41">
        <v>6.0</v>
      </c>
      <c r="F385" s="41">
        <v>2.0</v>
      </c>
      <c r="G385" s="41">
        <v>4.0</v>
      </c>
      <c r="H385" s="125">
        <v>0.3333333333333333</v>
      </c>
      <c r="I385" s="41">
        <v>1.0</v>
      </c>
      <c r="J385" s="41">
        <v>2109.0</v>
      </c>
      <c r="K385" s="41">
        <v>3.0</v>
      </c>
      <c r="L385" s="41">
        <v>4.0</v>
      </c>
      <c r="M385" s="41">
        <v>14.0</v>
      </c>
      <c r="N385" s="41">
        <v>10.0</v>
      </c>
      <c r="O385" s="122">
        <f t="shared" si="1"/>
        <v>0.3</v>
      </c>
      <c r="P385" s="123">
        <f t="shared" si="5"/>
        <v>351.5</v>
      </c>
      <c r="Q385" s="123">
        <f t="shared" si="2"/>
        <v>0.5</v>
      </c>
      <c r="R385" s="123">
        <f t="shared" si="6"/>
        <v>0.6666666667</v>
      </c>
      <c r="S385" s="123">
        <f t="shared" si="3"/>
        <v>2.333333333</v>
      </c>
      <c r="T385" s="123">
        <f t="shared" si="4"/>
        <v>1.666666667</v>
      </c>
      <c r="U385" s="41">
        <v>1.0</v>
      </c>
      <c r="V385" s="41">
        <v>1.0</v>
      </c>
      <c r="W385" s="41">
        <v>0.0</v>
      </c>
      <c r="X385" s="41">
        <v>3.0</v>
      </c>
      <c r="Y385" s="41">
        <v>3.0</v>
      </c>
      <c r="Z385" s="41">
        <v>7.0</v>
      </c>
    </row>
    <row r="386">
      <c r="A386" s="41" t="s">
        <v>901</v>
      </c>
      <c r="B386" s="41" t="s">
        <v>258</v>
      </c>
      <c r="C386" s="41" t="s">
        <v>1518</v>
      </c>
      <c r="D386" s="41" t="s">
        <v>981</v>
      </c>
      <c r="E386" s="41">
        <v>50.0</v>
      </c>
      <c r="F386" s="41">
        <v>34.0</v>
      </c>
      <c r="G386" s="41">
        <v>16.0</v>
      </c>
      <c r="H386" s="125">
        <v>0.68</v>
      </c>
      <c r="I386" s="41">
        <v>19.0</v>
      </c>
      <c r="J386" s="41">
        <v>21888.0</v>
      </c>
      <c r="K386" s="41">
        <v>50.0</v>
      </c>
      <c r="L386" s="41">
        <v>46.0</v>
      </c>
      <c r="M386" s="41">
        <v>87.0</v>
      </c>
      <c r="N386" s="41">
        <v>135.0</v>
      </c>
      <c r="O386" s="122">
        <f t="shared" si="1"/>
        <v>0.3703703704</v>
      </c>
      <c r="P386" s="123">
        <f t="shared" si="5"/>
        <v>437.76</v>
      </c>
      <c r="Q386" s="123">
        <f t="shared" si="2"/>
        <v>1</v>
      </c>
      <c r="R386" s="123">
        <f t="shared" si="6"/>
        <v>0.92</v>
      </c>
      <c r="S386" s="123">
        <f t="shared" si="3"/>
        <v>1.74</v>
      </c>
      <c r="T386" s="123">
        <f t="shared" si="4"/>
        <v>2.7</v>
      </c>
      <c r="U386" s="41">
        <v>21.0</v>
      </c>
      <c r="V386" s="41">
        <v>5.0</v>
      </c>
      <c r="W386" s="41">
        <v>2.0</v>
      </c>
      <c r="X386" s="41">
        <v>17.0</v>
      </c>
      <c r="Y386" s="41">
        <v>55.0</v>
      </c>
      <c r="Z386" s="41">
        <v>67.0</v>
      </c>
    </row>
    <row r="387">
      <c r="A387" s="41" t="s">
        <v>905</v>
      </c>
      <c r="B387" s="41" t="s">
        <v>140</v>
      </c>
      <c r="C387" s="41" t="s">
        <v>1519</v>
      </c>
      <c r="D387" s="41" t="s">
        <v>1520</v>
      </c>
      <c r="E387" s="41">
        <v>32.0</v>
      </c>
      <c r="F387" s="41">
        <v>17.0</v>
      </c>
      <c r="G387" s="41">
        <v>15.0</v>
      </c>
      <c r="H387" s="125">
        <v>0.53125</v>
      </c>
      <c r="I387" s="41">
        <v>4.0</v>
      </c>
      <c r="J387" s="41">
        <v>12035.0</v>
      </c>
      <c r="K387" s="41">
        <v>23.0</v>
      </c>
      <c r="L387" s="41">
        <v>26.0</v>
      </c>
      <c r="M387" s="41">
        <v>55.0</v>
      </c>
      <c r="N387" s="41">
        <v>78.0</v>
      </c>
      <c r="O387" s="122">
        <f t="shared" si="1"/>
        <v>0.2948717949</v>
      </c>
      <c r="P387" s="123">
        <f t="shared" si="5"/>
        <v>376.09375</v>
      </c>
      <c r="Q387" s="123">
        <f t="shared" si="2"/>
        <v>0.71875</v>
      </c>
      <c r="R387" s="123">
        <f t="shared" si="6"/>
        <v>0.8125</v>
      </c>
      <c r="S387" s="123">
        <f t="shared" si="3"/>
        <v>1.71875</v>
      </c>
      <c r="T387" s="123">
        <f t="shared" si="4"/>
        <v>2.4375</v>
      </c>
      <c r="U387" s="41">
        <v>6.0</v>
      </c>
      <c r="V387" s="41">
        <v>1.0</v>
      </c>
      <c r="W387" s="41">
        <v>1.0</v>
      </c>
      <c r="X387" s="41">
        <v>9.0</v>
      </c>
      <c r="Y387" s="41">
        <v>22.0</v>
      </c>
      <c r="Z387" s="41">
        <v>39.0</v>
      </c>
    </row>
    <row r="388">
      <c r="A388" s="41" t="s">
        <v>901</v>
      </c>
      <c r="B388" s="41" t="s">
        <v>339</v>
      </c>
      <c r="C388" s="41" t="s">
        <v>1521</v>
      </c>
      <c r="D388" s="41" t="s">
        <v>1093</v>
      </c>
      <c r="E388" s="41">
        <v>6.0</v>
      </c>
      <c r="F388" s="41">
        <v>2.0</v>
      </c>
      <c r="G388" s="41">
        <v>4.0</v>
      </c>
      <c r="H388" s="125">
        <v>0.3333333333333333</v>
      </c>
      <c r="I388" s="41">
        <v>0.0</v>
      </c>
      <c r="J388" s="41">
        <v>2058.0</v>
      </c>
      <c r="K388" s="41">
        <v>3.0</v>
      </c>
      <c r="L388" s="41">
        <v>6.0</v>
      </c>
      <c r="M388" s="41">
        <v>5.0</v>
      </c>
      <c r="N388" s="41">
        <v>20.0</v>
      </c>
      <c r="O388" s="122">
        <f t="shared" si="1"/>
        <v>0.15</v>
      </c>
      <c r="P388" s="123">
        <f t="shared" si="5"/>
        <v>343</v>
      </c>
      <c r="Q388" s="123">
        <f t="shared" si="2"/>
        <v>0.5</v>
      </c>
      <c r="R388" s="123">
        <f t="shared" si="6"/>
        <v>1</v>
      </c>
      <c r="S388" s="123">
        <f t="shared" si="3"/>
        <v>0.8333333333</v>
      </c>
      <c r="T388" s="123">
        <f t="shared" si="4"/>
        <v>3.333333333</v>
      </c>
      <c r="U388" s="41">
        <v>1.0</v>
      </c>
      <c r="V388" s="41">
        <v>0.0</v>
      </c>
      <c r="W388" s="41">
        <v>1.0</v>
      </c>
      <c r="X388" s="41">
        <v>0.0</v>
      </c>
      <c r="Y388" s="41">
        <v>3.0</v>
      </c>
      <c r="Z388" s="41">
        <v>6.0</v>
      </c>
    </row>
    <row r="389">
      <c r="A389" s="41" t="s">
        <v>906</v>
      </c>
      <c r="B389" s="41" t="s">
        <v>567</v>
      </c>
      <c r="C389" s="41" t="s">
        <v>1522</v>
      </c>
      <c r="D389" s="41" t="s">
        <v>1523</v>
      </c>
      <c r="E389" s="41">
        <v>5.0</v>
      </c>
      <c r="F389" s="41">
        <v>3.0</v>
      </c>
      <c r="G389" s="41">
        <v>2.0</v>
      </c>
      <c r="H389" s="125">
        <v>0.6</v>
      </c>
      <c r="I389" s="41">
        <v>0.0</v>
      </c>
      <c r="J389" s="41">
        <v>1167.0</v>
      </c>
      <c r="K389" s="41">
        <v>1.0</v>
      </c>
      <c r="L389" s="41">
        <v>4.0</v>
      </c>
      <c r="M389" s="41">
        <v>4.0</v>
      </c>
      <c r="N389" s="41">
        <v>4.0</v>
      </c>
      <c r="O389" s="122">
        <f t="shared" si="1"/>
        <v>0.25</v>
      </c>
      <c r="P389" s="123">
        <f t="shared" si="5"/>
        <v>233.4</v>
      </c>
      <c r="Q389" s="123">
        <f t="shared" si="2"/>
        <v>0.2</v>
      </c>
      <c r="R389" s="123">
        <f t="shared" si="6"/>
        <v>0.8</v>
      </c>
      <c r="S389" s="123">
        <f t="shared" si="3"/>
        <v>0.8</v>
      </c>
      <c r="T389" s="123">
        <f t="shared" si="4"/>
        <v>0.8</v>
      </c>
      <c r="U389" s="41">
        <v>0.0</v>
      </c>
      <c r="V389" s="41">
        <v>0.0</v>
      </c>
      <c r="W389" s="41">
        <v>0.0</v>
      </c>
      <c r="X389" s="41">
        <v>0.0</v>
      </c>
      <c r="Y389" s="41">
        <v>5.0</v>
      </c>
      <c r="Z389" s="41">
        <v>3.0</v>
      </c>
    </row>
    <row r="390">
      <c r="A390" s="41" t="s">
        <v>901</v>
      </c>
      <c r="B390" s="41" t="s">
        <v>262</v>
      </c>
      <c r="C390" s="41" t="s">
        <v>1524</v>
      </c>
      <c r="D390" s="41" t="s">
        <v>1491</v>
      </c>
      <c r="E390" s="41">
        <v>55.0</v>
      </c>
      <c r="F390" s="41">
        <v>33.0</v>
      </c>
      <c r="G390" s="41">
        <v>22.0</v>
      </c>
      <c r="H390" s="125">
        <v>0.6</v>
      </c>
      <c r="I390" s="41">
        <v>15.0</v>
      </c>
      <c r="J390" s="41">
        <v>24097.0</v>
      </c>
      <c r="K390" s="41">
        <v>63.0</v>
      </c>
      <c r="L390" s="41">
        <v>33.0</v>
      </c>
      <c r="M390" s="41">
        <v>94.0</v>
      </c>
      <c r="N390" s="41">
        <v>203.0</v>
      </c>
      <c r="O390" s="122">
        <f t="shared" si="1"/>
        <v>0.3103448276</v>
      </c>
      <c r="P390" s="123">
        <f t="shared" si="5"/>
        <v>438.1272727</v>
      </c>
      <c r="Q390" s="123">
        <f t="shared" si="2"/>
        <v>1.145454545</v>
      </c>
      <c r="R390" s="123">
        <f t="shared" si="6"/>
        <v>0.6</v>
      </c>
      <c r="S390" s="123">
        <f t="shared" si="3"/>
        <v>1.709090909</v>
      </c>
      <c r="T390" s="123">
        <f t="shared" si="4"/>
        <v>3.690909091</v>
      </c>
      <c r="U390" s="41">
        <v>16.0</v>
      </c>
      <c r="V390" s="41">
        <v>6.0</v>
      </c>
      <c r="W390" s="41">
        <v>0.0</v>
      </c>
      <c r="X390" s="41">
        <v>14.0</v>
      </c>
      <c r="Y390" s="41">
        <v>41.0</v>
      </c>
      <c r="Z390" s="41">
        <v>70.0</v>
      </c>
    </row>
    <row r="391">
      <c r="A391" s="41" t="s">
        <v>902</v>
      </c>
      <c r="B391" s="41" t="s">
        <v>865</v>
      </c>
      <c r="C391" s="41" t="s">
        <v>1525</v>
      </c>
      <c r="D391" s="41" t="s">
        <v>1288</v>
      </c>
      <c r="E391" s="41">
        <v>8.0</v>
      </c>
      <c r="F391" s="41">
        <v>1.0</v>
      </c>
      <c r="G391" s="41">
        <v>7.0</v>
      </c>
      <c r="H391" s="125">
        <v>0.125</v>
      </c>
      <c r="I391" s="41">
        <v>0.0</v>
      </c>
      <c r="J391" s="41">
        <v>2162.0</v>
      </c>
      <c r="K391" s="41">
        <v>3.0</v>
      </c>
      <c r="L391" s="41">
        <v>4.0</v>
      </c>
      <c r="M391" s="41">
        <v>9.0</v>
      </c>
      <c r="N391" s="41">
        <v>13.0</v>
      </c>
      <c r="O391" s="122">
        <f t="shared" si="1"/>
        <v>0.2307692308</v>
      </c>
      <c r="P391" s="123">
        <f t="shared" si="5"/>
        <v>270.25</v>
      </c>
      <c r="Q391" s="123">
        <f t="shared" si="2"/>
        <v>0.375</v>
      </c>
      <c r="R391" s="123">
        <f t="shared" si="6"/>
        <v>0.5</v>
      </c>
      <c r="S391" s="123">
        <f t="shared" si="3"/>
        <v>1.125</v>
      </c>
      <c r="T391" s="123">
        <f t="shared" si="4"/>
        <v>1.625</v>
      </c>
      <c r="U391" s="41">
        <v>0.0</v>
      </c>
      <c r="V391" s="41">
        <v>0.0</v>
      </c>
      <c r="W391" s="41">
        <v>0.0</v>
      </c>
      <c r="X391" s="41">
        <v>1.0</v>
      </c>
      <c r="Y391" s="41">
        <v>6.0</v>
      </c>
      <c r="Z391" s="41">
        <v>10.0</v>
      </c>
    </row>
    <row r="392">
      <c r="A392" s="41" t="s">
        <v>906</v>
      </c>
      <c r="B392" s="41" t="s">
        <v>555</v>
      </c>
      <c r="C392" s="41" t="s">
        <v>1526</v>
      </c>
      <c r="D392" s="41" t="s">
        <v>1116</v>
      </c>
      <c r="E392" s="41">
        <v>37.0</v>
      </c>
      <c r="F392" s="41">
        <v>20.0</v>
      </c>
      <c r="G392" s="41">
        <v>17.0</v>
      </c>
      <c r="H392" s="125">
        <v>0.5405405405405406</v>
      </c>
      <c r="I392" s="41">
        <v>2.0</v>
      </c>
      <c r="J392" s="41">
        <v>10781.0</v>
      </c>
      <c r="K392" s="41">
        <v>19.0</v>
      </c>
      <c r="L392" s="41">
        <v>13.0</v>
      </c>
      <c r="M392" s="41">
        <v>44.0</v>
      </c>
      <c r="N392" s="41">
        <v>66.0</v>
      </c>
      <c r="O392" s="122">
        <f t="shared" si="1"/>
        <v>0.2878787879</v>
      </c>
      <c r="P392" s="123">
        <f t="shared" si="5"/>
        <v>291.3783784</v>
      </c>
      <c r="Q392" s="123">
        <f t="shared" si="2"/>
        <v>0.5135135135</v>
      </c>
      <c r="R392" s="123">
        <f t="shared" si="6"/>
        <v>0.3513513514</v>
      </c>
      <c r="S392" s="123">
        <f t="shared" si="3"/>
        <v>1.189189189</v>
      </c>
      <c r="T392" s="123">
        <f t="shared" si="4"/>
        <v>1.783783784</v>
      </c>
      <c r="U392" s="41">
        <v>3.0</v>
      </c>
      <c r="V392" s="41">
        <v>1.0</v>
      </c>
      <c r="W392" s="41">
        <v>0.0</v>
      </c>
      <c r="X392" s="41">
        <v>5.0</v>
      </c>
      <c r="Y392" s="41">
        <v>35.0</v>
      </c>
      <c r="Z392" s="41">
        <v>48.0</v>
      </c>
    </row>
    <row r="393">
      <c r="A393" s="41" t="s">
        <v>901</v>
      </c>
      <c r="B393" s="41" t="s">
        <v>365</v>
      </c>
      <c r="C393" s="41" t="s">
        <v>1527</v>
      </c>
      <c r="D393" s="41" t="s">
        <v>1359</v>
      </c>
      <c r="E393" s="41">
        <v>28.0</v>
      </c>
      <c r="F393" s="41">
        <v>16.0</v>
      </c>
      <c r="G393" s="41">
        <v>12.0</v>
      </c>
      <c r="H393" s="125">
        <v>0.5714285714285714</v>
      </c>
      <c r="I393" s="41">
        <v>4.0</v>
      </c>
      <c r="J393" s="41">
        <v>8928.0</v>
      </c>
      <c r="K393" s="41">
        <v>22.0</v>
      </c>
      <c r="L393" s="41">
        <v>13.0</v>
      </c>
      <c r="M393" s="41">
        <v>31.0</v>
      </c>
      <c r="N393" s="41">
        <v>73.0</v>
      </c>
      <c r="O393" s="122">
        <f t="shared" si="1"/>
        <v>0.301369863</v>
      </c>
      <c r="P393" s="123">
        <f t="shared" si="5"/>
        <v>318.8571429</v>
      </c>
      <c r="Q393" s="123">
        <f t="shared" si="2"/>
        <v>0.7857142857</v>
      </c>
      <c r="R393" s="123">
        <f t="shared" si="6"/>
        <v>0.4642857143</v>
      </c>
      <c r="S393" s="123">
        <f t="shared" si="3"/>
        <v>1.107142857</v>
      </c>
      <c r="T393" s="123">
        <f t="shared" si="4"/>
        <v>2.607142857</v>
      </c>
      <c r="U393" s="41">
        <v>3.0</v>
      </c>
      <c r="V393" s="41">
        <v>2.0</v>
      </c>
      <c r="W393" s="41">
        <v>0.0</v>
      </c>
      <c r="X393" s="41">
        <v>5.0</v>
      </c>
      <c r="Y393" s="41">
        <v>17.0</v>
      </c>
      <c r="Z393" s="41">
        <v>35.0</v>
      </c>
    </row>
    <row r="394">
      <c r="A394" s="41" t="s">
        <v>906</v>
      </c>
      <c r="B394" s="41" t="s">
        <v>562</v>
      </c>
      <c r="C394" s="41" t="s">
        <v>1528</v>
      </c>
      <c r="D394" s="41" t="s">
        <v>1219</v>
      </c>
      <c r="E394" s="41">
        <v>49.0</v>
      </c>
      <c r="F394" s="41">
        <v>21.0</v>
      </c>
      <c r="G394" s="41">
        <v>28.0</v>
      </c>
      <c r="H394" s="125">
        <v>0.42857142857142855</v>
      </c>
      <c r="I394" s="41">
        <v>4.0</v>
      </c>
      <c r="J394" s="41">
        <v>13302.0</v>
      </c>
      <c r="K394" s="41">
        <v>27.0</v>
      </c>
      <c r="L394" s="41">
        <v>22.0</v>
      </c>
      <c r="M394" s="41">
        <v>46.0</v>
      </c>
      <c r="N394" s="41">
        <v>78.0</v>
      </c>
      <c r="O394" s="122">
        <f t="shared" si="1"/>
        <v>0.3461538462</v>
      </c>
      <c r="P394" s="123">
        <f t="shared" si="5"/>
        <v>271.4693878</v>
      </c>
      <c r="Q394" s="123">
        <f t="shared" si="2"/>
        <v>0.5510204082</v>
      </c>
      <c r="R394" s="123">
        <f t="shared" si="6"/>
        <v>0.4489795918</v>
      </c>
      <c r="S394" s="123">
        <f t="shared" si="3"/>
        <v>0.9387755102</v>
      </c>
      <c r="T394" s="123">
        <f t="shared" si="4"/>
        <v>1.591836735</v>
      </c>
      <c r="U394" s="41">
        <v>7.0</v>
      </c>
      <c r="V394" s="41">
        <v>1.0</v>
      </c>
      <c r="W394" s="41">
        <v>1.0</v>
      </c>
      <c r="X394" s="41">
        <v>6.0</v>
      </c>
      <c r="Y394" s="41">
        <v>45.0</v>
      </c>
      <c r="Z394" s="41">
        <v>45.0</v>
      </c>
    </row>
    <row r="395">
      <c r="A395" s="41" t="s">
        <v>904</v>
      </c>
      <c r="B395" s="41" t="s">
        <v>606</v>
      </c>
      <c r="C395" s="41" t="s">
        <v>1529</v>
      </c>
      <c r="D395" s="41" t="s">
        <v>1530</v>
      </c>
      <c r="E395" s="41">
        <v>41.0</v>
      </c>
      <c r="F395" s="41">
        <v>22.0</v>
      </c>
      <c r="G395" s="41">
        <v>19.0</v>
      </c>
      <c r="H395" s="125">
        <v>0.5365853658536586</v>
      </c>
      <c r="I395" s="41">
        <v>10.0</v>
      </c>
      <c r="J395" s="41">
        <v>14357.0</v>
      </c>
      <c r="K395" s="41">
        <v>40.0</v>
      </c>
      <c r="L395" s="41">
        <v>26.0</v>
      </c>
      <c r="M395" s="41">
        <v>43.0</v>
      </c>
      <c r="N395" s="41">
        <v>114.0</v>
      </c>
      <c r="O395" s="122">
        <f t="shared" si="1"/>
        <v>0.350877193</v>
      </c>
      <c r="P395" s="123">
        <f t="shared" si="5"/>
        <v>350.1707317</v>
      </c>
      <c r="Q395" s="123">
        <f t="shared" si="2"/>
        <v>0.9756097561</v>
      </c>
      <c r="R395" s="123">
        <f t="shared" si="6"/>
        <v>0.6341463415</v>
      </c>
      <c r="S395" s="123">
        <f t="shared" si="3"/>
        <v>1.048780488</v>
      </c>
      <c r="T395" s="123">
        <f t="shared" si="4"/>
        <v>2.780487805</v>
      </c>
      <c r="U395" s="41">
        <v>10.0</v>
      </c>
      <c r="V395" s="41">
        <v>2.0</v>
      </c>
      <c r="W395" s="41">
        <v>2.0</v>
      </c>
      <c r="X395" s="41">
        <v>4.0</v>
      </c>
      <c r="Y395" s="41">
        <v>43.0</v>
      </c>
      <c r="Z395" s="41">
        <v>52.0</v>
      </c>
    </row>
    <row r="396">
      <c r="A396" s="41" t="s">
        <v>905</v>
      </c>
      <c r="B396" s="41" t="s">
        <v>109</v>
      </c>
      <c r="C396" s="41" t="s">
        <v>1531</v>
      </c>
      <c r="D396" s="41" t="s">
        <v>1532</v>
      </c>
      <c r="E396" s="41">
        <v>46.0</v>
      </c>
      <c r="F396" s="41">
        <v>21.0</v>
      </c>
      <c r="G396" s="41">
        <v>25.0</v>
      </c>
      <c r="H396" s="125">
        <v>0.45652173913043476</v>
      </c>
      <c r="I396" s="41">
        <v>12.0</v>
      </c>
      <c r="J396" s="41">
        <v>20379.0</v>
      </c>
      <c r="K396" s="41">
        <v>57.0</v>
      </c>
      <c r="L396" s="41">
        <v>29.0</v>
      </c>
      <c r="M396" s="41">
        <v>70.0</v>
      </c>
      <c r="N396" s="41">
        <v>171.0</v>
      </c>
      <c r="O396" s="122">
        <f t="shared" si="1"/>
        <v>0.3333333333</v>
      </c>
      <c r="P396" s="123">
        <f t="shared" si="5"/>
        <v>443.0217391</v>
      </c>
      <c r="Q396" s="123">
        <f t="shared" si="2"/>
        <v>1.239130435</v>
      </c>
      <c r="R396" s="123">
        <f t="shared" si="6"/>
        <v>0.6304347826</v>
      </c>
      <c r="S396" s="123">
        <f t="shared" si="3"/>
        <v>1.52173913</v>
      </c>
      <c r="T396" s="123">
        <f t="shared" si="4"/>
        <v>3.717391304</v>
      </c>
      <c r="U396" s="41">
        <v>14.0</v>
      </c>
      <c r="V396" s="41">
        <v>8.0</v>
      </c>
      <c r="W396" s="41">
        <v>3.0</v>
      </c>
      <c r="X396" s="41">
        <v>10.0</v>
      </c>
      <c r="Y396" s="41">
        <v>28.0</v>
      </c>
      <c r="Z396" s="41">
        <v>44.0</v>
      </c>
    </row>
    <row r="397">
      <c r="A397" s="41" t="s">
        <v>901</v>
      </c>
      <c r="B397" s="41" t="s">
        <v>382</v>
      </c>
      <c r="C397" s="41" t="s">
        <v>1533</v>
      </c>
      <c r="D397" s="41" t="s">
        <v>1534</v>
      </c>
      <c r="E397" s="41">
        <v>48.0</v>
      </c>
      <c r="F397" s="41">
        <v>18.0</v>
      </c>
      <c r="G397" s="41">
        <v>30.0</v>
      </c>
      <c r="H397" s="125">
        <v>0.375</v>
      </c>
      <c r="I397" s="41">
        <v>5.0</v>
      </c>
      <c r="J397" s="41">
        <v>15459.0</v>
      </c>
      <c r="K397" s="41">
        <v>28.0</v>
      </c>
      <c r="L397" s="41">
        <v>28.0</v>
      </c>
      <c r="M397" s="41">
        <v>62.0</v>
      </c>
      <c r="N397" s="41">
        <v>128.0</v>
      </c>
      <c r="O397" s="122">
        <f t="shared" si="1"/>
        <v>0.21875</v>
      </c>
      <c r="P397" s="123">
        <f t="shared" si="5"/>
        <v>322.0625</v>
      </c>
      <c r="Q397" s="123">
        <f t="shared" si="2"/>
        <v>0.5833333333</v>
      </c>
      <c r="R397" s="123">
        <f t="shared" si="6"/>
        <v>0.5833333333</v>
      </c>
      <c r="S397" s="123">
        <f t="shared" si="3"/>
        <v>1.291666667</v>
      </c>
      <c r="T397" s="123">
        <f t="shared" si="4"/>
        <v>2.666666667</v>
      </c>
      <c r="U397" s="41">
        <v>6.0</v>
      </c>
      <c r="V397" s="41">
        <v>0.0</v>
      </c>
      <c r="W397" s="41">
        <v>3.0</v>
      </c>
      <c r="X397" s="41">
        <v>7.0</v>
      </c>
      <c r="Y397" s="41">
        <v>94.0</v>
      </c>
      <c r="Z397" s="41">
        <v>56.0</v>
      </c>
    </row>
    <row r="398">
      <c r="A398" s="41" t="s">
        <v>904</v>
      </c>
      <c r="B398" s="41" t="s">
        <v>638</v>
      </c>
      <c r="C398" s="41" t="s">
        <v>1535</v>
      </c>
      <c r="D398" s="41" t="s">
        <v>1303</v>
      </c>
      <c r="E398" s="41">
        <v>45.0</v>
      </c>
      <c r="F398" s="41">
        <v>23.0</v>
      </c>
      <c r="G398" s="41">
        <v>22.0</v>
      </c>
      <c r="H398" s="125">
        <v>0.5111111111111111</v>
      </c>
      <c r="I398" s="41">
        <v>4.0</v>
      </c>
      <c r="J398" s="41">
        <v>14488.0</v>
      </c>
      <c r="K398" s="41">
        <v>36.0</v>
      </c>
      <c r="L398" s="41">
        <v>31.0</v>
      </c>
      <c r="M398" s="41">
        <v>40.0</v>
      </c>
      <c r="N398" s="41">
        <v>109.0</v>
      </c>
      <c r="O398" s="122">
        <f t="shared" si="1"/>
        <v>0.3302752294</v>
      </c>
      <c r="P398" s="123">
        <f t="shared" si="5"/>
        <v>321.9555556</v>
      </c>
      <c r="Q398" s="123">
        <f t="shared" si="2"/>
        <v>0.8</v>
      </c>
      <c r="R398" s="123">
        <f t="shared" si="6"/>
        <v>0.6888888889</v>
      </c>
      <c r="S398" s="123">
        <f t="shared" si="3"/>
        <v>0.8888888889</v>
      </c>
      <c r="T398" s="123">
        <f t="shared" si="4"/>
        <v>2.422222222</v>
      </c>
      <c r="U398" s="41">
        <v>8.0</v>
      </c>
      <c r="V398" s="41">
        <v>1.0</v>
      </c>
      <c r="W398" s="41">
        <v>2.0</v>
      </c>
      <c r="X398" s="41">
        <v>1.0</v>
      </c>
      <c r="Y398" s="41">
        <v>23.0</v>
      </c>
      <c r="Z398" s="41">
        <v>39.0</v>
      </c>
    </row>
    <row r="399">
      <c r="A399" s="41" t="s">
        <v>901</v>
      </c>
      <c r="B399" s="41" t="s">
        <v>386</v>
      </c>
      <c r="C399" s="41" t="s">
        <v>1536</v>
      </c>
      <c r="D399" s="41" t="s">
        <v>1258</v>
      </c>
      <c r="E399" s="41">
        <v>4.0</v>
      </c>
      <c r="F399" s="41">
        <v>2.0</v>
      </c>
      <c r="G399" s="41">
        <v>2.0</v>
      </c>
      <c r="H399" s="125">
        <v>0.5</v>
      </c>
      <c r="I399" s="41">
        <v>1.0</v>
      </c>
      <c r="J399" s="41">
        <v>1270.0</v>
      </c>
      <c r="K399" s="41">
        <v>2.0</v>
      </c>
      <c r="L399" s="41">
        <v>1.0</v>
      </c>
      <c r="M399" s="41">
        <v>5.0</v>
      </c>
      <c r="N399" s="41">
        <v>6.0</v>
      </c>
      <c r="O399" s="122">
        <f t="shared" si="1"/>
        <v>0.3333333333</v>
      </c>
      <c r="P399" s="123">
        <f t="shared" si="5"/>
        <v>317.5</v>
      </c>
      <c r="Q399" s="123">
        <f t="shared" si="2"/>
        <v>0.5</v>
      </c>
      <c r="R399" s="123">
        <f t="shared" si="6"/>
        <v>0.25</v>
      </c>
      <c r="S399" s="123">
        <f t="shared" si="3"/>
        <v>1.25</v>
      </c>
      <c r="T399" s="123">
        <f t="shared" si="4"/>
        <v>1.5</v>
      </c>
      <c r="U399" s="41">
        <v>1.0</v>
      </c>
      <c r="V399" s="41">
        <v>0.0</v>
      </c>
      <c r="W399" s="41">
        <v>0.0</v>
      </c>
      <c r="X399" s="41">
        <v>1.0</v>
      </c>
      <c r="Y399" s="41">
        <v>3.0</v>
      </c>
      <c r="Z399" s="41">
        <v>3.0</v>
      </c>
    </row>
    <row r="400">
      <c r="A400" s="41" t="s">
        <v>902</v>
      </c>
      <c r="B400" s="41" t="s">
        <v>386</v>
      </c>
      <c r="C400" s="41" t="s">
        <v>1536</v>
      </c>
      <c r="D400" s="41" t="s">
        <v>1537</v>
      </c>
      <c r="E400" s="41">
        <v>45.0</v>
      </c>
      <c r="F400" s="41">
        <v>20.0</v>
      </c>
      <c r="G400" s="41">
        <v>25.0</v>
      </c>
      <c r="H400" s="125">
        <v>0.4444444444444444</v>
      </c>
      <c r="I400" s="41">
        <v>5.0</v>
      </c>
      <c r="J400" s="41">
        <v>15490.0</v>
      </c>
      <c r="K400" s="41">
        <v>28.0</v>
      </c>
      <c r="L400" s="41">
        <v>27.0</v>
      </c>
      <c r="M400" s="41">
        <v>65.0</v>
      </c>
      <c r="N400" s="41">
        <v>107.0</v>
      </c>
      <c r="O400" s="122">
        <f t="shared" si="1"/>
        <v>0.261682243</v>
      </c>
      <c r="P400" s="123">
        <f t="shared" si="5"/>
        <v>344.2222222</v>
      </c>
      <c r="Q400" s="123">
        <f t="shared" si="2"/>
        <v>0.6222222222</v>
      </c>
      <c r="R400" s="123">
        <f t="shared" si="6"/>
        <v>0.6</v>
      </c>
      <c r="S400" s="123">
        <f t="shared" si="3"/>
        <v>1.444444444</v>
      </c>
      <c r="T400" s="123">
        <f t="shared" si="4"/>
        <v>2.377777778</v>
      </c>
      <c r="U400" s="41">
        <v>9.0</v>
      </c>
      <c r="V400" s="41">
        <v>2.0</v>
      </c>
      <c r="W400" s="41">
        <v>3.0</v>
      </c>
      <c r="X400" s="41">
        <v>11.0</v>
      </c>
      <c r="Y400" s="41">
        <v>47.0</v>
      </c>
      <c r="Z400" s="41">
        <v>57.0</v>
      </c>
    </row>
    <row r="401">
      <c r="A401" s="41" t="s">
        <v>905</v>
      </c>
      <c r="B401" s="41" t="s">
        <v>180</v>
      </c>
      <c r="C401" s="41" t="s">
        <v>1538</v>
      </c>
      <c r="D401" s="41" t="s">
        <v>1539</v>
      </c>
      <c r="E401" s="41">
        <v>38.0</v>
      </c>
      <c r="F401" s="41">
        <v>11.0</v>
      </c>
      <c r="G401" s="41">
        <v>27.0</v>
      </c>
      <c r="H401" s="125">
        <v>0.2894736842105263</v>
      </c>
      <c r="I401" s="41">
        <v>4.0</v>
      </c>
      <c r="J401" s="41">
        <v>12976.0</v>
      </c>
      <c r="K401" s="41">
        <v>25.0</v>
      </c>
      <c r="L401" s="41">
        <v>17.0</v>
      </c>
      <c r="M401" s="41">
        <v>55.0</v>
      </c>
      <c r="N401" s="41">
        <v>95.0</v>
      </c>
      <c r="O401" s="122">
        <f t="shared" si="1"/>
        <v>0.2631578947</v>
      </c>
      <c r="P401" s="123">
        <f t="shared" si="5"/>
        <v>341.4736842</v>
      </c>
      <c r="Q401" s="123">
        <f t="shared" si="2"/>
        <v>0.6578947368</v>
      </c>
      <c r="R401" s="123">
        <f t="shared" si="6"/>
        <v>0.4473684211</v>
      </c>
      <c r="S401" s="123">
        <f t="shared" si="3"/>
        <v>1.447368421</v>
      </c>
      <c r="T401" s="123">
        <f t="shared" si="4"/>
        <v>2.5</v>
      </c>
      <c r="U401" s="41">
        <v>5.0</v>
      </c>
      <c r="V401" s="41">
        <v>1.0</v>
      </c>
      <c r="W401" s="41">
        <v>1.0</v>
      </c>
      <c r="X401" s="41">
        <v>7.0</v>
      </c>
      <c r="Y401" s="41">
        <v>45.0</v>
      </c>
      <c r="Z401" s="41">
        <v>37.0</v>
      </c>
    </row>
    <row r="402">
      <c r="A402" s="41" t="s">
        <v>899</v>
      </c>
      <c r="B402" s="41" t="s">
        <v>431</v>
      </c>
      <c r="C402" s="41" t="s">
        <v>1540</v>
      </c>
      <c r="D402" s="41" t="s">
        <v>996</v>
      </c>
      <c r="E402" s="41">
        <v>45.0</v>
      </c>
      <c r="F402" s="41">
        <v>24.0</v>
      </c>
      <c r="G402" s="41">
        <v>21.0</v>
      </c>
      <c r="H402" s="125">
        <v>0.5333333333333333</v>
      </c>
      <c r="I402" s="41">
        <v>12.0</v>
      </c>
      <c r="J402" s="41">
        <v>17153.0</v>
      </c>
      <c r="K402" s="41">
        <v>38.0</v>
      </c>
      <c r="L402" s="41">
        <v>25.0</v>
      </c>
      <c r="M402" s="41">
        <v>62.0</v>
      </c>
      <c r="N402" s="41">
        <v>129.0</v>
      </c>
      <c r="O402" s="122">
        <f t="shared" si="1"/>
        <v>0.2945736434</v>
      </c>
      <c r="P402" s="123">
        <f t="shared" si="5"/>
        <v>381.1777778</v>
      </c>
      <c r="Q402" s="123">
        <f t="shared" si="2"/>
        <v>0.8444444444</v>
      </c>
      <c r="R402" s="123">
        <f t="shared" si="6"/>
        <v>0.5555555556</v>
      </c>
      <c r="S402" s="123">
        <f t="shared" si="3"/>
        <v>1.377777778</v>
      </c>
      <c r="T402" s="123">
        <f t="shared" si="4"/>
        <v>2.866666667</v>
      </c>
      <c r="U402" s="41">
        <v>8.0</v>
      </c>
      <c r="V402" s="41">
        <v>2.0</v>
      </c>
      <c r="W402" s="41">
        <v>2.0</v>
      </c>
      <c r="X402" s="41">
        <v>14.0</v>
      </c>
      <c r="Y402" s="41">
        <v>54.0</v>
      </c>
      <c r="Z402" s="41">
        <v>51.0</v>
      </c>
    </row>
    <row r="403">
      <c r="A403" s="41" t="s">
        <v>904</v>
      </c>
      <c r="B403" s="41" t="s">
        <v>649</v>
      </c>
      <c r="C403" s="41" t="s">
        <v>1541</v>
      </c>
      <c r="D403" s="41" t="s">
        <v>1431</v>
      </c>
      <c r="E403" s="41">
        <v>39.0</v>
      </c>
      <c r="F403" s="41">
        <v>14.0</v>
      </c>
      <c r="G403" s="41">
        <v>25.0</v>
      </c>
      <c r="H403" s="125">
        <v>0.358974358974359</v>
      </c>
      <c r="I403" s="41">
        <v>9.0</v>
      </c>
      <c r="J403" s="41">
        <v>15039.0</v>
      </c>
      <c r="K403" s="41">
        <v>24.0</v>
      </c>
      <c r="L403" s="41">
        <v>21.0</v>
      </c>
      <c r="M403" s="41">
        <v>72.0</v>
      </c>
      <c r="N403" s="41">
        <v>88.0</v>
      </c>
      <c r="O403" s="122">
        <f t="shared" si="1"/>
        <v>0.2727272727</v>
      </c>
      <c r="P403" s="123">
        <f t="shared" si="5"/>
        <v>385.6153846</v>
      </c>
      <c r="Q403" s="123">
        <f t="shared" si="2"/>
        <v>0.6153846154</v>
      </c>
      <c r="R403" s="123">
        <f t="shared" si="6"/>
        <v>0.5384615385</v>
      </c>
      <c r="S403" s="123">
        <f t="shared" si="3"/>
        <v>1.846153846</v>
      </c>
      <c r="T403" s="123">
        <f t="shared" si="4"/>
        <v>2.256410256</v>
      </c>
      <c r="U403" s="41">
        <v>7.0</v>
      </c>
      <c r="V403" s="41">
        <v>2.0</v>
      </c>
      <c r="W403" s="41">
        <v>0.0</v>
      </c>
      <c r="X403" s="41">
        <v>11.0</v>
      </c>
      <c r="Y403" s="41">
        <v>43.0</v>
      </c>
      <c r="Z403" s="41">
        <v>29.0</v>
      </c>
    </row>
    <row r="404">
      <c r="A404" s="41" t="s">
        <v>899</v>
      </c>
      <c r="B404" s="41" t="s">
        <v>211</v>
      </c>
      <c r="C404" s="41" t="s">
        <v>1542</v>
      </c>
      <c r="D404" s="41" t="s">
        <v>1037</v>
      </c>
      <c r="E404" s="41">
        <v>4.0</v>
      </c>
      <c r="F404" s="41">
        <v>1.0</v>
      </c>
      <c r="G404" s="41">
        <v>3.0</v>
      </c>
      <c r="H404" s="125">
        <v>0.25</v>
      </c>
      <c r="I404" s="41">
        <v>0.0</v>
      </c>
      <c r="J404" s="41">
        <v>851.0</v>
      </c>
      <c r="K404" s="41">
        <v>2.0</v>
      </c>
      <c r="L404" s="41">
        <v>1.0</v>
      </c>
      <c r="M404" s="41">
        <v>3.0</v>
      </c>
      <c r="N404" s="41">
        <v>7.0</v>
      </c>
      <c r="O404" s="122">
        <f t="shared" si="1"/>
        <v>0.2857142857</v>
      </c>
      <c r="P404" s="123">
        <f t="shared" si="5"/>
        <v>212.75</v>
      </c>
      <c r="Q404" s="123">
        <f t="shared" si="2"/>
        <v>0.5</v>
      </c>
      <c r="R404" s="123">
        <f t="shared" si="6"/>
        <v>0.25</v>
      </c>
      <c r="S404" s="123">
        <f t="shared" si="3"/>
        <v>0.75</v>
      </c>
      <c r="T404" s="123">
        <f t="shared" si="4"/>
        <v>1.75</v>
      </c>
      <c r="U404" s="41">
        <v>0.0</v>
      </c>
      <c r="V404" s="41">
        <v>0.0</v>
      </c>
      <c r="W404" s="41">
        <v>0.0</v>
      </c>
      <c r="X404" s="41">
        <v>0.0</v>
      </c>
      <c r="Y404" s="41">
        <v>2.0</v>
      </c>
      <c r="Z404" s="41">
        <v>3.0</v>
      </c>
    </row>
    <row r="405">
      <c r="A405" s="41" t="s">
        <v>905</v>
      </c>
      <c r="B405" s="41" t="s">
        <v>211</v>
      </c>
      <c r="C405" s="41" t="s">
        <v>1542</v>
      </c>
      <c r="D405" s="41" t="s">
        <v>1543</v>
      </c>
      <c r="E405" s="41">
        <v>24.0</v>
      </c>
      <c r="F405" s="41">
        <v>9.0</v>
      </c>
      <c r="G405" s="41">
        <v>15.0</v>
      </c>
      <c r="H405" s="125">
        <v>0.375</v>
      </c>
      <c r="I405" s="41">
        <v>4.0</v>
      </c>
      <c r="J405" s="41">
        <v>7604.0</v>
      </c>
      <c r="K405" s="41">
        <v>13.0</v>
      </c>
      <c r="L405" s="41">
        <v>9.0</v>
      </c>
      <c r="M405" s="41">
        <v>37.0</v>
      </c>
      <c r="N405" s="41">
        <v>48.0</v>
      </c>
      <c r="O405" s="122">
        <f t="shared" si="1"/>
        <v>0.2708333333</v>
      </c>
      <c r="P405" s="123">
        <f t="shared" si="5"/>
        <v>316.8333333</v>
      </c>
      <c r="Q405" s="123">
        <f t="shared" si="2"/>
        <v>0.5416666667</v>
      </c>
      <c r="R405" s="123">
        <f t="shared" si="6"/>
        <v>0.375</v>
      </c>
      <c r="S405" s="123">
        <f t="shared" si="3"/>
        <v>1.541666667</v>
      </c>
      <c r="T405" s="123">
        <f t="shared" si="4"/>
        <v>2</v>
      </c>
      <c r="U405" s="41">
        <v>4.0</v>
      </c>
      <c r="V405" s="41">
        <v>0.0</v>
      </c>
      <c r="W405" s="41">
        <v>0.0</v>
      </c>
      <c r="X405" s="41">
        <v>5.0</v>
      </c>
      <c r="Y405" s="41">
        <v>18.0</v>
      </c>
      <c r="Z405" s="41">
        <v>14.0</v>
      </c>
    </row>
    <row r="406">
      <c r="A406" s="41" t="s">
        <v>901</v>
      </c>
      <c r="B406" s="41" t="s">
        <v>264</v>
      </c>
      <c r="C406" s="41" t="s">
        <v>1544</v>
      </c>
      <c r="D406" s="41" t="s">
        <v>1545</v>
      </c>
      <c r="E406" s="41">
        <v>44.0</v>
      </c>
      <c r="F406" s="41">
        <v>27.0</v>
      </c>
      <c r="G406" s="41">
        <v>17.0</v>
      </c>
      <c r="H406" s="125">
        <v>0.6136363636363636</v>
      </c>
      <c r="I406" s="41">
        <v>10.0</v>
      </c>
      <c r="J406" s="41">
        <v>18840.0</v>
      </c>
      <c r="K406" s="41">
        <v>48.0</v>
      </c>
      <c r="L406" s="41">
        <v>40.0</v>
      </c>
      <c r="M406" s="41">
        <v>59.0</v>
      </c>
      <c r="N406" s="41">
        <v>150.0</v>
      </c>
      <c r="O406" s="122">
        <f t="shared" si="1"/>
        <v>0.32</v>
      </c>
      <c r="P406" s="123">
        <f t="shared" si="5"/>
        <v>428.1818182</v>
      </c>
      <c r="Q406" s="123">
        <f t="shared" si="2"/>
        <v>1.090909091</v>
      </c>
      <c r="R406" s="123">
        <f t="shared" si="6"/>
        <v>0.9090909091</v>
      </c>
      <c r="S406" s="123">
        <f t="shared" si="3"/>
        <v>1.340909091</v>
      </c>
      <c r="T406" s="123">
        <f t="shared" si="4"/>
        <v>3.409090909</v>
      </c>
      <c r="U406" s="41">
        <v>15.0</v>
      </c>
      <c r="V406" s="41">
        <v>5.0</v>
      </c>
      <c r="W406" s="41">
        <v>2.0</v>
      </c>
      <c r="X406" s="41">
        <v>7.0</v>
      </c>
      <c r="Y406" s="41">
        <v>76.0</v>
      </c>
      <c r="Z406" s="41">
        <v>58.0</v>
      </c>
    </row>
    <row r="407">
      <c r="A407" s="41" t="s">
        <v>905</v>
      </c>
      <c r="B407" s="41" t="s">
        <v>218</v>
      </c>
      <c r="C407" s="41" t="s">
        <v>1546</v>
      </c>
      <c r="D407" s="41" t="s">
        <v>1333</v>
      </c>
      <c r="E407" s="41">
        <v>36.0</v>
      </c>
      <c r="F407" s="41">
        <v>12.0</v>
      </c>
      <c r="G407" s="41">
        <v>24.0</v>
      </c>
      <c r="H407" s="125">
        <v>0.3333333333333333</v>
      </c>
      <c r="I407" s="41">
        <v>4.0</v>
      </c>
      <c r="J407" s="41">
        <v>10969.0</v>
      </c>
      <c r="K407" s="41">
        <v>24.0</v>
      </c>
      <c r="L407" s="41">
        <v>12.0</v>
      </c>
      <c r="M407" s="41">
        <v>43.0</v>
      </c>
      <c r="N407" s="41">
        <v>80.0</v>
      </c>
      <c r="O407" s="122">
        <f t="shared" si="1"/>
        <v>0.3</v>
      </c>
      <c r="P407" s="123">
        <f t="shared" si="5"/>
        <v>304.6944444</v>
      </c>
      <c r="Q407" s="123">
        <f t="shared" si="2"/>
        <v>0.6666666667</v>
      </c>
      <c r="R407" s="123">
        <f t="shared" si="6"/>
        <v>0.3333333333</v>
      </c>
      <c r="S407" s="123">
        <f t="shared" si="3"/>
        <v>1.194444444</v>
      </c>
      <c r="T407" s="123">
        <f t="shared" si="4"/>
        <v>2.222222222</v>
      </c>
      <c r="U407" s="41">
        <v>8.0</v>
      </c>
      <c r="V407" s="41">
        <v>2.0</v>
      </c>
      <c r="W407" s="41">
        <v>0.0</v>
      </c>
      <c r="X407" s="41">
        <v>2.0</v>
      </c>
      <c r="Y407" s="41">
        <v>14.0</v>
      </c>
      <c r="Z407" s="41">
        <v>30.0</v>
      </c>
    </row>
    <row r="408">
      <c r="A408" s="41" t="s">
        <v>905</v>
      </c>
      <c r="B408" s="41" t="s">
        <v>221</v>
      </c>
      <c r="C408" s="41" t="s">
        <v>1547</v>
      </c>
      <c r="D408" s="41" t="s">
        <v>1031</v>
      </c>
      <c r="E408" s="41">
        <v>46.0</v>
      </c>
      <c r="F408" s="41">
        <v>21.0</v>
      </c>
      <c r="G408" s="41">
        <v>25.0</v>
      </c>
      <c r="H408" s="125">
        <v>0.45652173913043476</v>
      </c>
      <c r="I408" s="41">
        <v>6.0</v>
      </c>
      <c r="J408" s="41">
        <v>15505.0</v>
      </c>
      <c r="K408" s="41">
        <v>30.0</v>
      </c>
      <c r="L408" s="41">
        <v>17.0</v>
      </c>
      <c r="M408" s="41">
        <v>74.0</v>
      </c>
      <c r="N408" s="41">
        <v>83.0</v>
      </c>
      <c r="O408" s="122">
        <f t="shared" si="1"/>
        <v>0.3614457831</v>
      </c>
      <c r="P408" s="123">
        <f t="shared" si="5"/>
        <v>337.0652174</v>
      </c>
      <c r="Q408" s="123">
        <f t="shared" si="2"/>
        <v>0.652173913</v>
      </c>
      <c r="R408" s="123">
        <f t="shared" si="6"/>
        <v>0.3695652174</v>
      </c>
      <c r="S408" s="123">
        <f t="shared" si="3"/>
        <v>1.608695652</v>
      </c>
      <c r="T408" s="123">
        <f t="shared" si="4"/>
        <v>1.804347826</v>
      </c>
      <c r="U408" s="41">
        <v>4.0</v>
      </c>
      <c r="V408" s="41">
        <v>2.0</v>
      </c>
      <c r="W408" s="41">
        <v>1.0</v>
      </c>
      <c r="X408" s="41">
        <v>12.0</v>
      </c>
      <c r="Y408" s="41">
        <v>64.0</v>
      </c>
      <c r="Z408" s="41">
        <v>40.0</v>
      </c>
    </row>
    <row r="409">
      <c r="A409" s="41" t="s">
        <v>901</v>
      </c>
      <c r="B409" s="41" t="s">
        <v>407</v>
      </c>
      <c r="C409" s="41" t="s">
        <v>1548</v>
      </c>
      <c r="D409" s="41" t="s">
        <v>1549</v>
      </c>
      <c r="E409" s="41">
        <v>4.0</v>
      </c>
      <c r="F409" s="41">
        <v>1.0</v>
      </c>
      <c r="G409" s="41">
        <v>3.0</v>
      </c>
      <c r="H409" s="125">
        <v>0.25</v>
      </c>
      <c r="I409" s="41">
        <v>0.0</v>
      </c>
      <c r="J409" s="41">
        <v>1253.0</v>
      </c>
      <c r="K409" s="41">
        <v>1.0</v>
      </c>
      <c r="L409" s="41">
        <v>3.0</v>
      </c>
      <c r="M409" s="41">
        <v>8.0</v>
      </c>
      <c r="N409" s="41">
        <v>5.0</v>
      </c>
      <c r="O409" s="122">
        <f t="shared" si="1"/>
        <v>0.2</v>
      </c>
      <c r="P409" s="123">
        <f t="shared" si="5"/>
        <v>313.25</v>
      </c>
      <c r="Q409" s="123">
        <f t="shared" si="2"/>
        <v>0.25</v>
      </c>
      <c r="R409" s="123">
        <f t="shared" si="6"/>
        <v>0.75</v>
      </c>
      <c r="S409" s="123">
        <f t="shared" si="3"/>
        <v>2</v>
      </c>
      <c r="T409" s="123">
        <f t="shared" si="4"/>
        <v>1.25</v>
      </c>
      <c r="U409" s="41">
        <v>1.0</v>
      </c>
      <c r="V409" s="41">
        <v>0.0</v>
      </c>
      <c r="W409" s="41">
        <v>0.0</v>
      </c>
      <c r="X409" s="41">
        <v>2.0</v>
      </c>
      <c r="Y409" s="41">
        <v>0.0</v>
      </c>
      <c r="Z409" s="41">
        <v>4.0</v>
      </c>
    </row>
    <row r="410">
      <c r="A410" s="41" t="s">
        <v>902</v>
      </c>
      <c r="B410" s="41" t="s">
        <v>407</v>
      </c>
      <c r="C410" s="41" t="s">
        <v>1548</v>
      </c>
      <c r="D410" s="41" t="s">
        <v>1255</v>
      </c>
      <c r="E410" s="41">
        <v>52.0</v>
      </c>
      <c r="F410" s="41">
        <v>37.0</v>
      </c>
      <c r="G410" s="41">
        <v>15.0</v>
      </c>
      <c r="H410" s="125">
        <v>0.7115384615384616</v>
      </c>
      <c r="I410" s="41">
        <v>13.0</v>
      </c>
      <c r="J410" s="41">
        <v>19341.0</v>
      </c>
      <c r="K410" s="41">
        <v>55.0</v>
      </c>
      <c r="L410" s="41">
        <v>40.0</v>
      </c>
      <c r="M410" s="41">
        <v>56.0</v>
      </c>
      <c r="N410" s="41">
        <v>147.0</v>
      </c>
      <c r="O410" s="122">
        <f t="shared" si="1"/>
        <v>0.3741496599</v>
      </c>
      <c r="P410" s="123">
        <f t="shared" si="5"/>
        <v>371.9423077</v>
      </c>
      <c r="Q410" s="123">
        <f t="shared" si="2"/>
        <v>1.057692308</v>
      </c>
      <c r="R410" s="123">
        <f t="shared" si="6"/>
        <v>0.7692307692</v>
      </c>
      <c r="S410" s="123">
        <f t="shared" si="3"/>
        <v>1.076923077</v>
      </c>
      <c r="T410" s="123">
        <f t="shared" si="4"/>
        <v>2.826923077</v>
      </c>
      <c r="U410" s="41">
        <v>11.0</v>
      </c>
      <c r="V410" s="41">
        <v>7.0</v>
      </c>
      <c r="W410" s="41">
        <v>2.0</v>
      </c>
      <c r="X410" s="41">
        <v>3.0</v>
      </c>
      <c r="Y410" s="41">
        <v>39.0</v>
      </c>
      <c r="Z410" s="41">
        <v>60.0</v>
      </c>
    </row>
    <row r="411">
      <c r="A411" s="41" t="s">
        <v>904</v>
      </c>
      <c r="B411" s="41" t="s">
        <v>602</v>
      </c>
      <c r="C411" s="41" t="s">
        <v>1550</v>
      </c>
      <c r="D411" s="41" t="s">
        <v>1438</v>
      </c>
      <c r="E411" s="41">
        <v>36.0</v>
      </c>
      <c r="F411" s="41">
        <v>21.0</v>
      </c>
      <c r="G411" s="41">
        <v>15.0</v>
      </c>
      <c r="H411" s="125">
        <v>0.5833333333333334</v>
      </c>
      <c r="I411" s="41">
        <v>6.0</v>
      </c>
      <c r="J411" s="41">
        <v>12491.0</v>
      </c>
      <c r="K411" s="41">
        <v>28.0</v>
      </c>
      <c r="L411" s="41">
        <v>30.0</v>
      </c>
      <c r="M411" s="41">
        <v>45.0</v>
      </c>
      <c r="N411" s="41">
        <v>86.0</v>
      </c>
      <c r="O411" s="122">
        <f t="shared" si="1"/>
        <v>0.3255813953</v>
      </c>
      <c r="P411" s="123">
        <f t="shared" si="5"/>
        <v>346.9722222</v>
      </c>
      <c r="Q411" s="123">
        <f t="shared" si="2"/>
        <v>0.7777777778</v>
      </c>
      <c r="R411" s="123">
        <f t="shared" si="6"/>
        <v>0.8333333333</v>
      </c>
      <c r="S411" s="123">
        <f t="shared" si="3"/>
        <v>1.25</v>
      </c>
      <c r="T411" s="123">
        <f t="shared" si="4"/>
        <v>2.388888889</v>
      </c>
      <c r="U411" s="41">
        <v>11.0</v>
      </c>
      <c r="V411" s="41">
        <v>2.0</v>
      </c>
      <c r="W411" s="41">
        <v>3.0</v>
      </c>
      <c r="X411" s="41">
        <v>6.0</v>
      </c>
      <c r="Y411" s="41">
        <v>24.0</v>
      </c>
      <c r="Z411" s="41">
        <v>31.0</v>
      </c>
    </row>
    <row r="412">
      <c r="A412" s="41" t="s">
        <v>902</v>
      </c>
      <c r="B412" s="41" t="s">
        <v>855</v>
      </c>
      <c r="C412" s="41" t="s">
        <v>1551</v>
      </c>
      <c r="D412" s="41" t="s">
        <v>1158</v>
      </c>
      <c r="E412" s="41">
        <v>12.0</v>
      </c>
      <c r="F412" s="41">
        <v>4.0</v>
      </c>
      <c r="G412" s="41">
        <v>8.0</v>
      </c>
      <c r="H412" s="125">
        <v>0.3333333333333333</v>
      </c>
      <c r="I412" s="41">
        <v>2.0</v>
      </c>
      <c r="J412" s="41">
        <v>3641.0</v>
      </c>
      <c r="K412" s="41">
        <v>10.0</v>
      </c>
      <c r="L412" s="41">
        <v>1.0</v>
      </c>
      <c r="M412" s="41">
        <v>18.0</v>
      </c>
      <c r="N412" s="41">
        <v>30.0</v>
      </c>
      <c r="O412" s="122">
        <f t="shared" si="1"/>
        <v>0.3333333333</v>
      </c>
      <c r="P412" s="123">
        <f t="shared" si="5"/>
        <v>303.4166667</v>
      </c>
      <c r="Q412" s="123">
        <f t="shared" si="2"/>
        <v>0.8333333333</v>
      </c>
      <c r="R412" s="123">
        <f t="shared" si="6"/>
        <v>0.08333333333</v>
      </c>
      <c r="S412" s="123">
        <f t="shared" si="3"/>
        <v>1.5</v>
      </c>
      <c r="T412" s="123">
        <f t="shared" si="4"/>
        <v>2.5</v>
      </c>
      <c r="U412" s="41">
        <v>1.0</v>
      </c>
      <c r="V412" s="41">
        <v>1.0</v>
      </c>
      <c r="W412" s="41">
        <v>0.0</v>
      </c>
      <c r="X412" s="41">
        <v>1.0</v>
      </c>
      <c r="Y412" s="41">
        <v>21.0</v>
      </c>
      <c r="Z412" s="41">
        <v>15.0</v>
      </c>
    </row>
    <row r="413">
      <c r="A413" s="41" t="s">
        <v>905</v>
      </c>
      <c r="B413" s="41" t="s">
        <v>130</v>
      </c>
      <c r="C413" s="41" t="s">
        <v>1552</v>
      </c>
      <c r="D413" s="41" t="s">
        <v>1434</v>
      </c>
      <c r="E413" s="41">
        <v>43.0</v>
      </c>
      <c r="F413" s="41">
        <v>28.0</v>
      </c>
      <c r="G413" s="41">
        <v>15.0</v>
      </c>
      <c r="H413" s="125">
        <v>0.6511627906976745</v>
      </c>
      <c r="I413" s="41">
        <v>14.0</v>
      </c>
      <c r="J413" s="41">
        <v>16647.0</v>
      </c>
      <c r="K413" s="41">
        <v>42.0</v>
      </c>
      <c r="L413" s="41">
        <v>24.0</v>
      </c>
      <c r="M413" s="41">
        <v>66.0</v>
      </c>
      <c r="N413" s="41">
        <v>94.0</v>
      </c>
      <c r="O413" s="122">
        <f t="shared" si="1"/>
        <v>0.4468085106</v>
      </c>
      <c r="P413" s="123">
        <f t="shared" si="5"/>
        <v>387.1395349</v>
      </c>
      <c r="Q413" s="123">
        <f t="shared" si="2"/>
        <v>0.976744186</v>
      </c>
      <c r="R413" s="123">
        <f t="shared" si="6"/>
        <v>0.5581395349</v>
      </c>
      <c r="S413" s="123">
        <f t="shared" si="3"/>
        <v>1.534883721</v>
      </c>
      <c r="T413" s="123">
        <f t="shared" si="4"/>
        <v>2.186046512</v>
      </c>
      <c r="U413" s="41">
        <v>11.0</v>
      </c>
      <c r="V413" s="41">
        <v>3.0</v>
      </c>
      <c r="W413" s="41">
        <v>1.0</v>
      </c>
      <c r="X413" s="41">
        <v>11.0</v>
      </c>
      <c r="Y413" s="41">
        <v>38.0</v>
      </c>
      <c r="Z413" s="41">
        <v>38.0</v>
      </c>
    </row>
    <row r="414">
      <c r="A414" s="41" t="s">
        <v>904</v>
      </c>
      <c r="B414" s="41" t="s">
        <v>705</v>
      </c>
      <c r="C414" s="41" t="s">
        <v>1553</v>
      </c>
      <c r="D414" s="41" t="s">
        <v>1554</v>
      </c>
      <c r="E414" s="41">
        <v>22.0</v>
      </c>
      <c r="F414" s="41">
        <v>7.0</v>
      </c>
      <c r="G414" s="41">
        <v>15.0</v>
      </c>
      <c r="H414" s="125">
        <v>0.3181818181818182</v>
      </c>
      <c r="I414" s="41">
        <v>3.0</v>
      </c>
      <c r="J414" s="41">
        <v>6600.0</v>
      </c>
      <c r="K414" s="41">
        <v>12.0</v>
      </c>
      <c r="L414" s="41">
        <v>9.0</v>
      </c>
      <c r="M414" s="41">
        <v>29.0</v>
      </c>
      <c r="N414" s="41">
        <v>42.0</v>
      </c>
      <c r="O414" s="122">
        <f t="shared" si="1"/>
        <v>0.2857142857</v>
      </c>
      <c r="P414" s="123">
        <f t="shared" si="5"/>
        <v>300</v>
      </c>
      <c r="Q414" s="123">
        <f t="shared" si="2"/>
        <v>0.5454545455</v>
      </c>
      <c r="R414" s="123">
        <f t="shared" si="6"/>
        <v>0.4090909091</v>
      </c>
      <c r="S414" s="123">
        <f t="shared" si="3"/>
        <v>1.318181818</v>
      </c>
      <c r="T414" s="123">
        <f t="shared" si="4"/>
        <v>1.909090909</v>
      </c>
      <c r="U414" s="41">
        <v>3.0</v>
      </c>
      <c r="V414" s="41">
        <v>2.0</v>
      </c>
      <c r="W414" s="41">
        <v>0.0</v>
      </c>
      <c r="X414" s="41">
        <v>1.0</v>
      </c>
      <c r="Y414" s="41">
        <v>21.0</v>
      </c>
      <c r="Z414" s="41">
        <v>18.0</v>
      </c>
    </row>
    <row r="415">
      <c r="A415" s="41" t="s">
        <v>902</v>
      </c>
      <c r="B415" s="41" t="s">
        <v>829</v>
      </c>
      <c r="C415" s="41" t="s">
        <v>1555</v>
      </c>
      <c r="D415" s="41" t="s">
        <v>1363</v>
      </c>
      <c r="E415" s="41">
        <v>52.0</v>
      </c>
      <c r="F415" s="41">
        <v>19.0</v>
      </c>
      <c r="G415" s="41">
        <v>33.0</v>
      </c>
      <c r="H415" s="125">
        <v>0.36538461538461536</v>
      </c>
      <c r="I415" s="41">
        <v>5.0</v>
      </c>
      <c r="J415" s="41">
        <v>17266.0</v>
      </c>
      <c r="K415" s="41">
        <v>32.0</v>
      </c>
      <c r="L415" s="41">
        <v>26.0</v>
      </c>
      <c r="M415" s="41">
        <v>77.0</v>
      </c>
      <c r="N415" s="41">
        <v>130.0</v>
      </c>
      <c r="O415" s="122">
        <f t="shared" si="1"/>
        <v>0.2461538462</v>
      </c>
      <c r="P415" s="123">
        <f t="shared" si="5"/>
        <v>332.0384615</v>
      </c>
      <c r="Q415" s="123">
        <f t="shared" si="2"/>
        <v>0.6153846154</v>
      </c>
      <c r="R415" s="123">
        <f t="shared" si="6"/>
        <v>0.5</v>
      </c>
      <c r="S415" s="123">
        <f t="shared" si="3"/>
        <v>1.480769231</v>
      </c>
      <c r="T415" s="123">
        <f t="shared" si="4"/>
        <v>2.5</v>
      </c>
      <c r="U415" s="41">
        <v>6.0</v>
      </c>
      <c r="V415" s="41">
        <v>1.0</v>
      </c>
      <c r="W415" s="41">
        <v>0.0</v>
      </c>
      <c r="X415" s="41">
        <v>10.0</v>
      </c>
      <c r="Y415" s="41">
        <v>59.0</v>
      </c>
      <c r="Z415" s="41">
        <v>60.0</v>
      </c>
    </row>
    <row r="416">
      <c r="A416" s="41" t="s">
        <v>905</v>
      </c>
      <c r="B416" s="41" t="s">
        <v>177</v>
      </c>
      <c r="C416" s="41" t="s">
        <v>1556</v>
      </c>
      <c r="D416" s="41" t="s">
        <v>1206</v>
      </c>
      <c r="E416" s="41">
        <v>50.0</v>
      </c>
      <c r="F416" s="41">
        <v>24.0</v>
      </c>
      <c r="G416" s="41">
        <v>26.0</v>
      </c>
      <c r="H416" s="125">
        <v>0.48</v>
      </c>
      <c r="I416" s="41">
        <v>7.0</v>
      </c>
      <c r="J416" s="41">
        <v>16397.0</v>
      </c>
      <c r="K416" s="41">
        <v>42.0</v>
      </c>
      <c r="L416" s="41">
        <v>23.0</v>
      </c>
      <c r="M416" s="41">
        <v>58.0</v>
      </c>
      <c r="N416" s="41">
        <v>136.0</v>
      </c>
      <c r="O416" s="122">
        <f t="shared" si="1"/>
        <v>0.3088235294</v>
      </c>
      <c r="P416" s="123">
        <f t="shared" si="5"/>
        <v>327.94</v>
      </c>
      <c r="Q416" s="123">
        <f t="shared" si="2"/>
        <v>0.84</v>
      </c>
      <c r="R416" s="123">
        <f t="shared" si="6"/>
        <v>0.46</v>
      </c>
      <c r="S416" s="123">
        <f t="shared" si="3"/>
        <v>1.16</v>
      </c>
      <c r="T416" s="123">
        <f t="shared" si="4"/>
        <v>2.72</v>
      </c>
      <c r="U416" s="41">
        <v>7.0</v>
      </c>
      <c r="V416" s="41">
        <v>3.0</v>
      </c>
      <c r="W416" s="41">
        <v>1.0</v>
      </c>
      <c r="X416" s="41">
        <v>5.0</v>
      </c>
      <c r="Y416" s="41">
        <v>44.0</v>
      </c>
      <c r="Z416" s="41">
        <v>42.0</v>
      </c>
    </row>
    <row r="417">
      <c r="A417" s="41" t="s">
        <v>905</v>
      </c>
      <c r="B417" s="41" t="s">
        <v>224</v>
      </c>
      <c r="C417" s="41" t="s">
        <v>1557</v>
      </c>
      <c r="D417" s="41" t="s">
        <v>959</v>
      </c>
      <c r="E417" s="41">
        <v>23.0</v>
      </c>
      <c r="F417" s="41">
        <v>6.0</v>
      </c>
      <c r="G417" s="41">
        <v>17.0</v>
      </c>
      <c r="H417" s="125">
        <v>0.2608695652173913</v>
      </c>
      <c r="I417" s="41">
        <v>3.0</v>
      </c>
      <c r="J417" s="41">
        <v>7572.0</v>
      </c>
      <c r="K417" s="41">
        <v>16.0</v>
      </c>
      <c r="L417" s="41">
        <v>7.0</v>
      </c>
      <c r="M417" s="41">
        <v>33.0</v>
      </c>
      <c r="N417" s="41">
        <v>57.0</v>
      </c>
      <c r="O417" s="122">
        <f t="shared" si="1"/>
        <v>0.2807017544</v>
      </c>
      <c r="P417" s="123">
        <f t="shared" si="5"/>
        <v>329.2173913</v>
      </c>
      <c r="Q417" s="123">
        <f t="shared" si="2"/>
        <v>0.6956521739</v>
      </c>
      <c r="R417" s="123">
        <f t="shared" si="6"/>
        <v>0.3043478261</v>
      </c>
      <c r="S417" s="123">
        <f t="shared" si="3"/>
        <v>1.434782609</v>
      </c>
      <c r="T417" s="123">
        <f t="shared" si="4"/>
        <v>2.47826087</v>
      </c>
      <c r="U417" s="41">
        <v>3.0</v>
      </c>
      <c r="V417" s="41">
        <v>2.0</v>
      </c>
      <c r="W417" s="41">
        <v>0.0</v>
      </c>
      <c r="X417" s="41">
        <v>4.0</v>
      </c>
      <c r="Y417" s="41">
        <v>34.0</v>
      </c>
      <c r="Z417" s="41">
        <v>33.0</v>
      </c>
    </row>
    <row r="418">
      <c r="A418" s="41" t="s">
        <v>901</v>
      </c>
      <c r="B418" s="41" t="s">
        <v>372</v>
      </c>
      <c r="C418" s="41" t="s">
        <v>1558</v>
      </c>
      <c r="D418" s="41" t="s">
        <v>1559</v>
      </c>
      <c r="E418" s="41">
        <v>44.0</v>
      </c>
      <c r="F418" s="41">
        <v>19.0</v>
      </c>
      <c r="G418" s="41">
        <v>25.0</v>
      </c>
      <c r="H418" s="125">
        <v>0.4318181818181818</v>
      </c>
      <c r="I418" s="41">
        <v>4.0</v>
      </c>
      <c r="J418" s="41">
        <v>14383.0</v>
      </c>
      <c r="K418" s="41">
        <v>27.0</v>
      </c>
      <c r="L418" s="41">
        <v>31.0</v>
      </c>
      <c r="M418" s="41">
        <v>47.0</v>
      </c>
      <c r="N418" s="41">
        <v>112.0</v>
      </c>
      <c r="O418" s="122">
        <f t="shared" si="1"/>
        <v>0.2410714286</v>
      </c>
      <c r="P418" s="123">
        <f t="shared" si="5"/>
        <v>326.8863636</v>
      </c>
      <c r="Q418" s="123">
        <f t="shared" si="2"/>
        <v>0.6136363636</v>
      </c>
      <c r="R418" s="123">
        <f t="shared" si="6"/>
        <v>0.7045454545</v>
      </c>
      <c r="S418" s="123">
        <f t="shared" si="3"/>
        <v>1.068181818</v>
      </c>
      <c r="T418" s="123">
        <f t="shared" si="4"/>
        <v>2.545454545</v>
      </c>
      <c r="U418" s="41">
        <v>12.0</v>
      </c>
      <c r="V418" s="41">
        <v>1.0</v>
      </c>
      <c r="W418" s="41">
        <v>1.0</v>
      </c>
      <c r="X418" s="41">
        <v>3.0</v>
      </c>
      <c r="Y418" s="41">
        <v>32.0</v>
      </c>
      <c r="Z418" s="41">
        <v>43.0</v>
      </c>
    </row>
    <row r="419">
      <c r="A419" s="41" t="s">
        <v>905</v>
      </c>
      <c r="B419" s="41" t="s">
        <v>153</v>
      </c>
      <c r="C419" s="41" t="s">
        <v>1560</v>
      </c>
      <c r="D419" s="41" t="s">
        <v>921</v>
      </c>
      <c r="E419" s="41">
        <v>28.0</v>
      </c>
      <c r="F419" s="41">
        <v>16.0</v>
      </c>
      <c r="G419" s="41">
        <v>12.0</v>
      </c>
      <c r="H419" s="125">
        <v>0.5714285714285714</v>
      </c>
      <c r="I419" s="41">
        <v>2.0</v>
      </c>
      <c r="J419" s="41">
        <v>9222.0</v>
      </c>
      <c r="K419" s="41">
        <v>18.0</v>
      </c>
      <c r="L419" s="41">
        <v>17.0</v>
      </c>
      <c r="M419" s="41">
        <v>33.0</v>
      </c>
      <c r="N419" s="41">
        <v>82.0</v>
      </c>
      <c r="O419" s="122">
        <f t="shared" si="1"/>
        <v>0.2195121951</v>
      </c>
      <c r="P419" s="123">
        <f t="shared" si="5"/>
        <v>329.3571429</v>
      </c>
      <c r="Q419" s="123">
        <f t="shared" si="2"/>
        <v>0.6428571429</v>
      </c>
      <c r="R419" s="123">
        <f t="shared" si="6"/>
        <v>0.6071428571</v>
      </c>
      <c r="S419" s="123">
        <f t="shared" si="3"/>
        <v>1.178571429</v>
      </c>
      <c r="T419" s="123">
        <f t="shared" si="4"/>
        <v>2.928571429</v>
      </c>
      <c r="U419" s="41">
        <v>5.0</v>
      </c>
      <c r="V419" s="41">
        <v>1.0</v>
      </c>
      <c r="W419" s="41">
        <v>0.0</v>
      </c>
      <c r="X419" s="41">
        <v>4.0</v>
      </c>
      <c r="Y419" s="41">
        <v>16.0</v>
      </c>
      <c r="Z419" s="41">
        <v>29.0</v>
      </c>
    </row>
    <row r="420">
      <c r="A420" s="41" t="s">
        <v>897</v>
      </c>
      <c r="B420" s="41" t="s">
        <v>504</v>
      </c>
      <c r="C420" s="41" t="s">
        <v>1561</v>
      </c>
      <c r="D420" s="41" t="s">
        <v>1047</v>
      </c>
      <c r="E420" s="41">
        <v>48.0</v>
      </c>
      <c r="F420" s="41">
        <v>15.0</v>
      </c>
      <c r="G420" s="41">
        <v>33.0</v>
      </c>
      <c r="H420" s="125">
        <v>0.3125</v>
      </c>
      <c r="I420" s="41">
        <v>6.0</v>
      </c>
      <c r="J420" s="41">
        <v>17466.0</v>
      </c>
      <c r="K420" s="41">
        <v>36.0</v>
      </c>
      <c r="L420" s="41">
        <v>22.0</v>
      </c>
      <c r="M420" s="41">
        <v>71.0</v>
      </c>
      <c r="N420" s="41">
        <v>137.0</v>
      </c>
      <c r="O420" s="122">
        <f t="shared" si="1"/>
        <v>0.2627737226</v>
      </c>
      <c r="P420" s="123">
        <f t="shared" si="5"/>
        <v>363.875</v>
      </c>
      <c r="Q420" s="123">
        <f t="shared" si="2"/>
        <v>0.75</v>
      </c>
      <c r="R420" s="123">
        <f t="shared" si="6"/>
        <v>0.4583333333</v>
      </c>
      <c r="S420" s="123">
        <f t="shared" si="3"/>
        <v>1.479166667</v>
      </c>
      <c r="T420" s="123">
        <f t="shared" si="4"/>
        <v>2.854166667</v>
      </c>
      <c r="U420" s="41">
        <v>8.0</v>
      </c>
      <c r="V420" s="41">
        <v>0.0</v>
      </c>
      <c r="W420" s="41">
        <v>0.0</v>
      </c>
      <c r="X420" s="41">
        <v>11.0</v>
      </c>
      <c r="Y420" s="41">
        <v>68.0</v>
      </c>
      <c r="Z420" s="41">
        <v>55.0</v>
      </c>
    </row>
    <row r="421">
      <c r="A421" s="41" t="s">
        <v>904</v>
      </c>
      <c r="B421" s="41" t="s">
        <v>592</v>
      </c>
      <c r="C421" s="41" t="s">
        <v>1562</v>
      </c>
      <c r="D421" s="41" t="s">
        <v>1438</v>
      </c>
      <c r="E421" s="41">
        <v>52.0</v>
      </c>
      <c r="F421" s="41">
        <v>34.0</v>
      </c>
      <c r="G421" s="41">
        <v>18.0</v>
      </c>
      <c r="H421" s="125">
        <v>0.6538461538461539</v>
      </c>
      <c r="I421" s="41">
        <v>13.0</v>
      </c>
      <c r="J421" s="41">
        <v>18255.0</v>
      </c>
      <c r="K421" s="41">
        <v>48.0</v>
      </c>
      <c r="L421" s="41">
        <v>32.0</v>
      </c>
      <c r="M421" s="41">
        <v>52.0</v>
      </c>
      <c r="N421" s="41">
        <v>162.0</v>
      </c>
      <c r="O421" s="122">
        <f t="shared" si="1"/>
        <v>0.2962962963</v>
      </c>
      <c r="P421" s="123">
        <f t="shared" si="5"/>
        <v>351.0576923</v>
      </c>
      <c r="Q421" s="123">
        <f t="shared" si="2"/>
        <v>0.9230769231</v>
      </c>
      <c r="R421" s="123">
        <f t="shared" si="6"/>
        <v>0.6153846154</v>
      </c>
      <c r="S421" s="123">
        <f t="shared" si="3"/>
        <v>1</v>
      </c>
      <c r="T421" s="123">
        <f t="shared" si="4"/>
        <v>3.115384615</v>
      </c>
      <c r="U421" s="41">
        <v>11.0</v>
      </c>
      <c r="V421" s="41">
        <v>1.0</v>
      </c>
      <c r="W421" s="41">
        <v>0.0</v>
      </c>
      <c r="X421" s="41">
        <v>1.0</v>
      </c>
      <c r="Y421" s="41">
        <v>22.0</v>
      </c>
      <c r="Z421" s="41">
        <v>65.0</v>
      </c>
    </row>
    <row r="422">
      <c r="A422" s="41" t="s">
        <v>904</v>
      </c>
      <c r="B422" s="41" t="s">
        <v>689</v>
      </c>
      <c r="C422" s="41" t="s">
        <v>1563</v>
      </c>
      <c r="D422" s="41" t="s">
        <v>1226</v>
      </c>
      <c r="E422" s="41">
        <v>3.0</v>
      </c>
      <c r="F422" s="41">
        <v>2.0</v>
      </c>
      <c r="G422" s="41">
        <v>1.0</v>
      </c>
      <c r="H422" s="125">
        <v>0.6666666666666666</v>
      </c>
      <c r="I422" s="41">
        <v>1.0</v>
      </c>
      <c r="J422" s="41">
        <v>747.0</v>
      </c>
      <c r="K422" s="41">
        <v>1.0</v>
      </c>
      <c r="L422" s="41">
        <v>2.0</v>
      </c>
      <c r="M422" s="41">
        <v>3.0</v>
      </c>
      <c r="N422" s="41">
        <v>6.0</v>
      </c>
      <c r="O422" s="122">
        <f t="shared" si="1"/>
        <v>0.1666666667</v>
      </c>
      <c r="P422" s="123">
        <f t="shared" si="5"/>
        <v>249</v>
      </c>
      <c r="Q422" s="123">
        <f t="shared" si="2"/>
        <v>0.3333333333</v>
      </c>
      <c r="R422" s="123">
        <f t="shared" si="6"/>
        <v>0.6666666667</v>
      </c>
      <c r="S422" s="123">
        <f t="shared" si="3"/>
        <v>1</v>
      </c>
      <c r="T422" s="123">
        <f t="shared" si="4"/>
        <v>2</v>
      </c>
      <c r="U422" s="41">
        <v>1.0</v>
      </c>
      <c r="V422" s="41">
        <v>0.0</v>
      </c>
      <c r="W422" s="41">
        <v>0.0</v>
      </c>
      <c r="X422" s="41">
        <v>0.0</v>
      </c>
      <c r="Y422" s="41">
        <v>1.0</v>
      </c>
      <c r="Z422" s="41">
        <v>2.0</v>
      </c>
    </row>
    <row r="423">
      <c r="A423" s="41" t="s">
        <v>901</v>
      </c>
      <c r="B423" s="41" t="s">
        <v>409</v>
      </c>
      <c r="C423" s="41" t="s">
        <v>1564</v>
      </c>
      <c r="D423" s="41" t="s">
        <v>1565</v>
      </c>
      <c r="E423" s="41">
        <v>18.0</v>
      </c>
      <c r="F423" s="41">
        <v>6.0</v>
      </c>
      <c r="G423" s="41">
        <v>12.0</v>
      </c>
      <c r="H423" s="125">
        <v>0.3333333333333333</v>
      </c>
      <c r="I423" s="41">
        <v>2.0</v>
      </c>
      <c r="J423" s="41">
        <v>4471.0</v>
      </c>
      <c r="K423" s="41">
        <v>6.0</v>
      </c>
      <c r="L423" s="41">
        <v>7.0</v>
      </c>
      <c r="M423" s="41">
        <v>24.0</v>
      </c>
      <c r="N423" s="41">
        <v>32.0</v>
      </c>
      <c r="O423" s="122">
        <f t="shared" si="1"/>
        <v>0.1875</v>
      </c>
      <c r="P423" s="123">
        <f t="shared" si="5"/>
        <v>248.3888889</v>
      </c>
      <c r="Q423" s="123">
        <f t="shared" si="2"/>
        <v>0.3333333333</v>
      </c>
      <c r="R423" s="123">
        <f t="shared" si="6"/>
        <v>0.3888888889</v>
      </c>
      <c r="S423" s="123">
        <f t="shared" si="3"/>
        <v>1.333333333</v>
      </c>
      <c r="T423" s="123">
        <f t="shared" si="4"/>
        <v>1.777777778</v>
      </c>
      <c r="U423" s="41">
        <v>3.0</v>
      </c>
      <c r="V423" s="41">
        <v>0.0</v>
      </c>
      <c r="W423" s="41">
        <v>0.0</v>
      </c>
      <c r="X423" s="41">
        <v>2.0</v>
      </c>
      <c r="Y423" s="41">
        <v>15.0</v>
      </c>
      <c r="Z423" s="41">
        <v>19.0</v>
      </c>
    </row>
    <row r="424">
      <c r="A424" s="41" t="s">
        <v>901</v>
      </c>
      <c r="B424" s="41" t="s">
        <v>341</v>
      </c>
      <c r="C424" s="41" t="s">
        <v>1566</v>
      </c>
      <c r="D424" s="41" t="s">
        <v>1491</v>
      </c>
      <c r="E424" s="41">
        <v>53.0</v>
      </c>
      <c r="F424" s="41">
        <v>32.0</v>
      </c>
      <c r="G424" s="41">
        <v>21.0</v>
      </c>
      <c r="H424" s="125">
        <v>0.6037735849056604</v>
      </c>
      <c r="I424" s="41">
        <v>9.0</v>
      </c>
      <c r="J424" s="41">
        <v>18398.0</v>
      </c>
      <c r="K424" s="41">
        <v>43.0</v>
      </c>
      <c r="L424" s="41">
        <v>34.0</v>
      </c>
      <c r="M424" s="41">
        <v>73.0</v>
      </c>
      <c r="N424" s="41">
        <v>125.0</v>
      </c>
      <c r="O424" s="122">
        <f t="shared" si="1"/>
        <v>0.344</v>
      </c>
      <c r="P424" s="123">
        <f t="shared" si="5"/>
        <v>347.1320755</v>
      </c>
      <c r="Q424" s="123">
        <f t="shared" si="2"/>
        <v>0.8113207547</v>
      </c>
      <c r="R424" s="123">
        <f t="shared" si="6"/>
        <v>0.641509434</v>
      </c>
      <c r="S424" s="123">
        <f t="shared" si="3"/>
        <v>1.377358491</v>
      </c>
      <c r="T424" s="123">
        <f t="shared" si="4"/>
        <v>2.358490566</v>
      </c>
      <c r="U424" s="41">
        <v>12.0</v>
      </c>
      <c r="V424" s="41">
        <v>3.0</v>
      </c>
      <c r="W424" s="41">
        <v>1.0</v>
      </c>
      <c r="X424" s="41">
        <v>10.0</v>
      </c>
      <c r="Y424" s="41">
        <v>83.0</v>
      </c>
      <c r="Z424" s="41">
        <v>58.0</v>
      </c>
    </row>
    <row r="425">
      <c r="A425" s="41" t="s">
        <v>901</v>
      </c>
      <c r="B425" s="41" t="s">
        <v>346</v>
      </c>
      <c r="C425" s="41" t="s">
        <v>1567</v>
      </c>
      <c r="D425" s="41" t="s">
        <v>1568</v>
      </c>
      <c r="E425" s="41">
        <v>48.0</v>
      </c>
      <c r="F425" s="41">
        <v>16.0</v>
      </c>
      <c r="G425" s="41">
        <v>32.0</v>
      </c>
      <c r="H425" s="125">
        <v>0.3333333333333333</v>
      </c>
      <c r="I425" s="41">
        <v>5.0</v>
      </c>
      <c r="J425" s="41">
        <v>17925.0</v>
      </c>
      <c r="K425" s="41">
        <v>37.0</v>
      </c>
      <c r="L425" s="41">
        <v>21.0</v>
      </c>
      <c r="M425" s="41">
        <v>74.0</v>
      </c>
      <c r="N425" s="41">
        <v>146.0</v>
      </c>
      <c r="O425" s="122">
        <f t="shared" si="1"/>
        <v>0.2534246575</v>
      </c>
      <c r="P425" s="123">
        <f t="shared" si="5"/>
        <v>373.4375</v>
      </c>
      <c r="Q425" s="123">
        <f t="shared" si="2"/>
        <v>0.7708333333</v>
      </c>
      <c r="R425" s="123">
        <f t="shared" si="6"/>
        <v>0.4375</v>
      </c>
      <c r="S425" s="123">
        <f t="shared" si="3"/>
        <v>1.541666667</v>
      </c>
      <c r="T425" s="123">
        <f t="shared" si="4"/>
        <v>3.041666667</v>
      </c>
      <c r="U425" s="41">
        <v>6.0</v>
      </c>
      <c r="V425" s="41">
        <v>4.0</v>
      </c>
      <c r="W425" s="41">
        <v>0.0</v>
      </c>
      <c r="X425" s="41">
        <v>10.0</v>
      </c>
      <c r="Y425" s="41">
        <v>58.0</v>
      </c>
      <c r="Z425" s="41">
        <v>55.0</v>
      </c>
    </row>
    <row r="426">
      <c r="A426" s="41" t="s">
        <v>904</v>
      </c>
      <c r="B426" s="41" t="s">
        <v>574</v>
      </c>
      <c r="C426" s="41" t="s">
        <v>1569</v>
      </c>
      <c r="D426" s="41" t="s">
        <v>1394</v>
      </c>
      <c r="E426" s="41">
        <v>56.0</v>
      </c>
      <c r="F426" s="41">
        <v>35.0</v>
      </c>
      <c r="G426" s="41">
        <v>21.0</v>
      </c>
      <c r="H426" s="125">
        <v>0.625</v>
      </c>
      <c r="I426" s="41">
        <v>15.0</v>
      </c>
      <c r="J426" s="41">
        <v>24307.0</v>
      </c>
      <c r="K426" s="41">
        <v>58.0</v>
      </c>
      <c r="L426" s="41">
        <v>43.0</v>
      </c>
      <c r="M426" s="41">
        <v>76.0</v>
      </c>
      <c r="N426" s="41">
        <v>179.0</v>
      </c>
      <c r="O426" s="122">
        <f t="shared" si="1"/>
        <v>0.3240223464</v>
      </c>
      <c r="P426" s="123">
        <f t="shared" si="5"/>
        <v>434.0535714</v>
      </c>
      <c r="Q426" s="123">
        <f t="shared" si="2"/>
        <v>1.035714286</v>
      </c>
      <c r="R426" s="123">
        <f t="shared" si="6"/>
        <v>0.7678571429</v>
      </c>
      <c r="S426" s="123">
        <f t="shared" si="3"/>
        <v>1.357142857</v>
      </c>
      <c r="T426" s="123">
        <f t="shared" si="4"/>
        <v>3.196428571</v>
      </c>
      <c r="U426" s="41">
        <v>10.0</v>
      </c>
      <c r="V426" s="41">
        <v>6.0</v>
      </c>
      <c r="W426" s="41">
        <v>3.0</v>
      </c>
      <c r="X426" s="41">
        <v>8.0</v>
      </c>
      <c r="Y426" s="41">
        <v>84.0</v>
      </c>
      <c r="Z426" s="41">
        <v>39.0</v>
      </c>
    </row>
    <row r="427">
      <c r="A427" s="41" t="s">
        <v>904</v>
      </c>
      <c r="B427" s="41" t="s">
        <v>721</v>
      </c>
      <c r="C427" s="41" t="s">
        <v>1570</v>
      </c>
      <c r="D427" s="41" t="s">
        <v>1431</v>
      </c>
      <c r="E427" s="41">
        <v>44.0</v>
      </c>
      <c r="F427" s="41">
        <v>20.0</v>
      </c>
      <c r="G427" s="41">
        <v>24.0</v>
      </c>
      <c r="H427" s="125">
        <v>0.45454545454545453</v>
      </c>
      <c r="I427" s="41">
        <v>1.0</v>
      </c>
      <c r="J427" s="41">
        <v>10394.0</v>
      </c>
      <c r="K427" s="41">
        <v>24.0</v>
      </c>
      <c r="L427" s="41">
        <v>18.0</v>
      </c>
      <c r="M427" s="41">
        <v>33.0</v>
      </c>
      <c r="N427" s="41">
        <v>68.0</v>
      </c>
      <c r="O427" s="122">
        <f t="shared" si="1"/>
        <v>0.3529411765</v>
      </c>
      <c r="P427" s="123">
        <f t="shared" si="5"/>
        <v>236.2272727</v>
      </c>
      <c r="Q427" s="123">
        <f t="shared" si="2"/>
        <v>0.5454545455</v>
      </c>
      <c r="R427" s="123">
        <f t="shared" si="6"/>
        <v>0.4090909091</v>
      </c>
      <c r="S427" s="123">
        <f t="shared" si="3"/>
        <v>0.75</v>
      </c>
      <c r="T427" s="123">
        <f t="shared" si="4"/>
        <v>1.545454545</v>
      </c>
      <c r="U427" s="41">
        <v>6.0</v>
      </c>
      <c r="V427" s="41">
        <v>1.0</v>
      </c>
      <c r="W427" s="41">
        <v>0.0</v>
      </c>
      <c r="X427" s="41">
        <v>0.0</v>
      </c>
      <c r="Y427" s="41">
        <v>72.0</v>
      </c>
      <c r="Z427" s="41">
        <v>36.0</v>
      </c>
    </row>
    <row r="428">
      <c r="A428" s="41" t="s">
        <v>904</v>
      </c>
      <c r="B428" s="41" t="s">
        <v>652</v>
      </c>
      <c r="C428" s="41" t="s">
        <v>1571</v>
      </c>
      <c r="D428" s="41" t="s">
        <v>1338</v>
      </c>
      <c r="E428" s="41">
        <v>24.0</v>
      </c>
      <c r="F428" s="41">
        <v>12.0</v>
      </c>
      <c r="G428" s="41">
        <v>12.0</v>
      </c>
      <c r="H428" s="125">
        <v>0.5</v>
      </c>
      <c r="I428" s="41">
        <v>7.0</v>
      </c>
      <c r="J428" s="41">
        <v>8200.0</v>
      </c>
      <c r="K428" s="41">
        <v>19.0</v>
      </c>
      <c r="L428" s="41">
        <v>13.0</v>
      </c>
      <c r="M428" s="41">
        <v>33.0</v>
      </c>
      <c r="N428" s="41">
        <v>50.0</v>
      </c>
      <c r="O428" s="122">
        <f t="shared" si="1"/>
        <v>0.38</v>
      </c>
      <c r="P428" s="123">
        <f t="shared" si="5"/>
        <v>341.6666667</v>
      </c>
      <c r="Q428" s="123">
        <f t="shared" si="2"/>
        <v>0.7916666667</v>
      </c>
      <c r="R428" s="123">
        <f t="shared" si="6"/>
        <v>0.5416666667</v>
      </c>
      <c r="S428" s="123">
        <f t="shared" si="3"/>
        <v>1.375</v>
      </c>
      <c r="T428" s="123">
        <f t="shared" si="4"/>
        <v>2.083333333</v>
      </c>
      <c r="U428" s="41">
        <v>5.0</v>
      </c>
      <c r="V428" s="41">
        <v>0.0</v>
      </c>
      <c r="W428" s="41">
        <v>0.0</v>
      </c>
      <c r="X428" s="41">
        <v>1.0</v>
      </c>
      <c r="Y428" s="41">
        <v>24.0</v>
      </c>
      <c r="Z428" s="41">
        <v>33.0</v>
      </c>
    </row>
    <row r="429">
      <c r="A429" s="41" t="s">
        <v>904</v>
      </c>
      <c r="B429" s="41" t="s">
        <v>681</v>
      </c>
      <c r="C429" s="41" t="s">
        <v>1572</v>
      </c>
      <c r="D429" s="41" t="s">
        <v>1431</v>
      </c>
      <c r="E429" s="41">
        <v>13.0</v>
      </c>
      <c r="F429" s="41">
        <v>6.0</v>
      </c>
      <c r="G429" s="41">
        <v>7.0</v>
      </c>
      <c r="H429" s="125">
        <v>0.46153846153846156</v>
      </c>
      <c r="I429" s="41">
        <v>2.0</v>
      </c>
      <c r="J429" s="41">
        <v>4108.0</v>
      </c>
      <c r="K429" s="41">
        <v>12.0</v>
      </c>
      <c r="L429" s="41">
        <v>5.0</v>
      </c>
      <c r="M429" s="41">
        <v>11.0</v>
      </c>
      <c r="N429" s="41">
        <v>29.0</v>
      </c>
      <c r="O429" s="122">
        <f t="shared" si="1"/>
        <v>0.4137931034</v>
      </c>
      <c r="P429" s="123">
        <f t="shared" si="5"/>
        <v>316</v>
      </c>
      <c r="Q429" s="123">
        <f t="shared" si="2"/>
        <v>0.9230769231</v>
      </c>
      <c r="R429" s="123">
        <f t="shared" si="6"/>
        <v>0.3846153846</v>
      </c>
      <c r="S429" s="123">
        <f t="shared" si="3"/>
        <v>0.8461538462</v>
      </c>
      <c r="T429" s="123">
        <f t="shared" si="4"/>
        <v>2.230769231</v>
      </c>
      <c r="U429" s="41">
        <v>2.0</v>
      </c>
      <c r="V429" s="41">
        <v>0.0</v>
      </c>
      <c r="W429" s="41">
        <v>0.0</v>
      </c>
      <c r="X429" s="41">
        <v>0.0</v>
      </c>
      <c r="Y429" s="41">
        <v>8.0</v>
      </c>
      <c r="Z429" s="41">
        <v>13.0</v>
      </c>
    </row>
    <row r="430">
      <c r="A430" s="41" t="s">
        <v>904</v>
      </c>
      <c r="B430" s="41" t="s">
        <v>220</v>
      </c>
      <c r="C430" s="41" t="s">
        <v>1573</v>
      </c>
      <c r="D430" s="41" t="s">
        <v>951</v>
      </c>
      <c r="E430" s="41">
        <v>4.0</v>
      </c>
      <c r="F430" s="41">
        <v>0.0</v>
      </c>
      <c r="G430" s="41">
        <v>4.0</v>
      </c>
      <c r="H430" s="125">
        <v>0.0</v>
      </c>
      <c r="I430" s="41">
        <v>0.0</v>
      </c>
      <c r="J430" s="41">
        <v>1201.0</v>
      </c>
      <c r="K430" s="41">
        <v>2.0</v>
      </c>
      <c r="L430" s="41">
        <v>3.0</v>
      </c>
      <c r="M430" s="41">
        <v>6.0</v>
      </c>
      <c r="N430" s="41">
        <v>6.0</v>
      </c>
      <c r="O430" s="122">
        <f t="shared" si="1"/>
        <v>0.3333333333</v>
      </c>
      <c r="P430" s="123">
        <f t="shared" si="5"/>
        <v>300.25</v>
      </c>
      <c r="Q430" s="123">
        <f t="shared" si="2"/>
        <v>0.5</v>
      </c>
      <c r="R430" s="123">
        <f t="shared" si="6"/>
        <v>0.75</v>
      </c>
      <c r="S430" s="123">
        <f t="shared" si="3"/>
        <v>1.5</v>
      </c>
      <c r="T430" s="123">
        <f t="shared" si="4"/>
        <v>1.5</v>
      </c>
      <c r="U430" s="41">
        <v>0.0</v>
      </c>
      <c r="V430" s="41">
        <v>0.0</v>
      </c>
      <c r="W430" s="41">
        <v>0.0</v>
      </c>
      <c r="X430" s="41">
        <v>1.0</v>
      </c>
      <c r="Y430" s="41">
        <v>1.0</v>
      </c>
      <c r="Z430" s="41">
        <v>6.0</v>
      </c>
    </row>
    <row r="431">
      <c r="A431" s="41" t="s">
        <v>905</v>
      </c>
      <c r="B431" s="41" t="s">
        <v>220</v>
      </c>
      <c r="C431" s="41" t="s">
        <v>1573</v>
      </c>
      <c r="D431" s="41" t="s">
        <v>1574</v>
      </c>
      <c r="E431" s="41">
        <v>29.0</v>
      </c>
      <c r="F431" s="41">
        <v>11.0</v>
      </c>
      <c r="G431" s="41">
        <v>18.0</v>
      </c>
      <c r="H431" s="125">
        <v>0.3793103448275862</v>
      </c>
      <c r="I431" s="41">
        <v>1.0</v>
      </c>
      <c r="J431" s="41">
        <v>8604.0</v>
      </c>
      <c r="K431" s="41">
        <v>21.0</v>
      </c>
      <c r="L431" s="41">
        <v>10.0</v>
      </c>
      <c r="M431" s="41">
        <v>33.0</v>
      </c>
      <c r="N431" s="41">
        <v>62.0</v>
      </c>
      <c r="O431" s="122">
        <f t="shared" si="1"/>
        <v>0.3387096774</v>
      </c>
      <c r="P431" s="123">
        <f t="shared" si="5"/>
        <v>296.6896552</v>
      </c>
      <c r="Q431" s="123">
        <f t="shared" si="2"/>
        <v>0.724137931</v>
      </c>
      <c r="R431" s="123">
        <f t="shared" si="6"/>
        <v>0.3448275862</v>
      </c>
      <c r="S431" s="123">
        <f t="shared" si="3"/>
        <v>1.137931034</v>
      </c>
      <c r="T431" s="123">
        <f t="shared" si="4"/>
        <v>2.137931034</v>
      </c>
      <c r="U431" s="41">
        <v>7.0</v>
      </c>
      <c r="V431" s="41">
        <v>0.0</v>
      </c>
      <c r="W431" s="41">
        <v>0.0</v>
      </c>
      <c r="X431" s="41">
        <v>2.0</v>
      </c>
      <c r="Y431" s="41">
        <v>5.0</v>
      </c>
      <c r="Z431" s="41">
        <v>32.0</v>
      </c>
    </row>
    <row r="432">
      <c r="A432" s="41" t="s">
        <v>905</v>
      </c>
      <c r="B432" s="41" t="s">
        <v>222</v>
      </c>
      <c r="C432" s="41" t="s">
        <v>1575</v>
      </c>
      <c r="D432" s="41" t="s">
        <v>1576</v>
      </c>
      <c r="E432" s="41">
        <v>15.0</v>
      </c>
      <c r="F432" s="41">
        <v>6.0</v>
      </c>
      <c r="G432" s="41">
        <v>9.0</v>
      </c>
      <c r="H432" s="125">
        <v>0.4</v>
      </c>
      <c r="I432" s="41">
        <v>2.0</v>
      </c>
      <c r="J432" s="41">
        <v>3925.0</v>
      </c>
      <c r="K432" s="41">
        <v>7.0</v>
      </c>
      <c r="L432" s="41">
        <v>9.0</v>
      </c>
      <c r="M432" s="41">
        <v>19.0</v>
      </c>
      <c r="N432" s="41">
        <v>25.0</v>
      </c>
      <c r="O432" s="122">
        <f t="shared" si="1"/>
        <v>0.28</v>
      </c>
      <c r="P432" s="123">
        <f t="shared" si="5"/>
        <v>261.6666667</v>
      </c>
      <c r="Q432" s="123">
        <f t="shared" si="2"/>
        <v>0.4666666667</v>
      </c>
      <c r="R432" s="123">
        <f t="shared" si="6"/>
        <v>0.6</v>
      </c>
      <c r="S432" s="123">
        <f t="shared" si="3"/>
        <v>1.266666667</v>
      </c>
      <c r="T432" s="123">
        <f t="shared" si="4"/>
        <v>1.666666667</v>
      </c>
      <c r="U432" s="41">
        <v>3.0</v>
      </c>
      <c r="V432" s="41">
        <v>0.0</v>
      </c>
      <c r="W432" s="41">
        <v>1.0</v>
      </c>
      <c r="X432" s="41">
        <v>0.0</v>
      </c>
      <c r="Y432" s="41">
        <v>11.0</v>
      </c>
      <c r="Z432" s="41">
        <v>25.0</v>
      </c>
    </row>
    <row r="433">
      <c r="A433" s="41" t="s">
        <v>905</v>
      </c>
      <c r="B433" s="41" t="s">
        <v>157</v>
      </c>
      <c r="C433" s="41" t="s">
        <v>1577</v>
      </c>
      <c r="D433" s="41" t="s">
        <v>1141</v>
      </c>
      <c r="E433" s="41">
        <v>32.0</v>
      </c>
      <c r="F433" s="41">
        <v>15.0</v>
      </c>
      <c r="G433" s="41">
        <v>17.0</v>
      </c>
      <c r="H433" s="125">
        <v>0.46875</v>
      </c>
      <c r="I433" s="41">
        <v>6.0</v>
      </c>
      <c r="J433" s="41">
        <v>11503.0</v>
      </c>
      <c r="K433" s="41">
        <v>25.0</v>
      </c>
      <c r="L433" s="41">
        <v>17.0</v>
      </c>
      <c r="M433" s="41">
        <v>39.0</v>
      </c>
      <c r="N433" s="41">
        <v>90.0</v>
      </c>
      <c r="O433" s="122">
        <f t="shared" si="1"/>
        <v>0.2777777778</v>
      </c>
      <c r="P433" s="123">
        <f t="shared" si="5"/>
        <v>359.46875</v>
      </c>
      <c r="Q433" s="123">
        <f t="shared" si="2"/>
        <v>0.78125</v>
      </c>
      <c r="R433" s="123">
        <f t="shared" si="6"/>
        <v>0.53125</v>
      </c>
      <c r="S433" s="123">
        <f t="shared" si="3"/>
        <v>1.21875</v>
      </c>
      <c r="T433" s="123">
        <f t="shared" si="4"/>
        <v>2.8125</v>
      </c>
      <c r="U433" s="41">
        <v>6.0</v>
      </c>
      <c r="V433" s="41">
        <v>2.0</v>
      </c>
      <c r="W433" s="41">
        <v>0.0</v>
      </c>
      <c r="X433" s="41">
        <v>5.0</v>
      </c>
      <c r="Y433" s="41">
        <v>26.0</v>
      </c>
      <c r="Z433" s="41">
        <v>27.0</v>
      </c>
    </row>
    <row r="434">
      <c r="A434" s="41" t="s">
        <v>904</v>
      </c>
      <c r="B434" s="41" t="s">
        <v>597</v>
      </c>
      <c r="C434" s="41" t="s">
        <v>1578</v>
      </c>
      <c r="D434" s="41" t="s">
        <v>1338</v>
      </c>
      <c r="E434" s="41">
        <v>48.0</v>
      </c>
      <c r="F434" s="41">
        <v>22.0</v>
      </c>
      <c r="G434" s="41">
        <v>26.0</v>
      </c>
      <c r="H434" s="125">
        <v>0.4583333333333333</v>
      </c>
      <c r="I434" s="41">
        <v>9.0</v>
      </c>
      <c r="J434" s="41">
        <v>19393.0</v>
      </c>
      <c r="K434" s="41">
        <v>38.0</v>
      </c>
      <c r="L434" s="41">
        <v>33.0</v>
      </c>
      <c r="M434" s="41">
        <v>90.0</v>
      </c>
      <c r="N434" s="41">
        <v>124.0</v>
      </c>
      <c r="O434" s="122">
        <f t="shared" si="1"/>
        <v>0.3064516129</v>
      </c>
      <c r="P434" s="123">
        <f t="shared" si="5"/>
        <v>404.0208333</v>
      </c>
      <c r="Q434" s="123">
        <f t="shared" si="2"/>
        <v>0.7916666667</v>
      </c>
      <c r="R434" s="123">
        <f t="shared" si="6"/>
        <v>0.6875</v>
      </c>
      <c r="S434" s="123">
        <f t="shared" si="3"/>
        <v>1.875</v>
      </c>
      <c r="T434" s="123">
        <f t="shared" si="4"/>
        <v>2.583333333</v>
      </c>
      <c r="U434" s="41">
        <v>11.0</v>
      </c>
      <c r="V434" s="41">
        <v>1.0</v>
      </c>
      <c r="W434" s="41">
        <v>4.0</v>
      </c>
      <c r="X434" s="41">
        <v>15.0</v>
      </c>
      <c r="Y434" s="41">
        <v>40.0</v>
      </c>
      <c r="Z434" s="41">
        <v>42.0</v>
      </c>
    </row>
    <row r="435">
      <c r="A435" s="41" t="s">
        <v>904</v>
      </c>
      <c r="B435" s="41" t="s">
        <v>608</v>
      </c>
      <c r="C435" s="41" t="s">
        <v>1579</v>
      </c>
      <c r="D435" s="41" t="s">
        <v>1554</v>
      </c>
      <c r="E435" s="41">
        <v>55.0</v>
      </c>
      <c r="F435" s="41">
        <v>32.0</v>
      </c>
      <c r="G435" s="41">
        <v>23.0</v>
      </c>
      <c r="H435" s="125">
        <v>0.5818181818181818</v>
      </c>
      <c r="I435" s="41">
        <v>15.0</v>
      </c>
      <c r="J435" s="41">
        <v>20617.0</v>
      </c>
      <c r="K435" s="41">
        <v>44.0</v>
      </c>
      <c r="L435" s="41">
        <v>34.0</v>
      </c>
      <c r="M435" s="41">
        <v>71.0</v>
      </c>
      <c r="N435" s="41">
        <v>141.0</v>
      </c>
      <c r="O435" s="122">
        <f t="shared" si="1"/>
        <v>0.3120567376</v>
      </c>
      <c r="P435" s="123">
        <f t="shared" si="5"/>
        <v>374.8545455</v>
      </c>
      <c r="Q435" s="123">
        <f t="shared" si="2"/>
        <v>0.8</v>
      </c>
      <c r="R435" s="123">
        <f t="shared" si="6"/>
        <v>0.6181818182</v>
      </c>
      <c r="S435" s="123">
        <f t="shared" si="3"/>
        <v>1.290909091</v>
      </c>
      <c r="T435" s="123">
        <f t="shared" si="4"/>
        <v>2.563636364</v>
      </c>
      <c r="U435" s="41">
        <v>18.0</v>
      </c>
      <c r="V435" s="41">
        <v>2.0</v>
      </c>
      <c r="W435" s="41">
        <v>1.0</v>
      </c>
      <c r="X435" s="41">
        <v>7.0</v>
      </c>
      <c r="Y435" s="41">
        <v>31.0</v>
      </c>
      <c r="Z435" s="41">
        <v>64.0</v>
      </c>
    </row>
    <row r="436">
      <c r="A436" s="41" t="s">
        <v>904</v>
      </c>
      <c r="B436" s="41" t="s">
        <v>691</v>
      </c>
      <c r="C436" s="41" t="s">
        <v>1580</v>
      </c>
      <c r="D436" s="41" t="s">
        <v>1554</v>
      </c>
      <c r="E436" s="41">
        <v>46.0</v>
      </c>
      <c r="F436" s="41">
        <v>27.0</v>
      </c>
      <c r="G436" s="41">
        <v>19.0</v>
      </c>
      <c r="H436" s="125">
        <v>0.5869565217391305</v>
      </c>
      <c r="I436" s="41">
        <v>4.0</v>
      </c>
      <c r="J436" s="41">
        <v>14115.0</v>
      </c>
      <c r="K436" s="41">
        <v>30.0</v>
      </c>
      <c r="L436" s="41">
        <v>18.0</v>
      </c>
      <c r="M436" s="41">
        <v>56.0</v>
      </c>
      <c r="N436" s="41">
        <v>111.0</v>
      </c>
      <c r="O436" s="122">
        <f t="shared" si="1"/>
        <v>0.2702702703</v>
      </c>
      <c r="P436" s="123">
        <f t="shared" si="5"/>
        <v>306.8478261</v>
      </c>
      <c r="Q436" s="123">
        <f t="shared" si="2"/>
        <v>0.652173913</v>
      </c>
      <c r="R436" s="123">
        <f t="shared" si="6"/>
        <v>0.3913043478</v>
      </c>
      <c r="S436" s="123">
        <f t="shared" si="3"/>
        <v>1.217391304</v>
      </c>
      <c r="T436" s="123">
        <f t="shared" si="4"/>
        <v>2.413043478</v>
      </c>
      <c r="U436" s="41">
        <v>5.0</v>
      </c>
      <c r="V436" s="41">
        <v>0.0</v>
      </c>
      <c r="W436" s="41">
        <v>0.0</v>
      </c>
      <c r="X436" s="41">
        <v>4.0</v>
      </c>
      <c r="Y436" s="41">
        <v>55.0</v>
      </c>
      <c r="Z436" s="41">
        <v>35.0</v>
      </c>
    </row>
    <row r="437">
      <c r="A437" s="41" t="s">
        <v>901</v>
      </c>
      <c r="B437" s="41" t="s">
        <v>267</v>
      </c>
      <c r="C437" s="41" t="s">
        <v>1581</v>
      </c>
      <c r="D437" s="41" t="s">
        <v>981</v>
      </c>
      <c r="E437" s="41">
        <v>56.0</v>
      </c>
      <c r="F437" s="41">
        <v>38.0</v>
      </c>
      <c r="G437" s="41">
        <v>18.0</v>
      </c>
      <c r="H437" s="125">
        <v>0.6785714285714286</v>
      </c>
      <c r="I437" s="41">
        <v>15.0</v>
      </c>
      <c r="J437" s="41">
        <v>23080.0</v>
      </c>
      <c r="K437" s="41">
        <v>57.0</v>
      </c>
      <c r="L437" s="41">
        <v>36.0</v>
      </c>
      <c r="M437" s="41">
        <v>76.0</v>
      </c>
      <c r="N437" s="41">
        <v>155.0</v>
      </c>
      <c r="O437" s="122">
        <f t="shared" si="1"/>
        <v>0.3677419355</v>
      </c>
      <c r="P437" s="123">
        <f t="shared" si="5"/>
        <v>412.1428571</v>
      </c>
      <c r="Q437" s="123">
        <f t="shared" si="2"/>
        <v>1.017857143</v>
      </c>
      <c r="R437" s="123">
        <f t="shared" si="6"/>
        <v>0.6428571429</v>
      </c>
      <c r="S437" s="123">
        <f t="shared" si="3"/>
        <v>1.357142857</v>
      </c>
      <c r="T437" s="123">
        <f t="shared" si="4"/>
        <v>2.767857143</v>
      </c>
      <c r="U437" s="41">
        <v>18.0</v>
      </c>
      <c r="V437" s="41">
        <v>5.0</v>
      </c>
      <c r="W437" s="41">
        <v>1.0</v>
      </c>
      <c r="X437" s="41">
        <v>8.0</v>
      </c>
      <c r="Y437" s="41">
        <v>68.0</v>
      </c>
      <c r="Z437" s="41">
        <v>60.0</v>
      </c>
    </row>
    <row r="438">
      <c r="A438" s="41" t="s">
        <v>905</v>
      </c>
      <c r="B438" s="41" t="s">
        <v>216</v>
      </c>
      <c r="C438" s="41" t="s">
        <v>1582</v>
      </c>
      <c r="D438" s="41" t="s">
        <v>1232</v>
      </c>
      <c r="E438" s="41">
        <v>47.0</v>
      </c>
      <c r="F438" s="41">
        <v>28.0</v>
      </c>
      <c r="G438" s="41">
        <v>19.0</v>
      </c>
      <c r="H438" s="125">
        <v>0.5957446808510638</v>
      </c>
      <c r="I438" s="41">
        <v>0.0</v>
      </c>
      <c r="J438" s="41">
        <v>13120.0</v>
      </c>
      <c r="K438" s="41">
        <v>24.0</v>
      </c>
      <c r="L438" s="41">
        <v>26.0</v>
      </c>
      <c r="M438" s="41">
        <v>60.0</v>
      </c>
      <c r="N438" s="41">
        <v>80.0</v>
      </c>
      <c r="O438" s="122">
        <f t="shared" si="1"/>
        <v>0.3</v>
      </c>
      <c r="P438" s="123">
        <f t="shared" si="5"/>
        <v>279.1489362</v>
      </c>
      <c r="Q438" s="123">
        <f t="shared" si="2"/>
        <v>0.5106382979</v>
      </c>
      <c r="R438" s="123">
        <f t="shared" si="6"/>
        <v>0.5531914894</v>
      </c>
      <c r="S438" s="123">
        <f t="shared" si="3"/>
        <v>1.276595745</v>
      </c>
      <c r="T438" s="123">
        <f t="shared" si="4"/>
        <v>1.70212766</v>
      </c>
      <c r="U438" s="41">
        <v>6.0</v>
      </c>
      <c r="V438" s="41">
        <v>0.0</v>
      </c>
      <c r="W438" s="41">
        <v>0.0</v>
      </c>
      <c r="X438" s="41">
        <v>7.0</v>
      </c>
      <c r="Y438" s="41">
        <v>38.0</v>
      </c>
      <c r="Z438" s="41">
        <v>41.0</v>
      </c>
    </row>
    <row r="439">
      <c r="A439" s="41" t="s">
        <v>902</v>
      </c>
      <c r="B439" s="41" t="s">
        <v>873</v>
      </c>
      <c r="C439" s="41" t="s">
        <v>1583</v>
      </c>
      <c r="D439" s="41" t="s">
        <v>1584</v>
      </c>
      <c r="E439" s="41">
        <v>27.0</v>
      </c>
      <c r="F439" s="41">
        <v>6.0</v>
      </c>
      <c r="G439" s="41">
        <v>21.0</v>
      </c>
      <c r="H439" s="125">
        <v>0.2222222222222222</v>
      </c>
      <c r="I439" s="41">
        <v>0.0</v>
      </c>
      <c r="J439" s="41">
        <v>6264.0</v>
      </c>
      <c r="K439" s="41">
        <v>6.0</v>
      </c>
      <c r="L439" s="41">
        <v>12.0</v>
      </c>
      <c r="M439" s="41">
        <v>37.0</v>
      </c>
      <c r="N439" s="41">
        <v>39.0</v>
      </c>
      <c r="O439" s="122">
        <f t="shared" si="1"/>
        <v>0.1538461538</v>
      </c>
      <c r="P439" s="123">
        <f t="shared" si="5"/>
        <v>232</v>
      </c>
      <c r="Q439" s="123">
        <f t="shared" si="2"/>
        <v>0.2222222222</v>
      </c>
      <c r="R439" s="123">
        <f t="shared" si="6"/>
        <v>0.4444444444</v>
      </c>
      <c r="S439" s="123">
        <f t="shared" si="3"/>
        <v>1.37037037</v>
      </c>
      <c r="T439" s="123">
        <f t="shared" si="4"/>
        <v>1.444444444</v>
      </c>
      <c r="U439" s="41">
        <v>0.0</v>
      </c>
      <c r="V439" s="41">
        <v>0.0</v>
      </c>
      <c r="W439" s="41">
        <v>0.0</v>
      </c>
      <c r="X439" s="41">
        <v>5.0</v>
      </c>
      <c r="Y439" s="41">
        <v>11.0</v>
      </c>
      <c r="Z439" s="41">
        <v>31.0</v>
      </c>
    </row>
    <row r="440">
      <c r="A440" s="41" t="s">
        <v>905</v>
      </c>
      <c r="B440" s="41" t="s">
        <v>226</v>
      </c>
      <c r="C440" s="41" t="s">
        <v>1585</v>
      </c>
      <c r="D440" s="41" t="s">
        <v>1532</v>
      </c>
      <c r="E440" s="41">
        <v>35.0</v>
      </c>
      <c r="F440" s="41">
        <v>11.0</v>
      </c>
      <c r="G440" s="41">
        <v>24.0</v>
      </c>
      <c r="H440" s="125">
        <v>0.3142857142857143</v>
      </c>
      <c r="I440" s="41">
        <v>4.0</v>
      </c>
      <c r="J440" s="41">
        <v>9459.0</v>
      </c>
      <c r="K440" s="41">
        <v>27.0</v>
      </c>
      <c r="L440" s="41">
        <v>16.0</v>
      </c>
      <c r="M440" s="41">
        <v>24.0</v>
      </c>
      <c r="N440" s="41">
        <v>71.0</v>
      </c>
      <c r="O440" s="122">
        <f t="shared" si="1"/>
        <v>0.3802816901</v>
      </c>
      <c r="P440" s="123">
        <f t="shared" si="5"/>
        <v>270.2571429</v>
      </c>
      <c r="Q440" s="123">
        <f t="shared" si="2"/>
        <v>0.7714285714</v>
      </c>
      <c r="R440" s="123">
        <f t="shared" si="6"/>
        <v>0.4571428571</v>
      </c>
      <c r="S440" s="123">
        <f t="shared" si="3"/>
        <v>0.6857142857</v>
      </c>
      <c r="T440" s="123">
        <f t="shared" si="4"/>
        <v>2.028571429</v>
      </c>
      <c r="U440" s="41">
        <v>3.0</v>
      </c>
      <c r="V440" s="41">
        <v>1.0</v>
      </c>
      <c r="W440" s="41">
        <v>0.0</v>
      </c>
      <c r="X440" s="41">
        <v>2.0</v>
      </c>
      <c r="Y440" s="41">
        <v>25.0</v>
      </c>
      <c r="Z440" s="41">
        <v>39.0</v>
      </c>
    </row>
    <row r="441">
      <c r="A441" s="41" t="s">
        <v>902</v>
      </c>
      <c r="B441" s="41" t="s">
        <v>821</v>
      </c>
      <c r="C441" s="41" t="s">
        <v>1586</v>
      </c>
      <c r="D441" s="41" t="s">
        <v>1288</v>
      </c>
      <c r="E441" s="41">
        <v>8.0</v>
      </c>
      <c r="F441" s="41">
        <v>3.0</v>
      </c>
      <c r="G441" s="41">
        <v>5.0</v>
      </c>
      <c r="H441" s="125">
        <v>0.375</v>
      </c>
      <c r="I441" s="41">
        <v>1.0</v>
      </c>
      <c r="J441" s="41">
        <v>2863.0</v>
      </c>
      <c r="K441" s="41">
        <v>6.0</v>
      </c>
      <c r="L441" s="41">
        <v>6.0</v>
      </c>
      <c r="M441" s="41">
        <v>8.0</v>
      </c>
      <c r="N441" s="41">
        <v>17.0</v>
      </c>
      <c r="O441" s="122">
        <f t="shared" si="1"/>
        <v>0.3529411765</v>
      </c>
      <c r="P441" s="123">
        <f t="shared" si="5"/>
        <v>357.875</v>
      </c>
      <c r="Q441" s="123">
        <f t="shared" si="2"/>
        <v>0.75</v>
      </c>
      <c r="R441" s="123">
        <f t="shared" si="6"/>
        <v>0.75</v>
      </c>
      <c r="S441" s="123">
        <f t="shared" si="3"/>
        <v>1</v>
      </c>
      <c r="T441" s="123">
        <f t="shared" si="4"/>
        <v>2.125</v>
      </c>
      <c r="U441" s="41">
        <v>2.0</v>
      </c>
      <c r="V441" s="41">
        <v>0.0</v>
      </c>
      <c r="W441" s="41">
        <v>0.0</v>
      </c>
      <c r="X441" s="41">
        <v>0.0</v>
      </c>
      <c r="Y441" s="41">
        <v>11.0</v>
      </c>
      <c r="Z441" s="41">
        <v>10.0</v>
      </c>
    </row>
    <row r="442">
      <c r="A442" s="41" t="s">
        <v>904</v>
      </c>
      <c r="B442" s="41" t="s">
        <v>625</v>
      </c>
      <c r="C442" s="41" t="s">
        <v>1587</v>
      </c>
      <c r="D442" s="41" t="s">
        <v>1588</v>
      </c>
      <c r="E442" s="41">
        <v>48.0</v>
      </c>
      <c r="F442" s="41">
        <v>28.0</v>
      </c>
      <c r="G442" s="41">
        <v>20.0</v>
      </c>
      <c r="H442" s="125">
        <v>0.5833333333333334</v>
      </c>
      <c r="I442" s="41">
        <v>9.0</v>
      </c>
      <c r="J442" s="41">
        <v>16743.0</v>
      </c>
      <c r="K442" s="41">
        <v>40.0</v>
      </c>
      <c r="L442" s="41">
        <v>27.0</v>
      </c>
      <c r="M442" s="41">
        <v>55.0</v>
      </c>
      <c r="N442" s="41">
        <v>142.0</v>
      </c>
      <c r="O442" s="122">
        <f t="shared" si="1"/>
        <v>0.2816901408</v>
      </c>
      <c r="P442" s="123">
        <f t="shared" si="5"/>
        <v>348.8125</v>
      </c>
      <c r="Q442" s="123">
        <f t="shared" si="2"/>
        <v>0.8333333333</v>
      </c>
      <c r="R442" s="123">
        <f t="shared" si="6"/>
        <v>0.5625</v>
      </c>
      <c r="S442" s="123">
        <f t="shared" si="3"/>
        <v>1.145833333</v>
      </c>
      <c r="T442" s="123">
        <f t="shared" si="4"/>
        <v>2.958333333</v>
      </c>
      <c r="U442" s="41">
        <v>12.0</v>
      </c>
      <c r="V442" s="41">
        <v>2.0</v>
      </c>
      <c r="W442" s="41">
        <v>0.0</v>
      </c>
      <c r="X442" s="41">
        <v>3.0</v>
      </c>
      <c r="Y442" s="41">
        <v>80.0</v>
      </c>
      <c r="Z442" s="41">
        <v>35.0</v>
      </c>
    </row>
    <row r="443">
      <c r="A443" s="41" t="s">
        <v>901</v>
      </c>
      <c r="B443" s="41" t="s">
        <v>328</v>
      </c>
      <c r="C443" s="41" t="s">
        <v>1589</v>
      </c>
      <c r="D443" s="41" t="s">
        <v>1078</v>
      </c>
      <c r="E443" s="41">
        <v>42.0</v>
      </c>
      <c r="F443" s="41">
        <v>20.0</v>
      </c>
      <c r="G443" s="41">
        <v>22.0</v>
      </c>
      <c r="H443" s="125">
        <v>0.47619047619047616</v>
      </c>
      <c r="I443" s="41">
        <v>5.0</v>
      </c>
      <c r="J443" s="41">
        <v>14399.0</v>
      </c>
      <c r="K443" s="41">
        <v>41.0</v>
      </c>
      <c r="L443" s="41">
        <v>26.0</v>
      </c>
      <c r="M443" s="41">
        <v>51.0</v>
      </c>
      <c r="N443" s="41">
        <v>105.0</v>
      </c>
      <c r="O443" s="122">
        <f t="shared" si="1"/>
        <v>0.3904761905</v>
      </c>
      <c r="P443" s="123">
        <f t="shared" si="5"/>
        <v>342.8333333</v>
      </c>
      <c r="Q443" s="123">
        <f t="shared" si="2"/>
        <v>0.9761904762</v>
      </c>
      <c r="R443" s="123">
        <f t="shared" si="6"/>
        <v>0.619047619</v>
      </c>
      <c r="S443" s="123">
        <f t="shared" si="3"/>
        <v>1.214285714</v>
      </c>
      <c r="T443" s="123">
        <f t="shared" si="4"/>
        <v>2.5</v>
      </c>
      <c r="U443" s="41">
        <v>8.0</v>
      </c>
      <c r="V443" s="41">
        <v>4.0</v>
      </c>
      <c r="W443" s="41">
        <v>1.0</v>
      </c>
      <c r="X443" s="41">
        <v>7.0</v>
      </c>
      <c r="Y443" s="41">
        <v>17.0</v>
      </c>
      <c r="Z443" s="41">
        <v>30.0</v>
      </c>
    </row>
    <row r="444">
      <c r="A444" s="41" t="s">
        <v>901</v>
      </c>
      <c r="B444" s="41" t="s">
        <v>299</v>
      </c>
      <c r="C444" s="41" t="s">
        <v>1590</v>
      </c>
      <c r="D444" s="41" t="s">
        <v>1591</v>
      </c>
      <c r="E444" s="41">
        <v>48.0</v>
      </c>
      <c r="F444" s="41">
        <v>21.0</v>
      </c>
      <c r="G444" s="41">
        <v>27.0</v>
      </c>
      <c r="H444" s="125">
        <v>0.4375</v>
      </c>
      <c r="I444" s="41">
        <v>10.0</v>
      </c>
      <c r="J444" s="41">
        <v>19550.0</v>
      </c>
      <c r="K444" s="41">
        <v>43.0</v>
      </c>
      <c r="L444" s="41">
        <v>39.0</v>
      </c>
      <c r="M444" s="41">
        <v>80.0</v>
      </c>
      <c r="N444" s="41">
        <v>130.0</v>
      </c>
      <c r="O444" s="122">
        <f t="shared" si="1"/>
        <v>0.3307692308</v>
      </c>
      <c r="P444" s="123">
        <f t="shared" si="5"/>
        <v>407.2916667</v>
      </c>
      <c r="Q444" s="123">
        <f t="shared" si="2"/>
        <v>0.8958333333</v>
      </c>
      <c r="R444" s="123">
        <f t="shared" si="6"/>
        <v>0.8125</v>
      </c>
      <c r="S444" s="123">
        <f t="shared" si="3"/>
        <v>1.666666667</v>
      </c>
      <c r="T444" s="123">
        <f t="shared" si="4"/>
        <v>2.708333333</v>
      </c>
      <c r="U444" s="41">
        <v>8.0</v>
      </c>
      <c r="V444" s="41">
        <v>3.0</v>
      </c>
      <c r="W444" s="41">
        <v>2.0</v>
      </c>
      <c r="X444" s="41">
        <v>12.0</v>
      </c>
      <c r="Y444" s="41">
        <v>84.0</v>
      </c>
      <c r="Z444" s="41">
        <v>55.0</v>
      </c>
    </row>
    <row r="445">
      <c r="A445" s="41" t="s">
        <v>906</v>
      </c>
      <c r="B445" s="41" t="s">
        <v>553</v>
      </c>
      <c r="C445" s="41" t="s">
        <v>1592</v>
      </c>
      <c r="D445" s="41" t="s">
        <v>1425</v>
      </c>
      <c r="E445" s="41">
        <v>41.0</v>
      </c>
      <c r="F445" s="41">
        <v>15.0</v>
      </c>
      <c r="G445" s="41">
        <v>26.0</v>
      </c>
      <c r="H445" s="125">
        <v>0.36585365853658536</v>
      </c>
      <c r="I445" s="41">
        <v>5.0</v>
      </c>
      <c r="J445" s="41">
        <v>13325.0</v>
      </c>
      <c r="K445" s="41">
        <v>32.0</v>
      </c>
      <c r="L445" s="41">
        <v>20.0</v>
      </c>
      <c r="M445" s="41">
        <v>52.0</v>
      </c>
      <c r="N445" s="41">
        <v>89.0</v>
      </c>
      <c r="O445" s="122">
        <f t="shared" si="1"/>
        <v>0.3595505618</v>
      </c>
      <c r="P445" s="123">
        <f t="shared" si="5"/>
        <v>325</v>
      </c>
      <c r="Q445" s="123">
        <f t="shared" si="2"/>
        <v>0.7804878049</v>
      </c>
      <c r="R445" s="123">
        <f t="shared" si="6"/>
        <v>0.487804878</v>
      </c>
      <c r="S445" s="123">
        <f t="shared" si="3"/>
        <v>1.268292683</v>
      </c>
      <c r="T445" s="123">
        <f t="shared" si="4"/>
        <v>2.170731707</v>
      </c>
      <c r="U445" s="41">
        <v>9.0</v>
      </c>
      <c r="V445" s="41">
        <v>1.0</v>
      </c>
      <c r="W445" s="41">
        <v>0.0</v>
      </c>
      <c r="X445" s="41">
        <v>3.0</v>
      </c>
      <c r="Y445" s="41">
        <v>27.0</v>
      </c>
      <c r="Z445" s="41">
        <v>39.0</v>
      </c>
    </row>
    <row r="446">
      <c r="A446" s="41" t="s">
        <v>904</v>
      </c>
      <c r="B446" s="41" t="s">
        <v>694</v>
      </c>
      <c r="C446" s="41" t="s">
        <v>1593</v>
      </c>
      <c r="D446" s="41" t="s">
        <v>1388</v>
      </c>
      <c r="E446" s="41">
        <v>51.0</v>
      </c>
      <c r="F446" s="41">
        <v>18.0</v>
      </c>
      <c r="G446" s="41">
        <v>33.0</v>
      </c>
      <c r="H446" s="125">
        <v>0.35294117647058826</v>
      </c>
      <c r="I446" s="41">
        <v>7.0</v>
      </c>
      <c r="J446" s="41">
        <v>15212.0</v>
      </c>
      <c r="K446" s="41">
        <v>33.0</v>
      </c>
      <c r="L446" s="41">
        <v>18.0</v>
      </c>
      <c r="M446" s="41">
        <v>55.0</v>
      </c>
      <c r="N446" s="41">
        <v>121.0</v>
      </c>
      <c r="O446" s="122">
        <f t="shared" si="1"/>
        <v>0.2727272727</v>
      </c>
      <c r="P446" s="123">
        <f t="shared" si="5"/>
        <v>298.2745098</v>
      </c>
      <c r="Q446" s="123">
        <f t="shared" si="2"/>
        <v>0.6470588235</v>
      </c>
      <c r="R446" s="123">
        <f t="shared" si="6"/>
        <v>0.3529411765</v>
      </c>
      <c r="S446" s="123">
        <f t="shared" si="3"/>
        <v>1.078431373</v>
      </c>
      <c r="T446" s="123">
        <f t="shared" si="4"/>
        <v>2.37254902</v>
      </c>
      <c r="U446" s="41">
        <v>6.0</v>
      </c>
      <c r="V446" s="41">
        <v>2.0</v>
      </c>
      <c r="W446" s="41">
        <v>0.0</v>
      </c>
      <c r="X446" s="41">
        <v>7.0</v>
      </c>
      <c r="Y446" s="41">
        <v>48.0</v>
      </c>
      <c r="Z446" s="41">
        <v>34.0</v>
      </c>
    </row>
    <row r="447">
      <c r="A447" s="41" t="s">
        <v>897</v>
      </c>
      <c r="B447" s="41" t="s">
        <v>495</v>
      </c>
      <c r="C447" s="41" t="s">
        <v>1594</v>
      </c>
      <c r="D447" s="41" t="s">
        <v>1370</v>
      </c>
      <c r="E447" s="41">
        <v>24.0</v>
      </c>
      <c r="F447" s="41">
        <v>13.0</v>
      </c>
      <c r="G447" s="41">
        <v>11.0</v>
      </c>
      <c r="H447" s="125">
        <v>0.5416666666666666</v>
      </c>
      <c r="I447" s="41">
        <v>2.0</v>
      </c>
      <c r="J447" s="41">
        <v>9603.0</v>
      </c>
      <c r="K447" s="41">
        <v>20.0</v>
      </c>
      <c r="L447" s="41">
        <v>16.0</v>
      </c>
      <c r="M447" s="41">
        <v>41.0</v>
      </c>
      <c r="N447" s="41">
        <v>66.0</v>
      </c>
      <c r="O447" s="122">
        <f t="shared" si="1"/>
        <v>0.303030303</v>
      </c>
      <c r="P447" s="123">
        <f t="shared" si="5"/>
        <v>400.125</v>
      </c>
      <c r="Q447" s="123">
        <f t="shared" si="2"/>
        <v>0.8333333333</v>
      </c>
      <c r="R447" s="123">
        <f t="shared" si="6"/>
        <v>0.6666666667</v>
      </c>
      <c r="S447" s="123">
        <f t="shared" si="3"/>
        <v>1.708333333</v>
      </c>
      <c r="T447" s="123">
        <f t="shared" si="4"/>
        <v>2.75</v>
      </c>
      <c r="U447" s="41">
        <v>4.0</v>
      </c>
      <c r="V447" s="41">
        <v>1.0</v>
      </c>
      <c r="W447" s="41">
        <v>0.0</v>
      </c>
      <c r="X447" s="41">
        <v>6.0</v>
      </c>
      <c r="Y447" s="41">
        <v>33.0</v>
      </c>
      <c r="Z447" s="41">
        <v>34.0</v>
      </c>
    </row>
    <row r="448">
      <c r="A448" s="41" t="s">
        <v>899</v>
      </c>
      <c r="B448" s="41" t="s">
        <v>434</v>
      </c>
      <c r="C448" s="41" t="s">
        <v>1595</v>
      </c>
      <c r="D448" s="41" t="s">
        <v>1150</v>
      </c>
      <c r="E448" s="41">
        <v>56.0</v>
      </c>
      <c r="F448" s="41">
        <v>29.0</v>
      </c>
      <c r="G448" s="41">
        <v>27.0</v>
      </c>
      <c r="H448" s="125">
        <v>0.5178571428571429</v>
      </c>
      <c r="I448" s="41">
        <v>11.0</v>
      </c>
      <c r="J448" s="41">
        <v>18888.0</v>
      </c>
      <c r="K448" s="41">
        <v>43.0</v>
      </c>
      <c r="L448" s="41">
        <v>29.0</v>
      </c>
      <c r="M448" s="41">
        <v>73.0</v>
      </c>
      <c r="N448" s="41">
        <v>126.0</v>
      </c>
      <c r="O448" s="122">
        <f t="shared" si="1"/>
        <v>0.3412698413</v>
      </c>
      <c r="P448" s="123">
        <f t="shared" si="5"/>
        <v>337.2857143</v>
      </c>
      <c r="Q448" s="123">
        <f t="shared" si="2"/>
        <v>0.7678571429</v>
      </c>
      <c r="R448" s="123">
        <f t="shared" si="6"/>
        <v>0.5178571429</v>
      </c>
      <c r="S448" s="123">
        <f t="shared" si="3"/>
        <v>1.303571429</v>
      </c>
      <c r="T448" s="123">
        <f t="shared" si="4"/>
        <v>2.25</v>
      </c>
      <c r="U448" s="41">
        <v>11.0</v>
      </c>
      <c r="V448" s="41">
        <v>2.0</v>
      </c>
      <c r="W448" s="41">
        <v>2.0</v>
      </c>
      <c r="X448" s="41">
        <v>12.0</v>
      </c>
      <c r="Y448" s="41">
        <v>49.0</v>
      </c>
      <c r="Z448" s="41">
        <v>54.0</v>
      </c>
    </row>
    <row r="449">
      <c r="A449" s="41" t="s">
        <v>905</v>
      </c>
      <c r="B449" s="41" t="s">
        <v>167</v>
      </c>
      <c r="C449" s="41" t="s">
        <v>1596</v>
      </c>
      <c r="D449" s="41" t="s">
        <v>1331</v>
      </c>
      <c r="E449" s="41">
        <v>40.0</v>
      </c>
      <c r="F449" s="41">
        <v>19.0</v>
      </c>
      <c r="G449" s="41">
        <v>21.0</v>
      </c>
      <c r="H449" s="125">
        <v>0.475</v>
      </c>
      <c r="I449" s="41">
        <v>10.0</v>
      </c>
      <c r="J449" s="41">
        <v>13412.0</v>
      </c>
      <c r="K449" s="41">
        <v>30.0</v>
      </c>
      <c r="L449" s="41">
        <v>20.0</v>
      </c>
      <c r="M449" s="41">
        <v>47.0</v>
      </c>
      <c r="N449" s="41">
        <v>103.0</v>
      </c>
      <c r="O449" s="122">
        <f t="shared" si="1"/>
        <v>0.2912621359</v>
      </c>
      <c r="P449" s="123">
        <f t="shared" si="5"/>
        <v>335.3</v>
      </c>
      <c r="Q449" s="123">
        <f t="shared" si="2"/>
        <v>0.75</v>
      </c>
      <c r="R449" s="123">
        <f t="shared" si="6"/>
        <v>0.5</v>
      </c>
      <c r="S449" s="123">
        <f t="shared" si="3"/>
        <v>1.175</v>
      </c>
      <c r="T449" s="123">
        <f t="shared" si="4"/>
        <v>2.575</v>
      </c>
      <c r="U449" s="41">
        <v>6.0</v>
      </c>
      <c r="V449" s="41">
        <v>2.0</v>
      </c>
      <c r="W449" s="41">
        <v>2.0</v>
      </c>
      <c r="X449" s="41">
        <v>7.0</v>
      </c>
      <c r="Y449" s="41">
        <v>20.0</v>
      </c>
      <c r="Z449" s="41">
        <v>36.0</v>
      </c>
    </row>
    <row r="450">
      <c r="A450" s="41" t="s">
        <v>904</v>
      </c>
      <c r="B450" s="41" t="s">
        <v>688</v>
      </c>
      <c r="C450" s="41" t="s">
        <v>1597</v>
      </c>
      <c r="D450" s="41" t="s">
        <v>1388</v>
      </c>
      <c r="E450" s="41">
        <v>44.0</v>
      </c>
      <c r="F450" s="41">
        <v>12.0</v>
      </c>
      <c r="G450" s="41">
        <v>32.0</v>
      </c>
      <c r="H450" s="125">
        <v>0.2727272727272727</v>
      </c>
      <c r="I450" s="41">
        <v>4.0</v>
      </c>
      <c r="J450" s="41">
        <v>15512.0</v>
      </c>
      <c r="K450" s="41">
        <v>24.0</v>
      </c>
      <c r="L450" s="41">
        <v>21.0</v>
      </c>
      <c r="M450" s="41">
        <v>82.0</v>
      </c>
      <c r="N450" s="41">
        <v>78.0</v>
      </c>
      <c r="O450" s="122">
        <f t="shared" si="1"/>
        <v>0.3076923077</v>
      </c>
      <c r="P450" s="123">
        <f t="shared" si="5"/>
        <v>352.5454545</v>
      </c>
      <c r="Q450" s="123">
        <f t="shared" si="2"/>
        <v>0.5454545455</v>
      </c>
      <c r="R450" s="123">
        <f t="shared" si="6"/>
        <v>0.4772727273</v>
      </c>
      <c r="S450" s="123">
        <f t="shared" si="3"/>
        <v>1.863636364</v>
      </c>
      <c r="T450" s="123">
        <f t="shared" si="4"/>
        <v>1.772727273</v>
      </c>
      <c r="U450" s="41">
        <v>6.0</v>
      </c>
      <c r="V450" s="41">
        <v>0.0</v>
      </c>
      <c r="W450" s="41">
        <v>1.0</v>
      </c>
      <c r="X450" s="41">
        <v>14.0</v>
      </c>
      <c r="Y450" s="41">
        <v>31.0</v>
      </c>
      <c r="Z450" s="41">
        <v>41.0</v>
      </c>
    </row>
    <row r="451">
      <c r="A451" s="41" t="s">
        <v>906</v>
      </c>
      <c r="B451" s="41" t="s">
        <v>521</v>
      </c>
      <c r="C451" s="41" t="s">
        <v>1598</v>
      </c>
      <c r="D451" s="41" t="s">
        <v>965</v>
      </c>
      <c r="E451" s="41">
        <v>39.0</v>
      </c>
      <c r="F451" s="41">
        <v>26.0</v>
      </c>
      <c r="G451" s="41">
        <v>13.0</v>
      </c>
      <c r="H451" s="125">
        <v>0.6666666666666666</v>
      </c>
      <c r="I451" s="41">
        <v>8.0</v>
      </c>
      <c r="J451" s="41">
        <v>14069.0</v>
      </c>
      <c r="K451" s="41">
        <v>43.0</v>
      </c>
      <c r="L451" s="41">
        <v>23.0</v>
      </c>
      <c r="M451" s="41">
        <v>50.0</v>
      </c>
      <c r="N451" s="41">
        <v>110.0</v>
      </c>
      <c r="O451" s="122">
        <f t="shared" si="1"/>
        <v>0.3909090909</v>
      </c>
      <c r="P451" s="123">
        <f t="shared" si="5"/>
        <v>360.7435897</v>
      </c>
      <c r="Q451" s="123">
        <f t="shared" si="2"/>
        <v>1.102564103</v>
      </c>
      <c r="R451" s="123">
        <f t="shared" si="6"/>
        <v>0.5897435897</v>
      </c>
      <c r="S451" s="123">
        <f t="shared" si="3"/>
        <v>1.282051282</v>
      </c>
      <c r="T451" s="123">
        <f t="shared" si="4"/>
        <v>2.820512821</v>
      </c>
      <c r="U451" s="41">
        <v>7.0</v>
      </c>
      <c r="V451" s="41">
        <v>5.0</v>
      </c>
      <c r="W451" s="41">
        <v>1.0</v>
      </c>
      <c r="X451" s="41">
        <v>4.0</v>
      </c>
      <c r="Y451" s="41">
        <v>20.0</v>
      </c>
      <c r="Z451" s="41">
        <v>35.0</v>
      </c>
    </row>
    <row r="452">
      <c r="A452" s="41" t="s">
        <v>905</v>
      </c>
      <c r="B452" s="41" t="s">
        <v>124</v>
      </c>
      <c r="C452" s="41" t="s">
        <v>1599</v>
      </c>
      <c r="D452" s="41" t="s">
        <v>1141</v>
      </c>
      <c r="E452" s="41">
        <v>52.0</v>
      </c>
      <c r="F452" s="41">
        <v>29.0</v>
      </c>
      <c r="G452" s="41">
        <v>23.0</v>
      </c>
      <c r="H452" s="125">
        <v>0.5576923076923077</v>
      </c>
      <c r="I452" s="41">
        <v>15.0</v>
      </c>
      <c r="J452" s="41">
        <v>20145.0</v>
      </c>
      <c r="K452" s="41">
        <v>48.0</v>
      </c>
      <c r="L452" s="41">
        <v>28.0</v>
      </c>
      <c r="M452" s="41">
        <v>63.0</v>
      </c>
      <c r="N452" s="41">
        <v>154.0</v>
      </c>
      <c r="O452" s="122">
        <f t="shared" si="1"/>
        <v>0.3116883117</v>
      </c>
      <c r="P452" s="123">
        <f t="shared" si="5"/>
        <v>387.4038462</v>
      </c>
      <c r="Q452" s="123">
        <f t="shared" si="2"/>
        <v>0.9230769231</v>
      </c>
      <c r="R452" s="123">
        <f t="shared" si="6"/>
        <v>0.5384615385</v>
      </c>
      <c r="S452" s="123">
        <f t="shared" si="3"/>
        <v>1.211538462</v>
      </c>
      <c r="T452" s="123">
        <f t="shared" si="4"/>
        <v>2.961538462</v>
      </c>
      <c r="U452" s="41">
        <v>9.0</v>
      </c>
      <c r="V452" s="41">
        <v>3.0</v>
      </c>
      <c r="W452" s="41">
        <v>1.0</v>
      </c>
      <c r="X452" s="41">
        <v>8.0</v>
      </c>
      <c r="Y452" s="41">
        <v>80.0</v>
      </c>
      <c r="Z452" s="41">
        <v>55.0</v>
      </c>
    </row>
    <row r="453">
      <c r="A453" s="41" t="s">
        <v>904</v>
      </c>
      <c r="B453" s="41" t="s">
        <v>701</v>
      </c>
      <c r="C453" s="41" t="s">
        <v>1600</v>
      </c>
      <c r="D453" s="41" t="s">
        <v>1041</v>
      </c>
      <c r="E453" s="41">
        <v>48.0</v>
      </c>
      <c r="F453" s="41">
        <v>28.0</v>
      </c>
      <c r="G453" s="41">
        <v>20.0</v>
      </c>
      <c r="H453" s="125">
        <v>0.5833333333333334</v>
      </c>
      <c r="I453" s="41">
        <v>0.0</v>
      </c>
      <c r="J453" s="41">
        <v>12798.0</v>
      </c>
      <c r="K453" s="41">
        <v>28.0</v>
      </c>
      <c r="L453" s="41">
        <v>23.0</v>
      </c>
      <c r="M453" s="41">
        <v>43.0</v>
      </c>
      <c r="N453" s="41">
        <v>116.0</v>
      </c>
      <c r="O453" s="122">
        <f t="shared" si="1"/>
        <v>0.2413793103</v>
      </c>
      <c r="P453" s="123">
        <f t="shared" si="5"/>
        <v>266.625</v>
      </c>
      <c r="Q453" s="123">
        <f t="shared" si="2"/>
        <v>0.5833333333</v>
      </c>
      <c r="R453" s="123">
        <f t="shared" si="6"/>
        <v>0.4791666667</v>
      </c>
      <c r="S453" s="123">
        <f t="shared" si="3"/>
        <v>0.8958333333</v>
      </c>
      <c r="T453" s="123">
        <f t="shared" si="4"/>
        <v>2.416666667</v>
      </c>
      <c r="U453" s="41">
        <v>4.0</v>
      </c>
      <c r="V453" s="41">
        <v>1.0</v>
      </c>
      <c r="W453" s="41">
        <v>1.0</v>
      </c>
      <c r="X453" s="41">
        <v>2.0</v>
      </c>
      <c r="Y453" s="41">
        <v>48.0</v>
      </c>
      <c r="Z453" s="41">
        <v>49.0</v>
      </c>
    </row>
    <row r="454">
      <c r="A454" s="41" t="s">
        <v>904</v>
      </c>
      <c r="B454" s="41" t="s">
        <v>614</v>
      </c>
      <c r="C454" s="41" t="s">
        <v>1601</v>
      </c>
      <c r="D454" s="41" t="s">
        <v>1602</v>
      </c>
      <c r="E454" s="41">
        <v>55.0</v>
      </c>
      <c r="F454" s="41">
        <v>32.0</v>
      </c>
      <c r="G454" s="41">
        <v>23.0</v>
      </c>
      <c r="H454" s="125">
        <v>0.5818181818181818</v>
      </c>
      <c r="I454" s="41">
        <v>7.0</v>
      </c>
      <c r="J454" s="41">
        <v>19962.0</v>
      </c>
      <c r="K454" s="41">
        <v>48.0</v>
      </c>
      <c r="L454" s="41">
        <v>30.0</v>
      </c>
      <c r="M454" s="41">
        <v>72.0</v>
      </c>
      <c r="N454" s="41">
        <v>152.0</v>
      </c>
      <c r="O454" s="122">
        <f t="shared" si="1"/>
        <v>0.3157894737</v>
      </c>
      <c r="P454" s="123">
        <f t="shared" si="5"/>
        <v>362.9454545</v>
      </c>
      <c r="Q454" s="123">
        <f t="shared" si="2"/>
        <v>0.8727272727</v>
      </c>
      <c r="R454" s="123">
        <f t="shared" si="6"/>
        <v>0.5454545455</v>
      </c>
      <c r="S454" s="123">
        <f t="shared" si="3"/>
        <v>1.309090909</v>
      </c>
      <c r="T454" s="123">
        <f t="shared" si="4"/>
        <v>2.763636364</v>
      </c>
      <c r="U454" s="41">
        <v>10.0</v>
      </c>
      <c r="V454" s="41">
        <v>2.0</v>
      </c>
      <c r="W454" s="41">
        <v>1.0</v>
      </c>
      <c r="X454" s="41">
        <v>8.0</v>
      </c>
      <c r="Y454" s="41">
        <v>56.0</v>
      </c>
      <c r="Z454" s="41">
        <v>52.0</v>
      </c>
    </row>
    <row r="455">
      <c r="A455" s="41" t="s">
        <v>902</v>
      </c>
      <c r="B455" s="41" t="s">
        <v>825</v>
      </c>
      <c r="C455" s="41" t="s">
        <v>1603</v>
      </c>
      <c r="D455" s="41" t="s">
        <v>1000</v>
      </c>
      <c r="E455" s="41">
        <v>32.0</v>
      </c>
      <c r="F455" s="41">
        <v>13.0</v>
      </c>
      <c r="G455" s="41">
        <v>19.0</v>
      </c>
      <c r="H455" s="125">
        <v>0.40625</v>
      </c>
      <c r="I455" s="41">
        <v>4.0</v>
      </c>
      <c r="J455" s="41">
        <v>11147.0</v>
      </c>
      <c r="K455" s="41">
        <v>21.0</v>
      </c>
      <c r="L455" s="41">
        <v>17.0</v>
      </c>
      <c r="M455" s="41">
        <v>49.0</v>
      </c>
      <c r="N455" s="41">
        <v>75.0</v>
      </c>
      <c r="O455" s="122">
        <f t="shared" si="1"/>
        <v>0.28</v>
      </c>
      <c r="P455" s="123">
        <f t="shared" si="5"/>
        <v>348.34375</v>
      </c>
      <c r="Q455" s="123">
        <f t="shared" si="2"/>
        <v>0.65625</v>
      </c>
      <c r="R455" s="123">
        <f t="shared" si="6"/>
        <v>0.53125</v>
      </c>
      <c r="S455" s="123">
        <f t="shared" si="3"/>
        <v>1.53125</v>
      </c>
      <c r="T455" s="123">
        <f t="shared" si="4"/>
        <v>2.34375</v>
      </c>
      <c r="U455" s="41">
        <v>2.0</v>
      </c>
      <c r="V455" s="41">
        <v>2.0</v>
      </c>
      <c r="W455" s="41">
        <v>0.0</v>
      </c>
      <c r="X455" s="41">
        <v>6.0</v>
      </c>
      <c r="Y455" s="41">
        <v>95.0</v>
      </c>
      <c r="Z455" s="41">
        <v>20.0</v>
      </c>
    </row>
    <row r="456">
      <c r="A456" s="41" t="s">
        <v>902</v>
      </c>
      <c r="B456" s="41" t="s">
        <v>732</v>
      </c>
      <c r="C456" s="41" t="s">
        <v>1604</v>
      </c>
      <c r="D456" s="41" t="s">
        <v>1204</v>
      </c>
      <c r="E456" s="41">
        <v>51.0</v>
      </c>
      <c r="F456" s="41">
        <v>31.0</v>
      </c>
      <c r="G456" s="41">
        <v>20.0</v>
      </c>
      <c r="H456" s="125">
        <v>0.6078431372549019</v>
      </c>
      <c r="I456" s="41">
        <v>15.0</v>
      </c>
      <c r="J456" s="41">
        <v>19914.0</v>
      </c>
      <c r="K456" s="41">
        <v>61.0</v>
      </c>
      <c r="L456" s="41">
        <v>34.0</v>
      </c>
      <c r="M456" s="41">
        <v>51.0</v>
      </c>
      <c r="N456" s="41">
        <v>180.0</v>
      </c>
      <c r="O456" s="122">
        <f t="shared" si="1"/>
        <v>0.3388888889</v>
      </c>
      <c r="P456" s="123">
        <f t="shared" si="5"/>
        <v>390.4705882</v>
      </c>
      <c r="Q456" s="123">
        <f t="shared" si="2"/>
        <v>1.196078431</v>
      </c>
      <c r="R456" s="123">
        <f t="shared" si="6"/>
        <v>0.6666666667</v>
      </c>
      <c r="S456" s="123">
        <f t="shared" si="3"/>
        <v>1</v>
      </c>
      <c r="T456" s="123">
        <f t="shared" si="4"/>
        <v>3.529411765</v>
      </c>
      <c r="U456" s="41">
        <v>12.0</v>
      </c>
      <c r="V456" s="41">
        <v>6.0</v>
      </c>
      <c r="W456" s="41">
        <v>2.0</v>
      </c>
      <c r="X456" s="41">
        <v>4.0</v>
      </c>
      <c r="Y456" s="41">
        <v>15.0</v>
      </c>
      <c r="Z456" s="41">
        <v>65.0</v>
      </c>
    </row>
    <row r="457">
      <c r="A457" s="41" t="s">
        <v>901</v>
      </c>
      <c r="B457" s="41" t="s">
        <v>337</v>
      </c>
      <c r="C457" s="41" t="s">
        <v>1605</v>
      </c>
      <c r="D457" s="41" t="s">
        <v>1606</v>
      </c>
      <c r="E457" s="41">
        <v>43.0</v>
      </c>
      <c r="F457" s="41">
        <v>28.0</v>
      </c>
      <c r="G457" s="41">
        <v>15.0</v>
      </c>
      <c r="H457" s="125">
        <v>0.6511627906976745</v>
      </c>
      <c r="I457" s="41">
        <v>4.0</v>
      </c>
      <c r="J457" s="41">
        <v>13602.0</v>
      </c>
      <c r="K457" s="41">
        <v>36.0</v>
      </c>
      <c r="L457" s="41">
        <v>30.0</v>
      </c>
      <c r="M457" s="41">
        <v>40.0</v>
      </c>
      <c r="N457" s="41">
        <v>117.0</v>
      </c>
      <c r="O457" s="122">
        <f t="shared" si="1"/>
        <v>0.3076923077</v>
      </c>
      <c r="P457" s="123">
        <f t="shared" si="5"/>
        <v>316.3255814</v>
      </c>
      <c r="Q457" s="123">
        <f t="shared" si="2"/>
        <v>0.8372093023</v>
      </c>
      <c r="R457" s="123">
        <f t="shared" si="6"/>
        <v>0.6976744186</v>
      </c>
      <c r="S457" s="123">
        <f t="shared" si="3"/>
        <v>0.9302325581</v>
      </c>
      <c r="T457" s="123">
        <f t="shared" si="4"/>
        <v>2.720930233</v>
      </c>
      <c r="U457" s="41">
        <v>11.0</v>
      </c>
      <c r="V457" s="41">
        <v>2.0</v>
      </c>
      <c r="W457" s="41">
        <v>1.0</v>
      </c>
      <c r="X457" s="41">
        <v>1.0</v>
      </c>
      <c r="Y457" s="41">
        <v>63.0</v>
      </c>
      <c r="Z457" s="41">
        <v>40.0</v>
      </c>
    </row>
    <row r="458">
      <c r="A458" s="41" t="s">
        <v>902</v>
      </c>
      <c r="B458" s="41" t="s">
        <v>866</v>
      </c>
      <c r="C458" s="41" t="s">
        <v>1607</v>
      </c>
      <c r="D458" s="41" t="s">
        <v>1498</v>
      </c>
      <c r="E458" s="41">
        <v>4.0</v>
      </c>
      <c r="F458" s="41">
        <v>1.0</v>
      </c>
      <c r="G458" s="41">
        <v>3.0</v>
      </c>
      <c r="H458" s="125">
        <v>0.25</v>
      </c>
      <c r="I458" s="41">
        <v>0.0</v>
      </c>
      <c r="J458" s="41">
        <v>1209.0</v>
      </c>
      <c r="K458" s="41">
        <v>4.0</v>
      </c>
      <c r="L458" s="41">
        <v>0.0</v>
      </c>
      <c r="M458" s="41">
        <v>3.0</v>
      </c>
      <c r="N458" s="41">
        <v>8.0</v>
      </c>
      <c r="O458" s="122">
        <f t="shared" si="1"/>
        <v>0.5</v>
      </c>
      <c r="P458" s="123">
        <f t="shared" si="5"/>
        <v>302.25</v>
      </c>
      <c r="Q458" s="123">
        <f t="shared" si="2"/>
        <v>1</v>
      </c>
      <c r="R458" s="123">
        <f t="shared" si="6"/>
        <v>0</v>
      </c>
      <c r="S458" s="123">
        <f t="shared" si="3"/>
        <v>0.75</v>
      </c>
      <c r="T458" s="123">
        <f t="shared" si="4"/>
        <v>2</v>
      </c>
      <c r="U458" s="41">
        <v>0.0</v>
      </c>
      <c r="V458" s="41">
        <v>0.0</v>
      </c>
      <c r="W458" s="41">
        <v>0.0</v>
      </c>
      <c r="X458" s="41">
        <v>0.0</v>
      </c>
      <c r="Y458" s="41">
        <v>2.0</v>
      </c>
      <c r="Z458" s="41">
        <v>5.0</v>
      </c>
    </row>
    <row r="459">
      <c r="A459" s="41" t="s">
        <v>897</v>
      </c>
      <c r="B459" s="41" t="s">
        <v>502</v>
      </c>
      <c r="C459" s="41" t="s">
        <v>1608</v>
      </c>
      <c r="D459" s="41" t="s">
        <v>1084</v>
      </c>
      <c r="E459" s="41">
        <v>40.0</v>
      </c>
      <c r="F459" s="41">
        <v>16.0</v>
      </c>
      <c r="G459" s="41">
        <v>24.0</v>
      </c>
      <c r="H459" s="125">
        <v>0.4</v>
      </c>
      <c r="I459" s="41">
        <v>5.0</v>
      </c>
      <c r="J459" s="41">
        <v>14601.0</v>
      </c>
      <c r="K459" s="41">
        <v>27.0</v>
      </c>
      <c r="L459" s="41">
        <v>27.0</v>
      </c>
      <c r="M459" s="41">
        <v>67.0</v>
      </c>
      <c r="N459" s="41">
        <v>96.0</v>
      </c>
      <c r="O459" s="122">
        <f t="shared" si="1"/>
        <v>0.28125</v>
      </c>
      <c r="P459" s="123">
        <f t="shared" si="5"/>
        <v>365.025</v>
      </c>
      <c r="Q459" s="123">
        <f t="shared" si="2"/>
        <v>0.675</v>
      </c>
      <c r="R459" s="123">
        <f t="shared" si="6"/>
        <v>0.675</v>
      </c>
      <c r="S459" s="123">
        <f t="shared" si="3"/>
        <v>1.675</v>
      </c>
      <c r="T459" s="123">
        <f t="shared" si="4"/>
        <v>2.4</v>
      </c>
      <c r="U459" s="41">
        <v>12.0</v>
      </c>
      <c r="V459" s="41">
        <v>0.0</v>
      </c>
      <c r="W459" s="41">
        <v>0.0</v>
      </c>
      <c r="X459" s="41">
        <v>9.0</v>
      </c>
      <c r="Y459" s="41">
        <v>25.0</v>
      </c>
      <c r="Z459" s="41">
        <v>43.0</v>
      </c>
    </row>
    <row r="460">
      <c r="A460" s="41" t="s">
        <v>905</v>
      </c>
      <c r="B460" s="41" t="s">
        <v>212</v>
      </c>
      <c r="C460" s="41" t="s">
        <v>1609</v>
      </c>
      <c r="D460" s="41" t="s">
        <v>1210</v>
      </c>
      <c r="E460" s="41">
        <v>21.0</v>
      </c>
      <c r="F460" s="41">
        <v>10.0</v>
      </c>
      <c r="G460" s="41">
        <v>11.0</v>
      </c>
      <c r="H460" s="125">
        <v>0.47619047619047616</v>
      </c>
      <c r="I460" s="41">
        <v>4.0</v>
      </c>
      <c r="J460" s="41">
        <v>6314.0</v>
      </c>
      <c r="K460" s="41">
        <v>17.0</v>
      </c>
      <c r="L460" s="41">
        <v>9.0</v>
      </c>
      <c r="M460" s="41">
        <v>20.0</v>
      </c>
      <c r="N460" s="41">
        <v>43.0</v>
      </c>
      <c r="O460" s="122">
        <f t="shared" si="1"/>
        <v>0.3953488372</v>
      </c>
      <c r="P460" s="123">
        <f t="shared" si="5"/>
        <v>300.6666667</v>
      </c>
      <c r="Q460" s="123">
        <f t="shared" si="2"/>
        <v>0.8095238095</v>
      </c>
      <c r="R460" s="123">
        <f t="shared" si="6"/>
        <v>0.4285714286</v>
      </c>
      <c r="S460" s="123">
        <f t="shared" si="3"/>
        <v>0.9523809524</v>
      </c>
      <c r="T460" s="123">
        <f t="shared" si="4"/>
        <v>2.047619048</v>
      </c>
      <c r="U460" s="41">
        <v>5.0</v>
      </c>
      <c r="V460" s="41">
        <v>2.0</v>
      </c>
      <c r="W460" s="41">
        <v>0.0</v>
      </c>
      <c r="X460" s="41">
        <v>2.0</v>
      </c>
      <c r="Y460" s="41">
        <v>14.0</v>
      </c>
      <c r="Z460" s="41">
        <v>12.0</v>
      </c>
    </row>
    <row r="461">
      <c r="A461" s="41" t="s">
        <v>902</v>
      </c>
      <c r="B461" s="41" t="s">
        <v>859</v>
      </c>
      <c r="C461" s="41" t="s">
        <v>1610</v>
      </c>
      <c r="D461" s="41" t="s">
        <v>1273</v>
      </c>
      <c r="E461" s="41">
        <v>18.0</v>
      </c>
      <c r="F461" s="41">
        <v>6.0</v>
      </c>
      <c r="G461" s="41">
        <v>12.0</v>
      </c>
      <c r="H461" s="125">
        <v>0.3333333333333333</v>
      </c>
      <c r="I461" s="41">
        <v>0.0</v>
      </c>
      <c r="J461" s="41">
        <v>4870.0</v>
      </c>
      <c r="K461" s="41">
        <v>5.0</v>
      </c>
      <c r="L461" s="41">
        <v>10.0</v>
      </c>
      <c r="M461" s="41">
        <v>20.0</v>
      </c>
      <c r="N461" s="41">
        <v>35.0</v>
      </c>
      <c r="O461" s="122">
        <f t="shared" si="1"/>
        <v>0.1428571429</v>
      </c>
      <c r="P461" s="123">
        <f t="shared" si="5"/>
        <v>270.5555556</v>
      </c>
      <c r="Q461" s="123">
        <f t="shared" si="2"/>
        <v>0.2777777778</v>
      </c>
      <c r="R461" s="123">
        <f t="shared" si="6"/>
        <v>0.5555555556</v>
      </c>
      <c r="S461" s="123">
        <f t="shared" si="3"/>
        <v>1.111111111</v>
      </c>
      <c r="T461" s="123">
        <f t="shared" si="4"/>
        <v>1.944444444</v>
      </c>
      <c r="U461" s="41">
        <v>2.0</v>
      </c>
      <c r="V461" s="41">
        <v>0.0</v>
      </c>
      <c r="W461" s="41">
        <v>1.0</v>
      </c>
      <c r="X461" s="41">
        <v>1.0</v>
      </c>
      <c r="Y461" s="41">
        <v>18.0</v>
      </c>
      <c r="Z461" s="41">
        <v>13.0</v>
      </c>
    </row>
    <row r="462">
      <c r="A462" s="41" t="s">
        <v>901</v>
      </c>
      <c r="B462" s="41" t="s">
        <v>259</v>
      </c>
      <c r="C462" s="41" t="s">
        <v>1611</v>
      </c>
      <c r="D462" s="41" t="s">
        <v>1208</v>
      </c>
      <c r="E462" s="41">
        <v>48.0</v>
      </c>
      <c r="F462" s="41">
        <v>36.0</v>
      </c>
      <c r="G462" s="41">
        <v>12.0</v>
      </c>
      <c r="H462" s="125">
        <v>0.75</v>
      </c>
      <c r="I462" s="41">
        <v>13.0</v>
      </c>
      <c r="J462" s="41">
        <v>20250.0</v>
      </c>
      <c r="K462" s="41">
        <v>45.0</v>
      </c>
      <c r="L462" s="41">
        <v>45.0</v>
      </c>
      <c r="M462" s="41">
        <v>66.0</v>
      </c>
      <c r="N462" s="41">
        <v>161.0</v>
      </c>
      <c r="O462" s="122">
        <f t="shared" si="1"/>
        <v>0.2795031056</v>
      </c>
      <c r="P462" s="123">
        <f t="shared" si="5"/>
        <v>421.875</v>
      </c>
      <c r="Q462" s="123">
        <f t="shared" si="2"/>
        <v>0.9375</v>
      </c>
      <c r="R462" s="123">
        <f t="shared" si="6"/>
        <v>0.9375</v>
      </c>
      <c r="S462" s="123">
        <f t="shared" si="3"/>
        <v>1.375</v>
      </c>
      <c r="T462" s="123">
        <f t="shared" si="4"/>
        <v>3.354166667</v>
      </c>
      <c r="U462" s="41">
        <v>14.0</v>
      </c>
      <c r="V462" s="41">
        <v>2.0</v>
      </c>
      <c r="W462" s="41">
        <v>2.0</v>
      </c>
      <c r="X462" s="41">
        <v>9.0</v>
      </c>
      <c r="Y462" s="41">
        <v>51.0</v>
      </c>
      <c r="Z462" s="41">
        <v>49.0</v>
      </c>
    </row>
    <row r="463">
      <c r="A463" s="41" t="s">
        <v>904</v>
      </c>
      <c r="B463" s="41" t="s">
        <v>573</v>
      </c>
      <c r="C463" s="41" t="s">
        <v>1612</v>
      </c>
      <c r="D463" s="41" t="s">
        <v>1588</v>
      </c>
      <c r="E463" s="41">
        <v>35.0</v>
      </c>
      <c r="F463" s="41">
        <v>24.0</v>
      </c>
      <c r="G463" s="41">
        <v>11.0</v>
      </c>
      <c r="H463" s="125">
        <v>0.6857142857142857</v>
      </c>
      <c r="I463" s="41">
        <v>13.0</v>
      </c>
      <c r="J463" s="41">
        <v>16223.0</v>
      </c>
      <c r="K463" s="41">
        <v>45.0</v>
      </c>
      <c r="L463" s="41">
        <v>24.0</v>
      </c>
      <c r="M463" s="41">
        <v>49.0</v>
      </c>
      <c r="N463" s="41">
        <v>146.0</v>
      </c>
      <c r="O463" s="122">
        <f t="shared" si="1"/>
        <v>0.3082191781</v>
      </c>
      <c r="P463" s="123">
        <f t="shared" si="5"/>
        <v>463.5142857</v>
      </c>
      <c r="Q463" s="123">
        <f t="shared" si="2"/>
        <v>1.285714286</v>
      </c>
      <c r="R463" s="123">
        <f t="shared" si="6"/>
        <v>0.6857142857</v>
      </c>
      <c r="S463" s="123">
        <f t="shared" si="3"/>
        <v>1.4</v>
      </c>
      <c r="T463" s="123">
        <f t="shared" si="4"/>
        <v>4.171428571</v>
      </c>
      <c r="U463" s="41">
        <v>9.0</v>
      </c>
      <c r="V463" s="41">
        <v>5.0</v>
      </c>
      <c r="W463" s="41">
        <v>1.0</v>
      </c>
      <c r="X463" s="41">
        <v>5.0</v>
      </c>
      <c r="Y463" s="41">
        <v>22.0</v>
      </c>
      <c r="Z463" s="41">
        <v>27.0</v>
      </c>
    </row>
    <row r="464">
      <c r="A464" s="41" t="s">
        <v>905</v>
      </c>
      <c r="B464" s="41" t="s">
        <v>160</v>
      </c>
      <c r="C464" s="41" t="s">
        <v>1613</v>
      </c>
      <c r="D464" s="41" t="s">
        <v>1295</v>
      </c>
      <c r="E464" s="41">
        <v>40.0</v>
      </c>
      <c r="F464" s="41">
        <v>24.0</v>
      </c>
      <c r="G464" s="41">
        <v>16.0</v>
      </c>
      <c r="H464" s="125">
        <v>0.6</v>
      </c>
      <c r="I464" s="41">
        <v>11.0</v>
      </c>
      <c r="J464" s="41">
        <v>13828.0</v>
      </c>
      <c r="K464" s="41">
        <v>30.0</v>
      </c>
      <c r="L464" s="41">
        <v>22.0</v>
      </c>
      <c r="M464" s="41">
        <v>54.0</v>
      </c>
      <c r="N464" s="41">
        <v>93.0</v>
      </c>
      <c r="O464" s="122">
        <f t="shared" si="1"/>
        <v>0.3225806452</v>
      </c>
      <c r="P464" s="123">
        <f t="shared" si="5"/>
        <v>345.7</v>
      </c>
      <c r="Q464" s="123">
        <f t="shared" si="2"/>
        <v>0.75</v>
      </c>
      <c r="R464" s="123">
        <f t="shared" si="6"/>
        <v>0.55</v>
      </c>
      <c r="S464" s="123">
        <f t="shared" si="3"/>
        <v>1.35</v>
      </c>
      <c r="T464" s="123">
        <f t="shared" si="4"/>
        <v>2.325</v>
      </c>
      <c r="U464" s="41">
        <v>5.0</v>
      </c>
      <c r="V464" s="41">
        <v>1.0</v>
      </c>
      <c r="W464" s="41">
        <v>0.0</v>
      </c>
      <c r="X464" s="41">
        <v>6.0</v>
      </c>
      <c r="Y464" s="41">
        <v>26.0</v>
      </c>
      <c r="Z464" s="41">
        <v>49.0</v>
      </c>
    </row>
    <row r="465">
      <c r="A465" s="41" t="s">
        <v>902</v>
      </c>
      <c r="B465" s="41" t="s">
        <v>841</v>
      </c>
      <c r="C465" s="41" t="s">
        <v>1614</v>
      </c>
      <c r="D465" s="41" t="s">
        <v>1021</v>
      </c>
      <c r="E465" s="41">
        <v>29.0</v>
      </c>
      <c r="F465" s="41">
        <v>10.0</v>
      </c>
      <c r="G465" s="41">
        <v>19.0</v>
      </c>
      <c r="H465" s="125">
        <v>0.3448275862068966</v>
      </c>
      <c r="I465" s="41">
        <v>4.0</v>
      </c>
      <c r="J465" s="41">
        <v>10158.0</v>
      </c>
      <c r="K465" s="41">
        <v>22.0</v>
      </c>
      <c r="L465" s="41">
        <v>10.0</v>
      </c>
      <c r="M465" s="41">
        <v>48.0</v>
      </c>
      <c r="N465" s="41">
        <v>68.0</v>
      </c>
      <c r="O465" s="122">
        <f t="shared" si="1"/>
        <v>0.3235294118</v>
      </c>
      <c r="P465" s="123">
        <f t="shared" si="5"/>
        <v>350.2758621</v>
      </c>
      <c r="Q465" s="123">
        <f t="shared" si="2"/>
        <v>0.7586206897</v>
      </c>
      <c r="R465" s="123">
        <f t="shared" si="6"/>
        <v>0.3448275862</v>
      </c>
      <c r="S465" s="123">
        <f t="shared" si="3"/>
        <v>1.655172414</v>
      </c>
      <c r="T465" s="123">
        <f t="shared" si="4"/>
        <v>2.344827586</v>
      </c>
      <c r="U465" s="41">
        <v>4.0</v>
      </c>
      <c r="V465" s="41">
        <v>3.0</v>
      </c>
      <c r="W465" s="41">
        <v>0.0</v>
      </c>
      <c r="X465" s="41">
        <v>4.0</v>
      </c>
      <c r="Y465" s="41">
        <v>18.0</v>
      </c>
      <c r="Z465" s="41">
        <v>47.0</v>
      </c>
    </row>
    <row r="466">
      <c r="A466" s="41" t="s">
        <v>904</v>
      </c>
      <c r="B466" s="41" t="s">
        <v>692</v>
      </c>
      <c r="C466" s="41" t="s">
        <v>1615</v>
      </c>
      <c r="D466" s="41" t="s">
        <v>1303</v>
      </c>
      <c r="E466" s="41">
        <v>23.0</v>
      </c>
      <c r="F466" s="41">
        <v>8.0</v>
      </c>
      <c r="G466" s="41">
        <v>15.0</v>
      </c>
      <c r="H466" s="125">
        <v>0.34782608695652173</v>
      </c>
      <c r="I466" s="41">
        <v>2.0</v>
      </c>
      <c r="J466" s="41">
        <v>6951.0</v>
      </c>
      <c r="K466" s="41">
        <v>13.0</v>
      </c>
      <c r="L466" s="41">
        <v>10.0</v>
      </c>
      <c r="M466" s="41">
        <v>25.0</v>
      </c>
      <c r="N466" s="41">
        <v>65.0</v>
      </c>
      <c r="O466" s="122">
        <f t="shared" si="1"/>
        <v>0.2</v>
      </c>
      <c r="P466" s="123">
        <f t="shared" si="5"/>
        <v>302.2173913</v>
      </c>
      <c r="Q466" s="123">
        <f t="shared" si="2"/>
        <v>0.5652173913</v>
      </c>
      <c r="R466" s="123">
        <f t="shared" si="6"/>
        <v>0.4347826087</v>
      </c>
      <c r="S466" s="123">
        <f t="shared" si="3"/>
        <v>1.086956522</v>
      </c>
      <c r="T466" s="123">
        <f t="shared" si="4"/>
        <v>2.826086957</v>
      </c>
      <c r="U466" s="41">
        <v>1.0</v>
      </c>
      <c r="V466" s="41">
        <v>0.0</v>
      </c>
      <c r="W466" s="41">
        <v>0.0</v>
      </c>
      <c r="X466" s="41">
        <v>2.0</v>
      </c>
      <c r="Y466" s="41">
        <v>17.0</v>
      </c>
      <c r="Z466" s="41">
        <v>19.0</v>
      </c>
    </row>
    <row r="467">
      <c r="A467" s="41" t="s">
        <v>902</v>
      </c>
      <c r="B467" s="41" t="s">
        <v>856</v>
      </c>
      <c r="C467" s="41" t="s">
        <v>1616</v>
      </c>
      <c r="D467" s="41" t="s">
        <v>1498</v>
      </c>
      <c r="E467" s="41">
        <v>3.0</v>
      </c>
      <c r="F467" s="41">
        <v>1.0</v>
      </c>
      <c r="G467" s="41">
        <v>2.0</v>
      </c>
      <c r="H467" s="125">
        <v>0.3333333333333333</v>
      </c>
      <c r="I467" s="41">
        <v>0.0</v>
      </c>
      <c r="J467" s="41">
        <v>973.0</v>
      </c>
      <c r="K467" s="41">
        <v>3.0</v>
      </c>
      <c r="L467" s="41">
        <v>0.0</v>
      </c>
      <c r="M467" s="41">
        <v>6.0</v>
      </c>
      <c r="N467" s="41">
        <v>6.0</v>
      </c>
      <c r="O467" s="122">
        <f t="shared" si="1"/>
        <v>0.5</v>
      </c>
      <c r="P467" s="123">
        <f t="shared" si="5"/>
        <v>324.3333333</v>
      </c>
      <c r="Q467" s="123">
        <f t="shared" si="2"/>
        <v>1</v>
      </c>
      <c r="R467" s="123">
        <f t="shared" si="6"/>
        <v>0</v>
      </c>
      <c r="S467" s="123">
        <f t="shared" si="3"/>
        <v>2</v>
      </c>
      <c r="T467" s="123">
        <f t="shared" si="4"/>
        <v>2</v>
      </c>
      <c r="U467" s="41">
        <v>0.0</v>
      </c>
      <c r="V467" s="41">
        <v>0.0</v>
      </c>
      <c r="W467" s="41">
        <v>0.0</v>
      </c>
      <c r="X467" s="41">
        <v>1.0</v>
      </c>
      <c r="Y467" s="41">
        <v>4.0</v>
      </c>
      <c r="Z467" s="41">
        <v>4.0</v>
      </c>
    </row>
    <row r="468">
      <c r="A468" s="41" t="s">
        <v>897</v>
      </c>
      <c r="B468" s="41" t="s">
        <v>476</v>
      </c>
      <c r="C468" s="41" t="s">
        <v>1617</v>
      </c>
      <c r="D468" s="41" t="s">
        <v>1047</v>
      </c>
      <c r="E468" s="41">
        <v>4.0</v>
      </c>
      <c r="F468" s="41">
        <v>4.0</v>
      </c>
      <c r="G468" s="41">
        <v>0.0</v>
      </c>
      <c r="H468" s="125">
        <v>1.0</v>
      </c>
      <c r="I468" s="41">
        <v>2.0</v>
      </c>
      <c r="J468" s="41">
        <v>2304.0</v>
      </c>
      <c r="K468" s="41">
        <v>7.0</v>
      </c>
      <c r="L468" s="41">
        <v>4.0</v>
      </c>
      <c r="M468" s="41">
        <v>8.0</v>
      </c>
      <c r="N468" s="41">
        <v>14.0</v>
      </c>
      <c r="O468" s="122">
        <f t="shared" si="1"/>
        <v>0.5</v>
      </c>
      <c r="P468" s="123">
        <f t="shared" si="5"/>
        <v>576</v>
      </c>
      <c r="Q468" s="123">
        <f t="shared" si="2"/>
        <v>1.75</v>
      </c>
      <c r="R468" s="123">
        <f t="shared" si="6"/>
        <v>1</v>
      </c>
      <c r="S468" s="123">
        <f t="shared" si="3"/>
        <v>2</v>
      </c>
      <c r="T468" s="123">
        <f t="shared" si="4"/>
        <v>3.5</v>
      </c>
      <c r="U468" s="41">
        <v>3.0</v>
      </c>
      <c r="V468" s="41">
        <v>1.0</v>
      </c>
      <c r="W468" s="41">
        <v>0.0</v>
      </c>
      <c r="X468" s="41">
        <v>2.0</v>
      </c>
      <c r="Y468" s="41">
        <v>2.0</v>
      </c>
      <c r="Z468" s="41">
        <v>4.0</v>
      </c>
    </row>
    <row r="469">
      <c r="A469" s="41" t="s">
        <v>905</v>
      </c>
      <c r="B469" s="41" t="s">
        <v>169</v>
      </c>
      <c r="C469" s="41" t="s">
        <v>1618</v>
      </c>
      <c r="D469" s="41" t="s">
        <v>1331</v>
      </c>
      <c r="E469" s="41">
        <v>52.0</v>
      </c>
      <c r="F469" s="41">
        <v>25.0</v>
      </c>
      <c r="G469" s="41">
        <v>27.0</v>
      </c>
      <c r="H469" s="125">
        <v>0.4807692307692308</v>
      </c>
      <c r="I469" s="41">
        <v>9.0</v>
      </c>
      <c r="J469" s="41">
        <v>18295.0</v>
      </c>
      <c r="K469" s="41">
        <v>49.0</v>
      </c>
      <c r="L469" s="41">
        <v>18.0</v>
      </c>
      <c r="M469" s="41">
        <v>65.0</v>
      </c>
      <c r="N469" s="41">
        <v>139.0</v>
      </c>
      <c r="O469" s="122">
        <f t="shared" si="1"/>
        <v>0.3525179856</v>
      </c>
      <c r="P469" s="123">
        <f t="shared" si="5"/>
        <v>351.8269231</v>
      </c>
      <c r="Q469" s="123">
        <f t="shared" si="2"/>
        <v>0.9423076923</v>
      </c>
      <c r="R469" s="123">
        <f t="shared" si="6"/>
        <v>0.3461538462</v>
      </c>
      <c r="S469" s="123">
        <f t="shared" si="3"/>
        <v>1.25</v>
      </c>
      <c r="T469" s="123">
        <f t="shared" si="4"/>
        <v>2.673076923</v>
      </c>
      <c r="U469" s="41">
        <v>6.0</v>
      </c>
      <c r="V469" s="41">
        <v>4.0</v>
      </c>
      <c r="W469" s="41">
        <v>0.0</v>
      </c>
      <c r="X469" s="41">
        <v>8.0</v>
      </c>
      <c r="Y469" s="41">
        <v>74.0</v>
      </c>
      <c r="Z469" s="41">
        <v>45.0</v>
      </c>
    </row>
    <row r="470">
      <c r="A470" s="41" t="s">
        <v>904</v>
      </c>
      <c r="B470" s="41" t="s">
        <v>576</v>
      </c>
      <c r="C470" s="41" t="s">
        <v>1619</v>
      </c>
      <c r="D470" s="41" t="s">
        <v>973</v>
      </c>
      <c r="E470" s="41">
        <v>4.0</v>
      </c>
      <c r="F470" s="41">
        <v>2.0</v>
      </c>
      <c r="G470" s="41">
        <v>2.0</v>
      </c>
      <c r="H470" s="125">
        <v>0.5</v>
      </c>
      <c r="I470" s="41">
        <v>1.0</v>
      </c>
      <c r="J470" s="41">
        <v>1383.0</v>
      </c>
      <c r="K470" s="41">
        <v>3.0</v>
      </c>
      <c r="L470" s="41">
        <v>6.0</v>
      </c>
      <c r="M470" s="41">
        <v>2.0</v>
      </c>
      <c r="N470" s="41">
        <v>9.0</v>
      </c>
      <c r="O470" s="122">
        <f t="shared" si="1"/>
        <v>0.3333333333</v>
      </c>
      <c r="P470" s="123">
        <f t="shared" si="5"/>
        <v>345.75</v>
      </c>
      <c r="Q470" s="123">
        <f t="shared" si="2"/>
        <v>0.75</v>
      </c>
      <c r="R470" s="123">
        <f t="shared" si="6"/>
        <v>1.5</v>
      </c>
      <c r="S470" s="123">
        <f t="shared" si="3"/>
        <v>0.5</v>
      </c>
      <c r="T470" s="123">
        <f t="shared" si="4"/>
        <v>2.25</v>
      </c>
      <c r="U470" s="41">
        <v>2.0</v>
      </c>
      <c r="V470" s="41">
        <v>0.0</v>
      </c>
      <c r="W470" s="41">
        <v>1.0</v>
      </c>
      <c r="X470" s="41">
        <v>0.0</v>
      </c>
      <c r="Y470" s="41">
        <v>1.0</v>
      </c>
      <c r="Z470" s="41">
        <v>6.0</v>
      </c>
    </row>
    <row r="471">
      <c r="A471" s="41" t="s">
        <v>899</v>
      </c>
      <c r="B471" s="41" t="s">
        <v>453</v>
      </c>
      <c r="C471" s="41" t="s">
        <v>1620</v>
      </c>
      <c r="D471" s="41" t="s">
        <v>1037</v>
      </c>
      <c r="E471" s="41">
        <v>12.0</v>
      </c>
      <c r="F471" s="41">
        <v>5.0</v>
      </c>
      <c r="G471" s="41">
        <v>7.0</v>
      </c>
      <c r="H471" s="125">
        <v>0.4166666666666667</v>
      </c>
      <c r="I471" s="41">
        <v>3.0</v>
      </c>
      <c r="J471" s="41">
        <v>4310.0</v>
      </c>
      <c r="K471" s="41">
        <v>12.0</v>
      </c>
      <c r="L471" s="41">
        <v>6.0</v>
      </c>
      <c r="M471" s="41">
        <v>15.0</v>
      </c>
      <c r="N471" s="41">
        <v>24.0</v>
      </c>
      <c r="O471" s="122">
        <f t="shared" si="1"/>
        <v>0.5</v>
      </c>
      <c r="P471" s="123">
        <f t="shared" si="5"/>
        <v>359.1666667</v>
      </c>
      <c r="Q471" s="123">
        <f t="shared" si="2"/>
        <v>1</v>
      </c>
      <c r="R471" s="123">
        <f t="shared" si="6"/>
        <v>0.5</v>
      </c>
      <c r="S471" s="123">
        <f t="shared" si="3"/>
        <v>1.25</v>
      </c>
      <c r="T471" s="123">
        <f t="shared" si="4"/>
        <v>2</v>
      </c>
      <c r="U471" s="41">
        <v>3.0</v>
      </c>
      <c r="V471" s="41">
        <v>1.0</v>
      </c>
      <c r="W471" s="41">
        <v>0.0</v>
      </c>
      <c r="X471" s="41">
        <v>1.0</v>
      </c>
      <c r="Y471" s="41">
        <v>17.0</v>
      </c>
      <c r="Z471" s="41">
        <v>11.0</v>
      </c>
    </row>
    <row r="472">
      <c r="A472" s="41" t="s">
        <v>901</v>
      </c>
      <c r="B472" s="41" t="s">
        <v>387</v>
      </c>
      <c r="C472" s="41" t="s">
        <v>1621</v>
      </c>
      <c r="D472" s="41" t="s">
        <v>1228</v>
      </c>
      <c r="E472" s="41">
        <v>50.0</v>
      </c>
      <c r="F472" s="41">
        <v>10.0</v>
      </c>
      <c r="G472" s="41">
        <v>40.0</v>
      </c>
      <c r="H472" s="125">
        <v>0.2</v>
      </c>
      <c r="I472" s="41">
        <v>4.0</v>
      </c>
      <c r="J472" s="41">
        <v>17916.0</v>
      </c>
      <c r="K472" s="41">
        <v>33.0</v>
      </c>
      <c r="L472" s="41">
        <v>15.0</v>
      </c>
      <c r="M472" s="41">
        <v>81.0</v>
      </c>
      <c r="N472" s="41">
        <v>114.0</v>
      </c>
      <c r="O472" s="122">
        <f t="shared" si="1"/>
        <v>0.2894736842</v>
      </c>
      <c r="P472" s="123">
        <f t="shared" si="5"/>
        <v>358.32</v>
      </c>
      <c r="Q472" s="123">
        <f t="shared" si="2"/>
        <v>0.66</v>
      </c>
      <c r="R472" s="123">
        <f t="shared" si="6"/>
        <v>0.3</v>
      </c>
      <c r="S472" s="123">
        <f t="shared" si="3"/>
        <v>1.62</v>
      </c>
      <c r="T472" s="123">
        <f t="shared" si="4"/>
        <v>2.28</v>
      </c>
      <c r="U472" s="41">
        <v>2.0</v>
      </c>
      <c r="V472" s="41">
        <v>1.0</v>
      </c>
      <c r="W472" s="41">
        <v>0.0</v>
      </c>
      <c r="X472" s="41">
        <v>11.0</v>
      </c>
      <c r="Y472" s="41">
        <v>46.0</v>
      </c>
      <c r="Z472" s="41">
        <v>48.0</v>
      </c>
    </row>
    <row r="473">
      <c r="A473" s="41" t="s">
        <v>901</v>
      </c>
      <c r="B473" s="41" t="s">
        <v>356</v>
      </c>
      <c r="C473" s="41" t="s">
        <v>1622</v>
      </c>
      <c r="D473" s="41" t="s">
        <v>1359</v>
      </c>
      <c r="E473" s="41">
        <v>29.0</v>
      </c>
      <c r="F473" s="41">
        <v>13.0</v>
      </c>
      <c r="G473" s="41">
        <v>16.0</v>
      </c>
      <c r="H473" s="125">
        <v>0.4482758620689655</v>
      </c>
      <c r="I473" s="41">
        <v>2.0</v>
      </c>
      <c r="J473" s="41">
        <v>9687.0</v>
      </c>
      <c r="K473" s="41">
        <v>23.0</v>
      </c>
      <c r="L473" s="41">
        <v>16.0</v>
      </c>
      <c r="M473" s="41">
        <v>37.0</v>
      </c>
      <c r="N473" s="41">
        <v>76.0</v>
      </c>
      <c r="O473" s="122">
        <f t="shared" si="1"/>
        <v>0.3026315789</v>
      </c>
      <c r="P473" s="123">
        <f t="shared" si="5"/>
        <v>334.0344828</v>
      </c>
      <c r="Q473" s="123">
        <f t="shared" si="2"/>
        <v>0.7931034483</v>
      </c>
      <c r="R473" s="123">
        <f t="shared" si="6"/>
        <v>0.5517241379</v>
      </c>
      <c r="S473" s="123">
        <f t="shared" si="3"/>
        <v>1.275862069</v>
      </c>
      <c r="T473" s="123">
        <f t="shared" si="4"/>
        <v>2.620689655</v>
      </c>
      <c r="U473" s="41">
        <v>5.0</v>
      </c>
      <c r="V473" s="41">
        <v>3.0</v>
      </c>
      <c r="W473" s="41">
        <v>1.0</v>
      </c>
      <c r="X473" s="41">
        <v>2.0</v>
      </c>
      <c r="Y473" s="41">
        <v>23.0</v>
      </c>
      <c r="Z473" s="41">
        <v>46.0</v>
      </c>
    </row>
    <row r="474">
      <c r="A474" s="41" t="s">
        <v>902</v>
      </c>
      <c r="B474" s="41" t="s">
        <v>735</v>
      </c>
      <c r="C474" s="41" t="s">
        <v>1623</v>
      </c>
      <c r="D474" s="41" t="s">
        <v>1091</v>
      </c>
      <c r="E474" s="41">
        <v>55.0</v>
      </c>
      <c r="F474" s="41">
        <v>37.0</v>
      </c>
      <c r="G474" s="41">
        <v>18.0</v>
      </c>
      <c r="H474" s="125">
        <v>0.6727272727272727</v>
      </c>
      <c r="I474" s="41">
        <v>18.0</v>
      </c>
      <c r="J474" s="41">
        <v>22550.0</v>
      </c>
      <c r="K474" s="41">
        <v>62.0</v>
      </c>
      <c r="L474" s="41">
        <v>29.0</v>
      </c>
      <c r="M474" s="41">
        <v>75.0</v>
      </c>
      <c r="N474" s="41">
        <v>183.0</v>
      </c>
      <c r="O474" s="122">
        <f t="shared" si="1"/>
        <v>0.3387978142</v>
      </c>
      <c r="P474" s="123">
        <f t="shared" si="5"/>
        <v>410</v>
      </c>
      <c r="Q474" s="123">
        <f t="shared" si="2"/>
        <v>1.127272727</v>
      </c>
      <c r="R474" s="123">
        <f t="shared" si="6"/>
        <v>0.5272727273</v>
      </c>
      <c r="S474" s="123">
        <f t="shared" si="3"/>
        <v>1.363636364</v>
      </c>
      <c r="T474" s="123">
        <f t="shared" si="4"/>
        <v>3.327272727</v>
      </c>
      <c r="U474" s="41">
        <v>13.0</v>
      </c>
      <c r="V474" s="41">
        <v>6.0</v>
      </c>
      <c r="W474" s="41">
        <v>0.0</v>
      </c>
      <c r="X474" s="41">
        <v>11.0</v>
      </c>
      <c r="Y474" s="41">
        <v>95.0</v>
      </c>
      <c r="Z474" s="41">
        <v>52.0</v>
      </c>
    </row>
    <row r="475">
      <c r="A475" s="41" t="s">
        <v>905</v>
      </c>
      <c r="B475" s="41" t="s">
        <v>199</v>
      </c>
      <c r="C475" s="41" t="s">
        <v>1624</v>
      </c>
      <c r="D475" s="41" t="s">
        <v>1141</v>
      </c>
      <c r="E475" s="41">
        <v>40.0</v>
      </c>
      <c r="F475" s="41">
        <v>23.0</v>
      </c>
      <c r="G475" s="41">
        <v>17.0</v>
      </c>
      <c r="H475" s="125">
        <v>0.575</v>
      </c>
      <c r="I475" s="41">
        <v>5.0</v>
      </c>
      <c r="J475" s="41">
        <v>11688.0</v>
      </c>
      <c r="K475" s="41">
        <v>27.0</v>
      </c>
      <c r="L475" s="41">
        <v>17.0</v>
      </c>
      <c r="M475" s="41">
        <v>37.0</v>
      </c>
      <c r="N475" s="41">
        <v>78.0</v>
      </c>
      <c r="O475" s="122">
        <f t="shared" si="1"/>
        <v>0.3461538462</v>
      </c>
      <c r="P475" s="123">
        <f t="shared" si="5"/>
        <v>292.2</v>
      </c>
      <c r="Q475" s="123">
        <f t="shared" si="2"/>
        <v>0.675</v>
      </c>
      <c r="R475" s="123">
        <f t="shared" si="6"/>
        <v>0.425</v>
      </c>
      <c r="S475" s="123">
        <f t="shared" si="3"/>
        <v>0.925</v>
      </c>
      <c r="T475" s="123">
        <f t="shared" si="4"/>
        <v>1.95</v>
      </c>
      <c r="U475" s="41">
        <v>3.0</v>
      </c>
      <c r="V475" s="41">
        <v>2.0</v>
      </c>
      <c r="W475" s="41">
        <v>0.0</v>
      </c>
      <c r="X475" s="41">
        <v>7.0</v>
      </c>
      <c r="Y475" s="41">
        <v>61.0</v>
      </c>
      <c r="Z475" s="41">
        <v>37.0</v>
      </c>
    </row>
    <row r="476">
      <c r="A476" s="41" t="s">
        <v>902</v>
      </c>
      <c r="B476" s="41" t="s">
        <v>846</v>
      </c>
      <c r="C476" s="41" t="s">
        <v>1625</v>
      </c>
      <c r="D476" s="41" t="s">
        <v>1626</v>
      </c>
      <c r="E476" s="41">
        <v>32.0</v>
      </c>
      <c r="F476" s="41">
        <v>7.0</v>
      </c>
      <c r="G476" s="41">
        <v>25.0</v>
      </c>
      <c r="H476" s="125">
        <v>0.21875</v>
      </c>
      <c r="I476" s="41">
        <v>1.0</v>
      </c>
      <c r="J476" s="41">
        <v>10246.0</v>
      </c>
      <c r="K476" s="41">
        <v>21.0</v>
      </c>
      <c r="L476" s="41">
        <v>10.0</v>
      </c>
      <c r="M476" s="41">
        <v>49.0</v>
      </c>
      <c r="N476" s="41">
        <v>75.0</v>
      </c>
      <c r="O476" s="122">
        <f t="shared" si="1"/>
        <v>0.28</v>
      </c>
      <c r="P476" s="123">
        <f t="shared" si="5"/>
        <v>320.1875</v>
      </c>
      <c r="Q476" s="123">
        <f t="shared" si="2"/>
        <v>0.65625</v>
      </c>
      <c r="R476" s="123">
        <f t="shared" si="6"/>
        <v>0.3125</v>
      </c>
      <c r="S476" s="123">
        <f t="shared" si="3"/>
        <v>1.53125</v>
      </c>
      <c r="T476" s="123">
        <f t="shared" si="4"/>
        <v>2.34375</v>
      </c>
      <c r="U476" s="41">
        <v>2.0</v>
      </c>
      <c r="V476" s="41">
        <v>0.0</v>
      </c>
      <c r="W476" s="41">
        <v>0.0</v>
      </c>
      <c r="X476" s="41">
        <v>5.0</v>
      </c>
      <c r="Y476" s="41">
        <v>51.0</v>
      </c>
      <c r="Z476" s="41">
        <v>51.0</v>
      </c>
    </row>
    <row r="477">
      <c r="A477" s="41" t="s">
        <v>904</v>
      </c>
      <c r="B477" s="41" t="s">
        <v>607</v>
      </c>
      <c r="C477" s="41" t="s">
        <v>1627</v>
      </c>
      <c r="D477" s="41" t="s">
        <v>951</v>
      </c>
      <c r="E477" s="41">
        <v>49.0</v>
      </c>
      <c r="F477" s="41">
        <v>19.0</v>
      </c>
      <c r="G477" s="41">
        <v>30.0</v>
      </c>
      <c r="H477" s="125">
        <v>0.3877551020408163</v>
      </c>
      <c r="I477" s="41">
        <v>6.0</v>
      </c>
      <c r="J477" s="41">
        <v>18178.0</v>
      </c>
      <c r="K477" s="41">
        <v>48.0</v>
      </c>
      <c r="L477" s="41">
        <v>26.0</v>
      </c>
      <c r="M477" s="41">
        <v>68.0</v>
      </c>
      <c r="N477" s="41">
        <v>133.0</v>
      </c>
      <c r="O477" s="122">
        <f t="shared" si="1"/>
        <v>0.3609022556</v>
      </c>
      <c r="P477" s="123">
        <f t="shared" si="5"/>
        <v>370.9795918</v>
      </c>
      <c r="Q477" s="123">
        <f t="shared" si="2"/>
        <v>0.9795918367</v>
      </c>
      <c r="R477" s="123">
        <f t="shared" si="6"/>
        <v>0.5306122449</v>
      </c>
      <c r="S477" s="123">
        <f t="shared" si="3"/>
        <v>1.387755102</v>
      </c>
      <c r="T477" s="123">
        <f t="shared" si="4"/>
        <v>2.714285714</v>
      </c>
      <c r="U477" s="41">
        <v>13.0</v>
      </c>
      <c r="V477" s="41">
        <v>5.0</v>
      </c>
      <c r="W477" s="41">
        <v>0.0</v>
      </c>
      <c r="X477" s="41">
        <v>7.0</v>
      </c>
      <c r="Y477" s="41">
        <v>26.0</v>
      </c>
      <c r="Z477" s="41">
        <v>48.0</v>
      </c>
    </row>
    <row r="478">
      <c r="A478" s="41" t="s">
        <v>905</v>
      </c>
      <c r="B478" s="41" t="s">
        <v>115</v>
      </c>
      <c r="C478" s="41" t="s">
        <v>1628</v>
      </c>
      <c r="D478" s="41" t="s">
        <v>1434</v>
      </c>
      <c r="E478" s="41">
        <v>23.0</v>
      </c>
      <c r="F478" s="41">
        <v>13.0</v>
      </c>
      <c r="G478" s="41">
        <v>10.0</v>
      </c>
      <c r="H478" s="125">
        <v>0.5652173913043478</v>
      </c>
      <c r="I478" s="41">
        <v>6.0</v>
      </c>
      <c r="J478" s="41">
        <v>8438.0</v>
      </c>
      <c r="K478" s="41">
        <v>23.0</v>
      </c>
      <c r="L478" s="41">
        <v>21.0</v>
      </c>
      <c r="M478" s="41">
        <v>21.0</v>
      </c>
      <c r="N478" s="41">
        <v>64.0</v>
      </c>
      <c r="O478" s="122">
        <f t="shared" si="1"/>
        <v>0.359375</v>
      </c>
      <c r="P478" s="123">
        <f t="shared" si="5"/>
        <v>366.8695652</v>
      </c>
      <c r="Q478" s="123">
        <f t="shared" si="2"/>
        <v>1</v>
      </c>
      <c r="R478" s="123">
        <f t="shared" si="6"/>
        <v>0.9130434783</v>
      </c>
      <c r="S478" s="123">
        <f t="shared" si="3"/>
        <v>0.9130434783</v>
      </c>
      <c r="T478" s="123">
        <f t="shared" si="4"/>
        <v>2.782608696</v>
      </c>
      <c r="U478" s="41">
        <v>7.0</v>
      </c>
      <c r="V478" s="41">
        <v>2.0</v>
      </c>
      <c r="W478" s="41">
        <v>1.0</v>
      </c>
      <c r="X478" s="41">
        <v>2.0</v>
      </c>
      <c r="Y478" s="41">
        <v>32.0</v>
      </c>
      <c r="Z478" s="41">
        <v>18.0</v>
      </c>
    </row>
    <row r="479">
      <c r="A479" s="41" t="s">
        <v>909</v>
      </c>
      <c r="B479" s="41" t="s">
        <v>86</v>
      </c>
      <c r="C479" s="41" t="s">
        <v>1629</v>
      </c>
      <c r="D479" s="41" t="s">
        <v>1630</v>
      </c>
      <c r="E479" s="41">
        <v>11.0</v>
      </c>
      <c r="F479" s="41">
        <v>5.0</v>
      </c>
      <c r="G479" s="41">
        <v>6.0</v>
      </c>
      <c r="H479" s="125">
        <v>0.45454545454545453</v>
      </c>
      <c r="I479" s="41">
        <v>2.0</v>
      </c>
      <c r="J479" s="41">
        <v>3510.0</v>
      </c>
      <c r="K479" s="41">
        <v>11.0</v>
      </c>
      <c r="L479" s="41">
        <v>4.0</v>
      </c>
      <c r="M479" s="41">
        <v>11.0</v>
      </c>
      <c r="N479" s="41">
        <v>22.0</v>
      </c>
      <c r="O479" s="122">
        <f t="shared" si="1"/>
        <v>0.5</v>
      </c>
      <c r="P479" s="123">
        <f t="shared" si="5"/>
        <v>319.0909091</v>
      </c>
      <c r="Q479" s="123">
        <f t="shared" si="2"/>
        <v>1</v>
      </c>
      <c r="R479" s="123">
        <f t="shared" si="6"/>
        <v>0.3636363636</v>
      </c>
      <c r="S479" s="123">
        <f t="shared" si="3"/>
        <v>1</v>
      </c>
      <c r="T479" s="123">
        <f t="shared" si="4"/>
        <v>2</v>
      </c>
      <c r="U479" s="41">
        <v>0.0</v>
      </c>
      <c r="V479" s="41">
        <v>0.0</v>
      </c>
      <c r="W479" s="41">
        <v>0.0</v>
      </c>
      <c r="X479" s="41">
        <v>0.0</v>
      </c>
      <c r="Y479" s="41">
        <v>14.0</v>
      </c>
      <c r="Z479" s="41">
        <v>9.0</v>
      </c>
    </row>
    <row r="480">
      <c r="A480" s="41" t="s">
        <v>905</v>
      </c>
      <c r="B480" s="41" t="s">
        <v>249</v>
      </c>
      <c r="C480" s="41" t="s">
        <v>1631</v>
      </c>
      <c r="D480" s="41" t="s">
        <v>1632</v>
      </c>
      <c r="E480" s="41">
        <v>40.0</v>
      </c>
      <c r="F480" s="41">
        <v>12.0</v>
      </c>
      <c r="G480" s="41">
        <v>28.0</v>
      </c>
      <c r="H480" s="125">
        <v>0.3</v>
      </c>
      <c r="I480" s="41">
        <v>3.0</v>
      </c>
      <c r="J480" s="41">
        <v>11074.0</v>
      </c>
      <c r="K480" s="41">
        <v>17.0</v>
      </c>
      <c r="L480" s="41">
        <v>13.0</v>
      </c>
      <c r="M480" s="41">
        <v>62.0</v>
      </c>
      <c r="N480" s="41">
        <v>66.0</v>
      </c>
      <c r="O480" s="122">
        <f t="shared" si="1"/>
        <v>0.2575757576</v>
      </c>
      <c r="P480" s="123">
        <f t="shared" si="5"/>
        <v>276.85</v>
      </c>
      <c r="Q480" s="123">
        <f t="shared" si="2"/>
        <v>0.425</v>
      </c>
      <c r="R480" s="123">
        <f t="shared" si="6"/>
        <v>0.325</v>
      </c>
      <c r="S480" s="123">
        <f t="shared" si="3"/>
        <v>1.55</v>
      </c>
      <c r="T480" s="123">
        <f t="shared" si="4"/>
        <v>1.65</v>
      </c>
      <c r="U480" s="41">
        <v>2.0</v>
      </c>
      <c r="V480" s="41">
        <v>0.0</v>
      </c>
      <c r="W480" s="41">
        <v>1.0</v>
      </c>
      <c r="X480" s="41">
        <v>7.0</v>
      </c>
      <c r="Y480" s="41">
        <v>20.0</v>
      </c>
      <c r="Z480" s="41">
        <v>42.0</v>
      </c>
    </row>
    <row r="481">
      <c r="A481" s="41" t="s">
        <v>899</v>
      </c>
      <c r="B481" s="41" t="s">
        <v>454</v>
      </c>
      <c r="C481" s="41" t="s">
        <v>1633</v>
      </c>
      <c r="D481" s="41" t="s">
        <v>1260</v>
      </c>
      <c r="E481" s="41">
        <v>48.0</v>
      </c>
      <c r="F481" s="41">
        <v>24.0</v>
      </c>
      <c r="G481" s="41">
        <v>24.0</v>
      </c>
      <c r="H481" s="125">
        <v>0.5</v>
      </c>
      <c r="I481" s="41">
        <v>4.0</v>
      </c>
      <c r="J481" s="41">
        <v>15492.0</v>
      </c>
      <c r="K481" s="41">
        <v>28.0</v>
      </c>
      <c r="L481" s="41">
        <v>28.0</v>
      </c>
      <c r="M481" s="41">
        <v>65.0</v>
      </c>
      <c r="N481" s="41">
        <v>99.0</v>
      </c>
      <c r="O481" s="122">
        <f t="shared" si="1"/>
        <v>0.2828282828</v>
      </c>
      <c r="P481" s="123">
        <f t="shared" si="5"/>
        <v>322.75</v>
      </c>
      <c r="Q481" s="123">
        <f t="shared" si="2"/>
        <v>0.5833333333</v>
      </c>
      <c r="R481" s="123">
        <f t="shared" si="6"/>
        <v>0.5833333333</v>
      </c>
      <c r="S481" s="123">
        <f t="shared" si="3"/>
        <v>1.354166667</v>
      </c>
      <c r="T481" s="123">
        <f t="shared" si="4"/>
        <v>2.0625</v>
      </c>
      <c r="U481" s="41">
        <v>6.0</v>
      </c>
      <c r="V481" s="41">
        <v>1.0</v>
      </c>
      <c r="W481" s="41">
        <v>2.0</v>
      </c>
      <c r="X481" s="41">
        <v>13.0</v>
      </c>
      <c r="Y481" s="41">
        <v>73.0</v>
      </c>
      <c r="Z481" s="41">
        <v>64.0</v>
      </c>
    </row>
    <row r="482">
      <c r="A482" s="41" t="s">
        <v>902</v>
      </c>
      <c r="B482" s="41" t="s">
        <v>813</v>
      </c>
      <c r="C482" s="41" t="s">
        <v>1634</v>
      </c>
      <c r="D482" s="41" t="s">
        <v>1130</v>
      </c>
      <c r="E482" s="41">
        <v>50.0</v>
      </c>
      <c r="F482" s="41">
        <v>24.0</v>
      </c>
      <c r="G482" s="41">
        <v>26.0</v>
      </c>
      <c r="H482" s="125">
        <v>0.48</v>
      </c>
      <c r="I482" s="41">
        <v>6.0</v>
      </c>
      <c r="J482" s="41">
        <v>17425.0</v>
      </c>
      <c r="K482" s="41">
        <v>29.0</v>
      </c>
      <c r="L482" s="41">
        <v>34.0</v>
      </c>
      <c r="M482" s="41">
        <v>81.0</v>
      </c>
      <c r="N482" s="41">
        <v>117.0</v>
      </c>
      <c r="O482" s="122">
        <f t="shared" si="1"/>
        <v>0.2478632479</v>
      </c>
      <c r="P482" s="123">
        <f t="shared" si="5"/>
        <v>348.5</v>
      </c>
      <c r="Q482" s="123">
        <f t="shared" si="2"/>
        <v>0.58</v>
      </c>
      <c r="R482" s="123">
        <f t="shared" si="6"/>
        <v>0.68</v>
      </c>
      <c r="S482" s="123">
        <f t="shared" si="3"/>
        <v>1.62</v>
      </c>
      <c r="T482" s="123">
        <f t="shared" si="4"/>
        <v>2.34</v>
      </c>
      <c r="U482" s="41">
        <v>7.0</v>
      </c>
      <c r="V482" s="41">
        <v>2.0</v>
      </c>
      <c r="W482" s="41">
        <v>0.0</v>
      </c>
      <c r="X482" s="41">
        <v>14.0</v>
      </c>
      <c r="Y482" s="41">
        <v>67.0</v>
      </c>
      <c r="Z482" s="41">
        <v>41.0</v>
      </c>
    </row>
    <row r="483">
      <c r="A483" s="41" t="s">
        <v>897</v>
      </c>
      <c r="B483" s="41" t="s">
        <v>483</v>
      </c>
      <c r="C483" s="41" t="s">
        <v>1635</v>
      </c>
      <c r="D483" s="41" t="s">
        <v>1264</v>
      </c>
      <c r="E483" s="41">
        <v>16.0</v>
      </c>
      <c r="F483" s="41">
        <v>11.0</v>
      </c>
      <c r="G483" s="41">
        <v>5.0</v>
      </c>
      <c r="H483" s="125">
        <v>0.6875</v>
      </c>
      <c r="I483" s="41">
        <v>4.0</v>
      </c>
      <c r="J483" s="41">
        <v>6433.0</v>
      </c>
      <c r="K483" s="41">
        <v>17.0</v>
      </c>
      <c r="L483" s="41">
        <v>13.0</v>
      </c>
      <c r="M483" s="41">
        <v>22.0</v>
      </c>
      <c r="N483" s="41">
        <v>44.0</v>
      </c>
      <c r="O483" s="122">
        <f t="shared" si="1"/>
        <v>0.3863636364</v>
      </c>
      <c r="P483" s="123">
        <f t="shared" si="5"/>
        <v>402.0625</v>
      </c>
      <c r="Q483" s="123">
        <f t="shared" si="2"/>
        <v>1.0625</v>
      </c>
      <c r="R483" s="123">
        <f t="shared" si="6"/>
        <v>0.8125</v>
      </c>
      <c r="S483" s="123">
        <f t="shared" si="3"/>
        <v>1.375</v>
      </c>
      <c r="T483" s="123">
        <f t="shared" si="4"/>
        <v>2.75</v>
      </c>
      <c r="U483" s="41">
        <v>6.0</v>
      </c>
      <c r="V483" s="41">
        <v>2.0</v>
      </c>
      <c r="W483" s="41">
        <v>0.0</v>
      </c>
      <c r="X483" s="41">
        <v>2.0</v>
      </c>
      <c r="Y483" s="41">
        <v>23.0</v>
      </c>
      <c r="Z483" s="41">
        <v>24.0</v>
      </c>
    </row>
    <row r="484">
      <c r="A484" s="41" t="s">
        <v>905</v>
      </c>
      <c r="B484" s="41" t="s">
        <v>246</v>
      </c>
      <c r="C484" s="41" t="s">
        <v>1636</v>
      </c>
      <c r="D484" s="41" t="s">
        <v>1031</v>
      </c>
      <c r="E484" s="41">
        <v>8.0</v>
      </c>
      <c r="F484" s="41">
        <v>5.0</v>
      </c>
      <c r="G484" s="41">
        <v>3.0</v>
      </c>
      <c r="H484" s="125">
        <v>0.625</v>
      </c>
      <c r="I484" s="41">
        <v>2.0</v>
      </c>
      <c r="J484" s="41">
        <v>2165.0</v>
      </c>
      <c r="K484" s="41">
        <v>5.0</v>
      </c>
      <c r="L484" s="41">
        <v>1.0</v>
      </c>
      <c r="M484" s="41">
        <v>7.0</v>
      </c>
      <c r="N484" s="41">
        <v>19.0</v>
      </c>
      <c r="O484" s="122">
        <f t="shared" si="1"/>
        <v>0.2631578947</v>
      </c>
      <c r="P484" s="123">
        <f t="shared" si="5"/>
        <v>270.625</v>
      </c>
      <c r="Q484" s="123">
        <f t="shared" si="2"/>
        <v>0.625</v>
      </c>
      <c r="R484" s="123">
        <f t="shared" si="6"/>
        <v>0.125</v>
      </c>
      <c r="S484" s="123">
        <f t="shared" si="3"/>
        <v>0.875</v>
      </c>
      <c r="T484" s="123">
        <f t="shared" si="4"/>
        <v>2.375</v>
      </c>
      <c r="U484" s="41">
        <v>1.0</v>
      </c>
      <c r="V484" s="41">
        <v>0.0</v>
      </c>
      <c r="W484" s="41">
        <v>0.0</v>
      </c>
      <c r="X484" s="41">
        <v>1.0</v>
      </c>
      <c r="Y484" s="41">
        <v>1.0</v>
      </c>
      <c r="Z484" s="41">
        <v>8.0</v>
      </c>
    </row>
    <row r="485">
      <c r="A485" s="41" t="s">
        <v>905</v>
      </c>
      <c r="B485" s="41" t="s">
        <v>242</v>
      </c>
      <c r="C485" s="41" t="s">
        <v>1637</v>
      </c>
      <c r="D485" s="41" t="s">
        <v>1230</v>
      </c>
      <c r="E485" s="41">
        <v>46.0</v>
      </c>
      <c r="F485" s="41">
        <v>17.0</v>
      </c>
      <c r="G485" s="41">
        <v>29.0</v>
      </c>
      <c r="H485" s="125">
        <v>0.3695652173913043</v>
      </c>
      <c r="I485" s="41">
        <v>3.0</v>
      </c>
      <c r="J485" s="41">
        <v>12195.0</v>
      </c>
      <c r="K485" s="41">
        <v>22.0</v>
      </c>
      <c r="L485" s="41">
        <v>20.0</v>
      </c>
      <c r="M485" s="41">
        <v>44.0</v>
      </c>
      <c r="N485" s="41">
        <v>82.0</v>
      </c>
      <c r="O485" s="122">
        <f t="shared" si="1"/>
        <v>0.2682926829</v>
      </c>
      <c r="P485" s="123">
        <f t="shared" si="5"/>
        <v>265.1086957</v>
      </c>
      <c r="Q485" s="123">
        <f t="shared" si="2"/>
        <v>0.4782608696</v>
      </c>
      <c r="R485" s="123">
        <f t="shared" si="6"/>
        <v>0.4347826087</v>
      </c>
      <c r="S485" s="123">
        <f t="shared" si="3"/>
        <v>0.9565217391</v>
      </c>
      <c r="T485" s="123">
        <f t="shared" si="4"/>
        <v>1.782608696</v>
      </c>
      <c r="U485" s="41">
        <v>2.0</v>
      </c>
      <c r="V485" s="41">
        <v>0.0</v>
      </c>
      <c r="W485" s="41">
        <v>0.0</v>
      </c>
      <c r="X485" s="41">
        <v>2.0</v>
      </c>
      <c r="Y485" s="41">
        <v>40.0</v>
      </c>
      <c r="Z485" s="41">
        <v>54.0</v>
      </c>
    </row>
    <row r="486">
      <c r="A486" s="41" t="s">
        <v>902</v>
      </c>
      <c r="B486" s="41" t="s">
        <v>839</v>
      </c>
      <c r="C486" s="41" t="s">
        <v>1638</v>
      </c>
      <c r="D486" s="41" t="s">
        <v>937</v>
      </c>
      <c r="E486" s="41">
        <v>51.0</v>
      </c>
      <c r="F486" s="41">
        <v>15.0</v>
      </c>
      <c r="G486" s="41">
        <v>36.0</v>
      </c>
      <c r="H486" s="125">
        <v>0.29411764705882354</v>
      </c>
      <c r="I486" s="41">
        <v>3.0</v>
      </c>
      <c r="J486" s="41">
        <v>17879.0</v>
      </c>
      <c r="K486" s="41">
        <v>32.0</v>
      </c>
      <c r="L486" s="41">
        <v>21.0</v>
      </c>
      <c r="M486" s="41">
        <v>85.0</v>
      </c>
      <c r="N486" s="41">
        <v>114.0</v>
      </c>
      <c r="O486" s="122">
        <f t="shared" si="1"/>
        <v>0.2807017544</v>
      </c>
      <c r="P486" s="123">
        <f t="shared" si="5"/>
        <v>350.5686275</v>
      </c>
      <c r="Q486" s="123">
        <f t="shared" si="2"/>
        <v>0.6274509804</v>
      </c>
      <c r="R486" s="123">
        <f t="shared" si="6"/>
        <v>0.4117647059</v>
      </c>
      <c r="S486" s="123">
        <f t="shared" si="3"/>
        <v>1.666666667</v>
      </c>
      <c r="T486" s="123">
        <f t="shared" si="4"/>
        <v>2.235294118</v>
      </c>
      <c r="U486" s="41">
        <v>6.0</v>
      </c>
      <c r="V486" s="41">
        <v>1.0</v>
      </c>
      <c r="W486" s="41">
        <v>0.0</v>
      </c>
      <c r="X486" s="41">
        <v>11.0</v>
      </c>
      <c r="Y486" s="41">
        <v>24.0</v>
      </c>
      <c r="Z486" s="41">
        <v>65.0</v>
      </c>
    </row>
    <row r="487">
      <c r="A487" s="41" t="s">
        <v>901</v>
      </c>
      <c r="B487" s="41" t="s">
        <v>384</v>
      </c>
      <c r="C487" s="41" t="s">
        <v>1639</v>
      </c>
      <c r="D487" s="41" t="s">
        <v>1640</v>
      </c>
      <c r="E487" s="41">
        <v>51.0</v>
      </c>
      <c r="F487" s="41">
        <v>26.0</v>
      </c>
      <c r="G487" s="41">
        <v>25.0</v>
      </c>
      <c r="H487" s="125">
        <v>0.5098039215686274</v>
      </c>
      <c r="I487" s="41">
        <v>7.0</v>
      </c>
      <c r="J487" s="41">
        <v>16484.0</v>
      </c>
      <c r="K487" s="41">
        <v>28.0</v>
      </c>
      <c r="L487" s="41">
        <v>34.0</v>
      </c>
      <c r="M487" s="41">
        <v>68.0</v>
      </c>
      <c r="N487" s="41">
        <v>116.0</v>
      </c>
      <c r="O487" s="122">
        <f t="shared" si="1"/>
        <v>0.2413793103</v>
      </c>
      <c r="P487" s="123">
        <f t="shared" si="5"/>
        <v>323.2156863</v>
      </c>
      <c r="Q487" s="123">
        <f t="shared" si="2"/>
        <v>0.5490196078</v>
      </c>
      <c r="R487" s="123">
        <f t="shared" si="6"/>
        <v>0.6666666667</v>
      </c>
      <c r="S487" s="123">
        <f t="shared" si="3"/>
        <v>1.333333333</v>
      </c>
      <c r="T487" s="123">
        <f t="shared" si="4"/>
        <v>2.274509804</v>
      </c>
      <c r="U487" s="41">
        <v>9.0</v>
      </c>
      <c r="V487" s="41">
        <v>1.0</v>
      </c>
      <c r="W487" s="41">
        <v>1.0</v>
      </c>
      <c r="X487" s="41">
        <v>7.0</v>
      </c>
      <c r="Y487" s="41">
        <v>86.0</v>
      </c>
      <c r="Z487" s="41">
        <v>62.0</v>
      </c>
    </row>
    <row r="488">
      <c r="A488" s="41" t="s">
        <v>905</v>
      </c>
      <c r="B488" s="41" t="s">
        <v>122</v>
      </c>
      <c r="C488" s="41" t="s">
        <v>1641</v>
      </c>
      <c r="D488" s="41" t="s">
        <v>1642</v>
      </c>
      <c r="E488" s="41">
        <v>51.0</v>
      </c>
      <c r="F488" s="41">
        <v>28.0</v>
      </c>
      <c r="G488" s="41">
        <v>23.0</v>
      </c>
      <c r="H488" s="125">
        <v>0.5490196078431373</v>
      </c>
      <c r="I488" s="41">
        <v>12.0</v>
      </c>
      <c r="J488" s="41">
        <v>21159.0</v>
      </c>
      <c r="K488" s="41">
        <v>58.0</v>
      </c>
      <c r="L488" s="41">
        <v>28.0</v>
      </c>
      <c r="M488" s="41">
        <v>76.0</v>
      </c>
      <c r="N488" s="41">
        <v>146.0</v>
      </c>
      <c r="O488" s="122">
        <f t="shared" si="1"/>
        <v>0.397260274</v>
      </c>
      <c r="P488" s="123">
        <f t="shared" si="5"/>
        <v>414.8823529</v>
      </c>
      <c r="Q488" s="123">
        <f t="shared" si="2"/>
        <v>1.137254902</v>
      </c>
      <c r="R488" s="123">
        <f t="shared" si="6"/>
        <v>0.5490196078</v>
      </c>
      <c r="S488" s="123">
        <f t="shared" si="3"/>
        <v>1.490196078</v>
      </c>
      <c r="T488" s="123">
        <f t="shared" si="4"/>
        <v>2.862745098</v>
      </c>
      <c r="U488" s="41">
        <v>10.0</v>
      </c>
      <c r="V488" s="41">
        <v>3.0</v>
      </c>
      <c r="W488" s="41">
        <v>0.0</v>
      </c>
      <c r="X488" s="41">
        <v>12.0</v>
      </c>
      <c r="Y488" s="41">
        <v>34.0</v>
      </c>
      <c r="Z488" s="41">
        <v>58.0</v>
      </c>
    </row>
    <row r="489">
      <c r="A489" s="41" t="s">
        <v>904</v>
      </c>
      <c r="B489" s="41" t="s">
        <v>715</v>
      </c>
      <c r="C489" s="41" t="s">
        <v>1643</v>
      </c>
      <c r="D489" s="41" t="s">
        <v>1095</v>
      </c>
      <c r="E489" s="41">
        <v>44.0</v>
      </c>
      <c r="F489" s="41">
        <v>21.0</v>
      </c>
      <c r="G489" s="41">
        <v>23.0</v>
      </c>
      <c r="H489" s="125">
        <v>0.4772727272727273</v>
      </c>
      <c r="I489" s="41">
        <v>5.0</v>
      </c>
      <c r="J489" s="41">
        <v>13824.0</v>
      </c>
      <c r="K489" s="41">
        <v>26.0</v>
      </c>
      <c r="L489" s="41">
        <v>13.0</v>
      </c>
      <c r="M489" s="41">
        <v>66.0</v>
      </c>
      <c r="N489" s="41">
        <v>82.0</v>
      </c>
      <c r="O489" s="122">
        <f t="shared" si="1"/>
        <v>0.3170731707</v>
      </c>
      <c r="P489" s="123">
        <f t="shared" si="5"/>
        <v>314.1818182</v>
      </c>
      <c r="Q489" s="123">
        <f t="shared" si="2"/>
        <v>0.5909090909</v>
      </c>
      <c r="R489" s="123">
        <f t="shared" si="6"/>
        <v>0.2954545455</v>
      </c>
      <c r="S489" s="123">
        <f t="shared" si="3"/>
        <v>1.5</v>
      </c>
      <c r="T489" s="123">
        <f t="shared" si="4"/>
        <v>1.863636364</v>
      </c>
      <c r="U489" s="41">
        <v>4.0</v>
      </c>
      <c r="V489" s="41">
        <v>0.0</v>
      </c>
      <c r="W489" s="41">
        <v>0.0</v>
      </c>
      <c r="X489" s="41">
        <v>8.0</v>
      </c>
      <c r="Y489" s="41">
        <v>21.0</v>
      </c>
      <c r="Z489" s="41">
        <v>52.0</v>
      </c>
    </row>
    <row r="490">
      <c r="A490" s="41" t="s">
        <v>902</v>
      </c>
      <c r="B490" s="41" t="s">
        <v>795</v>
      </c>
      <c r="C490" s="41" t="s">
        <v>1644</v>
      </c>
      <c r="D490" s="41" t="s">
        <v>1204</v>
      </c>
      <c r="E490" s="41">
        <v>48.0</v>
      </c>
      <c r="F490" s="41">
        <v>31.0</v>
      </c>
      <c r="G490" s="41">
        <v>17.0</v>
      </c>
      <c r="H490" s="125">
        <v>0.6458333333333334</v>
      </c>
      <c r="I490" s="41">
        <v>9.0</v>
      </c>
      <c r="J490" s="41">
        <v>16250.0</v>
      </c>
      <c r="K490" s="41">
        <v>33.0</v>
      </c>
      <c r="L490" s="41">
        <v>26.0</v>
      </c>
      <c r="M490" s="41">
        <v>65.0</v>
      </c>
      <c r="N490" s="41">
        <v>130.0</v>
      </c>
      <c r="O490" s="122">
        <f t="shared" si="1"/>
        <v>0.2538461538</v>
      </c>
      <c r="P490" s="123">
        <f t="shared" si="5"/>
        <v>338.5416667</v>
      </c>
      <c r="Q490" s="123">
        <f t="shared" si="2"/>
        <v>0.6875</v>
      </c>
      <c r="R490" s="123">
        <f t="shared" si="6"/>
        <v>0.5416666667</v>
      </c>
      <c r="S490" s="123">
        <f t="shared" si="3"/>
        <v>1.354166667</v>
      </c>
      <c r="T490" s="123">
        <f t="shared" si="4"/>
        <v>2.708333333</v>
      </c>
      <c r="U490" s="41">
        <v>12.0</v>
      </c>
      <c r="V490" s="41">
        <v>2.0</v>
      </c>
      <c r="W490" s="41">
        <v>0.0</v>
      </c>
      <c r="X490" s="41">
        <v>6.0</v>
      </c>
      <c r="Y490" s="41">
        <v>39.0</v>
      </c>
      <c r="Z490" s="41">
        <v>49.0</v>
      </c>
    </row>
    <row r="491">
      <c r="A491" s="41" t="s">
        <v>902</v>
      </c>
      <c r="B491" s="41" t="s">
        <v>836</v>
      </c>
      <c r="C491" s="41" t="s">
        <v>1645</v>
      </c>
      <c r="D491" s="41" t="s">
        <v>1646</v>
      </c>
      <c r="E491" s="41">
        <v>24.0</v>
      </c>
      <c r="F491" s="41">
        <v>10.0</v>
      </c>
      <c r="G491" s="41">
        <v>14.0</v>
      </c>
      <c r="H491" s="125">
        <v>0.4166666666666667</v>
      </c>
      <c r="I491" s="41">
        <v>5.0</v>
      </c>
      <c r="J491" s="41">
        <v>7981.0</v>
      </c>
      <c r="K491" s="41">
        <v>16.0</v>
      </c>
      <c r="L491" s="41">
        <v>11.0</v>
      </c>
      <c r="M491" s="41">
        <v>32.0</v>
      </c>
      <c r="N491" s="41">
        <v>47.0</v>
      </c>
      <c r="O491" s="122">
        <f t="shared" si="1"/>
        <v>0.3404255319</v>
      </c>
      <c r="P491" s="123">
        <f t="shared" si="5"/>
        <v>332.5416667</v>
      </c>
      <c r="Q491" s="123">
        <f t="shared" si="2"/>
        <v>0.6666666667</v>
      </c>
      <c r="R491" s="123">
        <f t="shared" si="6"/>
        <v>0.4583333333</v>
      </c>
      <c r="S491" s="123">
        <f t="shared" si="3"/>
        <v>1.333333333</v>
      </c>
      <c r="T491" s="123">
        <f t="shared" si="4"/>
        <v>1.958333333</v>
      </c>
      <c r="U491" s="41">
        <v>7.0</v>
      </c>
      <c r="V491" s="41">
        <v>0.0</v>
      </c>
      <c r="W491" s="41">
        <v>0.0</v>
      </c>
      <c r="X491" s="41">
        <v>3.0</v>
      </c>
      <c r="Y491" s="41">
        <v>28.0</v>
      </c>
      <c r="Z491" s="41">
        <v>33.0</v>
      </c>
    </row>
    <row r="492">
      <c r="A492" s="41" t="s">
        <v>909</v>
      </c>
      <c r="B492" s="41" t="s">
        <v>95</v>
      </c>
      <c r="C492" s="41" t="s">
        <v>1647</v>
      </c>
      <c r="D492" s="41" t="s">
        <v>1293</v>
      </c>
      <c r="E492" s="41">
        <v>51.0</v>
      </c>
      <c r="F492" s="41">
        <v>23.0</v>
      </c>
      <c r="G492" s="41">
        <v>28.0</v>
      </c>
      <c r="H492" s="125">
        <v>0.45098039215686275</v>
      </c>
      <c r="I492" s="41">
        <v>4.0</v>
      </c>
      <c r="J492" s="41">
        <v>13363.0</v>
      </c>
      <c r="K492" s="41">
        <v>25.0</v>
      </c>
      <c r="L492" s="41">
        <v>27.0</v>
      </c>
      <c r="M492" s="41">
        <v>45.0</v>
      </c>
      <c r="N492" s="41">
        <v>69.0</v>
      </c>
      <c r="O492" s="122">
        <f t="shared" si="1"/>
        <v>0.3623188406</v>
      </c>
      <c r="P492" s="123">
        <f t="shared" si="5"/>
        <v>262.0196078</v>
      </c>
      <c r="Q492" s="123">
        <f t="shared" si="2"/>
        <v>0.4901960784</v>
      </c>
      <c r="R492" s="123">
        <f t="shared" si="6"/>
        <v>0.5294117647</v>
      </c>
      <c r="S492" s="123">
        <f t="shared" si="3"/>
        <v>0.8823529412</v>
      </c>
      <c r="T492" s="123">
        <f t="shared" si="4"/>
        <v>1.352941176</v>
      </c>
      <c r="U492" s="41">
        <v>3.0</v>
      </c>
      <c r="V492" s="41">
        <v>1.0</v>
      </c>
      <c r="W492" s="41">
        <v>1.0</v>
      </c>
      <c r="X492" s="41">
        <v>1.0</v>
      </c>
      <c r="Y492" s="41">
        <v>26.0</v>
      </c>
      <c r="Z492" s="41">
        <v>35.0</v>
      </c>
    </row>
    <row r="493">
      <c r="A493" s="41" t="s">
        <v>904</v>
      </c>
      <c r="B493" s="41" t="s">
        <v>669</v>
      </c>
      <c r="C493" s="41" t="s">
        <v>1648</v>
      </c>
      <c r="D493" s="41" t="s">
        <v>927</v>
      </c>
      <c r="E493" s="41">
        <v>34.0</v>
      </c>
      <c r="F493" s="41">
        <v>19.0</v>
      </c>
      <c r="G493" s="41">
        <v>15.0</v>
      </c>
      <c r="H493" s="125">
        <v>0.5588235294117647</v>
      </c>
      <c r="I493" s="41">
        <v>4.0</v>
      </c>
      <c r="J493" s="41">
        <v>10902.0</v>
      </c>
      <c r="K493" s="41">
        <v>27.0</v>
      </c>
      <c r="L493" s="41">
        <v>16.0</v>
      </c>
      <c r="M493" s="41">
        <v>41.0</v>
      </c>
      <c r="N493" s="41">
        <v>73.0</v>
      </c>
      <c r="O493" s="122">
        <f t="shared" si="1"/>
        <v>0.3698630137</v>
      </c>
      <c r="P493" s="123">
        <f t="shared" si="5"/>
        <v>320.6470588</v>
      </c>
      <c r="Q493" s="123">
        <f t="shared" si="2"/>
        <v>0.7941176471</v>
      </c>
      <c r="R493" s="123">
        <f t="shared" si="6"/>
        <v>0.4705882353</v>
      </c>
      <c r="S493" s="123">
        <f t="shared" si="3"/>
        <v>1.205882353</v>
      </c>
      <c r="T493" s="123">
        <f t="shared" si="4"/>
        <v>2.147058824</v>
      </c>
      <c r="U493" s="41">
        <v>6.0</v>
      </c>
      <c r="V493" s="41">
        <v>1.0</v>
      </c>
      <c r="W493" s="41">
        <v>0.0</v>
      </c>
      <c r="X493" s="41">
        <v>5.0</v>
      </c>
      <c r="Y493" s="41">
        <v>32.0</v>
      </c>
      <c r="Z493" s="41">
        <v>34.0</v>
      </c>
    </row>
    <row r="494">
      <c r="A494" s="41" t="s">
        <v>904</v>
      </c>
      <c r="B494" s="41" t="s">
        <v>641</v>
      </c>
      <c r="C494" s="41" t="s">
        <v>1649</v>
      </c>
      <c r="D494" s="41" t="s">
        <v>1650</v>
      </c>
      <c r="E494" s="41">
        <v>52.0</v>
      </c>
      <c r="F494" s="41">
        <v>30.0</v>
      </c>
      <c r="G494" s="41">
        <v>22.0</v>
      </c>
      <c r="H494" s="125">
        <v>0.5769230769230769</v>
      </c>
      <c r="I494" s="41">
        <v>16.0</v>
      </c>
      <c r="J494" s="41">
        <v>18414.0</v>
      </c>
      <c r="K494" s="41">
        <v>41.0</v>
      </c>
      <c r="L494" s="41">
        <v>25.0</v>
      </c>
      <c r="M494" s="41">
        <v>68.0</v>
      </c>
      <c r="N494" s="41">
        <v>135.0</v>
      </c>
      <c r="O494" s="122">
        <f t="shared" si="1"/>
        <v>0.3037037037</v>
      </c>
      <c r="P494" s="123">
        <f t="shared" si="5"/>
        <v>354.1153846</v>
      </c>
      <c r="Q494" s="123">
        <f t="shared" si="2"/>
        <v>0.7884615385</v>
      </c>
      <c r="R494" s="123">
        <f t="shared" si="6"/>
        <v>0.4807692308</v>
      </c>
      <c r="S494" s="123">
        <f t="shared" si="3"/>
        <v>1.307692308</v>
      </c>
      <c r="T494" s="123">
        <f t="shared" si="4"/>
        <v>2.596153846</v>
      </c>
      <c r="U494" s="41">
        <v>10.0</v>
      </c>
      <c r="V494" s="41">
        <v>2.0</v>
      </c>
      <c r="W494" s="41">
        <v>1.0</v>
      </c>
      <c r="X494" s="41">
        <v>8.0</v>
      </c>
      <c r="Y494" s="41">
        <v>86.0</v>
      </c>
      <c r="Z494" s="41">
        <v>46.0</v>
      </c>
    </row>
    <row r="495">
      <c r="A495" s="41" t="s">
        <v>901</v>
      </c>
      <c r="B495" s="41" t="s">
        <v>257</v>
      </c>
      <c r="C495" s="41" t="s">
        <v>1651</v>
      </c>
      <c r="D495" s="41" t="s">
        <v>1549</v>
      </c>
      <c r="E495" s="41">
        <v>4.0</v>
      </c>
      <c r="F495" s="41">
        <v>4.0</v>
      </c>
      <c r="G495" s="41">
        <v>0.0</v>
      </c>
      <c r="H495" s="125">
        <v>1.0</v>
      </c>
      <c r="I495" s="41">
        <v>3.0</v>
      </c>
      <c r="J495" s="41">
        <v>2118.0</v>
      </c>
      <c r="K495" s="41">
        <v>7.0</v>
      </c>
      <c r="L495" s="41">
        <v>1.0</v>
      </c>
      <c r="M495" s="41">
        <v>10.0</v>
      </c>
      <c r="N495" s="41">
        <v>13.0</v>
      </c>
      <c r="O495" s="122">
        <f t="shared" si="1"/>
        <v>0.5384615385</v>
      </c>
      <c r="P495" s="123">
        <f t="shared" si="5"/>
        <v>529.5</v>
      </c>
      <c r="Q495" s="123">
        <f t="shared" si="2"/>
        <v>1.75</v>
      </c>
      <c r="R495" s="123">
        <f t="shared" si="6"/>
        <v>0.25</v>
      </c>
      <c r="S495" s="123">
        <f t="shared" si="3"/>
        <v>2.5</v>
      </c>
      <c r="T495" s="123">
        <f t="shared" si="4"/>
        <v>3.25</v>
      </c>
      <c r="U495" s="41">
        <v>1.0</v>
      </c>
      <c r="V495" s="41">
        <v>1.0</v>
      </c>
      <c r="W495" s="41">
        <v>0.0</v>
      </c>
      <c r="X495" s="41">
        <v>2.0</v>
      </c>
      <c r="Y495" s="41">
        <v>8.0</v>
      </c>
      <c r="Z495" s="41">
        <v>7.0</v>
      </c>
    </row>
    <row r="496">
      <c r="A496" s="41" t="s">
        <v>905</v>
      </c>
      <c r="B496" s="41" t="s">
        <v>154</v>
      </c>
      <c r="C496" s="41" t="s">
        <v>1652</v>
      </c>
      <c r="D496" s="41" t="s">
        <v>1642</v>
      </c>
      <c r="E496" s="41">
        <v>53.0</v>
      </c>
      <c r="F496" s="41">
        <v>30.0</v>
      </c>
      <c r="G496" s="41">
        <v>23.0</v>
      </c>
      <c r="H496" s="125">
        <v>0.5660377358490566</v>
      </c>
      <c r="I496" s="41">
        <v>11.0</v>
      </c>
      <c r="J496" s="41">
        <v>18853.0</v>
      </c>
      <c r="K496" s="41">
        <v>48.0</v>
      </c>
      <c r="L496" s="41">
        <v>31.0</v>
      </c>
      <c r="M496" s="41">
        <v>58.0</v>
      </c>
      <c r="N496" s="41">
        <v>140.0</v>
      </c>
      <c r="O496" s="122">
        <f t="shared" si="1"/>
        <v>0.3428571429</v>
      </c>
      <c r="P496" s="123">
        <f t="shared" si="5"/>
        <v>355.7169811</v>
      </c>
      <c r="Q496" s="123">
        <f t="shared" si="2"/>
        <v>0.9056603774</v>
      </c>
      <c r="R496" s="123">
        <f t="shared" si="6"/>
        <v>0.5849056604</v>
      </c>
      <c r="S496" s="123">
        <f t="shared" si="3"/>
        <v>1.094339623</v>
      </c>
      <c r="T496" s="123">
        <f t="shared" si="4"/>
        <v>2.641509434</v>
      </c>
      <c r="U496" s="41">
        <v>7.0</v>
      </c>
      <c r="V496" s="41">
        <v>3.0</v>
      </c>
      <c r="W496" s="41">
        <v>1.0</v>
      </c>
      <c r="X496" s="41">
        <v>7.0</v>
      </c>
      <c r="Y496" s="41">
        <v>57.0</v>
      </c>
      <c r="Z496" s="41">
        <v>66.0</v>
      </c>
    </row>
    <row r="497">
      <c r="A497" s="41" t="s">
        <v>901</v>
      </c>
      <c r="B497" s="41" t="s">
        <v>293</v>
      </c>
      <c r="C497" s="41" t="s">
        <v>1653</v>
      </c>
      <c r="D497" s="41" t="s">
        <v>1318</v>
      </c>
      <c r="E497" s="41">
        <v>56.0</v>
      </c>
      <c r="F497" s="41">
        <v>29.0</v>
      </c>
      <c r="G497" s="41">
        <v>27.0</v>
      </c>
      <c r="H497" s="125">
        <v>0.5178571428571429</v>
      </c>
      <c r="I497" s="41">
        <v>7.0</v>
      </c>
      <c r="J497" s="41">
        <v>22428.0</v>
      </c>
      <c r="K497" s="41">
        <v>56.0</v>
      </c>
      <c r="L497" s="41">
        <v>41.0</v>
      </c>
      <c r="M497" s="41">
        <v>88.0</v>
      </c>
      <c r="N497" s="41">
        <v>175.0</v>
      </c>
      <c r="O497" s="122">
        <f t="shared" si="1"/>
        <v>0.32</v>
      </c>
      <c r="P497" s="123">
        <f t="shared" si="5"/>
        <v>400.5</v>
      </c>
      <c r="Q497" s="123">
        <f t="shared" si="2"/>
        <v>1</v>
      </c>
      <c r="R497" s="123">
        <f t="shared" si="6"/>
        <v>0.7321428571</v>
      </c>
      <c r="S497" s="123">
        <f t="shared" si="3"/>
        <v>1.571428571</v>
      </c>
      <c r="T497" s="123">
        <f t="shared" si="4"/>
        <v>3.125</v>
      </c>
      <c r="U497" s="41">
        <v>14.0</v>
      </c>
      <c r="V497" s="41">
        <v>6.0</v>
      </c>
      <c r="W497" s="41">
        <v>2.0</v>
      </c>
      <c r="X497" s="41">
        <v>11.0</v>
      </c>
      <c r="Y497" s="41">
        <v>64.0</v>
      </c>
      <c r="Z497" s="41">
        <v>58.0</v>
      </c>
    </row>
    <row r="498">
      <c r="A498" s="41" t="s">
        <v>909</v>
      </c>
      <c r="B498" s="41" t="s">
        <v>80</v>
      </c>
      <c r="C498" s="41" t="s">
        <v>1654</v>
      </c>
      <c r="D498" s="41" t="s">
        <v>985</v>
      </c>
      <c r="E498" s="41">
        <v>48.0</v>
      </c>
      <c r="F498" s="41">
        <v>24.0</v>
      </c>
      <c r="G498" s="41">
        <v>24.0</v>
      </c>
      <c r="H498" s="125">
        <v>0.5</v>
      </c>
      <c r="I498" s="41">
        <v>4.0</v>
      </c>
      <c r="J498" s="41">
        <v>15443.0</v>
      </c>
      <c r="K498" s="41">
        <v>35.0</v>
      </c>
      <c r="L498" s="41">
        <v>24.0</v>
      </c>
      <c r="M498" s="41">
        <v>49.0</v>
      </c>
      <c r="N498" s="41">
        <v>118.0</v>
      </c>
      <c r="O498" s="122">
        <f t="shared" si="1"/>
        <v>0.2966101695</v>
      </c>
      <c r="P498" s="123">
        <f t="shared" si="5"/>
        <v>321.7291667</v>
      </c>
      <c r="Q498" s="123">
        <f t="shared" si="2"/>
        <v>0.7291666667</v>
      </c>
      <c r="R498" s="123">
        <f t="shared" si="6"/>
        <v>0.5</v>
      </c>
      <c r="S498" s="123">
        <f t="shared" si="3"/>
        <v>1.020833333</v>
      </c>
      <c r="T498" s="123">
        <f t="shared" si="4"/>
        <v>2.458333333</v>
      </c>
      <c r="U498" s="41">
        <v>7.0</v>
      </c>
      <c r="V498" s="41">
        <v>2.0</v>
      </c>
      <c r="W498" s="41">
        <v>2.0</v>
      </c>
      <c r="X498" s="41">
        <v>7.0</v>
      </c>
      <c r="Y498" s="41">
        <v>43.0</v>
      </c>
      <c r="Z498" s="41">
        <v>33.0</v>
      </c>
    </row>
    <row r="499">
      <c r="A499" s="41" t="s">
        <v>905</v>
      </c>
      <c r="B499" s="41" t="s">
        <v>255</v>
      </c>
      <c r="C499" s="41" t="s">
        <v>1655</v>
      </c>
      <c r="D499" s="41" t="s">
        <v>1656</v>
      </c>
      <c r="E499" s="41">
        <v>18.0</v>
      </c>
      <c r="F499" s="41">
        <v>5.0</v>
      </c>
      <c r="G499" s="41">
        <v>13.0</v>
      </c>
      <c r="H499" s="125">
        <v>0.2777777777777778</v>
      </c>
      <c r="I499" s="41">
        <v>0.0</v>
      </c>
      <c r="J499" s="41">
        <v>3945.0</v>
      </c>
      <c r="K499" s="41">
        <v>5.0</v>
      </c>
      <c r="L499" s="41">
        <v>4.0</v>
      </c>
      <c r="M499" s="41">
        <v>16.0</v>
      </c>
      <c r="N499" s="41">
        <v>26.0</v>
      </c>
      <c r="O499" s="122">
        <f t="shared" si="1"/>
        <v>0.1923076923</v>
      </c>
      <c r="P499" s="123">
        <f t="shared" si="5"/>
        <v>219.1666667</v>
      </c>
      <c r="Q499" s="123">
        <f t="shared" si="2"/>
        <v>0.2777777778</v>
      </c>
      <c r="R499" s="123">
        <f t="shared" si="6"/>
        <v>0.2222222222</v>
      </c>
      <c r="S499" s="123">
        <f t="shared" si="3"/>
        <v>0.8888888889</v>
      </c>
      <c r="T499" s="123">
        <f t="shared" si="4"/>
        <v>1.444444444</v>
      </c>
      <c r="U499" s="41">
        <v>0.0</v>
      </c>
      <c r="V499" s="41">
        <v>0.0</v>
      </c>
      <c r="W499" s="41">
        <v>0.0</v>
      </c>
      <c r="X499" s="41">
        <v>1.0</v>
      </c>
      <c r="Y499" s="41">
        <v>23.0</v>
      </c>
      <c r="Z499" s="41">
        <v>15.0</v>
      </c>
    </row>
    <row r="500">
      <c r="A500" s="41" t="s">
        <v>901</v>
      </c>
      <c r="B500" s="41" t="s">
        <v>280</v>
      </c>
      <c r="C500" s="41" t="s">
        <v>1657</v>
      </c>
      <c r="D500" s="41" t="s">
        <v>1078</v>
      </c>
      <c r="E500" s="41">
        <v>48.0</v>
      </c>
      <c r="F500" s="41">
        <v>22.0</v>
      </c>
      <c r="G500" s="41">
        <v>26.0</v>
      </c>
      <c r="H500" s="125">
        <v>0.4583333333333333</v>
      </c>
      <c r="I500" s="41">
        <v>9.0</v>
      </c>
      <c r="J500" s="41">
        <v>20562.0</v>
      </c>
      <c r="K500" s="41">
        <v>41.0</v>
      </c>
      <c r="L500" s="41">
        <v>40.0</v>
      </c>
      <c r="M500" s="41">
        <v>90.0</v>
      </c>
      <c r="N500" s="41">
        <v>135.0</v>
      </c>
      <c r="O500" s="122">
        <f t="shared" si="1"/>
        <v>0.3037037037</v>
      </c>
      <c r="P500" s="123">
        <f t="shared" si="5"/>
        <v>428.375</v>
      </c>
      <c r="Q500" s="123">
        <f t="shared" si="2"/>
        <v>0.8541666667</v>
      </c>
      <c r="R500" s="123">
        <f t="shared" si="6"/>
        <v>0.8333333333</v>
      </c>
      <c r="S500" s="123">
        <f t="shared" si="3"/>
        <v>1.875</v>
      </c>
      <c r="T500" s="123">
        <f t="shared" si="4"/>
        <v>2.8125</v>
      </c>
      <c r="U500" s="41">
        <v>18.0</v>
      </c>
      <c r="V500" s="41">
        <v>3.0</v>
      </c>
      <c r="W500" s="41">
        <v>2.0</v>
      </c>
      <c r="X500" s="41">
        <v>13.0</v>
      </c>
      <c r="Y500" s="41">
        <v>28.0</v>
      </c>
      <c r="Z500" s="41">
        <v>50.0</v>
      </c>
    </row>
    <row r="501">
      <c r="A501" s="41" t="s">
        <v>899</v>
      </c>
      <c r="B501" s="41" t="s">
        <v>420</v>
      </c>
      <c r="C501" s="41" t="s">
        <v>1658</v>
      </c>
      <c r="D501" s="41" t="s">
        <v>1260</v>
      </c>
      <c r="E501" s="41">
        <v>44.0</v>
      </c>
      <c r="F501" s="41">
        <v>24.0</v>
      </c>
      <c r="G501" s="41">
        <v>20.0</v>
      </c>
      <c r="H501" s="125">
        <v>0.5454545454545454</v>
      </c>
      <c r="I501" s="41">
        <v>10.0</v>
      </c>
      <c r="J501" s="41">
        <v>17859.0</v>
      </c>
      <c r="K501" s="41">
        <v>45.0</v>
      </c>
      <c r="L501" s="41">
        <v>33.0</v>
      </c>
      <c r="M501" s="41">
        <v>57.0</v>
      </c>
      <c r="N501" s="41">
        <v>146.0</v>
      </c>
      <c r="O501" s="122">
        <f t="shared" si="1"/>
        <v>0.3082191781</v>
      </c>
      <c r="P501" s="123">
        <f t="shared" si="5"/>
        <v>405.8863636</v>
      </c>
      <c r="Q501" s="123">
        <f t="shared" si="2"/>
        <v>1.022727273</v>
      </c>
      <c r="R501" s="123">
        <f t="shared" si="6"/>
        <v>0.75</v>
      </c>
      <c r="S501" s="123">
        <f t="shared" si="3"/>
        <v>1.295454545</v>
      </c>
      <c r="T501" s="123">
        <f t="shared" si="4"/>
        <v>3.318181818</v>
      </c>
      <c r="U501" s="41">
        <v>10.0</v>
      </c>
      <c r="V501" s="41">
        <v>4.0</v>
      </c>
      <c r="W501" s="41">
        <v>2.0</v>
      </c>
      <c r="X501" s="41">
        <v>7.0</v>
      </c>
      <c r="Y501" s="41">
        <v>73.0</v>
      </c>
      <c r="Z501" s="41">
        <v>46.0</v>
      </c>
    </row>
    <row r="502">
      <c r="A502" s="41" t="s">
        <v>905</v>
      </c>
      <c r="B502" s="41" t="s">
        <v>159</v>
      </c>
      <c r="C502" s="41" t="s">
        <v>1659</v>
      </c>
      <c r="D502" s="41" t="s">
        <v>921</v>
      </c>
      <c r="E502" s="41">
        <v>52.0</v>
      </c>
      <c r="F502" s="41">
        <v>23.0</v>
      </c>
      <c r="G502" s="41">
        <v>29.0</v>
      </c>
      <c r="H502" s="125">
        <v>0.4423076923076923</v>
      </c>
      <c r="I502" s="41">
        <v>13.0</v>
      </c>
      <c r="J502" s="41">
        <v>18245.0</v>
      </c>
      <c r="K502" s="41">
        <v>51.0</v>
      </c>
      <c r="L502" s="41">
        <v>24.0</v>
      </c>
      <c r="M502" s="41">
        <v>53.0</v>
      </c>
      <c r="N502" s="41">
        <v>149.0</v>
      </c>
      <c r="O502" s="122">
        <f t="shared" si="1"/>
        <v>0.3422818792</v>
      </c>
      <c r="P502" s="123">
        <f t="shared" si="5"/>
        <v>350.8653846</v>
      </c>
      <c r="Q502" s="123">
        <f t="shared" si="2"/>
        <v>0.9807692308</v>
      </c>
      <c r="R502" s="123">
        <f t="shared" si="6"/>
        <v>0.4615384615</v>
      </c>
      <c r="S502" s="123">
        <f t="shared" si="3"/>
        <v>1.019230769</v>
      </c>
      <c r="T502" s="123">
        <f t="shared" si="4"/>
        <v>2.865384615</v>
      </c>
      <c r="U502" s="41">
        <v>5.0</v>
      </c>
      <c r="V502" s="41">
        <v>4.0</v>
      </c>
      <c r="W502" s="41">
        <v>0.0</v>
      </c>
      <c r="X502" s="41">
        <v>5.0</v>
      </c>
      <c r="Y502" s="41">
        <v>52.0</v>
      </c>
      <c r="Z502" s="41">
        <v>54.0</v>
      </c>
    </row>
    <row r="503">
      <c r="A503" s="41" t="s">
        <v>901</v>
      </c>
      <c r="B503" s="41" t="s">
        <v>376</v>
      </c>
      <c r="C503" s="41" t="s">
        <v>1660</v>
      </c>
      <c r="D503" s="41" t="s">
        <v>1661</v>
      </c>
      <c r="E503" s="41">
        <v>20.0</v>
      </c>
      <c r="F503" s="41">
        <v>7.0</v>
      </c>
      <c r="G503" s="41">
        <v>13.0</v>
      </c>
      <c r="H503" s="125">
        <v>0.35</v>
      </c>
      <c r="I503" s="41">
        <v>1.0</v>
      </c>
      <c r="J503" s="41">
        <v>6369.0</v>
      </c>
      <c r="K503" s="41">
        <v>13.0</v>
      </c>
      <c r="L503" s="41">
        <v>11.0</v>
      </c>
      <c r="M503" s="41">
        <v>23.0</v>
      </c>
      <c r="N503" s="41">
        <v>46.0</v>
      </c>
      <c r="O503" s="122">
        <f t="shared" si="1"/>
        <v>0.2826086957</v>
      </c>
      <c r="P503" s="123">
        <f t="shared" si="5"/>
        <v>318.45</v>
      </c>
      <c r="Q503" s="123">
        <f t="shared" si="2"/>
        <v>0.65</v>
      </c>
      <c r="R503" s="123">
        <f t="shared" si="6"/>
        <v>0.55</v>
      </c>
      <c r="S503" s="123">
        <f t="shared" si="3"/>
        <v>1.15</v>
      </c>
      <c r="T503" s="123">
        <f t="shared" si="4"/>
        <v>2.3</v>
      </c>
      <c r="U503" s="41">
        <v>5.0</v>
      </c>
      <c r="V503" s="41">
        <v>0.0</v>
      </c>
      <c r="W503" s="41">
        <v>0.0</v>
      </c>
      <c r="X503" s="41">
        <v>1.0</v>
      </c>
      <c r="Y503" s="41">
        <v>22.0</v>
      </c>
      <c r="Z503" s="41">
        <v>32.0</v>
      </c>
    </row>
    <row r="504">
      <c r="A504" s="41" t="s">
        <v>902</v>
      </c>
      <c r="B504" s="41" t="s">
        <v>800</v>
      </c>
      <c r="C504" s="41" t="s">
        <v>1662</v>
      </c>
      <c r="D504" s="41" t="s">
        <v>1181</v>
      </c>
      <c r="E504" s="41">
        <v>8.0</v>
      </c>
      <c r="F504" s="41">
        <v>3.0</v>
      </c>
      <c r="G504" s="41">
        <v>5.0</v>
      </c>
      <c r="H504" s="125">
        <v>0.375</v>
      </c>
      <c r="I504" s="41">
        <v>0.0</v>
      </c>
      <c r="J504" s="41">
        <v>2659.0</v>
      </c>
      <c r="K504" s="41">
        <v>5.0</v>
      </c>
      <c r="L504" s="41">
        <v>9.0</v>
      </c>
      <c r="M504" s="41">
        <v>7.0</v>
      </c>
      <c r="N504" s="41">
        <v>19.0</v>
      </c>
      <c r="O504" s="122">
        <f t="shared" si="1"/>
        <v>0.2631578947</v>
      </c>
      <c r="P504" s="123">
        <f t="shared" si="5"/>
        <v>332.375</v>
      </c>
      <c r="Q504" s="123">
        <f t="shared" si="2"/>
        <v>0.625</v>
      </c>
      <c r="R504" s="123">
        <f t="shared" si="6"/>
        <v>1.125</v>
      </c>
      <c r="S504" s="123">
        <f t="shared" si="3"/>
        <v>0.875</v>
      </c>
      <c r="T504" s="123">
        <f t="shared" si="4"/>
        <v>2.375</v>
      </c>
      <c r="U504" s="41">
        <v>1.0</v>
      </c>
      <c r="V504" s="41">
        <v>0.0</v>
      </c>
      <c r="W504" s="41">
        <v>1.0</v>
      </c>
      <c r="X504" s="41">
        <v>1.0</v>
      </c>
      <c r="Y504" s="41">
        <v>9.0</v>
      </c>
      <c r="Z504" s="41">
        <v>10.0</v>
      </c>
    </row>
    <row r="505">
      <c r="A505" s="41" t="s">
        <v>904</v>
      </c>
      <c r="B505" s="41" t="s">
        <v>703</v>
      </c>
      <c r="C505" s="41" t="s">
        <v>1663</v>
      </c>
      <c r="D505" s="41" t="s">
        <v>973</v>
      </c>
      <c r="E505" s="41">
        <v>24.0</v>
      </c>
      <c r="F505" s="41">
        <v>11.0</v>
      </c>
      <c r="G505" s="41">
        <v>13.0</v>
      </c>
      <c r="H505" s="125">
        <v>0.4583333333333333</v>
      </c>
      <c r="I505" s="41">
        <v>3.0</v>
      </c>
      <c r="J505" s="41">
        <v>6738.0</v>
      </c>
      <c r="K505" s="41">
        <v>12.0</v>
      </c>
      <c r="L505" s="41">
        <v>11.0</v>
      </c>
      <c r="M505" s="41">
        <v>24.0</v>
      </c>
      <c r="N505" s="41">
        <v>50.0</v>
      </c>
      <c r="O505" s="122">
        <f t="shared" si="1"/>
        <v>0.24</v>
      </c>
      <c r="P505" s="123">
        <f t="shared" si="5"/>
        <v>280.75</v>
      </c>
      <c r="Q505" s="123">
        <f t="shared" si="2"/>
        <v>0.5</v>
      </c>
      <c r="R505" s="123">
        <f t="shared" si="6"/>
        <v>0.4583333333</v>
      </c>
      <c r="S505" s="123">
        <f t="shared" si="3"/>
        <v>1</v>
      </c>
      <c r="T505" s="123">
        <f t="shared" si="4"/>
        <v>2.083333333</v>
      </c>
      <c r="U505" s="41">
        <v>1.0</v>
      </c>
      <c r="V505" s="41">
        <v>0.0</v>
      </c>
      <c r="W505" s="41">
        <v>0.0</v>
      </c>
      <c r="X505" s="41">
        <v>3.0</v>
      </c>
      <c r="Y505" s="41">
        <v>14.0</v>
      </c>
      <c r="Z505" s="41">
        <v>20.0</v>
      </c>
    </row>
    <row r="506">
      <c r="A506" s="41" t="s">
        <v>899</v>
      </c>
      <c r="B506" s="41" t="s">
        <v>458</v>
      </c>
      <c r="C506" s="41" t="s">
        <v>1664</v>
      </c>
      <c r="D506" s="41" t="s">
        <v>1037</v>
      </c>
      <c r="E506" s="41">
        <v>38.0</v>
      </c>
      <c r="F506" s="41">
        <v>10.0</v>
      </c>
      <c r="G506" s="41">
        <v>28.0</v>
      </c>
      <c r="H506" s="125">
        <v>0.2631578947368421</v>
      </c>
      <c r="I506" s="41">
        <v>2.0</v>
      </c>
      <c r="J506" s="41">
        <v>12919.0</v>
      </c>
      <c r="K506" s="41">
        <v>25.0</v>
      </c>
      <c r="L506" s="41">
        <v>17.0</v>
      </c>
      <c r="M506" s="41">
        <v>63.0</v>
      </c>
      <c r="N506" s="41">
        <v>93.0</v>
      </c>
      <c r="O506" s="122">
        <f t="shared" si="1"/>
        <v>0.2688172043</v>
      </c>
      <c r="P506" s="123">
        <f t="shared" si="5"/>
        <v>339.9736842</v>
      </c>
      <c r="Q506" s="123">
        <f t="shared" si="2"/>
        <v>0.6578947368</v>
      </c>
      <c r="R506" s="123">
        <f t="shared" si="6"/>
        <v>0.4473684211</v>
      </c>
      <c r="S506" s="123">
        <f t="shared" si="3"/>
        <v>1.657894737</v>
      </c>
      <c r="T506" s="123">
        <f t="shared" si="4"/>
        <v>2.447368421</v>
      </c>
      <c r="U506" s="41">
        <v>6.0</v>
      </c>
      <c r="V506" s="41">
        <v>0.0</v>
      </c>
      <c r="W506" s="41">
        <v>0.0</v>
      </c>
      <c r="X506" s="41">
        <v>13.0</v>
      </c>
      <c r="Y506" s="41">
        <v>66.0</v>
      </c>
      <c r="Z506" s="41">
        <v>40.0</v>
      </c>
    </row>
    <row r="507">
      <c r="A507" s="41" t="s">
        <v>905</v>
      </c>
      <c r="B507" s="41" t="s">
        <v>171</v>
      </c>
      <c r="C507" s="41" t="s">
        <v>1665</v>
      </c>
      <c r="D507" s="41" t="s">
        <v>1031</v>
      </c>
      <c r="E507" s="41">
        <v>53.0</v>
      </c>
      <c r="F507" s="41">
        <v>26.0</v>
      </c>
      <c r="G507" s="41">
        <v>27.0</v>
      </c>
      <c r="H507" s="125">
        <v>0.49056603773584906</v>
      </c>
      <c r="I507" s="41">
        <v>10.0</v>
      </c>
      <c r="J507" s="41">
        <v>18640.0</v>
      </c>
      <c r="K507" s="41">
        <v>47.0</v>
      </c>
      <c r="L507" s="41">
        <v>23.0</v>
      </c>
      <c r="M507" s="41">
        <v>57.0</v>
      </c>
      <c r="N507" s="41">
        <v>148.0</v>
      </c>
      <c r="O507" s="122">
        <f t="shared" si="1"/>
        <v>0.3175675676</v>
      </c>
      <c r="P507" s="123">
        <f t="shared" si="5"/>
        <v>351.6981132</v>
      </c>
      <c r="Q507" s="123">
        <f t="shared" si="2"/>
        <v>0.8867924528</v>
      </c>
      <c r="R507" s="123">
        <f t="shared" si="6"/>
        <v>0.4339622642</v>
      </c>
      <c r="S507" s="123">
        <f t="shared" si="3"/>
        <v>1.075471698</v>
      </c>
      <c r="T507" s="123">
        <f t="shared" si="4"/>
        <v>2.79245283</v>
      </c>
      <c r="U507" s="41">
        <v>7.0</v>
      </c>
      <c r="V507" s="41">
        <v>5.0</v>
      </c>
      <c r="W507" s="41">
        <v>1.0</v>
      </c>
      <c r="X507" s="41">
        <v>4.0</v>
      </c>
      <c r="Y507" s="41">
        <v>39.0</v>
      </c>
      <c r="Z507" s="41">
        <v>61.0</v>
      </c>
    </row>
    <row r="508">
      <c r="A508" s="41" t="s">
        <v>904</v>
      </c>
      <c r="B508" s="41" t="s">
        <v>645</v>
      </c>
      <c r="C508" s="41" t="s">
        <v>1666</v>
      </c>
      <c r="D508" s="41" t="s">
        <v>1667</v>
      </c>
      <c r="E508" s="41">
        <v>31.0</v>
      </c>
      <c r="F508" s="41">
        <v>13.0</v>
      </c>
      <c r="G508" s="41">
        <v>18.0</v>
      </c>
      <c r="H508" s="125">
        <v>0.41935483870967744</v>
      </c>
      <c r="I508" s="41">
        <v>2.0</v>
      </c>
      <c r="J508" s="41">
        <v>10551.0</v>
      </c>
      <c r="K508" s="41">
        <v>26.0</v>
      </c>
      <c r="L508" s="41">
        <v>18.0</v>
      </c>
      <c r="M508" s="41">
        <v>35.0</v>
      </c>
      <c r="N508" s="41">
        <v>90.0</v>
      </c>
      <c r="O508" s="122">
        <f t="shared" si="1"/>
        <v>0.2888888889</v>
      </c>
      <c r="P508" s="123">
        <f t="shared" si="5"/>
        <v>340.3548387</v>
      </c>
      <c r="Q508" s="123">
        <f t="shared" si="2"/>
        <v>0.8387096774</v>
      </c>
      <c r="R508" s="123">
        <f t="shared" si="6"/>
        <v>0.5806451613</v>
      </c>
      <c r="S508" s="123">
        <f t="shared" si="3"/>
        <v>1.129032258</v>
      </c>
      <c r="T508" s="123">
        <f t="shared" si="4"/>
        <v>2.903225806</v>
      </c>
      <c r="U508" s="41">
        <v>7.0</v>
      </c>
      <c r="V508" s="41">
        <v>1.0</v>
      </c>
      <c r="W508" s="41">
        <v>0.0</v>
      </c>
      <c r="X508" s="41">
        <v>5.0</v>
      </c>
      <c r="Y508" s="41">
        <v>38.0</v>
      </c>
      <c r="Z508" s="41">
        <v>31.0</v>
      </c>
    </row>
    <row r="509">
      <c r="A509" s="41" t="s">
        <v>904</v>
      </c>
      <c r="B509" s="41" t="s">
        <v>579</v>
      </c>
      <c r="C509" s="41" t="s">
        <v>1668</v>
      </c>
      <c r="D509" s="41" t="s">
        <v>1669</v>
      </c>
      <c r="E509" s="41">
        <v>52.0</v>
      </c>
      <c r="F509" s="41">
        <v>30.0</v>
      </c>
      <c r="G509" s="41">
        <v>22.0</v>
      </c>
      <c r="H509" s="125">
        <v>0.5769230769230769</v>
      </c>
      <c r="I509" s="41">
        <v>17.0</v>
      </c>
      <c r="J509" s="41">
        <v>22773.0</v>
      </c>
      <c r="K509" s="41">
        <v>57.0</v>
      </c>
      <c r="L509" s="41">
        <v>35.0</v>
      </c>
      <c r="M509" s="41">
        <v>71.0</v>
      </c>
      <c r="N509" s="41">
        <v>156.0</v>
      </c>
      <c r="O509" s="122">
        <f t="shared" si="1"/>
        <v>0.3653846154</v>
      </c>
      <c r="P509" s="123">
        <f t="shared" si="5"/>
        <v>437.9423077</v>
      </c>
      <c r="Q509" s="123">
        <f t="shared" si="2"/>
        <v>1.096153846</v>
      </c>
      <c r="R509" s="123">
        <f t="shared" si="6"/>
        <v>0.6730769231</v>
      </c>
      <c r="S509" s="123">
        <f t="shared" si="3"/>
        <v>1.365384615</v>
      </c>
      <c r="T509" s="123">
        <f t="shared" si="4"/>
        <v>3</v>
      </c>
      <c r="U509" s="41">
        <v>11.0</v>
      </c>
      <c r="V509" s="41">
        <v>6.0</v>
      </c>
      <c r="W509" s="41">
        <v>1.0</v>
      </c>
      <c r="X509" s="41">
        <v>8.0</v>
      </c>
      <c r="Y509" s="41">
        <v>49.0</v>
      </c>
      <c r="Z509" s="41">
        <v>39.0</v>
      </c>
    </row>
    <row r="510">
      <c r="A510" s="41" t="s">
        <v>901</v>
      </c>
      <c r="B510" s="41" t="s">
        <v>398</v>
      </c>
      <c r="C510" s="41" t="s">
        <v>1670</v>
      </c>
      <c r="D510" s="41" t="s">
        <v>1545</v>
      </c>
      <c r="E510" s="41">
        <v>4.0</v>
      </c>
      <c r="F510" s="41">
        <v>3.0</v>
      </c>
      <c r="G510" s="41">
        <v>1.0</v>
      </c>
      <c r="H510" s="125">
        <v>0.75</v>
      </c>
      <c r="I510" s="41">
        <v>0.0</v>
      </c>
      <c r="J510" s="41">
        <v>1094.0</v>
      </c>
      <c r="K510" s="41">
        <v>3.0</v>
      </c>
      <c r="L510" s="41">
        <v>2.0</v>
      </c>
      <c r="M510" s="41">
        <v>2.0</v>
      </c>
      <c r="N510" s="41">
        <v>7.0</v>
      </c>
      <c r="O510" s="122">
        <f t="shared" si="1"/>
        <v>0.4285714286</v>
      </c>
      <c r="P510" s="123">
        <f t="shared" si="5"/>
        <v>273.5</v>
      </c>
      <c r="Q510" s="123">
        <f t="shared" si="2"/>
        <v>0.75</v>
      </c>
      <c r="R510" s="123">
        <f t="shared" si="6"/>
        <v>0.5</v>
      </c>
      <c r="S510" s="123">
        <f t="shared" si="3"/>
        <v>0.5</v>
      </c>
      <c r="T510" s="123">
        <f t="shared" si="4"/>
        <v>1.75</v>
      </c>
      <c r="U510" s="41">
        <v>0.0</v>
      </c>
      <c r="V510" s="41">
        <v>0.0</v>
      </c>
      <c r="W510" s="41">
        <v>0.0</v>
      </c>
      <c r="X510" s="41">
        <v>0.0</v>
      </c>
      <c r="Y510" s="41">
        <v>4.0</v>
      </c>
      <c r="Z510" s="41">
        <v>1.0</v>
      </c>
    </row>
    <row r="511">
      <c r="A511" s="41" t="s">
        <v>897</v>
      </c>
      <c r="B511" s="41" t="s">
        <v>496</v>
      </c>
      <c r="C511" s="41" t="s">
        <v>1671</v>
      </c>
      <c r="D511" s="41" t="s">
        <v>977</v>
      </c>
      <c r="E511" s="41">
        <v>10.0</v>
      </c>
      <c r="F511" s="41">
        <v>6.0</v>
      </c>
      <c r="G511" s="41">
        <v>4.0</v>
      </c>
      <c r="H511" s="125">
        <v>0.6</v>
      </c>
      <c r="I511" s="41">
        <v>1.0</v>
      </c>
      <c r="J511" s="41">
        <v>3551.0</v>
      </c>
      <c r="K511" s="41">
        <v>7.0</v>
      </c>
      <c r="L511" s="41">
        <v>8.0</v>
      </c>
      <c r="M511" s="41">
        <v>15.0</v>
      </c>
      <c r="N511" s="41">
        <v>25.0</v>
      </c>
      <c r="O511" s="122">
        <f t="shared" si="1"/>
        <v>0.28</v>
      </c>
      <c r="P511" s="123">
        <f t="shared" si="5"/>
        <v>355.1</v>
      </c>
      <c r="Q511" s="123">
        <f t="shared" si="2"/>
        <v>0.7</v>
      </c>
      <c r="R511" s="123">
        <f t="shared" si="6"/>
        <v>0.8</v>
      </c>
      <c r="S511" s="123">
        <f t="shared" si="3"/>
        <v>1.5</v>
      </c>
      <c r="T511" s="123">
        <f t="shared" si="4"/>
        <v>2.5</v>
      </c>
      <c r="U511" s="41">
        <v>2.0</v>
      </c>
      <c r="V511" s="41">
        <v>1.0</v>
      </c>
      <c r="W511" s="41">
        <v>0.0</v>
      </c>
      <c r="X511" s="41">
        <v>3.0</v>
      </c>
      <c r="Y511" s="41">
        <v>5.0</v>
      </c>
      <c r="Z511" s="41">
        <v>8.0</v>
      </c>
    </row>
    <row r="512">
      <c r="A512" s="41" t="s">
        <v>902</v>
      </c>
      <c r="B512" s="41" t="s">
        <v>774</v>
      </c>
      <c r="C512" s="41" t="s">
        <v>1672</v>
      </c>
      <c r="D512" s="41" t="s">
        <v>932</v>
      </c>
      <c r="E512" s="41">
        <v>43.0</v>
      </c>
      <c r="F512" s="41">
        <v>16.0</v>
      </c>
      <c r="G512" s="41">
        <v>27.0</v>
      </c>
      <c r="H512" s="125">
        <v>0.37209302325581395</v>
      </c>
      <c r="I512" s="41">
        <v>6.0</v>
      </c>
      <c r="J512" s="41">
        <v>15973.0</v>
      </c>
      <c r="K512" s="41">
        <v>33.0</v>
      </c>
      <c r="L512" s="41">
        <v>31.0</v>
      </c>
      <c r="M512" s="41">
        <v>63.0</v>
      </c>
      <c r="N512" s="41">
        <v>112.0</v>
      </c>
      <c r="O512" s="122">
        <f t="shared" si="1"/>
        <v>0.2946428571</v>
      </c>
      <c r="P512" s="123">
        <f t="shared" si="5"/>
        <v>371.4651163</v>
      </c>
      <c r="Q512" s="123">
        <f t="shared" si="2"/>
        <v>0.7674418605</v>
      </c>
      <c r="R512" s="123">
        <f t="shared" si="6"/>
        <v>0.7209302326</v>
      </c>
      <c r="S512" s="123">
        <f t="shared" si="3"/>
        <v>1.465116279</v>
      </c>
      <c r="T512" s="123">
        <f t="shared" si="4"/>
        <v>2.604651163</v>
      </c>
      <c r="U512" s="41">
        <v>10.0</v>
      </c>
      <c r="V512" s="41">
        <v>3.0</v>
      </c>
      <c r="W512" s="41">
        <v>1.0</v>
      </c>
      <c r="X512" s="41">
        <v>8.0</v>
      </c>
      <c r="Y512" s="41">
        <v>66.0</v>
      </c>
      <c r="Z512" s="41">
        <v>40.0</v>
      </c>
    </row>
    <row r="513">
      <c r="A513" s="41" t="s">
        <v>901</v>
      </c>
      <c r="B513" s="41" t="s">
        <v>399</v>
      </c>
      <c r="C513" s="41" t="s">
        <v>1673</v>
      </c>
      <c r="D513" s="41" t="s">
        <v>1228</v>
      </c>
      <c r="E513" s="41">
        <v>34.0</v>
      </c>
      <c r="F513" s="41">
        <v>3.0</v>
      </c>
      <c r="G513" s="41">
        <v>31.0</v>
      </c>
      <c r="H513" s="125">
        <v>0.08823529411764706</v>
      </c>
      <c r="I513" s="41">
        <v>1.0</v>
      </c>
      <c r="J513" s="41">
        <v>11248.0</v>
      </c>
      <c r="K513" s="41">
        <v>14.0</v>
      </c>
      <c r="L513" s="41">
        <v>14.0</v>
      </c>
      <c r="M513" s="41">
        <v>60.0</v>
      </c>
      <c r="N513" s="41">
        <v>74.0</v>
      </c>
      <c r="O513" s="122">
        <f t="shared" si="1"/>
        <v>0.1891891892</v>
      </c>
      <c r="P513" s="123">
        <f t="shared" si="5"/>
        <v>330.8235294</v>
      </c>
      <c r="Q513" s="123">
        <f t="shared" si="2"/>
        <v>0.4117647059</v>
      </c>
      <c r="R513" s="123">
        <f t="shared" si="6"/>
        <v>0.4117647059</v>
      </c>
      <c r="S513" s="123">
        <f t="shared" si="3"/>
        <v>1.764705882</v>
      </c>
      <c r="T513" s="123">
        <f t="shared" si="4"/>
        <v>2.176470588</v>
      </c>
      <c r="U513" s="41">
        <v>4.0</v>
      </c>
      <c r="V513" s="41">
        <v>0.0</v>
      </c>
      <c r="W513" s="41">
        <v>0.0</v>
      </c>
      <c r="X513" s="41">
        <v>8.0</v>
      </c>
      <c r="Y513" s="41">
        <v>24.0</v>
      </c>
      <c r="Z513" s="41">
        <v>35.0</v>
      </c>
    </row>
    <row r="514">
      <c r="A514" s="41" t="s">
        <v>901</v>
      </c>
      <c r="B514" s="41" t="s">
        <v>298</v>
      </c>
      <c r="C514" s="41" t="s">
        <v>1674</v>
      </c>
      <c r="D514" s="41" t="s">
        <v>1258</v>
      </c>
      <c r="E514" s="41">
        <v>47.0</v>
      </c>
      <c r="F514" s="41">
        <v>18.0</v>
      </c>
      <c r="G514" s="41">
        <v>29.0</v>
      </c>
      <c r="H514" s="125">
        <v>0.3829787234042553</v>
      </c>
      <c r="I514" s="41">
        <v>8.0</v>
      </c>
      <c r="J514" s="41">
        <v>19632.0</v>
      </c>
      <c r="K514" s="41">
        <v>48.0</v>
      </c>
      <c r="L514" s="41">
        <v>19.0</v>
      </c>
      <c r="M514" s="41">
        <v>82.0</v>
      </c>
      <c r="N514" s="41">
        <v>142.0</v>
      </c>
      <c r="O514" s="122">
        <f t="shared" si="1"/>
        <v>0.338028169</v>
      </c>
      <c r="P514" s="123">
        <f t="shared" si="5"/>
        <v>417.7021277</v>
      </c>
      <c r="Q514" s="123">
        <f t="shared" si="2"/>
        <v>1.021276596</v>
      </c>
      <c r="R514" s="123">
        <f t="shared" si="6"/>
        <v>0.4042553191</v>
      </c>
      <c r="S514" s="123">
        <f t="shared" si="3"/>
        <v>1.744680851</v>
      </c>
      <c r="T514" s="123">
        <f t="shared" si="4"/>
        <v>3.021276596</v>
      </c>
      <c r="U514" s="41">
        <v>7.0</v>
      </c>
      <c r="V514" s="41">
        <v>4.0</v>
      </c>
      <c r="W514" s="41">
        <v>0.0</v>
      </c>
      <c r="X514" s="41">
        <v>10.0</v>
      </c>
      <c r="Y514" s="41">
        <v>50.0</v>
      </c>
      <c r="Z514" s="41">
        <v>49.0</v>
      </c>
    </row>
    <row r="515">
      <c r="A515" s="41" t="s">
        <v>902</v>
      </c>
      <c r="B515" s="41" t="s">
        <v>796</v>
      </c>
      <c r="C515" s="41" t="s">
        <v>1675</v>
      </c>
      <c r="D515" s="41" t="s">
        <v>1477</v>
      </c>
      <c r="E515" s="41">
        <v>50.0</v>
      </c>
      <c r="F515" s="41">
        <v>29.0</v>
      </c>
      <c r="G515" s="41">
        <v>21.0</v>
      </c>
      <c r="H515" s="125">
        <v>0.58</v>
      </c>
      <c r="I515" s="41">
        <v>6.0</v>
      </c>
      <c r="J515" s="41">
        <v>16340.0</v>
      </c>
      <c r="K515" s="41">
        <v>40.0</v>
      </c>
      <c r="L515" s="41">
        <v>31.0</v>
      </c>
      <c r="M515" s="41">
        <v>50.0</v>
      </c>
      <c r="N515" s="41">
        <v>126.0</v>
      </c>
      <c r="O515" s="122">
        <f t="shared" si="1"/>
        <v>0.3174603175</v>
      </c>
      <c r="P515" s="123">
        <f t="shared" si="5"/>
        <v>326.8</v>
      </c>
      <c r="Q515" s="123">
        <f t="shared" si="2"/>
        <v>0.8</v>
      </c>
      <c r="R515" s="123">
        <f t="shared" si="6"/>
        <v>0.62</v>
      </c>
      <c r="S515" s="123">
        <f t="shared" si="3"/>
        <v>1</v>
      </c>
      <c r="T515" s="123">
        <f t="shared" si="4"/>
        <v>2.52</v>
      </c>
      <c r="U515" s="41">
        <v>10.0</v>
      </c>
      <c r="V515" s="41">
        <v>1.0</v>
      </c>
      <c r="W515" s="41">
        <v>4.0</v>
      </c>
      <c r="X515" s="41">
        <v>2.0</v>
      </c>
      <c r="Y515" s="41">
        <v>19.0</v>
      </c>
      <c r="Z515" s="41">
        <v>57.0</v>
      </c>
    </row>
    <row r="516">
      <c r="A516" s="41" t="s">
        <v>905</v>
      </c>
      <c r="B516" s="41" t="s">
        <v>117</v>
      </c>
      <c r="C516" s="41" t="s">
        <v>1676</v>
      </c>
      <c r="D516" s="41" t="s">
        <v>1237</v>
      </c>
      <c r="E516" s="41">
        <v>54.0</v>
      </c>
      <c r="F516" s="41">
        <v>33.0</v>
      </c>
      <c r="G516" s="41">
        <v>21.0</v>
      </c>
      <c r="H516" s="125">
        <v>0.6111111111111112</v>
      </c>
      <c r="I516" s="41">
        <v>20.0</v>
      </c>
      <c r="J516" s="41">
        <v>21156.0</v>
      </c>
      <c r="K516" s="41">
        <v>57.0</v>
      </c>
      <c r="L516" s="41">
        <v>35.0</v>
      </c>
      <c r="M516" s="41">
        <v>71.0</v>
      </c>
      <c r="N516" s="41">
        <v>182.0</v>
      </c>
      <c r="O516" s="122">
        <f t="shared" si="1"/>
        <v>0.3131868132</v>
      </c>
      <c r="P516" s="123">
        <f t="shared" si="5"/>
        <v>391.7777778</v>
      </c>
      <c r="Q516" s="123">
        <f t="shared" si="2"/>
        <v>1.055555556</v>
      </c>
      <c r="R516" s="123">
        <f t="shared" si="6"/>
        <v>0.6481481481</v>
      </c>
      <c r="S516" s="123">
        <f t="shared" si="3"/>
        <v>1.314814815</v>
      </c>
      <c r="T516" s="123">
        <f t="shared" si="4"/>
        <v>3.37037037</v>
      </c>
      <c r="U516" s="41">
        <v>14.0</v>
      </c>
      <c r="V516" s="41">
        <v>5.0</v>
      </c>
      <c r="W516" s="41">
        <v>4.0</v>
      </c>
      <c r="X516" s="41">
        <v>8.0</v>
      </c>
      <c r="Y516" s="41">
        <v>59.0</v>
      </c>
      <c r="Z516" s="41">
        <v>44.0</v>
      </c>
    </row>
    <row r="517">
      <c r="A517" s="41" t="s">
        <v>906</v>
      </c>
      <c r="B517" s="41" t="s">
        <v>530</v>
      </c>
      <c r="C517" s="41" t="s">
        <v>1677</v>
      </c>
      <c r="D517" s="41" t="s">
        <v>1678</v>
      </c>
      <c r="E517" s="41">
        <v>56.0</v>
      </c>
      <c r="F517" s="41">
        <v>31.0</v>
      </c>
      <c r="G517" s="41">
        <v>25.0</v>
      </c>
      <c r="H517" s="125">
        <v>0.5535714285714286</v>
      </c>
      <c r="I517" s="41">
        <v>9.0</v>
      </c>
      <c r="J517" s="41">
        <v>19327.0</v>
      </c>
      <c r="K517" s="41">
        <v>62.0</v>
      </c>
      <c r="L517" s="41">
        <v>23.0</v>
      </c>
      <c r="M517" s="41">
        <v>59.0</v>
      </c>
      <c r="N517" s="41">
        <v>158.0</v>
      </c>
      <c r="O517" s="122">
        <f t="shared" si="1"/>
        <v>0.3924050633</v>
      </c>
      <c r="P517" s="123">
        <f t="shared" si="5"/>
        <v>345.125</v>
      </c>
      <c r="Q517" s="123">
        <f t="shared" si="2"/>
        <v>1.107142857</v>
      </c>
      <c r="R517" s="123">
        <f t="shared" si="6"/>
        <v>0.4107142857</v>
      </c>
      <c r="S517" s="123">
        <f t="shared" si="3"/>
        <v>1.053571429</v>
      </c>
      <c r="T517" s="123">
        <f t="shared" si="4"/>
        <v>2.821428571</v>
      </c>
      <c r="U517" s="41">
        <v>6.0</v>
      </c>
      <c r="V517" s="41">
        <v>5.0</v>
      </c>
      <c r="W517" s="41">
        <v>1.0</v>
      </c>
      <c r="X517" s="41">
        <v>5.0</v>
      </c>
      <c r="Y517" s="41">
        <v>68.0</v>
      </c>
      <c r="Z517" s="41">
        <v>49.0</v>
      </c>
    </row>
    <row r="518">
      <c r="A518" s="41" t="s">
        <v>902</v>
      </c>
      <c r="B518" s="41" t="s">
        <v>838</v>
      </c>
      <c r="C518" s="41" t="s">
        <v>1679</v>
      </c>
      <c r="D518" s="41" t="s">
        <v>1204</v>
      </c>
      <c r="E518" s="41">
        <v>13.0</v>
      </c>
      <c r="F518" s="41">
        <v>9.0</v>
      </c>
      <c r="G518" s="41">
        <v>4.0</v>
      </c>
      <c r="H518" s="125">
        <v>0.6923076923076923</v>
      </c>
      <c r="I518" s="41">
        <v>2.0</v>
      </c>
      <c r="J518" s="41">
        <v>4014.0</v>
      </c>
      <c r="K518" s="41">
        <v>10.0</v>
      </c>
      <c r="L518" s="41">
        <v>5.0</v>
      </c>
      <c r="M518" s="41">
        <v>14.0</v>
      </c>
      <c r="N518" s="41">
        <v>30.0</v>
      </c>
      <c r="O518" s="122">
        <f t="shared" si="1"/>
        <v>0.3333333333</v>
      </c>
      <c r="P518" s="123">
        <f t="shared" si="5"/>
        <v>308.7692308</v>
      </c>
      <c r="Q518" s="123">
        <f t="shared" si="2"/>
        <v>0.7692307692</v>
      </c>
      <c r="R518" s="123">
        <f t="shared" si="6"/>
        <v>0.3846153846</v>
      </c>
      <c r="S518" s="123">
        <f t="shared" si="3"/>
        <v>1.076923077</v>
      </c>
      <c r="T518" s="123">
        <f t="shared" si="4"/>
        <v>2.307692308</v>
      </c>
      <c r="U518" s="41">
        <v>0.0</v>
      </c>
      <c r="V518" s="41">
        <v>2.0</v>
      </c>
      <c r="W518" s="41">
        <v>0.0</v>
      </c>
      <c r="X518" s="41">
        <v>0.0</v>
      </c>
      <c r="Y518" s="41">
        <v>10.0</v>
      </c>
      <c r="Z518" s="41">
        <v>19.0</v>
      </c>
    </row>
    <row r="519">
      <c r="A519" s="41" t="s">
        <v>901</v>
      </c>
      <c r="B519" s="41" t="s">
        <v>316</v>
      </c>
      <c r="C519" s="41" t="s">
        <v>1680</v>
      </c>
      <c r="D519" s="41" t="s">
        <v>1681</v>
      </c>
      <c r="E519" s="41">
        <v>23.0</v>
      </c>
      <c r="F519" s="41">
        <v>12.0</v>
      </c>
      <c r="G519" s="41">
        <v>11.0</v>
      </c>
      <c r="H519" s="125">
        <v>0.5217391304347826</v>
      </c>
      <c r="I519" s="41">
        <v>2.0</v>
      </c>
      <c r="J519" s="41">
        <v>8095.0</v>
      </c>
      <c r="K519" s="41">
        <v>19.0</v>
      </c>
      <c r="L519" s="41">
        <v>10.0</v>
      </c>
      <c r="M519" s="41">
        <v>25.0</v>
      </c>
      <c r="N519" s="41">
        <v>71.0</v>
      </c>
      <c r="O519" s="122">
        <f t="shared" si="1"/>
        <v>0.2676056338</v>
      </c>
      <c r="P519" s="123">
        <f t="shared" si="5"/>
        <v>351.9565217</v>
      </c>
      <c r="Q519" s="123">
        <f t="shared" si="2"/>
        <v>0.8260869565</v>
      </c>
      <c r="R519" s="123">
        <f t="shared" si="6"/>
        <v>0.4347826087</v>
      </c>
      <c r="S519" s="123">
        <f t="shared" si="3"/>
        <v>1.086956522</v>
      </c>
      <c r="T519" s="123">
        <f t="shared" si="4"/>
        <v>3.086956522</v>
      </c>
      <c r="U519" s="41">
        <v>4.0</v>
      </c>
      <c r="V519" s="41">
        <v>3.0</v>
      </c>
      <c r="W519" s="41">
        <v>0.0</v>
      </c>
      <c r="X519" s="41">
        <v>1.0</v>
      </c>
      <c r="Y519" s="41">
        <v>9.0</v>
      </c>
      <c r="Z519" s="41">
        <v>29.0</v>
      </c>
    </row>
    <row r="520">
      <c r="A520" s="41" t="s">
        <v>901</v>
      </c>
      <c r="B520" s="41" t="s">
        <v>319</v>
      </c>
      <c r="C520" s="41" t="s">
        <v>1682</v>
      </c>
      <c r="D520" s="41" t="s">
        <v>990</v>
      </c>
      <c r="E520" s="41">
        <v>31.0</v>
      </c>
      <c r="F520" s="41">
        <v>18.0</v>
      </c>
      <c r="G520" s="41">
        <v>13.0</v>
      </c>
      <c r="H520" s="125">
        <v>0.5806451612903226</v>
      </c>
      <c r="I520" s="41">
        <v>6.0</v>
      </c>
      <c r="J520" s="41">
        <v>10554.0</v>
      </c>
      <c r="K520" s="41">
        <v>24.0</v>
      </c>
      <c r="L520" s="41">
        <v>24.0</v>
      </c>
      <c r="M520" s="41">
        <v>33.0</v>
      </c>
      <c r="N520" s="41">
        <v>87.0</v>
      </c>
      <c r="O520" s="122">
        <f t="shared" si="1"/>
        <v>0.275862069</v>
      </c>
      <c r="P520" s="123">
        <f t="shared" si="5"/>
        <v>340.4516129</v>
      </c>
      <c r="Q520" s="123">
        <f t="shared" si="2"/>
        <v>0.7741935484</v>
      </c>
      <c r="R520" s="123">
        <f t="shared" si="6"/>
        <v>0.7741935484</v>
      </c>
      <c r="S520" s="123">
        <f t="shared" si="3"/>
        <v>1.064516129</v>
      </c>
      <c r="T520" s="123">
        <f t="shared" si="4"/>
        <v>2.806451613</v>
      </c>
      <c r="U520" s="41">
        <v>11.0</v>
      </c>
      <c r="V520" s="41">
        <v>1.0</v>
      </c>
      <c r="W520" s="41">
        <v>1.0</v>
      </c>
      <c r="X520" s="41">
        <v>4.0</v>
      </c>
      <c r="Y520" s="41">
        <v>26.0</v>
      </c>
      <c r="Z520" s="41">
        <v>33.0</v>
      </c>
    </row>
    <row r="521">
      <c r="A521" s="41" t="s">
        <v>904</v>
      </c>
      <c r="B521" s="41" t="s">
        <v>722</v>
      </c>
      <c r="C521" s="41" t="s">
        <v>1683</v>
      </c>
      <c r="D521" s="41" t="s">
        <v>1684</v>
      </c>
      <c r="E521" s="41">
        <v>10.0</v>
      </c>
      <c r="F521" s="41">
        <v>3.0</v>
      </c>
      <c r="G521" s="41">
        <v>7.0</v>
      </c>
      <c r="H521" s="125">
        <v>0.3</v>
      </c>
      <c r="I521" s="41">
        <v>0.0</v>
      </c>
      <c r="J521" s="41">
        <v>2375.0</v>
      </c>
      <c r="K521" s="41">
        <v>4.0</v>
      </c>
      <c r="L521" s="41">
        <v>2.0</v>
      </c>
      <c r="M521" s="41">
        <v>9.0</v>
      </c>
      <c r="N521" s="41">
        <v>17.0</v>
      </c>
      <c r="O521" s="122">
        <f t="shared" si="1"/>
        <v>0.2352941176</v>
      </c>
      <c r="P521" s="123">
        <f t="shared" si="5"/>
        <v>237.5</v>
      </c>
      <c r="Q521" s="123">
        <f t="shared" si="2"/>
        <v>0.4</v>
      </c>
      <c r="R521" s="123">
        <f t="shared" si="6"/>
        <v>0.2</v>
      </c>
      <c r="S521" s="123">
        <f t="shared" si="3"/>
        <v>0.9</v>
      </c>
      <c r="T521" s="123">
        <f t="shared" si="4"/>
        <v>1.7</v>
      </c>
      <c r="U521" s="41">
        <v>0.0</v>
      </c>
      <c r="V521" s="41">
        <v>0.0</v>
      </c>
      <c r="W521" s="41">
        <v>0.0</v>
      </c>
      <c r="X521" s="41">
        <v>0.0</v>
      </c>
      <c r="Y521" s="41">
        <v>28.0</v>
      </c>
      <c r="Z521" s="41">
        <v>9.0</v>
      </c>
    </row>
    <row r="522">
      <c r="A522" s="41" t="s">
        <v>899</v>
      </c>
      <c r="B522" s="41" t="s">
        <v>425</v>
      </c>
      <c r="C522" s="41" t="s">
        <v>1685</v>
      </c>
      <c r="D522" s="41" t="s">
        <v>1278</v>
      </c>
      <c r="E522" s="41">
        <v>52.0</v>
      </c>
      <c r="F522" s="41">
        <v>33.0</v>
      </c>
      <c r="G522" s="41">
        <v>19.0</v>
      </c>
      <c r="H522" s="125">
        <v>0.6346153846153846</v>
      </c>
      <c r="I522" s="41">
        <v>11.0</v>
      </c>
      <c r="J522" s="41">
        <v>18227.0</v>
      </c>
      <c r="K522" s="41">
        <v>37.0</v>
      </c>
      <c r="L522" s="41">
        <v>28.0</v>
      </c>
      <c r="M522" s="41">
        <v>69.0</v>
      </c>
      <c r="N522" s="41">
        <v>144.0</v>
      </c>
      <c r="O522" s="122">
        <f t="shared" si="1"/>
        <v>0.2569444444</v>
      </c>
      <c r="P522" s="123">
        <f t="shared" si="5"/>
        <v>350.5192308</v>
      </c>
      <c r="Q522" s="123">
        <f t="shared" si="2"/>
        <v>0.7115384615</v>
      </c>
      <c r="R522" s="123">
        <f t="shared" si="6"/>
        <v>0.5384615385</v>
      </c>
      <c r="S522" s="123">
        <f t="shared" si="3"/>
        <v>1.326923077</v>
      </c>
      <c r="T522" s="123">
        <f t="shared" si="4"/>
        <v>2.769230769</v>
      </c>
      <c r="U522" s="41">
        <v>5.0</v>
      </c>
      <c r="V522" s="41">
        <v>2.0</v>
      </c>
      <c r="W522" s="41">
        <v>1.0</v>
      </c>
      <c r="X522" s="41">
        <v>9.0</v>
      </c>
      <c r="Y522" s="41">
        <v>78.0</v>
      </c>
      <c r="Z522" s="41">
        <v>64.0</v>
      </c>
    </row>
    <row r="523">
      <c r="A523" s="41" t="s">
        <v>905</v>
      </c>
      <c r="B523" s="41" t="s">
        <v>206</v>
      </c>
      <c r="C523" s="41" t="s">
        <v>1686</v>
      </c>
      <c r="D523" s="41" t="s">
        <v>1687</v>
      </c>
      <c r="E523" s="41">
        <v>13.0</v>
      </c>
      <c r="F523" s="41">
        <v>4.0</v>
      </c>
      <c r="G523" s="41">
        <v>9.0</v>
      </c>
      <c r="H523" s="125">
        <v>0.3076923076923077</v>
      </c>
      <c r="I523" s="41">
        <v>1.0</v>
      </c>
      <c r="J523" s="41">
        <v>4163.0</v>
      </c>
      <c r="K523" s="41">
        <v>6.0</v>
      </c>
      <c r="L523" s="41">
        <v>10.0</v>
      </c>
      <c r="M523" s="41">
        <v>15.0</v>
      </c>
      <c r="N523" s="41">
        <v>30.0</v>
      </c>
      <c r="O523" s="122">
        <f t="shared" si="1"/>
        <v>0.2</v>
      </c>
      <c r="P523" s="123">
        <f t="shared" si="5"/>
        <v>320.2307692</v>
      </c>
      <c r="Q523" s="123">
        <f t="shared" si="2"/>
        <v>0.4615384615</v>
      </c>
      <c r="R523" s="123">
        <f t="shared" si="6"/>
        <v>0.7692307692</v>
      </c>
      <c r="S523" s="123">
        <f t="shared" si="3"/>
        <v>1.153846154</v>
      </c>
      <c r="T523" s="123">
        <f t="shared" si="4"/>
        <v>2.307692308</v>
      </c>
      <c r="U523" s="41">
        <v>3.0</v>
      </c>
      <c r="V523" s="41">
        <v>0.0</v>
      </c>
      <c r="W523" s="41">
        <v>0.0</v>
      </c>
      <c r="X523" s="41">
        <v>1.0</v>
      </c>
      <c r="Y523" s="41">
        <v>7.0</v>
      </c>
      <c r="Z523" s="41">
        <v>16.0</v>
      </c>
    </row>
    <row r="524">
      <c r="A524" s="41" t="s">
        <v>905</v>
      </c>
      <c r="B524" s="41" t="s">
        <v>223</v>
      </c>
      <c r="C524" s="41" t="s">
        <v>1688</v>
      </c>
      <c r="D524" s="41" t="s">
        <v>1331</v>
      </c>
      <c r="E524" s="41">
        <v>46.0</v>
      </c>
      <c r="F524" s="41">
        <v>22.0</v>
      </c>
      <c r="G524" s="41">
        <v>24.0</v>
      </c>
      <c r="H524" s="125">
        <v>0.4782608695652174</v>
      </c>
      <c r="I524" s="41">
        <v>3.0</v>
      </c>
      <c r="J524" s="41">
        <v>13882.0</v>
      </c>
      <c r="K524" s="41">
        <v>24.0</v>
      </c>
      <c r="L524" s="41">
        <v>19.0</v>
      </c>
      <c r="M524" s="41">
        <v>72.0</v>
      </c>
      <c r="N524" s="41">
        <v>83.0</v>
      </c>
      <c r="O524" s="122">
        <f t="shared" si="1"/>
        <v>0.2891566265</v>
      </c>
      <c r="P524" s="123">
        <f t="shared" si="5"/>
        <v>301.7826087</v>
      </c>
      <c r="Q524" s="123">
        <f t="shared" si="2"/>
        <v>0.5217391304</v>
      </c>
      <c r="R524" s="123">
        <f t="shared" si="6"/>
        <v>0.4130434783</v>
      </c>
      <c r="S524" s="123">
        <f t="shared" si="3"/>
        <v>1.565217391</v>
      </c>
      <c r="T524" s="123">
        <f t="shared" si="4"/>
        <v>1.804347826</v>
      </c>
      <c r="U524" s="41">
        <v>5.0</v>
      </c>
      <c r="V524" s="41">
        <v>0.0</v>
      </c>
      <c r="W524" s="41">
        <v>2.0</v>
      </c>
      <c r="X524" s="41">
        <v>8.0</v>
      </c>
      <c r="Y524" s="41">
        <v>32.0</v>
      </c>
      <c r="Z524" s="41">
        <v>37.0</v>
      </c>
    </row>
    <row r="525">
      <c r="A525" s="41" t="s">
        <v>905</v>
      </c>
      <c r="B525" s="41" t="s">
        <v>243</v>
      </c>
      <c r="C525" s="41" t="s">
        <v>1689</v>
      </c>
      <c r="D525" s="41" t="s">
        <v>1690</v>
      </c>
      <c r="E525" s="41">
        <v>31.0</v>
      </c>
      <c r="F525" s="41">
        <v>12.0</v>
      </c>
      <c r="G525" s="41">
        <v>19.0</v>
      </c>
      <c r="H525" s="125">
        <v>0.3870967741935484</v>
      </c>
      <c r="I525" s="41">
        <v>4.0</v>
      </c>
      <c r="J525" s="41">
        <v>8747.0</v>
      </c>
      <c r="K525" s="41">
        <v>15.0</v>
      </c>
      <c r="L525" s="41">
        <v>14.0</v>
      </c>
      <c r="M525" s="41">
        <v>35.0</v>
      </c>
      <c r="N525" s="41">
        <v>48.0</v>
      </c>
      <c r="O525" s="122">
        <f t="shared" si="1"/>
        <v>0.3125</v>
      </c>
      <c r="P525" s="123">
        <f t="shared" si="5"/>
        <v>282.1612903</v>
      </c>
      <c r="Q525" s="123">
        <f t="shared" si="2"/>
        <v>0.4838709677</v>
      </c>
      <c r="R525" s="123">
        <f t="shared" si="6"/>
        <v>0.4516129032</v>
      </c>
      <c r="S525" s="123">
        <f t="shared" si="3"/>
        <v>1.129032258</v>
      </c>
      <c r="T525" s="123">
        <f t="shared" si="4"/>
        <v>1.548387097</v>
      </c>
      <c r="U525" s="41">
        <v>3.0</v>
      </c>
      <c r="V525" s="41">
        <v>0.0</v>
      </c>
      <c r="W525" s="41">
        <v>0.0</v>
      </c>
      <c r="X525" s="41">
        <v>3.0</v>
      </c>
      <c r="Y525" s="41">
        <v>45.0</v>
      </c>
      <c r="Z525" s="41">
        <v>27.0</v>
      </c>
    </row>
    <row r="526">
      <c r="A526" s="41" t="s">
        <v>904</v>
      </c>
      <c r="B526" s="41" t="s">
        <v>648</v>
      </c>
      <c r="C526" s="41" t="s">
        <v>1691</v>
      </c>
      <c r="D526" s="41" t="s">
        <v>1692</v>
      </c>
      <c r="E526" s="41">
        <v>13.0</v>
      </c>
      <c r="F526" s="41">
        <v>4.0</v>
      </c>
      <c r="G526" s="41">
        <v>9.0</v>
      </c>
      <c r="H526" s="125">
        <v>0.3076923076923077</v>
      </c>
      <c r="I526" s="41">
        <v>1.0</v>
      </c>
      <c r="J526" s="41">
        <v>4331.0</v>
      </c>
      <c r="K526" s="41">
        <v>11.0</v>
      </c>
      <c r="L526" s="41">
        <v>8.0</v>
      </c>
      <c r="M526" s="41">
        <v>14.0</v>
      </c>
      <c r="N526" s="41">
        <v>22.0</v>
      </c>
      <c r="O526" s="122">
        <f t="shared" si="1"/>
        <v>0.5</v>
      </c>
      <c r="P526" s="123">
        <f t="shared" si="5"/>
        <v>333.1538462</v>
      </c>
      <c r="Q526" s="123">
        <f t="shared" si="2"/>
        <v>0.8461538462</v>
      </c>
      <c r="R526" s="123">
        <f t="shared" si="6"/>
        <v>0.6153846154</v>
      </c>
      <c r="S526" s="123">
        <f t="shared" si="3"/>
        <v>1.076923077</v>
      </c>
      <c r="T526" s="123">
        <f t="shared" si="4"/>
        <v>1.692307692</v>
      </c>
      <c r="U526" s="41">
        <v>3.0</v>
      </c>
      <c r="V526" s="41">
        <v>1.0</v>
      </c>
      <c r="W526" s="41">
        <v>0.0</v>
      </c>
      <c r="X526" s="41">
        <v>1.0</v>
      </c>
      <c r="Y526" s="41">
        <v>9.0</v>
      </c>
      <c r="Z526" s="41">
        <v>15.0</v>
      </c>
    </row>
    <row r="527">
      <c r="A527" s="41" t="s">
        <v>897</v>
      </c>
      <c r="B527" s="41" t="s">
        <v>477</v>
      </c>
      <c r="C527" s="41" t="s">
        <v>1693</v>
      </c>
      <c r="D527" s="41" t="s">
        <v>1084</v>
      </c>
      <c r="E527" s="41">
        <v>20.0</v>
      </c>
      <c r="F527" s="41">
        <v>10.0</v>
      </c>
      <c r="G527" s="41">
        <v>10.0</v>
      </c>
      <c r="H527" s="125">
        <v>0.5</v>
      </c>
      <c r="I527" s="41">
        <v>6.0</v>
      </c>
      <c r="J527" s="41">
        <v>10005.0</v>
      </c>
      <c r="K527" s="41">
        <v>22.0</v>
      </c>
      <c r="L527" s="41">
        <v>18.0</v>
      </c>
      <c r="M527" s="41">
        <v>43.0</v>
      </c>
      <c r="N527" s="41">
        <v>72.0</v>
      </c>
      <c r="O527" s="122">
        <f t="shared" si="1"/>
        <v>0.3055555556</v>
      </c>
      <c r="P527" s="123">
        <f t="shared" si="5"/>
        <v>500.25</v>
      </c>
      <c r="Q527" s="123">
        <f t="shared" si="2"/>
        <v>1.1</v>
      </c>
      <c r="R527" s="123">
        <f t="shared" si="6"/>
        <v>0.9</v>
      </c>
      <c r="S527" s="123">
        <f t="shared" si="3"/>
        <v>2.15</v>
      </c>
      <c r="T527" s="123">
        <f t="shared" si="4"/>
        <v>3.6</v>
      </c>
      <c r="U527" s="41">
        <v>10.0</v>
      </c>
      <c r="V527" s="41">
        <v>2.0</v>
      </c>
      <c r="W527" s="41">
        <v>0.0</v>
      </c>
      <c r="X527" s="41">
        <v>8.0</v>
      </c>
      <c r="Y527" s="41">
        <v>25.0</v>
      </c>
      <c r="Z527" s="41">
        <v>24.0</v>
      </c>
    </row>
    <row r="528">
      <c r="A528" s="41" t="s">
        <v>909</v>
      </c>
      <c r="B528" s="41" t="s">
        <v>98</v>
      </c>
      <c r="C528" s="41" t="s">
        <v>1694</v>
      </c>
      <c r="D528" s="41" t="s">
        <v>1695</v>
      </c>
      <c r="E528" s="41">
        <v>4.0</v>
      </c>
      <c r="F528" s="41">
        <v>0.0</v>
      </c>
      <c r="G528" s="41">
        <v>4.0</v>
      </c>
      <c r="H528" s="125">
        <v>0.0</v>
      </c>
      <c r="I528" s="41">
        <v>0.0</v>
      </c>
      <c r="J528" s="41">
        <v>1077.0</v>
      </c>
      <c r="K528" s="41">
        <v>2.0</v>
      </c>
      <c r="L528" s="41">
        <v>1.0</v>
      </c>
      <c r="M528" s="41">
        <v>4.0</v>
      </c>
      <c r="N528" s="41">
        <v>7.0</v>
      </c>
      <c r="O528" s="122">
        <f t="shared" si="1"/>
        <v>0.2857142857</v>
      </c>
      <c r="P528" s="123">
        <f t="shared" si="5"/>
        <v>269.25</v>
      </c>
      <c r="Q528" s="123">
        <f t="shared" si="2"/>
        <v>0.5</v>
      </c>
      <c r="R528" s="123">
        <f t="shared" si="6"/>
        <v>0.25</v>
      </c>
      <c r="S528" s="123">
        <f t="shared" si="3"/>
        <v>1</v>
      </c>
      <c r="T528" s="123">
        <f t="shared" si="4"/>
        <v>1.75</v>
      </c>
      <c r="U528" s="41">
        <v>0.0</v>
      </c>
      <c r="V528" s="41">
        <v>0.0</v>
      </c>
      <c r="W528" s="41">
        <v>0.0</v>
      </c>
      <c r="X528" s="41">
        <v>0.0</v>
      </c>
      <c r="Y528" s="41">
        <v>5.0</v>
      </c>
      <c r="Z528" s="41">
        <v>8.0</v>
      </c>
    </row>
    <row r="529">
      <c r="A529" s="41" t="s">
        <v>906</v>
      </c>
      <c r="B529" s="41" t="s">
        <v>556</v>
      </c>
      <c r="C529" s="41" t="s">
        <v>1696</v>
      </c>
      <c r="D529" s="41" t="s">
        <v>1697</v>
      </c>
      <c r="E529" s="41">
        <v>42.0</v>
      </c>
      <c r="F529" s="41">
        <v>18.0</v>
      </c>
      <c r="G529" s="41">
        <v>24.0</v>
      </c>
      <c r="H529" s="125">
        <v>0.42857142857142855</v>
      </c>
      <c r="I529" s="41">
        <v>5.0</v>
      </c>
      <c r="J529" s="41">
        <v>12041.0</v>
      </c>
      <c r="K529" s="41">
        <v>32.0</v>
      </c>
      <c r="L529" s="41">
        <v>16.0</v>
      </c>
      <c r="M529" s="41">
        <v>41.0</v>
      </c>
      <c r="N529" s="41">
        <v>84.0</v>
      </c>
      <c r="O529" s="122">
        <f t="shared" si="1"/>
        <v>0.380952381</v>
      </c>
      <c r="P529" s="123">
        <f t="shared" si="5"/>
        <v>286.6904762</v>
      </c>
      <c r="Q529" s="123">
        <f t="shared" si="2"/>
        <v>0.7619047619</v>
      </c>
      <c r="R529" s="123">
        <f t="shared" si="6"/>
        <v>0.380952381</v>
      </c>
      <c r="S529" s="123">
        <f t="shared" si="3"/>
        <v>0.9761904762</v>
      </c>
      <c r="T529" s="123">
        <f t="shared" si="4"/>
        <v>2</v>
      </c>
      <c r="U529" s="41">
        <v>3.0</v>
      </c>
      <c r="V529" s="41">
        <v>1.0</v>
      </c>
      <c r="W529" s="41">
        <v>0.0</v>
      </c>
      <c r="X529" s="41">
        <v>2.0</v>
      </c>
      <c r="Y529" s="41">
        <v>21.0</v>
      </c>
      <c r="Z529" s="41">
        <v>35.0</v>
      </c>
    </row>
    <row r="530">
      <c r="A530" s="41" t="s">
        <v>909</v>
      </c>
      <c r="B530" s="41" t="s">
        <v>71</v>
      </c>
      <c r="C530" s="41" t="s">
        <v>1698</v>
      </c>
      <c r="D530" s="41" t="s">
        <v>1293</v>
      </c>
      <c r="E530" s="41">
        <v>46.0</v>
      </c>
      <c r="F530" s="41">
        <v>20.0</v>
      </c>
      <c r="G530" s="41">
        <v>26.0</v>
      </c>
      <c r="H530" s="125">
        <v>0.43478260869565216</v>
      </c>
      <c r="I530" s="41">
        <v>14.0</v>
      </c>
      <c r="J530" s="41">
        <v>17796.0</v>
      </c>
      <c r="K530" s="41">
        <v>46.0</v>
      </c>
      <c r="L530" s="41">
        <v>20.0</v>
      </c>
      <c r="M530" s="41">
        <v>74.0</v>
      </c>
      <c r="N530" s="41">
        <v>126.0</v>
      </c>
      <c r="O530" s="122">
        <f t="shared" si="1"/>
        <v>0.3650793651</v>
      </c>
      <c r="P530" s="123">
        <f t="shared" si="5"/>
        <v>386.8695652</v>
      </c>
      <c r="Q530" s="123">
        <f t="shared" si="2"/>
        <v>1</v>
      </c>
      <c r="R530" s="123">
        <f t="shared" si="6"/>
        <v>0.4347826087</v>
      </c>
      <c r="S530" s="123">
        <f t="shared" si="3"/>
        <v>1.608695652</v>
      </c>
      <c r="T530" s="123">
        <f t="shared" si="4"/>
        <v>2.739130435</v>
      </c>
      <c r="U530" s="41">
        <v>12.0</v>
      </c>
      <c r="V530" s="41">
        <v>2.0</v>
      </c>
      <c r="W530" s="41">
        <v>0.0</v>
      </c>
      <c r="X530" s="41">
        <v>7.0</v>
      </c>
      <c r="Y530" s="41">
        <v>25.0</v>
      </c>
      <c r="Z530" s="41">
        <v>34.0</v>
      </c>
    </row>
    <row r="531">
      <c r="A531" s="41" t="s">
        <v>901</v>
      </c>
      <c r="B531" s="41" t="s">
        <v>349</v>
      </c>
      <c r="C531" s="41" t="s">
        <v>1699</v>
      </c>
      <c r="D531" s="41" t="s">
        <v>1640</v>
      </c>
      <c r="E531" s="41">
        <v>23.0</v>
      </c>
      <c r="F531" s="41">
        <v>13.0</v>
      </c>
      <c r="G531" s="41">
        <v>10.0</v>
      </c>
      <c r="H531" s="125">
        <v>0.5652173913043478</v>
      </c>
      <c r="I531" s="41">
        <v>6.0</v>
      </c>
      <c r="J531" s="41">
        <v>8270.0</v>
      </c>
      <c r="K531" s="41">
        <v>18.0</v>
      </c>
      <c r="L531" s="41">
        <v>13.0</v>
      </c>
      <c r="M531" s="41">
        <v>39.0</v>
      </c>
      <c r="N531" s="41">
        <v>50.0</v>
      </c>
      <c r="O531" s="122">
        <f t="shared" si="1"/>
        <v>0.36</v>
      </c>
      <c r="P531" s="123">
        <f t="shared" si="5"/>
        <v>359.5652174</v>
      </c>
      <c r="Q531" s="123">
        <f t="shared" si="2"/>
        <v>0.7826086957</v>
      </c>
      <c r="R531" s="123">
        <f t="shared" si="6"/>
        <v>0.5652173913</v>
      </c>
      <c r="S531" s="123">
        <f t="shared" si="3"/>
        <v>1.695652174</v>
      </c>
      <c r="T531" s="123">
        <f t="shared" si="4"/>
        <v>2.173913043</v>
      </c>
      <c r="U531" s="41">
        <v>4.0</v>
      </c>
      <c r="V531" s="41">
        <v>1.0</v>
      </c>
      <c r="W531" s="41">
        <v>0.0</v>
      </c>
      <c r="X531" s="41">
        <v>6.0</v>
      </c>
      <c r="Y531" s="41">
        <v>15.0</v>
      </c>
      <c r="Z531" s="41">
        <v>21.0</v>
      </c>
    </row>
    <row r="532">
      <c r="A532" s="41" t="s">
        <v>902</v>
      </c>
      <c r="B532" s="41" t="s">
        <v>815</v>
      </c>
      <c r="C532" s="41" t="s">
        <v>1700</v>
      </c>
      <c r="D532" s="41" t="s">
        <v>1092</v>
      </c>
      <c r="E532" s="41">
        <v>12.0</v>
      </c>
      <c r="F532" s="41">
        <v>6.0</v>
      </c>
      <c r="G532" s="41">
        <v>6.0</v>
      </c>
      <c r="H532" s="125">
        <v>0.5</v>
      </c>
      <c r="I532" s="41">
        <v>1.0</v>
      </c>
      <c r="J532" s="41">
        <v>4085.0</v>
      </c>
      <c r="K532" s="41">
        <v>9.0</v>
      </c>
      <c r="L532" s="41">
        <v>6.0</v>
      </c>
      <c r="M532" s="41">
        <v>12.0</v>
      </c>
      <c r="N532" s="41">
        <v>36.0</v>
      </c>
      <c r="O532" s="122">
        <f t="shared" si="1"/>
        <v>0.25</v>
      </c>
      <c r="P532" s="123">
        <f t="shared" si="5"/>
        <v>340.4166667</v>
      </c>
      <c r="Q532" s="123">
        <f t="shared" si="2"/>
        <v>0.75</v>
      </c>
      <c r="R532" s="123">
        <f t="shared" si="6"/>
        <v>0.5</v>
      </c>
      <c r="S532" s="123">
        <f t="shared" si="3"/>
        <v>1</v>
      </c>
      <c r="T532" s="123">
        <f t="shared" si="4"/>
        <v>3</v>
      </c>
      <c r="U532" s="41">
        <v>1.0</v>
      </c>
      <c r="V532" s="41">
        <v>0.0</v>
      </c>
      <c r="W532" s="41">
        <v>0.0</v>
      </c>
      <c r="X532" s="41">
        <v>1.0</v>
      </c>
      <c r="Y532" s="41">
        <v>19.0</v>
      </c>
      <c r="Z532" s="41">
        <v>15.0</v>
      </c>
    </row>
    <row r="533">
      <c r="A533" s="41" t="s">
        <v>902</v>
      </c>
      <c r="B533" s="41" t="s">
        <v>770</v>
      </c>
      <c r="C533" s="41" t="s">
        <v>1701</v>
      </c>
      <c r="D533" s="41" t="s">
        <v>1130</v>
      </c>
      <c r="E533" s="41">
        <v>37.0</v>
      </c>
      <c r="F533" s="41">
        <v>20.0</v>
      </c>
      <c r="G533" s="41">
        <v>17.0</v>
      </c>
      <c r="H533" s="125">
        <v>0.5405405405405406</v>
      </c>
      <c r="I533" s="41">
        <v>8.0</v>
      </c>
      <c r="J533" s="41">
        <v>13504.0</v>
      </c>
      <c r="K533" s="41">
        <v>33.0</v>
      </c>
      <c r="L533" s="41">
        <v>19.0</v>
      </c>
      <c r="M533" s="41">
        <v>45.0</v>
      </c>
      <c r="N533" s="41">
        <v>114.0</v>
      </c>
      <c r="O533" s="122">
        <f t="shared" si="1"/>
        <v>0.2894736842</v>
      </c>
      <c r="P533" s="123">
        <f t="shared" si="5"/>
        <v>364.972973</v>
      </c>
      <c r="Q533" s="123">
        <f t="shared" si="2"/>
        <v>0.8918918919</v>
      </c>
      <c r="R533" s="123">
        <f t="shared" si="6"/>
        <v>0.5135135135</v>
      </c>
      <c r="S533" s="123">
        <f t="shared" si="3"/>
        <v>1.216216216</v>
      </c>
      <c r="T533" s="123">
        <f t="shared" si="4"/>
        <v>3.081081081</v>
      </c>
      <c r="U533" s="41">
        <v>4.0</v>
      </c>
      <c r="V533" s="41">
        <v>3.0</v>
      </c>
      <c r="W533" s="41">
        <v>0.0</v>
      </c>
      <c r="X533" s="41">
        <v>5.0</v>
      </c>
      <c r="Y533" s="41">
        <v>35.0</v>
      </c>
      <c r="Z533" s="41">
        <v>47.0</v>
      </c>
    </row>
    <row r="534">
      <c r="A534" s="41" t="s">
        <v>901</v>
      </c>
      <c r="B534" s="41" t="s">
        <v>334</v>
      </c>
      <c r="C534" s="41" t="s">
        <v>1702</v>
      </c>
      <c r="D534" s="41" t="s">
        <v>1004</v>
      </c>
      <c r="E534" s="41">
        <v>4.0</v>
      </c>
      <c r="F534" s="41">
        <v>2.0</v>
      </c>
      <c r="G534" s="41">
        <v>2.0</v>
      </c>
      <c r="H534" s="125">
        <v>0.5</v>
      </c>
      <c r="I534" s="41">
        <v>1.0</v>
      </c>
      <c r="J534" s="41">
        <v>1386.0</v>
      </c>
      <c r="K534" s="41">
        <v>4.0</v>
      </c>
      <c r="L534" s="41">
        <v>0.0</v>
      </c>
      <c r="M534" s="41">
        <v>6.0</v>
      </c>
      <c r="N534" s="41">
        <v>11.0</v>
      </c>
      <c r="O534" s="122">
        <f t="shared" si="1"/>
        <v>0.3636363636</v>
      </c>
      <c r="P534" s="123">
        <f t="shared" si="5"/>
        <v>346.5</v>
      </c>
      <c r="Q534" s="123">
        <f t="shared" si="2"/>
        <v>1</v>
      </c>
      <c r="R534" s="123">
        <f t="shared" si="6"/>
        <v>0</v>
      </c>
      <c r="S534" s="123">
        <f t="shared" si="3"/>
        <v>1.5</v>
      </c>
      <c r="T534" s="123">
        <f t="shared" si="4"/>
        <v>2.75</v>
      </c>
      <c r="U534" s="41">
        <v>0.0</v>
      </c>
      <c r="V534" s="41">
        <v>0.0</v>
      </c>
      <c r="W534" s="41">
        <v>0.0</v>
      </c>
      <c r="X534" s="41">
        <v>1.0</v>
      </c>
      <c r="Y534" s="41">
        <v>6.0</v>
      </c>
      <c r="Z534" s="41">
        <v>5.0</v>
      </c>
    </row>
    <row r="535">
      <c r="A535" s="41" t="s">
        <v>904</v>
      </c>
      <c r="B535" s="41" t="s">
        <v>600</v>
      </c>
      <c r="C535" s="41" t="s">
        <v>1703</v>
      </c>
      <c r="D535" s="41" t="s">
        <v>1388</v>
      </c>
      <c r="E535" s="41">
        <v>4.0</v>
      </c>
      <c r="F535" s="41">
        <v>1.0</v>
      </c>
      <c r="G535" s="41">
        <v>3.0</v>
      </c>
      <c r="H535" s="125">
        <v>0.25</v>
      </c>
      <c r="I535" s="41">
        <v>0.0</v>
      </c>
      <c r="J535" s="41">
        <v>1514.0</v>
      </c>
      <c r="K535" s="41">
        <v>5.0</v>
      </c>
      <c r="L535" s="41">
        <v>1.0</v>
      </c>
      <c r="M535" s="41">
        <v>5.0</v>
      </c>
      <c r="N535" s="41">
        <v>10.0</v>
      </c>
      <c r="O535" s="122">
        <f t="shared" si="1"/>
        <v>0.5</v>
      </c>
      <c r="P535" s="123">
        <f t="shared" si="5"/>
        <v>378.5</v>
      </c>
      <c r="Q535" s="123">
        <f t="shared" si="2"/>
        <v>1.25</v>
      </c>
      <c r="R535" s="123">
        <f t="shared" si="6"/>
        <v>0.25</v>
      </c>
      <c r="S535" s="123">
        <f t="shared" si="3"/>
        <v>1.25</v>
      </c>
      <c r="T535" s="123">
        <f t="shared" si="4"/>
        <v>2.5</v>
      </c>
      <c r="U535" s="41">
        <v>0.0</v>
      </c>
      <c r="V535" s="41">
        <v>0.0</v>
      </c>
      <c r="W535" s="41">
        <v>0.0</v>
      </c>
      <c r="X535" s="41">
        <v>1.0</v>
      </c>
      <c r="Y535" s="41">
        <v>8.0</v>
      </c>
      <c r="Z535" s="41">
        <v>2.0</v>
      </c>
    </row>
    <row r="536">
      <c r="A536" s="41" t="s">
        <v>899</v>
      </c>
      <c r="B536" s="41" t="s">
        <v>463</v>
      </c>
      <c r="C536" s="41" t="s">
        <v>1704</v>
      </c>
      <c r="D536" s="41" t="s">
        <v>1260</v>
      </c>
      <c r="E536" s="41">
        <v>20.0</v>
      </c>
      <c r="F536" s="41">
        <v>6.0</v>
      </c>
      <c r="G536" s="41">
        <v>14.0</v>
      </c>
      <c r="H536" s="125">
        <v>0.3</v>
      </c>
      <c r="I536" s="41">
        <v>3.0</v>
      </c>
      <c r="J536" s="41">
        <v>5372.0</v>
      </c>
      <c r="K536" s="41">
        <v>14.0</v>
      </c>
      <c r="L536" s="41">
        <v>2.0</v>
      </c>
      <c r="M536" s="41">
        <v>30.0</v>
      </c>
      <c r="N536" s="41">
        <v>38.0</v>
      </c>
      <c r="O536" s="122">
        <f t="shared" si="1"/>
        <v>0.3684210526</v>
      </c>
      <c r="P536" s="123">
        <f t="shared" si="5"/>
        <v>268.6</v>
      </c>
      <c r="Q536" s="123">
        <f t="shared" si="2"/>
        <v>0.7</v>
      </c>
      <c r="R536" s="123">
        <f t="shared" si="6"/>
        <v>0.1</v>
      </c>
      <c r="S536" s="123">
        <f t="shared" si="3"/>
        <v>1.5</v>
      </c>
      <c r="T536" s="123">
        <f t="shared" si="4"/>
        <v>1.9</v>
      </c>
      <c r="U536" s="41">
        <v>0.0</v>
      </c>
      <c r="V536" s="41">
        <v>1.0</v>
      </c>
      <c r="W536" s="41">
        <v>0.0</v>
      </c>
      <c r="X536" s="41">
        <v>6.0</v>
      </c>
      <c r="Y536" s="41">
        <v>17.0</v>
      </c>
      <c r="Z536" s="41">
        <v>22.0</v>
      </c>
    </row>
    <row r="537">
      <c r="A537" s="41" t="s">
        <v>902</v>
      </c>
      <c r="B537" s="41" t="s">
        <v>730</v>
      </c>
      <c r="C537" s="41" t="s">
        <v>1705</v>
      </c>
      <c r="D537" s="41" t="s">
        <v>1194</v>
      </c>
      <c r="E537" s="41">
        <v>4.0</v>
      </c>
      <c r="F537" s="41">
        <v>3.0</v>
      </c>
      <c r="G537" s="41">
        <v>1.0</v>
      </c>
      <c r="H537" s="125">
        <v>0.75</v>
      </c>
      <c r="I537" s="41">
        <v>1.0</v>
      </c>
      <c r="J537" s="41">
        <v>1189.0</v>
      </c>
      <c r="K537" s="41">
        <v>2.0</v>
      </c>
      <c r="L537" s="41">
        <v>4.0</v>
      </c>
      <c r="M537" s="41">
        <v>3.0</v>
      </c>
      <c r="N537" s="41">
        <v>6.0</v>
      </c>
      <c r="O537" s="122">
        <f t="shared" si="1"/>
        <v>0.3333333333</v>
      </c>
      <c r="P537" s="123">
        <f t="shared" si="5"/>
        <v>297.25</v>
      </c>
      <c r="Q537" s="123">
        <f t="shared" si="2"/>
        <v>0.5</v>
      </c>
      <c r="R537" s="123">
        <f t="shared" si="6"/>
        <v>1</v>
      </c>
      <c r="S537" s="123">
        <f t="shared" si="3"/>
        <v>0.75</v>
      </c>
      <c r="T537" s="123">
        <f t="shared" si="4"/>
        <v>1.5</v>
      </c>
      <c r="U537" s="41">
        <v>1.0</v>
      </c>
      <c r="V537" s="41">
        <v>0.0</v>
      </c>
      <c r="W537" s="41">
        <v>0.0</v>
      </c>
      <c r="X537" s="41">
        <v>0.0</v>
      </c>
      <c r="Y537" s="41">
        <v>3.0</v>
      </c>
      <c r="Z537" s="41">
        <v>2.0</v>
      </c>
    </row>
    <row r="538">
      <c r="A538" s="41" t="s">
        <v>905</v>
      </c>
      <c r="B538" s="41" t="s">
        <v>183</v>
      </c>
      <c r="C538" s="41" t="s">
        <v>1706</v>
      </c>
      <c r="D538" s="41" t="s">
        <v>1206</v>
      </c>
      <c r="E538" s="41">
        <v>45.0</v>
      </c>
      <c r="F538" s="41">
        <v>21.0</v>
      </c>
      <c r="G538" s="41">
        <v>24.0</v>
      </c>
      <c r="H538" s="125">
        <v>0.4666666666666667</v>
      </c>
      <c r="I538" s="41">
        <v>7.0</v>
      </c>
      <c r="J538" s="41">
        <v>14074.0</v>
      </c>
      <c r="K538" s="41">
        <v>33.0</v>
      </c>
      <c r="L538" s="41">
        <v>26.0</v>
      </c>
      <c r="M538" s="41">
        <v>39.0</v>
      </c>
      <c r="N538" s="41">
        <v>110.0</v>
      </c>
      <c r="O538" s="122">
        <f t="shared" si="1"/>
        <v>0.3</v>
      </c>
      <c r="P538" s="123">
        <f t="shared" si="5"/>
        <v>312.7555556</v>
      </c>
      <c r="Q538" s="123">
        <f t="shared" si="2"/>
        <v>0.7333333333</v>
      </c>
      <c r="R538" s="123">
        <f t="shared" si="6"/>
        <v>0.5777777778</v>
      </c>
      <c r="S538" s="123">
        <f t="shared" si="3"/>
        <v>0.8666666667</v>
      </c>
      <c r="T538" s="123">
        <f t="shared" si="4"/>
        <v>2.444444444</v>
      </c>
      <c r="U538" s="41">
        <v>6.0</v>
      </c>
      <c r="V538" s="41">
        <v>2.0</v>
      </c>
      <c r="W538" s="41">
        <v>2.0</v>
      </c>
      <c r="X538" s="41">
        <v>2.0</v>
      </c>
      <c r="Y538" s="41">
        <v>41.0</v>
      </c>
      <c r="Z538" s="41">
        <v>53.0</v>
      </c>
    </row>
    <row r="539">
      <c r="A539" s="41" t="s">
        <v>902</v>
      </c>
      <c r="B539" s="41" t="s">
        <v>784</v>
      </c>
      <c r="C539" s="41" t="s">
        <v>1707</v>
      </c>
      <c r="D539" s="41" t="s">
        <v>1351</v>
      </c>
      <c r="E539" s="41">
        <v>44.0</v>
      </c>
      <c r="F539" s="41">
        <v>17.0</v>
      </c>
      <c r="G539" s="41">
        <v>27.0</v>
      </c>
      <c r="H539" s="125">
        <v>0.38636363636363635</v>
      </c>
      <c r="I539" s="41">
        <v>9.0</v>
      </c>
      <c r="J539" s="41">
        <v>17192.0</v>
      </c>
      <c r="K539" s="41">
        <v>32.0</v>
      </c>
      <c r="L539" s="41">
        <v>25.0</v>
      </c>
      <c r="M539" s="41">
        <v>74.0</v>
      </c>
      <c r="N539" s="41">
        <v>117.0</v>
      </c>
      <c r="O539" s="122">
        <f t="shared" si="1"/>
        <v>0.2735042735</v>
      </c>
      <c r="P539" s="123">
        <f t="shared" si="5"/>
        <v>390.7272727</v>
      </c>
      <c r="Q539" s="123">
        <f t="shared" si="2"/>
        <v>0.7272727273</v>
      </c>
      <c r="R539" s="123">
        <f t="shared" si="6"/>
        <v>0.5681818182</v>
      </c>
      <c r="S539" s="123">
        <f t="shared" si="3"/>
        <v>1.681818182</v>
      </c>
      <c r="T539" s="123">
        <f t="shared" si="4"/>
        <v>2.659090909</v>
      </c>
      <c r="U539" s="41">
        <v>11.0</v>
      </c>
      <c r="V539" s="41">
        <v>3.0</v>
      </c>
      <c r="W539" s="41">
        <v>0.0</v>
      </c>
      <c r="X539" s="41">
        <v>11.0</v>
      </c>
      <c r="Y539" s="41">
        <v>50.0</v>
      </c>
      <c r="Z539" s="41">
        <v>48.0</v>
      </c>
    </row>
    <row r="540">
      <c r="A540" s="41" t="s">
        <v>906</v>
      </c>
      <c r="B540" s="41" t="s">
        <v>571</v>
      </c>
      <c r="C540" s="41" t="s">
        <v>1708</v>
      </c>
      <c r="D540" s="41" t="s">
        <v>1005</v>
      </c>
      <c r="E540" s="41">
        <v>19.0</v>
      </c>
      <c r="F540" s="41">
        <v>4.0</v>
      </c>
      <c r="G540" s="41">
        <v>15.0</v>
      </c>
      <c r="H540" s="125">
        <v>0.21052631578947367</v>
      </c>
      <c r="I540" s="41">
        <v>1.0</v>
      </c>
      <c r="J540" s="41">
        <v>4372.0</v>
      </c>
      <c r="K540" s="41">
        <v>6.0</v>
      </c>
      <c r="L540" s="41">
        <v>7.0</v>
      </c>
      <c r="M540" s="41">
        <v>16.0</v>
      </c>
      <c r="N540" s="41">
        <v>25.0</v>
      </c>
      <c r="O540" s="122">
        <f t="shared" si="1"/>
        <v>0.24</v>
      </c>
      <c r="P540" s="123">
        <f t="shared" si="5"/>
        <v>230.1052632</v>
      </c>
      <c r="Q540" s="123">
        <f t="shared" si="2"/>
        <v>0.3157894737</v>
      </c>
      <c r="R540" s="123">
        <f t="shared" si="6"/>
        <v>0.3684210526</v>
      </c>
      <c r="S540" s="123">
        <f t="shared" si="3"/>
        <v>0.8421052632</v>
      </c>
      <c r="T540" s="123">
        <f t="shared" si="4"/>
        <v>1.315789474</v>
      </c>
      <c r="U540" s="41">
        <v>2.0</v>
      </c>
      <c r="V540" s="41">
        <v>0.0</v>
      </c>
      <c r="W540" s="41">
        <v>0.0</v>
      </c>
      <c r="X540" s="41">
        <v>1.0</v>
      </c>
      <c r="Y540" s="41">
        <v>12.0</v>
      </c>
      <c r="Z540" s="41">
        <v>21.0</v>
      </c>
    </row>
    <row r="541">
      <c r="A541" s="41" t="s">
        <v>901</v>
      </c>
      <c r="B541" s="41" t="s">
        <v>283</v>
      </c>
      <c r="C541" s="41" t="s">
        <v>1709</v>
      </c>
      <c r="D541" s="41" t="s">
        <v>1208</v>
      </c>
      <c r="E541" s="41">
        <v>41.0</v>
      </c>
      <c r="F541" s="41">
        <v>29.0</v>
      </c>
      <c r="G541" s="41">
        <v>12.0</v>
      </c>
      <c r="H541" s="125">
        <v>0.7073170731707317</v>
      </c>
      <c r="I541" s="41">
        <v>8.0</v>
      </c>
      <c r="J541" s="41">
        <v>15095.0</v>
      </c>
      <c r="K541" s="41">
        <v>36.0</v>
      </c>
      <c r="L541" s="41">
        <v>33.0</v>
      </c>
      <c r="M541" s="41">
        <v>55.0</v>
      </c>
      <c r="N541" s="41">
        <v>120.0</v>
      </c>
      <c r="O541" s="122">
        <f t="shared" si="1"/>
        <v>0.3</v>
      </c>
      <c r="P541" s="123">
        <f t="shared" si="5"/>
        <v>368.1707317</v>
      </c>
      <c r="Q541" s="123">
        <f t="shared" si="2"/>
        <v>0.8780487805</v>
      </c>
      <c r="R541" s="123">
        <f t="shared" si="6"/>
        <v>0.8048780488</v>
      </c>
      <c r="S541" s="123">
        <f t="shared" si="3"/>
        <v>1.341463415</v>
      </c>
      <c r="T541" s="123">
        <f t="shared" si="4"/>
        <v>2.926829268</v>
      </c>
      <c r="U541" s="41">
        <v>8.0</v>
      </c>
      <c r="V541" s="41">
        <v>3.0</v>
      </c>
      <c r="W541" s="41">
        <v>4.0</v>
      </c>
      <c r="X541" s="41">
        <v>8.0</v>
      </c>
      <c r="Y541" s="41">
        <v>47.0</v>
      </c>
      <c r="Z541" s="41">
        <v>45.0</v>
      </c>
    </row>
    <row r="542">
      <c r="A542" s="41" t="s">
        <v>906</v>
      </c>
      <c r="B542" s="41" t="s">
        <v>533</v>
      </c>
      <c r="C542" s="41" t="s">
        <v>1710</v>
      </c>
      <c r="D542" s="41" t="s">
        <v>1425</v>
      </c>
      <c r="E542" s="41">
        <v>50.0</v>
      </c>
      <c r="F542" s="41">
        <v>20.0</v>
      </c>
      <c r="G542" s="41">
        <v>30.0</v>
      </c>
      <c r="H542" s="125">
        <v>0.4</v>
      </c>
      <c r="I542" s="41">
        <v>10.0</v>
      </c>
      <c r="J542" s="41">
        <v>19280.0</v>
      </c>
      <c r="K542" s="41">
        <v>38.0</v>
      </c>
      <c r="L542" s="41">
        <v>19.0</v>
      </c>
      <c r="M542" s="41">
        <v>77.0</v>
      </c>
      <c r="N542" s="41">
        <v>148.0</v>
      </c>
      <c r="O542" s="122">
        <f t="shared" si="1"/>
        <v>0.2567567568</v>
      </c>
      <c r="P542" s="123">
        <f t="shared" si="5"/>
        <v>385.6</v>
      </c>
      <c r="Q542" s="123">
        <f t="shared" si="2"/>
        <v>0.76</v>
      </c>
      <c r="R542" s="123">
        <f t="shared" si="6"/>
        <v>0.38</v>
      </c>
      <c r="S542" s="123">
        <f t="shared" si="3"/>
        <v>1.54</v>
      </c>
      <c r="T542" s="123">
        <f t="shared" si="4"/>
        <v>2.96</v>
      </c>
      <c r="U542" s="41">
        <v>8.0</v>
      </c>
      <c r="V542" s="41">
        <v>3.0</v>
      </c>
      <c r="W542" s="41">
        <v>1.0</v>
      </c>
      <c r="X542" s="41">
        <v>9.0</v>
      </c>
      <c r="Y542" s="41">
        <v>67.0</v>
      </c>
      <c r="Z542" s="41">
        <v>39.0</v>
      </c>
    </row>
    <row r="543">
      <c r="A543" s="41" t="s">
        <v>905</v>
      </c>
      <c r="B543" s="41" t="s">
        <v>172</v>
      </c>
      <c r="C543" s="41" t="s">
        <v>1711</v>
      </c>
      <c r="D543" s="41" t="s">
        <v>940</v>
      </c>
      <c r="E543" s="41">
        <v>56.0</v>
      </c>
      <c r="F543" s="41">
        <v>23.0</v>
      </c>
      <c r="G543" s="41">
        <v>33.0</v>
      </c>
      <c r="H543" s="125">
        <v>0.4107142857142857</v>
      </c>
      <c r="I543" s="41">
        <v>8.0</v>
      </c>
      <c r="J543" s="41">
        <v>19075.0</v>
      </c>
      <c r="K543" s="41">
        <v>42.0</v>
      </c>
      <c r="L543" s="41">
        <v>35.0</v>
      </c>
      <c r="M543" s="41">
        <v>69.0</v>
      </c>
      <c r="N543" s="41">
        <v>129.0</v>
      </c>
      <c r="O543" s="122">
        <f t="shared" si="1"/>
        <v>0.3255813953</v>
      </c>
      <c r="P543" s="123">
        <f t="shared" si="5"/>
        <v>340.625</v>
      </c>
      <c r="Q543" s="123">
        <f t="shared" si="2"/>
        <v>0.75</v>
      </c>
      <c r="R543" s="123">
        <f t="shared" si="6"/>
        <v>0.625</v>
      </c>
      <c r="S543" s="123">
        <f t="shared" si="3"/>
        <v>1.232142857</v>
      </c>
      <c r="T543" s="123">
        <f t="shared" si="4"/>
        <v>2.303571429</v>
      </c>
      <c r="U543" s="41">
        <v>11.0</v>
      </c>
      <c r="V543" s="41">
        <v>3.0</v>
      </c>
      <c r="W543" s="41">
        <v>0.0</v>
      </c>
      <c r="X543" s="41">
        <v>7.0</v>
      </c>
      <c r="Y543" s="41">
        <v>35.0</v>
      </c>
      <c r="Z543" s="41">
        <v>51.0</v>
      </c>
    </row>
    <row r="544">
      <c r="A544" s="41" t="s">
        <v>906</v>
      </c>
      <c r="B544" s="41" t="s">
        <v>523</v>
      </c>
      <c r="C544" s="41" t="s">
        <v>1712</v>
      </c>
      <c r="D544" s="41" t="s">
        <v>1713</v>
      </c>
      <c r="E544" s="41">
        <v>56.0</v>
      </c>
      <c r="F544" s="41">
        <v>33.0</v>
      </c>
      <c r="G544" s="41">
        <v>23.0</v>
      </c>
      <c r="H544" s="125">
        <v>0.5892857142857143</v>
      </c>
      <c r="I544" s="41">
        <v>11.0</v>
      </c>
      <c r="J544" s="41">
        <v>20319.0</v>
      </c>
      <c r="K544" s="41">
        <v>58.0</v>
      </c>
      <c r="L544" s="41">
        <v>32.0</v>
      </c>
      <c r="M544" s="41">
        <v>58.0</v>
      </c>
      <c r="N544" s="41">
        <v>146.0</v>
      </c>
      <c r="O544" s="122">
        <f t="shared" si="1"/>
        <v>0.397260274</v>
      </c>
      <c r="P544" s="123">
        <f t="shared" si="5"/>
        <v>362.8392857</v>
      </c>
      <c r="Q544" s="123">
        <f t="shared" si="2"/>
        <v>1.035714286</v>
      </c>
      <c r="R544" s="123">
        <f t="shared" si="6"/>
        <v>0.5714285714</v>
      </c>
      <c r="S544" s="123">
        <f t="shared" si="3"/>
        <v>1.035714286</v>
      </c>
      <c r="T544" s="123">
        <f t="shared" si="4"/>
        <v>2.607142857</v>
      </c>
      <c r="U544" s="41">
        <v>9.0</v>
      </c>
      <c r="V544" s="41">
        <v>5.0</v>
      </c>
      <c r="W544" s="41">
        <v>3.0</v>
      </c>
      <c r="X544" s="41">
        <v>5.0</v>
      </c>
      <c r="Y544" s="41">
        <v>98.0</v>
      </c>
      <c r="Z544" s="41">
        <v>58.0</v>
      </c>
    </row>
    <row r="545">
      <c r="A545" s="41" t="s">
        <v>905</v>
      </c>
      <c r="B545" s="41" t="s">
        <v>197</v>
      </c>
      <c r="C545" s="41" t="s">
        <v>1714</v>
      </c>
      <c r="D545" s="41" t="s">
        <v>1642</v>
      </c>
      <c r="E545" s="41">
        <v>34.0</v>
      </c>
      <c r="F545" s="41">
        <v>17.0</v>
      </c>
      <c r="G545" s="41">
        <v>17.0</v>
      </c>
      <c r="H545" s="125">
        <v>0.5</v>
      </c>
      <c r="I545" s="41">
        <v>4.0</v>
      </c>
      <c r="J545" s="41">
        <v>10880.0</v>
      </c>
      <c r="K545" s="41">
        <v>24.0</v>
      </c>
      <c r="L545" s="41">
        <v>18.0</v>
      </c>
      <c r="M545" s="41">
        <v>45.0</v>
      </c>
      <c r="N545" s="41">
        <v>67.0</v>
      </c>
      <c r="O545" s="122">
        <f t="shared" si="1"/>
        <v>0.3582089552</v>
      </c>
      <c r="P545" s="123">
        <f t="shared" si="5"/>
        <v>320</v>
      </c>
      <c r="Q545" s="123">
        <f t="shared" si="2"/>
        <v>0.7058823529</v>
      </c>
      <c r="R545" s="123">
        <f t="shared" si="6"/>
        <v>0.5294117647</v>
      </c>
      <c r="S545" s="123">
        <f t="shared" si="3"/>
        <v>1.323529412</v>
      </c>
      <c r="T545" s="123">
        <f t="shared" si="4"/>
        <v>1.970588235</v>
      </c>
      <c r="U545" s="41">
        <v>4.0</v>
      </c>
      <c r="V545" s="41">
        <v>2.0</v>
      </c>
      <c r="W545" s="41">
        <v>0.0</v>
      </c>
      <c r="X545" s="41">
        <v>6.0</v>
      </c>
      <c r="Y545" s="41">
        <v>15.0</v>
      </c>
      <c r="Z545" s="41">
        <v>40.0</v>
      </c>
    </row>
    <row r="546">
      <c r="A546" s="41" t="s">
        <v>905</v>
      </c>
      <c r="B546" s="41" t="s">
        <v>198</v>
      </c>
      <c r="C546" s="41" t="s">
        <v>1715</v>
      </c>
      <c r="D546" s="41" t="s">
        <v>1716</v>
      </c>
      <c r="E546" s="41">
        <v>29.0</v>
      </c>
      <c r="F546" s="41">
        <v>12.0</v>
      </c>
      <c r="G546" s="41">
        <v>17.0</v>
      </c>
      <c r="H546" s="125">
        <v>0.41379310344827586</v>
      </c>
      <c r="I546" s="41">
        <v>5.0</v>
      </c>
      <c r="J546" s="41">
        <v>8973.0</v>
      </c>
      <c r="K546" s="41">
        <v>27.0</v>
      </c>
      <c r="L546" s="41">
        <v>9.0</v>
      </c>
      <c r="M546" s="41">
        <v>21.0</v>
      </c>
      <c r="N546" s="41">
        <v>78.0</v>
      </c>
      <c r="O546" s="122">
        <f t="shared" si="1"/>
        <v>0.3461538462</v>
      </c>
      <c r="P546" s="123">
        <f t="shared" si="5"/>
        <v>309.4137931</v>
      </c>
      <c r="Q546" s="123">
        <f t="shared" si="2"/>
        <v>0.9310344828</v>
      </c>
      <c r="R546" s="123">
        <f t="shared" si="6"/>
        <v>0.3103448276</v>
      </c>
      <c r="S546" s="123">
        <f t="shared" si="3"/>
        <v>0.724137931</v>
      </c>
      <c r="T546" s="123">
        <f t="shared" si="4"/>
        <v>2.689655172</v>
      </c>
      <c r="U546" s="41">
        <v>2.0</v>
      </c>
      <c r="V546" s="41">
        <v>1.0</v>
      </c>
      <c r="W546" s="41">
        <v>0.0</v>
      </c>
      <c r="X546" s="41">
        <v>1.0</v>
      </c>
      <c r="Y546" s="41">
        <v>15.0</v>
      </c>
      <c r="Z546" s="41">
        <v>28.0</v>
      </c>
    </row>
    <row r="547">
      <c r="A547" s="41" t="s">
        <v>904</v>
      </c>
      <c r="B547" s="41" t="s">
        <v>679</v>
      </c>
      <c r="C547" s="41" t="s">
        <v>1717</v>
      </c>
      <c r="D547" s="41" t="s">
        <v>1718</v>
      </c>
      <c r="E547" s="41">
        <v>28.0</v>
      </c>
      <c r="F547" s="41">
        <v>11.0</v>
      </c>
      <c r="G547" s="41">
        <v>17.0</v>
      </c>
      <c r="H547" s="125">
        <v>0.39285714285714285</v>
      </c>
      <c r="I547" s="41">
        <v>4.0</v>
      </c>
      <c r="J547" s="41">
        <v>10391.0</v>
      </c>
      <c r="K547" s="41">
        <v>22.0</v>
      </c>
      <c r="L547" s="41">
        <v>13.0</v>
      </c>
      <c r="M547" s="41">
        <v>44.0</v>
      </c>
      <c r="N547" s="41">
        <v>60.0</v>
      </c>
      <c r="O547" s="122">
        <f t="shared" si="1"/>
        <v>0.3666666667</v>
      </c>
      <c r="P547" s="123">
        <f t="shared" si="5"/>
        <v>371.1071429</v>
      </c>
      <c r="Q547" s="123">
        <f t="shared" si="2"/>
        <v>0.7857142857</v>
      </c>
      <c r="R547" s="123">
        <f t="shared" si="6"/>
        <v>0.4642857143</v>
      </c>
      <c r="S547" s="123">
        <f t="shared" si="3"/>
        <v>1.571428571</v>
      </c>
      <c r="T547" s="123">
        <f t="shared" si="4"/>
        <v>2.142857143</v>
      </c>
      <c r="U547" s="41">
        <v>6.0</v>
      </c>
      <c r="V547" s="41">
        <v>3.0</v>
      </c>
      <c r="W547" s="41">
        <v>0.0</v>
      </c>
      <c r="X547" s="41">
        <v>6.0</v>
      </c>
      <c r="Y547" s="41">
        <v>53.0</v>
      </c>
      <c r="Z547" s="41">
        <v>22.0</v>
      </c>
    </row>
    <row r="548">
      <c r="A548" s="41" t="s">
        <v>904</v>
      </c>
      <c r="B548" s="41" t="s">
        <v>628</v>
      </c>
      <c r="C548" s="41" t="s">
        <v>1719</v>
      </c>
      <c r="D548" s="41" t="s">
        <v>963</v>
      </c>
      <c r="E548" s="41">
        <v>13.0</v>
      </c>
      <c r="F548" s="41">
        <v>8.0</v>
      </c>
      <c r="G548" s="41">
        <v>5.0</v>
      </c>
      <c r="H548" s="125">
        <v>0.6153846153846154</v>
      </c>
      <c r="I548" s="41">
        <v>0.0</v>
      </c>
      <c r="J548" s="41">
        <v>4361.0</v>
      </c>
      <c r="K548" s="41">
        <v>5.0</v>
      </c>
      <c r="L548" s="41">
        <v>10.0</v>
      </c>
      <c r="M548" s="41">
        <v>19.0</v>
      </c>
      <c r="N548" s="41">
        <v>28.0</v>
      </c>
      <c r="O548" s="122">
        <f t="shared" si="1"/>
        <v>0.1785714286</v>
      </c>
      <c r="P548" s="123">
        <f t="shared" si="5"/>
        <v>335.4615385</v>
      </c>
      <c r="Q548" s="123">
        <f t="shared" si="2"/>
        <v>0.3846153846</v>
      </c>
      <c r="R548" s="123">
        <f t="shared" si="6"/>
        <v>0.7692307692</v>
      </c>
      <c r="S548" s="123">
        <f t="shared" si="3"/>
        <v>1.461538462</v>
      </c>
      <c r="T548" s="123">
        <f t="shared" si="4"/>
        <v>2.153846154</v>
      </c>
      <c r="U548" s="41">
        <v>0.0</v>
      </c>
      <c r="V548" s="41">
        <v>0.0</v>
      </c>
      <c r="W548" s="41">
        <v>0.0</v>
      </c>
      <c r="X548" s="41">
        <v>3.0</v>
      </c>
      <c r="Y548" s="41">
        <v>12.0</v>
      </c>
      <c r="Z548" s="41">
        <v>8.0</v>
      </c>
    </row>
    <row r="549">
      <c r="A549" s="41" t="s">
        <v>902</v>
      </c>
      <c r="B549" s="41" t="s">
        <v>844</v>
      </c>
      <c r="C549" s="41" t="s">
        <v>1720</v>
      </c>
      <c r="D549" s="41" t="s">
        <v>1290</v>
      </c>
      <c r="E549" s="41">
        <v>24.0</v>
      </c>
      <c r="F549" s="41">
        <v>7.0</v>
      </c>
      <c r="G549" s="41">
        <v>17.0</v>
      </c>
      <c r="H549" s="125">
        <v>0.2916666666666667</v>
      </c>
      <c r="I549" s="41">
        <v>3.0</v>
      </c>
      <c r="J549" s="41">
        <v>7619.0</v>
      </c>
      <c r="K549" s="41">
        <v>16.0</v>
      </c>
      <c r="L549" s="41">
        <v>9.0</v>
      </c>
      <c r="M549" s="41">
        <v>26.0</v>
      </c>
      <c r="N549" s="41">
        <v>48.0</v>
      </c>
      <c r="O549" s="122">
        <f t="shared" si="1"/>
        <v>0.3333333333</v>
      </c>
      <c r="P549" s="123">
        <f t="shared" si="5"/>
        <v>317.4583333</v>
      </c>
      <c r="Q549" s="123">
        <f t="shared" si="2"/>
        <v>0.6666666667</v>
      </c>
      <c r="R549" s="123">
        <f t="shared" si="6"/>
        <v>0.375</v>
      </c>
      <c r="S549" s="123">
        <f t="shared" si="3"/>
        <v>1.083333333</v>
      </c>
      <c r="T549" s="123">
        <f t="shared" si="4"/>
        <v>2</v>
      </c>
      <c r="U549" s="41">
        <v>6.0</v>
      </c>
      <c r="V549" s="41">
        <v>1.0</v>
      </c>
      <c r="W549" s="41">
        <v>0.0</v>
      </c>
      <c r="X549" s="41">
        <v>0.0</v>
      </c>
      <c r="Y549" s="41">
        <v>24.0</v>
      </c>
      <c r="Z549" s="41">
        <v>30.0</v>
      </c>
    </row>
    <row r="550">
      <c r="A550" s="41" t="s">
        <v>899</v>
      </c>
      <c r="B550" s="41" t="s">
        <v>440</v>
      </c>
      <c r="C550" s="41" t="s">
        <v>1721</v>
      </c>
      <c r="D550" s="41" t="s">
        <v>988</v>
      </c>
      <c r="E550" s="41">
        <v>51.0</v>
      </c>
      <c r="F550" s="41">
        <v>29.0</v>
      </c>
      <c r="G550" s="41">
        <v>22.0</v>
      </c>
      <c r="H550" s="125">
        <v>0.5686274509803921</v>
      </c>
      <c r="I550" s="41">
        <v>8.0</v>
      </c>
      <c r="J550" s="41">
        <v>18403.0</v>
      </c>
      <c r="K550" s="41">
        <v>42.0</v>
      </c>
      <c r="L550" s="41">
        <v>26.0</v>
      </c>
      <c r="M550" s="41">
        <v>70.0</v>
      </c>
      <c r="N550" s="41">
        <v>145.0</v>
      </c>
      <c r="O550" s="122">
        <f t="shared" si="1"/>
        <v>0.2896551724</v>
      </c>
      <c r="P550" s="123">
        <f t="shared" si="5"/>
        <v>360.8431373</v>
      </c>
      <c r="Q550" s="123">
        <f t="shared" si="2"/>
        <v>0.8235294118</v>
      </c>
      <c r="R550" s="123">
        <f t="shared" si="6"/>
        <v>0.5098039216</v>
      </c>
      <c r="S550" s="123">
        <f t="shared" si="3"/>
        <v>1.37254902</v>
      </c>
      <c r="T550" s="123">
        <f t="shared" si="4"/>
        <v>2.843137255</v>
      </c>
      <c r="U550" s="41">
        <v>12.0</v>
      </c>
      <c r="V550" s="41">
        <v>2.0</v>
      </c>
      <c r="W550" s="41">
        <v>1.0</v>
      </c>
      <c r="X550" s="41">
        <v>9.0</v>
      </c>
      <c r="Y550" s="41">
        <v>29.0</v>
      </c>
      <c r="Z550" s="41">
        <v>60.0</v>
      </c>
    </row>
    <row r="551">
      <c r="A551" s="41" t="s">
        <v>904</v>
      </c>
      <c r="B551" s="41" t="s">
        <v>685</v>
      </c>
      <c r="C551" s="41" t="s">
        <v>1722</v>
      </c>
      <c r="D551" s="41" t="s">
        <v>1667</v>
      </c>
      <c r="E551" s="41">
        <v>47.0</v>
      </c>
      <c r="F551" s="41">
        <v>23.0</v>
      </c>
      <c r="G551" s="41">
        <v>24.0</v>
      </c>
      <c r="H551" s="125">
        <v>0.48936170212765956</v>
      </c>
      <c r="I551" s="41">
        <v>5.0</v>
      </c>
      <c r="J551" s="41">
        <v>14821.0</v>
      </c>
      <c r="K551" s="41">
        <v>24.0</v>
      </c>
      <c r="L551" s="41">
        <v>29.0</v>
      </c>
      <c r="M551" s="41">
        <v>74.0</v>
      </c>
      <c r="N551" s="41">
        <v>105.0</v>
      </c>
      <c r="O551" s="122">
        <f t="shared" si="1"/>
        <v>0.2285714286</v>
      </c>
      <c r="P551" s="123">
        <f t="shared" si="5"/>
        <v>315.3404255</v>
      </c>
      <c r="Q551" s="123">
        <f t="shared" si="2"/>
        <v>0.5106382979</v>
      </c>
      <c r="R551" s="123">
        <f t="shared" si="6"/>
        <v>0.6170212766</v>
      </c>
      <c r="S551" s="123">
        <f t="shared" si="3"/>
        <v>1.574468085</v>
      </c>
      <c r="T551" s="123">
        <f t="shared" si="4"/>
        <v>2.234042553</v>
      </c>
      <c r="U551" s="41">
        <v>5.0</v>
      </c>
      <c r="V551" s="41">
        <v>0.0</v>
      </c>
      <c r="W551" s="41">
        <v>0.0</v>
      </c>
      <c r="X551" s="41">
        <v>9.0</v>
      </c>
      <c r="Y551" s="41">
        <v>49.0</v>
      </c>
      <c r="Z551" s="41">
        <v>42.0</v>
      </c>
    </row>
    <row r="552">
      <c r="A552" s="41" t="s">
        <v>899</v>
      </c>
      <c r="B552" s="41" t="s">
        <v>428</v>
      </c>
      <c r="C552" s="41" t="s">
        <v>1723</v>
      </c>
      <c r="D552" s="41" t="s">
        <v>1278</v>
      </c>
      <c r="E552" s="41">
        <v>51.0</v>
      </c>
      <c r="F552" s="41">
        <v>32.0</v>
      </c>
      <c r="G552" s="41">
        <v>19.0</v>
      </c>
      <c r="H552" s="125">
        <v>0.6274509803921569</v>
      </c>
      <c r="I552" s="41">
        <v>12.0</v>
      </c>
      <c r="J552" s="41">
        <v>16668.0</v>
      </c>
      <c r="K552" s="41">
        <v>38.0</v>
      </c>
      <c r="L552" s="41">
        <v>32.0</v>
      </c>
      <c r="M552" s="41">
        <v>58.0</v>
      </c>
      <c r="N552" s="41">
        <v>107.0</v>
      </c>
      <c r="O552" s="122">
        <f t="shared" si="1"/>
        <v>0.3551401869</v>
      </c>
      <c r="P552" s="123">
        <f t="shared" si="5"/>
        <v>326.8235294</v>
      </c>
      <c r="Q552" s="123">
        <f t="shared" si="2"/>
        <v>0.7450980392</v>
      </c>
      <c r="R552" s="123">
        <f t="shared" si="6"/>
        <v>0.6274509804</v>
      </c>
      <c r="S552" s="123">
        <f t="shared" si="3"/>
        <v>1.137254902</v>
      </c>
      <c r="T552" s="123">
        <f t="shared" si="4"/>
        <v>2.098039216</v>
      </c>
      <c r="U552" s="41">
        <v>7.0</v>
      </c>
      <c r="V552" s="41">
        <v>3.0</v>
      </c>
      <c r="W552" s="41">
        <v>2.0</v>
      </c>
      <c r="X552" s="41">
        <v>11.0</v>
      </c>
      <c r="Y552" s="41">
        <v>35.0</v>
      </c>
      <c r="Z552" s="41">
        <v>60.0</v>
      </c>
    </row>
    <row r="553">
      <c r="A553" s="41" t="s">
        <v>905</v>
      </c>
      <c r="B553" s="41" t="s">
        <v>188</v>
      </c>
      <c r="C553" s="41" t="s">
        <v>1724</v>
      </c>
      <c r="D553" s="41" t="s">
        <v>1532</v>
      </c>
      <c r="E553" s="41">
        <v>47.0</v>
      </c>
      <c r="F553" s="41">
        <v>24.0</v>
      </c>
      <c r="G553" s="41">
        <v>23.0</v>
      </c>
      <c r="H553" s="125">
        <v>0.5106382978723404</v>
      </c>
      <c r="I553" s="41">
        <v>4.0</v>
      </c>
      <c r="J553" s="41">
        <v>14902.0</v>
      </c>
      <c r="K553" s="41">
        <v>28.0</v>
      </c>
      <c r="L553" s="41">
        <v>30.0</v>
      </c>
      <c r="M553" s="41">
        <v>56.0</v>
      </c>
      <c r="N553" s="41">
        <v>101.0</v>
      </c>
      <c r="O553" s="122">
        <f t="shared" si="1"/>
        <v>0.2772277228</v>
      </c>
      <c r="P553" s="123">
        <f t="shared" si="5"/>
        <v>317.0638298</v>
      </c>
      <c r="Q553" s="123">
        <f t="shared" si="2"/>
        <v>0.5957446809</v>
      </c>
      <c r="R553" s="123">
        <f t="shared" si="6"/>
        <v>0.6382978723</v>
      </c>
      <c r="S553" s="123">
        <f t="shared" si="3"/>
        <v>1.191489362</v>
      </c>
      <c r="T553" s="123">
        <f t="shared" si="4"/>
        <v>2.14893617</v>
      </c>
      <c r="U553" s="41">
        <v>5.0</v>
      </c>
      <c r="V553" s="41">
        <v>1.0</v>
      </c>
      <c r="W553" s="41">
        <v>0.0</v>
      </c>
      <c r="X553" s="41">
        <v>8.0</v>
      </c>
      <c r="Y553" s="41">
        <v>26.0</v>
      </c>
      <c r="Z553" s="41">
        <v>51.0</v>
      </c>
    </row>
    <row r="554">
      <c r="A554" s="41" t="s">
        <v>909</v>
      </c>
      <c r="B554" s="41" t="s">
        <v>73</v>
      </c>
      <c r="C554" s="41" t="s">
        <v>1725</v>
      </c>
      <c r="D554" s="41" t="s">
        <v>1511</v>
      </c>
      <c r="E554" s="41">
        <v>47.0</v>
      </c>
      <c r="F554" s="41">
        <v>21.0</v>
      </c>
      <c r="G554" s="41">
        <v>26.0</v>
      </c>
      <c r="H554" s="125">
        <v>0.44680851063829785</v>
      </c>
      <c r="I554" s="41">
        <v>13.0</v>
      </c>
      <c r="J554" s="41">
        <v>17651.0</v>
      </c>
      <c r="K554" s="41">
        <v>42.0</v>
      </c>
      <c r="L554" s="41">
        <v>22.0</v>
      </c>
      <c r="M554" s="41">
        <v>65.0</v>
      </c>
      <c r="N554" s="41">
        <v>133.0</v>
      </c>
      <c r="O554" s="122">
        <f t="shared" si="1"/>
        <v>0.3157894737</v>
      </c>
      <c r="P554" s="123">
        <f t="shared" si="5"/>
        <v>375.5531915</v>
      </c>
      <c r="Q554" s="123">
        <f t="shared" si="2"/>
        <v>0.8936170213</v>
      </c>
      <c r="R554" s="123">
        <f t="shared" si="6"/>
        <v>0.4680851064</v>
      </c>
      <c r="S554" s="123">
        <f t="shared" si="3"/>
        <v>1.382978723</v>
      </c>
      <c r="T554" s="123">
        <f t="shared" si="4"/>
        <v>2.829787234</v>
      </c>
      <c r="U554" s="41">
        <v>10.0</v>
      </c>
      <c r="V554" s="41">
        <v>4.0</v>
      </c>
      <c r="W554" s="41">
        <v>0.0</v>
      </c>
      <c r="X554" s="41">
        <v>9.0</v>
      </c>
      <c r="Y554" s="41">
        <v>61.0</v>
      </c>
      <c r="Z554" s="41">
        <v>24.0</v>
      </c>
    </row>
    <row r="555">
      <c r="A555" s="41" t="s">
        <v>909</v>
      </c>
      <c r="B555" s="41" t="s">
        <v>91</v>
      </c>
      <c r="C555" s="41" t="s">
        <v>1726</v>
      </c>
      <c r="D555" s="41" t="s">
        <v>1511</v>
      </c>
      <c r="E555" s="41">
        <v>27.0</v>
      </c>
      <c r="F555" s="41">
        <v>12.0</v>
      </c>
      <c r="G555" s="41">
        <v>15.0</v>
      </c>
      <c r="H555" s="125">
        <v>0.4444444444444444</v>
      </c>
      <c r="I555" s="41">
        <v>0.0</v>
      </c>
      <c r="J555" s="41">
        <v>6727.0</v>
      </c>
      <c r="K555" s="41">
        <v>15.0</v>
      </c>
      <c r="L555" s="41">
        <v>18.0</v>
      </c>
      <c r="M555" s="41">
        <v>18.0</v>
      </c>
      <c r="N555" s="41">
        <v>38.0</v>
      </c>
      <c r="O555" s="122">
        <f t="shared" si="1"/>
        <v>0.3947368421</v>
      </c>
      <c r="P555" s="123">
        <f t="shared" si="5"/>
        <v>249.1481481</v>
      </c>
      <c r="Q555" s="123">
        <f t="shared" si="2"/>
        <v>0.5555555556</v>
      </c>
      <c r="R555" s="123">
        <f t="shared" si="6"/>
        <v>0.6666666667</v>
      </c>
      <c r="S555" s="123">
        <f t="shared" si="3"/>
        <v>0.6666666667</v>
      </c>
      <c r="T555" s="123">
        <f t="shared" si="4"/>
        <v>1.407407407</v>
      </c>
      <c r="U555" s="41">
        <v>1.0</v>
      </c>
      <c r="V555" s="41">
        <v>0.0</v>
      </c>
      <c r="W555" s="41">
        <v>1.0</v>
      </c>
      <c r="X555" s="41">
        <v>0.0</v>
      </c>
      <c r="Y555" s="41">
        <v>9.0</v>
      </c>
      <c r="Z555" s="41">
        <v>25.0</v>
      </c>
    </row>
    <row r="556">
      <c r="A556" s="41" t="s">
        <v>902</v>
      </c>
      <c r="B556" s="41" t="s">
        <v>871</v>
      </c>
      <c r="C556" s="41" t="s">
        <v>1727</v>
      </c>
      <c r="D556" s="41" t="s">
        <v>1288</v>
      </c>
      <c r="E556" s="41">
        <v>8.0</v>
      </c>
      <c r="F556" s="41">
        <v>2.0</v>
      </c>
      <c r="G556" s="41">
        <v>6.0</v>
      </c>
      <c r="H556" s="125">
        <v>0.25</v>
      </c>
      <c r="I556" s="41">
        <v>0.0</v>
      </c>
      <c r="J556" s="41">
        <v>1992.0</v>
      </c>
      <c r="K556" s="41">
        <v>2.0</v>
      </c>
      <c r="L556" s="41">
        <v>5.0</v>
      </c>
      <c r="M556" s="41">
        <v>8.0</v>
      </c>
      <c r="N556" s="41">
        <v>14.0</v>
      </c>
      <c r="O556" s="122">
        <f t="shared" si="1"/>
        <v>0.1428571429</v>
      </c>
      <c r="P556" s="123">
        <f t="shared" si="5"/>
        <v>249</v>
      </c>
      <c r="Q556" s="123">
        <f t="shared" si="2"/>
        <v>0.25</v>
      </c>
      <c r="R556" s="123">
        <f t="shared" si="6"/>
        <v>0.625</v>
      </c>
      <c r="S556" s="123">
        <f t="shared" si="3"/>
        <v>1</v>
      </c>
      <c r="T556" s="123">
        <f t="shared" si="4"/>
        <v>1.75</v>
      </c>
      <c r="U556" s="41">
        <v>0.0</v>
      </c>
      <c r="V556" s="41">
        <v>0.0</v>
      </c>
      <c r="W556" s="41">
        <v>0.0</v>
      </c>
      <c r="X556" s="41">
        <v>0.0</v>
      </c>
      <c r="Y556" s="41">
        <v>7.0</v>
      </c>
      <c r="Z556" s="41">
        <v>2.0</v>
      </c>
    </row>
    <row r="557">
      <c r="A557" s="41" t="s">
        <v>909</v>
      </c>
      <c r="B557" s="41" t="s">
        <v>84</v>
      </c>
      <c r="C557" s="41" t="s">
        <v>1728</v>
      </c>
      <c r="D557" s="41" t="s">
        <v>1029</v>
      </c>
      <c r="E557" s="41">
        <v>47.0</v>
      </c>
      <c r="F557" s="41">
        <v>34.0</v>
      </c>
      <c r="G557" s="41">
        <v>13.0</v>
      </c>
      <c r="H557" s="125">
        <v>0.723404255319149</v>
      </c>
      <c r="I557" s="41">
        <v>7.0</v>
      </c>
      <c r="J557" s="41">
        <v>13812.0</v>
      </c>
      <c r="K557" s="41">
        <v>29.0</v>
      </c>
      <c r="L557" s="41">
        <v>27.0</v>
      </c>
      <c r="M557" s="41">
        <v>40.0</v>
      </c>
      <c r="N557" s="41">
        <v>106.0</v>
      </c>
      <c r="O557" s="122">
        <f t="shared" si="1"/>
        <v>0.2735849057</v>
      </c>
      <c r="P557" s="123">
        <f t="shared" si="5"/>
        <v>293.8723404</v>
      </c>
      <c r="Q557" s="123">
        <f t="shared" si="2"/>
        <v>0.6170212766</v>
      </c>
      <c r="R557" s="123">
        <f t="shared" si="6"/>
        <v>0.5744680851</v>
      </c>
      <c r="S557" s="123">
        <f t="shared" si="3"/>
        <v>0.8510638298</v>
      </c>
      <c r="T557" s="123">
        <f t="shared" si="4"/>
        <v>2.255319149</v>
      </c>
      <c r="U557" s="41">
        <v>2.0</v>
      </c>
      <c r="V557" s="41">
        <v>2.0</v>
      </c>
      <c r="W557" s="41">
        <v>1.0</v>
      </c>
      <c r="X557" s="41">
        <v>2.0</v>
      </c>
      <c r="Y557" s="41">
        <v>39.0</v>
      </c>
      <c r="Z557" s="41">
        <v>30.0</v>
      </c>
    </row>
    <row r="558">
      <c r="A558" s="41" t="s">
        <v>902</v>
      </c>
      <c r="B558" s="41" t="s">
        <v>761</v>
      </c>
      <c r="C558" s="41" t="s">
        <v>1729</v>
      </c>
      <c r="D558" s="41" t="s">
        <v>1457</v>
      </c>
      <c r="E558" s="41">
        <v>49.0</v>
      </c>
      <c r="F558" s="41">
        <v>34.0</v>
      </c>
      <c r="G558" s="41">
        <v>15.0</v>
      </c>
      <c r="H558" s="125">
        <v>0.6938775510204082</v>
      </c>
      <c r="I558" s="41">
        <v>8.0</v>
      </c>
      <c r="J558" s="41">
        <v>17068.0</v>
      </c>
      <c r="K558" s="41">
        <v>42.0</v>
      </c>
      <c r="L558" s="41">
        <v>38.0</v>
      </c>
      <c r="M558" s="41">
        <v>57.0</v>
      </c>
      <c r="N558" s="41">
        <v>123.0</v>
      </c>
      <c r="O558" s="122">
        <f t="shared" si="1"/>
        <v>0.3414634146</v>
      </c>
      <c r="P558" s="123">
        <f t="shared" si="5"/>
        <v>348.3265306</v>
      </c>
      <c r="Q558" s="123">
        <f t="shared" si="2"/>
        <v>0.8571428571</v>
      </c>
      <c r="R558" s="123">
        <f t="shared" si="6"/>
        <v>0.7755102041</v>
      </c>
      <c r="S558" s="123">
        <f t="shared" si="3"/>
        <v>1.163265306</v>
      </c>
      <c r="T558" s="123">
        <f t="shared" si="4"/>
        <v>2.510204082</v>
      </c>
      <c r="U558" s="41">
        <v>12.0</v>
      </c>
      <c r="V558" s="41">
        <v>4.0</v>
      </c>
      <c r="W558" s="41">
        <v>2.0</v>
      </c>
      <c r="X558" s="41">
        <v>6.0</v>
      </c>
      <c r="Y558" s="41">
        <v>70.0</v>
      </c>
      <c r="Z558" s="41">
        <v>62.0</v>
      </c>
    </row>
    <row r="559">
      <c r="A559" s="41" t="s">
        <v>904</v>
      </c>
      <c r="B559" s="41" t="s">
        <v>657</v>
      </c>
      <c r="C559" s="41" t="s">
        <v>1730</v>
      </c>
      <c r="D559" s="41" t="s">
        <v>1329</v>
      </c>
      <c r="E559" s="41">
        <v>29.0</v>
      </c>
      <c r="F559" s="41">
        <v>19.0</v>
      </c>
      <c r="G559" s="41">
        <v>10.0</v>
      </c>
      <c r="H559" s="125">
        <v>0.6551724137931034</v>
      </c>
      <c r="I559" s="41">
        <v>4.0</v>
      </c>
      <c r="J559" s="41">
        <v>8503.0</v>
      </c>
      <c r="K559" s="41">
        <v>17.0</v>
      </c>
      <c r="L559" s="41">
        <v>18.0</v>
      </c>
      <c r="M559" s="41">
        <v>29.0</v>
      </c>
      <c r="N559" s="41">
        <v>67.0</v>
      </c>
      <c r="O559" s="122">
        <f t="shared" si="1"/>
        <v>0.2537313433</v>
      </c>
      <c r="P559" s="123">
        <f t="shared" si="5"/>
        <v>293.2068966</v>
      </c>
      <c r="Q559" s="123">
        <f t="shared" si="2"/>
        <v>0.5862068966</v>
      </c>
      <c r="R559" s="123">
        <f t="shared" si="6"/>
        <v>0.6206896552</v>
      </c>
      <c r="S559" s="123">
        <f t="shared" si="3"/>
        <v>1</v>
      </c>
      <c r="T559" s="123">
        <f t="shared" si="4"/>
        <v>2.310344828</v>
      </c>
      <c r="U559" s="41">
        <v>0.0</v>
      </c>
      <c r="V559" s="41">
        <v>1.0</v>
      </c>
      <c r="W559" s="41">
        <v>0.0</v>
      </c>
      <c r="X559" s="41">
        <v>2.0</v>
      </c>
      <c r="Y559" s="41">
        <v>22.0</v>
      </c>
      <c r="Z559" s="41">
        <v>29.0</v>
      </c>
    </row>
    <row r="560">
      <c r="A560" s="41" t="s">
        <v>902</v>
      </c>
      <c r="B560" s="41" t="s">
        <v>739</v>
      </c>
      <c r="C560" s="41" t="s">
        <v>1731</v>
      </c>
      <c r="D560" s="41" t="s">
        <v>1466</v>
      </c>
      <c r="E560" s="41">
        <v>52.0</v>
      </c>
      <c r="F560" s="41">
        <v>28.0</v>
      </c>
      <c r="G560" s="41">
        <v>24.0</v>
      </c>
      <c r="H560" s="125">
        <v>0.5384615384615384</v>
      </c>
      <c r="I560" s="41">
        <v>11.0</v>
      </c>
      <c r="J560" s="41">
        <v>20691.0</v>
      </c>
      <c r="K560" s="41">
        <v>64.0</v>
      </c>
      <c r="L560" s="41">
        <v>30.0</v>
      </c>
      <c r="M560" s="41">
        <v>61.0</v>
      </c>
      <c r="N560" s="41">
        <v>182.0</v>
      </c>
      <c r="O560" s="122">
        <f t="shared" si="1"/>
        <v>0.3516483516</v>
      </c>
      <c r="P560" s="123">
        <f t="shared" si="5"/>
        <v>397.9038462</v>
      </c>
      <c r="Q560" s="123">
        <f t="shared" si="2"/>
        <v>1.230769231</v>
      </c>
      <c r="R560" s="123">
        <f t="shared" si="6"/>
        <v>0.5769230769</v>
      </c>
      <c r="S560" s="123">
        <f t="shared" si="3"/>
        <v>1.173076923</v>
      </c>
      <c r="T560" s="123">
        <f t="shared" si="4"/>
        <v>3.5</v>
      </c>
      <c r="U560" s="41">
        <v>8.0</v>
      </c>
      <c r="V560" s="41">
        <v>2.0</v>
      </c>
      <c r="W560" s="41">
        <v>3.0</v>
      </c>
      <c r="X560" s="41">
        <v>5.0</v>
      </c>
      <c r="Y560" s="41">
        <v>51.0</v>
      </c>
      <c r="Z560" s="41">
        <v>66.0</v>
      </c>
    </row>
    <row r="561">
      <c r="A561" s="41" t="s">
        <v>904</v>
      </c>
      <c r="B561" s="41" t="s">
        <v>644</v>
      </c>
      <c r="C561" s="41" t="s">
        <v>1732</v>
      </c>
      <c r="D561" s="41" t="s">
        <v>1054</v>
      </c>
      <c r="E561" s="41">
        <v>41.0</v>
      </c>
      <c r="F561" s="41">
        <v>22.0</v>
      </c>
      <c r="G561" s="41">
        <v>19.0</v>
      </c>
      <c r="H561" s="125">
        <v>0.5365853658536586</v>
      </c>
      <c r="I561" s="41">
        <v>5.0</v>
      </c>
      <c r="J561" s="41">
        <v>13473.0</v>
      </c>
      <c r="K561" s="41">
        <v>30.0</v>
      </c>
      <c r="L561" s="41">
        <v>22.0</v>
      </c>
      <c r="M561" s="41">
        <v>51.0</v>
      </c>
      <c r="N561" s="41">
        <v>106.0</v>
      </c>
      <c r="O561" s="122">
        <f t="shared" si="1"/>
        <v>0.2830188679</v>
      </c>
      <c r="P561" s="123">
        <f t="shared" si="5"/>
        <v>328.6097561</v>
      </c>
      <c r="Q561" s="123">
        <f t="shared" si="2"/>
        <v>0.7317073171</v>
      </c>
      <c r="R561" s="123">
        <f t="shared" si="6"/>
        <v>0.5365853659</v>
      </c>
      <c r="S561" s="123">
        <f t="shared" si="3"/>
        <v>1.243902439</v>
      </c>
      <c r="T561" s="123">
        <f t="shared" si="4"/>
        <v>2.585365854</v>
      </c>
      <c r="U561" s="41">
        <v>9.0</v>
      </c>
      <c r="V561" s="41">
        <v>1.0</v>
      </c>
      <c r="W561" s="41">
        <v>1.0</v>
      </c>
      <c r="X561" s="41">
        <v>4.0</v>
      </c>
      <c r="Y561" s="41">
        <v>38.0</v>
      </c>
      <c r="Z561" s="41">
        <v>40.0</v>
      </c>
    </row>
    <row r="562">
      <c r="A562" s="41" t="s">
        <v>904</v>
      </c>
      <c r="B562" s="41" t="s">
        <v>601</v>
      </c>
      <c r="C562" s="41" t="s">
        <v>1733</v>
      </c>
      <c r="D562" s="41" t="s">
        <v>1734</v>
      </c>
      <c r="E562" s="41">
        <v>41.0</v>
      </c>
      <c r="F562" s="41">
        <v>25.0</v>
      </c>
      <c r="G562" s="41">
        <v>16.0</v>
      </c>
      <c r="H562" s="125">
        <v>0.6097560975609756</v>
      </c>
      <c r="I562" s="41">
        <v>10.0</v>
      </c>
      <c r="J562" s="41">
        <v>15233.0</v>
      </c>
      <c r="K562" s="41">
        <v>40.0</v>
      </c>
      <c r="L562" s="41">
        <v>29.0</v>
      </c>
      <c r="M562" s="41">
        <v>51.0</v>
      </c>
      <c r="N562" s="41">
        <v>114.0</v>
      </c>
      <c r="O562" s="122">
        <f t="shared" si="1"/>
        <v>0.350877193</v>
      </c>
      <c r="P562" s="123">
        <f t="shared" si="5"/>
        <v>371.5365854</v>
      </c>
      <c r="Q562" s="123">
        <f t="shared" si="2"/>
        <v>0.9756097561</v>
      </c>
      <c r="R562" s="123">
        <f t="shared" si="6"/>
        <v>0.7073170732</v>
      </c>
      <c r="S562" s="123">
        <f t="shared" si="3"/>
        <v>1.243902439</v>
      </c>
      <c r="T562" s="123">
        <f t="shared" si="4"/>
        <v>2.780487805</v>
      </c>
      <c r="U562" s="41">
        <v>11.0</v>
      </c>
      <c r="V562" s="41">
        <v>3.0</v>
      </c>
      <c r="W562" s="41">
        <v>3.0</v>
      </c>
      <c r="X562" s="41">
        <v>5.0</v>
      </c>
      <c r="Y562" s="41">
        <v>31.0</v>
      </c>
      <c r="Z562" s="41">
        <v>29.0</v>
      </c>
    </row>
    <row r="563">
      <c r="A563" s="41" t="s">
        <v>901</v>
      </c>
      <c r="B563" s="41" t="s">
        <v>401</v>
      </c>
      <c r="C563" s="41" t="s">
        <v>1735</v>
      </c>
      <c r="D563" s="41" t="s">
        <v>1736</v>
      </c>
      <c r="E563" s="41">
        <v>34.0</v>
      </c>
      <c r="F563" s="41">
        <v>11.0</v>
      </c>
      <c r="G563" s="41">
        <v>23.0</v>
      </c>
      <c r="H563" s="125">
        <v>0.3235294117647059</v>
      </c>
      <c r="I563" s="41">
        <v>1.0</v>
      </c>
      <c r="J563" s="41">
        <v>9687.0</v>
      </c>
      <c r="K563" s="41">
        <v>20.0</v>
      </c>
      <c r="L563" s="41">
        <v>13.0</v>
      </c>
      <c r="M563" s="41">
        <v>33.0</v>
      </c>
      <c r="N563" s="41">
        <v>80.0</v>
      </c>
      <c r="O563" s="122">
        <f t="shared" si="1"/>
        <v>0.25</v>
      </c>
      <c r="P563" s="123">
        <f t="shared" si="5"/>
        <v>284.9117647</v>
      </c>
      <c r="Q563" s="123">
        <f t="shared" si="2"/>
        <v>0.5882352941</v>
      </c>
      <c r="R563" s="123">
        <f t="shared" si="6"/>
        <v>0.3823529412</v>
      </c>
      <c r="S563" s="123">
        <f t="shared" si="3"/>
        <v>0.9705882353</v>
      </c>
      <c r="T563" s="123">
        <f t="shared" si="4"/>
        <v>2.352941176</v>
      </c>
      <c r="U563" s="41">
        <v>4.0</v>
      </c>
      <c r="V563" s="41">
        <v>0.0</v>
      </c>
      <c r="W563" s="41">
        <v>0.0</v>
      </c>
      <c r="X563" s="41">
        <v>3.0</v>
      </c>
      <c r="Y563" s="41">
        <v>40.0</v>
      </c>
      <c r="Z563" s="41">
        <v>42.0</v>
      </c>
    </row>
    <row r="564">
      <c r="A564" s="41" t="s">
        <v>901</v>
      </c>
      <c r="B564" s="41" t="s">
        <v>323</v>
      </c>
      <c r="C564" s="41" t="s">
        <v>1737</v>
      </c>
      <c r="D564" s="41" t="s">
        <v>1738</v>
      </c>
      <c r="E564" s="41">
        <v>25.0</v>
      </c>
      <c r="F564" s="41">
        <v>13.0</v>
      </c>
      <c r="G564" s="41">
        <v>12.0</v>
      </c>
      <c r="H564" s="125">
        <v>0.52</v>
      </c>
      <c r="I564" s="41">
        <v>3.0</v>
      </c>
      <c r="J564" s="41">
        <v>8975.0</v>
      </c>
      <c r="K564" s="41">
        <v>14.0</v>
      </c>
      <c r="L564" s="41">
        <v>20.0</v>
      </c>
      <c r="M564" s="41">
        <v>41.0</v>
      </c>
      <c r="N564" s="41">
        <v>57.0</v>
      </c>
      <c r="O564" s="122">
        <f t="shared" si="1"/>
        <v>0.2456140351</v>
      </c>
      <c r="P564" s="123">
        <f t="shared" si="5"/>
        <v>359</v>
      </c>
      <c r="Q564" s="123">
        <f t="shared" si="2"/>
        <v>0.56</v>
      </c>
      <c r="R564" s="123">
        <f t="shared" si="6"/>
        <v>0.8</v>
      </c>
      <c r="S564" s="123">
        <f t="shared" si="3"/>
        <v>1.64</v>
      </c>
      <c r="T564" s="123">
        <f t="shared" si="4"/>
        <v>2.28</v>
      </c>
      <c r="U564" s="41">
        <v>7.0</v>
      </c>
      <c r="V564" s="41">
        <v>0.0</v>
      </c>
      <c r="W564" s="41">
        <v>1.0</v>
      </c>
      <c r="X564" s="41">
        <v>7.0</v>
      </c>
      <c r="Y564" s="41">
        <v>9.0</v>
      </c>
      <c r="Z564" s="41">
        <v>18.0</v>
      </c>
    </row>
    <row r="565">
      <c r="A565" s="41" t="s">
        <v>904</v>
      </c>
      <c r="B565" s="41" t="s">
        <v>613</v>
      </c>
      <c r="C565" s="41" t="s">
        <v>1739</v>
      </c>
      <c r="D565" s="41" t="s">
        <v>1054</v>
      </c>
      <c r="E565" s="41">
        <v>53.0</v>
      </c>
      <c r="F565" s="41">
        <v>28.0</v>
      </c>
      <c r="G565" s="41">
        <v>25.0</v>
      </c>
      <c r="H565" s="125">
        <v>0.5283018867924528</v>
      </c>
      <c r="I565" s="41">
        <v>9.0</v>
      </c>
      <c r="J565" s="41">
        <v>18005.0</v>
      </c>
      <c r="K565" s="41">
        <v>43.0</v>
      </c>
      <c r="L565" s="41">
        <v>36.0</v>
      </c>
      <c r="M565" s="41">
        <v>50.0</v>
      </c>
      <c r="N565" s="41">
        <v>139.0</v>
      </c>
      <c r="O565" s="122">
        <f t="shared" si="1"/>
        <v>0.309352518</v>
      </c>
      <c r="P565" s="123">
        <f t="shared" si="5"/>
        <v>339.7169811</v>
      </c>
      <c r="Q565" s="123">
        <f t="shared" si="2"/>
        <v>0.8113207547</v>
      </c>
      <c r="R565" s="123">
        <f t="shared" si="6"/>
        <v>0.679245283</v>
      </c>
      <c r="S565" s="123">
        <f t="shared" si="3"/>
        <v>0.9433962264</v>
      </c>
      <c r="T565" s="123">
        <f t="shared" si="4"/>
        <v>2.622641509</v>
      </c>
      <c r="U565" s="41">
        <v>9.0</v>
      </c>
      <c r="V565" s="41">
        <v>5.0</v>
      </c>
      <c r="W565" s="41">
        <v>2.0</v>
      </c>
      <c r="X565" s="41">
        <v>4.0</v>
      </c>
      <c r="Y565" s="41">
        <v>66.0</v>
      </c>
      <c r="Z565" s="41">
        <v>51.0</v>
      </c>
    </row>
    <row r="566">
      <c r="A566" s="41" t="s">
        <v>902</v>
      </c>
      <c r="B566" s="41" t="s">
        <v>851</v>
      </c>
      <c r="C566" s="41" t="s">
        <v>1740</v>
      </c>
      <c r="D566" s="41" t="s">
        <v>1466</v>
      </c>
      <c r="E566" s="41">
        <v>12.0</v>
      </c>
      <c r="F566" s="41">
        <v>4.0</v>
      </c>
      <c r="G566" s="41">
        <v>8.0</v>
      </c>
      <c r="H566" s="125">
        <v>0.3333333333333333</v>
      </c>
      <c r="I566" s="41">
        <v>1.0</v>
      </c>
      <c r="J566" s="41">
        <v>3222.0</v>
      </c>
      <c r="K566" s="41">
        <v>7.0</v>
      </c>
      <c r="L566" s="41">
        <v>3.0</v>
      </c>
      <c r="M566" s="41">
        <v>11.0</v>
      </c>
      <c r="N566" s="41">
        <v>33.0</v>
      </c>
      <c r="O566" s="122">
        <f t="shared" si="1"/>
        <v>0.2121212121</v>
      </c>
      <c r="P566" s="123">
        <f t="shared" si="5"/>
        <v>268.5</v>
      </c>
      <c r="Q566" s="123">
        <f t="shared" si="2"/>
        <v>0.5833333333</v>
      </c>
      <c r="R566" s="123">
        <f t="shared" si="6"/>
        <v>0.25</v>
      </c>
      <c r="S566" s="123">
        <f t="shared" si="3"/>
        <v>0.9166666667</v>
      </c>
      <c r="T566" s="123">
        <f t="shared" si="4"/>
        <v>2.75</v>
      </c>
      <c r="U566" s="41">
        <v>0.0</v>
      </c>
      <c r="V566" s="41">
        <v>1.0</v>
      </c>
      <c r="W566" s="41">
        <v>0.0</v>
      </c>
      <c r="X566" s="41">
        <v>1.0</v>
      </c>
      <c r="Y566" s="41">
        <v>12.0</v>
      </c>
      <c r="Z566" s="41">
        <v>12.0</v>
      </c>
    </row>
    <row r="567">
      <c r="A567" s="41" t="s">
        <v>909</v>
      </c>
      <c r="B567" s="41" t="s">
        <v>72</v>
      </c>
      <c r="C567" s="41" t="s">
        <v>1741</v>
      </c>
      <c r="D567" s="41" t="s">
        <v>1695</v>
      </c>
      <c r="E567" s="41">
        <v>47.0</v>
      </c>
      <c r="F567" s="41">
        <v>30.0</v>
      </c>
      <c r="G567" s="41">
        <v>17.0</v>
      </c>
      <c r="H567" s="125">
        <v>0.6382978723404256</v>
      </c>
      <c r="I567" s="41">
        <v>6.0</v>
      </c>
      <c r="J567" s="41">
        <v>15486.0</v>
      </c>
      <c r="K567" s="41">
        <v>43.0</v>
      </c>
      <c r="L567" s="41">
        <v>27.0</v>
      </c>
      <c r="M567" s="41">
        <v>41.0</v>
      </c>
      <c r="N567" s="41">
        <v>139.0</v>
      </c>
      <c r="O567" s="122">
        <f t="shared" si="1"/>
        <v>0.309352518</v>
      </c>
      <c r="P567" s="123">
        <f t="shared" si="5"/>
        <v>329.4893617</v>
      </c>
      <c r="Q567" s="123">
        <f t="shared" si="2"/>
        <v>0.914893617</v>
      </c>
      <c r="R567" s="123">
        <f t="shared" si="6"/>
        <v>0.5744680851</v>
      </c>
      <c r="S567" s="123">
        <f t="shared" si="3"/>
        <v>0.8723404255</v>
      </c>
      <c r="T567" s="123">
        <f t="shared" si="4"/>
        <v>2.957446809</v>
      </c>
      <c r="U567" s="41">
        <v>6.0</v>
      </c>
      <c r="V567" s="41">
        <v>2.0</v>
      </c>
      <c r="W567" s="41">
        <v>0.0</v>
      </c>
      <c r="X567" s="41">
        <v>3.0</v>
      </c>
      <c r="Y567" s="41">
        <v>20.0</v>
      </c>
      <c r="Z567" s="41">
        <v>45.0</v>
      </c>
    </row>
    <row r="568">
      <c r="A568" s="41" t="s">
        <v>904</v>
      </c>
      <c r="B568" s="41" t="s">
        <v>632</v>
      </c>
      <c r="C568" s="41" t="s">
        <v>1742</v>
      </c>
      <c r="D568" s="41" t="s">
        <v>1743</v>
      </c>
      <c r="E568" s="41">
        <v>31.0</v>
      </c>
      <c r="F568" s="41">
        <v>17.0</v>
      </c>
      <c r="G568" s="41">
        <v>14.0</v>
      </c>
      <c r="H568" s="125">
        <v>0.5483870967741935</v>
      </c>
      <c r="I568" s="41">
        <v>4.0</v>
      </c>
      <c r="J568" s="41">
        <v>9975.0</v>
      </c>
      <c r="K568" s="41">
        <v>25.0</v>
      </c>
      <c r="L568" s="41">
        <v>17.0</v>
      </c>
      <c r="M568" s="41">
        <v>27.0</v>
      </c>
      <c r="N568" s="41">
        <v>86.0</v>
      </c>
      <c r="O568" s="122">
        <f t="shared" si="1"/>
        <v>0.2906976744</v>
      </c>
      <c r="P568" s="123">
        <f t="shared" si="5"/>
        <v>321.7741935</v>
      </c>
      <c r="Q568" s="123">
        <f t="shared" si="2"/>
        <v>0.8064516129</v>
      </c>
      <c r="R568" s="123">
        <f t="shared" si="6"/>
        <v>0.5483870968</v>
      </c>
      <c r="S568" s="123">
        <f t="shared" si="3"/>
        <v>0.8709677419</v>
      </c>
      <c r="T568" s="123">
        <f t="shared" si="4"/>
        <v>2.774193548</v>
      </c>
      <c r="U568" s="41">
        <v>6.0</v>
      </c>
      <c r="V568" s="41">
        <v>2.0</v>
      </c>
      <c r="W568" s="41">
        <v>0.0</v>
      </c>
      <c r="X568" s="41">
        <v>1.0</v>
      </c>
      <c r="Y568" s="41">
        <v>30.0</v>
      </c>
      <c r="Z568" s="41">
        <v>37.0</v>
      </c>
    </row>
    <row r="569">
      <c r="A569" s="41" t="s">
        <v>904</v>
      </c>
      <c r="B569" s="41" t="s">
        <v>581</v>
      </c>
      <c r="C569" s="41" t="s">
        <v>1744</v>
      </c>
      <c r="D569" s="41" t="s">
        <v>1354</v>
      </c>
      <c r="E569" s="41">
        <v>51.0</v>
      </c>
      <c r="F569" s="41">
        <v>28.0</v>
      </c>
      <c r="G569" s="41">
        <v>23.0</v>
      </c>
      <c r="H569" s="125">
        <v>0.5490196078431373</v>
      </c>
      <c r="I569" s="41">
        <v>13.0</v>
      </c>
      <c r="J569" s="41">
        <v>22036.0</v>
      </c>
      <c r="K569" s="41">
        <v>66.0</v>
      </c>
      <c r="L569" s="41">
        <v>30.0</v>
      </c>
      <c r="M569" s="41">
        <v>70.0</v>
      </c>
      <c r="N569" s="41">
        <v>161.0</v>
      </c>
      <c r="O569" s="122">
        <f t="shared" si="1"/>
        <v>0.4099378882</v>
      </c>
      <c r="P569" s="123">
        <f t="shared" si="5"/>
        <v>432.0784314</v>
      </c>
      <c r="Q569" s="123">
        <f t="shared" si="2"/>
        <v>1.294117647</v>
      </c>
      <c r="R569" s="123">
        <f t="shared" si="6"/>
        <v>0.5882352941</v>
      </c>
      <c r="S569" s="123">
        <f t="shared" si="3"/>
        <v>1.37254902</v>
      </c>
      <c r="T569" s="123">
        <f t="shared" si="4"/>
        <v>3.156862745</v>
      </c>
      <c r="U569" s="41">
        <v>13.0</v>
      </c>
      <c r="V569" s="41">
        <v>11.0</v>
      </c>
      <c r="W569" s="41">
        <v>2.0</v>
      </c>
      <c r="X569" s="41">
        <v>9.0</v>
      </c>
      <c r="Y569" s="41">
        <v>62.0</v>
      </c>
      <c r="Z569" s="41">
        <v>52.0</v>
      </c>
    </row>
    <row r="570">
      <c r="A570" s="41" t="s">
        <v>901</v>
      </c>
      <c r="B570" s="41" t="s">
        <v>370</v>
      </c>
      <c r="C570" s="41" t="s">
        <v>1745</v>
      </c>
      <c r="D570" s="41" t="s">
        <v>1746</v>
      </c>
      <c r="E570" s="41">
        <v>23.0</v>
      </c>
      <c r="F570" s="41">
        <v>5.0</v>
      </c>
      <c r="G570" s="41">
        <v>18.0</v>
      </c>
      <c r="H570" s="125">
        <v>0.21739130434782608</v>
      </c>
      <c r="I570" s="41">
        <v>2.0</v>
      </c>
      <c r="J570" s="41">
        <v>7838.0</v>
      </c>
      <c r="K570" s="41">
        <v>11.0</v>
      </c>
      <c r="L570" s="41">
        <v>13.0</v>
      </c>
      <c r="M570" s="41">
        <v>36.0</v>
      </c>
      <c r="N570" s="41">
        <v>63.0</v>
      </c>
      <c r="O570" s="122">
        <f t="shared" si="1"/>
        <v>0.1746031746</v>
      </c>
      <c r="P570" s="123">
        <f t="shared" si="5"/>
        <v>340.7826087</v>
      </c>
      <c r="Q570" s="123">
        <f t="shared" si="2"/>
        <v>0.4782608696</v>
      </c>
      <c r="R570" s="123">
        <f t="shared" si="6"/>
        <v>0.5652173913</v>
      </c>
      <c r="S570" s="123">
        <f t="shared" si="3"/>
        <v>1.565217391</v>
      </c>
      <c r="T570" s="123">
        <f t="shared" si="4"/>
        <v>2.739130435</v>
      </c>
      <c r="U570" s="41">
        <v>2.0</v>
      </c>
      <c r="V570" s="41">
        <v>0.0</v>
      </c>
      <c r="W570" s="41">
        <v>2.0</v>
      </c>
      <c r="X570" s="41">
        <v>5.0</v>
      </c>
      <c r="Y570" s="41">
        <v>25.0</v>
      </c>
      <c r="Z570" s="41">
        <v>25.0</v>
      </c>
    </row>
    <row r="571">
      <c r="A571" s="41" t="s">
        <v>901</v>
      </c>
      <c r="B571" s="41" t="s">
        <v>282</v>
      </c>
      <c r="C571" s="41" t="s">
        <v>1747</v>
      </c>
      <c r="D571" s="41" t="s">
        <v>1349</v>
      </c>
      <c r="E571" s="41">
        <v>55.0</v>
      </c>
      <c r="F571" s="41">
        <v>39.0</v>
      </c>
      <c r="G571" s="41">
        <v>16.0</v>
      </c>
      <c r="H571" s="125">
        <v>0.7090909090909091</v>
      </c>
      <c r="I571" s="41">
        <v>13.0</v>
      </c>
      <c r="J571" s="41">
        <v>22125.0</v>
      </c>
      <c r="K571" s="41">
        <v>50.0</v>
      </c>
      <c r="L571" s="41">
        <v>41.0</v>
      </c>
      <c r="M571" s="41">
        <v>88.0</v>
      </c>
      <c r="N571" s="41">
        <v>152.0</v>
      </c>
      <c r="O571" s="122">
        <f t="shared" si="1"/>
        <v>0.3289473684</v>
      </c>
      <c r="P571" s="123">
        <f t="shared" si="5"/>
        <v>402.2727273</v>
      </c>
      <c r="Q571" s="123">
        <f t="shared" si="2"/>
        <v>0.9090909091</v>
      </c>
      <c r="R571" s="123">
        <f t="shared" si="6"/>
        <v>0.7454545455</v>
      </c>
      <c r="S571" s="123">
        <f t="shared" si="3"/>
        <v>1.6</v>
      </c>
      <c r="T571" s="123">
        <f t="shared" si="4"/>
        <v>2.763636364</v>
      </c>
      <c r="U571" s="41">
        <v>18.0</v>
      </c>
      <c r="V571" s="41">
        <v>1.0</v>
      </c>
      <c r="W571" s="41">
        <v>1.0</v>
      </c>
      <c r="X571" s="41">
        <v>8.0</v>
      </c>
      <c r="Y571" s="41">
        <v>140.0</v>
      </c>
      <c r="Z571" s="41">
        <v>50.0</v>
      </c>
    </row>
    <row r="572">
      <c r="A572" s="41" t="s">
        <v>901</v>
      </c>
      <c r="B572" s="41" t="s">
        <v>344</v>
      </c>
      <c r="C572" s="41" t="s">
        <v>1748</v>
      </c>
      <c r="D572" s="41" t="s">
        <v>1217</v>
      </c>
      <c r="E572" s="41">
        <v>34.0</v>
      </c>
      <c r="F572" s="41">
        <v>12.0</v>
      </c>
      <c r="G572" s="41">
        <v>22.0</v>
      </c>
      <c r="H572" s="125">
        <v>0.35294117647058826</v>
      </c>
      <c r="I572" s="41">
        <v>6.0</v>
      </c>
      <c r="J572" s="41">
        <v>11803.0</v>
      </c>
      <c r="K572" s="41">
        <v>22.0</v>
      </c>
      <c r="L572" s="41">
        <v>20.0</v>
      </c>
      <c r="M572" s="41">
        <v>48.0</v>
      </c>
      <c r="N572" s="41">
        <v>88.0</v>
      </c>
      <c r="O572" s="122">
        <f t="shared" si="1"/>
        <v>0.25</v>
      </c>
      <c r="P572" s="123">
        <f t="shared" si="5"/>
        <v>347.1470588</v>
      </c>
      <c r="Q572" s="123">
        <f t="shared" si="2"/>
        <v>0.6470588235</v>
      </c>
      <c r="R572" s="123">
        <f t="shared" si="6"/>
        <v>0.5882352941</v>
      </c>
      <c r="S572" s="123">
        <f t="shared" si="3"/>
        <v>1.411764706</v>
      </c>
      <c r="T572" s="123">
        <f t="shared" si="4"/>
        <v>2.588235294</v>
      </c>
      <c r="U572" s="41">
        <v>3.0</v>
      </c>
      <c r="V572" s="41">
        <v>2.0</v>
      </c>
      <c r="W572" s="41">
        <v>1.0</v>
      </c>
      <c r="X572" s="41">
        <v>7.0</v>
      </c>
      <c r="Y572" s="41">
        <v>36.0</v>
      </c>
      <c r="Z572" s="41">
        <v>35.0</v>
      </c>
    </row>
    <row r="573">
      <c r="A573" s="41" t="s">
        <v>902</v>
      </c>
      <c r="B573" s="41" t="s">
        <v>741</v>
      </c>
      <c r="C573" s="41" t="s">
        <v>1749</v>
      </c>
      <c r="D573" s="41" t="s">
        <v>1113</v>
      </c>
      <c r="E573" s="41">
        <v>52.0</v>
      </c>
      <c r="F573" s="41">
        <v>25.0</v>
      </c>
      <c r="G573" s="41">
        <v>27.0</v>
      </c>
      <c r="H573" s="125">
        <v>0.4807692307692308</v>
      </c>
      <c r="I573" s="41">
        <v>11.0</v>
      </c>
      <c r="J573" s="41">
        <v>22249.0</v>
      </c>
      <c r="K573" s="41">
        <v>58.0</v>
      </c>
      <c r="L573" s="41">
        <v>33.0</v>
      </c>
      <c r="M573" s="41">
        <v>86.0</v>
      </c>
      <c r="N573" s="41">
        <v>159.0</v>
      </c>
      <c r="O573" s="122">
        <f t="shared" si="1"/>
        <v>0.3647798742</v>
      </c>
      <c r="P573" s="123">
        <f t="shared" si="5"/>
        <v>427.8653846</v>
      </c>
      <c r="Q573" s="123">
        <f t="shared" si="2"/>
        <v>1.115384615</v>
      </c>
      <c r="R573" s="123">
        <f t="shared" si="6"/>
        <v>0.6346153846</v>
      </c>
      <c r="S573" s="123">
        <f t="shared" si="3"/>
        <v>1.653846154</v>
      </c>
      <c r="T573" s="123">
        <f t="shared" si="4"/>
        <v>3.057692308</v>
      </c>
      <c r="U573" s="41">
        <v>15.0</v>
      </c>
      <c r="V573" s="41">
        <v>4.0</v>
      </c>
      <c r="W573" s="41">
        <v>0.0</v>
      </c>
      <c r="X573" s="41">
        <v>13.0</v>
      </c>
      <c r="Y573" s="41">
        <v>58.0</v>
      </c>
      <c r="Z573" s="41">
        <v>63.0</v>
      </c>
    </row>
    <row r="574">
      <c r="A574" s="41" t="s">
        <v>909</v>
      </c>
      <c r="B574" s="41" t="s">
        <v>104</v>
      </c>
      <c r="C574" s="41" t="s">
        <v>1750</v>
      </c>
      <c r="D574" s="41" t="s">
        <v>1695</v>
      </c>
      <c r="E574" s="41">
        <v>4.0</v>
      </c>
      <c r="F574" s="41">
        <v>0.0</v>
      </c>
      <c r="G574" s="41">
        <v>4.0</v>
      </c>
      <c r="H574" s="125">
        <v>0.0</v>
      </c>
      <c r="I574" s="41">
        <v>0.0</v>
      </c>
      <c r="J574" s="41">
        <v>704.0</v>
      </c>
      <c r="K574" s="41">
        <v>1.0</v>
      </c>
      <c r="L574" s="41">
        <v>0.0</v>
      </c>
      <c r="M574" s="41">
        <v>3.0</v>
      </c>
      <c r="N574" s="41">
        <v>2.0</v>
      </c>
      <c r="O574" s="122">
        <f t="shared" si="1"/>
        <v>0.5</v>
      </c>
      <c r="P574" s="123">
        <f t="shared" si="5"/>
        <v>176</v>
      </c>
      <c r="Q574" s="123">
        <f t="shared" si="2"/>
        <v>0.25</v>
      </c>
      <c r="R574" s="123">
        <f t="shared" si="6"/>
        <v>0</v>
      </c>
      <c r="S574" s="123">
        <f t="shared" si="3"/>
        <v>0.75</v>
      </c>
      <c r="T574" s="123">
        <f t="shared" si="4"/>
        <v>0.5</v>
      </c>
      <c r="U574" s="41">
        <v>0.0</v>
      </c>
      <c r="V574" s="41">
        <v>0.0</v>
      </c>
      <c r="W574" s="41">
        <v>0.0</v>
      </c>
      <c r="X574" s="41">
        <v>0.0</v>
      </c>
      <c r="Y574" s="41">
        <v>3.0</v>
      </c>
      <c r="Z574" s="41">
        <v>6.0</v>
      </c>
    </row>
    <row r="575">
      <c r="A575" s="41" t="s">
        <v>901</v>
      </c>
      <c r="B575" s="41" t="s">
        <v>371</v>
      </c>
      <c r="C575" s="41" t="s">
        <v>1751</v>
      </c>
      <c r="D575" s="41" t="s">
        <v>1093</v>
      </c>
      <c r="E575" s="41">
        <v>56.0</v>
      </c>
      <c r="F575" s="41">
        <v>28.0</v>
      </c>
      <c r="G575" s="41">
        <v>28.0</v>
      </c>
      <c r="H575" s="125">
        <v>0.5</v>
      </c>
      <c r="I575" s="41">
        <v>6.0</v>
      </c>
      <c r="J575" s="41">
        <v>19511.0</v>
      </c>
      <c r="K575" s="41">
        <v>36.0</v>
      </c>
      <c r="L575" s="41">
        <v>38.0</v>
      </c>
      <c r="M575" s="41">
        <v>100.0</v>
      </c>
      <c r="N575" s="41">
        <v>122.0</v>
      </c>
      <c r="O575" s="122">
        <f t="shared" si="1"/>
        <v>0.2950819672</v>
      </c>
      <c r="P575" s="123">
        <f t="shared" si="5"/>
        <v>348.4107143</v>
      </c>
      <c r="Q575" s="123">
        <f t="shared" si="2"/>
        <v>0.6428571429</v>
      </c>
      <c r="R575" s="123">
        <f t="shared" si="6"/>
        <v>0.6785714286</v>
      </c>
      <c r="S575" s="123">
        <f t="shared" si="3"/>
        <v>1.785714286</v>
      </c>
      <c r="T575" s="123">
        <f t="shared" si="4"/>
        <v>2.178571429</v>
      </c>
      <c r="U575" s="41">
        <v>9.0</v>
      </c>
      <c r="V575" s="41">
        <v>1.0</v>
      </c>
      <c r="W575" s="41">
        <v>2.0</v>
      </c>
      <c r="X575" s="41">
        <v>14.0</v>
      </c>
      <c r="Y575" s="41">
        <v>89.0</v>
      </c>
      <c r="Z575" s="41">
        <v>50.0</v>
      </c>
    </row>
    <row r="576">
      <c r="A576" s="41" t="s">
        <v>905</v>
      </c>
      <c r="B576" s="41" t="s">
        <v>194</v>
      </c>
      <c r="C576" s="41" t="s">
        <v>1752</v>
      </c>
      <c r="D576" s="41" t="s">
        <v>1753</v>
      </c>
      <c r="E576" s="41">
        <v>51.0</v>
      </c>
      <c r="F576" s="41">
        <v>18.0</v>
      </c>
      <c r="G576" s="41">
        <v>33.0</v>
      </c>
      <c r="H576" s="125">
        <v>0.35294117647058826</v>
      </c>
      <c r="I576" s="41">
        <v>8.0</v>
      </c>
      <c r="J576" s="41">
        <v>16758.0</v>
      </c>
      <c r="K576" s="41">
        <v>35.0</v>
      </c>
      <c r="L576" s="41">
        <v>20.0</v>
      </c>
      <c r="M576" s="41">
        <v>68.0</v>
      </c>
      <c r="N576" s="41">
        <v>132.0</v>
      </c>
      <c r="O576" s="122">
        <f t="shared" si="1"/>
        <v>0.2651515152</v>
      </c>
      <c r="P576" s="123">
        <f t="shared" si="5"/>
        <v>328.5882353</v>
      </c>
      <c r="Q576" s="123">
        <f t="shared" si="2"/>
        <v>0.6862745098</v>
      </c>
      <c r="R576" s="123">
        <f t="shared" si="6"/>
        <v>0.3921568627</v>
      </c>
      <c r="S576" s="123">
        <f t="shared" si="3"/>
        <v>1.333333333</v>
      </c>
      <c r="T576" s="123">
        <f t="shared" si="4"/>
        <v>2.588235294</v>
      </c>
      <c r="U576" s="41">
        <v>5.0</v>
      </c>
      <c r="V576" s="41">
        <v>2.0</v>
      </c>
      <c r="W576" s="41">
        <v>0.0</v>
      </c>
      <c r="X576" s="41">
        <v>10.0</v>
      </c>
      <c r="Y576" s="41">
        <v>37.0</v>
      </c>
      <c r="Z576" s="41">
        <v>46.0</v>
      </c>
    </row>
    <row r="577">
      <c r="A577" s="41" t="s">
        <v>897</v>
      </c>
      <c r="B577" s="41" t="s">
        <v>491</v>
      </c>
      <c r="C577" s="41" t="s">
        <v>1754</v>
      </c>
      <c r="D577" s="41" t="s">
        <v>1755</v>
      </c>
      <c r="E577" s="41">
        <v>8.0</v>
      </c>
      <c r="F577" s="41">
        <v>5.0</v>
      </c>
      <c r="G577" s="41">
        <v>3.0</v>
      </c>
      <c r="H577" s="125">
        <v>0.625</v>
      </c>
      <c r="I577" s="41">
        <v>3.0</v>
      </c>
      <c r="J577" s="41">
        <v>3774.0</v>
      </c>
      <c r="K577" s="41">
        <v>8.0</v>
      </c>
      <c r="L577" s="41">
        <v>2.0</v>
      </c>
      <c r="M577" s="41">
        <v>20.0</v>
      </c>
      <c r="N577" s="41">
        <v>25.0</v>
      </c>
      <c r="O577" s="122">
        <f t="shared" si="1"/>
        <v>0.32</v>
      </c>
      <c r="P577" s="123">
        <f t="shared" si="5"/>
        <v>471.75</v>
      </c>
      <c r="Q577" s="123">
        <f t="shared" si="2"/>
        <v>1</v>
      </c>
      <c r="R577" s="123">
        <f t="shared" si="6"/>
        <v>0.25</v>
      </c>
      <c r="S577" s="123">
        <f t="shared" si="3"/>
        <v>2.5</v>
      </c>
      <c r="T577" s="123">
        <f t="shared" si="4"/>
        <v>3.125</v>
      </c>
      <c r="U577" s="41">
        <v>1.0</v>
      </c>
      <c r="V577" s="41">
        <v>0.0</v>
      </c>
      <c r="W577" s="41">
        <v>0.0</v>
      </c>
      <c r="X577" s="41">
        <v>4.0</v>
      </c>
      <c r="Y577" s="41">
        <v>17.0</v>
      </c>
      <c r="Z577" s="41">
        <v>8.0</v>
      </c>
    </row>
    <row r="578">
      <c r="A578" s="41" t="s">
        <v>902</v>
      </c>
      <c r="B578" s="41" t="s">
        <v>798</v>
      </c>
      <c r="C578" s="41" t="s">
        <v>1756</v>
      </c>
      <c r="D578" s="41" t="s">
        <v>1092</v>
      </c>
      <c r="E578" s="41">
        <v>52.0</v>
      </c>
      <c r="F578" s="41">
        <v>32.0</v>
      </c>
      <c r="G578" s="41">
        <v>20.0</v>
      </c>
      <c r="H578" s="125">
        <v>0.6153846153846154</v>
      </c>
      <c r="I578" s="41">
        <v>13.0</v>
      </c>
      <c r="J578" s="41">
        <v>19131.0</v>
      </c>
      <c r="K578" s="41">
        <v>40.0</v>
      </c>
      <c r="L578" s="41">
        <v>28.0</v>
      </c>
      <c r="M578" s="41">
        <v>85.0</v>
      </c>
      <c r="N578" s="41">
        <v>122.0</v>
      </c>
      <c r="O578" s="122">
        <f t="shared" si="1"/>
        <v>0.3278688525</v>
      </c>
      <c r="P578" s="123">
        <f t="shared" si="5"/>
        <v>367.9038462</v>
      </c>
      <c r="Q578" s="123">
        <f t="shared" si="2"/>
        <v>0.7692307692</v>
      </c>
      <c r="R578" s="123">
        <f t="shared" si="6"/>
        <v>0.5384615385</v>
      </c>
      <c r="S578" s="123">
        <f t="shared" si="3"/>
        <v>1.634615385</v>
      </c>
      <c r="T578" s="123">
        <f t="shared" si="4"/>
        <v>2.346153846</v>
      </c>
      <c r="U578" s="41">
        <v>8.0</v>
      </c>
      <c r="V578" s="41">
        <v>1.0</v>
      </c>
      <c r="W578" s="41">
        <v>1.0</v>
      </c>
      <c r="X578" s="41">
        <v>12.0</v>
      </c>
      <c r="Y578" s="41">
        <v>77.0</v>
      </c>
      <c r="Z578" s="41">
        <v>63.0</v>
      </c>
    </row>
    <row r="579">
      <c r="A579" s="41" t="s">
        <v>904</v>
      </c>
      <c r="B579" s="41" t="s">
        <v>695</v>
      </c>
      <c r="C579" s="41" t="s">
        <v>1757</v>
      </c>
      <c r="D579" s="41" t="s">
        <v>963</v>
      </c>
      <c r="E579" s="41">
        <v>4.0</v>
      </c>
      <c r="F579" s="41">
        <v>1.0</v>
      </c>
      <c r="G579" s="41">
        <v>3.0</v>
      </c>
      <c r="H579" s="125">
        <v>0.25</v>
      </c>
      <c r="I579" s="41">
        <v>1.0</v>
      </c>
      <c r="J579" s="41">
        <v>1503.0</v>
      </c>
      <c r="K579" s="41">
        <v>6.0</v>
      </c>
      <c r="L579" s="41">
        <v>0.0</v>
      </c>
      <c r="M579" s="41">
        <v>4.0</v>
      </c>
      <c r="N579" s="41">
        <v>10.0</v>
      </c>
      <c r="O579" s="122">
        <f t="shared" si="1"/>
        <v>0.6</v>
      </c>
      <c r="P579" s="123">
        <f t="shared" si="5"/>
        <v>375.75</v>
      </c>
      <c r="Q579" s="123">
        <f t="shared" si="2"/>
        <v>1.5</v>
      </c>
      <c r="R579" s="123">
        <f t="shared" si="6"/>
        <v>0</v>
      </c>
      <c r="S579" s="123">
        <f t="shared" si="3"/>
        <v>1</v>
      </c>
      <c r="T579" s="123">
        <f t="shared" si="4"/>
        <v>2.5</v>
      </c>
      <c r="U579" s="41">
        <v>0.0</v>
      </c>
      <c r="V579" s="41">
        <v>0.0</v>
      </c>
      <c r="W579" s="41">
        <v>0.0</v>
      </c>
      <c r="X579" s="41">
        <v>1.0</v>
      </c>
      <c r="Y579" s="41">
        <v>4.0</v>
      </c>
      <c r="Z579" s="41">
        <v>6.0</v>
      </c>
    </row>
    <row r="580">
      <c r="A580" s="41" t="s">
        <v>902</v>
      </c>
      <c r="B580" s="41" t="s">
        <v>768</v>
      </c>
      <c r="C580" s="41" t="s">
        <v>1758</v>
      </c>
      <c r="D580" s="41" t="s">
        <v>1181</v>
      </c>
      <c r="E580" s="41">
        <v>40.0</v>
      </c>
      <c r="F580" s="41">
        <v>30.0</v>
      </c>
      <c r="G580" s="41">
        <v>10.0</v>
      </c>
      <c r="H580" s="125">
        <v>0.75</v>
      </c>
      <c r="I580" s="41">
        <v>10.0</v>
      </c>
      <c r="J580" s="41">
        <v>15496.0</v>
      </c>
      <c r="K580" s="41">
        <v>35.0</v>
      </c>
      <c r="L580" s="41">
        <v>22.0</v>
      </c>
      <c r="M580" s="41">
        <v>62.0</v>
      </c>
      <c r="N580" s="41">
        <v>127.0</v>
      </c>
      <c r="O580" s="122">
        <f t="shared" si="1"/>
        <v>0.2755905512</v>
      </c>
      <c r="P580" s="123">
        <f t="shared" si="5"/>
        <v>387.4</v>
      </c>
      <c r="Q580" s="123">
        <f t="shared" si="2"/>
        <v>0.875</v>
      </c>
      <c r="R580" s="123">
        <f t="shared" si="6"/>
        <v>0.55</v>
      </c>
      <c r="S580" s="123">
        <f t="shared" si="3"/>
        <v>1.55</v>
      </c>
      <c r="T580" s="123">
        <f t="shared" si="4"/>
        <v>3.175</v>
      </c>
      <c r="U580" s="41">
        <v>10.0</v>
      </c>
      <c r="V580" s="41">
        <v>2.0</v>
      </c>
      <c r="W580" s="41">
        <v>0.0</v>
      </c>
      <c r="X580" s="41">
        <v>10.0</v>
      </c>
      <c r="Y580" s="41">
        <v>29.0</v>
      </c>
      <c r="Z580" s="41">
        <v>44.0</v>
      </c>
    </row>
    <row r="581">
      <c r="A581" s="41" t="s">
        <v>901</v>
      </c>
      <c r="B581" s="41" t="s">
        <v>313</v>
      </c>
      <c r="C581" s="41" t="s">
        <v>1759</v>
      </c>
      <c r="D581" s="41" t="s">
        <v>1760</v>
      </c>
      <c r="E581" s="41">
        <v>47.0</v>
      </c>
      <c r="F581" s="41">
        <v>18.0</v>
      </c>
      <c r="G581" s="41">
        <v>29.0</v>
      </c>
      <c r="H581" s="125">
        <v>0.3829787234042553</v>
      </c>
      <c r="I581" s="41">
        <v>8.0</v>
      </c>
      <c r="J581" s="41">
        <v>17622.0</v>
      </c>
      <c r="K581" s="41">
        <v>43.0</v>
      </c>
      <c r="L581" s="41">
        <v>27.0</v>
      </c>
      <c r="M581" s="41">
        <v>70.0</v>
      </c>
      <c r="N581" s="41">
        <v>133.0</v>
      </c>
      <c r="O581" s="122">
        <f t="shared" si="1"/>
        <v>0.3233082707</v>
      </c>
      <c r="P581" s="123">
        <f t="shared" si="5"/>
        <v>374.9361702</v>
      </c>
      <c r="Q581" s="123">
        <f t="shared" si="2"/>
        <v>0.914893617</v>
      </c>
      <c r="R581" s="123">
        <f t="shared" si="6"/>
        <v>0.5744680851</v>
      </c>
      <c r="S581" s="123">
        <f t="shared" si="3"/>
        <v>1.489361702</v>
      </c>
      <c r="T581" s="123">
        <f t="shared" si="4"/>
        <v>2.829787234</v>
      </c>
      <c r="U581" s="41">
        <v>13.0</v>
      </c>
      <c r="V581" s="41">
        <v>3.0</v>
      </c>
      <c r="W581" s="41">
        <v>0.0</v>
      </c>
      <c r="X581" s="41">
        <v>9.0</v>
      </c>
      <c r="Y581" s="41">
        <v>50.0</v>
      </c>
      <c r="Z581" s="41">
        <v>46.0</v>
      </c>
    </row>
    <row r="582">
      <c r="A582" s="41" t="s">
        <v>905</v>
      </c>
      <c r="B582" s="41" t="s">
        <v>185</v>
      </c>
      <c r="C582" s="41" t="s">
        <v>1761</v>
      </c>
      <c r="D582" s="41" t="s">
        <v>1295</v>
      </c>
      <c r="E582" s="41">
        <v>52.0</v>
      </c>
      <c r="F582" s="41">
        <v>32.0</v>
      </c>
      <c r="G582" s="41">
        <v>20.0</v>
      </c>
      <c r="H582" s="125">
        <v>0.6153846153846154</v>
      </c>
      <c r="I582" s="41">
        <v>5.0</v>
      </c>
      <c r="J582" s="41">
        <v>16517.0</v>
      </c>
      <c r="K582" s="41">
        <v>43.0</v>
      </c>
      <c r="L582" s="41">
        <v>19.0</v>
      </c>
      <c r="M582" s="41">
        <v>53.0</v>
      </c>
      <c r="N582" s="41">
        <v>117.0</v>
      </c>
      <c r="O582" s="122">
        <f t="shared" si="1"/>
        <v>0.3675213675</v>
      </c>
      <c r="P582" s="123">
        <f t="shared" si="5"/>
        <v>317.6346154</v>
      </c>
      <c r="Q582" s="123">
        <f t="shared" si="2"/>
        <v>0.8269230769</v>
      </c>
      <c r="R582" s="123">
        <f t="shared" si="6"/>
        <v>0.3653846154</v>
      </c>
      <c r="S582" s="123">
        <f t="shared" si="3"/>
        <v>1.019230769</v>
      </c>
      <c r="T582" s="123">
        <f t="shared" si="4"/>
        <v>2.25</v>
      </c>
      <c r="U582" s="41">
        <v>5.0</v>
      </c>
      <c r="V582" s="41">
        <v>1.0</v>
      </c>
      <c r="W582" s="41">
        <v>0.0</v>
      </c>
      <c r="X582" s="41">
        <v>6.0</v>
      </c>
      <c r="Y582" s="41">
        <v>24.0</v>
      </c>
      <c r="Z582" s="41">
        <v>39.0</v>
      </c>
    </row>
    <row r="583">
      <c r="A583" s="41" t="s">
        <v>904</v>
      </c>
      <c r="B583" s="41" t="s">
        <v>707</v>
      </c>
      <c r="C583" s="41" t="s">
        <v>1762</v>
      </c>
      <c r="D583" s="41" t="s">
        <v>1763</v>
      </c>
      <c r="E583" s="41">
        <v>28.0</v>
      </c>
      <c r="F583" s="41">
        <v>13.0</v>
      </c>
      <c r="G583" s="41">
        <v>15.0</v>
      </c>
      <c r="H583" s="125">
        <v>0.4642857142857143</v>
      </c>
      <c r="I583" s="41">
        <v>2.0</v>
      </c>
      <c r="J583" s="41">
        <v>8056.0</v>
      </c>
      <c r="K583" s="41">
        <v>10.0</v>
      </c>
      <c r="L583" s="41">
        <v>16.0</v>
      </c>
      <c r="M583" s="41">
        <v>38.0</v>
      </c>
      <c r="N583" s="41">
        <v>45.0</v>
      </c>
      <c r="O583" s="122">
        <f t="shared" si="1"/>
        <v>0.2222222222</v>
      </c>
      <c r="P583" s="123">
        <f t="shared" si="5"/>
        <v>287.7142857</v>
      </c>
      <c r="Q583" s="123">
        <f t="shared" si="2"/>
        <v>0.3571428571</v>
      </c>
      <c r="R583" s="123">
        <f t="shared" si="6"/>
        <v>0.5714285714</v>
      </c>
      <c r="S583" s="123">
        <f t="shared" si="3"/>
        <v>1.357142857</v>
      </c>
      <c r="T583" s="123">
        <f t="shared" si="4"/>
        <v>1.607142857</v>
      </c>
      <c r="U583" s="41">
        <v>2.0</v>
      </c>
      <c r="V583" s="41">
        <v>0.0</v>
      </c>
      <c r="W583" s="41">
        <v>0.0</v>
      </c>
      <c r="X583" s="41">
        <v>1.0</v>
      </c>
      <c r="Y583" s="41">
        <v>48.0</v>
      </c>
      <c r="Z583" s="41">
        <v>22.0</v>
      </c>
    </row>
    <row r="584">
      <c r="A584" s="41" t="s">
        <v>904</v>
      </c>
      <c r="B584" s="41" t="s">
        <v>588</v>
      </c>
      <c r="C584" s="41" t="s">
        <v>1764</v>
      </c>
      <c r="D584" s="41" t="s">
        <v>927</v>
      </c>
      <c r="E584" s="41">
        <v>52.0</v>
      </c>
      <c r="F584" s="41">
        <v>29.0</v>
      </c>
      <c r="G584" s="41">
        <v>23.0</v>
      </c>
      <c r="H584" s="125">
        <v>0.5576923076923077</v>
      </c>
      <c r="I584" s="41">
        <v>15.0</v>
      </c>
      <c r="J584" s="41">
        <v>20890.0</v>
      </c>
      <c r="K584" s="41">
        <v>52.0</v>
      </c>
      <c r="L584" s="41">
        <v>38.0</v>
      </c>
      <c r="M584" s="41">
        <v>77.0</v>
      </c>
      <c r="N584" s="41">
        <v>132.0</v>
      </c>
      <c r="O584" s="122">
        <f t="shared" si="1"/>
        <v>0.3939393939</v>
      </c>
      <c r="P584" s="123">
        <f t="shared" si="5"/>
        <v>401.7307692</v>
      </c>
      <c r="Q584" s="123">
        <f t="shared" si="2"/>
        <v>1</v>
      </c>
      <c r="R584" s="123">
        <f t="shared" si="6"/>
        <v>0.7307692308</v>
      </c>
      <c r="S584" s="123">
        <f t="shared" si="3"/>
        <v>1.480769231</v>
      </c>
      <c r="T584" s="123">
        <f t="shared" si="4"/>
        <v>2.538461538</v>
      </c>
      <c r="U584" s="41">
        <v>12.0</v>
      </c>
      <c r="V584" s="41">
        <v>4.0</v>
      </c>
      <c r="W584" s="41">
        <v>2.0</v>
      </c>
      <c r="X584" s="41">
        <v>12.0</v>
      </c>
      <c r="Y584" s="41">
        <v>60.0</v>
      </c>
      <c r="Z584" s="41">
        <v>38.0</v>
      </c>
    </row>
    <row r="585">
      <c r="A585" s="41" t="s">
        <v>897</v>
      </c>
      <c r="B585" s="41" t="s">
        <v>479</v>
      </c>
      <c r="C585" s="41" t="s">
        <v>1765</v>
      </c>
      <c r="D585" s="41" t="s">
        <v>1370</v>
      </c>
      <c r="E585" s="41">
        <v>36.0</v>
      </c>
      <c r="F585" s="41">
        <v>19.0</v>
      </c>
      <c r="G585" s="41">
        <v>17.0</v>
      </c>
      <c r="H585" s="125">
        <v>0.5277777777777778</v>
      </c>
      <c r="I585" s="41">
        <v>9.0</v>
      </c>
      <c r="J585" s="41">
        <v>16579.0</v>
      </c>
      <c r="K585" s="41">
        <v>34.0</v>
      </c>
      <c r="L585" s="41">
        <v>30.0</v>
      </c>
      <c r="M585" s="41">
        <v>69.0</v>
      </c>
      <c r="N585" s="41">
        <v>111.0</v>
      </c>
      <c r="O585" s="122">
        <f t="shared" si="1"/>
        <v>0.3063063063</v>
      </c>
      <c r="P585" s="123">
        <f t="shared" si="5"/>
        <v>460.5277778</v>
      </c>
      <c r="Q585" s="123">
        <f t="shared" si="2"/>
        <v>0.9444444444</v>
      </c>
      <c r="R585" s="123">
        <f t="shared" si="6"/>
        <v>0.8333333333</v>
      </c>
      <c r="S585" s="123">
        <f t="shared" si="3"/>
        <v>1.916666667</v>
      </c>
      <c r="T585" s="123">
        <f t="shared" si="4"/>
        <v>3.083333333</v>
      </c>
      <c r="U585" s="41">
        <v>9.0</v>
      </c>
      <c r="V585" s="41">
        <v>1.0</v>
      </c>
      <c r="W585" s="41">
        <v>4.0</v>
      </c>
      <c r="X585" s="41">
        <v>11.0</v>
      </c>
      <c r="Y585" s="41">
        <v>40.0</v>
      </c>
      <c r="Z585" s="41">
        <v>35.0</v>
      </c>
    </row>
    <row r="586">
      <c r="A586" s="41" t="s">
        <v>901</v>
      </c>
      <c r="B586" s="41" t="s">
        <v>301</v>
      </c>
      <c r="C586" s="41" t="s">
        <v>1766</v>
      </c>
      <c r="D586" s="41" t="s">
        <v>1545</v>
      </c>
      <c r="E586" s="41">
        <v>46.0</v>
      </c>
      <c r="F586" s="41">
        <v>28.0</v>
      </c>
      <c r="G586" s="41">
        <v>18.0</v>
      </c>
      <c r="H586" s="125">
        <v>0.6086956521739131</v>
      </c>
      <c r="I586" s="41">
        <v>12.0</v>
      </c>
      <c r="J586" s="41">
        <v>18513.0</v>
      </c>
      <c r="K586" s="41">
        <v>54.0</v>
      </c>
      <c r="L586" s="41">
        <v>21.0</v>
      </c>
      <c r="M586" s="41">
        <v>77.0</v>
      </c>
      <c r="N586" s="41">
        <v>139.0</v>
      </c>
      <c r="O586" s="122">
        <f t="shared" si="1"/>
        <v>0.3884892086</v>
      </c>
      <c r="P586" s="123">
        <f t="shared" si="5"/>
        <v>402.4565217</v>
      </c>
      <c r="Q586" s="123">
        <f t="shared" si="2"/>
        <v>1.173913043</v>
      </c>
      <c r="R586" s="123">
        <f t="shared" si="6"/>
        <v>0.4565217391</v>
      </c>
      <c r="S586" s="123">
        <f t="shared" si="3"/>
        <v>1.673913043</v>
      </c>
      <c r="T586" s="123">
        <f t="shared" si="4"/>
        <v>3.02173913</v>
      </c>
      <c r="U586" s="41">
        <v>9.0</v>
      </c>
      <c r="V586" s="41">
        <v>7.0</v>
      </c>
      <c r="W586" s="41">
        <v>1.0</v>
      </c>
      <c r="X586" s="41">
        <v>11.0</v>
      </c>
      <c r="Y586" s="41">
        <v>71.0</v>
      </c>
      <c r="Z586" s="41">
        <v>53.0</v>
      </c>
    </row>
    <row r="587">
      <c r="A587" s="41" t="s">
        <v>902</v>
      </c>
      <c r="B587" s="41" t="s">
        <v>801</v>
      </c>
      <c r="C587" s="41" t="s">
        <v>1767</v>
      </c>
      <c r="D587" s="41" t="s">
        <v>1273</v>
      </c>
      <c r="E587" s="41">
        <v>52.0</v>
      </c>
      <c r="F587" s="41">
        <v>24.0</v>
      </c>
      <c r="G587" s="41">
        <v>28.0</v>
      </c>
      <c r="H587" s="125">
        <v>0.46153846153846156</v>
      </c>
      <c r="I587" s="41">
        <v>7.0</v>
      </c>
      <c r="J587" s="41">
        <v>18531.0</v>
      </c>
      <c r="K587" s="41">
        <v>40.0</v>
      </c>
      <c r="L587" s="41">
        <v>35.0</v>
      </c>
      <c r="M587" s="41">
        <v>69.0</v>
      </c>
      <c r="N587" s="41">
        <v>106.0</v>
      </c>
      <c r="O587" s="122">
        <f t="shared" si="1"/>
        <v>0.3773584906</v>
      </c>
      <c r="P587" s="123">
        <f t="shared" si="5"/>
        <v>356.3653846</v>
      </c>
      <c r="Q587" s="123">
        <f t="shared" si="2"/>
        <v>0.7692307692</v>
      </c>
      <c r="R587" s="123">
        <f t="shared" si="6"/>
        <v>0.6730769231</v>
      </c>
      <c r="S587" s="123">
        <f t="shared" si="3"/>
        <v>1.326923077</v>
      </c>
      <c r="T587" s="123">
        <f t="shared" si="4"/>
        <v>2.038461538</v>
      </c>
      <c r="U587" s="41">
        <v>8.0</v>
      </c>
      <c r="V587" s="41">
        <v>2.0</v>
      </c>
      <c r="W587" s="41">
        <v>1.0</v>
      </c>
      <c r="X587" s="41">
        <v>6.0</v>
      </c>
      <c r="Y587" s="41">
        <v>51.0</v>
      </c>
      <c r="Z587" s="41">
        <v>51.0</v>
      </c>
    </row>
    <row r="588">
      <c r="A588" s="41" t="s">
        <v>909</v>
      </c>
      <c r="B588" s="41" t="s">
        <v>82</v>
      </c>
      <c r="C588" s="41" t="s">
        <v>1768</v>
      </c>
      <c r="D588" s="41" t="s">
        <v>1511</v>
      </c>
      <c r="E588" s="41">
        <v>44.0</v>
      </c>
      <c r="F588" s="41">
        <v>20.0</v>
      </c>
      <c r="G588" s="41">
        <v>24.0</v>
      </c>
      <c r="H588" s="125">
        <v>0.45454545454545453</v>
      </c>
      <c r="I588" s="41">
        <v>5.0</v>
      </c>
      <c r="J588" s="41">
        <v>13777.0</v>
      </c>
      <c r="K588" s="41">
        <v>37.0</v>
      </c>
      <c r="L588" s="41">
        <v>19.0</v>
      </c>
      <c r="M588" s="41">
        <v>32.0</v>
      </c>
      <c r="N588" s="41">
        <v>120.0</v>
      </c>
      <c r="O588" s="122">
        <f t="shared" si="1"/>
        <v>0.3083333333</v>
      </c>
      <c r="P588" s="123">
        <f t="shared" si="5"/>
        <v>313.1136364</v>
      </c>
      <c r="Q588" s="123">
        <f t="shared" si="2"/>
        <v>0.8409090909</v>
      </c>
      <c r="R588" s="123">
        <f t="shared" si="6"/>
        <v>0.4318181818</v>
      </c>
      <c r="S588" s="123">
        <f t="shared" si="3"/>
        <v>0.7272727273</v>
      </c>
      <c r="T588" s="123">
        <f t="shared" si="4"/>
        <v>2.727272727</v>
      </c>
      <c r="U588" s="41">
        <v>5.0</v>
      </c>
      <c r="V588" s="41">
        <v>3.0</v>
      </c>
      <c r="W588" s="41">
        <v>0.0</v>
      </c>
      <c r="X588" s="41">
        <v>3.0</v>
      </c>
      <c r="Y588" s="41">
        <v>59.0</v>
      </c>
      <c r="Z588" s="41">
        <v>26.0</v>
      </c>
    </row>
    <row r="589">
      <c r="A589" s="41" t="s">
        <v>901</v>
      </c>
      <c r="B589" s="41" t="s">
        <v>333</v>
      </c>
      <c r="C589" s="41" t="s">
        <v>1769</v>
      </c>
      <c r="D589" s="41" t="s">
        <v>1770</v>
      </c>
      <c r="E589" s="41">
        <v>37.0</v>
      </c>
      <c r="F589" s="41">
        <v>17.0</v>
      </c>
      <c r="G589" s="41">
        <v>20.0</v>
      </c>
      <c r="H589" s="125">
        <v>0.4594594594594595</v>
      </c>
      <c r="I589" s="41">
        <v>6.0</v>
      </c>
      <c r="J589" s="41">
        <v>12681.0</v>
      </c>
      <c r="K589" s="41">
        <v>29.0</v>
      </c>
      <c r="L589" s="41">
        <v>21.0</v>
      </c>
      <c r="M589" s="41">
        <v>44.0</v>
      </c>
      <c r="N589" s="41">
        <v>97.0</v>
      </c>
      <c r="O589" s="122">
        <f t="shared" si="1"/>
        <v>0.2989690722</v>
      </c>
      <c r="P589" s="123">
        <f t="shared" si="5"/>
        <v>342.7297297</v>
      </c>
      <c r="Q589" s="123">
        <f t="shared" si="2"/>
        <v>0.7837837838</v>
      </c>
      <c r="R589" s="123">
        <f t="shared" si="6"/>
        <v>0.5675675676</v>
      </c>
      <c r="S589" s="123">
        <f t="shared" si="3"/>
        <v>1.189189189</v>
      </c>
      <c r="T589" s="123">
        <f t="shared" si="4"/>
        <v>2.621621622</v>
      </c>
      <c r="U589" s="41">
        <v>6.0</v>
      </c>
      <c r="V589" s="41">
        <v>2.0</v>
      </c>
      <c r="W589" s="41">
        <v>2.0</v>
      </c>
      <c r="X589" s="41">
        <v>6.0</v>
      </c>
      <c r="Y589" s="41">
        <v>36.0</v>
      </c>
      <c r="Z589" s="41">
        <v>53.0</v>
      </c>
    </row>
    <row r="590">
      <c r="A590" s="41" t="s">
        <v>902</v>
      </c>
      <c r="B590" s="41" t="s">
        <v>733</v>
      </c>
      <c r="C590" s="41" t="s">
        <v>1771</v>
      </c>
      <c r="D590" s="41" t="s">
        <v>1457</v>
      </c>
      <c r="E590" s="41">
        <v>54.0</v>
      </c>
      <c r="F590" s="41">
        <v>35.0</v>
      </c>
      <c r="G590" s="41">
        <v>19.0</v>
      </c>
      <c r="H590" s="125">
        <v>0.6481481481481481</v>
      </c>
      <c r="I590" s="41">
        <v>15.0</v>
      </c>
      <c r="J590" s="41">
        <v>22141.0</v>
      </c>
      <c r="K590" s="41">
        <v>56.0</v>
      </c>
      <c r="L590" s="41">
        <v>41.0</v>
      </c>
      <c r="M590" s="41">
        <v>78.0</v>
      </c>
      <c r="N590" s="41">
        <v>158.0</v>
      </c>
      <c r="O590" s="122">
        <f t="shared" si="1"/>
        <v>0.3544303797</v>
      </c>
      <c r="P590" s="123">
        <f t="shared" si="5"/>
        <v>410.0185185</v>
      </c>
      <c r="Q590" s="123">
        <f t="shared" si="2"/>
        <v>1.037037037</v>
      </c>
      <c r="R590" s="123">
        <f t="shared" si="6"/>
        <v>0.7592592593</v>
      </c>
      <c r="S590" s="123">
        <f t="shared" si="3"/>
        <v>1.444444444</v>
      </c>
      <c r="T590" s="123">
        <f t="shared" si="4"/>
        <v>2.925925926</v>
      </c>
      <c r="U590" s="41">
        <v>19.0</v>
      </c>
      <c r="V590" s="41">
        <v>2.0</v>
      </c>
      <c r="W590" s="41">
        <v>2.0</v>
      </c>
      <c r="X590" s="41">
        <v>12.0</v>
      </c>
      <c r="Y590" s="41">
        <v>93.0</v>
      </c>
      <c r="Z590" s="41">
        <v>65.0</v>
      </c>
    </row>
    <row r="591">
      <c r="A591" s="41" t="s">
        <v>902</v>
      </c>
      <c r="B591" s="41" t="s">
        <v>843</v>
      </c>
      <c r="C591" s="41" t="s">
        <v>1772</v>
      </c>
      <c r="D591" s="41" t="s">
        <v>1132</v>
      </c>
      <c r="E591" s="41">
        <v>10.0</v>
      </c>
      <c r="F591" s="41">
        <v>4.0</v>
      </c>
      <c r="G591" s="41">
        <v>6.0</v>
      </c>
      <c r="H591" s="125">
        <v>0.4</v>
      </c>
      <c r="I591" s="41">
        <v>1.0</v>
      </c>
      <c r="J591" s="41">
        <v>2992.0</v>
      </c>
      <c r="K591" s="41">
        <v>5.0</v>
      </c>
      <c r="L591" s="41">
        <v>8.0</v>
      </c>
      <c r="M591" s="41">
        <v>11.0</v>
      </c>
      <c r="N591" s="41">
        <v>20.0</v>
      </c>
      <c r="O591" s="122">
        <f t="shared" si="1"/>
        <v>0.25</v>
      </c>
      <c r="P591" s="123">
        <f t="shared" si="5"/>
        <v>299.2</v>
      </c>
      <c r="Q591" s="123">
        <f t="shared" si="2"/>
        <v>0.5</v>
      </c>
      <c r="R591" s="123">
        <f t="shared" si="6"/>
        <v>0.8</v>
      </c>
      <c r="S591" s="123">
        <f t="shared" si="3"/>
        <v>1.1</v>
      </c>
      <c r="T591" s="123">
        <f t="shared" si="4"/>
        <v>2</v>
      </c>
      <c r="U591" s="41">
        <v>2.0</v>
      </c>
      <c r="V591" s="41">
        <v>0.0</v>
      </c>
      <c r="W591" s="41">
        <v>1.0</v>
      </c>
      <c r="X591" s="41">
        <v>1.0</v>
      </c>
      <c r="Y591" s="41">
        <v>9.0</v>
      </c>
      <c r="Z591" s="41">
        <v>18.0</v>
      </c>
    </row>
    <row r="592">
      <c r="A592" s="41" t="s">
        <v>905</v>
      </c>
      <c r="B592" s="41" t="s">
        <v>134</v>
      </c>
      <c r="C592" s="41" t="s">
        <v>1773</v>
      </c>
      <c r="D592" s="41" t="s">
        <v>1179</v>
      </c>
      <c r="E592" s="41">
        <v>54.0</v>
      </c>
      <c r="F592" s="41">
        <v>29.0</v>
      </c>
      <c r="G592" s="41">
        <v>25.0</v>
      </c>
      <c r="H592" s="125">
        <v>0.5370370370370371</v>
      </c>
      <c r="I592" s="41">
        <v>9.0</v>
      </c>
      <c r="J592" s="41">
        <v>19976.0</v>
      </c>
      <c r="K592" s="41">
        <v>54.0</v>
      </c>
      <c r="L592" s="41">
        <v>37.0</v>
      </c>
      <c r="M592" s="41">
        <v>65.0</v>
      </c>
      <c r="N592" s="41">
        <v>142.0</v>
      </c>
      <c r="O592" s="122">
        <f t="shared" si="1"/>
        <v>0.3802816901</v>
      </c>
      <c r="P592" s="123">
        <f t="shared" si="5"/>
        <v>369.9259259</v>
      </c>
      <c r="Q592" s="123">
        <f t="shared" si="2"/>
        <v>1</v>
      </c>
      <c r="R592" s="123">
        <f t="shared" si="6"/>
        <v>0.6851851852</v>
      </c>
      <c r="S592" s="123">
        <f t="shared" si="3"/>
        <v>1.203703704</v>
      </c>
      <c r="T592" s="123">
        <f t="shared" si="4"/>
        <v>2.62962963</v>
      </c>
      <c r="U592" s="41">
        <v>11.0</v>
      </c>
      <c r="V592" s="41">
        <v>5.0</v>
      </c>
      <c r="W592" s="41">
        <v>0.0</v>
      </c>
      <c r="X592" s="41">
        <v>6.0</v>
      </c>
      <c r="Y592" s="41">
        <v>35.0</v>
      </c>
      <c r="Z592" s="41">
        <v>43.0</v>
      </c>
    </row>
    <row r="593">
      <c r="A593" s="41" t="s">
        <v>905</v>
      </c>
      <c r="B593" s="41" t="s">
        <v>189</v>
      </c>
      <c r="C593" s="41" t="s">
        <v>1774</v>
      </c>
      <c r="D593" s="41" t="s">
        <v>1206</v>
      </c>
      <c r="E593" s="41">
        <v>45.0</v>
      </c>
      <c r="F593" s="41">
        <v>18.0</v>
      </c>
      <c r="G593" s="41">
        <v>27.0</v>
      </c>
      <c r="H593" s="125">
        <v>0.4</v>
      </c>
      <c r="I593" s="41">
        <v>6.0</v>
      </c>
      <c r="J593" s="41">
        <v>15255.0</v>
      </c>
      <c r="K593" s="41">
        <v>24.0</v>
      </c>
      <c r="L593" s="41">
        <v>22.0</v>
      </c>
      <c r="M593" s="41">
        <v>66.0</v>
      </c>
      <c r="N593" s="41">
        <v>112.0</v>
      </c>
      <c r="O593" s="122">
        <f t="shared" si="1"/>
        <v>0.2142857143</v>
      </c>
      <c r="P593" s="123">
        <f t="shared" si="5"/>
        <v>339</v>
      </c>
      <c r="Q593" s="123">
        <f t="shared" si="2"/>
        <v>0.5333333333</v>
      </c>
      <c r="R593" s="123">
        <f t="shared" si="6"/>
        <v>0.4888888889</v>
      </c>
      <c r="S593" s="123">
        <f t="shared" si="3"/>
        <v>1.466666667</v>
      </c>
      <c r="T593" s="123">
        <f t="shared" si="4"/>
        <v>2.488888889</v>
      </c>
      <c r="U593" s="41">
        <v>8.0</v>
      </c>
      <c r="V593" s="41">
        <v>1.0</v>
      </c>
      <c r="W593" s="41">
        <v>2.0</v>
      </c>
      <c r="X593" s="41">
        <v>10.0</v>
      </c>
      <c r="Y593" s="41">
        <v>24.0</v>
      </c>
      <c r="Z593" s="41">
        <v>26.0</v>
      </c>
    </row>
    <row r="594">
      <c r="A594" s="41" t="s">
        <v>899</v>
      </c>
      <c r="B594" s="41" t="s">
        <v>462</v>
      </c>
      <c r="C594" s="41" t="s">
        <v>1775</v>
      </c>
      <c r="D594" s="41" t="s">
        <v>1776</v>
      </c>
      <c r="E594" s="41">
        <v>28.0</v>
      </c>
      <c r="F594" s="41">
        <v>13.0</v>
      </c>
      <c r="G594" s="41">
        <v>15.0</v>
      </c>
      <c r="H594" s="125">
        <v>0.4642857142857143</v>
      </c>
      <c r="I594" s="41">
        <v>5.0</v>
      </c>
      <c r="J594" s="41">
        <v>9719.0</v>
      </c>
      <c r="K594" s="41">
        <v>17.0</v>
      </c>
      <c r="L594" s="41">
        <v>15.0</v>
      </c>
      <c r="M594" s="41">
        <v>47.0</v>
      </c>
      <c r="N594" s="41">
        <v>64.0</v>
      </c>
      <c r="O594" s="122">
        <f t="shared" si="1"/>
        <v>0.265625</v>
      </c>
      <c r="P594" s="123">
        <f t="shared" si="5"/>
        <v>347.1071429</v>
      </c>
      <c r="Q594" s="123">
        <f t="shared" si="2"/>
        <v>0.6071428571</v>
      </c>
      <c r="R594" s="123">
        <f t="shared" si="6"/>
        <v>0.5357142857</v>
      </c>
      <c r="S594" s="123">
        <f t="shared" si="3"/>
        <v>1.678571429</v>
      </c>
      <c r="T594" s="123">
        <f t="shared" si="4"/>
        <v>2.285714286</v>
      </c>
      <c r="U594" s="41">
        <v>3.0</v>
      </c>
      <c r="V594" s="41">
        <v>1.0</v>
      </c>
      <c r="W594" s="41">
        <v>0.0</v>
      </c>
      <c r="X594" s="41">
        <v>7.0</v>
      </c>
      <c r="Y594" s="41">
        <v>43.0</v>
      </c>
      <c r="Z594" s="41">
        <v>33.0</v>
      </c>
    </row>
    <row r="595">
      <c r="A595" s="41" t="s">
        <v>906</v>
      </c>
      <c r="B595" s="41" t="s">
        <v>565</v>
      </c>
      <c r="C595" s="41" t="s">
        <v>1777</v>
      </c>
      <c r="D595" s="41" t="s">
        <v>1778</v>
      </c>
      <c r="E595" s="41">
        <v>19.0</v>
      </c>
      <c r="F595" s="41">
        <v>2.0</v>
      </c>
      <c r="G595" s="41">
        <v>17.0</v>
      </c>
      <c r="H595" s="125">
        <v>0.10526315789473684</v>
      </c>
      <c r="I595" s="41">
        <v>1.0</v>
      </c>
      <c r="J595" s="41">
        <v>5325.0</v>
      </c>
      <c r="K595" s="41">
        <v>11.0</v>
      </c>
      <c r="L595" s="41">
        <v>5.0</v>
      </c>
      <c r="M595" s="41">
        <v>18.0</v>
      </c>
      <c r="N595" s="41">
        <v>42.0</v>
      </c>
      <c r="O595" s="122">
        <f t="shared" si="1"/>
        <v>0.2619047619</v>
      </c>
      <c r="P595" s="123">
        <f t="shared" si="5"/>
        <v>280.2631579</v>
      </c>
      <c r="Q595" s="123">
        <f t="shared" si="2"/>
        <v>0.5789473684</v>
      </c>
      <c r="R595" s="123">
        <f t="shared" si="6"/>
        <v>0.2631578947</v>
      </c>
      <c r="S595" s="123">
        <f t="shared" si="3"/>
        <v>0.9473684211</v>
      </c>
      <c r="T595" s="123">
        <f t="shared" si="4"/>
        <v>2.210526316</v>
      </c>
      <c r="U595" s="41">
        <v>2.0</v>
      </c>
      <c r="V595" s="41">
        <v>0.0</v>
      </c>
      <c r="W595" s="41">
        <v>0.0</v>
      </c>
      <c r="X595" s="41">
        <v>0.0</v>
      </c>
      <c r="Y595" s="41">
        <v>26.0</v>
      </c>
      <c r="Z595" s="41">
        <v>17.0</v>
      </c>
    </row>
    <row r="596">
      <c r="A596" s="41" t="s">
        <v>899</v>
      </c>
      <c r="B596" s="41" t="s">
        <v>422</v>
      </c>
      <c r="C596" s="41" t="s">
        <v>1779</v>
      </c>
      <c r="D596" s="41" t="s">
        <v>1260</v>
      </c>
      <c r="E596" s="41">
        <v>48.0</v>
      </c>
      <c r="F596" s="41">
        <v>25.0</v>
      </c>
      <c r="G596" s="41">
        <v>23.0</v>
      </c>
      <c r="H596" s="125">
        <v>0.5208333333333334</v>
      </c>
      <c r="I596" s="41">
        <v>9.0</v>
      </c>
      <c r="J596" s="41">
        <v>19810.0</v>
      </c>
      <c r="K596" s="41">
        <v>43.0</v>
      </c>
      <c r="L596" s="41">
        <v>40.0</v>
      </c>
      <c r="M596" s="41">
        <v>66.0</v>
      </c>
      <c r="N596" s="41">
        <v>135.0</v>
      </c>
      <c r="O596" s="122">
        <f t="shared" si="1"/>
        <v>0.3185185185</v>
      </c>
      <c r="P596" s="123">
        <f t="shared" si="5"/>
        <v>412.7083333</v>
      </c>
      <c r="Q596" s="123">
        <f t="shared" si="2"/>
        <v>0.8958333333</v>
      </c>
      <c r="R596" s="123">
        <f t="shared" si="6"/>
        <v>0.8333333333</v>
      </c>
      <c r="S596" s="123">
        <f t="shared" si="3"/>
        <v>1.375</v>
      </c>
      <c r="T596" s="123">
        <f t="shared" si="4"/>
        <v>2.8125</v>
      </c>
      <c r="U596" s="41">
        <v>15.0</v>
      </c>
      <c r="V596" s="41">
        <v>3.0</v>
      </c>
      <c r="W596" s="41">
        <v>4.0</v>
      </c>
      <c r="X596" s="41">
        <v>6.0</v>
      </c>
      <c r="Y596" s="41">
        <v>44.0</v>
      </c>
      <c r="Z596" s="41">
        <v>45.0</v>
      </c>
    </row>
    <row r="597">
      <c r="A597" s="41" t="s">
        <v>901</v>
      </c>
      <c r="B597" s="41" t="s">
        <v>395</v>
      </c>
      <c r="C597" s="41" t="s">
        <v>1780</v>
      </c>
      <c r="D597" s="41" t="s">
        <v>1078</v>
      </c>
      <c r="E597" s="41">
        <v>13.0</v>
      </c>
      <c r="F597" s="41">
        <v>6.0</v>
      </c>
      <c r="G597" s="41">
        <v>7.0</v>
      </c>
      <c r="H597" s="125">
        <v>0.46153846153846156</v>
      </c>
      <c r="I597" s="41">
        <v>1.0</v>
      </c>
      <c r="J597" s="41">
        <v>3675.0</v>
      </c>
      <c r="K597" s="41">
        <v>2.0</v>
      </c>
      <c r="L597" s="41">
        <v>11.0</v>
      </c>
      <c r="M597" s="41">
        <v>14.0</v>
      </c>
      <c r="N597" s="41">
        <v>24.0</v>
      </c>
      <c r="O597" s="122">
        <f t="shared" si="1"/>
        <v>0.08333333333</v>
      </c>
      <c r="P597" s="123">
        <f t="shared" si="5"/>
        <v>282.6923077</v>
      </c>
      <c r="Q597" s="123">
        <f t="shared" si="2"/>
        <v>0.1538461538</v>
      </c>
      <c r="R597" s="123">
        <f t="shared" si="6"/>
        <v>0.8461538462</v>
      </c>
      <c r="S597" s="123">
        <f t="shared" si="3"/>
        <v>1.076923077</v>
      </c>
      <c r="T597" s="123">
        <f t="shared" si="4"/>
        <v>1.846153846</v>
      </c>
      <c r="U597" s="41">
        <v>2.0</v>
      </c>
      <c r="V597" s="41">
        <v>0.0</v>
      </c>
      <c r="W597" s="41">
        <v>0.0</v>
      </c>
      <c r="X597" s="41">
        <v>1.0</v>
      </c>
      <c r="Y597" s="41">
        <v>25.0</v>
      </c>
      <c r="Z597" s="41">
        <v>9.0</v>
      </c>
    </row>
    <row r="598">
      <c r="A598" s="41" t="s">
        <v>905</v>
      </c>
      <c r="B598" s="41" t="s">
        <v>132</v>
      </c>
      <c r="C598" s="41" t="s">
        <v>1781</v>
      </c>
      <c r="D598" s="41" t="s">
        <v>1179</v>
      </c>
      <c r="E598" s="41">
        <v>54.0</v>
      </c>
      <c r="F598" s="41">
        <v>28.0</v>
      </c>
      <c r="G598" s="41">
        <v>26.0</v>
      </c>
      <c r="H598" s="125">
        <v>0.5185185185185185</v>
      </c>
      <c r="I598" s="41">
        <v>8.0</v>
      </c>
      <c r="J598" s="41">
        <v>19386.0</v>
      </c>
      <c r="K598" s="41">
        <v>52.0</v>
      </c>
      <c r="L598" s="41">
        <v>39.0</v>
      </c>
      <c r="M598" s="41">
        <v>61.0</v>
      </c>
      <c r="N598" s="41">
        <v>146.0</v>
      </c>
      <c r="O598" s="122">
        <f t="shared" si="1"/>
        <v>0.3561643836</v>
      </c>
      <c r="P598" s="123">
        <f t="shared" si="5"/>
        <v>359</v>
      </c>
      <c r="Q598" s="123">
        <f t="shared" si="2"/>
        <v>0.962962963</v>
      </c>
      <c r="R598" s="123">
        <f t="shared" si="6"/>
        <v>0.7222222222</v>
      </c>
      <c r="S598" s="123">
        <f t="shared" si="3"/>
        <v>1.12962963</v>
      </c>
      <c r="T598" s="123">
        <f t="shared" si="4"/>
        <v>2.703703704</v>
      </c>
      <c r="U598" s="41">
        <v>9.0</v>
      </c>
      <c r="V598" s="41">
        <v>2.0</v>
      </c>
      <c r="W598" s="41">
        <v>3.0</v>
      </c>
      <c r="X598" s="41">
        <v>6.0</v>
      </c>
      <c r="Y598" s="41">
        <v>54.0</v>
      </c>
      <c r="Z598" s="41">
        <v>63.0</v>
      </c>
    </row>
    <row r="599">
      <c r="A599" s="41" t="s">
        <v>906</v>
      </c>
      <c r="B599" s="41" t="s">
        <v>537</v>
      </c>
      <c r="C599" s="41" t="s">
        <v>1782</v>
      </c>
      <c r="D599" s="41" t="s">
        <v>1783</v>
      </c>
      <c r="E599" s="41">
        <v>48.0</v>
      </c>
      <c r="F599" s="41">
        <v>26.0</v>
      </c>
      <c r="G599" s="41">
        <v>22.0</v>
      </c>
      <c r="H599" s="125">
        <v>0.5416666666666666</v>
      </c>
      <c r="I599" s="41">
        <v>7.0</v>
      </c>
      <c r="J599" s="41">
        <v>16829.0</v>
      </c>
      <c r="K599" s="41">
        <v>41.0</v>
      </c>
      <c r="L599" s="41">
        <v>26.0</v>
      </c>
      <c r="M599" s="41">
        <v>56.0</v>
      </c>
      <c r="N599" s="41">
        <v>131.0</v>
      </c>
      <c r="O599" s="122">
        <f t="shared" si="1"/>
        <v>0.3129770992</v>
      </c>
      <c r="P599" s="123">
        <f t="shared" si="5"/>
        <v>350.6041667</v>
      </c>
      <c r="Q599" s="123">
        <f t="shared" si="2"/>
        <v>0.8541666667</v>
      </c>
      <c r="R599" s="123">
        <f t="shared" si="6"/>
        <v>0.5416666667</v>
      </c>
      <c r="S599" s="123">
        <f t="shared" si="3"/>
        <v>1.166666667</v>
      </c>
      <c r="T599" s="123">
        <f t="shared" si="4"/>
        <v>2.729166667</v>
      </c>
      <c r="U599" s="41">
        <v>10.0</v>
      </c>
      <c r="V599" s="41">
        <v>3.0</v>
      </c>
      <c r="W599" s="41">
        <v>1.0</v>
      </c>
      <c r="X599" s="41">
        <v>4.0</v>
      </c>
      <c r="Y599" s="41">
        <v>37.0</v>
      </c>
      <c r="Z599" s="41">
        <v>41.0</v>
      </c>
    </row>
    <row r="600">
      <c r="A600" s="41" t="s">
        <v>899</v>
      </c>
      <c r="B600" s="41" t="s">
        <v>421</v>
      </c>
      <c r="C600" s="41" t="s">
        <v>1784</v>
      </c>
      <c r="D600" s="41" t="s">
        <v>1201</v>
      </c>
      <c r="E600" s="41">
        <v>48.0</v>
      </c>
      <c r="F600" s="41">
        <v>24.0</v>
      </c>
      <c r="G600" s="41">
        <v>24.0</v>
      </c>
      <c r="H600" s="125">
        <v>0.5</v>
      </c>
      <c r="I600" s="41">
        <v>12.0</v>
      </c>
      <c r="J600" s="41">
        <v>18415.0</v>
      </c>
      <c r="K600" s="41">
        <v>40.0</v>
      </c>
      <c r="L600" s="41">
        <v>21.0</v>
      </c>
      <c r="M600" s="41">
        <v>71.0</v>
      </c>
      <c r="N600" s="41">
        <v>154.0</v>
      </c>
      <c r="O600" s="122">
        <f t="shared" si="1"/>
        <v>0.2597402597</v>
      </c>
      <c r="P600" s="123">
        <f t="shared" si="5"/>
        <v>383.6458333</v>
      </c>
      <c r="Q600" s="123">
        <f t="shared" si="2"/>
        <v>0.8333333333</v>
      </c>
      <c r="R600" s="123">
        <f t="shared" si="6"/>
        <v>0.4375</v>
      </c>
      <c r="S600" s="123">
        <f t="shared" si="3"/>
        <v>1.479166667</v>
      </c>
      <c r="T600" s="123">
        <f t="shared" si="4"/>
        <v>3.208333333</v>
      </c>
      <c r="U600" s="41">
        <v>8.0</v>
      </c>
      <c r="V600" s="41">
        <v>4.0</v>
      </c>
      <c r="W600" s="41">
        <v>0.0</v>
      </c>
      <c r="X600" s="41">
        <v>10.0</v>
      </c>
      <c r="Y600" s="41">
        <v>32.0</v>
      </c>
      <c r="Z600" s="41">
        <v>59.0</v>
      </c>
    </row>
    <row r="601">
      <c r="A601" s="41" t="s">
        <v>904</v>
      </c>
      <c r="B601" s="41" t="s">
        <v>653</v>
      </c>
      <c r="C601" s="41" t="s">
        <v>1785</v>
      </c>
      <c r="D601" s="41" t="s">
        <v>919</v>
      </c>
      <c r="E601" s="41">
        <v>46.0</v>
      </c>
      <c r="F601" s="41">
        <v>21.0</v>
      </c>
      <c r="G601" s="41">
        <v>25.0</v>
      </c>
      <c r="H601" s="125">
        <v>0.45652173913043476</v>
      </c>
      <c r="I601" s="41">
        <v>5.0</v>
      </c>
      <c r="J601" s="41">
        <v>15800.0</v>
      </c>
      <c r="K601" s="41">
        <v>32.0</v>
      </c>
      <c r="L601" s="41">
        <v>21.0</v>
      </c>
      <c r="M601" s="41">
        <v>69.0</v>
      </c>
      <c r="N601" s="41">
        <v>128.0</v>
      </c>
      <c r="O601" s="122">
        <f t="shared" si="1"/>
        <v>0.25</v>
      </c>
      <c r="P601" s="123">
        <f t="shared" si="5"/>
        <v>343.4782609</v>
      </c>
      <c r="Q601" s="123">
        <f t="shared" si="2"/>
        <v>0.6956521739</v>
      </c>
      <c r="R601" s="123">
        <f t="shared" si="6"/>
        <v>0.4565217391</v>
      </c>
      <c r="S601" s="123">
        <f t="shared" si="3"/>
        <v>1.5</v>
      </c>
      <c r="T601" s="123">
        <f t="shared" si="4"/>
        <v>2.782608696</v>
      </c>
      <c r="U601" s="41">
        <v>8.0</v>
      </c>
      <c r="V601" s="41">
        <v>0.0</v>
      </c>
      <c r="W601" s="41">
        <v>1.0</v>
      </c>
      <c r="X601" s="41">
        <v>6.0</v>
      </c>
      <c r="Y601" s="41">
        <v>37.0</v>
      </c>
      <c r="Z601" s="41">
        <v>36.0</v>
      </c>
    </row>
    <row r="602">
      <c r="A602" s="41" t="s">
        <v>906</v>
      </c>
      <c r="B602" s="41" t="s">
        <v>541</v>
      </c>
      <c r="C602" s="41" t="s">
        <v>1786</v>
      </c>
      <c r="D602" s="41" t="s">
        <v>1372</v>
      </c>
      <c r="E602" s="41">
        <v>31.0</v>
      </c>
      <c r="F602" s="41">
        <v>21.0</v>
      </c>
      <c r="G602" s="41">
        <v>10.0</v>
      </c>
      <c r="H602" s="125">
        <v>0.6774193548387096</v>
      </c>
      <c r="I602" s="41">
        <v>7.0</v>
      </c>
      <c r="J602" s="41">
        <v>10527.0</v>
      </c>
      <c r="K602" s="41">
        <v>20.0</v>
      </c>
      <c r="L602" s="41">
        <v>12.0</v>
      </c>
      <c r="M602" s="41">
        <v>45.0</v>
      </c>
      <c r="N602" s="41">
        <v>86.0</v>
      </c>
      <c r="O602" s="122">
        <f t="shared" si="1"/>
        <v>0.2325581395</v>
      </c>
      <c r="P602" s="123">
        <f t="shared" si="5"/>
        <v>339.5806452</v>
      </c>
      <c r="Q602" s="123">
        <f t="shared" si="2"/>
        <v>0.6451612903</v>
      </c>
      <c r="R602" s="123">
        <f t="shared" si="6"/>
        <v>0.3870967742</v>
      </c>
      <c r="S602" s="123">
        <f t="shared" si="3"/>
        <v>1.451612903</v>
      </c>
      <c r="T602" s="123">
        <f t="shared" si="4"/>
        <v>2.774193548</v>
      </c>
      <c r="U602" s="41">
        <v>5.0</v>
      </c>
      <c r="V602" s="41">
        <v>0.0</v>
      </c>
      <c r="W602" s="41">
        <v>0.0</v>
      </c>
      <c r="X602" s="41">
        <v>4.0</v>
      </c>
      <c r="Y602" s="41">
        <v>21.0</v>
      </c>
      <c r="Z602" s="41">
        <v>43.0</v>
      </c>
    </row>
    <row r="603">
      <c r="A603" s="41" t="s">
        <v>904</v>
      </c>
      <c r="B603" s="41" t="s">
        <v>673</v>
      </c>
      <c r="C603" s="41" t="s">
        <v>1787</v>
      </c>
      <c r="D603" s="41" t="s">
        <v>919</v>
      </c>
      <c r="E603" s="41">
        <v>55.0</v>
      </c>
      <c r="F603" s="41">
        <v>28.0</v>
      </c>
      <c r="G603" s="41">
        <v>27.0</v>
      </c>
      <c r="H603" s="125">
        <v>0.509090909090909</v>
      </c>
      <c r="I603" s="41">
        <v>9.0</v>
      </c>
      <c r="J603" s="41">
        <v>18750.0</v>
      </c>
      <c r="K603" s="41">
        <v>27.0</v>
      </c>
      <c r="L603" s="41">
        <v>34.0</v>
      </c>
      <c r="M603" s="41">
        <v>85.0</v>
      </c>
      <c r="N603" s="41">
        <v>123.0</v>
      </c>
      <c r="O603" s="122">
        <f t="shared" si="1"/>
        <v>0.2195121951</v>
      </c>
      <c r="P603" s="123">
        <f t="shared" si="5"/>
        <v>340.9090909</v>
      </c>
      <c r="Q603" s="123">
        <f t="shared" si="2"/>
        <v>0.4909090909</v>
      </c>
      <c r="R603" s="123">
        <f t="shared" si="6"/>
        <v>0.6181818182</v>
      </c>
      <c r="S603" s="123">
        <f t="shared" si="3"/>
        <v>1.545454545</v>
      </c>
      <c r="T603" s="123">
        <f t="shared" si="4"/>
        <v>2.236363636</v>
      </c>
      <c r="U603" s="41">
        <v>9.0</v>
      </c>
      <c r="V603" s="41">
        <v>1.0</v>
      </c>
      <c r="W603" s="41">
        <v>1.0</v>
      </c>
      <c r="X603" s="41">
        <v>7.0</v>
      </c>
      <c r="Y603" s="41">
        <v>74.0</v>
      </c>
      <c r="Z603" s="41">
        <v>41.0</v>
      </c>
    </row>
    <row r="604">
      <c r="A604" s="41" t="s">
        <v>902</v>
      </c>
      <c r="B604" s="41" t="s">
        <v>814</v>
      </c>
      <c r="C604" s="41" t="s">
        <v>1788</v>
      </c>
      <c r="D604" s="41" t="s">
        <v>1194</v>
      </c>
      <c r="E604" s="41">
        <v>43.0</v>
      </c>
      <c r="F604" s="41">
        <v>33.0</v>
      </c>
      <c r="G604" s="41">
        <v>10.0</v>
      </c>
      <c r="H604" s="125">
        <v>0.7674418604651163</v>
      </c>
      <c r="I604" s="41">
        <v>4.0</v>
      </c>
      <c r="J604" s="41">
        <v>12698.0</v>
      </c>
      <c r="K604" s="41">
        <v>32.0</v>
      </c>
      <c r="L604" s="41">
        <v>27.0</v>
      </c>
      <c r="M604" s="41">
        <v>37.0</v>
      </c>
      <c r="N604" s="41">
        <v>117.0</v>
      </c>
      <c r="O604" s="122">
        <f t="shared" si="1"/>
        <v>0.2735042735</v>
      </c>
      <c r="P604" s="123">
        <f t="shared" si="5"/>
        <v>295.3023256</v>
      </c>
      <c r="Q604" s="123">
        <f t="shared" si="2"/>
        <v>0.7441860465</v>
      </c>
      <c r="R604" s="123">
        <f t="shared" si="6"/>
        <v>0.6279069767</v>
      </c>
      <c r="S604" s="123">
        <f t="shared" si="3"/>
        <v>0.8604651163</v>
      </c>
      <c r="T604" s="123">
        <f t="shared" si="4"/>
        <v>2.720930233</v>
      </c>
      <c r="U604" s="41">
        <v>7.0</v>
      </c>
      <c r="V604" s="41">
        <v>2.0</v>
      </c>
      <c r="W604" s="41">
        <v>0.0</v>
      </c>
      <c r="X604" s="41">
        <v>4.0</v>
      </c>
      <c r="Y604" s="41">
        <v>31.0</v>
      </c>
      <c r="Z604" s="41">
        <v>44.0</v>
      </c>
    </row>
    <row r="605">
      <c r="A605" s="41" t="s">
        <v>901</v>
      </c>
      <c r="B605" s="41" t="s">
        <v>289</v>
      </c>
      <c r="C605" s="41" t="s">
        <v>1789</v>
      </c>
      <c r="D605" s="41" t="s">
        <v>1156</v>
      </c>
      <c r="E605" s="41">
        <v>36.0</v>
      </c>
      <c r="F605" s="41">
        <v>25.0</v>
      </c>
      <c r="G605" s="41">
        <v>11.0</v>
      </c>
      <c r="H605" s="125">
        <v>0.6944444444444444</v>
      </c>
      <c r="I605" s="41">
        <v>8.0</v>
      </c>
      <c r="J605" s="41">
        <v>13841.0</v>
      </c>
      <c r="K605" s="41">
        <v>31.0</v>
      </c>
      <c r="L605" s="41">
        <v>27.0</v>
      </c>
      <c r="M605" s="41">
        <v>48.0</v>
      </c>
      <c r="N605" s="41">
        <v>105.0</v>
      </c>
      <c r="O605" s="122">
        <f t="shared" si="1"/>
        <v>0.2952380952</v>
      </c>
      <c r="P605" s="123">
        <f t="shared" si="5"/>
        <v>384.4722222</v>
      </c>
      <c r="Q605" s="123">
        <f t="shared" si="2"/>
        <v>0.8611111111</v>
      </c>
      <c r="R605" s="123">
        <f t="shared" si="6"/>
        <v>0.75</v>
      </c>
      <c r="S605" s="123">
        <f t="shared" si="3"/>
        <v>1.333333333</v>
      </c>
      <c r="T605" s="123">
        <f t="shared" si="4"/>
        <v>2.916666667</v>
      </c>
      <c r="U605" s="41">
        <v>8.0</v>
      </c>
      <c r="V605" s="41">
        <v>3.0</v>
      </c>
      <c r="W605" s="41">
        <v>2.0</v>
      </c>
      <c r="X605" s="41">
        <v>8.0</v>
      </c>
      <c r="Y605" s="41">
        <v>58.0</v>
      </c>
      <c r="Z605" s="41">
        <v>37.0</v>
      </c>
    </row>
    <row r="606">
      <c r="A606" s="41" t="s">
        <v>901</v>
      </c>
      <c r="B606" s="41" t="s">
        <v>286</v>
      </c>
      <c r="C606" s="41" t="s">
        <v>1790</v>
      </c>
      <c r="D606" s="41" t="s">
        <v>1109</v>
      </c>
      <c r="E606" s="41">
        <v>56.0</v>
      </c>
      <c r="F606" s="41">
        <v>31.0</v>
      </c>
      <c r="G606" s="41">
        <v>25.0</v>
      </c>
      <c r="H606" s="125">
        <v>0.5535714285714286</v>
      </c>
      <c r="I606" s="41">
        <v>13.0</v>
      </c>
      <c r="J606" s="41">
        <v>22084.0</v>
      </c>
      <c r="K606" s="41">
        <v>60.0</v>
      </c>
      <c r="L606" s="41">
        <v>29.0</v>
      </c>
      <c r="M606" s="41">
        <v>82.0</v>
      </c>
      <c r="N606" s="41">
        <v>161.0</v>
      </c>
      <c r="O606" s="122">
        <f t="shared" si="1"/>
        <v>0.3726708075</v>
      </c>
      <c r="P606" s="123">
        <f t="shared" si="5"/>
        <v>394.3571429</v>
      </c>
      <c r="Q606" s="123">
        <f t="shared" si="2"/>
        <v>1.071428571</v>
      </c>
      <c r="R606" s="123">
        <f t="shared" si="6"/>
        <v>0.5178571429</v>
      </c>
      <c r="S606" s="123">
        <f t="shared" si="3"/>
        <v>1.464285714</v>
      </c>
      <c r="T606" s="123">
        <f t="shared" si="4"/>
        <v>2.875</v>
      </c>
      <c r="U606" s="41">
        <v>14.0</v>
      </c>
      <c r="V606" s="41">
        <v>5.0</v>
      </c>
      <c r="W606" s="41">
        <v>1.0</v>
      </c>
      <c r="X606" s="41">
        <v>12.0</v>
      </c>
      <c r="Y606" s="41">
        <v>44.0</v>
      </c>
      <c r="Z606" s="41">
        <v>58.0</v>
      </c>
    </row>
    <row r="607">
      <c r="A607" s="41" t="s">
        <v>905</v>
      </c>
      <c r="B607" s="41" t="s">
        <v>127</v>
      </c>
      <c r="C607" s="41" t="s">
        <v>1791</v>
      </c>
      <c r="D607" s="41" t="s">
        <v>1792</v>
      </c>
      <c r="E607" s="41">
        <v>51.0</v>
      </c>
      <c r="F607" s="41">
        <v>25.0</v>
      </c>
      <c r="G607" s="41">
        <v>26.0</v>
      </c>
      <c r="H607" s="125">
        <v>0.49019607843137253</v>
      </c>
      <c r="I607" s="41">
        <v>11.0</v>
      </c>
      <c r="J607" s="41">
        <v>21626.0</v>
      </c>
      <c r="K607" s="41">
        <v>53.0</v>
      </c>
      <c r="L607" s="41">
        <v>21.0</v>
      </c>
      <c r="M607" s="41">
        <v>80.0</v>
      </c>
      <c r="N607" s="41">
        <v>171.0</v>
      </c>
      <c r="O607" s="122">
        <f t="shared" si="1"/>
        <v>0.3099415205</v>
      </c>
      <c r="P607" s="123">
        <f t="shared" si="5"/>
        <v>424.0392157</v>
      </c>
      <c r="Q607" s="123">
        <f t="shared" si="2"/>
        <v>1.039215686</v>
      </c>
      <c r="R607" s="123">
        <f t="shared" si="6"/>
        <v>0.4117647059</v>
      </c>
      <c r="S607" s="123">
        <f t="shared" si="3"/>
        <v>1.568627451</v>
      </c>
      <c r="T607" s="123">
        <f t="shared" si="4"/>
        <v>3.352941176</v>
      </c>
      <c r="U607" s="41">
        <v>8.0</v>
      </c>
      <c r="V607" s="41">
        <v>5.0</v>
      </c>
      <c r="W607" s="41">
        <v>1.0</v>
      </c>
      <c r="X607" s="41">
        <v>10.0</v>
      </c>
      <c r="Y607" s="41">
        <v>32.0</v>
      </c>
      <c r="Z607" s="41">
        <v>35.0</v>
      </c>
    </row>
    <row r="608">
      <c r="A608" s="41" t="s">
        <v>906</v>
      </c>
      <c r="B608" s="41" t="s">
        <v>566</v>
      </c>
      <c r="C608" s="41" t="s">
        <v>1793</v>
      </c>
      <c r="D608" s="41" t="s">
        <v>1794</v>
      </c>
      <c r="E608" s="41">
        <v>33.0</v>
      </c>
      <c r="F608" s="41">
        <v>9.0</v>
      </c>
      <c r="G608" s="41">
        <v>24.0</v>
      </c>
      <c r="H608" s="125">
        <v>0.2727272727272727</v>
      </c>
      <c r="I608" s="41">
        <v>1.0</v>
      </c>
      <c r="J608" s="41">
        <v>8930.0</v>
      </c>
      <c r="K608" s="41">
        <v>21.0</v>
      </c>
      <c r="L608" s="41">
        <v>9.0</v>
      </c>
      <c r="M608" s="41">
        <v>31.0</v>
      </c>
      <c r="N608" s="41">
        <v>63.0</v>
      </c>
      <c r="O608" s="122">
        <f t="shared" si="1"/>
        <v>0.3333333333</v>
      </c>
      <c r="P608" s="123">
        <f t="shared" si="5"/>
        <v>270.6060606</v>
      </c>
      <c r="Q608" s="123">
        <f t="shared" si="2"/>
        <v>0.6363636364</v>
      </c>
      <c r="R608" s="123">
        <f t="shared" si="6"/>
        <v>0.2727272727</v>
      </c>
      <c r="S608" s="123">
        <f t="shared" si="3"/>
        <v>0.9393939394</v>
      </c>
      <c r="T608" s="123">
        <f t="shared" si="4"/>
        <v>1.909090909</v>
      </c>
      <c r="U608" s="41">
        <v>2.0</v>
      </c>
      <c r="V608" s="41">
        <v>2.0</v>
      </c>
      <c r="W608" s="41">
        <v>0.0</v>
      </c>
      <c r="X608" s="41">
        <v>1.0</v>
      </c>
      <c r="Y608" s="41">
        <v>38.0</v>
      </c>
      <c r="Z608" s="41">
        <v>24.0</v>
      </c>
    </row>
    <row r="609">
      <c r="A609" s="41" t="s">
        <v>901</v>
      </c>
      <c r="B609" s="41" t="s">
        <v>412</v>
      </c>
      <c r="C609" s="41" t="s">
        <v>1795</v>
      </c>
      <c r="D609" s="41" t="s">
        <v>1796</v>
      </c>
      <c r="E609" s="41">
        <v>2.0</v>
      </c>
      <c r="F609" s="41">
        <v>0.0</v>
      </c>
      <c r="G609" s="41">
        <v>2.0</v>
      </c>
      <c r="H609" s="125">
        <v>0.0</v>
      </c>
      <c r="I609" s="41">
        <v>0.0</v>
      </c>
      <c r="J609" s="41">
        <v>585.0</v>
      </c>
      <c r="K609" s="41">
        <v>0.0</v>
      </c>
      <c r="L609" s="41">
        <v>1.0</v>
      </c>
      <c r="M609" s="41">
        <v>4.0</v>
      </c>
      <c r="N609" s="41">
        <v>3.0</v>
      </c>
      <c r="O609" s="122">
        <f t="shared" si="1"/>
        <v>0</v>
      </c>
      <c r="P609" s="123">
        <f t="shared" si="5"/>
        <v>292.5</v>
      </c>
      <c r="Q609" s="123">
        <f t="shared" si="2"/>
        <v>0</v>
      </c>
      <c r="R609" s="123">
        <f t="shared" si="6"/>
        <v>0.5</v>
      </c>
      <c r="S609" s="123">
        <f t="shared" si="3"/>
        <v>2</v>
      </c>
      <c r="T609" s="123">
        <f t="shared" si="4"/>
        <v>1.5</v>
      </c>
      <c r="U609" s="41">
        <v>0.0</v>
      </c>
      <c r="V609" s="41">
        <v>0.0</v>
      </c>
      <c r="W609" s="41">
        <v>0.0</v>
      </c>
      <c r="X609" s="41">
        <v>1.0</v>
      </c>
      <c r="Y609" s="41">
        <v>0.0</v>
      </c>
      <c r="Z609" s="41">
        <v>2.0</v>
      </c>
    </row>
    <row r="610">
      <c r="A610" s="41" t="s">
        <v>909</v>
      </c>
      <c r="B610" s="41" t="s">
        <v>97</v>
      </c>
      <c r="C610" s="41" t="s">
        <v>1797</v>
      </c>
      <c r="D610" s="41" t="s">
        <v>1798</v>
      </c>
      <c r="E610" s="41">
        <v>56.0</v>
      </c>
      <c r="F610" s="41">
        <v>27.0</v>
      </c>
      <c r="G610" s="41">
        <v>29.0</v>
      </c>
      <c r="H610" s="125">
        <v>0.48214285714285715</v>
      </c>
      <c r="I610" s="41">
        <v>7.0</v>
      </c>
      <c r="J610" s="41">
        <v>14400.0</v>
      </c>
      <c r="K610" s="41">
        <v>31.0</v>
      </c>
      <c r="L610" s="41">
        <v>21.0</v>
      </c>
      <c r="M610" s="41">
        <v>66.0</v>
      </c>
      <c r="N610" s="41">
        <v>93.0</v>
      </c>
      <c r="O610" s="122">
        <f t="shared" si="1"/>
        <v>0.3333333333</v>
      </c>
      <c r="P610" s="123">
        <f t="shared" si="5"/>
        <v>257.1428571</v>
      </c>
      <c r="Q610" s="123">
        <f t="shared" si="2"/>
        <v>0.5535714286</v>
      </c>
      <c r="R610" s="123">
        <f t="shared" si="6"/>
        <v>0.375</v>
      </c>
      <c r="S610" s="123">
        <f t="shared" si="3"/>
        <v>1.178571429</v>
      </c>
      <c r="T610" s="123">
        <f t="shared" si="4"/>
        <v>1.660714286</v>
      </c>
      <c r="U610" s="41">
        <v>8.0</v>
      </c>
      <c r="V610" s="41">
        <v>1.0</v>
      </c>
      <c r="W610" s="41">
        <v>1.0</v>
      </c>
      <c r="X610" s="41">
        <v>5.0</v>
      </c>
      <c r="Y610" s="41">
        <v>61.0</v>
      </c>
      <c r="Z610" s="41">
        <v>36.0</v>
      </c>
    </row>
    <row r="611">
      <c r="A611" s="41" t="s">
        <v>897</v>
      </c>
      <c r="B611" s="41" t="s">
        <v>516</v>
      </c>
      <c r="C611" s="41" t="s">
        <v>1799</v>
      </c>
      <c r="D611" s="41" t="s">
        <v>1047</v>
      </c>
      <c r="E611" s="41">
        <v>12.0</v>
      </c>
      <c r="F611" s="41">
        <v>4.0</v>
      </c>
      <c r="G611" s="41">
        <v>8.0</v>
      </c>
      <c r="H611" s="125">
        <v>0.3333333333333333</v>
      </c>
      <c r="I611" s="41">
        <v>2.0</v>
      </c>
      <c r="J611" s="41">
        <v>3737.0</v>
      </c>
      <c r="K611" s="41">
        <v>6.0</v>
      </c>
      <c r="L611" s="41">
        <v>3.0</v>
      </c>
      <c r="M611" s="41">
        <v>21.0</v>
      </c>
      <c r="N611" s="41">
        <v>23.0</v>
      </c>
      <c r="O611" s="122">
        <f t="shared" si="1"/>
        <v>0.2608695652</v>
      </c>
      <c r="P611" s="123">
        <f t="shared" si="5"/>
        <v>311.4166667</v>
      </c>
      <c r="Q611" s="123">
        <f t="shared" si="2"/>
        <v>0.5</v>
      </c>
      <c r="R611" s="123">
        <f t="shared" si="6"/>
        <v>0.25</v>
      </c>
      <c r="S611" s="123">
        <f t="shared" si="3"/>
        <v>1.75</v>
      </c>
      <c r="T611" s="123">
        <f t="shared" si="4"/>
        <v>1.916666667</v>
      </c>
      <c r="U611" s="41">
        <v>3.0</v>
      </c>
      <c r="V611" s="41">
        <v>0.0</v>
      </c>
      <c r="W611" s="41">
        <v>0.0</v>
      </c>
      <c r="X611" s="41">
        <v>6.0</v>
      </c>
      <c r="Y611" s="41">
        <v>23.0</v>
      </c>
      <c r="Z611" s="41">
        <v>18.0</v>
      </c>
    </row>
    <row r="612">
      <c r="A612" s="41" t="s">
        <v>901</v>
      </c>
      <c r="B612" s="41" t="s">
        <v>405</v>
      </c>
      <c r="C612" s="41" t="s">
        <v>1800</v>
      </c>
      <c r="D612" s="41" t="s">
        <v>1801</v>
      </c>
      <c r="E612" s="41">
        <v>7.0</v>
      </c>
      <c r="F612" s="41">
        <v>0.0</v>
      </c>
      <c r="G612" s="41">
        <v>7.0</v>
      </c>
      <c r="H612" s="125">
        <v>0.0</v>
      </c>
      <c r="I612" s="41">
        <v>0.0</v>
      </c>
      <c r="J612" s="41">
        <v>2503.0</v>
      </c>
      <c r="K612" s="41">
        <v>3.0</v>
      </c>
      <c r="L612" s="41">
        <v>1.0</v>
      </c>
      <c r="M612" s="41">
        <v>14.0</v>
      </c>
      <c r="N612" s="41">
        <v>11.0</v>
      </c>
      <c r="O612" s="122">
        <f t="shared" si="1"/>
        <v>0.2727272727</v>
      </c>
      <c r="P612" s="123">
        <f t="shared" si="5"/>
        <v>357.5714286</v>
      </c>
      <c r="Q612" s="123">
        <f t="shared" si="2"/>
        <v>0.4285714286</v>
      </c>
      <c r="R612" s="123">
        <f t="shared" si="6"/>
        <v>0.1428571429</v>
      </c>
      <c r="S612" s="123">
        <f t="shared" si="3"/>
        <v>2</v>
      </c>
      <c r="T612" s="123">
        <f t="shared" si="4"/>
        <v>1.571428571</v>
      </c>
      <c r="U612" s="41">
        <v>0.0</v>
      </c>
      <c r="V612" s="41">
        <v>0.0</v>
      </c>
      <c r="W612" s="41">
        <v>0.0</v>
      </c>
      <c r="X612" s="41">
        <v>3.0</v>
      </c>
      <c r="Y612" s="41">
        <v>1.0</v>
      </c>
      <c r="Z612" s="41">
        <v>8.0</v>
      </c>
    </row>
    <row r="613">
      <c r="A613" s="41" t="s">
        <v>901</v>
      </c>
      <c r="B613" s="41" t="s">
        <v>379</v>
      </c>
      <c r="C613" s="41" t="s">
        <v>1802</v>
      </c>
      <c r="D613" s="41" t="s">
        <v>1004</v>
      </c>
      <c r="E613" s="41">
        <v>39.0</v>
      </c>
      <c r="F613" s="41">
        <v>16.0</v>
      </c>
      <c r="G613" s="41">
        <v>23.0</v>
      </c>
      <c r="H613" s="125">
        <v>0.41025641025641024</v>
      </c>
      <c r="I613" s="41">
        <v>3.0</v>
      </c>
      <c r="J613" s="41">
        <v>13137.0</v>
      </c>
      <c r="K613" s="41">
        <v>24.0</v>
      </c>
      <c r="L613" s="41">
        <v>23.0</v>
      </c>
      <c r="M613" s="41">
        <v>64.0</v>
      </c>
      <c r="N613" s="41">
        <v>101.0</v>
      </c>
      <c r="O613" s="122">
        <f t="shared" si="1"/>
        <v>0.2376237624</v>
      </c>
      <c r="P613" s="123">
        <f t="shared" si="5"/>
        <v>336.8461538</v>
      </c>
      <c r="Q613" s="123">
        <f t="shared" si="2"/>
        <v>0.6153846154</v>
      </c>
      <c r="R613" s="123">
        <f t="shared" si="6"/>
        <v>0.5897435897</v>
      </c>
      <c r="S613" s="123">
        <f t="shared" si="3"/>
        <v>1.641025641</v>
      </c>
      <c r="T613" s="123">
        <f t="shared" si="4"/>
        <v>2.58974359</v>
      </c>
      <c r="U613" s="41">
        <v>3.0</v>
      </c>
      <c r="V613" s="41">
        <v>0.0</v>
      </c>
      <c r="W613" s="41">
        <v>0.0</v>
      </c>
      <c r="X613" s="41">
        <v>9.0</v>
      </c>
      <c r="Y613" s="41">
        <v>25.0</v>
      </c>
      <c r="Z613" s="41">
        <v>40.0</v>
      </c>
    </row>
    <row r="614">
      <c r="A614" s="41" t="s">
        <v>899</v>
      </c>
      <c r="B614" s="41" t="s">
        <v>461</v>
      </c>
      <c r="C614" s="41" t="s">
        <v>1803</v>
      </c>
      <c r="D614" s="41" t="s">
        <v>1201</v>
      </c>
      <c r="E614" s="41">
        <v>36.0</v>
      </c>
      <c r="F614" s="41">
        <v>21.0</v>
      </c>
      <c r="G614" s="41">
        <v>15.0</v>
      </c>
      <c r="H614" s="125">
        <v>0.5833333333333334</v>
      </c>
      <c r="I614" s="41">
        <v>2.0</v>
      </c>
      <c r="J614" s="41">
        <v>9683.0</v>
      </c>
      <c r="K614" s="41">
        <v>18.0</v>
      </c>
      <c r="L614" s="41">
        <v>18.0</v>
      </c>
      <c r="M614" s="41">
        <v>39.0</v>
      </c>
      <c r="N614" s="41">
        <v>64.0</v>
      </c>
      <c r="O614" s="122">
        <f t="shared" si="1"/>
        <v>0.28125</v>
      </c>
      <c r="P614" s="123">
        <f t="shared" si="5"/>
        <v>268.9722222</v>
      </c>
      <c r="Q614" s="123">
        <f t="shared" si="2"/>
        <v>0.5</v>
      </c>
      <c r="R614" s="123">
        <f t="shared" si="6"/>
        <v>0.5</v>
      </c>
      <c r="S614" s="123">
        <f t="shared" si="3"/>
        <v>1.083333333</v>
      </c>
      <c r="T614" s="123">
        <f t="shared" si="4"/>
        <v>1.777777778</v>
      </c>
      <c r="U614" s="41">
        <v>5.0</v>
      </c>
      <c r="V614" s="41">
        <v>0.0</v>
      </c>
      <c r="W614" s="41">
        <v>2.0</v>
      </c>
      <c r="X614" s="41">
        <v>4.0</v>
      </c>
      <c r="Y614" s="41">
        <v>54.0</v>
      </c>
      <c r="Z614" s="41">
        <v>45.0</v>
      </c>
    </row>
    <row r="615">
      <c r="A615" s="41" t="s">
        <v>901</v>
      </c>
      <c r="B615" s="41" t="s">
        <v>263</v>
      </c>
      <c r="C615" s="41" t="s">
        <v>1804</v>
      </c>
      <c r="D615" s="41" t="s">
        <v>1093</v>
      </c>
      <c r="E615" s="41">
        <v>32.0</v>
      </c>
      <c r="F615" s="41">
        <v>20.0</v>
      </c>
      <c r="G615" s="41">
        <v>12.0</v>
      </c>
      <c r="H615" s="125">
        <v>0.625</v>
      </c>
      <c r="I615" s="41">
        <v>11.0</v>
      </c>
      <c r="J615" s="41">
        <v>13648.0</v>
      </c>
      <c r="K615" s="41">
        <v>35.0</v>
      </c>
      <c r="L615" s="41">
        <v>29.0</v>
      </c>
      <c r="M615" s="41">
        <v>50.0</v>
      </c>
      <c r="N615" s="41">
        <v>97.0</v>
      </c>
      <c r="O615" s="122">
        <f t="shared" si="1"/>
        <v>0.3608247423</v>
      </c>
      <c r="P615" s="123">
        <f t="shared" si="5"/>
        <v>426.5</v>
      </c>
      <c r="Q615" s="123">
        <f t="shared" si="2"/>
        <v>1.09375</v>
      </c>
      <c r="R615" s="123">
        <f t="shared" si="6"/>
        <v>0.90625</v>
      </c>
      <c r="S615" s="123">
        <f t="shared" si="3"/>
        <v>1.5625</v>
      </c>
      <c r="T615" s="123">
        <f t="shared" si="4"/>
        <v>3.03125</v>
      </c>
      <c r="U615" s="41">
        <v>12.0</v>
      </c>
      <c r="V615" s="41">
        <v>4.0</v>
      </c>
      <c r="W615" s="41">
        <v>1.0</v>
      </c>
      <c r="X615" s="41">
        <v>7.0</v>
      </c>
      <c r="Y615" s="41">
        <v>36.0</v>
      </c>
      <c r="Z615" s="41">
        <v>41.0</v>
      </c>
    </row>
    <row r="616">
      <c r="A616" s="41" t="s">
        <v>905</v>
      </c>
      <c r="B616" s="41" t="s">
        <v>251</v>
      </c>
      <c r="C616" s="41" t="s">
        <v>1805</v>
      </c>
      <c r="D616" s="41" t="s">
        <v>1295</v>
      </c>
      <c r="E616" s="41">
        <v>16.0</v>
      </c>
      <c r="F616" s="41">
        <v>7.0</v>
      </c>
      <c r="G616" s="41">
        <v>9.0</v>
      </c>
      <c r="H616" s="125">
        <v>0.4375</v>
      </c>
      <c r="I616" s="41">
        <v>1.0</v>
      </c>
      <c r="J616" s="41">
        <v>3882.0</v>
      </c>
      <c r="K616" s="41">
        <v>7.0</v>
      </c>
      <c r="L616" s="41">
        <v>2.0</v>
      </c>
      <c r="M616" s="41">
        <v>19.0</v>
      </c>
      <c r="N616" s="41">
        <v>25.0</v>
      </c>
      <c r="O616" s="122">
        <f t="shared" si="1"/>
        <v>0.28</v>
      </c>
      <c r="P616" s="123">
        <f t="shared" si="5"/>
        <v>242.625</v>
      </c>
      <c r="Q616" s="123">
        <f t="shared" si="2"/>
        <v>0.4375</v>
      </c>
      <c r="R616" s="123">
        <f t="shared" si="6"/>
        <v>0.125</v>
      </c>
      <c r="S616" s="123">
        <f t="shared" si="3"/>
        <v>1.1875</v>
      </c>
      <c r="T616" s="123">
        <f t="shared" si="4"/>
        <v>1.5625</v>
      </c>
      <c r="U616" s="41">
        <v>0.0</v>
      </c>
      <c r="V616" s="41">
        <v>0.0</v>
      </c>
      <c r="W616" s="41">
        <v>0.0</v>
      </c>
      <c r="X616" s="41">
        <v>3.0</v>
      </c>
      <c r="Y616" s="41">
        <v>8.0</v>
      </c>
      <c r="Z616" s="41">
        <v>11.0</v>
      </c>
    </row>
    <row r="617">
      <c r="A617" s="41" t="s">
        <v>906</v>
      </c>
      <c r="B617" s="41" t="s">
        <v>535</v>
      </c>
      <c r="C617" s="41" t="s">
        <v>1806</v>
      </c>
      <c r="D617" s="41" t="s">
        <v>1807</v>
      </c>
      <c r="E617" s="41">
        <v>48.0</v>
      </c>
      <c r="F617" s="41">
        <v>30.0</v>
      </c>
      <c r="G617" s="41">
        <v>18.0</v>
      </c>
      <c r="H617" s="125">
        <v>0.625</v>
      </c>
      <c r="I617" s="41">
        <v>10.0</v>
      </c>
      <c r="J617" s="41">
        <v>16675.0</v>
      </c>
      <c r="K617" s="41">
        <v>40.0</v>
      </c>
      <c r="L617" s="41">
        <v>32.0</v>
      </c>
      <c r="M617" s="41">
        <v>56.0</v>
      </c>
      <c r="N617" s="41">
        <v>118.0</v>
      </c>
      <c r="O617" s="122">
        <f t="shared" si="1"/>
        <v>0.3389830508</v>
      </c>
      <c r="P617" s="123">
        <f t="shared" si="5"/>
        <v>347.3958333</v>
      </c>
      <c r="Q617" s="123">
        <f t="shared" si="2"/>
        <v>0.8333333333</v>
      </c>
      <c r="R617" s="123">
        <f t="shared" si="6"/>
        <v>0.6666666667</v>
      </c>
      <c r="S617" s="123">
        <f t="shared" si="3"/>
        <v>1.166666667</v>
      </c>
      <c r="T617" s="123">
        <f t="shared" si="4"/>
        <v>2.458333333</v>
      </c>
      <c r="U617" s="41">
        <v>11.0</v>
      </c>
      <c r="V617" s="41">
        <v>5.0</v>
      </c>
      <c r="W617" s="41">
        <v>1.0</v>
      </c>
      <c r="X617" s="41">
        <v>6.0</v>
      </c>
      <c r="Y617" s="41">
        <v>30.0</v>
      </c>
      <c r="Z617" s="41">
        <v>48.0</v>
      </c>
    </row>
    <row r="618">
      <c r="A618" s="41" t="s">
        <v>904</v>
      </c>
      <c r="B618" s="41" t="s">
        <v>617</v>
      </c>
      <c r="C618" s="41" t="s">
        <v>1808</v>
      </c>
      <c r="D618" s="41" t="s">
        <v>963</v>
      </c>
      <c r="E618" s="41">
        <v>48.0</v>
      </c>
      <c r="F618" s="41">
        <v>25.0</v>
      </c>
      <c r="G618" s="41">
        <v>23.0</v>
      </c>
      <c r="H618" s="125">
        <v>0.5208333333333334</v>
      </c>
      <c r="I618" s="41">
        <v>7.0</v>
      </c>
      <c r="J618" s="41">
        <v>17404.0</v>
      </c>
      <c r="K618" s="41">
        <v>40.0</v>
      </c>
      <c r="L618" s="41">
        <v>37.0</v>
      </c>
      <c r="M618" s="41">
        <v>59.0</v>
      </c>
      <c r="N618" s="41">
        <v>115.0</v>
      </c>
      <c r="O618" s="122">
        <f t="shared" si="1"/>
        <v>0.347826087</v>
      </c>
      <c r="P618" s="123">
        <f t="shared" si="5"/>
        <v>362.5833333</v>
      </c>
      <c r="Q618" s="123">
        <f t="shared" si="2"/>
        <v>0.8333333333</v>
      </c>
      <c r="R618" s="123">
        <f t="shared" si="6"/>
        <v>0.7708333333</v>
      </c>
      <c r="S618" s="123">
        <f t="shared" si="3"/>
        <v>1.229166667</v>
      </c>
      <c r="T618" s="123">
        <f t="shared" si="4"/>
        <v>2.395833333</v>
      </c>
      <c r="U618" s="41">
        <v>10.0</v>
      </c>
      <c r="V618" s="41">
        <v>3.0</v>
      </c>
      <c r="W618" s="41">
        <v>1.0</v>
      </c>
      <c r="X618" s="41">
        <v>6.0</v>
      </c>
      <c r="Y618" s="41">
        <v>44.0</v>
      </c>
      <c r="Z618" s="41">
        <v>42.0</v>
      </c>
    </row>
    <row r="619">
      <c r="A619" s="41" t="s">
        <v>904</v>
      </c>
      <c r="B619" s="41" t="s">
        <v>680</v>
      </c>
      <c r="C619" s="41" t="s">
        <v>1809</v>
      </c>
      <c r="D619" s="41" t="s">
        <v>1810</v>
      </c>
      <c r="E619" s="41">
        <v>10.0</v>
      </c>
      <c r="F619" s="41">
        <v>6.0</v>
      </c>
      <c r="G619" s="41">
        <v>4.0</v>
      </c>
      <c r="H619" s="125">
        <v>0.6</v>
      </c>
      <c r="I619" s="41">
        <v>3.0</v>
      </c>
      <c r="J619" s="41">
        <v>3338.0</v>
      </c>
      <c r="K619" s="41">
        <v>6.0</v>
      </c>
      <c r="L619" s="41">
        <v>4.0</v>
      </c>
      <c r="M619" s="41">
        <v>16.0</v>
      </c>
      <c r="N619" s="41">
        <v>27.0</v>
      </c>
      <c r="O619" s="122">
        <f t="shared" si="1"/>
        <v>0.2222222222</v>
      </c>
      <c r="P619" s="123">
        <f t="shared" si="5"/>
        <v>333.8</v>
      </c>
      <c r="Q619" s="123">
        <f t="shared" si="2"/>
        <v>0.6</v>
      </c>
      <c r="R619" s="123">
        <f t="shared" si="6"/>
        <v>0.4</v>
      </c>
      <c r="S619" s="123">
        <f t="shared" si="3"/>
        <v>1.6</v>
      </c>
      <c r="T619" s="123">
        <f t="shared" si="4"/>
        <v>2.7</v>
      </c>
      <c r="U619" s="41">
        <v>1.0</v>
      </c>
      <c r="V619" s="41">
        <v>0.0</v>
      </c>
      <c r="W619" s="41">
        <v>0.0</v>
      </c>
      <c r="X619" s="41">
        <v>1.0</v>
      </c>
      <c r="Y619" s="41">
        <v>18.0</v>
      </c>
      <c r="Z619" s="41">
        <v>13.0</v>
      </c>
    </row>
    <row r="620">
      <c r="A620" s="41" t="s">
        <v>905</v>
      </c>
      <c r="B620" s="41" t="s">
        <v>207</v>
      </c>
      <c r="C620" s="41" t="s">
        <v>1811</v>
      </c>
      <c r="D620" s="41" t="s">
        <v>1812</v>
      </c>
      <c r="E620" s="41">
        <v>15.0</v>
      </c>
      <c r="F620" s="41">
        <v>4.0</v>
      </c>
      <c r="G620" s="41">
        <v>11.0</v>
      </c>
      <c r="H620" s="125">
        <v>0.26666666666666666</v>
      </c>
      <c r="I620" s="41">
        <v>2.0</v>
      </c>
      <c r="J620" s="41">
        <v>5100.0</v>
      </c>
      <c r="K620" s="41">
        <v>9.0</v>
      </c>
      <c r="L620" s="41">
        <v>5.0</v>
      </c>
      <c r="M620" s="41">
        <v>26.0</v>
      </c>
      <c r="N620" s="41">
        <v>33.0</v>
      </c>
      <c r="O620" s="122">
        <f t="shared" si="1"/>
        <v>0.2727272727</v>
      </c>
      <c r="P620" s="123">
        <f t="shared" si="5"/>
        <v>340</v>
      </c>
      <c r="Q620" s="123">
        <f t="shared" si="2"/>
        <v>0.6</v>
      </c>
      <c r="R620" s="123">
        <f t="shared" si="6"/>
        <v>0.3333333333</v>
      </c>
      <c r="S620" s="123">
        <f t="shared" si="3"/>
        <v>1.733333333</v>
      </c>
      <c r="T620" s="123">
        <f t="shared" si="4"/>
        <v>2.2</v>
      </c>
      <c r="U620" s="41">
        <v>1.0</v>
      </c>
      <c r="V620" s="41">
        <v>0.0</v>
      </c>
      <c r="W620" s="41">
        <v>0.0</v>
      </c>
      <c r="X620" s="41">
        <v>4.0</v>
      </c>
      <c r="Y620" s="41">
        <v>11.0</v>
      </c>
      <c r="Z620" s="41">
        <v>19.0</v>
      </c>
    </row>
    <row r="621">
      <c r="A621" s="41" t="s">
        <v>904</v>
      </c>
      <c r="B621" s="41" t="s">
        <v>646</v>
      </c>
      <c r="C621" s="41" t="s">
        <v>1813</v>
      </c>
      <c r="D621" s="41" t="s">
        <v>1454</v>
      </c>
      <c r="E621" s="41">
        <v>56.0</v>
      </c>
      <c r="F621" s="41">
        <v>25.0</v>
      </c>
      <c r="G621" s="41">
        <v>31.0</v>
      </c>
      <c r="H621" s="125">
        <v>0.44642857142857145</v>
      </c>
      <c r="I621" s="41">
        <v>9.0</v>
      </c>
      <c r="J621" s="41">
        <v>18527.0</v>
      </c>
      <c r="K621" s="41">
        <v>45.0</v>
      </c>
      <c r="L621" s="41">
        <v>21.0</v>
      </c>
      <c r="M621" s="41">
        <v>64.0</v>
      </c>
      <c r="N621" s="41">
        <v>158.0</v>
      </c>
      <c r="O621" s="122">
        <f t="shared" si="1"/>
        <v>0.2848101266</v>
      </c>
      <c r="P621" s="123">
        <f t="shared" si="5"/>
        <v>330.8392857</v>
      </c>
      <c r="Q621" s="123">
        <f t="shared" si="2"/>
        <v>0.8035714286</v>
      </c>
      <c r="R621" s="123">
        <f t="shared" si="6"/>
        <v>0.375</v>
      </c>
      <c r="S621" s="123">
        <f t="shared" si="3"/>
        <v>1.142857143</v>
      </c>
      <c r="T621" s="123">
        <f t="shared" si="4"/>
        <v>2.821428571</v>
      </c>
      <c r="U621" s="41">
        <v>7.0</v>
      </c>
      <c r="V621" s="41">
        <v>2.0</v>
      </c>
      <c r="W621" s="41">
        <v>1.0</v>
      </c>
      <c r="X621" s="41">
        <v>5.0</v>
      </c>
      <c r="Y621" s="41">
        <v>59.0</v>
      </c>
      <c r="Z621" s="41">
        <v>55.0</v>
      </c>
    </row>
    <row r="622">
      <c r="A622" s="41" t="s">
        <v>905</v>
      </c>
      <c r="B622" s="41" t="s">
        <v>164</v>
      </c>
      <c r="C622" s="41" t="s">
        <v>1814</v>
      </c>
      <c r="D622" s="41" t="s">
        <v>1815</v>
      </c>
      <c r="E622" s="41">
        <v>52.0</v>
      </c>
      <c r="F622" s="41">
        <v>32.0</v>
      </c>
      <c r="G622" s="41">
        <v>20.0</v>
      </c>
      <c r="H622" s="125">
        <v>0.6153846153846154</v>
      </c>
      <c r="I622" s="41">
        <v>7.0</v>
      </c>
      <c r="J622" s="41">
        <v>16620.0</v>
      </c>
      <c r="K622" s="41">
        <v>40.0</v>
      </c>
      <c r="L622" s="41">
        <v>37.0</v>
      </c>
      <c r="M622" s="41">
        <v>62.0</v>
      </c>
      <c r="N622" s="41">
        <v>113.0</v>
      </c>
      <c r="O622" s="122">
        <f t="shared" si="1"/>
        <v>0.3539823009</v>
      </c>
      <c r="P622" s="123">
        <f t="shared" si="5"/>
        <v>319.6153846</v>
      </c>
      <c r="Q622" s="123">
        <f t="shared" si="2"/>
        <v>0.7692307692</v>
      </c>
      <c r="R622" s="123">
        <f t="shared" si="6"/>
        <v>0.7115384615</v>
      </c>
      <c r="S622" s="123">
        <f t="shared" si="3"/>
        <v>1.192307692</v>
      </c>
      <c r="T622" s="123">
        <f t="shared" si="4"/>
        <v>2.173076923</v>
      </c>
      <c r="U622" s="41">
        <v>13.0</v>
      </c>
      <c r="V622" s="41">
        <v>1.0</v>
      </c>
      <c r="W622" s="41">
        <v>3.0</v>
      </c>
      <c r="X622" s="41">
        <v>5.0</v>
      </c>
      <c r="Y622" s="41">
        <v>77.0</v>
      </c>
      <c r="Z622" s="41">
        <v>59.0</v>
      </c>
    </row>
    <row r="623">
      <c r="A623" s="41" t="s">
        <v>905</v>
      </c>
      <c r="B623" s="41" t="s">
        <v>228</v>
      </c>
      <c r="C623" s="41" t="s">
        <v>1816</v>
      </c>
      <c r="D623" s="41" t="s">
        <v>1210</v>
      </c>
      <c r="E623" s="41">
        <v>56.0</v>
      </c>
      <c r="F623" s="41">
        <v>19.0</v>
      </c>
      <c r="G623" s="41">
        <v>37.0</v>
      </c>
      <c r="H623" s="125">
        <v>0.3392857142857143</v>
      </c>
      <c r="I623" s="41">
        <v>7.0</v>
      </c>
      <c r="J623" s="41">
        <v>17617.0</v>
      </c>
      <c r="K623" s="41">
        <v>35.0</v>
      </c>
      <c r="L623" s="41">
        <v>20.0</v>
      </c>
      <c r="M623" s="41">
        <v>67.0</v>
      </c>
      <c r="N623" s="41">
        <v>117.0</v>
      </c>
      <c r="O623" s="122">
        <f t="shared" si="1"/>
        <v>0.2991452991</v>
      </c>
      <c r="P623" s="123">
        <f t="shared" si="5"/>
        <v>314.5892857</v>
      </c>
      <c r="Q623" s="123">
        <f t="shared" si="2"/>
        <v>0.625</v>
      </c>
      <c r="R623" s="123">
        <f t="shared" si="6"/>
        <v>0.3571428571</v>
      </c>
      <c r="S623" s="123">
        <f t="shared" si="3"/>
        <v>1.196428571</v>
      </c>
      <c r="T623" s="123">
        <f t="shared" si="4"/>
        <v>2.089285714</v>
      </c>
      <c r="U623" s="41">
        <v>5.0</v>
      </c>
      <c r="V623" s="41">
        <v>2.0</v>
      </c>
      <c r="W623" s="41">
        <v>0.0</v>
      </c>
      <c r="X623" s="41">
        <v>8.0</v>
      </c>
      <c r="Y623" s="41">
        <v>124.0</v>
      </c>
      <c r="Z623" s="41">
        <v>59.0</v>
      </c>
    </row>
    <row r="624">
      <c r="A624" s="41" t="s">
        <v>905</v>
      </c>
      <c r="B624" s="41" t="s">
        <v>128</v>
      </c>
      <c r="C624" s="41" t="s">
        <v>1817</v>
      </c>
      <c r="D624" s="41" t="s">
        <v>1210</v>
      </c>
      <c r="E624" s="41">
        <v>4.0</v>
      </c>
      <c r="F624" s="41">
        <v>1.0</v>
      </c>
      <c r="G624" s="41">
        <v>3.0</v>
      </c>
      <c r="H624" s="125">
        <v>0.25</v>
      </c>
      <c r="I624" s="41">
        <v>0.0</v>
      </c>
      <c r="J624" s="41">
        <v>1577.0</v>
      </c>
      <c r="K624" s="41">
        <v>4.0</v>
      </c>
      <c r="L624" s="41">
        <v>2.0</v>
      </c>
      <c r="M624" s="41">
        <v>4.0</v>
      </c>
      <c r="N624" s="41">
        <v>10.0</v>
      </c>
      <c r="O624" s="122">
        <f t="shared" si="1"/>
        <v>0.4</v>
      </c>
      <c r="P624" s="123">
        <f t="shared" si="5"/>
        <v>394.25</v>
      </c>
      <c r="Q624" s="123">
        <f t="shared" si="2"/>
        <v>1</v>
      </c>
      <c r="R624" s="123">
        <f t="shared" si="6"/>
        <v>0.5</v>
      </c>
      <c r="S624" s="123">
        <f t="shared" si="3"/>
        <v>1</v>
      </c>
      <c r="T624" s="123">
        <f t="shared" si="4"/>
        <v>2.5</v>
      </c>
      <c r="U624" s="41">
        <v>0.0</v>
      </c>
      <c r="V624" s="41">
        <v>0.0</v>
      </c>
      <c r="W624" s="41">
        <v>0.0</v>
      </c>
      <c r="X624" s="41">
        <v>1.0</v>
      </c>
      <c r="Y624" s="41">
        <v>5.0</v>
      </c>
      <c r="Z624" s="41">
        <v>4.0</v>
      </c>
    </row>
    <row r="625">
      <c r="A625" s="41" t="s">
        <v>905</v>
      </c>
      <c r="B625" s="41" t="s">
        <v>209</v>
      </c>
      <c r="C625" s="41" t="s">
        <v>1818</v>
      </c>
      <c r="D625" s="41" t="s">
        <v>942</v>
      </c>
      <c r="E625" s="41">
        <v>11.0</v>
      </c>
      <c r="F625" s="41">
        <v>3.0</v>
      </c>
      <c r="G625" s="41">
        <v>8.0</v>
      </c>
      <c r="H625" s="125">
        <v>0.2727272727272727</v>
      </c>
      <c r="I625" s="41">
        <v>0.0</v>
      </c>
      <c r="J625" s="41">
        <v>3161.0</v>
      </c>
      <c r="K625" s="41">
        <v>6.0</v>
      </c>
      <c r="L625" s="41">
        <v>7.0</v>
      </c>
      <c r="M625" s="41">
        <v>10.0</v>
      </c>
      <c r="N625" s="41">
        <v>29.0</v>
      </c>
      <c r="O625" s="122">
        <f t="shared" si="1"/>
        <v>0.2068965517</v>
      </c>
      <c r="P625" s="123">
        <f t="shared" si="5"/>
        <v>287.3636364</v>
      </c>
      <c r="Q625" s="123">
        <f t="shared" si="2"/>
        <v>0.5454545455</v>
      </c>
      <c r="R625" s="123">
        <f t="shared" si="6"/>
        <v>0.6363636364</v>
      </c>
      <c r="S625" s="123">
        <f t="shared" si="3"/>
        <v>0.9090909091</v>
      </c>
      <c r="T625" s="123">
        <f t="shared" si="4"/>
        <v>2.636363636</v>
      </c>
      <c r="U625" s="41">
        <v>1.0</v>
      </c>
      <c r="V625" s="41">
        <v>0.0</v>
      </c>
      <c r="W625" s="41">
        <v>1.0</v>
      </c>
      <c r="X625" s="41">
        <v>2.0</v>
      </c>
      <c r="Y625" s="41">
        <v>9.0</v>
      </c>
      <c r="Z625" s="41">
        <v>8.0</v>
      </c>
    </row>
    <row r="626">
      <c r="A626" s="41" t="s">
        <v>905</v>
      </c>
      <c r="B626" s="41" t="s">
        <v>165</v>
      </c>
      <c r="C626" s="41" t="s">
        <v>1819</v>
      </c>
      <c r="D626" s="41" t="s">
        <v>1444</v>
      </c>
      <c r="E626" s="41">
        <v>19.0</v>
      </c>
      <c r="F626" s="41">
        <v>13.0</v>
      </c>
      <c r="G626" s="41">
        <v>6.0</v>
      </c>
      <c r="H626" s="125">
        <v>0.6842105263157895</v>
      </c>
      <c r="I626" s="41">
        <v>6.0</v>
      </c>
      <c r="J626" s="41">
        <v>5644.0</v>
      </c>
      <c r="K626" s="41">
        <v>14.0</v>
      </c>
      <c r="L626" s="41">
        <v>7.0</v>
      </c>
      <c r="M626" s="41">
        <v>18.0</v>
      </c>
      <c r="N626" s="41">
        <v>51.0</v>
      </c>
      <c r="O626" s="122">
        <f t="shared" si="1"/>
        <v>0.2745098039</v>
      </c>
      <c r="P626" s="123">
        <f t="shared" si="5"/>
        <v>297.0526316</v>
      </c>
      <c r="Q626" s="123">
        <f t="shared" si="2"/>
        <v>0.7368421053</v>
      </c>
      <c r="R626" s="123">
        <f t="shared" si="6"/>
        <v>0.3684210526</v>
      </c>
      <c r="S626" s="123">
        <f t="shared" si="3"/>
        <v>0.9473684211</v>
      </c>
      <c r="T626" s="123">
        <f t="shared" si="4"/>
        <v>2.684210526</v>
      </c>
      <c r="U626" s="41">
        <v>2.0</v>
      </c>
      <c r="V626" s="41">
        <v>0.0</v>
      </c>
      <c r="W626" s="41">
        <v>0.0</v>
      </c>
      <c r="X626" s="41">
        <v>1.0</v>
      </c>
      <c r="Y626" s="41">
        <v>4.0</v>
      </c>
      <c r="Z626" s="41">
        <v>19.0</v>
      </c>
    </row>
    <row r="627">
      <c r="A627" s="41" t="s">
        <v>904</v>
      </c>
      <c r="B627" s="41" t="s">
        <v>708</v>
      </c>
      <c r="C627" s="41" t="s">
        <v>1820</v>
      </c>
      <c r="D627" s="41" t="s">
        <v>963</v>
      </c>
      <c r="E627" s="41">
        <v>6.0</v>
      </c>
      <c r="F627" s="41">
        <v>1.0</v>
      </c>
      <c r="G627" s="41">
        <v>5.0</v>
      </c>
      <c r="H627" s="125">
        <v>0.16666666666666666</v>
      </c>
      <c r="I627" s="41">
        <v>0.0</v>
      </c>
      <c r="J627" s="41">
        <v>1714.0</v>
      </c>
      <c r="K627" s="41">
        <v>1.0</v>
      </c>
      <c r="L627" s="41">
        <v>4.0</v>
      </c>
      <c r="M627" s="41">
        <v>7.0</v>
      </c>
      <c r="N627" s="41">
        <v>14.0</v>
      </c>
      <c r="O627" s="122">
        <f t="shared" si="1"/>
        <v>0.07142857143</v>
      </c>
      <c r="P627" s="123">
        <f t="shared" si="5"/>
        <v>285.6666667</v>
      </c>
      <c r="Q627" s="123">
        <f t="shared" si="2"/>
        <v>0.1666666667</v>
      </c>
      <c r="R627" s="123">
        <f t="shared" si="6"/>
        <v>0.6666666667</v>
      </c>
      <c r="S627" s="123">
        <f t="shared" si="3"/>
        <v>1.166666667</v>
      </c>
      <c r="T627" s="123">
        <f t="shared" si="4"/>
        <v>2.333333333</v>
      </c>
      <c r="U627" s="41">
        <v>0.0</v>
      </c>
      <c r="V627" s="41">
        <v>0.0</v>
      </c>
      <c r="W627" s="41">
        <v>0.0</v>
      </c>
      <c r="X627" s="41">
        <v>0.0</v>
      </c>
      <c r="Y627" s="41">
        <v>4.0</v>
      </c>
      <c r="Z627" s="41">
        <v>2.0</v>
      </c>
    </row>
    <row r="628">
      <c r="A628" s="41" t="s">
        <v>902</v>
      </c>
      <c r="B628" s="41" t="s">
        <v>824</v>
      </c>
      <c r="C628" s="41" t="s">
        <v>1821</v>
      </c>
      <c r="D628" s="41" t="s">
        <v>1130</v>
      </c>
      <c r="E628" s="41">
        <v>4.0</v>
      </c>
      <c r="F628" s="41">
        <v>1.0</v>
      </c>
      <c r="G628" s="41">
        <v>3.0</v>
      </c>
      <c r="H628" s="125">
        <v>0.25</v>
      </c>
      <c r="I628" s="41">
        <v>1.0</v>
      </c>
      <c r="J628" s="41">
        <v>1412.0</v>
      </c>
      <c r="K628" s="41">
        <v>4.0</v>
      </c>
      <c r="L628" s="41">
        <v>1.0</v>
      </c>
      <c r="M628" s="41">
        <v>5.0</v>
      </c>
      <c r="N628" s="41">
        <v>9.0</v>
      </c>
      <c r="O628" s="122">
        <f t="shared" si="1"/>
        <v>0.4444444444</v>
      </c>
      <c r="P628" s="123">
        <f t="shared" si="5"/>
        <v>353</v>
      </c>
      <c r="Q628" s="123">
        <f t="shared" si="2"/>
        <v>1</v>
      </c>
      <c r="R628" s="123">
        <f t="shared" si="6"/>
        <v>0.25</v>
      </c>
      <c r="S628" s="123">
        <f t="shared" si="3"/>
        <v>1.25</v>
      </c>
      <c r="T628" s="123">
        <f t="shared" si="4"/>
        <v>2.25</v>
      </c>
      <c r="U628" s="41">
        <v>1.0</v>
      </c>
      <c r="V628" s="41">
        <v>0.0</v>
      </c>
      <c r="W628" s="41">
        <v>0.0</v>
      </c>
      <c r="X628" s="41">
        <v>0.0</v>
      </c>
      <c r="Y628" s="41">
        <v>4.0</v>
      </c>
      <c r="Z628" s="41">
        <v>3.0</v>
      </c>
    </row>
    <row r="629">
      <c r="A629" s="41" t="s">
        <v>905</v>
      </c>
      <c r="B629" s="41" t="s">
        <v>120</v>
      </c>
      <c r="C629" s="41" t="s">
        <v>1822</v>
      </c>
      <c r="D629" s="41" t="s">
        <v>1407</v>
      </c>
      <c r="E629" s="41">
        <v>54.0</v>
      </c>
      <c r="F629" s="41">
        <v>35.0</v>
      </c>
      <c r="G629" s="41">
        <v>19.0</v>
      </c>
      <c r="H629" s="125">
        <v>0.6481481481481481</v>
      </c>
      <c r="I629" s="41">
        <v>14.0</v>
      </c>
      <c r="J629" s="41">
        <v>20118.0</v>
      </c>
      <c r="K629" s="41">
        <v>52.0</v>
      </c>
      <c r="L629" s="41">
        <v>33.0</v>
      </c>
      <c r="M629" s="41">
        <v>65.0</v>
      </c>
      <c r="N629" s="41">
        <v>175.0</v>
      </c>
      <c r="O629" s="122">
        <f t="shared" si="1"/>
        <v>0.2971428571</v>
      </c>
      <c r="P629" s="123">
        <f t="shared" si="5"/>
        <v>372.5555556</v>
      </c>
      <c r="Q629" s="123">
        <f t="shared" si="2"/>
        <v>0.962962963</v>
      </c>
      <c r="R629" s="123">
        <f t="shared" si="6"/>
        <v>0.6111111111</v>
      </c>
      <c r="S629" s="123">
        <f t="shared" si="3"/>
        <v>1.203703704</v>
      </c>
      <c r="T629" s="123">
        <f t="shared" si="4"/>
        <v>3.240740741</v>
      </c>
      <c r="U629" s="41">
        <v>8.0</v>
      </c>
      <c r="V629" s="41">
        <v>5.0</v>
      </c>
      <c r="W629" s="41">
        <v>1.0</v>
      </c>
      <c r="X629" s="41">
        <v>5.0</v>
      </c>
      <c r="Y629" s="41">
        <v>44.0</v>
      </c>
      <c r="Z629" s="41">
        <v>28.0</v>
      </c>
    </row>
    <row r="630">
      <c r="A630" s="41" t="s">
        <v>909</v>
      </c>
      <c r="B630" s="41" t="s">
        <v>94</v>
      </c>
      <c r="C630" s="41" t="s">
        <v>1823</v>
      </c>
      <c r="D630" s="41" t="s">
        <v>948</v>
      </c>
      <c r="E630" s="41">
        <v>55.0</v>
      </c>
      <c r="F630" s="41">
        <v>13.0</v>
      </c>
      <c r="G630" s="41">
        <v>42.0</v>
      </c>
      <c r="H630" s="125">
        <v>0.23636363636363636</v>
      </c>
      <c r="I630" s="41">
        <v>8.0</v>
      </c>
      <c r="J630" s="41">
        <v>17476.0</v>
      </c>
      <c r="K630" s="41">
        <v>36.0</v>
      </c>
      <c r="L630" s="41">
        <v>10.0</v>
      </c>
      <c r="M630" s="41">
        <v>84.0</v>
      </c>
      <c r="N630" s="41">
        <v>121.0</v>
      </c>
      <c r="O630" s="122">
        <f t="shared" si="1"/>
        <v>0.2975206612</v>
      </c>
      <c r="P630" s="123">
        <f t="shared" si="5"/>
        <v>317.7454545</v>
      </c>
      <c r="Q630" s="123">
        <f t="shared" si="2"/>
        <v>0.6545454545</v>
      </c>
      <c r="R630" s="123">
        <f t="shared" si="6"/>
        <v>0.1818181818</v>
      </c>
      <c r="S630" s="123">
        <f t="shared" si="3"/>
        <v>1.527272727</v>
      </c>
      <c r="T630" s="123">
        <f t="shared" si="4"/>
        <v>2.2</v>
      </c>
      <c r="U630" s="41">
        <v>3.0</v>
      </c>
      <c r="V630" s="41">
        <v>1.0</v>
      </c>
      <c r="W630" s="41">
        <v>0.0</v>
      </c>
      <c r="X630" s="41">
        <v>11.0</v>
      </c>
      <c r="Y630" s="41">
        <v>27.0</v>
      </c>
      <c r="Z630" s="41">
        <v>47.0</v>
      </c>
    </row>
    <row r="631">
      <c r="A631" s="41" t="s">
        <v>901</v>
      </c>
      <c r="B631" s="41" t="s">
        <v>357</v>
      </c>
      <c r="C631" s="41" t="s">
        <v>1824</v>
      </c>
      <c r="D631" s="41" t="s">
        <v>1008</v>
      </c>
      <c r="E631" s="41">
        <v>10.0</v>
      </c>
      <c r="F631" s="41">
        <v>3.0</v>
      </c>
      <c r="G631" s="41">
        <v>7.0</v>
      </c>
      <c r="H631" s="125">
        <v>0.3</v>
      </c>
      <c r="I631" s="41">
        <v>1.0</v>
      </c>
      <c r="J631" s="41">
        <v>3688.0</v>
      </c>
      <c r="K631" s="41">
        <v>4.0</v>
      </c>
      <c r="L631" s="41">
        <v>8.0</v>
      </c>
      <c r="M631" s="41">
        <v>19.0</v>
      </c>
      <c r="N631" s="41">
        <v>24.0</v>
      </c>
      <c r="O631" s="122">
        <f t="shared" si="1"/>
        <v>0.1666666667</v>
      </c>
      <c r="P631" s="123">
        <f t="shared" si="5"/>
        <v>368.8</v>
      </c>
      <c r="Q631" s="123">
        <f t="shared" si="2"/>
        <v>0.4</v>
      </c>
      <c r="R631" s="123">
        <f t="shared" si="6"/>
        <v>0.8</v>
      </c>
      <c r="S631" s="123">
        <f t="shared" si="3"/>
        <v>1.9</v>
      </c>
      <c r="T631" s="123">
        <f t="shared" si="4"/>
        <v>2.4</v>
      </c>
      <c r="U631" s="41">
        <v>2.0</v>
      </c>
      <c r="V631" s="41">
        <v>0.0</v>
      </c>
      <c r="W631" s="41">
        <v>1.0</v>
      </c>
      <c r="X631" s="41">
        <v>3.0</v>
      </c>
      <c r="Y631" s="41">
        <v>7.0</v>
      </c>
      <c r="Z631" s="41">
        <v>13.0</v>
      </c>
    </row>
    <row r="632">
      <c r="A632" s="41" t="s">
        <v>909</v>
      </c>
      <c r="B632" s="41" t="s">
        <v>79</v>
      </c>
      <c r="C632" s="41" t="s">
        <v>1825</v>
      </c>
      <c r="D632" s="41" t="s">
        <v>985</v>
      </c>
      <c r="E632" s="41">
        <v>28.0</v>
      </c>
      <c r="F632" s="41">
        <v>13.0</v>
      </c>
      <c r="G632" s="41">
        <v>15.0</v>
      </c>
      <c r="H632" s="125">
        <v>0.4642857142857143</v>
      </c>
      <c r="I632" s="41">
        <v>6.0</v>
      </c>
      <c r="J632" s="41">
        <v>10042.0</v>
      </c>
      <c r="K632" s="41">
        <v>24.0</v>
      </c>
      <c r="L632" s="41">
        <v>11.0</v>
      </c>
      <c r="M632" s="41">
        <v>36.0</v>
      </c>
      <c r="N632" s="41">
        <v>66.0</v>
      </c>
      <c r="O632" s="122">
        <f t="shared" si="1"/>
        <v>0.3636363636</v>
      </c>
      <c r="P632" s="123">
        <f t="shared" si="5"/>
        <v>358.6428571</v>
      </c>
      <c r="Q632" s="123">
        <f t="shared" si="2"/>
        <v>0.8571428571</v>
      </c>
      <c r="R632" s="123">
        <f t="shared" si="6"/>
        <v>0.3928571429</v>
      </c>
      <c r="S632" s="123">
        <f t="shared" si="3"/>
        <v>1.285714286</v>
      </c>
      <c r="T632" s="123">
        <f t="shared" si="4"/>
        <v>2.357142857</v>
      </c>
      <c r="U632" s="41">
        <v>2.0</v>
      </c>
      <c r="V632" s="41">
        <v>3.0</v>
      </c>
      <c r="W632" s="41">
        <v>0.0</v>
      </c>
      <c r="X632" s="41">
        <v>4.0</v>
      </c>
      <c r="Y632" s="41">
        <v>21.0</v>
      </c>
      <c r="Z632" s="41">
        <v>14.0</v>
      </c>
    </row>
    <row r="633">
      <c r="A633" s="41" t="s">
        <v>897</v>
      </c>
      <c r="B633" s="41" t="s">
        <v>513</v>
      </c>
      <c r="C633" s="41" t="s">
        <v>1826</v>
      </c>
      <c r="D633" s="41" t="s">
        <v>1827</v>
      </c>
      <c r="E633" s="41">
        <v>49.0</v>
      </c>
      <c r="F633" s="41">
        <v>21.0</v>
      </c>
      <c r="G633" s="41">
        <v>28.0</v>
      </c>
      <c r="H633" s="125">
        <v>0.42857142857142855</v>
      </c>
      <c r="I633" s="41">
        <v>2.0</v>
      </c>
      <c r="J633" s="41">
        <v>14223.0</v>
      </c>
      <c r="K633" s="41">
        <v>27.0</v>
      </c>
      <c r="L633" s="41">
        <v>26.0</v>
      </c>
      <c r="M633" s="41">
        <v>57.0</v>
      </c>
      <c r="N633" s="41">
        <v>117.0</v>
      </c>
      <c r="O633" s="122">
        <f t="shared" si="1"/>
        <v>0.2307692308</v>
      </c>
      <c r="P633" s="123">
        <f t="shared" si="5"/>
        <v>290.2653061</v>
      </c>
      <c r="Q633" s="123">
        <f t="shared" si="2"/>
        <v>0.5510204082</v>
      </c>
      <c r="R633" s="123">
        <f t="shared" si="6"/>
        <v>0.5306122449</v>
      </c>
      <c r="S633" s="123">
        <f t="shared" si="3"/>
        <v>1.163265306</v>
      </c>
      <c r="T633" s="123">
        <f t="shared" si="4"/>
        <v>2.387755102</v>
      </c>
      <c r="U633" s="41">
        <v>7.0</v>
      </c>
      <c r="V633" s="41">
        <v>0.0</v>
      </c>
      <c r="W633" s="41">
        <v>0.0</v>
      </c>
      <c r="X633" s="41">
        <v>5.0</v>
      </c>
      <c r="Y633" s="41">
        <v>29.0</v>
      </c>
      <c r="Z633" s="41">
        <v>52.0</v>
      </c>
    </row>
    <row r="634">
      <c r="A634" s="41" t="s">
        <v>901</v>
      </c>
      <c r="B634" s="41" t="s">
        <v>351</v>
      </c>
      <c r="C634" s="41" t="s">
        <v>1828</v>
      </c>
      <c r="D634" s="41" t="s">
        <v>1004</v>
      </c>
      <c r="E634" s="41">
        <v>50.0</v>
      </c>
      <c r="F634" s="41">
        <v>22.0</v>
      </c>
      <c r="G634" s="41">
        <v>28.0</v>
      </c>
      <c r="H634" s="125">
        <v>0.44</v>
      </c>
      <c r="I634" s="41">
        <v>8.0</v>
      </c>
      <c r="J634" s="41">
        <v>18219.0</v>
      </c>
      <c r="K634" s="41">
        <v>38.0</v>
      </c>
      <c r="L634" s="41">
        <v>29.0</v>
      </c>
      <c r="M634" s="41">
        <v>72.0</v>
      </c>
      <c r="N634" s="41">
        <v>125.0</v>
      </c>
      <c r="O634" s="122">
        <f t="shared" si="1"/>
        <v>0.304</v>
      </c>
      <c r="P634" s="123">
        <f t="shared" si="5"/>
        <v>364.38</v>
      </c>
      <c r="Q634" s="123">
        <f t="shared" si="2"/>
        <v>0.76</v>
      </c>
      <c r="R634" s="123">
        <f t="shared" si="6"/>
        <v>0.58</v>
      </c>
      <c r="S634" s="123">
        <f t="shared" si="3"/>
        <v>1.44</v>
      </c>
      <c r="T634" s="123">
        <f t="shared" si="4"/>
        <v>2.5</v>
      </c>
      <c r="U634" s="41">
        <v>4.0</v>
      </c>
      <c r="V634" s="41">
        <v>2.0</v>
      </c>
      <c r="W634" s="41">
        <v>1.0</v>
      </c>
      <c r="X634" s="41">
        <v>8.0</v>
      </c>
      <c r="Y634" s="41">
        <v>56.0</v>
      </c>
      <c r="Z634" s="41">
        <v>40.0</v>
      </c>
    </row>
    <row r="635">
      <c r="A635" s="41" t="s">
        <v>905</v>
      </c>
      <c r="B635" s="41" t="s">
        <v>163</v>
      </c>
      <c r="C635" s="41" t="s">
        <v>1829</v>
      </c>
      <c r="D635" s="41" t="s">
        <v>1014</v>
      </c>
      <c r="E635" s="41">
        <v>53.0</v>
      </c>
      <c r="F635" s="41">
        <v>28.0</v>
      </c>
      <c r="G635" s="41">
        <v>25.0</v>
      </c>
      <c r="H635" s="125">
        <v>0.5283018867924528</v>
      </c>
      <c r="I635" s="41">
        <v>5.0</v>
      </c>
      <c r="J635" s="41">
        <v>18218.0</v>
      </c>
      <c r="K635" s="41">
        <v>36.0</v>
      </c>
      <c r="L635" s="41">
        <v>34.0</v>
      </c>
      <c r="M635" s="41">
        <v>71.0</v>
      </c>
      <c r="N635" s="41">
        <v>122.0</v>
      </c>
      <c r="O635" s="122">
        <f t="shared" si="1"/>
        <v>0.2950819672</v>
      </c>
      <c r="P635" s="123">
        <f t="shared" si="5"/>
        <v>343.7358491</v>
      </c>
      <c r="Q635" s="123">
        <f t="shared" si="2"/>
        <v>0.679245283</v>
      </c>
      <c r="R635" s="123">
        <f t="shared" si="6"/>
        <v>0.641509434</v>
      </c>
      <c r="S635" s="123">
        <f t="shared" si="3"/>
        <v>1.339622642</v>
      </c>
      <c r="T635" s="123">
        <f t="shared" si="4"/>
        <v>2.301886792</v>
      </c>
      <c r="U635" s="41">
        <v>11.0</v>
      </c>
      <c r="V635" s="41">
        <v>1.0</v>
      </c>
      <c r="W635" s="41">
        <v>2.0</v>
      </c>
      <c r="X635" s="41">
        <v>6.0</v>
      </c>
      <c r="Y635" s="41">
        <v>45.0</v>
      </c>
      <c r="Z635" s="41">
        <v>47.0</v>
      </c>
    </row>
    <row r="636">
      <c r="A636" s="41" t="s">
        <v>902</v>
      </c>
      <c r="B636" s="41" t="s">
        <v>777</v>
      </c>
      <c r="C636" s="41" t="s">
        <v>1830</v>
      </c>
      <c r="D636" s="41" t="s">
        <v>1132</v>
      </c>
      <c r="E636" s="41">
        <v>52.0</v>
      </c>
      <c r="F636" s="41">
        <v>30.0</v>
      </c>
      <c r="G636" s="41">
        <v>22.0</v>
      </c>
      <c r="H636" s="125">
        <v>0.5769230769230769</v>
      </c>
      <c r="I636" s="41">
        <v>8.0</v>
      </c>
      <c r="J636" s="41">
        <v>17828.0</v>
      </c>
      <c r="K636" s="41">
        <v>33.0</v>
      </c>
      <c r="L636" s="41">
        <v>32.0</v>
      </c>
      <c r="M636" s="41">
        <v>72.0</v>
      </c>
      <c r="N636" s="41">
        <v>139.0</v>
      </c>
      <c r="O636" s="122">
        <f t="shared" si="1"/>
        <v>0.2374100719</v>
      </c>
      <c r="P636" s="123">
        <f t="shared" si="5"/>
        <v>342.8461538</v>
      </c>
      <c r="Q636" s="123">
        <f t="shared" si="2"/>
        <v>0.6346153846</v>
      </c>
      <c r="R636" s="123">
        <f t="shared" si="6"/>
        <v>0.6153846154</v>
      </c>
      <c r="S636" s="123">
        <f t="shared" si="3"/>
        <v>1.384615385</v>
      </c>
      <c r="T636" s="123">
        <f t="shared" si="4"/>
        <v>2.673076923</v>
      </c>
      <c r="U636" s="41">
        <v>10.0</v>
      </c>
      <c r="V636" s="41">
        <v>1.0</v>
      </c>
      <c r="W636" s="41">
        <v>0.0</v>
      </c>
      <c r="X636" s="41">
        <v>8.0</v>
      </c>
      <c r="Y636" s="41">
        <v>96.0</v>
      </c>
      <c r="Z636" s="41">
        <v>43.0</v>
      </c>
    </row>
    <row r="637">
      <c r="A637" s="41" t="s">
        <v>906</v>
      </c>
      <c r="B637" s="41" t="s">
        <v>526</v>
      </c>
      <c r="C637" s="41" t="s">
        <v>1831</v>
      </c>
      <c r="D637" s="41" t="s">
        <v>992</v>
      </c>
      <c r="E637" s="41">
        <v>56.0</v>
      </c>
      <c r="F637" s="41">
        <v>36.0</v>
      </c>
      <c r="G637" s="41">
        <v>20.0</v>
      </c>
      <c r="H637" s="125">
        <v>0.6428571428571429</v>
      </c>
      <c r="I637" s="41">
        <v>10.0</v>
      </c>
      <c r="J637" s="41">
        <v>19869.0</v>
      </c>
      <c r="K637" s="41">
        <v>48.0</v>
      </c>
      <c r="L637" s="41">
        <v>40.0</v>
      </c>
      <c r="M637" s="41">
        <v>68.0</v>
      </c>
      <c r="N637" s="41">
        <v>145.0</v>
      </c>
      <c r="O637" s="122">
        <f t="shared" si="1"/>
        <v>0.3310344828</v>
      </c>
      <c r="P637" s="123">
        <f t="shared" si="5"/>
        <v>354.8035714</v>
      </c>
      <c r="Q637" s="123">
        <f t="shared" si="2"/>
        <v>0.8571428571</v>
      </c>
      <c r="R637" s="123">
        <f t="shared" si="6"/>
        <v>0.7142857143</v>
      </c>
      <c r="S637" s="123">
        <f t="shared" si="3"/>
        <v>1.214285714</v>
      </c>
      <c r="T637" s="123">
        <f t="shared" si="4"/>
        <v>2.589285714</v>
      </c>
      <c r="U637" s="41">
        <v>16.0</v>
      </c>
      <c r="V637" s="41">
        <v>3.0</v>
      </c>
      <c r="W637" s="41">
        <v>3.0</v>
      </c>
      <c r="X637" s="41">
        <v>6.0</v>
      </c>
      <c r="Y637" s="41">
        <v>61.0</v>
      </c>
      <c r="Z637" s="41">
        <v>54.0</v>
      </c>
    </row>
    <row r="638">
      <c r="A638" s="41" t="s">
        <v>901</v>
      </c>
      <c r="B638" s="41" t="s">
        <v>415</v>
      </c>
      <c r="C638" s="41" t="s">
        <v>1832</v>
      </c>
      <c r="D638" s="41" t="s">
        <v>994</v>
      </c>
      <c r="E638" s="41">
        <v>2.0</v>
      </c>
      <c r="F638" s="41">
        <v>0.0</v>
      </c>
      <c r="G638" s="41">
        <v>2.0</v>
      </c>
      <c r="H638" s="125">
        <v>0.0</v>
      </c>
      <c r="I638" s="41">
        <v>0.0</v>
      </c>
      <c r="J638" s="41">
        <v>629.0</v>
      </c>
      <c r="K638" s="41">
        <v>1.0</v>
      </c>
      <c r="L638" s="41">
        <v>0.0</v>
      </c>
      <c r="M638" s="41">
        <v>5.0</v>
      </c>
      <c r="N638" s="41">
        <v>1.0</v>
      </c>
      <c r="O638" s="122">
        <f t="shared" si="1"/>
        <v>1</v>
      </c>
      <c r="P638" s="123">
        <f t="shared" si="5"/>
        <v>314.5</v>
      </c>
      <c r="Q638" s="123">
        <f t="shared" si="2"/>
        <v>0.5</v>
      </c>
      <c r="R638" s="123">
        <f t="shared" si="6"/>
        <v>0</v>
      </c>
      <c r="S638" s="123">
        <f t="shared" si="3"/>
        <v>2.5</v>
      </c>
      <c r="T638" s="123">
        <f t="shared" si="4"/>
        <v>0.5</v>
      </c>
      <c r="U638" s="41">
        <v>0.0</v>
      </c>
      <c r="V638" s="41">
        <v>0.0</v>
      </c>
      <c r="W638" s="41">
        <v>0.0</v>
      </c>
      <c r="X638" s="41">
        <v>1.0</v>
      </c>
      <c r="Y638" s="41">
        <v>0.0</v>
      </c>
      <c r="Z638" s="41">
        <v>0.0</v>
      </c>
    </row>
    <row r="639">
      <c r="A639" s="41" t="s">
        <v>906</v>
      </c>
      <c r="B639" s="41" t="s">
        <v>544</v>
      </c>
      <c r="C639" s="41" t="s">
        <v>1833</v>
      </c>
      <c r="D639" s="41" t="s">
        <v>1834</v>
      </c>
      <c r="E639" s="41">
        <v>28.0</v>
      </c>
      <c r="F639" s="41">
        <v>12.0</v>
      </c>
      <c r="G639" s="41">
        <v>16.0</v>
      </c>
      <c r="H639" s="125">
        <v>0.42857142857142855</v>
      </c>
      <c r="I639" s="41">
        <v>5.0</v>
      </c>
      <c r="J639" s="41">
        <v>9594.0</v>
      </c>
      <c r="K639" s="41">
        <v>27.0</v>
      </c>
      <c r="L639" s="41">
        <v>14.0</v>
      </c>
      <c r="M639" s="41">
        <v>27.0</v>
      </c>
      <c r="N639" s="41">
        <v>79.0</v>
      </c>
      <c r="O639" s="122">
        <f t="shared" si="1"/>
        <v>0.3417721519</v>
      </c>
      <c r="P639" s="123">
        <f t="shared" si="5"/>
        <v>342.6428571</v>
      </c>
      <c r="Q639" s="123">
        <f t="shared" si="2"/>
        <v>0.9642857143</v>
      </c>
      <c r="R639" s="123">
        <f t="shared" si="6"/>
        <v>0.5</v>
      </c>
      <c r="S639" s="123">
        <f t="shared" si="3"/>
        <v>0.9642857143</v>
      </c>
      <c r="T639" s="123">
        <f t="shared" si="4"/>
        <v>2.821428571</v>
      </c>
      <c r="U639" s="41">
        <v>4.0</v>
      </c>
      <c r="V639" s="41">
        <v>2.0</v>
      </c>
      <c r="W639" s="41">
        <v>1.0</v>
      </c>
      <c r="X639" s="41">
        <v>1.0</v>
      </c>
      <c r="Y639" s="41">
        <v>9.0</v>
      </c>
      <c r="Z639" s="41">
        <v>36.0</v>
      </c>
    </row>
    <row r="640">
      <c r="A640" s="41" t="s">
        <v>905</v>
      </c>
      <c r="B640" s="41" t="s">
        <v>168</v>
      </c>
      <c r="C640" s="41" t="s">
        <v>1835</v>
      </c>
      <c r="D640" s="41" t="s">
        <v>1237</v>
      </c>
      <c r="E640" s="41">
        <v>30.0</v>
      </c>
      <c r="F640" s="41">
        <v>22.0</v>
      </c>
      <c r="G640" s="41">
        <v>8.0</v>
      </c>
      <c r="H640" s="125">
        <v>0.7333333333333333</v>
      </c>
      <c r="I640" s="41">
        <v>7.0</v>
      </c>
      <c r="J640" s="41">
        <v>9543.0</v>
      </c>
      <c r="K640" s="41">
        <v>19.0</v>
      </c>
      <c r="L640" s="41">
        <v>22.0</v>
      </c>
      <c r="M640" s="41">
        <v>36.0</v>
      </c>
      <c r="N640" s="41">
        <v>52.0</v>
      </c>
      <c r="O640" s="122">
        <f t="shared" si="1"/>
        <v>0.3653846154</v>
      </c>
      <c r="P640" s="123">
        <f t="shared" si="5"/>
        <v>318.1</v>
      </c>
      <c r="Q640" s="123">
        <f t="shared" si="2"/>
        <v>0.6333333333</v>
      </c>
      <c r="R640" s="123">
        <f t="shared" si="6"/>
        <v>0.7333333333</v>
      </c>
      <c r="S640" s="123">
        <f t="shared" si="3"/>
        <v>1.2</v>
      </c>
      <c r="T640" s="123">
        <f t="shared" si="4"/>
        <v>1.733333333</v>
      </c>
      <c r="U640" s="41">
        <v>7.0</v>
      </c>
      <c r="V640" s="41">
        <v>1.0</v>
      </c>
      <c r="W640" s="41">
        <v>2.0</v>
      </c>
      <c r="X640" s="41">
        <v>4.0</v>
      </c>
      <c r="Y640" s="41">
        <v>10.0</v>
      </c>
      <c r="Z640" s="41">
        <v>14.0</v>
      </c>
    </row>
    <row r="641">
      <c r="A641" s="41" t="s">
        <v>902</v>
      </c>
      <c r="B641" s="41" t="s">
        <v>816</v>
      </c>
      <c r="C641" s="41" t="s">
        <v>1836</v>
      </c>
      <c r="D641" s="41" t="s">
        <v>1113</v>
      </c>
      <c r="E641" s="41">
        <v>52.0</v>
      </c>
      <c r="F641" s="41">
        <v>25.0</v>
      </c>
      <c r="G641" s="41">
        <v>27.0</v>
      </c>
      <c r="H641" s="125">
        <v>0.4807692307692308</v>
      </c>
      <c r="I641" s="41">
        <v>8.0</v>
      </c>
      <c r="J641" s="41">
        <v>17553.0</v>
      </c>
      <c r="K641" s="41">
        <v>35.0</v>
      </c>
      <c r="L641" s="41">
        <v>38.0</v>
      </c>
      <c r="M641" s="41">
        <v>68.0</v>
      </c>
      <c r="N641" s="41">
        <v>115.0</v>
      </c>
      <c r="O641" s="122">
        <f t="shared" si="1"/>
        <v>0.3043478261</v>
      </c>
      <c r="P641" s="123">
        <f t="shared" si="5"/>
        <v>337.5576923</v>
      </c>
      <c r="Q641" s="123">
        <f t="shared" si="2"/>
        <v>0.6730769231</v>
      </c>
      <c r="R641" s="123">
        <f t="shared" si="6"/>
        <v>0.7307692308</v>
      </c>
      <c r="S641" s="123">
        <f t="shared" si="3"/>
        <v>1.307692308</v>
      </c>
      <c r="T641" s="123">
        <f t="shared" si="4"/>
        <v>2.211538462</v>
      </c>
      <c r="U641" s="41">
        <v>8.0</v>
      </c>
      <c r="V641" s="41">
        <v>2.0</v>
      </c>
      <c r="W641" s="41">
        <v>0.0</v>
      </c>
      <c r="X641" s="41">
        <v>8.0</v>
      </c>
      <c r="Y641" s="41">
        <v>51.0</v>
      </c>
      <c r="Z641" s="41">
        <v>45.0</v>
      </c>
    </row>
    <row r="642">
      <c r="A642" s="41" t="s">
        <v>902</v>
      </c>
      <c r="B642" s="41" t="s">
        <v>820</v>
      </c>
      <c r="C642" s="41" t="s">
        <v>1837</v>
      </c>
      <c r="D642" s="41" t="s">
        <v>1006</v>
      </c>
      <c r="E642" s="41">
        <v>48.0</v>
      </c>
      <c r="F642" s="41">
        <v>20.0</v>
      </c>
      <c r="G642" s="41">
        <v>28.0</v>
      </c>
      <c r="H642" s="125">
        <v>0.4166666666666667</v>
      </c>
      <c r="I642" s="41">
        <v>9.0</v>
      </c>
      <c r="J642" s="41">
        <v>16663.0</v>
      </c>
      <c r="K642" s="41">
        <v>39.0</v>
      </c>
      <c r="L642" s="41">
        <v>20.0</v>
      </c>
      <c r="M642" s="41">
        <v>69.0</v>
      </c>
      <c r="N642" s="41">
        <v>122.0</v>
      </c>
      <c r="O642" s="122">
        <f t="shared" si="1"/>
        <v>0.3196721311</v>
      </c>
      <c r="P642" s="123">
        <f t="shared" si="5"/>
        <v>347.1458333</v>
      </c>
      <c r="Q642" s="123">
        <f t="shared" si="2"/>
        <v>0.8125</v>
      </c>
      <c r="R642" s="123">
        <f t="shared" si="6"/>
        <v>0.4166666667</v>
      </c>
      <c r="S642" s="123">
        <f t="shared" si="3"/>
        <v>1.4375</v>
      </c>
      <c r="T642" s="123">
        <f t="shared" si="4"/>
        <v>2.541666667</v>
      </c>
      <c r="U642" s="41">
        <v>8.0</v>
      </c>
      <c r="V642" s="41">
        <v>2.0</v>
      </c>
      <c r="W642" s="41">
        <v>0.0</v>
      </c>
      <c r="X642" s="41">
        <v>9.0</v>
      </c>
      <c r="Y642" s="41">
        <v>66.0</v>
      </c>
      <c r="Z642" s="41">
        <v>46.0</v>
      </c>
    </row>
    <row r="643">
      <c r="A643" s="41" t="s">
        <v>904</v>
      </c>
      <c r="B643" s="41" t="s">
        <v>635</v>
      </c>
      <c r="C643" s="41" t="s">
        <v>1838</v>
      </c>
      <c r="D643" s="41" t="s">
        <v>1839</v>
      </c>
      <c r="E643" s="41">
        <v>16.0</v>
      </c>
      <c r="F643" s="41">
        <v>7.0</v>
      </c>
      <c r="G643" s="41">
        <v>9.0</v>
      </c>
      <c r="H643" s="125">
        <v>0.4375</v>
      </c>
      <c r="I643" s="41">
        <v>2.0</v>
      </c>
      <c r="J643" s="41">
        <v>5020.0</v>
      </c>
      <c r="K643" s="41">
        <v>10.0</v>
      </c>
      <c r="L643" s="41">
        <v>8.0</v>
      </c>
      <c r="M643" s="41">
        <v>20.0</v>
      </c>
      <c r="N643" s="41">
        <v>43.0</v>
      </c>
      <c r="O643" s="122">
        <f t="shared" si="1"/>
        <v>0.2325581395</v>
      </c>
      <c r="P643" s="123">
        <f t="shared" si="5"/>
        <v>313.75</v>
      </c>
      <c r="Q643" s="123">
        <f t="shared" si="2"/>
        <v>0.625</v>
      </c>
      <c r="R643" s="123">
        <f t="shared" si="6"/>
        <v>0.5</v>
      </c>
      <c r="S643" s="123">
        <f t="shared" si="3"/>
        <v>1.25</v>
      </c>
      <c r="T643" s="123">
        <f t="shared" si="4"/>
        <v>2.6875</v>
      </c>
      <c r="U643" s="41">
        <v>1.0</v>
      </c>
      <c r="V643" s="41">
        <v>1.0</v>
      </c>
      <c r="W643" s="41">
        <v>0.0</v>
      </c>
      <c r="X643" s="41">
        <v>2.0</v>
      </c>
      <c r="Y643" s="41">
        <v>22.0</v>
      </c>
      <c r="Z643" s="41">
        <v>10.0</v>
      </c>
    </row>
    <row r="644">
      <c r="A644" s="41" t="s">
        <v>905</v>
      </c>
      <c r="B644" s="41" t="s">
        <v>213</v>
      </c>
      <c r="C644" s="41" t="s">
        <v>1840</v>
      </c>
      <c r="D644" s="41" t="s">
        <v>1841</v>
      </c>
      <c r="E644" s="41">
        <v>40.0</v>
      </c>
      <c r="F644" s="41">
        <v>22.0</v>
      </c>
      <c r="G644" s="41">
        <v>18.0</v>
      </c>
      <c r="H644" s="125">
        <v>0.55</v>
      </c>
      <c r="I644" s="41">
        <v>5.0</v>
      </c>
      <c r="J644" s="41">
        <v>12530.0</v>
      </c>
      <c r="K644" s="41">
        <v>30.0</v>
      </c>
      <c r="L644" s="41">
        <v>16.0</v>
      </c>
      <c r="M644" s="41">
        <v>53.0</v>
      </c>
      <c r="N644" s="41">
        <v>88.0</v>
      </c>
      <c r="O644" s="122">
        <f t="shared" si="1"/>
        <v>0.3409090909</v>
      </c>
      <c r="P644" s="123">
        <f t="shared" si="5"/>
        <v>313.25</v>
      </c>
      <c r="Q644" s="123">
        <f t="shared" si="2"/>
        <v>0.75</v>
      </c>
      <c r="R644" s="123">
        <f t="shared" si="6"/>
        <v>0.4</v>
      </c>
      <c r="S644" s="123">
        <f t="shared" si="3"/>
        <v>1.325</v>
      </c>
      <c r="T644" s="123">
        <f t="shared" si="4"/>
        <v>2.2</v>
      </c>
      <c r="U644" s="41">
        <v>7.0</v>
      </c>
      <c r="V644" s="41">
        <v>1.0</v>
      </c>
      <c r="W644" s="41">
        <v>0.0</v>
      </c>
      <c r="X644" s="41">
        <v>7.0</v>
      </c>
      <c r="Y644" s="41">
        <v>46.0</v>
      </c>
      <c r="Z644" s="41">
        <v>51.0</v>
      </c>
    </row>
    <row r="645">
      <c r="A645" s="41" t="s">
        <v>905</v>
      </c>
      <c r="B645" s="41" t="s">
        <v>179</v>
      </c>
      <c r="C645" s="41" t="s">
        <v>1842</v>
      </c>
      <c r="D645" s="41" t="s">
        <v>1843</v>
      </c>
      <c r="E645" s="41">
        <v>30.0</v>
      </c>
      <c r="F645" s="41">
        <v>14.0</v>
      </c>
      <c r="G645" s="41">
        <v>16.0</v>
      </c>
      <c r="H645" s="125">
        <v>0.4666666666666667</v>
      </c>
      <c r="I645" s="41">
        <v>8.0</v>
      </c>
      <c r="J645" s="41">
        <v>10240.0</v>
      </c>
      <c r="K645" s="41">
        <v>29.0</v>
      </c>
      <c r="L645" s="41">
        <v>12.0</v>
      </c>
      <c r="M645" s="41">
        <v>29.0</v>
      </c>
      <c r="N645" s="41">
        <v>81.0</v>
      </c>
      <c r="O645" s="122">
        <f t="shared" si="1"/>
        <v>0.3580246914</v>
      </c>
      <c r="P645" s="123">
        <f t="shared" si="5"/>
        <v>341.3333333</v>
      </c>
      <c r="Q645" s="123">
        <f t="shared" si="2"/>
        <v>0.9666666667</v>
      </c>
      <c r="R645" s="123">
        <f t="shared" si="6"/>
        <v>0.4</v>
      </c>
      <c r="S645" s="123">
        <f t="shared" si="3"/>
        <v>0.9666666667</v>
      </c>
      <c r="T645" s="123">
        <f t="shared" si="4"/>
        <v>2.7</v>
      </c>
      <c r="U645" s="41">
        <v>3.0</v>
      </c>
      <c r="V645" s="41">
        <v>5.0</v>
      </c>
      <c r="W645" s="41">
        <v>0.0</v>
      </c>
      <c r="X645" s="41">
        <v>1.0</v>
      </c>
      <c r="Y645" s="41">
        <v>35.0</v>
      </c>
      <c r="Z645" s="41">
        <v>30.0</v>
      </c>
    </row>
    <row r="646">
      <c r="A646" s="41" t="s">
        <v>906</v>
      </c>
      <c r="B646" s="41" t="s">
        <v>572</v>
      </c>
      <c r="C646" s="41" t="s">
        <v>1844</v>
      </c>
      <c r="D646" s="41" t="s">
        <v>992</v>
      </c>
      <c r="E646" s="41">
        <v>9.0</v>
      </c>
      <c r="F646" s="41">
        <v>2.0</v>
      </c>
      <c r="G646" s="41">
        <v>7.0</v>
      </c>
      <c r="H646" s="125">
        <v>0.2222222222222222</v>
      </c>
      <c r="I646" s="41">
        <v>0.0</v>
      </c>
      <c r="J646" s="41">
        <v>1674.0</v>
      </c>
      <c r="K646" s="41">
        <v>4.0</v>
      </c>
      <c r="L646" s="41">
        <v>3.0</v>
      </c>
      <c r="M646" s="41">
        <v>5.0</v>
      </c>
      <c r="N646" s="41">
        <v>13.0</v>
      </c>
      <c r="O646" s="122">
        <f t="shared" si="1"/>
        <v>0.3076923077</v>
      </c>
      <c r="P646" s="123">
        <f t="shared" si="5"/>
        <v>186</v>
      </c>
      <c r="Q646" s="123">
        <f t="shared" si="2"/>
        <v>0.4444444444</v>
      </c>
      <c r="R646" s="123">
        <f t="shared" si="6"/>
        <v>0.3333333333</v>
      </c>
      <c r="S646" s="123">
        <f t="shared" si="3"/>
        <v>0.5555555556</v>
      </c>
      <c r="T646" s="123">
        <f t="shared" si="4"/>
        <v>1.444444444</v>
      </c>
      <c r="U646" s="41">
        <v>0.0</v>
      </c>
      <c r="V646" s="41">
        <v>0.0</v>
      </c>
      <c r="W646" s="41">
        <v>0.0</v>
      </c>
      <c r="X646" s="41">
        <v>0.0</v>
      </c>
      <c r="Y646" s="41">
        <v>9.0</v>
      </c>
      <c r="Z646" s="41">
        <v>5.0</v>
      </c>
    </row>
    <row r="647">
      <c r="A647" s="41" t="s">
        <v>901</v>
      </c>
      <c r="B647" s="41" t="s">
        <v>359</v>
      </c>
      <c r="C647" s="41" t="s">
        <v>1845</v>
      </c>
      <c r="D647" s="41" t="s">
        <v>1217</v>
      </c>
      <c r="E647" s="41">
        <v>38.0</v>
      </c>
      <c r="F647" s="41">
        <v>17.0</v>
      </c>
      <c r="G647" s="41">
        <v>21.0</v>
      </c>
      <c r="H647" s="125">
        <v>0.4473684210526316</v>
      </c>
      <c r="I647" s="41">
        <v>6.0</v>
      </c>
      <c r="J647" s="41">
        <v>12970.0</v>
      </c>
      <c r="K647" s="41">
        <v>30.0</v>
      </c>
      <c r="L647" s="41">
        <v>10.0</v>
      </c>
      <c r="M647" s="41">
        <v>57.0</v>
      </c>
      <c r="N647" s="41">
        <v>88.0</v>
      </c>
      <c r="O647" s="122">
        <f t="shared" si="1"/>
        <v>0.3409090909</v>
      </c>
      <c r="P647" s="123">
        <f t="shared" si="5"/>
        <v>341.3157895</v>
      </c>
      <c r="Q647" s="123">
        <f t="shared" si="2"/>
        <v>0.7894736842</v>
      </c>
      <c r="R647" s="123">
        <f t="shared" si="6"/>
        <v>0.2631578947</v>
      </c>
      <c r="S647" s="123">
        <f t="shared" si="3"/>
        <v>1.5</v>
      </c>
      <c r="T647" s="123">
        <f t="shared" si="4"/>
        <v>2.315789474</v>
      </c>
      <c r="U647" s="41">
        <v>4.0</v>
      </c>
      <c r="V647" s="41">
        <v>1.0</v>
      </c>
      <c r="W647" s="41">
        <v>0.0</v>
      </c>
      <c r="X647" s="41">
        <v>6.0</v>
      </c>
      <c r="Y647" s="41">
        <v>29.0</v>
      </c>
      <c r="Z647" s="41">
        <v>47.0</v>
      </c>
    </row>
    <row r="648">
      <c r="A648" s="41" t="s">
        <v>909</v>
      </c>
      <c r="B648" s="41" t="s">
        <v>89</v>
      </c>
      <c r="C648" s="41" t="s">
        <v>1846</v>
      </c>
      <c r="D648" s="41" t="s">
        <v>1029</v>
      </c>
      <c r="E648" s="41">
        <v>55.0</v>
      </c>
      <c r="F648" s="41">
        <v>38.0</v>
      </c>
      <c r="G648" s="41">
        <v>17.0</v>
      </c>
      <c r="H648" s="125">
        <v>0.6909090909090909</v>
      </c>
      <c r="I648" s="41">
        <v>13.0</v>
      </c>
      <c r="J648" s="41">
        <v>16424.0</v>
      </c>
      <c r="K648" s="41">
        <v>44.0</v>
      </c>
      <c r="L648" s="41">
        <v>23.0</v>
      </c>
      <c r="M648" s="41">
        <v>51.0</v>
      </c>
      <c r="N648" s="41">
        <v>124.0</v>
      </c>
      <c r="O648" s="122">
        <f t="shared" si="1"/>
        <v>0.3548387097</v>
      </c>
      <c r="P648" s="123">
        <f t="shared" si="5"/>
        <v>298.6181818</v>
      </c>
      <c r="Q648" s="123">
        <f t="shared" si="2"/>
        <v>0.8</v>
      </c>
      <c r="R648" s="123">
        <f t="shared" si="6"/>
        <v>0.4181818182</v>
      </c>
      <c r="S648" s="123">
        <f t="shared" si="3"/>
        <v>0.9272727273</v>
      </c>
      <c r="T648" s="123">
        <f t="shared" si="4"/>
        <v>2.254545455</v>
      </c>
      <c r="U648" s="41">
        <v>5.0</v>
      </c>
      <c r="V648" s="41">
        <v>2.0</v>
      </c>
      <c r="W648" s="41">
        <v>1.0</v>
      </c>
      <c r="X648" s="41">
        <v>1.0</v>
      </c>
      <c r="Y648" s="41">
        <v>27.0</v>
      </c>
      <c r="Z648" s="41">
        <v>36.0</v>
      </c>
    </row>
    <row r="649">
      <c r="A649" s="41" t="s">
        <v>909</v>
      </c>
      <c r="B649" s="41" t="s">
        <v>92</v>
      </c>
      <c r="C649" s="41" t="s">
        <v>1847</v>
      </c>
      <c r="D649" s="41" t="s">
        <v>1798</v>
      </c>
      <c r="E649" s="41">
        <v>36.0</v>
      </c>
      <c r="F649" s="41">
        <v>19.0</v>
      </c>
      <c r="G649" s="41">
        <v>17.0</v>
      </c>
      <c r="H649" s="125">
        <v>0.5277777777777778</v>
      </c>
      <c r="I649" s="41">
        <v>2.0</v>
      </c>
      <c r="J649" s="41">
        <v>9944.0</v>
      </c>
      <c r="K649" s="41">
        <v>19.0</v>
      </c>
      <c r="L649" s="41">
        <v>18.0</v>
      </c>
      <c r="M649" s="41">
        <v>36.0</v>
      </c>
      <c r="N649" s="41">
        <v>58.0</v>
      </c>
      <c r="O649" s="122">
        <f t="shared" si="1"/>
        <v>0.3275862069</v>
      </c>
      <c r="P649" s="123">
        <f t="shared" si="5"/>
        <v>276.2222222</v>
      </c>
      <c r="Q649" s="123">
        <f t="shared" si="2"/>
        <v>0.5277777778</v>
      </c>
      <c r="R649" s="123">
        <f t="shared" si="6"/>
        <v>0.5</v>
      </c>
      <c r="S649" s="123">
        <f t="shared" si="3"/>
        <v>1</v>
      </c>
      <c r="T649" s="123">
        <f t="shared" si="4"/>
        <v>1.611111111</v>
      </c>
      <c r="U649" s="41">
        <v>4.0</v>
      </c>
      <c r="V649" s="41">
        <v>1.0</v>
      </c>
      <c r="W649" s="41">
        <v>0.0</v>
      </c>
      <c r="X649" s="41">
        <v>3.0</v>
      </c>
      <c r="Y649" s="41">
        <v>17.0</v>
      </c>
      <c r="Z649" s="41">
        <v>23.0</v>
      </c>
    </row>
    <row r="650">
      <c r="A650" s="41" t="s">
        <v>904</v>
      </c>
      <c r="B650" s="41" t="s">
        <v>724</v>
      </c>
      <c r="C650" s="41" t="s">
        <v>1848</v>
      </c>
      <c r="D650" s="41" t="s">
        <v>1379</v>
      </c>
      <c r="E650" s="41">
        <v>35.0</v>
      </c>
      <c r="F650" s="41">
        <v>9.0</v>
      </c>
      <c r="G650" s="41">
        <v>26.0</v>
      </c>
      <c r="H650" s="125">
        <v>0.2571428571428571</v>
      </c>
      <c r="I650" s="41">
        <v>1.0</v>
      </c>
      <c r="J650" s="41">
        <v>10029.0</v>
      </c>
      <c r="K650" s="41">
        <v>16.0</v>
      </c>
      <c r="L650" s="41">
        <v>11.0</v>
      </c>
      <c r="M650" s="41">
        <v>52.0</v>
      </c>
      <c r="N650" s="41">
        <v>61.0</v>
      </c>
      <c r="O650" s="122">
        <f t="shared" si="1"/>
        <v>0.262295082</v>
      </c>
      <c r="P650" s="123">
        <f t="shared" si="5"/>
        <v>286.5428571</v>
      </c>
      <c r="Q650" s="123">
        <f t="shared" si="2"/>
        <v>0.4571428571</v>
      </c>
      <c r="R650" s="123">
        <f t="shared" si="6"/>
        <v>0.3142857143</v>
      </c>
      <c r="S650" s="123">
        <f t="shared" si="3"/>
        <v>1.485714286</v>
      </c>
      <c r="T650" s="123">
        <f t="shared" si="4"/>
        <v>1.742857143</v>
      </c>
      <c r="U650" s="41">
        <v>2.0</v>
      </c>
      <c r="V650" s="41">
        <v>0.0</v>
      </c>
      <c r="W650" s="41">
        <v>0.0</v>
      </c>
      <c r="X650" s="41">
        <v>7.0</v>
      </c>
      <c r="Y650" s="41">
        <v>17.0</v>
      </c>
      <c r="Z650" s="41">
        <v>43.0</v>
      </c>
    </row>
    <row r="651">
      <c r="A651" s="41" t="s">
        <v>909</v>
      </c>
      <c r="B651" s="41" t="s">
        <v>78</v>
      </c>
      <c r="C651" s="41" t="s">
        <v>1849</v>
      </c>
      <c r="D651" s="41" t="s">
        <v>1850</v>
      </c>
      <c r="E651" s="41">
        <v>50.0</v>
      </c>
      <c r="F651" s="41">
        <v>31.0</v>
      </c>
      <c r="G651" s="41">
        <v>19.0</v>
      </c>
      <c r="H651" s="125">
        <v>0.62</v>
      </c>
      <c r="I651" s="41">
        <v>11.0</v>
      </c>
      <c r="J651" s="41">
        <v>17383.0</v>
      </c>
      <c r="K651" s="41">
        <v>48.0</v>
      </c>
      <c r="L651" s="41">
        <v>29.0</v>
      </c>
      <c r="M651" s="41">
        <v>63.0</v>
      </c>
      <c r="N651" s="41">
        <v>121.0</v>
      </c>
      <c r="O651" s="122">
        <f t="shared" si="1"/>
        <v>0.3966942149</v>
      </c>
      <c r="P651" s="123">
        <f t="shared" si="5"/>
        <v>347.66</v>
      </c>
      <c r="Q651" s="123">
        <f t="shared" si="2"/>
        <v>0.96</v>
      </c>
      <c r="R651" s="123">
        <f t="shared" si="6"/>
        <v>0.58</v>
      </c>
      <c r="S651" s="123">
        <f t="shared" si="3"/>
        <v>1.26</v>
      </c>
      <c r="T651" s="123">
        <f t="shared" si="4"/>
        <v>2.42</v>
      </c>
      <c r="U651" s="41">
        <v>7.0</v>
      </c>
      <c r="V651" s="41">
        <v>4.0</v>
      </c>
      <c r="W651" s="41">
        <v>2.0</v>
      </c>
      <c r="X651" s="41">
        <v>7.0</v>
      </c>
      <c r="Y651" s="41">
        <v>32.0</v>
      </c>
      <c r="Z651" s="41">
        <v>33.0</v>
      </c>
    </row>
    <row r="652">
      <c r="A652" s="41" t="s">
        <v>904</v>
      </c>
      <c r="B652" s="41" t="s">
        <v>630</v>
      </c>
      <c r="C652" s="41" t="s">
        <v>1851</v>
      </c>
      <c r="D652" s="41" t="s">
        <v>1852</v>
      </c>
      <c r="E652" s="41">
        <v>35.0</v>
      </c>
      <c r="F652" s="41">
        <v>14.0</v>
      </c>
      <c r="G652" s="41">
        <v>21.0</v>
      </c>
      <c r="H652" s="125">
        <v>0.4</v>
      </c>
      <c r="I652" s="41">
        <v>7.0</v>
      </c>
      <c r="J652" s="41">
        <v>12524.0</v>
      </c>
      <c r="K652" s="41">
        <v>25.0</v>
      </c>
      <c r="L652" s="41">
        <v>22.0</v>
      </c>
      <c r="M652" s="41">
        <v>53.0</v>
      </c>
      <c r="N652" s="41">
        <v>79.0</v>
      </c>
      <c r="O652" s="122">
        <f t="shared" si="1"/>
        <v>0.3164556962</v>
      </c>
      <c r="P652" s="123">
        <f t="shared" si="5"/>
        <v>357.8285714</v>
      </c>
      <c r="Q652" s="123">
        <f t="shared" si="2"/>
        <v>0.7142857143</v>
      </c>
      <c r="R652" s="123">
        <f t="shared" si="6"/>
        <v>0.6285714286</v>
      </c>
      <c r="S652" s="123">
        <f t="shared" si="3"/>
        <v>1.514285714</v>
      </c>
      <c r="T652" s="123">
        <f t="shared" si="4"/>
        <v>2.257142857</v>
      </c>
      <c r="U652" s="41">
        <v>8.0</v>
      </c>
      <c r="V652" s="41">
        <v>1.0</v>
      </c>
      <c r="W652" s="41">
        <v>0.0</v>
      </c>
      <c r="X652" s="41">
        <v>9.0</v>
      </c>
      <c r="Y652" s="41">
        <v>27.0</v>
      </c>
      <c r="Z652" s="41">
        <v>26.0</v>
      </c>
    </row>
    <row r="653">
      <c r="A653" s="41" t="s">
        <v>897</v>
      </c>
      <c r="B653" s="41" t="s">
        <v>492</v>
      </c>
      <c r="C653" s="41" t="s">
        <v>1853</v>
      </c>
      <c r="D653" s="41" t="s">
        <v>1854</v>
      </c>
      <c r="E653" s="41">
        <v>35.0</v>
      </c>
      <c r="F653" s="41">
        <v>20.0</v>
      </c>
      <c r="G653" s="41">
        <v>15.0</v>
      </c>
      <c r="H653" s="125">
        <v>0.5714285714285714</v>
      </c>
      <c r="I653" s="41">
        <v>7.0</v>
      </c>
      <c r="J653" s="41">
        <v>14246.0</v>
      </c>
      <c r="K653" s="41">
        <v>32.0</v>
      </c>
      <c r="L653" s="41">
        <v>21.0</v>
      </c>
      <c r="M653" s="41">
        <v>66.0</v>
      </c>
      <c r="N653" s="41">
        <v>87.0</v>
      </c>
      <c r="O653" s="122">
        <f t="shared" si="1"/>
        <v>0.367816092</v>
      </c>
      <c r="P653" s="123">
        <f t="shared" si="5"/>
        <v>407.0285714</v>
      </c>
      <c r="Q653" s="123">
        <f t="shared" si="2"/>
        <v>0.9142857143</v>
      </c>
      <c r="R653" s="123">
        <f t="shared" si="6"/>
        <v>0.6</v>
      </c>
      <c r="S653" s="123">
        <f t="shared" si="3"/>
        <v>1.885714286</v>
      </c>
      <c r="T653" s="123">
        <f t="shared" si="4"/>
        <v>2.485714286</v>
      </c>
      <c r="U653" s="41">
        <v>13.0</v>
      </c>
      <c r="V653" s="41">
        <v>2.0</v>
      </c>
      <c r="W653" s="41">
        <v>0.0</v>
      </c>
      <c r="X653" s="41">
        <v>8.0</v>
      </c>
      <c r="Y653" s="41">
        <v>40.0</v>
      </c>
      <c r="Z653" s="41">
        <v>36.0</v>
      </c>
    </row>
    <row r="654">
      <c r="A654" s="41" t="s">
        <v>906</v>
      </c>
      <c r="B654" s="41" t="s">
        <v>529</v>
      </c>
      <c r="C654" s="41" t="s">
        <v>1855</v>
      </c>
      <c r="D654" s="41" t="s">
        <v>1778</v>
      </c>
      <c r="E654" s="41">
        <v>9.0</v>
      </c>
      <c r="F654" s="41">
        <v>3.0</v>
      </c>
      <c r="G654" s="41">
        <v>6.0</v>
      </c>
      <c r="H654" s="125">
        <v>0.3333333333333333</v>
      </c>
      <c r="I654" s="41">
        <v>0.0</v>
      </c>
      <c r="J654" s="41">
        <v>3401.0</v>
      </c>
      <c r="K654" s="41">
        <v>9.0</v>
      </c>
      <c r="L654" s="41">
        <v>5.0</v>
      </c>
      <c r="M654" s="41">
        <v>11.0</v>
      </c>
      <c r="N654" s="41">
        <v>22.0</v>
      </c>
      <c r="O654" s="122">
        <f t="shared" si="1"/>
        <v>0.4090909091</v>
      </c>
      <c r="P654" s="123">
        <f t="shared" si="5"/>
        <v>377.8888889</v>
      </c>
      <c r="Q654" s="123">
        <f t="shared" si="2"/>
        <v>1</v>
      </c>
      <c r="R654" s="123">
        <f t="shared" si="6"/>
        <v>0.5555555556</v>
      </c>
      <c r="S654" s="123">
        <f t="shared" si="3"/>
        <v>1.222222222</v>
      </c>
      <c r="T654" s="123">
        <f t="shared" si="4"/>
        <v>2.444444444</v>
      </c>
      <c r="U654" s="41">
        <v>0.0</v>
      </c>
      <c r="V654" s="41">
        <v>0.0</v>
      </c>
      <c r="W654" s="41">
        <v>0.0</v>
      </c>
      <c r="X654" s="41">
        <v>2.0</v>
      </c>
      <c r="Y654" s="41">
        <v>6.0</v>
      </c>
      <c r="Z654" s="41">
        <v>9.0</v>
      </c>
    </row>
    <row r="655">
      <c r="A655" s="41" t="s">
        <v>909</v>
      </c>
      <c r="B655" s="41" t="s">
        <v>103</v>
      </c>
      <c r="C655" s="41" t="s">
        <v>1856</v>
      </c>
      <c r="D655" s="41" t="s">
        <v>1293</v>
      </c>
      <c r="E655" s="41">
        <v>16.0</v>
      </c>
      <c r="F655" s="41">
        <v>5.0</v>
      </c>
      <c r="G655" s="41">
        <v>11.0</v>
      </c>
      <c r="H655" s="125">
        <v>0.3125</v>
      </c>
      <c r="I655" s="41">
        <v>0.0</v>
      </c>
      <c r="J655" s="41">
        <v>3739.0</v>
      </c>
      <c r="K655" s="41">
        <v>8.0</v>
      </c>
      <c r="L655" s="41">
        <v>5.0</v>
      </c>
      <c r="M655" s="41">
        <v>20.0</v>
      </c>
      <c r="N655" s="41">
        <v>19.0</v>
      </c>
      <c r="O655" s="122">
        <f t="shared" si="1"/>
        <v>0.4210526316</v>
      </c>
      <c r="P655" s="123">
        <f t="shared" si="5"/>
        <v>233.6875</v>
      </c>
      <c r="Q655" s="123">
        <f t="shared" si="2"/>
        <v>0.5</v>
      </c>
      <c r="R655" s="123">
        <f t="shared" si="6"/>
        <v>0.3125</v>
      </c>
      <c r="S655" s="123">
        <f t="shared" si="3"/>
        <v>1.25</v>
      </c>
      <c r="T655" s="123">
        <f t="shared" si="4"/>
        <v>1.1875</v>
      </c>
      <c r="U655" s="41">
        <v>1.0</v>
      </c>
      <c r="V655" s="41">
        <v>0.0</v>
      </c>
      <c r="W655" s="41">
        <v>0.0</v>
      </c>
      <c r="X655" s="41">
        <v>1.0</v>
      </c>
      <c r="Y655" s="41">
        <v>21.0</v>
      </c>
      <c r="Z655" s="41">
        <v>14.0</v>
      </c>
    </row>
    <row r="656">
      <c r="A656" s="41" t="s">
        <v>906</v>
      </c>
      <c r="B656" s="41" t="s">
        <v>552</v>
      </c>
      <c r="C656" s="41" t="s">
        <v>1857</v>
      </c>
      <c r="D656" s="41" t="s">
        <v>1858</v>
      </c>
      <c r="E656" s="41">
        <v>22.0</v>
      </c>
      <c r="F656" s="41">
        <v>6.0</v>
      </c>
      <c r="G656" s="41">
        <v>16.0</v>
      </c>
      <c r="H656" s="125">
        <v>0.2727272727272727</v>
      </c>
      <c r="I656" s="41">
        <v>2.0</v>
      </c>
      <c r="J656" s="41">
        <v>7243.0</v>
      </c>
      <c r="K656" s="41">
        <v>19.0</v>
      </c>
      <c r="L656" s="41">
        <v>11.0</v>
      </c>
      <c r="M656" s="41">
        <v>23.0</v>
      </c>
      <c r="N656" s="41">
        <v>54.0</v>
      </c>
      <c r="O656" s="122">
        <f t="shared" si="1"/>
        <v>0.3518518519</v>
      </c>
      <c r="P656" s="123">
        <f t="shared" si="5"/>
        <v>329.2272727</v>
      </c>
      <c r="Q656" s="123">
        <f t="shared" si="2"/>
        <v>0.8636363636</v>
      </c>
      <c r="R656" s="123">
        <f t="shared" si="6"/>
        <v>0.5</v>
      </c>
      <c r="S656" s="123">
        <f t="shared" si="3"/>
        <v>1.045454545</v>
      </c>
      <c r="T656" s="123">
        <f t="shared" si="4"/>
        <v>2.454545455</v>
      </c>
      <c r="U656" s="41">
        <v>4.0</v>
      </c>
      <c r="V656" s="41">
        <v>2.0</v>
      </c>
      <c r="W656" s="41">
        <v>0.0</v>
      </c>
      <c r="X656" s="41">
        <v>2.0</v>
      </c>
      <c r="Y656" s="41">
        <v>13.0</v>
      </c>
      <c r="Z656" s="41">
        <v>19.0</v>
      </c>
    </row>
    <row r="657">
      <c r="A657" s="41" t="s">
        <v>904</v>
      </c>
      <c r="B657" s="41" t="s">
        <v>684</v>
      </c>
      <c r="C657" s="41" t="s">
        <v>1859</v>
      </c>
      <c r="D657" s="41" t="s">
        <v>1379</v>
      </c>
      <c r="E657" s="41">
        <v>37.0</v>
      </c>
      <c r="F657" s="41">
        <v>11.0</v>
      </c>
      <c r="G657" s="41">
        <v>26.0</v>
      </c>
      <c r="H657" s="125">
        <v>0.2972972972972973</v>
      </c>
      <c r="I657" s="41">
        <v>4.0</v>
      </c>
      <c r="J657" s="41">
        <v>12913.0</v>
      </c>
      <c r="K657" s="41">
        <v>25.0</v>
      </c>
      <c r="L657" s="41">
        <v>16.0</v>
      </c>
      <c r="M657" s="41">
        <v>58.0</v>
      </c>
      <c r="N657" s="41">
        <v>89.0</v>
      </c>
      <c r="O657" s="122">
        <f t="shared" si="1"/>
        <v>0.2808988764</v>
      </c>
      <c r="P657" s="123">
        <f t="shared" si="5"/>
        <v>349</v>
      </c>
      <c r="Q657" s="123">
        <f t="shared" si="2"/>
        <v>0.6756756757</v>
      </c>
      <c r="R657" s="123">
        <f t="shared" si="6"/>
        <v>0.4324324324</v>
      </c>
      <c r="S657" s="123">
        <f t="shared" si="3"/>
        <v>1.567567568</v>
      </c>
      <c r="T657" s="123">
        <f t="shared" si="4"/>
        <v>2.405405405</v>
      </c>
      <c r="U657" s="41">
        <v>6.0</v>
      </c>
      <c r="V657" s="41">
        <v>1.0</v>
      </c>
      <c r="W657" s="41">
        <v>0.0</v>
      </c>
      <c r="X657" s="41">
        <v>7.0</v>
      </c>
      <c r="Y657" s="41">
        <v>31.0</v>
      </c>
      <c r="Z657" s="41">
        <v>32.0</v>
      </c>
    </row>
    <row r="658">
      <c r="A658" s="41" t="s">
        <v>901</v>
      </c>
      <c r="B658" s="41" t="s">
        <v>266</v>
      </c>
      <c r="C658" s="41" t="s">
        <v>1860</v>
      </c>
      <c r="D658" s="41" t="s">
        <v>1122</v>
      </c>
      <c r="E658" s="41">
        <v>52.0</v>
      </c>
      <c r="F658" s="41">
        <v>26.0</v>
      </c>
      <c r="G658" s="41">
        <v>26.0</v>
      </c>
      <c r="H658" s="125">
        <v>0.5</v>
      </c>
      <c r="I658" s="41">
        <v>10.0</v>
      </c>
      <c r="J658" s="41">
        <v>21687.0</v>
      </c>
      <c r="K658" s="41">
        <v>58.0</v>
      </c>
      <c r="L658" s="41">
        <v>37.0</v>
      </c>
      <c r="M658" s="41">
        <v>67.0</v>
      </c>
      <c r="N658" s="41">
        <v>169.0</v>
      </c>
      <c r="O658" s="122">
        <f t="shared" si="1"/>
        <v>0.3431952663</v>
      </c>
      <c r="P658" s="123">
        <f t="shared" si="5"/>
        <v>417.0576923</v>
      </c>
      <c r="Q658" s="123">
        <f t="shared" si="2"/>
        <v>1.115384615</v>
      </c>
      <c r="R658" s="123">
        <f t="shared" si="6"/>
        <v>0.7115384615</v>
      </c>
      <c r="S658" s="123">
        <f t="shared" si="3"/>
        <v>1.288461538</v>
      </c>
      <c r="T658" s="123">
        <f t="shared" si="4"/>
        <v>3.25</v>
      </c>
      <c r="U658" s="41">
        <v>18.0</v>
      </c>
      <c r="V658" s="41">
        <v>4.0</v>
      </c>
      <c r="W658" s="41">
        <v>1.0</v>
      </c>
      <c r="X658" s="41">
        <v>8.0</v>
      </c>
      <c r="Y658" s="41">
        <v>83.0</v>
      </c>
      <c r="Z658" s="41">
        <v>31.0</v>
      </c>
    </row>
    <row r="659">
      <c r="A659" s="41" t="s">
        <v>905</v>
      </c>
      <c r="B659" s="41" t="s">
        <v>156</v>
      </c>
      <c r="C659" s="41" t="s">
        <v>1861</v>
      </c>
      <c r="D659" s="41" t="s">
        <v>1023</v>
      </c>
      <c r="E659" s="41">
        <v>55.0</v>
      </c>
      <c r="F659" s="41">
        <v>35.0</v>
      </c>
      <c r="G659" s="41">
        <v>20.0</v>
      </c>
      <c r="H659" s="125">
        <v>0.6363636363636364</v>
      </c>
      <c r="I659" s="41">
        <v>8.0</v>
      </c>
      <c r="J659" s="41">
        <v>17125.0</v>
      </c>
      <c r="K659" s="41">
        <v>43.0</v>
      </c>
      <c r="L659" s="41">
        <v>30.0</v>
      </c>
      <c r="M659" s="41">
        <v>45.0</v>
      </c>
      <c r="N659" s="41">
        <v>144.0</v>
      </c>
      <c r="O659" s="122">
        <f t="shared" si="1"/>
        <v>0.2986111111</v>
      </c>
      <c r="P659" s="123">
        <f t="shared" si="5"/>
        <v>311.3636364</v>
      </c>
      <c r="Q659" s="123">
        <f t="shared" si="2"/>
        <v>0.7818181818</v>
      </c>
      <c r="R659" s="123">
        <f t="shared" si="6"/>
        <v>0.5454545455</v>
      </c>
      <c r="S659" s="123">
        <f t="shared" si="3"/>
        <v>0.8181818182</v>
      </c>
      <c r="T659" s="123">
        <f t="shared" si="4"/>
        <v>2.618181818</v>
      </c>
      <c r="U659" s="41">
        <v>10.0</v>
      </c>
      <c r="V659" s="41">
        <v>0.0</v>
      </c>
      <c r="W659" s="41">
        <v>2.0</v>
      </c>
      <c r="X659" s="41">
        <v>1.0</v>
      </c>
      <c r="Y659" s="41">
        <v>27.0</v>
      </c>
      <c r="Z659" s="41">
        <v>58.0</v>
      </c>
    </row>
    <row r="660">
      <c r="A660" s="41" t="s">
        <v>904</v>
      </c>
      <c r="B660" s="41" t="s">
        <v>187</v>
      </c>
      <c r="C660" s="41" t="s">
        <v>1862</v>
      </c>
      <c r="D660" s="41" t="s">
        <v>1017</v>
      </c>
      <c r="E660" s="41">
        <v>11.0</v>
      </c>
      <c r="F660" s="41">
        <v>0.0</v>
      </c>
      <c r="G660" s="41">
        <v>11.0</v>
      </c>
      <c r="H660" s="125">
        <v>0.0</v>
      </c>
      <c r="I660" s="41">
        <v>0.0</v>
      </c>
      <c r="J660" s="41">
        <v>2605.0</v>
      </c>
      <c r="K660" s="41">
        <v>3.0</v>
      </c>
      <c r="L660" s="41">
        <v>5.0</v>
      </c>
      <c r="M660" s="41">
        <v>16.0</v>
      </c>
      <c r="N660" s="41">
        <v>10.0</v>
      </c>
      <c r="O660" s="122">
        <f t="shared" si="1"/>
        <v>0.3</v>
      </c>
      <c r="P660" s="123">
        <f t="shared" si="5"/>
        <v>236.8181818</v>
      </c>
      <c r="Q660" s="123">
        <f t="shared" si="2"/>
        <v>0.2727272727</v>
      </c>
      <c r="R660" s="123">
        <f t="shared" si="6"/>
        <v>0.4545454545</v>
      </c>
      <c r="S660" s="123">
        <f t="shared" si="3"/>
        <v>1.454545455</v>
      </c>
      <c r="T660" s="123">
        <f t="shared" si="4"/>
        <v>0.9090909091</v>
      </c>
      <c r="U660" s="41">
        <v>0.0</v>
      </c>
      <c r="V660" s="41">
        <v>0.0</v>
      </c>
      <c r="W660" s="41">
        <v>0.0</v>
      </c>
      <c r="X660" s="41">
        <v>2.0</v>
      </c>
      <c r="Y660" s="41">
        <v>17.0</v>
      </c>
      <c r="Z660" s="41">
        <v>19.0</v>
      </c>
    </row>
    <row r="661">
      <c r="A661" s="41" t="s">
        <v>905</v>
      </c>
      <c r="B661" s="41" t="s">
        <v>187</v>
      </c>
      <c r="C661" s="41" t="s">
        <v>1862</v>
      </c>
      <c r="D661" s="41" t="s">
        <v>1065</v>
      </c>
      <c r="E661" s="41">
        <v>38.0</v>
      </c>
      <c r="F661" s="41">
        <v>20.0</v>
      </c>
      <c r="G661" s="41">
        <v>18.0</v>
      </c>
      <c r="H661" s="125">
        <v>0.5263157894736842</v>
      </c>
      <c r="I661" s="41">
        <v>7.0</v>
      </c>
      <c r="J661" s="41">
        <v>13238.0</v>
      </c>
      <c r="K661" s="41">
        <v>26.0</v>
      </c>
      <c r="L661" s="41">
        <v>23.0</v>
      </c>
      <c r="M661" s="41">
        <v>60.0</v>
      </c>
      <c r="N661" s="41">
        <v>73.0</v>
      </c>
      <c r="O661" s="122">
        <f t="shared" si="1"/>
        <v>0.3561643836</v>
      </c>
      <c r="P661" s="123">
        <f t="shared" si="5"/>
        <v>348.3684211</v>
      </c>
      <c r="Q661" s="123">
        <f t="shared" si="2"/>
        <v>0.6842105263</v>
      </c>
      <c r="R661" s="123">
        <f t="shared" si="6"/>
        <v>0.6052631579</v>
      </c>
      <c r="S661" s="123">
        <f t="shared" si="3"/>
        <v>1.578947368</v>
      </c>
      <c r="T661" s="123">
        <f t="shared" si="4"/>
        <v>1.921052632</v>
      </c>
      <c r="U661" s="41">
        <v>7.0</v>
      </c>
      <c r="V661" s="41">
        <v>0.0</v>
      </c>
      <c r="W661" s="41">
        <v>1.0</v>
      </c>
      <c r="X661" s="41">
        <v>9.0</v>
      </c>
      <c r="Y661" s="41">
        <v>53.0</v>
      </c>
      <c r="Z661" s="41">
        <v>33.0</v>
      </c>
    </row>
    <row r="662">
      <c r="A662" s="41" t="s">
        <v>902</v>
      </c>
      <c r="B662" s="41" t="s">
        <v>759</v>
      </c>
      <c r="C662" s="41" t="s">
        <v>1863</v>
      </c>
      <c r="D662" s="41" t="s">
        <v>1019</v>
      </c>
      <c r="E662" s="41">
        <v>56.0</v>
      </c>
      <c r="F662" s="41">
        <v>34.0</v>
      </c>
      <c r="G662" s="41">
        <v>22.0</v>
      </c>
      <c r="H662" s="125">
        <v>0.6071428571428571</v>
      </c>
      <c r="I662" s="41">
        <v>11.0</v>
      </c>
      <c r="J662" s="41">
        <v>19719.0</v>
      </c>
      <c r="K662" s="41">
        <v>49.0</v>
      </c>
      <c r="L662" s="41">
        <v>34.0</v>
      </c>
      <c r="M662" s="41">
        <v>68.0</v>
      </c>
      <c r="N662" s="41">
        <v>184.0</v>
      </c>
      <c r="O662" s="122">
        <f t="shared" si="1"/>
        <v>0.2663043478</v>
      </c>
      <c r="P662" s="123">
        <f t="shared" si="5"/>
        <v>352.125</v>
      </c>
      <c r="Q662" s="123">
        <f t="shared" si="2"/>
        <v>0.875</v>
      </c>
      <c r="R662" s="123">
        <f t="shared" si="6"/>
        <v>0.6071428571</v>
      </c>
      <c r="S662" s="123">
        <f t="shared" si="3"/>
        <v>1.214285714</v>
      </c>
      <c r="T662" s="123">
        <f t="shared" si="4"/>
        <v>3.285714286</v>
      </c>
      <c r="U662" s="41">
        <v>9.0</v>
      </c>
      <c r="V662" s="41">
        <v>5.0</v>
      </c>
      <c r="W662" s="41">
        <v>1.0</v>
      </c>
      <c r="X662" s="41">
        <v>6.0</v>
      </c>
      <c r="Y662" s="41">
        <v>71.0</v>
      </c>
      <c r="Z662" s="41">
        <v>76.0</v>
      </c>
    </row>
    <row r="663">
      <c r="A663" s="41" t="s">
        <v>901</v>
      </c>
      <c r="B663" s="41" t="s">
        <v>304</v>
      </c>
      <c r="C663" s="41" t="s">
        <v>1864</v>
      </c>
      <c r="D663" s="41" t="s">
        <v>1640</v>
      </c>
      <c r="E663" s="41">
        <v>38.0</v>
      </c>
      <c r="F663" s="41">
        <v>21.0</v>
      </c>
      <c r="G663" s="41">
        <v>17.0</v>
      </c>
      <c r="H663" s="125">
        <v>0.5526315789473685</v>
      </c>
      <c r="I663" s="41">
        <v>4.0</v>
      </c>
      <c r="J663" s="41">
        <v>12747.0</v>
      </c>
      <c r="K663" s="41">
        <v>36.0</v>
      </c>
      <c r="L663" s="41">
        <v>23.0</v>
      </c>
      <c r="M663" s="41">
        <v>21.0</v>
      </c>
      <c r="N663" s="41">
        <v>144.0</v>
      </c>
      <c r="O663" s="122">
        <f t="shared" si="1"/>
        <v>0.25</v>
      </c>
      <c r="P663" s="123">
        <f t="shared" si="5"/>
        <v>335.4473684</v>
      </c>
      <c r="Q663" s="123">
        <f t="shared" si="2"/>
        <v>0.9473684211</v>
      </c>
      <c r="R663" s="123">
        <f t="shared" si="6"/>
        <v>0.6052631579</v>
      </c>
      <c r="S663" s="123">
        <f t="shared" si="3"/>
        <v>0.5526315789</v>
      </c>
      <c r="T663" s="123">
        <f t="shared" si="4"/>
        <v>3.789473684</v>
      </c>
      <c r="U663" s="41">
        <v>3.0</v>
      </c>
      <c r="V663" s="41">
        <v>3.0</v>
      </c>
      <c r="W663" s="41">
        <v>1.0</v>
      </c>
      <c r="X663" s="41">
        <v>0.0</v>
      </c>
      <c r="Y663" s="41">
        <v>65.0</v>
      </c>
      <c r="Z663" s="41">
        <v>56.0</v>
      </c>
    </row>
    <row r="664">
      <c r="A664" s="41" t="s">
        <v>902</v>
      </c>
      <c r="B664" s="41" t="s">
        <v>763</v>
      </c>
      <c r="C664" s="41" t="s">
        <v>1865</v>
      </c>
      <c r="D664" s="41" t="s">
        <v>946</v>
      </c>
      <c r="E664" s="41">
        <v>41.0</v>
      </c>
      <c r="F664" s="41">
        <v>24.0</v>
      </c>
      <c r="G664" s="41">
        <v>17.0</v>
      </c>
      <c r="H664" s="125">
        <v>0.5853658536585366</v>
      </c>
      <c r="I664" s="41">
        <v>10.0</v>
      </c>
      <c r="J664" s="41">
        <v>14772.0</v>
      </c>
      <c r="K664" s="41">
        <v>35.0</v>
      </c>
      <c r="L664" s="41">
        <v>33.0</v>
      </c>
      <c r="M664" s="41">
        <v>53.0</v>
      </c>
      <c r="N664" s="41">
        <v>100.0</v>
      </c>
      <c r="O664" s="122">
        <f t="shared" si="1"/>
        <v>0.35</v>
      </c>
      <c r="P664" s="123">
        <f t="shared" si="5"/>
        <v>360.2926829</v>
      </c>
      <c r="Q664" s="123">
        <f t="shared" si="2"/>
        <v>0.8536585366</v>
      </c>
      <c r="R664" s="123">
        <f t="shared" si="6"/>
        <v>0.8048780488</v>
      </c>
      <c r="S664" s="123">
        <f t="shared" si="3"/>
        <v>1.292682927</v>
      </c>
      <c r="T664" s="123">
        <f t="shared" si="4"/>
        <v>2.43902439</v>
      </c>
      <c r="U664" s="41">
        <v>13.0</v>
      </c>
      <c r="V664" s="41">
        <v>2.0</v>
      </c>
      <c r="W664" s="41">
        <v>1.0</v>
      </c>
      <c r="X664" s="41">
        <v>3.0</v>
      </c>
      <c r="Y664" s="41">
        <v>67.0</v>
      </c>
      <c r="Z664" s="41">
        <v>30.0</v>
      </c>
    </row>
    <row r="665">
      <c r="A665" s="41" t="s">
        <v>899</v>
      </c>
      <c r="B665" s="41" t="s">
        <v>438</v>
      </c>
      <c r="C665" s="41" t="s">
        <v>1866</v>
      </c>
      <c r="D665" s="41" t="s">
        <v>988</v>
      </c>
      <c r="E665" s="41">
        <v>56.0</v>
      </c>
      <c r="F665" s="41">
        <v>33.0</v>
      </c>
      <c r="G665" s="41">
        <v>23.0</v>
      </c>
      <c r="H665" s="125">
        <v>0.5892857142857143</v>
      </c>
      <c r="I665" s="41">
        <v>11.0</v>
      </c>
      <c r="J665" s="41">
        <v>19617.0</v>
      </c>
      <c r="K665" s="41">
        <v>45.0</v>
      </c>
      <c r="L665" s="41">
        <v>20.0</v>
      </c>
      <c r="M665" s="41">
        <v>81.0</v>
      </c>
      <c r="N665" s="41">
        <v>158.0</v>
      </c>
      <c r="O665" s="122">
        <f t="shared" si="1"/>
        <v>0.2848101266</v>
      </c>
      <c r="P665" s="123">
        <f t="shared" si="5"/>
        <v>350.3035714</v>
      </c>
      <c r="Q665" s="123">
        <f t="shared" si="2"/>
        <v>0.8035714286</v>
      </c>
      <c r="R665" s="123">
        <f t="shared" si="6"/>
        <v>0.3571428571</v>
      </c>
      <c r="S665" s="123">
        <f t="shared" si="3"/>
        <v>1.446428571</v>
      </c>
      <c r="T665" s="123">
        <f t="shared" si="4"/>
        <v>2.821428571</v>
      </c>
      <c r="U665" s="41">
        <v>9.0</v>
      </c>
      <c r="V665" s="41">
        <v>4.0</v>
      </c>
      <c r="W665" s="41">
        <v>0.0</v>
      </c>
      <c r="X665" s="41">
        <v>15.0</v>
      </c>
      <c r="Y665" s="41">
        <v>40.0</v>
      </c>
      <c r="Z665" s="41">
        <v>63.0</v>
      </c>
    </row>
    <row r="666">
      <c r="A666" s="41" t="s">
        <v>902</v>
      </c>
      <c r="B666" s="41" t="s">
        <v>794</v>
      </c>
      <c r="C666" s="41" t="s">
        <v>1867</v>
      </c>
      <c r="D666" s="41" t="s">
        <v>1868</v>
      </c>
      <c r="E666" s="41">
        <v>11.0</v>
      </c>
      <c r="F666" s="41">
        <v>4.0</v>
      </c>
      <c r="G666" s="41">
        <v>7.0</v>
      </c>
      <c r="H666" s="125">
        <v>0.36363636363636365</v>
      </c>
      <c r="I666" s="41">
        <v>2.0</v>
      </c>
      <c r="J666" s="41">
        <v>3669.0</v>
      </c>
      <c r="K666" s="41">
        <v>10.0</v>
      </c>
      <c r="L666" s="41">
        <v>7.0</v>
      </c>
      <c r="M666" s="41">
        <v>13.0</v>
      </c>
      <c r="N666" s="41">
        <v>30.0</v>
      </c>
      <c r="O666" s="122">
        <f t="shared" si="1"/>
        <v>0.3333333333</v>
      </c>
      <c r="P666" s="123">
        <f t="shared" si="5"/>
        <v>333.5454545</v>
      </c>
      <c r="Q666" s="123">
        <f t="shared" si="2"/>
        <v>0.9090909091</v>
      </c>
      <c r="R666" s="123">
        <f t="shared" si="6"/>
        <v>0.6363636364</v>
      </c>
      <c r="S666" s="123">
        <f t="shared" si="3"/>
        <v>1.181818182</v>
      </c>
      <c r="T666" s="123">
        <f t="shared" si="4"/>
        <v>2.727272727</v>
      </c>
      <c r="U666" s="41">
        <v>4.0</v>
      </c>
      <c r="V666" s="41">
        <v>0.0</v>
      </c>
      <c r="W666" s="41">
        <v>0.0</v>
      </c>
      <c r="X666" s="41">
        <v>2.0</v>
      </c>
      <c r="Y666" s="41">
        <v>12.0</v>
      </c>
      <c r="Z666" s="41">
        <v>7.0</v>
      </c>
    </row>
    <row r="667">
      <c r="A667" s="41" t="s">
        <v>904</v>
      </c>
      <c r="B667" s="41" t="s">
        <v>610</v>
      </c>
      <c r="C667" s="41" t="s">
        <v>1869</v>
      </c>
      <c r="D667" s="41" t="s">
        <v>1394</v>
      </c>
      <c r="E667" s="41">
        <v>55.0</v>
      </c>
      <c r="F667" s="41">
        <v>35.0</v>
      </c>
      <c r="G667" s="41">
        <v>20.0</v>
      </c>
      <c r="H667" s="125">
        <v>0.6363636363636364</v>
      </c>
      <c r="I667" s="41">
        <v>11.0</v>
      </c>
      <c r="J667" s="41">
        <v>17762.0</v>
      </c>
      <c r="K667" s="41">
        <v>48.0</v>
      </c>
      <c r="L667" s="41">
        <v>30.0</v>
      </c>
      <c r="M667" s="41">
        <v>54.0</v>
      </c>
      <c r="N667" s="41">
        <v>162.0</v>
      </c>
      <c r="O667" s="122">
        <f t="shared" si="1"/>
        <v>0.2962962963</v>
      </c>
      <c r="P667" s="123">
        <f t="shared" si="5"/>
        <v>322.9454545</v>
      </c>
      <c r="Q667" s="123">
        <f t="shared" si="2"/>
        <v>0.8727272727</v>
      </c>
      <c r="R667" s="123">
        <f t="shared" si="6"/>
        <v>0.5454545455</v>
      </c>
      <c r="S667" s="123">
        <f t="shared" si="3"/>
        <v>0.9818181818</v>
      </c>
      <c r="T667" s="123">
        <f t="shared" si="4"/>
        <v>2.945454545</v>
      </c>
      <c r="U667" s="41">
        <v>7.0</v>
      </c>
      <c r="V667" s="41">
        <v>4.0</v>
      </c>
      <c r="W667" s="41">
        <v>1.0</v>
      </c>
      <c r="X667" s="41">
        <v>4.0</v>
      </c>
      <c r="Y667" s="41">
        <v>47.0</v>
      </c>
      <c r="Z667" s="41">
        <v>54.0</v>
      </c>
    </row>
    <row r="668">
      <c r="A668" s="41" t="s">
        <v>905</v>
      </c>
      <c r="B668" s="41" t="s">
        <v>252</v>
      </c>
      <c r="C668" s="41" t="s">
        <v>1870</v>
      </c>
      <c r="D668" s="41" t="s">
        <v>1507</v>
      </c>
      <c r="E668" s="41">
        <v>37.0</v>
      </c>
      <c r="F668" s="41">
        <v>9.0</v>
      </c>
      <c r="G668" s="41">
        <v>28.0</v>
      </c>
      <c r="H668" s="125">
        <v>0.24324324324324326</v>
      </c>
      <c r="I668" s="41">
        <v>2.0</v>
      </c>
      <c r="J668" s="41">
        <v>10024.0</v>
      </c>
      <c r="K668" s="41">
        <v>14.0</v>
      </c>
      <c r="L668" s="41">
        <v>11.0</v>
      </c>
      <c r="M668" s="41">
        <v>54.0</v>
      </c>
      <c r="N668" s="41">
        <v>47.0</v>
      </c>
      <c r="O668" s="122">
        <f t="shared" si="1"/>
        <v>0.2978723404</v>
      </c>
      <c r="P668" s="123">
        <f t="shared" si="5"/>
        <v>270.9189189</v>
      </c>
      <c r="Q668" s="123">
        <f t="shared" si="2"/>
        <v>0.3783783784</v>
      </c>
      <c r="R668" s="123">
        <f t="shared" si="6"/>
        <v>0.2972972973</v>
      </c>
      <c r="S668" s="123">
        <f t="shared" si="3"/>
        <v>1.459459459</v>
      </c>
      <c r="T668" s="123">
        <f t="shared" si="4"/>
        <v>1.27027027</v>
      </c>
      <c r="U668" s="41">
        <v>3.0</v>
      </c>
      <c r="V668" s="41">
        <v>1.0</v>
      </c>
      <c r="W668" s="41">
        <v>0.0</v>
      </c>
      <c r="X668" s="41">
        <v>7.0</v>
      </c>
      <c r="Y668" s="41">
        <v>20.0</v>
      </c>
      <c r="Z668" s="41">
        <v>44.0</v>
      </c>
    </row>
    <row r="669">
      <c r="A669" s="41" t="s">
        <v>909</v>
      </c>
      <c r="B669" s="41" t="s">
        <v>70</v>
      </c>
      <c r="C669" s="41" t="s">
        <v>1871</v>
      </c>
      <c r="D669" s="41" t="s">
        <v>1695</v>
      </c>
      <c r="E669" s="41">
        <v>43.0</v>
      </c>
      <c r="F669" s="41">
        <v>26.0</v>
      </c>
      <c r="G669" s="41">
        <v>17.0</v>
      </c>
      <c r="H669" s="125">
        <v>0.6046511627906976</v>
      </c>
      <c r="I669" s="41">
        <v>13.0</v>
      </c>
      <c r="J669" s="41">
        <v>15291.0</v>
      </c>
      <c r="K669" s="41">
        <v>48.0</v>
      </c>
      <c r="L669" s="41">
        <v>23.0</v>
      </c>
      <c r="M669" s="41">
        <v>37.0</v>
      </c>
      <c r="N669" s="41">
        <v>112.0</v>
      </c>
      <c r="O669" s="122">
        <f t="shared" si="1"/>
        <v>0.4285714286</v>
      </c>
      <c r="P669" s="123">
        <f t="shared" si="5"/>
        <v>355.6046512</v>
      </c>
      <c r="Q669" s="123">
        <f t="shared" si="2"/>
        <v>1.11627907</v>
      </c>
      <c r="R669" s="123">
        <f t="shared" si="6"/>
        <v>0.5348837209</v>
      </c>
      <c r="S669" s="123">
        <f t="shared" si="3"/>
        <v>0.8604651163</v>
      </c>
      <c r="T669" s="123">
        <f t="shared" si="4"/>
        <v>2.604651163</v>
      </c>
      <c r="U669" s="41">
        <v>6.0</v>
      </c>
      <c r="V669" s="41">
        <v>4.0</v>
      </c>
      <c r="W669" s="41">
        <v>3.0</v>
      </c>
      <c r="X669" s="41">
        <v>0.0</v>
      </c>
      <c r="Y669" s="41">
        <v>30.0</v>
      </c>
      <c r="Z669" s="41">
        <v>24.0</v>
      </c>
    </row>
    <row r="670">
      <c r="A670" s="41" t="s">
        <v>906</v>
      </c>
      <c r="B670" s="41" t="s">
        <v>524</v>
      </c>
      <c r="C670" s="41" t="s">
        <v>1872</v>
      </c>
      <c r="D670" s="41" t="s">
        <v>992</v>
      </c>
      <c r="E670" s="41">
        <v>55.0</v>
      </c>
      <c r="F670" s="41">
        <v>36.0</v>
      </c>
      <c r="G670" s="41">
        <v>19.0</v>
      </c>
      <c r="H670" s="125">
        <v>0.6545454545454545</v>
      </c>
      <c r="I670" s="41">
        <v>15.0</v>
      </c>
      <c r="J670" s="41">
        <v>20417.0</v>
      </c>
      <c r="K670" s="41">
        <v>53.0</v>
      </c>
      <c r="L670" s="41">
        <v>29.0</v>
      </c>
      <c r="M670" s="41">
        <v>68.0</v>
      </c>
      <c r="N670" s="41">
        <v>150.0</v>
      </c>
      <c r="O670" s="122">
        <f t="shared" si="1"/>
        <v>0.3533333333</v>
      </c>
      <c r="P670" s="123">
        <f t="shared" si="5"/>
        <v>371.2181818</v>
      </c>
      <c r="Q670" s="123">
        <f t="shared" si="2"/>
        <v>0.9636363636</v>
      </c>
      <c r="R670" s="123">
        <f t="shared" si="6"/>
        <v>0.5272727273</v>
      </c>
      <c r="S670" s="123">
        <f t="shared" si="3"/>
        <v>1.236363636</v>
      </c>
      <c r="T670" s="123">
        <f t="shared" si="4"/>
        <v>2.727272727</v>
      </c>
      <c r="U670" s="41">
        <v>9.0</v>
      </c>
      <c r="V670" s="41">
        <v>6.0</v>
      </c>
      <c r="W670" s="41">
        <v>1.0</v>
      </c>
      <c r="X670" s="41">
        <v>7.0</v>
      </c>
      <c r="Y670" s="41">
        <v>52.0</v>
      </c>
      <c r="Z670" s="41">
        <v>52.0</v>
      </c>
    </row>
    <row r="671">
      <c r="A671" s="41" t="s">
        <v>905</v>
      </c>
      <c r="B671" s="41" t="s">
        <v>219</v>
      </c>
      <c r="C671" s="41" t="s">
        <v>1873</v>
      </c>
      <c r="D671" s="41" t="s">
        <v>1874</v>
      </c>
      <c r="E671" s="41">
        <v>45.0</v>
      </c>
      <c r="F671" s="41">
        <v>21.0</v>
      </c>
      <c r="G671" s="41">
        <v>24.0</v>
      </c>
      <c r="H671" s="125">
        <v>0.4666666666666667</v>
      </c>
      <c r="I671" s="41">
        <v>6.0</v>
      </c>
      <c r="J671" s="41">
        <v>13682.0</v>
      </c>
      <c r="K671" s="41">
        <v>24.0</v>
      </c>
      <c r="L671" s="41">
        <v>25.0</v>
      </c>
      <c r="M671" s="41">
        <v>63.0</v>
      </c>
      <c r="N671" s="41">
        <v>77.0</v>
      </c>
      <c r="O671" s="122">
        <f t="shared" si="1"/>
        <v>0.3116883117</v>
      </c>
      <c r="P671" s="123">
        <f t="shared" si="5"/>
        <v>304.0444444</v>
      </c>
      <c r="Q671" s="123">
        <f t="shared" si="2"/>
        <v>0.5333333333</v>
      </c>
      <c r="R671" s="123">
        <f t="shared" si="6"/>
        <v>0.5555555556</v>
      </c>
      <c r="S671" s="123">
        <f t="shared" si="3"/>
        <v>1.4</v>
      </c>
      <c r="T671" s="123">
        <f t="shared" si="4"/>
        <v>1.711111111</v>
      </c>
      <c r="U671" s="41">
        <v>6.0</v>
      </c>
      <c r="V671" s="41">
        <v>0.0</v>
      </c>
      <c r="W671" s="41">
        <v>2.0</v>
      </c>
      <c r="X671" s="41">
        <v>8.0</v>
      </c>
      <c r="Y671" s="41">
        <v>102.0</v>
      </c>
      <c r="Z671" s="41">
        <v>48.0</v>
      </c>
    </row>
    <row r="672">
      <c r="A672" s="41" t="s">
        <v>904</v>
      </c>
      <c r="B672" s="41" t="s">
        <v>631</v>
      </c>
      <c r="C672" s="41" t="s">
        <v>1875</v>
      </c>
      <c r="D672" s="41" t="s">
        <v>1338</v>
      </c>
      <c r="E672" s="41">
        <v>43.0</v>
      </c>
      <c r="F672" s="41">
        <v>19.0</v>
      </c>
      <c r="G672" s="41">
        <v>24.0</v>
      </c>
      <c r="H672" s="125">
        <v>0.4418604651162791</v>
      </c>
      <c r="I672" s="41">
        <v>6.0</v>
      </c>
      <c r="J672" s="41">
        <v>14951.0</v>
      </c>
      <c r="K672" s="41">
        <v>36.0</v>
      </c>
      <c r="L672" s="41">
        <v>22.0</v>
      </c>
      <c r="M672" s="41">
        <v>48.0</v>
      </c>
      <c r="N672" s="41">
        <v>108.0</v>
      </c>
      <c r="O672" s="122">
        <f t="shared" si="1"/>
        <v>0.3333333333</v>
      </c>
      <c r="P672" s="123">
        <f t="shared" si="5"/>
        <v>347.6976744</v>
      </c>
      <c r="Q672" s="123">
        <f t="shared" si="2"/>
        <v>0.8372093023</v>
      </c>
      <c r="R672" s="123">
        <f t="shared" si="6"/>
        <v>0.511627907</v>
      </c>
      <c r="S672" s="123">
        <f t="shared" si="3"/>
        <v>1.11627907</v>
      </c>
      <c r="T672" s="123">
        <f t="shared" si="4"/>
        <v>2.511627907</v>
      </c>
      <c r="U672" s="41">
        <v>8.0</v>
      </c>
      <c r="V672" s="41">
        <v>3.0</v>
      </c>
      <c r="W672" s="41">
        <v>2.0</v>
      </c>
      <c r="X672" s="41">
        <v>5.0</v>
      </c>
      <c r="Y672" s="41">
        <v>37.0</v>
      </c>
      <c r="Z672" s="41">
        <v>40.0</v>
      </c>
    </row>
    <row r="673">
      <c r="A673" s="41" t="s">
        <v>904</v>
      </c>
      <c r="B673" s="41" t="s">
        <v>700</v>
      </c>
      <c r="C673" s="41" t="s">
        <v>1876</v>
      </c>
      <c r="D673" s="41" t="s">
        <v>1530</v>
      </c>
      <c r="E673" s="41">
        <v>38.0</v>
      </c>
      <c r="F673" s="41">
        <v>16.0</v>
      </c>
      <c r="G673" s="41">
        <v>22.0</v>
      </c>
      <c r="H673" s="125">
        <v>0.42105263157894735</v>
      </c>
      <c r="I673" s="41">
        <v>3.0</v>
      </c>
      <c r="J673" s="41">
        <v>11584.0</v>
      </c>
      <c r="K673" s="41">
        <v>22.0</v>
      </c>
      <c r="L673" s="41">
        <v>21.0</v>
      </c>
      <c r="M673" s="41">
        <v>40.0</v>
      </c>
      <c r="N673" s="41">
        <v>78.0</v>
      </c>
      <c r="O673" s="122">
        <f t="shared" si="1"/>
        <v>0.2820512821</v>
      </c>
      <c r="P673" s="123">
        <f t="shared" si="5"/>
        <v>304.8421053</v>
      </c>
      <c r="Q673" s="123">
        <f t="shared" si="2"/>
        <v>0.5789473684</v>
      </c>
      <c r="R673" s="123">
        <f t="shared" si="6"/>
        <v>0.5526315789</v>
      </c>
      <c r="S673" s="123">
        <f t="shared" si="3"/>
        <v>1.052631579</v>
      </c>
      <c r="T673" s="123">
        <f t="shared" si="4"/>
        <v>2.052631579</v>
      </c>
      <c r="U673" s="41">
        <v>3.0</v>
      </c>
      <c r="V673" s="41">
        <v>0.0</v>
      </c>
      <c r="W673" s="41">
        <v>0.0</v>
      </c>
      <c r="X673" s="41">
        <v>6.0</v>
      </c>
      <c r="Y673" s="41">
        <v>21.0</v>
      </c>
      <c r="Z673" s="41">
        <v>53.0</v>
      </c>
    </row>
    <row r="674">
      <c r="A674" s="41" t="s">
        <v>909</v>
      </c>
      <c r="B674" s="41" t="s">
        <v>81</v>
      </c>
      <c r="C674" s="41" t="s">
        <v>1877</v>
      </c>
      <c r="D674" s="41" t="s">
        <v>1878</v>
      </c>
      <c r="E674" s="41">
        <v>51.0</v>
      </c>
      <c r="F674" s="41">
        <v>27.0</v>
      </c>
      <c r="G674" s="41">
        <v>24.0</v>
      </c>
      <c r="H674" s="125">
        <v>0.5294117647058824</v>
      </c>
      <c r="I674" s="41">
        <v>10.0</v>
      </c>
      <c r="J674" s="41">
        <v>16903.0</v>
      </c>
      <c r="K674" s="41">
        <v>46.0</v>
      </c>
      <c r="L674" s="41">
        <v>24.0</v>
      </c>
      <c r="M674" s="41">
        <v>40.0</v>
      </c>
      <c r="N674" s="41">
        <v>117.0</v>
      </c>
      <c r="O674" s="122">
        <f t="shared" si="1"/>
        <v>0.3931623932</v>
      </c>
      <c r="P674" s="123">
        <f t="shared" si="5"/>
        <v>331.4313725</v>
      </c>
      <c r="Q674" s="123">
        <f t="shared" si="2"/>
        <v>0.9019607843</v>
      </c>
      <c r="R674" s="123">
        <f t="shared" si="6"/>
        <v>0.4705882353</v>
      </c>
      <c r="S674" s="123">
        <f t="shared" si="3"/>
        <v>0.7843137255</v>
      </c>
      <c r="T674" s="123">
        <f t="shared" si="4"/>
        <v>2.294117647</v>
      </c>
      <c r="U674" s="41">
        <v>4.0</v>
      </c>
      <c r="V674" s="41">
        <v>3.0</v>
      </c>
      <c r="W674" s="41">
        <v>0.0</v>
      </c>
      <c r="X674" s="41">
        <v>3.0</v>
      </c>
      <c r="Y674" s="41">
        <v>23.0</v>
      </c>
      <c r="Z674" s="41">
        <v>34.0</v>
      </c>
    </row>
    <row r="675">
      <c r="A675" s="41" t="s">
        <v>905</v>
      </c>
      <c r="B675" s="41" t="s">
        <v>181</v>
      </c>
      <c r="C675" s="41" t="s">
        <v>1879</v>
      </c>
      <c r="D675" s="41" t="s">
        <v>1874</v>
      </c>
      <c r="E675" s="41">
        <v>49.0</v>
      </c>
      <c r="F675" s="41">
        <v>20.0</v>
      </c>
      <c r="G675" s="41">
        <v>29.0</v>
      </c>
      <c r="H675" s="125">
        <v>0.40816326530612246</v>
      </c>
      <c r="I675" s="41">
        <v>9.0</v>
      </c>
      <c r="J675" s="41">
        <v>17270.0</v>
      </c>
      <c r="K675" s="41">
        <v>43.0</v>
      </c>
      <c r="L675" s="41">
        <v>21.0</v>
      </c>
      <c r="M675" s="41">
        <v>67.0</v>
      </c>
      <c r="N675" s="41">
        <v>106.0</v>
      </c>
      <c r="O675" s="122">
        <f t="shared" si="1"/>
        <v>0.4056603774</v>
      </c>
      <c r="P675" s="123">
        <f t="shared" si="5"/>
        <v>352.4489796</v>
      </c>
      <c r="Q675" s="123">
        <f t="shared" si="2"/>
        <v>0.8775510204</v>
      </c>
      <c r="R675" s="123">
        <f t="shared" si="6"/>
        <v>0.4285714286</v>
      </c>
      <c r="S675" s="123">
        <f t="shared" si="3"/>
        <v>1.367346939</v>
      </c>
      <c r="T675" s="123">
        <f t="shared" si="4"/>
        <v>2.163265306</v>
      </c>
      <c r="U675" s="41">
        <v>5.0</v>
      </c>
      <c r="V675" s="41">
        <v>5.0</v>
      </c>
      <c r="W675" s="41">
        <v>0.0</v>
      </c>
      <c r="X675" s="41">
        <v>9.0</v>
      </c>
      <c r="Y675" s="41">
        <v>93.0</v>
      </c>
      <c r="Z675" s="41">
        <v>46.0</v>
      </c>
    </row>
    <row r="676">
      <c r="A676" s="41" t="s">
        <v>901</v>
      </c>
      <c r="B676" s="41" t="s">
        <v>312</v>
      </c>
      <c r="C676" s="41" t="s">
        <v>1880</v>
      </c>
      <c r="D676" s="41" t="s">
        <v>1008</v>
      </c>
      <c r="E676" s="41">
        <v>52.0</v>
      </c>
      <c r="F676" s="41">
        <v>28.0</v>
      </c>
      <c r="G676" s="41">
        <v>24.0</v>
      </c>
      <c r="H676" s="125">
        <v>0.5384615384615384</v>
      </c>
      <c r="I676" s="41">
        <v>9.0</v>
      </c>
      <c r="J676" s="41">
        <v>19120.0</v>
      </c>
      <c r="K676" s="41">
        <v>46.0</v>
      </c>
      <c r="L676" s="41">
        <v>27.0</v>
      </c>
      <c r="M676" s="41">
        <v>68.0</v>
      </c>
      <c r="N676" s="41">
        <v>146.0</v>
      </c>
      <c r="O676" s="122">
        <f t="shared" si="1"/>
        <v>0.3150684932</v>
      </c>
      <c r="P676" s="123">
        <f t="shared" si="5"/>
        <v>367.6923077</v>
      </c>
      <c r="Q676" s="123">
        <f t="shared" si="2"/>
        <v>0.8846153846</v>
      </c>
      <c r="R676" s="123">
        <f t="shared" si="6"/>
        <v>0.5192307692</v>
      </c>
      <c r="S676" s="123">
        <f t="shared" si="3"/>
        <v>1.307692308</v>
      </c>
      <c r="T676" s="123">
        <f t="shared" si="4"/>
        <v>2.807692308</v>
      </c>
      <c r="U676" s="41">
        <v>12.0</v>
      </c>
      <c r="V676" s="41">
        <v>4.0</v>
      </c>
      <c r="W676" s="41">
        <v>0.0</v>
      </c>
      <c r="X676" s="41">
        <v>5.0</v>
      </c>
      <c r="Y676" s="41">
        <v>54.0</v>
      </c>
      <c r="Z676" s="41">
        <v>68.0</v>
      </c>
    </row>
    <row r="677">
      <c r="A677" s="41" t="s">
        <v>901</v>
      </c>
      <c r="B677" s="41" t="s">
        <v>348</v>
      </c>
      <c r="C677" s="41" t="s">
        <v>1881</v>
      </c>
      <c r="D677" s="41" t="s">
        <v>1565</v>
      </c>
      <c r="E677" s="41">
        <v>47.0</v>
      </c>
      <c r="F677" s="41">
        <v>15.0</v>
      </c>
      <c r="G677" s="41">
        <v>32.0</v>
      </c>
      <c r="H677" s="125">
        <v>0.3191489361702128</v>
      </c>
      <c r="I677" s="41">
        <v>6.0</v>
      </c>
      <c r="J677" s="41">
        <v>17211.0</v>
      </c>
      <c r="K677" s="41">
        <v>38.0</v>
      </c>
      <c r="L677" s="41">
        <v>21.0</v>
      </c>
      <c r="M677" s="41">
        <v>69.0</v>
      </c>
      <c r="N677" s="41">
        <v>131.0</v>
      </c>
      <c r="O677" s="122">
        <f t="shared" si="1"/>
        <v>0.2900763359</v>
      </c>
      <c r="P677" s="123">
        <f t="shared" si="5"/>
        <v>366.1914894</v>
      </c>
      <c r="Q677" s="123">
        <f t="shared" si="2"/>
        <v>0.8085106383</v>
      </c>
      <c r="R677" s="123">
        <f t="shared" si="6"/>
        <v>0.4468085106</v>
      </c>
      <c r="S677" s="123">
        <f t="shared" si="3"/>
        <v>1.468085106</v>
      </c>
      <c r="T677" s="123">
        <f t="shared" si="4"/>
        <v>2.787234043</v>
      </c>
      <c r="U677" s="41">
        <v>12.0</v>
      </c>
      <c r="V677" s="41">
        <v>0.0</v>
      </c>
      <c r="W677" s="41">
        <v>0.0</v>
      </c>
      <c r="X677" s="41">
        <v>8.0</v>
      </c>
      <c r="Y677" s="41">
        <v>49.0</v>
      </c>
      <c r="Z677" s="41">
        <v>55.0</v>
      </c>
    </row>
    <row r="678">
      <c r="A678" s="41" t="s">
        <v>909</v>
      </c>
      <c r="B678" s="41" t="s">
        <v>1882</v>
      </c>
      <c r="C678" s="41" t="s">
        <v>1883</v>
      </c>
      <c r="D678" s="41" t="s">
        <v>1029</v>
      </c>
      <c r="E678" s="41">
        <v>4.0</v>
      </c>
      <c r="F678" s="41">
        <v>3.0</v>
      </c>
      <c r="G678" s="41">
        <v>1.0</v>
      </c>
      <c r="H678" s="125">
        <v>0.75</v>
      </c>
      <c r="I678" s="41">
        <v>2.0</v>
      </c>
      <c r="J678" s="41">
        <v>1760.0</v>
      </c>
      <c r="K678" s="41">
        <v>6.0</v>
      </c>
      <c r="L678" s="41">
        <v>5.0</v>
      </c>
      <c r="M678" s="41">
        <v>3.0</v>
      </c>
      <c r="N678" s="41">
        <v>16.0</v>
      </c>
      <c r="O678" s="122">
        <f t="shared" si="1"/>
        <v>0.375</v>
      </c>
      <c r="P678" s="123">
        <f t="shared" si="5"/>
        <v>440</v>
      </c>
      <c r="Q678" s="123">
        <f t="shared" si="2"/>
        <v>1.5</v>
      </c>
      <c r="R678" s="123">
        <f t="shared" si="6"/>
        <v>1.25</v>
      </c>
      <c r="S678" s="123">
        <f t="shared" si="3"/>
        <v>0.75</v>
      </c>
      <c r="T678" s="123">
        <f t="shared" si="4"/>
        <v>4</v>
      </c>
      <c r="U678" s="41">
        <v>2.0</v>
      </c>
      <c r="V678" s="41">
        <v>0.0</v>
      </c>
      <c r="W678" s="41">
        <v>0.0</v>
      </c>
      <c r="X678" s="41">
        <v>0.0</v>
      </c>
      <c r="Y678" s="41">
        <v>2.0</v>
      </c>
      <c r="Z678" s="41">
        <v>5.0</v>
      </c>
    </row>
    <row r="679">
      <c r="A679" s="41" t="s">
        <v>902</v>
      </c>
      <c r="B679" s="41" t="s">
        <v>840</v>
      </c>
      <c r="C679" s="41" t="s">
        <v>1884</v>
      </c>
      <c r="D679" s="41" t="s">
        <v>1097</v>
      </c>
      <c r="E679" s="41">
        <v>7.0</v>
      </c>
      <c r="F679" s="41">
        <v>2.0</v>
      </c>
      <c r="G679" s="41">
        <v>5.0</v>
      </c>
      <c r="H679" s="125">
        <v>0.2857142857142857</v>
      </c>
      <c r="I679" s="41">
        <v>1.0</v>
      </c>
      <c r="J679" s="41">
        <v>2221.0</v>
      </c>
      <c r="K679" s="41">
        <v>6.0</v>
      </c>
      <c r="L679" s="41">
        <v>2.0</v>
      </c>
      <c r="M679" s="41">
        <v>9.0</v>
      </c>
      <c r="N679" s="41">
        <v>17.0</v>
      </c>
      <c r="O679" s="122">
        <f t="shared" si="1"/>
        <v>0.3529411765</v>
      </c>
      <c r="P679" s="123">
        <f t="shared" si="5"/>
        <v>317.2857143</v>
      </c>
      <c r="Q679" s="123">
        <f t="shared" si="2"/>
        <v>0.8571428571</v>
      </c>
      <c r="R679" s="123">
        <f t="shared" si="6"/>
        <v>0.2857142857</v>
      </c>
      <c r="S679" s="123">
        <f t="shared" si="3"/>
        <v>1.285714286</v>
      </c>
      <c r="T679" s="123">
        <f t="shared" si="4"/>
        <v>2.428571429</v>
      </c>
      <c r="U679" s="41">
        <v>2.0</v>
      </c>
      <c r="V679" s="41">
        <v>0.0</v>
      </c>
      <c r="W679" s="41">
        <v>0.0</v>
      </c>
      <c r="X679" s="41">
        <v>1.0</v>
      </c>
      <c r="Y679" s="41">
        <v>6.0</v>
      </c>
      <c r="Z679" s="41">
        <v>9.0</v>
      </c>
    </row>
    <row r="680">
      <c r="A680" s="41" t="s">
        <v>909</v>
      </c>
      <c r="B680" s="41" t="s">
        <v>101</v>
      </c>
      <c r="C680" s="41" t="s">
        <v>1885</v>
      </c>
      <c r="D680" s="41" t="s">
        <v>948</v>
      </c>
      <c r="E680" s="41">
        <v>40.0</v>
      </c>
      <c r="F680" s="41">
        <v>9.0</v>
      </c>
      <c r="G680" s="41">
        <v>31.0</v>
      </c>
      <c r="H680" s="125">
        <v>0.225</v>
      </c>
      <c r="I680" s="41">
        <v>2.0</v>
      </c>
      <c r="J680" s="41">
        <v>9586.0</v>
      </c>
      <c r="K680" s="41">
        <v>18.0</v>
      </c>
      <c r="L680" s="41">
        <v>12.0</v>
      </c>
      <c r="M680" s="41">
        <v>35.0</v>
      </c>
      <c r="N680" s="41">
        <v>59.0</v>
      </c>
      <c r="O680" s="122">
        <f t="shared" si="1"/>
        <v>0.3050847458</v>
      </c>
      <c r="P680" s="123">
        <f t="shared" si="5"/>
        <v>239.65</v>
      </c>
      <c r="Q680" s="123">
        <f t="shared" si="2"/>
        <v>0.45</v>
      </c>
      <c r="R680" s="123">
        <f t="shared" si="6"/>
        <v>0.3</v>
      </c>
      <c r="S680" s="123">
        <f t="shared" si="3"/>
        <v>0.875</v>
      </c>
      <c r="T680" s="123">
        <f t="shared" si="4"/>
        <v>1.475</v>
      </c>
      <c r="U680" s="41">
        <v>2.0</v>
      </c>
      <c r="V680" s="41">
        <v>0.0</v>
      </c>
      <c r="W680" s="41">
        <v>0.0</v>
      </c>
      <c r="X680" s="41">
        <v>3.0</v>
      </c>
      <c r="Y680" s="41">
        <v>17.0</v>
      </c>
      <c r="Z680" s="41">
        <v>34.0</v>
      </c>
    </row>
    <row r="681">
      <c r="A681" s="41" t="s">
        <v>905</v>
      </c>
      <c r="B681" s="41" t="s">
        <v>143</v>
      </c>
      <c r="C681" s="41" t="s">
        <v>1886</v>
      </c>
      <c r="D681" s="41" t="s">
        <v>1815</v>
      </c>
      <c r="E681" s="41">
        <v>19.0</v>
      </c>
      <c r="F681" s="41">
        <v>10.0</v>
      </c>
      <c r="G681" s="41">
        <v>9.0</v>
      </c>
      <c r="H681" s="125">
        <v>0.5263157894736842</v>
      </c>
      <c r="I681" s="41">
        <v>0.0</v>
      </c>
      <c r="J681" s="41">
        <v>6255.0</v>
      </c>
      <c r="K681" s="41">
        <v>13.0</v>
      </c>
      <c r="L681" s="41">
        <v>16.0</v>
      </c>
      <c r="M681" s="41">
        <v>19.0</v>
      </c>
      <c r="N681" s="41">
        <v>52.0</v>
      </c>
      <c r="O681" s="122">
        <f t="shared" si="1"/>
        <v>0.25</v>
      </c>
      <c r="P681" s="123">
        <f t="shared" si="5"/>
        <v>329.2105263</v>
      </c>
      <c r="Q681" s="123">
        <f t="shared" si="2"/>
        <v>0.6842105263</v>
      </c>
      <c r="R681" s="123">
        <f t="shared" si="6"/>
        <v>0.8421052632</v>
      </c>
      <c r="S681" s="123">
        <f t="shared" si="3"/>
        <v>1</v>
      </c>
      <c r="T681" s="123">
        <f t="shared" si="4"/>
        <v>2.736842105</v>
      </c>
      <c r="U681" s="41">
        <v>2.0</v>
      </c>
      <c r="V681" s="41">
        <v>0.0</v>
      </c>
      <c r="W681" s="41">
        <v>0.0</v>
      </c>
      <c r="X681" s="41">
        <v>1.0</v>
      </c>
      <c r="Y681" s="41">
        <v>12.0</v>
      </c>
      <c r="Z681" s="41">
        <v>24.0</v>
      </c>
    </row>
    <row r="682">
      <c r="A682" s="41" t="s">
        <v>904</v>
      </c>
      <c r="B682" s="41" t="s">
        <v>621</v>
      </c>
      <c r="C682" s="41" t="s">
        <v>1887</v>
      </c>
      <c r="D682" s="41" t="s">
        <v>1316</v>
      </c>
      <c r="E682" s="41">
        <v>53.0</v>
      </c>
      <c r="F682" s="41">
        <v>28.0</v>
      </c>
      <c r="G682" s="41">
        <v>25.0</v>
      </c>
      <c r="H682" s="125">
        <v>0.5283018867924528</v>
      </c>
      <c r="I682" s="41">
        <v>11.0</v>
      </c>
      <c r="J682" s="41">
        <v>21685.0</v>
      </c>
      <c r="K682" s="41">
        <v>43.0</v>
      </c>
      <c r="L682" s="41">
        <v>28.0</v>
      </c>
      <c r="M682" s="41">
        <v>108.0</v>
      </c>
      <c r="N682" s="41">
        <v>126.0</v>
      </c>
      <c r="O682" s="122">
        <f t="shared" si="1"/>
        <v>0.3412698413</v>
      </c>
      <c r="P682" s="123">
        <f t="shared" si="5"/>
        <v>409.1509434</v>
      </c>
      <c r="Q682" s="123">
        <f t="shared" si="2"/>
        <v>0.8113207547</v>
      </c>
      <c r="R682" s="123">
        <f t="shared" si="6"/>
        <v>0.5283018868</v>
      </c>
      <c r="S682" s="123">
        <f t="shared" si="3"/>
        <v>2.037735849</v>
      </c>
      <c r="T682" s="123">
        <f t="shared" si="4"/>
        <v>2.377358491</v>
      </c>
      <c r="U682" s="41">
        <v>12.0</v>
      </c>
      <c r="V682" s="41">
        <v>3.0</v>
      </c>
      <c r="W682" s="41">
        <v>1.0</v>
      </c>
      <c r="X682" s="41">
        <v>15.0</v>
      </c>
      <c r="Y682" s="41">
        <v>49.0</v>
      </c>
      <c r="Z682" s="41">
        <v>36.0</v>
      </c>
    </row>
    <row r="683">
      <c r="A683" s="41" t="s">
        <v>905</v>
      </c>
      <c r="B683" s="41" t="s">
        <v>217</v>
      </c>
      <c r="C683" s="41" t="s">
        <v>1888</v>
      </c>
      <c r="D683" s="41" t="s">
        <v>1841</v>
      </c>
      <c r="E683" s="41">
        <v>30.0</v>
      </c>
      <c r="F683" s="41">
        <v>17.0</v>
      </c>
      <c r="G683" s="41">
        <v>13.0</v>
      </c>
      <c r="H683" s="125">
        <v>0.5666666666666667</v>
      </c>
      <c r="I683" s="41">
        <v>4.0</v>
      </c>
      <c r="J683" s="41">
        <v>8473.0</v>
      </c>
      <c r="K683" s="41">
        <v>24.0</v>
      </c>
      <c r="L683" s="41">
        <v>14.0</v>
      </c>
      <c r="M683" s="41">
        <v>34.0</v>
      </c>
      <c r="N683" s="41">
        <v>59.0</v>
      </c>
      <c r="O683" s="122">
        <f t="shared" si="1"/>
        <v>0.406779661</v>
      </c>
      <c r="P683" s="123">
        <f t="shared" si="5"/>
        <v>282.4333333</v>
      </c>
      <c r="Q683" s="123">
        <f t="shared" si="2"/>
        <v>0.8</v>
      </c>
      <c r="R683" s="123">
        <f t="shared" si="6"/>
        <v>0.4666666667</v>
      </c>
      <c r="S683" s="123">
        <f t="shared" si="3"/>
        <v>1.133333333</v>
      </c>
      <c r="T683" s="123">
        <f t="shared" si="4"/>
        <v>1.966666667</v>
      </c>
      <c r="U683" s="41">
        <v>4.0</v>
      </c>
      <c r="V683" s="41">
        <v>1.0</v>
      </c>
      <c r="W683" s="41">
        <v>0.0</v>
      </c>
      <c r="X683" s="41">
        <v>5.0</v>
      </c>
      <c r="Y683" s="41">
        <v>23.0</v>
      </c>
      <c r="Z683" s="41">
        <v>32.0</v>
      </c>
    </row>
    <row r="684">
      <c r="A684" s="41" t="s">
        <v>901</v>
      </c>
      <c r="B684" s="41" t="s">
        <v>284</v>
      </c>
      <c r="C684" s="41" t="s">
        <v>1889</v>
      </c>
      <c r="D684" s="41" t="s">
        <v>1890</v>
      </c>
      <c r="E684" s="41">
        <v>18.0</v>
      </c>
      <c r="F684" s="41">
        <v>12.0</v>
      </c>
      <c r="G684" s="41">
        <v>6.0</v>
      </c>
      <c r="H684" s="125">
        <v>0.6666666666666666</v>
      </c>
      <c r="I684" s="41">
        <v>6.0</v>
      </c>
      <c r="J684" s="41">
        <v>7083.0</v>
      </c>
      <c r="K684" s="41">
        <v>19.0</v>
      </c>
      <c r="L684" s="41">
        <v>10.0</v>
      </c>
      <c r="M684" s="41">
        <v>25.0</v>
      </c>
      <c r="N684" s="41">
        <v>57.0</v>
      </c>
      <c r="O684" s="122">
        <f t="shared" si="1"/>
        <v>0.3333333333</v>
      </c>
      <c r="P684" s="123">
        <f t="shared" si="5"/>
        <v>393.5</v>
      </c>
      <c r="Q684" s="123">
        <f t="shared" si="2"/>
        <v>1.055555556</v>
      </c>
      <c r="R684" s="123">
        <f t="shared" si="6"/>
        <v>0.5555555556</v>
      </c>
      <c r="S684" s="123">
        <f t="shared" si="3"/>
        <v>1.388888889</v>
      </c>
      <c r="T684" s="123">
        <f t="shared" si="4"/>
        <v>3.166666667</v>
      </c>
      <c r="U684" s="41">
        <v>4.0</v>
      </c>
      <c r="V684" s="41">
        <v>1.0</v>
      </c>
      <c r="W684" s="41">
        <v>1.0</v>
      </c>
      <c r="X684" s="41">
        <v>5.0</v>
      </c>
      <c r="Y684" s="41">
        <v>17.0</v>
      </c>
      <c r="Z684" s="41">
        <v>20.0</v>
      </c>
    </row>
    <row r="685">
      <c r="A685" s="41" t="s">
        <v>905</v>
      </c>
      <c r="B685" s="41" t="s">
        <v>202</v>
      </c>
      <c r="C685" s="41" t="s">
        <v>1891</v>
      </c>
      <c r="D685" s="41" t="s">
        <v>1230</v>
      </c>
      <c r="E685" s="41">
        <v>30.0</v>
      </c>
      <c r="F685" s="41">
        <v>13.0</v>
      </c>
      <c r="G685" s="41">
        <v>17.0</v>
      </c>
      <c r="H685" s="125">
        <v>0.43333333333333335</v>
      </c>
      <c r="I685" s="41">
        <v>4.0</v>
      </c>
      <c r="J685" s="41">
        <v>9715.0</v>
      </c>
      <c r="K685" s="41">
        <v>21.0</v>
      </c>
      <c r="L685" s="41">
        <v>11.0</v>
      </c>
      <c r="M685" s="41">
        <v>41.0</v>
      </c>
      <c r="N685" s="41">
        <v>72.0</v>
      </c>
      <c r="O685" s="122">
        <f t="shared" si="1"/>
        <v>0.2916666667</v>
      </c>
      <c r="P685" s="123">
        <f t="shared" si="5"/>
        <v>323.8333333</v>
      </c>
      <c r="Q685" s="123">
        <f t="shared" si="2"/>
        <v>0.7</v>
      </c>
      <c r="R685" s="123">
        <f t="shared" si="6"/>
        <v>0.3666666667</v>
      </c>
      <c r="S685" s="123">
        <f t="shared" si="3"/>
        <v>1.366666667</v>
      </c>
      <c r="T685" s="123">
        <f t="shared" si="4"/>
        <v>2.4</v>
      </c>
      <c r="U685" s="41">
        <v>2.0</v>
      </c>
      <c r="V685" s="41">
        <v>1.0</v>
      </c>
      <c r="W685" s="41">
        <v>0.0</v>
      </c>
      <c r="X685" s="41">
        <v>6.0</v>
      </c>
      <c r="Y685" s="41">
        <v>15.0</v>
      </c>
      <c r="Z685" s="41">
        <v>28.0</v>
      </c>
    </row>
    <row r="686">
      <c r="A686" s="41" t="s">
        <v>904</v>
      </c>
      <c r="B686" s="41" t="s">
        <v>668</v>
      </c>
      <c r="C686" s="41" t="s">
        <v>1892</v>
      </c>
      <c r="D686" s="41" t="s">
        <v>1588</v>
      </c>
      <c r="E686" s="41">
        <v>33.0</v>
      </c>
      <c r="F686" s="41">
        <v>19.0</v>
      </c>
      <c r="G686" s="41">
        <v>14.0</v>
      </c>
      <c r="H686" s="125">
        <v>0.5757575757575758</v>
      </c>
      <c r="I686" s="41">
        <v>1.0</v>
      </c>
      <c r="J686" s="41">
        <v>10124.0</v>
      </c>
      <c r="K686" s="41">
        <v>22.0</v>
      </c>
      <c r="L686" s="41">
        <v>23.0</v>
      </c>
      <c r="M686" s="41">
        <v>34.0</v>
      </c>
      <c r="N686" s="41">
        <v>83.0</v>
      </c>
      <c r="O686" s="122">
        <f t="shared" si="1"/>
        <v>0.265060241</v>
      </c>
      <c r="P686" s="123">
        <f t="shared" si="5"/>
        <v>306.7878788</v>
      </c>
      <c r="Q686" s="123">
        <f t="shared" si="2"/>
        <v>0.6666666667</v>
      </c>
      <c r="R686" s="123">
        <f t="shared" si="6"/>
        <v>0.696969697</v>
      </c>
      <c r="S686" s="123">
        <f t="shared" si="3"/>
        <v>1.03030303</v>
      </c>
      <c r="T686" s="123">
        <f t="shared" si="4"/>
        <v>2.515151515</v>
      </c>
      <c r="U686" s="41">
        <v>3.0</v>
      </c>
      <c r="V686" s="41">
        <v>1.0</v>
      </c>
      <c r="W686" s="41">
        <v>1.0</v>
      </c>
      <c r="X686" s="41">
        <v>3.0</v>
      </c>
      <c r="Y686" s="41">
        <v>40.0</v>
      </c>
      <c r="Z686" s="41">
        <v>19.0</v>
      </c>
    </row>
    <row r="687">
      <c r="A687" s="41" t="s">
        <v>909</v>
      </c>
      <c r="B687" s="41" t="s">
        <v>77</v>
      </c>
      <c r="C687" s="41" t="s">
        <v>1893</v>
      </c>
      <c r="D687" s="41" t="s">
        <v>985</v>
      </c>
      <c r="E687" s="41">
        <v>12.0</v>
      </c>
      <c r="F687" s="41">
        <v>8.0</v>
      </c>
      <c r="G687" s="41">
        <v>4.0</v>
      </c>
      <c r="H687" s="125">
        <v>0.6666666666666666</v>
      </c>
      <c r="I687" s="41">
        <v>1.0</v>
      </c>
      <c r="J687" s="41">
        <v>4076.0</v>
      </c>
      <c r="K687" s="41">
        <v>8.0</v>
      </c>
      <c r="L687" s="41">
        <v>9.0</v>
      </c>
      <c r="M687" s="41">
        <v>15.0</v>
      </c>
      <c r="N687" s="41">
        <v>26.0</v>
      </c>
      <c r="O687" s="122">
        <f t="shared" si="1"/>
        <v>0.3076923077</v>
      </c>
      <c r="P687" s="123">
        <f t="shared" si="5"/>
        <v>339.6666667</v>
      </c>
      <c r="Q687" s="123">
        <f t="shared" si="2"/>
        <v>0.6666666667</v>
      </c>
      <c r="R687" s="123">
        <f t="shared" si="6"/>
        <v>0.75</v>
      </c>
      <c r="S687" s="123">
        <f t="shared" si="3"/>
        <v>1.25</v>
      </c>
      <c r="T687" s="123">
        <f t="shared" si="4"/>
        <v>2.166666667</v>
      </c>
      <c r="U687" s="41">
        <v>2.0</v>
      </c>
      <c r="V687" s="41">
        <v>1.0</v>
      </c>
      <c r="W687" s="41">
        <v>0.0</v>
      </c>
      <c r="X687" s="41">
        <v>2.0</v>
      </c>
      <c r="Y687" s="41">
        <v>9.0</v>
      </c>
      <c r="Z687" s="41">
        <v>14.0</v>
      </c>
    </row>
    <row r="688">
      <c r="A688" s="41" t="s">
        <v>902</v>
      </c>
      <c r="B688" s="41" t="s">
        <v>785</v>
      </c>
      <c r="C688" s="41" t="s">
        <v>1894</v>
      </c>
      <c r="D688" s="41" t="s">
        <v>1895</v>
      </c>
      <c r="E688" s="41">
        <v>37.0</v>
      </c>
      <c r="F688" s="41">
        <v>21.0</v>
      </c>
      <c r="G688" s="41">
        <v>16.0</v>
      </c>
      <c r="H688" s="125">
        <v>0.5675675675675675</v>
      </c>
      <c r="I688" s="41">
        <v>4.0</v>
      </c>
      <c r="J688" s="41">
        <v>12481.0</v>
      </c>
      <c r="K688" s="41">
        <v>25.0</v>
      </c>
      <c r="L688" s="41">
        <v>28.0</v>
      </c>
      <c r="M688" s="41">
        <v>45.0</v>
      </c>
      <c r="N688" s="41">
        <v>87.0</v>
      </c>
      <c r="O688" s="122">
        <f t="shared" si="1"/>
        <v>0.2873563218</v>
      </c>
      <c r="P688" s="123">
        <f t="shared" si="5"/>
        <v>337.3243243</v>
      </c>
      <c r="Q688" s="123">
        <f t="shared" si="2"/>
        <v>0.6756756757</v>
      </c>
      <c r="R688" s="123">
        <f t="shared" si="6"/>
        <v>0.7567567568</v>
      </c>
      <c r="S688" s="123">
        <f t="shared" si="3"/>
        <v>1.216216216</v>
      </c>
      <c r="T688" s="123">
        <f t="shared" si="4"/>
        <v>2.351351351</v>
      </c>
      <c r="U688" s="41">
        <v>7.0</v>
      </c>
      <c r="V688" s="41">
        <v>2.0</v>
      </c>
      <c r="W688" s="41">
        <v>0.0</v>
      </c>
      <c r="X688" s="41">
        <v>6.0</v>
      </c>
      <c r="Y688" s="41">
        <v>109.0</v>
      </c>
      <c r="Z688" s="41">
        <v>41.0</v>
      </c>
    </row>
    <row r="689">
      <c r="A689" s="41" t="s">
        <v>904</v>
      </c>
      <c r="B689" s="41" t="s">
        <v>596</v>
      </c>
      <c r="C689" s="41" t="s">
        <v>1896</v>
      </c>
      <c r="D689" s="41" t="s">
        <v>1041</v>
      </c>
      <c r="E689" s="41">
        <v>46.0</v>
      </c>
      <c r="F689" s="41">
        <v>29.0</v>
      </c>
      <c r="G689" s="41">
        <v>17.0</v>
      </c>
      <c r="H689" s="125">
        <v>0.6304347826086957</v>
      </c>
      <c r="I689" s="41">
        <v>13.0</v>
      </c>
      <c r="J689" s="41">
        <v>18135.0</v>
      </c>
      <c r="K689" s="41">
        <v>43.0</v>
      </c>
      <c r="L689" s="41">
        <v>29.0</v>
      </c>
      <c r="M689" s="41">
        <v>75.0</v>
      </c>
      <c r="N689" s="41">
        <v>128.0</v>
      </c>
      <c r="O689" s="122">
        <f t="shared" si="1"/>
        <v>0.3359375</v>
      </c>
      <c r="P689" s="123">
        <f t="shared" si="5"/>
        <v>394.2391304</v>
      </c>
      <c r="Q689" s="123">
        <f t="shared" si="2"/>
        <v>0.9347826087</v>
      </c>
      <c r="R689" s="123">
        <f t="shared" si="6"/>
        <v>0.6304347826</v>
      </c>
      <c r="S689" s="123">
        <f t="shared" si="3"/>
        <v>1.630434783</v>
      </c>
      <c r="T689" s="123">
        <f t="shared" si="4"/>
        <v>2.782608696</v>
      </c>
      <c r="U689" s="41">
        <v>7.0</v>
      </c>
      <c r="V689" s="41">
        <v>4.0</v>
      </c>
      <c r="W689" s="41">
        <v>2.0</v>
      </c>
      <c r="X689" s="41">
        <v>8.0</v>
      </c>
      <c r="Y689" s="41">
        <v>47.0</v>
      </c>
      <c r="Z689" s="41">
        <v>46.0</v>
      </c>
    </row>
    <row r="690">
      <c r="A690" s="41" t="s">
        <v>905</v>
      </c>
      <c r="B690" s="41" t="s">
        <v>245</v>
      </c>
      <c r="C690" s="41" t="s">
        <v>1897</v>
      </c>
      <c r="D690" s="41" t="s">
        <v>1224</v>
      </c>
      <c r="E690" s="41">
        <v>13.0</v>
      </c>
      <c r="F690" s="41">
        <v>1.0</v>
      </c>
      <c r="G690" s="41">
        <v>12.0</v>
      </c>
      <c r="H690" s="125">
        <v>0.07692307692307693</v>
      </c>
      <c r="I690" s="41">
        <v>0.0</v>
      </c>
      <c r="J690" s="41">
        <v>3299.0</v>
      </c>
      <c r="K690" s="41">
        <v>6.0</v>
      </c>
      <c r="L690" s="41">
        <v>4.0</v>
      </c>
      <c r="M690" s="41">
        <v>18.0</v>
      </c>
      <c r="N690" s="41">
        <v>25.0</v>
      </c>
      <c r="O690" s="122">
        <f t="shared" si="1"/>
        <v>0.24</v>
      </c>
      <c r="P690" s="123">
        <f t="shared" si="5"/>
        <v>253.7692308</v>
      </c>
      <c r="Q690" s="123">
        <f t="shared" si="2"/>
        <v>0.4615384615</v>
      </c>
      <c r="R690" s="123">
        <f t="shared" si="6"/>
        <v>0.3076923077</v>
      </c>
      <c r="S690" s="123">
        <f t="shared" si="3"/>
        <v>1.384615385</v>
      </c>
      <c r="T690" s="123">
        <f t="shared" si="4"/>
        <v>1.923076923</v>
      </c>
      <c r="U690" s="41">
        <v>0.0</v>
      </c>
      <c r="V690" s="41">
        <v>1.0</v>
      </c>
      <c r="W690" s="41">
        <v>0.0</v>
      </c>
      <c r="X690" s="41">
        <v>2.0</v>
      </c>
      <c r="Y690" s="41">
        <v>6.0</v>
      </c>
      <c r="Z690" s="41">
        <v>12.0</v>
      </c>
    </row>
    <row r="691">
      <c r="A691" s="41" t="s">
        <v>899</v>
      </c>
      <c r="B691" s="41" t="s">
        <v>445</v>
      </c>
      <c r="C691" s="41" t="s">
        <v>1898</v>
      </c>
      <c r="D691" s="41" t="s">
        <v>1012</v>
      </c>
      <c r="E691" s="41">
        <v>53.0</v>
      </c>
      <c r="F691" s="41">
        <v>26.0</v>
      </c>
      <c r="G691" s="41">
        <v>27.0</v>
      </c>
      <c r="H691" s="125">
        <v>0.49056603773584906</v>
      </c>
      <c r="I691" s="41">
        <v>4.0</v>
      </c>
      <c r="J691" s="41">
        <v>16539.0</v>
      </c>
      <c r="K691" s="41">
        <v>32.0</v>
      </c>
      <c r="L691" s="41">
        <v>26.0</v>
      </c>
      <c r="M691" s="41">
        <v>65.0</v>
      </c>
      <c r="N691" s="41">
        <v>109.0</v>
      </c>
      <c r="O691" s="122">
        <f t="shared" si="1"/>
        <v>0.2935779817</v>
      </c>
      <c r="P691" s="123">
        <f t="shared" si="5"/>
        <v>312.0566038</v>
      </c>
      <c r="Q691" s="123">
        <f t="shared" si="2"/>
        <v>0.6037735849</v>
      </c>
      <c r="R691" s="123">
        <f t="shared" si="6"/>
        <v>0.4905660377</v>
      </c>
      <c r="S691" s="123">
        <f t="shared" si="3"/>
        <v>1.226415094</v>
      </c>
      <c r="T691" s="123">
        <f t="shared" si="4"/>
        <v>2.056603774</v>
      </c>
      <c r="U691" s="41">
        <v>8.0</v>
      </c>
      <c r="V691" s="41">
        <v>2.0</v>
      </c>
      <c r="W691" s="41">
        <v>1.0</v>
      </c>
      <c r="X691" s="41">
        <v>7.0</v>
      </c>
      <c r="Y691" s="41">
        <v>56.0</v>
      </c>
      <c r="Z691" s="41">
        <v>73.0</v>
      </c>
    </row>
    <row r="692">
      <c r="A692" s="41" t="s">
        <v>897</v>
      </c>
      <c r="B692" s="41" t="s">
        <v>486</v>
      </c>
      <c r="C692" s="41" t="s">
        <v>1899</v>
      </c>
      <c r="D692" s="41" t="s">
        <v>1071</v>
      </c>
      <c r="E692" s="41">
        <v>42.0</v>
      </c>
      <c r="F692" s="41">
        <v>23.0</v>
      </c>
      <c r="G692" s="41">
        <v>19.0</v>
      </c>
      <c r="H692" s="125">
        <v>0.5476190476190477</v>
      </c>
      <c r="I692" s="41">
        <v>8.0</v>
      </c>
      <c r="J692" s="41">
        <v>17551.0</v>
      </c>
      <c r="K692" s="41">
        <v>37.0</v>
      </c>
      <c r="L692" s="41">
        <v>29.0</v>
      </c>
      <c r="M692" s="41">
        <v>83.0</v>
      </c>
      <c r="N692" s="41">
        <v>123.0</v>
      </c>
      <c r="O692" s="122">
        <f t="shared" si="1"/>
        <v>0.3008130081</v>
      </c>
      <c r="P692" s="123">
        <f t="shared" si="5"/>
        <v>417.8809524</v>
      </c>
      <c r="Q692" s="123">
        <f t="shared" si="2"/>
        <v>0.880952381</v>
      </c>
      <c r="R692" s="123">
        <f t="shared" si="6"/>
        <v>0.6904761905</v>
      </c>
      <c r="S692" s="123">
        <f t="shared" si="3"/>
        <v>1.976190476</v>
      </c>
      <c r="T692" s="123">
        <f t="shared" si="4"/>
        <v>2.928571429</v>
      </c>
      <c r="U692" s="41">
        <v>10.0</v>
      </c>
      <c r="V692" s="41">
        <v>4.0</v>
      </c>
      <c r="W692" s="41">
        <v>2.0</v>
      </c>
      <c r="X692" s="41">
        <v>10.0</v>
      </c>
      <c r="Y692" s="41">
        <v>37.0</v>
      </c>
      <c r="Z692" s="41">
        <v>43.0</v>
      </c>
    </row>
    <row r="693">
      <c r="A693" s="41" t="s">
        <v>906</v>
      </c>
      <c r="B693" s="41" t="s">
        <v>532</v>
      </c>
      <c r="C693" s="41" t="s">
        <v>1900</v>
      </c>
      <c r="D693" s="41" t="s">
        <v>1116</v>
      </c>
      <c r="E693" s="41">
        <v>49.0</v>
      </c>
      <c r="F693" s="41">
        <v>23.0</v>
      </c>
      <c r="G693" s="41">
        <v>26.0</v>
      </c>
      <c r="H693" s="125">
        <v>0.46938775510204084</v>
      </c>
      <c r="I693" s="41">
        <v>9.0</v>
      </c>
      <c r="J693" s="41">
        <v>16735.0</v>
      </c>
      <c r="K693" s="41">
        <v>39.0</v>
      </c>
      <c r="L693" s="41">
        <v>25.0</v>
      </c>
      <c r="M693" s="41">
        <v>55.0</v>
      </c>
      <c r="N693" s="41">
        <v>115.0</v>
      </c>
      <c r="O693" s="122">
        <f t="shared" si="1"/>
        <v>0.3391304348</v>
      </c>
      <c r="P693" s="123">
        <f t="shared" si="5"/>
        <v>341.5306122</v>
      </c>
      <c r="Q693" s="123">
        <f t="shared" si="2"/>
        <v>0.7959183673</v>
      </c>
      <c r="R693" s="123">
        <f t="shared" si="6"/>
        <v>0.5102040816</v>
      </c>
      <c r="S693" s="123">
        <f t="shared" si="3"/>
        <v>1.12244898</v>
      </c>
      <c r="T693" s="123">
        <f t="shared" si="4"/>
        <v>2.346938776</v>
      </c>
      <c r="U693" s="41">
        <v>5.0</v>
      </c>
      <c r="V693" s="41">
        <v>4.0</v>
      </c>
      <c r="W693" s="41">
        <v>2.0</v>
      </c>
      <c r="X693" s="41">
        <v>7.0</v>
      </c>
      <c r="Y693" s="41">
        <v>77.0</v>
      </c>
      <c r="Z693" s="41">
        <v>53.0</v>
      </c>
    </row>
    <row r="694">
      <c r="A694" s="41" t="s">
        <v>904</v>
      </c>
      <c r="B694" s="41" t="s">
        <v>575</v>
      </c>
      <c r="C694" s="41" t="s">
        <v>1901</v>
      </c>
      <c r="D694" s="41" t="s">
        <v>1086</v>
      </c>
      <c r="E694" s="41">
        <v>2.0</v>
      </c>
      <c r="F694" s="41">
        <v>1.0</v>
      </c>
      <c r="G694" s="41">
        <v>1.0</v>
      </c>
      <c r="H694" s="125">
        <v>0.5</v>
      </c>
      <c r="I694" s="41">
        <v>1.0</v>
      </c>
      <c r="J694" s="41">
        <v>750.0</v>
      </c>
      <c r="K694" s="41">
        <v>3.0</v>
      </c>
      <c r="L694" s="41">
        <v>1.0</v>
      </c>
      <c r="M694" s="41">
        <v>1.0</v>
      </c>
      <c r="N694" s="41">
        <v>4.0</v>
      </c>
      <c r="O694" s="122">
        <f t="shared" si="1"/>
        <v>0.75</v>
      </c>
      <c r="P694" s="123">
        <f t="shared" si="5"/>
        <v>375</v>
      </c>
      <c r="Q694" s="123">
        <f t="shared" si="2"/>
        <v>1.5</v>
      </c>
      <c r="R694" s="123">
        <f t="shared" si="6"/>
        <v>0.5</v>
      </c>
      <c r="S694" s="123">
        <f t="shared" si="3"/>
        <v>0.5</v>
      </c>
      <c r="T694" s="123">
        <f t="shared" si="4"/>
        <v>2</v>
      </c>
      <c r="U694" s="41">
        <v>1.0</v>
      </c>
      <c r="V694" s="41">
        <v>1.0</v>
      </c>
      <c r="W694" s="41">
        <v>0.0</v>
      </c>
      <c r="X694" s="41">
        <v>0.0</v>
      </c>
      <c r="Y694" s="41">
        <v>2.0</v>
      </c>
      <c r="Z694" s="41">
        <v>3.0</v>
      </c>
    </row>
    <row r="695">
      <c r="A695" s="41" t="s">
        <v>905</v>
      </c>
      <c r="B695" s="41" t="s">
        <v>126</v>
      </c>
      <c r="C695" s="41" t="s">
        <v>1902</v>
      </c>
      <c r="D695" s="41" t="s">
        <v>1903</v>
      </c>
      <c r="E695" s="41">
        <v>40.0</v>
      </c>
      <c r="F695" s="41">
        <v>23.0</v>
      </c>
      <c r="G695" s="41">
        <v>17.0</v>
      </c>
      <c r="H695" s="125">
        <v>0.575</v>
      </c>
      <c r="I695" s="41">
        <v>7.0</v>
      </c>
      <c r="J695" s="41">
        <v>14191.0</v>
      </c>
      <c r="K695" s="41">
        <v>34.0</v>
      </c>
      <c r="L695" s="41">
        <v>29.0</v>
      </c>
      <c r="M695" s="41">
        <v>41.0</v>
      </c>
      <c r="N695" s="41">
        <v>124.0</v>
      </c>
      <c r="O695" s="122">
        <f t="shared" si="1"/>
        <v>0.2741935484</v>
      </c>
      <c r="P695" s="123">
        <f t="shared" si="5"/>
        <v>354.775</v>
      </c>
      <c r="Q695" s="123">
        <f t="shared" si="2"/>
        <v>0.85</v>
      </c>
      <c r="R695" s="123">
        <f t="shared" si="6"/>
        <v>0.725</v>
      </c>
      <c r="S695" s="123">
        <f t="shared" si="3"/>
        <v>1.025</v>
      </c>
      <c r="T695" s="123">
        <f t="shared" si="4"/>
        <v>3.1</v>
      </c>
      <c r="U695" s="41">
        <v>10.0</v>
      </c>
      <c r="V695" s="41">
        <v>2.0</v>
      </c>
      <c r="W695" s="41">
        <v>1.0</v>
      </c>
      <c r="X695" s="41">
        <v>2.0</v>
      </c>
      <c r="Y695" s="41">
        <v>54.0</v>
      </c>
      <c r="Z695" s="41">
        <v>30.0</v>
      </c>
    </row>
    <row r="696">
      <c r="A696" s="41" t="s">
        <v>901</v>
      </c>
      <c r="B696" s="41" t="s">
        <v>272</v>
      </c>
      <c r="C696" s="41" t="s">
        <v>1904</v>
      </c>
      <c r="D696" s="41" t="s">
        <v>915</v>
      </c>
      <c r="E696" s="41">
        <v>52.0</v>
      </c>
      <c r="F696" s="41">
        <v>36.0</v>
      </c>
      <c r="G696" s="41">
        <v>16.0</v>
      </c>
      <c r="H696" s="125">
        <v>0.6923076923076923</v>
      </c>
      <c r="I696" s="41">
        <v>10.0</v>
      </c>
      <c r="J696" s="41">
        <v>20641.0</v>
      </c>
      <c r="K696" s="41">
        <v>47.0</v>
      </c>
      <c r="L696" s="41">
        <v>43.0</v>
      </c>
      <c r="M696" s="41">
        <v>80.0</v>
      </c>
      <c r="N696" s="41">
        <v>139.0</v>
      </c>
      <c r="O696" s="122">
        <f t="shared" si="1"/>
        <v>0.3381294964</v>
      </c>
      <c r="P696" s="123">
        <f t="shared" si="5"/>
        <v>396.9423077</v>
      </c>
      <c r="Q696" s="123">
        <f t="shared" si="2"/>
        <v>0.9038461538</v>
      </c>
      <c r="R696" s="123">
        <f t="shared" si="6"/>
        <v>0.8269230769</v>
      </c>
      <c r="S696" s="123">
        <f t="shared" si="3"/>
        <v>1.538461538</v>
      </c>
      <c r="T696" s="123">
        <f t="shared" si="4"/>
        <v>2.673076923</v>
      </c>
      <c r="U696" s="41">
        <v>16.0</v>
      </c>
      <c r="V696" s="41">
        <v>2.0</v>
      </c>
      <c r="W696" s="41">
        <v>1.0</v>
      </c>
      <c r="X696" s="41">
        <v>7.0</v>
      </c>
      <c r="Y696" s="41">
        <v>60.0</v>
      </c>
      <c r="Z696" s="41">
        <v>55.0</v>
      </c>
    </row>
    <row r="697">
      <c r="A697" s="41" t="s">
        <v>906</v>
      </c>
      <c r="B697" s="41" t="s">
        <v>519</v>
      </c>
      <c r="C697" s="41" t="s">
        <v>1905</v>
      </c>
      <c r="D697" s="41" t="s">
        <v>1906</v>
      </c>
      <c r="E697" s="41">
        <v>31.0</v>
      </c>
      <c r="F697" s="41">
        <v>24.0</v>
      </c>
      <c r="G697" s="41">
        <v>7.0</v>
      </c>
      <c r="H697" s="125">
        <v>0.7741935483870968</v>
      </c>
      <c r="I697" s="41">
        <v>10.0</v>
      </c>
      <c r="J697" s="41">
        <v>11510.0</v>
      </c>
      <c r="K697" s="41">
        <v>34.0</v>
      </c>
      <c r="L697" s="41">
        <v>16.0</v>
      </c>
      <c r="M697" s="41">
        <v>30.0</v>
      </c>
      <c r="N697" s="41">
        <v>103.0</v>
      </c>
      <c r="O697" s="122">
        <f t="shared" si="1"/>
        <v>0.3300970874</v>
      </c>
      <c r="P697" s="123">
        <f t="shared" si="5"/>
        <v>371.2903226</v>
      </c>
      <c r="Q697" s="123">
        <f t="shared" si="2"/>
        <v>1.096774194</v>
      </c>
      <c r="R697" s="123">
        <f t="shared" si="6"/>
        <v>0.5161290323</v>
      </c>
      <c r="S697" s="123">
        <f t="shared" si="3"/>
        <v>0.9677419355</v>
      </c>
      <c r="T697" s="123">
        <f t="shared" si="4"/>
        <v>3.322580645</v>
      </c>
      <c r="U697" s="41">
        <v>3.0</v>
      </c>
      <c r="V697" s="41">
        <v>6.0</v>
      </c>
      <c r="W697" s="41">
        <v>0.0</v>
      </c>
      <c r="X697" s="41">
        <v>5.0</v>
      </c>
      <c r="Y697" s="41">
        <v>7.0</v>
      </c>
      <c r="Z697" s="41">
        <v>38.0</v>
      </c>
    </row>
    <row r="698">
      <c r="A698" s="41" t="s">
        <v>904</v>
      </c>
      <c r="B698" s="41" t="s">
        <v>642</v>
      </c>
      <c r="C698" s="41" t="s">
        <v>1907</v>
      </c>
      <c r="D698" s="41" t="s">
        <v>1305</v>
      </c>
      <c r="E698" s="41">
        <v>39.0</v>
      </c>
      <c r="F698" s="41">
        <v>17.0</v>
      </c>
      <c r="G698" s="41">
        <v>22.0</v>
      </c>
      <c r="H698" s="125">
        <v>0.4358974358974359</v>
      </c>
      <c r="I698" s="41">
        <v>5.0</v>
      </c>
      <c r="J698" s="41">
        <v>14136.0</v>
      </c>
      <c r="K698" s="41">
        <v>28.0</v>
      </c>
      <c r="L698" s="41">
        <v>25.0</v>
      </c>
      <c r="M698" s="41">
        <v>61.0</v>
      </c>
      <c r="N698" s="41">
        <v>106.0</v>
      </c>
      <c r="O698" s="122">
        <f t="shared" si="1"/>
        <v>0.2641509434</v>
      </c>
      <c r="P698" s="123">
        <f t="shared" si="5"/>
        <v>362.4615385</v>
      </c>
      <c r="Q698" s="123">
        <f t="shared" si="2"/>
        <v>0.7179487179</v>
      </c>
      <c r="R698" s="123">
        <f t="shared" si="6"/>
        <v>0.641025641</v>
      </c>
      <c r="S698" s="123">
        <f t="shared" si="3"/>
        <v>1.564102564</v>
      </c>
      <c r="T698" s="123">
        <f t="shared" si="4"/>
        <v>2.717948718</v>
      </c>
      <c r="U698" s="41">
        <v>6.0</v>
      </c>
      <c r="V698" s="41">
        <v>2.0</v>
      </c>
      <c r="W698" s="41">
        <v>2.0</v>
      </c>
      <c r="X698" s="41">
        <v>10.0</v>
      </c>
      <c r="Y698" s="41">
        <v>37.0</v>
      </c>
      <c r="Z698" s="41">
        <v>38.0</v>
      </c>
    </row>
    <row r="699">
      <c r="A699" s="41" t="s">
        <v>905</v>
      </c>
      <c r="B699" s="41" t="s">
        <v>119</v>
      </c>
      <c r="C699" s="41" t="s">
        <v>1908</v>
      </c>
      <c r="D699" s="41" t="s">
        <v>1841</v>
      </c>
      <c r="E699" s="41">
        <v>49.0</v>
      </c>
      <c r="F699" s="41">
        <v>27.0</v>
      </c>
      <c r="G699" s="41">
        <v>22.0</v>
      </c>
      <c r="H699" s="125">
        <v>0.5510204081632653</v>
      </c>
      <c r="I699" s="41">
        <v>15.0</v>
      </c>
      <c r="J699" s="41">
        <v>19944.0</v>
      </c>
      <c r="K699" s="41">
        <v>50.0</v>
      </c>
      <c r="L699" s="41">
        <v>27.0</v>
      </c>
      <c r="M699" s="41">
        <v>65.0</v>
      </c>
      <c r="N699" s="41">
        <v>162.0</v>
      </c>
      <c r="O699" s="122">
        <f t="shared" si="1"/>
        <v>0.3086419753</v>
      </c>
      <c r="P699" s="123">
        <f t="shared" si="5"/>
        <v>407.0204082</v>
      </c>
      <c r="Q699" s="123">
        <f t="shared" si="2"/>
        <v>1.020408163</v>
      </c>
      <c r="R699" s="123">
        <f t="shared" si="6"/>
        <v>0.5510204082</v>
      </c>
      <c r="S699" s="123">
        <f t="shared" si="3"/>
        <v>1.326530612</v>
      </c>
      <c r="T699" s="123">
        <f t="shared" si="4"/>
        <v>3.306122449</v>
      </c>
      <c r="U699" s="41">
        <v>8.0</v>
      </c>
      <c r="V699" s="41">
        <v>6.0</v>
      </c>
      <c r="W699" s="41">
        <v>0.0</v>
      </c>
      <c r="X699" s="41">
        <v>4.0</v>
      </c>
      <c r="Y699" s="41">
        <v>36.0</v>
      </c>
      <c r="Z699" s="41">
        <v>65.0</v>
      </c>
    </row>
    <row r="700">
      <c r="A700" s="41" t="s">
        <v>905</v>
      </c>
      <c r="B700" s="41" t="s">
        <v>256</v>
      </c>
      <c r="C700" s="41" t="s">
        <v>1909</v>
      </c>
      <c r="D700" s="41" t="s">
        <v>1333</v>
      </c>
      <c r="E700" s="41">
        <v>4.0</v>
      </c>
      <c r="F700" s="41">
        <v>2.0</v>
      </c>
      <c r="G700" s="41">
        <v>2.0</v>
      </c>
      <c r="H700" s="125">
        <v>0.5</v>
      </c>
      <c r="I700" s="41">
        <v>0.0</v>
      </c>
      <c r="J700" s="41">
        <v>859.0</v>
      </c>
      <c r="K700" s="41">
        <v>1.0</v>
      </c>
      <c r="L700" s="41">
        <v>1.0</v>
      </c>
      <c r="M700" s="41">
        <v>4.0</v>
      </c>
      <c r="N700" s="41">
        <v>4.0</v>
      </c>
      <c r="O700" s="122">
        <f t="shared" si="1"/>
        <v>0.25</v>
      </c>
      <c r="P700" s="123">
        <f t="shared" si="5"/>
        <v>214.75</v>
      </c>
      <c r="Q700" s="123">
        <f t="shared" si="2"/>
        <v>0.25</v>
      </c>
      <c r="R700" s="123">
        <f t="shared" si="6"/>
        <v>0.25</v>
      </c>
      <c r="S700" s="123">
        <f t="shared" si="3"/>
        <v>1</v>
      </c>
      <c r="T700" s="123">
        <f t="shared" si="4"/>
        <v>1</v>
      </c>
      <c r="U700" s="41">
        <v>0.0</v>
      </c>
      <c r="V700" s="41">
        <v>0.0</v>
      </c>
      <c r="W700" s="41">
        <v>0.0</v>
      </c>
      <c r="X700" s="41">
        <v>0.0</v>
      </c>
      <c r="Y700" s="41">
        <v>3.0</v>
      </c>
      <c r="Z700" s="41">
        <v>2.0</v>
      </c>
    </row>
    <row r="701">
      <c r="A701" s="41" t="s">
        <v>906</v>
      </c>
      <c r="B701" s="41" t="s">
        <v>540</v>
      </c>
      <c r="C701" s="41" t="s">
        <v>1910</v>
      </c>
      <c r="D701" s="41" t="s">
        <v>1219</v>
      </c>
      <c r="E701" s="41">
        <v>52.0</v>
      </c>
      <c r="F701" s="41">
        <v>22.0</v>
      </c>
      <c r="G701" s="41">
        <v>30.0</v>
      </c>
      <c r="H701" s="125">
        <v>0.4230769230769231</v>
      </c>
      <c r="I701" s="41">
        <v>8.0</v>
      </c>
      <c r="J701" s="41">
        <v>17944.0</v>
      </c>
      <c r="K701" s="41">
        <v>37.0</v>
      </c>
      <c r="L701" s="41">
        <v>24.0</v>
      </c>
      <c r="M701" s="41">
        <v>76.0</v>
      </c>
      <c r="N701" s="41">
        <v>113.0</v>
      </c>
      <c r="O701" s="122">
        <f t="shared" si="1"/>
        <v>0.3274336283</v>
      </c>
      <c r="P701" s="123">
        <f t="shared" si="5"/>
        <v>345.0769231</v>
      </c>
      <c r="Q701" s="123">
        <f t="shared" si="2"/>
        <v>0.7115384615</v>
      </c>
      <c r="R701" s="123">
        <f t="shared" si="6"/>
        <v>0.4615384615</v>
      </c>
      <c r="S701" s="123">
        <f t="shared" si="3"/>
        <v>1.461538462</v>
      </c>
      <c r="T701" s="123">
        <f t="shared" si="4"/>
        <v>2.173076923</v>
      </c>
      <c r="U701" s="41">
        <v>6.0</v>
      </c>
      <c r="V701" s="41">
        <v>5.0</v>
      </c>
      <c r="W701" s="41">
        <v>2.0</v>
      </c>
      <c r="X701" s="41">
        <v>11.0</v>
      </c>
      <c r="Y701" s="41">
        <v>69.0</v>
      </c>
      <c r="Z701" s="41">
        <v>39.0</v>
      </c>
    </row>
    <row r="702">
      <c r="A702" s="41" t="s">
        <v>897</v>
      </c>
      <c r="B702" s="41" t="s">
        <v>418</v>
      </c>
      <c r="C702" s="41" t="s">
        <v>1911</v>
      </c>
      <c r="D702" s="41" t="s">
        <v>1370</v>
      </c>
      <c r="E702" s="41">
        <v>12.0</v>
      </c>
      <c r="F702" s="41">
        <v>4.0</v>
      </c>
      <c r="G702" s="41">
        <v>8.0</v>
      </c>
      <c r="H702" s="125">
        <v>0.3333333333333333</v>
      </c>
      <c r="I702" s="41">
        <v>1.0</v>
      </c>
      <c r="J702" s="41">
        <v>3801.0</v>
      </c>
      <c r="K702" s="41">
        <v>4.0</v>
      </c>
      <c r="L702" s="41">
        <v>10.0</v>
      </c>
      <c r="M702" s="41">
        <v>19.0</v>
      </c>
      <c r="N702" s="41">
        <v>25.0</v>
      </c>
      <c r="O702" s="122">
        <f t="shared" si="1"/>
        <v>0.16</v>
      </c>
      <c r="P702" s="123">
        <f t="shared" si="5"/>
        <v>316.75</v>
      </c>
      <c r="Q702" s="123">
        <f t="shared" si="2"/>
        <v>0.3333333333</v>
      </c>
      <c r="R702" s="123">
        <f t="shared" si="6"/>
        <v>0.8333333333</v>
      </c>
      <c r="S702" s="123">
        <f t="shared" si="3"/>
        <v>1.583333333</v>
      </c>
      <c r="T702" s="123">
        <f t="shared" si="4"/>
        <v>2.083333333</v>
      </c>
      <c r="U702" s="41">
        <v>3.0</v>
      </c>
      <c r="V702" s="41">
        <v>0.0</v>
      </c>
      <c r="W702" s="41">
        <v>0.0</v>
      </c>
      <c r="X702" s="41">
        <v>1.0</v>
      </c>
      <c r="Y702" s="41">
        <v>9.0</v>
      </c>
      <c r="Z702" s="41">
        <v>12.0</v>
      </c>
    </row>
    <row r="703">
      <c r="A703" s="41" t="s">
        <v>899</v>
      </c>
      <c r="B703" s="41" t="s">
        <v>418</v>
      </c>
      <c r="C703" s="41" t="s">
        <v>1911</v>
      </c>
      <c r="D703" s="41" t="s">
        <v>1012</v>
      </c>
      <c r="E703" s="41">
        <v>4.0</v>
      </c>
      <c r="F703" s="41">
        <v>3.0</v>
      </c>
      <c r="G703" s="41">
        <v>1.0</v>
      </c>
      <c r="H703" s="125">
        <v>0.75</v>
      </c>
      <c r="I703" s="41">
        <v>2.0</v>
      </c>
      <c r="J703" s="41">
        <v>1691.0</v>
      </c>
      <c r="K703" s="41">
        <v>5.0</v>
      </c>
      <c r="L703" s="41">
        <v>2.0</v>
      </c>
      <c r="M703" s="41">
        <v>7.0</v>
      </c>
      <c r="N703" s="41">
        <v>6.0</v>
      </c>
      <c r="O703" s="122">
        <f t="shared" si="1"/>
        <v>0.8333333333</v>
      </c>
      <c r="P703" s="123">
        <f t="shared" si="5"/>
        <v>422.75</v>
      </c>
      <c r="Q703" s="123">
        <f t="shared" si="2"/>
        <v>1.25</v>
      </c>
      <c r="R703" s="123">
        <f t="shared" si="6"/>
        <v>0.5</v>
      </c>
      <c r="S703" s="123">
        <f t="shared" si="3"/>
        <v>1.75</v>
      </c>
      <c r="T703" s="123">
        <f t="shared" si="4"/>
        <v>1.5</v>
      </c>
      <c r="U703" s="41">
        <v>1.0</v>
      </c>
      <c r="V703" s="41">
        <v>0.0</v>
      </c>
      <c r="W703" s="41">
        <v>0.0</v>
      </c>
      <c r="X703" s="41">
        <v>0.0</v>
      </c>
      <c r="Y703" s="41">
        <v>1.0</v>
      </c>
      <c r="Z703" s="41">
        <v>5.0</v>
      </c>
    </row>
    <row r="704">
      <c r="A704" s="41" t="s">
        <v>905</v>
      </c>
      <c r="B704" s="41" t="s">
        <v>108</v>
      </c>
      <c r="C704" s="41" t="s">
        <v>1912</v>
      </c>
      <c r="D704" s="41" t="s">
        <v>1913</v>
      </c>
      <c r="E704" s="41">
        <v>36.0</v>
      </c>
      <c r="F704" s="41">
        <v>27.0</v>
      </c>
      <c r="G704" s="41">
        <v>9.0</v>
      </c>
      <c r="H704" s="125">
        <v>0.75</v>
      </c>
      <c r="I704" s="41">
        <v>13.0</v>
      </c>
      <c r="J704" s="41">
        <v>14832.0</v>
      </c>
      <c r="K704" s="41">
        <v>44.0</v>
      </c>
      <c r="L704" s="41">
        <v>25.0</v>
      </c>
      <c r="M704" s="41">
        <v>48.0</v>
      </c>
      <c r="N704" s="41">
        <v>115.0</v>
      </c>
      <c r="O704" s="122">
        <f t="shared" si="1"/>
        <v>0.3826086957</v>
      </c>
      <c r="P704" s="123">
        <f t="shared" si="5"/>
        <v>412</v>
      </c>
      <c r="Q704" s="123">
        <f t="shared" si="2"/>
        <v>1.222222222</v>
      </c>
      <c r="R704" s="123">
        <f t="shared" si="6"/>
        <v>0.6944444444</v>
      </c>
      <c r="S704" s="123">
        <f t="shared" si="3"/>
        <v>1.333333333</v>
      </c>
      <c r="T704" s="123">
        <f t="shared" si="4"/>
        <v>3.194444444</v>
      </c>
      <c r="U704" s="41">
        <v>9.0</v>
      </c>
      <c r="V704" s="41">
        <v>3.0</v>
      </c>
      <c r="W704" s="41">
        <v>1.0</v>
      </c>
      <c r="X704" s="41">
        <v>7.0</v>
      </c>
      <c r="Y704" s="41">
        <v>89.0</v>
      </c>
      <c r="Z704" s="41">
        <v>22.0</v>
      </c>
    </row>
    <row r="705">
      <c r="A705" s="41" t="s">
        <v>904</v>
      </c>
      <c r="B705" s="41" t="s">
        <v>599</v>
      </c>
      <c r="C705" s="41" t="s">
        <v>1914</v>
      </c>
      <c r="D705" s="41" t="s">
        <v>1086</v>
      </c>
      <c r="E705" s="41">
        <v>56.0</v>
      </c>
      <c r="F705" s="41">
        <v>30.0</v>
      </c>
      <c r="G705" s="41">
        <v>26.0</v>
      </c>
      <c r="H705" s="125">
        <v>0.5357142857142857</v>
      </c>
      <c r="I705" s="41">
        <v>14.0</v>
      </c>
      <c r="J705" s="41">
        <v>22022.0</v>
      </c>
      <c r="K705" s="41">
        <v>49.0</v>
      </c>
      <c r="L705" s="41">
        <v>29.0</v>
      </c>
      <c r="M705" s="41">
        <v>100.0</v>
      </c>
      <c r="N705" s="41">
        <v>137.0</v>
      </c>
      <c r="O705" s="122">
        <f t="shared" si="1"/>
        <v>0.3576642336</v>
      </c>
      <c r="P705" s="123">
        <f t="shared" si="5"/>
        <v>393.25</v>
      </c>
      <c r="Q705" s="123">
        <f t="shared" si="2"/>
        <v>0.875</v>
      </c>
      <c r="R705" s="123">
        <f t="shared" si="6"/>
        <v>0.5178571429</v>
      </c>
      <c r="S705" s="123">
        <f t="shared" si="3"/>
        <v>1.785714286</v>
      </c>
      <c r="T705" s="123">
        <f t="shared" si="4"/>
        <v>2.446428571</v>
      </c>
      <c r="U705" s="41">
        <v>14.0</v>
      </c>
      <c r="V705" s="41">
        <v>5.0</v>
      </c>
      <c r="W705" s="41">
        <v>0.0</v>
      </c>
      <c r="X705" s="41">
        <v>16.0</v>
      </c>
      <c r="Y705" s="41">
        <v>35.0</v>
      </c>
      <c r="Z705" s="41">
        <v>55.0</v>
      </c>
    </row>
    <row r="706">
      <c r="A706" s="41" t="s">
        <v>904</v>
      </c>
      <c r="B706" s="41" t="s">
        <v>660</v>
      </c>
      <c r="C706" s="41" t="s">
        <v>1915</v>
      </c>
      <c r="D706" s="41" t="s">
        <v>1667</v>
      </c>
      <c r="E706" s="41">
        <v>34.0</v>
      </c>
      <c r="F706" s="41">
        <v>16.0</v>
      </c>
      <c r="G706" s="41">
        <v>18.0</v>
      </c>
      <c r="H706" s="125">
        <v>0.47058823529411764</v>
      </c>
      <c r="I706" s="41">
        <v>4.0</v>
      </c>
      <c r="J706" s="41">
        <v>11835.0</v>
      </c>
      <c r="K706" s="41">
        <v>26.0</v>
      </c>
      <c r="L706" s="41">
        <v>16.0</v>
      </c>
      <c r="M706" s="41">
        <v>50.0</v>
      </c>
      <c r="N706" s="41">
        <v>75.0</v>
      </c>
      <c r="O706" s="122">
        <f t="shared" si="1"/>
        <v>0.3466666667</v>
      </c>
      <c r="P706" s="123">
        <f t="shared" si="5"/>
        <v>348.0882353</v>
      </c>
      <c r="Q706" s="123">
        <f t="shared" si="2"/>
        <v>0.7647058824</v>
      </c>
      <c r="R706" s="123">
        <f t="shared" si="6"/>
        <v>0.4705882353</v>
      </c>
      <c r="S706" s="123">
        <f t="shared" si="3"/>
        <v>1.470588235</v>
      </c>
      <c r="T706" s="123">
        <f t="shared" si="4"/>
        <v>2.205882353</v>
      </c>
      <c r="U706" s="41">
        <v>10.0</v>
      </c>
      <c r="V706" s="41">
        <v>1.0</v>
      </c>
      <c r="W706" s="41">
        <v>0.0</v>
      </c>
      <c r="X706" s="41">
        <v>5.0</v>
      </c>
      <c r="Y706" s="41">
        <v>44.0</v>
      </c>
      <c r="Z706" s="41">
        <v>20.0</v>
      </c>
    </row>
    <row r="707">
      <c r="A707" s="41" t="s">
        <v>902</v>
      </c>
      <c r="B707" s="41" t="s">
        <v>783</v>
      </c>
      <c r="C707" s="41" t="s">
        <v>1916</v>
      </c>
      <c r="D707" s="41" t="s">
        <v>1021</v>
      </c>
      <c r="E707" s="41">
        <v>53.0</v>
      </c>
      <c r="F707" s="41">
        <v>22.0</v>
      </c>
      <c r="G707" s="41">
        <v>31.0</v>
      </c>
      <c r="H707" s="125">
        <v>0.41509433962264153</v>
      </c>
      <c r="I707" s="41">
        <v>8.0</v>
      </c>
      <c r="J707" s="41">
        <v>20257.0</v>
      </c>
      <c r="K707" s="41">
        <v>40.0</v>
      </c>
      <c r="L707" s="41">
        <v>27.0</v>
      </c>
      <c r="M707" s="41">
        <v>92.0</v>
      </c>
      <c r="N707" s="41">
        <v>146.0</v>
      </c>
      <c r="O707" s="122">
        <f t="shared" si="1"/>
        <v>0.2739726027</v>
      </c>
      <c r="P707" s="123">
        <f t="shared" si="5"/>
        <v>382.2075472</v>
      </c>
      <c r="Q707" s="123">
        <f t="shared" si="2"/>
        <v>0.7547169811</v>
      </c>
      <c r="R707" s="123">
        <f t="shared" si="6"/>
        <v>0.5094339623</v>
      </c>
      <c r="S707" s="123">
        <f t="shared" si="3"/>
        <v>1.735849057</v>
      </c>
      <c r="T707" s="123">
        <f t="shared" si="4"/>
        <v>2.754716981</v>
      </c>
      <c r="U707" s="41">
        <v>12.0</v>
      </c>
      <c r="V707" s="41">
        <v>1.0</v>
      </c>
      <c r="W707" s="41">
        <v>1.0</v>
      </c>
      <c r="X707" s="41">
        <v>11.0</v>
      </c>
      <c r="Y707" s="41">
        <v>54.0</v>
      </c>
      <c r="Z707" s="41">
        <v>62.0</v>
      </c>
    </row>
    <row r="708">
      <c r="A708" s="41" t="s">
        <v>906</v>
      </c>
      <c r="B708" s="41" t="s">
        <v>528</v>
      </c>
      <c r="C708" s="41" t="s">
        <v>1917</v>
      </c>
      <c r="D708" s="41" t="s">
        <v>1918</v>
      </c>
      <c r="E708" s="41">
        <v>33.0</v>
      </c>
      <c r="F708" s="41">
        <v>14.0</v>
      </c>
      <c r="G708" s="41">
        <v>19.0</v>
      </c>
      <c r="H708" s="125">
        <v>0.42424242424242425</v>
      </c>
      <c r="I708" s="41">
        <v>9.0</v>
      </c>
      <c r="J708" s="41">
        <v>11799.0</v>
      </c>
      <c r="K708" s="41">
        <v>32.0</v>
      </c>
      <c r="L708" s="41">
        <v>16.0</v>
      </c>
      <c r="M708" s="41">
        <v>38.0</v>
      </c>
      <c r="N708" s="41">
        <v>88.0</v>
      </c>
      <c r="O708" s="122">
        <f t="shared" si="1"/>
        <v>0.3636363636</v>
      </c>
      <c r="P708" s="123">
        <f t="shared" si="5"/>
        <v>357.5454545</v>
      </c>
      <c r="Q708" s="123">
        <f t="shared" si="2"/>
        <v>0.9696969697</v>
      </c>
      <c r="R708" s="123">
        <f t="shared" si="6"/>
        <v>0.4848484848</v>
      </c>
      <c r="S708" s="123">
        <f t="shared" si="3"/>
        <v>1.151515152</v>
      </c>
      <c r="T708" s="123">
        <f t="shared" si="4"/>
        <v>2.666666667</v>
      </c>
      <c r="U708" s="41">
        <v>6.0</v>
      </c>
      <c r="V708" s="41">
        <v>5.0</v>
      </c>
      <c r="W708" s="41">
        <v>0.0</v>
      </c>
      <c r="X708" s="41">
        <v>3.0</v>
      </c>
      <c r="Y708" s="41">
        <v>38.0</v>
      </c>
      <c r="Z708" s="41">
        <v>26.0</v>
      </c>
    </row>
    <row r="709">
      <c r="A709" s="41" t="s">
        <v>902</v>
      </c>
      <c r="B709" s="41" t="s">
        <v>786</v>
      </c>
      <c r="C709" s="41" t="s">
        <v>1919</v>
      </c>
      <c r="D709" s="41" t="s">
        <v>937</v>
      </c>
      <c r="E709" s="41">
        <v>12.0</v>
      </c>
      <c r="F709" s="41">
        <v>4.0</v>
      </c>
      <c r="G709" s="41">
        <v>8.0</v>
      </c>
      <c r="H709" s="125">
        <v>0.3333333333333333</v>
      </c>
      <c r="I709" s="41">
        <v>2.0</v>
      </c>
      <c r="J709" s="41">
        <v>4831.0</v>
      </c>
      <c r="K709" s="41">
        <v>11.0</v>
      </c>
      <c r="L709" s="41">
        <v>7.0</v>
      </c>
      <c r="M709" s="41">
        <v>19.0</v>
      </c>
      <c r="N709" s="41">
        <v>30.0</v>
      </c>
      <c r="O709" s="122">
        <f t="shared" si="1"/>
        <v>0.3666666667</v>
      </c>
      <c r="P709" s="123">
        <f t="shared" si="5"/>
        <v>402.5833333</v>
      </c>
      <c r="Q709" s="123">
        <f t="shared" si="2"/>
        <v>0.9166666667</v>
      </c>
      <c r="R709" s="123">
        <f t="shared" si="6"/>
        <v>0.5833333333</v>
      </c>
      <c r="S709" s="123">
        <f t="shared" si="3"/>
        <v>1.583333333</v>
      </c>
      <c r="T709" s="123">
        <f t="shared" si="4"/>
        <v>2.5</v>
      </c>
      <c r="U709" s="41">
        <v>3.0</v>
      </c>
      <c r="V709" s="41">
        <v>2.0</v>
      </c>
      <c r="W709" s="41">
        <v>0.0</v>
      </c>
      <c r="X709" s="41">
        <v>1.0</v>
      </c>
      <c r="Y709" s="41">
        <v>8.0</v>
      </c>
      <c r="Z709" s="41">
        <v>12.0</v>
      </c>
    </row>
    <row r="710">
      <c r="A710" s="41" t="s">
        <v>909</v>
      </c>
      <c r="B710" s="41" t="s">
        <v>88</v>
      </c>
      <c r="C710" s="41" t="s">
        <v>1920</v>
      </c>
      <c r="D710" s="41" t="s">
        <v>1695</v>
      </c>
      <c r="E710" s="41">
        <v>36.0</v>
      </c>
      <c r="F710" s="41">
        <v>22.0</v>
      </c>
      <c r="G710" s="41">
        <v>14.0</v>
      </c>
      <c r="H710" s="125">
        <v>0.6111111111111112</v>
      </c>
      <c r="I710" s="41">
        <v>9.0</v>
      </c>
      <c r="J710" s="41">
        <v>10858.0</v>
      </c>
      <c r="K710" s="41">
        <v>28.0</v>
      </c>
      <c r="L710" s="41">
        <v>14.0</v>
      </c>
      <c r="M710" s="41">
        <v>32.0</v>
      </c>
      <c r="N710" s="41">
        <v>75.0</v>
      </c>
      <c r="O710" s="122">
        <f t="shared" si="1"/>
        <v>0.3733333333</v>
      </c>
      <c r="P710" s="123">
        <f t="shared" si="5"/>
        <v>301.6111111</v>
      </c>
      <c r="Q710" s="123">
        <f t="shared" si="2"/>
        <v>0.7777777778</v>
      </c>
      <c r="R710" s="123">
        <f t="shared" si="6"/>
        <v>0.3888888889</v>
      </c>
      <c r="S710" s="123">
        <f t="shared" si="3"/>
        <v>0.8888888889</v>
      </c>
      <c r="T710" s="123">
        <f t="shared" si="4"/>
        <v>2.083333333</v>
      </c>
      <c r="U710" s="41">
        <v>5.0</v>
      </c>
      <c r="V710" s="41">
        <v>2.0</v>
      </c>
      <c r="W710" s="41">
        <v>0.0</v>
      </c>
      <c r="X710" s="41">
        <v>4.0</v>
      </c>
      <c r="Y710" s="41">
        <v>51.0</v>
      </c>
      <c r="Z710" s="41">
        <v>24.0</v>
      </c>
    </row>
    <row r="711">
      <c r="A711" s="41" t="s">
        <v>899</v>
      </c>
      <c r="B711" s="41" t="s">
        <v>471</v>
      </c>
      <c r="C711" s="41" t="s">
        <v>1921</v>
      </c>
      <c r="D711" s="41" t="s">
        <v>996</v>
      </c>
      <c r="E711" s="41">
        <v>25.0</v>
      </c>
      <c r="F711" s="41">
        <v>8.0</v>
      </c>
      <c r="G711" s="41">
        <v>17.0</v>
      </c>
      <c r="H711" s="125">
        <v>0.32</v>
      </c>
      <c r="I711" s="41">
        <v>2.0</v>
      </c>
      <c r="J711" s="41">
        <v>6271.0</v>
      </c>
      <c r="K711" s="41">
        <v>11.0</v>
      </c>
      <c r="L711" s="41">
        <v>8.0</v>
      </c>
      <c r="M711" s="41">
        <v>29.0</v>
      </c>
      <c r="N711" s="41">
        <v>56.0</v>
      </c>
      <c r="O711" s="122">
        <f t="shared" si="1"/>
        <v>0.1964285714</v>
      </c>
      <c r="P711" s="123">
        <f t="shared" si="5"/>
        <v>250.84</v>
      </c>
      <c r="Q711" s="123">
        <f t="shared" si="2"/>
        <v>0.44</v>
      </c>
      <c r="R711" s="123">
        <f t="shared" si="6"/>
        <v>0.32</v>
      </c>
      <c r="S711" s="123">
        <f t="shared" si="3"/>
        <v>1.16</v>
      </c>
      <c r="T711" s="123">
        <f t="shared" si="4"/>
        <v>2.24</v>
      </c>
      <c r="U711" s="41">
        <v>0.0</v>
      </c>
      <c r="V711" s="41">
        <v>1.0</v>
      </c>
      <c r="W711" s="41">
        <v>0.0</v>
      </c>
      <c r="X711" s="41">
        <v>4.0</v>
      </c>
      <c r="Y711" s="41">
        <v>11.0</v>
      </c>
      <c r="Z711" s="41">
        <v>22.0</v>
      </c>
    </row>
    <row r="712">
      <c r="A712" s="41" t="s">
        <v>904</v>
      </c>
      <c r="B712" s="41" t="s">
        <v>650</v>
      </c>
      <c r="C712" s="41" t="s">
        <v>1922</v>
      </c>
      <c r="D712" s="41" t="s">
        <v>1212</v>
      </c>
      <c r="E712" s="41">
        <v>38.0</v>
      </c>
      <c r="F712" s="41">
        <v>18.0</v>
      </c>
      <c r="G712" s="41">
        <v>20.0</v>
      </c>
      <c r="H712" s="125">
        <v>0.47368421052631576</v>
      </c>
      <c r="I712" s="41">
        <v>4.0</v>
      </c>
      <c r="J712" s="41">
        <v>12143.0</v>
      </c>
      <c r="K712" s="41">
        <v>33.0</v>
      </c>
      <c r="L712" s="41">
        <v>17.0</v>
      </c>
      <c r="M712" s="41">
        <v>43.0</v>
      </c>
      <c r="N712" s="41">
        <v>90.0</v>
      </c>
      <c r="O712" s="122">
        <f t="shared" si="1"/>
        <v>0.3666666667</v>
      </c>
      <c r="P712" s="123">
        <f t="shared" si="5"/>
        <v>319.5526316</v>
      </c>
      <c r="Q712" s="123">
        <f t="shared" si="2"/>
        <v>0.8684210526</v>
      </c>
      <c r="R712" s="123">
        <f t="shared" si="6"/>
        <v>0.4473684211</v>
      </c>
      <c r="S712" s="123">
        <f t="shared" si="3"/>
        <v>1.131578947</v>
      </c>
      <c r="T712" s="123">
        <f t="shared" si="4"/>
        <v>2.368421053</v>
      </c>
      <c r="U712" s="41">
        <v>8.0</v>
      </c>
      <c r="V712" s="41">
        <v>0.0</v>
      </c>
      <c r="W712" s="41">
        <v>1.0</v>
      </c>
      <c r="X712" s="41">
        <v>4.0</v>
      </c>
      <c r="Y712" s="41">
        <v>29.0</v>
      </c>
      <c r="Z712" s="41">
        <v>28.0</v>
      </c>
    </row>
    <row r="713">
      <c r="A713" s="41" t="s">
        <v>905</v>
      </c>
      <c r="B713" s="41" t="s">
        <v>178</v>
      </c>
      <c r="C713" s="41" t="s">
        <v>1923</v>
      </c>
      <c r="D713" s="41" t="s">
        <v>1841</v>
      </c>
      <c r="E713" s="41">
        <v>41.0</v>
      </c>
      <c r="F713" s="41">
        <v>22.0</v>
      </c>
      <c r="G713" s="41">
        <v>19.0</v>
      </c>
      <c r="H713" s="125">
        <v>0.5365853658536586</v>
      </c>
      <c r="I713" s="41">
        <v>4.0</v>
      </c>
      <c r="J713" s="41">
        <v>12672.0</v>
      </c>
      <c r="K713" s="41">
        <v>19.0</v>
      </c>
      <c r="L713" s="41">
        <v>30.0</v>
      </c>
      <c r="M713" s="41">
        <v>35.0</v>
      </c>
      <c r="N713" s="41">
        <v>98.0</v>
      </c>
      <c r="O713" s="122">
        <f t="shared" si="1"/>
        <v>0.193877551</v>
      </c>
      <c r="P713" s="123">
        <f t="shared" si="5"/>
        <v>309.0731707</v>
      </c>
      <c r="Q713" s="123">
        <f t="shared" si="2"/>
        <v>0.4634146341</v>
      </c>
      <c r="R713" s="123">
        <f t="shared" si="6"/>
        <v>0.7317073171</v>
      </c>
      <c r="S713" s="123">
        <f t="shared" si="3"/>
        <v>0.8536585366</v>
      </c>
      <c r="T713" s="123">
        <f t="shared" si="4"/>
        <v>2.390243902</v>
      </c>
      <c r="U713" s="41">
        <v>4.0</v>
      </c>
      <c r="V713" s="41">
        <v>0.0</v>
      </c>
      <c r="W713" s="41">
        <v>1.0</v>
      </c>
      <c r="X713" s="41">
        <v>2.0</v>
      </c>
      <c r="Y713" s="41">
        <v>24.0</v>
      </c>
      <c r="Z713" s="41">
        <v>42.0</v>
      </c>
    </row>
    <row r="714">
      <c r="A714" s="41" t="s">
        <v>906</v>
      </c>
      <c r="B714" s="41" t="s">
        <v>543</v>
      </c>
      <c r="C714" s="41" t="s">
        <v>1924</v>
      </c>
      <c r="D714" s="41" t="s">
        <v>1918</v>
      </c>
      <c r="E714" s="41">
        <v>39.0</v>
      </c>
      <c r="F714" s="41">
        <v>17.0</v>
      </c>
      <c r="G714" s="41">
        <v>22.0</v>
      </c>
      <c r="H714" s="125">
        <v>0.4358974358974359</v>
      </c>
      <c r="I714" s="41">
        <v>8.0</v>
      </c>
      <c r="J714" s="41">
        <v>14216.0</v>
      </c>
      <c r="K714" s="41">
        <v>35.0</v>
      </c>
      <c r="L714" s="41">
        <v>14.0</v>
      </c>
      <c r="M714" s="41">
        <v>56.0</v>
      </c>
      <c r="N714" s="41">
        <v>91.0</v>
      </c>
      <c r="O714" s="122">
        <f t="shared" si="1"/>
        <v>0.3846153846</v>
      </c>
      <c r="P714" s="123">
        <f t="shared" si="5"/>
        <v>364.5128205</v>
      </c>
      <c r="Q714" s="123">
        <f t="shared" si="2"/>
        <v>0.8974358974</v>
      </c>
      <c r="R714" s="123">
        <f t="shared" si="6"/>
        <v>0.358974359</v>
      </c>
      <c r="S714" s="123">
        <f t="shared" si="3"/>
        <v>1.435897436</v>
      </c>
      <c r="T714" s="123">
        <f t="shared" si="4"/>
        <v>2.333333333</v>
      </c>
      <c r="U714" s="41">
        <v>5.0</v>
      </c>
      <c r="V714" s="41">
        <v>2.0</v>
      </c>
      <c r="W714" s="41">
        <v>2.0</v>
      </c>
      <c r="X714" s="41">
        <v>7.0</v>
      </c>
      <c r="Y714" s="41">
        <v>25.0</v>
      </c>
      <c r="Z714" s="41">
        <v>36.0</v>
      </c>
    </row>
    <row r="715">
      <c r="A715" s="41" t="s">
        <v>905</v>
      </c>
      <c r="B715" s="41" t="s">
        <v>142</v>
      </c>
      <c r="C715" s="41" t="s">
        <v>1925</v>
      </c>
      <c r="D715" s="41" t="s">
        <v>1532</v>
      </c>
      <c r="E715" s="41">
        <v>40.0</v>
      </c>
      <c r="F715" s="41">
        <v>22.0</v>
      </c>
      <c r="G715" s="41">
        <v>18.0</v>
      </c>
      <c r="H715" s="125">
        <v>0.55</v>
      </c>
      <c r="I715" s="41">
        <v>6.0</v>
      </c>
      <c r="J715" s="41">
        <v>14311.0</v>
      </c>
      <c r="K715" s="41">
        <v>38.0</v>
      </c>
      <c r="L715" s="41">
        <v>23.0</v>
      </c>
      <c r="M715" s="41">
        <v>55.0</v>
      </c>
      <c r="N715" s="41">
        <v>108.0</v>
      </c>
      <c r="O715" s="122">
        <f t="shared" si="1"/>
        <v>0.3518518519</v>
      </c>
      <c r="P715" s="123">
        <f t="shared" si="5"/>
        <v>357.775</v>
      </c>
      <c r="Q715" s="123">
        <f t="shared" si="2"/>
        <v>0.95</v>
      </c>
      <c r="R715" s="123">
        <f t="shared" si="6"/>
        <v>0.575</v>
      </c>
      <c r="S715" s="123">
        <f t="shared" si="3"/>
        <v>1.375</v>
      </c>
      <c r="T715" s="123">
        <f t="shared" si="4"/>
        <v>2.7</v>
      </c>
      <c r="U715" s="41">
        <v>7.0</v>
      </c>
      <c r="V715" s="41">
        <v>3.0</v>
      </c>
      <c r="W715" s="41">
        <v>1.0</v>
      </c>
      <c r="X715" s="41">
        <v>6.0</v>
      </c>
      <c r="Y715" s="41">
        <v>62.0</v>
      </c>
      <c r="Z715" s="41">
        <v>37.0</v>
      </c>
    </row>
    <row r="716">
      <c r="A716" s="41" t="s">
        <v>904</v>
      </c>
      <c r="B716" s="41" t="s">
        <v>687</v>
      </c>
      <c r="C716" s="41" t="s">
        <v>1926</v>
      </c>
      <c r="D716" s="41" t="s">
        <v>1530</v>
      </c>
      <c r="E716" s="41">
        <v>55.0</v>
      </c>
      <c r="F716" s="41">
        <v>27.0</v>
      </c>
      <c r="G716" s="41">
        <v>28.0</v>
      </c>
      <c r="H716" s="125">
        <v>0.4909090909090909</v>
      </c>
      <c r="I716" s="41">
        <v>10.0</v>
      </c>
      <c r="J716" s="41">
        <v>18874.0</v>
      </c>
      <c r="K716" s="41">
        <v>43.0</v>
      </c>
      <c r="L716" s="41">
        <v>20.0</v>
      </c>
      <c r="M716" s="41">
        <v>84.0</v>
      </c>
      <c r="N716" s="41">
        <v>127.0</v>
      </c>
      <c r="O716" s="122">
        <f t="shared" si="1"/>
        <v>0.3385826772</v>
      </c>
      <c r="P716" s="123">
        <f t="shared" si="5"/>
        <v>343.1636364</v>
      </c>
      <c r="Q716" s="123">
        <f t="shared" si="2"/>
        <v>0.7818181818</v>
      </c>
      <c r="R716" s="123">
        <f t="shared" si="6"/>
        <v>0.3636363636</v>
      </c>
      <c r="S716" s="123">
        <f t="shared" si="3"/>
        <v>1.527272727</v>
      </c>
      <c r="T716" s="123">
        <f t="shared" si="4"/>
        <v>2.309090909</v>
      </c>
      <c r="U716" s="41">
        <v>7.0</v>
      </c>
      <c r="V716" s="41">
        <v>2.0</v>
      </c>
      <c r="W716" s="41">
        <v>1.0</v>
      </c>
      <c r="X716" s="41">
        <v>10.0</v>
      </c>
      <c r="Y716" s="41">
        <v>26.0</v>
      </c>
      <c r="Z716" s="41">
        <v>49.0</v>
      </c>
    </row>
    <row r="717">
      <c r="A717" s="41" t="s">
        <v>897</v>
      </c>
      <c r="B717" s="41" t="s">
        <v>478</v>
      </c>
      <c r="C717" s="41" t="s">
        <v>1927</v>
      </c>
      <c r="D717" s="41" t="s">
        <v>977</v>
      </c>
      <c r="E717" s="41">
        <v>47.0</v>
      </c>
      <c r="F717" s="41">
        <v>32.0</v>
      </c>
      <c r="G717" s="41">
        <v>15.0</v>
      </c>
      <c r="H717" s="125">
        <v>0.6808510638297872</v>
      </c>
      <c r="I717" s="41">
        <v>14.0</v>
      </c>
      <c r="J717" s="41">
        <v>19698.0</v>
      </c>
      <c r="K717" s="41">
        <v>48.0</v>
      </c>
      <c r="L717" s="41">
        <v>38.0</v>
      </c>
      <c r="M717" s="41">
        <v>59.0</v>
      </c>
      <c r="N717" s="41">
        <v>145.0</v>
      </c>
      <c r="O717" s="122">
        <f t="shared" si="1"/>
        <v>0.3310344828</v>
      </c>
      <c r="P717" s="123">
        <f t="shared" si="5"/>
        <v>419.106383</v>
      </c>
      <c r="Q717" s="123">
        <f t="shared" si="2"/>
        <v>1.021276596</v>
      </c>
      <c r="R717" s="123">
        <f t="shared" si="6"/>
        <v>0.8085106383</v>
      </c>
      <c r="S717" s="123">
        <f t="shared" si="3"/>
        <v>1.255319149</v>
      </c>
      <c r="T717" s="123">
        <f t="shared" si="4"/>
        <v>3.085106383</v>
      </c>
      <c r="U717" s="41">
        <v>9.0</v>
      </c>
      <c r="V717" s="41">
        <v>3.0</v>
      </c>
      <c r="W717" s="41">
        <v>4.0</v>
      </c>
      <c r="X717" s="41">
        <v>5.0</v>
      </c>
      <c r="Y717" s="41">
        <v>36.0</v>
      </c>
      <c r="Z717" s="41">
        <v>34.0</v>
      </c>
    </row>
    <row r="718">
      <c r="A718" s="41" t="s">
        <v>902</v>
      </c>
      <c r="B718" s="41" t="s">
        <v>848</v>
      </c>
      <c r="C718" s="41" t="s">
        <v>1928</v>
      </c>
      <c r="D718" s="41" t="s">
        <v>937</v>
      </c>
      <c r="E718" s="41">
        <v>49.0</v>
      </c>
      <c r="F718" s="41">
        <v>14.0</v>
      </c>
      <c r="G718" s="41">
        <v>35.0</v>
      </c>
      <c r="H718" s="125">
        <v>0.2857142857142857</v>
      </c>
      <c r="I718" s="41">
        <v>3.0</v>
      </c>
      <c r="J718" s="41">
        <v>14805.0</v>
      </c>
      <c r="K718" s="41">
        <v>30.0</v>
      </c>
      <c r="L718" s="41">
        <v>28.0</v>
      </c>
      <c r="M718" s="41">
        <v>53.0</v>
      </c>
      <c r="N718" s="41">
        <v>113.0</v>
      </c>
      <c r="O718" s="122">
        <f t="shared" si="1"/>
        <v>0.2654867257</v>
      </c>
      <c r="P718" s="123">
        <f t="shared" si="5"/>
        <v>302.1428571</v>
      </c>
      <c r="Q718" s="123">
        <f t="shared" si="2"/>
        <v>0.612244898</v>
      </c>
      <c r="R718" s="123">
        <f t="shared" si="6"/>
        <v>0.5714285714</v>
      </c>
      <c r="S718" s="123">
        <f t="shared" si="3"/>
        <v>1.081632653</v>
      </c>
      <c r="T718" s="123">
        <f t="shared" si="4"/>
        <v>2.306122449</v>
      </c>
      <c r="U718" s="41">
        <v>10.0</v>
      </c>
      <c r="V718" s="41">
        <v>2.0</v>
      </c>
      <c r="W718" s="41">
        <v>0.0</v>
      </c>
      <c r="X718" s="41">
        <v>1.0</v>
      </c>
      <c r="Y718" s="41">
        <v>53.0</v>
      </c>
      <c r="Z718" s="41">
        <v>58.0</v>
      </c>
    </row>
    <row r="719">
      <c r="A719" s="41" t="s">
        <v>897</v>
      </c>
      <c r="B719" s="41" t="s">
        <v>512</v>
      </c>
      <c r="C719" s="41" t="s">
        <v>1929</v>
      </c>
      <c r="D719" s="41" t="s">
        <v>987</v>
      </c>
      <c r="E719" s="41">
        <v>4.0</v>
      </c>
      <c r="F719" s="41">
        <v>2.0</v>
      </c>
      <c r="G719" s="41">
        <v>2.0</v>
      </c>
      <c r="H719" s="125">
        <v>0.5</v>
      </c>
      <c r="I719" s="41">
        <v>0.0</v>
      </c>
      <c r="J719" s="41">
        <v>1597.0</v>
      </c>
      <c r="K719" s="41">
        <v>2.0</v>
      </c>
      <c r="L719" s="41">
        <v>2.0</v>
      </c>
      <c r="M719" s="41">
        <v>10.0</v>
      </c>
      <c r="N719" s="41">
        <v>12.0</v>
      </c>
      <c r="O719" s="122">
        <f t="shared" si="1"/>
        <v>0.1666666667</v>
      </c>
      <c r="P719" s="123">
        <f t="shared" si="5"/>
        <v>399.25</v>
      </c>
      <c r="Q719" s="123">
        <f t="shared" si="2"/>
        <v>0.5</v>
      </c>
      <c r="R719" s="123">
        <f t="shared" si="6"/>
        <v>0.5</v>
      </c>
      <c r="S719" s="123">
        <f t="shared" si="3"/>
        <v>2.5</v>
      </c>
      <c r="T719" s="123">
        <f t="shared" si="4"/>
        <v>3</v>
      </c>
      <c r="U719" s="41">
        <v>0.0</v>
      </c>
      <c r="V719" s="41">
        <v>0.0</v>
      </c>
      <c r="W719" s="41">
        <v>0.0</v>
      </c>
      <c r="X719" s="41">
        <v>2.0</v>
      </c>
      <c r="Y719" s="41">
        <v>3.0</v>
      </c>
      <c r="Z719" s="41">
        <v>2.0</v>
      </c>
    </row>
    <row r="720">
      <c r="A720" s="41" t="s">
        <v>905</v>
      </c>
      <c r="B720" s="41" t="s">
        <v>244</v>
      </c>
      <c r="C720" s="41" t="s">
        <v>1930</v>
      </c>
      <c r="D720" s="41" t="s">
        <v>1874</v>
      </c>
      <c r="E720" s="41">
        <v>33.0</v>
      </c>
      <c r="F720" s="41">
        <v>14.0</v>
      </c>
      <c r="G720" s="41">
        <v>19.0</v>
      </c>
      <c r="H720" s="125">
        <v>0.42424242424242425</v>
      </c>
      <c r="I720" s="41">
        <v>1.0</v>
      </c>
      <c r="J720" s="41">
        <v>8865.0</v>
      </c>
      <c r="K720" s="41">
        <v>23.0</v>
      </c>
      <c r="L720" s="41">
        <v>12.0</v>
      </c>
      <c r="M720" s="41">
        <v>30.0</v>
      </c>
      <c r="N720" s="41">
        <v>57.0</v>
      </c>
      <c r="O720" s="122">
        <f t="shared" si="1"/>
        <v>0.4035087719</v>
      </c>
      <c r="P720" s="123">
        <f t="shared" si="5"/>
        <v>268.6363636</v>
      </c>
      <c r="Q720" s="123">
        <f t="shared" si="2"/>
        <v>0.696969697</v>
      </c>
      <c r="R720" s="123">
        <f t="shared" si="6"/>
        <v>0.3636363636</v>
      </c>
      <c r="S720" s="123">
        <f t="shared" si="3"/>
        <v>0.9090909091</v>
      </c>
      <c r="T720" s="123">
        <f t="shared" si="4"/>
        <v>1.727272727</v>
      </c>
      <c r="U720" s="41">
        <v>3.0</v>
      </c>
      <c r="V720" s="41">
        <v>1.0</v>
      </c>
      <c r="W720" s="41">
        <v>0.0</v>
      </c>
      <c r="X720" s="41">
        <v>3.0</v>
      </c>
      <c r="Y720" s="41">
        <v>85.0</v>
      </c>
      <c r="Z720" s="41">
        <v>24.0</v>
      </c>
    </row>
    <row r="721">
      <c r="A721" s="41" t="s">
        <v>902</v>
      </c>
      <c r="B721" s="41" t="s">
        <v>738</v>
      </c>
      <c r="C721" s="41" t="s">
        <v>1931</v>
      </c>
      <c r="D721" s="41" t="s">
        <v>1498</v>
      </c>
      <c r="E721" s="41">
        <v>56.0</v>
      </c>
      <c r="F721" s="41">
        <v>30.0</v>
      </c>
      <c r="G721" s="41">
        <v>26.0</v>
      </c>
      <c r="H721" s="125">
        <v>0.5357142857142857</v>
      </c>
      <c r="I721" s="41">
        <v>12.0</v>
      </c>
      <c r="J721" s="41">
        <v>21015.0</v>
      </c>
      <c r="K721" s="41">
        <v>40.0</v>
      </c>
      <c r="L721" s="41">
        <v>47.0</v>
      </c>
      <c r="M721" s="41">
        <v>78.0</v>
      </c>
      <c r="N721" s="41">
        <v>154.0</v>
      </c>
      <c r="O721" s="122">
        <f t="shared" si="1"/>
        <v>0.2597402597</v>
      </c>
      <c r="P721" s="123">
        <f t="shared" si="5"/>
        <v>375.2678571</v>
      </c>
      <c r="Q721" s="123">
        <f t="shared" si="2"/>
        <v>0.7142857143</v>
      </c>
      <c r="R721" s="123">
        <f t="shared" si="6"/>
        <v>0.8392857143</v>
      </c>
      <c r="S721" s="123">
        <f t="shared" si="3"/>
        <v>1.392857143</v>
      </c>
      <c r="T721" s="123">
        <f t="shared" si="4"/>
        <v>2.75</v>
      </c>
      <c r="U721" s="41">
        <v>12.0</v>
      </c>
      <c r="V721" s="41">
        <v>1.0</v>
      </c>
      <c r="W721" s="41">
        <v>6.0</v>
      </c>
      <c r="X721" s="41">
        <v>8.0</v>
      </c>
      <c r="Y721" s="41">
        <v>32.0</v>
      </c>
      <c r="Z721" s="41">
        <v>52.0</v>
      </c>
    </row>
    <row r="722">
      <c r="A722" s="41" t="s">
        <v>901</v>
      </c>
      <c r="B722" s="41" t="s">
        <v>408</v>
      </c>
      <c r="C722" s="41" t="s">
        <v>1932</v>
      </c>
      <c r="D722" s="41" t="s">
        <v>994</v>
      </c>
      <c r="E722" s="41">
        <v>27.0</v>
      </c>
      <c r="F722" s="41">
        <v>5.0</v>
      </c>
      <c r="G722" s="41">
        <v>22.0</v>
      </c>
      <c r="H722" s="125">
        <v>0.18518518518518517</v>
      </c>
      <c r="I722" s="41">
        <v>0.0</v>
      </c>
      <c r="J722" s="41">
        <v>7573.0</v>
      </c>
      <c r="K722" s="41">
        <v>12.0</v>
      </c>
      <c r="L722" s="41">
        <v>10.0</v>
      </c>
      <c r="M722" s="41">
        <v>37.0</v>
      </c>
      <c r="N722" s="41">
        <v>47.0</v>
      </c>
      <c r="O722" s="122">
        <f t="shared" si="1"/>
        <v>0.2553191489</v>
      </c>
      <c r="P722" s="123">
        <f t="shared" si="5"/>
        <v>280.4814815</v>
      </c>
      <c r="Q722" s="123">
        <f t="shared" si="2"/>
        <v>0.4444444444</v>
      </c>
      <c r="R722" s="123">
        <f t="shared" si="6"/>
        <v>0.3703703704</v>
      </c>
      <c r="S722" s="123">
        <f t="shared" si="3"/>
        <v>1.37037037</v>
      </c>
      <c r="T722" s="123">
        <f t="shared" si="4"/>
        <v>1.740740741</v>
      </c>
      <c r="U722" s="41">
        <v>3.0</v>
      </c>
      <c r="V722" s="41">
        <v>1.0</v>
      </c>
      <c r="W722" s="41">
        <v>1.0</v>
      </c>
      <c r="X722" s="41">
        <v>4.0</v>
      </c>
      <c r="Y722" s="41">
        <v>14.0</v>
      </c>
      <c r="Z722" s="41">
        <v>28.0</v>
      </c>
    </row>
    <row r="723">
      <c r="A723" s="41" t="s">
        <v>901</v>
      </c>
      <c r="B723" s="41" t="s">
        <v>369</v>
      </c>
      <c r="C723" s="41" t="s">
        <v>1933</v>
      </c>
      <c r="D723" s="41" t="s">
        <v>1549</v>
      </c>
      <c r="E723" s="41">
        <v>16.0</v>
      </c>
      <c r="F723" s="41">
        <v>3.0</v>
      </c>
      <c r="G723" s="41">
        <v>13.0</v>
      </c>
      <c r="H723" s="125">
        <v>0.1875</v>
      </c>
      <c r="I723" s="41">
        <v>1.0</v>
      </c>
      <c r="J723" s="41">
        <v>5725.0</v>
      </c>
      <c r="K723" s="41">
        <v>16.0</v>
      </c>
      <c r="L723" s="41">
        <v>7.0</v>
      </c>
      <c r="M723" s="41">
        <v>21.0</v>
      </c>
      <c r="N723" s="41">
        <v>39.0</v>
      </c>
      <c r="O723" s="122">
        <f t="shared" si="1"/>
        <v>0.4102564103</v>
      </c>
      <c r="P723" s="123">
        <f t="shared" si="5"/>
        <v>357.8125</v>
      </c>
      <c r="Q723" s="123">
        <f t="shared" si="2"/>
        <v>1</v>
      </c>
      <c r="R723" s="123">
        <f t="shared" si="6"/>
        <v>0.4375</v>
      </c>
      <c r="S723" s="123">
        <f t="shared" si="3"/>
        <v>1.3125</v>
      </c>
      <c r="T723" s="123">
        <f t="shared" si="4"/>
        <v>2.4375</v>
      </c>
      <c r="U723" s="41">
        <v>3.0</v>
      </c>
      <c r="V723" s="41">
        <v>0.0</v>
      </c>
      <c r="W723" s="41">
        <v>0.0</v>
      </c>
      <c r="X723" s="41">
        <v>2.0</v>
      </c>
      <c r="Y723" s="41">
        <v>10.0</v>
      </c>
      <c r="Z723" s="41">
        <v>14.0</v>
      </c>
    </row>
    <row r="724">
      <c r="A724" s="41" t="s">
        <v>901</v>
      </c>
      <c r="B724" s="41" t="s">
        <v>413</v>
      </c>
      <c r="C724" s="41" t="s">
        <v>1934</v>
      </c>
      <c r="D724" s="41" t="s">
        <v>1122</v>
      </c>
      <c r="E724" s="41">
        <v>4.0</v>
      </c>
      <c r="F724" s="41">
        <v>2.0</v>
      </c>
      <c r="G724" s="41">
        <v>2.0</v>
      </c>
      <c r="H724" s="125">
        <v>0.5</v>
      </c>
      <c r="I724" s="41">
        <v>0.0</v>
      </c>
      <c r="J724" s="41">
        <v>1025.0</v>
      </c>
      <c r="K724" s="41">
        <v>1.0</v>
      </c>
      <c r="L724" s="41">
        <v>0.0</v>
      </c>
      <c r="M724" s="41">
        <v>5.0</v>
      </c>
      <c r="N724" s="41">
        <v>12.0</v>
      </c>
      <c r="O724" s="122">
        <f t="shared" si="1"/>
        <v>0.08333333333</v>
      </c>
      <c r="P724" s="123">
        <f t="shared" si="5"/>
        <v>256.25</v>
      </c>
      <c r="Q724" s="123">
        <f t="shared" si="2"/>
        <v>0.25</v>
      </c>
      <c r="R724" s="123">
        <f t="shared" si="6"/>
        <v>0</v>
      </c>
      <c r="S724" s="123">
        <f t="shared" si="3"/>
        <v>1.25</v>
      </c>
      <c r="T724" s="123">
        <f t="shared" si="4"/>
        <v>3</v>
      </c>
      <c r="U724" s="41">
        <v>0.0</v>
      </c>
      <c r="V724" s="41">
        <v>0.0</v>
      </c>
      <c r="W724" s="41">
        <v>0.0</v>
      </c>
      <c r="X724" s="41">
        <v>1.0</v>
      </c>
      <c r="Y724" s="41">
        <v>5.0</v>
      </c>
      <c r="Z724" s="41">
        <v>3.0</v>
      </c>
    </row>
    <row r="725">
      <c r="A725" s="41" t="s">
        <v>905</v>
      </c>
      <c r="B725" s="41" t="s">
        <v>173</v>
      </c>
      <c r="C725" s="41" t="s">
        <v>1935</v>
      </c>
      <c r="D725" s="41" t="s">
        <v>1023</v>
      </c>
      <c r="E725" s="41">
        <v>43.0</v>
      </c>
      <c r="F725" s="41">
        <v>29.0</v>
      </c>
      <c r="G725" s="41">
        <v>14.0</v>
      </c>
      <c r="H725" s="125">
        <v>0.6744186046511628</v>
      </c>
      <c r="I725" s="41">
        <v>6.0</v>
      </c>
      <c r="J725" s="41">
        <v>13370.0</v>
      </c>
      <c r="K725" s="41">
        <v>32.0</v>
      </c>
      <c r="L725" s="41">
        <v>19.0</v>
      </c>
      <c r="M725" s="41">
        <v>44.0</v>
      </c>
      <c r="N725" s="41">
        <v>115.0</v>
      </c>
      <c r="O725" s="122">
        <f t="shared" si="1"/>
        <v>0.2782608696</v>
      </c>
      <c r="P725" s="123">
        <f t="shared" si="5"/>
        <v>310.9302326</v>
      </c>
      <c r="Q725" s="123">
        <f t="shared" si="2"/>
        <v>0.7441860465</v>
      </c>
      <c r="R725" s="123">
        <f t="shared" si="6"/>
        <v>0.4418604651</v>
      </c>
      <c r="S725" s="123">
        <f t="shared" si="3"/>
        <v>1.023255814</v>
      </c>
      <c r="T725" s="123">
        <f t="shared" si="4"/>
        <v>2.674418605</v>
      </c>
      <c r="U725" s="41">
        <v>6.0</v>
      </c>
      <c r="V725" s="41">
        <v>2.0</v>
      </c>
      <c r="W725" s="41">
        <v>1.0</v>
      </c>
      <c r="X725" s="41">
        <v>2.0</v>
      </c>
      <c r="Y725" s="41">
        <v>30.0</v>
      </c>
      <c r="Z725" s="41">
        <v>37.0</v>
      </c>
    </row>
    <row r="726">
      <c r="A726" s="41" t="s">
        <v>904</v>
      </c>
      <c r="B726" s="41" t="s">
        <v>594</v>
      </c>
      <c r="C726" s="41" t="s">
        <v>1936</v>
      </c>
      <c r="D726" s="41" t="s">
        <v>1086</v>
      </c>
      <c r="E726" s="41">
        <v>44.0</v>
      </c>
      <c r="F726" s="41">
        <v>24.0</v>
      </c>
      <c r="G726" s="41">
        <v>20.0</v>
      </c>
      <c r="H726" s="125">
        <v>0.5454545454545454</v>
      </c>
      <c r="I726" s="41">
        <v>9.0</v>
      </c>
      <c r="J726" s="41">
        <v>16382.0</v>
      </c>
      <c r="K726" s="41">
        <v>41.0</v>
      </c>
      <c r="L726" s="41">
        <v>31.0</v>
      </c>
      <c r="M726" s="41">
        <v>50.0</v>
      </c>
      <c r="N726" s="41">
        <v>119.0</v>
      </c>
      <c r="O726" s="122">
        <f t="shared" si="1"/>
        <v>0.3445378151</v>
      </c>
      <c r="P726" s="123">
        <f t="shared" si="5"/>
        <v>372.3181818</v>
      </c>
      <c r="Q726" s="123">
        <f t="shared" si="2"/>
        <v>0.9318181818</v>
      </c>
      <c r="R726" s="123">
        <f t="shared" si="6"/>
        <v>0.7045454545</v>
      </c>
      <c r="S726" s="123">
        <f t="shared" si="3"/>
        <v>1.136363636</v>
      </c>
      <c r="T726" s="123">
        <f t="shared" si="4"/>
        <v>2.704545455</v>
      </c>
      <c r="U726" s="41">
        <v>11.0</v>
      </c>
      <c r="V726" s="41">
        <v>4.0</v>
      </c>
      <c r="W726" s="41">
        <v>1.0</v>
      </c>
      <c r="X726" s="41">
        <v>7.0</v>
      </c>
      <c r="Y726" s="41">
        <v>9.0</v>
      </c>
      <c r="Z726" s="41">
        <v>46.0</v>
      </c>
    </row>
    <row r="727">
      <c r="A727" s="41" t="s">
        <v>901</v>
      </c>
      <c r="B727" s="41" t="s">
        <v>261</v>
      </c>
      <c r="C727" s="41" t="s">
        <v>1937</v>
      </c>
      <c r="D727" s="41" t="s">
        <v>1938</v>
      </c>
      <c r="E727" s="41">
        <v>40.0</v>
      </c>
      <c r="F727" s="41">
        <v>25.0</v>
      </c>
      <c r="G727" s="41">
        <v>15.0</v>
      </c>
      <c r="H727" s="125">
        <v>0.625</v>
      </c>
      <c r="I727" s="41">
        <v>12.0</v>
      </c>
      <c r="J727" s="41">
        <v>17266.0</v>
      </c>
      <c r="K727" s="41">
        <v>41.0</v>
      </c>
      <c r="L727" s="41">
        <v>34.0</v>
      </c>
      <c r="M727" s="41">
        <v>60.0</v>
      </c>
      <c r="N727" s="41">
        <v>115.0</v>
      </c>
      <c r="O727" s="122">
        <f t="shared" si="1"/>
        <v>0.3565217391</v>
      </c>
      <c r="P727" s="123">
        <f t="shared" si="5"/>
        <v>431.65</v>
      </c>
      <c r="Q727" s="123">
        <f t="shared" si="2"/>
        <v>1.025</v>
      </c>
      <c r="R727" s="123">
        <f t="shared" si="6"/>
        <v>0.85</v>
      </c>
      <c r="S727" s="123">
        <f t="shared" si="3"/>
        <v>1.5</v>
      </c>
      <c r="T727" s="123">
        <f t="shared" si="4"/>
        <v>2.875</v>
      </c>
      <c r="U727" s="41">
        <v>14.0</v>
      </c>
      <c r="V727" s="41">
        <v>3.0</v>
      </c>
      <c r="W727" s="41">
        <v>1.0</v>
      </c>
      <c r="X727" s="41">
        <v>8.0</v>
      </c>
      <c r="Y727" s="41">
        <v>58.0</v>
      </c>
      <c r="Z727" s="41">
        <v>28.0</v>
      </c>
    </row>
    <row r="728">
      <c r="A728" s="41" t="s">
        <v>901</v>
      </c>
      <c r="B728" s="41" t="s">
        <v>347</v>
      </c>
      <c r="C728" s="41" t="s">
        <v>1939</v>
      </c>
      <c r="D728" s="41" t="s">
        <v>1565</v>
      </c>
      <c r="E728" s="41">
        <v>52.0</v>
      </c>
      <c r="F728" s="41">
        <v>16.0</v>
      </c>
      <c r="G728" s="41">
        <v>36.0</v>
      </c>
      <c r="H728" s="125">
        <v>0.3076923076923077</v>
      </c>
      <c r="I728" s="41">
        <v>5.0</v>
      </c>
      <c r="J728" s="41">
        <v>19364.0</v>
      </c>
      <c r="K728" s="41">
        <v>39.0</v>
      </c>
      <c r="L728" s="41">
        <v>28.0</v>
      </c>
      <c r="M728" s="41">
        <v>79.0</v>
      </c>
      <c r="N728" s="41">
        <v>126.0</v>
      </c>
      <c r="O728" s="122">
        <f t="shared" si="1"/>
        <v>0.3095238095</v>
      </c>
      <c r="P728" s="123">
        <f t="shared" si="5"/>
        <v>372.3846154</v>
      </c>
      <c r="Q728" s="123">
        <f t="shared" si="2"/>
        <v>0.75</v>
      </c>
      <c r="R728" s="123">
        <f t="shared" si="6"/>
        <v>0.5384615385</v>
      </c>
      <c r="S728" s="123">
        <f t="shared" si="3"/>
        <v>1.519230769</v>
      </c>
      <c r="T728" s="123">
        <f t="shared" si="4"/>
        <v>2.423076923</v>
      </c>
      <c r="U728" s="41">
        <v>11.0</v>
      </c>
      <c r="V728" s="41">
        <v>1.0</v>
      </c>
      <c r="W728" s="41">
        <v>2.0</v>
      </c>
      <c r="X728" s="41">
        <v>10.0</v>
      </c>
      <c r="Y728" s="41">
        <v>51.0</v>
      </c>
      <c r="Z728" s="41">
        <v>63.0</v>
      </c>
    </row>
    <row r="729">
      <c r="A729" s="41" t="s">
        <v>902</v>
      </c>
      <c r="B729" s="41" t="s">
        <v>845</v>
      </c>
      <c r="C729" s="41" t="s">
        <v>1940</v>
      </c>
      <c r="D729" s="41" t="s">
        <v>975</v>
      </c>
      <c r="E729" s="41">
        <v>36.0</v>
      </c>
      <c r="F729" s="41">
        <v>18.0</v>
      </c>
      <c r="G729" s="41">
        <v>18.0</v>
      </c>
      <c r="H729" s="125">
        <v>0.5</v>
      </c>
      <c r="I729" s="41">
        <v>2.0</v>
      </c>
      <c r="J729" s="41">
        <v>11181.0</v>
      </c>
      <c r="K729" s="41">
        <v>20.0</v>
      </c>
      <c r="L729" s="41">
        <v>12.0</v>
      </c>
      <c r="M729" s="41">
        <v>49.0</v>
      </c>
      <c r="N729" s="41">
        <v>86.0</v>
      </c>
      <c r="O729" s="122">
        <f t="shared" si="1"/>
        <v>0.2325581395</v>
      </c>
      <c r="P729" s="123">
        <f t="shared" si="5"/>
        <v>310.5833333</v>
      </c>
      <c r="Q729" s="123">
        <f t="shared" si="2"/>
        <v>0.5555555556</v>
      </c>
      <c r="R729" s="123">
        <f t="shared" si="6"/>
        <v>0.3333333333</v>
      </c>
      <c r="S729" s="123">
        <f t="shared" si="3"/>
        <v>1.361111111</v>
      </c>
      <c r="T729" s="123">
        <f t="shared" si="4"/>
        <v>2.388888889</v>
      </c>
      <c r="U729" s="41">
        <v>6.0</v>
      </c>
      <c r="V729" s="41">
        <v>0.0</v>
      </c>
      <c r="W729" s="41">
        <v>0.0</v>
      </c>
      <c r="X729" s="41">
        <v>5.0</v>
      </c>
      <c r="Y729" s="41">
        <v>33.0</v>
      </c>
      <c r="Z729" s="41">
        <v>52.0</v>
      </c>
    </row>
    <row r="730">
      <c r="A730" s="41" t="s">
        <v>905</v>
      </c>
      <c r="B730" s="41" t="s">
        <v>238</v>
      </c>
      <c r="C730" s="41" t="s">
        <v>1941</v>
      </c>
      <c r="D730" s="41" t="s">
        <v>1942</v>
      </c>
      <c r="E730" s="41">
        <v>10.0</v>
      </c>
      <c r="F730" s="41">
        <v>4.0</v>
      </c>
      <c r="G730" s="41">
        <v>6.0</v>
      </c>
      <c r="H730" s="125">
        <v>0.4</v>
      </c>
      <c r="I730" s="41">
        <v>2.0</v>
      </c>
      <c r="J730" s="41">
        <v>3508.0</v>
      </c>
      <c r="K730" s="41">
        <v>9.0</v>
      </c>
      <c r="L730" s="41">
        <v>2.0</v>
      </c>
      <c r="M730" s="41">
        <v>17.0</v>
      </c>
      <c r="N730" s="41">
        <v>22.0</v>
      </c>
      <c r="O730" s="122">
        <f t="shared" si="1"/>
        <v>0.4090909091</v>
      </c>
      <c r="P730" s="123">
        <f t="shared" si="5"/>
        <v>350.8</v>
      </c>
      <c r="Q730" s="123">
        <f t="shared" si="2"/>
        <v>0.9</v>
      </c>
      <c r="R730" s="123">
        <f t="shared" si="6"/>
        <v>0.2</v>
      </c>
      <c r="S730" s="123">
        <f t="shared" si="3"/>
        <v>1.7</v>
      </c>
      <c r="T730" s="123">
        <f t="shared" si="4"/>
        <v>2.2</v>
      </c>
      <c r="U730" s="41">
        <v>1.0</v>
      </c>
      <c r="V730" s="41">
        <v>1.0</v>
      </c>
      <c r="W730" s="41">
        <v>0.0</v>
      </c>
      <c r="X730" s="41">
        <v>3.0</v>
      </c>
      <c r="Y730" s="41">
        <v>7.0</v>
      </c>
      <c r="Z730" s="41">
        <v>5.0</v>
      </c>
    </row>
    <row r="731">
      <c r="A731" s="41" t="s">
        <v>899</v>
      </c>
      <c r="B731" s="41" t="s">
        <v>473</v>
      </c>
      <c r="C731" s="41" t="s">
        <v>1943</v>
      </c>
      <c r="D731" s="41" t="s">
        <v>988</v>
      </c>
      <c r="E731" s="41">
        <v>13.0</v>
      </c>
      <c r="F731" s="41">
        <v>6.0</v>
      </c>
      <c r="G731" s="41">
        <v>7.0</v>
      </c>
      <c r="H731" s="125">
        <v>0.46153846153846156</v>
      </c>
      <c r="I731" s="41">
        <v>3.0</v>
      </c>
      <c r="J731" s="41">
        <v>2352.0</v>
      </c>
      <c r="K731" s="41">
        <v>2.0</v>
      </c>
      <c r="L731" s="41">
        <v>5.0</v>
      </c>
      <c r="M731" s="41">
        <v>9.0</v>
      </c>
      <c r="N731" s="41">
        <v>8.0</v>
      </c>
      <c r="O731" s="122">
        <f t="shared" si="1"/>
        <v>0.25</v>
      </c>
      <c r="P731" s="123">
        <f t="shared" si="5"/>
        <v>180.9230769</v>
      </c>
      <c r="Q731" s="123">
        <f t="shared" si="2"/>
        <v>0.1538461538</v>
      </c>
      <c r="R731" s="123">
        <f t="shared" si="6"/>
        <v>0.3846153846</v>
      </c>
      <c r="S731" s="123">
        <f t="shared" si="3"/>
        <v>0.6923076923</v>
      </c>
      <c r="T731" s="123">
        <f t="shared" si="4"/>
        <v>0.6153846154</v>
      </c>
      <c r="U731" s="41">
        <v>0.0</v>
      </c>
      <c r="V731" s="41">
        <v>1.0</v>
      </c>
      <c r="W731" s="41">
        <v>1.0</v>
      </c>
      <c r="X731" s="41">
        <v>0.0</v>
      </c>
      <c r="Y731" s="41">
        <v>11.0</v>
      </c>
      <c r="Z731" s="41">
        <v>6.0</v>
      </c>
    </row>
    <row r="732">
      <c r="A732" s="41" t="s">
        <v>902</v>
      </c>
      <c r="B732" s="41" t="s">
        <v>729</v>
      </c>
      <c r="C732" s="41" t="s">
        <v>1944</v>
      </c>
      <c r="D732" s="41" t="s">
        <v>1255</v>
      </c>
      <c r="E732" s="41">
        <v>36.0</v>
      </c>
      <c r="F732" s="41">
        <v>27.0</v>
      </c>
      <c r="G732" s="41">
        <v>9.0</v>
      </c>
      <c r="H732" s="125">
        <v>0.75</v>
      </c>
      <c r="I732" s="41">
        <v>7.0</v>
      </c>
      <c r="J732" s="41">
        <v>14089.0</v>
      </c>
      <c r="K732" s="41">
        <v>35.0</v>
      </c>
      <c r="L732" s="41">
        <v>37.0</v>
      </c>
      <c r="M732" s="41">
        <v>33.0</v>
      </c>
      <c r="N732" s="41">
        <v>118.0</v>
      </c>
      <c r="O732" s="122">
        <f t="shared" si="1"/>
        <v>0.2966101695</v>
      </c>
      <c r="P732" s="123">
        <f t="shared" si="5"/>
        <v>391.3611111</v>
      </c>
      <c r="Q732" s="123">
        <f t="shared" si="2"/>
        <v>0.9722222222</v>
      </c>
      <c r="R732" s="123">
        <f t="shared" si="6"/>
        <v>1.027777778</v>
      </c>
      <c r="S732" s="123">
        <f t="shared" si="3"/>
        <v>0.9166666667</v>
      </c>
      <c r="T732" s="123">
        <f t="shared" si="4"/>
        <v>3.277777778</v>
      </c>
      <c r="U732" s="41">
        <v>4.0</v>
      </c>
      <c r="V732" s="41">
        <v>4.0</v>
      </c>
      <c r="W732" s="41">
        <v>3.0</v>
      </c>
      <c r="X732" s="41">
        <v>1.0</v>
      </c>
      <c r="Y732" s="41">
        <v>45.0</v>
      </c>
      <c r="Z732" s="41">
        <v>26.0</v>
      </c>
    </row>
    <row r="733">
      <c r="A733" s="41" t="s">
        <v>906</v>
      </c>
      <c r="B733" s="41" t="s">
        <v>547</v>
      </c>
      <c r="C733" s="41" t="s">
        <v>1945</v>
      </c>
      <c r="D733" s="41" t="s">
        <v>1946</v>
      </c>
      <c r="E733" s="41">
        <v>40.0</v>
      </c>
      <c r="F733" s="41">
        <v>21.0</v>
      </c>
      <c r="G733" s="41">
        <v>19.0</v>
      </c>
      <c r="H733" s="125">
        <v>0.525</v>
      </c>
      <c r="I733" s="41">
        <v>6.0</v>
      </c>
      <c r="J733" s="41">
        <v>12510.0</v>
      </c>
      <c r="K733" s="41">
        <v>24.0</v>
      </c>
      <c r="L733" s="41">
        <v>31.0</v>
      </c>
      <c r="M733" s="41">
        <v>45.0</v>
      </c>
      <c r="N733" s="41">
        <v>78.0</v>
      </c>
      <c r="O733" s="122">
        <f t="shared" si="1"/>
        <v>0.3076923077</v>
      </c>
      <c r="P733" s="123">
        <f t="shared" si="5"/>
        <v>312.75</v>
      </c>
      <c r="Q733" s="123">
        <f t="shared" si="2"/>
        <v>0.6</v>
      </c>
      <c r="R733" s="123">
        <f t="shared" si="6"/>
        <v>0.775</v>
      </c>
      <c r="S733" s="123">
        <f t="shared" si="3"/>
        <v>1.125</v>
      </c>
      <c r="T733" s="123">
        <f t="shared" si="4"/>
        <v>1.95</v>
      </c>
      <c r="U733" s="41">
        <v>10.0</v>
      </c>
      <c r="V733" s="41">
        <v>0.0</v>
      </c>
      <c r="W733" s="41">
        <v>2.0</v>
      </c>
      <c r="X733" s="41">
        <v>1.0</v>
      </c>
      <c r="Y733" s="41">
        <v>55.0</v>
      </c>
      <c r="Z733" s="41">
        <v>30.0</v>
      </c>
    </row>
    <row r="734">
      <c r="A734" s="41" t="s">
        <v>902</v>
      </c>
      <c r="B734" s="41" t="s">
        <v>808</v>
      </c>
      <c r="C734" s="41" t="s">
        <v>1947</v>
      </c>
      <c r="D734" s="41" t="s">
        <v>1466</v>
      </c>
      <c r="E734" s="41">
        <v>50.0</v>
      </c>
      <c r="F734" s="41">
        <v>26.0</v>
      </c>
      <c r="G734" s="41">
        <v>24.0</v>
      </c>
      <c r="H734" s="125">
        <v>0.52</v>
      </c>
      <c r="I734" s="41">
        <v>7.0</v>
      </c>
      <c r="J734" s="41">
        <v>17748.0</v>
      </c>
      <c r="K734" s="41">
        <v>31.0</v>
      </c>
      <c r="L734" s="41">
        <v>34.0</v>
      </c>
      <c r="M734" s="41">
        <v>73.0</v>
      </c>
      <c r="N734" s="41">
        <v>102.0</v>
      </c>
      <c r="O734" s="122">
        <f t="shared" si="1"/>
        <v>0.3039215686</v>
      </c>
      <c r="P734" s="123">
        <f t="shared" si="5"/>
        <v>354.96</v>
      </c>
      <c r="Q734" s="123">
        <f t="shared" si="2"/>
        <v>0.62</v>
      </c>
      <c r="R734" s="123">
        <f t="shared" si="6"/>
        <v>0.68</v>
      </c>
      <c r="S734" s="123">
        <f t="shared" si="3"/>
        <v>1.46</v>
      </c>
      <c r="T734" s="123">
        <f t="shared" si="4"/>
        <v>2.04</v>
      </c>
      <c r="U734" s="41">
        <v>11.0</v>
      </c>
      <c r="V734" s="41">
        <v>0.0</v>
      </c>
      <c r="W734" s="41">
        <v>2.0</v>
      </c>
      <c r="X734" s="41">
        <v>8.0</v>
      </c>
      <c r="Y734" s="41">
        <v>56.0</v>
      </c>
      <c r="Z734" s="41">
        <v>50.0</v>
      </c>
    </row>
    <row r="735">
      <c r="A735" s="41" t="s">
        <v>902</v>
      </c>
      <c r="B735" s="41" t="s">
        <v>758</v>
      </c>
      <c r="C735" s="41" t="s">
        <v>1948</v>
      </c>
      <c r="D735" s="41" t="s">
        <v>1181</v>
      </c>
      <c r="E735" s="41">
        <v>56.0</v>
      </c>
      <c r="F735" s="41">
        <v>36.0</v>
      </c>
      <c r="G735" s="41">
        <v>20.0</v>
      </c>
      <c r="H735" s="125">
        <v>0.6428571428571429</v>
      </c>
      <c r="I735" s="41">
        <v>11.0</v>
      </c>
      <c r="J735" s="41">
        <v>22299.0</v>
      </c>
      <c r="K735" s="41">
        <v>50.0</v>
      </c>
      <c r="L735" s="41">
        <v>41.0</v>
      </c>
      <c r="M735" s="41">
        <v>79.0</v>
      </c>
      <c r="N735" s="41">
        <v>180.0</v>
      </c>
      <c r="O735" s="122">
        <f t="shared" si="1"/>
        <v>0.2777777778</v>
      </c>
      <c r="P735" s="123">
        <f t="shared" si="5"/>
        <v>398.1964286</v>
      </c>
      <c r="Q735" s="123">
        <f t="shared" si="2"/>
        <v>0.8928571429</v>
      </c>
      <c r="R735" s="123">
        <f t="shared" si="6"/>
        <v>0.7321428571</v>
      </c>
      <c r="S735" s="123">
        <f t="shared" si="3"/>
        <v>1.410714286</v>
      </c>
      <c r="T735" s="123">
        <f t="shared" si="4"/>
        <v>3.214285714</v>
      </c>
      <c r="U735" s="41">
        <v>18.0</v>
      </c>
      <c r="V735" s="41">
        <v>2.0</v>
      </c>
      <c r="W735" s="41">
        <v>3.0</v>
      </c>
      <c r="X735" s="41">
        <v>11.0</v>
      </c>
      <c r="Y735" s="41">
        <v>65.0</v>
      </c>
      <c r="Z735" s="41">
        <v>62.0</v>
      </c>
    </row>
    <row r="736">
      <c r="A736" s="41" t="s">
        <v>906</v>
      </c>
      <c r="B736" s="41" t="s">
        <v>563</v>
      </c>
      <c r="C736" s="41" t="s">
        <v>1949</v>
      </c>
      <c r="D736" s="41" t="s">
        <v>1918</v>
      </c>
      <c r="E736" s="41">
        <v>38.0</v>
      </c>
      <c r="F736" s="41">
        <v>13.0</v>
      </c>
      <c r="G736" s="41">
        <v>25.0</v>
      </c>
      <c r="H736" s="125">
        <v>0.34210526315789475</v>
      </c>
      <c r="I736" s="41">
        <v>3.0</v>
      </c>
      <c r="J736" s="41">
        <v>10903.0</v>
      </c>
      <c r="K736" s="41">
        <v>24.0</v>
      </c>
      <c r="L736" s="41">
        <v>12.0</v>
      </c>
      <c r="M736" s="41">
        <v>43.0</v>
      </c>
      <c r="N736" s="41">
        <v>78.0</v>
      </c>
      <c r="O736" s="122">
        <f t="shared" si="1"/>
        <v>0.3076923077</v>
      </c>
      <c r="P736" s="123">
        <f t="shared" si="5"/>
        <v>286.9210526</v>
      </c>
      <c r="Q736" s="123">
        <f t="shared" si="2"/>
        <v>0.6315789474</v>
      </c>
      <c r="R736" s="123">
        <f t="shared" si="6"/>
        <v>0.3157894737</v>
      </c>
      <c r="S736" s="123">
        <f t="shared" si="3"/>
        <v>1.131578947</v>
      </c>
      <c r="T736" s="123">
        <f t="shared" si="4"/>
        <v>2.052631579</v>
      </c>
      <c r="U736" s="41">
        <v>7.0</v>
      </c>
      <c r="V736" s="41">
        <v>1.0</v>
      </c>
      <c r="W736" s="41">
        <v>0.0</v>
      </c>
      <c r="X736" s="41">
        <v>4.0</v>
      </c>
      <c r="Y736" s="41">
        <v>63.0</v>
      </c>
      <c r="Z736" s="41">
        <v>37.0</v>
      </c>
    </row>
    <row r="737">
      <c r="A737" s="41" t="s">
        <v>901</v>
      </c>
      <c r="B737" s="41" t="s">
        <v>320</v>
      </c>
      <c r="C737" s="41" t="s">
        <v>1950</v>
      </c>
      <c r="D737" s="41" t="s">
        <v>1208</v>
      </c>
      <c r="E737" s="41">
        <v>23.0</v>
      </c>
      <c r="F737" s="41">
        <v>15.0</v>
      </c>
      <c r="G737" s="41">
        <v>8.0</v>
      </c>
      <c r="H737" s="125">
        <v>0.6521739130434783</v>
      </c>
      <c r="I737" s="41">
        <v>3.0</v>
      </c>
      <c r="J737" s="41">
        <v>8014.0</v>
      </c>
      <c r="K737" s="41">
        <v>17.0</v>
      </c>
      <c r="L737" s="41">
        <v>19.0</v>
      </c>
      <c r="M737" s="41">
        <v>33.0</v>
      </c>
      <c r="N737" s="41">
        <v>49.0</v>
      </c>
      <c r="O737" s="122">
        <f t="shared" si="1"/>
        <v>0.3469387755</v>
      </c>
      <c r="P737" s="123">
        <f t="shared" si="5"/>
        <v>348.4347826</v>
      </c>
      <c r="Q737" s="123">
        <f t="shared" si="2"/>
        <v>0.7391304348</v>
      </c>
      <c r="R737" s="123">
        <f t="shared" si="6"/>
        <v>0.8260869565</v>
      </c>
      <c r="S737" s="123">
        <f t="shared" si="3"/>
        <v>1.434782609</v>
      </c>
      <c r="T737" s="123">
        <f t="shared" si="4"/>
        <v>2.130434783</v>
      </c>
      <c r="U737" s="41">
        <v>6.0</v>
      </c>
      <c r="V737" s="41">
        <v>0.0</v>
      </c>
      <c r="W737" s="41">
        <v>0.0</v>
      </c>
      <c r="X737" s="41">
        <v>2.0</v>
      </c>
      <c r="Y737" s="41">
        <v>21.0</v>
      </c>
      <c r="Z737" s="41">
        <v>19.0</v>
      </c>
    </row>
    <row r="738">
      <c r="A738" s="41" t="s">
        <v>902</v>
      </c>
      <c r="B738" s="41" t="s">
        <v>766</v>
      </c>
      <c r="C738" s="41" t="s">
        <v>1951</v>
      </c>
      <c r="D738" s="41" t="s">
        <v>1113</v>
      </c>
      <c r="E738" s="41">
        <v>44.0</v>
      </c>
      <c r="F738" s="41">
        <v>23.0</v>
      </c>
      <c r="G738" s="41">
        <v>21.0</v>
      </c>
      <c r="H738" s="125">
        <v>0.5227272727272727</v>
      </c>
      <c r="I738" s="41">
        <v>6.0</v>
      </c>
      <c r="J738" s="41">
        <v>16464.0</v>
      </c>
      <c r="K738" s="41">
        <v>41.0</v>
      </c>
      <c r="L738" s="41">
        <v>31.0</v>
      </c>
      <c r="M738" s="41">
        <v>58.0</v>
      </c>
      <c r="N738" s="41">
        <v>128.0</v>
      </c>
      <c r="O738" s="122">
        <f t="shared" si="1"/>
        <v>0.3203125</v>
      </c>
      <c r="P738" s="123">
        <f t="shared" si="5"/>
        <v>374.1818182</v>
      </c>
      <c r="Q738" s="123">
        <f t="shared" si="2"/>
        <v>0.9318181818</v>
      </c>
      <c r="R738" s="123">
        <f t="shared" si="6"/>
        <v>0.7045454545</v>
      </c>
      <c r="S738" s="123">
        <f t="shared" si="3"/>
        <v>1.318181818</v>
      </c>
      <c r="T738" s="123">
        <f t="shared" si="4"/>
        <v>2.909090909</v>
      </c>
      <c r="U738" s="41">
        <v>14.0</v>
      </c>
      <c r="V738" s="41">
        <v>4.0</v>
      </c>
      <c r="W738" s="41">
        <v>0.0</v>
      </c>
      <c r="X738" s="41">
        <v>6.0</v>
      </c>
      <c r="Y738" s="41">
        <v>24.0</v>
      </c>
      <c r="Z738" s="41">
        <v>34.0</v>
      </c>
    </row>
    <row r="739">
      <c r="A739" s="41" t="s">
        <v>905</v>
      </c>
      <c r="B739" s="41" t="s">
        <v>152</v>
      </c>
      <c r="C739" s="41" t="s">
        <v>1952</v>
      </c>
      <c r="D739" s="41" t="s">
        <v>1444</v>
      </c>
      <c r="E739" s="41">
        <v>50.0</v>
      </c>
      <c r="F739" s="41">
        <v>35.0</v>
      </c>
      <c r="G739" s="41">
        <v>15.0</v>
      </c>
      <c r="H739" s="125">
        <v>0.7</v>
      </c>
      <c r="I739" s="41">
        <v>11.0</v>
      </c>
      <c r="J739" s="41">
        <v>16757.0</v>
      </c>
      <c r="K739" s="41">
        <v>36.0</v>
      </c>
      <c r="L739" s="41">
        <v>25.0</v>
      </c>
      <c r="M739" s="41">
        <v>63.0</v>
      </c>
      <c r="N739" s="41">
        <v>121.0</v>
      </c>
      <c r="O739" s="122">
        <f t="shared" si="1"/>
        <v>0.2975206612</v>
      </c>
      <c r="P739" s="123">
        <f t="shared" si="5"/>
        <v>335.14</v>
      </c>
      <c r="Q739" s="123">
        <f t="shared" si="2"/>
        <v>0.72</v>
      </c>
      <c r="R739" s="123">
        <f t="shared" si="6"/>
        <v>0.5</v>
      </c>
      <c r="S739" s="123">
        <f t="shared" si="3"/>
        <v>1.26</v>
      </c>
      <c r="T739" s="123">
        <f t="shared" si="4"/>
        <v>2.42</v>
      </c>
      <c r="U739" s="41">
        <v>8.0</v>
      </c>
      <c r="V739" s="41">
        <v>2.0</v>
      </c>
      <c r="W739" s="41">
        <v>0.0</v>
      </c>
      <c r="X739" s="41">
        <v>5.0</v>
      </c>
      <c r="Y739" s="41">
        <v>85.0</v>
      </c>
      <c r="Z739" s="41">
        <v>32.0</v>
      </c>
    </row>
    <row r="740">
      <c r="A740" s="41" t="s">
        <v>901</v>
      </c>
      <c r="B740" s="41" t="s">
        <v>367</v>
      </c>
      <c r="C740" s="41" t="s">
        <v>1953</v>
      </c>
      <c r="D740" s="41" t="s">
        <v>1954</v>
      </c>
      <c r="E740" s="41">
        <v>44.0</v>
      </c>
      <c r="F740" s="41">
        <v>20.0</v>
      </c>
      <c r="G740" s="41">
        <v>24.0</v>
      </c>
      <c r="H740" s="125">
        <v>0.45454545454545453</v>
      </c>
      <c r="I740" s="41">
        <v>5.0</v>
      </c>
      <c r="J740" s="41">
        <v>15782.0</v>
      </c>
      <c r="K740" s="41">
        <v>33.0</v>
      </c>
      <c r="L740" s="41">
        <v>23.0</v>
      </c>
      <c r="M740" s="41">
        <v>73.0</v>
      </c>
      <c r="N740" s="41">
        <v>127.0</v>
      </c>
      <c r="O740" s="122">
        <f t="shared" si="1"/>
        <v>0.2598425197</v>
      </c>
      <c r="P740" s="123">
        <f t="shared" si="5"/>
        <v>358.6818182</v>
      </c>
      <c r="Q740" s="123">
        <f t="shared" si="2"/>
        <v>0.75</v>
      </c>
      <c r="R740" s="123">
        <f t="shared" si="6"/>
        <v>0.5227272727</v>
      </c>
      <c r="S740" s="123">
        <f t="shared" si="3"/>
        <v>1.659090909</v>
      </c>
      <c r="T740" s="123">
        <f t="shared" si="4"/>
        <v>2.886363636</v>
      </c>
      <c r="U740" s="41">
        <v>8.0</v>
      </c>
      <c r="V740" s="41">
        <v>2.0</v>
      </c>
      <c r="W740" s="41">
        <v>0.0</v>
      </c>
      <c r="X740" s="41">
        <v>10.0</v>
      </c>
      <c r="Y740" s="41">
        <v>92.0</v>
      </c>
      <c r="Z740" s="41">
        <v>39.0</v>
      </c>
    </row>
    <row r="741">
      <c r="A741" s="41" t="s">
        <v>905</v>
      </c>
      <c r="B741" s="41" t="s">
        <v>121</v>
      </c>
      <c r="C741" s="41" t="s">
        <v>1955</v>
      </c>
      <c r="D741" s="41" t="s">
        <v>1444</v>
      </c>
      <c r="E741" s="41">
        <v>51.0</v>
      </c>
      <c r="F741" s="41">
        <v>36.0</v>
      </c>
      <c r="G741" s="41">
        <v>15.0</v>
      </c>
      <c r="H741" s="125">
        <v>0.7058823529411765</v>
      </c>
      <c r="I741" s="41">
        <v>17.0</v>
      </c>
      <c r="J741" s="41">
        <v>18820.0</v>
      </c>
      <c r="K741" s="41">
        <v>55.0</v>
      </c>
      <c r="L741" s="41">
        <v>22.0</v>
      </c>
      <c r="M741" s="41">
        <v>48.0</v>
      </c>
      <c r="N741" s="41">
        <v>160.0</v>
      </c>
      <c r="O741" s="122">
        <f t="shared" si="1"/>
        <v>0.34375</v>
      </c>
      <c r="P741" s="123">
        <f t="shared" si="5"/>
        <v>369.0196078</v>
      </c>
      <c r="Q741" s="123">
        <f t="shared" si="2"/>
        <v>1.078431373</v>
      </c>
      <c r="R741" s="123">
        <f t="shared" si="6"/>
        <v>0.431372549</v>
      </c>
      <c r="S741" s="123">
        <f t="shared" si="3"/>
        <v>0.9411764706</v>
      </c>
      <c r="T741" s="123">
        <f t="shared" si="4"/>
        <v>3.137254902</v>
      </c>
      <c r="U741" s="41">
        <v>7.0</v>
      </c>
      <c r="V741" s="41">
        <v>3.0</v>
      </c>
      <c r="W741" s="41">
        <v>0.0</v>
      </c>
      <c r="X741" s="41">
        <v>3.0</v>
      </c>
      <c r="Y741" s="41">
        <v>40.0</v>
      </c>
      <c r="Z741" s="41">
        <v>44.0</v>
      </c>
    </row>
    <row r="742">
      <c r="A742" s="41" t="s">
        <v>901</v>
      </c>
      <c r="B742" s="41" t="s">
        <v>350</v>
      </c>
      <c r="C742" s="41" t="s">
        <v>1956</v>
      </c>
      <c r="D742" s="41" t="s">
        <v>1156</v>
      </c>
      <c r="E742" s="41">
        <v>42.0</v>
      </c>
      <c r="F742" s="41">
        <v>25.0</v>
      </c>
      <c r="G742" s="41">
        <v>17.0</v>
      </c>
      <c r="H742" s="125">
        <v>0.5952380952380952</v>
      </c>
      <c r="I742" s="41">
        <v>7.0</v>
      </c>
      <c r="J742" s="41">
        <v>14250.0</v>
      </c>
      <c r="K742" s="41">
        <v>30.0</v>
      </c>
      <c r="L742" s="41">
        <v>30.0</v>
      </c>
      <c r="M742" s="41">
        <v>49.0</v>
      </c>
      <c r="N742" s="41">
        <v>94.0</v>
      </c>
      <c r="O742" s="122">
        <f t="shared" si="1"/>
        <v>0.3191489362</v>
      </c>
      <c r="P742" s="123">
        <f t="shared" si="5"/>
        <v>339.2857143</v>
      </c>
      <c r="Q742" s="123">
        <f t="shared" si="2"/>
        <v>0.7142857143</v>
      </c>
      <c r="R742" s="123">
        <f t="shared" si="6"/>
        <v>0.7142857143</v>
      </c>
      <c r="S742" s="123">
        <f t="shared" si="3"/>
        <v>1.166666667</v>
      </c>
      <c r="T742" s="123">
        <f t="shared" si="4"/>
        <v>2.238095238</v>
      </c>
      <c r="U742" s="41">
        <v>9.0</v>
      </c>
      <c r="V742" s="41">
        <v>2.0</v>
      </c>
      <c r="W742" s="41">
        <v>1.0</v>
      </c>
      <c r="X742" s="41">
        <v>4.0</v>
      </c>
      <c r="Y742" s="41">
        <v>33.0</v>
      </c>
      <c r="Z742" s="41">
        <v>49.0</v>
      </c>
    </row>
    <row r="743">
      <c r="A743" s="41" t="s">
        <v>902</v>
      </c>
      <c r="B743" s="41" t="s">
        <v>802</v>
      </c>
      <c r="C743" s="41" t="s">
        <v>1957</v>
      </c>
      <c r="D743" s="41" t="s">
        <v>1958</v>
      </c>
      <c r="E743" s="41">
        <v>19.0</v>
      </c>
      <c r="F743" s="41">
        <v>6.0</v>
      </c>
      <c r="G743" s="41">
        <v>13.0</v>
      </c>
      <c r="H743" s="125">
        <v>0.3157894736842105</v>
      </c>
      <c r="I743" s="41">
        <v>4.0</v>
      </c>
      <c r="J743" s="41">
        <v>6959.0</v>
      </c>
      <c r="K743" s="41">
        <v>17.0</v>
      </c>
      <c r="L743" s="41">
        <v>8.0</v>
      </c>
      <c r="M743" s="41">
        <v>27.0</v>
      </c>
      <c r="N743" s="41">
        <v>47.0</v>
      </c>
      <c r="O743" s="122">
        <f t="shared" si="1"/>
        <v>0.3617021277</v>
      </c>
      <c r="P743" s="123">
        <f t="shared" si="5"/>
        <v>366.2631579</v>
      </c>
      <c r="Q743" s="123">
        <f t="shared" si="2"/>
        <v>0.8947368421</v>
      </c>
      <c r="R743" s="123">
        <f t="shared" si="6"/>
        <v>0.4210526316</v>
      </c>
      <c r="S743" s="123">
        <f t="shared" si="3"/>
        <v>1.421052632</v>
      </c>
      <c r="T743" s="123">
        <f t="shared" si="4"/>
        <v>2.473684211</v>
      </c>
      <c r="U743" s="41">
        <v>1.0</v>
      </c>
      <c r="V743" s="41">
        <v>2.0</v>
      </c>
      <c r="W743" s="41">
        <v>0.0</v>
      </c>
      <c r="X743" s="41">
        <v>3.0</v>
      </c>
      <c r="Y743" s="41">
        <v>10.0</v>
      </c>
      <c r="Z743" s="41">
        <v>22.0</v>
      </c>
    </row>
    <row r="744">
      <c r="A744" s="41" t="s">
        <v>909</v>
      </c>
      <c r="B744" s="41" t="s">
        <v>102</v>
      </c>
      <c r="C744" s="41" t="s">
        <v>1959</v>
      </c>
      <c r="D744" s="41" t="s">
        <v>1878</v>
      </c>
      <c r="E744" s="41">
        <v>14.0</v>
      </c>
      <c r="F744" s="41">
        <v>4.0</v>
      </c>
      <c r="G744" s="41">
        <v>10.0</v>
      </c>
      <c r="H744" s="125">
        <v>0.2857142857142857</v>
      </c>
      <c r="I744" s="41">
        <v>1.0</v>
      </c>
      <c r="J744" s="41">
        <v>3008.0</v>
      </c>
      <c r="K744" s="41">
        <v>4.0</v>
      </c>
      <c r="L744" s="41">
        <v>5.0</v>
      </c>
      <c r="M744" s="41">
        <v>11.0</v>
      </c>
      <c r="N744" s="41">
        <v>25.0</v>
      </c>
      <c r="O744" s="122">
        <f t="shared" si="1"/>
        <v>0.16</v>
      </c>
      <c r="P744" s="123">
        <f t="shared" si="5"/>
        <v>214.8571429</v>
      </c>
      <c r="Q744" s="123">
        <f t="shared" si="2"/>
        <v>0.2857142857</v>
      </c>
      <c r="R744" s="123">
        <f t="shared" si="6"/>
        <v>0.3571428571</v>
      </c>
      <c r="S744" s="123">
        <f t="shared" si="3"/>
        <v>0.7857142857</v>
      </c>
      <c r="T744" s="123">
        <f t="shared" si="4"/>
        <v>1.785714286</v>
      </c>
      <c r="U744" s="41">
        <v>1.0</v>
      </c>
      <c r="V744" s="41">
        <v>0.0</v>
      </c>
      <c r="W744" s="41">
        <v>1.0</v>
      </c>
      <c r="X744" s="41">
        <v>0.0</v>
      </c>
      <c r="Y744" s="41">
        <v>11.0</v>
      </c>
      <c r="Z744" s="41">
        <v>7.0</v>
      </c>
    </row>
    <row r="745">
      <c r="A745" s="41" t="s">
        <v>901</v>
      </c>
      <c r="B745" s="41" t="s">
        <v>400</v>
      </c>
      <c r="C745" s="41" t="s">
        <v>1960</v>
      </c>
      <c r="D745" s="41" t="s">
        <v>1961</v>
      </c>
      <c r="E745" s="41">
        <v>32.0</v>
      </c>
      <c r="F745" s="41">
        <v>9.0</v>
      </c>
      <c r="G745" s="41">
        <v>23.0</v>
      </c>
      <c r="H745" s="125">
        <v>0.28125</v>
      </c>
      <c r="I745" s="41">
        <v>1.0</v>
      </c>
      <c r="J745" s="41">
        <v>9347.0</v>
      </c>
      <c r="K745" s="41">
        <v>13.0</v>
      </c>
      <c r="L745" s="41">
        <v>12.0</v>
      </c>
      <c r="M745" s="41">
        <v>39.0</v>
      </c>
      <c r="N745" s="41">
        <v>62.0</v>
      </c>
      <c r="O745" s="122">
        <f t="shared" si="1"/>
        <v>0.2096774194</v>
      </c>
      <c r="P745" s="123">
        <f t="shared" si="5"/>
        <v>292.09375</v>
      </c>
      <c r="Q745" s="123">
        <f t="shared" si="2"/>
        <v>0.40625</v>
      </c>
      <c r="R745" s="123">
        <f t="shared" si="6"/>
        <v>0.375</v>
      </c>
      <c r="S745" s="123">
        <f t="shared" si="3"/>
        <v>1.21875</v>
      </c>
      <c r="T745" s="123">
        <f t="shared" si="4"/>
        <v>1.9375</v>
      </c>
      <c r="U745" s="41">
        <v>3.0</v>
      </c>
      <c r="V745" s="41">
        <v>0.0</v>
      </c>
      <c r="W745" s="41">
        <v>0.0</v>
      </c>
      <c r="X745" s="41">
        <v>3.0</v>
      </c>
      <c r="Y745" s="41">
        <v>22.0</v>
      </c>
      <c r="Z745" s="41">
        <v>31.0</v>
      </c>
    </row>
    <row r="746">
      <c r="A746" s="41" t="s">
        <v>904</v>
      </c>
      <c r="B746" s="41" t="s">
        <v>593</v>
      </c>
      <c r="C746" s="41" t="s">
        <v>1962</v>
      </c>
      <c r="D746" s="41" t="s">
        <v>1145</v>
      </c>
      <c r="E746" s="41">
        <v>40.0</v>
      </c>
      <c r="F746" s="41">
        <v>23.0</v>
      </c>
      <c r="G746" s="41">
        <v>17.0</v>
      </c>
      <c r="H746" s="125">
        <v>0.575</v>
      </c>
      <c r="I746" s="41">
        <v>10.0</v>
      </c>
      <c r="J746" s="41">
        <v>16162.0</v>
      </c>
      <c r="K746" s="41">
        <v>37.0</v>
      </c>
      <c r="L746" s="41">
        <v>23.0</v>
      </c>
      <c r="M746" s="41">
        <v>62.0</v>
      </c>
      <c r="N746" s="41">
        <v>133.0</v>
      </c>
      <c r="O746" s="122">
        <f t="shared" si="1"/>
        <v>0.2781954887</v>
      </c>
      <c r="P746" s="123">
        <f t="shared" si="5"/>
        <v>404.05</v>
      </c>
      <c r="Q746" s="123">
        <f t="shared" si="2"/>
        <v>0.925</v>
      </c>
      <c r="R746" s="123">
        <f t="shared" si="6"/>
        <v>0.575</v>
      </c>
      <c r="S746" s="123">
        <f t="shared" si="3"/>
        <v>1.55</v>
      </c>
      <c r="T746" s="123">
        <f t="shared" si="4"/>
        <v>3.325</v>
      </c>
      <c r="U746" s="41">
        <v>10.0</v>
      </c>
      <c r="V746" s="41">
        <v>2.0</v>
      </c>
      <c r="W746" s="41">
        <v>1.0</v>
      </c>
      <c r="X746" s="41">
        <v>5.0</v>
      </c>
      <c r="Y746" s="41">
        <v>34.0</v>
      </c>
      <c r="Z746" s="41">
        <v>30.0</v>
      </c>
    </row>
    <row r="747">
      <c r="A747" s="41" t="s">
        <v>901</v>
      </c>
      <c r="B747" s="41" t="s">
        <v>377</v>
      </c>
      <c r="C747" s="41" t="s">
        <v>1963</v>
      </c>
      <c r="D747" s="41" t="s">
        <v>1491</v>
      </c>
      <c r="E747" s="41">
        <v>23.0</v>
      </c>
      <c r="F747" s="41">
        <v>9.0</v>
      </c>
      <c r="G747" s="41">
        <v>14.0</v>
      </c>
      <c r="H747" s="125">
        <v>0.391304347826087</v>
      </c>
      <c r="I747" s="41">
        <v>4.0</v>
      </c>
      <c r="J747" s="41">
        <v>7742.0</v>
      </c>
      <c r="K747" s="41">
        <v>15.0</v>
      </c>
      <c r="L747" s="41">
        <v>11.0</v>
      </c>
      <c r="M747" s="41">
        <v>32.0</v>
      </c>
      <c r="N747" s="41">
        <v>44.0</v>
      </c>
      <c r="O747" s="122">
        <f t="shared" si="1"/>
        <v>0.3409090909</v>
      </c>
      <c r="P747" s="123">
        <f t="shared" si="5"/>
        <v>336.6086957</v>
      </c>
      <c r="Q747" s="123">
        <f t="shared" si="2"/>
        <v>0.652173913</v>
      </c>
      <c r="R747" s="123">
        <f t="shared" si="6"/>
        <v>0.4782608696</v>
      </c>
      <c r="S747" s="123">
        <f t="shared" si="3"/>
        <v>1.391304348</v>
      </c>
      <c r="T747" s="123">
        <f t="shared" si="4"/>
        <v>1.913043478</v>
      </c>
      <c r="U747" s="41">
        <v>4.0</v>
      </c>
      <c r="V747" s="41">
        <v>0.0</v>
      </c>
      <c r="W747" s="41">
        <v>0.0</v>
      </c>
      <c r="X747" s="41">
        <v>3.0</v>
      </c>
      <c r="Y747" s="41">
        <v>42.0</v>
      </c>
      <c r="Z747" s="41">
        <v>27.0</v>
      </c>
    </row>
    <row r="748">
      <c r="A748" s="41" t="s">
        <v>902</v>
      </c>
      <c r="B748" s="41" t="s">
        <v>870</v>
      </c>
      <c r="C748" s="41" t="s">
        <v>1964</v>
      </c>
      <c r="D748" s="41" t="s">
        <v>1965</v>
      </c>
      <c r="E748" s="41">
        <v>23.0</v>
      </c>
      <c r="F748" s="41">
        <v>3.0</v>
      </c>
      <c r="G748" s="41">
        <v>20.0</v>
      </c>
      <c r="H748" s="125">
        <v>0.13043478260869565</v>
      </c>
      <c r="I748" s="41">
        <v>2.0</v>
      </c>
      <c r="J748" s="41">
        <v>6381.0</v>
      </c>
      <c r="K748" s="41">
        <v>8.0</v>
      </c>
      <c r="L748" s="41">
        <v>7.0</v>
      </c>
      <c r="M748" s="41">
        <v>32.0</v>
      </c>
      <c r="N748" s="41">
        <v>40.0</v>
      </c>
      <c r="O748" s="122">
        <f t="shared" si="1"/>
        <v>0.2</v>
      </c>
      <c r="P748" s="123">
        <f t="shared" si="5"/>
        <v>277.4347826</v>
      </c>
      <c r="Q748" s="123">
        <f t="shared" si="2"/>
        <v>0.347826087</v>
      </c>
      <c r="R748" s="123">
        <f t="shared" si="6"/>
        <v>0.3043478261</v>
      </c>
      <c r="S748" s="123">
        <f t="shared" si="3"/>
        <v>1.391304348</v>
      </c>
      <c r="T748" s="123">
        <f t="shared" si="4"/>
        <v>1.739130435</v>
      </c>
      <c r="U748" s="41">
        <v>1.0</v>
      </c>
      <c r="V748" s="41">
        <v>0.0</v>
      </c>
      <c r="W748" s="41">
        <v>0.0</v>
      </c>
      <c r="X748" s="41">
        <v>4.0</v>
      </c>
      <c r="Y748" s="41">
        <v>19.0</v>
      </c>
      <c r="Z748" s="41">
        <v>34.0</v>
      </c>
    </row>
    <row r="749">
      <c r="A749" s="41" t="s">
        <v>897</v>
      </c>
      <c r="B749" s="41" t="s">
        <v>505</v>
      </c>
      <c r="C749" s="41" t="s">
        <v>1966</v>
      </c>
      <c r="D749" s="41" t="s">
        <v>1370</v>
      </c>
      <c r="E749" s="41">
        <v>48.0</v>
      </c>
      <c r="F749" s="41">
        <v>23.0</v>
      </c>
      <c r="G749" s="41">
        <v>25.0</v>
      </c>
      <c r="H749" s="125">
        <v>0.4791666666666667</v>
      </c>
      <c r="I749" s="41">
        <v>11.0</v>
      </c>
      <c r="J749" s="41">
        <v>19647.0</v>
      </c>
      <c r="K749" s="41">
        <v>41.0</v>
      </c>
      <c r="L749" s="41">
        <v>17.0</v>
      </c>
      <c r="M749" s="41">
        <v>96.0</v>
      </c>
      <c r="N749" s="41">
        <v>120.0</v>
      </c>
      <c r="O749" s="122">
        <f t="shared" si="1"/>
        <v>0.3416666667</v>
      </c>
      <c r="P749" s="123">
        <f t="shared" si="5"/>
        <v>409.3125</v>
      </c>
      <c r="Q749" s="123">
        <f t="shared" si="2"/>
        <v>0.8541666667</v>
      </c>
      <c r="R749" s="123">
        <f t="shared" si="6"/>
        <v>0.3541666667</v>
      </c>
      <c r="S749" s="123">
        <f t="shared" si="3"/>
        <v>2</v>
      </c>
      <c r="T749" s="123">
        <f t="shared" si="4"/>
        <v>2.5</v>
      </c>
      <c r="U749" s="41">
        <v>8.0</v>
      </c>
      <c r="V749" s="41">
        <v>4.0</v>
      </c>
      <c r="W749" s="41">
        <v>1.0</v>
      </c>
      <c r="X749" s="41">
        <v>16.0</v>
      </c>
      <c r="Y749" s="41">
        <v>38.0</v>
      </c>
      <c r="Z749" s="41">
        <v>46.0</v>
      </c>
    </row>
    <row r="750">
      <c r="A750" s="41" t="s">
        <v>905</v>
      </c>
      <c r="B750" s="41" t="s">
        <v>129</v>
      </c>
      <c r="C750" s="41" t="s">
        <v>1967</v>
      </c>
      <c r="D750" s="41" t="s">
        <v>1295</v>
      </c>
      <c r="E750" s="41">
        <v>56.0</v>
      </c>
      <c r="F750" s="41">
        <v>32.0</v>
      </c>
      <c r="G750" s="41">
        <v>24.0</v>
      </c>
      <c r="H750" s="125">
        <v>0.5714285714285714</v>
      </c>
      <c r="I750" s="41">
        <v>15.0</v>
      </c>
      <c r="J750" s="41">
        <v>21110.0</v>
      </c>
      <c r="K750" s="41">
        <v>45.0</v>
      </c>
      <c r="L750" s="41">
        <v>33.0</v>
      </c>
      <c r="M750" s="41">
        <v>90.0</v>
      </c>
      <c r="N750" s="41">
        <v>138.0</v>
      </c>
      <c r="O750" s="122">
        <f t="shared" si="1"/>
        <v>0.3260869565</v>
      </c>
      <c r="P750" s="123">
        <f t="shared" si="5"/>
        <v>376.9642857</v>
      </c>
      <c r="Q750" s="123">
        <f t="shared" si="2"/>
        <v>0.8035714286</v>
      </c>
      <c r="R750" s="123">
        <f t="shared" si="6"/>
        <v>0.5892857143</v>
      </c>
      <c r="S750" s="123">
        <f t="shared" si="3"/>
        <v>1.607142857</v>
      </c>
      <c r="T750" s="123">
        <f t="shared" si="4"/>
        <v>2.464285714</v>
      </c>
      <c r="U750" s="41">
        <v>9.0</v>
      </c>
      <c r="V750" s="41">
        <v>3.0</v>
      </c>
      <c r="W750" s="41">
        <v>0.0</v>
      </c>
      <c r="X750" s="41">
        <v>9.0</v>
      </c>
      <c r="Y750" s="41">
        <v>79.0</v>
      </c>
      <c r="Z750" s="41">
        <v>53.0</v>
      </c>
    </row>
    <row r="751">
      <c r="A751" s="41" t="s">
        <v>901</v>
      </c>
      <c r="B751" s="41" t="s">
        <v>325</v>
      </c>
      <c r="C751" s="41" t="s">
        <v>1968</v>
      </c>
      <c r="D751" s="41" t="s">
        <v>1008</v>
      </c>
      <c r="E751" s="41">
        <v>54.0</v>
      </c>
      <c r="F751" s="41">
        <v>30.0</v>
      </c>
      <c r="G751" s="41">
        <v>24.0</v>
      </c>
      <c r="H751" s="125">
        <v>0.5555555555555556</v>
      </c>
      <c r="I751" s="41">
        <v>13.0</v>
      </c>
      <c r="J751" s="41">
        <v>21273.0</v>
      </c>
      <c r="K751" s="41">
        <v>39.0</v>
      </c>
      <c r="L751" s="41">
        <v>26.0</v>
      </c>
      <c r="M751" s="41">
        <v>104.0</v>
      </c>
      <c r="N751" s="41">
        <v>136.0</v>
      </c>
      <c r="O751" s="122">
        <f t="shared" si="1"/>
        <v>0.2867647059</v>
      </c>
      <c r="P751" s="123">
        <f t="shared" si="5"/>
        <v>393.9444444</v>
      </c>
      <c r="Q751" s="123">
        <f t="shared" si="2"/>
        <v>0.7222222222</v>
      </c>
      <c r="R751" s="123">
        <f t="shared" si="6"/>
        <v>0.4814814815</v>
      </c>
      <c r="S751" s="123">
        <f t="shared" si="3"/>
        <v>1.925925926</v>
      </c>
      <c r="T751" s="123">
        <f t="shared" si="4"/>
        <v>2.518518519</v>
      </c>
      <c r="U751" s="41">
        <v>7.0</v>
      </c>
      <c r="V751" s="41">
        <v>4.0</v>
      </c>
      <c r="W751" s="41">
        <v>1.0</v>
      </c>
      <c r="X751" s="41">
        <v>18.0</v>
      </c>
      <c r="Y751" s="41">
        <v>63.0</v>
      </c>
      <c r="Z751" s="41">
        <v>54.0</v>
      </c>
    </row>
    <row r="752">
      <c r="A752" s="41" t="s">
        <v>906</v>
      </c>
      <c r="B752" s="41" t="s">
        <v>527</v>
      </c>
      <c r="C752" s="41" t="s">
        <v>1969</v>
      </c>
      <c r="D752" s="41" t="s">
        <v>1697</v>
      </c>
      <c r="E752" s="41">
        <v>20.0</v>
      </c>
      <c r="F752" s="41">
        <v>15.0</v>
      </c>
      <c r="G752" s="41">
        <v>5.0</v>
      </c>
      <c r="H752" s="125">
        <v>0.75</v>
      </c>
      <c r="I752" s="41">
        <v>2.0</v>
      </c>
      <c r="J752" s="41">
        <v>6186.0</v>
      </c>
      <c r="K752" s="41">
        <v>13.0</v>
      </c>
      <c r="L752" s="41">
        <v>14.0</v>
      </c>
      <c r="M752" s="41">
        <v>14.0</v>
      </c>
      <c r="N752" s="41">
        <v>53.0</v>
      </c>
      <c r="O752" s="122">
        <f t="shared" si="1"/>
        <v>0.2452830189</v>
      </c>
      <c r="P752" s="123">
        <f t="shared" si="5"/>
        <v>309.3</v>
      </c>
      <c r="Q752" s="123">
        <f t="shared" si="2"/>
        <v>0.65</v>
      </c>
      <c r="R752" s="123">
        <f t="shared" si="6"/>
        <v>0.7</v>
      </c>
      <c r="S752" s="123">
        <f t="shared" si="3"/>
        <v>0.7</v>
      </c>
      <c r="T752" s="123">
        <f t="shared" si="4"/>
        <v>2.65</v>
      </c>
      <c r="U752" s="41">
        <v>5.0</v>
      </c>
      <c r="V752" s="41">
        <v>0.0</v>
      </c>
      <c r="W752" s="41">
        <v>0.0</v>
      </c>
      <c r="X752" s="41">
        <v>1.0</v>
      </c>
      <c r="Y752" s="41">
        <v>17.0</v>
      </c>
      <c r="Z752" s="41">
        <v>21.0</v>
      </c>
    </row>
    <row r="753">
      <c r="A753" s="41" t="s">
        <v>909</v>
      </c>
      <c r="B753" s="41" t="s">
        <v>93</v>
      </c>
      <c r="C753" s="41" t="s">
        <v>1970</v>
      </c>
      <c r="D753" s="41" t="s">
        <v>1878</v>
      </c>
      <c r="E753" s="41">
        <v>45.0</v>
      </c>
      <c r="F753" s="41">
        <v>26.0</v>
      </c>
      <c r="G753" s="41">
        <v>19.0</v>
      </c>
      <c r="H753" s="125">
        <v>0.5777777777777777</v>
      </c>
      <c r="I753" s="41">
        <v>7.0</v>
      </c>
      <c r="J753" s="41">
        <v>14892.0</v>
      </c>
      <c r="K753" s="41">
        <v>31.0</v>
      </c>
      <c r="L753" s="41">
        <v>12.0</v>
      </c>
      <c r="M753" s="41">
        <v>77.0</v>
      </c>
      <c r="N753" s="41">
        <v>93.0</v>
      </c>
      <c r="O753" s="122">
        <f t="shared" si="1"/>
        <v>0.3333333333</v>
      </c>
      <c r="P753" s="123">
        <f t="shared" si="5"/>
        <v>330.9333333</v>
      </c>
      <c r="Q753" s="123">
        <f t="shared" si="2"/>
        <v>0.6888888889</v>
      </c>
      <c r="R753" s="123">
        <f t="shared" si="6"/>
        <v>0.2666666667</v>
      </c>
      <c r="S753" s="123">
        <f t="shared" si="3"/>
        <v>1.711111111</v>
      </c>
      <c r="T753" s="123">
        <f t="shared" si="4"/>
        <v>2.066666667</v>
      </c>
      <c r="U753" s="41">
        <v>3.0</v>
      </c>
      <c r="V753" s="41">
        <v>1.0</v>
      </c>
      <c r="W753" s="41">
        <v>0.0</v>
      </c>
      <c r="X753" s="41">
        <v>10.0</v>
      </c>
      <c r="Y753" s="41">
        <v>44.0</v>
      </c>
      <c r="Z753" s="41">
        <v>24.0</v>
      </c>
    </row>
    <row r="754">
      <c r="A754" s="41" t="s">
        <v>901</v>
      </c>
      <c r="B754" s="41" t="s">
        <v>288</v>
      </c>
      <c r="C754" s="41" t="s">
        <v>1971</v>
      </c>
      <c r="D754" s="41" t="s">
        <v>1640</v>
      </c>
      <c r="E754" s="41">
        <v>56.0</v>
      </c>
      <c r="F754" s="41">
        <v>30.0</v>
      </c>
      <c r="G754" s="41">
        <v>26.0</v>
      </c>
      <c r="H754" s="125">
        <v>0.5357142857142857</v>
      </c>
      <c r="I754" s="41">
        <v>13.0</v>
      </c>
      <c r="J754" s="41">
        <v>23863.0</v>
      </c>
      <c r="K754" s="41">
        <v>54.0</v>
      </c>
      <c r="L754" s="41">
        <v>29.0</v>
      </c>
      <c r="M754" s="41">
        <v>105.0</v>
      </c>
      <c r="N754" s="41">
        <v>183.0</v>
      </c>
      <c r="O754" s="122">
        <f t="shared" si="1"/>
        <v>0.2950819672</v>
      </c>
      <c r="P754" s="123">
        <f t="shared" si="5"/>
        <v>426.125</v>
      </c>
      <c r="Q754" s="123">
        <f t="shared" si="2"/>
        <v>0.9642857143</v>
      </c>
      <c r="R754" s="123">
        <f t="shared" si="6"/>
        <v>0.5178571429</v>
      </c>
      <c r="S754" s="123">
        <f t="shared" si="3"/>
        <v>1.875</v>
      </c>
      <c r="T754" s="123">
        <f t="shared" si="4"/>
        <v>3.267857143</v>
      </c>
      <c r="U754" s="41">
        <v>13.0</v>
      </c>
      <c r="V754" s="41">
        <v>4.0</v>
      </c>
      <c r="W754" s="41">
        <v>0.0</v>
      </c>
      <c r="X754" s="41">
        <v>20.0</v>
      </c>
      <c r="Y754" s="41">
        <v>115.0</v>
      </c>
      <c r="Z754" s="41">
        <v>53.0</v>
      </c>
    </row>
    <row r="755">
      <c r="A755" s="41" t="s">
        <v>902</v>
      </c>
      <c r="B755" s="41" t="s">
        <v>755</v>
      </c>
      <c r="C755" s="41" t="s">
        <v>1972</v>
      </c>
      <c r="D755" s="41" t="s">
        <v>1973</v>
      </c>
      <c r="E755" s="41">
        <v>24.0</v>
      </c>
      <c r="F755" s="41">
        <v>15.0</v>
      </c>
      <c r="G755" s="41">
        <v>9.0</v>
      </c>
      <c r="H755" s="125">
        <v>0.625</v>
      </c>
      <c r="I755" s="41">
        <v>8.0</v>
      </c>
      <c r="J755" s="41">
        <v>9922.0</v>
      </c>
      <c r="K755" s="41">
        <v>22.0</v>
      </c>
      <c r="L755" s="41">
        <v>14.0</v>
      </c>
      <c r="M755" s="41">
        <v>39.0</v>
      </c>
      <c r="N755" s="41">
        <v>72.0</v>
      </c>
      <c r="O755" s="122">
        <f t="shared" si="1"/>
        <v>0.3055555556</v>
      </c>
      <c r="P755" s="123">
        <f t="shared" si="5"/>
        <v>413.4166667</v>
      </c>
      <c r="Q755" s="123">
        <f t="shared" si="2"/>
        <v>0.9166666667</v>
      </c>
      <c r="R755" s="123">
        <f t="shared" si="6"/>
        <v>0.5833333333</v>
      </c>
      <c r="S755" s="123">
        <f t="shared" si="3"/>
        <v>1.625</v>
      </c>
      <c r="T755" s="123">
        <f t="shared" si="4"/>
        <v>3</v>
      </c>
      <c r="U755" s="41">
        <v>5.0</v>
      </c>
      <c r="V755" s="41">
        <v>0.0</v>
      </c>
      <c r="W755" s="41">
        <v>0.0</v>
      </c>
      <c r="X755" s="41">
        <v>6.0</v>
      </c>
      <c r="Y755" s="41">
        <v>38.0</v>
      </c>
      <c r="Z755" s="41">
        <v>20.0</v>
      </c>
    </row>
    <row r="756">
      <c r="A756" s="41" t="s">
        <v>897</v>
      </c>
      <c r="B756" s="41" t="s">
        <v>499</v>
      </c>
      <c r="C756" s="41" t="s">
        <v>1974</v>
      </c>
      <c r="D756" s="41" t="s">
        <v>1975</v>
      </c>
      <c r="E756" s="41">
        <v>5.0</v>
      </c>
      <c r="F756" s="41">
        <v>3.0</v>
      </c>
      <c r="G756" s="41">
        <v>2.0</v>
      </c>
      <c r="H756" s="125">
        <v>0.6</v>
      </c>
      <c r="I756" s="41">
        <v>2.0</v>
      </c>
      <c r="J756" s="41">
        <v>1800.0</v>
      </c>
      <c r="K756" s="41">
        <v>4.0</v>
      </c>
      <c r="L756" s="41">
        <v>2.0</v>
      </c>
      <c r="M756" s="41">
        <v>7.0</v>
      </c>
      <c r="N756" s="41">
        <v>8.0</v>
      </c>
      <c r="O756" s="122">
        <f t="shared" si="1"/>
        <v>0.5</v>
      </c>
      <c r="P756" s="123">
        <f t="shared" si="5"/>
        <v>360</v>
      </c>
      <c r="Q756" s="123">
        <f t="shared" si="2"/>
        <v>0.8</v>
      </c>
      <c r="R756" s="123">
        <f t="shared" si="6"/>
        <v>0.4</v>
      </c>
      <c r="S756" s="123">
        <f t="shared" si="3"/>
        <v>1.4</v>
      </c>
      <c r="T756" s="123">
        <f t="shared" si="4"/>
        <v>1.6</v>
      </c>
      <c r="U756" s="41">
        <v>1.0</v>
      </c>
      <c r="V756" s="41">
        <v>0.0</v>
      </c>
      <c r="W756" s="41">
        <v>0.0</v>
      </c>
      <c r="X756" s="41">
        <v>2.0</v>
      </c>
      <c r="Y756" s="41">
        <v>3.0</v>
      </c>
      <c r="Z756" s="41">
        <v>2.0</v>
      </c>
    </row>
    <row r="757">
      <c r="A757" s="41" t="s">
        <v>905</v>
      </c>
      <c r="B757" s="41" t="s">
        <v>113</v>
      </c>
      <c r="C757" s="41" t="s">
        <v>1976</v>
      </c>
      <c r="D757" s="41" t="s">
        <v>1815</v>
      </c>
      <c r="E757" s="41">
        <v>52.0</v>
      </c>
      <c r="F757" s="41">
        <v>32.0</v>
      </c>
      <c r="G757" s="41">
        <v>20.0</v>
      </c>
      <c r="H757" s="125">
        <v>0.6153846153846154</v>
      </c>
      <c r="I757" s="41">
        <v>18.0</v>
      </c>
      <c r="J757" s="41">
        <v>22495.0</v>
      </c>
      <c r="K757" s="41">
        <v>66.0</v>
      </c>
      <c r="L757" s="41">
        <v>27.0</v>
      </c>
      <c r="M757" s="41">
        <v>68.0</v>
      </c>
      <c r="N757" s="41">
        <v>162.0</v>
      </c>
      <c r="O757" s="122">
        <f t="shared" si="1"/>
        <v>0.4074074074</v>
      </c>
      <c r="P757" s="123">
        <f t="shared" si="5"/>
        <v>432.5961538</v>
      </c>
      <c r="Q757" s="123">
        <f t="shared" si="2"/>
        <v>1.269230769</v>
      </c>
      <c r="R757" s="123">
        <f t="shared" si="6"/>
        <v>0.5192307692</v>
      </c>
      <c r="S757" s="123">
        <f t="shared" si="3"/>
        <v>1.307692308</v>
      </c>
      <c r="T757" s="123">
        <f t="shared" si="4"/>
        <v>3.115384615</v>
      </c>
      <c r="U757" s="41">
        <v>13.0</v>
      </c>
      <c r="V757" s="41">
        <v>5.0</v>
      </c>
      <c r="W757" s="41">
        <v>0.0</v>
      </c>
      <c r="X757" s="41">
        <v>10.0</v>
      </c>
      <c r="Y757" s="41">
        <v>49.0</v>
      </c>
      <c r="Z757" s="41">
        <v>41.0</v>
      </c>
    </row>
    <row r="758">
      <c r="A758" s="41" t="s">
        <v>902</v>
      </c>
      <c r="B758" s="41" t="s">
        <v>728</v>
      </c>
      <c r="C758" s="41" t="s">
        <v>1977</v>
      </c>
      <c r="D758" s="41" t="s">
        <v>1194</v>
      </c>
      <c r="E758" s="41">
        <v>51.0</v>
      </c>
      <c r="F758" s="41">
        <v>37.0</v>
      </c>
      <c r="G758" s="41">
        <v>14.0</v>
      </c>
      <c r="H758" s="125">
        <v>0.7254901960784313</v>
      </c>
      <c r="I758" s="41">
        <v>22.0</v>
      </c>
      <c r="J758" s="41">
        <v>22352.0</v>
      </c>
      <c r="K758" s="41">
        <v>64.0</v>
      </c>
      <c r="L758" s="41">
        <v>42.0</v>
      </c>
      <c r="M758" s="41">
        <v>68.0</v>
      </c>
      <c r="N758" s="41">
        <v>198.0</v>
      </c>
      <c r="O758" s="122">
        <f t="shared" si="1"/>
        <v>0.3232323232</v>
      </c>
      <c r="P758" s="123">
        <f t="shared" si="5"/>
        <v>438.2745098</v>
      </c>
      <c r="Q758" s="123">
        <f t="shared" si="2"/>
        <v>1.254901961</v>
      </c>
      <c r="R758" s="123">
        <f t="shared" si="6"/>
        <v>0.8235294118</v>
      </c>
      <c r="S758" s="123">
        <f t="shared" si="3"/>
        <v>1.333333333</v>
      </c>
      <c r="T758" s="123">
        <f t="shared" si="4"/>
        <v>3.882352941</v>
      </c>
      <c r="U758" s="41">
        <v>17.0</v>
      </c>
      <c r="V758" s="41">
        <v>6.0</v>
      </c>
      <c r="W758" s="41">
        <v>2.0</v>
      </c>
      <c r="X758" s="41">
        <v>8.0</v>
      </c>
      <c r="Y758" s="41">
        <v>43.0</v>
      </c>
      <c r="Z758" s="41">
        <v>52.0</v>
      </c>
    </row>
    <row r="759">
      <c r="A759" s="41" t="s">
        <v>906</v>
      </c>
      <c r="B759" s="41" t="s">
        <v>522</v>
      </c>
      <c r="C759" s="41" t="s">
        <v>1978</v>
      </c>
      <c r="D759" s="41" t="s">
        <v>1372</v>
      </c>
      <c r="E759" s="41">
        <v>50.0</v>
      </c>
      <c r="F759" s="41">
        <v>34.0</v>
      </c>
      <c r="G759" s="41">
        <v>16.0</v>
      </c>
      <c r="H759" s="125">
        <v>0.68</v>
      </c>
      <c r="I759" s="41">
        <v>13.0</v>
      </c>
      <c r="J759" s="41">
        <v>19213.0</v>
      </c>
      <c r="K759" s="41">
        <v>46.0</v>
      </c>
      <c r="L759" s="41">
        <v>24.0</v>
      </c>
      <c r="M759" s="41">
        <v>79.0</v>
      </c>
      <c r="N759" s="41">
        <v>133.0</v>
      </c>
      <c r="O759" s="122">
        <f t="shared" si="1"/>
        <v>0.3458646617</v>
      </c>
      <c r="P759" s="123">
        <f t="shared" si="5"/>
        <v>384.26</v>
      </c>
      <c r="Q759" s="123">
        <f t="shared" si="2"/>
        <v>0.92</v>
      </c>
      <c r="R759" s="123">
        <f t="shared" si="6"/>
        <v>0.48</v>
      </c>
      <c r="S759" s="123">
        <f t="shared" si="3"/>
        <v>1.58</v>
      </c>
      <c r="T759" s="123">
        <f t="shared" si="4"/>
        <v>2.66</v>
      </c>
      <c r="U759" s="41">
        <v>7.0</v>
      </c>
      <c r="V759" s="41">
        <v>4.0</v>
      </c>
      <c r="W759" s="41">
        <v>1.0</v>
      </c>
      <c r="X759" s="41">
        <v>11.0</v>
      </c>
      <c r="Y759" s="41">
        <v>35.0</v>
      </c>
      <c r="Z759" s="41">
        <v>48.0</v>
      </c>
    </row>
    <row r="760">
      <c r="A760" s="41" t="s">
        <v>902</v>
      </c>
      <c r="B760" s="41" t="s">
        <v>751</v>
      </c>
      <c r="C760" s="41" t="s">
        <v>1979</v>
      </c>
      <c r="D760" s="41" t="s">
        <v>975</v>
      </c>
      <c r="E760" s="41">
        <v>33.0</v>
      </c>
      <c r="F760" s="41">
        <v>17.0</v>
      </c>
      <c r="G760" s="41">
        <v>16.0</v>
      </c>
      <c r="H760" s="125">
        <v>0.5151515151515151</v>
      </c>
      <c r="I760" s="41">
        <v>7.0</v>
      </c>
      <c r="J760" s="41">
        <v>12984.0</v>
      </c>
      <c r="K760" s="41">
        <v>31.0</v>
      </c>
      <c r="L760" s="41">
        <v>26.0</v>
      </c>
      <c r="M760" s="41">
        <v>51.0</v>
      </c>
      <c r="N760" s="41">
        <v>84.0</v>
      </c>
      <c r="O760" s="122">
        <f t="shared" si="1"/>
        <v>0.369047619</v>
      </c>
      <c r="P760" s="123">
        <f t="shared" si="5"/>
        <v>393.4545455</v>
      </c>
      <c r="Q760" s="123">
        <f t="shared" si="2"/>
        <v>0.9393939394</v>
      </c>
      <c r="R760" s="123">
        <f t="shared" si="6"/>
        <v>0.7878787879</v>
      </c>
      <c r="S760" s="123">
        <f t="shared" si="3"/>
        <v>1.545454545</v>
      </c>
      <c r="T760" s="123">
        <f t="shared" si="4"/>
        <v>2.545454545</v>
      </c>
      <c r="U760" s="41">
        <v>8.0</v>
      </c>
      <c r="V760" s="41">
        <v>2.0</v>
      </c>
      <c r="W760" s="41">
        <v>1.0</v>
      </c>
      <c r="X760" s="41">
        <v>7.0</v>
      </c>
      <c r="Y760" s="41">
        <v>41.0</v>
      </c>
      <c r="Z760" s="41">
        <v>21.0</v>
      </c>
    </row>
    <row r="761">
      <c r="A761" s="41" t="s">
        <v>902</v>
      </c>
      <c r="B761" s="41" t="s">
        <v>750</v>
      </c>
      <c r="C761" s="41" t="s">
        <v>1980</v>
      </c>
      <c r="D761" s="41" t="s">
        <v>1981</v>
      </c>
      <c r="E761" s="41">
        <v>40.0</v>
      </c>
      <c r="F761" s="41">
        <v>27.0</v>
      </c>
      <c r="G761" s="41">
        <v>13.0</v>
      </c>
      <c r="H761" s="125">
        <v>0.675</v>
      </c>
      <c r="I761" s="41">
        <v>9.0</v>
      </c>
      <c r="J761" s="41">
        <v>16296.0</v>
      </c>
      <c r="K761" s="41">
        <v>36.0</v>
      </c>
      <c r="L761" s="41">
        <v>27.0</v>
      </c>
      <c r="M761" s="41">
        <v>73.0</v>
      </c>
      <c r="N761" s="41">
        <v>104.0</v>
      </c>
      <c r="O761" s="122">
        <f t="shared" si="1"/>
        <v>0.3461538462</v>
      </c>
      <c r="P761" s="123">
        <f t="shared" si="5"/>
        <v>407.4</v>
      </c>
      <c r="Q761" s="123">
        <f t="shared" si="2"/>
        <v>0.9</v>
      </c>
      <c r="R761" s="123">
        <f t="shared" si="6"/>
        <v>0.675</v>
      </c>
      <c r="S761" s="123">
        <f t="shared" si="3"/>
        <v>1.825</v>
      </c>
      <c r="T761" s="123">
        <f t="shared" si="4"/>
        <v>2.6</v>
      </c>
      <c r="U761" s="41">
        <v>7.0</v>
      </c>
      <c r="V761" s="41">
        <v>4.0</v>
      </c>
      <c r="W761" s="41">
        <v>2.0</v>
      </c>
      <c r="X761" s="41">
        <v>12.0</v>
      </c>
      <c r="Y761" s="41">
        <v>33.0</v>
      </c>
      <c r="Z761" s="41">
        <v>45.0</v>
      </c>
    </row>
    <row r="762">
      <c r="A762" s="41" t="s">
        <v>906</v>
      </c>
      <c r="B762" s="41" t="s">
        <v>568</v>
      </c>
      <c r="C762" s="41" t="s">
        <v>1982</v>
      </c>
      <c r="D762" s="41" t="s">
        <v>1778</v>
      </c>
      <c r="E762" s="41">
        <v>14.0</v>
      </c>
      <c r="F762" s="41">
        <v>6.0</v>
      </c>
      <c r="G762" s="41">
        <v>8.0</v>
      </c>
      <c r="H762" s="125">
        <v>0.42857142857142855</v>
      </c>
      <c r="I762" s="41">
        <v>2.0</v>
      </c>
      <c r="J762" s="41">
        <v>3991.0</v>
      </c>
      <c r="K762" s="41">
        <v>7.0</v>
      </c>
      <c r="L762" s="41">
        <v>5.0</v>
      </c>
      <c r="M762" s="41">
        <v>21.0</v>
      </c>
      <c r="N762" s="41">
        <v>18.0</v>
      </c>
      <c r="O762" s="122">
        <f t="shared" si="1"/>
        <v>0.3888888889</v>
      </c>
      <c r="P762" s="123">
        <f t="shared" si="5"/>
        <v>285.0714286</v>
      </c>
      <c r="Q762" s="123">
        <f t="shared" si="2"/>
        <v>0.5</v>
      </c>
      <c r="R762" s="123">
        <f t="shared" si="6"/>
        <v>0.3571428571</v>
      </c>
      <c r="S762" s="123">
        <f t="shared" si="3"/>
        <v>1.5</v>
      </c>
      <c r="T762" s="123">
        <f t="shared" si="4"/>
        <v>1.285714286</v>
      </c>
      <c r="U762" s="41">
        <v>1.0</v>
      </c>
      <c r="V762" s="41">
        <v>0.0</v>
      </c>
      <c r="W762" s="41">
        <v>0.0</v>
      </c>
      <c r="X762" s="41">
        <v>2.0</v>
      </c>
      <c r="Y762" s="41">
        <v>8.0</v>
      </c>
      <c r="Z762" s="41">
        <v>18.0</v>
      </c>
    </row>
    <row r="763">
      <c r="A763" s="41" t="s">
        <v>904</v>
      </c>
      <c r="B763" s="41" t="s">
        <v>577</v>
      </c>
      <c r="C763" s="41" t="s">
        <v>1983</v>
      </c>
      <c r="D763" s="41" t="s">
        <v>1329</v>
      </c>
      <c r="E763" s="41">
        <v>56.0</v>
      </c>
      <c r="F763" s="41">
        <v>40.0</v>
      </c>
      <c r="G763" s="41">
        <v>16.0</v>
      </c>
      <c r="H763" s="125">
        <v>0.7142857142857143</v>
      </c>
      <c r="I763" s="41">
        <v>23.0</v>
      </c>
      <c r="J763" s="41">
        <v>23778.0</v>
      </c>
      <c r="K763" s="41">
        <v>56.0</v>
      </c>
      <c r="L763" s="41">
        <v>39.0</v>
      </c>
      <c r="M763" s="41">
        <v>87.0</v>
      </c>
      <c r="N763" s="41">
        <v>179.0</v>
      </c>
      <c r="O763" s="122">
        <f t="shared" si="1"/>
        <v>0.312849162</v>
      </c>
      <c r="P763" s="123">
        <f t="shared" si="5"/>
        <v>424.6071429</v>
      </c>
      <c r="Q763" s="123">
        <f t="shared" si="2"/>
        <v>1</v>
      </c>
      <c r="R763" s="123">
        <f t="shared" si="6"/>
        <v>0.6964285714</v>
      </c>
      <c r="S763" s="123">
        <f t="shared" si="3"/>
        <v>1.553571429</v>
      </c>
      <c r="T763" s="123">
        <f t="shared" si="4"/>
        <v>3.196428571</v>
      </c>
      <c r="U763" s="41">
        <v>15.0</v>
      </c>
      <c r="V763" s="41">
        <v>4.0</v>
      </c>
      <c r="W763" s="41">
        <v>3.0</v>
      </c>
      <c r="X763" s="41">
        <v>12.0</v>
      </c>
      <c r="Y763" s="41">
        <v>47.0</v>
      </c>
      <c r="Z763" s="41">
        <v>47.0</v>
      </c>
    </row>
    <row r="764">
      <c r="A764" s="41" t="s">
        <v>909</v>
      </c>
      <c r="B764" s="41" t="s">
        <v>75</v>
      </c>
      <c r="C764" s="41" t="s">
        <v>1984</v>
      </c>
      <c r="D764" s="41" t="s">
        <v>1798</v>
      </c>
      <c r="E764" s="41">
        <v>56.0</v>
      </c>
      <c r="F764" s="41">
        <v>27.0</v>
      </c>
      <c r="G764" s="41">
        <v>29.0</v>
      </c>
      <c r="H764" s="125">
        <v>0.48214285714285715</v>
      </c>
      <c r="I764" s="41">
        <v>13.0</v>
      </c>
      <c r="J764" s="41">
        <v>19855.0</v>
      </c>
      <c r="K764" s="41">
        <v>52.0</v>
      </c>
      <c r="L764" s="41">
        <v>25.0</v>
      </c>
      <c r="M764" s="41">
        <v>71.0</v>
      </c>
      <c r="N764" s="41">
        <v>146.0</v>
      </c>
      <c r="O764" s="122">
        <f t="shared" si="1"/>
        <v>0.3561643836</v>
      </c>
      <c r="P764" s="123">
        <f t="shared" si="5"/>
        <v>354.5535714</v>
      </c>
      <c r="Q764" s="123">
        <f t="shared" si="2"/>
        <v>0.9285714286</v>
      </c>
      <c r="R764" s="123">
        <f t="shared" si="6"/>
        <v>0.4464285714</v>
      </c>
      <c r="S764" s="123">
        <f t="shared" si="3"/>
        <v>1.267857143</v>
      </c>
      <c r="T764" s="123">
        <f t="shared" si="4"/>
        <v>2.607142857</v>
      </c>
      <c r="U764" s="41">
        <v>7.0</v>
      </c>
      <c r="V764" s="41">
        <v>0.0</v>
      </c>
      <c r="W764" s="41">
        <v>0.0</v>
      </c>
      <c r="X764" s="41">
        <v>9.0</v>
      </c>
      <c r="Y764" s="41">
        <v>17.0</v>
      </c>
      <c r="Z764" s="41">
        <v>42.0</v>
      </c>
    </row>
    <row r="765">
      <c r="A765" s="41" t="s">
        <v>904</v>
      </c>
      <c r="B765" s="41" t="s">
        <v>665</v>
      </c>
      <c r="C765" s="41" t="s">
        <v>1985</v>
      </c>
      <c r="D765" s="41" t="s">
        <v>1431</v>
      </c>
      <c r="E765" s="41">
        <v>36.0</v>
      </c>
      <c r="F765" s="41">
        <v>13.0</v>
      </c>
      <c r="G765" s="41">
        <v>23.0</v>
      </c>
      <c r="H765" s="125">
        <v>0.3611111111111111</v>
      </c>
      <c r="I765" s="41">
        <v>5.0</v>
      </c>
      <c r="J765" s="41">
        <v>12382.0</v>
      </c>
      <c r="K765" s="41">
        <v>25.0</v>
      </c>
      <c r="L765" s="41">
        <v>16.0</v>
      </c>
      <c r="M765" s="41">
        <v>52.0</v>
      </c>
      <c r="N765" s="41">
        <v>89.0</v>
      </c>
      <c r="O765" s="122">
        <f t="shared" si="1"/>
        <v>0.2808988764</v>
      </c>
      <c r="P765" s="123">
        <f t="shared" si="5"/>
        <v>343.9444444</v>
      </c>
      <c r="Q765" s="123">
        <f t="shared" si="2"/>
        <v>0.6944444444</v>
      </c>
      <c r="R765" s="123">
        <f t="shared" si="6"/>
        <v>0.4444444444</v>
      </c>
      <c r="S765" s="123">
        <f t="shared" si="3"/>
        <v>1.444444444</v>
      </c>
      <c r="T765" s="123">
        <f t="shared" si="4"/>
        <v>2.472222222</v>
      </c>
      <c r="U765" s="41">
        <v>7.0</v>
      </c>
      <c r="V765" s="41">
        <v>0.0</v>
      </c>
      <c r="W765" s="41">
        <v>0.0</v>
      </c>
      <c r="X765" s="41">
        <v>6.0</v>
      </c>
      <c r="Y765" s="41">
        <v>12.0</v>
      </c>
      <c r="Z765" s="41">
        <v>40.0</v>
      </c>
    </row>
    <row r="766">
      <c r="A766" s="41" t="s">
        <v>904</v>
      </c>
      <c r="B766" s="41" t="s">
        <v>713</v>
      </c>
      <c r="C766" s="41" t="s">
        <v>1986</v>
      </c>
      <c r="D766" s="41" t="s">
        <v>1987</v>
      </c>
      <c r="E766" s="41">
        <v>23.0</v>
      </c>
      <c r="F766" s="41">
        <v>13.0</v>
      </c>
      <c r="G766" s="41">
        <v>10.0</v>
      </c>
      <c r="H766" s="125">
        <v>0.5652173913043478</v>
      </c>
      <c r="I766" s="41">
        <v>1.0</v>
      </c>
      <c r="J766" s="41">
        <v>6292.0</v>
      </c>
      <c r="K766" s="41">
        <v>11.0</v>
      </c>
      <c r="L766" s="41">
        <v>10.0</v>
      </c>
      <c r="M766" s="41">
        <v>30.0</v>
      </c>
      <c r="N766" s="41">
        <v>35.0</v>
      </c>
      <c r="O766" s="122">
        <f t="shared" si="1"/>
        <v>0.3142857143</v>
      </c>
      <c r="P766" s="123">
        <f t="shared" si="5"/>
        <v>273.5652174</v>
      </c>
      <c r="Q766" s="123">
        <f t="shared" si="2"/>
        <v>0.4782608696</v>
      </c>
      <c r="R766" s="123">
        <f t="shared" si="6"/>
        <v>0.4347826087</v>
      </c>
      <c r="S766" s="123">
        <f t="shared" si="3"/>
        <v>1.304347826</v>
      </c>
      <c r="T766" s="123">
        <f t="shared" si="4"/>
        <v>1.52173913</v>
      </c>
      <c r="U766" s="41">
        <v>4.0</v>
      </c>
      <c r="V766" s="41">
        <v>0.0</v>
      </c>
      <c r="W766" s="41">
        <v>0.0</v>
      </c>
      <c r="X766" s="41">
        <v>5.0</v>
      </c>
      <c r="Y766" s="41">
        <v>20.0</v>
      </c>
      <c r="Z766" s="41">
        <v>17.0</v>
      </c>
    </row>
    <row r="767">
      <c r="A767" s="41" t="s">
        <v>901</v>
      </c>
      <c r="B767" s="41" t="s">
        <v>394</v>
      </c>
      <c r="C767" s="41" t="s">
        <v>1988</v>
      </c>
      <c r="D767" s="41" t="s">
        <v>1258</v>
      </c>
      <c r="E767" s="41">
        <v>28.0</v>
      </c>
      <c r="F767" s="41">
        <v>9.0</v>
      </c>
      <c r="G767" s="41">
        <v>19.0</v>
      </c>
      <c r="H767" s="125">
        <v>0.32142857142857145</v>
      </c>
      <c r="I767" s="41">
        <v>0.0</v>
      </c>
      <c r="J767" s="41">
        <v>8483.0</v>
      </c>
      <c r="K767" s="41">
        <v>14.0</v>
      </c>
      <c r="L767" s="41">
        <v>18.0</v>
      </c>
      <c r="M767" s="41">
        <v>27.0</v>
      </c>
      <c r="N767" s="41">
        <v>65.0</v>
      </c>
      <c r="O767" s="122">
        <f t="shared" si="1"/>
        <v>0.2153846154</v>
      </c>
      <c r="P767" s="123">
        <f t="shared" si="5"/>
        <v>302.9642857</v>
      </c>
      <c r="Q767" s="123">
        <f t="shared" si="2"/>
        <v>0.5</v>
      </c>
      <c r="R767" s="123">
        <f t="shared" si="6"/>
        <v>0.6428571429</v>
      </c>
      <c r="S767" s="123">
        <f t="shared" si="3"/>
        <v>0.9642857143</v>
      </c>
      <c r="T767" s="123">
        <f t="shared" si="4"/>
        <v>2.321428571</v>
      </c>
      <c r="U767" s="41">
        <v>3.0</v>
      </c>
      <c r="V767" s="41">
        <v>0.0</v>
      </c>
      <c r="W767" s="41">
        <v>1.0</v>
      </c>
      <c r="X767" s="41">
        <v>3.0</v>
      </c>
      <c r="Y767" s="41">
        <v>26.0</v>
      </c>
      <c r="Z767" s="41">
        <v>25.0</v>
      </c>
    </row>
    <row r="768">
      <c r="A768" s="41" t="s">
        <v>906</v>
      </c>
      <c r="B768" s="41" t="s">
        <v>546</v>
      </c>
      <c r="C768" s="41" t="s">
        <v>1989</v>
      </c>
      <c r="D768" s="41" t="s">
        <v>1778</v>
      </c>
      <c r="E768" s="41">
        <v>1.0</v>
      </c>
      <c r="F768" s="41">
        <v>0.0</v>
      </c>
      <c r="G768" s="41">
        <v>1.0</v>
      </c>
      <c r="H768" s="125">
        <v>0.0</v>
      </c>
      <c r="I768" s="41">
        <v>0.0</v>
      </c>
      <c r="J768" s="41">
        <v>386.0</v>
      </c>
      <c r="K768" s="41">
        <v>1.0</v>
      </c>
      <c r="L768" s="41">
        <v>1.0</v>
      </c>
      <c r="M768" s="41">
        <v>1.0</v>
      </c>
      <c r="N768" s="41">
        <v>2.0</v>
      </c>
      <c r="O768" s="122">
        <f t="shared" si="1"/>
        <v>0.5</v>
      </c>
      <c r="P768" s="123">
        <f t="shared" si="5"/>
        <v>386</v>
      </c>
      <c r="Q768" s="123">
        <f t="shared" si="2"/>
        <v>1</v>
      </c>
      <c r="R768" s="123">
        <f t="shared" si="6"/>
        <v>1</v>
      </c>
      <c r="S768" s="123">
        <f t="shared" si="3"/>
        <v>1</v>
      </c>
      <c r="T768" s="123">
        <f t="shared" si="4"/>
        <v>2</v>
      </c>
      <c r="U768" s="41">
        <v>1.0</v>
      </c>
      <c r="V768" s="41">
        <v>0.0</v>
      </c>
      <c r="W768" s="41">
        <v>0.0</v>
      </c>
      <c r="X768" s="41">
        <v>0.0</v>
      </c>
      <c r="Y768" s="41">
        <v>0.0</v>
      </c>
      <c r="Z768" s="41">
        <v>0.0</v>
      </c>
    </row>
    <row r="769">
      <c r="A769" s="41" t="s">
        <v>901</v>
      </c>
      <c r="B769" s="41" t="s">
        <v>290</v>
      </c>
      <c r="C769" s="41" t="s">
        <v>1990</v>
      </c>
      <c r="D769" s="41" t="s">
        <v>1545</v>
      </c>
      <c r="E769" s="41">
        <v>20.0</v>
      </c>
      <c r="F769" s="41">
        <v>11.0</v>
      </c>
      <c r="G769" s="41">
        <v>9.0</v>
      </c>
      <c r="H769" s="125">
        <v>0.55</v>
      </c>
      <c r="I769" s="41">
        <v>4.0</v>
      </c>
      <c r="J769" s="41">
        <v>7339.0</v>
      </c>
      <c r="K769" s="41">
        <v>15.0</v>
      </c>
      <c r="L769" s="41">
        <v>17.0</v>
      </c>
      <c r="M769" s="41">
        <v>25.0</v>
      </c>
      <c r="N769" s="41">
        <v>59.0</v>
      </c>
      <c r="O769" s="122">
        <f t="shared" si="1"/>
        <v>0.2542372881</v>
      </c>
      <c r="P769" s="123">
        <f t="shared" si="5"/>
        <v>366.95</v>
      </c>
      <c r="Q769" s="123">
        <f t="shared" si="2"/>
        <v>0.75</v>
      </c>
      <c r="R769" s="123">
        <f t="shared" si="6"/>
        <v>0.85</v>
      </c>
      <c r="S769" s="123">
        <f t="shared" si="3"/>
        <v>1.25</v>
      </c>
      <c r="T769" s="123">
        <f t="shared" si="4"/>
        <v>2.95</v>
      </c>
      <c r="U769" s="41">
        <v>4.0</v>
      </c>
      <c r="V769" s="41">
        <v>2.0</v>
      </c>
      <c r="W769" s="41">
        <v>1.0</v>
      </c>
      <c r="X769" s="41">
        <v>4.0</v>
      </c>
      <c r="Y769" s="41">
        <v>24.0</v>
      </c>
      <c r="Z769" s="41">
        <v>23.0</v>
      </c>
    </row>
    <row r="770">
      <c r="A770" s="41" t="s">
        <v>906</v>
      </c>
      <c r="B770" s="41" t="s">
        <v>548</v>
      </c>
      <c r="C770" s="41" t="s">
        <v>1991</v>
      </c>
      <c r="D770" s="41" t="s">
        <v>965</v>
      </c>
      <c r="E770" s="41">
        <v>33.0</v>
      </c>
      <c r="F770" s="41">
        <v>23.0</v>
      </c>
      <c r="G770" s="41">
        <v>10.0</v>
      </c>
      <c r="H770" s="125">
        <v>0.696969696969697</v>
      </c>
      <c r="I770" s="41">
        <v>2.0</v>
      </c>
      <c r="J770" s="41">
        <v>10095.0</v>
      </c>
      <c r="K770" s="41">
        <v>25.0</v>
      </c>
      <c r="L770" s="41">
        <v>18.0</v>
      </c>
      <c r="M770" s="41">
        <v>33.0</v>
      </c>
      <c r="N770" s="41">
        <v>75.0</v>
      </c>
      <c r="O770" s="122">
        <f t="shared" si="1"/>
        <v>0.3333333333</v>
      </c>
      <c r="P770" s="123">
        <f t="shared" si="5"/>
        <v>305.9090909</v>
      </c>
      <c r="Q770" s="123">
        <f t="shared" si="2"/>
        <v>0.7575757576</v>
      </c>
      <c r="R770" s="123">
        <f t="shared" si="6"/>
        <v>0.5454545455</v>
      </c>
      <c r="S770" s="123">
        <f t="shared" si="3"/>
        <v>1</v>
      </c>
      <c r="T770" s="123">
        <f t="shared" si="4"/>
        <v>2.272727273</v>
      </c>
      <c r="U770" s="41">
        <v>1.0</v>
      </c>
      <c r="V770" s="41">
        <v>0.0</v>
      </c>
      <c r="W770" s="41">
        <v>2.0</v>
      </c>
      <c r="X770" s="41">
        <v>3.0</v>
      </c>
      <c r="Y770" s="41">
        <v>8.0</v>
      </c>
      <c r="Z770" s="41">
        <v>25.0</v>
      </c>
    </row>
    <row r="771">
      <c r="A771" s="41" t="s">
        <v>902</v>
      </c>
      <c r="B771" s="41" t="s">
        <v>740</v>
      </c>
      <c r="C771" s="41" t="s">
        <v>1992</v>
      </c>
      <c r="D771" s="41" t="s">
        <v>1477</v>
      </c>
      <c r="E771" s="41">
        <v>51.0</v>
      </c>
      <c r="F771" s="41">
        <v>29.0</v>
      </c>
      <c r="G771" s="41">
        <v>22.0</v>
      </c>
      <c r="H771" s="125">
        <v>0.5686274509803921</v>
      </c>
      <c r="I771" s="41">
        <v>15.0</v>
      </c>
      <c r="J771" s="41">
        <v>19480.0</v>
      </c>
      <c r="K771" s="41">
        <v>49.0</v>
      </c>
      <c r="L771" s="41">
        <v>36.0</v>
      </c>
      <c r="M771" s="41">
        <v>58.0</v>
      </c>
      <c r="N771" s="41">
        <v>168.0</v>
      </c>
      <c r="O771" s="122">
        <f t="shared" si="1"/>
        <v>0.2916666667</v>
      </c>
      <c r="P771" s="123">
        <f t="shared" si="5"/>
        <v>381.9607843</v>
      </c>
      <c r="Q771" s="123">
        <f t="shared" si="2"/>
        <v>0.9607843137</v>
      </c>
      <c r="R771" s="123">
        <f t="shared" si="6"/>
        <v>0.7058823529</v>
      </c>
      <c r="S771" s="123">
        <f t="shared" si="3"/>
        <v>1.137254902</v>
      </c>
      <c r="T771" s="123">
        <f t="shared" si="4"/>
        <v>3.294117647</v>
      </c>
      <c r="U771" s="41">
        <v>8.0</v>
      </c>
      <c r="V771" s="41">
        <v>4.0</v>
      </c>
      <c r="W771" s="41">
        <v>3.0</v>
      </c>
      <c r="X771" s="41">
        <v>7.0</v>
      </c>
      <c r="Y771" s="41">
        <v>79.0</v>
      </c>
      <c r="Z771" s="41">
        <v>47.0</v>
      </c>
    </row>
    <row r="772">
      <c r="A772" s="41" t="s">
        <v>905</v>
      </c>
      <c r="B772" s="41" t="s">
        <v>110</v>
      </c>
      <c r="C772" s="41" t="s">
        <v>1993</v>
      </c>
      <c r="D772" s="41" t="s">
        <v>1232</v>
      </c>
      <c r="E772" s="41">
        <v>49.0</v>
      </c>
      <c r="F772" s="41">
        <v>28.0</v>
      </c>
      <c r="G772" s="41">
        <v>21.0</v>
      </c>
      <c r="H772" s="125">
        <v>0.5714285714285714</v>
      </c>
      <c r="I772" s="41">
        <v>16.0</v>
      </c>
      <c r="J772" s="41">
        <v>20088.0</v>
      </c>
      <c r="K772" s="41">
        <v>54.0</v>
      </c>
      <c r="L772" s="41">
        <v>29.0</v>
      </c>
      <c r="M772" s="41">
        <v>65.0</v>
      </c>
      <c r="N772" s="41">
        <v>158.0</v>
      </c>
      <c r="O772" s="122">
        <f t="shared" si="1"/>
        <v>0.3417721519</v>
      </c>
      <c r="P772" s="123">
        <f t="shared" si="5"/>
        <v>409.9591837</v>
      </c>
      <c r="Q772" s="123">
        <f t="shared" si="2"/>
        <v>1.102040816</v>
      </c>
      <c r="R772" s="123">
        <f t="shared" si="6"/>
        <v>0.5918367347</v>
      </c>
      <c r="S772" s="123">
        <f t="shared" si="3"/>
        <v>1.326530612</v>
      </c>
      <c r="T772" s="123">
        <f t="shared" si="4"/>
        <v>3.224489796</v>
      </c>
      <c r="U772" s="41">
        <v>12.0</v>
      </c>
      <c r="V772" s="41">
        <v>6.0</v>
      </c>
      <c r="W772" s="41">
        <v>2.0</v>
      </c>
      <c r="X772" s="41">
        <v>9.0</v>
      </c>
      <c r="Y772" s="41">
        <v>25.0</v>
      </c>
      <c r="Z772" s="41">
        <v>38.0</v>
      </c>
    </row>
    <row r="773">
      <c r="A773" s="41" t="s">
        <v>902</v>
      </c>
      <c r="B773" s="41" t="s">
        <v>788</v>
      </c>
      <c r="C773" s="41" t="s">
        <v>1994</v>
      </c>
      <c r="D773" s="41" t="s">
        <v>1100</v>
      </c>
      <c r="E773" s="41">
        <v>52.0</v>
      </c>
      <c r="F773" s="41">
        <v>24.0</v>
      </c>
      <c r="G773" s="41">
        <v>28.0</v>
      </c>
      <c r="H773" s="125">
        <v>0.46153846153846156</v>
      </c>
      <c r="I773" s="41">
        <v>11.0</v>
      </c>
      <c r="J773" s="41">
        <v>19877.0</v>
      </c>
      <c r="K773" s="41">
        <v>41.0</v>
      </c>
      <c r="L773" s="41">
        <v>22.0</v>
      </c>
      <c r="M773" s="41">
        <v>85.0</v>
      </c>
      <c r="N773" s="41">
        <v>119.0</v>
      </c>
      <c r="O773" s="122">
        <f t="shared" si="1"/>
        <v>0.3445378151</v>
      </c>
      <c r="P773" s="123">
        <f t="shared" si="5"/>
        <v>382.25</v>
      </c>
      <c r="Q773" s="123">
        <f t="shared" si="2"/>
        <v>0.7884615385</v>
      </c>
      <c r="R773" s="123">
        <f t="shared" si="6"/>
        <v>0.4230769231</v>
      </c>
      <c r="S773" s="123">
        <f t="shared" si="3"/>
        <v>1.634615385</v>
      </c>
      <c r="T773" s="123">
        <f t="shared" si="4"/>
        <v>2.288461538</v>
      </c>
      <c r="U773" s="41">
        <v>9.0</v>
      </c>
      <c r="V773" s="41">
        <v>0.0</v>
      </c>
      <c r="W773" s="41">
        <v>1.0</v>
      </c>
      <c r="X773" s="41">
        <v>12.0</v>
      </c>
      <c r="Y773" s="41">
        <v>50.0</v>
      </c>
      <c r="Z773" s="41">
        <v>48.0</v>
      </c>
    </row>
    <row r="774">
      <c r="A774" s="41" t="s">
        <v>902</v>
      </c>
      <c r="B774" s="41" t="s">
        <v>832</v>
      </c>
      <c r="C774" s="41" t="s">
        <v>1995</v>
      </c>
      <c r="D774" s="41" t="s">
        <v>1177</v>
      </c>
      <c r="E774" s="41">
        <v>51.0</v>
      </c>
      <c r="F774" s="41">
        <v>21.0</v>
      </c>
      <c r="G774" s="41">
        <v>30.0</v>
      </c>
      <c r="H774" s="125">
        <v>0.4117647058823529</v>
      </c>
      <c r="I774" s="41">
        <v>9.0</v>
      </c>
      <c r="J774" s="41">
        <v>17928.0</v>
      </c>
      <c r="K774" s="41">
        <v>28.0</v>
      </c>
      <c r="L774" s="41">
        <v>28.0</v>
      </c>
      <c r="M774" s="41">
        <v>81.0</v>
      </c>
      <c r="N774" s="41">
        <v>126.0</v>
      </c>
      <c r="O774" s="122">
        <f t="shared" si="1"/>
        <v>0.2222222222</v>
      </c>
      <c r="P774" s="123">
        <f t="shared" si="5"/>
        <v>351.5294118</v>
      </c>
      <c r="Q774" s="123">
        <f t="shared" si="2"/>
        <v>0.5490196078</v>
      </c>
      <c r="R774" s="123">
        <f t="shared" si="6"/>
        <v>0.5490196078</v>
      </c>
      <c r="S774" s="123">
        <f t="shared" si="3"/>
        <v>1.588235294</v>
      </c>
      <c r="T774" s="123">
        <f t="shared" si="4"/>
        <v>2.470588235</v>
      </c>
      <c r="U774" s="41">
        <v>7.0</v>
      </c>
      <c r="V774" s="41">
        <v>1.0</v>
      </c>
      <c r="W774" s="41">
        <v>1.0</v>
      </c>
      <c r="X774" s="41">
        <v>11.0</v>
      </c>
      <c r="Y774" s="41">
        <v>55.0</v>
      </c>
      <c r="Z774" s="41">
        <v>43.0</v>
      </c>
    </row>
    <row r="775">
      <c r="A775" s="41" t="s">
        <v>901</v>
      </c>
      <c r="B775" s="41" t="s">
        <v>352</v>
      </c>
      <c r="C775" s="41" t="s">
        <v>1996</v>
      </c>
      <c r="D775" s="41" t="s">
        <v>1199</v>
      </c>
      <c r="E775" s="41">
        <v>55.0</v>
      </c>
      <c r="F775" s="41">
        <v>29.0</v>
      </c>
      <c r="G775" s="41">
        <v>26.0</v>
      </c>
      <c r="H775" s="125">
        <v>0.5272727272727272</v>
      </c>
      <c r="I775" s="41">
        <v>9.0</v>
      </c>
      <c r="J775" s="41">
        <v>18343.0</v>
      </c>
      <c r="K775" s="41">
        <v>40.0</v>
      </c>
      <c r="L775" s="41">
        <v>27.0</v>
      </c>
      <c r="M775" s="41">
        <v>72.0</v>
      </c>
      <c r="N775" s="41">
        <v>156.0</v>
      </c>
      <c r="O775" s="122">
        <f t="shared" si="1"/>
        <v>0.2564102564</v>
      </c>
      <c r="P775" s="123">
        <f t="shared" si="5"/>
        <v>333.5090909</v>
      </c>
      <c r="Q775" s="123">
        <f t="shared" si="2"/>
        <v>0.7272727273</v>
      </c>
      <c r="R775" s="123">
        <f t="shared" si="6"/>
        <v>0.4909090909</v>
      </c>
      <c r="S775" s="123">
        <f t="shared" si="3"/>
        <v>1.309090909</v>
      </c>
      <c r="T775" s="123">
        <f t="shared" si="4"/>
        <v>2.836363636</v>
      </c>
      <c r="U775" s="41">
        <v>10.0</v>
      </c>
      <c r="V775" s="41">
        <v>2.0</v>
      </c>
      <c r="W775" s="41">
        <v>1.0</v>
      </c>
      <c r="X775" s="41">
        <v>7.0</v>
      </c>
      <c r="Y775" s="41">
        <v>71.0</v>
      </c>
      <c r="Z775" s="41">
        <v>83.0</v>
      </c>
    </row>
    <row r="776">
      <c r="A776" s="41" t="s">
        <v>902</v>
      </c>
      <c r="B776" s="41" t="s">
        <v>828</v>
      </c>
      <c r="C776" s="41" t="s">
        <v>1997</v>
      </c>
      <c r="D776" s="41" t="s">
        <v>1351</v>
      </c>
      <c r="E776" s="41">
        <v>49.0</v>
      </c>
      <c r="F776" s="41">
        <v>17.0</v>
      </c>
      <c r="G776" s="41">
        <v>32.0</v>
      </c>
      <c r="H776" s="125">
        <v>0.3469387755102041</v>
      </c>
      <c r="I776" s="41">
        <v>4.0</v>
      </c>
      <c r="J776" s="41">
        <v>15975.0</v>
      </c>
      <c r="K776" s="41">
        <v>41.0</v>
      </c>
      <c r="L776" s="41">
        <v>25.0</v>
      </c>
      <c r="M776" s="41">
        <v>50.0</v>
      </c>
      <c r="N776" s="41">
        <v>132.0</v>
      </c>
      <c r="O776" s="122">
        <f t="shared" si="1"/>
        <v>0.3106060606</v>
      </c>
      <c r="P776" s="123">
        <f t="shared" si="5"/>
        <v>326.0204082</v>
      </c>
      <c r="Q776" s="123">
        <f t="shared" si="2"/>
        <v>0.8367346939</v>
      </c>
      <c r="R776" s="123">
        <f t="shared" si="6"/>
        <v>0.5102040816</v>
      </c>
      <c r="S776" s="123">
        <f t="shared" si="3"/>
        <v>1.020408163</v>
      </c>
      <c r="T776" s="123">
        <f t="shared" si="4"/>
        <v>2.693877551</v>
      </c>
      <c r="U776" s="41">
        <v>4.0</v>
      </c>
      <c r="V776" s="41">
        <v>3.0</v>
      </c>
      <c r="W776" s="41">
        <v>1.0</v>
      </c>
      <c r="X776" s="41">
        <v>3.0</v>
      </c>
      <c r="Y776" s="41">
        <v>33.0</v>
      </c>
      <c r="Z776" s="41">
        <v>53.0</v>
      </c>
    </row>
    <row r="777">
      <c r="A777" s="41" t="s">
        <v>904</v>
      </c>
      <c r="B777" s="41" t="s">
        <v>639</v>
      </c>
      <c r="C777" s="41" t="s">
        <v>1998</v>
      </c>
      <c r="D777" s="41" t="s">
        <v>1354</v>
      </c>
      <c r="E777" s="41">
        <v>46.0</v>
      </c>
      <c r="F777" s="41">
        <v>27.0</v>
      </c>
      <c r="G777" s="41">
        <v>19.0</v>
      </c>
      <c r="H777" s="125">
        <v>0.5869565217391305</v>
      </c>
      <c r="I777" s="41">
        <v>5.0</v>
      </c>
      <c r="J777" s="41">
        <v>15481.0</v>
      </c>
      <c r="K777" s="41">
        <v>30.0</v>
      </c>
      <c r="L777" s="41">
        <v>28.0</v>
      </c>
      <c r="M777" s="41">
        <v>51.0</v>
      </c>
      <c r="N777" s="41">
        <v>130.0</v>
      </c>
      <c r="O777" s="122">
        <f t="shared" si="1"/>
        <v>0.2307692308</v>
      </c>
      <c r="P777" s="123">
        <f t="shared" si="5"/>
        <v>336.5434783</v>
      </c>
      <c r="Q777" s="123">
        <f t="shared" si="2"/>
        <v>0.652173913</v>
      </c>
      <c r="R777" s="123">
        <f t="shared" si="6"/>
        <v>0.6086956522</v>
      </c>
      <c r="S777" s="123">
        <f t="shared" si="3"/>
        <v>1.108695652</v>
      </c>
      <c r="T777" s="123">
        <f t="shared" si="4"/>
        <v>2.826086957</v>
      </c>
      <c r="U777" s="41">
        <v>4.0</v>
      </c>
      <c r="V777" s="41">
        <v>0.0</v>
      </c>
      <c r="W777" s="41">
        <v>0.0</v>
      </c>
      <c r="X777" s="41">
        <v>5.0</v>
      </c>
      <c r="Y777" s="41">
        <v>35.0</v>
      </c>
      <c r="Z777" s="41">
        <v>43.0</v>
      </c>
    </row>
    <row r="778">
      <c r="A778" s="41" t="s">
        <v>905</v>
      </c>
      <c r="B778" s="41" t="s">
        <v>135</v>
      </c>
      <c r="C778" s="41" t="s">
        <v>1999</v>
      </c>
      <c r="D778" s="41" t="s">
        <v>1815</v>
      </c>
      <c r="E778" s="41">
        <v>8.0</v>
      </c>
      <c r="F778" s="41">
        <v>6.0</v>
      </c>
      <c r="G778" s="41">
        <v>2.0</v>
      </c>
      <c r="H778" s="125">
        <v>0.75</v>
      </c>
      <c r="I778" s="41">
        <v>1.0</v>
      </c>
      <c r="J778" s="41">
        <v>3081.0</v>
      </c>
      <c r="K778" s="41">
        <v>7.0</v>
      </c>
      <c r="L778" s="41">
        <v>4.0</v>
      </c>
      <c r="M778" s="41">
        <v>12.0</v>
      </c>
      <c r="N778" s="41">
        <v>20.0</v>
      </c>
      <c r="O778" s="122">
        <f t="shared" si="1"/>
        <v>0.35</v>
      </c>
      <c r="P778" s="123">
        <f t="shared" si="5"/>
        <v>385.125</v>
      </c>
      <c r="Q778" s="123">
        <f t="shared" si="2"/>
        <v>0.875</v>
      </c>
      <c r="R778" s="123">
        <f t="shared" si="6"/>
        <v>0.5</v>
      </c>
      <c r="S778" s="123">
        <f t="shared" si="3"/>
        <v>1.5</v>
      </c>
      <c r="T778" s="123">
        <f t="shared" si="4"/>
        <v>2.5</v>
      </c>
      <c r="U778" s="41">
        <v>1.0</v>
      </c>
      <c r="V778" s="41">
        <v>0.0</v>
      </c>
      <c r="W778" s="41">
        <v>0.0</v>
      </c>
      <c r="X778" s="41">
        <v>1.0</v>
      </c>
      <c r="Y778" s="41">
        <v>10.0</v>
      </c>
      <c r="Z778" s="41">
        <v>6.0</v>
      </c>
    </row>
    <row r="779">
      <c r="A779" s="41" t="s">
        <v>906</v>
      </c>
      <c r="B779" s="41" t="s">
        <v>539</v>
      </c>
      <c r="C779" s="41" t="s">
        <v>2000</v>
      </c>
      <c r="D779" s="41" t="s">
        <v>1697</v>
      </c>
      <c r="E779" s="41">
        <v>39.0</v>
      </c>
      <c r="F779" s="41">
        <v>19.0</v>
      </c>
      <c r="G779" s="41">
        <v>20.0</v>
      </c>
      <c r="H779" s="125">
        <v>0.48717948717948717</v>
      </c>
      <c r="I779" s="41">
        <v>7.0</v>
      </c>
      <c r="J779" s="41">
        <v>13609.0</v>
      </c>
      <c r="K779" s="41">
        <v>34.0</v>
      </c>
      <c r="L779" s="41">
        <v>27.0</v>
      </c>
      <c r="M779" s="41">
        <v>48.0</v>
      </c>
      <c r="N779" s="41">
        <v>82.0</v>
      </c>
      <c r="O779" s="122">
        <f t="shared" si="1"/>
        <v>0.4146341463</v>
      </c>
      <c r="P779" s="123">
        <f t="shared" si="5"/>
        <v>348.9487179</v>
      </c>
      <c r="Q779" s="123">
        <f t="shared" si="2"/>
        <v>0.8717948718</v>
      </c>
      <c r="R779" s="123">
        <f t="shared" si="6"/>
        <v>0.6923076923</v>
      </c>
      <c r="S779" s="123">
        <f t="shared" si="3"/>
        <v>1.230769231</v>
      </c>
      <c r="T779" s="123">
        <f t="shared" si="4"/>
        <v>2.102564103</v>
      </c>
      <c r="U779" s="41">
        <v>9.0</v>
      </c>
      <c r="V779" s="41">
        <v>4.0</v>
      </c>
      <c r="W779" s="41">
        <v>1.0</v>
      </c>
      <c r="X779" s="41">
        <v>4.0</v>
      </c>
      <c r="Y779" s="41">
        <v>19.0</v>
      </c>
      <c r="Z779" s="41">
        <v>43.0</v>
      </c>
    </row>
    <row r="780">
      <c r="A780" s="41" t="s">
        <v>906</v>
      </c>
      <c r="B780" s="41" t="s">
        <v>551</v>
      </c>
      <c r="C780" s="41" t="s">
        <v>2001</v>
      </c>
      <c r="D780" s="41" t="s">
        <v>1425</v>
      </c>
      <c r="E780" s="41">
        <v>36.0</v>
      </c>
      <c r="F780" s="41">
        <v>15.0</v>
      </c>
      <c r="G780" s="41">
        <v>21.0</v>
      </c>
      <c r="H780" s="125">
        <v>0.4166666666666667</v>
      </c>
      <c r="I780" s="41">
        <v>6.0</v>
      </c>
      <c r="J780" s="41">
        <v>12564.0</v>
      </c>
      <c r="K780" s="41">
        <v>25.0</v>
      </c>
      <c r="L780" s="41">
        <v>15.0</v>
      </c>
      <c r="M780" s="41">
        <v>50.0</v>
      </c>
      <c r="N780" s="41">
        <v>95.0</v>
      </c>
      <c r="O780" s="122">
        <f t="shared" si="1"/>
        <v>0.2631578947</v>
      </c>
      <c r="P780" s="123">
        <f t="shared" si="5"/>
        <v>349</v>
      </c>
      <c r="Q780" s="123">
        <f t="shared" si="2"/>
        <v>0.6944444444</v>
      </c>
      <c r="R780" s="123">
        <f t="shared" si="6"/>
        <v>0.4166666667</v>
      </c>
      <c r="S780" s="123">
        <f t="shared" si="3"/>
        <v>1.388888889</v>
      </c>
      <c r="T780" s="123">
        <f t="shared" si="4"/>
        <v>2.638888889</v>
      </c>
      <c r="U780" s="41">
        <v>5.0</v>
      </c>
      <c r="V780" s="41">
        <v>0.0</v>
      </c>
      <c r="W780" s="41">
        <v>0.0</v>
      </c>
      <c r="X780" s="41">
        <v>6.0</v>
      </c>
      <c r="Y780" s="41">
        <v>60.0</v>
      </c>
      <c r="Z780" s="41">
        <v>27.0</v>
      </c>
    </row>
    <row r="781">
      <c r="A781" s="41" t="s">
        <v>905</v>
      </c>
      <c r="B781" s="41" t="s">
        <v>247</v>
      </c>
      <c r="C781" s="41" t="s">
        <v>2002</v>
      </c>
      <c r="D781" s="41" t="s">
        <v>2003</v>
      </c>
      <c r="E781" s="41">
        <v>10.0</v>
      </c>
      <c r="F781" s="41">
        <v>3.0</v>
      </c>
      <c r="G781" s="41">
        <v>7.0</v>
      </c>
      <c r="H781" s="125">
        <v>0.3</v>
      </c>
      <c r="I781" s="41">
        <v>2.0</v>
      </c>
      <c r="J781" s="41">
        <v>2677.0</v>
      </c>
      <c r="K781" s="41">
        <v>6.0</v>
      </c>
      <c r="L781" s="41">
        <v>4.0</v>
      </c>
      <c r="M781" s="41">
        <v>11.0</v>
      </c>
      <c r="N781" s="41">
        <v>16.0</v>
      </c>
      <c r="O781" s="122">
        <f t="shared" si="1"/>
        <v>0.375</v>
      </c>
      <c r="P781" s="123">
        <f t="shared" si="5"/>
        <v>267.7</v>
      </c>
      <c r="Q781" s="123">
        <f t="shared" si="2"/>
        <v>0.6</v>
      </c>
      <c r="R781" s="123">
        <f t="shared" si="6"/>
        <v>0.4</v>
      </c>
      <c r="S781" s="123">
        <f t="shared" si="3"/>
        <v>1.1</v>
      </c>
      <c r="T781" s="123">
        <f t="shared" si="4"/>
        <v>1.6</v>
      </c>
      <c r="U781" s="41">
        <v>2.0</v>
      </c>
      <c r="V781" s="41">
        <v>0.0</v>
      </c>
      <c r="W781" s="41">
        <v>0.0</v>
      </c>
      <c r="X781" s="41">
        <v>1.0</v>
      </c>
      <c r="Y781" s="41">
        <v>8.0</v>
      </c>
      <c r="Z781" s="41">
        <v>17.0</v>
      </c>
    </row>
    <row r="782">
      <c r="A782" s="41" t="s">
        <v>901</v>
      </c>
      <c r="B782" s="41" t="s">
        <v>404</v>
      </c>
      <c r="C782" s="41" t="s">
        <v>2004</v>
      </c>
      <c r="D782" s="41" t="s">
        <v>1067</v>
      </c>
      <c r="E782" s="41">
        <v>12.0</v>
      </c>
      <c r="F782" s="41">
        <v>1.0</v>
      </c>
      <c r="G782" s="41">
        <v>11.0</v>
      </c>
      <c r="H782" s="125">
        <v>0.08333333333333333</v>
      </c>
      <c r="I782" s="41">
        <v>0.0</v>
      </c>
      <c r="J782" s="41">
        <v>3586.0</v>
      </c>
      <c r="K782" s="41">
        <v>7.0</v>
      </c>
      <c r="L782" s="41">
        <v>3.0</v>
      </c>
      <c r="M782" s="41">
        <v>17.0</v>
      </c>
      <c r="N782" s="41">
        <v>25.0</v>
      </c>
      <c r="O782" s="122">
        <f t="shared" si="1"/>
        <v>0.28</v>
      </c>
      <c r="P782" s="123">
        <f t="shared" si="5"/>
        <v>298.8333333</v>
      </c>
      <c r="Q782" s="123">
        <f t="shared" si="2"/>
        <v>0.5833333333</v>
      </c>
      <c r="R782" s="123">
        <f t="shared" si="6"/>
        <v>0.25</v>
      </c>
      <c r="S782" s="123">
        <f t="shared" si="3"/>
        <v>1.416666667</v>
      </c>
      <c r="T782" s="123">
        <f t="shared" si="4"/>
        <v>2.083333333</v>
      </c>
      <c r="U782" s="41">
        <v>2.0</v>
      </c>
      <c r="V782" s="41">
        <v>0.0</v>
      </c>
      <c r="W782" s="41">
        <v>0.0</v>
      </c>
      <c r="X782" s="41">
        <v>3.0</v>
      </c>
      <c r="Y782" s="41">
        <v>7.0</v>
      </c>
      <c r="Z782" s="41">
        <v>18.0</v>
      </c>
    </row>
    <row r="783">
      <c r="A783" s="41" t="s">
        <v>901</v>
      </c>
      <c r="B783" s="41" t="s">
        <v>335</v>
      </c>
      <c r="C783" s="41" t="s">
        <v>2005</v>
      </c>
      <c r="D783" s="41" t="s">
        <v>1385</v>
      </c>
      <c r="E783" s="41">
        <v>52.0</v>
      </c>
      <c r="F783" s="41">
        <v>24.0</v>
      </c>
      <c r="G783" s="41">
        <v>28.0</v>
      </c>
      <c r="H783" s="125">
        <v>0.46153846153846156</v>
      </c>
      <c r="I783" s="41">
        <v>8.0</v>
      </c>
      <c r="J783" s="41">
        <v>16899.0</v>
      </c>
      <c r="K783" s="41">
        <v>43.0</v>
      </c>
      <c r="L783" s="41">
        <v>25.0</v>
      </c>
      <c r="M783" s="41">
        <v>59.0</v>
      </c>
      <c r="N783" s="41">
        <v>137.0</v>
      </c>
      <c r="O783" s="122">
        <f t="shared" si="1"/>
        <v>0.3138686131</v>
      </c>
      <c r="P783" s="123">
        <f t="shared" si="5"/>
        <v>324.9807692</v>
      </c>
      <c r="Q783" s="123">
        <f t="shared" si="2"/>
        <v>0.8269230769</v>
      </c>
      <c r="R783" s="123">
        <f t="shared" si="6"/>
        <v>0.4807692308</v>
      </c>
      <c r="S783" s="123">
        <f t="shared" si="3"/>
        <v>1.134615385</v>
      </c>
      <c r="T783" s="123">
        <f t="shared" si="4"/>
        <v>2.634615385</v>
      </c>
      <c r="U783" s="41">
        <v>10.0</v>
      </c>
      <c r="V783" s="41">
        <v>2.0</v>
      </c>
      <c r="W783" s="41">
        <v>0.0</v>
      </c>
      <c r="X783" s="41">
        <v>6.0</v>
      </c>
      <c r="Y783" s="41">
        <v>43.0</v>
      </c>
      <c r="Z783" s="41">
        <v>62.0</v>
      </c>
    </row>
    <row r="784">
      <c r="A784" s="41" t="s">
        <v>904</v>
      </c>
      <c r="B784" s="41" t="s">
        <v>623</v>
      </c>
      <c r="C784" s="41" t="s">
        <v>2006</v>
      </c>
      <c r="D784" s="41" t="s">
        <v>1602</v>
      </c>
      <c r="E784" s="41">
        <v>13.0</v>
      </c>
      <c r="F784" s="41">
        <v>7.0</v>
      </c>
      <c r="G784" s="41">
        <v>6.0</v>
      </c>
      <c r="H784" s="125">
        <v>0.5384615384615384</v>
      </c>
      <c r="I784" s="41">
        <v>3.0</v>
      </c>
      <c r="J784" s="41">
        <v>5167.0</v>
      </c>
      <c r="K784" s="41">
        <v>15.0</v>
      </c>
      <c r="L784" s="41">
        <v>4.0</v>
      </c>
      <c r="M784" s="41">
        <v>18.0</v>
      </c>
      <c r="N784" s="41">
        <v>39.0</v>
      </c>
      <c r="O784" s="122">
        <f t="shared" si="1"/>
        <v>0.3846153846</v>
      </c>
      <c r="P784" s="123">
        <f t="shared" si="5"/>
        <v>397.4615385</v>
      </c>
      <c r="Q784" s="123">
        <f t="shared" si="2"/>
        <v>1.153846154</v>
      </c>
      <c r="R784" s="123">
        <f t="shared" si="6"/>
        <v>0.3076923077</v>
      </c>
      <c r="S784" s="123">
        <f t="shared" si="3"/>
        <v>1.384615385</v>
      </c>
      <c r="T784" s="123">
        <f t="shared" si="4"/>
        <v>3</v>
      </c>
      <c r="U784" s="41">
        <v>3.0</v>
      </c>
      <c r="V784" s="41">
        <v>1.0</v>
      </c>
      <c r="W784" s="41">
        <v>0.0</v>
      </c>
      <c r="X784" s="41">
        <v>2.0</v>
      </c>
      <c r="Y784" s="41">
        <v>19.0</v>
      </c>
      <c r="Z784" s="41">
        <v>10.0</v>
      </c>
    </row>
    <row r="785">
      <c r="A785" s="41" t="s">
        <v>904</v>
      </c>
      <c r="B785" s="41" t="s">
        <v>622</v>
      </c>
      <c r="C785" s="41" t="s">
        <v>2007</v>
      </c>
      <c r="D785" s="41" t="s">
        <v>2008</v>
      </c>
      <c r="E785" s="41">
        <v>50.0</v>
      </c>
      <c r="F785" s="41">
        <v>30.0</v>
      </c>
      <c r="G785" s="41">
        <v>20.0</v>
      </c>
      <c r="H785" s="125">
        <v>0.6</v>
      </c>
      <c r="I785" s="41">
        <v>9.0</v>
      </c>
      <c r="J785" s="41">
        <v>17113.0</v>
      </c>
      <c r="K785" s="41">
        <v>45.0</v>
      </c>
      <c r="L785" s="41">
        <v>28.0</v>
      </c>
      <c r="M785" s="41">
        <v>47.0</v>
      </c>
      <c r="N785" s="41">
        <v>127.0</v>
      </c>
      <c r="O785" s="122">
        <f t="shared" si="1"/>
        <v>0.3543307087</v>
      </c>
      <c r="P785" s="123">
        <f t="shared" si="5"/>
        <v>342.26</v>
      </c>
      <c r="Q785" s="123">
        <f t="shared" si="2"/>
        <v>0.9</v>
      </c>
      <c r="R785" s="123">
        <f t="shared" si="6"/>
        <v>0.56</v>
      </c>
      <c r="S785" s="123">
        <f t="shared" si="3"/>
        <v>0.94</v>
      </c>
      <c r="T785" s="123">
        <f t="shared" si="4"/>
        <v>2.54</v>
      </c>
      <c r="U785" s="41">
        <v>7.0</v>
      </c>
      <c r="V785" s="41">
        <v>4.0</v>
      </c>
      <c r="W785" s="41">
        <v>2.0</v>
      </c>
      <c r="X785" s="41">
        <v>2.0</v>
      </c>
      <c r="Y785" s="41">
        <v>48.0</v>
      </c>
      <c r="Z785" s="41">
        <v>47.0</v>
      </c>
    </row>
    <row r="786">
      <c r="A786" s="41" t="s">
        <v>901</v>
      </c>
      <c r="B786" s="41" t="s">
        <v>305</v>
      </c>
      <c r="C786" s="41" t="s">
        <v>2009</v>
      </c>
      <c r="D786" s="41" t="s">
        <v>2010</v>
      </c>
      <c r="E786" s="41">
        <v>49.0</v>
      </c>
      <c r="F786" s="41">
        <v>29.0</v>
      </c>
      <c r="G786" s="41">
        <v>20.0</v>
      </c>
      <c r="H786" s="125">
        <v>0.5918367346938775</v>
      </c>
      <c r="I786" s="41">
        <v>8.0</v>
      </c>
      <c r="J786" s="41">
        <v>19258.0</v>
      </c>
      <c r="K786" s="41">
        <v>41.0</v>
      </c>
      <c r="L786" s="41">
        <v>33.0</v>
      </c>
      <c r="M786" s="41">
        <v>70.0</v>
      </c>
      <c r="N786" s="41">
        <v>130.0</v>
      </c>
      <c r="O786" s="122">
        <f t="shared" si="1"/>
        <v>0.3153846154</v>
      </c>
      <c r="P786" s="123">
        <f t="shared" si="5"/>
        <v>393.0204082</v>
      </c>
      <c r="Q786" s="123">
        <f t="shared" si="2"/>
        <v>0.8367346939</v>
      </c>
      <c r="R786" s="123">
        <f t="shared" si="6"/>
        <v>0.6734693878</v>
      </c>
      <c r="S786" s="123">
        <f t="shared" si="3"/>
        <v>1.428571429</v>
      </c>
      <c r="T786" s="123">
        <f t="shared" si="4"/>
        <v>2.653061224</v>
      </c>
      <c r="U786" s="41">
        <v>7.0</v>
      </c>
      <c r="V786" s="41">
        <v>2.0</v>
      </c>
      <c r="W786" s="41">
        <v>3.0</v>
      </c>
      <c r="X786" s="41">
        <v>6.0</v>
      </c>
      <c r="Y786" s="41">
        <v>45.0</v>
      </c>
      <c r="Z786" s="41">
        <v>61.0</v>
      </c>
    </row>
    <row r="787">
      <c r="A787" s="41" t="s">
        <v>904</v>
      </c>
      <c r="B787" s="41" t="s">
        <v>106</v>
      </c>
      <c r="C787" s="41" t="s">
        <v>2011</v>
      </c>
      <c r="D787" s="41" t="s">
        <v>963</v>
      </c>
      <c r="E787" s="41">
        <v>2.0</v>
      </c>
      <c r="F787" s="41">
        <v>1.0</v>
      </c>
      <c r="G787" s="41">
        <v>1.0</v>
      </c>
      <c r="H787" s="125">
        <v>0.5</v>
      </c>
      <c r="I787" s="41">
        <v>0.0</v>
      </c>
      <c r="J787" s="41">
        <v>207.0</v>
      </c>
      <c r="K787" s="41">
        <v>0.0</v>
      </c>
      <c r="L787" s="41">
        <v>0.0</v>
      </c>
      <c r="M787" s="41">
        <v>1.0</v>
      </c>
      <c r="N787" s="41">
        <v>0.0</v>
      </c>
      <c r="O787" s="122" t="str">
        <f t="shared" si="1"/>
        <v>#DIV/0!</v>
      </c>
      <c r="P787" s="123">
        <f t="shared" si="5"/>
        <v>103.5</v>
      </c>
      <c r="Q787" s="123">
        <f t="shared" si="2"/>
        <v>0</v>
      </c>
      <c r="R787" s="123">
        <f t="shared" si="6"/>
        <v>0</v>
      </c>
      <c r="S787" s="123">
        <f t="shared" si="3"/>
        <v>0.5</v>
      </c>
      <c r="T787" s="123">
        <f t="shared" si="4"/>
        <v>0</v>
      </c>
      <c r="U787" s="41">
        <v>0.0</v>
      </c>
      <c r="V787" s="41">
        <v>0.0</v>
      </c>
      <c r="W787" s="41">
        <v>0.0</v>
      </c>
      <c r="X787" s="41">
        <v>0.0</v>
      </c>
      <c r="Y787" s="41">
        <v>0.0</v>
      </c>
      <c r="Z787" s="41">
        <v>1.0</v>
      </c>
    </row>
    <row r="788">
      <c r="A788" s="41" t="s">
        <v>909</v>
      </c>
      <c r="B788" s="41" t="s">
        <v>106</v>
      </c>
      <c r="C788" s="41" t="s">
        <v>2011</v>
      </c>
      <c r="D788" s="41" t="s">
        <v>1029</v>
      </c>
      <c r="E788" s="41">
        <v>4.0</v>
      </c>
      <c r="F788" s="41">
        <v>1.0</v>
      </c>
      <c r="G788" s="41">
        <v>3.0</v>
      </c>
      <c r="H788" s="125">
        <v>0.25</v>
      </c>
      <c r="I788" s="41">
        <v>0.0</v>
      </c>
      <c r="J788" s="41">
        <v>361.0</v>
      </c>
      <c r="K788" s="41">
        <v>0.0</v>
      </c>
      <c r="L788" s="41">
        <v>0.0</v>
      </c>
      <c r="M788" s="41">
        <v>2.0</v>
      </c>
      <c r="N788" s="41">
        <v>2.0</v>
      </c>
      <c r="O788" s="122">
        <f t="shared" si="1"/>
        <v>0</v>
      </c>
      <c r="P788" s="123">
        <f t="shared" si="5"/>
        <v>90.25</v>
      </c>
      <c r="Q788" s="123">
        <f t="shared" si="2"/>
        <v>0</v>
      </c>
      <c r="R788" s="123">
        <f t="shared" si="6"/>
        <v>0</v>
      </c>
      <c r="S788" s="123">
        <f t="shared" si="3"/>
        <v>0.5</v>
      </c>
      <c r="T788" s="123">
        <f t="shared" si="4"/>
        <v>0.5</v>
      </c>
      <c r="U788" s="41">
        <v>0.0</v>
      </c>
      <c r="V788" s="41">
        <v>0.0</v>
      </c>
      <c r="W788" s="41">
        <v>0.0</v>
      </c>
      <c r="X788" s="41">
        <v>0.0</v>
      </c>
      <c r="Y788" s="41">
        <v>0.0</v>
      </c>
      <c r="Z788" s="41">
        <v>2.0</v>
      </c>
    </row>
    <row r="789">
      <c r="A789" s="41" t="s">
        <v>901</v>
      </c>
      <c r="B789" s="41" t="s">
        <v>318</v>
      </c>
      <c r="C789" s="41" t="s">
        <v>2012</v>
      </c>
      <c r="D789" s="41" t="s">
        <v>1199</v>
      </c>
      <c r="E789" s="41">
        <v>45.0</v>
      </c>
      <c r="F789" s="41">
        <v>23.0</v>
      </c>
      <c r="G789" s="41">
        <v>22.0</v>
      </c>
      <c r="H789" s="125">
        <v>0.5111111111111111</v>
      </c>
      <c r="I789" s="41">
        <v>10.0</v>
      </c>
      <c r="J789" s="41">
        <v>14687.0</v>
      </c>
      <c r="K789" s="41">
        <v>42.0</v>
      </c>
      <c r="L789" s="41">
        <v>26.0</v>
      </c>
      <c r="M789" s="41">
        <v>34.0</v>
      </c>
      <c r="N789" s="41">
        <v>139.0</v>
      </c>
      <c r="O789" s="122">
        <f t="shared" si="1"/>
        <v>0.3021582734</v>
      </c>
      <c r="P789" s="123">
        <f t="shared" si="5"/>
        <v>326.3777778</v>
      </c>
      <c r="Q789" s="123">
        <f t="shared" si="2"/>
        <v>0.9333333333</v>
      </c>
      <c r="R789" s="123">
        <f t="shared" si="6"/>
        <v>0.5777777778</v>
      </c>
      <c r="S789" s="123">
        <f t="shared" si="3"/>
        <v>0.7555555556</v>
      </c>
      <c r="T789" s="123">
        <f t="shared" si="4"/>
        <v>3.088888889</v>
      </c>
      <c r="U789" s="41">
        <v>9.0</v>
      </c>
      <c r="V789" s="41">
        <v>2.0</v>
      </c>
      <c r="W789" s="41">
        <v>0.0</v>
      </c>
      <c r="X789" s="41">
        <v>2.0</v>
      </c>
      <c r="Y789" s="41">
        <v>67.0</v>
      </c>
      <c r="Z789" s="41">
        <v>56.0</v>
      </c>
    </row>
    <row r="790">
      <c r="A790" s="41" t="s">
        <v>905</v>
      </c>
      <c r="B790" s="41" t="s">
        <v>229</v>
      </c>
      <c r="C790" s="41" t="s">
        <v>2013</v>
      </c>
      <c r="D790" s="41" t="s">
        <v>1154</v>
      </c>
      <c r="E790" s="41">
        <v>28.0</v>
      </c>
      <c r="F790" s="41">
        <v>14.0</v>
      </c>
      <c r="G790" s="41">
        <v>14.0</v>
      </c>
      <c r="H790" s="125">
        <v>0.5</v>
      </c>
      <c r="I790" s="41">
        <v>2.0</v>
      </c>
      <c r="J790" s="41">
        <v>8313.0</v>
      </c>
      <c r="K790" s="41">
        <v>16.0</v>
      </c>
      <c r="L790" s="41">
        <v>13.0</v>
      </c>
      <c r="M790" s="41">
        <v>31.0</v>
      </c>
      <c r="N790" s="41">
        <v>49.0</v>
      </c>
      <c r="O790" s="122">
        <f t="shared" si="1"/>
        <v>0.3265306122</v>
      </c>
      <c r="P790" s="123">
        <f t="shared" si="5"/>
        <v>296.8928571</v>
      </c>
      <c r="Q790" s="123">
        <f t="shared" si="2"/>
        <v>0.5714285714</v>
      </c>
      <c r="R790" s="123">
        <f t="shared" si="6"/>
        <v>0.4642857143</v>
      </c>
      <c r="S790" s="123">
        <f t="shared" si="3"/>
        <v>1.107142857</v>
      </c>
      <c r="T790" s="123">
        <f t="shared" si="4"/>
        <v>1.75</v>
      </c>
      <c r="U790" s="41">
        <v>4.0</v>
      </c>
      <c r="V790" s="41">
        <v>0.0</v>
      </c>
      <c r="W790" s="41">
        <v>1.0</v>
      </c>
      <c r="X790" s="41">
        <v>4.0</v>
      </c>
      <c r="Y790" s="41">
        <v>29.0</v>
      </c>
      <c r="Z790" s="41">
        <v>29.0</v>
      </c>
    </row>
    <row r="791">
      <c r="A791" s="41" t="s">
        <v>901</v>
      </c>
      <c r="B791" s="41" t="s">
        <v>270</v>
      </c>
      <c r="C791" s="41" t="s">
        <v>2014</v>
      </c>
      <c r="D791" s="41" t="s">
        <v>1248</v>
      </c>
      <c r="E791" s="41">
        <v>36.0</v>
      </c>
      <c r="F791" s="41">
        <v>16.0</v>
      </c>
      <c r="G791" s="41">
        <v>20.0</v>
      </c>
      <c r="H791" s="125">
        <v>0.4444444444444444</v>
      </c>
      <c r="I791" s="41">
        <v>8.0</v>
      </c>
      <c r="J791" s="41">
        <v>15742.0</v>
      </c>
      <c r="K791" s="41">
        <v>37.0</v>
      </c>
      <c r="L791" s="41">
        <v>26.0</v>
      </c>
      <c r="M791" s="41">
        <v>66.0</v>
      </c>
      <c r="N791" s="41">
        <v>105.0</v>
      </c>
      <c r="O791" s="122">
        <f t="shared" si="1"/>
        <v>0.3523809524</v>
      </c>
      <c r="P791" s="123">
        <f t="shared" si="5"/>
        <v>437.2777778</v>
      </c>
      <c r="Q791" s="123">
        <f t="shared" si="2"/>
        <v>1.027777778</v>
      </c>
      <c r="R791" s="123">
        <f t="shared" si="6"/>
        <v>0.7222222222</v>
      </c>
      <c r="S791" s="123">
        <f t="shared" si="3"/>
        <v>1.833333333</v>
      </c>
      <c r="T791" s="123">
        <f t="shared" si="4"/>
        <v>2.916666667</v>
      </c>
      <c r="U791" s="41">
        <v>12.0</v>
      </c>
      <c r="V791" s="41">
        <v>4.0</v>
      </c>
      <c r="W791" s="41">
        <v>1.0</v>
      </c>
      <c r="X791" s="41">
        <v>7.0</v>
      </c>
      <c r="Y791" s="41">
        <v>27.0</v>
      </c>
      <c r="Z791" s="41">
        <v>42.0</v>
      </c>
    </row>
    <row r="792">
      <c r="A792" s="41" t="s">
        <v>902</v>
      </c>
      <c r="B792" s="41" t="s">
        <v>744</v>
      </c>
      <c r="C792" s="41" t="s">
        <v>2015</v>
      </c>
      <c r="D792" s="41" t="s">
        <v>1092</v>
      </c>
      <c r="E792" s="41">
        <v>54.0</v>
      </c>
      <c r="F792" s="41">
        <v>35.0</v>
      </c>
      <c r="G792" s="41">
        <v>19.0</v>
      </c>
      <c r="H792" s="125">
        <v>0.6481481481481481</v>
      </c>
      <c r="I792" s="41">
        <v>12.0</v>
      </c>
      <c r="J792" s="41">
        <v>22212.0</v>
      </c>
      <c r="K792" s="41">
        <v>52.0</v>
      </c>
      <c r="L792" s="41">
        <v>39.0</v>
      </c>
      <c r="M792" s="41">
        <v>84.0</v>
      </c>
      <c r="N792" s="41">
        <v>149.0</v>
      </c>
      <c r="O792" s="122">
        <f t="shared" si="1"/>
        <v>0.3489932886</v>
      </c>
      <c r="P792" s="123">
        <f t="shared" si="5"/>
        <v>411.3333333</v>
      </c>
      <c r="Q792" s="123">
        <f t="shared" si="2"/>
        <v>0.962962963</v>
      </c>
      <c r="R792" s="123">
        <f t="shared" si="6"/>
        <v>0.7222222222</v>
      </c>
      <c r="S792" s="123">
        <f t="shared" si="3"/>
        <v>1.555555556</v>
      </c>
      <c r="T792" s="123">
        <f t="shared" si="4"/>
        <v>2.759259259</v>
      </c>
      <c r="U792" s="41">
        <v>13.0</v>
      </c>
      <c r="V792" s="41">
        <v>4.0</v>
      </c>
      <c r="W792" s="41">
        <v>0.0</v>
      </c>
      <c r="X792" s="41">
        <v>13.0</v>
      </c>
      <c r="Y792" s="41">
        <v>40.0</v>
      </c>
      <c r="Z792" s="41">
        <v>49.0</v>
      </c>
    </row>
    <row r="793">
      <c r="A793" s="41" t="s">
        <v>899</v>
      </c>
      <c r="B793" s="41" t="s">
        <v>474</v>
      </c>
      <c r="C793" s="41" t="s">
        <v>2016</v>
      </c>
      <c r="D793" s="41" t="s">
        <v>2017</v>
      </c>
      <c r="E793" s="41">
        <v>6.0</v>
      </c>
      <c r="F793" s="41">
        <v>0.0</v>
      </c>
      <c r="G793" s="41">
        <v>6.0</v>
      </c>
      <c r="H793" s="125">
        <v>0.0</v>
      </c>
      <c r="I793" s="41">
        <v>0.0</v>
      </c>
      <c r="J793" s="41">
        <v>1749.0</v>
      </c>
      <c r="K793" s="41">
        <v>3.0</v>
      </c>
      <c r="L793" s="41">
        <v>3.0</v>
      </c>
      <c r="M793" s="41">
        <v>8.0</v>
      </c>
      <c r="N793" s="41">
        <v>11.0</v>
      </c>
      <c r="O793" s="122">
        <f t="shared" si="1"/>
        <v>0.2727272727</v>
      </c>
      <c r="P793" s="123">
        <f t="shared" si="5"/>
        <v>291.5</v>
      </c>
      <c r="Q793" s="123">
        <f t="shared" si="2"/>
        <v>0.5</v>
      </c>
      <c r="R793" s="123">
        <f t="shared" si="6"/>
        <v>0.5</v>
      </c>
      <c r="S793" s="123">
        <f t="shared" si="3"/>
        <v>1.333333333</v>
      </c>
      <c r="T793" s="123">
        <f t="shared" si="4"/>
        <v>1.833333333</v>
      </c>
      <c r="U793" s="41">
        <v>1.0</v>
      </c>
      <c r="V793" s="41">
        <v>0.0</v>
      </c>
      <c r="W793" s="41">
        <v>0.0</v>
      </c>
      <c r="X793" s="41">
        <v>1.0</v>
      </c>
      <c r="Y793" s="41">
        <v>6.0</v>
      </c>
      <c r="Z793" s="41">
        <v>10.0</v>
      </c>
    </row>
    <row r="794">
      <c r="A794" s="41" t="s">
        <v>904</v>
      </c>
      <c r="B794" s="41" t="s">
        <v>682</v>
      </c>
      <c r="C794" s="41" t="s">
        <v>2018</v>
      </c>
      <c r="D794" s="41" t="s">
        <v>1095</v>
      </c>
      <c r="E794" s="41">
        <v>20.0</v>
      </c>
      <c r="F794" s="41">
        <v>9.0</v>
      </c>
      <c r="G794" s="41">
        <v>11.0</v>
      </c>
      <c r="H794" s="125">
        <v>0.45</v>
      </c>
      <c r="I794" s="41">
        <v>3.0</v>
      </c>
      <c r="J794" s="41">
        <v>6416.0</v>
      </c>
      <c r="K794" s="41">
        <v>12.0</v>
      </c>
      <c r="L794" s="41">
        <v>11.0</v>
      </c>
      <c r="M794" s="41">
        <v>32.0</v>
      </c>
      <c r="N794" s="41">
        <v>47.0</v>
      </c>
      <c r="O794" s="122">
        <f t="shared" si="1"/>
        <v>0.2553191489</v>
      </c>
      <c r="P794" s="123">
        <f t="shared" si="5"/>
        <v>320.8</v>
      </c>
      <c r="Q794" s="123">
        <f t="shared" si="2"/>
        <v>0.6</v>
      </c>
      <c r="R794" s="123">
        <f t="shared" si="6"/>
        <v>0.55</v>
      </c>
      <c r="S794" s="123">
        <f t="shared" si="3"/>
        <v>1.6</v>
      </c>
      <c r="T794" s="123">
        <f t="shared" si="4"/>
        <v>2.35</v>
      </c>
      <c r="U794" s="41">
        <v>4.0</v>
      </c>
      <c r="V794" s="41">
        <v>0.0</v>
      </c>
      <c r="W794" s="41">
        <v>0.0</v>
      </c>
      <c r="X794" s="41">
        <v>2.0</v>
      </c>
      <c r="Y794" s="41">
        <v>13.0</v>
      </c>
      <c r="Z794" s="41">
        <v>14.0</v>
      </c>
    </row>
    <row r="795">
      <c r="A795" s="41" t="s">
        <v>901</v>
      </c>
      <c r="B795" s="41" t="s">
        <v>287</v>
      </c>
      <c r="C795" s="41" t="s">
        <v>2019</v>
      </c>
      <c r="D795" s="41" t="s">
        <v>2020</v>
      </c>
      <c r="E795" s="41">
        <v>10.0</v>
      </c>
      <c r="F795" s="41">
        <v>5.0</v>
      </c>
      <c r="G795" s="41">
        <v>5.0</v>
      </c>
      <c r="H795" s="125">
        <v>0.5</v>
      </c>
      <c r="I795" s="41">
        <v>2.0</v>
      </c>
      <c r="J795" s="41">
        <v>4173.0</v>
      </c>
      <c r="K795" s="41">
        <v>9.0</v>
      </c>
      <c r="L795" s="41">
        <v>9.0</v>
      </c>
      <c r="M795" s="41">
        <v>18.0</v>
      </c>
      <c r="N795" s="41">
        <v>33.0</v>
      </c>
      <c r="O795" s="122">
        <f t="shared" si="1"/>
        <v>0.2727272727</v>
      </c>
      <c r="P795" s="123">
        <f t="shared" si="5"/>
        <v>417.3</v>
      </c>
      <c r="Q795" s="123">
        <f t="shared" si="2"/>
        <v>0.9</v>
      </c>
      <c r="R795" s="123">
        <f t="shared" si="6"/>
        <v>0.9</v>
      </c>
      <c r="S795" s="123">
        <f t="shared" si="3"/>
        <v>1.8</v>
      </c>
      <c r="T795" s="123">
        <f t="shared" si="4"/>
        <v>3.3</v>
      </c>
      <c r="U795" s="41">
        <v>4.0</v>
      </c>
      <c r="V795" s="41">
        <v>0.0</v>
      </c>
      <c r="W795" s="41">
        <v>0.0</v>
      </c>
      <c r="X795" s="41">
        <v>2.0</v>
      </c>
      <c r="Y795" s="41">
        <v>16.0</v>
      </c>
      <c r="Z795" s="41">
        <v>13.0</v>
      </c>
    </row>
    <row r="796">
      <c r="A796" s="41" t="s">
        <v>902</v>
      </c>
      <c r="B796" s="41" t="s">
        <v>874</v>
      </c>
      <c r="C796" s="41" t="s">
        <v>2021</v>
      </c>
      <c r="D796" s="41" t="s">
        <v>1100</v>
      </c>
      <c r="E796" s="41">
        <v>7.0</v>
      </c>
      <c r="F796" s="41">
        <v>2.0</v>
      </c>
      <c r="G796" s="41">
        <v>5.0</v>
      </c>
      <c r="H796" s="125">
        <v>0.2857142857142857</v>
      </c>
      <c r="I796" s="41">
        <v>0.0</v>
      </c>
      <c r="J796" s="41">
        <v>1481.0</v>
      </c>
      <c r="K796" s="41">
        <v>0.0</v>
      </c>
      <c r="L796" s="41">
        <v>2.0</v>
      </c>
      <c r="M796" s="41">
        <v>8.0</v>
      </c>
      <c r="N796" s="41">
        <v>7.0</v>
      </c>
      <c r="O796" s="122">
        <f t="shared" si="1"/>
        <v>0</v>
      </c>
      <c r="P796" s="123">
        <f t="shared" si="5"/>
        <v>211.5714286</v>
      </c>
      <c r="Q796" s="123">
        <f t="shared" si="2"/>
        <v>0</v>
      </c>
      <c r="R796" s="123">
        <f t="shared" si="6"/>
        <v>0.2857142857</v>
      </c>
      <c r="S796" s="123">
        <f t="shared" si="3"/>
        <v>1.142857143</v>
      </c>
      <c r="T796" s="123">
        <f t="shared" si="4"/>
        <v>1</v>
      </c>
      <c r="U796" s="41">
        <v>0.0</v>
      </c>
      <c r="V796" s="41">
        <v>0.0</v>
      </c>
      <c r="W796" s="41">
        <v>0.0</v>
      </c>
      <c r="X796" s="41">
        <v>0.0</v>
      </c>
      <c r="Y796" s="41">
        <v>5.0</v>
      </c>
      <c r="Z796" s="41">
        <v>14.0</v>
      </c>
    </row>
    <row r="797">
      <c r="A797" s="41" t="s">
        <v>904</v>
      </c>
      <c r="B797" s="41" t="s">
        <v>618</v>
      </c>
      <c r="C797" s="41" t="s">
        <v>2022</v>
      </c>
      <c r="D797" s="41" t="s">
        <v>2023</v>
      </c>
      <c r="E797" s="41">
        <v>37.0</v>
      </c>
      <c r="F797" s="41">
        <v>22.0</v>
      </c>
      <c r="G797" s="41">
        <v>15.0</v>
      </c>
      <c r="H797" s="125">
        <v>0.5945945945945946</v>
      </c>
      <c r="I797" s="41">
        <v>5.0</v>
      </c>
      <c r="J797" s="41">
        <v>13007.0</v>
      </c>
      <c r="K797" s="41">
        <v>26.0</v>
      </c>
      <c r="L797" s="41">
        <v>24.0</v>
      </c>
      <c r="M797" s="41">
        <v>46.0</v>
      </c>
      <c r="N797" s="41">
        <v>100.0</v>
      </c>
      <c r="O797" s="122">
        <f t="shared" si="1"/>
        <v>0.26</v>
      </c>
      <c r="P797" s="123">
        <f t="shared" si="5"/>
        <v>351.5405405</v>
      </c>
      <c r="Q797" s="123">
        <f t="shared" si="2"/>
        <v>0.7027027027</v>
      </c>
      <c r="R797" s="123">
        <f t="shared" si="6"/>
        <v>0.6486486486</v>
      </c>
      <c r="S797" s="123">
        <f t="shared" si="3"/>
        <v>1.243243243</v>
      </c>
      <c r="T797" s="123">
        <f t="shared" si="4"/>
        <v>2.702702703</v>
      </c>
      <c r="U797" s="41">
        <v>5.0</v>
      </c>
      <c r="V797" s="41">
        <v>1.0</v>
      </c>
      <c r="W797" s="41">
        <v>0.0</v>
      </c>
      <c r="X797" s="41">
        <v>5.0</v>
      </c>
      <c r="Y797" s="41">
        <v>42.0</v>
      </c>
      <c r="Z797" s="41">
        <v>39.0</v>
      </c>
    </row>
    <row r="798">
      <c r="A798" s="41" t="s">
        <v>902</v>
      </c>
      <c r="B798" s="41" t="s">
        <v>776</v>
      </c>
      <c r="C798" s="41" t="s">
        <v>2024</v>
      </c>
      <c r="D798" s="41" t="s">
        <v>1100</v>
      </c>
      <c r="E798" s="41">
        <v>4.0</v>
      </c>
      <c r="F798" s="41">
        <v>1.0</v>
      </c>
      <c r="G798" s="41">
        <v>3.0</v>
      </c>
      <c r="H798" s="125">
        <v>0.25</v>
      </c>
      <c r="I798" s="41">
        <v>1.0</v>
      </c>
      <c r="J798" s="41">
        <v>1402.0</v>
      </c>
      <c r="K798" s="41">
        <v>4.0</v>
      </c>
      <c r="L798" s="41">
        <v>3.0</v>
      </c>
      <c r="M798" s="41">
        <v>5.0</v>
      </c>
      <c r="N798" s="41">
        <v>8.0</v>
      </c>
      <c r="O798" s="122">
        <f t="shared" si="1"/>
        <v>0.5</v>
      </c>
      <c r="P798" s="123">
        <f t="shared" si="5"/>
        <v>350.5</v>
      </c>
      <c r="Q798" s="123">
        <f t="shared" si="2"/>
        <v>1</v>
      </c>
      <c r="R798" s="123">
        <f t="shared" si="6"/>
        <v>0.75</v>
      </c>
      <c r="S798" s="123">
        <f t="shared" si="3"/>
        <v>1.25</v>
      </c>
      <c r="T798" s="123">
        <f t="shared" si="4"/>
        <v>2</v>
      </c>
      <c r="U798" s="41">
        <v>1.0</v>
      </c>
      <c r="V798" s="41">
        <v>0.0</v>
      </c>
      <c r="W798" s="41">
        <v>0.0</v>
      </c>
      <c r="X798" s="41">
        <v>0.0</v>
      </c>
      <c r="Y798" s="41">
        <v>6.0</v>
      </c>
      <c r="Z798" s="41">
        <v>10.0</v>
      </c>
    </row>
    <row r="799">
      <c r="A799" s="41" t="s">
        <v>904</v>
      </c>
      <c r="B799" s="41" t="s">
        <v>686</v>
      </c>
      <c r="C799" s="41" t="s">
        <v>2025</v>
      </c>
      <c r="D799" s="41" t="s">
        <v>1454</v>
      </c>
      <c r="E799" s="41">
        <v>10.0</v>
      </c>
      <c r="F799" s="41">
        <v>2.0</v>
      </c>
      <c r="G799" s="41">
        <v>8.0</v>
      </c>
      <c r="H799" s="125">
        <v>0.2</v>
      </c>
      <c r="I799" s="41">
        <v>0.0</v>
      </c>
      <c r="J799" s="41">
        <v>3047.0</v>
      </c>
      <c r="K799" s="41">
        <v>7.0</v>
      </c>
      <c r="L799" s="41">
        <v>5.0</v>
      </c>
      <c r="M799" s="41">
        <v>9.0</v>
      </c>
      <c r="N799" s="41">
        <v>26.0</v>
      </c>
      <c r="O799" s="122">
        <f t="shared" si="1"/>
        <v>0.2692307692</v>
      </c>
      <c r="P799" s="123">
        <f t="shared" si="5"/>
        <v>304.7</v>
      </c>
      <c r="Q799" s="123">
        <f t="shared" si="2"/>
        <v>0.7</v>
      </c>
      <c r="R799" s="123">
        <f t="shared" si="6"/>
        <v>0.5</v>
      </c>
      <c r="S799" s="123">
        <f t="shared" si="3"/>
        <v>0.9</v>
      </c>
      <c r="T799" s="123">
        <f t="shared" si="4"/>
        <v>2.6</v>
      </c>
      <c r="U799" s="41">
        <v>0.0</v>
      </c>
      <c r="V799" s="41">
        <v>1.0</v>
      </c>
      <c r="W799" s="41">
        <v>0.0</v>
      </c>
      <c r="X799" s="41">
        <v>0.0</v>
      </c>
      <c r="Y799" s="41">
        <v>10.0</v>
      </c>
      <c r="Z799" s="41">
        <v>9.0</v>
      </c>
    </row>
    <row r="800">
      <c r="A800" s="41" t="s">
        <v>901</v>
      </c>
      <c r="B800" s="41" t="s">
        <v>414</v>
      </c>
      <c r="C800" s="41" t="s">
        <v>2026</v>
      </c>
      <c r="D800" s="41" t="s">
        <v>2027</v>
      </c>
      <c r="E800" s="41">
        <v>6.0</v>
      </c>
      <c r="F800" s="41">
        <v>1.0</v>
      </c>
      <c r="G800" s="41">
        <v>5.0</v>
      </c>
      <c r="H800" s="125">
        <v>0.16666666666666666</v>
      </c>
      <c r="I800" s="41">
        <v>0.0</v>
      </c>
      <c r="J800" s="41">
        <v>1448.0</v>
      </c>
      <c r="K800" s="41">
        <v>0.0</v>
      </c>
      <c r="L800" s="41">
        <v>4.0</v>
      </c>
      <c r="M800" s="41">
        <v>11.0</v>
      </c>
      <c r="N800" s="41">
        <v>8.0</v>
      </c>
      <c r="O800" s="122">
        <f t="shared" si="1"/>
        <v>0</v>
      </c>
      <c r="P800" s="123">
        <f t="shared" si="5"/>
        <v>241.3333333</v>
      </c>
      <c r="Q800" s="123">
        <f t="shared" si="2"/>
        <v>0</v>
      </c>
      <c r="R800" s="123">
        <f t="shared" si="6"/>
        <v>0.6666666667</v>
      </c>
      <c r="S800" s="123">
        <f t="shared" si="3"/>
        <v>1.833333333</v>
      </c>
      <c r="T800" s="123">
        <f t="shared" si="4"/>
        <v>1.333333333</v>
      </c>
      <c r="U800" s="41">
        <v>0.0</v>
      </c>
      <c r="V800" s="41">
        <v>0.0</v>
      </c>
      <c r="W800" s="41">
        <v>0.0</v>
      </c>
      <c r="X800" s="41">
        <v>2.0</v>
      </c>
      <c r="Y800" s="41">
        <v>7.0</v>
      </c>
      <c r="Z800" s="41">
        <v>6.0</v>
      </c>
    </row>
    <row r="801">
      <c r="A801" s="41" t="s">
        <v>902</v>
      </c>
      <c r="B801" s="41" t="s">
        <v>834</v>
      </c>
      <c r="C801" s="41" t="s">
        <v>2028</v>
      </c>
      <c r="D801" s="41" t="s">
        <v>937</v>
      </c>
      <c r="E801" s="41">
        <v>4.0</v>
      </c>
      <c r="F801" s="41">
        <v>1.0</v>
      </c>
      <c r="G801" s="41">
        <v>3.0</v>
      </c>
      <c r="H801" s="125">
        <v>0.25</v>
      </c>
      <c r="I801" s="41">
        <v>1.0</v>
      </c>
      <c r="J801" s="41">
        <v>1453.0</v>
      </c>
      <c r="K801" s="41">
        <v>1.0</v>
      </c>
      <c r="L801" s="41">
        <v>2.0</v>
      </c>
      <c r="M801" s="41">
        <v>9.0</v>
      </c>
      <c r="N801" s="41">
        <v>8.0</v>
      </c>
      <c r="O801" s="122">
        <f t="shared" si="1"/>
        <v>0.125</v>
      </c>
      <c r="P801" s="123">
        <f t="shared" si="5"/>
        <v>363.25</v>
      </c>
      <c r="Q801" s="123">
        <f t="shared" si="2"/>
        <v>0.25</v>
      </c>
      <c r="R801" s="123">
        <f t="shared" si="6"/>
        <v>0.5</v>
      </c>
      <c r="S801" s="123">
        <f t="shared" si="3"/>
        <v>2.25</v>
      </c>
      <c r="T801" s="123">
        <f t="shared" si="4"/>
        <v>2</v>
      </c>
      <c r="U801" s="41">
        <v>0.0</v>
      </c>
      <c r="V801" s="41">
        <v>0.0</v>
      </c>
      <c r="W801" s="41">
        <v>0.0</v>
      </c>
      <c r="X801" s="41">
        <v>2.0</v>
      </c>
      <c r="Y801" s="41">
        <v>4.0</v>
      </c>
      <c r="Z801" s="41">
        <v>3.0</v>
      </c>
    </row>
    <row r="802">
      <c r="A802" s="41" t="s">
        <v>901</v>
      </c>
      <c r="B802" s="41" t="s">
        <v>397</v>
      </c>
      <c r="C802" s="41" t="s">
        <v>2029</v>
      </c>
      <c r="D802" s="41" t="s">
        <v>1156</v>
      </c>
      <c r="E802" s="41">
        <v>6.0</v>
      </c>
      <c r="F802" s="41">
        <v>3.0</v>
      </c>
      <c r="G802" s="41">
        <v>3.0</v>
      </c>
      <c r="H802" s="125">
        <v>0.5</v>
      </c>
      <c r="I802" s="41">
        <v>0.0</v>
      </c>
      <c r="J802" s="41">
        <v>1477.0</v>
      </c>
      <c r="K802" s="41">
        <v>4.0</v>
      </c>
      <c r="L802" s="41">
        <v>4.0</v>
      </c>
      <c r="M802" s="41">
        <v>3.0</v>
      </c>
      <c r="N802" s="41">
        <v>7.0</v>
      </c>
      <c r="O802" s="122">
        <f t="shared" si="1"/>
        <v>0.5714285714</v>
      </c>
      <c r="P802" s="123">
        <f t="shared" si="5"/>
        <v>246.1666667</v>
      </c>
      <c r="Q802" s="123">
        <f t="shared" si="2"/>
        <v>0.6666666667</v>
      </c>
      <c r="R802" s="123">
        <f t="shared" si="6"/>
        <v>0.6666666667</v>
      </c>
      <c r="S802" s="123">
        <f t="shared" si="3"/>
        <v>0.5</v>
      </c>
      <c r="T802" s="123">
        <f t="shared" si="4"/>
        <v>1.166666667</v>
      </c>
      <c r="U802" s="41">
        <v>0.0</v>
      </c>
      <c r="V802" s="41">
        <v>0.0</v>
      </c>
      <c r="W802" s="41">
        <v>0.0</v>
      </c>
      <c r="X802" s="41">
        <v>0.0</v>
      </c>
      <c r="Y802" s="41">
        <v>11.0</v>
      </c>
      <c r="Z802" s="41">
        <v>5.0</v>
      </c>
    </row>
    <row r="803">
      <c r="A803" s="41" t="s">
        <v>902</v>
      </c>
      <c r="B803" s="41" t="s">
        <v>819</v>
      </c>
      <c r="C803" s="41" t="s">
        <v>2030</v>
      </c>
      <c r="D803" s="41" t="s">
        <v>1537</v>
      </c>
      <c r="E803" s="41">
        <v>18.0</v>
      </c>
      <c r="F803" s="41">
        <v>9.0</v>
      </c>
      <c r="G803" s="41">
        <v>9.0</v>
      </c>
      <c r="H803" s="125">
        <v>0.5</v>
      </c>
      <c r="I803" s="41">
        <v>3.0</v>
      </c>
      <c r="J803" s="41">
        <v>5491.0</v>
      </c>
      <c r="K803" s="41">
        <v>10.0</v>
      </c>
      <c r="L803" s="41">
        <v>8.0</v>
      </c>
      <c r="M803" s="41">
        <v>20.0</v>
      </c>
      <c r="N803" s="41">
        <v>46.0</v>
      </c>
      <c r="O803" s="122">
        <f t="shared" si="1"/>
        <v>0.2173913043</v>
      </c>
      <c r="P803" s="123">
        <f t="shared" si="5"/>
        <v>305.0555556</v>
      </c>
      <c r="Q803" s="123">
        <f t="shared" si="2"/>
        <v>0.5555555556</v>
      </c>
      <c r="R803" s="123">
        <f t="shared" si="6"/>
        <v>0.4444444444</v>
      </c>
      <c r="S803" s="123">
        <f t="shared" si="3"/>
        <v>1.111111111</v>
      </c>
      <c r="T803" s="123">
        <f t="shared" si="4"/>
        <v>2.555555556</v>
      </c>
      <c r="U803" s="41">
        <v>0.0</v>
      </c>
      <c r="V803" s="41">
        <v>2.0</v>
      </c>
      <c r="W803" s="41">
        <v>1.0</v>
      </c>
      <c r="X803" s="41">
        <v>2.0</v>
      </c>
      <c r="Y803" s="41">
        <v>7.0</v>
      </c>
      <c r="Z803" s="41">
        <v>24.0</v>
      </c>
    </row>
    <row r="804">
      <c r="A804" s="41" t="s">
        <v>901</v>
      </c>
      <c r="B804" s="41" t="s">
        <v>378</v>
      </c>
      <c r="C804" s="41" t="s">
        <v>2031</v>
      </c>
      <c r="D804" s="41" t="s">
        <v>1122</v>
      </c>
      <c r="E804" s="41">
        <v>3.0</v>
      </c>
      <c r="F804" s="41">
        <v>2.0</v>
      </c>
      <c r="G804" s="41">
        <v>1.0</v>
      </c>
      <c r="H804" s="125">
        <v>0.6666666666666666</v>
      </c>
      <c r="I804" s="41">
        <v>1.0</v>
      </c>
      <c r="J804" s="41">
        <v>1343.0</v>
      </c>
      <c r="K804" s="41">
        <v>2.0</v>
      </c>
      <c r="L804" s="41">
        <v>3.0</v>
      </c>
      <c r="M804" s="41">
        <v>7.0</v>
      </c>
      <c r="N804" s="41">
        <v>6.0</v>
      </c>
      <c r="O804" s="122">
        <f t="shared" si="1"/>
        <v>0.3333333333</v>
      </c>
      <c r="P804" s="123">
        <f t="shared" si="5"/>
        <v>447.6666667</v>
      </c>
      <c r="Q804" s="123">
        <f t="shared" si="2"/>
        <v>0.6666666667</v>
      </c>
      <c r="R804" s="123">
        <f t="shared" si="6"/>
        <v>1</v>
      </c>
      <c r="S804" s="123">
        <f t="shared" si="3"/>
        <v>2.333333333</v>
      </c>
      <c r="T804" s="123">
        <f t="shared" si="4"/>
        <v>2</v>
      </c>
      <c r="U804" s="41">
        <v>1.0</v>
      </c>
      <c r="V804" s="41">
        <v>0.0</v>
      </c>
      <c r="W804" s="41">
        <v>0.0</v>
      </c>
      <c r="X804" s="41">
        <v>1.0</v>
      </c>
      <c r="Y804" s="41">
        <v>1.0</v>
      </c>
      <c r="Z804" s="41">
        <v>5.0</v>
      </c>
    </row>
    <row r="805">
      <c r="A805" s="41" t="s">
        <v>904</v>
      </c>
      <c r="B805" s="41" t="s">
        <v>677</v>
      </c>
      <c r="C805" s="41" t="s">
        <v>2032</v>
      </c>
      <c r="D805" s="41" t="s">
        <v>1086</v>
      </c>
      <c r="E805" s="41">
        <v>28.0</v>
      </c>
      <c r="F805" s="41">
        <v>16.0</v>
      </c>
      <c r="G805" s="41">
        <v>12.0</v>
      </c>
      <c r="H805" s="125">
        <v>0.5714285714285714</v>
      </c>
      <c r="I805" s="41">
        <v>1.0</v>
      </c>
      <c r="J805" s="41">
        <v>8623.0</v>
      </c>
      <c r="K805" s="41">
        <v>21.0</v>
      </c>
      <c r="L805" s="41">
        <v>19.0</v>
      </c>
      <c r="M805" s="41">
        <v>27.0</v>
      </c>
      <c r="N805" s="41">
        <v>59.0</v>
      </c>
      <c r="O805" s="122">
        <f t="shared" si="1"/>
        <v>0.3559322034</v>
      </c>
      <c r="P805" s="123">
        <f t="shared" si="5"/>
        <v>307.9642857</v>
      </c>
      <c r="Q805" s="123">
        <f t="shared" si="2"/>
        <v>0.75</v>
      </c>
      <c r="R805" s="123">
        <f t="shared" si="6"/>
        <v>0.6785714286</v>
      </c>
      <c r="S805" s="123">
        <f t="shared" si="3"/>
        <v>0.9642857143</v>
      </c>
      <c r="T805" s="123">
        <f t="shared" si="4"/>
        <v>2.107142857</v>
      </c>
      <c r="U805" s="41">
        <v>5.0</v>
      </c>
      <c r="V805" s="41">
        <v>0.0</v>
      </c>
      <c r="W805" s="41">
        <v>1.0</v>
      </c>
      <c r="X805" s="41">
        <v>2.0</v>
      </c>
      <c r="Y805" s="41">
        <v>15.0</v>
      </c>
      <c r="Z805" s="41">
        <v>18.0</v>
      </c>
    </row>
    <row r="806">
      <c r="A806" s="41" t="s">
        <v>902</v>
      </c>
      <c r="B806" s="41" t="s">
        <v>773</v>
      </c>
      <c r="C806" s="41" t="s">
        <v>2033</v>
      </c>
      <c r="D806" s="41" t="s">
        <v>1290</v>
      </c>
      <c r="E806" s="41">
        <v>16.0</v>
      </c>
      <c r="F806" s="41">
        <v>7.0</v>
      </c>
      <c r="G806" s="41">
        <v>9.0</v>
      </c>
      <c r="H806" s="125">
        <v>0.4375</v>
      </c>
      <c r="I806" s="41">
        <v>4.0</v>
      </c>
      <c r="J806" s="41">
        <v>6026.0</v>
      </c>
      <c r="K806" s="41">
        <v>10.0</v>
      </c>
      <c r="L806" s="41">
        <v>10.0</v>
      </c>
      <c r="M806" s="41">
        <v>22.0</v>
      </c>
      <c r="N806" s="41">
        <v>49.0</v>
      </c>
      <c r="O806" s="122">
        <f t="shared" si="1"/>
        <v>0.2040816327</v>
      </c>
      <c r="P806" s="123">
        <f t="shared" si="5"/>
        <v>376.625</v>
      </c>
      <c r="Q806" s="123">
        <f t="shared" si="2"/>
        <v>0.625</v>
      </c>
      <c r="R806" s="123">
        <f t="shared" si="6"/>
        <v>0.625</v>
      </c>
      <c r="S806" s="123">
        <f t="shared" si="3"/>
        <v>1.375</v>
      </c>
      <c r="T806" s="123">
        <f t="shared" si="4"/>
        <v>3.0625</v>
      </c>
      <c r="U806" s="41">
        <v>4.0</v>
      </c>
      <c r="V806" s="41">
        <v>1.0</v>
      </c>
      <c r="W806" s="41">
        <v>0.0</v>
      </c>
      <c r="X806" s="41">
        <v>2.0</v>
      </c>
      <c r="Y806" s="41">
        <v>17.0</v>
      </c>
      <c r="Z806" s="41">
        <v>10.0</v>
      </c>
    </row>
    <row r="807">
      <c r="A807" s="41" t="s">
        <v>902</v>
      </c>
      <c r="B807" s="41" t="s">
        <v>831</v>
      </c>
      <c r="C807" s="41" t="s">
        <v>2034</v>
      </c>
      <c r="D807" s="41" t="s">
        <v>2035</v>
      </c>
      <c r="E807" s="41">
        <v>28.0</v>
      </c>
      <c r="F807" s="41">
        <v>14.0</v>
      </c>
      <c r="G807" s="41">
        <v>14.0</v>
      </c>
      <c r="H807" s="125">
        <v>0.5</v>
      </c>
      <c r="I807" s="41">
        <v>3.0</v>
      </c>
      <c r="J807" s="41">
        <v>9069.0</v>
      </c>
      <c r="K807" s="41">
        <v>16.0</v>
      </c>
      <c r="L807" s="41">
        <v>13.0</v>
      </c>
      <c r="M807" s="41">
        <v>43.0</v>
      </c>
      <c r="N807" s="41">
        <v>60.0</v>
      </c>
      <c r="O807" s="122">
        <f t="shared" si="1"/>
        <v>0.2666666667</v>
      </c>
      <c r="P807" s="123">
        <f t="shared" si="5"/>
        <v>323.8928571</v>
      </c>
      <c r="Q807" s="123">
        <f t="shared" si="2"/>
        <v>0.5714285714</v>
      </c>
      <c r="R807" s="123">
        <f t="shared" si="6"/>
        <v>0.4642857143</v>
      </c>
      <c r="S807" s="123">
        <f t="shared" si="3"/>
        <v>1.535714286</v>
      </c>
      <c r="T807" s="123">
        <f t="shared" si="4"/>
        <v>2.142857143</v>
      </c>
      <c r="U807" s="41">
        <v>1.0</v>
      </c>
      <c r="V807" s="41">
        <v>1.0</v>
      </c>
      <c r="W807" s="41">
        <v>0.0</v>
      </c>
      <c r="X807" s="41">
        <v>6.0</v>
      </c>
      <c r="Y807" s="41">
        <v>20.0</v>
      </c>
      <c r="Z807" s="41">
        <v>26.0</v>
      </c>
    </row>
    <row r="808">
      <c r="A808" s="41" t="s">
        <v>904</v>
      </c>
      <c r="B808" s="41" t="s">
        <v>697</v>
      </c>
      <c r="C808" s="41" t="s">
        <v>2036</v>
      </c>
      <c r="D808" s="41" t="s">
        <v>2037</v>
      </c>
      <c r="E808" s="41">
        <v>17.0</v>
      </c>
      <c r="F808" s="41">
        <v>8.0</v>
      </c>
      <c r="G808" s="41">
        <v>9.0</v>
      </c>
      <c r="H808" s="125">
        <v>0.47058823529411764</v>
      </c>
      <c r="I808" s="41">
        <v>2.0</v>
      </c>
      <c r="J808" s="41">
        <v>4786.0</v>
      </c>
      <c r="K808" s="41">
        <v>10.0</v>
      </c>
      <c r="L808" s="41">
        <v>7.0</v>
      </c>
      <c r="M808" s="41">
        <v>17.0</v>
      </c>
      <c r="N808" s="41">
        <v>36.0</v>
      </c>
      <c r="O808" s="122">
        <f t="shared" si="1"/>
        <v>0.2777777778</v>
      </c>
      <c r="P808" s="123">
        <f t="shared" si="5"/>
        <v>281.5294118</v>
      </c>
      <c r="Q808" s="123">
        <f t="shared" si="2"/>
        <v>0.5882352941</v>
      </c>
      <c r="R808" s="123">
        <f t="shared" si="6"/>
        <v>0.4117647059</v>
      </c>
      <c r="S808" s="123">
        <f t="shared" si="3"/>
        <v>1</v>
      </c>
      <c r="T808" s="123">
        <f t="shared" si="4"/>
        <v>2.117647059</v>
      </c>
      <c r="U808" s="41">
        <v>2.0</v>
      </c>
      <c r="V808" s="41">
        <v>0.0</v>
      </c>
      <c r="W808" s="41">
        <v>0.0</v>
      </c>
      <c r="X808" s="41">
        <v>0.0</v>
      </c>
      <c r="Y808" s="41">
        <v>12.0</v>
      </c>
      <c r="Z808" s="41">
        <v>15.0</v>
      </c>
    </row>
    <row r="809">
      <c r="A809" s="41" t="s">
        <v>899</v>
      </c>
      <c r="B809" s="41" t="s">
        <v>467</v>
      </c>
      <c r="C809" s="41" t="s">
        <v>2038</v>
      </c>
      <c r="D809" s="41" t="s">
        <v>1037</v>
      </c>
      <c r="E809" s="41">
        <v>23.0</v>
      </c>
      <c r="F809" s="41">
        <v>5.0</v>
      </c>
      <c r="G809" s="41">
        <v>18.0</v>
      </c>
      <c r="H809" s="125">
        <v>0.21739130434782608</v>
      </c>
      <c r="I809" s="41">
        <v>0.0</v>
      </c>
      <c r="J809" s="41">
        <v>7572.0</v>
      </c>
      <c r="K809" s="41">
        <v>10.0</v>
      </c>
      <c r="L809" s="41">
        <v>16.0</v>
      </c>
      <c r="M809" s="41">
        <v>30.0</v>
      </c>
      <c r="N809" s="41">
        <v>50.0</v>
      </c>
      <c r="O809" s="122">
        <f t="shared" si="1"/>
        <v>0.2</v>
      </c>
      <c r="P809" s="123">
        <f t="shared" si="5"/>
        <v>329.2173913</v>
      </c>
      <c r="Q809" s="123">
        <f t="shared" si="2"/>
        <v>0.4347826087</v>
      </c>
      <c r="R809" s="123">
        <f t="shared" si="6"/>
        <v>0.6956521739</v>
      </c>
      <c r="S809" s="123">
        <f t="shared" si="3"/>
        <v>1.304347826</v>
      </c>
      <c r="T809" s="123">
        <f t="shared" si="4"/>
        <v>2.173913043</v>
      </c>
      <c r="U809" s="41">
        <v>2.0</v>
      </c>
      <c r="V809" s="41">
        <v>0.0</v>
      </c>
      <c r="W809" s="41">
        <v>0.0</v>
      </c>
      <c r="X809" s="41">
        <v>2.0</v>
      </c>
      <c r="Y809" s="41">
        <v>20.0</v>
      </c>
      <c r="Z809" s="41">
        <v>27.0</v>
      </c>
    </row>
    <row r="810">
      <c r="A810" s="41" t="s">
        <v>905</v>
      </c>
      <c r="B810" s="41" t="s">
        <v>175</v>
      </c>
      <c r="C810" s="41" t="s">
        <v>2039</v>
      </c>
      <c r="D810" s="41" t="s">
        <v>1210</v>
      </c>
      <c r="E810" s="41">
        <v>16.0</v>
      </c>
      <c r="F810" s="41">
        <v>3.0</v>
      </c>
      <c r="G810" s="41">
        <v>13.0</v>
      </c>
      <c r="H810" s="125">
        <v>0.1875</v>
      </c>
      <c r="I810" s="41">
        <v>1.0</v>
      </c>
      <c r="J810" s="41">
        <v>5574.0</v>
      </c>
      <c r="K810" s="41">
        <v>15.0</v>
      </c>
      <c r="L810" s="41">
        <v>6.0</v>
      </c>
      <c r="M810" s="41">
        <v>17.0</v>
      </c>
      <c r="N810" s="41">
        <v>48.0</v>
      </c>
      <c r="O810" s="122">
        <f t="shared" si="1"/>
        <v>0.3125</v>
      </c>
      <c r="P810" s="123">
        <f t="shared" si="5"/>
        <v>348.375</v>
      </c>
      <c r="Q810" s="123">
        <f t="shared" si="2"/>
        <v>0.9375</v>
      </c>
      <c r="R810" s="123">
        <f t="shared" si="6"/>
        <v>0.375</v>
      </c>
      <c r="S810" s="123">
        <f t="shared" si="3"/>
        <v>1.0625</v>
      </c>
      <c r="T810" s="123">
        <f t="shared" si="4"/>
        <v>3</v>
      </c>
      <c r="U810" s="41">
        <v>2.0</v>
      </c>
      <c r="V810" s="41">
        <v>1.0</v>
      </c>
      <c r="W810" s="41">
        <v>0.0</v>
      </c>
      <c r="X810" s="41">
        <v>0.0</v>
      </c>
      <c r="Y810" s="41">
        <v>18.0</v>
      </c>
      <c r="Z810" s="41">
        <v>11.0</v>
      </c>
    </row>
    <row r="811">
      <c r="A811" s="41" t="s">
        <v>909</v>
      </c>
      <c r="B811" s="41" t="s">
        <v>69</v>
      </c>
      <c r="C811" s="41" t="s">
        <v>2040</v>
      </c>
      <c r="D811" s="41" t="s">
        <v>2041</v>
      </c>
      <c r="E811" s="41">
        <v>16.0</v>
      </c>
      <c r="F811" s="41">
        <v>12.0</v>
      </c>
      <c r="G811" s="41">
        <v>4.0</v>
      </c>
      <c r="H811" s="125">
        <v>0.75</v>
      </c>
      <c r="I811" s="41">
        <v>8.0</v>
      </c>
      <c r="J811" s="41">
        <v>7003.0</v>
      </c>
      <c r="K811" s="41">
        <v>23.0</v>
      </c>
      <c r="L811" s="41">
        <v>14.0</v>
      </c>
      <c r="M811" s="41">
        <v>13.0</v>
      </c>
      <c r="N811" s="41">
        <v>51.0</v>
      </c>
      <c r="O811" s="122">
        <f t="shared" si="1"/>
        <v>0.4509803922</v>
      </c>
      <c r="P811" s="123">
        <f t="shared" si="5"/>
        <v>437.6875</v>
      </c>
      <c r="Q811" s="123">
        <f t="shared" si="2"/>
        <v>1.4375</v>
      </c>
      <c r="R811" s="123">
        <f t="shared" si="6"/>
        <v>0.875</v>
      </c>
      <c r="S811" s="123">
        <f t="shared" si="3"/>
        <v>0.8125</v>
      </c>
      <c r="T811" s="123">
        <f t="shared" si="4"/>
        <v>3.1875</v>
      </c>
      <c r="U811" s="41">
        <v>6.0</v>
      </c>
      <c r="V811" s="41">
        <v>3.0</v>
      </c>
      <c r="W811" s="41">
        <v>0.0</v>
      </c>
      <c r="X811" s="41">
        <v>0.0</v>
      </c>
      <c r="Y811" s="41">
        <v>14.0</v>
      </c>
      <c r="Z811" s="41">
        <v>15.0</v>
      </c>
    </row>
    <row r="812">
      <c r="A812" s="41" t="s">
        <v>904</v>
      </c>
      <c r="B812" s="41" t="s">
        <v>725</v>
      </c>
      <c r="C812" s="41" t="s">
        <v>2042</v>
      </c>
      <c r="D812" s="41" t="s">
        <v>970</v>
      </c>
      <c r="E812" s="41">
        <v>4.0</v>
      </c>
      <c r="F812" s="41">
        <v>2.0</v>
      </c>
      <c r="G812" s="41">
        <v>2.0</v>
      </c>
      <c r="H812" s="125">
        <v>0.5</v>
      </c>
      <c r="I812" s="41">
        <v>0.0</v>
      </c>
      <c r="J812" s="41">
        <v>629.0</v>
      </c>
      <c r="K812" s="41">
        <v>1.0</v>
      </c>
      <c r="L812" s="41">
        <v>0.0</v>
      </c>
      <c r="M812" s="41">
        <v>3.0</v>
      </c>
      <c r="N812" s="41">
        <v>4.0</v>
      </c>
      <c r="O812" s="122">
        <f t="shared" si="1"/>
        <v>0.25</v>
      </c>
      <c r="P812" s="123">
        <f t="shared" si="5"/>
        <v>157.25</v>
      </c>
      <c r="Q812" s="123">
        <f t="shared" si="2"/>
        <v>0.25</v>
      </c>
      <c r="R812" s="123">
        <f t="shared" si="6"/>
        <v>0</v>
      </c>
      <c r="S812" s="123">
        <f t="shared" si="3"/>
        <v>0.75</v>
      </c>
      <c r="T812" s="123">
        <f t="shared" si="4"/>
        <v>1</v>
      </c>
      <c r="U812" s="41">
        <v>0.0</v>
      </c>
      <c r="V812" s="41">
        <v>0.0</v>
      </c>
      <c r="W812" s="41">
        <v>0.0</v>
      </c>
      <c r="X812" s="41">
        <v>0.0</v>
      </c>
      <c r="Y812" s="41">
        <v>2.0</v>
      </c>
      <c r="Z812" s="41">
        <v>3.0</v>
      </c>
    </row>
    <row r="813">
      <c r="A813" s="41" t="s">
        <v>902</v>
      </c>
      <c r="B813" s="41" t="s">
        <v>867</v>
      </c>
      <c r="C813" s="41" t="s">
        <v>2043</v>
      </c>
      <c r="D813" s="41" t="s">
        <v>2044</v>
      </c>
      <c r="E813" s="41">
        <v>12.0</v>
      </c>
      <c r="F813" s="41">
        <v>3.0</v>
      </c>
      <c r="G813" s="41">
        <v>9.0</v>
      </c>
      <c r="H813" s="125">
        <v>0.25</v>
      </c>
      <c r="I813" s="41">
        <v>0.0</v>
      </c>
      <c r="J813" s="41">
        <v>2649.0</v>
      </c>
      <c r="K813" s="41">
        <v>4.0</v>
      </c>
      <c r="L813" s="41">
        <v>4.0</v>
      </c>
      <c r="M813" s="41">
        <v>8.0</v>
      </c>
      <c r="N813" s="41">
        <v>28.0</v>
      </c>
      <c r="O813" s="122">
        <f t="shared" si="1"/>
        <v>0.1428571429</v>
      </c>
      <c r="P813" s="123">
        <f t="shared" si="5"/>
        <v>220.75</v>
      </c>
      <c r="Q813" s="123">
        <f t="shared" si="2"/>
        <v>0.3333333333</v>
      </c>
      <c r="R813" s="123">
        <f t="shared" si="6"/>
        <v>0.3333333333</v>
      </c>
      <c r="S813" s="123">
        <f t="shared" si="3"/>
        <v>0.6666666667</v>
      </c>
      <c r="T813" s="123">
        <f t="shared" si="4"/>
        <v>2.333333333</v>
      </c>
      <c r="U813" s="41">
        <v>0.0</v>
      </c>
      <c r="V813" s="41">
        <v>0.0</v>
      </c>
      <c r="W813" s="41">
        <v>0.0</v>
      </c>
      <c r="X813" s="41">
        <v>1.0</v>
      </c>
      <c r="Y813" s="41">
        <v>11.0</v>
      </c>
      <c r="Z813" s="41">
        <v>13.0</v>
      </c>
    </row>
    <row r="814">
      <c r="A814" s="41" t="s">
        <v>905</v>
      </c>
      <c r="B814" s="41" t="s">
        <v>225</v>
      </c>
      <c r="C814" s="41" t="s">
        <v>2045</v>
      </c>
      <c r="D814" s="41" t="s">
        <v>1841</v>
      </c>
      <c r="E814" s="41">
        <v>4.0</v>
      </c>
      <c r="F814" s="41">
        <v>2.0</v>
      </c>
      <c r="G814" s="41">
        <v>2.0</v>
      </c>
      <c r="H814" s="125">
        <v>0.5</v>
      </c>
      <c r="I814" s="41">
        <v>1.0</v>
      </c>
      <c r="J814" s="41">
        <v>1057.0</v>
      </c>
      <c r="K814" s="41">
        <v>3.0</v>
      </c>
      <c r="L814" s="41">
        <v>1.0</v>
      </c>
      <c r="M814" s="41">
        <v>2.0</v>
      </c>
      <c r="N814" s="41">
        <v>8.0</v>
      </c>
      <c r="O814" s="122">
        <f t="shared" si="1"/>
        <v>0.375</v>
      </c>
      <c r="P814" s="123">
        <f t="shared" si="5"/>
        <v>264.25</v>
      </c>
      <c r="Q814" s="123">
        <f t="shared" si="2"/>
        <v>0.75</v>
      </c>
      <c r="R814" s="123">
        <f t="shared" si="6"/>
        <v>0.25</v>
      </c>
      <c r="S814" s="123">
        <f t="shared" si="3"/>
        <v>0.5</v>
      </c>
      <c r="T814" s="123">
        <f t="shared" si="4"/>
        <v>2</v>
      </c>
      <c r="U814" s="41">
        <v>0.0</v>
      </c>
      <c r="V814" s="41">
        <v>1.0</v>
      </c>
      <c r="W814" s="41">
        <v>0.0</v>
      </c>
      <c r="X814" s="41">
        <v>0.0</v>
      </c>
      <c r="Y814" s="41">
        <v>2.0</v>
      </c>
      <c r="Z814" s="41">
        <v>6.0</v>
      </c>
    </row>
    <row r="815">
      <c r="A815" s="41" t="s">
        <v>902</v>
      </c>
      <c r="B815" s="41" t="s">
        <v>757</v>
      </c>
      <c r="C815" s="41" t="s">
        <v>2046</v>
      </c>
      <c r="D815" s="41" t="s">
        <v>2047</v>
      </c>
      <c r="E815" s="41">
        <v>24.0</v>
      </c>
      <c r="F815" s="41">
        <v>11.0</v>
      </c>
      <c r="G815" s="41">
        <v>13.0</v>
      </c>
      <c r="H815" s="125">
        <v>0.4583333333333333</v>
      </c>
      <c r="I815" s="41">
        <v>4.0</v>
      </c>
      <c r="J815" s="41">
        <v>9394.0</v>
      </c>
      <c r="K815" s="41">
        <v>16.0</v>
      </c>
      <c r="L815" s="41">
        <v>18.0</v>
      </c>
      <c r="M815" s="41">
        <v>40.0</v>
      </c>
      <c r="N815" s="41">
        <v>65.0</v>
      </c>
      <c r="O815" s="122">
        <f t="shared" si="1"/>
        <v>0.2461538462</v>
      </c>
      <c r="P815" s="123">
        <f t="shared" si="5"/>
        <v>391.4166667</v>
      </c>
      <c r="Q815" s="123">
        <f t="shared" si="2"/>
        <v>0.6666666667</v>
      </c>
      <c r="R815" s="123">
        <f t="shared" si="6"/>
        <v>0.75</v>
      </c>
      <c r="S815" s="123">
        <f t="shared" si="3"/>
        <v>1.666666667</v>
      </c>
      <c r="T815" s="123">
        <f t="shared" si="4"/>
        <v>2.708333333</v>
      </c>
      <c r="U815" s="41">
        <v>1.0</v>
      </c>
      <c r="V815" s="41">
        <v>1.0</v>
      </c>
      <c r="W815" s="41">
        <v>0.0</v>
      </c>
      <c r="X815" s="41">
        <v>6.0</v>
      </c>
      <c r="Y815" s="41">
        <v>22.0</v>
      </c>
      <c r="Z815" s="41">
        <v>26.0</v>
      </c>
    </row>
    <row r="816">
      <c r="A816" s="41" t="s">
        <v>901</v>
      </c>
      <c r="B816" s="41" t="s">
        <v>373</v>
      </c>
      <c r="C816" s="41" t="s">
        <v>2048</v>
      </c>
      <c r="D816" s="41" t="s">
        <v>1199</v>
      </c>
      <c r="E816" s="41">
        <v>4.0</v>
      </c>
      <c r="F816" s="41">
        <v>3.0</v>
      </c>
      <c r="G816" s="41">
        <v>1.0</v>
      </c>
      <c r="H816" s="125">
        <v>0.75</v>
      </c>
      <c r="I816" s="41">
        <v>0.0</v>
      </c>
      <c r="J816" s="41">
        <v>1251.0</v>
      </c>
      <c r="K816" s="41">
        <v>2.0</v>
      </c>
      <c r="L816" s="41">
        <v>3.0</v>
      </c>
      <c r="M816" s="41">
        <v>5.0</v>
      </c>
      <c r="N816" s="41">
        <v>7.0</v>
      </c>
      <c r="O816" s="122">
        <f t="shared" si="1"/>
        <v>0.2857142857</v>
      </c>
      <c r="P816" s="123">
        <f t="shared" si="5"/>
        <v>312.75</v>
      </c>
      <c r="Q816" s="123">
        <f t="shared" si="2"/>
        <v>0.5</v>
      </c>
      <c r="R816" s="123">
        <f t="shared" si="6"/>
        <v>0.75</v>
      </c>
      <c r="S816" s="123">
        <f t="shared" si="3"/>
        <v>1.25</v>
      </c>
      <c r="T816" s="123">
        <f t="shared" si="4"/>
        <v>1.75</v>
      </c>
      <c r="U816" s="41">
        <v>1.0</v>
      </c>
      <c r="V816" s="41">
        <v>0.0</v>
      </c>
      <c r="W816" s="41">
        <v>0.0</v>
      </c>
      <c r="X816" s="41">
        <v>0.0</v>
      </c>
      <c r="Y816" s="41">
        <v>2.0</v>
      </c>
      <c r="Z816" s="41">
        <v>6.0</v>
      </c>
    </row>
    <row r="817">
      <c r="A817" s="41" t="s">
        <v>905</v>
      </c>
      <c r="B817" s="41" t="s">
        <v>147</v>
      </c>
      <c r="C817" s="41" t="s">
        <v>2049</v>
      </c>
      <c r="D817" s="41" t="s">
        <v>940</v>
      </c>
      <c r="E817" s="41">
        <v>14.0</v>
      </c>
      <c r="F817" s="41">
        <v>6.0</v>
      </c>
      <c r="G817" s="41">
        <v>8.0</v>
      </c>
      <c r="H817" s="125">
        <v>0.42857142857142855</v>
      </c>
      <c r="I817" s="41">
        <v>6.0</v>
      </c>
      <c r="J817" s="41">
        <v>5033.0</v>
      </c>
      <c r="K817" s="41">
        <v>12.0</v>
      </c>
      <c r="L817" s="41">
        <v>6.0</v>
      </c>
      <c r="M817" s="41">
        <v>20.0</v>
      </c>
      <c r="N817" s="41">
        <v>41.0</v>
      </c>
      <c r="O817" s="122">
        <f t="shared" si="1"/>
        <v>0.2926829268</v>
      </c>
      <c r="P817" s="123">
        <f t="shared" si="5"/>
        <v>359.5</v>
      </c>
      <c r="Q817" s="123">
        <f t="shared" si="2"/>
        <v>0.8571428571</v>
      </c>
      <c r="R817" s="123">
        <f t="shared" si="6"/>
        <v>0.4285714286</v>
      </c>
      <c r="S817" s="123">
        <f t="shared" si="3"/>
        <v>1.428571429</v>
      </c>
      <c r="T817" s="123">
        <f t="shared" si="4"/>
        <v>2.928571429</v>
      </c>
      <c r="U817" s="41">
        <v>3.0</v>
      </c>
      <c r="V817" s="41">
        <v>0.0</v>
      </c>
      <c r="W817" s="41">
        <v>0.0</v>
      </c>
      <c r="X817" s="41">
        <v>4.0</v>
      </c>
      <c r="Y817" s="41">
        <v>13.0</v>
      </c>
      <c r="Z817" s="41">
        <v>7.0</v>
      </c>
    </row>
    <row r="818">
      <c r="A818" s="41" t="s">
        <v>904</v>
      </c>
      <c r="B818" s="41" t="s">
        <v>585</v>
      </c>
      <c r="C818" s="41" t="s">
        <v>2050</v>
      </c>
      <c r="D818" s="41" t="s">
        <v>2051</v>
      </c>
      <c r="E818" s="41">
        <v>20.0</v>
      </c>
      <c r="F818" s="41">
        <v>14.0</v>
      </c>
      <c r="G818" s="41">
        <v>6.0</v>
      </c>
      <c r="H818" s="125">
        <v>0.7</v>
      </c>
      <c r="I818" s="41">
        <v>8.0</v>
      </c>
      <c r="J818" s="41">
        <v>7522.0</v>
      </c>
      <c r="K818" s="41">
        <v>22.0</v>
      </c>
      <c r="L818" s="41">
        <v>13.0</v>
      </c>
      <c r="M818" s="41">
        <v>23.0</v>
      </c>
      <c r="N818" s="41">
        <v>62.0</v>
      </c>
      <c r="O818" s="122">
        <f t="shared" si="1"/>
        <v>0.3548387097</v>
      </c>
      <c r="P818" s="123">
        <f t="shared" si="5"/>
        <v>376.1</v>
      </c>
      <c r="Q818" s="123">
        <f t="shared" si="2"/>
        <v>1.1</v>
      </c>
      <c r="R818" s="123">
        <f t="shared" si="6"/>
        <v>0.65</v>
      </c>
      <c r="S818" s="123">
        <f t="shared" si="3"/>
        <v>1.15</v>
      </c>
      <c r="T818" s="123">
        <f t="shared" si="4"/>
        <v>3.1</v>
      </c>
      <c r="U818" s="41">
        <v>5.0</v>
      </c>
      <c r="V818" s="41">
        <v>3.0</v>
      </c>
      <c r="W818" s="41">
        <v>0.0</v>
      </c>
      <c r="X818" s="41">
        <v>2.0</v>
      </c>
      <c r="Y818" s="41">
        <v>10.0</v>
      </c>
      <c r="Z818" s="41">
        <v>10.0</v>
      </c>
    </row>
    <row r="819">
      <c r="A819" s="41" t="s">
        <v>902</v>
      </c>
      <c r="B819" s="41" t="s">
        <v>869</v>
      </c>
      <c r="C819" s="41" t="s">
        <v>2052</v>
      </c>
      <c r="D819" s="41" t="s">
        <v>2053</v>
      </c>
      <c r="E819" s="41">
        <v>7.0</v>
      </c>
      <c r="F819" s="41">
        <v>2.0</v>
      </c>
      <c r="G819" s="41">
        <v>5.0</v>
      </c>
      <c r="H819" s="125">
        <v>0.2857142857142857</v>
      </c>
      <c r="I819" s="41">
        <v>1.0</v>
      </c>
      <c r="J819" s="41">
        <v>2110.0</v>
      </c>
      <c r="K819" s="41">
        <v>3.0</v>
      </c>
      <c r="L819" s="41">
        <v>1.0</v>
      </c>
      <c r="M819" s="41">
        <v>10.0</v>
      </c>
      <c r="N819" s="41">
        <v>12.0</v>
      </c>
      <c r="O819" s="122">
        <f t="shared" si="1"/>
        <v>0.25</v>
      </c>
      <c r="P819" s="123">
        <f t="shared" si="5"/>
        <v>301.4285714</v>
      </c>
      <c r="Q819" s="123">
        <f t="shared" si="2"/>
        <v>0.4285714286</v>
      </c>
      <c r="R819" s="123">
        <f t="shared" si="6"/>
        <v>0.1428571429</v>
      </c>
      <c r="S819" s="123">
        <f t="shared" si="3"/>
        <v>1.428571429</v>
      </c>
      <c r="T819" s="123">
        <f t="shared" si="4"/>
        <v>1.714285714</v>
      </c>
      <c r="U819" s="41">
        <v>1.0</v>
      </c>
      <c r="V819" s="41">
        <v>0.0</v>
      </c>
      <c r="W819" s="41">
        <v>0.0</v>
      </c>
      <c r="X819" s="41">
        <v>1.0</v>
      </c>
      <c r="Y819" s="41">
        <v>4.0</v>
      </c>
      <c r="Z819" s="41">
        <v>8.0</v>
      </c>
    </row>
    <row r="820">
      <c r="A820" s="41" t="s">
        <v>904</v>
      </c>
      <c r="B820" s="41" t="s">
        <v>582</v>
      </c>
      <c r="C820" s="41" t="s">
        <v>2054</v>
      </c>
      <c r="D820" s="41" t="s">
        <v>1431</v>
      </c>
      <c r="E820" s="41">
        <v>4.0</v>
      </c>
      <c r="F820" s="41">
        <v>2.0</v>
      </c>
      <c r="G820" s="41">
        <v>2.0</v>
      </c>
      <c r="H820" s="125">
        <v>0.5</v>
      </c>
      <c r="I820" s="41">
        <v>2.0</v>
      </c>
      <c r="J820" s="41">
        <v>1630.0</v>
      </c>
      <c r="K820" s="41">
        <v>5.0</v>
      </c>
      <c r="L820" s="41">
        <v>3.0</v>
      </c>
      <c r="M820" s="41">
        <v>6.0</v>
      </c>
      <c r="N820" s="41">
        <v>11.0</v>
      </c>
      <c r="O820" s="122">
        <f t="shared" si="1"/>
        <v>0.4545454545</v>
      </c>
      <c r="P820" s="123">
        <f t="shared" si="5"/>
        <v>407.5</v>
      </c>
      <c r="Q820" s="123">
        <f t="shared" si="2"/>
        <v>1.25</v>
      </c>
      <c r="R820" s="123">
        <f t="shared" si="6"/>
        <v>0.75</v>
      </c>
      <c r="S820" s="123">
        <f t="shared" si="3"/>
        <v>1.5</v>
      </c>
      <c r="T820" s="123">
        <f t="shared" si="4"/>
        <v>2.75</v>
      </c>
      <c r="U820" s="41">
        <v>1.0</v>
      </c>
      <c r="V820" s="41">
        <v>1.0</v>
      </c>
      <c r="W820" s="41">
        <v>0.0</v>
      </c>
      <c r="X820" s="41">
        <v>0.0</v>
      </c>
      <c r="Y820" s="41">
        <v>3.0</v>
      </c>
      <c r="Z820" s="41">
        <v>4.0</v>
      </c>
    </row>
    <row r="821">
      <c r="A821" s="41" t="s">
        <v>902</v>
      </c>
      <c r="B821" s="41" t="s">
        <v>861</v>
      </c>
      <c r="C821" s="41" t="s">
        <v>2055</v>
      </c>
      <c r="D821" s="41" t="s">
        <v>1288</v>
      </c>
      <c r="E821" s="41">
        <v>4.0</v>
      </c>
      <c r="F821" s="41">
        <v>2.0</v>
      </c>
      <c r="G821" s="41">
        <v>2.0</v>
      </c>
      <c r="H821" s="125">
        <v>0.5</v>
      </c>
      <c r="I821" s="41">
        <v>0.0</v>
      </c>
      <c r="J821" s="41">
        <v>1292.0</v>
      </c>
      <c r="K821" s="41">
        <v>3.0</v>
      </c>
      <c r="L821" s="41">
        <v>2.0</v>
      </c>
      <c r="M821" s="41">
        <v>3.0</v>
      </c>
      <c r="N821" s="41">
        <v>8.0</v>
      </c>
      <c r="O821" s="122">
        <f t="shared" si="1"/>
        <v>0.375</v>
      </c>
      <c r="P821" s="123">
        <f t="shared" si="5"/>
        <v>323</v>
      </c>
      <c r="Q821" s="123">
        <f t="shared" si="2"/>
        <v>0.75</v>
      </c>
      <c r="R821" s="123">
        <f t="shared" si="6"/>
        <v>0.5</v>
      </c>
      <c r="S821" s="123">
        <f t="shared" si="3"/>
        <v>0.75</v>
      </c>
      <c r="T821" s="123">
        <f t="shared" si="4"/>
        <v>2</v>
      </c>
      <c r="U821" s="41">
        <v>1.0</v>
      </c>
      <c r="V821" s="41">
        <v>0.0</v>
      </c>
      <c r="W821" s="41">
        <v>0.0</v>
      </c>
      <c r="X821" s="41">
        <v>0.0</v>
      </c>
      <c r="Y821" s="41">
        <v>0.0</v>
      </c>
      <c r="Z821" s="41">
        <v>5.0</v>
      </c>
    </row>
    <row r="822">
      <c r="A822" s="41" t="s">
        <v>902</v>
      </c>
      <c r="B822" s="41" t="s">
        <v>726</v>
      </c>
      <c r="C822" s="41" t="s">
        <v>2056</v>
      </c>
      <c r="D822" s="41" t="s">
        <v>1130</v>
      </c>
      <c r="E822" s="41">
        <v>4.0</v>
      </c>
      <c r="F822" s="41">
        <v>4.0</v>
      </c>
      <c r="G822" s="41">
        <v>0.0</v>
      </c>
      <c r="H822" s="125">
        <v>1.0</v>
      </c>
      <c r="I822" s="41">
        <v>1.0</v>
      </c>
      <c r="J822" s="41">
        <v>1527.0</v>
      </c>
      <c r="K822" s="41">
        <v>4.0</v>
      </c>
      <c r="L822" s="41">
        <v>4.0</v>
      </c>
      <c r="M822" s="41">
        <v>4.0</v>
      </c>
      <c r="N822" s="41">
        <v>12.0</v>
      </c>
      <c r="O822" s="122">
        <f t="shared" si="1"/>
        <v>0.3333333333</v>
      </c>
      <c r="P822" s="123">
        <f t="shared" si="5"/>
        <v>381.75</v>
      </c>
      <c r="Q822" s="123">
        <f t="shared" si="2"/>
        <v>1</v>
      </c>
      <c r="R822" s="123">
        <f t="shared" si="6"/>
        <v>1</v>
      </c>
      <c r="S822" s="123">
        <f t="shared" si="3"/>
        <v>1</v>
      </c>
      <c r="T822" s="123">
        <f t="shared" si="4"/>
        <v>3</v>
      </c>
      <c r="U822" s="41">
        <v>1.0</v>
      </c>
      <c r="V822" s="41">
        <v>0.0</v>
      </c>
      <c r="W822" s="41">
        <v>0.0</v>
      </c>
      <c r="X822" s="41">
        <v>0.0</v>
      </c>
      <c r="Y822" s="41">
        <v>2.0</v>
      </c>
      <c r="Z822" s="41">
        <v>8.0</v>
      </c>
    </row>
    <row r="823">
      <c r="A823" s="41" t="s">
        <v>904</v>
      </c>
      <c r="B823" s="41" t="s">
        <v>583</v>
      </c>
      <c r="C823" s="41" t="s">
        <v>2057</v>
      </c>
      <c r="D823" s="41" t="s">
        <v>973</v>
      </c>
      <c r="E823" s="41">
        <v>4.0</v>
      </c>
      <c r="F823" s="41">
        <v>2.0</v>
      </c>
      <c r="G823" s="41">
        <v>2.0</v>
      </c>
      <c r="H823" s="125">
        <v>0.5</v>
      </c>
      <c r="I823" s="41">
        <v>1.0</v>
      </c>
      <c r="J823" s="41">
        <v>1779.0</v>
      </c>
      <c r="K823" s="41">
        <v>3.0</v>
      </c>
      <c r="L823" s="41">
        <v>1.0</v>
      </c>
      <c r="M823" s="41">
        <v>9.0</v>
      </c>
      <c r="N823" s="41">
        <v>19.0</v>
      </c>
      <c r="O823" s="122">
        <f t="shared" si="1"/>
        <v>0.1578947368</v>
      </c>
      <c r="P823" s="123">
        <f t="shared" si="5"/>
        <v>444.75</v>
      </c>
      <c r="Q823" s="123">
        <f t="shared" si="2"/>
        <v>0.75</v>
      </c>
      <c r="R823" s="123">
        <f t="shared" si="6"/>
        <v>0.25</v>
      </c>
      <c r="S823" s="123">
        <f t="shared" si="3"/>
        <v>2.25</v>
      </c>
      <c r="T823" s="123">
        <f t="shared" si="4"/>
        <v>4.75</v>
      </c>
      <c r="U823" s="41">
        <v>1.0</v>
      </c>
      <c r="V823" s="41">
        <v>0.0</v>
      </c>
      <c r="W823" s="41">
        <v>0.0</v>
      </c>
      <c r="X823" s="41">
        <v>2.0</v>
      </c>
      <c r="Y823" s="41">
        <v>1.0</v>
      </c>
      <c r="Z823" s="41">
        <v>3.0</v>
      </c>
    </row>
    <row r="824">
      <c r="A824" s="41" t="s">
        <v>897</v>
      </c>
      <c r="B824" s="41" t="s">
        <v>507</v>
      </c>
      <c r="C824" s="41" t="s">
        <v>2058</v>
      </c>
      <c r="D824" s="41" t="s">
        <v>987</v>
      </c>
      <c r="E824" s="41">
        <v>4.0</v>
      </c>
      <c r="F824" s="41">
        <v>2.0</v>
      </c>
      <c r="G824" s="41">
        <v>2.0</v>
      </c>
      <c r="H824" s="125">
        <v>0.5</v>
      </c>
      <c r="I824" s="41">
        <v>1.0</v>
      </c>
      <c r="J824" s="41">
        <v>1244.0</v>
      </c>
      <c r="K824" s="41">
        <v>2.0</v>
      </c>
      <c r="L824" s="41">
        <v>2.0</v>
      </c>
      <c r="M824" s="41">
        <v>5.0</v>
      </c>
      <c r="N824" s="41">
        <v>11.0</v>
      </c>
      <c r="O824" s="122">
        <f t="shared" si="1"/>
        <v>0.1818181818</v>
      </c>
      <c r="P824" s="123">
        <f t="shared" si="5"/>
        <v>311</v>
      </c>
      <c r="Q824" s="123">
        <f t="shared" si="2"/>
        <v>0.5</v>
      </c>
      <c r="R824" s="123">
        <f t="shared" si="6"/>
        <v>0.5</v>
      </c>
      <c r="S824" s="123">
        <f t="shared" si="3"/>
        <v>1.25</v>
      </c>
      <c r="T824" s="123">
        <f t="shared" si="4"/>
        <v>2.75</v>
      </c>
      <c r="U824" s="41">
        <v>0.0</v>
      </c>
      <c r="V824" s="41">
        <v>0.0</v>
      </c>
      <c r="W824" s="41">
        <v>0.0</v>
      </c>
      <c r="X824" s="41">
        <v>1.0</v>
      </c>
      <c r="Y824" s="41">
        <v>6.0</v>
      </c>
      <c r="Z824" s="41">
        <v>7.0</v>
      </c>
    </row>
    <row r="825">
      <c r="A825" s="41"/>
      <c r="B825" s="41"/>
      <c r="C825" s="41"/>
      <c r="D825" s="41"/>
      <c r="E825" s="41"/>
      <c r="F825" s="41"/>
      <c r="G825" s="41"/>
      <c r="H825" s="125"/>
      <c r="I825" s="41"/>
      <c r="J825" s="41"/>
      <c r="K825" s="41"/>
      <c r="L825" s="41"/>
      <c r="M825" s="41"/>
      <c r="N825" s="41"/>
      <c r="O825" s="122" t="str">
        <f t="shared" si="1"/>
        <v>#DIV/0!</v>
      </c>
      <c r="P825" s="123" t="str">
        <f t="shared" si="5"/>
        <v>#DIV/0!</v>
      </c>
      <c r="Q825" s="123" t="str">
        <f t="shared" si="2"/>
        <v>#DIV/0!</v>
      </c>
      <c r="R825" s="123" t="str">
        <f t="shared" si="6"/>
        <v>#DIV/0!</v>
      </c>
      <c r="S825" s="123" t="str">
        <f t="shared" si="3"/>
        <v>#DIV/0!</v>
      </c>
      <c r="T825" s="123" t="str">
        <f t="shared" si="4"/>
        <v>#DIV/0!</v>
      </c>
      <c r="U825" s="41"/>
      <c r="V825" s="41"/>
      <c r="W825" s="41"/>
      <c r="X825" s="41"/>
      <c r="Y825" s="41"/>
      <c r="Z825" s="41"/>
    </row>
    <row r="826">
      <c r="A826" s="41"/>
      <c r="B826" s="41"/>
      <c r="C826" s="41"/>
      <c r="D826" s="41"/>
      <c r="E826" s="41"/>
      <c r="F826" s="41"/>
      <c r="G826" s="41"/>
      <c r="H826" s="125"/>
      <c r="I826" s="41"/>
      <c r="J826" s="41"/>
      <c r="K826" s="41"/>
      <c r="L826" s="41"/>
      <c r="M826" s="41"/>
      <c r="N826" s="41"/>
      <c r="O826" s="122" t="str">
        <f t="shared" si="1"/>
        <v>#DIV/0!</v>
      </c>
      <c r="P826" s="123" t="str">
        <f t="shared" si="5"/>
        <v>#DIV/0!</v>
      </c>
      <c r="Q826" s="123" t="str">
        <f t="shared" si="2"/>
        <v>#DIV/0!</v>
      </c>
      <c r="R826" s="123" t="str">
        <f t="shared" si="6"/>
        <v>#DIV/0!</v>
      </c>
      <c r="S826" s="123" t="str">
        <f t="shared" si="3"/>
        <v>#DIV/0!</v>
      </c>
      <c r="T826" s="123" t="str">
        <f t="shared" si="4"/>
        <v>#DIV/0!</v>
      </c>
      <c r="U826" s="41"/>
      <c r="V826" s="41"/>
      <c r="W826" s="41"/>
      <c r="X826" s="41"/>
      <c r="Y826" s="41"/>
      <c r="Z826" s="41"/>
    </row>
    <row r="827">
      <c r="A827" s="41"/>
      <c r="B827" s="41"/>
      <c r="C827" s="41"/>
      <c r="D827" s="41"/>
      <c r="E827" s="41"/>
      <c r="F827" s="41"/>
      <c r="G827" s="41"/>
      <c r="H827" s="125"/>
      <c r="I827" s="41"/>
      <c r="J827" s="41"/>
      <c r="K827" s="41"/>
      <c r="L827" s="41"/>
      <c r="M827" s="41"/>
      <c r="N827" s="41"/>
      <c r="O827" s="122" t="str">
        <f t="shared" si="1"/>
        <v>#DIV/0!</v>
      </c>
      <c r="P827" s="123" t="str">
        <f t="shared" si="5"/>
        <v>#DIV/0!</v>
      </c>
      <c r="Q827" s="123" t="str">
        <f t="shared" si="2"/>
        <v>#DIV/0!</v>
      </c>
      <c r="R827" s="123" t="str">
        <f t="shared" si="6"/>
        <v>#DIV/0!</v>
      </c>
      <c r="S827" s="123" t="str">
        <f t="shared" si="3"/>
        <v>#DIV/0!</v>
      </c>
      <c r="T827" s="123" t="str">
        <f t="shared" si="4"/>
        <v>#DIV/0!</v>
      </c>
      <c r="U827" s="41"/>
      <c r="V827" s="41"/>
      <c r="W827" s="41"/>
      <c r="X827" s="41"/>
      <c r="Y827" s="41"/>
      <c r="Z827" s="41"/>
    </row>
    <row r="828">
      <c r="A828" s="41"/>
      <c r="B828" s="41"/>
      <c r="C828" s="41"/>
      <c r="D828" s="41"/>
      <c r="E828" s="41"/>
      <c r="F828" s="41"/>
      <c r="G828" s="41"/>
      <c r="H828" s="125"/>
      <c r="I828" s="41"/>
      <c r="J828" s="41"/>
      <c r="K828" s="41"/>
      <c r="L828" s="41"/>
      <c r="M828" s="41"/>
      <c r="N828" s="41"/>
      <c r="O828" s="122" t="str">
        <f t="shared" si="1"/>
        <v>#DIV/0!</v>
      </c>
      <c r="P828" s="123" t="str">
        <f t="shared" si="5"/>
        <v>#DIV/0!</v>
      </c>
      <c r="Q828" s="123" t="str">
        <f t="shared" si="2"/>
        <v>#DIV/0!</v>
      </c>
      <c r="R828" s="123" t="str">
        <f t="shared" si="6"/>
        <v>#DIV/0!</v>
      </c>
      <c r="S828" s="123" t="str">
        <f t="shared" si="3"/>
        <v>#DIV/0!</v>
      </c>
      <c r="T828" s="123" t="str">
        <f t="shared" si="4"/>
        <v>#DIV/0!</v>
      </c>
      <c r="U828" s="41"/>
      <c r="V828" s="41"/>
      <c r="W828" s="41"/>
      <c r="X828" s="41"/>
      <c r="Y828" s="41"/>
      <c r="Z828" s="41"/>
    </row>
    <row r="829">
      <c r="A829" s="41"/>
      <c r="B829" s="41"/>
      <c r="C829" s="41"/>
      <c r="D829" s="41"/>
      <c r="E829" s="41"/>
      <c r="F829" s="41"/>
      <c r="G829" s="41"/>
      <c r="H829" s="125"/>
      <c r="I829" s="41"/>
      <c r="J829" s="41"/>
      <c r="K829" s="41"/>
      <c r="L829" s="41"/>
      <c r="M829" s="41"/>
      <c r="N829" s="41"/>
      <c r="O829" s="122" t="str">
        <f t="shared" si="1"/>
        <v>#DIV/0!</v>
      </c>
      <c r="P829" s="123" t="str">
        <f t="shared" si="5"/>
        <v>#DIV/0!</v>
      </c>
      <c r="Q829" s="123" t="str">
        <f t="shared" si="2"/>
        <v>#DIV/0!</v>
      </c>
      <c r="R829" s="123" t="str">
        <f t="shared" si="6"/>
        <v>#DIV/0!</v>
      </c>
      <c r="S829" s="123" t="str">
        <f t="shared" si="3"/>
        <v>#DIV/0!</v>
      </c>
      <c r="T829" s="123" t="str">
        <f t="shared" si="4"/>
        <v>#DIV/0!</v>
      </c>
      <c r="U829" s="41"/>
      <c r="V829" s="41"/>
      <c r="W829" s="41"/>
      <c r="X829" s="41"/>
      <c r="Y829" s="41"/>
      <c r="Z829" s="41"/>
    </row>
    <row r="830">
      <c r="A830" s="41"/>
      <c r="B830" s="41"/>
      <c r="C830" s="41"/>
      <c r="D830" s="41"/>
      <c r="E830" s="41"/>
      <c r="F830" s="41"/>
      <c r="G830" s="41"/>
      <c r="H830" s="125"/>
      <c r="I830" s="41"/>
      <c r="J830" s="41"/>
      <c r="K830" s="41"/>
      <c r="L830" s="41"/>
      <c r="M830" s="41"/>
      <c r="N830" s="41"/>
      <c r="O830" s="122" t="str">
        <f t="shared" si="1"/>
        <v>#DIV/0!</v>
      </c>
      <c r="P830" s="123" t="str">
        <f t="shared" si="5"/>
        <v>#DIV/0!</v>
      </c>
      <c r="Q830" s="123" t="str">
        <f t="shared" si="2"/>
        <v>#DIV/0!</v>
      </c>
      <c r="R830" s="123" t="str">
        <f t="shared" si="6"/>
        <v>#DIV/0!</v>
      </c>
      <c r="S830" s="123" t="str">
        <f t="shared" si="3"/>
        <v>#DIV/0!</v>
      </c>
      <c r="T830" s="123" t="str">
        <f t="shared" si="4"/>
        <v>#DIV/0!</v>
      </c>
      <c r="U830" s="41"/>
      <c r="V830" s="41"/>
      <c r="W830" s="41"/>
      <c r="X830" s="41"/>
      <c r="Y830" s="41"/>
      <c r="Z830" s="41"/>
    </row>
    <row r="831">
      <c r="A831" s="41"/>
      <c r="B831" s="41"/>
      <c r="C831" s="41"/>
      <c r="D831" s="41"/>
      <c r="E831" s="41"/>
      <c r="F831" s="41"/>
      <c r="G831" s="41"/>
      <c r="H831" s="125"/>
      <c r="I831" s="41"/>
      <c r="J831" s="41"/>
      <c r="K831" s="41"/>
      <c r="L831" s="41"/>
      <c r="M831" s="41"/>
      <c r="N831" s="41"/>
      <c r="O831" s="122" t="str">
        <f t="shared" si="1"/>
        <v>#DIV/0!</v>
      </c>
      <c r="P831" s="123" t="str">
        <f t="shared" si="5"/>
        <v>#DIV/0!</v>
      </c>
      <c r="Q831" s="123" t="str">
        <f t="shared" si="2"/>
        <v>#DIV/0!</v>
      </c>
      <c r="R831" s="123" t="str">
        <f t="shared" si="6"/>
        <v>#DIV/0!</v>
      </c>
      <c r="S831" s="123" t="str">
        <f t="shared" si="3"/>
        <v>#DIV/0!</v>
      </c>
      <c r="T831" s="123" t="str">
        <f t="shared" si="4"/>
        <v>#DIV/0!</v>
      </c>
      <c r="U831" s="41"/>
      <c r="V831" s="41"/>
      <c r="W831" s="41"/>
      <c r="X831" s="41"/>
      <c r="Y831" s="41"/>
      <c r="Z831" s="41"/>
    </row>
    <row r="832">
      <c r="A832" s="41"/>
      <c r="B832" s="41"/>
      <c r="C832" s="41"/>
      <c r="D832" s="41"/>
      <c r="E832" s="41"/>
      <c r="F832" s="41"/>
      <c r="G832" s="41"/>
      <c r="H832" s="125"/>
      <c r="I832" s="41"/>
      <c r="J832" s="41"/>
      <c r="K832" s="41"/>
      <c r="L832" s="41"/>
      <c r="M832" s="41"/>
      <c r="N832" s="41"/>
      <c r="O832" s="122" t="str">
        <f t="shared" si="1"/>
        <v>#DIV/0!</v>
      </c>
      <c r="P832" s="123" t="str">
        <f t="shared" si="5"/>
        <v>#DIV/0!</v>
      </c>
      <c r="Q832" s="123" t="str">
        <f t="shared" si="2"/>
        <v>#DIV/0!</v>
      </c>
      <c r="R832" s="123" t="str">
        <f t="shared" si="6"/>
        <v>#DIV/0!</v>
      </c>
      <c r="S832" s="123" t="str">
        <f t="shared" si="3"/>
        <v>#DIV/0!</v>
      </c>
      <c r="T832" s="123" t="str">
        <f t="shared" si="4"/>
        <v>#DIV/0!</v>
      </c>
      <c r="U832" s="41"/>
      <c r="V832" s="41"/>
      <c r="W832" s="41"/>
      <c r="X832" s="41"/>
      <c r="Y832" s="41"/>
      <c r="Z832" s="41"/>
    </row>
    <row r="833">
      <c r="A833" s="41"/>
      <c r="B833" s="41"/>
      <c r="C833" s="41"/>
      <c r="D833" s="41"/>
      <c r="E833" s="41"/>
      <c r="F833" s="41"/>
      <c r="G833" s="41"/>
      <c r="H833" s="125"/>
      <c r="I833" s="41"/>
      <c r="J833" s="41"/>
      <c r="K833" s="41"/>
      <c r="L833" s="41"/>
      <c r="M833" s="41"/>
      <c r="N833" s="41"/>
      <c r="O833" s="122" t="str">
        <f t="shared" si="1"/>
        <v>#DIV/0!</v>
      </c>
      <c r="P833" s="123" t="str">
        <f t="shared" si="5"/>
        <v>#DIV/0!</v>
      </c>
      <c r="Q833" s="123" t="str">
        <f t="shared" si="2"/>
        <v>#DIV/0!</v>
      </c>
      <c r="R833" s="123" t="str">
        <f t="shared" si="6"/>
        <v>#DIV/0!</v>
      </c>
      <c r="S833" s="123" t="str">
        <f t="shared" si="3"/>
        <v>#DIV/0!</v>
      </c>
      <c r="T833" s="123" t="str">
        <f t="shared" si="4"/>
        <v>#DIV/0!</v>
      </c>
      <c r="U833" s="41"/>
      <c r="V833" s="41"/>
      <c r="W833" s="41"/>
      <c r="X833" s="41"/>
      <c r="Y833" s="41"/>
      <c r="Z833" s="41"/>
    </row>
    <row r="834">
      <c r="A834" s="41"/>
      <c r="B834" s="41"/>
      <c r="C834" s="41"/>
      <c r="D834" s="41"/>
      <c r="E834" s="41"/>
      <c r="F834" s="41"/>
      <c r="G834" s="41"/>
      <c r="H834" s="125"/>
      <c r="I834" s="41"/>
      <c r="J834" s="41"/>
      <c r="K834" s="41"/>
      <c r="L834" s="41"/>
      <c r="M834" s="41"/>
      <c r="N834" s="41"/>
      <c r="O834" s="122" t="str">
        <f t="shared" si="1"/>
        <v>#DIV/0!</v>
      </c>
      <c r="P834" s="123" t="str">
        <f t="shared" si="5"/>
        <v>#DIV/0!</v>
      </c>
      <c r="Q834" s="123" t="str">
        <f t="shared" si="2"/>
        <v>#DIV/0!</v>
      </c>
      <c r="R834" s="123" t="str">
        <f t="shared" si="6"/>
        <v>#DIV/0!</v>
      </c>
      <c r="S834" s="123" t="str">
        <f t="shared" si="3"/>
        <v>#DIV/0!</v>
      </c>
      <c r="T834" s="123" t="str">
        <f t="shared" si="4"/>
        <v>#DIV/0!</v>
      </c>
      <c r="U834" s="41"/>
      <c r="V834" s="41"/>
      <c r="W834" s="41"/>
      <c r="X834" s="41"/>
      <c r="Y834" s="41"/>
      <c r="Z834" s="41"/>
    </row>
    <row r="835">
      <c r="A835" s="41"/>
      <c r="B835" s="41"/>
      <c r="C835" s="41"/>
      <c r="D835" s="41"/>
      <c r="E835" s="41"/>
      <c r="F835" s="41"/>
      <c r="G835" s="41"/>
      <c r="H835" s="125"/>
      <c r="I835" s="41"/>
      <c r="J835" s="41"/>
      <c r="K835" s="41"/>
      <c r="L835" s="41"/>
      <c r="M835" s="41"/>
      <c r="N835" s="41"/>
      <c r="O835" s="122" t="str">
        <f t="shared" si="1"/>
        <v>#DIV/0!</v>
      </c>
      <c r="P835" s="123" t="str">
        <f t="shared" si="5"/>
        <v>#DIV/0!</v>
      </c>
      <c r="Q835" s="123" t="str">
        <f t="shared" si="2"/>
        <v>#DIV/0!</v>
      </c>
      <c r="R835" s="123" t="str">
        <f t="shared" si="6"/>
        <v>#DIV/0!</v>
      </c>
      <c r="S835" s="123" t="str">
        <f t="shared" si="3"/>
        <v>#DIV/0!</v>
      </c>
      <c r="T835" s="123" t="str">
        <f t="shared" si="4"/>
        <v>#DIV/0!</v>
      </c>
      <c r="U835" s="41"/>
      <c r="V835" s="41"/>
      <c r="W835" s="41"/>
      <c r="X835" s="41"/>
      <c r="Y835" s="41"/>
      <c r="Z835" s="41"/>
    </row>
    <row r="836">
      <c r="A836" s="41"/>
      <c r="B836" s="41"/>
      <c r="C836" s="41"/>
      <c r="D836" s="41"/>
      <c r="E836" s="41"/>
      <c r="F836" s="41"/>
      <c r="G836" s="41"/>
      <c r="H836" s="125"/>
      <c r="I836" s="41"/>
      <c r="J836" s="41"/>
      <c r="K836" s="41"/>
      <c r="L836" s="41"/>
      <c r="M836" s="41"/>
      <c r="N836" s="41"/>
      <c r="O836" s="122" t="str">
        <f t="shared" si="1"/>
        <v>#DIV/0!</v>
      </c>
      <c r="P836" s="123" t="str">
        <f t="shared" si="5"/>
        <v>#DIV/0!</v>
      </c>
      <c r="Q836" s="123" t="str">
        <f t="shared" si="2"/>
        <v>#DIV/0!</v>
      </c>
      <c r="R836" s="123" t="str">
        <f t="shared" si="6"/>
        <v>#DIV/0!</v>
      </c>
      <c r="S836" s="123" t="str">
        <f t="shared" si="3"/>
        <v>#DIV/0!</v>
      </c>
      <c r="T836" s="123" t="str">
        <f t="shared" si="4"/>
        <v>#DIV/0!</v>
      </c>
      <c r="U836" s="41"/>
      <c r="V836" s="41"/>
      <c r="W836" s="41"/>
      <c r="X836" s="41"/>
      <c r="Y836" s="41"/>
      <c r="Z836" s="41"/>
    </row>
    <row r="837">
      <c r="A837" s="41"/>
      <c r="B837" s="41"/>
      <c r="C837" s="41"/>
      <c r="D837" s="41"/>
      <c r="E837" s="41"/>
      <c r="F837" s="41"/>
      <c r="G837" s="41"/>
      <c r="H837" s="125"/>
      <c r="I837" s="41"/>
      <c r="J837" s="41"/>
      <c r="K837" s="41"/>
      <c r="L837" s="41"/>
      <c r="M837" s="41"/>
      <c r="N837" s="41"/>
      <c r="O837" s="122" t="str">
        <f t="shared" si="1"/>
        <v>#DIV/0!</v>
      </c>
      <c r="P837" s="123" t="str">
        <f t="shared" si="5"/>
        <v>#DIV/0!</v>
      </c>
      <c r="Q837" s="123" t="str">
        <f t="shared" si="2"/>
        <v>#DIV/0!</v>
      </c>
      <c r="R837" s="123" t="str">
        <f t="shared" si="6"/>
        <v>#DIV/0!</v>
      </c>
      <c r="S837" s="123" t="str">
        <f t="shared" si="3"/>
        <v>#DIV/0!</v>
      </c>
      <c r="T837" s="123" t="str">
        <f t="shared" si="4"/>
        <v>#DIV/0!</v>
      </c>
      <c r="U837" s="41"/>
      <c r="V837" s="41"/>
      <c r="W837" s="41"/>
      <c r="X837" s="41"/>
      <c r="Y837" s="41"/>
      <c r="Z837" s="41"/>
    </row>
    <row r="838">
      <c r="A838" s="41"/>
      <c r="B838" s="41"/>
      <c r="C838" s="41"/>
      <c r="D838" s="41"/>
      <c r="E838" s="41"/>
      <c r="F838" s="41"/>
      <c r="G838" s="41"/>
      <c r="H838" s="125"/>
      <c r="I838" s="41"/>
      <c r="J838" s="41"/>
      <c r="K838" s="41"/>
      <c r="L838" s="41"/>
      <c r="M838" s="41"/>
      <c r="N838" s="41"/>
      <c r="O838" s="122" t="str">
        <f t="shared" si="1"/>
        <v>#DIV/0!</v>
      </c>
      <c r="P838" s="123" t="str">
        <f t="shared" si="5"/>
        <v>#DIV/0!</v>
      </c>
      <c r="Q838" s="123" t="str">
        <f t="shared" si="2"/>
        <v>#DIV/0!</v>
      </c>
      <c r="R838" s="123" t="str">
        <f t="shared" si="6"/>
        <v>#DIV/0!</v>
      </c>
      <c r="S838" s="123" t="str">
        <f t="shared" si="3"/>
        <v>#DIV/0!</v>
      </c>
      <c r="T838" s="123" t="str">
        <f t="shared" si="4"/>
        <v>#DIV/0!</v>
      </c>
      <c r="U838" s="41"/>
      <c r="V838" s="41"/>
      <c r="W838" s="41"/>
      <c r="X838" s="41"/>
      <c r="Y838" s="41"/>
      <c r="Z838" s="41"/>
    </row>
    <row r="839">
      <c r="A839" s="41"/>
      <c r="B839" s="41"/>
      <c r="C839" s="41"/>
      <c r="D839" s="41"/>
      <c r="E839" s="41"/>
      <c r="F839" s="41"/>
      <c r="G839" s="41"/>
      <c r="H839" s="125"/>
      <c r="I839" s="41"/>
      <c r="J839" s="41"/>
      <c r="K839" s="41"/>
      <c r="L839" s="41"/>
      <c r="M839" s="41"/>
      <c r="N839" s="41"/>
      <c r="O839" s="122" t="str">
        <f t="shared" si="1"/>
        <v>#DIV/0!</v>
      </c>
      <c r="P839" s="123" t="str">
        <f t="shared" si="5"/>
        <v>#DIV/0!</v>
      </c>
      <c r="Q839" s="123" t="str">
        <f t="shared" si="2"/>
        <v>#DIV/0!</v>
      </c>
      <c r="R839" s="123" t="str">
        <f t="shared" si="6"/>
        <v>#DIV/0!</v>
      </c>
      <c r="S839" s="123" t="str">
        <f t="shared" si="3"/>
        <v>#DIV/0!</v>
      </c>
      <c r="T839" s="123" t="str">
        <f t="shared" si="4"/>
        <v>#DIV/0!</v>
      </c>
      <c r="U839" s="41"/>
      <c r="V839" s="41"/>
      <c r="W839" s="41"/>
      <c r="X839" s="41"/>
      <c r="Y839" s="41"/>
      <c r="Z839" s="41"/>
    </row>
    <row r="840">
      <c r="A840" s="41"/>
      <c r="B840" s="41"/>
      <c r="C840" s="41"/>
      <c r="D840" s="41"/>
      <c r="E840" s="41"/>
      <c r="F840" s="41"/>
      <c r="G840" s="41"/>
      <c r="H840" s="125"/>
      <c r="I840" s="41"/>
      <c r="J840" s="41"/>
      <c r="K840" s="41"/>
      <c r="L840" s="41"/>
      <c r="M840" s="41"/>
      <c r="N840" s="41"/>
      <c r="O840" s="122" t="str">
        <f t="shared" si="1"/>
        <v>#DIV/0!</v>
      </c>
      <c r="P840" s="123" t="str">
        <f t="shared" si="5"/>
        <v>#DIV/0!</v>
      </c>
      <c r="Q840" s="123" t="str">
        <f t="shared" si="2"/>
        <v>#DIV/0!</v>
      </c>
      <c r="R840" s="123" t="str">
        <f t="shared" si="6"/>
        <v>#DIV/0!</v>
      </c>
      <c r="S840" s="123" t="str">
        <f t="shared" si="3"/>
        <v>#DIV/0!</v>
      </c>
      <c r="T840" s="123" t="str">
        <f t="shared" si="4"/>
        <v>#DIV/0!</v>
      </c>
      <c r="U840" s="41"/>
      <c r="V840" s="41"/>
      <c r="W840" s="41"/>
      <c r="X840" s="41"/>
      <c r="Y840" s="41"/>
      <c r="Z840" s="41"/>
    </row>
    <row r="841">
      <c r="A841" s="41"/>
      <c r="B841" s="41"/>
      <c r="C841" s="41"/>
      <c r="D841" s="41"/>
      <c r="E841" s="41"/>
      <c r="F841" s="41"/>
      <c r="G841" s="41"/>
      <c r="H841" s="125"/>
      <c r="I841" s="41"/>
      <c r="J841" s="41"/>
      <c r="K841" s="41"/>
      <c r="L841" s="41"/>
      <c r="M841" s="41"/>
      <c r="N841" s="41"/>
      <c r="O841" s="122" t="str">
        <f t="shared" si="1"/>
        <v>#DIV/0!</v>
      </c>
      <c r="P841" s="123" t="str">
        <f t="shared" si="5"/>
        <v>#DIV/0!</v>
      </c>
      <c r="Q841" s="123" t="str">
        <f t="shared" si="2"/>
        <v>#DIV/0!</v>
      </c>
      <c r="R841" s="123" t="str">
        <f t="shared" si="6"/>
        <v>#DIV/0!</v>
      </c>
      <c r="S841" s="123" t="str">
        <f t="shared" si="3"/>
        <v>#DIV/0!</v>
      </c>
      <c r="T841" s="123" t="str">
        <f t="shared" si="4"/>
        <v>#DIV/0!</v>
      </c>
      <c r="U841" s="41"/>
      <c r="V841" s="41"/>
      <c r="W841" s="41"/>
      <c r="X841" s="41"/>
      <c r="Y841" s="41"/>
      <c r="Z841" s="41"/>
    </row>
    <row r="842">
      <c r="A842" s="41"/>
      <c r="B842" s="41"/>
      <c r="C842" s="41"/>
      <c r="D842" s="41"/>
      <c r="E842" s="41"/>
      <c r="F842" s="41"/>
      <c r="G842" s="41"/>
      <c r="H842" s="125"/>
      <c r="I842" s="41"/>
      <c r="J842" s="41"/>
      <c r="K842" s="41"/>
      <c r="L842" s="41"/>
      <c r="M842" s="41"/>
      <c r="N842" s="41"/>
      <c r="O842" s="122" t="str">
        <f t="shared" si="1"/>
        <v>#DIV/0!</v>
      </c>
      <c r="P842" s="123" t="str">
        <f t="shared" si="5"/>
        <v>#DIV/0!</v>
      </c>
      <c r="Q842" s="123" t="str">
        <f t="shared" si="2"/>
        <v>#DIV/0!</v>
      </c>
      <c r="R842" s="123" t="str">
        <f t="shared" si="6"/>
        <v>#DIV/0!</v>
      </c>
      <c r="S842" s="123" t="str">
        <f t="shared" si="3"/>
        <v>#DIV/0!</v>
      </c>
      <c r="T842" s="123" t="str">
        <f t="shared" si="4"/>
        <v>#DIV/0!</v>
      </c>
      <c r="U842" s="41"/>
      <c r="V842" s="41"/>
      <c r="W842" s="41"/>
      <c r="X842" s="41"/>
      <c r="Y842" s="41"/>
      <c r="Z842" s="41"/>
    </row>
    <row r="843">
      <c r="A843" s="41"/>
      <c r="B843" s="41"/>
      <c r="C843" s="41"/>
      <c r="D843" s="41"/>
      <c r="E843" s="41"/>
      <c r="F843" s="41"/>
      <c r="G843" s="41"/>
      <c r="H843" s="125"/>
      <c r="I843" s="41"/>
      <c r="J843" s="41"/>
      <c r="K843" s="41"/>
      <c r="L843" s="41"/>
      <c r="M843" s="41"/>
      <c r="N843" s="41"/>
      <c r="O843" s="122" t="str">
        <f t="shared" si="1"/>
        <v>#DIV/0!</v>
      </c>
      <c r="P843" s="123" t="str">
        <f t="shared" si="5"/>
        <v>#DIV/0!</v>
      </c>
      <c r="Q843" s="123" t="str">
        <f t="shared" si="2"/>
        <v>#DIV/0!</v>
      </c>
      <c r="R843" s="123" t="str">
        <f t="shared" si="6"/>
        <v>#DIV/0!</v>
      </c>
      <c r="S843" s="123" t="str">
        <f t="shared" si="3"/>
        <v>#DIV/0!</v>
      </c>
      <c r="T843" s="123" t="str">
        <f t="shared" si="4"/>
        <v>#DIV/0!</v>
      </c>
      <c r="U843" s="41"/>
      <c r="V843" s="41"/>
      <c r="W843" s="41"/>
      <c r="X843" s="41"/>
      <c r="Y843" s="41"/>
      <c r="Z843" s="41"/>
    </row>
    <row r="844">
      <c r="A844" s="41"/>
      <c r="B844" s="41"/>
      <c r="C844" s="41"/>
      <c r="D844" s="41"/>
      <c r="E844" s="41"/>
      <c r="F844" s="41"/>
      <c r="G844" s="41"/>
      <c r="H844" s="125"/>
      <c r="I844" s="41"/>
      <c r="J844" s="41"/>
      <c r="K844" s="41"/>
      <c r="L844" s="41"/>
      <c r="M844" s="41"/>
      <c r="N844" s="41"/>
      <c r="O844" s="122" t="str">
        <f t="shared" si="1"/>
        <v>#DIV/0!</v>
      </c>
      <c r="P844" s="123" t="str">
        <f t="shared" si="5"/>
        <v>#DIV/0!</v>
      </c>
      <c r="Q844" s="123" t="str">
        <f t="shared" si="2"/>
        <v>#DIV/0!</v>
      </c>
      <c r="R844" s="123" t="str">
        <f t="shared" si="6"/>
        <v>#DIV/0!</v>
      </c>
      <c r="S844" s="123" t="str">
        <f t="shared" si="3"/>
        <v>#DIV/0!</v>
      </c>
      <c r="T844" s="123" t="str">
        <f t="shared" si="4"/>
        <v>#DIV/0!</v>
      </c>
      <c r="U844" s="41"/>
      <c r="V844" s="41"/>
      <c r="W844" s="41"/>
      <c r="X844" s="41"/>
      <c r="Y844" s="41"/>
      <c r="Z844" s="41"/>
    </row>
    <row r="845">
      <c r="A845" s="41"/>
      <c r="B845" s="41"/>
      <c r="C845" s="41"/>
      <c r="D845" s="41"/>
      <c r="E845" s="41"/>
      <c r="F845" s="41"/>
      <c r="G845" s="41"/>
      <c r="H845" s="125"/>
      <c r="I845" s="41"/>
      <c r="J845" s="41"/>
      <c r="K845" s="41"/>
      <c r="L845" s="41"/>
      <c r="M845" s="41"/>
      <c r="N845" s="41"/>
      <c r="O845" s="122" t="str">
        <f t="shared" si="1"/>
        <v>#DIV/0!</v>
      </c>
      <c r="P845" s="123" t="str">
        <f t="shared" si="5"/>
        <v>#DIV/0!</v>
      </c>
      <c r="Q845" s="123" t="str">
        <f t="shared" si="2"/>
        <v>#DIV/0!</v>
      </c>
      <c r="R845" s="123" t="str">
        <f t="shared" si="6"/>
        <v>#DIV/0!</v>
      </c>
      <c r="S845" s="123" t="str">
        <f t="shared" si="3"/>
        <v>#DIV/0!</v>
      </c>
      <c r="T845" s="123" t="str">
        <f t="shared" si="4"/>
        <v>#DIV/0!</v>
      </c>
      <c r="U845" s="41"/>
      <c r="V845" s="41"/>
      <c r="W845" s="41"/>
      <c r="X845" s="41"/>
      <c r="Y845" s="41"/>
      <c r="Z845" s="41"/>
    </row>
    <row r="846">
      <c r="A846" s="41"/>
      <c r="B846" s="41"/>
      <c r="C846" s="41"/>
      <c r="D846" s="41"/>
      <c r="E846" s="41"/>
      <c r="F846" s="41"/>
      <c r="G846" s="41"/>
      <c r="H846" s="125"/>
      <c r="I846" s="41"/>
      <c r="J846" s="41"/>
      <c r="K846" s="41"/>
      <c r="L846" s="41"/>
      <c r="M846" s="41"/>
      <c r="N846" s="41"/>
      <c r="O846" s="122" t="str">
        <f t="shared" si="1"/>
        <v>#DIV/0!</v>
      </c>
      <c r="P846" s="123" t="str">
        <f t="shared" si="5"/>
        <v>#DIV/0!</v>
      </c>
      <c r="Q846" s="123" t="str">
        <f t="shared" si="2"/>
        <v>#DIV/0!</v>
      </c>
      <c r="R846" s="123" t="str">
        <f t="shared" si="6"/>
        <v>#DIV/0!</v>
      </c>
      <c r="S846" s="123" t="str">
        <f t="shared" si="3"/>
        <v>#DIV/0!</v>
      </c>
      <c r="T846" s="123" t="str">
        <f t="shared" si="4"/>
        <v>#DIV/0!</v>
      </c>
      <c r="U846" s="41"/>
      <c r="V846" s="41"/>
      <c r="W846" s="41"/>
      <c r="X846" s="41"/>
      <c r="Y846" s="41"/>
      <c r="Z846" s="41"/>
    </row>
    <row r="847">
      <c r="A847" s="41"/>
      <c r="B847" s="41"/>
      <c r="C847" s="41"/>
      <c r="D847" s="41"/>
      <c r="E847" s="41"/>
      <c r="F847" s="41"/>
      <c r="G847" s="41"/>
      <c r="H847" s="125"/>
      <c r="I847" s="41"/>
      <c r="J847" s="41"/>
      <c r="K847" s="41"/>
      <c r="L847" s="41"/>
      <c r="M847" s="41"/>
      <c r="N847" s="41"/>
      <c r="O847" s="122" t="str">
        <f t="shared" si="1"/>
        <v>#DIV/0!</v>
      </c>
      <c r="P847" s="123" t="str">
        <f t="shared" si="5"/>
        <v>#DIV/0!</v>
      </c>
      <c r="Q847" s="123" t="str">
        <f t="shared" si="2"/>
        <v>#DIV/0!</v>
      </c>
      <c r="R847" s="123" t="str">
        <f t="shared" si="6"/>
        <v>#DIV/0!</v>
      </c>
      <c r="S847" s="123" t="str">
        <f t="shared" si="3"/>
        <v>#DIV/0!</v>
      </c>
      <c r="T847" s="123" t="str">
        <f t="shared" si="4"/>
        <v>#DIV/0!</v>
      </c>
      <c r="U847" s="41"/>
      <c r="V847" s="41"/>
      <c r="W847" s="41"/>
      <c r="X847" s="41"/>
      <c r="Y847" s="41"/>
      <c r="Z847" s="41"/>
    </row>
    <row r="848">
      <c r="A848" s="41"/>
      <c r="B848" s="41"/>
      <c r="C848" s="41"/>
      <c r="D848" s="41"/>
      <c r="E848" s="41"/>
      <c r="F848" s="41"/>
      <c r="G848" s="41"/>
      <c r="H848" s="125"/>
      <c r="I848" s="41"/>
      <c r="J848" s="41"/>
      <c r="K848" s="41"/>
      <c r="L848" s="41"/>
      <c r="M848" s="41"/>
      <c r="N848" s="41"/>
      <c r="O848" s="122" t="str">
        <f t="shared" si="1"/>
        <v>#DIV/0!</v>
      </c>
      <c r="P848" s="123" t="str">
        <f t="shared" si="5"/>
        <v>#DIV/0!</v>
      </c>
      <c r="Q848" s="123" t="str">
        <f t="shared" si="2"/>
        <v>#DIV/0!</v>
      </c>
      <c r="R848" s="123" t="str">
        <f t="shared" si="6"/>
        <v>#DIV/0!</v>
      </c>
      <c r="S848" s="123" t="str">
        <f t="shared" si="3"/>
        <v>#DIV/0!</v>
      </c>
      <c r="T848" s="123" t="str">
        <f t="shared" si="4"/>
        <v>#DIV/0!</v>
      </c>
      <c r="U848" s="41"/>
      <c r="V848" s="41"/>
      <c r="W848" s="41"/>
      <c r="X848" s="41"/>
      <c r="Y848" s="41"/>
      <c r="Z848" s="41"/>
    </row>
    <row r="849">
      <c r="A849" s="41"/>
      <c r="B849" s="41"/>
      <c r="C849" s="41"/>
      <c r="D849" s="41"/>
      <c r="E849" s="41"/>
      <c r="F849" s="41"/>
      <c r="G849" s="41"/>
      <c r="H849" s="125"/>
      <c r="I849" s="41"/>
      <c r="J849" s="41"/>
      <c r="K849" s="41"/>
      <c r="L849" s="41"/>
      <c r="M849" s="41"/>
      <c r="N849" s="41"/>
      <c r="O849" s="122" t="str">
        <f t="shared" si="1"/>
        <v>#DIV/0!</v>
      </c>
      <c r="P849" s="123" t="str">
        <f t="shared" si="5"/>
        <v>#DIV/0!</v>
      </c>
      <c r="Q849" s="123" t="str">
        <f t="shared" si="2"/>
        <v>#DIV/0!</v>
      </c>
      <c r="R849" s="123" t="str">
        <f t="shared" si="6"/>
        <v>#DIV/0!</v>
      </c>
      <c r="S849" s="123" t="str">
        <f t="shared" si="3"/>
        <v>#DIV/0!</v>
      </c>
      <c r="T849" s="123" t="str">
        <f t="shared" si="4"/>
        <v>#DIV/0!</v>
      </c>
      <c r="U849" s="41"/>
      <c r="V849" s="41"/>
      <c r="W849" s="41"/>
      <c r="X849" s="41"/>
      <c r="Y849" s="41"/>
      <c r="Z849" s="41"/>
    </row>
    <row r="850">
      <c r="A850" s="41"/>
      <c r="B850" s="41"/>
      <c r="C850" s="41"/>
      <c r="D850" s="41"/>
      <c r="E850" s="41"/>
      <c r="F850" s="41"/>
      <c r="G850" s="41"/>
      <c r="H850" s="125"/>
      <c r="I850" s="41"/>
      <c r="J850" s="41"/>
      <c r="K850" s="41"/>
      <c r="L850" s="41"/>
      <c r="M850" s="41"/>
      <c r="N850" s="41"/>
      <c r="O850" s="122" t="str">
        <f t="shared" si="1"/>
        <v>#DIV/0!</v>
      </c>
      <c r="P850" s="123" t="str">
        <f t="shared" si="5"/>
        <v>#DIV/0!</v>
      </c>
      <c r="Q850" s="123" t="str">
        <f t="shared" si="2"/>
        <v>#DIV/0!</v>
      </c>
      <c r="R850" s="123" t="str">
        <f t="shared" si="6"/>
        <v>#DIV/0!</v>
      </c>
      <c r="S850" s="123" t="str">
        <f t="shared" si="3"/>
        <v>#DIV/0!</v>
      </c>
      <c r="T850" s="123" t="str">
        <f t="shared" si="4"/>
        <v>#DIV/0!</v>
      </c>
      <c r="U850" s="41"/>
      <c r="V850" s="41"/>
      <c r="W850" s="41"/>
      <c r="X850" s="41"/>
      <c r="Y850" s="41"/>
      <c r="Z850" s="41"/>
    </row>
    <row r="851">
      <c r="A851" s="41"/>
      <c r="B851" s="41"/>
      <c r="C851" s="41"/>
      <c r="D851" s="41"/>
      <c r="E851" s="41"/>
      <c r="F851" s="41"/>
      <c r="G851" s="41"/>
      <c r="H851" s="125"/>
      <c r="I851" s="41"/>
      <c r="J851" s="41"/>
      <c r="K851" s="41"/>
      <c r="L851" s="41"/>
      <c r="M851" s="41"/>
      <c r="N851" s="41"/>
      <c r="O851" s="122" t="str">
        <f t="shared" si="1"/>
        <v>#DIV/0!</v>
      </c>
      <c r="P851" s="123" t="str">
        <f t="shared" si="5"/>
        <v>#DIV/0!</v>
      </c>
      <c r="Q851" s="123" t="str">
        <f t="shared" si="2"/>
        <v>#DIV/0!</v>
      </c>
      <c r="R851" s="123" t="str">
        <f t="shared" si="6"/>
        <v>#DIV/0!</v>
      </c>
      <c r="S851" s="123" t="str">
        <f t="shared" si="3"/>
        <v>#DIV/0!</v>
      </c>
      <c r="T851" s="123" t="str">
        <f t="shared" si="4"/>
        <v>#DIV/0!</v>
      </c>
      <c r="U851" s="41"/>
      <c r="V851" s="41"/>
      <c r="W851" s="41"/>
      <c r="X851" s="41"/>
      <c r="Y851" s="41"/>
      <c r="Z851" s="41"/>
    </row>
    <row r="852">
      <c r="A852" s="41"/>
      <c r="B852" s="41"/>
      <c r="C852" s="41"/>
      <c r="D852" s="41"/>
      <c r="E852" s="41"/>
      <c r="F852" s="41"/>
      <c r="G852" s="41"/>
      <c r="H852" s="125"/>
      <c r="I852" s="41"/>
      <c r="J852" s="41"/>
      <c r="K852" s="41"/>
      <c r="L852" s="41"/>
      <c r="M852" s="41"/>
      <c r="N852" s="41"/>
      <c r="O852" s="122" t="str">
        <f t="shared" si="1"/>
        <v>#DIV/0!</v>
      </c>
      <c r="P852" s="123" t="str">
        <f t="shared" si="5"/>
        <v>#DIV/0!</v>
      </c>
      <c r="Q852" s="123" t="str">
        <f t="shared" si="2"/>
        <v>#DIV/0!</v>
      </c>
      <c r="R852" s="123" t="str">
        <f t="shared" si="6"/>
        <v>#DIV/0!</v>
      </c>
      <c r="S852" s="123" t="str">
        <f t="shared" si="3"/>
        <v>#DIV/0!</v>
      </c>
      <c r="T852" s="123" t="str">
        <f t="shared" si="4"/>
        <v>#DIV/0!</v>
      </c>
      <c r="U852" s="41"/>
      <c r="V852" s="41"/>
      <c r="W852" s="41"/>
      <c r="X852" s="41"/>
      <c r="Y852" s="41"/>
      <c r="Z852" s="41"/>
    </row>
    <row r="853">
      <c r="A853" s="41"/>
      <c r="B853" s="41"/>
      <c r="C853" s="41"/>
      <c r="D853" s="41"/>
      <c r="E853" s="41"/>
      <c r="F853" s="41"/>
      <c r="G853" s="41"/>
      <c r="H853" s="125"/>
      <c r="I853" s="41"/>
      <c r="J853" s="41"/>
      <c r="K853" s="41"/>
      <c r="L853" s="41"/>
      <c r="M853" s="41"/>
      <c r="N853" s="41"/>
      <c r="O853" s="122" t="str">
        <f t="shared" si="1"/>
        <v>#DIV/0!</v>
      </c>
      <c r="P853" s="123" t="str">
        <f t="shared" si="5"/>
        <v>#DIV/0!</v>
      </c>
      <c r="Q853" s="123" t="str">
        <f t="shared" si="2"/>
        <v>#DIV/0!</v>
      </c>
      <c r="R853" s="123" t="str">
        <f t="shared" si="6"/>
        <v>#DIV/0!</v>
      </c>
      <c r="S853" s="123" t="str">
        <f t="shared" si="3"/>
        <v>#DIV/0!</v>
      </c>
      <c r="T853" s="123" t="str">
        <f t="shared" si="4"/>
        <v>#DIV/0!</v>
      </c>
      <c r="U853" s="41"/>
      <c r="V853" s="41"/>
      <c r="W853" s="41"/>
      <c r="X853" s="41"/>
      <c r="Y853" s="41"/>
      <c r="Z853" s="41"/>
    </row>
    <row r="854">
      <c r="A854" s="41"/>
      <c r="B854" s="41"/>
      <c r="C854" s="41"/>
      <c r="D854" s="41"/>
      <c r="E854" s="41"/>
      <c r="F854" s="41"/>
      <c r="G854" s="41"/>
      <c r="H854" s="125"/>
      <c r="I854" s="41"/>
      <c r="J854" s="41"/>
      <c r="K854" s="41"/>
      <c r="L854" s="41"/>
      <c r="M854" s="41"/>
      <c r="N854" s="41"/>
      <c r="O854" s="122" t="str">
        <f t="shared" si="1"/>
        <v>#DIV/0!</v>
      </c>
      <c r="P854" s="123" t="str">
        <f t="shared" si="5"/>
        <v>#DIV/0!</v>
      </c>
      <c r="Q854" s="123" t="str">
        <f t="shared" si="2"/>
        <v>#DIV/0!</v>
      </c>
      <c r="R854" s="123" t="str">
        <f t="shared" si="6"/>
        <v>#DIV/0!</v>
      </c>
      <c r="S854" s="123" t="str">
        <f t="shared" si="3"/>
        <v>#DIV/0!</v>
      </c>
      <c r="T854" s="123" t="str">
        <f t="shared" si="4"/>
        <v>#DIV/0!</v>
      </c>
      <c r="U854" s="41"/>
      <c r="V854" s="41"/>
      <c r="W854" s="41"/>
      <c r="X854" s="41"/>
      <c r="Y854" s="41"/>
      <c r="Z854" s="41"/>
    </row>
    <row r="855">
      <c r="A855" s="41"/>
      <c r="B855" s="41"/>
      <c r="C855" s="41"/>
      <c r="D855" s="41"/>
      <c r="E855" s="41"/>
      <c r="F855" s="41"/>
      <c r="G855" s="41"/>
      <c r="H855" s="125"/>
      <c r="I855" s="41"/>
      <c r="J855" s="41"/>
      <c r="K855" s="41"/>
      <c r="L855" s="41"/>
      <c r="M855" s="41"/>
      <c r="N855" s="41"/>
      <c r="O855" s="122" t="str">
        <f t="shared" si="1"/>
        <v>#DIV/0!</v>
      </c>
      <c r="P855" s="123" t="str">
        <f t="shared" si="5"/>
        <v>#DIV/0!</v>
      </c>
      <c r="Q855" s="123" t="str">
        <f t="shared" si="2"/>
        <v>#DIV/0!</v>
      </c>
      <c r="R855" s="123" t="str">
        <f t="shared" si="6"/>
        <v>#DIV/0!</v>
      </c>
      <c r="S855" s="123" t="str">
        <f t="shared" si="3"/>
        <v>#DIV/0!</v>
      </c>
      <c r="T855" s="123" t="str">
        <f t="shared" si="4"/>
        <v>#DIV/0!</v>
      </c>
      <c r="U855" s="41"/>
      <c r="V855" s="41"/>
      <c r="W855" s="41"/>
      <c r="X855" s="41"/>
      <c r="Y855" s="41"/>
      <c r="Z855" s="41"/>
    </row>
    <row r="856">
      <c r="A856" s="41"/>
      <c r="B856" s="41"/>
      <c r="C856" s="41"/>
      <c r="D856" s="41"/>
      <c r="E856" s="41"/>
      <c r="F856" s="41"/>
      <c r="G856" s="41"/>
      <c r="H856" s="125"/>
      <c r="I856" s="41"/>
      <c r="J856" s="41"/>
      <c r="K856" s="41"/>
      <c r="L856" s="41"/>
      <c r="M856" s="41"/>
      <c r="N856" s="41"/>
      <c r="O856" s="122" t="str">
        <f t="shared" si="1"/>
        <v>#DIV/0!</v>
      </c>
      <c r="P856" s="123" t="str">
        <f t="shared" si="5"/>
        <v>#DIV/0!</v>
      </c>
      <c r="Q856" s="123" t="str">
        <f t="shared" si="2"/>
        <v>#DIV/0!</v>
      </c>
      <c r="R856" s="123" t="str">
        <f t="shared" si="6"/>
        <v>#DIV/0!</v>
      </c>
      <c r="S856" s="123" t="str">
        <f t="shared" si="3"/>
        <v>#DIV/0!</v>
      </c>
      <c r="T856" s="123" t="str">
        <f t="shared" si="4"/>
        <v>#DIV/0!</v>
      </c>
      <c r="U856" s="41"/>
      <c r="V856" s="41"/>
      <c r="W856" s="41"/>
      <c r="X856" s="41"/>
      <c r="Y856" s="41"/>
      <c r="Z856" s="41"/>
    </row>
    <row r="857">
      <c r="A857" s="41"/>
      <c r="B857" s="41"/>
      <c r="C857" s="41"/>
      <c r="D857" s="41"/>
      <c r="E857" s="41"/>
      <c r="F857" s="41"/>
      <c r="G857" s="41"/>
      <c r="H857" s="125"/>
      <c r="I857" s="41"/>
      <c r="J857" s="41"/>
      <c r="K857" s="41"/>
      <c r="L857" s="41"/>
      <c r="M857" s="41"/>
      <c r="N857" s="41"/>
      <c r="O857" s="122" t="str">
        <f t="shared" si="1"/>
        <v>#DIV/0!</v>
      </c>
      <c r="P857" s="123" t="str">
        <f t="shared" si="5"/>
        <v>#DIV/0!</v>
      </c>
      <c r="Q857" s="123" t="str">
        <f t="shared" si="2"/>
        <v>#DIV/0!</v>
      </c>
      <c r="R857" s="123" t="str">
        <f t="shared" si="6"/>
        <v>#DIV/0!</v>
      </c>
      <c r="S857" s="123" t="str">
        <f t="shared" si="3"/>
        <v>#DIV/0!</v>
      </c>
      <c r="T857" s="123" t="str">
        <f t="shared" si="4"/>
        <v>#DIV/0!</v>
      </c>
      <c r="U857" s="41"/>
      <c r="V857" s="41"/>
      <c r="W857" s="41"/>
      <c r="X857" s="41"/>
      <c r="Y857" s="41"/>
      <c r="Z857" s="41"/>
    </row>
    <row r="858">
      <c r="A858" s="41"/>
      <c r="B858" s="41"/>
      <c r="C858" s="41"/>
      <c r="D858" s="41"/>
      <c r="E858" s="41"/>
      <c r="F858" s="41"/>
      <c r="G858" s="41"/>
      <c r="H858" s="125"/>
      <c r="I858" s="41"/>
      <c r="J858" s="41"/>
      <c r="K858" s="41"/>
      <c r="L858" s="41"/>
      <c r="M858" s="41"/>
      <c r="N858" s="41"/>
      <c r="O858" s="122" t="str">
        <f t="shared" si="1"/>
        <v>#DIV/0!</v>
      </c>
      <c r="P858" s="123" t="str">
        <f t="shared" si="5"/>
        <v>#DIV/0!</v>
      </c>
      <c r="Q858" s="123" t="str">
        <f t="shared" si="2"/>
        <v>#DIV/0!</v>
      </c>
      <c r="R858" s="123" t="str">
        <f t="shared" si="6"/>
        <v>#DIV/0!</v>
      </c>
      <c r="S858" s="123" t="str">
        <f t="shared" si="3"/>
        <v>#DIV/0!</v>
      </c>
      <c r="T858" s="123" t="str">
        <f t="shared" si="4"/>
        <v>#DIV/0!</v>
      </c>
      <c r="U858" s="41"/>
      <c r="V858" s="41"/>
      <c r="W858" s="41"/>
      <c r="X858" s="41"/>
      <c r="Y858" s="41"/>
      <c r="Z858" s="41"/>
    </row>
    <row r="859">
      <c r="A859" s="41"/>
      <c r="B859" s="41"/>
      <c r="C859" s="41"/>
      <c r="D859" s="41"/>
      <c r="E859" s="41"/>
      <c r="F859" s="41"/>
      <c r="G859" s="41"/>
      <c r="H859" s="125"/>
      <c r="I859" s="41"/>
      <c r="J859" s="41"/>
      <c r="K859" s="41"/>
      <c r="L859" s="41"/>
      <c r="M859" s="41"/>
      <c r="N859" s="41"/>
      <c r="O859" s="122" t="str">
        <f t="shared" si="1"/>
        <v>#DIV/0!</v>
      </c>
      <c r="P859" s="123" t="str">
        <f t="shared" si="5"/>
        <v>#DIV/0!</v>
      </c>
      <c r="Q859" s="123" t="str">
        <f t="shared" si="2"/>
        <v>#DIV/0!</v>
      </c>
      <c r="R859" s="123" t="str">
        <f t="shared" si="6"/>
        <v>#DIV/0!</v>
      </c>
      <c r="S859" s="123" t="str">
        <f t="shared" si="3"/>
        <v>#DIV/0!</v>
      </c>
      <c r="T859" s="123" t="str">
        <f t="shared" si="4"/>
        <v>#DIV/0!</v>
      </c>
      <c r="U859" s="41"/>
      <c r="V859" s="41"/>
      <c r="W859" s="41"/>
      <c r="X859" s="41"/>
      <c r="Y859" s="41"/>
      <c r="Z859" s="41"/>
    </row>
    <row r="860">
      <c r="A860" s="41"/>
      <c r="B860" s="41"/>
      <c r="C860" s="41"/>
      <c r="D860" s="41"/>
      <c r="E860" s="41"/>
      <c r="F860" s="41"/>
      <c r="G860" s="41"/>
      <c r="H860" s="125"/>
      <c r="I860" s="41"/>
      <c r="J860" s="41"/>
      <c r="K860" s="41"/>
      <c r="L860" s="41"/>
      <c r="M860" s="41"/>
      <c r="N860" s="41"/>
      <c r="O860" s="122" t="str">
        <f t="shared" si="1"/>
        <v>#DIV/0!</v>
      </c>
      <c r="P860" s="123" t="str">
        <f t="shared" si="5"/>
        <v>#DIV/0!</v>
      </c>
      <c r="Q860" s="123" t="str">
        <f t="shared" si="2"/>
        <v>#DIV/0!</v>
      </c>
      <c r="R860" s="123" t="str">
        <f t="shared" si="6"/>
        <v>#DIV/0!</v>
      </c>
      <c r="S860" s="123" t="str">
        <f t="shared" si="3"/>
        <v>#DIV/0!</v>
      </c>
      <c r="T860" s="123" t="str">
        <f t="shared" si="4"/>
        <v>#DIV/0!</v>
      </c>
      <c r="U860" s="41"/>
      <c r="V860" s="41"/>
      <c r="W860" s="41"/>
      <c r="X860" s="41"/>
      <c r="Y860" s="41"/>
      <c r="Z860" s="41"/>
    </row>
    <row r="861">
      <c r="A861" s="41"/>
      <c r="B861" s="41"/>
      <c r="C861" s="41"/>
      <c r="D861" s="41"/>
      <c r="E861" s="41"/>
      <c r="F861" s="41"/>
      <c r="G861" s="41"/>
      <c r="H861" s="125"/>
      <c r="I861" s="41"/>
      <c r="J861" s="41"/>
      <c r="K861" s="41"/>
      <c r="L861" s="41"/>
      <c r="M861" s="41"/>
      <c r="N861" s="41"/>
      <c r="O861" s="122" t="str">
        <f t="shared" si="1"/>
        <v>#DIV/0!</v>
      </c>
      <c r="P861" s="123" t="str">
        <f t="shared" si="5"/>
        <v>#DIV/0!</v>
      </c>
      <c r="Q861" s="123" t="str">
        <f t="shared" si="2"/>
        <v>#DIV/0!</v>
      </c>
      <c r="R861" s="123" t="str">
        <f t="shared" si="6"/>
        <v>#DIV/0!</v>
      </c>
      <c r="S861" s="123" t="str">
        <f t="shared" si="3"/>
        <v>#DIV/0!</v>
      </c>
      <c r="T861" s="123" t="str">
        <f t="shared" si="4"/>
        <v>#DIV/0!</v>
      </c>
      <c r="U861" s="41"/>
      <c r="V861" s="41"/>
      <c r="W861" s="41"/>
      <c r="X861" s="41"/>
      <c r="Y861" s="41"/>
      <c r="Z861" s="41"/>
    </row>
    <row r="862">
      <c r="A862" s="41"/>
      <c r="B862" s="41"/>
      <c r="C862" s="41"/>
      <c r="D862" s="41"/>
      <c r="E862" s="41"/>
      <c r="F862" s="41"/>
      <c r="G862" s="41"/>
      <c r="H862" s="125"/>
      <c r="I862" s="41"/>
      <c r="J862" s="41"/>
      <c r="K862" s="41"/>
      <c r="L862" s="41"/>
      <c r="M862" s="41"/>
      <c r="N862" s="41"/>
      <c r="O862" s="122" t="str">
        <f t="shared" si="1"/>
        <v>#DIV/0!</v>
      </c>
      <c r="P862" s="123" t="str">
        <f t="shared" si="5"/>
        <v>#DIV/0!</v>
      </c>
      <c r="Q862" s="123" t="str">
        <f t="shared" si="2"/>
        <v>#DIV/0!</v>
      </c>
      <c r="R862" s="123" t="str">
        <f t="shared" si="6"/>
        <v>#DIV/0!</v>
      </c>
      <c r="S862" s="123" t="str">
        <f t="shared" si="3"/>
        <v>#DIV/0!</v>
      </c>
      <c r="T862" s="123" t="str">
        <f t="shared" si="4"/>
        <v>#DIV/0!</v>
      </c>
      <c r="U862" s="41"/>
      <c r="V862" s="41"/>
      <c r="W862" s="41"/>
      <c r="X862" s="41"/>
      <c r="Y862" s="41"/>
      <c r="Z862" s="41"/>
    </row>
    <row r="863">
      <c r="A863" s="41"/>
      <c r="B863" s="41"/>
      <c r="C863" s="41"/>
      <c r="D863" s="41"/>
      <c r="E863" s="41"/>
      <c r="F863" s="41"/>
      <c r="G863" s="41"/>
      <c r="H863" s="125"/>
      <c r="I863" s="41"/>
      <c r="J863" s="41"/>
      <c r="K863" s="41"/>
      <c r="L863" s="41"/>
      <c r="M863" s="41"/>
      <c r="N863" s="41"/>
      <c r="O863" s="122" t="str">
        <f t="shared" si="1"/>
        <v>#DIV/0!</v>
      </c>
      <c r="P863" s="123" t="str">
        <f t="shared" si="5"/>
        <v>#DIV/0!</v>
      </c>
      <c r="Q863" s="123" t="str">
        <f t="shared" si="2"/>
        <v>#DIV/0!</v>
      </c>
      <c r="R863" s="123" t="str">
        <f t="shared" si="6"/>
        <v>#DIV/0!</v>
      </c>
      <c r="S863" s="123" t="str">
        <f t="shared" si="3"/>
        <v>#DIV/0!</v>
      </c>
      <c r="T863" s="123" t="str">
        <f t="shared" si="4"/>
        <v>#DIV/0!</v>
      </c>
      <c r="U863" s="41"/>
      <c r="V863" s="41"/>
      <c r="W863" s="41"/>
      <c r="X863" s="41"/>
      <c r="Y863" s="41"/>
      <c r="Z863" s="41"/>
    </row>
    <row r="864">
      <c r="A864" s="41"/>
      <c r="B864" s="41"/>
      <c r="C864" s="41"/>
      <c r="D864" s="41"/>
      <c r="E864" s="41"/>
      <c r="F864" s="41"/>
      <c r="G864" s="41"/>
      <c r="H864" s="125"/>
      <c r="I864" s="41"/>
      <c r="J864" s="41"/>
      <c r="K864" s="41"/>
      <c r="L864" s="41"/>
      <c r="M864" s="41"/>
      <c r="N864" s="41"/>
      <c r="O864" s="122" t="str">
        <f t="shared" si="1"/>
        <v>#DIV/0!</v>
      </c>
      <c r="P864" s="123" t="str">
        <f t="shared" si="5"/>
        <v>#DIV/0!</v>
      </c>
      <c r="Q864" s="123" t="str">
        <f t="shared" si="2"/>
        <v>#DIV/0!</v>
      </c>
      <c r="R864" s="123" t="str">
        <f t="shared" si="6"/>
        <v>#DIV/0!</v>
      </c>
      <c r="S864" s="123" t="str">
        <f t="shared" si="3"/>
        <v>#DIV/0!</v>
      </c>
      <c r="T864" s="123" t="str">
        <f t="shared" si="4"/>
        <v>#DIV/0!</v>
      </c>
      <c r="U864" s="41"/>
      <c r="V864" s="41"/>
      <c r="W864" s="41"/>
      <c r="X864" s="41"/>
      <c r="Y864" s="41"/>
      <c r="Z864" s="41"/>
    </row>
    <row r="865">
      <c r="A865" s="41"/>
      <c r="B865" s="41"/>
      <c r="C865" s="41"/>
      <c r="D865" s="41"/>
      <c r="E865" s="41"/>
      <c r="F865" s="41"/>
      <c r="G865" s="41"/>
      <c r="H865" s="125"/>
      <c r="I865" s="41"/>
      <c r="J865" s="41"/>
      <c r="K865" s="41"/>
      <c r="L865" s="41"/>
      <c r="M865" s="41"/>
      <c r="N865" s="41"/>
      <c r="O865" s="122" t="str">
        <f t="shared" si="1"/>
        <v>#DIV/0!</v>
      </c>
      <c r="P865" s="123" t="str">
        <f t="shared" si="5"/>
        <v>#DIV/0!</v>
      </c>
      <c r="Q865" s="123" t="str">
        <f t="shared" si="2"/>
        <v>#DIV/0!</v>
      </c>
      <c r="R865" s="123" t="str">
        <f t="shared" si="6"/>
        <v>#DIV/0!</v>
      </c>
      <c r="S865" s="123" t="str">
        <f t="shared" si="3"/>
        <v>#DIV/0!</v>
      </c>
      <c r="T865" s="123" t="str">
        <f t="shared" si="4"/>
        <v>#DIV/0!</v>
      </c>
      <c r="U865" s="41"/>
      <c r="V865" s="41"/>
      <c r="W865" s="41"/>
      <c r="X865" s="41"/>
      <c r="Y865" s="41"/>
      <c r="Z865" s="41"/>
    </row>
    <row r="866">
      <c r="A866" s="41"/>
      <c r="B866" s="41"/>
      <c r="C866" s="41"/>
      <c r="D866" s="41"/>
      <c r="E866" s="41"/>
      <c r="F866" s="41"/>
      <c r="G866" s="41"/>
      <c r="H866" s="125"/>
      <c r="I866" s="41"/>
      <c r="J866" s="41"/>
      <c r="K866" s="41"/>
      <c r="L866" s="41"/>
      <c r="M866" s="41"/>
      <c r="N866" s="41"/>
      <c r="O866" s="122" t="str">
        <f t="shared" si="1"/>
        <v>#DIV/0!</v>
      </c>
      <c r="P866" s="123" t="str">
        <f t="shared" si="5"/>
        <v>#DIV/0!</v>
      </c>
      <c r="Q866" s="123" t="str">
        <f t="shared" si="2"/>
        <v>#DIV/0!</v>
      </c>
      <c r="R866" s="123" t="str">
        <f t="shared" si="6"/>
        <v>#DIV/0!</v>
      </c>
      <c r="S866" s="123" t="str">
        <f t="shared" si="3"/>
        <v>#DIV/0!</v>
      </c>
      <c r="T866" s="123" t="str">
        <f t="shared" si="4"/>
        <v>#DIV/0!</v>
      </c>
      <c r="U866" s="41"/>
      <c r="V866" s="41"/>
      <c r="W866" s="41"/>
      <c r="X866" s="41"/>
      <c r="Y866" s="41"/>
      <c r="Z866" s="41"/>
    </row>
    <row r="867">
      <c r="A867" s="41"/>
      <c r="B867" s="41"/>
      <c r="C867" s="41"/>
      <c r="D867" s="41"/>
      <c r="E867" s="41"/>
      <c r="F867" s="41"/>
      <c r="G867" s="41"/>
      <c r="H867" s="125"/>
      <c r="I867" s="41"/>
      <c r="J867" s="41"/>
      <c r="K867" s="41"/>
      <c r="L867" s="41"/>
      <c r="M867" s="41"/>
      <c r="N867" s="41"/>
      <c r="O867" s="122" t="str">
        <f t="shared" si="1"/>
        <v>#DIV/0!</v>
      </c>
      <c r="P867" s="123" t="str">
        <f t="shared" si="5"/>
        <v>#DIV/0!</v>
      </c>
      <c r="Q867" s="123" t="str">
        <f t="shared" si="2"/>
        <v>#DIV/0!</v>
      </c>
      <c r="R867" s="123" t="str">
        <f t="shared" si="6"/>
        <v>#DIV/0!</v>
      </c>
      <c r="S867" s="123" t="str">
        <f t="shared" si="3"/>
        <v>#DIV/0!</v>
      </c>
      <c r="T867" s="123" t="str">
        <f t="shared" si="4"/>
        <v>#DIV/0!</v>
      </c>
      <c r="U867" s="41"/>
      <c r="V867" s="41"/>
      <c r="W867" s="41"/>
      <c r="X867" s="41"/>
      <c r="Y867" s="41"/>
      <c r="Z867" s="41"/>
    </row>
    <row r="868">
      <c r="A868" s="41"/>
      <c r="B868" s="41"/>
      <c r="C868" s="41"/>
      <c r="D868" s="41"/>
      <c r="E868" s="41"/>
      <c r="F868" s="41"/>
      <c r="G868" s="41"/>
      <c r="H868" s="125"/>
      <c r="I868" s="41"/>
      <c r="J868" s="41"/>
      <c r="K868" s="41"/>
      <c r="L868" s="41"/>
      <c r="M868" s="41"/>
      <c r="N868" s="41"/>
      <c r="O868" s="122" t="str">
        <f t="shared" si="1"/>
        <v>#DIV/0!</v>
      </c>
      <c r="P868" s="123" t="str">
        <f t="shared" si="5"/>
        <v>#DIV/0!</v>
      </c>
      <c r="Q868" s="123" t="str">
        <f t="shared" si="2"/>
        <v>#DIV/0!</v>
      </c>
      <c r="R868" s="123" t="str">
        <f t="shared" si="6"/>
        <v>#DIV/0!</v>
      </c>
      <c r="S868" s="123" t="str">
        <f t="shared" si="3"/>
        <v>#DIV/0!</v>
      </c>
      <c r="T868" s="123" t="str">
        <f t="shared" si="4"/>
        <v>#DIV/0!</v>
      </c>
      <c r="U868" s="41"/>
      <c r="V868" s="41"/>
      <c r="W868" s="41"/>
      <c r="X868" s="41"/>
      <c r="Y868" s="41"/>
      <c r="Z868" s="41"/>
    </row>
    <row r="869">
      <c r="A869" s="41"/>
      <c r="B869" s="41"/>
      <c r="C869" s="41"/>
      <c r="D869" s="41"/>
      <c r="E869" s="41"/>
      <c r="F869" s="41"/>
      <c r="G869" s="41"/>
      <c r="H869" s="125"/>
      <c r="I869" s="41"/>
      <c r="J869" s="41"/>
      <c r="K869" s="41"/>
      <c r="L869" s="41"/>
      <c r="M869" s="41"/>
      <c r="N869" s="41"/>
      <c r="O869" s="122" t="str">
        <f t="shared" si="1"/>
        <v>#DIV/0!</v>
      </c>
      <c r="P869" s="123" t="str">
        <f t="shared" si="5"/>
        <v>#DIV/0!</v>
      </c>
      <c r="Q869" s="123" t="str">
        <f t="shared" si="2"/>
        <v>#DIV/0!</v>
      </c>
      <c r="R869" s="123" t="str">
        <f t="shared" si="6"/>
        <v>#DIV/0!</v>
      </c>
      <c r="S869" s="123" t="str">
        <f t="shared" si="3"/>
        <v>#DIV/0!</v>
      </c>
      <c r="T869" s="123" t="str">
        <f t="shared" si="4"/>
        <v>#DIV/0!</v>
      </c>
      <c r="U869" s="41"/>
      <c r="V869" s="41"/>
      <c r="W869" s="41"/>
      <c r="X869" s="41"/>
      <c r="Y869" s="41"/>
      <c r="Z869" s="41"/>
    </row>
    <row r="870">
      <c r="A870" s="41"/>
      <c r="B870" s="41"/>
      <c r="C870" s="41"/>
      <c r="D870" s="41"/>
      <c r="E870" s="41"/>
      <c r="F870" s="41"/>
      <c r="G870" s="41"/>
      <c r="H870" s="125"/>
      <c r="I870" s="41"/>
      <c r="J870" s="41"/>
      <c r="K870" s="41"/>
      <c r="L870" s="41"/>
      <c r="M870" s="41"/>
      <c r="N870" s="41"/>
      <c r="O870" s="122" t="str">
        <f t="shared" si="1"/>
        <v>#DIV/0!</v>
      </c>
      <c r="P870" s="123" t="str">
        <f t="shared" si="5"/>
        <v>#DIV/0!</v>
      </c>
      <c r="Q870" s="123" t="str">
        <f t="shared" si="2"/>
        <v>#DIV/0!</v>
      </c>
      <c r="R870" s="123" t="str">
        <f t="shared" si="6"/>
        <v>#DIV/0!</v>
      </c>
      <c r="S870" s="123" t="str">
        <f t="shared" si="3"/>
        <v>#DIV/0!</v>
      </c>
      <c r="T870" s="123" t="str">
        <f t="shared" si="4"/>
        <v>#DIV/0!</v>
      </c>
      <c r="U870" s="41"/>
      <c r="V870" s="41"/>
      <c r="W870" s="41"/>
      <c r="X870" s="41"/>
      <c r="Y870" s="41"/>
      <c r="Z870" s="41"/>
    </row>
    <row r="871">
      <c r="A871" s="41"/>
      <c r="B871" s="41"/>
      <c r="C871" s="41"/>
      <c r="D871" s="41"/>
      <c r="E871" s="41"/>
      <c r="F871" s="41"/>
      <c r="G871" s="41"/>
      <c r="H871" s="125"/>
      <c r="I871" s="41"/>
      <c r="J871" s="41"/>
      <c r="K871" s="41"/>
      <c r="L871" s="41"/>
      <c r="M871" s="41"/>
      <c r="N871" s="41"/>
      <c r="O871" s="122" t="str">
        <f t="shared" si="1"/>
        <v>#DIV/0!</v>
      </c>
      <c r="P871" s="123" t="str">
        <f t="shared" si="5"/>
        <v>#DIV/0!</v>
      </c>
      <c r="Q871" s="123" t="str">
        <f t="shared" si="2"/>
        <v>#DIV/0!</v>
      </c>
      <c r="R871" s="123" t="str">
        <f t="shared" si="6"/>
        <v>#DIV/0!</v>
      </c>
      <c r="S871" s="123" t="str">
        <f t="shared" si="3"/>
        <v>#DIV/0!</v>
      </c>
      <c r="T871" s="123" t="str">
        <f t="shared" si="4"/>
        <v>#DIV/0!</v>
      </c>
      <c r="U871" s="41"/>
      <c r="V871" s="41"/>
      <c r="W871" s="41"/>
      <c r="X871" s="41"/>
      <c r="Y871" s="41"/>
      <c r="Z871" s="41"/>
    </row>
    <row r="872">
      <c r="A872" s="41"/>
      <c r="B872" s="41"/>
      <c r="C872" s="41"/>
      <c r="D872" s="41"/>
      <c r="E872" s="41"/>
      <c r="F872" s="41"/>
      <c r="G872" s="41"/>
      <c r="H872" s="125"/>
      <c r="I872" s="41"/>
      <c r="J872" s="41"/>
      <c r="K872" s="41"/>
      <c r="L872" s="41"/>
      <c r="M872" s="41"/>
      <c r="N872" s="41"/>
      <c r="O872" s="122" t="str">
        <f t="shared" si="1"/>
        <v>#DIV/0!</v>
      </c>
      <c r="P872" s="123" t="str">
        <f t="shared" si="5"/>
        <v>#DIV/0!</v>
      </c>
      <c r="Q872" s="123" t="str">
        <f t="shared" si="2"/>
        <v>#DIV/0!</v>
      </c>
      <c r="R872" s="123" t="str">
        <f t="shared" si="6"/>
        <v>#DIV/0!</v>
      </c>
      <c r="S872" s="123" t="str">
        <f t="shared" si="3"/>
        <v>#DIV/0!</v>
      </c>
      <c r="T872" s="123" t="str">
        <f t="shared" si="4"/>
        <v>#DIV/0!</v>
      </c>
      <c r="U872" s="41"/>
      <c r="V872" s="41"/>
      <c r="W872" s="41"/>
      <c r="X872" s="41"/>
      <c r="Y872" s="41"/>
      <c r="Z872" s="41"/>
    </row>
    <row r="873">
      <c r="A873" s="41"/>
      <c r="B873" s="41"/>
      <c r="C873" s="41"/>
      <c r="D873" s="41"/>
      <c r="E873" s="41"/>
      <c r="F873" s="41"/>
      <c r="G873" s="41"/>
      <c r="H873" s="125"/>
      <c r="I873" s="41"/>
      <c r="J873" s="41"/>
      <c r="K873" s="41"/>
      <c r="L873" s="41"/>
      <c r="M873" s="41"/>
      <c r="N873" s="41"/>
      <c r="O873" s="122" t="str">
        <f t="shared" si="1"/>
        <v>#DIV/0!</v>
      </c>
      <c r="P873" s="123" t="str">
        <f t="shared" si="5"/>
        <v>#DIV/0!</v>
      </c>
      <c r="Q873" s="123" t="str">
        <f t="shared" si="2"/>
        <v>#DIV/0!</v>
      </c>
      <c r="R873" s="123" t="str">
        <f t="shared" si="6"/>
        <v>#DIV/0!</v>
      </c>
      <c r="S873" s="123" t="str">
        <f t="shared" si="3"/>
        <v>#DIV/0!</v>
      </c>
      <c r="T873" s="123" t="str">
        <f t="shared" si="4"/>
        <v>#DIV/0!</v>
      </c>
      <c r="U873" s="41"/>
      <c r="V873" s="41"/>
      <c r="W873" s="41"/>
      <c r="X873" s="41"/>
      <c r="Y873" s="41"/>
      <c r="Z873" s="41"/>
    </row>
    <row r="874">
      <c r="A874" s="41"/>
      <c r="B874" s="41"/>
      <c r="C874" s="41"/>
      <c r="D874" s="41"/>
      <c r="E874" s="41"/>
      <c r="F874" s="41"/>
      <c r="G874" s="41"/>
      <c r="H874" s="125"/>
      <c r="I874" s="41"/>
      <c r="J874" s="41"/>
      <c r="K874" s="41"/>
      <c r="L874" s="41"/>
      <c r="M874" s="41"/>
      <c r="N874" s="41"/>
      <c r="O874" s="122" t="str">
        <f t="shared" si="1"/>
        <v>#DIV/0!</v>
      </c>
      <c r="P874" s="123" t="str">
        <f t="shared" si="5"/>
        <v>#DIV/0!</v>
      </c>
      <c r="Q874" s="123" t="str">
        <f t="shared" si="2"/>
        <v>#DIV/0!</v>
      </c>
      <c r="R874" s="123" t="str">
        <f t="shared" si="6"/>
        <v>#DIV/0!</v>
      </c>
      <c r="S874" s="123" t="str">
        <f t="shared" si="3"/>
        <v>#DIV/0!</v>
      </c>
      <c r="T874" s="123" t="str">
        <f t="shared" si="4"/>
        <v>#DIV/0!</v>
      </c>
      <c r="U874" s="41"/>
      <c r="V874" s="41"/>
      <c r="W874" s="41"/>
      <c r="X874" s="41"/>
      <c r="Y874" s="41"/>
      <c r="Z874" s="41"/>
    </row>
    <row r="875">
      <c r="A875" s="41"/>
      <c r="B875" s="41"/>
      <c r="C875" s="41"/>
      <c r="D875" s="41"/>
      <c r="E875" s="41"/>
      <c r="F875" s="41"/>
      <c r="G875" s="41"/>
      <c r="H875" s="125"/>
      <c r="I875" s="41"/>
      <c r="J875" s="41"/>
      <c r="K875" s="41"/>
      <c r="L875" s="41"/>
      <c r="M875" s="41"/>
      <c r="N875" s="41"/>
      <c r="O875" s="122" t="str">
        <f t="shared" si="1"/>
        <v>#DIV/0!</v>
      </c>
      <c r="P875" s="123" t="str">
        <f t="shared" si="5"/>
        <v>#DIV/0!</v>
      </c>
      <c r="Q875" s="123" t="str">
        <f t="shared" si="2"/>
        <v>#DIV/0!</v>
      </c>
      <c r="R875" s="123" t="str">
        <f t="shared" si="6"/>
        <v>#DIV/0!</v>
      </c>
      <c r="S875" s="123" t="str">
        <f t="shared" si="3"/>
        <v>#DIV/0!</v>
      </c>
      <c r="T875" s="123" t="str">
        <f t="shared" si="4"/>
        <v>#DIV/0!</v>
      </c>
      <c r="U875" s="41"/>
      <c r="V875" s="41"/>
      <c r="W875" s="41"/>
      <c r="X875" s="41"/>
      <c r="Y875" s="41"/>
      <c r="Z875" s="41"/>
    </row>
    <row r="876">
      <c r="A876" s="41"/>
      <c r="B876" s="41"/>
      <c r="C876" s="41"/>
      <c r="D876" s="41"/>
      <c r="E876" s="41"/>
      <c r="F876" s="41"/>
      <c r="G876" s="41"/>
      <c r="H876" s="125"/>
      <c r="I876" s="41"/>
      <c r="J876" s="41"/>
      <c r="K876" s="41"/>
      <c r="L876" s="41"/>
      <c r="M876" s="41"/>
      <c r="N876" s="41"/>
      <c r="O876" s="122" t="str">
        <f t="shared" si="1"/>
        <v>#DIV/0!</v>
      </c>
      <c r="P876" s="123" t="str">
        <f t="shared" si="5"/>
        <v>#DIV/0!</v>
      </c>
      <c r="Q876" s="123" t="str">
        <f t="shared" si="2"/>
        <v>#DIV/0!</v>
      </c>
      <c r="R876" s="123" t="str">
        <f t="shared" si="6"/>
        <v>#DIV/0!</v>
      </c>
      <c r="S876" s="123" t="str">
        <f t="shared" si="3"/>
        <v>#DIV/0!</v>
      </c>
      <c r="T876" s="123" t="str">
        <f t="shared" si="4"/>
        <v>#DIV/0!</v>
      </c>
      <c r="U876" s="41"/>
      <c r="V876" s="41"/>
      <c r="W876" s="41"/>
      <c r="X876" s="41"/>
      <c r="Y876" s="41"/>
      <c r="Z876" s="41"/>
    </row>
    <row r="877">
      <c r="A877" s="41"/>
      <c r="B877" s="41"/>
      <c r="C877" s="41"/>
      <c r="D877" s="41"/>
      <c r="E877" s="41"/>
      <c r="F877" s="41"/>
      <c r="G877" s="41"/>
      <c r="H877" s="125"/>
      <c r="I877" s="41"/>
      <c r="J877" s="41"/>
      <c r="K877" s="41"/>
      <c r="L877" s="41"/>
      <c r="M877" s="41"/>
      <c r="N877" s="41"/>
      <c r="O877" s="122" t="str">
        <f t="shared" si="1"/>
        <v>#DIV/0!</v>
      </c>
      <c r="P877" s="123" t="str">
        <f t="shared" si="5"/>
        <v>#DIV/0!</v>
      </c>
      <c r="Q877" s="123" t="str">
        <f t="shared" si="2"/>
        <v>#DIV/0!</v>
      </c>
      <c r="R877" s="123" t="str">
        <f t="shared" si="6"/>
        <v>#DIV/0!</v>
      </c>
      <c r="S877" s="123" t="str">
        <f t="shared" si="3"/>
        <v>#DIV/0!</v>
      </c>
      <c r="T877" s="123" t="str">
        <f t="shared" si="4"/>
        <v>#DIV/0!</v>
      </c>
      <c r="U877" s="41"/>
      <c r="V877" s="41"/>
      <c r="W877" s="41"/>
      <c r="X877" s="41"/>
      <c r="Y877" s="41"/>
      <c r="Z877" s="41"/>
    </row>
    <row r="878">
      <c r="A878" s="41"/>
      <c r="B878" s="41"/>
      <c r="C878" s="41"/>
      <c r="D878" s="41"/>
      <c r="E878" s="41"/>
      <c r="F878" s="41"/>
      <c r="G878" s="41"/>
      <c r="H878" s="125"/>
      <c r="I878" s="41"/>
      <c r="J878" s="41"/>
      <c r="K878" s="41"/>
      <c r="L878" s="41"/>
      <c r="M878" s="41"/>
      <c r="N878" s="41"/>
      <c r="O878" s="122" t="str">
        <f t="shared" si="1"/>
        <v>#DIV/0!</v>
      </c>
      <c r="P878" s="123" t="str">
        <f t="shared" si="5"/>
        <v>#DIV/0!</v>
      </c>
      <c r="Q878" s="123" t="str">
        <f t="shared" si="2"/>
        <v>#DIV/0!</v>
      </c>
      <c r="R878" s="123" t="str">
        <f t="shared" si="6"/>
        <v>#DIV/0!</v>
      </c>
      <c r="S878" s="123" t="str">
        <f t="shared" si="3"/>
        <v>#DIV/0!</v>
      </c>
      <c r="T878" s="123" t="str">
        <f t="shared" si="4"/>
        <v>#DIV/0!</v>
      </c>
      <c r="U878" s="41"/>
      <c r="V878" s="41"/>
      <c r="W878" s="41"/>
      <c r="X878" s="41"/>
      <c r="Y878" s="41"/>
      <c r="Z878" s="41"/>
    </row>
    <row r="879">
      <c r="A879" s="41"/>
      <c r="B879" s="41"/>
      <c r="C879" s="41"/>
      <c r="D879" s="41"/>
      <c r="E879" s="41"/>
      <c r="F879" s="41"/>
      <c r="G879" s="41"/>
      <c r="H879" s="125"/>
      <c r="I879" s="41"/>
      <c r="J879" s="41"/>
      <c r="K879" s="41"/>
      <c r="L879" s="41"/>
      <c r="M879" s="41"/>
      <c r="N879" s="41"/>
      <c r="O879" s="122" t="str">
        <f t="shared" si="1"/>
        <v>#DIV/0!</v>
      </c>
      <c r="P879" s="123" t="str">
        <f t="shared" si="5"/>
        <v>#DIV/0!</v>
      </c>
      <c r="Q879" s="123" t="str">
        <f t="shared" si="2"/>
        <v>#DIV/0!</v>
      </c>
      <c r="R879" s="123" t="str">
        <f t="shared" si="6"/>
        <v>#DIV/0!</v>
      </c>
      <c r="S879" s="123" t="str">
        <f t="shared" si="3"/>
        <v>#DIV/0!</v>
      </c>
      <c r="T879" s="123" t="str">
        <f t="shared" si="4"/>
        <v>#DIV/0!</v>
      </c>
      <c r="U879" s="41"/>
      <c r="V879" s="41"/>
      <c r="W879" s="41"/>
      <c r="X879" s="41"/>
      <c r="Y879" s="41"/>
      <c r="Z879" s="41"/>
    </row>
    <row r="880">
      <c r="A880" s="41"/>
      <c r="B880" s="41"/>
      <c r="C880" s="41"/>
      <c r="D880" s="41"/>
      <c r="E880" s="41"/>
      <c r="F880" s="41"/>
      <c r="G880" s="41"/>
      <c r="H880" s="125"/>
      <c r="I880" s="41"/>
      <c r="J880" s="41"/>
      <c r="K880" s="41"/>
      <c r="L880" s="41"/>
      <c r="M880" s="41"/>
      <c r="N880" s="41"/>
      <c r="O880" s="122" t="str">
        <f t="shared" si="1"/>
        <v>#DIV/0!</v>
      </c>
      <c r="P880" s="123" t="str">
        <f t="shared" si="5"/>
        <v>#DIV/0!</v>
      </c>
      <c r="Q880" s="123" t="str">
        <f t="shared" si="2"/>
        <v>#DIV/0!</v>
      </c>
      <c r="R880" s="123" t="str">
        <f t="shared" si="6"/>
        <v>#DIV/0!</v>
      </c>
      <c r="S880" s="123" t="str">
        <f t="shared" si="3"/>
        <v>#DIV/0!</v>
      </c>
      <c r="T880" s="123" t="str">
        <f t="shared" si="4"/>
        <v>#DIV/0!</v>
      </c>
      <c r="U880" s="41"/>
      <c r="V880" s="41"/>
      <c r="W880" s="41"/>
      <c r="X880" s="41"/>
      <c r="Y880" s="41"/>
      <c r="Z880" s="41"/>
    </row>
    <row r="881">
      <c r="A881" s="41"/>
      <c r="B881" s="41"/>
      <c r="C881" s="41"/>
      <c r="D881" s="41"/>
      <c r="E881" s="41"/>
      <c r="F881" s="41"/>
      <c r="G881" s="41"/>
      <c r="H881" s="125"/>
      <c r="I881" s="41"/>
      <c r="J881" s="41"/>
      <c r="K881" s="41"/>
      <c r="L881" s="41"/>
      <c r="M881" s="41"/>
      <c r="N881" s="41"/>
      <c r="O881" s="122" t="str">
        <f t="shared" si="1"/>
        <v>#DIV/0!</v>
      </c>
      <c r="P881" s="123" t="str">
        <f t="shared" si="5"/>
        <v>#DIV/0!</v>
      </c>
      <c r="Q881" s="123" t="str">
        <f t="shared" si="2"/>
        <v>#DIV/0!</v>
      </c>
      <c r="R881" s="123" t="str">
        <f t="shared" si="6"/>
        <v>#DIV/0!</v>
      </c>
      <c r="S881" s="123" t="str">
        <f t="shared" si="3"/>
        <v>#DIV/0!</v>
      </c>
      <c r="T881" s="123" t="str">
        <f t="shared" si="4"/>
        <v>#DIV/0!</v>
      </c>
      <c r="U881" s="41"/>
      <c r="V881" s="41"/>
      <c r="W881" s="41"/>
      <c r="X881" s="41"/>
      <c r="Y881" s="41"/>
      <c r="Z881" s="41"/>
    </row>
    <row r="882">
      <c r="A882" s="41"/>
      <c r="B882" s="41"/>
      <c r="C882" s="41"/>
      <c r="D882" s="41"/>
      <c r="E882" s="41"/>
      <c r="F882" s="41"/>
      <c r="G882" s="41"/>
      <c r="H882" s="125"/>
      <c r="I882" s="41"/>
      <c r="J882" s="41"/>
      <c r="K882" s="41"/>
      <c r="L882" s="41"/>
      <c r="M882" s="41"/>
      <c r="N882" s="41"/>
      <c r="O882" s="122" t="str">
        <f t="shared" si="1"/>
        <v>#DIV/0!</v>
      </c>
      <c r="P882" s="123" t="str">
        <f t="shared" si="5"/>
        <v>#DIV/0!</v>
      </c>
      <c r="Q882" s="123" t="str">
        <f t="shared" si="2"/>
        <v>#DIV/0!</v>
      </c>
      <c r="R882" s="123" t="str">
        <f t="shared" si="6"/>
        <v>#DIV/0!</v>
      </c>
      <c r="S882" s="123" t="str">
        <f t="shared" si="3"/>
        <v>#DIV/0!</v>
      </c>
      <c r="T882" s="123" t="str">
        <f t="shared" si="4"/>
        <v>#DIV/0!</v>
      </c>
      <c r="U882" s="41"/>
      <c r="V882" s="41"/>
      <c r="W882" s="41"/>
      <c r="X882" s="41"/>
      <c r="Y882" s="41"/>
      <c r="Z882" s="41"/>
    </row>
    <row r="883">
      <c r="A883" s="41"/>
      <c r="B883" s="41"/>
      <c r="C883" s="41"/>
      <c r="D883" s="41"/>
      <c r="E883" s="41"/>
      <c r="F883" s="41"/>
      <c r="G883" s="41"/>
      <c r="H883" s="125"/>
      <c r="I883" s="41"/>
      <c r="J883" s="41"/>
      <c r="K883" s="41"/>
      <c r="L883" s="41"/>
      <c r="M883" s="41"/>
      <c r="N883" s="41"/>
      <c r="O883" s="122" t="str">
        <f t="shared" si="1"/>
        <v>#DIV/0!</v>
      </c>
      <c r="P883" s="123" t="str">
        <f t="shared" si="5"/>
        <v>#DIV/0!</v>
      </c>
      <c r="Q883" s="123" t="str">
        <f t="shared" si="2"/>
        <v>#DIV/0!</v>
      </c>
      <c r="R883" s="123" t="str">
        <f t="shared" si="6"/>
        <v>#DIV/0!</v>
      </c>
      <c r="S883" s="123" t="str">
        <f t="shared" si="3"/>
        <v>#DIV/0!</v>
      </c>
      <c r="T883" s="123" t="str">
        <f t="shared" si="4"/>
        <v>#DIV/0!</v>
      </c>
      <c r="U883" s="41"/>
      <c r="V883" s="41"/>
      <c r="W883" s="41"/>
      <c r="X883" s="41"/>
      <c r="Y883" s="41"/>
      <c r="Z883" s="41"/>
    </row>
    <row r="884">
      <c r="A884" s="41"/>
      <c r="B884" s="41"/>
      <c r="C884" s="41"/>
      <c r="D884" s="41"/>
      <c r="E884" s="41"/>
      <c r="F884" s="41"/>
      <c r="G884" s="41"/>
      <c r="H884" s="125"/>
      <c r="I884" s="41"/>
      <c r="J884" s="41"/>
      <c r="K884" s="41"/>
      <c r="L884" s="41"/>
      <c r="M884" s="41"/>
      <c r="N884" s="41"/>
      <c r="O884" s="122" t="str">
        <f t="shared" si="1"/>
        <v>#DIV/0!</v>
      </c>
      <c r="P884" s="123" t="str">
        <f t="shared" si="5"/>
        <v>#DIV/0!</v>
      </c>
      <c r="Q884" s="123" t="str">
        <f t="shared" si="2"/>
        <v>#DIV/0!</v>
      </c>
      <c r="R884" s="123" t="str">
        <f t="shared" si="6"/>
        <v>#DIV/0!</v>
      </c>
      <c r="S884" s="123" t="str">
        <f t="shared" si="3"/>
        <v>#DIV/0!</v>
      </c>
      <c r="T884" s="123" t="str">
        <f t="shared" si="4"/>
        <v>#DIV/0!</v>
      </c>
      <c r="U884" s="41"/>
      <c r="V884" s="41"/>
      <c r="W884" s="41"/>
      <c r="X884" s="41"/>
      <c r="Y884" s="41"/>
      <c r="Z884" s="41"/>
    </row>
    <row r="885">
      <c r="A885" s="41"/>
      <c r="B885" s="41"/>
      <c r="C885" s="41"/>
      <c r="D885" s="41"/>
      <c r="E885" s="41"/>
      <c r="F885" s="41"/>
      <c r="G885" s="41"/>
      <c r="H885" s="125"/>
      <c r="I885" s="41"/>
      <c r="J885" s="41"/>
      <c r="K885" s="41"/>
      <c r="L885" s="41"/>
      <c r="M885" s="41"/>
      <c r="N885" s="41"/>
      <c r="O885" s="122" t="str">
        <f t="shared" si="1"/>
        <v>#DIV/0!</v>
      </c>
      <c r="P885" s="123" t="str">
        <f t="shared" si="5"/>
        <v>#DIV/0!</v>
      </c>
      <c r="Q885" s="123" t="str">
        <f t="shared" si="2"/>
        <v>#DIV/0!</v>
      </c>
      <c r="R885" s="123" t="str">
        <f t="shared" si="6"/>
        <v>#DIV/0!</v>
      </c>
      <c r="S885" s="123" t="str">
        <f t="shared" si="3"/>
        <v>#DIV/0!</v>
      </c>
      <c r="T885" s="123" t="str">
        <f t="shared" si="4"/>
        <v>#DIV/0!</v>
      </c>
      <c r="U885" s="41"/>
      <c r="V885" s="41"/>
      <c r="W885" s="41"/>
      <c r="X885" s="41"/>
      <c r="Y885" s="41"/>
      <c r="Z885" s="41"/>
    </row>
    <row r="886">
      <c r="A886" s="41"/>
      <c r="B886" s="41"/>
      <c r="C886" s="41"/>
      <c r="D886" s="41"/>
      <c r="E886" s="41"/>
      <c r="F886" s="41"/>
      <c r="G886" s="41"/>
      <c r="H886" s="125"/>
      <c r="I886" s="41"/>
      <c r="J886" s="41"/>
      <c r="K886" s="41"/>
      <c r="L886" s="41"/>
      <c r="M886" s="41"/>
      <c r="N886" s="41"/>
      <c r="O886" s="122" t="str">
        <f t="shared" si="1"/>
        <v>#DIV/0!</v>
      </c>
      <c r="P886" s="123" t="str">
        <f t="shared" si="5"/>
        <v>#DIV/0!</v>
      </c>
      <c r="Q886" s="123" t="str">
        <f t="shared" si="2"/>
        <v>#DIV/0!</v>
      </c>
      <c r="R886" s="123" t="str">
        <f t="shared" si="6"/>
        <v>#DIV/0!</v>
      </c>
      <c r="S886" s="123" t="str">
        <f t="shared" si="3"/>
        <v>#DIV/0!</v>
      </c>
      <c r="T886" s="123" t="str">
        <f t="shared" si="4"/>
        <v>#DIV/0!</v>
      </c>
      <c r="U886" s="41"/>
      <c r="V886" s="41"/>
      <c r="W886" s="41"/>
      <c r="X886" s="41"/>
      <c r="Y886" s="41"/>
      <c r="Z886" s="41"/>
    </row>
    <row r="887">
      <c r="A887" s="41"/>
      <c r="B887" s="41"/>
      <c r="C887" s="41"/>
      <c r="D887" s="41"/>
      <c r="E887" s="41"/>
      <c r="F887" s="41"/>
      <c r="G887" s="41"/>
      <c r="H887" s="125"/>
      <c r="I887" s="41"/>
      <c r="J887" s="41"/>
      <c r="K887" s="41"/>
      <c r="L887" s="41"/>
      <c r="M887" s="41"/>
      <c r="N887" s="41"/>
      <c r="O887" s="122" t="str">
        <f t="shared" si="1"/>
        <v>#DIV/0!</v>
      </c>
      <c r="P887" s="123" t="str">
        <f t="shared" si="5"/>
        <v>#DIV/0!</v>
      </c>
      <c r="Q887" s="123" t="str">
        <f t="shared" si="2"/>
        <v>#DIV/0!</v>
      </c>
      <c r="R887" s="123" t="str">
        <f t="shared" si="6"/>
        <v>#DIV/0!</v>
      </c>
      <c r="S887" s="123" t="str">
        <f t="shared" si="3"/>
        <v>#DIV/0!</v>
      </c>
      <c r="T887" s="123" t="str">
        <f t="shared" si="4"/>
        <v>#DIV/0!</v>
      </c>
      <c r="U887" s="41"/>
      <c r="V887" s="41"/>
      <c r="W887" s="41"/>
      <c r="X887" s="41"/>
      <c r="Y887" s="41"/>
      <c r="Z887" s="41"/>
    </row>
    <row r="888">
      <c r="A888" s="41"/>
      <c r="B888" s="41"/>
      <c r="C888" s="41"/>
      <c r="D888" s="41"/>
      <c r="E888" s="41"/>
      <c r="F888" s="41"/>
      <c r="G888" s="41"/>
      <c r="H888" s="125"/>
      <c r="I888" s="41"/>
      <c r="J888" s="41"/>
      <c r="K888" s="41"/>
      <c r="L888" s="41"/>
      <c r="M888" s="41"/>
      <c r="N888" s="41"/>
      <c r="O888" s="122" t="str">
        <f t="shared" si="1"/>
        <v>#DIV/0!</v>
      </c>
      <c r="P888" s="123" t="str">
        <f t="shared" si="5"/>
        <v>#DIV/0!</v>
      </c>
      <c r="Q888" s="123" t="str">
        <f t="shared" si="2"/>
        <v>#DIV/0!</v>
      </c>
      <c r="R888" s="123" t="str">
        <f t="shared" si="6"/>
        <v>#DIV/0!</v>
      </c>
      <c r="S888" s="123" t="str">
        <f t="shared" si="3"/>
        <v>#DIV/0!</v>
      </c>
      <c r="T888" s="123" t="str">
        <f t="shared" si="4"/>
        <v>#DIV/0!</v>
      </c>
      <c r="U888" s="41"/>
      <c r="V888" s="41"/>
      <c r="W888" s="41"/>
      <c r="X888" s="41"/>
      <c r="Y888" s="41"/>
      <c r="Z888" s="41"/>
    </row>
    <row r="889">
      <c r="A889" s="41"/>
      <c r="B889" s="41"/>
      <c r="C889" s="41"/>
      <c r="D889" s="41"/>
      <c r="E889" s="41"/>
      <c r="F889" s="41"/>
      <c r="G889" s="41"/>
      <c r="H889" s="125"/>
      <c r="I889" s="41"/>
      <c r="J889" s="41"/>
      <c r="K889" s="41"/>
      <c r="L889" s="41"/>
      <c r="M889" s="41"/>
      <c r="N889" s="41"/>
      <c r="O889" s="122" t="str">
        <f t="shared" si="1"/>
        <v>#DIV/0!</v>
      </c>
      <c r="P889" s="123" t="str">
        <f t="shared" si="5"/>
        <v>#DIV/0!</v>
      </c>
      <c r="Q889" s="123" t="str">
        <f t="shared" si="2"/>
        <v>#DIV/0!</v>
      </c>
      <c r="R889" s="123" t="str">
        <f t="shared" si="6"/>
        <v>#DIV/0!</v>
      </c>
      <c r="S889" s="123" t="str">
        <f t="shared" si="3"/>
        <v>#DIV/0!</v>
      </c>
      <c r="T889" s="123" t="str">
        <f t="shared" si="4"/>
        <v>#DIV/0!</v>
      </c>
      <c r="U889" s="41"/>
      <c r="V889" s="41"/>
      <c r="W889" s="41"/>
      <c r="X889" s="41"/>
      <c r="Y889" s="41"/>
      <c r="Z889" s="41"/>
    </row>
    <row r="890">
      <c r="A890" s="41"/>
      <c r="B890" s="41"/>
      <c r="C890" s="41"/>
      <c r="D890" s="41"/>
      <c r="E890" s="41"/>
      <c r="F890" s="41"/>
      <c r="G890" s="41"/>
      <c r="H890" s="125"/>
      <c r="I890" s="41"/>
      <c r="J890" s="41"/>
      <c r="K890" s="41"/>
      <c r="L890" s="41"/>
      <c r="M890" s="41"/>
      <c r="N890" s="41"/>
      <c r="O890" s="122" t="str">
        <f t="shared" si="1"/>
        <v>#DIV/0!</v>
      </c>
      <c r="P890" s="123" t="str">
        <f t="shared" si="5"/>
        <v>#DIV/0!</v>
      </c>
      <c r="Q890" s="123" t="str">
        <f t="shared" si="2"/>
        <v>#DIV/0!</v>
      </c>
      <c r="R890" s="123" t="str">
        <f t="shared" si="6"/>
        <v>#DIV/0!</v>
      </c>
      <c r="S890" s="123" t="str">
        <f t="shared" si="3"/>
        <v>#DIV/0!</v>
      </c>
      <c r="T890" s="123" t="str">
        <f t="shared" si="4"/>
        <v>#DIV/0!</v>
      </c>
      <c r="U890" s="41"/>
      <c r="V890" s="41"/>
      <c r="W890" s="41"/>
      <c r="X890" s="41"/>
      <c r="Y890" s="41"/>
      <c r="Z890" s="41"/>
    </row>
    <row r="891">
      <c r="A891" s="41"/>
      <c r="B891" s="41"/>
      <c r="C891" s="41"/>
      <c r="D891" s="41"/>
      <c r="E891" s="41"/>
      <c r="F891" s="41"/>
      <c r="G891" s="41"/>
      <c r="H891" s="125"/>
      <c r="I891" s="41"/>
      <c r="J891" s="41"/>
      <c r="K891" s="41"/>
      <c r="L891" s="41"/>
      <c r="M891" s="41"/>
      <c r="N891" s="41"/>
      <c r="O891" s="122" t="str">
        <f t="shared" si="1"/>
        <v>#DIV/0!</v>
      </c>
      <c r="P891" s="123" t="str">
        <f t="shared" si="5"/>
        <v>#DIV/0!</v>
      </c>
      <c r="Q891" s="123" t="str">
        <f t="shared" si="2"/>
        <v>#DIV/0!</v>
      </c>
      <c r="R891" s="123" t="str">
        <f t="shared" si="6"/>
        <v>#DIV/0!</v>
      </c>
      <c r="S891" s="123" t="str">
        <f t="shared" si="3"/>
        <v>#DIV/0!</v>
      </c>
      <c r="T891" s="123" t="str">
        <f t="shared" si="4"/>
        <v>#DIV/0!</v>
      </c>
      <c r="U891" s="41"/>
      <c r="V891" s="41"/>
      <c r="W891" s="41"/>
      <c r="X891" s="41"/>
      <c r="Y891" s="41"/>
      <c r="Z891" s="41"/>
    </row>
    <row r="892">
      <c r="A892" s="41"/>
      <c r="B892" s="41"/>
      <c r="C892" s="41"/>
      <c r="D892" s="41"/>
      <c r="E892" s="41"/>
      <c r="F892" s="41"/>
      <c r="G892" s="41"/>
      <c r="H892" s="125"/>
      <c r="I892" s="41"/>
      <c r="J892" s="41"/>
      <c r="K892" s="41"/>
      <c r="L892" s="41"/>
      <c r="M892" s="41"/>
      <c r="N892" s="41"/>
      <c r="O892" s="122" t="str">
        <f t="shared" si="1"/>
        <v>#DIV/0!</v>
      </c>
      <c r="P892" s="123" t="str">
        <f t="shared" si="5"/>
        <v>#DIV/0!</v>
      </c>
      <c r="Q892" s="123" t="str">
        <f t="shared" si="2"/>
        <v>#DIV/0!</v>
      </c>
      <c r="R892" s="123" t="str">
        <f t="shared" si="6"/>
        <v>#DIV/0!</v>
      </c>
      <c r="S892" s="123" t="str">
        <f t="shared" si="3"/>
        <v>#DIV/0!</v>
      </c>
      <c r="T892" s="123" t="str">
        <f t="shared" si="4"/>
        <v>#DIV/0!</v>
      </c>
      <c r="U892" s="41"/>
      <c r="V892" s="41"/>
      <c r="W892" s="41"/>
      <c r="X892" s="41"/>
      <c r="Y892" s="41"/>
      <c r="Z892" s="41"/>
    </row>
    <row r="893">
      <c r="A893" s="41"/>
      <c r="B893" s="41"/>
      <c r="C893" s="41"/>
      <c r="D893" s="41"/>
      <c r="E893" s="41"/>
      <c r="F893" s="41"/>
      <c r="G893" s="41"/>
      <c r="H893" s="125"/>
      <c r="I893" s="41"/>
      <c r="J893" s="41"/>
      <c r="K893" s="41"/>
      <c r="L893" s="41"/>
      <c r="M893" s="41"/>
      <c r="N893" s="41"/>
      <c r="O893" s="122" t="str">
        <f t="shared" si="1"/>
        <v>#DIV/0!</v>
      </c>
      <c r="P893" s="123" t="str">
        <f t="shared" si="5"/>
        <v>#DIV/0!</v>
      </c>
      <c r="Q893" s="123" t="str">
        <f t="shared" si="2"/>
        <v>#DIV/0!</v>
      </c>
      <c r="R893" s="123" t="str">
        <f t="shared" si="6"/>
        <v>#DIV/0!</v>
      </c>
      <c r="S893" s="123" t="str">
        <f t="shared" si="3"/>
        <v>#DIV/0!</v>
      </c>
      <c r="T893" s="123" t="str">
        <f t="shared" si="4"/>
        <v>#DIV/0!</v>
      </c>
      <c r="U893" s="41"/>
      <c r="V893" s="41"/>
      <c r="W893" s="41"/>
      <c r="X893" s="41"/>
      <c r="Y893" s="41"/>
      <c r="Z893" s="41"/>
    </row>
    <row r="894">
      <c r="A894" s="41"/>
      <c r="B894" s="41"/>
      <c r="C894" s="41"/>
      <c r="D894" s="41"/>
      <c r="E894" s="41"/>
      <c r="F894" s="41"/>
      <c r="G894" s="41"/>
      <c r="H894" s="125"/>
      <c r="I894" s="41"/>
      <c r="J894" s="41"/>
      <c r="K894" s="41"/>
      <c r="L894" s="41"/>
      <c r="M894" s="41"/>
      <c r="N894" s="41"/>
      <c r="O894" s="122" t="str">
        <f t="shared" si="1"/>
        <v>#DIV/0!</v>
      </c>
      <c r="P894" s="123" t="str">
        <f t="shared" si="5"/>
        <v>#DIV/0!</v>
      </c>
      <c r="Q894" s="123" t="str">
        <f t="shared" si="2"/>
        <v>#DIV/0!</v>
      </c>
      <c r="R894" s="123" t="str">
        <f t="shared" si="6"/>
        <v>#DIV/0!</v>
      </c>
      <c r="S894" s="123" t="str">
        <f t="shared" si="3"/>
        <v>#DIV/0!</v>
      </c>
      <c r="T894" s="123" t="str">
        <f t="shared" si="4"/>
        <v>#DIV/0!</v>
      </c>
      <c r="U894" s="41"/>
      <c r="V894" s="41"/>
      <c r="W894" s="41"/>
      <c r="X894" s="41"/>
      <c r="Y894" s="41"/>
      <c r="Z894" s="41"/>
    </row>
    <row r="895">
      <c r="A895" s="41"/>
      <c r="B895" s="41"/>
      <c r="C895" s="41"/>
      <c r="D895" s="41"/>
      <c r="E895" s="41"/>
      <c r="F895" s="41"/>
      <c r="G895" s="41"/>
      <c r="H895" s="125"/>
      <c r="I895" s="41"/>
      <c r="J895" s="41"/>
      <c r="K895" s="41"/>
      <c r="L895" s="41"/>
      <c r="M895" s="41"/>
      <c r="N895" s="41"/>
      <c r="O895" s="122" t="str">
        <f t="shared" si="1"/>
        <v>#DIV/0!</v>
      </c>
      <c r="P895" s="123" t="str">
        <f t="shared" si="5"/>
        <v>#DIV/0!</v>
      </c>
      <c r="Q895" s="123" t="str">
        <f t="shared" si="2"/>
        <v>#DIV/0!</v>
      </c>
      <c r="R895" s="123" t="str">
        <f t="shared" si="6"/>
        <v>#DIV/0!</v>
      </c>
      <c r="S895" s="123" t="str">
        <f t="shared" si="3"/>
        <v>#DIV/0!</v>
      </c>
      <c r="T895" s="123" t="str">
        <f t="shared" si="4"/>
        <v>#DIV/0!</v>
      </c>
      <c r="U895" s="41"/>
      <c r="V895" s="41"/>
      <c r="W895" s="41"/>
      <c r="X895" s="41"/>
      <c r="Y895" s="41"/>
      <c r="Z895" s="41"/>
    </row>
    <row r="896">
      <c r="A896" s="41"/>
      <c r="B896" s="41"/>
      <c r="C896" s="41"/>
      <c r="D896" s="41"/>
      <c r="E896" s="41"/>
      <c r="F896" s="41"/>
      <c r="G896" s="41"/>
      <c r="H896" s="125"/>
      <c r="I896" s="41"/>
      <c r="J896" s="41"/>
      <c r="K896" s="41"/>
      <c r="L896" s="41"/>
      <c r="M896" s="41"/>
      <c r="N896" s="41"/>
      <c r="O896" s="122" t="str">
        <f t="shared" si="1"/>
        <v>#DIV/0!</v>
      </c>
      <c r="P896" s="123" t="str">
        <f t="shared" si="5"/>
        <v>#DIV/0!</v>
      </c>
      <c r="Q896" s="123" t="str">
        <f t="shared" si="2"/>
        <v>#DIV/0!</v>
      </c>
      <c r="R896" s="123" t="str">
        <f t="shared" si="6"/>
        <v>#DIV/0!</v>
      </c>
      <c r="S896" s="123" t="str">
        <f t="shared" si="3"/>
        <v>#DIV/0!</v>
      </c>
      <c r="T896" s="123" t="str">
        <f t="shared" si="4"/>
        <v>#DIV/0!</v>
      </c>
      <c r="U896" s="41"/>
      <c r="V896" s="41"/>
      <c r="W896" s="41"/>
      <c r="X896" s="41"/>
      <c r="Y896" s="41"/>
      <c r="Z896" s="41"/>
    </row>
    <row r="897">
      <c r="A897" s="41"/>
      <c r="B897" s="41"/>
      <c r="C897" s="41"/>
      <c r="D897" s="41"/>
      <c r="E897" s="41"/>
      <c r="F897" s="41"/>
      <c r="G897" s="41"/>
      <c r="H897" s="125"/>
      <c r="I897" s="41"/>
      <c r="J897" s="41"/>
      <c r="K897" s="41"/>
      <c r="L897" s="41"/>
      <c r="M897" s="41"/>
      <c r="N897" s="41"/>
      <c r="O897" s="122" t="str">
        <f t="shared" si="1"/>
        <v>#DIV/0!</v>
      </c>
      <c r="P897" s="123" t="str">
        <f t="shared" si="5"/>
        <v>#DIV/0!</v>
      </c>
      <c r="Q897" s="123" t="str">
        <f t="shared" si="2"/>
        <v>#DIV/0!</v>
      </c>
      <c r="R897" s="123" t="str">
        <f t="shared" si="6"/>
        <v>#DIV/0!</v>
      </c>
      <c r="S897" s="123" t="str">
        <f t="shared" si="3"/>
        <v>#DIV/0!</v>
      </c>
      <c r="T897" s="123" t="str">
        <f t="shared" si="4"/>
        <v>#DIV/0!</v>
      </c>
      <c r="U897" s="41"/>
      <c r="V897" s="41"/>
      <c r="W897" s="41"/>
      <c r="X897" s="41"/>
      <c r="Y897" s="41"/>
      <c r="Z897" s="41"/>
    </row>
    <row r="898">
      <c r="A898" s="41"/>
      <c r="B898" s="41"/>
      <c r="C898" s="41"/>
      <c r="D898" s="41"/>
      <c r="E898" s="41"/>
      <c r="F898" s="41"/>
      <c r="G898" s="41"/>
      <c r="H898" s="125"/>
      <c r="I898" s="41"/>
      <c r="J898" s="41"/>
      <c r="K898" s="41"/>
      <c r="L898" s="41"/>
      <c r="M898" s="41"/>
      <c r="N898" s="41"/>
      <c r="O898" s="122" t="str">
        <f t="shared" si="1"/>
        <v>#DIV/0!</v>
      </c>
      <c r="P898" s="123" t="str">
        <f t="shared" si="5"/>
        <v>#DIV/0!</v>
      </c>
      <c r="Q898" s="123" t="str">
        <f t="shared" si="2"/>
        <v>#DIV/0!</v>
      </c>
      <c r="R898" s="123" t="str">
        <f t="shared" si="6"/>
        <v>#DIV/0!</v>
      </c>
      <c r="S898" s="123" t="str">
        <f t="shared" si="3"/>
        <v>#DIV/0!</v>
      </c>
      <c r="T898" s="123" t="str">
        <f t="shared" si="4"/>
        <v>#DIV/0!</v>
      </c>
      <c r="U898" s="41"/>
      <c r="V898" s="41"/>
      <c r="W898" s="41"/>
      <c r="X898" s="41"/>
      <c r="Y898" s="41"/>
      <c r="Z898" s="41"/>
    </row>
    <row r="899">
      <c r="A899" s="41"/>
      <c r="B899" s="41"/>
      <c r="C899" s="41"/>
      <c r="D899" s="41"/>
      <c r="E899" s="41"/>
      <c r="F899" s="41"/>
      <c r="G899" s="41"/>
      <c r="H899" s="125"/>
      <c r="I899" s="41"/>
      <c r="J899" s="41"/>
      <c r="K899" s="41"/>
      <c r="L899" s="41"/>
      <c r="M899" s="41"/>
      <c r="N899" s="41"/>
      <c r="O899" s="122" t="str">
        <f t="shared" si="1"/>
        <v>#DIV/0!</v>
      </c>
      <c r="P899" s="123" t="str">
        <f t="shared" si="5"/>
        <v>#DIV/0!</v>
      </c>
      <c r="Q899" s="123" t="str">
        <f t="shared" si="2"/>
        <v>#DIV/0!</v>
      </c>
      <c r="R899" s="123" t="str">
        <f t="shared" si="6"/>
        <v>#DIV/0!</v>
      </c>
      <c r="S899" s="123" t="str">
        <f t="shared" si="3"/>
        <v>#DIV/0!</v>
      </c>
      <c r="T899" s="123" t="str">
        <f t="shared" si="4"/>
        <v>#DIV/0!</v>
      </c>
      <c r="U899" s="41"/>
      <c r="V899" s="41"/>
      <c r="W899" s="41"/>
      <c r="X899" s="41"/>
      <c r="Y899" s="41"/>
      <c r="Z899" s="41"/>
    </row>
    <row r="900">
      <c r="A900" s="41"/>
      <c r="B900" s="41"/>
      <c r="C900" s="41"/>
      <c r="D900" s="41"/>
      <c r="E900" s="41"/>
      <c r="F900" s="41"/>
      <c r="G900" s="41"/>
      <c r="H900" s="125"/>
      <c r="I900" s="41"/>
      <c r="J900" s="41"/>
      <c r="K900" s="41"/>
      <c r="L900" s="41"/>
      <c r="M900" s="41"/>
      <c r="N900" s="41"/>
      <c r="O900" s="122" t="str">
        <f t="shared" si="1"/>
        <v>#DIV/0!</v>
      </c>
      <c r="P900" s="123" t="str">
        <f t="shared" si="5"/>
        <v>#DIV/0!</v>
      </c>
      <c r="Q900" s="123" t="str">
        <f t="shared" si="2"/>
        <v>#DIV/0!</v>
      </c>
      <c r="R900" s="123" t="str">
        <f t="shared" si="6"/>
        <v>#DIV/0!</v>
      </c>
      <c r="S900" s="123" t="str">
        <f t="shared" si="3"/>
        <v>#DIV/0!</v>
      </c>
      <c r="T900" s="123" t="str">
        <f t="shared" si="4"/>
        <v>#DIV/0!</v>
      </c>
      <c r="U900" s="41"/>
      <c r="V900" s="41"/>
      <c r="W900" s="41"/>
      <c r="X900" s="41"/>
      <c r="Y900" s="41"/>
      <c r="Z900" s="41"/>
    </row>
    <row r="901">
      <c r="A901" s="41"/>
      <c r="B901" s="41"/>
      <c r="C901" s="41"/>
      <c r="D901" s="41"/>
      <c r="E901" s="41"/>
      <c r="F901" s="41"/>
      <c r="G901" s="41"/>
      <c r="H901" s="125"/>
      <c r="I901" s="41"/>
      <c r="J901" s="41"/>
      <c r="K901" s="41"/>
      <c r="L901" s="41"/>
      <c r="M901" s="41"/>
      <c r="N901" s="41"/>
      <c r="O901" s="122" t="str">
        <f t="shared" si="1"/>
        <v>#DIV/0!</v>
      </c>
      <c r="P901" s="123" t="str">
        <f t="shared" si="5"/>
        <v>#DIV/0!</v>
      </c>
      <c r="Q901" s="123" t="str">
        <f t="shared" si="2"/>
        <v>#DIV/0!</v>
      </c>
      <c r="R901" s="123" t="str">
        <f t="shared" si="6"/>
        <v>#DIV/0!</v>
      </c>
      <c r="S901" s="123" t="str">
        <f t="shared" si="3"/>
        <v>#DIV/0!</v>
      </c>
      <c r="T901" s="123" t="str">
        <f t="shared" si="4"/>
        <v>#DIV/0!</v>
      </c>
      <c r="U901" s="41"/>
      <c r="V901" s="41"/>
      <c r="W901" s="41"/>
      <c r="X901" s="41"/>
      <c r="Y901" s="41"/>
      <c r="Z901" s="41"/>
    </row>
    <row r="902">
      <c r="A902" s="41"/>
      <c r="B902" s="41"/>
      <c r="C902" s="41"/>
      <c r="D902" s="41"/>
      <c r="E902" s="41"/>
      <c r="F902" s="41"/>
      <c r="G902" s="41"/>
      <c r="H902" s="125"/>
      <c r="I902" s="41"/>
      <c r="J902" s="41"/>
      <c r="K902" s="41"/>
      <c r="L902" s="41"/>
      <c r="M902" s="41"/>
      <c r="N902" s="41"/>
      <c r="O902" s="122" t="str">
        <f t="shared" si="1"/>
        <v>#DIV/0!</v>
      </c>
      <c r="P902" s="123" t="str">
        <f t="shared" si="5"/>
        <v>#DIV/0!</v>
      </c>
      <c r="Q902" s="123" t="str">
        <f t="shared" si="2"/>
        <v>#DIV/0!</v>
      </c>
      <c r="R902" s="123" t="str">
        <f t="shared" si="6"/>
        <v>#DIV/0!</v>
      </c>
      <c r="S902" s="123" t="str">
        <f t="shared" si="3"/>
        <v>#DIV/0!</v>
      </c>
      <c r="T902" s="123" t="str">
        <f t="shared" si="4"/>
        <v>#DIV/0!</v>
      </c>
      <c r="U902" s="41"/>
      <c r="V902" s="41"/>
      <c r="W902" s="41"/>
      <c r="X902" s="41"/>
      <c r="Y902" s="41"/>
      <c r="Z902" s="41"/>
    </row>
    <row r="903">
      <c r="A903" s="41"/>
      <c r="B903" s="41"/>
      <c r="C903" s="41"/>
      <c r="D903" s="41"/>
      <c r="E903" s="41"/>
      <c r="F903" s="41"/>
      <c r="G903" s="41"/>
      <c r="H903" s="125"/>
      <c r="I903" s="41"/>
      <c r="J903" s="41"/>
      <c r="K903" s="41"/>
      <c r="L903" s="41"/>
      <c r="M903" s="41"/>
      <c r="N903" s="41"/>
      <c r="O903" s="122" t="str">
        <f t="shared" si="1"/>
        <v>#DIV/0!</v>
      </c>
      <c r="P903" s="123" t="str">
        <f t="shared" si="5"/>
        <v>#DIV/0!</v>
      </c>
      <c r="Q903" s="123" t="str">
        <f t="shared" si="2"/>
        <v>#DIV/0!</v>
      </c>
      <c r="R903" s="123" t="str">
        <f t="shared" si="6"/>
        <v>#DIV/0!</v>
      </c>
      <c r="S903" s="123" t="str">
        <f t="shared" si="3"/>
        <v>#DIV/0!</v>
      </c>
      <c r="T903" s="123" t="str">
        <f t="shared" si="4"/>
        <v>#DIV/0!</v>
      </c>
      <c r="U903" s="41"/>
      <c r="V903" s="41"/>
      <c r="W903" s="41"/>
      <c r="X903" s="41"/>
      <c r="Y903" s="41"/>
      <c r="Z903" s="41"/>
    </row>
    <row r="904">
      <c r="A904" s="41"/>
      <c r="B904" s="41"/>
      <c r="C904" s="41"/>
      <c r="D904" s="41"/>
      <c r="E904" s="41"/>
      <c r="F904" s="41"/>
      <c r="G904" s="41"/>
      <c r="H904" s="125"/>
      <c r="I904" s="41"/>
      <c r="J904" s="41"/>
      <c r="K904" s="41"/>
      <c r="L904" s="41"/>
      <c r="M904" s="41"/>
      <c r="N904" s="41"/>
      <c r="O904" s="122" t="str">
        <f t="shared" si="1"/>
        <v>#DIV/0!</v>
      </c>
      <c r="P904" s="123" t="str">
        <f t="shared" si="5"/>
        <v>#DIV/0!</v>
      </c>
      <c r="Q904" s="123" t="str">
        <f t="shared" si="2"/>
        <v>#DIV/0!</v>
      </c>
      <c r="R904" s="123" t="str">
        <f t="shared" si="6"/>
        <v>#DIV/0!</v>
      </c>
      <c r="S904" s="123" t="str">
        <f t="shared" si="3"/>
        <v>#DIV/0!</v>
      </c>
      <c r="T904" s="123" t="str">
        <f t="shared" si="4"/>
        <v>#DIV/0!</v>
      </c>
      <c r="U904" s="41"/>
      <c r="V904" s="41"/>
      <c r="W904" s="41"/>
      <c r="X904" s="41"/>
      <c r="Y904" s="41"/>
      <c r="Z904" s="41"/>
    </row>
    <row r="905">
      <c r="A905" s="41"/>
      <c r="B905" s="41"/>
      <c r="C905" s="41"/>
      <c r="D905" s="41"/>
      <c r="E905" s="41"/>
      <c r="F905" s="41"/>
      <c r="G905" s="41"/>
      <c r="H905" s="125"/>
      <c r="I905" s="41"/>
      <c r="J905" s="41"/>
      <c r="K905" s="41"/>
      <c r="L905" s="41"/>
      <c r="M905" s="41"/>
      <c r="N905" s="41"/>
      <c r="O905" s="122" t="str">
        <f t="shared" si="1"/>
        <v>#DIV/0!</v>
      </c>
      <c r="P905" s="123" t="str">
        <f t="shared" si="5"/>
        <v>#DIV/0!</v>
      </c>
      <c r="Q905" s="123" t="str">
        <f t="shared" si="2"/>
        <v>#DIV/0!</v>
      </c>
      <c r="R905" s="123" t="str">
        <f t="shared" si="6"/>
        <v>#DIV/0!</v>
      </c>
      <c r="S905" s="123" t="str">
        <f t="shared" si="3"/>
        <v>#DIV/0!</v>
      </c>
      <c r="T905" s="123" t="str">
        <f t="shared" si="4"/>
        <v>#DIV/0!</v>
      </c>
      <c r="U905" s="41"/>
      <c r="V905" s="41"/>
      <c r="W905" s="41"/>
      <c r="X905" s="41"/>
      <c r="Y905" s="41"/>
      <c r="Z905" s="41"/>
    </row>
    <row r="906">
      <c r="A906" s="41"/>
      <c r="B906" s="41"/>
      <c r="C906" s="41"/>
      <c r="D906" s="41"/>
      <c r="E906" s="41"/>
      <c r="F906" s="41"/>
      <c r="G906" s="41"/>
      <c r="H906" s="125"/>
      <c r="I906" s="41"/>
      <c r="J906" s="41"/>
      <c r="K906" s="41"/>
      <c r="L906" s="41"/>
      <c r="M906" s="41"/>
      <c r="N906" s="41"/>
      <c r="O906" s="122" t="str">
        <f t="shared" si="1"/>
        <v>#DIV/0!</v>
      </c>
      <c r="P906" s="123" t="str">
        <f t="shared" si="5"/>
        <v>#DIV/0!</v>
      </c>
      <c r="Q906" s="123" t="str">
        <f t="shared" si="2"/>
        <v>#DIV/0!</v>
      </c>
      <c r="R906" s="123" t="str">
        <f t="shared" si="6"/>
        <v>#DIV/0!</v>
      </c>
      <c r="S906" s="123" t="str">
        <f t="shared" si="3"/>
        <v>#DIV/0!</v>
      </c>
      <c r="T906" s="123" t="str">
        <f t="shared" si="4"/>
        <v>#DIV/0!</v>
      </c>
      <c r="U906" s="41"/>
      <c r="V906" s="41"/>
      <c r="W906" s="41"/>
      <c r="X906" s="41"/>
      <c r="Y906" s="41"/>
      <c r="Z906" s="41"/>
    </row>
    <row r="907">
      <c r="A907" s="41"/>
      <c r="B907" s="41"/>
      <c r="C907" s="41"/>
      <c r="D907" s="41"/>
      <c r="E907" s="41"/>
      <c r="F907" s="41"/>
      <c r="G907" s="41"/>
      <c r="H907" s="125"/>
      <c r="I907" s="41"/>
      <c r="J907" s="41"/>
      <c r="K907" s="41"/>
      <c r="L907" s="41"/>
      <c r="M907" s="41"/>
      <c r="N907" s="41"/>
      <c r="O907" s="122" t="str">
        <f t="shared" si="1"/>
        <v>#DIV/0!</v>
      </c>
      <c r="P907" s="123" t="str">
        <f t="shared" si="5"/>
        <v>#DIV/0!</v>
      </c>
      <c r="Q907" s="123" t="str">
        <f t="shared" si="2"/>
        <v>#DIV/0!</v>
      </c>
      <c r="R907" s="123" t="str">
        <f t="shared" si="6"/>
        <v>#DIV/0!</v>
      </c>
      <c r="S907" s="123" t="str">
        <f t="shared" si="3"/>
        <v>#DIV/0!</v>
      </c>
      <c r="T907" s="123" t="str">
        <f t="shared" si="4"/>
        <v>#DIV/0!</v>
      </c>
      <c r="U907" s="41"/>
      <c r="V907" s="41"/>
      <c r="W907" s="41"/>
      <c r="X907" s="41"/>
      <c r="Y907" s="41"/>
      <c r="Z907" s="41"/>
    </row>
    <row r="908">
      <c r="A908" s="41"/>
      <c r="B908" s="41"/>
      <c r="C908" s="41"/>
      <c r="D908" s="41"/>
      <c r="E908" s="41"/>
      <c r="F908" s="41"/>
      <c r="G908" s="41"/>
      <c r="H908" s="125"/>
      <c r="I908" s="41"/>
      <c r="J908" s="41"/>
      <c r="K908" s="41"/>
      <c r="L908" s="41"/>
      <c r="M908" s="41"/>
      <c r="N908" s="41"/>
      <c r="O908" s="122" t="str">
        <f t="shared" si="1"/>
        <v>#DIV/0!</v>
      </c>
      <c r="P908" s="123" t="str">
        <f t="shared" si="5"/>
        <v>#DIV/0!</v>
      </c>
      <c r="Q908" s="123" t="str">
        <f t="shared" si="2"/>
        <v>#DIV/0!</v>
      </c>
      <c r="R908" s="123" t="str">
        <f t="shared" si="6"/>
        <v>#DIV/0!</v>
      </c>
      <c r="S908" s="123" t="str">
        <f t="shared" si="3"/>
        <v>#DIV/0!</v>
      </c>
      <c r="T908" s="123" t="str">
        <f t="shared" si="4"/>
        <v>#DIV/0!</v>
      </c>
      <c r="U908" s="41"/>
      <c r="V908" s="41"/>
      <c r="W908" s="41"/>
      <c r="X908" s="41"/>
      <c r="Y908" s="41"/>
      <c r="Z908" s="41"/>
    </row>
    <row r="909">
      <c r="A909" s="41"/>
      <c r="B909" s="41"/>
      <c r="C909" s="41"/>
      <c r="D909" s="41"/>
      <c r="E909" s="41"/>
      <c r="F909" s="41"/>
      <c r="G909" s="41"/>
      <c r="H909" s="125"/>
      <c r="I909" s="41"/>
      <c r="J909" s="41"/>
      <c r="K909" s="41"/>
      <c r="L909" s="41"/>
      <c r="M909" s="41"/>
      <c r="N909" s="41"/>
      <c r="O909" s="122" t="str">
        <f t="shared" si="1"/>
        <v>#DIV/0!</v>
      </c>
      <c r="P909" s="123" t="str">
        <f t="shared" si="5"/>
        <v>#DIV/0!</v>
      </c>
      <c r="Q909" s="123" t="str">
        <f t="shared" si="2"/>
        <v>#DIV/0!</v>
      </c>
      <c r="R909" s="123" t="str">
        <f t="shared" si="6"/>
        <v>#DIV/0!</v>
      </c>
      <c r="S909" s="123" t="str">
        <f t="shared" si="3"/>
        <v>#DIV/0!</v>
      </c>
      <c r="T909" s="123" t="str">
        <f t="shared" si="4"/>
        <v>#DIV/0!</v>
      </c>
      <c r="U909" s="41"/>
      <c r="V909" s="41"/>
      <c r="W909" s="41"/>
      <c r="X909" s="41"/>
      <c r="Y909" s="41"/>
      <c r="Z909" s="41"/>
    </row>
    <row r="910">
      <c r="A910" s="41"/>
      <c r="B910" s="41"/>
      <c r="C910" s="41"/>
      <c r="D910" s="41"/>
      <c r="E910" s="41"/>
      <c r="F910" s="41"/>
      <c r="G910" s="41"/>
      <c r="H910" s="125"/>
      <c r="I910" s="41"/>
      <c r="J910" s="41"/>
      <c r="K910" s="41"/>
      <c r="L910" s="41"/>
      <c r="M910" s="41"/>
      <c r="N910" s="41"/>
      <c r="O910" s="122" t="str">
        <f t="shared" si="1"/>
        <v>#DIV/0!</v>
      </c>
      <c r="P910" s="123" t="str">
        <f t="shared" si="5"/>
        <v>#DIV/0!</v>
      </c>
      <c r="Q910" s="123" t="str">
        <f t="shared" si="2"/>
        <v>#DIV/0!</v>
      </c>
      <c r="R910" s="123" t="str">
        <f t="shared" si="6"/>
        <v>#DIV/0!</v>
      </c>
      <c r="S910" s="123" t="str">
        <f t="shared" si="3"/>
        <v>#DIV/0!</v>
      </c>
      <c r="T910" s="123" t="str">
        <f t="shared" si="4"/>
        <v>#DIV/0!</v>
      </c>
      <c r="U910" s="41"/>
      <c r="V910" s="41"/>
      <c r="W910" s="41"/>
      <c r="X910" s="41"/>
      <c r="Y910" s="41"/>
      <c r="Z910" s="41"/>
    </row>
    <row r="911">
      <c r="A911" s="41"/>
      <c r="B911" s="41"/>
      <c r="C911" s="41"/>
      <c r="D911" s="41"/>
      <c r="E911" s="41"/>
      <c r="F911" s="41"/>
      <c r="G911" s="41"/>
      <c r="H911" s="125"/>
      <c r="I911" s="41"/>
      <c r="J911" s="41"/>
      <c r="K911" s="41"/>
      <c r="L911" s="41"/>
      <c r="M911" s="41"/>
      <c r="N911" s="41"/>
      <c r="O911" s="122" t="str">
        <f t="shared" si="1"/>
        <v>#DIV/0!</v>
      </c>
      <c r="P911" s="123" t="str">
        <f t="shared" si="5"/>
        <v>#DIV/0!</v>
      </c>
      <c r="Q911" s="123" t="str">
        <f t="shared" si="2"/>
        <v>#DIV/0!</v>
      </c>
      <c r="R911" s="123" t="str">
        <f t="shared" si="6"/>
        <v>#DIV/0!</v>
      </c>
      <c r="S911" s="123" t="str">
        <f t="shared" si="3"/>
        <v>#DIV/0!</v>
      </c>
      <c r="T911" s="123" t="str">
        <f t="shared" si="4"/>
        <v>#DIV/0!</v>
      </c>
      <c r="U911" s="41"/>
      <c r="V911" s="41"/>
      <c r="W911" s="41"/>
      <c r="X911" s="41"/>
      <c r="Y911" s="41"/>
      <c r="Z911" s="41"/>
    </row>
    <row r="912">
      <c r="A912" s="41"/>
      <c r="B912" s="41"/>
      <c r="C912" s="41"/>
      <c r="D912" s="41"/>
      <c r="E912" s="41"/>
      <c r="F912" s="41"/>
      <c r="G912" s="41"/>
      <c r="H912" s="125"/>
      <c r="I912" s="41"/>
      <c r="J912" s="41"/>
      <c r="K912" s="41"/>
      <c r="L912" s="41"/>
      <c r="M912" s="41"/>
      <c r="N912" s="41"/>
      <c r="O912" s="122" t="str">
        <f t="shared" si="1"/>
        <v>#DIV/0!</v>
      </c>
      <c r="P912" s="123" t="str">
        <f t="shared" si="5"/>
        <v>#DIV/0!</v>
      </c>
      <c r="Q912" s="123" t="str">
        <f t="shared" si="2"/>
        <v>#DIV/0!</v>
      </c>
      <c r="R912" s="123" t="str">
        <f t="shared" si="6"/>
        <v>#DIV/0!</v>
      </c>
      <c r="S912" s="123" t="str">
        <f t="shared" si="3"/>
        <v>#DIV/0!</v>
      </c>
      <c r="T912" s="123" t="str">
        <f t="shared" si="4"/>
        <v>#DIV/0!</v>
      </c>
      <c r="U912" s="41"/>
      <c r="V912" s="41"/>
      <c r="W912" s="41"/>
      <c r="X912" s="41"/>
      <c r="Y912" s="41"/>
      <c r="Z912" s="41"/>
    </row>
    <row r="913">
      <c r="A913" s="41"/>
      <c r="B913" s="41"/>
      <c r="C913" s="41"/>
      <c r="D913" s="41"/>
      <c r="E913" s="41"/>
      <c r="F913" s="41"/>
      <c r="G913" s="41"/>
      <c r="H913" s="125"/>
      <c r="I913" s="41"/>
      <c r="J913" s="41"/>
      <c r="K913" s="41"/>
      <c r="L913" s="41"/>
      <c r="M913" s="41"/>
      <c r="N913" s="41"/>
      <c r="O913" s="122" t="str">
        <f t="shared" si="1"/>
        <v>#DIV/0!</v>
      </c>
      <c r="P913" s="123" t="str">
        <f t="shared" si="5"/>
        <v>#DIV/0!</v>
      </c>
      <c r="Q913" s="123" t="str">
        <f t="shared" si="2"/>
        <v>#DIV/0!</v>
      </c>
      <c r="R913" s="123" t="str">
        <f t="shared" si="6"/>
        <v>#DIV/0!</v>
      </c>
      <c r="S913" s="123" t="str">
        <f t="shared" si="3"/>
        <v>#DIV/0!</v>
      </c>
      <c r="T913" s="123" t="str">
        <f t="shared" si="4"/>
        <v>#DIV/0!</v>
      </c>
      <c r="U913" s="41"/>
      <c r="V913" s="41"/>
      <c r="W913" s="41"/>
      <c r="X913" s="41"/>
      <c r="Y913" s="41"/>
      <c r="Z913" s="41"/>
    </row>
    <row r="914">
      <c r="A914" s="41"/>
      <c r="B914" s="41"/>
      <c r="C914" s="41"/>
      <c r="D914" s="41"/>
      <c r="E914" s="41"/>
      <c r="F914" s="41"/>
      <c r="G914" s="41"/>
      <c r="H914" s="125"/>
      <c r="I914" s="41"/>
      <c r="J914" s="41"/>
      <c r="K914" s="41"/>
      <c r="L914" s="41"/>
      <c r="M914" s="41"/>
      <c r="N914" s="41"/>
      <c r="O914" s="122" t="str">
        <f t="shared" si="1"/>
        <v>#DIV/0!</v>
      </c>
      <c r="P914" s="123" t="str">
        <f t="shared" si="5"/>
        <v>#DIV/0!</v>
      </c>
      <c r="Q914" s="123" t="str">
        <f t="shared" si="2"/>
        <v>#DIV/0!</v>
      </c>
      <c r="R914" s="123" t="str">
        <f t="shared" si="6"/>
        <v>#DIV/0!</v>
      </c>
      <c r="S914" s="123" t="str">
        <f t="shared" si="3"/>
        <v>#DIV/0!</v>
      </c>
      <c r="T914" s="123" t="str">
        <f t="shared" si="4"/>
        <v>#DIV/0!</v>
      </c>
      <c r="U914" s="41"/>
      <c r="V914" s="41"/>
      <c r="W914" s="41"/>
      <c r="X914" s="41"/>
      <c r="Y914" s="41"/>
      <c r="Z914" s="41"/>
    </row>
    <row r="915">
      <c r="A915" s="41"/>
      <c r="B915" s="41"/>
      <c r="C915" s="41"/>
      <c r="D915" s="41"/>
      <c r="E915" s="41"/>
      <c r="F915" s="41"/>
      <c r="G915" s="41"/>
      <c r="H915" s="125"/>
      <c r="I915" s="41"/>
      <c r="J915" s="41"/>
      <c r="K915" s="41"/>
      <c r="L915" s="41"/>
      <c r="M915" s="41"/>
      <c r="N915" s="41"/>
      <c r="O915" s="122" t="str">
        <f t="shared" si="1"/>
        <v>#DIV/0!</v>
      </c>
      <c r="P915" s="123" t="str">
        <f t="shared" si="5"/>
        <v>#DIV/0!</v>
      </c>
      <c r="Q915" s="123" t="str">
        <f t="shared" si="2"/>
        <v>#DIV/0!</v>
      </c>
      <c r="R915" s="123" t="str">
        <f t="shared" si="6"/>
        <v>#DIV/0!</v>
      </c>
      <c r="S915" s="123" t="str">
        <f t="shared" si="3"/>
        <v>#DIV/0!</v>
      </c>
      <c r="T915" s="123" t="str">
        <f t="shared" si="4"/>
        <v>#DIV/0!</v>
      </c>
      <c r="U915" s="41"/>
      <c r="V915" s="41"/>
      <c r="W915" s="41"/>
      <c r="X915" s="41"/>
      <c r="Y915" s="41"/>
      <c r="Z915" s="41"/>
    </row>
    <row r="916">
      <c r="A916" s="41"/>
      <c r="B916" s="41"/>
      <c r="C916" s="41"/>
      <c r="D916" s="41"/>
      <c r="E916" s="41"/>
      <c r="F916" s="41"/>
      <c r="G916" s="41"/>
      <c r="H916" s="125"/>
      <c r="I916" s="41"/>
      <c r="J916" s="41"/>
      <c r="K916" s="41"/>
      <c r="L916" s="41"/>
      <c r="M916" s="41"/>
      <c r="N916" s="41"/>
      <c r="O916" s="122" t="str">
        <f t="shared" si="1"/>
        <v>#DIV/0!</v>
      </c>
      <c r="P916" s="123" t="str">
        <f t="shared" si="5"/>
        <v>#DIV/0!</v>
      </c>
      <c r="Q916" s="123" t="str">
        <f t="shared" si="2"/>
        <v>#DIV/0!</v>
      </c>
      <c r="R916" s="123" t="str">
        <f t="shared" si="6"/>
        <v>#DIV/0!</v>
      </c>
      <c r="S916" s="123" t="str">
        <f t="shared" si="3"/>
        <v>#DIV/0!</v>
      </c>
      <c r="T916" s="123" t="str">
        <f t="shared" si="4"/>
        <v>#DIV/0!</v>
      </c>
      <c r="U916" s="41"/>
      <c r="V916" s="41"/>
      <c r="W916" s="41"/>
      <c r="X916" s="41"/>
      <c r="Y916" s="41"/>
      <c r="Z916" s="41"/>
    </row>
    <row r="917">
      <c r="A917" s="41"/>
      <c r="B917" s="41"/>
      <c r="C917" s="41"/>
      <c r="D917" s="41"/>
      <c r="E917" s="41"/>
      <c r="F917" s="41"/>
      <c r="G917" s="41"/>
      <c r="H917" s="125"/>
      <c r="I917" s="41"/>
      <c r="J917" s="41"/>
      <c r="K917" s="41"/>
      <c r="L917" s="41"/>
      <c r="M917" s="41"/>
      <c r="N917" s="41"/>
      <c r="O917" s="122" t="str">
        <f t="shared" si="1"/>
        <v>#DIV/0!</v>
      </c>
      <c r="P917" s="123" t="str">
        <f t="shared" si="5"/>
        <v>#DIV/0!</v>
      </c>
      <c r="Q917" s="123" t="str">
        <f t="shared" si="2"/>
        <v>#DIV/0!</v>
      </c>
      <c r="R917" s="123" t="str">
        <f t="shared" si="6"/>
        <v>#DIV/0!</v>
      </c>
      <c r="S917" s="123" t="str">
        <f t="shared" si="3"/>
        <v>#DIV/0!</v>
      </c>
      <c r="T917" s="123" t="str">
        <f t="shared" si="4"/>
        <v>#DIV/0!</v>
      </c>
      <c r="U917" s="41"/>
      <c r="V917" s="41"/>
      <c r="W917" s="41"/>
      <c r="X917" s="41"/>
      <c r="Y917" s="41"/>
      <c r="Z917" s="41"/>
    </row>
    <row r="918">
      <c r="A918" s="41"/>
      <c r="B918" s="41"/>
      <c r="C918" s="41"/>
      <c r="D918" s="41"/>
      <c r="E918" s="41"/>
      <c r="F918" s="41"/>
      <c r="G918" s="41"/>
      <c r="H918" s="125"/>
      <c r="I918" s="41"/>
      <c r="J918" s="41"/>
      <c r="K918" s="41"/>
      <c r="L918" s="41"/>
      <c r="M918" s="41"/>
      <c r="N918" s="41"/>
      <c r="O918" s="122" t="str">
        <f t="shared" si="1"/>
        <v>#DIV/0!</v>
      </c>
      <c r="P918" s="123" t="str">
        <f t="shared" si="5"/>
        <v>#DIV/0!</v>
      </c>
      <c r="Q918" s="123" t="str">
        <f t="shared" si="2"/>
        <v>#DIV/0!</v>
      </c>
      <c r="R918" s="123" t="str">
        <f t="shared" si="6"/>
        <v>#DIV/0!</v>
      </c>
      <c r="S918" s="123" t="str">
        <f t="shared" si="3"/>
        <v>#DIV/0!</v>
      </c>
      <c r="T918" s="123" t="str">
        <f t="shared" si="4"/>
        <v>#DIV/0!</v>
      </c>
      <c r="U918" s="41"/>
      <c r="V918" s="41"/>
      <c r="W918" s="41"/>
      <c r="X918" s="41"/>
      <c r="Y918" s="41"/>
      <c r="Z918" s="41"/>
    </row>
    <row r="919">
      <c r="A919" s="41"/>
      <c r="B919" s="41"/>
      <c r="C919" s="41"/>
      <c r="D919" s="41"/>
      <c r="E919" s="41"/>
      <c r="F919" s="41"/>
      <c r="G919" s="41"/>
      <c r="H919" s="125"/>
      <c r="I919" s="41"/>
      <c r="J919" s="41"/>
      <c r="K919" s="41"/>
      <c r="L919" s="41"/>
      <c r="M919" s="41"/>
      <c r="N919" s="41"/>
      <c r="O919" s="122" t="str">
        <f t="shared" si="1"/>
        <v>#DIV/0!</v>
      </c>
      <c r="P919" s="123" t="str">
        <f t="shared" si="5"/>
        <v>#DIV/0!</v>
      </c>
      <c r="Q919" s="123" t="str">
        <f t="shared" si="2"/>
        <v>#DIV/0!</v>
      </c>
      <c r="R919" s="123" t="str">
        <f t="shared" si="6"/>
        <v>#DIV/0!</v>
      </c>
      <c r="S919" s="123" t="str">
        <f t="shared" si="3"/>
        <v>#DIV/0!</v>
      </c>
      <c r="T919" s="123" t="str">
        <f t="shared" si="4"/>
        <v>#DIV/0!</v>
      </c>
      <c r="U919" s="41"/>
      <c r="V919" s="41"/>
      <c r="W919" s="41"/>
      <c r="X919" s="41"/>
      <c r="Y919" s="41"/>
      <c r="Z919" s="41"/>
    </row>
    <row r="920">
      <c r="A920" s="41"/>
      <c r="B920" s="41"/>
      <c r="C920" s="41"/>
      <c r="D920" s="41"/>
      <c r="E920" s="41"/>
      <c r="F920" s="41"/>
      <c r="G920" s="41"/>
      <c r="H920" s="125"/>
      <c r="I920" s="41"/>
      <c r="J920" s="41"/>
      <c r="K920" s="41"/>
      <c r="L920" s="41"/>
      <c r="M920" s="41"/>
      <c r="N920" s="41"/>
      <c r="O920" s="122" t="str">
        <f t="shared" si="1"/>
        <v>#DIV/0!</v>
      </c>
      <c r="P920" s="123" t="str">
        <f t="shared" si="5"/>
        <v>#DIV/0!</v>
      </c>
      <c r="Q920" s="123" t="str">
        <f t="shared" si="2"/>
        <v>#DIV/0!</v>
      </c>
      <c r="R920" s="123" t="str">
        <f t="shared" si="6"/>
        <v>#DIV/0!</v>
      </c>
      <c r="S920" s="123" t="str">
        <f t="shared" si="3"/>
        <v>#DIV/0!</v>
      </c>
      <c r="T920" s="123" t="str">
        <f t="shared" si="4"/>
        <v>#DIV/0!</v>
      </c>
      <c r="U920" s="41"/>
      <c r="V920" s="41"/>
      <c r="W920" s="41"/>
      <c r="X920" s="41"/>
      <c r="Y920" s="41"/>
      <c r="Z920" s="41"/>
    </row>
    <row r="921">
      <c r="A921" s="41"/>
      <c r="B921" s="41"/>
      <c r="C921" s="41"/>
      <c r="D921" s="41"/>
      <c r="E921" s="41"/>
      <c r="F921" s="41"/>
      <c r="G921" s="41"/>
      <c r="H921" s="125"/>
      <c r="I921" s="41"/>
      <c r="J921" s="41"/>
      <c r="K921" s="41"/>
      <c r="L921" s="41"/>
      <c r="M921" s="41"/>
      <c r="N921" s="41"/>
      <c r="O921" s="40"/>
      <c r="P921" s="126"/>
      <c r="R921" s="123"/>
      <c r="S921" s="123"/>
      <c r="U921" s="127"/>
      <c r="V921" s="41"/>
      <c r="W921" s="41"/>
      <c r="X921" s="41"/>
      <c r="Y921" s="41"/>
      <c r="Z921" s="41"/>
    </row>
    <row r="922">
      <c r="A922" s="41"/>
      <c r="B922" s="41"/>
      <c r="C922" s="41"/>
      <c r="D922" s="41"/>
      <c r="E922" s="41"/>
      <c r="F922" s="41"/>
      <c r="G922" s="41"/>
      <c r="H922" s="125"/>
      <c r="I922" s="41"/>
      <c r="J922" s="41"/>
      <c r="K922" s="41"/>
      <c r="L922" s="41"/>
      <c r="M922" s="41"/>
      <c r="N922" s="41"/>
      <c r="O922" s="40"/>
      <c r="P922" s="126"/>
      <c r="U922" s="127"/>
      <c r="V922" s="41"/>
      <c r="W922" s="41"/>
      <c r="X922" s="41"/>
      <c r="Y922" s="41"/>
      <c r="Z922" s="41"/>
    </row>
    <row r="923">
      <c r="A923" s="41"/>
      <c r="B923" s="41"/>
      <c r="C923" s="41"/>
      <c r="D923" s="41"/>
      <c r="E923" s="41"/>
      <c r="F923" s="41"/>
      <c r="G923" s="41"/>
      <c r="H923" s="125"/>
      <c r="I923" s="41"/>
      <c r="J923" s="41"/>
      <c r="K923" s="41"/>
      <c r="L923" s="41"/>
      <c r="M923" s="41"/>
      <c r="N923" s="41"/>
      <c r="O923" s="40"/>
      <c r="P923" s="126"/>
      <c r="U923" s="127"/>
      <c r="V923" s="41"/>
      <c r="W923" s="41"/>
      <c r="X923" s="41"/>
      <c r="Y923" s="41"/>
      <c r="Z923" s="41"/>
    </row>
    <row r="924">
      <c r="A924" s="41"/>
      <c r="B924" s="41"/>
      <c r="C924" s="41"/>
      <c r="D924" s="41"/>
      <c r="E924" s="41"/>
      <c r="F924" s="41"/>
      <c r="G924" s="41"/>
      <c r="H924" s="125"/>
      <c r="I924" s="41"/>
      <c r="J924" s="41"/>
      <c r="K924" s="41"/>
      <c r="L924" s="41"/>
      <c r="M924" s="41"/>
      <c r="N924" s="41"/>
      <c r="O924" s="40"/>
      <c r="P924" s="126"/>
      <c r="U924" s="127"/>
      <c r="V924" s="41"/>
      <c r="W924" s="41"/>
      <c r="X924" s="41"/>
      <c r="Y924" s="41"/>
      <c r="Z924" s="41"/>
    </row>
    <row r="925">
      <c r="A925" s="41"/>
      <c r="B925" s="41"/>
      <c r="C925" s="41"/>
      <c r="D925" s="41"/>
      <c r="E925" s="41"/>
      <c r="F925" s="41"/>
      <c r="G925" s="41"/>
      <c r="H925" s="125"/>
      <c r="I925" s="41"/>
      <c r="J925" s="41"/>
      <c r="K925" s="41"/>
      <c r="L925" s="41"/>
      <c r="M925" s="41"/>
      <c r="N925" s="41"/>
      <c r="O925" s="40"/>
      <c r="P925" s="126"/>
      <c r="U925" s="127"/>
      <c r="V925" s="41"/>
      <c r="W925" s="41"/>
      <c r="X925" s="41"/>
      <c r="Y925" s="41"/>
      <c r="Z925" s="41"/>
    </row>
    <row r="926">
      <c r="A926" s="41"/>
      <c r="B926" s="41"/>
      <c r="C926" s="41"/>
      <c r="D926" s="41"/>
      <c r="E926" s="41"/>
      <c r="F926" s="41"/>
      <c r="G926" s="41"/>
      <c r="H926" s="125"/>
      <c r="I926" s="41"/>
      <c r="J926" s="41"/>
      <c r="K926" s="41"/>
      <c r="L926" s="41"/>
      <c r="M926" s="41"/>
      <c r="N926" s="41"/>
      <c r="O926" s="40"/>
      <c r="P926" s="126"/>
      <c r="U926" s="127"/>
      <c r="V926" s="41"/>
      <c r="W926" s="41"/>
      <c r="X926" s="41"/>
      <c r="Y926" s="41"/>
      <c r="Z926" s="41"/>
    </row>
    <row r="927">
      <c r="A927" s="41"/>
      <c r="B927" s="41"/>
      <c r="C927" s="41"/>
      <c r="D927" s="41"/>
      <c r="E927" s="41"/>
      <c r="F927" s="41"/>
      <c r="G927" s="41"/>
      <c r="H927" s="125"/>
      <c r="I927" s="41"/>
      <c r="J927" s="41"/>
      <c r="K927" s="41"/>
      <c r="L927" s="41"/>
      <c r="M927" s="41"/>
      <c r="N927" s="41"/>
      <c r="O927" s="40"/>
      <c r="P927" s="126"/>
      <c r="U927" s="127"/>
      <c r="V927" s="41"/>
      <c r="W927" s="41"/>
      <c r="X927" s="41"/>
      <c r="Y927" s="41"/>
      <c r="Z927" s="41"/>
    </row>
    <row r="928">
      <c r="A928" s="41"/>
      <c r="B928" s="41"/>
      <c r="C928" s="41"/>
      <c r="D928" s="41"/>
      <c r="E928" s="41"/>
      <c r="F928" s="41"/>
      <c r="G928" s="41"/>
      <c r="H928" s="125"/>
      <c r="I928" s="41"/>
      <c r="J928" s="41"/>
      <c r="K928" s="41"/>
      <c r="L928" s="41"/>
      <c r="M928" s="41"/>
      <c r="N928" s="41"/>
      <c r="O928" s="40"/>
      <c r="P928" s="126"/>
      <c r="U928" s="127"/>
      <c r="V928" s="41"/>
      <c r="W928" s="41"/>
      <c r="X928" s="41"/>
      <c r="Y928" s="41"/>
      <c r="Z928" s="41"/>
    </row>
    <row r="929">
      <c r="A929" s="41"/>
      <c r="B929" s="41"/>
      <c r="C929" s="41"/>
      <c r="D929" s="41"/>
      <c r="E929" s="41"/>
      <c r="F929" s="41"/>
      <c r="G929" s="41"/>
      <c r="H929" s="125"/>
      <c r="I929" s="41"/>
      <c r="J929" s="41"/>
      <c r="K929" s="41"/>
      <c r="L929" s="41"/>
      <c r="M929" s="41"/>
      <c r="N929" s="41"/>
      <c r="O929" s="40"/>
      <c r="P929" s="126"/>
      <c r="U929" s="127"/>
      <c r="V929" s="41"/>
      <c r="W929" s="41"/>
      <c r="X929" s="41"/>
      <c r="Y929" s="41"/>
      <c r="Z929" s="41"/>
    </row>
    <row r="930">
      <c r="A930" s="41"/>
      <c r="B930" s="41"/>
      <c r="C930" s="41"/>
      <c r="D930" s="41"/>
      <c r="E930" s="41"/>
      <c r="F930" s="41"/>
      <c r="G930" s="41"/>
      <c r="H930" s="125"/>
      <c r="I930" s="41"/>
      <c r="J930" s="41"/>
      <c r="K930" s="41"/>
      <c r="L930" s="41"/>
      <c r="M930" s="41"/>
      <c r="N930" s="41"/>
      <c r="O930" s="40"/>
      <c r="P930" s="126"/>
      <c r="U930" s="127"/>
      <c r="V930" s="41"/>
      <c r="W930" s="41"/>
      <c r="X930" s="41"/>
      <c r="Y930" s="41"/>
      <c r="Z930" s="41"/>
    </row>
    <row r="931">
      <c r="A931" s="41"/>
      <c r="B931" s="41"/>
      <c r="C931" s="41"/>
      <c r="D931" s="41"/>
      <c r="E931" s="41"/>
      <c r="F931" s="41"/>
      <c r="G931" s="41"/>
      <c r="H931" s="125"/>
      <c r="I931" s="41"/>
      <c r="J931" s="41"/>
      <c r="K931" s="41"/>
      <c r="L931" s="41"/>
      <c r="M931" s="41"/>
      <c r="N931" s="41"/>
      <c r="O931" s="40"/>
      <c r="P931" s="126"/>
      <c r="U931" s="127"/>
      <c r="V931" s="41"/>
      <c r="W931" s="41"/>
      <c r="X931" s="41"/>
      <c r="Y931" s="41"/>
      <c r="Z931" s="41"/>
    </row>
    <row r="932">
      <c r="A932" s="41"/>
      <c r="B932" s="41"/>
      <c r="C932" s="41"/>
      <c r="D932" s="41"/>
      <c r="E932" s="41"/>
      <c r="F932" s="41"/>
      <c r="G932" s="41"/>
      <c r="H932" s="125"/>
      <c r="I932" s="41"/>
      <c r="J932" s="41"/>
      <c r="K932" s="41"/>
      <c r="L932" s="41"/>
      <c r="M932" s="41"/>
      <c r="N932" s="41"/>
      <c r="O932" s="40"/>
      <c r="P932" s="126"/>
      <c r="U932" s="127"/>
      <c r="V932" s="41"/>
      <c r="W932" s="41"/>
      <c r="X932" s="41"/>
      <c r="Y932" s="41"/>
      <c r="Z932" s="41"/>
    </row>
    <row r="933">
      <c r="A933" s="41"/>
      <c r="B933" s="41"/>
      <c r="C933" s="41"/>
      <c r="D933" s="41"/>
      <c r="E933" s="41"/>
      <c r="F933" s="41"/>
      <c r="G933" s="41"/>
      <c r="H933" s="125"/>
      <c r="I933" s="41"/>
      <c r="J933" s="41"/>
      <c r="K933" s="41"/>
      <c r="L933" s="41"/>
      <c r="M933" s="41"/>
      <c r="N933" s="41"/>
      <c r="O933" s="40"/>
      <c r="P933" s="126"/>
      <c r="U933" s="127"/>
      <c r="V933" s="41"/>
      <c r="W933" s="41"/>
      <c r="X933" s="41"/>
      <c r="Y933" s="41"/>
      <c r="Z933" s="41"/>
    </row>
    <row r="934">
      <c r="A934" s="41"/>
      <c r="B934" s="41"/>
      <c r="C934" s="41"/>
      <c r="D934" s="41"/>
      <c r="E934" s="41"/>
      <c r="F934" s="41"/>
      <c r="G934" s="41"/>
      <c r="H934" s="125"/>
      <c r="I934" s="41"/>
      <c r="J934" s="41"/>
      <c r="K934" s="41"/>
      <c r="L934" s="41"/>
      <c r="M934" s="41"/>
      <c r="N934" s="41"/>
      <c r="O934" s="40"/>
      <c r="P934" s="126"/>
      <c r="U934" s="127"/>
      <c r="V934" s="41"/>
      <c r="W934" s="41"/>
      <c r="X934" s="41"/>
      <c r="Y934" s="41"/>
      <c r="Z934" s="41"/>
    </row>
    <row r="935">
      <c r="A935" s="41"/>
      <c r="B935" s="41"/>
      <c r="C935" s="41"/>
      <c r="D935" s="41"/>
      <c r="E935" s="41"/>
      <c r="F935" s="41"/>
      <c r="G935" s="41"/>
      <c r="H935" s="125"/>
      <c r="I935" s="41"/>
      <c r="J935" s="41"/>
      <c r="K935" s="41"/>
      <c r="L935" s="41"/>
      <c r="M935" s="41"/>
      <c r="N935" s="41"/>
      <c r="O935" s="40"/>
      <c r="P935" s="126"/>
      <c r="U935" s="127"/>
      <c r="V935" s="41"/>
      <c r="W935" s="41"/>
      <c r="X935" s="41"/>
      <c r="Y935" s="41"/>
      <c r="Z935" s="41"/>
    </row>
    <row r="936">
      <c r="A936" s="41"/>
      <c r="B936" s="41"/>
      <c r="C936" s="41"/>
      <c r="D936" s="41"/>
      <c r="E936" s="41"/>
      <c r="F936" s="41"/>
      <c r="G936" s="41"/>
      <c r="H936" s="125"/>
      <c r="I936" s="41"/>
      <c r="J936" s="41"/>
      <c r="K936" s="41"/>
      <c r="L936" s="41"/>
      <c r="M936" s="41"/>
      <c r="N936" s="41"/>
      <c r="O936" s="40"/>
      <c r="P936" s="126"/>
      <c r="U936" s="127"/>
      <c r="V936" s="41"/>
      <c r="W936" s="41"/>
      <c r="X936" s="41"/>
      <c r="Y936" s="41"/>
      <c r="Z936" s="41"/>
    </row>
    <row r="937">
      <c r="A937" s="41"/>
      <c r="B937" s="41"/>
      <c r="C937" s="41"/>
      <c r="D937" s="41"/>
      <c r="E937" s="41"/>
      <c r="F937" s="41"/>
      <c r="G937" s="41"/>
      <c r="H937" s="125"/>
      <c r="I937" s="41"/>
      <c r="J937" s="41"/>
      <c r="K937" s="41"/>
      <c r="L937" s="41"/>
      <c r="M937" s="41"/>
      <c r="N937" s="41"/>
      <c r="O937" s="40"/>
      <c r="P937" s="126"/>
      <c r="U937" s="127"/>
      <c r="V937" s="41"/>
      <c r="W937" s="41"/>
      <c r="X937" s="41"/>
      <c r="Y937" s="41"/>
      <c r="Z937" s="41"/>
    </row>
    <row r="938">
      <c r="A938" s="41"/>
      <c r="B938" s="41"/>
      <c r="C938" s="41"/>
      <c r="D938" s="41"/>
      <c r="E938" s="41"/>
      <c r="F938" s="41"/>
      <c r="G938" s="41"/>
      <c r="H938" s="125"/>
      <c r="I938" s="41"/>
      <c r="J938" s="41"/>
      <c r="K938" s="41"/>
      <c r="L938" s="41"/>
      <c r="M938" s="41"/>
      <c r="N938" s="41"/>
      <c r="O938" s="40"/>
      <c r="P938" s="126"/>
      <c r="U938" s="127"/>
      <c r="V938" s="41"/>
      <c r="W938" s="41"/>
      <c r="X938" s="41"/>
      <c r="Y938" s="41"/>
      <c r="Z938" s="41"/>
    </row>
    <row r="939">
      <c r="A939" s="41"/>
      <c r="B939" s="41"/>
      <c r="C939" s="41"/>
      <c r="D939" s="41"/>
      <c r="E939" s="41"/>
      <c r="F939" s="41"/>
      <c r="G939" s="41"/>
      <c r="H939" s="125"/>
      <c r="I939" s="41"/>
      <c r="J939" s="41"/>
      <c r="K939" s="41"/>
      <c r="L939" s="41"/>
      <c r="M939" s="41"/>
      <c r="N939" s="41"/>
      <c r="O939" s="40"/>
      <c r="P939" s="126"/>
      <c r="U939" s="127"/>
      <c r="V939" s="41"/>
      <c r="W939" s="41"/>
      <c r="X939" s="41"/>
      <c r="Y939" s="41"/>
      <c r="Z939" s="41"/>
    </row>
    <row r="940">
      <c r="A940" s="41"/>
      <c r="B940" s="41"/>
      <c r="C940" s="41"/>
      <c r="D940" s="41"/>
      <c r="E940" s="41"/>
      <c r="F940" s="41"/>
      <c r="G940" s="41"/>
      <c r="H940" s="125"/>
      <c r="I940" s="41"/>
      <c r="J940" s="41"/>
      <c r="K940" s="41"/>
      <c r="L940" s="41"/>
      <c r="M940" s="41"/>
      <c r="N940" s="41"/>
      <c r="O940" s="40"/>
      <c r="P940" s="126"/>
      <c r="U940" s="127"/>
      <c r="V940" s="41"/>
      <c r="W940" s="41"/>
      <c r="X940" s="41"/>
      <c r="Y940" s="41"/>
      <c r="Z940" s="41"/>
    </row>
    <row r="941">
      <c r="A941" s="41"/>
      <c r="B941" s="41"/>
      <c r="C941" s="41"/>
      <c r="D941" s="41"/>
      <c r="E941" s="41"/>
      <c r="F941" s="41"/>
      <c r="G941" s="41"/>
      <c r="H941" s="125"/>
      <c r="I941" s="41"/>
      <c r="J941" s="41"/>
      <c r="K941" s="41"/>
      <c r="L941" s="41"/>
      <c r="M941" s="41"/>
      <c r="N941" s="41"/>
      <c r="O941" s="40"/>
      <c r="P941" s="126"/>
      <c r="U941" s="127"/>
      <c r="V941" s="41"/>
      <c r="W941" s="41"/>
      <c r="X941" s="41"/>
      <c r="Y941" s="41"/>
      <c r="Z941" s="41"/>
    </row>
    <row r="942">
      <c r="A942" s="41"/>
      <c r="B942" s="41"/>
      <c r="C942" s="41"/>
      <c r="D942" s="41"/>
      <c r="E942" s="41"/>
      <c r="F942" s="41"/>
      <c r="G942" s="41"/>
      <c r="H942" s="125"/>
      <c r="I942" s="41"/>
      <c r="J942" s="41"/>
      <c r="K942" s="41"/>
      <c r="L942" s="41"/>
      <c r="M942" s="41"/>
      <c r="N942" s="41"/>
      <c r="O942" s="40"/>
      <c r="P942" s="126"/>
      <c r="U942" s="127"/>
      <c r="V942" s="41"/>
      <c r="W942" s="41"/>
      <c r="X942" s="41"/>
      <c r="Y942" s="41"/>
      <c r="Z942" s="41"/>
    </row>
    <row r="943">
      <c r="A943" s="41"/>
      <c r="B943" s="41"/>
      <c r="C943" s="41"/>
      <c r="D943" s="41"/>
      <c r="E943" s="41"/>
      <c r="F943" s="41"/>
      <c r="G943" s="41"/>
      <c r="H943" s="125"/>
      <c r="I943" s="41"/>
      <c r="J943" s="41"/>
      <c r="K943" s="41"/>
      <c r="L943" s="41"/>
      <c r="M943" s="41"/>
      <c r="N943" s="41"/>
      <c r="O943" s="40"/>
      <c r="P943" s="126"/>
      <c r="U943" s="127"/>
      <c r="V943" s="41"/>
      <c r="W943" s="41"/>
      <c r="X943" s="41"/>
      <c r="Y943" s="41"/>
      <c r="Z943" s="41"/>
    </row>
    <row r="944">
      <c r="A944" s="41"/>
      <c r="B944" s="41"/>
      <c r="C944" s="41"/>
      <c r="D944" s="41"/>
      <c r="E944" s="41"/>
      <c r="F944" s="41"/>
      <c r="G944" s="41"/>
      <c r="H944" s="125"/>
      <c r="I944" s="41"/>
      <c r="J944" s="41"/>
      <c r="K944" s="41"/>
      <c r="L944" s="41"/>
      <c r="M944" s="41"/>
      <c r="N944" s="41"/>
      <c r="O944" s="40"/>
      <c r="P944" s="126"/>
      <c r="U944" s="127"/>
      <c r="V944" s="41"/>
      <c r="W944" s="41"/>
      <c r="X944" s="41"/>
      <c r="Y944" s="41"/>
      <c r="Z944" s="41"/>
    </row>
    <row r="945">
      <c r="A945" s="41"/>
      <c r="B945" s="41"/>
      <c r="C945" s="41"/>
      <c r="D945" s="41"/>
      <c r="E945" s="41"/>
      <c r="F945" s="41"/>
      <c r="G945" s="41"/>
      <c r="H945" s="125"/>
      <c r="I945" s="41"/>
      <c r="J945" s="41"/>
      <c r="K945" s="41"/>
      <c r="L945" s="41"/>
      <c r="M945" s="41"/>
      <c r="N945" s="41"/>
      <c r="O945" s="40"/>
      <c r="P945" s="126"/>
      <c r="U945" s="127"/>
      <c r="V945" s="41"/>
      <c r="W945" s="41"/>
      <c r="X945" s="41"/>
      <c r="Y945" s="41"/>
      <c r="Z945" s="41"/>
    </row>
    <row r="946">
      <c r="A946" s="41"/>
      <c r="B946" s="41"/>
      <c r="C946" s="41"/>
      <c r="D946" s="41"/>
      <c r="E946" s="41"/>
      <c r="F946" s="41"/>
      <c r="G946" s="41"/>
      <c r="H946" s="125"/>
      <c r="I946" s="41"/>
      <c r="J946" s="41"/>
      <c r="K946" s="41"/>
      <c r="L946" s="41"/>
      <c r="M946" s="41"/>
      <c r="N946" s="41"/>
      <c r="O946" s="40"/>
      <c r="P946" s="126"/>
      <c r="U946" s="127"/>
      <c r="V946" s="41"/>
      <c r="W946" s="41"/>
      <c r="X946" s="41"/>
      <c r="Y946" s="41"/>
      <c r="Z946" s="41"/>
    </row>
    <row r="947">
      <c r="A947" s="41"/>
      <c r="B947" s="41"/>
      <c r="C947" s="41"/>
      <c r="D947" s="41"/>
      <c r="E947" s="41"/>
      <c r="F947" s="41"/>
      <c r="G947" s="41"/>
      <c r="H947" s="125"/>
      <c r="I947" s="41"/>
      <c r="J947" s="41"/>
      <c r="K947" s="41"/>
      <c r="L947" s="41"/>
      <c r="M947" s="41"/>
      <c r="N947" s="41"/>
      <c r="O947" s="40"/>
      <c r="P947" s="126"/>
      <c r="U947" s="127"/>
      <c r="V947" s="41"/>
      <c r="W947" s="41"/>
      <c r="X947" s="41"/>
      <c r="Y947" s="41"/>
      <c r="Z947" s="41"/>
    </row>
    <row r="948">
      <c r="A948" s="41"/>
      <c r="B948" s="41"/>
      <c r="C948" s="41"/>
      <c r="D948" s="41"/>
      <c r="E948" s="41"/>
      <c r="F948" s="41"/>
      <c r="G948" s="41"/>
      <c r="H948" s="125"/>
      <c r="I948" s="41"/>
      <c r="J948" s="41"/>
      <c r="K948" s="41"/>
      <c r="L948" s="41"/>
      <c r="M948" s="41"/>
      <c r="N948" s="41"/>
      <c r="O948" s="40"/>
      <c r="P948" s="126"/>
      <c r="U948" s="127"/>
      <c r="V948" s="41"/>
      <c r="W948" s="41"/>
      <c r="X948" s="41"/>
      <c r="Y948" s="41"/>
      <c r="Z948" s="41"/>
    </row>
    <row r="949">
      <c r="A949" s="41"/>
      <c r="B949" s="41"/>
      <c r="C949" s="41"/>
      <c r="D949" s="41"/>
      <c r="E949" s="41"/>
      <c r="F949" s="41"/>
      <c r="G949" s="41"/>
      <c r="H949" s="125"/>
      <c r="I949" s="41"/>
      <c r="J949" s="41"/>
      <c r="K949" s="41"/>
      <c r="L949" s="41"/>
      <c r="M949" s="41"/>
      <c r="N949" s="41"/>
      <c r="O949" s="40"/>
      <c r="P949" s="126"/>
      <c r="U949" s="127"/>
      <c r="V949" s="41"/>
      <c r="W949" s="41"/>
      <c r="X949" s="41"/>
      <c r="Y949" s="41"/>
      <c r="Z949" s="41"/>
    </row>
    <row r="950">
      <c r="A950" s="41"/>
      <c r="B950" s="41"/>
      <c r="C950" s="41"/>
      <c r="D950" s="41"/>
      <c r="E950" s="41"/>
      <c r="F950" s="41"/>
      <c r="G950" s="41"/>
      <c r="H950" s="125"/>
      <c r="I950" s="41"/>
      <c r="J950" s="41"/>
      <c r="K950" s="41"/>
      <c r="L950" s="41"/>
      <c r="M950" s="41"/>
      <c r="N950" s="41"/>
      <c r="O950" s="40"/>
      <c r="P950" s="126"/>
      <c r="U950" s="127"/>
      <c r="V950" s="41"/>
      <c r="W950" s="41"/>
      <c r="X950" s="41"/>
      <c r="Y950" s="41"/>
      <c r="Z950" s="41"/>
    </row>
    <row r="951">
      <c r="A951" s="41"/>
      <c r="B951" s="41"/>
      <c r="C951" s="41"/>
      <c r="D951" s="41"/>
      <c r="E951" s="41"/>
      <c r="F951" s="41"/>
      <c r="G951" s="41"/>
      <c r="H951" s="125"/>
      <c r="I951" s="41"/>
      <c r="J951" s="41"/>
      <c r="K951" s="41"/>
      <c r="L951" s="41"/>
      <c r="M951" s="41"/>
      <c r="N951" s="41"/>
      <c r="O951" s="40"/>
      <c r="P951" s="126"/>
      <c r="U951" s="127"/>
      <c r="V951" s="41"/>
      <c r="W951" s="41"/>
      <c r="X951" s="41"/>
      <c r="Y951" s="41"/>
      <c r="Z951" s="41"/>
    </row>
    <row r="952">
      <c r="A952" s="41"/>
      <c r="B952" s="41"/>
      <c r="C952" s="41"/>
      <c r="D952" s="41"/>
      <c r="E952" s="41"/>
      <c r="F952" s="41"/>
      <c r="G952" s="41"/>
      <c r="H952" s="125"/>
      <c r="I952" s="41"/>
      <c r="J952" s="41"/>
      <c r="K952" s="41"/>
      <c r="L952" s="41"/>
      <c r="M952" s="41"/>
      <c r="N952" s="41"/>
      <c r="O952" s="40"/>
      <c r="P952" s="126"/>
      <c r="U952" s="127"/>
      <c r="V952" s="41"/>
      <c r="W952" s="41"/>
      <c r="X952" s="41"/>
      <c r="Y952" s="41"/>
      <c r="Z952" s="41"/>
    </row>
    <row r="953">
      <c r="A953" s="41"/>
      <c r="B953" s="41"/>
      <c r="C953" s="41"/>
      <c r="D953" s="41"/>
      <c r="E953" s="41"/>
      <c r="F953" s="41"/>
      <c r="G953" s="41"/>
      <c r="H953" s="125"/>
      <c r="I953" s="41"/>
      <c r="J953" s="41"/>
      <c r="K953" s="41"/>
      <c r="L953" s="41"/>
      <c r="M953" s="41"/>
      <c r="N953" s="41"/>
      <c r="O953" s="40"/>
      <c r="P953" s="126"/>
      <c r="U953" s="127"/>
      <c r="V953" s="41"/>
      <c r="W953" s="41"/>
      <c r="X953" s="41"/>
      <c r="Y953" s="41"/>
      <c r="Z953" s="41"/>
    </row>
    <row r="954">
      <c r="A954" s="41"/>
      <c r="B954" s="41"/>
      <c r="C954" s="41"/>
      <c r="D954" s="41"/>
      <c r="E954" s="41"/>
      <c r="F954" s="41"/>
      <c r="G954" s="41"/>
      <c r="H954" s="125"/>
      <c r="I954" s="41"/>
      <c r="J954" s="41"/>
      <c r="K954" s="41"/>
      <c r="L954" s="41"/>
      <c r="M954" s="41"/>
      <c r="N954" s="41"/>
      <c r="O954" s="40"/>
      <c r="P954" s="126"/>
      <c r="U954" s="127"/>
      <c r="V954" s="41"/>
      <c r="W954" s="41"/>
      <c r="X954" s="41"/>
      <c r="Y954" s="41"/>
      <c r="Z954" s="41"/>
    </row>
    <row r="955">
      <c r="A955" s="41"/>
      <c r="B955" s="41"/>
      <c r="C955" s="41"/>
      <c r="D955" s="41"/>
      <c r="E955" s="41"/>
      <c r="F955" s="41"/>
      <c r="G955" s="41"/>
      <c r="H955" s="125"/>
      <c r="I955" s="41"/>
      <c r="J955" s="41"/>
      <c r="K955" s="41"/>
      <c r="L955" s="41"/>
      <c r="M955" s="41"/>
      <c r="N955" s="41"/>
      <c r="O955" s="40"/>
      <c r="P955" s="126"/>
      <c r="U955" s="127"/>
      <c r="V955" s="41"/>
      <c r="W955" s="41"/>
      <c r="X955" s="41"/>
      <c r="Y955" s="41"/>
      <c r="Z955" s="41"/>
    </row>
    <row r="956">
      <c r="A956" s="41"/>
      <c r="B956" s="41"/>
      <c r="C956" s="41"/>
      <c r="D956" s="41"/>
      <c r="E956" s="41"/>
      <c r="F956" s="41"/>
      <c r="G956" s="41"/>
      <c r="H956" s="125"/>
      <c r="I956" s="41"/>
      <c r="J956" s="41"/>
      <c r="K956" s="41"/>
      <c r="L956" s="41"/>
      <c r="M956" s="41"/>
      <c r="N956" s="41"/>
      <c r="O956" s="40"/>
      <c r="P956" s="126"/>
      <c r="U956" s="127"/>
      <c r="V956" s="41"/>
      <c r="W956" s="41"/>
      <c r="X956" s="41"/>
      <c r="Y956" s="41"/>
      <c r="Z956" s="41"/>
    </row>
    <row r="957">
      <c r="A957" s="41"/>
      <c r="B957" s="41"/>
      <c r="C957" s="41"/>
      <c r="D957" s="41"/>
      <c r="E957" s="41"/>
      <c r="F957" s="41"/>
      <c r="G957" s="41"/>
      <c r="H957" s="125"/>
      <c r="I957" s="41"/>
      <c r="J957" s="41"/>
      <c r="K957" s="41"/>
      <c r="L957" s="41"/>
      <c r="M957" s="41"/>
      <c r="N957" s="41"/>
      <c r="O957" s="40"/>
      <c r="P957" s="126"/>
      <c r="U957" s="127"/>
      <c r="V957" s="41"/>
      <c r="W957" s="41"/>
      <c r="X957" s="41"/>
      <c r="Y957" s="41"/>
      <c r="Z957" s="41"/>
    </row>
    <row r="958">
      <c r="A958" s="41"/>
      <c r="B958" s="41"/>
      <c r="C958" s="41"/>
      <c r="D958" s="41"/>
      <c r="E958" s="41"/>
      <c r="F958" s="41"/>
      <c r="G958" s="41"/>
      <c r="H958" s="125"/>
      <c r="I958" s="41"/>
      <c r="J958" s="41"/>
      <c r="K958" s="41"/>
      <c r="L958" s="41"/>
      <c r="M958" s="41"/>
      <c r="N958" s="41"/>
      <c r="O958" s="40"/>
      <c r="P958" s="126"/>
      <c r="U958" s="127"/>
      <c r="V958" s="41"/>
      <c r="W958" s="41"/>
      <c r="X958" s="41"/>
      <c r="Y958" s="41"/>
      <c r="Z958" s="41"/>
    </row>
    <row r="959">
      <c r="A959" s="41"/>
      <c r="B959" s="41"/>
      <c r="C959" s="41"/>
      <c r="D959" s="41"/>
      <c r="E959" s="41"/>
      <c r="F959" s="41"/>
      <c r="G959" s="41"/>
      <c r="H959" s="125"/>
      <c r="I959" s="41"/>
      <c r="J959" s="41"/>
      <c r="K959" s="41"/>
      <c r="L959" s="41"/>
      <c r="M959" s="41"/>
      <c r="N959" s="41"/>
      <c r="O959" s="40"/>
      <c r="P959" s="126"/>
      <c r="U959" s="127"/>
      <c r="V959" s="41"/>
      <c r="W959" s="41"/>
      <c r="X959" s="41"/>
      <c r="Y959" s="41"/>
      <c r="Z959" s="41"/>
    </row>
    <row r="960">
      <c r="A960" s="41"/>
      <c r="B960" s="41"/>
      <c r="C960" s="41"/>
      <c r="D960" s="41"/>
      <c r="E960" s="41"/>
      <c r="F960" s="41"/>
      <c r="G960" s="41"/>
      <c r="H960" s="125"/>
      <c r="I960" s="41"/>
      <c r="J960" s="41"/>
      <c r="K960" s="41"/>
      <c r="L960" s="41"/>
      <c r="M960" s="41"/>
      <c r="N960" s="41"/>
      <c r="O960" s="40"/>
      <c r="P960" s="126"/>
      <c r="U960" s="127"/>
      <c r="V960" s="41"/>
      <c r="W960" s="41"/>
      <c r="X960" s="41"/>
      <c r="Y960" s="41"/>
      <c r="Z960" s="41"/>
    </row>
    <row r="961">
      <c r="A961" s="41"/>
      <c r="B961" s="41"/>
      <c r="C961" s="41"/>
      <c r="D961" s="41"/>
      <c r="E961" s="41"/>
      <c r="F961" s="41"/>
      <c r="G961" s="41"/>
      <c r="H961" s="125"/>
      <c r="I961" s="41"/>
      <c r="J961" s="41"/>
      <c r="K961" s="41"/>
      <c r="L961" s="41"/>
      <c r="M961" s="41"/>
      <c r="N961" s="41"/>
      <c r="O961" s="40"/>
      <c r="P961" s="126"/>
      <c r="U961" s="127"/>
      <c r="V961" s="41"/>
      <c r="W961" s="41"/>
      <c r="X961" s="41"/>
      <c r="Y961" s="41"/>
      <c r="Z961" s="41"/>
    </row>
    <row r="962">
      <c r="A962" s="41"/>
      <c r="B962" s="41"/>
      <c r="C962" s="41"/>
      <c r="D962" s="41"/>
      <c r="E962" s="41"/>
      <c r="F962" s="41"/>
      <c r="G962" s="41"/>
      <c r="H962" s="125"/>
      <c r="I962" s="41"/>
      <c r="J962" s="41"/>
      <c r="K962" s="41"/>
      <c r="L962" s="41"/>
      <c r="M962" s="41"/>
      <c r="N962" s="41"/>
      <c r="O962" s="40"/>
      <c r="P962" s="126"/>
      <c r="U962" s="127"/>
      <c r="V962" s="41"/>
      <c r="W962" s="41"/>
      <c r="X962" s="41"/>
      <c r="Y962" s="41"/>
      <c r="Z962" s="41"/>
    </row>
    <row r="963">
      <c r="A963" s="41"/>
      <c r="B963" s="41"/>
      <c r="C963" s="41"/>
      <c r="D963" s="41"/>
      <c r="E963" s="41"/>
      <c r="F963" s="41"/>
      <c r="G963" s="41"/>
      <c r="H963" s="125"/>
      <c r="I963" s="41"/>
      <c r="J963" s="41"/>
      <c r="K963" s="41"/>
      <c r="L963" s="41"/>
      <c r="M963" s="41"/>
      <c r="N963" s="41"/>
      <c r="O963" s="40"/>
      <c r="P963" s="126"/>
      <c r="U963" s="127"/>
      <c r="V963" s="41"/>
      <c r="W963" s="41"/>
      <c r="X963" s="41"/>
      <c r="Y963" s="41"/>
      <c r="Z963" s="41"/>
    </row>
    <row r="964">
      <c r="A964" s="41"/>
      <c r="B964" s="41"/>
      <c r="C964" s="41"/>
      <c r="D964" s="41"/>
      <c r="E964" s="41"/>
      <c r="F964" s="41"/>
      <c r="G964" s="41"/>
      <c r="H964" s="125"/>
      <c r="I964" s="41"/>
      <c r="J964" s="41"/>
      <c r="K964" s="41"/>
      <c r="L964" s="41"/>
      <c r="M964" s="41"/>
      <c r="N964" s="41"/>
      <c r="O964" s="40"/>
      <c r="P964" s="126"/>
      <c r="U964" s="127"/>
      <c r="V964" s="41"/>
      <c r="W964" s="41"/>
      <c r="X964" s="41"/>
      <c r="Y964" s="41"/>
      <c r="Z964" s="41"/>
    </row>
    <row r="965">
      <c r="A965" s="41"/>
      <c r="B965" s="41"/>
      <c r="C965" s="41"/>
      <c r="D965" s="41"/>
      <c r="E965" s="41"/>
      <c r="F965" s="41"/>
      <c r="G965" s="41"/>
      <c r="H965" s="125"/>
      <c r="I965" s="41"/>
      <c r="J965" s="41"/>
      <c r="K965" s="41"/>
      <c r="L965" s="41"/>
      <c r="M965" s="41"/>
      <c r="N965" s="41"/>
      <c r="O965" s="40"/>
      <c r="P965" s="126"/>
      <c r="U965" s="127"/>
      <c r="V965" s="41"/>
      <c r="W965" s="41"/>
      <c r="X965" s="41"/>
      <c r="Y965" s="41"/>
      <c r="Z965" s="41"/>
    </row>
    <row r="966">
      <c r="A966" s="41"/>
      <c r="B966" s="41"/>
      <c r="C966" s="41"/>
      <c r="D966" s="41"/>
      <c r="E966" s="41"/>
      <c r="F966" s="41"/>
      <c r="G966" s="41"/>
      <c r="H966" s="125"/>
      <c r="I966" s="41"/>
      <c r="J966" s="41"/>
      <c r="K966" s="41"/>
      <c r="L966" s="41"/>
      <c r="M966" s="41"/>
      <c r="N966" s="41"/>
      <c r="O966" s="40"/>
      <c r="P966" s="126"/>
      <c r="U966" s="127"/>
      <c r="V966" s="41"/>
      <c r="W966" s="41"/>
      <c r="X966" s="41"/>
      <c r="Y966" s="41"/>
      <c r="Z966" s="41"/>
    </row>
    <row r="967">
      <c r="A967" s="41"/>
      <c r="B967" s="41"/>
      <c r="C967" s="41"/>
      <c r="D967" s="41"/>
      <c r="E967" s="41"/>
      <c r="F967" s="41"/>
      <c r="G967" s="41"/>
      <c r="H967" s="125"/>
      <c r="I967" s="41"/>
      <c r="J967" s="41"/>
      <c r="K967" s="41"/>
      <c r="L967" s="41"/>
      <c r="M967" s="41"/>
      <c r="N967" s="41"/>
      <c r="O967" s="40"/>
      <c r="P967" s="126"/>
      <c r="U967" s="127"/>
      <c r="V967" s="41"/>
      <c r="W967" s="41"/>
      <c r="X967" s="41"/>
      <c r="Y967" s="41"/>
      <c r="Z967" s="41"/>
    </row>
    <row r="968">
      <c r="A968" s="41"/>
      <c r="B968" s="41"/>
      <c r="C968" s="41"/>
      <c r="D968" s="41"/>
      <c r="E968" s="41"/>
      <c r="F968" s="41"/>
      <c r="G968" s="41"/>
      <c r="H968" s="125"/>
      <c r="I968" s="41"/>
      <c r="J968" s="41"/>
      <c r="K968" s="41"/>
      <c r="L968" s="41"/>
      <c r="M968" s="41"/>
      <c r="N968" s="41"/>
      <c r="O968" s="40"/>
      <c r="P968" s="126"/>
      <c r="U968" s="127"/>
      <c r="V968" s="41"/>
      <c r="W968" s="41"/>
      <c r="X968" s="41"/>
      <c r="Y968" s="41"/>
      <c r="Z968" s="41"/>
    </row>
    <row r="969">
      <c r="A969" s="41"/>
      <c r="B969" s="41"/>
      <c r="C969" s="41"/>
      <c r="D969" s="41"/>
      <c r="E969" s="41"/>
      <c r="F969" s="41"/>
      <c r="G969" s="41"/>
      <c r="H969" s="125"/>
      <c r="I969" s="41"/>
      <c r="J969" s="41"/>
      <c r="K969" s="41"/>
      <c r="L969" s="41"/>
      <c r="M969" s="41"/>
      <c r="N969" s="41"/>
      <c r="O969" s="40"/>
      <c r="P969" s="126"/>
      <c r="U969" s="127"/>
      <c r="V969" s="41"/>
      <c r="W969" s="41"/>
      <c r="X969" s="41"/>
      <c r="Y969" s="41"/>
      <c r="Z969" s="41"/>
    </row>
    <row r="970">
      <c r="A970" s="41"/>
      <c r="B970" s="41"/>
      <c r="C970" s="41"/>
      <c r="D970" s="41"/>
      <c r="E970" s="41"/>
      <c r="F970" s="41"/>
      <c r="G970" s="41"/>
      <c r="H970" s="125"/>
      <c r="I970" s="41"/>
      <c r="J970" s="41"/>
      <c r="K970" s="41"/>
      <c r="L970" s="41"/>
      <c r="M970" s="41"/>
      <c r="N970" s="41"/>
      <c r="O970" s="40"/>
      <c r="P970" s="126"/>
      <c r="U970" s="127"/>
      <c r="V970" s="41"/>
      <c r="W970" s="41"/>
      <c r="X970" s="41"/>
      <c r="Y970" s="41"/>
      <c r="Z970" s="41"/>
    </row>
    <row r="971">
      <c r="A971" s="41"/>
      <c r="B971" s="41"/>
      <c r="C971" s="41"/>
      <c r="D971" s="41"/>
      <c r="E971" s="41"/>
      <c r="F971" s="41"/>
      <c r="G971" s="41"/>
      <c r="H971" s="125"/>
      <c r="I971" s="41"/>
      <c r="J971" s="41"/>
      <c r="K971" s="41"/>
      <c r="L971" s="41"/>
      <c r="M971" s="41"/>
      <c r="N971" s="41"/>
      <c r="O971" s="40"/>
      <c r="P971" s="126"/>
      <c r="U971" s="127"/>
      <c r="V971" s="41"/>
      <c r="W971" s="41"/>
      <c r="X971" s="41"/>
      <c r="Y971" s="41"/>
      <c r="Z971" s="41"/>
    </row>
    <row r="972">
      <c r="A972" s="41"/>
      <c r="B972" s="41"/>
      <c r="C972" s="41"/>
      <c r="D972" s="41"/>
      <c r="E972" s="41"/>
      <c r="F972" s="41"/>
      <c r="G972" s="41"/>
      <c r="H972" s="125"/>
      <c r="I972" s="41"/>
      <c r="J972" s="41"/>
      <c r="K972" s="41"/>
      <c r="L972" s="41"/>
      <c r="M972" s="41"/>
      <c r="N972" s="41"/>
      <c r="O972" s="40"/>
      <c r="P972" s="126"/>
      <c r="U972" s="127"/>
      <c r="V972" s="41"/>
      <c r="W972" s="41"/>
      <c r="X972" s="41"/>
      <c r="Y972" s="41"/>
      <c r="Z972" s="41"/>
    </row>
    <row r="973">
      <c r="A973" s="41"/>
      <c r="B973" s="41"/>
      <c r="C973" s="41"/>
      <c r="D973" s="41"/>
      <c r="E973" s="41"/>
      <c r="F973" s="41"/>
      <c r="G973" s="41"/>
      <c r="H973" s="125"/>
      <c r="I973" s="41"/>
      <c r="J973" s="41"/>
      <c r="K973" s="41"/>
      <c r="L973" s="41"/>
      <c r="M973" s="41"/>
      <c r="N973" s="41"/>
      <c r="O973" s="40"/>
      <c r="P973" s="126"/>
      <c r="U973" s="127"/>
      <c r="V973" s="41"/>
      <c r="W973" s="41"/>
      <c r="X973" s="41"/>
      <c r="Y973" s="41"/>
      <c r="Z973" s="41"/>
    </row>
    <row r="974">
      <c r="A974" s="41"/>
      <c r="B974" s="41"/>
      <c r="C974" s="41"/>
      <c r="D974" s="41"/>
      <c r="E974" s="41"/>
      <c r="F974" s="41"/>
      <c r="G974" s="41"/>
      <c r="H974" s="125"/>
      <c r="I974" s="41"/>
      <c r="J974" s="41"/>
      <c r="K974" s="41"/>
      <c r="L974" s="41"/>
      <c r="M974" s="41"/>
      <c r="N974" s="41"/>
      <c r="O974" s="40"/>
      <c r="P974" s="126"/>
      <c r="U974" s="127"/>
      <c r="V974" s="41"/>
      <c r="W974" s="41"/>
      <c r="X974" s="41"/>
      <c r="Y974" s="41"/>
      <c r="Z974" s="41"/>
    </row>
    <row r="975">
      <c r="A975" s="41"/>
      <c r="B975" s="41"/>
      <c r="C975" s="41"/>
      <c r="D975" s="41"/>
      <c r="E975" s="41"/>
      <c r="F975" s="41"/>
      <c r="G975" s="41"/>
      <c r="H975" s="125"/>
      <c r="I975" s="41"/>
      <c r="J975" s="41"/>
      <c r="K975" s="41"/>
      <c r="L975" s="41"/>
      <c r="M975" s="41"/>
      <c r="N975" s="41"/>
      <c r="O975" s="40"/>
      <c r="P975" s="126"/>
      <c r="U975" s="127"/>
      <c r="V975" s="41"/>
      <c r="W975" s="41"/>
      <c r="X975" s="41"/>
      <c r="Y975" s="41"/>
      <c r="Z975" s="41"/>
    </row>
    <row r="976">
      <c r="A976" s="41"/>
      <c r="B976" s="41"/>
      <c r="C976" s="41"/>
      <c r="D976" s="41"/>
      <c r="E976" s="41"/>
      <c r="F976" s="41"/>
      <c r="G976" s="41"/>
      <c r="H976" s="125"/>
      <c r="I976" s="41"/>
      <c r="J976" s="41"/>
      <c r="K976" s="41"/>
      <c r="L976" s="41"/>
      <c r="M976" s="41"/>
      <c r="N976" s="41"/>
      <c r="O976" s="40"/>
      <c r="P976" s="126"/>
      <c r="U976" s="127"/>
      <c r="V976" s="41"/>
      <c r="W976" s="41"/>
      <c r="X976" s="41"/>
      <c r="Y976" s="41"/>
      <c r="Z976" s="41"/>
    </row>
    <row r="977">
      <c r="A977" s="41"/>
      <c r="B977" s="41"/>
      <c r="C977" s="41"/>
      <c r="D977" s="41"/>
      <c r="E977" s="41"/>
      <c r="F977" s="41"/>
      <c r="G977" s="41"/>
      <c r="H977" s="125"/>
      <c r="I977" s="41"/>
      <c r="J977" s="41"/>
      <c r="K977" s="41"/>
      <c r="L977" s="41"/>
      <c r="M977" s="41"/>
      <c r="N977" s="41"/>
      <c r="O977" s="40"/>
      <c r="P977" s="126"/>
      <c r="U977" s="127"/>
      <c r="V977" s="41"/>
      <c r="W977" s="41"/>
      <c r="X977" s="41"/>
      <c r="Y977" s="41"/>
      <c r="Z977" s="41"/>
    </row>
    <row r="978">
      <c r="A978" s="41"/>
      <c r="B978" s="41"/>
      <c r="C978" s="41"/>
      <c r="D978" s="41"/>
      <c r="E978" s="41"/>
      <c r="F978" s="41"/>
      <c r="G978" s="41"/>
      <c r="H978" s="125"/>
      <c r="I978" s="41"/>
      <c r="J978" s="41"/>
      <c r="K978" s="41"/>
      <c r="L978" s="41"/>
      <c r="M978" s="41"/>
      <c r="N978" s="41"/>
      <c r="O978" s="40"/>
      <c r="P978" s="126"/>
      <c r="U978" s="127"/>
      <c r="V978" s="41"/>
      <c r="W978" s="41"/>
      <c r="X978" s="41"/>
      <c r="Y978" s="41"/>
      <c r="Z978" s="41"/>
    </row>
    <row r="979">
      <c r="A979" s="41"/>
      <c r="B979" s="41"/>
      <c r="C979" s="41"/>
      <c r="D979" s="41"/>
      <c r="E979" s="41"/>
      <c r="F979" s="41"/>
      <c r="G979" s="41"/>
      <c r="H979" s="125"/>
      <c r="I979" s="41"/>
      <c r="J979" s="41"/>
      <c r="K979" s="41"/>
      <c r="L979" s="41"/>
      <c r="M979" s="41"/>
      <c r="N979" s="41"/>
      <c r="O979" s="40"/>
      <c r="P979" s="126"/>
      <c r="U979" s="127"/>
      <c r="V979" s="41"/>
      <c r="W979" s="41"/>
      <c r="X979" s="41"/>
      <c r="Y979" s="41"/>
      <c r="Z979" s="41"/>
    </row>
    <row r="980">
      <c r="A980" s="41"/>
      <c r="B980" s="41"/>
      <c r="C980" s="41"/>
      <c r="D980" s="41"/>
      <c r="E980" s="41"/>
      <c r="F980" s="41"/>
      <c r="G980" s="41"/>
      <c r="H980" s="125"/>
      <c r="I980" s="41"/>
      <c r="J980" s="41"/>
      <c r="K980" s="41"/>
      <c r="L980" s="41"/>
      <c r="M980" s="41"/>
      <c r="N980" s="41"/>
      <c r="O980" s="40"/>
      <c r="P980" s="126"/>
      <c r="U980" s="127"/>
      <c r="V980" s="41"/>
      <c r="W980" s="41"/>
      <c r="X980" s="41"/>
      <c r="Y980" s="41"/>
      <c r="Z980" s="41"/>
    </row>
    <row r="981">
      <c r="A981" s="41"/>
      <c r="B981" s="41"/>
      <c r="C981" s="41"/>
      <c r="D981" s="41"/>
      <c r="E981" s="41"/>
      <c r="F981" s="41"/>
      <c r="G981" s="41"/>
      <c r="H981" s="125"/>
      <c r="I981" s="41"/>
      <c r="J981" s="41"/>
      <c r="K981" s="41"/>
      <c r="L981" s="41"/>
      <c r="M981" s="41"/>
      <c r="N981" s="41"/>
      <c r="O981" s="40"/>
      <c r="P981" s="126"/>
      <c r="U981" s="127"/>
      <c r="V981" s="41"/>
      <c r="W981" s="41"/>
      <c r="X981" s="41"/>
      <c r="Y981" s="41"/>
      <c r="Z981" s="41"/>
    </row>
    <row r="982">
      <c r="A982" s="41"/>
      <c r="B982" s="41"/>
      <c r="C982" s="41"/>
      <c r="D982" s="41"/>
      <c r="E982" s="41"/>
      <c r="F982" s="41"/>
      <c r="G982" s="41"/>
      <c r="H982" s="125"/>
      <c r="I982" s="41"/>
      <c r="J982" s="41"/>
      <c r="K982" s="41"/>
      <c r="L982" s="41"/>
      <c r="M982" s="41"/>
      <c r="N982" s="41"/>
      <c r="O982" s="40"/>
      <c r="P982" s="126"/>
      <c r="U982" s="127"/>
      <c r="V982" s="41"/>
      <c r="W982" s="41"/>
      <c r="X982" s="41"/>
      <c r="Y982" s="41"/>
      <c r="Z982" s="41"/>
    </row>
    <row r="983">
      <c r="A983" s="41"/>
      <c r="B983" s="41"/>
      <c r="C983" s="41"/>
      <c r="D983" s="41"/>
      <c r="E983" s="41"/>
      <c r="F983" s="41"/>
      <c r="G983" s="41"/>
      <c r="H983" s="125"/>
      <c r="I983" s="41"/>
      <c r="J983" s="41"/>
      <c r="K983" s="41"/>
      <c r="L983" s="41"/>
      <c r="M983" s="41"/>
      <c r="N983" s="41"/>
      <c r="O983" s="40"/>
      <c r="P983" s="126"/>
      <c r="U983" s="127"/>
      <c r="V983" s="41"/>
      <c r="W983" s="41"/>
      <c r="X983" s="41"/>
      <c r="Y983" s="41"/>
      <c r="Z983" s="41"/>
    </row>
    <row r="984">
      <c r="A984" s="41"/>
      <c r="B984" s="41"/>
      <c r="C984" s="41"/>
      <c r="D984" s="41"/>
      <c r="E984" s="41"/>
      <c r="F984" s="41"/>
      <c r="G984" s="41"/>
      <c r="H984" s="125"/>
      <c r="I984" s="41"/>
      <c r="J984" s="41"/>
      <c r="K984" s="41"/>
      <c r="L984" s="41"/>
      <c r="M984" s="41"/>
      <c r="N984" s="41"/>
      <c r="O984" s="40"/>
      <c r="P984" s="126"/>
      <c r="U984" s="127"/>
      <c r="V984" s="41"/>
      <c r="W984" s="41"/>
      <c r="X984" s="41"/>
      <c r="Y984" s="41"/>
      <c r="Z984" s="41"/>
    </row>
    <row r="985">
      <c r="A985" s="41"/>
      <c r="B985" s="41"/>
      <c r="C985" s="41"/>
      <c r="D985" s="41"/>
      <c r="E985" s="41"/>
      <c r="F985" s="41"/>
      <c r="G985" s="41"/>
      <c r="H985" s="125"/>
      <c r="I985" s="41"/>
      <c r="J985" s="41"/>
      <c r="K985" s="41"/>
      <c r="L985" s="41"/>
      <c r="M985" s="41"/>
      <c r="N985" s="41"/>
      <c r="O985" s="40"/>
      <c r="P985" s="126"/>
      <c r="U985" s="127"/>
      <c r="V985" s="41"/>
      <c r="W985" s="41"/>
      <c r="X985" s="41"/>
      <c r="Y985" s="41"/>
      <c r="Z985" s="41"/>
    </row>
    <row r="986">
      <c r="A986" s="41"/>
      <c r="B986" s="41"/>
      <c r="C986" s="41"/>
      <c r="D986" s="41"/>
      <c r="E986" s="41"/>
      <c r="F986" s="41"/>
      <c r="G986" s="41"/>
      <c r="H986" s="125"/>
      <c r="I986" s="41"/>
      <c r="J986" s="41"/>
      <c r="K986" s="41"/>
      <c r="L986" s="41"/>
      <c r="M986" s="41"/>
      <c r="N986" s="41"/>
      <c r="O986" s="40"/>
      <c r="P986" s="126"/>
      <c r="U986" s="127"/>
      <c r="V986" s="41"/>
      <c r="W986" s="41"/>
      <c r="X986" s="41"/>
      <c r="Y986" s="41"/>
      <c r="Z986" s="41"/>
    </row>
    <row r="987">
      <c r="A987" s="41"/>
      <c r="B987" s="41"/>
      <c r="C987" s="41"/>
      <c r="D987" s="41"/>
      <c r="E987" s="41"/>
      <c r="F987" s="41"/>
      <c r="G987" s="41"/>
      <c r="H987" s="125"/>
      <c r="I987" s="41"/>
      <c r="J987" s="41"/>
      <c r="K987" s="41"/>
      <c r="L987" s="41"/>
      <c r="M987" s="41"/>
      <c r="N987" s="41"/>
      <c r="O987" s="40"/>
      <c r="P987" s="126"/>
      <c r="U987" s="127"/>
      <c r="V987" s="41"/>
      <c r="W987" s="41"/>
      <c r="X987" s="41"/>
      <c r="Y987" s="41"/>
      <c r="Z987" s="41"/>
    </row>
    <row r="988">
      <c r="A988" s="41"/>
      <c r="B988" s="41"/>
      <c r="C988" s="41"/>
      <c r="D988" s="41"/>
      <c r="E988" s="41"/>
      <c r="F988" s="41"/>
      <c r="G988" s="41"/>
      <c r="H988" s="125"/>
      <c r="I988" s="41"/>
      <c r="J988" s="41"/>
      <c r="K988" s="41"/>
      <c r="L988" s="41"/>
      <c r="M988" s="41"/>
      <c r="N988" s="41"/>
      <c r="O988" s="40"/>
      <c r="P988" s="126"/>
      <c r="U988" s="127"/>
      <c r="V988" s="41"/>
      <c r="W988" s="41"/>
      <c r="X988" s="41"/>
      <c r="Y988" s="41"/>
      <c r="Z988" s="41"/>
    </row>
    <row r="989">
      <c r="A989" s="41"/>
      <c r="B989" s="41"/>
      <c r="C989" s="41"/>
      <c r="D989" s="41"/>
      <c r="E989" s="41"/>
      <c r="F989" s="41"/>
      <c r="G989" s="41"/>
      <c r="H989" s="125"/>
      <c r="I989" s="41"/>
      <c r="J989" s="41"/>
      <c r="K989" s="41"/>
      <c r="L989" s="41"/>
      <c r="M989" s="41"/>
      <c r="N989" s="41"/>
      <c r="O989" s="40"/>
      <c r="P989" s="126"/>
      <c r="U989" s="127"/>
      <c r="V989" s="41"/>
      <c r="W989" s="41"/>
      <c r="X989" s="41"/>
      <c r="Y989" s="41"/>
      <c r="Z989" s="41"/>
    </row>
    <row r="990">
      <c r="A990" s="41"/>
      <c r="B990" s="41"/>
      <c r="C990" s="41"/>
      <c r="D990" s="41"/>
      <c r="E990" s="41"/>
      <c r="F990" s="41"/>
      <c r="G990" s="41"/>
      <c r="H990" s="125"/>
      <c r="I990" s="41"/>
      <c r="J990" s="41"/>
      <c r="K990" s="41"/>
      <c r="L990" s="41"/>
      <c r="M990" s="41"/>
      <c r="N990" s="41"/>
      <c r="O990" s="40"/>
      <c r="P990" s="126"/>
      <c r="U990" s="127"/>
      <c r="V990" s="41"/>
      <c r="W990" s="41"/>
      <c r="X990" s="41"/>
      <c r="Y990" s="41"/>
      <c r="Z990" s="41"/>
    </row>
    <row r="991">
      <c r="A991" s="41"/>
      <c r="B991" s="41"/>
      <c r="C991" s="41"/>
      <c r="D991" s="41"/>
      <c r="E991" s="41"/>
      <c r="F991" s="41"/>
      <c r="G991" s="41"/>
      <c r="H991" s="125"/>
      <c r="I991" s="41"/>
      <c r="J991" s="41"/>
      <c r="K991" s="41"/>
      <c r="L991" s="41"/>
      <c r="M991" s="41"/>
      <c r="N991" s="41"/>
      <c r="O991" s="40"/>
      <c r="P991" s="126"/>
      <c r="U991" s="127"/>
      <c r="V991" s="41"/>
      <c r="W991" s="41"/>
      <c r="X991" s="41"/>
      <c r="Y991" s="41"/>
      <c r="Z991" s="41"/>
    </row>
    <row r="992">
      <c r="A992" s="41"/>
      <c r="B992" s="41"/>
      <c r="C992" s="41"/>
      <c r="D992" s="41"/>
      <c r="E992" s="41"/>
      <c r="F992" s="41"/>
      <c r="G992" s="41"/>
      <c r="H992" s="125"/>
      <c r="I992" s="41"/>
      <c r="J992" s="41"/>
      <c r="K992" s="41"/>
      <c r="L992" s="41"/>
      <c r="M992" s="41"/>
      <c r="N992" s="41"/>
      <c r="O992" s="40"/>
      <c r="P992" s="126"/>
      <c r="U992" s="127"/>
      <c r="V992" s="41"/>
      <c r="W992" s="41"/>
      <c r="X992" s="41"/>
      <c r="Y992" s="41"/>
      <c r="Z992" s="41"/>
    </row>
    <row r="993">
      <c r="A993" s="41"/>
      <c r="B993" s="41"/>
      <c r="C993" s="41"/>
      <c r="D993" s="41"/>
      <c r="E993" s="41"/>
      <c r="F993" s="41"/>
      <c r="G993" s="41"/>
      <c r="H993" s="125"/>
      <c r="I993" s="41"/>
      <c r="J993" s="41"/>
      <c r="K993" s="41"/>
      <c r="L993" s="41"/>
      <c r="M993" s="41"/>
      <c r="N993" s="41"/>
      <c r="O993" s="40"/>
      <c r="P993" s="126"/>
      <c r="U993" s="127"/>
      <c r="V993" s="41"/>
      <c r="W993" s="41"/>
      <c r="X993" s="41"/>
      <c r="Y993" s="41"/>
      <c r="Z993" s="41"/>
    </row>
    <row r="994">
      <c r="A994" s="41"/>
      <c r="B994" s="41"/>
      <c r="C994" s="41"/>
      <c r="D994" s="41"/>
      <c r="E994" s="41"/>
      <c r="F994" s="41"/>
      <c r="G994" s="41"/>
      <c r="H994" s="125"/>
      <c r="I994" s="41"/>
      <c r="J994" s="41"/>
      <c r="K994" s="41"/>
      <c r="L994" s="41"/>
      <c r="M994" s="41"/>
      <c r="N994" s="41"/>
      <c r="O994" s="40"/>
      <c r="P994" s="126"/>
      <c r="U994" s="127"/>
      <c r="V994" s="41"/>
      <c r="W994" s="41"/>
      <c r="X994" s="41"/>
      <c r="Y994" s="41"/>
      <c r="Z994" s="41"/>
    </row>
    <row r="995">
      <c r="A995" s="41"/>
      <c r="B995" s="41"/>
      <c r="C995" s="41"/>
      <c r="D995" s="41"/>
      <c r="E995" s="41"/>
      <c r="F995" s="41"/>
      <c r="G995" s="41"/>
      <c r="H995" s="125"/>
      <c r="I995" s="41"/>
      <c r="J995" s="41"/>
      <c r="K995" s="41"/>
      <c r="L995" s="41"/>
      <c r="M995" s="41"/>
      <c r="N995" s="41"/>
      <c r="O995" s="40"/>
      <c r="P995" s="126"/>
      <c r="U995" s="127"/>
      <c r="V995" s="41"/>
      <c r="W995" s="41"/>
      <c r="X995" s="41"/>
      <c r="Y995" s="41"/>
      <c r="Z995" s="41"/>
    </row>
    <row r="996">
      <c r="A996" s="41"/>
      <c r="B996" s="41"/>
      <c r="C996" s="41"/>
      <c r="D996" s="41"/>
      <c r="E996" s="41"/>
      <c r="F996" s="41"/>
      <c r="G996" s="41"/>
      <c r="H996" s="125"/>
      <c r="I996" s="41"/>
      <c r="J996" s="41"/>
      <c r="K996" s="41"/>
      <c r="L996" s="41"/>
      <c r="M996" s="41"/>
      <c r="N996" s="41"/>
      <c r="O996" s="40"/>
      <c r="P996" s="126"/>
      <c r="U996" s="127"/>
      <c r="V996" s="41"/>
      <c r="W996" s="41"/>
      <c r="X996" s="41"/>
      <c r="Y996" s="41"/>
      <c r="Z996" s="41"/>
    </row>
    <row r="997">
      <c r="A997" s="41"/>
      <c r="B997" s="41"/>
      <c r="C997" s="41"/>
      <c r="D997" s="41"/>
      <c r="E997" s="41"/>
      <c r="F997" s="41"/>
      <c r="G997" s="41"/>
      <c r="H997" s="125"/>
      <c r="I997" s="41"/>
      <c r="J997" s="41"/>
      <c r="K997" s="41"/>
      <c r="L997" s="41"/>
      <c r="M997" s="41"/>
      <c r="N997" s="41"/>
      <c r="O997" s="40"/>
      <c r="P997" s="126"/>
      <c r="U997" s="127"/>
      <c r="V997" s="41"/>
      <c r="W997" s="41"/>
      <c r="X997" s="41"/>
      <c r="Y997" s="41"/>
      <c r="Z997" s="41"/>
    </row>
    <row r="998">
      <c r="A998" s="41"/>
      <c r="B998" s="41"/>
      <c r="C998" s="41"/>
      <c r="D998" s="41"/>
      <c r="E998" s="41"/>
      <c r="F998" s="41"/>
      <c r="G998" s="41"/>
      <c r="H998" s="125"/>
      <c r="I998" s="41"/>
      <c r="J998" s="41"/>
      <c r="K998" s="41"/>
      <c r="L998" s="41"/>
      <c r="M998" s="41"/>
      <c r="N998" s="41"/>
      <c r="O998" s="40"/>
      <c r="P998" s="126"/>
      <c r="U998" s="127"/>
      <c r="V998" s="41"/>
      <c r="W998" s="41"/>
      <c r="X998" s="41"/>
      <c r="Y998" s="41"/>
      <c r="Z998" s="41"/>
    </row>
    <row r="999">
      <c r="A999" s="41"/>
      <c r="B999" s="41"/>
      <c r="C999" s="41"/>
      <c r="D999" s="41"/>
      <c r="E999" s="41"/>
      <c r="F999" s="41"/>
      <c r="G999" s="41"/>
      <c r="H999" s="125"/>
      <c r="I999" s="41"/>
      <c r="J999" s="41"/>
      <c r="K999" s="41"/>
      <c r="L999" s="41"/>
      <c r="M999" s="41"/>
      <c r="N999" s="41"/>
      <c r="O999" s="40"/>
      <c r="P999" s="126"/>
      <c r="U999" s="127"/>
      <c r="V999" s="41"/>
      <c r="W999" s="41"/>
      <c r="X999" s="41"/>
      <c r="Y999" s="41"/>
      <c r="Z999" s="41"/>
    </row>
    <row r="1000">
      <c r="A1000" s="41"/>
      <c r="B1000" s="41"/>
      <c r="C1000" s="41"/>
      <c r="D1000" s="41"/>
      <c r="E1000" s="41"/>
      <c r="F1000" s="41"/>
      <c r="G1000" s="41"/>
      <c r="H1000" s="125"/>
      <c r="I1000" s="41"/>
      <c r="J1000" s="41"/>
      <c r="K1000" s="41"/>
      <c r="L1000" s="41"/>
      <c r="M1000" s="41"/>
      <c r="N1000" s="41"/>
      <c r="O1000" s="40"/>
      <c r="P1000" s="126"/>
      <c r="U1000" s="127"/>
      <c r="V1000" s="41"/>
      <c r="W1000" s="41"/>
      <c r="X1000" s="41"/>
      <c r="Y1000" s="41"/>
      <c r="Z1000" s="41"/>
    </row>
  </sheetData>
  <conditionalFormatting sqref="A1:D1">
    <cfRule type="expression" dxfId="3" priority="1">
      <formula>$A1="Amateur"</formula>
    </cfRule>
  </conditionalFormatting>
  <conditionalFormatting sqref="A1:D1">
    <cfRule type="expression" dxfId="4" priority="2">
      <formula>$A1="Contender"</formula>
    </cfRule>
  </conditionalFormatting>
  <conditionalFormatting sqref="A1:D1">
    <cfRule type="expression" dxfId="5" priority="3">
      <formula>$A1="Prospect"</formula>
    </cfRule>
  </conditionalFormatting>
  <conditionalFormatting sqref="A1:D1">
    <cfRule type="expression" dxfId="6" priority="4">
      <formula>$A1="Challenger"</formula>
    </cfRule>
  </conditionalFormatting>
  <conditionalFormatting sqref="A1:D1">
    <cfRule type="expression" dxfId="7" priority="5">
      <formula>$A1="Rival"</formula>
    </cfRule>
  </conditionalFormatting>
  <conditionalFormatting sqref="A1:D1">
    <cfRule type="expression" dxfId="8" priority="6">
      <formula>$A1="Veteran"</formula>
    </cfRule>
  </conditionalFormatting>
  <conditionalFormatting sqref="A1:D1">
    <cfRule type="expression" dxfId="9" priority="7">
      <formula>$A1="Elite"</formula>
    </cfRule>
  </conditionalFormatting>
  <conditionalFormatting sqref="A1:D1">
    <cfRule type="expression" dxfId="10" priority="8">
      <formula>$A1="Master"</formula>
    </cfRule>
  </conditionalFormatting>
  <conditionalFormatting sqref="A1:D1">
    <cfRule type="expression" dxfId="11" priority="9">
      <formula>$A1="Premier"</formula>
    </cfRule>
  </conditionalFormatting>
  <conditionalFormatting sqref="A1:E1">
    <cfRule type="containsBlanks" dxfId="12" priority="10">
      <formula>LEN(TRIM(A1))=0</formula>
    </cfRule>
  </conditionalFormatting>
  <conditionalFormatting sqref="A1 E1">
    <cfRule type="colorScale" priority="11">
      <colorScale>
        <cfvo type="min"/>
        <cfvo type="percent" val="50"/>
        <cfvo type="max"/>
        <color rgb="FFE06666"/>
        <color rgb="FFFFD966"/>
        <color rgb="FF57BB8A"/>
      </colorScale>
    </cfRule>
  </conditionalFormatting>
  <conditionalFormatting sqref="B1 F1">
    <cfRule type="colorScale" priority="12">
      <colorScale>
        <cfvo type="min"/>
        <cfvo type="percentile" val="50"/>
        <cfvo type="max"/>
        <color rgb="FFE06666"/>
        <color rgb="FFFFD966"/>
        <color rgb="FF57BB8A"/>
      </colorScale>
    </cfRule>
  </conditionalFormatting>
  <conditionalFormatting sqref="C1 G1">
    <cfRule type="colorScale" priority="13">
      <colorScale>
        <cfvo type="min"/>
        <cfvo type="percent" val="50"/>
        <cfvo type="max"/>
        <color rgb="FF57BB8A"/>
        <color rgb="FFFFD966"/>
        <color rgb="FFE06666"/>
      </colorScale>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0.13"/>
    <col customWidth="1" min="3" max="3" width="19.0"/>
    <col customWidth="1" min="4" max="4" width="15.63"/>
    <col customWidth="1" min="5" max="5" width="3.38"/>
    <col customWidth="1" min="6" max="6" width="2.63"/>
    <col customWidth="1" min="7" max="7" width="1.88"/>
    <col customWidth="1" min="8" max="8" width="5.13"/>
    <col customWidth="1" min="9" max="9" width="5.5"/>
    <col customWidth="1" min="10" max="10" width="4.75"/>
    <col customWidth="1" min="11" max="11" width="2.75"/>
    <col customWidth="1" min="12" max="12" width="2.13"/>
    <col customWidth="1" min="13" max="13" width="3.0"/>
    <col customWidth="1" min="14" max="14" width="6.63"/>
    <col customWidth="1" min="15" max="15" width="10.25"/>
    <col customWidth="1" min="16" max="16" width="9.5"/>
    <col customWidth="1" min="17" max="17" width="4.75"/>
    <col customWidth="1" min="18" max="18" width="4.5"/>
    <col customWidth="1" min="19" max="19" width="10.13"/>
    <col customWidth="1" min="20" max="20" width="8.75"/>
    <col customWidth="1" min="21" max="21" width="5.13"/>
    <col customWidth="1" min="22" max="22" width="7.63"/>
    <col customWidth="1" min="23" max="23" width="8.88"/>
    <col customWidth="1" min="24" max="24" width="5.75"/>
    <col customWidth="1" min="25" max="25" width="2.88"/>
    <col customWidth="1" min="26" max="26" width="3.25"/>
  </cols>
  <sheetData>
    <row r="1">
      <c r="A1" s="128" t="str">
        <f>IFERROR(__xludf.DUMMYFUNCTION("IMPORTRANGE(Variables!B1,""Player Stats!A:z"")"),"Tier")</f>
        <v>Tier</v>
      </c>
      <c r="B1" s="128" t="str">
        <f>IFERROR(__xludf.DUMMYFUNCTION("""COMPUTED_VALUE"""),"RSC ID")</f>
        <v>RSC ID</v>
      </c>
      <c r="C1" s="129" t="str">
        <f>IFERROR(__xludf.DUMMYFUNCTION("""COMPUTED_VALUE"""),"Player Name")</f>
        <v>Player Name</v>
      </c>
      <c r="D1" s="128" t="str">
        <f>IFERROR(__xludf.DUMMYFUNCTION("""COMPUTED_VALUE"""),"Team(s)")</f>
        <v>Team(s)</v>
      </c>
      <c r="E1" s="130" t="str">
        <f>IFERROR(__xludf.DUMMYFUNCTION("""COMPUTED_VALUE"""),"GP")</f>
        <v>GP</v>
      </c>
      <c r="F1" s="128" t="str">
        <f>IFERROR(__xludf.DUMMYFUNCTION("""COMPUTED_VALUE"""),"W")</f>
        <v>W</v>
      </c>
      <c r="G1" s="128" t="str">
        <f>IFERROR(__xludf.DUMMYFUNCTION("""COMPUTED_VALUE"""),"L")</f>
        <v>L</v>
      </c>
      <c r="H1" s="131" t="str">
        <f>IFERROR(__xludf.DUMMYFUNCTION("""COMPUTED_VALUE"""),"W%")</f>
        <v>W%</v>
      </c>
      <c r="I1" s="128" t="str">
        <f>IFERROR(__xludf.DUMMYFUNCTION("""COMPUTED_VALUE"""),"MVPs")</f>
        <v>MVPs</v>
      </c>
      <c r="J1" s="128" t="str">
        <f>IFERROR(__xludf.DUMMYFUNCTION("""COMPUTED_VALUE"""),"P")</f>
        <v>P</v>
      </c>
      <c r="K1" s="128" t="str">
        <f>IFERROR(__xludf.DUMMYFUNCTION("""COMPUTED_VALUE"""),"G")</f>
        <v>G</v>
      </c>
      <c r="L1" s="128" t="str">
        <f>IFERROR(__xludf.DUMMYFUNCTION("""COMPUTED_VALUE"""),"A")</f>
        <v>A</v>
      </c>
      <c r="M1" s="128" t="str">
        <f>IFERROR(__xludf.DUMMYFUNCTION("""COMPUTED_VALUE"""),"Sv")</f>
        <v>Sv</v>
      </c>
      <c r="N1" s="128" t="str">
        <f>IFERROR(__xludf.DUMMYFUNCTION("""COMPUTED_VALUE"""),"Sh")</f>
        <v>Sh</v>
      </c>
      <c r="O1" s="132" t="str">
        <f>IFERROR(__xludf.DUMMYFUNCTION("""COMPUTED_VALUE"""),"Cycle")</f>
        <v>Cycle</v>
      </c>
      <c r="P1" s="129" t="str">
        <f>IFERROR(__xludf.DUMMYFUNCTION("""COMPUTED_VALUE"""),"Hat Trick")</f>
        <v>Hat Trick</v>
      </c>
      <c r="Q1" s="129" t="str">
        <f>IFERROR(__xludf.DUMMYFUNCTION("""COMPUTED_VALUE"""),"Playmaker")</f>
        <v>Playmaker</v>
      </c>
      <c r="R1" s="129" t="str">
        <f>IFERROR(__xludf.DUMMYFUNCTION("""COMPUTED_VALUE"""),"Savior")</f>
        <v>Savior</v>
      </c>
      <c r="S1" s="129" t="str">
        <f>IFERROR(__xludf.DUMMYFUNCTION("""COMPUTED_VALUE"""),"ShA")</f>
        <v>ShA</v>
      </c>
      <c r="T1" s="133" t="str">
        <f>IFERROR(__xludf.DUMMYFUNCTION("""COMPUTED_VALUE"""),"GA")</f>
        <v>GA</v>
      </c>
      <c r="U1" s="134" t="str">
        <f>IFERROR(__xludf.DUMMYFUNCTION("""COMPUTED_VALUE"""),"goals conceded while last defender")</f>
        <v>goals conceded while last defender</v>
      </c>
      <c r="V1" s="134" t="str">
        <f>IFERROR(__xludf.DUMMYFUNCTION("""COMPUTED_VALUE"""),"DI")</f>
        <v>DI</v>
      </c>
      <c r="W1" s="134" t="str">
        <f>IFERROR(__xludf.DUMMYFUNCTION("""COMPUTED_VALUE"""),"DT")</f>
        <v>DT</v>
      </c>
      <c r="X1" s="134" t="str">
        <f>IFERROR(__xludf.DUMMYFUNCTION("""COMPUTED_VALUE"""),"bpm")</f>
        <v>bpm</v>
      </c>
      <c r="Y1" s="135" t="str">
        <f>IFERROR(__xludf.DUMMYFUNCTION("""COMPUTED_VALUE"""),"avg boost amount")</f>
        <v>avg boost amount</v>
      </c>
      <c r="Z1" s="135" t="str">
        <f>IFERROR(__xludf.DUMMYFUNCTION("""COMPUTED_VALUE"""),"amount collected")</f>
        <v>amount collected</v>
      </c>
    </row>
    <row r="2">
      <c r="A2" s="41" t="str">
        <f>IFERROR(__xludf.DUMMYFUNCTION("""COMPUTED_VALUE"""),"Elite")</f>
        <v>Elite</v>
      </c>
      <c r="B2" s="41" t="str">
        <f>IFERROR(__xludf.DUMMYFUNCTION("""COMPUTED_VALUE"""),"RSC000009")</f>
        <v>RSC000009</v>
      </c>
      <c r="C2" s="41" t="str">
        <f>IFERROR(__xludf.DUMMYFUNCTION("""COMPUTED_VALUE"""),"Timbo")</f>
        <v>Timbo</v>
      </c>
      <c r="D2" s="41" t="str">
        <f>IFERROR(__xludf.DUMMYFUNCTION("""COMPUTED_VALUE"""),"Menthol")</f>
        <v>Menthol</v>
      </c>
      <c r="E2" s="136">
        <f>IFERROR(__xludf.DUMMYFUNCTION("""COMPUTED_VALUE"""),56.0)</f>
        <v>56</v>
      </c>
      <c r="F2" s="136">
        <f>IFERROR(__xludf.DUMMYFUNCTION("""COMPUTED_VALUE"""),39.0)</f>
        <v>39</v>
      </c>
      <c r="G2" s="136">
        <f>IFERROR(__xludf.DUMMYFUNCTION("""COMPUTED_VALUE"""),17.0)</f>
        <v>17</v>
      </c>
      <c r="H2" s="137">
        <f>IFERROR(__xludf.DUMMYFUNCTION("""COMPUTED_VALUE"""),0.6964285714285714)</f>
        <v>0.6964285714</v>
      </c>
      <c r="I2" s="136">
        <f>IFERROR(__xludf.DUMMYFUNCTION("""COMPUTED_VALUE"""),21.0)</f>
        <v>21</v>
      </c>
      <c r="J2" s="136">
        <f>IFERROR(__xludf.DUMMYFUNCTION("""COMPUTED_VALUE"""),22878.0)</f>
        <v>22878</v>
      </c>
      <c r="K2" s="136">
        <f>IFERROR(__xludf.DUMMYFUNCTION("""COMPUTED_VALUE"""),68.0)</f>
        <v>68</v>
      </c>
      <c r="L2" s="136">
        <f>IFERROR(__xludf.DUMMYFUNCTION("""COMPUTED_VALUE"""),42.0)</f>
        <v>42</v>
      </c>
      <c r="M2" s="136">
        <f>IFERROR(__xludf.DUMMYFUNCTION("""COMPUTED_VALUE"""),62.0)</f>
        <v>62</v>
      </c>
      <c r="N2" s="136">
        <f>IFERROR(__xludf.DUMMYFUNCTION("""COMPUTED_VALUE"""),178.0)</f>
        <v>178</v>
      </c>
      <c r="O2" s="138">
        <f>IFERROR(__xludf.DUMMYFUNCTION("""COMPUTED_VALUE"""),25.0)</f>
        <v>25</v>
      </c>
      <c r="P2" s="138">
        <f>IFERROR(__xludf.DUMMYFUNCTION("""COMPUTED_VALUE"""),5.0)</f>
        <v>5</v>
      </c>
      <c r="Q2" s="138">
        <f>IFERROR(__xludf.DUMMYFUNCTION("""COMPUTED_VALUE"""),1.0)</f>
        <v>1</v>
      </c>
      <c r="R2" s="138">
        <f>IFERROR(__xludf.DUMMYFUNCTION("""COMPUTED_VALUE"""),3.0)</f>
        <v>3</v>
      </c>
      <c r="S2" s="139">
        <f>IFERROR(__xludf.DUMMYFUNCTION("""COMPUTED_VALUE"""),395.0)</f>
        <v>395</v>
      </c>
      <c r="T2" s="140">
        <f>IFERROR(__xludf.DUMMYFUNCTION("""COMPUTED_VALUE"""),121.0)</f>
        <v>121</v>
      </c>
      <c r="U2" s="136">
        <f>IFERROR(__xludf.DUMMYFUNCTION("""COMPUTED_VALUE"""),36.0)</f>
        <v>36</v>
      </c>
      <c r="V2" s="136">
        <f>IFERROR(__xludf.DUMMYFUNCTION("""COMPUTED_VALUE"""),34.0)</f>
        <v>34</v>
      </c>
      <c r="W2" s="136">
        <f>IFERROR(__xludf.DUMMYFUNCTION("""COMPUTED_VALUE"""),62.0)</f>
        <v>62</v>
      </c>
      <c r="X2" s="136">
        <f>IFERROR(__xludf.DUMMYFUNCTION("""COMPUTED_VALUE"""),384.875)</f>
        <v>384.875</v>
      </c>
      <c r="Y2" s="141">
        <f>IFERROR(__xludf.DUMMYFUNCTION("""COMPUTED_VALUE"""),48.529821428571424)</f>
        <v>48.52982143</v>
      </c>
      <c r="Z2" s="141">
        <f>IFERROR(__xludf.DUMMYFUNCTION("""COMPUTED_VALUE"""),2364.160714285714)</f>
        <v>2364.160714</v>
      </c>
    </row>
    <row r="3">
      <c r="A3" s="41" t="str">
        <f>IFERROR(__xludf.DUMMYFUNCTION("""COMPUTED_VALUE"""),"Challenger")</f>
        <v>Challenger</v>
      </c>
      <c r="B3" s="41" t="str">
        <f>IFERROR(__xludf.DUMMYFUNCTION("""COMPUTED_VALUE"""),"RSC000014")</f>
        <v>RSC000014</v>
      </c>
      <c r="C3" s="41" t="str">
        <f>IFERROR(__xludf.DUMMYFUNCTION("""COMPUTED_VALUE"""),"Queue")</f>
        <v>Queue</v>
      </c>
      <c r="D3" s="41" t="str">
        <f>IFERROR(__xludf.DUMMYFUNCTION("""COMPUTED_VALUE"""),"Manticore")</f>
        <v>Manticore</v>
      </c>
      <c r="E3" s="136">
        <f>IFERROR(__xludf.DUMMYFUNCTION("""COMPUTED_VALUE"""),56.0)</f>
        <v>56</v>
      </c>
      <c r="F3" s="136">
        <f>IFERROR(__xludf.DUMMYFUNCTION("""COMPUTED_VALUE"""),40.0)</f>
        <v>40</v>
      </c>
      <c r="G3" s="136">
        <f>IFERROR(__xludf.DUMMYFUNCTION("""COMPUTED_VALUE"""),16.0)</f>
        <v>16</v>
      </c>
      <c r="H3" s="137">
        <f>IFERROR(__xludf.DUMMYFUNCTION("""COMPUTED_VALUE"""),0.7142857142857143)</f>
        <v>0.7142857143</v>
      </c>
      <c r="I3" s="136">
        <f>IFERROR(__xludf.DUMMYFUNCTION("""COMPUTED_VALUE"""),11.0)</f>
        <v>11</v>
      </c>
      <c r="J3" s="136">
        <f>IFERROR(__xludf.DUMMYFUNCTION("""COMPUTED_VALUE"""),20958.0)</f>
        <v>20958</v>
      </c>
      <c r="K3" s="136">
        <f>IFERROR(__xludf.DUMMYFUNCTION("""COMPUTED_VALUE"""),47.0)</f>
        <v>47</v>
      </c>
      <c r="L3" s="136">
        <f>IFERROR(__xludf.DUMMYFUNCTION("""COMPUTED_VALUE"""),50.0)</f>
        <v>50</v>
      </c>
      <c r="M3" s="136">
        <f>IFERROR(__xludf.DUMMYFUNCTION("""COMPUTED_VALUE"""),55.0)</f>
        <v>55</v>
      </c>
      <c r="N3" s="136">
        <f>IFERROR(__xludf.DUMMYFUNCTION("""COMPUTED_VALUE"""),179.0)</f>
        <v>179</v>
      </c>
      <c r="O3" s="138">
        <f>IFERROR(__xludf.DUMMYFUNCTION("""COMPUTED_VALUE"""),10.0)</f>
        <v>10</v>
      </c>
      <c r="P3" s="138">
        <f>IFERROR(__xludf.DUMMYFUNCTION("""COMPUTED_VALUE"""),3.0)</f>
        <v>3</v>
      </c>
      <c r="Q3" s="138">
        <f>IFERROR(__xludf.DUMMYFUNCTION("""COMPUTED_VALUE"""),4.0)</f>
        <v>4</v>
      </c>
      <c r="R3" s="138">
        <f>IFERROR(__xludf.DUMMYFUNCTION("""COMPUTED_VALUE"""),4.0)</f>
        <v>4</v>
      </c>
      <c r="S3" s="139">
        <f>IFERROR(__xludf.DUMMYFUNCTION("""COMPUTED_VALUE"""),314.0)</f>
        <v>314</v>
      </c>
      <c r="T3" s="140">
        <f>IFERROR(__xludf.DUMMYFUNCTION("""COMPUTED_VALUE"""),98.0)</f>
        <v>98</v>
      </c>
      <c r="U3" s="136">
        <f>IFERROR(__xludf.DUMMYFUNCTION("""COMPUTED_VALUE"""),32.0)</f>
        <v>32</v>
      </c>
      <c r="V3" s="136">
        <f>IFERROR(__xludf.DUMMYFUNCTION("""COMPUTED_VALUE"""),62.0)</f>
        <v>62</v>
      </c>
      <c r="W3" s="136">
        <f>IFERROR(__xludf.DUMMYFUNCTION("""COMPUTED_VALUE"""),58.0)</f>
        <v>58</v>
      </c>
      <c r="X3" s="136">
        <f>IFERROR(__xludf.DUMMYFUNCTION("""COMPUTED_VALUE"""),400.26785714285717)</f>
        <v>400.2678571</v>
      </c>
      <c r="Y3" s="141">
        <f>IFERROR(__xludf.DUMMYFUNCTION("""COMPUTED_VALUE"""),43.96964285714285)</f>
        <v>43.96964286</v>
      </c>
      <c r="Z3" s="141">
        <f>IFERROR(__xludf.DUMMYFUNCTION("""COMPUTED_VALUE"""),2399.785714285714)</f>
        <v>2399.785714</v>
      </c>
    </row>
    <row r="4">
      <c r="A4" s="41" t="str">
        <f>IFERROR(__xludf.DUMMYFUNCTION("""COMPUTED_VALUE"""),"Elite")</f>
        <v>Elite</v>
      </c>
      <c r="B4" s="41" t="str">
        <f>IFERROR(__xludf.DUMMYFUNCTION("""COMPUTED_VALUE"""),"RSC000016")</f>
        <v>RSC000016</v>
      </c>
      <c r="C4" s="41" t="str">
        <f>IFERROR(__xludf.DUMMYFUNCTION("""COMPUTED_VALUE"""),"Beans")</f>
        <v>Beans</v>
      </c>
      <c r="D4" s="41" t="str">
        <f>IFERROR(__xludf.DUMMYFUNCTION("""COMPUTED_VALUE"""),"Embezzlers")</f>
        <v>Embezzlers</v>
      </c>
      <c r="E4" s="136">
        <f>IFERROR(__xludf.DUMMYFUNCTION("""COMPUTED_VALUE"""),37.0)</f>
        <v>37</v>
      </c>
      <c r="F4" s="136">
        <f>IFERROR(__xludf.DUMMYFUNCTION("""COMPUTED_VALUE"""),22.0)</f>
        <v>22</v>
      </c>
      <c r="G4" s="136">
        <f>IFERROR(__xludf.DUMMYFUNCTION("""COMPUTED_VALUE"""),15.0)</f>
        <v>15</v>
      </c>
      <c r="H4" s="137">
        <f>IFERROR(__xludf.DUMMYFUNCTION("""COMPUTED_VALUE"""),0.5945945945945946)</f>
        <v>0.5945945946</v>
      </c>
      <c r="I4" s="136">
        <f>IFERROR(__xludf.DUMMYFUNCTION("""COMPUTED_VALUE"""),6.0)</f>
        <v>6</v>
      </c>
      <c r="J4" s="136">
        <f>IFERROR(__xludf.DUMMYFUNCTION("""COMPUTED_VALUE"""),13278.0)</f>
        <v>13278</v>
      </c>
      <c r="K4" s="136">
        <f>IFERROR(__xludf.DUMMYFUNCTION("""COMPUTED_VALUE"""),33.0)</f>
        <v>33</v>
      </c>
      <c r="L4" s="136">
        <f>IFERROR(__xludf.DUMMYFUNCTION("""COMPUTED_VALUE"""),23.0)</f>
        <v>23</v>
      </c>
      <c r="M4" s="136">
        <f>IFERROR(__xludf.DUMMYFUNCTION("""COMPUTED_VALUE"""),63.0)</f>
        <v>63</v>
      </c>
      <c r="N4" s="136">
        <f>IFERROR(__xludf.DUMMYFUNCTION("""COMPUTED_VALUE"""),80.0)</f>
        <v>80</v>
      </c>
      <c r="O4" s="138">
        <f>IFERROR(__xludf.DUMMYFUNCTION("""COMPUTED_VALUE"""),8.0)</f>
        <v>8</v>
      </c>
      <c r="P4" s="138">
        <f>IFERROR(__xludf.DUMMYFUNCTION("""COMPUTED_VALUE"""),2.0)</f>
        <v>2</v>
      </c>
      <c r="Q4" s="138">
        <f>IFERROR(__xludf.DUMMYFUNCTION("""COMPUTED_VALUE"""),2.0)</f>
        <v>2</v>
      </c>
      <c r="R4" s="138">
        <f>IFERROR(__xludf.DUMMYFUNCTION("""COMPUTED_VALUE"""),9.0)</f>
        <v>9</v>
      </c>
      <c r="S4" s="139">
        <f>IFERROR(__xludf.DUMMYFUNCTION("""COMPUTED_VALUE"""),289.0)</f>
        <v>289</v>
      </c>
      <c r="T4" s="140">
        <f>IFERROR(__xludf.DUMMYFUNCTION("""COMPUTED_VALUE"""),74.0)</f>
        <v>74</v>
      </c>
      <c r="U4" s="136">
        <f>IFERROR(__xludf.DUMMYFUNCTION("""COMPUTED_VALUE"""),27.0)</f>
        <v>27</v>
      </c>
      <c r="V4" s="136">
        <f>IFERROR(__xludf.DUMMYFUNCTION("""COMPUTED_VALUE"""),38.0)</f>
        <v>38</v>
      </c>
      <c r="W4" s="136">
        <f>IFERROR(__xludf.DUMMYFUNCTION("""COMPUTED_VALUE"""),43.0)</f>
        <v>43</v>
      </c>
      <c r="X4" s="136">
        <f>IFERROR(__xludf.DUMMYFUNCTION("""COMPUTED_VALUE"""),375.6216216216216)</f>
        <v>375.6216216</v>
      </c>
      <c r="Y4" s="141">
        <f>IFERROR(__xludf.DUMMYFUNCTION("""COMPUTED_VALUE"""),49.733243243243244)</f>
        <v>49.73324324</v>
      </c>
      <c r="Z4" s="141">
        <f>IFERROR(__xludf.DUMMYFUNCTION("""COMPUTED_VALUE"""),2188.162162162162)</f>
        <v>2188.162162</v>
      </c>
    </row>
    <row r="5">
      <c r="A5" s="41" t="str">
        <f>IFERROR(__xludf.DUMMYFUNCTION("""COMPUTED_VALUE"""),"Elite")</f>
        <v>Elite</v>
      </c>
      <c r="B5" s="41" t="str">
        <f>IFERROR(__xludf.DUMMYFUNCTION("""COMPUTED_VALUE"""),"RSC000021")</f>
        <v>RSC000021</v>
      </c>
      <c r="C5" s="41" t="str">
        <f>IFERROR(__xludf.DUMMYFUNCTION("""COMPUTED_VALUE"""),"TyTy")</f>
        <v>TyTy</v>
      </c>
      <c r="D5" s="41" t="str">
        <f>IFERROR(__xludf.DUMMYFUNCTION("""COMPUTED_VALUE"""),"Hellhounds
Afterburners
Commanders")</f>
        <v>Hellhounds
Afterburners
Commanders</v>
      </c>
      <c r="E5" s="136">
        <f>IFERROR(__xludf.DUMMYFUNCTION("""COMPUTED_VALUE"""),31.0)</f>
        <v>31</v>
      </c>
      <c r="F5" s="136">
        <f>IFERROR(__xludf.DUMMYFUNCTION("""COMPUTED_VALUE"""),16.0)</f>
        <v>16</v>
      </c>
      <c r="G5" s="136">
        <f>IFERROR(__xludf.DUMMYFUNCTION("""COMPUTED_VALUE"""),15.0)</f>
        <v>15</v>
      </c>
      <c r="H5" s="137">
        <f>IFERROR(__xludf.DUMMYFUNCTION("""COMPUTED_VALUE"""),0.5161290322580645)</f>
        <v>0.5161290323</v>
      </c>
      <c r="I5" s="136">
        <f>IFERROR(__xludf.DUMMYFUNCTION("""COMPUTED_VALUE"""),5.0)</f>
        <v>5</v>
      </c>
      <c r="J5" s="136">
        <f>IFERROR(__xludf.DUMMYFUNCTION("""COMPUTED_VALUE"""),10296.0)</f>
        <v>10296</v>
      </c>
      <c r="K5" s="136">
        <f>IFERROR(__xludf.DUMMYFUNCTION("""COMPUTED_VALUE"""),20.0)</f>
        <v>20</v>
      </c>
      <c r="L5" s="136">
        <f>IFERROR(__xludf.DUMMYFUNCTION("""COMPUTED_VALUE"""),20.0)</f>
        <v>20</v>
      </c>
      <c r="M5" s="136">
        <f>IFERROR(__xludf.DUMMYFUNCTION("""COMPUTED_VALUE"""),43.0)</f>
        <v>43</v>
      </c>
      <c r="N5" s="136">
        <f>IFERROR(__xludf.DUMMYFUNCTION("""COMPUTED_VALUE"""),71.0)</f>
        <v>71</v>
      </c>
      <c r="O5" s="138">
        <f>IFERROR(__xludf.DUMMYFUNCTION("""COMPUTED_VALUE"""),4.0)</f>
        <v>4</v>
      </c>
      <c r="P5" s="138">
        <f>IFERROR(__xludf.DUMMYFUNCTION("""COMPUTED_VALUE"""),0.0)</f>
        <v>0</v>
      </c>
      <c r="Q5" s="138">
        <f>IFERROR(__xludf.DUMMYFUNCTION("""COMPUTED_VALUE"""),1.0)</f>
        <v>1</v>
      </c>
      <c r="R5" s="138">
        <f>IFERROR(__xludf.DUMMYFUNCTION("""COMPUTED_VALUE"""),6.0)</f>
        <v>6</v>
      </c>
      <c r="S5" s="139">
        <f>IFERROR(__xludf.DUMMYFUNCTION("""COMPUTED_VALUE"""),265.0)</f>
        <v>265</v>
      </c>
      <c r="T5" s="140">
        <f>IFERROR(__xludf.DUMMYFUNCTION("""COMPUTED_VALUE"""),85.0)</f>
        <v>85</v>
      </c>
      <c r="U5" s="136">
        <f>IFERROR(__xludf.DUMMYFUNCTION("""COMPUTED_VALUE"""),22.0)</f>
        <v>22</v>
      </c>
      <c r="V5" s="136">
        <f>IFERROR(__xludf.DUMMYFUNCTION("""COMPUTED_VALUE"""),12.0)</f>
        <v>12</v>
      </c>
      <c r="W5" s="136">
        <f>IFERROR(__xludf.DUMMYFUNCTION("""COMPUTED_VALUE"""),31.0)</f>
        <v>31</v>
      </c>
      <c r="X5" s="136">
        <f>IFERROR(__xludf.DUMMYFUNCTION("""COMPUTED_VALUE"""),315.7096774193548)</f>
        <v>315.7096774</v>
      </c>
      <c r="Y5" s="141">
        <f>IFERROR(__xludf.DUMMYFUNCTION("""COMPUTED_VALUE"""),45.32903225806451)</f>
        <v>45.32903226</v>
      </c>
      <c r="Z5" s="141">
        <f>IFERROR(__xludf.DUMMYFUNCTION("""COMPUTED_VALUE"""),1972.516129032258)</f>
        <v>1972.516129</v>
      </c>
    </row>
    <row r="6">
      <c r="A6" s="41" t="str">
        <f>IFERROR(__xludf.DUMMYFUNCTION("""COMPUTED_VALUE"""),"Rival")</f>
        <v>Rival</v>
      </c>
      <c r="B6" s="41" t="str">
        <f>IFERROR(__xludf.DUMMYFUNCTION("""COMPUTED_VALUE"""),"RSC000025")</f>
        <v>RSC000025</v>
      </c>
      <c r="C6" s="41" t="str">
        <f>IFERROR(__xludf.DUMMYFUNCTION("""COMPUTED_VALUE"""),"Slayerof666")</f>
        <v>Slayerof666</v>
      </c>
      <c r="D6" s="41" t="str">
        <f>IFERROR(__xludf.DUMMYFUNCTION("""COMPUTED_VALUE"""),"Purrgatory")</f>
        <v>Purrgatory</v>
      </c>
      <c r="E6" s="136">
        <f>IFERROR(__xludf.DUMMYFUNCTION("""COMPUTED_VALUE"""),20.0)</f>
        <v>20</v>
      </c>
      <c r="F6" s="136">
        <f>IFERROR(__xludf.DUMMYFUNCTION("""COMPUTED_VALUE"""),12.0)</f>
        <v>12</v>
      </c>
      <c r="G6" s="136">
        <f>IFERROR(__xludf.DUMMYFUNCTION("""COMPUTED_VALUE"""),8.0)</f>
        <v>8</v>
      </c>
      <c r="H6" s="137">
        <f>IFERROR(__xludf.DUMMYFUNCTION("""COMPUTED_VALUE"""),0.6)</f>
        <v>0.6</v>
      </c>
      <c r="I6" s="136">
        <f>IFERROR(__xludf.DUMMYFUNCTION("""COMPUTED_VALUE"""),0.0)</f>
        <v>0</v>
      </c>
      <c r="J6" s="136">
        <f>IFERROR(__xludf.DUMMYFUNCTION("""COMPUTED_VALUE"""),6430.0)</f>
        <v>6430</v>
      </c>
      <c r="K6" s="136">
        <f>IFERROR(__xludf.DUMMYFUNCTION("""COMPUTED_VALUE"""),19.0)</f>
        <v>19</v>
      </c>
      <c r="L6" s="136">
        <f>IFERROR(__xludf.DUMMYFUNCTION("""COMPUTED_VALUE"""),8.0)</f>
        <v>8</v>
      </c>
      <c r="M6" s="136">
        <f>IFERROR(__xludf.DUMMYFUNCTION("""COMPUTED_VALUE"""),22.0)</f>
        <v>22</v>
      </c>
      <c r="N6" s="136">
        <f>IFERROR(__xludf.DUMMYFUNCTION("""COMPUTED_VALUE"""),48.0)</f>
        <v>48</v>
      </c>
      <c r="O6" s="138">
        <f>IFERROR(__xludf.DUMMYFUNCTION("""COMPUTED_VALUE"""),2.0)</f>
        <v>2</v>
      </c>
      <c r="P6" s="138">
        <f>IFERROR(__xludf.DUMMYFUNCTION("""COMPUTED_VALUE"""),1.0)</f>
        <v>1</v>
      </c>
      <c r="Q6" s="138">
        <f>IFERROR(__xludf.DUMMYFUNCTION("""COMPUTED_VALUE"""),0.0)</f>
        <v>0</v>
      </c>
      <c r="R6" s="138">
        <f>IFERROR(__xludf.DUMMYFUNCTION("""COMPUTED_VALUE"""),2.0)</f>
        <v>2</v>
      </c>
      <c r="S6" s="139">
        <f>IFERROR(__xludf.DUMMYFUNCTION("""COMPUTED_VALUE"""),146.0)</f>
        <v>146</v>
      </c>
      <c r="T6" s="140">
        <f>IFERROR(__xludf.DUMMYFUNCTION("""COMPUTED_VALUE"""),41.0)</f>
        <v>41</v>
      </c>
      <c r="U6" s="136">
        <f>IFERROR(__xludf.DUMMYFUNCTION("""COMPUTED_VALUE"""),11.0)</f>
        <v>11</v>
      </c>
      <c r="V6" s="136">
        <f>IFERROR(__xludf.DUMMYFUNCTION("""COMPUTED_VALUE"""),30.0)</f>
        <v>30</v>
      </c>
      <c r="W6" s="136">
        <f>IFERROR(__xludf.DUMMYFUNCTION("""COMPUTED_VALUE"""),22.0)</f>
        <v>22</v>
      </c>
      <c r="X6" s="136">
        <f>IFERROR(__xludf.DUMMYFUNCTION("""COMPUTED_VALUE"""),390.45)</f>
        <v>390.45</v>
      </c>
      <c r="Y6" s="141">
        <f>IFERROR(__xludf.DUMMYFUNCTION("""COMPUTED_VALUE"""),51.422000000000004)</f>
        <v>51.422</v>
      </c>
      <c r="Z6" s="141">
        <f>IFERROR(__xludf.DUMMYFUNCTION("""COMPUTED_VALUE"""),2408.8)</f>
        <v>2408.8</v>
      </c>
    </row>
    <row r="7">
      <c r="A7" s="41" t="str">
        <f>IFERROR(__xludf.DUMMYFUNCTION("""COMPUTED_VALUE"""),"Challenger")</f>
        <v>Challenger</v>
      </c>
      <c r="B7" s="41" t="str">
        <f>IFERROR(__xludf.DUMMYFUNCTION("""COMPUTED_VALUE"""),"RSC000053")</f>
        <v>RSC000053</v>
      </c>
      <c r="C7" s="41" t="str">
        <f>IFERROR(__xludf.DUMMYFUNCTION("""COMPUTED_VALUE"""),"its_lost")</f>
        <v>its_lost</v>
      </c>
      <c r="D7" s="41" t="str">
        <f>IFERROR(__xludf.DUMMYFUNCTION("""COMPUTED_VALUE"""),"Meat Lovers")</f>
        <v>Meat Lovers</v>
      </c>
      <c r="E7" s="136">
        <f>IFERROR(__xludf.DUMMYFUNCTION("""COMPUTED_VALUE"""),47.0)</f>
        <v>47</v>
      </c>
      <c r="F7" s="136">
        <f>IFERROR(__xludf.DUMMYFUNCTION("""COMPUTED_VALUE"""),22.0)</f>
        <v>22</v>
      </c>
      <c r="G7" s="136">
        <f>IFERROR(__xludf.DUMMYFUNCTION("""COMPUTED_VALUE"""),25.0)</f>
        <v>25</v>
      </c>
      <c r="H7" s="137">
        <f>IFERROR(__xludf.DUMMYFUNCTION("""COMPUTED_VALUE"""),0.46808510638297873)</f>
        <v>0.4680851064</v>
      </c>
      <c r="I7" s="136">
        <f>IFERROR(__xludf.DUMMYFUNCTION("""COMPUTED_VALUE"""),5.0)</f>
        <v>5</v>
      </c>
      <c r="J7" s="136">
        <f>IFERROR(__xludf.DUMMYFUNCTION("""COMPUTED_VALUE"""),14501.0)</f>
        <v>14501</v>
      </c>
      <c r="K7" s="136">
        <f>IFERROR(__xludf.DUMMYFUNCTION("""COMPUTED_VALUE"""),29.0)</f>
        <v>29</v>
      </c>
      <c r="L7" s="136">
        <f>IFERROR(__xludf.DUMMYFUNCTION("""COMPUTED_VALUE"""),25.0)</f>
        <v>25</v>
      </c>
      <c r="M7" s="136">
        <f>IFERROR(__xludf.DUMMYFUNCTION("""COMPUTED_VALUE"""),49.0)</f>
        <v>49</v>
      </c>
      <c r="N7" s="136">
        <f>IFERROR(__xludf.DUMMYFUNCTION("""COMPUTED_VALUE"""),98.0)</f>
        <v>98</v>
      </c>
      <c r="O7" s="138">
        <f>IFERROR(__xludf.DUMMYFUNCTION("""COMPUTED_VALUE"""),5.0)</f>
        <v>5</v>
      </c>
      <c r="P7" s="138">
        <f>IFERROR(__xludf.DUMMYFUNCTION("""COMPUTED_VALUE"""),0.0)</f>
        <v>0</v>
      </c>
      <c r="Q7" s="138">
        <f>IFERROR(__xludf.DUMMYFUNCTION("""COMPUTED_VALUE"""),1.0)</f>
        <v>1</v>
      </c>
      <c r="R7" s="138">
        <f>IFERROR(__xludf.DUMMYFUNCTION("""COMPUTED_VALUE"""),3.0)</f>
        <v>3</v>
      </c>
      <c r="S7" s="139">
        <f>IFERROR(__xludf.DUMMYFUNCTION("""COMPUTED_VALUE"""),336.0)</f>
        <v>336</v>
      </c>
      <c r="T7" s="140">
        <f>IFERROR(__xludf.DUMMYFUNCTION("""COMPUTED_VALUE"""),118.0)</f>
        <v>118</v>
      </c>
      <c r="U7" s="136">
        <f>IFERROR(__xludf.DUMMYFUNCTION("""COMPUTED_VALUE"""),38.0)</f>
        <v>38</v>
      </c>
      <c r="V7" s="136">
        <f>IFERROR(__xludf.DUMMYFUNCTION("""COMPUTED_VALUE"""),42.0)</f>
        <v>42</v>
      </c>
      <c r="W7" s="136">
        <f>IFERROR(__xludf.DUMMYFUNCTION("""COMPUTED_VALUE"""),42.0)</f>
        <v>42</v>
      </c>
      <c r="X7" s="136">
        <f>IFERROR(__xludf.DUMMYFUNCTION("""COMPUTED_VALUE"""),353.17021276595744)</f>
        <v>353.1702128</v>
      </c>
      <c r="Y7" s="141">
        <f>IFERROR(__xludf.DUMMYFUNCTION("""COMPUTED_VALUE"""),52.297446808510635)</f>
        <v>52.29744681</v>
      </c>
      <c r="Z7" s="141">
        <f>IFERROR(__xludf.DUMMYFUNCTION("""COMPUTED_VALUE"""),2216.659574468085)</f>
        <v>2216.659574</v>
      </c>
    </row>
    <row r="8">
      <c r="A8" s="41" t="str">
        <f>IFERROR(__xludf.DUMMYFUNCTION("""COMPUTED_VALUE"""),"Amateur")</f>
        <v>Amateur</v>
      </c>
      <c r="B8" s="41" t="str">
        <f>IFERROR(__xludf.DUMMYFUNCTION("""COMPUTED_VALUE"""),"RSC000086")</f>
        <v>RSC000086</v>
      </c>
      <c r="C8" s="41" t="str">
        <f>IFERROR(__xludf.DUMMYFUNCTION("""COMPUTED_VALUE"""),"Stale Popcorn")</f>
        <v>Stale Popcorn</v>
      </c>
      <c r="D8" s="41" t="str">
        <f>IFERROR(__xludf.DUMMYFUNCTION("""COMPUTED_VALUE"""),"Winter Fresh
HR Violation")</f>
        <v>Winter Fresh
HR Violation</v>
      </c>
      <c r="E8" s="136">
        <f>IFERROR(__xludf.DUMMYFUNCTION("""COMPUTED_VALUE"""),32.0)</f>
        <v>32</v>
      </c>
      <c r="F8" s="136">
        <f>IFERROR(__xludf.DUMMYFUNCTION("""COMPUTED_VALUE"""),15.0)</f>
        <v>15</v>
      </c>
      <c r="G8" s="136">
        <f>IFERROR(__xludf.DUMMYFUNCTION("""COMPUTED_VALUE"""),17.0)</f>
        <v>17</v>
      </c>
      <c r="H8" s="137">
        <f>IFERROR(__xludf.DUMMYFUNCTION("""COMPUTED_VALUE"""),0.46875)</f>
        <v>0.46875</v>
      </c>
      <c r="I8" s="136">
        <f>IFERROR(__xludf.DUMMYFUNCTION("""COMPUTED_VALUE"""),7.0)</f>
        <v>7</v>
      </c>
      <c r="J8" s="136">
        <f>IFERROR(__xludf.DUMMYFUNCTION("""COMPUTED_VALUE"""),10264.0)</f>
        <v>10264</v>
      </c>
      <c r="K8" s="136">
        <f>IFERROR(__xludf.DUMMYFUNCTION("""COMPUTED_VALUE"""),30.0)</f>
        <v>30</v>
      </c>
      <c r="L8" s="136">
        <f>IFERROR(__xludf.DUMMYFUNCTION("""COMPUTED_VALUE"""),15.0)</f>
        <v>15</v>
      </c>
      <c r="M8" s="136">
        <f>IFERROR(__xludf.DUMMYFUNCTION("""COMPUTED_VALUE"""),21.0)</f>
        <v>21</v>
      </c>
      <c r="N8" s="136">
        <f>IFERROR(__xludf.DUMMYFUNCTION("""COMPUTED_VALUE"""),103.0)</f>
        <v>103</v>
      </c>
      <c r="O8" s="138">
        <f>IFERROR(__xludf.DUMMYFUNCTION("""COMPUTED_VALUE"""),3.0)</f>
        <v>3</v>
      </c>
      <c r="P8" s="138">
        <f>IFERROR(__xludf.DUMMYFUNCTION("""COMPUTED_VALUE"""),3.0)</f>
        <v>3</v>
      </c>
      <c r="Q8" s="138">
        <f>IFERROR(__xludf.DUMMYFUNCTION("""COMPUTED_VALUE"""),0.0)</f>
        <v>0</v>
      </c>
      <c r="R8" s="138">
        <f>IFERROR(__xludf.DUMMYFUNCTION("""COMPUTED_VALUE"""),1.0)</f>
        <v>1</v>
      </c>
      <c r="S8" s="139">
        <f>IFERROR(__xludf.DUMMYFUNCTION("""COMPUTED_VALUE"""),180.0)</f>
        <v>180</v>
      </c>
      <c r="T8" s="140">
        <f>IFERROR(__xludf.DUMMYFUNCTION("""COMPUTED_VALUE"""),60.0)</f>
        <v>60</v>
      </c>
      <c r="U8" s="136">
        <f>IFERROR(__xludf.DUMMYFUNCTION("""COMPUTED_VALUE"""),24.0)</f>
        <v>24</v>
      </c>
      <c r="V8" s="136">
        <f>IFERROR(__xludf.DUMMYFUNCTION("""COMPUTED_VALUE"""),50.0)</f>
        <v>50</v>
      </c>
      <c r="W8" s="136">
        <f>IFERROR(__xludf.DUMMYFUNCTION("""COMPUTED_VALUE"""),20.0)</f>
        <v>20</v>
      </c>
      <c r="X8" s="139">
        <f>IFERROR(__xludf.DUMMYFUNCTION("""COMPUTED_VALUE"""),370.75)</f>
        <v>370.75</v>
      </c>
      <c r="Y8" s="141">
        <f>IFERROR(__xludf.DUMMYFUNCTION("""COMPUTED_VALUE"""),47.47437500000001)</f>
        <v>47.474375</v>
      </c>
      <c r="Z8" s="141">
        <f>IFERROR(__xludf.DUMMYFUNCTION("""COMPUTED_VALUE"""),2106.8125)</f>
        <v>2106.8125</v>
      </c>
    </row>
    <row r="9">
      <c r="A9" s="41" t="str">
        <f>IFERROR(__xludf.DUMMYFUNCTION("""COMPUTED_VALUE"""),"Rival")</f>
        <v>Rival</v>
      </c>
      <c r="B9" s="41" t="str">
        <f>IFERROR(__xludf.DUMMYFUNCTION("""COMPUTED_VALUE"""),"RSC000111")</f>
        <v>RSC000111</v>
      </c>
      <c r="C9" s="41" t="str">
        <f>IFERROR(__xludf.DUMMYFUNCTION("""COMPUTED_VALUE"""),"Wheelchair {LFLegs}")</f>
        <v>Wheelchair {LFLegs}</v>
      </c>
      <c r="D9" s="41" t="str">
        <f>IFERROR(__xludf.DUMMYFUNCTION("""COMPUTED_VALUE"""),"Primo
Liars
Ocelots")</f>
        <v>Primo
Liars
Ocelots</v>
      </c>
      <c r="E9" s="136">
        <f>IFERROR(__xludf.DUMMYFUNCTION("""COMPUTED_VALUE"""),11.0)</f>
        <v>11</v>
      </c>
      <c r="F9" s="136">
        <f>IFERROR(__xludf.DUMMYFUNCTION("""COMPUTED_VALUE"""),4.0)</f>
        <v>4</v>
      </c>
      <c r="G9" s="136">
        <f>IFERROR(__xludf.DUMMYFUNCTION("""COMPUTED_VALUE"""),7.0)</f>
        <v>7</v>
      </c>
      <c r="H9" s="137">
        <f>IFERROR(__xludf.DUMMYFUNCTION("""COMPUTED_VALUE"""),0.36363636363636365)</f>
        <v>0.3636363636</v>
      </c>
      <c r="I9" s="136">
        <f>IFERROR(__xludf.DUMMYFUNCTION("""COMPUTED_VALUE"""),0.0)</f>
        <v>0</v>
      </c>
      <c r="J9" s="136">
        <f>IFERROR(__xludf.DUMMYFUNCTION("""COMPUTED_VALUE"""),2751.0)</f>
        <v>2751</v>
      </c>
      <c r="K9" s="136">
        <f>IFERROR(__xludf.DUMMYFUNCTION("""COMPUTED_VALUE"""),5.0)</f>
        <v>5</v>
      </c>
      <c r="L9" s="136">
        <f>IFERROR(__xludf.DUMMYFUNCTION("""COMPUTED_VALUE"""),6.0)</f>
        <v>6</v>
      </c>
      <c r="M9" s="136">
        <f>IFERROR(__xludf.DUMMYFUNCTION("""COMPUTED_VALUE"""),14.0)</f>
        <v>14</v>
      </c>
      <c r="N9" s="136">
        <f>IFERROR(__xludf.DUMMYFUNCTION("""COMPUTED_VALUE"""),15.0)</f>
        <v>15</v>
      </c>
      <c r="O9" s="138">
        <f>IFERROR(__xludf.DUMMYFUNCTION("""COMPUTED_VALUE"""),0.0)</f>
        <v>0</v>
      </c>
      <c r="P9" s="138">
        <f>IFERROR(__xludf.DUMMYFUNCTION("""COMPUTED_VALUE"""),0.0)</f>
        <v>0</v>
      </c>
      <c r="Q9" s="138">
        <f>IFERROR(__xludf.DUMMYFUNCTION("""COMPUTED_VALUE"""),1.0)</f>
        <v>1</v>
      </c>
      <c r="R9" s="138">
        <f>IFERROR(__xludf.DUMMYFUNCTION("""COMPUTED_VALUE"""),1.0)</f>
        <v>1</v>
      </c>
      <c r="S9" s="139">
        <f>IFERROR(__xludf.DUMMYFUNCTION("""COMPUTED_VALUE"""),74.0)</f>
        <v>74</v>
      </c>
      <c r="T9" s="140">
        <f>IFERROR(__xludf.DUMMYFUNCTION("""COMPUTED_VALUE"""),21.0)</f>
        <v>21</v>
      </c>
      <c r="U9" s="136">
        <f>IFERROR(__xludf.DUMMYFUNCTION("""COMPUTED_VALUE"""),7.0)</f>
        <v>7</v>
      </c>
      <c r="V9" s="136">
        <f>IFERROR(__xludf.DUMMYFUNCTION("""COMPUTED_VALUE"""),13.0)</f>
        <v>13</v>
      </c>
      <c r="W9" s="136">
        <f>IFERROR(__xludf.DUMMYFUNCTION("""COMPUTED_VALUE"""),16.0)</f>
        <v>16</v>
      </c>
      <c r="X9" s="136">
        <f>IFERROR(__xludf.DUMMYFUNCTION("""COMPUTED_VALUE"""),348.72727272727275)</f>
        <v>348.7272727</v>
      </c>
      <c r="Y9" s="141">
        <f>IFERROR(__xludf.DUMMYFUNCTION("""COMPUTED_VALUE"""),43.45272727272728)</f>
        <v>43.45272727</v>
      </c>
      <c r="Z9" s="141">
        <f>IFERROR(__xludf.DUMMYFUNCTION("""COMPUTED_VALUE"""),1980.0)</f>
        <v>1980</v>
      </c>
    </row>
    <row r="10">
      <c r="A10" s="41" t="str">
        <f>IFERROR(__xludf.DUMMYFUNCTION("""COMPUTED_VALUE"""),"Rival")</f>
        <v>Rival</v>
      </c>
      <c r="B10" s="41" t="str">
        <f>IFERROR(__xludf.DUMMYFUNCTION("""COMPUTED_VALUE"""),"RSC000136")</f>
        <v>RSC000136</v>
      </c>
      <c r="C10" s="41" t="str">
        <f>IFERROR(__xludf.DUMMYFUNCTION("""COMPUTED_VALUE"""),"Blun")</f>
        <v>Blun</v>
      </c>
      <c r="D10" s="41" t="str">
        <f>IFERROR(__xludf.DUMMYFUNCTION("""COMPUTED_VALUE"""),"Hue Heroes")</f>
        <v>Hue Heroes</v>
      </c>
      <c r="E10" s="136">
        <f>IFERROR(__xludf.DUMMYFUNCTION("""COMPUTED_VALUE"""),43.0)</f>
        <v>43</v>
      </c>
      <c r="F10" s="136">
        <f>IFERROR(__xludf.DUMMYFUNCTION("""COMPUTED_VALUE"""),26.0)</f>
        <v>26</v>
      </c>
      <c r="G10" s="136">
        <f>IFERROR(__xludf.DUMMYFUNCTION("""COMPUTED_VALUE"""),17.0)</f>
        <v>17</v>
      </c>
      <c r="H10" s="137">
        <f>IFERROR(__xludf.DUMMYFUNCTION("""COMPUTED_VALUE"""),0.6046511627906976)</f>
        <v>0.6046511628</v>
      </c>
      <c r="I10" s="136">
        <f>IFERROR(__xludf.DUMMYFUNCTION("""COMPUTED_VALUE"""),5.0)</f>
        <v>5</v>
      </c>
      <c r="J10" s="136">
        <f>IFERROR(__xludf.DUMMYFUNCTION("""COMPUTED_VALUE"""),15022.0)</f>
        <v>15022</v>
      </c>
      <c r="K10" s="136">
        <f>IFERROR(__xludf.DUMMYFUNCTION("""COMPUTED_VALUE"""),47.0)</f>
        <v>47</v>
      </c>
      <c r="L10" s="136">
        <f>IFERROR(__xludf.DUMMYFUNCTION("""COMPUTED_VALUE"""),24.0)</f>
        <v>24</v>
      </c>
      <c r="M10" s="136">
        <f>IFERROR(__xludf.DUMMYFUNCTION("""COMPUTED_VALUE"""),38.0)</f>
        <v>38</v>
      </c>
      <c r="N10" s="136">
        <f>IFERROR(__xludf.DUMMYFUNCTION("""COMPUTED_VALUE"""),118.0)</f>
        <v>118</v>
      </c>
      <c r="O10" s="138">
        <f>IFERROR(__xludf.DUMMYFUNCTION("""COMPUTED_VALUE"""),4.0)</f>
        <v>4</v>
      </c>
      <c r="P10" s="138">
        <f>IFERROR(__xludf.DUMMYFUNCTION("""COMPUTED_VALUE"""),3.0)</f>
        <v>3</v>
      </c>
      <c r="Q10" s="138">
        <f>IFERROR(__xludf.DUMMYFUNCTION("""COMPUTED_VALUE"""),1.0)</f>
        <v>1</v>
      </c>
      <c r="R10" s="138">
        <f>IFERROR(__xludf.DUMMYFUNCTION("""COMPUTED_VALUE"""),2.0)</f>
        <v>2</v>
      </c>
      <c r="S10" s="139">
        <f>IFERROR(__xludf.DUMMYFUNCTION("""COMPUTED_VALUE"""),310.0)</f>
        <v>310</v>
      </c>
      <c r="T10" s="140">
        <f>IFERROR(__xludf.DUMMYFUNCTION("""COMPUTED_VALUE"""),100.0)</f>
        <v>100</v>
      </c>
      <c r="U10" s="136">
        <f>IFERROR(__xludf.DUMMYFUNCTION("""COMPUTED_VALUE"""),36.0)</f>
        <v>36</v>
      </c>
      <c r="V10" s="136">
        <f>IFERROR(__xludf.DUMMYFUNCTION("""COMPUTED_VALUE"""),24.0)</f>
        <v>24</v>
      </c>
      <c r="W10" s="136">
        <f>IFERROR(__xludf.DUMMYFUNCTION("""COMPUTED_VALUE"""),46.0)</f>
        <v>46</v>
      </c>
      <c r="X10" s="136">
        <f>IFERROR(__xludf.DUMMYFUNCTION("""COMPUTED_VALUE"""),343.5348837209302)</f>
        <v>343.5348837</v>
      </c>
      <c r="Y10" s="141">
        <f>IFERROR(__xludf.DUMMYFUNCTION("""COMPUTED_VALUE"""),49.4913953488372)</f>
        <v>49.49139535</v>
      </c>
      <c r="Z10" s="141">
        <f>IFERROR(__xludf.DUMMYFUNCTION("""COMPUTED_VALUE"""),2086.5348837209303)</f>
        <v>2086.534884</v>
      </c>
    </row>
    <row r="11">
      <c r="A11" s="41" t="str">
        <f>IFERROR(__xludf.DUMMYFUNCTION("""COMPUTED_VALUE"""),"Rival")</f>
        <v>Rival</v>
      </c>
      <c r="B11" s="41" t="str">
        <f>IFERROR(__xludf.DUMMYFUNCTION("""COMPUTED_VALUE"""),"RSC000156")</f>
        <v>RSC000156</v>
      </c>
      <c r="C11" s="41" t="str">
        <f>IFERROR(__xludf.DUMMYFUNCTION("""COMPUTED_VALUE"""),"Drupenson")</f>
        <v>Drupenson</v>
      </c>
      <c r="D11" s="41" t="str">
        <f>IFERROR(__xludf.DUMMYFUNCTION("""COMPUTED_VALUE"""),"Hue Heroes")</f>
        <v>Hue Heroes</v>
      </c>
      <c r="E11" s="136">
        <f>IFERROR(__xludf.DUMMYFUNCTION("""COMPUTED_VALUE"""),39.0)</f>
        <v>39</v>
      </c>
      <c r="F11" s="136">
        <f>IFERROR(__xludf.DUMMYFUNCTION("""COMPUTED_VALUE"""),25.0)</f>
        <v>25</v>
      </c>
      <c r="G11" s="136">
        <f>IFERROR(__xludf.DUMMYFUNCTION("""COMPUTED_VALUE"""),14.0)</f>
        <v>14</v>
      </c>
      <c r="H11" s="137">
        <f>IFERROR(__xludf.DUMMYFUNCTION("""COMPUTED_VALUE"""),0.6410256410256411)</f>
        <v>0.641025641</v>
      </c>
      <c r="I11" s="136">
        <f>IFERROR(__xludf.DUMMYFUNCTION("""COMPUTED_VALUE"""),9.0)</f>
        <v>9</v>
      </c>
      <c r="J11" s="136">
        <f>IFERROR(__xludf.DUMMYFUNCTION("""COMPUTED_VALUE"""),15240.0)</f>
        <v>15240</v>
      </c>
      <c r="K11" s="136">
        <f>IFERROR(__xludf.DUMMYFUNCTION("""COMPUTED_VALUE"""),46.0)</f>
        <v>46</v>
      </c>
      <c r="L11" s="136">
        <f>IFERROR(__xludf.DUMMYFUNCTION("""COMPUTED_VALUE"""),35.0)</f>
        <v>35</v>
      </c>
      <c r="M11" s="136">
        <f>IFERROR(__xludf.DUMMYFUNCTION("""COMPUTED_VALUE"""),41.0)</f>
        <v>41</v>
      </c>
      <c r="N11" s="136">
        <f>IFERROR(__xludf.DUMMYFUNCTION("""COMPUTED_VALUE"""),116.0)</f>
        <v>116</v>
      </c>
      <c r="O11" s="138">
        <f>IFERROR(__xludf.DUMMYFUNCTION("""COMPUTED_VALUE"""),13.0)</f>
        <v>13</v>
      </c>
      <c r="P11" s="138">
        <f>IFERROR(__xludf.DUMMYFUNCTION("""COMPUTED_VALUE"""),2.0)</f>
        <v>2</v>
      </c>
      <c r="Q11" s="138">
        <f>IFERROR(__xludf.DUMMYFUNCTION("""COMPUTED_VALUE"""),1.0)</f>
        <v>1</v>
      </c>
      <c r="R11" s="138">
        <f>IFERROR(__xludf.DUMMYFUNCTION("""COMPUTED_VALUE"""),3.0)</f>
        <v>3</v>
      </c>
      <c r="S11" s="139">
        <f>IFERROR(__xludf.DUMMYFUNCTION("""COMPUTED_VALUE"""),261.0)</f>
        <v>261</v>
      </c>
      <c r="T11" s="140">
        <f>IFERROR(__xludf.DUMMYFUNCTION("""COMPUTED_VALUE"""),88.0)</f>
        <v>88</v>
      </c>
      <c r="U11" s="136">
        <f>IFERROR(__xludf.DUMMYFUNCTION("""COMPUTED_VALUE"""),26.0)</f>
        <v>26</v>
      </c>
      <c r="V11" s="136">
        <f>IFERROR(__xludf.DUMMYFUNCTION("""COMPUTED_VALUE"""),37.0)</f>
        <v>37</v>
      </c>
      <c r="W11" s="136">
        <f>IFERROR(__xludf.DUMMYFUNCTION("""COMPUTED_VALUE"""),43.0)</f>
        <v>43</v>
      </c>
      <c r="X11" s="136">
        <f>IFERROR(__xludf.DUMMYFUNCTION("""COMPUTED_VALUE"""),393.0)</f>
        <v>393</v>
      </c>
      <c r="Y11" s="141">
        <f>IFERROR(__xludf.DUMMYFUNCTION("""COMPUTED_VALUE"""),48.37615384615386)</f>
        <v>48.37615385</v>
      </c>
      <c r="Z11" s="141">
        <f>IFERROR(__xludf.DUMMYFUNCTION("""COMPUTED_VALUE"""),2333.948717948718)</f>
        <v>2333.948718</v>
      </c>
    </row>
    <row r="12">
      <c r="A12" s="41" t="str">
        <f>IFERROR(__xludf.DUMMYFUNCTION("""COMPUTED_VALUE"""),"Premier")</f>
        <v>Premier</v>
      </c>
      <c r="B12" s="41" t="str">
        <f>IFERROR(__xludf.DUMMYFUNCTION("""COMPUTED_VALUE"""),"RSC000181")</f>
        <v>RSC000181</v>
      </c>
      <c r="C12" s="41" t="str">
        <f>IFERROR(__xludf.DUMMYFUNCTION("""COMPUTED_VALUE"""),"Eclipse")</f>
        <v>Eclipse</v>
      </c>
      <c r="D12" s="41" t="str">
        <f>IFERROR(__xludf.DUMMYFUNCTION("""COMPUTED_VALUE"""),"Gummy Bears")</f>
        <v>Gummy Bears</v>
      </c>
      <c r="E12" s="136">
        <f>IFERROR(__xludf.DUMMYFUNCTION("""COMPUTED_VALUE"""),50.0)</f>
        <v>50</v>
      </c>
      <c r="F12" s="136">
        <f>IFERROR(__xludf.DUMMYFUNCTION("""COMPUTED_VALUE"""),27.0)</f>
        <v>27</v>
      </c>
      <c r="G12" s="136">
        <f>IFERROR(__xludf.DUMMYFUNCTION("""COMPUTED_VALUE"""),23.0)</f>
        <v>23</v>
      </c>
      <c r="H12" s="137">
        <f>IFERROR(__xludf.DUMMYFUNCTION("""COMPUTED_VALUE"""),0.54)</f>
        <v>0.54</v>
      </c>
      <c r="I12" s="136">
        <f>IFERROR(__xludf.DUMMYFUNCTION("""COMPUTED_VALUE"""),13.0)</f>
        <v>13</v>
      </c>
      <c r="J12" s="136">
        <f>IFERROR(__xludf.DUMMYFUNCTION("""COMPUTED_VALUE"""),18627.0)</f>
        <v>18627</v>
      </c>
      <c r="K12" s="136">
        <f>IFERROR(__xludf.DUMMYFUNCTION("""COMPUTED_VALUE"""),46.0)</f>
        <v>46</v>
      </c>
      <c r="L12" s="136">
        <f>IFERROR(__xludf.DUMMYFUNCTION("""COMPUTED_VALUE"""),36.0)</f>
        <v>36</v>
      </c>
      <c r="M12" s="136">
        <f>IFERROR(__xludf.DUMMYFUNCTION("""COMPUTED_VALUE"""),58.0)</f>
        <v>58</v>
      </c>
      <c r="N12" s="136">
        <f>IFERROR(__xludf.DUMMYFUNCTION("""COMPUTED_VALUE"""),160.0)</f>
        <v>160</v>
      </c>
      <c r="O12" s="138">
        <f>IFERROR(__xludf.DUMMYFUNCTION("""COMPUTED_VALUE"""),10.0)</f>
        <v>10</v>
      </c>
      <c r="P12" s="138">
        <f>IFERROR(__xludf.DUMMYFUNCTION("""COMPUTED_VALUE"""),5.0)</f>
        <v>5</v>
      </c>
      <c r="Q12" s="138">
        <f>IFERROR(__xludf.DUMMYFUNCTION("""COMPUTED_VALUE"""),2.0)</f>
        <v>2</v>
      </c>
      <c r="R12" s="138">
        <f>IFERROR(__xludf.DUMMYFUNCTION("""COMPUTED_VALUE"""),6.0)</f>
        <v>6</v>
      </c>
      <c r="S12" s="139">
        <f>IFERROR(__xludf.DUMMYFUNCTION("""COMPUTED_VALUE"""),368.0)</f>
        <v>368</v>
      </c>
      <c r="T12" s="140">
        <f>IFERROR(__xludf.DUMMYFUNCTION("""COMPUTED_VALUE"""),116.0)</f>
        <v>116</v>
      </c>
      <c r="U12" s="136">
        <f>IFERROR(__xludf.DUMMYFUNCTION("""COMPUTED_VALUE"""),31.0)</f>
        <v>31</v>
      </c>
      <c r="V12" s="136">
        <f>IFERROR(__xludf.DUMMYFUNCTION("""COMPUTED_VALUE"""),97.0)</f>
        <v>97</v>
      </c>
      <c r="W12" s="136">
        <f>IFERROR(__xludf.DUMMYFUNCTION("""COMPUTED_VALUE"""),46.0)</f>
        <v>46</v>
      </c>
      <c r="X12" s="136">
        <f>IFERROR(__xludf.DUMMYFUNCTION("""COMPUTED_VALUE"""),440.66)</f>
        <v>440.66</v>
      </c>
      <c r="Y12" s="141">
        <f>IFERROR(__xludf.DUMMYFUNCTION("""COMPUTED_VALUE"""),48.52720000000002)</f>
        <v>48.5272</v>
      </c>
      <c r="Z12" s="141">
        <f>IFERROR(__xludf.DUMMYFUNCTION("""COMPUTED_VALUE"""),2528.7)</f>
        <v>2528.7</v>
      </c>
    </row>
    <row r="13">
      <c r="A13" s="41" t="str">
        <f>IFERROR(__xludf.DUMMYFUNCTION("""COMPUTED_VALUE"""),"Veteran")</f>
        <v>Veteran</v>
      </c>
      <c r="B13" s="41" t="str">
        <f>IFERROR(__xludf.DUMMYFUNCTION("""COMPUTED_VALUE"""),"RSC000182")</f>
        <v>RSC000182</v>
      </c>
      <c r="C13" s="41" t="str">
        <f>IFERROR(__xludf.DUMMYFUNCTION("""COMPUTED_VALUE"""),"Goose")</f>
        <v>Goose</v>
      </c>
      <c r="D13" s="41" t="str">
        <f>IFERROR(__xludf.DUMMYFUNCTION("""COMPUTED_VALUE"""),"Banshees")</f>
        <v>Banshees</v>
      </c>
      <c r="E13" s="136">
        <f>IFERROR(__xludf.DUMMYFUNCTION("""COMPUTED_VALUE"""),41.0)</f>
        <v>41</v>
      </c>
      <c r="F13" s="136">
        <f>IFERROR(__xludf.DUMMYFUNCTION("""COMPUTED_VALUE"""),14.0)</f>
        <v>14</v>
      </c>
      <c r="G13" s="136">
        <f>IFERROR(__xludf.DUMMYFUNCTION("""COMPUTED_VALUE"""),27.0)</f>
        <v>27</v>
      </c>
      <c r="H13" s="137">
        <f>IFERROR(__xludf.DUMMYFUNCTION("""COMPUTED_VALUE"""),0.34146341463414637)</f>
        <v>0.3414634146</v>
      </c>
      <c r="I13" s="136">
        <f>IFERROR(__xludf.DUMMYFUNCTION("""COMPUTED_VALUE"""),5.0)</f>
        <v>5</v>
      </c>
      <c r="J13" s="136">
        <f>IFERROR(__xludf.DUMMYFUNCTION("""COMPUTED_VALUE"""),12825.0)</f>
        <v>12825</v>
      </c>
      <c r="K13" s="136">
        <f>IFERROR(__xludf.DUMMYFUNCTION("""COMPUTED_VALUE"""),34.0)</f>
        <v>34</v>
      </c>
      <c r="L13" s="136">
        <f>IFERROR(__xludf.DUMMYFUNCTION("""COMPUTED_VALUE"""),19.0)</f>
        <v>19</v>
      </c>
      <c r="M13" s="136">
        <f>IFERROR(__xludf.DUMMYFUNCTION("""COMPUTED_VALUE"""),47.0)</f>
        <v>47</v>
      </c>
      <c r="N13" s="136">
        <f>IFERROR(__xludf.DUMMYFUNCTION("""COMPUTED_VALUE"""),104.0)</f>
        <v>104</v>
      </c>
      <c r="O13" s="138">
        <f>IFERROR(__xludf.DUMMYFUNCTION("""COMPUTED_VALUE"""),4.0)</f>
        <v>4</v>
      </c>
      <c r="P13" s="138">
        <f>IFERROR(__xludf.DUMMYFUNCTION("""COMPUTED_VALUE"""),3.0)</f>
        <v>3</v>
      </c>
      <c r="Q13" s="138">
        <f>IFERROR(__xludf.DUMMYFUNCTION("""COMPUTED_VALUE"""),0.0)</f>
        <v>0</v>
      </c>
      <c r="R13" s="138">
        <f>IFERROR(__xludf.DUMMYFUNCTION("""COMPUTED_VALUE"""),4.0)</f>
        <v>4</v>
      </c>
      <c r="S13" s="139">
        <f>IFERROR(__xludf.DUMMYFUNCTION("""COMPUTED_VALUE"""),345.0)</f>
        <v>345</v>
      </c>
      <c r="T13" s="140">
        <f>IFERROR(__xludf.DUMMYFUNCTION("""COMPUTED_VALUE"""),133.0)</f>
        <v>133</v>
      </c>
      <c r="U13" s="136">
        <f>IFERROR(__xludf.DUMMYFUNCTION("""COMPUTED_VALUE"""),42.0)</f>
        <v>42</v>
      </c>
      <c r="V13" s="136">
        <f>IFERROR(__xludf.DUMMYFUNCTION("""COMPUTED_VALUE"""),81.0)</f>
        <v>81</v>
      </c>
      <c r="W13" s="136">
        <f>IFERROR(__xludf.DUMMYFUNCTION("""COMPUTED_VALUE"""),31.0)</f>
        <v>31</v>
      </c>
      <c r="X13" s="136">
        <f>IFERROR(__xludf.DUMMYFUNCTION("""COMPUTED_VALUE"""),358.1463414634146)</f>
        <v>358.1463415</v>
      </c>
      <c r="Y13" s="141">
        <f>IFERROR(__xludf.DUMMYFUNCTION("""COMPUTED_VALUE"""),46.21634146341463)</f>
        <v>46.21634146</v>
      </c>
      <c r="Z13" s="141">
        <f>IFERROR(__xludf.DUMMYFUNCTION("""COMPUTED_VALUE"""),2175.4146341463415)</f>
        <v>2175.414634</v>
      </c>
    </row>
    <row r="14">
      <c r="A14" s="41" t="str">
        <f>IFERROR(__xludf.DUMMYFUNCTION("""COMPUTED_VALUE"""),"Elite")</f>
        <v>Elite</v>
      </c>
      <c r="B14" s="41" t="str">
        <f>IFERROR(__xludf.DUMMYFUNCTION("""COMPUTED_VALUE"""),"RSC000183")</f>
        <v>RSC000183</v>
      </c>
      <c r="C14" s="41" t="str">
        <f>IFERROR(__xludf.DUMMYFUNCTION("""COMPUTED_VALUE"""),"Rex")</f>
        <v>Rex</v>
      </c>
      <c r="D14" s="41" t="str">
        <f>IFERROR(__xludf.DUMMYFUNCTION("""COMPUTED_VALUE"""),"Demons")</f>
        <v>Demons</v>
      </c>
      <c r="E14" s="136">
        <f>IFERROR(__xludf.DUMMYFUNCTION("""COMPUTED_VALUE"""),42.0)</f>
        <v>42</v>
      </c>
      <c r="F14" s="136">
        <f>IFERROR(__xludf.DUMMYFUNCTION("""COMPUTED_VALUE"""),18.0)</f>
        <v>18</v>
      </c>
      <c r="G14" s="136">
        <f>IFERROR(__xludf.DUMMYFUNCTION("""COMPUTED_VALUE"""),24.0)</f>
        <v>24</v>
      </c>
      <c r="H14" s="137">
        <f>IFERROR(__xludf.DUMMYFUNCTION("""COMPUTED_VALUE"""),0.42857142857142855)</f>
        <v>0.4285714286</v>
      </c>
      <c r="I14" s="136">
        <f>IFERROR(__xludf.DUMMYFUNCTION("""COMPUTED_VALUE"""),3.0)</f>
        <v>3</v>
      </c>
      <c r="J14" s="136">
        <f>IFERROR(__xludf.DUMMYFUNCTION("""COMPUTED_VALUE"""),13419.0)</f>
        <v>13419</v>
      </c>
      <c r="K14" s="136">
        <f>IFERROR(__xludf.DUMMYFUNCTION("""COMPUTED_VALUE"""),25.0)</f>
        <v>25</v>
      </c>
      <c r="L14" s="136">
        <f>IFERROR(__xludf.DUMMYFUNCTION("""COMPUTED_VALUE"""),15.0)</f>
        <v>15</v>
      </c>
      <c r="M14" s="136">
        <f>IFERROR(__xludf.DUMMYFUNCTION("""COMPUTED_VALUE"""),55.0)</f>
        <v>55</v>
      </c>
      <c r="N14" s="136">
        <f>IFERROR(__xludf.DUMMYFUNCTION("""COMPUTED_VALUE"""),99.0)</f>
        <v>99</v>
      </c>
      <c r="O14" s="138">
        <f>IFERROR(__xludf.DUMMYFUNCTION("""COMPUTED_VALUE"""),5.0)</f>
        <v>5</v>
      </c>
      <c r="P14" s="138">
        <f>IFERROR(__xludf.DUMMYFUNCTION("""COMPUTED_VALUE"""),0.0)</f>
        <v>0</v>
      </c>
      <c r="Q14" s="138">
        <f>IFERROR(__xludf.DUMMYFUNCTION("""COMPUTED_VALUE"""),0.0)</f>
        <v>0</v>
      </c>
      <c r="R14" s="138">
        <f>IFERROR(__xludf.DUMMYFUNCTION("""COMPUTED_VALUE"""),7.0)</f>
        <v>7</v>
      </c>
      <c r="S14" s="139">
        <f>IFERROR(__xludf.DUMMYFUNCTION("""COMPUTED_VALUE"""),357.0)</f>
        <v>357</v>
      </c>
      <c r="T14" s="140">
        <f>IFERROR(__xludf.DUMMYFUNCTION("""COMPUTED_VALUE"""),117.0)</f>
        <v>117</v>
      </c>
      <c r="U14" s="136">
        <f>IFERROR(__xludf.DUMMYFUNCTION("""COMPUTED_VALUE"""),48.0)</f>
        <v>48</v>
      </c>
      <c r="V14" s="136">
        <f>IFERROR(__xludf.DUMMYFUNCTION("""COMPUTED_VALUE"""),51.0)</f>
        <v>51</v>
      </c>
      <c r="W14" s="136">
        <f>IFERROR(__xludf.DUMMYFUNCTION("""COMPUTED_VALUE"""),46.0)</f>
        <v>46</v>
      </c>
      <c r="X14" s="136">
        <f>IFERROR(__xludf.DUMMYFUNCTION("""COMPUTED_VALUE"""),382.2142857142857)</f>
        <v>382.2142857</v>
      </c>
      <c r="Y14" s="141">
        <f>IFERROR(__xludf.DUMMYFUNCTION("""COMPUTED_VALUE"""),46.58071428571428)</f>
        <v>46.58071429</v>
      </c>
      <c r="Z14" s="141">
        <f>IFERROR(__xludf.DUMMYFUNCTION("""COMPUTED_VALUE"""),2303.8333333333335)</f>
        <v>2303.833333</v>
      </c>
    </row>
    <row r="15">
      <c r="A15" s="41" t="str">
        <f>IFERROR(__xludf.DUMMYFUNCTION("""COMPUTED_VALUE"""),"Master")</f>
        <v>Master</v>
      </c>
      <c r="B15" s="41" t="str">
        <f>IFERROR(__xludf.DUMMYFUNCTION("""COMPUTED_VALUE"""),"RSC000200")</f>
        <v>RSC000200</v>
      </c>
      <c r="C15" s="41" t="str">
        <f>IFERROR(__xludf.DUMMYFUNCTION("""COMPUTED_VALUE"""),"Jonezy")</f>
        <v>Jonezy</v>
      </c>
      <c r="D15" s="41" t="str">
        <f>IFERROR(__xludf.DUMMYFUNCTION("""COMPUTED_VALUE"""),"Oblivion")</f>
        <v>Oblivion</v>
      </c>
      <c r="E15" s="136">
        <f>IFERROR(__xludf.DUMMYFUNCTION("""COMPUTED_VALUE"""),2.0)</f>
        <v>2</v>
      </c>
      <c r="F15" s="136">
        <f>IFERROR(__xludf.DUMMYFUNCTION("""COMPUTED_VALUE"""),1.0)</f>
        <v>1</v>
      </c>
      <c r="G15" s="136">
        <f>IFERROR(__xludf.DUMMYFUNCTION("""COMPUTED_VALUE"""),1.0)</f>
        <v>1</v>
      </c>
      <c r="H15" s="137">
        <f>IFERROR(__xludf.DUMMYFUNCTION("""COMPUTED_VALUE"""),0.5)</f>
        <v>0.5</v>
      </c>
      <c r="I15" s="136">
        <f>IFERROR(__xludf.DUMMYFUNCTION("""COMPUTED_VALUE"""),1.0)</f>
        <v>1</v>
      </c>
      <c r="J15" s="136">
        <f>IFERROR(__xludf.DUMMYFUNCTION("""COMPUTED_VALUE"""),757.0)</f>
        <v>757</v>
      </c>
      <c r="K15" s="136">
        <f>IFERROR(__xludf.DUMMYFUNCTION("""COMPUTED_VALUE"""),3.0)</f>
        <v>3</v>
      </c>
      <c r="L15" s="136">
        <f>IFERROR(__xludf.DUMMYFUNCTION("""COMPUTED_VALUE"""),0.0)</f>
        <v>0</v>
      </c>
      <c r="M15" s="136">
        <f>IFERROR(__xludf.DUMMYFUNCTION("""COMPUTED_VALUE"""),4.0)</f>
        <v>4</v>
      </c>
      <c r="N15" s="136">
        <f>IFERROR(__xludf.DUMMYFUNCTION("""COMPUTED_VALUE"""),4.0)</f>
        <v>4</v>
      </c>
      <c r="O15" s="138">
        <f>IFERROR(__xludf.DUMMYFUNCTION("""COMPUTED_VALUE"""),0.0)</f>
        <v>0</v>
      </c>
      <c r="P15" s="138">
        <f>IFERROR(__xludf.DUMMYFUNCTION("""COMPUTED_VALUE"""),0.0)</f>
        <v>0</v>
      </c>
      <c r="Q15" s="138">
        <f>IFERROR(__xludf.DUMMYFUNCTION("""COMPUTED_VALUE"""),0.0)</f>
        <v>0</v>
      </c>
      <c r="R15" s="138">
        <f>IFERROR(__xludf.DUMMYFUNCTION("""COMPUTED_VALUE"""),1.0)</f>
        <v>1</v>
      </c>
      <c r="S15" s="139">
        <f>IFERROR(__xludf.DUMMYFUNCTION("""COMPUTED_VALUE"""),21.0)</f>
        <v>21</v>
      </c>
      <c r="T15" s="140">
        <f>IFERROR(__xludf.DUMMYFUNCTION("""COMPUTED_VALUE"""),8.0)</f>
        <v>8</v>
      </c>
      <c r="U15" s="136">
        <f>IFERROR(__xludf.DUMMYFUNCTION("""COMPUTED_VALUE"""),2.0)</f>
        <v>2</v>
      </c>
      <c r="V15" s="136">
        <f>IFERROR(__xludf.DUMMYFUNCTION("""COMPUTED_VALUE"""),2.0)</f>
        <v>2</v>
      </c>
      <c r="W15" s="136">
        <f>IFERROR(__xludf.DUMMYFUNCTION("""COMPUTED_VALUE"""),2.0)</f>
        <v>2</v>
      </c>
      <c r="X15" s="136">
        <f>IFERROR(__xludf.DUMMYFUNCTION("""COMPUTED_VALUE"""),418.0)</f>
        <v>418</v>
      </c>
      <c r="Y15" s="141">
        <f>IFERROR(__xludf.DUMMYFUNCTION("""COMPUTED_VALUE"""),46.12)</f>
        <v>46.12</v>
      </c>
      <c r="Z15" s="141">
        <f>IFERROR(__xludf.DUMMYFUNCTION("""COMPUTED_VALUE"""),2338.5)</f>
        <v>2338.5</v>
      </c>
    </row>
    <row r="16">
      <c r="A16" s="41" t="str">
        <f>IFERROR(__xludf.DUMMYFUNCTION("""COMPUTED_VALUE"""),"Veteran")</f>
        <v>Veteran</v>
      </c>
      <c r="B16" s="41" t="str">
        <f>IFERROR(__xludf.DUMMYFUNCTION("""COMPUTED_VALUE"""),"RSC000200")</f>
        <v>RSC000200</v>
      </c>
      <c r="C16" s="41" t="str">
        <f>IFERROR(__xludf.DUMMYFUNCTION("""COMPUTED_VALUE"""),"Jonezy")</f>
        <v>Jonezy</v>
      </c>
      <c r="D16" s="41" t="str">
        <f>IFERROR(__xludf.DUMMYFUNCTION("""COMPUTED_VALUE"""),"Singularity")</f>
        <v>Singularity</v>
      </c>
      <c r="E16" s="136">
        <f>IFERROR(__xludf.DUMMYFUNCTION("""COMPUTED_VALUE"""),12.0)</f>
        <v>12</v>
      </c>
      <c r="F16" s="136">
        <f>IFERROR(__xludf.DUMMYFUNCTION("""COMPUTED_VALUE"""),6.0)</f>
        <v>6</v>
      </c>
      <c r="G16" s="136">
        <f>IFERROR(__xludf.DUMMYFUNCTION("""COMPUTED_VALUE"""),6.0)</f>
        <v>6</v>
      </c>
      <c r="H16" s="137">
        <f>IFERROR(__xludf.DUMMYFUNCTION("""COMPUTED_VALUE"""),0.5)</f>
        <v>0.5</v>
      </c>
      <c r="I16" s="136">
        <f>IFERROR(__xludf.DUMMYFUNCTION("""COMPUTED_VALUE"""),3.0)</f>
        <v>3</v>
      </c>
      <c r="J16" s="136">
        <f>IFERROR(__xludf.DUMMYFUNCTION("""COMPUTED_VALUE"""),5234.0)</f>
        <v>5234</v>
      </c>
      <c r="K16" s="136">
        <f>IFERROR(__xludf.DUMMYFUNCTION("""COMPUTED_VALUE"""),14.0)</f>
        <v>14</v>
      </c>
      <c r="L16" s="136">
        <f>IFERROR(__xludf.DUMMYFUNCTION("""COMPUTED_VALUE"""),8.0)</f>
        <v>8</v>
      </c>
      <c r="M16" s="136">
        <f>IFERROR(__xludf.DUMMYFUNCTION("""COMPUTED_VALUE"""),19.0)</f>
        <v>19</v>
      </c>
      <c r="N16" s="136">
        <f>IFERROR(__xludf.DUMMYFUNCTION("""COMPUTED_VALUE"""),40.0)</f>
        <v>40</v>
      </c>
      <c r="O16" s="138">
        <f>IFERROR(__xludf.DUMMYFUNCTION("""COMPUTED_VALUE"""),3.0)</f>
        <v>3</v>
      </c>
      <c r="P16" s="138">
        <f>IFERROR(__xludf.DUMMYFUNCTION("""COMPUTED_VALUE"""),0.0)</f>
        <v>0</v>
      </c>
      <c r="Q16" s="138">
        <f>IFERROR(__xludf.DUMMYFUNCTION("""COMPUTED_VALUE"""),1.0)</f>
        <v>1</v>
      </c>
      <c r="R16" s="138">
        <f>IFERROR(__xludf.DUMMYFUNCTION("""COMPUTED_VALUE"""),4.0)</f>
        <v>4</v>
      </c>
      <c r="S16" s="139">
        <f>IFERROR(__xludf.DUMMYFUNCTION("""COMPUTED_VALUE"""),90.0)</f>
        <v>90</v>
      </c>
      <c r="T16" s="140">
        <f>IFERROR(__xludf.DUMMYFUNCTION("""COMPUTED_VALUE"""),27.0)</f>
        <v>27</v>
      </c>
      <c r="U16" s="136">
        <f>IFERROR(__xludf.DUMMYFUNCTION("""COMPUTED_VALUE"""),9.0)</f>
        <v>9</v>
      </c>
      <c r="V16" s="136">
        <f>IFERROR(__xludf.DUMMYFUNCTION("""COMPUTED_VALUE"""),12.0)</f>
        <v>12</v>
      </c>
      <c r="W16" s="136">
        <f>IFERROR(__xludf.DUMMYFUNCTION("""COMPUTED_VALUE"""),22.0)</f>
        <v>22</v>
      </c>
      <c r="X16" s="136">
        <f>IFERROR(__xludf.DUMMYFUNCTION("""COMPUTED_VALUE"""),402.0)</f>
        <v>402</v>
      </c>
      <c r="Y16" s="141">
        <f>IFERROR(__xludf.DUMMYFUNCTION("""COMPUTED_VALUE"""),47.6025)</f>
        <v>47.6025</v>
      </c>
      <c r="Z16" s="141">
        <f>IFERROR(__xludf.DUMMYFUNCTION("""COMPUTED_VALUE"""),2443.25)</f>
        <v>2443.25</v>
      </c>
    </row>
    <row r="17">
      <c r="A17" s="41" t="str">
        <f>IFERROR(__xludf.DUMMYFUNCTION("""COMPUTED_VALUE"""),"Elite")</f>
        <v>Elite</v>
      </c>
      <c r="B17" s="41" t="str">
        <f>IFERROR(__xludf.DUMMYFUNCTION("""COMPUTED_VALUE"""),"RSC000203")</f>
        <v>RSC000203</v>
      </c>
      <c r="C17" s="41" t="str">
        <f>IFERROR(__xludf.DUMMYFUNCTION("""COMPUTED_VALUE"""),"FrostyBrew")</f>
        <v>FrostyBrew</v>
      </c>
      <c r="D17" s="41" t="str">
        <f>IFERROR(__xludf.DUMMYFUNCTION("""COMPUTED_VALUE"""),"Demons")</f>
        <v>Demons</v>
      </c>
      <c r="E17" s="136">
        <f>IFERROR(__xludf.DUMMYFUNCTION("""COMPUTED_VALUE"""),32.0)</f>
        <v>32</v>
      </c>
      <c r="F17" s="136">
        <f>IFERROR(__xludf.DUMMYFUNCTION("""COMPUTED_VALUE"""),10.0)</f>
        <v>10</v>
      </c>
      <c r="G17" s="136">
        <f>IFERROR(__xludf.DUMMYFUNCTION("""COMPUTED_VALUE"""),22.0)</f>
        <v>22</v>
      </c>
      <c r="H17" s="137">
        <f>IFERROR(__xludf.DUMMYFUNCTION("""COMPUTED_VALUE"""),0.3125)</f>
        <v>0.3125</v>
      </c>
      <c r="I17" s="136">
        <f>IFERROR(__xludf.DUMMYFUNCTION("""COMPUTED_VALUE"""),2.0)</f>
        <v>2</v>
      </c>
      <c r="J17" s="136">
        <f>IFERROR(__xludf.DUMMYFUNCTION("""COMPUTED_VALUE"""),9428.0)</f>
        <v>9428</v>
      </c>
      <c r="K17" s="136">
        <f>IFERROR(__xludf.DUMMYFUNCTION("""COMPUTED_VALUE"""),18.0)</f>
        <v>18</v>
      </c>
      <c r="L17" s="136">
        <f>IFERROR(__xludf.DUMMYFUNCTION("""COMPUTED_VALUE"""),16.0)</f>
        <v>16</v>
      </c>
      <c r="M17" s="136">
        <f>IFERROR(__xludf.DUMMYFUNCTION("""COMPUTED_VALUE"""),29.0)</f>
        <v>29</v>
      </c>
      <c r="N17" s="136">
        <f>IFERROR(__xludf.DUMMYFUNCTION("""COMPUTED_VALUE"""),76.0)</f>
        <v>76</v>
      </c>
      <c r="O17" s="138">
        <f>IFERROR(__xludf.DUMMYFUNCTION("""COMPUTED_VALUE"""),4.0)</f>
        <v>4</v>
      </c>
      <c r="P17" s="138">
        <f>IFERROR(__xludf.DUMMYFUNCTION("""COMPUTED_VALUE"""),0.0)</f>
        <v>0</v>
      </c>
      <c r="Q17" s="138">
        <f>IFERROR(__xludf.DUMMYFUNCTION("""COMPUTED_VALUE"""),0.0)</f>
        <v>0</v>
      </c>
      <c r="R17" s="138">
        <f>IFERROR(__xludf.DUMMYFUNCTION("""COMPUTED_VALUE"""),2.0)</f>
        <v>2</v>
      </c>
      <c r="S17" s="139">
        <f>IFERROR(__xludf.DUMMYFUNCTION("""COMPUTED_VALUE"""),256.0)</f>
        <v>256</v>
      </c>
      <c r="T17" s="140">
        <f>IFERROR(__xludf.DUMMYFUNCTION("""COMPUTED_VALUE"""),86.0)</f>
        <v>86</v>
      </c>
      <c r="U17" s="136">
        <f>IFERROR(__xludf.DUMMYFUNCTION("""COMPUTED_VALUE"""),21.0)</f>
        <v>21</v>
      </c>
      <c r="V17" s="136">
        <f>IFERROR(__xludf.DUMMYFUNCTION("""COMPUTED_VALUE"""),36.0)</f>
        <v>36</v>
      </c>
      <c r="W17" s="136">
        <f>IFERROR(__xludf.DUMMYFUNCTION("""COMPUTED_VALUE"""),31.0)</f>
        <v>31</v>
      </c>
      <c r="X17" s="136">
        <f>IFERROR(__xludf.DUMMYFUNCTION("""COMPUTED_VALUE"""),387.5)</f>
        <v>387.5</v>
      </c>
      <c r="Y17" s="141">
        <f>IFERROR(__xludf.DUMMYFUNCTION("""COMPUTED_VALUE"""),51.71781250000001)</f>
        <v>51.7178125</v>
      </c>
      <c r="Z17" s="141">
        <f>IFERROR(__xludf.DUMMYFUNCTION("""COMPUTED_VALUE"""),2278.4375)</f>
        <v>2278.4375</v>
      </c>
    </row>
    <row r="18">
      <c r="A18" s="41" t="str">
        <f>IFERROR(__xludf.DUMMYFUNCTION("""COMPUTED_VALUE"""),"Challenger")</f>
        <v>Challenger</v>
      </c>
      <c r="B18" s="41" t="str">
        <f>IFERROR(__xludf.DUMMYFUNCTION("""COMPUTED_VALUE"""),"RSC000221")</f>
        <v>RSC000221</v>
      </c>
      <c r="C18" s="41" t="str">
        <f>IFERROR(__xludf.DUMMYFUNCTION("""COMPUTED_VALUE"""),"Treefrog")</f>
        <v>Treefrog</v>
      </c>
      <c r="D18" s="41" t="str">
        <f>IFERROR(__xludf.DUMMYFUNCTION("""COMPUTED_VALUE"""),"Scribes")</f>
        <v>Scribes</v>
      </c>
      <c r="E18" s="136">
        <f>IFERROR(__xludf.DUMMYFUNCTION("""COMPUTED_VALUE"""),44.0)</f>
        <v>44</v>
      </c>
      <c r="F18" s="136">
        <f>IFERROR(__xludf.DUMMYFUNCTION("""COMPUTED_VALUE"""),17.0)</f>
        <v>17</v>
      </c>
      <c r="G18" s="136">
        <f>IFERROR(__xludf.DUMMYFUNCTION("""COMPUTED_VALUE"""),27.0)</f>
        <v>27</v>
      </c>
      <c r="H18" s="137">
        <f>IFERROR(__xludf.DUMMYFUNCTION("""COMPUTED_VALUE"""),0.38636363636363635)</f>
        <v>0.3863636364</v>
      </c>
      <c r="I18" s="136">
        <f>IFERROR(__xludf.DUMMYFUNCTION("""COMPUTED_VALUE"""),6.0)</f>
        <v>6</v>
      </c>
      <c r="J18" s="136">
        <f>IFERROR(__xludf.DUMMYFUNCTION("""COMPUTED_VALUE"""),14285.0)</f>
        <v>14285</v>
      </c>
      <c r="K18" s="136">
        <f>IFERROR(__xludf.DUMMYFUNCTION("""COMPUTED_VALUE"""),36.0)</f>
        <v>36</v>
      </c>
      <c r="L18" s="136">
        <f>IFERROR(__xludf.DUMMYFUNCTION("""COMPUTED_VALUE"""),22.0)</f>
        <v>22</v>
      </c>
      <c r="M18" s="136">
        <f>IFERROR(__xludf.DUMMYFUNCTION("""COMPUTED_VALUE"""),47.0)</f>
        <v>47</v>
      </c>
      <c r="N18" s="136">
        <f>IFERROR(__xludf.DUMMYFUNCTION("""COMPUTED_VALUE"""),100.0)</f>
        <v>100</v>
      </c>
      <c r="O18" s="138">
        <f>IFERROR(__xludf.DUMMYFUNCTION("""COMPUTED_VALUE"""),6.0)</f>
        <v>6</v>
      </c>
      <c r="P18" s="138">
        <f>IFERROR(__xludf.DUMMYFUNCTION("""COMPUTED_VALUE"""),2.0)</f>
        <v>2</v>
      </c>
      <c r="Q18" s="138">
        <f>IFERROR(__xludf.DUMMYFUNCTION("""COMPUTED_VALUE"""),2.0)</f>
        <v>2</v>
      </c>
      <c r="R18" s="138">
        <f>IFERROR(__xludf.DUMMYFUNCTION("""COMPUTED_VALUE"""),3.0)</f>
        <v>3</v>
      </c>
      <c r="S18" s="139">
        <f>IFERROR(__xludf.DUMMYFUNCTION("""COMPUTED_VALUE"""),352.0)</f>
        <v>352</v>
      </c>
      <c r="T18" s="140">
        <f>IFERROR(__xludf.DUMMYFUNCTION("""COMPUTED_VALUE"""),132.0)</f>
        <v>132</v>
      </c>
      <c r="U18" s="136">
        <f>IFERROR(__xludf.DUMMYFUNCTION("""COMPUTED_VALUE"""),41.0)</f>
        <v>41</v>
      </c>
      <c r="V18" s="136">
        <f>IFERROR(__xludf.DUMMYFUNCTION("""COMPUTED_VALUE"""),46.0)</f>
        <v>46</v>
      </c>
      <c r="W18" s="136">
        <f>IFERROR(__xludf.DUMMYFUNCTION("""COMPUTED_VALUE"""),53.0)</f>
        <v>53</v>
      </c>
      <c r="X18" s="136">
        <f>IFERROR(__xludf.DUMMYFUNCTION("""COMPUTED_VALUE"""),409.5681818181818)</f>
        <v>409.5681818</v>
      </c>
      <c r="Y18" s="141">
        <f>IFERROR(__xludf.DUMMYFUNCTION("""COMPUTED_VALUE"""),52.377272727272725)</f>
        <v>52.37727273</v>
      </c>
      <c r="Z18" s="141">
        <f>IFERROR(__xludf.DUMMYFUNCTION("""COMPUTED_VALUE"""),2501.340909090909)</f>
        <v>2501.340909</v>
      </c>
    </row>
    <row r="19">
      <c r="A19" s="41" t="str">
        <f>IFERROR(__xludf.DUMMYFUNCTION("""COMPUTED_VALUE"""),"Challenger")</f>
        <v>Challenger</v>
      </c>
      <c r="B19" s="41" t="str">
        <f>IFERROR(__xludf.DUMMYFUNCTION("""COMPUTED_VALUE"""),"RSC000233")</f>
        <v>RSC000233</v>
      </c>
      <c r="C19" s="41" t="str">
        <f>IFERROR(__xludf.DUMMYFUNCTION("""COMPUTED_VALUE"""),"LilPrsnWithAnger")</f>
        <v>LilPrsnWithAnger</v>
      </c>
      <c r="D19" s="41" t="str">
        <f>IFERROR(__xludf.DUMMYFUNCTION("""COMPUTED_VALUE"""),"Corals")</f>
        <v>Corals</v>
      </c>
      <c r="E19" s="136">
        <f>IFERROR(__xludf.DUMMYFUNCTION("""COMPUTED_VALUE"""),20.0)</f>
        <v>20</v>
      </c>
      <c r="F19" s="136">
        <f>IFERROR(__xludf.DUMMYFUNCTION("""COMPUTED_VALUE"""),16.0)</f>
        <v>16</v>
      </c>
      <c r="G19" s="136">
        <f>IFERROR(__xludf.DUMMYFUNCTION("""COMPUTED_VALUE"""),4.0)</f>
        <v>4</v>
      </c>
      <c r="H19" s="137">
        <f>IFERROR(__xludf.DUMMYFUNCTION("""COMPUTED_VALUE"""),0.8)</f>
        <v>0.8</v>
      </c>
      <c r="I19" s="136">
        <f>IFERROR(__xludf.DUMMYFUNCTION("""COMPUTED_VALUE"""),3.0)</f>
        <v>3</v>
      </c>
      <c r="J19" s="136">
        <f>IFERROR(__xludf.DUMMYFUNCTION("""COMPUTED_VALUE"""),6833.0)</f>
        <v>6833</v>
      </c>
      <c r="K19" s="136">
        <f>IFERROR(__xludf.DUMMYFUNCTION("""COMPUTED_VALUE"""),16.0)</f>
        <v>16</v>
      </c>
      <c r="L19" s="136">
        <f>IFERROR(__xludf.DUMMYFUNCTION("""COMPUTED_VALUE"""),16.0)</f>
        <v>16</v>
      </c>
      <c r="M19" s="136">
        <f>IFERROR(__xludf.DUMMYFUNCTION("""COMPUTED_VALUE"""),21.0)</f>
        <v>21</v>
      </c>
      <c r="N19" s="136">
        <f>IFERROR(__xludf.DUMMYFUNCTION("""COMPUTED_VALUE"""),49.0)</f>
        <v>49</v>
      </c>
      <c r="O19" s="138">
        <f>IFERROR(__xludf.DUMMYFUNCTION("""COMPUTED_VALUE"""),2.0)</f>
        <v>2</v>
      </c>
      <c r="P19" s="138">
        <f>IFERROR(__xludf.DUMMYFUNCTION("""COMPUTED_VALUE"""),2.0)</f>
        <v>2</v>
      </c>
      <c r="Q19" s="138">
        <f>IFERROR(__xludf.DUMMYFUNCTION("""COMPUTED_VALUE"""),0.0)</f>
        <v>0</v>
      </c>
      <c r="R19" s="138">
        <f>IFERROR(__xludf.DUMMYFUNCTION("""COMPUTED_VALUE"""),1.0)</f>
        <v>1</v>
      </c>
      <c r="S19" s="139">
        <f>IFERROR(__xludf.DUMMYFUNCTION("""COMPUTED_VALUE"""),118.0)</f>
        <v>118</v>
      </c>
      <c r="T19" s="140">
        <f>IFERROR(__xludf.DUMMYFUNCTION("""COMPUTED_VALUE"""),41.0)</f>
        <v>41</v>
      </c>
      <c r="U19" s="136">
        <f>IFERROR(__xludf.DUMMYFUNCTION("""COMPUTED_VALUE"""),15.0)</f>
        <v>15</v>
      </c>
      <c r="V19" s="136">
        <f>IFERROR(__xludf.DUMMYFUNCTION("""COMPUTED_VALUE"""),29.0)</f>
        <v>29</v>
      </c>
      <c r="W19" s="136">
        <f>IFERROR(__xludf.DUMMYFUNCTION("""COMPUTED_VALUE"""),29.0)</f>
        <v>29</v>
      </c>
      <c r="X19" s="136"/>
      <c r="Y19" s="41"/>
      <c r="Z19" s="41"/>
    </row>
    <row r="20">
      <c r="A20" s="41" t="str">
        <f>IFERROR(__xludf.DUMMYFUNCTION("""COMPUTED_VALUE"""),"Veteran")</f>
        <v>Veteran</v>
      </c>
      <c r="B20" s="41" t="str">
        <f>IFERROR(__xludf.DUMMYFUNCTION("""COMPUTED_VALUE"""),"RSC000314")</f>
        <v>RSC000314</v>
      </c>
      <c r="C20" s="41" t="str">
        <f>IFERROR(__xludf.DUMMYFUNCTION("""COMPUTED_VALUE"""),"Yoza")</f>
        <v>Yoza</v>
      </c>
      <c r="D20" s="41" t="str">
        <f>IFERROR(__xludf.DUMMYFUNCTION("""COMPUTED_VALUE"""),"Kirin
Gouda Gangsters")</f>
        <v>Kirin
Gouda Gangsters</v>
      </c>
      <c r="E20" s="136">
        <f>IFERROR(__xludf.DUMMYFUNCTION("""COMPUTED_VALUE"""),54.0)</f>
        <v>54</v>
      </c>
      <c r="F20" s="136">
        <f>IFERROR(__xludf.DUMMYFUNCTION("""COMPUTED_VALUE"""),22.0)</f>
        <v>22</v>
      </c>
      <c r="G20" s="136">
        <f>IFERROR(__xludf.DUMMYFUNCTION("""COMPUTED_VALUE"""),32.0)</f>
        <v>32</v>
      </c>
      <c r="H20" s="137">
        <f>IFERROR(__xludf.DUMMYFUNCTION("""COMPUTED_VALUE"""),0.4074074074074074)</f>
        <v>0.4074074074</v>
      </c>
      <c r="I20" s="136">
        <f>IFERROR(__xludf.DUMMYFUNCTION("""COMPUTED_VALUE"""),6.0)</f>
        <v>6</v>
      </c>
      <c r="J20" s="136">
        <f>IFERROR(__xludf.DUMMYFUNCTION("""COMPUTED_VALUE"""),18669.0)</f>
        <v>18669</v>
      </c>
      <c r="K20" s="136">
        <f>IFERROR(__xludf.DUMMYFUNCTION("""COMPUTED_VALUE"""),50.0)</f>
        <v>50</v>
      </c>
      <c r="L20" s="136">
        <f>IFERROR(__xludf.DUMMYFUNCTION("""COMPUTED_VALUE"""),23.0)</f>
        <v>23</v>
      </c>
      <c r="M20" s="136">
        <f>IFERROR(__xludf.DUMMYFUNCTION("""COMPUTED_VALUE"""),63.0)</f>
        <v>63</v>
      </c>
      <c r="N20" s="136">
        <f>IFERROR(__xludf.DUMMYFUNCTION("""COMPUTED_VALUE"""),167.0)</f>
        <v>167</v>
      </c>
      <c r="O20" s="138">
        <f>IFERROR(__xludf.DUMMYFUNCTION("""COMPUTED_VALUE"""),8.0)</f>
        <v>8</v>
      </c>
      <c r="P20" s="138">
        <f>IFERROR(__xludf.DUMMYFUNCTION("""COMPUTED_VALUE"""),5.0)</f>
        <v>5</v>
      </c>
      <c r="Q20" s="138">
        <f>IFERROR(__xludf.DUMMYFUNCTION("""COMPUTED_VALUE"""),1.0)</f>
        <v>1</v>
      </c>
      <c r="R20" s="138">
        <f>IFERROR(__xludf.DUMMYFUNCTION("""COMPUTED_VALUE"""),6.0)</f>
        <v>6</v>
      </c>
      <c r="S20" s="139">
        <f>IFERROR(__xludf.DUMMYFUNCTION("""COMPUTED_VALUE"""),420.0)</f>
        <v>420</v>
      </c>
      <c r="T20" s="140">
        <f>IFERROR(__xludf.DUMMYFUNCTION("""COMPUTED_VALUE"""),140.0)</f>
        <v>140</v>
      </c>
      <c r="U20" s="136">
        <f>IFERROR(__xludf.DUMMYFUNCTION("""COMPUTED_VALUE"""),45.0)</f>
        <v>45</v>
      </c>
      <c r="V20" s="136">
        <f>IFERROR(__xludf.DUMMYFUNCTION("""COMPUTED_VALUE"""),54.0)</f>
        <v>54</v>
      </c>
      <c r="W20" s="136">
        <f>IFERROR(__xludf.DUMMYFUNCTION("""COMPUTED_VALUE"""),61.0)</f>
        <v>61</v>
      </c>
      <c r="X20" s="136">
        <f>IFERROR(__xludf.DUMMYFUNCTION("""COMPUTED_VALUE"""),444.7962962962963)</f>
        <v>444.7962963</v>
      </c>
      <c r="Y20" s="141">
        <f>IFERROR(__xludf.DUMMYFUNCTION("""COMPUTED_VALUE"""),44.89129629629629)</f>
        <v>44.8912963</v>
      </c>
      <c r="Z20" s="141">
        <f>IFERROR(__xludf.DUMMYFUNCTION("""COMPUTED_VALUE"""),2596.777777777778)</f>
        <v>2596.777778</v>
      </c>
    </row>
    <row r="21">
      <c r="A21" s="41" t="str">
        <f>IFERROR(__xludf.DUMMYFUNCTION("""COMPUTED_VALUE"""),"Veteran")</f>
        <v>Veteran</v>
      </c>
      <c r="B21" s="41" t="str">
        <f>IFERROR(__xludf.DUMMYFUNCTION("""COMPUTED_VALUE"""),"RSC000320")</f>
        <v>RSC000320</v>
      </c>
      <c r="C21" s="41" t="str">
        <f>IFERROR(__xludf.DUMMYFUNCTION("""COMPUTED_VALUE"""),"ryanawesome_")</f>
        <v>ryanawesome_</v>
      </c>
      <c r="D21" s="41" t="str">
        <f>IFERROR(__xludf.DUMMYFUNCTION("""COMPUTED_VALUE"""),"Nighthawks")</f>
        <v>Nighthawks</v>
      </c>
      <c r="E21" s="136">
        <f>IFERROR(__xludf.DUMMYFUNCTION("""COMPUTED_VALUE"""),52.0)</f>
        <v>52</v>
      </c>
      <c r="F21" s="136">
        <f>IFERROR(__xludf.DUMMYFUNCTION("""COMPUTED_VALUE"""),30.0)</f>
        <v>30</v>
      </c>
      <c r="G21" s="136">
        <f>IFERROR(__xludf.DUMMYFUNCTION("""COMPUTED_VALUE"""),22.0)</f>
        <v>22</v>
      </c>
      <c r="H21" s="137">
        <f>IFERROR(__xludf.DUMMYFUNCTION("""COMPUTED_VALUE"""),0.5769230769230769)</f>
        <v>0.5769230769</v>
      </c>
      <c r="I21" s="136">
        <f>IFERROR(__xludf.DUMMYFUNCTION("""COMPUTED_VALUE"""),11.0)</f>
        <v>11</v>
      </c>
      <c r="J21" s="136">
        <f>IFERROR(__xludf.DUMMYFUNCTION("""COMPUTED_VALUE"""),20701.0)</f>
        <v>20701</v>
      </c>
      <c r="K21" s="136">
        <f>IFERROR(__xludf.DUMMYFUNCTION("""COMPUTED_VALUE"""),56.0)</f>
        <v>56</v>
      </c>
      <c r="L21" s="136">
        <f>IFERROR(__xludf.DUMMYFUNCTION("""COMPUTED_VALUE"""),26.0)</f>
        <v>26</v>
      </c>
      <c r="M21" s="136">
        <f>IFERROR(__xludf.DUMMYFUNCTION("""COMPUTED_VALUE"""),82.0)</f>
        <v>82</v>
      </c>
      <c r="N21" s="136">
        <f>IFERROR(__xludf.DUMMYFUNCTION("""COMPUTED_VALUE"""),144.0)</f>
        <v>144</v>
      </c>
      <c r="O21" s="138">
        <f>IFERROR(__xludf.DUMMYFUNCTION("""COMPUTED_VALUE"""),13.0)</f>
        <v>13</v>
      </c>
      <c r="P21" s="138">
        <f>IFERROR(__xludf.DUMMYFUNCTION("""COMPUTED_VALUE"""),3.0)</f>
        <v>3</v>
      </c>
      <c r="Q21" s="138">
        <f>IFERROR(__xludf.DUMMYFUNCTION("""COMPUTED_VALUE"""),0.0)</f>
        <v>0</v>
      </c>
      <c r="R21" s="138">
        <f>IFERROR(__xludf.DUMMYFUNCTION("""COMPUTED_VALUE"""),10.0)</f>
        <v>10</v>
      </c>
      <c r="S21" s="139">
        <f>IFERROR(__xludf.DUMMYFUNCTION("""COMPUTED_VALUE"""),410.0)</f>
        <v>410</v>
      </c>
      <c r="T21" s="140">
        <f>IFERROR(__xludf.DUMMYFUNCTION("""COMPUTED_VALUE"""),116.0)</f>
        <v>116</v>
      </c>
      <c r="U21" s="136">
        <f>IFERROR(__xludf.DUMMYFUNCTION("""COMPUTED_VALUE"""),33.0)</f>
        <v>33</v>
      </c>
      <c r="V21" s="136">
        <f>IFERROR(__xludf.DUMMYFUNCTION("""COMPUTED_VALUE"""),69.0)</f>
        <v>69</v>
      </c>
      <c r="W21" s="136">
        <f>IFERROR(__xludf.DUMMYFUNCTION("""COMPUTED_VALUE"""),58.0)</f>
        <v>58</v>
      </c>
      <c r="X21" s="136">
        <f>IFERROR(__xludf.DUMMYFUNCTION("""COMPUTED_VALUE"""),362.38461538461536)</f>
        <v>362.3846154</v>
      </c>
      <c r="Y21" s="141">
        <f>IFERROR(__xludf.DUMMYFUNCTION("""COMPUTED_VALUE"""),47.32884615384615)</f>
        <v>47.32884615</v>
      </c>
      <c r="Z21" s="141">
        <f>IFERROR(__xludf.DUMMYFUNCTION("""COMPUTED_VALUE"""),2173.2884615384614)</f>
        <v>2173.288462</v>
      </c>
    </row>
    <row r="22">
      <c r="A22" s="41" t="str">
        <f>IFERROR(__xludf.DUMMYFUNCTION("""COMPUTED_VALUE"""),"Amateur")</f>
        <v>Amateur</v>
      </c>
      <c r="B22" s="41" t="str">
        <f>IFERROR(__xludf.DUMMYFUNCTION("""COMPUTED_VALUE"""),"RSC000323")</f>
        <v>RSC000323</v>
      </c>
      <c r="C22" s="41" t="str">
        <f>IFERROR(__xludf.DUMMYFUNCTION("""COMPUTED_VALUE"""),"Styk75")</f>
        <v>Styk75</v>
      </c>
      <c r="D22" s="41" t="str">
        <f>IFERROR(__xludf.DUMMYFUNCTION("""COMPUTED_VALUE"""),"Legionaries")</f>
        <v>Legionaries</v>
      </c>
      <c r="E22" s="136">
        <f>IFERROR(__xludf.DUMMYFUNCTION("""COMPUTED_VALUE"""),49.0)</f>
        <v>49</v>
      </c>
      <c r="F22" s="136">
        <f>IFERROR(__xludf.DUMMYFUNCTION("""COMPUTED_VALUE"""),13.0)</f>
        <v>13</v>
      </c>
      <c r="G22" s="136">
        <f>IFERROR(__xludf.DUMMYFUNCTION("""COMPUTED_VALUE"""),36.0)</f>
        <v>36</v>
      </c>
      <c r="H22" s="137">
        <f>IFERROR(__xludf.DUMMYFUNCTION("""COMPUTED_VALUE"""),0.2653061224489796)</f>
        <v>0.2653061224</v>
      </c>
      <c r="I22" s="136">
        <f>IFERROR(__xludf.DUMMYFUNCTION("""COMPUTED_VALUE"""),4.0)</f>
        <v>4</v>
      </c>
      <c r="J22" s="136">
        <f>IFERROR(__xludf.DUMMYFUNCTION("""COMPUTED_VALUE"""),12519.0)</f>
        <v>12519</v>
      </c>
      <c r="K22" s="136">
        <f>IFERROR(__xludf.DUMMYFUNCTION("""COMPUTED_VALUE"""),19.0)</f>
        <v>19</v>
      </c>
      <c r="L22" s="136">
        <f>IFERROR(__xludf.DUMMYFUNCTION("""COMPUTED_VALUE"""),14.0)</f>
        <v>14</v>
      </c>
      <c r="M22" s="136">
        <f>IFERROR(__xludf.DUMMYFUNCTION("""COMPUTED_VALUE"""),54.0)</f>
        <v>54</v>
      </c>
      <c r="N22" s="136">
        <f>IFERROR(__xludf.DUMMYFUNCTION("""COMPUTED_VALUE"""),81.0)</f>
        <v>81</v>
      </c>
      <c r="O22" s="138">
        <f>IFERROR(__xludf.DUMMYFUNCTION("""COMPUTED_VALUE"""),2.0)</f>
        <v>2</v>
      </c>
      <c r="P22" s="138">
        <f>IFERROR(__xludf.DUMMYFUNCTION("""COMPUTED_VALUE"""),2.0)</f>
        <v>2</v>
      </c>
      <c r="Q22" s="138">
        <f>IFERROR(__xludf.DUMMYFUNCTION("""COMPUTED_VALUE"""),0.0)</f>
        <v>0</v>
      </c>
      <c r="R22" s="138">
        <f>IFERROR(__xludf.DUMMYFUNCTION("""COMPUTED_VALUE"""),5.0)</f>
        <v>5</v>
      </c>
      <c r="S22" s="139">
        <f>IFERROR(__xludf.DUMMYFUNCTION("""COMPUTED_VALUE"""),391.0)</f>
        <v>391</v>
      </c>
      <c r="T22" s="140">
        <f>IFERROR(__xludf.DUMMYFUNCTION("""COMPUTED_VALUE"""),143.0)</f>
        <v>143</v>
      </c>
      <c r="U22" s="136">
        <f>IFERROR(__xludf.DUMMYFUNCTION("""COMPUTED_VALUE"""),47.0)</f>
        <v>47</v>
      </c>
      <c r="V22" s="136">
        <f>IFERROR(__xludf.DUMMYFUNCTION("""COMPUTED_VALUE"""),20.0)</f>
        <v>20</v>
      </c>
      <c r="W22" s="136">
        <f>IFERROR(__xludf.DUMMYFUNCTION("""COMPUTED_VALUE"""),45.0)</f>
        <v>45</v>
      </c>
      <c r="X22" s="139">
        <f>IFERROR(__xludf.DUMMYFUNCTION("""COMPUTED_VALUE"""),220.24489795918367)</f>
        <v>220.244898</v>
      </c>
      <c r="Y22" s="141">
        <f>IFERROR(__xludf.DUMMYFUNCTION("""COMPUTED_VALUE"""),54.43224489795918)</f>
        <v>54.4322449</v>
      </c>
      <c r="Z22" s="141">
        <f>IFERROR(__xludf.DUMMYFUNCTION("""COMPUTED_VALUE"""),1380.8775510204082)</f>
        <v>1380.877551</v>
      </c>
    </row>
    <row r="23">
      <c r="A23" s="41" t="str">
        <f>IFERROR(__xludf.DUMMYFUNCTION("""COMPUTED_VALUE"""),"Master")</f>
        <v>Master</v>
      </c>
      <c r="B23" s="41" t="str">
        <f>IFERROR(__xludf.DUMMYFUNCTION("""COMPUTED_VALUE"""),"RSC000330")</f>
        <v>RSC000330</v>
      </c>
      <c r="C23" s="41" t="str">
        <f>IFERROR(__xludf.DUMMYFUNCTION("""COMPUTED_VALUE"""),"Infinite")</f>
        <v>Infinite</v>
      </c>
      <c r="D23" s="41" t="str">
        <f>IFERROR(__xludf.DUMMYFUNCTION("""COMPUTED_VALUE"""),"Oblivion")</f>
        <v>Oblivion</v>
      </c>
      <c r="E23" s="136">
        <f>IFERROR(__xludf.DUMMYFUNCTION("""COMPUTED_VALUE"""),42.0)</f>
        <v>42</v>
      </c>
      <c r="F23" s="136">
        <f>IFERROR(__xludf.DUMMYFUNCTION("""COMPUTED_VALUE"""),21.0)</f>
        <v>21</v>
      </c>
      <c r="G23" s="136">
        <f>IFERROR(__xludf.DUMMYFUNCTION("""COMPUTED_VALUE"""),21.0)</f>
        <v>21</v>
      </c>
      <c r="H23" s="137">
        <f>IFERROR(__xludf.DUMMYFUNCTION("""COMPUTED_VALUE"""),0.5)</f>
        <v>0.5</v>
      </c>
      <c r="I23" s="136">
        <f>IFERROR(__xludf.DUMMYFUNCTION("""COMPUTED_VALUE"""),8.0)</f>
        <v>8</v>
      </c>
      <c r="J23" s="136">
        <f>IFERROR(__xludf.DUMMYFUNCTION("""COMPUTED_VALUE"""),14408.0)</f>
        <v>14408</v>
      </c>
      <c r="K23" s="136">
        <f>IFERROR(__xludf.DUMMYFUNCTION("""COMPUTED_VALUE"""),26.0)</f>
        <v>26</v>
      </c>
      <c r="L23" s="136">
        <f>IFERROR(__xludf.DUMMYFUNCTION("""COMPUTED_VALUE"""),21.0)</f>
        <v>21</v>
      </c>
      <c r="M23" s="136">
        <f>IFERROR(__xludf.DUMMYFUNCTION("""COMPUTED_VALUE"""),66.0)</f>
        <v>66</v>
      </c>
      <c r="N23" s="136">
        <f>IFERROR(__xludf.DUMMYFUNCTION("""COMPUTED_VALUE"""),93.0)</f>
        <v>93</v>
      </c>
      <c r="O23" s="138">
        <f>IFERROR(__xludf.DUMMYFUNCTION("""COMPUTED_VALUE"""),6.0)</f>
        <v>6</v>
      </c>
      <c r="P23" s="138">
        <f>IFERROR(__xludf.DUMMYFUNCTION("""COMPUTED_VALUE"""),2.0)</f>
        <v>2</v>
      </c>
      <c r="Q23" s="138">
        <f>IFERROR(__xludf.DUMMYFUNCTION("""COMPUTED_VALUE"""),1.0)</f>
        <v>1</v>
      </c>
      <c r="R23" s="138">
        <f>IFERROR(__xludf.DUMMYFUNCTION("""COMPUTED_VALUE"""),16.0)</f>
        <v>16</v>
      </c>
      <c r="S23" s="139">
        <f>IFERROR(__xludf.DUMMYFUNCTION("""COMPUTED_VALUE"""),329.0)</f>
        <v>329</v>
      </c>
      <c r="T23" s="140">
        <f>IFERROR(__xludf.DUMMYFUNCTION("""COMPUTED_VALUE"""),96.0)</f>
        <v>96</v>
      </c>
      <c r="U23" s="136">
        <f>IFERROR(__xludf.DUMMYFUNCTION("""COMPUTED_VALUE"""),27.0)</f>
        <v>27</v>
      </c>
      <c r="V23" s="136">
        <f>IFERROR(__xludf.DUMMYFUNCTION("""COMPUTED_VALUE"""),44.0)</f>
        <v>44</v>
      </c>
      <c r="W23" s="136">
        <f>IFERROR(__xludf.DUMMYFUNCTION("""COMPUTED_VALUE"""),44.0)</f>
        <v>44</v>
      </c>
      <c r="X23" s="136">
        <f>IFERROR(__xludf.DUMMYFUNCTION("""COMPUTED_VALUE"""),406.13157894736844)</f>
        <v>406.1315789</v>
      </c>
      <c r="Y23" s="141">
        <f>IFERROR(__xludf.DUMMYFUNCTION("""COMPUTED_VALUE"""),45.54289473684211)</f>
        <v>45.54289474</v>
      </c>
      <c r="Z23" s="141">
        <f>IFERROR(__xludf.DUMMYFUNCTION("""COMPUTED_VALUE"""),2545.815789473684)</f>
        <v>2545.815789</v>
      </c>
    </row>
    <row r="24">
      <c r="A24" s="41" t="str">
        <f>IFERROR(__xludf.DUMMYFUNCTION("""COMPUTED_VALUE"""),"Rival")</f>
        <v>Rival</v>
      </c>
      <c r="B24" s="41" t="str">
        <f>IFERROR(__xludf.DUMMYFUNCTION("""COMPUTED_VALUE"""),"RSC000331")</f>
        <v>RSC000331</v>
      </c>
      <c r="C24" s="41" t="str">
        <f>IFERROR(__xludf.DUMMYFUNCTION("""COMPUTED_VALUE"""),"Turtle_Supreme")</f>
        <v>Turtle_Supreme</v>
      </c>
      <c r="D24" s="41" t="str">
        <f>IFERROR(__xludf.DUMMYFUNCTION("""COMPUTED_VALUE"""),"Gaboons")</f>
        <v>Gaboons</v>
      </c>
      <c r="E24" s="136">
        <f>IFERROR(__xludf.DUMMYFUNCTION("""COMPUTED_VALUE"""),52.0)</f>
        <v>52</v>
      </c>
      <c r="F24" s="136">
        <f>IFERROR(__xludf.DUMMYFUNCTION("""COMPUTED_VALUE"""),20.0)</f>
        <v>20</v>
      </c>
      <c r="G24" s="136">
        <f>IFERROR(__xludf.DUMMYFUNCTION("""COMPUTED_VALUE"""),32.0)</f>
        <v>32</v>
      </c>
      <c r="H24" s="137">
        <f>IFERROR(__xludf.DUMMYFUNCTION("""COMPUTED_VALUE"""),0.38461538461538464)</f>
        <v>0.3846153846</v>
      </c>
      <c r="I24" s="136">
        <f>IFERROR(__xludf.DUMMYFUNCTION("""COMPUTED_VALUE"""),7.0)</f>
        <v>7</v>
      </c>
      <c r="J24" s="136">
        <f>IFERROR(__xludf.DUMMYFUNCTION("""COMPUTED_VALUE"""),16938.0)</f>
        <v>16938</v>
      </c>
      <c r="K24" s="136">
        <f>IFERROR(__xludf.DUMMYFUNCTION("""COMPUTED_VALUE"""),31.0)</f>
        <v>31</v>
      </c>
      <c r="L24" s="136">
        <f>IFERROR(__xludf.DUMMYFUNCTION("""COMPUTED_VALUE"""),31.0)</f>
        <v>31</v>
      </c>
      <c r="M24" s="136">
        <f>IFERROR(__xludf.DUMMYFUNCTION("""COMPUTED_VALUE"""),57.0)</f>
        <v>57</v>
      </c>
      <c r="N24" s="136">
        <f>IFERROR(__xludf.DUMMYFUNCTION("""COMPUTED_VALUE"""),124.0)</f>
        <v>124</v>
      </c>
      <c r="O24" s="138">
        <f>IFERROR(__xludf.DUMMYFUNCTION("""COMPUTED_VALUE"""),5.0)</f>
        <v>5</v>
      </c>
      <c r="P24" s="138">
        <f>IFERROR(__xludf.DUMMYFUNCTION("""COMPUTED_VALUE"""),2.0)</f>
        <v>2</v>
      </c>
      <c r="Q24" s="138">
        <f>IFERROR(__xludf.DUMMYFUNCTION("""COMPUTED_VALUE"""),2.0)</f>
        <v>2</v>
      </c>
      <c r="R24" s="138">
        <f>IFERROR(__xludf.DUMMYFUNCTION("""COMPUTED_VALUE"""),6.0)</f>
        <v>6</v>
      </c>
      <c r="S24" s="139">
        <f>IFERROR(__xludf.DUMMYFUNCTION("""COMPUTED_VALUE"""),397.0)</f>
        <v>397</v>
      </c>
      <c r="T24" s="140">
        <f>IFERROR(__xludf.DUMMYFUNCTION("""COMPUTED_VALUE"""),140.0)</f>
        <v>140</v>
      </c>
      <c r="U24" s="136">
        <f>IFERROR(__xludf.DUMMYFUNCTION("""COMPUTED_VALUE"""),31.0)</f>
        <v>31</v>
      </c>
      <c r="V24" s="136">
        <f>IFERROR(__xludf.DUMMYFUNCTION("""COMPUTED_VALUE"""),52.0)</f>
        <v>52</v>
      </c>
      <c r="W24" s="136">
        <f>IFERROR(__xludf.DUMMYFUNCTION("""COMPUTED_VALUE"""),51.0)</f>
        <v>51</v>
      </c>
      <c r="X24" s="136">
        <f>IFERROR(__xludf.DUMMYFUNCTION("""COMPUTED_VALUE"""),379.65384615384613)</f>
        <v>379.6538462</v>
      </c>
      <c r="Y24" s="141">
        <f>IFERROR(__xludf.DUMMYFUNCTION("""COMPUTED_VALUE"""),54.14211538461538)</f>
        <v>54.14211538</v>
      </c>
      <c r="Z24" s="141">
        <f>IFERROR(__xludf.DUMMYFUNCTION("""COMPUTED_VALUE"""),2382.3076923076924)</f>
        <v>2382.307692</v>
      </c>
    </row>
    <row r="25">
      <c r="A25" s="41" t="str">
        <f>IFERROR(__xludf.DUMMYFUNCTION("""COMPUTED_VALUE"""),"Rival")</f>
        <v>Rival</v>
      </c>
      <c r="B25" s="41" t="str">
        <f>IFERROR(__xludf.DUMMYFUNCTION("""COMPUTED_VALUE"""),"RSC000335")</f>
        <v>RSC000335</v>
      </c>
      <c r="C25" s="41" t="str">
        <f>IFERROR(__xludf.DUMMYFUNCTION("""COMPUTED_VALUE"""),"PostMstrGeneral")</f>
        <v>PostMstrGeneral</v>
      </c>
      <c r="D25" s="41" t="str">
        <f>IFERROR(__xludf.DUMMYFUNCTION("""COMPUTED_VALUE"""),"Lightning
Tax Evaders
Liars
Mining Legion")</f>
        <v>Lightning
Tax Evaders
Liars
Mining Legion</v>
      </c>
      <c r="E25" s="136">
        <f>IFERROR(__xludf.DUMMYFUNCTION("""COMPUTED_VALUE"""),31.0)</f>
        <v>31</v>
      </c>
      <c r="F25" s="136">
        <f>IFERROR(__xludf.DUMMYFUNCTION("""COMPUTED_VALUE"""),9.0)</f>
        <v>9</v>
      </c>
      <c r="G25" s="136">
        <f>IFERROR(__xludf.DUMMYFUNCTION("""COMPUTED_VALUE"""),22.0)</f>
        <v>22</v>
      </c>
      <c r="H25" s="137">
        <f>IFERROR(__xludf.DUMMYFUNCTION("""COMPUTED_VALUE"""),0.2903225806451613)</f>
        <v>0.2903225806</v>
      </c>
      <c r="I25" s="136">
        <f>IFERROR(__xludf.DUMMYFUNCTION("""COMPUTED_VALUE"""),3.0)</f>
        <v>3</v>
      </c>
      <c r="J25" s="136">
        <f>IFERROR(__xludf.DUMMYFUNCTION("""COMPUTED_VALUE"""),9242.0)</f>
        <v>9242</v>
      </c>
      <c r="K25" s="136">
        <f>IFERROR(__xludf.DUMMYFUNCTION("""COMPUTED_VALUE"""),19.0)</f>
        <v>19</v>
      </c>
      <c r="L25" s="136">
        <f>IFERROR(__xludf.DUMMYFUNCTION("""COMPUTED_VALUE"""),7.0)</f>
        <v>7</v>
      </c>
      <c r="M25" s="136">
        <f>IFERROR(__xludf.DUMMYFUNCTION("""COMPUTED_VALUE"""),39.0)</f>
        <v>39</v>
      </c>
      <c r="N25" s="136">
        <f>IFERROR(__xludf.DUMMYFUNCTION("""COMPUTED_VALUE"""),63.0)</f>
        <v>63</v>
      </c>
      <c r="O25" s="138">
        <f>IFERROR(__xludf.DUMMYFUNCTION("""COMPUTED_VALUE"""),4.0)</f>
        <v>4</v>
      </c>
      <c r="P25" s="138">
        <f>IFERROR(__xludf.DUMMYFUNCTION("""COMPUTED_VALUE"""),2.0)</f>
        <v>2</v>
      </c>
      <c r="Q25" s="138">
        <f>IFERROR(__xludf.DUMMYFUNCTION("""COMPUTED_VALUE"""),0.0)</f>
        <v>0</v>
      </c>
      <c r="R25" s="138">
        <f>IFERROR(__xludf.DUMMYFUNCTION("""COMPUTED_VALUE"""),5.0)</f>
        <v>5</v>
      </c>
      <c r="S25" s="139">
        <f>IFERROR(__xludf.DUMMYFUNCTION("""COMPUTED_VALUE"""),247.0)</f>
        <v>247</v>
      </c>
      <c r="T25" s="140">
        <f>IFERROR(__xludf.DUMMYFUNCTION("""COMPUTED_VALUE"""),78.0)</f>
        <v>78</v>
      </c>
      <c r="U25" s="136">
        <f>IFERROR(__xludf.DUMMYFUNCTION("""COMPUTED_VALUE"""),24.0)</f>
        <v>24</v>
      </c>
      <c r="V25" s="136">
        <f>IFERROR(__xludf.DUMMYFUNCTION("""COMPUTED_VALUE"""),27.0)</f>
        <v>27</v>
      </c>
      <c r="W25" s="136">
        <f>IFERROR(__xludf.DUMMYFUNCTION("""COMPUTED_VALUE"""),27.0)</f>
        <v>27</v>
      </c>
      <c r="X25" s="136">
        <f>IFERROR(__xludf.DUMMYFUNCTION("""COMPUTED_VALUE"""),345.741935483871)</f>
        <v>345.7419355</v>
      </c>
      <c r="Y25" s="141">
        <f>IFERROR(__xludf.DUMMYFUNCTION("""COMPUTED_VALUE"""),45.87999999999998)</f>
        <v>45.88</v>
      </c>
      <c r="Z25" s="141">
        <f>IFERROR(__xludf.DUMMYFUNCTION("""COMPUTED_VALUE"""),1982.3225806451612)</f>
        <v>1982.322581</v>
      </c>
    </row>
    <row r="26">
      <c r="A26" s="41" t="str">
        <f>IFERROR(__xludf.DUMMYFUNCTION("""COMPUTED_VALUE"""),"Elite")</f>
        <v>Elite</v>
      </c>
      <c r="B26" s="41" t="str">
        <f>IFERROR(__xludf.DUMMYFUNCTION("""COMPUTED_VALUE"""),"RSC000344")</f>
        <v>RSC000344</v>
      </c>
      <c r="C26" s="41" t="str">
        <f>IFERROR(__xludf.DUMMYFUNCTION("""COMPUTED_VALUE"""),"Mezmer")</f>
        <v>Mezmer</v>
      </c>
      <c r="D26" s="41" t="str">
        <f>IFERROR(__xludf.DUMMYFUNCTION("""COMPUTED_VALUE"""),"Menthol")</f>
        <v>Menthol</v>
      </c>
      <c r="E26" s="136">
        <f>IFERROR(__xludf.DUMMYFUNCTION("""COMPUTED_VALUE"""),56.0)</f>
        <v>56</v>
      </c>
      <c r="F26" s="136">
        <f>IFERROR(__xludf.DUMMYFUNCTION("""COMPUTED_VALUE"""),39.0)</f>
        <v>39</v>
      </c>
      <c r="G26" s="136">
        <f>IFERROR(__xludf.DUMMYFUNCTION("""COMPUTED_VALUE"""),17.0)</f>
        <v>17</v>
      </c>
      <c r="H26" s="137">
        <f>IFERROR(__xludf.DUMMYFUNCTION("""COMPUTED_VALUE"""),0.6964285714285714)</f>
        <v>0.6964285714</v>
      </c>
      <c r="I26" s="136">
        <f>IFERROR(__xludf.DUMMYFUNCTION("""COMPUTED_VALUE"""),11.0)</f>
        <v>11</v>
      </c>
      <c r="J26" s="136">
        <f>IFERROR(__xludf.DUMMYFUNCTION("""COMPUTED_VALUE"""),21630.0)</f>
        <v>21630</v>
      </c>
      <c r="K26" s="136">
        <f>IFERROR(__xludf.DUMMYFUNCTION("""COMPUTED_VALUE"""),51.0)</f>
        <v>51</v>
      </c>
      <c r="L26" s="136">
        <f>IFERROR(__xludf.DUMMYFUNCTION("""COMPUTED_VALUE"""),43.0)</f>
        <v>43</v>
      </c>
      <c r="M26" s="136">
        <f>IFERROR(__xludf.DUMMYFUNCTION("""COMPUTED_VALUE"""),75.0)</f>
        <v>75</v>
      </c>
      <c r="N26" s="136">
        <f>IFERROR(__xludf.DUMMYFUNCTION("""COMPUTED_VALUE"""),161.0)</f>
        <v>161</v>
      </c>
      <c r="O26" s="138">
        <f>IFERROR(__xludf.DUMMYFUNCTION("""COMPUTED_VALUE"""),14.0)</f>
        <v>14</v>
      </c>
      <c r="P26" s="138">
        <f>IFERROR(__xludf.DUMMYFUNCTION("""COMPUTED_VALUE"""),3.0)</f>
        <v>3</v>
      </c>
      <c r="Q26" s="138">
        <f>IFERROR(__xludf.DUMMYFUNCTION("""COMPUTED_VALUE"""),1.0)</f>
        <v>1</v>
      </c>
      <c r="R26" s="138">
        <f>IFERROR(__xludf.DUMMYFUNCTION("""COMPUTED_VALUE"""),10.0)</f>
        <v>10</v>
      </c>
      <c r="S26" s="139">
        <f>IFERROR(__xludf.DUMMYFUNCTION("""COMPUTED_VALUE"""),395.0)</f>
        <v>395</v>
      </c>
      <c r="T26" s="140">
        <f>IFERROR(__xludf.DUMMYFUNCTION("""COMPUTED_VALUE"""),121.0)</f>
        <v>121</v>
      </c>
      <c r="U26" s="136">
        <f>IFERROR(__xludf.DUMMYFUNCTION("""COMPUTED_VALUE"""),35.0)</f>
        <v>35</v>
      </c>
      <c r="V26" s="136">
        <f>IFERROR(__xludf.DUMMYFUNCTION("""COMPUTED_VALUE"""),31.0)</f>
        <v>31</v>
      </c>
      <c r="W26" s="136">
        <f>IFERROR(__xludf.DUMMYFUNCTION("""COMPUTED_VALUE"""),76.0)</f>
        <v>76</v>
      </c>
      <c r="X26" s="136">
        <f>IFERROR(__xludf.DUMMYFUNCTION("""COMPUTED_VALUE"""),357.6607142857143)</f>
        <v>357.6607143</v>
      </c>
      <c r="Y26" s="141">
        <f>IFERROR(__xludf.DUMMYFUNCTION("""COMPUTED_VALUE"""),45.72750000000001)</f>
        <v>45.7275</v>
      </c>
      <c r="Z26" s="141">
        <f>IFERROR(__xludf.DUMMYFUNCTION("""COMPUTED_VALUE"""),2116.9821428571427)</f>
        <v>2116.982143</v>
      </c>
    </row>
    <row r="27">
      <c r="A27" s="41" t="str">
        <f>IFERROR(__xludf.DUMMYFUNCTION("""COMPUTED_VALUE"""),"Rival")</f>
        <v>Rival</v>
      </c>
      <c r="B27" s="41" t="str">
        <f>IFERROR(__xludf.DUMMYFUNCTION("""COMPUTED_VALUE"""),"RSC000347")</f>
        <v>RSC000347</v>
      </c>
      <c r="C27" s="41" t="str">
        <f>IFERROR(__xludf.DUMMYFUNCTION("""COMPUTED_VALUE"""),"Chris.")</f>
        <v>Chris.</v>
      </c>
      <c r="D27" s="41" t="str">
        <f>IFERROR(__xludf.DUMMYFUNCTION("""COMPUTED_VALUE"""),"Polar Ice
Mining Legion")</f>
        <v>Polar Ice
Mining Legion</v>
      </c>
      <c r="E27" s="136">
        <f>IFERROR(__xludf.DUMMYFUNCTION("""COMPUTED_VALUE"""),5.0)</f>
        <v>5</v>
      </c>
      <c r="F27" s="136">
        <f>IFERROR(__xludf.DUMMYFUNCTION("""COMPUTED_VALUE"""),0.0)</f>
        <v>0</v>
      </c>
      <c r="G27" s="136">
        <f>IFERROR(__xludf.DUMMYFUNCTION("""COMPUTED_VALUE"""),5.0)</f>
        <v>5</v>
      </c>
      <c r="H27" s="137">
        <f>IFERROR(__xludf.DUMMYFUNCTION("""COMPUTED_VALUE"""),0.0)</f>
        <v>0</v>
      </c>
      <c r="I27" s="136">
        <f>IFERROR(__xludf.DUMMYFUNCTION("""COMPUTED_VALUE"""),0.0)</f>
        <v>0</v>
      </c>
      <c r="J27" s="136">
        <f>IFERROR(__xludf.DUMMYFUNCTION("""COMPUTED_VALUE"""),1043.0)</f>
        <v>1043</v>
      </c>
      <c r="K27" s="136">
        <f>IFERROR(__xludf.DUMMYFUNCTION("""COMPUTED_VALUE"""),1.0)</f>
        <v>1</v>
      </c>
      <c r="L27" s="136">
        <f>IFERROR(__xludf.DUMMYFUNCTION("""COMPUTED_VALUE"""),1.0)</f>
        <v>1</v>
      </c>
      <c r="M27" s="136">
        <f>IFERROR(__xludf.DUMMYFUNCTION("""COMPUTED_VALUE"""),7.0)</f>
        <v>7</v>
      </c>
      <c r="N27" s="136">
        <f>IFERROR(__xludf.DUMMYFUNCTION("""COMPUTED_VALUE"""),7.0)</f>
        <v>7</v>
      </c>
      <c r="O27" s="138">
        <f>IFERROR(__xludf.DUMMYFUNCTION("""COMPUTED_VALUE"""),0.0)</f>
        <v>0</v>
      </c>
      <c r="P27" s="138">
        <f>IFERROR(__xludf.DUMMYFUNCTION("""COMPUTED_VALUE"""),0.0)</f>
        <v>0</v>
      </c>
      <c r="Q27" s="138">
        <f>IFERROR(__xludf.DUMMYFUNCTION("""COMPUTED_VALUE"""),0.0)</f>
        <v>0</v>
      </c>
      <c r="R27" s="138">
        <f>IFERROR(__xludf.DUMMYFUNCTION("""COMPUTED_VALUE"""),1.0)</f>
        <v>1</v>
      </c>
      <c r="S27" s="139">
        <f>IFERROR(__xludf.DUMMYFUNCTION("""COMPUTED_VALUE"""),44.0)</f>
        <v>44</v>
      </c>
      <c r="T27" s="140">
        <f>IFERROR(__xludf.DUMMYFUNCTION("""COMPUTED_VALUE"""),18.0)</f>
        <v>18</v>
      </c>
      <c r="U27" s="136">
        <f>IFERROR(__xludf.DUMMYFUNCTION("""COMPUTED_VALUE"""),2.0)</f>
        <v>2</v>
      </c>
      <c r="V27" s="136">
        <f>IFERROR(__xludf.DUMMYFUNCTION("""COMPUTED_VALUE"""),5.0)</f>
        <v>5</v>
      </c>
      <c r="W27" s="136">
        <f>IFERROR(__xludf.DUMMYFUNCTION("""COMPUTED_VALUE"""),6.0)</f>
        <v>6</v>
      </c>
      <c r="X27" s="136">
        <f>IFERROR(__xludf.DUMMYFUNCTION("""COMPUTED_VALUE"""),311.2)</f>
        <v>311.2</v>
      </c>
      <c r="Y27" s="141">
        <f>IFERROR(__xludf.DUMMYFUNCTION("""COMPUTED_VALUE"""),50.760000000000005)</f>
        <v>50.76</v>
      </c>
      <c r="Z27" s="141">
        <f>IFERROR(__xludf.DUMMYFUNCTION("""COMPUTED_VALUE"""),1808.8)</f>
        <v>1808.8</v>
      </c>
    </row>
    <row r="28">
      <c r="A28" s="41" t="str">
        <f>IFERROR(__xludf.DUMMYFUNCTION("""COMPUTED_VALUE"""),"Challenger")</f>
        <v>Challenger</v>
      </c>
      <c r="B28" s="41" t="str">
        <f>IFERROR(__xludf.DUMMYFUNCTION("""COMPUTED_VALUE"""),"RSC000347")</f>
        <v>RSC000347</v>
      </c>
      <c r="C28" s="41" t="str">
        <f>IFERROR(__xludf.DUMMYFUNCTION("""COMPUTED_VALUE"""),"Chris.")</f>
        <v>Chris.</v>
      </c>
      <c r="D28" s="41" t="str">
        <f>IFERROR(__xludf.DUMMYFUNCTION("""COMPUTED_VALUE"""),"Meat Lovers
Decuriones")</f>
        <v>Meat Lovers
Decuriones</v>
      </c>
      <c r="E28" s="136">
        <f>IFERROR(__xludf.DUMMYFUNCTION("""COMPUTED_VALUE"""),5.0)</f>
        <v>5</v>
      </c>
      <c r="F28" s="136">
        <f>IFERROR(__xludf.DUMMYFUNCTION("""COMPUTED_VALUE"""),3.0)</f>
        <v>3</v>
      </c>
      <c r="G28" s="136">
        <f>IFERROR(__xludf.DUMMYFUNCTION("""COMPUTED_VALUE"""),2.0)</f>
        <v>2</v>
      </c>
      <c r="H28" s="137">
        <f>IFERROR(__xludf.DUMMYFUNCTION("""COMPUTED_VALUE"""),0.6)</f>
        <v>0.6</v>
      </c>
      <c r="I28" s="136">
        <f>IFERROR(__xludf.DUMMYFUNCTION("""COMPUTED_VALUE"""),0.0)</f>
        <v>0</v>
      </c>
      <c r="J28" s="136">
        <f>IFERROR(__xludf.DUMMYFUNCTION("""COMPUTED_VALUE"""),1630.0)</f>
        <v>1630</v>
      </c>
      <c r="K28" s="136">
        <f>IFERROR(__xludf.DUMMYFUNCTION("""COMPUTED_VALUE"""),4.0)</f>
        <v>4</v>
      </c>
      <c r="L28" s="136">
        <f>IFERROR(__xludf.DUMMYFUNCTION("""COMPUTED_VALUE"""),4.0)</f>
        <v>4</v>
      </c>
      <c r="M28" s="136">
        <f>IFERROR(__xludf.DUMMYFUNCTION("""COMPUTED_VALUE"""),5.0)</f>
        <v>5</v>
      </c>
      <c r="N28" s="136">
        <f>IFERROR(__xludf.DUMMYFUNCTION("""COMPUTED_VALUE"""),12.0)</f>
        <v>12</v>
      </c>
      <c r="O28" s="138">
        <f>IFERROR(__xludf.DUMMYFUNCTION("""COMPUTED_VALUE"""),1.0)</f>
        <v>1</v>
      </c>
      <c r="P28" s="138">
        <f>IFERROR(__xludf.DUMMYFUNCTION("""COMPUTED_VALUE"""),1.0)</f>
        <v>1</v>
      </c>
      <c r="Q28" s="138">
        <f>IFERROR(__xludf.DUMMYFUNCTION("""COMPUTED_VALUE"""),0.0)</f>
        <v>0</v>
      </c>
      <c r="R28" s="138">
        <f>IFERROR(__xludf.DUMMYFUNCTION("""COMPUTED_VALUE"""),0.0)</f>
        <v>0</v>
      </c>
      <c r="S28" s="139">
        <f>IFERROR(__xludf.DUMMYFUNCTION("""COMPUTED_VALUE"""),40.0)</f>
        <v>40</v>
      </c>
      <c r="T28" s="140">
        <f>IFERROR(__xludf.DUMMYFUNCTION("""COMPUTED_VALUE"""),12.0)</f>
        <v>12</v>
      </c>
      <c r="U28" s="136">
        <f>IFERROR(__xludf.DUMMYFUNCTION("""COMPUTED_VALUE"""),2.0)</f>
        <v>2</v>
      </c>
      <c r="V28" s="136">
        <f>IFERROR(__xludf.DUMMYFUNCTION("""COMPUTED_VALUE"""),4.0)</f>
        <v>4</v>
      </c>
      <c r="W28" s="136">
        <f>IFERROR(__xludf.DUMMYFUNCTION("""COMPUTED_VALUE"""),7.0)</f>
        <v>7</v>
      </c>
      <c r="X28" s="136"/>
      <c r="Y28" s="41"/>
      <c r="Z28" s="41"/>
    </row>
    <row r="29">
      <c r="A29" s="41" t="str">
        <f>IFERROR(__xludf.DUMMYFUNCTION("""COMPUTED_VALUE"""),"Challenger")</f>
        <v>Challenger</v>
      </c>
      <c r="B29" s="41" t="str">
        <f>IFERROR(__xludf.DUMMYFUNCTION("""COMPUTED_VALUE"""),"RSC000351")</f>
        <v>RSC000351</v>
      </c>
      <c r="C29" s="41" t="str">
        <f>IFERROR(__xludf.DUMMYFUNCTION("""COMPUTED_VALUE"""),"Mitzi")</f>
        <v>Mitzi</v>
      </c>
      <c r="D29" s="41" t="str">
        <f>IFERROR(__xludf.DUMMYFUNCTION("""COMPUTED_VALUE"""),"Porch Pirates")</f>
        <v>Porch Pirates</v>
      </c>
      <c r="E29" s="136">
        <f>IFERROR(__xludf.DUMMYFUNCTION("""COMPUTED_VALUE"""),32.0)</f>
        <v>32</v>
      </c>
      <c r="F29" s="136">
        <f>IFERROR(__xludf.DUMMYFUNCTION("""COMPUTED_VALUE"""),12.0)</f>
        <v>12</v>
      </c>
      <c r="G29" s="136">
        <f>IFERROR(__xludf.DUMMYFUNCTION("""COMPUTED_VALUE"""),20.0)</f>
        <v>20</v>
      </c>
      <c r="H29" s="137">
        <f>IFERROR(__xludf.DUMMYFUNCTION("""COMPUTED_VALUE"""),0.375)</f>
        <v>0.375</v>
      </c>
      <c r="I29" s="136">
        <f>IFERROR(__xludf.DUMMYFUNCTION("""COMPUTED_VALUE"""),2.0)</f>
        <v>2</v>
      </c>
      <c r="J29" s="136">
        <f>IFERROR(__xludf.DUMMYFUNCTION("""COMPUTED_VALUE"""),8830.0)</f>
        <v>8830</v>
      </c>
      <c r="K29" s="136">
        <f>IFERROR(__xludf.DUMMYFUNCTION("""COMPUTED_VALUE"""),16.0)</f>
        <v>16</v>
      </c>
      <c r="L29" s="136">
        <f>IFERROR(__xludf.DUMMYFUNCTION("""COMPUTED_VALUE"""),15.0)</f>
        <v>15</v>
      </c>
      <c r="M29" s="136">
        <f>IFERROR(__xludf.DUMMYFUNCTION("""COMPUTED_VALUE"""),32.0)</f>
        <v>32</v>
      </c>
      <c r="N29" s="136">
        <f>IFERROR(__xludf.DUMMYFUNCTION("""COMPUTED_VALUE"""),68.0)</f>
        <v>68</v>
      </c>
      <c r="O29" s="138">
        <f>IFERROR(__xludf.DUMMYFUNCTION("""COMPUTED_VALUE"""),1.0)</f>
        <v>1</v>
      </c>
      <c r="P29" s="138">
        <f>IFERROR(__xludf.DUMMYFUNCTION("""COMPUTED_VALUE"""),1.0)</f>
        <v>1</v>
      </c>
      <c r="Q29" s="138">
        <f>IFERROR(__xludf.DUMMYFUNCTION("""COMPUTED_VALUE"""),1.0)</f>
        <v>1</v>
      </c>
      <c r="R29" s="138">
        <f>IFERROR(__xludf.DUMMYFUNCTION("""COMPUTED_VALUE"""),4.0)</f>
        <v>4</v>
      </c>
      <c r="S29" s="139">
        <f>IFERROR(__xludf.DUMMYFUNCTION("""COMPUTED_VALUE"""),263.0)</f>
        <v>263</v>
      </c>
      <c r="T29" s="140">
        <f>IFERROR(__xludf.DUMMYFUNCTION("""COMPUTED_VALUE"""),87.0)</f>
        <v>87</v>
      </c>
      <c r="U29" s="136">
        <f>IFERROR(__xludf.DUMMYFUNCTION("""COMPUTED_VALUE"""),26.0)</f>
        <v>26</v>
      </c>
      <c r="V29" s="136">
        <f>IFERROR(__xludf.DUMMYFUNCTION("""COMPUTED_VALUE"""),9.0)</f>
        <v>9</v>
      </c>
      <c r="W29" s="136">
        <f>IFERROR(__xludf.DUMMYFUNCTION("""COMPUTED_VALUE"""),34.0)</f>
        <v>34</v>
      </c>
      <c r="X29" s="136">
        <f>IFERROR(__xludf.DUMMYFUNCTION("""COMPUTED_VALUE"""),318.09375)</f>
        <v>318.09375</v>
      </c>
      <c r="Y29" s="141">
        <f>IFERROR(__xludf.DUMMYFUNCTION("""COMPUTED_VALUE"""),45.68187499999999)</f>
        <v>45.681875</v>
      </c>
      <c r="Z29" s="141">
        <f>IFERROR(__xludf.DUMMYFUNCTION("""COMPUTED_VALUE"""),1976.28125)</f>
        <v>1976.28125</v>
      </c>
    </row>
    <row r="30">
      <c r="A30" s="41" t="str">
        <f>IFERROR(__xludf.DUMMYFUNCTION("""COMPUTED_VALUE"""),"Challenger")</f>
        <v>Challenger</v>
      </c>
      <c r="B30" s="41" t="str">
        <f>IFERROR(__xludf.DUMMYFUNCTION("""COMPUTED_VALUE"""),"RSC000357")</f>
        <v>RSC000357</v>
      </c>
      <c r="C30" s="41" t="str">
        <f>IFERROR(__xludf.DUMMYFUNCTION("""COMPUTED_VALUE"""),"Primed")</f>
        <v>Primed</v>
      </c>
      <c r="D30" s="41" t="str">
        <f>IFERROR(__xludf.DUMMYFUNCTION("""COMPUTED_VALUE"""),"Decuriones")</f>
        <v>Decuriones</v>
      </c>
      <c r="E30" s="136">
        <f>IFERROR(__xludf.DUMMYFUNCTION("""COMPUTED_VALUE"""),45.0)</f>
        <v>45</v>
      </c>
      <c r="F30" s="136">
        <f>IFERROR(__xludf.DUMMYFUNCTION("""COMPUTED_VALUE"""),21.0)</f>
        <v>21</v>
      </c>
      <c r="G30" s="136">
        <f>IFERROR(__xludf.DUMMYFUNCTION("""COMPUTED_VALUE"""),24.0)</f>
        <v>24</v>
      </c>
      <c r="H30" s="137">
        <f>IFERROR(__xludf.DUMMYFUNCTION("""COMPUTED_VALUE"""),0.4666666666666667)</f>
        <v>0.4666666667</v>
      </c>
      <c r="I30" s="136">
        <f>IFERROR(__xludf.DUMMYFUNCTION("""COMPUTED_VALUE"""),5.0)</f>
        <v>5</v>
      </c>
      <c r="J30" s="136">
        <f>IFERROR(__xludf.DUMMYFUNCTION("""COMPUTED_VALUE"""),15111.0)</f>
        <v>15111</v>
      </c>
      <c r="K30" s="136">
        <f>IFERROR(__xludf.DUMMYFUNCTION("""COMPUTED_VALUE"""),37.0)</f>
        <v>37</v>
      </c>
      <c r="L30" s="136">
        <f>IFERROR(__xludf.DUMMYFUNCTION("""COMPUTED_VALUE"""),22.0)</f>
        <v>22</v>
      </c>
      <c r="M30" s="136">
        <f>IFERROR(__xludf.DUMMYFUNCTION("""COMPUTED_VALUE"""),56.0)</f>
        <v>56</v>
      </c>
      <c r="N30" s="136">
        <f>IFERROR(__xludf.DUMMYFUNCTION("""COMPUTED_VALUE"""),98.0)</f>
        <v>98</v>
      </c>
      <c r="O30" s="138">
        <f>IFERROR(__xludf.DUMMYFUNCTION("""COMPUTED_VALUE"""),10.0)</f>
        <v>10</v>
      </c>
      <c r="P30" s="138">
        <f>IFERROR(__xludf.DUMMYFUNCTION("""COMPUTED_VALUE"""),1.0)</f>
        <v>1</v>
      </c>
      <c r="Q30" s="138">
        <f>IFERROR(__xludf.DUMMYFUNCTION("""COMPUTED_VALUE"""),0.0)</f>
        <v>0</v>
      </c>
      <c r="R30" s="138">
        <f>IFERROR(__xludf.DUMMYFUNCTION("""COMPUTED_VALUE"""),6.0)</f>
        <v>6</v>
      </c>
      <c r="S30" s="139">
        <f>IFERROR(__xludf.DUMMYFUNCTION("""COMPUTED_VALUE"""),337.0)</f>
        <v>337</v>
      </c>
      <c r="T30" s="140">
        <f>IFERROR(__xludf.DUMMYFUNCTION("""COMPUTED_VALUE"""),100.0)</f>
        <v>100</v>
      </c>
      <c r="U30" s="136">
        <f>IFERROR(__xludf.DUMMYFUNCTION("""COMPUTED_VALUE"""),33.0)</f>
        <v>33</v>
      </c>
      <c r="V30" s="136">
        <f>IFERROR(__xludf.DUMMYFUNCTION("""COMPUTED_VALUE"""),34.0)</f>
        <v>34</v>
      </c>
      <c r="W30" s="136">
        <f>IFERROR(__xludf.DUMMYFUNCTION("""COMPUTED_VALUE"""),38.0)</f>
        <v>38</v>
      </c>
      <c r="X30" s="136">
        <f>IFERROR(__xludf.DUMMYFUNCTION("""COMPUTED_VALUE"""),307.06666666666666)</f>
        <v>307.0666667</v>
      </c>
      <c r="Y30" s="141">
        <f>IFERROR(__xludf.DUMMYFUNCTION("""COMPUTED_VALUE"""),48.068222222222225)</f>
        <v>48.06822222</v>
      </c>
      <c r="Z30" s="141">
        <f>IFERROR(__xludf.DUMMYFUNCTION("""COMPUTED_VALUE"""),1802.7777777777778)</f>
        <v>1802.777778</v>
      </c>
    </row>
    <row r="31">
      <c r="A31" s="41" t="str">
        <f>IFERROR(__xludf.DUMMYFUNCTION("""COMPUTED_VALUE"""),"Rival")</f>
        <v>Rival</v>
      </c>
      <c r="B31" s="41" t="str">
        <f>IFERROR(__xludf.DUMMYFUNCTION("""COMPUTED_VALUE"""),"RSC000367")</f>
        <v>RSC000367</v>
      </c>
      <c r="C31" s="41" t="str">
        <f>IFERROR(__xludf.DUMMYFUNCTION("""COMPUTED_VALUE"""),"Pana")</f>
        <v>Pana</v>
      </c>
      <c r="D31" s="41" t="str">
        <f>IFERROR(__xludf.DUMMYFUNCTION("""COMPUTED_VALUE"""),"Scramjets")</f>
        <v>Scramjets</v>
      </c>
      <c r="E31" s="136">
        <f>IFERROR(__xludf.DUMMYFUNCTION("""COMPUTED_VALUE"""),28.0)</f>
        <v>28</v>
      </c>
      <c r="F31" s="136">
        <f>IFERROR(__xludf.DUMMYFUNCTION("""COMPUTED_VALUE"""),18.0)</f>
        <v>18</v>
      </c>
      <c r="G31" s="136">
        <f>IFERROR(__xludf.DUMMYFUNCTION("""COMPUTED_VALUE"""),10.0)</f>
        <v>10</v>
      </c>
      <c r="H31" s="137">
        <f>IFERROR(__xludf.DUMMYFUNCTION("""COMPUTED_VALUE"""),0.6428571428571429)</f>
        <v>0.6428571429</v>
      </c>
      <c r="I31" s="136">
        <f>IFERROR(__xludf.DUMMYFUNCTION("""COMPUTED_VALUE"""),5.0)</f>
        <v>5</v>
      </c>
      <c r="J31" s="136">
        <f>IFERROR(__xludf.DUMMYFUNCTION("""COMPUTED_VALUE"""),11047.0)</f>
        <v>11047</v>
      </c>
      <c r="K31" s="136">
        <f>IFERROR(__xludf.DUMMYFUNCTION("""COMPUTED_VALUE"""),35.0)</f>
        <v>35</v>
      </c>
      <c r="L31" s="136">
        <f>IFERROR(__xludf.DUMMYFUNCTION("""COMPUTED_VALUE"""),14.0)</f>
        <v>14</v>
      </c>
      <c r="M31" s="136">
        <f>IFERROR(__xludf.DUMMYFUNCTION("""COMPUTED_VALUE"""),35.0)</f>
        <v>35</v>
      </c>
      <c r="N31" s="136">
        <f>IFERROR(__xludf.DUMMYFUNCTION("""COMPUTED_VALUE"""),84.0)</f>
        <v>84</v>
      </c>
      <c r="O31" s="138">
        <f>IFERROR(__xludf.DUMMYFUNCTION("""COMPUTED_VALUE"""),6.0)</f>
        <v>6</v>
      </c>
      <c r="P31" s="138">
        <f>IFERROR(__xludf.DUMMYFUNCTION("""COMPUTED_VALUE"""),5.0)</f>
        <v>5</v>
      </c>
      <c r="Q31" s="138">
        <f>IFERROR(__xludf.DUMMYFUNCTION("""COMPUTED_VALUE"""),0.0)</f>
        <v>0</v>
      </c>
      <c r="R31" s="138">
        <f>IFERROR(__xludf.DUMMYFUNCTION("""COMPUTED_VALUE"""),2.0)</f>
        <v>2</v>
      </c>
      <c r="S31" s="139">
        <f>IFERROR(__xludf.DUMMYFUNCTION("""COMPUTED_VALUE"""),205.0)</f>
        <v>205</v>
      </c>
      <c r="T31" s="140">
        <f>IFERROR(__xludf.DUMMYFUNCTION("""COMPUTED_VALUE"""),57.0)</f>
        <v>57</v>
      </c>
      <c r="U31" s="136">
        <f>IFERROR(__xludf.DUMMYFUNCTION("""COMPUTED_VALUE"""),18.0)</f>
        <v>18</v>
      </c>
      <c r="V31" s="136">
        <f>IFERROR(__xludf.DUMMYFUNCTION("""COMPUTED_VALUE"""),36.0)</f>
        <v>36</v>
      </c>
      <c r="W31" s="136">
        <f>IFERROR(__xludf.DUMMYFUNCTION("""COMPUTED_VALUE"""),23.0)</f>
        <v>23</v>
      </c>
      <c r="X31" s="136">
        <f>IFERROR(__xludf.DUMMYFUNCTION("""COMPUTED_VALUE"""),373.7857142857143)</f>
        <v>373.7857143</v>
      </c>
      <c r="Y31" s="141">
        <f>IFERROR(__xludf.DUMMYFUNCTION("""COMPUTED_VALUE"""),52.670714285714276)</f>
        <v>52.67071429</v>
      </c>
      <c r="Z31" s="141">
        <f>IFERROR(__xludf.DUMMYFUNCTION("""COMPUTED_VALUE"""),2217.1428571428573)</f>
        <v>2217.142857</v>
      </c>
    </row>
    <row r="32">
      <c r="A32" s="41" t="str">
        <f>IFERROR(__xludf.DUMMYFUNCTION("""COMPUTED_VALUE"""),"Prospect")</f>
        <v>Prospect</v>
      </c>
      <c r="B32" s="41" t="str">
        <f>IFERROR(__xludf.DUMMYFUNCTION("""COMPUTED_VALUE"""),"RSC000379")</f>
        <v>RSC000379</v>
      </c>
      <c r="C32" s="41" t="str">
        <f>IFERROR(__xludf.DUMMYFUNCTION("""COMPUTED_VALUE"""),"DrizzyJ")</f>
        <v>DrizzyJ</v>
      </c>
      <c r="D32" s="41" t="str">
        <f>IFERROR(__xludf.DUMMYFUNCTION("""COMPUTED_VALUE"""),"Hostile Takeover")</f>
        <v>Hostile Takeover</v>
      </c>
      <c r="E32" s="136">
        <f>IFERROR(__xludf.DUMMYFUNCTION("""COMPUTED_VALUE"""),52.0)</f>
        <v>52</v>
      </c>
      <c r="F32" s="136">
        <f>IFERROR(__xludf.DUMMYFUNCTION("""COMPUTED_VALUE"""),40.0)</f>
        <v>40</v>
      </c>
      <c r="G32" s="136">
        <f>IFERROR(__xludf.DUMMYFUNCTION("""COMPUTED_VALUE"""),12.0)</f>
        <v>12</v>
      </c>
      <c r="H32" s="137">
        <f>IFERROR(__xludf.DUMMYFUNCTION("""COMPUTED_VALUE"""),0.7692307692307693)</f>
        <v>0.7692307692</v>
      </c>
      <c r="I32" s="136">
        <f>IFERROR(__xludf.DUMMYFUNCTION("""COMPUTED_VALUE"""),25.0)</f>
        <v>25</v>
      </c>
      <c r="J32" s="136">
        <f>IFERROR(__xludf.DUMMYFUNCTION("""COMPUTED_VALUE"""),23777.0)</f>
        <v>23777</v>
      </c>
      <c r="K32" s="136">
        <f>IFERROR(__xludf.DUMMYFUNCTION("""COMPUTED_VALUE"""),70.0)</f>
        <v>70</v>
      </c>
      <c r="L32" s="136">
        <f>IFERROR(__xludf.DUMMYFUNCTION("""COMPUTED_VALUE"""),45.0)</f>
        <v>45</v>
      </c>
      <c r="M32" s="136">
        <f>IFERROR(__xludf.DUMMYFUNCTION("""COMPUTED_VALUE"""),71.0)</f>
        <v>71</v>
      </c>
      <c r="N32" s="136">
        <f>IFERROR(__xludf.DUMMYFUNCTION("""COMPUTED_VALUE"""),185.0)</f>
        <v>185</v>
      </c>
      <c r="O32" s="138">
        <f>IFERROR(__xludf.DUMMYFUNCTION("""COMPUTED_VALUE"""),14.0)</f>
        <v>14</v>
      </c>
      <c r="P32" s="138">
        <f>IFERROR(__xludf.DUMMYFUNCTION("""COMPUTED_VALUE"""),9.0)</f>
        <v>9</v>
      </c>
      <c r="Q32" s="138">
        <f>IFERROR(__xludf.DUMMYFUNCTION("""COMPUTED_VALUE"""),5.0)</f>
        <v>5</v>
      </c>
      <c r="R32" s="138">
        <f>IFERROR(__xludf.DUMMYFUNCTION("""COMPUTED_VALUE"""),8.0)</f>
        <v>8</v>
      </c>
      <c r="S32" s="139">
        <f>IFERROR(__xludf.DUMMYFUNCTION("""COMPUTED_VALUE"""),327.0)</f>
        <v>327</v>
      </c>
      <c r="T32" s="140">
        <f>IFERROR(__xludf.DUMMYFUNCTION("""COMPUTED_VALUE"""),88.0)</f>
        <v>88</v>
      </c>
      <c r="U32" s="136">
        <f>IFERROR(__xludf.DUMMYFUNCTION("""COMPUTED_VALUE"""),31.0)</f>
        <v>31</v>
      </c>
      <c r="V32" s="136">
        <f>IFERROR(__xludf.DUMMYFUNCTION("""COMPUTED_VALUE"""),21.0)</f>
        <v>21</v>
      </c>
      <c r="W32" s="136">
        <f>IFERROR(__xludf.DUMMYFUNCTION("""COMPUTED_VALUE"""),51.0)</f>
        <v>51</v>
      </c>
      <c r="X32" s="136">
        <f>IFERROR(__xludf.DUMMYFUNCTION("""COMPUTED_VALUE"""),376.61538461538464)</f>
        <v>376.6153846</v>
      </c>
      <c r="Y32" s="141">
        <f>IFERROR(__xludf.DUMMYFUNCTION("""COMPUTED_VALUE"""),50.19826923076922)</f>
        <v>50.19826923</v>
      </c>
      <c r="Z32" s="141">
        <f>IFERROR(__xludf.DUMMYFUNCTION("""COMPUTED_VALUE"""),2244.230769230769)</f>
        <v>2244.230769</v>
      </c>
    </row>
    <row r="33">
      <c r="A33" s="41" t="str">
        <f>IFERROR(__xludf.DUMMYFUNCTION("""COMPUTED_VALUE"""),"Premier")</f>
        <v>Premier</v>
      </c>
      <c r="B33" s="41" t="str">
        <f>IFERROR(__xludf.DUMMYFUNCTION("""COMPUTED_VALUE"""),"RSC000381")</f>
        <v>RSC000381</v>
      </c>
      <c r="C33" s="41" t="str">
        <f>IFERROR(__xludf.DUMMYFUNCTION("""COMPUTED_VALUE"""),"Noriko")</f>
        <v>Noriko</v>
      </c>
      <c r="D33" s="41" t="str">
        <f>IFERROR(__xludf.DUMMYFUNCTION("""COMPUTED_VALUE"""),"Gummy Bears")</f>
        <v>Gummy Bears</v>
      </c>
      <c r="E33" s="136">
        <f>IFERROR(__xludf.DUMMYFUNCTION("""COMPUTED_VALUE"""),41.0)</f>
        <v>41</v>
      </c>
      <c r="F33" s="136">
        <f>IFERROR(__xludf.DUMMYFUNCTION("""COMPUTED_VALUE"""),21.0)</f>
        <v>21</v>
      </c>
      <c r="G33" s="136">
        <f>IFERROR(__xludf.DUMMYFUNCTION("""COMPUTED_VALUE"""),20.0)</f>
        <v>20</v>
      </c>
      <c r="H33" s="137">
        <f>IFERROR(__xludf.DUMMYFUNCTION("""COMPUTED_VALUE"""),0.5121951219512195)</f>
        <v>0.512195122</v>
      </c>
      <c r="I33" s="136">
        <f>IFERROR(__xludf.DUMMYFUNCTION("""COMPUTED_VALUE"""),7.0)</f>
        <v>7</v>
      </c>
      <c r="J33" s="136">
        <f>IFERROR(__xludf.DUMMYFUNCTION("""COMPUTED_VALUE"""),15924.0)</f>
        <v>15924</v>
      </c>
      <c r="K33" s="136">
        <f>IFERROR(__xludf.DUMMYFUNCTION("""COMPUTED_VALUE"""),36.0)</f>
        <v>36</v>
      </c>
      <c r="L33" s="136">
        <f>IFERROR(__xludf.DUMMYFUNCTION("""COMPUTED_VALUE"""),34.0)</f>
        <v>34</v>
      </c>
      <c r="M33" s="136">
        <f>IFERROR(__xludf.DUMMYFUNCTION("""COMPUTED_VALUE"""),63.0)</f>
        <v>63</v>
      </c>
      <c r="N33" s="136">
        <f>IFERROR(__xludf.DUMMYFUNCTION("""COMPUTED_VALUE"""),109.0)</f>
        <v>109</v>
      </c>
      <c r="O33" s="138">
        <f>IFERROR(__xludf.DUMMYFUNCTION("""COMPUTED_VALUE"""),8.0)</f>
        <v>8</v>
      </c>
      <c r="P33" s="138">
        <f>IFERROR(__xludf.DUMMYFUNCTION("""COMPUTED_VALUE"""),1.0)</f>
        <v>1</v>
      </c>
      <c r="Q33" s="138">
        <f>IFERROR(__xludf.DUMMYFUNCTION("""COMPUTED_VALUE"""),3.0)</f>
        <v>3</v>
      </c>
      <c r="R33" s="138">
        <f>IFERROR(__xludf.DUMMYFUNCTION("""COMPUTED_VALUE"""),7.0)</f>
        <v>7</v>
      </c>
      <c r="S33" s="139">
        <f>IFERROR(__xludf.DUMMYFUNCTION("""COMPUTED_VALUE"""),296.0)</f>
        <v>296</v>
      </c>
      <c r="T33" s="140">
        <f>IFERROR(__xludf.DUMMYFUNCTION("""COMPUTED_VALUE"""),87.0)</f>
        <v>87</v>
      </c>
      <c r="U33" s="136">
        <f>IFERROR(__xludf.DUMMYFUNCTION("""COMPUTED_VALUE"""),36.0)</f>
        <v>36</v>
      </c>
      <c r="V33" s="136">
        <f>IFERROR(__xludf.DUMMYFUNCTION("""COMPUTED_VALUE"""),47.0)</f>
        <v>47</v>
      </c>
      <c r="W33" s="136">
        <f>IFERROR(__xludf.DUMMYFUNCTION("""COMPUTED_VALUE"""),45.0)</f>
        <v>45</v>
      </c>
      <c r="X33" s="136">
        <f>IFERROR(__xludf.DUMMYFUNCTION("""COMPUTED_VALUE"""),439.6585365853659)</f>
        <v>439.6585366</v>
      </c>
      <c r="Y33" s="141">
        <f>IFERROR(__xludf.DUMMYFUNCTION("""COMPUTED_VALUE"""),47.63878048780488)</f>
        <v>47.63878049</v>
      </c>
      <c r="Z33" s="141">
        <f>IFERROR(__xludf.DUMMYFUNCTION("""COMPUTED_VALUE"""),2462.4634146341464)</f>
        <v>2462.463415</v>
      </c>
    </row>
    <row r="34">
      <c r="A34" s="41" t="str">
        <f>IFERROR(__xludf.DUMMYFUNCTION("""COMPUTED_VALUE"""),"Challenger")</f>
        <v>Challenger</v>
      </c>
      <c r="B34" s="41" t="str">
        <f>IFERROR(__xludf.DUMMYFUNCTION("""COMPUTED_VALUE"""),"RSC000426")</f>
        <v>RSC000426</v>
      </c>
      <c r="C34" s="41" t="str">
        <f>IFERROR(__xludf.DUMMYFUNCTION("""COMPUTED_VALUE"""),"struttrl")</f>
        <v>struttrl</v>
      </c>
      <c r="D34" s="41" t="str">
        <f>IFERROR(__xludf.DUMMYFUNCTION("""COMPUTED_VALUE"""),"Scribes
Warbirds
Toucans
Glaciers
Warthogs")</f>
        <v>Scribes
Warbirds
Toucans
Glaciers
Warthogs</v>
      </c>
      <c r="E34" s="136">
        <f>IFERROR(__xludf.DUMMYFUNCTION("""COMPUTED_VALUE"""),26.0)</f>
        <v>26</v>
      </c>
      <c r="F34" s="136">
        <f>IFERROR(__xludf.DUMMYFUNCTION("""COMPUTED_VALUE"""),9.0)</f>
        <v>9</v>
      </c>
      <c r="G34" s="136">
        <f>IFERROR(__xludf.DUMMYFUNCTION("""COMPUTED_VALUE"""),17.0)</f>
        <v>17</v>
      </c>
      <c r="H34" s="137">
        <f>IFERROR(__xludf.DUMMYFUNCTION("""COMPUTED_VALUE"""),0.34615384615384615)</f>
        <v>0.3461538462</v>
      </c>
      <c r="I34" s="136">
        <f>IFERROR(__xludf.DUMMYFUNCTION("""COMPUTED_VALUE"""),3.0)</f>
        <v>3</v>
      </c>
      <c r="J34" s="136">
        <f>IFERROR(__xludf.DUMMYFUNCTION("""COMPUTED_VALUE"""),8678.0)</f>
        <v>8678</v>
      </c>
      <c r="K34" s="136">
        <f>IFERROR(__xludf.DUMMYFUNCTION("""COMPUTED_VALUE"""),14.0)</f>
        <v>14</v>
      </c>
      <c r="L34" s="136">
        <f>IFERROR(__xludf.DUMMYFUNCTION("""COMPUTED_VALUE"""),13.0)</f>
        <v>13</v>
      </c>
      <c r="M34" s="136">
        <f>IFERROR(__xludf.DUMMYFUNCTION("""COMPUTED_VALUE"""),40.0)</f>
        <v>40</v>
      </c>
      <c r="N34" s="136">
        <f>IFERROR(__xludf.DUMMYFUNCTION("""COMPUTED_VALUE"""),69.0)</f>
        <v>69</v>
      </c>
      <c r="O34" s="138">
        <f>IFERROR(__xludf.DUMMYFUNCTION("""COMPUTED_VALUE"""),3.0)</f>
        <v>3</v>
      </c>
      <c r="P34" s="138">
        <f>IFERROR(__xludf.DUMMYFUNCTION("""COMPUTED_VALUE"""),0.0)</f>
        <v>0</v>
      </c>
      <c r="Q34" s="138">
        <f>IFERROR(__xludf.DUMMYFUNCTION("""COMPUTED_VALUE"""),1.0)</f>
        <v>1</v>
      </c>
      <c r="R34" s="138">
        <f>IFERROR(__xludf.DUMMYFUNCTION("""COMPUTED_VALUE"""),4.0)</f>
        <v>4</v>
      </c>
      <c r="S34" s="139">
        <f>IFERROR(__xludf.DUMMYFUNCTION("""COMPUTED_VALUE"""),194.0)</f>
        <v>194</v>
      </c>
      <c r="T34" s="140">
        <f>IFERROR(__xludf.DUMMYFUNCTION("""COMPUTED_VALUE"""),70.0)</f>
        <v>70</v>
      </c>
      <c r="U34" s="136">
        <f>IFERROR(__xludf.DUMMYFUNCTION("""COMPUTED_VALUE"""),30.0)</f>
        <v>30</v>
      </c>
      <c r="V34" s="136">
        <f>IFERROR(__xludf.DUMMYFUNCTION("""COMPUTED_VALUE"""),17.0)</f>
        <v>17</v>
      </c>
      <c r="W34" s="136">
        <f>IFERROR(__xludf.DUMMYFUNCTION("""COMPUTED_VALUE"""),28.0)</f>
        <v>28</v>
      </c>
      <c r="X34" s="136">
        <f>IFERROR(__xludf.DUMMYFUNCTION("""COMPUTED_VALUE"""),378.96153846153845)</f>
        <v>378.9615385</v>
      </c>
      <c r="Y34" s="141">
        <f>IFERROR(__xludf.DUMMYFUNCTION("""COMPUTED_VALUE"""),51.56653846153844)</f>
        <v>51.56653846</v>
      </c>
      <c r="Z34" s="141">
        <f>IFERROR(__xludf.DUMMYFUNCTION("""COMPUTED_VALUE"""),2382.730769230769)</f>
        <v>2382.730769</v>
      </c>
    </row>
    <row r="35">
      <c r="A35" s="41" t="str">
        <f>IFERROR(__xludf.DUMMYFUNCTION("""COMPUTED_VALUE"""),"Rival")</f>
        <v>Rival</v>
      </c>
      <c r="B35" s="41" t="str">
        <f>IFERROR(__xludf.DUMMYFUNCTION("""COMPUTED_VALUE"""),"RSC000441")</f>
        <v>RSC000441</v>
      </c>
      <c r="C35" s="41" t="str">
        <f>IFERROR(__xludf.DUMMYFUNCTION("""COMPUTED_VALUE"""),"Wolfocus")</f>
        <v>Wolfocus</v>
      </c>
      <c r="D35" s="41" t="str">
        <f>IFERROR(__xludf.DUMMYFUNCTION("""COMPUTED_VALUE"""),"Black Ice")</f>
        <v>Black Ice</v>
      </c>
      <c r="E35" s="136">
        <f>IFERROR(__xludf.DUMMYFUNCTION("""COMPUTED_VALUE"""),39.0)</f>
        <v>39</v>
      </c>
      <c r="F35" s="136">
        <f>IFERROR(__xludf.DUMMYFUNCTION("""COMPUTED_VALUE"""),22.0)</f>
        <v>22</v>
      </c>
      <c r="G35" s="136">
        <f>IFERROR(__xludf.DUMMYFUNCTION("""COMPUTED_VALUE"""),17.0)</f>
        <v>17</v>
      </c>
      <c r="H35" s="137">
        <f>IFERROR(__xludf.DUMMYFUNCTION("""COMPUTED_VALUE"""),0.5641025641025641)</f>
        <v>0.5641025641</v>
      </c>
      <c r="I35" s="136">
        <f>IFERROR(__xludf.DUMMYFUNCTION("""COMPUTED_VALUE"""),12.0)</f>
        <v>12</v>
      </c>
      <c r="J35" s="136">
        <f>IFERROR(__xludf.DUMMYFUNCTION("""COMPUTED_VALUE"""),14619.0)</f>
        <v>14619</v>
      </c>
      <c r="K35" s="136">
        <f>IFERROR(__xludf.DUMMYFUNCTION("""COMPUTED_VALUE"""),44.0)</f>
        <v>44</v>
      </c>
      <c r="L35" s="136">
        <f>IFERROR(__xludf.DUMMYFUNCTION("""COMPUTED_VALUE"""),23.0)</f>
        <v>23</v>
      </c>
      <c r="M35" s="136">
        <f>IFERROR(__xludf.DUMMYFUNCTION("""COMPUTED_VALUE"""),51.0)</f>
        <v>51</v>
      </c>
      <c r="N35" s="136">
        <f>IFERROR(__xludf.DUMMYFUNCTION("""COMPUTED_VALUE"""),116.0)</f>
        <v>116</v>
      </c>
      <c r="O35" s="138">
        <f>IFERROR(__xludf.DUMMYFUNCTION("""COMPUTED_VALUE"""),15.0)</f>
        <v>15</v>
      </c>
      <c r="P35" s="138">
        <f>IFERROR(__xludf.DUMMYFUNCTION("""COMPUTED_VALUE"""),2.0)</f>
        <v>2</v>
      </c>
      <c r="Q35" s="138">
        <f>IFERROR(__xludf.DUMMYFUNCTION("""COMPUTED_VALUE"""),0.0)</f>
        <v>0</v>
      </c>
      <c r="R35" s="138">
        <f>IFERROR(__xludf.DUMMYFUNCTION("""COMPUTED_VALUE"""),8.0)</f>
        <v>8</v>
      </c>
      <c r="S35" s="139">
        <f>IFERROR(__xludf.DUMMYFUNCTION("""COMPUTED_VALUE"""),297.0)</f>
        <v>297</v>
      </c>
      <c r="T35" s="140">
        <f>IFERROR(__xludf.DUMMYFUNCTION("""COMPUTED_VALUE"""),87.0)</f>
        <v>87</v>
      </c>
      <c r="U35" s="136">
        <f>IFERROR(__xludf.DUMMYFUNCTION("""COMPUTED_VALUE"""),24.0)</f>
        <v>24</v>
      </c>
      <c r="V35" s="136">
        <f>IFERROR(__xludf.DUMMYFUNCTION("""COMPUTED_VALUE"""),32.0)</f>
        <v>32</v>
      </c>
      <c r="W35" s="136">
        <f>IFERROR(__xludf.DUMMYFUNCTION("""COMPUTED_VALUE"""),41.0)</f>
        <v>41</v>
      </c>
      <c r="X35" s="136">
        <f>IFERROR(__xludf.DUMMYFUNCTION("""COMPUTED_VALUE"""),312.38461538461536)</f>
        <v>312.3846154</v>
      </c>
      <c r="Y35" s="141">
        <f>IFERROR(__xludf.DUMMYFUNCTION("""COMPUTED_VALUE"""),51.16666666666666)</f>
        <v>51.16666667</v>
      </c>
      <c r="Z35" s="141">
        <f>IFERROR(__xludf.DUMMYFUNCTION("""COMPUTED_VALUE"""),1962.2051282051282)</f>
        <v>1962.205128</v>
      </c>
    </row>
    <row r="36">
      <c r="A36" s="41" t="str">
        <f>IFERROR(__xludf.DUMMYFUNCTION("""COMPUTED_VALUE"""),"Challenger")</f>
        <v>Challenger</v>
      </c>
      <c r="B36" s="41" t="str">
        <f>IFERROR(__xludf.DUMMYFUNCTION("""COMPUTED_VALUE"""),"RSC000499")</f>
        <v>RSC000499</v>
      </c>
      <c r="C36" s="41" t="str">
        <f>IFERROR(__xludf.DUMMYFUNCTION("""COMPUTED_VALUE"""),"johkev")</f>
        <v>johkev</v>
      </c>
      <c r="D36" s="41" t="str">
        <f>IFERROR(__xludf.DUMMYFUNCTION("""COMPUTED_VALUE"""),"Decuriones")</f>
        <v>Decuriones</v>
      </c>
      <c r="E36" s="136">
        <f>IFERROR(__xludf.DUMMYFUNCTION("""COMPUTED_VALUE"""),43.0)</f>
        <v>43</v>
      </c>
      <c r="F36" s="136">
        <f>IFERROR(__xludf.DUMMYFUNCTION("""COMPUTED_VALUE"""),19.0)</f>
        <v>19</v>
      </c>
      <c r="G36" s="136">
        <f>IFERROR(__xludf.DUMMYFUNCTION("""COMPUTED_VALUE"""),24.0)</f>
        <v>24</v>
      </c>
      <c r="H36" s="137">
        <f>IFERROR(__xludf.DUMMYFUNCTION("""COMPUTED_VALUE"""),0.4418604651162791)</f>
        <v>0.4418604651</v>
      </c>
      <c r="I36" s="136">
        <f>IFERROR(__xludf.DUMMYFUNCTION("""COMPUTED_VALUE"""),7.0)</f>
        <v>7</v>
      </c>
      <c r="J36" s="136">
        <f>IFERROR(__xludf.DUMMYFUNCTION("""COMPUTED_VALUE"""),15429.0)</f>
        <v>15429</v>
      </c>
      <c r="K36" s="136">
        <f>IFERROR(__xludf.DUMMYFUNCTION("""COMPUTED_VALUE"""),36.0)</f>
        <v>36</v>
      </c>
      <c r="L36" s="136">
        <f>IFERROR(__xludf.DUMMYFUNCTION("""COMPUTED_VALUE"""),24.0)</f>
        <v>24</v>
      </c>
      <c r="M36" s="136">
        <f>IFERROR(__xludf.DUMMYFUNCTION("""COMPUTED_VALUE"""),64.0)</f>
        <v>64</v>
      </c>
      <c r="N36" s="136">
        <f>IFERROR(__xludf.DUMMYFUNCTION("""COMPUTED_VALUE"""),101.0)</f>
        <v>101</v>
      </c>
      <c r="O36" s="138">
        <f>IFERROR(__xludf.DUMMYFUNCTION("""COMPUTED_VALUE"""),9.0)</f>
        <v>9</v>
      </c>
      <c r="P36" s="138">
        <f>IFERROR(__xludf.DUMMYFUNCTION("""COMPUTED_VALUE"""),3.0)</f>
        <v>3</v>
      </c>
      <c r="Q36" s="138">
        <f>IFERROR(__xludf.DUMMYFUNCTION("""COMPUTED_VALUE"""),1.0)</f>
        <v>1</v>
      </c>
      <c r="R36" s="138">
        <f>IFERROR(__xludf.DUMMYFUNCTION("""COMPUTED_VALUE"""),7.0)</f>
        <v>7</v>
      </c>
      <c r="S36" s="139">
        <f>IFERROR(__xludf.DUMMYFUNCTION("""COMPUTED_VALUE"""),316.0)</f>
        <v>316</v>
      </c>
      <c r="T36" s="140">
        <f>IFERROR(__xludf.DUMMYFUNCTION("""COMPUTED_VALUE"""),102.0)</f>
        <v>102</v>
      </c>
      <c r="U36" s="136">
        <f>IFERROR(__xludf.DUMMYFUNCTION("""COMPUTED_VALUE"""),36.0)</f>
        <v>36</v>
      </c>
      <c r="V36" s="136">
        <f>IFERROR(__xludf.DUMMYFUNCTION("""COMPUTED_VALUE"""),60.0)</f>
        <v>60</v>
      </c>
      <c r="W36" s="136">
        <f>IFERROR(__xludf.DUMMYFUNCTION("""COMPUTED_VALUE"""),38.0)</f>
        <v>38</v>
      </c>
      <c r="X36" s="136">
        <f>IFERROR(__xludf.DUMMYFUNCTION("""COMPUTED_VALUE"""),380.4186046511628)</f>
        <v>380.4186047</v>
      </c>
      <c r="Y36" s="141">
        <f>IFERROR(__xludf.DUMMYFUNCTION("""COMPUTED_VALUE"""),52.52883720930234)</f>
        <v>52.52883721</v>
      </c>
      <c r="Z36" s="141">
        <f>IFERROR(__xludf.DUMMYFUNCTION("""COMPUTED_VALUE"""),2303.6046511627906)</f>
        <v>2303.604651</v>
      </c>
    </row>
    <row r="37">
      <c r="A37" s="41" t="str">
        <f>IFERROR(__xludf.DUMMYFUNCTION("""COMPUTED_VALUE"""),"Rival")</f>
        <v>Rival</v>
      </c>
      <c r="B37" s="41" t="str">
        <f>IFERROR(__xludf.DUMMYFUNCTION("""COMPUTED_VALUE"""),"RSC000519")</f>
        <v>RSC000519</v>
      </c>
      <c r="C37" s="41" t="str">
        <f>IFERROR(__xludf.DUMMYFUNCTION("""COMPUTED_VALUE"""),"bovi")</f>
        <v>bovi</v>
      </c>
      <c r="D37" s="41" t="str">
        <f>IFERROR(__xludf.DUMMYFUNCTION("""COMPUTED_VALUE"""),"Dracos")</f>
        <v>Dracos</v>
      </c>
      <c r="E37" s="136">
        <f>IFERROR(__xludf.DUMMYFUNCTION("""COMPUTED_VALUE"""),56.0)</f>
        <v>56</v>
      </c>
      <c r="F37" s="136">
        <f>IFERROR(__xludf.DUMMYFUNCTION("""COMPUTED_VALUE"""),26.0)</f>
        <v>26</v>
      </c>
      <c r="G37" s="136">
        <f>IFERROR(__xludf.DUMMYFUNCTION("""COMPUTED_VALUE"""),30.0)</f>
        <v>30</v>
      </c>
      <c r="H37" s="137">
        <f>IFERROR(__xludf.DUMMYFUNCTION("""COMPUTED_VALUE"""),0.4642857142857143)</f>
        <v>0.4642857143</v>
      </c>
      <c r="I37" s="136">
        <f>IFERROR(__xludf.DUMMYFUNCTION("""COMPUTED_VALUE"""),13.0)</f>
        <v>13</v>
      </c>
      <c r="J37" s="136">
        <f>IFERROR(__xludf.DUMMYFUNCTION("""COMPUTED_VALUE"""),20242.0)</f>
        <v>20242</v>
      </c>
      <c r="K37" s="136">
        <f>IFERROR(__xludf.DUMMYFUNCTION("""COMPUTED_VALUE"""),43.0)</f>
        <v>43</v>
      </c>
      <c r="L37" s="136">
        <f>IFERROR(__xludf.DUMMYFUNCTION("""COMPUTED_VALUE"""),31.0)</f>
        <v>31</v>
      </c>
      <c r="M37" s="136">
        <f>IFERROR(__xludf.DUMMYFUNCTION("""COMPUTED_VALUE"""),79.0)</f>
        <v>79</v>
      </c>
      <c r="N37" s="136">
        <f>IFERROR(__xludf.DUMMYFUNCTION("""COMPUTED_VALUE"""),141.0)</f>
        <v>141</v>
      </c>
      <c r="O37" s="138">
        <f>IFERROR(__xludf.DUMMYFUNCTION("""COMPUTED_VALUE"""),13.0)</f>
        <v>13</v>
      </c>
      <c r="P37" s="138">
        <f>IFERROR(__xludf.DUMMYFUNCTION("""COMPUTED_VALUE"""),2.0)</f>
        <v>2</v>
      </c>
      <c r="Q37" s="138">
        <f>IFERROR(__xludf.DUMMYFUNCTION("""COMPUTED_VALUE"""),1.0)</f>
        <v>1</v>
      </c>
      <c r="R37" s="138">
        <f>IFERROR(__xludf.DUMMYFUNCTION("""COMPUTED_VALUE"""),11.0)</f>
        <v>11</v>
      </c>
      <c r="S37" s="139">
        <f>IFERROR(__xludf.DUMMYFUNCTION("""COMPUTED_VALUE"""),417.0)</f>
        <v>417</v>
      </c>
      <c r="T37" s="140">
        <f>IFERROR(__xludf.DUMMYFUNCTION("""COMPUTED_VALUE"""),128.0)</f>
        <v>128</v>
      </c>
      <c r="U37" s="136">
        <f>IFERROR(__xludf.DUMMYFUNCTION("""COMPUTED_VALUE"""),42.0)</f>
        <v>42</v>
      </c>
      <c r="V37" s="136">
        <f>IFERROR(__xludf.DUMMYFUNCTION("""COMPUTED_VALUE"""),47.0)</f>
        <v>47</v>
      </c>
      <c r="W37" s="136">
        <f>IFERROR(__xludf.DUMMYFUNCTION("""COMPUTED_VALUE"""),64.0)</f>
        <v>64</v>
      </c>
      <c r="X37" s="136">
        <f>IFERROR(__xludf.DUMMYFUNCTION("""COMPUTED_VALUE"""),319.39285714285717)</f>
        <v>319.3928571</v>
      </c>
      <c r="Y37" s="141">
        <f>IFERROR(__xludf.DUMMYFUNCTION("""COMPUTED_VALUE"""),50.47785714285715)</f>
        <v>50.47785714</v>
      </c>
      <c r="Z37" s="141">
        <f>IFERROR(__xludf.DUMMYFUNCTION("""COMPUTED_VALUE"""),1920.6607142857142)</f>
        <v>1920.660714</v>
      </c>
    </row>
    <row r="38">
      <c r="A38" s="41" t="str">
        <f>IFERROR(__xludf.DUMMYFUNCTION("""COMPUTED_VALUE"""),"Veteran")</f>
        <v>Veteran</v>
      </c>
      <c r="B38" s="41" t="str">
        <f>IFERROR(__xludf.DUMMYFUNCTION("""COMPUTED_VALUE"""),"RSC000550")</f>
        <v>RSC000550</v>
      </c>
      <c r="C38" s="41" t="str">
        <f>IFERROR(__xludf.DUMMYFUNCTION("""COMPUTED_VALUE"""),"ARJ")</f>
        <v>ARJ</v>
      </c>
      <c r="D38" s="41" t="str">
        <f>IFERROR(__xludf.DUMMYFUNCTION("""COMPUTED_VALUE"""),"Giraffes")</f>
        <v>Giraffes</v>
      </c>
      <c r="E38" s="136">
        <f>IFERROR(__xludf.DUMMYFUNCTION("""COMPUTED_VALUE"""),35.0)</f>
        <v>35</v>
      </c>
      <c r="F38" s="136">
        <f>IFERROR(__xludf.DUMMYFUNCTION("""COMPUTED_VALUE"""),18.0)</f>
        <v>18</v>
      </c>
      <c r="G38" s="136">
        <f>IFERROR(__xludf.DUMMYFUNCTION("""COMPUTED_VALUE"""),17.0)</f>
        <v>17</v>
      </c>
      <c r="H38" s="137">
        <f>IFERROR(__xludf.DUMMYFUNCTION("""COMPUTED_VALUE"""),0.5142857142857142)</f>
        <v>0.5142857143</v>
      </c>
      <c r="I38" s="136">
        <f>IFERROR(__xludf.DUMMYFUNCTION("""COMPUTED_VALUE"""),5.0)</f>
        <v>5</v>
      </c>
      <c r="J38" s="136">
        <f>IFERROR(__xludf.DUMMYFUNCTION("""COMPUTED_VALUE"""),12486.0)</f>
        <v>12486</v>
      </c>
      <c r="K38" s="136">
        <f>IFERROR(__xludf.DUMMYFUNCTION("""COMPUTED_VALUE"""),35.0)</f>
        <v>35</v>
      </c>
      <c r="L38" s="136">
        <f>IFERROR(__xludf.DUMMYFUNCTION("""COMPUTED_VALUE"""),25.0)</f>
        <v>25</v>
      </c>
      <c r="M38" s="136">
        <f>IFERROR(__xludf.DUMMYFUNCTION("""COMPUTED_VALUE"""),39.0)</f>
        <v>39</v>
      </c>
      <c r="N38" s="136">
        <f>IFERROR(__xludf.DUMMYFUNCTION("""COMPUTED_VALUE"""),96.0)</f>
        <v>96</v>
      </c>
      <c r="O38" s="138">
        <f>IFERROR(__xludf.DUMMYFUNCTION("""COMPUTED_VALUE"""),8.0)</f>
        <v>8</v>
      </c>
      <c r="P38" s="138">
        <f>IFERROR(__xludf.DUMMYFUNCTION("""COMPUTED_VALUE"""),3.0)</f>
        <v>3</v>
      </c>
      <c r="Q38" s="138">
        <f>IFERROR(__xludf.DUMMYFUNCTION("""COMPUTED_VALUE"""),1.0)</f>
        <v>1</v>
      </c>
      <c r="R38" s="138">
        <f>IFERROR(__xludf.DUMMYFUNCTION("""COMPUTED_VALUE"""),4.0)</f>
        <v>4</v>
      </c>
      <c r="S38" s="139">
        <f>IFERROR(__xludf.DUMMYFUNCTION("""COMPUTED_VALUE"""),263.0)</f>
        <v>263</v>
      </c>
      <c r="T38" s="140">
        <f>IFERROR(__xludf.DUMMYFUNCTION("""COMPUTED_VALUE"""),86.0)</f>
        <v>86</v>
      </c>
      <c r="U38" s="136">
        <f>IFERROR(__xludf.DUMMYFUNCTION("""COMPUTED_VALUE"""),29.0)</f>
        <v>29</v>
      </c>
      <c r="V38" s="136">
        <f>IFERROR(__xludf.DUMMYFUNCTION("""COMPUTED_VALUE"""),25.0)</f>
        <v>25</v>
      </c>
      <c r="W38" s="136">
        <f>IFERROR(__xludf.DUMMYFUNCTION("""COMPUTED_VALUE"""),34.0)</f>
        <v>34</v>
      </c>
      <c r="X38" s="136">
        <f>IFERROR(__xludf.DUMMYFUNCTION("""COMPUTED_VALUE"""),384.37142857142857)</f>
        <v>384.3714286</v>
      </c>
      <c r="Y38" s="141">
        <f>IFERROR(__xludf.DUMMYFUNCTION("""COMPUTED_VALUE"""),44.96971428571429)</f>
        <v>44.96971429</v>
      </c>
      <c r="Z38" s="141">
        <f>IFERROR(__xludf.DUMMYFUNCTION("""COMPUTED_VALUE"""),2199.5714285714284)</f>
        <v>2199.571429</v>
      </c>
    </row>
    <row r="39">
      <c r="A39" s="41" t="str">
        <f>IFERROR(__xludf.DUMMYFUNCTION("""COMPUTED_VALUE"""),"Premier")</f>
        <v>Premier</v>
      </c>
      <c r="B39" s="41" t="str">
        <f>IFERROR(__xludf.DUMMYFUNCTION("""COMPUTED_VALUE"""),"RSC000579")</f>
        <v>RSC000579</v>
      </c>
      <c r="C39" s="41" t="str">
        <f>IFERROR(__xludf.DUMMYFUNCTION("""COMPUTED_VALUE"""),"Cryptt.")</f>
        <v>Cryptt.</v>
      </c>
      <c r="D39" s="41" t="str">
        <f>IFERROR(__xludf.DUMMYFUNCTION("""COMPUTED_VALUE"""),"Capybaras")</f>
        <v>Capybaras</v>
      </c>
      <c r="E39" s="136">
        <f>IFERROR(__xludf.DUMMYFUNCTION("""COMPUTED_VALUE"""),51.0)</f>
        <v>51</v>
      </c>
      <c r="F39" s="136">
        <f>IFERROR(__xludf.DUMMYFUNCTION("""COMPUTED_VALUE"""),35.0)</f>
        <v>35</v>
      </c>
      <c r="G39" s="136">
        <f>IFERROR(__xludf.DUMMYFUNCTION("""COMPUTED_VALUE"""),16.0)</f>
        <v>16</v>
      </c>
      <c r="H39" s="137">
        <f>IFERROR(__xludf.DUMMYFUNCTION("""COMPUTED_VALUE"""),0.6862745098039216)</f>
        <v>0.6862745098</v>
      </c>
      <c r="I39" s="136">
        <f>IFERROR(__xludf.DUMMYFUNCTION("""COMPUTED_VALUE"""),7.0)</f>
        <v>7</v>
      </c>
      <c r="J39" s="136">
        <f>IFERROR(__xludf.DUMMYFUNCTION("""COMPUTED_VALUE"""),18187.0)</f>
        <v>18187</v>
      </c>
      <c r="K39" s="136">
        <f>IFERROR(__xludf.DUMMYFUNCTION("""COMPUTED_VALUE"""),45.0)</f>
        <v>45</v>
      </c>
      <c r="L39" s="136">
        <f>IFERROR(__xludf.DUMMYFUNCTION("""COMPUTED_VALUE"""),32.0)</f>
        <v>32</v>
      </c>
      <c r="M39" s="136">
        <f>IFERROR(__xludf.DUMMYFUNCTION("""COMPUTED_VALUE"""),52.0)</f>
        <v>52</v>
      </c>
      <c r="N39" s="136">
        <f>IFERROR(__xludf.DUMMYFUNCTION("""COMPUTED_VALUE"""),149.0)</f>
        <v>149</v>
      </c>
      <c r="O39" s="138">
        <f>IFERROR(__xludf.DUMMYFUNCTION("""COMPUTED_VALUE"""),8.0)</f>
        <v>8</v>
      </c>
      <c r="P39" s="138">
        <f>IFERROR(__xludf.DUMMYFUNCTION("""COMPUTED_VALUE"""),2.0)</f>
        <v>2</v>
      </c>
      <c r="Q39" s="138">
        <f>IFERROR(__xludf.DUMMYFUNCTION("""COMPUTED_VALUE"""),2.0)</f>
        <v>2</v>
      </c>
      <c r="R39" s="138">
        <f>IFERROR(__xludf.DUMMYFUNCTION("""COMPUTED_VALUE"""),7.0)</f>
        <v>7</v>
      </c>
      <c r="S39" s="139">
        <f>IFERROR(__xludf.DUMMYFUNCTION("""COMPUTED_VALUE"""),369.0)</f>
        <v>369</v>
      </c>
      <c r="T39" s="140">
        <f>IFERROR(__xludf.DUMMYFUNCTION("""COMPUTED_VALUE"""),112.0)</f>
        <v>112</v>
      </c>
      <c r="U39" s="136">
        <f>IFERROR(__xludf.DUMMYFUNCTION("""COMPUTED_VALUE"""),31.0)</f>
        <v>31</v>
      </c>
      <c r="V39" s="136">
        <f>IFERROR(__xludf.DUMMYFUNCTION("""COMPUTED_VALUE"""),23.0)</f>
        <v>23</v>
      </c>
      <c r="W39" s="136">
        <f>IFERROR(__xludf.DUMMYFUNCTION("""COMPUTED_VALUE"""),59.0)</f>
        <v>59</v>
      </c>
      <c r="X39" s="136">
        <f>IFERROR(__xludf.DUMMYFUNCTION("""COMPUTED_VALUE"""),366.62745098039215)</f>
        <v>366.627451</v>
      </c>
      <c r="Y39" s="141">
        <f>IFERROR(__xludf.DUMMYFUNCTION("""COMPUTED_VALUE"""),53.148823529411786)</f>
        <v>53.14882353</v>
      </c>
      <c r="Z39" s="141">
        <f>IFERROR(__xludf.DUMMYFUNCTION("""COMPUTED_VALUE"""),2267.0)</f>
        <v>2267</v>
      </c>
    </row>
    <row r="40">
      <c r="A40" s="41" t="str">
        <f>IFERROR(__xludf.DUMMYFUNCTION("""COMPUTED_VALUE"""),"Premier")</f>
        <v>Premier</v>
      </c>
      <c r="B40" s="41" t="str">
        <f>IFERROR(__xludf.DUMMYFUNCTION("""COMPUTED_VALUE"""),"RSC000618")</f>
        <v>RSC000618</v>
      </c>
      <c r="C40" s="41" t="str">
        <f>IFERROR(__xludf.DUMMYFUNCTION("""COMPUTED_VALUE"""),"Taelo")</f>
        <v>Taelo</v>
      </c>
      <c r="D40" s="41" t="str">
        <f>IFERROR(__xludf.DUMMYFUNCTION("""COMPUTED_VALUE"""),"Interstellar
Super Clusters")</f>
        <v>Interstellar
Super Clusters</v>
      </c>
      <c r="E40" s="136">
        <f>IFERROR(__xludf.DUMMYFUNCTION("""COMPUTED_VALUE"""),56.0)</f>
        <v>56</v>
      </c>
      <c r="F40" s="136">
        <f>IFERROR(__xludf.DUMMYFUNCTION("""COMPUTED_VALUE"""),18.0)</f>
        <v>18</v>
      </c>
      <c r="G40" s="136">
        <f>IFERROR(__xludf.DUMMYFUNCTION("""COMPUTED_VALUE"""),38.0)</f>
        <v>38</v>
      </c>
      <c r="H40" s="137">
        <f>IFERROR(__xludf.DUMMYFUNCTION("""COMPUTED_VALUE"""),0.32142857142857145)</f>
        <v>0.3214285714</v>
      </c>
      <c r="I40" s="136">
        <f>IFERROR(__xludf.DUMMYFUNCTION("""COMPUTED_VALUE"""),5.0)</f>
        <v>5</v>
      </c>
      <c r="J40" s="136">
        <f>IFERROR(__xludf.DUMMYFUNCTION("""COMPUTED_VALUE"""),19206.0)</f>
        <v>19206</v>
      </c>
      <c r="K40" s="136">
        <f>IFERROR(__xludf.DUMMYFUNCTION("""COMPUTED_VALUE"""),45.0)</f>
        <v>45</v>
      </c>
      <c r="L40" s="136">
        <f>IFERROR(__xludf.DUMMYFUNCTION("""COMPUTED_VALUE"""),32.0)</f>
        <v>32</v>
      </c>
      <c r="M40" s="136">
        <f>IFERROR(__xludf.DUMMYFUNCTION("""COMPUTED_VALUE"""),66.0)</f>
        <v>66</v>
      </c>
      <c r="N40" s="136">
        <f>IFERROR(__xludf.DUMMYFUNCTION("""COMPUTED_VALUE"""),171.0)</f>
        <v>171</v>
      </c>
      <c r="O40" s="138">
        <f>IFERROR(__xludf.DUMMYFUNCTION("""COMPUTED_VALUE"""),12.0)</f>
        <v>12</v>
      </c>
      <c r="P40" s="138">
        <f>IFERROR(__xludf.DUMMYFUNCTION("""COMPUTED_VALUE"""),3.0)</f>
        <v>3</v>
      </c>
      <c r="Q40" s="138">
        <f>IFERROR(__xludf.DUMMYFUNCTION("""COMPUTED_VALUE"""),1.0)</f>
        <v>1</v>
      </c>
      <c r="R40" s="138">
        <f>IFERROR(__xludf.DUMMYFUNCTION("""COMPUTED_VALUE"""),2.0)</f>
        <v>2</v>
      </c>
      <c r="S40" s="139">
        <f>IFERROR(__xludf.DUMMYFUNCTION("""COMPUTED_VALUE"""),473.0)</f>
        <v>473</v>
      </c>
      <c r="T40" s="140">
        <f>IFERROR(__xludf.DUMMYFUNCTION("""COMPUTED_VALUE"""),159.0)</f>
        <v>159</v>
      </c>
      <c r="U40" s="136">
        <f>IFERROR(__xludf.DUMMYFUNCTION("""COMPUTED_VALUE"""),51.0)</f>
        <v>51</v>
      </c>
      <c r="V40" s="136">
        <f>IFERROR(__xludf.DUMMYFUNCTION("""COMPUTED_VALUE"""),55.0)</f>
        <v>55</v>
      </c>
      <c r="W40" s="136">
        <f>IFERROR(__xludf.DUMMYFUNCTION("""COMPUTED_VALUE"""),63.0)</f>
        <v>63</v>
      </c>
      <c r="X40" s="136">
        <f>IFERROR(__xludf.DUMMYFUNCTION("""COMPUTED_VALUE"""),440.10714285714283)</f>
        <v>440.1071429</v>
      </c>
      <c r="Y40" s="141">
        <f>IFERROR(__xludf.DUMMYFUNCTION("""COMPUTED_VALUE"""),43.4380357142857)</f>
        <v>43.43803571</v>
      </c>
      <c r="Z40" s="141">
        <f>IFERROR(__xludf.DUMMYFUNCTION("""COMPUTED_VALUE"""),2643.2678571428573)</f>
        <v>2643.267857</v>
      </c>
    </row>
    <row r="41">
      <c r="A41" s="41" t="str">
        <f>IFERROR(__xludf.DUMMYFUNCTION("""COMPUTED_VALUE"""),"Elite")</f>
        <v>Elite</v>
      </c>
      <c r="B41" s="41" t="str">
        <f>IFERROR(__xludf.DUMMYFUNCTION("""COMPUTED_VALUE"""),"RSC000623")</f>
        <v>RSC000623</v>
      </c>
      <c r="C41" s="41" t="str">
        <f>IFERROR(__xludf.DUMMYFUNCTION("""COMPUTED_VALUE"""),"wall2wall3")</f>
        <v>wall2wall3</v>
      </c>
      <c r="D41" s="41" t="str">
        <f>IFERROR(__xludf.DUMMYFUNCTION("""COMPUTED_VALUE"""),"Great Whites")</f>
        <v>Great Whites</v>
      </c>
      <c r="E41" s="136">
        <f>IFERROR(__xludf.DUMMYFUNCTION("""COMPUTED_VALUE"""),52.0)</f>
        <v>52</v>
      </c>
      <c r="F41" s="136">
        <f>IFERROR(__xludf.DUMMYFUNCTION("""COMPUTED_VALUE"""),34.0)</f>
        <v>34</v>
      </c>
      <c r="G41" s="136">
        <f>IFERROR(__xludf.DUMMYFUNCTION("""COMPUTED_VALUE"""),18.0)</f>
        <v>18</v>
      </c>
      <c r="H41" s="137">
        <f>IFERROR(__xludf.DUMMYFUNCTION("""COMPUTED_VALUE"""),0.6538461538461539)</f>
        <v>0.6538461538</v>
      </c>
      <c r="I41" s="136">
        <f>IFERROR(__xludf.DUMMYFUNCTION("""COMPUTED_VALUE"""),3.0)</f>
        <v>3</v>
      </c>
      <c r="J41" s="136">
        <f>IFERROR(__xludf.DUMMYFUNCTION("""COMPUTED_VALUE"""),18571.0)</f>
        <v>18571</v>
      </c>
      <c r="K41" s="136">
        <f>IFERROR(__xludf.DUMMYFUNCTION("""COMPUTED_VALUE"""),49.0)</f>
        <v>49</v>
      </c>
      <c r="L41" s="136">
        <f>IFERROR(__xludf.DUMMYFUNCTION("""COMPUTED_VALUE"""),36.0)</f>
        <v>36</v>
      </c>
      <c r="M41" s="136">
        <f>IFERROR(__xludf.DUMMYFUNCTION("""COMPUTED_VALUE"""),63.0)</f>
        <v>63</v>
      </c>
      <c r="N41" s="136">
        <f>IFERROR(__xludf.DUMMYFUNCTION("""COMPUTED_VALUE"""),145.0)</f>
        <v>145</v>
      </c>
      <c r="O41" s="138">
        <f>IFERROR(__xludf.DUMMYFUNCTION("""COMPUTED_VALUE"""),13.0)</f>
        <v>13</v>
      </c>
      <c r="P41" s="138">
        <f>IFERROR(__xludf.DUMMYFUNCTION("""COMPUTED_VALUE"""),2.0)</f>
        <v>2</v>
      </c>
      <c r="Q41" s="138">
        <f>IFERROR(__xludf.DUMMYFUNCTION("""COMPUTED_VALUE"""),1.0)</f>
        <v>1</v>
      </c>
      <c r="R41" s="138">
        <f>IFERROR(__xludf.DUMMYFUNCTION("""COMPUTED_VALUE"""),6.0)</f>
        <v>6</v>
      </c>
      <c r="S41" s="139">
        <f>IFERROR(__xludf.DUMMYFUNCTION("""COMPUTED_VALUE"""),367.0)</f>
        <v>367</v>
      </c>
      <c r="T41" s="140">
        <f>IFERROR(__xludf.DUMMYFUNCTION("""COMPUTED_VALUE"""),87.0)</f>
        <v>87</v>
      </c>
      <c r="U41" s="136">
        <f>IFERROR(__xludf.DUMMYFUNCTION("""COMPUTED_VALUE"""),24.0)</f>
        <v>24</v>
      </c>
      <c r="V41" s="136">
        <f>IFERROR(__xludf.DUMMYFUNCTION("""COMPUTED_VALUE"""),66.0)</f>
        <v>66</v>
      </c>
      <c r="W41" s="136">
        <f>IFERROR(__xludf.DUMMYFUNCTION("""COMPUTED_VALUE"""),48.0)</f>
        <v>48</v>
      </c>
      <c r="X41" s="136">
        <f>IFERROR(__xludf.DUMMYFUNCTION("""COMPUTED_VALUE"""),405.3076923076923)</f>
        <v>405.3076923</v>
      </c>
      <c r="Y41" s="141">
        <f>IFERROR(__xludf.DUMMYFUNCTION("""COMPUTED_VALUE"""),47.64538461538461)</f>
        <v>47.64538462</v>
      </c>
      <c r="Z41" s="141">
        <f>IFERROR(__xludf.DUMMYFUNCTION("""COMPUTED_VALUE"""),2414.826923076923)</f>
        <v>2414.826923</v>
      </c>
    </row>
    <row r="42">
      <c r="A42" s="41" t="str">
        <f>IFERROR(__xludf.DUMMYFUNCTION("""COMPUTED_VALUE"""),"Elite")</f>
        <v>Elite</v>
      </c>
      <c r="B42" s="41" t="str">
        <f>IFERROR(__xludf.DUMMYFUNCTION("""COMPUTED_VALUE"""),"RSC000626")</f>
        <v>RSC000626</v>
      </c>
      <c r="C42" s="41" t="str">
        <f>IFERROR(__xludf.DUMMYFUNCTION("""COMPUTED_VALUE"""),"Canadian Things")</f>
        <v>Canadian Things</v>
      </c>
      <c r="D42" s="41" t="str">
        <f>IFERROR(__xludf.DUMMYFUNCTION("""COMPUTED_VALUE"""),"Desolation
Gelato")</f>
        <v>Desolation
Gelato</v>
      </c>
      <c r="E42" s="136">
        <f>IFERROR(__xludf.DUMMYFUNCTION("""COMPUTED_VALUE"""),5.0)</f>
        <v>5</v>
      </c>
      <c r="F42" s="136">
        <f>IFERROR(__xludf.DUMMYFUNCTION("""COMPUTED_VALUE"""),2.0)</f>
        <v>2</v>
      </c>
      <c r="G42" s="136">
        <f>IFERROR(__xludf.DUMMYFUNCTION("""COMPUTED_VALUE"""),3.0)</f>
        <v>3</v>
      </c>
      <c r="H42" s="137">
        <f>IFERROR(__xludf.DUMMYFUNCTION("""COMPUTED_VALUE"""),0.4)</f>
        <v>0.4</v>
      </c>
      <c r="I42" s="136">
        <f>IFERROR(__xludf.DUMMYFUNCTION("""COMPUTED_VALUE"""),0.0)</f>
        <v>0</v>
      </c>
      <c r="J42" s="136">
        <f>IFERROR(__xludf.DUMMYFUNCTION("""COMPUTED_VALUE"""),1671.0)</f>
        <v>1671</v>
      </c>
      <c r="K42" s="136">
        <f>IFERROR(__xludf.DUMMYFUNCTION("""COMPUTED_VALUE"""),2.0)</f>
        <v>2</v>
      </c>
      <c r="L42" s="136">
        <f>IFERROR(__xludf.DUMMYFUNCTION("""COMPUTED_VALUE"""),3.0)</f>
        <v>3</v>
      </c>
      <c r="M42" s="136">
        <f>IFERROR(__xludf.DUMMYFUNCTION("""COMPUTED_VALUE"""),12.0)</f>
        <v>12</v>
      </c>
      <c r="N42" s="136">
        <f>IFERROR(__xludf.DUMMYFUNCTION("""COMPUTED_VALUE"""),8.0)</f>
        <v>8</v>
      </c>
      <c r="O42" s="138">
        <f>IFERROR(__xludf.DUMMYFUNCTION("""COMPUTED_VALUE"""),0.0)</f>
        <v>0</v>
      </c>
      <c r="P42" s="138">
        <f>IFERROR(__xludf.DUMMYFUNCTION("""COMPUTED_VALUE"""),0.0)</f>
        <v>0</v>
      </c>
      <c r="Q42" s="138">
        <f>IFERROR(__xludf.DUMMYFUNCTION("""COMPUTED_VALUE"""),0.0)</f>
        <v>0</v>
      </c>
      <c r="R42" s="138">
        <f>IFERROR(__xludf.DUMMYFUNCTION("""COMPUTED_VALUE"""),2.0)</f>
        <v>2</v>
      </c>
      <c r="S42" s="139">
        <f>IFERROR(__xludf.DUMMYFUNCTION("""COMPUTED_VALUE"""),47.0)</f>
        <v>47</v>
      </c>
      <c r="T42" s="140">
        <f>IFERROR(__xludf.DUMMYFUNCTION("""COMPUTED_VALUE"""),12.0)</f>
        <v>12</v>
      </c>
      <c r="U42" s="136">
        <f>IFERROR(__xludf.DUMMYFUNCTION("""COMPUTED_VALUE"""),7.0)</f>
        <v>7</v>
      </c>
      <c r="V42" s="136">
        <f>IFERROR(__xludf.DUMMYFUNCTION("""COMPUTED_VALUE"""),2.0)</f>
        <v>2</v>
      </c>
      <c r="W42" s="136">
        <f>IFERROR(__xludf.DUMMYFUNCTION("""COMPUTED_VALUE"""),2.0)</f>
        <v>2</v>
      </c>
      <c r="X42" s="136">
        <f>IFERROR(__xludf.DUMMYFUNCTION("""COMPUTED_VALUE"""),294.2)</f>
        <v>294.2</v>
      </c>
      <c r="Y42" s="141">
        <f>IFERROR(__xludf.DUMMYFUNCTION("""COMPUTED_VALUE"""),52.146)</f>
        <v>52.146</v>
      </c>
      <c r="Z42" s="141">
        <f>IFERROR(__xludf.DUMMYFUNCTION("""COMPUTED_VALUE"""),1814.0)</f>
        <v>1814</v>
      </c>
    </row>
    <row r="43">
      <c r="A43" s="41" t="str">
        <f>IFERROR(__xludf.DUMMYFUNCTION("""COMPUTED_VALUE"""),"Amateur")</f>
        <v>Amateur</v>
      </c>
      <c r="B43" s="41" t="str">
        <f>IFERROR(__xludf.DUMMYFUNCTION("""COMPUTED_VALUE"""),"RSC000654")</f>
        <v>RSC000654</v>
      </c>
      <c r="C43" s="41" t="str">
        <f>IFERROR(__xludf.DUMMYFUNCTION("""COMPUTED_VALUE"""),"Rocci")</f>
        <v>Rocci</v>
      </c>
      <c r="D43" s="41" t="str">
        <f>IFERROR(__xludf.DUMMYFUNCTION("""COMPUTED_VALUE"""),"Electric Eels")</f>
        <v>Electric Eels</v>
      </c>
      <c r="E43" s="136">
        <f>IFERROR(__xludf.DUMMYFUNCTION("""COMPUTED_VALUE"""),4.0)</f>
        <v>4</v>
      </c>
      <c r="F43" s="136">
        <f>IFERROR(__xludf.DUMMYFUNCTION("""COMPUTED_VALUE"""),2.0)</f>
        <v>2</v>
      </c>
      <c r="G43" s="136">
        <f>IFERROR(__xludf.DUMMYFUNCTION("""COMPUTED_VALUE"""),2.0)</f>
        <v>2</v>
      </c>
      <c r="H43" s="137">
        <f>IFERROR(__xludf.DUMMYFUNCTION("""COMPUTED_VALUE"""),0.5)</f>
        <v>0.5</v>
      </c>
      <c r="I43" s="136">
        <f>IFERROR(__xludf.DUMMYFUNCTION("""COMPUTED_VALUE"""),2.0)</f>
        <v>2</v>
      </c>
      <c r="J43" s="136">
        <f>IFERROR(__xludf.DUMMYFUNCTION("""COMPUTED_VALUE"""),1118.0)</f>
        <v>1118</v>
      </c>
      <c r="K43" s="136">
        <f>IFERROR(__xludf.DUMMYFUNCTION("""COMPUTED_VALUE"""),2.0)</f>
        <v>2</v>
      </c>
      <c r="L43" s="136">
        <f>IFERROR(__xludf.DUMMYFUNCTION("""COMPUTED_VALUE"""),1.0)</f>
        <v>1</v>
      </c>
      <c r="M43" s="136">
        <f>IFERROR(__xludf.DUMMYFUNCTION("""COMPUTED_VALUE"""),6.0)</f>
        <v>6</v>
      </c>
      <c r="N43" s="136">
        <f>IFERROR(__xludf.DUMMYFUNCTION("""COMPUTED_VALUE"""),5.0)</f>
        <v>5</v>
      </c>
      <c r="O43" s="138">
        <f>IFERROR(__xludf.DUMMYFUNCTION("""COMPUTED_VALUE"""),1.0)</f>
        <v>1</v>
      </c>
      <c r="P43" s="138">
        <f>IFERROR(__xludf.DUMMYFUNCTION("""COMPUTED_VALUE"""),0.0)</f>
        <v>0</v>
      </c>
      <c r="Q43" s="138">
        <f>IFERROR(__xludf.DUMMYFUNCTION("""COMPUTED_VALUE"""),0.0)</f>
        <v>0</v>
      </c>
      <c r="R43" s="138">
        <f>IFERROR(__xludf.DUMMYFUNCTION("""COMPUTED_VALUE"""),1.0)</f>
        <v>1</v>
      </c>
      <c r="S43" s="139">
        <f>IFERROR(__xludf.DUMMYFUNCTION("""COMPUTED_VALUE"""),15.0)</f>
        <v>15</v>
      </c>
      <c r="T43" s="140">
        <f>IFERROR(__xludf.DUMMYFUNCTION("""COMPUTED_VALUE"""),2.0)</f>
        <v>2</v>
      </c>
      <c r="U43" s="136">
        <f>IFERROR(__xludf.DUMMYFUNCTION("""COMPUTED_VALUE"""),1.0)</f>
        <v>1</v>
      </c>
      <c r="V43" s="136">
        <f>IFERROR(__xludf.DUMMYFUNCTION("""COMPUTED_VALUE"""),1.0)</f>
        <v>1</v>
      </c>
      <c r="W43" s="136">
        <f>IFERROR(__xludf.DUMMYFUNCTION("""COMPUTED_VALUE"""),0.0)</f>
        <v>0</v>
      </c>
      <c r="X43" s="139">
        <f>IFERROR(__xludf.DUMMYFUNCTION("""COMPUTED_VALUE"""),270.0)</f>
        <v>270</v>
      </c>
      <c r="Y43" s="141">
        <f>IFERROR(__xludf.DUMMYFUNCTION("""COMPUTED_VALUE"""),52.43)</f>
        <v>52.43</v>
      </c>
      <c r="Z43" s="141">
        <f>IFERROR(__xludf.DUMMYFUNCTION("""COMPUTED_VALUE"""),1496.0)</f>
        <v>1496</v>
      </c>
    </row>
    <row r="44">
      <c r="A44" s="41" t="str">
        <f>IFERROR(__xludf.DUMMYFUNCTION("""COMPUTED_VALUE"""),"Premier")</f>
        <v>Premier</v>
      </c>
      <c r="B44" s="41" t="str">
        <f>IFERROR(__xludf.DUMMYFUNCTION("""COMPUTED_VALUE"""),"RSC000657")</f>
        <v>RSC000657</v>
      </c>
      <c r="C44" s="41" t="str">
        <f>IFERROR(__xludf.DUMMYFUNCTION("""COMPUTED_VALUE"""),"Saucey")</f>
        <v>Saucey</v>
      </c>
      <c r="D44" s="41" t="str">
        <f>IFERROR(__xludf.DUMMYFUNCTION("""COMPUTED_VALUE"""),"Feta Forgers")</f>
        <v>Feta Forgers</v>
      </c>
      <c r="E44" s="136">
        <f>IFERROR(__xludf.DUMMYFUNCTION("""COMPUTED_VALUE"""),2.0)</f>
        <v>2</v>
      </c>
      <c r="F44" s="136">
        <f>IFERROR(__xludf.DUMMYFUNCTION("""COMPUTED_VALUE"""),0.0)</f>
        <v>0</v>
      </c>
      <c r="G44" s="136">
        <f>IFERROR(__xludf.DUMMYFUNCTION("""COMPUTED_VALUE"""),2.0)</f>
        <v>2</v>
      </c>
      <c r="H44" s="137">
        <f>IFERROR(__xludf.DUMMYFUNCTION("""COMPUTED_VALUE"""),0.0)</f>
        <v>0</v>
      </c>
      <c r="I44" s="136">
        <f>IFERROR(__xludf.DUMMYFUNCTION("""COMPUTED_VALUE"""),0.0)</f>
        <v>0</v>
      </c>
      <c r="J44" s="136">
        <f>IFERROR(__xludf.DUMMYFUNCTION("""COMPUTED_VALUE"""),606.0)</f>
        <v>606</v>
      </c>
      <c r="K44" s="136">
        <f>IFERROR(__xludf.DUMMYFUNCTION("""COMPUTED_VALUE"""),1.0)</f>
        <v>1</v>
      </c>
      <c r="L44" s="136">
        <f>IFERROR(__xludf.DUMMYFUNCTION("""COMPUTED_VALUE"""),1.0)</f>
        <v>1</v>
      </c>
      <c r="M44" s="136">
        <f>IFERROR(__xludf.DUMMYFUNCTION("""COMPUTED_VALUE"""),3.0)</f>
        <v>3</v>
      </c>
      <c r="N44" s="136">
        <f>IFERROR(__xludf.DUMMYFUNCTION("""COMPUTED_VALUE"""),4.0)</f>
        <v>4</v>
      </c>
      <c r="O44" s="138">
        <f>IFERROR(__xludf.DUMMYFUNCTION("""COMPUTED_VALUE"""),0.0)</f>
        <v>0</v>
      </c>
      <c r="P44" s="138">
        <f>IFERROR(__xludf.DUMMYFUNCTION("""COMPUTED_VALUE"""),0.0)</f>
        <v>0</v>
      </c>
      <c r="Q44" s="138">
        <f>IFERROR(__xludf.DUMMYFUNCTION("""COMPUTED_VALUE"""),0.0)</f>
        <v>0</v>
      </c>
      <c r="R44" s="138">
        <f>IFERROR(__xludf.DUMMYFUNCTION("""COMPUTED_VALUE"""),1.0)</f>
        <v>1</v>
      </c>
      <c r="S44" s="139">
        <f>IFERROR(__xludf.DUMMYFUNCTION("""COMPUTED_VALUE"""),21.0)</f>
        <v>21</v>
      </c>
      <c r="T44" s="140">
        <f>IFERROR(__xludf.DUMMYFUNCTION("""COMPUTED_VALUE"""),7.0)</f>
        <v>7</v>
      </c>
      <c r="U44" s="136">
        <f>IFERROR(__xludf.DUMMYFUNCTION("""COMPUTED_VALUE"""),5.0)</f>
        <v>5</v>
      </c>
      <c r="V44" s="136">
        <f>IFERROR(__xludf.DUMMYFUNCTION("""COMPUTED_VALUE"""),1.0)</f>
        <v>1</v>
      </c>
      <c r="W44" s="136">
        <f>IFERROR(__xludf.DUMMYFUNCTION("""COMPUTED_VALUE"""),5.0)</f>
        <v>5</v>
      </c>
      <c r="X44" s="136">
        <f>IFERROR(__xludf.DUMMYFUNCTION("""COMPUTED_VALUE"""),430.0)</f>
        <v>430</v>
      </c>
      <c r="Y44" s="141">
        <f>IFERROR(__xludf.DUMMYFUNCTION("""COMPUTED_VALUE"""),46.205)</f>
        <v>46.205</v>
      </c>
      <c r="Z44" s="141">
        <f>IFERROR(__xludf.DUMMYFUNCTION("""COMPUTED_VALUE"""),2404.0)</f>
        <v>2404</v>
      </c>
    </row>
    <row r="45">
      <c r="A45" s="41" t="str">
        <f>IFERROR(__xludf.DUMMYFUNCTION("""COMPUTED_VALUE"""),"Master")</f>
        <v>Master</v>
      </c>
      <c r="B45" s="41" t="str">
        <f>IFERROR(__xludf.DUMMYFUNCTION("""COMPUTED_VALUE"""),"RSC000657")</f>
        <v>RSC000657</v>
      </c>
      <c r="C45" s="41" t="str">
        <f>IFERROR(__xludf.DUMMYFUNCTION("""COMPUTED_VALUE"""),"Saucey")</f>
        <v>Saucey</v>
      </c>
      <c r="D45" s="41" t="str">
        <f>IFERROR(__xludf.DUMMYFUNCTION("""COMPUTED_VALUE"""),"Fromunda Frauds")</f>
        <v>Fromunda Frauds</v>
      </c>
      <c r="E45" s="136">
        <f>IFERROR(__xludf.DUMMYFUNCTION("""COMPUTED_VALUE"""),48.0)</f>
        <v>48</v>
      </c>
      <c r="F45" s="136">
        <f>IFERROR(__xludf.DUMMYFUNCTION("""COMPUTED_VALUE"""),31.0)</f>
        <v>31</v>
      </c>
      <c r="G45" s="136">
        <f>IFERROR(__xludf.DUMMYFUNCTION("""COMPUTED_VALUE"""),17.0)</f>
        <v>17</v>
      </c>
      <c r="H45" s="137">
        <f>IFERROR(__xludf.DUMMYFUNCTION("""COMPUTED_VALUE"""),0.6458333333333334)</f>
        <v>0.6458333333</v>
      </c>
      <c r="I45" s="136">
        <f>IFERROR(__xludf.DUMMYFUNCTION("""COMPUTED_VALUE"""),11.0)</f>
        <v>11</v>
      </c>
      <c r="J45" s="136">
        <f>IFERROR(__xludf.DUMMYFUNCTION("""COMPUTED_VALUE"""),14457.0)</f>
        <v>14457</v>
      </c>
      <c r="K45" s="136">
        <f>IFERROR(__xludf.DUMMYFUNCTION("""COMPUTED_VALUE"""),24.0)</f>
        <v>24</v>
      </c>
      <c r="L45" s="136">
        <f>IFERROR(__xludf.DUMMYFUNCTION("""COMPUTED_VALUE"""),35.0)</f>
        <v>35</v>
      </c>
      <c r="M45" s="136">
        <f>IFERROR(__xludf.DUMMYFUNCTION("""COMPUTED_VALUE"""),56.0)</f>
        <v>56</v>
      </c>
      <c r="N45" s="136">
        <f>IFERROR(__xludf.DUMMYFUNCTION("""COMPUTED_VALUE"""),113.0)</f>
        <v>113</v>
      </c>
      <c r="O45" s="138">
        <f>IFERROR(__xludf.DUMMYFUNCTION("""COMPUTED_VALUE"""),8.0)</f>
        <v>8</v>
      </c>
      <c r="P45" s="138">
        <f>IFERROR(__xludf.DUMMYFUNCTION("""COMPUTED_VALUE"""),0.0)</f>
        <v>0</v>
      </c>
      <c r="Q45" s="138">
        <f>IFERROR(__xludf.DUMMYFUNCTION("""COMPUTED_VALUE"""),4.0)</f>
        <v>4</v>
      </c>
      <c r="R45" s="138">
        <f>IFERROR(__xludf.DUMMYFUNCTION("""COMPUTED_VALUE"""),8.0)</f>
        <v>8</v>
      </c>
      <c r="S45" s="139">
        <f>IFERROR(__xludf.DUMMYFUNCTION("""COMPUTED_VALUE"""),314.0)</f>
        <v>314</v>
      </c>
      <c r="T45" s="140">
        <f>IFERROR(__xludf.DUMMYFUNCTION("""COMPUTED_VALUE"""),87.0)</f>
        <v>87</v>
      </c>
      <c r="U45" s="136">
        <f>IFERROR(__xludf.DUMMYFUNCTION("""COMPUTED_VALUE"""),31.0)</f>
        <v>31</v>
      </c>
      <c r="V45" s="136">
        <f>IFERROR(__xludf.DUMMYFUNCTION("""COMPUTED_VALUE"""),57.0)</f>
        <v>57</v>
      </c>
      <c r="W45" s="136">
        <f>IFERROR(__xludf.DUMMYFUNCTION("""COMPUTED_VALUE"""),45.0)</f>
        <v>45</v>
      </c>
      <c r="X45" s="136">
        <f>IFERROR(__xludf.DUMMYFUNCTION("""COMPUTED_VALUE"""),439.6363636363636)</f>
        <v>439.6363636</v>
      </c>
      <c r="Y45" s="141">
        <f>IFERROR(__xludf.DUMMYFUNCTION("""COMPUTED_VALUE"""),50.861590909090886)</f>
        <v>50.86159091</v>
      </c>
      <c r="Z45" s="141">
        <f>IFERROR(__xludf.DUMMYFUNCTION("""COMPUTED_VALUE"""),2645.75)</f>
        <v>2645.75</v>
      </c>
    </row>
    <row r="46">
      <c r="A46" s="41" t="str">
        <f>IFERROR(__xludf.DUMMYFUNCTION("""COMPUTED_VALUE"""),"Elite")</f>
        <v>Elite</v>
      </c>
      <c r="B46" s="41" t="str">
        <f>IFERROR(__xludf.DUMMYFUNCTION("""COMPUTED_VALUE"""),"RSC000666")</f>
        <v>RSC000666</v>
      </c>
      <c r="C46" s="41" t="str">
        <f>IFERROR(__xludf.DUMMYFUNCTION("""COMPUTED_VALUE"""),"AEB311")</f>
        <v>AEB311</v>
      </c>
      <c r="D46" s="41" t="str">
        <f>IFERROR(__xludf.DUMMYFUNCTION("""COMPUTED_VALUE"""),"Despair")</f>
        <v>Despair</v>
      </c>
      <c r="E46" s="136">
        <f>IFERROR(__xludf.DUMMYFUNCTION("""COMPUTED_VALUE"""),52.0)</f>
        <v>52</v>
      </c>
      <c r="F46" s="136">
        <f>IFERROR(__xludf.DUMMYFUNCTION("""COMPUTED_VALUE"""),32.0)</f>
        <v>32</v>
      </c>
      <c r="G46" s="136">
        <f>IFERROR(__xludf.DUMMYFUNCTION("""COMPUTED_VALUE"""),20.0)</f>
        <v>20</v>
      </c>
      <c r="H46" s="137">
        <f>IFERROR(__xludf.DUMMYFUNCTION("""COMPUTED_VALUE"""),0.6153846153846154)</f>
        <v>0.6153846154</v>
      </c>
      <c r="I46" s="136">
        <f>IFERROR(__xludf.DUMMYFUNCTION("""COMPUTED_VALUE"""),5.0)</f>
        <v>5</v>
      </c>
      <c r="J46" s="136">
        <f>IFERROR(__xludf.DUMMYFUNCTION("""COMPUTED_VALUE"""),17909.0)</f>
        <v>17909</v>
      </c>
      <c r="K46" s="136">
        <f>IFERROR(__xludf.DUMMYFUNCTION("""COMPUTED_VALUE"""),42.0)</f>
        <v>42</v>
      </c>
      <c r="L46" s="136">
        <f>IFERROR(__xludf.DUMMYFUNCTION("""COMPUTED_VALUE"""),39.0)</f>
        <v>39</v>
      </c>
      <c r="M46" s="136">
        <f>IFERROR(__xludf.DUMMYFUNCTION("""COMPUTED_VALUE"""),54.0)</f>
        <v>54</v>
      </c>
      <c r="N46" s="136">
        <f>IFERROR(__xludf.DUMMYFUNCTION("""COMPUTED_VALUE"""),146.0)</f>
        <v>146</v>
      </c>
      <c r="O46" s="138">
        <f>IFERROR(__xludf.DUMMYFUNCTION("""COMPUTED_VALUE"""),15.0)</f>
        <v>15</v>
      </c>
      <c r="P46" s="138">
        <f>IFERROR(__xludf.DUMMYFUNCTION("""COMPUTED_VALUE"""),3.0)</f>
        <v>3</v>
      </c>
      <c r="Q46" s="138">
        <f>IFERROR(__xludf.DUMMYFUNCTION("""COMPUTED_VALUE"""),0.0)</f>
        <v>0</v>
      </c>
      <c r="R46" s="138">
        <f>IFERROR(__xludf.DUMMYFUNCTION("""COMPUTED_VALUE"""),6.0)</f>
        <v>6</v>
      </c>
      <c r="S46" s="139">
        <f>IFERROR(__xludf.DUMMYFUNCTION("""COMPUTED_VALUE"""),371.0)</f>
        <v>371</v>
      </c>
      <c r="T46" s="140">
        <f>IFERROR(__xludf.DUMMYFUNCTION("""COMPUTED_VALUE"""),120.0)</f>
        <v>120</v>
      </c>
      <c r="U46" s="136">
        <f>IFERROR(__xludf.DUMMYFUNCTION("""COMPUTED_VALUE"""),38.0)</f>
        <v>38</v>
      </c>
      <c r="V46" s="136">
        <f>IFERROR(__xludf.DUMMYFUNCTION("""COMPUTED_VALUE"""),21.0)</f>
        <v>21</v>
      </c>
      <c r="W46" s="136">
        <f>IFERROR(__xludf.DUMMYFUNCTION("""COMPUTED_VALUE"""),63.0)</f>
        <v>63</v>
      </c>
      <c r="X46" s="136">
        <f>IFERROR(__xludf.DUMMYFUNCTION("""COMPUTED_VALUE"""),382.8269230769231)</f>
        <v>382.8269231</v>
      </c>
      <c r="Y46" s="141">
        <f>IFERROR(__xludf.DUMMYFUNCTION("""COMPUTED_VALUE"""),48.67173076923078)</f>
        <v>48.67173077</v>
      </c>
      <c r="Z46" s="141">
        <f>IFERROR(__xludf.DUMMYFUNCTION("""COMPUTED_VALUE"""),2373.0576923076924)</f>
        <v>2373.057692</v>
      </c>
    </row>
    <row r="47">
      <c r="A47" s="41" t="str">
        <f>IFERROR(__xludf.DUMMYFUNCTION("""COMPUTED_VALUE"""),"Prospect")</f>
        <v>Prospect</v>
      </c>
      <c r="B47" s="41" t="str">
        <f>IFERROR(__xludf.DUMMYFUNCTION("""COMPUTED_VALUE"""),"RSC000686")</f>
        <v>RSC000686</v>
      </c>
      <c r="C47" s="41" t="str">
        <f>IFERROR(__xludf.DUMMYFUNCTION("""COMPUTED_VALUE"""),"mom jeans xl")</f>
        <v>mom jeans xl</v>
      </c>
      <c r="D47" s="41" t="str">
        <f>IFERROR(__xludf.DUMMYFUNCTION("""COMPUTED_VALUE"""),"Blacktips")</f>
        <v>Blacktips</v>
      </c>
      <c r="E47" s="136">
        <f>IFERROR(__xludf.DUMMYFUNCTION("""COMPUTED_VALUE"""),44.0)</f>
        <v>44</v>
      </c>
      <c r="F47" s="136">
        <f>IFERROR(__xludf.DUMMYFUNCTION("""COMPUTED_VALUE"""),32.0)</f>
        <v>32</v>
      </c>
      <c r="G47" s="136">
        <f>IFERROR(__xludf.DUMMYFUNCTION("""COMPUTED_VALUE"""),12.0)</f>
        <v>12</v>
      </c>
      <c r="H47" s="137">
        <f>IFERROR(__xludf.DUMMYFUNCTION("""COMPUTED_VALUE"""),0.7272727272727273)</f>
        <v>0.7272727273</v>
      </c>
      <c r="I47" s="136">
        <f>IFERROR(__xludf.DUMMYFUNCTION("""COMPUTED_VALUE"""),11.0)</f>
        <v>11</v>
      </c>
      <c r="J47" s="136">
        <f>IFERROR(__xludf.DUMMYFUNCTION("""COMPUTED_VALUE"""),14308.0)</f>
        <v>14308</v>
      </c>
      <c r="K47" s="136">
        <f>IFERROR(__xludf.DUMMYFUNCTION("""COMPUTED_VALUE"""),40.0)</f>
        <v>40</v>
      </c>
      <c r="L47" s="136">
        <f>IFERROR(__xludf.DUMMYFUNCTION("""COMPUTED_VALUE"""),23.0)</f>
        <v>23</v>
      </c>
      <c r="M47" s="136">
        <f>IFERROR(__xludf.DUMMYFUNCTION("""COMPUTED_VALUE"""),36.0)</f>
        <v>36</v>
      </c>
      <c r="N47" s="136">
        <f>IFERROR(__xludf.DUMMYFUNCTION("""COMPUTED_VALUE"""),128.0)</f>
        <v>128</v>
      </c>
      <c r="O47" s="138">
        <f>IFERROR(__xludf.DUMMYFUNCTION("""COMPUTED_VALUE"""),4.0)</f>
        <v>4</v>
      </c>
      <c r="P47" s="138">
        <f>IFERROR(__xludf.DUMMYFUNCTION("""COMPUTED_VALUE"""),6.0)</f>
        <v>6</v>
      </c>
      <c r="Q47" s="138">
        <f>IFERROR(__xludf.DUMMYFUNCTION("""COMPUTED_VALUE"""),1.0)</f>
        <v>1</v>
      </c>
      <c r="R47" s="138">
        <f>IFERROR(__xludf.DUMMYFUNCTION("""COMPUTED_VALUE"""),3.0)</f>
        <v>3</v>
      </c>
      <c r="S47" s="139">
        <f>IFERROR(__xludf.DUMMYFUNCTION("""COMPUTED_VALUE"""),278.0)</f>
        <v>278</v>
      </c>
      <c r="T47" s="140">
        <f>IFERROR(__xludf.DUMMYFUNCTION("""COMPUTED_VALUE"""),81.0)</f>
        <v>81</v>
      </c>
      <c r="U47" s="136">
        <f>IFERROR(__xludf.DUMMYFUNCTION("""COMPUTED_VALUE"""),17.0)</f>
        <v>17</v>
      </c>
      <c r="V47" s="136">
        <f>IFERROR(__xludf.DUMMYFUNCTION("""COMPUTED_VALUE"""),47.0)</f>
        <v>47</v>
      </c>
      <c r="W47" s="136">
        <f>IFERROR(__xludf.DUMMYFUNCTION("""COMPUTED_VALUE"""),58.0)</f>
        <v>58</v>
      </c>
      <c r="X47" s="136">
        <f>IFERROR(__xludf.DUMMYFUNCTION("""COMPUTED_VALUE"""),384.3181818181818)</f>
        <v>384.3181818</v>
      </c>
      <c r="Y47" s="141">
        <f>IFERROR(__xludf.DUMMYFUNCTION("""COMPUTED_VALUE"""),52.8931818181818)</f>
        <v>52.89318182</v>
      </c>
      <c r="Z47" s="141">
        <f>IFERROR(__xludf.DUMMYFUNCTION("""COMPUTED_VALUE"""),2340.681818181818)</f>
        <v>2340.681818</v>
      </c>
    </row>
    <row r="48">
      <c r="A48" s="41" t="str">
        <f>IFERROR(__xludf.DUMMYFUNCTION("""COMPUTED_VALUE"""),"Elite")</f>
        <v>Elite</v>
      </c>
      <c r="B48" s="41" t="str">
        <f>IFERROR(__xludf.DUMMYFUNCTION("""COMPUTED_VALUE"""),"RSC000690")</f>
        <v>RSC000690</v>
      </c>
      <c r="C48" s="41" t="str">
        <f>IFERROR(__xludf.DUMMYFUNCTION("""COMPUTED_VALUE"""),"paco")</f>
        <v>paco</v>
      </c>
      <c r="D48" s="41" t="str">
        <f>IFERROR(__xludf.DUMMYFUNCTION("""COMPUTED_VALUE"""),"Drive-by")</f>
        <v>Drive-by</v>
      </c>
      <c r="E48" s="136">
        <f>IFERROR(__xludf.DUMMYFUNCTION("""COMPUTED_VALUE"""),11.0)</f>
        <v>11</v>
      </c>
      <c r="F48" s="136">
        <f>IFERROR(__xludf.DUMMYFUNCTION("""COMPUTED_VALUE"""),3.0)</f>
        <v>3</v>
      </c>
      <c r="G48" s="136">
        <f>IFERROR(__xludf.DUMMYFUNCTION("""COMPUTED_VALUE"""),8.0)</f>
        <v>8</v>
      </c>
      <c r="H48" s="137">
        <f>IFERROR(__xludf.DUMMYFUNCTION("""COMPUTED_VALUE"""),0.2727272727272727)</f>
        <v>0.2727272727</v>
      </c>
      <c r="I48" s="136">
        <f>IFERROR(__xludf.DUMMYFUNCTION("""COMPUTED_VALUE"""),3.0)</f>
        <v>3</v>
      </c>
      <c r="J48" s="136">
        <f>IFERROR(__xludf.DUMMYFUNCTION("""COMPUTED_VALUE"""),3622.0)</f>
        <v>3622</v>
      </c>
      <c r="K48" s="136">
        <f>IFERROR(__xludf.DUMMYFUNCTION("""COMPUTED_VALUE"""),8.0)</f>
        <v>8</v>
      </c>
      <c r="L48" s="136">
        <f>IFERROR(__xludf.DUMMYFUNCTION("""COMPUTED_VALUE"""),2.0)</f>
        <v>2</v>
      </c>
      <c r="M48" s="136">
        <f>IFERROR(__xludf.DUMMYFUNCTION("""COMPUTED_VALUE"""),17.0)</f>
        <v>17</v>
      </c>
      <c r="N48" s="136">
        <f>IFERROR(__xludf.DUMMYFUNCTION("""COMPUTED_VALUE"""),24.0)</f>
        <v>24</v>
      </c>
      <c r="O48" s="138">
        <f>IFERROR(__xludf.DUMMYFUNCTION("""COMPUTED_VALUE"""),0.0)</f>
        <v>0</v>
      </c>
      <c r="P48" s="138">
        <f>IFERROR(__xludf.DUMMYFUNCTION("""COMPUTED_VALUE"""),1.0)</f>
        <v>1</v>
      </c>
      <c r="Q48" s="138">
        <f>IFERROR(__xludf.DUMMYFUNCTION("""COMPUTED_VALUE"""),0.0)</f>
        <v>0</v>
      </c>
      <c r="R48" s="138">
        <f>IFERROR(__xludf.DUMMYFUNCTION("""COMPUTED_VALUE"""),2.0)</f>
        <v>2</v>
      </c>
      <c r="S48" s="139">
        <f>IFERROR(__xludf.DUMMYFUNCTION("""COMPUTED_VALUE"""),104.0)</f>
        <v>104</v>
      </c>
      <c r="T48" s="140">
        <f>IFERROR(__xludf.DUMMYFUNCTION("""COMPUTED_VALUE"""),27.0)</f>
        <v>27</v>
      </c>
      <c r="U48" s="136">
        <f>IFERROR(__xludf.DUMMYFUNCTION("""COMPUTED_VALUE"""),5.0)</f>
        <v>5</v>
      </c>
      <c r="V48" s="136">
        <f>IFERROR(__xludf.DUMMYFUNCTION("""COMPUTED_VALUE"""),13.0)</f>
        <v>13</v>
      </c>
      <c r="W48" s="136">
        <f>IFERROR(__xludf.DUMMYFUNCTION("""COMPUTED_VALUE"""),11.0)</f>
        <v>11</v>
      </c>
      <c r="X48" s="136">
        <f>IFERROR(__xludf.DUMMYFUNCTION("""COMPUTED_VALUE"""),330.6363636363636)</f>
        <v>330.6363636</v>
      </c>
      <c r="Y48" s="141">
        <f>IFERROR(__xludf.DUMMYFUNCTION("""COMPUTED_VALUE"""),50.41363636363637)</f>
        <v>50.41363636</v>
      </c>
      <c r="Z48" s="141">
        <f>IFERROR(__xludf.DUMMYFUNCTION("""COMPUTED_VALUE"""),2009.909090909091)</f>
        <v>2009.909091</v>
      </c>
    </row>
    <row r="49">
      <c r="A49" s="41" t="str">
        <f>IFERROR(__xludf.DUMMYFUNCTION("""COMPUTED_VALUE"""),"Master")</f>
        <v>Master</v>
      </c>
      <c r="B49" s="41" t="str">
        <f>IFERROR(__xludf.DUMMYFUNCTION("""COMPUTED_VALUE"""),"RSC000714")</f>
        <v>RSC000714</v>
      </c>
      <c r="C49" s="41" t="str">
        <f>IFERROR(__xludf.DUMMYFUNCTION("""COMPUTED_VALUE"""),"duffy")</f>
        <v>duffy</v>
      </c>
      <c r="D49" s="41" t="str">
        <f>IFERROR(__xludf.DUMMYFUNCTION("""COMPUTED_VALUE"""),"Kawaii")</f>
        <v>Kawaii</v>
      </c>
      <c r="E49" s="136">
        <f>IFERROR(__xludf.DUMMYFUNCTION("""COMPUTED_VALUE"""),12.0)</f>
        <v>12</v>
      </c>
      <c r="F49" s="136">
        <f>IFERROR(__xludf.DUMMYFUNCTION("""COMPUTED_VALUE"""),5.0)</f>
        <v>5</v>
      </c>
      <c r="G49" s="136">
        <f>IFERROR(__xludf.DUMMYFUNCTION("""COMPUTED_VALUE"""),7.0)</f>
        <v>7</v>
      </c>
      <c r="H49" s="137">
        <f>IFERROR(__xludf.DUMMYFUNCTION("""COMPUTED_VALUE"""),0.4166666666666667)</f>
        <v>0.4166666667</v>
      </c>
      <c r="I49" s="136">
        <f>IFERROR(__xludf.DUMMYFUNCTION("""COMPUTED_VALUE"""),2.0)</f>
        <v>2</v>
      </c>
      <c r="J49" s="136">
        <f>IFERROR(__xludf.DUMMYFUNCTION("""COMPUTED_VALUE"""),4325.0)</f>
        <v>4325</v>
      </c>
      <c r="K49" s="136">
        <f>IFERROR(__xludf.DUMMYFUNCTION("""COMPUTED_VALUE"""),10.0)</f>
        <v>10</v>
      </c>
      <c r="L49" s="136">
        <f>IFERROR(__xludf.DUMMYFUNCTION("""COMPUTED_VALUE"""),5.0)</f>
        <v>5</v>
      </c>
      <c r="M49" s="136">
        <f>IFERROR(__xludf.DUMMYFUNCTION("""COMPUTED_VALUE"""),9.0)</f>
        <v>9</v>
      </c>
      <c r="N49" s="136">
        <f>IFERROR(__xludf.DUMMYFUNCTION("""COMPUTED_VALUE"""),44.0)</f>
        <v>44</v>
      </c>
      <c r="O49" s="138">
        <f>IFERROR(__xludf.DUMMYFUNCTION("""COMPUTED_VALUE"""),2.0)</f>
        <v>2</v>
      </c>
      <c r="P49" s="138">
        <f>IFERROR(__xludf.DUMMYFUNCTION("""COMPUTED_VALUE"""),1.0)</f>
        <v>1</v>
      </c>
      <c r="Q49" s="138">
        <f>IFERROR(__xludf.DUMMYFUNCTION("""COMPUTED_VALUE"""),0.0)</f>
        <v>0</v>
      </c>
      <c r="R49" s="138">
        <f>IFERROR(__xludf.DUMMYFUNCTION("""COMPUTED_VALUE"""),0.0)</f>
        <v>0</v>
      </c>
      <c r="S49" s="139">
        <f>IFERROR(__xludf.DUMMYFUNCTION("""COMPUTED_VALUE"""),92.0)</f>
        <v>92</v>
      </c>
      <c r="T49" s="140">
        <f>IFERROR(__xludf.DUMMYFUNCTION("""COMPUTED_VALUE"""),33.0)</f>
        <v>33</v>
      </c>
      <c r="U49" s="136">
        <f>IFERROR(__xludf.DUMMYFUNCTION("""COMPUTED_VALUE"""),11.0)</f>
        <v>11</v>
      </c>
      <c r="V49" s="136">
        <f>IFERROR(__xludf.DUMMYFUNCTION("""COMPUTED_VALUE"""),14.0)</f>
        <v>14</v>
      </c>
      <c r="W49" s="136">
        <f>IFERROR(__xludf.DUMMYFUNCTION("""COMPUTED_VALUE"""),8.0)</f>
        <v>8</v>
      </c>
      <c r="X49" s="136">
        <f>IFERROR(__xludf.DUMMYFUNCTION("""COMPUTED_VALUE"""),464.5833333333333)</f>
        <v>464.5833333</v>
      </c>
      <c r="Y49" s="141">
        <f>IFERROR(__xludf.DUMMYFUNCTION("""COMPUTED_VALUE"""),51.01499999999999)</f>
        <v>51.015</v>
      </c>
      <c r="Z49" s="141">
        <f>IFERROR(__xludf.DUMMYFUNCTION("""COMPUTED_VALUE"""),2941.8333333333335)</f>
        <v>2941.833333</v>
      </c>
    </row>
    <row r="50">
      <c r="A50" s="41" t="str">
        <f>IFERROR(__xludf.DUMMYFUNCTION("""COMPUTED_VALUE"""),"Veteran")</f>
        <v>Veteran</v>
      </c>
      <c r="B50" s="41" t="str">
        <f>IFERROR(__xludf.DUMMYFUNCTION("""COMPUTED_VALUE"""),"RSC000724")</f>
        <v>RSC000724</v>
      </c>
      <c r="C50" s="41" t="str">
        <f>IFERROR(__xludf.DUMMYFUNCTION("""COMPUTED_VALUE"""),"dunnie14")</f>
        <v>dunnie14</v>
      </c>
      <c r="D50" s="41" t="str">
        <f>IFERROR(__xludf.DUMMYFUNCTION("""COMPUTED_VALUE"""),"White Collars
Folks")</f>
        <v>White Collars
Folks</v>
      </c>
      <c r="E50" s="136">
        <f>IFERROR(__xludf.DUMMYFUNCTION("""COMPUTED_VALUE"""),41.0)</f>
        <v>41</v>
      </c>
      <c r="F50" s="136">
        <f>IFERROR(__xludf.DUMMYFUNCTION("""COMPUTED_VALUE"""),18.0)</f>
        <v>18</v>
      </c>
      <c r="G50" s="136">
        <f>IFERROR(__xludf.DUMMYFUNCTION("""COMPUTED_VALUE"""),23.0)</f>
        <v>23</v>
      </c>
      <c r="H50" s="137">
        <f>IFERROR(__xludf.DUMMYFUNCTION("""COMPUTED_VALUE"""),0.43902439024390244)</f>
        <v>0.4390243902</v>
      </c>
      <c r="I50" s="136">
        <f>IFERROR(__xludf.DUMMYFUNCTION("""COMPUTED_VALUE"""),5.0)</f>
        <v>5</v>
      </c>
      <c r="J50" s="136">
        <f>IFERROR(__xludf.DUMMYFUNCTION("""COMPUTED_VALUE"""),14915.0)</f>
        <v>14915</v>
      </c>
      <c r="K50" s="136">
        <f>IFERROR(__xludf.DUMMYFUNCTION("""COMPUTED_VALUE"""),25.0)</f>
        <v>25</v>
      </c>
      <c r="L50" s="136">
        <f>IFERROR(__xludf.DUMMYFUNCTION("""COMPUTED_VALUE"""),23.0)</f>
        <v>23</v>
      </c>
      <c r="M50" s="136">
        <f>IFERROR(__xludf.DUMMYFUNCTION("""COMPUTED_VALUE"""),74.0)</f>
        <v>74</v>
      </c>
      <c r="N50" s="136">
        <f>IFERROR(__xludf.DUMMYFUNCTION("""COMPUTED_VALUE"""),84.0)</f>
        <v>84</v>
      </c>
      <c r="O50" s="138">
        <f>IFERROR(__xludf.DUMMYFUNCTION("""COMPUTED_VALUE"""),6.0)</f>
        <v>6</v>
      </c>
      <c r="P50" s="138">
        <f>IFERROR(__xludf.DUMMYFUNCTION("""COMPUTED_VALUE"""),0.0)</f>
        <v>0</v>
      </c>
      <c r="Q50" s="138">
        <f>IFERROR(__xludf.DUMMYFUNCTION("""COMPUTED_VALUE"""),0.0)</f>
        <v>0</v>
      </c>
      <c r="R50" s="138">
        <f>IFERROR(__xludf.DUMMYFUNCTION("""COMPUTED_VALUE"""),14.0)</f>
        <v>14</v>
      </c>
      <c r="S50" s="139">
        <f>IFERROR(__xludf.DUMMYFUNCTION("""COMPUTED_VALUE"""),334.0)</f>
        <v>334</v>
      </c>
      <c r="T50" s="140">
        <f>IFERROR(__xludf.DUMMYFUNCTION("""COMPUTED_VALUE"""),92.0)</f>
        <v>92</v>
      </c>
      <c r="U50" s="136">
        <f>IFERROR(__xludf.DUMMYFUNCTION("""COMPUTED_VALUE"""),35.0)</f>
        <v>35</v>
      </c>
      <c r="V50" s="136">
        <f>IFERROR(__xludf.DUMMYFUNCTION("""COMPUTED_VALUE"""),24.0)</f>
        <v>24</v>
      </c>
      <c r="W50" s="136">
        <f>IFERROR(__xludf.DUMMYFUNCTION("""COMPUTED_VALUE"""),52.0)</f>
        <v>52</v>
      </c>
      <c r="X50" s="136">
        <f>IFERROR(__xludf.DUMMYFUNCTION("""COMPUTED_VALUE"""),320.9268292682927)</f>
        <v>320.9268293</v>
      </c>
      <c r="Y50" s="141">
        <f>IFERROR(__xludf.DUMMYFUNCTION("""COMPUTED_VALUE"""),48.0909756097561)</f>
        <v>48.09097561</v>
      </c>
      <c r="Z50" s="141">
        <f>IFERROR(__xludf.DUMMYFUNCTION("""COMPUTED_VALUE"""),1940.878048780488)</f>
        <v>1940.878049</v>
      </c>
    </row>
    <row r="51">
      <c r="A51" s="41" t="str">
        <f>IFERROR(__xludf.DUMMYFUNCTION("""COMPUTED_VALUE"""),"Veteran")</f>
        <v>Veteran</v>
      </c>
      <c r="B51" s="41" t="str">
        <f>IFERROR(__xludf.DUMMYFUNCTION("""COMPUTED_VALUE"""),"RSC000731")</f>
        <v>RSC000731</v>
      </c>
      <c r="C51" s="41" t="str">
        <f>IFERROR(__xludf.DUMMYFUNCTION("""COMPUTED_VALUE"""),"mm2")</f>
        <v>mm2</v>
      </c>
      <c r="D51" s="41" t="str">
        <f>IFERROR(__xludf.DUMMYFUNCTION("""COMPUTED_VALUE"""),"Navigators")</f>
        <v>Navigators</v>
      </c>
      <c r="E51" s="136">
        <f>IFERROR(__xludf.DUMMYFUNCTION("""COMPUTED_VALUE"""),22.0)</f>
        <v>22</v>
      </c>
      <c r="F51" s="136">
        <f>IFERROR(__xludf.DUMMYFUNCTION("""COMPUTED_VALUE"""),9.0)</f>
        <v>9</v>
      </c>
      <c r="G51" s="136">
        <f>IFERROR(__xludf.DUMMYFUNCTION("""COMPUTED_VALUE"""),13.0)</f>
        <v>13</v>
      </c>
      <c r="H51" s="137">
        <f>IFERROR(__xludf.DUMMYFUNCTION("""COMPUTED_VALUE"""),0.4090909090909091)</f>
        <v>0.4090909091</v>
      </c>
      <c r="I51" s="136">
        <f>IFERROR(__xludf.DUMMYFUNCTION("""COMPUTED_VALUE"""),3.0)</f>
        <v>3</v>
      </c>
      <c r="J51" s="136">
        <f>IFERROR(__xludf.DUMMYFUNCTION("""COMPUTED_VALUE"""),7856.0)</f>
        <v>7856</v>
      </c>
      <c r="K51" s="136">
        <f>IFERROR(__xludf.DUMMYFUNCTION("""COMPUTED_VALUE"""),17.0)</f>
        <v>17</v>
      </c>
      <c r="L51" s="136">
        <f>IFERROR(__xludf.DUMMYFUNCTION("""COMPUTED_VALUE"""),12.0)</f>
        <v>12</v>
      </c>
      <c r="M51" s="136">
        <f>IFERROR(__xludf.DUMMYFUNCTION("""COMPUTED_VALUE"""),31.0)</f>
        <v>31</v>
      </c>
      <c r="N51" s="136">
        <f>IFERROR(__xludf.DUMMYFUNCTION("""COMPUTED_VALUE"""),53.0)</f>
        <v>53</v>
      </c>
      <c r="O51" s="138">
        <f>IFERROR(__xludf.DUMMYFUNCTION("""COMPUTED_VALUE"""),3.0)</f>
        <v>3</v>
      </c>
      <c r="P51" s="138">
        <f>IFERROR(__xludf.DUMMYFUNCTION("""COMPUTED_VALUE"""),1.0)</f>
        <v>1</v>
      </c>
      <c r="Q51" s="138">
        <f>IFERROR(__xludf.DUMMYFUNCTION("""COMPUTED_VALUE"""),0.0)</f>
        <v>0</v>
      </c>
      <c r="R51" s="138">
        <f>IFERROR(__xludf.DUMMYFUNCTION("""COMPUTED_VALUE"""),4.0)</f>
        <v>4</v>
      </c>
      <c r="S51" s="139">
        <f>IFERROR(__xludf.DUMMYFUNCTION("""COMPUTED_VALUE"""),170.0)</f>
        <v>170</v>
      </c>
      <c r="T51" s="140">
        <f>IFERROR(__xludf.DUMMYFUNCTION("""COMPUTED_VALUE"""),59.0)</f>
        <v>59</v>
      </c>
      <c r="U51" s="136">
        <f>IFERROR(__xludf.DUMMYFUNCTION("""COMPUTED_VALUE"""),17.0)</f>
        <v>17</v>
      </c>
      <c r="V51" s="136">
        <f>IFERROR(__xludf.DUMMYFUNCTION("""COMPUTED_VALUE"""),28.0)</f>
        <v>28</v>
      </c>
      <c r="W51" s="136">
        <f>IFERROR(__xludf.DUMMYFUNCTION("""COMPUTED_VALUE"""),28.0)</f>
        <v>28</v>
      </c>
      <c r="X51" s="136"/>
      <c r="Y51" s="41"/>
      <c r="Z51" s="41"/>
    </row>
    <row r="52">
      <c r="A52" s="41" t="str">
        <f>IFERROR(__xludf.DUMMYFUNCTION("""COMPUTED_VALUE"""),"Master")</f>
        <v>Master</v>
      </c>
      <c r="B52" s="41" t="str">
        <f>IFERROR(__xludf.DUMMYFUNCTION("""COMPUTED_VALUE"""),"RSC000739")</f>
        <v>RSC000739</v>
      </c>
      <c r="C52" s="41" t="str">
        <f>IFERROR(__xludf.DUMMYFUNCTION("""COMPUTED_VALUE"""),"Salty")</f>
        <v>Salty</v>
      </c>
      <c r="D52" s="41" t="str">
        <f>IFERROR(__xludf.DUMMYFUNCTION("""COMPUTED_VALUE"""),"Battle Masters
Lemurs")</f>
        <v>Battle Masters
Lemurs</v>
      </c>
      <c r="E52" s="136">
        <f>IFERROR(__xludf.DUMMYFUNCTION("""COMPUTED_VALUE"""),11.0)</f>
        <v>11</v>
      </c>
      <c r="F52" s="136">
        <f>IFERROR(__xludf.DUMMYFUNCTION("""COMPUTED_VALUE"""),5.0)</f>
        <v>5</v>
      </c>
      <c r="G52" s="136">
        <f>IFERROR(__xludf.DUMMYFUNCTION("""COMPUTED_VALUE"""),6.0)</f>
        <v>6</v>
      </c>
      <c r="H52" s="137">
        <f>IFERROR(__xludf.DUMMYFUNCTION("""COMPUTED_VALUE"""),0.45454545454545453)</f>
        <v>0.4545454545</v>
      </c>
      <c r="I52" s="136">
        <f>IFERROR(__xludf.DUMMYFUNCTION("""COMPUTED_VALUE"""),3.0)</f>
        <v>3</v>
      </c>
      <c r="J52" s="136">
        <f>IFERROR(__xludf.DUMMYFUNCTION("""COMPUTED_VALUE"""),4348.0)</f>
        <v>4348</v>
      </c>
      <c r="K52" s="136">
        <f>IFERROR(__xludf.DUMMYFUNCTION("""COMPUTED_VALUE"""),10.0)</f>
        <v>10</v>
      </c>
      <c r="L52" s="136">
        <f>IFERROR(__xludf.DUMMYFUNCTION("""COMPUTED_VALUE"""),6.0)</f>
        <v>6</v>
      </c>
      <c r="M52" s="136">
        <f>IFERROR(__xludf.DUMMYFUNCTION("""COMPUTED_VALUE"""),15.0)</f>
        <v>15</v>
      </c>
      <c r="N52" s="136">
        <f>IFERROR(__xludf.DUMMYFUNCTION("""COMPUTED_VALUE"""),36.0)</f>
        <v>36</v>
      </c>
      <c r="O52" s="138">
        <f>IFERROR(__xludf.DUMMYFUNCTION("""COMPUTED_VALUE"""),3.0)</f>
        <v>3</v>
      </c>
      <c r="P52" s="138">
        <f>IFERROR(__xludf.DUMMYFUNCTION("""COMPUTED_VALUE"""),1.0)</f>
        <v>1</v>
      </c>
      <c r="Q52" s="138">
        <f>IFERROR(__xludf.DUMMYFUNCTION("""COMPUTED_VALUE"""),0.0)</f>
        <v>0</v>
      </c>
      <c r="R52" s="138">
        <f>IFERROR(__xludf.DUMMYFUNCTION("""COMPUTED_VALUE"""),1.0)</f>
        <v>1</v>
      </c>
      <c r="S52" s="139">
        <f>IFERROR(__xludf.DUMMYFUNCTION("""COMPUTED_VALUE"""),95.0)</f>
        <v>95</v>
      </c>
      <c r="T52" s="140">
        <f>IFERROR(__xludf.DUMMYFUNCTION("""COMPUTED_VALUE"""),36.0)</f>
        <v>36</v>
      </c>
      <c r="U52" s="136">
        <f>IFERROR(__xludf.DUMMYFUNCTION("""COMPUTED_VALUE"""),14.0)</f>
        <v>14</v>
      </c>
      <c r="V52" s="136">
        <f>IFERROR(__xludf.DUMMYFUNCTION("""COMPUTED_VALUE"""),10.0)</f>
        <v>10</v>
      </c>
      <c r="W52" s="136">
        <f>IFERROR(__xludf.DUMMYFUNCTION("""COMPUTED_VALUE"""),19.0)</f>
        <v>19</v>
      </c>
      <c r="X52" s="136">
        <f>IFERROR(__xludf.DUMMYFUNCTION("""COMPUTED_VALUE"""),415.6363636363636)</f>
        <v>415.6363636</v>
      </c>
      <c r="Y52" s="141">
        <f>IFERROR(__xludf.DUMMYFUNCTION("""COMPUTED_VALUE"""),41.057272727272725)</f>
        <v>41.05727273</v>
      </c>
      <c r="Z52" s="141">
        <f>IFERROR(__xludf.DUMMYFUNCTION("""COMPUTED_VALUE"""),2390.818181818182)</f>
        <v>2390.818182</v>
      </c>
    </row>
    <row r="53">
      <c r="A53" s="41" t="str">
        <f>IFERROR(__xludf.DUMMYFUNCTION("""COMPUTED_VALUE"""),"Elite")</f>
        <v>Elite</v>
      </c>
      <c r="B53" s="41" t="str">
        <f>IFERROR(__xludf.DUMMYFUNCTION("""COMPUTED_VALUE"""),"RSC000767")</f>
        <v>RSC000767</v>
      </c>
      <c r="C53" s="41" t="str">
        <f>IFERROR(__xludf.DUMMYFUNCTION("""COMPUTED_VALUE"""),"Tragic")</f>
        <v>Tragic</v>
      </c>
      <c r="D53" s="41" t="str">
        <f>IFERROR(__xludf.DUMMYFUNCTION("""COMPUTED_VALUE"""),"Cotija Cartel")</f>
        <v>Cotija Cartel</v>
      </c>
      <c r="E53" s="136">
        <f>IFERROR(__xludf.DUMMYFUNCTION("""COMPUTED_VALUE"""),31.0)</f>
        <v>31</v>
      </c>
      <c r="F53" s="136">
        <f>IFERROR(__xludf.DUMMYFUNCTION("""COMPUTED_VALUE"""),11.0)</f>
        <v>11</v>
      </c>
      <c r="G53" s="136">
        <f>IFERROR(__xludf.DUMMYFUNCTION("""COMPUTED_VALUE"""),20.0)</f>
        <v>20</v>
      </c>
      <c r="H53" s="137">
        <f>IFERROR(__xludf.DUMMYFUNCTION("""COMPUTED_VALUE"""),0.3548387096774194)</f>
        <v>0.3548387097</v>
      </c>
      <c r="I53" s="136">
        <f>IFERROR(__xludf.DUMMYFUNCTION("""COMPUTED_VALUE"""),3.0)</f>
        <v>3</v>
      </c>
      <c r="J53" s="136">
        <f>IFERROR(__xludf.DUMMYFUNCTION("""COMPUTED_VALUE"""),11546.0)</f>
        <v>11546</v>
      </c>
      <c r="K53" s="136">
        <f>IFERROR(__xludf.DUMMYFUNCTION("""COMPUTED_VALUE"""),25.0)</f>
        <v>25</v>
      </c>
      <c r="L53" s="136">
        <f>IFERROR(__xludf.DUMMYFUNCTION("""COMPUTED_VALUE"""),14.0)</f>
        <v>14</v>
      </c>
      <c r="M53" s="136">
        <f>IFERROR(__xludf.DUMMYFUNCTION("""COMPUTED_VALUE"""),40.0)</f>
        <v>40</v>
      </c>
      <c r="N53" s="136">
        <f>IFERROR(__xludf.DUMMYFUNCTION("""COMPUTED_VALUE"""),83.0)</f>
        <v>83</v>
      </c>
      <c r="O53" s="138">
        <f>IFERROR(__xludf.DUMMYFUNCTION("""COMPUTED_VALUE"""),4.0)</f>
        <v>4</v>
      </c>
      <c r="P53" s="138">
        <f>IFERROR(__xludf.DUMMYFUNCTION("""COMPUTED_VALUE"""),3.0)</f>
        <v>3</v>
      </c>
      <c r="Q53" s="138">
        <f>IFERROR(__xludf.DUMMYFUNCTION("""COMPUTED_VALUE"""),0.0)</f>
        <v>0</v>
      </c>
      <c r="R53" s="138">
        <f>IFERROR(__xludf.DUMMYFUNCTION("""COMPUTED_VALUE"""),3.0)</f>
        <v>3</v>
      </c>
      <c r="S53" s="139">
        <f>IFERROR(__xludf.DUMMYFUNCTION("""COMPUTED_VALUE"""),284.0)</f>
        <v>284</v>
      </c>
      <c r="T53" s="140">
        <f>IFERROR(__xludf.DUMMYFUNCTION("""COMPUTED_VALUE"""),107.0)</f>
        <v>107</v>
      </c>
      <c r="U53" s="136">
        <f>IFERROR(__xludf.DUMMYFUNCTION("""COMPUTED_VALUE"""),35.0)</f>
        <v>35</v>
      </c>
      <c r="V53" s="136">
        <f>IFERROR(__xludf.DUMMYFUNCTION("""COMPUTED_VALUE"""),36.0)</f>
        <v>36</v>
      </c>
      <c r="W53" s="136">
        <f>IFERROR(__xludf.DUMMYFUNCTION("""COMPUTED_VALUE"""),30.0)</f>
        <v>30</v>
      </c>
      <c r="X53" s="136">
        <f>IFERROR(__xludf.DUMMYFUNCTION("""COMPUTED_VALUE"""),389.7741935483871)</f>
        <v>389.7741935</v>
      </c>
      <c r="Y53" s="141">
        <f>IFERROR(__xludf.DUMMYFUNCTION("""COMPUTED_VALUE"""),45.19258064516128)</f>
        <v>45.19258065</v>
      </c>
      <c r="Z53" s="141">
        <f>IFERROR(__xludf.DUMMYFUNCTION("""COMPUTED_VALUE"""),2439.1612903225805)</f>
        <v>2439.16129</v>
      </c>
    </row>
    <row r="54">
      <c r="A54" s="41" t="str">
        <f>IFERROR(__xludf.DUMMYFUNCTION("""COMPUTED_VALUE"""),"Veteran")</f>
        <v>Veteran</v>
      </c>
      <c r="B54" s="41" t="str">
        <f>IFERROR(__xludf.DUMMYFUNCTION("""COMPUTED_VALUE"""),"RSC000774")</f>
        <v>RSC000774</v>
      </c>
      <c r="C54" s="41" t="str">
        <f>IFERROR(__xludf.DUMMYFUNCTION("""COMPUTED_VALUE"""),"Earth")</f>
        <v>Earth</v>
      </c>
      <c r="D54" s="41" t="str">
        <f>IFERROR(__xludf.DUMMYFUNCTION("""COMPUTED_VALUE"""),"Merciless Mob")</f>
        <v>Merciless Mob</v>
      </c>
      <c r="E54" s="136">
        <f>IFERROR(__xludf.DUMMYFUNCTION("""COMPUTED_VALUE"""),32.0)</f>
        <v>32</v>
      </c>
      <c r="F54" s="136">
        <f>IFERROR(__xludf.DUMMYFUNCTION("""COMPUTED_VALUE"""),15.0)</f>
        <v>15</v>
      </c>
      <c r="G54" s="136">
        <f>IFERROR(__xludf.DUMMYFUNCTION("""COMPUTED_VALUE"""),17.0)</f>
        <v>17</v>
      </c>
      <c r="H54" s="137">
        <f>IFERROR(__xludf.DUMMYFUNCTION("""COMPUTED_VALUE"""),0.46875)</f>
        <v>0.46875</v>
      </c>
      <c r="I54" s="136">
        <f>IFERROR(__xludf.DUMMYFUNCTION("""COMPUTED_VALUE"""),8.0)</f>
        <v>8</v>
      </c>
      <c r="J54" s="136">
        <f>IFERROR(__xludf.DUMMYFUNCTION("""COMPUTED_VALUE"""),11510.0)</f>
        <v>11510</v>
      </c>
      <c r="K54" s="136">
        <f>IFERROR(__xludf.DUMMYFUNCTION("""COMPUTED_VALUE"""),22.0)</f>
        <v>22</v>
      </c>
      <c r="L54" s="136">
        <f>IFERROR(__xludf.DUMMYFUNCTION("""COMPUTED_VALUE"""),21.0)</f>
        <v>21</v>
      </c>
      <c r="M54" s="136">
        <f>IFERROR(__xludf.DUMMYFUNCTION("""COMPUTED_VALUE"""),47.0)</f>
        <v>47</v>
      </c>
      <c r="N54" s="136">
        <f>IFERROR(__xludf.DUMMYFUNCTION("""COMPUTED_VALUE"""),88.0)</f>
        <v>88</v>
      </c>
      <c r="O54" s="138">
        <f>IFERROR(__xludf.DUMMYFUNCTION("""COMPUTED_VALUE"""),4.0)</f>
        <v>4</v>
      </c>
      <c r="P54" s="138">
        <f>IFERROR(__xludf.DUMMYFUNCTION("""COMPUTED_VALUE"""),2.0)</f>
        <v>2</v>
      </c>
      <c r="Q54" s="138">
        <f>IFERROR(__xludf.DUMMYFUNCTION("""COMPUTED_VALUE"""),1.0)</f>
        <v>1</v>
      </c>
      <c r="R54" s="138">
        <f>IFERROR(__xludf.DUMMYFUNCTION("""COMPUTED_VALUE"""),5.0)</f>
        <v>5</v>
      </c>
      <c r="S54" s="139">
        <f>IFERROR(__xludf.DUMMYFUNCTION("""COMPUTED_VALUE"""),264.0)</f>
        <v>264</v>
      </c>
      <c r="T54" s="140">
        <f>IFERROR(__xludf.DUMMYFUNCTION("""COMPUTED_VALUE"""),81.0)</f>
        <v>81</v>
      </c>
      <c r="U54" s="136">
        <f>IFERROR(__xludf.DUMMYFUNCTION("""COMPUTED_VALUE"""),26.0)</f>
        <v>26</v>
      </c>
      <c r="V54" s="136">
        <f>IFERROR(__xludf.DUMMYFUNCTION("""COMPUTED_VALUE"""),24.0)</f>
        <v>24</v>
      </c>
      <c r="W54" s="136">
        <f>IFERROR(__xludf.DUMMYFUNCTION("""COMPUTED_VALUE"""),43.0)</f>
        <v>43</v>
      </c>
      <c r="X54" s="136">
        <f>IFERROR(__xludf.DUMMYFUNCTION("""COMPUTED_VALUE"""),349.9375)</f>
        <v>349.9375</v>
      </c>
      <c r="Y54" s="141">
        <f>IFERROR(__xludf.DUMMYFUNCTION("""COMPUTED_VALUE"""),48.28437499999999)</f>
        <v>48.284375</v>
      </c>
      <c r="Z54" s="141">
        <f>IFERROR(__xludf.DUMMYFUNCTION("""COMPUTED_VALUE"""),1998.875)</f>
        <v>1998.875</v>
      </c>
    </row>
    <row r="55">
      <c r="A55" s="41" t="str">
        <f>IFERROR(__xludf.DUMMYFUNCTION("""COMPUTED_VALUE"""),"Elite")</f>
        <v>Elite</v>
      </c>
      <c r="B55" s="41" t="str">
        <f>IFERROR(__xludf.DUMMYFUNCTION("""COMPUTED_VALUE"""),"RSC000787")</f>
        <v>RSC000787</v>
      </c>
      <c r="C55" s="41" t="str">
        <f>IFERROR(__xludf.DUMMYFUNCTION("""COMPUTED_VALUE"""),"buckle")</f>
        <v>buckle</v>
      </c>
      <c r="D55" s="41" t="str">
        <f>IFERROR(__xludf.DUMMYFUNCTION("""COMPUTED_VALUE"""),"Fire")</f>
        <v>Fire</v>
      </c>
      <c r="E55" s="136">
        <f>IFERROR(__xludf.DUMMYFUNCTION("""COMPUTED_VALUE"""),52.0)</f>
        <v>52</v>
      </c>
      <c r="F55" s="136">
        <f>IFERROR(__xludf.DUMMYFUNCTION("""COMPUTED_VALUE"""),29.0)</f>
        <v>29</v>
      </c>
      <c r="G55" s="136">
        <f>IFERROR(__xludf.DUMMYFUNCTION("""COMPUTED_VALUE"""),23.0)</f>
        <v>23</v>
      </c>
      <c r="H55" s="137">
        <f>IFERROR(__xludf.DUMMYFUNCTION("""COMPUTED_VALUE"""),0.5576923076923077)</f>
        <v>0.5576923077</v>
      </c>
      <c r="I55" s="136">
        <f>IFERROR(__xludf.DUMMYFUNCTION("""COMPUTED_VALUE"""),7.0)</f>
        <v>7</v>
      </c>
      <c r="J55" s="136">
        <f>IFERROR(__xludf.DUMMYFUNCTION("""COMPUTED_VALUE"""),18358.0)</f>
        <v>18358</v>
      </c>
      <c r="K55" s="136">
        <f>IFERROR(__xludf.DUMMYFUNCTION("""COMPUTED_VALUE"""),31.0)</f>
        <v>31</v>
      </c>
      <c r="L55" s="136">
        <f>IFERROR(__xludf.DUMMYFUNCTION("""COMPUTED_VALUE"""),32.0)</f>
        <v>32</v>
      </c>
      <c r="M55" s="136">
        <f>IFERROR(__xludf.DUMMYFUNCTION("""COMPUTED_VALUE"""),88.0)</f>
        <v>88</v>
      </c>
      <c r="N55" s="136">
        <f>IFERROR(__xludf.DUMMYFUNCTION("""COMPUTED_VALUE"""),110.0)</f>
        <v>110</v>
      </c>
      <c r="O55" s="138">
        <f>IFERROR(__xludf.DUMMYFUNCTION("""COMPUTED_VALUE"""),11.0)</f>
        <v>11</v>
      </c>
      <c r="P55" s="138">
        <f>IFERROR(__xludf.DUMMYFUNCTION("""COMPUTED_VALUE"""),1.0)</f>
        <v>1</v>
      </c>
      <c r="Q55" s="138">
        <f>IFERROR(__xludf.DUMMYFUNCTION("""COMPUTED_VALUE"""),0.0)</f>
        <v>0</v>
      </c>
      <c r="R55" s="138">
        <f>IFERROR(__xludf.DUMMYFUNCTION("""COMPUTED_VALUE"""),17.0)</f>
        <v>17</v>
      </c>
      <c r="S55" s="139">
        <f>IFERROR(__xludf.DUMMYFUNCTION("""COMPUTED_VALUE"""),453.0)</f>
        <v>453</v>
      </c>
      <c r="T55" s="140">
        <f>IFERROR(__xludf.DUMMYFUNCTION("""COMPUTED_VALUE"""),111.0)</f>
        <v>111</v>
      </c>
      <c r="U55" s="136">
        <f>IFERROR(__xludf.DUMMYFUNCTION("""COMPUTED_VALUE"""),43.0)</f>
        <v>43</v>
      </c>
      <c r="V55" s="136">
        <f>IFERROR(__xludf.DUMMYFUNCTION("""COMPUTED_VALUE"""),48.0)</f>
        <v>48</v>
      </c>
      <c r="W55" s="136">
        <f>IFERROR(__xludf.DUMMYFUNCTION("""COMPUTED_VALUE"""),49.0)</f>
        <v>49</v>
      </c>
      <c r="X55" s="136">
        <f>IFERROR(__xludf.DUMMYFUNCTION("""COMPUTED_VALUE"""),378.4230769230769)</f>
        <v>378.4230769</v>
      </c>
      <c r="Y55" s="141">
        <f>IFERROR(__xludf.DUMMYFUNCTION("""COMPUTED_VALUE"""),53.949999999999996)</f>
        <v>53.95</v>
      </c>
      <c r="Z55" s="141">
        <f>IFERROR(__xludf.DUMMYFUNCTION("""COMPUTED_VALUE"""),2371.4423076923076)</f>
        <v>2371.442308</v>
      </c>
    </row>
    <row r="56">
      <c r="A56" s="41" t="str">
        <f>IFERROR(__xludf.DUMMYFUNCTION("""COMPUTED_VALUE"""),"Rival")</f>
        <v>Rival</v>
      </c>
      <c r="B56" s="41" t="str">
        <f>IFERROR(__xludf.DUMMYFUNCTION("""COMPUTED_VALUE"""),"RSC000796")</f>
        <v>RSC000796</v>
      </c>
      <c r="C56" s="41" t="str">
        <f>IFERROR(__xludf.DUMMYFUNCTION("""COMPUTED_VALUE"""),"hoyci")</f>
        <v>hoyci</v>
      </c>
      <c r="D56" s="41" t="str">
        <f>IFERROR(__xludf.DUMMYFUNCTION("""COMPUTED_VALUE"""),"Dracos
Nightfall")</f>
        <v>Dracos
Nightfall</v>
      </c>
      <c r="E56" s="136">
        <f>IFERROR(__xludf.DUMMYFUNCTION("""COMPUTED_VALUE"""),21.0)</f>
        <v>21</v>
      </c>
      <c r="F56" s="136">
        <f>IFERROR(__xludf.DUMMYFUNCTION("""COMPUTED_VALUE"""),10.0)</f>
        <v>10</v>
      </c>
      <c r="G56" s="136">
        <f>IFERROR(__xludf.DUMMYFUNCTION("""COMPUTED_VALUE"""),11.0)</f>
        <v>11</v>
      </c>
      <c r="H56" s="137">
        <f>IFERROR(__xludf.DUMMYFUNCTION("""COMPUTED_VALUE"""),0.47619047619047616)</f>
        <v>0.4761904762</v>
      </c>
      <c r="I56" s="136">
        <f>IFERROR(__xludf.DUMMYFUNCTION("""COMPUTED_VALUE"""),2.0)</f>
        <v>2</v>
      </c>
      <c r="J56" s="136">
        <f>IFERROR(__xludf.DUMMYFUNCTION("""COMPUTED_VALUE"""),7343.0)</f>
        <v>7343</v>
      </c>
      <c r="K56" s="136">
        <f>IFERROR(__xludf.DUMMYFUNCTION("""COMPUTED_VALUE"""),14.0)</f>
        <v>14</v>
      </c>
      <c r="L56" s="136">
        <f>IFERROR(__xludf.DUMMYFUNCTION("""COMPUTED_VALUE"""),11.0)</f>
        <v>11</v>
      </c>
      <c r="M56" s="136">
        <f>IFERROR(__xludf.DUMMYFUNCTION("""COMPUTED_VALUE"""),30.0)</f>
        <v>30</v>
      </c>
      <c r="N56" s="136">
        <f>IFERROR(__xludf.DUMMYFUNCTION("""COMPUTED_VALUE"""),55.0)</f>
        <v>55</v>
      </c>
      <c r="O56" s="138">
        <f>IFERROR(__xludf.DUMMYFUNCTION("""COMPUTED_VALUE"""),3.0)</f>
        <v>3</v>
      </c>
      <c r="P56" s="138">
        <f>IFERROR(__xludf.DUMMYFUNCTION("""COMPUTED_VALUE"""),0.0)</f>
        <v>0</v>
      </c>
      <c r="Q56" s="138">
        <f>IFERROR(__xludf.DUMMYFUNCTION("""COMPUTED_VALUE"""),0.0)</f>
        <v>0</v>
      </c>
      <c r="R56" s="138">
        <f>IFERROR(__xludf.DUMMYFUNCTION("""COMPUTED_VALUE"""),3.0)</f>
        <v>3</v>
      </c>
      <c r="S56" s="139">
        <f>IFERROR(__xludf.DUMMYFUNCTION("""COMPUTED_VALUE"""),172.0)</f>
        <v>172</v>
      </c>
      <c r="T56" s="140">
        <f>IFERROR(__xludf.DUMMYFUNCTION("""COMPUTED_VALUE"""),52.0)</f>
        <v>52</v>
      </c>
      <c r="U56" s="136">
        <f>IFERROR(__xludf.DUMMYFUNCTION("""COMPUTED_VALUE"""),21.0)</f>
        <v>21</v>
      </c>
      <c r="V56" s="136">
        <f>IFERROR(__xludf.DUMMYFUNCTION("""COMPUTED_VALUE"""),17.0)</f>
        <v>17</v>
      </c>
      <c r="W56" s="136">
        <f>IFERROR(__xludf.DUMMYFUNCTION("""COMPUTED_VALUE"""),20.0)</f>
        <v>20</v>
      </c>
      <c r="X56" s="136">
        <f>IFERROR(__xludf.DUMMYFUNCTION("""COMPUTED_VALUE"""),370.5238095238095)</f>
        <v>370.5238095</v>
      </c>
      <c r="Y56" s="141">
        <f>IFERROR(__xludf.DUMMYFUNCTION("""COMPUTED_VALUE"""),45.53047619047619)</f>
        <v>45.53047619</v>
      </c>
      <c r="Z56" s="141">
        <f>IFERROR(__xludf.DUMMYFUNCTION("""COMPUTED_VALUE"""),2314.5238095238096)</f>
        <v>2314.52381</v>
      </c>
    </row>
    <row r="57">
      <c r="A57" s="41" t="str">
        <f>IFERROR(__xludf.DUMMYFUNCTION("""COMPUTED_VALUE"""),"Master")</f>
        <v>Master</v>
      </c>
      <c r="B57" s="41" t="str">
        <f>IFERROR(__xludf.DUMMYFUNCTION("""COMPUTED_VALUE"""),"RSC000799")</f>
        <v>RSC000799</v>
      </c>
      <c r="C57" s="41" t="str">
        <f>IFERROR(__xludf.DUMMYFUNCTION("""COMPUTED_VALUE"""),"Foam")</f>
        <v>Foam</v>
      </c>
      <c r="D57" s="41" t="str">
        <f>IFERROR(__xludf.DUMMYFUNCTION("""COMPUTED_VALUE"""),"Reapers")</f>
        <v>Reapers</v>
      </c>
      <c r="E57" s="136">
        <f>IFERROR(__xludf.DUMMYFUNCTION("""COMPUTED_VALUE"""),42.0)</f>
        <v>42</v>
      </c>
      <c r="F57" s="136">
        <f>IFERROR(__xludf.DUMMYFUNCTION("""COMPUTED_VALUE"""),21.0)</f>
        <v>21</v>
      </c>
      <c r="G57" s="136">
        <f>IFERROR(__xludf.DUMMYFUNCTION("""COMPUTED_VALUE"""),21.0)</f>
        <v>21</v>
      </c>
      <c r="H57" s="137">
        <f>IFERROR(__xludf.DUMMYFUNCTION("""COMPUTED_VALUE"""),0.5)</f>
        <v>0.5</v>
      </c>
      <c r="I57" s="136">
        <f>IFERROR(__xludf.DUMMYFUNCTION("""COMPUTED_VALUE"""),9.0)</f>
        <v>9</v>
      </c>
      <c r="J57" s="136">
        <f>IFERROR(__xludf.DUMMYFUNCTION("""COMPUTED_VALUE"""),14675.0)</f>
        <v>14675</v>
      </c>
      <c r="K57" s="136">
        <f>IFERROR(__xludf.DUMMYFUNCTION("""COMPUTED_VALUE"""),32.0)</f>
        <v>32</v>
      </c>
      <c r="L57" s="136">
        <f>IFERROR(__xludf.DUMMYFUNCTION("""COMPUTED_VALUE"""),28.0)</f>
        <v>28</v>
      </c>
      <c r="M57" s="136">
        <f>IFERROR(__xludf.DUMMYFUNCTION("""COMPUTED_VALUE"""),48.0)</f>
        <v>48</v>
      </c>
      <c r="N57" s="136">
        <f>IFERROR(__xludf.DUMMYFUNCTION("""COMPUTED_VALUE"""),112.0)</f>
        <v>112</v>
      </c>
      <c r="O57" s="138">
        <f>IFERROR(__xludf.DUMMYFUNCTION("""COMPUTED_VALUE"""),13.0)</f>
        <v>13</v>
      </c>
      <c r="P57" s="138">
        <f>IFERROR(__xludf.DUMMYFUNCTION("""COMPUTED_VALUE"""),0.0)</f>
        <v>0</v>
      </c>
      <c r="Q57" s="138">
        <f>IFERROR(__xludf.DUMMYFUNCTION("""COMPUTED_VALUE"""),1.0)</f>
        <v>1</v>
      </c>
      <c r="R57" s="138">
        <f>IFERROR(__xludf.DUMMYFUNCTION("""COMPUTED_VALUE"""),3.0)</f>
        <v>3</v>
      </c>
      <c r="S57" s="139">
        <f>IFERROR(__xludf.DUMMYFUNCTION("""COMPUTED_VALUE"""),301.0)</f>
        <v>301</v>
      </c>
      <c r="T57" s="140">
        <f>IFERROR(__xludf.DUMMYFUNCTION("""COMPUTED_VALUE"""),93.0)</f>
        <v>93</v>
      </c>
      <c r="U57" s="136">
        <f>IFERROR(__xludf.DUMMYFUNCTION("""COMPUTED_VALUE"""),24.0)</f>
        <v>24</v>
      </c>
      <c r="V57" s="136">
        <f>IFERROR(__xludf.DUMMYFUNCTION("""COMPUTED_VALUE"""),43.0)</f>
        <v>43</v>
      </c>
      <c r="W57" s="136">
        <f>IFERROR(__xludf.DUMMYFUNCTION("""COMPUTED_VALUE"""),59.0)</f>
        <v>59</v>
      </c>
      <c r="X57" s="136">
        <f>IFERROR(__xludf.DUMMYFUNCTION("""COMPUTED_VALUE"""),387.9761904761905)</f>
        <v>387.9761905</v>
      </c>
      <c r="Y57" s="141">
        <f>IFERROR(__xludf.DUMMYFUNCTION("""COMPUTED_VALUE"""),43.2492857142857)</f>
        <v>43.24928571</v>
      </c>
      <c r="Z57" s="141">
        <f>IFERROR(__xludf.DUMMYFUNCTION("""COMPUTED_VALUE"""),2299.1666666666665)</f>
        <v>2299.166667</v>
      </c>
    </row>
    <row r="58">
      <c r="A58" s="41" t="str">
        <f>IFERROR(__xludf.DUMMYFUNCTION("""COMPUTED_VALUE"""),"Challenger")</f>
        <v>Challenger</v>
      </c>
      <c r="B58" s="41" t="str">
        <f>IFERROR(__xludf.DUMMYFUNCTION("""COMPUTED_VALUE"""),"RSC000812")</f>
        <v>RSC000812</v>
      </c>
      <c r="C58" s="41" t="str">
        <f>IFERROR(__xludf.DUMMYFUNCTION("""COMPUTED_VALUE"""),"LustLizard")</f>
        <v>LustLizard</v>
      </c>
      <c r="D58" s="41" t="str">
        <f>IFERROR(__xludf.DUMMYFUNCTION("""COMPUTED_VALUE"""),"Chromatic Chaos")</f>
        <v>Chromatic Chaos</v>
      </c>
      <c r="E58" s="136">
        <f>IFERROR(__xludf.DUMMYFUNCTION("""COMPUTED_VALUE"""),38.0)</f>
        <v>38</v>
      </c>
      <c r="F58" s="136">
        <f>IFERROR(__xludf.DUMMYFUNCTION("""COMPUTED_VALUE"""),20.0)</f>
        <v>20</v>
      </c>
      <c r="G58" s="136">
        <f>IFERROR(__xludf.DUMMYFUNCTION("""COMPUTED_VALUE"""),18.0)</f>
        <v>18</v>
      </c>
      <c r="H58" s="137">
        <f>IFERROR(__xludf.DUMMYFUNCTION("""COMPUTED_VALUE"""),0.5263157894736842)</f>
        <v>0.5263157895</v>
      </c>
      <c r="I58" s="136">
        <f>IFERROR(__xludf.DUMMYFUNCTION("""COMPUTED_VALUE"""),4.0)</f>
        <v>4</v>
      </c>
      <c r="J58" s="136">
        <f>IFERROR(__xludf.DUMMYFUNCTION("""COMPUTED_VALUE"""),11946.0)</f>
        <v>11946</v>
      </c>
      <c r="K58" s="136">
        <f>IFERROR(__xludf.DUMMYFUNCTION("""COMPUTED_VALUE"""),29.0)</f>
        <v>29</v>
      </c>
      <c r="L58" s="136">
        <f>IFERROR(__xludf.DUMMYFUNCTION("""COMPUTED_VALUE"""),16.0)</f>
        <v>16</v>
      </c>
      <c r="M58" s="136">
        <f>IFERROR(__xludf.DUMMYFUNCTION("""COMPUTED_VALUE"""),47.0)</f>
        <v>47</v>
      </c>
      <c r="N58" s="136">
        <f>IFERROR(__xludf.DUMMYFUNCTION("""COMPUTED_VALUE"""),85.0)</f>
        <v>85</v>
      </c>
      <c r="O58" s="138">
        <f>IFERROR(__xludf.DUMMYFUNCTION("""COMPUTED_VALUE"""),1.0)</f>
        <v>1</v>
      </c>
      <c r="P58" s="138">
        <f>IFERROR(__xludf.DUMMYFUNCTION("""COMPUTED_VALUE"""),2.0)</f>
        <v>2</v>
      </c>
      <c r="Q58" s="138">
        <f>IFERROR(__xludf.DUMMYFUNCTION("""COMPUTED_VALUE"""),1.0)</f>
        <v>1</v>
      </c>
      <c r="R58" s="138">
        <f>IFERROR(__xludf.DUMMYFUNCTION("""COMPUTED_VALUE"""),4.0)</f>
        <v>4</v>
      </c>
      <c r="S58" s="139">
        <f>IFERROR(__xludf.DUMMYFUNCTION("""COMPUTED_VALUE"""),295.0)</f>
        <v>295</v>
      </c>
      <c r="T58" s="140">
        <f>IFERROR(__xludf.DUMMYFUNCTION("""COMPUTED_VALUE"""),89.0)</f>
        <v>89</v>
      </c>
      <c r="U58" s="136">
        <f>IFERROR(__xludf.DUMMYFUNCTION("""COMPUTED_VALUE"""),37.0)</f>
        <v>37</v>
      </c>
      <c r="V58" s="136">
        <f>IFERROR(__xludf.DUMMYFUNCTION("""COMPUTED_VALUE"""),23.0)</f>
        <v>23</v>
      </c>
      <c r="W58" s="136">
        <f>IFERROR(__xludf.DUMMYFUNCTION("""COMPUTED_VALUE"""),39.0)</f>
        <v>39</v>
      </c>
      <c r="X58" s="136">
        <f>IFERROR(__xludf.DUMMYFUNCTION("""COMPUTED_VALUE"""),291.44736842105266)</f>
        <v>291.4473684</v>
      </c>
      <c r="Y58" s="141">
        <f>IFERROR(__xludf.DUMMYFUNCTION("""COMPUTED_VALUE"""),49.57526315789475)</f>
        <v>49.57526316</v>
      </c>
      <c r="Z58" s="141">
        <f>IFERROR(__xludf.DUMMYFUNCTION("""COMPUTED_VALUE"""),1794.0263157894738)</f>
        <v>1794.026316</v>
      </c>
    </row>
    <row r="59">
      <c r="A59" s="41" t="str">
        <f>IFERROR(__xludf.DUMMYFUNCTION("""COMPUTED_VALUE"""),"Rival")</f>
        <v>Rival</v>
      </c>
      <c r="B59" s="41" t="str">
        <f>IFERROR(__xludf.DUMMYFUNCTION("""COMPUTED_VALUE"""),"RSC000813")</f>
        <v>RSC000813</v>
      </c>
      <c r="C59" s="41" t="str">
        <f>IFERROR(__xludf.DUMMYFUNCTION("""COMPUTED_VALUE"""),"Ziggy.")</f>
        <v>Ziggy.</v>
      </c>
      <c r="D59" s="41" t="str">
        <f>IFERROR(__xludf.DUMMYFUNCTION("""COMPUTED_VALUE"""),"Dracos")</f>
        <v>Dracos</v>
      </c>
      <c r="E59" s="136">
        <f>IFERROR(__xludf.DUMMYFUNCTION("""COMPUTED_VALUE"""),12.0)</f>
        <v>12</v>
      </c>
      <c r="F59" s="136">
        <f>IFERROR(__xludf.DUMMYFUNCTION("""COMPUTED_VALUE"""),5.0)</f>
        <v>5</v>
      </c>
      <c r="G59" s="136">
        <f>IFERROR(__xludf.DUMMYFUNCTION("""COMPUTED_VALUE"""),7.0)</f>
        <v>7</v>
      </c>
      <c r="H59" s="137">
        <f>IFERROR(__xludf.DUMMYFUNCTION("""COMPUTED_VALUE"""),0.4166666666666667)</f>
        <v>0.4166666667</v>
      </c>
      <c r="I59" s="136">
        <f>IFERROR(__xludf.DUMMYFUNCTION("""COMPUTED_VALUE"""),2.0)</f>
        <v>2</v>
      </c>
      <c r="J59" s="136">
        <f>IFERROR(__xludf.DUMMYFUNCTION("""COMPUTED_VALUE"""),3445.0)</f>
        <v>3445</v>
      </c>
      <c r="K59" s="136">
        <f>IFERROR(__xludf.DUMMYFUNCTION("""COMPUTED_VALUE"""),9.0)</f>
        <v>9</v>
      </c>
      <c r="L59" s="136">
        <f>IFERROR(__xludf.DUMMYFUNCTION("""COMPUTED_VALUE"""),7.0)</f>
        <v>7</v>
      </c>
      <c r="M59" s="136">
        <f>IFERROR(__xludf.DUMMYFUNCTION("""COMPUTED_VALUE"""),7.0)</f>
        <v>7</v>
      </c>
      <c r="N59" s="136">
        <f>IFERROR(__xludf.DUMMYFUNCTION("""COMPUTED_VALUE"""),24.0)</f>
        <v>24</v>
      </c>
      <c r="O59" s="138">
        <f>IFERROR(__xludf.DUMMYFUNCTION("""COMPUTED_VALUE"""),1.0)</f>
        <v>1</v>
      </c>
      <c r="P59" s="138">
        <f>IFERROR(__xludf.DUMMYFUNCTION("""COMPUTED_VALUE"""),0.0)</f>
        <v>0</v>
      </c>
      <c r="Q59" s="138">
        <f>IFERROR(__xludf.DUMMYFUNCTION("""COMPUTED_VALUE"""),0.0)</f>
        <v>0</v>
      </c>
      <c r="R59" s="138">
        <f>IFERROR(__xludf.DUMMYFUNCTION("""COMPUTED_VALUE"""),0.0)</f>
        <v>0</v>
      </c>
      <c r="S59" s="139">
        <f>IFERROR(__xludf.DUMMYFUNCTION("""COMPUTED_VALUE"""),82.0)</f>
        <v>82</v>
      </c>
      <c r="T59" s="140">
        <f>IFERROR(__xludf.DUMMYFUNCTION("""COMPUTED_VALUE"""),28.0)</f>
        <v>28</v>
      </c>
      <c r="U59" s="136">
        <f>IFERROR(__xludf.DUMMYFUNCTION("""COMPUTED_VALUE"""),3.0)</f>
        <v>3</v>
      </c>
      <c r="V59" s="136">
        <f>IFERROR(__xludf.DUMMYFUNCTION("""COMPUTED_VALUE"""),28.0)</f>
        <v>28</v>
      </c>
      <c r="W59" s="136">
        <f>IFERROR(__xludf.DUMMYFUNCTION("""COMPUTED_VALUE"""),15.0)</f>
        <v>15</v>
      </c>
      <c r="X59" s="136">
        <f>IFERROR(__xludf.DUMMYFUNCTION("""COMPUTED_VALUE"""),427.8333333333333)</f>
        <v>427.8333333</v>
      </c>
      <c r="Y59" s="141">
        <f>IFERROR(__xludf.DUMMYFUNCTION("""COMPUTED_VALUE"""),52.53)</f>
        <v>52.53</v>
      </c>
      <c r="Z59" s="141">
        <f>IFERROR(__xludf.DUMMYFUNCTION("""COMPUTED_VALUE"""),2683.25)</f>
        <v>2683.25</v>
      </c>
    </row>
    <row r="60">
      <c r="A60" s="41" t="str">
        <f>IFERROR(__xludf.DUMMYFUNCTION("""COMPUTED_VALUE"""),"Rival")</f>
        <v>Rival</v>
      </c>
      <c r="B60" s="41" t="str">
        <f>IFERROR(__xludf.DUMMYFUNCTION("""COMPUTED_VALUE"""),"RSC000828")</f>
        <v>RSC000828</v>
      </c>
      <c r="C60" s="41" t="str">
        <f>IFERROR(__xludf.DUMMYFUNCTION("""COMPUTED_VALUE"""),"MattViaAirwaves")</f>
        <v>MattViaAirwaves</v>
      </c>
      <c r="D60" s="41" t="str">
        <f>IFERROR(__xludf.DUMMYFUNCTION("""COMPUTED_VALUE"""),"Polar Ice")</f>
        <v>Polar Ice</v>
      </c>
      <c r="E60" s="136">
        <f>IFERROR(__xludf.DUMMYFUNCTION("""COMPUTED_VALUE"""),54.0)</f>
        <v>54</v>
      </c>
      <c r="F60" s="136">
        <f>IFERROR(__xludf.DUMMYFUNCTION("""COMPUTED_VALUE"""),15.0)</f>
        <v>15</v>
      </c>
      <c r="G60" s="136">
        <f>IFERROR(__xludf.DUMMYFUNCTION("""COMPUTED_VALUE"""),39.0)</f>
        <v>39</v>
      </c>
      <c r="H60" s="137">
        <f>IFERROR(__xludf.DUMMYFUNCTION("""COMPUTED_VALUE"""),0.2777777777777778)</f>
        <v>0.2777777778</v>
      </c>
      <c r="I60" s="136">
        <f>IFERROR(__xludf.DUMMYFUNCTION("""COMPUTED_VALUE"""),5.0)</f>
        <v>5</v>
      </c>
      <c r="J60" s="136">
        <f>IFERROR(__xludf.DUMMYFUNCTION("""COMPUTED_VALUE"""),17481.0)</f>
        <v>17481</v>
      </c>
      <c r="K60" s="136">
        <f>IFERROR(__xludf.DUMMYFUNCTION("""COMPUTED_VALUE"""),35.0)</f>
        <v>35</v>
      </c>
      <c r="L60" s="136">
        <f>IFERROR(__xludf.DUMMYFUNCTION("""COMPUTED_VALUE"""),16.0)</f>
        <v>16</v>
      </c>
      <c r="M60" s="136">
        <f>IFERROR(__xludf.DUMMYFUNCTION("""COMPUTED_VALUE"""),73.0)</f>
        <v>73</v>
      </c>
      <c r="N60" s="136">
        <f>IFERROR(__xludf.DUMMYFUNCTION("""COMPUTED_VALUE"""),127.0)</f>
        <v>127</v>
      </c>
      <c r="O60" s="138">
        <f>IFERROR(__xludf.DUMMYFUNCTION("""COMPUTED_VALUE"""),5.0)</f>
        <v>5</v>
      </c>
      <c r="P60" s="138">
        <f>IFERROR(__xludf.DUMMYFUNCTION("""COMPUTED_VALUE"""),1.0)</f>
        <v>1</v>
      </c>
      <c r="Q60" s="138">
        <f>IFERROR(__xludf.DUMMYFUNCTION("""COMPUTED_VALUE"""),0.0)</f>
        <v>0</v>
      </c>
      <c r="R60" s="138">
        <f>IFERROR(__xludf.DUMMYFUNCTION("""COMPUTED_VALUE"""),9.0)</f>
        <v>9</v>
      </c>
      <c r="S60" s="139">
        <f>IFERROR(__xludf.DUMMYFUNCTION("""COMPUTED_VALUE"""),444.0)</f>
        <v>444</v>
      </c>
      <c r="T60" s="140">
        <f>IFERROR(__xludf.DUMMYFUNCTION("""COMPUTED_VALUE"""),158.0)</f>
        <v>158</v>
      </c>
      <c r="U60" s="136">
        <f>IFERROR(__xludf.DUMMYFUNCTION("""COMPUTED_VALUE"""),57.0)</f>
        <v>57</v>
      </c>
      <c r="V60" s="136">
        <f>IFERROR(__xludf.DUMMYFUNCTION("""COMPUTED_VALUE"""),49.0)</f>
        <v>49</v>
      </c>
      <c r="W60" s="136">
        <f>IFERROR(__xludf.DUMMYFUNCTION("""COMPUTED_VALUE"""),69.0)</f>
        <v>69</v>
      </c>
      <c r="X60" s="136">
        <f>IFERROR(__xludf.DUMMYFUNCTION("""COMPUTED_VALUE"""),356.1111111111111)</f>
        <v>356.1111111</v>
      </c>
      <c r="Y60" s="141">
        <f>IFERROR(__xludf.DUMMYFUNCTION("""COMPUTED_VALUE"""),48.70518518518517)</f>
        <v>48.70518519</v>
      </c>
      <c r="Z60" s="141">
        <f>IFERROR(__xludf.DUMMYFUNCTION("""COMPUTED_VALUE"""),2121.1666666666665)</f>
        <v>2121.166667</v>
      </c>
    </row>
    <row r="61">
      <c r="A61" s="41" t="str">
        <f>IFERROR(__xludf.DUMMYFUNCTION("""COMPUTED_VALUE"""),"Veteran")</f>
        <v>Veteran</v>
      </c>
      <c r="B61" s="41" t="str">
        <f>IFERROR(__xludf.DUMMYFUNCTION("""COMPUTED_VALUE"""),"RSC000848")</f>
        <v>RSC000848</v>
      </c>
      <c r="C61" s="41" t="str">
        <f>IFERROR(__xludf.DUMMYFUNCTION("""COMPUTED_VALUE"""),"WittingHalo64")</f>
        <v>WittingHalo64</v>
      </c>
      <c r="D61" s="41" t="str">
        <f>IFERROR(__xludf.DUMMYFUNCTION("""COMPUTED_VALUE"""),"Water")</f>
        <v>Water</v>
      </c>
      <c r="E61" s="136">
        <f>IFERROR(__xludf.DUMMYFUNCTION("""COMPUTED_VALUE"""),2.0)</f>
        <v>2</v>
      </c>
      <c r="F61" s="136">
        <f>IFERROR(__xludf.DUMMYFUNCTION("""COMPUTED_VALUE"""),0.0)</f>
        <v>0</v>
      </c>
      <c r="G61" s="136">
        <f>IFERROR(__xludf.DUMMYFUNCTION("""COMPUTED_VALUE"""),2.0)</f>
        <v>2</v>
      </c>
      <c r="H61" s="137">
        <f>IFERROR(__xludf.DUMMYFUNCTION("""COMPUTED_VALUE"""),0.0)</f>
        <v>0</v>
      </c>
      <c r="I61" s="136">
        <f>IFERROR(__xludf.DUMMYFUNCTION("""COMPUTED_VALUE"""),0.0)</f>
        <v>0</v>
      </c>
      <c r="J61" s="136">
        <f>IFERROR(__xludf.DUMMYFUNCTION("""COMPUTED_VALUE"""),478.0)</f>
        <v>478</v>
      </c>
      <c r="K61" s="136">
        <f>IFERROR(__xludf.DUMMYFUNCTION("""COMPUTED_VALUE"""),1.0)</f>
        <v>1</v>
      </c>
      <c r="L61" s="136">
        <f>IFERROR(__xludf.DUMMYFUNCTION("""COMPUTED_VALUE"""),0.0)</f>
        <v>0</v>
      </c>
      <c r="M61" s="136">
        <f>IFERROR(__xludf.DUMMYFUNCTION("""COMPUTED_VALUE"""),1.0)</f>
        <v>1</v>
      </c>
      <c r="N61" s="136">
        <f>IFERROR(__xludf.DUMMYFUNCTION("""COMPUTED_VALUE"""),6.0)</f>
        <v>6</v>
      </c>
      <c r="O61" s="138">
        <f>IFERROR(__xludf.DUMMYFUNCTION("""COMPUTED_VALUE"""),0.0)</f>
        <v>0</v>
      </c>
      <c r="P61" s="138">
        <f>IFERROR(__xludf.DUMMYFUNCTION("""COMPUTED_VALUE"""),0.0)</f>
        <v>0</v>
      </c>
      <c r="Q61" s="138">
        <f>IFERROR(__xludf.DUMMYFUNCTION("""COMPUTED_VALUE"""),0.0)</f>
        <v>0</v>
      </c>
      <c r="R61" s="138">
        <f>IFERROR(__xludf.DUMMYFUNCTION("""COMPUTED_VALUE"""),0.0)</f>
        <v>0</v>
      </c>
      <c r="S61" s="139">
        <f>IFERROR(__xludf.DUMMYFUNCTION("""COMPUTED_VALUE"""),14.0)</f>
        <v>14</v>
      </c>
      <c r="T61" s="140">
        <f>IFERROR(__xludf.DUMMYFUNCTION("""COMPUTED_VALUE"""),5.0)</f>
        <v>5</v>
      </c>
      <c r="U61" s="136">
        <f>IFERROR(__xludf.DUMMYFUNCTION("""COMPUTED_VALUE"""),3.0)</f>
        <v>3</v>
      </c>
      <c r="V61" s="136">
        <f>IFERROR(__xludf.DUMMYFUNCTION("""COMPUTED_VALUE"""),1.0)</f>
        <v>1</v>
      </c>
      <c r="W61" s="136">
        <f>IFERROR(__xludf.DUMMYFUNCTION("""COMPUTED_VALUE"""),1.0)</f>
        <v>1</v>
      </c>
      <c r="X61" s="136">
        <f>IFERROR(__xludf.DUMMYFUNCTION("""COMPUTED_VALUE"""),388.5)</f>
        <v>388.5</v>
      </c>
      <c r="Y61" s="141">
        <f>IFERROR(__xludf.DUMMYFUNCTION("""COMPUTED_VALUE"""),58.91)</f>
        <v>58.91</v>
      </c>
      <c r="Z61" s="141">
        <f>IFERROR(__xludf.DUMMYFUNCTION("""COMPUTED_VALUE"""),2646.0)</f>
        <v>2646</v>
      </c>
    </row>
    <row r="62">
      <c r="A62" s="41" t="str">
        <f>IFERROR(__xludf.DUMMYFUNCTION("""COMPUTED_VALUE"""),"Veteran")</f>
        <v>Veteran</v>
      </c>
      <c r="B62" s="41" t="str">
        <f>IFERROR(__xludf.DUMMYFUNCTION("""COMPUTED_VALUE"""),"RSC000851")</f>
        <v>RSC000851</v>
      </c>
      <c r="C62" s="41" t="str">
        <f>IFERROR(__xludf.DUMMYFUNCTION("""COMPUTED_VALUE"""),"JoeZ")</f>
        <v>JoeZ</v>
      </c>
      <c r="D62" s="41" t="str">
        <f>IFERROR(__xludf.DUMMYFUNCTION("""COMPUTED_VALUE"""),"Street Rats")</f>
        <v>Street Rats</v>
      </c>
      <c r="E62" s="136">
        <f>IFERROR(__xludf.DUMMYFUNCTION("""COMPUTED_VALUE"""),49.0)</f>
        <v>49</v>
      </c>
      <c r="F62" s="136">
        <f>IFERROR(__xludf.DUMMYFUNCTION("""COMPUTED_VALUE"""),21.0)</f>
        <v>21</v>
      </c>
      <c r="G62" s="136">
        <f>IFERROR(__xludf.DUMMYFUNCTION("""COMPUTED_VALUE"""),28.0)</f>
        <v>28</v>
      </c>
      <c r="H62" s="137">
        <f>IFERROR(__xludf.DUMMYFUNCTION("""COMPUTED_VALUE"""),0.42857142857142855)</f>
        <v>0.4285714286</v>
      </c>
      <c r="I62" s="136">
        <f>IFERROR(__xludf.DUMMYFUNCTION("""COMPUTED_VALUE"""),7.0)</f>
        <v>7</v>
      </c>
      <c r="J62" s="136">
        <f>IFERROR(__xludf.DUMMYFUNCTION("""COMPUTED_VALUE"""),16554.0)</f>
        <v>16554</v>
      </c>
      <c r="K62" s="136">
        <f>IFERROR(__xludf.DUMMYFUNCTION("""COMPUTED_VALUE"""),38.0)</f>
        <v>38</v>
      </c>
      <c r="L62" s="136">
        <f>IFERROR(__xludf.DUMMYFUNCTION("""COMPUTED_VALUE"""),27.0)</f>
        <v>27</v>
      </c>
      <c r="M62" s="136">
        <f>IFERROR(__xludf.DUMMYFUNCTION("""COMPUTED_VALUE"""),72.0)</f>
        <v>72</v>
      </c>
      <c r="N62" s="136">
        <f>IFERROR(__xludf.DUMMYFUNCTION("""COMPUTED_VALUE"""),105.0)</f>
        <v>105</v>
      </c>
      <c r="O62" s="138">
        <f>IFERROR(__xludf.DUMMYFUNCTION("""COMPUTED_VALUE"""),10.0)</f>
        <v>10</v>
      </c>
      <c r="P62" s="138">
        <f>IFERROR(__xludf.DUMMYFUNCTION("""COMPUTED_VALUE"""),2.0)</f>
        <v>2</v>
      </c>
      <c r="Q62" s="138">
        <f>IFERROR(__xludf.DUMMYFUNCTION("""COMPUTED_VALUE"""),1.0)</f>
        <v>1</v>
      </c>
      <c r="R62" s="138">
        <f>IFERROR(__xludf.DUMMYFUNCTION("""COMPUTED_VALUE"""),10.0)</f>
        <v>10</v>
      </c>
      <c r="S62" s="139">
        <f>IFERROR(__xludf.DUMMYFUNCTION("""COMPUTED_VALUE"""),431.0)</f>
        <v>431</v>
      </c>
      <c r="T62" s="140">
        <f>IFERROR(__xludf.DUMMYFUNCTION("""COMPUTED_VALUE"""),121.0)</f>
        <v>121</v>
      </c>
      <c r="U62" s="136">
        <f>IFERROR(__xludf.DUMMYFUNCTION("""COMPUTED_VALUE"""),36.0)</f>
        <v>36</v>
      </c>
      <c r="V62" s="136">
        <f>IFERROR(__xludf.DUMMYFUNCTION("""COMPUTED_VALUE"""),74.0)</f>
        <v>74</v>
      </c>
      <c r="W62" s="136">
        <f>IFERROR(__xludf.DUMMYFUNCTION("""COMPUTED_VALUE"""),51.0)</f>
        <v>51</v>
      </c>
      <c r="X62" s="136">
        <f>IFERROR(__xludf.DUMMYFUNCTION("""COMPUTED_VALUE"""),345.1224489795918)</f>
        <v>345.122449</v>
      </c>
      <c r="Y62" s="141">
        <f>IFERROR(__xludf.DUMMYFUNCTION("""COMPUTED_VALUE"""),46.518979591836725)</f>
        <v>46.51897959</v>
      </c>
      <c r="Z62" s="141">
        <f>IFERROR(__xludf.DUMMYFUNCTION("""COMPUTED_VALUE"""),2123.877551020408)</f>
        <v>2123.877551</v>
      </c>
    </row>
    <row r="63">
      <c r="A63" s="41" t="str">
        <f>IFERROR(__xludf.DUMMYFUNCTION("""COMPUTED_VALUE"""),"Challenger")</f>
        <v>Challenger</v>
      </c>
      <c r="B63" s="41" t="str">
        <f>IFERROR(__xludf.DUMMYFUNCTION("""COMPUTED_VALUE"""),"RSC000922")</f>
        <v>RSC000922</v>
      </c>
      <c r="C63" s="41" t="str">
        <f>IFERROR(__xludf.DUMMYFUNCTION("""COMPUTED_VALUE"""),"D_e_r_k")</f>
        <v>D_e_r_k</v>
      </c>
      <c r="D63" s="41" t="str">
        <f>IFERROR(__xludf.DUMMYFUNCTION("""COMPUTED_VALUE"""),"Shade")</f>
        <v>Shade</v>
      </c>
      <c r="E63" s="136">
        <f>IFERROR(__xludf.DUMMYFUNCTION("""COMPUTED_VALUE"""),53.0)</f>
        <v>53</v>
      </c>
      <c r="F63" s="136">
        <f>IFERROR(__xludf.DUMMYFUNCTION("""COMPUTED_VALUE"""),34.0)</f>
        <v>34</v>
      </c>
      <c r="G63" s="136">
        <f>IFERROR(__xludf.DUMMYFUNCTION("""COMPUTED_VALUE"""),19.0)</f>
        <v>19</v>
      </c>
      <c r="H63" s="137">
        <f>IFERROR(__xludf.DUMMYFUNCTION("""COMPUTED_VALUE"""),0.6415094339622641)</f>
        <v>0.641509434</v>
      </c>
      <c r="I63" s="136">
        <f>IFERROR(__xludf.DUMMYFUNCTION("""COMPUTED_VALUE"""),19.0)</f>
        <v>19</v>
      </c>
      <c r="J63" s="136">
        <f>IFERROR(__xludf.DUMMYFUNCTION("""COMPUTED_VALUE"""),18527.0)</f>
        <v>18527</v>
      </c>
      <c r="K63" s="136">
        <f>IFERROR(__xludf.DUMMYFUNCTION("""COMPUTED_VALUE"""),45.0)</f>
        <v>45</v>
      </c>
      <c r="L63" s="136">
        <f>IFERROR(__xludf.DUMMYFUNCTION("""COMPUTED_VALUE"""),26.0)</f>
        <v>26</v>
      </c>
      <c r="M63" s="136">
        <f>IFERROR(__xludf.DUMMYFUNCTION("""COMPUTED_VALUE"""),60.0)</f>
        <v>60</v>
      </c>
      <c r="N63" s="136">
        <f>IFERROR(__xludf.DUMMYFUNCTION("""COMPUTED_VALUE"""),144.0)</f>
        <v>144</v>
      </c>
      <c r="O63" s="138">
        <f>IFERROR(__xludf.DUMMYFUNCTION("""COMPUTED_VALUE"""),14.0)</f>
        <v>14</v>
      </c>
      <c r="P63" s="138">
        <f>IFERROR(__xludf.DUMMYFUNCTION("""COMPUTED_VALUE"""),3.0)</f>
        <v>3</v>
      </c>
      <c r="Q63" s="138">
        <f>IFERROR(__xludf.DUMMYFUNCTION("""COMPUTED_VALUE"""),1.0)</f>
        <v>1</v>
      </c>
      <c r="R63" s="138">
        <f>IFERROR(__xludf.DUMMYFUNCTION("""COMPUTED_VALUE"""),6.0)</f>
        <v>6</v>
      </c>
      <c r="S63" s="139">
        <f>IFERROR(__xludf.DUMMYFUNCTION("""COMPUTED_VALUE"""),309.0)</f>
        <v>309</v>
      </c>
      <c r="T63" s="140">
        <f>IFERROR(__xludf.DUMMYFUNCTION("""COMPUTED_VALUE"""),102.0)</f>
        <v>102</v>
      </c>
      <c r="U63" s="136">
        <f>IFERROR(__xludf.DUMMYFUNCTION("""COMPUTED_VALUE"""),29.0)</f>
        <v>29</v>
      </c>
      <c r="V63" s="136">
        <f>IFERROR(__xludf.DUMMYFUNCTION("""COMPUTED_VALUE"""),39.0)</f>
        <v>39</v>
      </c>
      <c r="W63" s="136">
        <f>IFERROR(__xludf.DUMMYFUNCTION("""COMPUTED_VALUE"""),45.0)</f>
        <v>45</v>
      </c>
      <c r="X63" s="136">
        <f>IFERROR(__xludf.DUMMYFUNCTION("""COMPUTED_VALUE"""),373.2641509433962)</f>
        <v>373.2641509</v>
      </c>
      <c r="Y63" s="141">
        <f>IFERROR(__xludf.DUMMYFUNCTION("""COMPUTED_VALUE"""),48.171132075471704)</f>
        <v>48.17113208</v>
      </c>
      <c r="Z63" s="141">
        <f>IFERROR(__xludf.DUMMYFUNCTION("""COMPUTED_VALUE"""),2170.0377358490564)</f>
        <v>2170.037736</v>
      </c>
    </row>
    <row r="64">
      <c r="A64" s="41" t="str">
        <f>IFERROR(__xludf.DUMMYFUNCTION("""COMPUTED_VALUE"""),"Elite")</f>
        <v>Elite</v>
      </c>
      <c r="B64" s="41" t="str">
        <f>IFERROR(__xludf.DUMMYFUNCTION("""COMPUTED_VALUE"""),"RSC000923")</f>
        <v>RSC000923</v>
      </c>
      <c r="C64" s="41" t="str">
        <f>IFERROR(__xludf.DUMMYFUNCTION("""COMPUTED_VALUE"""),"Stemantics")</f>
        <v>Stemantics</v>
      </c>
      <c r="D64" s="41" t="str">
        <f>IFERROR(__xludf.DUMMYFUNCTION("""COMPUTED_VALUE"""),"Drive-by")</f>
        <v>Drive-by</v>
      </c>
      <c r="E64" s="136">
        <f>IFERROR(__xludf.DUMMYFUNCTION("""COMPUTED_VALUE"""),1.0)</f>
        <v>1</v>
      </c>
      <c r="F64" s="136">
        <f>IFERROR(__xludf.DUMMYFUNCTION("""COMPUTED_VALUE"""),0.0)</f>
        <v>0</v>
      </c>
      <c r="G64" s="136">
        <f>IFERROR(__xludf.DUMMYFUNCTION("""COMPUTED_VALUE"""),1.0)</f>
        <v>1</v>
      </c>
      <c r="H64" s="137">
        <f>IFERROR(__xludf.DUMMYFUNCTION("""COMPUTED_VALUE"""),0.0)</f>
        <v>0</v>
      </c>
      <c r="I64" s="136">
        <f>IFERROR(__xludf.DUMMYFUNCTION("""COMPUTED_VALUE"""),0.0)</f>
        <v>0</v>
      </c>
      <c r="J64" s="136">
        <f>IFERROR(__xludf.DUMMYFUNCTION("""COMPUTED_VALUE"""),128.0)</f>
        <v>128</v>
      </c>
      <c r="K64" s="136">
        <f>IFERROR(__xludf.DUMMYFUNCTION("""COMPUTED_VALUE"""),0.0)</f>
        <v>0</v>
      </c>
      <c r="L64" s="136">
        <f>IFERROR(__xludf.DUMMYFUNCTION("""COMPUTED_VALUE"""),0.0)</f>
        <v>0</v>
      </c>
      <c r="M64" s="136">
        <f>IFERROR(__xludf.DUMMYFUNCTION("""COMPUTED_VALUE"""),1.0)</f>
        <v>1</v>
      </c>
      <c r="N64" s="136">
        <f>IFERROR(__xludf.DUMMYFUNCTION("""COMPUTED_VALUE"""),1.0)</f>
        <v>1</v>
      </c>
      <c r="O64" s="138">
        <f>IFERROR(__xludf.DUMMYFUNCTION("""COMPUTED_VALUE"""),0.0)</f>
        <v>0</v>
      </c>
      <c r="P64" s="138">
        <f>IFERROR(__xludf.DUMMYFUNCTION("""COMPUTED_VALUE"""),0.0)</f>
        <v>0</v>
      </c>
      <c r="Q64" s="138">
        <f>IFERROR(__xludf.DUMMYFUNCTION("""COMPUTED_VALUE"""),0.0)</f>
        <v>0</v>
      </c>
      <c r="R64" s="138">
        <f>IFERROR(__xludf.DUMMYFUNCTION("""COMPUTED_VALUE"""),0.0)</f>
        <v>0</v>
      </c>
      <c r="S64" s="139">
        <f>IFERROR(__xludf.DUMMYFUNCTION("""COMPUTED_VALUE"""),12.0)</f>
        <v>12</v>
      </c>
      <c r="T64" s="140">
        <f>IFERROR(__xludf.DUMMYFUNCTION("""COMPUTED_VALUE"""),5.0)</f>
        <v>5</v>
      </c>
      <c r="U64" s="136">
        <f>IFERROR(__xludf.DUMMYFUNCTION("""COMPUTED_VALUE"""),3.0)</f>
        <v>3</v>
      </c>
      <c r="V64" s="136">
        <f>IFERROR(__xludf.DUMMYFUNCTION("""COMPUTED_VALUE"""),2.0)</f>
        <v>2</v>
      </c>
      <c r="W64" s="136">
        <f>IFERROR(__xludf.DUMMYFUNCTION("""COMPUTED_VALUE"""),0.0)</f>
        <v>0</v>
      </c>
      <c r="X64" s="136">
        <f>IFERROR(__xludf.DUMMYFUNCTION("""COMPUTED_VALUE"""),359.0)</f>
        <v>359</v>
      </c>
      <c r="Y64" s="141">
        <f>IFERROR(__xludf.DUMMYFUNCTION("""COMPUTED_VALUE"""),57.41)</f>
        <v>57.41</v>
      </c>
      <c r="Z64" s="141">
        <f>IFERROR(__xludf.DUMMYFUNCTION("""COMPUTED_VALUE"""),2268.0)</f>
        <v>2268</v>
      </c>
    </row>
    <row r="65">
      <c r="A65" s="41" t="str">
        <f>IFERROR(__xludf.DUMMYFUNCTION("""COMPUTED_VALUE"""),"Veteran")</f>
        <v>Veteran</v>
      </c>
      <c r="B65" s="41" t="str">
        <f>IFERROR(__xludf.DUMMYFUNCTION("""COMPUTED_VALUE"""),"RSC000926")</f>
        <v>RSC000926</v>
      </c>
      <c r="C65" s="41" t="str">
        <f>IFERROR(__xludf.DUMMYFUNCTION("""COMPUTED_VALUE"""),"SlmRnchr")</f>
        <v>SlmRnchr</v>
      </c>
      <c r="D65" s="41" t="str">
        <f>IFERROR(__xludf.DUMMYFUNCTION("""COMPUTED_VALUE"""),"Banshees")</f>
        <v>Banshees</v>
      </c>
      <c r="E65" s="136">
        <f>IFERROR(__xludf.DUMMYFUNCTION("""COMPUTED_VALUE"""),55.0)</f>
        <v>55</v>
      </c>
      <c r="F65" s="136">
        <f>IFERROR(__xludf.DUMMYFUNCTION("""COMPUTED_VALUE"""),21.0)</f>
        <v>21</v>
      </c>
      <c r="G65" s="136">
        <f>IFERROR(__xludf.DUMMYFUNCTION("""COMPUTED_VALUE"""),34.0)</f>
        <v>34</v>
      </c>
      <c r="H65" s="137">
        <f>IFERROR(__xludf.DUMMYFUNCTION("""COMPUTED_VALUE"""),0.38181818181818183)</f>
        <v>0.3818181818</v>
      </c>
      <c r="I65" s="136">
        <f>IFERROR(__xludf.DUMMYFUNCTION("""COMPUTED_VALUE"""),7.0)</f>
        <v>7</v>
      </c>
      <c r="J65" s="136">
        <f>IFERROR(__xludf.DUMMYFUNCTION("""COMPUTED_VALUE"""),19029.0)</f>
        <v>19029</v>
      </c>
      <c r="K65" s="136">
        <f>IFERROR(__xludf.DUMMYFUNCTION("""COMPUTED_VALUE"""),39.0)</f>
        <v>39</v>
      </c>
      <c r="L65" s="136">
        <f>IFERROR(__xludf.DUMMYFUNCTION("""COMPUTED_VALUE"""),31.0)</f>
        <v>31</v>
      </c>
      <c r="M65" s="136">
        <f>IFERROR(__xludf.DUMMYFUNCTION("""COMPUTED_VALUE"""),72.0)</f>
        <v>72</v>
      </c>
      <c r="N65" s="136">
        <f>IFERROR(__xludf.DUMMYFUNCTION("""COMPUTED_VALUE"""),133.0)</f>
        <v>133</v>
      </c>
      <c r="O65" s="138">
        <f>IFERROR(__xludf.DUMMYFUNCTION("""COMPUTED_VALUE"""),11.0)</f>
        <v>11</v>
      </c>
      <c r="P65" s="138">
        <f>IFERROR(__xludf.DUMMYFUNCTION("""COMPUTED_VALUE"""),0.0)</f>
        <v>0</v>
      </c>
      <c r="Q65" s="138">
        <f>IFERROR(__xludf.DUMMYFUNCTION("""COMPUTED_VALUE"""),0.0)</f>
        <v>0</v>
      </c>
      <c r="R65" s="138">
        <f>IFERROR(__xludf.DUMMYFUNCTION("""COMPUTED_VALUE"""),6.0)</f>
        <v>6</v>
      </c>
      <c r="S65" s="139">
        <f>IFERROR(__xludf.DUMMYFUNCTION("""COMPUTED_VALUE"""),454.0)</f>
        <v>454</v>
      </c>
      <c r="T65" s="140">
        <f>IFERROR(__xludf.DUMMYFUNCTION("""COMPUTED_VALUE"""),166.0)</f>
        <v>166</v>
      </c>
      <c r="U65" s="136">
        <f>IFERROR(__xludf.DUMMYFUNCTION("""COMPUTED_VALUE"""),52.0)</f>
        <v>52</v>
      </c>
      <c r="V65" s="136">
        <f>IFERROR(__xludf.DUMMYFUNCTION("""COMPUTED_VALUE"""),24.0)</f>
        <v>24</v>
      </c>
      <c r="W65" s="136">
        <f>IFERROR(__xludf.DUMMYFUNCTION("""COMPUTED_VALUE"""),60.0)</f>
        <v>60</v>
      </c>
      <c r="X65" s="136">
        <f>IFERROR(__xludf.DUMMYFUNCTION("""COMPUTED_VALUE"""),303.58181818181816)</f>
        <v>303.5818182</v>
      </c>
      <c r="Y65" s="141">
        <f>IFERROR(__xludf.DUMMYFUNCTION("""COMPUTED_VALUE"""),50.093454545454534)</f>
        <v>50.09345455</v>
      </c>
      <c r="Z65" s="141">
        <f>IFERROR(__xludf.DUMMYFUNCTION("""COMPUTED_VALUE"""),1908.8181818181818)</f>
        <v>1908.818182</v>
      </c>
    </row>
    <row r="66">
      <c r="A66" s="41" t="str">
        <f>IFERROR(__xludf.DUMMYFUNCTION("""COMPUTED_VALUE"""),"Rival")</f>
        <v>Rival</v>
      </c>
      <c r="B66" s="41" t="str">
        <f>IFERROR(__xludf.DUMMYFUNCTION("""COMPUTED_VALUE"""),"RSC000938")</f>
        <v>RSC000938</v>
      </c>
      <c r="C66" s="41" t="str">
        <f>IFERROR(__xludf.DUMMYFUNCTION("""COMPUTED_VALUE"""),"Nukem_IV")</f>
        <v>Nukem_IV</v>
      </c>
      <c r="D66" s="41" t="str">
        <f>IFERROR(__xludf.DUMMYFUNCTION("""COMPUTED_VALUE"""),"Ruthless Racket
Liars")</f>
        <v>Ruthless Racket
Liars</v>
      </c>
      <c r="E66" s="136">
        <f>IFERROR(__xludf.DUMMYFUNCTION("""COMPUTED_VALUE"""),11.0)</f>
        <v>11</v>
      </c>
      <c r="F66" s="136">
        <f>IFERROR(__xludf.DUMMYFUNCTION("""COMPUTED_VALUE"""),4.0)</f>
        <v>4</v>
      </c>
      <c r="G66" s="136">
        <f>IFERROR(__xludf.DUMMYFUNCTION("""COMPUTED_VALUE"""),7.0)</f>
        <v>7</v>
      </c>
      <c r="H66" s="137">
        <f>IFERROR(__xludf.DUMMYFUNCTION("""COMPUTED_VALUE"""),0.36363636363636365)</f>
        <v>0.3636363636</v>
      </c>
      <c r="I66" s="136">
        <f>IFERROR(__xludf.DUMMYFUNCTION("""COMPUTED_VALUE"""),2.0)</f>
        <v>2</v>
      </c>
      <c r="J66" s="136">
        <f>IFERROR(__xludf.DUMMYFUNCTION("""COMPUTED_VALUE"""),3117.0)</f>
        <v>3117</v>
      </c>
      <c r="K66" s="136">
        <f>IFERROR(__xludf.DUMMYFUNCTION("""COMPUTED_VALUE"""),6.0)</f>
        <v>6</v>
      </c>
      <c r="L66" s="136">
        <f>IFERROR(__xludf.DUMMYFUNCTION("""COMPUTED_VALUE"""),3.0)</f>
        <v>3</v>
      </c>
      <c r="M66" s="136">
        <f>IFERROR(__xludf.DUMMYFUNCTION("""COMPUTED_VALUE"""),13.0)</f>
        <v>13</v>
      </c>
      <c r="N66" s="136">
        <f>IFERROR(__xludf.DUMMYFUNCTION("""COMPUTED_VALUE"""),23.0)</f>
        <v>23</v>
      </c>
      <c r="O66" s="138">
        <f>IFERROR(__xludf.DUMMYFUNCTION("""COMPUTED_VALUE"""),2.0)</f>
        <v>2</v>
      </c>
      <c r="P66" s="138">
        <f>IFERROR(__xludf.DUMMYFUNCTION("""COMPUTED_VALUE"""),0.0)</f>
        <v>0</v>
      </c>
      <c r="Q66" s="138">
        <f>IFERROR(__xludf.DUMMYFUNCTION("""COMPUTED_VALUE"""),0.0)</f>
        <v>0</v>
      </c>
      <c r="R66" s="138">
        <f>IFERROR(__xludf.DUMMYFUNCTION("""COMPUTED_VALUE"""),1.0)</f>
        <v>1</v>
      </c>
      <c r="S66" s="139">
        <f>IFERROR(__xludf.DUMMYFUNCTION("""COMPUTED_VALUE"""),91.0)</f>
        <v>91</v>
      </c>
      <c r="T66" s="140">
        <f>IFERROR(__xludf.DUMMYFUNCTION("""COMPUTED_VALUE"""),33.0)</f>
        <v>33</v>
      </c>
      <c r="U66" s="136">
        <f>IFERROR(__xludf.DUMMYFUNCTION("""COMPUTED_VALUE"""),12.0)</f>
        <v>12</v>
      </c>
      <c r="V66" s="136">
        <f>IFERROR(__xludf.DUMMYFUNCTION("""COMPUTED_VALUE"""),10.0)</f>
        <v>10</v>
      </c>
      <c r="W66" s="136">
        <f>IFERROR(__xludf.DUMMYFUNCTION("""COMPUTED_VALUE"""),14.0)</f>
        <v>14</v>
      </c>
      <c r="X66" s="136">
        <f>IFERROR(__xludf.DUMMYFUNCTION("""COMPUTED_VALUE"""),360.72727272727275)</f>
        <v>360.7272727</v>
      </c>
      <c r="Y66" s="141">
        <f>IFERROR(__xludf.DUMMYFUNCTION("""COMPUTED_VALUE"""),45.86545454545455)</f>
        <v>45.86545455</v>
      </c>
      <c r="Z66" s="141">
        <f>IFERROR(__xludf.DUMMYFUNCTION("""COMPUTED_VALUE"""),2209.090909090909)</f>
        <v>2209.090909</v>
      </c>
    </row>
    <row r="67">
      <c r="A67" s="41" t="str">
        <f>IFERROR(__xludf.DUMMYFUNCTION("""COMPUTED_VALUE"""),"Amateur")</f>
        <v>Amateur</v>
      </c>
      <c r="B67" s="41" t="str">
        <f>IFERROR(__xludf.DUMMYFUNCTION("""COMPUTED_VALUE"""),"RSC000963")</f>
        <v>RSC000963</v>
      </c>
      <c r="C67" s="41" t="str">
        <f>IFERROR(__xludf.DUMMYFUNCTION("""COMPUTED_VALUE"""),"Sup3rm4n")</f>
        <v>Sup3rm4n</v>
      </c>
      <c r="D67" s="41" t="str">
        <f>IFERROR(__xludf.DUMMYFUNCTION("""COMPUTED_VALUE"""),"Bombers")</f>
        <v>Bombers</v>
      </c>
      <c r="E67" s="136">
        <f>IFERROR(__xludf.DUMMYFUNCTION("""COMPUTED_VALUE"""),55.0)</f>
        <v>55</v>
      </c>
      <c r="F67" s="136">
        <f>IFERROR(__xludf.DUMMYFUNCTION("""COMPUTED_VALUE"""),38.0)</f>
        <v>38</v>
      </c>
      <c r="G67" s="136">
        <f>IFERROR(__xludf.DUMMYFUNCTION("""COMPUTED_VALUE"""),17.0)</f>
        <v>17</v>
      </c>
      <c r="H67" s="137">
        <f>IFERROR(__xludf.DUMMYFUNCTION("""COMPUTED_VALUE"""),0.6909090909090909)</f>
        <v>0.6909090909</v>
      </c>
      <c r="I67" s="136">
        <f>IFERROR(__xludf.DUMMYFUNCTION("""COMPUTED_VALUE"""),16.0)</f>
        <v>16</v>
      </c>
      <c r="J67" s="136">
        <f>IFERROR(__xludf.DUMMYFUNCTION("""COMPUTED_VALUE"""),18891.0)</f>
        <v>18891</v>
      </c>
      <c r="K67" s="136">
        <f>IFERROR(__xludf.DUMMYFUNCTION("""COMPUTED_VALUE"""),54.0)</f>
        <v>54</v>
      </c>
      <c r="L67" s="136">
        <f>IFERROR(__xludf.DUMMYFUNCTION("""COMPUTED_VALUE"""),24.0)</f>
        <v>24</v>
      </c>
      <c r="M67" s="136">
        <f>IFERROR(__xludf.DUMMYFUNCTION("""COMPUTED_VALUE"""),49.0)</f>
        <v>49</v>
      </c>
      <c r="N67" s="136">
        <f>IFERROR(__xludf.DUMMYFUNCTION("""COMPUTED_VALUE"""),159.0)</f>
        <v>159</v>
      </c>
      <c r="O67" s="138">
        <f>IFERROR(__xludf.DUMMYFUNCTION("""COMPUTED_VALUE"""),10.0)</f>
        <v>10</v>
      </c>
      <c r="P67" s="138">
        <f>IFERROR(__xludf.DUMMYFUNCTION("""COMPUTED_VALUE"""),5.0)</f>
        <v>5</v>
      </c>
      <c r="Q67" s="138">
        <f>IFERROR(__xludf.DUMMYFUNCTION("""COMPUTED_VALUE"""),0.0)</f>
        <v>0</v>
      </c>
      <c r="R67" s="138">
        <f>IFERROR(__xludf.DUMMYFUNCTION("""COMPUTED_VALUE"""),4.0)</f>
        <v>4</v>
      </c>
      <c r="S67" s="139">
        <f>IFERROR(__xludf.DUMMYFUNCTION("""COMPUTED_VALUE"""),328.0)</f>
        <v>328</v>
      </c>
      <c r="T67" s="140">
        <f>IFERROR(__xludf.DUMMYFUNCTION("""COMPUTED_VALUE"""),100.0)</f>
        <v>100</v>
      </c>
      <c r="U67" s="136">
        <f>IFERROR(__xludf.DUMMYFUNCTION("""COMPUTED_VALUE"""),33.0)</f>
        <v>33</v>
      </c>
      <c r="V67" s="136">
        <f>IFERROR(__xludf.DUMMYFUNCTION("""COMPUTED_VALUE"""),45.0)</f>
        <v>45</v>
      </c>
      <c r="W67" s="136">
        <f>IFERROR(__xludf.DUMMYFUNCTION("""COMPUTED_VALUE"""),43.0)</f>
        <v>43</v>
      </c>
      <c r="X67" s="139">
        <f>IFERROR(__xludf.DUMMYFUNCTION("""COMPUTED_VALUE"""),364.8)</f>
        <v>364.8</v>
      </c>
      <c r="Y67" s="141">
        <f>IFERROR(__xludf.DUMMYFUNCTION("""COMPUTED_VALUE"""),50.28090909090907)</f>
        <v>50.28090909</v>
      </c>
      <c r="Z67" s="141">
        <f>IFERROR(__xludf.DUMMYFUNCTION("""COMPUTED_VALUE"""),2086.018181818182)</f>
        <v>2086.018182</v>
      </c>
    </row>
    <row r="68">
      <c r="A68" s="41" t="str">
        <f>IFERROR(__xludf.DUMMYFUNCTION("""COMPUTED_VALUE"""),"Challenger")</f>
        <v>Challenger</v>
      </c>
      <c r="B68" s="41" t="str">
        <f>IFERROR(__xludf.DUMMYFUNCTION("""COMPUTED_VALUE"""),"RSC000967")</f>
        <v>RSC000967</v>
      </c>
      <c r="C68" s="41" t="str">
        <f>IFERROR(__xludf.DUMMYFUNCTION("""COMPUTED_VALUE"""),"birds aren't real")</f>
        <v>birds aren't real</v>
      </c>
      <c r="D68" s="41" t="str">
        <f>IFERROR(__xludf.DUMMYFUNCTION("""COMPUTED_VALUE"""),"Warthogs")</f>
        <v>Warthogs</v>
      </c>
      <c r="E68" s="136">
        <f>IFERROR(__xludf.DUMMYFUNCTION("""COMPUTED_VALUE"""),24.0)</f>
        <v>24</v>
      </c>
      <c r="F68" s="136">
        <f>IFERROR(__xludf.DUMMYFUNCTION("""COMPUTED_VALUE"""),12.0)</f>
        <v>12</v>
      </c>
      <c r="G68" s="136">
        <f>IFERROR(__xludf.DUMMYFUNCTION("""COMPUTED_VALUE"""),12.0)</f>
        <v>12</v>
      </c>
      <c r="H68" s="137">
        <f>IFERROR(__xludf.DUMMYFUNCTION("""COMPUTED_VALUE"""),0.5)</f>
        <v>0.5</v>
      </c>
      <c r="I68" s="136">
        <f>IFERROR(__xludf.DUMMYFUNCTION("""COMPUTED_VALUE"""),3.0)</f>
        <v>3</v>
      </c>
      <c r="J68" s="136">
        <f>IFERROR(__xludf.DUMMYFUNCTION("""COMPUTED_VALUE"""),8342.0)</f>
        <v>8342</v>
      </c>
      <c r="K68" s="136">
        <f>IFERROR(__xludf.DUMMYFUNCTION("""COMPUTED_VALUE"""),22.0)</f>
        <v>22</v>
      </c>
      <c r="L68" s="136">
        <f>IFERROR(__xludf.DUMMYFUNCTION("""COMPUTED_VALUE"""),14.0)</f>
        <v>14</v>
      </c>
      <c r="M68" s="136">
        <f>IFERROR(__xludf.DUMMYFUNCTION("""COMPUTED_VALUE"""),28.0)</f>
        <v>28</v>
      </c>
      <c r="N68" s="136">
        <f>IFERROR(__xludf.DUMMYFUNCTION("""COMPUTED_VALUE"""),68.0)</f>
        <v>68</v>
      </c>
      <c r="O68" s="138">
        <f>IFERROR(__xludf.DUMMYFUNCTION("""COMPUTED_VALUE"""),6.0)</f>
        <v>6</v>
      </c>
      <c r="P68" s="138">
        <f>IFERROR(__xludf.DUMMYFUNCTION("""COMPUTED_VALUE"""),1.0)</f>
        <v>1</v>
      </c>
      <c r="Q68" s="138">
        <f>IFERROR(__xludf.DUMMYFUNCTION("""COMPUTED_VALUE"""),0.0)</f>
        <v>0</v>
      </c>
      <c r="R68" s="138">
        <f>IFERROR(__xludf.DUMMYFUNCTION("""COMPUTED_VALUE"""),3.0)</f>
        <v>3</v>
      </c>
      <c r="S68" s="139">
        <f>IFERROR(__xludf.DUMMYFUNCTION("""COMPUTED_VALUE"""),183.0)</f>
        <v>183</v>
      </c>
      <c r="T68" s="140">
        <f>IFERROR(__xludf.DUMMYFUNCTION("""COMPUTED_VALUE"""),57.0)</f>
        <v>57</v>
      </c>
      <c r="U68" s="136">
        <f>IFERROR(__xludf.DUMMYFUNCTION("""COMPUTED_VALUE"""),18.0)</f>
        <v>18</v>
      </c>
      <c r="V68" s="136">
        <f>IFERROR(__xludf.DUMMYFUNCTION("""COMPUTED_VALUE"""),19.0)</f>
        <v>19</v>
      </c>
      <c r="W68" s="136">
        <f>IFERROR(__xludf.DUMMYFUNCTION("""COMPUTED_VALUE"""),32.0)</f>
        <v>32</v>
      </c>
      <c r="X68" s="136">
        <f>IFERROR(__xludf.DUMMYFUNCTION("""COMPUTED_VALUE"""),334.2916666666667)</f>
        <v>334.2916667</v>
      </c>
      <c r="Y68" s="141">
        <f>IFERROR(__xludf.DUMMYFUNCTION("""COMPUTED_VALUE"""),44.48666666666667)</f>
        <v>44.48666667</v>
      </c>
      <c r="Z68" s="141">
        <f>IFERROR(__xludf.DUMMYFUNCTION("""COMPUTED_VALUE"""),1906.6666666666667)</f>
        <v>1906.666667</v>
      </c>
    </row>
    <row r="69">
      <c r="A69" s="41" t="str">
        <f>IFERROR(__xludf.DUMMYFUNCTION("""COMPUTED_VALUE"""),"Veteran")</f>
        <v>Veteran</v>
      </c>
      <c r="B69" s="41" t="str">
        <f>IFERROR(__xludf.DUMMYFUNCTION("""COMPUTED_VALUE"""),"RSC000981")</f>
        <v>RSC000981</v>
      </c>
      <c r="C69" s="41" t="str">
        <f>IFERROR(__xludf.DUMMYFUNCTION("""COMPUTED_VALUE"""),"Crimson")</f>
        <v>Crimson</v>
      </c>
      <c r="D69" s="41" t="str">
        <f>IFERROR(__xludf.DUMMYFUNCTION("""COMPUTED_VALUE"""),"Legati
Folks")</f>
        <v>Legati
Folks</v>
      </c>
      <c r="E69" s="136">
        <f>IFERROR(__xludf.DUMMYFUNCTION("""COMPUTED_VALUE"""),37.0)</f>
        <v>37</v>
      </c>
      <c r="F69" s="136">
        <f>IFERROR(__xludf.DUMMYFUNCTION("""COMPUTED_VALUE"""),11.0)</f>
        <v>11</v>
      </c>
      <c r="G69" s="136">
        <f>IFERROR(__xludf.DUMMYFUNCTION("""COMPUTED_VALUE"""),26.0)</f>
        <v>26</v>
      </c>
      <c r="H69" s="137">
        <f>IFERROR(__xludf.DUMMYFUNCTION("""COMPUTED_VALUE"""),0.2972972972972973)</f>
        <v>0.2972972973</v>
      </c>
      <c r="I69" s="136">
        <f>IFERROR(__xludf.DUMMYFUNCTION("""COMPUTED_VALUE"""),4.0)</f>
        <v>4</v>
      </c>
      <c r="J69" s="136">
        <f>IFERROR(__xludf.DUMMYFUNCTION("""COMPUTED_VALUE"""),12668.0)</f>
        <v>12668</v>
      </c>
      <c r="K69" s="136">
        <f>IFERROR(__xludf.DUMMYFUNCTION("""COMPUTED_VALUE"""),31.0)</f>
        <v>31</v>
      </c>
      <c r="L69" s="136">
        <f>IFERROR(__xludf.DUMMYFUNCTION("""COMPUTED_VALUE"""),11.0)</f>
        <v>11</v>
      </c>
      <c r="M69" s="136">
        <f>IFERROR(__xludf.DUMMYFUNCTION("""COMPUTED_VALUE"""),47.0)</f>
        <v>47</v>
      </c>
      <c r="N69" s="136">
        <f>IFERROR(__xludf.DUMMYFUNCTION("""COMPUTED_VALUE"""),97.0)</f>
        <v>97</v>
      </c>
      <c r="O69" s="138">
        <f>IFERROR(__xludf.DUMMYFUNCTION("""COMPUTED_VALUE"""),3.0)</f>
        <v>3</v>
      </c>
      <c r="P69" s="138">
        <f>IFERROR(__xludf.DUMMYFUNCTION("""COMPUTED_VALUE"""),0.0)</f>
        <v>0</v>
      </c>
      <c r="Q69" s="138">
        <f>IFERROR(__xludf.DUMMYFUNCTION("""COMPUTED_VALUE"""),0.0)</f>
        <v>0</v>
      </c>
      <c r="R69" s="138">
        <f>IFERROR(__xludf.DUMMYFUNCTION("""COMPUTED_VALUE"""),6.0)</f>
        <v>6</v>
      </c>
      <c r="S69" s="139">
        <f>IFERROR(__xludf.DUMMYFUNCTION("""COMPUTED_VALUE"""),347.0)</f>
        <v>347</v>
      </c>
      <c r="T69" s="140">
        <f>IFERROR(__xludf.DUMMYFUNCTION("""COMPUTED_VALUE"""),123.0)</f>
        <v>123</v>
      </c>
      <c r="U69" s="136">
        <f>IFERROR(__xludf.DUMMYFUNCTION("""COMPUTED_VALUE"""),43.0)</f>
        <v>43</v>
      </c>
      <c r="V69" s="136">
        <f>IFERROR(__xludf.DUMMYFUNCTION("""COMPUTED_VALUE"""),42.0)</f>
        <v>42</v>
      </c>
      <c r="W69" s="136">
        <f>IFERROR(__xludf.DUMMYFUNCTION("""COMPUTED_VALUE"""),54.0)</f>
        <v>54</v>
      </c>
      <c r="X69" s="136">
        <f>IFERROR(__xludf.DUMMYFUNCTION("""COMPUTED_VALUE"""),372.7567567567568)</f>
        <v>372.7567568</v>
      </c>
      <c r="Y69" s="141">
        <f>IFERROR(__xludf.DUMMYFUNCTION("""COMPUTED_VALUE"""),44.88054054054054)</f>
        <v>44.88054054</v>
      </c>
      <c r="Z69" s="141">
        <f>IFERROR(__xludf.DUMMYFUNCTION("""COMPUTED_VALUE"""),2269.675675675676)</f>
        <v>2269.675676</v>
      </c>
    </row>
    <row r="70">
      <c r="A70" s="41" t="str">
        <f>IFERROR(__xludf.DUMMYFUNCTION("""COMPUTED_VALUE"""),"Prospect")</f>
        <v>Prospect</v>
      </c>
      <c r="B70" s="41" t="str">
        <f>IFERROR(__xludf.DUMMYFUNCTION("""COMPUTED_VALUE"""),"RSC000989")</f>
        <v>RSC000989</v>
      </c>
      <c r="C70" s="41" t="str">
        <f>IFERROR(__xludf.DUMMYFUNCTION("""COMPUTED_VALUE"""),"Piky Life88")</f>
        <v>Piky Life88</v>
      </c>
      <c r="D70" s="41" t="str">
        <f>IFERROR(__xludf.DUMMYFUNCTION("""COMPUTED_VALUE"""),"Earth")</f>
        <v>Earth</v>
      </c>
      <c r="E70" s="136">
        <f>IFERROR(__xludf.DUMMYFUNCTION("""COMPUTED_VALUE"""),31.0)</f>
        <v>31</v>
      </c>
      <c r="F70" s="136">
        <f>IFERROR(__xludf.DUMMYFUNCTION("""COMPUTED_VALUE"""),13.0)</f>
        <v>13</v>
      </c>
      <c r="G70" s="136">
        <f>IFERROR(__xludf.DUMMYFUNCTION("""COMPUTED_VALUE"""),18.0)</f>
        <v>18</v>
      </c>
      <c r="H70" s="137">
        <f>IFERROR(__xludf.DUMMYFUNCTION("""COMPUTED_VALUE"""),0.41935483870967744)</f>
        <v>0.4193548387</v>
      </c>
      <c r="I70" s="136">
        <f>IFERROR(__xludf.DUMMYFUNCTION("""COMPUTED_VALUE"""),1.0)</f>
        <v>1</v>
      </c>
      <c r="J70" s="136">
        <f>IFERROR(__xludf.DUMMYFUNCTION("""COMPUTED_VALUE"""),8312.0)</f>
        <v>8312</v>
      </c>
      <c r="K70" s="136">
        <f>IFERROR(__xludf.DUMMYFUNCTION("""COMPUTED_VALUE"""),19.0)</f>
        <v>19</v>
      </c>
      <c r="L70" s="136">
        <f>IFERROR(__xludf.DUMMYFUNCTION("""COMPUTED_VALUE"""),13.0)</f>
        <v>13</v>
      </c>
      <c r="M70" s="136">
        <f>IFERROR(__xludf.DUMMYFUNCTION("""COMPUTED_VALUE"""),24.0)</f>
        <v>24</v>
      </c>
      <c r="N70" s="136">
        <f>IFERROR(__xludf.DUMMYFUNCTION("""COMPUTED_VALUE"""),68.0)</f>
        <v>68</v>
      </c>
      <c r="O70" s="138">
        <f>IFERROR(__xludf.DUMMYFUNCTION("""COMPUTED_VALUE"""),3.0)</f>
        <v>3</v>
      </c>
      <c r="P70" s="138">
        <f>IFERROR(__xludf.DUMMYFUNCTION("""COMPUTED_VALUE"""),0.0)</f>
        <v>0</v>
      </c>
      <c r="Q70" s="138">
        <f>IFERROR(__xludf.DUMMYFUNCTION("""COMPUTED_VALUE"""),1.0)</f>
        <v>1</v>
      </c>
      <c r="R70" s="138">
        <f>IFERROR(__xludf.DUMMYFUNCTION("""COMPUTED_VALUE"""),2.0)</f>
        <v>2</v>
      </c>
      <c r="S70" s="139">
        <f>IFERROR(__xludf.DUMMYFUNCTION("""COMPUTED_VALUE"""),211.0)</f>
        <v>211</v>
      </c>
      <c r="T70" s="140">
        <f>IFERROR(__xludf.DUMMYFUNCTION("""COMPUTED_VALUE"""),70.0)</f>
        <v>70</v>
      </c>
      <c r="U70" s="136">
        <f>IFERROR(__xludf.DUMMYFUNCTION("""COMPUTED_VALUE"""),19.0)</f>
        <v>19</v>
      </c>
      <c r="V70" s="136">
        <f>IFERROR(__xludf.DUMMYFUNCTION("""COMPUTED_VALUE"""),38.0)</f>
        <v>38</v>
      </c>
      <c r="W70" s="136">
        <f>IFERROR(__xludf.DUMMYFUNCTION("""COMPUTED_VALUE"""),27.0)</f>
        <v>27</v>
      </c>
      <c r="X70" s="136">
        <f>IFERROR(__xludf.DUMMYFUNCTION("""COMPUTED_VALUE"""),243.58064516129033)</f>
        <v>243.5806452</v>
      </c>
      <c r="Y70" s="141">
        <f>IFERROR(__xludf.DUMMYFUNCTION("""COMPUTED_VALUE"""),50.86870967741935)</f>
        <v>50.86870968</v>
      </c>
      <c r="Z70" s="141">
        <f>IFERROR(__xludf.DUMMYFUNCTION("""COMPUTED_VALUE"""),1510.0645161290322)</f>
        <v>1510.064516</v>
      </c>
    </row>
    <row r="71">
      <c r="A71" s="41" t="str">
        <f>IFERROR(__xludf.DUMMYFUNCTION("""COMPUTED_VALUE"""),"Premier")</f>
        <v>Premier</v>
      </c>
      <c r="B71" s="41" t="str">
        <f>IFERROR(__xludf.DUMMYFUNCTION("""COMPUTED_VALUE"""),"RSC000996")</f>
        <v>RSC000996</v>
      </c>
      <c r="C71" s="41" t="str">
        <f>IFERROR(__xludf.DUMMYFUNCTION("""COMPUTED_VALUE"""),"GreenSleeves")</f>
        <v>GreenSleeves</v>
      </c>
      <c r="D71" s="41" t="str">
        <f>IFERROR(__xludf.DUMMYFUNCTION("""COMPUTED_VALUE"""),"Gummy Bears")</f>
        <v>Gummy Bears</v>
      </c>
      <c r="E71" s="136">
        <f>IFERROR(__xludf.DUMMYFUNCTION("""COMPUTED_VALUE"""),14.0)</f>
        <v>14</v>
      </c>
      <c r="F71" s="136">
        <f>IFERROR(__xludf.DUMMYFUNCTION("""COMPUTED_VALUE"""),3.0)</f>
        <v>3</v>
      </c>
      <c r="G71" s="136">
        <f>IFERROR(__xludf.DUMMYFUNCTION("""COMPUTED_VALUE"""),11.0)</f>
        <v>11</v>
      </c>
      <c r="H71" s="137">
        <f>IFERROR(__xludf.DUMMYFUNCTION("""COMPUTED_VALUE"""),0.21428571428571427)</f>
        <v>0.2142857143</v>
      </c>
      <c r="I71" s="136">
        <f>IFERROR(__xludf.DUMMYFUNCTION("""COMPUTED_VALUE"""),1.0)</f>
        <v>1</v>
      </c>
      <c r="J71" s="136">
        <f>IFERROR(__xludf.DUMMYFUNCTION("""COMPUTED_VALUE"""),4290.0)</f>
        <v>4290</v>
      </c>
      <c r="K71" s="136">
        <f>IFERROR(__xludf.DUMMYFUNCTION("""COMPUTED_VALUE"""),6.0)</f>
        <v>6</v>
      </c>
      <c r="L71" s="136">
        <f>IFERROR(__xludf.DUMMYFUNCTION("""COMPUTED_VALUE"""),6.0)</f>
        <v>6</v>
      </c>
      <c r="M71" s="136">
        <f>IFERROR(__xludf.DUMMYFUNCTION("""COMPUTED_VALUE"""),23.0)</f>
        <v>23</v>
      </c>
      <c r="N71" s="136">
        <f>IFERROR(__xludf.DUMMYFUNCTION("""COMPUTED_VALUE"""),36.0)</f>
        <v>36</v>
      </c>
      <c r="O71" s="138">
        <f>IFERROR(__xludf.DUMMYFUNCTION("""COMPUTED_VALUE"""),0.0)</f>
        <v>0</v>
      </c>
      <c r="P71" s="138">
        <f>IFERROR(__xludf.DUMMYFUNCTION("""COMPUTED_VALUE"""),0.0)</f>
        <v>0</v>
      </c>
      <c r="Q71" s="138">
        <f>IFERROR(__xludf.DUMMYFUNCTION("""COMPUTED_VALUE"""),0.0)</f>
        <v>0</v>
      </c>
      <c r="R71" s="138">
        <f>IFERROR(__xludf.DUMMYFUNCTION("""COMPUTED_VALUE"""),4.0)</f>
        <v>4</v>
      </c>
      <c r="S71" s="139">
        <f>IFERROR(__xludf.DUMMYFUNCTION("""COMPUTED_VALUE"""),124.0)</f>
        <v>124</v>
      </c>
      <c r="T71" s="140">
        <f>IFERROR(__xludf.DUMMYFUNCTION("""COMPUTED_VALUE"""),54.0)</f>
        <v>54</v>
      </c>
      <c r="U71" s="136">
        <f>IFERROR(__xludf.DUMMYFUNCTION("""COMPUTED_VALUE"""),16.0)</f>
        <v>16</v>
      </c>
      <c r="V71" s="136">
        <f>IFERROR(__xludf.DUMMYFUNCTION("""COMPUTED_VALUE"""),17.0)</f>
        <v>17</v>
      </c>
      <c r="W71" s="136">
        <f>IFERROR(__xludf.DUMMYFUNCTION("""COMPUTED_VALUE"""),19.0)</f>
        <v>19</v>
      </c>
      <c r="X71" s="136">
        <f>IFERROR(__xludf.DUMMYFUNCTION("""COMPUTED_VALUE"""),411.64285714285717)</f>
        <v>411.6428571</v>
      </c>
      <c r="Y71" s="141">
        <f>IFERROR(__xludf.DUMMYFUNCTION("""COMPUTED_VALUE"""),44.41642857142857)</f>
        <v>44.41642857</v>
      </c>
      <c r="Z71" s="141">
        <f>IFERROR(__xludf.DUMMYFUNCTION("""COMPUTED_VALUE"""),2360.4285714285716)</f>
        <v>2360.428571</v>
      </c>
    </row>
    <row r="72">
      <c r="A72" s="41" t="str">
        <f>IFERROR(__xludf.DUMMYFUNCTION("""COMPUTED_VALUE"""),"Master")</f>
        <v>Master</v>
      </c>
      <c r="B72" s="41" t="str">
        <f>IFERROR(__xludf.DUMMYFUNCTION("""COMPUTED_VALUE"""),"RSC001055")</f>
        <v>RSC001055</v>
      </c>
      <c r="C72" s="41" t="str">
        <f>IFERROR(__xludf.DUMMYFUNCTION("""COMPUTED_VALUE"""),"Scotti")</f>
        <v>Scotti</v>
      </c>
      <c r="D72" s="41" t="str">
        <f>IFERROR(__xludf.DUMMYFUNCTION("""COMPUTED_VALUE"""),"Battle Masters")</f>
        <v>Battle Masters</v>
      </c>
      <c r="E72" s="136">
        <f>IFERROR(__xludf.DUMMYFUNCTION("""COMPUTED_VALUE"""),26.0)</f>
        <v>26</v>
      </c>
      <c r="F72" s="136">
        <f>IFERROR(__xludf.DUMMYFUNCTION("""COMPUTED_VALUE"""),6.0)</f>
        <v>6</v>
      </c>
      <c r="G72" s="136">
        <f>IFERROR(__xludf.DUMMYFUNCTION("""COMPUTED_VALUE"""),20.0)</f>
        <v>20</v>
      </c>
      <c r="H72" s="137">
        <f>IFERROR(__xludf.DUMMYFUNCTION("""COMPUTED_VALUE"""),0.23076923076923078)</f>
        <v>0.2307692308</v>
      </c>
      <c r="I72" s="136">
        <f>IFERROR(__xludf.DUMMYFUNCTION("""COMPUTED_VALUE"""),1.0)</f>
        <v>1</v>
      </c>
      <c r="J72" s="136">
        <f>IFERROR(__xludf.DUMMYFUNCTION("""COMPUTED_VALUE"""),7038.0)</f>
        <v>7038</v>
      </c>
      <c r="K72" s="136">
        <f>IFERROR(__xludf.DUMMYFUNCTION("""COMPUTED_VALUE"""),13.0)</f>
        <v>13</v>
      </c>
      <c r="L72" s="136">
        <f>IFERROR(__xludf.DUMMYFUNCTION("""COMPUTED_VALUE"""),9.0)</f>
        <v>9</v>
      </c>
      <c r="M72" s="136">
        <f>IFERROR(__xludf.DUMMYFUNCTION("""COMPUTED_VALUE"""),31.0)</f>
        <v>31</v>
      </c>
      <c r="N72" s="136">
        <f>IFERROR(__xludf.DUMMYFUNCTION("""COMPUTED_VALUE"""),44.0)</f>
        <v>44</v>
      </c>
      <c r="O72" s="138">
        <f>IFERROR(__xludf.DUMMYFUNCTION("""COMPUTED_VALUE"""),3.0)</f>
        <v>3</v>
      </c>
      <c r="P72" s="138">
        <f>IFERROR(__xludf.DUMMYFUNCTION("""COMPUTED_VALUE"""),0.0)</f>
        <v>0</v>
      </c>
      <c r="Q72" s="138">
        <f>IFERROR(__xludf.DUMMYFUNCTION("""COMPUTED_VALUE"""),0.0)</f>
        <v>0</v>
      </c>
      <c r="R72" s="138">
        <f>IFERROR(__xludf.DUMMYFUNCTION("""COMPUTED_VALUE"""),4.0)</f>
        <v>4</v>
      </c>
      <c r="S72" s="139">
        <f>IFERROR(__xludf.DUMMYFUNCTION("""COMPUTED_VALUE"""),194.0)</f>
        <v>194</v>
      </c>
      <c r="T72" s="140">
        <f>IFERROR(__xludf.DUMMYFUNCTION("""COMPUTED_VALUE"""),67.0)</f>
        <v>67</v>
      </c>
      <c r="U72" s="136">
        <f>IFERROR(__xludf.DUMMYFUNCTION("""COMPUTED_VALUE"""),18.0)</f>
        <v>18</v>
      </c>
      <c r="V72" s="136">
        <f>IFERROR(__xludf.DUMMYFUNCTION("""COMPUTED_VALUE"""),29.0)</f>
        <v>29</v>
      </c>
      <c r="W72" s="136">
        <f>IFERROR(__xludf.DUMMYFUNCTION("""COMPUTED_VALUE"""),33.0)</f>
        <v>33</v>
      </c>
      <c r="X72" s="136">
        <f>IFERROR(__xludf.DUMMYFUNCTION("""COMPUTED_VALUE"""),374.04545454545456)</f>
        <v>374.0454545</v>
      </c>
      <c r="Y72" s="141">
        <f>IFERROR(__xludf.DUMMYFUNCTION("""COMPUTED_VALUE"""),43.438636363636355)</f>
        <v>43.43863636</v>
      </c>
      <c r="Z72" s="141">
        <f>IFERROR(__xludf.DUMMYFUNCTION("""COMPUTED_VALUE"""),2095.181818181818)</f>
        <v>2095.181818</v>
      </c>
    </row>
    <row r="73">
      <c r="A73" s="41" t="str">
        <f>IFERROR(__xludf.DUMMYFUNCTION("""COMPUTED_VALUE"""),"Challenger")</f>
        <v>Challenger</v>
      </c>
      <c r="B73" s="41" t="str">
        <f>IFERROR(__xludf.DUMMYFUNCTION("""COMPUTED_VALUE"""),"RSC001066")</f>
        <v>RSC001066</v>
      </c>
      <c r="C73" s="41" t="str">
        <f>IFERROR(__xludf.DUMMYFUNCTION("""COMPUTED_VALUE"""),"risu")</f>
        <v>risu</v>
      </c>
      <c r="D73" s="41" t="str">
        <f>IFERROR(__xludf.DUMMYFUNCTION("""COMPUTED_VALUE"""),"Toucans
Corals")</f>
        <v>Toucans
Corals</v>
      </c>
      <c r="E73" s="136">
        <f>IFERROR(__xludf.DUMMYFUNCTION("""COMPUTED_VALUE"""),26.0)</f>
        <v>26</v>
      </c>
      <c r="F73" s="136">
        <f>IFERROR(__xludf.DUMMYFUNCTION("""COMPUTED_VALUE"""),12.0)</f>
        <v>12</v>
      </c>
      <c r="G73" s="136">
        <f>IFERROR(__xludf.DUMMYFUNCTION("""COMPUTED_VALUE"""),14.0)</f>
        <v>14</v>
      </c>
      <c r="H73" s="137">
        <f>IFERROR(__xludf.DUMMYFUNCTION("""COMPUTED_VALUE"""),0.46153846153846156)</f>
        <v>0.4615384615</v>
      </c>
      <c r="I73" s="136">
        <f>IFERROR(__xludf.DUMMYFUNCTION("""COMPUTED_VALUE"""),6.0)</f>
        <v>6</v>
      </c>
      <c r="J73" s="136">
        <f>IFERROR(__xludf.DUMMYFUNCTION("""COMPUTED_VALUE"""),9070.0)</f>
        <v>9070</v>
      </c>
      <c r="K73" s="136">
        <f>IFERROR(__xludf.DUMMYFUNCTION("""COMPUTED_VALUE"""),24.0)</f>
        <v>24</v>
      </c>
      <c r="L73" s="136">
        <f>IFERROR(__xludf.DUMMYFUNCTION("""COMPUTED_VALUE"""),8.0)</f>
        <v>8</v>
      </c>
      <c r="M73" s="136">
        <f>IFERROR(__xludf.DUMMYFUNCTION("""COMPUTED_VALUE"""),34.0)</f>
        <v>34</v>
      </c>
      <c r="N73" s="136">
        <f>IFERROR(__xludf.DUMMYFUNCTION("""COMPUTED_VALUE"""),70.0)</f>
        <v>70</v>
      </c>
      <c r="O73" s="138">
        <f>IFERROR(__xludf.DUMMYFUNCTION("""COMPUTED_VALUE"""),2.0)</f>
        <v>2</v>
      </c>
      <c r="P73" s="138">
        <f>IFERROR(__xludf.DUMMYFUNCTION("""COMPUTED_VALUE"""),3.0)</f>
        <v>3</v>
      </c>
      <c r="Q73" s="138">
        <f>IFERROR(__xludf.DUMMYFUNCTION("""COMPUTED_VALUE"""),1.0)</f>
        <v>1</v>
      </c>
      <c r="R73" s="138">
        <f>IFERROR(__xludf.DUMMYFUNCTION("""COMPUTED_VALUE"""),2.0)</f>
        <v>2</v>
      </c>
      <c r="S73" s="139">
        <f>IFERROR(__xludf.DUMMYFUNCTION("""COMPUTED_VALUE"""),204.0)</f>
        <v>204</v>
      </c>
      <c r="T73" s="140">
        <f>IFERROR(__xludf.DUMMYFUNCTION("""COMPUTED_VALUE"""),76.0)</f>
        <v>76</v>
      </c>
      <c r="U73" s="136">
        <f>IFERROR(__xludf.DUMMYFUNCTION("""COMPUTED_VALUE"""),29.0)</f>
        <v>29</v>
      </c>
      <c r="V73" s="136">
        <f>IFERROR(__xludf.DUMMYFUNCTION("""COMPUTED_VALUE"""),10.0)</f>
        <v>10</v>
      </c>
      <c r="W73" s="136">
        <f>IFERROR(__xludf.DUMMYFUNCTION("""COMPUTED_VALUE"""),21.0)</f>
        <v>21</v>
      </c>
      <c r="X73" s="136">
        <f>IFERROR(__xludf.DUMMYFUNCTION("""COMPUTED_VALUE"""),283.53846153846155)</f>
        <v>283.5384615</v>
      </c>
      <c r="Y73" s="141">
        <f>IFERROR(__xludf.DUMMYFUNCTION("""COMPUTED_VALUE"""),51.69346153846155)</f>
        <v>51.69346154</v>
      </c>
      <c r="Z73" s="141">
        <f>IFERROR(__xludf.DUMMYFUNCTION("""COMPUTED_VALUE"""),1731.6538461538462)</f>
        <v>1731.653846</v>
      </c>
    </row>
    <row r="74">
      <c r="A74" s="41" t="str">
        <f>IFERROR(__xludf.DUMMYFUNCTION("""COMPUTED_VALUE"""),"Rival")</f>
        <v>Rival</v>
      </c>
      <c r="B74" s="41" t="str">
        <f>IFERROR(__xludf.DUMMYFUNCTION("""COMPUTED_VALUE"""),"RSC001082")</f>
        <v>RSC001082</v>
      </c>
      <c r="C74" s="41" t="str">
        <f>IFERROR(__xludf.DUMMYFUNCTION("""COMPUTED_VALUE"""),"Tuxedo Marx")</f>
        <v>Tuxedo Marx</v>
      </c>
      <c r="D74" s="41" t="str">
        <f>IFERROR(__xludf.DUMMYFUNCTION("""COMPUTED_VALUE"""),"Asiago Arsonists")</f>
        <v>Asiago Arsonists</v>
      </c>
      <c r="E74" s="136">
        <f>IFERROR(__xludf.DUMMYFUNCTION("""COMPUTED_VALUE"""),22.0)</f>
        <v>22</v>
      </c>
      <c r="F74" s="136">
        <f>IFERROR(__xludf.DUMMYFUNCTION("""COMPUTED_VALUE"""),8.0)</f>
        <v>8</v>
      </c>
      <c r="G74" s="136">
        <f>IFERROR(__xludf.DUMMYFUNCTION("""COMPUTED_VALUE"""),14.0)</f>
        <v>14</v>
      </c>
      <c r="H74" s="137">
        <f>IFERROR(__xludf.DUMMYFUNCTION("""COMPUTED_VALUE"""),0.36363636363636365)</f>
        <v>0.3636363636</v>
      </c>
      <c r="I74" s="136">
        <f>IFERROR(__xludf.DUMMYFUNCTION("""COMPUTED_VALUE"""),3.0)</f>
        <v>3</v>
      </c>
      <c r="J74" s="136">
        <f>IFERROR(__xludf.DUMMYFUNCTION("""COMPUTED_VALUE"""),7093.0)</f>
        <v>7093</v>
      </c>
      <c r="K74" s="136">
        <f>IFERROR(__xludf.DUMMYFUNCTION("""COMPUTED_VALUE"""),16.0)</f>
        <v>16</v>
      </c>
      <c r="L74" s="136">
        <f>IFERROR(__xludf.DUMMYFUNCTION("""COMPUTED_VALUE"""),9.0)</f>
        <v>9</v>
      </c>
      <c r="M74" s="136">
        <f>IFERROR(__xludf.DUMMYFUNCTION("""COMPUTED_VALUE"""),24.0)</f>
        <v>24</v>
      </c>
      <c r="N74" s="136">
        <f>IFERROR(__xludf.DUMMYFUNCTION("""COMPUTED_VALUE"""),48.0)</f>
        <v>48</v>
      </c>
      <c r="O74" s="138">
        <f>IFERROR(__xludf.DUMMYFUNCTION("""COMPUTED_VALUE"""),2.0)</f>
        <v>2</v>
      </c>
      <c r="P74" s="138">
        <f>IFERROR(__xludf.DUMMYFUNCTION("""COMPUTED_VALUE"""),1.0)</f>
        <v>1</v>
      </c>
      <c r="Q74" s="138">
        <f>IFERROR(__xludf.DUMMYFUNCTION("""COMPUTED_VALUE"""),0.0)</f>
        <v>0</v>
      </c>
      <c r="R74" s="138">
        <f>IFERROR(__xludf.DUMMYFUNCTION("""COMPUTED_VALUE"""),1.0)</f>
        <v>1</v>
      </c>
      <c r="S74" s="139">
        <f>IFERROR(__xludf.DUMMYFUNCTION("""COMPUTED_VALUE"""),172.0)</f>
        <v>172</v>
      </c>
      <c r="T74" s="140">
        <f>IFERROR(__xludf.DUMMYFUNCTION("""COMPUTED_VALUE"""),53.0)</f>
        <v>53</v>
      </c>
      <c r="U74" s="136">
        <f>IFERROR(__xludf.DUMMYFUNCTION("""COMPUTED_VALUE"""),12.0)</f>
        <v>12</v>
      </c>
      <c r="V74" s="136">
        <f>IFERROR(__xludf.DUMMYFUNCTION("""COMPUTED_VALUE"""),6.0)</f>
        <v>6</v>
      </c>
      <c r="W74" s="136">
        <f>IFERROR(__xludf.DUMMYFUNCTION("""COMPUTED_VALUE"""),22.0)</f>
        <v>22</v>
      </c>
      <c r="X74" s="136">
        <f>IFERROR(__xludf.DUMMYFUNCTION("""COMPUTED_VALUE"""),335.40909090909093)</f>
        <v>335.4090909</v>
      </c>
      <c r="Y74" s="141">
        <f>IFERROR(__xludf.DUMMYFUNCTION("""COMPUTED_VALUE"""),48.73045454545454)</f>
        <v>48.73045455</v>
      </c>
      <c r="Z74" s="141">
        <f>IFERROR(__xludf.DUMMYFUNCTION("""COMPUTED_VALUE"""),2025.9545454545455)</f>
        <v>2025.954545</v>
      </c>
    </row>
    <row r="75">
      <c r="A75" s="41" t="str">
        <f>IFERROR(__xludf.DUMMYFUNCTION("""COMPUTED_VALUE"""),"Veteran")</f>
        <v>Veteran</v>
      </c>
      <c r="B75" s="41" t="str">
        <f>IFERROR(__xludf.DUMMYFUNCTION("""COMPUTED_VALUE"""),"RSC001091")</f>
        <v>RSC001091</v>
      </c>
      <c r="C75" s="41" t="str">
        <f>IFERROR(__xludf.DUMMYFUNCTION("""COMPUTED_VALUE"""),"stealthman777")</f>
        <v>stealthman777</v>
      </c>
      <c r="D75" s="41" t="str">
        <f>IFERROR(__xludf.DUMMYFUNCTION("""COMPUTED_VALUE"""),"Kirin")</f>
        <v>Kirin</v>
      </c>
      <c r="E75" s="136">
        <f>IFERROR(__xludf.DUMMYFUNCTION("""COMPUTED_VALUE"""),36.0)</f>
        <v>36</v>
      </c>
      <c r="F75" s="136">
        <f>IFERROR(__xludf.DUMMYFUNCTION("""COMPUTED_VALUE"""),13.0)</f>
        <v>13</v>
      </c>
      <c r="G75" s="136">
        <f>IFERROR(__xludf.DUMMYFUNCTION("""COMPUTED_VALUE"""),23.0)</f>
        <v>23</v>
      </c>
      <c r="H75" s="137">
        <f>IFERROR(__xludf.DUMMYFUNCTION("""COMPUTED_VALUE"""),0.3611111111111111)</f>
        <v>0.3611111111</v>
      </c>
      <c r="I75" s="136">
        <f>IFERROR(__xludf.DUMMYFUNCTION("""COMPUTED_VALUE"""),3.0)</f>
        <v>3</v>
      </c>
      <c r="J75" s="136">
        <f>IFERROR(__xludf.DUMMYFUNCTION("""COMPUTED_VALUE"""),9297.0)</f>
        <v>9297</v>
      </c>
      <c r="K75" s="136">
        <f>IFERROR(__xludf.DUMMYFUNCTION("""COMPUTED_VALUE"""),9.0)</f>
        <v>9</v>
      </c>
      <c r="L75" s="136">
        <f>IFERROR(__xludf.DUMMYFUNCTION("""COMPUTED_VALUE"""),17.0)</f>
        <v>17</v>
      </c>
      <c r="M75" s="136">
        <f>IFERROR(__xludf.DUMMYFUNCTION("""COMPUTED_VALUE"""),46.0)</f>
        <v>46</v>
      </c>
      <c r="N75" s="136">
        <f>IFERROR(__xludf.DUMMYFUNCTION("""COMPUTED_VALUE"""),71.0)</f>
        <v>71</v>
      </c>
      <c r="O75" s="138">
        <f>IFERROR(__xludf.DUMMYFUNCTION("""COMPUTED_VALUE"""),4.0)</f>
        <v>4</v>
      </c>
      <c r="P75" s="138">
        <f>IFERROR(__xludf.DUMMYFUNCTION("""COMPUTED_VALUE"""),0.0)</f>
        <v>0</v>
      </c>
      <c r="Q75" s="138">
        <f>IFERROR(__xludf.DUMMYFUNCTION("""COMPUTED_VALUE"""),0.0)</f>
        <v>0</v>
      </c>
      <c r="R75" s="138">
        <f>IFERROR(__xludf.DUMMYFUNCTION("""COMPUTED_VALUE"""),5.0)</f>
        <v>5</v>
      </c>
      <c r="S75" s="139">
        <f>IFERROR(__xludf.DUMMYFUNCTION("""COMPUTED_VALUE"""),281.0)</f>
        <v>281</v>
      </c>
      <c r="T75" s="140">
        <f>IFERROR(__xludf.DUMMYFUNCTION("""COMPUTED_VALUE"""),98.0)</f>
        <v>98</v>
      </c>
      <c r="U75" s="136">
        <f>IFERROR(__xludf.DUMMYFUNCTION("""COMPUTED_VALUE"""),27.0)</f>
        <v>27</v>
      </c>
      <c r="V75" s="136">
        <f>IFERROR(__xludf.DUMMYFUNCTION("""COMPUTED_VALUE"""),7.0)</f>
        <v>7</v>
      </c>
      <c r="W75" s="136">
        <f>IFERROR(__xludf.DUMMYFUNCTION("""COMPUTED_VALUE"""),37.0)</f>
        <v>37</v>
      </c>
      <c r="X75" s="136">
        <f>IFERROR(__xludf.DUMMYFUNCTION("""COMPUTED_VALUE"""),287.0833333333333)</f>
        <v>287.0833333</v>
      </c>
      <c r="Y75" s="141">
        <f>IFERROR(__xludf.DUMMYFUNCTION("""COMPUTED_VALUE"""),49.86527777777778)</f>
        <v>49.86527778</v>
      </c>
      <c r="Z75" s="141">
        <f>IFERROR(__xludf.DUMMYFUNCTION("""COMPUTED_VALUE"""),1770.5555555555557)</f>
        <v>1770.555556</v>
      </c>
    </row>
    <row r="76">
      <c r="A76" s="41" t="str">
        <f>IFERROR(__xludf.DUMMYFUNCTION("""COMPUTED_VALUE"""),"Elite")</f>
        <v>Elite</v>
      </c>
      <c r="B76" s="41" t="str">
        <f>IFERROR(__xludf.DUMMYFUNCTION("""COMPUTED_VALUE"""),"RSC001098")</f>
        <v>RSC001098</v>
      </c>
      <c r="C76" s="41" t="str">
        <f>IFERROR(__xludf.DUMMYFUNCTION("""COMPUTED_VALUE"""),"Wafe")</f>
        <v>Wafe</v>
      </c>
      <c r="D76" s="41" t="str">
        <f>IFERROR(__xludf.DUMMYFUNCTION("""COMPUTED_VALUE"""),"Thrashers
Hellhounds")</f>
        <v>Thrashers
Hellhounds</v>
      </c>
      <c r="E76" s="136">
        <f>IFERROR(__xludf.DUMMYFUNCTION("""COMPUTED_VALUE"""),34.0)</f>
        <v>34</v>
      </c>
      <c r="F76" s="136">
        <f>IFERROR(__xludf.DUMMYFUNCTION("""COMPUTED_VALUE"""),13.0)</f>
        <v>13</v>
      </c>
      <c r="G76" s="136">
        <f>IFERROR(__xludf.DUMMYFUNCTION("""COMPUTED_VALUE"""),21.0)</f>
        <v>21</v>
      </c>
      <c r="H76" s="137">
        <f>IFERROR(__xludf.DUMMYFUNCTION("""COMPUTED_VALUE"""),0.38235294117647056)</f>
        <v>0.3823529412</v>
      </c>
      <c r="I76" s="136">
        <f>IFERROR(__xludf.DUMMYFUNCTION("""COMPUTED_VALUE"""),4.0)</f>
        <v>4</v>
      </c>
      <c r="J76" s="136">
        <f>IFERROR(__xludf.DUMMYFUNCTION("""COMPUTED_VALUE"""),10717.0)</f>
        <v>10717</v>
      </c>
      <c r="K76" s="136">
        <f>IFERROR(__xludf.DUMMYFUNCTION("""COMPUTED_VALUE"""),21.0)</f>
        <v>21</v>
      </c>
      <c r="L76" s="136">
        <f>IFERROR(__xludf.DUMMYFUNCTION("""COMPUTED_VALUE"""),15.0)</f>
        <v>15</v>
      </c>
      <c r="M76" s="136">
        <f>IFERROR(__xludf.DUMMYFUNCTION("""COMPUTED_VALUE"""),38.0)</f>
        <v>38</v>
      </c>
      <c r="N76" s="136">
        <f>IFERROR(__xludf.DUMMYFUNCTION("""COMPUTED_VALUE"""),83.0)</f>
        <v>83</v>
      </c>
      <c r="O76" s="138">
        <f>IFERROR(__xludf.DUMMYFUNCTION("""COMPUTED_VALUE"""),4.0)</f>
        <v>4</v>
      </c>
      <c r="P76" s="138">
        <f>IFERROR(__xludf.DUMMYFUNCTION("""COMPUTED_VALUE"""),0.0)</f>
        <v>0</v>
      </c>
      <c r="Q76" s="138">
        <f>IFERROR(__xludf.DUMMYFUNCTION("""COMPUTED_VALUE"""),0.0)</f>
        <v>0</v>
      </c>
      <c r="R76" s="138">
        <f>IFERROR(__xludf.DUMMYFUNCTION("""COMPUTED_VALUE"""),5.0)</f>
        <v>5</v>
      </c>
      <c r="S76" s="139">
        <f>IFERROR(__xludf.DUMMYFUNCTION("""COMPUTED_VALUE"""),268.0)</f>
        <v>268</v>
      </c>
      <c r="T76" s="140">
        <f>IFERROR(__xludf.DUMMYFUNCTION("""COMPUTED_VALUE"""),92.0)</f>
        <v>92</v>
      </c>
      <c r="U76" s="136">
        <f>IFERROR(__xludf.DUMMYFUNCTION("""COMPUTED_VALUE"""),35.0)</f>
        <v>35</v>
      </c>
      <c r="V76" s="136">
        <f>IFERROR(__xludf.DUMMYFUNCTION("""COMPUTED_VALUE"""),47.0)</f>
        <v>47</v>
      </c>
      <c r="W76" s="136">
        <f>IFERROR(__xludf.DUMMYFUNCTION("""COMPUTED_VALUE"""),31.0)</f>
        <v>31</v>
      </c>
      <c r="X76" s="136">
        <f>IFERROR(__xludf.DUMMYFUNCTION("""COMPUTED_VALUE"""),440.70588235294116)</f>
        <v>440.7058824</v>
      </c>
      <c r="Y76" s="141">
        <f>IFERROR(__xludf.DUMMYFUNCTION("""COMPUTED_VALUE"""),46.18235294117647)</f>
        <v>46.18235294</v>
      </c>
      <c r="Z76" s="141">
        <f>IFERROR(__xludf.DUMMYFUNCTION("""COMPUTED_VALUE"""),2628.6176470588234)</f>
        <v>2628.617647</v>
      </c>
    </row>
    <row r="77">
      <c r="A77" s="41" t="str">
        <f>IFERROR(__xludf.DUMMYFUNCTION("""COMPUTED_VALUE"""),"Premier")</f>
        <v>Premier</v>
      </c>
      <c r="B77" s="41" t="str">
        <f>IFERROR(__xludf.DUMMYFUNCTION("""COMPUTED_VALUE"""),"RSC001114")</f>
        <v>RSC001114</v>
      </c>
      <c r="C77" s="41" t="str">
        <f>IFERROR(__xludf.DUMMYFUNCTION("""COMPUTED_VALUE"""),"ASHES.")</f>
        <v>ASHES.</v>
      </c>
      <c r="D77" s="41" t="str">
        <f>IFERROR(__xludf.DUMMYFUNCTION("""COMPUTED_VALUE"""),"Interstellar")</f>
        <v>Interstellar</v>
      </c>
      <c r="E77" s="136">
        <f>IFERROR(__xludf.DUMMYFUNCTION("""COMPUTED_VALUE"""),48.0)</f>
        <v>48</v>
      </c>
      <c r="F77" s="136">
        <f>IFERROR(__xludf.DUMMYFUNCTION("""COMPUTED_VALUE"""),20.0)</f>
        <v>20</v>
      </c>
      <c r="G77" s="136">
        <f>IFERROR(__xludf.DUMMYFUNCTION("""COMPUTED_VALUE"""),28.0)</f>
        <v>28</v>
      </c>
      <c r="H77" s="137">
        <f>IFERROR(__xludf.DUMMYFUNCTION("""COMPUTED_VALUE"""),0.4166666666666667)</f>
        <v>0.4166666667</v>
      </c>
      <c r="I77" s="136">
        <f>IFERROR(__xludf.DUMMYFUNCTION("""COMPUTED_VALUE"""),6.0)</f>
        <v>6</v>
      </c>
      <c r="J77" s="136">
        <f>IFERROR(__xludf.DUMMYFUNCTION("""COMPUTED_VALUE"""),16010.0)</f>
        <v>16010</v>
      </c>
      <c r="K77" s="136">
        <f>IFERROR(__xludf.DUMMYFUNCTION("""COMPUTED_VALUE"""),35.0)</f>
        <v>35</v>
      </c>
      <c r="L77" s="136">
        <f>IFERROR(__xludf.DUMMYFUNCTION("""COMPUTED_VALUE"""),34.0)</f>
        <v>34</v>
      </c>
      <c r="M77" s="136">
        <f>IFERROR(__xludf.DUMMYFUNCTION("""COMPUTED_VALUE"""),47.0)</f>
        <v>47</v>
      </c>
      <c r="N77" s="136">
        <f>IFERROR(__xludf.DUMMYFUNCTION("""COMPUTED_VALUE"""),142.0)</f>
        <v>142</v>
      </c>
      <c r="O77" s="138">
        <f>IFERROR(__xludf.DUMMYFUNCTION("""COMPUTED_VALUE"""),7.0)</f>
        <v>7</v>
      </c>
      <c r="P77" s="138">
        <f>IFERROR(__xludf.DUMMYFUNCTION("""COMPUTED_VALUE"""),4.0)</f>
        <v>4</v>
      </c>
      <c r="Q77" s="138">
        <f>IFERROR(__xludf.DUMMYFUNCTION("""COMPUTED_VALUE"""),1.0)</f>
        <v>1</v>
      </c>
      <c r="R77" s="138">
        <f>IFERROR(__xludf.DUMMYFUNCTION("""COMPUTED_VALUE"""),4.0)</f>
        <v>4</v>
      </c>
      <c r="S77" s="139">
        <f>IFERROR(__xludf.DUMMYFUNCTION("""COMPUTED_VALUE"""),389.0)</f>
        <v>389</v>
      </c>
      <c r="T77" s="140">
        <f>IFERROR(__xludf.DUMMYFUNCTION("""COMPUTED_VALUE"""),129.0)</f>
        <v>129</v>
      </c>
      <c r="U77" s="136">
        <f>IFERROR(__xludf.DUMMYFUNCTION("""COMPUTED_VALUE"""),38.0)</f>
        <v>38</v>
      </c>
      <c r="V77" s="136">
        <f>IFERROR(__xludf.DUMMYFUNCTION("""COMPUTED_VALUE"""),74.0)</f>
        <v>74</v>
      </c>
      <c r="W77" s="136">
        <f>IFERROR(__xludf.DUMMYFUNCTION("""COMPUTED_VALUE"""),39.0)</f>
        <v>39</v>
      </c>
      <c r="X77" s="136">
        <f>IFERROR(__xludf.DUMMYFUNCTION("""COMPUTED_VALUE"""),457.2916666666667)</f>
        <v>457.2916667</v>
      </c>
      <c r="Y77" s="141">
        <f>IFERROR(__xludf.DUMMYFUNCTION("""COMPUTED_VALUE"""),45.877708333333324)</f>
        <v>45.87770833</v>
      </c>
      <c r="Z77" s="141">
        <f>IFERROR(__xludf.DUMMYFUNCTION("""COMPUTED_VALUE"""),2725.5208333333335)</f>
        <v>2725.520833</v>
      </c>
    </row>
    <row r="78">
      <c r="A78" s="41" t="str">
        <f>IFERROR(__xludf.DUMMYFUNCTION("""COMPUTED_VALUE"""),"Veteran")</f>
        <v>Veteran</v>
      </c>
      <c r="B78" s="41" t="str">
        <f>IFERROR(__xludf.DUMMYFUNCTION("""COMPUTED_VALUE"""),"RSC001199")</f>
        <v>RSC001199</v>
      </c>
      <c r="C78" s="41" t="str">
        <f>IFERROR(__xludf.DUMMYFUNCTION("""COMPUTED_VALUE"""),"Classy")</f>
        <v>Classy</v>
      </c>
      <c r="D78" s="41" t="str">
        <f>IFERROR(__xludf.DUMMYFUNCTION("""COMPUTED_VALUE"""),"Water")</f>
        <v>Water</v>
      </c>
      <c r="E78" s="136">
        <f>IFERROR(__xludf.DUMMYFUNCTION("""COMPUTED_VALUE"""),54.0)</f>
        <v>54</v>
      </c>
      <c r="F78" s="136">
        <f>IFERROR(__xludf.DUMMYFUNCTION("""COMPUTED_VALUE"""),34.0)</f>
        <v>34</v>
      </c>
      <c r="G78" s="136">
        <f>IFERROR(__xludf.DUMMYFUNCTION("""COMPUTED_VALUE"""),20.0)</f>
        <v>20</v>
      </c>
      <c r="H78" s="137">
        <f>IFERROR(__xludf.DUMMYFUNCTION("""COMPUTED_VALUE"""),0.6296296296296297)</f>
        <v>0.6296296296</v>
      </c>
      <c r="I78" s="136">
        <f>IFERROR(__xludf.DUMMYFUNCTION("""COMPUTED_VALUE"""),16.0)</f>
        <v>16</v>
      </c>
      <c r="J78" s="136">
        <f>IFERROR(__xludf.DUMMYFUNCTION("""COMPUTED_VALUE"""),21629.0)</f>
        <v>21629</v>
      </c>
      <c r="K78" s="136">
        <f>IFERROR(__xludf.DUMMYFUNCTION("""COMPUTED_VALUE"""),52.0)</f>
        <v>52</v>
      </c>
      <c r="L78" s="136">
        <f>IFERROR(__xludf.DUMMYFUNCTION("""COMPUTED_VALUE"""),40.0)</f>
        <v>40</v>
      </c>
      <c r="M78" s="136">
        <f>IFERROR(__xludf.DUMMYFUNCTION("""COMPUTED_VALUE"""),71.0)</f>
        <v>71</v>
      </c>
      <c r="N78" s="136">
        <f>IFERROR(__xludf.DUMMYFUNCTION("""COMPUTED_VALUE"""),164.0)</f>
        <v>164</v>
      </c>
      <c r="O78" s="138">
        <f>IFERROR(__xludf.DUMMYFUNCTION("""COMPUTED_VALUE"""),14.0)</f>
        <v>14</v>
      </c>
      <c r="P78" s="138">
        <f>IFERROR(__xludf.DUMMYFUNCTION("""COMPUTED_VALUE"""),4.0)</f>
        <v>4</v>
      </c>
      <c r="Q78" s="138">
        <f>IFERROR(__xludf.DUMMYFUNCTION("""COMPUTED_VALUE"""),3.0)</f>
        <v>3</v>
      </c>
      <c r="R78" s="138">
        <f>IFERROR(__xludf.DUMMYFUNCTION("""COMPUTED_VALUE"""),9.0)</f>
        <v>9</v>
      </c>
      <c r="S78" s="139">
        <f>IFERROR(__xludf.DUMMYFUNCTION("""COMPUTED_VALUE"""),365.0)</f>
        <v>365</v>
      </c>
      <c r="T78" s="140">
        <f>IFERROR(__xludf.DUMMYFUNCTION("""COMPUTED_VALUE"""),92.0)</f>
        <v>92</v>
      </c>
      <c r="U78" s="136">
        <f>IFERROR(__xludf.DUMMYFUNCTION("""COMPUTED_VALUE"""),25.0)</f>
        <v>25</v>
      </c>
      <c r="V78" s="136">
        <f>IFERROR(__xludf.DUMMYFUNCTION("""COMPUTED_VALUE"""),58.0)</f>
        <v>58</v>
      </c>
      <c r="W78" s="136">
        <f>IFERROR(__xludf.DUMMYFUNCTION("""COMPUTED_VALUE"""),42.0)</f>
        <v>42</v>
      </c>
      <c r="X78" s="136">
        <f>IFERROR(__xludf.DUMMYFUNCTION("""COMPUTED_VALUE"""),350.85185185185185)</f>
        <v>350.8518519</v>
      </c>
      <c r="Y78" s="141">
        <f>IFERROR(__xludf.DUMMYFUNCTION("""COMPUTED_VALUE"""),52.67462962962961)</f>
        <v>52.67462963</v>
      </c>
      <c r="Z78" s="141">
        <f>IFERROR(__xludf.DUMMYFUNCTION("""COMPUTED_VALUE"""),2196.796296296296)</f>
        <v>2196.796296</v>
      </c>
    </row>
    <row r="79">
      <c r="A79" s="41" t="str">
        <f>IFERROR(__xludf.DUMMYFUNCTION("""COMPUTED_VALUE"""),"Rival")</f>
        <v>Rival</v>
      </c>
      <c r="B79" s="41" t="str">
        <f>IFERROR(__xludf.DUMMYFUNCTION("""COMPUTED_VALUE"""),"RSC001202")</f>
        <v>RSC001202</v>
      </c>
      <c r="C79" s="41" t="str">
        <f>IFERROR(__xludf.DUMMYFUNCTION("""COMPUTED_VALUE"""),"Clown Sandwich")</f>
        <v>Clown Sandwich</v>
      </c>
      <c r="D79" s="41" t="str">
        <f>IFERROR(__xludf.DUMMYFUNCTION("""COMPUTED_VALUE"""),"Gaboons")</f>
        <v>Gaboons</v>
      </c>
      <c r="E79" s="136">
        <f>IFERROR(__xludf.DUMMYFUNCTION("""COMPUTED_VALUE"""),14.0)</f>
        <v>14</v>
      </c>
      <c r="F79" s="136">
        <f>IFERROR(__xludf.DUMMYFUNCTION("""COMPUTED_VALUE"""),1.0)</f>
        <v>1</v>
      </c>
      <c r="G79" s="136">
        <f>IFERROR(__xludf.DUMMYFUNCTION("""COMPUTED_VALUE"""),13.0)</f>
        <v>13</v>
      </c>
      <c r="H79" s="137">
        <f>IFERROR(__xludf.DUMMYFUNCTION("""COMPUTED_VALUE"""),0.07142857142857142)</f>
        <v>0.07142857143</v>
      </c>
      <c r="I79" s="136">
        <f>IFERROR(__xludf.DUMMYFUNCTION("""COMPUTED_VALUE"""),0.0)</f>
        <v>0</v>
      </c>
      <c r="J79" s="136">
        <f>IFERROR(__xludf.DUMMYFUNCTION("""COMPUTED_VALUE"""),4071.0)</f>
        <v>4071</v>
      </c>
      <c r="K79" s="136">
        <f>IFERROR(__xludf.DUMMYFUNCTION("""COMPUTED_VALUE"""),8.0)</f>
        <v>8</v>
      </c>
      <c r="L79" s="136">
        <f>IFERROR(__xludf.DUMMYFUNCTION("""COMPUTED_VALUE"""),4.0)</f>
        <v>4</v>
      </c>
      <c r="M79" s="136">
        <f>IFERROR(__xludf.DUMMYFUNCTION("""COMPUTED_VALUE"""),23.0)</f>
        <v>23</v>
      </c>
      <c r="N79" s="136">
        <f>IFERROR(__xludf.DUMMYFUNCTION("""COMPUTED_VALUE"""),20.0)</f>
        <v>20</v>
      </c>
      <c r="O79" s="138">
        <f>IFERROR(__xludf.DUMMYFUNCTION("""COMPUTED_VALUE"""),1.0)</f>
        <v>1</v>
      </c>
      <c r="P79" s="138">
        <f>IFERROR(__xludf.DUMMYFUNCTION("""COMPUTED_VALUE"""),0.0)</f>
        <v>0</v>
      </c>
      <c r="Q79" s="138">
        <f>IFERROR(__xludf.DUMMYFUNCTION("""COMPUTED_VALUE"""),1.0)</f>
        <v>1</v>
      </c>
      <c r="R79" s="138">
        <f>IFERROR(__xludf.DUMMYFUNCTION("""COMPUTED_VALUE"""),4.0)</f>
        <v>4</v>
      </c>
      <c r="S79" s="139">
        <f>IFERROR(__xludf.DUMMYFUNCTION("""COMPUTED_VALUE"""),136.0)</f>
        <v>136</v>
      </c>
      <c r="T79" s="140">
        <f>IFERROR(__xludf.DUMMYFUNCTION("""COMPUTED_VALUE"""),47.0)</f>
        <v>47</v>
      </c>
      <c r="U79" s="136">
        <f>IFERROR(__xludf.DUMMYFUNCTION("""COMPUTED_VALUE"""),18.0)</f>
        <v>18</v>
      </c>
      <c r="V79" s="136">
        <f>IFERROR(__xludf.DUMMYFUNCTION("""COMPUTED_VALUE"""),6.0)</f>
        <v>6</v>
      </c>
      <c r="W79" s="136">
        <f>IFERROR(__xludf.DUMMYFUNCTION("""COMPUTED_VALUE"""),16.0)</f>
        <v>16</v>
      </c>
      <c r="X79" s="136">
        <f>IFERROR(__xludf.DUMMYFUNCTION("""COMPUTED_VALUE"""),272.2857142857143)</f>
        <v>272.2857143</v>
      </c>
      <c r="Y79" s="141">
        <f>IFERROR(__xludf.DUMMYFUNCTION("""COMPUTED_VALUE"""),40.69428571428572)</f>
        <v>40.69428571</v>
      </c>
      <c r="Z79" s="141">
        <f>IFERROR(__xludf.DUMMYFUNCTION("""COMPUTED_VALUE"""),1584.5)</f>
        <v>1584.5</v>
      </c>
    </row>
    <row r="80">
      <c r="A80" s="41" t="str">
        <f>IFERROR(__xludf.DUMMYFUNCTION("""COMPUTED_VALUE"""),"Master")</f>
        <v>Master</v>
      </c>
      <c r="B80" s="41" t="str">
        <f>IFERROR(__xludf.DUMMYFUNCTION("""COMPUTED_VALUE"""),"RSC001243")</f>
        <v>RSC001243</v>
      </c>
      <c r="C80" s="41" t="str">
        <f>IFERROR(__xludf.DUMMYFUNCTION("""COMPUTED_VALUE"""),"Destin")</f>
        <v>Destin</v>
      </c>
      <c r="D80" s="41" t="str">
        <f>IFERROR(__xludf.DUMMYFUNCTION("""COMPUTED_VALUE"""),"Permafrost
Lemurs")</f>
        <v>Permafrost
Lemurs</v>
      </c>
      <c r="E80" s="136">
        <f>IFERROR(__xludf.DUMMYFUNCTION("""COMPUTED_VALUE"""),32.0)</f>
        <v>32</v>
      </c>
      <c r="F80" s="136">
        <f>IFERROR(__xludf.DUMMYFUNCTION("""COMPUTED_VALUE"""),11.0)</f>
        <v>11</v>
      </c>
      <c r="G80" s="136">
        <f>IFERROR(__xludf.DUMMYFUNCTION("""COMPUTED_VALUE"""),21.0)</f>
        <v>21</v>
      </c>
      <c r="H80" s="137">
        <f>IFERROR(__xludf.DUMMYFUNCTION("""COMPUTED_VALUE"""),0.34375)</f>
        <v>0.34375</v>
      </c>
      <c r="I80" s="136">
        <f>IFERROR(__xludf.DUMMYFUNCTION("""COMPUTED_VALUE"""),3.0)</f>
        <v>3</v>
      </c>
      <c r="J80" s="136">
        <f>IFERROR(__xludf.DUMMYFUNCTION("""COMPUTED_VALUE"""),12462.0)</f>
        <v>12462</v>
      </c>
      <c r="K80" s="136">
        <f>IFERROR(__xludf.DUMMYFUNCTION("""COMPUTED_VALUE"""),28.0)</f>
        <v>28</v>
      </c>
      <c r="L80" s="136">
        <f>IFERROR(__xludf.DUMMYFUNCTION("""COMPUTED_VALUE"""),17.0)</f>
        <v>17</v>
      </c>
      <c r="M80" s="136">
        <f>IFERROR(__xludf.DUMMYFUNCTION("""COMPUTED_VALUE"""),42.0)</f>
        <v>42</v>
      </c>
      <c r="N80" s="136">
        <f>IFERROR(__xludf.DUMMYFUNCTION("""COMPUTED_VALUE"""),100.0)</f>
        <v>100</v>
      </c>
      <c r="O80" s="138">
        <f>IFERROR(__xludf.DUMMYFUNCTION("""COMPUTED_VALUE"""),7.0)</f>
        <v>7</v>
      </c>
      <c r="P80" s="138">
        <f>IFERROR(__xludf.DUMMYFUNCTION("""COMPUTED_VALUE"""),1.0)</f>
        <v>1</v>
      </c>
      <c r="Q80" s="138">
        <f>IFERROR(__xludf.DUMMYFUNCTION("""COMPUTED_VALUE"""),0.0)</f>
        <v>0</v>
      </c>
      <c r="R80" s="138">
        <f>IFERROR(__xludf.DUMMYFUNCTION("""COMPUTED_VALUE"""),3.0)</f>
        <v>3</v>
      </c>
      <c r="S80" s="139">
        <f>IFERROR(__xludf.DUMMYFUNCTION("""COMPUTED_VALUE"""),242.0)</f>
        <v>242</v>
      </c>
      <c r="T80" s="140">
        <f>IFERROR(__xludf.DUMMYFUNCTION("""COMPUTED_VALUE"""),93.0)</f>
        <v>93</v>
      </c>
      <c r="U80" s="136">
        <f>IFERROR(__xludf.DUMMYFUNCTION("""COMPUTED_VALUE"""),28.0)</f>
        <v>28</v>
      </c>
      <c r="V80" s="136">
        <f>IFERROR(__xludf.DUMMYFUNCTION("""COMPUTED_VALUE"""),31.0)</f>
        <v>31</v>
      </c>
      <c r="W80" s="136">
        <f>IFERROR(__xludf.DUMMYFUNCTION("""COMPUTED_VALUE"""),46.0)</f>
        <v>46</v>
      </c>
      <c r="X80" s="136">
        <f>IFERROR(__xludf.DUMMYFUNCTION("""COMPUTED_VALUE"""),414.40625)</f>
        <v>414.40625</v>
      </c>
      <c r="Y80" s="141">
        <f>IFERROR(__xludf.DUMMYFUNCTION("""COMPUTED_VALUE"""),48.12999999999999)</f>
        <v>48.13</v>
      </c>
      <c r="Z80" s="141">
        <f>IFERROR(__xludf.DUMMYFUNCTION("""COMPUTED_VALUE"""),2444.53125)</f>
        <v>2444.53125</v>
      </c>
    </row>
    <row r="81">
      <c r="A81" s="41" t="str">
        <f>IFERROR(__xludf.DUMMYFUNCTION("""COMPUTED_VALUE"""),"Elite")</f>
        <v>Elite</v>
      </c>
      <c r="B81" s="41" t="str">
        <f>IFERROR(__xludf.DUMMYFUNCTION("""COMPUTED_VALUE"""),"RSC001292")</f>
        <v>RSC001292</v>
      </c>
      <c r="C81" s="41" t="str">
        <f>IFERROR(__xludf.DUMMYFUNCTION("""COMPUTED_VALUE"""),"flamethrowr")</f>
        <v>flamethrowr</v>
      </c>
      <c r="D81" s="41" t="str">
        <f>IFERROR(__xludf.DUMMYFUNCTION("""COMPUTED_VALUE"""),"Menthol")</f>
        <v>Menthol</v>
      </c>
      <c r="E81" s="136">
        <f>IFERROR(__xludf.DUMMYFUNCTION("""COMPUTED_VALUE"""),56.0)</f>
        <v>56</v>
      </c>
      <c r="F81" s="136">
        <f>IFERROR(__xludf.DUMMYFUNCTION("""COMPUTED_VALUE"""),39.0)</f>
        <v>39</v>
      </c>
      <c r="G81" s="136">
        <f>IFERROR(__xludf.DUMMYFUNCTION("""COMPUTED_VALUE"""),17.0)</f>
        <v>17</v>
      </c>
      <c r="H81" s="137">
        <f>IFERROR(__xludf.DUMMYFUNCTION("""COMPUTED_VALUE"""),0.6964285714285714)</f>
        <v>0.6964285714</v>
      </c>
      <c r="I81" s="136">
        <f>IFERROR(__xludf.DUMMYFUNCTION("""COMPUTED_VALUE"""),7.0)</f>
        <v>7</v>
      </c>
      <c r="J81" s="136">
        <f>IFERROR(__xludf.DUMMYFUNCTION("""COMPUTED_VALUE"""),18508.0)</f>
        <v>18508</v>
      </c>
      <c r="K81" s="136">
        <f>IFERROR(__xludf.DUMMYFUNCTION("""COMPUTED_VALUE"""),39.0)</f>
        <v>39</v>
      </c>
      <c r="L81" s="136">
        <f>IFERROR(__xludf.DUMMYFUNCTION("""COMPUTED_VALUE"""),40.0)</f>
        <v>40</v>
      </c>
      <c r="M81" s="136">
        <f>IFERROR(__xludf.DUMMYFUNCTION("""COMPUTED_VALUE"""),57.0)</f>
        <v>57</v>
      </c>
      <c r="N81" s="136">
        <f>IFERROR(__xludf.DUMMYFUNCTION("""COMPUTED_VALUE"""),156.0)</f>
        <v>156</v>
      </c>
      <c r="O81" s="138">
        <f>IFERROR(__xludf.DUMMYFUNCTION("""COMPUTED_VALUE"""),11.0)</f>
        <v>11</v>
      </c>
      <c r="P81" s="138">
        <f>IFERROR(__xludf.DUMMYFUNCTION("""COMPUTED_VALUE"""),1.0)</f>
        <v>1</v>
      </c>
      <c r="Q81" s="138">
        <f>IFERROR(__xludf.DUMMYFUNCTION("""COMPUTED_VALUE"""),3.0)</f>
        <v>3</v>
      </c>
      <c r="R81" s="138">
        <f>IFERROR(__xludf.DUMMYFUNCTION("""COMPUTED_VALUE"""),4.0)</f>
        <v>4</v>
      </c>
      <c r="S81" s="139">
        <f>IFERROR(__xludf.DUMMYFUNCTION("""COMPUTED_VALUE"""),395.0)</f>
        <v>395</v>
      </c>
      <c r="T81" s="140">
        <f>IFERROR(__xludf.DUMMYFUNCTION("""COMPUTED_VALUE"""),121.0)</f>
        <v>121</v>
      </c>
      <c r="U81" s="136">
        <f>IFERROR(__xludf.DUMMYFUNCTION("""COMPUTED_VALUE"""),50.0)</f>
        <v>50</v>
      </c>
      <c r="V81" s="136">
        <f>IFERROR(__xludf.DUMMYFUNCTION("""COMPUTED_VALUE"""),26.0)</f>
        <v>26</v>
      </c>
      <c r="W81" s="136">
        <f>IFERROR(__xludf.DUMMYFUNCTION("""COMPUTED_VALUE"""),64.0)</f>
        <v>64</v>
      </c>
      <c r="X81" s="136">
        <f>IFERROR(__xludf.DUMMYFUNCTION("""COMPUTED_VALUE"""),353.44642857142856)</f>
        <v>353.4464286</v>
      </c>
      <c r="Y81" s="141">
        <f>IFERROR(__xludf.DUMMYFUNCTION("""COMPUTED_VALUE"""),46.82892857142857)</f>
        <v>46.82892857</v>
      </c>
      <c r="Z81" s="141">
        <f>IFERROR(__xludf.DUMMYFUNCTION("""COMPUTED_VALUE"""),2140.6964285714284)</f>
        <v>2140.696429</v>
      </c>
    </row>
    <row r="82">
      <c r="A82" s="41" t="str">
        <f>IFERROR(__xludf.DUMMYFUNCTION("""COMPUTED_VALUE"""),"Rival")</f>
        <v>Rival</v>
      </c>
      <c r="B82" s="41" t="str">
        <f>IFERROR(__xludf.DUMMYFUNCTION("""COMPUTED_VALUE"""),"RSC001330")</f>
        <v>RSC001330</v>
      </c>
      <c r="C82" s="41" t="str">
        <f>IFERROR(__xludf.DUMMYFUNCTION("""COMPUTED_VALUE"""),"Blissful Beluga")</f>
        <v>Blissful Beluga</v>
      </c>
      <c r="D82" s="41" t="str">
        <f>IFERROR(__xludf.DUMMYFUNCTION("""COMPUTED_VALUE"""),"Howlers")</f>
        <v>Howlers</v>
      </c>
      <c r="E82" s="136">
        <f>IFERROR(__xludf.DUMMYFUNCTION("""COMPUTED_VALUE"""),19.0)</f>
        <v>19</v>
      </c>
      <c r="F82" s="136">
        <f>IFERROR(__xludf.DUMMYFUNCTION("""COMPUTED_VALUE"""),8.0)</f>
        <v>8</v>
      </c>
      <c r="G82" s="136">
        <f>IFERROR(__xludf.DUMMYFUNCTION("""COMPUTED_VALUE"""),11.0)</f>
        <v>11</v>
      </c>
      <c r="H82" s="137">
        <f>IFERROR(__xludf.DUMMYFUNCTION("""COMPUTED_VALUE"""),0.42105263157894735)</f>
        <v>0.4210526316</v>
      </c>
      <c r="I82" s="136">
        <f>IFERROR(__xludf.DUMMYFUNCTION("""COMPUTED_VALUE"""),5.0)</f>
        <v>5</v>
      </c>
      <c r="J82" s="136">
        <f>IFERROR(__xludf.DUMMYFUNCTION("""COMPUTED_VALUE"""),6444.0)</f>
        <v>6444</v>
      </c>
      <c r="K82" s="136">
        <f>IFERROR(__xludf.DUMMYFUNCTION("""COMPUTED_VALUE"""),16.0)</f>
        <v>16</v>
      </c>
      <c r="L82" s="136">
        <f>IFERROR(__xludf.DUMMYFUNCTION("""COMPUTED_VALUE"""),11.0)</f>
        <v>11</v>
      </c>
      <c r="M82" s="136">
        <f>IFERROR(__xludf.DUMMYFUNCTION("""COMPUTED_VALUE"""),19.0)</f>
        <v>19</v>
      </c>
      <c r="N82" s="136">
        <f>IFERROR(__xludf.DUMMYFUNCTION("""COMPUTED_VALUE"""),60.0)</f>
        <v>60</v>
      </c>
      <c r="O82" s="138">
        <f>IFERROR(__xludf.DUMMYFUNCTION("""COMPUTED_VALUE"""),2.0)</f>
        <v>2</v>
      </c>
      <c r="P82" s="138">
        <f>IFERROR(__xludf.DUMMYFUNCTION("""COMPUTED_VALUE"""),1.0)</f>
        <v>1</v>
      </c>
      <c r="Q82" s="138">
        <f>IFERROR(__xludf.DUMMYFUNCTION("""COMPUTED_VALUE"""),1.0)</f>
        <v>1</v>
      </c>
      <c r="R82" s="138">
        <f>IFERROR(__xludf.DUMMYFUNCTION("""COMPUTED_VALUE"""),2.0)</f>
        <v>2</v>
      </c>
      <c r="S82" s="139">
        <f>IFERROR(__xludf.DUMMYFUNCTION("""COMPUTED_VALUE"""),126.0)</f>
        <v>126</v>
      </c>
      <c r="T82" s="140">
        <f>IFERROR(__xludf.DUMMYFUNCTION("""COMPUTED_VALUE"""),48.0)</f>
        <v>48</v>
      </c>
      <c r="U82" s="136">
        <f>IFERROR(__xludf.DUMMYFUNCTION("""COMPUTED_VALUE"""),17.0)</f>
        <v>17</v>
      </c>
      <c r="V82" s="136">
        <f>IFERROR(__xludf.DUMMYFUNCTION("""COMPUTED_VALUE"""),7.0)</f>
        <v>7</v>
      </c>
      <c r="W82" s="136">
        <f>IFERROR(__xludf.DUMMYFUNCTION("""COMPUTED_VALUE"""),22.0)</f>
        <v>22</v>
      </c>
      <c r="X82" s="136">
        <f>IFERROR(__xludf.DUMMYFUNCTION("""COMPUTED_VALUE"""),295.94736842105266)</f>
        <v>295.9473684</v>
      </c>
      <c r="Y82" s="141">
        <f>IFERROR(__xludf.DUMMYFUNCTION("""COMPUTED_VALUE"""),55.425789473684205)</f>
        <v>55.42578947</v>
      </c>
      <c r="Z82" s="141">
        <f>IFERROR(__xludf.DUMMYFUNCTION("""COMPUTED_VALUE"""),1778.1052631578948)</f>
        <v>1778.105263</v>
      </c>
    </row>
    <row r="83">
      <c r="A83" s="41" t="str">
        <f>IFERROR(__xludf.DUMMYFUNCTION("""COMPUTED_VALUE"""),"Master")</f>
        <v>Master</v>
      </c>
      <c r="B83" s="41" t="str">
        <f>IFERROR(__xludf.DUMMYFUNCTION("""COMPUTED_VALUE"""),"RSC001357")</f>
        <v>RSC001357</v>
      </c>
      <c r="C83" s="41" t="str">
        <f>IFERROR(__xludf.DUMMYFUNCTION("""COMPUTED_VALUE"""),"bubblebuddy47")</f>
        <v>bubblebuddy47</v>
      </c>
      <c r="D83" s="41" t="str">
        <f>IFERROR(__xludf.DUMMYFUNCTION("""COMPUTED_VALUE"""),"Lemurs")</f>
        <v>Lemurs</v>
      </c>
      <c r="E83" s="136">
        <f>IFERROR(__xludf.DUMMYFUNCTION("""COMPUTED_VALUE"""),4.0)</f>
        <v>4</v>
      </c>
      <c r="F83" s="136">
        <f>IFERROR(__xludf.DUMMYFUNCTION("""COMPUTED_VALUE"""),0.0)</f>
        <v>0</v>
      </c>
      <c r="G83" s="136">
        <f>IFERROR(__xludf.DUMMYFUNCTION("""COMPUTED_VALUE"""),4.0)</f>
        <v>4</v>
      </c>
      <c r="H83" s="137">
        <f>IFERROR(__xludf.DUMMYFUNCTION("""COMPUTED_VALUE"""),0.0)</f>
        <v>0</v>
      </c>
      <c r="I83" s="136">
        <f>IFERROR(__xludf.DUMMYFUNCTION("""COMPUTED_VALUE"""),0.0)</f>
        <v>0</v>
      </c>
      <c r="J83" s="136">
        <f>IFERROR(__xludf.DUMMYFUNCTION("""COMPUTED_VALUE"""),1858.0)</f>
        <v>1858</v>
      </c>
      <c r="K83" s="136">
        <f>IFERROR(__xludf.DUMMYFUNCTION("""COMPUTED_VALUE"""),2.0)</f>
        <v>2</v>
      </c>
      <c r="L83" s="136">
        <f>IFERROR(__xludf.DUMMYFUNCTION("""COMPUTED_VALUE"""),3.0)</f>
        <v>3</v>
      </c>
      <c r="M83" s="136">
        <f>IFERROR(__xludf.DUMMYFUNCTION("""COMPUTED_VALUE"""),10.0)</f>
        <v>10</v>
      </c>
      <c r="N83" s="136">
        <f>IFERROR(__xludf.DUMMYFUNCTION("""COMPUTED_VALUE"""),10.0)</f>
        <v>10</v>
      </c>
      <c r="O83" s="138">
        <f>IFERROR(__xludf.DUMMYFUNCTION("""COMPUTED_VALUE"""),0.0)</f>
        <v>0</v>
      </c>
      <c r="P83" s="138">
        <f>IFERROR(__xludf.DUMMYFUNCTION("""COMPUTED_VALUE"""),0.0)</f>
        <v>0</v>
      </c>
      <c r="Q83" s="138">
        <f>IFERROR(__xludf.DUMMYFUNCTION("""COMPUTED_VALUE"""),0.0)</f>
        <v>0</v>
      </c>
      <c r="R83" s="138">
        <f>IFERROR(__xludf.DUMMYFUNCTION("""COMPUTED_VALUE"""),2.0)</f>
        <v>2</v>
      </c>
      <c r="S83" s="139">
        <f>IFERROR(__xludf.DUMMYFUNCTION("""COMPUTED_VALUE"""),48.0)</f>
        <v>48</v>
      </c>
      <c r="T83" s="140">
        <f>IFERROR(__xludf.DUMMYFUNCTION("""COMPUTED_VALUE"""),13.0)</f>
        <v>13</v>
      </c>
      <c r="U83" s="136">
        <f>IFERROR(__xludf.DUMMYFUNCTION("""COMPUTED_VALUE"""),3.0)</f>
        <v>3</v>
      </c>
      <c r="V83" s="136">
        <f>IFERROR(__xludf.DUMMYFUNCTION("""COMPUTED_VALUE"""),1.0)</f>
        <v>1</v>
      </c>
      <c r="W83" s="136">
        <f>IFERROR(__xludf.DUMMYFUNCTION("""COMPUTED_VALUE"""),2.0)</f>
        <v>2</v>
      </c>
      <c r="X83" s="136">
        <f>IFERROR(__xludf.DUMMYFUNCTION("""COMPUTED_VALUE"""),371.75)</f>
        <v>371.75</v>
      </c>
      <c r="Y83" s="141">
        <f>IFERROR(__xludf.DUMMYFUNCTION("""COMPUTED_VALUE"""),48.775)</f>
        <v>48.775</v>
      </c>
      <c r="Z83" s="141">
        <f>IFERROR(__xludf.DUMMYFUNCTION("""COMPUTED_VALUE"""),2298.0)</f>
        <v>2298</v>
      </c>
    </row>
    <row r="84">
      <c r="A84" s="41" t="str">
        <f>IFERROR(__xludf.DUMMYFUNCTION("""COMPUTED_VALUE"""),"Rival")</f>
        <v>Rival</v>
      </c>
      <c r="B84" s="41" t="str">
        <f>IFERROR(__xludf.DUMMYFUNCTION("""COMPUTED_VALUE"""),"RSC001358")</f>
        <v>RSC001358</v>
      </c>
      <c r="C84" s="41" t="str">
        <f>IFERROR(__xludf.DUMMYFUNCTION("""COMPUTED_VALUE"""),"Cob")</f>
        <v>Cob</v>
      </c>
      <c r="D84" s="41" t="str">
        <f>IFERROR(__xludf.DUMMYFUNCTION("""COMPUTED_VALUE"""),"Phoenix
Dracos")</f>
        <v>Phoenix
Dracos</v>
      </c>
      <c r="E84" s="136">
        <f>IFERROR(__xludf.DUMMYFUNCTION("""COMPUTED_VALUE"""),52.0)</f>
        <v>52</v>
      </c>
      <c r="F84" s="136">
        <f>IFERROR(__xludf.DUMMYFUNCTION("""COMPUTED_VALUE"""),25.0)</f>
        <v>25</v>
      </c>
      <c r="G84" s="136">
        <f>IFERROR(__xludf.DUMMYFUNCTION("""COMPUTED_VALUE"""),27.0)</f>
        <v>27</v>
      </c>
      <c r="H84" s="137">
        <f>IFERROR(__xludf.DUMMYFUNCTION("""COMPUTED_VALUE"""),0.4807692307692308)</f>
        <v>0.4807692308</v>
      </c>
      <c r="I84" s="136">
        <f>IFERROR(__xludf.DUMMYFUNCTION("""COMPUTED_VALUE"""),7.0)</f>
        <v>7</v>
      </c>
      <c r="J84" s="136">
        <f>IFERROR(__xludf.DUMMYFUNCTION("""COMPUTED_VALUE"""),16239.0)</f>
        <v>16239</v>
      </c>
      <c r="K84" s="136">
        <f>IFERROR(__xludf.DUMMYFUNCTION("""COMPUTED_VALUE"""),33.0)</f>
        <v>33</v>
      </c>
      <c r="L84" s="136">
        <f>IFERROR(__xludf.DUMMYFUNCTION("""COMPUTED_VALUE"""),25.0)</f>
        <v>25</v>
      </c>
      <c r="M84" s="136">
        <f>IFERROR(__xludf.DUMMYFUNCTION("""COMPUTED_VALUE"""),66.0)</f>
        <v>66</v>
      </c>
      <c r="N84" s="136">
        <f>IFERROR(__xludf.DUMMYFUNCTION("""COMPUTED_VALUE"""),123.0)</f>
        <v>123</v>
      </c>
      <c r="O84" s="138">
        <f>IFERROR(__xludf.DUMMYFUNCTION("""COMPUTED_VALUE"""),6.0)</f>
        <v>6</v>
      </c>
      <c r="P84" s="138">
        <f>IFERROR(__xludf.DUMMYFUNCTION("""COMPUTED_VALUE"""),1.0)</f>
        <v>1</v>
      </c>
      <c r="Q84" s="138">
        <f>IFERROR(__xludf.DUMMYFUNCTION("""COMPUTED_VALUE"""),1.0)</f>
        <v>1</v>
      </c>
      <c r="R84" s="138">
        <f>IFERROR(__xludf.DUMMYFUNCTION("""COMPUTED_VALUE"""),7.0)</f>
        <v>7</v>
      </c>
      <c r="S84" s="139">
        <f>IFERROR(__xludf.DUMMYFUNCTION("""COMPUTED_VALUE"""),381.0)</f>
        <v>381</v>
      </c>
      <c r="T84" s="140">
        <f>IFERROR(__xludf.DUMMYFUNCTION("""COMPUTED_VALUE"""),117.0)</f>
        <v>117</v>
      </c>
      <c r="U84" s="136">
        <f>IFERROR(__xludf.DUMMYFUNCTION("""COMPUTED_VALUE"""),43.0)</f>
        <v>43</v>
      </c>
      <c r="V84" s="136">
        <f>IFERROR(__xludf.DUMMYFUNCTION("""COMPUTED_VALUE"""),35.0)</f>
        <v>35</v>
      </c>
      <c r="W84" s="136">
        <f>IFERROR(__xludf.DUMMYFUNCTION("""COMPUTED_VALUE"""),35.0)</f>
        <v>35</v>
      </c>
      <c r="X84" s="136">
        <f>IFERROR(__xludf.DUMMYFUNCTION("""COMPUTED_VALUE"""),354.3076923076923)</f>
        <v>354.3076923</v>
      </c>
      <c r="Y84" s="141">
        <f>IFERROR(__xludf.DUMMYFUNCTION("""COMPUTED_VALUE"""),46.484038461538475)</f>
        <v>46.48403846</v>
      </c>
      <c r="Z84" s="141">
        <f>IFERROR(__xludf.DUMMYFUNCTION("""COMPUTED_VALUE"""),2080.923076923077)</f>
        <v>2080.923077</v>
      </c>
    </row>
    <row r="85">
      <c r="A85" s="41" t="str">
        <f>IFERROR(__xludf.DUMMYFUNCTION("""COMPUTED_VALUE"""),"Veteran")</f>
        <v>Veteran</v>
      </c>
      <c r="B85" s="41" t="str">
        <f>IFERROR(__xludf.DUMMYFUNCTION("""COMPUTED_VALUE"""),"RSC001487")</f>
        <v>RSC001487</v>
      </c>
      <c r="C85" s="41" t="str">
        <f>IFERROR(__xludf.DUMMYFUNCTION("""COMPUTED_VALUE"""),"M1ke1sMy1ke")</f>
        <v>M1ke1sMy1ke</v>
      </c>
      <c r="D85" s="41" t="str">
        <f>IFERROR(__xludf.DUMMYFUNCTION("""COMPUTED_VALUE"""),"Nighthawks")</f>
        <v>Nighthawks</v>
      </c>
      <c r="E85" s="136">
        <f>IFERROR(__xludf.DUMMYFUNCTION("""COMPUTED_VALUE"""),46.0)</f>
        <v>46</v>
      </c>
      <c r="F85" s="136">
        <f>IFERROR(__xludf.DUMMYFUNCTION("""COMPUTED_VALUE"""),27.0)</f>
        <v>27</v>
      </c>
      <c r="G85" s="136">
        <f>IFERROR(__xludf.DUMMYFUNCTION("""COMPUTED_VALUE"""),19.0)</f>
        <v>19</v>
      </c>
      <c r="H85" s="137">
        <f>IFERROR(__xludf.DUMMYFUNCTION("""COMPUTED_VALUE"""),0.5869565217391305)</f>
        <v>0.5869565217</v>
      </c>
      <c r="I85" s="136">
        <f>IFERROR(__xludf.DUMMYFUNCTION("""COMPUTED_VALUE"""),7.0)</f>
        <v>7</v>
      </c>
      <c r="J85" s="136">
        <f>IFERROR(__xludf.DUMMYFUNCTION("""COMPUTED_VALUE"""),16310.0)</f>
        <v>16310</v>
      </c>
      <c r="K85" s="136">
        <f>IFERROR(__xludf.DUMMYFUNCTION("""COMPUTED_VALUE"""),38.0)</f>
        <v>38</v>
      </c>
      <c r="L85" s="136">
        <f>IFERROR(__xludf.DUMMYFUNCTION("""COMPUTED_VALUE"""),29.0)</f>
        <v>29</v>
      </c>
      <c r="M85" s="136">
        <f>IFERROR(__xludf.DUMMYFUNCTION("""COMPUTED_VALUE"""),69.0)</f>
        <v>69</v>
      </c>
      <c r="N85" s="136">
        <f>IFERROR(__xludf.DUMMYFUNCTION("""COMPUTED_VALUE"""),115.0)</f>
        <v>115</v>
      </c>
      <c r="O85" s="138">
        <f>IFERROR(__xludf.DUMMYFUNCTION("""COMPUTED_VALUE"""),11.0)</f>
        <v>11</v>
      </c>
      <c r="P85" s="138">
        <f>IFERROR(__xludf.DUMMYFUNCTION("""COMPUTED_VALUE"""),3.0)</f>
        <v>3</v>
      </c>
      <c r="Q85" s="138">
        <f>IFERROR(__xludf.DUMMYFUNCTION("""COMPUTED_VALUE"""),1.0)</f>
        <v>1</v>
      </c>
      <c r="R85" s="138">
        <f>IFERROR(__xludf.DUMMYFUNCTION("""COMPUTED_VALUE"""),8.0)</f>
        <v>8</v>
      </c>
      <c r="S85" s="139">
        <f>IFERROR(__xludf.DUMMYFUNCTION("""COMPUTED_VALUE"""),379.0)</f>
        <v>379</v>
      </c>
      <c r="T85" s="140">
        <f>IFERROR(__xludf.DUMMYFUNCTION("""COMPUTED_VALUE"""),110.0)</f>
        <v>110</v>
      </c>
      <c r="U85" s="136">
        <f>IFERROR(__xludf.DUMMYFUNCTION("""COMPUTED_VALUE"""),40.0)</f>
        <v>40</v>
      </c>
      <c r="V85" s="136">
        <f>IFERROR(__xludf.DUMMYFUNCTION("""COMPUTED_VALUE"""),55.0)</f>
        <v>55</v>
      </c>
      <c r="W85" s="136">
        <f>IFERROR(__xludf.DUMMYFUNCTION("""COMPUTED_VALUE"""),54.0)</f>
        <v>54</v>
      </c>
      <c r="X85" s="136">
        <f>IFERROR(__xludf.DUMMYFUNCTION("""COMPUTED_VALUE"""),387.45652173913044)</f>
        <v>387.4565217</v>
      </c>
      <c r="Y85" s="141">
        <f>IFERROR(__xludf.DUMMYFUNCTION("""COMPUTED_VALUE"""),46.252826086956524)</f>
        <v>46.25282609</v>
      </c>
      <c r="Z85" s="141">
        <f>IFERROR(__xludf.DUMMYFUNCTION("""COMPUTED_VALUE"""),2350.9347826086955)</f>
        <v>2350.934783</v>
      </c>
    </row>
    <row r="86">
      <c r="A86" s="41" t="str">
        <f>IFERROR(__xludf.DUMMYFUNCTION("""COMPUTED_VALUE"""),"Prospect")</f>
        <v>Prospect</v>
      </c>
      <c r="B86" s="41" t="str">
        <f>IFERROR(__xludf.DUMMYFUNCTION("""COMPUTED_VALUE"""),"RSC001619")</f>
        <v>RSC001619</v>
      </c>
      <c r="C86" s="41" t="str">
        <f>IFERROR(__xludf.DUMMYFUNCTION("""COMPUTED_VALUE"""),"Rob")</f>
        <v>Rob</v>
      </c>
      <c r="D86" s="41" t="str">
        <f>IFERROR(__xludf.DUMMYFUNCTION("""COMPUTED_VALUE"""),"Griffin")</f>
        <v>Griffin</v>
      </c>
      <c r="E86" s="136">
        <f>IFERROR(__xludf.DUMMYFUNCTION("""COMPUTED_VALUE"""),56.0)</f>
        <v>56</v>
      </c>
      <c r="F86" s="136">
        <f>IFERROR(__xludf.DUMMYFUNCTION("""COMPUTED_VALUE"""),31.0)</f>
        <v>31</v>
      </c>
      <c r="G86" s="136">
        <f>IFERROR(__xludf.DUMMYFUNCTION("""COMPUTED_VALUE"""),25.0)</f>
        <v>25</v>
      </c>
      <c r="H86" s="137">
        <f>IFERROR(__xludf.DUMMYFUNCTION("""COMPUTED_VALUE"""),0.5535714285714286)</f>
        <v>0.5535714286</v>
      </c>
      <c r="I86" s="136">
        <f>IFERROR(__xludf.DUMMYFUNCTION("""COMPUTED_VALUE"""),10.0)</f>
        <v>10</v>
      </c>
      <c r="J86" s="136">
        <f>IFERROR(__xludf.DUMMYFUNCTION("""COMPUTED_VALUE"""),20730.0)</f>
        <v>20730</v>
      </c>
      <c r="K86" s="136">
        <f>IFERROR(__xludf.DUMMYFUNCTION("""COMPUTED_VALUE"""),47.0)</f>
        <v>47</v>
      </c>
      <c r="L86" s="136">
        <f>IFERROR(__xludf.DUMMYFUNCTION("""COMPUTED_VALUE"""),30.0)</f>
        <v>30</v>
      </c>
      <c r="M86" s="136">
        <f>IFERROR(__xludf.DUMMYFUNCTION("""COMPUTED_VALUE"""),69.0)</f>
        <v>69</v>
      </c>
      <c r="N86" s="136">
        <f>IFERROR(__xludf.DUMMYFUNCTION("""COMPUTED_VALUE"""),159.0)</f>
        <v>159</v>
      </c>
      <c r="O86" s="138">
        <f>IFERROR(__xludf.DUMMYFUNCTION("""COMPUTED_VALUE"""),11.0)</f>
        <v>11</v>
      </c>
      <c r="P86" s="138">
        <f>IFERROR(__xludf.DUMMYFUNCTION("""COMPUTED_VALUE"""),2.0)</f>
        <v>2</v>
      </c>
      <c r="Q86" s="138">
        <f>IFERROR(__xludf.DUMMYFUNCTION("""COMPUTED_VALUE"""),0.0)</f>
        <v>0</v>
      </c>
      <c r="R86" s="138">
        <f>IFERROR(__xludf.DUMMYFUNCTION("""COMPUTED_VALUE"""),8.0)</f>
        <v>8</v>
      </c>
      <c r="S86" s="139">
        <f>IFERROR(__xludf.DUMMYFUNCTION("""COMPUTED_VALUE"""),386.0)</f>
        <v>386</v>
      </c>
      <c r="T86" s="140">
        <f>IFERROR(__xludf.DUMMYFUNCTION("""COMPUTED_VALUE"""),119.0)</f>
        <v>119</v>
      </c>
      <c r="U86" s="136">
        <f>IFERROR(__xludf.DUMMYFUNCTION("""COMPUTED_VALUE"""),44.0)</f>
        <v>44</v>
      </c>
      <c r="V86" s="136">
        <f>IFERROR(__xludf.DUMMYFUNCTION("""COMPUTED_VALUE"""),33.0)</f>
        <v>33</v>
      </c>
      <c r="W86" s="136">
        <f>IFERROR(__xludf.DUMMYFUNCTION("""COMPUTED_VALUE"""),46.0)</f>
        <v>46</v>
      </c>
      <c r="X86" s="136">
        <f>IFERROR(__xludf.DUMMYFUNCTION("""COMPUTED_VALUE"""),306.0357142857143)</f>
        <v>306.0357143</v>
      </c>
      <c r="Y86" s="141">
        <f>IFERROR(__xludf.DUMMYFUNCTION("""COMPUTED_VALUE"""),48.425357142857145)</f>
        <v>48.42535714</v>
      </c>
      <c r="Z86" s="141">
        <f>IFERROR(__xludf.DUMMYFUNCTION("""COMPUTED_VALUE"""),1930.7857142857142)</f>
        <v>1930.785714</v>
      </c>
    </row>
    <row r="87">
      <c r="A87" s="41" t="str">
        <f>IFERROR(__xludf.DUMMYFUNCTION("""COMPUTED_VALUE"""),"Rival")</f>
        <v>Rival</v>
      </c>
      <c r="B87" s="41" t="str">
        <f>IFERROR(__xludf.DUMMYFUNCTION("""COMPUTED_VALUE"""),"RSC001720")</f>
        <v>RSC001720</v>
      </c>
      <c r="C87" s="41" t="str">
        <f>IFERROR(__xludf.DUMMYFUNCTION("""COMPUTED_VALUE"""),"SUPERDUPERBAM")</f>
        <v>SUPERDUPERBAM</v>
      </c>
      <c r="D87" s="41" t="str">
        <f>IFERROR(__xludf.DUMMYFUNCTION("""COMPUTED_VALUE"""),"Lightning
Gaboons
Centuriones
Tax Evaders
Heavy Metal
Guards")</f>
        <v>Lightning
Gaboons
Centuriones
Tax Evaders
Heavy Metal
Guards</v>
      </c>
      <c r="E87" s="136">
        <f>IFERROR(__xludf.DUMMYFUNCTION("""COMPUTED_VALUE"""),24.0)</f>
        <v>24</v>
      </c>
      <c r="F87" s="136">
        <f>IFERROR(__xludf.DUMMYFUNCTION("""COMPUTED_VALUE"""),16.0)</f>
        <v>16</v>
      </c>
      <c r="G87" s="136">
        <f>IFERROR(__xludf.DUMMYFUNCTION("""COMPUTED_VALUE"""),8.0)</f>
        <v>8</v>
      </c>
      <c r="H87" s="137">
        <f>IFERROR(__xludf.DUMMYFUNCTION("""COMPUTED_VALUE"""),0.6666666666666666)</f>
        <v>0.6666666667</v>
      </c>
      <c r="I87" s="136">
        <f>IFERROR(__xludf.DUMMYFUNCTION("""COMPUTED_VALUE"""),4.0)</f>
        <v>4</v>
      </c>
      <c r="J87" s="136">
        <f>IFERROR(__xludf.DUMMYFUNCTION("""COMPUTED_VALUE"""),8252.0)</f>
        <v>8252</v>
      </c>
      <c r="K87" s="136">
        <f>IFERROR(__xludf.DUMMYFUNCTION("""COMPUTED_VALUE"""),23.0)</f>
        <v>23</v>
      </c>
      <c r="L87" s="136">
        <f>IFERROR(__xludf.DUMMYFUNCTION("""COMPUTED_VALUE"""),13.0)</f>
        <v>13</v>
      </c>
      <c r="M87" s="136">
        <f>IFERROR(__xludf.DUMMYFUNCTION("""COMPUTED_VALUE"""),27.0)</f>
        <v>27</v>
      </c>
      <c r="N87" s="136">
        <f>IFERROR(__xludf.DUMMYFUNCTION("""COMPUTED_VALUE"""),64.0)</f>
        <v>64</v>
      </c>
      <c r="O87" s="138">
        <f>IFERROR(__xludf.DUMMYFUNCTION("""COMPUTED_VALUE"""),4.0)</f>
        <v>4</v>
      </c>
      <c r="P87" s="138">
        <f>IFERROR(__xludf.DUMMYFUNCTION("""COMPUTED_VALUE"""),2.0)</f>
        <v>2</v>
      </c>
      <c r="Q87" s="138">
        <f>IFERROR(__xludf.DUMMYFUNCTION("""COMPUTED_VALUE"""),0.0)</f>
        <v>0</v>
      </c>
      <c r="R87" s="138">
        <f>IFERROR(__xludf.DUMMYFUNCTION("""COMPUTED_VALUE"""),0.0)</f>
        <v>0</v>
      </c>
      <c r="S87" s="139">
        <f>IFERROR(__xludf.DUMMYFUNCTION("""COMPUTED_VALUE"""),172.0)</f>
        <v>172</v>
      </c>
      <c r="T87" s="140">
        <f>IFERROR(__xludf.DUMMYFUNCTION("""COMPUTED_VALUE"""),48.0)</f>
        <v>48</v>
      </c>
      <c r="U87" s="136">
        <f>IFERROR(__xludf.DUMMYFUNCTION("""COMPUTED_VALUE"""),11.0)</f>
        <v>11</v>
      </c>
      <c r="V87" s="136">
        <f>IFERROR(__xludf.DUMMYFUNCTION("""COMPUTED_VALUE"""),38.0)</f>
        <v>38</v>
      </c>
      <c r="W87" s="136">
        <f>IFERROR(__xludf.DUMMYFUNCTION("""COMPUTED_VALUE"""),21.0)</f>
        <v>21</v>
      </c>
      <c r="X87" s="136">
        <f>IFERROR(__xludf.DUMMYFUNCTION("""COMPUTED_VALUE"""),388.9583333333333)</f>
        <v>388.9583333</v>
      </c>
      <c r="Y87" s="141">
        <f>IFERROR(__xludf.DUMMYFUNCTION("""COMPUTED_VALUE"""),56.85041666666666)</f>
        <v>56.85041667</v>
      </c>
      <c r="Z87" s="141">
        <f>IFERROR(__xludf.DUMMYFUNCTION("""COMPUTED_VALUE"""),2322.1666666666665)</f>
        <v>2322.166667</v>
      </c>
    </row>
    <row r="88">
      <c r="A88" s="41" t="str">
        <f>IFERROR(__xludf.DUMMYFUNCTION("""COMPUTED_VALUE"""),"Challenger")</f>
        <v>Challenger</v>
      </c>
      <c r="B88" s="41" t="str">
        <f>IFERROR(__xludf.DUMMYFUNCTION("""COMPUTED_VALUE"""),"RSC001820")</f>
        <v>RSC001820</v>
      </c>
      <c r="C88" s="41" t="str">
        <f>IFERROR(__xludf.DUMMYFUNCTION("""COMPUTED_VALUE"""),"YourEvilTwin")</f>
        <v>YourEvilTwin</v>
      </c>
      <c r="D88" s="41" t="str">
        <f>IFERROR(__xludf.DUMMYFUNCTION("""COMPUTED_VALUE"""),"Spearmint")</f>
        <v>Spearmint</v>
      </c>
      <c r="E88" s="136">
        <f>IFERROR(__xludf.DUMMYFUNCTION("""COMPUTED_VALUE"""),10.0)</f>
        <v>10</v>
      </c>
      <c r="F88" s="136">
        <f>IFERROR(__xludf.DUMMYFUNCTION("""COMPUTED_VALUE"""),3.0)</f>
        <v>3</v>
      </c>
      <c r="G88" s="136">
        <f>IFERROR(__xludf.DUMMYFUNCTION("""COMPUTED_VALUE"""),7.0)</f>
        <v>7</v>
      </c>
      <c r="H88" s="137">
        <f>IFERROR(__xludf.DUMMYFUNCTION("""COMPUTED_VALUE"""),0.3)</f>
        <v>0.3</v>
      </c>
      <c r="I88" s="136">
        <f>IFERROR(__xludf.DUMMYFUNCTION("""COMPUTED_VALUE"""),0.0)</f>
        <v>0</v>
      </c>
      <c r="J88" s="136">
        <f>IFERROR(__xludf.DUMMYFUNCTION("""COMPUTED_VALUE"""),2637.0)</f>
        <v>2637</v>
      </c>
      <c r="K88" s="136">
        <f>IFERROR(__xludf.DUMMYFUNCTION("""COMPUTED_VALUE"""),8.0)</f>
        <v>8</v>
      </c>
      <c r="L88" s="136">
        <f>IFERROR(__xludf.DUMMYFUNCTION("""COMPUTED_VALUE"""),2.0)</f>
        <v>2</v>
      </c>
      <c r="M88" s="136">
        <f>IFERROR(__xludf.DUMMYFUNCTION("""COMPUTED_VALUE"""),7.0)</f>
        <v>7</v>
      </c>
      <c r="N88" s="136">
        <f>IFERROR(__xludf.DUMMYFUNCTION("""COMPUTED_VALUE"""),22.0)</f>
        <v>22</v>
      </c>
      <c r="O88" s="138">
        <f>IFERROR(__xludf.DUMMYFUNCTION("""COMPUTED_VALUE"""),1.0)</f>
        <v>1</v>
      </c>
      <c r="P88" s="138">
        <f>IFERROR(__xludf.DUMMYFUNCTION("""COMPUTED_VALUE"""),0.0)</f>
        <v>0</v>
      </c>
      <c r="Q88" s="138">
        <f>IFERROR(__xludf.DUMMYFUNCTION("""COMPUTED_VALUE"""),0.0)</f>
        <v>0</v>
      </c>
      <c r="R88" s="138">
        <f>IFERROR(__xludf.DUMMYFUNCTION("""COMPUTED_VALUE"""),0.0)</f>
        <v>0</v>
      </c>
      <c r="S88" s="139">
        <f>IFERROR(__xludf.DUMMYFUNCTION("""COMPUTED_VALUE"""),80.0)</f>
        <v>80</v>
      </c>
      <c r="T88" s="140">
        <f>IFERROR(__xludf.DUMMYFUNCTION("""COMPUTED_VALUE"""),27.0)</f>
        <v>27</v>
      </c>
      <c r="U88" s="136">
        <f>IFERROR(__xludf.DUMMYFUNCTION("""COMPUTED_VALUE"""),10.0)</f>
        <v>10</v>
      </c>
      <c r="V88" s="136">
        <f>IFERROR(__xludf.DUMMYFUNCTION("""COMPUTED_VALUE"""),26.0)</f>
        <v>26</v>
      </c>
      <c r="W88" s="136">
        <f>IFERROR(__xludf.DUMMYFUNCTION("""COMPUTED_VALUE"""),0.0)</f>
        <v>0</v>
      </c>
      <c r="X88" s="136">
        <f>IFERROR(__xludf.DUMMYFUNCTION("""COMPUTED_VALUE"""),403.8)</f>
        <v>403.8</v>
      </c>
      <c r="Y88" s="141">
        <f>IFERROR(__xludf.DUMMYFUNCTION("""COMPUTED_VALUE"""),42.398999999999994)</f>
        <v>42.399</v>
      </c>
      <c r="Z88" s="141">
        <f>IFERROR(__xludf.DUMMYFUNCTION("""COMPUTED_VALUE"""),2393.4)</f>
        <v>2393.4</v>
      </c>
    </row>
    <row r="89">
      <c r="A89" s="41" t="str">
        <f>IFERROR(__xludf.DUMMYFUNCTION("""COMPUTED_VALUE"""),"Elite")</f>
        <v>Elite</v>
      </c>
      <c r="B89" s="41" t="str">
        <f>IFERROR(__xludf.DUMMYFUNCTION("""COMPUTED_VALUE"""),"RSC001889")</f>
        <v>RSC001889</v>
      </c>
      <c r="C89" s="41" t="str">
        <f>IFERROR(__xludf.DUMMYFUNCTION("""COMPUTED_VALUE"""),"Phelpsy")</f>
        <v>Phelpsy</v>
      </c>
      <c r="D89" s="41" t="str">
        <f>IFERROR(__xludf.DUMMYFUNCTION("""COMPUTED_VALUE"""),"Teddy Bears")</f>
        <v>Teddy Bears</v>
      </c>
      <c r="E89" s="136">
        <f>IFERROR(__xludf.DUMMYFUNCTION("""COMPUTED_VALUE"""),54.0)</f>
        <v>54</v>
      </c>
      <c r="F89" s="136">
        <f>IFERROR(__xludf.DUMMYFUNCTION("""COMPUTED_VALUE"""),27.0)</f>
        <v>27</v>
      </c>
      <c r="G89" s="136">
        <f>IFERROR(__xludf.DUMMYFUNCTION("""COMPUTED_VALUE"""),27.0)</f>
        <v>27</v>
      </c>
      <c r="H89" s="137">
        <f>IFERROR(__xludf.DUMMYFUNCTION("""COMPUTED_VALUE"""),0.5)</f>
        <v>0.5</v>
      </c>
      <c r="I89" s="136">
        <f>IFERROR(__xludf.DUMMYFUNCTION("""COMPUTED_VALUE"""),9.0)</f>
        <v>9</v>
      </c>
      <c r="J89" s="136">
        <f>IFERROR(__xludf.DUMMYFUNCTION("""COMPUTED_VALUE"""),18729.0)</f>
        <v>18729</v>
      </c>
      <c r="K89" s="136">
        <f>IFERROR(__xludf.DUMMYFUNCTION("""COMPUTED_VALUE"""),45.0)</f>
        <v>45</v>
      </c>
      <c r="L89" s="136">
        <f>IFERROR(__xludf.DUMMYFUNCTION("""COMPUTED_VALUE"""),30.0)</f>
        <v>30</v>
      </c>
      <c r="M89" s="136">
        <f>IFERROR(__xludf.DUMMYFUNCTION("""COMPUTED_VALUE"""),77.0)</f>
        <v>77</v>
      </c>
      <c r="N89" s="136">
        <f>IFERROR(__xludf.DUMMYFUNCTION("""COMPUTED_VALUE"""),153.0)</f>
        <v>153</v>
      </c>
      <c r="O89" s="138">
        <f>IFERROR(__xludf.DUMMYFUNCTION("""COMPUTED_VALUE"""),8.0)</f>
        <v>8</v>
      </c>
      <c r="P89" s="138">
        <f>IFERROR(__xludf.DUMMYFUNCTION("""COMPUTED_VALUE"""),5.0)</f>
        <v>5</v>
      </c>
      <c r="Q89" s="138">
        <f>IFERROR(__xludf.DUMMYFUNCTION("""COMPUTED_VALUE"""),1.0)</f>
        <v>1</v>
      </c>
      <c r="R89" s="138">
        <f>IFERROR(__xludf.DUMMYFUNCTION("""COMPUTED_VALUE"""),7.0)</f>
        <v>7</v>
      </c>
      <c r="S89" s="139">
        <f>IFERROR(__xludf.DUMMYFUNCTION("""COMPUTED_VALUE"""),423.0)</f>
        <v>423</v>
      </c>
      <c r="T89" s="140">
        <f>IFERROR(__xludf.DUMMYFUNCTION("""COMPUTED_VALUE"""),129.0)</f>
        <v>129</v>
      </c>
      <c r="U89" s="136">
        <f>IFERROR(__xludf.DUMMYFUNCTION("""COMPUTED_VALUE"""),45.0)</f>
        <v>45</v>
      </c>
      <c r="V89" s="136">
        <f>IFERROR(__xludf.DUMMYFUNCTION("""COMPUTED_VALUE"""),66.0)</f>
        <v>66</v>
      </c>
      <c r="W89" s="136">
        <f>IFERROR(__xludf.DUMMYFUNCTION("""COMPUTED_VALUE"""),61.0)</f>
        <v>61</v>
      </c>
      <c r="X89" s="136">
        <f>IFERROR(__xludf.DUMMYFUNCTION("""COMPUTED_VALUE"""),376.4074074074074)</f>
        <v>376.4074074</v>
      </c>
      <c r="Y89" s="141">
        <f>IFERROR(__xludf.DUMMYFUNCTION("""COMPUTED_VALUE"""),44.85055555555555)</f>
        <v>44.85055556</v>
      </c>
      <c r="Z89" s="141">
        <f>IFERROR(__xludf.DUMMYFUNCTION("""COMPUTED_VALUE"""),2205.240740740741)</f>
        <v>2205.240741</v>
      </c>
    </row>
    <row r="90">
      <c r="A90" s="41" t="str">
        <f>IFERROR(__xludf.DUMMYFUNCTION("""COMPUTED_VALUE"""),"Rival")</f>
        <v>Rival</v>
      </c>
      <c r="B90" s="41" t="str">
        <f>IFERROR(__xludf.DUMMYFUNCTION("""COMPUTED_VALUE"""),"RSC001893")</f>
        <v>RSC001893</v>
      </c>
      <c r="C90" s="41" t="str">
        <f>IFERROR(__xludf.DUMMYFUNCTION("""COMPUTED_VALUE"""),"cjax")</f>
        <v>cjax</v>
      </c>
      <c r="D90" s="41" t="str">
        <f>IFERROR(__xludf.DUMMYFUNCTION("""COMPUTED_VALUE"""),"Hammerheads
Samurai")</f>
        <v>Hammerheads
Samurai</v>
      </c>
      <c r="E90" s="136">
        <f>IFERROR(__xludf.DUMMYFUNCTION("""COMPUTED_VALUE"""),43.0)</f>
        <v>43</v>
      </c>
      <c r="F90" s="136">
        <f>IFERROR(__xludf.DUMMYFUNCTION("""COMPUTED_VALUE"""),19.0)</f>
        <v>19</v>
      </c>
      <c r="G90" s="136">
        <f>IFERROR(__xludf.DUMMYFUNCTION("""COMPUTED_VALUE"""),24.0)</f>
        <v>24</v>
      </c>
      <c r="H90" s="137">
        <f>IFERROR(__xludf.DUMMYFUNCTION("""COMPUTED_VALUE"""),0.4418604651162791)</f>
        <v>0.4418604651</v>
      </c>
      <c r="I90" s="136">
        <f>IFERROR(__xludf.DUMMYFUNCTION("""COMPUTED_VALUE"""),5.0)</f>
        <v>5</v>
      </c>
      <c r="J90" s="136">
        <f>IFERROR(__xludf.DUMMYFUNCTION("""COMPUTED_VALUE"""),15382.0)</f>
        <v>15382</v>
      </c>
      <c r="K90" s="136">
        <f>IFERROR(__xludf.DUMMYFUNCTION("""COMPUTED_VALUE"""),41.0)</f>
        <v>41</v>
      </c>
      <c r="L90" s="136">
        <f>IFERROR(__xludf.DUMMYFUNCTION("""COMPUTED_VALUE"""),20.0)</f>
        <v>20</v>
      </c>
      <c r="M90" s="136">
        <f>IFERROR(__xludf.DUMMYFUNCTION("""COMPUTED_VALUE"""),58.0)</f>
        <v>58</v>
      </c>
      <c r="N90" s="136">
        <f>IFERROR(__xludf.DUMMYFUNCTION("""COMPUTED_VALUE"""),108.0)</f>
        <v>108</v>
      </c>
      <c r="O90" s="138">
        <f>IFERROR(__xludf.DUMMYFUNCTION("""COMPUTED_VALUE"""),9.0)</f>
        <v>9</v>
      </c>
      <c r="P90" s="138">
        <f>IFERROR(__xludf.DUMMYFUNCTION("""COMPUTED_VALUE"""),5.0)</f>
        <v>5</v>
      </c>
      <c r="Q90" s="138">
        <f>IFERROR(__xludf.DUMMYFUNCTION("""COMPUTED_VALUE"""),0.0)</f>
        <v>0</v>
      </c>
      <c r="R90" s="138">
        <f>IFERROR(__xludf.DUMMYFUNCTION("""COMPUTED_VALUE"""),4.0)</f>
        <v>4</v>
      </c>
      <c r="S90" s="139">
        <f>IFERROR(__xludf.DUMMYFUNCTION("""COMPUTED_VALUE"""),369.0)</f>
        <v>369</v>
      </c>
      <c r="T90" s="140">
        <f>IFERROR(__xludf.DUMMYFUNCTION("""COMPUTED_VALUE"""),117.0)</f>
        <v>117</v>
      </c>
      <c r="U90" s="136">
        <f>IFERROR(__xludf.DUMMYFUNCTION("""COMPUTED_VALUE"""),34.0)</f>
        <v>34</v>
      </c>
      <c r="V90" s="136">
        <f>IFERROR(__xludf.DUMMYFUNCTION("""COMPUTED_VALUE"""),26.0)</f>
        <v>26</v>
      </c>
      <c r="W90" s="136">
        <f>IFERROR(__xludf.DUMMYFUNCTION("""COMPUTED_VALUE"""),42.0)</f>
        <v>42</v>
      </c>
      <c r="X90" s="136">
        <f>IFERROR(__xludf.DUMMYFUNCTION("""COMPUTED_VALUE"""),366.25581395348837)</f>
        <v>366.255814</v>
      </c>
      <c r="Y90" s="141">
        <f>IFERROR(__xludf.DUMMYFUNCTION("""COMPUTED_VALUE"""),47.88720930232557)</f>
        <v>47.8872093</v>
      </c>
      <c r="Z90" s="141">
        <f>IFERROR(__xludf.DUMMYFUNCTION("""COMPUTED_VALUE"""),2245.4418604651164)</f>
        <v>2245.44186</v>
      </c>
    </row>
    <row r="91">
      <c r="A91" s="41" t="str">
        <f>IFERROR(__xludf.DUMMYFUNCTION("""COMPUTED_VALUE"""),"Premier")</f>
        <v>Premier</v>
      </c>
      <c r="B91" s="41" t="str">
        <f>IFERROR(__xludf.DUMMYFUNCTION("""COMPUTED_VALUE"""),"RSC001903")</f>
        <v>RSC001903</v>
      </c>
      <c r="C91" s="41" t="str">
        <f>IFERROR(__xludf.DUMMYFUNCTION("""COMPUTED_VALUE"""),"Plasma")</f>
        <v>Plasma</v>
      </c>
      <c r="D91" s="41" t="str">
        <f>IFERROR(__xludf.DUMMYFUNCTION("""COMPUTED_VALUE"""),"Crooked Capos")</f>
        <v>Crooked Capos</v>
      </c>
      <c r="E91" s="136">
        <f>IFERROR(__xludf.DUMMYFUNCTION("""COMPUTED_VALUE"""),35.0)</f>
        <v>35</v>
      </c>
      <c r="F91" s="136">
        <f>IFERROR(__xludf.DUMMYFUNCTION("""COMPUTED_VALUE"""),16.0)</f>
        <v>16</v>
      </c>
      <c r="G91" s="136">
        <f>IFERROR(__xludf.DUMMYFUNCTION("""COMPUTED_VALUE"""),19.0)</f>
        <v>19</v>
      </c>
      <c r="H91" s="137">
        <f>IFERROR(__xludf.DUMMYFUNCTION("""COMPUTED_VALUE"""),0.45714285714285713)</f>
        <v>0.4571428571</v>
      </c>
      <c r="I91" s="136">
        <f>IFERROR(__xludf.DUMMYFUNCTION("""COMPUTED_VALUE"""),5.0)</f>
        <v>5</v>
      </c>
      <c r="J91" s="136">
        <f>IFERROR(__xludf.DUMMYFUNCTION("""COMPUTED_VALUE"""),12508.0)</f>
        <v>12508</v>
      </c>
      <c r="K91" s="136">
        <f>IFERROR(__xludf.DUMMYFUNCTION("""COMPUTED_VALUE"""),22.0)</f>
        <v>22</v>
      </c>
      <c r="L91" s="136">
        <f>IFERROR(__xludf.DUMMYFUNCTION("""COMPUTED_VALUE"""),24.0)</f>
        <v>24</v>
      </c>
      <c r="M91" s="136">
        <f>IFERROR(__xludf.DUMMYFUNCTION("""COMPUTED_VALUE"""),57.0)</f>
        <v>57</v>
      </c>
      <c r="N91" s="136">
        <f>IFERROR(__xludf.DUMMYFUNCTION("""COMPUTED_VALUE"""),77.0)</f>
        <v>77</v>
      </c>
      <c r="O91" s="138">
        <f>IFERROR(__xludf.DUMMYFUNCTION("""COMPUTED_VALUE"""),4.0)</f>
        <v>4</v>
      </c>
      <c r="P91" s="138">
        <f>IFERROR(__xludf.DUMMYFUNCTION("""COMPUTED_VALUE"""),2.0)</f>
        <v>2</v>
      </c>
      <c r="Q91" s="138">
        <f>IFERROR(__xludf.DUMMYFUNCTION("""COMPUTED_VALUE"""),1.0)</f>
        <v>1</v>
      </c>
      <c r="R91" s="138">
        <f>IFERROR(__xludf.DUMMYFUNCTION("""COMPUTED_VALUE"""),8.0)</f>
        <v>8</v>
      </c>
      <c r="S91" s="139">
        <f>IFERROR(__xludf.DUMMYFUNCTION("""COMPUTED_VALUE"""),300.0)</f>
        <v>300</v>
      </c>
      <c r="T91" s="140">
        <f>IFERROR(__xludf.DUMMYFUNCTION("""COMPUTED_VALUE"""),81.0)</f>
        <v>81</v>
      </c>
      <c r="U91" s="136">
        <f>IFERROR(__xludf.DUMMYFUNCTION("""COMPUTED_VALUE"""),24.0)</f>
        <v>24</v>
      </c>
      <c r="V91" s="136">
        <f>IFERROR(__xludf.DUMMYFUNCTION("""COMPUTED_VALUE"""),18.0)</f>
        <v>18</v>
      </c>
      <c r="W91" s="136">
        <f>IFERROR(__xludf.DUMMYFUNCTION("""COMPUTED_VALUE"""),30.0)</f>
        <v>30</v>
      </c>
      <c r="X91" s="136">
        <f>IFERROR(__xludf.DUMMYFUNCTION("""COMPUTED_VALUE"""),394.8285714285714)</f>
        <v>394.8285714</v>
      </c>
      <c r="Y91" s="141">
        <f>IFERROR(__xludf.DUMMYFUNCTION("""COMPUTED_VALUE"""),44.44085714285715)</f>
        <v>44.44085714</v>
      </c>
      <c r="Z91" s="141">
        <f>IFERROR(__xludf.DUMMYFUNCTION("""COMPUTED_VALUE"""),2349.2)</f>
        <v>2349.2</v>
      </c>
    </row>
    <row r="92">
      <c r="A92" s="41" t="str">
        <f>IFERROR(__xludf.DUMMYFUNCTION("""COMPUTED_VALUE"""),"Master")</f>
        <v>Master</v>
      </c>
      <c r="B92" s="41" t="str">
        <f>IFERROR(__xludf.DUMMYFUNCTION("""COMPUTED_VALUE"""),"RSC001927")</f>
        <v>RSC001927</v>
      </c>
      <c r="C92" s="41" t="str">
        <f>IFERROR(__xludf.DUMMYFUNCTION("""COMPUTED_VALUE"""),"Ghxst")</f>
        <v>Ghxst</v>
      </c>
      <c r="D92" s="41" t="str">
        <f>IFERROR(__xludf.DUMMYFUNCTION("""COMPUTED_VALUE"""),"Permafrost")</f>
        <v>Permafrost</v>
      </c>
      <c r="E92" s="136">
        <f>IFERROR(__xludf.DUMMYFUNCTION("""COMPUTED_VALUE"""),44.0)</f>
        <v>44</v>
      </c>
      <c r="F92" s="136">
        <f>IFERROR(__xludf.DUMMYFUNCTION("""COMPUTED_VALUE"""),21.0)</f>
        <v>21</v>
      </c>
      <c r="G92" s="136">
        <f>IFERROR(__xludf.DUMMYFUNCTION("""COMPUTED_VALUE"""),23.0)</f>
        <v>23</v>
      </c>
      <c r="H92" s="137">
        <f>IFERROR(__xludf.DUMMYFUNCTION("""COMPUTED_VALUE"""),0.4772727272727273)</f>
        <v>0.4772727273</v>
      </c>
      <c r="I92" s="136">
        <f>IFERROR(__xludf.DUMMYFUNCTION("""COMPUTED_VALUE"""),6.0)</f>
        <v>6</v>
      </c>
      <c r="J92" s="136">
        <f>IFERROR(__xludf.DUMMYFUNCTION("""COMPUTED_VALUE"""),14597.0)</f>
        <v>14597</v>
      </c>
      <c r="K92" s="136">
        <f>IFERROR(__xludf.DUMMYFUNCTION("""COMPUTED_VALUE"""),27.0)</f>
        <v>27</v>
      </c>
      <c r="L92" s="136">
        <f>IFERROR(__xludf.DUMMYFUNCTION("""COMPUTED_VALUE"""),25.0)</f>
        <v>25</v>
      </c>
      <c r="M92" s="136">
        <f>IFERROR(__xludf.DUMMYFUNCTION("""COMPUTED_VALUE"""),74.0)</f>
        <v>74</v>
      </c>
      <c r="N92" s="136">
        <f>IFERROR(__xludf.DUMMYFUNCTION("""COMPUTED_VALUE"""),83.0)</f>
        <v>83</v>
      </c>
      <c r="O92" s="138">
        <f>IFERROR(__xludf.DUMMYFUNCTION("""COMPUTED_VALUE"""),5.0)</f>
        <v>5</v>
      </c>
      <c r="P92" s="138">
        <f>IFERROR(__xludf.DUMMYFUNCTION("""COMPUTED_VALUE"""),0.0)</f>
        <v>0</v>
      </c>
      <c r="Q92" s="138">
        <f>IFERROR(__xludf.DUMMYFUNCTION("""COMPUTED_VALUE"""),1.0)</f>
        <v>1</v>
      </c>
      <c r="R92" s="138">
        <f>IFERROR(__xludf.DUMMYFUNCTION("""COMPUTED_VALUE"""),12.0)</f>
        <v>12</v>
      </c>
      <c r="S92" s="139">
        <f>IFERROR(__xludf.DUMMYFUNCTION("""COMPUTED_VALUE"""),330.0)</f>
        <v>330</v>
      </c>
      <c r="T92" s="140">
        <f>IFERROR(__xludf.DUMMYFUNCTION("""COMPUTED_VALUE"""),104.0)</f>
        <v>104</v>
      </c>
      <c r="U92" s="136">
        <f>IFERROR(__xludf.DUMMYFUNCTION("""COMPUTED_VALUE"""),42.0)</f>
        <v>42</v>
      </c>
      <c r="V92" s="136">
        <f>IFERROR(__xludf.DUMMYFUNCTION("""COMPUTED_VALUE"""),25.0)</f>
        <v>25</v>
      </c>
      <c r="W92" s="136">
        <f>IFERROR(__xludf.DUMMYFUNCTION("""COMPUTED_VALUE"""),37.0)</f>
        <v>37</v>
      </c>
      <c r="X92" s="136">
        <f>IFERROR(__xludf.DUMMYFUNCTION("""COMPUTED_VALUE"""),355.325)</f>
        <v>355.325</v>
      </c>
      <c r="Y92" s="141">
        <f>IFERROR(__xludf.DUMMYFUNCTION("""COMPUTED_VALUE"""),49.587250000000004)</f>
        <v>49.58725</v>
      </c>
      <c r="Z92" s="141">
        <f>IFERROR(__xludf.DUMMYFUNCTION("""COMPUTED_VALUE"""),2188.875)</f>
        <v>2188.875</v>
      </c>
    </row>
    <row r="93">
      <c r="A93" s="41" t="str">
        <f>IFERROR(__xludf.DUMMYFUNCTION("""COMPUTED_VALUE"""),"Master")</f>
        <v>Master</v>
      </c>
      <c r="B93" s="41" t="str">
        <f>IFERROR(__xludf.DUMMYFUNCTION("""COMPUTED_VALUE"""),"RSC001935")</f>
        <v>RSC001935</v>
      </c>
      <c r="C93" s="41" t="str">
        <f>IFERROR(__xludf.DUMMYFUNCTION("""COMPUTED_VALUE"""),"Kenobs")</f>
        <v>Kenobs</v>
      </c>
      <c r="D93" s="41" t="str">
        <f>IFERROR(__xludf.DUMMYFUNCTION("""COMPUTED_VALUE"""),"Oblivion
Lemurs")</f>
        <v>Oblivion
Lemurs</v>
      </c>
      <c r="E93" s="136">
        <f>IFERROR(__xludf.DUMMYFUNCTION("""COMPUTED_VALUE"""),40.0)</f>
        <v>40</v>
      </c>
      <c r="F93" s="136">
        <f>IFERROR(__xludf.DUMMYFUNCTION("""COMPUTED_VALUE"""),18.0)</f>
        <v>18</v>
      </c>
      <c r="G93" s="136">
        <f>IFERROR(__xludf.DUMMYFUNCTION("""COMPUTED_VALUE"""),22.0)</f>
        <v>22</v>
      </c>
      <c r="H93" s="137">
        <f>IFERROR(__xludf.DUMMYFUNCTION("""COMPUTED_VALUE"""),0.45)</f>
        <v>0.45</v>
      </c>
      <c r="I93" s="136">
        <f>IFERROR(__xludf.DUMMYFUNCTION("""COMPUTED_VALUE"""),8.0)</f>
        <v>8</v>
      </c>
      <c r="J93" s="136">
        <f>IFERROR(__xludf.DUMMYFUNCTION("""COMPUTED_VALUE"""),12223.0)</f>
        <v>12223</v>
      </c>
      <c r="K93" s="136">
        <f>IFERROR(__xludf.DUMMYFUNCTION("""COMPUTED_VALUE"""),24.0)</f>
        <v>24</v>
      </c>
      <c r="L93" s="136">
        <f>IFERROR(__xludf.DUMMYFUNCTION("""COMPUTED_VALUE"""),28.0)</f>
        <v>28</v>
      </c>
      <c r="M93" s="136">
        <f>IFERROR(__xludf.DUMMYFUNCTION("""COMPUTED_VALUE"""),38.0)</f>
        <v>38</v>
      </c>
      <c r="N93" s="136">
        <f>IFERROR(__xludf.DUMMYFUNCTION("""COMPUTED_VALUE"""),96.0)</f>
        <v>96</v>
      </c>
      <c r="O93" s="138">
        <f>IFERROR(__xludf.DUMMYFUNCTION("""COMPUTED_VALUE"""),6.0)</f>
        <v>6</v>
      </c>
      <c r="P93" s="138">
        <f>IFERROR(__xludf.DUMMYFUNCTION("""COMPUTED_VALUE"""),2.0)</f>
        <v>2</v>
      </c>
      <c r="Q93" s="138">
        <f>IFERROR(__xludf.DUMMYFUNCTION("""COMPUTED_VALUE"""),1.0)</f>
        <v>1</v>
      </c>
      <c r="R93" s="138">
        <f>IFERROR(__xludf.DUMMYFUNCTION("""COMPUTED_VALUE"""),4.0)</f>
        <v>4</v>
      </c>
      <c r="S93" s="139">
        <f>IFERROR(__xludf.DUMMYFUNCTION("""COMPUTED_VALUE"""),263.0)</f>
        <v>263</v>
      </c>
      <c r="T93" s="140">
        <f>IFERROR(__xludf.DUMMYFUNCTION("""COMPUTED_VALUE"""),91.0)</f>
        <v>91</v>
      </c>
      <c r="U93" s="136">
        <f>IFERROR(__xludf.DUMMYFUNCTION("""COMPUTED_VALUE"""),30.0)</f>
        <v>30</v>
      </c>
      <c r="V93" s="136">
        <f>IFERROR(__xludf.DUMMYFUNCTION("""COMPUTED_VALUE"""),29.0)</f>
        <v>29</v>
      </c>
      <c r="W93" s="136">
        <f>IFERROR(__xludf.DUMMYFUNCTION("""COMPUTED_VALUE"""),43.0)</f>
        <v>43</v>
      </c>
      <c r="X93" s="136">
        <f>IFERROR(__xludf.DUMMYFUNCTION("""COMPUTED_VALUE"""),381.6388888888889)</f>
        <v>381.6388889</v>
      </c>
      <c r="Y93" s="141">
        <f>IFERROR(__xludf.DUMMYFUNCTION("""COMPUTED_VALUE"""),49.7536111111111)</f>
        <v>49.75361111</v>
      </c>
      <c r="Z93" s="141">
        <f>IFERROR(__xludf.DUMMYFUNCTION("""COMPUTED_VALUE"""),2337.1666666666665)</f>
        <v>2337.166667</v>
      </c>
    </row>
    <row r="94">
      <c r="A94" s="41" t="str">
        <f>IFERROR(__xludf.DUMMYFUNCTION("""COMPUTED_VALUE"""),"Premier")</f>
        <v>Premier</v>
      </c>
      <c r="B94" s="41" t="str">
        <f>IFERROR(__xludf.DUMMYFUNCTION("""COMPUTED_VALUE"""),"RSC001977")</f>
        <v>RSC001977</v>
      </c>
      <c r="C94" s="41" t="str">
        <f>IFERROR(__xludf.DUMMYFUNCTION("""COMPUTED_VALUE"""),"T.")</f>
        <v>T.</v>
      </c>
      <c r="D94" s="41" t="str">
        <f>IFERROR(__xludf.DUMMYFUNCTION("""COMPUTED_VALUE"""),"Feta Forgers")</f>
        <v>Feta Forgers</v>
      </c>
      <c r="E94" s="136">
        <f>IFERROR(__xludf.DUMMYFUNCTION("""COMPUTED_VALUE"""),45.0)</f>
        <v>45</v>
      </c>
      <c r="F94" s="136">
        <f>IFERROR(__xludf.DUMMYFUNCTION("""COMPUTED_VALUE"""),19.0)</f>
        <v>19</v>
      </c>
      <c r="G94" s="136">
        <f>IFERROR(__xludf.DUMMYFUNCTION("""COMPUTED_VALUE"""),26.0)</f>
        <v>26</v>
      </c>
      <c r="H94" s="137">
        <f>IFERROR(__xludf.DUMMYFUNCTION("""COMPUTED_VALUE"""),0.4222222222222222)</f>
        <v>0.4222222222</v>
      </c>
      <c r="I94" s="136">
        <f>IFERROR(__xludf.DUMMYFUNCTION("""COMPUTED_VALUE"""),5.0)</f>
        <v>5</v>
      </c>
      <c r="J94" s="136">
        <f>IFERROR(__xludf.DUMMYFUNCTION("""COMPUTED_VALUE"""),15652.0)</f>
        <v>15652</v>
      </c>
      <c r="K94" s="136">
        <f>IFERROR(__xludf.DUMMYFUNCTION("""COMPUTED_VALUE"""),32.0)</f>
        <v>32</v>
      </c>
      <c r="L94" s="136">
        <f>IFERROR(__xludf.DUMMYFUNCTION("""COMPUTED_VALUE"""),20.0)</f>
        <v>20</v>
      </c>
      <c r="M94" s="136">
        <f>IFERROR(__xludf.DUMMYFUNCTION("""COMPUTED_VALUE"""),53.0)</f>
        <v>53</v>
      </c>
      <c r="N94" s="136">
        <f>IFERROR(__xludf.DUMMYFUNCTION("""COMPUTED_VALUE"""),117.0)</f>
        <v>117</v>
      </c>
      <c r="O94" s="138">
        <f>IFERROR(__xludf.DUMMYFUNCTION("""COMPUTED_VALUE"""),5.0)</f>
        <v>5</v>
      </c>
      <c r="P94" s="138">
        <f>IFERROR(__xludf.DUMMYFUNCTION("""COMPUTED_VALUE"""),1.0)</f>
        <v>1</v>
      </c>
      <c r="Q94" s="138">
        <f>IFERROR(__xludf.DUMMYFUNCTION("""COMPUTED_VALUE"""),0.0)</f>
        <v>0</v>
      </c>
      <c r="R94" s="138">
        <f>IFERROR(__xludf.DUMMYFUNCTION("""COMPUTED_VALUE"""),6.0)</f>
        <v>6</v>
      </c>
      <c r="S94" s="139">
        <f>IFERROR(__xludf.DUMMYFUNCTION("""COMPUTED_VALUE"""),381.0)</f>
        <v>381</v>
      </c>
      <c r="T94" s="140">
        <f>IFERROR(__xludf.DUMMYFUNCTION("""COMPUTED_VALUE"""),126.0)</f>
        <v>126</v>
      </c>
      <c r="U94" s="136">
        <f>IFERROR(__xludf.DUMMYFUNCTION("""COMPUTED_VALUE"""),42.0)</f>
        <v>42</v>
      </c>
      <c r="V94" s="136">
        <f>IFERROR(__xludf.DUMMYFUNCTION("""COMPUTED_VALUE"""),52.0)</f>
        <v>52</v>
      </c>
      <c r="W94" s="136">
        <f>IFERROR(__xludf.DUMMYFUNCTION("""COMPUTED_VALUE"""),30.0)</f>
        <v>30</v>
      </c>
      <c r="X94" s="136">
        <f>IFERROR(__xludf.DUMMYFUNCTION("""COMPUTED_VALUE"""),414.0)</f>
        <v>414</v>
      </c>
      <c r="Y94" s="141">
        <f>IFERROR(__xludf.DUMMYFUNCTION("""COMPUTED_VALUE"""),52.211999999999996)</f>
        <v>52.212</v>
      </c>
      <c r="Z94" s="141">
        <f>IFERROR(__xludf.DUMMYFUNCTION("""COMPUTED_VALUE"""),2552.0222222222224)</f>
        <v>2552.022222</v>
      </c>
    </row>
    <row r="95">
      <c r="A95" s="41" t="str">
        <f>IFERROR(__xludf.DUMMYFUNCTION("""COMPUTED_VALUE"""),"Elite")</f>
        <v>Elite</v>
      </c>
      <c r="B95" s="41" t="str">
        <f>IFERROR(__xludf.DUMMYFUNCTION("""COMPUTED_VALUE"""),"RSC001986")</f>
        <v>RSC001986</v>
      </c>
      <c r="C95" s="41" t="str">
        <f>IFERROR(__xludf.DUMMYFUNCTION("""COMPUTED_VALUE"""),"Colinn")</f>
        <v>Colinn</v>
      </c>
      <c r="D95" s="41" t="str">
        <f>IFERROR(__xludf.DUMMYFUNCTION("""COMPUTED_VALUE"""),"Dik-diks")</f>
        <v>Dik-diks</v>
      </c>
      <c r="E95" s="136">
        <f>IFERROR(__xludf.DUMMYFUNCTION("""COMPUTED_VALUE"""),14.0)</f>
        <v>14</v>
      </c>
      <c r="F95" s="136">
        <f>IFERROR(__xludf.DUMMYFUNCTION("""COMPUTED_VALUE"""),4.0)</f>
        <v>4</v>
      </c>
      <c r="G95" s="136">
        <f>IFERROR(__xludf.DUMMYFUNCTION("""COMPUTED_VALUE"""),10.0)</f>
        <v>10</v>
      </c>
      <c r="H95" s="137">
        <f>IFERROR(__xludf.DUMMYFUNCTION("""COMPUTED_VALUE"""),0.2857142857142857)</f>
        <v>0.2857142857</v>
      </c>
      <c r="I95" s="136">
        <f>IFERROR(__xludf.DUMMYFUNCTION("""COMPUTED_VALUE"""),2.0)</f>
        <v>2</v>
      </c>
      <c r="J95" s="136">
        <f>IFERROR(__xludf.DUMMYFUNCTION("""COMPUTED_VALUE"""),5279.0)</f>
        <v>5279</v>
      </c>
      <c r="K95" s="136">
        <f>IFERROR(__xludf.DUMMYFUNCTION("""COMPUTED_VALUE"""),10.0)</f>
        <v>10</v>
      </c>
      <c r="L95" s="136">
        <f>IFERROR(__xludf.DUMMYFUNCTION("""COMPUTED_VALUE"""),10.0)</f>
        <v>10</v>
      </c>
      <c r="M95" s="136">
        <f>IFERROR(__xludf.DUMMYFUNCTION("""COMPUTED_VALUE"""),24.0)</f>
        <v>24</v>
      </c>
      <c r="N95" s="136">
        <f>IFERROR(__xludf.DUMMYFUNCTION("""COMPUTED_VALUE"""),36.0)</f>
        <v>36</v>
      </c>
      <c r="O95" s="138">
        <f>IFERROR(__xludf.DUMMYFUNCTION("""COMPUTED_VALUE"""),2.0)</f>
        <v>2</v>
      </c>
      <c r="P95" s="138">
        <f>IFERROR(__xludf.DUMMYFUNCTION("""COMPUTED_VALUE"""),2.0)</f>
        <v>2</v>
      </c>
      <c r="Q95" s="138">
        <f>IFERROR(__xludf.DUMMYFUNCTION("""COMPUTED_VALUE"""),1.0)</f>
        <v>1</v>
      </c>
      <c r="R95" s="138">
        <f>IFERROR(__xludf.DUMMYFUNCTION("""COMPUTED_VALUE"""),5.0)</f>
        <v>5</v>
      </c>
      <c r="S95" s="139">
        <f>IFERROR(__xludf.DUMMYFUNCTION("""COMPUTED_VALUE"""),137.0)</f>
        <v>137</v>
      </c>
      <c r="T95" s="140">
        <f>IFERROR(__xludf.DUMMYFUNCTION("""COMPUTED_VALUE"""),46.0)</f>
        <v>46</v>
      </c>
      <c r="U95" s="136">
        <f>IFERROR(__xludf.DUMMYFUNCTION("""COMPUTED_VALUE"""),12.0)</f>
        <v>12</v>
      </c>
      <c r="V95" s="136">
        <f>IFERROR(__xludf.DUMMYFUNCTION("""COMPUTED_VALUE"""),14.0)</f>
        <v>14</v>
      </c>
      <c r="W95" s="136">
        <f>IFERROR(__xludf.DUMMYFUNCTION("""COMPUTED_VALUE"""),18.0)</f>
        <v>18</v>
      </c>
      <c r="X95" s="136">
        <f>IFERROR(__xludf.DUMMYFUNCTION("""COMPUTED_VALUE"""),411.85714285714283)</f>
        <v>411.8571429</v>
      </c>
      <c r="Y95" s="141">
        <f>IFERROR(__xludf.DUMMYFUNCTION("""COMPUTED_VALUE"""),49.8107142857143)</f>
        <v>49.81071429</v>
      </c>
      <c r="Z95" s="141">
        <f>IFERROR(__xludf.DUMMYFUNCTION("""COMPUTED_VALUE"""),2517.8571428571427)</f>
        <v>2517.857143</v>
      </c>
    </row>
    <row r="96">
      <c r="A96" s="41" t="str">
        <f>IFERROR(__xludf.DUMMYFUNCTION("""COMPUTED_VALUE"""),"Challenger")</f>
        <v>Challenger</v>
      </c>
      <c r="B96" s="41" t="str">
        <f>IFERROR(__xludf.DUMMYFUNCTION("""COMPUTED_VALUE"""),"RSC002040")</f>
        <v>RSC002040</v>
      </c>
      <c r="C96" s="41" t="str">
        <f>IFERROR(__xludf.DUMMYFUNCTION("""COMPUTED_VALUE"""),"Scomps")</f>
        <v>Scomps</v>
      </c>
      <c r="D96" s="41" t="str">
        <f>IFERROR(__xludf.DUMMYFUNCTION("""COMPUTED_VALUE"""),"Warbirds
Decuriones")</f>
        <v>Warbirds
Decuriones</v>
      </c>
      <c r="E96" s="136">
        <f>IFERROR(__xludf.DUMMYFUNCTION("""COMPUTED_VALUE"""),36.0)</f>
        <v>36</v>
      </c>
      <c r="F96" s="136">
        <f>IFERROR(__xludf.DUMMYFUNCTION("""COMPUTED_VALUE"""),18.0)</f>
        <v>18</v>
      </c>
      <c r="G96" s="136">
        <f>IFERROR(__xludf.DUMMYFUNCTION("""COMPUTED_VALUE"""),18.0)</f>
        <v>18</v>
      </c>
      <c r="H96" s="137">
        <f>IFERROR(__xludf.DUMMYFUNCTION("""COMPUTED_VALUE"""),0.5)</f>
        <v>0.5</v>
      </c>
      <c r="I96" s="136">
        <f>IFERROR(__xludf.DUMMYFUNCTION("""COMPUTED_VALUE"""),10.0)</f>
        <v>10</v>
      </c>
      <c r="J96" s="136">
        <f>IFERROR(__xludf.DUMMYFUNCTION("""COMPUTED_VALUE"""),13661.0)</f>
        <v>13661</v>
      </c>
      <c r="K96" s="136">
        <f>IFERROR(__xludf.DUMMYFUNCTION("""COMPUTED_VALUE"""),30.0)</f>
        <v>30</v>
      </c>
      <c r="L96" s="136">
        <f>IFERROR(__xludf.DUMMYFUNCTION("""COMPUTED_VALUE"""),18.0)</f>
        <v>18</v>
      </c>
      <c r="M96" s="136">
        <f>IFERROR(__xludf.DUMMYFUNCTION("""COMPUTED_VALUE"""),54.0)</f>
        <v>54</v>
      </c>
      <c r="N96" s="136">
        <f>IFERROR(__xludf.DUMMYFUNCTION("""COMPUTED_VALUE"""),102.0)</f>
        <v>102</v>
      </c>
      <c r="O96" s="138">
        <f>IFERROR(__xludf.DUMMYFUNCTION("""COMPUTED_VALUE"""),4.0)</f>
        <v>4</v>
      </c>
      <c r="P96" s="138">
        <f>IFERROR(__xludf.DUMMYFUNCTION("""COMPUTED_VALUE"""),1.0)</f>
        <v>1</v>
      </c>
      <c r="Q96" s="138">
        <f>IFERROR(__xludf.DUMMYFUNCTION("""COMPUTED_VALUE"""),1.0)</f>
        <v>1</v>
      </c>
      <c r="R96" s="138">
        <f>IFERROR(__xludf.DUMMYFUNCTION("""COMPUTED_VALUE"""),8.0)</f>
        <v>8</v>
      </c>
      <c r="S96" s="139">
        <f>IFERROR(__xludf.DUMMYFUNCTION("""COMPUTED_VALUE"""),286.0)</f>
        <v>286</v>
      </c>
      <c r="T96" s="140">
        <f>IFERROR(__xludf.DUMMYFUNCTION("""COMPUTED_VALUE"""),82.0)</f>
        <v>82</v>
      </c>
      <c r="U96" s="136">
        <f>IFERROR(__xludf.DUMMYFUNCTION("""COMPUTED_VALUE"""),26.0)</f>
        <v>26</v>
      </c>
      <c r="V96" s="136">
        <f>IFERROR(__xludf.DUMMYFUNCTION("""COMPUTED_VALUE"""),9.0)</f>
        <v>9</v>
      </c>
      <c r="W96" s="136">
        <f>IFERROR(__xludf.DUMMYFUNCTION("""COMPUTED_VALUE"""),51.0)</f>
        <v>51</v>
      </c>
      <c r="X96" s="136">
        <f>IFERROR(__xludf.DUMMYFUNCTION("""COMPUTED_VALUE"""),336.1111111111111)</f>
        <v>336.1111111</v>
      </c>
      <c r="Y96" s="141">
        <f>IFERROR(__xludf.DUMMYFUNCTION("""COMPUTED_VALUE"""),49.33583333333333)</f>
        <v>49.33583333</v>
      </c>
      <c r="Z96" s="141">
        <f>IFERROR(__xludf.DUMMYFUNCTION("""COMPUTED_VALUE"""),2071.25)</f>
        <v>2071.25</v>
      </c>
    </row>
    <row r="97">
      <c r="A97" s="41" t="str">
        <f>IFERROR(__xludf.DUMMYFUNCTION("""COMPUTED_VALUE"""),"Premier")</f>
        <v>Premier</v>
      </c>
      <c r="B97" s="41" t="str">
        <f>IFERROR(__xludf.DUMMYFUNCTION("""COMPUTED_VALUE"""),"RSC002050")</f>
        <v>RSC002050</v>
      </c>
      <c r="C97" s="41" t="str">
        <f>IFERROR(__xludf.DUMMYFUNCTION("""COMPUTED_VALUE"""),"Goobz")</f>
        <v>Goobz</v>
      </c>
      <c r="D97" s="41" t="str">
        <f>IFERROR(__xludf.DUMMYFUNCTION("""COMPUTED_VALUE"""),"Punks
Capybaras")</f>
        <v>Punks
Capybaras</v>
      </c>
      <c r="E97" s="136">
        <f>IFERROR(__xludf.DUMMYFUNCTION("""COMPUTED_VALUE"""),30.0)</f>
        <v>30</v>
      </c>
      <c r="F97" s="136">
        <f>IFERROR(__xludf.DUMMYFUNCTION("""COMPUTED_VALUE"""),12.0)</f>
        <v>12</v>
      </c>
      <c r="G97" s="136">
        <f>IFERROR(__xludf.DUMMYFUNCTION("""COMPUTED_VALUE"""),18.0)</f>
        <v>18</v>
      </c>
      <c r="H97" s="137">
        <f>IFERROR(__xludf.DUMMYFUNCTION("""COMPUTED_VALUE"""),0.4)</f>
        <v>0.4</v>
      </c>
      <c r="I97" s="136">
        <f>IFERROR(__xludf.DUMMYFUNCTION("""COMPUTED_VALUE"""),6.0)</f>
        <v>6</v>
      </c>
      <c r="J97" s="136">
        <f>IFERROR(__xludf.DUMMYFUNCTION("""COMPUTED_VALUE"""),11158.0)</f>
        <v>11158</v>
      </c>
      <c r="K97" s="136">
        <f>IFERROR(__xludf.DUMMYFUNCTION("""COMPUTED_VALUE"""),23.0)</f>
        <v>23</v>
      </c>
      <c r="L97" s="136">
        <f>IFERROR(__xludf.DUMMYFUNCTION("""COMPUTED_VALUE"""),13.0)</f>
        <v>13</v>
      </c>
      <c r="M97" s="136">
        <f>IFERROR(__xludf.DUMMYFUNCTION("""COMPUTED_VALUE"""),56.0)</f>
        <v>56</v>
      </c>
      <c r="N97" s="136">
        <f>IFERROR(__xludf.DUMMYFUNCTION("""COMPUTED_VALUE"""),74.0)</f>
        <v>74</v>
      </c>
      <c r="O97" s="138">
        <f>IFERROR(__xludf.DUMMYFUNCTION("""COMPUTED_VALUE"""),7.0)</f>
        <v>7</v>
      </c>
      <c r="P97" s="138">
        <f>IFERROR(__xludf.DUMMYFUNCTION("""COMPUTED_VALUE"""),1.0)</f>
        <v>1</v>
      </c>
      <c r="Q97" s="138">
        <f>IFERROR(__xludf.DUMMYFUNCTION("""COMPUTED_VALUE"""),0.0)</f>
        <v>0</v>
      </c>
      <c r="R97" s="138">
        <f>IFERROR(__xludf.DUMMYFUNCTION("""COMPUTED_VALUE"""),7.0)</f>
        <v>7</v>
      </c>
      <c r="S97" s="139">
        <f>IFERROR(__xludf.DUMMYFUNCTION("""COMPUTED_VALUE"""),272.0)</f>
        <v>272</v>
      </c>
      <c r="T97" s="140">
        <f>IFERROR(__xludf.DUMMYFUNCTION("""COMPUTED_VALUE"""),80.0)</f>
        <v>80</v>
      </c>
      <c r="U97" s="136">
        <f>IFERROR(__xludf.DUMMYFUNCTION("""COMPUTED_VALUE"""),25.0)</f>
        <v>25</v>
      </c>
      <c r="V97" s="136">
        <f>IFERROR(__xludf.DUMMYFUNCTION("""COMPUTED_VALUE"""),22.0)</f>
        <v>22</v>
      </c>
      <c r="W97" s="136">
        <f>IFERROR(__xludf.DUMMYFUNCTION("""COMPUTED_VALUE"""),19.0)</f>
        <v>19</v>
      </c>
      <c r="X97" s="136">
        <f>IFERROR(__xludf.DUMMYFUNCTION("""COMPUTED_VALUE"""),405.46666666666664)</f>
        <v>405.4666667</v>
      </c>
      <c r="Y97" s="141">
        <f>IFERROR(__xludf.DUMMYFUNCTION("""COMPUTED_VALUE"""),45.35466666666665)</f>
        <v>45.35466667</v>
      </c>
      <c r="Z97" s="141">
        <f>IFERROR(__xludf.DUMMYFUNCTION("""COMPUTED_VALUE"""),2435.633333333333)</f>
        <v>2435.633333</v>
      </c>
    </row>
    <row r="98">
      <c r="A98" s="41" t="str">
        <f>IFERROR(__xludf.DUMMYFUNCTION("""COMPUTED_VALUE"""),"Premier")</f>
        <v>Premier</v>
      </c>
      <c r="B98" s="41" t="str">
        <f>IFERROR(__xludf.DUMMYFUNCTION("""COMPUTED_VALUE"""),"RSC002062")</f>
        <v>RSC002062</v>
      </c>
      <c r="C98" s="41" t="str">
        <f>IFERROR(__xludf.DUMMYFUNCTION("""COMPUTED_VALUE"""),"Qundar al-Din")</f>
        <v>Qundar al-Din</v>
      </c>
      <c r="D98" s="41" t="str">
        <f>IFERROR(__xludf.DUMMYFUNCTION("""COMPUTED_VALUE"""),"Punks")</f>
        <v>Punks</v>
      </c>
      <c r="E98" s="136">
        <f>IFERROR(__xludf.DUMMYFUNCTION("""COMPUTED_VALUE"""),12.0)</f>
        <v>12</v>
      </c>
      <c r="F98" s="136">
        <f>IFERROR(__xludf.DUMMYFUNCTION("""COMPUTED_VALUE"""),6.0)</f>
        <v>6</v>
      </c>
      <c r="G98" s="136">
        <f>IFERROR(__xludf.DUMMYFUNCTION("""COMPUTED_VALUE"""),6.0)</f>
        <v>6</v>
      </c>
      <c r="H98" s="137">
        <f>IFERROR(__xludf.DUMMYFUNCTION("""COMPUTED_VALUE"""),0.5)</f>
        <v>0.5</v>
      </c>
      <c r="I98" s="136">
        <f>IFERROR(__xludf.DUMMYFUNCTION("""COMPUTED_VALUE"""),2.0)</f>
        <v>2</v>
      </c>
      <c r="J98" s="136">
        <f>IFERROR(__xludf.DUMMYFUNCTION("""COMPUTED_VALUE"""),4773.0)</f>
        <v>4773</v>
      </c>
      <c r="K98" s="136">
        <f>IFERROR(__xludf.DUMMYFUNCTION("""COMPUTED_VALUE"""),11.0)</f>
        <v>11</v>
      </c>
      <c r="L98" s="136">
        <f>IFERROR(__xludf.DUMMYFUNCTION("""COMPUTED_VALUE"""),7.0)</f>
        <v>7</v>
      </c>
      <c r="M98" s="136">
        <f>IFERROR(__xludf.DUMMYFUNCTION("""COMPUTED_VALUE"""),18.0)</f>
        <v>18</v>
      </c>
      <c r="N98" s="136">
        <f>IFERROR(__xludf.DUMMYFUNCTION("""COMPUTED_VALUE"""),40.0)</f>
        <v>40</v>
      </c>
      <c r="O98" s="138">
        <f>IFERROR(__xludf.DUMMYFUNCTION("""COMPUTED_VALUE"""),1.0)</f>
        <v>1</v>
      </c>
      <c r="P98" s="138">
        <f>IFERROR(__xludf.DUMMYFUNCTION("""COMPUTED_VALUE"""),0.0)</f>
        <v>0</v>
      </c>
      <c r="Q98" s="138">
        <f>IFERROR(__xludf.DUMMYFUNCTION("""COMPUTED_VALUE"""),0.0)</f>
        <v>0</v>
      </c>
      <c r="R98" s="138">
        <f>IFERROR(__xludf.DUMMYFUNCTION("""COMPUTED_VALUE"""),4.0)</f>
        <v>4</v>
      </c>
      <c r="S98" s="139">
        <f>IFERROR(__xludf.DUMMYFUNCTION("""COMPUTED_VALUE"""),95.0)</f>
        <v>95</v>
      </c>
      <c r="T98" s="140">
        <f>IFERROR(__xludf.DUMMYFUNCTION("""COMPUTED_VALUE"""),27.0)</f>
        <v>27</v>
      </c>
      <c r="U98" s="136">
        <f>IFERROR(__xludf.DUMMYFUNCTION("""COMPUTED_VALUE"""),3.0)</f>
        <v>3</v>
      </c>
      <c r="V98" s="136">
        <f>IFERROR(__xludf.DUMMYFUNCTION("""COMPUTED_VALUE"""),6.0)</f>
        <v>6</v>
      </c>
      <c r="W98" s="136">
        <f>IFERROR(__xludf.DUMMYFUNCTION("""COMPUTED_VALUE"""),13.0)</f>
        <v>13</v>
      </c>
      <c r="X98" s="136">
        <f>IFERROR(__xludf.DUMMYFUNCTION("""COMPUTED_VALUE"""),450.9166666666667)</f>
        <v>450.9166667</v>
      </c>
      <c r="Y98" s="141">
        <f>IFERROR(__xludf.DUMMYFUNCTION("""COMPUTED_VALUE"""),45.639166666666675)</f>
        <v>45.63916667</v>
      </c>
      <c r="Z98" s="141">
        <f>IFERROR(__xludf.DUMMYFUNCTION("""COMPUTED_VALUE"""),2676.5)</f>
        <v>2676.5</v>
      </c>
    </row>
    <row r="99">
      <c r="A99" s="41" t="str">
        <f>IFERROR(__xludf.DUMMYFUNCTION("""COMPUTED_VALUE"""),"Rival")</f>
        <v>Rival</v>
      </c>
      <c r="B99" s="41" t="str">
        <f>IFERROR(__xludf.DUMMYFUNCTION("""COMPUTED_VALUE"""),"RSC002128")</f>
        <v>RSC002128</v>
      </c>
      <c r="C99" s="41" t="str">
        <f>IFERROR(__xludf.DUMMYFUNCTION("""COMPUTED_VALUE"""),"Velo")</f>
        <v>Velo</v>
      </c>
      <c r="D99" s="41" t="str">
        <f>IFERROR(__xludf.DUMMYFUNCTION("""COMPUTED_VALUE"""),"Lightning")</f>
        <v>Lightning</v>
      </c>
      <c r="E99" s="136">
        <f>IFERROR(__xludf.DUMMYFUNCTION("""COMPUTED_VALUE"""),26.0)</f>
        <v>26</v>
      </c>
      <c r="F99" s="136">
        <f>IFERROR(__xludf.DUMMYFUNCTION("""COMPUTED_VALUE"""),13.0)</f>
        <v>13</v>
      </c>
      <c r="G99" s="136">
        <f>IFERROR(__xludf.DUMMYFUNCTION("""COMPUTED_VALUE"""),13.0)</f>
        <v>13</v>
      </c>
      <c r="H99" s="137">
        <f>IFERROR(__xludf.DUMMYFUNCTION("""COMPUTED_VALUE"""),0.5)</f>
        <v>0.5</v>
      </c>
      <c r="I99" s="136">
        <f>IFERROR(__xludf.DUMMYFUNCTION("""COMPUTED_VALUE"""),1.0)</f>
        <v>1</v>
      </c>
      <c r="J99" s="136">
        <f>IFERROR(__xludf.DUMMYFUNCTION("""COMPUTED_VALUE"""),6630.0)</f>
        <v>6630</v>
      </c>
      <c r="K99" s="136">
        <f>IFERROR(__xludf.DUMMYFUNCTION("""COMPUTED_VALUE"""),10.0)</f>
        <v>10</v>
      </c>
      <c r="L99" s="136">
        <f>IFERROR(__xludf.DUMMYFUNCTION("""COMPUTED_VALUE"""),15.0)</f>
        <v>15</v>
      </c>
      <c r="M99" s="136">
        <f>IFERROR(__xludf.DUMMYFUNCTION("""COMPUTED_VALUE"""),22.0)</f>
        <v>22</v>
      </c>
      <c r="N99" s="136">
        <f>IFERROR(__xludf.DUMMYFUNCTION("""COMPUTED_VALUE"""),39.0)</f>
        <v>39</v>
      </c>
      <c r="O99" s="138">
        <f>IFERROR(__xludf.DUMMYFUNCTION("""COMPUTED_VALUE"""),4.0)</f>
        <v>4</v>
      </c>
      <c r="P99" s="138">
        <f>IFERROR(__xludf.DUMMYFUNCTION("""COMPUTED_VALUE"""),0.0)</f>
        <v>0</v>
      </c>
      <c r="Q99" s="138">
        <f>IFERROR(__xludf.DUMMYFUNCTION("""COMPUTED_VALUE"""),0.0)</f>
        <v>0</v>
      </c>
      <c r="R99" s="138">
        <f>IFERROR(__xludf.DUMMYFUNCTION("""COMPUTED_VALUE"""),3.0)</f>
        <v>3</v>
      </c>
      <c r="S99" s="139">
        <f>IFERROR(__xludf.DUMMYFUNCTION("""COMPUTED_VALUE"""),163.0)</f>
        <v>163</v>
      </c>
      <c r="T99" s="140">
        <f>IFERROR(__xludf.DUMMYFUNCTION("""COMPUTED_VALUE"""),46.0)</f>
        <v>46</v>
      </c>
      <c r="U99" s="136">
        <f>IFERROR(__xludf.DUMMYFUNCTION("""COMPUTED_VALUE"""),13.0)</f>
        <v>13</v>
      </c>
      <c r="V99" s="136">
        <f>IFERROR(__xludf.DUMMYFUNCTION("""COMPUTED_VALUE"""),17.0)</f>
        <v>17</v>
      </c>
      <c r="W99" s="136">
        <f>IFERROR(__xludf.DUMMYFUNCTION("""COMPUTED_VALUE"""),20.0)</f>
        <v>20</v>
      </c>
      <c r="X99" s="136">
        <f>IFERROR(__xludf.DUMMYFUNCTION("""COMPUTED_VALUE"""),329.53846153846155)</f>
        <v>329.5384615</v>
      </c>
      <c r="Y99" s="141">
        <f>IFERROR(__xludf.DUMMYFUNCTION("""COMPUTED_VALUE"""),47.393846153846155)</f>
        <v>47.39384615</v>
      </c>
      <c r="Z99" s="141">
        <f>IFERROR(__xludf.DUMMYFUNCTION("""COMPUTED_VALUE"""),1923.2307692307693)</f>
        <v>1923.230769</v>
      </c>
    </row>
    <row r="100">
      <c r="A100" s="41" t="str">
        <f>IFERROR(__xludf.DUMMYFUNCTION("""COMPUTED_VALUE"""),"Elite")</f>
        <v>Elite</v>
      </c>
      <c r="B100" s="41" t="str">
        <f>IFERROR(__xludf.DUMMYFUNCTION("""COMPUTED_VALUE"""),"RSC002164")</f>
        <v>RSC002164</v>
      </c>
      <c r="C100" s="41" t="str">
        <f>IFERROR(__xludf.DUMMYFUNCTION("""COMPUTED_VALUE"""),"Dosia")</f>
        <v>Dosia</v>
      </c>
      <c r="D100" s="41" t="str">
        <f>IFERROR(__xludf.DUMMYFUNCTION("""COMPUTED_VALUE"""),"Drive-by
Hellhounds")</f>
        <v>Drive-by
Hellhounds</v>
      </c>
      <c r="E100" s="136">
        <f>IFERROR(__xludf.DUMMYFUNCTION("""COMPUTED_VALUE"""),50.0)</f>
        <v>50</v>
      </c>
      <c r="F100" s="136">
        <f>IFERROR(__xludf.DUMMYFUNCTION("""COMPUTED_VALUE"""),18.0)</f>
        <v>18</v>
      </c>
      <c r="G100" s="136">
        <f>IFERROR(__xludf.DUMMYFUNCTION("""COMPUTED_VALUE"""),32.0)</f>
        <v>32</v>
      </c>
      <c r="H100" s="137">
        <f>IFERROR(__xludf.DUMMYFUNCTION("""COMPUTED_VALUE"""),0.36)</f>
        <v>0.36</v>
      </c>
      <c r="I100" s="136">
        <f>IFERROR(__xludf.DUMMYFUNCTION("""COMPUTED_VALUE"""),6.0)</f>
        <v>6</v>
      </c>
      <c r="J100" s="136">
        <f>IFERROR(__xludf.DUMMYFUNCTION("""COMPUTED_VALUE"""),18046.0)</f>
        <v>18046</v>
      </c>
      <c r="K100" s="136">
        <f>IFERROR(__xludf.DUMMYFUNCTION("""COMPUTED_VALUE"""),39.0)</f>
        <v>39</v>
      </c>
      <c r="L100" s="136">
        <f>IFERROR(__xludf.DUMMYFUNCTION("""COMPUTED_VALUE"""),28.0)</f>
        <v>28</v>
      </c>
      <c r="M100" s="136">
        <f>IFERROR(__xludf.DUMMYFUNCTION("""COMPUTED_VALUE"""),67.0)</f>
        <v>67</v>
      </c>
      <c r="N100" s="136">
        <f>IFERROR(__xludf.DUMMYFUNCTION("""COMPUTED_VALUE"""),142.0)</f>
        <v>142</v>
      </c>
      <c r="O100" s="138">
        <f>IFERROR(__xludf.DUMMYFUNCTION("""COMPUTED_VALUE"""),7.0)</f>
        <v>7</v>
      </c>
      <c r="P100" s="138">
        <f>IFERROR(__xludf.DUMMYFUNCTION("""COMPUTED_VALUE"""),3.0)</f>
        <v>3</v>
      </c>
      <c r="Q100" s="138">
        <f>IFERROR(__xludf.DUMMYFUNCTION("""COMPUTED_VALUE"""),3.0)</f>
        <v>3</v>
      </c>
      <c r="R100" s="138">
        <f>IFERROR(__xludf.DUMMYFUNCTION("""COMPUTED_VALUE"""),9.0)</f>
        <v>9</v>
      </c>
      <c r="S100" s="139">
        <f>IFERROR(__xludf.DUMMYFUNCTION("""COMPUTED_VALUE"""),476.0)</f>
        <v>476</v>
      </c>
      <c r="T100" s="140">
        <f>IFERROR(__xludf.DUMMYFUNCTION("""COMPUTED_VALUE"""),143.0)</f>
        <v>143</v>
      </c>
      <c r="U100" s="136">
        <f>IFERROR(__xludf.DUMMYFUNCTION("""COMPUTED_VALUE"""),51.0)</f>
        <v>51</v>
      </c>
      <c r="V100" s="136">
        <f>IFERROR(__xludf.DUMMYFUNCTION("""COMPUTED_VALUE"""),64.0)</f>
        <v>64</v>
      </c>
      <c r="W100" s="136">
        <f>IFERROR(__xludf.DUMMYFUNCTION("""COMPUTED_VALUE"""),66.0)</f>
        <v>66</v>
      </c>
      <c r="X100" s="136">
        <f>IFERROR(__xludf.DUMMYFUNCTION("""COMPUTED_VALUE"""),415.46)</f>
        <v>415.46</v>
      </c>
      <c r="Y100" s="141">
        <f>IFERROR(__xludf.DUMMYFUNCTION("""COMPUTED_VALUE"""),48.194399999999995)</f>
        <v>48.1944</v>
      </c>
      <c r="Z100" s="141">
        <f>IFERROR(__xludf.DUMMYFUNCTION("""COMPUTED_VALUE"""),2598.12)</f>
        <v>2598.12</v>
      </c>
    </row>
    <row r="101">
      <c r="A101" s="41" t="str">
        <f>IFERROR(__xludf.DUMMYFUNCTION("""COMPUTED_VALUE"""),"Rival")</f>
        <v>Rival</v>
      </c>
      <c r="B101" s="41" t="str">
        <f>IFERROR(__xludf.DUMMYFUNCTION("""COMPUTED_VALUE"""),"RSC002177")</f>
        <v>RSC002177</v>
      </c>
      <c r="C101" s="41" t="str">
        <f>IFERROR(__xludf.DUMMYFUNCTION("""COMPUTED_VALUE"""),"Slygo21")</f>
        <v>Slygo21</v>
      </c>
      <c r="D101" s="41" t="str">
        <f>IFERROR(__xludf.DUMMYFUNCTION("""COMPUTED_VALUE"""),"Black Ice")</f>
        <v>Black Ice</v>
      </c>
      <c r="E101" s="136">
        <f>IFERROR(__xludf.DUMMYFUNCTION("""COMPUTED_VALUE"""),6.0)</f>
        <v>6</v>
      </c>
      <c r="F101" s="136">
        <f>IFERROR(__xludf.DUMMYFUNCTION("""COMPUTED_VALUE"""),2.0)</f>
        <v>2</v>
      </c>
      <c r="G101" s="136">
        <f>IFERROR(__xludf.DUMMYFUNCTION("""COMPUTED_VALUE"""),4.0)</f>
        <v>4</v>
      </c>
      <c r="H101" s="137">
        <f>IFERROR(__xludf.DUMMYFUNCTION("""COMPUTED_VALUE"""),0.3333333333333333)</f>
        <v>0.3333333333</v>
      </c>
      <c r="I101" s="136">
        <f>IFERROR(__xludf.DUMMYFUNCTION("""COMPUTED_VALUE"""),0.0)</f>
        <v>0</v>
      </c>
      <c r="J101" s="136">
        <f>IFERROR(__xludf.DUMMYFUNCTION("""COMPUTED_VALUE"""),1416.0)</f>
        <v>1416</v>
      </c>
      <c r="K101" s="136">
        <f>IFERROR(__xludf.DUMMYFUNCTION("""COMPUTED_VALUE"""),4.0)</f>
        <v>4</v>
      </c>
      <c r="L101" s="136">
        <f>IFERROR(__xludf.DUMMYFUNCTION("""COMPUTED_VALUE"""),2.0)</f>
        <v>2</v>
      </c>
      <c r="M101" s="136">
        <f>IFERROR(__xludf.DUMMYFUNCTION("""COMPUTED_VALUE"""),2.0)</f>
        <v>2</v>
      </c>
      <c r="N101" s="136">
        <f>IFERROR(__xludf.DUMMYFUNCTION("""COMPUTED_VALUE"""),14.0)</f>
        <v>14</v>
      </c>
      <c r="O101" s="138">
        <f>IFERROR(__xludf.DUMMYFUNCTION("""COMPUTED_VALUE"""),0.0)</f>
        <v>0</v>
      </c>
      <c r="P101" s="138">
        <f>IFERROR(__xludf.DUMMYFUNCTION("""COMPUTED_VALUE"""),0.0)</f>
        <v>0</v>
      </c>
      <c r="Q101" s="138">
        <f>IFERROR(__xludf.DUMMYFUNCTION("""COMPUTED_VALUE"""),0.0)</f>
        <v>0</v>
      </c>
      <c r="R101" s="138">
        <f>IFERROR(__xludf.DUMMYFUNCTION("""COMPUTED_VALUE"""),0.0)</f>
        <v>0</v>
      </c>
      <c r="S101" s="139">
        <f>IFERROR(__xludf.DUMMYFUNCTION("""COMPUTED_VALUE"""),38.0)</f>
        <v>38</v>
      </c>
      <c r="T101" s="140">
        <f>IFERROR(__xludf.DUMMYFUNCTION("""COMPUTED_VALUE"""),17.0)</f>
        <v>17</v>
      </c>
      <c r="U101" s="136">
        <f>IFERROR(__xludf.DUMMYFUNCTION("""COMPUTED_VALUE"""),6.0)</f>
        <v>6</v>
      </c>
      <c r="V101" s="136">
        <f>IFERROR(__xludf.DUMMYFUNCTION("""COMPUTED_VALUE"""),5.0)</f>
        <v>5</v>
      </c>
      <c r="W101" s="136">
        <f>IFERROR(__xludf.DUMMYFUNCTION("""COMPUTED_VALUE"""),7.0)</f>
        <v>7</v>
      </c>
      <c r="X101" s="136">
        <f>IFERROR(__xludf.DUMMYFUNCTION("""COMPUTED_VALUE"""),270.6666666666667)</f>
        <v>270.6666667</v>
      </c>
      <c r="Y101" s="141">
        <f>IFERROR(__xludf.DUMMYFUNCTION("""COMPUTED_VALUE"""),49.275000000000006)</f>
        <v>49.275</v>
      </c>
      <c r="Z101" s="141">
        <f>IFERROR(__xludf.DUMMYFUNCTION("""COMPUTED_VALUE"""),1611.6666666666667)</f>
        <v>1611.666667</v>
      </c>
    </row>
    <row r="102">
      <c r="A102" s="41" t="str">
        <f>IFERROR(__xludf.DUMMYFUNCTION("""COMPUTED_VALUE"""),"Veteran")</f>
        <v>Veteran</v>
      </c>
      <c r="B102" s="41" t="str">
        <f>IFERROR(__xludf.DUMMYFUNCTION("""COMPUTED_VALUE"""),"RSC002209")</f>
        <v>RSC002209</v>
      </c>
      <c r="C102" s="41" t="str">
        <f>IFERROR(__xludf.DUMMYFUNCTION("""COMPUTED_VALUE"""),"Panick")</f>
        <v>Panick</v>
      </c>
      <c r="D102" s="41" t="str">
        <f>IFERROR(__xludf.DUMMYFUNCTION("""COMPUTED_VALUE"""),"Makos")</f>
        <v>Makos</v>
      </c>
      <c r="E102" s="136">
        <f>IFERROR(__xludf.DUMMYFUNCTION("""COMPUTED_VALUE"""),52.0)</f>
        <v>52</v>
      </c>
      <c r="F102" s="136">
        <f>IFERROR(__xludf.DUMMYFUNCTION("""COMPUTED_VALUE"""),34.0)</f>
        <v>34</v>
      </c>
      <c r="G102" s="136">
        <f>IFERROR(__xludf.DUMMYFUNCTION("""COMPUTED_VALUE"""),18.0)</f>
        <v>18</v>
      </c>
      <c r="H102" s="137">
        <f>IFERROR(__xludf.DUMMYFUNCTION("""COMPUTED_VALUE"""),0.6538461538461539)</f>
        <v>0.6538461538</v>
      </c>
      <c r="I102" s="136">
        <f>IFERROR(__xludf.DUMMYFUNCTION("""COMPUTED_VALUE"""),13.0)</f>
        <v>13</v>
      </c>
      <c r="J102" s="136">
        <f>IFERROR(__xludf.DUMMYFUNCTION("""COMPUTED_VALUE"""),18847.0)</f>
        <v>18847</v>
      </c>
      <c r="K102" s="136">
        <f>IFERROR(__xludf.DUMMYFUNCTION("""COMPUTED_VALUE"""),43.0)</f>
        <v>43</v>
      </c>
      <c r="L102" s="136">
        <f>IFERROR(__xludf.DUMMYFUNCTION("""COMPUTED_VALUE"""),38.0)</f>
        <v>38</v>
      </c>
      <c r="M102" s="136">
        <f>IFERROR(__xludf.DUMMYFUNCTION("""COMPUTED_VALUE"""),61.0)</f>
        <v>61</v>
      </c>
      <c r="N102" s="136">
        <f>IFERROR(__xludf.DUMMYFUNCTION("""COMPUTED_VALUE"""),142.0)</f>
        <v>142</v>
      </c>
      <c r="O102" s="138">
        <f>IFERROR(__xludf.DUMMYFUNCTION("""COMPUTED_VALUE"""),10.0)</f>
        <v>10</v>
      </c>
      <c r="P102" s="138">
        <f>IFERROR(__xludf.DUMMYFUNCTION("""COMPUTED_VALUE"""),5.0)</f>
        <v>5</v>
      </c>
      <c r="Q102" s="138">
        <f>IFERROR(__xludf.DUMMYFUNCTION("""COMPUTED_VALUE"""),1.0)</f>
        <v>1</v>
      </c>
      <c r="R102" s="138">
        <f>IFERROR(__xludf.DUMMYFUNCTION("""COMPUTED_VALUE"""),6.0)</f>
        <v>6</v>
      </c>
      <c r="S102" s="139">
        <f>IFERROR(__xludf.DUMMYFUNCTION("""COMPUTED_VALUE"""),369.0)</f>
        <v>369</v>
      </c>
      <c r="T102" s="140">
        <f>IFERROR(__xludf.DUMMYFUNCTION("""COMPUTED_VALUE"""),108.0)</f>
        <v>108</v>
      </c>
      <c r="U102" s="136">
        <f>IFERROR(__xludf.DUMMYFUNCTION("""COMPUTED_VALUE"""),34.0)</f>
        <v>34</v>
      </c>
      <c r="V102" s="136">
        <f>IFERROR(__xludf.DUMMYFUNCTION("""COMPUTED_VALUE"""),101.0)</f>
        <v>101</v>
      </c>
      <c r="W102" s="136">
        <f>IFERROR(__xludf.DUMMYFUNCTION("""COMPUTED_VALUE"""),49.0)</f>
        <v>49</v>
      </c>
      <c r="X102" s="136">
        <f>IFERROR(__xludf.DUMMYFUNCTION("""COMPUTED_VALUE"""),351.71153846153845)</f>
        <v>351.7115385</v>
      </c>
      <c r="Y102" s="141">
        <f>IFERROR(__xludf.DUMMYFUNCTION("""COMPUTED_VALUE"""),51.43115384615384)</f>
        <v>51.43115385</v>
      </c>
      <c r="Z102" s="141">
        <f>IFERROR(__xludf.DUMMYFUNCTION("""COMPUTED_VALUE"""),2224.173076923077)</f>
        <v>2224.173077</v>
      </c>
    </row>
    <row r="103">
      <c r="A103" s="41" t="str">
        <f>IFERROR(__xludf.DUMMYFUNCTION("""COMPUTED_VALUE"""),"Elite")</f>
        <v>Elite</v>
      </c>
      <c r="B103" s="41" t="str">
        <f>IFERROR(__xludf.DUMMYFUNCTION("""COMPUTED_VALUE"""),"RSC002246")</f>
        <v>RSC002246</v>
      </c>
      <c r="C103" s="41" t="str">
        <f>IFERROR(__xludf.DUMMYFUNCTION("""COMPUTED_VALUE"""),"Dread")</f>
        <v>Dread</v>
      </c>
      <c r="D103" s="41" t="str">
        <f>IFERROR(__xludf.DUMMYFUNCTION("""COMPUTED_VALUE"""),"Gelato")</f>
        <v>Gelato</v>
      </c>
      <c r="E103" s="136">
        <f>IFERROR(__xludf.DUMMYFUNCTION("""COMPUTED_VALUE"""),55.0)</f>
        <v>55</v>
      </c>
      <c r="F103" s="136">
        <f>IFERROR(__xludf.DUMMYFUNCTION("""COMPUTED_VALUE"""),28.0)</f>
        <v>28</v>
      </c>
      <c r="G103" s="136">
        <f>IFERROR(__xludf.DUMMYFUNCTION("""COMPUTED_VALUE"""),27.0)</f>
        <v>27</v>
      </c>
      <c r="H103" s="137">
        <f>IFERROR(__xludf.DUMMYFUNCTION("""COMPUTED_VALUE"""),0.509090909090909)</f>
        <v>0.5090909091</v>
      </c>
      <c r="I103" s="136">
        <f>IFERROR(__xludf.DUMMYFUNCTION("""COMPUTED_VALUE"""),8.0)</f>
        <v>8</v>
      </c>
      <c r="J103" s="136">
        <f>IFERROR(__xludf.DUMMYFUNCTION("""COMPUTED_VALUE"""),21992.0)</f>
        <v>21992</v>
      </c>
      <c r="K103" s="136">
        <f>IFERROR(__xludf.DUMMYFUNCTION("""COMPUTED_VALUE"""),56.0)</f>
        <v>56</v>
      </c>
      <c r="L103" s="136">
        <f>IFERROR(__xludf.DUMMYFUNCTION("""COMPUTED_VALUE"""),32.0)</f>
        <v>32</v>
      </c>
      <c r="M103" s="136">
        <f>IFERROR(__xludf.DUMMYFUNCTION("""COMPUTED_VALUE"""),81.0)</f>
        <v>81</v>
      </c>
      <c r="N103" s="136">
        <f>IFERROR(__xludf.DUMMYFUNCTION("""COMPUTED_VALUE"""),150.0)</f>
        <v>150</v>
      </c>
      <c r="O103" s="138">
        <f>IFERROR(__xludf.DUMMYFUNCTION("""COMPUTED_VALUE"""),16.0)</f>
        <v>16</v>
      </c>
      <c r="P103" s="138">
        <f>IFERROR(__xludf.DUMMYFUNCTION("""COMPUTED_VALUE"""),2.0)</f>
        <v>2</v>
      </c>
      <c r="Q103" s="138">
        <f>IFERROR(__xludf.DUMMYFUNCTION("""COMPUTED_VALUE"""),0.0)</f>
        <v>0</v>
      </c>
      <c r="R103" s="138">
        <f>IFERROR(__xludf.DUMMYFUNCTION("""COMPUTED_VALUE"""),10.0)</f>
        <v>10</v>
      </c>
      <c r="S103" s="139">
        <f>IFERROR(__xludf.DUMMYFUNCTION("""COMPUTED_VALUE"""),483.0)</f>
        <v>483</v>
      </c>
      <c r="T103" s="140">
        <f>IFERROR(__xludf.DUMMYFUNCTION("""COMPUTED_VALUE"""),138.0)</f>
        <v>138</v>
      </c>
      <c r="U103" s="136">
        <f>IFERROR(__xludf.DUMMYFUNCTION("""COMPUTED_VALUE"""),38.0)</f>
        <v>38</v>
      </c>
      <c r="V103" s="136">
        <f>IFERROR(__xludf.DUMMYFUNCTION("""COMPUTED_VALUE"""),62.0)</f>
        <v>62</v>
      </c>
      <c r="W103" s="136">
        <f>IFERROR(__xludf.DUMMYFUNCTION("""COMPUTED_VALUE"""),47.0)</f>
        <v>47</v>
      </c>
      <c r="X103" s="136">
        <f>IFERROR(__xludf.DUMMYFUNCTION("""COMPUTED_VALUE"""),421.45454545454544)</f>
        <v>421.4545455</v>
      </c>
      <c r="Y103" s="141">
        <f>IFERROR(__xludf.DUMMYFUNCTION("""COMPUTED_VALUE"""),48.916)</f>
        <v>48.916</v>
      </c>
      <c r="Z103" s="141">
        <f>IFERROR(__xludf.DUMMYFUNCTION("""COMPUTED_VALUE"""),2586.0)</f>
        <v>2586</v>
      </c>
    </row>
    <row r="104">
      <c r="A104" s="41" t="str">
        <f>IFERROR(__xludf.DUMMYFUNCTION("""COMPUTED_VALUE"""),"Rival")</f>
        <v>Rival</v>
      </c>
      <c r="B104" s="41" t="str">
        <f>IFERROR(__xludf.DUMMYFUNCTION("""COMPUTED_VALUE"""),"RSC002267")</f>
        <v>RSC002267</v>
      </c>
      <c r="C104" s="41" t="str">
        <f>IFERROR(__xludf.DUMMYFUNCTION("""COMPUTED_VALUE"""),"Dooqal")</f>
        <v>Dooqal</v>
      </c>
      <c r="D104" s="41" t="str">
        <f>IFERROR(__xludf.DUMMYFUNCTION("""COMPUTED_VALUE"""),"Heavy Metal")</f>
        <v>Heavy Metal</v>
      </c>
      <c r="E104" s="136">
        <f>IFERROR(__xludf.DUMMYFUNCTION("""COMPUTED_VALUE"""),46.0)</f>
        <v>46</v>
      </c>
      <c r="F104" s="136">
        <f>IFERROR(__xludf.DUMMYFUNCTION("""COMPUTED_VALUE"""),21.0)</f>
        <v>21</v>
      </c>
      <c r="G104" s="136">
        <f>IFERROR(__xludf.DUMMYFUNCTION("""COMPUTED_VALUE"""),25.0)</f>
        <v>25</v>
      </c>
      <c r="H104" s="137">
        <f>IFERROR(__xludf.DUMMYFUNCTION("""COMPUTED_VALUE"""),0.45652173913043476)</f>
        <v>0.4565217391</v>
      </c>
      <c r="I104" s="136">
        <f>IFERROR(__xludf.DUMMYFUNCTION("""COMPUTED_VALUE"""),12.0)</f>
        <v>12</v>
      </c>
      <c r="J104" s="136">
        <f>IFERROR(__xludf.DUMMYFUNCTION("""COMPUTED_VALUE"""),18609.0)</f>
        <v>18609</v>
      </c>
      <c r="K104" s="136">
        <f>IFERROR(__xludf.DUMMYFUNCTION("""COMPUTED_VALUE"""),40.0)</f>
        <v>40</v>
      </c>
      <c r="L104" s="136">
        <f>IFERROR(__xludf.DUMMYFUNCTION("""COMPUTED_VALUE"""),21.0)</f>
        <v>21</v>
      </c>
      <c r="M104" s="136">
        <f>IFERROR(__xludf.DUMMYFUNCTION("""COMPUTED_VALUE"""),76.0)</f>
        <v>76</v>
      </c>
      <c r="N104" s="136">
        <f>IFERROR(__xludf.DUMMYFUNCTION("""COMPUTED_VALUE"""),133.0)</f>
        <v>133</v>
      </c>
      <c r="O104" s="138">
        <f>IFERROR(__xludf.DUMMYFUNCTION("""COMPUTED_VALUE"""),10.0)</f>
        <v>10</v>
      </c>
      <c r="P104" s="138">
        <f>IFERROR(__xludf.DUMMYFUNCTION("""COMPUTED_VALUE"""),3.0)</f>
        <v>3</v>
      </c>
      <c r="Q104" s="138">
        <f>IFERROR(__xludf.DUMMYFUNCTION("""COMPUTED_VALUE"""),0.0)</f>
        <v>0</v>
      </c>
      <c r="R104" s="138">
        <f>IFERROR(__xludf.DUMMYFUNCTION("""COMPUTED_VALUE"""),9.0)</f>
        <v>9</v>
      </c>
      <c r="S104" s="139">
        <f>IFERROR(__xludf.DUMMYFUNCTION("""COMPUTED_VALUE"""),372.0)</f>
        <v>372</v>
      </c>
      <c r="T104" s="140">
        <f>IFERROR(__xludf.DUMMYFUNCTION("""COMPUTED_VALUE"""),113.0)</f>
        <v>113</v>
      </c>
      <c r="U104" s="136">
        <f>IFERROR(__xludf.DUMMYFUNCTION("""COMPUTED_VALUE"""),48.0)</f>
        <v>48</v>
      </c>
      <c r="V104" s="136">
        <f>IFERROR(__xludf.DUMMYFUNCTION("""COMPUTED_VALUE"""),31.0)</f>
        <v>31</v>
      </c>
      <c r="W104" s="136">
        <f>IFERROR(__xludf.DUMMYFUNCTION("""COMPUTED_VALUE"""),42.0)</f>
        <v>42</v>
      </c>
      <c r="X104" s="136">
        <f>IFERROR(__xludf.DUMMYFUNCTION("""COMPUTED_VALUE"""),452.5217391304348)</f>
        <v>452.5217391</v>
      </c>
      <c r="Y104" s="141">
        <f>IFERROR(__xludf.DUMMYFUNCTION("""COMPUTED_VALUE"""),46.76586956521738)</f>
        <v>46.76586957</v>
      </c>
      <c r="Z104" s="141">
        <f>IFERROR(__xludf.DUMMYFUNCTION("""COMPUTED_VALUE"""),2756.217391304348)</f>
        <v>2756.217391</v>
      </c>
    </row>
    <row r="105">
      <c r="A105" s="41" t="str">
        <f>IFERROR(__xludf.DUMMYFUNCTION("""COMPUTED_VALUE"""),"Veteran")</f>
        <v>Veteran</v>
      </c>
      <c r="B105" s="41" t="str">
        <f>IFERROR(__xludf.DUMMYFUNCTION("""COMPUTED_VALUE"""),"RSC002295")</f>
        <v>RSC002295</v>
      </c>
      <c r="C105" s="41" t="str">
        <f>IFERROR(__xludf.DUMMYFUNCTION("""COMPUTED_VALUE"""),"DEMOralize")</f>
        <v>DEMOralize</v>
      </c>
      <c r="D105" s="41" t="str">
        <f>IFERROR(__xludf.DUMMYFUNCTION("""COMPUTED_VALUE"""),"Legati")</f>
        <v>Legati</v>
      </c>
      <c r="E105" s="136">
        <f>IFERROR(__xludf.DUMMYFUNCTION("""COMPUTED_VALUE"""),52.0)</f>
        <v>52</v>
      </c>
      <c r="F105" s="136">
        <f>IFERROR(__xludf.DUMMYFUNCTION("""COMPUTED_VALUE"""),24.0)</f>
        <v>24</v>
      </c>
      <c r="G105" s="136">
        <f>IFERROR(__xludf.DUMMYFUNCTION("""COMPUTED_VALUE"""),28.0)</f>
        <v>28</v>
      </c>
      <c r="H105" s="137">
        <f>IFERROR(__xludf.DUMMYFUNCTION("""COMPUTED_VALUE"""),0.46153846153846156)</f>
        <v>0.4615384615</v>
      </c>
      <c r="I105" s="136">
        <f>IFERROR(__xludf.DUMMYFUNCTION("""COMPUTED_VALUE"""),6.0)</f>
        <v>6</v>
      </c>
      <c r="J105" s="136">
        <f>IFERROR(__xludf.DUMMYFUNCTION("""COMPUTED_VALUE"""),19238.0)</f>
        <v>19238</v>
      </c>
      <c r="K105" s="136">
        <f>IFERROR(__xludf.DUMMYFUNCTION("""COMPUTED_VALUE"""),42.0)</f>
        <v>42</v>
      </c>
      <c r="L105" s="136">
        <f>IFERROR(__xludf.DUMMYFUNCTION("""COMPUTED_VALUE"""),35.0)</f>
        <v>35</v>
      </c>
      <c r="M105" s="136">
        <f>IFERROR(__xludf.DUMMYFUNCTION("""COMPUTED_VALUE"""),67.0)</f>
        <v>67</v>
      </c>
      <c r="N105" s="136">
        <f>IFERROR(__xludf.DUMMYFUNCTION("""COMPUTED_VALUE"""),143.0)</f>
        <v>143</v>
      </c>
      <c r="O105" s="138">
        <f>IFERROR(__xludf.DUMMYFUNCTION("""COMPUTED_VALUE"""),13.0)</f>
        <v>13</v>
      </c>
      <c r="P105" s="138">
        <f>IFERROR(__xludf.DUMMYFUNCTION("""COMPUTED_VALUE"""),2.0)</f>
        <v>2</v>
      </c>
      <c r="Q105" s="138">
        <f>IFERROR(__xludf.DUMMYFUNCTION("""COMPUTED_VALUE"""),2.0)</f>
        <v>2</v>
      </c>
      <c r="R105" s="138">
        <f>IFERROR(__xludf.DUMMYFUNCTION("""COMPUTED_VALUE"""),8.0)</f>
        <v>8</v>
      </c>
      <c r="S105" s="139">
        <f>IFERROR(__xludf.DUMMYFUNCTION("""COMPUTED_VALUE"""),417.0)</f>
        <v>417</v>
      </c>
      <c r="T105" s="140">
        <f>IFERROR(__xludf.DUMMYFUNCTION("""COMPUTED_VALUE"""),151.0)</f>
        <v>151</v>
      </c>
      <c r="U105" s="136">
        <f>IFERROR(__xludf.DUMMYFUNCTION("""COMPUTED_VALUE"""),39.0)</f>
        <v>39</v>
      </c>
      <c r="V105" s="136">
        <f>IFERROR(__xludf.DUMMYFUNCTION("""COMPUTED_VALUE"""),227.0)</f>
        <v>227</v>
      </c>
      <c r="W105" s="136">
        <f>IFERROR(__xludf.DUMMYFUNCTION("""COMPUTED_VALUE"""),62.0)</f>
        <v>62</v>
      </c>
      <c r="X105" s="136">
        <f>IFERROR(__xludf.DUMMYFUNCTION("""COMPUTED_VALUE"""),443.8076923076923)</f>
        <v>443.8076923</v>
      </c>
      <c r="Y105" s="141">
        <f>IFERROR(__xludf.DUMMYFUNCTION("""COMPUTED_VALUE"""),51.23153846153844)</f>
        <v>51.23153846</v>
      </c>
      <c r="Z105" s="141">
        <f>IFERROR(__xludf.DUMMYFUNCTION("""COMPUTED_VALUE"""),2797.1346153846152)</f>
        <v>2797.134615</v>
      </c>
    </row>
    <row r="106">
      <c r="A106" s="41" t="str">
        <f>IFERROR(__xludf.DUMMYFUNCTION("""COMPUTED_VALUE"""),"Rival")</f>
        <v>Rival</v>
      </c>
      <c r="B106" s="41" t="str">
        <f>IFERROR(__xludf.DUMMYFUNCTION("""COMPUTED_VALUE"""),"RSC002320")</f>
        <v>RSC002320</v>
      </c>
      <c r="C106" s="41" t="str">
        <f>IFERROR(__xludf.DUMMYFUNCTION("""COMPUTED_VALUE"""),"JoeExotic")</f>
        <v>JoeExotic</v>
      </c>
      <c r="D106" s="41" t="str">
        <f>IFERROR(__xludf.DUMMYFUNCTION("""COMPUTED_VALUE"""),"Polar Ice")</f>
        <v>Polar Ice</v>
      </c>
      <c r="E106" s="136">
        <f>IFERROR(__xludf.DUMMYFUNCTION("""COMPUTED_VALUE"""),54.0)</f>
        <v>54</v>
      </c>
      <c r="F106" s="136">
        <f>IFERROR(__xludf.DUMMYFUNCTION("""COMPUTED_VALUE"""),14.0)</f>
        <v>14</v>
      </c>
      <c r="G106" s="136">
        <f>IFERROR(__xludf.DUMMYFUNCTION("""COMPUTED_VALUE"""),40.0)</f>
        <v>40</v>
      </c>
      <c r="H106" s="137">
        <f>IFERROR(__xludf.DUMMYFUNCTION("""COMPUTED_VALUE"""),0.25925925925925924)</f>
        <v>0.2592592593</v>
      </c>
      <c r="I106" s="136">
        <f>IFERROR(__xludf.DUMMYFUNCTION("""COMPUTED_VALUE"""),3.0)</f>
        <v>3</v>
      </c>
      <c r="J106" s="136">
        <f>IFERROR(__xludf.DUMMYFUNCTION("""COMPUTED_VALUE"""),16216.0)</f>
        <v>16216</v>
      </c>
      <c r="K106" s="136">
        <f>IFERROR(__xludf.DUMMYFUNCTION("""COMPUTED_VALUE"""),30.0)</f>
        <v>30</v>
      </c>
      <c r="L106" s="136">
        <f>IFERROR(__xludf.DUMMYFUNCTION("""COMPUTED_VALUE"""),18.0)</f>
        <v>18</v>
      </c>
      <c r="M106" s="136">
        <f>IFERROR(__xludf.DUMMYFUNCTION("""COMPUTED_VALUE"""),69.0)</f>
        <v>69</v>
      </c>
      <c r="N106" s="136">
        <f>IFERROR(__xludf.DUMMYFUNCTION("""COMPUTED_VALUE"""),111.0)</f>
        <v>111</v>
      </c>
      <c r="O106" s="138">
        <f>IFERROR(__xludf.DUMMYFUNCTION("""COMPUTED_VALUE"""),6.0)</f>
        <v>6</v>
      </c>
      <c r="P106" s="138">
        <f>IFERROR(__xludf.DUMMYFUNCTION("""COMPUTED_VALUE"""),0.0)</f>
        <v>0</v>
      </c>
      <c r="Q106" s="138">
        <f>IFERROR(__xludf.DUMMYFUNCTION("""COMPUTED_VALUE"""),0.0)</f>
        <v>0</v>
      </c>
      <c r="R106" s="138">
        <f>IFERROR(__xludf.DUMMYFUNCTION("""COMPUTED_VALUE"""),8.0)</f>
        <v>8</v>
      </c>
      <c r="S106" s="139">
        <f>IFERROR(__xludf.DUMMYFUNCTION("""COMPUTED_VALUE"""),449.0)</f>
        <v>449</v>
      </c>
      <c r="T106" s="140">
        <f>IFERROR(__xludf.DUMMYFUNCTION("""COMPUTED_VALUE"""),163.0)</f>
        <v>163</v>
      </c>
      <c r="U106" s="136">
        <f>IFERROR(__xludf.DUMMYFUNCTION("""COMPUTED_VALUE"""),53.0)</f>
        <v>53</v>
      </c>
      <c r="V106" s="136">
        <f>IFERROR(__xludf.DUMMYFUNCTION("""COMPUTED_VALUE"""),35.0)</f>
        <v>35</v>
      </c>
      <c r="W106" s="136">
        <f>IFERROR(__xludf.DUMMYFUNCTION("""COMPUTED_VALUE"""),52.0)</f>
        <v>52</v>
      </c>
      <c r="X106" s="136">
        <f>IFERROR(__xludf.DUMMYFUNCTION("""COMPUTED_VALUE"""),350.6666666666667)</f>
        <v>350.6666667</v>
      </c>
      <c r="Y106" s="141">
        <f>IFERROR(__xludf.DUMMYFUNCTION("""COMPUTED_VALUE"""),52.791481481481476)</f>
        <v>52.79148148</v>
      </c>
      <c r="Z106" s="141">
        <f>IFERROR(__xludf.DUMMYFUNCTION("""COMPUTED_VALUE"""),2127.8333333333335)</f>
        <v>2127.833333</v>
      </c>
    </row>
    <row r="107">
      <c r="A107" s="41" t="str">
        <f>IFERROR(__xludf.DUMMYFUNCTION("""COMPUTED_VALUE"""),"Veteran")</f>
        <v>Veteran</v>
      </c>
      <c r="B107" s="41" t="str">
        <f>IFERROR(__xludf.DUMMYFUNCTION("""COMPUTED_VALUE"""),"RSC002330")</f>
        <v>RSC002330</v>
      </c>
      <c r="C107" s="41" t="str">
        <f>IFERROR(__xludf.DUMMYFUNCTION("""COMPUTED_VALUE"""),"JesterGG")</f>
        <v>JesterGG</v>
      </c>
      <c r="D107" s="41" t="str">
        <f>IFERROR(__xludf.DUMMYFUNCTION("""COMPUTED_VALUE"""),"Grizzly Bears")</f>
        <v>Grizzly Bears</v>
      </c>
      <c r="E107" s="136">
        <f>IFERROR(__xludf.DUMMYFUNCTION("""COMPUTED_VALUE"""),35.0)</f>
        <v>35</v>
      </c>
      <c r="F107" s="136">
        <f>IFERROR(__xludf.DUMMYFUNCTION("""COMPUTED_VALUE"""),21.0)</f>
        <v>21</v>
      </c>
      <c r="G107" s="136">
        <f>IFERROR(__xludf.DUMMYFUNCTION("""COMPUTED_VALUE"""),14.0)</f>
        <v>14</v>
      </c>
      <c r="H107" s="137">
        <f>IFERROR(__xludf.DUMMYFUNCTION("""COMPUTED_VALUE"""),0.6)</f>
        <v>0.6</v>
      </c>
      <c r="I107" s="136">
        <f>IFERROR(__xludf.DUMMYFUNCTION("""COMPUTED_VALUE"""),5.0)</f>
        <v>5</v>
      </c>
      <c r="J107" s="136">
        <f>IFERROR(__xludf.DUMMYFUNCTION("""COMPUTED_VALUE"""),13288.0)</f>
        <v>13288</v>
      </c>
      <c r="K107" s="136">
        <f>IFERROR(__xludf.DUMMYFUNCTION("""COMPUTED_VALUE"""),33.0)</f>
        <v>33</v>
      </c>
      <c r="L107" s="136">
        <f>IFERROR(__xludf.DUMMYFUNCTION("""COMPUTED_VALUE"""),15.0)</f>
        <v>15</v>
      </c>
      <c r="M107" s="136">
        <f>IFERROR(__xludf.DUMMYFUNCTION("""COMPUTED_VALUE"""),50.0)</f>
        <v>50</v>
      </c>
      <c r="N107" s="136">
        <f>IFERROR(__xludf.DUMMYFUNCTION("""COMPUTED_VALUE"""),94.0)</f>
        <v>94</v>
      </c>
      <c r="O107" s="138">
        <f>IFERROR(__xludf.DUMMYFUNCTION("""COMPUTED_VALUE"""),5.0)</f>
        <v>5</v>
      </c>
      <c r="P107" s="138">
        <f>IFERROR(__xludf.DUMMYFUNCTION("""COMPUTED_VALUE"""),1.0)</f>
        <v>1</v>
      </c>
      <c r="Q107" s="138">
        <f>IFERROR(__xludf.DUMMYFUNCTION("""COMPUTED_VALUE"""),0.0)</f>
        <v>0</v>
      </c>
      <c r="R107" s="138">
        <f>IFERROR(__xludf.DUMMYFUNCTION("""COMPUTED_VALUE"""),5.0)</f>
        <v>5</v>
      </c>
      <c r="S107" s="139">
        <f>IFERROR(__xludf.DUMMYFUNCTION("""COMPUTED_VALUE"""),272.0)</f>
        <v>272</v>
      </c>
      <c r="T107" s="140">
        <f>IFERROR(__xludf.DUMMYFUNCTION("""COMPUTED_VALUE"""),69.0)</f>
        <v>69</v>
      </c>
      <c r="U107" s="136">
        <f>IFERROR(__xludf.DUMMYFUNCTION("""COMPUTED_VALUE"""),24.0)</f>
        <v>24</v>
      </c>
      <c r="V107" s="136">
        <f>IFERROR(__xludf.DUMMYFUNCTION("""COMPUTED_VALUE"""),44.0)</f>
        <v>44</v>
      </c>
      <c r="W107" s="136">
        <f>IFERROR(__xludf.DUMMYFUNCTION("""COMPUTED_VALUE"""),38.0)</f>
        <v>38</v>
      </c>
      <c r="X107" s="136">
        <f>IFERROR(__xludf.DUMMYFUNCTION("""COMPUTED_VALUE"""),405.77142857142854)</f>
        <v>405.7714286</v>
      </c>
      <c r="Y107" s="141">
        <f>IFERROR(__xludf.DUMMYFUNCTION("""COMPUTED_VALUE"""),49.16228571428573)</f>
        <v>49.16228571</v>
      </c>
      <c r="Z107" s="141">
        <f>IFERROR(__xludf.DUMMYFUNCTION("""COMPUTED_VALUE"""),2415.8285714285716)</f>
        <v>2415.828571</v>
      </c>
    </row>
    <row r="108">
      <c r="A108" s="41" t="str">
        <f>IFERROR(__xludf.DUMMYFUNCTION("""COMPUTED_VALUE"""),"Prospect")</f>
        <v>Prospect</v>
      </c>
      <c r="B108" s="41" t="str">
        <f>IFERROR(__xludf.DUMMYFUNCTION("""COMPUTED_VALUE"""),"RSC002408")</f>
        <v>RSC002408</v>
      </c>
      <c r="C108" s="41" t="str">
        <f>IFERROR(__xludf.DUMMYFUNCTION("""COMPUTED_VALUE"""),"Gmoney")</f>
        <v>Gmoney</v>
      </c>
      <c r="D108" s="41" t="str">
        <f>IFERROR(__xludf.DUMMYFUNCTION("""COMPUTED_VALUE"""),"Tic Tacs
Earth")</f>
        <v>Tic Tacs
Earth</v>
      </c>
      <c r="E108" s="136">
        <f>IFERROR(__xludf.DUMMYFUNCTION("""COMPUTED_VALUE"""),55.0)</f>
        <v>55</v>
      </c>
      <c r="F108" s="136">
        <f>IFERROR(__xludf.DUMMYFUNCTION("""COMPUTED_VALUE"""),31.0)</f>
        <v>31</v>
      </c>
      <c r="G108" s="136">
        <f>IFERROR(__xludf.DUMMYFUNCTION("""COMPUTED_VALUE"""),24.0)</f>
        <v>24</v>
      </c>
      <c r="H108" s="137">
        <f>IFERROR(__xludf.DUMMYFUNCTION("""COMPUTED_VALUE"""),0.5636363636363636)</f>
        <v>0.5636363636</v>
      </c>
      <c r="I108" s="136">
        <f>IFERROR(__xludf.DUMMYFUNCTION("""COMPUTED_VALUE"""),12.0)</f>
        <v>12</v>
      </c>
      <c r="J108" s="136">
        <f>IFERROR(__xludf.DUMMYFUNCTION("""COMPUTED_VALUE"""),18650.0)</f>
        <v>18650</v>
      </c>
      <c r="K108" s="136">
        <f>IFERROR(__xludf.DUMMYFUNCTION("""COMPUTED_VALUE"""),43.0)</f>
        <v>43</v>
      </c>
      <c r="L108" s="136">
        <f>IFERROR(__xludf.DUMMYFUNCTION("""COMPUTED_VALUE"""),32.0)</f>
        <v>32</v>
      </c>
      <c r="M108" s="136">
        <f>IFERROR(__xludf.DUMMYFUNCTION("""COMPUTED_VALUE"""),55.0)</f>
        <v>55</v>
      </c>
      <c r="N108" s="136">
        <f>IFERROR(__xludf.DUMMYFUNCTION("""COMPUTED_VALUE"""),145.0)</f>
        <v>145</v>
      </c>
      <c r="O108" s="138">
        <f>IFERROR(__xludf.DUMMYFUNCTION("""COMPUTED_VALUE"""),9.0)</f>
        <v>9</v>
      </c>
      <c r="P108" s="138">
        <f>IFERROR(__xludf.DUMMYFUNCTION("""COMPUTED_VALUE"""),3.0)</f>
        <v>3</v>
      </c>
      <c r="Q108" s="138">
        <f>IFERROR(__xludf.DUMMYFUNCTION("""COMPUTED_VALUE"""),3.0)</f>
        <v>3</v>
      </c>
      <c r="R108" s="138">
        <f>IFERROR(__xludf.DUMMYFUNCTION("""COMPUTED_VALUE"""),2.0)</f>
        <v>2</v>
      </c>
      <c r="S108" s="139">
        <f>IFERROR(__xludf.DUMMYFUNCTION("""COMPUTED_VALUE"""),370.0)</f>
        <v>370</v>
      </c>
      <c r="T108" s="140">
        <f>IFERROR(__xludf.DUMMYFUNCTION("""COMPUTED_VALUE"""),122.0)</f>
        <v>122</v>
      </c>
      <c r="U108" s="136">
        <f>IFERROR(__xludf.DUMMYFUNCTION("""COMPUTED_VALUE"""),32.0)</f>
        <v>32</v>
      </c>
      <c r="V108" s="136">
        <f>IFERROR(__xludf.DUMMYFUNCTION("""COMPUTED_VALUE"""),56.0)</f>
        <v>56</v>
      </c>
      <c r="W108" s="136">
        <f>IFERROR(__xludf.DUMMYFUNCTION("""COMPUTED_VALUE"""),38.0)</f>
        <v>38</v>
      </c>
      <c r="X108" s="136">
        <f>IFERROR(__xludf.DUMMYFUNCTION("""COMPUTED_VALUE"""),338.45454545454544)</f>
        <v>338.4545455</v>
      </c>
      <c r="Y108" s="141">
        <f>IFERROR(__xludf.DUMMYFUNCTION("""COMPUTED_VALUE"""),50.49218181818183)</f>
        <v>50.49218182</v>
      </c>
      <c r="Z108" s="141">
        <f>IFERROR(__xludf.DUMMYFUNCTION("""COMPUTED_VALUE"""),2098.018181818182)</f>
        <v>2098.018182</v>
      </c>
    </row>
    <row r="109">
      <c r="A109" s="41" t="str">
        <f>IFERROR(__xludf.DUMMYFUNCTION("""COMPUTED_VALUE"""),"Challenger")</f>
        <v>Challenger</v>
      </c>
      <c r="B109" s="41" t="str">
        <f>IFERROR(__xludf.DUMMYFUNCTION("""COMPUTED_VALUE"""),"RSC002412")</f>
        <v>RSC002412</v>
      </c>
      <c r="C109" s="41" t="str">
        <f>IFERROR(__xludf.DUMMYFUNCTION("""COMPUTED_VALUE"""),"Rosefanatic3615")</f>
        <v>Rosefanatic3615</v>
      </c>
      <c r="D109" s="41" t="str">
        <f>IFERROR(__xludf.DUMMYFUNCTION("""COMPUTED_VALUE"""),"Manticore")</f>
        <v>Manticore</v>
      </c>
      <c r="E109" s="136">
        <f>IFERROR(__xludf.DUMMYFUNCTION("""COMPUTED_VALUE"""),56.0)</f>
        <v>56</v>
      </c>
      <c r="F109" s="136">
        <f>IFERROR(__xludf.DUMMYFUNCTION("""COMPUTED_VALUE"""),40.0)</f>
        <v>40</v>
      </c>
      <c r="G109" s="136">
        <f>IFERROR(__xludf.DUMMYFUNCTION("""COMPUTED_VALUE"""),16.0)</f>
        <v>16</v>
      </c>
      <c r="H109" s="137">
        <f>IFERROR(__xludf.DUMMYFUNCTION("""COMPUTED_VALUE"""),0.7142857142857143)</f>
        <v>0.7142857143</v>
      </c>
      <c r="I109" s="136">
        <f>IFERROR(__xludf.DUMMYFUNCTION("""COMPUTED_VALUE"""),14.0)</f>
        <v>14</v>
      </c>
      <c r="J109" s="136">
        <f>IFERROR(__xludf.DUMMYFUNCTION("""COMPUTED_VALUE"""),22611.0)</f>
        <v>22611</v>
      </c>
      <c r="K109" s="136">
        <f>IFERROR(__xludf.DUMMYFUNCTION("""COMPUTED_VALUE"""),73.0)</f>
        <v>73</v>
      </c>
      <c r="L109" s="136">
        <f>IFERROR(__xludf.DUMMYFUNCTION("""COMPUTED_VALUE"""),48.0)</f>
        <v>48</v>
      </c>
      <c r="M109" s="136">
        <f>IFERROR(__xludf.DUMMYFUNCTION("""COMPUTED_VALUE"""),47.0)</f>
        <v>47</v>
      </c>
      <c r="N109" s="136">
        <f>IFERROR(__xludf.DUMMYFUNCTION("""COMPUTED_VALUE"""),208.0)</f>
        <v>208</v>
      </c>
      <c r="O109" s="138">
        <f>IFERROR(__xludf.DUMMYFUNCTION("""COMPUTED_VALUE"""),18.0)</f>
        <v>18</v>
      </c>
      <c r="P109" s="138">
        <f>IFERROR(__xludf.DUMMYFUNCTION("""COMPUTED_VALUE"""),6.0)</f>
        <v>6</v>
      </c>
      <c r="Q109" s="138">
        <f>IFERROR(__xludf.DUMMYFUNCTION("""COMPUTED_VALUE"""),1.0)</f>
        <v>1</v>
      </c>
      <c r="R109" s="138">
        <f>IFERROR(__xludf.DUMMYFUNCTION("""COMPUTED_VALUE"""),2.0)</f>
        <v>2</v>
      </c>
      <c r="S109" s="139">
        <f>IFERROR(__xludf.DUMMYFUNCTION("""COMPUTED_VALUE"""),314.0)</f>
        <v>314</v>
      </c>
      <c r="T109" s="140">
        <f>IFERROR(__xludf.DUMMYFUNCTION("""COMPUTED_VALUE"""),98.0)</f>
        <v>98</v>
      </c>
      <c r="U109" s="136">
        <f>IFERROR(__xludf.DUMMYFUNCTION("""COMPUTED_VALUE"""),27.0)</f>
        <v>27</v>
      </c>
      <c r="V109" s="136">
        <f>IFERROR(__xludf.DUMMYFUNCTION("""COMPUTED_VALUE"""),35.0)</f>
        <v>35</v>
      </c>
      <c r="W109" s="136">
        <f>IFERROR(__xludf.DUMMYFUNCTION("""COMPUTED_VALUE"""),58.0)</f>
        <v>58</v>
      </c>
      <c r="X109" s="136">
        <f>IFERROR(__xludf.DUMMYFUNCTION("""COMPUTED_VALUE"""),372.14285714285717)</f>
        <v>372.1428571</v>
      </c>
      <c r="Y109" s="141">
        <f>IFERROR(__xludf.DUMMYFUNCTION("""COMPUTED_VALUE"""),48.14785714285712)</f>
        <v>48.14785714</v>
      </c>
      <c r="Z109" s="141">
        <f>IFERROR(__xludf.DUMMYFUNCTION("""COMPUTED_VALUE"""),2249.3571428571427)</f>
        <v>2249.357143</v>
      </c>
    </row>
    <row r="110">
      <c r="A110" s="41" t="str">
        <f>IFERROR(__xludf.DUMMYFUNCTION("""COMPUTED_VALUE"""),"Rival")</f>
        <v>Rival</v>
      </c>
      <c r="B110" s="41" t="str">
        <f>IFERROR(__xludf.DUMMYFUNCTION("""COMPUTED_VALUE"""),"RSC002413")</f>
        <v>RSC002413</v>
      </c>
      <c r="C110" s="41" t="str">
        <f>IFERROR(__xludf.DUMMYFUNCTION("""COMPUTED_VALUE"""),"dafiya711")</f>
        <v>dafiya711</v>
      </c>
      <c r="D110" s="41" t="str">
        <f>IFERROR(__xludf.DUMMYFUNCTION("""COMPUTED_VALUE"""),"Liars
Barracudas")</f>
        <v>Liars
Barracudas</v>
      </c>
      <c r="E110" s="136">
        <f>IFERROR(__xludf.DUMMYFUNCTION("""COMPUTED_VALUE"""),20.0)</f>
        <v>20</v>
      </c>
      <c r="F110" s="136">
        <f>IFERROR(__xludf.DUMMYFUNCTION("""COMPUTED_VALUE"""),12.0)</f>
        <v>12</v>
      </c>
      <c r="G110" s="136">
        <f>IFERROR(__xludf.DUMMYFUNCTION("""COMPUTED_VALUE"""),8.0)</f>
        <v>8</v>
      </c>
      <c r="H110" s="137">
        <f>IFERROR(__xludf.DUMMYFUNCTION("""COMPUTED_VALUE"""),0.6)</f>
        <v>0.6</v>
      </c>
      <c r="I110" s="136">
        <f>IFERROR(__xludf.DUMMYFUNCTION("""COMPUTED_VALUE"""),4.0)</f>
        <v>4</v>
      </c>
      <c r="J110" s="136">
        <f>IFERROR(__xludf.DUMMYFUNCTION("""COMPUTED_VALUE"""),6282.0)</f>
        <v>6282</v>
      </c>
      <c r="K110" s="136">
        <f>IFERROR(__xludf.DUMMYFUNCTION("""COMPUTED_VALUE"""),16.0)</f>
        <v>16</v>
      </c>
      <c r="L110" s="136">
        <f>IFERROR(__xludf.DUMMYFUNCTION("""COMPUTED_VALUE"""),11.0)</f>
        <v>11</v>
      </c>
      <c r="M110" s="136">
        <f>IFERROR(__xludf.DUMMYFUNCTION("""COMPUTED_VALUE"""),20.0)</f>
        <v>20</v>
      </c>
      <c r="N110" s="136">
        <f>IFERROR(__xludf.DUMMYFUNCTION("""COMPUTED_VALUE"""),46.0)</f>
        <v>46</v>
      </c>
      <c r="O110" s="138">
        <f>IFERROR(__xludf.DUMMYFUNCTION("""COMPUTED_VALUE"""),5.0)</f>
        <v>5</v>
      </c>
      <c r="P110" s="138">
        <f>IFERROR(__xludf.DUMMYFUNCTION("""COMPUTED_VALUE"""),0.0)</f>
        <v>0</v>
      </c>
      <c r="Q110" s="138">
        <f>IFERROR(__xludf.DUMMYFUNCTION("""COMPUTED_VALUE"""),0.0)</f>
        <v>0</v>
      </c>
      <c r="R110" s="138">
        <f>IFERROR(__xludf.DUMMYFUNCTION("""COMPUTED_VALUE"""),0.0)</f>
        <v>0</v>
      </c>
      <c r="S110" s="139">
        <f>IFERROR(__xludf.DUMMYFUNCTION("""COMPUTED_VALUE"""),155.0)</f>
        <v>155</v>
      </c>
      <c r="T110" s="140">
        <f>IFERROR(__xludf.DUMMYFUNCTION("""COMPUTED_VALUE"""),51.0)</f>
        <v>51</v>
      </c>
      <c r="U110" s="136">
        <f>IFERROR(__xludf.DUMMYFUNCTION("""COMPUTED_VALUE"""),14.0)</f>
        <v>14</v>
      </c>
      <c r="V110" s="136">
        <f>IFERROR(__xludf.DUMMYFUNCTION("""COMPUTED_VALUE"""),17.0)</f>
        <v>17</v>
      </c>
      <c r="W110" s="136">
        <f>IFERROR(__xludf.DUMMYFUNCTION("""COMPUTED_VALUE"""),21.0)</f>
        <v>21</v>
      </c>
      <c r="X110" s="136">
        <f>IFERROR(__xludf.DUMMYFUNCTION("""COMPUTED_VALUE"""),357.0)</f>
        <v>357</v>
      </c>
      <c r="Y110" s="141">
        <f>IFERROR(__xludf.DUMMYFUNCTION("""COMPUTED_VALUE"""),51.342499999999994)</f>
        <v>51.3425</v>
      </c>
      <c r="Z110" s="141">
        <f>IFERROR(__xludf.DUMMYFUNCTION("""COMPUTED_VALUE"""),2098.65)</f>
        <v>2098.65</v>
      </c>
    </row>
    <row r="111">
      <c r="A111" s="41" t="str">
        <f>IFERROR(__xludf.DUMMYFUNCTION("""COMPUTED_VALUE"""),"Rival")</f>
        <v>Rival</v>
      </c>
      <c r="B111" s="41" t="str">
        <f>IFERROR(__xludf.DUMMYFUNCTION("""COMPUTED_VALUE"""),"RSC002415")</f>
        <v>RSC002415</v>
      </c>
      <c r="C111" s="41" t="str">
        <f>IFERROR(__xludf.DUMMYFUNCTION("""COMPUTED_VALUE"""),"Goum")</f>
        <v>Goum</v>
      </c>
      <c r="D111" s="41" t="str">
        <f>IFERROR(__xludf.DUMMYFUNCTION("""COMPUTED_VALUE"""),"Lacuna
Gaboons")</f>
        <v>Lacuna
Gaboons</v>
      </c>
      <c r="E111" s="136">
        <f>IFERROR(__xludf.DUMMYFUNCTION("""COMPUTED_VALUE"""),12.0)</f>
        <v>12</v>
      </c>
      <c r="F111" s="136">
        <f>IFERROR(__xludf.DUMMYFUNCTION("""COMPUTED_VALUE"""),7.0)</f>
        <v>7</v>
      </c>
      <c r="G111" s="136">
        <f>IFERROR(__xludf.DUMMYFUNCTION("""COMPUTED_VALUE"""),5.0)</f>
        <v>5</v>
      </c>
      <c r="H111" s="137">
        <f>IFERROR(__xludf.DUMMYFUNCTION("""COMPUTED_VALUE"""),0.5833333333333334)</f>
        <v>0.5833333333</v>
      </c>
      <c r="I111" s="136">
        <f>IFERROR(__xludf.DUMMYFUNCTION("""COMPUTED_VALUE"""),2.0)</f>
        <v>2</v>
      </c>
      <c r="J111" s="136">
        <f>IFERROR(__xludf.DUMMYFUNCTION("""COMPUTED_VALUE"""),3999.0)</f>
        <v>3999</v>
      </c>
      <c r="K111" s="136">
        <f>IFERROR(__xludf.DUMMYFUNCTION("""COMPUTED_VALUE"""),6.0)</f>
        <v>6</v>
      </c>
      <c r="L111" s="136">
        <f>IFERROR(__xludf.DUMMYFUNCTION("""COMPUTED_VALUE"""),10.0)</f>
        <v>10</v>
      </c>
      <c r="M111" s="136">
        <f>IFERROR(__xludf.DUMMYFUNCTION("""COMPUTED_VALUE"""),13.0)</f>
        <v>13</v>
      </c>
      <c r="N111" s="136">
        <f>IFERROR(__xludf.DUMMYFUNCTION("""COMPUTED_VALUE"""),25.0)</f>
        <v>25</v>
      </c>
      <c r="O111" s="138">
        <f>IFERROR(__xludf.DUMMYFUNCTION("""COMPUTED_VALUE"""),2.0)</f>
        <v>2</v>
      </c>
      <c r="P111" s="138">
        <f>IFERROR(__xludf.DUMMYFUNCTION("""COMPUTED_VALUE"""),0.0)</f>
        <v>0</v>
      </c>
      <c r="Q111" s="138">
        <f>IFERROR(__xludf.DUMMYFUNCTION("""COMPUTED_VALUE"""),1.0)</f>
        <v>1</v>
      </c>
      <c r="R111" s="138">
        <f>IFERROR(__xludf.DUMMYFUNCTION("""COMPUTED_VALUE"""),1.0)</f>
        <v>1</v>
      </c>
      <c r="S111" s="139">
        <f>IFERROR(__xludf.DUMMYFUNCTION("""COMPUTED_VALUE"""),93.0)</f>
        <v>93</v>
      </c>
      <c r="T111" s="140">
        <f>IFERROR(__xludf.DUMMYFUNCTION("""COMPUTED_VALUE"""),28.0)</f>
        <v>28</v>
      </c>
      <c r="U111" s="136">
        <f>IFERROR(__xludf.DUMMYFUNCTION("""COMPUTED_VALUE"""),9.0)</f>
        <v>9</v>
      </c>
      <c r="V111" s="136">
        <f>IFERROR(__xludf.DUMMYFUNCTION("""COMPUTED_VALUE"""),8.0)</f>
        <v>8</v>
      </c>
      <c r="W111" s="136">
        <f>IFERROR(__xludf.DUMMYFUNCTION("""COMPUTED_VALUE"""),10.0)</f>
        <v>10</v>
      </c>
      <c r="X111" s="136">
        <f>IFERROR(__xludf.DUMMYFUNCTION("""COMPUTED_VALUE"""),312.25)</f>
        <v>312.25</v>
      </c>
      <c r="Y111" s="141">
        <f>IFERROR(__xludf.DUMMYFUNCTION("""COMPUTED_VALUE"""),49.70583333333334)</f>
        <v>49.70583333</v>
      </c>
      <c r="Z111" s="141">
        <f>IFERROR(__xludf.DUMMYFUNCTION("""COMPUTED_VALUE"""),1970.5)</f>
        <v>1970.5</v>
      </c>
    </row>
    <row r="112">
      <c r="A112" s="41" t="str">
        <f>IFERROR(__xludf.DUMMYFUNCTION("""COMPUTED_VALUE"""),"Elite")</f>
        <v>Elite</v>
      </c>
      <c r="B112" s="41" t="str">
        <f>IFERROR(__xludf.DUMMYFUNCTION("""COMPUTED_VALUE"""),"RSC002425")</f>
        <v>RSC002425</v>
      </c>
      <c r="C112" s="41" t="str">
        <f>IFERROR(__xludf.DUMMYFUNCTION("""COMPUTED_VALUE"""),"Kourses")</f>
        <v>Kourses</v>
      </c>
      <c r="D112" s="41" t="str">
        <f>IFERROR(__xludf.DUMMYFUNCTION("""COMPUTED_VALUE"""),"Hydras")</f>
        <v>Hydras</v>
      </c>
      <c r="E112" s="136">
        <f>IFERROR(__xludf.DUMMYFUNCTION("""COMPUTED_VALUE"""),2.0)</f>
        <v>2</v>
      </c>
      <c r="F112" s="136">
        <f>IFERROR(__xludf.DUMMYFUNCTION("""COMPUTED_VALUE"""),2.0)</f>
        <v>2</v>
      </c>
      <c r="G112" s="136">
        <f>IFERROR(__xludf.DUMMYFUNCTION("""COMPUTED_VALUE"""),0.0)</f>
        <v>0</v>
      </c>
      <c r="H112" s="137">
        <f>IFERROR(__xludf.DUMMYFUNCTION("""COMPUTED_VALUE"""),1.0)</f>
        <v>1</v>
      </c>
      <c r="I112" s="136">
        <f>IFERROR(__xludf.DUMMYFUNCTION("""COMPUTED_VALUE"""),0.0)</f>
        <v>0</v>
      </c>
      <c r="J112" s="136">
        <f>IFERROR(__xludf.DUMMYFUNCTION("""COMPUTED_VALUE"""),414.0)</f>
        <v>414</v>
      </c>
      <c r="K112" s="136">
        <f>IFERROR(__xludf.DUMMYFUNCTION("""COMPUTED_VALUE"""),1.0)</f>
        <v>1</v>
      </c>
      <c r="L112" s="136">
        <f>IFERROR(__xludf.DUMMYFUNCTION("""COMPUTED_VALUE"""),0.0)</f>
        <v>0</v>
      </c>
      <c r="M112" s="136">
        <f>IFERROR(__xludf.DUMMYFUNCTION("""COMPUTED_VALUE"""),1.0)</f>
        <v>1</v>
      </c>
      <c r="N112" s="136">
        <f>IFERROR(__xludf.DUMMYFUNCTION("""COMPUTED_VALUE"""),5.0)</f>
        <v>5</v>
      </c>
      <c r="O112" s="138">
        <f>IFERROR(__xludf.DUMMYFUNCTION("""COMPUTED_VALUE"""),0.0)</f>
        <v>0</v>
      </c>
      <c r="P112" s="138">
        <f>IFERROR(__xludf.DUMMYFUNCTION("""COMPUTED_VALUE"""),0.0)</f>
        <v>0</v>
      </c>
      <c r="Q112" s="138">
        <f>IFERROR(__xludf.DUMMYFUNCTION("""COMPUTED_VALUE"""),0.0)</f>
        <v>0</v>
      </c>
      <c r="R112" s="138">
        <f>IFERROR(__xludf.DUMMYFUNCTION("""COMPUTED_VALUE"""),0.0)</f>
        <v>0</v>
      </c>
      <c r="S112" s="139">
        <f>IFERROR(__xludf.DUMMYFUNCTION("""COMPUTED_VALUE"""),8.0)</f>
        <v>8</v>
      </c>
      <c r="T112" s="140">
        <f>IFERROR(__xludf.DUMMYFUNCTION("""COMPUTED_VALUE"""),2.0)</f>
        <v>2</v>
      </c>
      <c r="U112" s="136">
        <f>IFERROR(__xludf.DUMMYFUNCTION("""COMPUTED_VALUE"""),1.0)</f>
        <v>1</v>
      </c>
      <c r="V112" s="136">
        <f>IFERROR(__xludf.DUMMYFUNCTION("""COMPUTED_VALUE"""),1.0)</f>
        <v>1</v>
      </c>
      <c r="W112" s="136">
        <f>IFERROR(__xludf.DUMMYFUNCTION("""COMPUTED_VALUE"""),1.0)</f>
        <v>1</v>
      </c>
      <c r="X112" s="136">
        <f>IFERROR(__xludf.DUMMYFUNCTION("""COMPUTED_VALUE"""),389.5)</f>
        <v>389.5</v>
      </c>
      <c r="Y112" s="141">
        <f>IFERROR(__xludf.DUMMYFUNCTION("""COMPUTED_VALUE"""),47.474999999999994)</f>
        <v>47.475</v>
      </c>
      <c r="Z112" s="141">
        <f>IFERROR(__xludf.DUMMYFUNCTION("""COMPUTED_VALUE"""),2188.0)</f>
        <v>2188</v>
      </c>
    </row>
    <row r="113">
      <c r="A113" s="41" t="str">
        <f>IFERROR(__xludf.DUMMYFUNCTION("""COMPUTED_VALUE"""),"Rival")</f>
        <v>Rival</v>
      </c>
      <c r="B113" s="41" t="str">
        <f>IFERROR(__xludf.DUMMYFUNCTION("""COMPUTED_VALUE"""),"RSC002427")</f>
        <v>RSC002427</v>
      </c>
      <c r="C113" s="41" t="str">
        <f>IFERROR(__xludf.DUMMYFUNCTION("""COMPUTED_VALUE"""),"Free.")</f>
        <v>Free.</v>
      </c>
      <c r="D113" s="41" t="str">
        <f>IFERROR(__xludf.DUMMYFUNCTION("""COMPUTED_VALUE"""),"Samurai
Hammerheads")</f>
        <v>Samurai
Hammerheads</v>
      </c>
      <c r="E113" s="136">
        <f>IFERROR(__xludf.DUMMYFUNCTION("""COMPUTED_VALUE"""),40.0)</f>
        <v>40</v>
      </c>
      <c r="F113" s="136">
        <f>IFERROR(__xludf.DUMMYFUNCTION("""COMPUTED_VALUE"""),17.0)</f>
        <v>17</v>
      </c>
      <c r="G113" s="136">
        <f>IFERROR(__xludf.DUMMYFUNCTION("""COMPUTED_VALUE"""),23.0)</f>
        <v>23</v>
      </c>
      <c r="H113" s="137">
        <f>IFERROR(__xludf.DUMMYFUNCTION("""COMPUTED_VALUE"""),0.425)</f>
        <v>0.425</v>
      </c>
      <c r="I113" s="136">
        <f>IFERROR(__xludf.DUMMYFUNCTION("""COMPUTED_VALUE"""),7.0)</f>
        <v>7</v>
      </c>
      <c r="J113" s="136">
        <f>IFERROR(__xludf.DUMMYFUNCTION("""COMPUTED_VALUE"""),13033.0)</f>
        <v>13033</v>
      </c>
      <c r="K113" s="136">
        <f>IFERROR(__xludf.DUMMYFUNCTION("""COMPUTED_VALUE"""),32.0)</f>
        <v>32</v>
      </c>
      <c r="L113" s="136">
        <f>IFERROR(__xludf.DUMMYFUNCTION("""COMPUTED_VALUE"""),16.0)</f>
        <v>16</v>
      </c>
      <c r="M113" s="136">
        <f>IFERROR(__xludf.DUMMYFUNCTION("""COMPUTED_VALUE"""),45.0)</f>
        <v>45</v>
      </c>
      <c r="N113" s="136">
        <f>IFERROR(__xludf.DUMMYFUNCTION("""COMPUTED_VALUE"""),113.0)</f>
        <v>113</v>
      </c>
      <c r="O113" s="138">
        <f>IFERROR(__xludf.DUMMYFUNCTION("""COMPUTED_VALUE"""),7.0)</f>
        <v>7</v>
      </c>
      <c r="P113" s="138">
        <f>IFERROR(__xludf.DUMMYFUNCTION("""COMPUTED_VALUE"""),2.0)</f>
        <v>2</v>
      </c>
      <c r="Q113" s="138">
        <f>IFERROR(__xludf.DUMMYFUNCTION("""COMPUTED_VALUE"""),0.0)</f>
        <v>0</v>
      </c>
      <c r="R113" s="138">
        <f>IFERROR(__xludf.DUMMYFUNCTION("""COMPUTED_VALUE"""),5.0)</f>
        <v>5</v>
      </c>
      <c r="S113" s="139">
        <f>IFERROR(__xludf.DUMMYFUNCTION("""COMPUTED_VALUE"""),292.0)</f>
        <v>292</v>
      </c>
      <c r="T113" s="140">
        <f>IFERROR(__xludf.DUMMYFUNCTION("""COMPUTED_VALUE"""),99.0)</f>
        <v>99</v>
      </c>
      <c r="U113" s="136">
        <f>IFERROR(__xludf.DUMMYFUNCTION("""COMPUTED_VALUE"""),19.0)</f>
        <v>19</v>
      </c>
      <c r="V113" s="136">
        <f>IFERROR(__xludf.DUMMYFUNCTION("""COMPUTED_VALUE"""),28.0)</f>
        <v>28</v>
      </c>
      <c r="W113" s="136">
        <f>IFERROR(__xludf.DUMMYFUNCTION("""COMPUTED_VALUE"""),49.0)</f>
        <v>49</v>
      </c>
      <c r="X113" s="136">
        <f>IFERROR(__xludf.DUMMYFUNCTION("""COMPUTED_VALUE"""),409.975)</f>
        <v>409.975</v>
      </c>
      <c r="Y113" s="141">
        <f>IFERROR(__xludf.DUMMYFUNCTION("""COMPUTED_VALUE"""),47.286750000000005)</f>
        <v>47.28675</v>
      </c>
      <c r="Z113" s="141">
        <f>IFERROR(__xludf.DUMMYFUNCTION("""COMPUTED_VALUE"""),2458.2)</f>
        <v>2458.2</v>
      </c>
    </row>
    <row r="114">
      <c r="A114" s="41" t="str">
        <f>IFERROR(__xludf.DUMMYFUNCTION("""COMPUTED_VALUE"""),"Veteran")</f>
        <v>Veteran</v>
      </c>
      <c r="B114" s="41" t="str">
        <f>IFERROR(__xludf.DUMMYFUNCTION("""COMPUTED_VALUE"""),"RSC002453")</f>
        <v>RSC002453</v>
      </c>
      <c r="C114" s="41" t="str">
        <f>IFERROR(__xludf.DUMMYFUNCTION("""COMPUTED_VALUE"""),"Ghostie")</f>
        <v>Ghostie</v>
      </c>
      <c r="D114" s="41" t="str">
        <f>IFERROR(__xludf.DUMMYFUNCTION("""COMPUTED_VALUE"""),"Mages")</f>
        <v>Mages</v>
      </c>
      <c r="E114" s="136">
        <f>IFERROR(__xludf.DUMMYFUNCTION("""COMPUTED_VALUE"""),4.0)</f>
        <v>4</v>
      </c>
      <c r="F114" s="136">
        <f>IFERROR(__xludf.DUMMYFUNCTION("""COMPUTED_VALUE"""),1.0)</f>
        <v>1</v>
      </c>
      <c r="G114" s="136">
        <f>IFERROR(__xludf.DUMMYFUNCTION("""COMPUTED_VALUE"""),3.0)</f>
        <v>3</v>
      </c>
      <c r="H114" s="137">
        <f>IFERROR(__xludf.DUMMYFUNCTION("""COMPUTED_VALUE"""),0.25)</f>
        <v>0.25</v>
      </c>
      <c r="I114" s="136">
        <f>IFERROR(__xludf.DUMMYFUNCTION("""COMPUTED_VALUE"""),0.0)</f>
        <v>0</v>
      </c>
      <c r="J114" s="136">
        <f>IFERROR(__xludf.DUMMYFUNCTION("""COMPUTED_VALUE"""),1304.0)</f>
        <v>1304</v>
      </c>
      <c r="K114" s="136">
        <f>IFERROR(__xludf.DUMMYFUNCTION("""COMPUTED_VALUE"""),4.0)</f>
        <v>4</v>
      </c>
      <c r="L114" s="136">
        <f>IFERROR(__xludf.DUMMYFUNCTION("""COMPUTED_VALUE"""),3.0)</f>
        <v>3</v>
      </c>
      <c r="M114" s="136">
        <f>IFERROR(__xludf.DUMMYFUNCTION("""COMPUTED_VALUE"""),3.0)</f>
        <v>3</v>
      </c>
      <c r="N114" s="136">
        <f>IFERROR(__xludf.DUMMYFUNCTION("""COMPUTED_VALUE"""),11.0)</f>
        <v>11</v>
      </c>
      <c r="O114" s="138">
        <f>IFERROR(__xludf.DUMMYFUNCTION("""COMPUTED_VALUE"""),1.0)</f>
        <v>1</v>
      </c>
      <c r="P114" s="138">
        <f>IFERROR(__xludf.DUMMYFUNCTION("""COMPUTED_VALUE"""),0.0)</f>
        <v>0</v>
      </c>
      <c r="Q114" s="138">
        <f>IFERROR(__xludf.DUMMYFUNCTION("""COMPUTED_VALUE"""),0.0)</f>
        <v>0</v>
      </c>
      <c r="R114" s="138">
        <f>IFERROR(__xludf.DUMMYFUNCTION("""COMPUTED_VALUE"""),0.0)</f>
        <v>0</v>
      </c>
      <c r="S114" s="139">
        <f>IFERROR(__xludf.DUMMYFUNCTION("""COMPUTED_VALUE"""),30.0)</f>
        <v>30</v>
      </c>
      <c r="T114" s="140">
        <f>IFERROR(__xludf.DUMMYFUNCTION("""COMPUTED_VALUE"""),15.0)</f>
        <v>15</v>
      </c>
      <c r="U114" s="136">
        <f>IFERROR(__xludf.DUMMYFUNCTION("""COMPUTED_VALUE"""),2.0)</f>
        <v>2</v>
      </c>
      <c r="V114" s="136">
        <f>IFERROR(__xludf.DUMMYFUNCTION("""COMPUTED_VALUE"""),2.0)</f>
        <v>2</v>
      </c>
      <c r="W114" s="136">
        <f>IFERROR(__xludf.DUMMYFUNCTION("""COMPUTED_VALUE"""),9.0)</f>
        <v>9</v>
      </c>
      <c r="X114" s="136">
        <f>IFERROR(__xludf.DUMMYFUNCTION("""COMPUTED_VALUE"""),363.75)</f>
        <v>363.75</v>
      </c>
      <c r="Y114" s="141">
        <f>IFERROR(__xludf.DUMMYFUNCTION("""COMPUTED_VALUE"""),45.932500000000005)</f>
        <v>45.9325</v>
      </c>
      <c r="Z114" s="141">
        <f>IFERROR(__xludf.DUMMYFUNCTION("""COMPUTED_VALUE"""),2154.5)</f>
        <v>2154.5</v>
      </c>
    </row>
    <row r="115">
      <c r="A115" s="41" t="str">
        <f>IFERROR(__xludf.DUMMYFUNCTION("""COMPUTED_VALUE"""),"Master")</f>
        <v>Master</v>
      </c>
      <c r="B115" s="41" t="str">
        <f>IFERROR(__xludf.DUMMYFUNCTION("""COMPUTED_VALUE"""),"RSC002490")</f>
        <v>RSC002490</v>
      </c>
      <c r="C115" s="41" t="str">
        <f>IFERROR(__xludf.DUMMYFUNCTION("""COMPUTED_VALUE"""),"6-7!")</f>
        <v>6-7!</v>
      </c>
      <c r="D115" s="41" t="str">
        <f>IFERROR(__xludf.DUMMYFUNCTION("""COMPUTED_VALUE"""),"Permafrost")</f>
        <v>Permafrost</v>
      </c>
      <c r="E115" s="136">
        <f>IFERROR(__xludf.DUMMYFUNCTION("""COMPUTED_VALUE"""),48.0)</f>
        <v>48</v>
      </c>
      <c r="F115" s="136">
        <f>IFERROR(__xludf.DUMMYFUNCTION("""COMPUTED_VALUE"""),21.0)</f>
        <v>21</v>
      </c>
      <c r="G115" s="136">
        <f>IFERROR(__xludf.DUMMYFUNCTION("""COMPUTED_VALUE"""),27.0)</f>
        <v>27</v>
      </c>
      <c r="H115" s="137">
        <f>IFERROR(__xludf.DUMMYFUNCTION("""COMPUTED_VALUE"""),0.4375)</f>
        <v>0.4375</v>
      </c>
      <c r="I115" s="136">
        <f>IFERROR(__xludf.DUMMYFUNCTION("""COMPUTED_VALUE"""),8.0)</f>
        <v>8</v>
      </c>
      <c r="J115" s="136">
        <f>IFERROR(__xludf.DUMMYFUNCTION("""COMPUTED_VALUE"""),15818.0)</f>
        <v>15818</v>
      </c>
      <c r="K115" s="136">
        <f>IFERROR(__xludf.DUMMYFUNCTION("""COMPUTED_VALUE"""),37.0)</f>
        <v>37</v>
      </c>
      <c r="L115" s="136">
        <f>IFERROR(__xludf.DUMMYFUNCTION("""COMPUTED_VALUE"""),21.0)</f>
        <v>21</v>
      </c>
      <c r="M115" s="136">
        <f>IFERROR(__xludf.DUMMYFUNCTION("""COMPUTED_VALUE"""),50.0)</f>
        <v>50</v>
      </c>
      <c r="N115" s="136">
        <f>IFERROR(__xludf.DUMMYFUNCTION("""COMPUTED_VALUE"""),119.0)</f>
        <v>119</v>
      </c>
      <c r="O115" s="138">
        <f>IFERROR(__xludf.DUMMYFUNCTION("""COMPUTED_VALUE"""),6.0)</f>
        <v>6</v>
      </c>
      <c r="P115" s="138">
        <f>IFERROR(__xludf.DUMMYFUNCTION("""COMPUTED_VALUE"""),4.0)</f>
        <v>4</v>
      </c>
      <c r="Q115" s="138">
        <f>IFERROR(__xludf.DUMMYFUNCTION("""COMPUTED_VALUE"""),1.0)</f>
        <v>1</v>
      </c>
      <c r="R115" s="138">
        <f>IFERROR(__xludf.DUMMYFUNCTION("""COMPUTED_VALUE"""),4.0)</f>
        <v>4</v>
      </c>
      <c r="S115" s="139">
        <f>IFERROR(__xludf.DUMMYFUNCTION("""COMPUTED_VALUE"""),354.0)</f>
        <v>354</v>
      </c>
      <c r="T115" s="140">
        <f>IFERROR(__xludf.DUMMYFUNCTION("""COMPUTED_VALUE"""),115.0)</f>
        <v>115</v>
      </c>
      <c r="U115" s="136">
        <f>IFERROR(__xludf.DUMMYFUNCTION("""COMPUTED_VALUE"""),35.0)</f>
        <v>35</v>
      </c>
      <c r="V115" s="136">
        <f>IFERROR(__xludf.DUMMYFUNCTION("""COMPUTED_VALUE"""),40.0)</f>
        <v>40</v>
      </c>
      <c r="W115" s="136">
        <f>IFERROR(__xludf.DUMMYFUNCTION("""COMPUTED_VALUE"""),58.0)</f>
        <v>58</v>
      </c>
      <c r="X115" s="136">
        <f>IFERROR(__xludf.DUMMYFUNCTION("""COMPUTED_VALUE"""),395.02272727272725)</f>
        <v>395.0227273</v>
      </c>
      <c r="Y115" s="141">
        <f>IFERROR(__xludf.DUMMYFUNCTION("""COMPUTED_VALUE"""),51.04136363636364)</f>
        <v>51.04136364</v>
      </c>
      <c r="Z115" s="141">
        <f>IFERROR(__xludf.DUMMYFUNCTION("""COMPUTED_VALUE"""),2445.681818181818)</f>
        <v>2445.681818</v>
      </c>
    </row>
    <row r="116">
      <c r="A116" s="41" t="str">
        <f>IFERROR(__xludf.DUMMYFUNCTION("""COMPUTED_VALUE"""),"Prospect")</f>
        <v>Prospect</v>
      </c>
      <c r="B116" s="41" t="str">
        <f>IFERROR(__xludf.DUMMYFUNCTION("""COMPUTED_VALUE"""),"RSC002494")</f>
        <v>RSC002494</v>
      </c>
      <c r="C116" s="41" t="str">
        <f>IFERROR(__xludf.DUMMYFUNCTION("""COMPUTED_VALUE"""),"lone wolf")</f>
        <v>lone wolf</v>
      </c>
      <c r="D116" s="41" t="str">
        <f>IFERROR(__xludf.DUMMYFUNCTION("""COMPUTED_VALUE"""),"Hawaiian Pizza")</f>
        <v>Hawaiian Pizza</v>
      </c>
      <c r="E116" s="136">
        <f>IFERROR(__xludf.DUMMYFUNCTION("""COMPUTED_VALUE"""),39.0)</f>
        <v>39</v>
      </c>
      <c r="F116" s="136">
        <f>IFERROR(__xludf.DUMMYFUNCTION("""COMPUTED_VALUE"""),21.0)</f>
        <v>21</v>
      </c>
      <c r="G116" s="136">
        <f>IFERROR(__xludf.DUMMYFUNCTION("""COMPUTED_VALUE"""),18.0)</f>
        <v>18</v>
      </c>
      <c r="H116" s="137">
        <f>IFERROR(__xludf.DUMMYFUNCTION("""COMPUTED_VALUE"""),0.5384615384615384)</f>
        <v>0.5384615385</v>
      </c>
      <c r="I116" s="136">
        <f>IFERROR(__xludf.DUMMYFUNCTION("""COMPUTED_VALUE"""),12.0)</f>
        <v>12</v>
      </c>
      <c r="J116" s="136">
        <f>IFERROR(__xludf.DUMMYFUNCTION("""COMPUTED_VALUE"""),14341.0)</f>
        <v>14341</v>
      </c>
      <c r="K116" s="136">
        <f>IFERROR(__xludf.DUMMYFUNCTION("""COMPUTED_VALUE"""),38.0)</f>
        <v>38</v>
      </c>
      <c r="L116" s="136">
        <f>IFERROR(__xludf.DUMMYFUNCTION("""COMPUTED_VALUE"""),14.0)</f>
        <v>14</v>
      </c>
      <c r="M116" s="136">
        <f>IFERROR(__xludf.DUMMYFUNCTION("""COMPUTED_VALUE"""),44.0)</f>
        <v>44</v>
      </c>
      <c r="N116" s="136">
        <f>IFERROR(__xludf.DUMMYFUNCTION("""COMPUTED_VALUE"""),109.0)</f>
        <v>109</v>
      </c>
      <c r="O116" s="138">
        <f>IFERROR(__xludf.DUMMYFUNCTION("""COMPUTED_VALUE"""),6.0)</f>
        <v>6</v>
      </c>
      <c r="P116" s="138">
        <f>IFERROR(__xludf.DUMMYFUNCTION("""COMPUTED_VALUE"""),2.0)</f>
        <v>2</v>
      </c>
      <c r="Q116" s="138">
        <f>IFERROR(__xludf.DUMMYFUNCTION("""COMPUTED_VALUE"""),0.0)</f>
        <v>0</v>
      </c>
      <c r="R116" s="138">
        <f>IFERROR(__xludf.DUMMYFUNCTION("""COMPUTED_VALUE"""),5.0)</f>
        <v>5</v>
      </c>
      <c r="S116" s="139">
        <f>IFERROR(__xludf.DUMMYFUNCTION("""COMPUTED_VALUE"""),261.0)</f>
        <v>261</v>
      </c>
      <c r="T116" s="140">
        <f>IFERROR(__xludf.DUMMYFUNCTION("""COMPUTED_VALUE"""),67.0)</f>
        <v>67</v>
      </c>
      <c r="U116" s="136">
        <f>IFERROR(__xludf.DUMMYFUNCTION("""COMPUTED_VALUE"""),13.0)</f>
        <v>13</v>
      </c>
      <c r="V116" s="136">
        <f>IFERROR(__xludf.DUMMYFUNCTION("""COMPUTED_VALUE"""),25.0)</f>
        <v>25</v>
      </c>
      <c r="W116" s="136">
        <f>IFERROR(__xludf.DUMMYFUNCTION("""COMPUTED_VALUE"""),35.0)</f>
        <v>35</v>
      </c>
      <c r="X116" s="136">
        <f>IFERROR(__xludf.DUMMYFUNCTION("""COMPUTED_VALUE"""),266.7692307692308)</f>
        <v>266.7692308</v>
      </c>
      <c r="Y116" s="141">
        <f>IFERROR(__xludf.DUMMYFUNCTION("""COMPUTED_VALUE"""),55.26076923076924)</f>
        <v>55.26076923</v>
      </c>
      <c r="Z116" s="141">
        <f>IFERROR(__xludf.DUMMYFUNCTION("""COMPUTED_VALUE"""),1681.1025641025642)</f>
        <v>1681.102564</v>
      </c>
    </row>
    <row r="117">
      <c r="A117" s="41" t="str">
        <f>IFERROR(__xludf.DUMMYFUNCTION("""COMPUTED_VALUE"""),"Elite")</f>
        <v>Elite</v>
      </c>
      <c r="B117" s="41" t="str">
        <f>IFERROR(__xludf.DUMMYFUNCTION("""COMPUTED_VALUE"""),"RSC002498")</f>
        <v>RSC002498</v>
      </c>
      <c r="C117" s="41" t="str">
        <f>IFERROR(__xludf.DUMMYFUNCTION("""COMPUTED_VALUE"""),"Justin")</f>
        <v>Justin</v>
      </c>
      <c r="D117" s="41" t="str">
        <f>IFERROR(__xludf.DUMMYFUNCTION("""COMPUTED_VALUE"""),"Raptors
Frostbite
Gelato")</f>
        <v>Raptors
Frostbite
Gelato</v>
      </c>
      <c r="E117" s="136">
        <f>IFERROR(__xludf.DUMMYFUNCTION("""COMPUTED_VALUE"""),28.0)</f>
        <v>28</v>
      </c>
      <c r="F117" s="136">
        <f>IFERROR(__xludf.DUMMYFUNCTION("""COMPUTED_VALUE"""),11.0)</f>
        <v>11</v>
      </c>
      <c r="G117" s="136">
        <f>IFERROR(__xludf.DUMMYFUNCTION("""COMPUTED_VALUE"""),17.0)</f>
        <v>17</v>
      </c>
      <c r="H117" s="137">
        <f>IFERROR(__xludf.DUMMYFUNCTION("""COMPUTED_VALUE"""),0.39285714285714285)</f>
        <v>0.3928571429</v>
      </c>
      <c r="I117" s="136">
        <f>IFERROR(__xludf.DUMMYFUNCTION("""COMPUTED_VALUE"""),4.0)</f>
        <v>4</v>
      </c>
      <c r="J117" s="136">
        <f>IFERROR(__xludf.DUMMYFUNCTION("""COMPUTED_VALUE"""),11263.0)</f>
        <v>11263</v>
      </c>
      <c r="K117" s="136">
        <f>IFERROR(__xludf.DUMMYFUNCTION("""COMPUTED_VALUE"""),24.0)</f>
        <v>24</v>
      </c>
      <c r="L117" s="136">
        <f>IFERROR(__xludf.DUMMYFUNCTION("""COMPUTED_VALUE"""),24.0)</f>
        <v>24</v>
      </c>
      <c r="M117" s="136">
        <f>IFERROR(__xludf.DUMMYFUNCTION("""COMPUTED_VALUE"""),37.0)</f>
        <v>37</v>
      </c>
      <c r="N117" s="136">
        <f>IFERROR(__xludf.DUMMYFUNCTION("""COMPUTED_VALUE"""),92.0)</f>
        <v>92</v>
      </c>
      <c r="O117" s="138">
        <f>IFERROR(__xludf.DUMMYFUNCTION("""COMPUTED_VALUE"""),5.0)</f>
        <v>5</v>
      </c>
      <c r="P117" s="138">
        <f>IFERROR(__xludf.DUMMYFUNCTION("""COMPUTED_VALUE"""),1.0)</f>
        <v>1</v>
      </c>
      <c r="Q117" s="138">
        <f>IFERROR(__xludf.DUMMYFUNCTION("""COMPUTED_VALUE"""),1.0)</f>
        <v>1</v>
      </c>
      <c r="R117" s="138">
        <f>IFERROR(__xludf.DUMMYFUNCTION("""COMPUTED_VALUE"""),6.0)</f>
        <v>6</v>
      </c>
      <c r="S117" s="139">
        <f>IFERROR(__xludf.DUMMYFUNCTION("""COMPUTED_VALUE"""),261.0)</f>
        <v>261</v>
      </c>
      <c r="T117" s="140">
        <f>IFERROR(__xludf.DUMMYFUNCTION("""COMPUTED_VALUE"""),79.0)</f>
        <v>79</v>
      </c>
      <c r="U117" s="136">
        <f>IFERROR(__xludf.DUMMYFUNCTION("""COMPUTED_VALUE"""),24.0)</f>
        <v>24</v>
      </c>
      <c r="V117" s="136">
        <f>IFERROR(__xludf.DUMMYFUNCTION("""COMPUTED_VALUE"""),25.0)</f>
        <v>25</v>
      </c>
      <c r="W117" s="136">
        <f>IFERROR(__xludf.DUMMYFUNCTION("""COMPUTED_VALUE"""),27.0)</f>
        <v>27</v>
      </c>
      <c r="X117" s="136">
        <f>IFERROR(__xludf.DUMMYFUNCTION("""COMPUTED_VALUE"""),380.25)</f>
        <v>380.25</v>
      </c>
      <c r="Y117" s="141">
        <f>IFERROR(__xludf.DUMMYFUNCTION("""COMPUTED_VALUE"""),47.30785714285715)</f>
        <v>47.30785714</v>
      </c>
      <c r="Z117" s="141">
        <f>IFERROR(__xludf.DUMMYFUNCTION("""COMPUTED_VALUE"""),2347.3571428571427)</f>
        <v>2347.357143</v>
      </c>
    </row>
    <row r="118">
      <c r="A118" s="41" t="str">
        <f>IFERROR(__xludf.DUMMYFUNCTION("""COMPUTED_VALUE"""),"Challenger")</f>
        <v>Challenger</v>
      </c>
      <c r="B118" s="41" t="str">
        <f>IFERROR(__xludf.DUMMYFUNCTION("""COMPUTED_VALUE"""),"RSC002511")</f>
        <v>RSC002511</v>
      </c>
      <c r="C118" s="41" t="str">
        <f>IFERROR(__xludf.DUMMYFUNCTION("""COMPUTED_VALUE"""),"Moist_Games")</f>
        <v>Moist_Games</v>
      </c>
      <c r="D118" s="41" t="str">
        <f>IFERROR(__xludf.DUMMYFUNCTION("""COMPUTED_VALUE"""),"Gold Hoarders")</f>
        <v>Gold Hoarders</v>
      </c>
      <c r="E118" s="136">
        <f>IFERROR(__xludf.DUMMYFUNCTION("""COMPUTED_VALUE"""),10.0)</f>
        <v>10</v>
      </c>
      <c r="F118" s="136">
        <f>IFERROR(__xludf.DUMMYFUNCTION("""COMPUTED_VALUE"""),4.0)</f>
        <v>4</v>
      </c>
      <c r="G118" s="136">
        <f>IFERROR(__xludf.DUMMYFUNCTION("""COMPUTED_VALUE"""),6.0)</f>
        <v>6</v>
      </c>
      <c r="H118" s="137">
        <f>IFERROR(__xludf.DUMMYFUNCTION("""COMPUTED_VALUE"""),0.4)</f>
        <v>0.4</v>
      </c>
      <c r="I118" s="136">
        <f>IFERROR(__xludf.DUMMYFUNCTION("""COMPUTED_VALUE"""),1.0)</f>
        <v>1</v>
      </c>
      <c r="J118" s="136">
        <f>IFERROR(__xludf.DUMMYFUNCTION("""COMPUTED_VALUE"""),2655.0)</f>
        <v>2655</v>
      </c>
      <c r="K118" s="136">
        <f>IFERROR(__xludf.DUMMYFUNCTION("""COMPUTED_VALUE"""),4.0)</f>
        <v>4</v>
      </c>
      <c r="L118" s="136">
        <f>IFERROR(__xludf.DUMMYFUNCTION("""COMPUTED_VALUE"""),0.0)</f>
        <v>0</v>
      </c>
      <c r="M118" s="136">
        <f>IFERROR(__xludf.DUMMYFUNCTION("""COMPUTED_VALUE"""),13.0)</f>
        <v>13</v>
      </c>
      <c r="N118" s="136">
        <f>IFERROR(__xludf.DUMMYFUNCTION("""COMPUTED_VALUE"""),23.0)</f>
        <v>23</v>
      </c>
      <c r="O118" s="138">
        <f>IFERROR(__xludf.DUMMYFUNCTION("""COMPUTED_VALUE"""),0.0)</f>
        <v>0</v>
      </c>
      <c r="P118" s="138">
        <f>IFERROR(__xludf.DUMMYFUNCTION("""COMPUTED_VALUE"""),0.0)</f>
        <v>0</v>
      </c>
      <c r="Q118" s="138">
        <f>IFERROR(__xludf.DUMMYFUNCTION("""COMPUTED_VALUE"""),0.0)</f>
        <v>0</v>
      </c>
      <c r="R118" s="138">
        <f>IFERROR(__xludf.DUMMYFUNCTION("""COMPUTED_VALUE"""),1.0)</f>
        <v>1</v>
      </c>
      <c r="S118" s="139">
        <f>IFERROR(__xludf.DUMMYFUNCTION("""COMPUTED_VALUE"""),67.0)</f>
        <v>67</v>
      </c>
      <c r="T118" s="140">
        <f>IFERROR(__xludf.DUMMYFUNCTION("""COMPUTED_VALUE"""),24.0)</f>
        <v>24</v>
      </c>
      <c r="U118" s="136">
        <f>IFERROR(__xludf.DUMMYFUNCTION("""COMPUTED_VALUE"""),10.0)</f>
        <v>10</v>
      </c>
      <c r="V118" s="136">
        <f>IFERROR(__xludf.DUMMYFUNCTION("""COMPUTED_VALUE"""),15.0)</f>
        <v>15</v>
      </c>
      <c r="W118" s="136">
        <f>IFERROR(__xludf.DUMMYFUNCTION("""COMPUTED_VALUE"""),13.0)</f>
        <v>13</v>
      </c>
      <c r="X118" s="136"/>
      <c r="Y118" s="41"/>
      <c r="Z118" s="41"/>
    </row>
    <row r="119">
      <c r="A119" s="41" t="str">
        <f>IFERROR(__xludf.DUMMYFUNCTION("""COMPUTED_VALUE"""),"Elite")</f>
        <v>Elite</v>
      </c>
      <c r="B119" s="41" t="str">
        <f>IFERROR(__xludf.DUMMYFUNCTION("""COMPUTED_VALUE"""),"RSC002544")</f>
        <v>RSC002544</v>
      </c>
      <c r="C119" s="41" t="str">
        <f>IFERROR(__xludf.DUMMYFUNCTION("""COMPUTED_VALUE"""),"ItsJusstJ.")</f>
        <v>ItsJusstJ.</v>
      </c>
      <c r="D119" s="41" t="str">
        <f>IFERROR(__xludf.DUMMYFUNCTION("""COMPUTED_VALUE"""),"Sloths")</f>
        <v>Sloths</v>
      </c>
      <c r="E119" s="136">
        <f>IFERROR(__xludf.DUMMYFUNCTION("""COMPUTED_VALUE"""),1.0)</f>
        <v>1</v>
      </c>
      <c r="F119" s="136">
        <f>IFERROR(__xludf.DUMMYFUNCTION("""COMPUTED_VALUE"""),0.0)</f>
        <v>0</v>
      </c>
      <c r="G119" s="136">
        <f>IFERROR(__xludf.DUMMYFUNCTION("""COMPUTED_VALUE"""),1.0)</f>
        <v>1</v>
      </c>
      <c r="H119" s="137">
        <f>IFERROR(__xludf.DUMMYFUNCTION("""COMPUTED_VALUE"""),0.0)</f>
        <v>0</v>
      </c>
      <c r="I119" s="136">
        <f>IFERROR(__xludf.DUMMYFUNCTION("""COMPUTED_VALUE"""),0.0)</f>
        <v>0</v>
      </c>
      <c r="J119" s="136">
        <f>IFERROR(__xludf.DUMMYFUNCTION("""COMPUTED_VALUE"""),284.0)</f>
        <v>284</v>
      </c>
      <c r="K119" s="136">
        <f>IFERROR(__xludf.DUMMYFUNCTION("""COMPUTED_VALUE"""),0.0)</f>
        <v>0</v>
      </c>
      <c r="L119" s="136">
        <f>IFERROR(__xludf.DUMMYFUNCTION("""COMPUTED_VALUE"""),1.0)</f>
        <v>1</v>
      </c>
      <c r="M119" s="136">
        <f>IFERROR(__xludf.DUMMYFUNCTION("""COMPUTED_VALUE"""),2.0)</f>
        <v>2</v>
      </c>
      <c r="N119" s="136">
        <f>IFERROR(__xludf.DUMMYFUNCTION("""COMPUTED_VALUE"""),3.0)</f>
        <v>3</v>
      </c>
      <c r="O119" s="138">
        <f>IFERROR(__xludf.DUMMYFUNCTION("""COMPUTED_VALUE"""),0.0)</f>
        <v>0</v>
      </c>
      <c r="P119" s="138">
        <f>IFERROR(__xludf.DUMMYFUNCTION("""COMPUTED_VALUE"""),0.0)</f>
        <v>0</v>
      </c>
      <c r="Q119" s="138">
        <f>IFERROR(__xludf.DUMMYFUNCTION("""COMPUTED_VALUE"""),0.0)</f>
        <v>0</v>
      </c>
      <c r="R119" s="138">
        <f>IFERROR(__xludf.DUMMYFUNCTION("""COMPUTED_VALUE"""),0.0)</f>
        <v>0</v>
      </c>
      <c r="S119" s="139">
        <f>IFERROR(__xludf.DUMMYFUNCTION("""COMPUTED_VALUE"""),11.0)</f>
        <v>11</v>
      </c>
      <c r="T119" s="140">
        <f>IFERROR(__xludf.DUMMYFUNCTION("""COMPUTED_VALUE"""),4.0)</f>
        <v>4</v>
      </c>
      <c r="U119" s="136">
        <f>IFERROR(__xludf.DUMMYFUNCTION("""COMPUTED_VALUE"""),1.0)</f>
        <v>1</v>
      </c>
      <c r="V119" s="136">
        <f>IFERROR(__xludf.DUMMYFUNCTION("""COMPUTED_VALUE"""),2.0)</f>
        <v>2</v>
      </c>
      <c r="W119" s="136">
        <f>IFERROR(__xludf.DUMMYFUNCTION("""COMPUTED_VALUE"""),3.0)</f>
        <v>3</v>
      </c>
      <c r="X119" s="136">
        <f>IFERROR(__xludf.DUMMYFUNCTION("""COMPUTED_VALUE"""),400.0)</f>
        <v>400</v>
      </c>
      <c r="Y119" s="141">
        <f>IFERROR(__xludf.DUMMYFUNCTION("""COMPUTED_VALUE"""),36.49)</f>
        <v>36.49</v>
      </c>
      <c r="Z119" s="141">
        <f>IFERROR(__xludf.DUMMYFUNCTION("""COMPUTED_VALUE"""),2089.0)</f>
        <v>2089</v>
      </c>
    </row>
    <row r="120">
      <c r="A120" s="41" t="str">
        <f>IFERROR(__xludf.DUMMYFUNCTION("""COMPUTED_VALUE"""),"Elite")</f>
        <v>Elite</v>
      </c>
      <c r="B120" s="41" t="str">
        <f>IFERROR(__xludf.DUMMYFUNCTION("""COMPUTED_VALUE"""),"RSC002559")</f>
        <v>RSC002559</v>
      </c>
      <c r="C120" s="41" t="str">
        <f>IFERROR(__xludf.DUMMYFUNCTION("""COMPUTED_VALUE"""),"CommanderBoy")</f>
        <v>CommanderBoy</v>
      </c>
      <c r="D120" s="41" t="str">
        <f>IFERROR(__xludf.DUMMYFUNCTION("""COMPUTED_VALUE"""),"Drive-by
Thrashers")</f>
        <v>Drive-by
Thrashers</v>
      </c>
      <c r="E120" s="136">
        <f>IFERROR(__xludf.DUMMYFUNCTION("""COMPUTED_VALUE"""),39.0)</f>
        <v>39</v>
      </c>
      <c r="F120" s="136">
        <f>IFERROR(__xludf.DUMMYFUNCTION("""COMPUTED_VALUE"""),20.0)</f>
        <v>20</v>
      </c>
      <c r="G120" s="136">
        <f>IFERROR(__xludf.DUMMYFUNCTION("""COMPUTED_VALUE"""),19.0)</f>
        <v>19</v>
      </c>
      <c r="H120" s="137">
        <f>IFERROR(__xludf.DUMMYFUNCTION("""COMPUTED_VALUE"""),0.5128205128205128)</f>
        <v>0.5128205128</v>
      </c>
      <c r="I120" s="136">
        <f>IFERROR(__xludf.DUMMYFUNCTION("""COMPUTED_VALUE"""),3.0)</f>
        <v>3</v>
      </c>
      <c r="J120" s="136">
        <f>IFERROR(__xludf.DUMMYFUNCTION("""COMPUTED_VALUE"""),14255.0)</f>
        <v>14255</v>
      </c>
      <c r="K120" s="136">
        <f>IFERROR(__xludf.DUMMYFUNCTION("""COMPUTED_VALUE"""),32.0)</f>
        <v>32</v>
      </c>
      <c r="L120" s="136">
        <f>IFERROR(__xludf.DUMMYFUNCTION("""COMPUTED_VALUE"""),17.0)</f>
        <v>17</v>
      </c>
      <c r="M120" s="136">
        <f>IFERROR(__xludf.DUMMYFUNCTION("""COMPUTED_VALUE"""),62.0)</f>
        <v>62</v>
      </c>
      <c r="N120" s="136">
        <f>IFERROR(__xludf.DUMMYFUNCTION("""COMPUTED_VALUE"""),110.0)</f>
        <v>110</v>
      </c>
      <c r="O120" s="138">
        <f>IFERROR(__xludf.DUMMYFUNCTION("""COMPUTED_VALUE"""),7.0)</f>
        <v>7</v>
      </c>
      <c r="P120" s="138">
        <f>IFERROR(__xludf.DUMMYFUNCTION("""COMPUTED_VALUE"""),1.0)</f>
        <v>1</v>
      </c>
      <c r="Q120" s="138">
        <f>IFERROR(__xludf.DUMMYFUNCTION("""COMPUTED_VALUE"""),1.0)</f>
        <v>1</v>
      </c>
      <c r="R120" s="138">
        <f>IFERROR(__xludf.DUMMYFUNCTION("""COMPUTED_VALUE"""),8.0)</f>
        <v>8</v>
      </c>
      <c r="S120" s="139">
        <f>IFERROR(__xludf.DUMMYFUNCTION("""COMPUTED_VALUE"""),281.0)</f>
        <v>281</v>
      </c>
      <c r="T120" s="140">
        <f>IFERROR(__xludf.DUMMYFUNCTION("""COMPUTED_VALUE"""),87.0)</f>
        <v>87</v>
      </c>
      <c r="U120" s="136">
        <f>IFERROR(__xludf.DUMMYFUNCTION("""COMPUTED_VALUE"""),27.0)</f>
        <v>27</v>
      </c>
      <c r="V120" s="136">
        <f>IFERROR(__xludf.DUMMYFUNCTION("""COMPUTED_VALUE"""),66.0)</f>
        <v>66</v>
      </c>
      <c r="W120" s="136">
        <f>IFERROR(__xludf.DUMMYFUNCTION("""COMPUTED_VALUE"""),47.0)</f>
        <v>47</v>
      </c>
      <c r="X120" s="136">
        <f>IFERROR(__xludf.DUMMYFUNCTION("""COMPUTED_VALUE"""),368.94871794871796)</f>
        <v>368.9487179</v>
      </c>
      <c r="Y120" s="141">
        <f>IFERROR(__xludf.DUMMYFUNCTION("""COMPUTED_VALUE"""),40.42974358974358)</f>
        <v>40.42974359</v>
      </c>
      <c r="Z120" s="141">
        <f>IFERROR(__xludf.DUMMYFUNCTION("""COMPUTED_VALUE"""),2274.6666666666665)</f>
        <v>2274.666667</v>
      </c>
    </row>
    <row r="121">
      <c r="A121" s="41" t="str">
        <f>IFERROR(__xludf.DUMMYFUNCTION("""COMPUTED_VALUE"""),"Elite")</f>
        <v>Elite</v>
      </c>
      <c r="B121" s="41" t="str">
        <f>IFERROR(__xludf.DUMMYFUNCTION("""COMPUTED_VALUE"""),"RSC002579")</f>
        <v>RSC002579</v>
      </c>
      <c r="C121" s="41" t="str">
        <f>IFERROR(__xludf.DUMMYFUNCTION("""COMPUTED_VALUE"""),"saltybikini")</f>
        <v>saltybikini</v>
      </c>
      <c r="D121" s="41" t="str">
        <f>IFERROR(__xludf.DUMMYFUNCTION("""COMPUTED_VALUE"""),"Sloths
Afterburners")</f>
        <v>Sloths
Afterburners</v>
      </c>
      <c r="E121" s="136">
        <f>IFERROR(__xludf.DUMMYFUNCTION("""COMPUTED_VALUE"""),25.0)</f>
        <v>25</v>
      </c>
      <c r="F121" s="136">
        <f>IFERROR(__xludf.DUMMYFUNCTION("""COMPUTED_VALUE"""),17.0)</f>
        <v>17</v>
      </c>
      <c r="G121" s="136">
        <f>IFERROR(__xludf.DUMMYFUNCTION("""COMPUTED_VALUE"""),8.0)</f>
        <v>8</v>
      </c>
      <c r="H121" s="137">
        <f>IFERROR(__xludf.DUMMYFUNCTION("""COMPUTED_VALUE"""),0.68)</f>
        <v>0.68</v>
      </c>
      <c r="I121" s="136">
        <f>IFERROR(__xludf.DUMMYFUNCTION("""COMPUTED_VALUE"""),6.0)</f>
        <v>6</v>
      </c>
      <c r="J121" s="136">
        <f>IFERROR(__xludf.DUMMYFUNCTION("""COMPUTED_VALUE"""),8308.0)</f>
        <v>8308</v>
      </c>
      <c r="K121" s="136">
        <f>IFERROR(__xludf.DUMMYFUNCTION("""COMPUTED_VALUE"""),16.0)</f>
        <v>16</v>
      </c>
      <c r="L121" s="136">
        <f>IFERROR(__xludf.DUMMYFUNCTION("""COMPUTED_VALUE"""),15.0)</f>
        <v>15</v>
      </c>
      <c r="M121" s="136">
        <f>IFERROR(__xludf.DUMMYFUNCTION("""COMPUTED_VALUE"""),33.0)</f>
        <v>33</v>
      </c>
      <c r="N121" s="136">
        <f>IFERROR(__xludf.DUMMYFUNCTION("""COMPUTED_VALUE"""),67.0)</f>
        <v>67</v>
      </c>
      <c r="O121" s="138">
        <f>IFERROR(__xludf.DUMMYFUNCTION("""COMPUTED_VALUE"""),7.0)</f>
        <v>7</v>
      </c>
      <c r="P121" s="138">
        <f>IFERROR(__xludf.DUMMYFUNCTION("""COMPUTED_VALUE"""),1.0)</f>
        <v>1</v>
      </c>
      <c r="Q121" s="138">
        <f>IFERROR(__xludf.DUMMYFUNCTION("""COMPUTED_VALUE"""),1.0)</f>
        <v>1</v>
      </c>
      <c r="R121" s="138">
        <f>IFERROR(__xludf.DUMMYFUNCTION("""COMPUTED_VALUE"""),3.0)</f>
        <v>3</v>
      </c>
      <c r="S121" s="139">
        <f>IFERROR(__xludf.DUMMYFUNCTION("""COMPUTED_VALUE"""),176.0)</f>
        <v>176</v>
      </c>
      <c r="T121" s="140">
        <f>IFERROR(__xludf.DUMMYFUNCTION("""COMPUTED_VALUE"""),47.0)</f>
        <v>47</v>
      </c>
      <c r="U121" s="136">
        <f>IFERROR(__xludf.DUMMYFUNCTION("""COMPUTED_VALUE"""),19.0)</f>
        <v>19</v>
      </c>
      <c r="V121" s="136">
        <f>IFERROR(__xludf.DUMMYFUNCTION("""COMPUTED_VALUE"""),28.0)</f>
        <v>28</v>
      </c>
      <c r="W121" s="136">
        <f>IFERROR(__xludf.DUMMYFUNCTION("""COMPUTED_VALUE"""),31.0)</f>
        <v>31</v>
      </c>
      <c r="X121" s="136">
        <f>IFERROR(__xludf.DUMMYFUNCTION("""COMPUTED_VALUE"""),363.72)</f>
        <v>363.72</v>
      </c>
      <c r="Y121" s="141">
        <f>IFERROR(__xludf.DUMMYFUNCTION("""COMPUTED_VALUE"""),48.162800000000004)</f>
        <v>48.1628</v>
      </c>
      <c r="Z121" s="141">
        <f>IFERROR(__xludf.DUMMYFUNCTION("""COMPUTED_VALUE"""),2102.32)</f>
        <v>2102.32</v>
      </c>
    </row>
    <row r="122">
      <c r="A122" s="41" t="str">
        <f>IFERROR(__xludf.DUMMYFUNCTION("""COMPUTED_VALUE"""),"Master")</f>
        <v>Master</v>
      </c>
      <c r="B122" s="41" t="str">
        <f>IFERROR(__xludf.DUMMYFUNCTION("""COMPUTED_VALUE"""),"RSC002620")</f>
        <v>RSC002620</v>
      </c>
      <c r="C122" s="41" t="str">
        <f>IFERROR(__xludf.DUMMYFUNCTION("""COMPUTED_VALUE"""),"Instnt")</f>
        <v>Instnt</v>
      </c>
      <c r="D122" s="41" t="str">
        <f>IFERROR(__xludf.DUMMYFUNCTION("""COMPUTED_VALUE"""),"Permafrost")</f>
        <v>Permafrost</v>
      </c>
      <c r="E122" s="136">
        <f>IFERROR(__xludf.DUMMYFUNCTION("""COMPUTED_VALUE"""),8.0)</f>
        <v>8</v>
      </c>
      <c r="F122" s="136">
        <f>IFERROR(__xludf.DUMMYFUNCTION("""COMPUTED_VALUE"""),2.0)</f>
        <v>2</v>
      </c>
      <c r="G122" s="136">
        <f>IFERROR(__xludf.DUMMYFUNCTION("""COMPUTED_VALUE"""),6.0)</f>
        <v>6</v>
      </c>
      <c r="H122" s="137">
        <f>IFERROR(__xludf.DUMMYFUNCTION("""COMPUTED_VALUE"""),0.25)</f>
        <v>0.25</v>
      </c>
      <c r="I122" s="136">
        <f>IFERROR(__xludf.DUMMYFUNCTION("""COMPUTED_VALUE"""),0.0)</f>
        <v>0</v>
      </c>
      <c r="J122" s="136">
        <f>IFERROR(__xludf.DUMMYFUNCTION("""COMPUTED_VALUE"""),2294.0)</f>
        <v>2294</v>
      </c>
      <c r="K122" s="136">
        <f>IFERROR(__xludf.DUMMYFUNCTION("""COMPUTED_VALUE"""),2.0)</f>
        <v>2</v>
      </c>
      <c r="L122" s="136">
        <f>IFERROR(__xludf.DUMMYFUNCTION("""COMPUTED_VALUE"""),5.0)</f>
        <v>5</v>
      </c>
      <c r="M122" s="136">
        <f>IFERROR(__xludf.DUMMYFUNCTION("""COMPUTED_VALUE"""),9.0)</f>
        <v>9</v>
      </c>
      <c r="N122" s="136">
        <f>IFERROR(__xludf.DUMMYFUNCTION("""COMPUTED_VALUE"""),20.0)</f>
        <v>20</v>
      </c>
      <c r="O122" s="138">
        <f>IFERROR(__xludf.DUMMYFUNCTION("""COMPUTED_VALUE"""),0.0)</f>
        <v>0</v>
      </c>
      <c r="P122" s="138">
        <f>IFERROR(__xludf.DUMMYFUNCTION("""COMPUTED_VALUE"""),0.0)</f>
        <v>0</v>
      </c>
      <c r="Q122" s="138">
        <f>IFERROR(__xludf.DUMMYFUNCTION("""COMPUTED_VALUE"""),0.0)</f>
        <v>0</v>
      </c>
      <c r="R122" s="138">
        <f>IFERROR(__xludf.DUMMYFUNCTION("""COMPUTED_VALUE"""),1.0)</f>
        <v>1</v>
      </c>
      <c r="S122" s="139">
        <f>IFERROR(__xludf.DUMMYFUNCTION("""COMPUTED_VALUE"""),59.0)</f>
        <v>59</v>
      </c>
      <c r="T122" s="140">
        <f>IFERROR(__xludf.DUMMYFUNCTION("""COMPUTED_VALUE"""),23.0)</f>
        <v>23</v>
      </c>
      <c r="U122" s="136">
        <f>IFERROR(__xludf.DUMMYFUNCTION("""COMPUTED_VALUE"""),6.0)</f>
        <v>6</v>
      </c>
      <c r="V122" s="136">
        <f>IFERROR(__xludf.DUMMYFUNCTION("""COMPUTED_VALUE"""),3.0)</f>
        <v>3</v>
      </c>
      <c r="W122" s="136">
        <f>IFERROR(__xludf.DUMMYFUNCTION("""COMPUTED_VALUE"""),17.0)</f>
        <v>17</v>
      </c>
      <c r="X122" s="136">
        <f>IFERROR(__xludf.DUMMYFUNCTION("""COMPUTED_VALUE"""),332.375)</f>
        <v>332.375</v>
      </c>
      <c r="Y122" s="141">
        <f>IFERROR(__xludf.DUMMYFUNCTION("""COMPUTED_VALUE"""),46.737500000000004)</f>
        <v>46.7375</v>
      </c>
      <c r="Z122" s="141">
        <f>IFERROR(__xludf.DUMMYFUNCTION("""COMPUTED_VALUE"""),1972.625)</f>
        <v>1972.625</v>
      </c>
    </row>
    <row r="123">
      <c r="A123" s="41" t="str">
        <f>IFERROR(__xludf.DUMMYFUNCTION("""COMPUTED_VALUE"""),"Challenger")</f>
        <v>Challenger</v>
      </c>
      <c r="B123" s="41" t="str">
        <f>IFERROR(__xludf.DUMMYFUNCTION("""COMPUTED_VALUE"""),"RSC002633")</f>
        <v>RSC002633</v>
      </c>
      <c r="C123" s="41" t="str">
        <f>IFERROR(__xludf.DUMMYFUNCTION("""COMPUTED_VALUE"""),"Gaboon")</f>
        <v>Gaboon</v>
      </c>
      <c r="D123" s="41" t="str">
        <f>IFERROR(__xludf.DUMMYFUNCTION("""COMPUTED_VALUE"""),"Manticore")</f>
        <v>Manticore</v>
      </c>
      <c r="E123" s="136">
        <f>IFERROR(__xludf.DUMMYFUNCTION("""COMPUTED_VALUE"""),4.0)</f>
        <v>4</v>
      </c>
      <c r="F123" s="136">
        <f>IFERROR(__xludf.DUMMYFUNCTION("""COMPUTED_VALUE"""),1.0)</f>
        <v>1</v>
      </c>
      <c r="G123" s="136">
        <f>IFERROR(__xludf.DUMMYFUNCTION("""COMPUTED_VALUE"""),3.0)</f>
        <v>3</v>
      </c>
      <c r="H123" s="137">
        <f>IFERROR(__xludf.DUMMYFUNCTION("""COMPUTED_VALUE"""),0.25)</f>
        <v>0.25</v>
      </c>
      <c r="I123" s="136">
        <f>IFERROR(__xludf.DUMMYFUNCTION("""COMPUTED_VALUE"""),1.0)</f>
        <v>1</v>
      </c>
      <c r="J123" s="136">
        <f>IFERROR(__xludf.DUMMYFUNCTION("""COMPUTED_VALUE"""),782.0)</f>
        <v>782</v>
      </c>
      <c r="K123" s="136">
        <f>IFERROR(__xludf.DUMMYFUNCTION("""COMPUTED_VALUE"""),2.0)</f>
        <v>2</v>
      </c>
      <c r="L123" s="136">
        <f>IFERROR(__xludf.DUMMYFUNCTION("""COMPUTED_VALUE"""),1.0)</f>
        <v>1</v>
      </c>
      <c r="M123" s="136">
        <f>IFERROR(__xludf.DUMMYFUNCTION("""COMPUTED_VALUE"""),2.0)</f>
        <v>2</v>
      </c>
      <c r="N123" s="136">
        <f>IFERROR(__xludf.DUMMYFUNCTION("""COMPUTED_VALUE"""),6.0)</f>
        <v>6</v>
      </c>
      <c r="O123" s="138">
        <f>IFERROR(__xludf.DUMMYFUNCTION("""COMPUTED_VALUE"""),1.0)</f>
        <v>1</v>
      </c>
      <c r="P123" s="138">
        <f>IFERROR(__xludf.DUMMYFUNCTION("""COMPUTED_VALUE"""),0.0)</f>
        <v>0</v>
      </c>
      <c r="Q123" s="138">
        <f>IFERROR(__xludf.DUMMYFUNCTION("""COMPUTED_VALUE"""),0.0)</f>
        <v>0</v>
      </c>
      <c r="R123" s="138">
        <f>IFERROR(__xludf.DUMMYFUNCTION("""COMPUTED_VALUE"""),0.0)</f>
        <v>0</v>
      </c>
      <c r="S123" s="139">
        <f>IFERROR(__xludf.DUMMYFUNCTION("""COMPUTED_VALUE"""),29.0)</f>
        <v>29</v>
      </c>
      <c r="T123" s="140">
        <f>IFERROR(__xludf.DUMMYFUNCTION("""COMPUTED_VALUE"""),12.0)</f>
        <v>12</v>
      </c>
      <c r="U123" s="136">
        <f>IFERROR(__xludf.DUMMYFUNCTION("""COMPUTED_VALUE"""),4.0)</f>
        <v>4</v>
      </c>
      <c r="V123" s="136">
        <f>IFERROR(__xludf.DUMMYFUNCTION("""COMPUTED_VALUE"""),3.0)</f>
        <v>3</v>
      </c>
      <c r="W123" s="136">
        <f>IFERROR(__xludf.DUMMYFUNCTION("""COMPUTED_VALUE"""),4.0)</f>
        <v>4</v>
      </c>
      <c r="X123" s="136"/>
      <c r="Y123" s="41"/>
      <c r="Z123" s="41"/>
    </row>
    <row r="124">
      <c r="A124" s="41" t="str">
        <f>IFERROR(__xludf.DUMMYFUNCTION("""COMPUTED_VALUE"""),"Veteran")</f>
        <v>Veteran</v>
      </c>
      <c r="B124" s="41" t="str">
        <f>IFERROR(__xludf.DUMMYFUNCTION("""COMPUTED_VALUE"""),"RSC002668")</f>
        <v>RSC002668</v>
      </c>
      <c r="C124" s="41" t="str">
        <f>IFERROR(__xludf.DUMMYFUNCTION("""COMPUTED_VALUE"""),"Azorh &lt;3")</f>
        <v>Azorh &lt;3</v>
      </c>
      <c r="D124" s="41" t="str">
        <f>IFERROR(__xludf.DUMMYFUNCTION("""COMPUTED_VALUE"""),"Fer-de-Lance")</f>
        <v>Fer-de-Lance</v>
      </c>
      <c r="E124" s="136">
        <f>IFERROR(__xludf.DUMMYFUNCTION("""COMPUTED_VALUE"""),49.0)</f>
        <v>49</v>
      </c>
      <c r="F124" s="136">
        <f>IFERROR(__xludf.DUMMYFUNCTION("""COMPUTED_VALUE"""),24.0)</f>
        <v>24</v>
      </c>
      <c r="G124" s="136">
        <f>IFERROR(__xludf.DUMMYFUNCTION("""COMPUTED_VALUE"""),25.0)</f>
        <v>25</v>
      </c>
      <c r="H124" s="137">
        <f>IFERROR(__xludf.DUMMYFUNCTION("""COMPUTED_VALUE"""),0.4897959183673469)</f>
        <v>0.4897959184</v>
      </c>
      <c r="I124" s="136">
        <f>IFERROR(__xludf.DUMMYFUNCTION("""COMPUTED_VALUE"""),10.0)</f>
        <v>10</v>
      </c>
      <c r="J124" s="136">
        <f>IFERROR(__xludf.DUMMYFUNCTION("""COMPUTED_VALUE"""),18090.0)</f>
        <v>18090</v>
      </c>
      <c r="K124" s="136">
        <f>IFERROR(__xludf.DUMMYFUNCTION("""COMPUTED_VALUE"""),48.0)</f>
        <v>48</v>
      </c>
      <c r="L124" s="136">
        <f>IFERROR(__xludf.DUMMYFUNCTION("""COMPUTED_VALUE"""),25.0)</f>
        <v>25</v>
      </c>
      <c r="M124" s="136">
        <f>IFERROR(__xludf.DUMMYFUNCTION("""COMPUTED_VALUE"""),65.0)</f>
        <v>65</v>
      </c>
      <c r="N124" s="136">
        <f>IFERROR(__xludf.DUMMYFUNCTION("""COMPUTED_VALUE"""),133.0)</f>
        <v>133</v>
      </c>
      <c r="O124" s="138">
        <f>IFERROR(__xludf.DUMMYFUNCTION("""COMPUTED_VALUE"""),8.0)</f>
        <v>8</v>
      </c>
      <c r="P124" s="138">
        <f>IFERROR(__xludf.DUMMYFUNCTION("""COMPUTED_VALUE"""),5.0)</f>
        <v>5</v>
      </c>
      <c r="Q124" s="138">
        <f>IFERROR(__xludf.DUMMYFUNCTION("""COMPUTED_VALUE"""),1.0)</f>
        <v>1</v>
      </c>
      <c r="R124" s="138">
        <f>IFERROR(__xludf.DUMMYFUNCTION("""COMPUTED_VALUE"""),8.0)</f>
        <v>8</v>
      </c>
      <c r="S124" s="139">
        <f>IFERROR(__xludf.DUMMYFUNCTION("""COMPUTED_VALUE"""),397.0)</f>
        <v>397</v>
      </c>
      <c r="T124" s="140">
        <f>IFERROR(__xludf.DUMMYFUNCTION("""COMPUTED_VALUE"""),134.0)</f>
        <v>134</v>
      </c>
      <c r="U124" s="136">
        <f>IFERROR(__xludf.DUMMYFUNCTION("""COMPUTED_VALUE"""),41.0)</f>
        <v>41</v>
      </c>
      <c r="V124" s="136">
        <f>IFERROR(__xludf.DUMMYFUNCTION("""COMPUTED_VALUE"""),22.0)</f>
        <v>22</v>
      </c>
      <c r="W124" s="136">
        <f>IFERROR(__xludf.DUMMYFUNCTION("""COMPUTED_VALUE"""),41.0)</f>
        <v>41</v>
      </c>
      <c r="X124" s="136">
        <f>IFERROR(__xludf.DUMMYFUNCTION("""COMPUTED_VALUE"""),309.14285714285717)</f>
        <v>309.1428571</v>
      </c>
      <c r="Y124" s="141">
        <f>IFERROR(__xludf.DUMMYFUNCTION("""COMPUTED_VALUE"""),50.5465306122449)</f>
        <v>50.54653061</v>
      </c>
      <c r="Z124" s="141">
        <f>IFERROR(__xludf.DUMMYFUNCTION("""COMPUTED_VALUE"""),1917.3061224489795)</f>
        <v>1917.306122</v>
      </c>
    </row>
    <row r="125">
      <c r="A125" s="41" t="str">
        <f>IFERROR(__xludf.DUMMYFUNCTION("""COMPUTED_VALUE"""),"Veteran")</f>
        <v>Veteran</v>
      </c>
      <c r="B125" s="41" t="str">
        <f>IFERROR(__xludf.DUMMYFUNCTION("""COMPUTED_VALUE"""),"RSC002706")</f>
        <v>RSC002706</v>
      </c>
      <c r="C125" s="41" t="str">
        <f>IFERROR(__xludf.DUMMYFUNCTION("""COMPUTED_VALUE"""),"Zarthon77")</f>
        <v>Zarthon77</v>
      </c>
      <c r="D125" s="41" t="str">
        <f>IFERROR(__xludf.DUMMYFUNCTION("""COMPUTED_VALUE"""),"Sons of Ares")</f>
        <v>Sons of Ares</v>
      </c>
      <c r="E125" s="136">
        <f>IFERROR(__xludf.DUMMYFUNCTION("""COMPUTED_VALUE"""),52.0)</f>
        <v>52</v>
      </c>
      <c r="F125" s="136">
        <f>IFERROR(__xludf.DUMMYFUNCTION("""COMPUTED_VALUE"""),33.0)</f>
        <v>33</v>
      </c>
      <c r="G125" s="136">
        <f>IFERROR(__xludf.DUMMYFUNCTION("""COMPUTED_VALUE"""),19.0)</f>
        <v>19</v>
      </c>
      <c r="H125" s="137">
        <f>IFERROR(__xludf.DUMMYFUNCTION("""COMPUTED_VALUE"""),0.6346153846153846)</f>
        <v>0.6346153846</v>
      </c>
      <c r="I125" s="136">
        <f>IFERROR(__xludf.DUMMYFUNCTION("""COMPUTED_VALUE"""),16.0)</f>
        <v>16</v>
      </c>
      <c r="J125" s="136">
        <f>IFERROR(__xludf.DUMMYFUNCTION("""COMPUTED_VALUE"""),20865.0)</f>
        <v>20865</v>
      </c>
      <c r="K125" s="136">
        <f>IFERROR(__xludf.DUMMYFUNCTION("""COMPUTED_VALUE"""),54.0)</f>
        <v>54</v>
      </c>
      <c r="L125" s="136">
        <f>IFERROR(__xludf.DUMMYFUNCTION("""COMPUTED_VALUE"""),33.0)</f>
        <v>33</v>
      </c>
      <c r="M125" s="136">
        <f>IFERROR(__xludf.DUMMYFUNCTION("""COMPUTED_VALUE"""),73.0)</f>
        <v>73</v>
      </c>
      <c r="N125" s="136">
        <f>IFERROR(__xludf.DUMMYFUNCTION("""COMPUTED_VALUE"""),164.0)</f>
        <v>164</v>
      </c>
      <c r="O125" s="138">
        <f>IFERROR(__xludf.DUMMYFUNCTION("""COMPUTED_VALUE"""),12.0)</f>
        <v>12</v>
      </c>
      <c r="P125" s="138">
        <f>IFERROR(__xludf.DUMMYFUNCTION("""COMPUTED_VALUE"""),3.0)</f>
        <v>3</v>
      </c>
      <c r="Q125" s="138">
        <f>IFERROR(__xludf.DUMMYFUNCTION("""COMPUTED_VALUE"""),3.0)</f>
        <v>3</v>
      </c>
      <c r="R125" s="138">
        <f>IFERROR(__xludf.DUMMYFUNCTION("""COMPUTED_VALUE"""),9.0)</f>
        <v>9</v>
      </c>
      <c r="S125" s="139">
        <f>IFERROR(__xludf.DUMMYFUNCTION("""COMPUTED_VALUE"""),367.0)</f>
        <v>367</v>
      </c>
      <c r="T125" s="140">
        <f>IFERROR(__xludf.DUMMYFUNCTION("""COMPUTED_VALUE"""),100.0)</f>
        <v>100</v>
      </c>
      <c r="U125" s="136">
        <f>IFERROR(__xludf.DUMMYFUNCTION("""COMPUTED_VALUE"""),33.0)</f>
        <v>33</v>
      </c>
      <c r="V125" s="136">
        <f>IFERROR(__xludf.DUMMYFUNCTION("""COMPUTED_VALUE"""),14.0)</f>
        <v>14</v>
      </c>
      <c r="W125" s="136">
        <f>IFERROR(__xludf.DUMMYFUNCTION("""COMPUTED_VALUE"""),63.0)</f>
        <v>63</v>
      </c>
      <c r="X125" s="136">
        <f>IFERROR(__xludf.DUMMYFUNCTION("""COMPUTED_VALUE"""),387.86538461538464)</f>
        <v>387.8653846</v>
      </c>
      <c r="Y125" s="141">
        <f>IFERROR(__xludf.DUMMYFUNCTION("""COMPUTED_VALUE"""),47.00615384615385)</f>
        <v>47.00615385</v>
      </c>
      <c r="Z125" s="141">
        <f>IFERROR(__xludf.DUMMYFUNCTION("""COMPUTED_VALUE"""),2241.5384615384614)</f>
        <v>2241.538462</v>
      </c>
    </row>
    <row r="126">
      <c r="A126" s="41" t="str">
        <f>IFERROR(__xludf.DUMMYFUNCTION("""COMPUTED_VALUE"""),"Amateur")</f>
        <v>Amateur</v>
      </c>
      <c r="B126" s="41" t="str">
        <f>IFERROR(__xludf.DUMMYFUNCTION("""COMPUTED_VALUE"""),"RSC002713")</f>
        <v>RSC002713</v>
      </c>
      <c r="C126" s="41" t="str">
        <f>IFERROR(__xludf.DUMMYFUNCTION("""COMPUTED_VALUE"""),"TimmyIU20")</f>
        <v>TimmyIU20</v>
      </c>
      <c r="D126" s="41" t="str">
        <f>IFERROR(__xludf.DUMMYFUNCTION("""COMPUTED_VALUE"""),"Winter Fresh
Electric Eels")</f>
        <v>Winter Fresh
Electric Eels</v>
      </c>
      <c r="E126" s="136">
        <f>IFERROR(__xludf.DUMMYFUNCTION("""COMPUTED_VALUE"""),32.0)</f>
        <v>32</v>
      </c>
      <c r="F126" s="136">
        <f>IFERROR(__xludf.DUMMYFUNCTION("""COMPUTED_VALUE"""),22.0)</f>
        <v>22</v>
      </c>
      <c r="G126" s="136">
        <f>IFERROR(__xludf.DUMMYFUNCTION("""COMPUTED_VALUE"""),10.0)</f>
        <v>10</v>
      </c>
      <c r="H126" s="137">
        <f>IFERROR(__xludf.DUMMYFUNCTION("""COMPUTED_VALUE"""),0.6875)</f>
        <v>0.6875</v>
      </c>
      <c r="I126" s="136">
        <f>IFERROR(__xludf.DUMMYFUNCTION("""COMPUTED_VALUE"""),7.0)</f>
        <v>7</v>
      </c>
      <c r="J126" s="136">
        <f>IFERROR(__xludf.DUMMYFUNCTION("""COMPUTED_VALUE"""),10408.0)</f>
        <v>10408</v>
      </c>
      <c r="K126" s="136">
        <f>IFERROR(__xludf.DUMMYFUNCTION("""COMPUTED_VALUE"""),30.0)</f>
        <v>30</v>
      </c>
      <c r="L126" s="136">
        <f>IFERROR(__xludf.DUMMYFUNCTION("""COMPUTED_VALUE"""),11.0)</f>
        <v>11</v>
      </c>
      <c r="M126" s="136">
        <f>IFERROR(__xludf.DUMMYFUNCTION("""COMPUTED_VALUE"""),30.0)</f>
        <v>30</v>
      </c>
      <c r="N126" s="136">
        <f>IFERROR(__xludf.DUMMYFUNCTION("""COMPUTED_VALUE"""),79.0)</f>
        <v>79</v>
      </c>
      <c r="O126" s="138">
        <f>IFERROR(__xludf.DUMMYFUNCTION("""COMPUTED_VALUE"""),3.0)</f>
        <v>3</v>
      </c>
      <c r="P126" s="138">
        <f>IFERROR(__xludf.DUMMYFUNCTION("""COMPUTED_VALUE"""),1.0)</f>
        <v>1</v>
      </c>
      <c r="Q126" s="138">
        <f>IFERROR(__xludf.DUMMYFUNCTION("""COMPUTED_VALUE"""),0.0)</f>
        <v>0</v>
      </c>
      <c r="R126" s="138">
        <f>IFERROR(__xludf.DUMMYFUNCTION("""COMPUTED_VALUE"""),2.0)</f>
        <v>2</v>
      </c>
      <c r="S126" s="139">
        <f>IFERROR(__xludf.DUMMYFUNCTION("""COMPUTED_VALUE"""),188.0)</f>
        <v>188</v>
      </c>
      <c r="T126" s="140">
        <f>IFERROR(__xludf.DUMMYFUNCTION("""COMPUTED_VALUE"""),57.0)</f>
        <v>57</v>
      </c>
      <c r="U126" s="136">
        <f>IFERROR(__xludf.DUMMYFUNCTION("""COMPUTED_VALUE"""),22.0)</f>
        <v>22</v>
      </c>
      <c r="V126" s="136">
        <f>IFERROR(__xludf.DUMMYFUNCTION("""COMPUTED_VALUE"""),15.0)</f>
        <v>15</v>
      </c>
      <c r="W126" s="136">
        <f>IFERROR(__xludf.DUMMYFUNCTION("""COMPUTED_VALUE"""),33.0)</f>
        <v>33</v>
      </c>
      <c r="X126" s="139">
        <f>IFERROR(__xludf.DUMMYFUNCTION("""COMPUTED_VALUE"""),305.84375)</f>
        <v>305.84375</v>
      </c>
      <c r="Y126" s="141">
        <f>IFERROR(__xludf.DUMMYFUNCTION("""COMPUTED_VALUE"""),51.3075)</f>
        <v>51.3075</v>
      </c>
      <c r="Z126" s="141">
        <f>IFERROR(__xludf.DUMMYFUNCTION("""COMPUTED_VALUE"""),1963.59375)</f>
        <v>1963.59375</v>
      </c>
    </row>
    <row r="127">
      <c r="A127" s="41" t="str">
        <f>IFERROR(__xludf.DUMMYFUNCTION("""COMPUTED_VALUE"""),"Premier")</f>
        <v>Premier</v>
      </c>
      <c r="B127" s="41" t="str">
        <f>IFERROR(__xludf.DUMMYFUNCTION("""COMPUTED_VALUE"""),"RSC002714")</f>
        <v>RSC002714</v>
      </c>
      <c r="C127" s="41" t="str">
        <f>IFERROR(__xludf.DUMMYFUNCTION("""COMPUTED_VALUE"""),"Andy")</f>
        <v>Andy</v>
      </c>
      <c r="D127" s="41" t="str">
        <f>IFERROR(__xludf.DUMMYFUNCTION("""COMPUTED_VALUE"""),"Crooked Capos")</f>
        <v>Crooked Capos</v>
      </c>
      <c r="E127" s="136">
        <f>IFERROR(__xludf.DUMMYFUNCTION("""COMPUTED_VALUE"""),47.0)</f>
        <v>47</v>
      </c>
      <c r="F127" s="136">
        <f>IFERROR(__xludf.DUMMYFUNCTION("""COMPUTED_VALUE"""),24.0)</f>
        <v>24</v>
      </c>
      <c r="G127" s="136">
        <f>IFERROR(__xludf.DUMMYFUNCTION("""COMPUTED_VALUE"""),23.0)</f>
        <v>23</v>
      </c>
      <c r="H127" s="137">
        <f>IFERROR(__xludf.DUMMYFUNCTION("""COMPUTED_VALUE"""),0.5106382978723404)</f>
        <v>0.5106382979</v>
      </c>
      <c r="I127" s="136">
        <f>IFERROR(__xludf.DUMMYFUNCTION("""COMPUTED_VALUE"""),9.0)</f>
        <v>9</v>
      </c>
      <c r="J127" s="136">
        <f>IFERROR(__xludf.DUMMYFUNCTION("""COMPUTED_VALUE"""),18509.0)</f>
        <v>18509</v>
      </c>
      <c r="K127" s="136">
        <f>IFERROR(__xludf.DUMMYFUNCTION("""COMPUTED_VALUE"""),44.0)</f>
        <v>44</v>
      </c>
      <c r="L127" s="136">
        <f>IFERROR(__xludf.DUMMYFUNCTION("""COMPUTED_VALUE"""),26.0)</f>
        <v>26</v>
      </c>
      <c r="M127" s="136">
        <f>IFERROR(__xludf.DUMMYFUNCTION("""COMPUTED_VALUE"""),61.0)</f>
        <v>61</v>
      </c>
      <c r="N127" s="136">
        <f>IFERROR(__xludf.DUMMYFUNCTION("""COMPUTED_VALUE"""),149.0)</f>
        <v>149</v>
      </c>
      <c r="O127" s="138">
        <f>IFERROR(__xludf.DUMMYFUNCTION("""COMPUTED_VALUE"""),12.0)</f>
        <v>12</v>
      </c>
      <c r="P127" s="138">
        <f>IFERROR(__xludf.DUMMYFUNCTION("""COMPUTED_VALUE"""),2.0)</f>
        <v>2</v>
      </c>
      <c r="Q127" s="138">
        <f>IFERROR(__xludf.DUMMYFUNCTION("""COMPUTED_VALUE"""),1.0)</f>
        <v>1</v>
      </c>
      <c r="R127" s="138">
        <f>IFERROR(__xludf.DUMMYFUNCTION("""COMPUTED_VALUE"""),5.0)</f>
        <v>5</v>
      </c>
      <c r="S127" s="139">
        <f>IFERROR(__xludf.DUMMYFUNCTION("""COMPUTED_VALUE"""),404.0)</f>
        <v>404</v>
      </c>
      <c r="T127" s="140">
        <f>IFERROR(__xludf.DUMMYFUNCTION("""COMPUTED_VALUE"""),98.0)</f>
        <v>98</v>
      </c>
      <c r="U127" s="136">
        <f>IFERROR(__xludf.DUMMYFUNCTION("""COMPUTED_VALUE"""),33.0)</f>
        <v>33</v>
      </c>
      <c r="V127" s="136">
        <f>IFERROR(__xludf.DUMMYFUNCTION("""COMPUTED_VALUE"""),53.0)</f>
        <v>53</v>
      </c>
      <c r="W127" s="136">
        <f>IFERROR(__xludf.DUMMYFUNCTION("""COMPUTED_VALUE"""),63.0)</f>
        <v>63</v>
      </c>
      <c r="X127" s="136">
        <f>IFERROR(__xludf.DUMMYFUNCTION("""COMPUTED_VALUE"""),419.82978723404256)</f>
        <v>419.8297872</v>
      </c>
      <c r="Y127" s="141">
        <f>IFERROR(__xludf.DUMMYFUNCTION("""COMPUTED_VALUE"""),48.6163829787234)</f>
        <v>48.61638298</v>
      </c>
      <c r="Z127" s="141">
        <f>IFERROR(__xludf.DUMMYFUNCTION("""COMPUTED_VALUE"""),2576.531914893617)</f>
        <v>2576.531915</v>
      </c>
    </row>
    <row r="128">
      <c r="A128" s="41" t="str">
        <f>IFERROR(__xludf.DUMMYFUNCTION("""COMPUTED_VALUE"""),"Elite")</f>
        <v>Elite</v>
      </c>
      <c r="B128" s="41" t="str">
        <f>IFERROR(__xludf.DUMMYFUNCTION("""COMPUTED_VALUE"""),"RSC002729")</f>
        <v>RSC002729</v>
      </c>
      <c r="C128" s="41" t="str">
        <f>IFERROR(__xludf.DUMMYFUNCTION("""COMPUTED_VALUE"""),"snugcore")</f>
        <v>snugcore</v>
      </c>
      <c r="D128" s="41" t="str">
        <f>IFERROR(__xludf.DUMMYFUNCTION("""COMPUTED_VALUE"""),"Thrashers")</f>
        <v>Thrashers</v>
      </c>
      <c r="E128" s="136">
        <f>IFERROR(__xludf.DUMMYFUNCTION("""COMPUTED_VALUE"""),56.0)</f>
        <v>56</v>
      </c>
      <c r="F128" s="136">
        <f>IFERROR(__xludf.DUMMYFUNCTION("""COMPUTED_VALUE"""),24.0)</f>
        <v>24</v>
      </c>
      <c r="G128" s="136">
        <f>IFERROR(__xludf.DUMMYFUNCTION("""COMPUTED_VALUE"""),32.0)</f>
        <v>32</v>
      </c>
      <c r="H128" s="137">
        <f>IFERROR(__xludf.DUMMYFUNCTION("""COMPUTED_VALUE"""),0.42857142857142855)</f>
        <v>0.4285714286</v>
      </c>
      <c r="I128" s="136">
        <f>IFERROR(__xludf.DUMMYFUNCTION("""COMPUTED_VALUE"""),10.0)</f>
        <v>10</v>
      </c>
      <c r="J128" s="136">
        <f>IFERROR(__xludf.DUMMYFUNCTION("""COMPUTED_VALUE"""),19153.0)</f>
        <v>19153</v>
      </c>
      <c r="K128" s="136">
        <f>IFERROR(__xludf.DUMMYFUNCTION("""COMPUTED_VALUE"""),40.0)</f>
        <v>40</v>
      </c>
      <c r="L128" s="136">
        <f>IFERROR(__xludf.DUMMYFUNCTION("""COMPUTED_VALUE"""),36.0)</f>
        <v>36</v>
      </c>
      <c r="M128" s="136">
        <f>IFERROR(__xludf.DUMMYFUNCTION("""COMPUTED_VALUE"""),61.0)</f>
        <v>61</v>
      </c>
      <c r="N128" s="136">
        <f>IFERROR(__xludf.DUMMYFUNCTION("""COMPUTED_VALUE"""),166.0)</f>
        <v>166</v>
      </c>
      <c r="O128" s="138">
        <f>IFERROR(__xludf.DUMMYFUNCTION("""COMPUTED_VALUE"""),7.0)</f>
        <v>7</v>
      </c>
      <c r="P128" s="138">
        <f>IFERROR(__xludf.DUMMYFUNCTION("""COMPUTED_VALUE"""),2.0)</f>
        <v>2</v>
      </c>
      <c r="Q128" s="138">
        <f>IFERROR(__xludf.DUMMYFUNCTION("""COMPUTED_VALUE"""),4.0)</f>
        <v>4</v>
      </c>
      <c r="R128" s="138">
        <f>IFERROR(__xludf.DUMMYFUNCTION("""COMPUTED_VALUE"""),7.0)</f>
        <v>7</v>
      </c>
      <c r="S128" s="139">
        <f>IFERROR(__xludf.DUMMYFUNCTION("""COMPUTED_VALUE"""),426.0)</f>
        <v>426</v>
      </c>
      <c r="T128" s="140">
        <f>IFERROR(__xludf.DUMMYFUNCTION("""COMPUTED_VALUE"""),141.0)</f>
        <v>141</v>
      </c>
      <c r="U128" s="136">
        <f>IFERROR(__xludf.DUMMYFUNCTION("""COMPUTED_VALUE"""),47.0)</f>
        <v>47</v>
      </c>
      <c r="V128" s="136">
        <f>IFERROR(__xludf.DUMMYFUNCTION("""COMPUTED_VALUE"""),54.0)</f>
        <v>54</v>
      </c>
      <c r="W128" s="136">
        <f>IFERROR(__xludf.DUMMYFUNCTION("""COMPUTED_VALUE"""),73.0)</f>
        <v>73</v>
      </c>
      <c r="X128" s="136">
        <f>IFERROR(__xludf.DUMMYFUNCTION("""COMPUTED_VALUE"""),421.0892857142857)</f>
        <v>421.0892857</v>
      </c>
      <c r="Y128" s="141">
        <f>IFERROR(__xludf.DUMMYFUNCTION("""COMPUTED_VALUE"""),48.94589285714286)</f>
        <v>48.94589286</v>
      </c>
      <c r="Z128" s="141">
        <f>IFERROR(__xludf.DUMMYFUNCTION("""COMPUTED_VALUE"""),2642.2678571428573)</f>
        <v>2642.267857</v>
      </c>
    </row>
    <row r="129">
      <c r="A129" s="41" t="str">
        <f>IFERROR(__xludf.DUMMYFUNCTION("""COMPUTED_VALUE"""),"Veteran")</f>
        <v>Veteran</v>
      </c>
      <c r="B129" s="41" t="str">
        <f>IFERROR(__xludf.DUMMYFUNCTION("""COMPUTED_VALUE"""),"RSC002730")</f>
        <v>RSC002730</v>
      </c>
      <c r="C129" s="41" t="str">
        <f>IFERROR(__xludf.DUMMYFUNCTION("""COMPUTED_VALUE"""),"Aquap")</f>
        <v>Aquap</v>
      </c>
      <c r="D129" s="41" t="str">
        <f>IFERROR(__xludf.DUMMYFUNCTION("""COMPUTED_VALUE"""),"Navigators")</f>
        <v>Navigators</v>
      </c>
      <c r="E129" s="136">
        <f>IFERROR(__xludf.DUMMYFUNCTION("""COMPUTED_VALUE"""),39.0)</f>
        <v>39</v>
      </c>
      <c r="F129" s="136">
        <f>IFERROR(__xludf.DUMMYFUNCTION("""COMPUTED_VALUE"""),13.0)</f>
        <v>13</v>
      </c>
      <c r="G129" s="136">
        <f>IFERROR(__xludf.DUMMYFUNCTION("""COMPUTED_VALUE"""),26.0)</f>
        <v>26</v>
      </c>
      <c r="H129" s="137">
        <f>IFERROR(__xludf.DUMMYFUNCTION("""COMPUTED_VALUE"""),0.3333333333333333)</f>
        <v>0.3333333333</v>
      </c>
      <c r="I129" s="136">
        <f>IFERROR(__xludf.DUMMYFUNCTION("""COMPUTED_VALUE"""),4.0)</f>
        <v>4</v>
      </c>
      <c r="J129" s="136">
        <f>IFERROR(__xludf.DUMMYFUNCTION("""COMPUTED_VALUE"""),12612.0)</f>
        <v>12612</v>
      </c>
      <c r="K129" s="136">
        <f>IFERROR(__xludf.DUMMYFUNCTION("""COMPUTED_VALUE"""),26.0)</f>
        <v>26</v>
      </c>
      <c r="L129" s="136">
        <f>IFERROR(__xludf.DUMMYFUNCTION("""COMPUTED_VALUE"""),22.0)</f>
        <v>22</v>
      </c>
      <c r="M129" s="136">
        <f>IFERROR(__xludf.DUMMYFUNCTION("""COMPUTED_VALUE"""),42.0)</f>
        <v>42</v>
      </c>
      <c r="N129" s="136">
        <f>IFERROR(__xludf.DUMMYFUNCTION("""COMPUTED_VALUE"""),99.0)</f>
        <v>99</v>
      </c>
      <c r="O129" s="138">
        <f>IFERROR(__xludf.DUMMYFUNCTION("""COMPUTED_VALUE"""),8.0)</f>
        <v>8</v>
      </c>
      <c r="P129" s="138">
        <f>IFERROR(__xludf.DUMMYFUNCTION("""COMPUTED_VALUE"""),0.0)</f>
        <v>0</v>
      </c>
      <c r="Q129" s="138">
        <f>IFERROR(__xludf.DUMMYFUNCTION("""COMPUTED_VALUE"""),0.0)</f>
        <v>0</v>
      </c>
      <c r="R129" s="138">
        <f>IFERROR(__xludf.DUMMYFUNCTION("""COMPUTED_VALUE"""),4.0)</f>
        <v>4</v>
      </c>
      <c r="S129" s="139">
        <f>IFERROR(__xludf.DUMMYFUNCTION("""COMPUTED_VALUE"""),323.0)</f>
        <v>323</v>
      </c>
      <c r="T129" s="140">
        <f>IFERROR(__xludf.DUMMYFUNCTION("""COMPUTED_VALUE"""),100.0)</f>
        <v>100</v>
      </c>
      <c r="U129" s="136">
        <f>IFERROR(__xludf.DUMMYFUNCTION("""COMPUTED_VALUE"""),27.0)</f>
        <v>27</v>
      </c>
      <c r="V129" s="136">
        <f>IFERROR(__xludf.DUMMYFUNCTION("""COMPUTED_VALUE"""),25.0)</f>
        <v>25</v>
      </c>
      <c r="W129" s="136">
        <f>IFERROR(__xludf.DUMMYFUNCTION("""COMPUTED_VALUE"""),46.0)</f>
        <v>46</v>
      </c>
      <c r="X129" s="136">
        <f>IFERROR(__xludf.DUMMYFUNCTION("""COMPUTED_VALUE"""),362.4871794871795)</f>
        <v>362.4871795</v>
      </c>
      <c r="Y129" s="141">
        <f>IFERROR(__xludf.DUMMYFUNCTION("""COMPUTED_VALUE"""),46.66948717948717)</f>
        <v>46.66948718</v>
      </c>
      <c r="Z129" s="141">
        <f>IFERROR(__xludf.DUMMYFUNCTION("""COMPUTED_VALUE"""),2217.5128205128203)</f>
        <v>2217.512821</v>
      </c>
    </row>
    <row r="130">
      <c r="A130" s="41" t="str">
        <f>IFERROR(__xludf.DUMMYFUNCTION("""COMPUTED_VALUE"""),"Veteran")</f>
        <v>Veteran</v>
      </c>
      <c r="B130" s="41" t="str">
        <f>IFERROR(__xludf.DUMMYFUNCTION("""COMPUTED_VALUE"""),"RSC002780")</f>
        <v>RSC002780</v>
      </c>
      <c r="C130" s="41" t="str">
        <f>IFERROR(__xludf.DUMMYFUNCTION("""COMPUTED_VALUE"""),"Lickadoss77")</f>
        <v>Lickadoss77</v>
      </c>
      <c r="D130" s="41" t="str">
        <f>IFERROR(__xludf.DUMMYFUNCTION("""COMPUTED_VALUE"""),"Water")</f>
        <v>Water</v>
      </c>
      <c r="E130" s="136">
        <f>IFERROR(__xludf.DUMMYFUNCTION("""COMPUTED_VALUE"""),56.0)</f>
        <v>56</v>
      </c>
      <c r="F130" s="136">
        <f>IFERROR(__xludf.DUMMYFUNCTION("""COMPUTED_VALUE"""),34.0)</f>
        <v>34</v>
      </c>
      <c r="G130" s="136">
        <f>IFERROR(__xludf.DUMMYFUNCTION("""COMPUTED_VALUE"""),22.0)</f>
        <v>22</v>
      </c>
      <c r="H130" s="137">
        <f>IFERROR(__xludf.DUMMYFUNCTION("""COMPUTED_VALUE"""),0.6071428571428571)</f>
        <v>0.6071428571</v>
      </c>
      <c r="I130" s="136">
        <f>IFERROR(__xludf.DUMMYFUNCTION("""COMPUTED_VALUE"""),7.0)</f>
        <v>7</v>
      </c>
      <c r="J130" s="136">
        <f>IFERROR(__xludf.DUMMYFUNCTION("""COMPUTED_VALUE"""),21641.0)</f>
        <v>21641</v>
      </c>
      <c r="K130" s="136">
        <f>IFERROR(__xludf.DUMMYFUNCTION("""COMPUTED_VALUE"""),51.0)</f>
        <v>51</v>
      </c>
      <c r="L130" s="136">
        <f>IFERROR(__xludf.DUMMYFUNCTION("""COMPUTED_VALUE"""),40.0)</f>
        <v>40</v>
      </c>
      <c r="M130" s="136">
        <f>IFERROR(__xludf.DUMMYFUNCTION("""COMPUTED_VALUE"""),76.0)</f>
        <v>76</v>
      </c>
      <c r="N130" s="136">
        <f>IFERROR(__xludf.DUMMYFUNCTION("""COMPUTED_VALUE"""),156.0)</f>
        <v>156</v>
      </c>
      <c r="O130" s="138">
        <f>IFERROR(__xludf.DUMMYFUNCTION("""COMPUTED_VALUE"""),14.0)</f>
        <v>14</v>
      </c>
      <c r="P130" s="138">
        <f>IFERROR(__xludf.DUMMYFUNCTION("""COMPUTED_VALUE"""),5.0)</f>
        <v>5</v>
      </c>
      <c r="Q130" s="138">
        <f>IFERROR(__xludf.DUMMYFUNCTION("""COMPUTED_VALUE"""),3.0)</f>
        <v>3</v>
      </c>
      <c r="R130" s="138">
        <f>IFERROR(__xludf.DUMMYFUNCTION("""COMPUTED_VALUE"""),7.0)</f>
        <v>7</v>
      </c>
      <c r="S130" s="139">
        <f>IFERROR(__xludf.DUMMYFUNCTION("""COMPUTED_VALUE"""),379.0)</f>
        <v>379</v>
      </c>
      <c r="T130" s="140">
        <f>IFERROR(__xludf.DUMMYFUNCTION("""COMPUTED_VALUE"""),97.0)</f>
        <v>97</v>
      </c>
      <c r="U130" s="136">
        <f>IFERROR(__xludf.DUMMYFUNCTION("""COMPUTED_VALUE"""),34.0)</f>
        <v>34</v>
      </c>
      <c r="V130" s="136">
        <f>IFERROR(__xludf.DUMMYFUNCTION("""COMPUTED_VALUE"""),56.0)</f>
        <v>56</v>
      </c>
      <c r="W130" s="136">
        <f>IFERROR(__xludf.DUMMYFUNCTION("""COMPUTED_VALUE"""),53.0)</f>
        <v>53</v>
      </c>
      <c r="X130" s="136">
        <f>IFERROR(__xludf.DUMMYFUNCTION("""COMPUTED_VALUE"""),355.39285714285717)</f>
        <v>355.3928571</v>
      </c>
      <c r="Y130" s="141">
        <f>IFERROR(__xludf.DUMMYFUNCTION("""COMPUTED_VALUE"""),52.01625000000001)</f>
        <v>52.01625</v>
      </c>
      <c r="Z130" s="141">
        <f>IFERROR(__xludf.DUMMYFUNCTION("""COMPUTED_VALUE"""),2212.0714285714284)</f>
        <v>2212.071429</v>
      </c>
    </row>
    <row r="131">
      <c r="A131" s="41" t="str">
        <f>IFERROR(__xludf.DUMMYFUNCTION("""COMPUTED_VALUE"""),"Challenger")</f>
        <v>Challenger</v>
      </c>
      <c r="B131" s="41" t="str">
        <f>IFERROR(__xludf.DUMMYFUNCTION("""COMPUTED_VALUE"""),"RSC002796")</f>
        <v>RSC002796</v>
      </c>
      <c r="C131" s="41" t="str">
        <f>IFERROR(__xludf.DUMMYFUNCTION("""COMPUTED_VALUE"""),"Carno")</f>
        <v>Carno</v>
      </c>
      <c r="D131" s="41" t="str">
        <f>IFERROR(__xludf.DUMMYFUNCTION("""COMPUTED_VALUE"""),"Zombies")</f>
        <v>Zombies</v>
      </c>
      <c r="E131" s="136">
        <f>IFERROR(__xludf.DUMMYFUNCTION("""COMPUTED_VALUE"""),44.0)</f>
        <v>44</v>
      </c>
      <c r="F131" s="136">
        <f>IFERROR(__xludf.DUMMYFUNCTION("""COMPUTED_VALUE"""),20.0)</f>
        <v>20</v>
      </c>
      <c r="G131" s="136">
        <f>IFERROR(__xludf.DUMMYFUNCTION("""COMPUTED_VALUE"""),24.0)</f>
        <v>24</v>
      </c>
      <c r="H131" s="137">
        <f>IFERROR(__xludf.DUMMYFUNCTION("""COMPUTED_VALUE"""),0.45454545454545453)</f>
        <v>0.4545454545</v>
      </c>
      <c r="I131" s="136">
        <f>IFERROR(__xludf.DUMMYFUNCTION("""COMPUTED_VALUE"""),3.0)</f>
        <v>3</v>
      </c>
      <c r="J131" s="136">
        <f>IFERROR(__xludf.DUMMYFUNCTION("""COMPUTED_VALUE"""),12198.0)</f>
        <v>12198</v>
      </c>
      <c r="K131" s="136">
        <f>IFERROR(__xludf.DUMMYFUNCTION("""COMPUTED_VALUE"""),20.0)</f>
        <v>20</v>
      </c>
      <c r="L131" s="136">
        <f>IFERROR(__xludf.DUMMYFUNCTION("""COMPUTED_VALUE"""),19.0)</f>
        <v>19</v>
      </c>
      <c r="M131" s="136">
        <f>IFERROR(__xludf.DUMMYFUNCTION("""COMPUTED_VALUE"""),48.0)</f>
        <v>48</v>
      </c>
      <c r="N131" s="136">
        <f>IFERROR(__xludf.DUMMYFUNCTION("""COMPUTED_VALUE"""),78.0)</f>
        <v>78</v>
      </c>
      <c r="O131" s="138">
        <f>IFERROR(__xludf.DUMMYFUNCTION("""COMPUTED_VALUE"""),5.0)</f>
        <v>5</v>
      </c>
      <c r="P131" s="138">
        <f>IFERROR(__xludf.DUMMYFUNCTION("""COMPUTED_VALUE"""),1.0)</f>
        <v>1</v>
      </c>
      <c r="Q131" s="138">
        <f>IFERROR(__xludf.DUMMYFUNCTION("""COMPUTED_VALUE"""),0.0)</f>
        <v>0</v>
      </c>
      <c r="R131" s="138">
        <f>IFERROR(__xludf.DUMMYFUNCTION("""COMPUTED_VALUE"""),4.0)</f>
        <v>4</v>
      </c>
      <c r="S131" s="139">
        <f>IFERROR(__xludf.DUMMYFUNCTION("""COMPUTED_VALUE"""),323.0)</f>
        <v>323</v>
      </c>
      <c r="T131" s="140">
        <f>IFERROR(__xludf.DUMMYFUNCTION("""COMPUTED_VALUE"""),113.0)</f>
        <v>113</v>
      </c>
      <c r="U131" s="136">
        <f>IFERROR(__xludf.DUMMYFUNCTION("""COMPUTED_VALUE"""),32.0)</f>
        <v>32</v>
      </c>
      <c r="V131" s="136">
        <f>IFERROR(__xludf.DUMMYFUNCTION("""COMPUTED_VALUE"""),37.0)</f>
        <v>37</v>
      </c>
      <c r="W131" s="136">
        <f>IFERROR(__xludf.DUMMYFUNCTION("""COMPUTED_VALUE"""),35.0)</f>
        <v>35</v>
      </c>
      <c r="X131" s="136">
        <f>IFERROR(__xludf.DUMMYFUNCTION("""COMPUTED_VALUE"""),331.0681818181818)</f>
        <v>331.0681818</v>
      </c>
      <c r="Y131" s="141">
        <f>IFERROR(__xludf.DUMMYFUNCTION("""COMPUTED_VALUE"""),49.956136363636354)</f>
        <v>49.95613636</v>
      </c>
      <c r="Z131" s="141">
        <f>IFERROR(__xludf.DUMMYFUNCTION("""COMPUTED_VALUE"""),1990.2727272727273)</f>
        <v>1990.272727</v>
      </c>
    </row>
    <row r="132">
      <c r="A132" s="41" t="str">
        <f>IFERROR(__xludf.DUMMYFUNCTION("""COMPUTED_VALUE"""),"Rival")</f>
        <v>Rival</v>
      </c>
      <c r="B132" s="41" t="str">
        <f>IFERROR(__xludf.DUMMYFUNCTION("""COMPUTED_VALUE"""),"RSC002809")</f>
        <v>RSC002809</v>
      </c>
      <c r="C132" s="41" t="str">
        <f>IFERROR(__xludf.DUMMYFUNCTION("""COMPUTED_VALUE"""),"bubles")</f>
        <v>bubles</v>
      </c>
      <c r="D132" s="41" t="str">
        <f>IFERROR(__xludf.DUMMYFUNCTION("""COMPUTED_VALUE"""),"Quasars
Liars")</f>
        <v>Quasars
Liars</v>
      </c>
      <c r="E132" s="136">
        <f>IFERROR(__xludf.DUMMYFUNCTION("""COMPUTED_VALUE"""),43.0)</f>
        <v>43</v>
      </c>
      <c r="F132" s="136">
        <f>IFERROR(__xludf.DUMMYFUNCTION("""COMPUTED_VALUE"""),24.0)</f>
        <v>24</v>
      </c>
      <c r="G132" s="136">
        <f>IFERROR(__xludf.DUMMYFUNCTION("""COMPUTED_VALUE"""),19.0)</f>
        <v>19</v>
      </c>
      <c r="H132" s="137">
        <f>IFERROR(__xludf.DUMMYFUNCTION("""COMPUTED_VALUE"""),0.5581395348837209)</f>
        <v>0.5581395349</v>
      </c>
      <c r="I132" s="136">
        <f>IFERROR(__xludf.DUMMYFUNCTION("""COMPUTED_VALUE"""),8.0)</f>
        <v>8</v>
      </c>
      <c r="J132" s="136">
        <f>IFERROR(__xludf.DUMMYFUNCTION("""COMPUTED_VALUE"""),14362.0)</f>
        <v>14362</v>
      </c>
      <c r="K132" s="136">
        <f>IFERROR(__xludf.DUMMYFUNCTION("""COMPUTED_VALUE"""),33.0)</f>
        <v>33</v>
      </c>
      <c r="L132" s="136">
        <f>IFERROR(__xludf.DUMMYFUNCTION("""COMPUTED_VALUE"""),26.0)</f>
        <v>26</v>
      </c>
      <c r="M132" s="136">
        <f>IFERROR(__xludf.DUMMYFUNCTION("""COMPUTED_VALUE"""),51.0)</f>
        <v>51</v>
      </c>
      <c r="N132" s="136">
        <f>IFERROR(__xludf.DUMMYFUNCTION("""COMPUTED_VALUE"""),96.0)</f>
        <v>96</v>
      </c>
      <c r="O132" s="138">
        <f>IFERROR(__xludf.DUMMYFUNCTION("""COMPUTED_VALUE"""),6.0)</f>
        <v>6</v>
      </c>
      <c r="P132" s="138">
        <f>IFERROR(__xludf.DUMMYFUNCTION("""COMPUTED_VALUE"""),2.0)</f>
        <v>2</v>
      </c>
      <c r="Q132" s="138">
        <f>IFERROR(__xludf.DUMMYFUNCTION("""COMPUTED_VALUE"""),0.0)</f>
        <v>0</v>
      </c>
      <c r="R132" s="138">
        <f>IFERROR(__xludf.DUMMYFUNCTION("""COMPUTED_VALUE"""),6.0)</f>
        <v>6</v>
      </c>
      <c r="S132" s="139">
        <f>IFERROR(__xludf.DUMMYFUNCTION("""COMPUTED_VALUE"""),309.0)</f>
        <v>309</v>
      </c>
      <c r="T132" s="140">
        <f>IFERROR(__xludf.DUMMYFUNCTION("""COMPUTED_VALUE"""),94.0)</f>
        <v>94</v>
      </c>
      <c r="U132" s="136">
        <f>IFERROR(__xludf.DUMMYFUNCTION("""COMPUTED_VALUE"""),28.0)</f>
        <v>28</v>
      </c>
      <c r="V132" s="136">
        <f>IFERROR(__xludf.DUMMYFUNCTION("""COMPUTED_VALUE"""),55.0)</f>
        <v>55</v>
      </c>
      <c r="W132" s="136">
        <f>IFERROR(__xludf.DUMMYFUNCTION("""COMPUTED_VALUE"""),47.0)</f>
        <v>47</v>
      </c>
      <c r="X132" s="136">
        <f>IFERROR(__xludf.DUMMYFUNCTION("""COMPUTED_VALUE"""),366.2093023255814)</f>
        <v>366.2093023</v>
      </c>
      <c r="Y132" s="141">
        <f>IFERROR(__xludf.DUMMYFUNCTION("""COMPUTED_VALUE"""),49.90488372093022)</f>
        <v>49.90488372</v>
      </c>
      <c r="Z132" s="141">
        <f>IFERROR(__xludf.DUMMYFUNCTION("""COMPUTED_VALUE"""),2243.4418604651164)</f>
        <v>2243.44186</v>
      </c>
    </row>
    <row r="133">
      <c r="A133" s="41" t="str">
        <f>IFERROR(__xludf.DUMMYFUNCTION("""COMPUTED_VALUE"""),"Rival")</f>
        <v>Rival</v>
      </c>
      <c r="B133" s="41" t="str">
        <f>IFERROR(__xludf.DUMMYFUNCTION("""COMPUTED_VALUE"""),"RSC002841")</f>
        <v>RSC002841</v>
      </c>
      <c r="C133" s="41" t="str">
        <f>IFERROR(__xludf.DUMMYFUNCTION("""COMPUTED_VALUE"""),"dyl")</f>
        <v>dyl</v>
      </c>
      <c r="D133" s="41" t="str">
        <f>IFERROR(__xludf.DUMMYFUNCTION("""COMPUTED_VALUE"""),"Barracudas")</f>
        <v>Barracudas</v>
      </c>
      <c r="E133" s="136">
        <f>IFERROR(__xludf.DUMMYFUNCTION("""COMPUTED_VALUE"""),12.0)</f>
        <v>12</v>
      </c>
      <c r="F133" s="136">
        <f>IFERROR(__xludf.DUMMYFUNCTION("""COMPUTED_VALUE"""),5.0)</f>
        <v>5</v>
      </c>
      <c r="G133" s="136">
        <f>IFERROR(__xludf.DUMMYFUNCTION("""COMPUTED_VALUE"""),7.0)</f>
        <v>7</v>
      </c>
      <c r="H133" s="137">
        <f>IFERROR(__xludf.DUMMYFUNCTION("""COMPUTED_VALUE"""),0.4166666666666667)</f>
        <v>0.4166666667</v>
      </c>
      <c r="I133" s="136">
        <f>IFERROR(__xludf.DUMMYFUNCTION("""COMPUTED_VALUE"""),2.0)</f>
        <v>2</v>
      </c>
      <c r="J133" s="136">
        <f>IFERROR(__xludf.DUMMYFUNCTION("""COMPUTED_VALUE"""),4609.0)</f>
        <v>4609</v>
      </c>
      <c r="K133" s="136">
        <f>IFERROR(__xludf.DUMMYFUNCTION("""COMPUTED_VALUE"""),16.0)</f>
        <v>16</v>
      </c>
      <c r="L133" s="136">
        <f>IFERROR(__xludf.DUMMYFUNCTION("""COMPUTED_VALUE"""),3.0)</f>
        <v>3</v>
      </c>
      <c r="M133" s="136">
        <f>IFERROR(__xludf.DUMMYFUNCTION("""COMPUTED_VALUE"""),13.0)</f>
        <v>13</v>
      </c>
      <c r="N133" s="136">
        <f>IFERROR(__xludf.DUMMYFUNCTION("""COMPUTED_VALUE"""),35.0)</f>
        <v>35</v>
      </c>
      <c r="O133" s="138">
        <f>IFERROR(__xludf.DUMMYFUNCTION("""COMPUTED_VALUE"""),0.0)</f>
        <v>0</v>
      </c>
      <c r="P133" s="138">
        <f>IFERROR(__xludf.DUMMYFUNCTION("""COMPUTED_VALUE"""),1.0)</f>
        <v>1</v>
      </c>
      <c r="Q133" s="138">
        <f>IFERROR(__xludf.DUMMYFUNCTION("""COMPUTED_VALUE"""),0.0)</f>
        <v>0</v>
      </c>
      <c r="R133" s="138">
        <f>IFERROR(__xludf.DUMMYFUNCTION("""COMPUTED_VALUE"""),0.0)</f>
        <v>0</v>
      </c>
      <c r="S133" s="139">
        <f>IFERROR(__xludf.DUMMYFUNCTION("""COMPUTED_VALUE"""),87.0)</f>
        <v>87</v>
      </c>
      <c r="T133" s="140">
        <f>IFERROR(__xludf.DUMMYFUNCTION("""COMPUTED_VALUE"""),28.0)</f>
        <v>28</v>
      </c>
      <c r="U133" s="136">
        <f>IFERROR(__xludf.DUMMYFUNCTION("""COMPUTED_VALUE"""),13.0)</f>
        <v>13</v>
      </c>
      <c r="V133" s="136">
        <f>IFERROR(__xludf.DUMMYFUNCTION("""COMPUTED_VALUE"""),7.0)</f>
        <v>7</v>
      </c>
      <c r="W133" s="136">
        <f>IFERROR(__xludf.DUMMYFUNCTION("""COMPUTED_VALUE"""),15.0)</f>
        <v>15</v>
      </c>
      <c r="X133" s="136">
        <f>IFERROR(__xludf.DUMMYFUNCTION("""COMPUTED_VALUE"""),401.4166666666667)</f>
        <v>401.4166667</v>
      </c>
      <c r="Y133" s="141">
        <f>IFERROR(__xludf.DUMMYFUNCTION("""COMPUTED_VALUE"""),50.28916666666667)</f>
        <v>50.28916667</v>
      </c>
      <c r="Z133" s="141">
        <f>IFERROR(__xludf.DUMMYFUNCTION("""COMPUTED_VALUE"""),2477.25)</f>
        <v>2477.25</v>
      </c>
    </row>
    <row r="134">
      <c r="A134" s="41" t="str">
        <f>IFERROR(__xludf.DUMMYFUNCTION("""COMPUTED_VALUE"""),"Elite")</f>
        <v>Elite</v>
      </c>
      <c r="B134" s="41" t="str">
        <f>IFERROR(__xludf.DUMMYFUNCTION("""COMPUTED_VALUE"""),"RSC002862")</f>
        <v>RSC002862</v>
      </c>
      <c r="C134" s="41" t="str">
        <f>IFERROR(__xludf.DUMMYFUNCTION("""COMPUTED_VALUE"""),"Doodle!")</f>
        <v>Doodle!</v>
      </c>
      <c r="D134" s="41" t="str">
        <f>IFERROR(__xludf.DUMMYFUNCTION("""COMPUTED_VALUE"""),"Drive-by
Ghastly Goombahs
Commanders")</f>
        <v>Drive-by
Ghastly Goombahs
Commanders</v>
      </c>
      <c r="E134" s="136">
        <f>IFERROR(__xludf.DUMMYFUNCTION("""COMPUTED_VALUE"""),45.0)</f>
        <v>45</v>
      </c>
      <c r="F134" s="136">
        <f>IFERROR(__xludf.DUMMYFUNCTION("""COMPUTED_VALUE"""),10.0)</f>
        <v>10</v>
      </c>
      <c r="G134" s="136">
        <f>IFERROR(__xludf.DUMMYFUNCTION("""COMPUTED_VALUE"""),35.0)</f>
        <v>35</v>
      </c>
      <c r="H134" s="137">
        <f>IFERROR(__xludf.DUMMYFUNCTION("""COMPUTED_VALUE"""),0.2222222222222222)</f>
        <v>0.2222222222</v>
      </c>
      <c r="I134" s="136">
        <f>IFERROR(__xludf.DUMMYFUNCTION("""COMPUTED_VALUE"""),3.0)</f>
        <v>3</v>
      </c>
      <c r="J134" s="136">
        <f>IFERROR(__xludf.DUMMYFUNCTION("""COMPUTED_VALUE"""),17511.0)</f>
        <v>17511</v>
      </c>
      <c r="K134" s="136">
        <f>IFERROR(__xludf.DUMMYFUNCTION("""COMPUTED_VALUE"""),33.0)</f>
        <v>33</v>
      </c>
      <c r="L134" s="136">
        <f>IFERROR(__xludf.DUMMYFUNCTION("""COMPUTED_VALUE"""),29.0)</f>
        <v>29</v>
      </c>
      <c r="M134" s="136">
        <f>IFERROR(__xludf.DUMMYFUNCTION("""COMPUTED_VALUE"""),70.0)</f>
        <v>70</v>
      </c>
      <c r="N134" s="136">
        <f>IFERROR(__xludf.DUMMYFUNCTION("""COMPUTED_VALUE"""),128.0)</f>
        <v>128</v>
      </c>
      <c r="O134" s="138">
        <f>IFERROR(__xludf.DUMMYFUNCTION("""COMPUTED_VALUE"""),8.0)</f>
        <v>8</v>
      </c>
      <c r="P134" s="138">
        <f>IFERROR(__xludf.DUMMYFUNCTION("""COMPUTED_VALUE"""),5.0)</f>
        <v>5</v>
      </c>
      <c r="Q134" s="138">
        <f>IFERROR(__xludf.DUMMYFUNCTION("""COMPUTED_VALUE"""),2.0)</f>
        <v>2</v>
      </c>
      <c r="R134" s="138">
        <f>IFERROR(__xludf.DUMMYFUNCTION("""COMPUTED_VALUE"""),10.0)</f>
        <v>10</v>
      </c>
      <c r="S134" s="139">
        <f>IFERROR(__xludf.DUMMYFUNCTION("""COMPUTED_VALUE"""),442.0)</f>
        <v>442</v>
      </c>
      <c r="T134" s="140">
        <f>IFERROR(__xludf.DUMMYFUNCTION("""COMPUTED_VALUE"""),148.0)</f>
        <v>148</v>
      </c>
      <c r="U134" s="136">
        <f>IFERROR(__xludf.DUMMYFUNCTION("""COMPUTED_VALUE"""),48.0)</f>
        <v>48</v>
      </c>
      <c r="V134" s="136">
        <f>IFERROR(__xludf.DUMMYFUNCTION("""COMPUTED_VALUE"""),47.0)</f>
        <v>47</v>
      </c>
      <c r="W134" s="136">
        <f>IFERROR(__xludf.DUMMYFUNCTION("""COMPUTED_VALUE"""),57.0)</f>
        <v>57</v>
      </c>
      <c r="X134" s="136">
        <f>IFERROR(__xludf.DUMMYFUNCTION("""COMPUTED_VALUE"""),319.4888888888889)</f>
        <v>319.4888889</v>
      </c>
      <c r="Y134" s="141">
        <f>IFERROR(__xludf.DUMMYFUNCTION("""COMPUTED_VALUE"""),51.85488888888889)</f>
        <v>51.85488889</v>
      </c>
      <c r="Z134" s="141">
        <f>IFERROR(__xludf.DUMMYFUNCTION("""COMPUTED_VALUE"""),2035.111111111111)</f>
        <v>2035.111111</v>
      </c>
    </row>
    <row r="135">
      <c r="A135" s="41" t="str">
        <f>IFERROR(__xludf.DUMMYFUNCTION("""COMPUTED_VALUE"""),"Challenger")</f>
        <v>Challenger</v>
      </c>
      <c r="B135" s="41" t="str">
        <f>IFERROR(__xludf.DUMMYFUNCTION("""COMPUTED_VALUE"""),"RSC002877")</f>
        <v>RSC002877</v>
      </c>
      <c r="C135" s="41" t="str">
        <f>IFERROR(__xludf.DUMMYFUNCTION("""COMPUTED_VALUE"""),"robophant")</f>
        <v>robophant</v>
      </c>
      <c r="D135" s="41" t="str">
        <f>IFERROR(__xludf.DUMMYFUNCTION("""COMPUTED_VALUE"""),"Decuriones")</f>
        <v>Decuriones</v>
      </c>
      <c r="E135" s="136">
        <f>IFERROR(__xludf.DUMMYFUNCTION("""COMPUTED_VALUE"""),17.0)</f>
        <v>17</v>
      </c>
      <c r="F135" s="136">
        <f>IFERROR(__xludf.DUMMYFUNCTION("""COMPUTED_VALUE"""),7.0)</f>
        <v>7</v>
      </c>
      <c r="G135" s="136">
        <f>IFERROR(__xludf.DUMMYFUNCTION("""COMPUTED_VALUE"""),10.0)</f>
        <v>10</v>
      </c>
      <c r="H135" s="137">
        <f>IFERROR(__xludf.DUMMYFUNCTION("""COMPUTED_VALUE"""),0.4117647058823529)</f>
        <v>0.4117647059</v>
      </c>
      <c r="I135" s="136">
        <f>IFERROR(__xludf.DUMMYFUNCTION("""COMPUTED_VALUE"""),2.0)</f>
        <v>2</v>
      </c>
      <c r="J135" s="136">
        <f>IFERROR(__xludf.DUMMYFUNCTION("""COMPUTED_VALUE"""),6019.0)</f>
        <v>6019</v>
      </c>
      <c r="K135" s="136">
        <f>IFERROR(__xludf.DUMMYFUNCTION("""COMPUTED_VALUE"""),12.0)</f>
        <v>12</v>
      </c>
      <c r="L135" s="136">
        <f>IFERROR(__xludf.DUMMYFUNCTION("""COMPUTED_VALUE"""),14.0)</f>
        <v>14</v>
      </c>
      <c r="M135" s="136">
        <f>IFERROR(__xludf.DUMMYFUNCTION("""COMPUTED_VALUE"""),22.0)</f>
        <v>22</v>
      </c>
      <c r="N135" s="136">
        <f>IFERROR(__xludf.DUMMYFUNCTION("""COMPUTED_VALUE"""),35.0)</f>
        <v>35</v>
      </c>
      <c r="O135" s="138">
        <f>IFERROR(__xludf.DUMMYFUNCTION("""COMPUTED_VALUE"""),4.0)</f>
        <v>4</v>
      </c>
      <c r="P135" s="138">
        <f>IFERROR(__xludf.DUMMYFUNCTION("""COMPUTED_VALUE"""),0.0)</f>
        <v>0</v>
      </c>
      <c r="Q135" s="138">
        <f>IFERROR(__xludf.DUMMYFUNCTION("""COMPUTED_VALUE"""),0.0)</f>
        <v>0</v>
      </c>
      <c r="R135" s="138">
        <f>IFERROR(__xludf.DUMMYFUNCTION("""COMPUTED_VALUE"""),1.0)</f>
        <v>1</v>
      </c>
      <c r="S135" s="139">
        <f>IFERROR(__xludf.DUMMYFUNCTION("""COMPUTED_VALUE"""),126.0)</f>
        <v>126</v>
      </c>
      <c r="T135" s="140">
        <f>IFERROR(__xludf.DUMMYFUNCTION("""COMPUTED_VALUE"""),47.0)</f>
        <v>47</v>
      </c>
      <c r="U135" s="136">
        <f>IFERROR(__xludf.DUMMYFUNCTION("""COMPUTED_VALUE"""),15.0)</f>
        <v>15</v>
      </c>
      <c r="V135" s="136">
        <f>IFERROR(__xludf.DUMMYFUNCTION("""COMPUTED_VALUE"""),16.0)</f>
        <v>16</v>
      </c>
      <c r="W135" s="136">
        <f>IFERROR(__xludf.DUMMYFUNCTION("""COMPUTED_VALUE"""),20.0)</f>
        <v>20</v>
      </c>
      <c r="X135" s="136">
        <f>IFERROR(__xludf.DUMMYFUNCTION("""COMPUTED_VALUE"""),282.29411764705884)</f>
        <v>282.2941176</v>
      </c>
      <c r="Y135" s="141">
        <f>IFERROR(__xludf.DUMMYFUNCTION("""COMPUTED_VALUE"""),46.27117647058824)</f>
        <v>46.27117647</v>
      </c>
      <c r="Z135" s="141">
        <f>IFERROR(__xludf.DUMMYFUNCTION("""COMPUTED_VALUE"""),1717.8235294117646)</f>
        <v>1717.823529</v>
      </c>
    </row>
    <row r="136">
      <c r="A136" s="41" t="str">
        <f>IFERROR(__xludf.DUMMYFUNCTION("""COMPUTED_VALUE"""),"Master")</f>
        <v>Master</v>
      </c>
      <c r="B136" s="41" t="str">
        <f>IFERROR(__xludf.DUMMYFUNCTION("""COMPUTED_VALUE"""),"RSC002888")</f>
        <v>RSC002888</v>
      </c>
      <c r="C136" s="41" t="str">
        <f>IFERROR(__xludf.DUMMYFUNCTION("""COMPUTED_VALUE"""),"kri0s")</f>
        <v>kri0s</v>
      </c>
      <c r="D136" s="41" t="str">
        <f>IFERROR(__xludf.DUMMYFUNCTION("""COMPUTED_VALUE"""),"Heinous Henchmen")</f>
        <v>Heinous Henchmen</v>
      </c>
      <c r="E136" s="136">
        <f>IFERROR(__xludf.DUMMYFUNCTION("""COMPUTED_VALUE"""),8.0)</f>
        <v>8</v>
      </c>
      <c r="F136" s="136">
        <f>IFERROR(__xludf.DUMMYFUNCTION("""COMPUTED_VALUE"""),6.0)</f>
        <v>6</v>
      </c>
      <c r="G136" s="136">
        <f>IFERROR(__xludf.DUMMYFUNCTION("""COMPUTED_VALUE"""),2.0)</f>
        <v>2</v>
      </c>
      <c r="H136" s="137">
        <f>IFERROR(__xludf.DUMMYFUNCTION("""COMPUTED_VALUE"""),0.75)</f>
        <v>0.75</v>
      </c>
      <c r="I136" s="136">
        <f>IFERROR(__xludf.DUMMYFUNCTION("""COMPUTED_VALUE"""),1.0)</f>
        <v>1</v>
      </c>
      <c r="J136" s="136">
        <f>IFERROR(__xludf.DUMMYFUNCTION("""COMPUTED_VALUE"""),2734.0)</f>
        <v>2734</v>
      </c>
      <c r="K136" s="136">
        <f>IFERROR(__xludf.DUMMYFUNCTION("""COMPUTED_VALUE"""),8.0)</f>
        <v>8</v>
      </c>
      <c r="L136" s="136">
        <f>IFERROR(__xludf.DUMMYFUNCTION("""COMPUTED_VALUE"""),7.0)</f>
        <v>7</v>
      </c>
      <c r="M136" s="136">
        <f>IFERROR(__xludf.DUMMYFUNCTION("""COMPUTED_VALUE"""),5.0)</f>
        <v>5</v>
      </c>
      <c r="N136" s="136">
        <f>IFERROR(__xludf.DUMMYFUNCTION("""COMPUTED_VALUE"""),24.0)</f>
        <v>24</v>
      </c>
      <c r="O136" s="138">
        <f>IFERROR(__xludf.DUMMYFUNCTION("""COMPUTED_VALUE"""),2.0)</f>
        <v>2</v>
      </c>
      <c r="P136" s="138">
        <f>IFERROR(__xludf.DUMMYFUNCTION("""COMPUTED_VALUE"""),1.0)</f>
        <v>1</v>
      </c>
      <c r="Q136" s="138">
        <f>IFERROR(__xludf.DUMMYFUNCTION("""COMPUTED_VALUE"""),0.0)</f>
        <v>0</v>
      </c>
      <c r="R136" s="138">
        <f>IFERROR(__xludf.DUMMYFUNCTION("""COMPUTED_VALUE"""),0.0)</f>
        <v>0</v>
      </c>
      <c r="S136" s="139">
        <f>IFERROR(__xludf.DUMMYFUNCTION("""COMPUTED_VALUE"""),50.0)</f>
        <v>50</v>
      </c>
      <c r="T136" s="140">
        <f>IFERROR(__xludf.DUMMYFUNCTION("""COMPUTED_VALUE"""),14.0)</f>
        <v>14</v>
      </c>
      <c r="U136" s="136">
        <f>IFERROR(__xludf.DUMMYFUNCTION("""COMPUTED_VALUE"""),5.0)</f>
        <v>5</v>
      </c>
      <c r="V136" s="136">
        <f>IFERROR(__xludf.DUMMYFUNCTION("""COMPUTED_VALUE"""),10.0)</f>
        <v>10</v>
      </c>
      <c r="W136" s="136">
        <f>IFERROR(__xludf.DUMMYFUNCTION("""COMPUTED_VALUE"""),6.0)</f>
        <v>6</v>
      </c>
      <c r="X136" s="136">
        <f>IFERROR(__xludf.DUMMYFUNCTION("""COMPUTED_VALUE"""),378.0)</f>
        <v>378</v>
      </c>
      <c r="Y136" s="141">
        <f>IFERROR(__xludf.DUMMYFUNCTION("""COMPUTED_VALUE"""),50.90125)</f>
        <v>50.90125</v>
      </c>
      <c r="Z136" s="141">
        <f>IFERROR(__xludf.DUMMYFUNCTION("""COMPUTED_VALUE"""),2272.625)</f>
        <v>2272.625</v>
      </c>
    </row>
    <row r="137">
      <c r="A137" s="41" t="str">
        <f>IFERROR(__xludf.DUMMYFUNCTION("""COMPUTED_VALUE"""),"Elite")</f>
        <v>Elite</v>
      </c>
      <c r="B137" s="41" t="str">
        <f>IFERROR(__xludf.DUMMYFUNCTION("""COMPUTED_VALUE"""),"RSC002892")</f>
        <v>RSC002892</v>
      </c>
      <c r="C137" s="41" t="str">
        <f>IFERROR(__xludf.DUMMYFUNCTION("""COMPUTED_VALUE"""),"nickm")</f>
        <v>nickm</v>
      </c>
      <c r="D137" s="41" t="str">
        <f>IFERROR(__xludf.DUMMYFUNCTION("""COMPUTED_VALUE"""),"Pixel Picassos")</f>
        <v>Pixel Picassos</v>
      </c>
      <c r="E137" s="136">
        <f>IFERROR(__xludf.DUMMYFUNCTION("""COMPUTED_VALUE"""),48.0)</f>
        <v>48</v>
      </c>
      <c r="F137" s="136">
        <f>IFERROR(__xludf.DUMMYFUNCTION("""COMPUTED_VALUE"""),20.0)</f>
        <v>20</v>
      </c>
      <c r="G137" s="136">
        <f>IFERROR(__xludf.DUMMYFUNCTION("""COMPUTED_VALUE"""),28.0)</f>
        <v>28</v>
      </c>
      <c r="H137" s="137">
        <f>IFERROR(__xludf.DUMMYFUNCTION("""COMPUTED_VALUE"""),0.4166666666666667)</f>
        <v>0.4166666667</v>
      </c>
      <c r="I137" s="136">
        <f>IFERROR(__xludf.DUMMYFUNCTION("""COMPUTED_VALUE"""),6.0)</f>
        <v>6</v>
      </c>
      <c r="J137" s="136">
        <f>IFERROR(__xludf.DUMMYFUNCTION("""COMPUTED_VALUE"""),16081.0)</f>
        <v>16081</v>
      </c>
      <c r="K137" s="136">
        <f>IFERROR(__xludf.DUMMYFUNCTION("""COMPUTED_VALUE"""),38.0)</f>
        <v>38</v>
      </c>
      <c r="L137" s="136">
        <f>IFERROR(__xludf.DUMMYFUNCTION("""COMPUTED_VALUE"""),30.0)</f>
        <v>30</v>
      </c>
      <c r="M137" s="136">
        <f>IFERROR(__xludf.DUMMYFUNCTION("""COMPUTED_VALUE"""),54.0)</f>
        <v>54</v>
      </c>
      <c r="N137" s="136">
        <f>IFERROR(__xludf.DUMMYFUNCTION("""COMPUTED_VALUE"""),135.0)</f>
        <v>135</v>
      </c>
      <c r="O137" s="138">
        <f>IFERROR(__xludf.DUMMYFUNCTION("""COMPUTED_VALUE"""),7.0)</f>
        <v>7</v>
      </c>
      <c r="P137" s="138">
        <f>IFERROR(__xludf.DUMMYFUNCTION("""COMPUTED_VALUE"""),3.0)</f>
        <v>3</v>
      </c>
      <c r="Q137" s="138">
        <f>IFERROR(__xludf.DUMMYFUNCTION("""COMPUTED_VALUE"""),0.0)</f>
        <v>0</v>
      </c>
      <c r="R137" s="138">
        <f>IFERROR(__xludf.DUMMYFUNCTION("""COMPUTED_VALUE"""),5.0)</f>
        <v>5</v>
      </c>
      <c r="S137" s="139">
        <f>IFERROR(__xludf.DUMMYFUNCTION("""COMPUTED_VALUE"""),376.0)</f>
        <v>376</v>
      </c>
      <c r="T137" s="140">
        <f>IFERROR(__xludf.DUMMYFUNCTION("""COMPUTED_VALUE"""),123.0)</f>
        <v>123</v>
      </c>
      <c r="U137" s="136">
        <f>IFERROR(__xludf.DUMMYFUNCTION("""COMPUTED_VALUE"""),37.0)</f>
        <v>37</v>
      </c>
      <c r="V137" s="136">
        <f>IFERROR(__xludf.DUMMYFUNCTION("""COMPUTED_VALUE"""),24.0)</f>
        <v>24</v>
      </c>
      <c r="W137" s="136">
        <f>IFERROR(__xludf.DUMMYFUNCTION("""COMPUTED_VALUE"""),48.0)</f>
        <v>48</v>
      </c>
      <c r="X137" s="136">
        <f>IFERROR(__xludf.DUMMYFUNCTION("""COMPUTED_VALUE"""),406.3541666666667)</f>
        <v>406.3541667</v>
      </c>
      <c r="Y137" s="141">
        <f>IFERROR(__xludf.DUMMYFUNCTION("""COMPUTED_VALUE"""),45.60583333333332)</f>
        <v>45.60583333</v>
      </c>
      <c r="Z137" s="141">
        <f>IFERROR(__xludf.DUMMYFUNCTION("""COMPUTED_VALUE"""),2442.9791666666665)</f>
        <v>2442.979167</v>
      </c>
    </row>
    <row r="138">
      <c r="A138" s="41" t="str">
        <f>IFERROR(__xludf.DUMMYFUNCTION("""COMPUTED_VALUE"""),"Challenger")</f>
        <v>Challenger</v>
      </c>
      <c r="B138" s="41" t="str">
        <f>IFERROR(__xludf.DUMMYFUNCTION("""COMPUTED_VALUE"""),"RSC002897")</f>
        <v>RSC002897</v>
      </c>
      <c r="C138" s="41" t="str">
        <f>IFERROR(__xludf.DUMMYFUNCTION("""COMPUTED_VALUE"""),"VickyViksta")</f>
        <v>VickyViksta</v>
      </c>
      <c r="D138" s="41" t="str">
        <f>IFERROR(__xludf.DUMMYFUNCTION("""COMPUTED_VALUE"""),"Panda Bears")</f>
        <v>Panda Bears</v>
      </c>
      <c r="E138" s="136">
        <f>IFERROR(__xludf.DUMMYFUNCTION("""COMPUTED_VALUE"""),55.0)</f>
        <v>55</v>
      </c>
      <c r="F138" s="136">
        <f>IFERROR(__xludf.DUMMYFUNCTION("""COMPUTED_VALUE"""),32.0)</f>
        <v>32</v>
      </c>
      <c r="G138" s="136">
        <f>IFERROR(__xludf.DUMMYFUNCTION("""COMPUTED_VALUE"""),23.0)</f>
        <v>23</v>
      </c>
      <c r="H138" s="137">
        <f>IFERROR(__xludf.DUMMYFUNCTION("""COMPUTED_VALUE"""),0.5818181818181818)</f>
        <v>0.5818181818</v>
      </c>
      <c r="I138" s="136">
        <f>IFERROR(__xludf.DUMMYFUNCTION("""COMPUTED_VALUE"""),13.0)</f>
        <v>13</v>
      </c>
      <c r="J138" s="136">
        <f>IFERROR(__xludf.DUMMYFUNCTION("""COMPUTED_VALUE"""),20458.0)</f>
        <v>20458</v>
      </c>
      <c r="K138" s="136">
        <f>IFERROR(__xludf.DUMMYFUNCTION("""COMPUTED_VALUE"""),56.0)</f>
        <v>56</v>
      </c>
      <c r="L138" s="136">
        <f>IFERROR(__xludf.DUMMYFUNCTION("""COMPUTED_VALUE"""),23.0)</f>
        <v>23</v>
      </c>
      <c r="M138" s="136">
        <f>IFERROR(__xludf.DUMMYFUNCTION("""COMPUTED_VALUE"""),78.0)</f>
        <v>78</v>
      </c>
      <c r="N138" s="136">
        <f>IFERROR(__xludf.DUMMYFUNCTION("""COMPUTED_VALUE"""),149.0)</f>
        <v>149</v>
      </c>
      <c r="O138" s="138">
        <f>IFERROR(__xludf.DUMMYFUNCTION("""COMPUTED_VALUE"""),12.0)</f>
        <v>12</v>
      </c>
      <c r="P138" s="138">
        <f>IFERROR(__xludf.DUMMYFUNCTION("""COMPUTED_VALUE"""),3.0)</f>
        <v>3</v>
      </c>
      <c r="Q138" s="138">
        <f>IFERROR(__xludf.DUMMYFUNCTION("""COMPUTED_VALUE"""),0.0)</f>
        <v>0</v>
      </c>
      <c r="R138" s="138">
        <f>IFERROR(__xludf.DUMMYFUNCTION("""COMPUTED_VALUE"""),7.0)</f>
        <v>7</v>
      </c>
      <c r="S138" s="139">
        <f>IFERROR(__xludf.DUMMYFUNCTION("""COMPUTED_VALUE"""),424.0)</f>
        <v>424</v>
      </c>
      <c r="T138" s="140">
        <f>IFERROR(__xludf.DUMMYFUNCTION("""COMPUTED_VALUE"""),130.0)</f>
        <v>130</v>
      </c>
      <c r="U138" s="136">
        <f>IFERROR(__xludf.DUMMYFUNCTION("""COMPUTED_VALUE"""),43.0)</f>
        <v>43</v>
      </c>
      <c r="V138" s="136">
        <f>IFERROR(__xludf.DUMMYFUNCTION("""COMPUTED_VALUE"""),32.0)</f>
        <v>32</v>
      </c>
      <c r="W138" s="136">
        <f>IFERROR(__xludf.DUMMYFUNCTION("""COMPUTED_VALUE"""),47.0)</f>
        <v>47</v>
      </c>
      <c r="X138" s="136">
        <f>IFERROR(__xludf.DUMMYFUNCTION("""COMPUTED_VALUE"""),302.56363636363636)</f>
        <v>302.5636364</v>
      </c>
      <c r="Y138" s="141">
        <f>IFERROR(__xludf.DUMMYFUNCTION("""COMPUTED_VALUE"""),48.32090909090911)</f>
        <v>48.32090909</v>
      </c>
      <c r="Z138" s="141">
        <f>IFERROR(__xludf.DUMMYFUNCTION("""COMPUTED_VALUE"""),1874.5272727272727)</f>
        <v>1874.527273</v>
      </c>
    </row>
    <row r="139">
      <c r="A139" s="41" t="str">
        <f>IFERROR(__xludf.DUMMYFUNCTION("""COMPUTED_VALUE"""),"Elite")</f>
        <v>Elite</v>
      </c>
      <c r="B139" s="41" t="str">
        <f>IFERROR(__xludf.DUMMYFUNCTION("""COMPUTED_VALUE"""),"RSC002902")</f>
        <v>RSC002902</v>
      </c>
      <c r="C139" s="41" t="str">
        <f>IFERROR(__xludf.DUMMYFUNCTION("""COMPUTED_VALUE"""),"Stone-Dog Millionaire")</f>
        <v>Stone-Dog Millionaire</v>
      </c>
      <c r="D139" s="41" t="str">
        <f>IFERROR(__xludf.DUMMYFUNCTION("""COMPUTED_VALUE"""),"Praetorian Guard")</f>
        <v>Praetorian Guard</v>
      </c>
      <c r="E139" s="136">
        <f>IFERROR(__xludf.DUMMYFUNCTION("""COMPUTED_VALUE"""),4.0)</f>
        <v>4</v>
      </c>
      <c r="F139" s="136">
        <f>IFERROR(__xludf.DUMMYFUNCTION("""COMPUTED_VALUE"""),1.0)</f>
        <v>1</v>
      </c>
      <c r="G139" s="136">
        <f>IFERROR(__xludf.DUMMYFUNCTION("""COMPUTED_VALUE"""),3.0)</f>
        <v>3</v>
      </c>
      <c r="H139" s="137">
        <f>IFERROR(__xludf.DUMMYFUNCTION("""COMPUTED_VALUE"""),0.25)</f>
        <v>0.25</v>
      </c>
      <c r="I139" s="136">
        <f>IFERROR(__xludf.DUMMYFUNCTION("""COMPUTED_VALUE"""),0.0)</f>
        <v>0</v>
      </c>
      <c r="J139" s="136">
        <f>IFERROR(__xludf.DUMMYFUNCTION("""COMPUTED_VALUE"""),1239.0)</f>
        <v>1239</v>
      </c>
      <c r="K139" s="136">
        <f>IFERROR(__xludf.DUMMYFUNCTION("""COMPUTED_VALUE"""),1.0)</f>
        <v>1</v>
      </c>
      <c r="L139" s="136">
        <f>IFERROR(__xludf.DUMMYFUNCTION("""COMPUTED_VALUE"""),2.0)</f>
        <v>2</v>
      </c>
      <c r="M139" s="136">
        <f>IFERROR(__xludf.DUMMYFUNCTION("""COMPUTED_VALUE"""),9.0)</f>
        <v>9</v>
      </c>
      <c r="N139" s="136">
        <f>IFERROR(__xludf.DUMMYFUNCTION("""COMPUTED_VALUE"""),7.0)</f>
        <v>7</v>
      </c>
      <c r="O139" s="138">
        <f>IFERROR(__xludf.DUMMYFUNCTION("""COMPUTED_VALUE"""),0.0)</f>
        <v>0</v>
      </c>
      <c r="P139" s="138">
        <f>IFERROR(__xludf.DUMMYFUNCTION("""COMPUTED_VALUE"""),0.0)</f>
        <v>0</v>
      </c>
      <c r="Q139" s="138">
        <f>IFERROR(__xludf.DUMMYFUNCTION("""COMPUTED_VALUE"""),0.0)</f>
        <v>0</v>
      </c>
      <c r="R139" s="138">
        <f>IFERROR(__xludf.DUMMYFUNCTION("""COMPUTED_VALUE"""),2.0)</f>
        <v>2</v>
      </c>
      <c r="S139" s="139">
        <f>IFERROR(__xludf.DUMMYFUNCTION("""COMPUTED_VALUE"""),39.0)</f>
        <v>39</v>
      </c>
      <c r="T139" s="140">
        <f>IFERROR(__xludf.DUMMYFUNCTION("""COMPUTED_VALUE"""),11.0)</f>
        <v>11</v>
      </c>
      <c r="U139" s="136">
        <f>IFERROR(__xludf.DUMMYFUNCTION("""COMPUTED_VALUE"""),2.0)</f>
        <v>2</v>
      </c>
      <c r="V139" s="136">
        <f>IFERROR(__xludf.DUMMYFUNCTION("""COMPUTED_VALUE"""),3.0)</f>
        <v>3</v>
      </c>
      <c r="W139" s="136">
        <f>IFERROR(__xludf.DUMMYFUNCTION("""COMPUTED_VALUE"""),8.0)</f>
        <v>8</v>
      </c>
      <c r="X139" s="136">
        <f>IFERROR(__xludf.DUMMYFUNCTION("""COMPUTED_VALUE"""),402.0)</f>
        <v>402</v>
      </c>
      <c r="Y139" s="141">
        <f>IFERROR(__xludf.DUMMYFUNCTION("""COMPUTED_VALUE"""),47.06)</f>
        <v>47.06</v>
      </c>
      <c r="Z139" s="141">
        <f>IFERROR(__xludf.DUMMYFUNCTION("""COMPUTED_VALUE"""),2272.75)</f>
        <v>2272.75</v>
      </c>
    </row>
    <row r="140">
      <c r="A140" s="41" t="str">
        <f>IFERROR(__xludf.DUMMYFUNCTION("""COMPUTED_VALUE"""),"Veteran")</f>
        <v>Veteran</v>
      </c>
      <c r="B140" s="41" t="str">
        <f>IFERROR(__xludf.DUMMYFUNCTION("""COMPUTED_VALUE"""),"RSC002902")</f>
        <v>RSC002902</v>
      </c>
      <c r="C140" s="41" t="str">
        <f>IFERROR(__xludf.DUMMYFUNCTION("""COMPUTED_VALUE"""),"Stone-Dog Millionaire")</f>
        <v>Stone-Dog Millionaire</v>
      </c>
      <c r="D140" s="41" t="str">
        <f>IFERROR(__xludf.DUMMYFUNCTION("""COMPUTED_VALUE"""),"Legati")</f>
        <v>Legati</v>
      </c>
      <c r="E140" s="136">
        <f>IFERROR(__xludf.DUMMYFUNCTION("""COMPUTED_VALUE"""),40.0)</f>
        <v>40</v>
      </c>
      <c r="F140" s="136">
        <f>IFERROR(__xludf.DUMMYFUNCTION("""COMPUTED_VALUE"""),20.0)</f>
        <v>20</v>
      </c>
      <c r="G140" s="136">
        <f>IFERROR(__xludf.DUMMYFUNCTION("""COMPUTED_VALUE"""),20.0)</f>
        <v>20</v>
      </c>
      <c r="H140" s="137">
        <f>IFERROR(__xludf.DUMMYFUNCTION("""COMPUTED_VALUE"""),0.5)</f>
        <v>0.5</v>
      </c>
      <c r="I140" s="136">
        <f>IFERROR(__xludf.DUMMYFUNCTION("""COMPUTED_VALUE"""),3.0)</f>
        <v>3</v>
      </c>
      <c r="J140" s="136">
        <f>IFERROR(__xludf.DUMMYFUNCTION("""COMPUTED_VALUE"""),12916.0)</f>
        <v>12916</v>
      </c>
      <c r="K140" s="136">
        <f>IFERROR(__xludf.DUMMYFUNCTION("""COMPUTED_VALUE"""),29.0)</f>
        <v>29</v>
      </c>
      <c r="L140" s="136">
        <f>IFERROR(__xludf.DUMMYFUNCTION("""COMPUTED_VALUE"""),23.0)</f>
        <v>23</v>
      </c>
      <c r="M140" s="136">
        <f>IFERROR(__xludf.DUMMYFUNCTION("""COMPUTED_VALUE"""),46.0)</f>
        <v>46</v>
      </c>
      <c r="N140" s="136">
        <f>IFERROR(__xludf.DUMMYFUNCTION("""COMPUTED_VALUE"""),100.0)</f>
        <v>100</v>
      </c>
      <c r="O140" s="138">
        <f>IFERROR(__xludf.DUMMYFUNCTION("""COMPUTED_VALUE"""),5.0)</f>
        <v>5</v>
      </c>
      <c r="P140" s="138">
        <f>IFERROR(__xludf.DUMMYFUNCTION("""COMPUTED_VALUE"""),2.0)</f>
        <v>2</v>
      </c>
      <c r="Q140" s="138">
        <f>IFERROR(__xludf.DUMMYFUNCTION("""COMPUTED_VALUE"""),0.0)</f>
        <v>0</v>
      </c>
      <c r="R140" s="138">
        <f>IFERROR(__xludf.DUMMYFUNCTION("""COMPUTED_VALUE"""),4.0)</f>
        <v>4</v>
      </c>
      <c r="S140" s="139">
        <f>IFERROR(__xludf.DUMMYFUNCTION("""COMPUTED_VALUE"""),310.0)</f>
        <v>310</v>
      </c>
      <c r="T140" s="140">
        <f>IFERROR(__xludf.DUMMYFUNCTION("""COMPUTED_VALUE"""),103.0)</f>
        <v>103</v>
      </c>
      <c r="U140" s="136">
        <f>IFERROR(__xludf.DUMMYFUNCTION("""COMPUTED_VALUE"""),37.0)</f>
        <v>37</v>
      </c>
      <c r="V140" s="136">
        <f>IFERROR(__xludf.DUMMYFUNCTION("""COMPUTED_VALUE"""),85.0)</f>
        <v>85</v>
      </c>
      <c r="W140" s="136">
        <f>IFERROR(__xludf.DUMMYFUNCTION("""COMPUTED_VALUE"""),36.0)</f>
        <v>36</v>
      </c>
      <c r="X140" s="136">
        <f>IFERROR(__xludf.DUMMYFUNCTION("""COMPUTED_VALUE"""),384.925)</f>
        <v>384.925</v>
      </c>
      <c r="Y140" s="141">
        <f>IFERROR(__xludf.DUMMYFUNCTION("""COMPUTED_VALUE"""),48.49675)</f>
        <v>48.49675</v>
      </c>
      <c r="Z140" s="141">
        <f>IFERROR(__xludf.DUMMYFUNCTION("""COMPUTED_VALUE"""),2376.9)</f>
        <v>2376.9</v>
      </c>
    </row>
    <row r="141">
      <c r="A141" s="41" t="str">
        <f>IFERROR(__xludf.DUMMYFUNCTION("""COMPUTED_VALUE"""),"Veteran")</f>
        <v>Veteran</v>
      </c>
      <c r="B141" s="41" t="str">
        <f>IFERROR(__xludf.DUMMYFUNCTION("""COMPUTED_VALUE"""),"RSC002906")</f>
        <v>RSC002906</v>
      </c>
      <c r="C141" s="41" t="str">
        <f>IFERROR(__xludf.DUMMYFUNCTION("""COMPUTED_VALUE"""),"PackRL")</f>
        <v>PackRL</v>
      </c>
      <c r="D141" s="41" t="str">
        <f>IFERROR(__xludf.DUMMYFUNCTION("""COMPUTED_VALUE"""),"Avalanche")</f>
        <v>Avalanche</v>
      </c>
      <c r="E141" s="136">
        <f>IFERROR(__xludf.DUMMYFUNCTION("""COMPUTED_VALUE"""),40.0)</f>
        <v>40</v>
      </c>
      <c r="F141" s="136">
        <f>IFERROR(__xludf.DUMMYFUNCTION("""COMPUTED_VALUE"""),24.0)</f>
        <v>24</v>
      </c>
      <c r="G141" s="136">
        <f>IFERROR(__xludf.DUMMYFUNCTION("""COMPUTED_VALUE"""),16.0)</f>
        <v>16</v>
      </c>
      <c r="H141" s="137">
        <f>IFERROR(__xludf.DUMMYFUNCTION("""COMPUTED_VALUE"""),0.6)</f>
        <v>0.6</v>
      </c>
      <c r="I141" s="136">
        <f>IFERROR(__xludf.DUMMYFUNCTION("""COMPUTED_VALUE"""),6.0)</f>
        <v>6</v>
      </c>
      <c r="J141" s="136">
        <f>IFERROR(__xludf.DUMMYFUNCTION("""COMPUTED_VALUE"""),15994.0)</f>
        <v>15994</v>
      </c>
      <c r="K141" s="136">
        <f>IFERROR(__xludf.DUMMYFUNCTION("""COMPUTED_VALUE"""),33.0)</f>
        <v>33</v>
      </c>
      <c r="L141" s="136">
        <f>IFERROR(__xludf.DUMMYFUNCTION("""COMPUTED_VALUE"""),26.0)</f>
        <v>26</v>
      </c>
      <c r="M141" s="136">
        <f>IFERROR(__xludf.DUMMYFUNCTION("""COMPUTED_VALUE"""),57.0)</f>
        <v>57</v>
      </c>
      <c r="N141" s="136">
        <f>IFERROR(__xludf.DUMMYFUNCTION("""COMPUTED_VALUE"""),121.0)</f>
        <v>121</v>
      </c>
      <c r="O141" s="138">
        <f>IFERROR(__xludf.DUMMYFUNCTION("""COMPUTED_VALUE"""),5.0)</f>
        <v>5</v>
      </c>
      <c r="P141" s="138">
        <f>IFERROR(__xludf.DUMMYFUNCTION("""COMPUTED_VALUE"""),1.0)</f>
        <v>1</v>
      </c>
      <c r="Q141" s="138">
        <f>IFERROR(__xludf.DUMMYFUNCTION("""COMPUTED_VALUE"""),0.0)</f>
        <v>0</v>
      </c>
      <c r="R141" s="138">
        <f>IFERROR(__xludf.DUMMYFUNCTION("""COMPUTED_VALUE"""),7.0)</f>
        <v>7</v>
      </c>
      <c r="S141" s="139">
        <f>IFERROR(__xludf.DUMMYFUNCTION("""COMPUTED_VALUE"""),324.0)</f>
        <v>324</v>
      </c>
      <c r="T141" s="140">
        <f>IFERROR(__xludf.DUMMYFUNCTION("""COMPUTED_VALUE"""),89.0)</f>
        <v>89</v>
      </c>
      <c r="U141" s="136">
        <f>IFERROR(__xludf.DUMMYFUNCTION("""COMPUTED_VALUE"""),30.0)</f>
        <v>30</v>
      </c>
      <c r="V141" s="136">
        <f>IFERROR(__xludf.DUMMYFUNCTION("""COMPUTED_VALUE"""),38.0)</f>
        <v>38</v>
      </c>
      <c r="W141" s="136">
        <f>IFERROR(__xludf.DUMMYFUNCTION("""COMPUTED_VALUE"""),33.0)</f>
        <v>33</v>
      </c>
      <c r="X141" s="136">
        <f>IFERROR(__xludf.DUMMYFUNCTION("""COMPUTED_VALUE"""),413.4)</f>
        <v>413.4</v>
      </c>
      <c r="Y141" s="141">
        <f>IFERROR(__xludf.DUMMYFUNCTION("""COMPUTED_VALUE"""),51.52225000000001)</f>
        <v>51.52225</v>
      </c>
      <c r="Z141" s="141">
        <f>IFERROR(__xludf.DUMMYFUNCTION("""COMPUTED_VALUE"""),2544.7)</f>
        <v>2544.7</v>
      </c>
    </row>
    <row r="142">
      <c r="A142" s="41" t="str">
        <f>IFERROR(__xludf.DUMMYFUNCTION("""COMPUTED_VALUE"""),"Challenger")</f>
        <v>Challenger</v>
      </c>
      <c r="B142" s="41" t="str">
        <f>IFERROR(__xludf.DUMMYFUNCTION("""COMPUTED_VALUE"""),"RSC002911")</f>
        <v>RSC002911</v>
      </c>
      <c r="C142" s="41" t="str">
        <f>IFERROR(__xludf.DUMMYFUNCTION("""COMPUTED_VALUE"""),"Alextross")</f>
        <v>Alextross</v>
      </c>
      <c r="D142" s="41" t="str">
        <f>IFERROR(__xludf.DUMMYFUNCTION("""COMPUTED_VALUE"""),"Meat Lovers")</f>
        <v>Meat Lovers</v>
      </c>
      <c r="E142" s="136">
        <f>IFERROR(__xludf.DUMMYFUNCTION("""COMPUTED_VALUE"""),1.0)</f>
        <v>1</v>
      </c>
      <c r="F142" s="136">
        <f>IFERROR(__xludf.DUMMYFUNCTION("""COMPUTED_VALUE"""),0.0)</f>
        <v>0</v>
      </c>
      <c r="G142" s="136">
        <f>IFERROR(__xludf.DUMMYFUNCTION("""COMPUTED_VALUE"""),1.0)</f>
        <v>1</v>
      </c>
      <c r="H142" s="137">
        <f>IFERROR(__xludf.DUMMYFUNCTION("""COMPUTED_VALUE"""),0.0)</f>
        <v>0</v>
      </c>
      <c r="I142" s="136">
        <f>IFERROR(__xludf.DUMMYFUNCTION("""COMPUTED_VALUE"""),0.0)</f>
        <v>0</v>
      </c>
      <c r="J142" s="136">
        <f>IFERROR(__xludf.DUMMYFUNCTION("""COMPUTED_VALUE"""),532.0)</f>
        <v>532</v>
      </c>
      <c r="K142" s="136">
        <f>IFERROR(__xludf.DUMMYFUNCTION("""COMPUTED_VALUE"""),1.0)</f>
        <v>1</v>
      </c>
      <c r="L142" s="136">
        <f>IFERROR(__xludf.DUMMYFUNCTION("""COMPUTED_VALUE"""),0.0)</f>
        <v>0</v>
      </c>
      <c r="M142" s="136">
        <f>IFERROR(__xludf.DUMMYFUNCTION("""COMPUTED_VALUE"""),4.0)</f>
        <v>4</v>
      </c>
      <c r="N142" s="136">
        <f>IFERROR(__xludf.DUMMYFUNCTION("""COMPUTED_VALUE"""),3.0)</f>
        <v>3</v>
      </c>
      <c r="O142" s="138">
        <f>IFERROR(__xludf.DUMMYFUNCTION("""COMPUTED_VALUE"""),0.0)</f>
        <v>0</v>
      </c>
      <c r="P142" s="138">
        <f>IFERROR(__xludf.DUMMYFUNCTION("""COMPUTED_VALUE"""),0.0)</f>
        <v>0</v>
      </c>
      <c r="Q142" s="138">
        <f>IFERROR(__xludf.DUMMYFUNCTION("""COMPUTED_VALUE"""),0.0)</f>
        <v>0</v>
      </c>
      <c r="R142" s="138">
        <f>IFERROR(__xludf.DUMMYFUNCTION("""COMPUTED_VALUE"""),1.0)</f>
        <v>1</v>
      </c>
      <c r="S142" s="139">
        <f>IFERROR(__xludf.DUMMYFUNCTION("""COMPUTED_VALUE"""),14.0)</f>
        <v>14</v>
      </c>
      <c r="T142" s="140">
        <f>IFERROR(__xludf.DUMMYFUNCTION("""COMPUTED_VALUE"""),4.0)</f>
        <v>4</v>
      </c>
      <c r="U142" s="136">
        <f>IFERROR(__xludf.DUMMYFUNCTION("""COMPUTED_VALUE"""),0.0)</f>
        <v>0</v>
      </c>
      <c r="V142" s="136">
        <f>IFERROR(__xludf.DUMMYFUNCTION("""COMPUTED_VALUE"""),0.0)</f>
        <v>0</v>
      </c>
      <c r="W142" s="136">
        <f>IFERROR(__xludf.DUMMYFUNCTION("""COMPUTED_VALUE"""),1.0)</f>
        <v>1</v>
      </c>
      <c r="X142" s="136"/>
      <c r="Y142" s="41"/>
      <c r="Z142" s="41"/>
    </row>
    <row r="143">
      <c r="A143" s="41" t="str">
        <f>IFERROR(__xludf.DUMMYFUNCTION("""COMPUTED_VALUE"""),"Veteran")</f>
        <v>Veteran</v>
      </c>
      <c r="B143" s="41" t="str">
        <f>IFERROR(__xludf.DUMMYFUNCTION("""COMPUTED_VALUE"""),"RSC002930")</f>
        <v>RSC002930</v>
      </c>
      <c r="C143" s="41" t="str">
        <f>IFERROR(__xludf.DUMMYFUNCTION("""COMPUTED_VALUE"""),"voakes")</f>
        <v>voakes</v>
      </c>
      <c r="D143" s="41" t="str">
        <f>IFERROR(__xludf.DUMMYFUNCTION("""COMPUTED_VALUE"""),"Shadow Tails
Peppermint
Avalanche")</f>
        <v>Shadow Tails
Peppermint
Avalanche</v>
      </c>
      <c r="E143" s="136">
        <f>IFERROR(__xludf.DUMMYFUNCTION("""COMPUTED_VALUE"""),54.0)</f>
        <v>54</v>
      </c>
      <c r="F143" s="136">
        <f>IFERROR(__xludf.DUMMYFUNCTION("""COMPUTED_VALUE"""),25.0)</f>
        <v>25</v>
      </c>
      <c r="G143" s="136">
        <f>IFERROR(__xludf.DUMMYFUNCTION("""COMPUTED_VALUE"""),29.0)</f>
        <v>29</v>
      </c>
      <c r="H143" s="137">
        <f>IFERROR(__xludf.DUMMYFUNCTION("""COMPUTED_VALUE"""),0.46296296296296297)</f>
        <v>0.462962963</v>
      </c>
      <c r="I143" s="136">
        <f>IFERROR(__xludf.DUMMYFUNCTION("""COMPUTED_VALUE"""),8.0)</f>
        <v>8</v>
      </c>
      <c r="J143" s="136">
        <f>IFERROR(__xludf.DUMMYFUNCTION("""COMPUTED_VALUE"""),18798.0)</f>
        <v>18798</v>
      </c>
      <c r="K143" s="136">
        <f>IFERROR(__xludf.DUMMYFUNCTION("""COMPUTED_VALUE"""),43.0)</f>
        <v>43</v>
      </c>
      <c r="L143" s="136">
        <f>IFERROR(__xludf.DUMMYFUNCTION("""COMPUTED_VALUE"""),25.0)</f>
        <v>25</v>
      </c>
      <c r="M143" s="136">
        <f>IFERROR(__xludf.DUMMYFUNCTION("""COMPUTED_VALUE"""),76.0)</f>
        <v>76</v>
      </c>
      <c r="N143" s="136">
        <f>IFERROR(__xludf.DUMMYFUNCTION("""COMPUTED_VALUE"""),137.0)</f>
        <v>137</v>
      </c>
      <c r="O143" s="138">
        <f>IFERROR(__xludf.DUMMYFUNCTION("""COMPUTED_VALUE"""),6.0)</f>
        <v>6</v>
      </c>
      <c r="P143" s="138">
        <f>IFERROR(__xludf.DUMMYFUNCTION("""COMPUTED_VALUE"""),5.0)</f>
        <v>5</v>
      </c>
      <c r="Q143" s="138">
        <f>IFERROR(__xludf.DUMMYFUNCTION("""COMPUTED_VALUE"""),1.0)</f>
        <v>1</v>
      </c>
      <c r="R143" s="138">
        <f>IFERROR(__xludf.DUMMYFUNCTION("""COMPUTED_VALUE"""),8.0)</f>
        <v>8</v>
      </c>
      <c r="S143" s="139">
        <f>IFERROR(__xludf.DUMMYFUNCTION("""COMPUTED_VALUE"""),436.0)</f>
        <v>436</v>
      </c>
      <c r="T143" s="140">
        <f>IFERROR(__xludf.DUMMYFUNCTION("""COMPUTED_VALUE"""),130.0)</f>
        <v>130</v>
      </c>
      <c r="U143" s="136">
        <f>IFERROR(__xludf.DUMMYFUNCTION("""COMPUTED_VALUE"""),42.0)</f>
        <v>42</v>
      </c>
      <c r="V143" s="136">
        <f>IFERROR(__xludf.DUMMYFUNCTION("""COMPUTED_VALUE"""),51.0)</f>
        <v>51</v>
      </c>
      <c r="W143" s="136">
        <f>IFERROR(__xludf.DUMMYFUNCTION("""COMPUTED_VALUE"""),74.0)</f>
        <v>74</v>
      </c>
      <c r="X143" s="136">
        <f>IFERROR(__xludf.DUMMYFUNCTION("""COMPUTED_VALUE"""),385.962962962963)</f>
        <v>385.962963</v>
      </c>
      <c r="Y143" s="141">
        <f>IFERROR(__xludf.DUMMYFUNCTION("""COMPUTED_VALUE"""),51.72648148148148)</f>
        <v>51.72648148</v>
      </c>
      <c r="Z143" s="141">
        <f>IFERROR(__xludf.DUMMYFUNCTION("""COMPUTED_VALUE"""),2349.6481481481483)</f>
        <v>2349.648148</v>
      </c>
    </row>
    <row r="144">
      <c r="A144" s="41" t="str">
        <f>IFERROR(__xludf.DUMMYFUNCTION("""COMPUTED_VALUE"""),"Rival")</f>
        <v>Rival</v>
      </c>
      <c r="B144" s="41" t="str">
        <f>IFERROR(__xludf.DUMMYFUNCTION("""COMPUTED_VALUE"""),"RSC002931")</f>
        <v>RSC002931</v>
      </c>
      <c r="C144" s="41" t="str">
        <f>IFERROR(__xludf.DUMMYFUNCTION("""COMPUTED_VALUE"""),"Reeky")</f>
        <v>Reeky</v>
      </c>
      <c r="D144" s="41" t="str">
        <f>IFERROR(__xludf.DUMMYFUNCTION("""COMPUTED_VALUE"""),"Mining Legion
Tax Evaders")</f>
        <v>Mining Legion
Tax Evaders</v>
      </c>
      <c r="E144" s="136">
        <f>IFERROR(__xludf.DUMMYFUNCTION("""COMPUTED_VALUE"""),23.0)</f>
        <v>23</v>
      </c>
      <c r="F144" s="136">
        <f>IFERROR(__xludf.DUMMYFUNCTION("""COMPUTED_VALUE"""),13.0)</f>
        <v>13</v>
      </c>
      <c r="G144" s="136">
        <f>IFERROR(__xludf.DUMMYFUNCTION("""COMPUTED_VALUE"""),10.0)</f>
        <v>10</v>
      </c>
      <c r="H144" s="137">
        <f>IFERROR(__xludf.DUMMYFUNCTION("""COMPUTED_VALUE"""),0.5652173913043478)</f>
        <v>0.5652173913</v>
      </c>
      <c r="I144" s="136">
        <f>IFERROR(__xludf.DUMMYFUNCTION("""COMPUTED_VALUE"""),1.0)</f>
        <v>1</v>
      </c>
      <c r="J144" s="136">
        <f>IFERROR(__xludf.DUMMYFUNCTION("""COMPUTED_VALUE"""),7028.0)</f>
        <v>7028</v>
      </c>
      <c r="K144" s="136">
        <f>IFERROR(__xludf.DUMMYFUNCTION("""COMPUTED_VALUE"""),17.0)</f>
        <v>17</v>
      </c>
      <c r="L144" s="136">
        <f>IFERROR(__xludf.DUMMYFUNCTION("""COMPUTED_VALUE"""),14.0)</f>
        <v>14</v>
      </c>
      <c r="M144" s="136">
        <f>IFERROR(__xludf.DUMMYFUNCTION("""COMPUTED_VALUE"""),17.0)</f>
        <v>17</v>
      </c>
      <c r="N144" s="136">
        <f>IFERROR(__xludf.DUMMYFUNCTION("""COMPUTED_VALUE"""),43.0)</f>
        <v>43</v>
      </c>
      <c r="O144" s="138">
        <f>IFERROR(__xludf.DUMMYFUNCTION("""COMPUTED_VALUE"""),5.0)</f>
        <v>5</v>
      </c>
      <c r="P144" s="138">
        <f>IFERROR(__xludf.DUMMYFUNCTION("""COMPUTED_VALUE"""),0.0)</f>
        <v>0</v>
      </c>
      <c r="Q144" s="138">
        <f>IFERROR(__xludf.DUMMYFUNCTION("""COMPUTED_VALUE"""),1.0)</f>
        <v>1</v>
      </c>
      <c r="R144" s="138">
        <f>IFERROR(__xludf.DUMMYFUNCTION("""COMPUTED_VALUE"""),0.0)</f>
        <v>0</v>
      </c>
      <c r="S144" s="139">
        <f>IFERROR(__xludf.DUMMYFUNCTION("""COMPUTED_VALUE"""),150.0)</f>
        <v>150</v>
      </c>
      <c r="T144" s="140">
        <f>IFERROR(__xludf.DUMMYFUNCTION("""COMPUTED_VALUE"""),50.0)</f>
        <v>50</v>
      </c>
      <c r="U144" s="136">
        <f>IFERROR(__xludf.DUMMYFUNCTION("""COMPUTED_VALUE"""),10.0)</f>
        <v>10</v>
      </c>
      <c r="V144" s="136">
        <f>IFERROR(__xludf.DUMMYFUNCTION("""COMPUTED_VALUE"""),30.0)</f>
        <v>30</v>
      </c>
      <c r="W144" s="136">
        <f>IFERROR(__xludf.DUMMYFUNCTION("""COMPUTED_VALUE"""),17.0)</f>
        <v>17</v>
      </c>
      <c r="X144" s="136">
        <f>IFERROR(__xludf.DUMMYFUNCTION("""COMPUTED_VALUE"""),323.69565217391306)</f>
        <v>323.6956522</v>
      </c>
      <c r="Y144" s="141">
        <f>IFERROR(__xludf.DUMMYFUNCTION("""COMPUTED_VALUE"""),53.206521739130444)</f>
        <v>53.20652174</v>
      </c>
      <c r="Z144" s="141">
        <f>IFERROR(__xludf.DUMMYFUNCTION("""COMPUTED_VALUE"""),1965.9130434782608)</f>
        <v>1965.913043</v>
      </c>
    </row>
    <row r="145">
      <c r="A145" s="41" t="str">
        <f>IFERROR(__xludf.DUMMYFUNCTION("""COMPUTED_VALUE"""),"Veteran")</f>
        <v>Veteran</v>
      </c>
      <c r="B145" s="41" t="str">
        <f>IFERROR(__xludf.DUMMYFUNCTION("""COMPUTED_VALUE"""),"RSC002937")</f>
        <v>RSC002937</v>
      </c>
      <c r="C145" s="41" t="str">
        <f>IFERROR(__xludf.DUMMYFUNCTION("""COMPUTED_VALUE"""),"SirTommyNoble")</f>
        <v>SirTommyNoble</v>
      </c>
      <c r="D145" s="41" t="str">
        <f>IFERROR(__xludf.DUMMYFUNCTION("""COMPUTED_VALUE"""),"Peppermint
Shadow Tails")</f>
        <v>Peppermint
Shadow Tails</v>
      </c>
      <c r="E145" s="136">
        <f>IFERROR(__xludf.DUMMYFUNCTION("""COMPUTED_VALUE"""),50.0)</f>
        <v>50</v>
      </c>
      <c r="F145" s="136">
        <f>IFERROR(__xludf.DUMMYFUNCTION("""COMPUTED_VALUE"""),19.0)</f>
        <v>19</v>
      </c>
      <c r="G145" s="136">
        <f>IFERROR(__xludf.DUMMYFUNCTION("""COMPUTED_VALUE"""),31.0)</f>
        <v>31</v>
      </c>
      <c r="H145" s="137">
        <f>IFERROR(__xludf.DUMMYFUNCTION("""COMPUTED_VALUE"""),0.38)</f>
        <v>0.38</v>
      </c>
      <c r="I145" s="136">
        <f>IFERROR(__xludf.DUMMYFUNCTION("""COMPUTED_VALUE"""),7.0)</f>
        <v>7</v>
      </c>
      <c r="J145" s="136">
        <f>IFERROR(__xludf.DUMMYFUNCTION("""COMPUTED_VALUE"""),19115.0)</f>
        <v>19115</v>
      </c>
      <c r="K145" s="136">
        <f>IFERROR(__xludf.DUMMYFUNCTION("""COMPUTED_VALUE"""),45.0)</f>
        <v>45</v>
      </c>
      <c r="L145" s="136">
        <f>IFERROR(__xludf.DUMMYFUNCTION("""COMPUTED_VALUE"""),24.0)</f>
        <v>24</v>
      </c>
      <c r="M145" s="136">
        <f>IFERROR(__xludf.DUMMYFUNCTION("""COMPUTED_VALUE"""),76.0)</f>
        <v>76</v>
      </c>
      <c r="N145" s="136">
        <f>IFERROR(__xludf.DUMMYFUNCTION("""COMPUTED_VALUE"""),162.0)</f>
        <v>162</v>
      </c>
      <c r="O145" s="138">
        <f>IFERROR(__xludf.DUMMYFUNCTION("""COMPUTED_VALUE"""),9.0)</f>
        <v>9</v>
      </c>
      <c r="P145" s="138">
        <f>IFERROR(__xludf.DUMMYFUNCTION("""COMPUTED_VALUE"""),2.0)</f>
        <v>2</v>
      </c>
      <c r="Q145" s="138">
        <f>IFERROR(__xludf.DUMMYFUNCTION("""COMPUTED_VALUE"""),0.0)</f>
        <v>0</v>
      </c>
      <c r="R145" s="138">
        <f>IFERROR(__xludf.DUMMYFUNCTION("""COMPUTED_VALUE"""),7.0)</f>
        <v>7</v>
      </c>
      <c r="S145" s="139">
        <f>IFERROR(__xludf.DUMMYFUNCTION("""COMPUTED_VALUE"""),416.0)</f>
        <v>416</v>
      </c>
      <c r="T145" s="140">
        <f>IFERROR(__xludf.DUMMYFUNCTION("""COMPUTED_VALUE"""),145.0)</f>
        <v>145</v>
      </c>
      <c r="U145" s="136">
        <f>IFERROR(__xludf.DUMMYFUNCTION("""COMPUTED_VALUE"""),40.0)</f>
        <v>40</v>
      </c>
      <c r="V145" s="136">
        <f>IFERROR(__xludf.DUMMYFUNCTION("""COMPUTED_VALUE"""),52.0)</f>
        <v>52</v>
      </c>
      <c r="W145" s="136">
        <f>IFERROR(__xludf.DUMMYFUNCTION("""COMPUTED_VALUE"""),45.0)</f>
        <v>45</v>
      </c>
      <c r="X145" s="136">
        <f>IFERROR(__xludf.DUMMYFUNCTION("""COMPUTED_VALUE"""),433.16)</f>
        <v>433.16</v>
      </c>
      <c r="Y145" s="141">
        <f>IFERROR(__xludf.DUMMYFUNCTION("""COMPUTED_VALUE"""),48.6658)</f>
        <v>48.6658</v>
      </c>
      <c r="Z145" s="141">
        <f>IFERROR(__xludf.DUMMYFUNCTION("""COMPUTED_VALUE"""),2560.92)</f>
        <v>2560.92</v>
      </c>
    </row>
    <row r="146">
      <c r="A146" s="41" t="str">
        <f>IFERROR(__xludf.DUMMYFUNCTION("""COMPUTED_VALUE"""),"Rival")</f>
        <v>Rival</v>
      </c>
      <c r="B146" s="41" t="str">
        <f>IFERROR(__xludf.DUMMYFUNCTION("""COMPUTED_VALUE"""),"RSC002960")</f>
        <v>RSC002960</v>
      </c>
      <c r="C146" s="41" t="str">
        <f>IFERROR(__xludf.DUMMYFUNCTION("""COMPUTED_VALUE"""),"Shrek Is The Best Anime")</f>
        <v>Shrek Is The Best Anime</v>
      </c>
      <c r="D146" s="41" t="str">
        <f>IFERROR(__xludf.DUMMYFUNCTION("""COMPUTED_VALUE"""),"Centuriones")</f>
        <v>Centuriones</v>
      </c>
      <c r="E146" s="136">
        <f>IFERROR(__xludf.DUMMYFUNCTION("""COMPUTED_VALUE"""),53.0)</f>
        <v>53</v>
      </c>
      <c r="F146" s="136">
        <f>IFERROR(__xludf.DUMMYFUNCTION("""COMPUTED_VALUE"""),34.0)</f>
        <v>34</v>
      </c>
      <c r="G146" s="136">
        <f>IFERROR(__xludf.DUMMYFUNCTION("""COMPUTED_VALUE"""),19.0)</f>
        <v>19</v>
      </c>
      <c r="H146" s="137">
        <f>IFERROR(__xludf.DUMMYFUNCTION("""COMPUTED_VALUE"""),0.6415094339622641)</f>
        <v>0.641509434</v>
      </c>
      <c r="I146" s="136">
        <f>IFERROR(__xludf.DUMMYFUNCTION("""COMPUTED_VALUE"""),7.0)</f>
        <v>7</v>
      </c>
      <c r="J146" s="136">
        <f>IFERROR(__xludf.DUMMYFUNCTION("""COMPUTED_VALUE"""),17882.0)</f>
        <v>17882</v>
      </c>
      <c r="K146" s="136">
        <f>IFERROR(__xludf.DUMMYFUNCTION("""COMPUTED_VALUE"""),36.0)</f>
        <v>36</v>
      </c>
      <c r="L146" s="136">
        <f>IFERROR(__xludf.DUMMYFUNCTION("""COMPUTED_VALUE"""),37.0)</f>
        <v>37</v>
      </c>
      <c r="M146" s="136">
        <f>IFERROR(__xludf.DUMMYFUNCTION("""COMPUTED_VALUE"""),64.0)</f>
        <v>64</v>
      </c>
      <c r="N146" s="136">
        <f>IFERROR(__xludf.DUMMYFUNCTION("""COMPUTED_VALUE"""),110.0)</f>
        <v>110</v>
      </c>
      <c r="O146" s="138">
        <f>IFERROR(__xludf.DUMMYFUNCTION("""COMPUTED_VALUE"""),6.0)</f>
        <v>6</v>
      </c>
      <c r="P146" s="138">
        <f>IFERROR(__xludf.DUMMYFUNCTION("""COMPUTED_VALUE"""),0.0)</f>
        <v>0</v>
      </c>
      <c r="Q146" s="138">
        <f>IFERROR(__xludf.DUMMYFUNCTION("""COMPUTED_VALUE"""),1.0)</f>
        <v>1</v>
      </c>
      <c r="R146" s="138">
        <f>IFERROR(__xludf.DUMMYFUNCTION("""COMPUTED_VALUE"""),8.0)</f>
        <v>8</v>
      </c>
      <c r="S146" s="139">
        <f>IFERROR(__xludf.DUMMYFUNCTION("""COMPUTED_VALUE"""),363.0)</f>
        <v>363</v>
      </c>
      <c r="T146" s="140">
        <f>IFERROR(__xludf.DUMMYFUNCTION("""COMPUTED_VALUE"""),94.0)</f>
        <v>94</v>
      </c>
      <c r="U146" s="136">
        <f>IFERROR(__xludf.DUMMYFUNCTION("""COMPUTED_VALUE"""),26.0)</f>
        <v>26</v>
      </c>
      <c r="V146" s="136">
        <f>IFERROR(__xludf.DUMMYFUNCTION("""COMPUTED_VALUE"""),39.0)</f>
        <v>39</v>
      </c>
      <c r="W146" s="136">
        <f>IFERROR(__xludf.DUMMYFUNCTION("""COMPUTED_VALUE"""),61.0)</f>
        <v>61</v>
      </c>
      <c r="X146" s="136">
        <f>IFERROR(__xludf.DUMMYFUNCTION("""COMPUTED_VALUE"""),332.8679245283019)</f>
        <v>332.8679245</v>
      </c>
      <c r="Y146" s="141">
        <f>IFERROR(__xludf.DUMMYFUNCTION("""COMPUTED_VALUE"""),50.31792452830189)</f>
        <v>50.31792453</v>
      </c>
      <c r="Z146" s="141">
        <f>IFERROR(__xludf.DUMMYFUNCTION("""COMPUTED_VALUE"""),2021.2830188679245)</f>
        <v>2021.283019</v>
      </c>
    </row>
    <row r="147">
      <c r="A147" s="41" t="str">
        <f>IFERROR(__xludf.DUMMYFUNCTION("""COMPUTED_VALUE"""),"Rival")</f>
        <v>Rival</v>
      </c>
      <c r="B147" s="41" t="str">
        <f>IFERROR(__xludf.DUMMYFUNCTION("""COMPUTED_VALUE"""),"RSC002982")</f>
        <v>RSC002982</v>
      </c>
      <c r="C147" s="41" t="str">
        <f>IFERROR(__xludf.DUMMYFUNCTION("""COMPUTED_VALUE"""),"AyoChil1")</f>
        <v>AyoChil1</v>
      </c>
      <c r="D147" s="41" t="str">
        <f>IFERROR(__xludf.DUMMYFUNCTION("""COMPUTED_VALUE"""),"Barracudas")</f>
        <v>Barracudas</v>
      </c>
      <c r="E147" s="136">
        <f>IFERROR(__xludf.DUMMYFUNCTION("""COMPUTED_VALUE"""),52.0)</f>
        <v>52</v>
      </c>
      <c r="F147" s="136">
        <f>IFERROR(__xludf.DUMMYFUNCTION("""COMPUTED_VALUE"""),29.0)</f>
        <v>29</v>
      </c>
      <c r="G147" s="136">
        <f>IFERROR(__xludf.DUMMYFUNCTION("""COMPUTED_VALUE"""),23.0)</f>
        <v>23</v>
      </c>
      <c r="H147" s="137">
        <f>IFERROR(__xludf.DUMMYFUNCTION("""COMPUTED_VALUE"""),0.5576923076923077)</f>
        <v>0.5576923077</v>
      </c>
      <c r="I147" s="136">
        <f>IFERROR(__xludf.DUMMYFUNCTION("""COMPUTED_VALUE"""),5.0)</f>
        <v>5</v>
      </c>
      <c r="J147" s="136">
        <f>IFERROR(__xludf.DUMMYFUNCTION("""COMPUTED_VALUE"""),17769.0)</f>
        <v>17769</v>
      </c>
      <c r="K147" s="136">
        <f>IFERROR(__xludf.DUMMYFUNCTION("""COMPUTED_VALUE"""),33.0)</f>
        <v>33</v>
      </c>
      <c r="L147" s="136">
        <f>IFERROR(__xludf.DUMMYFUNCTION("""COMPUTED_VALUE"""),30.0)</f>
        <v>30</v>
      </c>
      <c r="M147" s="136">
        <f>IFERROR(__xludf.DUMMYFUNCTION("""COMPUTED_VALUE"""),72.0)</f>
        <v>72</v>
      </c>
      <c r="N147" s="136">
        <f>IFERROR(__xludf.DUMMYFUNCTION("""COMPUTED_VALUE"""),127.0)</f>
        <v>127</v>
      </c>
      <c r="O147" s="138">
        <f>IFERROR(__xludf.DUMMYFUNCTION("""COMPUTED_VALUE"""),10.0)</f>
        <v>10</v>
      </c>
      <c r="P147" s="138">
        <f>IFERROR(__xludf.DUMMYFUNCTION("""COMPUTED_VALUE"""),1.0)</f>
        <v>1</v>
      </c>
      <c r="Q147" s="138">
        <f>IFERROR(__xludf.DUMMYFUNCTION("""COMPUTED_VALUE"""),1.0)</f>
        <v>1</v>
      </c>
      <c r="R147" s="138">
        <f>IFERROR(__xludf.DUMMYFUNCTION("""COMPUTED_VALUE"""),11.0)</f>
        <v>11</v>
      </c>
      <c r="S147" s="139">
        <f>IFERROR(__xludf.DUMMYFUNCTION("""COMPUTED_VALUE"""),401.0)</f>
        <v>401</v>
      </c>
      <c r="T147" s="140">
        <f>IFERROR(__xludf.DUMMYFUNCTION("""COMPUTED_VALUE"""),115.0)</f>
        <v>115</v>
      </c>
      <c r="U147" s="136">
        <f>IFERROR(__xludf.DUMMYFUNCTION("""COMPUTED_VALUE"""),45.0)</f>
        <v>45</v>
      </c>
      <c r="V147" s="136">
        <f>IFERROR(__xludf.DUMMYFUNCTION("""COMPUTED_VALUE"""),40.0)</f>
        <v>40</v>
      </c>
      <c r="W147" s="136">
        <f>IFERROR(__xludf.DUMMYFUNCTION("""COMPUTED_VALUE"""),51.0)</f>
        <v>51</v>
      </c>
      <c r="X147" s="136">
        <f>IFERROR(__xludf.DUMMYFUNCTION("""COMPUTED_VALUE"""),384.46153846153845)</f>
        <v>384.4615385</v>
      </c>
      <c r="Y147" s="141">
        <f>IFERROR(__xludf.DUMMYFUNCTION("""COMPUTED_VALUE"""),51.136923076923075)</f>
        <v>51.13692308</v>
      </c>
      <c r="Z147" s="141">
        <f>IFERROR(__xludf.DUMMYFUNCTION("""COMPUTED_VALUE"""),2398.3846153846152)</f>
        <v>2398.384615</v>
      </c>
    </row>
    <row r="148">
      <c r="A148" s="41" t="str">
        <f>IFERROR(__xludf.DUMMYFUNCTION("""COMPUTED_VALUE"""),"Master")</f>
        <v>Master</v>
      </c>
      <c r="B148" s="41" t="str">
        <f>IFERROR(__xludf.DUMMYFUNCTION("""COMPUTED_VALUE"""),"RSC003008")</f>
        <v>RSC003008</v>
      </c>
      <c r="C148" s="41" t="str">
        <f>IFERROR(__xludf.DUMMYFUNCTION("""COMPUTED_VALUE"""),"GeneralZippy")</f>
        <v>GeneralZippy</v>
      </c>
      <c r="D148" s="41" t="str">
        <f>IFERROR(__xludf.DUMMYFUNCTION("""COMPUTED_VALUE"""),"Andromeda")</f>
        <v>Andromeda</v>
      </c>
      <c r="E148" s="136">
        <f>IFERROR(__xludf.DUMMYFUNCTION("""COMPUTED_VALUE"""),56.0)</f>
        <v>56</v>
      </c>
      <c r="F148" s="136">
        <f>IFERROR(__xludf.DUMMYFUNCTION("""COMPUTED_VALUE"""),35.0)</f>
        <v>35</v>
      </c>
      <c r="G148" s="136">
        <f>IFERROR(__xludf.DUMMYFUNCTION("""COMPUTED_VALUE"""),21.0)</f>
        <v>21</v>
      </c>
      <c r="H148" s="137">
        <f>IFERROR(__xludf.DUMMYFUNCTION("""COMPUTED_VALUE"""),0.625)</f>
        <v>0.625</v>
      </c>
      <c r="I148" s="136">
        <f>IFERROR(__xludf.DUMMYFUNCTION("""COMPUTED_VALUE"""),16.0)</f>
        <v>16</v>
      </c>
      <c r="J148" s="136">
        <f>IFERROR(__xludf.DUMMYFUNCTION("""COMPUTED_VALUE"""),20317.0)</f>
        <v>20317</v>
      </c>
      <c r="K148" s="136">
        <f>IFERROR(__xludf.DUMMYFUNCTION("""COMPUTED_VALUE"""),47.0)</f>
        <v>47</v>
      </c>
      <c r="L148" s="136">
        <f>IFERROR(__xludf.DUMMYFUNCTION("""COMPUTED_VALUE"""),28.0)</f>
        <v>28</v>
      </c>
      <c r="M148" s="136">
        <f>IFERROR(__xludf.DUMMYFUNCTION("""COMPUTED_VALUE"""),71.0)</f>
        <v>71</v>
      </c>
      <c r="N148" s="136">
        <f>IFERROR(__xludf.DUMMYFUNCTION("""COMPUTED_VALUE"""),165.0)</f>
        <v>165</v>
      </c>
      <c r="O148" s="138">
        <f>IFERROR(__xludf.DUMMYFUNCTION("""COMPUTED_VALUE"""),11.0)</f>
        <v>11</v>
      </c>
      <c r="P148" s="138">
        <f>IFERROR(__xludf.DUMMYFUNCTION("""COMPUTED_VALUE"""),5.0)</f>
        <v>5</v>
      </c>
      <c r="Q148" s="138">
        <f>IFERROR(__xludf.DUMMYFUNCTION("""COMPUTED_VALUE"""),1.0)</f>
        <v>1</v>
      </c>
      <c r="R148" s="138">
        <f>IFERROR(__xludf.DUMMYFUNCTION("""COMPUTED_VALUE"""),9.0)</f>
        <v>9</v>
      </c>
      <c r="S148" s="139">
        <f>IFERROR(__xludf.DUMMYFUNCTION("""COMPUTED_VALUE"""),396.0)</f>
        <v>396</v>
      </c>
      <c r="T148" s="140">
        <f>IFERROR(__xludf.DUMMYFUNCTION("""COMPUTED_VALUE"""),98.0)</f>
        <v>98</v>
      </c>
      <c r="U148" s="136">
        <f>IFERROR(__xludf.DUMMYFUNCTION("""COMPUTED_VALUE"""),37.0)</f>
        <v>37</v>
      </c>
      <c r="V148" s="136">
        <f>IFERROR(__xludf.DUMMYFUNCTION("""COMPUTED_VALUE"""),32.0)</f>
        <v>32</v>
      </c>
      <c r="W148" s="136">
        <f>IFERROR(__xludf.DUMMYFUNCTION("""COMPUTED_VALUE"""),61.0)</f>
        <v>61</v>
      </c>
      <c r="X148" s="136">
        <f>IFERROR(__xludf.DUMMYFUNCTION("""COMPUTED_VALUE"""),351.53846153846155)</f>
        <v>351.5384615</v>
      </c>
      <c r="Y148" s="141">
        <f>IFERROR(__xludf.DUMMYFUNCTION("""COMPUTED_VALUE"""),51.32999999999999)</f>
        <v>51.33</v>
      </c>
      <c r="Z148" s="141">
        <f>IFERROR(__xludf.DUMMYFUNCTION("""COMPUTED_VALUE"""),2174.2884615384614)</f>
        <v>2174.288462</v>
      </c>
    </row>
    <row r="149">
      <c r="A149" s="41" t="str">
        <f>IFERROR(__xludf.DUMMYFUNCTION("""COMPUTED_VALUE"""),"Rival")</f>
        <v>Rival</v>
      </c>
      <c r="B149" s="41" t="str">
        <f>IFERROR(__xludf.DUMMYFUNCTION("""COMPUTED_VALUE"""),"RSC003017")</f>
        <v>RSC003017</v>
      </c>
      <c r="C149" s="41" t="str">
        <f>IFERROR(__xludf.DUMMYFUNCTION("""COMPUTED_VALUE"""),"AlanShoreEsq")</f>
        <v>AlanShoreEsq</v>
      </c>
      <c r="D149" s="41" t="str">
        <f>IFERROR(__xludf.DUMMYFUNCTION("""COMPUTED_VALUE"""),"Heavy Metal
Samurai")</f>
        <v>Heavy Metal
Samurai</v>
      </c>
      <c r="E149" s="136">
        <f>IFERROR(__xludf.DUMMYFUNCTION("""COMPUTED_VALUE"""),7.0)</f>
        <v>7</v>
      </c>
      <c r="F149" s="136">
        <f>IFERROR(__xludf.DUMMYFUNCTION("""COMPUTED_VALUE"""),0.0)</f>
        <v>0</v>
      </c>
      <c r="G149" s="136">
        <f>IFERROR(__xludf.DUMMYFUNCTION("""COMPUTED_VALUE"""),7.0)</f>
        <v>7</v>
      </c>
      <c r="H149" s="137">
        <f>IFERROR(__xludf.DUMMYFUNCTION("""COMPUTED_VALUE"""),0.0)</f>
        <v>0</v>
      </c>
      <c r="I149" s="136">
        <f>IFERROR(__xludf.DUMMYFUNCTION("""COMPUTED_VALUE"""),0.0)</f>
        <v>0</v>
      </c>
      <c r="J149" s="136">
        <f>IFERROR(__xludf.DUMMYFUNCTION("""COMPUTED_VALUE"""),2294.0)</f>
        <v>2294</v>
      </c>
      <c r="K149" s="136">
        <f>IFERROR(__xludf.DUMMYFUNCTION("""COMPUTED_VALUE"""),2.0)</f>
        <v>2</v>
      </c>
      <c r="L149" s="136">
        <f>IFERROR(__xludf.DUMMYFUNCTION("""COMPUTED_VALUE"""),4.0)</f>
        <v>4</v>
      </c>
      <c r="M149" s="136">
        <f>IFERROR(__xludf.DUMMYFUNCTION("""COMPUTED_VALUE"""),11.0)</f>
        <v>11</v>
      </c>
      <c r="N149" s="136">
        <f>IFERROR(__xludf.DUMMYFUNCTION("""COMPUTED_VALUE"""),20.0)</f>
        <v>20</v>
      </c>
      <c r="O149" s="138">
        <f>IFERROR(__xludf.DUMMYFUNCTION("""COMPUTED_VALUE"""),2.0)</f>
        <v>2</v>
      </c>
      <c r="P149" s="138">
        <f>IFERROR(__xludf.DUMMYFUNCTION("""COMPUTED_VALUE"""),0.0)</f>
        <v>0</v>
      </c>
      <c r="Q149" s="138">
        <f>IFERROR(__xludf.DUMMYFUNCTION("""COMPUTED_VALUE"""),0.0)</f>
        <v>0</v>
      </c>
      <c r="R149" s="138">
        <f>IFERROR(__xludf.DUMMYFUNCTION("""COMPUTED_VALUE"""),1.0)</f>
        <v>1</v>
      </c>
      <c r="S149" s="139">
        <f>IFERROR(__xludf.DUMMYFUNCTION("""COMPUTED_VALUE"""),53.0)</f>
        <v>53</v>
      </c>
      <c r="T149" s="140">
        <f>IFERROR(__xludf.DUMMYFUNCTION("""COMPUTED_VALUE"""),24.0)</f>
        <v>24</v>
      </c>
      <c r="U149" s="136">
        <f>IFERROR(__xludf.DUMMYFUNCTION("""COMPUTED_VALUE"""),8.0)</f>
        <v>8</v>
      </c>
      <c r="V149" s="136">
        <f>IFERROR(__xludf.DUMMYFUNCTION("""COMPUTED_VALUE"""),7.0)</f>
        <v>7</v>
      </c>
      <c r="W149" s="136">
        <f>IFERROR(__xludf.DUMMYFUNCTION("""COMPUTED_VALUE"""),3.0)</f>
        <v>3</v>
      </c>
      <c r="X149" s="136">
        <f>IFERROR(__xludf.DUMMYFUNCTION("""COMPUTED_VALUE"""),355.42857142857144)</f>
        <v>355.4285714</v>
      </c>
      <c r="Y149" s="141">
        <f>IFERROR(__xludf.DUMMYFUNCTION("""COMPUTED_VALUE"""),50.894285714285715)</f>
        <v>50.89428571</v>
      </c>
      <c r="Z149" s="141">
        <f>IFERROR(__xludf.DUMMYFUNCTION("""COMPUTED_VALUE"""),2154.714285714286)</f>
        <v>2154.714286</v>
      </c>
    </row>
    <row r="150">
      <c r="A150" s="41" t="str">
        <f>IFERROR(__xludf.DUMMYFUNCTION("""COMPUTED_VALUE"""),"Elite")</f>
        <v>Elite</v>
      </c>
      <c r="B150" s="41" t="str">
        <f>IFERROR(__xludf.DUMMYFUNCTION("""COMPUTED_VALUE"""),"RSC003055")</f>
        <v>RSC003055</v>
      </c>
      <c r="C150" s="41" t="str">
        <f>IFERROR(__xludf.DUMMYFUNCTION("""COMPUTED_VALUE"""),"Lad")</f>
        <v>Lad</v>
      </c>
      <c r="D150" s="41" t="str">
        <f>IFERROR(__xludf.DUMMYFUNCTION("""COMPUTED_VALUE"""),"Ghastly Goombahs
Immortals")</f>
        <v>Ghastly Goombahs
Immortals</v>
      </c>
      <c r="E150" s="136">
        <f>IFERROR(__xludf.DUMMYFUNCTION("""COMPUTED_VALUE"""),12.0)</f>
        <v>12</v>
      </c>
      <c r="F150" s="136">
        <f>IFERROR(__xludf.DUMMYFUNCTION("""COMPUTED_VALUE"""),6.0)</f>
        <v>6</v>
      </c>
      <c r="G150" s="136">
        <f>IFERROR(__xludf.DUMMYFUNCTION("""COMPUTED_VALUE"""),6.0)</f>
        <v>6</v>
      </c>
      <c r="H150" s="137">
        <f>IFERROR(__xludf.DUMMYFUNCTION("""COMPUTED_VALUE"""),0.5)</f>
        <v>0.5</v>
      </c>
      <c r="I150" s="136">
        <f>IFERROR(__xludf.DUMMYFUNCTION("""COMPUTED_VALUE"""),1.0)</f>
        <v>1</v>
      </c>
      <c r="J150" s="136">
        <f>IFERROR(__xludf.DUMMYFUNCTION("""COMPUTED_VALUE"""),3646.0)</f>
        <v>3646</v>
      </c>
      <c r="K150" s="136">
        <f>IFERROR(__xludf.DUMMYFUNCTION("""COMPUTED_VALUE"""),8.0)</f>
        <v>8</v>
      </c>
      <c r="L150" s="136">
        <f>IFERROR(__xludf.DUMMYFUNCTION("""COMPUTED_VALUE"""),6.0)</f>
        <v>6</v>
      </c>
      <c r="M150" s="136">
        <f>IFERROR(__xludf.DUMMYFUNCTION("""COMPUTED_VALUE"""),13.0)</f>
        <v>13</v>
      </c>
      <c r="N150" s="136">
        <f>IFERROR(__xludf.DUMMYFUNCTION("""COMPUTED_VALUE"""),30.0)</f>
        <v>30</v>
      </c>
      <c r="O150" s="138">
        <f>IFERROR(__xludf.DUMMYFUNCTION("""COMPUTED_VALUE"""),1.0)</f>
        <v>1</v>
      </c>
      <c r="P150" s="138">
        <f>IFERROR(__xludf.DUMMYFUNCTION("""COMPUTED_VALUE"""),1.0)</f>
        <v>1</v>
      </c>
      <c r="Q150" s="138">
        <f>IFERROR(__xludf.DUMMYFUNCTION("""COMPUTED_VALUE"""),0.0)</f>
        <v>0</v>
      </c>
      <c r="R150" s="138">
        <f>IFERROR(__xludf.DUMMYFUNCTION("""COMPUTED_VALUE"""),1.0)</f>
        <v>1</v>
      </c>
      <c r="S150" s="139">
        <f>IFERROR(__xludf.DUMMYFUNCTION("""COMPUTED_VALUE"""),104.0)</f>
        <v>104</v>
      </c>
      <c r="T150" s="140">
        <f>IFERROR(__xludf.DUMMYFUNCTION("""COMPUTED_VALUE"""),26.0)</f>
        <v>26</v>
      </c>
      <c r="U150" s="136">
        <f>IFERROR(__xludf.DUMMYFUNCTION("""COMPUTED_VALUE"""),11.0)</f>
        <v>11</v>
      </c>
      <c r="V150" s="136">
        <f>IFERROR(__xludf.DUMMYFUNCTION("""COMPUTED_VALUE"""),14.0)</f>
        <v>14</v>
      </c>
      <c r="W150" s="136">
        <f>IFERROR(__xludf.DUMMYFUNCTION("""COMPUTED_VALUE"""),19.0)</f>
        <v>19</v>
      </c>
      <c r="X150" s="136">
        <f>IFERROR(__xludf.DUMMYFUNCTION("""COMPUTED_VALUE"""),341.75)</f>
        <v>341.75</v>
      </c>
      <c r="Y150" s="141">
        <f>IFERROR(__xludf.DUMMYFUNCTION("""COMPUTED_VALUE"""),47.69499999999999)</f>
        <v>47.695</v>
      </c>
      <c r="Z150" s="141">
        <f>IFERROR(__xludf.DUMMYFUNCTION("""COMPUTED_VALUE"""),2141.8333333333335)</f>
        <v>2141.833333</v>
      </c>
    </row>
    <row r="151">
      <c r="A151" s="41" t="str">
        <f>IFERROR(__xludf.DUMMYFUNCTION("""COMPUTED_VALUE"""),"Elite")</f>
        <v>Elite</v>
      </c>
      <c r="B151" s="41" t="str">
        <f>IFERROR(__xludf.DUMMYFUNCTION("""COMPUTED_VALUE"""),"RSC003082")</f>
        <v>RSC003082</v>
      </c>
      <c r="C151" s="41" t="str">
        <f>IFERROR(__xludf.DUMMYFUNCTION("""COMPUTED_VALUE"""),"Skulzy9")</f>
        <v>Skulzy9</v>
      </c>
      <c r="D151" s="41" t="str">
        <f>IFERROR(__xludf.DUMMYFUNCTION("""COMPUTED_VALUE"""),"Demons")</f>
        <v>Demons</v>
      </c>
      <c r="E151" s="136">
        <f>IFERROR(__xludf.DUMMYFUNCTION("""COMPUTED_VALUE"""),39.0)</f>
        <v>39</v>
      </c>
      <c r="F151" s="136">
        <f>IFERROR(__xludf.DUMMYFUNCTION("""COMPUTED_VALUE"""),19.0)</f>
        <v>19</v>
      </c>
      <c r="G151" s="136">
        <f>IFERROR(__xludf.DUMMYFUNCTION("""COMPUTED_VALUE"""),20.0)</f>
        <v>20</v>
      </c>
      <c r="H151" s="137">
        <f>IFERROR(__xludf.DUMMYFUNCTION("""COMPUTED_VALUE"""),0.48717948717948717)</f>
        <v>0.4871794872</v>
      </c>
      <c r="I151" s="136">
        <f>IFERROR(__xludf.DUMMYFUNCTION("""COMPUTED_VALUE"""),10.0)</f>
        <v>10</v>
      </c>
      <c r="J151" s="136">
        <f>IFERROR(__xludf.DUMMYFUNCTION("""COMPUTED_VALUE"""),15364.0)</f>
        <v>15364</v>
      </c>
      <c r="K151" s="136">
        <f>IFERROR(__xludf.DUMMYFUNCTION("""COMPUTED_VALUE"""),33.0)</f>
        <v>33</v>
      </c>
      <c r="L151" s="136">
        <f>IFERROR(__xludf.DUMMYFUNCTION("""COMPUTED_VALUE"""),24.0)</f>
        <v>24</v>
      </c>
      <c r="M151" s="136">
        <f>IFERROR(__xludf.DUMMYFUNCTION("""COMPUTED_VALUE"""),61.0)</f>
        <v>61</v>
      </c>
      <c r="N151" s="136">
        <f>IFERROR(__xludf.DUMMYFUNCTION("""COMPUTED_VALUE"""),96.0)</f>
        <v>96</v>
      </c>
      <c r="O151" s="138">
        <f>IFERROR(__xludf.DUMMYFUNCTION("""COMPUTED_VALUE"""),5.0)</f>
        <v>5</v>
      </c>
      <c r="P151" s="138">
        <f>IFERROR(__xludf.DUMMYFUNCTION("""COMPUTED_VALUE"""),3.0)</f>
        <v>3</v>
      </c>
      <c r="Q151" s="138">
        <f>IFERROR(__xludf.DUMMYFUNCTION("""COMPUTED_VALUE"""),1.0)</f>
        <v>1</v>
      </c>
      <c r="R151" s="138">
        <f>IFERROR(__xludf.DUMMYFUNCTION("""COMPUTED_VALUE"""),8.0)</f>
        <v>8</v>
      </c>
      <c r="S151" s="139">
        <f>IFERROR(__xludf.DUMMYFUNCTION("""COMPUTED_VALUE"""),313.0)</f>
        <v>313</v>
      </c>
      <c r="T151" s="140">
        <f>IFERROR(__xludf.DUMMYFUNCTION("""COMPUTED_VALUE"""),104.0)</f>
        <v>104</v>
      </c>
      <c r="U151" s="136">
        <f>IFERROR(__xludf.DUMMYFUNCTION("""COMPUTED_VALUE"""),40.0)</f>
        <v>40</v>
      </c>
      <c r="V151" s="136">
        <f>IFERROR(__xludf.DUMMYFUNCTION("""COMPUTED_VALUE"""),46.0)</f>
        <v>46</v>
      </c>
      <c r="W151" s="136">
        <f>IFERROR(__xludf.DUMMYFUNCTION("""COMPUTED_VALUE"""),43.0)</f>
        <v>43</v>
      </c>
      <c r="X151" s="136">
        <f>IFERROR(__xludf.DUMMYFUNCTION("""COMPUTED_VALUE"""),394.7692307692308)</f>
        <v>394.7692308</v>
      </c>
      <c r="Y151" s="141">
        <f>IFERROR(__xludf.DUMMYFUNCTION("""COMPUTED_VALUE"""),50.88538461538462)</f>
        <v>50.88538462</v>
      </c>
      <c r="Z151" s="141">
        <f>IFERROR(__xludf.DUMMYFUNCTION("""COMPUTED_VALUE"""),2363.897435897436)</f>
        <v>2363.897436</v>
      </c>
    </row>
    <row r="152">
      <c r="A152" s="41" t="str">
        <f>IFERROR(__xludf.DUMMYFUNCTION("""COMPUTED_VALUE"""),"Veteran")</f>
        <v>Veteran</v>
      </c>
      <c r="B152" s="41" t="str">
        <f>IFERROR(__xludf.DUMMYFUNCTION("""COMPUTED_VALUE"""),"RSC003104")</f>
        <v>RSC003104</v>
      </c>
      <c r="C152" s="41" t="str">
        <f>IFERROR(__xludf.DUMMYFUNCTION("""COMPUTED_VALUE"""),"nizz")</f>
        <v>nizz</v>
      </c>
      <c r="D152" s="41" t="str">
        <f>IFERROR(__xludf.DUMMYFUNCTION("""COMPUTED_VALUE"""),"Folks")</f>
        <v>Folks</v>
      </c>
      <c r="E152" s="136">
        <f>IFERROR(__xludf.DUMMYFUNCTION("""COMPUTED_VALUE"""),21.0)</f>
        <v>21</v>
      </c>
      <c r="F152" s="136">
        <f>IFERROR(__xludf.DUMMYFUNCTION("""COMPUTED_VALUE"""),11.0)</f>
        <v>11</v>
      </c>
      <c r="G152" s="136">
        <f>IFERROR(__xludf.DUMMYFUNCTION("""COMPUTED_VALUE"""),10.0)</f>
        <v>10</v>
      </c>
      <c r="H152" s="137">
        <f>IFERROR(__xludf.DUMMYFUNCTION("""COMPUTED_VALUE"""),0.5238095238095238)</f>
        <v>0.5238095238</v>
      </c>
      <c r="I152" s="136">
        <f>IFERROR(__xludf.DUMMYFUNCTION("""COMPUTED_VALUE"""),3.0)</f>
        <v>3</v>
      </c>
      <c r="J152" s="136">
        <f>IFERROR(__xludf.DUMMYFUNCTION("""COMPUTED_VALUE"""),7232.0)</f>
        <v>7232</v>
      </c>
      <c r="K152" s="136">
        <f>IFERROR(__xludf.DUMMYFUNCTION("""COMPUTED_VALUE"""),20.0)</f>
        <v>20</v>
      </c>
      <c r="L152" s="136">
        <f>IFERROR(__xludf.DUMMYFUNCTION("""COMPUTED_VALUE"""),12.0)</f>
        <v>12</v>
      </c>
      <c r="M152" s="136">
        <f>IFERROR(__xludf.DUMMYFUNCTION("""COMPUTED_VALUE"""),21.0)</f>
        <v>21</v>
      </c>
      <c r="N152" s="136">
        <f>IFERROR(__xludf.DUMMYFUNCTION("""COMPUTED_VALUE"""),62.0)</f>
        <v>62</v>
      </c>
      <c r="O152" s="138">
        <f>IFERROR(__xludf.DUMMYFUNCTION("""COMPUTED_VALUE"""),2.0)</f>
        <v>2</v>
      </c>
      <c r="P152" s="138">
        <f>IFERROR(__xludf.DUMMYFUNCTION("""COMPUTED_VALUE"""),1.0)</f>
        <v>1</v>
      </c>
      <c r="Q152" s="138">
        <f>IFERROR(__xludf.DUMMYFUNCTION("""COMPUTED_VALUE"""),0.0)</f>
        <v>0</v>
      </c>
      <c r="R152" s="138">
        <f>IFERROR(__xludf.DUMMYFUNCTION("""COMPUTED_VALUE"""),1.0)</f>
        <v>1</v>
      </c>
      <c r="S152" s="139">
        <f>IFERROR(__xludf.DUMMYFUNCTION("""COMPUTED_VALUE"""),179.0)</f>
        <v>179</v>
      </c>
      <c r="T152" s="140">
        <f>IFERROR(__xludf.DUMMYFUNCTION("""COMPUTED_VALUE"""),59.0)</f>
        <v>59</v>
      </c>
      <c r="U152" s="136">
        <f>IFERROR(__xludf.DUMMYFUNCTION("""COMPUTED_VALUE"""),19.0)</f>
        <v>19</v>
      </c>
      <c r="V152" s="136">
        <f>IFERROR(__xludf.DUMMYFUNCTION("""COMPUTED_VALUE"""),16.0)</f>
        <v>16</v>
      </c>
      <c r="W152" s="136">
        <f>IFERROR(__xludf.DUMMYFUNCTION("""COMPUTED_VALUE"""),23.0)</f>
        <v>23</v>
      </c>
      <c r="X152" s="136">
        <f>IFERROR(__xludf.DUMMYFUNCTION("""COMPUTED_VALUE"""),339.3809523809524)</f>
        <v>339.3809524</v>
      </c>
      <c r="Y152" s="141">
        <f>IFERROR(__xludf.DUMMYFUNCTION("""COMPUTED_VALUE"""),43.83333333333333)</f>
        <v>43.83333333</v>
      </c>
      <c r="Z152" s="141">
        <f>IFERROR(__xludf.DUMMYFUNCTION("""COMPUTED_VALUE"""),1949.4285714285713)</f>
        <v>1949.428571</v>
      </c>
    </row>
    <row r="153">
      <c r="A153" s="41" t="str">
        <f>IFERROR(__xludf.DUMMYFUNCTION("""COMPUTED_VALUE"""),"Challenger")</f>
        <v>Challenger</v>
      </c>
      <c r="B153" s="41" t="str">
        <f>IFERROR(__xludf.DUMMYFUNCTION("""COMPUTED_VALUE"""),"RSC003109")</f>
        <v>RSC003109</v>
      </c>
      <c r="C153" s="41" t="str">
        <f>IFERROR(__xludf.DUMMYFUNCTION("""COMPUTED_VALUE"""),"Kflip11")</f>
        <v>Kflip11</v>
      </c>
      <c r="D153" s="41" t="str">
        <f>IFERROR(__xludf.DUMMYFUNCTION("""COMPUTED_VALUE"""),"Stingrays")</f>
        <v>Stingrays</v>
      </c>
      <c r="E153" s="136">
        <f>IFERROR(__xludf.DUMMYFUNCTION("""COMPUTED_VALUE"""),55.0)</f>
        <v>55</v>
      </c>
      <c r="F153" s="136">
        <f>IFERROR(__xludf.DUMMYFUNCTION("""COMPUTED_VALUE"""),29.0)</f>
        <v>29</v>
      </c>
      <c r="G153" s="136">
        <f>IFERROR(__xludf.DUMMYFUNCTION("""COMPUTED_VALUE"""),26.0)</f>
        <v>26</v>
      </c>
      <c r="H153" s="137">
        <f>IFERROR(__xludf.DUMMYFUNCTION("""COMPUTED_VALUE"""),0.5272727272727272)</f>
        <v>0.5272727273</v>
      </c>
      <c r="I153" s="136">
        <f>IFERROR(__xludf.DUMMYFUNCTION("""COMPUTED_VALUE"""),12.0)</f>
        <v>12</v>
      </c>
      <c r="J153" s="136">
        <f>IFERROR(__xludf.DUMMYFUNCTION("""COMPUTED_VALUE"""),18940.0)</f>
        <v>18940</v>
      </c>
      <c r="K153" s="136">
        <f>IFERROR(__xludf.DUMMYFUNCTION("""COMPUTED_VALUE"""),42.0)</f>
        <v>42</v>
      </c>
      <c r="L153" s="136">
        <f>IFERROR(__xludf.DUMMYFUNCTION("""COMPUTED_VALUE"""),40.0)</f>
        <v>40</v>
      </c>
      <c r="M153" s="136">
        <f>IFERROR(__xludf.DUMMYFUNCTION("""COMPUTED_VALUE"""),64.0)</f>
        <v>64</v>
      </c>
      <c r="N153" s="136">
        <f>IFERROR(__xludf.DUMMYFUNCTION("""COMPUTED_VALUE"""),156.0)</f>
        <v>156</v>
      </c>
      <c r="O153" s="138">
        <f>IFERROR(__xludf.DUMMYFUNCTION("""COMPUTED_VALUE"""),9.0)</f>
        <v>9</v>
      </c>
      <c r="P153" s="138">
        <f>IFERROR(__xludf.DUMMYFUNCTION("""COMPUTED_VALUE"""),4.0)</f>
        <v>4</v>
      </c>
      <c r="Q153" s="138">
        <f>IFERROR(__xludf.DUMMYFUNCTION("""COMPUTED_VALUE"""),2.0)</f>
        <v>2</v>
      </c>
      <c r="R153" s="138">
        <f>IFERROR(__xludf.DUMMYFUNCTION("""COMPUTED_VALUE"""),6.0)</f>
        <v>6</v>
      </c>
      <c r="S153" s="139">
        <f>IFERROR(__xludf.DUMMYFUNCTION("""COMPUTED_VALUE"""),403.0)</f>
        <v>403</v>
      </c>
      <c r="T153" s="140">
        <f>IFERROR(__xludf.DUMMYFUNCTION("""COMPUTED_VALUE"""),142.0)</f>
        <v>142</v>
      </c>
      <c r="U153" s="136">
        <f>IFERROR(__xludf.DUMMYFUNCTION("""COMPUTED_VALUE"""),47.0)</f>
        <v>47</v>
      </c>
      <c r="V153" s="136">
        <f>IFERROR(__xludf.DUMMYFUNCTION("""COMPUTED_VALUE"""),42.0)</f>
        <v>42</v>
      </c>
      <c r="W153" s="136">
        <f>IFERROR(__xludf.DUMMYFUNCTION("""COMPUTED_VALUE"""),60.0)</f>
        <v>60</v>
      </c>
      <c r="X153" s="136">
        <f>IFERROR(__xludf.DUMMYFUNCTION("""COMPUTED_VALUE"""),348.8181818181818)</f>
        <v>348.8181818</v>
      </c>
      <c r="Y153" s="141">
        <f>IFERROR(__xludf.DUMMYFUNCTION("""COMPUTED_VALUE"""),49.66272727272729)</f>
        <v>49.66272727</v>
      </c>
      <c r="Z153" s="141">
        <f>IFERROR(__xludf.DUMMYFUNCTION("""COMPUTED_VALUE"""),2120.981818181818)</f>
        <v>2120.981818</v>
      </c>
    </row>
    <row r="154">
      <c r="A154" s="41" t="str">
        <f>IFERROR(__xludf.DUMMYFUNCTION("""COMPUTED_VALUE"""),"Veteran")</f>
        <v>Veteran</v>
      </c>
      <c r="B154" s="41" t="str">
        <f>IFERROR(__xludf.DUMMYFUNCTION("""COMPUTED_VALUE"""),"RSC003113")</f>
        <v>RSC003113</v>
      </c>
      <c r="C154" s="41" t="str">
        <f>IFERROR(__xludf.DUMMYFUNCTION("""COMPUTED_VALUE"""),"Nebulade")</f>
        <v>Nebulade</v>
      </c>
      <c r="D154" s="41" t="str">
        <f>IFERROR(__xludf.DUMMYFUNCTION("""COMPUTED_VALUE"""),"Berserkers")</f>
        <v>Berserkers</v>
      </c>
      <c r="E154" s="136">
        <f>IFERROR(__xludf.DUMMYFUNCTION("""COMPUTED_VALUE"""),56.0)</f>
        <v>56</v>
      </c>
      <c r="F154" s="136">
        <f>IFERROR(__xludf.DUMMYFUNCTION("""COMPUTED_VALUE"""),36.0)</f>
        <v>36</v>
      </c>
      <c r="G154" s="136">
        <f>IFERROR(__xludf.DUMMYFUNCTION("""COMPUTED_VALUE"""),20.0)</f>
        <v>20</v>
      </c>
      <c r="H154" s="137">
        <f>IFERROR(__xludf.DUMMYFUNCTION("""COMPUTED_VALUE"""),0.6428571428571429)</f>
        <v>0.6428571429</v>
      </c>
      <c r="I154" s="136">
        <f>IFERROR(__xludf.DUMMYFUNCTION("""COMPUTED_VALUE"""),12.0)</f>
        <v>12</v>
      </c>
      <c r="J154" s="136">
        <f>IFERROR(__xludf.DUMMYFUNCTION("""COMPUTED_VALUE"""),22783.0)</f>
        <v>22783</v>
      </c>
      <c r="K154" s="136">
        <f>IFERROR(__xludf.DUMMYFUNCTION("""COMPUTED_VALUE"""),67.0)</f>
        <v>67</v>
      </c>
      <c r="L154" s="136">
        <f>IFERROR(__xludf.DUMMYFUNCTION("""COMPUTED_VALUE"""),39.0)</f>
        <v>39</v>
      </c>
      <c r="M154" s="136">
        <f>IFERROR(__xludf.DUMMYFUNCTION("""COMPUTED_VALUE"""),66.0)</f>
        <v>66</v>
      </c>
      <c r="N154" s="136">
        <f>IFERROR(__xludf.DUMMYFUNCTION("""COMPUTED_VALUE"""),197.0)</f>
        <v>197</v>
      </c>
      <c r="O154" s="138">
        <f>IFERROR(__xludf.DUMMYFUNCTION("""COMPUTED_VALUE"""),11.0)</f>
        <v>11</v>
      </c>
      <c r="P154" s="138">
        <f>IFERROR(__xludf.DUMMYFUNCTION("""COMPUTED_VALUE"""),5.0)</f>
        <v>5</v>
      </c>
      <c r="Q154" s="138">
        <f>IFERROR(__xludf.DUMMYFUNCTION("""COMPUTED_VALUE"""),2.0)</f>
        <v>2</v>
      </c>
      <c r="R154" s="138">
        <f>IFERROR(__xludf.DUMMYFUNCTION("""COMPUTED_VALUE"""),8.0)</f>
        <v>8</v>
      </c>
      <c r="S154" s="139">
        <f>IFERROR(__xludf.DUMMYFUNCTION("""COMPUTED_VALUE"""),415.0)</f>
        <v>415</v>
      </c>
      <c r="T154" s="140">
        <f>IFERROR(__xludf.DUMMYFUNCTION("""COMPUTED_VALUE"""),127.0)</f>
        <v>127</v>
      </c>
      <c r="U154" s="136">
        <f>IFERROR(__xludf.DUMMYFUNCTION("""COMPUTED_VALUE"""),41.0)</f>
        <v>41</v>
      </c>
      <c r="V154" s="136">
        <f>IFERROR(__xludf.DUMMYFUNCTION("""COMPUTED_VALUE"""),29.0)</f>
        <v>29</v>
      </c>
      <c r="W154" s="136">
        <f>IFERROR(__xludf.DUMMYFUNCTION("""COMPUTED_VALUE"""),59.0)</f>
        <v>59</v>
      </c>
      <c r="X154" s="136">
        <f>IFERROR(__xludf.DUMMYFUNCTION("""COMPUTED_VALUE"""),357.875)</f>
        <v>357.875</v>
      </c>
      <c r="Y154" s="141">
        <f>IFERROR(__xludf.DUMMYFUNCTION("""COMPUTED_VALUE"""),49.09642857142857)</f>
        <v>49.09642857</v>
      </c>
      <c r="Z154" s="141">
        <f>IFERROR(__xludf.DUMMYFUNCTION("""COMPUTED_VALUE"""),2238.839285714286)</f>
        <v>2238.839286</v>
      </c>
    </row>
    <row r="155">
      <c r="A155" s="41" t="str">
        <f>IFERROR(__xludf.DUMMYFUNCTION("""COMPUTED_VALUE"""),"Rival")</f>
        <v>Rival</v>
      </c>
      <c r="B155" s="41" t="str">
        <f>IFERROR(__xludf.DUMMYFUNCTION("""COMPUTED_VALUE"""),"RSC003118")</f>
        <v>RSC003118</v>
      </c>
      <c r="C155" s="41" t="str">
        <f>IFERROR(__xludf.DUMMYFUNCTION("""COMPUTED_VALUE"""),"Mysty")</f>
        <v>Mysty</v>
      </c>
      <c r="D155" s="41" t="str">
        <f>IFERROR(__xludf.DUMMYFUNCTION("""COMPUTED_VALUE"""),"Polar Ice
Wind
Lacuna")</f>
        <v>Polar Ice
Wind
Lacuna</v>
      </c>
      <c r="E155" s="136">
        <f>IFERROR(__xludf.DUMMYFUNCTION("""COMPUTED_VALUE"""),50.0)</f>
        <v>50</v>
      </c>
      <c r="F155" s="136">
        <f>IFERROR(__xludf.DUMMYFUNCTION("""COMPUTED_VALUE"""),18.0)</f>
        <v>18</v>
      </c>
      <c r="G155" s="136">
        <f>IFERROR(__xludf.DUMMYFUNCTION("""COMPUTED_VALUE"""),32.0)</f>
        <v>32</v>
      </c>
      <c r="H155" s="137">
        <f>IFERROR(__xludf.DUMMYFUNCTION("""COMPUTED_VALUE"""),0.36)</f>
        <v>0.36</v>
      </c>
      <c r="I155" s="136">
        <f>IFERROR(__xludf.DUMMYFUNCTION("""COMPUTED_VALUE"""),7.0)</f>
        <v>7</v>
      </c>
      <c r="J155" s="136">
        <f>IFERROR(__xludf.DUMMYFUNCTION("""COMPUTED_VALUE"""),14476.0)</f>
        <v>14476</v>
      </c>
      <c r="K155" s="136">
        <f>IFERROR(__xludf.DUMMYFUNCTION("""COMPUTED_VALUE"""),19.0)</f>
        <v>19</v>
      </c>
      <c r="L155" s="136">
        <f>IFERROR(__xludf.DUMMYFUNCTION("""COMPUTED_VALUE"""),27.0)</f>
        <v>27</v>
      </c>
      <c r="M155" s="136">
        <f>IFERROR(__xludf.DUMMYFUNCTION("""COMPUTED_VALUE"""),65.0)</f>
        <v>65</v>
      </c>
      <c r="N155" s="136">
        <f>IFERROR(__xludf.DUMMYFUNCTION("""COMPUTED_VALUE"""),109.0)</f>
        <v>109</v>
      </c>
      <c r="O155" s="138">
        <f>IFERROR(__xludf.DUMMYFUNCTION("""COMPUTED_VALUE"""),8.0)</f>
        <v>8</v>
      </c>
      <c r="P155" s="138">
        <f>IFERROR(__xludf.DUMMYFUNCTION("""COMPUTED_VALUE"""),0.0)</f>
        <v>0</v>
      </c>
      <c r="Q155" s="138">
        <f>IFERROR(__xludf.DUMMYFUNCTION("""COMPUTED_VALUE"""),0.0)</f>
        <v>0</v>
      </c>
      <c r="R155" s="138">
        <f>IFERROR(__xludf.DUMMYFUNCTION("""COMPUTED_VALUE"""),6.0)</f>
        <v>6</v>
      </c>
      <c r="S155" s="139">
        <f>IFERROR(__xludf.DUMMYFUNCTION("""COMPUTED_VALUE"""),391.0)</f>
        <v>391</v>
      </c>
      <c r="T155" s="140">
        <f>IFERROR(__xludf.DUMMYFUNCTION("""COMPUTED_VALUE"""),125.0)</f>
        <v>125</v>
      </c>
      <c r="U155" s="136">
        <f>IFERROR(__xludf.DUMMYFUNCTION("""COMPUTED_VALUE"""),41.0)</f>
        <v>41</v>
      </c>
      <c r="V155" s="136">
        <f>IFERROR(__xludf.DUMMYFUNCTION("""COMPUTED_VALUE"""),36.0)</f>
        <v>36</v>
      </c>
      <c r="W155" s="136">
        <f>IFERROR(__xludf.DUMMYFUNCTION("""COMPUTED_VALUE"""),48.0)</f>
        <v>48</v>
      </c>
      <c r="X155" s="136">
        <f>IFERROR(__xludf.DUMMYFUNCTION("""COMPUTED_VALUE"""),389.16)</f>
        <v>389.16</v>
      </c>
      <c r="Y155" s="141">
        <f>IFERROR(__xludf.DUMMYFUNCTION("""COMPUTED_VALUE"""),57.85939999999998)</f>
        <v>57.8594</v>
      </c>
      <c r="Z155" s="141">
        <f>IFERROR(__xludf.DUMMYFUNCTION("""COMPUTED_VALUE"""),2339.58)</f>
        <v>2339.58</v>
      </c>
    </row>
    <row r="156">
      <c r="A156" s="41" t="str">
        <f>IFERROR(__xludf.DUMMYFUNCTION("""COMPUTED_VALUE"""),"Veteran")</f>
        <v>Veteran</v>
      </c>
      <c r="B156" s="41" t="str">
        <f>IFERROR(__xludf.DUMMYFUNCTION("""COMPUTED_VALUE"""),"RSC003122")</f>
        <v>RSC003122</v>
      </c>
      <c r="C156" s="41" t="str">
        <f>IFERROR(__xludf.DUMMYFUNCTION("""COMPUTED_VALUE"""),"Kovalchuk")</f>
        <v>Kovalchuk</v>
      </c>
      <c r="D156" s="41" t="str">
        <f>IFERROR(__xludf.DUMMYFUNCTION("""COMPUTED_VALUE"""),"Supernova
Fer-de-Lance
Folks")</f>
        <v>Supernova
Fer-de-Lance
Folks</v>
      </c>
      <c r="E156" s="136">
        <f>IFERROR(__xludf.DUMMYFUNCTION("""COMPUTED_VALUE"""),12.0)</f>
        <v>12</v>
      </c>
      <c r="F156" s="136">
        <f>IFERROR(__xludf.DUMMYFUNCTION("""COMPUTED_VALUE"""),5.0)</f>
        <v>5</v>
      </c>
      <c r="G156" s="136">
        <f>IFERROR(__xludf.DUMMYFUNCTION("""COMPUTED_VALUE"""),7.0)</f>
        <v>7</v>
      </c>
      <c r="H156" s="137">
        <f>IFERROR(__xludf.DUMMYFUNCTION("""COMPUTED_VALUE"""),0.4166666666666667)</f>
        <v>0.4166666667</v>
      </c>
      <c r="I156" s="136">
        <f>IFERROR(__xludf.DUMMYFUNCTION("""COMPUTED_VALUE"""),1.0)</f>
        <v>1</v>
      </c>
      <c r="J156" s="136">
        <f>IFERROR(__xludf.DUMMYFUNCTION("""COMPUTED_VALUE"""),4095.0)</f>
        <v>4095</v>
      </c>
      <c r="K156" s="136">
        <f>IFERROR(__xludf.DUMMYFUNCTION("""COMPUTED_VALUE"""),7.0)</f>
        <v>7</v>
      </c>
      <c r="L156" s="136">
        <f>IFERROR(__xludf.DUMMYFUNCTION("""COMPUTED_VALUE"""),2.0)</f>
        <v>2</v>
      </c>
      <c r="M156" s="136">
        <f>IFERROR(__xludf.DUMMYFUNCTION("""COMPUTED_VALUE"""),22.0)</f>
        <v>22</v>
      </c>
      <c r="N156" s="136">
        <f>IFERROR(__xludf.DUMMYFUNCTION("""COMPUTED_VALUE"""),30.0)</f>
        <v>30</v>
      </c>
      <c r="O156" s="138">
        <f>IFERROR(__xludf.DUMMYFUNCTION("""COMPUTED_VALUE"""),1.0)</f>
        <v>1</v>
      </c>
      <c r="P156" s="138">
        <f>IFERROR(__xludf.DUMMYFUNCTION("""COMPUTED_VALUE"""),0.0)</f>
        <v>0</v>
      </c>
      <c r="Q156" s="138">
        <f>IFERROR(__xludf.DUMMYFUNCTION("""COMPUTED_VALUE"""),0.0)</f>
        <v>0</v>
      </c>
      <c r="R156" s="138">
        <f>IFERROR(__xludf.DUMMYFUNCTION("""COMPUTED_VALUE"""),2.0)</f>
        <v>2</v>
      </c>
      <c r="S156" s="139">
        <f>IFERROR(__xludf.DUMMYFUNCTION("""COMPUTED_VALUE"""),123.0)</f>
        <v>123</v>
      </c>
      <c r="T156" s="140">
        <f>IFERROR(__xludf.DUMMYFUNCTION("""COMPUTED_VALUE"""),33.0)</f>
        <v>33</v>
      </c>
      <c r="U156" s="136">
        <f>IFERROR(__xludf.DUMMYFUNCTION("""COMPUTED_VALUE"""),13.0)</f>
        <v>13</v>
      </c>
      <c r="V156" s="136">
        <f>IFERROR(__xludf.DUMMYFUNCTION("""COMPUTED_VALUE"""),5.0)</f>
        <v>5</v>
      </c>
      <c r="W156" s="136">
        <f>IFERROR(__xludf.DUMMYFUNCTION("""COMPUTED_VALUE"""),10.0)</f>
        <v>10</v>
      </c>
      <c r="X156" s="136">
        <f>IFERROR(__xludf.DUMMYFUNCTION("""COMPUTED_VALUE"""),354.75)</f>
        <v>354.75</v>
      </c>
      <c r="Y156" s="141">
        <f>IFERROR(__xludf.DUMMYFUNCTION("""COMPUTED_VALUE"""),44.9775)</f>
        <v>44.9775</v>
      </c>
      <c r="Z156" s="141">
        <f>IFERROR(__xludf.DUMMYFUNCTION("""COMPUTED_VALUE"""),2091.4166666666665)</f>
        <v>2091.416667</v>
      </c>
    </row>
    <row r="157">
      <c r="A157" s="41" t="str">
        <f>IFERROR(__xludf.DUMMYFUNCTION("""COMPUTED_VALUE"""),"Master")</f>
        <v>Master</v>
      </c>
      <c r="B157" s="41" t="str">
        <f>IFERROR(__xludf.DUMMYFUNCTION("""COMPUTED_VALUE"""),"RSC003125")</f>
        <v>RSC003125</v>
      </c>
      <c r="C157" s="41" t="str">
        <f>IFERROR(__xludf.DUMMYFUNCTION("""COMPUTED_VALUE"""),"GrandPlat")</f>
        <v>GrandPlat</v>
      </c>
      <c r="D157" s="41" t="str">
        <f>IFERROR(__xludf.DUMMYFUNCTION("""COMPUTED_VALUE"""),"Andromeda")</f>
        <v>Andromeda</v>
      </c>
      <c r="E157" s="136">
        <f>IFERROR(__xludf.DUMMYFUNCTION("""COMPUTED_VALUE"""),22.0)</f>
        <v>22</v>
      </c>
      <c r="F157" s="136">
        <f>IFERROR(__xludf.DUMMYFUNCTION("""COMPUTED_VALUE"""),11.0)</f>
        <v>11</v>
      </c>
      <c r="G157" s="136">
        <f>IFERROR(__xludf.DUMMYFUNCTION("""COMPUTED_VALUE"""),11.0)</f>
        <v>11</v>
      </c>
      <c r="H157" s="137">
        <f>IFERROR(__xludf.DUMMYFUNCTION("""COMPUTED_VALUE"""),0.5)</f>
        <v>0.5</v>
      </c>
      <c r="I157" s="136">
        <f>IFERROR(__xludf.DUMMYFUNCTION("""COMPUTED_VALUE"""),0.0)</f>
        <v>0</v>
      </c>
      <c r="J157" s="136">
        <f>IFERROR(__xludf.DUMMYFUNCTION("""COMPUTED_VALUE"""),5648.0)</f>
        <v>5648</v>
      </c>
      <c r="K157" s="136">
        <f>IFERROR(__xludf.DUMMYFUNCTION("""COMPUTED_VALUE"""),9.0)</f>
        <v>9</v>
      </c>
      <c r="L157" s="136">
        <f>IFERROR(__xludf.DUMMYFUNCTION("""COMPUTED_VALUE"""),9.0)</f>
        <v>9</v>
      </c>
      <c r="M157" s="136">
        <f>IFERROR(__xludf.DUMMYFUNCTION("""COMPUTED_VALUE"""),26.0)</f>
        <v>26</v>
      </c>
      <c r="N157" s="136">
        <f>IFERROR(__xludf.DUMMYFUNCTION("""COMPUTED_VALUE"""),37.0)</f>
        <v>37</v>
      </c>
      <c r="O157" s="138">
        <f>IFERROR(__xludf.DUMMYFUNCTION("""COMPUTED_VALUE"""),2.0)</f>
        <v>2</v>
      </c>
      <c r="P157" s="138">
        <f>IFERROR(__xludf.DUMMYFUNCTION("""COMPUTED_VALUE"""),0.0)</f>
        <v>0</v>
      </c>
      <c r="Q157" s="138">
        <f>IFERROR(__xludf.DUMMYFUNCTION("""COMPUTED_VALUE"""),1.0)</f>
        <v>1</v>
      </c>
      <c r="R157" s="138">
        <f>IFERROR(__xludf.DUMMYFUNCTION("""COMPUTED_VALUE"""),5.0)</f>
        <v>5</v>
      </c>
      <c r="S157" s="139">
        <f>IFERROR(__xludf.DUMMYFUNCTION("""COMPUTED_VALUE"""),140.0)</f>
        <v>140</v>
      </c>
      <c r="T157" s="140">
        <f>IFERROR(__xludf.DUMMYFUNCTION("""COMPUTED_VALUE"""),35.0)</f>
        <v>35</v>
      </c>
      <c r="U157" s="136">
        <f>IFERROR(__xludf.DUMMYFUNCTION("""COMPUTED_VALUE"""),8.0)</f>
        <v>8</v>
      </c>
      <c r="V157" s="136">
        <f>IFERROR(__xludf.DUMMYFUNCTION("""COMPUTED_VALUE"""),12.0)</f>
        <v>12</v>
      </c>
      <c r="W157" s="136">
        <f>IFERROR(__xludf.DUMMYFUNCTION("""COMPUTED_VALUE"""),27.0)</f>
        <v>27</v>
      </c>
      <c r="X157" s="136">
        <f>IFERROR(__xludf.DUMMYFUNCTION("""COMPUTED_VALUE"""),352.94444444444446)</f>
        <v>352.9444444</v>
      </c>
      <c r="Y157" s="141">
        <f>IFERROR(__xludf.DUMMYFUNCTION("""COMPUTED_VALUE"""),50.15)</f>
        <v>50.15</v>
      </c>
      <c r="Z157" s="141">
        <f>IFERROR(__xludf.DUMMYFUNCTION("""COMPUTED_VALUE"""),2177.0555555555557)</f>
        <v>2177.055556</v>
      </c>
    </row>
    <row r="158">
      <c r="A158" s="41" t="str">
        <f>IFERROR(__xludf.DUMMYFUNCTION("""COMPUTED_VALUE"""),"Elite")</f>
        <v>Elite</v>
      </c>
      <c r="B158" s="41" t="str">
        <f>IFERROR(__xludf.DUMMYFUNCTION("""COMPUTED_VALUE"""),"RSC003143")</f>
        <v>RSC003143</v>
      </c>
      <c r="C158" s="41" t="str">
        <f>IFERROR(__xludf.DUMMYFUNCTION("""COMPUTED_VALUE"""),"Dank._.")</f>
        <v>Dank._.</v>
      </c>
      <c r="D158" s="41" t="str">
        <f>IFERROR(__xludf.DUMMYFUNCTION("""COMPUTED_VALUE"""),"Hellhounds
Drive-by")</f>
        <v>Hellhounds
Drive-by</v>
      </c>
      <c r="E158" s="136">
        <f>IFERROR(__xludf.DUMMYFUNCTION("""COMPUTED_VALUE"""),40.0)</f>
        <v>40</v>
      </c>
      <c r="F158" s="136">
        <f>IFERROR(__xludf.DUMMYFUNCTION("""COMPUTED_VALUE"""),13.0)</f>
        <v>13</v>
      </c>
      <c r="G158" s="136">
        <f>IFERROR(__xludf.DUMMYFUNCTION("""COMPUTED_VALUE"""),27.0)</f>
        <v>27</v>
      </c>
      <c r="H158" s="137">
        <f>IFERROR(__xludf.DUMMYFUNCTION("""COMPUTED_VALUE"""),0.325)</f>
        <v>0.325</v>
      </c>
      <c r="I158" s="136">
        <f>IFERROR(__xludf.DUMMYFUNCTION("""COMPUTED_VALUE"""),7.0)</f>
        <v>7</v>
      </c>
      <c r="J158" s="136">
        <f>IFERROR(__xludf.DUMMYFUNCTION("""COMPUTED_VALUE"""),16383.0)</f>
        <v>16383</v>
      </c>
      <c r="K158" s="136">
        <f>IFERROR(__xludf.DUMMYFUNCTION("""COMPUTED_VALUE"""),27.0)</f>
        <v>27</v>
      </c>
      <c r="L158" s="136">
        <f>IFERROR(__xludf.DUMMYFUNCTION("""COMPUTED_VALUE"""),21.0)</f>
        <v>21</v>
      </c>
      <c r="M158" s="136">
        <f>IFERROR(__xludf.DUMMYFUNCTION("""COMPUTED_VALUE"""),95.0)</f>
        <v>95</v>
      </c>
      <c r="N158" s="136">
        <f>IFERROR(__xludf.DUMMYFUNCTION("""COMPUTED_VALUE"""),80.0)</f>
        <v>80</v>
      </c>
      <c r="O158" s="138">
        <f>IFERROR(__xludf.DUMMYFUNCTION("""COMPUTED_VALUE"""),7.0)</f>
        <v>7</v>
      </c>
      <c r="P158" s="138">
        <f>IFERROR(__xludf.DUMMYFUNCTION("""COMPUTED_VALUE"""),0.0)</f>
        <v>0</v>
      </c>
      <c r="Q158" s="138">
        <f>IFERROR(__xludf.DUMMYFUNCTION("""COMPUTED_VALUE"""),0.0)</f>
        <v>0</v>
      </c>
      <c r="R158" s="138">
        <f>IFERROR(__xludf.DUMMYFUNCTION("""COMPUTED_VALUE"""),18.0)</f>
        <v>18</v>
      </c>
      <c r="S158" s="139">
        <f>IFERROR(__xludf.DUMMYFUNCTION("""COMPUTED_VALUE"""),394.0)</f>
        <v>394</v>
      </c>
      <c r="T158" s="140">
        <f>IFERROR(__xludf.DUMMYFUNCTION("""COMPUTED_VALUE"""),117.0)</f>
        <v>117</v>
      </c>
      <c r="U158" s="136">
        <f>IFERROR(__xludf.DUMMYFUNCTION("""COMPUTED_VALUE"""),55.0)</f>
        <v>55</v>
      </c>
      <c r="V158" s="136">
        <f>IFERROR(__xludf.DUMMYFUNCTION("""COMPUTED_VALUE"""),63.0)</f>
        <v>63</v>
      </c>
      <c r="W158" s="136">
        <f>IFERROR(__xludf.DUMMYFUNCTION("""COMPUTED_VALUE"""),33.0)</f>
        <v>33</v>
      </c>
      <c r="X158" s="136">
        <f>IFERROR(__xludf.DUMMYFUNCTION("""COMPUTED_VALUE"""),472.5)</f>
        <v>472.5</v>
      </c>
      <c r="Y158" s="141">
        <f>IFERROR(__xludf.DUMMYFUNCTION("""COMPUTED_VALUE"""),52.840999999999994)</f>
        <v>52.841</v>
      </c>
      <c r="Z158" s="141">
        <f>IFERROR(__xludf.DUMMYFUNCTION("""COMPUTED_VALUE"""),2832.45)</f>
        <v>2832.45</v>
      </c>
    </row>
    <row r="159">
      <c r="A159" s="41" t="str">
        <f>IFERROR(__xludf.DUMMYFUNCTION("""COMPUTED_VALUE"""),"Elite")</f>
        <v>Elite</v>
      </c>
      <c r="B159" s="41" t="str">
        <f>IFERROR(__xludf.DUMMYFUNCTION("""COMPUTED_VALUE"""),"RSC003178")</f>
        <v>RSC003178</v>
      </c>
      <c r="C159" s="41" t="str">
        <f>IFERROR(__xludf.DUMMYFUNCTION("""COMPUTED_VALUE"""),"Snack Time!")</f>
        <v>Snack Time!</v>
      </c>
      <c r="D159" s="41" t="str">
        <f>IFERROR(__xludf.DUMMYFUNCTION("""COMPUTED_VALUE"""),"Commanders
Ghastly Goombahs")</f>
        <v>Commanders
Ghastly Goombahs</v>
      </c>
      <c r="E159" s="136">
        <f>IFERROR(__xludf.DUMMYFUNCTION("""COMPUTED_VALUE"""),56.0)</f>
        <v>56</v>
      </c>
      <c r="F159" s="136">
        <f>IFERROR(__xludf.DUMMYFUNCTION("""COMPUTED_VALUE"""),27.0)</f>
        <v>27</v>
      </c>
      <c r="G159" s="136">
        <f>IFERROR(__xludf.DUMMYFUNCTION("""COMPUTED_VALUE"""),29.0)</f>
        <v>29</v>
      </c>
      <c r="H159" s="137">
        <f>IFERROR(__xludf.DUMMYFUNCTION("""COMPUTED_VALUE"""),0.48214285714285715)</f>
        <v>0.4821428571</v>
      </c>
      <c r="I159" s="136">
        <f>IFERROR(__xludf.DUMMYFUNCTION("""COMPUTED_VALUE"""),16.0)</f>
        <v>16</v>
      </c>
      <c r="J159" s="136">
        <f>IFERROR(__xludf.DUMMYFUNCTION("""COMPUTED_VALUE"""),21828.0)</f>
        <v>21828</v>
      </c>
      <c r="K159" s="136">
        <f>IFERROR(__xludf.DUMMYFUNCTION("""COMPUTED_VALUE"""),63.0)</f>
        <v>63</v>
      </c>
      <c r="L159" s="136">
        <f>IFERROR(__xludf.DUMMYFUNCTION("""COMPUTED_VALUE"""),38.0)</f>
        <v>38</v>
      </c>
      <c r="M159" s="136">
        <f>IFERROR(__xludf.DUMMYFUNCTION("""COMPUTED_VALUE"""),71.0)</f>
        <v>71</v>
      </c>
      <c r="N159" s="136">
        <f>IFERROR(__xludf.DUMMYFUNCTION("""COMPUTED_VALUE"""),183.0)</f>
        <v>183</v>
      </c>
      <c r="O159" s="138">
        <f>IFERROR(__xludf.DUMMYFUNCTION("""COMPUTED_VALUE"""),14.0)</f>
        <v>14</v>
      </c>
      <c r="P159" s="138">
        <f>IFERROR(__xludf.DUMMYFUNCTION("""COMPUTED_VALUE"""),5.0)</f>
        <v>5</v>
      </c>
      <c r="Q159" s="138">
        <f>IFERROR(__xludf.DUMMYFUNCTION("""COMPUTED_VALUE"""),2.0)</f>
        <v>2</v>
      </c>
      <c r="R159" s="138">
        <f>IFERROR(__xludf.DUMMYFUNCTION("""COMPUTED_VALUE"""),4.0)</f>
        <v>4</v>
      </c>
      <c r="S159" s="139">
        <f>IFERROR(__xludf.DUMMYFUNCTION("""COMPUTED_VALUE"""),426.0)</f>
        <v>426</v>
      </c>
      <c r="T159" s="140">
        <f>IFERROR(__xludf.DUMMYFUNCTION("""COMPUTED_VALUE"""),133.0)</f>
        <v>133</v>
      </c>
      <c r="U159" s="136">
        <f>IFERROR(__xludf.DUMMYFUNCTION("""COMPUTED_VALUE"""),49.0)</f>
        <v>49</v>
      </c>
      <c r="V159" s="136">
        <f>IFERROR(__xludf.DUMMYFUNCTION("""COMPUTED_VALUE"""),62.0)</f>
        <v>62</v>
      </c>
      <c r="W159" s="136">
        <f>IFERROR(__xludf.DUMMYFUNCTION("""COMPUTED_VALUE"""),53.0)</f>
        <v>53</v>
      </c>
      <c r="X159" s="136">
        <f>IFERROR(__xludf.DUMMYFUNCTION("""COMPUTED_VALUE"""),386.85714285714283)</f>
        <v>386.8571429</v>
      </c>
      <c r="Y159" s="141">
        <f>IFERROR(__xludf.DUMMYFUNCTION("""COMPUTED_VALUE"""),46.58982142857145)</f>
        <v>46.58982143</v>
      </c>
      <c r="Z159" s="141">
        <f>IFERROR(__xludf.DUMMYFUNCTION("""COMPUTED_VALUE"""),2312.5178571428573)</f>
        <v>2312.517857</v>
      </c>
    </row>
    <row r="160">
      <c r="A160" s="41" t="str">
        <f>IFERROR(__xludf.DUMMYFUNCTION("""COMPUTED_VALUE"""),"Challenger")</f>
        <v>Challenger</v>
      </c>
      <c r="B160" s="41" t="str">
        <f>IFERROR(__xludf.DUMMYFUNCTION("""COMPUTED_VALUE"""),"RSC003193")</f>
        <v>RSC003193</v>
      </c>
      <c r="C160" s="41" t="str">
        <f>IFERROR(__xludf.DUMMYFUNCTION("""COMPUTED_VALUE"""),"ShiftDrink")</f>
        <v>ShiftDrink</v>
      </c>
      <c r="D160" s="41" t="str">
        <f>IFERROR(__xludf.DUMMYFUNCTION("""COMPUTED_VALUE"""),"Porch Pirates")</f>
        <v>Porch Pirates</v>
      </c>
      <c r="E160" s="136">
        <f>IFERROR(__xludf.DUMMYFUNCTION("""COMPUTED_VALUE"""),39.0)</f>
        <v>39</v>
      </c>
      <c r="F160" s="136">
        <f>IFERROR(__xludf.DUMMYFUNCTION("""COMPUTED_VALUE"""),12.0)</f>
        <v>12</v>
      </c>
      <c r="G160" s="136">
        <f>IFERROR(__xludf.DUMMYFUNCTION("""COMPUTED_VALUE"""),27.0)</f>
        <v>27</v>
      </c>
      <c r="H160" s="137">
        <f>IFERROR(__xludf.DUMMYFUNCTION("""COMPUTED_VALUE"""),0.3076923076923077)</f>
        <v>0.3076923077</v>
      </c>
      <c r="I160" s="136">
        <f>IFERROR(__xludf.DUMMYFUNCTION("""COMPUTED_VALUE"""),5.0)</f>
        <v>5</v>
      </c>
      <c r="J160" s="136">
        <f>IFERROR(__xludf.DUMMYFUNCTION("""COMPUTED_VALUE"""),12480.0)</f>
        <v>12480</v>
      </c>
      <c r="K160" s="136">
        <f>IFERROR(__xludf.DUMMYFUNCTION("""COMPUTED_VALUE"""),32.0)</f>
        <v>32</v>
      </c>
      <c r="L160" s="136">
        <f>IFERROR(__xludf.DUMMYFUNCTION("""COMPUTED_VALUE"""),5.0)</f>
        <v>5</v>
      </c>
      <c r="M160" s="136">
        <f>IFERROR(__xludf.DUMMYFUNCTION("""COMPUTED_VALUE"""),52.0)</f>
        <v>52</v>
      </c>
      <c r="N160" s="136">
        <f>IFERROR(__xludf.DUMMYFUNCTION("""COMPUTED_VALUE"""),96.0)</f>
        <v>96</v>
      </c>
      <c r="O160" s="138">
        <f>IFERROR(__xludf.DUMMYFUNCTION("""COMPUTED_VALUE"""),0.0)</f>
        <v>0</v>
      </c>
      <c r="P160" s="138">
        <f>IFERROR(__xludf.DUMMYFUNCTION("""COMPUTED_VALUE"""),1.0)</f>
        <v>1</v>
      </c>
      <c r="Q160" s="138">
        <f>IFERROR(__xludf.DUMMYFUNCTION("""COMPUTED_VALUE"""),0.0)</f>
        <v>0</v>
      </c>
      <c r="R160" s="138">
        <f>IFERROR(__xludf.DUMMYFUNCTION("""COMPUTED_VALUE"""),6.0)</f>
        <v>6</v>
      </c>
      <c r="S160" s="139">
        <f>IFERROR(__xludf.DUMMYFUNCTION("""COMPUTED_VALUE"""),316.0)</f>
        <v>316</v>
      </c>
      <c r="T160" s="140">
        <f>IFERROR(__xludf.DUMMYFUNCTION("""COMPUTED_VALUE"""),104.0)</f>
        <v>104</v>
      </c>
      <c r="U160" s="136">
        <f>IFERROR(__xludf.DUMMYFUNCTION("""COMPUTED_VALUE"""),29.0)</f>
        <v>29</v>
      </c>
      <c r="V160" s="136">
        <f>IFERROR(__xludf.DUMMYFUNCTION("""COMPUTED_VALUE"""),25.0)</f>
        <v>25</v>
      </c>
      <c r="W160" s="136">
        <f>IFERROR(__xludf.DUMMYFUNCTION("""COMPUTED_VALUE"""),50.0)</f>
        <v>50</v>
      </c>
      <c r="X160" s="136">
        <f>IFERROR(__xludf.DUMMYFUNCTION("""COMPUTED_VALUE"""),302.5897435897436)</f>
        <v>302.5897436</v>
      </c>
      <c r="Y160" s="141">
        <f>IFERROR(__xludf.DUMMYFUNCTION("""COMPUTED_VALUE"""),45.9579487179487)</f>
        <v>45.95794872</v>
      </c>
      <c r="Z160" s="141">
        <f>IFERROR(__xludf.DUMMYFUNCTION("""COMPUTED_VALUE"""),1805.3846153846155)</f>
        <v>1805.384615</v>
      </c>
    </row>
    <row r="161">
      <c r="A161" s="41" t="str">
        <f>IFERROR(__xludf.DUMMYFUNCTION("""COMPUTED_VALUE"""),"Challenger")</f>
        <v>Challenger</v>
      </c>
      <c r="B161" s="41" t="str">
        <f>IFERROR(__xludf.DUMMYFUNCTION("""COMPUTED_VALUE"""),"RSC003223")</f>
        <v>RSC003223</v>
      </c>
      <c r="C161" s="41" t="str">
        <f>IFERROR(__xludf.DUMMYFUNCTION("""COMPUTED_VALUE"""),"AZoroARK")</f>
        <v>AZoroARK</v>
      </c>
      <c r="D161" s="41" t="str">
        <f>IFERROR(__xludf.DUMMYFUNCTION("""COMPUTED_VALUE"""),"Meat Lovers")</f>
        <v>Meat Lovers</v>
      </c>
      <c r="E161" s="136">
        <f>IFERROR(__xludf.DUMMYFUNCTION("""COMPUTED_VALUE"""),22.0)</f>
        <v>22</v>
      </c>
      <c r="F161" s="136">
        <f>IFERROR(__xludf.DUMMYFUNCTION("""COMPUTED_VALUE"""),8.0)</f>
        <v>8</v>
      </c>
      <c r="G161" s="136">
        <f>IFERROR(__xludf.DUMMYFUNCTION("""COMPUTED_VALUE"""),14.0)</f>
        <v>14</v>
      </c>
      <c r="H161" s="137">
        <f>IFERROR(__xludf.DUMMYFUNCTION("""COMPUTED_VALUE"""),0.36363636363636365)</f>
        <v>0.3636363636</v>
      </c>
      <c r="I161" s="136">
        <f>IFERROR(__xludf.DUMMYFUNCTION("""COMPUTED_VALUE"""),2.0)</f>
        <v>2</v>
      </c>
      <c r="J161" s="136">
        <f>IFERROR(__xludf.DUMMYFUNCTION("""COMPUTED_VALUE"""),6526.0)</f>
        <v>6526</v>
      </c>
      <c r="K161" s="136">
        <f>IFERROR(__xludf.DUMMYFUNCTION("""COMPUTED_VALUE"""),13.0)</f>
        <v>13</v>
      </c>
      <c r="L161" s="136">
        <f>IFERROR(__xludf.DUMMYFUNCTION("""COMPUTED_VALUE"""),11.0)</f>
        <v>11</v>
      </c>
      <c r="M161" s="136">
        <f>IFERROR(__xludf.DUMMYFUNCTION("""COMPUTED_VALUE"""),27.0)</f>
        <v>27</v>
      </c>
      <c r="N161" s="136">
        <f>IFERROR(__xludf.DUMMYFUNCTION("""COMPUTED_VALUE"""),47.0)</f>
        <v>47</v>
      </c>
      <c r="O161" s="138">
        <f>IFERROR(__xludf.DUMMYFUNCTION("""COMPUTED_VALUE"""),2.0)</f>
        <v>2</v>
      </c>
      <c r="P161" s="138">
        <f>IFERROR(__xludf.DUMMYFUNCTION("""COMPUTED_VALUE"""),0.0)</f>
        <v>0</v>
      </c>
      <c r="Q161" s="138">
        <f>IFERROR(__xludf.DUMMYFUNCTION("""COMPUTED_VALUE"""),0.0)</f>
        <v>0</v>
      </c>
      <c r="R161" s="138">
        <f>IFERROR(__xludf.DUMMYFUNCTION("""COMPUTED_VALUE"""),3.0)</f>
        <v>3</v>
      </c>
      <c r="S161" s="139">
        <f>IFERROR(__xludf.DUMMYFUNCTION("""COMPUTED_VALUE"""),193.0)</f>
        <v>193</v>
      </c>
      <c r="T161" s="140">
        <f>IFERROR(__xludf.DUMMYFUNCTION("""COMPUTED_VALUE"""),71.0)</f>
        <v>71</v>
      </c>
      <c r="U161" s="136">
        <f>IFERROR(__xludf.DUMMYFUNCTION("""COMPUTED_VALUE"""),20.0)</f>
        <v>20</v>
      </c>
      <c r="V161" s="136">
        <f>IFERROR(__xludf.DUMMYFUNCTION("""COMPUTED_VALUE"""),17.0)</f>
        <v>17</v>
      </c>
      <c r="W161" s="136">
        <f>IFERROR(__xludf.DUMMYFUNCTION("""COMPUTED_VALUE"""),27.0)</f>
        <v>27</v>
      </c>
      <c r="X161" s="136">
        <f>IFERROR(__xludf.DUMMYFUNCTION("""COMPUTED_VALUE"""),335.6363636363636)</f>
        <v>335.6363636</v>
      </c>
      <c r="Y161" s="141">
        <f>IFERROR(__xludf.DUMMYFUNCTION("""COMPUTED_VALUE"""),44.51181818181818)</f>
        <v>44.51181818</v>
      </c>
      <c r="Z161" s="141">
        <f>IFERROR(__xludf.DUMMYFUNCTION("""COMPUTED_VALUE"""),2068.5)</f>
        <v>2068.5</v>
      </c>
    </row>
    <row r="162">
      <c r="A162" s="41" t="str">
        <f>IFERROR(__xludf.DUMMYFUNCTION("""COMPUTED_VALUE"""),"Veteran")</f>
        <v>Veteran</v>
      </c>
      <c r="B162" s="41" t="str">
        <f>IFERROR(__xludf.DUMMYFUNCTION("""COMPUTED_VALUE"""),"RSC003238")</f>
        <v>RSC003238</v>
      </c>
      <c r="C162" s="41" t="str">
        <f>IFERROR(__xludf.DUMMYFUNCTION("""COMPUTED_VALUE"""),"Kanye_West_ 2028")</f>
        <v>Kanye_West_ 2028</v>
      </c>
      <c r="D162" s="41" t="str">
        <f>IFERROR(__xludf.DUMMYFUNCTION("""COMPUTED_VALUE"""),"Supernova")</f>
        <v>Supernova</v>
      </c>
      <c r="E162" s="136">
        <f>IFERROR(__xludf.DUMMYFUNCTION("""COMPUTED_VALUE"""),55.0)</f>
        <v>55</v>
      </c>
      <c r="F162" s="136">
        <f>IFERROR(__xludf.DUMMYFUNCTION("""COMPUTED_VALUE"""),39.0)</f>
        <v>39</v>
      </c>
      <c r="G162" s="136">
        <f>IFERROR(__xludf.DUMMYFUNCTION("""COMPUTED_VALUE"""),16.0)</f>
        <v>16</v>
      </c>
      <c r="H162" s="137">
        <f>IFERROR(__xludf.DUMMYFUNCTION("""COMPUTED_VALUE"""),0.7090909090909091)</f>
        <v>0.7090909091</v>
      </c>
      <c r="I162" s="136">
        <f>IFERROR(__xludf.DUMMYFUNCTION("""COMPUTED_VALUE"""),11.0)</f>
        <v>11</v>
      </c>
      <c r="J162" s="136">
        <f>IFERROR(__xludf.DUMMYFUNCTION("""COMPUTED_VALUE"""),21535.0)</f>
        <v>21535</v>
      </c>
      <c r="K162" s="136">
        <f>IFERROR(__xludf.DUMMYFUNCTION("""COMPUTED_VALUE"""),53.0)</f>
        <v>53</v>
      </c>
      <c r="L162" s="136">
        <f>IFERROR(__xludf.DUMMYFUNCTION("""COMPUTED_VALUE"""),33.0)</f>
        <v>33</v>
      </c>
      <c r="M162" s="136">
        <f>IFERROR(__xludf.DUMMYFUNCTION("""COMPUTED_VALUE"""),78.0)</f>
        <v>78</v>
      </c>
      <c r="N162" s="136">
        <f>IFERROR(__xludf.DUMMYFUNCTION("""COMPUTED_VALUE"""),152.0)</f>
        <v>152</v>
      </c>
      <c r="O162" s="138">
        <f>IFERROR(__xludf.DUMMYFUNCTION("""COMPUTED_VALUE"""),17.0)</f>
        <v>17</v>
      </c>
      <c r="P162" s="138">
        <f>IFERROR(__xludf.DUMMYFUNCTION("""COMPUTED_VALUE"""),2.0)</f>
        <v>2</v>
      </c>
      <c r="Q162" s="138">
        <f>IFERROR(__xludf.DUMMYFUNCTION("""COMPUTED_VALUE"""),1.0)</f>
        <v>1</v>
      </c>
      <c r="R162" s="138">
        <f>IFERROR(__xludf.DUMMYFUNCTION("""COMPUTED_VALUE"""),6.0)</f>
        <v>6</v>
      </c>
      <c r="S162" s="139">
        <f>IFERROR(__xludf.DUMMYFUNCTION("""COMPUTED_VALUE"""),383.0)</f>
        <v>383</v>
      </c>
      <c r="T162" s="140">
        <f>IFERROR(__xludf.DUMMYFUNCTION("""COMPUTED_VALUE"""),95.0)</f>
        <v>95</v>
      </c>
      <c r="U162" s="136">
        <f>IFERROR(__xludf.DUMMYFUNCTION("""COMPUTED_VALUE"""),22.0)</f>
        <v>22</v>
      </c>
      <c r="V162" s="136">
        <f>IFERROR(__xludf.DUMMYFUNCTION("""COMPUTED_VALUE"""),123.0)</f>
        <v>123</v>
      </c>
      <c r="W162" s="136">
        <f>IFERROR(__xludf.DUMMYFUNCTION("""COMPUTED_VALUE"""),55.0)</f>
        <v>55</v>
      </c>
      <c r="X162" s="136">
        <f>IFERROR(__xludf.DUMMYFUNCTION("""COMPUTED_VALUE"""),436.1272727272727)</f>
        <v>436.1272727</v>
      </c>
      <c r="Y162" s="141">
        <f>IFERROR(__xludf.DUMMYFUNCTION("""COMPUTED_VALUE"""),48.606363636363646)</f>
        <v>48.60636364</v>
      </c>
      <c r="Z162" s="141">
        <f>IFERROR(__xludf.DUMMYFUNCTION("""COMPUTED_VALUE"""),2564.7636363636366)</f>
        <v>2564.763636</v>
      </c>
    </row>
    <row r="163">
      <c r="A163" s="41" t="str">
        <f>IFERROR(__xludf.DUMMYFUNCTION("""COMPUTED_VALUE"""),"Elite")</f>
        <v>Elite</v>
      </c>
      <c r="B163" s="41" t="str">
        <f>IFERROR(__xludf.DUMMYFUNCTION("""COMPUTED_VALUE"""),"RSC003250")</f>
        <v>RSC003250</v>
      </c>
      <c r="C163" s="41" t="str">
        <f>IFERROR(__xludf.DUMMYFUNCTION("""COMPUTED_VALUE"""),"Chefty")</f>
        <v>Chefty</v>
      </c>
      <c r="D163" s="41" t="str">
        <f>IFERROR(__xludf.DUMMYFUNCTION("""COMPUTED_VALUE"""),"Thrashers
Gelato
Hydras")</f>
        <v>Thrashers
Gelato
Hydras</v>
      </c>
      <c r="E163" s="136">
        <f>IFERROR(__xludf.DUMMYFUNCTION("""COMPUTED_VALUE"""),7.0)</f>
        <v>7</v>
      </c>
      <c r="F163" s="136">
        <f>IFERROR(__xludf.DUMMYFUNCTION("""COMPUTED_VALUE"""),3.0)</f>
        <v>3</v>
      </c>
      <c r="G163" s="136">
        <f>IFERROR(__xludf.DUMMYFUNCTION("""COMPUTED_VALUE"""),4.0)</f>
        <v>4</v>
      </c>
      <c r="H163" s="137">
        <f>IFERROR(__xludf.DUMMYFUNCTION("""COMPUTED_VALUE"""),0.42857142857142855)</f>
        <v>0.4285714286</v>
      </c>
      <c r="I163" s="136">
        <f>IFERROR(__xludf.DUMMYFUNCTION("""COMPUTED_VALUE"""),0.0)</f>
        <v>0</v>
      </c>
      <c r="J163" s="136">
        <f>IFERROR(__xludf.DUMMYFUNCTION("""COMPUTED_VALUE"""),2635.0)</f>
        <v>2635</v>
      </c>
      <c r="K163" s="136">
        <f>IFERROR(__xludf.DUMMYFUNCTION("""COMPUTED_VALUE"""),8.0)</f>
        <v>8</v>
      </c>
      <c r="L163" s="136">
        <f>IFERROR(__xludf.DUMMYFUNCTION("""COMPUTED_VALUE"""),4.0)</f>
        <v>4</v>
      </c>
      <c r="M163" s="136">
        <f>IFERROR(__xludf.DUMMYFUNCTION("""COMPUTED_VALUE"""),8.0)</f>
        <v>8</v>
      </c>
      <c r="N163" s="136">
        <f>IFERROR(__xludf.DUMMYFUNCTION("""COMPUTED_VALUE"""),15.0)</f>
        <v>15</v>
      </c>
      <c r="O163" s="138">
        <f>IFERROR(__xludf.DUMMYFUNCTION("""COMPUTED_VALUE"""),2.0)</f>
        <v>2</v>
      </c>
      <c r="P163" s="138">
        <f>IFERROR(__xludf.DUMMYFUNCTION("""COMPUTED_VALUE"""),0.0)</f>
        <v>0</v>
      </c>
      <c r="Q163" s="138">
        <f>IFERROR(__xludf.DUMMYFUNCTION("""COMPUTED_VALUE"""),0.0)</f>
        <v>0</v>
      </c>
      <c r="R163" s="138">
        <f>IFERROR(__xludf.DUMMYFUNCTION("""COMPUTED_VALUE"""),1.0)</f>
        <v>1</v>
      </c>
      <c r="S163" s="139">
        <f>IFERROR(__xludf.DUMMYFUNCTION("""COMPUTED_VALUE"""),56.0)</f>
        <v>56</v>
      </c>
      <c r="T163" s="140">
        <f>IFERROR(__xludf.DUMMYFUNCTION("""COMPUTED_VALUE"""),14.0)</f>
        <v>14</v>
      </c>
      <c r="U163" s="136">
        <f>IFERROR(__xludf.DUMMYFUNCTION("""COMPUTED_VALUE"""),1.0)</f>
        <v>1</v>
      </c>
      <c r="V163" s="136">
        <f>IFERROR(__xludf.DUMMYFUNCTION("""COMPUTED_VALUE"""),3.0)</f>
        <v>3</v>
      </c>
      <c r="W163" s="136">
        <f>IFERROR(__xludf.DUMMYFUNCTION("""COMPUTED_VALUE"""),6.0)</f>
        <v>6</v>
      </c>
      <c r="X163" s="136">
        <f>IFERROR(__xludf.DUMMYFUNCTION("""COMPUTED_VALUE"""),385.0)</f>
        <v>385</v>
      </c>
      <c r="Y163" s="141">
        <f>IFERROR(__xludf.DUMMYFUNCTION("""COMPUTED_VALUE"""),42.27571428571428)</f>
        <v>42.27571429</v>
      </c>
      <c r="Z163" s="141">
        <f>IFERROR(__xludf.DUMMYFUNCTION("""COMPUTED_VALUE"""),2216.714285714286)</f>
        <v>2216.714286</v>
      </c>
    </row>
    <row r="164">
      <c r="A164" s="41" t="str">
        <f>IFERROR(__xludf.DUMMYFUNCTION("""COMPUTED_VALUE"""),"Veteran")</f>
        <v>Veteran</v>
      </c>
      <c r="B164" s="41" t="str">
        <f>IFERROR(__xludf.DUMMYFUNCTION("""COMPUTED_VALUE"""),"RSC003255")</f>
        <v>RSC003255</v>
      </c>
      <c r="C164" s="41" t="str">
        <f>IFERROR(__xludf.DUMMYFUNCTION("""COMPUTED_VALUE"""),"cozyboy")</f>
        <v>cozyboy</v>
      </c>
      <c r="D164" s="41" t="str">
        <f>IFERROR(__xludf.DUMMYFUNCTION("""COMPUTED_VALUE"""),"Supernova")</f>
        <v>Supernova</v>
      </c>
      <c r="E164" s="136">
        <f>IFERROR(__xludf.DUMMYFUNCTION("""COMPUTED_VALUE"""),4.0)</f>
        <v>4</v>
      </c>
      <c r="F164" s="136">
        <f>IFERROR(__xludf.DUMMYFUNCTION("""COMPUTED_VALUE"""),1.0)</f>
        <v>1</v>
      </c>
      <c r="G164" s="136">
        <f>IFERROR(__xludf.DUMMYFUNCTION("""COMPUTED_VALUE"""),3.0)</f>
        <v>3</v>
      </c>
      <c r="H164" s="137">
        <f>IFERROR(__xludf.DUMMYFUNCTION("""COMPUTED_VALUE"""),0.25)</f>
        <v>0.25</v>
      </c>
      <c r="I164" s="136">
        <f>IFERROR(__xludf.DUMMYFUNCTION("""COMPUTED_VALUE"""),0.0)</f>
        <v>0</v>
      </c>
      <c r="J164" s="136">
        <f>IFERROR(__xludf.DUMMYFUNCTION("""COMPUTED_VALUE"""),1081.0)</f>
        <v>1081</v>
      </c>
      <c r="K164" s="136">
        <f>IFERROR(__xludf.DUMMYFUNCTION("""COMPUTED_VALUE"""),2.0)</f>
        <v>2</v>
      </c>
      <c r="L164" s="136">
        <f>IFERROR(__xludf.DUMMYFUNCTION("""COMPUTED_VALUE"""),2.0)</f>
        <v>2</v>
      </c>
      <c r="M164" s="136">
        <f>IFERROR(__xludf.DUMMYFUNCTION("""COMPUTED_VALUE"""),6.0)</f>
        <v>6</v>
      </c>
      <c r="N164" s="136">
        <f>IFERROR(__xludf.DUMMYFUNCTION("""COMPUTED_VALUE"""),7.0)</f>
        <v>7</v>
      </c>
      <c r="O164" s="138">
        <f>IFERROR(__xludf.DUMMYFUNCTION("""COMPUTED_VALUE"""),1.0)</f>
        <v>1</v>
      </c>
      <c r="P164" s="138">
        <f>IFERROR(__xludf.DUMMYFUNCTION("""COMPUTED_VALUE"""),0.0)</f>
        <v>0</v>
      </c>
      <c r="Q164" s="138">
        <f>IFERROR(__xludf.DUMMYFUNCTION("""COMPUTED_VALUE"""),0.0)</f>
        <v>0</v>
      </c>
      <c r="R164" s="138">
        <f>IFERROR(__xludf.DUMMYFUNCTION("""COMPUTED_VALUE"""),1.0)</f>
        <v>1</v>
      </c>
      <c r="S164" s="139">
        <f>IFERROR(__xludf.DUMMYFUNCTION("""COMPUTED_VALUE"""),38.0)</f>
        <v>38</v>
      </c>
      <c r="T164" s="140">
        <f>IFERROR(__xludf.DUMMYFUNCTION("""COMPUTED_VALUE"""),12.0)</f>
        <v>12</v>
      </c>
      <c r="U164" s="136">
        <f>IFERROR(__xludf.DUMMYFUNCTION("""COMPUTED_VALUE"""),4.0)</f>
        <v>4</v>
      </c>
      <c r="V164" s="136">
        <f>IFERROR(__xludf.DUMMYFUNCTION("""COMPUTED_VALUE"""),8.0)</f>
        <v>8</v>
      </c>
      <c r="W164" s="136">
        <f>IFERROR(__xludf.DUMMYFUNCTION("""COMPUTED_VALUE"""),3.0)</f>
        <v>3</v>
      </c>
      <c r="X164" s="136">
        <f>IFERROR(__xludf.DUMMYFUNCTION("""COMPUTED_VALUE"""),414.25)</f>
        <v>414.25</v>
      </c>
      <c r="Y164" s="141">
        <f>IFERROR(__xludf.DUMMYFUNCTION("""COMPUTED_VALUE"""),44.41)</f>
        <v>44.41</v>
      </c>
      <c r="Z164" s="141">
        <f>IFERROR(__xludf.DUMMYFUNCTION("""COMPUTED_VALUE"""),2368.5)</f>
        <v>2368.5</v>
      </c>
    </row>
    <row r="165">
      <c r="A165" s="41" t="str">
        <f>IFERROR(__xludf.DUMMYFUNCTION("""COMPUTED_VALUE"""),"Elite")</f>
        <v>Elite</v>
      </c>
      <c r="B165" s="41" t="str">
        <f>IFERROR(__xludf.DUMMYFUNCTION("""COMPUTED_VALUE"""),"RSC003272")</f>
        <v>RSC003272</v>
      </c>
      <c r="C165" s="41" t="str">
        <f>IFERROR(__xludf.DUMMYFUNCTION("""COMPUTED_VALUE"""),"jknop2")</f>
        <v>jknop2</v>
      </c>
      <c r="D165" s="41" t="str">
        <f>IFERROR(__xludf.DUMMYFUNCTION("""COMPUTED_VALUE"""),"Desolation")</f>
        <v>Desolation</v>
      </c>
      <c r="E165" s="136">
        <f>IFERROR(__xludf.DUMMYFUNCTION("""COMPUTED_VALUE"""),33.0)</f>
        <v>33</v>
      </c>
      <c r="F165" s="136">
        <f>IFERROR(__xludf.DUMMYFUNCTION("""COMPUTED_VALUE"""),15.0)</f>
        <v>15</v>
      </c>
      <c r="G165" s="136">
        <f>IFERROR(__xludf.DUMMYFUNCTION("""COMPUTED_VALUE"""),18.0)</f>
        <v>18</v>
      </c>
      <c r="H165" s="137">
        <f>IFERROR(__xludf.DUMMYFUNCTION("""COMPUTED_VALUE"""),0.45454545454545453)</f>
        <v>0.4545454545</v>
      </c>
      <c r="I165" s="136">
        <f>IFERROR(__xludf.DUMMYFUNCTION("""COMPUTED_VALUE"""),8.0)</f>
        <v>8</v>
      </c>
      <c r="J165" s="136">
        <f>IFERROR(__xludf.DUMMYFUNCTION("""COMPUTED_VALUE"""),12152.0)</f>
        <v>12152</v>
      </c>
      <c r="K165" s="136">
        <f>IFERROR(__xludf.DUMMYFUNCTION("""COMPUTED_VALUE"""),18.0)</f>
        <v>18</v>
      </c>
      <c r="L165" s="136">
        <f>IFERROR(__xludf.DUMMYFUNCTION("""COMPUTED_VALUE"""),14.0)</f>
        <v>14</v>
      </c>
      <c r="M165" s="136">
        <f>IFERROR(__xludf.DUMMYFUNCTION("""COMPUTED_VALUE"""),66.0)</f>
        <v>66</v>
      </c>
      <c r="N165" s="136">
        <f>IFERROR(__xludf.DUMMYFUNCTION("""COMPUTED_VALUE"""),69.0)</f>
        <v>69</v>
      </c>
      <c r="O165" s="138">
        <f>IFERROR(__xludf.DUMMYFUNCTION("""COMPUTED_VALUE"""),4.0)</f>
        <v>4</v>
      </c>
      <c r="P165" s="138">
        <f>IFERROR(__xludf.DUMMYFUNCTION("""COMPUTED_VALUE"""),0.0)</f>
        <v>0</v>
      </c>
      <c r="Q165" s="138">
        <f>IFERROR(__xludf.DUMMYFUNCTION("""COMPUTED_VALUE"""),1.0)</f>
        <v>1</v>
      </c>
      <c r="R165" s="138">
        <f>IFERROR(__xludf.DUMMYFUNCTION("""COMPUTED_VALUE"""),11.0)</f>
        <v>11</v>
      </c>
      <c r="S165" s="139">
        <f>IFERROR(__xludf.DUMMYFUNCTION("""COMPUTED_VALUE"""),295.0)</f>
        <v>295</v>
      </c>
      <c r="T165" s="140">
        <f>IFERROR(__xludf.DUMMYFUNCTION("""COMPUTED_VALUE"""),91.0)</f>
        <v>91</v>
      </c>
      <c r="U165" s="136">
        <f>IFERROR(__xludf.DUMMYFUNCTION("""COMPUTED_VALUE"""),28.0)</f>
        <v>28</v>
      </c>
      <c r="V165" s="136">
        <f>IFERROR(__xludf.DUMMYFUNCTION("""COMPUTED_VALUE"""),39.0)</f>
        <v>39</v>
      </c>
      <c r="W165" s="136">
        <f>IFERROR(__xludf.DUMMYFUNCTION("""COMPUTED_VALUE"""),39.0)</f>
        <v>39</v>
      </c>
      <c r="X165" s="136">
        <f>IFERROR(__xludf.DUMMYFUNCTION("""COMPUTED_VALUE"""),368.45454545454544)</f>
        <v>368.4545455</v>
      </c>
      <c r="Y165" s="141">
        <f>IFERROR(__xludf.DUMMYFUNCTION("""COMPUTED_VALUE"""),47.979696969696974)</f>
        <v>47.97969697</v>
      </c>
      <c r="Z165" s="141">
        <f>IFERROR(__xludf.DUMMYFUNCTION("""COMPUTED_VALUE"""),2244.2727272727275)</f>
        <v>2244.272727</v>
      </c>
    </row>
    <row r="166">
      <c r="A166" s="41" t="str">
        <f>IFERROR(__xludf.DUMMYFUNCTION("""COMPUTED_VALUE"""),"Master")</f>
        <v>Master</v>
      </c>
      <c r="B166" s="41" t="str">
        <f>IFERROR(__xludf.DUMMYFUNCTION("""COMPUTED_VALUE"""),"RSC003323")</f>
        <v>RSC003323</v>
      </c>
      <c r="C166" s="41" t="str">
        <f>IFERROR(__xludf.DUMMYFUNCTION("""COMPUTED_VALUE"""),"Boog McCroog")</f>
        <v>Boog McCroog</v>
      </c>
      <c r="D166" s="41" t="str">
        <f>IFERROR(__xludf.DUMMYFUNCTION("""COMPUTED_VALUE"""),"Spectres")</f>
        <v>Spectres</v>
      </c>
      <c r="E166" s="136">
        <f>IFERROR(__xludf.DUMMYFUNCTION("""COMPUTED_VALUE"""),50.0)</f>
        <v>50</v>
      </c>
      <c r="F166" s="136">
        <f>IFERROR(__xludf.DUMMYFUNCTION("""COMPUTED_VALUE"""),27.0)</f>
        <v>27</v>
      </c>
      <c r="G166" s="136">
        <f>IFERROR(__xludf.DUMMYFUNCTION("""COMPUTED_VALUE"""),23.0)</f>
        <v>23</v>
      </c>
      <c r="H166" s="137">
        <f>IFERROR(__xludf.DUMMYFUNCTION("""COMPUTED_VALUE"""),0.54)</f>
        <v>0.54</v>
      </c>
      <c r="I166" s="136">
        <f>IFERROR(__xludf.DUMMYFUNCTION("""COMPUTED_VALUE"""),9.0)</f>
        <v>9</v>
      </c>
      <c r="J166" s="136">
        <f>IFERROR(__xludf.DUMMYFUNCTION("""COMPUTED_VALUE"""),13957.0)</f>
        <v>13957</v>
      </c>
      <c r="K166" s="136">
        <f>IFERROR(__xludf.DUMMYFUNCTION("""COMPUTED_VALUE"""),20.0)</f>
        <v>20</v>
      </c>
      <c r="L166" s="136">
        <f>IFERROR(__xludf.DUMMYFUNCTION("""COMPUTED_VALUE"""),26.0)</f>
        <v>26</v>
      </c>
      <c r="M166" s="136">
        <f>IFERROR(__xludf.DUMMYFUNCTION("""COMPUTED_VALUE"""),55.0)</f>
        <v>55</v>
      </c>
      <c r="N166" s="136">
        <f>IFERROR(__xludf.DUMMYFUNCTION("""COMPUTED_VALUE"""),93.0)</f>
        <v>93</v>
      </c>
      <c r="O166" s="138">
        <f>IFERROR(__xludf.DUMMYFUNCTION("""COMPUTED_VALUE"""),6.0)</f>
        <v>6</v>
      </c>
      <c r="P166" s="138">
        <f>IFERROR(__xludf.DUMMYFUNCTION("""COMPUTED_VALUE"""),1.0)</f>
        <v>1</v>
      </c>
      <c r="Q166" s="138">
        <f>IFERROR(__xludf.DUMMYFUNCTION("""COMPUTED_VALUE"""),1.0)</f>
        <v>1</v>
      </c>
      <c r="R166" s="138">
        <f>IFERROR(__xludf.DUMMYFUNCTION("""COMPUTED_VALUE"""),3.0)</f>
        <v>3</v>
      </c>
      <c r="S166" s="139">
        <f>IFERROR(__xludf.DUMMYFUNCTION("""COMPUTED_VALUE"""),352.0)</f>
        <v>352</v>
      </c>
      <c r="T166" s="140">
        <f>IFERROR(__xludf.DUMMYFUNCTION("""COMPUTED_VALUE"""),101.0)</f>
        <v>101</v>
      </c>
      <c r="U166" s="136">
        <f>IFERROR(__xludf.DUMMYFUNCTION("""COMPUTED_VALUE"""),34.0)</f>
        <v>34</v>
      </c>
      <c r="V166" s="136">
        <f>IFERROR(__xludf.DUMMYFUNCTION("""COMPUTED_VALUE"""),48.0)</f>
        <v>48</v>
      </c>
      <c r="W166" s="136">
        <f>IFERROR(__xludf.DUMMYFUNCTION("""COMPUTED_VALUE"""),44.0)</f>
        <v>44</v>
      </c>
      <c r="X166" s="136">
        <f>IFERROR(__xludf.DUMMYFUNCTION("""COMPUTED_VALUE"""),338.1521739130435)</f>
        <v>338.1521739</v>
      </c>
      <c r="Y166" s="141">
        <f>IFERROR(__xludf.DUMMYFUNCTION("""COMPUTED_VALUE"""),47.407826086956526)</f>
        <v>47.40782609</v>
      </c>
      <c r="Z166" s="141">
        <f>IFERROR(__xludf.DUMMYFUNCTION("""COMPUTED_VALUE"""),2081.7391304347825)</f>
        <v>2081.73913</v>
      </c>
    </row>
    <row r="167">
      <c r="A167" s="41" t="str">
        <f>IFERROR(__xludf.DUMMYFUNCTION("""COMPUTED_VALUE"""),"Challenger")</f>
        <v>Challenger</v>
      </c>
      <c r="B167" s="41" t="str">
        <f>IFERROR(__xludf.DUMMYFUNCTION("""COMPUTED_VALUE"""),"RSC003331")</f>
        <v>RSC003331</v>
      </c>
      <c r="C167" s="41" t="str">
        <f>IFERROR(__xludf.DUMMYFUNCTION("""COMPUTED_VALUE"""),"Frostii")</f>
        <v>Frostii</v>
      </c>
      <c r="D167" s="41" t="str">
        <f>IFERROR(__xludf.DUMMYFUNCTION("""COMPUTED_VALUE"""),"Chromatic Chaos")</f>
        <v>Chromatic Chaos</v>
      </c>
      <c r="E167" s="136">
        <f>IFERROR(__xludf.DUMMYFUNCTION("""COMPUTED_VALUE"""),52.0)</f>
        <v>52</v>
      </c>
      <c r="F167" s="136">
        <f>IFERROR(__xludf.DUMMYFUNCTION("""COMPUTED_VALUE"""),26.0)</f>
        <v>26</v>
      </c>
      <c r="G167" s="136">
        <f>IFERROR(__xludf.DUMMYFUNCTION("""COMPUTED_VALUE"""),26.0)</f>
        <v>26</v>
      </c>
      <c r="H167" s="137">
        <f>IFERROR(__xludf.DUMMYFUNCTION("""COMPUTED_VALUE"""),0.5)</f>
        <v>0.5</v>
      </c>
      <c r="I167" s="136">
        <f>IFERROR(__xludf.DUMMYFUNCTION("""COMPUTED_VALUE"""),20.0)</f>
        <v>20</v>
      </c>
      <c r="J167" s="136">
        <f>IFERROR(__xludf.DUMMYFUNCTION("""COMPUTED_VALUE"""),19986.0)</f>
        <v>19986</v>
      </c>
      <c r="K167" s="136">
        <f>IFERROR(__xludf.DUMMYFUNCTION("""COMPUTED_VALUE"""),51.0)</f>
        <v>51</v>
      </c>
      <c r="L167" s="136">
        <f>IFERROR(__xludf.DUMMYFUNCTION("""COMPUTED_VALUE"""),25.0)</f>
        <v>25</v>
      </c>
      <c r="M167" s="136">
        <f>IFERROR(__xludf.DUMMYFUNCTION("""COMPUTED_VALUE"""),67.0)</f>
        <v>67</v>
      </c>
      <c r="N167" s="136">
        <f>IFERROR(__xludf.DUMMYFUNCTION("""COMPUTED_VALUE"""),139.0)</f>
        <v>139</v>
      </c>
      <c r="O167" s="138">
        <f>IFERROR(__xludf.DUMMYFUNCTION("""COMPUTED_VALUE"""),9.0)</f>
        <v>9</v>
      </c>
      <c r="P167" s="138">
        <f>IFERROR(__xludf.DUMMYFUNCTION("""COMPUTED_VALUE"""),5.0)</f>
        <v>5</v>
      </c>
      <c r="Q167" s="138">
        <f>IFERROR(__xludf.DUMMYFUNCTION("""COMPUTED_VALUE"""),0.0)</f>
        <v>0</v>
      </c>
      <c r="R167" s="138">
        <f>IFERROR(__xludf.DUMMYFUNCTION("""COMPUTED_VALUE"""),7.0)</f>
        <v>7</v>
      </c>
      <c r="S167" s="139">
        <f>IFERROR(__xludf.DUMMYFUNCTION("""COMPUTED_VALUE"""),399.0)</f>
        <v>399</v>
      </c>
      <c r="T167" s="140">
        <f>IFERROR(__xludf.DUMMYFUNCTION("""COMPUTED_VALUE"""),119.0)</f>
        <v>119</v>
      </c>
      <c r="U167" s="136">
        <f>IFERROR(__xludf.DUMMYFUNCTION("""COMPUTED_VALUE"""),32.0)</f>
        <v>32</v>
      </c>
      <c r="V167" s="136">
        <f>IFERROR(__xludf.DUMMYFUNCTION("""COMPUTED_VALUE"""),63.0)</f>
        <v>63</v>
      </c>
      <c r="W167" s="136">
        <f>IFERROR(__xludf.DUMMYFUNCTION("""COMPUTED_VALUE"""),48.0)</f>
        <v>48</v>
      </c>
      <c r="X167" s="136">
        <f>IFERROR(__xludf.DUMMYFUNCTION("""COMPUTED_VALUE"""),417.7692307692308)</f>
        <v>417.7692308</v>
      </c>
      <c r="Y167" s="141">
        <f>IFERROR(__xludf.DUMMYFUNCTION("""COMPUTED_VALUE"""),47.50673076923077)</f>
        <v>47.50673077</v>
      </c>
      <c r="Z167" s="141">
        <f>IFERROR(__xludf.DUMMYFUNCTION("""COMPUTED_VALUE"""),2472.2884615384614)</f>
        <v>2472.288462</v>
      </c>
    </row>
    <row r="168">
      <c r="A168" s="41" t="str">
        <f>IFERROR(__xludf.DUMMYFUNCTION("""COMPUTED_VALUE"""),"Veteran")</f>
        <v>Veteran</v>
      </c>
      <c r="B168" s="41" t="str">
        <f>IFERROR(__xludf.DUMMYFUNCTION("""COMPUTED_VALUE"""),"RSC003333")</f>
        <v>RSC003333</v>
      </c>
      <c r="C168" s="41" t="str">
        <f>IFERROR(__xludf.DUMMYFUNCTION("""COMPUTED_VALUE"""),"Mike The Ox")</f>
        <v>Mike The Ox</v>
      </c>
      <c r="D168" s="41" t="str">
        <f>IFERROR(__xludf.DUMMYFUNCTION("""COMPUTED_VALUE"""),"Gargoyle")</f>
        <v>Gargoyle</v>
      </c>
      <c r="E168" s="136">
        <f>IFERROR(__xludf.DUMMYFUNCTION("""COMPUTED_VALUE"""),1.0)</f>
        <v>1</v>
      </c>
      <c r="F168" s="136">
        <f>IFERROR(__xludf.DUMMYFUNCTION("""COMPUTED_VALUE"""),1.0)</f>
        <v>1</v>
      </c>
      <c r="G168" s="136">
        <f>IFERROR(__xludf.DUMMYFUNCTION("""COMPUTED_VALUE"""),0.0)</f>
        <v>0</v>
      </c>
      <c r="H168" s="137">
        <f>IFERROR(__xludf.DUMMYFUNCTION("""COMPUTED_VALUE"""),1.0)</f>
        <v>1</v>
      </c>
      <c r="I168" s="136">
        <f>IFERROR(__xludf.DUMMYFUNCTION("""COMPUTED_VALUE"""),0.0)</f>
        <v>0</v>
      </c>
      <c r="J168" s="136">
        <f>IFERROR(__xludf.DUMMYFUNCTION("""COMPUTED_VALUE"""),216.0)</f>
        <v>216</v>
      </c>
      <c r="K168" s="136">
        <f>IFERROR(__xludf.DUMMYFUNCTION("""COMPUTED_VALUE"""),0.0)</f>
        <v>0</v>
      </c>
      <c r="L168" s="136">
        <f>IFERROR(__xludf.DUMMYFUNCTION("""COMPUTED_VALUE"""),1.0)</f>
        <v>1</v>
      </c>
      <c r="M168" s="136">
        <f>IFERROR(__xludf.DUMMYFUNCTION("""COMPUTED_VALUE"""),1.0)</f>
        <v>1</v>
      </c>
      <c r="N168" s="136">
        <f>IFERROR(__xludf.DUMMYFUNCTION("""COMPUTED_VALUE"""),1.0)</f>
        <v>1</v>
      </c>
      <c r="O168" s="138">
        <f>IFERROR(__xludf.DUMMYFUNCTION("""COMPUTED_VALUE"""),0.0)</f>
        <v>0</v>
      </c>
      <c r="P168" s="138">
        <f>IFERROR(__xludf.DUMMYFUNCTION("""COMPUTED_VALUE"""),0.0)</f>
        <v>0</v>
      </c>
      <c r="Q168" s="138">
        <f>IFERROR(__xludf.DUMMYFUNCTION("""COMPUTED_VALUE"""),0.0)</f>
        <v>0</v>
      </c>
      <c r="R168" s="138">
        <f>IFERROR(__xludf.DUMMYFUNCTION("""COMPUTED_VALUE"""),0.0)</f>
        <v>0</v>
      </c>
      <c r="S168" s="139">
        <f>IFERROR(__xludf.DUMMYFUNCTION("""COMPUTED_VALUE"""),4.0)</f>
        <v>4</v>
      </c>
      <c r="T168" s="140">
        <f>IFERROR(__xludf.DUMMYFUNCTION("""COMPUTED_VALUE"""),1.0)</f>
        <v>1</v>
      </c>
      <c r="U168" s="136">
        <f>IFERROR(__xludf.DUMMYFUNCTION("""COMPUTED_VALUE"""),1.0)</f>
        <v>1</v>
      </c>
      <c r="V168" s="136">
        <f>IFERROR(__xludf.DUMMYFUNCTION("""COMPUTED_VALUE"""),0.0)</f>
        <v>0</v>
      </c>
      <c r="W168" s="136">
        <f>IFERROR(__xludf.DUMMYFUNCTION("""COMPUTED_VALUE"""),2.0)</f>
        <v>2</v>
      </c>
      <c r="X168" s="136">
        <f>IFERROR(__xludf.DUMMYFUNCTION("""COMPUTED_VALUE"""),256.0)</f>
        <v>256</v>
      </c>
      <c r="Y168" s="141">
        <f>IFERROR(__xludf.DUMMYFUNCTION("""COMPUTED_VALUE"""),56.65)</f>
        <v>56.65</v>
      </c>
      <c r="Z168" s="141">
        <f>IFERROR(__xludf.DUMMYFUNCTION("""COMPUTED_VALUE"""),1475.0)</f>
        <v>1475</v>
      </c>
    </row>
    <row r="169">
      <c r="A169" s="41" t="str">
        <f>IFERROR(__xludf.DUMMYFUNCTION("""COMPUTED_VALUE"""),"Challenger")</f>
        <v>Challenger</v>
      </c>
      <c r="B169" s="41" t="str">
        <f>IFERROR(__xludf.DUMMYFUNCTION("""COMPUTED_VALUE"""),"RSC003335")</f>
        <v>RSC003335</v>
      </c>
      <c r="C169" s="41" t="str">
        <f>IFERROR(__xludf.DUMMYFUNCTION("""COMPUTED_VALUE"""),"xEaglex20x")</f>
        <v>xEaglex20x</v>
      </c>
      <c r="D169" s="41" t="str">
        <f>IFERROR(__xludf.DUMMYFUNCTION("""COMPUTED_VALUE"""),"Metal")</f>
        <v>Metal</v>
      </c>
      <c r="E169" s="136">
        <f>IFERROR(__xludf.DUMMYFUNCTION("""COMPUTED_VALUE"""),4.0)</f>
        <v>4</v>
      </c>
      <c r="F169" s="136">
        <f>IFERROR(__xludf.DUMMYFUNCTION("""COMPUTED_VALUE"""),1.0)</f>
        <v>1</v>
      </c>
      <c r="G169" s="136">
        <f>IFERROR(__xludf.DUMMYFUNCTION("""COMPUTED_VALUE"""),3.0)</f>
        <v>3</v>
      </c>
      <c r="H169" s="137">
        <f>IFERROR(__xludf.DUMMYFUNCTION("""COMPUTED_VALUE"""),0.25)</f>
        <v>0.25</v>
      </c>
      <c r="I169" s="136">
        <f>IFERROR(__xludf.DUMMYFUNCTION("""COMPUTED_VALUE"""),0.0)</f>
        <v>0</v>
      </c>
      <c r="J169" s="136">
        <f>IFERROR(__xludf.DUMMYFUNCTION("""COMPUTED_VALUE"""),1181.0)</f>
        <v>1181</v>
      </c>
      <c r="K169" s="136">
        <f>IFERROR(__xludf.DUMMYFUNCTION("""COMPUTED_VALUE"""),1.0)</f>
        <v>1</v>
      </c>
      <c r="L169" s="136">
        <f>IFERROR(__xludf.DUMMYFUNCTION("""COMPUTED_VALUE"""),3.0)</f>
        <v>3</v>
      </c>
      <c r="M169" s="136">
        <f>IFERROR(__xludf.DUMMYFUNCTION("""COMPUTED_VALUE"""),8.0)</f>
        <v>8</v>
      </c>
      <c r="N169" s="136">
        <f>IFERROR(__xludf.DUMMYFUNCTION("""COMPUTED_VALUE"""),3.0)</f>
        <v>3</v>
      </c>
      <c r="O169" s="138">
        <f>IFERROR(__xludf.DUMMYFUNCTION("""COMPUTED_VALUE"""),1.0)</f>
        <v>1</v>
      </c>
      <c r="P169" s="138">
        <f>IFERROR(__xludf.DUMMYFUNCTION("""COMPUTED_VALUE"""),0.0)</f>
        <v>0</v>
      </c>
      <c r="Q169" s="138">
        <f>IFERROR(__xludf.DUMMYFUNCTION("""COMPUTED_VALUE"""),0.0)</f>
        <v>0</v>
      </c>
      <c r="R169" s="138">
        <f>IFERROR(__xludf.DUMMYFUNCTION("""COMPUTED_VALUE"""),2.0)</f>
        <v>2</v>
      </c>
      <c r="S169" s="139">
        <f>IFERROR(__xludf.DUMMYFUNCTION("""COMPUTED_VALUE"""),37.0)</f>
        <v>37</v>
      </c>
      <c r="T169" s="140">
        <f>IFERROR(__xludf.DUMMYFUNCTION("""COMPUTED_VALUE"""),12.0)</f>
        <v>12</v>
      </c>
      <c r="U169" s="136">
        <f>IFERROR(__xludf.DUMMYFUNCTION("""COMPUTED_VALUE"""),5.0)</f>
        <v>5</v>
      </c>
      <c r="V169" s="136">
        <f>IFERROR(__xludf.DUMMYFUNCTION("""COMPUTED_VALUE"""),4.0)</f>
        <v>4</v>
      </c>
      <c r="W169" s="136">
        <f>IFERROR(__xludf.DUMMYFUNCTION("""COMPUTED_VALUE"""),4.0)</f>
        <v>4</v>
      </c>
      <c r="X169" s="136">
        <f>IFERROR(__xludf.DUMMYFUNCTION("""COMPUTED_VALUE"""),388.25)</f>
        <v>388.25</v>
      </c>
      <c r="Y169" s="141">
        <f>IFERROR(__xludf.DUMMYFUNCTION("""COMPUTED_VALUE"""),47.98)</f>
        <v>47.98</v>
      </c>
      <c r="Z169" s="141">
        <f>IFERROR(__xludf.DUMMYFUNCTION("""COMPUTED_VALUE"""),2221.75)</f>
        <v>2221.75</v>
      </c>
    </row>
    <row r="170">
      <c r="A170" s="41" t="str">
        <f>IFERROR(__xludf.DUMMYFUNCTION("""COMPUTED_VALUE"""),"Elite")</f>
        <v>Elite</v>
      </c>
      <c r="B170" s="41" t="str">
        <f>IFERROR(__xludf.DUMMYFUNCTION("""COMPUTED_VALUE"""),"RSC003360")</f>
        <v>RSC003360</v>
      </c>
      <c r="C170" s="41" t="str">
        <f>IFERROR(__xludf.DUMMYFUNCTION("""COMPUTED_VALUE"""),"flossy")</f>
        <v>flossy</v>
      </c>
      <c r="D170" s="41" t="str">
        <f>IFERROR(__xludf.DUMMYFUNCTION("""COMPUTED_VALUE"""),"Dragon")</f>
        <v>Dragon</v>
      </c>
      <c r="E170" s="136">
        <f>IFERROR(__xludf.DUMMYFUNCTION("""COMPUTED_VALUE"""),56.0)</f>
        <v>56</v>
      </c>
      <c r="F170" s="136">
        <f>IFERROR(__xludf.DUMMYFUNCTION("""COMPUTED_VALUE"""),40.0)</f>
        <v>40</v>
      </c>
      <c r="G170" s="136">
        <f>IFERROR(__xludf.DUMMYFUNCTION("""COMPUTED_VALUE"""),16.0)</f>
        <v>16</v>
      </c>
      <c r="H170" s="137">
        <f>IFERROR(__xludf.DUMMYFUNCTION("""COMPUTED_VALUE"""),0.7142857142857143)</f>
        <v>0.7142857143</v>
      </c>
      <c r="I170" s="136">
        <f>IFERROR(__xludf.DUMMYFUNCTION("""COMPUTED_VALUE"""),16.0)</f>
        <v>16</v>
      </c>
      <c r="J170" s="136">
        <f>IFERROR(__xludf.DUMMYFUNCTION("""COMPUTED_VALUE"""),21199.0)</f>
        <v>21199</v>
      </c>
      <c r="K170" s="136">
        <f>IFERROR(__xludf.DUMMYFUNCTION("""COMPUTED_VALUE"""),65.0)</f>
        <v>65</v>
      </c>
      <c r="L170" s="136">
        <f>IFERROR(__xludf.DUMMYFUNCTION("""COMPUTED_VALUE"""),27.0)</f>
        <v>27</v>
      </c>
      <c r="M170" s="136">
        <f>IFERROR(__xludf.DUMMYFUNCTION("""COMPUTED_VALUE"""),76.0)</f>
        <v>76</v>
      </c>
      <c r="N170" s="136">
        <f>IFERROR(__xludf.DUMMYFUNCTION("""COMPUTED_VALUE"""),164.0)</f>
        <v>164</v>
      </c>
      <c r="O170" s="138">
        <f>IFERROR(__xludf.DUMMYFUNCTION("""COMPUTED_VALUE"""),9.0)</f>
        <v>9</v>
      </c>
      <c r="P170" s="138">
        <f>IFERROR(__xludf.DUMMYFUNCTION("""COMPUTED_VALUE"""),6.0)</f>
        <v>6</v>
      </c>
      <c r="Q170" s="138">
        <f>IFERROR(__xludf.DUMMYFUNCTION("""COMPUTED_VALUE"""),1.0)</f>
        <v>1</v>
      </c>
      <c r="R170" s="138">
        <f>IFERROR(__xludf.DUMMYFUNCTION("""COMPUTED_VALUE"""),6.0)</f>
        <v>6</v>
      </c>
      <c r="S170" s="139">
        <f>IFERROR(__xludf.DUMMYFUNCTION("""COMPUTED_VALUE"""),414.0)</f>
        <v>414</v>
      </c>
      <c r="T170" s="140">
        <f>IFERROR(__xludf.DUMMYFUNCTION("""COMPUTED_VALUE"""),111.0)</f>
        <v>111</v>
      </c>
      <c r="U170" s="136">
        <f>IFERROR(__xludf.DUMMYFUNCTION("""COMPUTED_VALUE"""),35.0)</f>
        <v>35</v>
      </c>
      <c r="V170" s="136">
        <f>IFERROR(__xludf.DUMMYFUNCTION("""COMPUTED_VALUE"""),61.0)</f>
        <v>61</v>
      </c>
      <c r="W170" s="136">
        <f>IFERROR(__xludf.DUMMYFUNCTION("""COMPUTED_VALUE"""),61.0)</f>
        <v>61</v>
      </c>
      <c r="X170" s="136">
        <f>IFERROR(__xludf.DUMMYFUNCTION("""COMPUTED_VALUE"""),377.19642857142856)</f>
        <v>377.1964286</v>
      </c>
      <c r="Y170" s="141">
        <f>IFERROR(__xludf.DUMMYFUNCTION("""COMPUTED_VALUE"""),49.914999999999985)</f>
        <v>49.915</v>
      </c>
      <c r="Z170" s="141">
        <f>IFERROR(__xludf.DUMMYFUNCTION("""COMPUTED_VALUE"""),2312.160714285714)</f>
        <v>2312.160714</v>
      </c>
    </row>
    <row r="171">
      <c r="A171" s="41" t="str">
        <f>IFERROR(__xludf.DUMMYFUNCTION("""COMPUTED_VALUE"""),"Challenger")</f>
        <v>Challenger</v>
      </c>
      <c r="B171" s="41" t="str">
        <f>IFERROR(__xludf.DUMMYFUNCTION("""COMPUTED_VALUE"""),"RSC003387")</f>
        <v>RSC003387</v>
      </c>
      <c r="C171" s="41" t="str">
        <f>IFERROR(__xludf.DUMMYFUNCTION("""COMPUTED_VALUE"""),"Redline")</f>
        <v>Redline</v>
      </c>
      <c r="D171" s="41" t="str">
        <f>IFERROR(__xludf.DUMMYFUNCTION("""COMPUTED_VALUE"""),"Havarti Hustlers")</f>
        <v>Havarti Hustlers</v>
      </c>
      <c r="E171" s="136">
        <f>IFERROR(__xludf.DUMMYFUNCTION("""COMPUTED_VALUE"""),30.0)</f>
        <v>30</v>
      </c>
      <c r="F171" s="136">
        <f>IFERROR(__xludf.DUMMYFUNCTION("""COMPUTED_VALUE"""),12.0)</f>
        <v>12</v>
      </c>
      <c r="G171" s="136">
        <f>IFERROR(__xludf.DUMMYFUNCTION("""COMPUTED_VALUE"""),18.0)</f>
        <v>18</v>
      </c>
      <c r="H171" s="137">
        <f>IFERROR(__xludf.DUMMYFUNCTION("""COMPUTED_VALUE"""),0.4)</f>
        <v>0.4</v>
      </c>
      <c r="I171" s="136">
        <f>IFERROR(__xludf.DUMMYFUNCTION("""COMPUTED_VALUE"""),3.0)</f>
        <v>3</v>
      </c>
      <c r="J171" s="136">
        <f>IFERROR(__xludf.DUMMYFUNCTION("""COMPUTED_VALUE"""),10336.0)</f>
        <v>10336</v>
      </c>
      <c r="K171" s="136">
        <f>IFERROR(__xludf.DUMMYFUNCTION("""COMPUTED_VALUE"""),22.0)</f>
        <v>22</v>
      </c>
      <c r="L171" s="136">
        <f>IFERROR(__xludf.DUMMYFUNCTION("""COMPUTED_VALUE"""),13.0)</f>
        <v>13</v>
      </c>
      <c r="M171" s="136">
        <f>IFERROR(__xludf.DUMMYFUNCTION("""COMPUTED_VALUE"""),45.0)</f>
        <v>45</v>
      </c>
      <c r="N171" s="136">
        <f>IFERROR(__xludf.DUMMYFUNCTION("""COMPUTED_VALUE"""),60.0)</f>
        <v>60</v>
      </c>
      <c r="O171" s="138">
        <f>IFERROR(__xludf.DUMMYFUNCTION("""COMPUTED_VALUE"""),3.0)</f>
        <v>3</v>
      </c>
      <c r="P171" s="138">
        <f>IFERROR(__xludf.DUMMYFUNCTION("""COMPUTED_VALUE"""),1.0)</f>
        <v>1</v>
      </c>
      <c r="Q171" s="138">
        <f>IFERROR(__xludf.DUMMYFUNCTION("""COMPUTED_VALUE"""),0.0)</f>
        <v>0</v>
      </c>
      <c r="R171" s="138">
        <f>IFERROR(__xludf.DUMMYFUNCTION("""COMPUTED_VALUE"""),3.0)</f>
        <v>3</v>
      </c>
      <c r="S171" s="139">
        <f>IFERROR(__xludf.DUMMYFUNCTION("""COMPUTED_VALUE"""),252.0)</f>
        <v>252</v>
      </c>
      <c r="T171" s="140">
        <f>IFERROR(__xludf.DUMMYFUNCTION("""COMPUTED_VALUE"""),81.0)</f>
        <v>81</v>
      </c>
      <c r="U171" s="136">
        <f>IFERROR(__xludf.DUMMYFUNCTION("""COMPUTED_VALUE"""),25.0)</f>
        <v>25</v>
      </c>
      <c r="V171" s="136">
        <f>IFERROR(__xludf.DUMMYFUNCTION("""COMPUTED_VALUE"""),9.0)</f>
        <v>9</v>
      </c>
      <c r="W171" s="136">
        <f>IFERROR(__xludf.DUMMYFUNCTION("""COMPUTED_VALUE"""),36.0)</f>
        <v>36</v>
      </c>
      <c r="X171" s="136">
        <f>IFERROR(__xludf.DUMMYFUNCTION("""COMPUTED_VALUE"""),240.1)</f>
        <v>240.1</v>
      </c>
      <c r="Y171" s="141">
        <f>IFERROR(__xludf.DUMMYFUNCTION("""COMPUTED_VALUE"""),48.846333333333334)</f>
        <v>48.84633333</v>
      </c>
      <c r="Z171" s="141">
        <f>IFERROR(__xludf.DUMMYFUNCTION("""COMPUTED_VALUE"""),1527.7666666666667)</f>
        <v>1527.766667</v>
      </c>
    </row>
    <row r="172">
      <c r="A172" s="41" t="str">
        <f>IFERROR(__xludf.DUMMYFUNCTION("""COMPUTED_VALUE"""),"Rival")</f>
        <v>Rival</v>
      </c>
      <c r="B172" s="41" t="str">
        <f>IFERROR(__xludf.DUMMYFUNCTION("""COMPUTED_VALUE"""),"RSC003411")</f>
        <v>RSC003411</v>
      </c>
      <c r="C172" s="41" t="str">
        <f>IFERROR(__xludf.DUMMYFUNCTION("""COMPUTED_VALUE"""),"levibullrush")</f>
        <v>levibullrush</v>
      </c>
      <c r="D172" s="41" t="str">
        <f>IFERROR(__xludf.DUMMYFUNCTION("""COMPUTED_VALUE"""),"Quasars")</f>
        <v>Quasars</v>
      </c>
      <c r="E172" s="136">
        <f>IFERROR(__xludf.DUMMYFUNCTION("""COMPUTED_VALUE"""),7.0)</f>
        <v>7</v>
      </c>
      <c r="F172" s="136">
        <f>IFERROR(__xludf.DUMMYFUNCTION("""COMPUTED_VALUE"""),4.0)</f>
        <v>4</v>
      </c>
      <c r="G172" s="136">
        <f>IFERROR(__xludf.DUMMYFUNCTION("""COMPUTED_VALUE"""),3.0)</f>
        <v>3</v>
      </c>
      <c r="H172" s="137">
        <f>IFERROR(__xludf.DUMMYFUNCTION("""COMPUTED_VALUE"""),0.5714285714285714)</f>
        <v>0.5714285714</v>
      </c>
      <c r="I172" s="136">
        <f>IFERROR(__xludf.DUMMYFUNCTION("""COMPUTED_VALUE"""),1.0)</f>
        <v>1</v>
      </c>
      <c r="J172" s="136">
        <f>IFERROR(__xludf.DUMMYFUNCTION("""COMPUTED_VALUE"""),2812.0)</f>
        <v>2812</v>
      </c>
      <c r="K172" s="136">
        <f>IFERROR(__xludf.DUMMYFUNCTION("""COMPUTED_VALUE"""),6.0)</f>
        <v>6</v>
      </c>
      <c r="L172" s="136">
        <f>IFERROR(__xludf.DUMMYFUNCTION("""COMPUTED_VALUE"""),5.0)</f>
        <v>5</v>
      </c>
      <c r="M172" s="136">
        <f>IFERROR(__xludf.DUMMYFUNCTION("""COMPUTED_VALUE"""),12.0)</f>
        <v>12</v>
      </c>
      <c r="N172" s="136">
        <f>IFERROR(__xludf.DUMMYFUNCTION("""COMPUTED_VALUE"""),24.0)</f>
        <v>24</v>
      </c>
      <c r="O172" s="138">
        <f>IFERROR(__xludf.DUMMYFUNCTION("""COMPUTED_VALUE"""),3.0)</f>
        <v>3</v>
      </c>
      <c r="P172" s="138">
        <f>IFERROR(__xludf.DUMMYFUNCTION("""COMPUTED_VALUE"""),1.0)</f>
        <v>1</v>
      </c>
      <c r="Q172" s="138">
        <f>IFERROR(__xludf.DUMMYFUNCTION("""COMPUTED_VALUE"""),0.0)</f>
        <v>0</v>
      </c>
      <c r="R172" s="138">
        <f>IFERROR(__xludf.DUMMYFUNCTION("""COMPUTED_VALUE"""),1.0)</f>
        <v>1</v>
      </c>
      <c r="S172" s="139">
        <f>IFERROR(__xludf.DUMMYFUNCTION("""COMPUTED_VALUE"""),65.0)</f>
        <v>65</v>
      </c>
      <c r="T172" s="140">
        <f>IFERROR(__xludf.DUMMYFUNCTION("""COMPUTED_VALUE"""),16.0)</f>
        <v>16</v>
      </c>
      <c r="U172" s="136">
        <f>IFERROR(__xludf.DUMMYFUNCTION("""COMPUTED_VALUE"""),3.0)</f>
        <v>3</v>
      </c>
      <c r="V172" s="136">
        <f>IFERROR(__xludf.DUMMYFUNCTION("""COMPUTED_VALUE"""),5.0)</f>
        <v>5</v>
      </c>
      <c r="W172" s="136">
        <f>IFERROR(__xludf.DUMMYFUNCTION("""COMPUTED_VALUE"""),5.0)</f>
        <v>5</v>
      </c>
      <c r="X172" s="136">
        <f>IFERROR(__xludf.DUMMYFUNCTION("""COMPUTED_VALUE"""),388.7142857142857)</f>
        <v>388.7142857</v>
      </c>
      <c r="Y172" s="141">
        <f>IFERROR(__xludf.DUMMYFUNCTION("""COMPUTED_VALUE"""),55.8757142857143)</f>
        <v>55.87571429</v>
      </c>
      <c r="Z172" s="141">
        <f>IFERROR(__xludf.DUMMYFUNCTION("""COMPUTED_VALUE"""),2334.1428571428573)</f>
        <v>2334.142857</v>
      </c>
    </row>
    <row r="173">
      <c r="A173" s="41" t="str">
        <f>IFERROR(__xludf.DUMMYFUNCTION("""COMPUTED_VALUE"""),"Elite")</f>
        <v>Elite</v>
      </c>
      <c r="B173" s="41" t="str">
        <f>IFERROR(__xludf.DUMMYFUNCTION("""COMPUTED_VALUE"""),"RSC003412")</f>
        <v>RSC003412</v>
      </c>
      <c r="C173" s="41" t="str">
        <f>IFERROR(__xludf.DUMMYFUNCTION("""COMPUTED_VALUE"""),"Python")</f>
        <v>Python</v>
      </c>
      <c r="D173" s="41" t="str">
        <f>IFERROR(__xludf.DUMMYFUNCTION("""COMPUTED_VALUE"""),"Krakens
Immortals
Forest Cobra
Teddy Bears
Black-Holes
Forge Defenders")</f>
        <v>Krakens
Immortals
Forest Cobra
Teddy Bears
Black-Holes
Forge Defenders</v>
      </c>
      <c r="E173" s="136">
        <f>IFERROR(__xludf.DUMMYFUNCTION("""COMPUTED_VALUE"""),41.0)</f>
        <v>41</v>
      </c>
      <c r="F173" s="136">
        <f>IFERROR(__xludf.DUMMYFUNCTION("""COMPUTED_VALUE"""),24.0)</f>
        <v>24</v>
      </c>
      <c r="G173" s="136">
        <f>IFERROR(__xludf.DUMMYFUNCTION("""COMPUTED_VALUE"""),17.0)</f>
        <v>17</v>
      </c>
      <c r="H173" s="137">
        <f>IFERROR(__xludf.DUMMYFUNCTION("""COMPUTED_VALUE"""),0.5853658536585366)</f>
        <v>0.5853658537</v>
      </c>
      <c r="I173" s="136">
        <f>IFERROR(__xludf.DUMMYFUNCTION("""COMPUTED_VALUE"""),12.0)</f>
        <v>12</v>
      </c>
      <c r="J173" s="136">
        <f>IFERROR(__xludf.DUMMYFUNCTION("""COMPUTED_VALUE"""),16753.0)</f>
        <v>16753</v>
      </c>
      <c r="K173" s="136">
        <f>IFERROR(__xludf.DUMMYFUNCTION("""COMPUTED_VALUE"""),43.0)</f>
        <v>43</v>
      </c>
      <c r="L173" s="136">
        <f>IFERROR(__xludf.DUMMYFUNCTION("""COMPUTED_VALUE"""),27.0)</f>
        <v>27</v>
      </c>
      <c r="M173" s="136">
        <f>IFERROR(__xludf.DUMMYFUNCTION("""COMPUTED_VALUE"""),57.0)</f>
        <v>57</v>
      </c>
      <c r="N173" s="136">
        <f>IFERROR(__xludf.DUMMYFUNCTION("""COMPUTED_VALUE"""),140.0)</f>
        <v>140</v>
      </c>
      <c r="O173" s="138">
        <f>IFERROR(__xludf.DUMMYFUNCTION("""COMPUTED_VALUE"""),12.0)</f>
        <v>12</v>
      </c>
      <c r="P173" s="138">
        <f>IFERROR(__xludf.DUMMYFUNCTION("""COMPUTED_VALUE"""),4.0)</f>
        <v>4</v>
      </c>
      <c r="Q173" s="138">
        <f>IFERROR(__xludf.DUMMYFUNCTION("""COMPUTED_VALUE"""),0.0)</f>
        <v>0</v>
      </c>
      <c r="R173" s="138">
        <f>IFERROR(__xludf.DUMMYFUNCTION("""COMPUTED_VALUE"""),11.0)</f>
        <v>11</v>
      </c>
      <c r="S173" s="139">
        <f>IFERROR(__xludf.DUMMYFUNCTION("""COMPUTED_VALUE"""),326.0)</f>
        <v>326</v>
      </c>
      <c r="T173" s="140">
        <f>IFERROR(__xludf.DUMMYFUNCTION("""COMPUTED_VALUE"""),100.0)</f>
        <v>100</v>
      </c>
      <c r="U173" s="136">
        <f>IFERROR(__xludf.DUMMYFUNCTION("""COMPUTED_VALUE"""),23.0)</f>
        <v>23</v>
      </c>
      <c r="V173" s="136">
        <f>IFERROR(__xludf.DUMMYFUNCTION("""COMPUTED_VALUE"""),29.0)</f>
        <v>29</v>
      </c>
      <c r="W173" s="136">
        <f>IFERROR(__xludf.DUMMYFUNCTION("""COMPUTED_VALUE"""),38.0)</f>
        <v>38</v>
      </c>
      <c r="X173" s="136">
        <f>IFERROR(__xludf.DUMMYFUNCTION("""COMPUTED_VALUE"""),361.6829268292683)</f>
        <v>361.6829268</v>
      </c>
      <c r="Y173" s="141">
        <f>IFERROR(__xludf.DUMMYFUNCTION("""COMPUTED_VALUE"""),47.018536585365865)</f>
        <v>47.01853659</v>
      </c>
      <c r="Z173" s="141">
        <f>IFERROR(__xludf.DUMMYFUNCTION("""COMPUTED_VALUE"""),2237.4634146341464)</f>
        <v>2237.463415</v>
      </c>
    </row>
    <row r="174">
      <c r="A174" s="41" t="str">
        <f>IFERROR(__xludf.DUMMYFUNCTION("""COMPUTED_VALUE"""),"Veteran")</f>
        <v>Veteran</v>
      </c>
      <c r="B174" s="41" t="str">
        <f>IFERROR(__xludf.DUMMYFUNCTION("""COMPUTED_VALUE"""),"RSC003416")</f>
        <v>RSC003416</v>
      </c>
      <c r="C174" s="41" t="str">
        <f>IFERROR(__xludf.DUMMYFUNCTION("""COMPUTED_VALUE"""),"DrSkimMilk")</f>
        <v>DrSkimMilk</v>
      </c>
      <c r="D174" s="41" t="str">
        <f>IFERROR(__xludf.DUMMYFUNCTION("""COMPUTED_VALUE"""),"Merciless Mob")</f>
        <v>Merciless Mob</v>
      </c>
      <c r="E174" s="136">
        <f>IFERROR(__xludf.DUMMYFUNCTION("""COMPUTED_VALUE"""),47.0)</f>
        <v>47</v>
      </c>
      <c r="F174" s="136">
        <f>IFERROR(__xludf.DUMMYFUNCTION("""COMPUTED_VALUE"""),24.0)</f>
        <v>24</v>
      </c>
      <c r="G174" s="136">
        <f>IFERROR(__xludf.DUMMYFUNCTION("""COMPUTED_VALUE"""),23.0)</f>
        <v>23</v>
      </c>
      <c r="H174" s="137">
        <f>IFERROR(__xludf.DUMMYFUNCTION("""COMPUTED_VALUE"""),0.5106382978723404)</f>
        <v>0.5106382979</v>
      </c>
      <c r="I174" s="136">
        <f>IFERROR(__xludf.DUMMYFUNCTION("""COMPUTED_VALUE"""),5.0)</f>
        <v>5</v>
      </c>
      <c r="J174" s="136">
        <f>IFERROR(__xludf.DUMMYFUNCTION("""COMPUTED_VALUE"""),16836.0)</f>
        <v>16836</v>
      </c>
      <c r="K174" s="136">
        <f>IFERROR(__xludf.DUMMYFUNCTION("""COMPUTED_VALUE"""),38.0)</f>
        <v>38</v>
      </c>
      <c r="L174" s="136">
        <f>IFERROR(__xludf.DUMMYFUNCTION("""COMPUTED_VALUE"""),25.0)</f>
        <v>25</v>
      </c>
      <c r="M174" s="136">
        <f>IFERROR(__xludf.DUMMYFUNCTION("""COMPUTED_VALUE"""),66.0)</f>
        <v>66</v>
      </c>
      <c r="N174" s="136">
        <f>IFERROR(__xludf.DUMMYFUNCTION("""COMPUTED_VALUE"""),125.0)</f>
        <v>125</v>
      </c>
      <c r="O174" s="138">
        <f>IFERROR(__xludf.DUMMYFUNCTION("""COMPUTED_VALUE"""),6.0)</f>
        <v>6</v>
      </c>
      <c r="P174" s="138">
        <f>IFERROR(__xludf.DUMMYFUNCTION("""COMPUTED_VALUE"""),4.0)</f>
        <v>4</v>
      </c>
      <c r="Q174" s="138">
        <f>IFERROR(__xludf.DUMMYFUNCTION("""COMPUTED_VALUE"""),2.0)</f>
        <v>2</v>
      </c>
      <c r="R174" s="138">
        <f>IFERROR(__xludf.DUMMYFUNCTION("""COMPUTED_VALUE"""),10.0)</f>
        <v>10</v>
      </c>
      <c r="S174" s="139">
        <f>IFERROR(__xludf.DUMMYFUNCTION("""COMPUTED_VALUE"""),391.0)</f>
        <v>391</v>
      </c>
      <c r="T174" s="140">
        <f>IFERROR(__xludf.DUMMYFUNCTION("""COMPUTED_VALUE"""),104.0)</f>
        <v>104</v>
      </c>
      <c r="U174" s="136">
        <f>IFERROR(__xludf.DUMMYFUNCTION("""COMPUTED_VALUE"""),39.0)</f>
        <v>39</v>
      </c>
      <c r="V174" s="136">
        <f>IFERROR(__xludf.DUMMYFUNCTION("""COMPUTED_VALUE"""),42.0)</f>
        <v>42</v>
      </c>
      <c r="W174" s="136">
        <f>IFERROR(__xludf.DUMMYFUNCTION("""COMPUTED_VALUE"""),49.0)</f>
        <v>49</v>
      </c>
      <c r="X174" s="136">
        <f>IFERROR(__xludf.DUMMYFUNCTION("""COMPUTED_VALUE"""),341.8085106382979)</f>
        <v>341.8085106</v>
      </c>
      <c r="Y174" s="141">
        <f>IFERROR(__xludf.DUMMYFUNCTION("""COMPUTED_VALUE"""),47.39829787234043)</f>
        <v>47.39829787</v>
      </c>
      <c r="Z174" s="141">
        <f>IFERROR(__xludf.DUMMYFUNCTION("""COMPUTED_VALUE"""),1972.6382978723404)</f>
        <v>1972.638298</v>
      </c>
    </row>
    <row r="175">
      <c r="A175" s="41" t="str">
        <f>IFERROR(__xludf.DUMMYFUNCTION("""COMPUTED_VALUE"""),"Elite")</f>
        <v>Elite</v>
      </c>
      <c r="B175" s="41" t="str">
        <f>IFERROR(__xludf.DUMMYFUNCTION("""COMPUTED_VALUE"""),"RSC003427")</f>
        <v>RSC003427</v>
      </c>
      <c r="C175" s="41" t="str">
        <f>IFERROR(__xludf.DUMMYFUNCTION("""COMPUTED_VALUE"""),"(P|F)ineapple")</f>
        <v>(P|F)ineapple</v>
      </c>
      <c r="D175" s="41" t="str">
        <f>IFERROR(__xludf.DUMMYFUNCTION("""COMPUTED_VALUE"""),"Orochi")</f>
        <v>Orochi</v>
      </c>
      <c r="E175" s="136">
        <f>IFERROR(__xludf.DUMMYFUNCTION("""COMPUTED_VALUE"""),50.0)</f>
        <v>50</v>
      </c>
      <c r="F175" s="136">
        <f>IFERROR(__xludf.DUMMYFUNCTION("""COMPUTED_VALUE"""),23.0)</f>
        <v>23</v>
      </c>
      <c r="G175" s="136">
        <f>IFERROR(__xludf.DUMMYFUNCTION("""COMPUTED_VALUE"""),27.0)</f>
        <v>27</v>
      </c>
      <c r="H175" s="137">
        <f>IFERROR(__xludf.DUMMYFUNCTION("""COMPUTED_VALUE"""),0.46)</f>
        <v>0.46</v>
      </c>
      <c r="I175" s="136">
        <f>IFERROR(__xludf.DUMMYFUNCTION("""COMPUTED_VALUE"""),6.0)</f>
        <v>6</v>
      </c>
      <c r="J175" s="136">
        <f>IFERROR(__xludf.DUMMYFUNCTION("""COMPUTED_VALUE"""),17146.0)</f>
        <v>17146</v>
      </c>
      <c r="K175" s="136">
        <f>IFERROR(__xludf.DUMMYFUNCTION("""COMPUTED_VALUE"""),34.0)</f>
        <v>34</v>
      </c>
      <c r="L175" s="136">
        <f>IFERROR(__xludf.DUMMYFUNCTION("""COMPUTED_VALUE"""),34.0)</f>
        <v>34</v>
      </c>
      <c r="M175" s="136">
        <f>IFERROR(__xludf.DUMMYFUNCTION("""COMPUTED_VALUE"""),66.0)</f>
        <v>66</v>
      </c>
      <c r="N175" s="136">
        <f>IFERROR(__xludf.DUMMYFUNCTION("""COMPUTED_VALUE"""),119.0)</f>
        <v>119</v>
      </c>
      <c r="O175" s="138">
        <f>IFERROR(__xludf.DUMMYFUNCTION("""COMPUTED_VALUE"""),9.0)</f>
        <v>9</v>
      </c>
      <c r="P175" s="138">
        <f>IFERROR(__xludf.DUMMYFUNCTION("""COMPUTED_VALUE"""),2.0)</f>
        <v>2</v>
      </c>
      <c r="Q175" s="138">
        <f>IFERROR(__xludf.DUMMYFUNCTION("""COMPUTED_VALUE"""),0.0)</f>
        <v>0</v>
      </c>
      <c r="R175" s="138">
        <f>IFERROR(__xludf.DUMMYFUNCTION("""COMPUTED_VALUE"""),6.0)</f>
        <v>6</v>
      </c>
      <c r="S175" s="139">
        <f>IFERROR(__xludf.DUMMYFUNCTION("""COMPUTED_VALUE"""),382.0)</f>
        <v>382</v>
      </c>
      <c r="T175" s="140">
        <f>IFERROR(__xludf.DUMMYFUNCTION("""COMPUTED_VALUE"""),103.0)</f>
        <v>103</v>
      </c>
      <c r="U175" s="136">
        <f>IFERROR(__xludf.DUMMYFUNCTION("""COMPUTED_VALUE"""),25.0)</f>
        <v>25</v>
      </c>
      <c r="V175" s="136">
        <f>IFERROR(__xludf.DUMMYFUNCTION("""COMPUTED_VALUE"""),46.0)</f>
        <v>46</v>
      </c>
      <c r="W175" s="136">
        <f>IFERROR(__xludf.DUMMYFUNCTION("""COMPUTED_VALUE"""),55.0)</f>
        <v>55</v>
      </c>
      <c r="X175" s="136">
        <f>IFERROR(__xludf.DUMMYFUNCTION("""COMPUTED_VALUE"""),388.38)</f>
        <v>388.38</v>
      </c>
      <c r="Y175" s="141">
        <f>IFERROR(__xludf.DUMMYFUNCTION("""COMPUTED_VALUE"""),45.349399999999996)</f>
        <v>45.3494</v>
      </c>
      <c r="Z175" s="141">
        <f>IFERROR(__xludf.DUMMYFUNCTION("""COMPUTED_VALUE"""),2344.78)</f>
        <v>2344.78</v>
      </c>
    </row>
    <row r="176">
      <c r="A176" s="41" t="str">
        <f>IFERROR(__xludf.DUMMYFUNCTION("""COMPUTED_VALUE"""),"Prospect")</f>
        <v>Prospect</v>
      </c>
      <c r="B176" s="41" t="str">
        <f>IFERROR(__xludf.DUMMYFUNCTION("""COMPUTED_VALUE"""),"RSC003429")</f>
        <v>RSC003429</v>
      </c>
      <c r="C176" s="41" t="str">
        <f>IFERROR(__xludf.DUMMYFUNCTION("""COMPUTED_VALUE"""),"Gambit")</f>
        <v>Gambit</v>
      </c>
      <c r="D176" s="41" t="str">
        <f>IFERROR(__xludf.DUMMYFUNCTION("""COMPUTED_VALUE"""),"Tanuki")</f>
        <v>Tanuki</v>
      </c>
      <c r="E176" s="136">
        <f>IFERROR(__xludf.DUMMYFUNCTION("""COMPUTED_VALUE"""),47.0)</f>
        <v>47</v>
      </c>
      <c r="F176" s="136">
        <f>IFERROR(__xludf.DUMMYFUNCTION("""COMPUTED_VALUE"""),21.0)</f>
        <v>21</v>
      </c>
      <c r="G176" s="136">
        <f>IFERROR(__xludf.DUMMYFUNCTION("""COMPUTED_VALUE"""),26.0)</f>
        <v>26</v>
      </c>
      <c r="H176" s="137">
        <f>IFERROR(__xludf.DUMMYFUNCTION("""COMPUTED_VALUE"""),0.44680851063829785)</f>
        <v>0.4468085106</v>
      </c>
      <c r="I176" s="136">
        <f>IFERROR(__xludf.DUMMYFUNCTION("""COMPUTED_VALUE"""),9.0)</f>
        <v>9</v>
      </c>
      <c r="J176" s="136">
        <f>IFERROR(__xludf.DUMMYFUNCTION("""COMPUTED_VALUE"""),16537.0)</f>
        <v>16537</v>
      </c>
      <c r="K176" s="136">
        <f>IFERROR(__xludf.DUMMYFUNCTION("""COMPUTED_VALUE"""),45.0)</f>
        <v>45</v>
      </c>
      <c r="L176" s="136">
        <f>IFERROR(__xludf.DUMMYFUNCTION("""COMPUTED_VALUE"""),23.0)</f>
        <v>23</v>
      </c>
      <c r="M176" s="136">
        <f>IFERROR(__xludf.DUMMYFUNCTION("""COMPUTED_VALUE"""),51.0)</f>
        <v>51</v>
      </c>
      <c r="N176" s="136">
        <f>IFERROR(__xludf.DUMMYFUNCTION("""COMPUTED_VALUE"""),128.0)</f>
        <v>128</v>
      </c>
      <c r="O176" s="138">
        <f>IFERROR(__xludf.DUMMYFUNCTION("""COMPUTED_VALUE"""),9.0)</f>
        <v>9</v>
      </c>
      <c r="P176" s="138">
        <f>IFERROR(__xludf.DUMMYFUNCTION("""COMPUTED_VALUE"""),5.0)</f>
        <v>5</v>
      </c>
      <c r="Q176" s="138">
        <f>IFERROR(__xludf.DUMMYFUNCTION("""COMPUTED_VALUE"""),0.0)</f>
        <v>0</v>
      </c>
      <c r="R176" s="138">
        <f>IFERROR(__xludf.DUMMYFUNCTION("""COMPUTED_VALUE"""),4.0)</f>
        <v>4</v>
      </c>
      <c r="S176" s="139">
        <f>IFERROR(__xludf.DUMMYFUNCTION("""COMPUTED_VALUE"""),317.0)</f>
        <v>317</v>
      </c>
      <c r="T176" s="140">
        <f>IFERROR(__xludf.DUMMYFUNCTION("""COMPUTED_VALUE"""),105.0)</f>
        <v>105</v>
      </c>
      <c r="U176" s="136">
        <f>IFERROR(__xludf.DUMMYFUNCTION("""COMPUTED_VALUE"""),30.0)</f>
        <v>30</v>
      </c>
      <c r="V176" s="136">
        <f>IFERROR(__xludf.DUMMYFUNCTION("""COMPUTED_VALUE"""),27.0)</f>
        <v>27</v>
      </c>
      <c r="W176" s="136">
        <f>IFERROR(__xludf.DUMMYFUNCTION("""COMPUTED_VALUE"""),45.0)</f>
        <v>45</v>
      </c>
      <c r="X176" s="136">
        <f>IFERROR(__xludf.DUMMYFUNCTION("""COMPUTED_VALUE"""),266.2340425531915)</f>
        <v>266.2340426</v>
      </c>
      <c r="Y176" s="141">
        <f>IFERROR(__xludf.DUMMYFUNCTION("""COMPUTED_VALUE"""),50.074680851063846)</f>
        <v>50.07468085</v>
      </c>
      <c r="Z176" s="141">
        <f>IFERROR(__xludf.DUMMYFUNCTION("""COMPUTED_VALUE"""),1597.8510638297873)</f>
        <v>1597.851064</v>
      </c>
    </row>
    <row r="177">
      <c r="A177" s="41" t="str">
        <f>IFERROR(__xludf.DUMMYFUNCTION("""COMPUTED_VALUE"""),"Master")</f>
        <v>Master</v>
      </c>
      <c r="B177" s="41" t="str">
        <f>IFERROR(__xludf.DUMMYFUNCTION("""COMPUTED_VALUE"""),"RSC003445")</f>
        <v>RSC003445</v>
      </c>
      <c r="C177" s="41" t="str">
        <f>IFERROR(__xludf.DUMMYFUNCTION("""COMPUTED_VALUE"""),"bosco")</f>
        <v>bosco</v>
      </c>
      <c r="D177" s="41" t="str">
        <f>IFERROR(__xludf.DUMMYFUNCTION("""COMPUTED_VALUE"""),"Lemurs
Kawaii
Helicoprions")</f>
        <v>Lemurs
Kawaii
Helicoprions</v>
      </c>
      <c r="E177" s="136">
        <f>IFERROR(__xludf.DUMMYFUNCTION("""COMPUTED_VALUE"""),12.0)</f>
        <v>12</v>
      </c>
      <c r="F177" s="136">
        <f>IFERROR(__xludf.DUMMYFUNCTION("""COMPUTED_VALUE"""),5.0)</f>
        <v>5</v>
      </c>
      <c r="G177" s="136">
        <f>IFERROR(__xludf.DUMMYFUNCTION("""COMPUTED_VALUE"""),7.0)</f>
        <v>7</v>
      </c>
      <c r="H177" s="137">
        <f>IFERROR(__xludf.DUMMYFUNCTION("""COMPUTED_VALUE"""),0.4166666666666667)</f>
        <v>0.4166666667</v>
      </c>
      <c r="I177" s="136">
        <f>IFERROR(__xludf.DUMMYFUNCTION("""COMPUTED_VALUE"""),0.0)</f>
        <v>0</v>
      </c>
      <c r="J177" s="136">
        <f>IFERROR(__xludf.DUMMYFUNCTION("""COMPUTED_VALUE"""),2649.0)</f>
        <v>2649</v>
      </c>
      <c r="K177" s="136">
        <f>IFERROR(__xludf.DUMMYFUNCTION("""COMPUTED_VALUE"""),4.0)</f>
        <v>4</v>
      </c>
      <c r="L177" s="136">
        <f>IFERROR(__xludf.DUMMYFUNCTION("""COMPUTED_VALUE"""),7.0)</f>
        <v>7</v>
      </c>
      <c r="M177" s="136">
        <f>IFERROR(__xludf.DUMMYFUNCTION("""COMPUTED_VALUE"""),9.0)</f>
        <v>9</v>
      </c>
      <c r="N177" s="136">
        <f>IFERROR(__xludf.DUMMYFUNCTION("""COMPUTED_VALUE"""),20.0)</f>
        <v>20</v>
      </c>
      <c r="O177" s="138">
        <f>IFERROR(__xludf.DUMMYFUNCTION("""COMPUTED_VALUE"""),1.0)</f>
        <v>1</v>
      </c>
      <c r="P177" s="138">
        <f>IFERROR(__xludf.DUMMYFUNCTION("""COMPUTED_VALUE"""),0.0)</f>
        <v>0</v>
      </c>
      <c r="Q177" s="138">
        <f>IFERROR(__xludf.DUMMYFUNCTION("""COMPUTED_VALUE"""),0.0)</f>
        <v>0</v>
      </c>
      <c r="R177" s="138">
        <f>IFERROR(__xludf.DUMMYFUNCTION("""COMPUTED_VALUE"""),2.0)</f>
        <v>2</v>
      </c>
      <c r="S177" s="139">
        <f>IFERROR(__xludf.DUMMYFUNCTION("""COMPUTED_VALUE"""),57.0)</f>
        <v>57</v>
      </c>
      <c r="T177" s="140">
        <f>IFERROR(__xludf.DUMMYFUNCTION("""COMPUTED_VALUE"""),19.0)</f>
        <v>19</v>
      </c>
      <c r="U177" s="136">
        <f>IFERROR(__xludf.DUMMYFUNCTION("""COMPUTED_VALUE"""),5.0)</f>
        <v>5</v>
      </c>
      <c r="V177" s="136">
        <f>IFERROR(__xludf.DUMMYFUNCTION("""COMPUTED_VALUE"""),10.0)</f>
        <v>10</v>
      </c>
      <c r="W177" s="136">
        <f>IFERROR(__xludf.DUMMYFUNCTION("""COMPUTED_VALUE"""),5.0)</f>
        <v>5</v>
      </c>
      <c r="X177" s="136">
        <f>IFERROR(__xludf.DUMMYFUNCTION("""COMPUTED_VALUE"""),406.375)</f>
        <v>406.375</v>
      </c>
      <c r="Y177" s="141">
        <f>IFERROR(__xludf.DUMMYFUNCTION("""COMPUTED_VALUE"""),49.46625)</f>
        <v>49.46625</v>
      </c>
      <c r="Z177" s="141">
        <f>IFERROR(__xludf.DUMMYFUNCTION("""COMPUTED_VALUE"""),2430.875)</f>
        <v>2430.875</v>
      </c>
    </row>
    <row r="178">
      <c r="A178" s="41" t="str">
        <f>IFERROR(__xludf.DUMMYFUNCTION("""COMPUTED_VALUE"""),"Veteran")</f>
        <v>Veteran</v>
      </c>
      <c r="B178" s="41" t="str">
        <f>IFERROR(__xludf.DUMMYFUNCTION("""COMPUTED_VALUE"""),"RSC003456")</f>
        <v>RSC003456</v>
      </c>
      <c r="C178" s="41" t="str">
        <f>IFERROR(__xludf.DUMMYFUNCTION("""COMPUTED_VALUE"""),"Brainman_18")</f>
        <v>Brainman_18</v>
      </c>
      <c r="D178" s="41" t="str">
        <f>IFERROR(__xludf.DUMMYFUNCTION("""COMPUTED_VALUE"""),"Fer-de-Lance")</f>
        <v>Fer-de-Lance</v>
      </c>
      <c r="E178" s="136">
        <f>IFERROR(__xludf.DUMMYFUNCTION("""COMPUTED_VALUE"""),2.0)</f>
        <v>2</v>
      </c>
      <c r="F178" s="136">
        <f>IFERROR(__xludf.DUMMYFUNCTION("""COMPUTED_VALUE"""),0.0)</f>
        <v>0</v>
      </c>
      <c r="G178" s="136">
        <f>IFERROR(__xludf.DUMMYFUNCTION("""COMPUTED_VALUE"""),2.0)</f>
        <v>2</v>
      </c>
      <c r="H178" s="137">
        <f>IFERROR(__xludf.DUMMYFUNCTION("""COMPUTED_VALUE"""),0.0)</f>
        <v>0</v>
      </c>
      <c r="I178" s="136">
        <f>IFERROR(__xludf.DUMMYFUNCTION("""COMPUTED_VALUE"""),0.0)</f>
        <v>0</v>
      </c>
      <c r="J178" s="136">
        <f>IFERROR(__xludf.DUMMYFUNCTION("""COMPUTED_VALUE"""),368.0)</f>
        <v>368</v>
      </c>
      <c r="K178" s="136">
        <f>IFERROR(__xludf.DUMMYFUNCTION("""COMPUTED_VALUE"""),1.0)</f>
        <v>1</v>
      </c>
      <c r="L178" s="136">
        <f>IFERROR(__xludf.DUMMYFUNCTION("""COMPUTED_VALUE"""),0.0)</f>
        <v>0</v>
      </c>
      <c r="M178" s="136">
        <f>IFERROR(__xludf.DUMMYFUNCTION("""COMPUTED_VALUE"""),1.0)</f>
        <v>1</v>
      </c>
      <c r="N178" s="136">
        <f>IFERROR(__xludf.DUMMYFUNCTION("""COMPUTED_VALUE"""),3.0)</f>
        <v>3</v>
      </c>
      <c r="O178" s="138">
        <f>IFERROR(__xludf.DUMMYFUNCTION("""COMPUTED_VALUE"""),0.0)</f>
        <v>0</v>
      </c>
      <c r="P178" s="138">
        <f>IFERROR(__xludf.DUMMYFUNCTION("""COMPUTED_VALUE"""),0.0)</f>
        <v>0</v>
      </c>
      <c r="Q178" s="138">
        <f>IFERROR(__xludf.DUMMYFUNCTION("""COMPUTED_VALUE"""),0.0)</f>
        <v>0</v>
      </c>
      <c r="R178" s="138">
        <f>IFERROR(__xludf.DUMMYFUNCTION("""COMPUTED_VALUE"""),0.0)</f>
        <v>0</v>
      </c>
      <c r="S178" s="139">
        <f>IFERROR(__xludf.DUMMYFUNCTION("""COMPUTED_VALUE"""),26.0)</f>
        <v>26</v>
      </c>
      <c r="T178" s="140">
        <f>IFERROR(__xludf.DUMMYFUNCTION("""COMPUTED_VALUE"""),8.0)</f>
        <v>8</v>
      </c>
      <c r="U178" s="136">
        <f>IFERROR(__xludf.DUMMYFUNCTION("""COMPUTED_VALUE"""),4.0)</f>
        <v>4</v>
      </c>
      <c r="V178" s="136">
        <f>IFERROR(__xludf.DUMMYFUNCTION("""COMPUTED_VALUE"""),2.0)</f>
        <v>2</v>
      </c>
      <c r="W178" s="136">
        <f>IFERROR(__xludf.DUMMYFUNCTION("""COMPUTED_VALUE"""),6.0)</f>
        <v>6</v>
      </c>
      <c r="X178" s="136"/>
      <c r="Y178" s="41"/>
      <c r="Z178" s="41"/>
    </row>
    <row r="179">
      <c r="A179" s="41" t="str">
        <f>IFERROR(__xludf.DUMMYFUNCTION("""COMPUTED_VALUE"""),"Challenger")</f>
        <v>Challenger</v>
      </c>
      <c r="B179" s="41" t="str">
        <f>IFERROR(__xludf.DUMMYFUNCTION("""COMPUTED_VALUE"""),"RSC003498")</f>
        <v>RSC003498</v>
      </c>
      <c r="C179" s="41" t="str">
        <f>IFERROR(__xludf.DUMMYFUNCTION("""COMPUTED_VALUE"""),"Merioch")</f>
        <v>Merioch</v>
      </c>
      <c r="D179" s="41" t="str">
        <f>IFERROR(__xludf.DUMMYFUNCTION("""COMPUTED_VALUE"""),"Insider Traders")</f>
        <v>Insider Traders</v>
      </c>
      <c r="E179" s="136">
        <f>IFERROR(__xludf.DUMMYFUNCTION("""COMPUTED_VALUE"""),55.0)</f>
        <v>55</v>
      </c>
      <c r="F179" s="136">
        <f>IFERROR(__xludf.DUMMYFUNCTION("""COMPUTED_VALUE"""),31.0)</f>
        <v>31</v>
      </c>
      <c r="G179" s="136">
        <f>IFERROR(__xludf.DUMMYFUNCTION("""COMPUTED_VALUE"""),24.0)</f>
        <v>24</v>
      </c>
      <c r="H179" s="137">
        <f>IFERROR(__xludf.DUMMYFUNCTION("""COMPUTED_VALUE"""),0.5636363636363636)</f>
        <v>0.5636363636</v>
      </c>
      <c r="I179" s="136">
        <f>IFERROR(__xludf.DUMMYFUNCTION("""COMPUTED_VALUE"""),8.0)</f>
        <v>8</v>
      </c>
      <c r="J179" s="136">
        <f>IFERROR(__xludf.DUMMYFUNCTION("""COMPUTED_VALUE"""),18278.0)</f>
        <v>18278</v>
      </c>
      <c r="K179" s="136">
        <f>IFERROR(__xludf.DUMMYFUNCTION("""COMPUTED_VALUE"""),34.0)</f>
        <v>34</v>
      </c>
      <c r="L179" s="136">
        <f>IFERROR(__xludf.DUMMYFUNCTION("""COMPUTED_VALUE"""),31.0)</f>
        <v>31</v>
      </c>
      <c r="M179" s="136">
        <f>IFERROR(__xludf.DUMMYFUNCTION("""COMPUTED_VALUE"""),82.0)</f>
        <v>82</v>
      </c>
      <c r="N179" s="136">
        <f>IFERROR(__xludf.DUMMYFUNCTION("""COMPUTED_VALUE"""),121.0)</f>
        <v>121</v>
      </c>
      <c r="O179" s="138">
        <f>IFERROR(__xludf.DUMMYFUNCTION("""COMPUTED_VALUE"""),8.0)</f>
        <v>8</v>
      </c>
      <c r="P179" s="138">
        <f>IFERROR(__xludf.DUMMYFUNCTION("""COMPUTED_VALUE"""),1.0)</f>
        <v>1</v>
      </c>
      <c r="Q179" s="138">
        <f>IFERROR(__xludf.DUMMYFUNCTION("""COMPUTED_VALUE"""),1.0)</f>
        <v>1</v>
      </c>
      <c r="R179" s="138">
        <f>IFERROR(__xludf.DUMMYFUNCTION("""COMPUTED_VALUE"""),8.0)</f>
        <v>8</v>
      </c>
      <c r="S179" s="139">
        <f>IFERROR(__xludf.DUMMYFUNCTION("""COMPUTED_VALUE"""),401.0)</f>
        <v>401</v>
      </c>
      <c r="T179" s="140">
        <f>IFERROR(__xludf.DUMMYFUNCTION("""COMPUTED_VALUE"""),110.0)</f>
        <v>110</v>
      </c>
      <c r="U179" s="136">
        <f>IFERROR(__xludf.DUMMYFUNCTION("""COMPUTED_VALUE"""),43.0)</f>
        <v>43</v>
      </c>
      <c r="V179" s="136">
        <f>IFERROR(__xludf.DUMMYFUNCTION("""COMPUTED_VALUE"""),57.0)</f>
        <v>57</v>
      </c>
      <c r="W179" s="136">
        <f>IFERROR(__xludf.DUMMYFUNCTION("""COMPUTED_VALUE"""),49.0)</f>
        <v>49</v>
      </c>
      <c r="X179" s="136">
        <f>IFERROR(__xludf.DUMMYFUNCTION("""COMPUTED_VALUE"""),288.0181818181818)</f>
        <v>288.0181818</v>
      </c>
      <c r="Y179" s="141">
        <f>IFERROR(__xludf.DUMMYFUNCTION("""COMPUTED_VALUE"""),52.07799999999998)</f>
        <v>52.078</v>
      </c>
      <c r="Z179" s="141">
        <f>IFERROR(__xludf.DUMMYFUNCTION("""COMPUTED_VALUE"""),1737.1636363636364)</f>
        <v>1737.163636</v>
      </c>
    </row>
    <row r="180">
      <c r="A180" s="41" t="str">
        <f>IFERROR(__xludf.DUMMYFUNCTION("""COMPUTED_VALUE"""),"Rival")</f>
        <v>Rival</v>
      </c>
      <c r="B180" s="41" t="str">
        <f>IFERROR(__xludf.DUMMYFUNCTION("""COMPUTED_VALUE"""),"RSC003536")</f>
        <v>RSC003536</v>
      </c>
      <c r="C180" s="41" t="str">
        <f>IFERROR(__xludf.DUMMYFUNCTION("""COMPUTED_VALUE"""),"Charlemagne")</f>
        <v>Charlemagne</v>
      </c>
      <c r="D180" s="41" t="str">
        <f>IFERROR(__xludf.DUMMYFUNCTION("""COMPUTED_VALUE"""),"Tax Evaders")</f>
        <v>Tax Evaders</v>
      </c>
      <c r="E180" s="136">
        <f>IFERROR(__xludf.DUMMYFUNCTION("""COMPUTED_VALUE"""),41.0)</f>
        <v>41</v>
      </c>
      <c r="F180" s="136">
        <f>IFERROR(__xludf.DUMMYFUNCTION("""COMPUTED_VALUE"""),20.0)</f>
        <v>20</v>
      </c>
      <c r="G180" s="136">
        <f>IFERROR(__xludf.DUMMYFUNCTION("""COMPUTED_VALUE"""),21.0)</f>
        <v>21</v>
      </c>
      <c r="H180" s="137">
        <f>IFERROR(__xludf.DUMMYFUNCTION("""COMPUTED_VALUE"""),0.4878048780487805)</f>
        <v>0.487804878</v>
      </c>
      <c r="I180" s="136">
        <f>IFERROR(__xludf.DUMMYFUNCTION("""COMPUTED_VALUE"""),6.0)</f>
        <v>6</v>
      </c>
      <c r="J180" s="136">
        <f>IFERROR(__xludf.DUMMYFUNCTION("""COMPUTED_VALUE"""),13058.0)</f>
        <v>13058</v>
      </c>
      <c r="K180" s="136">
        <f>IFERROR(__xludf.DUMMYFUNCTION("""COMPUTED_VALUE"""),30.0)</f>
        <v>30</v>
      </c>
      <c r="L180" s="136">
        <f>IFERROR(__xludf.DUMMYFUNCTION("""COMPUTED_VALUE"""),17.0)</f>
        <v>17</v>
      </c>
      <c r="M180" s="136">
        <f>IFERROR(__xludf.DUMMYFUNCTION("""COMPUTED_VALUE"""),50.0)</f>
        <v>50</v>
      </c>
      <c r="N180" s="136">
        <f>IFERROR(__xludf.DUMMYFUNCTION("""COMPUTED_VALUE"""),83.0)</f>
        <v>83</v>
      </c>
      <c r="O180" s="138">
        <f>IFERROR(__xludf.DUMMYFUNCTION("""COMPUTED_VALUE"""),5.0)</f>
        <v>5</v>
      </c>
      <c r="P180" s="138">
        <f>IFERROR(__xludf.DUMMYFUNCTION("""COMPUTED_VALUE"""),2.0)</f>
        <v>2</v>
      </c>
      <c r="Q180" s="138">
        <f>IFERROR(__xludf.DUMMYFUNCTION("""COMPUTED_VALUE"""),1.0)</f>
        <v>1</v>
      </c>
      <c r="R180" s="138">
        <f>IFERROR(__xludf.DUMMYFUNCTION("""COMPUTED_VALUE"""),6.0)</f>
        <v>6</v>
      </c>
      <c r="S180" s="139">
        <f>IFERROR(__xludf.DUMMYFUNCTION("""COMPUTED_VALUE"""),287.0)</f>
        <v>287</v>
      </c>
      <c r="T180" s="140">
        <f>IFERROR(__xludf.DUMMYFUNCTION("""COMPUTED_VALUE"""),89.0)</f>
        <v>89</v>
      </c>
      <c r="U180" s="136">
        <f>IFERROR(__xludf.DUMMYFUNCTION("""COMPUTED_VALUE"""),26.0)</f>
        <v>26</v>
      </c>
      <c r="V180" s="136">
        <f>IFERROR(__xludf.DUMMYFUNCTION("""COMPUTED_VALUE"""),14.0)</f>
        <v>14</v>
      </c>
      <c r="W180" s="136">
        <f>IFERROR(__xludf.DUMMYFUNCTION("""COMPUTED_VALUE"""),40.0)</f>
        <v>40</v>
      </c>
      <c r="X180" s="136">
        <f>IFERROR(__xludf.DUMMYFUNCTION("""COMPUTED_VALUE"""),337.8780487804878)</f>
        <v>337.8780488</v>
      </c>
      <c r="Y180" s="141">
        <f>IFERROR(__xludf.DUMMYFUNCTION("""COMPUTED_VALUE"""),47.36780487804879)</f>
        <v>47.36780488</v>
      </c>
      <c r="Z180" s="141">
        <f>IFERROR(__xludf.DUMMYFUNCTION("""COMPUTED_VALUE"""),1932.658536585366)</f>
        <v>1932.658537</v>
      </c>
    </row>
    <row r="181">
      <c r="A181" s="41" t="str">
        <f>IFERROR(__xludf.DUMMYFUNCTION("""COMPUTED_VALUE"""),"Elite")</f>
        <v>Elite</v>
      </c>
      <c r="B181" s="41" t="str">
        <f>IFERROR(__xludf.DUMMYFUNCTION("""COMPUTED_VALUE"""),"RSC003561")</f>
        <v>RSC003561</v>
      </c>
      <c r="C181" s="41" t="str">
        <f>IFERROR(__xludf.DUMMYFUNCTION("""COMPUTED_VALUE"""),"Dooober")</f>
        <v>Dooober</v>
      </c>
      <c r="D181" s="41" t="str">
        <f>IFERROR(__xludf.DUMMYFUNCTION("""COMPUTED_VALUE"""),"Raptors")</f>
        <v>Raptors</v>
      </c>
      <c r="E181" s="136">
        <f>IFERROR(__xludf.DUMMYFUNCTION("""COMPUTED_VALUE"""),33.0)</f>
        <v>33</v>
      </c>
      <c r="F181" s="136">
        <f>IFERROR(__xludf.DUMMYFUNCTION("""COMPUTED_VALUE"""),7.0)</f>
        <v>7</v>
      </c>
      <c r="G181" s="136">
        <f>IFERROR(__xludf.DUMMYFUNCTION("""COMPUTED_VALUE"""),26.0)</f>
        <v>26</v>
      </c>
      <c r="H181" s="137">
        <f>IFERROR(__xludf.DUMMYFUNCTION("""COMPUTED_VALUE"""),0.21212121212121213)</f>
        <v>0.2121212121</v>
      </c>
      <c r="I181" s="136">
        <f>IFERROR(__xludf.DUMMYFUNCTION("""COMPUTED_VALUE"""),4.0)</f>
        <v>4</v>
      </c>
      <c r="J181" s="136">
        <f>IFERROR(__xludf.DUMMYFUNCTION("""COMPUTED_VALUE"""),10636.0)</f>
        <v>10636</v>
      </c>
      <c r="K181" s="136">
        <f>IFERROR(__xludf.DUMMYFUNCTION("""COMPUTED_VALUE"""),19.0)</f>
        <v>19</v>
      </c>
      <c r="L181" s="136">
        <f>IFERROR(__xludf.DUMMYFUNCTION("""COMPUTED_VALUE"""),18.0)</f>
        <v>18</v>
      </c>
      <c r="M181" s="136">
        <f>IFERROR(__xludf.DUMMYFUNCTION("""COMPUTED_VALUE"""),42.0)</f>
        <v>42</v>
      </c>
      <c r="N181" s="136">
        <f>IFERROR(__xludf.DUMMYFUNCTION("""COMPUTED_VALUE"""),79.0)</f>
        <v>79</v>
      </c>
      <c r="O181" s="138">
        <f>IFERROR(__xludf.DUMMYFUNCTION("""COMPUTED_VALUE"""),2.0)</f>
        <v>2</v>
      </c>
      <c r="P181" s="138">
        <f>IFERROR(__xludf.DUMMYFUNCTION("""COMPUTED_VALUE"""),1.0)</f>
        <v>1</v>
      </c>
      <c r="Q181" s="138">
        <f>IFERROR(__xludf.DUMMYFUNCTION("""COMPUTED_VALUE"""),1.0)</f>
        <v>1</v>
      </c>
      <c r="R181" s="138">
        <f>IFERROR(__xludf.DUMMYFUNCTION("""COMPUTED_VALUE"""),4.0)</f>
        <v>4</v>
      </c>
      <c r="S181" s="139">
        <f>IFERROR(__xludf.DUMMYFUNCTION("""COMPUTED_VALUE"""),288.0)</f>
        <v>288</v>
      </c>
      <c r="T181" s="140">
        <f>IFERROR(__xludf.DUMMYFUNCTION("""COMPUTED_VALUE"""),109.0)</f>
        <v>109</v>
      </c>
      <c r="U181" s="136">
        <f>IFERROR(__xludf.DUMMYFUNCTION("""COMPUTED_VALUE"""),31.0)</f>
        <v>31</v>
      </c>
      <c r="V181" s="136">
        <f>IFERROR(__xludf.DUMMYFUNCTION("""COMPUTED_VALUE"""),41.0)</f>
        <v>41</v>
      </c>
      <c r="W181" s="136">
        <f>IFERROR(__xludf.DUMMYFUNCTION("""COMPUTED_VALUE"""),43.0)</f>
        <v>43</v>
      </c>
      <c r="X181" s="136">
        <f>IFERROR(__xludf.DUMMYFUNCTION("""COMPUTED_VALUE"""),315.42424242424244)</f>
        <v>315.4242424</v>
      </c>
      <c r="Y181" s="141">
        <f>IFERROR(__xludf.DUMMYFUNCTION("""COMPUTED_VALUE"""),51.57727272727272)</f>
        <v>51.57727273</v>
      </c>
      <c r="Z181" s="141">
        <f>IFERROR(__xludf.DUMMYFUNCTION("""COMPUTED_VALUE"""),1994.4545454545455)</f>
        <v>1994.454545</v>
      </c>
    </row>
    <row r="182">
      <c r="A182" s="41" t="str">
        <f>IFERROR(__xludf.DUMMYFUNCTION("""COMPUTED_VALUE"""),"Challenger")</f>
        <v>Challenger</v>
      </c>
      <c r="B182" s="41" t="str">
        <f>IFERROR(__xludf.DUMMYFUNCTION("""COMPUTED_VALUE"""),"RSC003694")</f>
        <v>RSC003694</v>
      </c>
      <c r="C182" s="41" t="str">
        <f>IFERROR(__xludf.DUMMYFUNCTION("""COMPUTED_VALUE"""),"TheCroctopus")</f>
        <v>TheCroctopus</v>
      </c>
      <c r="D182" s="41" t="str">
        <f>IFERROR(__xludf.DUMMYFUNCTION("""COMPUTED_VALUE"""),"Jinyiwei")</f>
        <v>Jinyiwei</v>
      </c>
      <c r="E182" s="136">
        <f>IFERROR(__xludf.DUMMYFUNCTION("""COMPUTED_VALUE"""),34.0)</f>
        <v>34</v>
      </c>
      <c r="F182" s="136">
        <f>IFERROR(__xludf.DUMMYFUNCTION("""COMPUTED_VALUE"""),17.0)</f>
        <v>17</v>
      </c>
      <c r="G182" s="136">
        <f>IFERROR(__xludf.DUMMYFUNCTION("""COMPUTED_VALUE"""),17.0)</f>
        <v>17</v>
      </c>
      <c r="H182" s="137">
        <f>IFERROR(__xludf.DUMMYFUNCTION("""COMPUTED_VALUE"""),0.5)</f>
        <v>0.5</v>
      </c>
      <c r="I182" s="136">
        <f>IFERROR(__xludf.DUMMYFUNCTION("""COMPUTED_VALUE"""),5.0)</f>
        <v>5</v>
      </c>
      <c r="J182" s="136">
        <f>IFERROR(__xludf.DUMMYFUNCTION("""COMPUTED_VALUE"""),12585.0)</f>
        <v>12585</v>
      </c>
      <c r="K182" s="136">
        <f>IFERROR(__xludf.DUMMYFUNCTION("""COMPUTED_VALUE"""),31.0)</f>
        <v>31</v>
      </c>
      <c r="L182" s="136">
        <f>IFERROR(__xludf.DUMMYFUNCTION("""COMPUTED_VALUE"""),17.0)</f>
        <v>17</v>
      </c>
      <c r="M182" s="136">
        <f>IFERROR(__xludf.DUMMYFUNCTION("""COMPUTED_VALUE"""),47.0)</f>
        <v>47</v>
      </c>
      <c r="N182" s="136">
        <f>IFERROR(__xludf.DUMMYFUNCTION("""COMPUTED_VALUE"""),71.0)</f>
        <v>71</v>
      </c>
      <c r="O182" s="138">
        <f>IFERROR(__xludf.DUMMYFUNCTION("""COMPUTED_VALUE"""),6.0)</f>
        <v>6</v>
      </c>
      <c r="P182" s="138">
        <f>IFERROR(__xludf.DUMMYFUNCTION("""COMPUTED_VALUE"""),2.0)</f>
        <v>2</v>
      </c>
      <c r="Q182" s="138">
        <f>IFERROR(__xludf.DUMMYFUNCTION("""COMPUTED_VALUE"""),0.0)</f>
        <v>0</v>
      </c>
      <c r="R182" s="138">
        <f>IFERROR(__xludf.DUMMYFUNCTION("""COMPUTED_VALUE"""),6.0)</f>
        <v>6</v>
      </c>
      <c r="S182" s="139">
        <f>IFERROR(__xludf.DUMMYFUNCTION("""COMPUTED_VALUE"""),272.0)</f>
        <v>272</v>
      </c>
      <c r="T182" s="140">
        <f>IFERROR(__xludf.DUMMYFUNCTION("""COMPUTED_VALUE"""),86.0)</f>
        <v>86</v>
      </c>
      <c r="U182" s="136">
        <f>IFERROR(__xludf.DUMMYFUNCTION("""COMPUTED_VALUE"""),25.0)</f>
        <v>25</v>
      </c>
      <c r="V182" s="136">
        <f>IFERROR(__xludf.DUMMYFUNCTION("""COMPUTED_VALUE"""),33.0)</f>
        <v>33</v>
      </c>
      <c r="W182" s="136">
        <f>IFERROR(__xludf.DUMMYFUNCTION("""COMPUTED_VALUE"""),36.0)</f>
        <v>36</v>
      </c>
      <c r="X182" s="136">
        <f>IFERROR(__xludf.DUMMYFUNCTION("""COMPUTED_VALUE"""),350.52941176470586)</f>
        <v>350.5294118</v>
      </c>
      <c r="Y182" s="141">
        <f>IFERROR(__xludf.DUMMYFUNCTION("""COMPUTED_VALUE"""),53.820882352941176)</f>
        <v>53.82088235</v>
      </c>
      <c r="Z182" s="141">
        <f>IFERROR(__xludf.DUMMYFUNCTION("""COMPUTED_VALUE"""),2217.970588235294)</f>
        <v>2217.970588</v>
      </c>
    </row>
    <row r="183">
      <c r="A183" s="41" t="str">
        <f>IFERROR(__xludf.DUMMYFUNCTION("""COMPUTED_VALUE"""),"Challenger")</f>
        <v>Challenger</v>
      </c>
      <c r="B183" s="41" t="str">
        <f>IFERROR(__xludf.DUMMYFUNCTION("""COMPUTED_VALUE"""),"RSC003697")</f>
        <v>RSC003697</v>
      </c>
      <c r="C183" s="41" t="str">
        <f>IFERROR(__xludf.DUMMYFUNCTION("""COMPUTED_VALUE"""),"IBRN_Death")</f>
        <v>IBRN_Death</v>
      </c>
      <c r="D183" s="41" t="str">
        <f>IFERROR(__xludf.DUMMYFUNCTION("""COMPUTED_VALUE"""),"Blitzars")</f>
        <v>Blitzars</v>
      </c>
      <c r="E183" s="136">
        <f>IFERROR(__xludf.DUMMYFUNCTION("""COMPUTED_VALUE"""),21.0)</f>
        <v>21</v>
      </c>
      <c r="F183" s="136">
        <f>IFERROR(__xludf.DUMMYFUNCTION("""COMPUTED_VALUE"""),5.0)</f>
        <v>5</v>
      </c>
      <c r="G183" s="136">
        <f>IFERROR(__xludf.DUMMYFUNCTION("""COMPUTED_VALUE"""),16.0)</f>
        <v>16</v>
      </c>
      <c r="H183" s="137">
        <f>IFERROR(__xludf.DUMMYFUNCTION("""COMPUTED_VALUE"""),0.23809523809523808)</f>
        <v>0.2380952381</v>
      </c>
      <c r="I183" s="136">
        <f>IFERROR(__xludf.DUMMYFUNCTION("""COMPUTED_VALUE"""),1.0)</f>
        <v>1</v>
      </c>
      <c r="J183" s="136">
        <f>IFERROR(__xludf.DUMMYFUNCTION("""COMPUTED_VALUE"""),5946.0)</f>
        <v>5946</v>
      </c>
      <c r="K183" s="136">
        <f>IFERROR(__xludf.DUMMYFUNCTION("""COMPUTED_VALUE"""),10.0)</f>
        <v>10</v>
      </c>
      <c r="L183" s="136">
        <f>IFERROR(__xludf.DUMMYFUNCTION("""COMPUTED_VALUE"""),7.0)</f>
        <v>7</v>
      </c>
      <c r="M183" s="136">
        <f>IFERROR(__xludf.DUMMYFUNCTION("""COMPUTED_VALUE"""),25.0)</f>
        <v>25</v>
      </c>
      <c r="N183" s="136">
        <f>IFERROR(__xludf.DUMMYFUNCTION("""COMPUTED_VALUE"""),46.0)</f>
        <v>46</v>
      </c>
      <c r="O183" s="138">
        <f>IFERROR(__xludf.DUMMYFUNCTION("""COMPUTED_VALUE"""),2.0)</f>
        <v>2</v>
      </c>
      <c r="P183" s="138">
        <f>IFERROR(__xludf.DUMMYFUNCTION("""COMPUTED_VALUE"""),1.0)</f>
        <v>1</v>
      </c>
      <c r="Q183" s="138">
        <f>IFERROR(__xludf.DUMMYFUNCTION("""COMPUTED_VALUE"""),1.0)</f>
        <v>1</v>
      </c>
      <c r="R183" s="138">
        <f>IFERROR(__xludf.DUMMYFUNCTION("""COMPUTED_VALUE"""),2.0)</f>
        <v>2</v>
      </c>
      <c r="S183" s="139">
        <f>IFERROR(__xludf.DUMMYFUNCTION("""COMPUTED_VALUE"""),174.0)</f>
        <v>174</v>
      </c>
      <c r="T183" s="140">
        <f>IFERROR(__xludf.DUMMYFUNCTION("""COMPUTED_VALUE"""),59.0)</f>
        <v>59</v>
      </c>
      <c r="U183" s="136">
        <f>IFERROR(__xludf.DUMMYFUNCTION("""COMPUTED_VALUE"""),19.0)</f>
        <v>19</v>
      </c>
      <c r="V183" s="136">
        <f>IFERROR(__xludf.DUMMYFUNCTION("""COMPUTED_VALUE"""),24.0)</f>
        <v>24</v>
      </c>
      <c r="W183" s="136">
        <f>IFERROR(__xludf.DUMMYFUNCTION("""COMPUTED_VALUE"""),21.0)</f>
        <v>21</v>
      </c>
      <c r="X183" s="136">
        <f>IFERROR(__xludf.DUMMYFUNCTION("""COMPUTED_VALUE"""),303.9047619047619)</f>
        <v>303.9047619</v>
      </c>
      <c r="Y183" s="141">
        <f>IFERROR(__xludf.DUMMYFUNCTION("""COMPUTED_VALUE"""),50.887619047619054)</f>
        <v>50.88761905</v>
      </c>
      <c r="Z183" s="141">
        <f>IFERROR(__xludf.DUMMYFUNCTION("""COMPUTED_VALUE"""),1910.4761904761904)</f>
        <v>1910.47619</v>
      </c>
    </row>
    <row r="184">
      <c r="A184" s="41" t="str">
        <f>IFERROR(__xludf.DUMMYFUNCTION("""COMPUTED_VALUE"""),"Elite")</f>
        <v>Elite</v>
      </c>
      <c r="B184" s="41" t="str">
        <f>IFERROR(__xludf.DUMMYFUNCTION("""COMPUTED_VALUE"""),"RSC003709")</f>
        <v>RSC003709</v>
      </c>
      <c r="C184" s="41" t="str">
        <f>IFERROR(__xludf.DUMMYFUNCTION("""COMPUTED_VALUE"""),"donald.")</f>
        <v>donald.</v>
      </c>
      <c r="D184" s="41" t="str">
        <f>IFERROR(__xludf.DUMMYFUNCTION("""COMPUTED_VALUE"""),"Sloths")</f>
        <v>Sloths</v>
      </c>
      <c r="E184" s="136">
        <f>IFERROR(__xludf.DUMMYFUNCTION("""COMPUTED_VALUE"""),48.0)</f>
        <v>48</v>
      </c>
      <c r="F184" s="136">
        <f>IFERROR(__xludf.DUMMYFUNCTION("""COMPUTED_VALUE"""),24.0)</f>
        <v>24</v>
      </c>
      <c r="G184" s="136">
        <f>IFERROR(__xludf.DUMMYFUNCTION("""COMPUTED_VALUE"""),24.0)</f>
        <v>24</v>
      </c>
      <c r="H184" s="137">
        <f>IFERROR(__xludf.DUMMYFUNCTION("""COMPUTED_VALUE"""),0.5)</f>
        <v>0.5</v>
      </c>
      <c r="I184" s="136">
        <f>IFERROR(__xludf.DUMMYFUNCTION("""COMPUTED_VALUE"""),9.0)</f>
        <v>9</v>
      </c>
      <c r="J184" s="136">
        <f>IFERROR(__xludf.DUMMYFUNCTION("""COMPUTED_VALUE"""),18411.0)</f>
        <v>18411</v>
      </c>
      <c r="K184" s="136">
        <f>IFERROR(__xludf.DUMMYFUNCTION("""COMPUTED_VALUE"""),41.0)</f>
        <v>41</v>
      </c>
      <c r="L184" s="136">
        <f>IFERROR(__xludf.DUMMYFUNCTION("""COMPUTED_VALUE"""),29.0)</f>
        <v>29</v>
      </c>
      <c r="M184" s="136">
        <f>IFERROR(__xludf.DUMMYFUNCTION("""COMPUTED_VALUE"""),77.0)</f>
        <v>77</v>
      </c>
      <c r="N184" s="136">
        <f>IFERROR(__xludf.DUMMYFUNCTION("""COMPUTED_VALUE"""),142.0)</f>
        <v>142</v>
      </c>
      <c r="O184" s="138">
        <f>IFERROR(__xludf.DUMMYFUNCTION("""COMPUTED_VALUE"""),10.0)</f>
        <v>10</v>
      </c>
      <c r="P184" s="138">
        <f>IFERROR(__xludf.DUMMYFUNCTION("""COMPUTED_VALUE"""),1.0)</f>
        <v>1</v>
      </c>
      <c r="Q184" s="138">
        <f>IFERROR(__xludf.DUMMYFUNCTION("""COMPUTED_VALUE"""),2.0)</f>
        <v>2</v>
      </c>
      <c r="R184" s="138">
        <f>IFERROR(__xludf.DUMMYFUNCTION("""COMPUTED_VALUE"""),12.0)</f>
        <v>12</v>
      </c>
      <c r="S184" s="139">
        <f>IFERROR(__xludf.DUMMYFUNCTION("""COMPUTED_VALUE"""),363.0)</f>
        <v>363</v>
      </c>
      <c r="T184" s="140">
        <f>IFERROR(__xludf.DUMMYFUNCTION("""COMPUTED_VALUE"""),113.0)</f>
        <v>113</v>
      </c>
      <c r="U184" s="136">
        <f>IFERROR(__xludf.DUMMYFUNCTION("""COMPUTED_VALUE"""),32.0)</f>
        <v>32</v>
      </c>
      <c r="V184" s="136">
        <f>IFERROR(__xludf.DUMMYFUNCTION("""COMPUTED_VALUE"""),65.0)</f>
        <v>65</v>
      </c>
      <c r="W184" s="136">
        <f>IFERROR(__xludf.DUMMYFUNCTION("""COMPUTED_VALUE"""),52.0)</f>
        <v>52</v>
      </c>
      <c r="X184" s="136">
        <f>IFERROR(__xludf.DUMMYFUNCTION("""COMPUTED_VALUE"""),462.125)</f>
        <v>462.125</v>
      </c>
      <c r="Y184" s="141">
        <f>IFERROR(__xludf.DUMMYFUNCTION("""COMPUTED_VALUE"""),45.44645833333334)</f>
        <v>45.44645833</v>
      </c>
      <c r="Z184" s="141">
        <f>IFERROR(__xludf.DUMMYFUNCTION("""COMPUTED_VALUE"""),2830.4166666666665)</f>
        <v>2830.416667</v>
      </c>
    </row>
    <row r="185">
      <c r="A185" s="41" t="str">
        <f>IFERROR(__xludf.DUMMYFUNCTION("""COMPUTED_VALUE"""),"Master")</f>
        <v>Master</v>
      </c>
      <c r="B185" s="41" t="str">
        <f>IFERROR(__xludf.DUMMYFUNCTION("""COMPUTED_VALUE"""),"RSC003728")</f>
        <v>RSC003728</v>
      </c>
      <c r="C185" s="41" t="str">
        <f>IFERROR(__xludf.DUMMYFUNCTION("""COMPUTED_VALUE"""),"yillow")</f>
        <v>yillow</v>
      </c>
      <c r="D185" s="41" t="str">
        <f>IFERROR(__xludf.DUMMYFUNCTION("""COMPUTED_VALUE"""),"Lemurs
Permafrost")</f>
        <v>Lemurs
Permafrost</v>
      </c>
      <c r="E185" s="136">
        <f>IFERROR(__xludf.DUMMYFUNCTION("""COMPUTED_VALUE"""),40.0)</f>
        <v>40</v>
      </c>
      <c r="F185" s="136">
        <f>IFERROR(__xludf.DUMMYFUNCTION("""COMPUTED_VALUE"""),17.0)</f>
        <v>17</v>
      </c>
      <c r="G185" s="136">
        <f>IFERROR(__xludf.DUMMYFUNCTION("""COMPUTED_VALUE"""),23.0)</f>
        <v>23</v>
      </c>
      <c r="H185" s="137">
        <f>IFERROR(__xludf.DUMMYFUNCTION("""COMPUTED_VALUE"""),0.425)</f>
        <v>0.425</v>
      </c>
      <c r="I185" s="136">
        <f>IFERROR(__xludf.DUMMYFUNCTION("""COMPUTED_VALUE"""),7.0)</f>
        <v>7</v>
      </c>
      <c r="J185" s="136">
        <f>IFERROR(__xludf.DUMMYFUNCTION("""COMPUTED_VALUE"""),13747.0)</f>
        <v>13747</v>
      </c>
      <c r="K185" s="136">
        <f>IFERROR(__xludf.DUMMYFUNCTION("""COMPUTED_VALUE"""),27.0)</f>
        <v>27</v>
      </c>
      <c r="L185" s="136">
        <f>IFERROR(__xludf.DUMMYFUNCTION("""COMPUTED_VALUE"""),18.0)</f>
        <v>18</v>
      </c>
      <c r="M185" s="136">
        <f>IFERROR(__xludf.DUMMYFUNCTION("""COMPUTED_VALUE"""),61.0)</f>
        <v>61</v>
      </c>
      <c r="N185" s="136">
        <f>IFERROR(__xludf.DUMMYFUNCTION("""COMPUTED_VALUE"""),86.0)</f>
        <v>86</v>
      </c>
      <c r="O185" s="138">
        <f>IFERROR(__xludf.DUMMYFUNCTION("""COMPUTED_VALUE"""),8.0)</f>
        <v>8</v>
      </c>
      <c r="P185" s="138">
        <f>IFERROR(__xludf.DUMMYFUNCTION("""COMPUTED_VALUE"""),1.0)</f>
        <v>1</v>
      </c>
      <c r="Q185" s="138">
        <f>IFERROR(__xludf.DUMMYFUNCTION("""COMPUTED_VALUE"""),0.0)</f>
        <v>0</v>
      </c>
      <c r="R185" s="138">
        <f>IFERROR(__xludf.DUMMYFUNCTION("""COMPUTED_VALUE"""),13.0)</f>
        <v>13</v>
      </c>
      <c r="S185" s="139">
        <f>IFERROR(__xludf.DUMMYFUNCTION("""COMPUTED_VALUE"""),300.0)</f>
        <v>300</v>
      </c>
      <c r="T185" s="140">
        <f>IFERROR(__xludf.DUMMYFUNCTION("""COMPUTED_VALUE"""),89.0)</f>
        <v>89</v>
      </c>
      <c r="U185" s="136">
        <f>IFERROR(__xludf.DUMMYFUNCTION("""COMPUTED_VALUE"""),28.0)</f>
        <v>28</v>
      </c>
      <c r="V185" s="136">
        <f>IFERROR(__xludf.DUMMYFUNCTION("""COMPUTED_VALUE"""),69.0)</f>
        <v>69</v>
      </c>
      <c r="W185" s="136">
        <f>IFERROR(__xludf.DUMMYFUNCTION("""COMPUTED_VALUE"""),54.0)</f>
        <v>54</v>
      </c>
      <c r="X185" s="136">
        <f>IFERROR(__xludf.DUMMYFUNCTION("""COMPUTED_VALUE"""),423.6666666666667)</f>
        <v>423.6666667</v>
      </c>
      <c r="Y185" s="141">
        <f>IFERROR(__xludf.DUMMYFUNCTION("""COMPUTED_VALUE"""),51.378888888888895)</f>
        <v>51.37888889</v>
      </c>
      <c r="Z185" s="141">
        <f>IFERROR(__xludf.DUMMYFUNCTION("""COMPUTED_VALUE"""),2649.0833333333335)</f>
        <v>2649.083333</v>
      </c>
    </row>
    <row r="186">
      <c r="A186" s="41" t="str">
        <f>IFERROR(__xludf.DUMMYFUNCTION("""COMPUTED_VALUE"""),"Challenger")</f>
        <v>Challenger</v>
      </c>
      <c r="B186" s="41" t="str">
        <f>IFERROR(__xludf.DUMMYFUNCTION("""COMPUTED_VALUE"""),"RSC003737")</f>
        <v>RSC003737</v>
      </c>
      <c r="C186" s="41" t="str">
        <f>IFERROR(__xludf.DUMMYFUNCTION("""COMPUTED_VALUE"""),"MeOnDisplay")</f>
        <v>MeOnDisplay</v>
      </c>
      <c r="D186" s="41" t="str">
        <f>IFERROR(__xludf.DUMMYFUNCTION("""COMPUTED_VALUE"""),"Happy B-day Jess")</f>
        <v>Happy B-day Jess</v>
      </c>
      <c r="E186" s="136">
        <f>IFERROR(__xludf.DUMMYFUNCTION("""COMPUTED_VALUE"""),11.0)</f>
        <v>11</v>
      </c>
      <c r="F186" s="136">
        <f>IFERROR(__xludf.DUMMYFUNCTION("""COMPUTED_VALUE"""),8.0)</f>
        <v>8</v>
      </c>
      <c r="G186" s="136">
        <f>IFERROR(__xludf.DUMMYFUNCTION("""COMPUTED_VALUE"""),3.0)</f>
        <v>3</v>
      </c>
      <c r="H186" s="137">
        <f>IFERROR(__xludf.DUMMYFUNCTION("""COMPUTED_VALUE"""),0.7272727272727273)</f>
        <v>0.7272727273</v>
      </c>
      <c r="I186" s="136">
        <f>IFERROR(__xludf.DUMMYFUNCTION("""COMPUTED_VALUE"""),1.0)</f>
        <v>1</v>
      </c>
      <c r="J186" s="136">
        <f>IFERROR(__xludf.DUMMYFUNCTION("""COMPUTED_VALUE"""),2771.0)</f>
        <v>2771</v>
      </c>
      <c r="K186" s="136">
        <f>IFERROR(__xludf.DUMMYFUNCTION("""COMPUTED_VALUE"""),6.0)</f>
        <v>6</v>
      </c>
      <c r="L186" s="136">
        <f>IFERROR(__xludf.DUMMYFUNCTION("""COMPUTED_VALUE"""),5.0)</f>
        <v>5</v>
      </c>
      <c r="M186" s="136">
        <f>IFERROR(__xludf.DUMMYFUNCTION("""COMPUTED_VALUE"""),8.0)</f>
        <v>8</v>
      </c>
      <c r="N186" s="136">
        <f>IFERROR(__xludf.DUMMYFUNCTION("""COMPUTED_VALUE"""),20.0)</f>
        <v>20</v>
      </c>
      <c r="O186" s="138">
        <f>IFERROR(__xludf.DUMMYFUNCTION("""COMPUTED_VALUE"""),2.0)</f>
        <v>2</v>
      </c>
      <c r="P186" s="138">
        <f>IFERROR(__xludf.DUMMYFUNCTION("""COMPUTED_VALUE"""),0.0)</f>
        <v>0</v>
      </c>
      <c r="Q186" s="138">
        <f>IFERROR(__xludf.DUMMYFUNCTION("""COMPUTED_VALUE"""),0.0)</f>
        <v>0</v>
      </c>
      <c r="R186" s="138">
        <f>IFERROR(__xludf.DUMMYFUNCTION("""COMPUTED_VALUE"""),1.0)</f>
        <v>1</v>
      </c>
      <c r="S186" s="139">
        <f>IFERROR(__xludf.DUMMYFUNCTION("""COMPUTED_VALUE"""),60.0)</f>
        <v>60</v>
      </c>
      <c r="T186" s="140">
        <f>IFERROR(__xludf.DUMMYFUNCTION("""COMPUTED_VALUE"""),16.0)</f>
        <v>16</v>
      </c>
      <c r="U186" s="136">
        <f>IFERROR(__xludf.DUMMYFUNCTION("""COMPUTED_VALUE"""),4.0)</f>
        <v>4</v>
      </c>
      <c r="V186" s="136">
        <f>IFERROR(__xludf.DUMMYFUNCTION("""COMPUTED_VALUE"""),8.0)</f>
        <v>8</v>
      </c>
      <c r="W186" s="136">
        <f>IFERROR(__xludf.DUMMYFUNCTION("""COMPUTED_VALUE"""),9.0)</f>
        <v>9</v>
      </c>
      <c r="X186" s="136"/>
      <c r="Y186" s="41"/>
      <c r="Z186" s="41"/>
    </row>
    <row r="187">
      <c r="A187" s="41" t="str">
        <f>IFERROR(__xludf.DUMMYFUNCTION("""COMPUTED_VALUE"""),"Premier")</f>
        <v>Premier</v>
      </c>
      <c r="B187" s="41" t="str">
        <f>IFERROR(__xludf.DUMMYFUNCTION("""COMPUTED_VALUE"""),"RSC003749")</f>
        <v>RSC003749</v>
      </c>
      <c r="C187" s="41" t="str">
        <f>IFERROR(__xludf.DUMMYFUNCTION("""COMPUTED_VALUE"""),"Rule")</f>
        <v>Rule</v>
      </c>
      <c r="D187" s="41" t="str">
        <f>IFERROR(__xludf.DUMMYFUNCTION("""COMPUTED_VALUE"""),"Crooked Capos")</f>
        <v>Crooked Capos</v>
      </c>
      <c r="E187" s="136">
        <f>IFERROR(__xludf.DUMMYFUNCTION("""COMPUTED_VALUE"""),33.0)</f>
        <v>33</v>
      </c>
      <c r="F187" s="136">
        <f>IFERROR(__xludf.DUMMYFUNCTION("""COMPUTED_VALUE"""),18.0)</f>
        <v>18</v>
      </c>
      <c r="G187" s="136">
        <f>IFERROR(__xludf.DUMMYFUNCTION("""COMPUTED_VALUE"""),15.0)</f>
        <v>15</v>
      </c>
      <c r="H187" s="137">
        <f>IFERROR(__xludf.DUMMYFUNCTION("""COMPUTED_VALUE"""),0.5454545454545454)</f>
        <v>0.5454545455</v>
      </c>
      <c r="I187" s="136">
        <f>IFERROR(__xludf.DUMMYFUNCTION("""COMPUTED_VALUE"""),5.0)</f>
        <v>5</v>
      </c>
      <c r="J187" s="136">
        <f>IFERROR(__xludf.DUMMYFUNCTION("""COMPUTED_VALUE"""),13506.0)</f>
        <v>13506</v>
      </c>
      <c r="K187" s="136">
        <f>IFERROR(__xludf.DUMMYFUNCTION("""COMPUTED_VALUE"""),33.0)</f>
        <v>33</v>
      </c>
      <c r="L187" s="136">
        <f>IFERROR(__xludf.DUMMYFUNCTION("""COMPUTED_VALUE"""),24.0)</f>
        <v>24</v>
      </c>
      <c r="M187" s="136">
        <f>IFERROR(__xludf.DUMMYFUNCTION("""COMPUTED_VALUE"""),56.0)</f>
        <v>56</v>
      </c>
      <c r="N187" s="136">
        <f>IFERROR(__xludf.DUMMYFUNCTION("""COMPUTED_VALUE"""),82.0)</f>
        <v>82</v>
      </c>
      <c r="O187" s="138">
        <f>IFERROR(__xludf.DUMMYFUNCTION("""COMPUTED_VALUE"""),10.0)</f>
        <v>10</v>
      </c>
      <c r="P187" s="138">
        <f>IFERROR(__xludf.DUMMYFUNCTION("""COMPUTED_VALUE"""),2.0)</f>
        <v>2</v>
      </c>
      <c r="Q187" s="138">
        <f>IFERROR(__xludf.DUMMYFUNCTION("""COMPUTED_VALUE"""),1.0)</f>
        <v>1</v>
      </c>
      <c r="R187" s="138">
        <f>IFERROR(__xludf.DUMMYFUNCTION("""COMPUTED_VALUE"""),7.0)</f>
        <v>7</v>
      </c>
      <c r="S187" s="139">
        <f>IFERROR(__xludf.DUMMYFUNCTION("""COMPUTED_VALUE"""),289.0)</f>
        <v>289</v>
      </c>
      <c r="T187" s="140">
        <f>IFERROR(__xludf.DUMMYFUNCTION("""COMPUTED_VALUE"""),70.0)</f>
        <v>70</v>
      </c>
      <c r="U187" s="136">
        <f>IFERROR(__xludf.DUMMYFUNCTION("""COMPUTED_VALUE"""),31.0)</f>
        <v>31</v>
      </c>
      <c r="V187" s="136">
        <f>IFERROR(__xludf.DUMMYFUNCTION("""COMPUTED_VALUE"""),30.0)</f>
        <v>30</v>
      </c>
      <c r="W187" s="136">
        <f>IFERROR(__xludf.DUMMYFUNCTION("""COMPUTED_VALUE"""),28.0)</f>
        <v>28</v>
      </c>
      <c r="X187" s="136">
        <f>IFERROR(__xludf.DUMMYFUNCTION("""COMPUTED_VALUE"""),420.90909090909093)</f>
        <v>420.9090909</v>
      </c>
      <c r="Y187" s="141">
        <f>IFERROR(__xludf.DUMMYFUNCTION("""COMPUTED_VALUE"""),48.5609090909091)</f>
        <v>48.56090909</v>
      </c>
      <c r="Z187" s="141">
        <f>IFERROR(__xludf.DUMMYFUNCTION("""COMPUTED_VALUE"""),2606.5454545454545)</f>
        <v>2606.545455</v>
      </c>
    </row>
    <row r="188">
      <c r="A188" s="41" t="str">
        <f>IFERROR(__xludf.DUMMYFUNCTION("""COMPUTED_VALUE"""),"Premier")</f>
        <v>Premier</v>
      </c>
      <c r="B188" s="41" t="str">
        <f>IFERROR(__xludf.DUMMYFUNCTION("""COMPUTED_VALUE"""),"RSC003780")</f>
        <v>RSC003780</v>
      </c>
      <c r="C188" s="41" t="str">
        <f>IFERROR(__xludf.DUMMYFUNCTION("""COMPUTED_VALUE"""),"Fayzan ibn Balish")</f>
        <v>Fayzan ibn Balish</v>
      </c>
      <c r="D188" s="41" t="str">
        <f>IFERROR(__xludf.DUMMYFUNCTION("""COMPUTED_VALUE"""),"Gummy Bears
Punks")</f>
        <v>Gummy Bears
Punks</v>
      </c>
      <c r="E188" s="136">
        <f>IFERROR(__xludf.DUMMYFUNCTION("""COMPUTED_VALUE"""),16.0)</f>
        <v>16</v>
      </c>
      <c r="F188" s="136">
        <f>IFERROR(__xludf.DUMMYFUNCTION("""COMPUTED_VALUE"""),8.0)</f>
        <v>8</v>
      </c>
      <c r="G188" s="136">
        <f>IFERROR(__xludf.DUMMYFUNCTION("""COMPUTED_VALUE"""),8.0)</f>
        <v>8</v>
      </c>
      <c r="H188" s="137">
        <f>IFERROR(__xludf.DUMMYFUNCTION("""COMPUTED_VALUE"""),0.5)</f>
        <v>0.5</v>
      </c>
      <c r="I188" s="136">
        <f>IFERROR(__xludf.DUMMYFUNCTION("""COMPUTED_VALUE"""),4.0)</f>
        <v>4</v>
      </c>
      <c r="J188" s="136">
        <f>IFERROR(__xludf.DUMMYFUNCTION("""COMPUTED_VALUE"""),6606.0)</f>
        <v>6606</v>
      </c>
      <c r="K188" s="136">
        <f>IFERROR(__xludf.DUMMYFUNCTION("""COMPUTED_VALUE"""),12.0)</f>
        <v>12</v>
      </c>
      <c r="L188" s="136">
        <f>IFERROR(__xludf.DUMMYFUNCTION("""COMPUTED_VALUE"""),10.0)</f>
        <v>10</v>
      </c>
      <c r="M188" s="136">
        <f>IFERROR(__xludf.DUMMYFUNCTION("""COMPUTED_VALUE"""),25.0)</f>
        <v>25</v>
      </c>
      <c r="N188" s="136">
        <f>IFERROR(__xludf.DUMMYFUNCTION("""COMPUTED_VALUE"""),58.0)</f>
        <v>58</v>
      </c>
      <c r="O188" s="138">
        <f>IFERROR(__xludf.DUMMYFUNCTION("""COMPUTED_VALUE"""),6.0)</f>
        <v>6</v>
      </c>
      <c r="P188" s="138">
        <f>IFERROR(__xludf.DUMMYFUNCTION("""COMPUTED_VALUE"""),1.0)</f>
        <v>1</v>
      </c>
      <c r="Q188" s="138">
        <f>IFERROR(__xludf.DUMMYFUNCTION("""COMPUTED_VALUE"""),0.0)</f>
        <v>0</v>
      </c>
      <c r="R188" s="138">
        <f>IFERROR(__xludf.DUMMYFUNCTION("""COMPUTED_VALUE"""),4.0)</f>
        <v>4</v>
      </c>
      <c r="S188" s="139">
        <f>IFERROR(__xludf.DUMMYFUNCTION("""COMPUTED_VALUE"""),126.0)</f>
        <v>126</v>
      </c>
      <c r="T188" s="140">
        <f>IFERROR(__xludf.DUMMYFUNCTION("""COMPUTED_VALUE"""),34.0)</f>
        <v>34</v>
      </c>
      <c r="U188" s="136">
        <f>IFERROR(__xludf.DUMMYFUNCTION("""COMPUTED_VALUE"""),15.0)</f>
        <v>15</v>
      </c>
      <c r="V188" s="136">
        <f>IFERROR(__xludf.DUMMYFUNCTION("""COMPUTED_VALUE"""),15.0)</f>
        <v>15</v>
      </c>
      <c r="W188" s="136">
        <f>IFERROR(__xludf.DUMMYFUNCTION("""COMPUTED_VALUE"""),16.0)</f>
        <v>16</v>
      </c>
      <c r="X188" s="136">
        <f>IFERROR(__xludf.DUMMYFUNCTION("""COMPUTED_VALUE"""),387.625)</f>
        <v>387.625</v>
      </c>
      <c r="Y188" s="141">
        <f>IFERROR(__xludf.DUMMYFUNCTION("""COMPUTED_VALUE"""),51.296875)</f>
        <v>51.296875</v>
      </c>
      <c r="Z188" s="141">
        <f>IFERROR(__xludf.DUMMYFUNCTION("""COMPUTED_VALUE"""),2410.5)</f>
        <v>2410.5</v>
      </c>
    </row>
    <row r="189">
      <c r="A189" s="41" t="str">
        <f>IFERROR(__xludf.DUMMYFUNCTION("""COMPUTED_VALUE"""),"Master")</f>
        <v>Master</v>
      </c>
      <c r="B189" s="41" t="str">
        <f>IFERROR(__xludf.DUMMYFUNCTION("""COMPUTED_VALUE"""),"RSC003792")</f>
        <v>RSC003792</v>
      </c>
      <c r="C189" s="41" t="str">
        <f>IFERROR(__xludf.DUMMYFUNCTION("""COMPUTED_VALUE"""),"Calcifiree")</f>
        <v>Calcifiree</v>
      </c>
      <c r="D189" s="41" t="str">
        <f>IFERROR(__xludf.DUMMYFUNCTION("""COMPUTED_VALUE"""),"Lemurs")</f>
        <v>Lemurs</v>
      </c>
      <c r="E189" s="136">
        <f>IFERROR(__xludf.DUMMYFUNCTION("""COMPUTED_VALUE"""),3.0)</f>
        <v>3</v>
      </c>
      <c r="F189" s="136">
        <f>IFERROR(__xludf.DUMMYFUNCTION("""COMPUTED_VALUE"""),0.0)</f>
        <v>0</v>
      </c>
      <c r="G189" s="136">
        <f>IFERROR(__xludf.DUMMYFUNCTION("""COMPUTED_VALUE"""),3.0)</f>
        <v>3</v>
      </c>
      <c r="H189" s="137">
        <f>IFERROR(__xludf.DUMMYFUNCTION("""COMPUTED_VALUE"""),0.0)</f>
        <v>0</v>
      </c>
      <c r="I189" s="136">
        <f>IFERROR(__xludf.DUMMYFUNCTION("""COMPUTED_VALUE"""),0.0)</f>
        <v>0</v>
      </c>
      <c r="J189" s="136">
        <f>IFERROR(__xludf.DUMMYFUNCTION("""COMPUTED_VALUE"""),825.0)</f>
        <v>825</v>
      </c>
      <c r="K189" s="136">
        <f>IFERROR(__xludf.DUMMYFUNCTION("""COMPUTED_VALUE"""),2.0)</f>
        <v>2</v>
      </c>
      <c r="L189" s="136">
        <f>IFERROR(__xludf.DUMMYFUNCTION("""COMPUTED_VALUE"""),2.0)</f>
        <v>2</v>
      </c>
      <c r="M189" s="136">
        <f>IFERROR(__xludf.DUMMYFUNCTION("""COMPUTED_VALUE"""),3.0)</f>
        <v>3</v>
      </c>
      <c r="N189" s="136">
        <f>IFERROR(__xludf.DUMMYFUNCTION("""COMPUTED_VALUE"""),2.0)</f>
        <v>2</v>
      </c>
      <c r="O189" s="138">
        <f>IFERROR(__xludf.DUMMYFUNCTION("""COMPUTED_VALUE"""),0.0)</f>
        <v>0</v>
      </c>
      <c r="P189" s="138">
        <f>IFERROR(__xludf.DUMMYFUNCTION("""COMPUTED_VALUE"""),0.0)</f>
        <v>0</v>
      </c>
      <c r="Q189" s="138">
        <f>IFERROR(__xludf.DUMMYFUNCTION("""COMPUTED_VALUE"""),0.0)</f>
        <v>0</v>
      </c>
      <c r="R189" s="138">
        <f>IFERROR(__xludf.DUMMYFUNCTION("""COMPUTED_VALUE"""),0.0)</f>
        <v>0</v>
      </c>
      <c r="S189" s="139">
        <f>IFERROR(__xludf.DUMMYFUNCTION("""COMPUTED_VALUE"""),35.0)</f>
        <v>35</v>
      </c>
      <c r="T189" s="140">
        <f>IFERROR(__xludf.DUMMYFUNCTION("""COMPUTED_VALUE"""),10.0)</f>
        <v>10</v>
      </c>
      <c r="U189" s="136">
        <f>IFERROR(__xludf.DUMMYFUNCTION("""COMPUTED_VALUE"""),4.0)</f>
        <v>4</v>
      </c>
      <c r="V189" s="136">
        <f>IFERROR(__xludf.DUMMYFUNCTION("""COMPUTED_VALUE"""),3.0)</f>
        <v>3</v>
      </c>
      <c r="W189" s="136">
        <f>IFERROR(__xludf.DUMMYFUNCTION("""COMPUTED_VALUE"""),5.0)</f>
        <v>5</v>
      </c>
      <c r="X189" s="136">
        <f>IFERROR(__xludf.DUMMYFUNCTION("""COMPUTED_VALUE"""),407.6666666666667)</f>
        <v>407.6666667</v>
      </c>
      <c r="Y189" s="141">
        <f>IFERROR(__xludf.DUMMYFUNCTION("""COMPUTED_VALUE"""),42.14666666666667)</f>
        <v>42.14666667</v>
      </c>
      <c r="Z189" s="141">
        <f>IFERROR(__xludf.DUMMYFUNCTION("""COMPUTED_VALUE"""),2441.6666666666665)</f>
        <v>2441.666667</v>
      </c>
    </row>
    <row r="190">
      <c r="A190" s="41" t="str">
        <f>IFERROR(__xludf.DUMMYFUNCTION("""COMPUTED_VALUE"""),"Premier")</f>
        <v>Premier</v>
      </c>
      <c r="B190" s="41" t="str">
        <f>IFERROR(__xludf.DUMMYFUNCTION("""COMPUTED_VALUE"""),"RSC003804")</f>
        <v>RSC003804</v>
      </c>
      <c r="C190" s="41" t="str">
        <f>IFERROR(__xludf.DUMMYFUNCTION("""COMPUTED_VALUE"""),"ayylo")</f>
        <v>ayylo</v>
      </c>
      <c r="D190" s="41" t="str">
        <f>IFERROR(__xludf.DUMMYFUNCTION("""COMPUTED_VALUE"""),"Feta Forgers
Super Clusters
Crooked Capos")</f>
        <v>Feta Forgers
Super Clusters
Crooked Capos</v>
      </c>
      <c r="E190" s="136">
        <f>IFERROR(__xludf.DUMMYFUNCTION("""COMPUTED_VALUE"""),23.0)</f>
        <v>23</v>
      </c>
      <c r="F190" s="136">
        <f>IFERROR(__xludf.DUMMYFUNCTION("""COMPUTED_VALUE"""),9.0)</f>
        <v>9</v>
      </c>
      <c r="G190" s="136">
        <f>IFERROR(__xludf.DUMMYFUNCTION("""COMPUTED_VALUE"""),14.0)</f>
        <v>14</v>
      </c>
      <c r="H190" s="137">
        <f>IFERROR(__xludf.DUMMYFUNCTION("""COMPUTED_VALUE"""),0.391304347826087)</f>
        <v>0.3913043478</v>
      </c>
      <c r="I190" s="136">
        <f>IFERROR(__xludf.DUMMYFUNCTION("""COMPUTED_VALUE"""),2.0)</f>
        <v>2</v>
      </c>
      <c r="J190" s="136">
        <f>IFERROR(__xludf.DUMMYFUNCTION("""COMPUTED_VALUE"""),7626.0)</f>
        <v>7626</v>
      </c>
      <c r="K190" s="136">
        <f>IFERROR(__xludf.DUMMYFUNCTION("""COMPUTED_VALUE"""),14.0)</f>
        <v>14</v>
      </c>
      <c r="L190" s="136">
        <f>IFERROR(__xludf.DUMMYFUNCTION("""COMPUTED_VALUE"""),20.0)</f>
        <v>20</v>
      </c>
      <c r="M190" s="136">
        <f>IFERROR(__xludf.DUMMYFUNCTION("""COMPUTED_VALUE"""),22.0)</f>
        <v>22</v>
      </c>
      <c r="N190" s="136">
        <f>IFERROR(__xludf.DUMMYFUNCTION("""COMPUTED_VALUE"""),59.0)</f>
        <v>59</v>
      </c>
      <c r="O190" s="138">
        <f>IFERROR(__xludf.DUMMYFUNCTION("""COMPUTED_VALUE"""),4.0)</f>
        <v>4</v>
      </c>
      <c r="P190" s="138">
        <f>IFERROR(__xludf.DUMMYFUNCTION("""COMPUTED_VALUE"""),0.0)</f>
        <v>0</v>
      </c>
      <c r="Q190" s="138">
        <f>IFERROR(__xludf.DUMMYFUNCTION("""COMPUTED_VALUE"""),0.0)</f>
        <v>0</v>
      </c>
      <c r="R190" s="138">
        <f>IFERROR(__xludf.DUMMYFUNCTION("""COMPUTED_VALUE"""),1.0)</f>
        <v>1</v>
      </c>
      <c r="S190" s="139">
        <f>IFERROR(__xludf.DUMMYFUNCTION("""COMPUTED_VALUE"""),189.0)</f>
        <v>189</v>
      </c>
      <c r="T190" s="140">
        <f>IFERROR(__xludf.DUMMYFUNCTION("""COMPUTED_VALUE"""),70.0)</f>
        <v>70</v>
      </c>
      <c r="U190" s="136">
        <f>IFERROR(__xludf.DUMMYFUNCTION("""COMPUTED_VALUE"""),24.0)</f>
        <v>24</v>
      </c>
      <c r="V190" s="136">
        <f>IFERROR(__xludf.DUMMYFUNCTION("""COMPUTED_VALUE"""),16.0)</f>
        <v>16</v>
      </c>
      <c r="W190" s="136">
        <f>IFERROR(__xludf.DUMMYFUNCTION("""COMPUTED_VALUE"""),32.0)</f>
        <v>32</v>
      </c>
      <c r="X190" s="136">
        <f>IFERROR(__xludf.DUMMYFUNCTION("""COMPUTED_VALUE"""),389.4782608695652)</f>
        <v>389.4782609</v>
      </c>
      <c r="Y190" s="141">
        <f>IFERROR(__xludf.DUMMYFUNCTION("""COMPUTED_VALUE"""),44.364347826086956)</f>
        <v>44.36434783</v>
      </c>
      <c r="Z190" s="141">
        <f>IFERROR(__xludf.DUMMYFUNCTION("""COMPUTED_VALUE"""),2416.913043478261)</f>
        <v>2416.913043</v>
      </c>
    </row>
    <row r="191">
      <c r="A191" s="41" t="str">
        <f>IFERROR(__xludf.DUMMYFUNCTION("""COMPUTED_VALUE"""),"Veteran")</f>
        <v>Veteran</v>
      </c>
      <c r="B191" s="41" t="str">
        <f>IFERROR(__xludf.DUMMYFUNCTION("""COMPUTED_VALUE"""),"RSC003815")</f>
        <v>RSC003815</v>
      </c>
      <c r="C191" s="41" t="str">
        <f>IFERROR(__xludf.DUMMYFUNCTION("""COMPUTED_VALUE"""),"WashedDonk")</f>
        <v>WashedDonk</v>
      </c>
      <c r="D191" s="41" t="str">
        <f>IFERROR(__xludf.DUMMYFUNCTION("""COMPUTED_VALUE"""),"Grizzly Bears
Nighthawks")</f>
        <v>Grizzly Bears
Nighthawks</v>
      </c>
      <c r="E191" s="136">
        <f>IFERROR(__xludf.DUMMYFUNCTION("""COMPUTED_VALUE"""),27.0)</f>
        <v>27</v>
      </c>
      <c r="F191" s="136">
        <f>IFERROR(__xludf.DUMMYFUNCTION("""COMPUTED_VALUE"""),12.0)</f>
        <v>12</v>
      </c>
      <c r="G191" s="136">
        <f>IFERROR(__xludf.DUMMYFUNCTION("""COMPUTED_VALUE"""),15.0)</f>
        <v>15</v>
      </c>
      <c r="H191" s="137">
        <f>IFERROR(__xludf.DUMMYFUNCTION("""COMPUTED_VALUE"""),0.4444444444444444)</f>
        <v>0.4444444444</v>
      </c>
      <c r="I191" s="136">
        <f>IFERROR(__xludf.DUMMYFUNCTION("""COMPUTED_VALUE"""),5.0)</f>
        <v>5</v>
      </c>
      <c r="J191" s="136">
        <f>IFERROR(__xludf.DUMMYFUNCTION("""COMPUTED_VALUE"""),9372.0)</f>
        <v>9372</v>
      </c>
      <c r="K191" s="136">
        <f>IFERROR(__xludf.DUMMYFUNCTION("""COMPUTED_VALUE"""),16.0)</f>
        <v>16</v>
      </c>
      <c r="L191" s="136">
        <f>IFERROR(__xludf.DUMMYFUNCTION("""COMPUTED_VALUE"""),17.0)</f>
        <v>17</v>
      </c>
      <c r="M191" s="136">
        <f>IFERROR(__xludf.DUMMYFUNCTION("""COMPUTED_VALUE"""),42.0)</f>
        <v>42</v>
      </c>
      <c r="N191" s="136">
        <f>IFERROR(__xludf.DUMMYFUNCTION("""COMPUTED_VALUE"""),55.0)</f>
        <v>55</v>
      </c>
      <c r="O191" s="138">
        <f>IFERROR(__xludf.DUMMYFUNCTION("""COMPUTED_VALUE"""),2.0)</f>
        <v>2</v>
      </c>
      <c r="P191" s="138">
        <f>IFERROR(__xludf.DUMMYFUNCTION("""COMPUTED_VALUE"""),1.0)</f>
        <v>1</v>
      </c>
      <c r="Q191" s="138">
        <f>IFERROR(__xludf.DUMMYFUNCTION("""COMPUTED_VALUE"""),0.0)</f>
        <v>0</v>
      </c>
      <c r="R191" s="138">
        <f>IFERROR(__xludf.DUMMYFUNCTION("""COMPUTED_VALUE"""),5.0)</f>
        <v>5</v>
      </c>
      <c r="S191" s="139">
        <f>IFERROR(__xludf.DUMMYFUNCTION("""COMPUTED_VALUE"""),221.0)</f>
        <v>221</v>
      </c>
      <c r="T191" s="140">
        <f>IFERROR(__xludf.DUMMYFUNCTION("""COMPUTED_VALUE"""),74.0)</f>
        <v>74</v>
      </c>
      <c r="U191" s="136">
        <f>IFERROR(__xludf.DUMMYFUNCTION("""COMPUTED_VALUE"""),18.0)</f>
        <v>18</v>
      </c>
      <c r="V191" s="136">
        <f>IFERROR(__xludf.DUMMYFUNCTION("""COMPUTED_VALUE"""),30.0)</f>
        <v>30</v>
      </c>
      <c r="W191" s="136">
        <f>IFERROR(__xludf.DUMMYFUNCTION("""COMPUTED_VALUE"""),17.0)</f>
        <v>17</v>
      </c>
      <c r="X191" s="136">
        <f>IFERROR(__xludf.DUMMYFUNCTION("""COMPUTED_VALUE"""),379.3333333333333)</f>
        <v>379.3333333</v>
      </c>
      <c r="Y191" s="141">
        <f>IFERROR(__xludf.DUMMYFUNCTION("""COMPUTED_VALUE"""),49.844074074074065)</f>
        <v>49.84407407</v>
      </c>
      <c r="Z191" s="141">
        <f>IFERROR(__xludf.DUMMYFUNCTION("""COMPUTED_VALUE"""),2262.037037037037)</f>
        <v>2262.037037</v>
      </c>
    </row>
    <row r="192">
      <c r="A192" s="41" t="str">
        <f>IFERROR(__xludf.DUMMYFUNCTION("""COMPUTED_VALUE"""),"Elite")</f>
        <v>Elite</v>
      </c>
      <c r="B192" s="41" t="str">
        <f>IFERROR(__xludf.DUMMYFUNCTION("""COMPUTED_VALUE"""),"RSC003830")</f>
        <v>RSC003830</v>
      </c>
      <c r="C192" s="41" t="str">
        <f>IFERROR(__xludf.DUMMYFUNCTION("""COMPUTED_VALUE"""),"bradyK-")</f>
        <v>bradyK-</v>
      </c>
      <c r="D192" s="41" t="str">
        <f>IFERROR(__xludf.DUMMYFUNCTION("""COMPUTED_VALUE"""),"Great Whites")</f>
        <v>Great Whites</v>
      </c>
      <c r="E192" s="136">
        <f>IFERROR(__xludf.DUMMYFUNCTION("""COMPUTED_VALUE"""),10.0)</f>
        <v>10</v>
      </c>
      <c r="F192" s="136">
        <f>IFERROR(__xludf.DUMMYFUNCTION("""COMPUTED_VALUE"""),8.0)</f>
        <v>8</v>
      </c>
      <c r="G192" s="136">
        <f>IFERROR(__xludf.DUMMYFUNCTION("""COMPUTED_VALUE"""),2.0)</f>
        <v>2</v>
      </c>
      <c r="H192" s="137">
        <f>IFERROR(__xludf.DUMMYFUNCTION("""COMPUTED_VALUE"""),0.8)</f>
        <v>0.8</v>
      </c>
      <c r="I192" s="136">
        <f>IFERROR(__xludf.DUMMYFUNCTION("""COMPUTED_VALUE"""),1.0)</f>
        <v>1</v>
      </c>
      <c r="J192" s="136">
        <f>IFERROR(__xludf.DUMMYFUNCTION("""COMPUTED_VALUE"""),3490.0)</f>
        <v>3490</v>
      </c>
      <c r="K192" s="136">
        <f>IFERROR(__xludf.DUMMYFUNCTION("""COMPUTED_VALUE"""),6.0)</f>
        <v>6</v>
      </c>
      <c r="L192" s="136">
        <f>IFERROR(__xludf.DUMMYFUNCTION("""COMPUTED_VALUE"""),6.0)</f>
        <v>6</v>
      </c>
      <c r="M192" s="136">
        <f>IFERROR(__xludf.DUMMYFUNCTION("""COMPUTED_VALUE"""),18.0)</f>
        <v>18</v>
      </c>
      <c r="N192" s="136">
        <f>IFERROR(__xludf.DUMMYFUNCTION("""COMPUTED_VALUE"""),22.0)</f>
        <v>22</v>
      </c>
      <c r="O192" s="138">
        <f>IFERROR(__xludf.DUMMYFUNCTION("""COMPUTED_VALUE"""),4.0)</f>
        <v>4</v>
      </c>
      <c r="P192" s="138">
        <f>IFERROR(__xludf.DUMMYFUNCTION("""COMPUTED_VALUE"""),0.0)</f>
        <v>0</v>
      </c>
      <c r="Q192" s="138">
        <f>IFERROR(__xludf.DUMMYFUNCTION("""COMPUTED_VALUE"""),0.0)</f>
        <v>0</v>
      </c>
      <c r="R192" s="138">
        <f>IFERROR(__xludf.DUMMYFUNCTION("""COMPUTED_VALUE"""),2.0)</f>
        <v>2</v>
      </c>
      <c r="S192" s="139">
        <f>IFERROR(__xludf.DUMMYFUNCTION("""COMPUTED_VALUE"""),83.0)</f>
        <v>83</v>
      </c>
      <c r="T192" s="140">
        <f>IFERROR(__xludf.DUMMYFUNCTION("""COMPUTED_VALUE"""),15.0)</f>
        <v>15</v>
      </c>
      <c r="U192" s="136">
        <f>IFERROR(__xludf.DUMMYFUNCTION("""COMPUTED_VALUE"""),6.0)</f>
        <v>6</v>
      </c>
      <c r="V192" s="136">
        <f>IFERROR(__xludf.DUMMYFUNCTION("""COMPUTED_VALUE"""),6.0)</f>
        <v>6</v>
      </c>
      <c r="W192" s="136">
        <f>IFERROR(__xludf.DUMMYFUNCTION("""COMPUTED_VALUE"""),14.0)</f>
        <v>14</v>
      </c>
      <c r="X192" s="136">
        <f>IFERROR(__xludf.DUMMYFUNCTION("""COMPUTED_VALUE"""),382.8)</f>
        <v>382.8</v>
      </c>
      <c r="Y192" s="141">
        <f>IFERROR(__xludf.DUMMYFUNCTION("""COMPUTED_VALUE"""),49.364)</f>
        <v>49.364</v>
      </c>
      <c r="Z192" s="141">
        <f>IFERROR(__xludf.DUMMYFUNCTION("""COMPUTED_VALUE"""),2757.6)</f>
        <v>2757.6</v>
      </c>
    </row>
    <row r="193">
      <c r="A193" s="41" t="str">
        <f>IFERROR(__xludf.DUMMYFUNCTION("""COMPUTED_VALUE"""),"Elite")</f>
        <v>Elite</v>
      </c>
      <c r="B193" s="41" t="str">
        <f>IFERROR(__xludf.DUMMYFUNCTION("""COMPUTED_VALUE"""),"RSC003831")</f>
        <v>RSC003831</v>
      </c>
      <c r="C193" s="41" t="str">
        <f>IFERROR(__xludf.DUMMYFUNCTION("""COMPUTED_VALUE"""),"Aki")</f>
        <v>Aki</v>
      </c>
      <c r="D193" s="41" t="str">
        <f>IFERROR(__xludf.DUMMYFUNCTION("""COMPUTED_VALUE"""),"Ghastly Goombahs")</f>
        <v>Ghastly Goombahs</v>
      </c>
      <c r="E193" s="136">
        <f>IFERROR(__xludf.DUMMYFUNCTION("""COMPUTED_VALUE"""),38.0)</f>
        <v>38</v>
      </c>
      <c r="F193" s="136">
        <f>IFERROR(__xludf.DUMMYFUNCTION("""COMPUTED_VALUE"""),17.0)</f>
        <v>17</v>
      </c>
      <c r="G193" s="136">
        <f>IFERROR(__xludf.DUMMYFUNCTION("""COMPUTED_VALUE"""),21.0)</f>
        <v>21</v>
      </c>
      <c r="H193" s="137">
        <f>IFERROR(__xludf.DUMMYFUNCTION("""COMPUTED_VALUE"""),0.4473684210526316)</f>
        <v>0.4473684211</v>
      </c>
      <c r="I193" s="136">
        <f>IFERROR(__xludf.DUMMYFUNCTION("""COMPUTED_VALUE"""),5.0)</f>
        <v>5</v>
      </c>
      <c r="J193" s="136">
        <f>IFERROR(__xludf.DUMMYFUNCTION("""COMPUTED_VALUE"""),15086.0)</f>
        <v>15086</v>
      </c>
      <c r="K193" s="136">
        <f>IFERROR(__xludf.DUMMYFUNCTION("""COMPUTED_VALUE"""),33.0)</f>
        <v>33</v>
      </c>
      <c r="L193" s="136">
        <f>IFERROR(__xludf.DUMMYFUNCTION("""COMPUTED_VALUE"""),28.0)</f>
        <v>28</v>
      </c>
      <c r="M193" s="136">
        <f>IFERROR(__xludf.DUMMYFUNCTION("""COMPUTED_VALUE"""),55.0)</f>
        <v>55</v>
      </c>
      <c r="N193" s="136">
        <f>IFERROR(__xludf.DUMMYFUNCTION("""COMPUTED_VALUE"""),112.0)</f>
        <v>112</v>
      </c>
      <c r="O193" s="138">
        <f>IFERROR(__xludf.DUMMYFUNCTION("""COMPUTED_VALUE"""),8.0)</f>
        <v>8</v>
      </c>
      <c r="P193" s="138">
        <f>IFERROR(__xludf.DUMMYFUNCTION("""COMPUTED_VALUE"""),2.0)</f>
        <v>2</v>
      </c>
      <c r="Q193" s="138">
        <f>IFERROR(__xludf.DUMMYFUNCTION("""COMPUTED_VALUE"""),2.0)</f>
        <v>2</v>
      </c>
      <c r="R193" s="138">
        <f>IFERROR(__xludf.DUMMYFUNCTION("""COMPUTED_VALUE"""),9.0)</f>
        <v>9</v>
      </c>
      <c r="S193" s="139">
        <f>IFERROR(__xludf.DUMMYFUNCTION("""COMPUTED_VALUE"""),308.0)</f>
        <v>308</v>
      </c>
      <c r="T193" s="140">
        <f>IFERROR(__xludf.DUMMYFUNCTION("""COMPUTED_VALUE"""),84.0)</f>
        <v>84</v>
      </c>
      <c r="U193" s="136">
        <f>IFERROR(__xludf.DUMMYFUNCTION("""COMPUTED_VALUE"""),34.0)</f>
        <v>34</v>
      </c>
      <c r="V193" s="136">
        <f>IFERROR(__xludf.DUMMYFUNCTION("""COMPUTED_VALUE"""),34.0)</f>
        <v>34</v>
      </c>
      <c r="W193" s="136">
        <f>IFERROR(__xludf.DUMMYFUNCTION("""COMPUTED_VALUE"""),25.0)</f>
        <v>25</v>
      </c>
      <c r="X193" s="136">
        <f>IFERROR(__xludf.DUMMYFUNCTION("""COMPUTED_VALUE"""),401.2105263157895)</f>
        <v>401.2105263</v>
      </c>
      <c r="Y193" s="141">
        <f>IFERROR(__xludf.DUMMYFUNCTION("""COMPUTED_VALUE"""),48.71815789473685)</f>
        <v>48.71815789</v>
      </c>
      <c r="Z193" s="141">
        <f>IFERROR(__xludf.DUMMYFUNCTION("""COMPUTED_VALUE"""),2474.4473684210525)</f>
        <v>2474.447368</v>
      </c>
    </row>
    <row r="194">
      <c r="A194" s="41" t="str">
        <f>IFERROR(__xludf.DUMMYFUNCTION("""COMPUTED_VALUE"""),"Challenger")</f>
        <v>Challenger</v>
      </c>
      <c r="B194" s="41" t="str">
        <f>IFERROR(__xludf.DUMMYFUNCTION("""COMPUTED_VALUE"""),"RSC003836")</f>
        <v>RSC003836</v>
      </c>
      <c r="C194" s="41" t="str">
        <f>IFERROR(__xludf.DUMMYFUNCTION("""COMPUTED_VALUE"""),"Chronicle")</f>
        <v>Chronicle</v>
      </c>
      <c r="D194" s="41" t="str">
        <f>IFERROR(__xludf.DUMMYFUNCTION("""COMPUTED_VALUE"""),"Warbirds
Toucans")</f>
        <v>Warbirds
Toucans</v>
      </c>
      <c r="E194" s="136">
        <f>IFERROR(__xludf.DUMMYFUNCTION("""COMPUTED_VALUE"""),24.0)</f>
        <v>24</v>
      </c>
      <c r="F194" s="136">
        <f>IFERROR(__xludf.DUMMYFUNCTION("""COMPUTED_VALUE"""),6.0)</f>
        <v>6</v>
      </c>
      <c r="G194" s="136">
        <f>IFERROR(__xludf.DUMMYFUNCTION("""COMPUTED_VALUE"""),18.0)</f>
        <v>18</v>
      </c>
      <c r="H194" s="137">
        <f>IFERROR(__xludf.DUMMYFUNCTION("""COMPUTED_VALUE"""),0.25)</f>
        <v>0.25</v>
      </c>
      <c r="I194" s="136">
        <f>IFERROR(__xludf.DUMMYFUNCTION("""COMPUTED_VALUE"""),2.0)</f>
        <v>2</v>
      </c>
      <c r="J194" s="136">
        <f>IFERROR(__xludf.DUMMYFUNCTION("""COMPUTED_VALUE"""),8004.0)</f>
        <v>8004</v>
      </c>
      <c r="K194" s="136">
        <f>IFERROR(__xludf.DUMMYFUNCTION("""COMPUTED_VALUE"""),11.0)</f>
        <v>11</v>
      </c>
      <c r="L194" s="136">
        <f>IFERROR(__xludf.DUMMYFUNCTION("""COMPUTED_VALUE"""),10.0)</f>
        <v>10</v>
      </c>
      <c r="M194" s="136">
        <f>IFERROR(__xludf.DUMMYFUNCTION("""COMPUTED_VALUE"""),40.0)</f>
        <v>40</v>
      </c>
      <c r="N194" s="136">
        <f>IFERROR(__xludf.DUMMYFUNCTION("""COMPUTED_VALUE"""),47.0)</f>
        <v>47</v>
      </c>
      <c r="O194" s="138">
        <f>IFERROR(__xludf.DUMMYFUNCTION("""COMPUTED_VALUE"""),3.0)</f>
        <v>3</v>
      </c>
      <c r="P194" s="138">
        <f>IFERROR(__xludf.DUMMYFUNCTION("""COMPUTED_VALUE"""),0.0)</f>
        <v>0</v>
      </c>
      <c r="Q194" s="138">
        <f>IFERROR(__xludf.DUMMYFUNCTION("""COMPUTED_VALUE"""),0.0)</f>
        <v>0</v>
      </c>
      <c r="R194" s="138">
        <f>IFERROR(__xludf.DUMMYFUNCTION("""COMPUTED_VALUE"""),6.0)</f>
        <v>6</v>
      </c>
      <c r="S194" s="139">
        <f>IFERROR(__xludf.DUMMYFUNCTION("""COMPUTED_VALUE"""),236.0)</f>
        <v>236</v>
      </c>
      <c r="T194" s="140">
        <f>IFERROR(__xludf.DUMMYFUNCTION("""COMPUTED_VALUE"""),78.0)</f>
        <v>78</v>
      </c>
      <c r="U194" s="136">
        <f>IFERROR(__xludf.DUMMYFUNCTION("""COMPUTED_VALUE"""),33.0)</f>
        <v>33</v>
      </c>
      <c r="V194" s="136">
        <f>IFERROR(__xludf.DUMMYFUNCTION("""COMPUTED_VALUE"""),19.0)</f>
        <v>19</v>
      </c>
      <c r="W194" s="136">
        <f>IFERROR(__xludf.DUMMYFUNCTION("""COMPUTED_VALUE"""),27.0)</f>
        <v>27</v>
      </c>
      <c r="X194" s="136">
        <f>IFERROR(__xludf.DUMMYFUNCTION("""COMPUTED_VALUE"""),347.7916666666667)</f>
        <v>347.7916667</v>
      </c>
      <c r="Y194" s="141">
        <f>IFERROR(__xludf.DUMMYFUNCTION("""COMPUTED_VALUE"""),51.91750000000001)</f>
        <v>51.9175</v>
      </c>
      <c r="Z194" s="141">
        <f>IFERROR(__xludf.DUMMYFUNCTION("""COMPUTED_VALUE"""),2100.375)</f>
        <v>2100.375</v>
      </c>
    </row>
    <row r="195">
      <c r="A195" s="41" t="str">
        <f>IFERROR(__xludf.DUMMYFUNCTION("""COMPUTED_VALUE"""),"Challenger")</f>
        <v>Challenger</v>
      </c>
      <c r="B195" s="41" t="str">
        <f>IFERROR(__xludf.DUMMYFUNCTION("""COMPUTED_VALUE"""),"RSC003897")</f>
        <v>RSC003897</v>
      </c>
      <c r="C195" s="41" t="str">
        <f>IFERROR(__xludf.DUMMYFUNCTION("""COMPUTED_VALUE"""),"HalfieHour")</f>
        <v>HalfieHour</v>
      </c>
      <c r="D195" s="41" t="str">
        <f>IFERROR(__xludf.DUMMYFUNCTION("""COMPUTED_VALUE"""),"Jinyiwei
Insider Traders")</f>
        <v>Jinyiwei
Insider Traders</v>
      </c>
      <c r="E195" s="136">
        <f>IFERROR(__xludf.DUMMYFUNCTION("""COMPUTED_VALUE"""),48.0)</f>
        <v>48</v>
      </c>
      <c r="F195" s="136">
        <f>IFERROR(__xludf.DUMMYFUNCTION("""COMPUTED_VALUE"""),21.0)</f>
        <v>21</v>
      </c>
      <c r="G195" s="136">
        <f>IFERROR(__xludf.DUMMYFUNCTION("""COMPUTED_VALUE"""),27.0)</f>
        <v>27</v>
      </c>
      <c r="H195" s="137">
        <f>IFERROR(__xludf.DUMMYFUNCTION("""COMPUTED_VALUE"""),0.4375)</f>
        <v>0.4375</v>
      </c>
      <c r="I195" s="136">
        <f>IFERROR(__xludf.DUMMYFUNCTION("""COMPUTED_VALUE"""),8.0)</f>
        <v>8</v>
      </c>
      <c r="J195" s="136">
        <f>IFERROR(__xludf.DUMMYFUNCTION("""COMPUTED_VALUE"""),19036.0)</f>
        <v>19036</v>
      </c>
      <c r="K195" s="136">
        <f>IFERROR(__xludf.DUMMYFUNCTION("""COMPUTED_VALUE"""),49.0)</f>
        <v>49</v>
      </c>
      <c r="L195" s="136">
        <f>IFERROR(__xludf.DUMMYFUNCTION("""COMPUTED_VALUE"""),23.0)</f>
        <v>23</v>
      </c>
      <c r="M195" s="136">
        <f>IFERROR(__xludf.DUMMYFUNCTION("""COMPUTED_VALUE"""),74.0)</f>
        <v>74</v>
      </c>
      <c r="N195" s="136">
        <f>IFERROR(__xludf.DUMMYFUNCTION("""COMPUTED_VALUE"""),135.0)</f>
        <v>135</v>
      </c>
      <c r="O195" s="138">
        <f>IFERROR(__xludf.DUMMYFUNCTION("""COMPUTED_VALUE"""),7.0)</f>
        <v>7</v>
      </c>
      <c r="P195" s="138">
        <f>IFERROR(__xludf.DUMMYFUNCTION("""COMPUTED_VALUE"""),3.0)</f>
        <v>3</v>
      </c>
      <c r="Q195" s="138">
        <f>IFERROR(__xludf.DUMMYFUNCTION("""COMPUTED_VALUE"""),2.0)</f>
        <v>2</v>
      </c>
      <c r="R195" s="138">
        <f>IFERROR(__xludf.DUMMYFUNCTION("""COMPUTED_VALUE"""),10.0)</f>
        <v>10</v>
      </c>
      <c r="S195" s="139">
        <f>IFERROR(__xludf.DUMMYFUNCTION("""COMPUTED_VALUE"""),387.0)</f>
        <v>387</v>
      </c>
      <c r="T195" s="140">
        <f>IFERROR(__xludf.DUMMYFUNCTION("""COMPUTED_VALUE"""),128.0)</f>
        <v>128</v>
      </c>
      <c r="U195" s="136">
        <f>IFERROR(__xludf.DUMMYFUNCTION("""COMPUTED_VALUE"""),39.0)</f>
        <v>39</v>
      </c>
      <c r="V195" s="136">
        <f>IFERROR(__xludf.DUMMYFUNCTION("""COMPUTED_VALUE"""),37.0)</f>
        <v>37</v>
      </c>
      <c r="W195" s="136">
        <f>IFERROR(__xludf.DUMMYFUNCTION("""COMPUTED_VALUE"""),51.0)</f>
        <v>51</v>
      </c>
      <c r="X195" s="136">
        <f>IFERROR(__xludf.DUMMYFUNCTION("""COMPUTED_VALUE"""),325.0625)</f>
        <v>325.0625</v>
      </c>
      <c r="Y195" s="141">
        <f>IFERROR(__xludf.DUMMYFUNCTION("""COMPUTED_VALUE"""),51.096458333333324)</f>
        <v>51.09645833</v>
      </c>
      <c r="Z195" s="141">
        <f>IFERROR(__xludf.DUMMYFUNCTION("""COMPUTED_VALUE"""),1993.0208333333333)</f>
        <v>1993.020833</v>
      </c>
    </row>
    <row r="196">
      <c r="A196" s="41" t="str">
        <f>IFERROR(__xludf.DUMMYFUNCTION("""COMPUTED_VALUE"""),"Challenger")</f>
        <v>Challenger</v>
      </c>
      <c r="B196" s="41" t="str">
        <f>IFERROR(__xludf.DUMMYFUNCTION("""COMPUTED_VALUE"""),"RSC003900")</f>
        <v>RSC003900</v>
      </c>
      <c r="C196" s="41" t="str">
        <f>IFERROR(__xludf.DUMMYFUNCTION("""COMPUTED_VALUE"""),"Tryhard goblin")</f>
        <v>Tryhard goblin</v>
      </c>
      <c r="D196" s="41" t="str">
        <f>IFERROR(__xludf.DUMMYFUNCTION("""COMPUTED_VALUE"""),"Porch Pirates")</f>
        <v>Porch Pirates</v>
      </c>
      <c r="E196" s="136">
        <f>IFERROR(__xludf.DUMMYFUNCTION("""COMPUTED_VALUE"""),52.0)</f>
        <v>52</v>
      </c>
      <c r="F196" s="136">
        <f>IFERROR(__xludf.DUMMYFUNCTION("""COMPUTED_VALUE"""),16.0)</f>
        <v>16</v>
      </c>
      <c r="G196" s="136">
        <f>IFERROR(__xludf.DUMMYFUNCTION("""COMPUTED_VALUE"""),36.0)</f>
        <v>36</v>
      </c>
      <c r="H196" s="137">
        <f>IFERROR(__xludf.DUMMYFUNCTION("""COMPUTED_VALUE"""),0.3076923076923077)</f>
        <v>0.3076923077</v>
      </c>
      <c r="I196" s="136">
        <f>IFERROR(__xludf.DUMMYFUNCTION("""COMPUTED_VALUE"""),6.0)</f>
        <v>6</v>
      </c>
      <c r="J196" s="136">
        <f>IFERROR(__xludf.DUMMYFUNCTION("""COMPUTED_VALUE"""),17781.0)</f>
        <v>17781</v>
      </c>
      <c r="K196" s="136">
        <f>IFERROR(__xludf.DUMMYFUNCTION("""COMPUTED_VALUE"""),28.0)</f>
        <v>28</v>
      </c>
      <c r="L196" s="136">
        <f>IFERROR(__xludf.DUMMYFUNCTION("""COMPUTED_VALUE"""),28.0)</f>
        <v>28</v>
      </c>
      <c r="M196" s="136">
        <f>IFERROR(__xludf.DUMMYFUNCTION("""COMPUTED_VALUE"""),75.0)</f>
        <v>75</v>
      </c>
      <c r="N196" s="136">
        <f>IFERROR(__xludf.DUMMYFUNCTION("""COMPUTED_VALUE"""),114.0)</f>
        <v>114</v>
      </c>
      <c r="O196" s="138">
        <f>IFERROR(__xludf.DUMMYFUNCTION("""COMPUTED_VALUE"""),5.0)</f>
        <v>5</v>
      </c>
      <c r="P196" s="138">
        <f>IFERROR(__xludf.DUMMYFUNCTION("""COMPUTED_VALUE"""),2.0)</f>
        <v>2</v>
      </c>
      <c r="Q196" s="138">
        <f>IFERROR(__xludf.DUMMYFUNCTION("""COMPUTED_VALUE"""),1.0)</f>
        <v>1</v>
      </c>
      <c r="R196" s="138">
        <f>IFERROR(__xludf.DUMMYFUNCTION("""COMPUTED_VALUE"""),6.0)</f>
        <v>6</v>
      </c>
      <c r="S196" s="139">
        <f>IFERROR(__xludf.DUMMYFUNCTION("""COMPUTED_VALUE"""),425.0)</f>
        <v>425</v>
      </c>
      <c r="T196" s="140">
        <f>IFERROR(__xludf.DUMMYFUNCTION("""COMPUTED_VALUE"""),145.0)</f>
        <v>145</v>
      </c>
      <c r="U196" s="136">
        <f>IFERROR(__xludf.DUMMYFUNCTION("""COMPUTED_VALUE"""),49.0)</f>
        <v>49</v>
      </c>
      <c r="V196" s="136">
        <f>IFERROR(__xludf.DUMMYFUNCTION("""COMPUTED_VALUE"""),41.0)</f>
        <v>41</v>
      </c>
      <c r="W196" s="136">
        <f>IFERROR(__xludf.DUMMYFUNCTION("""COMPUTED_VALUE"""),47.0)</f>
        <v>47</v>
      </c>
      <c r="X196" s="136">
        <f>IFERROR(__xludf.DUMMYFUNCTION("""COMPUTED_VALUE"""),297.90384615384613)</f>
        <v>297.9038462</v>
      </c>
      <c r="Y196" s="141">
        <f>IFERROR(__xludf.DUMMYFUNCTION("""COMPUTED_VALUE"""),52.04807692307691)</f>
        <v>52.04807692</v>
      </c>
      <c r="Z196" s="141">
        <f>IFERROR(__xludf.DUMMYFUNCTION("""COMPUTED_VALUE"""),1942.5192307692307)</f>
        <v>1942.519231</v>
      </c>
    </row>
    <row r="197">
      <c r="A197" s="41" t="str">
        <f>IFERROR(__xludf.DUMMYFUNCTION("""COMPUTED_VALUE"""),"Veteran")</f>
        <v>Veteran</v>
      </c>
      <c r="B197" s="41" t="str">
        <f>IFERROR(__xludf.DUMMYFUNCTION("""COMPUTED_VALUE"""),"RSC003904")</f>
        <v>RSC003904</v>
      </c>
      <c r="C197" s="41" t="str">
        <f>IFERROR(__xludf.DUMMYFUNCTION("""COMPUTED_VALUE"""),"Tyyphoon454")</f>
        <v>Tyyphoon454</v>
      </c>
      <c r="D197" s="41" t="str">
        <f>IFERROR(__xludf.DUMMYFUNCTION("""COMPUTED_VALUE"""),"Dogfight")</f>
        <v>Dogfight</v>
      </c>
      <c r="E197" s="136">
        <f>IFERROR(__xludf.DUMMYFUNCTION("""COMPUTED_VALUE"""),24.0)</f>
        <v>24</v>
      </c>
      <c r="F197" s="136">
        <f>IFERROR(__xludf.DUMMYFUNCTION("""COMPUTED_VALUE"""),10.0)</f>
        <v>10</v>
      </c>
      <c r="G197" s="136">
        <f>IFERROR(__xludf.DUMMYFUNCTION("""COMPUTED_VALUE"""),14.0)</f>
        <v>14</v>
      </c>
      <c r="H197" s="137">
        <f>IFERROR(__xludf.DUMMYFUNCTION("""COMPUTED_VALUE"""),0.4166666666666667)</f>
        <v>0.4166666667</v>
      </c>
      <c r="I197" s="136">
        <f>IFERROR(__xludf.DUMMYFUNCTION("""COMPUTED_VALUE"""),0.0)</f>
        <v>0</v>
      </c>
      <c r="J197" s="136">
        <f>IFERROR(__xludf.DUMMYFUNCTION("""COMPUTED_VALUE"""),7208.0)</f>
        <v>7208</v>
      </c>
      <c r="K197" s="136">
        <f>IFERROR(__xludf.DUMMYFUNCTION("""COMPUTED_VALUE"""),13.0)</f>
        <v>13</v>
      </c>
      <c r="L197" s="136">
        <f>IFERROR(__xludf.DUMMYFUNCTION("""COMPUTED_VALUE"""),19.0)</f>
        <v>19</v>
      </c>
      <c r="M197" s="136">
        <f>IFERROR(__xludf.DUMMYFUNCTION("""COMPUTED_VALUE"""),25.0)</f>
        <v>25</v>
      </c>
      <c r="N197" s="136">
        <f>IFERROR(__xludf.DUMMYFUNCTION("""COMPUTED_VALUE"""),54.0)</f>
        <v>54</v>
      </c>
      <c r="O197" s="138">
        <f>IFERROR(__xludf.DUMMYFUNCTION("""COMPUTED_VALUE"""),2.0)</f>
        <v>2</v>
      </c>
      <c r="P197" s="138">
        <f>IFERROR(__xludf.DUMMYFUNCTION("""COMPUTED_VALUE"""),0.0)</f>
        <v>0</v>
      </c>
      <c r="Q197" s="138">
        <f>IFERROR(__xludf.DUMMYFUNCTION("""COMPUTED_VALUE"""),2.0)</f>
        <v>2</v>
      </c>
      <c r="R197" s="138">
        <f>IFERROR(__xludf.DUMMYFUNCTION("""COMPUTED_VALUE"""),3.0)</f>
        <v>3</v>
      </c>
      <c r="S197" s="139">
        <f>IFERROR(__xludf.DUMMYFUNCTION("""COMPUTED_VALUE"""),173.0)</f>
        <v>173</v>
      </c>
      <c r="T197" s="140">
        <f>IFERROR(__xludf.DUMMYFUNCTION("""COMPUTED_VALUE"""),62.0)</f>
        <v>62</v>
      </c>
      <c r="U197" s="136">
        <f>IFERROR(__xludf.DUMMYFUNCTION("""COMPUTED_VALUE"""),21.0)</f>
        <v>21</v>
      </c>
      <c r="V197" s="136">
        <f>IFERROR(__xludf.DUMMYFUNCTION("""COMPUTED_VALUE"""),32.0)</f>
        <v>32</v>
      </c>
      <c r="W197" s="136">
        <f>IFERROR(__xludf.DUMMYFUNCTION("""COMPUTED_VALUE"""),21.0)</f>
        <v>21</v>
      </c>
      <c r="X197" s="136">
        <f>IFERROR(__xludf.DUMMYFUNCTION("""COMPUTED_VALUE"""),357.0833333333333)</f>
        <v>357.0833333</v>
      </c>
      <c r="Y197" s="141">
        <f>IFERROR(__xludf.DUMMYFUNCTION("""COMPUTED_VALUE"""),49.59041666666666)</f>
        <v>49.59041667</v>
      </c>
      <c r="Z197" s="141">
        <f>IFERROR(__xludf.DUMMYFUNCTION("""COMPUTED_VALUE"""),2142.625)</f>
        <v>2142.625</v>
      </c>
    </row>
    <row r="198">
      <c r="A198" s="41" t="str">
        <f>IFERROR(__xludf.DUMMYFUNCTION("""COMPUTED_VALUE"""),"Veteran")</f>
        <v>Veteran</v>
      </c>
      <c r="B198" s="41" t="str">
        <f>IFERROR(__xludf.DUMMYFUNCTION("""COMPUTED_VALUE"""),"RSC003945")</f>
        <v>RSC003945</v>
      </c>
      <c r="C198" s="41" t="str">
        <f>IFERROR(__xludf.DUMMYFUNCTION("""COMPUTED_VALUE"""),"Gaw1f3d")</f>
        <v>Gaw1f3d</v>
      </c>
      <c r="D198" s="41" t="str">
        <f>IFERROR(__xludf.DUMMYFUNCTION("""COMPUTED_VALUE"""),"Navigators")</f>
        <v>Navigators</v>
      </c>
      <c r="E198" s="136">
        <f>IFERROR(__xludf.DUMMYFUNCTION("""COMPUTED_VALUE"""),42.0)</f>
        <v>42</v>
      </c>
      <c r="F198" s="136">
        <f>IFERROR(__xludf.DUMMYFUNCTION("""COMPUTED_VALUE"""),16.0)</f>
        <v>16</v>
      </c>
      <c r="G198" s="136">
        <f>IFERROR(__xludf.DUMMYFUNCTION("""COMPUTED_VALUE"""),26.0)</f>
        <v>26</v>
      </c>
      <c r="H198" s="137">
        <f>IFERROR(__xludf.DUMMYFUNCTION("""COMPUTED_VALUE"""),0.38095238095238093)</f>
        <v>0.380952381</v>
      </c>
      <c r="I198" s="136">
        <f>IFERROR(__xludf.DUMMYFUNCTION("""COMPUTED_VALUE"""),5.0)</f>
        <v>5</v>
      </c>
      <c r="J198" s="136">
        <f>IFERROR(__xludf.DUMMYFUNCTION("""COMPUTED_VALUE"""),14343.0)</f>
        <v>14343</v>
      </c>
      <c r="K198" s="136">
        <f>IFERROR(__xludf.DUMMYFUNCTION("""COMPUTED_VALUE"""),29.0)</f>
        <v>29</v>
      </c>
      <c r="L198" s="136">
        <f>IFERROR(__xludf.DUMMYFUNCTION("""COMPUTED_VALUE"""),28.0)</f>
        <v>28</v>
      </c>
      <c r="M198" s="136">
        <f>IFERROR(__xludf.DUMMYFUNCTION("""COMPUTED_VALUE"""),56.0)</f>
        <v>56</v>
      </c>
      <c r="N198" s="136">
        <f>IFERROR(__xludf.DUMMYFUNCTION("""COMPUTED_VALUE"""),110.0)</f>
        <v>110</v>
      </c>
      <c r="O198" s="138">
        <f>IFERROR(__xludf.DUMMYFUNCTION("""COMPUTED_VALUE"""),8.0)</f>
        <v>8</v>
      </c>
      <c r="P198" s="138">
        <f>IFERROR(__xludf.DUMMYFUNCTION("""COMPUTED_VALUE"""),0.0)</f>
        <v>0</v>
      </c>
      <c r="Q198" s="138">
        <f>IFERROR(__xludf.DUMMYFUNCTION("""COMPUTED_VALUE"""),1.0)</f>
        <v>1</v>
      </c>
      <c r="R198" s="138">
        <f>IFERROR(__xludf.DUMMYFUNCTION("""COMPUTED_VALUE"""),6.0)</f>
        <v>6</v>
      </c>
      <c r="S198" s="139">
        <f>IFERROR(__xludf.DUMMYFUNCTION("""COMPUTED_VALUE"""),355.0)</f>
        <v>355</v>
      </c>
      <c r="T198" s="140">
        <f>IFERROR(__xludf.DUMMYFUNCTION("""COMPUTED_VALUE"""),119.0)</f>
        <v>119</v>
      </c>
      <c r="U198" s="136">
        <f>IFERROR(__xludf.DUMMYFUNCTION("""COMPUTED_VALUE"""),48.0)</f>
        <v>48</v>
      </c>
      <c r="V198" s="136">
        <f>IFERROR(__xludf.DUMMYFUNCTION("""COMPUTED_VALUE"""),70.0)</f>
        <v>70</v>
      </c>
      <c r="W198" s="136">
        <f>IFERROR(__xludf.DUMMYFUNCTION("""COMPUTED_VALUE"""),52.0)</f>
        <v>52</v>
      </c>
      <c r="X198" s="136">
        <f>IFERROR(__xludf.DUMMYFUNCTION("""COMPUTED_VALUE"""),401.42857142857144)</f>
        <v>401.4285714</v>
      </c>
      <c r="Y198" s="141">
        <f>IFERROR(__xludf.DUMMYFUNCTION("""COMPUTED_VALUE"""),48.249047619047616)</f>
        <v>48.24904762</v>
      </c>
      <c r="Z198" s="141">
        <f>IFERROR(__xludf.DUMMYFUNCTION("""COMPUTED_VALUE"""),2477.690476190476)</f>
        <v>2477.690476</v>
      </c>
    </row>
    <row r="199">
      <c r="A199" s="41" t="str">
        <f>IFERROR(__xludf.DUMMYFUNCTION("""COMPUTED_VALUE"""),"Elite")</f>
        <v>Elite</v>
      </c>
      <c r="B199" s="41" t="str">
        <f>IFERROR(__xludf.DUMMYFUNCTION("""COMPUTED_VALUE"""),"RSC003953")</f>
        <v>RSC003953</v>
      </c>
      <c r="C199" s="41" t="str">
        <f>IFERROR(__xludf.DUMMYFUNCTION("""COMPUTED_VALUE"""),"JustHere4SalCap")</f>
        <v>JustHere4SalCap</v>
      </c>
      <c r="D199" s="41" t="str">
        <f>IFERROR(__xludf.DUMMYFUNCTION("""COMPUTED_VALUE"""),"Hellhounds")</f>
        <v>Hellhounds</v>
      </c>
      <c r="E199" s="136">
        <f>IFERROR(__xludf.DUMMYFUNCTION("""COMPUTED_VALUE"""),14.0)</f>
        <v>14</v>
      </c>
      <c r="F199" s="136">
        <f>IFERROR(__xludf.DUMMYFUNCTION("""COMPUTED_VALUE"""),7.0)</f>
        <v>7</v>
      </c>
      <c r="G199" s="136">
        <f>IFERROR(__xludf.DUMMYFUNCTION("""COMPUTED_VALUE"""),7.0)</f>
        <v>7</v>
      </c>
      <c r="H199" s="137">
        <f>IFERROR(__xludf.DUMMYFUNCTION("""COMPUTED_VALUE"""),0.5)</f>
        <v>0.5</v>
      </c>
      <c r="I199" s="136">
        <f>IFERROR(__xludf.DUMMYFUNCTION("""COMPUTED_VALUE"""),0.0)</f>
        <v>0</v>
      </c>
      <c r="J199" s="136">
        <f>IFERROR(__xludf.DUMMYFUNCTION("""COMPUTED_VALUE"""),4153.0)</f>
        <v>4153</v>
      </c>
      <c r="K199" s="136">
        <f>IFERROR(__xludf.DUMMYFUNCTION("""COMPUTED_VALUE"""),1.0)</f>
        <v>1</v>
      </c>
      <c r="L199" s="136">
        <f>IFERROR(__xludf.DUMMYFUNCTION("""COMPUTED_VALUE"""),12.0)</f>
        <v>12</v>
      </c>
      <c r="M199" s="136">
        <f>IFERROR(__xludf.DUMMYFUNCTION("""COMPUTED_VALUE"""),22.0)</f>
        <v>22</v>
      </c>
      <c r="N199" s="136">
        <f>IFERROR(__xludf.DUMMYFUNCTION("""COMPUTED_VALUE"""),24.0)</f>
        <v>24</v>
      </c>
      <c r="O199" s="138">
        <f>IFERROR(__xludf.DUMMYFUNCTION("""COMPUTED_VALUE"""),0.0)</f>
        <v>0</v>
      </c>
      <c r="P199" s="138">
        <f>IFERROR(__xludf.DUMMYFUNCTION("""COMPUTED_VALUE"""),0.0)</f>
        <v>0</v>
      </c>
      <c r="Q199" s="138">
        <f>IFERROR(__xludf.DUMMYFUNCTION("""COMPUTED_VALUE"""),1.0)</f>
        <v>1</v>
      </c>
      <c r="R199" s="138">
        <f>IFERROR(__xludf.DUMMYFUNCTION("""COMPUTED_VALUE"""),2.0)</f>
        <v>2</v>
      </c>
      <c r="S199" s="139">
        <f>IFERROR(__xludf.DUMMYFUNCTION("""COMPUTED_VALUE"""),126.0)</f>
        <v>126</v>
      </c>
      <c r="T199" s="140">
        <f>IFERROR(__xludf.DUMMYFUNCTION("""COMPUTED_VALUE"""),27.0)</f>
        <v>27</v>
      </c>
      <c r="U199" s="136">
        <f>IFERROR(__xludf.DUMMYFUNCTION("""COMPUTED_VALUE"""),5.0)</f>
        <v>5</v>
      </c>
      <c r="V199" s="136">
        <f>IFERROR(__xludf.DUMMYFUNCTION("""COMPUTED_VALUE"""),6.0)</f>
        <v>6</v>
      </c>
      <c r="W199" s="136">
        <f>IFERROR(__xludf.DUMMYFUNCTION("""COMPUTED_VALUE"""),26.0)</f>
        <v>26</v>
      </c>
      <c r="X199" s="136">
        <f>IFERROR(__xludf.DUMMYFUNCTION("""COMPUTED_VALUE"""),330.14285714285717)</f>
        <v>330.1428571</v>
      </c>
      <c r="Y199" s="141">
        <f>IFERROR(__xludf.DUMMYFUNCTION("""COMPUTED_VALUE"""),45.712142857142865)</f>
        <v>45.71214286</v>
      </c>
      <c r="Z199" s="141">
        <f>IFERROR(__xludf.DUMMYFUNCTION("""COMPUTED_VALUE"""),2132.6428571428573)</f>
        <v>2132.642857</v>
      </c>
    </row>
    <row r="200">
      <c r="A200" s="41" t="str">
        <f>IFERROR(__xludf.DUMMYFUNCTION("""COMPUTED_VALUE"""),"Master")</f>
        <v>Master</v>
      </c>
      <c r="B200" s="41" t="str">
        <f>IFERROR(__xludf.DUMMYFUNCTION("""COMPUTED_VALUE"""),"RSC003986")</f>
        <v>RSC003986</v>
      </c>
      <c r="C200" s="41" t="str">
        <f>IFERROR(__xludf.DUMMYFUNCTION("""COMPUTED_VALUE"""),"✪ Reprise")</f>
        <v>✪ Reprise</v>
      </c>
      <c r="D200" s="41" t="str">
        <f>IFERROR(__xludf.DUMMYFUNCTION("""COMPUTED_VALUE"""),"Helicoprions")</f>
        <v>Helicoprions</v>
      </c>
      <c r="E200" s="136">
        <f>IFERROR(__xludf.DUMMYFUNCTION("""COMPUTED_VALUE"""),4.0)</f>
        <v>4</v>
      </c>
      <c r="F200" s="136">
        <f>IFERROR(__xludf.DUMMYFUNCTION("""COMPUTED_VALUE"""),2.0)</f>
        <v>2</v>
      </c>
      <c r="G200" s="136">
        <f>IFERROR(__xludf.DUMMYFUNCTION("""COMPUTED_VALUE"""),2.0)</f>
        <v>2</v>
      </c>
      <c r="H200" s="137">
        <f>IFERROR(__xludf.DUMMYFUNCTION("""COMPUTED_VALUE"""),0.5)</f>
        <v>0.5</v>
      </c>
      <c r="I200" s="136">
        <f>IFERROR(__xludf.DUMMYFUNCTION("""COMPUTED_VALUE"""),1.0)</f>
        <v>1</v>
      </c>
      <c r="J200" s="136">
        <f>IFERROR(__xludf.DUMMYFUNCTION("""COMPUTED_VALUE"""),1063.0)</f>
        <v>1063</v>
      </c>
      <c r="K200" s="136">
        <f>IFERROR(__xludf.DUMMYFUNCTION("""COMPUTED_VALUE"""),2.0)</f>
        <v>2</v>
      </c>
      <c r="L200" s="136">
        <f>IFERROR(__xludf.DUMMYFUNCTION("""COMPUTED_VALUE"""),2.0)</f>
        <v>2</v>
      </c>
      <c r="M200" s="136">
        <f>IFERROR(__xludf.DUMMYFUNCTION("""COMPUTED_VALUE"""),4.0)</f>
        <v>4</v>
      </c>
      <c r="N200" s="136">
        <f>IFERROR(__xludf.DUMMYFUNCTION("""COMPUTED_VALUE"""),6.0)</f>
        <v>6</v>
      </c>
      <c r="O200" s="138">
        <f>IFERROR(__xludf.DUMMYFUNCTION("""COMPUTED_VALUE"""),1.0)</f>
        <v>1</v>
      </c>
      <c r="P200" s="138">
        <f>IFERROR(__xludf.DUMMYFUNCTION("""COMPUTED_VALUE"""),0.0)</f>
        <v>0</v>
      </c>
      <c r="Q200" s="138">
        <f>IFERROR(__xludf.DUMMYFUNCTION("""COMPUTED_VALUE"""),0.0)</f>
        <v>0</v>
      </c>
      <c r="R200" s="138">
        <f>IFERROR(__xludf.DUMMYFUNCTION("""COMPUTED_VALUE"""),0.0)</f>
        <v>0</v>
      </c>
      <c r="S200" s="139">
        <f>IFERROR(__xludf.DUMMYFUNCTION("""COMPUTED_VALUE"""),35.0)</f>
        <v>35</v>
      </c>
      <c r="T200" s="140">
        <f>IFERROR(__xludf.DUMMYFUNCTION("""COMPUTED_VALUE"""),9.0)</f>
        <v>9</v>
      </c>
      <c r="U200" s="136">
        <f>IFERROR(__xludf.DUMMYFUNCTION("""COMPUTED_VALUE"""),1.0)</f>
        <v>1</v>
      </c>
      <c r="V200" s="136">
        <f>IFERROR(__xludf.DUMMYFUNCTION("""COMPUTED_VALUE"""),1.0)</f>
        <v>1</v>
      </c>
      <c r="W200" s="136">
        <f>IFERROR(__xludf.DUMMYFUNCTION("""COMPUTED_VALUE"""),4.0)</f>
        <v>4</v>
      </c>
      <c r="X200" s="136">
        <f>IFERROR(__xludf.DUMMYFUNCTION("""COMPUTED_VALUE"""),412.0)</f>
        <v>412</v>
      </c>
      <c r="Y200" s="141">
        <f>IFERROR(__xludf.DUMMYFUNCTION("""COMPUTED_VALUE"""),52.4075)</f>
        <v>52.4075</v>
      </c>
      <c r="Z200" s="141">
        <f>IFERROR(__xludf.DUMMYFUNCTION("""COMPUTED_VALUE"""),2803.25)</f>
        <v>2803.25</v>
      </c>
    </row>
    <row r="201">
      <c r="A201" s="41" t="str">
        <f>IFERROR(__xludf.DUMMYFUNCTION("""COMPUTED_VALUE"""),"Prospect")</f>
        <v>Prospect</v>
      </c>
      <c r="B201" s="41" t="str">
        <f>IFERROR(__xludf.DUMMYFUNCTION("""COMPUTED_VALUE"""),"RSC004012")</f>
        <v>RSC004012</v>
      </c>
      <c r="C201" s="41" t="str">
        <f>IFERROR(__xludf.DUMMYFUNCTION("""COMPUTED_VALUE"""),"kgfan3")</f>
        <v>kgfan3</v>
      </c>
      <c r="D201" s="41" t="str">
        <f>IFERROR(__xludf.DUMMYFUNCTION("""COMPUTED_VALUE"""),"Griffin")</f>
        <v>Griffin</v>
      </c>
      <c r="E201" s="136">
        <f>IFERROR(__xludf.DUMMYFUNCTION("""COMPUTED_VALUE"""),56.0)</f>
        <v>56</v>
      </c>
      <c r="F201" s="136">
        <f>IFERROR(__xludf.DUMMYFUNCTION("""COMPUTED_VALUE"""),31.0)</f>
        <v>31</v>
      </c>
      <c r="G201" s="136">
        <f>IFERROR(__xludf.DUMMYFUNCTION("""COMPUTED_VALUE"""),25.0)</f>
        <v>25</v>
      </c>
      <c r="H201" s="137">
        <f>IFERROR(__xludf.DUMMYFUNCTION("""COMPUTED_VALUE"""),0.5535714285714286)</f>
        <v>0.5535714286</v>
      </c>
      <c r="I201" s="136">
        <f>IFERROR(__xludf.DUMMYFUNCTION("""COMPUTED_VALUE"""),12.0)</f>
        <v>12</v>
      </c>
      <c r="J201" s="136">
        <f>IFERROR(__xludf.DUMMYFUNCTION("""COMPUTED_VALUE"""),19796.0)</f>
        <v>19796</v>
      </c>
      <c r="K201" s="136">
        <f>IFERROR(__xludf.DUMMYFUNCTION("""COMPUTED_VALUE"""),47.0)</f>
        <v>47</v>
      </c>
      <c r="L201" s="136">
        <f>IFERROR(__xludf.DUMMYFUNCTION("""COMPUTED_VALUE"""),29.0)</f>
        <v>29</v>
      </c>
      <c r="M201" s="136">
        <f>IFERROR(__xludf.DUMMYFUNCTION("""COMPUTED_VALUE"""),65.0)</f>
        <v>65</v>
      </c>
      <c r="N201" s="136">
        <f>IFERROR(__xludf.DUMMYFUNCTION("""COMPUTED_VALUE"""),124.0)</f>
        <v>124</v>
      </c>
      <c r="O201" s="138">
        <f>IFERROR(__xludf.DUMMYFUNCTION("""COMPUTED_VALUE"""),9.0)</f>
        <v>9</v>
      </c>
      <c r="P201" s="138">
        <f>IFERROR(__xludf.DUMMYFUNCTION("""COMPUTED_VALUE"""),4.0)</f>
        <v>4</v>
      </c>
      <c r="Q201" s="138">
        <f>IFERROR(__xludf.DUMMYFUNCTION("""COMPUTED_VALUE"""),0.0)</f>
        <v>0</v>
      </c>
      <c r="R201" s="138">
        <f>IFERROR(__xludf.DUMMYFUNCTION("""COMPUTED_VALUE"""),8.0)</f>
        <v>8</v>
      </c>
      <c r="S201" s="139">
        <f>IFERROR(__xludf.DUMMYFUNCTION("""COMPUTED_VALUE"""),386.0)</f>
        <v>386</v>
      </c>
      <c r="T201" s="140">
        <f>IFERROR(__xludf.DUMMYFUNCTION("""COMPUTED_VALUE"""),119.0)</f>
        <v>119</v>
      </c>
      <c r="U201" s="136">
        <f>IFERROR(__xludf.DUMMYFUNCTION("""COMPUTED_VALUE"""),31.0)</f>
        <v>31</v>
      </c>
      <c r="V201" s="136">
        <f>IFERROR(__xludf.DUMMYFUNCTION("""COMPUTED_VALUE"""),52.0)</f>
        <v>52</v>
      </c>
      <c r="W201" s="136">
        <f>IFERROR(__xludf.DUMMYFUNCTION("""COMPUTED_VALUE"""),52.0)</f>
        <v>52</v>
      </c>
      <c r="X201" s="136">
        <f>IFERROR(__xludf.DUMMYFUNCTION("""COMPUTED_VALUE"""),328.2142857142857)</f>
        <v>328.2142857</v>
      </c>
      <c r="Y201" s="141">
        <f>IFERROR(__xludf.DUMMYFUNCTION("""COMPUTED_VALUE"""),48.83660714285714)</f>
        <v>48.83660714</v>
      </c>
      <c r="Z201" s="141">
        <f>IFERROR(__xludf.DUMMYFUNCTION("""COMPUTED_VALUE"""),2081.5535714285716)</f>
        <v>2081.553571</v>
      </c>
    </row>
    <row r="202">
      <c r="A202" s="41" t="str">
        <f>IFERROR(__xludf.DUMMYFUNCTION("""COMPUTED_VALUE"""),"Veteran")</f>
        <v>Veteran</v>
      </c>
      <c r="B202" s="41" t="str">
        <f>IFERROR(__xludf.DUMMYFUNCTION("""COMPUTED_VALUE"""),"RSC004035")</f>
        <v>RSC004035</v>
      </c>
      <c r="C202" s="41" t="str">
        <f>IFERROR(__xludf.DUMMYFUNCTION("""COMPUTED_VALUE"""),"Timmy_-_")</f>
        <v>Timmy_-_</v>
      </c>
      <c r="D202" s="41" t="str">
        <f>IFERROR(__xludf.DUMMYFUNCTION("""COMPUTED_VALUE"""),"Dogfight")</f>
        <v>Dogfight</v>
      </c>
      <c r="E202" s="136">
        <f>IFERROR(__xludf.DUMMYFUNCTION("""COMPUTED_VALUE"""),56.0)</f>
        <v>56</v>
      </c>
      <c r="F202" s="136">
        <f>IFERROR(__xludf.DUMMYFUNCTION("""COMPUTED_VALUE"""),37.0)</f>
        <v>37</v>
      </c>
      <c r="G202" s="136">
        <f>IFERROR(__xludf.DUMMYFUNCTION("""COMPUTED_VALUE"""),19.0)</f>
        <v>19</v>
      </c>
      <c r="H202" s="137">
        <f>IFERROR(__xludf.DUMMYFUNCTION("""COMPUTED_VALUE"""),0.6607142857142857)</f>
        <v>0.6607142857</v>
      </c>
      <c r="I202" s="136">
        <f>IFERROR(__xludf.DUMMYFUNCTION("""COMPUTED_VALUE"""),17.0)</f>
        <v>17</v>
      </c>
      <c r="J202" s="136">
        <f>IFERROR(__xludf.DUMMYFUNCTION("""COMPUTED_VALUE"""),25719.0)</f>
        <v>25719</v>
      </c>
      <c r="K202" s="136">
        <f>IFERROR(__xludf.DUMMYFUNCTION("""COMPUTED_VALUE"""),77.0)</f>
        <v>77</v>
      </c>
      <c r="L202" s="136">
        <f>IFERROR(__xludf.DUMMYFUNCTION("""COMPUTED_VALUE"""),46.0)</f>
        <v>46</v>
      </c>
      <c r="M202" s="136">
        <f>IFERROR(__xludf.DUMMYFUNCTION("""COMPUTED_VALUE"""),76.0)</f>
        <v>76</v>
      </c>
      <c r="N202" s="136">
        <f>IFERROR(__xludf.DUMMYFUNCTION("""COMPUTED_VALUE"""),184.0)</f>
        <v>184</v>
      </c>
      <c r="O202" s="138">
        <f>IFERROR(__xludf.DUMMYFUNCTION("""COMPUTED_VALUE"""),15.0)</f>
        <v>15</v>
      </c>
      <c r="P202" s="138">
        <f>IFERROR(__xludf.DUMMYFUNCTION("""COMPUTED_VALUE"""),8.0)</f>
        <v>8</v>
      </c>
      <c r="Q202" s="138">
        <f>IFERROR(__xludf.DUMMYFUNCTION("""COMPUTED_VALUE"""),4.0)</f>
        <v>4</v>
      </c>
      <c r="R202" s="138">
        <f>IFERROR(__xludf.DUMMYFUNCTION("""COMPUTED_VALUE"""),8.0)</f>
        <v>8</v>
      </c>
      <c r="S202" s="139">
        <f>IFERROR(__xludf.DUMMYFUNCTION("""COMPUTED_VALUE"""),354.0)</f>
        <v>354</v>
      </c>
      <c r="T202" s="140">
        <f>IFERROR(__xludf.DUMMYFUNCTION("""COMPUTED_VALUE"""),110.0)</f>
        <v>110</v>
      </c>
      <c r="U202" s="136">
        <f>IFERROR(__xludf.DUMMYFUNCTION("""COMPUTED_VALUE"""),41.0)</f>
        <v>41</v>
      </c>
      <c r="V202" s="136">
        <f>IFERROR(__xludf.DUMMYFUNCTION("""COMPUTED_VALUE"""),21.0)</f>
        <v>21</v>
      </c>
      <c r="W202" s="136">
        <f>IFERROR(__xludf.DUMMYFUNCTION("""COMPUTED_VALUE"""),61.0)</f>
        <v>61</v>
      </c>
      <c r="X202" s="136">
        <f>IFERROR(__xludf.DUMMYFUNCTION("""COMPUTED_VALUE"""),425.8392857142857)</f>
        <v>425.8392857</v>
      </c>
      <c r="Y202" s="141">
        <f>IFERROR(__xludf.DUMMYFUNCTION("""COMPUTED_VALUE"""),48.713035714285716)</f>
        <v>48.71303571</v>
      </c>
      <c r="Z202" s="141">
        <f>IFERROR(__xludf.DUMMYFUNCTION("""COMPUTED_VALUE"""),2520.9285714285716)</f>
        <v>2520.928571</v>
      </c>
    </row>
    <row r="203">
      <c r="A203" s="41" t="str">
        <f>IFERROR(__xludf.DUMMYFUNCTION("""COMPUTED_VALUE"""),"Premier")</f>
        <v>Premier</v>
      </c>
      <c r="B203" s="41" t="str">
        <f>IFERROR(__xludf.DUMMYFUNCTION("""COMPUTED_VALUE"""),"RSC004090")</f>
        <v>RSC004090</v>
      </c>
      <c r="C203" s="41" t="str">
        <f>IFERROR(__xludf.DUMMYFUNCTION("""COMPUTED_VALUE"""),"LikeWisse")</f>
        <v>LikeWisse</v>
      </c>
      <c r="D203" s="41" t="str">
        <f>IFERROR(__xludf.DUMMYFUNCTION("""COMPUTED_VALUE"""),"Super Clusters")</f>
        <v>Super Clusters</v>
      </c>
      <c r="E203" s="136">
        <f>IFERROR(__xludf.DUMMYFUNCTION("""COMPUTED_VALUE"""),56.0)</f>
        <v>56</v>
      </c>
      <c r="F203" s="136">
        <f>IFERROR(__xludf.DUMMYFUNCTION("""COMPUTED_VALUE"""),32.0)</f>
        <v>32</v>
      </c>
      <c r="G203" s="136">
        <f>IFERROR(__xludf.DUMMYFUNCTION("""COMPUTED_VALUE"""),24.0)</f>
        <v>24</v>
      </c>
      <c r="H203" s="137">
        <f>IFERROR(__xludf.DUMMYFUNCTION("""COMPUTED_VALUE"""),0.5714285714285714)</f>
        <v>0.5714285714</v>
      </c>
      <c r="I203" s="136">
        <f>IFERROR(__xludf.DUMMYFUNCTION("""COMPUTED_VALUE"""),14.0)</f>
        <v>14</v>
      </c>
      <c r="J203" s="136">
        <f>IFERROR(__xludf.DUMMYFUNCTION("""COMPUTED_VALUE"""),24005.0)</f>
        <v>24005</v>
      </c>
      <c r="K203" s="136">
        <f>IFERROR(__xludf.DUMMYFUNCTION("""COMPUTED_VALUE"""),63.0)</f>
        <v>63</v>
      </c>
      <c r="L203" s="136">
        <f>IFERROR(__xludf.DUMMYFUNCTION("""COMPUTED_VALUE"""),37.0)</f>
        <v>37</v>
      </c>
      <c r="M203" s="136">
        <f>IFERROR(__xludf.DUMMYFUNCTION("""COMPUTED_VALUE"""),78.0)</f>
        <v>78</v>
      </c>
      <c r="N203" s="136">
        <f>IFERROR(__xludf.DUMMYFUNCTION("""COMPUTED_VALUE"""),167.0)</f>
        <v>167</v>
      </c>
      <c r="O203" s="138">
        <f>IFERROR(__xludf.DUMMYFUNCTION("""COMPUTED_VALUE"""),14.0)</f>
        <v>14</v>
      </c>
      <c r="P203" s="138">
        <f>IFERROR(__xludf.DUMMYFUNCTION("""COMPUTED_VALUE"""),5.0)</f>
        <v>5</v>
      </c>
      <c r="Q203" s="138">
        <f>IFERROR(__xludf.DUMMYFUNCTION("""COMPUTED_VALUE"""),0.0)</f>
        <v>0</v>
      </c>
      <c r="R203" s="138">
        <f>IFERROR(__xludf.DUMMYFUNCTION("""COMPUTED_VALUE"""),13.0)</f>
        <v>13</v>
      </c>
      <c r="S203" s="139">
        <f>IFERROR(__xludf.DUMMYFUNCTION("""COMPUTED_VALUE"""),490.0)</f>
        <v>490</v>
      </c>
      <c r="T203" s="140">
        <f>IFERROR(__xludf.DUMMYFUNCTION("""COMPUTED_VALUE"""),136.0)</f>
        <v>136</v>
      </c>
      <c r="U203" s="136">
        <f>IFERROR(__xludf.DUMMYFUNCTION("""COMPUTED_VALUE"""),43.0)</f>
        <v>43</v>
      </c>
      <c r="V203" s="136">
        <f>IFERROR(__xludf.DUMMYFUNCTION("""COMPUTED_VALUE"""),69.0)</f>
        <v>69</v>
      </c>
      <c r="W203" s="136">
        <f>IFERROR(__xludf.DUMMYFUNCTION("""COMPUTED_VALUE"""),64.0)</f>
        <v>64</v>
      </c>
      <c r="X203" s="136">
        <f>IFERROR(__xludf.DUMMYFUNCTION("""COMPUTED_VALUE"""),438.51785714285717)</f>
        <v>438.5178571</v>
      </c>
      <c r="Y203" s="141">
        <f>IFERROR(__xludf.DUMMYFUNCTION("""COMPUTED_VALUE"""),49.225892857142846)</f>
        <v>49.22589286</v>
      </c>
      <c r="Z203" s="141">
        <f>IFERROR(__xludf.DUMMYFUNCTION("""COMPUTED_VALUE"""),2799.0714285714284)</f>
        <v>2799.071429</v>
      </c>
    </row>
    <row r="204">
      <c r="A204" s="41" t="str">
        <f>IFERROR(__xludf.DUMMYFUNCTION("""COMPUTED_VALUE"""),"Elite")</f>
        <v>Elite</v>
      </c>
      <c r="B204" s="41" t="str">
        <f>IFERROR(__xludf.DUMMYFUNCTION("""COMPUTED_VALUE"""),"RSC004107")</f>
        <v>RSC004107</v>
      </c>
      <c r="C204" s="41" t="str">
        <f>IFERROR(__xludf.DUMMYFUNCTION("""COMPUTED_VALUE"""),"FlyFyre.")</f>
        <v>FlyFyre.</v>
      </c>
      <c r="D204" s="41" t="str">
        <f>IFERROR(__xludf.DUMMYFUNCTION("""COMPUTED_VALUE"""),"Praetorian Guard")</f>
        <v>Praetorian Guard</v>
      </c>
      <c r="E204" s="136">
        <f>IFERROR(__xludf.DUMMYFUNCTION("""COMPUTED_VALUE"""),16.0)</f>
        <v>16</v>
      </c>
      <c r="F204" s="136">
        <f>IFERROR(__xludf.DUMMYFUNCTION("""COMPUTED_VALUE"""),9.0)</f>
        <v>9</v>
      </c>
      <c r="G204" s="136">
        <f>IFERROR(__xludf.DUMMYFUNCTION("""COMPUTED_VALUE"""),7.0)</f>
        <v>7</v>
      </c>
      <c r="H204" s="137">
        <f>IFERROR(__xludf.DUMMYFUNCTION("""COMPUTED_VALUE"""),0.5625)</f>
        <v>0.5625</v>
      </c>
      <c r="I204" s="136">
        <f>IFERROR(__xludf.DUMMYFUNCTION("""COMPUTED_VALUE"""),2.0)</f>
        <v>2</v>
      </c>
      <c r="J204" s="136">
        <f>IFERROR(__xludf.DUMMYFUNCTION("""COMPUTED_VALUE"""),6544.0)</f>
        <v>6544</v>
      </c>
      <c r="K204" s="136">
        <f>IFERROR(__xludf.DUMMYFUNCTION("""COMPUTED_VALUE"""),17.0)</f>
        <v>17</v>
      </c>
      <c r="L204" s="136">
        <f>IFERROR(__xludf.DUMMYFUNCTION("""COMPUTED_VALUE"""),10.0)</f>
        <v>10</v>
      </c>
      <c r="M204" s="136">
        <f>IFERROR(__xludf.DUMMYFUNCTION("""COMPUTED_VALUE"""),22.0)</f>
        <v>22</v>
      </c>
      <c r="N204" s="136">
        <f>IFERROR(__xludf.DUMMYFUNCTION("""COMPUTED_VALUE"""),52.0)</f>
        <v>52</v>
      </c>
      <c r="O204" s="138">
        <f>IFERROR(__xludf.DUMMYFUNCTION("""COMPUTED_VALUE"""),6.0)</f>
        <v>6</v>
      </c>
      <c r="P204" s="138">
        <f>IFERROR(__xludf.DUMMYFUNCTION("""COMPUTED_VALUE"""),2.0)</f>
        <v>2</v>
      </c>
      <c r="Q204" s="138">
        <f>IFERROR(__xludf.DUMMYFUNCTION("""COMPUTED_VALUE"""),0.0)</f>
        <v>0</v>
      </c>
      <c r="R204" s="138">
        <f>IFERROR(__xludf.DUMMYFUNCTION("""COMPUTED_VALUE"""),2.0)</f>
        <v>2</v>
      </c>
      <c r="S204" s="139">
        <f>IFERROR(__xludf.DUMMYFUNCTION("""COMPUTED_VALUE"""),133.0)</f>
        <v>133</v>
      </c>
      <c r="T204" s="140">
        <f>IFERROR(__xludf.DUMMYFUNCTION("""COMPUTED_VALUE"""),45.0)</f>
        <v>45</v>
      </c>
      <c r="U204" s="136">
        <f>IFERROR(__xludf.DUMMYFUNCTION("""COMPUTED_VALUE"""),15.0)</f>
        <v>15</v>
      </c>
      <c r="V204" s="136">
        <f>IFERROR(__xludf.DUMMYFUNCTION("""COMPUTED_VALUE"""),15.0)</f>
        <v>15</v>
      </c>
      <c r="W204" s="136">
        <f>IFERROR(__xludf.DUMMYFUNCTION("""COMPUTED_VALUE"""),12.0)</f>
        <v>12</v>
      </c>
      <c r="X204" s="136">
        <f>IFERROR(__xludf.DUMMYFUNCTION("""COMPUTED_VALUE"""),346.3125)</f>
        <v>346.3125</v>
      </c>
      <c r="Y204" s="141">
        <f>IFERROR(__xludf.DUMMYFUNCTION("""COMPUTED_VALUE"""),51.2975)</f>
        <v>51.2975</v>
      </c>
      <c r="Z204" s="141">
        <f>IFERROR(__xludf.DUMMYFUNCTION("""COMPUTED_VALUE"""),2182.6875)</f>
        <v>2182.6875</v>
      </c>
    </row>
    <row r="205">
      <c r="A205" s="41" t="str">
        <f>IFERROR(__xludf.DUMMYFUNCTION("""COMPUTED_VALUE"""),"Elite")</f>
        <v>Elite</v>
      </c>
      <c r="B205" s="41" t="str">
        <f>IFERROR(__xludf.DUMMYFUNCTION("""COMPUTED_VALUE"""),"RSC004109")</f>
        <v>RSC004109</v>
      </c>
      <c r="C205" s="41" t="str">
        <f>IFERROR(__xludf.DUMMYFUNCTION("""COMPUTED_VALUE"""),"Hawkish")</f>
        <v>Hawkish</v>
      </c>
      <c r="D205" s="41" t="str">
        <f>IFERROR(__xludf.DUMMYFUNCTION("""COMPUTED_VALUE"""),"Hydras")</f>
        <v>Hydras</v>
      </c>
      <c r="E205" s="136">
        <f>IFERROR(__xludf.DUMMYFUNCTION("""COMPUTED_VALUE"""),19.0)</f>
        <v>19</v>
      </c>
      <c r="F205" s="136">
        <f>IFERROR(__xludf.DUMMYFUNCTION("""COMPUTED_VALUE"""),8.0)</f>
        <v>8</v>
      </c>
      <c r="G205" s="136">
        <f>IFERROR(__xludf.DUMMYFUNCTION("""COMPUTED_VALUE"""),11.0)</f>
        <v>11</v>
      </c>
      <c r="H205" s="137">
        <f>IFERROR(__xludf.DUMMYFUNCTION("""COMPUTED_VALUE"""),0.42105263157894735)</f>
        <v>0.4210526316</v>
      </c>
      <c r="I205" s="136">
        <f>IFERROR(__xludf.DUMMYFUNCTION("""COMPUTED_VALUE"""),1.0)</f>
        <v>1</v>
      </c>
      <c r="J205" s="136">
        <f>IFERROR(__xludf.DUMMYFUNCTION("""COMPUTED_VALUE"""),5924.0)</f>
        <v>5924</v>
      </c>
      <c r="K205" s="136">
        <f>IFERROR(__xludf.DUMMYFUNCTION("""COMPUTED_VALUE"""),14.0)</f>
        <v>14</v>
      </c>
      <c r="L205" s="136">
        <f>IFERROR(__xludf.DUMMYFUNCTION("""COMPUTED_VALUE"""),8.0)</f>
        <v>8</v>
      </c>
      <c r="M205" s="136">
        <f>IFERROR(__xludf.DUMMYFUNCTION("""COMPUTED_VALUE"""),26.0)</f>
        <v>26</v>
      </c>
      <c r="N205" s="136">
        <f>IFERROR(__xludf.DUMMYFUNCTION("""COMPUTED_VALUE"""),37.0)</f>
        <v>37</v>
      </c>
      <c r="O205" s="138">
        <f>IFERROR(__xludf.DUMMYFUNCTION("""COMPUTED_VALUE"""),2.0)</f>
        <v>2</v>
      </c>
      <c r="P205" s="138">
        <f>IFERROR(__xludf.DUMMYFUNCTION("""COMPUTED_VALUE"""),1.0)</f>
        <v>1</v>
      </c>
      <c r="Q205" s="138">
        <f>IFERROR(__xludf.DUMMYFUNCTION("""COMPUTED_VALUE"""),0.0)</f>
        <v>0</v>
      </c>
      <c r="R205" s="138">
        <f>IFERROR(__xludf.DUMMYFUNCTION("""COMPUTED_VALUE"""),3.0)</f>
        <v>3</v>
      </c>
      <c r="S205" s="139">
        <f>IFERROR(__xludf.DUMMYFUNCTION("""COMPUTED_VALUE"""),159.0)</f>
        <v>159</v>
      </c>
      <c r="T205" s="140">
        <f>IFERROR(__xludf.DUMMYFUNCTION("""COMPUTED_VALUE"""),51.0)</f>
        <v>51</v>
      </c>
      <c r="U205" s="136">
        <f>IFERROR(__xludf.DUMMYFUNCTION("""COMPUTED_VALUE"""),11.0)</f>
        <v>11</v>
      </c>
      <c r="V205" s="136">
        <f>IFERROR(__xludf.DUMMYFUNCTION("""COMPUTED_VALUE"""),5.0)</f>
        <v>5</v>
      </c>
      <c r="W205" s="136">
        <f>IFERROR(__xludf.DUMMYFUNCTION("""COMPUTED_VALUE"""),20.0)</f>
        <v>20</v>
      </c>
      <c r="X205" s="136">
        <f>IFERROR(__xludf.DUMMYFUNCTION("""COMPUTED_VALUE"""),309.2105263157895)</f>
        <v>309.2105263</v>
      </c>
      <c r="Y205" s="141">
        <f>IFERROR(__xludf.DUMMYFUNCTION("""COMPUTED_VALUE"""),46.76105263157895)</f>
        <v>46.76105263</v>
      </c>
      <c r="Z205" s="141">
        <f>IFERROR(__xludf.DUMMYFUNCTION("""COMPUTED_VALUE"""),1811.578947368421)</f>
        <v>1811.578947</v>
      </c>
    </row>
    <row r="206">
      <c r="A206" s="41" t="str">
        <f>IFERROR(__xludf.DUMMYFUNCTION("""COMPUTED_VALUE"""),"Elite")</f>
        <v>Elite</v>
      </c>
      <c r="B206" s="41" t="str">
        <f>IFERROR(__xludf.DUMMYFUNCTION("""COMPUTED_VALUE"""),"RSC004131")</f>
        <v>RSC004131</v>
      </c>
      <c r="C206" s="41" t="str">
        <f>IFERROR(__xludf.DUMMYFUNCTION("""COMPUTED_VALUE"""),"Poptart Pounder")</f>
        <v>Poptart Pounder</v>
      </c>
      <c r="D206" s="41" t="str">
        <f>IFERROR(__xludf.DUMMYFUNCTION("""COMPUTED_VALUE"""),"Ghastly Goombahs")</f>
        <v>Ghastly Goombahs</v>
      </c>
      <c r="E206" s="136">
        <f>IFERROR(__xludf.DUMMYFUNCTION("""COMPUTED_VALUE"""),19.0)</f>
        <v>19</v>
      </c>
      <c r="F206" s="136">
        <f>IFERROR(__xludf.DUMMYFUNCTION("""COMPUTED_VALUE"""),9.0)</f>
        <v>9</v>
      </c>
      <c r="G206" s="136">
        <f>IFERROR(__xludf.DUMMYFUNCTION("""COMPUTED_VALUE"""),10.0)</f>
        <v>10</v>
      </c>
      <c r="H206" s="137">
        <f>IFERROR(__xludf.DUMMYFUNCTION("""COMPUTED_VALUE"""),0.47368421052631576)</f>
        <v>0.4736842105</v>
      </c>
      <c r="I206" s="136">
        <f>IFERROR(__xludf.DUMMYFUNCTION("""COMPUTED_VALUE"""),4.0)</f>
        <v>4</v>
      </c>
      <c r="J206" s="136">
        <f>IFERROR(__xludf.DUMMYFUNCTION("""COMPUTED_VALUE"""),6329.0)</f>
        <v>6329</v>
      </c>
      <c r="K206" s="136">
        <f>IFERROR(__xludf.DUMMYFUNCTION("""COMPUTED_VALUE"""),18.0)</f>
        <v>18</v>
      </c>
      <c r="L206" s="136">
        <f>IFERROR(__xludf.DUMMYFUNCTION("""COMPUTED_VALUE"""),13.0)</f>
        <v>13</v>
      </c>
      <c r="M206" s="136">
        <f>IFERROR(__xludf.DUMMYFUNCTION("""COMPUTED_VALUE"""),16.0)</f>
        <v>16</v>
      </c>
      <c r="N206" s="136">
        <f>IFERROR(__xludf.DUMMYFUNCTION("""COMPUTED_VALUE"""),55.0)</f>
        <v>55</v>
      </c>
      <c r="O206" s="138">
        <f>IFERROR(__xludf.DUMMYFUNCTION("""COMPUTED_VALUE"""),4.0)</f>
        <v>4</v>
      </c>
      <c r="P206" s="138">
        <f>IFERROR(__xludf.DUMMYFUNCTION("""COMPUTED_VALUE"""),3.0)</f>
        <v>3</v>
      </c>
      <c r="Q206" s="138">
        <f>IFERROR(__xludf.DUMMYFUNCTION("""COMPUTED_VALUE"""),1.0)</f>
        <v>1</v>
      </c>
      <c r="R206" s="138">
        <f>IFERROR(__xludf.DUMMYFUNCTION("""COMPUTED_VALUE"""),1.0)</f>
        <v>1</v>
      </c>
      <c r="S206" s="139">
        <f>IFERROR(__xludf.DUMMYFUNCTION("""COMPUTED_VALUE"""),156.0)</f>
        <v>156</v>
      </c>
      <c r="T206" s="140">
        <f>IFERROR(__xludf.DUMMYFUNCTION("""COMPUTED_VALUE"""),46.0)</f>
        <v>46</v>
      </c>
      <c r="U206" s="136">
        <f>IFERROR(__xludf.DUMMYFUNCTION("""COMPUTED_VALUE"""),12.0)</f>
        <v>12</v>
      </c>
      <c r="V206" s="136">
        <f>IFERROR(__xludf.DUMMYFUNCTION("""COMPUTED_VALUE"""),29.0)</f>
        <v>29</v>
      </c>
      <c r="W206" s="136">
        <f>IFERROR(__xludf.DUMMYFUNCTION("""COMPUTED_VALUE"""),28.0)</f>
        <v>28</v>
      </c>
      <c r="X206" s="136">
        <f>IFERROR(__xludf.DUMMYFUNCTION("""COMPUTED_VALUE"""),450.05263157894734)</f>
        <v>450.0526316</v>
      </c>
      <c r="Y206" s="141">
        <f>IFERROR(__xludf.DUMMYFUNCTION("""COMPUTED_VALUE"""),48.235263157894735)</f>
        <v>48.23526316</v>
      </c>
      <c r="Z206" s="141">
        <f>IFERROR(__xludf.DUMMYFUNCTION("""COMPUTED_VALUE"""),2732.8947368421054)</f>
        <v>2732.894737</v>
      </c>
    </row>
    <row r="207">
      <c r="A207" s="41" t="str">
        <f>IFERROR(__xludf.DUMMYFUNCTION("""COMPUTED_VALUE"""),"Master")</f>
        <v>Master</v>
      </c>
      <c r="B207" s="41" t="str">
        <f>IFERROR(__xludf.DUMMYFUNCTION("""COMPUTED_VALUE"""),"RSC004132")</f>
        <v>RSC004132</v>
      </c>
      <c r="C207" s="41" t="str">
        <f>IFERROR(__xludf.DUMMYFUNCTION("""COMPUTED_VALUE"""),"RobFromCSA")</f>
        <v>RobFromCSA</v>
      </c>
      <c r="D207" s="41" t="str">
        <f>IFERROR(__xludf.DUMMYFUNCTION("""COMPUTED_VALUE"""),"Andromeda")</f>
        <v>Andromeda</v>
      </c>
      <c r="E207" s="136">
        <f>IFERROR(__xludf.DUMMYFUNCTION("""COMPUTED_VALUE"""),56.0)</f>
        <v>56</v>
      </c>
      <c r="F207" s="136">
        <f>IFERROR(__xludf.DUMMYFUNCTION("""COMPUTED_VALUE"""),35.0)</f>
        <v>35</v>
      </c>
      <c r="G207" s="136">
        <f>IFERROR(__xludf.DUMMYFUNCTION("""COMPUTED_VALUE"""),21.0)</f>
        <v>21</v>
      </c>
      <c r="H207" s="137">
        <f>IFERROR(__xludf.DUMMYFUNCTION("""COMPUTED_VALUE"""),0.625)</f>
        <v>0.625</v>
      </c>
      <c r="I207" s="136">
        <f>IFERROR(__xludf.DUMMYFUNCTION("""COMPUTED_VALUE"""),14.0)</f>
        <v>14</v>
      </c>
      <c r="J207" s="136">
        <f>IFERROR(__xludf.DUMMYFUNCTION("""COMPUTED_VALUE"""),21410.0)</f>
        <v>21410</v>
      </c>
      <c r="K207" s="136">
        <f>IFERROR(__xludf.DUMMYFUNCTION("""COMPUTED_VALUE"""),48.0)</f>
        <v>48</v>
      </c>
      <c r="L207" s="136">
        <f>IFERROR(__xludf.DUMMYFUNCTION("""COMPUTED_VALUE"""),35.0)</f>
        <v>35</v>
      </c>
      <c r="M207" s="136">
        <f>IFERROR(__xludf.DUMMYFUNCTION("""COMPUTED_VALUE"""),89.0)</f>
        <v>89</v>
      </c>
      <c r="N207" s="136">
        <f>IFERROR(__xludf.DUMMYFUNCTION("""COMPUTED_VALUE"""),144.0)</f>
        <v>144</v>
      </c>
      <c r="O207" s="138">
        <f>IFERROR(__xludf.DUMMYFUNCTION("""COMPUTED_VALUE"""),12.0)</f>
        <v>12</v>
      </c>
      <c r="P207" s="138">
        <f>IFERROR(__xludf.DUMMYFUNCTION("""COMPUTED_VALUE"""),4.0)</f>
        <v>4</v>
      </c>
      <c r="Q207" s="138">
        <f>IFERROR(__xludf.DUMMYFUNCTION("""COMPUTED_VALUE"""),0.0)</f>
        <v>0</v>
      </c>
      <c r="R207" s="138">
        <f>IFERROR(__xludf.DUMMYFUNCTION("""COMPUTED_VALUE"""),14.0)</f>
        <v>14</v>
      </c>
      <c r="S207" s="139">
        <f>IFERROR(__xludf.DUMMYFUNCTION("""COMPUTED_VALUE"""),396.0)</f>
        <v>396</v>
      </c>
      <c r="T207" s="140">
        <f>IFERROR(__xludf.DUMMYFUNCTION("""COMPUTED_VALUE"""),98.0)</f>
        <v>98</v>
      </c>
      <c r="U207" s="136">
        <f>IFERROR(__xludf.DUMMYFUNCTION("""COMPUTED_VALUE"""),40.0)</f>
        <v>40</v>
      </c>
      <c r="V207" s="136">
        <f>IFERROR(__xludf.DUMMYFUNCTION("""COMPUTED_VALUE"""),92.0)</f>
        <v>92</v>
      </c>
      <c r="W207" s="136">
        <f>IFERROR(__xludf.DUMMYFUNCTION("""COMPUTED_VALUE"""),66.0)</f>
        <v>66</v>
      </c>
      <c r="X207" s="136">
        <f>IFERROR(__xludf.DUMMYFUNCTION("""COMPUTED_VALUE"""),421.96153846153845)</f>
        <v>421.9615385</v>
      </c>
      <c r="Y207" s="141">
        <f>IFERROR(__xludf.DUMMYFUNCTION("""COMPUTED_VALUE"""),52.20096153846153)</f>
        <v>52.20096154</v>
      </c>
      <c r="Z207" s="141">
        <f>IFERROR(__xludf.DUMMYFUNCTION("""COMPUTED_VALUE"""),2560.4423076923076)</f>
        <v>2560.442308</v>
      </c>
    </row>
    <row r="208">
      <c r="A208" s="41" t="str">
        <f>IFERROR(__xludf.DUMMYFUNCTION("""COMPUTED_VALUE"""),"Premier")</f>
        <v>Premier</v>
      </c>
      <c r="B208" s="41" t="str">
        <f>IFERROR(__xludf.DUMMYFUNCTION("""COMPUTED_VALUE"""),"RSC004138")</f>
        <v>RSC004138</v>
      </c>
      <c r="C208" s="41" t="str">
        <f>IFERROR(__xludf.DUMMYFUNCTION("""COMPUTED_VALUE"""),"ghoosstyyyyyyy")</f>
        <v>ghoosstyyyyyyy</v>
      </c>
      <c r="D208" s="41" t="str">
        <f>IFERROR(__xludf.DUMMYFUNCTION("""COMPUTED_VALUE"""),"Super Clusters
Feta Forgers")</f>
        <v>Super Clusters
Feta Forgers</v>
      </c>
      <c r="E208" s="136">
        <f>IFERROR(__xludf.DUMMYFUNCTION("""COMPUTED_VALUE"""),21.0)</f>
        <v>21</v>
      </c>
      <c r="F208" s="136">
        <f>IFERROR(__xludf.DUMMYFUNCTION("""COMPUTED_VALUE"""),12.0)</f>
        <v>12</v>
      </c>
      <c r="G208" s="136">
        <f>IFERROR(__xludf.DUMMYFUNCTION("""COMPUTED_VALUE"""),9.0)</f>
        <v>9</v>
      </c>
      <c r="H208" s="137">
        <f>IFERROR(__xludf.DUMMYFUNCTION("""COMPUTED_VALUE"""),0.5714285714285714)</f>
        <v>0.5714285714</v>
      </c>
      <c r="I208" s="136">
        <f>IFERROR(__xludf.DUMMYFUNCTION("""COMPUTED_VALUE"""),1.0)</f>
        <v>1</v>
      </c>
      <c r="J208" s="136">
        <f>IFERROR(__xludf.DUMMYFUNCTION("""COMPUTED_VALUE"""),7311.0)</f>
        <v>7311</v>
      </c>
      <c r="K208" s="136">
        <f>IFERROR(__xludf.DUMMYFUNCTION("""COMPUTED_VALUE"""),18.0)</f>
        <v>18</v>
      </c>
      <c r="L208" s="136">
        <f>IFERROR(__xludf.DUMMYFUNCTION("""COMPUTED_VALUE"""),13.0)</f>
        <v>13</v>
      </c>
      <c r="M208" s="136">
        <f>IFERROR(__xludf.DUMMYFUNCTION("""COMPUTED_VALUE"""),22.0)</f>
        <v>22</v>
      </c>
      <c r="N208" s="136">
        <f>IFERROR(__xludf.DUMMYFUNCTION("""COMPUTED_VALUE"""),68.0)</f>
        <v>68</v>
      </c>
      <c r="O208" s="138">
        <f>IFERROR(__xludf.DUMMYFUNCTION("""COMPUTED_VALUE"""),4.0)</f>
        <v>4</v>
      </c>
      <c r="P208" s="138">
        <f>IFERROR(__xludf.DUMMYFUNCTION("""COMPUTED_VALUE"""),0.0)</f>
        <v>0</v>
      </c>
      <c r="Q208" s="138">
        <f>IFERROR(__xludf.DUMMYFUNCTION("""COMPUTED_VALUE"""),1.0)</f>
        <v>1</v>
      </c>
      <c r="R208" s="138">
        <f>IFERROR(__xludf.DUMMYFUNCTION("""COMPUTED_VALUE"""),1.0)</f>
        <v>1</v>
      </c>
      <c r="S208" s="139">
        <f>IFERROR(__xludf.DUMMYFUNCTION("""COMPUTED_VALUE"""),165.0)</f>
        <v>165</v>
      </c>
      <c r="T208" s="140">
        <f>IFERROR(__xludf.DUMMYFUNCTION("""COMPUTED_VALUE"""),53.0)</f>
        <v>53</v>
      </c>
      <c r="U208" s="136">
        <f>IFERROR(__xludf.DUMMYFUNCTION("""COMPUTED_VALUE"""),18.0)</f>
        <v>18</v>
      </c>
      <c r="V208" s="136">
        <f>IFERROR(__xludf.DUMMYFUNCTION("""COMPUTED_VALUE"""),30.0)</f>
        <v>30</v>
      </c>
      <c r="W208" s="136">
        <f>IFERROR(__xludf.DUMMYFUNCTION("""COMPUTED_VALUE"""),40.0)</f>
        <v>40</v>
      </c>
      <c r="X208" s="136">
        <f>IFERROR(__xludf.DUMMYFUNCTION("""COMPUTED_VALUE"""),411.5238095238095)</f>
        <v>411.5238095</v>
      </c>
      <c r="Y208" s="141">
        <f>IFERROR(__xludf.DUMMYFUNCTION("""COMPUTED_VALUE"""),46.85857142857142)</f>
        <v>46.85857143</v>
      </c>
      <c r="Z208" s="141">
        <f>IFERROR(__xludf.DUMMYFUNCTION("""COMPUTED_VALUE"""),2495.714285714286)</f>
        <v>2495.714286</v>
      </c>
    </row>
    <row r="209">
      <c r="A209" s="41" t="str">
        <f>IFERROR(__xludf.DUMMYFUNCTION("""COMPUTED_VALUE"""),"Premier")</f>
        <v>Premier</v>
      </c>
      <c r="B209" s="41" t="str">
        <f>IFERROR(__xludf.DUMMYFUNCTION("""COMPUTED_VALUE"""),"RSC004149")</f>
        <v>RSC004149</v>
      </c>
      <c r="C209" s="41" t="str">
        <f>IFERROR(__xludf.DUMMYFUNCTION("""COMPUTED_VALUE"""),"insanity")</f>
        <v>insanity</v>
      </c>
      <c r="D209" s="41" t="str">
        <f>IFERROR(__xludf.DUMMYFUNCTION("""COMPUTED_VALUE"""),"Super Clusters")</f>
        <v>Super Clusters</v>
      </c>
      <c r="E209" s="136">
        <f>IFERROR(__xludf.DUMMYFUNCTION("""COMPUTED_VALUE"""),52.0)</f>
        <v>52</v>
      </c>
      <c r="F209" s="136">
        <f>IFERROR(__xludf.DUMMYFUNCTION("""COMPUTED_VALUE"""),30.0)</f>
        <v>30</v>
      </c>
      <c r="G209" s="136">
        <f>IFERROR(__xludf.DUMMYFUNCTION("""COMPUTED_VALUE"""),22.0)</f>
        <v>22</v>
      </c>
      <c r="H209" s="137">
        <f>IFERROR(__xludf.DUMMYFUNCTION("""COMPUTED_VALUE"""),0.5769230769230769)</f>
        <v>0.5769230769</v>
      </c>
      <c r="I209" s="136">
        <f>IFERROR(__xludf.DUMMYFUNCTION("""COMPUTED_VALUE"""),6.0)</f>
        <v>6</v>
      </c>
      <c r="J209" s="136">
        <f>IFERROR(__xludf.DUMMYFUNCTION("""COMPUTED_VALUE"""),20311.0)</f>
        <v>20311</v>
      </c>
      <c r="K209" s="136">
        <f>IFERROR(__xludf.DUMMYFUNCTION("""COMPUTED_VALUE"""),36.0)</f>
        <v>36</v>
      </c>
      <c r="L209" s="136">
        <f>IFERROR(__xludf.DUMMYFUNCTION("""COMPUTED_VALUE"""),40.0)</f>
        <v>40</v>
      </c>
      <c r="M209" s="136">
        <f>IFERROR(__xludf.DUMMYFUNCTION("""COMPUTED_VALUE"""),84.0)</f>
        <v>84</v>
      </c>
      <c r="N209" s="136">
        <f>IFERROR(__xludf.DUMMYFUNCTION("""COMPUTED_VALUE"""),138.0)</f>
        <v>138</v>
      </c>
      <c r="O209" s="138">
        <f>IFERROR(__xludf.DUMMYFUNCTION("""COMPUTED_VALUE"""),15.0)</f>
        <v>15</v>
      </c>
      <c r="P209" s="138">
        <f>IFERROR(__xludf.DUMMYFUNCTION("""COMPUTED_VALUE"""),2.0)</f>
        <v>2</v>
      </c>
      <c r="Q209" s="138">
        <f>IFERROR(__xludf.DUMMYFUNCTION("""COMPUTED_VALUE"""),0.0)</f>
        <v>0</v>
      </c>
      <c r="R209" s="138">
        <f>IFERROR(__xludf.DUMMYFUNCTION("""COMPUTED_VALUE"""),13.0)</f>
        <v>13</v>
      </c>
      <c r="S209" s="139">
        <f>IFERROR(__xludf.DUMMYFUNCTION("""COMPUTED_VALUE"""),466.0)</f>
        <v>466</v>
      </c>
      <c r="T209" s="140">
        <f>IFERROR(__xludf.DUMMYFUNCTION("""COMPUTED_VALUE"""),127.0)</f>
        <v>127</v>
      </c>
      <c r="U209" s="136">
        <f>IFERROR(__xludf.DUMMYFUNCTION("""COMPUTED_VALUE"""),44.0)</f>
        <v>44</v>
      </c>
      <c r="V209" s="136">
        <f>IFERROR(__xludf.DUMMYFUNCTION("""COMPUTED_VALUE"""),29.0)</f>
        <v>29</v>
      </c>
      <c r="W209" s="136">
        <f>IFERROR(__xludf.DUMMYFUNCTION("""COMPUTED_VALUE"""),67.0)</f>
        <v>67</v>
      </c>
      <c r="X209" s="136">
        <f>IFERROR(__xludf.DUMMYFUNCTION("""COMPUTED_VALUE"""),345.71153846153845)</f>
        <v>345.7115385</v>
      </c>
      <c r="Y209" s="141">
        <f>IFERROR(__xludf.DUMMYFUNCTION("""COMPUTED_VALUE"""),48.48923076923077)</f>
        <v>48.48923077</v>
      </c>
      <c r="Z209" s="141">
        <f>IFERROR(__xludf.DUMMYFUNCTION("""COMPUTED_VALUE"""),2272.5384615384614)</f>
        <v>2272.538462</v>
      </c>
    </row>
    <row r="210">
      <c r="A210" s="41" t="str">
        <f>IFERROR(__xludf.DUMMYFUNCTION("""COMPUTED_VALUE"""),"Veteran")</f>
        <v>Veteran</v>
      </c>
      <c r="B210" s="41" t="str">
        <f>IFERROR(__xludf.DUMMYFUNCTION("""COMPUTED_VALUE"""),"RSC004165")</f>
        <v>RSC004165</v>
      </c>
      <c r="C210" s="41" t="str">
        <f>IFERROR(__xludf.DUMMYFUNCTION("""COMPUTED_VALUE"""),"Absolutely TOR")</f>
        <v>Absolutely TOR</v>
      </c>
      <c r="D210" s="41" t="str">
        <f>IFERROR(__xludf.DUMMYFUNCTION("""COMPUTED_VALUE"""),"Cannoli")</f>
        <v>Cannoli</v>
      </c>
      <c r="E210" s="136">
        <f>IFERROR(__xludf.DUMMYFUNCTION("""COMPUTED_VALUE"""),54.0)</f>
        <v>54</v>
      </c>
      <c r="F210" s="136">
        <f>IFERROR(__xludf.DUMMYFUNCTION("""COMPUTED_VALUE"""),26.0)</f>
        <v>26</v>
      </c>
      <c r="G210" s="136">
        <f>IFERROR(__xludf.DUMMYFUNCTION("""COMPUTED_VALUE"""),28.0)</f>
        <v>28</v>
      </c>
      <c r="H210" s="137">
        <f>IFERROR(__xludf.DUMMYFUNCTION("""COMPUTED_VALUE"""),0.48148148148148145)</f>
        <v>0.4814814815</v>
      </c>
      <c r="I210" s="136">
        <f>IFERROR(__xludf.DUMMYFUNCTION("""COMPUTED_VALUE"""),14.0)</f>
        <v>14</v>
      </c>
      <c r="J210" s="136">
        <f>IFERROR(__xludf.DUMMYFUNCTION("""COMPUTED_VALUE"""),21773.0)</f>
        <v>21773</v>
      </c>
      <c r="K210" s="136">
        <f>IFERROR(__xludf.DUMMYFUNCTION("""COMPUTED_VALUE"""),63.0)</f>
        <v>63</v>
      </c>
      <c r="L210" s="136">
        <f>IFERROR(__xludf.DUMMYFUNCTION("""COMPUTED_VALUE"""),29.0)</f>
        <v>29</v>
      </c>
      <c r="M210" s="136">
        <f>IFERROR(__xludf.DUMMYFUNCTION("""COMPUTED_VALUE"""),71.0)</f>
        <v>71</v>
      </c>
      <c r="N210" s="136">
        <f>IFERROR(__xludf.DUMMYFUNCTION("""COMPUTED_VALUE"""),157.0)</f>
        <v>157</v>
      </c>
      <c r="O210" s="138">
        <f>IFERROR(__xludf.DUMMYFUNCTION("""COMPUTED_VALUE"""),6.0)</f>
        <v>6</v>
      </c>
      <c r="P210" s="138">
        <f>IFERROR(__xludf.DUMMYFUNCTION("""COMPUTED_VALUE"""),7.0)</f>
        <v>7</v>
      </c>
      <c r="Q210" s="138">
        <f>IFERROR(__xludf.DUMMYFUNCTION("""COMPUTED_VALUE"""),2.0)</f>
        <v>2</v>
      </c>
      <c r="R210" s="138">
        <f>IFERROR(__xludf.DUMMYFUNCTION("""COMPUTED_VALUE"""),10.0)</f>
        <v>10</v>
      </c>
      <c r="S210" s="139">
        <f>IFERROR(__xludf.DUMMYFUNCTION("""COMPUTED_VALUE"""),453.0)</f>
        <v>453</v>
      </c>
      <c r="T210" s="140">
        <f>IFERROR(__xludf.DUMMYFUNCTION("""COMPUTED_VALUE"""),151.0)</f>
        <v>151</v>
      </c>
      <c r="U210" s="136">
        <f>IFERROR(__xludf.DUMMYFUNCTION("""COMPUTED_VALUE"""),45.0)</f>
        <v>45</v>
      </c>
      <c r="V210" s="136">
        <f>IFERROR(__xludf.DUMMYFUNCTION("""COMPUTED_VALUE"""),51.0)</f>
        <v>51</v>
      </c>
      <c r="W210" s="136">
        <f>IFERROR(__xludf.DUMMYFUNCTION("""COMPUTED_VALUE"""),72.0)</f>
        <v>72</v>
      </c>
      <c r="X210" s="136">
        <f>IFERROR(__xludf.DUMMYFUNCTION("""COMPUTED_VALUE"""),368.94444444444446)</f>
        <v>368.9444444</v>
      </c>
      <c r="Y210" s="141">
        <f>IFERROR(__xludf.DUMMYFUNCTION("""COMPUTED_VALUE"""),50.69333333333334)</f>
        <v>50.69333333</v>
      </c>
      <c r="Z210" s="141">
        <f>IFERROR(__xludf.DUMMYFUNCTION("""COMPUTED_VALUE"""),2280.3333333333335)</f>
        <v>2280.333333</v>
      </c>
    </row>
    <row r="211">
      <c r="A211" s="41" t="str">
        <f>IFERROR(__xludf.DUMMYFUNCTION("""COMPUTED_VALUE"""),"Rival")</f>
        <v>Rival</v>
      </c>
      <c r="B211" s="41" t="str">
        <f>IFERROR(__xludf.DUMMYFUNCTION("""COMPUTED_VALUE"""),"RSC004177")</f>
        <v>RSC004177</v>
      </c>
      <c r="C211" s="41" t="str">
        <f>IFERROR(__xludf.DUMMYFUNCTION("""COMPUTED_VALUE"""),"Abeillonnaise")</f>
        <v>Abeillonnaise</v>
      </c>
      <c r="D211" s="41" t="str">
        <f>IFERROR(__xludf.DUMMYFUNCTION("""COMPUTED_VALUE"""),"Black Ice
Dracos")</f>
        <v>Black Ice
Dracos</v>
      </c>
      <c r="E211" s="136">
        <f>IFERROR(__xludf.DUMMYFUNCTION("""COMPUTED_VALUE"""),18.0)</f>
        <v>18</v>
      </c>
      <c r="F211" s="136">
        <f>IFERROR(__xludf.DUMMYFUNCTION("""COMPUTED_VALUE"""),11.0)</f>
        <v>11</v>
      </c>
      <c r="G211" s="136">
        <f>IFERROR(__xludf.DUMMYFUNCTION("""COMPUTED_VALUE"""),7.0)</f>
        <v>7</v>
      </c>
      <c r="H211" s="137">
        <f>IFERROR(__xludf.DUMMYFUNCTION("""COMPUTED_VALUE"""),0.6111111111111112)</f>
        <v>0.6111111111</v>
      </c>
      <c r="I211" s="136">
        <f>IFERROR(__xludf.DUMMYFUNCTION("""COMPUTED_VALUE"""),2.0)</f>
        <v>2</v>
      </c>
      <c r="J211" s="136">
        <f>IFERROR(__xludf.DUMMYFUNCTION("""COMPUTED_VALUE"""),4761.0)</f>
        <v>4761</v>
      </c>
      <c r="K211" s="136">
        <f>IFERROR(__xludf.DUMMYFUNCTION("""COMPUTED_VALUE"""),13.0)</f>
        <v>13</v>
      </c>
      <c r="L211" s="136">
        <f>IFERROR(__xludf.DUMMYFUNCTION("""COMPUTED_VALUE"""),8.0)</f>
        <v>8</v>
      </c>
      <c r="M211" s="136">
        <f>IFERROR(__xludf.DUMMYFUNCTION("""COMPUTED_VALUE"""),14.0)</f>
        <v>14</v>
      </c>
      <c r="N211" s="136">
        <f>IFERROR(__xludf.DUMMYFUNCTION("""COMPUTED_VALUE"""),32.0)</f>
        <v>32</v>
      </c>
      <c r="O211" s="138">
        <f>IFERROR(__xludf.DUMMYFUNCTION("""COMPUTED_VALUE"""),2.0)</f>
        <v>2</v>
      </c>
      <c r="P211" s="138">
        <f>IFERROR(__xludf.DUMMYFUNCTION("""COMPUTED_VALUE"""),0.0)</f>
        <v>0</v>
      </c>
      <c r="Q211" s="138">
        <f>IFERROR(__xludf.DUMMYFUNCTION("""COMPUTED_VALUE"""),0.0)</f>
        <v>0</v>
      </c>
      <c r="R211" s="138">
        <f>IFERROR(__xludf.DUMMYFUNCTION("""COMPUTED_VALUE"""),0.0)</f>
        <v>0</v>
      </c>
      <c r="S211" s="139">
        <f>IFERROR(__xludf.DUMMYFUNCTION("""COMPUTED_VALUE"""),132.0)</f>
        <v>132</v>
      </c>
      <c r="T211" s="140">
        <f>IFERROR(__xludf.DUMMYFUNCTION("""COMPUTED_VALUE"""),38.0)</f>
        <v>38</v>
      </c>
      <c r="U211" s="136">
        <f>IFERROR(__xludf.DUMMYFUNCTION("""COMPUTED_VALUE"""),14.0)</f>
        <v>14</v>
      </c>
      <c r="V211" s="136">
        <f>IFERROR(__xludf.DUMMYFUNCTION("""COMPUTED_VALUE"""),11.0)</f>
        <v>11</v>
      </c>
      <c r="W211" s="136">
        <f>IFERROR(__xludf.DUMMYFUNCTION("""COMPUTED_VALUE"""),23.0)</f>
        <v>23</v>
      </c>
      <c r="X211" s="136">
        <f>IFERROR(__xludf.DUMMYFUNCTION("""COMPUTED_VALUE"""),286.8888888888889)</f>
        <v>286.8888889</v>
      </c>
      <c r="Y211" s="141">
        <f>IFERROR(__xludf.DUMMYFUNCTION("""COMPUTED_VALUE"""),47.172222222222224)</f>
        <v>47.17222222</v>
      </c>
      <c r="Z211" s="141">
        <f>IFERROR(__xludf.DUMMYFUNCTION("""COMPUTED_VALUE"""),1654.7222222222222)</f>
        <v>1654.722222</v>
      </c>
    </row>
    <row r="212">
      <c r="A212" s="41" t="str">
        <f>IFERROR(__xludf.DUMMYFUNCTION("""COMPUTED_VALUE"""),"Rival")</f>
        <v>Rival</v>
      </c>
      <c r="B212" s="41" t="str">
        <f>IFERROR(__xludf.DUMMYFUNCTION("""COMPUTED_VALUE"""),"RSC004188")</f>
        <v>RSC004188</v>
      </c>
      <c r="C212" s="41" t="str">
        <f>IFERROR(__xludf.DUMMYFUNCTION("""COMPUTED_VALUE"""),"wntr/x")</f>
        <v>wntr/x</v>
      </c>
      <c r="D212" s="41" t="str">
        <f>IFERROR(__xludf.DUMMYFUNCTION("""COMPUTED_VALUE"""),"Tax Evaders")</f>
        <v>Tax Evaders</v>
      </c>
      <c r="E212" s="136">
        <f>IFERROR(__xludf.DUMMYFUNCTION("""COMPUTED_VALUE"""),44.0)</f>
        <v>44</v>
      </c>
      <c r="F212" s="136">
        <f>IFERROR(__xludf.DUMMYFUNCTION("""COMPUTED_VALUE"""),18.0)</f>
        <v>18</v>
      </c>
      <c r="G212" s="136">
        <f>IFERROR(__xludf.DUMMYFUNCTION("""COMPUTED_VALUE"""),26.0)</f>
        <v>26</v>
      </c>
      <c r="H212" s="137">
        <f>IFERROR(__xludf.DUMMYFUNCTION("""COMPUTED_VALUE"""),0.4090909090909091)</f>
        <v>0.4090909091</v>
      </c>
      <c r="I212" s="136">
        <f>IFERROR(__xludf.DUMMYFUNCTION("""COMPUTED_VALUE"""),5.0)</f>
        <v>5</v>
      </c>
      <c r="J212" s="136">
        <f>IFERROR(__xludf.DUMMYFUNCTION("""COMPUTED_VALUE"""),13356.0)</f>
        <v>13356</v>
      </c>
      <c r="K212" s="136">
        <f>IFERROR(__xludf.DUMMYFUNCTION("""COMPUTED_VALUE"""),26.0)</f>
        <v>26</v>
      </c>
      <c r="L212" s="136">
        <f>IFERROR(__xludf.DUMMYFUNCTION("""COMPUTED_VALUE"""),30.0)</f>
        <v>30</v>
      </c>
      <c r="M212" s="136">
        <f>IFERROR(__xludf.DUMMYFUNCTION("""COMPUTED_VALUE"""),45.0)</f>
        <v>45</v>
      </c>
      <c r="N212" s="136">
        <f>IFERROR(__xludf.DUMMYFUNCTION("""COMPUTED_VALUE"""),90.0)</f>
        <v>90</v>
      </c>
      <c r="O212" s="138">
        <f>IFERROR(__xludf.DUMMYFUNCTION("""COMPUTED_VALUE"""),5.0)</f>
        <v>5</v>
      </c>
      <c r="P212" s="138">
        <f>IFERROR(__xludf.DUMMYFUNCTION("""COMPUTED_VALUE"""),0.0)</f>
        <v>0</v>
      </c>
      <c r="Q212" s="138">
        <f>IFERROR(__xludf.DUMMYFUNCTION("""COMPUTED_VALUE"""),1.0)</f>
        <v>1</v>
      </c>
      <c r="R212" s="138">
        <f>IFERROR(__xludf.DUMMYFUNCTION("""COMPUTED_VALUE"""),4.0)</f>
        <v>4</v>
      </c>
      <c r="S212" s="139">
        <f>IFERROR(__xludf.DUMMYFUNCTION("""COMPUTED_VALUE"""),320.0)</f>
        <v>320</v>
      </c>
      <c r="T212" s="140">
        <f>IFERROR(__xludf.DUMMYFUNCTION("""COMPUTED_VALUE"""),106.0)</f>
        <v>106</v>
      </c>
      <c r="U212" s="136">
        <f>IFERROR(__xludf.DUMMYFUNCTION("""COMPUTED_VALUE"""),35.0)</f>
        <v>35</v>
      </c>
      <c r="V212" s="136">
        <f>IFERROR(__xludf.DUMMYFUNCTION("""COMPUTED_VALUE"""),60.0)</f>
        <v>60</v>
      </c>
      <c r="W212" s="136">
        <f>IFERROR(__xludf.DUMMYFUNCTION("""COMPUTED_VALUE"""),43.0)</f>
        <v>43</v>
      </c>
      <c r="X212" s="136">
        <f>IFERROR(__xludf.DUMMYFUNCTION("""COMPUTED_VALUE"""),324.25)</f>
        <v>324.25</v>
      </c>
      <c r="Y212" s="141">
        <f>IFERROR(__xludf.DUMMYFUNCTION("""COMPUTED_VALUE"""),55.69772727272727)</f>
        <v>55.69772727</v>
      </c>
      <c r="Z212" s="141">
        <f>IFERROR(__xludf.DUMMYFUNCTION("""COMPUTED_VALUE"""),1979.1818181818182)</f>
        <v>1979.181818</v>
      </c>
    </row>
    <row r="213">
      <c r="A213" s="41" t="str">
        <f>IFERROR(__xludf.DUMMYFUNCTION("""COMPUTED_VALUE"""),"Master")</f>
        <v>Master</v>
      </c>
      <c r="B213" s="41" t="str">
        <f>IFERROR(__xludf.DUMMYFUNCTION("""COMPUTED_VALUE"""),"RSC004208")</f>
        <v>RSC004208</v>
      </c>
      <c r="C213" s="41" t="str">
        <f>IFERROR(__xludf.DUMMYFUNCTION("""COMPUTED_VALUE"""),"Super")</f>
        <v>Super</v>
      </c>
      <c r="D213" s="41" t="str">
        <f>IFERROR(__xludf.DUMMYFUNCTION("""COMPUTED_VALUE"""),"Care Bears")</f>
        <v>Care Bears</v>
      </c>
      <c r="E213" s="136">
        <f>IFERROR(__xludf.DUMMYFUNCTION("""COMPUTED_VALUE"""),56.0)</f>
        <v>56</v>
      </c>
      <c r="F213" s="136">
        <f>IFERROR(__xludf.DUMMYFUNCTION("""COMPUTED_VALUE"""),36.0)</f>
        <v>36</v>
      </c>
      <c r="G213" s="136">
        <f>IFERROR(__xludf.DUMMYFUNCTION("""COMPUTED_VALUE"""),20.0)</f>
        <v>20</v>
      </c>
      <c r="H213" s="137">
        <f>IFERROR(__xludf.DUMMYFUNCTION("""COMPUTED_VALUE"""),0.6428571428571429)</f>
        <v>0.6428571429</v>
      </c>
      <c r="I213" s="136">
        <f>IFERROR(__xludf.DUMMYFUNCTION("""COMPUTED_VALUE"""),11.0)</f>
        <v>11</v>
      </c>
      <c r="J213" s="136">
        <f>IFERROR(__xludf.DUMMYFUNCTION("""COMPUTED_VALUE"""),18177.0)</f>
        <v>18177</v>
      </c>
      <c r="K213" s="136">
        <f>IFERROR(__xludf.DUMMYFUNCTION("""COMPUTED_VALUE"""),42.0)</f>
        <v>42</v>
      </c>
      <c r="L213" s="136">
        <f>IFERROR(__xludf.DUMMYFUNCTION("""COMPUTED_VALUE"""),34.0)</f>
        <v>34</v>
      </c>
      <c r="M213" s="136">
        <f>IFERROR(__xludf.DUMMYFUNCTION("""COMPUTED_VALUE"""),66.0)</f>
        <v>66</v>
      </c>
      <c r="N213" s="136">
        <f>IFERROR(__xludf.DUMMYFUNCTION("""COMPUTED_VALUE"""),132.0)</f>
        <v>132</v>
      </c>
      <c r="O213" s="138">
        <f>IFERROR(__xludf.DUMMYFUNCTION("""COMPUTED_VALUE"""),5.0)</f>
        <v>5</v>
      </c>
      <c r="P213" s="138">
        <f>IFERROR(__xludf.DUMMYFUNCTION("""COMPUTED_VALUE"""),5.0)</f>
        <v>5</v>
      </c>
      <c r="Q213" s="138">
        <f>IFERROR(__xludf.DUMMYFUNCTION("""COMPUTED_VALUE"""),1.0)</f>
        <v>1</v>
      </c>
      <c r="R213" s="138">
        <f>IFERROR(__xludf.DUMMYFUNCTION("""COMPUTED_VALUE"""),7.0)</f>
        <v>7</v>
      </c>
      <c r="S213" s="139">
        <f>IFERROR(__xludf.DUMMYFUNCTION("""COMPUTED_VALUE"""),358.0)</f>
        <v>358</v>
      </c>
      <c r="T213" s="140">
        <f>IFERROR(__xludf.DUMMYFUNCTION("""COMPUTED_VALUE"""),97.0)</f>
        <v>97</v>
      </c>
      <c r="U213" s="136">
        <f>IFERROR(__xludf.DUMMYFUNCTION("""COMPUTED_VALUE"""),29.0)</f>
        <v>29</v>
      </c>
      <c r="V213" s="136">
        <f>IFERROR(__xludf.DUMMYFUNCTION("""COMPUTED_VALUE"""),88.0)</f>
        <v>88</v>
      </c>
      <c r="W213" s="136">
        <f>IFERROR(__xludf.DUMMYFUNCTION("""COMPUTED_VALUE"""),36.0)</f>
        <v>36</v>
      </c>
      <c r="X213" s="136">
        <f>IFERROR(__xludf.DUMMYFUNCTION("""COMPUTED_VALUE"""),397.8076923076923)</f>
        <v>397.8076923</v>
      </c>
      <c r="Y213" s="141">
        <f>IFERROR(__xludf.DUMMYFUNCTION("""COMPUTED_VALUE"""),48.53153846153845)</f>
        <v>48.53153846</v>
      </c>
      <c r="Z213" s="141">
        <f>IFERROR(__xludf.DUMMYFUNCTION("""COMPUTED_VALUE"""),2448.480769230769)</f>
        <v>2448.480769</v>
      </c>
    </row>
    <row r="214">
      <c r="A214" s="41" t="str">
        <f>IFERROR(__xludf.DUMMYFUNCTION("""COMPUTED_VALUE"""),"Elite")</f>
        <v>Elite</v>
      </c>
      <c r="B214" s="41" t="str">
        <f>IFERROR(__xludf.DUMMYFUNCTION("""COMPUTED_VALUE"""),"RSC004214")</f>
        <v>RSC004214</v>
      </c>
      <c r="C214" s="41" t="str">
        <f>IFERROR(__xludf.DUMMYFUNCTION("""COMPUTED_VALUE"""),"Miserable")</f>
        <v>Miserable</v>
      </c>
      <c r="D214" s="41" t="str">
        <f>IFERROR(__xludf.DUMMYFUNCTION("""COMPUTED_VALUE"""),"Demons")</f>
        <v>Demons</v>
      </c>
      <c r="E214" s="136">
        <f>IFERROR(__xludf.DUMMYFUNCTION("""COMPUTED_VALUE"""),51.0)</f>
        <v>51</v>
      </c>
      <c r="F214" s="136">
        <f>IFERROR(__xludf.DUMMYFUNCTION("""COMPUTED_VALUE"""),19.0)</f>
        <v>19</v>
      </c>
      <c r="G214" s="136">
        <f>IFERROR(__xludf.DUMMYFUNCTION("""COMPUTED_VALUE"""),32.0)</f>
        <v>32</v>
      </c>
      <c r="H214" s="137">
        <f>IFERROR(__xludf.DUMMYFUNCTION("""COMPUTED_VALUE"""),0.37254901960784315)</f>
        <v>0.3725490196</v>
      </c>
      <c r="I214" s="136">
        <f>IFERROR(__xludf.DUMMYFUNCTION("""COMPUTED_VALUE"""),7.0)</f>
        <v>7</v>
      </c>
      <c r="J214" s="136">
        <f>IFERROR(__xludf.DUMMYFUNCTION("""COMPUTED_VALUE"""),18365.0)</f>
        <v>18365</v>
      </c>
      <c r="K214" s="136">
        <f>IFERROR(__xludf.DUMMYFUNCTION("""COMPUTED_VALUE"""),40.0)</f>
        <v>40</v>
      </c>
      <c r="L214" s="136">
        <f>IFERROR(__xludf.DUMMYFUNCTION("""COMPUTED_VALUE"""),28.0)</f>
        <v>28</v>
      </c>
      <c r="M214" s="136">
        <f>IFERROR(__xludf.DUMMYFUNCTION("""COMPUTED_VALUE"""),77.0)</f>
        <v>77</v>
      </c>
      <c r="N214" s="136">
        <f>IFERROR(__xludf.DUMMYFUNCTION("""COMPUTED_VALUE"""),128.0)</f>
        <v>128</v>
      </c>
      <c r="O214" s="138">
        <f>IFERROR(__xludf.DUMMYFUNCTION("""COMPUTED_VALUE"""),11.0)</f>
        <v>11</v>
      </c>
      <c r="P214" s="138">
        <f>IFERROR(__xludf.DUMMYFUNCTION("""COMPUTED_VALUE"""),2.0)</f>
        <v>2</v>
      </c>
      <c r="Q214" s="138">
        <f>IFERROR(__xludf.DUMMYFUNCTION("""COMPUTED_VALUE"""),1.0)</f>
        <v>1</v>
      </c>
      <c r="R214" s="138">
        <f>IFERROR(__xludf.DUMMYFUNCTION("""COMPUTED_VALUE"""),12.0)</f>
        <v>12</v>
      </c>
      <c r="S214" s="139">
        <f>IFERROR(__xludf.DUMMYFUNCTION("""COMPUTED_VALUE"""),417.0)</f>
        <v>417</v>
      </c>
      <c r="T214" s="140">
        <f>IFERROR(__xludf.DUMMYFUNCTION("""COMPUTED_VALUE"""),145.0)</f>
        <v>145</v>
      </c>
      <c r="U214" s="136">
        <f>IFERROR(__xludf.DUMMYFUNCTION("""COMPUTED_VALUE"""),41.0)</f>
        <v>41</v>
      </c>
      <c r="V214" s="136">
        <f>IFERROR(__xludf.DUMMYFUNCTION("""COMPUTED_VALUE"""),24.0)</f>
        <v>24</v>
      </c>
      <c r="W214" s="136">
        <f>IFERROR(__xludf.DUMMYFUNCTION("""COMPUTED_VALUE"""),53.0)</f>
        <v>53</v>
      </c>
      <c r="X214" s="136">
        <f>IFERROR(__xludf.DUMMYFUNCTION("""COMPUTED_VALUE"""),301.37254901960785)</f>
        <v>301.372549</v>
      </c>
      <c r="Y214" s="141">
        <f>IFERROR(__xludf.DUMMYFUNCTION("""COMPUTED_VALUE"""),55.84999999999999)</f>
        <v>55.85</v>
      </c>
      <c r="Z214" s="141">
        <f>IFERROR(__xludf.DUMMYFUNCTION("""COMPUTED_VALUE"""),1905.6666666666667)</f>
        <v>1905.666667</v>
      </c>
    </row>
    <row r="215">
      <c r="A215" s="41" t="str">
        <f>IFERROR(__xludf.DUMMYFUNCTION("""COMPUTED_VALUE"""),"Premier")</f>
        <v>Premier</v>
      </c>
      <c r="B215" s="41" t="str">
        <f>IFERROR(__xludf.DUMMYFUNCTION("""COMPUTED_VALUE"""),"RSC004215")</f>
        <v>RSC004215</v>
      </c>
      <c r="C215" s="41" t="str">
        <f>IFERROR(__xludf.DUMMYFUNCTION("""COMPUTED_VALUE"""),"Tsheg")</f>
        <v>Tsheg</v>
      </c>
      <c r="D215" s="41" t="str">
        <f>IFERROR(__xludf.DUMMYFUNCTION("""COMPUTED_VALUE"""),"Capybaras")</f>
        <v>Capybaras</v>
      </c>
      <c r="E215" s="136">
        <f>IFERROR(__xludf.DUMMYFUNCTION("""COMPUTED_VALUE"""),43.0)</f>
        <v>43</v>
      </c>
      <c r="F215" s="136">
        <f>IFERROR(__xludf.DUMMYFUNCTION("""COMPUTED_VALUE"""),28.0)</f>
        <v>28</v>
      </c>
      <c r="G215" s="136">
        <f>IFERROR(__xludf.DUMMYFUNCTION("""COMPUTED_VALUE"""),15.0)</f>
        <v>15</v>
      </c>
      <c r="H215" s="137">
        <f>IFERROR(__xludf.DUMMYFUNCTION("""COMPUTED_VALUE"""),0.6511627906976745)</f>
        <v>0.6511627907</v>
      </c>
      <c r="I215" s="136">
        <f>IFERROR(__xludf.DUMMYFUNCTION("""COMPUTED_VALUE"""),9.0)</f>
        <v>9</v>
      </c>
      <c r="J215" s="136">
        <f>IFERROR(__xludf.DUMMYFUNCTION("""COMPUTED_VALUE"""),15884.0)</f>
        <v>15884</v>
      </c>
      <c r="K215" s="136">
        <f>IFERROR(__xludf.DUMMYFUNCTION("""COMPUTED_VALUE"""),42.0)</f>
        <v>42</v>
      </c>
      <c r="L215" s="136">
        <f>IFERROR(__xludf.DUMMYFUNCTION("""COMPUTED_VALUE"""),37.0)</f>
        <v>37</v>
      </c>
      <c r="M215" s="136">
        <f>IFERROR(__xludf.DUMMYFUNCTION("""COMPUTED_VALUE"""),46.0)</f>
        <v>46</v>
      </c>
      <c r="N215" s="136">
        <f>IFERROR(__xludf.DUMMYFUNCTION("""COMPUTED_VALUE"""),133.0)</f>
        <v>133</v>
      </c>
      <c r="O215" s="138">
        <f>IFERROR(__xludf.DUMMYFUNCTION("""COMPUTED_VALUE"""),10.0)</f>
        <v>10</v>
      </c>
      <c r="P215" s="138">
        <f>IFERROR(__xludf.DUMMYFUNCTION("""COMPUTED_VALUE"""),2.0)</f>
        <v>2</v>
      </c>
      <c r="Q215" s="138">
        <f>IFERROR(__xludf.DUMMYFUNCTION("""COMPUTED_VALUE"""),3.0)</f>
        <v>3</v>
      </c>
      <c r="R215" s="138">
        <f>IFERROR(__xludf.DUMMYFUNCTION("""COMPUTED_VALUE"""),5.0)</f>
        <v>5</v>
      </c>
      <c r="S215" s="139">
        <f>IFERROR(__xludf.DUMMYFUNCTION("""COMPUTED_VALUE"""),313.0)</f>
        <v>313</v>
      </c>
      <c r="T215" s="140">
        <f>IFERROR(__xludf.DUMMYFUNCTION("""COMPUTED_VALUE"""),97.0)</f>
        <v>97</v>
      </c>
      <c r="U215" s="136">
        <f>IFERROR(__xludf.DUMMYFUNCTION("""COMPUTED_VALUE"""),27.0)</f>
        <v>27</v>
      </c>
      <c r="V215" s="136">
        <f>IFERROR(__xludf.DUMMYFUNCTION("""COMPUTED_VALUE"""),102.0)</f>
        <v>102</v>
      </c>
      <c r="W215" s="136">
        <f>IFERROR(__xludf.DUMMYFUNCTION("""COMPUTED_VALUE"""),46.0)</f>
        <v>46</v>
      </c>
      <c r="X215" s="136">
        <f>IFERROR(__xludf.DUMMYFUNCTION("""COMPUTED_VALUE"""),423.6046511627907)</f>
        <v>423.6046512</v>
      </c>
      <c r="Y215" s="141">
        <f>IFERROR(__xludf.DUMMYFUNCTION("""COMPUTED_VALUE"""),50.21930232558139)</f>
        <v>50.21930233</v>
      </c>
      <c r="Z215" s="141">
        <f>IFERROR(__xludf.DUMMYFUNCTION("""COMPUTED_VALUE"""),2513.4651162790697)</f>
        <v>2513.465116</v>
      </c>
    </row>
    <row r="216">
      <c r="A216" s="41" t="str">
        <f>IFERROR(__xludf.DUMMYFUNCTION("""COMPUTED_VALUE"""),"Veteran")</f>
        <v>Veteran</v>
      </c>
      <c r="B216" s="41" t="str">
        <f>IFERROR(__xludf.DUMMYFUNCTION("""COMPUTED_VALUE"""),"RSC004220")</f>
        <v>RSC004220</v>
      </c>
      <c r="C216" s="41" t="str">
        <f>IFERROR(__xludf.DUMMYFUNCTION("""COMPUTED_VALUE"""),"Logixaal")</f>
        <v>Logixaal</v>
      </c>
      <c r="D216" s="41" t="str">
        <f>IFERROR(__xludf.DUMMYFUNCTION("""COMPUTED_VALUE"""),"Makos")</f>
        <v>Makos</v>
      </c>
      <c r="E216" s="136">
        <f>IFERROR(__xludf.DUMMYFUNCTION("""COMPUTED_VALUE"""),56.0)</f>
        <v>56</v>
      </c>
      <c r="F216" s="136">
        <f>IFERROR(__xludf.DUMMYFUNCTION("""COMPUTED_VALUE"""),37.0)</f>
        <v>37</v>
      </c>
      <c r="G216" s="136">
        <f>IFERROR(__xludf.DUMMYFUNCTION("""COMPUTED_VALUE"""),19.0)</f>
        <v>19</v>
      </c>
      <c r="H216" s="137">
        <f>IFERROR(__xludf.DUMMYFUNCTION("""COMPUTED_VALUE"""),0.6607142857142857)</f>
        <v>0.6607142857</v>
      </c>
      <c r="I216" s="136">
        <f>IFERROR(__xludf.DUMMYFUNCTION("""COMPUTED_VALUE"""),5.0)</f>
        <v>5</v>
      </c>
      <c r="J216" s="136">
        <f>IFERROR(__xludf.DUMMYFUNCTION("""COMPUTED_VALUE"""),18710.0)</f>
        <v>18710</v>
      </c>
      <c r="K216" s="136">
        <f>IFERROR(__xludf.DUMMYFUNCTION("""COMPUTED_VALUE"""),37.0)</f>
        <v>37</v>
      </c>
      <c r="L216" s="136">
        <f>IFERROR(__xludf.DUMMYFUNCTION("""COMPUTED_VALUE"""),40.0)</f>
        <v>40</v>
      </c>
      <c r="M216" s="136">
        <f>IFERROR(__xludf.DUMMYFUNCTION("""COMPUTED_VALUE"""),63.0)</f>
        <v>63</v>
      </c>
      <c r="N216" s="136">
        <f>IFERROR(__xludf.DUMMYFUNCTION("""COMPUTED_VALUE"""),127.0)</f>
        <v>127</v>
      </c>
      <c r="O216" s="138">
        <f>IFERROR(__xludf.DUMMYFUNCTION("""COMPUTED_VALUE"""),9.0)</f>
        <v>9</v>
      </c>
      <c r="P216" s="138">
        <f>IFERROR(__xludf.DUMMYFUNCTION("""COMPUTED_VALUE"""),1.0)</f>
        <v>1</v>
      </c>
      <c r="Q216" s="138">
        <f>IFERROR(__xludf.DUMMYFUNCTION("""COMPUTED_VALUE"""),2.0)</f>
        <v>2</v>
      </c>
      <c r="R216" s="138">
        <f>IFERROR(__xludf.DUMMYFUNCTION("""COMPUTED_VALUE"""),6.0)</f>
        <v>6</v>
      </c>
      <c r="S216" s="139">
        <f>IFERROR(__xludf.DUMMYFUNCTION("""COMPUTED_VALUE"""),398.0)</f>
        <v>398</v>
      </c>
      <c r="T216" s="140">
        <f>IFERROR(__xludf.DUMMYFUNCTION("""COMPUTED_VALUE"""),114.0)</f>
        <v>114</v>
      </c>
      <c r="U216" s="136">
        <f>IFERROR(__xludf.DUMMYFUNCTION("""COMPUTED_VALUE"""),44.0)</f>
        <v>44</v>
      </c>
      <c r="V216" s="136">
        <f>IFERROR(__xludf.DUMMYFUNCTION("""COMPUTED_VALUE"""),44.0)</f>
        <v>44</v>
      </c>
      <c r="W216" s="136">
        <f>IFERROR(__xludf.DUMMYFUNCTION("""COMPUTED_VALUE"""),62.0)</f>
        <v>62</v>
      </c>
      <c r="X216" s="136">
        <f>IFERROR(__xludf.DUMMYFUNCTION("""COMPUTED_VALUE"""),348.6607142857143)</f>
        <v>348.6607143</v>
      </c>
      <c r="Y216" s="141">
        <f>IFERROR(__xludf.DUMMYFUNCTION("""COMPUTED_VALUE"""),49.258750000000006)</f>
        <v>49.25875</v>
      </c>
      <c r="Z216" s="141">
        <f>IFERROR(__xludf.DUMMYFUNCTION("""COMPUTED_VALUE"""),2217.5714285714284)</f>
        <v>2217.571429</v>
      </c>
    </row>
    <row r="217">
      <c r="A217" s="41" t="str">
        <f>IFERROR(__xludf.DUMMYFUNCTION("""COMPUTED_VALUE"""),"Veteran")</f>
        <v>Veteran</v>
      </c>
      <c r="B217" s="41" t="str">
        <f>IFERROR(__xludf.DUMMYFUNCTION("""COMPUTED_VALUE"""),"RSC004239")</f>
        <v>RSC004239</v>
      </c>
      <c r="C217" s="41" t="str">
        <f>IFERROR(__xludf.DUMMYFUNCTION("""COMPUTED_VALUE"""),"Nitro")</f>
        <v>Nitro</v>
      </c>
      <c r="D217" s="41" t="str">
        <f>IFERROR(__xludf.DUMMYFUNCTION("""COMPUTED_VALUE"""),"Gouda Gangsters
Kirin")</f>
        <v>Gouda Gangsters
Kirin</v>
      </c>
      <c r="E217" s="136">
        <f>IFERROR(__xludf.DUMMYFUNCTION("""COMPUTED_VALUE"""),56.0)</f>
        <v>56</v>
      </c>
      <c r="F217" s="136">
        <f>IFERROR(__xludf.DUMMYFUNCTION("""COMPUTED_VALUE"""),27.0)</f>
        <v>27</v>
      </c>
      <c r="G217" s="136">
        <f>IFERROR(__xludf.DUMMYFUNCTION("""COMPUTED_VALUE"""),29.0)</f>
        <v>29</v>
      </c>
      <c r="H217" s="137">
        <f>IFERROR(__xludf.DUMMYFUNCTION("""COMPUTED_VALUE"""),0.48214285714285715)</f>
        <v>0.4821428571</v>
      </c>
      <c r="I217" s="136">
        <f>IFERROR(__xludf.DUMMYFUNCTION("""COMPUTED_VALUE"""),9.0)</f>
        <v>9</v>
      </c>
      <c r="J217" s="136">
        <f>IFERROR(__xludf.DUMMYFUNCTION("""COMPUTED_VALUE"""),20734.0)</f>
        <v>20734</v>
      </c>
      <c r="K217" s="136">
        <f>IFERROR(__xludf.DUMMYFUNCTION("""COMPUTED_VALUE"""),52.0)</f>
        <v>52</v>
      </c>
      <c r="L217" s="136">
        <f>IFERROR(__xludf.DUMMYFUNCTION("""COMPUTED_VALUE"""),25.0)</f>
        <v>25</v>
      </c>
      <c r="M217" s="136">
        <f>IFERROR(__xludf.DUMMYFUNCTION("""COMPUTED_VALUE"""),96.0)</f>
        <v>96</v>
      </c>
      <c r="N217" s="136">
        <f>IFERROR(__xludf.DUMMYFUNCTION("""COMPUTED_VALUE"""),160.0)</f>
        <v>160</v>
      </c>
      <c r="O217" s="138">
        <f>IFERROR(__xludf.DUMMYFUNCTION("""COMPUTED_VALUE"""),12.0)</f>
        <v>12</v>
      </c>
      <c r="P217" s="138">
        <f>IFERROR(__xludf.DUMMYFUNCTION("""COMPUTED_VALUE"""),5.0)</f>
        <v>5</v>
      </c>
      <c r="Q217" s="138">
        <f>IFERROR(__xludf.DUMMYFUNCTION("""COMPUTED_VALUE"""),0.0)</f>
        <v>0</v>
      </c>
      <c r="R217" s="138">
        <f>IFERROR(__xludf.DUMMYFUNCTION("""COMPUTED_VALUE"""),12.0)</f>
        <v>12</v>
      </c>
      <c r="S217" s="139">
        <f>IFERROR(__xludf.DUMMYFUNCTION("""COMPUTED_VALUE"""),443.0)</f>
        <v>443</v>
      </c>
      <c r="T217" s="140">
        <f>IFERROR(__xludf.DUMMYFUNCTION("""COMPUTED_VALUE"""),134.0)</f>
        <v>134</v>
      </c>
      <c r="U217" s="136">
        <f>IFERROR(__xludf.DUMMYFUNCTION("""COMPUTED_VALUE"""),47.0)</f>
        <v>47</v>
      </c>
      <c r="V217" s="136">
        <f>IFERROR(__xludf.DUMMYFUNCTION("""COMPUTED_VALUE"""),37.0)</f>
        <v>37</v>
      </c>
      <c r="W217" s="136">
        <f>IFERROR(__xludf.DUMMYFUNCTION("""COMPUTED_VALUE"""),67.0)</f>
        <v>67</v>
      </c>
      <c r="X217" s="136">
        <f>IFERROR(__xludf.DUMMYFUNCTION("""COMPUTED_VALUE"""),381.69642857142856)</f>
        <v>381.6964286</v>
      </c>
      <c r="Y217" s="141">
        <f>IFERROR(__xludf.DUMMYFUNCTION("""COMPUTED_VALUE"""),52.09678571428571)</f>
        <v>52.09678571</v>
      </c>
      <c r="Z217" s="141">
        <f>IFERROR(__xludf.DUMMYFUNCTION("""COMPUTED_VALUE"""),2331.8928571428573)</f>
        <v>2331.892857</v>
      </c>
    </row>
    <row r="218">
      <c r="A218" s="41" t="str">
        <f>IFERROR(__xludf.DUMMYFUNCTION("""COMPUTED_VALUE"""),"Challenger")</f>
        <v>Challenger</v>
      </c>
      <c r="B218" s="41" t="str">
        <f>IFERROR(__xludf.DUMMYFUNCTION("""COMPUTED_VALUE"""),"RSC004303")</f>
        <v>RSC004303</v>
      </c>
      <c r="C218" s="41" t="str">
        <f>IFERROR(__xludf.DUMMYFUNCTION("""COMPUTED_VALUE"""),"Shogun")</f>
        <v>Shogun</v>
      </c>
      <c r="D218" s="41" t="str">
        <f>IFERROR(__xludf.DUMMYFUNCTION("""COMPUTED_VALUE"""),"Happy B-day Jess")</f>
        <v>Happy B-day Jess</v>
      </c>
      <c r="E218" s="136">
        <f>IFERROR(__xludf.DUMMYFUNCTION("""COMPUTED_VALUE"""),53.0)</f>
        <v>53</v>
      </c>
      <c r="F218" s="136">
        <f>IFERROR(__xludf.DUMMYFUNCTION("""COMPUTED_VALUE"""),32.0)</f>
        <v>32</v>
      </c>
      <c r="G218" s="136">
        <f>IFERROR(__xludf.DUMMYFUNCTION("""COMPUTED_VALUE"""),21.0)</f>
        <v>21</v>
      </c>
      <c r="H218" s="137">
        <f>IFERROR(__xludf.DUMMYFUNCTION("""COMPUTED_VALUE"""),0.6037735849056604)</f>
        <v>0.6037735849</v>
      </c>
      <c r="I218" s="136">
        <f>IFERROR(__xludf.DUMMYFUNCTION("""COMPUTED_VALUE"""),4.0)</f>
        <v>4</v>
      </c>
      <c r="J218" s="136">
        <f>IFERROR(__xludf.DUMMYFUNCTION("""COMPUTED_VALUE"""),17460.0)</f>
        <v>17460</v>
      </c>
      <c r="K218" s="136">
        <f>IFERROR(__xludf.DUMMYFUNCTION("""COMPUTED_VALUE"""),48.0)</f>
        <v>48</v>
      </c>
      <c r="L218" s="136">
        <f>IFERROR(__xludf.DUMMYFUNCTION("""COMPUTED_VALUE"""),21.0)</f>
        <v>21</v>
      </c>
      <c r="M218" s="136">
        <f>IFERROR(__xludf.DUMMYFUNCTION("""COMPUTED_VALUE"""),57.0)</f>
        <v>57</v>
      </c>
      <c r="N218" s="136">
        <f>IFERROR(__xludf.DUMMYFUNCTION("""COMPUTED_VALUE"""),150.0)</f>
        <v>150</v>
      </c>
      <c r="O218" s="138">
        <f>IFERROR(__xludf.DUMMYFUNCTION("""COMPUTED_VALUE"""),5.0)</f>
        <v>5</v>
      </c>
      <c r="P218" s="138">
        <f>IFERROR(__xludf.DUMMYFUNCTION("""COMPUTED_VALUE"""),3.0)</f>
        <v>3</v>
      </c>
      <c r="Q218" s="138">
        <f>IFERROR(__xludf.DUMMYFUNCTION("""COMPUTED_VALUE"""),0.0)</f>
        <v>0</v>
      </c>
      <c r="R218" s="138">
        <f>IFERROR(__xludf.DUMMYFUNCTION("""COMPUTED_VALUE"""),5.0)</f>
        <v>5</v>
      </c>
      <c r="S218" s="139">
        <f>IFERROR(__xludf.DUMMYFUNCTION("""COMPUTED_VALUE"""),350.0)</f>
        <v>350</v>
      </c>
      <c r="T218" s="140">
        <f>IFERROR(__xludf.DUMMYFUNCTION("""COMPUTED_VALUE"""),107.0)</f>
        <v>107</v>
      </c>
      <c r="U218" s="136">
        <f>IFERROR(__xludf.DUMMYFUNCTION("""COMPUTED_VALUE"""),39.0)</f>
        <v>39</v>
      </c>
      <c r="V218" s="136">
        <f>IFERROR(__xludf.DUMMYFUNCTION("""COMPUTED_VALUE"""),52.0)</f>
        <v>52</v>
      </c>
      <c r="W218" s="136">
        <f>IFERROR(__xludf.DUMMYFUNCTION("""COMPUTED_VALUE"""),27.0)</f>
        <v>27</v>
      </c>
      <c r="X218" s="136">
        <f>IFERROR(__xludf.DUMMYFUNCTION("""COMPUTED_VALUE"""),338.188679245283)</f>
        <v>338.1886792</v>
      </c>
      <c r="Y218" s="141">
        <f>IFERROR(__xludf.DUMMYFUNCTION("""COMPUTED_VALUE"""),59.48924528301887)</f>
        <v>59.48924528</v>
      </c>
      <c r="Z218" s="141">
        <f>IFERROR(__xludf.DUMMYFUNCTION("""COMPUTED_VALUE"""),2090.509433962264)</f>
        <v>2090.509434</v>
      </c>
    </row>
    <row r="219">
      <c r="A219" s="41" t="str">
        <f>IFERROR(__xludf.DUMMYFUNCTION("""COMPUTED_VALUE"""),"Veteran")</f>
        <v>Veteran</v>
      </c>
      <c r="B219" s="41" t="str">
        <f>IFERROR(__xludf.DUMMYFUNCTION("""COMPUTED_VALUE"""),"RSC004367")</f>
        <v>RSC004367</v>
      </c>
      <c r="C219" s="41" t="str">
        <f>IFERROR(__xludf.DUMMYFUNCTION("""COMPUTED_VALUE"""),"pr.c")</f>
        <v>pr.c</v>
      </c>
      <c r="D219" s="41" t="str">
        <f>IFERROR(__xludf.DUMMYFUNCTION("""COMPUTED_VALUE"""),"Shadow Tails
Peppermint
White Collars")</f>
        <v>Shadow Tails
Peppermint
White Collars</v>
      </c>
      <c r="E219" s="136">
        <f>IFERROR(__xludf.DUMMYFUNCTION("""COMPUTED_VALUE"""),41.0)</f>
        <v>41</v>
      </c>
      <c r="F219" s="136">
        <f>IFERROR(__xludf.DUMMYFUNCTION("""COMPUTED_VALUE"""),17.0)</f>
        <v>17</v>
      </c>
      <c r="G219" s="136">
        <f>IFERROR(__xludf.DUMMYFUNCTION("""COMPUTED_VALUE"""),24.0)</f>
        <v>24</v>
      </c>
      <c r="H219" s="137">
        <f>IFERROR(__xludf.DUMMYFUNCTION("""COMPUTED_VALUE"""),0.4146341463414634)</f>
        <v>0.4146341463</v>
      </c>
      <c r="I219" s="136">
        <f>IFERROR(__xludf.DUMMYFUNCTION("""COMPUTED_VALUE"""),8.0)</f>
        <v>8</v>
      </c>
      <c r="J219" s="136">
        <f>IFERROR(__xludf.DUMMYFUNCTION("""COMPUTED_VALUE"""),13597.0)</f>
        <v>13597</v>
      </c>
      <c r="K219" s="136">
        <f>IFERROR(__xludf.DUMMYFUNCTION("""COMPUTED_VALUE"""),35.0)</f>
        <v>35</v>
      </c>
      <c r="L219" s="136">
        <f>IFERROR(__xludf.DUMMYFUNCTION("""COMPUTED_VALUE"""),21.0)</f>
        <v>21</v>
      </c>
      <c r="M219" s="136">
        <f>IFERROR(__xludf.DUMMYFUNCTION("""COMPUTED_VALUE"""),47.0)</f>
        <v>47</v>
      </c>
      <c r="N219" s="136">
        <f>IFERROR(__xludf.DUMMYFUNCTION("""COMPUTED_VALUE"""),114.0)</f>
        <v>114</v>
      </c>
      <c r="O219" s="138">
        <f>IFERROR(__xludf.DUMMYFUNCTION("""COMPUTED_VALUE"""),5.0)</f>
        <v>5</v>
      </c>
      <c r="P219" s="138">
        <f>IFERROR(__xludf.DUMMYFUNCTION("""COMPUTED_VALUE"""),4.0)</f>
        <v>4</v>
      </c>
      <c r="Q219" s="138">
        <f>IFERROR(__xludf.DUMMYFUNCTION("""COMPUTED_VALUE"""),0.0)</f>
        <v>0</v>
      </c>
      <c r="R219" s="138">
        <f>IFERROR(__xludf.DUMMYFUNCTION("""COMPUTED_VALUE"""),4.0)</f>
        <v>4</v>
      </c>
      <c r="S219" s="139">
        <f>IFERROR(__xludf.DUMMYFUNCTION("""COMPUTED_VALUE"""),296.0)</f>
        <v>296</v>
      </c>
      <c r="T219" s="140">
        <f>IFERROR(__xludf.DUMMYFUNCTION("""COMPUTED_VALUE"""),103.0)</f>
        <v>103</v>
      </c>
      <c r="U219" s="136">
        <f>IFERROR(__xludf.DUMMYFUNCTION("""COMPUTED_VALUE"""),35.0)</f>
        <v>35</v>
      </c>
      <c r="V219" s="136">
        <f>IFERROR(__xludf.DUMMYFUNCTION("""COMPUTED_VALUE"""),29.0)</f>
        <v>29</v>
      </c>
      <c r="W219" s="136">
        <f>IFERROR(__xludf.DUMMYFUNCTION("""COMPUTED_VALUE"""),41.0)</f>
        <v>41</v>
      </c>
      <c r="X219" s="136">
        <f>IFERROR(__xludf.DUMMYFUNCTION("""COMPUTED_VALUE"""),419.3170731707317)</f>
        <v>419.3170732</v>
      </c>
      <c r="Y219" s="141">
        <f>IFERROR(__xludf.DUMMYFUNCTION("""COMPUTED_VALUE"""),44.3909756097561)</f>
        <v>44.39097561</v>
      </c>
      <c r="Z219" s="141">
        <f>IFERROR(__xludf.DUMMYFUNCTION("""COMPUTED_VALUE"""),2416.5365853658536)</f>
        <v>2416.536585</v>
      </c>
    </row>
    <row r="220">
      <c r="A220" s="41" t="str">
        <f>IFERROR(__xludf.DUMMYFUNCTION("""COMPUTED_VALUE"""),"Veteran")</f>
        <v>Veteran</v>
      </c>
      <c r="B220" s="41" t="str">
        <f>IFERROR(__xludf.DUMMYFUNCTION("""COMPUTED_VALUE"""),"RSC004385")</f>
        <v>RSC004385</v>
      </c>
      <c r="C220" s="41" t="str">
        <f>IFERROR(__xludf.DUMMYFUNCTION("""COMPUTED_VALUE"""),"Braybaum02")</f>
        <v>Braybaum02</v>
      </c>
      <c r="D220" s="41" t="str">
        <f>IFERROR(__xludf.DUMMYFUNCTION("""COMPUTED_VALUE"""),"Peppermint")</f>
        <v>Peppermint</v>
      </c>
      <c r="E220" s="136">
        <f>IFERROR(__xludf.DUMMYFUNCTION("""COMPUTED_VALUE"""),20.0)</f>
        <v>20</v>
      </c>
      <c r="F220" s="136">
        <f>IFERROR(__xludf.DUMMYFUNCTION("""COMPUTED_VALUE"""),5.0)</f>
        <v>5</v>
      </c>
      <c r="G220" s="136">
        <f>IFERROR(__xludf.DUMMYFUNCTION("""COMPUTED_VALUE"""),15.0)</f>
        <v>15</v>
      </c>
      <c r="H220" s="137">
        <f>IFERROR(__xludf.DUMMYFUNCTION("""COMPUTED_VALUE"""),0.25)</f>
        <v>0.25</v>
      </c>
      <c r="I220" s="136">
        <f>IFERROR(__xludf.DUMMYFUNCTION("""COMPUTED_VALUE"""),1.0)</f>
        <v>1</v>
      </c>
      <c r="J220" s="136">
        <f>IFERROR(__xludf.DUMMYFUNCTION("""COMPUTED_VALUE"""),6354.0)</f>
        <v>6354</v>
      </c>
      <c r="K220" s="136">
        <f>IFERROR(__xludf.DUMMYFUNCTION("""COMPUTED_VALUE"""),11.0)</f>
        <v>11</v>
      </c>
      <c r="L220" s="136">
        <f>IFERROR(__xludf.DUMMYFUNCTION("""COMPUTED_VALUE"""),9.0)</f>
        <v>9</v>
      </c>
      <c r="M220" s="136">
        <f>IFERROR(__xludf.DUMMYFUNCTION("""COMPUTED_VALUE"""),32.0)</f>
        <v>32</v>
      </c>
      <c r="N220" s="136">
        <f>IFERROR(__xludf.DUMMYFUNCTION("""COMPUTED_VALUE"""),35.0)</f>
        <v>35</v>
      </c>
      <c r="O220" s="138">
        <f>IFERROR(__xludf.DUMMYFUNCTION("""COMPUTED_VALUE"""),2.0)</f>
        <v>2</v>
      </c>
      <c r="P220" s="138">
        <f>IFERROR(__xludf.DUMMYFUNCTION("""COMPUTED_VALUE"""),1.0)</f>
        <v>1</v>
      </c>
      <c r="Q220" s="138">
        <f>IFERROR(__xludf.DUMMYFUNCTION("""COMPUTED_VALUE"""),0.0)</f>
        <v>0</v>
      </c>
      <c r="R220" s="138">
        <f>IFERROR(__xludf.DUMMYFUNCTION("""COMPUTED_VALUE"""),5.0)</f>
        <v>5</v>
      </c>
      <c r="S220" s="139">
        <f>IFERROR(__xludf.DUMMYFUNCTION("""COMPUTED_VALUE"""),188.0)</f>
        <v>188</v>
      </c>
      <c r="T220" s="140">
        <f>IFERROR(__xludf.DUMMYFUNCTION("""COMPUTED_VALUE"""),65.0)</f>
        <v>65</v>
      </c>
      <c r="U220" s="136">
        <f>IFERROR(__xludf.DUMMYFUNCTION("""COMPUTED_VALUE"""),23.0)</f>
        <v>23</v>
      </c>
      <c r="V220" s="136">
        <f>IFERROR(__xludf.DUMMYFUNCTION("""COMPUTED_VALUE"""),15.0)</f>
        <v>15</v>
      </c>
      <c r="W220" s="136">
        <f>IFERROR(__xludf.DUMMYFUNCTION("""COMPUTED_VALUE"""),25.0)</f>
        <v>25</v>
      </c>
      <c r="X220" s="136">
        <f>IFERROR(__xludf.DUMMYFUNCTION("""COMPUTED_VALUE"""),367.35)</f>
        <v>367.35</v>
      </c>
      <c r="Y220" s="141">
        <f>IFERROR(__xludf.DUMMYFUNCTION("""COMPUTED_VALUE"""),46.777499999999996)</f>
        <v>46.7775</v>
      </c>
      <c r="Z220" s="141">
        <f>IFERROR(__xludf.DUMMYFUNCTION("""COMPUTED_VALUE"""),2094.9)</f>
        <v>2094.9</v>
      </c>
    </row>
    <row r="221">
      <c r="A221" s="41" t="str">
        <f>IFERROR(__xludf.DUMMYFUNCTION("""COMPUTED_VALUE"""),"Veteran")</f>
        <v>Veteran</v>
      </c>
      <c r="B221" s="41" t="str">
        <f>IFERROR(__xludf.DUMMYFUNCTION("""COMPUTED_VALUE"""),"RSC004394")</f>
        <v>RSC004394</v>
      </c>
      <c r="C221" s="41" t="str">
        <f>IFERROR(__xludf.DUMMYFUNCTION("""COMPUTED_VALUE"""),"chis")</f>
        <v>chis</v>
      </c>
      <c r="D221" s="41" t="str">
        <f>IFERROR(__xludf.DUMMYFUNCTION("""COMPUTED_VALUE"""),"Gouda Gangsters")</f>
        <v>Gouda Gangsters</v>
      </c>
      <c r="E221" s="136">
        <f>IFERROR(__xludf.DUMMYFUNCTION("""COMPUTED_VALUE"""),48.0)</f>
        <v>48</v>
      </c>
      <c r="F221" s="136">
        <f>IFERROR(__xludf.DUMMYFUNCTION("""COMPUTED_VALUE"""),21.0)</f>
        <v>21</v>
      </c>
      <c r="G221" s="136">
        <f>IFERROR(__xludf.DUMMYFUNCTION("""COMPUTED_VALUE"""),27.0)</f>
        <v>27</v>
      </c>
      <c r="H221" s="137">
        <f>IFERROR(__xludf.DUMMYFUNCTION("""COMPUTED_VALUE"""),0.4375)</f>
        <v>0.4375</v>
      </c>
      <c r="I221" s="136">
        <f>IFERROR(__xludf.DUMMYFUNCTION("""COMPUTED_VALUE"""),4.0)</f>
        <v>4</v>
      </c>
      <c r="J221" s="136">
        <f>IFERROR(__xludf.DUMMYFUNCTION("""COMPUTED_VALUE"""),15655.0)</f>
        <v>15655</v>
      </c>
      <c r="K221" s="136">
        <f>IFERROR(__xludf.DUMMYFUNCTION("""COMPUTED_VALUE"""),30.0)</f>
        <v>30</v>
      </c>
      <c r="L221" s="136">
        <f>IFERROR(__xludf.DUMMYFUNCTION("""COMPUTED_VALUE"""),34.0)</f>
        <v>34</v>
      </c>
      <c r="M221" s="136">
        <f>IFERROR(__xludf.DUMMYFUNCTION("""COMPUTED_VALUE"""),58.0)</f>
        <v>58</v>
      </c>
      <c r="N221" s="136">
        <f>IFERROR(__xludf.DUMMYFUNCTION("""COMPUTED_VALUE"""),106.0)</f>
        <v>106</v>
      </c>
      <c r="O221" s="138">
        <f>IFERROR(__xludf.DUMMYFUNCTION("""COMPUTED_VALUE"""),11.0)</f>
        <v>11</v>
      </c>
      <c r="P221" s="138">
        <f>IFERROR(__xludf.DUMMYFUNCTION("""COMPUTED_VALUE"""),1.0)</f>
        <v>1</v>
      </c>
      <c r="Q221" s="138">
        <f>IFERROR(__xludf.DUMMYFUNCTION("""COMPUTED_VALUE"""),1.0)</f>
        <v>1</v>
      </c>
      <c r="R221" s="138">
        <f>IFERROR(__xludf.DUMMYFUNCTION("""COMPUTED_VALUE"""),5.0)</f>
        <v>5</v>
      </c>
      <c r="S221" s="139">
        <f>IFERROR(__xludf.DUMMYFUNCTION("""COMPUTED_VALUE"""),375.0)</f>
        <v>375</v>
      </c>
      <c r="T221" s="140">
        <f>IFERROR(__xludf.DUMMYFUNCTION("""COMPUTED_VALUE"""),121.0)</f>
        <v>121</v>
      </c>
      <c r="U221" s="136">
        <f>IFERROR(__xludf.DUMMYFUNCTION("""COMPUTED_VALUE"""),44.0)</f>
        <v>44</v>
      </c>
      <c r="V221" s="136">
        <f>IFERROR(__xludf.DUMMYFUNCTION("""COMPUTED_VALUE"""),57.0)</f>
        <v>57</v>
      </c>
      <c r="W221" s="136">
        <f>IFERROR(__xludf.DUMMYFUNCTION("""COMPUTED_VALUE"""),61.0)</f>
        <v>61</v>
      </c>
      <c r="X221" s="136">
        <f>IFERROR(__xludf.DUMMYFUNCTION("""COMPUTED_VALUE"""),318.625)</f>
        <v>318.625</v>
      </c>
      <c r="Y221" s="141">
        <f>IFERROR(__xludf.DUMMYFUNCTION("""COMPUTED_VALUE"""),56.68395833333335)</f>
        <v>56.68395833</v>
      </c>
      <c r="Z221" s="141">
        <f>IFERROR(__xludf.DUMMYFUNCTION("""COMPUTED_VALUE"""),1977.625)</f>
        <v>1977.625</v>
      </c>
    </row>
    <row r="222">
      <c r="A222" s="41" t="str">
        <f>IFERROR(__xludf.DUMMYFUNCTION("""COMPUTED_VALUE"""),"Rival")</f>
        <v>Rival</v>
      </c>
      <c r="B222" s="41" t="str">
        <f>IFERROR(__xludf.DUMMYFUNCTION("""COMPUTED_VALUE"""),"RSC004452")</f>
        <v>RSC004452</v>
      </c>
      <c r="C222" s="41" t="str">
        <f>IFERROR(__xludf.DUMMYFUNCTION("""COMPUTED_VALUE"""),"sleepzey")</f>
        <v>sleepzey</v>
      </c>
      <c r="D222" s="41" t="str">
        <f>IFERROR(__xludf.DUMMYFUNCTION("""COMPUTED_VALUE"""),"Black Ice")</f>
        <v>Black Ice</v>
      </c>
      <c r="E222" s="136">
        <f>IFERROR(__xludf.DUMMYFUNCTION("""COMPUTED_VALUE"""),40.0)</f>
        <v>40</v>
      </c>
      <c r="F222" s="136">
        <f>IFERROR(__xludf.DUMMYFUNCTION("""COMPUTED_VALUE"""),21.0)</f>
        <v>21</v>
      </c>
      <c r="G222" s="136">
        <f>IFERROR(__xludf.DUMMYFUNCTION("""COMPUTED_VALUE"""),19.0)</f>
        <v>19</v>
      </c>
      <c r="H222" s="137">
        <f>IFERROR(__xludf.DUMMYFUNCTION("""COMPUTED_VALUE"""),0.525)</f>
        <v>0.525</v>
      </c>
      <c r="I222" s="136">
        <f>IFERROR(__xludf.DUMMYFUNCTION("""COMPUTED_VALUE"""),8.0)</f>
        <v>8</v>
      </c>
      <c r="J222" s="136">
        <f>IFERROR(__xludf.DUMMYFUNCTION("""COMPUTED_VALUE"""),15910.0)</f>
        <v>15910</v>
      </c>
      <c r="K222" s="136">
        <f>IFERROR(__xludf.DUMMYFUNCTION("""COMPUTED_VALUE"""),35.0)</f>
        <v>35</v>
      </c>
      <c r="L222" s="136">
        <f>IFERROR(__xludf.DUMMYFUNCTION("""COMPUTED_VALUE"""),24.0)</f>
        <v>24</v>
      </c>
      <c r="M222" s="136">
        <f>IFERROR(__xludf.DUMMYFUNCTION("""COMPUTED_VALUE"""),55.0)</f>
        <v>55</v>
      </c>
      <c r="N222" s="136">
        <f>IFERROR(__xludf.DUMMYFUNCTION("""COMPUTED_VALUE"""),106.0)</f>
        <v>106</v>
      </c>
      <c r="O222" s="138">
        <f>IFERROR(__xludf.DUMMYFUNCTION("""COMPUTED_VALUE"""),13.0)</f>
        <v>13</v>
      </c>
      <c r="P222" s="138">
        <f>IFERROR(__xludf.DUMMYFUNCTION("""COMPUTED_VALUE"""),2.0)</f>
        <v>2</v>
      </c>
      <c r="Q222" s="138">
        <f>IFERROR(__xludf.DUMMYFUNCTION("""COMPUTED_VALUE"""),0.0)</f>
        <v>0</v>
      </c>
      <c r="R222" s="138">
        <f>IFERROR(__xludf.DUMMYFUNCTION("""COMPUTED_VALUE"""),6.0)</f>
        <v>6</v>
      </c>
      <c r="S222" s="139">
        <f>IFERROR(__xludf.DUMMYFUNCTION("""COMPUTED_VALUE"""),311.0)</f>
        <v>311</v>
      </c>
      <c r="T222" s="140">
        <f>IFERROR(__xludf.DUMMYFUNCTION("""COMPUTED_VALUE"""),102.0)</f>
        <v>102</v>
      </c>
      <c r="U222" s="136">
        <f>IFERROR(__xludf.DUMMYFUNCTION("""COMPUTED_VALUE"""),37.0)</f>
        <v>37</v>
      </c>
      <c r="V222" s="136">
        <f>IFERROR(__xludf.DUMMYFUNCTION("""COMPUTED_VALUE"""),27.0)</f>
        <v>27</v>
      </c>
      <c r="W222" s="136">
        <f>IFERROR(__xludf.DUMMYFUNCTION("""COMPUTED_VALUE"""),39.0)</f>
        <v>39</v>
      </c>
      <c r="X222" s="136">
        <f>IFERROR(__xludf.DUMMYFUNCTION("""COMPUTED_VALUE"""),413.275)</f>
        <v>413.275</v>
      </c>
      <c r="Y222" s="141">
        <f>IFERROR(__xludf.DUMMYFUNCTION("""COMPUTED_VALUE"""),52.700750000000006)</f>
        <v>52.70075</v>
      </c>
      <c r="Z222" s="141">
        <f>IFERROR(__xludf.DUMMYFUNCTION("""COMPUTED_VALUE"""),2594.95)</f>
        <v>2594.95</v>
      </c>
    </row>
    <row r="223">
      <c r="A223" s="41" t="str">
        <f>IFERROR(__xludf.DUMMYFUNCTION("""COMPUTED_VALUE"""),"Amateur")</f>
        <v>Amateur</v>
      </c>
      <c r="B223" s="41" t="str">
        <f>IFERROR(__xludf.DUMMYFUNCTION("""COMPUTED_VALUE"""),"RSC004462")</f>
        <v>RSC004462</v>
      </c>
      <c r="C223" s="41" t="str">
        <f>IFERROR(__xludf.DUMMYFUNCTION("""COMPUTED_VALUE"""),"Bbcomedian")</f>
        <v>Bbcomedian</v>
      </c>
      <c r="D223" s="41" t="str">
        <f>IFERROR(__xludf.DUMMYFUNCTION("""COMPUTED_VALUE"""),"Kappa")</f>
        <v>Kappa</v>
      </c>
      <c r="E223" s="136">
        <f>IFERROR(__xludf.DUMMYFUNCTION("""COMPUTED_VALUE"""),55.0)</f>
        <v>55</v>
      </c>
      <c r="F223" s="136">
        <f>IFERROR(__xludf.DUMMYFUNCTION("""COMPUTED_VALUE"""),24.0)</f>
        <v>24</v>
      </c>
      <c r="G223" s="136">
        <f>IFERROR(__xludf.DUMMYFUNCTION("""COMPUTED_VALUE"""),31.0)</f>
        <v>31</v>
      </c>
      <c r="H223" s="137">
        <f>IFERROR(__xludf.DUMMYFUNCTION("""COMPUTED_VALUE"""),0.43636363636363634)</f>
        <v>0.4363636364</v>
      </c>
      <c r="I223" s="136">
        <f>IFERROR(__xludf.DUMMYFUNCTION("""COMPUTED_VALUE"""),6.0)</f>
        <v>6</v>
      </c>
      <c r="J223" s="136">
        <f>IFERROR(__xludf.DUMMYFUNCTION("""COMPUTED_VALUE"""),16188.0)</f>
        <v>16188</v>
      </c>
      <c r="K223" s="136">
        <f>IFERROR(__xludf.DUMMYFUNCTION("""COMPUTED_VALUE"""),43.0)</f>
        <v>43</v>
      </c>
      <c r="L223" s="136">
        <f>IFERROR(__xludf.DUMMYFUNCTION("""COMPUTED_VALUE"""),25.0)</f>
        <v>25</v>
      </c>
      <c r="M223" s="136">
        <f>IFERROR(__xludf.DUMMYFUNCTION("""COMPUTED_VALUE"""),61.0)</f>
        <v>61</v>
      </c>
      <c r="N223" s="136">
        <f>IFERROR(__xludf.DUMMYFUNCTION("""COMPUTED_VALUE"""),89.0)</f>
        <v>89</v>
      </c>
      <c r="O223" s="138">
        <f>IFERROR(__xludf.DUMMYFUNCTION("""COMPUTED_VALUE"""),6.0)</f>
        <v>6</v>
      </c>
      <c r="P223" s="138">
        <f>IFERROR(__xludf.DUMMYFUNCTION("""COMPUTED_VALUE"""),1.0)</f>
        <v>1</v>
      </c>
      <c r="Q223" s="138">
        <f>IFERROR(__xludf.DUMMYFUNCTION("""COMPUTED_VALUE"""),1.0)</f>
        <v>1</v>
      </c>
      <c r="R223" s="138">
        <f>IFERROR(__xludf.DUMMYFUNCTION("""COMPUTED_VALUE"""),8.0)</f>
        <v>8</v>
      </c>
      <c r="S223" s="139">
        <f>IFERROR(__xludf.DUMMYFUNCTION("""COMPUTED_VALUE"""),408.0)</f>
        <v>408</v>
      </c>
      <c r="T223" s="140">
        <f>IFERROR(__xludf.DUMMYFUNCTION("""COMPUTED_VALUE"""),141.0)</f>
        <v>141</v>
      </c>
      <c r="U223" s="136">
        <f>IFERROR(__xludf.DUMMYFUNCTION("""COMPUTED_VALUE"""),42.0)</f>
        <v>42</v>
      </c>
      <c r="V223" s="136">
        <f>IFERROR(__xludf.DUMMYFUNCTION("""COMPUTED_VALUE"""),16.0)</f>
        <v>16</v>
      </c>
      <c r="W223" s="136">
        <f>IFERROR(__xludf.DUMMYFUNCTION("""COMPUTED_VALUE"""),41.0)</f>
        <v>41</v>
      </c>
      <c r="X223" s="139">
        <f>IFERROR(__xludf.DUMMYFUNCTION("""COMPUTED_VALUE"""),172.74545454545455)</f>
        <v>172.7454545</v>
      </c>
      <c r="Y223" s="141">
        <f>IFERROR(__xludf.DUMMYFUNCTION("""COMPUTED_VALUE"""),50.00818181818182)</f>
        <v>50.00818182</v>
      </c>
      <c r="Z223" s="141">
        <f>IFERROR(__xludf.DUMMYFUNCTION("""COMPUTED_VALUE"""),1059.490909090909)</f>
        <v>1059.490909</v>
      </c>
    </row>
    <row r="224">
      <c r="A224" s="41" t="str">
        <f>IFERROR(__xludf.DUMMYFUNCTION("""COMPUTED_VALUE"""),"Challenger")</f>
        <v>Challenger</v>
      </c>
      <c r="B224" s="41" t="str">
        <f>IFERROR(__xludf.DUMMYFUNCTION("""COMPUTED_VALUE"""),"RSC004498")</f>
        <v>RSC004498</v>
      </c>
      <c r="C224" s="41" t="str">
        <f>IFERROR(__xludf.DUMMYFUNCTION("""COMPUTED_VALUE"""),"S1r Duck")</f>
        <v>S1r Duck</v>
      </c>
      <c r="D224" s="41" t="str">
        <f>IFERROR(__xludf.DUMMYFUNCTION("""COMPUTED_VALUE"""),"Threshers")</f>
        <v>Threshers</v>
      </c>
      <c r="E224" s="136">
        <f>IFERROR(__xludf.DUMMYFUNCTION("""COMPUTED_VALUE"""),4.0)</f>
        <v>4</v>
      </c>
      <c r="F224" s="136">
        <f>IFERROR(__xludf.DUMMYFUNCTION("""COMPUTED_VALUE"""),1.0)</f>
        <v>1</v>
      </c>
      <c r="G224" s="136">
        <f>IFERROR(__xludf.DUMMYFUNCTION("""COMPUTED_VALUE"""),3.0)</f>
        <v>3</v>
      </c>
      <c r="H224" s="137">
        <f>IFERROR(__xludf.DUMMYFUNCTION("""COMPUTED_VALUE"""),0.25)</f>
        <v>0.25</v>
      </c>
      <c r="I224" s="136">
        <f>IFERROR(__xludf.DUMMYFUNCTION("""COMPUTED_VALUE"""),0.0)</f>
        <v>0</v>
      </c>
      <c r="J224" s="136">
        <f>IFERROR(__xludf.DUMMYFUNCTION("""COMPUTED_VALUE"""),1165.0)</f>
        <v>1165</v>
      </c>
      <c r="K224" s="136">
        <f>IFERROR(__xludf.DUMMYFUNCTION("""COMPUTED_VALUE"""),2.0)</f>
        <v>2</v>
      </c>
      <c r="L224" s="136">
        <f>IFERROR(__xludf.DUMMYFUNCTION("""COMPUTED_VALUE"""),3.0)</f>
        <v>3</v>
      </c>
      <c r="M224" s="136">
        <f>IFERROR(__xludf.DUMMYFUNCTION("""COMPUTED_VALUE"""),4.0)</f>
        <v>4</v>
      </c>
      <c r="N224" s="136">
        <f>IFERROR(__xludf.DUMMYFUNCTION("""COMPUTED_VALUE"""),6.0)</f>
        <v>6</v>
      </c>
      <c r="O224" s="138">
        <f>IFERROR(__xludf.DUMMYFUNCTION("""COMPUTED_VALUE"""),1.0)</f>
        <v>1</v>
      </c>
      <c r="P224" s="138">
        <f>IFERROR(__xludf.DUMMYFUNCTION("""COMPUTED_VALUE"""),0.0)</f>
        <v>0</v>
      </c>
      <c r="Q224" s="138">
        <f>IFERROR(__xludf.DUMMYFUNCTION("""COMPUTED_VALUE"""),0.0)</f>
        <v>0</v>
      </c>
      <c r="R224" s="138">
        <f>IFERROR(__xludf.DUMMYFUNCTION("""COMPUTED_VALUE"""),0.0)</f>
        <v>0</v>
      </c>
      <c r="S224" s="139">
        <f>IFERROR(__xludf.DUMMYFUNCTION("""COMPUTED_VALUE"""),30.0)</f>
        <v>30</v>
      </c>
      <c r="T224" s="140">
        <f>IFERROR(__xludf.DUMMYFUNCTION("""COMPUTED_VALUE"""),11.0)</f>
        <v>11</v>
      </c>
      <c r="U224" s="136">
        <f>IFERROR(__xludf.DUMMYFUNCTION("""COMPUTED_VALUE"""),1.0)</f>
        <v>1</v>
      </c>
      <c r="V224" s="136">
        <f>IFERROR(__xludf.DUMMYFUNCTION("""COMPUTED_VALUE"""),2.0)</f>
        <v>2</v>
      </c>
      <c r="W224" s="136">
        <f>IFERROR(__xludf.DUMMYFUNCTION("""COMPUTED_VALUE"""),5.0)</f>
        <v>5</v>
      </c>
      <c r="X224" s="136"/>
      <c r="Y224" s="41"/>
      <c r="Z224" s="41"/>
    </row>
    <row r="225">
      <c r="A225" s="41" t="str">
        <f>IFERROR(__xludf.DUMMYFUNCTION("""COMPUTED_VALUE"""),"Prospect")</f>
        <v>Prospect</v>
      </c>
      <c r="B225" s="41" t="str">
        <f>IFERROR(__xludf.DUMMYFUNCTION("""COMPUTED_VALUE"""),"RSC004509")</f>
        <v>RSC004509</v>
      </c>
      <c r="C225" s="41" t="str">
        <f>IFERROR(__xludf.DUMMYFUNCTION("""COMPUTED_VALUE"""),"tazlien")</f>
        <v>tazlien</v>
      </c>
      <c r="D225" s="41" t="str">
        <f>IFERROR(__xludf.DUMMYFUNCTION("""COMPUTED_VALUE"""),"Turbulence
Piranhas")</f>
        <v>Turbulence
Piranhas</v>
      </c>
      <c r="E225" s="136">
        <f>IFERROR(__xludf.DUMMYFUNCTION("""COMPUTED_VALUE"""),15.0)</f>
        <v>15</v>
      </c>
      <c r="F225" s="136">
        <f>IFERROR(__xludf.DUMMYFUNCTION("""COMPUTED_VALUE"""),9.0)</f>
        <v>9</v>
      </c>
      <c r="G225" s="136">
        <f>IFERROR(__xludf.DUMMYFUNCTION("""COMPUTED_VALUE"""),6.0)</f>
        <v>6</v>
      </c>
      <c r="H225" s="137">
        <f>IFERROR(__xludf.DUMMYFUNCTION("""COMPUTED_VALUE"""),0.6)</f>
        <v>0.6</v>
      </c>
      <c r="I225" s="136">
        <f>IFERROR(__xludf.DUMMYFUNCTION("""COMPUTED_VALUE"""),3.0)</f>
        <v>3</v>
      </c>
      <c r="J225" s="136">
        <f>IFERROR(__xludf.DUMMYFUNCTION("""COMPUTED_VALUE"""),5002.0)</f>
        <v>5002</v>
      </c>
      <c r="K225" s="136">
        <f>IFERROR(__xludf.DUMMYFUNCTION("""COMPUTED_VALUE"""),10.0)</f>
        <v>10</v>
      </c>
      <c r="L225" s="136">
        <f>IFERROR(__xludf.DUMMYFUNCTION("""COMPUTED_VALUE"""),4.0)</f>
        <v>4</v>
      </c>
      <c r="M225" s="136">
        <f>IFERROR(__xludf.DUMMYFUNCTION("""COMPUTED_VALUE"""),15.0)</f>
        <v>15</v>
      </c>
      <c r="N225" s="136">
        <f>IFERROR(__xludf.DUMMYFUNCTION("""COMPUTED_VALUE"""),34.0)</f>
        <v>34</v>
      </c>
      <c r="O225" s="138">
        <f>IFERROR(__xludf.DUMMYFUNCTION("""COMPUTED_VALUE"""),1.0)</f>
        <v>1</v>
      </c>
      <c r="P225" s="138">
        <f>IFERROR(__xludf.DUMMYFUNCTION("""COMPUTED_VALUE"""),1.0)</f>
        <v>1</v>
      </c>
      <c r="Q225" s="138">
        <f>IFERROR(__xludf.DUMMYFUNCTION("""COMPUTED_VALUE"""),0.0)</f>
        <v>0</v>
      </c>
      <c r="R225" s="138">
        <f>IFERROR(__xludf.DUMMYFUNCTION("""COMPUTED_VALUE"""),1.0)</f>
        <v>1</v>
      </c>
      <c r="S225" s="139">
        <f>IFERROR(__xludf.DUMMYFUNCTION("""COMPUTED_VALUE"""),106.0)</f>
        <v>106</v>
      </c>
      <c r="T225" s="140">
        <f>IFERROR(__xludf.DUMMYFUNCTION("""COMPUTED_VALUE"""),26.0)</f>
        <v>26</v>
      </c>
      <c r="U225" s="136">
        <f>IFERROR(__xludf.DUMMYFUNCTION("""COMPUTED_VALUE"""),4.0)</f>
        <v>4</v>
      </c>
      <c r="V225" s="136">
        <f>IFERROR(__xludf.DUMMYFUNCTION("""COMPUTED_VALUE"""),16.0)</f>
        <v>16</v>
      </c>
      <c r="W225" s="136">
        <f>IFERROR(__xludf.DUMMYFUNCTION("""COMPUTED_VALUE"""),11.0)</f>
        <v>11</v>
      </c>
      <c r="X225" s="136">
        <f>IFERROR(__xludf.DUMMYFUNCTION("""COMPUTED_VALUE"""),348.8)</f>
        <v>348.8</v>
      </c>
      <c r="Y225" s="141">
        <f>IFERROR(__xludf.DUMMYFUNCTION("""COMPUTED_VALUE"""),53.7)</f>
        <v>53.7</v>
      </c>
      <c r="Z225" s="141">
        <f>IFERROR(__xludf.DUMMYFUNCTION("""COMPUTED_VALUE"""),2300.6)</f>
        <v>2300.6</v>
      </c>
    </row>
    <row r="226">
      <c r="A226" s="41" t="str">
        <f>IFERROR(__xludf.DUMMYFUNCTION("""COMPUTED_VALUE"""),"Rival")</f>
        <v>Rival</v>
      </c>
      <c r="B226" s="41" t="str">
        <f>IFERROR(__xludf.DUMMYFUNCTION("""COMPUTED_VALUE"""),"RSC004536")</f>
        <v>RSC004536</v>
      </c>
      <c r="C226" s="41" t="str">
        <f>IFERROR(__xludf.DUMMYFUNCTION("""COMPUTED_VALUE"""),"Grim")</f>
        <v>Grim</v>
      </c>
      <c r="D226" s="41" t="str">
        <f>IFERROR(__xludf.DUMMYFUNCTION("""COMPUTED_VALUE"""),"Centuriones")</f>
        <v>Centuriones</v>
      </c>
      <c r="E226" s="136">
        <f>IFERROR(__xludf.DUMMYFUNCTION("""COMPUTED_VALUE"""),28.0)</f>
        <v>28</v>
      </c>
      <c r="F226" s="136">
        <f>IFERROR(__xludf.DUMMYFUNCTION("""COMPUTED_VALUE"""),19.0)</f>
        <v>19</v>
      </c>
      <c r="G226" s="136">
        <f>IFERROR(__xludf.DUMMYFUNCTION("""COMPUTED_VALUE"""),9.0)</f>
        <v>9</v>
      </c>
      <c r="H226" s="137">
        <f>IFERROR(__xludf.DUMMYFUNCTION("""COMPUTED_VALUE"""),0.6785714285714286)</f>
        <v>0.6785714286</v>
      </c>
      <c r="I226" s="136">
        <f>IFERROR(__xludf.DUMMYFUNCTION("""COMPUTED_VALUE"""),10.0)</f>
        <v>10</v>
      </c>
      <c r="J226" s="136">
        <f>IFERROR(__xludf.DUMMYFUNCTION("""COMPUTED_VALUE"""),10815.0)</f>
        <v>10815</v>
      </c>
      <c r="K226" s="136">
        <f>IFERROR(__xludf.DUMMYFUNCTION("""COMPUTED_VALUE"""),29.0)</f>
        <v>29</v>
      </c>
      <c r="L226" s="136">
        <f>IFERROR(__xludf.DUMMYFUNCTION("""COMPUTED_VALUE"""),18.0)</f>
        <v>18</v>
      </c>
      <c r="M226" s="136">
        <f>IFERROR(__xludf.DUMMYFUNCTION("""COMPUTED_VALUE"""),40.0)</f>
        <v>40</v>
      </c>
      <c r="N226" s="136">
        <f>IFERROR(__xludf.DUMMYFUNCTION("""COMPUTED_VALUE"""),89.0)</f>
        <v>89</v>
      </c>
      <c r="O226" s="138">
        <f>IFERROR(__xludf.DUMMYFUNCTION("""COMPUTED_VALUE"""),5.0)</f>
        <v>5</v>
      </c>
      <c r="P226" s="138">
        <f>IFERROR(__xludf.DUMMYFUNCTION("""COMPUTED_VALUE"""),3.0)</f>
        <v>3</v>
      </c>
      <c r="Q226" s="138">
        <f>IFERROR(__xludf.DUMMYFUNCTION("""COMPUTED_VALUE"""),1.0)</f>
        <v>1</v>
      </c>
      <c r="R226" s="138">
        <f>IFERROR(__xludf.DUMMYFUNCTION("""COMPUTED_VALUE"""),7.0)</f>
        <v>7</v>
      </c>
      <c r="S226" s="139">
        <f>IFERROR(__xludf.DUMMYFUNCTION("""COMPUTED_VALUE"""),199.0)</f>
        <v>199</v>
      </c>
      <c r="T226" s="140">
        <f>IFERROR(__xludf.DUMMYFUNCTION("""COMPUTED_VALUE"""),55.0)</f>
        <v>55</v>
      </c>
      <c r="U226" s="136">
        <f>IFERROR(__xludf.DUMMYFUNCTION("""COMPUTED_VALUE"""),19.0)</f>
        <v>19</v>
      </c>
      <c r="V226" s="136">
        <f>IFERROR(__xludf.DUMMYFUNCTION("""COMPUTED_VALUE"""),21.0)</f>
        <v>21</v>
      </c>
      <c r="W226" s="136">
        <f>IFERROR(__xludf.DUMMYFUNCTION("""COMPUTED_VALUE"""),38.0)</f>
        <v>38</v>
      </c>
      <c r="X226" s="136">
        <f>IFERROR(__xludf.DUMMYFUNCTION("""COMPUTED_VALUE"""),315.4642857142857)</f>
        <v>315.4642857</v>
      </c>
      <c r="Y226" s="141">
        <f>IFERROR(__xludf.DUMMYFUNCTION("""COMPUTED_VALUE"""),45.76107142857143)</f>
        <v>45.76107143</v>
      </c>
      <c r="Z226" s="141">
        <f>IFERROR(__xludf.DUMMYFUNCTION("""COMPUTED_VALUE"""),1836.0357142857142)</f>
        <v>1836.035714</v>
      </c>
    </row>
    <row r="227">
      <c r="A227" s="41" t="str">
        <f>IFERROR(__xludf.DUMMYFUNCTION("""COMPUTED_VALUE"""),"Challenger")</f>
        <v>Challenger</v>
      </c>
      <c r="B227" s="41" t="str">
        <f>IFERROR(__xludf.DUMMYFUNCTION("""COMPUTED_VALUE"""),"RSC004565")</f>
        <v>RSC004565</v>
      </c>
      <c r="C227" s="41" t="str">
        <f>IFERROR(__xludf.DUMMYFUNCTION("""COMPUTED_VALUE"""),"Ole.Mr.Bison.")</f>
        <v>Ole.Mr.Bison.</v>
      </c>
      <c r="D227" s="41" t="str">
        <f>IFERROR(__xludf.DUMMYFUNCTION("""COMPUTED_VALUE"""),"Panda Bears")</f>
        <v>Panda Bears</v>
      </c>
      <c r="E227" s="136">
        <f>IFERROR(__xludf.DUMMYFUNCTION("""COMPUTED_VALUE"""),29.0)</f>
        <v>29</v>
      </c>
      <c r="F227" s="136">
        <f>IFERROR(__xludf.DUMMYFUNCTION("""COMPUTED_VALUE"""),18.0)</f>
        <v>18</v>
      </c>
      <c r="G227" s="136">
        <f>IFERROR(__xludf.DUMMYFUNCTION("""COMPUTED_VALUE"""),11.0)</f>
        <v>11</v>
      </c>
      <c r="H227" s="137">
        <f>IFERROR(__xludf.DUMMYFUNCTION("""COMPUTED_VALUE"""),0.6206896551724138)</f>
        <v>0.6206896552</v>
      </c>
      <c r="I227" s="136">
        <f>IFERROR(__xludf.DUMMYFUNCTION("""COMPUTED_VALUE"""),3.0)</f>
        <v>3</v>
      </c>
      <c r="J227" s="136">
        <f>IFERROR(__xludf.DUMMYFUNCTION("""COMPUTED_VALUE"""),8373.0)</f>
        <v>8373</v>
      </c>
      <c r="K227" s="136">
        <f>IFERROR(__xludf.DUMMYFUNCTION("""COMPUTED_VALUE"""),16.0)</f>
        <v>16</v>
      </c>
      <c r="L227" s="136">
        <f>IFERROR(__xludf.DUMMYFUNCTION("""COMPUTED_VALUE"""),17.0)</f>
        <v>17</v>
      </c>
      <c r="M227" s="136">
        <f>IFERROR(__xludf.DUMMYFUNCTION("""COMPUTED_VALUE"""),29.0)</f>
        <v>29</v>
      </c>
      <c r="N227" s="136">
        <f>IFERROR(__xludf.DUMMYFUNCTION("""COMPUTED_VALUE"""),58.0)</f>
        <v>58</v>
      </c>
      <c r="O227" s="138">
        <f>IFERROR(__xludf.DUMMYFUNCTION("""COMPUTED_VALUE"""),7.0)</f>
        <v>7</v>
      </c>
      <c r="P227" s="138">
        <f>IFERROR(__xludf.DUMMYFUNCTION("""COMPUTED_VALUE"""),1.0)</f>
        <v>1</v>
      </c>
      <c r="Q227" s="138">
        <f>IFERROR(__xludf.DUMMYFUNCTION("""COMPUTED_VALUE"""),0.0)</f>
        <v>0</v>
      </c>
      <c r="R227" s="138">
        <f>IFERROR(__xludf.DUMMYFUNCTION("""COMPUTED_VALUE"""),2.0)</f>
        <v>2</v>
      </c>
      <c r="S227" s="139">
        <f>IFERROR(__xludf.DUMMYFUNCTION("""COMPUTED_VALUE"""),222.0)</f>
        <v>222</v>
      </c>
      <c r="T227" s="140">
        <f>IFERROR(__xludf.DUMMYFUNCTION("""COMPUTED_VALUE"""),68.0)</f>
        <v>68</v>
      </c>
      <c r="U227" s="136">
        <f>IFERROR(__xludf.DUMMYFUNCTION("""COMPUTED_VALUE"""),29.0)</f>
        <v>29</v>
      </c>
      <c r="V227" s="136">
        <f>IFERROR(__xludf.DUMMYFUNCTION("""COMPUTED_VALUE"""),23.0)</f>
        <v>23</v>
      </c>
      <c r="W227" s="136">
        <f>IFERROR(__xludf.DUMMYFUNCTION("""COMPUTED_VALUE"""),33.0)</f>
        <v>33</v>
      </c>
      <c r="X227" s="136">
        <f>IFERROR(__xludf.DUMMYFUNCTION("""COMPUTED_VALUE"""),324.3103448275862)</f>
        <v>324.3103448</v>
      </c>
      <c r="Y227" s="141">
        <f>IFERROR(__xludf.DUMMYFUNCTION("""COMPUTED_VALUE"""),52.20931034482759)</f>
        <v>52.20931034</v>
      </c>
      <c r="Z227" s="141">
        <f>IFERROR(__xludf.DUMMYFUNCTION("""COMPUTED_VALUE"""),2025.3793103448277)</f>
        <v>2025.37931</v>
      </c>
    </row>
    <row r="228">
      <c r="A228" s="41" t="str">
        <f>IFERROR(__xludf.DUMMYFUNCTION("""COMPUTED_VALUE"""),"Premier")</f>
        <v>Premier</v>
      </c>
      <c r="B228" s="41" t="str">
        <f>IFERROR(__xludf.DUMMYFUNCTION("""COMPUTED_VALUE"""),"RSC004580")</f>
        <v>RSC004580</v>
      </c>
      <c r="C228" s="41" t="str">
        <f>IFERROR(__xludf.DUMMYFUNCTION("""COMPUTED_VALUE"""),"Static")</f>
        <v>Static</v>
      </c>
      <c r="D228" s="41" t="str">
        <f>IFERROR(__xludf.DUMMYFUNCTION("""COMPUTED_VALUE"""),"Feta Forgers")</f>
        <v>Feta Forgers</v>
      </c>
      <c r="E228" s="136">
        <f>IFERROR(__xludf.DUMMYFUNCTION("""COMPUTED_VALUE"""),25.0)</f>
        <v>25</v>
      </c>
      <c r="F228" s="136">
        <f>IFERROR(__xludf.DUMMYFUNCTION("""COMPUTED_VALUE"""),8.0)</f>
        <v>8</v>
      </c>
      <c r="G228" s="136">
        <f>IFERROR(__xludf.DUMMYFUNCTION("""COMPUTED_VALUE"""),17.0)</f>
        <v>17</v>
      </c>
      <c r="H228" s="137">
        <f>IFERROR(__xludf.DUMMYFUNCTION("""COMPUTED_VALUE"""),0.32)</f>
        <v>0.32</v>
      </c>
      <c r="I228" s="136">
        <f>IFERROR(__xludf.DUMMYFUNCTION("""COMPUTED_VALUE"""),4.0)</f>
        <v>4</v>
      </c>
      <c r="J228" s="136">
        <f>IFERROR(__xludf.DUMMYFUNCTION("""COMPUTED_VALUE"""),9909.0)</f>
        <v>9909</v>
      </c>
      <c r="K228" s="136">
        <f>IFERROR(__xludf.DUMMYFUNCTION("""COMPUTED_VALUE"""),28.0)</f>
        <v>28</v>
      </c>
      <c r="L228" s="136">
        <f>IFERROR(__xludf.DUMMYFUNCTION("""COMPUTED_VALUE"""),15.0)</f>
        <v>15</v>
      </c>
      <c r="M228" s="136">
        <f>IFERROR(__xludf.DUMMYFUNCTION("""COMPUTED_VALUE"""),37.0)</f>
        <v>37</v>
      </c>
      <c r="N228" s="136">
        <f>IFERROR(__xludf.DUMMYFUNCTION("""COMPUTED_VALUE"""),84.0)</f>
        <v>84</v>
      </c>
      <c r="O228" s="138">
        <f>IFERROR(__xludf.DUMMYFUNCTION("""COMPUTED_VALUE"""),10.0)</f>
        <v>10</v>
      </c>
      <c r="P228" s="138">
        <f>IFERROR(__xludf.DUMMYFUNCTION("""COMPUTED_VALUE"""),2.0)</f>
        <v>2</v>
      </c>
      <c r="Q228" s="138">
        <f>IFERROR(__xludf.DUMMYFUNCTION("""COMPUTED_VALUE"""),0.0)</f>
        <v>0</v>
      </c>
      <c r="R228" s="138">
        <f>IFERROR(__xludf.DUMMYFUNCTION("""COMPUTED_VALUE"""),4.0)</f>
        <v>4</v>
      </c>
      <c r="S228" s="139">
        <f>IFERROR(__xludf.DUMMYFUNCTION("""COMPUTED_VALUE"""),220.0)</f>
        <v>220</v>
      </c>
      <c r="T228" s="140">
        <f>IFERROR(__xludf.DUMMYFUNCTION("""COMPUTED_VALUE"""),76.0)</f>
        <v>76</v>
      </c>
      <c r="U228" s="136">
        <f>IFERROR(__xludf.DUMMYFUNCTION("""COMPUTED_VALUE"""),21.0)</f>
        <v>21</v>
      </c>
      <c r="V228" s="136">
        <f>IFERROR(__xludf.DUMMYFUNCTION("""COMPUTED_VALUE"""),33.0)</f>
        <v>33</v>
      </c>
      <c r="W228" s="136">
        <f>IFERROR(__xludf.DUMMYFUNCTION("""COMPUTED_VALUE"""),25.0)</f>
        <v>25</v>
      </c>
      <c r="X228" s="136">
        <f>IFERROR(__xludf.DUMMYFUNCTION("""COMPUTED_VALUE"""),411.4)</f>
        <v>411.4</v>
      </c>
      <c r="Y228" s="141">
        <f>IFERROR(__xludf.DUMMYFUNCTION("""COMPUTED_VALUE"""),44.9172)</f>
        <v>44.9172</v>
      </c>
      <c r="Z228" s="141">
        <f>IFERROR(__xludf.DUMMYFUNCTION("""COMPUTED_VALUE"""),2532.08)</f>
        <v>2532.08</v>
      </c>
    </row>
    <row r="229">
      <c r="A229" s="41" t="str">
        <f>IFERROR(__xludf.DUMMYFUNCTION("""COMPUTED_VALUE"""),"Master")</f>
        <v>Master</v>
      </c>
      <c r="B229" s="41" t="str">
        <f>IFERROR(__xludf.DUMMYFUNCTION("""COMPUTED_VALUE"""),"RSC004580")</f>
        <v>RSC004580</v>
      </c>
      <c r="C229" s="41" t="str">
        <f>IFERROR(__xludf.DUMMYFUNCTION("""COMPUTED_VALUE"""),"Static")</f>
        <v>Static</v>
      </c>
      <c r="D229" s="41" t="str">
        <f>IFERROR(__xludf.DUMMYFUNCTION("""COMPUTED_VALUE"""),"Spectres")</f>
        <v>Spectres</v>
      </c>
      <c r="E229" s="136">
        <f>IFERROR(__xludf.DUMMYFUNCTION("""COMPUTED_VALUE"""),8.0)</f>
        <v>8</v>
      </c>
      <c r="F229" s="136">
        <f>IFERROR(__xludf.DUMMYFUNCTION("""COMPUTED_VALUE"""),5.0)</f>
        <v>5</v>
      </c>
      <c r="G229" s="136">
        <f>IFERROR(__xludf.DUMMYFUNCTION("""COMPUTED_VALUE"""),3.0)</f>
        <v>3</v>
      </c>
      <c r="H229" s="137">
        <f>IFERROR(__xludf.DUMMYFUNCTION("""COMPUTED_VALUE"""),0.625)</f>
        <v>0.625</v>
      </c>
      <c r="I229" s="136">
        <f>IFERROR(__xludf.DUMMYFUNCTION("""COMPUTED_VALUE"""),5.0)</f>
        <v>5</v>
      </c>
      <c r="J229" s="136">
        <f>IFERROR(__xludf.DUMMYFUNCTION("""COMPUTED_VALUE"""),4063.0)</f>
        <v>4063</v>
      </c>
      <c r="K229" s="136">
        <f>IFERROR(__xludf.DUMMYFUNCTION("""COMPUTED_VALUE"""),11.0)</f>
        <v>11</v>
      </c>
      <c r="L229" s="136">
        <f>IFERROR(__xludf.DUMMYFUNCTION("""COMPUTED_VALUE"""),3.0)</f>
        <v>3</v>
      </c>
      <c r="M229" s="136">
        <f>IFERROR(__xludf.DUMMYFUNCTION("""COMPUTED_VALUE"""),16.0)</f>
        <v>16</v>
      </c>
      <c r="N229" s="136">
        <f>IFERROR(__xludf.DUMMYFUNCTION("""COMPUTED_VALUE"""),30.0)</f>
        <v>30</v>
      </c>
      <c r="O229" s="138">
        <f>IFERROR(__xludf.DUMMYFUNCTION("""COMPUTED_VALUE"""),2.0)</f>
        <v>2</v>
      </c>
      <c r="P229" s="138">
        <f>IFERROR(__xludf.DUMMYFUNCTION("""COMPUTED_VALUE"""),1.0)</f>
        <v>1</v>
      </c>
      <c r="Q229" s="138">
        <f>IFERROR(__xludf.DUMMYFUNCTION("""COMPUTED_VALUE"""),0.0)</f>
        <v>0</v>
      </c>
      <c r="R229" s="138">
        <f>IFERROR(__xludf.DUMMYFUNCTION("""COMPUTED_VALUE"""),4.0)</f>
        <v>4</v>
      </c>
      <c r="S229" s="139">
        <f>IFERROR(__xludf.DUMMYFUNCTION("""COMPUTED_VALUE"""),72.0)</f>
        <v>72</v>
      </c>
      <c r="T229" s="140">
        <f>IFERROR(__xludf.DUMMYFUNCTION("""COMPUTED_VALUE"""),21.0)</f>
        <v>21</v>
      </c>
      <c r="U229" s="136">
        <f>IFERROR(__xludf.DUMMYFUNCTION("""COMPUTED_VALUE"""),5.0)</f>
        <v>5</v>
      </c>
      <c r="V229" s="136">
        <f>IFERROR(__xludf.DUMMYFUNCTION("""COMPUTED_VALUE"""),12.0)</f>
        <v>12</v>
      </c>
      <c r="W229" s="136">
        <f>IFERROR(__xludf.DUMMYFUNCTION("""COMPUTED_VALUE"""),6.0)</f>
        <v>6</v>
      </c>
      <c r="X229" s="136">
        <f>IFERROR(__xludf.DUMMYFUNCTION("""COMPUTED_VALUE"""),456.625)</f>
        <v>456.625</v>
      </c>
      <c r="Y229" s="141">
        <f>IFERROR(__xludf.DUMMYFUNCTION("""COMPUTED_VALUE"""),47.241249999999994)</f>
        <v>47.24125</v>
      </c>
      <c r="Z229" s="141">
        <f>IFERROR(__xludf.DUMMYFUNCTION("""COMPUTED_VALUE"""),2868.75)</f>
        <v>2868.75</v>
      </c>
    </row>
    <row r="230">
      <c r="A230" s="41" t="str">
        <f>IFERROR(__xludf.DUMMYFUNCTION("""COMPUTED_VALUE"""),"Challenger")</f>
        <v>Challenger</v>
      </c>
      <c r="B230" s="41" t="str">
        <f>IFERROR(__xludf.DUMMYFUNCTION("""COMPUTED_VALUE"""),"RSC004618")</f>
        <v>RSC004618</v>
      </c>
      <c r="C230" s="41" t="str">
        <f>IFERROR(__xludf.DUMMYFUNCTION("""COMPUTED_VALUE"""),"Squirrel")</f>
        <v>Squirrel</v>
      </c>
      <c r="D230" s="41" t="str">
        <f>IFERROR(__xludf.DUMMYFUNCTION("""COMPUTED_VALUE"""),"Spearmint")</f>
        <v>Spearmint</v>
      </c>
      <c r="E230" s="136">
        <f>IFERROR(__xludf.DUMMYFUNCTION("""COMPUTED_VALUE"""),38.0)</f>
        <v>38</v>
      </c>
      <c r="F230" s="136">
        <f>IFERROR(__xludf.DUMMYFUNCTION("""COMPUTED_VALUE"""),22.0)</f>
        <v>22</v>
      </c>
      <c r="G230" s="136">
        <f>IFERROR(__xludf.DUMMYFUNCTION("""COMPUTED_VALUE"""),16.0)</f>
        <v>16</v>
      </c>
      <c r="H230" s="137">
        <f>IFERROR(__xludf.DUMMYFUNCTION("""COMPUTED_VALUE"""),0.5789473684210527)</f>
        <v>0.5789473684</v>
      </c>
      <c r="I230" s="136">
        <f>IFERROR(__xludf.DUMMYFUNCTION("""COMPUTED_VALUE"""),9.0)</f>
        <v>9</v>
      </c>
      <c r="J230" s="136">
        <f>IFERROR(__xludf.DUMMYFUNCTION("""COMPUTED_VALUE"""),14377.0)</f>
        <v>14377</v>
      </c>
      <c r="K230" s="136">
        <f>IFERROR(__xludf.DUMMYFUNCTION("""COMPUTED_VALUE"""),31.0)</f>
        <v>31</v>
      </c>
      <c r="L230" s="136">
        <f>IFERROR(__xludf.DUMMYFUNCTION("""COMPUTED_VALUE"""),27.0)</f>
        <v>27</v>
      </c>
      <c r="M230" s="136">
        <f>IFERROR(__xludf.DUMMYFUNCTION("""COMPUTED_VALUE"""),51.0)</f>
        <v>51</v>
      </c>
      <c r="N230" s="136">
        <f>IFERROR(__xludf.DUMMYFUNCTION("""COMPUTED_VALUE"""),103.0)</f>
        <v>103</v>
      </c>
      <c r="O230" s="138">
        <f>IFERROR(__xludf.DUMMYFUNCTION("""COMPUTED_VALUE"""),13.0)</f>
        <v>13</v>
      </c>
      <c r="P230" s="138">
        <f>IFERROR(__xludf.DUMMYFUNCTION("""COMPUTED_VALUE"""),2.0)</f>
        <v>2</v>
      </c>
      <c r="Q230" s="138">
        <f>IFERROR(__xludf.DUMMYFUNCTION("""COMPUTED_VALUE"""),1.0)</f>
        <v>1</v>
      </c>
      <c r="R230" s="138">
        <f>IFERROR(__xludf.DUMMYFUNCTION("""COMPUTED_VALUE"""),4.0)</f>
        <v>4</v>
      </c>
      <c r="S230" s="139">
        <f>IFERROR(__xludf.DUMMYFUNCTION("""COMPUTED_VALUE"""),271.0)</f>
        <v>271</v>
      </c>
      <c r="T230" s="140">
        <f>IFERROR(__xludf.DUMMYFUNCTION("""COMPUTED_VALUE"""),73.0)</f>
        <v>73</v>
      </c>
      <c r="U230" s="136">
        <f>IFERROR(__xludf.DUMMYFUNCTION("""COMPUTED_VALUE"""),26.0)</f>
        <v>26</v>
      </c>
      <c r="V230" s="136">
        <f>IFERROR(__xludf.DUMMYFUNCTION("""COMPUTED_VALUE"""),62.0)</f>
        <v>62</v>
      </c>
      <c r="W230" s="136">
        <f>IFERROR(__xludf.DUMMYFUNCTION("""COMPUTED_VALUE"""),28.0)</f>
        <v>28</v>
      </c>
      <c r="X230" s="136">
        <f>IFERROR(__xludf.DUMMYFUNCTION("""COMPUTED_VALUE"""),408.36842105263156)</f>
        <v>408.3684211</v>
      </c>
      <c r="Y230" s="141">
        <f>IFERROR(__xludf.DUMMYFUNCTION("""COMPUTED_VALUE"""),46.918684210526315)</f>
        <v>46.91868421</v>
      </c>
      <c r="Z230" s="141">
        <f>IFERROR(__xludf.DUMMYFUNCTION("""COMPUTED_VALUE"""),2460.8684210526317)</f>
        <v>2460.868421</v>
      </c>
    </row>
    <row r="231">
      <c r="A231" s="41" t="str">
        <f>IFERROR(__xludf.DUMMYFUNCTION("""COMPUTED_VALUE"""),"Rival")</f>
        <v>Rival</v>
      </c>
      <c r="B231" s="41" t="str">
        <f>IFERROR(__xludf.DUMMYFUNCTION("""COMPUTED_VALUE"""),"RSC004665")</f>
        <v>RSC004665</v>
      </c>
      <c r="C231" s="41" t="str">
        <f>IFERROR(__xludf.DUMMYFUNCTION("""COMPUTED_VALUE"""),"xPrism")</f>
        <v>xPrism</v>
      </c>
      <c r="D231" s="41" t="str">
        <f>IFERROR(__xludf.DUMMYFUNCTION("""COMPUTED_VALUE"""),"Hot Wings")</f>
        <v>Hot Wings</v>
      </c>
      <c r="E231" s="136">
        <f>IFERROR(__xludf.DUMMYFUNCTION("""COMPUTED_VALUE"""),42.0)</f>
        <v>42</v>
      </c>
      <c r="F231" s="136">
        <f>IFERROR(__xludf.DUMMYFUNCTION("""COMPUTED_VALUE"""),21.0)</f>
        <v>21</v>
      </c>
      <c r="G231" s="136">
        <f>IFERROR(__xludf.DUMMYFUNCTION("""COMPUTED_VALUE"""),21.0)</f>
        <v>21</v>
      </c>
      <c r="H231" s="137">
        <f>IFERROR(__xludf.DUMMYFUNCTION("""COMPUTED_VALUE"""),0.5)</f>
        <v>0.5</v>
      </c>
      <c r="I231" s="136">
        <f>IFERROR(__xludf.DUMMYFUNCTION("""COMPUTED_VALUE"""),6.0)</f>
        <v>6</v>
      </c>
      <c r="J231" s="136">
        <f>IFERROR(__xludf.DUMMYFUNCTION("""COMPUTED_VALUE"""),13377.0)</f>
        <v>13377</v>
      </c>
      <c r="K231" s="136">
        <f>IFERROR(__xludf.DUMMYFUNCTION("""COMPUTED_VALUE"""),23.0)</f>
        <v>23</v>
      </c>
      <c r="L231" s="136">
        <f>IFERROR(__xludf.DUMMYFUNCTION("""COMPUTED_VALUE"""),27.0)</f>
        <v>27</v>
      </c>
      <c r="M231" s="136">
        <f>IFERROR(__xludf.DUMMYFUNCTION("""COMPUTED_VALUE"""),46.0)</f>
        <v>46</v>
      </c>
      <c r="N231" s="136">
        <f>IFERROR(__xludf.DUMMYFUNCTION("""COMPUTED_VALUE"""),99.0)</f>
        <v>99</v>
      </c>
      <c r="O231" s="138">
        <f>IFERROR(__xludf.DUMMYFUNCTION("""COMPUTED_VALUE"""),7.0)</f>
        <v>7</v>
      </c>
      <c r="P231" s="138">
        <f>IFERROR(__xludf.DUMMYFUNCTION("""COMPUTED_VALUE"""),0.0)</f>
        <v>0</v>
      </c>
      <c r="Q231" s="138">
        <f>IFERROR(__xludf.DUMMYFUNCTION("""COMPUTED_VALUE"""),0.0)</f>
        <v>0</v>
      </c>
      <c r="R231" s="138">
        <f>IFERROR(__xludf.DUMMYFUNCTION("""COMPUTED_VALUE"""),5.0)</f>
        <v>5</v>
      </c>
      <c r="S231" s="139">
        <f>IFERROR(__xludf.DUMMYFUNCTION("""COMPUTED_VALUE"""),303.0)</f>
        <v>303</v>
      </c>
      <c r="T231" s="140">
        <f>IFERROR(__xludf.DUMMYFUNCTION("""COMPUTED_VALUE"""),114.0)</f>
        <v>114</v>
      </c>
      <c r="U231" s="136">
        <f>IFERROR(__xludf.DUMMYFUNCTION("""COMPUTED_VALUE"""),30.0)</f>
        <v>30</v>
      </c>
      <c r="V231" s="136">
        <f>IFERROR(__xludf.DUMMYFUNCTION("""COMPUTED_VALUE"""),16.0)</f>
        <v>16</v>
      </c>
      <c r="W231" s="136">
        <f>IFERROR(__xludf.DUMMYFUNCTION("""COMPUTED_VALUE"""),35.0)</f>
        <v>35</v>
      </c>
      <c r="X231" s="136">
        <f>IFERROR(__xludf.DUMMYFUNCTION("""COMPUTED_VALUE"""),307.76190476190476)</f>
        <v>307.7619048</v>
      </c>
      <c r="Y231" s="141">
        <f>IFERROR(__xludf.DUMMYFUNCTION("""COMPUTED_VALUE"""),48.7552380952381)</f>
        <v>48.7552381</v>
      </c>
      <c r="Z231" s="141">
        <f>IFERROR(__xludf.DUMMYFUNCTION("""COMPUTED_VALUE"""),1894.142857142857)</f>
        <v>1894.142857</v>
      </c>
    </row>
    <row r="232">
      <c r="A232" s="41" t="str">
        <f>IFERROR(__xludf.DUMMYFUNCTION("""COMPUTED_VALUE"""),"Rival")</f>
        <v>Rival</v>
      </c>
      <c r="B232" s="41" t="str">
        <f>IFERROR(__xludf.DUMMYFUNCTION("""COMPUTED_VALUE"""),"RSC004670")</f>
        <v>RSC004670</v>
      </c>
      <c r="C232" s="41" t="str">
        <f>IFERROR(__xludf.DUMMYFUNCTION("""COMPUTED_VALUE"""),"CarnageWolfBite")</f>
        <v>CarnageWolfBite</v>
      </c>
      <c r="D232" s="41" t="str">
        <f>IFERROR(__xludf.DUMMYFUNCTION("""COMPUTED_VALUE"""),"Samurai")</f>
        <v>Samurai</v>
      </c>
      <c r="E232" s="136">
        <f>IFERROR(__xludf.DUMMYFUNCTION("""COMPUTED_VALUE"""),38.0)</f>
        <v>38</v>
      </c>
      <c r="F232" s="136">
        <f>IFERROR(__xludf.DUMMYFUNCTION("""COMPUTED_VALUE"""),12.0)</f>
        <v>12</v>
      </c>
      <c r="G232" s="136">
        <f>IFERROR(__xludf.DUMMYFUNCTION("""COMPUTED_VALUE"""),26.0)</f>
        <v>26</v>
      </c>
      <c r="H232" s="137">
        <f>IFERROR(__xludf.DUMMYFUNCTION("""COMPUTED_VALUE"""),0.3157894736842105)</f>
        <v>0.3157894737</v>
      </c>
      <c r="I232" s="136">
        <f>IFERROR(__xludf.DUMMYFUNCTION("""COMPUTED_VALUE"""),3.0)</f>
        <v>3</v>
      </c>
      <c r="J232" s="136">
        <f>IFERROR(__xludf.DUMMYFUNCTION("""COMPUTED_VALUE"""),10647.0)</f>
        <v>10647</v>
      </c>
      <c r="K232" s="136">
        <f>IFERROR(__xludf.DUMMYFUNCTION("""COMPUTED_VALUE"""),16.0)</f>
        <v>16</v>
      </c>
      <c r="L232" s="136">
        <f>IFERROR(__xludf.DUMMYFUNCTION("""COMPUTED_VALUE"""),15.0)</f>
        <v>15</v>
      </c>
      <c r="M232" s="136">
        <f>IFERROR(__xludf.DUMMYFUNCTION("""COMPUTED_VALUE"""),36.0)</f>
        <v>36</v>
      </c>
      <c r="N232" s="136">
        <f>IFERROR(__xludf.DUMMYFUNCTION("""COMPUTED_VALUE"""),83.0)</f>
        <v>83</v>
      </c>
      <c r="O232" s="138">
        <f>IFERROR(__xludf.DUMMYFUNCTION("""COMPUTED_VALUE"""),2.0)</f>
        <v>2</v>
      </c>
      <c r="P232" s="138">
        <f>IFERROR(__xludf.DUMMYFUNCTION("""COMPUTED_VALUE"""),0.0)</f>
        <v>0</v>
      </c>
      <c r="Q232" s="138">
        <f>IFERROR(__xludf.DUMMYFUNCTION("""COMPUTED_VALUE"""),0.0)</f>
        <v>0</v>
      </c>
      <c r="R232" s="138">
        <f>IFERROR(__xludf.DUMMYFUNCTION("""COMPUTED_VALUE"""),4.0)</f>
        <v>4</v>
      </c>
      <c r="S232" s="139">
        <f>IFERROR(__xludf.DUMMYFUNCTION("""COMPUTED_VALUE"""),286.0)</f>
        <v>286</v>
      </c>
      <c r="T232" s="140">
        <f>IFERROR(__xludf.DUMMYFUNCTION("""COMPUTED_VALUE"""),92.0)</f>
        <v>92</v>
      </c>
      <c r="U232" s="136">
        <f>IFERROR(__xludf.DUMMYFUNCTION("""COMPUTED_VALUE"""),24.0)</f>
        <v>24</v>
      </c>
      <c r="V232" s="136">
        <f>IFERROR(__xludf.DUMMYFUNCTION("""COMPUTED_VALUE"""),80.0)</f>
        <v>80</v>
      </c>
      <c r="W232" s="136">
        <f>IFERROR(__xludf.DUMMYFUNCTION("""COMPUTED_VALUE"""),27.0)</f>
        <v>27</v>
      </c>
      <c r="X232" s="136">
        <f>IFERROR(__xludf.DUMMYFUNCTION("""COMPUTED_VALUE"""),359.60526315789474)</f>
        <v>359.6052632</v>
      </c>
      <c r="Y232" s="141">
        <f>IFERROR(__xludf.DUMMYFUNCTION("""COMPUTED_VALUE"""),49.50815789473684)</f>
        <v>49.50815789</v>
      </c>
      <c r="Z232" s="141">
        <f>IFERROR(__xludf.DUMMYFUNCTION("""COMPUTED_VALUE"""),2260.6315789473683)</f>
        <v>2260.631579</v>
      </c>
    </row>
    <row r="233">
      <c r="A233" s="41" t="str">
        <f>IFERROR(__xludf.DUMMYFUNCTION("""COMPUTED_VALUE"""),"Master")</f>
        <v>Master</v>
      </c>
      <c r="B233" s="41" t="str">
        <f>IFERROR(__xludf.DUMMYFUNCTION("""COMPUTED_VALUE"""),"RSC004698")</f>
        <v>RSC004698</v>
      </c>
      <c r="C233" s="41" t="str">
        <f>IFERROR(__xludf.DUMMYFUNCTION("""COMPUTED_VALUE"""),"Slvr.")</f>
        <v>Slvr.</v>
      </c>
      <c r="D233" s="41" t="str">
        <f>IFERROR(__xludf.DUMMYFUNCTION("""COMPUTED_VALUE"""),"Oblivion")</f>
        <v>Oblivion</v>
      </c>
      <c r="E233" s="136">
        <f>IFERROR(__xludf.DUMMYFUNCTION("""COMPUTED_VALUE"""),44.0)</f>
        <v>44</v>
      </c>
      <c r="F233" s="136">
        <f>IFERROR(__xludf.DUMMYFUNCTION("""COMPUTED_VALUE"""),21.0)</f>
        <v>21</v>
      </c>
      <c r="G233" s="136">
        <f>IFERROR(__xludf.DUMMYFUNCTION("""COMPUTED_VALUE"""),23.0)</f>
        <v>23</v>
      </c>
      <c r="H233" s="137">
        <f>IFERROR(__xludf.DUMMYFUNCTION("""COMPUTED_VALUE"""),0.4772727272727273)</f>
        <v>0.4772727273</v>
      </c>
      <c r="I233" s="136">
        <f>IFERROR(__xludf.DUMMYFUNCTION("""COMPUTED_VALUE"""),9.0)</f>
        <v>9</v>
      </c>
      <c r="J233" s="136">
        <f>IFERROR(__xludf.DUMMYFUNCTION("""COMPUTED_VALUE"""),14357.0)</f>
        <v>14357</v>
      </c>
      <c r="K233" s="136">
        <f>IFERROR(__xludf.DUMMYFUNCTION("""COMPUTED_VALUE"""),28.0)</f>
        <v>28</v>
      </c>
      <c r="L233" s="136">
        <f>IFERROR(__xludf.DUMMYFUNCTION("""COMPUTED_VALUE"""),25.0)</f>
        <v>25</v>
      </c>
      <c r="M233" s="136">
        <f>IFERROR(__xludf.DUMMYFUNCTION("""COMPUTED_VALUE"""),56.0)</f>
        <v>56</v>
      </c>
      <c r="N233" s="136">
        <f>IFERROR(__xludf.DUMMYFUNCTION("""COMPUTED_VALUE"""),104.0)</f>
        <v>104</v>
      </c>
      <c r="O233" s="138">
        <f>IFERROR(__xludf.DUMMYFUNCTION("""COMPUTED_VALUE"""),13.0)</f>
        <v>13</v>
      </c>
      <c r="P233" s="138">
        <f>IFERROR(__xludf.DUMMYFUNCTION("""COMPUTED_VALUE"""),1.0)</f>
        <v>1</v>
      </c>
      <c r="Q233" s="138">
        <f>IFERROR(__xludf.DUMMYFUNCTION("""COMPUTED_VALUE"""),0.0)</f>
        <v>0</v>
      </c>
      <c r="R233" s="138">
        <f>IFERROR(__xludf.DUMMYFUNCTION("""COMPUTED_VALUE"""),8.0)</f>
        <v>8</v>
      </c>
      <c r="S233" s="139">
        <f>IFERROR(__xludf.DUMMYFUNCTION("""COMPUTED_VALUE"""),333.0)</f>
        <v>333</v>
      </c>
      <c r="T233" s="140">
        <f>IFERROR(__xludf.DUMMYFUNCTION("""COMPUTED_VALUE"""),99.0)</f>
        <v>99</v>
      </c>
      <c r="U233" s="136">
        <f>IFERROR(__xludf.DUMMYFUNCTION("""COMPUTED_VALUE"""),31.0)</f>
        <v>31</v>
      </c>
      <c r="V233" s="136">
        <f>IFERROR(__xludf.DUMMYFUNCTION("""COMPUTED_VALUE"""),59.0)</f>
        <v>59</v>
      </c>
      <c r="W233" s="136">
        <f>IFERROR(__xludf.DUMMYFUNCTION("""COMPUTED_VALUE"""),48.0)</f>
        <v>48</v>
      </c>
      <c r="X233" s="136">
        <f>IFERROR(__xludf.DUMMYFUNCTION("""COMPUTED_VALUE"""),404.125)</f>
        <v>404.125</v>
      </c>
      <c r="Y233" s="141">
        <f>IFERROR(__xludf.DUMMYFUNCTION("""COMPUTED_VALUE"""),46.57200000000001)</f>
        <v>46.572</v>
      </c>
      <c r="Z233" s="141">
        <f>IFERROR(__xludf.DUMMYFUNCTION("""COMPUTED_VALUE"""),2479.85)</f>
        <v>2479.85</v>
      </c>
    </row>
    <row r="234">
      <c r="A234" s="41" t="str">
        <f>IFERROR(__xludf.DUMMYFUNCTION("""COMPUTED_VALUE"""),"Master")</f>
        <v>Master</v>
      </c>
      <c r="B234" s="41" t="str">
        <f>IFERROR(__xludf.DUMMYFUNCTION("""COMPUTED_VALUE"""),"RSC004717")</f>
        <v>RSC004717</v>
      </c>
      <c r="C234" s="41" t="str">
        <f>IFERROR(__xludf.DUMMYFUNCTION("""COMPUTED_VALUE"""),"grip reaper")</f>
        <v>grip reaper</v>
      </c>
      <c r="D234" s="41" t="str">
        <f>IFERROR(__xludf.DUMMYFUNCTION("""COMPUTED_VALUE"""),"Heinous Henchmen")</f>
        <v>Heinous Henchmen</v>
      </c>
      <c r="E234" s="136">
        <f>IFERROR(__xludf.DUMMYFUNCTION("""COMPUTED_VALUE"""),49.0)</f>
        <v>49</v>
      </c>
      <c r="F234" s="136">
        <f>IFERROR(__xludf.DUMMYFUNCTION("""COMPUTED_VALUE"""),24.0)</f>
        <v>24</v>
      </c>
      <c r="G234" s="136">
        <f>IFERROR(__xludf.DUMMYFUNCTION("""COMPUTED_VALUE"""),25.0)</f>
        <v>25</v>
      </c>
      <c r="H234" s="137">
        <f>IFERROR(__xludf.DUMMYFUNCTION("""COMPUTED_VALUE"""),0.4897959183673469)</f>
        <v>0.4897959184</v>
      </c>
      <c r="I234" s="136">
        <f>IFERROR(__xludf.DUMMYFUNCTION("""COMPUTED_VALUE"""),7.0)</f>
        <v>7</v>
      </c>
      <c r="J234" s="136">
        <f>IFERROR(__xludf.DUMMYFUNCTION("""COMPUTED_VALUE"""),16891.0)</f>
        <v>16891</v>
      </c>
      <c r="K234" s="136">
        <f>IFERROR(__xludf.DUMMYFUNCTION("""COMPUTED_VALUE"""),31.0)</f>
        <v>31</v>
      </c>
      <c r="L234" s="136">
        <f>IFERROR(__xludf.DUMMYFUNCTION("""COMPUTED_VALUE"""),28.0)</f>
        <v>28</v>
      </c>
      <c r="M234" s="136">
        <f>IFERROR(__xludf.DUMMYFUNCTION("""COMPUTED_VALUE"""),75.0)</f>
        <v>75</v>
      </c>
      <c r="N234" s="136">
        <f>IFERROR(__xludf.DUMMYFUNCTION("""COMPUTED_VALUE"""),103.0)</f>
        <v>103</v>
      </c>
      <c r="O234" s="138">
        <f>IFERROR(__xludf.DUMMYFUNCTION("""COMPUTED_VALUE"""),8.0)</f>
        <v>8</v>
      </c>
      <c r="P234" s="138">
        <f>IFERROR(__xludf.DUMMYFUNCTION("""COMPUTED_VALUE"""),2.0)</f>
        <v>2</v>
      </c>
      <c r="Q234" s="138">
        <f>IFERROR(__xludf.DUMMYFUNCTION("""COMPUTED_VALUE"""),1.0)</f>
        <v>1</v>
      </c>
      <c r="R234" s="138">
        <f>IFERROR(__xludf.DUMMYFUNCTION("""COMPUTED_VALUE"""),9.0)</f>
        <v>9</v>
      </c>
      <c r="S234" s="139">
        <f>IFERROR(__xludf.DUMMYFUNCTION("""COMPUTED_VALUE"""),339.0)</f>
        <v>339</v>
      </c>
      <c r="T234" s="140">
        <f>IFERROR(__xludf.DUMMYFUNCTION("""COMPUTED_VALUE"""),96.0)</f>
        <v>96</v>
      </c>
      <c r="U234" s="136">
        <f>IFERROR(__xludf.DUMMYFUNCTION("""COMPUTED_VALUE"""),37.0)</f>
        <v>37</v>
      </c>
      <c r="V234" s="136">
        <f>IFERROR(__xludf.DUMMYFUNCTION("""COMPUTED_VALUE"""),68.0)</f>
        <v>68</v>
      </c>
      <c r="W234" s="136">
        <f>IFERROR(__xludf.DUMMYFUNCTION("""COMPUTED_VALUE"""),42.0)</f>
        <v>42</v>
      </c>
      <c r="X234" s="136">
        <f>IFERROR(__xludf.DUMMYFUNCTION("""COMPUTED_VALUE"""),441.55555555555554)</f>
        <v>441.5555556</v>
      </c>
      <c r="Y234" s="141">
        <f>IFERROR(__xludf.DUMMYFUNCTION("""COMPUTED_VALUE"""),48.276444444444444)</f>
        <v>48.27644444</v>
      </c>
      <c r="Z234" s="141">
        <f>IFERROR(__xludf.DUMMYFUNCTION("""COMPUTED_VALUE"""),2661.0222222222224)</f>
        <v>2661.022222</v>
      </c>
    </row>
    <row r="235">
      <c r="A235" s="41" t="str">
        <f>IFERROR(__xludf.DUMMYFUNCTION("""COMPUTED_VALUE"""),"Elite")</f>
        <v>Elite</v>
      </c>
      <c r="B235" s="41" t="str">
        <f>IFERROR(__xludf.DUMMYFUNCTION("""COMPUTED_VALUE"""),"RSC004767")</f>
        <v>RSC004767</v>
      </c>
      <c r="C235" s="41" t="str">
        <f>IFERROR(__xludf.DUMMYFUNCTION("""COMPUTED_VALUE"""),"NFURY8")</f>
        <v>NFURY8</v>
      </c>
      <c r="D235" s="41" t="str">
        <f>IFERROR(__xludf.DUMMYFUNCTION("""COMPUTED_VALUE"""),"Praetorian Guard
Black-Holes")</f>
        <v>Praetorian Guard
Black-Holes</v>
      </c>
      <c r="E235" s="136">
        <f>IFERROR(__xludf.DUMMYFUNCTION("""COMPUTED_VALUE"""),12.0)</f>
        <v>12</v>
      </c>
      <c r="F235" s="136">
        <f>IFERROR(__xludf.DUMMYFUNCTION("""COMPUTED_VALUE"""),9.0)</f>
        <v>9</v>
      </c>
      <c r="G235" s="136">
        <f>IFERROR(__xludf.DUMMYFUNCTION("""COMPUTED_VALUE"""),3.0)</f>
        <v>3</v>
      </c>
      <c r="H235" s="137">
        <f>IFERROR(__xludf.DUMMYFUNCTION("""COMPUTED_VALUE"""),0.75)</f>
        <v>0.75</v>
      </c>
      <c r="I235" s="136">
        <f>IFERROR(__xludf.DUMMYFUNCTION("""COMPUTED_VALUE"""),1.0)</f>
        <v>1</v>
      </c>
      <c r="J235" s="136">
        <f>IFERROR(__xludf.DUMMYFUNCTION("""COMPUTED_VALUE"""),3655.0)</f>
        <v>3655</v>
      </c>
      <c r="K235" s="136">
        <f>IFERROR(__xludf.DUMMYFUNCTION("""COMPUTED_VALUE"""),9.0)</f>
        <v>9</v>
      </c>
      <c r="L235" s="136">
        <f>IFERROR(__xludf.DUMMYFUNCTION("""COMPUTED_VALUE"""),7.0)</f>
        <v>7</v>
      </c>
      <c r="M235" s="136">
        <f>IFERROR(__xludf.DUMMYFUNCTION("""COMPUTED_VALUE"""),17.0)</f>
        <v>17</v>
      </c>
      <c r="N235" s="136">
        <f>IFERROR(__xludf.DUMMYFUNCTION("""COMPUTED_VALUE"""),28.0)</f>
        <v>28</v>
      </c>
      <c r="O235" s="138">
        <f>IFERROR(__xludf.DUMMYFUNCTION("""COMPUTED_VALUE"""),2.0)</f>
        <v>2</v>
      </c>
      <c r="P235" s="138">
        <f>IFERROR(__xludf.DUMMYFUNCTION("""COMPUTED_VALUE"""),0.0)</f>
        <v>0</v>
      </c>
      <c r="Q235" s="138">
        <f>IFERROR(__xludf.DUMMYFUNCTION("""COMPUTED_VALUE"""),0.0)</f>
        <v>0</v>
      </c>
      <c r="R235" s="138">
        <f>IFERROR(__xludf.DUMMYFUNCTION("""COMPUTED_VALUE"""),2.0)</f>
        <v>2</v>
      </c>
      <c r="S235" s="139">
        <f>IFERROR(__xludf.DUMMYFUNCTION("""COMPUTED_VALUE"""),91.0)</f>
        <v>91</v>
      </c>
      <c r="T235" s="140">
        <f>IFERROR(__xludf.DUMMYFUNCTION("""COMPUTED_VALUE"""),25.0)</f>
        <v>25</v>
      </c>
      <c r="U235" s="136">
        <f>IFERROR(__xludf.DUMMYFUNCTION("""COMPUTED_VALUE"""),11.0)</f>
        <v>11</v>
      </c>
      <c r="V235" s="136">
        <f>IFERROR(__xludf.DUMMYFUNCTION("""COMPUTED_VALUE"""),8.0)</f>
        <v>8</v>
      </c>
      <c r="W235" s="136">
        <f>IFERROR(__xludf.DUMMYFUNCTION("""COMPUTED_VALUE"""),12.0)</f>
        <v>12</v>
      </c>
      <c r="X235" s="136">
        <f>IFERROR(__xludf.DUMMYFUNCTION("""COMPUTED_VALUE"""),381.5833333333333)</f>
        <v>381.5833333</v>
      </c>
      <c r="Y235" s="141">
        <f>IFERROR(__xludf.DUMMYFUNCTION("""COMPUTED_VALUE"""),45.935)</f>
        <v>45.935</v>
      </c>
      <c r="Z235" s="141">
        <f>IFERROR(__xludf.DUMMYFUNCTION("""COMPUTED_VALUE"""),2144.4166666666665)</f>
        <v>2144.416667</v>
      </c>
    </row>
    <row r="236">
      <c r="A236" s="41" t="str">
        <f>IFERROR(__xludf.DUMMYFUNCTION("""COMPUTED_VALUE"""),"Rival")</f>
        <v>Rival</v>
      </c>
      <c r="B236" s="41" t="str">
        <f>IFERROR(__xludf.DUMMYFUNCTION("""COMPUTED_VALUE"""),"RSC004844")</f>
        <v>RSC004844</v>
      </c>
      <c r="C236" s="41" t="str">
        <f>IFERROR(__xludf.DUMMYFUNCTION("""COMPUTED_VALUE"""),"Calicat01")</f>
        <v>Calicat01</v>
      </c>
      <c r="D236" s="41" t="str">
        <f>IFERROR(__xludf.DUMMYFUNCTION("""COMPUTED_VALUE"""),"Centuriones")</f>
        <v>Centuriones</v>
      </c>
      <c r="E236" s="136">
        <f>IFERROR(__xludf.DUMMYFUNCTION("""COMPUTED_VALUE"""),31.0)</f>
        <v>31</v>
      </c>
      <c r="F236" s="136">
        <f>IFERROR(__xludf.DUMMYFUNCTION("""COMPUTED_VALUE"""),17.0)</f>
        <v>17</v>
      </c>
      <c r="G236" s="136">
        <f>IFERROR(__xludf.DUMMYFUNCTION("""COMPUTED_VALUE"""),14.0)</f>
        <v>14</v>
      </c>
      <c r="H236" s="137">
        <f>IFERROR(__xludf.DUMMYFUNCTION("""COMPUTED_VALUE"""),0.5483870967741935)</f>
        <v>0.5483870968</v>
      </c>
      <c r="I236" s="136">
        <f>IFERROR(__xludf.DUMMYFUNCTION("""COMPUTED_VALUE"""),3.0)</f>
        <v>3</v>
      </c>
      <c r="J236" s="136">
        <f>IFERROR(__xludf.DUMMYFUNCTION("""COMPUTED_VALUE"""),9959.0)</f>
        <v>9959</v>
      </c>
      <c r="K236" s="136">
        <f>IFERROR(__xludf.DUMMYFUNCTION("""COMPUTED_VALUE"""),27.0)</f>
        <v>27</v>
      </c>
      <c r="L236" s="136">
        <f>IFERROR(__xludf.DUMMYFUNCTION("""COMPUTED_VALUE"""),15.0)</f>
        <v>15</v>
      </c>
      <c r="M236" s="136">
        <f>IFERROR(__xludf.DUMMYFUNCTION("""COMPUTED_VALUE"""),33.0)</f>
        <v>33</v>
      </c>
      <c r="N236" s="136">
        <f>IFERROR(__xludf.DUMMYFUNCTION("""COMPUTED_VALUE"""),88.0)</f>
        <v>88</v>
      </c>
      <c r="O236" s="138">
        <f>IFERROR(__xludf.DUMMYFUNCTION("""COMPUTED_VALUE"""),6.0)</f>
        <v>6</v>
      </c>
      <c r="P236" s="138">
        <f>IFERROR(__xludf.DUMMYFUNCTION("""COMPUTED_VALUE"""),1.0)</f>
        <v>1</v>
      </c>
      <c r="Q236" s="138">
        <f>IFERROR(__xludf.DUMMYFUNCTION("""COMPUTED_VALUE"""),0.0)</f>
        <v>0</v>
      </c>
      <c r="R236" s="138">
        <f>IFERROR(__xludf.DUMMYFUNCTION("""COMPUTED_VALUE"""),3.0)</f>
        <v>3</v>
      </c>
      <c r="S236" s="139">
        <f>IFERROR(__xludf.DUMMYFUNCTION("""COMPUTED_VALUE"""),220.0)</f>
        <v>220</v>
      </c>
      <c r="T236" s="140">
        <f>IFERROR(__xludf.DUMMYFUNCTION("""COMPUTED_VALUE"""),61.0)</f>
        <v>61</v>
      </c>
      <c r="U236" s="136">
        <f>IFERROR(__xludf.DUMMYFUNCTION("""COMPUTED_VALUE"""),23.0)</f>
        <v>23</v>
      </c>
      <c r="V236" s="136">
        <f>IFERROR(__xludf.DUMMYFUNCTION("""COMPUTED_VALUE"""),10.0)</f>
        <v>10</v>
      </c>
      <c r="W236" s="136">
        <f>IFERROR(__xludf.DUMMYFUNCTION("""COMPUTED_VALUE"""),32.0)</f>
        <v>32</v>
      </c>
      <c r="X236" s="136">
        <f>IFERROR(__xludf.DUMMYFUNCTION("""COMPUTED_VALUE"""),271.19354838709677)</f>
        <v>271.1935484</v>
      </c>
      <c r="Y236" s="141">
        <f>IFERROR(__xludf.DUMMYFUNCTION("""COMPUTED_VALUE"""),48.845806451612894)</f>
        <v>48.84580645</v>
      </c>
      <c r="Z236" s="141">
        <f>IFERROR(__xludf.DUMMYFUNCTION("""COMPUTED_VALUE"""),1662.8387096774193)</f>
        <v>1662.83871</v>
      </c>
    </row>
    <row r="237">
      <c r="A237" s="41" t="str">
        <f>IFERROR(__xludf.DUMMYFUNCTION("""COMPUTED_VALUE"""),"Elite")</f>
        <v>Elite</v>
      </c>
      <c r="B237" s="41" t="str">
        <f>IFERROR(__xludf.DUMMYFUNCTION("""COMPUTED_VALUE"""),"RSC004863")</f>
        <v>RSC004863</v>
      </c>
      <c r="C237" s="41" t="str">
        <f>IFERROR(__xludf.DUMMYFUNCTION("""COMPUTED_VALUE"""),"wicked")</f>
        <v>wicked</v>
      </c>
      <c r="D237" s="41" t="str">
        <f>IFERROR(__xludf.DUMMYFUNCTION("""COMPUTED_VALUE"""),"Despair")</f>
        <v>Despair</v>
      </c>
      <c r="E237" s="136">
        <f>IFERROR(__xludf.DUMMYFUNCTION("""COMPUTED_VALUE"""),55.0)</f>
        <v>55</v>
      </c>
      <c r="F237" s="136">
        <f>IFERROR(__xludf.DUMMYFUNCTION("""COMPUTED_VALUE"""),33.0)</f>
        <v>33</v>
      </c>
      <c r="G237" s="136">
        <f>IFERROR(__xludf.DUMMYFUNCTION("""COMPUTED_VALUE"""),22.0)</f>
        <v>22</v>
      </c>
      <c r="H237" s="137">
        <f>IFERROR(__xludf.DUMMYFUNCTION("""COMPUTED_VALUE"""),0.6)</f>
        <v>0.6</v>
      </c>
      <c r="I237" s="136">
        <f>IFERROR(__xludf.DUMMYFUNCTION("""COMPUTED_VALUE"""),16.0)</f>
        <v>16</v>
      </c>
      <c r="J237" s="136">
        <f>IFERROR(__xludf.DUMMYFUNCTION("""COMPUTED_VALUE"""),21333.0)</f>
        <v>21333</v>
      </c>
      <c r="K237" s="136">
        <f>IFERROR(__xludf.DUMMYFUNCTION("""COMPUTED_VALUE"""),60.0)</f>
        <v>60</v>
      </c>
      <c r="L237" s="136">
        <f>IFERROR(__xludf.DUMMYFUNCTION("""COMPUTED_VALUE"""),27.0)</f>
        <v>27</v>
      </c>
      <c r="M237" s="136">
        <f>IFERROR(__xludf.DUMMYFUNCTION("""COMPUTED_VALUE"""),71.0)</f>
        <v>71</v>
      </c>
      <c r="N237" s="136">
        <f>IFERROR(__xludf.DUMMYFUNCTION("""COMPUTED_VALUE"""),200.0)</f>
        <v>200</v>
      </c>
      <c r="O237" s="138">
        <f>IFERROR(__xludf.DUMMYFUNCTION("""COMPUTED_VALUE"""),13.0)</f>
        <v>13</v>
      </c>
      <c r="P237" s="138">
        <f>IFERROR(__xludf.DUMMYFUNCTION("""COMPUTED_VALUE"""),6.0)</f>
        <v>6</v>
      </c>
      <c r="Q237" s="138">
        <f>IFERROR(__xludf.DUMMYFUNCTION("""COMPUTED_VALUE"""),0.0)</f>
        <v>0</v>
      </c>
      <c r="R237" s="138">
        <f>IFERROR(__xludf.DUMMYFUNCTION("""COMPUTED_VALUE"""),6.0)</f>
        <v>6</v>
      </c>
      <c r="S237" s="139">
        <f>IFERROR(__xludf.DUMMYFUNCTION("""COMPUTED_VALUE"""),389.0)</f>
        <v>389</v>
      </c>
      <c r="T237" s="140">
        <f>IFERROR(__xludf.DUMMYFUNCTION("""COMPUTED_VALUE"""),122.0)</f>
        <v>122</v>
      </c>
      <c r="U237" s="136">
        <f>IFERROR(__xludf.DUMMYFUNCTION("""COMPUTED_VALUE"""),48.0)</f>
        <v>48</v>
      </c>
      <c r="V237" s="136">
        <f>IFERROR(__xludf.DUMMYFUNCTION("""COMPUTED_VALUE"""),82.0)</f>
        <v>82</v>
      </c>
      <c r="W237" s="136">
        <f>IFERROR(__xludf.DUMMYFUNCTION("""COMPUTED_VALUE"""),55.0)</f>
        <v>55</v>
      </c>
      <c r="X237" s="136">
        <f>IFERROR(__xludf.DUMMYFUNCTION("""COMPUTED_VALUE"""),433.25454545454545)</f>
        <v>433.2545455</v>
      </c>
      <c r="Y237" s="141">
        <f>IFERROR(__xludf.DUMMYFUNCTION("""COMPUTED_VALUE"""),54.49163636363635)</f>
        <v>54.49163636</v>
      </c>
      <c r="Z237" s="141">
        <f>IFERROR(__xludf.DUMMYFUNCTION("""COMPUTED_VALUE"""),2664.2)</f>
        <v>2664.2</v>
      </c>
    </row>
    <row r="238">
      <c r="A238" s="41" t="str">
        <f>IFERROR(__xludf.DUMMYFUNCTION("""COMPUTED_VALUE"""),"Veteran")</f>
        <v>Veteran</v>
      </c>
      <c r="B238" s="41" t="str">
        <f>IFERROR(__xludf.DUMMYFUNCTION("""COMPUTED_VALUE"""),"RSC004872")</f>
        <v>RSC004872</v>
      </c>
      <c r="C238" s="41" t="str">
        <f>IFERROR(__xludf.DUMMYFUNCTION("""COMPUTED_VALUE"""),"JustLaben")</f>
        <v>JustLaben</v>
      </c>
      <c r="D238" s="41" t="str">
        <f>IFERROR(__xludf.DUMMYFUNCTION("""COMPUTED_VALUE"""),"Cannoli")</f>
        <v>Cannoli</v>
      </c>
      <c r="E238" s="136">
        <f>IFERROR(__xludf.DUMMYFUNCTION("""COMPUTED_VALUE"""),44.0)</f>
        <v>44</v>
      </c>
      <c r="F238" s="136">
        <f>IFERROR(__xludf.DUMMYFUNCTION("""COMPUTED_VALUE"""),22.0)</f>
        <v>22</v>
      </c>
      <c r="G238" s="136">
        <f>IFERROR(__xludf.DUMMYFUNCTION("""COMPUTED_VALUE"""),22.0)</f>
        <v>22</v>
      </c>
      <c r="H238" s="137">
        <f>IFERROR(__xludf.DUMMYFUNCTION("""COMPUTED_VALUE"""),0.5)</f>
        <v>0.5</v>
      </c>
      <c r="I238" s="136">
        <f>IFERROR(__xludf.DUMMYFUNCTION("""COMPUTED_VALUE"""),5.0)</f>
        <v>5</v>
      </c>
      <c r="J238" s="136">
        <f>IFERROR(__xludf.DUMMYFUNCTION("""COMPUTED_VALUE"""),15570.0)</f>
        <v>15570</v>
      </c>
      <c r="K238" s="136">
        <f>IFERROR(__xludf.DUMMYFUNCTION("""COMPUTED_VALUE"""),36.0)</f>
        <v>36</v>
      </c>
      <c r="L238" s="136">
        <f>IFERROR(__xludf.DUMMYFUNCTION("""COMPUTED_VALUE"""),22.0)</f>
        <v>22</v>
      </c>
      <c r="M238" s="136">
        <f>IFERROR(__xludf.DUMMYFUNCTION("""COMPUTED_VALUE"""),59.0)</f>
        <v>59</v>
      </c>
      <c r="N238" s="136">
        <f>IFERROR(__xludf.DUMMYFUNCTION("""COMPUTED_VALUE"""),114.0)</f>
        <v>114</v>
      </c>
      <c r="O238" s="138">
        <f>IFERROR(__xludf.DUMMYFUNCTION("""COMPUTED_VALUE"""),8.0)</f>
        <v>8</v>
      </c>
      <c r="P238" s="138">
        <f>IFERROR(__xludf.DUMMYFUNCTION("""COMPUTED_VALUE"""),1.0)</f>
        <v>1</v>
      </c>
      <c r="Q238" s="138">
        <f>IFERROR(__xludf.DUMMYFUNCTION("""COMPUTED_VALUE"""),1.0)</f>
        <v>1</v>
      </c>
      <c r="R238" s="138">
        <f>IFERROR(__xludf.DUMMYFUNCTION("""COMPUTED_VALUE"""),8.0)</f>
        <v>8</v>
      </c>
      <c r="S238" s="139">
        <f>IFERROR(__xludf.DUMMYFUNCTION("""COMPUTED_VALUE"""),366.0)</f>
        <v>366</v>
      </c>
      <c r="T238" s="140">
        <f>IFERROR(__xludf.DUMMYFUNCTION("""COMPUTED_VALUE"""),113.0)</f>
        <v>113</v>
      </c>
      <c r="U238" s="136">
        <f>IFERROR(__xludf.DUMMYFUNCTION("""COMPUTED_VALUE"""),38.0)</f>
        <v>38</v>
      </c>
      <c r="V238" s="136">
        <f>IFERROR(__xludf.DUMMYFUNCTION("""COMPUTED_VALUE"""),30.0)</f>
        <v>30</v>
      </c>
      <c r="W238" s="136">
        <f>IFERROR(__xludf.DUMMYFUNCTION("""COMPUTED_VALUE"""),46.0)</f>
        <v>46</v>
      </c>
      <c r="X238" s="136">
        <f>IFERROR(__xludf.DUMMYFUNCTION("""COMPUTED_VALUE"""),338.6136363636364)</f>
        <v>338.6136364</v>
      </c>
      <c r="Y238" s="141">
        <f>IFERROR(__xludf.DUMMYFUNCTION("""COMPUTED_VALUE"""),49.00386363636365)</f>
        <v>49.00386364</v>
      </c>
      <c r="Z238" s="141">
        <f>IFERROR(__xludf.DUMMYFUNCTION("""COMPUTED_VALUE"""),2150.681818181818)</f>
        <v>2150.681818</v>
      </c>
    </row>
    <row r="239">
      <c r="A239" s="41" t="str">
        <f>IFERROR(__xludf.DUMMYFUNCTION("""COMPUTED_VALUE"""),"Prospect")</f>
        <v>Prospect</v>
      </c>
      <c r="B239" s="41" t="str">
        <f>IFERROR(__xludf.DUMMYFUNCTION("""COMPUTED_VALUE"""),"RSC004879")</f>
        <v>RSC004879</v>
      </c>
      <c r="C239" s="41" t="str">
        <f>IFERROR(__xludf.DUMMYFUNCTION("""COMPUTED_VALUE"""),"DefNotMongo.")</f>
        <v>DefNotMongo.</v>
      </c>
      <c r="D239" s="41" t="str">
        <f>IFERROR(__xludf.DUMMYFUNCTION("""COMPUTED_VALUE"""),"Skeletons
Turbulence")</f>
        <v>Skeletons
Turbulence</v>
      </c>
      <c r="E239" s="136">
        <f>IFERROR(__xludf.DUMMYFUNCTION("""COMPUTED_VALUE"""),21.0)</f>
        <v>21</v>
      </c>
      <c r="F239" s="136">
        <f>IFERROR(__xludf.DUMMYFUNCTION("""COMPUTED_VALUE"""),8.0)</f>
        <v>8</v>
      </c>
      <c r="G239" s="136">
        <f>IFERROR(__xludf.DUMMYFUNCTION("""COMPUTED_VALUE"""),13.0)</f>
        <v>13</v>
      </c>
      <c r="H239" s="137">
        <f>IFERROR(__xludf.DUMMYFUNCTION("""COMPUTED_VALUE"""),0.38095238095238093)</f>
        <v>0.380952381</v>
      </c>
      <c r="I239" s="136">
        <f>IFERROR(__xludf.DUMMYFUNCTION("""COMPUTED_VALUE"""),3.0)</f>
        <v>3</v>
      </c>
      <c r="J239" s="136">
        <f>IFERROR(__xludf.DUMMYFUNCTION("""COMPUTED_VALUE"""),6567.0)</f>
        <v>6567</v>
      </c>
      <c r="K239" s="136">
        <f>IFERROR(__xludf.DUMMYFUNCTION("""COMPUTED_VALUE"""),15.0)</f>
        <v>15</v>
      </c>
      <c r="L239" s="136">
        <f>IFERROR(__xludf.DUMMYFUNCTION("""COMPUTED_VALUE"""),8.0)</f>
        <v>8</v>
      </c>
      <c r="M239" s="136">
        <f>IFERROR(__xludf.DUMMYFUNCTION("""COMPUTED_VALUE"""),24.0)</f>
        <v>24</v>
      </c>
      <c r="N239" s="136">
        <f>IFERROR(__xludf.DUMMYFUNCTION("""COMPUTED_VALUE"""),39.0)</f>
        <v>39</v>
      </c>
      <c r="O239" s="138">
        <f>IFERROR(__xludf.DUMMYFUNCTION("""COMPUTED_VALUE"""),1.0)</f>
        <v>1</v>
      </c>
      <c r="P239" s="138">
        <f>IFERROR(__xludf.DUMMYFUNCTION("""COMPUTED_VALUE"""),2.0)</f>
        <v>2</v>
      </c>
      <c r="Q239" s="138">
        <f>IFERROR(__xludf.DUMMYFUNCTION("""COMPUTED_VALUE"""),1.0)</f>
        <v>1</v>
      </c>
      <c r="R239" s="138">
        <f>IFERROR(__xludf.DUMMYFUNCTION("""COMPUTED_VALUE"""),4.0)</f>
        <v>4</v>
      </c>
      <c r="S239" s="139">
        <f>IFERROR(__xludf.DUMMYFUNCTION("""COMPUTED_VALUE"""),168.0)</f>
        <v>168</v>
      </c>
      <c r="T239" s="140">
        <f>IFERROR(__xludf.DUMMYFUNCTION("""COMPUTED_VALUE"""),58.0)</f>
        <v>58</v>
      </c>
      <c r="U239" s="136">
        <f>IFERROR(__xludf.DUMMYFUNCTION("""COMPUTED_VALUE"""),19.0)</f>
        <v>19</v>
      </c>
      <c r="V239" s="136">
        <f>IFERROR(__xludf.DUMMYFUNCTION("""COMPUTED_VALUE"""),14.0)</f>
        <v>14</v>
      </c>
      <c r="W239" s="136">
        <f>IFERROR(__xludf.DUMMYFUNCTION("""COMPUTED_VALUE"""),22.0)</f>
        <v>22</v>
      </c>
      <c r="X239" s="136">
        <f>IFERROR(__xludf.DUMMYFUNCTION("""COMPUTED_VALUE"""),259.0952380952381)</f>
        <v>259.0952381</v>
      </c>
      <c r="Y239" s="141">
        <f>IFERROR(__xludf.DUMMYFUNCTION("""COMPUTED_VALUE"""),49.77761904761904)</f>
        <v>49.77761905</v>
      </c>
      <c r="Z239" s="141">
        <f>IFERROR(__xludf.DUMMYFUNCTION("""COMPUTED_VALUE"""),1645.7619047619048)</f>
        <v>1645.761905</v>
      </c>
    </row>
    <row r="240">
      <c r="A240" s="41" t="str">
        <f>IFERROR(__xludf.DUMMYFUNCTION("""COMPUTED_VALUE"""),"Rival")</f>
        <v>Rival</v>
      </c>
      <c r="B240" s="41" t="str">
        <f>IFERROR(__xludf.DUMMYFUNCTION("""COMPUTED_VALUE"""),"RSC004888")</f>
        <v>RSC004888</v>
      </c>
      <c r="C240" s="41" t="str">
        <f>IFERROR(__xludf.DUMMYFUNCTION("""COMPUTED_VALUE"""),"AgentAnime07")</f>
        <v>AgentAnime07</v>
      </c>
      <c r="D240" s="41" t="str">
        <f>IFERROR(__xludf.DUMMYFUNCTION("""COMPUTED_VALUE"""),"Polar Bears")</f>
        <v>Polar Bears</v>
      </c>
      <c r="E240" s="136">
        <f>IFERROR(__xludf.DUMMYFUNCTION("""COMPUTED_VALUE"""),39.0)</f>
        <v>39</v>
      </c>
      <c r="F240" s="136">
        <f>IFERROR(__xludf.DUMMYFUNCTION("""COMPUTED_VALUE"""),19.0)</f>
        <v>19</v>
      </c>
      <c r="G240" s="136">
        <f>IFERROR(__xludf.DUMMYFUNCTION("""COMPUTED_VALUE"""),20.0)</f>
        <v>20</v>
      </c>
      <c r="H240" s="137">
        <f>IFERROR(__xludf.DUMMYFUNCTION("""COMPUTED_VALUE"""),0.48717948717948717)</f>
        <v>0.4871794872</v>
      </c>
      <c r="I240" s="136">
        <f>IFERROR(__xludf.DUMMYFUNCTION("""COMPUTED_VALUE"""),8.0)</f>
        <v>8</v>
      </c>
      <c r="J240" s="136">
        <f>IFERROR(__xludf.DUMMYFUNCTION("""COMPUTED_VALUE"""),14048.0)</f>
        <v>14048</v>
      </c>
      <c r="K240" s="136">
        <f>IFERROR(__xludf.DUMMYFUNCTION("""COMPUTED_VALUE"""),28.0)</f>
        <v>28</v>
      </c>
      <c r="L240" s="136">
        <f>IFERROR(__xludf.DUMMYFUNCTION("""COMPUTED_VALUE"""),17.0)</f>
        <v>17</v>
      </c>
      <c r="M240" s="136">
        <f>IFERROR(__xludf.DUMMYFUNCTION("""COMPUTED_VALUE"""),64.0)</f>
        <v>64</v>
      </c>
      <c r="N240" s="136">
        <f>IFERROR(__xludf.DUMMYFUNCTION("""COMPUTED_VALUE"""),98.0)</f>
        <v>98</v>
      </c>
      <c r="O240" s="138">
        <f>IFERROR(__xludf.DUMMYFUNCTION("""COMPUTED_VALUE"""),6.0)</f>
        <v>6</v>
      </c>
      <c r="P240" s="138">
        <f>IFERROR(__xludf.DUMMYFUNCTION("""COMPUTED_VALUE"""),2.0)</f>
        <v>2</v>
      </c>
      <c r="Q240" s="138">
        <f>IFERROR(__xludf.DUMMYFUNCTION("""COMPUTED_VALUE"""),1.0)</f>
        <v>1</v>
      </c>
      <c r="R240" s="138">
        <f>IFERROR(__xludf.DUMMYFUNCTION("""COMPUTED_VALUE"""),8.0)</f>
        <v>8</v>
      </c>
      <c r="S240" s="139">
        <f>IFERROR(__xludf.DUMMYFUNCTION("""COMPUTED_VALUE"""),341.0)</f>
        <v>341</v>
      </c>
      <c r="T240" s="140">
        <f>IFERROR(__xludf.DUMMYFUNCTION("""COMPUTED_VALUE"""),85.0)</f>
        <v>85</v>
      </c>
      <c r="U240" s="136">
        <f>IFERROR(__xludf.DUMMYFUNCTION("""COMPUTED_VALUE"""),23.0)</f>
        <v>23</v>
      </c>
      <c r="V240" s="136">
        <f>IFERROR(__xludf.DUMMYFUNCTION("""COMPUTED_VALUE"""),38.0)</f>
        <v>38</v>
      </c>
      <c r="W240" s="136">
        <f>IFERROR(__xludf.DUMMYFUNCTION("""COMPUTED_VALUE"""),36.0)</f>
        <v>36</v>
      </c>
      <c r="X240" s="136">
        <f>IFERROR(__xludf.DUMMYFUNCTION("""COMPUTED_VALUE"""),364.02564102564105)</f>
        <v>364.025641</v>
      </c>
      <c r="Y240" s="141">
        <f>IFERROR(__xludf.DUMMYFUNCTION("""COMPUTED_VALUE"""),43.23794871794871)</f>
        <v>43.23794872</v>
      </c>
      <c r="Z240" s="141">
        <f>IFERROR(__xludf.DUMMYFUNCTION("""COMPUTED_VALUE"""),2150.2820512820513)</f>
        <v>2150.282051</v>
      </c>
    </row>
    <row r="241">
      <c r="A241" s="41" t="str">
        <f>IFERROR(__xludf.DUMMYFUNCTION("""COMPUTED_VALUE"""),"Elite")</f>
        <v>Elite</v>
      </c>
      <c r="B241" s="41" t="str">
        <f>IFERROR(__xludf.DUMMYFUNCTION("""COMPUTED_VALUE"""),"RSC004889")</f>
        <v>RSC004889</v>
      </c>
      <c r="C241" s="41" t="str">
        <f>IFERROR(__xludf.DUMMYFUNCTION("""COMPUTED_VALUE"""),"Steeltoehammer")</f>
        <v>Steeltoehammer</v>
      </c>
      <c r="D241" s="41" t="str">
        <f>IFERROR(__xludf.DUMMYFUNCTION("""COMPUTED_VALUE"""),"Commanders")</f>
        <v>Commanders</v>
      </c>
      <c r="E241" s="136">
        <f>IFERROR(__xludf.DUMMYFUNCTION("""COMPUTED_VALUE"""),8.0)</f>
        <v>8</v>
      </c>
      <c r="F241" s="136">
        <f>IFERROR(__xludf.DUMMYFUNCTION("""COMPUTED_VALUE"""),4.0)</f>
        <v>4</v>
      </c>
      <c r="G241" s="136">
        <f>IFERROR(__xludf.DUMMYFUNCTION("""COMPUTED_VALUE"""),4.0)</f>
        <v>4</v>
      </c>
      <c r="H241" s="137">
        <f>IFERROR(__xludf.DUMMYFUNCTION("""COMPUTED_VALUE"""),0.5)</f>
        <v>0.5</v>
      </c>
      <c r="I241" s="136">
        <f>IFERROR(__xludf.DUMMYFUNCTION("""COMPUTED_VALUE"""),1.0)</f>
        <v>1</v>
      </c>
      <c r="J241" s="136">
        <f>IFERROR(__xludf.DUMMYFUNCTION("""COMPUTED_VALUE"""),3101.0)</f>
        <v>3101</v>
      </c>
      <c r="K241" s="136">
        <f>IFERROR(__xludf.DUMMYFUNCTION("""COMPUTED_VALUE"""),8.0)</f>
        <v>8</v>
      </c>
      <c r="L241" s="136">
        <f>IFERROR(__xludf.DUMMYFUNCTION("""COMPUTED_VALUE"""),6.0)</f>
        <v>6</v>
      </c>
      <c r="M241" s="136">
        <f>IFERROR(__xludf.DUMMYFUNCTION("""COMPUTED_VALUE"""),9.0)</f>
        <v>9</v>
      </c>
      <c r="N241" s="136">
        <f>IFERROR(__xludf.DUMMYFUNCTION("""COMPUTED_VALUE"""),20.0)</f>
        <v>20</v>
      </c>
      <c r="O241" s="138">
        <f>IFERROR(__xludf.DUMMYFUNCTION("""COMPUTED_VALUE"""),3.0)</f>
        <v>3</v>
      </c>
      <c r="P241" s="138">
        <f>IFERROR(__xludf.DUMMYFUNCTION("""COMPUTED_VALUE"""),1.0)</f>
        <v>1</v>
      </c>
      <c r="Q241" s="138">
        <f>IFERROR(__xludf.DUMMYFUNCTION("""COMPUTED_VALUE"""),0.0)</f>
        <v>0</v>
      </c>
      <c r="R241" s="138">
        <f>IFERROR(__xludf.DUMMYFUNCTION("""COMPUTED_VALUE"""),1.0)</f>
        <v>1</v>
      </c>
      <c r="S241" s="139">
        <f>IFERROR(__xludf.DUMMYFUNCTION("""COMPUTED_VALUE"""),78.0)</f>
        <v>78</v>
      </c>
      <c r="T241" s="140">
        <f>IFERROR(__xludf.DUMMYFUNCTION("""COMPUTED_VALUE"""),28.0)</f>
        <v>28</v>
      </c>
      <c r="U241" s="136">
        <f>IFERROR(__xludf.DUMMYFUNCTION("""COMPUTED_VALUE"""),10.0)</f>
        <v>10</v>
      </c>
      <c r="V241" s="136">
        <f>IFERROR(__xludf.DUMMYFUNCTION("""COMPUTED_VALUE"""),7.0)</f>
        <v>7</v>
      </c>
      <c r="W241" s="136">
        <f>IFERROR(__xludf.DUMMYFUNCTION("""COMPUTED_VALUE"""),7.0)</f>
        <v>7</v>
      </c>
      <c r="X241" s="136">
        <f>IFERROR(__xludf.DUMMYFUNCTION("""COMPUTED_VALUE"""),276.875)</f>
        <v>276.875</v>
      </c>
      <c r="Y241" s="141">
        <f>IFERROR(__xludf.DUMMYFUNCTION("""COMPUTED_VALUE"""),47.565)</f>
        <v>47.565</v>
      </c>
      <c r="Z241" s="141">
        <f>IFERROR(__xludf.DUMMYFUNCTION("""COMPUTED_VALUE"""),1794.75)</f>
        <v>1794.75</v>
      </c>
    </row>
    <row r="242">
      <c r="A242" s="41" t="str">
        <f>IFERROR(__xludf.DUMMYFUNCTION("""COMPUTED_VALUE"""),"Elite")</f>
        <v>Elite</v>
      </c>
      <c r="B242" s="41" t="str">
        <f>IFERROR(__xludf.DUMMYFUNCTION("""COMPUTED_VALUE"""),"RSC004917")</f>
        <v>RSC004917</v>
      </c>
      <c r="C242" s="41" t="str">
        <f>IFERROR(__xludf.DUMMYFUNCTION("""COMPUTED_VALUE"""),"Nahzey")</f>
        <v>Nahzey</v>
      </c>
      <c r="D242" s="41" t="str">
        <f>IFERROR(__xludf.DUMMYFUNCTION("""COMPUTED_VALUE"""),"Immortals
Afterburners")</f>
        <v>Immortals
Afterburners</v>
      </c>
      <c r="E242" s="136">
        <f>IFERROR(__xludf.DUMMYFUNCTION("""COMPUTED_VALUE"""),54.0)</f>
        <v>54</v>
      </c>
      <c r="F242" s="136">
        <f>IFERROR(__xludf.DUMMYFUNCTION("""COMPUTED_VALUE"""),30.0)</f>
        <v>30</v>
      </c>
      <c r="G242" s="136">
        <f>IFERROR(__xludf.DUMMYFUNCTION("""COMPUTED_VALUE"""),24.0)</f>
        <v>24</v>
      </c>
      <c r="H242" s="137">
        <f>IFERROR(__xludf.DUMMYFUNCTION("""COMPUTED_VALUE"""),0.5555555555555556)</f>
        <v>0.5555555556</v>
      </c>
      <c r="I242" s="136">
        <f>IFERROR(__xludf.DUMMYFUNCTION("""COMPUTED_VALUE"""),13.0)</f>
        <v>13</v>
      </c>
      <c r="J242" s="136">
        <f>IFERROR(__xludf.DUMMYFUNCTION("""COMPUTED_VALUE"""),20957.0)</f>
        <v>20957</v>
      </c>
      <c r="K242" s="136">
        <f>IFERROR(__xludf.DUMMYFUNCTION("""COMPUTED_VALUE"""),55.0)</f>
        <v>55</v>
      </c>
      <c r="L242" s="136">
        <f>IFERROR(__xludf.DUMMYFUNCTION("""COMPUTED_VALUE"""),35.0)</f>
        <v>35</v>
      </c>
      <c r="M242" s="136">
        <f>IFERROR(__xludf.DUMMYFUNCTION("""COMPUTED_VALUE"""),80.0)</f>
        <v>80</v>
      </c>
      <c r="N242" s="136">
        <f>IFERROR(__xludf.DUMMYFUNCTION("""COMPUTED_VALUE"""),157.0)</f>
        <v>157</v>
      </c>
      <c r="O242" s="138">
        <f>IFERROR(__xludf.DUMMYFUNCTION("""COMPUTED_VALUE"""),12.0)</f>
        <v>12</v>
      </c>
      <c r="P242" s="138">
        <f>IFERROR(__xludf.DUMMYFUNCTION("""COMPUTED_VALUE"""),4.0)</f>
        <v>4</v>
      </c>
      <c r="Q242" s="138">
        <f>IFERROR(__xludf.DUMMYFUNCTION("""COMPUTED_VALUE"""),2.0)</f>
        <v>2</v>
      </c>
      <c r="R242" s="138">
        <f>IFERROR(__xludf.DUMMYFUNCTION("""COMPUTED_VALUE"""),12.0)</f>
        <v>12</v>
      </c>
      <c r="S242" s="139">
        <f>IFERROR(__xludf.DUMMYFUNCTION("""COMPUTED_VALUE"""),434.0)</f>
        <v>434</v>
      </c>
      <c r="T242" s="140">
        <f>IFERROR(__xludf.DUMMYFUNCTION("""COMPUTED_VALUE"""),117.0)</f>
        <v>117</v>
      </c>
      <c r="U242" s="136">
        <f>IFERROR(__xludf.DUMMYFUNCTION("""COMPUTED_VALUE"""),46.0)</f>
        <v>46</v>
      </c>
      <c r="V242" s="136">
        <f>IFERROR(__xludf.DUMMYFUNCTION("""COMPUTED_VALUE"""),74.0)</f>
        <v>74</v>
      </c>
      <c r="W242" s="136">
        <f>IFERROR(__xludf.DUMMYFUNCTION("""COMPUTED_VALUE"""),60.0)</f>
        <v>60</v>
      </c>
      <c r="X242" s="136">
        <f>IFERROR(__xludf.DUMMYFUNCTION("""COMPUTED_VALUE"""),442.01851851851853)</f>
        <v>442.0185185</v>
      </c>
      <c r="Y242" s="141">
        <f>IFERROR(__xludf.DUMMYFUNCTION("""COMPUTED_VALUE"""),46.07240740740739)</f>
        <v>46.07240741</v>
      </c>
      <c r="Z242" s="141">
        <f>IFERROR(__xludf.DUMMYFUNCTION("""COMPUTED_VALUE"""),2626.925925925926)</f>
        <v>2626.925926</v>
      </c>
    </row>
    <row r="243">
      <c r="A243" s="41" t="str">
        <f>IFERROR(__xludf.DUMMYFUNCTION("""COMPUTED_VALUE"""),"Elite")</f>
        <v>Elite</v>
      </c>
      <c r="B243" s="41" t="str">
        <f>IFERROR(__xludf.DUMMYFUNCTION("""COMPUTED_VALUE"""),"RSC004966")</f>
        <v>RSC004966</v>
      </c>
      <c r="C243" s="41" t="str">
        <f>IFERROR(__xludf.DUMMYFUNCTION("""COMPUTED_VALUE"""),"Buck")</f>
        <v>Buck</v>
      </c>
      <c r="D243" s="41" t="str">
        <f>IFERROR(__xludf.DUMMYFUNCTION("""COMPUTED_VALUE"""),"Embezzlers")</f>
        <v>Embezzlers</v>
      </c>
      <c r="E243" s="136">
        <f>IFERROR(__xludf.DUMMYFUNCTION("""COMPUTED_VALUE"""),34.0)</f>
        <v>34</v>
      </c>
      <c r="F243" s="136">
        <f>IFERROR(__xludf.DUMMYFUNCTION("""COMPUTED_VALUE"""),25.0)</f>
        <v>25</v>
      </c>
      <c r="G243" s="136">
        <f>IFERROR(__xludf.DUMMYFUNCTION("""COMPUTED_VALUE"""),9.0)</f>
        <v>9</v>
      </c>
      <c r="H243" s="137">
        <f>IFERROR(__xludf.DUMMYFUNCTION("""COMPUTED_VALUE"""),0.7352941176470589)</f>
        <v>0.7352941176</v>
      </c>
      <c r="I243" s="136">
        <f>IFERROR(__xludf.DUMMYFUNCTION("""COMPUTED_VALUE"""),10.0)</f>
        <v>10</v>
      </c>
      <c r="J243" s="136">
        <f>IFERROR(__xludf.DUMMYFUNCTION("""COMPUTED_VALUE"""),12698.0)</f>
        <v>12698</v>
      </c>
      <c r="K243" s="136">
        <f>IFERROR(__xludf.DUMMYFUNCTION("""COMPUTED_VALUE"""),38.0)</f>
        <v>38</v>
      </c>
      <c r="L243" s="136">
        <f>IFERROR(__xludf.DUMMYFUNCTION("""COMPUTED_VALUE"""),29.0)</f>
        <v>29</v>
      </c>
      <c r="M243" s="136">
        <f>IFERROR(__xludf.DUMMYFUNCTION("""COMPUTED_VALUE"""),38.0)</f>
        <v>38</v>
      </c>
      <c r="N243" s="136">
        <f>IFERROR(__xludf.DUMMYFUNCTION("""COMPUTED_VALUE"""),96.0)</f>
        <v>96</v>
      </c>
      <c r="O243" s="138">
        <f>IFERROR(__xludf.DUMMYFUNCTION("""COMPUTED_VALUE"""),12.0)</f>
        <v>12</v>
      </c>
      <c r="P243" s="138">
        <f>IFERROR(__xludf.DUMMYFUNCTION("""COMPUTED_VALUE"""),3.0)</f>
        <v>3</v>
      </c>
      <c r="Q243" s="138">
        <f>IFERROR(__xludf.DUMMYFUNCTION("""COMPUTED_VALUE"""),3.0)</f>
        <v>3</v>
      </c>
      <c r="R243" s="138">
        <f>IFERROR(__xludf.DUMMYFUNCTION("""COMPUTED_VALUE"""),3.0)</f>
        <v>3</v>
      </c>
      <c r="S243" s="139">
        <f>IFERROR(__xludf.DUMMYFUNCTION("""COMPUTED_VALUE"""),253.0)</f>
        <v>253</v>
      </c>
      <c r="T243" s="140">
        <f>IFERROR(__xludf.DUMMYFUNCTION("""COMPUTED_VALUE"""),63.0)</f>
        <v>63</v>
      </c>
      <c r="U243" s="136">
        <f>IFERROR(__xludf.DUMMYFUNCTION("""COMPUTED_VALUE"""),16.0)</f>
        <v>16</v>
      </c>
      <c r="V243" s="136">
        <f>IFERROR(__xludf.DUMMYFUNCTION("""COMPUTED_VALUE"""),32.0)</f>
        <v>32</v>
      </c>
      <c r="W243" s="136">
        <f>IFERROR(__xludf.DUMMYFUNCTION("""COMPUTED_VALUE"""),35.0)</f>
        <v>35</v>
      </c>
      <c r="X243" s="136">
        <f>IFERROR(__xludf.DUMMYFUNCTION("""COMPUTED_VALUE"""),378.0)</f>
        <v>378</v>
      </c>
      <c r="Y243" s="141">
        <f>IFERROR(__xludf.DUMMYFUNCTION("""COMPUTED_VALUE"""),51.010588235294115)</f>
        <v>51.01058824</v>
      </c>
      <c r="Z243" s="141">
        <f>IFERROR(__xludf.DUMMYFUNCTION("""COMPUTED_VALUE"""),2295.4117647058824)</f>
        <v>2295.411765</v>
      </c>
    </row>
    <row r="244">
      <c r="A244" s="41" t="str">
        <f>IFERROR(__xludf.DUMMYFUNCTION("""COMPUTED_VALUE"""),"Veteran")</f>
        <v>Veteran</v>
      </c>
      <c r="B244" s="41" t="str">
        <f>IFERROR(__xludf.DUMMYFUNCTION("""COMPUTED_VALUE"""),"RSC004970")</f>
        <v>RSC004970</v>
      </c>
      <c r="C244" s="41" t="str">
        <f>IFERROR(__xludf.DUMMYFUNCTION("""COMPUTED_VALUE"""),"Tgunn05")</f>
        <v>Tgunn05</v>
      </c>
      <c r="D244" s="41" t="str">
        <f>IFERROR(__xludf.DUMMYFUNCTION("""COMPUTED_VALUE"""),"Folks
Peppermint")</f>
        <v>Folks
Peppermint</v>
      </c>
      <c r="E244" s="136">
        <f>IFERROR(__xludf.DUMMYFUNCTION("""COMPUTED_VALUE"""),34.0)</f>
        <v>34</v>
      </c>
      <c r="F244" s="136">
        <f>IFERROR(__xludf.DUMMYFUNCTION("""COMPUTED_VALUE"""),11.0)</f>
        <v>11</v>
      </c>
      <c r="G244" s="136">
        <f>IFERROR(__xludf.DUMMYFUNCTION("""COMPUTED_VALUE"""),23.0)</f>
        <v>23</v>
      </c>
      <c r="H244" s="137">
        <f>IFERROR(__xludf.DUMMYFUNCTION("""COMPUTED_VALUE"""),0.3235294117647059)</f>
        <v>0.3235294118</v>
      </c>
      <c r="I244" s="136">
        <f>IFERROR(__xludf.DUMMYFUNCTION("""COMPUTED_VALUE"""),3.0)</f>
        <v>3</v>
      </c>
      <c r="J244" s="136">
        <f>IFERROR(__xludf.DUMMYFUNCTION("""COMPUTED_VALUE"""),9866.0)</f>
        <v>9866</v>
      </c>
      <c r="K244" s="136">
        <f>IFERROR(__xludf.DUMMYFUNCTION("""COMPUTED_VALUE"""),18.0)</f>
        <v>18</v>
      </c>
      <c r="L244" s="136">
        <f>IFERROR(__xludf.DUMMYFUNCTION("""COMPUTED_VALUE"""),14.0)</f>
        <v>14</v>
      </c>
      <c r="M244" s="136">
        <f>IFERROR(__xludf.DUMMYFUNCTION("""COMPUTED_VALUE"""),45.0)</f>
        <v>45</v>
      </c>
      <c r="N244" s="136">
        <f>IFERROR(__xludf.DUMMYFUNCTION("""COMPUTED_VALUE"""),67.0)</f>
        <v>67</v>
      </c>
      <c r="O244" s="138">
        <f>IFERROR(__xludf.DUMMYFUNCTION("""COMPUTED_VALUE"""),5.0)</f>
        <v>5</v>
      </c>
      <c r="P244" s="138">
        <f>IFERROR(__xludf.DUMMYFUNCTION("""COMPUTED_VALUE"""),0.0)</f>
        <v>0</v>
      </c>
      <c r="Q244" s="138">
        <f>IFERROR(__xludf.DUMMYFUNCTION("""COMPUTED_VALUE"""),0.0)</f>
        <v>0</v>
      </c>
      <c r="R244" s="138">
        <f>IFERROR(__xludf.DUMMYFUNCTION("""COMPUTED_VALUE"""),4.0)</f>
        <v>4</v>
      </c>
      <c r="S244" s="139">
        <f>IFERROR(__xludf.DUMMYFUNCTION("""COMPUTED_VALUE"""),319.0)</f>
        <v>319</v>
      </c>
      <c r="T244" s="140">
        <f>IFERROR(__xludf.DUMMYFUNCTION("""COMPUTED_VALUE"""),102.0)</f>
        <v>102</v>
      </c>
      <c r="U244" s="136">
        <f>IFERROR(__xludf.DUMMYFUNCTION("""COMPUTED_VALUE"""),32.0)</f>
        <v>32</v>
      </c>
      <c r="V244" s="136">
        <f>IFERROR(__xludf.DUMMYFUNCTION("""COMPUTED_VALUE"""),32.0)</f>
        <v>32</v>
      </c>
      <c r="W244" s="136">
        <f>IFERROR(__xludf.DUMMYFUNCTION("""COMPUTED_VALUE"""),37.0)</f>
        <v>37</v>
      </c>
      <c r="X244" s="136">
        <f>IFERROR(__xludf.DUMMYFUNCTION("""COMPUTED_VALUE"""),344.02941176470586)</f>
        <v>344.0294118</v>
      </c>
      <c r="Y244" s="141">
        <f>IFERROR(__xludf.DUMMYFUNCTION("""COMPUTED_VALUE"""),47.22264705882352)</f>
        <v>47.22264706</v>
      </c>
      <c r="Z244" s="141">
        <f>IFERROR(__xludf.DUMMYFUNCTION("""COMPUTED_VALUE"""),2099.5588235294117)</f>
        <v>2099.558824</v>
      </c>
    </row>
    <row r="245">
      <c r="A245" s="41" t="str">
        <f>IFERROR(__xludf.DUMMYFUNCTION("""COMPUTED_VALUE"""),"Veteran")</f>
        <v>Veteran</v>
      </c>
      <c r="B245" s="41" t="str">
        <f>IFERROR(__xludf.DUMMYFUNCTION("""COMPUTED_VALUE"""),"RSC004997")</f>
        <v>RSC004997</v>
      </c>
      <c r="C245" s="41" t="str">
        <f>IFERROR(__xludf.DUMMYFUNCTION("""COMPUTED_VALUE"""),"Evelynnx")</f>
        <v>Evelynnx</v>
      </c>
      <c r="D245" s="41" t="str">
        <f>IFERROR(__xludf.DUMMYFUNCTION("""COMPUTED_VALUE"""),"Peppermint
Avalanche
Giraffes")</f>
        <v>Peppermint
Avalanche
Giraffes</v>
      </c>
      <c r="E245" s="136">
        <f>IFERROR(__xludf.DUMMYFUNCTION("""COMPUTED_VALUE"""),9.0)</f>
        <v>9</v>
      </c>
      <c r="F245" s="136">
        <f>IFERROR(__xludf.DUMMYFUNCTION("""COMPUTED_VALUE"""),3.0)</f>
        <v>3</v>
      </c>
      <c r="G245" s="136">
        <f>IFERROR(__xludf.DUMMYFUNCTION("""COMPUTED_VALUE"""),6.0)</f>
        <v>6</v>
      </c>
      <c r="H245" s="137">
        <f>IFERROR(__xludf.DUMMYFUNCTION("""COMPUTED_VALUE"""),0.3333333333333333)</f>
        <v>0.3333333333</v>
      </c>
      <c r="I245" s="136">
        <f>IFERROR(__xludf.DUMMYFUNCTION("""COMPUTED_VALUE"""),2.0)</f>
        <v>2</v>
      </c>
      <c r="J245" s="136">
        <f>IFERROR(__xludf.DUMMYFUNCTION("""COMPUTED_VALUE"""),2899.0)</f>
        <v>2899</v>
      </c>
      <c r="K245" s="136">
        <f>IFERROR(__xludf.DUMMYFUNCTION("""COMPUTED_VALUE"""),6.0)</f>
        <v>6</v>
      </c>
      <c r="L245" s="136">
        <f>IFERROR(__xludf.DUMMYFUNCTION("""COMPUTED_VALUE"""),5.0)</f>
        <v>5</v>
      </c>
      <c r="M245" s="136">
        <f>IFERROR(__xludf.DUMMYFUNCTION("""COMPUTED_VALUE"""),14.0)</f>
        <v>14</v>
      </c>
      <c r="N245" s="136">
        <f>IFERROR(__xludf.DUMMYFUNCTION("""COMPUTED_VALUE"""),20.0)</f>
        <v>20</v>
      </c>
      <c r="O245" s="138">
        <f>IFERROR(__xludf.DUMMYFUNCTION("""COMPUTED_VALUE"""),2.0)</f>
        <v>2</v>
      </c>
      <c r="P245" s="138">
        <f>IFERROR(__xludf.DUMMYFUNCTION("""COMPUTED_VALUE"""),1.0)</f>
        <v>1</v>
      </c>
      <c r="Q245" s="138">
        <f>IFERROR(__xludf.DUMMYFUNCTION("""COMPUTED_VALUE"""),0.0)</f>
        <v>0</v>
      </c>
      <c r="R245" s="138">
        <f>IFERROR(__xludf.DUMMYFUNCTION("""COMPUTED_VALUE"""),3.0)</f>
        <v>3</v>
      </c>
      <c r="S245" s="139">
        <f>IFERROR(__xludf.DUMMYFUNCTION("""COMPUTED_VALUE"""),82.0)</f>
        <v>82</v>
      </c>
      <c r="T245" s="140">
        <f>IFERROR(__xludf.DUMMYFUNCTION("""COMPUTED_VALUE"""),28.0)</f>
        <v>28</v>
      </c>
      <c r="U245" s="136">
        <f>IFERROR(__xludf.DUMMYFUNCTION("""COMPUTED_VALUE"""),11.0)</f>
        <v>11</v>
      </c>
      <c r="V245" s="136">
        <f>IFERROR(__xludf.DUMMYFUNCTION("""COMPUTED_VALUE"""),11.0)</f>
        <v>11</v>
      </c>
      <c r="W245" s="136">
        <f>IFERROR(__xludf.DUMMYFUNCTION("""COMPUTED_VALUE"""),12.0)</f>
        <v>12</v>
      </c>
      <c r="X245" s="136"/>
      <c r="Y245" s="41"/>
      <c r="Z245" s="41"/>
    </row>
    <row r="246">
      <c r="A246" s="41" t="str">
        <f>IFERROR(__xludf.DUMMYFUNCTION("""COMPUTED_VALUE"""),"Challenger")</f>
        <v>Challenger</v>
      </c>
      <c r="B246" s="41" t="str">
        <f>IFERROR(__xludf.DUMMYFUNCTION("""COMPUTED_VALUE"""),"RSC005018")</f>
        <v>RSC005018</v>
      </c>
      <c r="C246" s="41" t="str">
        <f>IFERROR(__xludf.DUMMYFUNCTION("""COMPUTED_VALUE"""),"Smitty")</f>
        <v>Smitty</v>
      </c>
      <c r="D246" s="41" t="str">
        <f>IFERROR(__xludf.DUMMYFUNCTION("""COMPUTED_VALUE"""),"Chromatic Chaos")</f>
        <v>Chromatic Chaos</v>
      </c>
      <c r="E246" s="136">
        <f>IFERROR(__xludf.DUMMYFUNCTION("""COMPUTED_VALUE"""),25.0)</f>
        <v>25</v>
      </c>
      <c r="F246" s="136">
        <f>IFERROR(__xludf.DUMMYFUNCTION("""COMPUTED_VALUE"""),13.0)</f>
        <v>13</v>
      </c>
      <c r="G246" s="136">
        <f>IFERROR(__xludf.DUMMYFUNCTION("""COMPUTED_VALUE"""),12.0)</f>
        <v>12</v>
      </c>
      <c r="H246" s="137">
        <f>IFERROR(__xludf.DUMMYFUNCTION("""COMPUTED_VALUE"""),0.52)</f>
        <v>0.52</v>
      </c>
      <c r="I246" s="136">
        <f>IFERROR(__xludf.DUMMYFUNCTION("""COMPUTED_VALUE"""),0.0)</f>
        <v>0</v>
      </c>
      <c r="J246" s="136">
        <f>IFERROR(__xludf.DUMMYFUNCTION("""COMPUTED_VALUE"""),6805.0)</f>
        <v>6805</v>
      </c>
      <c r="K246" s="136">
        <f>IFERROR(__xludf.DUMMYFUNCTION("""COMPUTED_VALUE"""),14.0)</f>
        <v>14</v>
      </c>
      <c r="L246" s="136">
        <f>IFERROR(__xludf.DUMMYFUNCTION("""COMPUTED_VALUE"""),7.0)</f>
        <v>7</v>
      </c>
      <c r="M246" s="136">
        <f>IFERROR(__xludf.DUMMYFUNCTION("""COMPUTED_VALUE"""),29.0)</f>
        <v>29</v>
      </c>
      <c r="N246" s="136">
        <f>IFERROR(__xludf.DUMMYFUNCTION("""COMPUTED_VALUE"""),45.0)</f>
        <v>45</v>
      </c>
      <c r="O246" s="138">
        <f>IFERROR(__xludf.DUMMYFUNCTION("""COMPUTED_VALUE"""),1.0)</f>
        <v>1</v>
      </c>
      <c r="P246" s="138">
        <f>IFERROR(__xludf.DUMMYFUNCTION("""COMPUTED_VALUE"""),0.0)</f>
        <v>0</v>
      </c>
      <c r="Q246" s="138">
        <f>IFERROR(__xludf.DUMMYFUNCTION("""COMPUTED_VALUE"""),0.0)</f>
        <v>0</v>
      </c>
      <c r="R246" s="138">
        <f>IFERROR(__xludf.DUMMYFUNCTION("""COMPUTED_VALUE"""),4.0)</f>
        <v>4</v>
      </c>
      <c r="S246" s="139">
        <f>IFERROR(__xludf.DUMMYFUNCTION("""COMPUTED_VALUE"""),173.0)</f>
        <v>173</v>
      </c>
      <c r="T246" s="140">
        <f>IFERROR(__xludf.DUMMYFUNCTION("""COMPUTED_VALUE"""),50.0)</f>
        <v>50</v>
      </c>
      <c r="U246" s="136">
        <f>IFERROR(__xludf.DUMMYFUNCTION("""COMPUTED_VALUE"""),16.0)</f>
        <v>16</v>
      </c>
      <c r="V246" s="136">
        <f>IFERROR(__xludf.DUMMYFUNCTION("""COMPUTED_VALUE"""),29.0)</f>
        <v>29</v>
      </c>
      <c r="W246" s="136">
        <f>IFERROR(__xludf.DUMMYFUNCTION("""COMPUTED_VALUE"""),21.0)</f>
        <v>21</v>
      </c>
      <c r="X246" s="136">
        <f>IFERROR(__xludf.DUMMYFUNCTION("""COMPUTED_VALUE"""),333.16)</f>
        <v>333.16</v>
      </c>
      <c r="Y246" s="141">
        <f>IFERROR(__xludf.DUMMYFUNCTION("""COMPUTED_VALUE"""),45.8768)</f>
        <v>45.8768</v>
      </c>
      <c r="Z246" s="141">
        <f>IFERROR(__xludf.DUMMYFUNCTION("""COMPUTED_VALUE"""),1981.24)</f>
        <v>1981.24</v>
      </c>
    </row>
    <row r="247">
      <c r="A247" s="41" t="str">
        <f>IFERROR(__xludf.DUMMYFUNCTION("""COMPUTED_VALUE"""),"Master")</f>
        <v>Master</v>
      </c>
      <c r="B247" s="41" t="str">
        <f>IFERROR(__xludf.DUMMYFUNCTION("""COMPUTED_VALUE"""),"RSC005024")</f>
        <v>RSC005024</v>
      </c>
      <c r="C247" s="41" t="str">
        <f>IFERROR(__xludf.DUMMYFUNCTION("""COMPUTED_VALUE"""),"SSpekky")</f>
        <v>SSpekky</v>
      </c>
      <c r="D247" s="41" t="str">
        <f>IFERROR(__xludf.DUMMYFUNCTION("""COMPUTED_VALUE"""),"Reapers")</f>
        <v>Reapers</v>
      </c>
      <c r="E247" s="136">
        <f>IFERROR(__xludf.DUMMYFUNCTION("""COMPUTED_VALUE"""),48.0)</f>
        <v>48</v>
      </c>
      <c r="F247" s="136">
        <f>IFERROR(__xludf.DUMMYFUNCTION("""COMPUTED_VALUE"""),25.0)</f>
        <v>25</v>
      </c>
      <c r="G247" s="136">
        <f>IFERROR(__xludf.DUMMYFUNCTION("""COMPUTED_VALUE"""),23.0)</f>
        <v>23</v>
      </c>
      <c r="H247" s="137">
        <f>IFERROR(__xludf.DUMMYFUNCTION("""COMPUTED_VALUE"""),0.5208333333333334)</f>
        <v>0.5208333333</v>
      </c>
      <c r="I247" s="136">
        <f>IFERROR(__xludf.DUMMYFUNCTION("""COMPUTED_VALUE"""),10.0)</f>
        <v>10</v>
      </c>
      <c r="J247" s="136">
        <f>IFERROR(__xludf.DUMMYFUNCTION("""COMPUTED_VALUE"""),15021.0)</f>
        <v>15021</v>
      </c>
      <c r="K247" s="136">
        <f>IFERROR(__xludf.DUMMYFUNCTION("""COMPUTED_VALUE"""),35.0)</f>
        <v>35</v>
      </c>
      <c r="L247" s="136">
        <f>IFERROR(__xludf.DUMMYFUNCTION("""COMPUTED_VALUE"""),20.0)</f>
        <v>20</v>
      </c>
      <c r="M247" s="136">
        <f>IFERROR(__xludf.DUMMYFUNCTION("""COMPUTED_VALUE"""),56.0)</f>
        <v>56</v>
      </c>
      <c r="N247" s="136">
        <f>IFERROR(__xludf.DUMMYFUNCTION("""COMPUTED_VALUE"""),117.0)</f>
        <v>117</v>
      </c>
      <c r="O247" s="138">
        <f>IFERROR(__xludf.DUMMYFUNCTION("""COMPUTED_VALUE"""),6.0)</f>
        <v>6</v>
      </c>
      <c r="P247" s="138">
        <f>IFERROR(__xludf.DUMMYFUNCTION("""COMPUTED_VALUE"""),4.0)</f>
        <v>4</v>
      </c>
      <c r="Q247" s="138">
        <f>IFERROR(__xludf.DUMMYFUNCTION("""COMPUTED_VALUE"""),0.0)</f>
        <v>0</v>
      </c>
      <c r="R247" s="138">
        <f>IFERROR(__xludf.DUMMYFUNCTION("""COMPUTED_VALUE"""),5.0)</f>
        <v>5</v>
      </c>
      <c r="S247" s="139">
        <f>IFERROR(__xludf.DUMMYFUNCTION("""COMPUTED_VALUE"""),309.0)</f>
        <v>309</v>
      </c>
      <c r="T247" s="140">
        <f>IFERROR(__xludf.DUMMYFUNCTION("""COMPUTED_VALUE"""),97.0)</f>
        <v>97</v>
      </c>
      <c r="U247" s="136">
        <f>IFERROR(__xludf.DUMMYFUNCTION("""COMPUTED_VALUE"""),35.0)</f>
        <v>35</v>
      </c>
      <c r="V247" s="136">
        <f>IFERROR(__xludf.DUMMYFUNCTION("""COMPUTED_VALUE"""),33.0)</f>
        <v>33</v>
      </c>
      <c r="W247" s="136">
        <f>IFERROR(__xludf.DUMMYFUNCTION("""COMPUTED_VALUE"""),55.0)</f>
        <v>55</v>
      </c>
      <c r="X247" s="136">
        <f>IFERROR(__xludf.DUMMYFUNCTION("""COMPUTED_VALUE"""),369.6136363636364)</f>
        <v>369.6136364</v>
      </c>
      <c r="Y247" s="141">
        <f>IFERROR(__xludf.DUMMYFUNCTION("""COMPUTED_VALUE"""),48.319545454545455)</f>
        <v>48.31954545</v>
      </c>
      <c r="Z247" s="141">
        <f>IFERROR(__xludf.DUMMYFUNCTION("""COMPUTED_VALUE"""),2195.2045454545455)</f>
        <v>2195.204545</v>
      </c>
    </row>
    <row r="248">
      <c r="A248" s="41" t="str">
        <f>IFERROR(__xludf.DUMMYFUNCTION("""COMPUTED_VALUE"""),"Rival")</f>
        <v>Rival</v>
      </c>
      <c r="B248" s="41" t="str">
        <f>IFERROR(__xludf.DUMMYFUNCTION("""COMPUTED_VALUE"""),"RSC005059")</f>
        <v>RSC005059</v>
      </c>
      <c r="C248" s="41" t="str">
        <f>IFERROR(__xludf.DUMMYFUNCTION("""COMPUTED_VALUE"""),"t4")</f>
        <v>t4</v>
      </c>
      <c r="D248" s="41" t="str">
        <f>IFERROR(__xludf.DUMMYFUNCTION("""COMPUTED_VALUE"""),"Hippos")</f>
        <v>Hippos</v>
      </c>
      <c r="E248" s="136">
        <f>IFERROR(__xludf.DUMMYFUNCTION("""COMPUTED_VALUE"""),27.0)</f>
        <v>27</v>
      </c>
      <c r="F248" s="136">
        <f>IFERROR(__xludf.DUMMYFUNCTION("""COMPUTED_VALUE"""),21.0)</f>
        <v>21</v>
      </c>
      <c r="G248" s="136">
        <f>IFERROR(__xludf.DUMMYFUNCTION("""COMPUTED_VALUE"""),6.0)</f>
        <v>6</v>
      </c>
      <c r="H248" s="137">
        <f>IFERROR(__xludf.DUMMYFUNCTION("""COMPUTED_VALUE"""),0.7777777777777778)</f>
        <v>0.7777777778</v>
      </c>
      <c r="I248" s="136">
        <f>IFERROR(__xludf.DUMMYFUNCTION("""COMPUTED_VALUE"""),2.0)</f>
        <v>2</v>
      </c>
      <c r="J248" s="136">
        <f>IFERROR(__xludf.DUMMYFUNCTION("""COMPUTED_VALUE"""),8843.0)</f>
        <v>8843</v>
      </c>
      <c r="K248" s="136">
        <f>IFERROR(__xludf.DUMMYFUNCTION("""COMPUTED_VALUE"""),28.0)</f>
        <v>28</v>
      </c>
      <c r="L248" s="136">
        <f>IFERROR(__xludf.DUMMYFUNCTION("""COMPUTED_VALUE"""),12.0)</f>
        <v>12</v>
      </c>
      <c r="M248" s="136">
        <f>IFERROR(__xludf.DUMMYFUNCTION("""COMPUTED_VALUE"""),24.0)</f>
        <v>24</v>
      </c>
      <c r="N248" s="136">
        <f>IFERROR(__xludf.DUMMYFUNCTION("""COMPUTED_VALUE"""),79.0)</f>
        <v>79</v>
      </c>
      <c r="O248" s="138">
        <f>IFERROR(__xludf.DUMMYFUNCTION("""COMPUTED_VALUE"""),2.0)</f>
        <v>2</v>
      </c>
      <c r="P248" s="138">
        <f>IFERROR(__xludf.DUMMYFUNCTION("""COMPUTED_VALUE"""),2.0)</f>
        <v>2</v>
      </c>
      <c r="Q248" s="138">
        <f>IFERROR(__xludf.DUMMYFUNCTION("""COMPUTED_VALUE"""),0.0)</f>
        <v>0</v>
      </c>
      <c r="R248" s="138">
        <f>IFERROR(__xludf.DUMMYFUNCTION("""COMPUTED_VALUE"""),0.0)</f>
        <v>0</v>
      </c>
      <c r="S248" s="139">
        <f>IFERROR(__xludf.DUMMYFUNCTION("""COMPUTED_VALUE"""),178.0)</f>
        <v>178</v>
      </c>
      <c r="T248" s="140">
        <f>IFERROR(__xludf.DUMMYFUNCTION("""COMPUTED_VALUE"""),51.0)</f>
        <v>51</v>
      </c>
      <c r="U248" s="136">
        <f>IFERROR(__xludf.DUMMYFUNCTION("""COMPUTED_VALUE"""),25.0)</f>
        <v>25</v>
      </c>
      <c r="V248" s="136">
        <f>IFERROR(__xludf.DUMMYFUNCTION("""COMPUTED_VALUE"""),17.0)</f>
        <v>17</v>
      </c>
      <c r="W248" s="136">
        <f>IFERROR(__xludf.DUMMYFUNCTION("""COMPUTED_VALUE"""),34.0)</f>
        <v>34</v>
      </c>
      <c r="X248" s="136">
        <f>IFERROR(__xludf.DUMMYFUNCTION("""COMPUTED_VALUE"""),301.2962962962963)</f>
        <v>301.2962963</v>
      </c>
      <c r="Y248" s="141">
        <f>IFERROR(__xludf.DUMMYFUNCTION("""COMPUTED_VALUE"""),47.195185185185196)</f>
        <v>47.19518519</v>
      </c>
      <c r="Z248" s="141">
        <f>IFERROR(__xludf.DUMMYFUNCTION("""COMPUTED_VALUE"""),1860.962962962963)</f>
        <v>1860.962963</v>
      </c>
    </row>
    <row r="249">
      <c r="A249" s="41" t="str">
        <f>IFERROR(__xludf.DUMMYFUNCTION("""COMPUTED_VALUE"""),"Challenger")</f>
        <v>Challenger</v>
      </c>
      <c r="B249" s="41" t="str">
        <f>IFERROR(__xludf.DUMMYFUNCTION("""COMPUTED_VALUE"""),"RSC005131")</f>
        <v>RSC005131</v>
      </c>
      <c r="C249" s="41" t="str">
        <f>IFERROR(__xludf.DUMMYFUNCTION("""COMPUTED_VALUE"""),"Loko Deputy")</f>
        <v>Loko Deputy</v>
      </c>
      <c r="D249" s="41" t="str">
        <f>IFERROR(__xludf.DUMMYFUNCTION("""COMPUTED_VALUE"""),"Ryujin")</f>
        <v>Ryujin</v>
      </c>
      <c r="E249" s="136">
        <f>IFERROR(__xludf.DUMMYFUNCTION("""COMPUTED_VALUE"""),30.0)</f>
        <v>30</v>
      </c>
      <c r="F249" s="136">
        <f>IFERROR(__xludf.DUMMYFUNCTION("""COMPUTED_VALUE"""),9.0)</f>
        <v>9</v>
      </c>
      <c r="G249" s="136">
        <f>IFERROR(__xludf.DUMMYFUNCTION("""COMPUTED_VALUE"""),21.0)</f>
        <v>21</v>
      </c>
      <c r="H249" s="137">
        <f>IFERROR(__xludf.DUMMYFUNCTION("""COMPUTED_VALUE"""),0.3)</f>
        <v>0.3</v>
      </c>
      <c r="I249" s="136">
        <f>IFERROR(__xludf.DUMMYFUNCTION("""COMPUTED_VALUE"""),3.0)</f>
        <v>3</v>
      </c>
      <c r="J249" s="136">
        <f>IFERROR(__xludf.DUMMYFUNCTION("""COMPUTED_VALUE"""),9308.0)</f>
        <v>9308</v>
      </c>
      <c r="K249" s="136">
        <f>IFERROR(__xludf.DUMMYFUNCTION("""COMPUTED_VALUE"""),12.0)</f>
        <v>12</v>
      </c>
      <c r="L249" s="136">
        <f>IFERROR(__xludf.DUMMYFUNCTION("""COMPUTED_VALUE"""),14.0)</f>
        <v>14</v>
      </c>
      <c r="M249" s="136">
        <f>IFERROR(__xludf.DUMMYFUNCTION("""COMPUTED_VALUE"""),54.0)</f>
        <v>54</v>
      </c>
      <c r="N249" s="136">
        <f>IFERROR(__xludf.DUMMYFUNCTION("""COMPUTED_VALUE"""),45.0)</f>
        <v>45</v>
      </c>
      <c r="O249" s="138">
        <f>IFERROR(__xludf.DUMMYFUNCTION("""COMPUTED_VALUE"""),5.0)</f>
        <v>5</v>
      </c>
      <c r="P249" s="138">
        <f>IFERROR(__xludf.DUMMYFUNCTION("""COMPUTED_VALUE"""),1.0)</f>
        <v>1</v>
      </c>
      <c r="Q249" s="138">
        <f>IFERROR(__xludf.DUMMYFUNCTION("""COMPUTED_VALUE"""),0.0)</f>
        <v>0</v>
      </c>
      <c r="R249" s="138">
        <f>IFERROR(__xludf.DUMMYFUNCTION("""COMPUTED_VALUE"""),9.0)</f>
        <v>9</v>
      </c>
      <c r="S249" s="139">
        <f>IFERROR(__xludf.DUMMYFUNCTION("""COMPUTED_VALUE"""),262.0)</f>
        <v>262</v>
      </c>
      <c r="T249" s="140">
        <f>IFERROR(__xludf.DUMMYFUNCTION("""COMPUTED_VALUE"""),86.0)</f>
        <v>86</v>
      </c>
      <c r="U249" s="136">
        <f>IFERROR(__xludf.DUMMYFUNCTION("""COMPUTED_VALUE"""),30.0)</f>
        <v>30</v>
      </c>
      <c r="V249" s="136">
        <f>IFERROR(__xludf.DUMMYFUNCTION("""COMPUTED_VALUE"""),33.0)</f>
        <v>33</v>
      </c>
      <c r="W249" s="136">
        <f>IFERROR(__xludf.DUMMYFUNCTION("""COMPUTED_VALUE"""),26.0)</f>
        <v>26</v>
      </c>
      <c r="X249" s="136">
        <f>IFERROR(__xludf.DUMMYFUNCTION("""COMPUTED_VALUE"""),289.2)</f>
        <v>289.2</v>
      </c>
      <c r="Y249" s="141">
        <f>IFERROR(__xludf.DUMMYFUNCTION("""COMPUTED_VALUE"""),51.246)</f>
        <v>51.246</v>
      </c>
      <c r="Z249" s="141">
        <f>IFERROR(__xludf.DUMMYFUNCTION("""COMPUTED_VALUE"""),1807.8)</f>
        <v>1807.8</v>
      </c>
    </row>
    <row r="250">
      <c r="A250" s="41" t="str">
        <f>IFERROR(__xludf.DUMMYFUNCTION("""COMPUTED_VALUE"""),"Challenger")</f>
        <v>Challenger</v>
      </c>
      <c r="B250" s="41" t="str">
        <f>IFERROR(__xludf.DUMMYFUNCTION("""COMPUTED_VALUE"""),"RSC005136")</f>
        <v>RSC005136</v>
      </c>
      <c r="C250" s="41" t="str">
        <f>IFERROR(__xludf.DUMMYFUNCTION("""COMPUTED_VALUE"""),"tdogplayz")</f>
        <v>tdogplayz</v>
      </c>
      <c r="D250" s="41" t="str">
        <f>IFERROR(__xludf.DUMMYFUNCTION("""COMPUTED_VALUE"""),"Glams")</f>
        <v>Glams</v>
      </c>
      <c r="E250" s="136">
        <f>IFERROR(__xludf.DUMMYFUNCTION("""COMPUTED_VALUE"""),50.0)</f>
        <v>50</v>
      </c>
      <c r="F250" s="136">
        <f>IFERROR(__xludf.DUMMYFUNCTION("""COMPUTED_VALUE"""),16.0)</f>
        <v>16</v>
      </c>
      <c r="G250" s="136">
        <f>IFERROR(__xludf.DUMMYFUNCTION("""COMPUTED_VALUE"""),34.0)</f>
        <v>34</v>
      </c>
      <c r="H250" s="137">
        <f>IFERROR(__xludf.DUMMYFUNCTION("""COMPUTED_VALUE"""),0.32)</f>
        <v>0.32</v>
      </c>
      <c r="I250" s="136">
        <f>IFERROR(__xludf.DUMMYFUNCTION("""COMPUTED_VALUE"""),7.0)</f>
        <v>7</v>
      </c>
      <c r="J250" s="136">
        <f>IFERROR(__xludf.DUMMYFUNCTION("""COMPUTED_VALUE"""),16783.0)</f>
        <v>16783</v>
      </c>
      <c r="K250" s="136">
        <f>IFERROR(__xludf.DUMMYFUNCTION("""COMPUTED_VALUE"""),37.0)</f>
        <v>37</v>
      </c>
      <c r="L250" s="136">
        <f>IFERROR(__xludf.DUMMYFUNCTION("""COMPUTED_VALUE"""),16.0)</f>
        <v>16</v>
      </c>
      <c r="M250" s="136">
        <f>IFERROR(__xludf.DUMMYFUNCTION("""COMPUTED_VALUE"""),80.0)</f>
        <v>80</v>
      </c>
      <c r="N250" s="136">
        <f>IFERROR(__xludf.DUMMYFUNCTION("""COMPUTED_VALUE"""),96.0)</f>
        <v>96</v>
      </c>
      <c r="O250" s="138">
        <f>IFERROR(__xludf.DUMMYFUNCTION("""COMPUTED_VALUE"""),6.0)</f>
        <v>6</v>
      </c>
      <c r="P250" s="138">
        <f>IFERROR(__xludf.DUMMYFUNCTION("""COMPUTED_VALUE"""),1.0)</f>
        <v>1</v>
      </c>
      <c r="Q250" s="138">
        <f>IFERROR(__xludf.DUMMYFUNCTION("""COMPUTED_VALUE"""),0.0)</f>
        <v>0</v>
      </c>
      <c r="R250" s="138">
        <f>IFERROR(__xludf.DUMMYFUNCTION("""COMPUTED_VALUE"""),9.0)</f>
        <v>9</v>
      </c>
      <c r="S250" s="139">
        <f>IFERROR(__xludf.DUMMYFUNCTION("""COMPUTED_VALUE"""),403.0)</f>
        <v>403</v>
      </c>
      <c r="T250" s="140">
        <f>IFERROR(__xludf.DUMMYFUNCTION("""COMPUTED_VALUE"""),124.0)</f>
        <v>124</v>
      </c>
      <c r="U250" s="136">
        <f>IFERROR(__xludf.DUMMYFUNCTION("""COMPUTED_VALUE"""),46.0)</f>
        <v>46</v>
      </c>
      <c r="V250" s="136">
        <f>IFERROR(__xludf.DUMMYFUNCTION("""COMPUTED_VALUE"""),65.0)</f>
        <v>65</v>
      </c>
      <c r="W250" s="136">
        <f>IFERROR(__xludf.DUMMYFUNCTION("""COMPUTED_VALUE"""),54.0)</f>
        <v>54</v>
      </c>
      <c r="X250" s="136">
        <f>IFERROR(__xludf.DUMMYFUNCTION("""COMPUTED_VALUE"""),398.48)</f>
        <v>398.48</v>
      </c>
      <c r="Y250" s="141">
        <f>IFERROR(__xludf.DUMMYFUNCTION("""COMPUTED_VALUE"""),46.267799999999994)</f>
        <v>46.2678</v>
      </c>
      <c r="Z250" s="141">
        <f>IFERROR(__xludf.DUMMYFUNCTION("""COMPUTED_VALUE"""),2338.44)</f>
        <v>2338.44</v>
      </c>
    </row>
    <row r="251">
      <c r="A251" s="41" t="str">
        <f>IFERROR(__xludf.DUMMYFUNCTION("""COMPUTED_VALUE"""),"Challenger")</f>
        <v>Challenger</v>
      </c>
      <c r="B251" s="41" t="str">
        <f>IFERROR(__xludf.DUMMYFUNCTION("""COMPUTED_VALUE"""),"RSC005139")</f>
        <v>RSC005139</v>
      </c>
      <c r="C251" s="41" t="str">
        <f>IFERROR(__xludf.DUMMYFUNCTION("""COMPUTED_VALUE"""),"brillo_padd")</f>
        <v>brillo_padd</v>
      </c>
      <c r="D251" s="41" t="str">
        <f>IFERROR(__xludf.DUMMYFUNCTION("""COMPUTED_VALUE"""),"Toucans
Thunder Pups")</f>
        <v>Toucans
Thunder Pups</v>
      </c>
      <c r="E251" s="136">
        <f>IFERROR(__xludf.DUMMYFUNCTION("""COMPUTED_VALUE"""),32.0)</f>
        <v>32</v>
      </c>
      <c r="F251" s="136">
        <f>IFERROR(__xludf.DUMMYFUNCTION("""COMPUTED_VALUE"""),9.0)</f>
        <v>9</v>
      </c>
      <c r="G251" s="136">
        <f>IFERROR(__xludf.DUMMYFUNCTION("""COMPUTED_VALUE"""),23.0)</f>
        <v>23</v>
      </c>
      <c r="H251" s="137">
        <f>IFERROR(__xludf.DUMMYFUNCTION("""COMPUTED_VALUE"""),0.28125)</f>
        <v>0.28125</v>
      </c>
      <c r="I251" s="136">
        <f>IFERROR(__xludf.DUMMYFUNCTION("""COMPUTED_VALUE"""),2.0)</f>
        <v>2</v>
      </c>
      <c r="J251" s="136">
        <f>IFERROR(__xludf.DUMMYFUNCTION("""COMPUTED_VALUE"""),8886.0)</f>
        <v>8886</v>
      </c>
      <c r="K251" s="136">
        <f>IFERROR(__xludf.DUMMYFUNCTION("""COMPUTED_VALUE"""),24.0)</f>
        <v>24</v>
      </c>
      <c r="L251" s="136">
        <f>IFERROR(__xludf.DUMMYFUNCTION("""COMPUTED_VALUE"""),12.0)</f>
        <v>12</v>
      </c>
      <c r="M251" s="136">
        <f>IFERROR(__xludf.DUMMYFUNCTION("""COMPUTED_VALUE"""),24.0)</f>
        <v>24</v>
      </c>
      <c r="N251" s="136">
        <f>IFERROR(__xludf.DUMMYFUNCTION("""COMPUTED_VALUE"""),75.0)</f>
        <v>75</v>
      </c>
      <c r="O251" s="138">
        <f>IFERROR(__xludf.DUMMYFUNCTION("""COMPUTED_VALUE"""),2.0)</f>
        <v>2</v>
      </c>
      <c r="P251" s="138">
        <f>IFERROR(__xludf.DUMMYFUNCTION("""COMPUTED_VALUE"""),2.0)</f>
        <v>2</v>
      </c>
      <c r="Q251" s="138">
        <f>IFERROR(__xludf.DUMMYFUNCTION("""COMPUTED_VALUE"""),0.0)</f>
        <v>0</v>
      </c>
      <c r="R251" s="138">
        <f>IFERROR(__xludf.DUMMYFUNCTION("""COMPUTED_VALUE"""),3.0)</f>
        <v>3</v>
      </c>
      <c r="S251" s="139">
        <f>IFERROR(__xludf.DUMMYFUNCTION("""COMPUTED_VALUE"""),284.0)</f>
        <v>284</v>
      </c>
      <c r="T251" s="140">
        <f>IFERROR(__xludf.DUMMYFUNCTION("""COMPUTED_VALUE"""),105.0)</f>
        <v>105</v>
      </c>
      <c r="U251" s="136">
        <f>IFERROR(__xludf.DUMMYFUNCTION("""COMPUTED_VALUE"""),36.0)</f>
        <v>36</v>
      </c>
      <c r="V251" s="136">
        <f>IFERROR(__xludf.DUMMYFUNCTION("""COMPUTED_VALUE"""),18.0)</f>
        <v>18</v>
      </c>
      <c r="W251" s="136">
        <f>IFERROR(__xludf.DUMMYFUNCTION("""COMPUTED_VALUE"""),28.0)</f>
        <v>28</v>
      </c>
      <c r="X251" s="136">
        <f>IFERROR(__xludf.DUMMYFUNCTION("""COMPUTED_VALUE"""),318.53125)</f>
        <v>318.53125</v>
      </c>
      <c r="Y251" s="141">
        <f>IFERROR(__xludf.DUMMYFUNCTION("""COMPUTED_VALUE"""),53.96468750000002)</f>
        <v>53.9646875</v>
      </c>
      <c r="Z251" s="141">
        <f>IFERROR(__xludf.DUMMYFUNCTION("""COMPUTED_VALUE"""),2069.15625)</f>
        <v>2069.15625</v>
      </c>
    </row>
    <row r="252">
      <c r="A252" s="41" t="str">
        <f>IFERROR(__xludf.DUMMYFUNCTION("""COMPUTED_VALUE"""),"Rival")</f>
        <v>Rival</v>
      </c>
      <c r="B252" s="41" t="str">
        <f>IFERROR(__xludf.DUMMYFUNCTION("""COMPUTED_VALUE"""),"RSC005150")</f>
        <v>RSC005150</v>
      </c>
      <c r="C252" s="41" t="str">
        <f>IFERROR(__xludf.DUMMYFUNCTION("""COMPUTED_VALUE"""),"Galatiq")</f>
        <v>Galatiq</v>
      </c>
      <c r="D252" s="41" t="str">
        <f>IFERROR(__xludf.DUMMYFUNCTION("""COMPUTED_VALUE"""),"Samurai")</f>
        <v>Samurai</v>
      </c>
      <c r="E252" s="136">
        <f>IFERROR(__xludf.DUMMYFUNCTION("""COMPUTED_VALUE"""),8.0)</f>
        <v>8</v>
      </c>
      <c r="F252" s="136">
        <f>IFERROR(__xludf.DUMMYFUNCTION("""COMPUTED_VALUE"""),5.0)</f>
        <v>5</v>
      </c>
      <c r="G252" s="136">
        <f>IFERROR(__xludf.DUMMYFUNCTION("""COMPUTED_VALUE"""),3.0)</f>
        <v>3</v>
      </c>
      <c r="H252" s="137">
        <f>IFERROR(__xludf.DUMMYFUNCTION("""COMPUTED_VALUE"""),0.625)</f>
        <v>0.625</v>
      </c>
      <c r="I252" s="136">
        <f>IFERROR(__xludf.DUMMYFUNCTION("""COMPUTED_VALUE"""),2.0)</f>
        <v>2</v>
      </c>
      <c r="J252" s="136">
        <f>IFERROR(__xludf.DUMMYFUNCTION("""COMPUTED_VALUE"""),3239.0)</f>
        <v>3239</v>
      </c>
      <c r="K252" s="136">
        <f>IFERROR(__xludf.DUMMYFUNCTION("""COMPUTED_VALUE"""),5.0)</f>
        <v>5</v>
      </c>
      <c r="L252" s="136">
        <f>IFERROR(__xludf.DUMMYFUNCTION("""COMPUTED_VALUE"""),11.0)</f>
        <v>11</v>
      </c>
      <c r="M252" s="136">
        <f>IFERROR(__xludf.DUMMYFUNCTION("""COMPUTED_VALUE"""),12.0)</f>
        <v>12</v>
      </c>
      <c r="N252" s="136">
        <f>IFERROR(__xludf.DUMMYFUNCTION("""COMPUTED_VALUE"""),26.0)</f>
        <v>26</v>
      </c>
      <c r="O252" s="138">
        <f>IFERROR(__xludf.DUMMYFUNCTION("""COMPUTED_VALUE"""),2.0)</f>
        <v>2</v>
      </c>
      <c r="P252" s="138">
        <f>IFERROR(__xludf.DUMMYFUNCTION("""COMPUTED_VALUE"""),0.0)</f>
        <v>0</v>
      </c>
      <c r="Q252" s="138">
        <f>IFERROR(__xludf.DUMMYFUNCTION("""COMPUTED_VALUE"""),1.0)</f>
        <v>1</v>
      </c>
      <c r="R252" s="138">
        <f>IFERROR(__xludf.DUMMYFUNCTION("""COMPUTED_VALUE"""),1.0)</f>
        <v>1</v>
      </c>
      <c r="S252" s="139">
        <f>IFERROR(__xludf.DUMMYFUNCTION("""COMPUTED_VALUE"""),67.0)</f>
        <v>67</v>
      </c>
      <c r="T252" s="140">
        <f>IFERROR(__xludf.DUMMYFUNCTION("""COMPUTED_VALUE"""),23.0)</f>
        <v>23</v>
      </c>
      <c r="U252" s="136">
        <f>IFERROR(__xludf.DUMMYFUNCTION("""COMPUTED_VALUE"""),7.0)</f>
        <v>7</v>
      </c>
      <c r="V252" s="136">
        <f>IFERROR(__xludf.DUMMYFUNCTION("""COMPUTED_VALUE"""),8.0)</f>
        <v>8</v>
      </c>
      <c r="W252" s="136">
        <f>IFERROR(__xludf.DUMMYFUNCTION("""COMPUTED_VALUE"""),7.0)</f>
        <v>7</v>
      </c>
      <c r="X252" s="136"/>
      <c r="Y252" s="41"/>
      <c r="Z252" s="41"/>
    </row>
    <row r="253">
      <c r="A253" s="41" t="str">
        <f>IFERROR(__xludf.DUMMYFUNCTION("""COMPUTED_VALUE"""),"Rival")</f>
        <v>Rival</v>
      </c>
      <c r="B253" s="41" t="str">
        <f>IFERROR(__xludf.DUMMYFUNCTION("""COMPUTED_VALUE"""),"RSC005154")</f>
        <v>RSC005154</v>
      </c>
      <c r="C253" s="41" t="str">
        <f>IFERROR(__xludf.DUMMYFUNCTION("""COMPUTED_VALUE"""),"TacoBae")</f>
        <v>TacoBae</v>
      </c>
      <c r="D253" s="41" t="str">
        <f>IFERROR(__xludf.DUMMYFUNCTION("""COMPUTED_VALUE"""),"Guards")</f>
        <v>Guards</v>
      </c>
      <c r="E253" s="136">
        <f>IFERROR(__xludf.DUMMYFUNCTION("""COMPUTED_VALUE"""),37.0)</f>
        <v>37</v>
      </c>
      <c r="F253" s="136">
        <f>IFERROR(__xludf.DUMMYFUNCTION("""COMPUTED_VALUE"""),18.0)</f>
        <v>18</v>
      </c>
      <c r="G253" s="136">
        <f>IFERROR(__xludf.DUMMYFUNCTION("""COMPUTED_VALUE"""),19.0)</f>
        <v>19</v>
      </c>
      <c r="H253" s="137">
        <f>IFERROR(__xludf.DUMMYFUNCTION("""COMPUTED_VALUE"""),0.4864864864864865)</f>
        <v>0.4864864865</v>
      </c>
      <c r="I253" s="136">
        <f>IFERROR(__xludf.DUMMYFUNCTION("""COMPUTED_VALUE"""),3.0)</f>
        <v>3</v>
      </c>
      <c r="J253" s="136">
        <f>IFERROR(__xludf.DUMMYFUNCTION("""COMPUTED_VALUE"""),9980.0)</f>
        <v>9980</v>
      </c>
      <c r="K253" s="136">
        <f>IFERROR(__xludf.DUMMYFUNCTION("""COMPUTED_VALUE"""),21.0)</f>
        <v>21</v>
      </c>
      <c r="L253" s="136">
        <f>IFERROR(__xludf.DUMMYFUNCTION("""COMPUTED_VALUE"""),15.0)</f>
        <v>15</v>
      </c>
      <c r="M253" s="136">
        <f>IFERROR(__xludf.DUMMYFUNCTION("""COMPUTED_VALUE"""),38.0)</f>
        <v>38</v>
      </c>
      <c r="N253" s="136">
        <f>IFERROR(__xludf.DUMMYFUNCTION("""COMPUTED_VALUE"""),60.0)</f>
        <v>60</v>
      </c>
      <c r="O253" s="138">
        <f>IFERROR(__xludf.DUMMYFUNCTION("""COMPUTED_VALUE"""),2.0)</f>
        <v>2</v>
      </c>
      <c r="P253" s="138">
        <f>IFERROR(__xludf.DUMMYFUNCTION("""COMPUTED_VALUE"""),1.0)</f>
        <v>1</v>
      </c>
      <c r="Q253" s="138">
        <f>IFERROR(__xludf.DUMMYFUNCTION("""COMPUTED_VALUE"""),0.0)</f>
        <v>0</v>
      </c>
      <c r="R253" s="138">
        <f>IFERROR(__xludf.DUMMYFUNCTION("""COMPUTED_VALUE"""),2.0)</f>
        <v>2</v>
      </c>
      <c r="S253" s="139">
        <f>IFERROR(__xludf.DUMMYFUNCTION("""COMPUTED_VALUE"""),292.0)</f>
        <v>292</v>
      </c>
      <c r="T253" s="140">
        <f>IFERROR(__xludf.DUMMYFUNCTION("""COMPUTED_VALUE"""),94.0)</f>
        <v>94</v>
      </c>
      <c r="U253" s="136">
        <f>IFERROR(__xludf.DUMMYFUNCTION("""COMPUTED_VALUE"""),32.0)</f>
        <v>32</v>
      </c>
      <c r="V253" s="136">
        <f>IFERROR(__xludf.DUMMYFUNCTION("""COMPUTED_VALUE"""),44.0)</f>
        <v>44</v>
      </c>
      <c r="W253" s="136">
        <f>IFERROR(__xludf.DUMMYFUNCTION("""COMPUTED_VALUE"""),31.0)</f>
        <v>31</v>
      </c>
      <c r="X253" s="136">
        <f>IFERROR(__xludf.DUMMYFUNCTION("""COMPUTED_VALUE"""),354.72972972972974)</f>
        <v>354.7297297</v>
      </c>
      <c r="Y253" s="141">
        <f>IFERROR(__xludf.DUMMYFUNCTION("""COMPUTED_VALUE"""),48.13513513513514)</f>
        <v>48.13513514</v>
      </c>
      <c r="Z253" s="141">
        <f>IFERROR(__xludf.DUMMYFUNCTION("""COMPUTED_VALUE"""),2071.864864864865)</f>
        <v>2071.864865</v>
      </c>
    </row>
    <row r="254">
      <c r="A254" s="41" t="str">
        <f>IFERROR(__xludf.DUMMYFUNCTION("""COMPUTED_VALUE"""),"Veteran")</f>
        <v>Veteran</v>
      </c>
      <c r="B254" s="41" t="str">
        <f>IFERROR(__xludf.DUMMYFUNCTION("""COMPUTED_VALUE"""),"RSC005165")</f>
        <v>RSC005165</v>
      </c>
      <c r="C254" s="41" t="str">
        <f>IFERROR(__xludf.DUMMYFUNCTION("""COMPUTED_VALUE"""),"Lucas")</f>
        <v>Lucas</v>
      </c>
      <c r="D254" s="41" t="str">
        <f>IFERROR(__xludf.DUMMYFUNCTION("""COMPUTED_VALUE"""),"Avalanche")</f>
        <v>Avalanche</v>
      </c>
      <c r="E254" s="136">
        <f>IFERROR(__xludf.DUMMYFUNCTION("""COMPUTED_VALUE"""),56.0)</f>
        <v>56</v>
      </c>
      <c r="F254" s="136">
        <f>IFERROR(__xludf.DUMMYFUNCTION("""COMPUTED_VALUE"""),33.0)</f>
        <v>33</v>
      </c>
      <c r="G254" s="136">
        <f>IFERROR(__xludf.DUMMYFUNCTION("""COMPUTED_VALUE"""),23.0)</f>
        <v>23</v>
      </c>
      <c r="H254" s="137">
        <f>IFERROR(__xludf.DUMMYFUNCTION("""COMPUTED_VALUE"""),0.5892857142857143)</f>
        <v>0.5892857143</v>
      </c>
      <c r="I254" s="136">
        <f>IFERROR(__xludf.DUMMYFUNCTION("""COMPUTED_VALUE"""),12.0)</f>
        <v>12</v>
      </c>
      <c r="J254" s="136">
        <f>IFERROR(__xludf.DUMMYFUNCTION("""COMPUTED_VALUE"""),20774.0)</f>
        <v>20774</v>
      </c>
      <c r="K254" s="136">
        <f>IFERROR(__xludf.DUMMYFUNCTION("""COMPUTED_VALUE"""),41.0)</f>
        <v>41</v>
      </c>
      <c r="L254" s="136">
        <f>IFERROR(__xludf.DUMMYFUNCTION("""COMPUTED_VALUE"""),40.0)</f>
        <v>40</v>
      </c>
      <c r="M254" s="136">
        <f>IFERROR(__xludf.DUMMYFUNCTION("""COMPUTED_VALUE"""),90.0)</f>
        <v>90</v>
      </c>
      <c r="N254" s="136">
        <f>IFERROR(__xludf.DUMMYFUNCTION("""COMPUTED_VALUE"""),132.0)</f>
        <v>132</v>
      </c>
      <c r="O254" s="138">
        <f>IFERROR(__xludf.DUMMYFUNCTION("""COMPUTED_VALUE"""),10.0)</f>
        <v>10</v>
      </c>
      <c r="P254" s="138">
        <f>IFERROR(__xludf.DUMMYFUNCTION("""COMPUTED_VALUE"""),3.0)</f>
        <v>3</v>
      </c>
      <c r="Q254" s="138">
        <f>IFERROR(__xludf.DUMMYFUNCTION("""COMPUTED_VALUE"""),3.0)</f>
        <v>3</v>
      </c>
      <c r="R254" s="138">
        <f>IFERROR(__xludf.DUMMYFUNCTION("""COMPUTED_VALUE"""),11.0)</f>
        <v>11</v>
      </c>
      <c r="S254" s="139">
        <f>IFERROR(__xludf.DUMMYFUNCTION("""COMPUTED_VALUE"""),470.0)</f>
        <v>470</v>
      </c>
      <c r="T254" s="140">
        <f>IFERROR(__xludf.DUMMYFUNCTION("""COMPUTED_VALUE"""),128.0)</f>
        <v>128</v>
      </c>
      <c r="U254" s="136">
        <f>IFERROR(__xludf.DUMMYFUNCTION("""COMPUTED_VALUE"""),46.0)</f>
        <v>46</v>
      </c>
      <c r="V254" s="136">
        <f>IFERROR(__xludf.DUMMYFUNCTION("""COMPUTED_VALUE"""),101.0)</f>
        <v>101</v>
      </c>
      <c r="W254" s="136">
        <f>IFERROR(__xludf.DUMMYFUNCTION("""COMPUTED_VALUE"""),56.0)</f>
        <v>56</v>
      </c>
      <c r="X254" s="136">
        <f>IFERROR(__xludf.DUMMYFUNCTION("""COMPUTED_VALUE"""),426.67857142857144)</f>
        <v>426.6785714</v>
      </c>
      <c r="Y254" s="141">
        <f>IFERROR(__xludf.DUMMYFUNCTION("""COMPUTED_VALUE"""),46.590714285714284)</f>
        <v>46.59071429</v>
      </c>
      <c r="Z254" s="141">
        <f>IFERROR(__xludf.DUMMYFUNCTION("""COMPUTED_VALUE"""),2609.8571428571427)</f>
        <v>2609.857143</v>
      </c>
    </row>
    <row r="255">
      <c r="A255" s="41" t="str">
        <f>IFERROR(__xludf.DUMMYFUNCTION("""COMPUTED_VALUE"""),"Premier")</f>
        <v>Premier</v>
      </c>
      <c r="B255" s="41" t="str">
        <f>IFERROR(__xludf.DUMMYFUNCTION("""COMPUTED_VALUE"""),"RSC005170")</f>
        <v>RSC005170</v>
      </c>
      <c r="C255" s="41" t="str">
        <f>IFERROR(__xludf.DUMMYFUNCTION("""COMPUTED_VALUE"""),"FrenchyNF")</f>
        <v>FrenchyNF</v>
      </c>
      <c r="D255" s="41" t="str">
        <f>IFERROR(__xludf.DUMMYFUNCTION("""COMPUTED_VALUE"""),"Interstellar
Crooked Capos
Feta Forgers")</f>
        <v>Interstellar
Crooked Capos
Feta Forgers</v>
      </c>
      <c r="E255" s="136">
        <f>IFERROR(__xludf.DUMMYFUNCTION("""COMPUTED_VALUE"""),25.0)</f>
        <v>25</v>
      </c>
      <c r="F255" s="136">
        <f>IFERROR(__xludf.DUMMYFUNCTION("""COMPUTED_VALUE"""),14.0)</f>
        <v>14</v>
      </c>
      <c r="G255" s="136">
        <f>IFERROR(__xludf.DUMMYFUNCTION("""COMPUTED_VALUE"""),11.0)</f>
        <v>11</v>
      </c>
      <c r="H255" s="137">
        <f>IFERROR(__xludf.DUMMYFUNCTION("""COMPUTED_VALUE"""),0.56)</f>
        <v>0.56</v>
      </c>
      <c r="I255" s="136">
        <f>IFERROR(__xludf.DUMMYFUNCTION("""COMPUTED_VALUE"""),7.0)</f>
        <v>7</v>
      </c>
      <c r="J255" s="136">
        <f>IFERROR(__xludf.DUMMYFUNCTION("""COMPUTED_VALUE"""),9981.0)</f>
        <v>9981</v>
      </c>
      <c r="K255" s="136">
        <f>IFERROR(__xludf.DUMMYFUNCTION("""COMPUTED_VALUE"""),21.0)</f>
        <v>21</v>
      </c>
      <c r="L255" s="136">
        <f>IFERROR(__xludf.DUMMYFUNCTION("""COMPUTED_VALUE"""),18.0)</f>
        <v>18</v>
      </c>
      <c r="M255" s="136">
        <f>IFERROR(__xludf.DUMMYFUNCTION("""COMPUTED_VALUE"""),39.0)</f>
        <v>39</v>
      </c>
      <c r="N255" s="136">
        <f>IFERROR(__xludf.DUMMYFUNCTION("""COMPUTED_VALUE"""),63.0)</f>
        <v>63</v>
      </c>
      <c r="O255" s="138">
        <f>IFERROR(__xludf.DUMMYFUNCTION("""COMPUTED_VALUE"""),5.0)</f>
        <v>5</v>
      </c>
      <c r="P255" s="138">
        <f>IFERROR(__xludf.DUMMYFUNCTION("""COMPUTED_VALUE"""),1.0)</f>
        <v>1</v>
      </c>
      <c r="Q255" s="138">
        <f>IFERROR(__xludf.DUMMYFUNCTION("""COMPUTED_VALUE"""),1.0)</f>
        <v>1</v>
      </c>
      <c r="R255" s="138">
        <f>IFERROR(__xludf.DUMMYFUNCTION("""COMPUTED_VALUE"""),6.0)</f>
        <v>6</v>
      </c>
      <c r="S255" s="139">
        <f>IFERROR(__xludf.DUMMYFUNCTION("""COMPUTED_VALUE"""),212.0)</f>
        <v>212</v>
      </c>
      <c r="T255" s="140">
        <f>IFERROR(__xludf.DUMMYFUNCTION("""COMPUTED_VALUE"""),57.0)</f>
        <v>57</v>
      </c>
      <c r="U255" s="136">
        <f>IFERROR(__xludf.DUMMYFUNCTION("""COMPUTED_VALUE"""),13.0)</f>
        <v>13</v>
      </c>
      <c r="V255" s="136">
        <f>IFERROR(__xludf.DUMMYFUNCTION("""COMPUTED_VALUE"""),20.0)</f>
        <v>20</v>
      </c>
      <c r="W255" s="136">
        <f>IFERROR(__xludf.DUMMYFUNCTION("""COMPUTED_VALUE"""),25.0)</f>
        <v>25</v>
      </c>
      <c r="X255" s="136">
        <f>IFERROR(__xludf.DUMMYFUNCTION("""COMPUTED_VALUE"""),415.28)</f>
        <v>415.28</v>
      </c>
      <c r="Y255" s="141">
        <f>IFERROR(__xludf.DUMMYFUNCTION("""COMPUTED_VALUE"""),46.34160000000001)</f>
        <v>46.3416</v>
      </c>
      <c r="Z255" s="141">
        <f>IFERROR(__xludf.DUMMYFUNCTION("""COMPUTED_VALUE"""),2556.44)</f>
        <v>2556.44</v>
      </c>
    </row>
    <row r="256">
      <c r="A256" s="41" t="str">
        <f>IFERROR(__xludf.DUMMYFUNCTION("""COMPUTED_VALUE"""),"Premier")</f>
        <v>Premier</v>
      </c>
      <c r="B256" s="41" t="str">
        <f>IFERROR(__xludf.DUMMYFUNCTION("""COMPUTED_VALUE"""),"RSC005187")</f>
        <v>RSC005187</v>
      </c>
      <c r="C256" s="41" t="str">
        <f>IFERROR(__xludf.DUMMYFUNCTION("""COMPUTED_VALUE"""),"Karistafir al-nadim")</f>
        <v>Karistafir al-nadim</v>
      </c>
      <c r="D256" s="41" t="str">
        <f>IFERROR(__xludf.DUMMYFUNCTION("""COMPUTED_VALUE"""),"Punks")</f>
        <v>Punks</v>
      </c>
      <c r="E256" s="136">
        <f>IFERROR(__xludf.DUMMYFUNCTION("""COMPUTED_VALUE"""),12.0)</f>
        <v>12</v>
      </c>
      <c r="F256" s="136">
        <f>IFERROR(__xludf.DUMMYFUNCTION("""COMPUTED_VALUE"""),6.0)</f>
        <v>6</v>
      </c>
      <c r="G256" s="136">
        <f>IFERROR(__xludf.DUMMYFUNCTION("""COMPUTED_VALUE"""),6.0)</f>
        <v>6</v>
      </c>
      <c r="H256" s="137">
        <f>IFERROR(__xludf.DUMMYFUNCTION("""COMPUTED_VALUE"""),0.5)</f>
        <v>0.5</v>
      </c>
      <c r="I256" s="136">
        <f>IFERROR(__xludf.DUMMYFUNCTION("""COMPUTED_VALUE"""),0.0)</f>
        <v>0</v>
      </c>
      <c r="J256" s="136">
        <f>IFERROR(__xludf.DUMMYFUNCTION("""COMPUTED_VALUE"""),3261.0)</f>
        <v>3261</v>
      </c>
      <c r="K256" s="136">
        <f>IFERROR(__xludf.DUMMYFUNCTION("""COMPUTED_VALUE"""),7.0)</f>
        <v>7</v>
      </c>
      <c r="L256" s="136">
        <f>IFERROR(__xludf.DUMMYFUNCTION("""COMPUTED_VALUE"""),5.0)</f>
        <v>5</v>
      </c>
      <c r="M256" s="136">
        <f>IFERROR(__xludf.DUMMYFUNCTION("""COMPUTED_VALUE"""),9.0)</f>
        <v>9</v>
      </c>
      <c r="N256" s="136">
        <f>IFERROR(__xludf.DUMMYFUNCTION("""COMPUTED_VALUE"""),31.0)</f>
        <v>31</v>
      </c>
      <c r="O256" s="138">
        <f>IFERROR(__xludf.DUMMYFUNCTION("""COMPUTED_VALUE"""),1.0)</f>
        <v>1</v>
      </c>
      <c r="P256" s="138">
        <f>IFERROR(__xludf.DUMMYFUNCTION("""COMPUTED_VALUE"""),0.0)</f>
        <v>0</v>
      </c>
      <c r="Q256" s="138">
        <f>IFERROR(__xludf.DUMMYFUNCTION("""COMPUTED_VALUE"""),0.0)</f>
        <v>0</v>
      </c>
      <c r="R256" s="138">
        <f>IFERROR(__xludf.DUMMYFUNCTION("""COMPUTED_VALUE"""),0.0)</f>
        <v>0</v>
      </c>
      <c r="S256" s="139">
        <f>IFERROR(__xludf.DUMMYFUNCTION("""COMPUTED_VALUE"""),95.0)</f>
        <v>95</v>
      </c>
      <c r="T256" s="140">
        <f>IFERROR(__xludf.DUMMYFUNCTION("""COMPUTED_VALUE"""),27.0)</f>
        <v>27</v>
      </c>
      <c r="U256" s="136">
        <f>IFERROR(__xludf.DUMMYFUNCTION("""COMPUTED_VALUE"""),12.0)</f>
        <v>12</v>
      </c>
      <c r="V256" s="136">
        <f>IFERROR(__xludf.DUMMYFUNCTION("""COMPUTED_VALUE"""),17.0)</f>
        <v>17</v>
      </c>
      <c r="W256" s="136">
        <f>IFERROR(__xludf.DUMMYFUNCTION("""COMPUTED_VALUE"""),18.0)</f>
        <v>18</v>
      </c>
      <c r="X256" s="136">
        <f>IFERROR(__xludf.DUMMYFUNCTION("""COMPUTED_VALUE"""),390.75)</f>
        <v>390.75</v>
      </c>
      <c r="Y256" s="141">
        <f>IFERROR(__xludf.DUMMYFUNCTION("""COMPUTED_VALUE"""),46.61833333333333)</f>
        <v>46.61833333</v>
      </c>
      <c r="Z256" s="141">
        <f>IFERROR(__xludf.DUMMYFUNCTION("""COMPUTED_VALUE"""),2353.4166666666665)</f>
        <v>2353.416667</v>
      </c>
    </row>
    <row r="257">
      <c r="A257" s="41" t="str">
        <f>IFERROR(__xludf.DUMMYFUNCTION("""COMPUTED_VALUE"""),"Veteran")</f>
        <v>Veteran</v>
      </c>
      <c r="B257" s="41" t="str">
        <f>IFERROR(__xludf.DUMMYFUNCTION("""COMPUTED_VALUE"""),"RSC005210")</f>
        <v>RSC005210</v>
      </c>
      <c r="C257" s="41" t="str">
        <f>IFERROR(__xludf.DUMMYFUNCTION("""COMPUTED_VALUE"""),"baldmanstreamer")</f>
        <v>baldmanstreamer</v>
      </c>
      <c r="D257" s="41" t="str">
        <f>IFERROR(__xludf.DUMMYFUNCTION("""COMPUTED_VALUE"""),"Mosaic Maestros
Legati")</f>
        <v>Mosaic Maestros
Legati</v>
      </c>
      <c r="E257" s="136">
        <f>IFERROR(__xludf.DUMMYFUNCTION("""COMPUTED_VALUE"""),46.0)</f>
        <v>46</v>
      </c>
      <c r="F257" s="136">
        <f>IFERROR(__xludf.DUMMYFUNCTION("""COMPUTED_VALUE"""),25.0)</f>
        <v>25</v>
      </c>
      <c r="G257" s="136">
        <f>IFERROR(__xludf.DUMMYFUNCTION("""COMPUTED_VALUE"""),21.0)</f>
        <v>21</v>
      </c>
      <c r="H257" s="137">
        <f>IFERROR(__xludf.DUMMYFUNCTION("""COMPUTED_VALUE"""),0.5434782608695652)</f>
        <v>0.5434782609</v>
      </c>
      <c r="I257" s="136">
        <f>IFERROR(__xludf.DUMMYFUNCTION("""COMPUTED_VALUE"""),14.0)</f>
        <v>14</v>
      </c>
      <c r="J257" s="136">
        <f>IFERROR(__xludf.DUMMYFUNCTION("""COMPUTED_VALUE"""),19244.0)</f>
        <v>19244</v>
      </c>
      <c r="K257" s="136">
        <f>IFERROR(__xludf.DUMMYFUNCTION("""COMPUTED_VALUE"""),57.0)</f>
        <v>57</v>
      </c>
      <c r="L257" s="136">
        <f>IFERROR(__xludf.DUMMYFUNCTION("""COMPUTED_VALUE"""),37.0)</f>
        <v>37</v>
      </c>
      <c r="M257" s="136">
        <f>IFERROR(__xludf.DUMMYFUNCTION("""COMPUTED_VALUE"""),61.0)</f>
        <v>61</v>
      </c>
      <c r="N257" s="136">
        <f>IFERROR(__xludf.DUMMYFUNCTION("""COMPUTED_VALUE"""),154.0)</f>
        <v>154</v>
      </c>
      <c r="O257" s="138">
        <f>IFERROR(__xludf.DUMMYFUNCTION("""COMPUTED_VALUE"""),14.0)</f>
        <v>14</v>
      </c>
      <c r="P257" s="138">
        <f>IFERROR(__xludf.DUMMYFUNCTION("""COMPUTED_VALUE"""),6.0)</f>
        <v>6</v>
      </c>
      <c r="Q257" s="138">
        <f>IFERROR(__xludf.DUMMYFUNCTION("""COMPUTED_VALUE"""),3.0)</f>
        <v>3</v>
      </c>
      <c r="R257" s="138">
        <f>IFERROR(__xludf.DUMMYFUNCTION("""COMPUTED_VALUE"""),7.0)</f>
        <v>7</v>
      </c>
      <c r="S257" s="139">
        <f>IFERROR(__xludf.DUMMYFUNCTION("""COMPUTED_VALUE"""),366.0)</f>
        <v>366</v>
      </c>
      <c r="T257" s="140">
        <f>IFERROR(__xludf.DUMMYFUNCTION("""COMPUTED_VALUE"""),116.0)</f>
        <v>116</v>
      </c>
      <c r="U257" s="136">
        <f>IFERROR(__xludf.DUMMYFUNCTION("""COMPUTED_VALUE"""),53.0)</f>
        <v>53</v>
      </c>
      <c r="V257" s="136">
        <f>IFERROR(__xludf.DUMMYFUNCTION("""COMPUTED_VALUE"""),44.0)</f>
        <v>44</v>
      </c>
      <c r="W257" s="136">
        <f>IFERROR(__xludf.DUMMYFUNCTION("""COMPUTED_VALUE"""),49.0)</f>
        <v>49</v>
      </c>
      <c r="X257" s="136">
        <f>IFERROR(__xludf.DUMMYFUNCTION("""COMPUTED_VALUE"""),382.0652173913044)</f>
        <v>382.0652174</v>
      </c>
      <c r="Y257" s="141">
        <f>IFERROR(__xludf.DUMMYFUNCTION("""COMPUTED_VALUE"""),46.18586956521739)</f>
        <v>46.18586957</v>
      </c>
      <c r="Z257" s="141">
        <f>IFERROR(__xludf.DUMMYFUNCTION("""COMPUTED_VALUE"""),2343.5434782608695)</f>
        <v>2343.543478</v>
      </c>
    </row>
    <row r="258">
      <c r="A258" s="41" t="str">
        <f>IFERROR(__xludf.DUMMYFUNCTION("""COMPUTED_VALUE"""),"Challenger")</f>
        <v>Challenger</v>
      </c>
      <c r="B258" s="41" t="str">
        <f>IFERROR(__xludf.DUMMYFUNCTION("""COMPUTED_VALUE"""),"RSC005219")</f>
        <v>RSC005219</v>
      </c>
      <c r="C258" s="41" t="str">
        <f>IFERROR(__xludf.DUMMYFUNCTION("""COMPUTED_VALUE"""),"iargue")</f>
        <v>iargue</v>
      </c>
      <c r="D258" s="41" t="str">
        <f>IFERROR(__xludf.DUMMYFUNCTION("""COMPUTED_VALUE"""),"Shade")</f>
        <v>Shade</v>
      </c>
      <c r="E258" s="136">
        <f>IFERROR(__xludf.DUMMYFUNCTION("""COMPUTED_VALUE"""),17.0)</f>
        <v>17</v>
      </c>
      <c r="F258" s="136">
        <f>IFERROR(__xludf.DUMMYFUNCTION("""COMPUTED_VALUE"""),7.0)</f>
        <v>7</v>
      </c>
      <c r="G258" s="136">
        <f>IFERROR(__xludf.DUMMYFUNCTION("""COMPUTED_VALUE"""),10.0)</f>
        <v>10</v>
      </c>
      <c r="H258" s="137">
        <f>IFERROR(__xludf.DUMMYFUNCTION("""COMPUTED_VALUE"""),0.4117647058823529)</f>
        <v>0.4117647059</v>
      </c>
      <c r="I258" s="136">
        <f>IFERROR(__xludf.DUMMYFUNCTION("""COMPUTED_VALUE"""),2.0)</f>
        <v>2</v>
      </c>
      <c r="J258" s="136">
        <f>IFERROR(__xludf.DUMMYFUNCTION("""COMPUTED_VALUE"""),4538.0)</f>
        <v>4538</v>
      </c>
      <c r="K258" s="136">
        <f>IFERROR(__xludf.DUMMYFUNCTION("""COMPUTED_VALUE"""),7.0)</f>
        <v>7</v>
      </c>
      <c r="L258" s="136">
        <f>IFERROR(__xludf.DUMMYFUNCTION("""COMPUTED_VALUE"""),11.0)</f>
        <v>11</v>
      </c>
      <c r="M258" s="136">
        <f>IFERROR(__xludf.DUMMYFUNCTION("""COMPUTED_VALUE"""),15.0)</f>
        <v>15</v>
      </c>
      <c r="N258" s="136">
        <f>IFERROR(__xludf.DUMMYFUNCTION("""COMPUTED_VALUE"""),37.0)</f>
        <v>37</v>
      </c>
      <c r="O258" s="138">
        <f>IFERROR(__xludf.DUMMYFUNCTION("""COMPUTED_VALUE"""),1.0)</f>
        <v>1</v>
      </c>
      <c r="P258" s="138">
        <f>IFERROR(__xludf.DUMMYFUNCTION("""COMPUTED_VALUE"""),0.0)</f>
        <v>0</v>
      </c>
      <c r="Q258" s="138">
        <f>IFERROR(__xludf.DUMMYFUNCTION("""COMPUTED_VALUE"""),0.0)</f>
        <v>0</v>
      </c>
      <c r="R258" s="138">
        <f>IFERROR(__xludf.DUMMYFUNCTION("""COMPUTED_VALUE"""),2.0)</f>
        <v>2</v>
      </c>
      <c r="S258" s="139">
        <f>IFERROR(__xludf.DUMMYFUNCTION("""COMPUTED_VALUE"""),94.0)</f>
        <v>94</v>
      </c>
      <c r="T258" s="140">
        <f>IFERROR(__xludf.DUMMYFUNCTION("""COMPUTED_VALUE"""),37.0)</f>
        <v>37</v>
      </c>
      <c r="U258" s="136">
        <f>IFERROR(__xludf.DUMMYFUNCTION("""COMPUTED_VALUE"""),16.0)</f>
        <v>16</v>
      </c>
      <c r="V258" s="136">
        <f>IFERROR(__xludf.DUMMYFUNCTION("""COMPUTED_VALUE"""),11.0)</f>
        <v>11</v>
      </c>
      <c r="W258" s="136">
        <f>IFERROR(__xludf.DUMMYFUNCTION("""COMPUTED_VALUE"""),14.0)</f>
        <v>14</v>
      </c>
      <c r="X258" s="136">
        <f>IFERROR(__xludf.DUMMYFUNCTION("""COMPUTED_VALUE"""),354.11764705882354)</f>
        <v>354.1176471</v>
      </c>
      <c r="Y258" s="141">
        <f>IFERROR(__xludf.DUMMYFUNCTION("""COMPUTED_VALUE"""),45.508823529411764)</f>
        <v>45.50882353</v>
      </c>
      <c r="Z258" s="141">
        <f>IFERROR(__xludf.DUMMYFUNCTION("""COMPUTED_VALUE"""),2041.235294117647)</f>
        <v>2041.235294</v>
      </c>
    </row>
    <row r="259">
      <c r="A259" s="41" t="str">
        <f>IFERROR(__xludf.DUMMYFUNCTION("""COMPUTED_VALUE"""),"Master")</f>
        <v>Master</v>
      </c>
      <c r="B259" s="41" t="str">
        <f>IFERROR(__xludf.DUMMYFUNCTION("""COMPUTED_VALUE"""),"RSC005220")</f>
        <v>RSC005220</v>
      </c>
      <c r="C259" s="41" t="str">
        <f>IFERROR(__xludf.DUMMYFUNCTION("""COMPUTED_VALUE"""),"Swax")</f>
        <v>Swax</v>
      </c>
      <c r="D259" s="41" t="str">
        <f>IFERROR(__xludf.DUMMYFUNCTION("""COMPUTED_VALUE"""),"Spectres")</f>
        <v>Spectres</v>
      </c>
      <c r="E259" s="136">
        <f>IFERROR(__xludf.DUMMYFUNCTION("""COMPUTED_VALUE"""),26.0)</f>
        <v>26</v>
      </c>
      <c r="F259" s="136">
        <f>IFERROR(__xludf.DUMMYFUNCTION("""COMPUTED_VALUE"""),10.0)</f>
        <v>10</v>
      </c>
      <c r="G259" s="136">
        <f>IFERROR(__xludf.DUMMYFUNCTION("""COMPUTED_VALUE"""),16.0)</f>
        <v>16</v>
      </c>
      <c r="H259" s="137">
        <f>IFERROR(__xludf.DUMMYFUNCTION("""COMPUTED_VALUE"""),0.38461538461538464)</f>
        <v>0.3846153846</v>
      </c>
      <c r="I259" s="136">
        <f>IFERROR(__xludf.DUMMYFUNCTION("""COMPUTED_VALUE"""),1.0)</f>
        <v>1</v>
      </c>
      <c r="J259" s="136">
        <f>IFERROR(__xludf.DUMMYFUNCTION("""COMPUTED_VALUE"""),7998.0)</f>
        <v>7998</v>
      </c>
      <c r="K259" s="136">
        <f>IFERROR(__xludf.DUMMYFUNCTION("""COMPUTED_VALUE"""),14.0)</f>
        <v>14</v>
      </c>
      <c r="L259" s="136">
        <f>IFERROR(__xludf.DUMMYFUNCTION("""COMPUTED_VALUE"""),14.0)</f>
        <v>14</v>
      </c>
      <c r="M259" s="136">
        <f>IFERROR(__xludf.DUMMYFUNCTION("""COMPUTED_VALUE"""),36.0)</f>
        <v>36</v>
      </c>
      <c r="N259" s="136">
        <f>IFERROR(__xludf.DUMMYFUNCTION("""COMPUTED_VALUE"""),56.0)</f>
        <v>56</v>
      </c>
      <c r="O259" s="138">
        <f>IFERROR(__xludf.DUMMYFUNCTION("""COMPUTED_VALUE"""),5.0)</f>
        <v>5</v>
      </c>
      <c r="P259" s="138">
        <f>IFERROR(__xludf.DUMMYFUNCTION("""COMPUTED_VALUE"""),0.0)</f>
        <v>0</v>
      </c>
      <c r="Q259" s="138">
        <f>IFERROR(__xludf.DUMMYFUNCTION("""COMPUTED_VALUE"""),1.0)</f>
        <v>1</v>
      </c>
      <c r="R259" s="138">
        <f>IFERROR(__xludf.DUMMYFUNCTION("""COMPUTED_VALUE"""),5.0)</f>
        <v>5</v>
      </c>
      <c r="S259" s="139">
        <f>IFERROR(__xludf.DUMMYFUNCTION("""COMPUTED_VALUE"""),227.0)</f>
        <v>227</v>
      </c>
      <c r="T259" s="140">
        <f>IFERROR(__xludf.DUMMYFUNCTION("""COMPUTED_VALUE"""),66.0)</f>
        <v>66</v>
      </c>
      <c r="U259" s="136">
        <f>IFERROR(__xludf.DUMMYFUNCTION("""COMPUTED_VALUE"""),23.0)</f>
        <v>23</v>
      </c>
      <c r="V259" s="136">
        <f>IFERROR(__xludf.DUMMYFUNCTION("""COMPUTED_VALUE"""),14.0)</f>
        <v>14</v>
      </c>
      <c r="W259" s="136">
        <f>IFERROR(__xludf.DUMMYFUNCTION("""COMPUTED_VALUE"""),21.0)</f>
        <v>21</v>
      </c>
      <c r="X259" s="136">
        <f>IFERROR(__xludf.DUMMYFUNCTION("""COMPUTED_VALUE"""),386.3076923076923)</f>
        <v>386.3076923</v>
      </c>
      <c r="Y259" s="141">
        <f>IFERROR(__xludf.DUMMYFUNCTION("""COMPUTED_VALUE"""),48.40153846153846)</f>
        <v>48.40153846</v>
      </c>
      <c r="Z259" s="141">
        <f>IFERROR(__xludf.DUMMYFUNCTION("""COMPUTED_VALUE"""),2358.8076923076924)</f>
        <v>2358.807692</v>
      </c>
    </row>
    <row r="260">
      <c r="A260" s="41" t="str">
        <f>IFERROR(__xludf.DUMMYFUNCTION("""COMPUTED_VALUE"""),"Master")</f>
        <v>Master</v>
      </c>
      <c r="B260" s="41" t="str">
        <f>IFERROR(__xludf.DUMMYFUNCTION("""COMPUTED_VALUE"""),"RSC005234")</f>
        <v>RSC005234</v>
      </c>
      <c r="C260" s="41" t="str">
        <f>IFERROR(__xludf.DUMMYFUNCTION("""COMPUTED_VALUE"""),"Hirsch")</f>
        <v>Hirsch</v>
      </c>
      <c r="D260" s="41" t="str">
        <f>IFERROR(__xludf.DUMMYFUNCTION("""COMPUTED_VALUE"""),"Oblivion")</f>
        <v>Oblivion</v>
      </c>
      <c r="E260" s="136">
        <f>IFERROR(__xludf.DUMMYFUNCTION("""COMPUTED_VALUE"""),30.0)</f>
        <v>30</v>
      </c>
      <c r="F260" s="136">
        <f>IFERROR(__xludf.DUMMYFUNCTION("""COMPUTED_VALUE"""),9.0)</f>
        <v>9</v>
      </c>
      <c r="G260" s="136">
        <f>IFERROR(__xludf.DUMMYFUNCTION("""COMPUTED_VALUE"""),21.0)</f>
        <v>21</v>
      </c>
      <c r="H260" s="137">
        <f>IFERROR(__xludf.DUMMYFUNCTION("""COMPUTED_VALUE"""),0.3)</f>
        <v>0.3</v>
      </c>
      <c r="I260" s="136">
        <f>IFERROR(__xludf.DUMMYFUNCTION("""COMPUTED_VALUE"""),3.0)</f>
        <v>3</v>
      </c>
      <c r="J260" s="136">
        <f>IFERROR(__xludf.DUMMYFUNCTION("""COMPUTED_VALUE"""),11029.0)</f>
        <v>11029</v>
      </c>
      <c r="K260" s="136">
        <f>IFERROR(__xludf.DUMMYFUNCTION("""COMPUTED_VALUE"""),17.0)</f>
        <v>17</v>
      </c>
      <c r="L260" s="136">
        <f>IFERROR(__xludf.DUMMYFUNCTION("""COMPUTED_VALUE"""),18.0)</f>
        <v>18</v>
      </c>
      <c r="M260" s="136">
        <f>IFERROR(__xludf.DUMMYFUNCTION("""COMPUTED_VALUE"""),54.0)</f>
        <v>54</v>
      </c>
      <c r="N260" s="136">
        <f>IFERROR(__xludf.DUMMYFUNCTION("""COMPUTED_VALUE"""),80.0)</f>
        <v>80</v>
      </c>
      <c r="O260" s="138">
        <f>IFERROR(__xludf.DUMMYFUNCTION("""COMPUTED_VALUE"""),2.0)</f>
        <v>2</v>
      </c>
      <c r="P260" s="138">
        <f>IFERROR(__xludf.DUMMYFUNCTION("""COMPUTED_VALUE"""),1.0)</f>
        <v>1</v>
      </c>
      <c r="Q260" s="138">
        <f>IFERROR(__xludf.DUMMYFUNCTION("""COMPUTED_VALUE"""),0.0)</f>
        <v>0</v>
      </c>
      <c r="R260" s="138">
        <f>IFERROR(__xludf.DUMMYFUNCTION("""COMPUTED_VALUE"""),8.0)</f>
        <v>8</v>
      </c>
      <c r="S260" s="139">
        <f>IFERROR(__xludf.DUMMYFUNCTION("""COMPUTED_VALUE"""),268.0)</f>
        <v>268</v>
      </c>
      <c r="T260" s="140">
        <f>IFERROR(__xludf.DUMMYFUNCTION("""COMPUTED_VALUE"""),82.0)</f>
        <v>82</v>
      </c>
      <c r="U260" s="136">
        <f>IFERROR(__xludf.DUMMYFUNCTION("""COMPUTED_VALUE"""),32.0)</f>
        <v>32</v>
      </c>
      <c r="V260" s="136">
        <f>IFERROR(__xludf.DUMMYFUNCTION("""COMPUTED_VALUE"""),63.0)</f>
        <v>63</v>
      </c>
      <c r="W260" s="136">
        <f>IFERROR(__xludf.DUMMYFUNCTION("""COMPUTED_VALUE"""),35.0)</f>
        <v>35</v>
      </c>
      <c r="X260" s="136">
        <f>IFERROR(__xludf.DUMMYFUNCTION("""COMPUTED_VALUE"""),409.56666666666666)</f>
        <v>409.5666667</v>
      </c>
      <c r="Y260" s="141">
        <f>IFERROR(__xludf.DUMMYFUNCTION("""COMPUTED_VALUE"""),47.424333333333344)</f>
        <v>47.42433333</v>
      </c>
      <c r="Z260" s="141">
        <f>IFERROR(__xludf.DUMMYFUNCTION("""COMPUTED_VALUE"""),2526.633333333333)</f>
        <v>2526.633333</v>
      </c>
    </row>
    <row r="261">
      <c r="A261" s="41" t="str">
        <f>IFERROR(__xludf.DUMMYFUNCTION("""COMPUTED_VALUE"""),"Elite")</f>
        <v>Elite</v>
      </c>
      <c r="B261" s="41" t="str">
        <f>IFERROR(__xludf.DUMMYFUNCTION("""COMPUTED_VALUE"""),"RSC005236")</f>
        <v>RSC005236</v>
      </c>
      <c r="C261" s="41" t="str">
        <f>IFERROR(__xludf.DUMMYFUNCTION("""COMPUTED_VALUE"""),"Rozi-")</f>
        <v>Rozi-</v>
      </c>
      <c r="D261" s="41" t="str">
        <f>IFERROR(__xludf.DUMMYFUNCTION("""COMPUTED_VALUE"""),"Forest Cobra")</f>
        <v>Forest Cobra</v>
      </c>
      <c r="E261" s="136">
        <f>IFERROR(__xludf.DUMMYFUNCTION("""COMPUTED_VALUE"""),49.0)</f>
        <v>49</v>
      </c>
      <c r="F261" s="136">
        <f>IFERROR(__xludf.DUMMYFUNCTION("""COMPUTED_VALUE"""),34.0)</f>
        <v>34</v>
      </c>
      <c r="G261" s="136">
        <f>IFERROR(__xludf.DUMMYFUNCTION("""COMPUTED_VALUE"""),15.0)</f>
        <v>15</v>
      </c>
      <c r="H261" s="137">
        <f>IFERROR(__xludf.DUMMYFUNCTION("""COMPUTED_VALUE"""),0.6938775510204082)</f>
        <v>0.693877551</v>
      </c>
      <c r="I261" s="136">
        <f>IFERROR(__xludf.DUMMYFUNCTION("""COMPUTED_VALUE"""),11.0)</f>
        <v>11</v>
      </c>
      <c r="J261" s="136">
        <f>IFERROR(__xludf.DUMMYFUNCTION("""COMPUTED_VALUE"""),20373.0)</f>
        <v>20373</v>
      </c>
      <c r="K261" s="136">
        <f>IFERROR(__xludf.DUMMYFUNCTION("""COMPUTED_VALUE"""),46.0)</f>
        <v>46</v>
      </c>
      <c r="L261" s="136">
        <f>IFERROR(__xludf.DUMMYFUNCTION("""COMPUTED_VALUE"""),39.0)</f>
        <v>39</v>
      </c>
      <c r="M261" s="136">
        <f>IFERROR(__xludf.DUMMYFUNCTION("""COMPUTED_VALUE"""),78.0)</f>
        <v>78</v>
      </c>
      <c r="N261" s="136">
        <f>IFERROR(__xludf.DUMMYFUNCTION("""COMPUTED_VALUE"""),144.0)</f>
        <v>144</v>
      </c>
      <c r="O261" s="138">
        <f>IFERROR(__xludf.DUMMYFUNCTION("""COMPUTED_VALUE"""),13.0)</f>
        <v>13</v>
      </c>
      <c r="P261" s="138">
        <f>IFERROR(__xludf.DUMMYFUNCTION("""COMPUTED_VALUE"""),4.0)</f>
        <v>4</v>
      </c>
      <c r="Q261" s="138">
        <f>IFERROR(__xludf.DUMMYFUNCTION("""COMPUTED_VALUE"""),2.0)</f>
        <v>2</v>
      </c>
      <c r="R261" s="138">
        <f>IFERROR(__xludf.DUMMYFUNCTION("""COMPUTED_VALUE"""),10.0)</f>
        <v>10</v>
      </c>
      <c r="S261" s="139">
        <f>IFERROR(__xludf.DUMMYFUNCTION("""COMPUTED_VALUE"""),365.0)</f>
        <v>365</v>
      </c>
      <c r="T261" s="140">
        <f>IFERROR(__xludf.DUMMYFUNCTION("""COMPUTED_VALUE"""),95.0)</f>
        <v>95</v>
      </c>
      <c r="U261" s="136">
        <f>IFERROR(__xludf.DUMMYFUNCTION("""COMPUTED_VALUE"""),29.0)</f>
        <v>29</v>
      </c>
      <c r="V261" s="136">
        <f>IFERROR(__xludf.DUMMYFUNCTION("""COMPUTED_VALUE"""),75.0)</f>
        <v>75</v>
      </c>
      <c r="W261" s="136">
        <f>IFERROR(__xludf.DUMMYFUNCTION("""COMPUTED_VALUE"""),53.0)</f>
        <v>53</v>
      </c>
      <c r="X261" s="136">
        <f>IFERROR(__xludf.DUMMYFUNCTION("""COMPUTED_VALUE"""),411.8979591836735)</f>
        <v>411.8979592</v>
      </c>
      <c r="Y261" s="141">
        <f>IFERROR(__xludf.DUMMYFUNCTION("""COMPUTED_VALUE"""),49.30530612244896)</f>
        <v>49.30530612</v>
      </c>
      <c r="Z261" s="141">
        <f>IFERROR(__xludf.DUMMYFUNCTION("""COMPUTED_VALUE"""),2498.8571428571427)</f>
        <v>2498.857143</v>
      </c>
    </row>
    <row r="262">
      <c r="A262" s="41" t="str">
        <f>IFERROR(__xludf.DUMMYFUNCTION("""COMPUTED_VALUE"""),"Veteran")</f>
        <v>Veteran</v>
      </c>
      <c r="B262" s="41" t="str">
        <f>IFERROR(__xludf.DUMMYFUNCTION("""COMPUTED_VALUE"""),"RSC005246")</f>
        <v>RSC005246</v>
      </c>
      <c r="C262" s="41" t="str">
        <f>IFERROR(__xludf.DUMMYFUNCTION("""COMPUTED_VALUE"""),"Irishhhh")</f>
        <v>Irishhhh</v>
      </c>
      <c r="D262" s="41" t="str">
        <f>IFERROR(__xludf.DUMMYFUNCTION("""COMPUTED_VALUE"""),"Mosaic Maestros")</f>
        <v>Mosaic Maestros</v>
      </c>
      <c r="E262" s="136">
        <f>IFERROR(__xludf.DUMMYFUNCTION("""COMPUTED_VALUE"""),30.0)</f>
        <v>30</v>
      </c>
      <c r="F262" s="136">
        <f>IFERROR(__xludf.DUMMYFUNCTION("""COMPUTED_VALUE"""),10.0)</f>
        <v>10</v>
      </c>
      <c r="G262" s="136">
        <f>IFERROR(__xludf.DUMMYFUNCTION("""COMPUTED_VALUE"""),20.0)</f>
        <v>20</v>
      </c>
      <c r="H262" s="137">
        <f>IFERROR(__xludf.DUMMYFUNCTION("""COMPUTED_VALUE"""),0.3333333333333333)</f>
        <v>0.3333333333</v>
      </c>
      <c r="I262" s="136">
        <f>IFERROR(__xludf.DUMMYFUNCTION("""COMPUTED_VALUE"""),1.0)</f>
        <v>1</v>
      </c>
      <c r="J262" s="136">
        <f>IFERROR(__xludf.DUMMYFUNCTION("""COMPUTED_VALUE"""),7416.0)</f>
        <v>7416</v>
      </c>
      <c r="K262" s="136">
        <f>IFERROR(__xludf.DUMMYFUNCTION("""COMPUTED_VALUE"""),11.0)</f>
        <v>11</v>
      </c>
      <c r="L262" s="136">
        <f>IFERROR(__xludf.DUMMYFUNCTION("""COMPUTED_VALUE"""),6.0)</f>
        <v>6</v>
      </c>
      <c r="M262" s="136">
        <f>IFERROR(__xludf.DUMMYFUNCTION("""COMPUTED_VALUE"""),36.0)</f>
        <v>36</v>
      </c>
      <c r="N262" s="136">
        <f>IFERROR(__xludf.DUMMYFUNCTION("""COMPUTED_VALUE"""),56.0)</f>
        <v>56</v>
      </c>
      <c r="O262" s="138">
        <f>IFERROR(__xludf.DUMMYFUNCTION("""COMPUTED_VALUE"""),1.0)</f>
        <v>1</v>
      </c>
      <c r="P262" s="138">
        <f>IFERROR(__xludf.DUMMYFUNCTION("""COMPUTED_VALUE"""),1.0)</f>
        <v>1</v>
      </c>
      <c r="Q262" s="138">
        <f>IFERROR(__xludf.DUMMYFUNCTION("""COMPUTED_VALUE"""),0.0)</f>
        <v>0</v>
      </c>
      <c r="R262" s="138">
        <f>IFERROR(__xludf.DUMMYFUNCTION("""COMPUTED_VALUE"""),4.0)</f>
        <v>4</v>
      </c>
      <c r="S262" s="139">
        <f>IFERROR(__xludf.DUMMYFUNCTION("""COMPUTED_VALUE"""),268.0)</f>
        <v>268</v>
      </c>
      <c r="T262" s="140">
        <f>IFERROR(__xludf.DUMMYFUNCTION("""COMPUTED_VALUE"""),104.0)</f>
        <v>104</v>
      </c>
      <c r="U262" s="136">
        <f>IFERROR(__xludf.DUMMYFUNCTION("""COMPUTED_VALUE"""),32.0)</f>
        <v>32</v>
      </c>
      <c r="V262" s="136">
        <f>IFERROR(__xludf.DUMMYFUNCTION("""COMPUTED_VALUE"""),27.0)</f>
        <v>27</v>
      </c>
      <c r="W262" s="136">
        <f>IFERROR(__xludf.DUMMYFUNCTION("""COMPUTED_VALUE"""),40.0)</f>
        <v>40</v>
      </c>
      <c r="X262" s="136">
        <f>IFERROR(__xludf.DUMMYFUNCTION("""COMPUTED_VALUE"""),345.53333333333336)</f>
        <v>345.5333333</v>
      </c>
      <c r="Y262" s="141">
        <f>IFERROR(__xludf.DUMMYFUNCTION("""COMPUTED_VALUE"""),53.02466666666667)</f>
        <v>53.02466667</v>
      </c>
      <c r="Z262" s="141">
        <f>IFERROR(__xludf.DUMMYFUNCTION("""COMPUTED_VALUE"""),2184.3333333333335)</f>
        <v>2184.333333</v>
      </c>
    </row>
    <row r="263">
      <c r="A263" s="41" t="str">
        <f>IFERROR(__xludf.DUMMYFUNCTION("""COMPUTED_VALUE"""),"Prospect")</f>
        <v>Prospect</v>
      </c>
      <c r="B263" s="41" t="str">
        <f>IFERROR(__xludf.DUMMYFUNCTION("""COMPUTED_VALUE"""),"RSC005252")</f>
        <v>RSC005252</v>
      </c>
      <c r="C263" s="41" t="str">
        <f>IFERROR(__xludf.DUMMYFUNCTION("""COMPUTED_VALUE"""),"MysticMax07")</f>
        <v>MysticMax07</v>
      </c>
      <c r="D263" s="41" t="str">
        <f>IFERROR(__xludf.DUMMYFUNCTION("""COMPUTED_VALUE"""),"Earth")</f>
        <v>Earth</v>
      </c>
      <c r="E263" s="136">
        <f>IFERROR(__xludf.DUMMYFUNCTION("""COMPUTED_VALUE"""),55.0)</f>
        <v>55</v>
      </c>
      <c r="F263" s="136">
        <f>IFERROR(__xludf.DUMMYFUNCTION("""COMPUTED_VALUE"""),18.0)</f>
        <v>18</v>
      </c>
      <c r="G263" s="136">
        <f>IFERROR(__xludf.DUMMYFUNCTION("""COMPUTED_VALUE"""),37.0)</f>
        <v>37</v>
      </c>
      <c r="H263" s="137">
        <f>IFERROR(__xludf.DUMMYFUNCTION("""COMPUTED_VALUE"""),0.32727272727272727)</f>
        <v>0.3272727273</v>
      </c>
      <c r="I263" s="136">
        <f>IFERROR(__xludf.DUMMYFUNCTION("""COMPUTED_VALUE"""),8.0)</f>
        <v>8</v>
      </c>
      <c r="J263" s="136">
        <f>IFERROR(__xludf.DUMMYFUNCTION("""COMPUTED_VALUE"""),18831.0)</f>
        <v>18831</v>
      </c>
      <c r="K263" s="136">
        <f>IFERROR(__xludf.DUMMYFUNCTION("""COMPUTED_VALUE"""),43.0)</f>
        <v>43</v>
      </c>
      <c r="L263" s="136">
        <f>IFERROR(__xludf.DUMMYFUNCTION("""COMPUTED_VALUE"""),19.0)</f>
        <v>19</v>
      </c>
      <c r="M263" s="136">
        <f>IFERROR(__xludf.DUMMYFUNCTION("""COMPUTED_VALUE"""),65.0)</f>
        <v>65</v>
      </c>
      <c r="N263" s="136">
        <f>IFERROR(__xludf.DUMMYFUNCTION("""COMPUTED_VALUE"""),157.0)</f>
        <v>157</v>
      </c>
      <c r="O263" s="138">
        <f>IFERROR(__xludf.DUMMYFUNCTION("""COMPUTED_VALUE"""),6.0)</f>
        <v>6</v>
      </c>
      <c r="P263" s="138">
        <f>IFERROR(__xludf.DUMMYFUNCTION("""COMPUTED_VALUE"""),3.0)</f>
        <v>3</v>
      </c>
      <c r="Q263" s="138">
        <f>IFERROR(__xludf.DUMMYFUNCTION("""COMPUTED_VALUE"""),0.0)</f>
        <v>0</v>
      </c>
      <c r="R263" s="138">
        <f>IFERROR(__xludf.DUMMYFUNCTION("""COMPUTED_VALUE"""),6.0)</f>
        <v>6</v>
      </c>
      <c r="S263" s="139">
        <f>IFERROR(__xludf.DUMMYFUNCTION("""COMPUTED_VALUE"""),405.0)</f>
        <v>405</v>
      </c>
      <c r="T263" s="140">
        <f>IFERROR(__xludf.DUMMYFUNCTION("""COMPUTED_VALUE"""),152.0)</f>
        <v>152</v>
      </c>
      <c r="U263" s="136">
        <f>IFERROR(__xludf.DUMMYFUNCTION("""COMPUTED_VALUE"""),61.0)</f>
        <v>61</v>
      </c>
      <c r="V263" s="136">
        <f>IFERROR(__xludf.DUMMYFUNCTION("""COMPUTED_VALUE"""),11.0)</f>
        <v>11</v>
      </c>
      <c r="W263" s="136">
        <f>IFERROR(__xludf.DUMMYFUNCTION("""COMPUTED_VALUE"""),60.0)</f>
        <v>60</v>
      </c>
      <c r="X263" s="136">
        <f>IFERROR(__xludf.DUMMYFUNCTION("""COMPUTED_VALUE"""),292.3272727272727)</f>
        <v>292.3272727</v>
      </c>
      <c r="Y263" s="141">
        <f>IFERROR(__xludf.DUMMYFUNCTION("""COMPUTED_VALUE"""),51.62745454545455)</f>
        <v>51.62745455</v>
      </c>
      <c r="Z263" s="141">
        <f>IFERROR(__xludf.DUMMYFUNCTION("""COMPUTED_VALUE"""),1821.1818181818182)</f>
        <v>1821.181818</v>
      </c>
    </row>
    <row r="264">
      <c r="A264" s="41" t="str">
        <f>IFERROR(__xludf.DUMMYFUNCTION("""COMPUTED_VALUE"""),"Rival")</f>
        <v>Rival</v>
      </c>
      <c r="B264" s="41" t="str">
        <f>IFERROR(__xludf.DUMMYFUNCTION("""COMPUTED_VALUE"""),"RSC005253")</f>
        <v>RSC005253</v>
      </c>
      <c r="C264" s="41" t="str">
        <f>IFERROR(__xludf.DUMMYFUNCTION("""COMPUTED_VALUE"""),"dinnindu")</f>
        <v>dinnindu</v>
      </c>
      <c r="D264" s="41" t="str">
        <f>IFERROR(__xludf.DUMMYFUNCTION("""COMPUTED_VALUE"""),"Wind")</f>
        <v>Wind</v>
      </c>
      <c r="E264" s="136">
        <f>IFERROR(__xludf.DUMMYFUNCTION("""COMPUTED_VALUE"""),18.0)</f>
        <v>18</v>
      </c>
      <c r="F264" s="136">
        <f>IFERROR(__xludf.DUMMYFUNCTION("""COMPUTED_VALUE"""),8.0)</f>
        <v>8</v>
      </c>
      <c r="G264" s="136">
        <f>IFERROR(__xludf.DUMMYFUNCTION("""COMPUTED_VALUE"""),10.0)</f>
        <v>10</v>
      </c>
      <c r="H264" s="137">
        <f>IFERROR(__xludf.DUMMYFUNCTION("""COMPUTED_VALUE"""),0.4444444444444444)</f>
        <v>0.4444444444</v>
      </c>
      <c r="I264" s="136">
        <f>IFERROR(__xludf.DUMMYFUNCTION("""COMPUTED_VALUE"""),2.0)</f>
        <v>2</v>
      </c>
      <c r="J264" s="136">
        <f>IFERROR(__xludf.DUMMYFUNCTION("""COMPUTED_VALUE"""),4827.0)</f>
        <v>4827</v>
      </c>
      <c r="K264" s="136">
        <f>IFERROR(__xludf.DUMMYFUNCTION("""COMPUTED_VALUE"""),12.0)</f>
        <v>12</v>
      </c>
      <c r="L264" s="136">
        <f>IFERROR(__xludf.DUMMYFUNCTION("""COMPUTED_VALUE"""),8.0)</f>
        <v>8</v>
      </c>
      <c r="M264" s="136">
        <f>IFERROR(__xludf.DUMMYFUNCTION("""COMPUTED_VALUE"""),14.0)</f>
        <v>14</v>
      </c>
      <c r="N264" s="136">
        <f>IFERROR(__xludf.DUMMYFUNCTION("""COMPUTED_VALUE"""),30.0)</f>
        <v>30</v>
      </c>
      <c r="O264" s="138">
        <f>IFERROR(__xludf.DUMMYFUNCTION("""COMPUTED_VALUE"""),2.0)</f>
        <v>2</v>
      </c>
      <c r="P264" s="138">
        <f>IFERROR(__xludf.DUMMYFUNCTION("""COMPUTED_VALUE"""),0.0)</f>
        <v>0</v>
      </c>
      <c r="Q264" s="138">
        <f>IFERROR(__xludf.DUMMYFUNCTION("""COMPUTED_VALUE"""),0.0)</f>
        <v>0</v>
      </c>
      <c r="R264" s="138">
        <f>IFERROR(__xludf.DUMMYFUNCTION("""COMPUTED_VALUE"""),2.0)</f>
        <v>2</v>
      </c>
      <c r="S264" s="139">
        <f>IFERROR(__xludf.DUMMYFUNCTION("""COMPUTED_VALUE"""),135.0)</f>
        <v>135</v>
      </c>
      <c r="T264" s="140">
        <f>IFERROR(__xludf.DUMMYFUNCTION("""COMPUTED_VALUE"""),42.0)</f>
        <v>42</v>
      </c>
      <c r="U264" s="136">
        <f>IFERROR(__xludf.DUMMYFUNCTION("""COMPUTED_VALUE"""),16.0)</f>
        <v>16</v>
      </c>
      <c r="V264" s="136">
        <f>IFERROR(__xludf.DUMMYFUNCTION("""COMPUTED_VALUE"""),19.0)</f>
        <v>19</v>
      </c>
      <c r="W264" s="136">
        <f>IFERROR(__xludf.DUMMYFUNCTION("""COMPUTED_VALUE"""),15.0)</f>
        <v>15</v>
      </c>
      <c r="X264" s="136">
        <f>IFERROR(__xludf.DUMMYFUNCTION("""COMPUTED_VALUE"""),335.77777777777777)</f>
        <v>335.7777778</v>
      </c>
      <c r="Y264" s="141">
        <f>IFERROR(__xludf.DUMMYFUNCTION("""COMPUTED_VALUE"""),45.30111111111111)</f>
        <v>45.30111111</v>
      </c>
      <c r="Z264" s="141">
        <f>IFERROR(__xludf.DUMMYFUNCTION("""COMPUTED_VALUE"""),1889.4444444444443)</f>
        <v>1889.444444</v>
      </c>
    </row>
    <row r="265">
      <c r="A265" s="41" t="str">
        <f>IFERROR(__xludf.DUMMYFUNCTION("""COMPUTED_VALUE"""),"Veteran")</f>
        <v>Veteran</v>
      </c>
      <c r="B265" s="41" t="str">
        <f>IFERROR(__xludf.DUMMYFUNCTION("""COMPUTED_VALUE"""),"RSC005257")</f>
        <v>RSC005257</v>
      </c>
      <c r="C265" s="41" t="str">
        <f>IFERROR(__xludf.DUMMYFUNCTION("""COMPUTED_VALUE"""),"P0pfgf")</f>
        <v>P0pfgf</v>
      </c>
      <c r="D265" s="41" t="str">
        <f>IFERROR(__xludf.DUMMYFUNCTION("""COMPUTED_VALUE"""),"Sons of Ares")</f>
        <v>Sons of Ares</v>
      </c>
      <c r="E265" s="136">
        <f>IFERROR(__xludf.DUMMYFUNCTION("""COMPUTED_VALUE"""),54.0)</f>
        <v>54</v>
      </c>
      <c r="F265" s="136">
        <f>IFERROR(__xludf.DUMMYFUNCTION("""COMPUTED_VALUE"""),32.0)</f>
        <v>32</v>
      </c>
      <c r="G265" s="136">
        <f>IFERROR(__xludf.DUMMYFUNCTION("""COMPUTED_VALUE"""),22.0)</f>
        <v>22</v>
      </c>
      <c r="H265" s="137">
        <f>IFERROR(__xludf.DUMMYFUNCTION("""COMPUTED_VALUE"""),0.5925925925925926)</f>
        <v>0.5925925926</v>
      </c>
      <c r="I265" s="136">
        <f>IFERROR(__xludf.DUMMYFUNCTION("""COMPUTED_VALUE"""),8.0)</f>
        <v>8</v>
      </c>
      <c r="J265" s="136">
        <f>IFERROR(__xludf.DUMMYFUNCTION("""COMPUTED_VALUE"""),18220.0)</f>
        <v>18220</v>
      </c>
      <c r="K265" s="136">
        <f>IFERROR(__xludf.DUMMYFUNCTION("""COMPUTED_VALUE"""),39.0)</f>
        <v>39</v>
      </c>
      <c r="L265" s="136">
        <f>IFERROR(__xludf.DUMMYFUNCTION("""COMPUTED_VALUE"""),30.0)</f>
        <v>30</v>
      </c>
      <c r="M265" s="136">
        <f>IFERROR(__xludf.DUMMYFUNCTION("""COMPUTED_VALUE"""),66.0)</f>
        <v>66</v>
      </c>
      <c r="N265" s="136">
        <f>IFERROR(__xludf.DUMMYFUNCTION("""COMPUTED_VALUE"""),131.0)</f>
        <v>131</v>
      </c>
      <c r="O265" s="138">
        <f>IFERROR(__xludf.DUMMYFUNCTION("""COMPUTED_VALUE"""),8.0)</f>
        <v>8</v>
      </c>
      <c r="P265" s="138">
        <f>IFERROR(__xludf.DUMMYFUNCTION("""COMPUTED_VALUE"""),1.0)</f>
        <v>1</v>
      </c>
      <c r="Q265" s="138">
        <f>IFERROR(__xludf.DUMMYFUNCTION("""COMPUTED_VALUE"""),3.0)</f>
        <v>3</v>
      </c>
      <c r="R265" s="138">
        <f>IFERROR(__xludf.DUMMYFUNCTION("""COMPUTED_VALUE"""),8.0)</f>
        <v>8</v>
      </c>
      <c r="S265" s="139">
        <f>IFERROR(__xludf.DUMMYFUNCTION("""COMPUTED_VALUE"""),380.0)</f>
        <v>380</v>
      </c>
      <c r="T265" s="140">
        <f>IFERROR(__xludf.DUMMYFUNCTION("""COMPUTED_VALUE"""),105.0)</f>
        <v>105</v>
      </c>
      <c r="U265" s="136">
        <f>IFERROR(__xludf.DUMMYFUNCTION("""COMPUTED_VALUE"""),39.0)</f>
        <v>39</v>
      </c>
      <c r="V265" s="136">
        <f>IFERROR(__xludf.DUMMYFUNCTION("""COMPUTED_VALUE"""),52.0)</f>
        <v>52</v>
      </c>
      <c r="W265" s="136">
        <f>IFERROR(__xludf.DUMMYFUNCTION("""COMPUTED_VALUE"""),75.0)</f>
        <v>75</v>
      </c>
      <c r="X265" s="136">
        <f>IFERROR(__xludf.DUMMYFUNCTION("""COMPUTED_VALUE"""),392.1111111111111)</f>
        <v>392.1111111</v>
      </c>
      <c r="Y265" s="141">
        <f>IFERROR(__xludf.DUMMYFUNCTION("""COMPUTED_VALUE"""),55.43407407407409)</f>
        <v>55.43407407</v>
      </c>
      <c r="Z265" s="141">
        <f>IFERROR(__xludf.DUMMYFUNCTION("""COMPUTED_VALUE"""),2313.4444444444443)</f>
        <v>2313.444444</v>
      </c>
    </row>
    <row r="266">
      <c r="A266" s="41" t="str">
        <f>IFERROR(__xludf.DUMMYFUNCTION("""COMPUTED_VALUE"""),"Rival")</f>
        <v>Rival</v>
      </c>
      <c r="B266" s="41" t="str">
        <f>IFERROR(__xludf.DUMMYFUNCTION("""COMPUTED_VALUE"""),"RSC005265")</f>
        <v>RSC005265</v>
      </c>
      <c r="C266" s="41" t="str">
        <f>IFERROR(__xludf.DUMMYFUNCTION("""COMPUTED_VALUE"""),"doctorprofessor_")</f>
        <v>doctorprofessor_</v>
      </c>
      <c r="D266" s="41" t="str">
        <f>IFERROR(__xludf.DUMMYFUNCTION("""COMPUTED_VALUE"""),"Centuriones")</f>
        <v>Centuriones</v>
      </c>
      <c r="E266" s="136">
        <f>IFERROR(__xludf.DUMMYFUNCTION("""COMPUTED_VALUE"""),52.0)</f>
        <v>52</v>
      </c>
      <c r="F266" s="136">
        <f>IFERROR(__xludf.DUMMYFUNCTION("""COMPUTED_VALUE"""),32.0)</f>
        <v>32</v>
      </c>
      <c r="G266" s="136">
        <f>IFERROR(__xludf.DUMMYFUNCTION("""COMPUTED_VALUE"""),20.0)</f>
        <v>20</v>
      </c>
      <c r="H266" s="137">
        <f>IFERROR(__xludf.DUMMYFUNCTION("""COMPUTED_VALUE"""),0.6153846153846154)</f>
        <v>0.6153846154</v>
      </c>
      <c r="I266" s="136">
        <f>IFERROR(__xludf.DUMMYFUNCTION("""COMPUTED_VALUE"""),14.0)</f>
        <v>14</v>
      </c>
      <c r="J266" s="136">
        <f>IFERROR(__xludf.DUMMYFUNCTION("""COMPUTED_VALUE"""),19823.0)</f>
        <v>19823</v>
      </c>
      <c r="K266" s="136">
        <f>IFERROR(__xludf.DUMMYFUNCTION("""COMPUTED_VALUE"""),43.0)</f>
        <v>43</v>
      </c>
      <c r="L266" s="136">
        <f>IFERROR(__xludf.DUMMYFUNCTION("""COMPUTED_VALUE"""),38.0)</f>
        <v>38</v>
      </c>
      <c r="M266" s="136">
        <f>IFERROR(__xludf.DUMMYFUNCTION("""COMPUTED_VALUE"""),77.0)</f>
        <v>77</v>
      </c>
      <c r="N266" s="136">
        <f>IFERROR(__xludf.DUMMYFUNCTION("""COMPUTED_VALUE"""),145.0)</f>
        <v>145</v>
      </c>
      <c r="O266" s="138">
        <f>IFERROR(__xludf.DUMMYFUNCTION("""COMPUTED_VALUE"""),11.0)</f>
        <v>11</v>
      </c>
      <c r="P266" s="138">
        <f>IFERROR(__xludf.DUMMYFUNCTION("""COMPUTED_VALUE"""),3.0)</f>
        <v>3</v>
      </c>
      <c r="Q266" s="138">
        <f>IFERROR(__xludf.DUMMYFUNCTION("""COMPUTED_VALUE"""),1.0)</f>
        <v>1</v>
      </c>
      <c r="R266" s="138">
        <f>IFERROR(__xludf.DUMMYFUNCTION("""COMPUTED_VALUE"""),9.0)</f>
        <v>9</v>
      </c>
      <c r="S266" s="139">
        <f>IFERROR(__xludf.DUMMYFUNCTION("""COMPUTED_VALUE"""),354.0)</f>
        <v>354</v>
      </c>
      <c r="T266" s="140">
        <f>IFERROR(__xludf.DUMMYFUNCTION("""COMPUTED_VALUE"""),94.0)</f>
        <v>94</v>
      </c>
      <c r="U266" s="136">
        <f>IFERROR(__xludf.DUMMYFUNCTION("""COMPUTED_VALUE"""),37.0)</f>
        <v>37</v>
      </c>
      <c r="V266" s="136">
        <f>IFERROR(__xludf.DUMMYFUNCTION("""COMPUTED_VALUE"""),33.0)</f>
        <v>33</v>
      </c>
      <c r="W266" s="136">
        <f>IFERROR(__xludf.DUMMYFUNCTION("""COMPUTED_VALUE"""),55.0)</f>
        <v>55</v>
      </c>
      <c r="X266" s="136">
        <f>IFERROR(__xludf.DUMMYFUNCTION("""COMPUTED_VALUE"""),363.7307692307692)</f>
        <v>363.7307692</v>
      </c>
      <c r="Y266" s="141">
        <f>IFERROR(__xludf.DUMMYFUNCTION("""COMPUTED_VALUE"""),49.36846153846156)</f>
        <v>49.36846154</v>
      </c>
      <c r="Z266" s="141">
        <f>IFERROR(__xludf.DUMMYFUNCTION("""COMPUTED_VALUE"""),2169.6153846153848)</f>
        <v>2169.615385</v>
      </c>
    </row>
    <row r="267">
      <c r="A267" s="41" t="str">
        <f>IFERROR(__xludf.DUMMYFUNCTION("""COMPUTED_VALUE"""),"Elite")</f>
        <v>Elite</v>
      </c>
      <c r="B267" s="41" t="str">
        <f>IFERROR(__xludf.DUMMYFUNCTION("""COMPUTED_VALUE"""),"RSC005274")</f>
        <v>RSC005274</v>
      </c>
      <c r="C267" s="41" t="str">
        <f>IFERROR(__xludf.DUMMYFUNCTION("""COMPUTED_VALUE"""),"KING.")</f>
        <v>KING.</v>
      </c>
      <c r="D267" s="41" t="str">
        <f>IFERROR(__xludf.DUMMYFUNCTION("""COMPUTED_VALUE"""),"Pixel Picassos")</f>
        <v>Pixel Picassos</v>
      </c>
      <c r="E267" s="136">
        <f>IFERROR(__xludf.DUMMYFUNCTION("""COMPUTED_VALUE"""),56.0)</f>
        <v>56</v>
      </c>
      <c r="F267" s="136">
        <f>IFERROR(__xludf.DUMMYFUNCTION("""COMPUTED_VALUE"""),23.0)</f>
        <v>23</v>
      </c>
      <c r="G267" s="136">
        <f>IFERROR(__xludf.DUMMYFUNCTION("""COMPUTED_VALUE"""),33.0)</f>
        <v>33</v>
      </c>
      <c r="H267" s="137">
        <f>IFERROR(__xludf.DUMMYFUNCTION("""COMPUTED_VALUE"""),0.4107142857142857)</f>
        <v>0.4107142857</v>
      </c>
      <c r="I267" s="136">
        <f>IFERROR(__xludf.DUMMYFUNCTION("""COMPUTED_VALUE"""),12.0)</f>
        <v>12</v>
      </c>
      <c r="J267" s="136">
        <f>IFERROR(__xludf.DUMMYFUNCTION("""COMPUTED_VALUE"""),21948.0)</f>
        <v>21948</v>
      </c>
      <c r="K267" s="136">
        <f>IFERROR(__xludf.DUMMYFUNCTION("""COMPUTED_VALUE"""),47.0)</f>
        <v>47</v>
      </c>
      <c r="L267" s="136">
        <f>IFERROR(__xludf.DUMMYFUNCTION("""COMPUTED_VALUE"""),39.0)</f>
        <v>39</v>
      </c>
      <c r="M267" s="136">
        <f>IFERROR(__xludf.DUMMYFUNCTION("""COMPUTED_VALUE"""),77.0)</f>
        <v>77</v>
      </c>
      <c r="N267" s="136">
        <f>IFERROR(__xludf.DUMMYFUNCTION("""COMPUTED_VALUE"""),161.0)</f>
        <v>161</v>
      </c>
      <c r="O267" s="138">
        <f>IFERROR(__xludf.DUMMYFUNCTION("""COMPUTED_VALUE"""),12.0)</f>
        <v>12</v>
      </c>
      <c r="P267" s="138">
        <f>IFERROR(__xludf.DUMMYFUNCTION("""COMPUTED_VALUE"""),2.0)</f>
        <v>2</v>
      </c>
      <c r="Q267" s="138">
        <f>IFERROR(__xludf.DUMMYFUNCTION("""COMPUTED_VALUE"""),2.0)</f>
        <v>2</v>
      </c>
      <c r="R267" s="138">
        <f>IFERROR(__xludf.DUMMYFUNCTION("""COMPUTED_VALUE"""),10.0)</f>
        <v>10</v>
      </c>
      <c r="S267" s="139">
        <f>IFERROR(__xludf.DUMMYFUNCTION("""COMPUTED_VALUE"""),442.0)</f>
        <v>442</v>
      </c>
      <c r="T267" s="140">
        <f>IFERROR(__xludf.DUMMYFUNCTION("""COMPUTED_VALUE"""),144.0)</f>
        <v>144</v>
      </c>
      <c r="U267" s="136">
        <f>IFERROR(__xludf.DUMMYFUNCTION("""COMPUTED_VALUE"""),48.0)</f>
        <v>48</v>
      </c>
      <c r="V267" s="136">
        <f>IFERROR(__xludf.DUMMYFUNCTION("""COMPUTED_VALUE"""),63.0)</f>
        <v>63</v>
      </c>
      <c r="W267" s="136">
        <f>IFERROR(__xludf.DUMMYFUNCTION("""COMPUTED_VALUE"""),51.0)</f>
        <v>51</v>
      </c>
      <c r="X267" s="136">
        <f>IFERROR(__xludf.DUMMYFUNCTION("""COMPUTED_VALUE"""),435.4642857142857)</f>
        <v>435.4642857</v>
      </c>
      <c r="Y267" s="141">
        <f>IFERROR(__xludf.DUMMYFUNCTION("""COMPUTED_VALUE"""),47.187678571428556)</f>
        <v>47.18767857</v>
      </c>
      <c r="Z267" s="141">
        <f>IFERROR(__xludf.DUMMYFUNCTION("""COMPUTED_VALUE"""),2610.0)</f>
        <v>2610</v>
      </c>
    </row>
    <row r="268">
      <c r="A268" s="41" t="str">
        <f>IFERROR(__xludf.DUMMYFUNCTION("""COMPUTED_VALUE"""),"Elite")</f>
        <v>Elite</v>
      </c>
      <c r="B268" s="41" t="str">
        <f>IFERROR(__xludf.DUMMYFUNCTION("""COMPUTED_VALUE"""),"RSC005287")</f>
        <v>RSC005287</v>
      </c>
      <c r="C268" s="41" t="str">
        <f>IFERROR(__xludf.DUMMYFUNCTION("""COMPUTED_VALUE"""),"Sakuta")</f>
        <v>Sakuta</v>
      </c>
      <c r="D268" s="41" t="str">
        <f>IFERROR(__xludf.DUMMYFUNCTION("""COMPUTED_VALUE"""),"Forge Defenders")</f>
        <v>Forge Defenders</v>
      </c>
      <c r="E268" s="136">
        <f>IFERROR(__xludf.DUMMYFUNCTION("""COMPUTED_VALUE"""),56.0)</f>
        <v>56</v>
      </c>
      <c r="F268" s="136">
        <f>IFERROR(__xludf.DUMMYFUNCTION("""COMPUTED_VALUE"""),29.0)</f>
        <v>29</v>
      </c>
      <c r="G268" s="136">
        <f>IFERROR(__xludf.DUMMYFUNCTION("""COMPUTED_VALUE"""),27.0)</f>
        <v>27</v>
      </c>
      <c r="H268" s="137">
        <f>IFERROR(__xludf.DUMMYFUNCTION("""COMPUTED_VALUE"""),0.5178571428571429)</f>
        <v>0.5178571429</v>
      </c>
      <c r="I268" s="136">
        <f>IFERROR(__xludf.DUMMYFUNCTION("""COMPUTED_VALUE"""),12.0)</f>
        <v>12</v>
      </c>
      <c r="J268" s="136">
        <f>IFERROR(__xludf.DUMMYFUNCTION("""COMPUTED_VALUE"""),23121.0)</f>
        <v>23121</v>
      </c>
      <c r="K268" s="136">
        <f>IFERROR(__xludf.DUMMYFUNCTION("""COMPUTED_VALUE"""),43.0)</f>
        <v>43</v>
      </c>
      <c r="L268" s="136">
        <f>IFERROR(__xludf.DUMMYFUNCTION("""COMPUTED_VALUE"""),34.0)</f>
        <v>34</v>
      </c>
      <c r="M268" s="136">
        <f>IFERROR(__xludf.DUMMYFUNCTION("""COMPUTED_VALUE"""),109.0)</f>
        <v>109</v>
      </c>
      <c r="N268" s="136">
        <f>IFERROR(__xludf.DUMMYFUNCTION("""COMPUTED_VALUE"""),147.0)</f>
        <v>147</v>
      </c>
      <c r="O268" s="138">
        <f>IFERROR(__xludf.DUMMYFUNCTION("""COMPUTED_VALUE"""),11.0)</f>
        <v>11</v>
      </c>
      <c r="P268" s="138">
        <f>IFERROR(__xludf.DUMMYFUNCTION("""COMPUTED_VALUE"""),2.0)</f>
        <v>2</v>
      </c>
      <c r="Q268" s="138">
        <f>IFERROR(__xludf.DUMMYFUNCTION("""COMPUTED_VALUE"""),4.0)</f>
        <v>4</v>
      </c>
      <c r="R268" s="138">
        <f>IFERROR(__xludf.DUMMYFUNCTION("""COMPUTED_VALUE"""),15.0)</f>
        <v>15</v>
      </c>
      <c r="S268" s="139">
        <f>IFERROR(__xludf.DUMMYFUNCTION("""COMPUTED_VALUE"""),453.0)</f>
        <v>453</v>
      </c>
      <c r="T268" s="140">
        <f>IFERROR(__xludf.DUMMYFUNCTION("""COMPUTED_VALUE"""),130.0)</f>
        <v>130</v>
      </c>
      <c r="U268" s="136">
        <f>IFERROR(__xludf.DUMMYFUNCTION("""COMPUTED_VALUE"""),56.0)</f>
        <v>56</v>
      </c>
      <c r="V268" s="136">
        <f>IFERROR(__xludf.DUMMYFUNCTION("""COMPUTED_VALUE"""),70.0)</f>
        <v>70</v>
      </c>
      <c r="W268" s="136">
        <f>IFERROR(__xludf.DUMMYFUNCTION("""COMPUTED_VALUE"""),55.0)</f>
        <v>55</v>
      </c>
      <c r="X268" s="136">
        <f>IFERROR(__xludf.DUMMYFUNCTION("""COMPUTED_VALUE"""),423.9107142857143)</f>
        <v>423.9107143</v>
      </c>
      <c r="Y268" s="141">
        <f>IFERROR(__xludf.DUMMYFUNCTION("""COMPUTED_VALUE"""),51.36142857142858)</f>
        <v>51.36142857</v>
      </c>
      <c r="Z268" s="141">
        <f>IFERROR(__xludf.DUMMYFUNCTION("""COMPUTED_VALUE"""),2641.964285714286)</f>
        <v>2641.964286</v>
      </c>
    </row>
    <row r="269">
      <c r="A269" s="41" t="str">
        <f>IFERROR(__xludf.DUMMYFUNCTION("""COMPUTED_VALUE"""),"Rival")</f>
        <v>Rival</v>
      </c>
      <c r="B269" s="41" t="str">
        <f>IFERROR(__xludf.DUMMYFUNCTION("""COMPUTED_VALUE"""),"RSC005289")</f>
        <v>RSC005289</v>
      </c>
      <c r="C269" s="41" t="str">
        <f>IFERROR(__xludf.DUMMYFUNCTION("""COMPUTED_VALUE"""),"Gilly-_")</f>
        <v>Gilly-_</v>
      </c>
      <c r="D269" s="41" t="str">
        <f>IFERROR(__xludf.DUMMYFUNCTION("""COMPUTED_VALUE"""),"Black Ice")</f>
        <v>Black Ice</v>
      </c>
      <c r="E269" s="136">
        <f>IFERROR(__xludf.DUMMYFUNCTION("""COMPUTED_VALUE"""),42.0)</f>
        <v>42</v>
      </c>
      <c r="F269" s="136">
        <f>IFERROR(__xludf.DUMMYFUNCTION("""COMPUTED_VALUE"""),18.0)</f>
        <v>18</v>
      </c>
      <c r="G269" s="136">
        <f>IFERROR(__xludf.DUMMYFUNCTION("""COMPUTED_VALUE"""),24.0)</f>
        <v>24</v>
      </c>
      <c r="H269" s="137">
        <f>IFERROR(__xludf.DUMMYFUNCTION("""COMPUTED_VALUE"""),0.42857142857142855)</f>
        <v>0.4285714286</v>
      </c>
      <c r="I269" s="136">
        <f>IFERROR(__xludf.DUMMYFUNCTION("""COMPUTED_VALUE"""),3.0)</f>
        <v>3</v>
      </c>
      <c r="J269" s="136">
        <f>IFERROR(__xludf.DUMMYFUNCTION("""COMPUTED_VALUE"""),12891.0)</f>
        <v>12891</v>
      </c>
      <c r="K269" s="136">
        <f>IFERROR(__xludf.DUMMYFUNCTION("""COMPUTED_VALUE"""),27.0)</f>
        <v>27</v>
      </c>
      <c r="L269" s="136">
        <f>IFERROR(__xludf.DUMMYFUNCTION("""COMPUTED_VALUE"""),20.0)</f>
        <v>20</v>
      </c>
      <c r="M269" s="136">
        <f>IFERROR(__xludf.DUMMYFUNCTION("""COMPUTED_VALUE"""),55.0)</f>
        <v>55</v>
      </c>
      <c r="N269" s="136">
        <f>IFERROR(__xludf.DUMMYFUNCTION("""COMPUTED_VALUE"""),100.0)</f>
        <v>100</v>
      </c>
      <c r="O269" s="138">
        <f>IFERROR(__xludf.DUMMYFUNCTION("""COMPUTED_VALUE"""),5.0)</f>
        <v>5</v>
      </c>
      <c r="P269" s="138">
        <f>IFERROR(__xludf.DUMMYFUNCTION("""COMPUTED_VALUE"""),1.0)</f>
        <v>1</v>
      </c>
      <c r="Q269" s="138">
        <f>IFERROR(__xludf.DUMMYFUNCTION("""COMPUTED_VALUE"""),0.0)</f>
        <v>0</v>
      </c>
      <c r="R269" s="138">
        <f>IFERROR(__xludf.DUMMYFUNCTION("""COMPUTED_VALUE"""),5.0)</f>
        <v>5</v>
      </c>
      <c r="S269" s="139">
        <f>IFERROR(__xludf.DUMMYFUNCTION("""COMPUTED_VALUE"""),323.0)</f>
        <v>323</v>
      </c>
      <c r="T269" s="140">
        <f>IFERROR(__xludf.DUMMYFUNCTION("""COMPUTED_VALUE"""),110.0)</f>
        <v>110</v>
      </c>
      <c r="U269" s="136">
        <f>IFERROR(__xludf.DUMMYFUNCTION("""COMPUTED_VALUE"""),39.0)</f>
        <v>39</v>
      </c>
      <c r="V269" s="136">
        <f>IFERROR(__xludf.DUMMYFUNCTION("""COMPUTED_VALUE"""),44.0)</f>
        <v>44</v>
      </c>
      <c r="W269" s="136">
        <f>IFERROR(__xludf.DUMMYFUNCTION("""COMPUTED_VALUE"""),27.0)</f>
        <v>27</v>
      </c>
      <c r="X269" s="136">
        <f>IFERROR(__xludf.DUMMYFUNCTION("""COMPUTED_VALUE"""),312.76190476190476)</f>
        <v>312.7619048</v>
      </c>
      <c r="Y269" s="141">
        <f>IFERROR(__xludf.DUMMYFUNCTION("""COMPUTED_VALUE"""),54.37380952380952)</f>
        <v>54.37380952</v>
      </c>
      <c r="Z269" s="141">
        <f>IFERROR(__xludf.DUMMYFUNCTION("""COMPUTED_VALUE"""),2032.357142857143)</f>
        <v>2032.357143</v>
      </c>
    </row>
    <row r="270">
      <c r="A270" s="41" t="str">
        <f>IFERROR(__xludf.DUMMYFUNCTION("""COMPUTED_VALUE"""),"Master")</f>
        <v>Master</v>
      </c>
      <c r="B270" s="41" t="str">
        <f>IFERROR(__xludf.DUMMYFUNCTION("""COMPUTED_VALUE"""),"RSC005290")</f>
        <v>RSC005290</v>
      </c>
      <c r="C270" s="41" t="str">
        <f>IFERROR(__xludf.DUMMYFUNCTION("""COMPUTED_VALUE"""),"IMOLDGREG67")</f>
        <v>IMOLDGREG67</v>
      </c>
      <c r="D270" s="41" t="str">
        <f>IFERROR(__xludf.DUMMYFUNCTION("""COMPUTED_VALUE"""),"Kawaii")</f>
        <v>Kawaii</v>
      </c>
      <c r="E270" s="136">
        <f>IFERROR(__xludf.DUMMYFUNCTION("""COMPUTED_VALUE"""),34.0)</f>
        <v>34</v>
      </c>
      <c r="F270" s="136">
        <f>IFERROR(__xludf.DUMMYFUNCTION("""COMPUTED_VALUE"""),21.0)</f>
        <v>21</v>
      </c>
      <c r="G270" s="136">
        <f>IFERROR(__xludf.DUMMYFUNCTION("""COMPUTED_VALUE"""),13.0)</f>
        <v>13</v>
      </c>
      <c r="H270" s="137">
        <f>IFERROR(__xludf.DUMMYFUNCTION("""COMPUTED_VALUE"""),0.6176470588235294)</f>
        <v>0.6176470588</v>
      </c>
      <c r="I270" s="136">
        <f>IFERROR(__xludf.DUMMYFUNCTION("""COMPUTED_VALUE"""),4.0)</f>
        <v>4</v>
      </c>
      <c r="J270" s="136">
        <f>IFERROR(__xludf.DUMMYFUNCTION("""COMPUTED_VALUE"""),11603.0)</f>
        <v>11603</v>
      </c>
      <c r="K270" s="136">
        <f>IFERROR(__xludf.DUMMYFUNCTION("""COMPUTED_VALUE"""),31.0)</f>
        <v>31</v>
      </c>
      <c r="L270" s="136">
        <f>IFERROR(__xludf.DUMMYFUNCTION("""COMPUTED_VALUE"""),23.0)</f>
        <v>23</v>
      </c>
      <c r="M270" s="136">
        <f>IFERROR(__xludf.DUMMYFUNCTION("""COMPUTED_VALUE"""),37.0)</f>
        <v>37</v>
      </c>
      <c r="N270" s="136">
        <f>IFERROR(__xludf.DUMMYFUNCTION("""COMPUTED_VALUE"""),90.0)</f>
        <v>90</v>
      </c>
      <c r="O270" s="138">
        <f>IFERROR(__xludf.DUMMYFUNCTION("""COMPUTED_VALUE"""),6.0)</f>
        <v>6</v>
      </c>
      <c r="P270" s="138">
        <f>IFERROR(__xludf.DUMMYFUNCTION("""COMPUTED_VALUE"""),4.0)</f>
        <v>4</v>
      </c>
      <c r="Q270" s="138">
        <f>IFERROR(__xludf.DUMMYFUNCTION("""COMPUTED_VALUE"""),0.0)</f>
        <v>0</v>
      </c>
      <c r="R270" s="138">
        <f>IFERROR(__xludf.DUMMYFUNCTION("""COMPUTED_VALUE"""),3.0)</f>
        <v>3</v>
      </c>
      <c r="S270" s="139">
        <f>IFERROR(__xludf.DUMMYFUNCTION("""COMPUTED_VALUE"""),237.0)</f>
        <v>237</v>
      </c>
      <c r="T270" s="140">
        <f>IFERROR(__xludf.DUMMYFUNCTION("""COMPUTED_VALUE"""),64.0)</f>
        <v>64</v>
      </c>
      <c r="U270" s="136">
        <f>IFERROR(__xludf.DUMMYFUNCTION("""COMPUTED_VALUE"""),22.0)</f>
        <v>22</v>
      </c>
      <c r="V270" s="136">
        <f>IFERROR(__xludf.DUMMYFUNCTION("""COMPUTED_VALUE"""),30.0)</f>
        <v>30</v>
      </c>
      <c r="W270" s="136">
        <f>IFERROR(__xludf.DUMMYFUNCTION("""COMPUTED_VALUE"""),35.0)</f>
        <v>35</v>
      </c>
      <c r="X270" s="136">
        <f>IFERROR(__xludf.DUMMYFUNCTION("""COMPUTED_VALUE"""),363.1666666666667)</f>
        <v>363.1666667</v>
      </c>
      <c r="Y270" s="141">
        <f>IFERROR(__xludf.DUMMYFUNCTION("""COMPUTED_VALUE"""),47.58133333333333)</f>
        <v>47.58133333</v>
      </c>
      <c r="Z270" s="141">
        <f>IFERROR(__xludf.DUMMYFUNCTION("""COMPUTED_VALUE"""),2260.5333333333333)</f>
        <v>2260.533333</v>
      </c>
    </row>
    <row r="271">
      <c r="A271" s="41" t="str">
        <f>IFERROR(__xludf.DUMMYFUNCTION("""COMPUTED_VALUE"""),"Veteran")</f>
        <v>Veteran</v>
      </c>
      <c r="B271" s="41" t="str">
        <f>IFERROR(__xludf.DUMMYFUNCTION("""COMPUTED_VALUE"""),"RSC005294")</f>
        <v>RSC005294</v>
      </c>
      <c r="C271" s="41" t="str">
        <f>IFERROR(__xludf.DUMMYFUNCTION("""COMPUTED_VALUE"""),"mogulmaniac5480")</f>
        <v>mogulmaniac5480</v>
      </c>
      <c r="D271" s="41" t="str">
        <f>IFERROR(__xludf.DUMMYFUNCTION("""COMPUTED_VALUE"""),"Gorillas")</f>
        <v>Gorillas</v>
      </c>
      <c r="E271" s="136">
        <f>IFERROR(__xludf.DUMMYFUNCTION("""COMPUTED_VALUE"""),16.0)</f>
        <v>16</v>
      </c>
      <c r="F271" s="136">
        <f>IFERROR(__xludf.DUMMYFUNCTION("""COMPUTED_VALUE"""),4.0)</f>
        <v>4</v>
      </c>
      <c r="G271" s="136">
        <f>IFERROR(__xludf.DUMMYFUNCTION("""COMPUTED_VALUE"""),12.0)</f>
        <v>12</v>
      </c>
      <c r="H271" s="137">
        <f>IFERROR(__xludf.DUMMYFUNCTION("""COMPUTED_VALUE"""),0.25)</f>
        <v>0.25</v>
      </c>
      <c r="I271" s="136">
        <f>IFERROR(__xludf.DUMMYFUNCTION("""COMPUTED_VALUE"""),3.0)</f>
        <v>3</v>
      </c>
      <c r="J271" s="136">
        <f>IFERROR(__xludf.DUMMYFUNCTION("""COMPUTED_VALUE"""),4901.0)</f>
        <v>4901</v>
      </c>
      <c r="K271" s="136">
        <f>IFERROR(__xludf.DUMMYFUNCTION("""COMPUTED_VALUE"""),8.0)</f>
        <v>8</v>
      </c>
      <c r="L271" s="136">
        <f>IFERROR(__xludf.DUMMYFUNCTION("""COMPUTED_VALUE"""),5.0)</f>
        <v>5</v>
      </c>
      <c r="M271" s="136">
        <f>IFERROR(__xludf.DUMMYFUNCTION("""COMPUTED_VALUE"""),25.0)</f>
        <v>25</v>
      </c>
      <c r="N271" s="136">
        <f>IFERROR(__xludf.DUMMYFUNCTION("""COMPUTED_VALUE"""),37.0)</f>
        <v>37</v>
      </c>
      <c r="O271" s="138">
        <f>IFERROR(__xludf.DUMMYFUNCTION("""COMPUTED_VALUE"""),2.0)</f>
        <v>2</v>
      </c>
      <c r="P271" s="138">
        <f>IFERROR(__xludf.DUMMYFUNCTION("""COMPUTED_VALUE"""),0.0)</f>
        <v>0</v>
      </c>
      <c r="Q271" s="138">
        <f>IFERROR(__xludf.DUMMYFUNCTION("""COMPUTED_VALUE"""),0.0)</f>
        <v>0</v>
      </c>
      <c r="R271" s="138">
        <f>IFERROR(__xludf.DUMMYFUNCTION("""COMPUTED_VALUE"""),3.0)</f>
        <v>3</v>
      </c>
      <c r="S271" s="139">
        <f>IFERROR(__xludf.DUMMYFUNCTION("""COMPUTED_VALUE"""),138.0)</f>
        <v>138</v>
      </c>
      <c r="T271" s="140">
        <f>IFERROR(__xludf.DUMMYFUNCTION("""COMPUTED_VALUE"""),42.0)</f>
        <v>42</v>
      </c>
      <c r="U271" s="136">
        <f>IFERROR(__xludf.DUMMYFUNCTION("""COMPUTED_VALUE"""),16.0)</f>
        <v>16</v>
      </c>
      <c r="V271" s="136">
        <f>IFERROR(__xludf.DUMMYFUNCTION("""COMPUTED_VALUE"""),22.0)</f>
        <v>22</v>
      </c>
      <c r="W271" s="136">
        <f>IFERROR(__xludf.DUMMYFUNCTION("""COMPUTED_VALUE"""),23.0)</f>
        <v>23</v>
      </c>
      <c r="X271" s="136">
        <f>IFERROR(__xludf.DUMMYFUNCTION("""COMPUTED_VALUE"""),370.8125)</f>
        <v>370.8125</v>
      </c>
      <c r="Y271" s="141">
        <f>IFERROR(__xludf.DUMMYFUNCTION("""COMPUTED_VALUE"""),46.365)</f>
        <v>46.365</v>
      </c>
      <c r="Z271" s="141">
        <f>IFERROR(__xludf.DUMMYFUNCTION("""COMPUTED_VALUE"""),2277.9375)</f>
        <v>2277.9375</v>
      </c>
    </row>
    <row r="272">
      <c r="A272" s="41" t="str">
        <f>IFERROR(__xludf.DUMMYFUNCTION("""COMPUTED_VALUE"""),"Master")</f>
        <v>Master</v>
      </c>
      <c r="B272" s="41" t="str">
        <f>IFERROR(__xludf.DUMMYFUNCTION("""COMPUTED_VALUE"""),"RSC005298")</f>
        <v>RSC005298</v>
      </c>
      <c r="C272" s="41" t="str">
        <f>IFERROR(__xludf.DUMMYFUNCTION("""COMPUTED_VALUE"""),"Kaisaroh")</f>
        <v>Kaisaroh</v>
      </c>
      <c r="D272" s="41" t="str">
        <f>IFERROR(__xludf.DUMMYFUNCTION("""COMPUTED_VALUE"""),"Care Bears")</f>
        <v>Care Bears</v>
      </c>
      <c r="E272" s="136">
        <f>IFERROR(__xludf.DUMMYFUNCTION("""COMPUTED_VALUE"""),9.0)</f>
        <v>9</v>
      </c>
      <c r="F272" s="136">
        <f>IFERROR(__xludf.DUMMYFUNCTION("""COMPUTED_VALUE"""),7.0)</f>
        <v>7</v>
      </c>
      <c r="G272" s="136">
        <f>IFERROR(__xludf.DUMMYFUNCTION("""COMPUTED_VALUE"""),2.0)</f>
        <v>2</v>
      </c>
      <c r="H272" s="137">
        <f>IFERROR(__xludf.DUMMYFUNCTION("""COMPUTED_VALUE"""),0.7777777777777778)</f>
        <v>0.7777777778</v>
      </c>
      <c r="I272" s="136">
        <f>IFERROR(__xludf.DUMMYFUNCTION("""COMPUTED_VALUE"""),2.0)</f>
        <v>2</v>
      </c>
      <c r="J272" s="136">
        <f>IFERROR(__xludf.DUMMYFUNCTION("""COMPUTED_VALUE"""),3003.0)</f>
        <v>3003</v>
      </c>
      <c r="K272" s="136">
        <f>IFERROR(__xludf.DUMMYFUNCTION("""COMPUTED_VALUE"""),11.0)</f>
        <v>11</v>
      </c>
      <c r="L272" s="136">
        <f>IFERROR(__xludf.DUMMYFUNCTION("""COMPUTED_VALUE"""),3.0)</f>
        <v>3</v>
      </c>
      <c r="M272" s="136">
        <f>IFERROR(__xludf.DUMMYFUNCTION("""COMPUTED_VALUE"""),8.0)</f>
        <v>8</v>
      </c>
      <c r="N272" s="136">
        <f>IFERROR(__xludf.DUMMYFUNCTION("""COMPUTED_VALUE"""),22.0)</f>
        <v>22</v>
      </c>
      <c r="O272" s="138">
        <f>IFERROR(__xludf.DUMMYFUNCTION("""COMPUTED_VALUE"""),1.0)</f>
        <v>1</v>
      </c>
      <c r="P272" s="138">
        <f>IFERROR(__xludf.DUMMYFUNCTION("""COMPUTED_VALUE"""),1.0)</f>
        <v>1</v>
      </c>
      <c r="Q272" s="138">
        <f>IFERROR(__xludf.DUMMYFUNCTION("""COMPUTED_VALUE"""),0.0)</f>
        <v>0</v>
      </c>
      <c r="R272" s="138">
        <f>IFERROR(__xludf.DUMMYFUNCTION("""COMPUTED_VALUE"""),0.0)</f>
        <v>0</v>
      </c>
      <c r="S272" s="139">
        <f>IFERROR(__xludf.DUMMYFUNCTION("""COMPUTED_VALUE"""),79.0)</f>
        <v>79</v>
      </c>
      <c r="T272" s="140">
        <f>IFERROR(__xludf.DUMMYFUNCTION("""COMPUTED_VALUE"""),23.0)</f>
        <v>23</v>
      </c>
      <c r="U272" s="136">
        <f>IFERROR(__xludf.DUMMYFUNCTION("""COMPUTED_VALUE"""),9.0)</f>
        <v>9</v>
      </c>
      <c r="V272" s="136">
        <f>IFERROR(__xludf.DUMMYFUNCTION("""COMPUTED_VALUE"""),7.0)</f>
        <v>7</v>
      </c>
      <c r="W272" s="136">
        <f>IFERROR(__xludf.DUMMYFUNCTION("""COMPUTED_VALUE"""),12.0)</f>
        <v>12</v>
      </c>
      <c r="X272" s="136">
        <f>IFERROR(__xludf.DUMMYFUNCTION("""COMPUTED_VALUE"""),362.22222222222223)</f>
        <v>362.2222222</v>
      </c>
      <c r="Y272" s="141">
        <f>IFERROR(__xludf.DUMMYFUNCTION("""COMPUTED_VALUE"""),46.42111111111112)</f>
        <v>46.42111111</v>
      </c>
      <c r="Z272" s="141">
        <f>IFERROR(__xludf.DUMMYFUNCTION("""COMPUTED_VALUE"""),2437.6666666666665)</f>
        <v>2437.666667</v>
      </c>
    </row>
    <row r="273">
      <c r="A273" s="41" t="str">
        <f>IFERROR(__xludf.DUMMYFUNCTION("""COMPUTED_VALUE"""),"Rival")</f>
        <v>Rival</v>
      </c>
      <c r="B273" s="41" t="str">
        <f>IFERROR(__xludf.DUMMYFUNCTION("""COMPUTED_VALUE"""),"RSC005300")</f>
        <v>RSC005300</v>
      </c>
      <c r="C273" s="41" t="str">
        <f>IFERROR(__xludf.DUMMYFUNCTION("""COMPUTED_VALUE"""),"Riko")</f>
        <v>Riko</v>
      </c>
      <c r="D273" s="41" t="str">
        <f>IFERROR(__xludf.DUMMYFUNCTION("""COMPUTED_VALUE"""),"Hammerheads
Barracudas")</f>
        <v>Hammerheads
Barracudas</v>
      </c>
      <c r="E273" s="136">
        <f>IFERROR(__xludf.DUMMYFUNCTION("""COMPUTED_VALUE"""),55.0)</f>
        <v>55</v>
      </c>
      <c r="F273" s="136">
        <f>IFERROR(__xludf.DUMMYFUNCTION("""COMPUTED_VALUE"""),29.0)</f>
        <v>29</v>
      </c>
      <c r="G273" s="136">
        <f>IFERROR(__xludf.DUMMYFUNCTION("""COMPUTED_VALUE"""),26.0)</f>
        <v>26</v>
      </c>
      <c r="H273" s="137">
        <f>IFERROR(__xludf.DUMMYFUNCTION("""COMPUTED_VALUE"""),0.5272727272727272)</f>
        <v>0.5272727273</v>
      </c>
      <c r="I273" s="136">
        <f>IFERROR(__xludf.DUMMYFUNCTION("""COMPUTED_VALUE"""),12.0)</f>
        <v>12</v>
      </c>
      <c r="J273" s="136">
        <f>IFERROR(__xludf.DUMMYFUNCTION("""COMPUTED_VALUE"""),19487.0)</f>
        <v>19487</v>
      </c>
      <c r="K273" s="136">
        <f>IFERROR(__xludf.DUMMYFUNCTION("""COMPUTED_VALUE"""),47.0)</f>
        <v>47</v>
      </c>
      <c r="L273" s="136">
        <f>IFERROR(__xludf.DUMMYFUNCTION("""COMPUTED_VALUE"""),33.0)</f>
        <v>33</v>
      </c>
      <c r="M273" s="136">
        <f>IFERROR(__xludf.DUMMYFUNCTION("""COMPUTED_VALUE"""),69.0)</f>
        <v>69</v>
      </c>
      <c r="N273" s="136">
        <f>IFERROR(__xludf.DUMMYFUNCTION("""COMPUTED_VALUE"""),163.0)</f>
        <v>163</v>
      </c>
      <c r="O273" s="138">
        <f>IFERROR(__xludf.DUMMYFUNCTION("""COMPUTED_VALUE"""),12.0)</f>
        <v>12</v>
      </c>
      <c r="P273" s="138">
        <f>IFERROR(__xludf.DUMMYFUNCTION("""COMPUTED_VALUE"""),5.0)</f>
        <v>5</v>
      </c>
      <c r="Q273" s="138">
        <f>IFERROR(__xludf.DUMMYFUNCTION("""COMPUTED_VALUE"""),2.0)</f>
        <v>2</v>
      </c>
      <c r="R273" s="138">
        <f>IFERROR(__xludf.DUMMYFUNCTION("""COMPUTED_VALUE"""),7.0)</f>
        <v>7</v>
      </c>
      <c r="S273" s="139">
        <f>IFERROR(__xludf.DUMMYFUNCTION("""COMPUTED_VALUE"""),433.0)</f>
        <v>433</v>
      </c>
      <c r="T273" s="140">
        <f>IFERROR(__xludf.DUMMYFUNCTION("""COMPUTED_VALUE"""),130.0)</f>
        <v>130</v>
      </c>
      <c r="U273" s="136">
        <f>IFERROR(__xludf.DUMMYFUNCTION("""COMPUTED_VALUE"""),38.0)</f>
        <v>38</v>
      </c>
      <c r="V273" s="136">
        <f>IFERROR(__xludf.DUMMYFUNCTION("""COMPUTED_VALUE"""),40.0)</f>
        <v>40</v>
      </c>
      <c r="W273" s="136">
        <f>IFERROR(__xludf.DUMMYFUNCTION("""COMPUTED_VALUE"""),44.0)</f>
        <v>44</v>
      </c>
      <c r="X273" s="136">
        <f>IFERROR(__xludf.DUMMYFUNCTION("""COMPUTED_VALUE"""),322.8363636363636)</f>
        <v>322.8363636</v>
      </c>
      <c r="Y273" s="141">
        <f>IFERROR(__xludf.DUMMYFUNCTION("""COMPUTED_VALUE"""),52.17490909090909)</f>
        <v>52.17490909</v>
      </c>
      <c r="Z273" s="141">
        <f>IFERROR(__xludf.DUMMYFUNCTION("""COMPUTED_VALUE"""),1972.9636363636364)</f>
        <v>1972.963636</v>
      </c>
    </row>
    <row r="274">
      <c r="A274" s="41" t="str">
        <f>IFERROR(__xludf.DUMMYFUNCTION("""COMPUTED_VALUE"""),"Elite")</f>
        <v>Elite</v>
      </c>
      <c r="B274" s="41" t="str">
        <f>IFERROR(__xludf.DUMMYFUNCTION("""COMPUTED_VALUE"""),"RSC005308")</f>
        <v>RSC005308</v>
      </c>
      <c r="C274" s="41" t="str">
        <f>IFERROR(__xludf.DUMMYFUNCTION("""COMPUTED_VALUE"""),"6 lbs of Yeet")</f>
        <v>6 lbs of Yeet</v>
      </c>
      <c r="D274" s="41" t="str">
        <f>IFERROR(__xludf.DUMMYFUNCTION("""COMPUTED_VALUE"""),"Pixel Picassos")</f>
        <v>Pixel Picassos</v>
      </c>
      <c r="E274" s="136">
        <f>IFERROR(__xludf.DUMMYFUNCTION("""COMPUTED_VALUE"""),25.0)</f>
        <v>25</v>
      </c>
      <c r="F274" s="136">
        <f>IFERROR(__xludf.DUMMYFUNCTION("""COMPUTED_VALUE"""),13.0)</f>
        <v>13</v>
      </c>
      <c r="G274" s="136">
        <f>IFERROR(__xludf.DUMMYFUNCTION("""COMPUTED_VALUE"""),12.0)</f>
        <v>12</v>
      </c>
      <c r="H274" s="137">
        <f>IFERROR(__xludf.DUMMYFUNCTION("""COMPUTED_VALUE"""),0.52)</f>
        <v>0.52</v>
      </c>
      <c r="I274" s="136">
        <f>IFERROR(__xludf.DUMMYFUNCTION("""COMPUTED_VALUE"""),1.0)</f>
        <v>1</v>
      </c>
      <c r="J274" s="136">
        <f>IFERROR(__xludf.DUMMYFUNCTION("""COMPUTED_VALUE"""),8693.0)</f>
        <v>8693</v>
      </c>
      <c r="K274" s="136">
        <f>IFERROR(__xludf.DUMMYFUNCTION("""COMPUTED_VALUE"""),17.0)</f>
        <v>17</v>
      </c>
      <c r="L274" s="136">
        <f>IFERROR(__xludf.DUMMYFUNCTION("""COMPUTED_VALUE"""),12.0)</f>
        <v>12</v>
      </c>
      <c r="M274" s="136">
        <f>IFERROR(__xludf.DUMMYFUNCTION("""COMPUTED_VALUE"""),43.0)</f>
        <v>43</v>
      </c>
      <c r="N274" s="136">
        <f>IFERROR(__xludf.DUMMYFUNCTION("""COMPUTED_VALUE"""),57.0)</f>
        <v>57</v>
      </c>
      <c r="O274" s="138">
        <f>IFERROR(__xludf.DUMMYFUNCTION("""COMPUTED_VALUE"""),5.0)</f>
        <v>5</v>
      </c>
      <c r="P274" s="138">
        <f>IFERROR(__xludf.DUMMYFUNCTION("""COMPUTED_VALUE"""),0.0)</f>
        <v>0</v>
      </c>
      <c r="Q274" s="138">
        <f>IFERROR(__xludf.DUMMYFUNCTION("""COMPUTED_VALUE"""),0.0)</f>
        <v>0</v>
      </c>
      <c r="R274" s="138">
        <f>IFERROR(__xludf.DUMMYFUNCTION("""COMPUTED_VALUE"""),7.0)</f>
        <v>7</v>
      </c>
      <c r="S274" s="139">
        <f>IFERROR(__xludf.DUMMYFUNCTION("""COMPUTED_VALUE"""),199.0)</f>
        <v>199</v>
      </c>
      <c r="T274" s="140">
        <f>IFERROR(__xludf.DUMMYFUNCTION("""COMPUTED_VALUE"""),54.0)</f>
        <v>54</v>
      </c>
      <c r="U274" s="136">
        <f>IFERROR(__xludf.DUMMYFUNCTION("""COMPUTED_VALUE"""),15.0)</f>
        <v>15</v>
      </c>
      <c r="V274" s="136">
        <f>IFERROR(__xludf.DUMMYFUNCTION("""COMPUTED_VALUE"""),27.0)</f>
        <v>27</v>
      </c>
      <c r="W274" s="136">
        <f>IFERROR(__xludf.DUMMYFUNCTION("""COMPUTED_VALUE"""),25.0)</f>
        <v>25</v>
      </c>
      <c r="X274" s="136">
        <f>IFERROR(__xludf.DUMMYFUNCTION("""COMPUTED_VALUE"""),384.12)</f>
        <v>384.12</v>
      </c>
      <c r="Y274" s="141">
        <f>IFERROR(__xludf.DUMMYFUNCTION("""COMPUTED_VALUE"""),45.27839999999999)</f>
        <v>45.2784</v>
      </c>
      <c r="Z274" s="141">
        <f>IFERROR(__xludf.DUMMYFUNCTION("""COMPUTED_VALUE"""),2339.28)</f>
        <v>2339.28</v>
      </c>
    </row>
    <row r="275">
      <c r="A275" s="41" t="str">
        <f>IFERROR(__xludf.DUMMYFUNCTION("""COMPUTED_VALUE"""),"Veteran")</f>
        <v>Veteran</v>
      </c>
      <c r="B275" s="41" t="str">
        <f>IFERROR(__xludf.DUMMYFUNCTION("""COMPUTED_VALUE"""),"RSC005314")</f>
        <v>RSC005314</v>
      </c>
      <c r="C275" s="41" t="str">
        <f>IFERROR(__xludf.DUMMYFUNCTION("""COMPUTED_VALUE"""),"daggumbigfeet")</f>
        <v>daggumbigfeet</v>
      </c>
      <c r="D275" s="41" t="str">
        <f>IFERROR(__xludf.DUMMYFUNCTION("""COMPUTED_VALUE"""),"Mosaic Maestros")</f>
        <v>Mosaic Maestros</v>
      </c>
      <c r="E275" s="136">
        <f>IFERROR(__xludf.DUMMYFUNCTION("""COMPUTED_VALUE"""),21.0)</f>
        <v>21</v>
      </c>
      <c r="F275" s="136">
        <f>IFERROR(__xludf.DUMMYFUNCTION("""COMPUTED_VALUE"""),7.0)</f>
        <v>7</v>
      </c>
      <c r="G275" s="136">
        <f>IFERROR(__xludf.DUMMYFUNCTION("""COMPUTED_VALUE"""),14.0)</f>
        <v>14</v>
      </c>
      <c r="H275" s="137">
        <f>IFERROR(__xludf.DUMMYFUNCTION("""COMPUTED_VALUE"""),0.3333333333333333)</f>
        <v>0.3333333333</v>
      </c>
      <c r="I275" s="136">
        <f>IFERROR(__xludf.DUMMYFUNCTION("""COMPUTED_VALUE"""),1.0)</f>
        <v>1</v>
      </c>
      <c r="J275" s="136">
        <f>IFERROR(__xludf.DUMMYFUNCTION("""COMPUTED_VALUE"""),6827.0)</f>
        <v>6827</v>
      </c>
      <c r="K275" s="136">
        <f>IFERROR(__xludf.DUMMYFUNCTION("""COMPUTED_VALUE"""),16.0)</f>
        <v>16</v>
      </c>
      <c r="L275" s="136">
        <f>IFERROR(__xludf.DUMMYFUNCTION("""COMPUTED_VALUE"""),9.0)</f>
        <v>9</v>
      </c>
      <c r="M275" s="136">
        <f>IFERROR(__xludf.DUMMYFUNCTION("""COMPUTED_VALUE"""),22.0)</f>
        <v>22</v>
      </c>
      <c r="N275" s="136">
        <f>IFERROR(__xludf.DUMMYFUNCTION("""COMPUTED_VALUE"""),47.0)</f>
        <v>47</v>
      </c>
      <c r="O275" s="138">
        <f>IFERROR(__xludf.DUMMYFUNCTION("""COMPUTED_VALUE"""),1.0)</f>
        <v>1</v>
      </c>
      <c r="P275" s="138">
        <f>IFERROR(__xludf.DUMMYFUNCTION("""COMPUTED_VALUE"""),0.0)</f>
        <v>0</v>
      </c>
      <c r="Q275" s="138">
        <f>IFERROR(__xludf.DUMMYFUNCTION("""COMPUTED_VALUE"""),0.0)</f>
        <v>0</v>
      </c>
      <c r="R275" s="138">
        <f>IFERROR(__xludf.DUMMYFUNCTION("""COMPUTED_VALUE"""),1.0)</f>
        <v>1</v>
      </c>
      <c r="S275" s="139">
        <f>IFERROR(__xludf.DUMMYFUNCTION("""COMPUTED_VALUE"""),185.0)</f>
        <v>185</v>
      </c>
      <c r="T275" s="140">
        <f>IFERROR(__xludf.DUMMYFUNCTION("""COMPUTED_VALUE"""),72.0)</f>
        <v>72</v>
      </c>
      <c r="U275" s="136">
        <f>IFERROR(__xludf.DUMMYFUNCTION("""COMPUTED_VALUE"""),22.0)</f>
        <v>22</v>
      </c>
      <c r="V275" s="136">
        <f>IFERROR(__xludf.DUMMYFUNCTION("""COMPUTED_VALUE"""),18.0)</f>
        <v>18</v>
      </c>
      <c r="W275" s="136">
        <f>IFERROR(__xludf.DUMMYFUNCTION("""COMPUTED_VALUE"""),27.0)</f>
        <v>27</v>
      </c>
      <c r="X275" s="136">
        <f>IFERROR(__xludf.DUMMYFUNCTION("""COMPUTED_VALUE"""),331.4761904761905)</f>
        <v>331.4761905</v>
      </c>
      <c r="Y275" s="141">
        <f>IFERROR(__xludf.DUMMYFUNCTION("""COMPUTED_VALUE"""),50.978095238095236)</f>
        <v>50.97809524</v>
      </c>
      <c r="Z275" s="141">
        <f>IFERROR(__xludf.DUMMYFUNCTION("""COMPUTED_VALUE"""),2162.904761904762)</f>
        <v>2162.904762</v>
      </c>
    </row>
    <row r="276">
      <c r="A276" s="41" t="str">
        <f>IFERROR(__xludf.DUMMYFUNCTION("""COMPUTED_VALUE"""),"Premier")</f>
        <v>Premier</v>
      </c>
      <c r="B276" s="41" t="str">
        <f>IFERROR(__xludf.DUMMYFUNCTION("""COMPUTED_VALUE"""),"RSC005320")</f>
        <v>RSC005320</v>
      </c>
      <c r="C276" s="41" t="str">
        <f>IFERROR(__xludf.DUMMYFUNCTION("""COMPUTED_VALUE"""),"MaggieZerua")</f>
        <v>MaggieZerua</v>
      </c>
      <c r="D276" s="41" t="str">
        <f>IFERROR(__xludf.DUMMYFUNCTION("""COMPUTED_VALUE"""),"Leviathans")</f>
        <v>Leviathans</v>
      </c>
      <c r="E276" s="136">
        <f>IFERROR(__xludf.DUMMYFUNCTION("""COMPUTED_VALUE"""),35.0)</f>
        <v>35</v>
      </c>
      <c r="F276" s="136">
        <f>IFERROR(__xludf.DUMMYFUNCTION("""COMPUTED_VALUE"""),16.0)</f>
        <v>16</v>
      </c>
      <c r="G276" s="136">
        <f>IFERROR(__xludf.DUMMYFUNCTION("""COMPUTED_VALUE"""),19.0)</f>
        <v>19</v>
      </c>
      <c r="H276" s="137">
        <f>IFERROR(__xludf.DUMMYFUNCTION("""COMPUTED_VALUE"""),0.45714285714285713)</f>
        <v>0.4571428571</v>
      </c>
      <c r="I276" s="136">
        <f>IFERROR(__xludf.DUMMYFUNCTION("""COMPUTED_VALUE"""),2.0)</f>
        <v>2</v>
      </c>
      <c r="J276" s="136">
        <f>IFERROR(__xludf.DUMMYFUNCTION("""COMPUTED_VALUE"""),13496.0)</f>
        <v>13496</v>
      </c>
      <c r="K276" s="136">
        <f>IFERROR(__xludf.DUMMYFUNCTION("""COMPUTED_VALUE"""),24.0)</f>
        <v>24</v>
      </c>
      <c r="L276" s="136">
        <f>IFERROR(__xludf.DUMMYFUNCTION("""COMPUTED_VALUE"""),22.0)</f>
        <v>22</v>
      </c>
      <c r="M276" s="136">
        <f>IFERROR(__xludf.DUMMYFUNCTION("""COMPUTED_VALUE"""),67.0)</f>
        <v>67</v>
      </c>
      <c r="N276" s="136">
        <f>IFERROR(__xludf.DUMMYFUNCTION("""COMPUTED_VALUE"""),97.0)</f>
        <v>97</v>
      </c>
      <c r="O276" s="138">
        <f>IFERROR(__xludf.DUMMYFUNCTION("""COMPUTED_VALUE"""),6.0)</f>
        <v>6</v>
      </c>
      <c r="P276" s="138">
        <f>IFERROR(__xludf.DUMMYFUNCTION("""COMPUTED_VALUE"""),1.0)</f>
        <v>1</v>
      </c>
      <c r="Q276" s="138">
        <f>IFERROR(__xludf.DUMMYFUNCTION("""COMPUTED_VALUE"""),0.0)</f>
        <v>0</v>
      </c>
      <c r="R276" s="138">
        <f>IFERROR(__xludf.DUMMYFUNCTION("""COMPUTED_VALUE"""),9.0)</f>
        <v>9</v>
      </c>
      <c r="S276" s="139">
        <f>IFERROR(__xludf.DUMMYFUNCTION("""COMPUTED_VALUE"""),361.0)</f>
        <v>361</v>
      </c>
      <c r="T276" s="140">
        <f>IFERROR(__xludf.DUMMYFUNCTION("""COMPUTED_VALUE"""),97.0)</f>
        <v>97</v>
      </c>
      <c r="U276" s="136">
        <f>IFERROR(__xludf.DUMMYFUNCTION("""COMPUTED_VALUE"""),36.0)</f>
        <v>36</v>
      </c>
      <c r="V276" s="136">
        <f>IFERROR(__xludf.DUMMYFUNCTION("""COMPUTED_VALUE"""),43.0)</f>
        <v>43</v>
      </c>
      <c r="W276" s="136">
        <f>IFERROR(__xludf.DUMMYFUNCTION("""COMPUTED_VALUE"""),38.0)</f>
        <v>38</v>
      </c>
      <c r="X276" s="136">
        <f>IFERROR(__xludf.DUMMYFUNCTION("""COMPUTED_VALUE"""),402.54285714285714)</f>
        <v>402.5428571</v>
      </c>
      <c r="Y276" s="141">
        <f>IFERROR(__xludf.DUMMYFUNCTION("""COMPUTED_VALUE"""),52.37514285714285)</f>
        <v>52.37514286</v>
      </c>
      <c r="Z276" s="141">
        <f>IFERROR(__xludf.DUMMYFUNCTION("""COMPUTED_VALUE"""),2515.9142857142856)</f>
        <v>2515.914286</v>
      </c>
    </row>
    <row r="277">
      <c r="A277" s="41" t="str">
        <f>IFERROR(__xludf.DUMMYFUNCTION("""COMPUTED_VALUE"""),"Prospect")</f>
        <v>Prospect</v>
      </c>
      <c r="B277" s="41" t="str">
        <f>IFERROR(__xludf.DUMMYFUNCTION("""COMPUTED_VALUE"""),"RSC005335")</f>
        <v>RSC005335</v>
      </c>
      <c r="C277" s="41" t="str">
        <f>IFERROR(__xludf.DUMMYFUNCTION("""COMPUTED_VALUE"""),"R4p")</f>
        <v>R4p</v>
      </c>
      <c r="D277" s="41" t="str">
        <f>IFERROR(__xludf.DUMMYFUNCTION("""COMPUTED_VALUE"""),"Turbulence")</f>
        <v>Turbulence</v>
      </c>
      <c r="E277" s="136">
        <f>IFERROR(__xludf.DUMMYFUNCTION("""COMPUTED_VALUE"""),1.0)</f>
        <v>1</v>
      </c>
      <c r="F277" s="136">
        <f>IFERROR(__xludf.DUMMYFUNCTION("""COMPUTED_VALUE"""),0.0)</f>
        <v>0</v>
      </c>
      <c r="G277" s="136">
        <f>IFERROR(__xludf.DUMMYFUNCTION("""COMPUTED_VALUE"""),1.0)</f>
        <v>1</v>
      </c>
      <c r="H277" s="137">
        <f>IFERROR(__xludf.DUMMYFUNCTION("""COMPUTED_VALUE"""),0.0)</f>
        <v>0</v>
      </c>
      <c r="I277" s="136">
        <f>IFERROR(__xludf.DUMMYFUNCTION("""COMPUTED_VALUE"""),0.0)</f>
        <v>0</v>
      </c>
      <c r="J277" s="136">
        <f>IFERROR(__xludf.DUMMYFUNCTION("""COMPUTED_VALUE"""),354.0)</f>
        <v>354</v>
      </c>
      <c r="K277" s="136">
        <f>IFERROR(__xludf.DUMMYFUNCTION("""COMPUTED_VALUE"""),1.0)</f>
        <v>1</v>
      </c>
      <c r="L277" s="136">
        <f>IFERROR(__xludf.DUMMYFUNCTION("""COMPUTED_VALUE"""),1.0)</f>
        <v>1</v>
      </c>
      <c r="M277" s="136">
        <f>IFERROR(__xludf.DUMMYFUNCTION("""COMPUTED_VALUE"""),1.0)</f>
        <v>1</v>
      </c>
      <c r="N277" s="136">
        <f>IFERROR(__xludf.DUMMYFUNCTION("""COMPUTED_VALUE"""),1.0)</f>
        <v>1</v>
      </c>
      <c r="O277" s="138">
        <f>IFERROR(__xludf.DUMMYFUNCTION("""COMPUTED_VALUE"""),1.0)</f>
        <v>1</v>
      </c>
      <c r="P277" s="138">
        <f>IFERROR(__xludf.DUMMYFUNCTION("""COMPUTED_VALUE"""),0.0)</f>
        <v>0</v>
      </c>
      <c r="Q277" s="138">
        <f>IFERROR(__xludf.DUMMYFUNCTION("""COMPUTED_VALUE"""),0.0)</f>
        <v>0</v>
      </c>
      <c r="R277" s="138">
        <f>IFERROR(__xludf.DUMMYFUNCTION("""COMPUTED_VALUE"""),0.0)</f>
        <v>0</v>
      </c>
      <c r="S277" s="139">
        <f>IFERROR(__xludf.DUMMYFUNCTION("""COMPUTED_VALUE"""),9.0)</f>
        <v>9</v>
      </c>
      <c r="T277" s="140">
        <f>IFERROR(__xludf.DUMMYFUNCTION("""COMPUTED_VALUE"""),3.0)</f>
        <v>3</v>
      </c>
      <c r="U277" s="136">
        <f>IFERROR(__xludf.DUMMYFUNCTION("""COMPUTED_VALUE"""),1.0)</f>
        <v>1</v>
      </c>
      <c r="V277" s="136">
        <f>IFERROR(__xludf.DUMMYFUNCTION("""COMPUTED_VALUE"""),0.0)</f>
        <v>0</v>
      </c>
      <c r="W277" s="136">
        <f>IFERROR(__xludf.DUMMYFUNCTION("""COMPUTED_VALUE"""),0.0)</f>
        <v>0</v>
      </c>
      <c r="X277" s="136">
        <f>IFERROR(__xludf.DUMMYFUNCTION("""COMPUTED_VALUE"""),350.0)</f>
        <v>350</v>
      </c>
      <c r="Y277" s="141">
        <f>IFERROR(__xludf.DUMMYFUNCTION("""COMPUTED_VALUE"""),55.43)</f>
        <v>55.43</v>
      </c>
      <c r="Z277" s="141">
        <f>IFERROR(__xludf.DUMMYFUNCTION("""COMPUTED_VALUE"""),2075.0)</f>
        <v>2075</v>
      </c>
    </row>
    <row r="278">
      <c r="A278" s="41" t="str">
        <f>IFERROR(__xludf.DUMMYFUNCTION("""COMPUTED_VALUE"""),"Premier")</f>
        <v>Premier</v>
      </c>
      <c r="B278" s="41" t="str">
        <f>IFERROR(__xludf.DUMMYFUNCTION("""COMPUTED_VALUE"""),"RSC005340")</f>
        <v>RSC005340</v>
      </c>
      <c r="C278" s="41" t="str">
        <f>IFERROR(__xludf.DUMMYFUNCTION("""COMPUTED_VALUE"""),"Mystikal")</f>
        <v>Mystikal</v>
      </c>
      <c r="D278" s="41" t="str">
        <f>IFERROR(__xludf.DUMMYFUNCTION("""COMPUTED_VALUE"""),"Gummy Bears")</f>
        <v>Gummy Bears</v>
      </c>
      <c r="E278" s="136">
        <f>IFERROR(__xludf.DUMMYFUNCTION("""COMPUTED_VALUE"""),44.0)</f>
        <v>44</v>
      </c>
      <c r="F278" s="136">
        <f>IFERROR(__xludf.DUMMYFUNCTION("""COMPUTED_VALUE"""),22.0)</f>
        <v>22</v>
      </c>
      <c r="G278" s="136">
        <f>IFERROR(__xludf.DUMMYFUNCTION("""COMPUTED_VALUE"""),22.0)</f>
        <v>22</v>
      </c>
      <c r="H278" s="137">
        <f>IFERROR(__xludf.DUMMYFUNCTION("""COMPUTED_VALUE"""),0.5)</f>
        <v>0.5</v>
      </c>
      <c r="I278" s="136">
        <f>IFERROR(__xludf.DUMMYFUNCTION("""COMPUTED_VALUE"""),5.0)</f>
        <v>5</v>
      </c>
      <c r="J278" s="136">
        <f>IFERROR(__xludf.DUMMYFUNCTION("""COMPUTED_VALUE"""),13891.0)</f>
        <v>13891</v>
      </c>
      <c r="K278" s="136">
        <f>IFERROR(__xludf.DUMMYFUNCTION("""COMPUTED_VALUE"""),36.0)</f>
        <v>36</v>
      </c>
      <c r="L278" s="136">
        <f>IFERROR(__xludf.DUMMYFUNCTION("""COMPUTED_VALUE"""),22.0)</f>
        <v>22</v>
      </c>
      <c r="M278" s="136">
        <f>IFERROR(__xludf.DUMMYFUNCTION("""COMPUTED_VALUE"""),46.0)</f>
        <v>46</v>
      </c>
      <c r="N278" s="136">
        <f>IFERROR(__xludf.DUMMYFUNCTION("""COMPUTED_VALUE"""),110.0)</f>
        <v>110</v>
      </c>
      <c r="O278" s="138">
        <f>IFERROR(__xludf.DUMMYFUNCTION("""COMPUTED_VALUE"""),4.0)</f>
        <v>4</v>
      </c>
      <c r="P278" s="138">
        <f>IFERROR(__xludf.DUMMYFUNCTION("""COMPUTED_VALUE"""),1.0)</f>
        <v>1</v>
      </c>
      <c r="Q278" s="138">
        <f>IFERROR(__xludf.DUMMYFUNCTION("""COMPUTED_VALUE"""),0.0)</f>
        <v>0</v>
      </c>
      <c r="R278" s="138">
        <f>IFERROR(__xludf.DUMMYFUNCTION("""COMPUTED_VALUE"""),4.0)</f>
        <v>4</v>
      </c>
      <c r="S278" s="139">
        <f>IFERROR(__xludf.DUMMYFUNCTION("""COMPUTED_VALUE"""),324.0)</f>
        <v>324</v>
      </c>
      <c r="T278" s="140">
        <f>IFERROR(__xludf.DUMMYFUNCTION("""COMPUTED_VALUE"""),110.0)</f>
        <v>110</v>
      </c>
      <c r="U278" s="136">
        <f>IFERROR(__xludf.DUMMYFUNCTION("""COMPUTED_VALUE"""),36.0)</f>
        <v>36</v>
      </c>
      <c r="V278" s="136">
        <f>IFERROR(__xludf.DUMMYFUNCTION("""COMPUTED_VALUE"""),49.0)</f>
        <v>49</v>
      </c>
      <c r="W278" s="136">
        <f>IFERROR(__xludf.DUMMYFUNCTION("""COMPUTED_VALUE"""),45.0)</f>
        <v>45</v>
      </c>
      <c r="X278" s="136">
        <f>IFERROR(__xludf.DUMMYFUNCTION("""COMPUTED_VALUE"""),417.9318181818182)</f>
        <v>417.9318182</v>
      </c>
      <c r="Y278" s="141">
        <f>IFERROR(__xludf.DUMMYFUNCTION("""COMPUTED_VALUE"""),49.11204545454545)</f>
        <v>49.11204545</v>
      </c>
      <c r="Z278" s="141">
        <f>IFERROR(__xludf.DUMMYFUNCTION("""COMPUTED_VALUE"""),2383.5454545454545)</f>
        <v>2383.545455</v>
      </c>
    </row>
    <row r="279">
      <c r="A279" s="41" t="str">
        <f>IFERROR(__xludf.DUMMYFUNCTION("""COMPUTED_VALUE"""),"Master")</f>
        <v>Master</v>
      </c>
      <c r="B279" s="41" t="str">
        <f>IFERROR(__xludf.DUMMYFUNCTION("""COMPUTED_VALUE"""),"RSC005349")</f>
        <v>RSC005349</v>
      </c>
      <c r="C279" s="41" t="str">
        <f>IFERROR(__xludf.DUMMYFUNCTION("""COMPUTED_VALUE"""),"Rzemb1e")</f>
        <v>Rzemb1e</v>
      </c>
      <c r="D279" s="41" t="str">
        <f>IFERROR(__xludf.DUMMYFUNCTION("""COMPUTED_VALUE"""),"Lemurs")</f>
        <v>Lemurs</v>
      </c>
      <c r="E279" s="136">
        <f>IFERROR(__xludf.DUMMYFUNCTION("""COMPUTED_VALUE"""),27.0)</f>
        <v>27</v>
      </c>
      <c r="F279" s="136">
        <f>IFERROR(__xludf.DUMMYFUNCTION("""COMPUTED_VALUE"""),11.0)</f>
        <v>11</v>
      </c>
      <c r="G279" s="136">
        <f>IFERROR(__xludf.DUMMYFUNCTION("""COMPUTED_VALUE"""),16.0)</f>
        <v>16</v>
      </c>
      <c r="H279" s="137">
        <f>IFERROR(__xludf.DUMMYFUNCTION("""COMPUTED_VALUE"""),0.4074074074074074)</f>
        <v>0.4074074074</v>
      </c>
      <c r="I279" s="136">
        <f>IFERROR(__xludf.DUMMYFUNCTION("""COMPUTED_VALUE"""),3.0)</f>
        <v>3</v>
      </c>
      <c r="J279" s="136">
        <f>IFERROR(__xludf.DUMMYFUNCTION("""COMPUTED_VALUE"""),8277.0)</f>
        <v>8277</v>
      </c>
      <c r="K279" s="136">
        <f>IFERROR(__xludf.DUMMYFUNCTION("""COMPUTED_VALUE"""),19.0)</f>
        <v>19</v>
      </c>
      <c r="L279" s="136">
        <f>IFERROR(__xludf.DUMMYFUNCTION("""COMPUTED_VALUE"""),16.0)</f>
        <v>16</v>
      </c>
      <c r="M279" s="136">
        <f>IFERROR(__xludf.DUMMYFUNCTION("""COMPUTED_VALUE"""),27.0)</f>
        <v>27</v>
      </c>
      <c r="N279" s="136">
        <f>IFERROR(__xludf.DUMMYFUNCTION("""COMPUTED_VALUE"""),70.0)</f>
        <v>70</v>
      </c>
      <c r="O279" s="138">
        <f>IFERROR(__xludf.DUMMYFUNCTION("""COMPUTED_VALUE"""),3.0)</f>
        <v>3</v>
      </c>
      <c r="P279" s="138">
        <f>IFERROR(__xludf.DUMMYFUNCTION("""COMPUTED_VALUE"""),1.0)</f>
        <v>1</v>
      </c>
      <c r="Q279" s="138">
        <f>IFERROR(__xludf.DUMMYFUNCTION("""COMPUTED_VALUE"""),1.0)</f>
        <v>1</v>
      </c>
      <c r="R279" s="138">
        <f>IFERROR(__xludf.DUMMYFUNCTION("""COMPUTED_VALUE"""),2.0)</f>
        <v>2</v>
      </c>
      <c r="S279" s="139">
        <f>IFERROR(__xludf.DUMMYFUNCTION("""COMPUTED_VALUE"""),168.0)</f>
        <v>168</v>
      </c>
      <c r="T279" s="140">
        <f>IFERROR(__xludf.DUMMYFUNCTION("""COMPUTED_VALUE"""),58.0)</f>
        <v>58</v>
      </c>
      <c r="U279" s="136">
        <f>IFERROR(__xludf.DUMMYFUNCTION("""COMPUTED_VALUE"""),19.0)</f>
        <v>19</v>
      </c>
      <c r="V279" s="136">
        <f>IFERROR(__xludf.DUMMYFUNCTION("""COMPUTED_VALUE"""),30.0)</f>
        <v>30</v>
      </c>
      <c r="W279" s="136">
        <f>IFERROR(__xludf.DUMMYFUNCTION("""COMPUTED_VALUE"""),19.0)</f>
        <v>19</v>
      </c>
      <c r="X279" s="136">
        <f>IFERROR(__xludf.DUMMYFUNCTION("""COMPUTED_VALUE"""),418.5652173913044)</f>
        <v>418.5652174</v>
      </c>
      <c r="Y279" s="141">
        <f>IFERROR(__xludf.DUMMYFUNCTION("""COMPUTED_VALUE"""),47.37826086956522)</f>
        <v>47.37826087</v>
      </c>
      <c r="Z279" s="141">
        <f>IFERROR(__xludf.DUMMYFUNCTION("""COMPUTED_VALUE"""),2542.391304347826)</f>
        <v>2542.391304</v>
      </c>
    </row>
    <row r="280">
      <c r="A280" s="41" t="str">
        <f>IFERROR(__xludf.DUMMYFUNCTION("""COMPUTED_VALUE"""),"Veteran")</f>
        <v>Veteran</v>
      </c>
      <c r="B280" s="41" t="str">
        <f>IFERROR(__xludf.DUMMYFUNCTION("""COMPUTED_VALUE"""),"RSC005355")</f>
        <v>RSC005355</v>
      </c>
      <c r="C280" s="41" t="str">
        <f>IFERROR(__xludf.DUMMYFUNCTION("""COMPUTED_VALUE"""),"Armando")</f>
        <v>Armando</v>
      </c>
      <c r="D280" s="41" t="str">
        <f>IFERROR(__xludf.DUMMYFUNCTION("""COMPUTED_VALUE"""),"Gorillas")</f>
        <v>Gorillas</v>
      </c>
      <c r="E280" s="136">
        <f>IFERROR(__xludf.DUMMYFUNCTION("""COMPUTED_VALUE"""),40.0)</f>
        <v>40</v>
      </c>
      <c r="F280" s="136">
        <f>IFERROR(__xludf.DUMMYFUNCTION("""COMPUTED_VALUE"""),17.0)</f>
        <v>17</v>
      </c>
      <c r="G280" s="136">
        <f>IFERROR(__xludf.DUMMYFUNCTION("""COMPUTED_VALUE"""),23.0)</f>
        <v>23</v>
      </c>
      <c r="H280" s="137">
        <f>IFERROR(__xludf.DUMMYFUNCTION("""COMPUTED_VALUE"""),0.425)</f>
        <v>0.425</v>
      </c>
      <c r="I280" s="136">
        <f>IFERROR(__xludf.DUMMYFUNCTION("""COMPUTED_VALUE"""),2.0)</f>
        <v>2</v>
      </c>
      <c r="J280" s="136">
        <f>IFERROR(__xludf.DUMMYFUNCTION("""COMPUTED_VALUE"""),11946.0)</f>
        <v>11946</v>
      </c>
      <c r="K280" s="136">
        <f>IFERROR(__xludf.DUMMYFUNCTION("""COMPUTED_VALUE"""),24.0)</f>
        <v>24</v>
      </c>
      <c r="L280" s="136">
        <f>IFERROR(__xludf.DUMMYFUNCTION("""COMPUTED_VALUE"""),17.0)</f>
        <v>17</v>
      </c>
      <c r="M280" s="136">
        <f>IFERROR(__xludf.DUMMYFUNCTION("""COMPUTED_VALUE"""),50.0)</f>
        <v>50</v>
      </c>
      <c r="N280" s="136">
        <f>IFERROR(__xludf.DUMMYFUNCTION("""COMPUTED_VALUE"""),74.0)</f>
        <v>74</v>
      </c>
      <c r="O280" s="138">
        <f>IFERROR(__xludf.DUMMYFUNCTION("""COMPUTED_VALUE"""),4.0)</f>
        <v>4</v>
      </c>
      <c r="P280" s="138">
        <f>IFERROR(__xludf.DUMMYFUNCTION("""COMPUTED_VALUE"""),1.0)</f>
        <v>1</v>
      </c>
      <c r="Q280" s="138">
        <f>IFERROR(__xludf.DUMMYFUNCTION("""COMPUTED_VALUE"""),0.0)</f>
        <v>0</v>
      </c>
      <c r="R280" s="138">
        <f>IFERROR(__xludf.DUMMYFUNCTION("""COMPUTED_VALUE"""),3.0)</f>
        <v>3</v>
      </c>
      <c r="S280" s="139">
        <f>IFERROR(__xludf.DUMMYFUNCTION("""COMPUTED_VALUE"""),325.0)</f>
        <v>325</v>
      </c>
      <c r="T280" s="140">
        <f>IFERROR(__xludf.DUMMYFUNCTION("""COMPUTED_VALUE"""),99.0)</f>
        <v>99</v>
      </c>
      <c r="U280" s="136">
        <f>IFERROR(__xludf.DUMMYFUNCTION("""COMPUTED_VALUE"""),35.0)</f>
        <v>35</v>
      </c>
      <c r="V280" s="136">
        <f>IFERROR(__xludf.DUMMYFUNCTION("""COMPUTED_VALUE"""),35.0)</f>
        <v>35</v>
      </c>
      <c r="W280" s="136">
        <f>IFERROR(__xludf.DUMMYFUNCTION("""COMPUTED_VALUE"""),54.0)</f>
        <v>54</v>
      </c>
      <c r="X280" s="136">
        <f>IFERROR(__xludf.DUMMYFUNCTION("""COMPUTED_VALUE"""),385.325)</f>
        <v>385.325</v>
      </c>
      <c r="Y280" s="141">
        <f>IFERROR(__xludf.DUMMYFUNCTION("""COMPUTED_VALUE"""),49.65875000000001)</f>
        <v>49.65875</v>
      </c>
      <c r="Z280" s="141">
        <f>IFERROR(__xludf.DUMMYFUNCTION("""COMPUTED_VALUE"""),2354.3)</f>
        <v>2354.3</v>
      </c>
    </row>
    <row r="281">
      <c r="A281" s="41" t="str">
        <f>IFERROR(__xludf.DUMMYFUNCTION("""COMPUTED_VALUE"""),"Elite")</f>
        <v>Elite</v>
      </c>
      <c r="B281" s="41" t="str">
        <f>IFERROR(__xludf.DUMMYFUNCTION("""COMPUTED_VALUE"""),"RSC005373")</f>
        <v>RSC005373</v>
      </c>
      <c r="C281" s="41" t="str">
        <f>IFERROR(__xludf.DUMMYFUNCTION("""COMPUTED_VALUE"""),"dvorl.ttv")</f>
        <v>dvorl.ttv</v>
      </c>
      <c r="D281" s="41" t="str">
        <f>IFERROR(__xludf.DUMMYFUNCTION("""COMPUTED_VALUE"""),"Despair")</f>
        <v>Despair</v>
      </c>
      <c r="E281" s="136">
        <f>IFERROR(__xludf.DUMMYFUNCTION("""COMPUTED_VALUE"""),30.0)</f>
        <v>30</v>
      </c>
      <c r="F281" s="136">
        <f>IFERROR(__xludf.DUMMYFUNCTION("""COMPUTED_VALUE"""),16.0)</f>
        <v>16</v>
      </c>
      <c r="G281" s="136">
        <f>IFERROR(__xludf.DUMMYFUNCTION("""COMPUTED_VALUE"""),14.0)</f>
        <v>14</v>
      </c>
      <c r="H281" s="137">
        <f>IFERROR(__xludf.DUMMYFUNCTION("""COMPUTED_VALUE"""),0.5333333333333333)</f>
        <v>0.5333333333</v>
      </c>
      <c r="I281" s="136">
        <f>IFERROR(__xludf.DUMMYFUNCTION("""COMPUTED_VALUE"""),6.0)</f>
        <v>6</v>
      </c>
      <c r="J281" s="136">
        <f>IFERROR(__xludf.DUMMYFUNCTION("""COMPUTED_VALUE"""),9591.0)</f>
        <v>9591</v>
      </c>
      <c r="K281" s="136">
        <f>IFERROR(__xludf.DUMMYFUNCTION("""COMPUTED_VALUE"""),17.0)</f>
        <v>17</v>
      </c>
      <c r="L281" s="136">
        <f>IFERROR(__xludf.DUMMYFUNCTION("""COMPUTED_VALUE"""),19.0)</f>
        <v>19</v>
      </c>
      <c r="M281" s="136">
        <f>IFERROR(__xludf.DUMMYFUNCTION("""COMPUTED_VALUE"""),35.0)</f>
        <v>35</v>
      </c>
      <c r="N281" s="136">
        <f>IFERROR(__xludf.DUMMYFUNCTION("""COMPUTED_VALUE"""),88.0)</f>
        <v>88</v>
      </c>
      <c r="O281" s="138">
        <f>IFERROR(__xludf.DUMMYFUNCTION("""COMPUTED_VALUE"""),7.0)</f>
        <v>7</v>
      </c>
      <c r="P281" s="138">
        <f>IFERROR(__xludf.DUMMYFUNCTION("""COMPUTED_VALUE"""),0.0)</f>
        <v>0</v>
      </c>
      <c r="Q281" s="138">
        <f>IFERROR(__xludf.DUMMYFUNCTION("""COMPUTED_VALUE"""),1.0)</f>
        <v>1</v>
      </c>
      <c r="R281" s="138">
        <f>IFERROR(__xludf.DUMMYFUNCTION("""COMPUTED_VALUE"""),3.0)</f>
        <v>3</v>
      </c>
      <c r="S281" s="139">
        <f>IFERROR(__xludf.DUMMYFUNCTION("""COMPUTED_VALUE"""),212.0)</f>
        <v>212</v>
      </c>
      <c r="T281" s="140">
        <f>IFERROR(__xludf.DUMMYFUNCTION("""COMPUTED_VALUE"""),66.0)</f>
        <v>66</v>
      </c>
      <c r="U281" s="136">
        <f>IFERROR(__xludf.DUMMYFUNCTION("""COMPUTED_VALUE"""),21.0)</f>
        <v>21</v>
      </c>
      <c r="V281" s="136">
        <f>IFERROR(__xludf.DUMMYFUNCTION("""COMPUTED_VALUE"""),22.0)</f>
        <v>22</v>
      </c>
      <c r="W281" s="136">
        <f>IFERROR(__xludf.DUMMYFUNCTION("""COMPUTED_VALUE"""),28.0)</f>
        <v>28</v>
      </c>
      <c r="X281" s="136">
        <f>IFERROR(__xludf.DUMMYFUNCTION("""COMPUTED_VALUE"""),364.5)</f>
        <v>364.5</v>
      </c>
      <c r="Y281" s="141">
        <f>IFERROR(__xludf.DUMMYFUNCTION("""COMPUTED_VALUE"""),48.836999999999996)</f>
        <v>48.837</v>
      </c>
      <c r="Z281" s="141">
        <f>IFERROR(__xludf.DUMMYFUNCTION("""COMPUTED_VALUE"""),2092.5)</f>
        <v>2092.5</v>
      </c>
    </row>
    <row r="282">
      <c r="A282" s="41" t="str">
        <f>IFERROR(__xludf.DUMMYFUNCTION("""COMPUTED_VALUE"""),"Elite")</f>
        <v>Elite</v>
      </c>
      <c r="B282" s="41" t="str">
        <f>IFERROR(__xludf.DUMMYFUNCTION("""COMPUTED_VALUE"""),"RSC005374")</f>
        <v>RSC005374</v>
      </c>
      <c r="C282" s="41" t="str">
        <f>IFERROR(__xludf.DUMMYFUNCTION("""COMPUTED_VALUE"""),"A Yapping Panda")</f>
        <v>A Yapping Panda</v>
      </c>
      <c r="D282" s="41" t="str">
        <f>IFERROR(__xludf.DUMMYFUNCTION("""COMPUTED_VALUE"""),"Orochi")</f>
        <v>Orochi</v>
      </c>
      <c r="E282" s="136">
        <f>IFERROR(__xludf.DUMMYFUNCTION("""COMPUTED_VALUE"""),42.0)</f>
        <v>42</v>
      </c>
      <c r="F282" s="136">
        <f>IFERROR(__xludf.DUMMYFUNCTION("""COMPUTED_VALUE"""),21.0)</f>
        <v>21</v>
      </c>
      <c r="G282" s="136">
        <f>IFERROR(__xludf.DUMMYFUNCTION("""COMPUTED_VALUE"""),21.0)</f>
        <v>21</v>
      </c>
      <c r="H282" s="137">
        <f>IFERROR(__xludf.DUMMYFUNCTION("""COMPUTED_VALUE"""),0.5)</f>
        <v>0.5</v>
      </c>
      <c r="I282" s="136">
        <f>IFERROR(__xludf.DUMMYFUNCTION("""COMPUTED_VALUE"""),7.0)</f>
        <v>7</v>
      </c>
      <c r="J282" s="136">
        <f>IFERROR(__xludf.DUMMYFUNCTION("""COMPUTED_VALUE"""),15759.0)</f>
        <v>15759</v>
      </c>
      <c r="K282" s="136">
        <f>IFERROR(__xludf.DUMMYFUNCTION("""COMPUTED_VALUE"""),38.0)</f>
        <v>38</v>
      </c>
      <c r="L282" s="136">
        <f>IFERROR(__xludf.DUMMYFUNCTION("""COMPUTED_VALUE"""),19.0)</f>
        <v>19</v>
      </c>
      <c r="M282" s="136">
        <f>IFERROR(__xludf.DUMMYFUNCTION("""COMPUTED_VALUE"""),60.0)</f>
        <v>60</v>
      </c>
      <c r="N282" s="136">
        <f>IFERROR(__xludf.DUMMYFUNCTION("""COMPUTED_VALUE"""),124.0)</f>
        <v>124</v>
      </c>
      <c r="O282" s="138">
        <f>IFERROR(__xludf.DUMMYFUNCTION("""COMPUTED_VALUE"""),7.0)</f>
        <v>7</v>
      </c>
      <c r="P282" s="138">
        <f>IFERROR(__xludf.DUMMYFUNCTION("""COMPUTED_VALUE"""),3.0)</f>
        <v>3</v>
      </c>
      <c r="Q282" s="138">
        <f>IFERROR(__xludf.DUMMYFUNCTION("""COMPUTED_VALUE"""),1.0)</f>
        <v>1</v>
      </c>
      <c r="R282" s="138">
        <f>IFERROR(__xludf.DUMMYFUNCTION("""COMPUTED_VALUE"""),9.0)</f>
        <v>9</v>
      </c>
      <c r="S282" s="139">
        <f>IFERROR(__xludf.DUMMYFUNCTION("""COMPUTED_VALUE"""),318.0)</f>
        <v>318</v>
      </c>
      <c r="T282" s="140">
        <f>IFERROR(__xludf.DUMMYFUNCTION("""COMPUTED_VALUE"""),86.0)</f>
        <v>86</v>
      </c>
      <c r="U282" s="136">
        <f>IFERROR(__xludf.DUMMYFUNCTION("""COMPUTED_VALUE"""),25.0)</f>
        <v>25</v>
      </c>
      <c r="V282" s="136">
        <f>IFERROR(__xludf.DUMMYFUNCTION("""COMPUTED_VALUE"""),78.0)</f>
        <v>78</v>
      </c>
      <c r="W282" s="136">
        <f>IFERROR(__xludf.DUMMYFUNCTION("""COMPUTED_VALUE"""),41.0)</f>
        <v>41</v>
      </c>
      <c r="X282" s="136">
        <f>IFERROR(__xludf.DUMMYFUNCTION("""COMPUTED_VALUE"""),413.1190476190476)</f>
        <v>413.1190476</v>
      </c>
      <c r="Y282" s="141">
        <f>IFERROR(__xludf.DUMMYFUNCTION("""COMPUTED_VALUE"""),52.9297619047619)</f>
        <v>52.9297619</v>
      </c>
      <c r="Z282" s="141">
        <f>IFERROR(__xludf.DUMMYFUNCTION("""COMPUTED_VALUE"""),2564.5714285714284)</f>
        <v>2564.571429</v>
      </c>
    </row>
    <row r="283">
      <c r="A283" s="41" t="str">
        <f>IFERROR(__xludf.DUMMYFUNCTION("""COMPUTED_VALUE"""),"Rival")</f>
        <v>Rival</v>
      </c>
      <c r="B283" s="41" t="str">
        <f>IFERROR(__xludf.DUMMYFUNCTION("""COMPUTED_VALUE"""),"RSC005386")</f>
        <v>RSC005386</v>
      </c>
      <c r="C283" s="41" t="str">
        <f>IFERROR(__xludf.DUMMYFUNCTION("""COMPUTED_VALUE"""),"Danub")</f>
        <v>Danub</v>
      </c>
      <c r="D283" s="41" t="str">
        <f>IFERROR(__xludf.DUMMYFUNCTION("""COMPUTED_VALUE"""),"Phantoms")</f>
        <v>Phantoms</v>
      </c>
      <c r="E283" s="136">
        <f>IFERROR(__xludf.DUMMYFUNCTION("""COMPUTED_VALUE"""),42.0)</f>
        <v>42</v>
      </c>
      <c r="F283" s="136">
        <f>IFERROR(__xludf.DUMMYFUNCTION("""COMPUTED_VALUE"""),15.0)</f>
        <v>15</v>
      </c>
      <c r="G283" s="136">
        <f>IFERROR(__xludf.DUMMYFUNCTION("""COMPUTED_VALUE"""),27.0)</f>
        <v>27</v>
      </c>
      <c r="H283" s="137">
        <f>IFERROR(__xludf.DUMMYFUNCTION("""COMPUTED_VALUE"""),0.35714285714285715)</f>
        <v>0.3571428571</v>
      </c>
      <c r="I283" s="136">
        <f>IFERROR(__xludf.DUMMYFUNCTION("""COMPUTED_VALUE"""),8.0)</f>
        <v>8</v>
      </c>
      <c r="J283" s="136">
        <f>IFERROR(__xludf.DUMMYFUNCTION("""COMPUTED_VALUE"""),15723.0)</f>
        <v>15723</v>
      </c>
      <c r="K283" s="136">
        <f>IFERROR(__xludf.DUMMYFUNCTION("""COMPUTED_VALUE"""),31.0)</f>
        <v>31</v>
      </c>
      <c r="L283" s="136">
        <f>IFERROR(__xludf.DUMMYFUNCTION("""COMPUTED_VALUE"""),28.0)</f>
        <v>28</v>
      </c>
      <c r="M283" s="136">
        <f>IFERROR(__xludf.DUMMYFUNCTION("""COMPUTED_VALUE"""),59.0)</f>
        <v>59</v>
      </c>
      <c r="N283" s="136">
        <f>IFERROR(__xludf.DUMMYFUNCTION("""COMPUTED_VALUE"""),105.0)</f>
        <v>105</v>
      </c>
      <c r="O283" s="138">
        <f>IFERROR(__xludf.DUMMYFUNCTION("""COMPUTED_VALUE"""),6.0)</f>
        <v>6</v>
      </c>
      <c r="P283" s="138">
        <f>IFERROR(__xludf.DUMMYFUNCTION("""COMPUTED_VALUE"""),1.0)</f>
        <v>1</v>
      </c>
      <c r="Q283" s="138">
        <f>IFERROR(__xludf.DUMMYFUNCTION("""COMPUTED_VALUE"""),2.0)</f>
        <v>2</v>
      </c>
      <c r="R283" s="138">
        <f>IFERROR(__xludf.DUMMYFUNCTION("""COMPUTED_VALUE"""),7.0)</f>
        <v>7</v>
      </c>
      <c r="S283" s="139">
        <f>IFERROR(__xludf.DUMMYFUNCTION("""COMPUTED_VALUE"""),354.0)</f>
        <v>354</v>
      </c>
      <c r="T283" s="140">
        <f>IFERROR(__xludf.DUMMYFUNCTION("""COMPUTED_VALUE"""),127.0)</f>
        <v>127</v>
      </c>
      <c r="U283" s="136">
        <f>IFERROR(__xludf.DUMMYFUNCTION("""COMPUTED_VALUE"""),39.0)</f>
        <v>39</v>
      </c>
      <c r="V283" s="136">
        <f>IFERROR(__xludf.DUMMYFUNCTION("""COMPUTED_VALUE"""),46.0)</f>
        <v>46</v>
      </c>
      <c r="W283" s="136">
        <f>IFERROR(__xludf.DUMMYFUNCTION("""COMPUTED_VALUE"""),30.0)</f>
        <v>30</v>
      </c>
      <c r="X283" s="136">
        <f>IFERROR(__xludf.DUMMYFUNCTION("""COMPUTED_VALUE"""),386.4047619047619)</f>
        <v>386.4047619</v>
      </c>
      <c r="Y283" s="141">
        <f>IFERROR(__xludf.DUMMYFUNCTION("""COMPUTED_VALUE"""),49.43142857142858)</f>
        <v>49.43142857</v>
      </c>
      <c r="Z283" s="141">
        <f>IFERROR(__xludf.DUMMYFUNCTION("""COMPUTED_VALUE"""),2407.5238095238096)</f>
        <v>2407.52381</v>
      </c>
    </row>
    <row r="284">
      <c r="A284" s="41" t="str">
        <f>IFERROR(__xludf.DUMMYFUNCTION("""COMPUTED_VALUE"""),"Challenger")</f>
        <v>Challenger</v>
      </c>
      <c r="B284" s="41" t="str">
        <f>IFERROR(__xludf.DUMMYFUNCTION("""COMPUTED_VALUE"""),"RSC005397")</f>
        <v>RSC005397</v>
      </c>
      <c r="C284" s="41" t="str">
        <f>IFERROR(__xludf.DUMMYFUNCTION("""COMPUTED_VALUE"""),"PridedBird3406")</f>
        <v>PridedBird3406</v>
      </c>
      <c r="D284" s="41" t="str">
        <f>IFERROR(__xludf.DUMMYFUNCTION("""COMPUTED_VALUE"""),"Glams")</f>
        <v>Glams</v>
      </c>
      <c r="E284" s="136">
        <f>IFERROR(__xludf.DUMMYFUNCTION("""COMPUTED_VALUE"""),44.0)</f>
        <v>44</v>
      </c>
      <c r="F284" s="136">
        <f>IFERROR(__xludf.DUMMYFUNCTION("""COMPUTED_VALUE"""),17.0)</f>
        <v>17</v>
      </c>
      <c r="G284" s="136">
        <f>IFERROR(__xludf.DUMMYFUNCTION("""COMPUTED_VALUE"""),27.0)</f>
        <v>27</v>
      </c>
      <c r="H284" s="137">
        <f>IFERROR(__xludf.DUMMYFUNCTION("""COMPUTED_VALUE"""),0.38636363636363635)</f>
        <v>0.3863636364</v>
      </c>
      <c r="I284" s="136">
        <f>IFERROR(__xludf.DUMMYFUNCTION("""COMPUTED_VALUE"""),6.0)</f>
        <v>6</v>
      </c>
      <c r="J284" s="136">
        <f>IFERROR(__xludf.DUMMYFUNCTION("""COMPUTED_VALUE"""),13904.0)</f>
        <v>13904</v>
      </c>
      <c r="K284" s="136">
        <f>IFERROR(__xludf.DUMMYFUNCTION("""COMPUTED_VALUE"""),22.0)</f>
        <v>22</v>
      </c>
      <c r="L284" s="136">
        <f>IFERROR(__xludf.DUMMYFUNCTION("""COMPUTED_VALUE"""),20.0)</f>
        <v>20</v>
      </c>
      <c r="M284" s="136">
        <f>IFERROR(__xludf.DUMMYFUNCTION("""COMPUTED_VALUE"""),65.0)</f>
        <v>65</v>
      </c>
      <c r="N284" s="136">
        <f>IFERROR(__xludf.DUMMYFUNCTION("""COMPUTED_VALUE"""),104.0)</f>
        <v>104</v>
      </c>
      <c r="O284" s="138">
        <f>IFERROR(__xludf.DUMMYFUNCTION("""COMPUTED_VALUE"""),8.0)</f>
        <v>8</v>
      </c>
      <c r="P284" s="138">
        <f>IFERROR(__xludf.DUMMYFUNCTION("""COMPUTED_VALUE"""),1.0)</f>
        <v>1</v>
      </c>
      <c r="Q284" s="138">
        <f>IFERROR(__xludf.DUMMYFUNCTION("""COMPUTED_VALUE"""),1.0)</f>
        <v>1</v>
      </c>
      <c r="R284" s="138">
        <f>IFERROR(__xludf.DUMMYFUNCTION("""COMPUTED_VALUE"""),8.0)</f>
        <v>8</v>
      </c>
      <c r="S284" s="139">
        <f>IFERROR(__xludf.DUMMYFUNCTION("""COMPUTED_VALUE"""),361.0)</f>
        <v>361</v>
      </c>
      <c r="T284" s="140">
        <f>IFERROR(__xludf.DUMMYFUNCTION("""COMPUTED_VALUE"""),101.0)</f>
        <v>101</v>
      </c>
      <c r="U284" s="136">
        <f>IFERROR(__xludf.DUMMYFUNCTION("""COMPUTED_VALUE"""),31.0)</f>
        <v>31</v>
      </c>
      <c r="V284" s="136">
        <f>IFERROR(__xludf.DUMMYFUNCTION("""COMPUTED_VALUE"""),34.0)</f>
        <v>34</v>
      </c>
      <c r="W284" s="136">
        <f>IFERROR(__xludf.DUMMYFUNCTION("""COMPUTED_VALUE"""),49.0)</f>
        <v>49</v>
      </c>
      <c r="X284" s="136">
        <f>IFERROR(__xludf.DUMMYFUNCTION("""COMPUTED_VALUE"""),269.47727272727275)</f>
        <v>269.4772727</v>
      </c>
      <c r="Y284" s="141">
        <f>IFERROR(__xludf.DUMMYFUNCTION("""COMPUTED_VALUE"""),51.811818181818175)</f>
        <v>51.81181818</v>
      </c>
      <c r="Z284" s="141">
        <f>IFERROR(__xludf.DUMMYFUNCTION("""COMPUTED_VALUE"""),1666.0)</f>
        <v>1666</v>
      </c>
    </row>
    <row r="285">
      <c r="A285" s="41" t="str">
        <f>IFERROR(__xludf.DUMMYFUNCTION("""COMPUTED_VALUE"""),"Veteran")</f>
        <v>Veteran</v>
      </c>
      <c r="B285" s="41" t="str">
        <f>IFERROR(__xludf.DUMMYFUNCTION("""COMPUTED_VALUE"""),"RSC005438")</f>
        <v>RSC005438</v>
      </c>
      <c r="C285" s="41" t="str">
        <f>IFERROR(__xludf.DUMMYFUNCTION("""COMPUTED_VALUE"""),"ForestmanChubs")</f>
        <v>ForestmanChubs</v>
      </c>
      <c r="D285" s="41" t="str">
        <f>IFERROR(__xludf.DUMMYFUNCTION("""COMPUTED_VALUE"""),"Kirin
Avalanche")</f>
        <v>Kirin
Avalanche</v>
      </c>
      <c r="E285" s="136">
        <f>IFERROR(__xludf.DUMMYFUNCTION("""COMPUTED_VALUE"""),6.0)</f>
        <v>6</v>
      </c>
      <c r="F285" s="136">
        <f>IFERROR(__xludf.DUMMYFUNCTION("""COMPUTED_VALUE"""),4.0)</f>
        <v>4</v>
      </c>
      <c r="G285" s="136">
        <f>IFERROR(__xludf.DUMMYFUNCTION("""COMPUTED_VALUE"""),2.0)</f>
        <v>2</v>
      </c>
      <c r="H285" s="137">
        <f>IFERROR(__xludf.DUMMYFUNCTION("""COMPUTED_VALUE"""),0.6666666666666666)</f>
        <v>0.6666666667</v>
      </c>
      <c r="I285" s="136">
        <f>IFERROR(__xludf.DUMMYFUNCTION("""COMPUTED_VALUE"""),1.0)</f>
        <v>1</v>
      </c>
      <c r="J285" s="136">
        <f>IFERROR(__xludf.DUMMYFUNCTION("""COMPUTED_VALUE"""),1793.0)</f>
        <v>1793</v>
      </c>
      <c r="K285" s="136">
        <f>IFERROR(__xludf.DUMMYFUNCTION("""COMPUTED_VALUE"""),4.0)</f>
        <v>4</v>
      </c>
      <c r="L285" s="136">
        <f>IFERROR(__xludf.DUMMYFUNCTION("""COMPUTED_VALUE"""),1.0)</f>
        <v>1</v>
      </c>
      <c r="M285" s="136">
        <f>IFERROR(__xludf.DUMMYFUNCTION("""COMPUTED_VALUE"""),8.0)</f>
        <v>8</v>
      </c>
      <c r="N285" s="136">
        <f>IFERROR(__xludf.DUMMYFUNCTION("""COMPUTED_VALUE"""),10.0)</f>
        <v>10</v>
      </c>
      <c r="O285" s="138">
        <f>IFERROR(__xludf.DUMMYFUNCTION("""COMPUTED_VALUE"""),1.0)</f>
        <v>1</v>
      </c>
      <c r="P285" s="138">
        <f>IFERROR(__xludf.DUMMYFUNCTION("""COMPUTED_VALUE"""),0.0)</f>
        <v>0</v>
      </c>
      <c r="Q285" s="138">
        <f>IFERROR(__xludf.DUMMYFUNCTION("""COMPUTED_VALUE"""),0.0)</f>
        <v>0</v>
      </c>
      <c r="R285" s="138">
        <f>IFERROR(__xludf.DUMMYFUNCTION("""COMPUTED_VALUE"""),1.0)</f>
        <v>1</v>
      </c>
      <c r="S285" s="139">
        <f>IFERROR(__xludf.DUMMYFUNCTION("""COMPUTED_VALUE"""),50.0)</f>
        <v>50</v>
      </c>
      <c r="T285" s="140">
        <f>IFERROR(__xludf.DUMMYFUNCTION("""COMPUTED_VALUE"""),12.0)</f>
        <v>12</v>
      </c>
      <c r="U285" s="136">
        <f>IFERROR(__xludf.DUMMYFUNCTION("""COMPUTED_VALUE"""),4.0)</f>
        <v>4</v>
      </c>
      <c r="V285" s="136">
        <f>IFERROR(__xludf.DUMMYFUNCTION("""COMPUTED_VALUE"""),4.0)</f>
        <v>4</v>
      </c>
      <c r="W285" s="136">
        <f>IFERROR(__xludf.DUMMYFUNCTION("""COMPUTED_VALUE"""),3.0)</f>
        <v>3</v>
      </c>
      <c r="X285" s="136">
        <f>IFERROR(__xludf.DUMMYFUNCTION("""COMPUTED_VALUE"""),362.3333333333333)</f>
        <v>362.3333333</v>
      </c>
      <c r="Y285" s="141">
        <f>IFERROR(__xludf.DUMMYFUNCTION("""COMPUTED_VALUE"""),44.35)</f>
        <v>44.35</v>
      </c>
      <c r="Z285" s="141">
        <f>IFERROR(__xludf.DUMMYFUNCTION("""COMPUTED_VALUE"""),2092.5)</f>
        <v>2092.5</v>
      </c>
    </row>
    <row r="286">
      <c r="A286" s="41" t="str">
        <f>IFERROR(__xludf.DUMMYFUNCTION("""COMPUTED_VALUE"""),"Elite")</f>
        <v>Elite</v>
      </c>
      <c r="B286" s="41" t="str">
        <f>IFERROR(__xludf.DUMMYFUNCTION("""COMPUTED_VALUE"""),"RSC005464")</f>
        <v>RSC005464</v>
      </c>
      <c r="C286" s="41" t="str">
        <f>IFERROR(__xludf.DUMMYFUNCTION("""COMPUTED_VALUE"""),"taz.rm")</f>
        <v>taz.rm</v>
      </c>
      <c r="D286" s="41" t="str">
        <f>IFERROR(__xludf.DUMMYFUNCTION("""COMPUTED_VALUE"""),"Desolation")</f>
        <v>Desolation</v>
      </c>
      <c r="E286" s="136">
        <f>IFERROR(__xludf.DUMMYFUNCTION("""COMPUTED_VALUE"""),27.0)</f>
        <v>27</v>
      </c>
      <c r="F286" s="136">
        <f>IFERROR(__xludf.DUMMYFUNCTION("""COMPUTED_VALUE"""),15.0)</f>
        <v>15</v>
      </c>
      <c r="G286" s="136">
        <f>IFERROR(__xludf.DUMMYFUNCTION("""COMPUTED_VALUE"""),12.0)</f>
        <v>12</v>
      </c>
      <c r="H286" s="137">
        <f>IFERROR(__xludf.DUMMYFUNCTION("""COMPUTED_VALUE"""),0.5555555555555556)</f>
        <v>0.5555555556</v>
      </c>
      <c r="I286" s="136">
        <f>IFERROR(__xludf.DUMMYFUNCTION("""COMPUTED_VALUE"""),2.0)</f>
        <v>2</v>
      </c>
      <c r="J286" s="136">
        <f>IFERROR(__xludf.DUMMYFUNCTION("""COMPUTED_VALUE"""),8921.0)</f>
        <v>8921</v>
      </c>
      <c r="K286" s="136">
        <f>IFERROR(__xludf.DUMMYFUNCTION("""COMPUTED_VALUE"""),15.0)</f>
        <v>15</v>
      </c>
      <c r="L286" s="136">
        <f>IFERROR(__xludf.DUMMYFUNCTION("""COMPUTED_VALUE"""),16.0)</f>
        <v>16</v>
      </c>
      <c r="M286" s="136">
        <f>IFERROR(__xludf.DUMMYFUNCTION("""COMPUTED_VALUE"""),38.0)</f>
        <v>38</v>
      </c>
      <c r="N286" s="136">
        <f>IFERROR(__xludf.DUMMYFUNCTION("""COMPUTED_VALUE"""),58.0)</f>
        <v>58</v>
      </c>
      <c r="O286" s="138">
        <f>IFERROR(__xludf.DUMMYFUNCTION("""COMPUTED_VALUE"""),7.0)</f>
        <v>7</v>
      </c>
      <c r="P286" s="138">
        <f>IFERROR(__xludf.DUMMYFUNCTION("""COMPUTED_VALUE"""),0.0)</f>
        <v>0</v>
      </c>
      <c r="Q286" s="138">
        <f>IFERROR(__xludf.DUMMYFUNCTION("""COMPUTED_VALUE"""),0.0)</f>
        <v>0</v>
      </c>
      <c r="R286" s="138">
        <f>IFERROR(__xludf.DUMMYFUNCTION("""COMPUTED_VALUE"""),5.0)</f>
        <v>5</v>
      </c>
      <c r="S286" s="139">
        <f>IFERROR(__xludf.DUMMYFUNCTION("""COMPUTED_VALUE"""),196.0)</f>
        <v>196</v>
      </c>
      <c r="T286" s="140">
        <f>IFERROR(__xludf.DUMMYFUNCTION("""COMPUTED_VALUE"""),63.0)</f>
        <v>63</v>
      </c>
      <c r="U286" s="136">
        <f>IFERROR(__xludf.DUMMYFUNCTION("""COMPUTED_VALUE"""),20.0)</f>
        <v>20</v>
      </c>
      <c r="V286" s="136">
        <f>IFERROR(__xludf.DUMMYFUNCTION("""COMPUTED_VALUE"""),24.0)</f>
        <v>24</v>
      </c>
      <c r="W286" s="136">
        <f>IFERROR(__xludf.DUMMYFUNCTION("""COMPUTED_VALUE"""),36.0)</f>
        <v>36</v>
      </c>
      <c r="X286" s="136">
        <f>IFERROR(__xludf.DUMMYFUNCTION("""COMPUTED_VALUE"""),387.3333333333333)</f>
        <v>387.3333333</v>
      </c>
      <c r="Y286" s="141">
        <f>IFERROR(__xludf.DUMMYFUNCTION("""COMPUTED_VALUE"""),48.45703703703704)</f>
        <v>48.45703704</v>
      </c>
      <c r="Z286" s="141">
        <f>IFERROR(__xludf.DUMMYFUNCTION("""COMPUTED_VALUE"""),2276.074074074074)</f>
        <v>2276.074074</v>
      </c>
    </row>
    <row r="287">
      <c r="A287" s="41" t="str">
        <f>IFERROR(__xludf.DUMMYFUNCTION("""COMPUTED_VALUE"""),"Elite")</f>
        <v>Elite</v>
      </c>
      <c r="B287" s="41" t="str">
        <f>IFERROR(__xludf.DUMMYFUNCTION("""COMPUTED_VALUE"""),"RSC005469")</f>
        <v>RSC005469</v>
      </c>
      <c r="C287" s="41" t="str">
        <f>IFERROR(__xludf.DUMMYFUNCTION("""COMPUTED_VALUE"""),"Axlos (Goofy and Silly)")</f>
        <v>Axlos (Goofy and Silly)</v>
      </c>
      <c r="D287" s="41" t="str">
        <f>IFERROR(__xludf.DUMMYFUNCTION("""COMPUTED_VALUE"""),"Frostbite")</f>
        <v>Frostbite</v>
      </c>
      <c r="E287" s="136">
        <f>IFERROR(__xludf.DUMMYFUNCTION("""COMPUTED_VALUE"""),39.0)</f>
        <v>39</v>
      </c>
      <c r="F287" s="136">
        <f>IFERROR(__xludf.DUMMYFUNCTION("""COMPUTED_VALUE"""),17.0)</f>
        <v>17</v>
      </c>
      <c r="G287" s="136">
        <f>IFERROR(__xludf.DUMMYFUNCTION("""COMPUTED_VALUE"""),22.0)</f>
        <v>22</v>
      </c>
      <c r="H287" s="137">
        <f>IFERROR(__xludf.DUMMYFUNCTION("""COMPUTED_VALUE"""),0.4358974358974359)</f>
        <v>0.4358974359</v>
      </c>
      <c r="I287" s="136">
        <f>IFERROR(__xludf.DUMMYFUNCTION("""COMPUTED_VALUE"""),7.0)</f>
        <v>7</v>
      </c>
      <c r="J287" s="136">
        <f>IFERROR(__xludf.DUMMYFUNCTION("""COMPUTED_VALUE"""),12591.0)</f>
        <v>12591</v>
      </c>
      <c r="K287" s="136">
        <f>IFERROR(__xludf.DUMMYFUNCTION("""COMPUTED_VALUE"""),25.0)</f>
        <v>25</v>
      </c>
      <c r="L287" s="136">
        <f>IFERROR(__xludf.DUMMYFUNCTION("""COMPUTED_VALUE"""),18.0)</f>
        <v>18</v>
      </c>
      <c r="M287" s="136">
        <f>IFERROR(__xludf.DUMMYFUNCTION("""COMPUTED_VALUE"""),58.0)</f>
        <v>58</v>
      </c>
      <c r="N287" s="136">
        <f>IFERROR(__xludf.DUMMYFUNCTION("""COMPUTED_VALUE"""),83.0)</f>
        <v>83</v>
      </c>
      <c r="O287" s="138">
        <f>IFERROR(__xludf.DUMMYFUNCTION("""COMPUTED_VALUE"""),7.0)</f>
        <v>7</v>
      </c>
      <c r="P287" s="138">
        <f>IFERROR(__xludf.DUMMYFUNCTION("""COMPUTED_VALUE"""),1.0)</f>
        <v>1</v>
      </c>
      <c r="Q287" s="138">
        <f>IFERROR(__xludf.DUMMYFUNCTION("""COMPUTED_VALUE"""),0.0)</f>
        <v>0</v>
      </c>
      <c r="R287" s="138">
        <f>IFERROR(__xludf.DUMMYFUNCTION("""COMPUTED_VALUE"""),6.0)</f>
        <v>6</v>
      </c>
      <c r="S287" s="139">
        <f>IFERROR(__xludf.DUMMYFUNCTION("""COMPUTED_VALUE"""),288.0)</f>
        <v>288</v>
      </c>
      <c r="T287" s="140">
        <f>IFERROR(__xludf.DUMMYFUNCTION("""COMPUTED_VALUE"""),96.0)</f>
        <v>96</v>
      </c>
      <c r="U287" s="136">
        <f>IFERROR(__xludf.DUMMYFUNCTION("""COMPUTED_VALUE"""),24.0)</f>
        <v>24</v>
      </c>
      <c r="V287" s="136">
        <f>IFERROR(__xludf.DUMMYFUNCTION("""COMPUTED_VALUE"""),29.0)</f>
        <v>29</v>
      </c>
      <c r="W287" s="136">
        <f>IFERROR(__xludf.DUMMYFUNCTION("""COMPUTED_VALUE"""),38.0)</f>
        <v>38</v>
      </c>
      <c r="X287" s="136">
        <f>IFERROR(__xludf.DUMMYFUNCTION("""COMPUTED_VALUE"""),414.8974358974359)</f>
        <v>414.8974359</v>
      </c>
      <c r="Y287" s="141">
        <f>IFERROR(__xludf.DUMMYFUNCTION("""COMPUTED_VALUE"""),47.26153846153847)</f>
        <v>47.26153846</v>
      </c>
      <c r="Z287" s="141">
        <f>IFERROR(__xludf.DUMMYFUNCTION("""COMPUTED_VALUE"""),2381.230769230769)</f>
        <v>2381.230769</v>
      </c>
    </row>
    <row r="288">
      <c r="A288" s="41" t="str">
        <f>IFERROR(__xludf.DUMMYFUNCTION("""COMPUTED_VALUE"""),"Amateur")</f>
        <v>Amateur</v>
      </c>
      <c r="B288" s="41" t="str">
        <f>IFERROR(__xludf.DUMMYFUNCTION("""COMPUTED_VALUE"""),"RSC005472")</f>
        <v>RSC005472</v>
      </c>
      <c r="C288" s="41" t="str">
        <f>IFERROR(__xludf.DUMMYFUNCTION("""COMPUTED_VALUE"""),"EngynGameOver")</f>
        <v>EngynGameOver</v>
      </c>
      <c r="D288" s="41" t="str">
        <f>IFERROR(__xludf.DUMMYFUNCTION("""COMPUTED_VALUE"""),"Legionaries")</f>
        <v>Legionaries</v>
      </c>
      <c r="E288" s="136">
        <f>IFERROR(__xludf.DUMMYFUNCTION("""COMPUTED_VALUE"""),21.0)</f>
        <v>21</v>
      </c>
      <c r="F288" s="136">
        <f>IFERROR(__xludf.DUMMYFUNCTION("""COMPUTED_VALUE"""),7.0)</f>
        <v>7</v>
      </c>
      <c r="G288" s="136">
        <f>IFERROR(__xludf.DUMMYFUNCTION("""COMPUTED_VALUE"""),14.0)</f>
        <v>14</v>
      </c>
      <c r="H288" s="137">
        <f>IFERROR(__xludf.DUMMYFUNCTION("""COMPUTED_VALUE"""),0.3333333333333333)</f>
        <v>0.3333333333</v>
      </c>
      <c r="I288" s="136">
        <f>IFERROR(__xludf.DUMMYFUNCTION("""COMPUTED_VALUE"""),0.0)</f>
        <v>0</v>
      </c>
      <c r="J288" s="136">
        <f>IFERROR(__xludf.DUMMYFUNCTION("""COMPUTED_VALUE"""),5105.0)</f>
        <v>5105</v>
      </c>
      <c r="K288" s="136">
        <f>IFERROR(__xludf.DUMMYFUNCTION("""COMPUTED_VALUE"""),8.0)</f>
        <v>8</v>
      </c>
      <c r="L288" s="136">
        <f>IFERROR(__xludf.DUMMYFUNCTION("""COMPUTED_VALUE"""),8.0)</f>
        <v>8</v>
      </c>
      <c r="M288" s="136">
        <f>IFERROR(__xludf.DUMMYFUNCTION("""COMPUTED_VALUE"""),27.0)</f>
        <v>27</v>
      </c>
      <c r="N288" s="136">
        <f>IFERROR(__xludf.DUMMYFUNCTION("""COMPUTED_VALUE"""),20.0)</f>
        <v>20</v>
      </c>
      <c r="O288" s="138">
        <f>IFERROR(__xludf.DUMMYFUNCTION("""COMPUTED_VALUE"""),0.0)</f>
        <v>0</v>
      </c>
      <c r="P288" s="138">
        <f>IFERROR(__xludf.DUMMYFUNCTION("""COMPUTED_VALUE"""),0.0)</f>
        <v>0</v>
      </c>
      <c r="Q288" s="138">
        <f>IFERROR(__xludf.DUMMYFUNCTION("""COMPUTED_VALUE"""),0.0)</f>
        <v>0</v>
      </c>
      <c r="R288" s="138">
        <f>IFERROR(__xludf.DUMMYFUNCTION("""COMPUTED_VALUE"""),4.0)</f>
        <v>4</v>
      </c>
      <c r="S288" s="139">
        <f>IFERROR(__xludf.DUMMYFUNCTION("""COMPUTED_VALUE"""),157.0)</f>
        <v>157</v>
      </c>
      <c r="T288" s="140">
        <f>IFERROR(__xludf.DUMMYFUNCTION("""COMPUTED_VALUE"""),49.0)</f>
        <v>49</v>
      </c>
      <c r="U288" s="136">
        <f>IFERROR(__xludf.DUMMYFUNCTION("""COMPUTED_VALUE"""),14.0)</f>
        <v>14</v>
      </c>
      <c r="V288" s="136">
        <f>IFERROR(__xludf.DUMMYFUNCTION("""COMPUTED_VALUE"""),14.0)</f>
        <v>14</v>
      </c>
      <c r="W288" s="136">
        <f>IFERROR(__xludf.DUMMYFUNCTION("""COMPUTED_VALUE"""),25.0)</f>
        <v>25</v>
      </c>
      <c r="X288" s="139">
        <f>IFERROR(__xludf.DUMMYFUNCTION("""COMPUTED_VALUE"""),350.6666666666667)</f>
        <v>350.6666667</v>
      </c>
      <c r="Y288" s="141">
        <f>IFERROR(__xludf.DUMMYFUNCTION("""COMPUTED_VALUE"""),47.36)</f>
        <v>47.36</v>
      </c>
      <c r="Z288" s="141">
        <f>IFERROR(__xludf.DUMMYFUNCTION("""COMPUTED_VALUE"""),2043.6666666666667)</f>
        <v>2043.666667</v>
      </c>
    </row>
    <row r="289">
      <c r="A289" s="41" t="str">
        <f>IFERROR(__xludf.DUMMYFUNCTION("""COMPUTED_VALUE"""),"Rival")</f>
        <v>Rival</v>
      </c>
      <c r="B289" s="41" t="str">
        <f>IFERROR(__xludf.DUMMYFUNCTION("""COMPUTED_VALUE"""),"RSC005475")</f>
        <v>RSC005475</v>
      </c>
      <c r="C289" s="41" t="str">
        <f>IFERROR(__xludf.DUMMYFUNCTION("""COMPUTED_VALUE"""),"Envy")</f>
        <v>Envy</v>
      </c>
      <c r="D289" s="41" t="str">
        <f>IFERROR(__xludf.DUMMYFUNCTION("""COMPUTED_VALUE"""),"Liars")</f>
        <v>Liars</v>
      </c>
      <c r="E289" s="136">
        <f>IFERROR(__xludf.DUMMYFUNCTION("""COMPUTED_VALUE"""),8.0)</f>
        <v>8</v>
      </c>
      <c r="F289" s="136">
        <f>IFERROR(__xludf.DUMMYFUNCTION("""COMPUTED_VALUE"""),3.0)</f>
        <v>3</v>
      </c>
      <c r="G289" s="136">
        <f>IFERROR(__xludf.DUMMYFUNCTION("""COMPUTED_VALUE"""),5.0)</f>
        <v>5</v>
      </c>
      <c r="H289" s="137">
        <f>IFERROR(__xludf.DUMMYFUNCTION("""COMPUTED_VALUE"""),0.375)</f>
        <v>0.375</v>
      </c>
      <c r="I289" s="136">
        <f>IFERROR(__xludf.DUMMYFUNCTION("""COMPUTED_VALUE"""),0.0)</f>
        <v>0</v>
      </c>
      <c r="J289" s="136">
        <f>IFERROR(__xludf.DUMMYFUNCTION("""COMPUTED_VALUE"""),2431.0)</f>
        <v>2431</v>
      </c>
      <c r="K289" s="136">
        <f>IFERROR(__xludf.DUMMYFUNCTION("""COMPUTED_VALUE"""),5.0)</f>
        <v>5</v>
      </c>
      <c r="L289" s="136">
        <f>IFERROR(__xludf.DUMMYFUNCTION("""COMPUTED_VALUE"""),2.0)</f>
        <v>2</v>
      </c>
      <c r="M289" s="136">
        <f>IFERROR(__xludf.DUMMYFUNCTION("""COMPUTED_VALUE"""),11.0)</f>
        <v>11</v>
      </c>
      <c r="N289" s="136">
        <f>IFERROR(__xludf.DUMMYFUNCTION("""COMPUTED_VALUE"""),15.0)</f>
        <v>15</v>
      </c>
      <c r="O289" s="138">
        <f>IFERROR(__xludf.DUMMYFUNCTION("""COMPUTED_VALUE"""),1.0)</f>
        <v>1</v>
      </c>
      <c r="P289" s="138">
        <f>IFERROR(__xludf.DUMMYFUNCTION("""COMPUTED_VALUE"""),0.0)</f>
        <v>0</v>
      </c>
      <c r="Q289" s="138">
        <f>IFERROR(__xludf.DUMMYFUNCTION("""COMPUTED_VALUE"""),0.0)</f>
        <v>0</v>
      </c>
      <c r="R289" s="138">
        <f>IFERROR(__xludf.DUMMYFUNCTION("""COMPUTED_VALUE"""),1.0)</f>
        <v>1</v>
      </c>
      <c r="S289" s="139">
        <f>IFERROR(__xludf.DUMMYFUNCTION("""COMPUTED_VALUE"""),66.0)</f>
        <v>66</v>
      </c>
      <c r="T289" s="140">
        <f>IFERROR(__xludf.DUMMYFUNCTION("""COMPUTED_VALUE"""),22.0)</f>
        <v>22</v>
      </c>
      <c r="U289" s="136">
        <f>IFERROR(__xludf.DUMMYFUNCTION("""COMPUTED_VALUE"""),12.0)</f>
        <v>12</v>
      </c>
      <c r="V289" s="136">
        <f>IFERROR(__xludf.DUMMYFUNCTION("""COMPUTED_VALUE"""),6.0)</f>
        <v>6</v>
      </c>
      <c r="W289" s="136">
        <f>IFERROR(__xludf.DUMMYFUNCTION("""COMPUTED_VALUE"""),9.0)</f>
        <v>9</v>
      </c>
      <c r="X289" s="136">
        <f>IFERROR(__xludf.DUMMYFUNCTION("""COMPUTED_VALUE"""),317.0)</f>
        <v>317</v>
      </c>
      <c r="Y289" s="141">
        <f>IFERROR(__xludf.DUMMYFUNCTION("""COMPUTED_VALUE"""),55.36125)</f>
        <v>55.36125</v>
      </c>
      <c r="Z289" s="141">
        <f>IFERROR(__xludf.DUMMYFUNCTION("""COMPUTED_VALUE"""),1827.75)</f>
        <v>1827.75</v>
      </c>
    </row>
    <row r="290">
      <c r="A290" s="41" t="str">
        <f>IFERROR(__xludf.DUMMYFUNCTION("""COMPUTED_VALUE"""),"Veteran")</f>
        <v>Veteran</v>
      </c>
      <c r="B290" s="41" t="str">
        <f>IFERROR(__xludf.DUMMYFUNCTION("""COMPUTED_VALUE"""),"RSC005482")</f>
        <v>RSC005482</v>
      </c>
      <c r="C290" s="41" t="str">
        <f>IFERROR(__xludf.DUMMYFUNCTION("""COMPUTED_VALUE"""),"Benny!")</f>
        <v>Benny!</v>
      </c>
      <c r="D290" s="41" t="str">
        <f>IFERROR(__xludf.DUMMYFUNCTION("""COMPUTED_VALUE"""),"Gorillas")</f>
        <v>Gorillas</v>
      </c>
      <c r="E290" s="136">
        <f>IFERROR(__xludf.DUMMYFUNCTION("""COMPUTED_VALUE"""),48.0)</f>
        <v>48</v>
      </c>
      <c r="F290" s="136">
        <f>IFERROR(__xludf.DUMMYFUNCTION("""COMPUTED_VALUE"""),17.0)</f>
        <v>17</v>
      </c>
      <c r="G290" s="136">
        <f>IFERROR(__xludf.DUMMYFUNCTION("""COMPUTED_VALUE"""),31.0)</f>
        <v>31</v>
      </c>
      <c r="H290" s="137">
        <f>IFERROR(__xludf.DUMMYFUNCTION("""COMPUTED_VALUE"""),0.3541666666666667)</f>
        <v>0.3541666667</v>
      </c>
      <c r="I290" s="136">
        <f>IFERROR(__xludf.DUMMYFUNCTION("""COMPUTED_VALUE"""),9.0)</f>
        <v>9</v>
      </c>
      <c r="J290" s="136">
        <f>IFERROR(__xludf.DUMMYFUNCTION("""COMPUTED_VALUE"""),19917.0)</f>
        <v>19917</v>
      </c>
      <c r="K290" s="136">
        <f>IFERROR(__xludf.DUMMYFUNCTION("""COMPUTED_VALUE"""),41.0)</f>
        <v>41</v>
      </c>
      <c r="L290" s="136">
        <f>IFERROR(__xludf.DUMMYFUNCTION("""COMPUTED_VALUE"""),26.0)</f>
        <v>26</v>
      </c>
      <c r="M290" s="136">
        <f>IFERROR(__xludf.DUMMYFUNCTION("""COMPUTED_VALUE"""),84.0)</f>
        <v>84</v>
      </c>
      <c r="N290" s="136">
        <f>IFERROR(__xludf.DUMMYFUNCTION("""COMPUTED_VALUE"""),133.0)</f>
        <v>133</v>
      </c>
      <c r="O290" s="138">
        <f>IFERROR(__xludf.DUMMYFUNCTION("""COMPUTED_VALUE"""),8.0)</f>
        <v>8</v>
      </c>
      <c r="P290" s="138">
        <f>IFERROR(__xludf.DUMMYFUNCTION("""COMPUTED_VALUE"""),2.0)</f>
        <v>2</v>
      </c>
      <c r="Q290" s="138">
        <f>IFERROR(__xludf.DUMMYFUNCTION("""COMPUTED_VALUE"""),0.0)</f>
        <v>0</v>
      </c>
      <c r="R290" s="138">
        <f>IFERROR(__xludf.DUMMYFUNCTION("""COMPUTED_VALUE"""),14.0)</f>
        <v>14</v>
      </c>
      <c r="S290" s="139">
        <f>IFERROR(__xludf.DUMMYFUNCTION("""COMPUTED_VALUE"""),407.0)</f>
        <v>407</v>
      </c>
      <c r="T290" s="140">
        <f>IFERROR(__xludf.DUMMYFUNCTION("""COMPUTED_VALUE"""),121.0)</f>
        <v>121</v>
      </c>
      <c r="U290" s="136">
        <f>IFERROR(__xludf.DUMMYFUNCTION("""COMPUTED_VALUE"""),36.0)</f>
        <v>36</v>
      </c>
      <c r="V290" s="136">
        <f>IFERROR(__xludf.DUMMYFUNCTION("""COMPUTED_VALUE"""),67.0)</f>
        <v>67</v>
      </c>
      <c r="W290" s="136">
        <f>IFERROR(__xludf.DUMMYFUNCTION("""COMPUTED_VALUE"""),47.0)</f>
        <v>47</v>
      </c>
      <c r="X290" s="136">
        <f>IFERROR(__xludf.DUMMYFUNCTION("""COMPUTED_VALUE"""),385.5208333333333)</f>
        <v>385.5208333</v>
      </c>
      <c r="Y290" s="141">
        <f>IFERROR(__xludf.DUMMYFUNCTION("""COMPUTED_VALUE"""),51.27916666666667)</f>
        <v>51.27916667</v>
      </c>
      <c r="Z290" s="141">
        <f>IFERROR(__xludf.DUMMYFUNCTION("""COMPUTED_VALUE"""),2320.1875)</f>
        <v>2320.1875</v>
      </c>
    </row>
    <row r="291">
      <c r="A291" s="41" t="str">
        <f>IFERROR(__xludf.DUMMYFUNCTION("""COMPUTED_VALUE"""),"Elite")</f>
        <v>Elite</v>
      </c>
      <c r="B291" s="41" t="str">
        <f>IFERROR(__xludf.DUMMYFUNCTION("""COMPUTED_VALUE"""),"RSC005491")</f>
        <v>RSC005491</v>
      </c>
      <c r="C291" s="41" t="str">
        <f>IFERROR(__xludf.DUMMYFUNCTION("""COMPUTED_VALUE"""),"Jackowanou")</f>
        <v>Jackowanou</v>
      </c>
      <c r="D291" s="41" t="str">
        <f>IFERROR(__xludf.DUMMYFUNCTION("""COMPUTED_VALUE"""),"Teddy Bears")</f>
        <v>Teddy Bears</v>
      </c>
      <c r="E291" s="136">
        <f>IFERROR(__xludf.DUMMYFUNCTION("""COMPUTED_VALUE"""),52.0)</f>
        <v>52</v>
      </c>
      <c r="F291" s="136">
        <f>IFERROR(__xludf.DUMMYFUNCTION("""COMPUTED_VALUE"""),27.0)</f>
        <v>27</v>
      </c>
      <c r="G291" s="136">
        <f>IFERROR(__xludf.DUMMYFUNCTION("""COMPUTED_VALUE"""),25.0)</f>
        <v>25</v>
      </c>
      <c r="H291" s="137">
        <f>IFERROR(__xludf.DUMMYFUNCTION("""COMPUTED_VALUE"""),0.5192307692307693)</f>
        <v>0.5192307692</v>
      </c>
      <c r="I291" s="136">
        <f>IFERROR(__xludf.DUMMYFUNCTION("""COMPUTED_VALUE"""),5.0)</f>
        <v>5</v>
      </c>
      <c r="J291" s="136">
        <f>IFERROR(__xludf.DUMMYFUNCTION("""COMPUTED_VALUE"""),18165.0)</f>
        <v>18165</v>
      </c>
      <c r="K291" s="136">
        <f>IFERROR(__xludf.DUMMYFUNCTION("""COMPUTED_VALUE"""),43.0)</f>
        <v>43</v>
      </c>
      <c r="L291" s="136">
        <f>IFERROR(__xludf.DUMMYFUNCTION("""COMPUTED_VALUE"""),29.0)</f>
        <v>29</v>
      </c>
      <c r="M291" s="136">
        <f>IFERROR(__xludf.DUMMYFUNCTION("""COMPUTED_VALUE"""),69.0)</f>
        <v>69</v>
      </c>
      <c r="N291" s="136">
        <f>IFERROR(__xludf.DUMMYFUNCTION("""COMPUTED_VALUE"""),126.0)</f>
        <v>126</v>
      </c>
      <c r="O291" s="138">
        <f>IFERROR(__xludf.DUMMYFUNCTION("""COMPUTED_VALUE"""),10.0)</f>
        <v>10</v>
      </c>
      <c r="P291" s="138">
        <f>IFERROR(__xludf.DUMMYFUNCTION("""COMPUTED_VALUE"""),4.0)</f>
        <v>4</v>
      </c>
      <c r="Q291" s="138">
        <f>IFERROR(__xludf.DUMMYFUNCTION("""COMPUTED_VALUE"""),1.0)</f>
        <v>1</v>
      </c>
      <c r="R291" s="138">
        <f>IFERROR(__xludf.DUMMYFUNCTION("""COMPUTED_VALUE"""),8.0)</f>
        <v>8</v>
      </c>
      <c r="S291" s="139">
        <f>IFERROR(__xludf.DUMMYFUNCTION("""COMPUTED_VALUE"""),405.0)</f>
        <v>405</v>
      </c>
      <c r="T291" s="140">
        <f>IFERROR(__xludf.DUMMYFUNCTION("""COMPUTED_VALUE"""),127.0)</f>
        <v>127</v>
      </c>
      <c r="U291" s="136">
        <f>IFERROR(__xludf.DUMMYFUNCTION("""COMPUTED_VALUE"""),38.0)</f>
        <v>38</v>
      </c>
      <c r="V291" s="136">
        <f>IFERROR(__xludf.DUMMYFUNCTION("""COMPUTED_VALUE"""),40.0)</f>
        <v>40</v>
      </c>
      <c r="W291" s="136">
        <f>IFERROR(__xludf.DUMMYFUNCTION("""COMPUTED_VALUE"""),61.0)</f>
        <v>61</v>
      </c>
      <c r="X291" s="136">
        <f>IFERROR(__xludf.DUMMYFUNCTION("""COMPUTED_VALUE"""),393.8269230769231)</f>
        <v>393.8269231</v>
      </c>
      <c r="Y291" s="141">
        <f>IFERROR(__xludf.DUMMYFUNCTION("""COMPUTED_VALUE"""),47.66500000000001)</f>
        <v>47.665</v>
      </c>
      <c r="Z291" s="141">
        <f>IFERROR(__xludf.DUMMYFUNCTION("""COMPUTED_VALUE"""),2364.0576923076924)</f>
        <v>2364.057692</v>
      </c>
    </row>
    <row r="292">
      <c r="A292" s="41" t="str">
        <f>IFERROR(__xludf.DUMMYFUNCTION("""COMPUTED_VALUE"""),"Master")</f>
        <v>Master</v>
      </c>
      <c r="B292" s="41" t="str">
        <f>IFERROR(__xludf.DUMMYFUNCTION("""COMPUTED_VALUE"""),"RSC005499")</f>
        <v>RSC005499</v>
      </c>
      <c r="C292" s="41" t="str">
        <f>IFERROR(__xludf.DUMMYFUNCTION("""COMPUTED_VALUE"""),"The Red R0cket")</f>
        <v>The Red R0cket</v>
      </c>
      <c r="D292" s="41" t="str">
        <f>IFERROR(__xludf.DUMMYFUNCTION("""COMPUTED_VALUE"""),"Heinous Henchmen")</f>
        <v>Heinous Henchmen</v>
      </c>
      <c r="E292" s="136">
        <f>IFERROR(__xludf.DUMMYFUNCTION("""COMPUTED_VALUE"""),55.0)</f>
        <v>55</v>
      </c>
      <c r="F292" s="136">
        <f>IFERROR(__xludf.DUMMYFUNCTION("""COMPUTED_VALUE"""),28.0)</f>
        <v>28</v>
      </c>
      <c r="G292" s="136">
        <f>IFERROR(__xludf.DUMMYFUNCTION("""COMPUTED_VALUE"""),27.0)</f>
        <v>27</v>
      </c>
      <c r="H292" s="137">
        <f>IFERROR(__xludf.DUMMYFUNCTION("""COMPUTED_VALUE"""),0.509090909090909)</f>
        <v>0.5090909091</v>
      </c>
      <c r="I292" s="136">
        <f>IFERROR(__xludf.DUMMYFUNCTION("""COMPUTED_VALUE"""),10.0)</f>
        <v>10</v>
      </c>
      <c r="J292" s="136">
        <f>IFERROR(__xludf.DUMMYFUNCTION("""COMPUTED_VALUE"""),18599.0)</f>
        <v>18599</v>
      </c>
      <c r="K292" s="136">
        <f>IFERROR(__xludf.DUMMYFUNCTION("""COMPUTED_VALUE"""),48.0)</f>
        <v>48</v>
      </c>
      <c r="L292" s="136">
        <f>IFERROR(__xludf.DUMMYFUNCTION("""COMPUTED_VALUE"""),31.0)</f>
        <v>31</v>
      </c>
      <c r="M292" s="136">
        <f>IFERROR(__xludf.DUMMYFUNCTION("""COMPUTED_VALUE"""),69.0)</f>
        <v>69</v>
      </c>
      <c r="N292" s="136">
        <f>IFERROR(__xludf.DUMMYFUNCTION("""COMPUTED_VALUE"""),112.0)</f>
        <v>112</v>
      </c>
      <c r="O292" s="138">
        <f>IFERROR(__xludf.DUMMYFUNCTION("""COMPUTED_VALUE"""),14.0)</f>
        <v>14</v>
      </c>
      <c r="P292" s="138">
        <f>IFERROR(__xludf.DUMMYFUNCTION("""COMPUTED_VALUE"""),4.0)</f>
        <v>4</v>
      </c>
      <c r="Q292" s="138">
        <f>IFERROR(__xludf.DUMMYFUNCTION("""COMPUTED_VALUE"""),1.0)</f>
        <v>1</v>
      </c>
      <c r="R292" s="138">
        <f>IFERROR(__xludf.DUMMYFUNCTION("""COMPUTED_VALUE"""),3.0)</f>
        <v>3</v>
      </c>
      <c r="S292" s="139">
        <f>IFERROR(__xludf.DUMMYFUNCTION("""COMPUTED_VALUE"""),375.0)</f>
        <v>375</v>
      </c>
      <c r="T292" s="140">
        <f>IFERROR(__xludf.DUMMYFUNCTION("""COMPUTED_VALUE"""),108.0)</f>
        <v>108</v>
      </c>
      <c r="U292" s="136">
        <f>IFERROR(__xludf.DUMMYFUNCTION("""COMPUTED_VALUE"""),30.0)</f>
        <v>30</v>
      </c>
      <c r="V292" s="136">
        <f>IFERROR(__xludf.DUMMYFUNCTION("""COMPUTED_VALUE"""),65.0)</f>
        <v>65</v>
      </c>
      <c r="W292" s="136">
        <f>IFERROR(__xludf.DUMMYFUNCTION("""COMPUTED_VALUE"""),51.0)</f>
        <v>51</v>
      </c>
      <c r="X292" s="136">
        <f>IFERROR(__xludf.DUMMYFUNCTION("""COMPUTED_VALUE"""),421.2549019607843)</f>
        <v>421.254902</v>
      </c>
      <c r="Y292" s="141">
        <f>IFERROR(__xludf.DUMMYFUNCTION("""COMPUTED_VALUE"""),46.02588235294118)</f>
        <v>46.02588235</v>
      </c>
      <c r="Z292" s="141">
        <f>IFERROR(__xludf.DUMMYFUNCTION("""COMPUTED_VALUE"""),2570.392156862745)</f>
        <v>2570.392157</v>
      </c>
    </row>
    <row r="293">
      <c r="A293" s="41" t="str">
        <f>IFERROR(__xludf.DUMMYFUNCTION("""COMPUTED_VALUE"""),"Veteran")</f>
        <v>Veteran</v>
      </c>
      <c r="B293" s="41" t="str">
        <f>IFERROR(__xludf.DUMMYFUNCTION("""COMPUTED_VALUE"""),"RSC005505")</f>
        <v>RSC005505</v>
      </c>
      <c r="C293" s="41" t="str">
        <f>IFERROR(__xludf.DUMMYFUNCTION("""COMPUTED_VALUE"""),"The_Wheelman_95")</f>
        <v>The_Wheelman_95</v>
      </c>
      <c r="D293" s="41" t="str">
        <f>IFERROR(__xludf.DUMMYFUNCTION("""COMPUTED_VALUE"""),"Merciless Mob")</f>
        <v>Merciless Mob</v>
      </c>
      <c r="E293" s="136">
        <f>IFERROR(__xludf.DUMMYFUNCTION("""COMPUTED_VALUE"""),25.0)</f>
        <v>25</v>
      </c>
      <c r="F293" s="136">
        <f>IFERROR(__xludf.DUMMYFUNCTION("""COMPUTED_VALUE"""),9.0)</f>
        <v>9</v>
      </c>
      <c r="G293" s="136">
        <f>IFERROR(__xludf.DUMMYFUNCTION("""COMPUTED_VALUE"""),16.0)</f>
        <v>16</v>
      </c>
      <c r="H293" s="137">
        <f>IFERROR(__xludf.DUMMYFUNCTION("""COMPUTED_VALUE"""),0.36)</f>
        <v>0.36</v>
      </c>
      <c r="I293" s="136">
        <f>IFERROR(__xludf.DUMMYFUNCTION("""COMPUTED_VALUE"""),1.0)</f>
        <v>1</v>
      </c>
      <c r="J293" s="136">
        <f>IFERROR(__xludf.DUMMYFUNCTION("""COMPUTED_VALUE"""),7640.0)</f>
        <v>7640</v>
      </c>
      <c r="K293" s="136">
        <f>IFERROR(__xludf.DUMMYFUNCTION("""COMPUTED_VALUE"""),14.0)</f>
        <v>14</v>
      </c>
      <c r="L293" s="136">
        <f>IFERROR(__xludf.DUMMYFUNCTION("""COMPUTED_VALUE"""),14.0)</f>
        <v>14</v>
      </c>
      <c r="M293" s="136">
        <f>IFERROR(__xludf.DUMMYFUNCTION("""COMPUTED_VALUE"""),31.0)</f>
        <v>31</v>
      </c>
      <c r="N293" s="136">
        <f>IFERROR(__xludf.DUMMYFUNCTION("""COMPUTED_VALUE"""),65.0)</f>
        <v>65</v>
      </c>
      <c r="O293" s="138">
        <f>IFERROR(__xludf.DUMMYFUNCTION("""COMPUTED_VALUE"""),4.0)</f>
        <v>4</v>
      </c>
      <c r="P293" s="138">
        <f>IFERROR(__xludf.DUMMYFUNCTION("""COMPUTED_VALUE"""),0.0)</f>
        <v>0</v>
      </c>
      <c r="Q293" s="138">
        <f>IFERROR(__xludf.DUMMYFUNCTION("""COMPUTED_VALUE"""),0.0)</f>
        <v>0</v>
      </c>
      <c r="R293" s="138">
        <f>IFERROR(__xludf.DUMMYFUNCTION("""COMPUTED_VALUE"""),2.0)</f>
        <v>2</v>
      </c>
      <c r="S293" s="139">
        <f>IFERROR(__xludf.DUMMYFUNCTION("""COMPUTED_VALUE"""),202.0)</f>
        <v>202</v>
      </c>
      <c r="T293" s="140">
        <f>IFERROR(__xludf.DUMMYFUNCTION("""COMPUTED_VALUE"""),61.0)</f>
        <v>61</v>
      </c>
      <c r="U293" s="136">
        <f>IFERROR(__xludf.DUMMYFUNCTION("""COMPUTED_VALUE"""),19.0)</f>
        <v>19</v>
      </c>
      <c r="V293" s="136">
        <f>IFERROR(__xludf.DUMMYFUNCTION("""COMPUTED_VALUE"""),53.0)</f>
        <v>53</v>
      </c>
      <c r="W293" s="136">
        <f>IFERROR(__xludf.DUMMYFUNCTION("""COMPUTED_VALUE"""),24.0)</f>
        <v>24</v>
      </c>
      <c r="X293" s="136">
        <f>IFERROR(__xludf.DUMMYFUNCTION("""COMPUTED_VALUE"""),432.72)</f>
        <v>432.72</v>
      </c>
      <c r="Y293" s="141">
        <f>IFERROR(__xludf.DUMMYFUNCTION("""COMPUTED_VALUE"""),46.352399999999996)</f>
        <v>46.3524</v>
      </c>
      <c r="Z293" s="141">
        <f>IFERROR(__xludf.DUMMYFUNCTION("""COMPUTED_VALUE"""),2557.76)</f>
        <v>2557.76</v>
      </c>
    </row>
    <row r="294">
      <c r="A294" s="41" t="str">
        <f>IFERROR(__xludf.DUMMYFUNCTION("""COMPUTED_VALUE"""),"Rival")</f>
        <v>Rival</v>
      </c>
      <c r="B294" s="41" t="str">
        <f>IFERROR(__xludf.DUMMYFUNCTION("""COMPUTED_VALUE"""),"RSC005507")</f>
        <v>RSC005507</v>
      </c>
      <c r="C294" s="41" t="str">
        <f>IFERROR(__xludf.DUMMYFUNCTION("""COMPUTED_VALUE"""),"T Sant")</f>
        <v>T Sant</v>
      </c>
      <c r="D294" s="41" t="str">
        <f>IFERROR(__xludf.DUMMYFUNCTION("""COMPUTED_VALUE"""),"Primo")</f>
        <v>Primo</v>
      </c>
      <c r="E294" s="136">
        <f>IFERROR(__xludf.DUMMYFUNCTION("""COMPUTED_VALUE"""),52.0)</f>
        <v>52</v>
      </c>
      <c r="F294" s="136">
        <f>IFERROR(__xludf.DUMMYFUNCTION("""COMPUTED_VALUE"""),33.0)</f>
        <v>33</v>
      </c>
      <c r="G294" s="136">
        <f>IFERROR(__xludf.DUMMYFUNCTION("""COMPUTED_VALUE"""),19.0)</f>
        <v>19</v>
      </c>
      <c r="H294" s="137">
        <f>IFERROR(__xludf.DUMMYFUNCTION("""COMPUTED_VALUE"""),0.6346153846153846)</f>
        <v>0.6346153846</v>
      </c>
      <c r="I294" s="136">
        <f>IFERROR(__xludf.DUMMYFUNCTION("""COMPUTED_VALUE"""),9.0)</f>
        <v>9</v>
      </c>
      <c r="J294" s="136">
        <f>IFERROR(__xludf.DUMMYFUNCTION("""COMPUTED_VALUE"""),16337.0)</f>
        <v>16337</v>
      </c>
      <c r="K294" s="136">
        <f>IFERROR(__xludf.DUMMYFUNCTION("""COMPUTED_VALUE"""),33.0)</f>
        <v>33</v>
      </c>
      <c r="L294" s="136">
        <f>IFERROR(__xludf.DUMMYFUNCTION("""COMPUTED_VALUE"""),29.0)</f>
        <v>29</v>
      </c>
      <c r="M294" s="136">
        <f>IFERROR(__xludf.DUMMYFUNCTION("""COMPUTED_VALUE"""),62.0)</f>
        <v>62</v>
      </c>
      <c r="N294" s="136">
        <f>IFERROR(__xludf.DUMMYFUNCTION("""COMPUTED_VALUE"""),127.0)</f>
        <v>127</v>
      </c>
      <c r="O294" s="138">
        <f>IFERROR(__xludf.DUMMYFUNCTION("""COMPUTED_VALUE"""),13.0)</f>
        <v>13</v>
      </c>
      <c r="P294" s="138">
        <f>IFERROR(__xludf.DUMMYFUNCTION("""COMPUTED_VALUE"""),0.0)</f>
        <v>0</v>
      </c>
      <c r="Q294" s="138">
        <f>IFERROR(__xludf.DUMMYFUNCTION("""COMPUTED_VALUE"""),1.0)</f>
        <v>1</v>
      </c>
      <c r="R294" s="138">
        <f>IFERROR(__xludf.DUMMYFUNCTION("""COMPUTED_VALUE"""),4.0)</f>
        <v>4</v>
      </c>
      <c r="S294" s="139">
        <f>IFERROR(__xludf.DUMMYFUNCTION("""COMPUTED_VALUE"""),317.0)</f>
        <v>317</v>
      </c>
      <c r="T294" s="140">
        <f>IFERROR(__xludf.DUMMYFUNCTION("""COMPUTED_VALUE"""),92.0)</f>
        <v>92</v>
      </c>
      <c r="U294" s="136">
        <f>IFERROR(__xludf.DUMMYFUNCTION("""COMPUTED_VALUE"""),29.0)</f>
        <v>29</v>
      </c>
      <c r="V294" s="136">
        <f>IFERROR(__xludf.DUMMYFUNCTION("""COMPUTED_VALUE"""),68.0)</f>
        <v>68</v>
      </c>
      <c r="W294" s="136">
        <f>IFERROR(__xludf.DUMMYFUNCTION("""COMPUTED_VALUE"""),52.0)</f>
        <v>52</v>
      </c>
      <c r="X294" s="136">
        <f>IFERROR(__xludf.DUMMYFUNCTION("""COMPUTED_VALUE"""),347.3269230769231)</f>
        <v>347.3269231</v>
      </c>
      <c r="Y294" s="141">
        <f>IFERROR(__xludf.DUMMYFUNCTION("""COMPUTED_VALUE"""),50.04884615384614)</f>
        <v>50.04884615</v>
      </c>
      <c r="Z294" s="141">
        <f>IFERROR(__xludf.DUMMYFUNCTION("""COMPUTED_VALUE"""),2111.3846153846152)</f>
        <v>2111.384615</v>
      </c>
    </row>
    <row r="295">
      <c r="A295" s="41" t="str">
        <f>IFERROR(__xludf.DUMMYFUNCTION("""COMPUTED_VALUE"""),"Elite")</f>
        <v>Elite</v>
      </c>
      <c r="B295" s="41" t="str">
        <f>IFERROR(__xludf.DUMMYFUNCTION("""COMPUTED_VALUE"""),"RSC005508")</f>
        <v>RSC005508</v>
      </c>
      <c r="C295" s="41" t="str">
        <f>IFERROR(__xludf.DUMMYFUNCTION("""COMPUTED_VALUE"""),"Lil Windex")</f>
        <v>Lil Windex</v>
      </c>
      <c r="D295" s="41" t="str">
        <f>IFERROR(__xludf.DUMMYFUNCTION("""COMPUTED_VALUE"""),"Pixel Picassos")</f>
        <v>Pixel Picassos</v>
      </c>
      <c r="E295" s="136">
        <f>IFERROR(__xludf.DUMMYFUNCTION("""COMPUTED_VALUE"""),39.0)</f>
        <v>39</v>
      </c>
      <c r="F295" s="136">
        <f>IFERROR(__xludf.DUMMYFUNCTION("""COMPUTED_VALUE"""),13.0)</f>
        <v>13</v>
      </c>
      <c r="G295" s="136">
        <f>IFERROR(__xludf.DUMMYFUNCTION("""COMPUTED_VALUE"""),26.0)</f>
        <v>26</v>
      </c>
      <c r="H295" s="137">
        <f>IFERROR(__xludf.DUMMYFUNCTION("""COMPUTED_VALUE"""),0.3333333333333333)</f>
        <v>0.3333333333</v>
      </c>
      <c r="I295" s="136">
        <f>IFERROR(__xludf.DUMMYFUNCTION("""COMPUTED_VALUE"""),4.0)</f>
        <v>4</v>
      </c>
      <c r="J295" s="136">
        <f>IFERROR(__xludf.DUMMYFUNCTION("""COMPUTED_VALUE"""),13674.0)</f>
        <v>13674</v>
      </c>
      <c r="K295" s="136">
        <f>IFERROR(__xludf.DUMMYFUNCTION("""COMPUTED_VALUE"""),33.0)</f>
        <v>33</v>
      </c>
      <c r="L295" s="136">
        <f>IFERROR(__xludf.DUMMYFUNCTION("""COMPUTED_VALUE"""),18.0)</f>
        <v>18</v>
      </c>
      <c r="M295" s="136">
        <f>IFERROR(__xludf.DUMMYFUNCTION("""COMPUTED_VALUE"""),53.0)</f>
        <v>53</v>
      </c>
      <c r="N295" s="136">
        <f>IFERROR(__xludf.DUMMYFUNCTION("""COMPUTED_VALUE"""),112.0)</f>
        <v>112</v>
      </c>
      <c r="O295" s="138">
        <f>IFERROR(__xludf.DUMMYFUNCTION("""COMPUTED_VALUE"""),8.0)</f>
        <v>8</v>
      </c>
      <c r="P295" s="138">
        <f>IFERROR(__xludf.DUMMYFUNCTION("""COMPUTED_VALUE"""),1.0)</f>
        <v>1</v>
      </c>
      <c r="Q295" s="138">
        <f>IFERROR(__xludf.DUMMYFUNCTION("""COMPUTED_VALUE"""),0.0)</f>
        <v>0</v>
      </c>
      <c r="R295" s="138">
        <f>IFERROR(__xludf.DUMMYFUNCTION("""COMPUTED_VALUE"""),6.0)</f>
        <v>6</v>
      </c>
      <c r="S295" s="139">
        <f>IFERROR(__xludf.DUMMYFUNCTION("""COMPUTED_VALUE"""),309.0)</f>
        <v>309</v>
      </c>
      <c r="T295" s="140">
        <f>IFERROR(__xludf.DUMMYFUNCTION("""COMPUTED_VALUE"""),111.0)</f>
        <v>111</v>
      </c>
      <c r="U295" s="136">
        <f>IFERROR(__xludf.DUMMYFUNCTION("""COMPUTED_VALUE"""),44.0)</f>
        <v>44</v>
      </c>
      <c r="V295" s="136">
        <f>IFERROR(__xludf.DUMMYFUNCTION("""COMPUTED_VALUE"""),83.0)</f>
        <v>83</v>
      </c>
      <c r="W295" s="136">
        <f>IFERROR(__xludf.DUMMYFUNCTION("""COMPUTED_VALUE"""),41.0)</f>
        <v>41</v>
      </c>
      <c r="X295" s="136">
        <f>IFERROR(__xludf.DUMMYFUNCTION("""COMPUTED_VALUE"""),479.35897435897436)</f>
        <v>479.3589744</v>
      </c>
      <c r="Y295" s="141">
        <f>IFERROR(__xludf.DUMMYFUNCTION("""COMPUTED_VALUE"""),47.82564102564102)</f>
        <v>47.82564103</v>
      </c>
      <c r="Z295" s="141">
        <f>IFERROR(__xludf.DUMMYFUNCTION("""COMPUTED_VALUE"""),2923.4102564102564)</f>
        <v>2923.410256</v>
      </c>
    </row>
    <row r="296">
      <c r="A296" s="41" t="str">
        <f>IFERROR(__xludf.DUMMYFUNCTION("""COMPUTED_VALUE"""),"Elite")</f>
        <v>Elite</v>
      </c>
      <c r="B296" s="41" t="str">
        <f>IFERROR(__xludf.DUMMYFUNCTION("""COMPUTED_VALUE"""),"RSC005515")</f>
        <v>RSC005515</v>
      </c>
      <c r="C296" s="41" t="str">
        <f>IFERROR(__xludf.DUMMYFUNCTION("""COMPUTED_VALUE"""),"BaronTac0")</f>
        <v>BaronTac0</v>
      </c>
      <c r="D296" s="41" t="str">
        <f>IFERROR(__xludf.DUMMYFUNCTION("""COMPUTED_VALUE"""),"Embezzlers")</f>
        <v>Embezzlers</v>
      </c>
      <c r="E296" s="136">
        <f>IFERROR(__xludf.DUMMYFUNCTION("""COMPUTED_VALUE"""),45.0)</f>
        <v>45</v>
      </c>
      <c r="F296" s="136">
        <f>IFERROR(__xludf.DUMMYFUNCTION("""COMPUTED_VALUE"""),28.0)</f>
        <v>28</v>
      </c>
      <c r="G296" s="136">
        <f>IFERROR(__xludf.DUMMYFUNCTION("""COMPUTED_VALUE"""),17.0)</f>
        <v>17</v>
      </c>
      <c r="H296" s="137">
        <f>IFERROR(__xludf.DUMMYFUNCTION("""COMPUTED_VALUE"""),0.6222222222222222)</f>
        <v>0.6222222222</v>
      </c>
      <c r="I296" s="136">
        <f>IFERROR(__xludf.DUMMYFUNCTION("""COMPUTED_VALUE"""),11.0)</f>
        <v>11</v>
      </c>
      <c r="J296" s="136">
        <f>IFERROR(__xludf.DUMMYFUNCTION("""COMPUTED_VALUE"""),17024.0)</f>
        <v>17024</v>
      </c>
      <c r="K296" s="136">
        <f>IFERROR(__xludf.DUMMYFUNCTION("""COMPUTED_VALUE"""),39.0)</f>
        <v>39</v>
      </c>
      <c r="L296" s="136">
        <f>IFERROR(__xludf.DUMMYFUNCTION("""COMPUTED_VALUE"""),27.0)</f>
        <v>27</v>
      </c>
      <c r="M296" s="136">
        <f>IFERROR(__xludf.DUMMYFUNCTION("""COMPUTED_VALUE"""),69.0)</f>
        <v>69</v>
      </c>
      <c r="N296" s="136">
        <f>IFERROR(__xludf.DUMMYFUNCTION("""COMPUTED_VALUE"""),105.0)</f>
        <v>105</v>
      </c>
      <c r="O296" s="138">
        <f>IFERROR(__xludf.DUMMYFUNCTION("""COMPUTED_VALUE"""),15.0)</f>
        <v>15</v>
      </c>
      <c r="P296" s="138">
        <f>IFERROR(__xludf.DUMMYFUNCTION("""COMPUTED_VALUE"""),2.0)</f>
        <v>2</v>
      </c>
      <c r="Q296" s="138">
        <f>IFERROR(__xludf.DUMMYFUNCTION("""COMPUTED_VALUE"""),0.0)</f>
        <v>0</v>
      </c>
      <c r="R296" s="138">
        <f>IFERROR(__xludf.DUMMYFUNCTION("""COMPUTED_VALUE"""),8.0)</f>
        <v>8</v>
      </c>
      <c r="S296" s="139">
        <f>IFERROR(__xludf.DUMMYFUNCTION("""COMPUTED_VALUE"""),337.0)</f>
        <v>337</v>
      </c>
      <c r="T296" s="140">
        <f>IFERROR(__xludf.DUMMYFUNCTION("""COMPUTED_VALUE"""),91.0)</f>
        <v>91</v>
      </c>
      <c r="U296" s="136">
        <f>IFERROR(__xludf.DUMMYFUNCTION("""COMPUTED_VALUE"""),31.0)</f>
        <v>31</v>
      </c>
      <c r="V296" s="136">
        <f>IFERROR(__xludf.DUMMYFUNCTION("""COMPUTED_VALUE"""),76.0)</f>
        <v>76</v>
      </c>
      <c r="W296" s="136">
        <f>IFERROR(__xludf.DUMMYFUNCTION("""COMPUTED_VALUE"""),37.0)</f>
        <v>37</v>
      </c>
      <c r="X296" s="136">
        <f>IFERROR(__xludf.DUMMYFUNCTION("""COMPUTED_VALUE"""),412.44444444444446)</f>
        <v>412.4444444</v>
      </c>
      <c r="Y296" s="141">
        <f>IFERROR(__xludf.DUMMYFUNCTION("""COMPUTED_VALUE"""),57.27266666666667)</f>
        <v>57.27266667</v>
      </c>
      <c r="Z296" s="141">
        <f>IFERROR(__xludf.DUMMYFUNCTION("""COMPUTED_VALUE"""),2519.6222222222223)</f>
        <v>2519.622222</v>
      </c>
    </row>
    <row r="297">
      <c r="A297" s="41" t="str">
        <f>IFERROR(__xludf.DUMMYFUNCTION("""COMPUTED_VALUE"""),"Elite")</f>
        <v>Elite</v>
      </c>
      <c r="B297" s="41" t="str">
        <f>IFERROR(__xludf.DUMMYFUNCTION("""COMPUTED_VALUE"""),"RSC005516")</f>
        <v>RSC005516</v>
      </c>
      <c r="C297" s="41" t="str">
        <f>IFERROR(__xludf.DUMMYFUNCTION("""COMPUTED_VALUE"""),"Pirate Princess Local!")</f>
        <v>Pirate Princess Local!</v>
      </c>
      <c r="D297" s="41" t="str">
        <f>IFERROR(__xludf.DUMMYFUNCTION("""COMPUTED_VALUE"""),"Praetorian Guard")</f>
        <v>Praetorian Guard</v>
      </c>
      <c r="E297" s="136">
        <f>IFERROR(__xludf.DUMMYFUNCTION("""COMPUTED_VALUE"""),36.0)</f>
        <v>36</v>
      </c>
      <c r="F297" s="136">
        <f>IFERROR(__xludf.DUMMYFUNCTION("""COMPUTED_VALUE"""),20.0)</f>
        <v>20</v>
      </c>
      <c r="G297" s="136">
        <f>IFERROR(__xludf.DUMMYFUNCTION("""COMPUTED_VALUE"""),16.0)</f>
        <v>16</v>
      </c>
      <c r="H297" s="137">
        <f>IFERROR(__xludf.DUMMYFUNCTION("""COMPUTED_VALUE"""),0.5555555555555556)</f>
        <v>0.5555555556</v>
      </c>
      <c r="I297" s="136">
        <f>IFERROR(__xludf.DUMMYFUNCTION("""COMPUTED_VALUE"""),11.0)</f>
        <v>11</v>
      </c>
      <c r="J297" s="136">
        <f>IFERROR(__xludf.DUMMYFUNCTION("""COMPUTED_VALUE"""),15962.0)</f>
        <v>15962</v>
      </c>
      <c r="K297" s="136">
        <f>IFERROR(__xludf.DUMMYFUNCTION("""COMPUTED_VALUE"""),37.0)</f>
        <v>37</v>
      </c>
      <c r="L297" s="136">
        <f>IFERROR(__xludf.DUMMYFUNCTION("""COMPUTED_VALUE"""),24.0)</f>
        <v>24</v>
      </c>
      <c r="M297" s="136">
        <f>IFERROR(__xludf.DUMMYFUNCTION("""COMPUTED_VALUE"""),71.0)</f>
        <v>71</v>
      </c>
      <c r="N297" s="136">
        <f>IFERROR(__xludf.DUMMYFUNCTION("""COMPUTED_VALUE"""),110.0)</f>
        <v>110</v>
      </c>
      <c r="O297" s="138">
        <f>IFERROR(__xludf.DUMMYFUNCTION("""COMPUTED_VALUE"""),9.0)</f>
        <v>9</v>
      </c>
      <c r="P297" s="138">
        <f>IFERROR(__xludf.DUMMYFUNCTION("""COMPUTED_VALUE"""),4.0)</f>
        <v>4</v>
      </c>
      <c r="Q297" s="138">
        <f>IFERROR(__xludf.DUMMYFUNCTION("""COMPUTED_VALUE"""),2.0)</f>
        <v>2</v>
      </c>
      <c r="R297" s="138">
        <f>IFERROR(__xludf.DUMMYFUNCTION("""COMPUTED_VALUE"""),11.0)</f>
        <v>11</v>
      </c>
      <c r="S297" s="139">
        <f>IFERROR(__xludf.DUMMYFUNCTION("""COMPUTED_VALUE"""),312.0)</f>
        <v>312</v>
      </c>
      <c r="T297" s="140">
        <f>IFERROR(__xludf.DUMMYFUNCTION("""COMPUTED_VALUE"""),95.0)</f>
        <v>95</v>
      </c>
      <c r="U297" s="136">
        <f>IFERROR(__xludf.DUMMYFUNCTION("""COMPUTED_VALUE"""),27.0)</f>
        <v>27</v>
      </c>
      <c r="V297" s="136">
        <f>IFERROR(__xludf.DUMMYFUNCTION("""COMPUTED_VALUE"""),38.0)</f>
        <v>38</v>
      </c>
      <c r="W297" s="136">
        <f>IFERROR(__xludf.DUMMYFUNCTION("""COMPUTED_VALUE"""),36.0)</f>
        <v>36</v>
      </c>
      <c r="X297" s="136">
        <f>IFERROR(__xludf.DUMMYFUNCTION("""COMPUTED_VALUE"""),398.5)</f>
        <v>398.5</v>
      </c>
      <c r="Y297" s="141">
        <f>IFERROR(__xludf.DUMMYFUNCTION("""COMPUTED_VALUE"""),50.265)</f>
        <v>50.265</v>
      </c>
      <c r="Z297" s="141">
        <f>IFERROR(__xludf.DUMMYFUNCTION("""COMPUTED_VALUE"""),2402.3055555555557)</f>
        <v>2402.305556</v>
      </c>
    </row>
    <row r="298">
      <c r="A298" s="41" t="str">
        <f>IFERROR(__xludf.DUMMYFUNCTION("""COMPUTED_VALUE"""),"Rival")</f>
        <v>Rival</v>
      </c>
      <c r="B298" s="41" t="str">
        <f>IFERROR(__xludf.DUMMYFUNCTION("""COMPUTED_VALUE"""),"RSC005521")</f>
        <v>RSC005521</v>
      </c>
      <c r="C298" s="41" t="str">
        <f>IFERROR(__xludf.DUMMYFUNCTION("""COMPUTED_VALUE"""),"Mr. MeOnDisplay")</f>
        <v>Mr. MeOnDisplay</v>
      </c>
      <c r="D298" s="41" t="str">
        <f>IFERROR(__xludf.DUMMYFUNCTION("""COMPUTED_VALUE"""),"Heavy Metal
Lacuna
Dracos
Black Ice
Barracudas")</f>
        <v>Heavy Metal
Lacuna
Dracos
Black Ice
Barracudas</v>
      </c>
      <c r="E298" s="136">
        <f>IFERROR(__xludf.DUMMYFUNCTION("""COMPUTED_VALUE"""),24.0)</f>
        <v>24</v>
      </c>
      <c r="F298" s="136">
        <f>IFERROR(__xludf.DUMMYFUNCTION("""COMPUTED_VALUE"""),10.0)</f>
        <v>10</v>
      </c>
      <c r="G298" s="136">
        <f>IFERROR(__xludf.DUMMYFUNCTION("""COMPUTED_VALUE"""),14.0)</f>
        <v>14</v>
      </c>
      <c r="H298" s="137">
        <f>IFERROR(__xludf.DUMMYFUNCTION("""COMPUTED_VALUE"""),0.4166666666666667)</f>
        <v>0.4166666667</v>
      </c>
      <c r="I298" s="136">
        <f>IFERROR(__xludf.DUMMYFUNCTION("""COMPUTED_VALUE"""),0.0)</f>
        <v>0</v>
      </c>
      <c r="J298" s="136">
        <f>IFERROR(__xludf.DUMMYFUNCTION("""COMPUTED_VALUE"""),6604.0)</f>
        <v>6604</v>
      </c>
      <c r="K298" s="136">
        <f>IFERROR(__xludf.DUMMYFUNCTION("""COMPUTED_VALUE"""),11.0)</f>
        <v>11</v>
      </c>
      <c r="L298" s="136">
        <f>IFERROR(__xludf.DUMMYFUNCTION("""COMPUTED_VALUE"""),10.0)</f>
        <v>10</v>
      </c>
      <c r="M298" s="136">
        <f>IFERROR(__xludf.DUMMYFUNCTION("""COMPUTED_VALUE"""),25.0)</f>
        <v>25</v>
      </c>
      <c r="N298" s="136">
        <f>IFERROR(__xludf.DUMMYFUNCTION("""COMPUTED_VALUE"""),49.0)</f>
        <v>49</v>
      </c>
      <c r="O298" s="138">
        <f>IFERROR(__xludf.DUMMYFUNCTION("""COMPUTED_VALUE"""),2.0)</f>
        <v>2</v>
      </c>
      <c r="P298" s="138">
        <f>IFERROR(__xludf.DUMMYFUNCTION("""COMPUTED_VALUE"""),0.0)</f>
        <v>0</v>
      </c>
      <c r="Q298" s="138">
        <f>IFERROR(__xludf.DUMMYFUNCTION("""COMPUTED_VALUE"""),1.0)</f>
        <v>1</v>
      </c>
      <c r="R298" s="138">
        <f>IFERROR(__xludf.DUMMYFUNCTION("""COMPUTED_VALUE"""),3.0)</f>
        <v>3</v>
      </c>
      <c r="S298" s="139">
        <f>IFERROR(__xludf.DUMMYFUNCTION("""COMPUTED_VALUE"""),179.0)</f>
        <v>179</v>
      </c>
      <c r="T298" s="140">
        <f>IFERROR(__xludf.DUMMYFUNCTION("""COMPUTED_VALUE"""),53.0)</f>
        <v>53</v>
      </c>
      <c r="U298" s="136">
        <f>IFERROR(__xludf.DUMMYFUNCTION("""COMPUTED_VALUE"""),17.0)</f>
        <v>17</v>
      </c>
      <c r="V298" s="136">
        <f>IFERROR(__xludf.DUMMYFUNCTION("""COMPUTED_VALUE"""),23.0)</f>
        <v>23</v>
      </c>
      <c r="W298" s="136">
        <f>IFERROR(__xludf.DUMMYFUNCTION("""COMPUTED_VALUE"""),22.0)</f>
        <v>22</v>
      </c>
      <c r="X298" s="136">
        <f>IFERROR(__xludf.DUMMYFUNCTION("""COMPUTED_VALUE"""),304.5)</f>
        <v>304.5</v>
      </c>
      <c r="Y298" s="141">
        <f>IFERROR(__xludf.DUMMYFUNCTION("""COMPUTED_VALUE"""),50.21708333333334)</f>
        <v>50.21708333</v>
      </c>
      <c r="Z298" s="141">
        <f>IFERROR(__xludf.DUMMYFUNCTION("""COMPUTED_VALUE"""),1767.875)</f>
        <v>1767.875</v>
      </c>
    </row>
    <row r="299">
      <c r="A299" s="41" t="str">
        <f>IFERROR(__xludf.DUMMYFUNCTION("""COMPUTED_VALUE"""),"Rival")</f>
        <v>Rival</v>
      </c>
      <c r="B299" s="41" t="str">
        <f>IFERROR(__xludf.DUMMYFUNCTION("""COMPUTED_VALUE"""),"RSC005523")</f>
        <v>RSC005523</v>
      </c>
      <c r="C299" s="41" t="str">
        <f>IFERROR(__xludf.DUMMYFUNCTION("""COMPUTED_VALUE"""),"Laguna")</f>
        <v>Laguna</v>
      </c>
      <c r="D299" s="41" t="str">
        <f>IFERROR(__xludf.DUMMYFUNCTION("""COMPUTED_VALUE"""),"Hippos")</f>
        <v>Hippos</v>
      </c>
      <c r="E299" s="136">
        <f>IFERROR(__xludf.DUMMYFUNCTION("""COMPUTED_VALUE"""),56.0)</f>
        <v>56</v>
      </c>
      <c r="F299" s="136">
        <f>IFERROR(__xludf.DUMMYFUNCTION("""COMPUTED_VALUE"""),40.0)</f>
        <v>40</v>
      </c>
      <c r="G299" s="136">
        <f>IFERROR(__xludf.DUMMYFUNCTION("""COMPUTED_VALUE"""),16.0)</f>
        <v>16</v>
      </c>
      <c r="H299" s="137">
        <f>IFERROR(__xludf.DUMMYFUNCTION("""COMPUTED_VALUE"""),0.7142857142857143)</f>
        <v>0.7142857143</v>
      </c>
      <c r="I299" s="136">
        <f>IFERROR(__xludf.DUMMYFUNCTION("""COMPUTED_VALUE"""),11.0)</f>
        <v>11</v>
      </c>
      <c r="J299" s="136">
        <f>IFERROR(__xludf.DUMMYFUNCTION("""COMPUTED_VALUE"""),19134.0)</f>
        <v>19134</v>
      </c>
      <c r="K299" s="136">
        <f>IFERROR(__xludf.DUMMYFUNCTION("""COMPUTED_VALUE"""),47.0)</f>
        <v>47</v>
      </c>
      <c r="L299" s="136">
        <f>IFERROR(__xludf.DUMMYFUNCTION("""COMPUTED_VALUE"""),32.0)</f>
        <v>32</v>
      </c>
      <c r="M299" s="136">
        <f>IFERROR(__xludf.DUMMYFUNCTION("""COMPUTED_VALUE"""),64.0)</f>
        <v>64</v>
      </c>
      <c r="N299" s="136">
        <f>IFERROR(__xludf.DUMMYFUNCTION("""COMPUTED_VALUE"""),132.0)</f>
        <v>132</v>
      </c>
      <c r="O299" s="138">
        <f>IFERROR(__xludf.DUMMYFUNCTION("""COMPUTED_VALUE"""),9.0)</f>
        <v>9</v>
      </c>
      <c r="P299" s="138">
        <f>IFERROR(__xludf.DUMMYFUNCTION("""COMPUTED_VALUE"""),2.0)</f>
        <v>2</v>
      </c>
      <c r="Q299" s="138">
        <f>IFERROR(__xludf.DUMMYFUNCTION("""COMPUTED_VALUE"""),2.0)</f>
        <v>2</v>
      </c>
      <c r="R299" s="138">
        <f>IFERROR(__xludf.DUMMYFUNCTION("""COMPUTED_VALUE"""),7.0)</f>
        <v>7</v>
      </c>
      <c r="S299" s="139">
        <f>IFERROR(__xludf.DUMMYFUNCTION("""COMPUTED_VALUE"""),369.0)</f>
        <v>369</v>
      </c>
      <c r="T299" s="140">
        <f>IFERROR(__xludf.DUMMYFUNCTION("""COMPUTED_VALUE"""),102.0)</f>
        <v>102</v>
      </c>
      <c r="U299" s="136">
        <f>IFERROR(__xludf.DUMMYFUNCTION("""COMPUTED_VALUE"""),29.0)</f>
        <v>29</v>
      </c>
      <c r="V299" s="136">
        <f>IFERROR(__xludf.DUMMYFUNCTION("""COMPUTED_VALUE"""),95.0)</f>
        <v>95</v>
      </c>
      <c r="W299" s="136">
        <f>IFERROR(__xludf.DUMMYFUNCTION("""COMPUTED_VALUE"""),54.0)</f>
        <v>54</v>
      </c>
      <c r="X299" s="136">
        <f>IFERROR(__xludf.DUMMYFUNCTION("""COMPUTED_VALUE"""),322.75)</f>
        <v>322.75</v>
      </c>
      <c r="Y299" s="141">
        <f>IFERROR(__xludf.DUMMYFUNCTION("""COMPUTED_VALUE"""),55.11714285714284)</f>
        <v>55.11714286</v>
      </c>
      <c r="Z299" s="141">
        <f>IFERROR(__xludf.DUMMYFUNCTION("""COMPUTED_VALUE"""),1986.732142857143)</f>
        <v>1986.732143</v>
      </c>
    </row>
    <row r="300">
      <c r="A300" s="41" t="str">
        <f>IFERROR(__xludf.DUMMYFUNCTION("""COMPUTED_VALUE"""),"Elite")</f>
        <v>Elite</v>
      </c>
      <c r="B300" s="41" t="str">
        <f>IFERROR(__xludf.DUMMYFUNCTION("""COMPUTED_VALUE"""),"RSC005524")</f>
        <v>RSC005524</v>
      </c>
      <c r="C300" s="41" t="str">
        <f>IFERROR(__xludf.DUMMYFUNCTION("""COMPUTED_VALUE"""),"RaunchyRomanian")</f>
        <v>RaunchyRomanian</v>
      </c>
      <c r="D300" s="41" t="str">
        <f>IFERROR(__xludf.DUMMYFUNCTION("""COMPUTED_VALUE"""),"Hydras")</f>
        <v>Hydras</v>
      </c>
      <c r="E300" s="136">
        <f>IFERROR(__xludf.DUMMYFUNCTION("""COMPUTED_VALUE"""),56.0)</f>
        <v>56</v>
      </c>
      <c r="F300" s="136">
        <f>IFERROR(__xludf.DUMMYFUNCTION("""COMPUTED_VALUE"""),31.0)</f>
        <v>31</v>
      </c>
      <c r="G300" s="136">
        <f>IFERROR(__xludf.DUMMYFUNCTION("""COMPUTED_VALUE"""),25.0)</f>
        <v>25</v>
      </c>
      <c r="H300" s="137">
        <f>IFERROR(__xludf.DUMMYFUNCTION("""COMPUTED_VALUE"""),0.5535714285714286)</f>
        <v>0.5535714286</v>
      </c>
      <c r="I300" s="136">
        <f>IFERROR(__xludf.DUMMYFUNCTION("""COMPUTED_VALUE"""),17.0)</f>
        <v>17</v>
      </c>
      <c r="J300" s="136">
        <f>IFERROR(__xludf.DUMMYFUNCTION("""COMPUTED_VALUE"""),23227.0)</f>
        <v>23227</v>
      </c>
      <c r="K300" s="136">
        <f>IFERROR(__xludf.DUMMYFUNCTION("""COMPUTED_VALUE"""),47.0)</f>
        <v>47</v>
      </c>
      <c r="L300" s="136">
        <f>IFERROR(__xludf.DUMMYFUNCTION("""COMPUTED_VALUE"""),49.0)</f>
        <v>49</v>
      </c>
      <c r="M300" s="136">
        <f>IFERROR(__xludf.DUMMYFUNCTION("""COMPUTED_VALUE"""),84.0)</f>
        <v>84</v>
      </c>
      <c r="N300" s="136">
        <f>IFERROR(__xludf.DUMMYFUNCTION("""COMPUTED_VALUE"""),164.0)</f>
        <v>164</v>
      </c>
      <c r="O300" s="138">
        <f>IFERROR(__xludf.DUMMYFUNCTION("""COMPUTED_VALUE"""),14.0)</f>
        <v>14</v>
      </c>
      <c r="P300" s="138">
        <f>IFERROR(__xludf.DUMMYFUNCTION("""COMPUTED_VALUE"""),4.0)</f>
        <v>4</v>
      </c>
      <c r="Q300" s="138">
        <f>IFERROR(__xludf.DUMMYFUNCTION("""COMPUTED_VALUE"""),3.0)</f>
        <v>3</v>
      </c>
      <c r="R300" s="138">
        <f>IFERROR(__xludf.DUMMYFUNCTION("""COMPUTED_VALUE"""),13.0)</f>
        <v>13</v>
      </c>
      <c r="S300" s="139">
        <f>IFERROR(__xludf.DUMMYFUNCTION("""COMPUTED_VALUE"""),427.0)</f>
        <v>427</v>
      </c>
      <c r="T300" s="140">
        <f>IFERROR(__xludf.DUMMYFUNCTION("""COMPUTED_VALUE"""),131.0)</f>
        <v>131</v>
      </c>
      <c r="U300" s="136">
        <f>IFERROR(__xludf.DUMMYFUNCTION("""COMPUTED_VALUE"""),54.0)</f>
        <v>54</v>
      </c>
      <c r="V300" s="136">
        <f>IFERROR(__xludf.DUMMYFUNCTION("""COMPUTED_VALUE"""),20.0)</f>
        <v>20</v>
      </c>
      <c r="W300" s="136">
        <f>IFERROR(__xludf.DUMMYFUNCTION("""COMPUTED_VALUE"""),68.0)</f>
        <v>68</v>
      </c>
      <c r="X300" s="136">
        <f>IFERROR(__xludf.DUMMYFUNCTION("""COMPUTED_VALUE"""),371.125)</f>
        <v>371.125</v>
      </c>
      <c r="Y300" s="141">
        <f>IFERROR(__xludf.DUMMYFUNCTION("""COMPUTED_VALUE"""),51.92803571428572)</f>
        <v>51.92803571</v>
      </c>
      <c r="Z300" s="141">
        <f>IFERROR(__xludf.DUMMYFUNCTION("""COMPUTED_VALUE"""),2186.0535714285716)</f>
        <v>2186.053571</v>
      </c>
    </row>
    <row r="301">
      <c r="A301" s="41" t="str">
        <f>IFERROR(__xludf.DUMMYFUNCTION("""COMPUTED_VALUE"""),"Rival")</f>
        <v>Rival</v>
      </c>
      <c r="B301" s="41" t="str">
        <f>IFERROR(__xludf.DUMMYFUNCTION("""COMPUTED_VALUE"""),"RSC005526")</f>
        <v>RSC005526</v>
      </c>
      <c r="C301" s="41" t="str">
        <f>IFERROR(__xludf.DUMMYFUNCTION("""COMPUTED_VALUE"""),"Vortex3524")</f>
        <v>Vortex3524</v>
      </c>
      <c r="D301" s="41" t="str">
        <f>IFERROR(__xludf.DUMMYFUNCTION("""COMPUTED_VALUE"""),"Phantoms")</f>
        <v>Phantoms</v>
      </c>
      <c r="E301" s="136">
        <f>IFERROR(__xludf.DUMMYFUNCTION("""COMPUTED_VALUE"""),44.0)</f>
        <v>44</v>
      </c>
      <c r="F301" s="136">
        <f>IFERROR(__xludf.DUMMYFUNCTION("""COMPUTED_VALUE"""),14.0)</f>
        <v>14</v>
      </c>
      <c r="G301" s="136">
        <f>IFERROR(__xludf.DUMMYFUNCTION("""COMPUTED_VALUE"""),30.0)</f>
        <v>30</v>
      </c>
      <c r="H301" s="137">
        <f>IFERROR(__xludf.DUMMYFUNCTION("""COMPUTED_VALUE"""),0.3181818181818182)</f>
        <v>0.3181818182</v>
      </c>
      <c r="I301" s="136">
        <f>IFERROR(__xludf.DUMMYFUNCTION("""COMPUTED_VALUE"""),4.0)</f>
        <v>4</v>
      </c>
      <c r="J301" s="136">
        <f>IFERROR(__xludf.DUMMYFUNCTION("""COMPUTED_VALUE"""),14012.0)</f>
        <v>14012</v>
      </c>
      <c r="K301" s="136">
        <f>IFERROR(__xludf.DUMMYFUNCTION("""COMPUTED_VALUE"""),33.0)</f>
        <v>33</v>
      </c>
      <c r="L301" s="136">
        <f>IFERROR(__xludf.DUMMYFUNCTION("""COMPUTED_VALUE"""),13.0)</f>
        <v>13</v>
      </c>
      <c r="M301" s="136">
        <f>IFERROR(__xludf.DUMMYFUNCTION("""COMPUTED_VALUE"""),47.0)</f>
        <v>47</v>
      </c>
      <c r="N301" s="136">
        <f>IFERROR(__xludf.DUMMYFUNCTION("""COMPUTED_VALUE"""),104.0)</f>
        <v>104</v>
      </c>
      <c r="O301" s="138">
        <f>IFERROR(__xludf.DUMMYFUNCTION("""COMPUTED_VALUE"""),1.0)</f>
        <v>1</v>
      </c>
      <c r="P301" s="138">
        <f>IFERROR(__xludf.DUMMYFUNCTION("""COMPUTED_VALUE"""),3.0)</f>
        <v>3</v>
      </c>
      <c r="Q301" s="138">
        <f>IFERROR(__xludf.DUMMYFUNCTION("""COMPUTED_VALUE"""),0.0)</f>
        <v>0</v>
      </c>
      <c r="R301" s="138">
        <f>IFERROR(__xludf.DUMMYFUNCTION("""COMPUTED_VALUE"""),5.0)</f>
        <v>5</v>
      </c>
      <c r="S301" s="139">
        <f>IFERROR(__xludf.DUMMYFUNCTION("""COMPUTED_VALUE"""),390.0)</f>
        <v>390</v>
      </c>
      <c r="T301" s="140">
        <f>IFERROR(__xludf.DUMMYFUNCTION("""COMPUTED_VALUE"""),136.0)</f>
        <v>136</v>
      </c>
      <c r="U301" s="136">
        <f>IFERROR(__xludf.DUMMYFUNCTION("""COMPUTED_VALUE"""),42.0)</f>
        <v>42</v>
      </c>
      <c r="V301" s="136">
        <f>IFERROR(__xludf.DUMMYFUNCTION("""COMPUTED_VALUE"""),33.0)</f>
        <v>33</v>
      </c>
      <c r="W301" s="136">
        <f>IFERROR(__xludf.DUMMYFUNCTION("""COMPUTED_VALUE"""),53.0)</f>
        <v>53</v>
      </c>
      <c r="X301" s="136">
        <f>IFERROR(__xludf.DUMMYFUNCTION("""COMPUTED_VALUE"""),289.70454545454544)</f>
        <v>289.7045455</v>
      </c>
      <c r="Y301" s="141">
        <f>IFERROR(__xludf.DUMMYFUNCTION("""COMPUTED_VALUE"""),50.343863636363636)</f>
        <v>50.34386364</v>
      </c>
      <c r="Z301" s="141">
        <f>IFERROR(__xludf.DUMMYFUNCTION("""COMPUTED_VALUE"""),1828.7045454545455)</f>
        <v>1828.704545</v>
      </c>
    </row>
    <row r="302">
      <c r="A302" s="41" t="str">
        <f>IFERROR(__xludf.DUMMYFUNCTION("""COMPUTED_VALUE"""),"Prospect")</f>
        <v>Prospect</v>
      </c>
      <c r="B302" s="41" t="str">
        <f>IFERROR(__xludf.DUMMYFUNCTION("""COMPUTED_VALUE"""),"RSC005527")</f>
        <v>RSC005527</v>
      </c>
      <c r="C302" s="41" t="str">
        <f>IFERROR(__xludf.DUMMYFUNCTION("""COMPUTED_VALUE"""),"Colossus4203316")</f>
        <v>Colossus4203316</v>
      </c>
      <c r="D302" s="41" t="str">
        <f>IFERROR(__xludf.DUMMYFUNCTION("""COMPUTED_VALUE"""),"Skeletons
Tic Tacs")</f>
        <v>Skeletons
Tic Tacs</v>
      </c>
      <c r="E302" s="136">
        <f>IFERROR(__xludf.DUMMYFUNCTION("""COMPUTED_VALUE"""),40.0)</f>
        <v>40</v>
      </c>
      <c r="F302" s="136">
        <f>IFERROR(__xludf.DUMMYFUNCTION("""COMPUTED_VALUE"""),10.0)</f>
        <v>10</v>
      </c>
      <c r="G302" s="136">
        <f>IFERROR(__xludf.DUMMYFUNCTION("""COMPUTED_VALUE"""),30.0)</f>
        <v>30</v>
      </c>
      <c r="H302" s="137">
        <f>IFERROR(__xludf.DUMMYFUNCTION("""COMPUTED_VALUE"""),0.25)</f>
        <v>0.25</v>
      </c>
      <c r="I302" s="136">
        <f>IFERROR(__xludf.DUMMYFUNCTION("""COMPUTED_VALUE"""),3.0)</f>
        <v>3</v>
      </c>
      <c r="J302" s="136">
        <f>IFERROR(__xludf.DUMMYFUNCTION("""COMPUTED_VALUE"""),9674.0)</f>
        <v>9674</v>
      </c>
      <c r="K302" s="136">
        <f>IFERROR(__xludf.DUMMYFUNCTION("""COMPUTED_VALUE"""),20.0)</f>
        <v>20</v>
      </c>
      <c r="L302" s="136">
        <f>IFERROR(__xludf.DUMMYFUNCTION("""COMPUTED_VALUE"""),13.0)</f>
        <v>13</v>
      </c>
      <c r="M302" s="136">
        <f>IFERROR(__xludf.DUMMYFUNCTION("""COMPUTED_VALUE"""),42.0)</f>
        <v>42</v>
      </c>
      <c r="N302" s="136">
        <f>IFERROR(__xludf.DUMMYFUNCTION("""COMPUTED_VALUE"""),51.0)</f>
        <v>51</v>
      </c>
      <c r="O302" s="138">
        <f>IFERROR(__xludf.DUMMYFUNCTION("""COMPUTED_VALUE"""),2.0)</f>
        <v>2</v>
      </c>
      <c r="P302" s="138">
        <f>IFERROR(__xludf.DUMMYFUNCTION("""COMPUTED_VALUE"""),0.0)</f>
        <v>0</v>
      </c>
      <c r="Q302" s="138">
        <f>IFERROR(__xludf.DUMMYFUNCTION("""COMPUTED_VALUE"""),1.0)</f>
        <v>1</v>
      </c>
      <c r="R302" s="138">
        <f>IFERROR(__xludf.DUMMYFUNCTION("""COMPUTED_VALUE"""),5.0)</f>
        <v>5</v>
      </c>
      <c r="S302" s="139">
        <f>IFERROR(__xludf.DUMMYFUNCTION("""COMPUTED_VALUE"""),342.0)</f>
        <v>342</v>
      </c>
      <c r="T302" s="140">
        <f>IFERROR(__xludf.DUMMYFUNCTION("""COMPUTED_VALUE"""),143.0)</f>
        <v>143</v>
      </c>
      <c r="U302" s="136">
        <f>IFERROR(__xludf.DUMMYFUNCTION("""COMPUTED_VALUE"""),37.0)</f>
        <v>37</v>
      </c>
      <c r="V302" s="136">
        <f>IFERROR(__xludf.DUMMYFUNCTION("""COMPUTED_VALUE"""),41.0)</f>
        <v>41</v>
      </c>
      <c r="W302" s="136">
        <f>IFERROR(__xludf.DUMMYFUNCTION("""COMPUTED_VALUE"""),49.0)</f>
        <v>49</v>
      </c>
      <c r="X302" s="136">
        <f>IFERROR(__xludf.DUMMYFUNCTION("""COMPUTED_VALUE"""),345.525)</f>
        <v>345.525</v>
      </c>
      <c r="Y302" s="141">
        <f>IFERROR(__xludf.DUMMYFUNCTION("""COMPUTED_VALUE"""),44.596499999999985)</f>
        <v>44.5965</v>
      </c>
      <c r="Z302" s="141">
        <f>IFERROR(__xludf.DUMMYFUNCTION("""COMPUTED_VALUE"""),2040.6)</f>
        <v>2040.6</v>
      </c>
    </row>
    <row r="303">
      <c r="A303" s="41" t="str">
        <f>IFERROR(__xludf.DUMMYFUNCTION("""COMPUTED_VALUE"""),"Prospect")</f>
        <v>Prospect</v>
      </c>
      <c r="B303" s="41" t="str">
        <f>IFERROR(__xludf.DUMMYFUNCTION("""COMPUTED_VALUE"""),"RSC005550")</f>
        <v>RSC005550</v>
      </c>
      <c r="C303" s="41" t="str">
        <f>IFERROR(__xludf.DUMMYFUNCTION("""COMPUTED_VALUE"""),"Shraggaholic")</f>
        <v>Shraggaholic</v>
      </c>
      <c r="D303" s="41" t="str">
        <f>IFERROR(__xludf.DUMMYFUNCTION("""COMPUTED_VALUE"""),"Earth")</f>
        <v>Earth</v>
      </c>
      <c r="E303" s="136">
        <f>IFERROR(__xludf.DUMMYFUNCTION("""COMPUTED_VALUE"""),53.0)</f>
        <v>53</v>
      </c>
      <c r="F303" s="136">
        <f>IFERROR(__xludf.DUMMYFUNCTION("""COMPUTED_VALUE"""),18.0)</f>
        <v>18</v>
      </c>
      <c r="G303" s="136">
        <f>IFERROR(__xludf.DUMMYFUNCTION("""COMPUTED_VALUE"""),35.0)</f>
        <v>35</v>
      </c>
      <c r="H303" s="137">
        <f>IFERROR(__xludf.DUMMYFUNCTION("""COMPUTED_VALUE"""),0.33962264150943394)</f>
        <v>0.3396226415</v>
      </c>
      <c r="I303" s="136">
        <f>IFERROR(__xludf.DUMMYFUNCTION("""COMPUTED_VALUE"""),8.0)</f>
        <v>8</v>
      </c>
      <c r="J303" s="136">
        <f>IFERROR(__xludf.DUMMYFUNCTION("""COMPUTED_VALUE"""),16591.0)</f>
        <v>16591</v>
      </c>
      <c r="K303" s="136">
        <f>IFERROR(__xludf.DUMMYFUNCTION("""COMPUTED_VALUE"""),35.0)</f>
        <v>35</v>
      </c>
      <c r="L303" s="136">
        <f>IFERROR(__xludf.DUMMYFUNCTION("""COMPUTED_VALUE"""),22.0)</f>
        <v>22</v>
      </c>
      <c r="M303" s="136">
        <f>IFERROR(__xludf.DUMMYFUNCTION("""COMPUTED_VALUE"""),62.0)</f>
        <v>62</v>
      </c>
      <c r="N303" s="136">
        <f>IFERROR(__xludf.DUMMYFUNCTION("""COMPUTED_VALUE"""),123.0)</f>
        <v>123</v>
      </c>
      <c r="O303" s="138">
        <f>IFERROR(__xludf.DUMMYFUNCTION("""COMPUTED_VALUE"""),2.0)</f>
        <v>2</v>
      </c>
      <c r="P303" s="138">
        <f>IFERROR(__xludf.DUMMYFUNCTION("""COMPUTED_VALUE"""),2.0)</f>
        <v>2</v>
      </c>
      <c r="Q303" s="138">
        <f>IFERROR(__xludf.DUMMYFUNCTION("""COMPUTED_VALUE"""),2.0)</f>
        <v>2</v>
      </c>
      <c r="R303" s="138">
        <f>IFERROR(__xludf.DUMMYFUNCTION("""COMPUTED_VALUE"""),5.0)</f>
        <v>5</v>
      </c>
      <c r="S303" s="139">
        <f>IFERROR(__xludf.DUMMYFUNCTION("""COMPUTED_VALUE"""),377.0)</f>
        <v>377</v>
      </c>
      <c r="T303" s="140">
        <f>IFERROR(__xludf.DUMMYFUNCTION("""COMPUTED_VALUE"""),140.0)</f>
        <v>140</v>
      </c>
      <c r="U303" s="136">
        <f>IFERROR(__xludf.DUMMYFUNCTION("""COMPUTED_VALUE"""),51.0)</f>
        <v>51</v>
      </c>
      <c r="V303" s="136">
        <f>IFERROR(__xludf.DUMMYFUNCTION("""COMPUTED_VALUE"""),87.0)</f>
        <v>87</v>
      </c>
      <c r="W303" s="136">
        <f>IFERROR(__xludf.DUMMYFUNCTION("""COMPUTED_VALUE"""),57.0)</f>
        <v>57</v>
      </c>
      <c r="X303" s="136">
        <f>IFERROR(__xludf.DUMMYFUNCTION("""COMPUTED_VALUE"""),343.45283018867923)</f>
        <v>343.4528302</v>
      </c>
      <c r="Y303" s="141">
        <f>IFERROR(__xludf.DUMMYFUNCTION("""COMPUTED_VALUE"""),48.74735849056602)</f>
        <v>48.74735849</v>
      </c>
      <c r="Z303" s="141">
        <f>IFERROR(__xludf.DUMMYFUNCTION("""COMPUTED_VALUE"""),2107.490566037736)</f>
        <v>2107.490566</v>
      </c>
    </row>
    <row r="304">
      <c r="A304" s="41" t="str">
        <f>IFERROR(__xludf.DUMMYFUNCTION("""COMPUTED_VALUE"""),"Challenger")</f>
        <v>Challenger</v>
      </c>
      <c r="B304" s="41" t="str">
        <f>IFERROR(__xludf.DUMMYFUNCTION("""COMPUTED_VALUE"""),"RSC005570")</f>
        <v>RSC005570</v>
      </c>
      <c r="C304" s="41" t="str">
        <f>IFERROR(__xludf.DUMMYFUNCTION("""COMPUTED_VALUE"""),"Lupo")</f>
        <v>Lupo</v>
      </c>
      <c r="D304" s="41" t="str">
        <f>IFERROR(__xludf.DUMMYFUNCTION("""COMPUTED_VALUE"""),"Cooks")</f>
        <v>Cooks</v>
      </c>
      <c r="E304" s="136">
        <f>IFERROR(__xludf.DUMMYFUNCTION("""COMPUTED_VALUE"""),2.0)</f>
        <v>2</v>
      </c>
      <c r="F304" s="136">
        <f>IFERROR(__xludf.DUMMYFUNCTION("""COMPUTED_VALUE"""),1.0)</f>
        <v>1</v>
      </c>
      <c r="G304" s="136">
        <f>IFERROR(__xludf.DUMMYFUNCTION("""COMPUTED_VALUE"""),1.0)</f>
        <v>1</v>
      </c>
      <c r="H304" s="137">
        <f>IFERROR(__xludf.DUMMYFUNCTION("""COMPUTED_VALUE"""),0.5)</f>
        <v>0.5</v>
      </c>
      <c r="I304" s="136">
        <f>IFERROR(__xludf.DUMMYFUNCTION("""COMPUTED_VALUE"""),0.0)</f>
        <v>0</v>
      </c>
      <c r="J304" s="136">
        <f>IFERROR(__xludf.DUMMYFUNCTION("""COMPUTED_VALUE"""),709.0)</f>
        <v>709</v>
      </c>
      <c r="K304" s="136">
        <f>IFERROR(__xludf.DUMMYFUNCTION("""COMPUTED_VALUE"""),3.0)</f>
        <v>3</v>
      </c>
      <c r="L304" s="136">
        <f>IFERROR(__xludf.DUMMYFUNCTION("""COMPUTED_VALUE"""),1.0)</f>
        <v>1</v>
      </c>
      <c r="M304" s="136">
        <f>IFERROR(__xludf.DUMMYFUNCTION("""COMPUTED_VALUE"""),1.0)</f>
        <v>1</v>
      </c>
      <c r="N304" s="136">
        <f>IFERROR(__xludf.DUMMYFUNCTION("""COMPUTED_VALUE"""),6.0)</f>
        <v>6</v>
      </c>
      <c r="O304" s="138">
        <f>IFERROR(__xludf.DUMMYFUNCTION("""COMPUTED_VALUE"""),0.0)</f>
        <v>0</v>
      </c>
      <c r="P304" s="138">
        <f>IFERROR(__xludf.DUMMYFUNCTION("""COMPUTED_VALUE"""),0.0)</f>
        <v>0</v>
      </c>
      <c r="Q304" s="138">
        <f>IFERROR(__xludf.DUMMYFUNCTION("""COMPUTED_VALUE"""),0.0)</f>
        <v>0</v>
      </c>
      <c r="R304" s="138">
        <f>IFERROR(__xludf.DUMMYFUNCTION("""COMPUTED_VALUE"""),0.0)</f>
        <v>0</v>
      </c>
      <c r="S304" s="139">
        <f>IFERROR(__xludf.DUMMYFUNCTION("""COMPUTED_VALUE"""),14.0)</f>
        <v>14</v>
      </c>
      <c r="T304" s="140">
        <f>IFERROR(__xludf.DUMMYFUNCTION("""COMPUTED_VALUE"""),4.0)</f>
        <v>4</v>
      </c>
      <c r="U304" s="136">
        <f>IFERROR(__xludf.DUMMYFUNCTION("""COMPUTED_VALUE"""),2.0)</f>
        <v>2</v>
      </c>
      <c r="V304" s="136">
        <f>IFERROR(__xludf.DUMMYFUNCTION("""COMPUTED_VALUE"""),1.0)</f>
        <v>1</v>
      </c>
      <c r="W304" s="136">
        <f>IFERROR(__xludf.DUMMYFUNCTION("""COMPUTED_VALUE"""),3.0)</f>
        <v>3</v>
      </c>
      <c r="X304" s="136">
        <f>IFERROR(__xludf.DUMMYFUNCTION("""COMPUTED_VALUE"""),365.0)</f>
        <v>365</v>
      </c>
      <c r="Y304" s="141">
        <f>IFERROR(__xludf.DUMMYFUNCTION("""COMPUTED_VALUE"""),47.015)</f>
        <v>47.015</v>
      </c>
      <c r="Z304" s="141">
        <f>IFERROR(__xludf.DUMMYFUNCTION("""COMPUTED_VALUE"""),2025.5)</f>
        <v>2025.5</v>
      </c>
    </row>
    <row r="305">
      <c r="A305" s="41" t="str">
        <f>IFERROR(__xludf.DUMMYFUNCTION("""COMPUTED_VALUE"""),"Veteran")</f>
        <v>Veteran</v>
      </c>
      <c r="B305" s="41" t="str">
        <f>IFERROR(__xludf.DUMMYFUNCTION("""COMPUTED_VALUE"""),"RSC005577")</f>
        <v>RSC005577</v>
      </c>
      <c r="C305" s="41" t="str">
        <f>IFERROR(__xludf.DUMMYFUNCTION("""COMPUTED_VALUE"""),"Ryan.")</f>
        <v>Ryan.</v>
      </c>
      <c r="D305" s="41" t="str">
        <f>IFERROR(__xludf.DUMMYFUNCTION("""COMPUTED_VALUE"""),"Navigators
Lycans")</f>
        <v>Navigators
Lycans</v>
      </c>
      <c r="E305" s="136">
        <f>IFERROR(__xludf.DUMMYFUNCTION("""COMPUTED_VALUE"""),37.0)</f>
        <v>37</v>
      </c>
      <c r="F305" s="136">
        <f>IFERROR(__xludf.DUMMYFUNCTION("""COMPUTED_VALUE"""),20.0)</f>
        <v>20</v>
      </c>
      <c r="G305" s="136">
        <f>IFERROR(__xludf.DUMMYFUNCTION("""COMPUTED_VALUE"""),17.0)</f>
        <v>17</v>
      </c>
      <c r="H305" s="137">
        <f>IFERROR(__xludf.DUMMYFUNCTION("""COMPUTED_VALUE"""),0.5405405405405406)</f>
        <v>0.5405405405</v>
      </c>
      <c r="I305" s="136">
        <f>IFERROR(__xludf.DUMMYFUNCTION("""COMPUTED_VALUE"""),6.0)</f>
        <v>6</v>
      </c>
      <c r="J305" s="136">
        <f>IFERROR(__xludf.DUMMYFUNCTION("""COMPUTED_VALUE"""),14368.0)</f>
        <v>14368</v>
      </c>
      <c r="K305" s="136">
        <f>IFERROR(__xludf.DUMMYFUNCTION("""COMPUTED_VALUE"""),31.0)</f>
        <v>31</v>
      </c>
      <c r="L305" s="136">
        <f>IFERROR(__xludf.DUMMYFUNCTION("""COMPUTED_VALUE"""),18.0)</f>
        <v>18</v>
      </c>
      <c r="M305" s="136">
        <f>IFERROR(__xludf.DUMMYFUNCTION("""COMPUTED_VALUE"""),63.0)</f>
        <v>63</v>
      </c>
      <c r="N305" s="136">
        <f>IFERROR(__xludf.DUMMYFUNCTION("""COMPUTED_VALUE"""),109.0)</f>
        <v>109</v>
      </c>
      <c r="O305" s="138">
        <f>IFERROR(__xludf.DUMMYFUNCTION("""COMPUTED_VALUE"""),6.0)</f>
        <v>6</v>
      </c>
      <c r="P305" s="138">
        <f>IFERROR(__xludf.DUMMYFUNCTION("""COMPUTED_VALUE"""),2.0)</f>
        <v>2</v>
      </c>
      <c r="Q305" s="138">
        <f>IFERROR(__xludf.DUMMYFUNCTION("""COMPUTED_VALUE"""),0.0)</f>
        <v>0</v>
      </c>
      <c r="R305" s="138">
        <f>IFERROR(__xludf.DUMMYFUNCTION("""COMPUTED_VALUE"""),8.0)</f>
        <v>8</v>
      </c>
      <c r="S305" s="139">
        <f>IFERROR(__xludf.DUMMYFUNCTION("""COMPUTED_VALUE"""),285.0)</f>
        <v>285</v>
      </c>
      <c r="T305" s="140">
        <f>IFERROR(__xludf.DUMMYFUNCTION("""COMPUTED_VALUE"""),74.0)</f>
        <v>74</v>
      </c>
      <c r="U305" s="136">
        <f>IFERROR(__xludf.DUMMYFUNCTION("""COMPUTED_VALUE"""),33.0)</f>
        <v>33</v>
      </c>
      <c r="V305" s="136">
        <f>IFERROR(__xludf.DUMMYFUNCTION("""COMPUTED_VALUE"""),18.0)</f>
        <v>18</v>
      </c>
      <c r="W305" s="136">
        <f>IFERROR(__xludf.DUMMYFUNCTION("""COMPUTED_VALUE"""),54.0)</f>
        <v>54</v>
      </c>
      <c r="X305" s="136">
        <f>IFERROR(__xludf.DUMMYFUNCTION("""COMPUTED_VALUE"""),376.94594594594594)</f>
        <v>376.9459459</v>
      </c>
      <c r="Y305" s="141">
        <f>IFERROR(__xludf.DUMMYFUNCTION("""COMPUTED_VALUE"""),48.60810810810811)</f>
        <v>48.60810811</v>
      </c>
      <c r="Z305" s="141">
        <f>IFERROR(__xludf.DUMMYFUNCTION("""COMPUTED_VALUE"""),2260.4864864864867)</f>
        <v>2260.486486</v>
      </c>
    </row>
    <row r="306">
      <c r="A306" s="41" t="str">
        <f>IFERROR(__xludf.DUMMYFUNCTION("""COMPUTED_VALUE"""),"Challenger")</f>
        <v>Challenger</v>
      </c>
      <c r="B306" s="41" t="str">
        <f>IFERROR(__xludf.DUMMYFUNCTION("""COMPUTED_VALUE"""),"RSC005603")</f>
        <v>RSC005603</v>
      </c>
      <c r="C306" s="41" t="str">
        <f>IFERROR(__xludf.DUMMYFUNCTION("""COMPUTED_VALUE"""),"Meta.Rl-")</f>
        <v>Meta.Rl-</v>
      </c>
      <c r="D306" s="41" t="str">
        <f>IFERROR(__xludf.DUMMYFUNCTION("""COMPUTED_VALUE"""),"Insider Traders")</f>
        <v>Insider Traders</v>
      </c>
      <c r="E306" s="136">
        <f>IFERROR(__xludf.DUMMYFUNCTION("""COMPUTED_VALUE"""),49.0)</f>
        <v>49</v>
      </c>
      <c r="F306" s="136">
        <f>IFERROR(__xludf.DUMMYFUNCTION("""COMPUTED_VALUE"""),27.0)</f>
        <v>27</v>
      </c>
      <c r="G306" s="136">
        <f>IFERROR(__xludf.DUMMYFUNCTION("""COMPUTED_VALUE"""),22.0)</f>
        <v>22</v>
      </c>
      <c r="H306" s="137">
        <f>IFERROR(__xludf.DUMMYFUNCTION("""COMPUTED_VALUE"""),0.5510204081632653)</f>
        <v>0.5510204082</v>
      </c>
      <c r="I306" s="136">
        <f>IFERROR(__xludf.DUMMYFUNCTION("""COMPUTED_VALUE"""),14.0)</f>
        <v>14</v>
      </c>
      <c r="J306" s="136">
        <f>IFERROR(__xludf.DUMMYFUNCTION("""COMPUTED_VALUE"""),18183.0)</f>
        <v>18183</v>
      </c>
      <c r="K306" s="136">
        <f>IFERROR(__xludf.DUMMYFUNCTION("""COMPUTED_VALUE"""),53.0)</f>
        <v>53</v>
      </c>
      <c r="L306" s="136">
        <f>IFERROR(__xludf.DUMMYFUNCTION("""COMPUTED_VALUE"""),26.0)</f>
        <v>26</v>
      </c>
      <c r="M306" s="136">
        <f>IFERROR(__xludf.DUMMYFUNCTION("""COMPUTED_VALUE"""),54.0)</f>
        <v>54</v>
      </c>
      <c r="N306" s="136">
        <f>IFERROR(__xludf.DUMMYFUNCTION("""COMPUTED_VALUE"""),134.0)</f>
        <v>134</v>
      </c>
      <c r="O306" s="138">
        <f>IFERROR(__xludf.DUMMYFUNCTION("""COMPUTED_VALUE"""),7.0)</f>
        <v>7</v>
      </c>
      <c r="P306" s="138">
        <f>IFERROR(__xludf.DUMMYFUNCTION("""COMPUTED_VALUE"""),6.0)</f>
        <v>6</v>
      </c>
      <c r="Q306" s="138">
        <f>IFERROR(__xludf.DUMMYFUNCTION("""COMPUTED_VALUE"""),0.0)</f>
        <v>0</v>
      </c>
      <c r="R306" s="138">
        <f>IFERROR(__xludf.DUMMYFUNCTION("""COMPUTED_VALUE"""),5.0)</f>
        <v>5</v>
      </c>
      <c r="S306" s="139">
        <f>IFERROR(__xludf.DUMMYFUNCTION("""COMPUTED_VALUE"""),352.0)</f>
        <v>352</v>
      </c>
      <c r="T306" s="140">
        <f>IFERROR(__xludf.DUMMYFUNCTION("""COMPUTED_VALUE"""),96.0)</f>
        <v>96</v>
      </c>
      <c r="U306" s="136">
        <f>IFERROR(__xludf.DUMMYFUNCTION("""COMPUTED_VALUE"""),27.0)</f>
        <v>27</v>
      </c>
      <c r="V306" s="136">
        <f>IFERROR(__xludf.DUMMYFUNCTION("""COMPUTED_VALUE"""),54.0)</f>
        <v>54</v>
      </c>
      <c r="W306" s="136">
        <f>IFERROR(__xludf.DUMMYFUNCTION("""COMPUTED_VALUE"""),36.0)</f>
        <v>36</v>
      </c>
      <c r="X306" s="136">
        <f>IFERROR(__xludf.DUMMYFUNCTION("""COMPUTED_VALUE"""),427.55102040816325)</f>
        <v>427.5510204</v>
      </c>
      <c r="Y306" s="141">
        <f>IFERROR(__xludf.DUMMYFUNCTION("""COMPUTED_VALUE"""),47.55020408163264)</f>
        <v>47.55020408</v>
      </c>
      <c r="Z306" s="141">
        <f>IFERROR(__xludf.DUMMYFUNCTION("""COMPUTED_VALUE"""),2469.387755102041)</f>
        <v>2469.387755</v>
      </c>
    </row>
    <row r="307">
      <c r="A307" s="41" t="str">
        <f>IFERROR(__xludf.DUMMYFUNCTION("""COMPUTED_VALUE"""),"Challenger")</f>
        <v>Challenger</v>
      </c>
      <c r="B307" s="41" t="str">
        <f>IFERROR(__xludf.DUMMYFUNCTION("""COMPUTED_VALUE"""),"RSC005608")</f>
        <v>RSC005608</v>
      </c>
      <c r="C307" s="41" t="str">
        <f>IFERROR(__xludf.DUMMYFUNCTION("""COMPUTED_VALUE"""),"wolverine36535")</f>
        <v>wolverine36535</v>
      </c>
      <c r="D307" s="41" t="str">
        <f>IFERROR(__xludf.DUMMYFUNCTION("""COMPUTED_VALUE"""),"Gold Hoarders
Cooks")</f>
        <v>Gold Hoarders
Cooks</v>
      </c>
      <c r="E307" s="136">
        <f>IFERROR(__xludf.DUMMYFUNCTION("""COMPUTED_VALUE"""),40.0)</f>
        <v>40</v>
      </c>
      <c r="F307" s="136">
        <f>IFERROR(__xludf.DUMMYFUNCTION("""COMPUTED_VALUE"""),18.0)</f>
        <v>18</v>
      </c>
      <c r="G307" s="136">
        <f>IFERROR(__xludf.DUMMYFUNCTION("""COMPUTED_VALUE"""),22.0)</f>
        <v>22</v>
      </c>
      <c r="H307" s="137">
        <f>IFERROR(__xludf.DUMMYFUNCTION("""COMPUTED_VALUE"""),0.45)</f>
        <v>0.45</v>
      </c>
      <c r="I307" s="136">
        <f>IFERROR(__xludf.DUMMYFUNCTION("""COMPUTED_VALUE"""),2.0)</f>
        <v>2</v>
      </c>
      <c r="J307" s="136">
        <f>IFERROR(__xludf.DUMMYFUNCTION("""COMPUTED_VALUE"""),11001.0)</f>
        <v>11001</v>
      </c>
      <c r="K307" s="136">
        <f>IFERROR(__xludf.DUMMYFUNCTION("""COMPUTED_VALUE"""),25.0)</f>
        <v>25</v>
      </c>
      <c r="L307" s="136">
        <f>IFERROR(__xludf.DUMMYFUNCTION("""COMPUTED_VALUE"""),28.0)</f>
        <v>28</v>
      </c>
      <c r="M307" s="136">
        <f>IFERROR(__xludf.DUMMYFUNCTION("""COMPUTED_VALUE"""),37.0)</f>
        <v>37</v>
      </c>
      <c r="N307" s="136">
        <f>IFERROR(__xludf.DUMMYFUNCTION("""COMPUTED_VALUE"""),74.0)</f>
        <v>74</v>
      </c>
      <c r="O307" s="138">
        <f>IFERROR(__xludf.DUMMYFUNCTION("""COMPUTED_VALUE"""),8.0)</f>
        <v>8</v>
      </c>
      <c r="P307" s="138">
        <f>IFERROR(__xludf.DUMMYFUNCTION("""COMPUTED_VALUE"""),0.0)</f>
        <v>0</v>
      </c>
      <c r="Q307" s="138">
        <f>IFERROR(__xludf.DUMMYFUNCTION("""COMPUTED_VALUE"""),0.0)</f>
        <v>0</v>
      </c>
      <c r="R307" s="138">
        <f>IFERROR(__xludf.DUMMYFUNCTION("""COMPUTED_VALUE"""),2.0)</f>
        <v>2</v>
      </c>
      <c r="S307" s="139">
        <f>IFERROR(__xludf.DUMMYFUNCTION("""COMPUTED_VALUE"""),301.0)</f>
        <v>301</v>
      </c>
      <c r="T307" s="140">
        <f>IFERROR(__xludf.DUMMYFUNCTION("""COMPUTED_VALUE"""),98.0)</f>
        <v>98</v>
      </c>
      <c r="U307" s="136">
        <f>IFERROR(__xludf.DUMMYFUNCTION("""COMPUTED_VALUE"""),20.0)</f>
        <v>20</v>
      </c>
      <c r="V307" s="136">
        <f>IFERROR(__xludf.DUMMYFUNCTION("""COMPUTED_VALUE"""),40.0)</f>
        <v>40</v>
      </c>
      <c r="W307" s="136">
        <f>IFERROR(__xludf.DUMMYFUNCTION("""COMPUTED_VALUE"""),36.0)</f>
        <v>36</v>
      </c>
      <c r="X307" s="136">
        <f>IFERROR(__xludf.DUMMYFUNCTION("""COMPUTED_VALUE"""),341.5)</f>
        <v>341.5</v>
      </c>
      <c r="Y307" s="141">
        <f>IFERROR(__xludf.DUMMYFUNCTION("""COMPUTED_VALUE"""),52.43974999999999)</f>
        <v>52.43975</v>
      </c>
      <c r="Z307" s="141">
        <f>IFERROR(__xludf.DUMMYFUNCTION("""COMPUTED_VALUE"""),2160.525)</f>
        <v>2160.525</v>
      </c>
    </row>
    <row r="308">
      <c r="A308" s="41" t="str">
        <f>IFERROR(__xludf.DUMMYFUNCTION("""COMPUTED_VALUE"""),"Master")</f>
        <v>Master</v>
      </c>
      <c r="B308" s="41" t="str">
        <f>IFERROR(__xludf.DUMMYFUNCTION("""COMPUTED_VALUE"""),"RSC005653")</f>
        <v>RSC005653</v>
      </c>
      <c r="C308" s="41" t="str">
        <f>IFERROR(__xludf.DUMMYFUNCTION("""COMPUTED_VALUE"""),"xim")</f>
        <v>xim</v>
      </c>
      <c r="D308" s="41" t="str">
        <f>IFERROR(__xludf.DUMMYFUNCTION("""COMPUTED_VALUE"""),"Reapers")</f>
        <v>Reapers</v>
      </c>
      <c r="E308" s="136">
        <f>IFERROR(__xludf.DUMMYFUNCTION("""COMPUTED_VALUE"""),20.0)</f>
        <v>20</v>
      </c>
      <c r="F308" s="136">
        <f>IFERROR(__xludf.DUMMYFUNCTION("""COMPUTED_VALUE"""),11.0)</f>
        <v>11</v>
      </c>
      <c r="G308" s="136">
        <f>IFERROR(__xludf.DUMMYFUNCTION("""COMPUTED_VALUE"""),9.0)</f>
        <v>9</v>
      </c>
      <c r="H308" s="137">
        <f>IFERROR(__xludf.DUMMYFUNCTION("""COMPUTED_VALUE"""),0.55)</f>
        <v>0.55</v>
      </c>
      <c r="I308" s="136">
        <f>IFERROR(__xludf.DUMMYFUNCTION("""COMPUTED_VALUE"""),4.0)</f>
        <v>4</v>
      </c>
      <c r="J308" s="136">
        <f>IFERROR(__xludf.DUMMYFUNCTION("""COMPUTED_VALUE"""),5920.0)</f>
        <v>5920</v>
      </c>
      <c r="K308" s="136">
        <f>IFERROR(__xludf.DUMMYFUNCTION("""COMPUTED_VALUE"""),11.0)</f>
        <v>11</v>
      </c>
      <c r="L308" s="136">
        <f>IFERROR(__xludf.DUMMYFUNCTION("""COMPUTED_VALUE"""),8.0)</f>
        <v>8</v>
      </c>
      <c r="M308" s="136">
        <f>IFERROR(__xludf.DUMMYFUNCTION("""COMPUTED_VALUE"""),24.0)</f>
        <v>24</v>
      </c>
      <c r="N308" s="136">
        <f>IFERROR(__xludf.DUMMYFUNCTION("""COMPUTED_VALUE"""),39.0)</f>
        <v>39</v>
      </c>
      <c r="O308" s="138">
        <f>IFERROR(__xludf.DUMMYFUNCTION("""COMPUTED_VALUE"""),3.0)</f>
        <v>3</v>
      </c>
      <c r="P308" s="138">
        <f>IFERROR(__xludf.DUMMYFUNCTION("""COMPUTED_VALUE"""),2.0)</f>
        <v>2</v>
      </c>
      <c r="Q308" s="138">
        <f>IFERROR(__xludf.DUMMYFUNCTION("""COMPUTED_VALUE"""),0.0)</f>
        <v>0</v>
      </c>
      <c r="R308" s="138">
        <f>IFERROR(__xludf.DUMMYFUNCTION("""COMPUTED_VALUE"""),3.0)</f>
        <v>3</v>
      </c>
      <c r="S308" s="139">
        <f>IFERROR(__xludf.DUMMYFUNCTION("""COMPUTED_VALUE"""),94.0)</f>
        <v>94</v>
      </c>
      <c r="T308" s="140">
        <f>IFERROR(__xludf.DUMMYFUNCTION("""COMPUTED_VALUE"""),25.0)</f>
        <v>25</v>
      </c>
      <c r="U308" s="136">
        <f>IFERROR(__xludf.DUMMYFUNCTION("""COMPUTED_VALUE"""),8.0)</f>
        <v>8</v>
      </c>
      <c r="V308" s="136">
        <f>IFERROR(__xludf.DUMMYFUNCTION("""COMPUTED_VALUE"""),16.0)</f>
        <v>16</v>
      </c>
      <c r="W308" s="136">
        <f>IFERROR(__xludf.DUMMYFUNCTION("""COMPUTED_VALUE"""),14.0)</f>
        <v>14</v>
      </c>
      <c r="X308" s="136">
        <f>IFERROR(__xludf.DUMMYFUNCTION("""COMPUTED_VALUE"""),394.125)</f>
        <v>394.125</v>
      </c>
      <c r="Y308" s="141">
        <f>IFERROR(__xludf.DUMMYFUNCTION("""COMPUTED_VALUE"""),52.29625000000001)</f>
        <v>52.29625</v>
      </c>
      <c r="Z308" s="141">
        <f>IFERROR(__xludf.DUMMYFUNCTION("""COMPUTED_VALUE"""),2354.75)</f>
        <v>2354.75</v>
      </c>
    </row>
    <row r="309">
      <c r="A309" s="41" t="str">
        <f>IFERROR(__xludf.DUMMYFUNCTION("""COMPUTED_VALUE"""),"Veteran")</f>
        <v>Veteran</v>
      </c>
      <c r="B309" s="41" t="str">
        <f>IFERROR(__xludf.DUMMYFUNCTION("""COMPUTED_VALUE"""),"RSC005655")</f>
        <v>RSC005655</v>
      </c>
      <c r="C309" s="41" t="str">
        <f>IFERROR(__xludf.DUMMYFUNCTION("""COMPUTED_VALUE"""),"Oneplayamaker")</f>
        <v>Oneplayamaker</v>
      </c>
      <c r="D309" s="41" t="str">
        <f>IFERROR(__xludf.DUMMYFUNCTION("""COMPUTED_VALUE"""),"Gargoyle")</f>
        <v>Gargoyle</v>
      </c>
      <c r="E309" s="136">
        <f>IFERROR(__xludf.DUMMYFUNCTION("""COMPUTED_VALUE"""),43.0)</f>
        <v>43</v>
      </c>
      <c r="F309" s="136">
        <f>IFERROR(__xludf.DUMMYFUNCTION("""COMPUTED_VALUE"""),24.0)</f>
        <v>24</v>
      </c>
      <c r="G309" s="136">
        <f>IFERROR(__xludf.DUMMYFUNCTION("""COMPUTED_VALUE"""),19.0)</f>
        <v>19</v>
      </c>
      <c r="H309" s="137">
        <f>IFERROR(__xludf.DUMMYFUNCTION("""COMPUTED_VALUE"""),0.5581395348837209)</f>
        <v>0.5581395349</v>
      </c>
      <c r="I309" s="136">
        <f>IFERROR(__xludf.DUMMYFUNCTION("""COMPUTED_VALUE"""),6.0)</f>
        <v>6</v>
      </c>
      <c r="J309" s="136">
        <f>IFERROR(__xludf.DUMMYFUNCTION("""COMPUTED_VALUE"""),15812.0)</f>
        <v>15812</v>
      </c>
      <c r="K309" s="136">
        <f>IFERROR(__xludf.DUMMYFUNCTION("""COMPUTED_VALUE"""),27.0)</f>
        <v>27</v>
      </c>
      <c r="L309" s="136">
        <f>IFERROR(__xludf.DUMMYFUNCTION("""COMPUTED_VALUE"""),38.0)</f>
        <v>38</v>
      </c>
      <c r="M309" s="136">
        <f>IFERROR(__xludf.DUMMYFUNCTION("""COMPUTED_VALUE"""),60.0)</f>
        <v>60</v>
      </c>
      <c r="N309" s="136">
        <f>IFERROR(__xludf.DUMMYFUNCTION("""COMPUTED_VALUE"""),122.0)</f>
        <v>122</v>
      </c>
      <c r="O309" s="138">
        <f>IFERROR(__xludf.DUMMYFUNCTION("""COMPUTED_VALUE"""),12.0)</f>
        <v>12</v>
      </c>
      <c r="P309" s="138">
        <f>IFERROR(__xludf.DUMMYFUNCTION("""COMPUTED_VALUE"""),0.0)</f>
        <v>0</v>
      </c>
      <c r="Q309" s="138">
        <f>IFERROR(__xludf.DUMMYFUNCTION("""COMPUTED_VALUE"""),2.0)</f>
        <v>2</v>
      </c>
      <c r="R309" s="138">
        <f>IFERROR(__xludf.DUMMYFUNCTION("""COMPUTED_VALUE"""),9.0)</f>
        <v>9</v>
      </c>
      <c r="S309" s="139">
        <f>IFERROR(__xludf.DUMMYFUNCTION("""COMPUTED_VALUE"""),285.0)</f>
        <v>285</v>
      </c>
      <c r="T309" s="140">
        <f>IFERROR(__xludf.DUMMYFUNCTION("""COMPUTED_VALUE"""),85.0)</f>
        <v>85</v>
      </c>
      <c r="U309" s="136">
        <f>IFERROR(__xludf.DUMMYFUNCTION("""COMPUTED_VALUE"""),28.0)</f>
        <v>28</v>
      </c>
      <c r="V309" s="136">
        <f>IFERROR(__xludf.DUMMYFUNCTION("""COMPUTED_VALUE"""),40.0)</f>
        <v>40</v>
      </c>
      <c r="W309" s="136">
        <f>IFERROR(__xludf.DUMMYFUNCTION("""COMPUTED_VALUE"""),32.0)</f>
        <v>32</v>
      </c>
      <c r="X309" s="136">
        <f>IFERROR(__xludf.DUMMYFUNCTION("""COMPUTED_VALUE"""),436.7674418604651)</f>
        <v>436.7674419</v>
      </c>
      <c r="Y309" s="141">
        <f>IFERROR(__xludf.DUMMYFUNCTION("""COMPUTED_VALUE"""),48.423488372093026)</f>
        <v>48.42348837</v>
      </c>
      <c r="Z309" s="141">
        <f>IFERROR(__xludf.DUMMYFUNCTION("""COMPUTED_VALUE"""),2557.6976744186045)</f>
        <v>2557.697674</v>
      </c>
    </row>
    <row r="310">
      <c r="A310" s="41" t="str">
        <f>IFERROR(__xludf.DUMMYFUNCTION("""COMPUTED_VALUE"""),"Challenger")</f>
        <v>Challenger</v>
      </c>
      <c r="B310" s="41" t="str">
        <f>IFERROR(__xludf.DUMMYFUNCTION("""COMPUTED_VALUE"""),"RSC005663")</f>
        <v>RSC005663</v>
      </c>
      <c r="C310" s="41" t="str">
        <f>IFERROR(__xludf.DUMMYFUNCTION("""COMPUTED_VALUE"""),"Pure_Pusher")</f>
        <v>Pure_Pusher</v>
      </c>
      <c r="D310" s="41" t="str">
        <f>IFERROR(__xludf.DUMMYFUNCTION("""COMPUTED_VALUE"""),"Cooks")</f>
        <v>Cooks</v>
      </c>
      <c r="E310" s="136">
        <f>IFERROR(__xludf.DUMMYFUNCTION("""COMPUTED_VALUE"""),55.0)</f>
        <v>55</v>
      </c>
      <c r="F310" s="136">
        <f>IFERROR(__xludf.DUMMYFUNCTION("""COMPUTED_VALUE"""),35.0)</f>
        <v>35</v>
      </c>
      <c r="G310" s="136">
        <f>IFERROR(__xludf.DUMMYFUNCTION("""COMPUTED_VALUE"""),20.0)</f>
        <v>20</v>
      </c>
      <c r="H310" s="137">
        <f>IFERROR(__xludf.DUMMYFUNCTION("""COMPUTED_VALUE"""),0.6363636363636364)</f>
        <v>0.6363636364</v>
      </c>
      <c r="I310" s="136">
        <f>IFERROR(__xludf.DUMMYFUNCTION("""COMPUTED_VALUE"""),10.0)</f>
        <v>10</v>
      </c>
      <c r="J310" s="136">
        <f>IFERROR(__xludf.DUMMYFUNCTION("""COMPUTED_VALUE"""),18098.0)</f>
        <v>18098</v>
      </c>
      <c r="K310" s="136">
        <f>IFERROR(__xludf.DUMMYFUNCTION("""COMPUTED_VALUE"""),48.0)</f>
        <v>48</v>
      </c>
      <c r="L310" s="136">
        <f>IFERROR(__xludf.DUMMYFUNCTION("""COMPUTED_VALUE"""),32.0)</f>
        <v>32</v>
      </c>
      <c r="M310" s="136">
        <f>IFERROR(__xludf.DUMMYFUNCTION("""COMPUTED_VALUE"""),48.0)</f>
        <v>48</v>
      </c>
      <c r="N310" s="136">
        <f>IFERROR(__xludf.DUMMYFUNCTION("""COMPUTED_VALUE"""),138.0)</f>
        <v>138</v>
      </c>
      <c r="O310" s="138">
        <f>IFERROR(__xludf.DUMMYFUNCTION("""COMPUTED_VALUE"""),10.0)</f>
        <v>10</v>
      </c>
      <c r="P310" s="138">
        <f>IFERROR(__xludf.DUMMYFUNCTION("""COMPUTED_VALUE"""),3.0)</f>
        <v>3</v>
      </c>
      <c r="Q310" s="138">
        <f>IFERROR(__xludf.DUMMYFUNCTION("""COMPUTED_VALUE"""),1.0)</f>
        <v>1</v>
      </c>
      <c r="R310" s="138">
        <f>IFERROR(__xludf.DUMMYFUNCTION("""COMPUTED_VALUE"""),3.0)</f>
        <v>3</v>
      </c>
      <c r="S310" s="139">
        <f>IFERROR(__xludf.DUMMYFUNCTION("""COMPUTED_VALUE"""),337.0)</f>
        <v>337</v>
      </c>
      <c r="T310" s="140">
        <f>IFERROR(__xludf.DUMMYFUNCTION("""COMPUTED_VALUE"""),115.0)</f>
        <v>115</v>
      </c>
      <c r="U310" s="136">
        <f>IFERROR(__xludf.DUMMYFUNCTION("""COMPUTED_VALUE"""),45.0)</f>
        <v>45</v>
      </c>
      <c r="V310" s="136">
        <f>IFERROR(__xludf.DUMMYFUNCTION("""COMPUTED_VALUE"""),53.0)</f>
        <v>53</v>
      </c>
      <c r="W310" s="136">
        <f>IFERROR(__xludf.DUMMYFUNCTION("""COMPUTED_VALUE"""),41.0)</f>
        <v>41</v>
      </c>
      <c r="X310" s="136">
        <f>IFERROR(__xludf.DUMMYFUNCTION("""COMPUTED_VALUE"""),351.8545454545455)</f>
        <v>351.8545455</v>
      </c>
      <c r="Y310" s="141">
        <f>IFERROR(__xludf.DUMMYFUNCTION("""COMPUTED_VALUE"""),47.76581818181817)</f>
        <v>47.76581818</v>
      </c>
      <c r="Z310" s="141">
        <f>IFERROR(__xludf.DUMMYFUNCTION("""COMPUTED_VALUE"""),2095.5454545454545)</f>
        <v>2095.545455</v>
      </c>
    </row>
    <row r="311">
      <c r="A311" s="41" t="str">
        <f>IFERROR(__xludf.DUMMYFUNCTION("""COMPUTED_VALUE"""),"Veteran")</f>
        <v>Veteran</v>
      </c>
      <c r="B311" s="41" t="str">
        <f>IFERROR(__xludf.DUMMYFUNCTION("""COMPUTED_VALUE"""),"RSC005682")</f>
        <v>RSC005682</v>
      </c>
      <c r="C311" s="41" t="str">
        <f>IFERROR(__xludf.DUMMYFUNCTION("""COMPUTED_VALUE"""),"S_ckz")</f>
        <v>S_ckz</v>
      </c>
      <c r="D311" s="41" t="str">
        <f>IFERROR(__xludf.DUMMYFUNCTION("""COMPUTED_VALUE"""),"Giraffes")</f>
        <v>Giraffes</v>
      </c>
      <c r="E311" s="136">
        <f>IFERROR(__xludf.DUMMYFUNCTION("""COMPUTED_VALUE"""),48.0)</f>
        <v>48</v>
      </c>
      <c r="F311" s="136">
        <f>IFERROR(__xludf.DUMMYFUNCTION("""COMPUTED_VALUE"""),24.0)</f>
        <v>24</v>
      </c>
      <c r="G311" s="136">
        <f>IFERROR(__xludf.DUMMYFUNCTION("""COMPUTED_VALUE"""),24.0)</f>
        <v>24</v>
      </c>
      <c r="H311" s="137">
        <f>IFERROR(__xludf.DUMMYFUNCTION("""COMPUTED_VALUE"""),0.5)</f>
        <v>0.5</v>
      </c>
      <c r="I311" s="136">
        <f>IFERROR(__xludf.DUMMYFUNCTION("""COMPUTED_VALUE"""),11.0)</f>
        <v>11</v>
      </c>
      <c r="J311" s="136">
        <f>IFERROR(__xludf.DUMMYFUNCTION("""COMPUTED_VALUE"""),18088.0)</f>
        <v>18088</v>
      </c>
      <c r="K311" s="136">
        <f>IFERROR(__xludf.DUMMYFUNCTION("""COMPUTED_VALUE"""),44.0)</f>
        <v>44</v>
      </c>
      <c r="L311" s="136">
        <f>IFERROR(__xludf.DUMMYFUNCTION("""COMPUTED_VALUE"""),40.0)</f>
        <v>40</v>
      </c>
      <c r="M311" s="136">
        <f>IFERROR(__xludf.DUMMYFUNCTION("""COMPUTED_VALUE"""),58.0)</f>
        <v>58</v>
      </c>
      <c r="N311" s="136">
        <f>IFERROR(__xludf.DUMMYFUNCTION("""COMPUTED_VALUE"""),137.0)</f>
        <v>137</v>
      </c>
      <c r="O311" s="138">
        <f>IFERROR(__xludf.DUMMYFUNCTION("""COMPUTED_VALUE"""),9.0)</f>
        <v>9</v>
      </c>
      <c r="P311" s="138">
        <f>IFERROR(__xludf.DUMMYFUNCTION("""COMPUTED_VALUE"""),4.0)</f>
        <v>4</v>
      </c>
      <c r="Q311" s="138">
        <f>IFERROR(__xludf.DUMMYFUNCTION("""COMPUTED_VALUE"""),6.0)</f>
        <v>6</v>
      </c>
      <c r="R311" s="138">
        <f>IFERROR(__xludf.DUMMYFUNCTION("""COMPUTED_VALUE"""),6.0)</f>
        <v>6</v>
      </c>
      <c r="S311" s="139">
        <f>IFERROR(__xludf.DUMMYFUNCTION("""COMPUTED_VALUE"""),372.0)</f>
        <v>372</v>
      </c>
      <c r="T311" s="140">
        <f>IFERROR(__xludf.DUMMYFUNCTION("""COMPUTED_VALUE"""),119.0)</f>
        <v>119</v>
      </c>
      <c r="U311" s="136">
        <f>IFERROR(__xludf.DUMMYFUNCTION("""COMPUTED_VALUE"""),41.0)</f>
        <v>41</v>
      </c>
      <c r="V311" s="136">
        <f>IFERROR(__xludf.DUMMYFUNCTION("""COMPUTED_VALUE"""),85.0)</f>
        <v>85</v>
      </c>
      <c r="W311" s="136">
        <f>IFERROR(__xludf.DUMMYFUNCTION("""COMPUTED_VALUE"""),55.0)</f>
        <v>55</v>
      </c>
      <c r="X311" s="136">
        <f>IFERROR(__xludf.DUMMYFUNCTION("""COMPUTED_VALUE"""),412.5416666666667)</f>
        <v>412.5416667</v>
      </c>
      <c r="Y311" s="141">
        <f>IFERROR(__xludf.DUMMYFUNCTION("""COMPUTED_VALUE"""),50.56583333333333)</f>
        <v>50.56583333</v>
      </c>
      <c r="Z311" s="141">
        <f>IFERROR(__xludf.DUMMYFUNCTION("""COMPUTED_VALUE"""),2437.9583333333335)</f>
        <v>2437.958333</v>
      </c>
    </row>
    <row r="312">
      <c r="A312" s="41" t="str">
        <f>IFERROR(__xludf.DUMMYFUNCTION("""COMPUTED_VALUE"""),"Veteran")</f>
        <v>Veteran</v>
      </c>
      <c r="B312" s="41" t="str">
        <f>IFERROR(__xludf.DUMMYFUNCTION("""COMPUTED_VALUE"""),"RSC005689")</f>
        <v>RSC005689</v>
      </c>
      <c r="C312" s="41" t="str">
        <f>IFERROR(__xludf.DUMMYFUNCTION("""COMPUTED_VALUE"""),"Wntr")</f>
        <v>Wntr</v>
      </c>
      <c r="D312" s="41" t="str">
        <f>IFERROR(__xludf.DUMMYFUNCTION("""COMPUTED_VALUE"""),"Berserkers")</f>
        <v>Berserkers</v>
      </c>
      <c r="E312" s="136">
        <f>IFERROR(__xludf.DUMMYFUNCTION("""COMPUTED_VALUE"""),4.0)</f>
        <v>4</v>
      </c>
      <c r="F312" s="136">
        <f>IFERROR(__xludf.DUMMYFUNCTION("""COMPUTED_VALUE"""),0.0)</f>
        <v>0</v>
      </c>
      <c r="G312" s="136">
        <f>IFERROR(__xludf.DUMMYFUNCTION("""COMPUTED_VALUE"""),4.0)</f>
        <v>4</v>
      </c>
      <c r="H312" s="137">
        <f>IFERROR(__xludf.DUMMYFUNCTION("""COMPUTED_VALUE"""),0.0)</f>
        <v>0</v>
      </c>
      <c r="I312" s="136">
        <f>IFERROR(__xludf.DUMMYFUNCTION("""COMPUTED_VALUE"""),0.0)</f>
        <v>0</v>
      </c>
      <c r="J312" s="136">
        <f>IFERROR(__xludf.DUMMYFUNCTION("""COMPUTED_VALUE"""),1101.0)</f>
        <v>1101</v>
      </c>
      <c r="K312" s="136">
        <f>IFERROR(__xludf.DUMMYFUNCTION("""COMPUTED_VALUE"""),1.0)</f>
        <v>1</v>
      </c>
      <c r="L312" s="136">
        <f>IFERROR(__xludf.DUMMYFUNCTION("""COMPUTED_VALUE"""),4.0)</f>
        <v>4</v>
      </c>
      <c r="M312" s="136">
        <f>IFERROR(__xludf.DUMMYFUNCTION("""COMPUTED_VALUE"""),5.0)</f>
        <v>5</v>
      </c>
      <c r="N312" s="136">
        <f>IFERROR(__xludf.DUMMYFUNCTION("""COMPUTED_VALUE"""),11.0)</f>
        <v>11</v>
      </c>
      <c r="O312" s="138">
        <f>IFERROR(__xludf.DUMMYFUNCTION("""COMPUTED_VALUE"""),1.0)</f>
        <v>1</v>
      </c>
      <c r="P312" s="138">
        <f>IFERROR(__xludf.DUMMYFUNCTION("""COMPUTED_VALUE"""),0.0)</f>
        <v>0</v>
      </c>
      <c r="Q312" s="138">
        <f>IFERROR(__xludf.DUMMYFUNCTION("""COMPUTED_VALUE"""),0.0)</f>
        <v>0</v>
      </c>
      <c r="R312" s="138">
        <f>IFERROR(__xludf.DUMMYFUNCTION("""COMPUTED_VALUE"""),0.0)</f>
        <v>0</v>
      </c>
      <c r="S312" s="139">
        <f>IFERROR(__xludf.DUMMYFUNCTION("""COMPUTED_VALUE"""),33.0)</f>
        <v>33</v>
      </c>
      <c r="T312" s="140">
        <f>IFERROR(__xludf.DUMMYFUNCTION("""COMPUTED_VALUE"""),16.0)</f>
        <v>16</v>
      </c>
      <c r="U312" s="136">
        <f>IFERROR(__xludf.DUMMYFUNCTION("""COMPUTED_VALUE"""),5.0)</f>
        <v>5</v>
      </c>
      <c r="V312" s="136">
        <f>IFERROR(__xludf.DUMMYFUNCTION("""COMPUTED_VALUE"""),5.0)</f>
        <v>5</v>
      </c>
      <c r="W312" s="136">
        <f>IFERROR(__xludf.DUMMYFUNCTION("""COMPUTED_VALUE"""),7.0)</f>
        <v>7</v>
      </c>
      <c r="X312" s="136"/>
      <c r="Y312" s="41"/>
      <c r="Z312" s="41"/>
    </row>
    <row r="313">
      <c r="A313" s="41" t="str">
        <f>IFERROR(__xludf.DUMMYFUNCTION("""COMPUTED_VALUE"""),"Master")</f>
        <v>Master</v>
      </c>
      <c r="B313" s="41" t="str">
        <f>IFERROR(__xludf.DUMMYFUNCTION("""COMPUTED_VALUE"""),"RSC005690")</f>
        <v>RSC005690</v>
      </c>
      <c r="C313" s="41" t="str">
        <f>IFERROR(__xludf.DUMMYFUNCTION("""COMPUTED_VALUE"""),"DQ.")</f>
        <v>DQ.</v>
      </c>
      <c r="D313" s="41" t="str">
        <f>IFERROR(__xludf.DUMMYFUNCTION("""COMPUTED_VALUE"""),"Oblivion")</f>
        <v>Oblivion</v>
      </c>
      <c r="E313" s="136">
        <f>IFERROR(__xludf.DUMMYFUNCTION("""COMPUTED_VALUE"""),42.0)</f>
        <v>42</v>
      </c>
      <c r="F313" s="136">
        <f>IFERROR(__xludf.DUMMYFUNCTION("""COMPUTED_VALUE"""),20.0)</f>
        <v>20</v>
      </c>
      <c r="G313" s="136">
        <f>IFERROR(__xludf.DUMMYFUNCTION("""COMPUTED_VALUE"""),22.0)</f>
        <v>22</v>
      </c>
      <c r="H313" s="137">
        <f>IFERROR(__xludf.DUMMYFUNCTION("""COMPUTED_VALUE"""),0.47619047619047616)</f>
        <v>0.4761904762</v>
      </c>
      <c r="I313" s="136">
        <f>IFERROR(__xludf.DUMMYFUNCTION("""COMPUTED_VALUE"""),4.0)</f>
        <v>4</v>
      </c>
      <c r="J313" s="136">
        <f>IFERROR(__xludf.DUMMYFUNCTION("""COMPUTED_VALUE"""),14860.0)</f>
        <v>14860</v>
      </c>
      <c r="K313" s="136">
        <f>IFERROR(__xludf.DUMMYFUNCTION("""COMPUTED_VALUE"""),39.0)</f>
        <v>39</v>
      </c>
      <c r="L313" s="136">
        <f>IFERROR(__xludf.DUMMYFUNCTION("""COMPUTED_VALUE"""),27.0)</f>
        <v>27</v>
      </c>
      <c r="M313" s="136">
        <f>IFERROR(__xludf.DUMMYFUNCTION("""COMPUTED_VALUE"""),52.0)</f>
        <v>52</v>
      </c>
      <c r="N313" s="136">
        <f>IFERROR(__xludf.DUMMYFUNCTION("""COMPUTED_VALUE"""),104.0)</f>
        <v>104</v>
      </c>
      <c r="O313" s="138">
        <f>IFERROR(__xludf.DUMMYFUNCTION("""COMPUTED_VALUE"""),8.0)</f>
        <v>8</v>
      </c>
      <c r="P313" s="138">
        <f>IFERROR(__xludf.DUMMYFUNCTION("""COMPUTED_VALUE"""),2.0)</f>
        <v>2</v>
      </c>
      <c r="Q313" s="138">
        <f>IFERROR(__xludf.DUMMYFUNCTION("""COMPUTED_VALUE"""),2.0)</f>
        <v>2</v>
      </c>
      <c r="R313" s="138">
        <f>IFERROR(__xludf.DUMMYFUNCTION("""COMPUTED_VALUE"""),7.0)</f>
        <v>7</v>
      </c>
      <c r="S313" s="139">
        <f>IFERROR(__xludf.DUMMYFUNCTION("""COMPUTED_VALUE"""),323.0)</f>
        <v>323</v>
      </c>
      <c r="T313" s="140">
        <f>IFERROR(__xludf.DUMMYFUNCTION("""COMPUTED_VALUE"""),92.0)</f>
        <v>92</v>
      </c>
      <c r="U313" s="136">
        <f>IFERROR(__xludf.DUMMYFUNCTION("""COMPUTED_VALUE"""),34.0)</f>
        <v>34</v>
      </c>
      <c r="V313" s="136">
        <f>IFERROR(__xludf.DUMMYFUNCTION("""COMPUTED_VALUE"""),58.0)</f>
        <v>58</v>
      </c>
      <c r="W313" s="136">
        <f>IFERROR(__xludf.DUMMYFUNCTION("""COMPUTED_VALUE"""),41.0)</f>
        <v>41</v>
      </c>
      <c r="X313" s="136">
        <f>IFERROR(__xludf.DUMMYFUNCTION("""COMPUTED_VALUE"""),409.86842105263156)</f>
        <v>409.8684211</v>
      </c>
      <c r="Y313" s="141">
        <f>IFERROR(__xludf.DUMMYFUNCTION("""COMPUTED_VALUE"""),47.41289473684211)</f>
        <v>47.41289474</v>
      </c>
      <c r="Z313" s="141">
        <f>IFERROR(__xludf.DUMMYFUNCTION("""COMPUTED_VALUE"""),2600.0526315789475)</f>
        <v>2600.052632</v>
      </c>
    </row>
    <row r="314">
      <c r="A314" s="41" t="str">
        <f>IFERROR(__xludf.DUMMYFUNCTION("""COMPUTED_VALUE"""),"Rival")</f>
        <v>Rival</v>
      </c>
      <c r="B314" s="41" t="str">
        <f>IFERROR(__xludf.DUMMYFUNCTION("""COMPUTED_VALUE"""),"RSC005703")</f>
        <v>RSC005703</v>
      </c>
      <c r="C314" s="41" t="str">
        <f>IFERROR(__xludf.DUMMYFUNCTION("""COMPUTED_VALUE"""),"ShoddyWolfman")</f>
        <v>ShoddyWolfman</v>
      </c>
      <c r="D314" s="41" t="str">
        <f>IFERROR(__xludf.DUMMYFUNCTION("""COMPUTED_VALUE"""),"Scramjets")</f>
        <v>Scramjets</v>
      </c>
      <c r="E314" s="136">
        <f>IFERROR(__xludf.DUMMYFUNCTION("""COMPUTED_VALUE"""),54.0)</f>
        <v>54</v>
      </c>
      <c r="F314" s="136">
        <f>IFERROR(__xludf.DUMMYFUNCTION("""COMPUTED_VALUE"""),29.0)</f>
        <v>29</v>
      </c>
      <c r="G314" s="136">
        <f>IFERROR(__xludf.DUMMYFUNCTION("""COMPUTED_VALUE"""),25.0)</f>
        <v>25</v>
      </c>
      <c r="H314" s="137">
        <f>IFERROR(__xludf.DUMMYFUNCTION("""COMPUTED_VALUE"""),0.5370370370370371)</f>
        <v>0.537037037</v>
      </c>
      <c r="I314" s="136">
        <f>IFERROR(__xludf.DUMMYFUNCTION("""COMPUTED_VALUE"""),13.0)</f>
        <v>13</v>
      </c>
      <c r="J314" s="136">
        <f>IFERROR(__xludf.DUMMYFUNCTION("""COMPUTED_VALUE"""),21639.0)</f>
        <v>21639</v>
      </c>
      <c r="K314" s="136">
        <f>IFERROR(__xludf.DUMMYFUNCTION("""COMPUTED_VALUE"""),58.0)</f>
        <v>58</v>
      </c>
      <c r="L314" s="136">
        <f>IFERROR(__xludf.DUMMYFUNCTION("""COMPUTED_VALUE"""),42.0)</f>
        <v>42</v>
      </c>
      <c r="M314" s="136">
        <f>IFERROR(__xludf.DUMMYFUNCTION("""COMPUTED_VALUE"""),70.0)</f>
        <v>70</v>
      </c>
      <c r="N314" s="136">
        <f>IFERROR(__xludf.DUMMYFUNCTION("""COMPUTED_VALUE"""),172.0)</f>
        <v>172</v>
      </c>
      <c r="O314" s="138">
        <f>IFERROR(__xludf.DUMMYFUNCTION("""COMPUTED_VALUE"""),14.0)</f>
        <v>14</v>
      </c>
      <c r="P314" s="138">
        <f>IFERROR(__xludf.DUMMYFUNCTION("""COMPUTED_VALUE"""),3.0)</f>
        <v>3</v>
      </c>
      <c r="Q314" s="138">
        <f>IFERROR(__xludf.DUMMYFUNCTION("""COMPUTED_VALUE"""),3.0)</f>
        <v>3</v>
      </c>
      <c r="R314" s="138">
        <f>IFERROR(__xludf.DUMMYFUNCTION("""COMPUTED_VALUE"""),5.0)</f>
        <v>5</v>
      </c>
      <c r="S314" s="139">
        <f>IFERROR(__xludf.DUMMYFUNCTION("""COMPUTED_VALUE"""),391.0)</f>
        <v>391</v>
      </c>
      <c r="T314" s="140">
        <f>IFERROR(__xludf.DUMMYFUNCTION("""COMPUTED_VALUE"""),123.0)</f>
        <v>123</v>
      </c>
      <c r="U314" s="136">
        <f>IFERROR(__xludf.DUMMYFUNCTION("""COMPUTED_VALUE"""),53.0)</f>
        <v>53</v>
      </c>
      <c r="V314" s="136">
        <f>IFERROR(__xludf.DUMMYFUNCTION("""COMPUTED_VALUE"""),56.0)</f>
        <v>56</v>
      </c>
      <c r="W314" s="136">
        <f>IFERROR(__xludf.DUMMYFUNCTION("""COMPUTED_VALUE"""),39.0)</f>
        <v>39</v>
      </c>
      <c r="X314" s="136">
        <f>IFERROR(__xludf.DUMMYFUNCTION("""COMPUTED_VALUE"""),353.3703703703704)</f>
        <v>353.3703704</v>
      </c>
      <c r="Y314" s="141">
        <f>IFERROR(__xludf.DUMMYFUNCTION("""COMPUTED_VALUE"""),45.24851851851853)</f>
        <v>45.24851852</v>
      </c>
      <c r="Z314" s="141">
        <f>IFERROR(__xludf.DUMMYFUNCTION("""COMPUTED_VALUE"""),2078.722222222222)</f>
        <v>2078.722222</v>
      </c>
    </row>
    <row r="315">
      <c r="A315" s="41" t="str">
        <f>IFERROR(__xludf.DUMMYFUNCTION("""COMPUTED_VALUE"""),"Master")</f>
        <v>Master</v>
      </c>
      <c r="B315" s="41" t="str">
        <f>IFERROR(__xludf.DUMMYFUNCTION("""COMPUTED_VALUE"""),"RSC005705")</f>
        <v>RSC005705</v>
      </c>
      <c r="C315" s="41" t="str">
        <f>IFERROR(__xludf.DUMMYFUNCTION("""COMPUTED_VALUE"""),"Rapidz (Goofy and Silly)")</f>
        <v>Rapidz (Goofy and Silly)</v>
      </c>
      <c r="D315" s="41" t="str">
        <f>IFERROR(__xludf.DUMMYFUNCTION("""COMPUTED_VALUE"""),"Oblivion
Lemurs
Andromeda")</f>
        <v>Oblivion
Lemurs
Andromeda</v>
      </c>
      <c r="E315" s="136">
        <f>IFERROR(__xludf.DUMMYFUNCTION("""COMPUTED_VALUE"""),32.0)</f>
        <v>32</v>
      </c>
      <c r="F315" s="136">
        <f>IFERROR(__xludf.DUMMYFUNCTION("""COMPUTED_VALUE"""),21.0)</f>
        <v>21</v>
      </c>
      <c r="G315" s="136">
        <f>IFERROR(__xludf.DUMMYFUNCTION("""COMPUTED_VALUE"""),11.0)</f>
        <v>11</v>
      </c>
      <c r="H315" s="137">
        <f>IFERROR(__xludf.DUMMYFUNCTION("""COMPUTED_VALUE"""),0.65625)</f>
        <v>0.65625</v>
      </c>
      <c r="I315" s="136">
        <f>IFERROR(__xludf.DUMMYFUNCTION("""COMPUTED_VALUE"""),5.0)</f>
        <v>5</v>
      </c>
      <c r="J315" s="136">
        <f>IFERROR(__xludf.DUMMYFUNCTION("""COMPUTED_VALUE"""),10632.0)</f>
        <v>10632</v>
      </c>
      <c r="K315" s="136">
        <f>IFERROR(__xludf.DUMMYFUNCTION("""COMPUTED_VALUE"""),23.0)</f>
        <v>23</v>
      </c>
      <c r="L315" s="136">
        <f>IFERROR(__xludf.DUMMYFUNCTION("""COMPUTED_VALUE"""),22.0)</f>
        <v>22</v>
      </c>
      <c r="M315" s="136">
        <f>IFERROR(__xludf.DUMMYFUNCTION("""COMPUTED_VALUE"""),33.0)</f>
        <v>33</v>
      </c>
      <c r="N315" s="136">
        <f>IFERROR(__xludf.DUMMYFUNCTION("""COMPUTED_VALUE"""),65.0)</f>
        <v>65</v>
      </c>
      <c r="O315" s="138">
        <f>IFERROR(__xludf.DUMMYFUNCTION("""COMPUTED_VALUE"""),4.0)</f>
        <v>4</v>
      </c>
      <c r="P315" s="138">
        <f>IFERROR(__xludf.DUMMYFUNCTION("""COMPUTED_VALUE"""),1.0)</f>
        <v>1</v>
      </c>
      <c r="Q315" s="138">
        <f>IFERROR(__xludf.DUMMYFUNCTION("""COMPUTED_VALUE"""),2.0)</f>
        <v>2</v>
      </c>
      <c r="R315" s="138">
        <f>IFERROR(__xludf.DUMMYFUNCTION("""COMPUTED_VALUE"""),2.0)</f>
        <v>2</v>
      </c>
      <c r="S315" s="139">
        <f>IFERROR(__xludf.DUMMYFUNCTION("""COMPUTED_VALUE"""),233.0)</f>
        <v>233</v>
      </c>
      <c r="T315" s="140">
        <f>IFERROR(__xludf.DUMMYFUNCTION("""COMPUTED_VALUE"""),61.0)</f>
        <v>61</v>
      </c>
      <c r="U315" s="136">
        <f>IFERROR(__xludf.DUMMYFUNCTION("""COMPUTED_VALUE"""),13.0)</f>
        <v>13</v>
      </c>
      <c r="V315" s="136">
        <f>IFERROR(__xludf.DUMMYFUNCTION("""COMPUTED_VALUE"""),32.0)</f>
        <v>32</v>
      </c>
      <c r="W315" s="136">
        <f>IFERROR(__xludf.DUMMYFUNCTION("""COMPUTED_VALUE"""),30.0)</f>
        <v>30</v>
      </c>
      <c r="X315" s="136">
        <f>IFERROR(__xludf.DUMMYFUNCTION("""COMPUTED_VALUE"""),359.84375)</f>
        <v>359.84375</v>
      </c>
      <c r="Y315" s="141">
        <f>IFERROR(__xludf.DUMMYFUNCTION("""COMPUTED_VALUE"""),49.4778125)</f>
        <v>49.4778125</v>
      </c>
      <c r="Z315" s="141">
        <f>IFERROR(__xludf.DUMMYFUNCTION("""COMPUTED_VALUE"""),2194.4375)</f>
        <v>2194.4375</v>
      </c>
    </row>
    <row r="316">
      <c r="A316" s="41" t="str">
        <f>IFERROR(__xludf.DUMMYFUNCTION("""COMPUTED_VALUE"""),"Elite")</f>
        <v>Elite</v>
      </c>
      <c r="B316" s="41" t="str">
        <f>IFERROR(__xludf.DUMMYFUNCTION("""COMPUTED_VALUE"""),"RSC005709")</f>
        <v>RSC005709</v>
      </c>
      <c r="C316" s="41" t="str">
        <f>IFERROR(__xludf.DUMMYFUNCTION("""COMPUTED_VALUE"""),"ZavaRL")</f>
        <v>ZavaRL</v>
      </c>
      <c r="D316" s="41" t="str">
        <f>IFERROR(__xludf.DUMMYFUNCTION("""COMPUTED_VALUE"""),"Black-Holes
Praetorian Guard
Teddy Bears")</f>
        <v>Black-Holes
Praetorian Guard
Teddy Bears</v>
      </c>
      <c r="E316" s="136">
        <f>IFERROR(__xludf.DUMMYFUNCTION("""COMPUTED_VALUE"""),21.0)</f>
        <v>21</v>
      </c>
      <c r="F316" s="136">
        <f>IFERROR(__xludf.DUMMYFUNCTION("""COMPUTED_VALUE"""),15.0)</f>
        <v>15</v>
      </c>
      <c r="G316" s="136">
        <f>IFERROR(__xludf.DUMMYFUNCTION("""COMPUTED_VALUE"""),6.0)</f>
        <v>6</v>
      </c>
      <c r="H316" s="137">
        <f>IFERROR(__xludf.DUMMYFUNCTION("""COMPUTED_VALUE"""),0.7142857142857143)</f>
        <v>0.7142857143</v>
      </c>
      <c r="I316" s="136">
        <f>IFERROR(__xludf.DUMMYFUNCTION("""COMPUTED_VALUE"""),7.0)</f>
        <v>7</v>
      </c>
      <c r="J316" s="136">
        <f>IFERROR(__xludf.DUMMYFUNCTION("""COMPUTED_VALUE"""),8858.0)</f>
        <v>8858</v>
      </c>
      <c r="K316" s="136">
        <f>IFERROR(__xludf.DUMMYFUNCTION("""COMPUTED_VALUE"""),21.0)</f>
        <v>21</v>
      </c>
      <c r="L316" s="136">
        <f>IFERROR(__xludf.DUMMYFUNCTION("""COMPUTED_VALUE"""),23.0)</f>
        <v>23</v>
      </c>
      <c r="M316" s="136">
        <f>IFERROR(__xludf.DUMMYFUNCTION("""COMPUTED_VALUE"""),28.0)</f>
        <v>28</v>
      </c>
      <c r="N316" s="136">
        <f>IFERROR(__xludf.DUMMYFUNCTION("""COMPUTED_VALUE"""),55.0)</f>
        <v>55</v>
      </c>
      <c r="O316" s="138">
        <f>IFERROR(__xludf.DUMMYFUNCTION("""COMPUTED_VALUE"""),9.0)</f>
        <v>9</v>
      </c>
      <c r="P316" s="138">
        <f>IFERROR(__xludf.DUMMYFUNCTION("""COMPUTED_VALUE"""),1.0)</f>
        <v>1</v>
      </c>
      <c r="Q316" s="138">
        <f>IFERROR(__xludf.DUMMYFUNCTION("""COMPUTED_VALUE"""),4.0)</f>
        <v>4</v>
      </c>
      <c r="R316" s="138">
        <f>IFERROR(__xludf.DUMMYFUNCTION("""COMPUTED_VALUE"""),2.0)</f>
        <v>2</v>
      </c>
      <c r="S316" s="139">
        <f>IFERROR(__xludf.DUMMYFUNCTION("""COMPUTED_VALUE"""),164.0)</f>
        <v>164</v>
      </c>
      <c r="T316" s="140">
        <f>IFERROR(__xludf.DUMMYFUNCTION("""COMPUTED_VALUE"""),52.0)</f>
        <v>52</v>
      </c>
      <c r="U316" s="136">
        <f>IFERROR(__xludf.DUMMYFUNCTION("""COMPUTED_VALUE"""),9.0)</f>
        <v>9</v>
      </c>
      <c r="V316" s="136">
        <f>IFERROR(__xludf.DUMMYFUNCTION("""COMPUTED_VALUE"""),17.0)</f>
        <v>17</v>
      </c>
      <c r="W316" s="136">
        <f>IFERROR(__xludf.DUMMYFUNCTION("""COMPUTED_VALUE"""),39.0)</f>
        <v>39</v>
      </c>
      <c r="X316" s="136">
        <f>IFERROR(__xludf.DUMMYFUNCTION("""COMPUTED_VALUE"""),349.6190476190476)</f>
        <v>349.6190476</v>
      </c>
      <c r="Y316" s="141">
        <f>IFERROR(__xludf.DUMMYFUNCTION("""COMPUTED_VALUE"""),47.71476190476191)</f>
        <v>47.7147619</v>
      </c>
      <c r="Z316" s="141">
        <f>IFERROR(__xludf.DUMMYFUNCTION("""COMPUTED_VALUE"""),2250.2380952380954)</f>
        <v>2250.238095</v>
      </c>
    </row>
    <row r="317">
      <c r="A317" s="41" t="str">
        <f>IFERROR(__xludf.DUMMYFUNCTION("""COMPUTED_VALUE"""),"Prospect")</f>
        <v>Prospect</v>
      </c>
      <c r="B317" s="41" t="str">
        <f>IFERROR(__xludf.DUMMYFUNCTION("""COMPUTED_VALUE"""),"RSC005714")</f>
        <v>RSC005714</v>
      </c>
      <c r="C317" s="41" t="str">
        <f>IFERROR(__xludf.DUMMYFUNCTION("""COMPUTED_VALUE"""),"T_i_m_o_g")</f>
        <v>T_i_m_o_g</v>
      </c>
      <c r="D317" s="41" t="str">
        <f>IFERROR(__xludf.DUMMYFUNCTION("""COMPUTED_VALUE"""),"Principales")</f>
        <v>Principales</v>
      </c>
      <c r="E317" s="136">
        <f>IFERROR(__xludf.DUMMYFUNCTION("""COMPUTED_VALUE"""),41.0)</f>
        <v>41</v>
      </c>
      <c r="F317" s="136">
        <f>IFERROR(__xludf.DUMMYFUNCTION("""COMPUTED_VALUE"""),16.0)</f>
        <v>16</v>
      </c>
      <c r="G317" s="136">
        <f>IFERROR(__xludf.DUMMYFUNCTION("""COMPUTED_VALUE"""),25.0)</f>
        <v>25</v>
      </c>
      <c r="H317" s="137">
        <f>IFERROR(__xludf.DUMMYFUNCTION("""COMPUTED_VALUE"""),0.3902439024390244)</f>
        <v>0.3902439024</v>
      </c>
      <c r="I317" s="136">
        <f>IFERROR(__xludf.DUMMYFUNCTION("""COMPUTED_VALUE"""),1.0)</f>
        <v>1</v>
      </c>
      <c r="J317" s="136">
        <f>IFERROR(__xludf.DUMMYFUNCTION("""COMPUTED_VALUE"""),11349.0)</f>
        <v>11349</v>
      </c>
      <c r="K317" s="136">
        <f>IFERROR(__xludf.DUMMYFUNCTION("""COMPUTED_VALUE"""),21.0)</f>
        <v>21</v>
      </c>
      <c r="L317" s="136">
        <f>IFERROR(__xludf.DUMMYFUNCTION("""COMPUTED_VALUE"""),12.0)</f>
        <v>12</v>
      </c>
      <c r="M317" s="136">
        <f>IFERROR(__xludf.DUMMYFUNCTION("""COMPUTED_VALUE"""),51.0)</f>
        <v>51</v>
      </c>
      <c r="N317" s="136">
        <f>IFERROR(__xludf.DUMMYFUNCTION("""COMPUTED_VALUE"""),71.0)</f>
        <v>71</v>
      </c>
      <c r="O317" s="138">
        <f>IFERROR(__xludf.DUMMYFUNCTION("""COMPUTED_VALUE"""),1.0)</f>
        <v>1</v>
      </c>
      <c r="P317" s="138">
        <f>IFERROR(__xludf.DUMMYFUNCTION("""COMPUTED_VALUE"""),1.0)</f>
        <v>1</v>
      </c>
      <c r="Q317" s="138">
        <f>IFERROR(__xludf.DUMMYFUNCTION("""COMPUTED_VALUE"""),0.0)</f>
        <v>0</v>
      </c>
      <c r="R317" s="138">
        <f>IFERROR(__xludf.DUMMYFUNCTION("""COMPUTED_VALUE"""),6.0)</f>
        <v>6</v>
      </c>
      <c r="S317" s="139">
        <f>IFERROR(__xludf.DUMMYFUNCTION("""COMPUTED_VALUE"""),303.0)</f>
        <v>303</v>
      </c>
      <c r="T317" s="140">
        <f>IFERROR(__xludf.DUMMYFUNCTION("""COMPUTED_VALUE"""),106.0)</f>
        <v>106</v>
      </c>
      <c r="U317" s="136">
        <f>IFERROR(__xludf.DUMMYFUNCTION("""COMPUTED_VALUE"""),28.0)</f>
        <v>28</v>
      </c>
      <c r="V317" s="136">
        <f>IFERROR(__xludf.DUMMYFUNCTION("""COMPUTED_VALUE"""),102.0)</f>
        <v>102</v>
      </c>
      <c r="W317" s="136">
        <f>IFERROR(__xludf.DUMMYFUNCTION("""COMPUTED_VALUE"""),32.0)</f>
        <v>32</v>
      </c>
      <c r="X317" s="136">
        <f>IFERROR(__xludf.DUMMYFUNCTION("""COMPUTED_VALUE"""),400.5609756097561)</f>
        <v>400.5609756</v>
      </c>
      <c r="Y317" s="141">
        <f>IFERROR(__xludf.DUMMYFUNCTION("""COMPUTED_VALUE"""),47.444146341463416)</f>
        <v>47.44414634</v>
      </c>
      <c r="Z317" s="141">
        <f>IFERROR(__xludf.DUMMYFUNCTION("""COMPUTED_VALUE"""),2561.439024390244)</f>
        <v>2561.439024</v>
      </c>
    </row>
    <row r="318">
      <c r="A318" s="41" t="str">
        <f>IFERROR(__xludf.DUMMYFUNCTION("""COMPUTED_VALUE"""),"Rival")</f>
        <v>Rival</v>
      </c>
      <c r="B318" s="41" t="str">
        <f>IFERROR(__xludf.DUMMYFUNCTION("""COMPUTED_VALUE"""),"RSC005752")</f>
        <v>RSC005752</v>
      </c>
      <c r="C318" s="41" t="str">
        <f>IFERROR(__xludf.DUMMYFUNCTION("""COMPUTED_VALUE"""),"Surge85")</f>
        <v>Surge85</v>
      </c>
      <c r="D318" s="41" t="str">
        <f>IFERROR(__xludf.DUMMYFUNCTION("""COMPUTED_VALUE"""),"Asiago Arsonists
Tax Evaders
Nightfall")</f>
        <v>Asiago Arsonists
Tax Evaders
Nightfall</v>
      </c>
      <c r="E318" s="136">
        <f>IFERROR(__xludf.DUMMYFUNCTION("""COMPUTED_VALUE"""),52.0)</f>
        <v>52</v>
      </c>
      <c r="F318" s="136">
        <f>IFERROR(__xludf.DUMMYFUNCTION("""COMPUTED_VALUE"""),22.0)</f>
        <v>22</v>
      </c>
      <c r="G318" s="136">
        <f>IFERROR(__xludf.DUMMYFUNCTION("""COMPUTED_VALUE"""),30.0)</f>
        <v>30</v>
      </c>
      <c r="H318" s="137">
        <f>IFERROR(__xludf.DUMMYFUNCTION("""COMPUTED_VALUE"""),0.4230769230769231)</f>
        <v>0.4230769231</v>
      </c>
      <c r="I318" s="136">
        <f>IFERROR(__xludf.DUMMYFUNCTION("""COMPUTED_VALUE"""),8.0)</f>
        <v>8</v>
      </c>
      <c r="J318" s="136">
        <f>IFERROR(__xludf.DUMMYFUNCTION("""COMPUTED_VALUE"""),18349.0)</f>
        <v>18349</v>
      </c>
      <c r="K318" s="136">
        <f>IFERROR(__xludf.DUMMYFUNCTION("""COMPUTED_VALUE"""),33.0)</f>
        <v>33</v>
      </c>
      <c r="L318" s="136">
        <f>IFERROR(__xludf.DUMMYFUNCTION("""COMPUTED_VALUE"""),25.0)</f>
        <v>25</v>
      </c>
      <c r="M318" s="136">
        <f>IFERROR(__xludf.DUMMYFUNCTION("""COMPUTED_VALUE"""),74.0)</f>
        <v>74</v>
      </c>
      <c r="N318" s="136">
        <f>IFERROR(__xludf.DUMMYFUNCTION("""COMPUTED_VALUE"""),120.0)</f>
        <v>120</v>
      </c>
      <c r="O318" s="138">
        <f>IFERROR(__xludf.DUMMYFUNCTION("""COMPUTED_VALUE"""),7.0)</f>
        <v>7</v>
      </c>
      <c r="P318" s="138">
        <f>IFERROR(__xludf.DUMMYFUNCTION("""COMPUTED_VALUE"""),1.0)</f>
        <v>1</v>
      </c>
      <c r="Q318" s="138">
        <f>IFERROR(__xludf.DUMMYFUNCTION("""COMPUTED_VALUE"""),0.0)</f>
        <v>0</v>
      </c>
      <c r="R318" s="138">
        <f>IFERROR(__xludf.DUMMYFUNCTION("""COMPUTED_VALUE"""),9.0)</f>
        <v>9</v>
      </c>
      <c r="S318" s="139">
        <f>IFERROR(__xludf.DUMMYFUNCTION("""COMPUTED_VALUE"""),367.0)</f>
        <v>367</v>
      </c>
      <c r="T318" s="140">
        <f>IFERROR(__xludf.DUMMYFUNCTION("""COMPUTED_VALUE"""),112.0)</f>
        <v>112</v>
      </c>
      <c r="U318" s="136">
        <f>IFERROR(__xludf.DUMMYFUNCTION("""COMPUTED_VALUE"""),44.0)</f>
        <v>44</v>
      </c>
      <c r="V318" s="136">
        <f>IFERROR(__xludf.DUMMYFUNCTION("""COMPUTED_VALUE"""),56.0)</f>
        <v>56</v>
      </c>
      <c r="W318" s="136">
        <f>IFERROR(__xludf.DUMMYFUNCTION("""COMPUTED_VALUE"""),56.0)</f>
        <v>56</v>
      </c>
      <c r="X318" s="136">
        <f>IFERROR(__xludf.DUMMYFUNCTION("""COMPUTED_VALUE"""),331.2307692307692)</f>
        <v>331.2307692</v>
      </c>
      <c r="Y318" s="141">
        <f>IFERROR(__xludf.DUMMYFUNCTION("""COMPUTED_VALUE"""),54.35326923076923)</f>
        <v>54.35326923</v>
      </c>
      <c r="Z318" s="141">
        <f>IFERROR(__xludf.DUMMYFUNCTION("""COMPUTED_VALUE"""),2056.826923076923)</f>
        <v>2056.826923</v>
      </c>
    </row>
    <row r="319">
      <c r="A319" s="41" t="str">
        <f>IFERROR(__xludf.DUMMYFUNCTION("""COMPUTED_VALUE"""),"Elite")</f>
        <v>Elite</v>
      </c>
      <c r="B319" s="41" t="str">
        <f>IFERROR(__xludf.DUMMYFUNCTION("""COMPUTED_VALUE"""),"RSC005754")</f>
        <v>RSC005754</v>
      </c>
      <c r="C319" s="41" t="str">
        <f>IFERROR(__xludf.DUMMYFUNCTION("""COMPUTED_VALUE"""),"Monty.")</f>
        <v>Monty.</v>
      </c>
      <c r="D319" s="41" t="str">
        <f>IFERROR(__xludf.DUMMYFUNCTION("""COMPUTED_VALUE"""),"Ghastly Goombahs")</f>
        <v>Ghastly Goombahs</v>
      </c>
      <c r="E319" s="136">
        <f>IFERROR(__xludf.DUMMYFUNCTION("""COMPUTED_VALUE"""),11.0)</f>
        <v>11</v>
      </c>
      <c r="F319" s="136">
        <f>IFERROR(__xludf.DUMMYFUNCTION("""COMPUTED_VALUE"""),5.0)</f>
        <v>5</v>
      </c>
      <c r="G319" s="136">
        <f>IFERROR(__xludf.DUMMYFUNCTION("""COMPUTED_VALUE"""),6.0)</f>
        <v>6</v>
      </c>
      <c r="H319" s="137">
        <f>IFERROR(__xludf.DUMMYFUNCTION("""COMPUTED_VALUE"""),0.45454545454545453)</f>
        <v>0.4545454545</v>
      </c>
      <c r="I319" s="136">
        <f>IFERROR(__xludf.DUMMYFUNCTION("""COMPUTED_VALUE"""),0.0)</f>
        <v>0</v>
      </c>
      <c r="J319" s="136">
        <f>IFERROR(__xludf.DUMMYFUNCTION("""COMPUTED_VALUE"""),3544.0)</f>
        <v>3544</v>
      </c>
      <c r="K319" s="136">
        <f>IFERROR(__xludf.DUMMYFUNCTION("""COMPUTED_VALUE"""),4.0)</f>
        <v>4</v>
      </c>
      <c r="L319" s="136">
        <f>IFERROR(__xludf.DUMMYFUNCTION("""COMPUTED_VALUE"""),9.0)</f>
        <v>9</v>
      </c>
      <c r="M319" s="136">
        <f>IFERROR(__xludf.DUMMYFUNCTION("""COMPUTED_VALUE"""),16.0)</f>
        <v>16</v>
      </c>
      <c r="N319" s="136">
        <f>IFERROR(__xludf.DUMMYFUNCTION("""COMPUTED_VALUE"""),28.0)</f>
        <v>28</v>
      </c>
      <c r="O319" s="138">
        <f>IFERROR(__xludf.DUMMYFUNCTION("""COMPUTED_VALUE"""),1.0)</f>
        <v>1</v>
      </c>
      <c r="P319" s="138">
        <f>IFERROR(__xludf.DUMMYFUNCTION("""COMPUTED_VALUE"""),0.0)</f>
        <v>0</v>
      </c>
      <c r="Q319" s="138">
        <f>IFERROR(__xludf.DUMMYFUNCTION("""COMPUTED_VALUE"""),1.0)</f>
        <v>1</v>
      </c>
      <c r="R319" s="138">
        <f>IFERROR(__xludf.DUMMYFUNCTION("""COMPUTED_VALUE"""),2.0)</f>
        <v>2</v>
      </c>
      <c r="S319" s="139">
        <f>IFERROR(__xludf.DUMMYFUNCTION("""COMPUTED_VALUE"""),88.0)</f>
        <v>88</v>
      </c>
      <c r="T319" s="140">
        <f>IFERROR(__xludf.DUMMYFUNCTION("""COMPUTED_VALUE"""),24.0)</f>
        <v>24</v>
      </c>
      <c r="U319" s="136">
        <f>IFERROR(__xludf.DUMMYFUNCTION("""COMPUTED_VALUE"""),11.0)</f>
        <v>11</v>
      </c>
      <c r="V319" s="136">
        <f>IFERROR(__xludf.DUMMYFUNCTION("""COMPUTED_VALUE"""),21.0)</f>
        <v>21</v>
      </c>
      <c r="W319" s="136">
        <f>IFERROR(__xludf.DUMMYFUNCTION("""COMPUTED_VALUE"""),7.0)</f>
        <v>7</v>
      </c>
      <c r="X319" s="136">
        <f>IFERROR(__xludf.DUMMYFUNCTION("""COMPUTED_VALUE"""),398.0)</f>
        <v>398</v>
      </c>
      <c r="Y319" s="141">
        <f>IFERROR(__xludf.DUMMYFUNCTION("""COMPUTED_VALUE"""),46.52272727272727)</f>
        <v>46.52272727</v>
      </c>
      <c r="Z319" s="141">
        <f>IFERROR(__xludf.DUMMYFUNCTION("""COMPUTED_VALUE"""),2386.7272727272725)</f>
        <v>2386.727273</v>
      </c>
    </row>
    <row r="320">
      <c r="A320" s="41" t="str">
        <f>IFERROR(__xludf.DUMMYFUNCTION("""COMPUTED_VALUE"""),"Elite")</f>
        <v>Elite</v>
      </c>
      <c r="B320" s="41" t="str">
        <f>IFERROR(__xludf.DUMMYFUNCTION("""COMPUTED_VALUE"""),"RSC005824")</f>
        <v>RSC005824</v>
      </c>
      <c r="C320" s="41" t="str">
        <f>IFERROR(__xludf.DUMMYFUNCTION("""COMPUTED_VALUE"""),"Bolts")</f>
        <v>Bolts</v>
      </c>
      <c r="D320" s="41" t="str">
        <f>IFERROR(__xludf.DUMMYFUNCTION("""COMPUTED_VALUE"""),"Sloths")</f>
        <v>Sloths</v>
      </c>
      <c r="E320" s="136">
        <f>IFERROR(__xludf.DUMMYFUNCTION("""COMPUTED_VALUE"""),3.0)</f>
        <v>3</v>
      </c>
      <c r="F320" s="136">
        <f>IFERROR(__xludf.DUMMYFUNCTION("""COMPUTED_VALUE"""),1.0)</f>
        <v>1</v>
      </c>
      <c r="G320" s="136">
        <f>IFERROR(__xludf.DUMMYFUNCTION("""COMPUTED_VALUE"""),2.0)</f>
        <v>2</v>
      </c>
      <c r="H320" s="137">
        <f>IFERROR(__xludf.DUMMYFUNCTION("""COMPUTED_VALUE"""),0.3333333333333333)</f>
        <v>0.3333333333</v>
      </c>
      <c r="I320" s="136">
        <f>IFERROR(__xludf.DUMMYFUNCTION("""COMPUTED_VALUE"""),0.0)</f>
        <v>0</v>
      </c>
      <c r="J320" s="136">
        <f>IFERROR(__xludf.DUMMYFUNCTION("""COMPUTED_VALUE"""),990.0)</f>
        <v>990</v>
      </c>
      <c r="K320" s="136">
        <f>IFERROR(__xludf.DUMMYFUNCTION("""COMPUTED_VALUE"""),1.0)</f>
        <v>1</v>
      </c>
      <c r="L320" s="136">
        <f>IFERROR(__xludf.DUMMYFUNCTION("""COMPUTED_VALUE"""),4.0)</f>
        <v>4</v>
      </c>
      <c r="M320" s="136">
        <f>IFERROR(__xludf.DUMMYFUNCTION("""COMPUTED_VALUE"""),6.0)</f>
        <v>6</v>
      </c>
      <c r="N320" s="136">
        <f>IFERROR(__xludf.DUMMYFUNCTION("""COMPUTED_VALUE"""),7.0)</f>
        <v>7</v>
      </c>
      <c r="O320" s="138">
        <f>IFERROR(__xludf.DUMMYFUNCTION("""COMPUTED_VALUE"""),1.0)</f>
        <v>1</v>
      </c>
      <c r="P320" s="138">
        <f>IFERROR(__xludf.DUMMYFUNCTION("""COMPUTED_VALUE"""),0.0)</f>
        <v>0</v>
      </c>
      <c r="Q320" s="138">
        <f>IFERROR(__xludf.DUMMYFUNCTION("""COMPUTED_VALUE"""),0.0)</f>
        <v>0</v>
      </c>
      <c r="R320" s="138">
        <f>IFERROR(__xludf.DUMMYFUNCTION("""COMPUTED_VALUE"""),1.0)</f>
        <v>1</v>
      </c>
      <c r="S320" s="139">
        <f>IFERROR(__xludf.DUMMYFUNCTION("""COMPUTED_VALUE"""),28.0)</f>
        <v>28</v>
      </c>
      <c r="T320" s="140">
        <f>IFERROR(__xludf.DUMMYFUNCTION("""COMPUTED_VALUE"""),7.0)</f>
        <v>7</v>
      </c>
      <c r="U320" s="136">
        <f>IFERROR(__xludf.DUMMYFUNCTION("""COMPUTED_VALUE"""),2.0)</f>
        <v>2</v>
      </c>
      <c r="V320" s="136">
        <f>IFERROR(__xludf.DUMMYFUNCTION("""COMPUTED_VALUE"""),7.0)</f>
        <v>7</v>
      </c>
      <c r="W320" s="136">
        <f>IFERROR(__xludf.DUMMYFUNCTION("""COMPUTED_VALUE"""),2.0)</f>
        <v>2</v>
      </c>
      <c r="X320" s="136">
        <f>IFERROR(__xludf.DUMMYFUNCTION("""COMPUTED_VALUE"""),366.0)</f>
        <v>366</v>
      </c>
      <c r="Y320" s="141">
        <f>IFERROR(__xludf.DUMMYFUNCTION("""COMPUTED_VALUE"""),46.84)</f>
        <v>46.84</v>
      </c>
      <c r="Z320" s="141">
        <f>IFERROR(__xludf.DUMMYFUNCTION("""COMPUTED_VALUE"""),2185.0)</f>
        <v>2185</v>
      </c>
    </row>
    <row r="321">
      <c r="A321" s="41" t="str">
        <f>IFERROR(__xludf.DUMMYFUNCTION("""COMPUTED_VALUE"""),"Rival")</f>
        <v>Rival</v>
      </c>
      <c r="B321" s="41" t="str">
        <f>IFERROR(__xludf.DUMMYFUNCTION("""COMPUTED_VALUE"""),"RSC005827")</f>
        <v>RSC005827</v>
      </c>
      <c r="C321" s="41" t="str">
        <f>IFERROR(__xludf.DUMMYFUNCTION("""COMPUTED_VALUE"""),"Machi")</f>
        <v>Machi</v>
      </c>
      <c r="D321" s="41" t="str">
        <f>IFERROR(__xludf.DUMMYFUNCTION("""COMPUTED_VALUE"""),"Ocelots")</f>
        <v>Ocelots</v>
      </c>
      <c r="E321" s="136">
        <f>IFERROR(__xludf.DUMMYFUNCTION("""COMPUTED_VALUE"""),12.0)</f>
        <v>12</v>
      </c>
      <c r="F321" s="136">
        <f>IFERROR(__xludf.DUMMYFUNCTION("""COMPUTED_VALUE"""),4.0)</f>
        <v>4</v>
      </c>
      <c r="G321" s="136">
        <f>IFERROR(__xludf.DUMMYFUNCTION("""COMPUTED_VALUE"""),8.0)</f>
        <v>8</v>
      </c>
      <c r="H321" s="137">
        <f>IFERROR(__xludf.DUMMYFUNCTION("""COMPUTED_VALUE"""),0.3333333333333333)</f>
        <v>0.3333333333</v>
      </c>
      <c r="I321" s="136">
        <f>IFERROR(__xludf.DUMMYFUNCTION("""COMPUTED_VALUE"""),2.0)</f>
        <v>2</v>
      </c>
      <c r="J321" s="136">
        <f>IFERROR(__xludf.DUMMYFUNCTION("""COMPUTED_VALUE"""),4696.0)</f>
        <v>4696</v>
      </c>
      <c r="K321" s="136">
        <f>IFERROR(__xludf.DUMMYFUNCTION("""COMPUTED_VALUE"""),12.0)</f>
        <v>12</v>
      </c>
      <c r="L321" s="136">
        <f>IFERROR(__xludf.DUMMYFUNCTION("""COMPUTED_VALUE"""),5.0)</f>
        <v>5</v>
      </c>
      <c r="M321" s="136">
        <f>IFERROR(__xludf.DUMMYFUNCTION("""COMPUTED_VALUE"""),19.0)</f>
        <v>19</v>
      </c>
      <c r="N321" s="136">
        <f>IFERROR(__xludf.DUMMYFUNCTION("""COMPUTED_VALUE"""),28.0)</f>
        <v>28</v>
      </c>
      <c r="O321" s="138">
        <f>IFERROR(__xludf.DUMMYFUNCTION("""COMPUTED_VALUE"""),4.0)</f>
        <v>4</v>
      </c>
      <c r="P321" s="138">
        <f>IFERROR(__xludf.DUMMYFUNCTION("""COMPUTED_VALUE"""),1.0)</f>
        <v>1</v>
      </c>
      <c r="Q321" s="138">
        <f>IFERROR(__xludf.DUMMYFUNCTION("""COMPUTED_VALUE"""),0.0)</f>
        <v>0</v>
      </c>
      <c r="R321" s="138">
        <f>IFERROR(__xludf.DUMMYFUNCTION("""COMPUTED_VALUE"""),3.0)</f>
        <v>3</v>
      </c>
      <c r="S321" s="139">
        <f>IFERROR(__xludf.DUMMYFUNCTION("""COMPUTED_VALUE"""),108.0)</f>
        <v>108</v>
      </c>
      <c r="T321" s="140">
        <f>IFERROR(__xludf.DUMMYFUNCTION("""COMPUTED_VALUE"""),40.0)</f>
        <v>40</v>
      </c>
      <c r="U321" s="136">
        <f>IFERROR(__xludf.DUMMYFUNCTION("""COMPUTED_VALUE"""),15.0)</f>
        <v>15</v>
      </c>
      <c r="V321" s="136">
        <f>IFERROR(__xludf.DUMMYFUNCTION("""COMPUTED_VALUE"""),12.0)</f>
        <v>12</v>
      </c>
      <c r="W321" s="136">
        <f>IFERROR(__xludf.DUMMYFUNCTION("""COMPUTED_VALUE"""),12.0)</f>
        <v>12</v>
      </c>
      <c r="X321" s="136">
        <f>IFERROR(__xludf.DUMMYFUNCTION("""COMPUTED_VALUE"""),383.0)</f>
        <v>383</v>
      </c>
      <c r="Y321" s="141">
        <f>IFERROR(__xludf.DUMMYFUNCTION("""COMPUTED_VALUE"""),46.0)</f>
        <v>46</v>
      </c>
      <c r="Z321" s="141">
        <f>IFERROR(__xludf.DUMMYFUNCTION("""COMPUTED_VALUE"""),2209.8333333333335)</f>
        <v>2209.833333</v>
      </c>
    </row>
    <row r="322">
      <c r="A322" s="41" t="str">
        <f>IFERROR(__xludf.DUMMYFUNCTION("""COMPUTED_VALUE"""),"Rival")</f>
        <v>Rival</v>
      </c>
      <c r="B322" s="41" t="str">
        <f>IFERROR(__xludf.DUMMYFUNCTION("""COMPUTED_VALUE"""),"RSC005834")</f>
        <v>RSC005834</v>
      </c>
      <c r="C322" s="41" t="str">
        <f>IFERROR(__xludf.DUMMYFUNCTION("""COMPUTED_VALUE"""),"IIIYummyIII")</f>
        <v>IIIYummyIII</v>
      </c>
      <c r="D322" s="41" t="str">
        <f>IFERROR(__xludf.DUMMYFUNCTION("""COMPUTED_VALUE"""),"Hot Wings")</f>
        <v>Hot Wings</v>
      </c>
      <c r="E322" s="136">
        <f>IFERROR(__xludf.DUMMYFUNCTION("""COMPUTED_VALUE"""),54.0)</f>
        <v>54</v>
      </c>
      <c r="F322" s="136">
        <f>IFERROR(__xludf.DUMMYFUNCTION("""COMPUTED_VALUE"""),25.0)</f>
        <v>25</v>
      </c>
      <c r="G322" s="136">
        <f>IFERROR(__xludf.DUMMYFUNCTION("""COMPUTED_VALUE"""),29.0)</f>
        <v>29</v>
      </c>
      <c r="H322" s="137">
        <f>IFERROR(__xludf.DUMMYFUNCTION("""COMPUTED_VALUE"""),0.46296296296296297)</f>
        <v>0.462962963</v>
      </c>
      <c r="I322" s="136">
        <f>IFERROR(__xludf.DUMMYFUNCTION("""COMPUTED_VALUE"""),14.0)</f>
        <v>14</v>
      </c>
      <c r="J322" s="136">
        <f>IFERROR(__xludf.DUMMYFUNCTION("""COMPUTED_VALUE"""),21613.0)</f>
        <v>21613</v>
      </c>
      <c r="K322" s="136">
        <f>IFERROR(__xludf.DUMMYFUNCTION("""COMPUTED_VALUE"""),56.0)</f>
        <v>56</v>
      </c>
      <c r="L322" s="136">
        <f>IFERROR(__xludf.DUMMYFUNCTION("""COMPUTED_VALUE"""),30.0)</f>
        <v>30</v>
      </c>
      <c r="M322" s="136">
        <f>IFERROR(__xludf.DUMMYFUNCTION("""COMPUTED_VALUE"""),80.0)</f>
        <v>80</v>
      </c>
      <c r="N322" s="136">
        <f>IFERROR(__xludf.DUMMYFUNCTION("""COMPUTED_VALUE"""),147.0)</f>
        <v>147</v>
      </c>
      <c r="O322" s="138">
        <f>IFERROR(__xludf.DUMMYFUNCTION("""COMPUTED_VALUE"""),15.0)</f>
        <v>15</v>
      </c>
      <c r="P322" s="138">
        <f>IFERROR(__xludf.DUMMYFUNCTION("""COMPUTED_VALUE"""),4.0)</f>
        <v>4</v>
      </c>
      <c r="Q322" s="138">
        <f>IFERROR(__xludf.DUMMYFUNCTION("""COMPUTED_VALUE"""),2.0)</f>
        <v>2</v>
      </c>
      <c r="R322" s="138">
        <f>IFERROR(__xludf.DUMMYFUNCTION("""COMPUTED_VALUE"""),9.0)</f>
        <v>9</v>
      </c>
      <c r="S322" s="139">
        <f>IFERROR(__xludf.DUMMYFUNCTION("""COMPUTED_VALUE"""),410.0)</f>
        <v>410</v>
      </c>
      <c r="T322" s="140">
        <f>IFERROR(__xludf.DUMMYFUNCTION("""COMPUTED_VALUE"""),146.0)</f>
        <v>146</v>
      </c>
      <c r="U322" s="136">
        <f>IFERROR(__xludf.DUMMYFUNCTION("""COMPUTED_VALUE"""),58.0)</f>
        <v>58</v>
      </c>
      <c r="V322" s="136">
        <f>IFERROR(__xludf.DUMMYFUNCTION("""COMPUTED_VALUE"""),48.0)</f>
        <v>48</v>
      </c>
      <c r="W322" s="136">
        <f>IFERROR(__xludf.DUMMYFUNCTION("""COMPUTED_VALUE"""),53.0)</f>
        <v>53</v>
      </c>
      <c r="X322" s="136">
        <f>IFERROR(__xludf.DUMMYFUNCTION("""COMPUTED_VALUE"""),368.1666666666667)</f>
        <v>368.1666667</v>
      </c>
      <c r="Y322" s="141">
        <f>IFERROR(__xludf.DUMMYFUNCTION("""COMPUTED_VALUE"""),52.68222222222221)</f>
        <v>52.68222222</v>
      </c>
      <c r="Z322" s="141">
        <f>IFERROR(__xludf.DUMMYFUNCTION("""COMPUTED_VALUE"""),2277.314814814815)</f>
        <v>2277.314815</v>
      </c>
    </row>
    <row r="323">
      <c r="A323" s="41" t="str">
        <f>IFERROR(__xludf.DUMMYFUNCTION("""COMPUTED_VALUE"""),"Challenger")</f>
        <v>Challenger</v>
      </c>
      <c r="B323" s="41" t="str">
        <f>IFERROR(__xludf.DUMMYFUNCTION("""COMPUTED_VALUE"""),"RSC005859")</f>
        <v>RSC005859</v>
      </c>
      <c r="C323" s="41" t="str">
        <f>IFERROR(__xludf.DUMMYFUNCTION("""COMPUTED_VALUE"""),"LedTasso")</f>
        <v>LedTasso</v>
      </c>
      <c r="D323" s="41" t="str">
        <f>IFERROR(__xludf.DUMMYFUNCTION("""COMPUTED_VALUE"""),"Apple Associates")</f>
        <v>Apple Associates</v>
      </c>
      <c r="E323" s="136">
        <f>IFERROR(__xludf.DUMMYFUNCTION("""COMPUTED_VALUE"""),56.0)</f>
        <v>56</v>
      </c>
      <c r="F323" s="136">
        <f>IFERROR(__xludf.DUMMYFUNCTION("""COMPUTED_VALUE"""),33.0)</f>
        <v>33</v>
      </c>
      <c r="G323" s="136">
        <f>IFERROR(__xludf.DUMMYFUNCTION("""COMPUTED_VALUE"""),23.0)</f>
        <v>23</v>
      </c>
      <c r="H323" s="137">
        <f>IFERROR(__xludf.DUMMYFUNCTION("""COMPUTED_VALUE"""),0.5892857142857143)</f>
        <v>0.5892857143</v>
      </c>
      <c r="I323" s="136">
        <f>IFERROR(__xludf.DUMMYFUNCTION("""COMPUTED_VALUE"""),5.0)</f>
        <v>5</v>
      </c>
      <c r="J323" s="136">
        <f>IFERROR(__xludf.DUMMYFUNCTION("""COMPUTED_VALUE"""),18707.0)</f>
        <v>18707</v>
      </c>
      <c r="K323" s="136">
        <f>IFERROR(__xludf.DUMMYFUNCTION("""COMPUTED_VALUE"""),47.0)</f>
        <v>47</v>
      </c>
      <c r="L323" s="136">
        <f>IFERROR(__xludf.DUMMYFUNCTION("""COMPUTED_VALUE"""),36.0)</f>
        <v>36</v>
      </c>
      <c r="M323" s="136">
        <f>IFERROR(__xludf.DUMMYFUNCTION("""COMPUTED_VALUE"""),55.0)</f>
        <v>55</v>
      </c>
      <c r="N323" s="136">
        <f>IFERROR(__xludf.DUMMYFUNCTION("""COMPUTED_VALUE"""),139.0)</f>
        <v>139</v>
      </c>
      <c r="O323" s="138">
        <f>IFERROR(__xludf.DUMMYFUNCTION("""COMPUTED_VALUE"""),13.0)</f>
        <v>13</v>
      </c>
      <c r="P323" s="138">
        <f>IFERROR(__xludf.DUMMYFUNCTION("""COMPUTED_VALUE"""),4.0)</f>
        <v>4</v>
      </c>
      <c r="Q323" s="138">
        <f>IFERROR(__xludf.DUMMYFUNCTION("""COMPUTED_VALUE"""),1.0)</f>
        <v>1</v>
      </c>
      <c r="R323" s="138">
        <f>IFERROR(__xludf.DUMMYFUNCTION("""COMPUTED_VALUE"""),2.0)</f>
        <v>2</v>
      </c>
      <c r="S323" s="139">
        <f>IFERROR(__xludf.DUMMYFUNCTION("""COMPUTED_VALUE"""),401.0)</f>
        <v>401</v>
      </c>
      <c r="T323" s="140">
        <f>IFERROR(__xludf.DUMMYFUNCTION("""COMPUTED_VALUE"""),131.0)</f>
        <v>131</v>
      </c>
      <c r="U323" s="136">
        <f>IFERROR(__xludf.DUMMYFUNCTION("""COMPUTED_VALUE"""),49.0)</f>
        <v>49</v>
      </c>
      <c r="V323" s="136">
        <f>IFERROR(__xludf.DUMMYFUNCTION("""COMPUTED_VALUE"""),78.0)</f>
        <v>78</v>
      </c>
      <c r="W323" s="136">
        <f>IFERROR(__xludf.DUMMYFUNCTION("""COMPUTED_VALUE"""),48.0)</f>
        <v>48</v>
      </c>
      <c r="X323" s="136">
        <f>IFERROR(__xludf.DUMMYFUNCTION("""COMPUTED_VALUE"""),328.10714285714283)</f>
        <v>328.1071429</v>
      </c>
      <c r="Y323" s="141">
        <f>IFERROR(__xludf.DUMMYFUNCTION("""COMPUTED_VALUE"""),47.97035714285715)</f>
        <v>47.97035714</v>
      </c>
      <c r="Z323" s="141">
        <f>IFERROR(__xludf.DUMMYFUNCTION("""COMPUTED_VALUE"""),1970.8392857142858)</f>
        <v>1970.839286</v>
      </c>
    </row>
    <row r="324">
      <c r="A324" s="41" t="str">
        <f>IFERROR(__xludf.DUMMYFUNCTION("""COMPUTED_VALUE"""),"Prospect")</f>
        <v>Prospect</v>
      </c>
      <c r="B324" s="41" t="str">
        <f>IFERROR(__xludf.DUMMYFUNCTION("""COMPUTED_VALUE"""),"RSC005870")</f>
        <v>RSC005870</v>
      </c>
      <c r="C324" s="41" t="str">
        <f>IFERROR(__xludf.DUMMYFUNCTION("""COMPUTED_VALUE"""),"Evil twin")</f>
        <v>Evil twin</v>
      </c>
      <c r="D324" s="41" t="str">
        <f>IFERROR(__xludf.DUMMYFUNCTION("""COMPUTED_VALUE"""),"Tanuki")</f>
        <v>Tanuki</v>
      </c>
      <c r="E324" s="136">
        <f>IFERROR(__xludf.DUMMYFUNCTION("""COMPUTED_VALUE"""),20.0)</f>
        <v>20</v>
      </c>
      <c r="F324" s="136">
        <f>IFERROR(__xludf.DUMMYFUNCTION("""COMPUTED_VALUE"""),5.0)</f>
        <v>5</v>
      </c>
      <c r="G324" s="136">
        <f>IFERROR(__xludf.DUMMYFUNCTION("""COMPUTED_VALUE"""),15.0)</f>
        <v>15</v>
      </c>
      <c r="H324" s="137">
        <f>IFERROR(__xludf.DUMMYFUNCTION("""COMPUTED_VALUE"""),0.25)</f>
        <v>0.25</v>
      </c>
      <c r="I324" s="136">
        <f>IFERROR(__xludf.DUMMYFUNCTION("""COMPUTED_VALUE"""),2.0)</f>
        <v>2</v>
      </c>
      <c r="J324" s="136">
        <f>IFERROR(__xludf.DUMMYFUNCTION("""COMPUTED_VALUE"""),5836.0)</f>
        <v>5836</v>
      </c>
      <c r="K324" s="136">
        <f>IFERROR(__xludf.DUMMYFUNCTION("""COMPUTED_VALUE"""),9.0)</f>
        <v>9</v>
      </c>
      <c r="L324" s="136">
        <f>IFERROR(__xludf.DUMMYFUNCTION("""COMPUTED_VALUE"""),8.0)</f>
        <v>8</v>
      </c>
      <c r="M324" s="136">
        <f>IFERROR(__xludf.DUMMYFUNCTION("""COMPUTED_VALUE"""),27.0)</f>
        <v>27</v>
      </c>
      <c r="N324" s="136">
        <f>IFERROR(__xludf.DUMMYFUNCTION("""COMPUTED_VALUE"""),35.0)</f>
        <v>35</v>
      </c>
      <c r="O324" s="138">
        <f>IFERROR(__xludf.DUMMYFUNCTION("""COMPUTED_VALUE"""),2.0)</f>
        <v>2</v>
      </c>
      <c r="P324" s="138">
        <f>IFERROR(__xludf.DUMMYFUNCTION("""COMPUTED_VALUE"""),0.0)</f>
        <v>0</v>
      </c>
      <c r="Q324" s="138">
        <f>IFERROR(__xludf.DUMMYFUNCTION("""COMPUTED_VALUE"""),0.0)</f>
        <v>0</v>
      </c>
      <c r="R324" s="138">
        <f>IFERROR(__xludf.DUMMYFUNCTION("""COMPUTED_VALUE"""),5.0)</f>
        <v>5</v>
      </c>
      <c r="S324" s="139">
        <f>IFERROR(__xludf.DUMMYFUNCTION("""COMPUTED_VALUE"""),155.0)</f>
        <v>155</v>
      </c>
      <c r="T324" s="140">
        <f>IFERROR(__xludf.DUMMYFUNCTION("""COMPUTED_VALUE"""),51.0)</f>
        <v>51</v>
      </c>
      <c r="U324" s="136">
        <f>IFERROR(__xludf.DUMMYFUNCTION("""COMPUTED_VALUE"""),15.0)</f>
        <v>15</v>
      </c>
      <c r="V324" s="136">
        <f>IFERROR(__xludf.DUMMYFUNCTION("""COMPUTED_VALUE"""),16.0)</f>
        <v>16</v>
      </c>
      <c r="W324" s="136">
        <f>IFERROR(__xludf.DUMMYFUNCTION("""COMPUTED_VALUE"""),23.0)</f>
        <v>23</v>
      </c>
      <c r="X324" s="136">
        <f>IFERROR(__xludf.DUMMYFUNCTION("""COMPUTED_VALUE"""),289.4)</f>
        <v>289.4</v>
      </c>
      <c r="Y324" s="141">
        <f>IFERROR(__xludf.DUMMYFUNCTION("""COMPUTED_VALUE"""),54.544500000000006)</f>
        <v>54.5445</v>
      </c>
      <c r="Z324" s="141">
        <f>IFERROR(__xludf.DUMMYFUNCTION("""COMPUTED_VALUE"""),1799.75)</f>
        <v>1799.75</v>
      </c>
    </row>
    <row r="325">
      <c r="A325" s="41" t="str">
        <f>IFERROR(__xludf.DUMMYFUNCTION("""COMPUTED_VALUE"""),"Elite")</f>
        <v>Elite</v>
      </c>
      <c r="B325" s="41" t="str">
        <f>IFERROR(__xludf.DUMMYFUNCTION("""COMPUTED_VALUE"""),"RSC005872")</f>
        <v>RSC005872</v>
      </c>
      <c r="C325" s="41" t="str">
        <f>IFERROR(__xludf.DUMMYFUNCTION("""COMPUTED_VALUE"""),"Ditto")</f>
        <v>Ditto</v>
      </c>
      <c r="D325" s="41" t="str">
        <f>IFERROR(__xludf.DUMMYFUNCTION("""COMPUTED_VALUE"""),"Dik-diks")</f>
        <v>Dik-diks</v>
      </c>
      <c r="E325" s="136">
        <f>IFERROR(__xludf.DUMMYFUNCTION("""COMPUTED_VALUE"""),51.0)</f>
        <v>51</v>
      </c>
      <c r="F325" s="136">
        <f>IFERROR(__xludf.DUMMYFUNCTION("""COMPUTED_VALUE"""),23.0)</f>
        <v>23</v>
      </c>
      <c r="G325" s="136">
        <f>IFERROR(__xludf.DUMMYFUNCTION("""COMPUTED_VALUE"""),28.0)</f>
        <v>28</v>
      </c>
      <c r="H325" s="137">
        <f>IFERROR(__xludf.DUMMYFUNCTION("""COMPUTED_VALUE"""),0.45098039215686275)</f>
        <v>0.4509803922</v>
      </c>
      <c r="I325" s="136">
        <f>IFERROR(__xludf.DUMMYFUNCTION("""COMPUTED_VALUE"""),8.0)</f>
        <v>8</v>
      </c>
      <c r="J325" s="136">
        <f>IFERROR(__xludf.DUMMYFUNCTION("""COMPUTED_VALUE"""),20834.0)</f>
        <v>20834</v>
      </c>
      <c r="K325" s="136">
        <f>IFERROR(__xludf.DUMMYFUNCTION("""COMPUTED_VALUE"""),55.0)</f>
        <v>55</v>
      </c>
      <c r="L325" s="136">
        <f>IFERROR(__xludf.DUMMYFUNCTION("""COMPUTED_VALUE"""),29.0)</f>
        <v>29</v>
      </c>
      <c r="M325" s="136">
        <f>IFERROR(__xludf.DUMMYFUNCTION("""COMPUTED_VALUE"""),79.0)</f>
        <v>79</v>
      </c>
      <c r="N325" s="136">
        <f>IFERROR(__xludf.DUMMYFUNCTION("""COMPUTED_VALUE"""),148.0)</f>
        <v>148</v>
      </c>
      <c r="O325" s="138">
        <f>IFERROR(__xludf.DUMMYFUNCTION("""COMPUTED_VALUE"""),12.0)</f>
        <v>12</v>
      </c>
      <c r="P325" s="138">
        <f>IFERROR(__xludf.DUMMYFUNCTION("""COMPUTED_VALUE"""),3.0)</f>
        <v>3</v>
      </c>
      <c r="Q325" s="138">
        <f>IFERROR(__xludf.DUMMYFUNCTION("""COMPUTED_VALUE"""),1.0)</f>
        <v>1</v>
      </c>
      <c r="R325" s="138">
        <f>IFERROR(__xludf.DUMMYFUNCTION("""COMPUTED_VALUE"""),13.0)</f>
        <v>13</v>
      </c>
      <c r="S325" s="139">
        <f>IFERROR(__xludf.DUMMYFUNCTION("""COMPUTED_VALUE"""),446.0)</f>
        <v>446</v>
      </c>
      <c r="T325" s="140">
        <f>IFERROR(__xludf.DUMMYFUNCTION("""COMPUTED_VALUE"""),138.0)</f>
        <v>138</v>
      </c>
      <c r="U325" s="136">
        <f>IFERROR(__xludf.DUMMYFUNCTION("""COMPUTED_VALUE"""),49.0)</f>
        <v>49</v>
      </c>
      <c r="V325" s="136">
        <f>IFERROR(__xludf.DUMMYFUNCTION("""COMPUTED_VALUE"""),47.0)</f>
        <v>47</v>
      </c>
      <c r="W325" s="136">
        <f>IFERROR(__xludf.DUMMYFUNCTION("""COMPUTED_VALUE"""),50.0)</f>
        <v>50</v>
      </c>
      <c r="X325" s="136">
        <f>IFERROR(__xludf.DUMMYFUNCTION("""COMPUTED_VALUE"""),410.2549019607843)</f>
        <v>410.254902</v>
      </c>
      <c r="Y325" s="141">
        <f>IFERROR(__xludf.DUMMYFUNCTION("""COMPUTED_VALUE"""),49.67627450980392)</f>
        <v>49.67627451</v>
      </c>
      <c r="Z325" s="141">
        <f>IFERROR(__xludf.DUMMYFUNCTION("""COMPUTED_VALUE"""),2463.372549019608)</f>
        <v>2463.372549</v>
      </c>
    </row>
    <row r="326">
      <c r="A326" s="41" t="str">
        <f>IFERROR(__xludf.DUMMYFUNCTION("""COMPUTED_VALUE"""),"Rival")</f>
        <v>Rival</v>
      </c>
      <c r="B326" s="41" t="str">
        <f>IFERROR(__xludf.DUMMYFUNCTION("""COMPUTED_VALUE"""),"RSC005873")</f>
        <v>RSC005873</v>
      </c>
      <c r="C326" s="41" t="str">
        <f>IFERROR(__xludf.DUMMYFUNCTION("""COMPUTED_VALUE"""),"Gama The Dwarf")</f>
        <v>Gama The Dwarf</v>
      </c>
      <c r="D326" s="41" t="str">
        <f>IFERROR(__xludf.DUMMYFUNCTION("""COMPUTED_VALUE"""),"Mining Legion")</f>
        <v>Mining Legion</v>
      </c>
      <c r="E326" s="136">
        <f>IFERROR(__xludf.DUMMYFUNCTION("""COMPUTED_VALUE"""),56.0)</f>
        <v>56</v>
      </c>
      <c r="F326" s="136">
        <f>IFERROR(__xludf.DUMMYFUNCTION("""COMPUTED_VALUE"""),35.0)</f>
        <v>35</v>
      </c>
      <c r="G326" s="136">
        <f>IFERROR(__xludf.DUMMYFUNCTION("""COMPUTED_VALUE"""),21.0)</f>
        <v>21</v>
      </c>
      <c r="H326" s="137">
        <f>IFERROR(__xludf.DUMMYFUNCTION("""COMPUTED_VALUE"""),0.625)</f>
        <v>0.625</v>
      </c>
      <c r="I326" s="136">
        <f>IFERROR(__xludf.DUMMYFUNCTION("""COMPUTED_VALUE"""),16.0)</f>
        <v>16</v>
      </c>
      <c r="J326" s="136">
        <f>IFERROR(__xludf.DUMMYFUNCTION("""COMPUTED_VALUE"""),20970.0)</f>
        <v>20970</v>
      </c>
      <c r="K326" s="136">
        <f>IFERROR(__xludf.DUMMYFUNCTION("""COMPUTED_VALUE"""),55.0)</f>
        <v>55</v>
      </c>
      <c r="L326" s="136">
        <f>IFERROR(__xludf.DUMMYFUNCTION("""COMPUTED_VALUE"""),30.0)</f>
        <v>30</v>
      </c>
      <c r="M326" s="136">
        <f>IFERROR(__xludf.DUMMYFUNCTION("""COMPUTED_VALUE"""),66.0)</f>
        <v>66</v>
      </c>
      <c r="N326" s="136">
        <f>IFERROR(__xludf.DUMMYFUNCTION("""COMPUTED_VALUE"""),174.0)</f>
        <v>174</v>
      </c>
      <c r="O326" s="138">
        <f>IFERROR(__xludf.DUMMYFUNCTION("""COMPUTED_VALUE"""),8.0)</f>
        <v>8</v>
      </c>
      <c r="P326" s="138">
        <f>IFERROR(__xludf.DUMMYFUNCTION("""COMPUTED_VALUE"""),4.0)</f>
        <v>4</v>
      </c>
      <c r="Q326" s="138">
        <f>IFERROR(__xludf.DUMMYFUNCTION("""COMPUTED_VALUE"""),0.0)</f>
        <v>0</v>
      </c>
      <c r="R326" s="138">
        <f>IFERROR(__xludf.DUMMYFUNCTION("""COMPUTED_VALUE"""),6.0)</f>
        <v>6</v>
      </c>
      <c r="S326" s="139">
        <f>IFERROR(__xludf.DUMMYFUNCTION("""COMPUTED_VALUE"""),368.0)</f>
        <v>368</v>
      </c>
      <c r="T326" s="140">
        <f>IFERROR(__xludf.DUMMYFUNCTION("""COMPUTED_VALUE"""),97.0)</f>
        <v>97</v>
      </c>
      <c r="U326" s="136">
        <f>IFERROR(__xludf.DUMMYFUNCTION("""COMPUTED_VALUE"""),32.0)</f>
        <v>32</v>
      </c>
      <c r="V326" s="136">
        <f>IFERROR(__xludf.DUMMYFUNCTION("""COMPUTED_VALUE"""),54.0)</f>
        <v>54</v>
      </c>
      <c r="W326" s="136">
        <f>IFERROR(__xludf.DUMMYFUNCTION("""COMPUTED_VALUE"""),57.0)</f>
        <v>57</v>
      </c>
      <c r="X326" s="136">
        <f>IFERROR(__xludf.DUMMYFUNCTION("""COMPUTED_VALUE"""),383.42857142857144)</f>
        <v>383.4285714</v>
      </c>
      <c r="Y326" s="141">
        <f>IFERROR(__xludf.DUMMYFUNCTION("""COMPUTED_VALUE"""),48.251249999999985)</f>
        <v>48.25125</v>
      </c>
      <c r="Z326" s="141">
        <f>IFERROR(__xludf.DUMMYFUNCTION("""COMPUTED_VALUE"""),2220.9464285714284)</f>
        <v>2220.946429</v>
      </c>
    </row>
    <row r="327">
      <c r="A327" s="41" t="str">
        <f>IFERROR(__xludf.DUMMYFUNCTION("""COMPUTED_VALUE"""),"Challenger")</f>
        <v>Challenger</v>
      </c>
      <c r="B327" s="41" t="str">
        <f>IFERROR(__xludf.DUMMYFUNCTION("""COMPUTED_VALUE"""),"RSC005884")</f>
        <v>RSC005884</v>
      </c>
      <c r="C327" s="41" t="str">
        <f>IFERROR(__xludf.DUMMYFUNCTION("""COMPUTED_VALUE"""),"Zachthebull36")</f>
        <v>Zachthebull36</v>
      </c>
      <c r="D327" s="41" t="str">
        <f>IFERROR(__xludf.DUMMYFUNCTION("""COMPUTED_VALUE"""),"Scribes")</f>
        <v>Scribes</v>
      </c>
      <c r="E327" s="136">
        <f>IFERROR(__xludf.DUMMYFUNCTION("""COMPUTED_VALUE"""),40.0)</f>
        <v>40</v>
      </c>
      <c r="F327" s="136">
        <f>IFERROR(__xludf.DUMMYFUNCTION("""COMPUTED_VALUE"""),19.0)</f>
        <v>19</v>
      </c>
      <c r="G327" s="136">
        <f>IFERROR(__xludf.DUMMYFUNCTION("""COMPUTED_VALUE"""),21.0)</f>
        <v>21</v>
      </c>
      <c r="H327" s="137">
        <f>IFERROR(__xludf.DUMMYFUNCTION("""COMPUTED_VALUE"""),0.475)</f>
        <v>0.475</v>
      </c>
      <c r="I327" s="136">
        <f>IFERROR(__xludf.DUMMYFUNCTION("""COMPUTED_VALUE"""),3.0)</f>
        <v>3</v>
      </c>
      <c r="J327" s="136">
        <f>IFERROR(__xludf.DUMMYFUNCTION("""COMPUTED_VALUE"""),12455.0)</f>
        <v>12455</v>
      </c>
      <c r="K327" s="136">
        <f>IFERROR(__xludf.DUMMYFUNCTION("""COMPUTED_VALUE"""),25.0)</f>
        <v>25</v>
      </c>
      <c r="L327" s="136">
        <f>IFERROR(__xludf.DUMMYFUNCTION("""COMPUTED_VALUE"""),19.0)</f>
        <v>19</v>
      </c>
      <c r="M327" s="136">
        <f>IFERROR(__xludf.DUMMYFUNCTION("""COMPUTED_VALUE"""),47.0)</f>
        <v>47</v>
      </c>
      <c r="N327" s="136">
        <f>IFERROR(__xludf.DUMMYFUNCTION("""COMPUTED_VALUE"""),88.0)</f>
        <v>88</v>
      </c>
      <c r="O327" s="138">
        <f>IFERROR(__xludf.DUMMYFUNCTION("""COMPUTED_VALUE"""),3.0)</f>
        <v>3</v>
      </c>
      <c r="P327" s="138">
        <f>IFERROR(__xludf.DUMMYFUNCTION("""COMPUTED_VALUE"""),0.0)</f>
        <v>0</v>
      </c>
      <c r="Q327" s="138">
        <f>IFERROR(__xludf.DUMMYFUNCTION("""COMPUTED_VALUE"""),1.0)</f>
        <v>1</v>
      </c>
      <c r="R327" s="138">
        <f>IFERROR(__xludf.DUMMYFUNCTION("""COMPUTED_VALUE"""),5.0)</f>
        <v>5</v>
      </c>
      <c r="S327" s="139">
        <f>IFERROR(__xludf.DUMMYFUNCTION("""COMPUTED_VALUE"""),304.0)</f>
        <v>304</v>
      </c>
      <c r="T327" s="140">
        <f>IFERROR(__xludf.DUMMYFUNCTION("""COMPUTED_VALUE"""),105.0)</f>
        <v>105</v>
      </c>
      <c r="U327" s="136">
        <f>IFERROR(__xludf.DUMMYFUNCTION("""COMPUTED_VALUE"""),31.0)</f>
        <v>31</v>
      </c>
      <c r="V327" s="136">
        <f>IFERROR(__xludf.DUMMYFUNCTION("""COMPUTED_VALUE"""),29.0)</f>
        <v>29</v>
      </c>
      <c r="W327" s="136">
        <f>IFERROR(__xludf.DUMMYFUNCTION("""COMPUTED_VALUE"""),28.0)</f>
        <v>28</v>
      </c>
      <c r="X327" s="136">
        <f>IFERROR(__xludf.DUMMYFUNCTION("""COMPUTED_VALUE"""),311.75)</f>
        <v>311.75</v>
      </c>
      <c r="Y327" s="141">
        <f>IFERROR(__xludf.DUMMYFUNCTION("""COMPUTED_VALUE"""),48.26424999999999)</f>
        <v>48.26425</v>
      </c>
      <c r="Z327" s="141">
        <f>IFERROR(__xludf.DUMMYFUNCTION("""COMPUTED_VALUE"""),1905.35)</f>
        <v>1905.35</v>
      </c>
    </row>
    <row r="328">
      <c r="A328" s="41" t="str">
        <f>IFERROR(__xludf.DUMMYFUNCTION("""COMPUTED_VALUE"""),"Rival")</f>
        <v>Rival</v>
      </c>
      <c r="B328" s="41" t="str">
        <f>IFERROR(__xludf.DUMMYFUNCTION("""COMPUTED_VALUE"""),"RSC005885")</f>
        <v>RSC005885</v>
      </c>
      <c r="C328" s="41" t="str">
        <f>IFERROR(__xludf.DUMMYFUNCTION("""COMPUTED_VALUE"""),"noot")</f>
        <v>noot</v>
      </c>
      <c r="D328" s="41" t="str">
        <f>IFERROR(__xludf.DUMMYFUNCTION("""COMPUTED_VALUE"""),"Quasars")</f>
        <v>Quasars</v>
      </c>
      <c r="E328" s="136">
        <f>IFERROR(__xludf.DUMMYFUNCTION("""COMPUTED_VALUE"""),52.0)</f>
        <v>52</v>
      </c>
      <c r="F328" s="136">
        <f>IFERROR(__xludf.DUMMYFUNCTION("""COMPUTED_VALUE"""),25.0)</f>
        <v>25</v>
      </c>
      <c r="G328" s="136">
        <f>IFERROR(__xludf.DUMMYFUNCTION("""COMPUTED_VALUE"""),27.0)</f>
        <v>27</v>
      </c>
      <c r="H328" s="137">
        <f>IFERROR(__xludf.DUMMYFUNCTION("""COMPUTED_VALUE"""),0.4807692307692308)</f>
        <v>0.4807692308</v>
      </c>
      <c r="I328" s="136">
        <f>IFERROR(__xludf.DUMMYFUNCTION("""COMPUTED_VALUE"""),10.0)</f>
        <v>10</v>
      </c>
      <c r="J328" s="136">
        <f>IFERROR(__xludf.DUMMYFUNCTION("""COMPUTED_VALUE"""),19524.0)</f>
        <v>19524</v>
      </c>
      <c r="K328" s="136">
        <f>IFERROR(__xludf.DUMMYFUNCTION("""COMPUTED_VALUE"""),42.0)</f>
        <v>42</v>
      </c>
      <c r="L328" s="136">
        <f>IFERROR(__xludf.DUMMYFUNCTION("""COMPUTED_VALUE"""),31.0)</f>
        <v>31</v>
      </c>
      <c r="M328" s="136">
        <f>IFERROR(__xludf.DUMMYFUNCTION("""COMPUTED_VALUE"""),78.0)</f>
        <v>78</v>
      </c>
      <c r="N328" s="136">
        <f>IFERROR(__xludf.DUMMYFUNCTION("""COMPUTED_VALUE"""),118.0)</f>
        <v>118</v>
      </c>
      <c r="O328" s="138">
        <f>IFERROR(__xludf.DUMMYFUNCTION("""COMPUTED_VALUE"""),11.0)</f>
        <v>11</v>
      </c>
      <c r="P328" s="138">
        <f>IFERROR(__xludf.DUMMYFUNCTION("""COMPUTED_VALUE"""),1.0)</f>
        <v>1</v>
      </c>
      <c r="Q328" s="138">
        <f>IFERROR(__xludf.DUMMYFUNCTION("""COMPUTED_VALUE"""),0.0)</f>
        <v>0</v>
      </c>
      <c r="R328" s="138">
        <f>IFERROR(__xludf.DUMMYFUNCTION("""COMPUTED_VALUE"""),11.0)</f>
        <v>11</v>
      </c>
      <c r="S328" s="139">
        <f>IFERROR(__xludf.DUMMYFUNCTION("""COMPUTED_VALUE"""),390.0)</f>
        <v>390</v>
      </c>
      <c r="T328" s="140">
        <f>IFERROR(__xludf.DUMMYFUNCTION("""COMPUTED_VALUE"""),116.0)</f>
        <v>116</v>
      </c>
      <c r="U328" s="136">
        <f>IFERROR(__xludf.DUMMYFUNCTION("""COMPUTED_VALUE"""),41.0)</f>
        <v>41</v>
      </c>
      <c r="V328" s="136">
        <f>IFERROR(__xludf.DUMMYFUNCTION("""COMPUTED_VALUE"""),46.0)</f>
        <v>46</v>
      </c>
      <c r="W328" s="136">
        <f>IFERROR(__xludf.DUMMYFUNCTION("""COMPUTED_VALUE"""),47.0)</f>
        <v>47</v>
      </c>
      <c r="X328" s="136">
        <f>IFERROR(__xludf.DUMMYFUNCTION("""COMPUTED_VALUE"""),387.1923076923077)</f>
        <v>387.1923077</v>
      </c>
      <c r="Y328" s="141">
        <f>IFERROR(__xludf.DUMMYFUNCTION("""COMPUTED_VALUE"""),50.751153846153855)</f>
        <v>50.75115385</v>
      </c>
      <c r="Z328" s="141">
        <f>IFERROR(__xludf.DUMMYFUNCTION("""COMPUTED_VALUE"""),2388.4615384615386)</f>
        <v>2388.461538</v>
      </c>
    </row>
    <row r="329">
      <c r="A329" s="41" t="str">
        <f>IFERROR(__xludf.DUMMYFUNCTION("""COMPUTED_VALUE"""),"Master")</f>
        <v>Master</v>
      </c>
      <c r="B329" s="41" t="str">
        <f>IFERROR(__xludf.DUMMYFUNCTION("""COMPUTED_VALUE"""),"RSC005899")</f>
        <v>RSC005899</v>
      </c>
      <c r="C329" s="41" t="str">
        <f>IFERROR(__xludf.DUMMYFUNCTION("""COMPUTED_VALUE"""),"DJDancingDuckGif")</f>
        <v>DJDancingDuckGif</v>
      </c>
      <c r="D329" s="41" t="str">
        <f>IFERROR(__xludf.DUMMYFUNCTION("""COMPUTED_VALUE"""),"Battle Masters
Kawaii")</f>
        <v>Battle Masters
Kawaii</v>
      </c>
      <c r="E329" s="136">
        <f>IFERROR(__xludf.DUMMYFUNCTION("""COMPUTED_VALUE"""),44.0)</f>
        <v>44</v>
      </c>
      <c r="F329" s="136">
        <f>IFERROR(__xludf.DUMMYFUNCTION("""COMPUTED_VALUE"""),21.0)</f>
        <v>21</v>
      </c>
      <c r="G329" s="136">
        <f>IFERROR(__xludf.DUMMYFUNCTION("""COMPUTED_VALUE"""),23.0)</f>
        <v>23</v>
      </c>
      <c r="H329" s="137">
        <f>IFERROR(__xludf.DUMMYFUNCTION("""COMPUTED_VALUE"""),0.4772727272727273)</f>
        <v>0.4772727273</v>
      </c>
      <c r="I329" s="136">
        <f>IFERROR(__xludf.DUMMYFUNCTION("""COMPUTED_VALUE"""),6.0)</f>
        <v>6</v>
      </c>
      <c r="J329" s="136">
        <f>IFERROR(__xludf.DUMMYFUNCTION("""COMPUTED_VALUE"""),15443.0)</f>
        <v>15443</v>
      </c>
      <c r="K329" s="136">
        <f>IFERROR(__xludf.DUMMYFUNCTION("""COMPUTED_VALUE"""),23.0)</f>
        <v>23</v>
      </c>
      <c r="L329" s="136">
        <f>IFERROR(__xludf.DUMMYFUNCTION("""COMPUTED_VALUE"""),27.0)</f>
        <v>27</v>
      </c>
      <c r="M329" s="136">
        <f>IFERROR(__xludf.DUMMYFUNCTION("""COMPUTED_VALUE"""),74.0)</f>
        <v>74</v>
      </c>
      <c r="N329" s="136">
        <f>IFERROR(__xludf.DUMMYFUNCTION("""COMPUTED_VALUE"""),92.0)</f>
        <v>92</v>
      </c>
      <c r="O329" s="138">
        <f>IFERROR(__xludf.DUMMYFUNCTION("""COMPUTED_VALUE"""),10.0)</f>
        <v>10</v>
      </c>
      <c r="P329" s="138">
        <f>IFERROR(__xludf.DUMMYFUNCTION("""COMPUTED_VALUE"""),1.0)</f>
        <v>1</v>
      </c>
      <c r="Q329" s="138">
        <f>IFERROR(__xludf.DUMMYFUNCTION("""COMPUTED_VALUE"""),0.0)</f>
        <v>0</v>
      </c>
      <c r="R329" s="138">
        <f>IFERROR(__xludf.DUMMYFUNCTION("""COMPUTED_VALUE"""),14.0)</f>
        <v>14</v>
      </c>
      <c r="S329" s="139">
        <f>IFERROR(__xludf.DUMMYFUNCTION("""COMPUTED_VALUE"""),326.0)</f>
        <v>326</v>
      </c>
      <c r="T329" s="140">
        <f>IFERROR(__xludf.DUMMYFUNCTION("""COMPUTED_VALUE"""),97.0)</f>
        <v>97</v>
      </c>
      <c r="U329" s="136">
        <f>IFERROR(__xludf.DUMMYFUNCTION("""COMPUTED_VALUE"""),37.0)</f>
        <v>37</v>
      </c>
      <c r="V329" s="136">
        <f>IFERROR(__xludf.DUMMYFUNCTION("""COMPUTED_VALUE"""),46.0)</f>
        <v>46</v>
      </c>
      <c r="W329" s="136">
        <f>IFERROR(__xludf.DUMMYFUNCTION("""COMPUTED_VALUE"""),45.0)</f>
        <v>45</v>
      </c>
      <c r="X329" s="136">
        <f>IFERROR(__xludf.DUMMYFUNCTION("""COMPUTED_VALUE"""),385.95)</f>
        <v>385.95</v>
      </c>
      <c r="Y329" s="141">
        <f>IFERROR(__xludf.DUMMYFUNCTION("""COMPUTED_VALUE"""),48.46199999999999)</f>
        <v>48.462</v>
      </c>
      <c r="Z329" s="141">
        <f>IFERROR(__xludf.DUMMYFUNCTION("""COMPUTED_VALUE"""),2456.425)</f>
        <v>2456.425</v>
      </c>
    </row>
    <row r="330">
      <c r="A330" s="41" t="str">
        <f>IFERROR(__xludf.DUMMYFUNCTION("""COMPUTED_VALUE"""),"Challenger")</f>
        <v>Challenger</v>
      </c>
      <c r="B330" s="41" t="str">
        <f>IFERROR(__xludf.DUMMYFUNCTION("""COMPUTED_VALUE"""),"RSC005909")</f>
        <v>RSC005909</v>
      </c>
      <c r="C330" s="41" t="str">
        <f>IFERROR(__xludf.DUMMYFUNCTION("""COMPUTED_VALUE"""),"YadiCraft")</f>
        <v>YadiCraft</v>
      </c>
      <c r="D330" s="41" t="str">
        <f>IFERROR(__xludf.DUMMYFUNCTION("""COMPUTED_VALUE"""),"Olympic Knights")</f>
        <v>Olympic Knights</v>
      </c>
      <c r="E330" s="136">
        <f>IFERROR(__xludf.DUMMYFUNCTION("""COMPUTED_VALUE"""),36.0)</f>
        <v>36</v>
      </c>
      <c r="F330" s="136">
        <f>IFERROR(__xludf.DUMMYFUNCTION("""COMPUTED_VALUE"""),24.0)</f>
        <v>24</v>
      </c>
      <c r="G330" s="136">
        <f>IFERROR(__xludf.DUMMYFUNCTION("""COMPUTED_VALUE"""),12.0)</f>
        <v>12</v>
      </c>
      <c r="H330" s="137">
        <f>IFERROR(__xludf.DUMMYFUNCTION("""COMPUTED_VALUE"""),0.6666666666666666)</f>
        <v>0.6666666667</v>
      </c>
      <c r="I330" s="136">
        <f>IFERROR(__xludf.DUMMYFUNCTION("""COMPUTED_VALUE"""),3.0)</f>
        <v>3</v>
      </c>
      <c r="J330" s="136">
        <f>IFERROR(__xludf.DUMMYFUNCTION("""COMPUTED_VALUE"""),10945.0)</f>
        <v>10945</v>
      </c>
      <c r="K330" s="136">
        <f>IFERROR(__xludf.DUMMYFUNCTION("""COMPUTED_VALUE"""),16.0)</f>
        <v>16</v>
      </c>
      <c r="L330" s="136">
        <f>IFERROR(__xludf.DUMMYFUNCTION("""COMPUTED_VALUE"""),28.0)</f>
        <v>28</v>
      </c>
      <c r="M330" s="136">
        <f>IFERROR(__xludf.DUMMYFUNCTION("""COMPUTED_VALUE"""),42.0)</f>
        <v>42</v>
      </c>
      <c r="N330" s="136">
        <f>IFERROR(__xludf.DUMMYFUNCTION("""COMPUTED_VALUE"""),74.0)</f>
        <v>74</v>
      </c>
      <c r="O330" s="138">
        <f>IFERROR(__xludf.DUMMYFUNCTION("""COMPUTED_VALUE"""),6.0)</f>
        <v>6</v>
      </c>
      <c r="P330" s="138">
        <f>IFERROR(__xludf.DUMMYFUNCTION("""COMPUTED_VALUE"""),0.0)</f>
        <v>0</v>
      </c>
      <c r="Q330" s="138">
        <f>IFERROR(__xludf.DUMMYFUNCTION("""COMPUTED_VALUE"""),2.0)</f>
        <v>2</v>
      </c>
      <c r="R330" s="138">
        <f>IFERROR(__xludf.DUMMYFUNCTION("""COMPUTED_VALUE"""),3.0)</f>
        <v>3</v>
      </c>
      <c r="S330" s="139">
        <f>IFERROR(__xludf.DUMMYFUNCTION("""COMPUTED_VALUE"""),232.0)</f>
        <v>232</v>
      </c>
      <c r="T330" s="140">
        <f>IFERROR(__xludf.DUMMYFUNCTION("""COMPUTED_VALUE"""),56.0)</f>
        <v>56</v>
      </c>
      <c r="U330" s="136">
        <f>IFERROR(__xludf.DUMMYFUNCTION("""COMPUTED_VALUE"""),17.0)</f>
        <v>17</v>
      </c>
      <c r="V330" s="136">
        <f>IFERROR(__xludf.DUMMYFUNCTION("""COMPUTED_VALUE"""),49.0)</f>
        <v>49</v>
      </c>
      <c r="W330" s="136">
        <f>IFERROR(__xludf.DUMMYFUNCTION("""COMPUTED_VALUE"""),22.0)</f>
        <v>22</v>
      </c>
      <c r="X330" s="136">
        <f>IFERROR(__xludf.DUMMYFUNCTION("""COMPUTED_VALUE"""),408.47222222222223)</f>
        <v>408.4722222</v>
      </c>
      <c r="Y330" s="141">
        <f>IFERROR(__xludf.DUMMYFUNCTION("""COMPUTED_VALUE"""),52.02583333333334)</f>
        <v>52.02583333</v>
      </c>
      <c r="Z330" s="141">
        <f>IFERROR(__xludf.DUMMYFUNCTION("""COMPUTED_VALUE"""),2478.8611111111113)</f>
        <v>2478.861111</v>
      </c>
    </row>
    <row r="331">
      <c r="A331" s="41" t="str">
        <f>IFERROR(__xludf.DUMMYFUNCTION("""COMPUTED_VALUE"""),"Premier")</f>
        <v>Premier</v>
      </c>
      <c r="B331" s="41" t="str">
        <f>IFERROR(__xludf.DUMMYFUNCTION("""COMPUTED_VALUE"""),"RSC005920")</f>
        <v>RSC005920</v>
      </c>
      <c r="C331" s="41" t="str">
        <f>IFERROR(__xludf.DUMMYFUNCTION("""COMPUTED_VALUE"""),"Roxy")</f>
        <v>Roxy</v>
      </c>
      <c r="D331" s="41" t="str">
        <f>IFERROR(__xludf.DUMMYFUNCTION("""COMPUTED_VALUE"""),"Super Clusters")</f>
        <v>Super Clusters</v>
      </c>
      <c r="E331" s="136">
        <f>IFERROR(__xludf.DUMMYFUNCTION("""COMPUTED_VALUE"""),28.0)</f>
        <v>28</v>
      </c>
      <c r="F331" s="136">
        <f>IFERROR(__xludf.DUMMYFUNCTION("""COMPUTED_VALUE"""),17.0)</f>
        <v>17</v>
      </c>
      <c r="G331" s="136">
        <f>IFERROR(__xludf.DUMMYFUNCTION("""COMPUTED_VALUE"""),11.0)</f>
        <v>11</v>
      </c>
      <c r="H331" s="137">
        <f>IFERROR(__xludf.DUMMYFUNCTION("""COMPUTED_VALUE"""),0.6071428571428571)</f>
        <v>0.6071428571</v>
      </c>
      <c r="I331" s="136">
        <f>IFERROR(__xludf.DUMMYFUNCTION("""COMPUTED_VALUE"""),7.0)</f>
        <v>7</v>
      </c>
      <c r="J331" s="136">
        <f>IFERROR(__xludf.DUMMYFUNCTION("""COMPUTED_VALUE"""),13273.0)</f>
        <v>13273</v>
      </c>
      <c r="K331" s="136">
        <f>IFERROR(__xludf.DUMMYFUNCTION("""COMPUTED_VALUE"""),26.0)</f>
        <v>26</v>
      </c>
      <c r="L331" s="136">
        <f>IFERROR(__xludf.DUMMYFUNCTION("""COMPUTED_VALUE"""),17.0)</f>
        <v>17</v>
      </c>
      <c r="M331" s="136">
        <f>IFERROR(__xludf.DUMMYFUNCTION("""COMPUTED_VALUE"""),67.0)</f>
        <v>67</v>
      </c>
      <c r="N331" s="136">
        <f>IFERROR(__xludf.DUMMYFUNCTION("""COMPUTED_VALUE"""),102.0)</f>
        <v>102</v>
      </c>
      <c r="O331" s="138">
        <f>IFERROR(__xludf.DUMMYFUNCTION("""COMPUTED_VALUE"""),9.0)</f>
        <v>9</v>
      </c>
      <c r="P331" s="138">
        <f>IFERROR(__xludf.DUMMYFUNCTION("""COMPUTED_VALUE"""),2.0)</f>
        <v>2</v>
      </c>
      <c r="Q331" s="138">
        <f>IFERROR(__xludf.DUMMYFUNCTION("""COMPUTED_VALUE"""),0.0)</f>
        <v>0</v>
      </c>
      <c r="R331" s="138">
        <f>IFERROR(__xludf.DUMMYFUNCTION("""COMPUTED_VALUE"""),12.0)</f>
        <v>12</v>
      </c>
      <c r="S331" s="139">
        <f>IFERROR(__xludf.DUMMYFUNCTION("""COMPUTED_VALUE"""),257.0)</f>
        <v>257</v>
      </c>
      <c r="T331" s="140">
        <f>IFERROR(__xludf.DUMMYFUNCTION("""COMPUTED_VALUE"""),64.0)</f>
        <v>64</v>
      </c>
      <c r="U331" s="136">
        <f>IFERROR(__xludf.DUMMYFUNCTION("""COMPUTED_VALUE"""),23.0)</f>
        <v>23</v>
      </c>
      <c r="V331" s="136">
        <f>IFERROR(__xludf.DUMMYFUNCTION("""COMPUTED_VALUE"""),22.0)</f>
        <v>22</v>
      </c>
      <c r="W331" s="136">
        <f>IFERROR(__xludf.DUMMYFUNCTION("""COMPUTED_VALUE"""),40.0)</f>
        <v>40</v>
      </c>
      <c r="X331" s="136">
        <f>IFERROR(__xludf.DUMMYFUNCTION("""COMPUTED_VALUE"""),453.7857142857143)</f>
        <v>453.7857143</v>
      </c>
      <c r="Y331" s="141">
        <f>IFERROR(__xludf.DUMMYFUNCTION("""COMPUTED_VALUE"""),47.15857142857143)</f>
        <v>47.15857143</v>
      </c>
      <c r="Z331" s="141">
        <f>IFERROR(__xludf.DUMMYFUNCTION("""COMPUTED_VALUE"""),2995.964285714286)</f>
        <v>2995.964286</v>
      </c>
    </row>
    <row r="332">
      <c r="A332" s="41" t="str">
        <f>IFERROR(__xludf.DUMMYFUNCTION("""COMPUTED_VALUE"""),"Veteran")</f>
        <v>Veteran</v>
      </c>
      <c r="B332" s="41" t="str">
        <f>IFERROR(__xludf.DUMMYFUNCTION("""COMPUTED_VALUE"""),"RSC005934")</f>
        <v>RSC005934</v>
      </c>
      <c r="C332" s="41" t="str">
        <f>IFERROR(__xludf.DUMMYFUNCTION("""COMPUTED_VALUE"""),"TheodoreThe2")</f>
        <v>TheodoreThe2</v>
      </c>
      <c r="D332" s="41" t="str">
        <f>IFERROR(__xludf.DUMMYFUNCTION("""COMPUTED_VALUE"""),"Shadow Tails
White Collars")</f>
        <v>Shadow Tails
White Collars</v>
      </c>
      <c r="E332" s="136">
        <f>IFERROR(__xludf.DUMMYFUNCTION("""COMPUTED_VALUE"""),15.0)</f>
        <v>15</v>
      </c>
      <c r="F332" s="136">
        <f>IFERROR(__xludf.DUMMYFUNCTION("""COMPUTED_VALUE"""),9.0)</f>
        <v>9</v>
      </c>
      <c r="G332" s="136">
        <f>IFERROR(__xludf.DUMMYFUNCTION("""COMPUTED_VALUE"""),6.0)</f>
        <v>6</v>
      </c>
      <c r="H332" s="137">
        <f>IFERROR(__xludf.DUMMYFUNCTION("""COMPUTED_VALUE"""),0.6)</f>
        <v>0.6</v>
      </c>
      <c r="I332" s="136">
        <f>IFERROR(__xludf.DUMMYFUNCTION("""COMPUTED_VALUE"""),4.0)</f>
        <v>4</v>
      </c>
      <c r="J332" s="136">
        <f>IFERROR(__xludf.DUMMYFUNCTION("""COMPUTED_VALUE"""),5860.0)</f>
        <v>5860</v>
      </c>
      <c r="K332" s="136">
        <f>IFERROR(__xludf.DUMMYFUNCTION("""COMPUTED_VALUE"""),13.0)</f>
        <v>13</v>
      </c>
      <c r="L332" s="136">
        <f>IFERROR(__xludf.DUMMYFUNCTION("""COMPUTED_VALUE"""),9.0)</f>
        <v>9</v>
      </c>
      <c r="M332" s="136">
        <f>IFERROR(__xludf.DUMMYFUNCTION("""COMPUTED_VALUE"""),25.0)</f>
        <v>25</v>
      </c>
      <c r="N332" s="136">
        <f>IFERROR(__xludf.DUMMYFUNCTION("""COMPUTED_VALUE"""),38.0)</f>
        <v>38</v>
      </c>
      <c r="O332" s="138">
        <f>IFERROR(__xludf.DUMMYFUNCTION("""COMPUTED_VALUE"""),2.0)</f>
        <v>2</v>
      </c>
      <c r="P332" s="138">
        <f>IFERROR(__xludf.DUMMYFUNCTION("""COMPUTED_VALUE"""),1.0)</f>
        <v>1</v>
      </c>
      <c r="Q332" s="138">
        <f>IFERROR(__xludf.DUMMYFUNCTION("""COMPUTED_VALUE"""),0.0)</f>
        <v>0</v>
      </c>
      <c r="R332" s="138">
        <f>IFERROR(__xludf.DUMMYFUNCTION("""COMPUTED_VALUE"""),5.0)</f>
        <v>5</v>
      </c>
      <c r="S332" s="139">
        <f>IFERROR(__xludf.DUMMYFUNCTION("""COMPUTED_VALUE"""),125.0)</f>
        <v>125</v>
      </c>
      <c r="T332" s="140">
        <f>IFERROR(__xludf.DUMMYFUNCTION("""COMPUTED_VALUE"""),37.0)</f>
        <v>37</v>
      </c>
      <c r="U332" s="136">
        <f>IFERROR(__xludf.DUMMYFUNCTION("""COMPUTED_VALUE"""),15.0)</f>
        <v>15</v>
      </c>
      <c r="V332" s="136">
        <f>IFERROR(__xludf.DUMMYFUNCTION("""COMPUTED_VALUE"""),9.0)</f>
        <v>9</v>
      </c>
      <c r="W332" s="136">
        <f>IFERROR(__xludf.DUMMYFUNCTION("""COMPUTED_VALUE"""),14.0)</f>
        <v>14</v>
      </c>
      <c r="X332" s="136">
        <f>IFERROR(__xludf.DUMMYFUNCTION("""COMPUTED_VALUE"""),414.53333333333336)</f>
        <v>414.5333333</v>
      </c>
      <c r="Y332" s="141">
        <f>IFERROR(__xludf.DUMMYFUNCTION("""COMPUTED_VALUE"""),48.36800000000001)</f>
        <v>48.368</v>
      </c>
      <c r="Z332" s="141">
        <f>IFERROR(__xludf.DUMMYFUNCTION("""COMPUTED_VALUE"""),2406.866666666667)</f>
        <v>2406.866667</v>
      </c>
    </row>
    <row r="333">
      <c r="A333" s="41" t="str">
        <f>IFERROR(__xludf.DUMMYFUNCTION("""COMPUTED_VALUE"""),"Elite")</f>
        <v>Elite</v>
      </c>
      <c r="B333" s="41" t="str">
        <f>IFERROR(__xludf.DUMMYFUNCTION("""COMPUTED_VALUE"""),"RSC005959")</f>
        <v>RSC005959</v>
      </c>
      <c r="C333" s="41" t="str">
        <f>IFERROR(__xludf.DUMMYFUNCTION("""COMPUTED_VALUE"""),"Yurrbo?")</f>
        <v>Yurrbo?</v>
      </c>
      <c r="D333" s="41" t="str">
        <f>IFERROR(__xludf.DUMMYFUNCTION("""COMPUTED_VALUE"""),"Frostbite")</f>
        <v>Frostbite</v>
      </c>
      <c r="E333" s="136">
        <f>IFERROR(__xludf.DUMMYFUNCTION("""COMPUTED_VALUE"""),5.0)</f>
        <v>5</v>
      </c>
      <c r="F333" s="136">
        <f>IFERROR(__xludf.DUMMYFUNCTION("""COMPUTED_VALUE"""),1.0)</f>
        <v>1</v>
      </c>
      <c r="G333" s="136">
        <f>IFERROR(__xludf.DUMMYFUNCTION("""COMPUTED_VALUE"""),4.0)</f>
        <v>4</v>
      </c>
      <c r="H333" s="137">
        <f>IFERROR(__xludf.DUMMYFUNCTION("""COMPUTED_VALUE"""),0.2)</f>
        <v>0.2</v>
      </c>
      <c r="I333" s="136">
        <f>IFERROR(__xludf.DUMMYFUNCTION("""COMPUTED_VALUE"""),0.0)</f>
        <v>0</v>
      </c>
      <c r="J333" s="136">
        <f>IFERROR(__xludf.DUMMYFUNCTION("""COMPUTED_VALUE"""),1237.0)</f>
        <v>1237</v>
      </c>
      <c r="K333" s="136">
        <f>IFERROR(__xludf.DUMMYFUNCTION("""COMPUTED_VALUE"""),0.0)</f>
        <v>0</v>
      </c>
      <c r="L333" s="136">
        <f>IFERROR(__xludf.DUMMYFUNCTION("""COMPUTED_VALUE"""),2.0)</f>
        <v>2</v>
      </c>
      <c r="M333" s="136">
        <f>IFERROR(__xludf.DUMMYFUNCTION("""COMPUTED_VALUE"""),7.0)</f>
        <v>7</v>
      </c>
      <c r="N333" s="136">
        <f>IFERROR(__xludf.DUMMYFUNCTION("""COMPUTED_VALUE"""),8.0)</f>
        <v>8</v>
      </c>
      <c r="O333" s="138">
        <f>IFERROR(__xludf.DUMMYFUNCTION("""COMPUTED_VALUE"""),0.0)</f>
        <v>0</v>
      </c>
      <c r="P333" s="138">
        <f>IFERROR(__xludf.DUMMYFUNCTION("""COMPUTED_VALUE"""),0.0)</f>
        <v>0</v>
      </c>
      <c r="Q333" s="138">
        <f>IFERROR(__xludf.DUMMYFUNCTION("""COMPUTED_VALUE"""),0.0)</f>
        <v>0</v>
      </c>
      <c r="R333" s="138">
        <f>IFERROR(__xludf.DUMMYFUNCTION("""COMPUTED_VALUE"""),1.0)</f>
        <v>1</v>
      </c>
      <c r="S333" s="139">
        <f>IFERROR(__xludf.DUMMYFUNCTION("""COMPUTED_VALUE"""),45.0)</f>
        <v>45</v>
      </c>
      <c r="T333" s="140">
        <f>IFERROR(__xludf.DUMMYFUNCTION("""COMPUTED_VALUE"""),14.0)</f>
        <v>14</v>
      </c>
      <c r="U333" s="136">
        <f>IFERROR(__xludf.DUMMYFUNCTION("""COMPUTED_VALUE"""),3.0)</f>
        <v>3</v>
      </c>
      <c r="V333" s="136">
        <f>IFERROR(__xludf.DUMMYFUNCTION("""COMPUTED_VALUE"""),2.0)</f>
        <v>2</v>
      </c>
      <c r="W333" s="136">
        <f>IFERROR(__xludf.DUMMYFUNCTION("""COMPUTED_VALUE"""),2.0)</f>
        <v>2</v>
      </c>
      <c r="X333" s="136">
        <f>IFERROR(__xludf.DUMMYFUNCTION("""COMPUTED_VALUE"""),391.4)</f>
        <v>391.4</v>
      </c>
      <c r="Y333" s="141">
        <f>IFERROR(__xludf.DUMMYFUNCTION("""COMPUTED_VALUE"""),47.62)</f>
        <v>47.62</v>
      </c>
      <c r="Z333" s="141">
        <f>IFERROR(__xludf.DUMMYFUNCTION("""COMPUTED_VALUE"""),2261.6)</f>
        <v>2261.6</v>
      </c>
    </row>
    <row r="334">
      <c r="A334" s="41" t="str">
        <f>IFERROR(__xludf.DUMMYFUNCTION("""COMPUTED_VALUE"""),"Prospect")</f>
        <v>Prospect</v>
      </c>
      <c r="B334" s="41" t="str">
        <f>IFERROR(__xludf.DUMMYFUNCTION("""COMPUTED_VALUE"""),"RSC005974")</f>
        <v>RSC005974</v>
      </c>
      <c r="C334" s="41" t="str">
        <f>IFERROR(__xludf.DUMMYFUNCTION("""COMPUTED_VALUE"""),"Angry-Hermit")</f>
        <v>Angry-Hermit</v>
      </c>
      <c r="D334" s="41" t="str">
        <f>IFERROR(__xludf.DUMMYFUNCTION("""COMPUTED_VALUE"""),"Turbulence")</f>
        <v>Turbulence</v>
      </c>
      <c r="E334" s="136">
        <f>IFERROR(__xludf.DUMMYFUNCTION("""COMPUTED_VALUE"""),36.0)</f>
        <v>36</v>
      </c>
      <c r="F334" s="136">
        <f>IFERROR(__xludf.DUMMYFUNCTION("""COMPUTED_VALUE"""),24.0)</f>
        <v>24</v>
      </c>
      <c r="G334" s="136">
        <f>IFERROR(__xludf.DUMMYFUNCTION("""COMPUTED_VALUE"""),12.0)</f>
        <v>12</v>
      </c>
      <c r="H334" s="137">
        <f>IFERROR(__xludf.DUMMYFUNCTION("""COMPUTED_VALUE"""),0.6666666666666666)</f>
        <v>0.6666666667</v>
      </c>
      <c r="I334" s="136">
        <f>IFERROR(__xludf.DUMMYFUNCTION("""COMPUTED_VALUE"""),4.0)</f>
        <v>4</v>
      </c>
      <c r="J334" s="136">
        <f>IFERROR(__xludf.DUMMYFUNCTION("""COMPUTED_VALUE"""),10128.0)</f>
        <v>10128</v>
      </c>
      <c r="K334" s="136">
        <f>IFERROR(__xludf.DUMMYFUNCTION("""COMPUTED_VALUE"""),18.0)</f>
        <v>18</v>
      </c>
      <c r="L334" s="136">
        <f>IFERROR(__xludf.DUMMYFUNCTION("""COMPUTED_VALUE"""),19.0)</f>
        <v>19</v>
      </c>
      <c r="M334" s="136">
        <f>IFERROR(__xludf.DUMMYFUNCTION("""COMPUTED_VALUE"""),40.0)</f>
        <v>40</v>
      </c>
      <c r="N334" s="136">
        <f>IFERROR(__xludf.DUMMYFUNCTION("""COMPUTED_VALUE"""),65.0)</f>
        <v>65</v>
      </c>
      <c r="O334" s="138">
        <f>IFERROR(__xludf.DUMMYFUNCTION("""COMPUTED_VALUE"""),3.0)</f>
        <v>3</v>
      </c>
      <c r="P334" s="138">
        <f>IFERROR(__xludf.DUMMYFUNCTION("""COMPUTED_VALUE"""),1.0)</f>
        <v>1</v>
      </c>
      <c r="Q334" s="138">
        <f>IFERROR(__xludf.DUMMYFUNCTION("""COMPUTED_VALUE"""),0.0)</f>
        <v>0</v>
      </c>
      <c r="R334" s="138">
        <f>IFERROR(__xludf.DUMMYFUNCTION("""COMPUTED_VALUE"""),3.0)</f>
        <v>3</v>
      </c>
      <c r="S334" s="139">
        <f>IFERROR(__xludf.DUMMYFUNCTION("""COMPUTED_VALUE"""),258.0)</f>
        <v>258</v>
      </c>
      <c r="T334" s="140">
        <f>IFERROR(__xludf.DUMMYFUNCTION("""COMPUTED_VALUE"""),72.0)</f>
        <v>72</v>
      </c>
      <c r="U334" s="136">
        <f>IFERROR(__xludf.DUMMYFUNCTION("""COMPUTED_VALUE"""),24.0)</f>
        <v>24</v>
      </c>
      <c r="V334" s="136">
        <f>IFERROR(__xludf.DUMMYFUNCTION("""COMPUTED_VALUE"""),47.0)</f>
        <v>47</v>
      </c>
      <c r="W334" s="136">
        <f>IFERROR(__xludf.DUMMYFUNCTION("""COMPUTED_VALUE"""),26.0)</f>
        <v>26</v>
      </c>
      <c r="X334" s="136">
        <f>IFERROR(__xludf.DUMMYFUNCTION("""COMPUTED_VALUE"""),376.6388888888889)</f>
        <v>376.6388889</v>
      </c>
      <c r="Y334" s="141">
        <f>IFERROR(__xludf.DUMMYFUNCTION("""COMPUTED_VALUE"""),48.73694444444445)</f>
        <v>48.73694444</v>
      </c>
      <c r="Z334" s="141">
        <f>IFERROR(__xludf.DUMMYFUNCTION("""COMPUTED_VALUE"""),2321.0)</f>
        <v>2321</v>
      </c>
    </row>
    <row r="335">
      <c r="A335" s="41" t="str">
        <f>IFERROR(__xludf.DUMMYFUNCTION("""COMPUTED_VALUE"""),"Rival")</f>
        <v>Rival</v>
      </c>
      <c r="B335" s="41" t="str">
        <f>IFERROR(__xludf.DUMMYFUNCTION("""COMPUTED_VALUE"""),"RSC005978")</f>
        <v>RSC005978</v>
      </c>
      <c r="C335" s="41" t="str">
        <f>IFERROR(__xludf.DUMMYFUNCTION("""COMPUTED_VALUE"""),"Xdraco0")</f>
        <v>Xdraco0</v>
      </c>
      <c r="D335" s="41" t="str">
        <f>IFERROR(__xludf.DUMMYFUNCTION("""COMPUTED_VALUE"""),"Purrgatory")</f>
        <v>Purrgatory</v>
      </c>
      <c r="E335" s="136">
        <f>IFERROR(__xludf.DUMMYFUNCTION("""COMPUTED_VALUE"""),47.0)</f>
        <v>47</v>
      </c>
      <c r="F335" s="136">
        <f>IFERROR(__xludf.DUMMYFUNCTION("""COMPUTED_VALUE"""),26.0)</f>
        <v>26</v>
      </c>
      <c r="G335" s="136">
        <f>IFERROR(__xludf.DUMMYFUNCTION("""COMPUTED_VALUE"""),21.0)</f>
        <v>21</v>
      </c>
      <c r="H335" s="137">
        <f>IFERROR(__xludf.DUMMYFUNCTION("""COMPUTED_VALUE"""),0.5531914893617021)</f>
        <v>0.5531914894</v>
      </c>
      <c r="I335" s="136">
        <f>IFERROR(__xludf.DUMMYFUNCTION("""COMPUTED_VALUE"""),15.0)</f>
        <v>15</v>
      </c>
      <c r="J335" s="136">
        <f>IFERROR(__xludf.DUMMYFUNCTION("""COMPUTED_VALUE"""),16310.0)</f>
        <v>16310</v>
      </c>
      <c r="K335" s="136">
        <f>IFERROR(__xludf.DUMMYFUNCTION("""COMPUTED_VALUE"""),43.0)</f>
        <v>43</v>
      </c>
      <c r="L335" s="136">
        <f>IFERROR(__xludf.DUMMYFUNCTION("""COMPUTED_VALUE"""),23.0)</f>
        <v>23</v>
      </c>
      <c r="M335" s="136">
        <f>IFERROR(__xludf.DUMMYFUNCTION("""COMPUTED_VALUE"""),58.0)</f>
        <v>58</v>
      </c>
      <c r="N335" s="136">
        <f>IFERROR(__xludf.DUMMYFUNCTION("""COMPUTED_VALUE"""),133.0)</f>
        <v>133</v>
      </c>
      <c r="O335" s="138">
        <f>IFERROR(__xludf.DUMMYFUNCTION("""COMPUTED_VALUE"""),7.0)</f>
        <v>7</v>
      </c>
      <c r="P335" s="138">
        <f>IFERROR(__xludf.DUMMYFUNCTION("""COMPUTED_VALUE"""),5.0)</f>
        <v>5</v>
      </c>
      <c r="Q335" s="138">
        <f>IFERROR(__xludf.DUMMYFUNCTION("""COMPUTED_VALUE"""),0.0)</f>
        <v>0</v>
      </c>
      <c r="R335" s="138">
        <f>IFERROR(__xludf.DUMMYFUNCTION("""COMPUTED_VALUE"""),8.0)</f>
        <v>8</v>
      </c>
      <c r="S335" s="139">
        <f>IFERROR(__xludf.DUMMYFUNCTION("""COMPUTED_VALUE"""),364.0)</f>
        <v>364</v>
      </c>
      <c r="T335" s="140">
        <f>IFERROR(__xludf.DUMMYFUNCTION("""COMPUTED_VALUE"""),100.0)</f>
        <v>100</v>
      </c>
      <c r="U335" s="136">
        <f>IFERROR(__xludf.DUMMYFUNCTION("""COMPUTED_VALUE"""),34.0)</f>
        <v>34</v>
      </c>
      <c r="V335" s="136">
        <f>IFERROR(__xludf.DUMMYFUNCTION("""COMPUTED_VALUE"""),47.0)</f>
        <v>47</v>
      </c>
      <c r="W335" s="136">
        <f>IFERROR(__xludf.DUMMYFUNCTION("""COMPUTED_VALUE"""),40.0)</f>
        <v>40</v>
      </c>
      <c r="X335" s="136">
        <f>IFERROR(__xludf.DUMMYFUNCTION("""COMPUTED_VALUE"""),437.1276595744681)</f>
        <v>437.1276596</v>
      </c>
      <c r="Y335" s="141">
        <f>IFERROR(__xludf.DUMMYFUNCTION("""COMPUTED_VALUE"""),50.078510638297864)</f>
        <v>50.07851064</v>
      </c>
      <c r="Z335" s="141">
        <f>IFERROR(__xludf.DUMMYFUNCTION("""COMPUTED_VALUE"""),2516.0)</f>
        <v>2516</v>
      </c>
    </row>
    <row r="336">
      <c r="A336" s="41" t="str">
        <f>IFERROR(__xludf.DUMMYFUNCTION("""COMPUTED_VALUE"""),"Veteran")</f>
        <v>Veteran</v>
      </c>
      <c r="B336" s="41" t="str">
        <f>IFERROR(__xludf.DUMMYFUNCTION("""COMPUTED_VALUE"""),"RSC006000")</f>
        <v>RSC006000</v>
      </c>
      <c r="C336" s="41" t="str">
        <f>IFERROR(__xludf.DUMMYFUNCTION("""COMPUTED_VALUE"""),"janixity.")</f>
        <v>janixity.</v>
      </c>
      <c r="D336" s="41" t="str">
        <f>IFERROR(__xludf.DUMMYFUNCTION("""COMPUTED_VALUE"""),"Grizzly Bears
Singularity")</f>
        <v>Grizzly Bears
Singularity</v>
      </c>
      <c r="E336" s="136">
        <f>IFERROR(__xludf.DUMMYFUNCTION("""COMPUTED_VALUE"""),42.0)</f>
        <v>42</v>
      </c>
      <c r="F336" s="136">
        <f>IFERROR(__xludf.DUMMYFUNCTION("""COMPUTED_VALUE"""),17.0)</f>
        <v>17</v>
      </c>
      <c r="G336" s="136">
        <f>IFERROR(__xludf.DUMMYFUNCTION("""COMPUTED_VALUE"""),25.0)</f>
        <v>25</v>
      </c>
      <c r="H336" s="137">
        <f>IFERROR(__xludf.DUMMYFUNCTION("""COMPUTED_VALUE"""),0.40476190476190477)</f>
        <v>0.4047619048</v>
      </c>
      <c r="I336" s="136">
        <f>IFERROR(__xludf.DUMMYFUNCTION("""COMPUTED_VALUE"""),6.0)</f>
        <v>6</v>
      </c>
      <c r="J336" s="136">
        <f>IFERROR(__xludf.DUMMYFUNCTION("""COMPUTED_VALUE"""),14335.0)</f>
        <v>14335</v>
      </c>
      <c r="K336" s="136">
        <f>IFERROR(__xludf.DUMMYFUNCTION("""COMPUTED_VALUE"""),31.0)</f>
        <v>31</v>
      </c>
      <c r="L336" s="136">
        <f>IFERROR(__xludf.DUMMYFUNCTION("""COMPUTED_VALUE"""),19.0)</f>
        <v>19</v>
      </c>
      <c r="M336" s="136">
        <f>IFERROR(__xludf.DUMMYFUNCTION("""COMPUTED_VALUE"""),62.0)</f>
        <v>62</v>
      </c>
      <c r="N336" s="136">
        <f>IFERROR(__xludf.DUMMYFUNCTION("""COMPUTED_VALUE"""),91.0)</f>
        <v>91</v>
      </c>
      <c r="O336" s="138">
        <f>IFERROR(__xludf.DUMMYFUNCTION("""COMPUTED_VALUE"""),9.0)</f>
        <v>9</v>
      </c>
      <c r="P336" s="138">
        <f>IFERROR(__xludf.DUMMYFUNCTION("""COMPUTED_VALUE"""),3.0)</f>
        <v>3</v>
      </c>
      <c r="Q336" s="138">
        <f>IFERROR(__xludf.DUMMYFUNCTION("""COMPUTED_VALUE"""),0.0)</f>
        <v>0</v>
      </c>
      <c r="R336" s="138">
        <f>IFERROR(__xludf.DUMMYFUNCTION("""COMPUTED_VALUE"""),10.0)</f>
        <v>10</v>
      </c>
      <c r="S336" s="139">
        <f>IFERROR(__xludf.DUMMYFUNCTION("""COMPUTED_VALUE"""),369.0)</f>
        <v>369</v>
      </c>
      <c r="T336" s="140">
        <f>IFERROR(__xludf.DUMMYFUNCTION("""COMPUTED_VALUE"""),110.0)</f>
        <v>110</v>
      </c>
      <c r="U336" s="136">
        <f>IFERROR(__xludf.DUMMYFUNCTION("""COMPUTED_VALUE"""),41.0)</f>
        <v>41</v>
      </c>
      <c r="V336" s="136">
        <f>IFERROR(__xludf.DUMMYFUNCTION("""COMPUTED_VALUE"""),51.0)</f>
        <v>51</v>
      </c>
      <c r="W336" s="136">
        <f>IFERROR(__xludf.DUMMYFUNCTION("""COMPUTED_VALUE"""),47.0)</f>
        <v>47</v>
      </c>
      <c r="X336" s="136">
        <f>IFERROR(__xludf.DUMMYFUNCTION("""COMPUTED_VALUE"""),406.45238095238096)</f>
        <v>406.452381</v>
      </c>
      <c r="Y336" s="141">
        <f>IFERROR(__xludf.DUMMYFUNCTION("""COMPUTED_VALUE"""),44.65571428571428)</f>
        <v>44.65571429</v>
      </c>
      <c r="Z336" s="141">
        <f>IFERROR(__xludf.DUMMYFUNCTION("""COMPUTED_VALUE"""),2389.2619047619046)</f>
        <v>2389.261905</v>
      </c>
    </row>
    <row r="337">
      <c r="A337" s="41" t="str">
        <f>IFERROR(__xludf.DUMMYFUNCTION("""COMPUTED_VALUE"""),"Rival")</f>
        <v>Rival</v>
      </c>
      <c r="B337" s="41" t="str">
        <f>IFERROR(__xludf.DUMMYFUNCTION("""COMPUTED_VALUE"""),"RSC006017")</f>
        <v>RSC006017</v>
      </c>
      <c r="C337" s="41" t="str">
        <f>IFERROR(__xludf.DUMMYFUNCTION("""COMPUTED_VALUE"""),"Dondo RF")</f>
        <v>Dondo RF</v>
      </c>
      <c r="D337" s="41" t="str">
        <f>IFERROR(__xludf.DUMMYFUNCTION("""COMPUTED_VALUE"""),"Kitsune")</f>
        <v>Kitsune</v>
      </c>
      <c r="E337" s="136">
        <f>IFERROR(__xludf.DUMMYFUNCTION("""COMPUTED_VALUE"""),52.0)</f>
        <v>52</v>
      </c>
      <c r="F337" s="136">
        <f>IFERROR(__xludf.DUMMYFUNCTION("""COMPUTED_VALUE"""),24.0)</f>
        <v>24</v>
      </c>
      <c r="G337" s="136">
        <f>IFERROR(__xludf.DUMMYFUNCTION("""COMPUTED_VALUE"""),28.0)</f>
        <v>28</v>
      </c>
      <c r="H337" s="137">
        <f>IFERROR(__xludf.DUMMYFUNCTION("""COMPUTED_VALUE"""),0.46153846153846156)</f>
        <v>0.4615384615</v>
      </c>
      <c r="I337" s="136">
        <f>IFERROR(__xludf.DUMMYFUNCTION("""COMPUTED_VALUE"""),7.0)</f>
        <v>7</v>
      </c>
      <c r="J337" s="136">
        <f>IFERROR(__xludf.DUMMYFUNCTION("""COMPUTED_VALUE"""),16459.0)</f>
        <v>16459</v>
      </c>
      <c r="K337" s="136">
        <f>IFERROR(__xludf.DUMMYFUNCTION("""COMPUTED_VALUE"""),31.0)</f>
        <v>31</v>
      </c>
      <c r="L337" s="136">
        <f>IFERROR(__xludf.DUMMYFUNCTION("""COMPUTED_VALUE"""),28.0)</f>
        <v>28</v>
      </c>
      <c r="M337" s="136">
        <f>IFERROR(__xludf.DUMMYFUNCTION("""COMPUTED_VALUE"""),59.0)</f>
        <v>59</v>
      </c>
      <c r="N337" s="136">
        <f>IFERROR(__xludf.DUMMYFUNCTION("""COMPUTED_VALUE"""),110.0)</f>
        <v>110</v>
      </c>
      <c r="O337" s="138">
        <f>IFERROR(__xludf.DUMMYFUNCTION("""COMPUTED_VALUE"""),5.0)</f>
        <v>5</v>
      </c>
      <c r="P337" s="138">
        <f>IFERROR(__xludf.DUMMYFUNCTION("""COMPUTED_VALUE"""),3.0)</f>
        <v>3</v>
      </c>
      <c r="Q337" s="138">
        <f>IFERROR(__xludf.DUMMYFUNCTION("""COMPUTED_VALUE"""),1.0)</f>
        <v>1</v>
      </c>
      <c r="R337" s="138">
        <f>IFERROR(__xludf.DUMMYFUNCTION("""COMPUTED_VALUE"""),6.0)</f>
        <v>6</v>
      </c>
      <c r="S337" s="139">
        <f>IFERROR(__xludf.DUMMYFUNCTION("""COMPUTED_VALUE"""),358.0)</f>
        <v>358</v>
      </c>
      <c r="T337" s="140">
        <f>IFERROR(__xludf.DUMMYFUNCTION("""COMPUTED_VALUE"""),112.0)</f>
        <v>112</v>
      </c>
      <c r="U337" s="136">
        <f>IFERROR(__xludf.DUMMYFUNCTION("""COMPUTED_VALUE"""),36.0)</f>
        <v>36</v>
      </c>
      <c r="V337" s="136">
        <f>IFERROR(__xludf.DUMMYFUNCTION("""COMPUTED_VALUE"""),58.0)</f>
        <v>58</v>
      </c>
      <c r="W337" s="136">
        <f>IFERROR(__xludf.DUMMYFUNCTION("""COMPUTED_VALUE"""),45.0)</f>
        <v>45</v>
      </c>
      <c r="X337" s="136">
        <f>IFERROR(__xludf.DUMMYFUNCTION("""COMPUTED_VALUE"""),374.61538461538464)</f>
        <v>374.6153846</v>
      </c>
      <c r="Y337" s="141">
        <f>IFERROR(__xludf.DUMMYFUNCTION("""COMPUTED_VALUE"""),46.10884615384616)</f>
        <v>46.10884615</v>
      </c>
      <c r="Z337" s="141">
        <f>IFERROR(__xludf.DUMMYFUNCTION("""COMPUTED_VALUE"""),2222.8076923076924)</f>
        <v>2222.807692</v>
      </c>
    </row>
    <row r="338">
      <c r="A338" s="41" t="str">
        <f>IFERROR(__xludf.DUMMYFUNCTION("""COMPUTED_VALUE"""),"Elite")</f>
        <v>Elite</v>
      </c>
      <c r="B338" s="41" t="str">
        <f>IFERROR(__xludf.DUMMYFUNCTION("""COMPUTED_VALUE"""),"RSC006018")</f>
        <v>RSC006018</v>
      </c>
      <c r="C338" s="41" t="str">
        <f>IFERROR(__xludf.DUMMYFUNCTION("""COMPUTED_VALUE"""),"Braamse")</f>
        <v>Braamse</v>
      </c>
      <c r="D338" s="41" t="str">
        <f>IFERROR(__xludf.DUMMYFUNCTION("""COMPUTED_VALUE"""),"Demons")</f>
        <v>Demons</v>
      </c>
      <c r="E338" s="136">
        <f>IFERROR(__xludf.DUMMYFUNCTION("""COMPUTED_VALUE"""),4.0)</f>
        <v>4</v>
      </c>
      <c r="F338" s="136">
        <f>IFERROR(__xludf.DUMMYFUNCTION("""COMPUTED_VALUE"""),0.0)</f>
        <v>0</v>
      </c>
      <c r="G338" s="136">
        <f>IFERROR(__xludf.DUMMYFUNCTION("""COMPUTED_VALUE"""),4.0)</f>
        <v>4</v>
      </c>
      <c r="H338" s="137">
        <f>IFERROR(__xludf.DUMMYFUNCTION("""COMPUTED_VALUE"""),0.0)</f>
        <v>0</v>
      </c>
      <c r="I338" s="136">
        <f>IFERROR(__xludf.DUMMYFUNCTION("""COMPUTED_VALUE"""),0.0)</f>
        <v>0</v>
      </c>
      <c r="J338" s="136">
        <f>IFERROR(__xludf.DUMMYFUNCTION("""COMPUTED_VALUE"""),746.0)</f>
        <v>746</v>
      </c>
      <c r="K338" s="136">
        <f>IFERROR(__xludf.DUMMYFUNCTION("""COMPUTED_VALUE"""),0.0)</f>
        <v>0</v>
      </c>
      <c r="L338" s="136">
        <f>IFERROR(__xludf.DUMMYFUNCTION("""COMPUTED_VALUE"""),2.0)</f>
        <v>2</v>
      </c>
      <c r="M338" s="136">
        <f>IFERROR(__xludf.DUMMYFUNCTION("""COMPUTED_VALUE"""),3.0)</f>
        <v>3</v>
      </c>
      <c r="N338" s="136">
        <f>IFERROR(__xludf.DUMMYFUNCTION("""COMPUTED_VALUE"""),11.0)</f>
        <v>11</v>
      </c>
      <c r="O338" s="138">
        <f>IFERROR(__xludf.DUMMYFUNCTION("""COMPUTED_VALUE"""),0.0)</f>
        <v>0</v>
      </c>
      <c r="P338" s="138">
        <f>IFERROR(__xludf.DUMMYFUNCTION("""COMPUTED_VALUE"""),0.0)</f>
        <v>0</v>
      </c>
      <c r="Q338" s="138">
        <f>IFERROR(__xludf.DUMMYFUNCTION("""COMPUTED_VALUE"""),0.0)</f>
        <v>0</v>
      </c>
      <c r="R338" s="138">
        <f>IFERROR(__xludf.DUMMYFUNCTION("""COMPUTED_VALUE"""),0.0)</f>
        <v>0</v>
      </c>
      <c r="S338" s="139">
        <f>IFERROR(__xludf.DUMMYFUNCTION("""COMPUTED_VALUE"""),31.0)</f>
        <v>31</v>
      </c>
      <c r="T338" s="140">
        <f>IFERROR(__xludf.DUMMYFUNCTION("""COMPUTED_VALUE"""),13.0)</f>
        <v>13</v>
      </c>
      <c r="U338" s="136">
        <f>IFERROR(__xludf.DUMMYFUNCTION("""COMPUTED_VALUE"""),5.0)</f>
        <v>5</v>
      </c>
      <c r="V338" s="136">
        <f>IFERROR(__xludf.DUMMYFUNCTION("""COMPUTED_VALUE"""),5.0)</f>
        <v>5</v>
      </c>
      <c r="W338" s="136">
        <f>IFERROR(__xludf.DUMMYFUNCTION("""COMPUTED_VALUE"""),7.0)</f>
        <v>7</v>
      </c>
      <c r="X338" s="136">
        <f>IFERROR(__xludf.DUMMYFUNCTION("""COMPUTED_VALUE"""),377.25)</f>
        <v>377.25</v>
      </c>
      <c r="Y338" s="141">
        <f>IFERROR(__xludf.DUMMYFUNCTION("""COMPUTED_VALUE"""),40.91)</f>
        <v>40.91</v>
      </c>
      <c r="Z338" s="141">
        <f>IFERROR(__xludf.DUMMYFUNCTION("""COMPUTED_VALUE"""),2109.5)</f>
        <v>2109.5</v>
      </c>
    </row>
    <row r="339">
      <c r="A339" s="41" t="str">
        <f>IFERROR(__xludf.DUMMYFUNCTION("""COMPUTED_VALUE"""),"Veteran")</f>
        <v>Veteran</v>
      </c>
      <c r="B339" s="41" t="str">
        <f>IFERROR(__xludf.DUMMYFUNCTION("""COMPUTED_VALUE"""),"RSC006018")</f>
        <v>RSC006018</v>
      </c>
      <c r="C339" s="41" t="str">
        <f>IFERROR(__xludf.DUMMYFUNCTION("""COMPUTED_VALUE"""),"Braamse")</f>
        <v>Braamse</v>
      </c>
      <c r="D339" s="41" t="str">
        <f>IFERROR(__xludf.DUMMYFUNCTION("""COMPUTED_VALUE"""),"Banshees")</f>
        <v>Banshees</v>
      </c>
      <c r="E339" s="136">
        <f>IFERROR(__xludf.DUMMYFUNCTION("""COMPUTED_VALUE"""),25.0)</f>
        <v>25</v>
      </c>
      <c r="F339" s="136">
        <f>IFERROR(__xludf.DUMMYFUNCTION("""COMPUTED_VALUE"""),10.0)</f>
        <v>10</v>
      </c>
      <c r="G339" s="136">
        <f>IFERROR(__xludf.DUMMYFUNCTION("""COMPUTED_VALUE"""),15.0)</f>
        <v>15</v>
      </c>
      <c r="H339" s="137">
        <f>IFERROR(__xludf.DUMMYFUNCTION("""COMPUTED_VALUE"""),0.4)</f>
        <v>0.4</v>
      </c>
      <c r="I339" s="136">
        <f>IFERROR(__xludf.DUMMYFUNCTION("""COMPUTED_VALUE"""),3.0)</f>
        <v>3</v>
      </c>
      <c r="J339" s="136">
        <f>IFERROR(__xludf.DUMMYFUNCTION("""COMPUTED_VALUE"""),7578.0)</f>
        <v>7578</v>
      </c>
      <c r="K339" s="136">
        <f>IFERROR(__xludf.DUMMYFUNCTION("""COMPUTED_VALUE"""),14.0)</f>
        <v>14</v>
      </c>
      <c r="L339" s="136">
        <f>IFERROR(__xludf.DUMMYFUNCTION("""COMPUTED_VALUE"""),10.0)</f>
        <v>10</v>
      </c>
      <c r="M339" s="136">
        <f>IFERROR(__xludf.DUMMYFUNCTION("""COMPUTED_VALUE"""),27.0)</f>
        <v>27</v>
      </c>
      <c r="N339" s="136">
        <f>IFERROR(__xludf.DUMMYFUNCTION("""COMPUTED_VALUE"""),52.0)</f>
        <v>52</v>
      </c>
      <c r="O339" s="138">
        <f>IFERROR(__xludf.DUMMYFUNCTION("""COMPUTED_VALUE"""),1.0)</f>
        <v>1</v>
      </c>
      <c r="P339" s="138">
        <f>IFERROR(__xludf.DUMMYFUNCTION("""COMPUTED_VALUE"""),1.0)</f>
        <v>1</v>
      </c>
      <c r="Q339" s="138">
        <f>IFERROR(__xludf.DUMMYFUNCTION("""COMPUTED_VALUE"""),0.0)</f>
        <v>0</v>
      </c>
      <c r="R339" s="138">
        <f>IFERROR(__xludf.DUMMYFUNCTION("""COMPUTED_VALUE"""),1.0)</f>
        <v>1</v>
      </c>
      <c r="S339" s="139">
        <f>IFERROR(__xludf.DUMMYFUNCTION("""COMPUTED_VALUE"""),193.0)</f>
        <v>193</v>
      </c>
      <c r="T339" s="140">
        <f>IFERROR(__xludf.DUMMYFUNCTION("""COMPUTED_VALUE"""),73.0)</f>
        <v>73</v>
      </c>
      <c r="U339" s="136">
        <f>IFERROR(__xludf.DUMMYFUNCTION("""COMPUTED_VALUE"""),28.0)</f>
        <v>28</v>
      </c>
      <c r="V339" s="136">
        <f>IFERROR(__xludf.DUMMYFUNCTION("""COMPUTED_VALUE"""),26.0)</f>
        <v>26</v>
      </c>
      <c r="W339" s="136">
        <f>IFERROR(__xludf.DUMMYFUNCTION("""COMPUTED_VALUE"""),36.0)</f>
        <v>36</v>
      </c>
      <c r="X339" s="136">
        <f>IFERROR(__xludf.DUMMYFUNCTION("""COMPUTED_VALUE"""),374.84)</f>
        <v>374.84</v>
      </c>
      <c r="Y339" s="141">
        <f>IFERROR(__xludf.DUMMYFUNCTION("""COMPUTED_VALUE"""),43.47560000000001)</f>
        <v>43.4756</v>
      </c>
      <c r="Z339" s="141">
        <f>IFERROR(__xludf.DUMMYFUNCTION("""COMPUTED_VALUE"""),2312.92)</f>
        <v>2312.92</v>
      </c>
    </row>
    <row r="340">
      <c r="A340" s="41" t="str">
        <f>IFERROR(__xludf.DUMMYFUNCTION("""COMPUTED_VALUE"""),"Veteran")</f>
        <v>Veteran</v>
      </c>
      <c r="B340" s="41" t="str">
        <f>IFERROR(__xludf.DUMMYFUNCTION("""COMPUTED_VALUE"""),"RSC006060")</f>
        <v>RSC006060</v>
      </c>
      <c r="C340" s="41" t="str">
        <f>IFERROR(__xludf.DUMMYFUNCTION("""COMPUTED_VALUE"""),"WP_Merciless")</f>
        <v>WP_Merciless</v>
      </c>
      <c r="D340" s="41" t="str">
        <f>IFERROR(__xludf.DUMMYFUNCTION("""COMPUTED_VALUE"""),"Lycans")</f>
        <v>Lycans</v>
      </c>
      <c r="E340" s="136">
        <f>IFERROR(__xludf.DUMMYFUNCTION("""COMPUTED_VALUE"""),40.0)</f>
        <v>40</v>
      </c>
      <c r="F340" s="136">
        <f>IFERROR(__xludf.DUMMYFUNCTION("""COMPUTED_VALUE"""),22.0)</f>
        <v>22</v>
      </c>
      <c r="G340" s="136">
        <f>IFERROR(__xludf.DUMMYFUNCTION("""COMPUTED_VALUE"""),18.0)</f>
        <v>18</v>
      </c>
      <c r="H340" s="137">
        <f>IFERROR(__xludf.DUMMYFUNCTION("""COMPUTED_VALUE"""),0.55)</f>
        <v>0.55</v>
      </c>
      <c r="I340" s="136">
        <f>IFERROR(__xludf.DUMMYFUNCTION("""COMPUTED_VALUE"""),9.0)</f>
        <v>9</v>
      </c>
      <c r="J340" s="136">
        <f>IFERROR(__xludf.DUMMYFUNCTION("""COMPUTED_VALUE"""),17476.0)</f>
        <v>17476</v>
      </c>
      <c r="K340" s="136">
        <f>IFERROR(__xludf.DUMMYFUNCTION("""COMPUTED_VALUE"""),49.0)</f>
        <v>49</v>
      </c>
      <c r="L340" s="136">
        <f>IFERROR(__xludf.DUMMYFUNCTION("""COMPUTED_VALUE"""),25.0)</f>
        <v>25</v>
      </c>
      <c r="M340" s="136">
        <f>IFERROR(__xludf.DUMMYFUNCTION("""COMPUTED_VALUE"""),51.0)</f>
        <v>51</v>
      </c>
      <c r="N340" s="136">
        <f>IFERROR(__xludf.DUMMYFUNCTION("""COMPUTED_VALUE"""),128.0)</f>
        <v>128</v>
      </c>
      <c r="O340" s="138">
        <f>IFERROR(__xludf.DUMMYFUNCTION("""COMPUTED_VALUE"""),10.0)</f>
        <v>10</v>
      </c>
      <c r="P340" s="138">
        <f>IFERROR(__xludf.DUMMYFUNCTION("""COMPUTED_VALUE"""),6.0)</f>
        <v>6</v>
      </c>
      <c r="Q340" s="138">
        <f>IFERROR(__xludf.DUMMYFUNCTION("""COMPUTED_VALUE"""),1.0)</f>
        <v>1</v>
      </c>
      <c r="R340" s="138">
        <f>IFERROR(__xludf.DUMMYFUNCTION("""COMPUTED_VALUE"""),6.0)</f>
        <v>6</v>
      </c>
      <c r="S340" s="139">
        <f>IFERROR(__xludf.DUMMYFUNCTION("""COMPUTED_VALUE"""),303.0)</f>
        <v>303</v>
      </c>
      <c r="T340" s="140">
        <f>IFERROR(__xludf.DUMMYFUNCTION("""COMPUTED_VALUE"""),89.0)</f>
        <v>89</v>
      </c>
      <c r="U340" s="136">
        <f>IFERROR(__xludf.DUMMYFUNCTION("""COMPUTED_VALUE"""),28.0)</f>
        <v>28</v>
      </c>
      <c r="V340" s="136">
        <f>IFERROR(__xludf.DUMMYFUNCTION("""COMPUTED_VALUE"""),34.0)</f>
        <v>34</v>
      </c>
      <c r="W340" s="136">
        <f>IFERROR(__xludf.DUMMYFUNCTION("""COMPUTED_VALUE"""),45.0)</f>
        <v>45</v>
      </c>
      <c r="X340" s="136">
        <f>IFERROR(__xludf.DUMMYFUNCTION("""COMPUTED_VALUE"""),381.45)</f>
        <v>381.45</v>
      </c>
      <c r="Y340" s="141">
        <f>IFERROR(__xludf.DUMMYFUNCTION("""COMPUTED_VALUE"""),50.96400000000001)</f>
        <v>50.964</v>
      </c>
      <c r="Z340" s="141">
        <f>IFERROR(__xludf.DUMMYFUNCTION("""COMPUTED_VALUE"""),2339.125)</f>
        <v>2339.125</v>
      </c>
    </row>
    <row r="341">
      <c r="A341" s="41" t="str">
        <f>IFERROR(__xludf.DUMMYFUNCTION("""COMPUTED_VALUE"""),"Challenger")</f>
        <v>Challenger</v>
      </c>
      <c r="B341" s="41" t="str">
        <f>IFERROR(__xludf.DUMMYFUNCTION("""COMPUTED_VALUE"""),"RSC006067")</f>
        <v>RSC006067</v>
      </c>
      <c r="C341" s="41" t="str">
        <f>IFERROR(__xludf.DUMMYFUNCTION("""COMPUTED_VALUE"""),"ShinxX403")</f>
        <v>ShinxX403</v>
      </c>
      <c r="D341" s="41" t="str">
        <f>IFERROR(__xludf.DUMMYFUNCTION("""COMPUTED_VALUE"""),"Panda Bears")</f>
        <v>Panda Bears</v>
      </c>
      <c r="E341" s="136">
        <f>IFERROR(__xludf.DUMMYFUNCTION("""COMPUTED_VALUE"""),56.0)</f>
        <v>56</v>
      </c>
      <c r="F341" s="136">
        <f>IFERROR(__xludf.DUMMYFUNCTION("""COMPUTED_VALUE"""),32.0)</f>
        <v>32</v>
      </c>
      <c r="G341" s="136">
        <f>IFERROR(__xludf.DUMMYFUNCTION("""COMPUTED_VALUE"""),24.0)</f>
        <v>24</v>
      </c>
      <c r="H341" s="137">
        <f>IFERROR(__xludf.DUMMYFUNCTION("""COMPUTED_VALUE"""),0.5714285714285714)</f>
        <v>0.5714285714</v>
      </c>
      <c r="I341" s="136">
        <f>IFERROR(__xludf.DUMMYFUNCTION("""COMPUTED_VALUE"""),14.0)</f>
        <v>14</v>
      </c>
      <c r="J341" s="136">
        <f>IFERROR(__xludf.DUMMYFUNCTION("""COMPUTED_VALUE"""),22246.0)</f>
        <v>22246</v>
      </c>
      <c r="K341" s="136">
        <f>IFERROR(__xludf.DUMMYFUNCTION("""COMPUTED_VALUE"""),52.0)</f>
        <v>52</v>
      </c>
      <c r="L341" s="136">
        <f>IFERROR(__xludf.DUMMYFUNCTION("""COMPUTED_VALUE"""),48.0)</f>
        <v>48</v>
      </c>
      <c r="M341" s="136">
        <f>IFERROR(__xludf.DUMMYFUNCTION("""COMPUTED_VALUE"""),78.0)</f>
        <v>78</v>
      </c>
      <c r="N341" s="136">
        <f>IFERROR(__xludf.DUMMYFUNCTION("""COMPUTED_VALUE"""),153.0)</f>
        <v>153</v>
      </c>
      <c r="O341" s="138">
        <f>IFERROR(__xludf.DUMMYFUNCTION("""COMPUTED_VALUE"""),18.0)</f>
        <v>18</v>
      </c>
      <c r="P341" s="138">
        <f>IFERROR(__xludf.DUMMYFUNCTION("""COMPUTED_VALUE"""),4.0)</f>
        <v>4</v>
      </c>
      <c r="Q341" s="138">
        <f>IFERROR(__xludf.DUMMYFUNCTION("""COMPUTED_VALUE"""),1.0)</f>
        <v>1</v>
      </c>
      <c r="R341" s="138">
        <f>IFERROR(__xludf.DUMMYFUNCTION("""COMPUTED_VALUE"""),8.0)</f>
        <v>8</v>
      </c>
      <c r="S341" s="139">
        <f>IFERROR(__xludf.DUMMYFUNCTION("""COMPUTED_VALUE"""),435.0)</f>
        <v>435</v>
      </c>
      <c r="T341" s="140">
        <f>IFERROR(__xludf.DUMMYFUNCTION("""COMPUTED_VALUE"""),136.0)</f>
        <v>136</v>
      </c>
      <c r="U341" s="136">
        <f>IFERROR(__xludf.DUMMYFUNCTION("""COMPUTED_VALUE"""),37.0)</f>
        <v>37</v>
      </c>
      <c r="V341" s="136">
        <f>IFERROR(__xludf.DUMMYFUNCTION("""COMPUTED_VALUE"""),47.0)</f>
        <v>47</v>
      </c>
      <c r="W341" s="136">
        <f>IFERROR(__xludf.DUMMYFUNCTION("""COMPUTED_VALUE"""),60.0)</f>
        <v>60</v>
      </c>
      <c r="X341" s="136">
        <f>IFERROR(__xludf.DUMMYFUNCTION("""COMPUTED_VALUE"""),312.9642857142857)</f>
        <v>312.9642857</v>
      </c>
      <c r="Y341" s="141">
        <f>IFERROR(__xludf.DUMMYFUNCTION("""COMPUTED_VALUE"""),50.51642857142856)</f>
        <v>50.51642857</v>
      </c>
      <c r="Z341" s="141">
        <f>IFERROR(__xludf.DUMMYFUNCTION("""COMPUTED_VALUE"""),1938.1964285714287)</f>
        <v>1938.196429</v>
      </c>
    </row>
    <row r="342">
      <c r="A342" s="41" t="str">
        <f>IFERROR(__xludf.DUMMYFUNCTION("""COMPUTED_VALUE"""),"Rival")</f>
        <v>Rival</v>
      </c>
      <c r="B342" s="41" t="str">
        <f>IFERROR(__xludf.DUMMYFUNCTION("""COMPUTED_VALUE"""),"RSC006069")</f>
        <v>RSC006069</v>
      </c>
      <c r="C342" s="41" t="str">
        <f>IFERROR(__xludf.DUMMYFUNCTION("""COMPUTED_VALUE"""),"PoupSoup")</f>
        <v>PoupSoup</v>
      </c>
      <c r="D342" s="41" t="str">
        <f>IFERROR(__xludf.DUMMYFUNCTION("""COMPUTED_VALUE"""),"Howlers")</f>
        <v>Howlers</v>
      </c>
      <c r="E342" s="136">
        <f>IFERROR(__xludf.DUMMYFUNCTION("""COMPUTED_VALUE"""),55.0)</f>
        <v>55</v>
      </c>
      <c r="F342" s="136">
        <f>IFERROR(__xludf.DUMMYFUNCTION("""COMPUTED_VALUE"""),29.0)</f>
        <v>29</v>
      </c>
      <c r="G342" s="136">
        <f>IFERROR(__xludf.DUMMYFUNCTION("""COMPUTED_VALUE"""),26.0)</f>
        <v>26</v>
      </c>
      <c r="H342" s="137">
        <f>IFERROR(__xludf.DUMMYFUNCTION("""COMPUTED_VALUE"""),0.5272727272727272)</f>
        <v>0.5272727273</v>
      </c>
      <c r="I342" s="136">
        <f>IFERROR(__xludf.DUMMYFUNCTION("""COMPUTED_VALUE"""),10.0)</f>
        <v>10</v>
      </c>
      <c r="J342" s="136">
        <f>IFERROR(__xludf.DUMMYFUNCTION("""COMPUTED_VALUE"""),18132.0)</f>
        <v>18132</v>
      </c>
      <c r="K342" s="136">
        <f>IFERROR(__xludf.DUMMYFUNCTION("""COMPUTED_VALUE"""),37.0)</f>
        <v>37</v>
      </c>
      <c r="L342" s="136">
        <f>IFERROR(__xludf.DUMMYFUNCTION("""COMPUTED_VALUE"""),24.0)</f>
        <v>24</v>
      </c>
      <c r="M342" s="136">
        <f>IFERROR(__xludf.DUMMYFUNCTION("""COMPUTED_VALUE"""),68.0)</f>
        <v>68</v>
      </c>
      <c r="N342" s="136">
        <f>IFERROR(__xludf.DUMMYFUNCTION("""COMPUTED_VALUE"""),153.0)</f>
        <v>153</v>
      </c>
      <c r="O342" s="138">
        <f>IFERROR(__xludf.DUMMYFUNCTION("""COMPUTED_VALUE"""),9.0)</f>
        <v>9</v>
      </c>
      <c r="P342" s="138">
        <f>IFERROR(__xludf.DUMMYFUNCTION("""COMPUTED_VALUE"""),1.0)</f>
        <v>1</v>
      </c>
      <c r="Q342" s="138">
        <f>IFERROR(__xludf.DUMMYFUNCTION("""COMPUTED_VALUE"""),0.0)</f>
        <v>0</v>
      </c>
      <c r="R342" s="138">
        <f>IFERROR(__xludf.DUMMYFUNCTION("""COMPUTED_VALUE"""),5.0)</f>
        <v>5</v>
      </c>
      <c r="S342" s="139">
        <f>IFERROR(__xludf.DUMMYFUNCTION("""COMPUTED_VALUE"""),374.0)</f>
        <v>374</v>
      </c>
      <c r="T342" s="140">
        <f>IFERROR(__xludf.DUMMYFUNCTION("""COMPUTED_VALUE"""),121.0)</f>
        <v>121</v>
      </c>
      <c r="U342" s="136">
        <f>IFERROR(__xludf.DUMMYFUNCTION("""COMPUTED_VALUE"""),30.0)</f>
        <v>30</v>
      </c>
      <c r="V342" s="136">
        <f>IFERROR(__xludf.DUMMYFUNCTION("""COMPUTED_VALUE"""),57.0)</f>
        <v>57</v>
      </c>
      <c r="W342" s="136">
        <f>IFERROR(__xludf.DUMMYFUNCTION("""COMPUTED_VALUE"""),47.0)</f>
        <v>47</v>
      </c>
      <c r="X342" s="136">
        <f>IFERROR(__xludf.DUMMYFUNCTION("""COMPUTED_VALUE"""),393.7090909090909)</f>
        <v>393.7090909</v>
      </c>
      <c r="Y342" s="141">
        <f>IFERROR(__xludf.DUMMYFUNCTION("""COMPUTED_VALUE"""),50.770545454545456)</f>
        <v>50.77054545</v>
      </c>
      <c r="Z342" s="141">
        <f>IFERROR(__xludf.DUMMYFUNCTION("""COMPUTED_VALUE"""),2372.2181818181816)</f>
        <v>2372.218182</v>
      </c>
    </row>
    <row r="343">
      <c r="A343" s="41" t="str">
        <f>IFERROR(__xludf.DUMMYFUNCTION("""COMPUTED_VALUE"""),"Rival")</f>
        <v>Rival</v>
      </c>
      <c r="B343" s="41" t="str">
        <f>IFERROR(__xludf.DUMMYFUNCTION("""COMPUTED_VALUE"""),"RSC006072")</f>
        <v>RSC006072</v>
      </c>
      <c r="C343" s="41" t="str">
        <f>IFERROR(__xludf.DUMMYFUNCTION("""COMPUTED_VALUE"""),"AveX InceptionZ")</f>
        <v>AveX InceptionZ</v>
      </c>
      <c r="D343" s="41" t="str">
        <f>IFERROR(__xludf.DUMMYFUNCTION("""COMPUTED_VALUE"""),"Kitsune")</f>
        <v>Kitsune</v>
      </c>
      <c r="E343" s="136">
        <f>IFERROR(__xludf.DUMMYFUNCTION("""COMPUTED_VALUE"""),48.0)</f>
        <v>48</v>
      </c>
      <c r="F343" s="136">
        <f>IFERROR(__xludf.DUMMYFUNCTION("""COMPUTED_VALUE"""),24.0)</f>
        <v>24</v>
      </c>
      <c r="G343" s="136">
        <f>IFERROR(__xludf.DUMMYFUNCTION("""COMPUTED_VALUE"""),24.0)</f>
        <v>24</v>
      </c>
      <c r="H343" s="137">
        <f>IFERROR(__xludf.DUMMYFUNCTION("""COMPUTED_VALUE"""),0.5)</f>
        <v>0.5</v>
      </c>
      <c r="I343" s="136">
        <f>IFERROR(__xludf.DUMMYFUNCTION("""COMPUTED_VALUE"""),9.0)</f>
        <v>9</v>
      </c>
      <c r="J343" s="136">
        <f>IFERROR(__xludf.DUMMYFUNCTION("""COMPUTED_VALUE"""),16193.0)</f>
        <v>16193</v>
      </c>
      <c r="K343" s="136">
        <f>IFERROR(__xludf.DUMMYFUNCTION("""COMPUTED_VALUE"""),26.0)</f>
        <v>26</v>
      </c>
      <c r="L343" s="136">
        <f>IFERROR(__xludf.DUMMYFUNCTION("""COMPUTED_VALUE"""),29.0)</f>
        <v>29</v>
      </c>
      <c r="M343" s="136">
        <f>IFERROR(__xludf.DUMMYFUNCTION("""COMPUTED_VALUE"""),71.0)</f>
        <v>71</v>
      </c>
      <c r="N343" s="136">
        <f>IFERROR(__xludf.DUMMYFUNCTION("""COMPUTED_VALUE"""),129.0)</f>
        <v>129</v>
      </c>
      <c r="O343" s="138">
        <f>IFERROR(__xludf.DUMMYFUNCTION("""COMPUTED_VALUE"""),10.0)</f>
        <v>10</v>
      </c>
      <c r="P343" s="138">
        <f>IFERROR(__xludf.DUMMYFUNCTION("""COMPUTED_VALUE"""),1.0)</f>
        <v>1</v>
      </c>
      <c r="Q343" s="138">
        <f>IFERROR(__xludf.DUMMYFUNCTION("""COMPUTED_VALUE"""),1.0)</f>
        <v>1</v>
      </c>
      <c r="R343" s="138">
        <f>IFERROR(__xludf.DUMMYFUNCTION("""COMPUTED_VALUE"""),10.0)</f>
        <v>10</v>
      </c>
      <c r="S343" s="139">
        <f>IFERROR(__xludf.DUMMYFUNCTION("""COMPUTED_VALUE"""),333.0)</f>
        <v>333</v>
      </c>
      <c r="T343" s="140">
        <f>IFERROR(__xludf.DUMMYFUNCTION("""COMPUTED_VALUE"""),95.0)</f>
        <v>95</v>
      </c>
      <c r="U343" s="136">
        <f>IFERROR(__xludf.DUMMYFUNCTION("""COMPUTED_VALUE"""),24.0)</f>
        <v>24</v>
      </c>
      <c r="V343" s="136">
        <f>IFERROR(__xludf.DUMMYFUNCTION("""COMPUTED_VALUE"""),52.0)</f>
        <v>52</v>
      </c>
      <c r="W343" s="136">
        <f>IFERROR(__xludf.DUMMYFUNCTION("""COMPUTED_VALUE"""),43.0)</f>
        <v>43</v>
      </c>
      <c r="X343" s="136">
        <f>IFERROR(__xludf.DUMMYFUNCTION("""COMPUTED_VALUE"""),354.5833333333333)</f>
        <v>354.5833333</v>
      </c>
      <c r="Y343" s="141">
        <f>IFERROR(__xludf.DUMMYFUNCTION("""COMPUTED_VALUE"""),54.41437500000001)</f>
        <v>54.414375</v>
      </c>
      <c r="Z343" s="141">
        <f>IFERROR(__xludf.DUMMYFUNCTION("""COMPUTED_VALUE"""),2220.8958333333335)</f>
        <v>2220.895833</v>
      </c>
    </row>
    <row r="344">
      <c r="A344" s="41" t="str">
        <f>IFERROR(__xludf.DUMMYFUNCTION("""COMPUTED_VALUE"""),"Master")</f>
        <v>Master</v>
      </c>
      <c r="B344" s="41" t="str">
        <f>IFERROR(__xludf.DUMMYFUNCTION("""COMPUTED_VALUE"""),"RSC006087")</f>
        <v>RSC006087</v>
      </c>
      <c r="C344" s="41" t="str">
        <f>IFERROR(__xludf.DUMMYFUNCTION("""COMPUTED_VALUE"""),"DoorTK")</f>
        <v>DoorTK</v>
      </c>
      <c r="D344" s="41" t="str">
        <f>IFERROR(__xludf.DUMMYFUNCTION("""COMPUTED_VALUE"""),"Lemurs")</f>
        <v>Lemurs</v>
      </c>
      <c r="E344" s="136">
        <f>IFERROR(__xludf.DUMMYFUNCTION("""COMPUTED_VALUE"""),49.0)</f>
        <v>49</v>
      </c>
      <c r="F344" s="136">
        <f>IFERROR(__xludf.DUMMYFUNCTION("""COMPUTED_VALUE"""),20.0)</f>
        <v>20</v>
      </c>
      <c r="G344" s="136">
        <f>IFERROR(__xludf.DUMMYFUNCTION("""COMPUTED_VALUE"""),29.0)</f>
        <v>29</v>
      </c>
      <c r="H344" s="137">
        <f>IFERROR(__xludf.DUMMYFUNCTION("""COMPUTED_VALUE"""),0.40816326530612246)</f>
        <v>0.4081632653</v>
      </c>
      <c r="I344" s="136">
        <f>IFERROR(__xludf.DUMMYFUNCTION("""COMPUTED_VALUE"""),6.0)</f>
        <v>6</v>
      </c>
      <c r="J344" s="136">
        <f>IFERROR(__xludf.DUMMYFUNCTION("""COMPUTED_VALUE"""),15838.0)</f>
        <v>15838</v>
      </c>
      <c r="K344" s="136">
        <f>IFERROR(__xludf.DUMMYFUNCTION("""COMPUTED_VALUE"""),39.0)</f>
        <v>39</v>
      </c>
      <c r="L344" s="136">
        <f>IFERROR(__xludf.DUMMYFUNCTION("""COMPUTED_VALUE"""),25.0)</f>
        <v>25</v>
      </c>
      <c r="M344" s="136">
        <f>IFERROR(__xludf.DUMMYFUNCTION("""COMPUTED_VALUE"""),60.0)</f>
        <v>60</v>
      </c>
      <c r="N344" s="136">
        <f>IFERROR(__xludf.DUMMYFUNCTION("""COMPUTED_VALUE"""),114.0)</f>
        <v>114</v>
      </c>
      <c r="O344" s="138">
        <f>IFERROR(__xludf.DUMMYFUNCTION("""COMPUTED_VALUE"""),9.0)</f>
        <v>9</v>
      </c>
      <c r="P344" s="138">
        <f>IFERROR(__xludf.DUMMYFUNCTION("""COMPUTED_VALUE"""),4.0)</f>
        <v>4</v>
      </c>
      <c r="Q344" s="138">
        <f>IFERROR(__xludf.DUMMYFUNCTION("""COMPUTED_VALUE"""),0.0)</f>
        <v>0</v>
      </c>
      <c r="R344" s="138">
        <f>IFERROR(__xludf.DUMMYFUNCTION("""COMPUTED_VALUE"""),6.0)</f>
        <v>6</v>
      </c>
      <c r="S344" s="139">
        <f>IFERROR(__xludf.DUMMYFUNCTION("""COMPUTED_VALUE"""),352.0)</f>
        <v>352</v>
      </c>
      <c r="T344" s="140">
        <f>IFERROR(__xludf.DUMMYFUNCTION("""COMPUTED_VALUE"""),117.0)</f>
        <v>117</v>
      </c>
      <c r="U344" s="136">
        <f>IFERROR(__xludf.DUMMYFUNCTION("""COMPUTED_VALUE"""),45.0)</f>
        <v>45</v>
      </c>
      <c r="V344" s="136">
        <f>IFERROR(__xludf.DUMMYFUNCTION("""COMPUTED_VALUE"""),55.0)</f>
        <v>55</v>
      </c>
      <c r="W344" s="136">
        <f>IFERROR(__xludf.DUMMYFUNCTION("""COMPUTED_VALUE"""),54.0)</f>
        <v>54</v>
      </c>
      <c r="X344" s="136">
        <f>IFERROR(__xludf.DUMMYFUNCTION("""COMPUTED_VALUE"""),386.64444444444445)</f>
        <v>386.6444444</v>
      </c>
      <c r="Y344" s="141">
        <f>IFERROR(__xludf.DUMMYFUNCTION("""COMPUTED_VALUE"""),45.23777777777779)</f>
        <v>45.23777778</v>
      </c>
      <c r="Z344" s="141">
        <f>IFERROR(__xludf.DUMMYFUNCTION("""COMPUTED_VALUE"""),2293.0222222222224)</f>
        <v>2293.022222</v>
      </c>
    </row>
    <row r="345">
      <c r="A345" s="41" t="str">
        <f>IFERROR(__xludf.DUMMYFUNCTION("""COMPUTED_VALUE"""),"Veteran")</f>
        <v>Veteran</v>
      </c>
      <c r="B345" s="41" t="str">
        <f>IFERROR(__xludf.DUMMYFUNCTION("""COMPUTED_VALUE"""),"RSC006089")</f>
        <v>RSC006089</v>
      </c>
      <c r="C345" s="41" t="str">
        <f>IFERROR(__xludf.DUMMYFUNCTION("""COMPUTED_VALUE"""),"ZeroPop11")</f>
        <v>ZeroPop11</v>
      </c>
      <c r="D345" s="41" t="str">
        <f>IFERROR(__xludf.DUMMYFUNCTION("""COMPUTED_VALUE"""),"Street Rats")</f>
        <v>Street Rats</v>
      </c>
      <c r="E345" s="136">
        <f>IFERROR(__xludf.DUMMYFUNCTION("""COMPUTED_VALUE"""),34.0)</f>
        <v>34</v>
      </c>
      <c r="F345" s="136">
        <f>IFERROR(__xludf.DUMMYFUNCTION("""COMPUTED_VALUE"""),13.0)</f>
        <v>13</v>
      </c>
      <c r="G345" s="136">
        <f>IFERROR(__xludf.DUMMYFUNCTION("""COMPUTED_VALUE"""),21.0)</f>
        <v>21</v>
      </c>
      <c r="H345" s="137">
        <f>IFERROR(__xludf.DUMMYFUNCTION("""COMPUTED_VALUE"""),0.38235294117647056)</f>
        <v>0.3823529412</v>
      </c>
      <c r="I345" s="136">
        <f>IFERROR(__xludf.DUMMYFUNCTION("""COMPUTED_VALUE"""),3.0)</f>
        <v>3</v>
      </c>
      <c r="J345" s="136">
        <f>IFERROR(__xludf.DUMMYFUNCTION("""COMPUTED_VALUE"""),10999.0)</f>
        <v>10999</v>
      </c>
      <c r="K345" s="136">
        <f>IFERROR(__xludf.DUMMYFUNCTION("""COMPUTED_VALUE"""),18.0)</f>
        <v>18</v>
      </c>
      <c r="L345" s="136">
        <f>IFERROR(__xludf.DUMMYFUNCTION("""COMPUTED_VALUE"""),13.0)</f>
        <v>13</v>
      </c>
      <c r="M345" s="136">
        <f>IFERROR(__xludf.DUMMYFUNCTION("""COMPUTED_VALUE"""),53.0)</f>
        <v>53</v>
      </c>
      <c r="N345" s="136">
        <f>IFERROR(__xludf.DUMMYFUNCTION("""COMPUTED_VALUE"""),70.0)</f>
        <v>70</v>
      </c>
      <c r="O345" s="138">
        <f>IFERROR(__xludf.DUMMYFUNCTION("""COMPUTED_VALUE"""),3.0)</f>
        <v>3</v>
      </c>
      <c r="P345" s="138">
        <f>IFERROR(__xludf.DUMMYFUNCTION("""COMPUTED_VALUE"""),1.0)</f>
        <v>1</v>
      </c>
      <c r="Q345" s="138">
        <f>IFERROR(__xludf.DUMMYFUNCTION("""COMPUTED_VALUE"""),0.0)</f>
        <v>0</v>
      </c>
      <c r="R345" s="138">
        <f>IFERROR(__xludf.DUMMYFUNCTION("""COMPUTED_VALUE"""),9.0)</f>
        <v>9</v>
      </c>
      <c r="S345" s="139">
        <f>IFERROR(__xludf.DUMMYFUNCTION("""COMPUTED_VALUE"""),289.0)</f>
        <v>289</v>
      </c>
      <c r="T345" s="140">
        <f>IFERROR(__xludf.DUMMYFUNCTION("""COMPUTED_VALUE"""),79.0)</f>
        <v>79</v>
      </c>
      <c r="U345" s="136">
        <f>IFERROR(__xludf.DUMMYFUNCTION("""COMPUTED_VALUE"""),25.0)</f>
        <v>25</v>
      </c>
      <c r="V345" s="136">
        <f>IFERROR(__xludf.DUMMYFUNCTION("""COMPUTED_VALUE"""),6.0)</f>
        <v>6</v>
      </c>
      <c r="W345" s="136">
        <f>IFERROR(__xludf.DUMMYFUNCTION("""COMPUTED_VALUE"""),59.0)</f>
        <v>59</v>
      </c>
      <c r="X345" s="136">
        <f>IFERROR(__xludf.DUMMYFUNCTION("""COMPUTED_VALUE"""),284.94117647058823)</f>
        <v>284.9411765</v>
      </c>
      <c r="Y345" s="141">
        <f>IFERROR(__xludf.DUMMYFUNCTION("""COMPUTED_VALUE"""),50.85058823529412)</f>
        <v>50.85058824</v>
      </c>
      <c r="Z345" s="141">
        <f>IFERROR(__xludf.DUMMYFUNCTION("""COMPUTED_VALUE"""),1765.6176470588234)</f>
        <v>1765.617647</v>
      </c>
    </row>
    <row r="346">
      <c r="A346" s="41" t="str">
        <f>IFERROR(__xludf.DUMMYFUNCTION("""COMPUTED_VALUE"""),"Challenger")</f>
        <v>Challenger</v>
      </c>
      <c r="B346" s="41" t="str">
        <f>IFERROR(__xludf.DUMMYFUNCTION("""COMPUTED_VALUE"""),"RSC006092")</f>
        <v>RSC006092</v>
      </c>
      <c r="C346" s="41" t="str">
        <f>IFERROR(__xludf.DUMMYFUNCTION("""COMPUTED_VALUE"""),"Mick")</f>
        <v>Mick</v>
      </c>
      <c r="D346" s="41" t="str">
        <f>IFERROR(__xludf.DUMMYFUNCTION("""COMPUTED_VALUE"""),"Cooks")</f>
        <v>Cooks</v>
      </c>
      <c r="E346" s="136">
        <f>IFERROR(__xludf.DUMMYFUNCTION("""COMPUTED_VALUE"""),52.0)</f>
        <v>52</v>
      </c>
      <c r="F346" s="136">
        <f>IFERROR(__xludf.DUMMYFUNCTION("""COMPUTED_VALUE"""),33.0)</f>
        <v>33</v>
      </c>
      <c r="G346" s="136">
        <f>IFERROR(__xludf.DUMMYFUNCTION("""COMPUTED_VALUE"""),19.0)</f>
        <v>19</v>
      </c>
      <c r="H346" s="137">
        <f>IFERROR(__xludf.DUMMYFUNCTION("""COMPUTED_VALUE"""),0.6346153846153846)</f>
        <v>0.6346153846</v>
      </c>
      <c r="I346" s="136">
        <f>IFERROR(__xludf.DUMMYFUNCTION("""COMPUTED_VALUE"""),12.0)</f>
        <v>12</v>
      </c>
      <c r="J346" s="136">
        <f>IFERROR(__xludf.DUMMYFUNCTION("""COMPUTED_VALUE"""),17438.0)</f>
        <v>17438</v>
      </c>
      <c r="K346" s="136">
        <f>IFERROR(__xludf.DUMMYFUNCTION("""COMPUTED_VALUE"""),50.0)</f>
        <v>50</v>
      </c>
      <c r="L346" s="136">
        <f>IFERROR(__xludf.DUMMYFUNCTION("""COMPUTED_VALUE"""),28.0)</f>
        <v>28</v>
      </c>
      <c r="M346" s="136">
        <f>IFERROR(__xludf.DUMMYFUNCTION("""COMPUTED_VALUE"""),47.0)</f>
        <v>47</v>
      </c>
      <c r="N346" s="136">
        <f>IFERROR(__xludf.DUMMYFUNCTION("""COMPUTED_VALUE"""),134.0)</f>
        <v>134</v>
      </c>
      <c r="O346" s="138">
        <f>IFERROR(__xludf.DUMMYFUNCTION("""COMPUTED_VALUE"""),7.0)</f>
        <v>7</v>
      </c>
      <c r="P346" s="138">
        <f>IFERROR(__xludf.DUMMYFUNCTION("""COMPUTED_VALUE"""),3.0)</f>
        <v>3</v>
      </c>
      <c r="Q346" s="138">
        <f>IFERROR(__xludf.DUMMYFUNCTION("""COMPUTED_VALUE"""),0.0)</f>
        <v>0</v>
      </c>
      <c r="R346" s="138">
        <f>IFERROR(__xludf.DUMMYFUNCTION("""COMPUTED_VALUE"""),2.0)</f>
        <v>2</v>
      </c>
      <c r="S346" s="139">
        <f>IFERROR(__xludf.DUMMYFUNCTION("""COMPUTED_VALUE"""),318.0)</f>
        <v>318</v>
      </c>
      <c r="T346" s="140">
        <f>IFERROR(__xludf.DUMMYFUNCTION("""COMPUTED_VALUE"""),106.0)</f>
        <v>106</v>
      </c>
      <c r="U346" s="136">
        <f>IFERROR(__xludf.DUMMYFUNCTION("""COMPUTED_VALUE"""),34.0)</f>
        <v>34</v>
      </c>
      <c r="V346" s="136">
        <f>IFERROR(__xludf.DUMMYFUNCTION("""COMPUTED_VALUE"""),53.0)</f>
        <v>53</v>
      </c>
      <c r="W346" s="136">
        <f>IFERROR(__xludf.DUMMYFUNCTION("""COMPUTED_VALUE"""),40.0)</f>
        <v>40</v>
      </c>
      <c r="X346" s="136">
        <f>IFERROR(__xludf.DUMMYFUNCTION("""COMPUTED_VALUE"""),350.1923076923077)</f>
        <v>350.1923077</v>
      </c>
      <c r="Y346" s="141">
        <f>IFERROR(__xludf.DUMMYFUNCTION("""COMPUTED_VALUE"""),49.560769230769225)</f>
        <v>49.56076923</v>
      </c>
      <c r="Z346" s="141">
        <f>IFERROR(__xludf.DUMMYFUNCTION("""COMPUTED_VALUE"""),2095.5)</f>
        <v>2095.5</v>
      </c>
    </row>
    <row r="347">
      <c r="A347" s="41" t="str">
        <f>IFERROR(__xludf.DUMMYFUNCTION("""COMPUTED_VALUE"""),"Amateur")</f>
        <v>Amateur</v>
      </c>
      <c r="B347" s="41" t="str">
        <f>IFERROR(__xludf.DUMMYFUNCTION("""COMPUTED_VALUE"""),"RSC006137")</f>
        <v>RSC006137</v>
      </c>
      <c r="C347" s="41" t="str">
        <f>IFERROR(__xludf.DUMMYFUNCTION("""COMPUTED_VALUE"""),"FULLBL00DN8V")</f>
        <v>FULLBL00DN8V</v>
      </c>
      <c r="D347" s="41" t="str">
        <f>IFERROR(__xludf.DUMMYFUNCTION("""COMPUTED_VALUE"""),"Electric Eels")</f>
        <v>Electric Eels</v>
      </c>
      <c r="E347" s="136">
        <f>IFERROR(__xludf.DUMMYFUNCTION("""COMPUTED_VALUE"""),28.0)</f>
        <v>28</v>
      </c>
      <c r="F347" s="136">
        <f>IFERROR(__xludf.DUMMYFUNCTION("""COMPUTED_VALUE"""),13.0)</f>
        <v>13</v>
      </c>
      <c r="G347" s="136">
        <f>IFERROR(__xludf.DUMMYFUNCTION("""COMPUTED_VALUE"""),15.0)</f>
        <v>15</v>
      </c>
      <c r="H347" s="137">
        <f>IFERROR(__xludf.DUMMYFUNCTION("""COMPUTED_VALUE"""),0.4642857142857143)</f>
        <v>0.4642857143</v>
      </c>
      <c r="I347" s="136">
        <f>IFERROR(__xludf.DUMMYFUNCTION("""COMPUTED_VALUE"""),5.0)</f>
        <v>5</v>
      </c>
      <c r="J347" s="136">
        <f>IFERROR(__xludf.DUMMYFUNCTION("""COMPUTED_VALUE"""),7237.0)</f>
        <v>7237</v>
      </c>
      <c r="K347" s="136">
        <f>IFERROR(__xludf.DUMMYFUNCTION("""COMPUTED_VALUE"""),15.0)</f>
        <v>15</v>
      </c>
      <c r="L347" s="136">
        <f>IFERROR(__xludf.DUMMYFUNCTION("""COMPUTED_VALUE"""),11.0)</f>
        <v>11</v>
      </c>
      <c r="M347" s="136">
        <f>IFERROR(__xludf.DUMMYFUNCTION("""COMPUTED_VALUE"""),30.0)</f>
        <v>30</v>
      </c>
      <c r="N347" s="136">
        <f>IFERROR(__xludf.DUMMYFUNCTION("""COMPUTED_VALUE"""),49.0)</f>
        <v>49</v>
      </c>
      <c r="O347" s="138">
        <f>IFERROR(__xludf.DUMMYFUNCTION("""COMPUTED_VALUE"""),3.0)</f>
        <v>3</v>
      </c>
      <c r="P347" s="138">
        <f>IFERROR(__xludf.DUMMYFUNCTION("""COMPUTED_VALUE"""),2.0)</f>
        <v>2</v>
      </c>
      <c r="Q347" s="138">
        <f>IFERROR(__xludf.DUMMYFUNCTION("""COMPUTED_VALUE"""),0.0)</f>
        <v>0</v>
      </c>
      <c r="R347" s="138">
        <f>IFERROR(__xludf.DUMMYFUNCTION("""COMPUTED_VALUE"""),3.0)</f>
        <v>3</v>
      </c>
      <c r="S347" s="139">
        <f>IFERROR(__xludf.DUMMYFUNCTION("""COMPUTED_VALUE"""),177.0)</f>
        <v>177</v>
      </c>
      <c r="T347" s="140">
        <f>IFERROR(__xludf.DUMMYFUNCTION("""COMPUTED_VALUE"""),57.0)</f>
        <v>57</v>
      </c>
      <c r="U347" s="136">
        <f>IFERROR(__xludf.DUMMYFUNCTION("""COMPUTED_VALUE"""),12.0)</f>
        <v>12</v>
      </c>
      <c r="V347" s="136">
        <f>IFERROR(__xludf.DUMMYFUNCTION("""COMPUTED_VALUE"""),19.0)</f>
        <v>19</v>
      </c>
      <c r="W347" s="136">
        <f>IFERROR(__xludf.DUMMYFUNCTION("""COMPUTED_VALUE"""),10.0)</f>
        <v>10</v>
      </c>
      <c r="X347" s="139">
        <f>IFERROR(__xludf.DUMMYFUNCTION("""COMPUTED_VALUE"""),322.0)</f>
        <v>322</v>
      </c>
      <c r="Y347" s="141">
        <f>IFERROR(__xludf.DUMMYFUNCTION("""COMPUTED_VALUE"""),49.41035714285714)</f>
        <v>49.41035714</v>
      </c>
      <c r="Z347" s="141">
        <f>IFERROR(__xludf.DUMMYFUNCTION("""COMPUTED_VALUE"""),1907.357142857143)</f>
        <v>1907.357143</v>
      </c>
    </row>
    <row r="348">
      <c r="A348" s="41" t="str">
        <f>IFERROR(__xludf.DUMMYFUNCTION("""COMPUTED_VALUE"""),"Veteran")</f>
        <v>Veteran</v>
      </c>
      <c r="B348" s="41" t="str">
        <f>IFERROR(__xludf.DUMMYFUNCTION("""COMPUTED_VALUE"""),"RSC006140")</f>
        <v>RSC006140</v>
      </c>
      <c r="C348" s="41" t="str">
        <f>IFERROR(__xludf.DUMMYFUNCTION("""COMPUTED_VALUE"""),"Jay_Kay99")</f>
        <v>Jay_Kay99</v>
      </c>
      <c r="D348" s="41" t="str">
        <f>IFERROR(__xludf.DUMMYFUNCTION("""COMPUTED_VALUE"""),"Blacksmiths")</f>
        <v>Blacksmiths</v>
      </c>
      <c r="E348" s="136">
        <f>IFERROR(__xludf.DUMMYFUNCTION("""COMPUTED_VALUE"""),54.0)</f>
        <v>54</v>
      </c>
      <c r="F348" s="136">
        <f>IFERROR(__xludf.DUMMYFUNCTION("""COMPUTED_VALUE"""),29.0)</f>
        <v>29</v>
      </c>
      <c r="G348" s="136">
        <f>IFERROR(__xludf.DUMMYFUNCTION("""COMPUTED_VALUE"""),25.0)</f>
        <v>25</v>
      </c>
      <c r="H348" s="137">
        <f>IFERROR(__xludf.DUMMYFUNCTION("""COMPUTED_VALUE"""),0.5370370370370371)</f>
        <v>0.537037037</v>
      </c>
      <c r="I348" s="136">
        <f>IFERROR(__xludf.DUMMYFUNCTION("""COMPUTED_VALUE"""),10.0)</f>
        <v>10</v>
      </c>
      <c r="J348" s="136">
        <f>IFERROR(__xludf.DUMMYFUNCTION("""COMPUTED_VALUE"""),20569.0)</f>
        <v>20569</v>
      </c>
      <c r="K348" s="136">
        <f>IFERROR(__xludf.DUMMYFUNCTION("""COMPUTED_VALUE"""),40.0)</f>
        <v>40</v>
      </c>
      <c r="L348" s="136">
        <f>IFERROR(__xludf.DUMMYFUNCTION("""COMPUTED_VALUE"""),44.0)</f>
        <v>44</v>
      </c>
      <c r="M348" s="136">
        <f>IFERROR(__xludf.DUMMYFUNCTION("""COMPUTED_VALUE"""),81.0)</f>
        <v>81</v>
      </c>
      <c r="N348" s="136">
        <f>IFERROR(__xludf.DUMMYFUNCTION("""COMPUTED_VALUE"""),144.0)</f>
        <v>144</v>
      </c>
      <c r="O348" s="138">
        <f>IFERROR(__xludf.DUMMYFUNCTION("""COMPUTED_VALUE"""),12.0)</f>
        <v>12</v>
      </c>
      <c r="P348" s="138">
        <f>IFERROR(__xludf.DUMMYFUNCTION("""COMPUTED_VALUE"""),4.0)</f>
        <v>4</v>
      </c>
      <c r="Q348" s="138">
        <f>IFERROR(__xludf.DUMMYFUNCTION("""COMPUTED_VALUE"""),1.0)</f>
        <v>1</v>
      </c>
      <c r="R348" s="138">
        <f>IFERROR(__xludf.DUMMYFUNCTION("""COMPUTED_VALUE"""),10.0)</f>
        <v>10</v>
      </c>
      <c r="S348" s="139">
        <f>IFERROR(__xludf.DUMMYFUNCTION("""COMPUTED_VALUE"""),404.0)</f>
        <v>404</v>
      </c>
      <c r="T348" s="140">
        <f>IFERROR(__xludf.DUMMYFUNCTION("""COMPUTED_VALUE"""),126.0)</f>
        <v>126</v>
      </c>
      <c r="U348" s="136">
        <f>IFERROR(__xludf.DUMMYFUNCTION("""COMPUTED_VALUE"""),33.0)</f>
        <v>33</v>
      </c>
      <c r="V348" s="136">
        <f>IFERROR(__xludf.DUMMYFUNCTION("""COMPUTED_VALUE"""),82.0)</f>
        <v>82</v>
      </c>
      <c r="W348" s="136">
        <f>IFERROR(__xludf.DUMMYFUNCTION("""COMPUTED_VALUE"""),41.0)</f>
        <v>41</v>
      </c>
      <c r="X348" s="136">
        <f>IFERROR(__xludf.DUMMYFUNCTION("""COMPUTED_VALUE"""),354.5)</f>
        <v>354.5</v>
      </c>
      <c r="Y348" s="141">
        <f>IFERROR(__xludf.DUMMYFUNCTION("""COMPUTED_VALUE"""),48.81018518518518)</f>
        <v>48.81018519</v>
      </c>
      <c r="Z348" s="141">
        <f>IFERROR(__xludf.DUMMYFUNCTION("""COMPUTED_VALUE"""),2242.9814814814813)</f>
        <v>2242.981481</v>
      </c>
    </row>
    <row r="349">
      <c r="A349" s="41" t="str">
        <f>IFERROR(__xludf.DUMMYFUNCTION("""COMPUTED_VALUE"""),"Rival")</f>
        <v>Rival</v>
      </c>
      <c r="B349" s="41" t="str">
        <f>IFERROR(__xludf.DUMMYFUNCTION("""COMPUTED_VALUE"""),"RSC006159")</f>
        <v>RSC006159</v>
      </c>
      <c r="C349" s="41" t="str">
        <f>IFERROR(__xludf.DUMMYFUNCTION("""COMPUTED_VALUE"""),"courtesan")</f>
        <v>courtesan</v>
      </c>
      <c r="D349" s="41" t="str">
        <f>IFERROR(__xludf.DUMMYFUNCTION("""COMPUTED_VALUE"""),"Heavy Metal")</f>
        <v>Heavy Metal</v>
      </c>
      <c r="E349" s="136">
        <f>IFERROR(__xludf.DUMMYFUNCTION("""COMPUTED_VALUE"""),13.0)</f>
        <v>13</v>
      </c>
      <c r="F349" s="136">
        <f>IFERROR(__xludf.DUMMYFUNCTION("""COMPUTED_VALUE"""),4.0)</f>
        <v>4</v>
      </c>
      <c r="G349" s="136">
        <f>IFERROR(__xludf.DUMMYFUNCTION("""COMPUTED_VALUE"""),9.0)</f>
        <v>9</v>
      </c>
      <c r="H349" s="137">
        <f>IFERROR(__xludf.DUMMYFUNCTION("""COMPUTED_VALUE"""),0.3076923076923077)</f>
        <v>0.3076923077</v>
      </c>
      <c r="I349" s="136">
        <f>IFERROR(__xludf.DUMMYFUNCTION("""COMPUTED_VALUE"""),2.0)</f>
        <v>2</v>
      </c>
      <c r="J349" s="136">
        <f>IFERROR(__xludf.DUMMYFUNCTION("""COMPUTED_VALUE"""),3471.0)</f>
        <v>3471</v>
      </c>
      <c r="K349" s="136">
        <f>IFERROR(__xludf.DUMMYFUNCTION("""COMPUTED_VALUE"""),8.0)</f>
        <v>8</v>
      </c>
      <c r="L349" s="136">
        <f>IFERROR(__xludf.DUMMYFUNCTION("""COMPUTED_VALUE"""),3.0)</f>
        <v>3</v>
      </c>
      <c r="M349" s="136">
        <f>IFERROR(__xludf.DUMMYFUNCTION("""COMPUTED_VALUE"""),13.0)</f>
        <v>13</v>
      </c>
      <c r="N349" s="136">
        <f>IFERROR(__xludf.DUMMYFUNCTION("""COMPUTED_VALUE"""),24.0)</f>
        <v>24</v>
      </c>
      <c r="O349" s="138">
        <f>IFERROR(__xludf.DUMMYFUNCTION("""COMPUTED_VALUE"""),0.0)</f>
        <v>0</v>
      </c>
      <c r="P349" s="138">
        <f>IFERROR(__xludf.DUMMYFUNCTION("""COMPUTED_VALUE"""),1.0)</f>
        <v>1</v>
      </c>
      <c r="Q349" s="138">
        <f>IFERROR(__xludf.DUMMYFUNCTION("""COMPUTED_VALUE"""),0.0)</f>
        <v>0</v>
      </c>
      <c r="R349" s="138">
        <f>IFERROR(__xludf.DUMMYFUNCTION("""COMPUTED_VALUE"""),1.0)</f>
        <v>1</v>
      </c>
      <c r="S349" s="139">
        <f>IFERROR(__xludf.DUMMYFUNCTION("""COMPUTED_VALUE"""),112.0)</f>
        <v>112</v>
      </c>
      <c r="T349" s="140">
        <f>IFERROR(__xludf.DUMMYFUNCTION("""COMPUTED_VALUE"""),36.0)</f>
        <v>36</v>
      </c>
      <c r="U349" s="136">
        <f>IFERROR(__xludf.DUMMYFUNCTION("""COMPUTED_VALUE"""),10.0)</f>
        <v>10</v>
      </c>
      <c r="V349" s="136">
        <f>IFERROR(__xludf.DUMMYFUNCTION("""COMPUTED_VALUE"""),16.0)</f>
        <v>16</v>
      </c>
      <c r="W349" s="136">
        <f>IFERROR(__xludf.DUMMYFUNCTION("""COMPUTED_VALUE"""),7.0)</f>
        <v>7</v>
      </c>
      <c r="X349" s="136">
        <f>IFERROR(__xludf.DUMMYFUNCTION("""COMPUTED_VALUE"""),309.0769230769231)</f>
        <v>309.0769231</v>
      </c>
      <c r="Y349" s="141">
        <f>IFERROR(__xludf.DUMMYFUNCTION("""COMPUTED_VALUE"""),55.16769230769231)</f>
        <v>55.16769231</v>
      </c>
      <c r="Z349" s="141">
        <f>IFERROR(__xludf.DUMMYFUNCTION("""COMPUTED_VALUE"""),1912.923076923077)</f>
        <v>1912.923077</v>
      </c>
    </row>
    <row r="350">
      <c r="A350" s="41" t="str">
        <f>IFERROR(__xludf.DUMMYFUNCTION("""COMPUTED_VALUE"""),"Elite")</f>
        <v>Elite</v>
      </c>
      <c r="B350" s="41" t="str">
        <f>IFERROR(__xludf.DUMMYFUNCTION("""COMPUTED_VALUE"""),"RSC006169")</f>
        <v>RSC006169</v>
      </c>
      <c r="C350" s="41" t="str">
        <f>IFERROR(__xludf.DUMMYFUNCTION("""COMPUTED_VALUE"""),"ExyRL.")</f>
        <v>ExyRL.</v>
      </c>
      <c r="D350" s="41" t="str">
        <f>IFERROR(__xludf.DUMMYFUNCTION("""COMPUTED_VALUE"""),"Drive-by
Krakens")</f>
        <v>Drive-by
Krakens</v>
      </c>
      <c r="E350" s="136">
        <f>IFERROR(__xludf.DUMMYFUNCTION("""COMPUTED_VALUE"""),37.0)</f>
        <v>37</v>
      </c>
      <c r="F350" s="136">
        <f>IFERROR(__xludf.DUMMYFUNCTION("""COMPUTED_VALUE"""),12.0)</f>
        <v>12</v>
      </c>
      <c r="G350" s="136">
        <f>IFERROR(__xludf.DUMMYFUNCTION("""COMPUTED_VALUE"""),25.0)</f>
        <v>25</v>
      </c>
      <c r="H350" s="137">
        <f>IFERROR(__xludf.DUMMYFUNCTION("""COMPUTED_VALUE"""),0.32432432432432434)</f>
        <v>0.3243243243</v>
      </c>
      <c r="I350" s="136">
        <f>IFERROR(__xludf.DUMMYFUNCTION("""COMPUTED_VALUE"""),2.0)</f>
        <v>2</v>
      </c>
      <c r="J350" s="136">
        <f>IFERROR(__xludf.DUMMYFUNCTION("""COMPUTED_VALUE"""),11844.0)</f>
        <v>11844</v>
      </c>
      <c r="K350" s="136">
        <f>IFERROR(__xludf.DUMMYFUNCTION("""COMPUTED_VALUE"""),20.0)</f>
        <v>20</v>
      </c>
      <c r="L350" s="136">
        <f>IFERROR(__xludf.DUMMYFUNCTION("""COMPUTED_VALUE"""),21.0)</f>
        <v>21</v>
      </c>
      <c r="M350" s="136">
        <f>IFERROR(__xludf.DUMMYFUNCTION("""COMPUTED_VALUE"""),55.0)</f>
        <v>55</v>
      </c>
      <c r="N350" s="136">
        <f>IFERROR(__xludf.DUMMYFUNCTION("""COMPUTED_VALUE"""),84.0)</f>
        <v>84</v>
      </c>
      <c r="O350" s="138">
        <f>IFERROR(__xludf.DUMMYFUNCTION("""COMPUTED_VALUE"""),5.0)</f>
        <v>5</v>
      </c>
      <c r="P350" s="138">
        <f>IFERROR(__xludf.DUMMYFUNCTION("""COMPUTED_VALUE"""),1.0)</f>
        <v>1</v>
      </c>
      <c r="Q350" s="138">
        <f>IFERROR(__xludf.DUMMYFUNCTION("""COMPUTED_VALUE"""),1.0)</f>
        <v>1</v>
      </c>
      <c r="R350" s="138">
        <f>IFERROR(__xludf.DUMMYFUNCTION("""COMPUTED_VALUE"""),7.0)</f>
        <v>7</v>
      </c>
      <c r="S350" s="139">
        <f>IFERROR(__xludf.DUMMYFUNCTION("""COMPUTED_VALUE"""),340.0)</f>
        <v>340</v>
      </c>
      <c r="T350" s="140">
        <f>IFERROR(__xludf.DUMMYFUNCTION("""COMPUTED_VALUE"""),116.0)</f>
        <v>116</v>
      </c>
      <c r="U350" s="136">
        <f>IFERROR(__xludf.DUMMYFUNCTION("""COMPUTED_VALUE"""),41.0)</f>
        <v>41</v>
      </c>
      <c r="V350" s="136">
        <f>IFERROR(__xludf.DUMMYFUNCTION("""COMPUTED_VALUE"""),32.0)</f>
        <v>32</v>
      </c>
      <c r="W350" s="136">
        <f>IFERROR(__xludf.DUMMYFUNCTION("""COMPUTED_VALUE"""),49.0)</f>
        <v>49</v>
      </c>
      <c r="X350" s="136">
        <f>IFERROR(__xludf.DUMMYFUNCTION("""COMPUTED_VALUE"""),454.13513513513516)</f>
        <v>454.1351351</v>
      </c>
      <c r="Y350" s="141">
        <f>IFERROR(__xludf.DUMMYFUNCTION("""COMPUTED_VALUE"""),46.12162162162163)</f>
        <v>46.12162162</v>
      </c>
      <c r="Z350" s="141">
        <f>IFERROR(__xludf.DUMMYFUNCTION("""COMPUTED_VALUE"""),2769.9189189189187)</f>
        <v>2769.918919</v>
      </c>
    </row>
    <row r="351">
      <c r="A351" s="41" t="str">
        <f>IFERROR(__xludf.DUMMYFUNCTION("""COMPUTED_VALUE"""),"Veteran")</f>
        <v>Veteran</v>
      </c>
      <c r="B351" s="41" t="str">
        <f>IFERROR(__xludf.DUMMYFUNCTION("""COMPUTED_VALUE"""),"RSC006174")</f>
        <v>RSC006174</v>
      </c>
      <c r="C351" s="41" t="str">
        <f>IFERROR(__xludf.DUMMYFUNCTION("""COMPUTED_VALUE"""),"I like bananas")</f>
        <v>I like bananas</v>
      </c>
      <c r="D351" s="41" t="str">
        <f>IFERROR(__xludf.DUMMYFUNCTION("""COMPUTED_VALUE"""),"Mages
Legati")</f>
        <v>Mages
Legati</v>
      </c>
      <c r="E351" s="136">
        <f>IFERROR(__xludf.DUMMYFUNCTION("""COMPUTED_VALUE"""),22.0)</f>
        <v>22</v>
      </c>
      <c r="F351" s="136">
        <f>IFERROR(__xludf.DUMMYFUNCTION("""COMPUTED_VALUE"""),9.0)</f>
        <v>9</v>
      </c>
      <c r="G351" s="136">
        <f>IFERROR(__xludf.DUMMYFUNCTION("""COMPUTED_VALUE"""),13.0)</f>
        <v>13</v>
      </c>
      <c r="H351" s="137">
        <f>IFERROR(__xludf.DUMMYFUNCTION("""COMPUTED_VALUE"""),0.4090909090909091)</f>
        <v>0.4090909091</v>
      </c>
      <c r="I351" s="136">
        <f>IFERROR(__xludf.DUMMYFUNCTION("""COMPUTED_VALUE"""),2.0)</f>
        <v>2</v>
      </c>
      <c r="J351" s="136">
        <f>IFERROR(__xludf.DUMMYFUNCTION("""COMPUTED_VALUE"""),7447.0)</f>
        <v>7447</v>
      </c>
      <c r="K351" s="136">
        <f>IFERROR(__xludf.DUMMYFUNCTION("""COMPUTED_VALUE"""),18.0)</f>
        <v>18</v>
      </c>
      <c r="L351" s="136">
        <f>IFERROR(__xludf.DUMMYFUNCTION("""COMPUTED_VALUE"""),12.0)</f>
        <v>12</v>
      </c>
      <c r="M351" s="136">
        <f>IFERROR(__xludf.DUMMYFUNCTION("""COMPUTED_VALUE"""),29.0)</f>
        <v>29</v>
      </c>
      <c r="N351" s="136">
        <f>IFERROR(__xludf.DUMMYFUNCTION("""COMPUTED_VALUE"""),50.0)</f>
        <v>50</v>
      </c>
      <c r="O351" s="138">
        <f>IFERROR(__xludf.DUMMYFUNCTION("""COMPUTED_VALUE"""),5.0)</f>
        <v>5</v>
      </c>
      <c r="P351" s="138">
        <f>IFERROR(__xludf.DUMMYFUNCTION("""COMPUTED_VALUE"""),2.0)</f>
        <v>2</v>
      </c>
      <c r="Q351" s="138">
        <f>IFERROR(__xludf.DUMMYFUNCTION("""COMPUTED_VALUE"""),1.0)</f>
        <v>1</v>
      </c>
      <c r="R351" s="138">
        <f>IFERROR(__xludf.DUMMYFUNCTION("""COMPUTED_VALUE"""),3.0)</f>
        <v>3</v>
      </c>
      <c r="S351" s="139">
        <f>IFERROR(__xludf.DUMMYFUNCTION("""COMPUTED_VALUE"""),183.0)</f>
        <v>183</v>
      </c>
      <c r="T351" s="140">
        <f>IFERROR(__xludf.DUMMYFUNCTION("""COMPUTED_VALUE"""),69.0)</f>
        <v>69</v>
      </c>
      <c r="U351" s="136">
        <f>IFERROR(__xludf.DUMMYFUNCTION("""COMPUTED_VALUE"""),16.0)</f>
        <v>16</v>
      </c>
      <c r="V351" s="136">
        <f>IFERROR(__xludf.DUMMYFUNCTION("""COMPUTED_VALUE"""),19.0)</f>
        <v>19</v>
      </c>
      <c r="W351" s="136">
        <f>IFERROR(__xludf.DUMMYFUNCTION("""COMPUTED_VALUE"""),23.0)</f>
        <v>23</v>
      </c>
      <c r="X351" s="136">
        <f>IFERROR(__xludf.DUMMYFUNCTION("""COMPUTED_VALUE"""),331.40909090909093)</f>
        <v>331.4090909</v>
      </c>
      <c r="Y351" s="141">
        <f>IFERROR(__xludf.DUMMYFUNCTION("""COMPUTED_VALUE"""),45.050000000000004)</f>
        <v>45.05</v>
      </c>
      <c r="Z351" s="141">
        <f>IFERROR(__xludf.DUMMYFUNCTION("""COMPUTED_VALUE"""),1968.8181818181818)</f>
        <v>1968.818182</v>
      </c>
    </row>
    <row r="352">
      <c r="A352" s="41" t="str">
        <f>IFERROR(__xludf.DUMMYFUNCTION("""COMPUTED_VALUE"""),"Challenger")</f>
        <v>Challenger</v>
      </c>
      <c r="B352" s="41" t="str">
        <f>IFERROR(__xludf.DUMMYFUNCTION("""COMPUTED_VALUE"""),"RSC006177")</f>
        <v>RSC006177</v>
      </c>
      <c r="C352" s="41" t="str">
        <f>IFERROR(__xludf.DUMMYFUNCTION("""COMPUTED_VALUE"""),"Flyerrr85")</f>
        <v>Flyerrr85</v>
      </c>
      <c r="D352" s="41" t="str">
        <f>IFERROR(__xludf.DUMMYFUNCTION("""COMPUTED_VALUE"""),"Corals
Warbirds")</f>
        <v>Corals
Warbirds</v>
      </c>
      <c r="E352" s="136">
        <f>IFERROR(__xludf.DUMMYFUNCTION("""COMPUTED_VALUE"""),56.0)</f>
        <v>56</v>
      </c>
      <c r="F352" s="136">
        <f>IFERROR(__xludf.DUMMYFUNCTION("""COMPUTED_VALUE"""),29.0)</f>
        <v>29</v>
      </c>
      <c r="G352" s="136">
        <f>IFERROR(__xludf.DUMMYFUNCTION("""COMPUTED_VALUE"""),27.0)</f>
        <v>27</v>
      </c>
      <c r="H352" s="137">
        <f>IFERROR(__xludf.DUMMYFUNCTION("""COMPUTED_VALUE"""),0.5178571428571429)</f>
        <v>0.5178571429</v>
      </c>
      <c r="I352" s="136">
        <f>IFERROR(__xludf.DUMMYFUNCTION("""COMPUTED_VALUE"""),16.0)</f>
        <v>16</v>
      </c>
      <c r="J352" s="136">
        <f>IFERROR(__xludf.DUMMYFUNCTION("""COMPUTED_VALUE"""),22575.0)</f>
        <v>22575</v>
      </c>
      <c r="K352" s="136">
        <f>IFERROR(__xludf.DUMMYFUNCTION("""COMPUTED_VALUE"""),52.0)</f>
        <v>52</v>
      </c>
      <c r="L352" s="136">
        <f>IFERROR(__xludf.DUMMYFUNCTION("""COMPUTED_VALUE"""),41.0)</f>
        <v>41</v>
      </c>
      <c r="M352" s="136">
        <f>IFERROR(__xludf.DUMMYFUNCTION("""COMPUTED_VALUE"""),72.0)</f>
        <v>72</v>
      </c>
      <c r="N352" s="136">
        <f>IFERROR(__xludf.DUMMYFUNCTION("""COMPUTED_VALUE"""),194.0)</f>
        <v>194</v>
      </c>
      <c r="O352" s="138">
        <f>IFERROR(__xludf.DUMMYFUNCTION("""COMPUTED_VALUE"""),16.0)</f>
        <v>16</v>
      </c>
      <c r="P352" s="138">
        <f>IFERROR(__xludf.DUMMYFUNCTION("""COMPUTED_VALUE"""),6.0)</f>
        <v>6</v>
      </c>
      <c r="Q352" s="138">
        <f>IFERROR(__xludf.DUMMYFUNCTION("""COMPUTED_VALUE"""),0.0)</f>
        <v>0</v>
      </c>
      <c r="R352" s="138">
        <f>IFERROR(__xludf.DUMMYFUNCTION("""COMPUTED_VALUE"""),8.0)</f>
        <v>8</v>
      </c>
      <c r="S352" s="139">
        <f>IFERROR(__xludf.DUMMYFUNCTION("""COMPUTED_VALUE"""),398.0)</f>
        <v>398</v>
      </c>
      <c r="T352" s="140">
        <f>IFERROR(__xludf.DUMMYFUNCTION("""COMPUTED_VALUE"""),117.0)</f>
        <v>117</v>
      </c>
      <c r="U352" s="136">
        <f>IFERROR(__xludf.DUMMYFUNCTION("""COMPUTED_VALUE"""),39.0)</f>
        <v>39</v>
      </c>
      <c r="V352" s="136">
        <f>IFERROR(__xludf.DUMMYFUNCTION("""COMPUTED_VALUE"""),38.0)</f>
        <v>38</v>
      </c>
      <c r="W352" s="136">
        <f>IFERROR(__xludf.DUMMYFUNCTION("""COMPUTED_VALUE"""),64.0)</f>
        <v>64</v>
      </c>
      <c r="X352" s="136">
        <f>IFERROR(__xludf.DUMMYFUNCTION("""COMPUTED_VALUE"""),320.64285714285717)</f>
        <v>320.6428571</v>
      </c>
      <c r="Y352" s="141">
        <f>IFERROR(__xludf.DUMMYFUNCTION("""COMPUTED_VALUE"""),53.33017857142857)</f>
        <v>53.33017857</v>
      </c>
      <c r="Z352" s="141">
        <f>IFERROR(__xludf.DUMMYFUNCTION("""COMPUTED_VALUE"""),2012.6785714285713)</f>
        <v>2012.678571</v>
      </c>
    </row>
    <row r="353">
      <c r="A353" s="41" t="str">
        <f>IFERROR(__xludf.DUMMYFUNCTION("""COMPUTED_VALUE"""),"Veteran")</f>
        <v>Veteran</v>
      </c>
      <c r="B353" s="41" t="str">
        <f>IFERROR(__xludf.DUMMYFUNCTION("""COMPUTED_VALUE"""),"RSC006187")</f>
        <v>RSC006187</v>
      </c>
      <c r="C353" s="41" t="str">
        <f>IFERROR(__xludf.DUMMYFUNCTION("""COMPUTED_VALUE"""),"1999 Toyota Camry")</f>
        <v>1999 Toyota Camry</v>
      </c>
      <c r="D353" s="41" t="str">
        <f>IFERROR(__xludf.DUMMYFUNCTION("""COMPUTED_VALUE"""),"Fer-de-Lance")</f>
        <v>Fer-de-Lance</v>
      </c>
      <c r="E353" s="136">
        <f>IFERROR(__xludf.DUMMYFUNCTION("""COMPUTED_VALUE"""),4.0)</f>
        <v>4</v>
      </c>
      <c r="F353" s="136">
        <f>IFERROR(__xludf.DUMMYFUNCTION("""COMPUTED_VALUE"""),0.0)</f>
        <v>0</v>
      </c>
      <c r="G353" s="136">
        <f>IFERROR(__xludf.DUMMYFUNCTION("""COMPUTED_VALUE"""),4.0)</f>
        <v>4</v>
      </c>
      <c r="H353" s="137">
        <f>IFERROR(__xludf.DUMMYFUNCTION("""COMPUTED_VALUE"""),0.0)</f>
        <v>0</v>
      </c>
      <c r="I353" s="136">
        <f>IFERROR(__xludf.DUMMYFUNCTION("""COMPUTED_VALUE"""),0.0)</f>
        <v>0</v>
      </c>
      <c r="J353" s="136">
        <f>IFERROR(__xludf.DUMMYFUNCTION("""COMPUTED_VALUE"""),664.0)</f>
        <v>664</v>
      </c>
      <c r="K353" s="136">
        <f>IFERROR(__xludf.DUMMYFUNCTION("""COMPUTED_VALUE"""),1.0)</f>
        <v>1</v>
      </c>
      <c r="L353" s="136">
        <f>IFERROR(__xludf.DUMMYFUNCTION("""COMPUTED_VALUE"""),1.0)</f>
        <v>1</v>
      </c>
      <c r="M353" s="136">
        <f>IFERROR(__xludf.DUMMYFUNCTION("""COMPUTED_VALUE"""),3.0)</f>
        <v>3</v>
      </c>
      <c r="N353" s="136">
        <f>IFERROR(__xludf.DUMMYFUNCTION("""COMPUTED_VALUE"""),5.0)</f>
        <v>5</v>
      </c>
      <c r="O353" s="138">
        <f>IFERROR(__xludf.DUMMYFUNCTION("""COMPUTED_VALUE"""),0.0)</f>
        <v>0</v>
      </c>
      <c r="P353" s="138">
        <f>IFERROR(__xludf.DUMMYFUNCTION("""COMPUTED_VALUE"""),0.0)</f>
        <v>0</v>
      </c>
      <c r="Q353" s="138">
        <f>IFERROR(__xludf.DUMMYFUNCTION("""COMPUTED_VALUE"""),0.0)</f>
        <v>0</v>
      </c>
      <c r="R353" s="138">
        <f>IFERROR(__xludf.DUMMYFUNCTION("""COMPUTED_VALUE"""),0.0)</f>
        <v>0</v>
      </c>
      <c r="S353" s="139">
        <f>IFERROR(__xludf.DUMMYFUNCTION("""COMPUTED_VALUE"""),43.0)</f>
        <v>43</v>
      </c>
      <c r="T353" s="140">
        <f>IFERROR(__xludf.DUMMYFUNCTION("""COMPUTED_VALUE"""),13.0)</f>
        <v>13</v>
      </c>
      <c r="U353" s="136">
        <f>IFERROR(__xludf.DUMMYFUNCTION("""COMPUTED_VALUE"""),3.0)</f>
        <v>3</v>
      </c>
      <c r="V353" s="136">
        <f>IFERROR(__xludf.DUMMYFUNCTION("""COMPUTED_VALUE"""),3.0)</f>
        <v>3</v>
      </c>
      <c r="W353" s="136">
        <f>IFERROR(__xludf.DUMMYFUNCTION("""COMPUTED_VALUE"""),6.0)</f>
        <v>6</v>
      </c>
      <c r="X353" s="136">
        <f>IFERROR(__xludf.DUMMYFUNCTION("""COMPUTED_VALUE"""),354.75)</f>
        <v>354.75</v>
      </c>
      <c r="Y353" s="141">
        <f>IFERROR(__xludf.DUMMYFUNCTION("""COMPUTED_VALUE"""),40.635000000000005)</f>
        <v>40.635</v>
      </c>
      <c r="Z353" s="141">
        <f>IFERROR(__xludf.DUMMYFUNCTION("""COMPUTED_VALUE"""),1946.25)</f>
        <v>1946.25</v>
      </c>
    </row>
    <row r="354">
      <c r="A354" s="41" t="str">
        <f>IFERROR(__xludf.DUMMYFUNCTION("""COMPUTED_VALUE"""),"Rival")</f>
        <v>Rival</v>
      </c>
      <c r="B354" s="41" t="str">
        <f>IFERROR(__xludf.DUMMYFUNCTION("""COMPUTED_VALUE"""),"RSC006187")</f>
        <v>RSC006187</v>
      </c>
      <c r="C354" s="41" t="str">
        <f>IFERROR(__xludf.DUMMYFUNCTION("""COMPUTED_VALUE"""),"1999 Toyota Camry")</f>
        <v>1999 Toyota Camry</v>
      </c>
      <c r="D354" s="41" t="str">
        <f>IFERROR(__xludf.DUMMYFUNCTION("""COMPUTED_VALUE"""),"Gaboons")</f>
        <v>Gaboons</v>
      </c>
      <c r="E354" s="136">
        <f>IFERROR(__xludf.DUMMYFUNCTION("""COMPUTED_VALUE"""),16.0)</f>
        <v>16</v>
      </c>
      <c r="F354" s="136">
        <f>IFERROR(__xludf.DUMMYFUNCTION("""COMPUTED_VALUE"""),8.0)</f>
        <v>8</v>
      </c>
      <c r="G354" s="136">
        <f>IFERROR(__xludf.DUMMYFUNCTION("""COMPUTED_VALUE"""),8.0)</f>
        <v>8</v>
      </c>
      <c r="H354" s="137">
        <f>IFERROR(__xludf.DUMMYFUNCTION("""COMPUTED_VALUE"""),0.5)</f>
        <v>0.5</v>
      </c>
      <c r="I354" s="136">
        <f>IFERROR(__xludf.DUMMYFUNCTION("""COMPUTED_VALUE"""),4.0)</f>
        <v>4</v>
      </c>
      <c r="J354" s="136">
        <f>IFERROR(__xludf.DUMMYFUNCTION("""COMPUTED_VALUE"""),5685.0)</f>
        <v>5685</v>
      </c>
      <c r="K354" s="136">
        <f>IFERROR(__xludf.DUMMYFUNCTION("""COMPUTED_VALUE"""),14.0)</f>
        <v>14</v>
      </c>
      <c r="L354" s="136">
        <f>IFERROR(__xludf.DUMMYFUNCTION("""COMPUTED_VALUE"""),13.0)</f>
        <v>13</v>
      </c>
      <c r="M354" s="136">
        <f>IFERROR(__xludf.DUMMYFUNCTION("""COMPUTED_VALUE"""),20.0)</f>
        <v>20</v>
      </c>
      <c r="N354" s="136">
        <f>IFERROR(__xludf.DUMMYFUNCTION("""COMPUTED_VALUE"""),38.0)</f>
        <v>38</v>
      </c>
      <c r="O354" s="138">
        <f>IFERROR(__xludf.DUMMYFUNCTION("""COMPUTED_VALUE"""),7.0)</f>
        <v>7</v>
      </c>
      <c r="P354" s="138">
        <f>IFERROR(__xludf.DUMMYFUNCTION("""COMPUTED_VALUE"""),0.0)</f>
        <v>0</v>
      </c>
      <c r="Q354" s="138">
        <f>IFERROR(__xludf.DUMMYFUNCTION("""COMPUTED_VALUE"""),0.0)</f>
        <v>0</v>
      </c>
      <c r="R354" s="138">
        <f>IFERROR(__xludf.DUMMYFUNCTION("""COMPUTED_VALUE"""),3.0)</f>
        <v>3</v>
      </c>
      <c r="S354" s="139">
        <f>IFERROR(__xludf.DUMMYFUNCTION("""COMPUTED_VALUE"""),127.0)</f>
        <v>127</v>
      </c>
      <c r="T354" s="140">
        <f>IFERROR(__xludf.DUMMYFUNCTION("""COMPUTED_VALUE"""),44.0)</f>
        <v>44</v>
      </c>
      <c r="U354" s="136">
        <f>IFERROR(__xludf.DUMMYFUNCTION("""COMPUTED_VALUE"""),11.0)</f>
        <v>11</v>
      </c>
      <c r="V354" s="136">
        <f>IFERROR(__xludf.DUMMYFUNCTION("""COMPUTED_VALUE"""),23.0)</f>
        <v>23</v>
      </c>
      <c r="W354" s="136">
        <f>IFERROR(__xludf.DUMMYFUNCTION("""COMPUTED_VALUE"""),10.0)</f>
        <v>10</v>
      </c>
      <c r="X354" s="136"/>
      <c r="Y354" s="41"/>
      <c r="Z354" s="41"/>
    </row>
    <row r="355">
      <c r="A355" s="41" t="str">
        <f>IFERROR(__xludf.DUMMYFUNCTION("""COMPUTED_VALUE"""),"Challenger")</f>
        <v>Challenger</v>
      </c>
      <c r="B355" s="41" t="str">
        <f>IFERROR(__xludf.DUMMYFUNCTION("""COMPUTED_VALUE"""),"RSC006187")</f>
        <v>RSC006187</v>
      </c>
      <c r="C355" s="41" t="str">
        <f>IFERROR(__xludf.DUMMYFUNCTION("""COMPUTED_VALUE"""),"1999 Toyota Camry")</f>
        <v>1999 Toyota Camry</v>
      </c>
      <c r="D355" s="41" t="str">
        <f>IFERROR(__xludf.DUMMYFUNCTION("""COMPUTED_VALUE"""),"Corals")</f>
        <v>Corals</v>
      </c>
      <c r="E355" s="136">
        <f>IFERROR(__xludf.DUMMYFUNCTION("""COMPUTED_VALUE"""),11.0)</f>
        <v>11</v>
      </c>
      <c r="F355" s="136">
        <f>IFERROR(__xludf.DUMMYFUNCTION("""COMPUTED_VALUE"""),4.0)</f>
        <v>4</v>
      </c>
      <c r="G355" s="136">
        <f>IFERROR(__xludf.DUMMYFUNCTION("""COMPUTED_VALUE"""),7.0)</f>
        <v>7</v>
      </c>
      <c r="H355" s="137">
        <f>IFERROR(__xludf.DUMMYFUNCTION("""COMPUTED_VALUE"""),0.36363636363636365)</f>
        <v>0.3636363636</v>
      </c>
      <c r="I355" s="136">
        <f>IFERROR(__xludf.DUMMYFUNCTION("""COMPUTED_VALUE"""),0.0)</f>
        <v>0</v>
      </c>
      <c r="J355" s="136">
        <f>IFERROR(__xludf.DUMMYFUNCTION("""COMPUTED_VALUE"""),4058.0)</f>
        <v>4058</v>
      </c>
      <c r="K355" s="136">
        <f>IFERROR(__xludf.DUMMYFUNCTION("""COMPUTED_VALUE"""),13.0)</f>
        <v>13</v>
      </c>
      <c r="L355" s="136">
        <f>IFERROR(__xludf.DUMMYFUNCTION("""COMPUTED_VALUE"""),6.0)</f>
        <v>6</v>
      </c>
      <c r="M355" s="136">
        <f>IFERROR(__xludf.DUMMYFUNCTION("""COMPUTED_VALUE"""),11.0)</f>
        <v>11</v>
      </c>
      <c r="N355" s="136">
        <f>IFERROR(__xludf.DUMMYFUNCTION("""COMPUTED_VALUE"""),32.0)</f>
        <v>32</v>
      </c>
      <c r="O355" s="138">
        <f>IFERROR(__xludf.DUMMYFUNCTION("""COMPUTED_VALUE"""),5.0)</f>
        <v>5</v>
      </c>
      <c r="P355" s="138">
        <f>IFERROR(__xludf.DUMMYFUNCTION("""COMPUTED_VALUE"""),1.0)</f>
        <v>1</v>
      </c>
      <c r="Q355" s="138">
        <f>IFERROR(__xludf.DUMMYFUNCTION("""COMPUTED_VALUE"""),0.0)</f>
        <v>0</v>
      </c>
      <c r="R355" s="138">
        <f>IFERROR(__xludf.DUMMYFUNCTION("""COMPUTED_VALUE"""),1.0)</f>
        <v>1</v>
      </c>
      <c r="S355" s="139">
        <f>IFERROR(__xludf.DUMMYFUNCTION("""COMPUTED_VALUE"""),86.0)</f>
        <v>86</v>
      </c>
      <c r="T355" s="140">
        <f>IFERROR(__xludf.DUMMYFUNCTION("""COMPUTED_VALUE"""),28.0)</f>
        <v>28</v>
      </c>
      <c r="U355" s="136">
        <f>IFERROR(__xludf.DUMMYFUNCTION("""COMPUTED_VALUE"""),9.0)</f>
        <v>9</v>
      </c>
      <c r="V355" s="136">
        <f>IFERROR(__xludf.DUMMYFUNCTION("""COMPUTED_VALUE"""),11.0)</f>
        <v>11</v>
      </c>
      <c r="W355" s="136">
        <f>IFERROR(__xludf.DUMMYFUNCTION("""COMPUTED_VALUE"""),4.0)</f>
        <v>4</v>
      </c>
      <c r="X355" s="136">
        <f>IFERROR(__xludf.DUMMYFUNCTION("""COMPUTED_VALUE"""),346.72727272727275)</f>
        <v>346.7272727</v>
      </c>
      <c r="Y355" s="141">
        <f>IFERROR(__xludf.DUMMYFUNCTION("""COMPUTED_VALUE"""),49.70636363636365)</f>
        <v>49.70636364</v>
      </c>
      <c r="Z355" s="141">
        <f>IFERROR(__xludf.DUMMYFUNCTION("""COMPUTED_VALUE"""),2062.0)</f>
        <v>2062</v>
      </c>
    </row>
    <row r="356">
      <c r="A356" s="41" t="str">
        <f>IFERROR(__xludf.DUMMYFUNCTION("""COMPUTED_VALUE"""),"Elite")</f>
        <v>Elite</v>
      </c>
      <c r="B356" s="41" t="str">
        <f>IFERROR(__xludf.DUMMYFUNCTION("""COMPUTED_VALUE"""),"RSC006193")</f>
        <v>RSC006193</v>
      </c>
      <c r="C356" s="41" t="str">
        <f>IFERROR(__xludf.DUMMYFUNCTION("""COMPUTED_VALUE"""),"Saucy Rexy")</f>
        <v>Saucy Rexy</v>
      </c>
      <c r="D356" s="41" t="str">
        <f>IFERROR(__xludf.DUMMYFUNCTION("""COMPUTED_VALUE"""),"Forest Cobra")</f>
        <v>Forest Cobra</v>
      </c>
      <c r="E356" s="136">
        <f>IFERROR(__xludf.DUMMYFUNCTION("""COMPUTED_VALUE"""),51.0)</f>
        <v>51</v>
      </c>
      <c r="F356" s="136">
        <f>IFERROR(__xludf.DUMMYFUNCTION("""COMPUTED_VALUE"""),34.0)</f>
        <v>34</v>
      </c>
      <c r="G356" s="136">
        <f>IFERROR(__xludf.DUMMYFUNCTION("""COMPUTED_VALUE"""),17.0)</f>
        <v>17</v>
      </c>
      <c r="H356" s="137">
        <f>IFERROR(__xludf.DUMMYFUNCTION("""COMPUTED_VALUE"""),0.6666666666666666)</f>
        <v>0.6666666667</v>
      </c>
      <c r="I356" s="136">
        <f>IFERROR(__xludf.DUMMYFUNCTION("""COMPUTED_VALUE"""),9.0)</f>
        <v>9</v>
      </c>
      <c r="J356" s="136">
        <f>IFERROR(__xludf.DUMMYFUNCTION("""COMPUTED_VALUE"""),18239.0)</f>
        <v>18239</v>
      </c>
      <c r="K356" s="136">
        <f>IFERROR(__xludf.DUMMYFUNCTION("""COMPUTED_VALUE"""),51.0)</f>
        <v>51</v>
      </c>
      <c r="L356" s="136">
        <f>IFERROR(__xludf.DUMMYFUNCTION("""COMPUTED_VALUE"""),42.0)</f>
        <v>42</v>
      </c>
      <c r="M356" s="136">
        <f>IFERROR(__xludf.DUMMYFUNCTION("""COMPUTED_VALUE"""),49.0)</f>
        <v>49</v>
      </c>
      <c r="N356" s="136">
        <f>IFERROR(__xludf.DUMMYFUNCTION("""COMPUTED_VALUE"""),156.0)</f>
        <v>156</v>
      </c>
      <c r="O356" s="138">
        <f>IFERROR(__xludf.DUMMYFUNCTION("""COMPUTED_VALUE"""),10.0)</f>
        <v>10</v>
      </c>
      <c r="P356" s="138">
        <f>IFERROR(__xludf.DUMMYFUNCTION("""COMPUTED_VALUE"""),5.0)</f>
        <v>5</v>
      </c>
      <c r="Q356" s="138">
        <f>IFERROR(__xludf.DUMMYFUNCTION("""COMPUTED_VALUE"""),2.0)</f>
        <v>2</v>
      </c>
      <c r="R356" s="138">
        <f>IFERROR(__xludf.DUMMYFUNCTION("""COMPUTED_VALUE"""),4.0)</f>
        <v>4</v>
      </c>
      <c r="S356" s="139">
        <f>IFERROR(__xludf.DUMMYFUNCTION("""COMPUTED_VALUE"""),385.0)</f>
        <v>385</v>
      </c>
      <c r="T356" s="140">
        <f>IFERROR(__xludf.DUMMYFUNCTION("""COMPUTED_VALUE"""),102.0)</f>
        <v>102</v>
      </c>
      <c r="U356" s="136">
        <f>IFERROR(__xludf.DUMMYFUNCTION("""COMPUTED_VALUE"""),29.0)</f>
        <v>29</v>
      </c>
      <c r="V356" s="136">
        <f>IFERROR(__xludf.DUMMYFUNCTION("""COMPUTED_VALUE"""),35.0)</f>
        <v>35</v>
      </c>
      <c r="W356" s="136">
        <f>IFERROR(__xludf.DUMMYFUNCTION("""COMPUTED_VALUE"""),70.0)</f>
        <v>70</v>
      </c>
      <c r="X356" s="136">
        <f>IFERROR(__xludf.DUMMYFUNCTION("""COMPUTED_VALUE"""),342.84313725490193)</f>
        <v>342.8431373</v>
      </c>
      <c r="Y356" s="141">
        <f>IFERROR(__xludf.DUMMYFUNCTION("""COMPUTED_VALUE"""),49.283529411764704)</f>
        <v>49.28352941</v>
      </c>
      <c r="Z356" s="141">
        <f>IFERROR(__xludf.DUMMYFUNCTION("""COMPUTED_VALUE"""),2113.3333333333335)</f>
        <v>2113.333333</v>
      </c>
    </row>
    <row r="357">
      <c r="A357" s="41" t="str">
        <f>IFERROR(__xludf.DUMMYFUNCTION("""COMPUTED_VALUE"""),"Veteran")</f>
        <v>Veteran</v>
      </c>
      <c r="B357" s="41" t="str">
        <f>IFERROR(__xludf.DUMMYFUNCTION("""COMPUTED_VALUE"""),"RSC006199")</f>
        <v>RSC006199</v>
      </c>
      <c r="C357" s="41" t="str">
        <f>IFERROR(__xludf.DUMMYFUNCTION("""COMPUTED_VALUE"""),"Irozuh-")</f>
        <v>Irozuh-</v>
      </c>
      <c r="D357" s="41" t="str">
        <f>IFERROR(__xludf.DUMMYFUNCTION("""COMPUTED_VALUE"""),"Giant Squids")</f>
        <v>Giant Squids</v>
      </c>
      <c r="E357" s="136">
        <f>IFERROR(__xludf.DUMMYFUNCTION("""COMPUTED_VALUE"""),29.0)</f>
        <v>29</v>
      </c>
      <c r="F357" s="136">
        <f>IFERROR(__xludf.DUMMYFUNCTION("""COMPUTED_VALUE"""),15.0)</f>
        <v>15</v>
      </c>
      <c r="G357" s="136">
        <f>IFERROR(__xludf.DUMMYFUNCTION("""COMPUTED_VALUE"""),14.0)</f>
        <v>14</v>
      </c>
      <c r="H357" s="137">
        <f>IFERROR(__xludf.DUMMYFUNCTION("""COMPUTED_VALUE"""),0.5172413793103449)</f>
        <v>0.5172413793</v>
      </c>
      <c r="I357" s="136">
        <f>IFERROR(__xludf.DUMMYFUNCTION("""COMPUTED_VALUE"""),3.0)</f>
        <v>3</v>
      </c>
      <c r="J357" s="136">
        <f>IFERROR(__xludf.DUMMYFUNCTION("""COMPUTED_VALUE"""),9158.0)</f>
        <v>9158</v>
      </c>
      <c r="K357" s="136">
        <f>IFERROR(__xludf.DUMMYFUNCTION("""COMPUTED_VALUE"""),17.0)</f>
        <v>17</v>
      </c>
      <c r="L357" s="136">
        <f>IFERROR(__xludf.DUMMYFUNCTION("""COMPUTED_VALUE"""),14.0)</f>
        <v>14</v>
      </c>
      <c r="M357" s="136">
        <f>IFERROR(__xludf.DUMMYFUNCTION("""COMPUTED_VALUE"""),45.0)</f>
        <v>45</v>
      </c>
      <c r="N357" s="136">
        <f>IFERROR(__xludf.DUMMYFUNCTION("""COMPUTED_VALUE"""),56.0)</f>
        <v>56</v>
      </c>
      <c r="O357" s="138">
        <f>IFERROR(__xludf.DUMMYFUNCTION("""COMPUTED_VALUE"""),5.0)</f>
        <v>5</v>
      </c>
      <c r="P357" s="138">
        <f>IFERROR(__xludf.DUMMYFUNCTION("""COMPUTED_VALUE"""),0.0)</f>
        <v>0</v>
      </c>
      <c r="Q357" s="138">
        <f>IFERROR(__xludf.DUMMYFUNCTION("""COMPUTED_VALUE"""),0.0)</f>
        <v>0</v>
      </c>
      <c r="R357" s="138">
        <f>IFERROR(__xludf.DUMMYFUNCTION("""COMPUTED_VALUE"""),7.0)</f>
        <v>7</v>
      </c>
      <c r="S357" s="139">
        <f>IFERROR(__xludf.DUMMYFUNCTION("""COMPUTED_VALUE"""),221.0)</f>
        <v>221</v>
      </c>
      <c r="T357" s="140">
        <f>IFERROR(__xludf.DUMMYFUNCTION("""COMPUTED_VALUE"""),71.0)</f>
        <v>71</v>
      </c>
      <c r="U357" s="136">
        <f>IFERROR(__xludf.DUMMYFUNCTION("""COMPUTED_VALUE"""),20.0)</f>
        <v>20</v>
      </c>
      <c r="V357" s="136">
        <f>IFERROR(__xludf.DUMMYFUNCTION("""COMPUTED_VALUE"""),22.0)</f>
        <v>22</v>
      </c>
      <c r="W357" s="136">
        <f>IFERROR(__xludf.DUMMYFUNCTION("""COMPUTED_VALUE"""),28.0)</f>
        <v>28</v>
      </c>
      <c r="X357" s="136">
        <f>IFERROR(__xludf.DUMMYFUNCTION("""COMPUTED_VALUE"""),384.37931034482756)</f>
        <v>384.3793103</v>
      </c>
      <c r="Y357" s="141">
        <f>IFERROR(__xludf.DUMMYFUNCTION("""COMPUTED_VALUE"""),45.814827586206896)</f>
        <v>45.81482759</v>
      </c>
      <c r="Z357" s="141">
        <f>IFERROR(__xludf.DUMMYFUNCTION("""COMPUTED_VALUE"""),2298.9655172413795)</f>
        <v>2298.965517</v>
      </c>
    </row>
    <row r="358">
      <c r="A358" s="41" t="str">
        <f>IFERROR(__xludf.DUMMYFUNCTION("""COMPUTED_VALUE"""),"Rival")</f>
        <v>Rival</v>
      </c>
      <c r="B358" s="41" t="str">
        <f>IFERROR(__xludf.DUMMYFUNCTION("""COMPUTED_VALUE"""),"RSC006209")</f>
        <v>RSC006209</v>
      </c>
      <c r="C358" s="41" t="str">
        <f>IFERROR(__xludf.DUMMYFUNCTION("""COMPUTED_VALUE"""),"Celiscy")</f>
        <v>Celiscy</v>
      </c>
      <c r="D358" s="41" t="str">
        <f>IFERROR(__xludf.DUMMYFUNCTION("""COMPUTED_VALUE"""),"Nightfall
Tax Evaders")</f>
        <v>Nightfall
Tax Evaders</v>
      </c>
      <c r="E358" s="136">
        <f>IFERROR(__xludf.DUMMYFUNCTION("""COMPUTED_VALUE"""),52.0)</f>
        <v>52</v>
      </c>
      <c r="F358" s="136">
        <f>IFERROR(__xludf.DUMMYFUNCTION("""COMPUTED_VALUE"""),24.0)</f>
        <v>24</v>
      </c>
      <c r="G358" s="136">
        <f>IFERROR(__xludf.DUMMYFUNCTION("""COMPUTED_VALUE"""),28.0)</f>
        <v>28</v>
      </c>
      <c r="H358" s="137">
        <f>IFERROR(__xludf.DUMMYFUNCTION("""COMPUTED_VALUE"""),0.46153846153846156)</f>
        <v>0.4615384615</v>
      </c>
      <c r="I358" s="136">
        <f>IFERROR(__xludf.DUMMYFUNCTION("""COMPUTED_VALUE"""),15.0)</f>
        <v>15</v>
      </c>
      <c r="J358" s="136">
        <f>IFERROR(__xludf.DUMMYFUNCTION("""COMPUTED_VALUE"""),19417.0)</f>
        <v>19417</v>
      </c>
      <c r="K358" s="136">
        <f>IFERROR(__xludf.DUMMYFUNCTION("""COMPUTED_VALUE"""),57.0)</f>
        <v>57</v>
      </c>
      <c r="L358" s="136">
        <f>IFERROR(__xludf.DUMMYFUNCTION("""COMPUTED_VALUE"""),19.0)</f>
        <v>19</v>
      </c>
      <c r="M358" s="136">
        <f>IFERROR(__xludf.DUMMYFUNCTION("""COMPUTED_VALUE"""),66.0)</f>
        <v>66</v>
      </c>
      <c r="N358" s="136">
        <f>IFERROR(__xludf.DUMMYFUNCTION("""COMPUTED_VALUE"""),151.0)</f>
        <v>151</v>
      </c>
      <c r="O358" s="138">
        <f>IFERROR(__xludf.DUMMYFUNCTION("""COMPUTED_VALUE"""),9.0)</f>
        <v>9</v>
      </c>
      <c r="P358" s="138">
        <f>IFERROR(__xludf.DUMMYFUNCTION("""COMPUTED_VALUE"""),3.0)</f>
        <v>3</v>
      </c>
      <c r="Q358" s="138">
        <f>IFERROR(__xludf.DUMMYFUNCTION("""COMPUTED_VALUE"""),0.0)</f>
        <v>0</v>
      </c>
      <c r="R358" s="138">
        <f>IFERROR(__xludf.DUMMYFUNCTION("""COMPUTED_VALUE"""),6.0)</f>
        <v>6</v>
      </c>
      <c r="S358" s="139">
        <f>IFERROR(__xludf.DUMMYFUNCTION("""COMPUTED_VALUE"""),391.0)</f>
        <v>391</v>
      </c>
      <c r="T358" s="140">
        <f>IFERROR(__xludf.DUMMYFUNCTION("""COMPUTED_VALUE"""),128.0)</f>
        <v>128</v>
      </c>
      <c r="U358" s="136">
        <f>IFERROR(__xludf.DUMMYFUNCTION("""COMPUTED_VALUE"""),51.0)</f>
        <v>51</v>
      </c>
      <c r="V358" s="136">
        <f>IFERROR(__xludf.DUMMYFUNCTION("""COMPUTED_VALUE"""),57.0)</f>
        <v>57</v>
      </c>
      <c r="W358" s="136">
        <f>IFERROR(__xludf.DUMMYFUNCTION("""COMPUTED_VALUE"""),39.0)</f>
        <v>39</v>
      </c>
      <c r="X358" s="136">
        <f>IFERROR(__xludf.DUMMYFUNCTION("""COMPUTED_VALUE"""),345.0576923076923)</f>
        <v>345.0576923</v>
      </c>
      <c r="Y358" s="141">
        <f>IFERROR(__xludf.DUMMYFUNCTION("""COMPUTED_VALUE"""),53.71673076923077)</f>
        <v>53.71673077</v>
      </c>
      <c r="Z358" s="141">
        <f>IFERROR(__xludf.DUMMYFUNCTION("""COMPUTED_VALUE"""),2062.1153846153848)</f>
        <v>2062.115385</v>
      </c>
    </row>
    <row r="359">
      <c r="A359" s="41" t="str">
        <f>IFERROR(__xludf.DUMMYFUNCTION("""COMPUTED_VALUE"""),"Rival")</f>
        <v>Rival</v>
      </c>
      <c r="B359" s="41" t="str">
        <f>IFERROR(__xludf.DUMMYFUNCTION("""COMPUTED_VALUE"""),"RSC006212")</f>
        <v>RSC006212</v>
      </c>
      <c r="C359" s="41" t="str">
        <f>IFERROR(__xludf.DUMMYFUNCTION("""COMPUTED_VALUE"""),"Kingtutt97")</f>
        <v>Kingtutt97</v>
      </c>
      <c r="D359" s="41" t="str">
        <f>IFERROR(__xludf.DUMMYFUNCTION("""COMPUTED_VALUE"""),"Polar Bears")</f>
        <v>Polar Bears</v>
      </c>
      <c r="E359" s="136">
        <f>IFERROR(__xludf.DUMMYFUNCTION("""COMPUTED_VALUE"""),51.0)</f>
        <v>51</v>
      </c>
      <c r="F359" s="136">
        <f>IFERROR(__xludf.DUMMYFUNCTION("""COMPUTED_VALUE"""),29.0)</f>
        <v>29</v>
      </c>
      <c r="G359" s="136">
        <f>IFERROR(__xludf.DUMMYFUNCTION("""COMPUTED_VALUE"""),22.0)</f>
        <v>22</v>
      </c>
      <c r="H359" s="137">
        <f>IFERROR(__xludf.DUMMYFUNCTION("""COMPUTED_VALUE"""),0.5686274509803921)</f>
        <v>0.568627451</v>
      </c>
      <c r="I359" s="136">
        <f>IFERROR(__xludf.DUMMYFUNCTION("""COMPUTED_VALUE"""),8.0)</f>
        <v>8</v>
      </c>
      <c r="J359" s="136">
        <f>IFERROR(__xludf.DUMMYFUNCTION("""COMPUTED_VALUE"""),17791.0)</f>
        <v>17791</v>
      </c>
      <c r="K359" s="136">
        <f>IFERROR(__xludf.DUMMYFUNCTION("""COMPUTED_VALUE"""),40.0)</f>
        <v>40</v>
      </c>
      <c r="L359" s="136">
        <f>IFERROR(__xludf.DUMMYFUNCTION("""COMPUTED_VALUE"""),30.0)</f>
        <v>30</v>
      </c>
      <c r="M359" s="136">
        <f>IFERROR(__xludf.DUMMYFUNCTION("""COMPUTED_VALUE"""),70.0)</f>
        <v>70</v>
      </c>
      <c r="N359" s="136">
        <f>IFERROR(__xludf.DUMMYFUNCTION("""COMPUTED_VALUE"""),113.0)</f>
        <v>113</v>
      </c>
      <c r="O359" s="138">
        <f>IFERROR(__xludf.DUMMYFUNCTION("""COMPUTED_VALUE"""),11.0)</f>
        <v>11</v>
      </c>
      <c r="P359" s="138">
        <f>IFERROR(__xludf.DUMMYFUNCTION("""COMPUTED_VALUE"""),2.0)</f>
        <v>2</v>
      </c>
      <c r="Q359" s="138">
        <f>IFERROR(__xludf.DUMMYFUNCTION("""COMPUTED_VALUE"""),2.0)</f>
        <v>2</v>
      </c>
      <c r="R359" s="138">
        <f>IFERROR(__xludf.DUMMYFUNCTION("""COMPUTED_VALUE"""),9.0)</f>
        <v>9</v>
      </c>
      <c r="S359" s="139">
        <f>IFERROR(__xludf.DUMMYFUNCTION("""COMPUTED_VALUE"""),419.0)</f>
        <v>419</v>
      </c>
      <c r="T359" s="140">
        <f>IFERROR(__xludf.DUMMYFUNCTION("""COMPUTED_VALUE"""),111.0)</f>
        <v>111</v>
      </c>
      <c r="U359" s="136">
        <f>IFERROR(__xludf.DUMMYFUNCTION("""COMPUTED_VALUE"""),34.0)</f>
        <v>34</v>
      </c>
      <c r="V359" s="136">
        <f>IFERROR(__xludf.DUMMYFUNCTION("""COMPUTED_VALUE"""),59.0)</f>
        <v>59</v>
      </c>
      <c r="W359" s="136">
        <f>IFERROR(__xludf.DUMMYFUNCTION("""COMPUTED_VALUE"""),41.0)</f>
        <v>41</v>
      </c>
      <c r="X359" s="136">
        <f>IFERROR(__xludf.DUMMYFUNCTION("""COMPUTED_VALUE"""),392.5882352941176)</f>
        <v>392.5882353</v>
      </c>
      <c r="Y359" s="141">
        <f>IFERROR(__xludf.DUMMYFUNCTION("""COMPUTED_VALUE"""),49.908039215686266)</f>
        <v>49.90803922</v>
      </c>
      <c r="Z359" s="141">
        <f>IFERROR(__xludf.DUMMYFUNCTION("""COMPUTED_VALUE"""),2389.392156862745)</f>
        <v>2389.392157</v>
      </c>
    </row>
    <row r="360">
      <c r="A360" s="41" t="str">
        <f>IFERROR(__xludf.DUMMYFUNCTION("""COMPUTED_VALUE"""),"Elite")</f>
        <v>Elite</v>
      </c>
      <c r="B360" s="41" t="str">
        <f>IFERROR(__xludf.DUMMYFUNCTION("""COMPUTED_VALUE"""),"RSC006218")</f>
        <v>RSC006218</v>
      </c>
      <c r="C360" s="41" t="str">
        <f>IFERROR(__xludf.DUMMYFUNCTION("""COMPUTED_VALUE"""),"Stingray")</f>
        <v>Stingray</v>
      </c>
      <c r="D360" s="41" t="str">
        <f>IFERROR(__xludf.DUMMYFUNCTION("""COMPUTED_VALUE"""),"Afterburners
Hellhounds
Praetorian Guard")</f>
        <v>Afterburners
Hellhounds
Praetorian Guard</v>
      </c>
      <c r="E360" s="136">
        <f>IFERROR(__xludf.DUMMYFUNCTION("""COMPUTED_VALUE"""),34.0)</f>
        <v>34</v>
      </c>
      <c r="F360" s="136">
        <f>IFERROR(__xludf.DUMMYFUNCTION("""COMPUTED_VALUE"""),11.0)</f>
        <v>11</v>
      </c>
      <c r="G360" s="136">
        <f>IFERROR(__xludf.DUMMYFUNCTION("""COMPUTED_VALUE"""),23.0)</f>
        <v>23</v>
      </c>
      <c r="H360" s="137">
        <f>IFERROR(__xludf.DUMMYFUNCTION("""COMPUTED_VALUE"""),0.3235294117647059)</f>
        <v>0.3235294118</v>
      </c>
      <c r="I360" s="136">
        <f>IFERROR(__xludf.DUMMYFUNCTION("""COMPUTED_VALUE"""),2.0)</f>
        <v>2</v>
      </c>
      <c r="J360" s="136">
        <f>IFERROR(__xludf.DUMMYFUNCTION("""COMPUTED_VALUE"""),14234.0)</f>
        <v>14234</v>
      </c>
      <c r="K360" s="136">
        <f>IFERROR(__xludf.DUMMYFUNCTION("""COMPUTED_VALUE"""),27.0)</f>
        <v>27</v>
      </c>
      <c r="L360" s="136">
        <f>IFERROR(__xludf.DUMMYFUNCTION("""COMPUTED_VALUE"""),18.0)</f>
        <v>18</v>
      </c>
      <c r="M360" s="136">
        <f>IFERROR(__xludf.DUMMYFUNCTION("""COMPUTED_VALUE"""),68.0)</f>
        <v>68</v>
      </c>
      <c r="N360" s="136">
        <f>IFERROR(__xludf.DUMMYFUNCTION("""COMPUTED_VALUE"""),90.0)</f>
        <v>90</v>
      </c>
      <c r="O360" s="138">
        <f>IFERROR(__xludf.DUMMYFUNCTION("""COMPUTED_VALUE"""),8.0)</f>
        <v>8</v>
      </c>
      <c r="P360" s="138">
        <f>IFERROR(__xludf.DUMMYFUNCTION("""COMPUTED_VALUE"""),1.0)</f>
        <v>1</v>
      </c>
      <c r="Q360" s="138">
        <f>IFERROR(__xludf.DUMMYFUNCTION("""COMPUTED_VALUE"""),2.0)</f>
        <v>2</v>
      </c>
      <c r="R360" s="138">
        <f>IFERROR(__xludf.DUMMYFUNCTION("""COMPUTED_VALUE"""),9.0)</f>
        <v>9</v>
      </c>
      <c r="S360" s="139">
        <f>IFERROR(__xludf.DUMMYFUNCTION("""COMPUTED_VALUE"""),328.0)</f>
        <v>328</v>
      </c>
      <c r="T360" s="140">
        <f>IFERROR(__xludf.DUMMYFUNCTION("""COMPUTED_VALUE"""),106.0)</f>
        <v>106</v>
      </c>
      <c r="U360" s="136">
        <f>IFERROR(__xludf.DUMMYFUNCTION("""COMPUTED_VALUE"""),33.0)</f>
        <v>33</v>
      </c>
      <c r="V360" s="136">
        <f>IFERROR(__xludf.DUMMYFUNCTION("""COMPUTED_VALUE"""),27.0)</f>
        <v>27</v>
      </c>
      <c r="W360" s="136">
        <f>IFERROR(__xludf.DUMMYFUNCTION("""COMPUTED_VALUE"""),37.0)</f>
        <v>37</v>
      </c>
      <c r="X360" s="136">
        <f>IFERROR(__xludf.DUMMYFUNCTION("""COMPUTED_VALUE"""),371.70588235294116)</f>
        <v>371.7058824</v>
      </c>
      <c r="Y360" s="141">
        <f>IFERROR(__xludf.DUMMYFUNCTION("""COMPUTED_VALUE"""),50.99617647058823)</f>
        <v>50.99617647</v>
      </c>
      <c r="Z360" s="141">
        <f>IFERROR(__xludf.DUMMYFUNCTION("""COMPUTED_VALUE"""),2394.705882352941)</f>
        <v>2394.705882</v>
      </c>
    </row>
    <row r="361">
      <c r="A361" s="41" t="str">
        <f>IFERROR(__xludf.DUMMYFUNCTION("""COMPUTED_VALUE"""),"Rival")</f>
        <v>Rival</v>
      </c>
      <c r="B361" s="41" t="str">
        <f>IFERROR(__xludf.DUMMYFUNCTION("""COMPUTED_VALUE"""),"RSC006225")</f>
        <v>RSC006225</v>
      </c>
      <c r="C361" s="41" t="str">
        <f>IFERROR(__xludf.DUMMYFUNCTION("""COMPUTED_VALUE"""),"renightly")</f>
        <v>renightly</v>
      </c>
      <c r="D361" s="41" t="str">
        <f>IFERROR(__xludf.DUMMYFUNCTION("""COMPUTED_VALUE"""),"Polar Bears")</f>
        <v>Polar Bears</v>
      </c>
      <c r="E361" s="136">
        <f>IFERROR(__xludf.DUMMYFUNCTION("""COMPUTED_VALUE"""),25.0)</f>
        <v>25</v>
      </c>
      <c r="F361" s="136">
        <f>IFERROR(__xludf.DUMMYFUNCTION("""COMPUTED_VALUE"""),11.0)</f>
        <v>11</v>
      </c>
      <c r="G361" s="136">
        <f>IFERROR(__xludf.DUMMYFUNCTION("""COMPUTED_VALUE"""),14.0)</f>
        <v>14</v>
      </c>
      <c r="H361" s="137">
        <f>IFERROR(__xludf.DUMMYFUNCTION("""COMPUTED_VALUE"""),0.44)</f>
        <v>0.44</v>
      </c>
      <c r="I361" s="136">
        <f>IFERROR(__xludf.DUMMYFUNCTION("""COMPUTED_VALUE"""),2.0)</f>
        <v>2</v>
      </c>
      <c r="J361" s="136">
        <f>IFERROR(__xludf.DUMMYFUNCTION("""COMPUTED_VALUE"""),6962.0)</f>
        <v>6962</v>
      </c>
      <c r="K361" s="136">
        <f>IFERROR(__xludf.DUMMYFUNCTION("""COMPUTED_VALUE"""),17.0)</f>
        <v>17</v>
      </c>
      <c r="L361" s="136">
        <f>IFERROR(__xludf.DUMMYFUNCTION("""COMPUTED_VALUE"""),11.0)</f>
        <v>11</v>
      </c>
      <c r="M361" s="136">
        <f>IFERROR(__xludf.DUMMYFUNCTION("""COMPUTED_VALUE"""),16.0)</f>
        <v>16</v>
      </c>
      <c r="N361" s="136">
        <f>IFERROR(__xludf.DUMMYFUNCTION("""COMPUTED_VALUE"""),51.0)</f>
        <v>51</v>
      </c>
      <c r="O361" s="138">
        <f>IFERROR(__xludf.DUMMYFUNCTION("""COMPUTED_VALUE"""),2.0)</f>
        <v>2</v>
      </c>
      <c r="P361" s="138">
        <f>IFERROR(__xludf.DUMMYFUNCTION("""COMPUTED_VALUE"""),0.0)</f>
        <v>0</v>
      </c>
      <c r="Q361" s="138">
        <f>IFERROR(__xludf.DUMMYFUNCTION("""COMPUTED_VALUE"""),1.0)</f>
        <v>1</v>
      </c>
      <c r="R361" s="138">
        <f>IFERROR(__xludf.DUMMYFUNCTION("""COMPUTED_VALUE"""),1.0)</f>
        <v>1</v>
      </c>
      <c r="S361" s="139">
        <f>IFERROR(__xludf.DUMMYFUNCTION("""COMPUTED_VALUE"""),210.0)</f>
        <v>210</v>
      </c>
      <c r="T361" s="140">
        <f>IFERROR(__xludf.DUMMYFUNCTION("""COMPUTED_VALUE"""),71.0)</f>
        <v>71</v>
      </c>
      <c r="U361" s="136">
        <f>IFERROR(__xludf.DUMMYFUNCTION("""COMPUTED_VALUE"""),23.0)</f>
        <v>23</v>
      </c>
      <c r="V361" s="136">
        <f>IFERROR(__xludf.DUMMYFUNCTION("""COMPUTED_VALUE"""),10.0)</f>
        <v>10</v>
      </c>
      <c r="W361" s="136">
        <f>IFERROR(__xludf.DUMMYFUNCTION("""COMPUTED_VALUE"""),26.0)</f>
        <v>26</v>
      </c>
      <c r="X361" s="136">
        <f>IFERROR(__xludf.DUMMYFUNCTION("""COMPUTED_VALUE"""),321.72)</f>
        <v>321.72</v>
      </c>
      <c r="Y361" s="141">
        <f>IFERROR(__xludf.DUMMYFUNCTION("""COMPUTED_VALUE"""),46.6284)</f>
        <v>46.6284</v>
      </c>
      <c r="Z361" s="141">
        <f>IFERROR(__xludf.DUMMYFUNCTION("""COMPUTED_VALUE"""),1920.24)</f>
        <v>1920.24</v>
      </c>
    </row>
    <row r="362">
      <c r="A362" s="41" t="str">
        <f>IFERROR(__xludf.DUMMYFUNCTION("""COMPUTED_VALUE"""),"Challenger")</f>
        <v>Challenger</v>
      </c>
      <c r="B362" s="41" t="str">
        <f>IFERROR(__xludf.DUMMYFUNCTION("""COMPUTED_VALUE"""),"RSC006240")</f>
        <v>RSC006240</v>
      </c>
      <c r="C362" s="41" t="str">
        <f>IFERROR(__xludf.DUMMYFUNCTION("""COMPUTED_VALUE"""),"Canadian Gamer")</f>
        <v>Canadian Gamer</v>
      </c>
      <c r="D362" s="41" t="str">
        <f>IFERROR(__xludf.DUMMYFUNCTION("""COMPUTED_VALUE"""),"Manticore")</f>
        <v>Manticore</v>
      </c>
      <c r="E362" s="136">
        <f>IFERROR(__xludf.DUMMYFUNCTION("""COMPUTED_VALUE"""),52.0)</f>
        <v>52</v>
      </c>
      <c r="F362" s="136">
        <f>IFERROR(__xludf.DUMMYFUNCTION("""COMPUTED_VALUE"""),39.0)</f>
        <v>39</v>
      </c>
      <c r="G362" s="136">
        <f>IFERROR(__xludf.DUMMYFUNCTION("""COMPUTED_VALUE"""),13.0)</f>
        <v>13</v>
      </c>
      <c r="H362" s="137">
        <f>IFERROR(__xludf.DUMMYFUNCTION("""COMPUTED_VALUE"""),0.75)</f>
        <v>0.75</v>
      </c>
      <c r="I362" s="136">
        <f>IFERROR(__xludf.DUMMYFUNCTION("""COMPUTED_VALUE"""),14.0)</f>
        <v>14</v>
      </c>
      <c r="J362" s="136">
        <f>IFERROR(__xludf.DUMMYFUNCTION("""COMPUTED_VALUE"""),20440.0)</f>
        <v>20440</v>
      </c>
      <c r="K362" s="136">
        <f>IFERROR(__xludf.DUMMYFUNCTION("""COMPUTED_VALUE"""),65.0)</f>
        <v>65</v>
      </c>
      <c r="L362" s="136">
        <f>IFERROR(__xludf.DUMMYFUNCTION("""COMPUTED_VALUE"""),38.0)</f>
        <v>38</v>
      </c>
      <c r="M362" s="136">
        <f>IFERROR(__xludf.DUMMYFUNCTION("""COMPUTED_VALUE"""),60.0)</f>
        <v>60</v>
      </c>
      <c r="N362" s="136">
        <f>IFERROR(__xludf.DUMMYFUNCTION("""COMPUTED_VALUE"""),157.0)</f>
        <v>157</v>
      </c>
      <c r="O362" s="138">
        <f>IFERROR(__xludf.DUMMYFUNCTION("""COMPUTED_VALUE"""),13.0)</f>
        <v>13</v>
      </c>
      <c r="P362" s="138">
        <f>IFERROR(__xludf.DUMMYFUNCTION("""COMPUTED_VALUE"""),6.0)</f>
        <v>6</v>
      </c>
      <c r="Q362" s="138">
        <f>IFERROR(__xludf.DUMMYFUNCTION("""COMPUTED_VALUE"""),3.0)</f>
        <v>3</v>
      </c>
      <c r="R362" s="138">
        <f>IFERROR(__xludf.DUMMYFUNCTION("""COMPUTED_VALUE"""),8.0)</f>
        <v>8</v>
      </c>
      <c r="S362" s="139">
        <f>IFERROR(__xludf.DUMMYFUNCTION("""COMPUTED_VALUE"""),285.0)</f>
        <v>285</v>
      </c>
      <c r="T362" s="140">
        <f>IFERROR(__xludf.DUMMYFUNCTION("""COMPUTED_VALUE"""),86.0)</f>
        <v>86</v>
      </c>
      <c r="U362" s="136">
        <f>IFERROR(__xludf.DUMMYFUNCTION("""COMPUTED_VALUE"""),35.0)</f>
        <v>35</v>
      </c>
      <c r="V362" s="136">
        <f>IFERROR(__xludf.DUMMYFUNCTION("""COMPUTED_VALUE"""),46.0)</f>
        <v>46</v>
      </c>
      <c r="W362" s="136">
        <f>IFERROR(__xludf.DUMMYFUNCTION("""COMPUTED_VALUE"""),42.0)</f>
        <v>42</v>
      </c>
      <c r="X362" s="136">
        <f>IFERROR(__xludf.DUMMYFUNCTION("""COMPUTED_VALUE"""),337.86538461538464)</f>
        <v>337.8653846</v>
      </c>
      <c r="Y362" s="141">
        <f>IFERROR(__xludf.DUMMYFUNCTION("""COMPUTED_VALUE"""),49.62730769230771)</f>
        <v>49.62730769</v>
      </c>
      <c r="Z362" s="141">
        <f>IFERROR(__xludf.DUMMYFUNCTION("""COMPUTED_VALUE"""),2000.8461538461538)</f>
        <v>2000.846154</v>
      </c>
    </row>
    <row r="363">
      <c r="A363" s="41" t="str">
        <f>IFERROR(__xludf.DUMMYFUNCTION("""COMPUTED_VALUE"""),"Prospect")</f>
        <v>Prospect</v>
      </c>
      <c r="B363" s="41" t="str">
        <f>IFERROR(__xludf.DUMMYFUNCTION("""COMPUTED_VALUE"""),"RSC006251")</f>
        <v>RSC006251</v>
      </c>
      <c r="C363" s="41" t="str">
        <f>IFERROR(__xludf.DUMMYFUNCTION("""COMPUTED_VALUE"""),"MiniTechniks")</f>
        <v>MiniTechniks</v>
      </c>
      <c r="D363" s="41" t="str">
        <f>IFERROR(__xludf.DUMMYFUNCTION("""COMPUTED_VALUE"""),"Piranhas
Hawaiian Pizza")</f>
        <v>Piranhas
Hawaiian Pizza</v>
      </c>
      <c r="E363" s="136">
        <f>IFERROR(__xludf.DUMMYFUNCTION("""COMPUTED_VALUE"""),41.0)</f>
        <v>41</v>
      </c>
      <c r="F363" s="136">
        <f>IFERROR(__xludf.DUMMYFUNCTION("""COMPUTED_VALUE"""),21.0)</f>
        <v>21</v>
      </c>
      <c r="G363" s="136">
        <f>IFERROR(__xludf.DUMMYFUNCTION("""COMPUTED_VALUE"""),20.0)</f>
        <v>20</v>
      </c>
      <c r="H363" s="137">
        <f>IFERROR(__xludf.DUMMYFUNCTION("""COMPUTED_VALUE"""),0.5121951219512195)</f>
        <v>0.512195122</v>
      </c>
      <c r="I363" s="136">
        <f>IFERROR(__xludf.DUMMYFUNCTION("""COMPUTED_VALUE"""),4.0)</f>
        <v>4</v>
      </c>
      <c r="J363" s="136">
        <f>IFERROR(__xludf.DUMMYFUNCTION("""COMPUTED_VALUE"""),14147.0)</f>
        <v>14147</v>
      </c>
      <c r="K363" s="136">
        <f>IFERROR(__xludf.DUMMYFUNCTION("""COMPUTED_VALUE"""),33.0)</f>
        <v>33</v>
      </c>
      <c r="L363" s="136">
        <f>IFERROR(__xludf.DUMMYFUNCTION("""COMPUTED_VALUE"""),17.0)</f>
        <v>17</v>
      </c>
      <c r="M363" s="136">
        <f>IFERROR(__xludf.DUMMYFUNCTION("""COMPUTED_VALUE"""),57.0)</f>
        <v>57</v>
      </c>
      <c r="N363" s="136">
        <f>IFERROR(__xludf.DUMMYFUNCTION("""COMPUTED_VALUE"""),98.0)</f>
        <v>98</v>
      </c>
      <c r="O363" s="138">
        <f>IFERROR(__xludf.DUMMYFUNCTION("""COMPUTED_VALUE"""),3.0)</f>
        <v>3</v>
      </c>
      <c r="P363" s="138">
        <f>IFERROR(__xludf.DUMMYFUNCTION("""COMPUTED_VALUE"""),4.0)</f>
        <v>4</v>
      </c>
      <c r="Q363" s="138">
        <f>IFERROR(__xludf.DUMMYFUNCTION("""COMPUTED_VALUE"""),0.0)</f>
        <v>0</v>
      </c>
      <c r="R363" s="138">
        <f>IFERROR(__xludf.DUMMYFUNCTION("""COMPUTED_VALUE"""),6.0)</f>
        <v>6</v>
      </c>
      <c r="S363" s="139">
        <f>IFERROR(__xludf.DUMMYFUNCTION("""COMPUTED_VALUE"""),317.0)</f>
        <v>317</v>
      </c>
      <c r="T363" s="140">
        <f>IFERROR(__xludf.DUMMYFUNCTION("""COMPUTED_VALUE"""),93.0)</f>
        <v>93</v>
      </c>
      <c r="U363" s="136">
        <f>IFERROR(__xludf.DUMMYFUNCTION("""COMPUTED_VALUE"""),43.0)</f>
        <v>43</v>
      </c>
      <c r="V363" s="136">
        <f>IFERROR(__xludf.DUMMYFUNCTION("""COMPUTED_VALUE"""),38.0)</f>
        <v>38</v>
      </c>
      <c r="W363" s="136">
        <f>IFERROR(__xludf.DUMMYFUNCTION("""COMPUTED_VALUE"""),42.0)</f>
        <v>42</v>
      </c>
      <c r="X363" s="136">
        <f>IFERROR(__xludf.DUMMYFUNCTION("""COMPUTED_VALUE"""),319.9512195121951)</f>
        <v>319.9512195</v>
      </c>
      <c r="Y363" s="141">
        <f>IFERROR(__xludf.DUMMYFUNCTION("""COMPUTED_VALUE"""),43.39609756097561)</f>
        <v>43.39609756</v>
      </c>
      <c r="Z363" s="141">
        <f>IFERROR(__xludf.DUMMYFUNCTION("""COMPUTED_VALUE"""),1913.1707317073171)</f>
        <v>1913.170732</v>
      </c>
    </row>
    <row r="364">
      <c r="A364" s="41" t="str">
        <f>IFERROR(__xludf.DUMMYFUNCTION("""COMPUTED_VALUE"""),"Prospect")</f>
        <v>Prospect</v>
      </c>
      <c r="B364" s="41" t="str">
        <f>IFERROR(__xludf.DUMMYFUNCTION("""COMPUTED_VALUE"""),"RSC006256")</f>
        <v>RSC006256</v>
      </c>
      <c r="C364" s="41" t="str">
        <f>IFERROR(__xludf.DUMMYFUNCTION("""COMPUTED_VALUE"""),"Casca .")</f>
        <v>Casca .</v>
      </c>
      <c r="D364" s="41" t="str">
        <f>IFERROR(__xludf.DUMMYFUNCTION("""COMPUTED_VALUE"""),"Griffin")</f>
        <v>Griffin</v>
      </c>
      <c r="E364" s="136">
        <f>IFERROR(__xludf.DUMMYFUNCTION("""COMPUTED_VALUE"""),56.0)</f>
        <v>56</v>
      </c>
      <c r="F364" s="136">
        <f>IFERROR(__xludf.DUMMYFUNCTION("""COMPUTED_VALUE"""),31.0)</f>
        <v>31</v>
      </c>
      <c r="G364" s="136">
        <f>IFERROR(__xludf.DUMMYFUNCTION("""COMPUTED_VALUE"""),25.0)</f>
        <v>25</v>
      </c>
      <c r="H364" s="137">
        <f>IFERROR(__xludf.DUMMYFUNCTION("""COMPUTED_VALUE"""),0.5535714285714286)</f>
        <v>0.5535714286</v>
      </c>
      <c r="I364" s="136">
        <f>IFERROR(__xludf.DUMMYFUNCTION("""COMPUTED_VALUE"""),9.0)</f>
        <v>9</v>
      </c>
      <c r="J364" s="136">
        <f>IFERROR(__xludf.DUMMYFUNCTION("""COMPUTED_VALUE"""),17509.0)</f>
        <v>17509</v>
      </c>
      <c r="K364" s="136">
        <f>IFERROR(__xludf.DUMMYFUNCTION("""COMPUTED_VALUE"""),46.0)</f>
        <v>46</v>
      </c>
      <c r="L364" s="136">
        <f>IFERROR(__xludf.DUMMYFUNCTION("""COMPUTED_VALUE"""),28.0)</f>
        <v>28</v>
      </c>
      <c r="M364" s="136">
        <f>IFERROR(__xludf.DUMMYFUNCTION("""COMPUTED_VALUE"""),62.0)</f>
        <v>62</v>
      </c>
      <c r="N364" s="136">
        <f>IFERROR(__xludf.DUMMYFUNCTION("""COMPUTED_VALUE"""),115.0)</f>
        <v>115</v>
      </c>
      <c r="O364" s="138">
        <f>IFERROR(__xludf.DUMMYFUNCTION("""COMPUTED_VALUE"""),6.0)</f>
        <v>6</v>
      </c>
      <c r="P364" s="138">
        <f>IFERROR(__xludf.DUMMYFUNCTION("""COMPUTED_VALUE"""),4.0)</f>
        <v>4</v>
      </c>
      <c r="Q364" s="138">
        <f>IFERROR(__xludf.DUMMYFUNCTION("""COMPUTED_VALUE"""),1.0)</f>
        <v>1</v>
      </c>
      <c r="R364" s="138">
        <f>IFERROR(__xludf.DUMMYFUNCTION("""COMPUTED_VALUE"""),7.0)</f>
        <v>7</v>
      </c>
      <c r="S364" s="139">
        <f>IFERROR(__xludf.DUMMYFUNCTION("""COMPUTED_VALUE"""),386.0)</f>
        <v>386</v>
      </c>
      <c r="T364" s="140">
        <f>IFERROR(__xludf.DUMMYFUNCTION("""COMPUTED_VALUE"""),119.0)</f>
        <v>119</v>
      </c>
      <c r="U364" s="136">
        <f>IFERROR(__xludf.DUMMYFUNCTION("""COMPUTED_VALUE"""),44.0)</f>
        <v>44</v>
      </c>
      <c r="V364" s="136">
        <f>IFERROR(__xludf.DUMMYFUNCTION("""COMPUTED_VALUE"""),57.0)</f>
        <v>57</v>
      </c>
      <c r="W364" s="136">
        <f>IFERROR(__xludf.DUMMYFUNCTION("""COMPUTED_VALUE"""),70.0)</f>
        <v>70</v>
      </c>
      <c r="X364" s="136">
        <f>IFERROR(__xludf.DUMMYFUNCTION("""COMPUTED_VALUE"""),315.80357142857144)</f>
        <v>315.8035714</v>
      </c>
      <c r="Y364" s="141">
        <f>IFERROR(__xludf.DUMMYFUNCTION("""COMPUTED_VALUE"""),43.48589285714286)</f>
        <v>43.48589286</v>
      </c>
      <c r="Z364" s="141">
        <f>IFERROR(__xludf.DUMMYFUNCTION("""COMPUTED_VALUE"""),2005.107142857143)</f>
        <v>2005.107143</v>
      </c>
    </row>
    <row r="365">
      <c r="A365" s="41" t="str">
        <f>IFERROR(__xludf.DUMMYFUNCTION("""COMPUTED_VALUE"""),"Elite")</f>
        <v>Elite</v>
      </c>
      <c r="B365" s="41" t="str">
        <f>IFERROR(__xludf.DUMMYFUNCTION("""COMPUTED_VALUE"""),"RSC006259")</f>
        <v>RSC006259</v>
      </c>
      <c r="C365" s="41" t="str">
        <f>IFERROR(__xludf.DUMMYFUNCTION("""COMPUTED_VALUE"""),"mojomo (Goofy and Silly)")</f>
        <v>mojomo (Goofy and Silly)</v>
      </c>
      <c r="D365" s="41" t="str">
        <f>IFERROR(__xludf.DUMMYFUNCTION("""COMPUTED_VALUE"""),"Frostbite")</f>
        <v>Frostbite</v>
      </c>
      <c r="E365" s="136">
        <f>IFERROR(__xludf.DUMMYFUNCTION("""COMPUTED_VALUE"""),52.0)</f>
        <v>52</v>
      </c>
      <c r="F365" s="136">
        <f>IFERROR(__xludf.DUMMYFUNCTION("""COMPUTED_VALUE"""),24.0)</f>
        <v>24</v>
      </c>
      <c r="G365" s="136">
        <f>IFERROR(__xludf.DUMMYFUNCTION("""COMPUTED_VALUE"""),28.0)</f>
        <v>28</v>
      </c>
      <c r="H365" s="137">
        <f>IFERROR(__xludf.DUMMYFUNCTION("""COMPUTED_VALUE"""),0.46153846153846156)</f>
        <v>0.4615384615</v>
      </c>
      <c r="I365" s="136">
        <f>IFERROR(__xludf.DUMMYFUNCTION("""COMPUTED_VALUE"""),8.0)</f>
        <v>8</v>
      </c>
      <c r="J365" s="136">
        <f>IFERROR(__xludf.DUMMYFUNCTION("""COMPUTED_VALUE"""),19434.0)</f>
        <v>19434</v>
      </c>
      <c r="K365" s="136">
        <f>IFERROR(__xludf.DUMMYFUNCTION("""COMPUTED_VALUE"""),40.0)</f>
        <v>40</v>
      </c>
      <c r="L365" s="136">
        <f>IFERROR(__xludf.DUMMYFUNCTION("""COMPUTED_VALUE"""),31.0)</f>
        <v>31</v>
      </c>
      <c r="M365" s="136">
        <f>IFERROR(__xludf.DUMMYFUNCTION("""COMPUTED_VALUE"""),83.0)</f>
        <v>83</v>
      </c>
      <c r="N365" s="136">
        <f>IFERROR(__xludf.DUMMYFUNCTION("""COMPUTED_VALUE"""),135.0)</f>
        <v>135</v>
      </c>
      <c r="O365" s="138">
        <f>IFERROR(__xludf.DUMMYFUNCTION("""COMPUTED_VALUE"""),12.0)</f>
        <v>12</v>
      </c>
      <c r="P365" s="138">
        <f>IFERROR(__xludf.DUMMYFUNCTION("""COMPUTED_VALUE"""),2.0)</f>
        <v>2</v>
      </c>
      <c r="Q365" s="138">
        <f>IFERROR(__xludf.DUMMYFUNCTION("""COMPUTED_VALUE"""),1.0)</f>
        <v>1</v>
      </c>
      <c r="R365" s="138">
        <f>IFERROR(__xludf.DUMMYFUNCTION("""COMPUTED_VALUE"""),13.0)</f>
        <v>13</v>
      </c>
      <c r="S365" s="139">
        <f>IFERROR(__xludf.DUMMYFUNCTION("""COMPUTED_VALUE"""),400.0)</f>
        <v>400</v>
      </c>
      <c r="T365" s="140">
        <f>IFERROR(__xludf.DUMMYFUNCTION("""COMPUTED_VALUE"""),127.0)</f>
        <v>127</v>
      </c>
      <c r="U365" s="136">
        <f>IFERROR(__xludf.DUMMYFUNCTION("""COMPUTED_VALUE"""),50.0)</f>
        <v>50</v>
      </c>
      <c r="V365" s="136">
        <f>IFERROR(__xludf.DUMMYFUNCTION("""COMPUTED_VALUE"""),37.0)</f>
        <v>37</v>
      </c>
      <c r="W365" s="136">
        <f>IFERROR(__xludf.DUMMYFUNCTION("""COMPUTED_VALUE"""),60.0)</f>
        <v>60</v>
      </c>
      <c r="X365" s="136">
        <f>IFERROR(__xludf.DUMMYFUNCTION("""COMPUTED_VALUE"""),388.7692307692308)</f>
        <v>388.7692308</v>
      </c>
      <c r="Y365" s="141">
        <f>IFERROR(__xludf.DUMMYFUNCTION("""COMPUTED_VALUE"""),52.86153846153846)</f>
        <v>52.86153846</v>
      </c>
      <c r="Z365" s="141">
        <f>IFERROR(__xludf.DUMMYFUNCTION("""COMPUTED_VALUE"""),2278.8076923076924)</f>
        <v>2278.807692</v>
      </c>
    </row>
    <row r="366">
      <c r="A366" s="41" t="str">
        <f>IFERROR(__xludf.DUMMYFUNCTION("""COMPUTED_VALUE"""),"Challenger")</f>
        <v>Challenger</v>
      </c>
      <c r="B366" s="41" t="str">
        <f>IFERROR(__xludf.DUMMYFUNCTION("""COMPUTED_VALUE"""),"RSC006262")</f>
        <v>RSC006262</v>
      </c>
      <c r="C366" s="41" t="str">
        <f>IFERROR(__xludf.DUMMYFUNCTION("""COMPUTED_VALUE"""),"Illusionchaos")</f>
        <v>Illusionchaos</v>
      </c>
      <c r="D366" s="41" t="str">
        <f>IFERROR(__xludf.DUMMYFUNCTION("""COMPUTED_VALUE"""),"Glams")</f>
        <v>Glams</v>
      </c>
      <c r="E366" s="136">
        <f>IFERROR(__xludf.DUMMYFUNCTION("""COMPUTED_VALUE"""),34.0)</f>
        <v>34</v>
      </c>
      <c r="F366" s="136">
        <f>IFERROR(__xludf.DUMMYFUNCTION("""COMPUTED_VALUE"""),10.0)</f>
        <v>10</v>
      </c>
      <c r="G366" s="136">
        <f>IFERROR(__xludf.DUMMYFUNCTION("""COMPUTED_VALUE"""),24.0)</f>
        <v>24</v>
      </c>
      <c r="H366" s="137">
        <f>IFERROR(__xludf.DUMMYFUNCTION("""COMPUTED_VALUE"""),0.29411764705882354)</f>
        <v>0.2941176471</v>
      </c>
      <c r="I366" s="136">
        <f>IFERROR(__xludf.DUMMYFUNCTION("""COMPUTED_VALUE"""),2.0)</f>
        <v>2</v>
      </c>
      <c r="J366" s="136">
        <f>IFERROR(__xludf.DUMMYFUNCTION("""COMPUTED_VALUE"""),10327.0)</f>
        <v>10327</v>
      </c>
      <c r="K366" s="136">
        <f>IFERROR(__xludf.DUMMYFUNCTION("""COMPUTED_VALUE"""),19.0)</f>
        <v>19</v>
      </c>
      <c r="L366" s="136">
        <f>IFERROR(__xludf.DUMMYFUNCTION("""COMPUTED_VALUE"""),13.0)</f>
        <v>13</v>
      </c>
      <c r="M366" s="136">
        <f>IFERROR(__xludf.DUMMYFUNCTION("""COMPUTED_VALUE"""),47.0)</f>
        <v>47</v>
      </c>
      <c r="N366" s="136">
        <f>IFERROR(__xludf.DUMMYFUNCTION("""COMPUTED_VALUE"""),70.0)</f>
        <v>70</v>
      </c>
      <c r="O366" s="138">
        <f>IFERROR(__xludf.DUMMYFUNCTION("""COMPUTED_VALUE"""),5.0)</f>
        <v>5</v>
      </c>
      <c r="P366" s="138">
        <f>IFERROR(__xludf.DUMMYFUNCTION("""COMPUTED_VALUE"""),0.0)</f>
        <v>0</v>
      </c>
      <c r="Q366" s="138">
        <f>IFERROR(__xludf.DUMMYFUNCTION("""COMPUTED_VALUE"""),0.0)</f>
        <v>0</v>
      </c>
      <c r="R366" s="138">
        <f>IFERROR(__xludf.DUMMYFUNCTION("""COMPUTED_VALUE"""),6.0)</f>
        <v>6</v>
      </c>
      <c r="S366" s="139">
        <f>IFERROR(__xludf.DUMMYFUNCTION("""COMPUTED_VALUE"""),290.0)</f>
        <v>290</v>
      </c>
      <c r="T366" s="140">
        <f>IFERROR(__xludf.DUMMYFUNCTION("""COMPUTED_VALUE"""),95.0)</f>
        <v>95</v>
      </c>
      <c r="U366" s="136">
        <f>IFERROR(__xludf.DUMMYFUNCTION("""COMPUTED_VALUE"""),36.0)</f>
        <v>36</v>
      </c>
      <c r="V366" s="136">
        <f>IFERROR(__xludf.DUMMYFUNCTION("""COMPUTED_VALUE"""),21.0)</f>
        <v>21</v>
      </c>
      <c r="W366" s="136">
        <f>IFERROR(__xludf.DUMMYFUNCTION("""COMPUTED_VALUE"""),16.0)</f>
        <v>16</v>
      </c>
      <c r="X366" s="136">
        <f>IFERROR(__xludf.DUMMYFUNCTION("""COMPUTED_VALUE"""),316.11764705882354)</f>
        <v>316.1176471</v>
      </c>
      <c r="Y366" s="141">
        <f>IFERROR(__xludf.DUMMYFUNCTION("""COMPUTED_VALUE"""),50.6185294117647)</f>
        <v>50.61852941</v>
      </c>
      <c r="Z366" s="141">
        <f>IFERROR(__xludf.DUMMYFUNCTION("""COMPUTED_VALUE"""),1927.9411764705883)</f>
        <v>1927.941176</v>
      </c>
    </row>
    <row r="367">
      <c r="A367" s="41" t="str">
        <f>IFERROR(__xludf.DUMMYFUNCTION("""COMPUTED_VALUE"""),"Elite")</f>
        <v>Elite</v>
      </c>
      <c r="B367" s="41" t="str">
        <f>IFERROR(__xludf.DUMMYFUNCTION("""COMPUTED_VALUE"""),"RSC006273")</f>
        <v>RSC006273</v>
      </c>
      <c r="C367" s="41" t="str">
        <f>IFERROR(__xludf.DUMMYFUNCTION("""COMPUTED_VALUE"""),"chawes.")</f>
        <v>chawes.</v>
      </c>
      <c r="D367" s="41" t="str">
        <f>IFERROR(__xludf.DUMMYFUNCTION("""COMPUTED_VALUE"""),"Peerless Scarred")</f>
        <v>Peerless Scarred</v>
      </c>
      <c r="E367" s="136">
        <f>IFERROR(__xludf.DUMMYFUNCTION("""COMPUTED_VALUE"""),34.0)</f>
        <v>34</v>
      </c>
      <c r="F367" s="136">
        <f>IFERROR(__xludf.DUMMYFUNCTION("""COMPUTED_VALUE"""),25.0)</f>
        <v>25</v>
      </c>
      <c r="G367" s="136">
        <f>IFERROR(__xludf.DUMMYFUNCTION("""COMPUTED_VALUE"""),9.0)</f>
        <v>9</v>
      </c>
      <c r="H367" s="137">
        <f>IFERROR(__xludf.DUMMYFUNCTION("""COMPUTED_VALUE"""),0.7352941176470589)</f>
        <v>0.7352941176</v>
      </c>
      <c r="I367" s="136">
        <f>IFERROR(__xludf.DUMMYFUNCTION("""COMPUTED_VALUE"""),5.0)</f>
        <v>5</v>
      </c>
      <c r="J367" s="136">
        <f>IFERROR(__xludf.DUMMYFUNCTION("""COMPUTED_VALUE"""),11935.0)</f>
        <v>11935</v>
      </c>
      <c r="K367" s="136">
        <f>IFERROR(__xludf.DUMMYFUNCTION("""COMPUTED_VALUE"""),30.0)</f>
        <v>30</v>
      </c>
      <c r="L367" s="136">
        <f>IFERROR(__xludf.DUMMYFUNCTION("""COMPUTED_VALUE"""),25.0)</f>
        <v>25</v>
      </c>
      <c r="M367" s="136">
        <f>IFERROR(__xludf.DUMMYFUNCTION("""COMPUTED_VALUE"""),34.0)</f>
        <v>34</v>
      </c>
      <c r="N367" s="136">
        <f>IFERROR(__xludf.DUMMYFUNCTION("""COMPUTED_VALUE"""),100.0)</f>
        <v>100</v>
      </c>
      <c r="O367" s="138">
        <f>IFERROR(__xludf.DUMMYFUNCTION("""COMPUTED_VALUE"""),8.0)</f>
        <v>8</v>
      </c>
      <c r="P367" s="138">
        <f>IFERROR(__xludf.DUMMYFUNCTION("""COMPUTED_VALUE"""),3.0)</f>
        <v>3</v>
      </c>
      <c r="Q367" s="138">
        <f>IFERROR(__xludf.DUMMYFUNCTION("""COMPUTED_VALUE"""),1.0)</f>
        <v>1</v>
      </c>
      <c r="R367" s="138">
        <f>IFERROR(__xludf.DUMMYFUNCTION("""COMPUTED_VALUE"""),2.0)</f>
        <v>2</v>
      </c>
      <c r="S367" s="139">
        <f>IFERROR(__xludf.DUMMYFUNCTION("""COMPUTED_VALUE"""),249.0)</f>
        <v>249</v>
      </c>
      <c r="T367" s="140">
        <f>IFERROR(__xludf.DUMMYFUNCTION("""COMPUTED_VALUE"""),64.0)</f>
        <v>64</v>
      </c>
      <c r="U367" s="136">
        <f>IFERROR(__xludf.DUMMYFUNCTION("""COMPUTED_VALUE"""),18.0)</f>
        <v>18</v>
      </c>
      <c r="V367" s="136">
        <f>IFERROR(__xludf.DUMMYFUNCTION("""COMPUTED_VALUE"""),41.0)</f>
        <v>41</v>
      </c>
      <c r="W367" s="136">
        <f>IFERROR(__xludf.DUMMYFUNCTION("""COMPUTED_VALUE"""),41.0)</f>
        <v>41</v>
      </c>
      <c r="X367" s="136">
        <f>IFERROR(__xludf.DUMMYFUNCTION("""COMPUTED_VALUE"""),385.3529411764706)</f>
        <v>385.3529412</v>
      </c>
      <c r="Y367" s="141">
        <f>IFERROR(__xludf.DUMMYFUNCTION("""COMPUTED_VALUE"""),45.154411764705884)</f>
        <v>45.15441176</v>
      </c>
      <c r="Z367" s="141">
        <f>IFERROR(__xludf.DUMMYFUNCTION("""COMPUTED_VALUE"""),2284.970588235294)</f>
        <v>2284.970588</v>
      </c>
    </row>
    <row r="368">
      <c r="A368" s="41" t="str">
        <f>IFERROR(__xludf.DUMMYFUNCTION("""COMPUTED_VALUE"""),"Elite")</f>
        <v>Elite</v>
      </c>
      <c r="B368" s="41" t="str">
        <f>IFERROR(__xludf.DUMMYFUNCTION("""COMPUTED_VALUE"""),"RSC006278")</f>
        <v>RSC006278</v>
      </c>
      <c r="C368" s="41" t="str">
        <f>IFERROR(__xludf.DUMMYFUNCTION("""COMPUTED_VALUE"""),"DribblingPenguin")</f>
        <v>DribblingPenguin</v>
      </c>
      <c r="D368" s="41" t="str">
        <f>IFERROR(__xludf.DUMMYFUNCTION("""COMPUTED_VALUE"""),"Teddy Bears
Afterburners")</f>
        <v>Teddy Bears
Afterburners</v>
      </c>
      <c r="E368" s="136">
        <f>IFERROR(__xludf.DUMMYFUNCTION("""COMPUTED_VALUE"""),10.0)</f>
        <v>10</v>
      </c>
      <c r="F368" s="136">
        <f>IFERROR(__xludf.DUMMYFUNCTION("""COMPUTED_VALUE"""),8.0)</f>
        <v>8</v>
      </c>
      <c r="G368" s="136">
        <f>IFERROR(__xludf.DUMMYFUNCTION("""COMPUTED_VALUE"""),2.0)</f>
        <v>2</v>
      </c>
      <c r="H368" s="137">
        <f>IFERROR(__xludf.DUMMYFUNCTION("""COMPUTED_VALUE"""),0.8)</f>
        <v>0.8</v>
      </c>
      <c r="I368" s="136">
        <f>IFERROR(__xludf.DUMMYFUNCTION("""COMPUTED_VALUE"""),3.0)</f>
        <v>3</v>
      </c>
      <c r="J368" s="136">
        <f>IFERROR(__xludf.DUMMYFUNCTION("""COMPUTED_VALUE"""),3916.0)</f>
        <v>3916</v>
      </c>
      <c r="K368" s="136">
        <f>IFERROR(__xludf.DUMMYFUNCTION("""COMPUTED_VALUE"""),6.0)</f>
        <v>6</v>
      </c>
      <c r="L368" s="136">
        <f>IFERROR(__xludf.DUMMYFUNCTION("""COMPUTED_VALUE"""),9.0)</f>
        <v>9</v>
      </c>
      <c r="M368" s="136">
        <f>IFERROR(__xludf.DUMMYFUNCTION("""COMPUTED_VALUE"""),17.0)</f>
        <v>17</v>
      </c>
      <c r="N368" s="136">
        <f>IFERROR(__xludf.DUMMYFUNCTION("""COMPUTED_VALUE"""),31.0)</f>
        <v>31</v>
      </c>
      <c r="O368" s="138">
        <f>IFERROR(__xludf.DUMMYFUNCTION("""COMPUTED_VALUE"""),1.0)</f>
        <v>1</v>
      </c>
      <c r="P368" s="138">
        <f>IFERROR(__xludf.DUMMYFUNCTION("""COMPUTED_VALUE"""),0.0)</f>
        <v>0</v>
      </c>
      <c r="Q368" s="138">
        <f>IFERROR(__xludf.DUMMYFUNCTION("""COMPUTED_VALUE"""),2.0)</f>
        <v>2</v>
      </c>
      <c r="R368" s="138">
        <f>IFERROR(__xludf.DUMMYFUNCTION("""COMPUTED_VALUE"""),3.0)</f>
        <v>3</v>
      </c>
      <c r="S368" s="139">
        <f>IFERROR(__xludf.DUMMYFUNCTION("""COMPUTED_VALUE"""),82.0)</f>
        <v>82</v>
      </c>
      <c r="T368" s="140">
        <f>IFERROR(__xludf.DUMMYFUNCTION("""COMPUTED_VALUE"""),22.0)</f>
        <v>22</v>
      </c>
      <c r="U368" s="136">
        <f>IFERROR(__xludf.DUMMYFUNCTION("""COMPUTED_VALUE"""),5.0)</f>
        <v>5</v>
      </c>
      <c r="V368" s="136">
        <f>IFERROR(__xludf.DUMMYFUNCTION("""COMPUTED_VALUE"""),5.0)</f>
        <v>5</v>
      </c>
      <c r="W368" s="136">
        <f>IFERROR(__xludf.DUMMYFUNCTION("""COMPUTED_VALUE"""),13.0)</f>
        <v>13</v>
      </c>
      <c r="X368" s="136">
        <f>IFERROR(__xludf.DUMMYFUNCTION("""COMPUTED_VALUE"""),413.8)</f>
        <v>413.8</v>
      </c>
      <c r="Y368" s="141">
        <f>IFERROR(__xludf.DUMMYFUNCTION("""COMPUTED_VALUE"""),45.855000000000004)</f>
        <v>45.855</v>
      </c>
      <c r="Z368" s="141">
        <f>IFERROR(__xludf.DUMMYFUNCTION("""COMPUTED_VALUE"""),2568.4)</f>
        <v>2568.4</v>
      </c>
    </row>
    <row r="369">
      <c r="A369" s="41" t="str">
        <f>IFERROR(__xludf.DUMMYFUNCTION("""COMPUTED_VALUE"""),"Veteran")</f>
        <v>Veteran</v>
      </c>
      <c r="B369" s="41" t="str">
        <f>IFERROR(__xludf.DUMMYFUNCTION("""COMPUTED_VALUE"""),"RSC006290")</f>
        <v>RSC006290</v>
      </c>
      <c r="C369" s="41" t="str">
        <f>IFERROR(__xludf.DUMMYFUNCTION("""COMPUTED_VALUE"""),"Dirt D Dan")</f>
        <v>Dirt D Dan</v>
      </c>
      <c r="D369" s="41" t="str">
        <f>IFERROR(__xludf.DUMMYFUNCTION("""COMPUTED_VALUE"""),"Giant Squids")</f>
        <v>Giant Squids</v>
      </c>
      <c r="E369" s="136">
        <f>IFERROR(__xludf.DUMMYFUNCTION("""COMPUTED_VALUE"""),36.0)</f>
        <v>36</v>
      </c>
      <c r="F369" s="136">
        <f>IFERROR(__xludf.DUMMYFUNCTION("""COMPUTED_VALUE"""),22.0)</f>
        <v>22</v>
      </c>
      <c r="G369" s="136">
        <f>IFERROR(__xludf.DUMMYFUNCTION("""COMPUTED_VALUE"""),14.0)</f>
        <v>14</v>
      </c>
      <c r="H369" s="137">
        <f>IFERROR(__xludf.DUMMYFUNCTION("""COMPUTED_VALUE"""),0.6111111111111112)</f>
        <v>0.6111111111</v>
      </c>
      <c r="I369" s="136">
        <f>IFERROR(__xludf.DUMMYFUNCTION("""COMPUTED_VALUE"""),7.0)</f>
        <v>7</v>
      </c>
      <c r="J369" s="136">
        <f>IFERROR(__xludf.DUMMYFUNCTION("""COMPUTED_VALUE"""),13512.0)</f>
        <v>13512</v>
      </c>
      <c r="K369" s="136">
        <f>IFERROR(__xludf.DUMMYFUNCTION("""COMPUTED_VALUE"""),37.0)</f>
        <v>37</v>
      </c>
      <c r="L369" s="136">
        <f>IFERROR(__xludf.DUMMYFUNCTION("""COMPUTED_VALUE"""),22.0)</f>
        <v>22</v>
      </c>
      <c r="M369" s="136">
        <f>IFERROR(__xludf.DUMMYFUNCTION("""COMPUTED_VALUE"""),32.0)</f>
        <v>32</v>
      </c>
      <c r="N369" s="136">
        <f>IFERROR(__xludf.DUMMYFUNCTION("""COMPUTED_VALUE"""),102.0)</f>
        <v>102</v>
      </c>
      <c r="O369" s="138">
        <f>IFERROR(__xludf.DUMMYFUNCTION("""COMPUTED_VALUE"""),4.0)</f>
        <v>4</v>
      </c>
      <c r="P369" s="138">
        <f>IFERROR(__xludf.DUMMYFUNCTION("""COMPUTED_VALUE"""),5.0)</f>
        <v>5</v>
      </c>
      <c r="Q369" s="138">
        <f>IFERROR(__xludf.DUMMYFUNCTION("""COMPUTED_VALUE"""),0.0)</f>
        <v>0</v>
      </c>
      <c r="R369" s="138">
        <f>IFERROR(__xludf.DUMMYFUNCTION("""COMPUTED_VALUE"""),1.0)</f>
        <v>1</v>
      </c>
      <c r="S369" s="139">
        <f>IFERROR(__xludf.DUMMYFUNCTION("""COMPUTED_VALUE"""),239.0)</f>
        <v>239</v>
      </c>
      <c r="T369" s="140">
        <f>IFERROR(__xludf.DUMMYFUNCTION("""COMPUTED_VALUE"""),79.0)</f>
        <v>79</v>
      </c>
      <c r="U369" s="136">
        <f>IFERROR(__xludf.DUMMYFUNCTION("""COMPUTED_VALUE"""),32.0)</f>
        <v>32</v>
      </c>
      <c r="V369" s="136">
        <f>IFERROR(__xludf.DUMMYFUNCTION("""COMPUTED_VALUE"""),16.0)</f>
        <v>16</v>
      </c>
      <c r="W369" s="136">
        <f>IFERROR(__xludf.DUMMYFUNCTION("""COMPUTED_VALUE"""),47.0)</f>
        <v>47</v>
      </c>
      <c r="X369" s="136">
        <f>IFERROR(__xludf.DUMMYFUNCTION("""COMPUTED_VALUE"""),382.1111111111111)</f>
        <v>382.1111111</v>
      </c>
      <c r="Y369" s="141">
        <f>IFERROR(__xludf.DUMMYFUNCTION("""COMPUTED_VALUE"""),49.05805555555556)</f>
        <v>49.05805556</v>
      </c>
      <c r="Z369" s="141">
        <f>IFERROR(__xludf.DUMMYFUNCTION("""COMPUTED_VALUE"""),2260.472222222222)</f>
        <v>2260.472222</v>
      </c>
    </row>
    <row r="370">
      <c r="A370" s="41" t="str">
        <f>IFERROR(__xludf.DUMMYFUNCTION("""COMPUTED_VALUE"""),"Challenger")</f>
        <v>Challenger</v>
      </c>
      <c r="B370" s="41" t="str">
        <f>IFERROR(__xludf.DUMMYFUNCTION("""COMPUTED_VALUE"""),"RSC006308")</f>
        <v>RSC006308</v>
      </c>
      <c r="C370" s="41" t="str">
        <f>IFERROR(__xludf.DUMMYFUNCTION("""COMPUTED_VALUE"""),"SqueezySponge.")</f>
        <v>SqueezySponge.</v>
      </c>
      <c r="D370" s="41" t="str">
        <f>IFERROR(__xludf.DUMMYFUNCTION("""COMPUTED_VALUE"""),"Decuriones
Havarti Hustlers
Spearmint")</f>
        <v>Decuriones
Havarti Hustlers
Spearmint</v>
      </c>
      <c r="E370" s="136">
        <f>IFERROR(__xludf.DUMMYFUNCTION("""COMPUTED_VALUE"""),53.0)</f>
        <v>53</v>
      </c>
      <c r="F370" s="136">
        <f>IFERROR(__xludf.DUMMYFUNCTION("""COMPUTED_VALUE"""),22.0)</f>
        <v>22</v>
      </c>
      <c r="G370" s="136">
        <f>IFERROR(__xludf.DUMMYFUNCTION("""COMPUTED_VALUE"""),31.0)</f>
        <v>31</v>
      </c>
      <c r="H370" s="137">
        <f>IFERROR(__xludf.DUMMYFUNCTION("""COMPUTED_VALUE"""),0.41509433962264153)</f>
        <v>0.4150943396</v>
      </c>
      <c r="I370" s="136">
        <f>IFERROR(__xludf.DUMMYFUNCTION("""COMPUTED_VALUE"""),6.0)</f>
        <v>6</v>
      </c>
      <c r="J370" s="136">
        <f>IFERROR(__xludf.DUMMYFUNCTION("""COMPUTED_VALUE"""),15871.0)</f>
        <v>15871</v>
      </c>
      <c r="K370" s="136">
        <f>IFERROR(__xludf.DUMMYFUNCTION("""COMPUTED_VALUE"""),29.0)</f>
        <v>29</v>
      </c>
      <c r="L370" s="136">
        <f>IFERROR(__xludf.DUMMYFUNCTION("""COMPUTED_VALUE"""),30.0)</f>
        <v>30</v>
      </c>
      <c r="M370" s="136">
        <f>IFERROR(__xludf.DUMMYFUNCTION("""COMPUTED_VALUE"""),52.0)</f>
        <v>52</v>
      </c>
      <c r="N370" s="136">
        <f>IFERROR(__xludf.DUMMYFUNCTION("""COMPUTED_VALUE"""),135.0)</f>
        <v>135</v>
      </c>
      <c r="O370" s="138">
        <f>IFERROR(__xludf.DUMMYFUNCTION("""COMPUTED_VALUE"""),9.0)</f>
        <v>9</v>
      </c>
      <c r="P370" s="138">
        <f>IFERROR(__xludf.DUMMYFUNCTION("""COMPUTED_VALUE"""),0.0)</f>
        <v>0</v>
      </c>
      <c r="Q370" s="138">
        <f>IFERROR(__xludf.DUMMYFUNCTION("""COMPUTED_VALUE"""),1.0)</f>
        <v>1</v>
      </c>
      <c r="R370" s="138">
        <f>IFERROR(__xludf.DUMMYFUNCTION("""COMPUTED_VALUE"""),4.0)</f>
        <v>4</v>
      </c>
      <c r="S370" s="139">
        <f>IFERROR(__xludf.DUMMYFUNCTION("""COMPUTED_VALUE"""),378.0)</f>
        <v>378</v>
      </c>
      <c r="T370" s="140">
        <f>IFERROR(__xludf.DUMMYFUNCTION("""COMPUTED_VALUE"""),119.0)</f>
        <v>119</v>
      </c>
      <c r="U370" s="136">
        <f>IFERROR(__xludf.DUMMYFUNCTION("""COMPUTED_VALUE"""),48.0)</f>
        <v>48</v>
      </c>
      <c r="V370" s="136">
        <f>IFERROR(__xludf.DUMMYFUNCTION("""COMPUTED_VALUE"""),50.0)</f>
        <v>50</v>
      </c>
      <c r="W370" s="136">
        <f>IFERROR(__xludf.DUMMYFUNCTION("""COMPUTED_VALUE"""),49.0)</f>
        <v>49</v>
      </c>
      <c r="X370" s="136">
        <f>IFERROR(__xludf.DUMMYFUNCTION("""COMPUTED_VALUE"""),384.22641509433964)</f>
        <v>384.2264151</v>
      </c>
      <c r="Y370" s="141">
        <f>IFERROR(__xludf.DUMMYFUNCTION("""COMPUTED_VALUE"""),52.54509433962263)</f>
        <v>52.54509434</v>
      </c>
      <c r="Z370" s="141">
        <f>IFERROR(__xludf.DUMMYFUNCTION("""COMPUTED_VALUE"""),2344.245283018868)</f>
        <v>2344.245283</v>
      </c>
    </row>
    <row r="371">
      <c r="A371" s="41" t="str">
        <f>IFERROR(__xludf.DUMMYFUNCTION("""COMPUTED_VALUE"""),"Veteran")</f>
        <v>Veteran</v>
      </c>
      <c r="B371" s="41" t="str">
        <f>IFERROR(__xludf.DUMMYFUNCTION("""COMPUTED_VALUE"""),"RSC006312")</f>
        <v>RSC006312</v>
      </c>
      <c r="C371" s="41" t="str">
        <f>IFERROR(__xludf.DUMMYFUNCTION("""COMPUTED_VALUE"""),"Cognitixn")</f>
        <v>Cognitixn</v>
      </c>
      <c r="D371" s="41" t="str">
        <f>IFERROR(__xludf.DUMMYFUNCTION("""COMPUTED_VALUE"""),"White Collars")</f>
        <v>White Collars</v>
      </c>
      <c r="E371" s="136">
        <f>IFERROR(__xludf.DUMMYFUNCTION("""COMPUTED_VALUE"""),54.0)</f>
        <v>54</v>
      </c>
      <c r="F371" s="136">
        <f>IFERROR(__xludf.DUMMYFUNCTION("""COMPUTED_VALUE"""),28.0)</f>
        <v>28</v>
      </c>
      <c r="G371" s="136">
        <f>IFERROR(__xludf.DUMMYFUNCTION("""COMPUTED_VALUE"""),26.0)</f>
        <v>26</v>
      </c>
      <c r="H371" s="137">
        <f>IFERROR(__xludf.DUMMYFUNCTION("""COMPUTED_VALUE"""),0.5185185185185185)</f>
        <v>0.5185185185</v>
      </c>
      <c r="I371" s="136">
        <f>IFERROR(__xludf.DUMMYFUNCTION("""COMPUTED_VALUE"""),9.0)</f>
        <v>9</v>
      </c>
      <c r="J371" s="136">
        <f>IFERROR(__xludf.DUMMYFUNCTION("""COMPUTED_VALUE"""),17964.0)</f>
        <v>17964</v>
      </c>
      <c r="K371" s="136">
        <f>IFERROR(__xludf.DUMMYFUNCTION("""COMPUTED_VALUE"""),39.0)</f>
        <v>39</v>
      </c>
      <c r="L371" s="136">
        <f>IFERROR(__xludf.DUMMYFUNCTION("""COMPUTED_VALUE"""),19.0)</f>
        <v>19</v>
      </c>
      <c r="M371" s="136">
        <f>IFERROR(__xludf.DUMMYFUNCTION("""COMPUTED_VALUE"""),79.0)</f>
        <v>79</v>
      </c>
      <c r="N371" s="136">
        <f>IFERROR(__xludf.DUMMYFUNCTION("""COMPUTED_VALUE"""),139.0)</f>
        <v>139</v>
      </c>
      <c r="O371" s="138">
        <f>IFERROR(__xludf.DUMMYFUNCTION("""COMPUTED_VALUE"""),6.0)</f>
        <v>6</v>
      </c>
      <c r="P371" s="138">
        <f>IFERROR(__xludf.DUMMYFUNCTION("""COMPUTED_VALUE"""),4.0)</f>
        <v>4</v>
      </c>
      <c r="Q371" s="138">
        <f>IFERROR(__xludf.DUMMYFUNCTION("""COMPUTED_VALUE"""),0.0)</f>
        <v>0</v>
      </c>
      <c r="R371" s="138">
        <f>IFERROR(__xludf.DUMMYFUNCTION("""COMPUTED_VALUE"""),7.0)</f>
        <v>7</v>
      </c>
      <c r="S371" s="139">
        <f>IFERROR(__xludf.DUMMYFUNCTION("""COMPUTED_VALUE"""),382.0)</f>
        <v>382</v>
      </c>
      <c r="T371" s="140">
        <f>IFERROR(__xludf.DUMMYFUNCTION("""COMPUTED_VALUE"""),104.0)</f>
        <v>104</v>
      </c>
      <c r="U371" s="136">
        <f>IFERROR(__xludf.DUMMYFUNCTION("""COMPUTED_VALUE"""),27.0)</f>
        <v>27</v>
      </c>
      <c r="V371" s="136">
        <f>IFERROR(__xludf.DUMMYFUNCTION("""COMPUTED_VALUE"""),51.0)</f>
        <v>51</v>
      </c>
      <c r="W371" s="136">
        <f>IFERROR(__xludf.DUMMYFUNCTION("""COMPUTED_VALUE"""),69.0)</f>
        <v>69</v>
      </c>
      <c r="X371" s="136">
        <f>IFERROR(__xludf.DUMMYFUNCTION("""COMPUTED_VALUE"""),385.77777777777777)</f>
        <v>385.7777778</v>
      </c>
      <c r="Y371" s="141">
        <f>IFERROR(__xludf.DUMMYFUNCTION("""COMPUTED_VALUE"""),51.0574074074074)</f>
        <v>51.05740741</v>
      </c>
      <c r="Z371" s="141">
        <f>IFERROR(__xludf.DUMMYFUNCTION("""COMPUTED_VALUE"""),2262.9444444444443)</f>
        <v>2262.944444</v>
      </c>
    </row>
    <row r="372">
      <c r="A372" s="41" t="str">
        <f>IFERROR(__xludf.DUMMYFUNCTION("""COMPUTED_VALUE"""),"Veteran")</f>
        <v>Veteran</v>
      </c>
      <c r="B372" s="41" t="str">
        <f>IFERROR(__xludf.DUMMYFUNCTION("""COMPUTED_VALUE"""),"RSC006314")</f>
        <v>RSC006314</v>
      </c>
      <c r="C372" s="41" t="str">
        <f>IFERROR(__xludf.DUMMYFUNCTION("""COMPUTED_VALUE"""),"Mimetic")</f>
        <v>Mimetic</v>
      </c>
      <c r="D372" s="41" t="str">
        <f>IFERROR(__xludf.DUMMYFUNCTION("""COMPUTED_VALUE"""),"Avalanche
Peppermint")</f>
        <v>Avalanche
Peppermint</v>
      </c>
      <c r="E372" s="136">
        <f>IFERROR(__xludf.DUMMYFUNCTION("""COMPUTED_VALUE"""),47.0)</f>
        <v>47</v>
      </c>
      <c r="F372" s="136">
        <f>IFERROR(__xludf.DUMMYFUNCTION("""COMPUTED_VALUE"""),26.0)</f>
        <v>26</v>
      </c>
      <c r="G372" s="136">
        <f>IFERROR(__xludf.DUMMYFUNCTION("""COMPUTED_VALUE"""),21.0)</f>
        <v>21</v>
      </c>
      <c r="H372" s="137">
        <f>IFERROR(__xludf.DUMMYFUNCTION("""COMPUTED_VALUE"""),0.5531914893617021)</f>
        <v>0.5531914894</v>
      </c>
      <c r="I372" s="136">
        <f>IFERROR(__xludf.DUMMYFUNCTION("""COMPUTED_VALUE"""),9.0)</f>
        <v>9</v>
      </c>
      <c r="J372" s="136">
        <f>IFERROR(__xludf.DUMMYFUNCTION("""COMPUTED_VALUE"""),16572.0)</f>
        <v>16572</v>
      </c>
      <c r="K372" s="136">
        <f>IFERROR(__xludf.DUMMYFUNCTION("""COMPUTED_VALUE"""),37.0)</f>
        <v>37</v>
      </c>
      <c r="L372" s="136">
        <f>IFERROR(__xludf.DUMMYFUNCTION("""COMPUTED_VALUE"""),34.0)</f>
        <v>34</v>
      </c>
      <c r="M372" s="136">
        <f>IFERROR(__xludf.DUMMYFUNCTION("""COMPUTED_VALUE"""),56.0)</f>
        <v>56</v>
      </c>
      <c r="N372" s="136">
        <f>IFERROR(__xludf.DUMMYFUNCTION("""COMPUTED_VALUE"""),126.0)</f>
        <v>126</v>
      </c>
      <c r="O372" s="138">
        <f>IFERROR(__xludf.DUMMYFUNCTION("""COMPUTED_VALUE"""),10.0)</f>
        <v>10</v>
      </c>
      <c r="P372" s="138">
        <f>IFERROR(__xludf.DUMMYFUNCTION("""COMPUTED_VALUE"""),3.0)</f>
        <v>3</v>
      </c>
      <c r="Q372" s="138">
        <f>IFERROR(__xludf.DUMMYFUNCTION("""COMPUTED_VALUE"""),1.0)</f>
        <v>1</v>
      </c>
      <c r="R372" s="138">
        <f>IFERROR(__xludf.DUMMYFUNCTION("""COMPUTED_VALUE"""),4.0)</f>
        <v>4</v>
      </c>
      <c r="S372" s="139">
        <f>IFERROR(__xludf.DUMMYFUNCTION("""COMPUTED_VALUE"""),403.0)</f>
        <v>403</v>
      </c>
      <c r="T372" s="140">
        <f>IFERROR(__xludf.DUMMYFUNCTION("""COMPUTED_VALUE"""),113.0)</f>
        <v>113</v>
      </c>
      <c r="U372" s="136">
        <f>IFERROR(__xludf.DUMMYFUNCTION("""COMPUTED_VALUE"""),31.0)</f>
        <v>31</v>
      </c>
      <c r="V372" s="136">
        <f>IFERROR(__xludf.DUMMYFUNCTION("""COMPUTED_VALUE"""),55.0)</f>
        <v>55</v>
      </c>
      <c r="W372" s="136">
        <f>IFERROR(__xludf.DUMMYFUNCTION("""COMPUTED_VALUE"""),63.0)</f>
        <v>63</v>
      </c>
      <c r="X372" s="136">
        <f>IFERROR(__xludf.DUMMYFUNCTION("""COMPUTED_VALUE"""),416.3829787234043)</f>
        <v>416.3829787</v>
      </c>
      <c r="Y372" s="141">
        <f>IFERROR(__xludf.DUMMYFUNCTION("""COMPUTED_VALUE"""),47.198936170212775)</f>
        <v>47.19893617</v>
      </c>
      <c r="Z372" s="141">
        <f>IFERROR(__xludf.DUMMYFUNCTION("""COMPUTED_VALUE"""),2491.6170212765956)</f>
        <v>2491.617021</v>
      </c>
    </row>
    <row r="373">
      <c r="A373" s="41" t="str">
        <f>IFERROR(__xludf.DUMMYFUNCTION("""COMPUTED_VALUE"""),"Veteran")</f>
        <v>Veteran</v>
      </c>
      <c r="B373" s="41" t="str">
        <f>IFERROR(__xludf.DUMMYFUNCTION("""COMPUTED_VALUE"""),"RSC006315")</f>
        <v>RSC006315</v>
      </c>
      <c r="C373" s="41" t="str">
        <f>IFERROR(__xludf.DUMMYFUNCTION("""COMPUTED_VALUE"""),"BIGbadBULLMAN13")</f>
        <v>BIGbadBULLMAN13</v>
      </c>
      <c r="D373" s="41" t="str">
        <f>IFERROR(__xludf.DUMMYFUNCTION("""COMPUTED_VALUE"""),"Kirin")</f>
        <v>Kirin</v>
      </c>
      <c r="E373" s="136">
        <f>IFERROR(__xludf.DUMMYFUNCTION("""COMPUTED_VALUE"""),30.0)</f>
        <v>30</v>
      </c>
      <c r="F373" s="136">
        <f>IFERROR(__xludf.DUMMYFUNCTION("""COMPUTED_VALUE"""),15.0)</f>
        <v>15</v>
      </c>
      <c r="G373" s="136">
        <f>IFERROR(__xludf.DUMMYFUNCTION("""COMPUTED_VALUE"""),15.0)</f>
        <v>15</v>
      </c>
      <c r="H373" s="137">
        <f>IFERROR(__xludf.DUMMYFUNCTION("""COMPUTED_VALUE"""),0.5)</f>
        <v>0.5</v>
      </c>
      <c r="I373" s="136">
        <f>IFERROR(__xludf.DUMMYFUNCTION("""COMPUTED_VALUE"""),3.0)</f>
        <v>3</v>
      </c>
      <c r="J373" s="136">
        <f>IFERROR(__xludf.DUMMYFUNCTION("""COMPUTED_VALUE"""),8822.0)</f>
        <v>8822</v>
      </c>
      <c r="K373" s="136">
        <f>IFERROR(__xludf.DUMMYFUNCTION("""COMPUTED_VALUE"""),16.0)</f>
        <v>16</v>
      </c>
      <c r="L373" s="136">
        <f>IFERROR(__xludf.DUMMYFUNCTION("""COMPUTED_VALUE"""),18.0)</f>
        <v>18</v>
      </c>
      <c r="M373" s="136">
        <f>IFERROR(__xludf.DUMMYFUNCTION("""COMPUTED_VALUE"""),28.0)</f>
        <v>28</v>
      </c>
      <c r="N373" s="136">
        <f>IFERROR(__xludf.DUMMYFUNCTION("""COMPUTED_VALUE"""),70.0)</f>
        <v>70</v>
      </c>
      <c r="O373" s="138">
        <f>IFERROR(__xludf.DUMMYFUNCTION("""COMPUTED_VALUE"""),4.0)</f>
        <v>4</v>
      </c>
      <c r="P373" s="138">
        <f>IFERROR(__xludf.DUMMYFUNCTION("""COMPUTED_VALUE"""),1.0)</f>
        <v>1</v>
      </c>
      <c r="Q373" s="138">
        <f>IFERROR(__xludf.DUMMYFUNCTION("""COMPUTED_VALUE"""),1.0)</f>
        <v>1</v>
      </c>
      <c r="R373" s="138">
        <f>IFERROR(__xludf.DUMMYFUNCTION("""COMPUTED_VALUE"""),2.0)</f>
        <v>2</v>
      </c>
      <c r="S373" s="139">
        <f>IFERROR(__xludf.DUMMYFUNCTION("""COMPUTED_VALUE"""),225.0)</f>
        <v>225</v>
      </c>
      <c r="T373" s="140">
        <f>IFERROR(__xludf.DUMMYFUNCTION("""COMPUTED_VALUE"""),65.0)</f>
        <v>65</v>
      </c>
      <c r="U373" s="136">
        <f>IFERROR(__xludf.DUMMYFUNCTION("""COMPUTED_VALUE"""),23.0)</f>
        <v>23</v>
      </c>
      <c r="V373" s="136">
        <f>IFERROR(__xludf.DUMMYFUNCTION("""COMPUTED_VALUE"""),66.0)</f>
        <v>66</v>
      </c>
      <c r="W373" s="136">
        <f>IFERROR(__xludf.DUMMYFUNCTION("""COMPUTED_VALUE"""),26.0)</f>
        <v>26</v>
      </c>
      <c r="X373" s="136">
        <f>IFERROR(__xludf.DUMMYFUNCTION("""COMPUTED_VALUE"""),440.93333333333334)</f>
        <v>440.9333333</v>
      </c>
      <c r="Y373" s="141">
        <f>IFERROR(__xludf.DUMMYFUNCTION("""COMPUTED_VALUE"""),51.34966666666669)</f>
        <v>51.34966667</v>
      </c>
      <c r="Z373" s="141">
        <f>IFERROR(__xludf.DUMMYFUNCTION("""COMPUTED_VALUE"""),2593.0333333333333)</f>
        <v>2593.033333</v>
      </c>
    </row>
    <row r="374">
      <c r="A374" s="41" t="str">
        <f>IFERROR(__xludf.DUMMYFUNCTION("""COMPUTED_VALUE"""),"Veteran")</f>
        <v>Veteran</v>
      </c>
      <c r="B374" s="41" t="str">
        <f>IFERROR(__xludf.DUMMYFUNCTION("""COMPUTED_VALUE"""),"RSC006320")</f>
        <v>RSC006320</v>
      </c>
      <c r="C374" s="41" t="str">
        <f>IFERROR(__xludf.DUMMYFUNCTION("""COMPUTED_VALUE"""),"Escape_Plan1")</f>
        <v>Escape_Plan1</v>
      </c>
      <c r="D374" s="41" t="str">
        <f>IFERROR(__xludf.DUMMYFUNCTION("""COMPUTED_VALUE"""),"Kirin")</f>
        <v>Kirin</v>
      </c>
      <c r="E374" s="136">
        <f>IFERROR(__xludf.DUMMYFUNCTION("""COMPUTED_VALUE"""),46.0)</f>
        <v>46</v>
      </c>
      <c r="F374" s="136">
        <f>IFERROR(__xludf.DUMMYFUNCTION("""COMPUTED_VALUE"""),25.0)</f>
        <v>25</v>
      </c>
      <c r="G374" s="136">
        <f>IFERROR(__xludf.DUMMYFUNCTION("""COMPUTED_VALUE"""),21.0)</f>
        <v>21</v>
      </c>
      <c r="H374" s="137">
        <f>IFERROR(__xludf.DUMMYFUNCTION("""COMPUTED_VALUE"""),0.5434782608695652)</f>
        <v>0.5434782609</v>
      </c>
      <c r="I374" s="136">
        <f>IFERROR(__xludf.DUMMYFUNCTION("""COMPUTED_VALUE"""),13.0)</f>
        <v>13</v>
      </c>
      <c r="J374" s="136">
        <f>IFERROR(__xludf.DUMMYFUNCTION("""COMPUTED_VALUE"""),17786.0)</f>
        <v>17786</v>
      </c>
      <c r="K374" s="136">
        <f>IFERROR(__xludf.DUMMYFUNCTION("""COMPUTED_VALUE"""),43.0)</f>
        <v>43</v>
      </c>
      <c r="L374" s="136">
        <f>IFERROR(__xludf.DUMMYFUNCTION("""COMPUTED_VALUE"""),26.0)</f>
        <v>26</v>
      </c>
      <c r="M374" s="136">
        <f>IFERROR(__xludf.DUMMYFUNCTION("""COMPUTED_VALUE"""),78.0)</f>
        <v>78</v>
      </c>
      <c r="N374" s="136">
        <f>IFERROR(__xludf.DUMMYFUNCTION("""COMPUTED_VALUE"""),114.0)</f>
        <v>114</v>
      </c>
      <c r="O374" s="138">
        <f>IFERROR(__xludf.DUMMYFUNCTION("""COMPUTED_VALUE"""),13.0)</f>
        <v>13</v>
      </c>
      <c r="P374" s="138">
        <f>IFERROR(__xludf.DUMMYFUNCTION("""COMPUTED_VALUE"""),5.0)</f>
        <v>5</v>
      </c>
      <c r="Q374" s="138">
        <f>IFERROR(__xludf.DUMMYFUNCTION("""COMPUTED_VALUE"""),0.0)</f>
        <v>0</v>
      </c>
      <c r="R374" s="138">
        <f>IFERROR(__xludf.DUMMYFUNCTION("""COMPUTED_VALUE"""),10.0)</f>
        <v>10</v>
      </c>
      <c r="S374" s="139">
        <f>IFERROR(__xludf.DUMMYFUNCTION("""COMPUTED_VALUE"""),360.0)</f>
        <v>360</v>
      </c>
      <c r="T374" s="140">
        <f>IFERROR(__xludf.DUMMYFUNCTION("""COMPUTED_VALUE"""),103.0)</f>
        <v>103</v>
      </c>
      <c r="U374" s="136">
        <f>IFERROR(__xludf.DUMMYFUNCTION("""COMPUTED_VALUE"""),39.0)</f>
        <v>39</v>
      </c>
      <c r="V374" s="136">
        <f>IFERROR(__xludf.DUMMYFUNCTION("""COMPUTED_VALUE"""),37.0)</f>
        <v>37</v>
      </c>
      <c r="W374" s="136">
        <f>IFERROR(__xludf.DUMMYFUNCTION("""COMPUTED_VALUE"""),54.0)</f>
        <v>54</v>
      </c>
      <c r="X374" s="136">
        <f>IFERROR(__xludf.DUMMYFUNCTION("""COMPUTED_VALUE"""),369.7826086956522)</f>
        <v>369.7826087</v>
      </c>
      <c r="Y374" s="141">
        <f>IFERROR(__xludf.DUMMYFUNCTION("""COMPUTED_VALUE"""),50.71195652173912)</f>
        <v>50.71195652</v>
      </c>
      <c r="Z374" s="141">
        <f>IFERROR(__xludf.DUMMYFUNCTION("""COMPUTED_VALUE"""),2238.3260869565215)</f>
        <v>2238.326087</v>
      </c>
    </row>
    <row r="375">
      <c r="A375" s="41" t="str">
        <f>IFERROR(__xludf.DUMMYFUNCTION("""COMPUTED_VALUE"""),"Challenger")</f>
        <v>Challenger</v>
      </c>
      <c r="B375" s="41" t="str">
        <f>IFERROR(__xludf.DUMMYFUNCTION("""COMPUTED_VALUE"""),"RSC006322")</f>
        <v>RSC006322</v>
      </c>
      <c r="C375" s="41" t="str">
        <f>IFERROR(__xludf.DUMMYFUNCTION("""COMPUTED_VALUE"""),"Lorak")</f>
        <v>Lorak</v>
      </c>
      <c r="D375" s="41" t="str">
        <f>IFERROR(__xludf.DUMMYFUNCTION("""COMPUTED_VALUE"""),"Spearmint")</f>
        <v>Spearmint</v>
      </c>
      <c r="E375" s="136">
        <f>IFERROR(__xludf.DUMMYFUNCTION("""COMPUTED_VALUE"""),56.0)</f>
        <v>56</v>
      </c>
      <c r="F375" s="136">
        <f>IFERROR(__xludf.DUMMYFUNCTION("""COMPUTED_VALUE"""),27.0)</f>
        <v>27</v>
      </c>
      <c r="G375" s="136">
        <f>IFERROR(__xludf.DUMMYFUNCTION("""COMPUTED_VALUE"""),29.0)</f>
        <v>29</v>
      </c>
      <c r="H375" s="137">
        <f>IFERROR(__xludf.DUMMYFUNCTION("""COMPUTED_VALUE"""),0.48214285714285715)</f>
        <v>0.4821428571</v>
      </c>
      <c r="I375" s="136">
        <f>IFERROR(__xludf.DUMMYFUNCTION("""COMPUTED_VALUE"""),8.0)</f>
        <v>8</v>
      </c>
      <c r="J375" s="136">
        <f>IFERROR(__xludf.DUMMYFUNCTION("""COMPUTED_VALUE"""),19970.0)</f>
        <v>19970</v>
      </c>
      <c r="K375" s="136">
        <f>IFERROR(__xludf.DUMMYFUNCTION("""COMPUTED_VALUE"""),46.0)</f>
        <v>46</v>
      </c>
      <c r="L375" s="136">
        <f>IFERROR(__xludf.DUMMYFUNCTION("""COMPUTED_VALUE"""),18.0)</f>
        <v>18</v>
      </c>
      <c r="M375" s="136">
        <f>IFERROR(__xludf.DUMMYFUNCTION("""COMPUTED_VALUE"""),92.0)</f>
        <v>92</v>
      </c>
      <c r="N375" s="136">
        <f>IFERROR(__xludf.DUMMYFUNCTION("""COMPUTED_VALUE"""),144.0)</f>
        <v>144</v>
      </c>
      <c r="O375" s="138">
        <f>IFERROR(__xludf.DUMMYFUNCTION("""COMPUTED_VALUE"""),11.0)</f>
        <v>11</v>
      </c>
      <c r="P375" s="138">
        <f>IFERROR(__xludf.DUMMYFUNCTION("""COMPUTED_VALUE"""),1.0)</f>
        <v>1</v>
      </c>
      <c r="Q375" s="138">
        <f>IFERROR(__xludf.DUMMYFUNCTION("""COMPUTED_VALUE"""),0.0)</f>
        <v>0</v>
      </c>
      <c r="R375" s="138">
        <f>IFERROR(__xludf.DUMMYFUNCTION("""COMPUTED_VALUE"""),14.0)</f>
        <v>14</v>
      </c>
      <c r="S375" s="139">
        <f>IFERROR(__xludf.DUMMYFUNCTION("""COMPUTED_VALUE"""),428.0)</f>
        <v>428</v>
      </c>
      <c r="T375" s="140">
        <f>IFERROR(__xludf.DUMMYFUNCTION("""COMPUTED_VALUE"""),120.0)</f>
        <v>120</v>
      </c>
      <c r="U375" s="136">
        <f>IFERROR(__xludf.DUMMYFUNCTION("""COMPUTED_VALUE"""),40.0)</f>
        <v>40</v>
      </c>
      <c r="V375" s="136">
        <f>IFERROR(__xludf.DUMMYFUNCTION("""COMPUTED_VALUE"""),114.0)</f>
        <v>114</v>
      </c>
      <c r="W375" s="136">
        <f>IFERROR(__xludf.DUMMYFUNCTION("""COMPUTED_VALUE"""),50.0)</f>
        <v>50</v>
      </c>
      <c r="X375" s="136">
        <f>IFERROR(__xludf.DUMMYFUNCTION("""COMPUTED_VALUE"""),369.01785714285717)</f>
        <v>369.0178571</v>
      </c>
      <c r="Y375" s="141">
        <f>IFERROR(__xludf.DUMMYFUNCTION("""COMPUTED_VALUE"""),49.33410714285713)</f>
        <v>49.33410714</v>
      </c>
      <c r="Z375" s="141">
        <f>IFERROR(__xludf.DUMMYFUNCTION("""COMPUTED_VALUE"""),2198.1071428571427)</f>
        <v>2198.107143</v>
      </c>
    </row>
    <row r="376">
      <c r="A376" s="41" t="str">
        <f>IFERROR(__xludf.DUMMYFUNCTION("""COMPUTED_VALUE"""),"Challenger")</f>
        <v>Challenger</v>
      </c>
      <c r="B376" s="41" t="str">
        <f>IFERROR(__xludf.DUMMYFUNCTION("""COMPUTED_VALUE"""),"RSC006344")</f>
        <v>RSC006344</v>
      </c>
      <c r="C376" s="41" t="str">
        <f>IFERROR(__xludf.DUMMYFUNCTION("""COMPUTED_VALUE"""),"FerrisCrueller")</f>
        <v>FerrisCrueller</v>
      </c>
      <c r="D376" s="41" t="str">
        <f>IFERROR(__xludf.DUMMYFUNCTION("""COMPUTED_VALUE"""),"Insider Traders")</f>
        <v>Insider Traders</v>
      </c>
      <c r="E376" s="136">
        <f>IFERROR(__xludf.DUMMYFUNCTION("""COMPUTED_VALUE"""),47.0)</f>
        <v>47</v>
      </c>
      <c r="F376" s="136">
        <f>IFERROR(__xludf.DUMMYFUNCTION("""COMPUTED_VALUE"""),30.0)</f>
        <v>30</v>
      </c>
      <c r="G376" s="136">
        <f>IFERROR(__xludf.DUMMYFUNCTION("""COMPUTED_VALUE"""),17.0)</f>
        <v>17</v>
      </c>
      <c r="H376" s="137">
        <f>IFERROR(__xludf.DUMMYFUNCTION("""COMPUTED_VALUE"""),0.6382978723404256)</f>
        <v>0.6382978723</v>
      </c>
      <c r="I376" s="136">
        <f>IFERROR(__xludf.DUMMYFUNCTION("""COMPUTED_VALUE"""),9.0)</f>
        <v>9</v>
      </c>
      <c r="J376" s="136">
        <f>IFERROR(__xludf.DUMMYFUNCTION("""COMPUTED_VALUE"""),15360.0)</f>
        <v>15360</v>
      </c>
      <c r="K376" s="136">
        <f>IFERROR(__xludf.DUMMYFUNCTION("""COMPUTED_VALUE"""),38.0)</f>
        <v>38</v>
      </c>
      <c r="L376" s="136">
        <f>IFERROR(__xludf.DUMMYFUNCTION("""COMPUTED_VALUE"""),33.0)</f>
        <v>33</v>
      </c>
      <c r="M376" s="136">
        <f>IFERROR(__xludf.DUMMYFUNCTION("""COMPUTED_VALUE"""),49.0)</f>
        <v>49</v>
      </c>
      <c r="N376" s="136">
        <f>IFERROR(__xludf.DUMMYFUNCTION("""COMPUTED_VALUE"""),97.0)</f>
        <v>97</v>
      </c>
      <c r="O376" s="138">
        <f>IFERROR(__xludf.DUMMYFUNCTION("""COMPUTED_VALUE"""),5.0)</f>
        <v>5</v>
      </c>
      <c r="P376" s="138">
        <f>IFERROR(__xludf.DUMMYFUNCTION("""COMPUTED_VALUE"""),1.0)</f>
        <v>1</v>
      </c>
      <c r="Q376" s="138">
        <f>IFERROR(__xludf.DUMMYFUNCTION("""COMPUTED_VALUE"""),1.0)</f>
        <v>1</v>
      </c>
      <c r="R376" s="138">
        <f>IFERROR(__xludf.DUMMYFUNCTION("""COMPUTED_VALUE"""),6.0)</f>
        <v>6</v>
      </c>
      <c r="S376" s="139">
        <f>IFERROR(__xludf.DUMMYFUNCTION("""COMPUTED_VALUE"""),327.0)</f>
        <v>327</v>
      </c>
      <c r="T376" s="140">
        <f>IFERROR(__xludf.DUMMYFUNCTION("""COMPUTED_VALUE"""),92.0)</f>
        <v>92</v>
      </c>
      <c r="U376" s="136">
        <f>IFERROR(__xludf.DUMMYFUNCTION("""COMPUTED_VALUE"""),28.0)</f>
        <v>28</v>
      </c>
      <c r="V376" s="136">
        <f>IFERROR(__xludf.DUMMYFUNCTION("""COMPUTED_VALUE"""),34.0)</f>
        <v>34</v>
      </c>
      <c r="W376" s="136">
        <f>IFERROR(__xludf.DUMMYFUNCTION("""COMPUTED_VALUE"""),37.0)</f>
        <v>37</v>
      </c>
      <c r="X376" s="136">
        <f>IFERROR(__xludf.DUMMYFUNCTION("""COMPUTED_VALUE"""),378.2340425531915)</f>
        <v>378.2340426</v>
      </c>
      <c r="Y376" s="141">
        <f>IFERROR(__xludf.DUMMYFUNCTION("""COMPUTED_VALUE"""),49.85468085106382)</f>
        <v>49.85468085</v>
      </c>
      <c r="Z376" s="141">
        <f>IFERROR(__xludf.DUMMYFUNCTION("""COMPUTED_VALUE"""),2259.5106382978724)</f>
        <v>2259.510638</v>
      </c>
    </row>
    <row r="377">
      <c r="A377" s="41" t="str">
        <f>IFERROR(__xludf.DUMMYFUNCTION("""COMPUTED_VALUE"""),"Challenger")</f>
        <v>Challenger</v>
      </c>
      <c r="B377" s="41" t="str">
        <f>IFERROR(__xludf.DUMMYFUNCTION("""COMPUTED_VALUE"""),"RSC006346")</f>
        <v>RSC006346</v>
      </c>
      <c r="C377" s="41" t="str">
        <f>IFERROR(__xludf.DUMMYFUNCTION("""COMPUTED_VALUE"""),"MobBossCitrus")</f>
        <v>MobBossCitrus</v>
      </c>
      <c r="D377" s="41" t="str">
        <f>IFERROR(__xludf.DUMMYFUNCTION("""COMPUTED_VALUE"""),"Apple Associates")</f>
        <v>Apple Associates</v>
      </c>
      <c r="E377" s="136">
        <f>IFERROR(__xludf.DUMMYFUNCTION("""COMPUTED_VALUE"""),46.0)</f>
        <v>46</v>
      </c>
      <c r="F377" s="136">
        <f>IFERROR(__xludf.DUMMYFUNCTION("""COMPUTED_VALUE"""),25.0)</f>
        <v>25</v>
      </c>
      <c r="G377" s="136">
        <f>IFERROR(__xludf.DUMMYFUNCTION("""COMPUTED_VALUE"""),21.0)</f>
        <v>21</v>
      </c>
      <c r="H377" s="137">
        <f>IFERROR(__xludf.DUMMYFUNCTION("""COMPUTED_VALUE"""),0.5434782608695652)</f>
        <v>0.5434782609</v>
      </c>
      <c r="I377" s="136">
        <f>IFERROR(__xludf.DUMMYFUNCTION("""COMPUTED_VALUE"""),8.0)</f>
        <v>8</v>
      </c>
      <c r="J377" s="136">
        <f>IFERROR(__xludf.DUMMYFUNCTION("""COMPUTED_VALUE"""),15539.0)</f>
        <v>15539</v>
      </c>
      <c r="K377" s="136">
        <f>IFERROR(__xludf.DUMMYFUNCTION("""COMPUTED_VALUE"""),44.0)</f>
        <v>44</v>
      </c>
      <c r="L377" s="136">
        <f>IFERROR(__xludf.DUMMYFUNCTION("""COMPUTED_VALUE"""),22.0)</f>
        <v>22</v>
      </c>
      <c r="M377" s="136">
        <f>IFERROR(__xludf.DUMMYFUNCTION("""COMPUTED_VALUE"""),44.0)</f>
        <v>44</v>
      </c>
      <c r="N377" s="136">
        <f>IFERROR(__xludf.DUMMYFUNCTION("""COMPUTED_VALUE"""),112.0)</f>
        <v>112</v>
      </c>
      <c r="O377" s="138">
        <f>IFERROR(__xludf.DUMMYFUNCTION("""COMPUTED_VALUE"""),5.0)</f>
        <v>5</v>
      </c>
      <c r="P377" s="138">
        <f>IFERROR(__xludf.DUMMYFUNCTION("""COMPUTED_VALUE"""),4.0)</f>
        <v>4</v>
      </c>
      <c r="Q377" s="138">
        <f>IFERROR(__xludf.DUMMYFUNCTION("""COMPUTED_VALUE"""),1.0)</f>
        <v>1</v>
      </c>
      <c r="R377" s="138">
        <f>IFERROR(__xludf.DUMMYFUNCTION("""COMPUTED_VALUE"""),3.0)</f>
        <v>3</v>
      </c>
      <c r="S377" s="139">
        <f>IFERROR(__xludf.DUMMYFUNCTION("""COMPUTED_VALUE"""),337.0)</f>
        <v>337</v>
      </c>
      <c r="T377" s="140">
        <f>IFERROR(__xludf.DUMMYFUNCTION("""COMPUTED_VALUE"""),108.0)</f>
        <v>108</v>
      </c>
      <c r="U377" s="136">
        <f>IFERROR(__xludf.DUMMYFUNCTION("""COMPUTED_VALUE"""),36.0)</f>
        <v>36</v>
      </c>
      <c r="V377" s="136">
        <f>IFERROR(__xludf.DUMMYFUNCTION("""COMPUTED_VALUE"""),24.0)</f>
        <v>24</v>
      </c>
      <c r="W377" s="136">
        <f>IFERROR(__xludf.DUMMYFUNCTION("""COMPUTED_VALUE"""),51.0)</f>
        <v>51</v>
      </c>
      <c r="X377" s="136">
        <f>IFERROR(__xludf.DUMMYFUNCTION("""COMPUTED_VALUE"""),317.89130434782606)</f>
        <v>317.8913043</v>
      </c>
      <c r="Y377" s="141">
        <f>IFERROR(__xludf.DUMMYFUNCTION("""COMPUTED_VALUE"""),50.60478260869566)</f>
        <v>50.60478261</v>
      </c>
      <c r="Z377" s="141">
        <f>IFERROR(__xludf.DUMMYFUNCTION("""COMPUTED_VALUE"""),1903.7173913043478)</f>
        <v>1903.717391</v>
      </c>
    </row>
    <row r="378">
      <c r="A378" s="41" t="str">
        <f>IFERROR(__xludf.DUMMYFUNCTION("""COMPUTED_VALUE"""),"Challenger")</f>
        <v>Challenger</v>
      </c>
      <c r="B378" s="41" t="str">
        <f>IFERROR(__xludf.DUMMYFUNCTION("""COMPUTED_VALUE"""),"RSC006353")</f>
        <v>RSC006353</v>
      </c>
      <c r="C378" s="41" t="str">
        <f>IFERROR(__xludf.DUMMYFUNCTION("""COMPUTED_VALUE"""),"Novarchite")</f>
        <v>Novarchite</v>
      </c>
      <c r="D378" s="41" t="str">
        <f>IFERROR(__xludf.DUMMYFUNCTION("""COMPUTED_VALUE"""),"Toucans")</f>
        <v>Toucans</v>
      </c>
      <c r="E378" s="136">
        <f>IFERROR(__xludf.DUMMYFUNCTION("""COMPUTED_VALUE"""),41.0)</f>
        <v>41</v>
      </c>
      <c r="F378" s="136">
        <f>IFERROR(__xludf.DUMMYFUNCTION("""COMPUTED_VALUE"""),10.0)</f>
        <v>10</v>
      </c>
      <c r="G378" s="136">
        <f>IFERROR(__xludf.DUMMYFUNCTION("""COMPUTED_VALUE"""),31.0)</f>
        <v>31</v>
      </c>
      <c r="H378" s="137">
        <f>IFERROR(__xludf.DUMMYFUNCTION("""COMPUTED_VALUE"""),0.24390243902439024)</f>
        <v>0.243902439</v>
      </c>
      <c r="I378" s="136">
        <f>IFERROR(__xludf.DUMMYFUNCTION("""COMPUTED_VALUE"""),3.0)</f>
        <v>3</v>
      </c>
      <c r="J378" s="136">
        <f>IFERROR(__xludf.DUMMYFUNCTION("""COMPUTED_VALUE"""),13309.0)</f>
        <v>13309</v>
      </c>
      <c r="K378" s="136">
        <f>IFERROR(__xludf.DUMMYFUNCTION("""COMPUTED_VALUE"""),28.0)</f>
        <v>28</v>
      </c>
      <c r="L378" s="136">
        <f>IFERROR(__xludf.DUMMYFUNCTION("""COMPUTED_VALUE"""),11.0)</f>
        <v>11</v>
      </c>
      <c r="M378" s="136">
        <f>IFERROR(__xludf.DUMMYFUNCTION("""COMPUTED_VALUE"""),68.0)</f>
        <v>68</v>
      </c>
      <c r="N378" s="136">
        <f>IFERROR(__xludf.DUMMYFUNCTION("""COMPUTED_VALUE"""),82.0)</f>
        <v>82</v>
      </c>
      <c r="O378" s="138">
        <f>IFERROR(__xludf.DUMMYFUNCTION("""COMPUTED_VALUE"""),3.0)</f>
        <v>3</v>
      </c>
      <c r="P378" s="138">
        <f>IFERROR(__xludf.DUMMYFUNCTION("""COMPUTED_VALUE"""),2.0)</f>
        <v>2</v>
      </c>
      <c r="Q378" s="138">
        <f>IFERROR(__xludf.DUMMYFUNCTION("""COMPUTED_VALUE"""),0.0)</f>
        <v>0</v>
      </c>
      <c r="R378" s="138">
        <f>IFERROR(__xludf.DUMMYFUNCTION("""COMPUTED_VALUE"""),11.0)</f>
        <v>11</v>
      </c>
      <c r="S378" s="139">
        <f>IFERROR(__xludf.DUMMYFUNCTION("""COMPUTED_VALUE"""),375.0)</f>
        <v>375</v>
      </c>
      <c r="T378" s="140">
        <f>IFERROR(__xludf.DUMMYFUNCTION("""COMPUTED_VALUE"""),125.0)</f>
        <v>125</v>
      </c>
      <c r="U378" s="136">
        <f>IFERROR(__xludf.DUMMYFUNCTION("""COMPUTED_VALUE"""),29.0)</f>
        <v>29</v>
      </c>
      <c r="V378" s="136">
        <f>IFERROR(__xludf.DUMMYFUNCTION("""COMPUTED_VALUE"""),35.0)</f>
        <v>35</v>
      </c>
      <c r="W378" s="136">
        <f>IFERROR(__xludf.DUMMYFUNCTION("""COMPUTED_VALUE"""),42.0)</f>
        <v>42</v>
      </c>
      <c r="X378" s="136">
        <f>IFERROR(__xludf.DUMMYFUNCTION("""COMPUTED_VALUE"""),327.8536585365854)</f>
        <v>327.8536585</v>
      </c>
      <c r="Y378" s="141">
        <f>IFERROR(__xludf.DUMMYFUNCTION("""COMPUTED_VALUE"""),46.57560975609756)</f>
        <v>46.57560976</v>
      </c>
      <c r="Z378" s="141">
        <f>IFERROR(__xludf.DUMMYFUNCTION("""COMPUTED_VALUE"""),1959.4878048780488)</f>
        <v>1959.487805</v>
      </c>
    </row>
    <row r="379">
      <c r="A379" s="41" t="str">
        <f>IFERROR(__xludf.DUMMYFUNCTION("""COMPUTED_VALUE"""),"Amateur")</f>
        <v>Amateur</v>
      </c>
      <c r="B379" s="41" t="str">
        <f>IFERROR(__xludf.DUMMYFUNCTION("""COMPUTED_VALUE"""),"RSC006364")</f>
        <v>RSC006364</v>
      </c>
      <c r="C379" s="41" t="str">
        <f>IFERROR(__xludf.DUMMYFUNCTION("""COMPUTED_VALUE"""),"YT_rocketbrah")</f>
        <v>YT_rocketbrah</v>
      </c>
      <c r="D379" s="41" t="str">
        <f>IFERROR(__xludf.DUMMYFUNCTION("""COMPUTED_VALUE"""),"Legionaries")</f>
        <v>Legionaries</v>
      </c>
      <c r="E379" s="136">
        <f>IFERROR(__xludf.DUMMYFUNCTION("""COMPUTED_VALUE"""),3.0)</f>
        <v>3</v>
      </c>
      <c r="F379" s="136">
        <f>IFERROR(__xludf.DUMMYFUNCTION("""COMPUTED_VALUE"""),0.0)</f>
        <v>0</v>
      </c>
      <c r="G379" s="136">
        <f>IFERROR(__xludf.DUMMYFUNCTION("""COMPUTED_VALUE"""),3.0)</f>
        <v>3</v>
      </c>
      <c r="H379" s="137">
        <f>IFERROR(__xludf.DUMMYFUNCTION("""COMPUTED_VALUE"""),0.0)</f>
        <v>0</v>
      </c>
      <c r="I379" s="136">
        <f>IFERROR(__xludf.DUMMYFUNCTION("""COMPUTED_VALUE"""),0.0)</f>
        <v>0</v>
      </c>
      <c r="J379" s="136">
        <f>IFERROR(__xludf.DUMMYFUNCTION("""COMPUTED_VALUE"""),467.0)</f>
        <v>467</v>
      </c>
      <c r="K379" s="136">
        <f>IFERROR(__xludf.DUMMYFUNCTION("""COMPUTED_VALUE"""),0.0)</f>
        <v>0</v>
      </c>
      <c r="L379" s="136">
        <f>IFERROR(__xludf.DUMMYFUNCTION("""COMPUTED_VALUE"""),0.0)</f>
        <v>0</v>
      </c>
      <c r="M379" s="136">
        <f>IFERROR(__xludf.DUMMYFUNCTION("""COMPUTED_VALUE"""),4.0)</f>
        <v>4</v>
      </c>
      <c r="N379" s="136">
        <f>IFERROR(__xludf.DUMMYFUNCTION("""COMPUTED_VALUE"""),3.0)</f>
        <v>3</v>
      </c>
      <c r="O379" s="138">
        <f>IFERROR(__xludf.DUMMYFUNCTION("""COMPUTED_VALUE"""),0.0)</f>
        <v>0</v>
      </c>
      <c r="P379" s="138">
        <f>IFERROR(__xludf.DUMMYFUNCTION("""COMPUTED_VALUE"""),0.0)</f>
        <v>0</v>
      </c>
      <c r="Q379" s="138">
        <f>IFERROR(__xludf.DUMMYFUNCTION("""COMPUTED_VALUE"""),0.0)</f>
        <v>0</v>
      </c>
      <c r="R379" s="138">
        <f>IFERROR(__xludf.DUMMYFUNCTION("""COMPUTED_VALUE"""),0.0)</f>
        <v>0</v>
      </c>
      <c r="S379" s="139">
        <f>IFERROR(__xludf.DUMMYFUNCTION("""COMPUTED_VALUE"""),33.0)</f>
        <v>33</v>
      </c>
      <c r="T379" s="140">
        <f>IFERROR(__xludf.DUMMYFUNCTION("""COMPUTED_VALUE"""),11.0)</f>
        <v>11</v>
      </c>
      <c r="U379" s="136">
        <f>IFERROR(__xludf.DUMMYFUNCTION("""COMPUTED_VALUE"""),7.0)</f>
        <v>7</v>
      </c>
      <c r="V379" s="136">
        <f>IFERROR(__xludf.DUMMYFUNCTION("""COMPUTED_VALUE"""),1.0)</f>
        <v>1</v>
      </c>
      <c r="W379" s="136">
        <f>IFERROR(__xludf.DUMMYFUNCTION("""COMPUTED_VALUE"""),2.0)</f>
        <v>2</v>
      </c>
      <c r="X379" s="139">
        <f>IFERROR(__xludf.DUMMYFUNCTION("""COMPUTED_VALUE"""),374.6666666666667)</f>
        <v>374.6666667</v>
      </c>
      <c r="Y379" s="141">
        <f>IFERROR(__xludf.DUMMYFUNCTION("""COMPUTED_VALUE"""),50.61000000000001)</f>
        <v>50.61</v>
      </c>
      <c r="Z379" s="141">
        <f>IFERROR(__xludf.DUMMYFUNCTION("""COMPUTED_VALUE"""),2173.6666666666665)</f>
        <v>2173.666667</v>
      </c>
    </row>
    <row r="380">
      <c r="A380" s="41" t="str">
        <f>IFERROR(__xludf.DUMMYFUNCTION("""COMPUTED_VALUE"""),"Challenger")</f>
        <v>Challenger</v>
      </c>
      <c r="B380" s="41" t="str">
        <f>IFERROR(__xludf.DUMMYFUNCTION("""COMPUTED_VALUE"""),"RSC006369")</f>
        <v>RSC006369</v>
      </c>
      <c r="C380" s="41" t="str">
        <f>IFERROR(__xludf.DUMMYFUNCTION("""COMPUTED_VALUE"""),"nate")</f>
        <v>nate</v>
      </c>
      <c r="D380" s="41" t="str">
        <f>IFERROR(__xludf.DUMMYFUNCTION("""COMPUTED_VALUE"""),"Spearmint")</f>
        <v>Spearmint</v>
      </c>
      <c r="E380" s="136">
        <f>IFERROR(__xludf.DUMMYFUNCTION("""COMPUTED_VALUE"""),4.0)</f>
        <v>4</v>
      </c>
      <c r="F380" s="136">
        <f>IFERROR(__xludf.DUMMYFUNCTION("""COMPUTED_VALUE"""),1.0)</f>
        <v>1</v>
      </c>
      <c r="G380" s="136">
        <f>IFERROR(__xludf.DUMMYFUNCTION("""COMPUTED_VALUE"""),3.0)</f>
        <v>3</v>
      </c>
      <c r="H380" s="137">
        <f>IFERROR(__xludf.DUMMYFUNCTION("""COMPUTED_VALUE"""),0.25)</f>
        <v>0.25</v>
      </c>
      <c r="I380" s="136">
        <f>IFERROR(__xludf.DUMMYFUNCTION("""COMPUTED_VALUE"""),0.0)</f>
        <v>0</v>
      </c>
      <c r="J380" s="136">
        <f>IFERROR(__xludf.DUMMYFUNCTION("""COMPUTED_VALUE"""),1500.0)</f>
        <v>1500</v>
      </c>
      <c r="K380" s="136">
        <f>IFERROR(__xludf.DUMMYFUNCTION("""COMPUTED_VALUE"""),3.0)</f>
        <v>3</v>
      </c>
      <c r="L380" s="136">
        <f>IFERROR(__xludf.DUMMYFUNCTION("""COMPUTED_VALUE"""),2.0)</f>
        <v>2</v>
      </c>
      <c r="M380" s="136">
        <f>IFERROR(__xludf.DUMMYFUNCTION("""COMPUTED_VALUE"""),8.0)</f>
        <v>8</v>
      </c>
      <c r="N380" s="136">
        <f>IFERROR(__xludf.DUMMYFUNCTION("""COMPUTED_VALUE"""),9.0)</f>
        <v>9</v>
      </c>
      <c r="O380" s="138">
        <f>IFERROR(__xludf.DUMMYFUNCTION("""COMPUTED_VALUE"""),2.0)</f>
        <v>2</v>
      </c>
      <c r="P380" s="138">
        <f>IFERROR(__xludf.DUMMYFUNCTION("""COMPUTED_VALUE"""),0.0)</f>
        <v>0</v>
      </c>
      <c r="Q380" s="138">
        <f>IFERROR(__xludf.DUMMYFUNCTION("""COMPUTED_VALUE"""),0.0)</f>
        <v>0</v>
      </c>
      <c r="R380" s="138">
        <f>IFERROR(__xludf.DUMMYFUNCTION("""COMPUTED_VALUE"""),1.0)</f>
        <v>1</v>
      </c>
      <c r="S380" s="139">
        <f>IFERROR(__xludf.DUMMYFUNCTION("""COMPUTED_VALUE"""),44.0)</f>
        <v>44</v>
      </c>
      <c r="T380" s="140">
        <f>IFERROR(__xludf.DUMMYFUNCTION("""COMPUTED_VALUE"""),13.0)</f>
        <v>13</v>
      </c>
      <c r="U380" s="136">
        <f>IFERROR(__xludf.DUMMYFUNCTION("""COMPUTED_VALUE"""),5.0)</f>
        <v>5</v>
      </c>
      <c r="V380" s="136">
        <f>IFERROR(__xludf.DUMMYFUNCTION("""COMPUTED_VALUE"""),5.0)</f>
        <v>5</v>
      </c>
      <c r="W380" s="136">
        <f>IFERROR(__xludf.DUMMYFUNCTION("""COMPUTED_VALUE"""),3.0)</f>
        <v>3</v>
      </c>
      <c r="X380" s="136">
        <f>IFERROR(__xludf.DUMMYFUNCTION("""COMPUTED_VALUE"""),364.25)</f>
        <v>364.25</v>
      </c>
      <c r="Y380" s="141">
        <f>IFERROR(__xludf.DUMMYFUNCTION("""COMPUTED_VALUE"""),53.51)</f>
        <v>53.51</v>
      </c>
      <c r="Z380" s="141">
        <f>IFERROR(__xludf.DUMMYFUNCTION("""COMPUTED_VALUE"""),2234.25)</f>
        <v>2234.25</v>
      </c>
    </row>
    <row r="381">
      <c r="A381" s="41" t="str">
        <f>IFERROR(__xludf.DUMMYFUNCTION("""COMPUTED_VALUE"""),"Amateur")</f>
        <v>Amateur</v>
      </c>
      <c r="B381" s="41" t="str">
        <f>IFERROR(__xludf.DUMMYFUNCTION("""COMPUTED_VALUE"""),"RSC006375")</f>
        <v>RSC006375</v>
      </c>
      <c r="C381" s="41" t="str">
        <f>IFERROR(__xludf.DUMMYFUNCTION("""COMPUTED_VALUE"""),"Rich-Rollin6060")</f>
        <v>Rich-Rollin6060</v>
      </c>
      <c r="D381" s="41" t="str">
        <f>IFERROR(__xludf.DUMMYFUNCTION("""COMPUTED_VALUE"""),"Garlic Knots")</f>
        <v>Garlic Knots</v>
      </c>
      <c r="E381" s="136">
        <f>IFERROR(__xludf.DUMMYFUNCTION("""COMPUTED_VALUE"""),42.0)</f>
        <v>42</v>
      </c>
      <c r="F381" s="136">
        <f>IFERROR(__xludf.DUMMYFUNCTION("""COMPUTED_VALUE"""),23.0)</f>
        <v>23</v>
      </c>
      <c r="G381" s="136">
        <f>IFERROR(__xludf.DUMMYFUNCTION("""COMPUTED_VALUE"""),19.0)</f>
        <v>19</v>
      </c>
      <c r="H381" s="137">
        <f>IFERROR(__xludf.DUMMYFUNCTION("""COMPUTED_VALUE"""),0.5476190476190477)</f>
        <v>0.5476190476</v>
      </c>
      <c r="I381" s="136">
        <f>IFERROR(__xludf.DUMMYFUNCTION("""COMPUTED_VALUE"""),4.0)</f>
        <v>4</v>
      </c>
      <c r="J381" s="136">
        <f>IFERROR(__xludf.DUMMYFUNCTION("""COMPUTED_VALUE"""),11869.0)</f>
        <v>11869</v>
      </c>
      <c r="K381" s="136">
        <f>IFERROR(__xludf.DUMMYFUNCTION("""COMPUTED_VALUE"""),33.0)</f>
        <v>33</v>
      </c>
      <c r="L381" s="136">
        <f>IFERROR(__xludf.DUMMYFUNCTION("""COMPUTED_VALUE"""),22.0)</f>
        <v>22</v>
      </c>
      <c r="M381" s="136">
        <f>IFERROR(__xludf.DUMMYFUNCTION("""COMPUTED_VALUE"""),17.0)</f>
        <v>17</v>
      </c>
      <c r="N381" s="136">
        <f>IFERROR(__xludf.DUMMYFUNCTION("""COMPUTED_VALUE"""),101.0)</f>
        <v>101</v>
      </c>
      <c r="O381" s="138">
        <f>IFERROR(__xludf.DUMMYFUNCTION("""COMPUTED_VALUE"""),4.0)</f>
        <v>4</v>
      </c>
      <c r="P381" s="138">
        <f>IFERROR(__xludf.DUMMYFUNCTION("""COMPUTED_VALUE"""),2.0)</f>
        <v>2</v>
      </c>
      <c r="Q381" s="138">
        <f>IFERROR(__xludf.DUMMYFUNCTION("""COMPUTED_VALUE"""),0.0)</f>
        <v>0</v>
      </c>
      <c r="R381" s="138">
        <f>IFERROR(__xludf.DUMMYFUNCTION("""COMPUTED_VALUE"""),0.0)</f>
        <v>0</v>
      </c>
      <c r="S381" s="139">
        <f>IFERROR(__xludf.DUMMYFUNCTION("""COMPUTED_VALUE"""),237.0)</f>
        <v>237</v>
      </c>
      <c r="T381" s="140">
        <f>IFERROR(__xludf.DUMMYFUNCTION("""COMPUTED_VALUE"""),95.0)</f>
        <v>95</v>
      </c>
      <c r="U381" s="136">
        <f>IFERROR(__xludf.DUMMYFUNCTION("""COMPUTED_VALUE"""),34.0)</f>
        <v>34</v>
      </c>
      <c r="V381" s="136">
        <f>IFERROR(__xludf.DUMMYFUNCTION("""COMPUTED_VALUE"""),54.0)</f>
        <v>54</v>
      </c>
      <c r="W381" s="136">
        <f>IFERROR(__xludf.DUMMYFUNCTION("""COMPUTED_VALUE"""),41.0)</f>
        <v>41</v>
      </c>
      <c r="X381" s="139">
        <f>IFERROR(__xludf.DUMMYFUNCTION("""COMPUTED_VALUE"""),361.26190476190476)</f>
        <v>361.2619048</v>
      </c>
      <c r="Y381" s="141">
        <f>IFERROR(__xludf.DUMMYFUNCTION("""COMPUTED_VALUE"""),43.54523809523809)</f>
        <v>43.5452381</v>
      </c>
      <c r="Z381" s="141">
        <f>IFERROR(__xludf.DUMMYFUNCTION("""COMPUTED_VALUE"""),2103.3333333333335)</f>
        <v>2103.333333</v>
      </c>
    </row>
    <row r="382">
      <c r="A382" s="41" t="str">
        <f>IFERROR(__xludf.DUMMYFUNCTION("""COMPUTED_VALUE"""),"Elite")</f>
        <v>Elite</v>
      </c>
      <c r="B382" s="41" t="str">
        <f>IFERROR(__xludf.DUMMYFUNCTION("""COMPUTED_VALUE"""),"RSC006378")</f>
        <v>RSC006378</v>
      </c>
      <c r="C382" s="41" t="str">
        <f>IFERROR(__xludf.DUMMYFUNCTION("""COMPUTED_VALUE"""),"depressed vibez")</f>
        <v>depressed vibez</v>
      </c>
      <c r="D382" s="41" t="str">
        <f>IFERROR(__xludf.DUMMYFUNCTION("""COMPUTED_VALUE"""),"Hellhounds
Drive-by")</f>
        <v>Hellhounds
Drive-by</v>
      </c>
      <c r="E382" s="136">
        <f>IFERROR(__xludf.DUMMYFUNCTION("""COMPUTED_VALUE"""),23.0)</f>
        <v>23</v>
      </c>
      <c r="F382" s="136">
        <f>IFERROR(__xludf.DUMMYFUNCTION("""COMPUTED_VALUE"""),7.0)</f>
        <v>7</v>
      </c>
      <c r="G382" s="136">
        <f>IFERROR(__xludf.DUMMYFUNCTION("""COMPUTED_VALUE"""),16.0)</f>
        <v>16</v>
      </c>
      <c r="H382" s="137">
        <f>IFERROR(__xludf.DUMMYFUNCTION("""COMPUTED_VALUE"""),0.30434782608695654)</f>
        <v>0.3043478261</v>
      </c>
      <c r="I382" s="136">
        <f>IFERROR(__xludf.DUMMYFUNCTION("""COMPUTED_VALUE"""),1.0)</f>
        <v>1</v>
      </c>
      <c r="J382" s="136">
        <f>IFERROR(__xludf.DUMMYFUNCTION("""COMPUTED_VALUE"""),8262.0)</f>
        <v>8262</v>
      </c>
      <c r="K382" s="136">
        <f>IFERROR(__xludf.DUMMYFUNCTION("""COMPUTED_VALUE"""),17.0)</f>
        <v>17</v>
      </c>
      <c r="L382" s="136">
        <f>IFERROR(__xludf.DUMMYFUNCTION("""COMPUTED_VALUE"""),12.0)</f>
        <v>12</v>
      </c>
      <c r="M382" s="136">
        <f>IFERROR(__xludf.DUMMYFUNCTION("""COMPUTED_VALUE"""),38.0)</f>
        <v>38</v>
      </c>
      <c r="N382" s="136">
        <f>IFERROR(__xludf.DUMMYFUNCTION("""COMPUTED_VALUE"""),58.0)</f>
        <v>58</v>
      </c>
      <c r="O382" s="138">
        <f>IFERROR(__xludf.DUMMYFUNCTION("""COMPUTED_VALUE"""),5.0)</f>
        <v>5</v>
      </c>
      <c r="P382" s="138">
        <f>IFERROR(__xludf.DUMMYFUNCTION("""COMPUTED_VALUE"""),1.0)</f>
        <v>1</v>
      </c>
      <c r="Q382" s="138">
        <f>IFERROR(__xludf.DUMMYFUNCTION("""COMPUTED_VALUE"""),0.0)</f>
        <v>0</v>
      </c>
      <c r="R382" s="138">
        <f>IFERROR(__xludf.DUMMYFUNCTION("""COMPUTED_VALUE"""),7.0)</f>
        <v>7</v>
      </c>
      <c r="S382" s="139">
        <f>IFERROR(__xludf.DUMMYFUNCTION("""COMPUTED_VALUE"""),211.0)</f>
        <v>211</v>
      </c>
      <c r="T382" s="140">
        <f>IFERROR(__xludf.DUMMYFUNCTION("""COMPUTED_VALUE"""),61.0)</f>
        <v>61</v>
      </c>
      <c r="U382" s="136">
        <f>IFERROR(__xludf.DUMMYFUNCTION("""COMPUTED_VALUE"""),18.0)</f>
        <v>18</v>
      </c>
      <c r="V382" s="136">
        <f>IFERROR(__xludf.DUMMYFUNCTION("""COMPUTED_VALUE"""),11.0)</f>
        <v>11</v>
      </c>
      <c r="W382" s="136">
        <f>IFERROR(__xludf.DUMMYFUNCTION("""COMPUTED_VALUE"""),34.0)</f>
        <v>34</v>
      </c>
      <c r="X382" s="136">
        <f>IFERROR(__xludf.DUMMYFUNCTION("""COMPUTED_VALUE"""),366.4782608695652)</f>
        <v>366.4782609</v>
      </c>
      <c r="Y382" s="141">
        <f>IFERROR(__xludf.DUMMYFUNCTION("""COMPUTED_VALUE"""),42.91217391304348)</f>
        <v>42.91217391</v>
      </c>
      <c r="Z382" s="141">
        <f>IFERROR(__xludf.DUMMYFUNCTION("""COMPUTED_VALUE"""),2085.782608695652)</f>
        <v>2085.782609</v>
      </c>
    </row>
    <row r="383">
      <c r="A383" s="41" t="str">
        <f>IFERROR(__xludf.DUMMYFUNCTION("""COMPUTED_VALUE"""),"Prospect")</f>
        <v>Prospect</v>
      </c>
      <c r="B383" s="41" t="str">
        <f>IFERROR(__xludf.DUMMYFUNCTION("""COMPUTED_VALUE"""),"RSC006381")</f>
        <v>RSC006381</v>
      </c>
      <c r="C383" s="41" t="str">
        <f>IFERROR(__xludf.DUMMYFUNCTION("""COMPUTED_VALUE"""),"YERP_YERP02")</f>
        <v>YERP_YERP02</v>
      </c>
      <c r="D383" s="41" t="str">
        <f>IFERROR(__xludf.DUMMYFUNCTION("""COMPUTED_VALUE"""),"Piranhas
Honey Badgers")</f>
        <v>Piranhas
Honey Badgers</v>
      </c>
      <c r="E383" s="136">
        <f>IFERROR(__xludf.DUMMYFUNCTION("""COMPUTED_VALUE"""),24.0)</f>
        <v>24</v>
      </c>
      <c r="F383" s="136">
        <f>IFERROR(__xludf.DUMMYFUNCTION("""COMPUTED_VALUE"""),6.0)</f>
        <v>6</v>
      </c>
      <c r="G383" s="136">
        <f>IFERROR(__xludf.DUMMYFUNCTION("""COMPUTED_VALUE"""),18.0)</f>
        <v>18</v>
      </c>
      <c r="H383" s="137">
        <f>IFERROR(__xludf.DUMMYFUNCTION("""COMPUTED_VALUE"""),0.25)</f>
        <v>0.25</v>
      </c>
      <c r="I383" s="136">
        <f>IFERROR(__xludf.DUMMYFUNCTION("""COMPUTED_VALUE"""),0.0)</f>
        <v>0</v>
      </c>
      <c r="J383" s="136">
        <f>IFERROR(__xludf.DUMMYFUNCTION("""COMPUTED_VALUE"""),5522.0)</f>
        <v>5522</v>
      </c>
      <c r="K383" s="136">
        <f>IFERROR(__xludf.DUMMYFUNCTION("""COMPUTED_VALUE"""),6.0)</f>
        <v>6</v>
      </c>
      <c r="L383" s="136">
        <f>IFERROR(__xludf.DUMMYFUNCTION("""COMPUTED_VALUE"""),11.0)</f>
        <v>11</v>
      </c>
      <c r="M383" s="136">
        <f>IFERROR(__xludf.DUMMYFUNCTION("""COMPUTED_VALUE"""),15.0)</f>
        <v>15</v>
      </c>
      <c r="N383" s="136">
        <f>IFERROR(__xludf.DUMMYFUNCTION("""COMPUTED_VALUE"""),44.0)</f>
        <v>44</v>
      </c>
      <c r="O383" s="138">
        <f>IFERROR(__xludf.DUMMYFUNCTION("""COMPUTED_VALUE"""),1.0)</f>
        <v>1</v>
      </c>
      <c r="P383" s="138">
        <f>IFERROR(__xludf.DUMMYFUNCTION("""COMPUTED_VALUE"""),0.0)</f>
        <v>0</v>
      </c>
      <c r="Q383" s="138">
        <f>IFERROR(__xludf.DUMMYFUNCTION("""COMPUTED_VALUE"""),1.0)</f>
        <v>1</v>
      </c>
      <c r="R383" s="138">
        <f>IFERROR(__xludf.DUMMYFUNCTION("""COMPUTED_VALUE"""),1.0)</f>
        <v>1</v>
      </c>
      <c r="S383" s="139">
        <f>IFERROR(__xludf.DUMMYFUNCTION("""COMPUTED_VALUE"""),196.0)</f>
        <v>196</v>
      </c>
      <c r="T383" s="140">
        <f>IFERROR(__xludf.DUMMYFUNCTION("""COMPUTED_VALUE"""),77.0)</f>
        <v>77</v>
      </c>
      <c r="U383" s="136">
        <f>IFERROR(__xludf.DUMMYFUNCTION("""COMPUTED_VALUE"""),27.0)</f>
        <v>27</v>
      </c>
      <c r="V383" s="136">
        <f>IFERROR(__xludf.DUMMYFUNCTION("""COMPUTED_VALUE"""),24.0)</f>
        <v>24</v>
      </c>
      <c r="W383" s="136">
        <f>IFERROR(__xludf.DUMMYFUNCTION("""COMPUTED_VALUE"""),24.0)</f>
        <v>24</v>
      </c>
      <c r="X383" s="136">
        <f>IFERROR(__xludf.DUMMYFUNCTION("""COMPUTED_VALUE"""),332.4583333333333)</f>
        <v>332.4583333</v>
      </c>
      <c r="Y383" s="141">
        <f>IFERROR(__xludf.DUMMYFUNCTION("""COMPUTED_VALUE"""),47.31208333333333)</f>
        <v>47.31208333</v>
      </c>
      <c r="Z383" s="141">
        <f>IFERROR(__xludf.DUMMYFUNCTION("""COMPUTED_VALUE"""),2000.1666666666667)</f>
        <v>2000.166667</v>
      </c>
    </row>
    <row r="384">
      <c r="A384" s="41" t="str">
        <f>IFERROR(__xludf.DUMMYFUNCTION("""COMPUTED_VALUE"""),"Veteran")</f>
        <v>Veteran</v>
      </c>
      <c r="B384" s="41" t="str">
        <f>IFERROR(__xludf.DUMMYFUNCTION("""COMPUTED_VALUE"""),"RSC006401")</f>
        <v>RSC006401</v>
      </c>
      <c r="C384" s="41" t="str">
        <f>IFERROR(__xludf.DUMMYFUNCTION("""COMPUTED_VALUE"""),"SHAdohwj_")</f>
        <v>SHAdohwj_</v>
      </c>
      <c r="D384" s="41" t="str">
        <f>IFERROR(__xludf.DUMMYFUNCTION("""COMPUTED_VALUE"""),"Dread")</f>
        <v>Dread</v>
      </c>
      <c r="E384" s="136">
        <f>IFERROR(__xludf.DUMMYFUNCTION("""COMPUTED_VALUE"""),11.0)</f>
        <v>11</v>
      </c>
      <c r="F384" s="136">
        <f>IFERROR(__xludf.DUMMYFUNCTION("""COMPUTED_VALUE"""),6.0)</f>
        <v>6</v>
      </c>
      <c r="G384" s="136">
        <f>IFERROR(__xludf.DUMMYFUNCTION("""COMPUTED_VALUE"""),5.0)</f>
        <v>5</v>
      </c>
      <c r="H384" s="137">
        <f>IFERROR(__xludf.DUMMYFUNCTION("""COMPUTED_VALUE"""),0.5454545454545454)</f>
        <v>0.5454545455</v>
      </c>
      <c r="I384" s="136">
        <f>IFERROR(__xludf.DUMMYFUNCTION("""COMPUTED_VALUE"""),1.0)</f>
        <v>1</v>
      </c>
      <c r="J384" s="136">
        <f>IFERROR(__xludf.DUMMYFUNCTION("""COMPUTED_VALUE"""),3675.0)</f>
        <v>3675</v>
      </c>
      <c r="K384" s="136">
        <f>IFERROR(__xludf.DUMMYFUNCTION("""COMPUTED_VALUE"""),12.0)</f>
        <v>12</v>
      </c>
      <c r="L384" s="136">
        <f>IFERROR(__xludf.DUMMYFUNCTION("""COMPUTED_VALUE"""),3.0)</f>
        <v>3</v>
      </c>
      <c r="M384" s="136">
        <f>IFERROR(__xludf.DUMMYFUNCTION("""COMPUTED_VALUE"""),15.0)</f>
        <v>15</v>
      </c>
      <c r="N384" s="136">
        <f>IFERROR(__xludf.DUMMYFUNCTION("""COMPUTED_VALUE"""),28.0)</f>
        <v>28</v>
      </c>
      <c r="O384" s="138">
        <f>IFERROR(__xludf.DUMMYFUNCTION("""COMPUTED_VALUE"""),0.0)</f>
        <v>0</v>
      </c>
      <c r="P384" s="138">
        <f>IFERROR(__xludf.DUMMYFUNCTION("""COMPUTED_VALUE"""),1.0)</f>
        <v>1</v>
      </c>
      <c r="Q384" s="138">
        <f>IFERROR(__xludf.DUMMYFUNCTION("""COMPUTED_VALUE"""),0.0)</f>
        <v>0</v>
      </c>
      <c r="R384" s="138">
        <f>IFERROR(__xludf.DUMMYFUNCTION("""COMPUTED_VALUE"""),2.0)</f>
        <v>2</v>
      </c>
      <c r="S384" s="139">
        <f>IFERROR(__xludf.DUMMYFUNCTION("""COMPUTED_VALUE"""),85.0)</f>
        <v>85</v>
      </c>
      <c r="T384" s="140">
        <f>IFERROR(__xludf.DUMMYFUNCTION("""COMPUTED_VALUE"""),26.0)</f>
        <v>26</v>
      </c>
      <c r="U384" s="136">
        <f>IFERROR(__xludf.DUMMYFUNCTION("""COMPUTED_VALUE"""),11.0)</f>
        <v>11</v>
      </c>
      <c r="V384" s="136">
        <f>IFERROR(__xludf.DUMMYFUNCTION("""COMPUTED_VALUE"""),15.0)</f>
        <v>15</v>
      </c>
      <c r="W384" s="136">
        <f>IFERROR(__xludf.DUMMYFUNCTION("""COMPUTED_VALUE"""),9.0)</f>
        <v>9</v>
      </c>
      <c r="X384" s="136">
        <f>IFERROR(__xludf.DUMMYFUNCTION("""COMPUTED_VALUE"""),413.6363636363636)</f>
        <v>413.6363636</v>
      </c>
      <c r="Y384" s="141">
        <f>IFERROR(__xludf.DUMMYFUNCTION("""COMPUTED_VALUE"""),52.094545454545454)</f>
        <v>52.09454545</v>
      </c>
      <c r="Z384" s="141">
        <f>IFERROR(__xludf.DUMMYFUNCTION("""COMPUTED_VALUE"""),2509.5454545454545)</f>
        <v>2509.545455</v>
      </c>
    </row>
    <row r="385">
      <c r="A385" s="41" t="str">
        <f>IFERROR(__xludf.DUMMYFUNCTION("""COMPUTED_VALUE"""),"Prospect")</f>
        <v>Prospect</v>
      </c>
      <c r="B385" s="41" t="str">
        <f>IFERROR(__xludf.DUMMYFUNCTION("""COMPUTED_VALUE"""),"RSC006404")</f>
        <v>RSC006404</v>
      </c>
      <c r="C385" s="41" t="str">
        <f>IFERROR(__xludf.DUMMYFUNCTION("""COMPUTED_VALUE"""),"Protocol")</f>
        <v>Protocol</v>
      </c>
      <c r="D385" s="41" t="str">
        <f>IFERROR(__xludf.DUMMYFUNCTION("""COMPUTED_VALUE"""),"Turbulence
Skeletons")</f>
        <v>Turbulence
Skeletons</v>
      </c>
      <c r="E385" s="136">
        <f>IFERROR(__xludf.DUMMYFUNCTION("""COMPUTED_VALUE"""),6.0)</f>
        <v>6</v>
      </c>
      <c r="F385" s="136">
        <f>IFERROR(__xludf.DUMMYFUNCTION("""COMPUTED_VALUE"""),2.0)</f>
        <v>2</v>
      </c>
      <c r="G385" s="136">
        <f>IFERROR(__xludf.DUMMYFUNCTION("""COMPUTED_VALUE"""),4.0)</f>
        <v>4</v>
      </c>
      <c r="H385" s="137">
        <f>IFERROR(__xludf.DUMMYFUNCTION("""COMPUTED_VALUE"""),0.3333333333333333)</f>
        <v>0.3333333333</v>
      </c>
      <c r="I385" s="136">
        <f>IFERROR(__xludf.DUMMYFUNCTION("""COMPUTED_VALUE"""),1.0)</f>
        <v>1</v>
      </c>
      <c r="J385" s="136">
        <f>IFERROR(__xludf.DUMMYFUNCTION("""COMPUTED_VALUE"""),2109.0)</f>
        <v>2109</v>
      </c>
      <c r="K385" s="136">
        <f>IFERROR(__xludf.DUMMYFUNCTION("""COMPUTED_VALUE"""),3.0)</f>
        <v>3</v>
      </c>
      <c r="L385" s="136">
        <f>IFERROR(__xludf.DUMMYFUNCTION("""COMPUTED_VALUE"""),4.0)</f>
        <v>4</v>
      </c>
      <c r="M385" s="136">
        <f>IFERROR(__xludf.DUMMYFUNCTION("""COMPUTED_VALUE"""),14.0)</f>
        <v>14</v>
      </c>
      <c r="N385" s="136">
        <f>IFERROR(__xludf.DUMMYFUNCTION("""COMPUTED_VALUE"""),10.0)</f>
        <v>10</v>
      </c>
      <c r="O385" s="138">
        <f>IFERROR(__xludf.DUMMYFUNCTION("""COMPUTED_VALUE"""),1.0)</f>
        <v>1</v>
      </c>
      <c r="P385" s="138">
        <f>IFERROR(__xludf.DUMMYFUNCTION("""COMPUTED_VALUE"""),1.0)</f>
        <v>1</v>
      </c>
      <c r="Q385" s="138">
        <f>IFERROR(__xludf.DUMMYFUNCTION("""COMPUTED_VALUE"""),0.0)</f>
        <v>0</v>
      </c>
      <c r="R385" s="138">
        <f>IFERROR(__xludf.DUMMYFUNCTION("""COMPUTED_VALUE"""),3.0)</f>
        <v>3</v>
      </c>
      <c r="S385" s="139">
        <f>IFERROR(__xludf.DUMMYFUNCTION("""COMPUTED_VALUE"""),63.0)</f>
        <v>63</v>
      </c>
      <c r="T385" s="140">
        <f>IFERROR(__xludf.DUMMYFUNCTION("""COMPUTED_VALUE"""),19.0)</f>
        <v>19</v>
      </c>
      <c r="U385" s="136">
        <f>IFERROR(__xludf.DUMMYFUNCTION("""COMPUTED_VALUE"""),10.0)</f>
        <v>10</v>
      </c>
      <c r="V385" s="136">
        <f>IFERROR(__xludf.DUMMYFUNCTION("""COMPUTED_VALUE"""),3.0)</f>
        <v>3</v>
      </c>
      <c r="W385" s="136">
        <f>IFERROR(__xludf.DUMMYFUNCTION("""COMPUTED_VALUE"""),7.0)</f>
        <v>7</v>
      </c>
      <c r="X385" s="136">
        <f>IFERROR(__xludf.DUMMYFUNCTION("""COMPUTED_VALUE"""),291.5)</f>
        <v>291.5</v>
      </c>
      <c r="Y385" s="141">
        <f>IFERROR(__xludf.DUMMYFUNCTION("""COMPUTED_VALUE"""),45.25)</f>
        <v>45.25</v>
      </c>
      <c r="Z385" s="141">
        <f>IFERROR(__xludf.DUMMYFUNCTION("""COMPUTED_VALUE"""),1652.1666666666667)</f>
        <v>1652.166667</v>
      </c>
    </row>
    <row r="386">
      <c r="A386" s="41" t="str">
        <f>IFERROR(__xludf.DUMMYFUNCTION("""COMPUTED_VALUE"""),"Elite")</f>
        <v>Elite</v>
      </c>
      <c r="B386" s="41" t="str">
        <f>IFERROR(__xludf.DUMMYFUNCTION("""COMPUTED_VALUE"""),"RSC006409")</f>
        <v>RSC006409</v>
      </c>
      <c r="C386" s="41" t="str">
        <f>IFERROR(__xludf.DUMMYFUNCTION("""COMPUTED_VALUE"""),"Reported.")</f>
        <v>Reported.</v>
      </c>
      <c r="D386" s="41" t="str">
        <f>IFERROR(__xludf.DUMMYFUNCTION("""COMPUTED_VALUE"""),"Great Whites")</f>
        <v>Great Whites</v>
      </c>
      <c r="E386" s="136">
        <f>IFERROR(__xludf.DUMMYFUNCTION("""COMPUTED_VALUE"""),50.0)</f>
        <v>50</v>
      </c>
      <c r="F386" s="136">
        <f>IFERROR(__xludf.DUMMYFUNCTION("""COMPUTED_VALUE"""),34.0)</f>
        <v>34</v>
      </c>
      <c r="G386" s="136">
        <f>IFERROR(__xludf.DUMMYFUNCTION("""COMPUTED_VALUE"""),16.0)</f>
        <v>16</v>
      </c>
      <c r="H386" s="137">
        <f>IFERROR(__xludf.DUMMYFUNCTION("""COMPUTED_VALUE"""),0.68)</f>
        <v>0.68</v>
      </c>
      <c r="I386" s="136">
        <f>IFERROR(__xludf.DUMMYFUNCTION("""COMPUTED_VALUE"""),19.0)</f>
        <v>19</v>
      </c>
      <c r="J386" s="136">
        <f>IFERROR(__xludf.DUMMYFUNCTION("""COMPUTED_VALUE"""),21888.0)</f>
        <v>21888</v>
      </c>
      <c r="K386" s="136">
        <f>IFERROR(__xludf.DUMMYFUNCTION("""COMPUTED_VALUE"""),50.0)</f>
        <v>50</v>
      </c>
      <c r="L386" s="136">
        <f>IFERROR(__xludf.DUMMYFUNCTION("""COMPUTED_VALUE"""),46.0)</f>
        <v>46</v>
      </c>
      <c r="M386" s="136">
        <f>IFERROR(__xludf.DUMMYFUNCTION("""COMPUTED_VALUE"""),87.0)</f>
        <v>87</v>
      </c>
      <c r="N386" s="136">
        <f>IFERROR(__xludf.DUMMYFUNCTION("""COMPUTED_VALUE"""),135.0)</f>
        <v>135</v>
      </c>
      <c r="O386" s="138">
        <f>IFERROR(__xludf.DUMMYFUNCTION("""COMPUTED_VALUE"""),21.0)</f>
        <v>21</v>
      </c>
      <c r="P386" s="138">
        <f>IFERROR(__xludf.DUMMYFUNCTION("""COMPUTED_VALUE"""),5.0)</f>
        <v>5</v>
      </c>
      <c r="Q386" s="138">
        <f>IFERROR(__xludf.DUMMYFUNCTION("""COMPUTED_VALUE"""),2.0)</f>
        <v>2</v>
      </c>
      <c r="R386" s="138">
        <f>IFERROR(__xludf.DUMMYFUNCTION("""COMPUTED_VALUE"""),17.0)</f>
        <v>17</v>
      </c>
      <c r="S386" s="139">
        <f>IFERROR(__xludf.DUMMYFUNCTION("""COMPUTED_VALUE"""),374.0)</f>
        <v>374</v>
      </c>
      <c r="T386" s="140">
        <f>IFERROR(__xludf.DUMMYFUNCTION("""COMPUTED_VALUE"""),86.0)</f>
        <v>86</v>
      </c>
      <c r="U386" s="136">
        <f>IFERROR(__xludf.DUMMYFUNCTION("""COMPUTED_VALUE"""),23.0)</f>
        <v>23</v>
      </c>
      <c r="V386" s="136">
        <f>IFERROR(__xludf.DUMMYFUNCTION("""COMPUTED_VALUE"""),55.0)</f>
        <v>55</v>
      </c>
      <c r="W386" s="136">
        <f>IFERROR(__xludf.DUMMYFUNCTION("""COMPUTED_VALUE"""),67.0)</f>
        <v>67</v>
      </c>
      <c r="X386" s="136">
        <f>IFERROR(__xludf.DUMMYFUNCTION("""COMPUTED_VALUE"""),393.82)</f>
        <v>393.82</v>
      </c>
      <c r="Y386" s="141">
        <f>IFERROR(__xludf.DUMMYFUNCTION("""COMPUTED_VALUE"""),48.62979999999999)</f>
        <v>48.6298</v>
      </c>
      <c r="Z386" s="141">
        <f>IFERROR(__xludf.DUMMYFUNCTION("""COMPUTED_VALUE"""),2394.36)</f>
        <v>2394.36</v>
      </c>
    </row>
    <row r="387">
      <c r="A387" s="41" t="str">
        <f>IFERROR(__xludf.DUMMYFUNCTION("""COMPUTED_VALUE"""),"Challenger")</f>
        <v>Challenger</v>
      </c>
      <c r="B387" s="41" t="str">
        <f>IFERROR(__xludf.DUMMYFUNCTION("""COMPUTED_VALUE"""),"RSC006416")</f>
        <v>RSC006416</v>
      </c>
      <c r="C387" s="41" t="str">
        <f>IFERROR(__xludf.DUMMYFUNCTION("""COMPUTED_VALUE"""),"StaRazor")</f>
        <v>StaRazor</v>
      </c>
      <c r="D387" s="41" t="str">
        <f>IFERROR(__xludf.DUMMYFUNCTION("""COMPUTED_VALUE"""),"Thunder Pups
Warthogs")</f>
        <v>Thunder Pups
Warthogs</v>
      </c>
      <c r="E387" s="136">
        <f>IFERROR(__xludf.DUMMYFUNCTION("""COMPUTED_VALUE"""),32.0)</f>
        <v>32</v>
      </c>
      <c r="F387" s="136">
        <f>IFERROR(__xludf.DUMMYFUNCTION("""COMPUTED_VALUE"""),17.0)</f>
        <v>17</v>
      </c>
      <c r="G387" s="136">
        <f>IFERROR(__xludf.DUMMYFUNCTION("""COMPUTED_VALUE"""),15.0)</f>
        <v>15</v>
      </c>
      <c r="H387" s="137">
        <f>IFERROR(__xludf.DUMMYFUNCTION("""COMPUTED_VALUE"""),0.53125)</f>
        <v>0.53125</v>
      </c>
      <c r="I387" s="136">
        <f>IFERROR(__xludf.DUMMYFUNCTION("""COMPUTED_VALUE"""),4.0)</f>
        <v>4</v>
      </c>
      <c r="J387" s="136">
        <f>IFERROR(__xludf.DUMMYFUNCTION("""COMPUTED_VALUE"""),12035.0)</f>
        <v>12035</v>
      </c>
      <c r="K387" s="136">
        <f>IFERROR(__xludf.DUMMYFUNCTION("""COMPUTED_VALUE"""),23.0)</f>
        <v>23</v>
      </c>
      <c r="L387" s="136">
        <f>IFERROR(__xludf.DUMMYFUNCTION("""COMPUTED_VALUE"""),26.0)</f>
        <v>26</v>
      </c>
      <c r="M387" s="136">
        <f>IFERROR(__xludf.DUMMYFUNCTION("""COMPUTED_VALUE"""),55.0)</f>
        <v>55</v>
      </c>
      <c r="N387" s="136">
        <f>IFERROR(__xludf.DUMMYFUNCTION("""COMPUTED_VALUE"""),78.0)</f>
        <v>78</v>
      </c>
      <c r="O387" s="138">
        <f>IFERROR(__xludf.DUMMYFUNCTION("""COMPUTED_VALUE"""),6.0)</f>
        <v>6</v>
      </c>
      <c r="P387" s="138">
        <f>IFERROR(__xludf.DUMMYFUNCTION("""COMPUTED_VALUE"""),1.0)</f>
        <v>1</v>
      </c>
      <c r="Q387" s="138">
        <f>IFERROR(__xludf.DUMMYFUNCTION("""COMPUTED_VALUE"""),1.0)</f>
        <v>1</v>
      </c>
      <c r="R387" s="138">
        <f>IFERROR(__xludf.DUMMYFUNCTION("""COMPUTED_VALUE"""),9.0)</f>
        <v>9</v>
      </c>
      <c r="S387" s="139">
        <f>IFERROR(__xludf.DUMMYFUNCTION("""COMPUTED_VALUE"""),264.0)</f>
        <v>264</v>
      </c>
      <c r="T387" s="140">
        <f>IFERROR(__xludf.DUMMYFUNCTION("""COMPUTED_VALUE"""),76.0)</f>
        <v>76</v>
      </c>
      <c r="U387" s="136">
        <f>IFERROR(__xludf.DUMMYFUNCTION("""COMPUTED_VALUE"""),30.0)</f>
        <v>30</v>
      </c>
      <c r="V387" s="136">
        <f>IFERROR(__xludf.DUMMYFUNCTION("""COMPUTED_VALUE"""),22.0)</f>
        <v>22</v>
      </c>
      <c r="W387" s="136">
        <f>IFERROR(__xludf.DUMMYFUNCTION("""COMPUTED_VALUE"""),39.0)</f>
        <v>39</v>
      </c>
      <c r="X387" s="136">
        <f>IFERROR(__xludf.DUMMYFUNCTION("""COMPUTED_VALUE"""),340.0)</f>
        <v>340</v>
      </c>
      <c r="Y387" s="141">
        <f>IFERROR(__xludf.DUMMYFUNCTION("""COMPUTED_VALUE"""),52.7578125)</f>
        <v>52.7578125</v>
      </c>
      <c r="Z387" s="141">
        <f>IFERROR(__xludf.DUMMYFUNCTION("""COMPUTED_VALUE"""),2171.84375)</f>
        <v>2171.84375</v>
      </c>
    </row>
    <row r="388">
      <c r="A388" s="41" t="str">
        <f>IFERROR(__xludf.DUMMYFUNCTION("""COMPUTED_VALUE"""),"Elite")</f>
        <v>Elite</v>
      </c>
      <c r="B388" s="41" t="str">
        <f>IFERROR(__xludf.DUMMYFUNCTION("""COMPUTED_VALUE"""),"RSC006417")</f>
        <v>RSC006417</v>
      </c>
      <c r="C388" s="41" t="str">
        <f>IFERROR(__xludf.DUMMYFUNCTION("""COMPUTED_VALUE"""),"TangentOgive")</f>
        <v>TangentOgive</v>
      </c>
      <c r="D388" s="41" t="str">
        <f>IFERROR(__xludf.DUMMYFUNCTION("""COMPUTED_VALUE"""),"Gelato")</f>
        <v>Gelato</v>
      </c>
      <c r="E388" s="136">
        <f>IFERROR(__xludf.DUMMYFUNCTION("""COMPUTED_VALUE"""),6.0)</f>
        <v>6</v>
      </c>
      <c r="F388" s="136">
        <f>IFERROR(__xludf.DUMMYFUNCTION("""COMPUTED_VALUE"""),2.0)</f>
        <v>2</v>
      </c>
      <c r="G388" s="136">
        <f>IFERROR(__xludf.DUMMYFUNCTION("""COMPUTED_VALUE"""),4.0)</f>
        <v>4</v>
      </c>
      <c r="H388" s="137">
        <f>IFERROR(__xludf.DUMMYFUNCTION("""COMPUTED_VALUE"""),0.3333333333333333)</f>
        <v>0.3333333333</v>
      </c>
      <c r="I388" s="136">
        <f>IFERROR(__xludf.DUMMYFUNCTION("""COMPUTED_VALUE"""),0.0)</f>
        <v>0</v>
      </c>
      <c r="J388" s="136">
        <f>IFERROR(__xludf.DUMMYFUNCTION("""COMPUTED_VALUE"""),2058.0)</f>
        <v>2058</v>
      </c>
      <c r="K388" s="136">
        <f>IFERROR(__xludf.DUMMYFUNCTION("""COMPUTED_VALUE"""),3.0)</f>
        <v>3</v>
      </c>
      <c r="L388" s="136">
        <f>IFERROR(__xludf.DUMMYFUNCTION("""COMPUTED_VALUE"""),6.0)</f>
        <v>6</v>
      </c>
      <c r="M388" s="136">
        <f>IFERROR(__xludf.DUMMYFUNCTION("""COMPUTED_VALUE"""),5.0)</f>
        <v>5</v>
      </c>
      <c r="N388" s="136">
        <f>IFERROR(__xludf.DUMMYFUNCTION("""COMPUTED_VALUE"""),20.0)</f>
        <v>20</v>
      </c>
      <c r="O388" s="138">
        <f>IFERROR(__xludf.DUMMYFUNCTION("""COMPUTED_VALUE"""),1.0)</f>
        <v>1</v>
      </c>
      <c r="P388" s="138">
        <f>IFERROR(__xludf.DUMMYFUNCTION("""COMPUTED_VALUE"""),0.0)</f>
        <v>0</v>
      </c>
      <c r="Q388" s="138">
        <f>IFERROR(__xludf.DUMMYFUNCTION("""COMPUTED_VALUE"""),1.0)</f>
        <v>1</v>
      </c>
      <c r="R388" s="138">
        <f>IFERROR(__xludf.DUMMYFUNCTION("""COMPUTED_VALUE"""),0.0)</f>
        <v>0</v>
      </c>
      <c r="S388" s="139">
        <f>IFERROR(__xludf.DUMMYFUNCTION("""COMPUTED_VALUE"""),59.0)</f>
        <v>59</v>
      </c>
      <c r="T388" s="140">
        <f>IFERROR(__xludf.DUMMYFUNCTION("""COMPUTED_VALUE"""),22.0)</f>
        <v>22</v>
      </c>
      <c r="U388" s="136">
        <f>IFERROR(__xludf.DUMMYFUNCTION("""COMPUTED_VALUE"""),5.0)</f>
        <v>5</v>
      </c>
      <c r="V388" s="136">
        <f>IFERROR(__xludf.DUMMYFUNCTION("""COMPUTED_VALUE"""),3.0)</f>
        <v>3</v>
      </c>
      <c r="W388" s="136">
        <f>IFERROR(__xludf.DUMMYFUNCTION("""COMPUTED_VALUE"""),6.0)</f>
        <v>6</v>
      </c>
      <c r="X388" s="136">
        <f>IFERROR(__xludf.DUMMYFUNCTION("""COMPUTED_VALUE"""),333.0)</f>
        <v>333</v>
      </c>
      <c r="Y388" s="141">
        <f>IFERROR(__xludf.DUMMYFUNCTION("""COMPUTED_VALUE"""),54.87166666666667)</f>
        <v>54.87166667</v>
      </c>
      <c r="Z388" s="141">
        <f>IFERROR(__xludf.DUMMYFUNCTION("""COMPUTED_VALUE"""),2219.1666666666665)</f>
        <v>2219.166667</v>
      </c>
    </row>
    <row r="389">
      <c r="A389" s="41" t="str">
        <f>IFERROR(__xludf.DUMMYFUNCTION("""COMPUTED_VALUE"""),"Prospect")</f>
        <v>Prospect</v>
      </c>
      <c r="B389" s="41" t="str">
        <f>IFERROR(__xludf.DUMMYFUNCTION("""COMPUTED_VALUE"""),"RSC006422")</f>
        <v>RSC006422</v>
      </c>
      <c r="C389" s="41" t="str">
        <f>IFERROR(__xludf.DUMMYFUNCTION("""COMPUTED_VALUE"""),"HuggingThor")</f>
        <v>HuggingThor</v>
      </c>
      <c r="D389" s="41" t="str">
        <f>IFERROR(__xludf.DUMMYFUNCTION("""COMPUTED_VALUE"""),"Blacktips
Tic Tacs")</f>
        <v>Blacktips
Tic Tacs</v>
      </c>
      <c r="E389" s="136">
        <f>IFERROR(__xludf.DUMMYFUNCTION("""COMPUTED_VALUE"""),5.0)</f>
        <v>5</v>
      </c>
      <c r="F389" s="136">
        <f>IFERROR(__xludf.DUMMYFUNCTION("""COMPUTED_VALUE"""),3.0)</f>
        <v>3</v>
      </c>
      <c r="G389" s="136">
        <f>IFERROR(__xludf.DUMMYFUNCTION("""COMPUTED_VALUE"""),2.0)</f>
        <v>2</v>
      </c>
      <c r="H389" s="137">
        <f>IFERROR(__xludf.DUMMYFUNCTION("""COMPUTED_VALUE"""),0.6)</f>
        <v>0.6</v>
      </c>
      <c r="I389" s="136">
        <f>IFERROR(__xludf.DUMMYFUNCTION("""COMPUTED_VALUE"""),0.0)</f>
        <v>0</v>
      </c>
      <c r="J389" s="136">
        <f>IFERROR(__xludf.DUMMYFUNCTION("""COMPUTED_VALUE"""),1167.0)</f>
        <v>1167</v>
      </c>
      <c r="K389" s="136">
        <f>IFERROR(__xludf.DUMMYFUNCTION("""COMPUTED_VALUE"""),1.0)</f>
        <v>1</v>
      </c>
      <c r="L389" s="136">
        <f>IFERROR(__xludf.DUMMYFUNCTION("""COMPUTED_VALUE"""),4.0)</f>
        <v>4</v>
      </c>
      <c r="M389" s="136">
        <f>IFERROR(__xludf.DUMMYFUNCTION("""COMPUTED_VALUE"""),4.0)</f>
        <v>4</v>
      </c>
      <c r="N389" s="136">
        <f>IFERROR(__xludf.DUMMYFUNCTION("""COMPUTED_VALUE"""),4.0)</f>
        <v>4</v>
      </c>
      <c r="O389" s="138">
        <f>IFERROR(__xludf.DUMMYFUNCTION("""COMPUTED_VALUE"""),0.0)</f>
        <v>0</v>
      </c>
      <c r="P389" s="138">
        <f>IFERROR(__xludf.DUMMYFUNCTION("""COMPUTED_VALUE"""),0.0)</f>
        <v>0</v>
      </c>
      <c r="Q389" s="138">
        <f>IFERROR(__xludf.DUMMYFUNCTION("""COMPUTED_VALUE"""),0.0)</f>
        <v>0</v>
      </c>
      <c r="R389" s="138">
        <f>IFERROR(__xludf.DUMMYFUNCTION("""COMPUTED_VALUE"""),0.0)</f>
        <v>0</v>
      </c>
      <c r="S389" s="139">
        <f>IFERROR(__xludf.DUMMYFUNCTION("""COMPUTED_VALUE"""),36.0)</f>
        <v>36</v>
      </c>
      <c r="T389" s="140">
        <f>IFERROR(__xludf.DUMMYFUNCTION("""COMPUTED_VALUE"""),13.0)</f>
        <v>13</v>
      </c>
      <c r="U389" s="136">
        <f>IFERROR(__xludf.DUMMYFUNCTION("""COMPUTED_VALUE"""),2.0)</f>
        <v>2</v>
      </c>
      <c r="V389" s="136">
        <f>IFERROR(__xludf.DUMMYFUNCTION("""COMPUTED_VALUE"""),5.0)</f>
        <v>5</v>
      </c>
      <c r="W389" s="136">
        <f>IFERROR(__xludf.DUMMYFUNCTION("""COMPUTED_VALUE"""),3.0)</f>
        <v>3</v>
      </c>
      <c r="X389" s="136">
        <f>IFERROR(__xludf.DUMMYFUNCTION("""COMPUTED_VALUE"""),418.2)</f>
        <v>418.2</v>
      </c>
      <c r="Y389" s="141">
        <f>IFERROR(__xludf.DUMMYFUNCTION("""COMPUTED_VALUE"""),49.726)</f>
        <v>49.726</v>
      </c>
      <c r="Z389" s="141">
        <f>IFERROR(__xludf.DUMMYFUNCTION("""COMPUTED_VALUE"""),2931.8)</f>
        <v>2931.8</v>
      </c>
    </row>
    <row r="390">
      <c r="A390" s="41" t="str">
        <f>IFERROR(__xludf.DUMMYFUNCTION("""COMPUTED_VALUE"""),"Elite")</f>
        <v>Elite</v>
      </c>
      <c r="B390" s="41" t="str">
        <f>IFERROR(__xludf.DUMMYFUNCTION("""COMPUTED_VALUE"""),"RSC006424")</f>
        <v>RSC006424</v>
      </c>
      <c r="C390" s="41" t="str">
        <f>IFERROR(__xludf.DUMMYFUNCTION("""COMPUTED_VALUE"""),"RSC Raven")</f>
        <v>RSC Raven</v>
      </c>
      <c r="D390" s="41" t="str">
        <f>IFERROR(__xludf.DUMMYFUNCTION("""COMPUTED_VALUE"""),"Peerless Scarred")</f>
        <v>Peerless Scarred</v>
      </c>
      <c r="E390" s="136">
        <f>IFERROR(__xludf.DUMMYFUNCTION("""COMPUTED_VALUE"""),55.0)</f>
        <v>55</v>
      </c>
      <c r="F390" s="136">
        <f>IFERROR(__xludf.DUMMYFUNCTION("""COMPUTED_VALUE"""),33.0)</f>
        <v>33</v>
      </c>
      <c r="G390" s="136">
        <f>IFERROR(__xludf.DUMMYFUNCTION("""COMPUTED_VALUE"""),22.0)</f>
        <v>22</v>
      </c>
      <c r="H390" s="137">
        <f>IFERROR(__xludf.DUMMYFUNCTION("""COMPUTED_VALUE"""),0.6)</f>
        <v>0.6</v>
      </c>
      <c r="I390" s="136">
        <f>IFERROR(__xludf.DUMMYFUNCTION("""COMPUTED_VALUE"""),15.0)</f>
        <v>15</v>
      </c>
      <c r="J390" s="136">
        <f>IFERROR(__xludf.DUMMYFUNCTION("""COMPUTED_VALUE"""),24097.0)</f>
        <v>24097</v>
      </c>
      <c r="K390" s="136">
        <f>IFERROR(__xludf.DUMMYFUNCTION("""COMPUTED_VALUE"""),63.0)</f>
        <v>63</v>
      </c>
      <c r="L390" s="136">
        <f>IFERROR(__xludf.DUMMYFUNCTION("""COMPUTED_VALUE"""),33.0)</f>
        <v>33</v>
      </c>
      <c r="M390" s="136">
        <f>IFERROR(__xludf.DUMMYFUNCTION("""COMPUTED_VALUE"""),94.0)</f>
        <v>94</v>
      </c>
      <c r="N390" s="136">
        <f>IFERROR(__xludf.DUMMYFUNCTION("""COMPUTED_VALUE"""),203.0)</f>
        <v>203</v>
      </c>
      <c r="O390" s="138">
        <f>IFERROR(__xludf.DUMMYFUNCTION("""COMPUTED_VALUE"""),16.0)</f>
        <v>16</v>
      </c>
      <c r="P390" s="138">
        <f>IFERROR(__xludf.DUMMYFUNCTION("""COMPUTED_VALUE"""),6.0)</f>
        <v>6</v>
      </c>
      <c r="Q390" s="138">
        <f>IFERROR(__xludf.DUMMYFUNCTION("""COMPUTED_VALUE"""),0.0)</f>
        <v>0</v>
      </c>
      <c r="R390" s="138">
        <f>IFERROR(__xludf.DUMMYFUNCTION("""COMPUTED_VALUE"""),14.0)</f>
        <v>14</v>
      </c>
      <c r="S390" s="139">
        <f>IFERROR(__xludf.DUMMYFUNCTION("""COMPUTED_VALUE"""),427.0)</f>
        <v>427</v>
      </c>
      <c r="T390" s="140">
        <f>IFERROR(__xludf.DUMMYFUNCTION("""COMPUTED_VALUE"""),116.0)</f>
        <v>116</v>
      </c>
      <c r="U390" s="136">
        <f>IFERROR(__xludf.DUMMYFUNCTION("""COMPUTED_VALUE"""),48.0)</f>
        <v>48</v>
      </c>
      <c r="V390" s="136">
        <f>IFERROR(__xludf.DUMMYFUNCTION("""COMPUTED_VALUE"""),41.0)</f>
        <v>41</v>
      </c>
      <c r="W390" s="136">
        <f>IFERROR(__xludf.DUMMYFUNCTION("""COMPUTED_VALUE"""),70.0)</f>
        <v>70</v>
      </c>
      <c r="X390" s="136">
        <f>IFERROR(__xludf.DUMMYFUNCTION("""COMPUTED_VALUE"""),324.0181818181818)</f>
        <v>324.0181818</v>
      </c>
      <c r="Y390" s="141">
        <f>IFERROR(__xludf.DUMMYFUNCTION("""COMPUTED_VALUE"""),48.51399999999999)</f>
        <v>48.514</v>
      </c>
      <c r="Z390" s="141">
        <f>IFERROR(__xludf.DUMMYFUNCTION("""COMPUTED_VALUE"""),1988.4)</f>
        <v>1988.4</v>
      </c>
    </row>
    <row r="391">
      <c r="A391" s="41" t="str">
        <f>IFERROR(__xludf.DUMMYFUNCTION("""COMPUTED_VALUE"""),"Veteran")</f>
        <v>Veteran</v>
      </c>
      <c r="B391" s="41" t="str">
        <f>IFERROR(__xludf.DUMMYFUNCTION("""COMPUTED_VALUE"""),"RSC006428")</f>
        <v>RSC006428</v>
      </c>
      <c r="C391" s="41" t="str">
        <f>IFERROR(__xludf.DUMMYFUNCTION("""COMPUTED_VALUE"""),"SniperWarrior007")</f>
        <v>SniperWarrior007</v>
      </c>
      <c r="D391" s="41" t="str">
        <f>IFERROR(__xludf.DUMMYFUNCTION("""COMPUTED_VALUE"""),"Peppermint")</f>
        <v>Peppermint</v>
      </c>
      <c r="E391" s="136">
        <f>IFERROR(__xludf.DUMMYFUNCTION("""COMPUTED_VALUE"""),8.0)</f>
        <v>8</v>
      </c>
      <c r="F391" s="136">
        <f>IFERROR(__xludf.DUMMYFUNCTION("""COMPUTED_VALUE"""),1.0)</f>
        <v>1</v>
      </c>
      <c r="G391" s="136">
        <f>IFERROR(__xludf.DUMMYFUNCTION("""COMPUTED_VALUE"""),7.0)</f>
        <v>7</v>
      </c>
      <c r="H391" s="137">
        <f>IFERROR(__xludf.DUMMYFUNCTION("""COMPUTED_VALUE"""),0.125)</f>
        <v>0.125</v>
      </c>
      <c r="I391" s="136">
        <f>IFERROR(__xludf.DUMMYFUNCTION("""COMPUTED_VALUE"""),0.0)</f>
        <v>0</v>
      </c>
      <c r="J391" s="136">
        <f>IFERROR(__xludf.DUMMYFUNCTION("""COMPUTED_VALUE"""),2162.0)</f>
        <v>2162</v>
      </c>
      <c r="K391" s="136">
        <f>IFERROR(__xludf.DUMMYFUNCTION("""COMPUTED_VALUE"""),3.0)</f>
        <v>3</v>
      </c>
      <c r="L391" s="136">
        <f>IFERROR(__xludf.DUMMYFUNCTION("""COMPUTED_VALUE"""),4.0)</f>
        <v>4</v>
      </c>
      <c r="M391" s="136">
        <f>IFERROR(__xludf.DUMMYFUNCTION("""COMPUTED_VALUE"""),9.0)</f>
        <v>9</v>
      </c>
      <c r="N391" s="136">
        <f>IFERROR(__xludf.DUMMYFUNCTION("""COMPUTED_VALUE"""),13.0)</f>
        <v>13</v>
      </c>
      <c r="O391" s="138">
        <f>IFERROR(__xludf.DUMMYFUNCTION("""COMPUTED_VALUE"""),0.0)</f>
        <v>0</v>
      </c>
      <c r="P391" s="138">
        <f>IFERROR(__xludf.DUMMYFUNCTION("""COMPUTED_VALUE"""),0.0)</f>
        <v>0</v>
      </c>
      <c r="Q391" s="138">
        <f>IFERROR(__xludf.DUMMYFUNCTION("""COMPUTED_VALUE"""),0.0)</f>
        <v>0</v>
      </c>
      <c r="R391" s="138">
        <f>IFERROR(__xludf.DUMMYFUNCTION("""COMPUTED_VALUE"""),1.0)</f>
        <v>1</v>
      </c>
      <c r="S391" s="139">
        <f>IFERROR(__xludf.DUMMYFUNCTION("""COMPUTED_VALUE"""),73.0)</f>
        <v>73</v>
      </c>
      <c r="T391" s="140">
        <f>IFERROR(__xludf.DUMMYFUNCTION("""COMPUTED_VALUE"""),24.0)</f>
        <v>24</v>
      </c>
      <c r="U391" s="136">
        <f>IFERROR(__xludf.DUMMYFUNCTION("""COMPUTED_VALUE"""),8.0)</f>
        <v>8</v>
      </c>
      <c r="V391" s="136">
        <f>IFERROR(__xludf.DUMMYFUNCTION("""COMPUTED_VALUE"""),6.0)</f>
        <v>6</v>
      </c>
      <c r="W391" s="136">
        <f>IFERROR(__xludf.DUMMYFUNCTION("""COMPUTED_VALUE"""),10.0)</f>
        <v>10</v>
      </c>
      <c r="X391" s="136">
        <f>IFERROR(__xludf.DUMMYFUNCTION("""COMPUTED_VALUE"""),400.625)</f>
        <v>400.625</v>
      </c>
      <c r="Y391" s="141">
        <f>IFERROR(__xludf.DUMMYFUNCTION("""COMPUTED_VALUE"""),59.541250000000005)</f>
        <v>59.54125</v>
      </c>
      <c r="Z391" s="141">
        <f>IFERROR(__xludf.DUMMYFUNCTION("""COMPUTED_VALUE"""),2678.0)</f>
        <v>2678</v>
      </c>
    </row>
    <row r="392">
      <c r="A392" s="41" t="str">
        <f>IFERROR(__xludf.DUMMYFUNCTION("""COMPUTED_VALUE"""),"Prospect")</f>
        <v>Prospect</v>
      </c>
      <c r="B392" s="41" t="str">
        <f>IFERROR(__xludf.DUMMYFUNCTION("""COMPUTED_VALUE"""),"RSC006439")</f>
        <v>RSC006439</v>
      </c>
      <c r="C392" s="41" t="str">
        <f>IFERROR(__xludf.DUMMYFUNCTION("""COMPUTED_VALUE"""),"S E L.")</f>
        <v>S E L.</v>
      </c>
      <c r="D392" s="41" t="str">
        <f>IFERROR(__xludf.DUMMYFUNCTION("""COMPUTED_VALUE"""),"Hawaiian Pizza")</f>
        <v>Hawaiian Pizza</v>
      </c>
      <c r="E392" s="136">
        <f>IFERROR(__xludf.DUMMYFUNCTION("""COMPUTED_VALUE"""),37.0)</f>
        <v>37</v>
      </c>
      <c r="F392" s="136">
        <f>IFERROR(__xludf.DUMMYFUNCTION("""COMPUTED_VALUE"""),20.0)</f>
        <v>20</v>
      </c>
      <c r="G392" s="136">
        <f>IFERROR(__xludf.DUMMYFUNCTION("""COMPUTED_VALUE"""),17.0)</f>
        <v>17</v>
      </c>
      <c r="H392" s="137">
        <f>IFERROR(__xludf.DUMMYFUNCTION("""COMPUTED_VALUE"""),0.5405405405405406)</f>
        <v>0.5405405405</v>
      </c>
      <c r="I392" s="136">
        <f>IFERROR(__xludf.DUMMYFUNCTION("""COMPUTED_VALUE"""),2.0)</f>
        <v>2</v>
      </c>
      <c r="J392" s="136">
        <f>IFERROR(__xludf.DUMMYFUNCTION("""COMPUTED_VALUE"""),10781.0)</f>
        <v>10781</v>
      </c>
      <c r="K392" s="136">
        <f>IFERROR(__xludf.DUMMYFUNCTION("""COMPUTED_VALUE"""),19.0)</f>
        <v>19</v>
      </c>
      <c r="L392" s="136">
        <f>IFERROR(__xludf.DUMMYFUNCTION("""COMPUTED_VALUE"""),13.0)</f>
        <v>13</v>
      </c>
      <c r="M392" s="136">
        <f>IFERROR(__xludf.DUMMYFUNCTION("""COMPUTED_VALUE"""),44.0)</f>
        <v>44</v>
      </c>
      <c r="N392" s="136">
        <f>IFERROR(__xludf.DUMMYFUNCTION("""COMPUTED_VALUE"""),66.0)</f>
        <v>66</v>
      </c>
      <c r="O392" s="138">
        <f>IFERROR(__xludf.DUMMYFUNCTION("""COMPUTED_VALUE"""),3.0)</f>
        <v>3</v>
      </c>
      <c r="P392" s="138">
        <f>IFERROR(__xludf.DUMMYFUNCTION("""COMPUTED_VALUE"""),1.0)</f>
        <v>1</v>
      </c>
      <c r="Q392" s="138">
        <f>IFERROR(__xludf.DUMMYFUNCTION("""COMPUTED_VALUE"""),0.0)</f>
        <v>0</v>
      </c>
      <c r="R392" s="138">
        <f>IFERROR(__xludf.DUMMYFUNCTION("""COMPUTED_VALUE"""),5.0)</f>
        <v>5</v>
      </c>
      <c r="S392" s="139">
        <f>IFERROR(__xludf.DUMMYFUNCTION("""COMPUTED_VALUE"""),240.0)</f>
        <v>240</v>
      </c>
      <c r="T392" s="140">
        <f>IFERROR(__xludf.DUMMYFUNCTION("""COMPUTED_VALUE"""),69.0)</f>
        <v>69</v>
      </c>
      <c r="U392" s="136">
        <f>IFERROR(__xludf.DUMMYFUNCTION("""COMPUTED_VALUE"""),16.0)</f>
        <v>16</v>
      </c>
      <c r="V392" s="136">
        <f>IFERROR(__xludf.DUMMYFUNCTION("""COMPUTED_VALUE"""),35.0)</f>
        <v>35</v>
      </c>
      <c r="W392" s="136">
        <f>IFERROR(__xludf.DUMMYFUNCTION("""COMPUTED_VALUE"""),48.0)</f>
        <v>48</v>
      </c>
      <c r="X392" s="136">
        <f>IFERROR(__xludf.DUMMYFUNCTION("""COMPUTED_VALUE"""),292.2432432432432)</f>
        <v>292.2432432</v>
      </c>
      <c r="Y392" s="141">
        <f>IFERROR(__xludf.DUMMYFUNCTION("""COMPUTED_VALUE"""),48.10621621621622)</f>
        <v>48.10621622</v>
      </c>
      <c r="Z392" s="141">
        <f>IFERROR(__xludf.DUMMYFUNCTION("""COMPUTED_VALUE"""),1773.972972972973)</f>
        <v>1773.972973</v>
      </c>
    </row>
    <row r="393">
      <c r="A393" s="41" t="str">
        <f>IFERROR(__xludf.DUMMYFUNCTION("""COMPUTED_VALUE"""),"Elite")</f>
        <v>Elite</v>
      </c>
      <c r="B393" s="41" t="str">
        <f>IFERROR(__xludf.DUMMYFUNCTION("""COMPUTED_VALUE"""),"RSC006448")</f>
        <v>RSC006448</v>
      </c>
      <c r="C393" s="41" t="str">
        <f>IFERROR(__xludf.DUMMYFUNCTION("""COMPUTED_VALUE"""),"M1TNS")</f>
        <v>M1TNS</v>
      </c>
      <c r="D393" s="41" t="str">
        <f>IFERROR(__xludf.DUMMYFUNCTION("""COMPUTED_VALUE"""),"Forge Defenders")</f>
        <v>Forge Defenders</v>
      </c>
      <c r="E393" s="136">
        <f>IFERROR(__xludf.DUMMYFUNCTION("""COMPUTED_VALUE"""),28.0)</f>
        <v>28</v>
      </c>
      <c r="F393" s="136">
        <f>IFERROR(__xludf.DUMMYFUNCTION("""COMPUTED_VALUE"""),16.0)</f>
        <v>16</v>
      </c>
      <c r="G393" s="136">
        <f>IFERROR(__xludf.DUMMYFUNCTION("""COMPUTED_VALUE"""),12.0)</f>
        <v>12</v>
      </c>
      <c r="H393" s="137">
        <f>IFERROR(__xludf.DUMMYFUNCTION("""COMPUTED_VALUE"""),0.5714285714285714)</f>
        <v>0.5714285714</v>
      </c>
      <c r="I393" s="136">
        <f>IFERROR(__xludf.DUMMYFUNCTION("""COMPUTED_VALUE"""),4.0)</f>
        <v>4</v>
      </c>
      <c r="J393" s="136">
        <f>IFERROR(__xludf.DUMMYFUNCTION("""COMPUTED_VALUE"""),8928.0)</f>
        <v>8928</v>
      </c>
      <c r="K393" s="136">
        <f>IFERROR(__xludf.DUMMYFUNCTION("""COMPUTED_VALUE"""),22.0)</f>
        <v>22</v>
      </c>
      <c r="L393" s="136">
        <f>IFERROR(__xludf.DUMMYFUNCTION("""COMPUTED_VALUE"""),13.0)</f>
        <v>13</v>
      </c>
      <c r="M393" s="136">
        <f>IFERROR(__xludf.DUMMYFUNCTION("""COMPUTED_VALUE"""),31.0)</f>
        <v>31</v>
      </c>
      <c r="N393" s="136">
        <f>IFERROR(__xludf.DUMMYFUNCTION("""COMPUTED_VALUE"""),73.0)</f>
        <v>73</v>
      </c>
      <c r="O393" s="138">
        <f>IFERROR(__xludf.DUMMYFUNCTION("""COMPUTED_VALUE"""),3.0)</f>
        <v>3</v>
      </c>
      <c r="P393" s="138">
        <f>IFERROR(__xludf.DUMMYFUNCTION("""COMPUTED_VALUE"""),2.0)</f>
        <v>2</v>
      </c>
      <c r="Q393" s="138">
        <f>IFERROR(__xludf.DUMMYFUNCTION("""COMPUTED_VALUE"""),0.0)</f>
        <v>0</v>
      </c>
      <c r="R393" s="138">
        <f>IFERROR(__xludf.DUMMYFUNCTION("""COMPUTED_VALUE"""),5.0)</f>
        <v>5</v>
      </c>
      <c r="S393" s="139">
        <f>IFERROR(__xludf.DUMMYFUNCTION("""COMPUTED_VALUE"""),226.0)</f>
        <v>226</v>
      </c>
      <c r="T393" s="140">
        <f>IFERROR(__xludf.DUMMYFUNCTION("""COMPUTED_VALUE"""),56.0)</f>
        <v>56</v>
      </c>
      <c r="U393" s="136">
        <f>IFERROR(__xludf.DUMMYFUNCTION("""COMPUTED_VALUE"""),13.0)</f>
        <v>13</v>
      </c>
      <c r="V393" s="136">
        <f>IFERROR(__xludf.DUMMYFUNCTION("""COMPUTED_VALUE"""),17.0)</f>
        <v>17</v>
      </c>
      <c r="W393" s="136">
        <f>IFERROR(__xludf.DUMMYFUNCTION("""COMPUTED_VALUE"""),35.0)</f>
        <v>35</v>
      </c>
      <c r="X393" s="136">
        <f>IFERROR(__xludf.DUMMYFUNCTION("""COMPUTED_VALUE"""),397.92857142857144)</f>
        <v>397.9285714</v>
      </c>
      <c r="Y393" s="141">
        <f>IFERROR(__xludf.DUMMYFUNCTION("""COMPUTED_VALUE"""),47.39821428571429)</f>
        <v>47.39821429</v>
      </c>
      <c r="Z393" s="141">
        <f>IFERROR(__xludf.DUMMYFUNCTION("""COMPUTED_VALUE"""),2417.535714285714)</f>
        <v>2417.535714</v>
      </c>
    </row>
    <row r="394">
      <c r="A394" s="41" t="str">
        <f>IFERROR(__xludf.DUMMYFUNCTION("""COMPUTED_VALUE"""),"Prospect")</f>
        <v>Prospect</v>
      </c>
      <c r="B394" s="41" t="str">
        <f>IFERROR(__xludf.DUMMYFUNCTION("""COMPUTED_VALUE"""),"RSC006461")</f>
        <v>RSC006461</v>
      </c>
      <c r="C394" s="41" t="str">
        <f>IFERROR(__xludf.DUMMYFUNCTION("""COMPUTED_VALUE"""),"Cynical89")</f>
        <v>Cynical89</v>
      </c>
      <c r="D394" s="41" t="str">
        <f>IFERROR(__xludf.DUMMYFUNCTION("""COMPUTED_VALUE"""),"Tanuki")</f>
        <v>Tanuki</v>
      </c>
      <c r="E394" s="136">
        <f>IFERROR(__xludf.DUMMYFUNCTION("""COMPUTED_VALUE"""),49.0)</f>
        <v>49</v>
      </c>
      <c r="F394" s="136">
        <f>IFERROR(__xludf.DUMMYFUNCTION("""COMPUTED_VALUE"""),21.0)</f>
        <v>21</v>
      </c>
      <c r="G394" s="136">
        <f>IFERROR(__xludf.DUMMYFUNCTION("""COMPUTED_VALUE"""),28.0)</f>
        <v>28</v>
      </c>
      <c r="H394" s="137">
        <f>IFERROR(__xludf.DUMMYFUNCTION("""COMPUTED_VALUE"""),0.42857142857142855)</f>
        <v>0.4285714286</v>
      </c>
      <c r="I394" s="136">
        <f>IFERROR(__xludf.DUMMYFUNCTION("""COMPUTED_VALUE"""),4.0)</f>
        <v>4</v>
      </c>
      <c r="J394" s="136">
        <f>IFERROR(__xludf.DUMMYFUNCTION("""COMPUTED_VALUE"""),13302.0)</f>
        <v>13302</v>
      </c>
      <c r="K394" s="136">
        <f>IFERROR(__xludf.DUMMYFUNCTION("""COMPUTED_VALUE"""),27.0)</f>
        <v>27</v>
      </c>
      <c r="L394" s="136">
        <f>IFERROR(__xludf.DUMMYFUNCTION("""COMPUTED_VALUE"""),22.0)</f>
        <v>22</v>
      </c>
      <c r="M394" s="136">
        <f>IFERROR(__xludf.DUMMYFUNCTION("""COMPUTED_VALUE"""),46.0)</f>
        <v>46</v>
      </c>
      <c r="N394" s="136">
        <f>IFERROR(__xludf.DUMMYFUNCTION("""COMPUTED_VALUE"""),78.0)</f>
        <v>78</v>
      </c>
      <c r="O394" s="138">
        <f>IFERROR(__xludf.DUMMYFUNCTION("""COMPUTED_VALUE"""),7.0)</f>
        <v>7</v>
      </c>
      <c r="P394" s="138">
        <f>IFERROR(__xludf.DUMMYFUNCTION("""COMPUTED_VALUE"""),1.0)</f>
        <v>1</v>
      </c>
      <c r="Q394" s="138">
        <f>IFERROR(__xludf.DUMMYFUNCTION("""COMPUTED_VALUE"""),1.0)</f>
        <v>1</v>
      </c>
      <c r="R394" s="138">
        <f>IFERROR(__xludf.DUMMYFUNCTION("""COMPUTED_VALUE"""),6.0)</f>
        <v>6</v>
      </c>
      <c r="S394" s="139">
        <f>IFERROR(__xludf.DUMMYFUNCTION("""COMPUTED_VALUE"""),333.0)</f>
        <v>333</v>
      </c>
      <c r="T394" s="140">
        <f>IFERROR(__xludf.DUMMYFUNCTION("""COMPUTED_VALUE"""),115.0)</f>
        <v>115</v>
      </c>
      <c r="U394" s="136">
        <f>IFERROR(__xludf.DUMMYFUNCTION("""COMPUTED_VALUE"""),38.0)</f>
        <v>38</v>
      </c>
      <c r="V394" s="136">
        <f>IFERROR(__xludf.DUMMYFUNCTION("""COMPUTED_VALUE"""),45.0)</f>
        <v>45</v>
      </c>
      <c r="W394" s="136">
        <f>IFERROR(__xludf.DUMMYFUNCTION("""COMPUTED_VALUE"""),45.0)</f>
        <v>45</v>
      </c>
      <c r="X394" s="136">
        <f>IFERROR(__xludf.DUMMYFUNCTION("""COMPUTED_VALUE"""),326.0)</f>
        <v>326</v>
      </c>
      <c r="Y394" s="141">
        <f>IFERROR(__xludf.DUMMYFUNCTION("""COMPUTED_VALUE"""),45.6173469387755)</f>
        <v>45.61734694</v>
      </c>
      <c r="Z394" s="141">
        <f>IFERROR(__xludf.DUMMYFUNCTION("""COMPUTED_VALUE"""),1860.142857142857)</f>
        <v>1860.142857</v>
      </c>
    </row>
    <row r="395">
      <c r="A395" s="41" t="str">
        <f>IFERROR(__xludf.DUMMYFUNCTION("""COMPUTED_VALUE"""),"Rival")</f>
        <v>Rival</v>
      </c>
      <c r="B395" s="41" t="str">
        <f>IFERROR(__xludf.DUMMYFUNCTION("""COMPUTED_VALUE"""),"RSC006464")</f>
        <v>RSC006464</v>
      </c>
      <c r="C395" s="41" t="str">
        <f>IFERROR(__xludf.DUMMYFUNCTION("""COMPUTED_VALUE"""),"vAirwick")</f>
        <v>vAirwick</v>
      </c>
      <c r="D395" s="41" t="str">
        <f>IFERROR(__xludf.DUMMYFUNCTION("""COMPUTED_VALUE"""),"Hammerheads")</f>
        <v>Hammerheads</v>
      </c>
      <c r="E395" s="136">
        <f>IFERROR(__xludf.DUMMYFUNCTION("""COMPUTED_VALUE"""),41.0)</f>
        <v>41</v>
      </c>
      <c r="F395" s="136">
        <f>IFERROR(__xludf.DUMMYFUNCTION("""COMPUTED_VALUE"""),22.0)</f>
        <v>22</v>
      </c>
      <c r="G395" s="136">
        <f>IFERROR(__xludf.DUMMYFUNCTION("""COMPUTED_VALUE"""),19.0)</f>
        <v>19</v>
      </c>
      <c r="H395" s="137">
        <f>IFERROR(__xludf.DUMMYFUNCTION("""COMPUTED_VALUE"""),0.5365853658536586)</f>
        <v>0.5365853659</v>
      </c>
      <c r="I395" s="136">
        <f>IFERROR(__xludf.DUMMYFUNCTION("""COMPUTED_VALUE"""),10.0)</f>
        <v>10</v>
      </c>
      <c r="J395" s="136">
        <f>IFERROR(__xludf.DUMMYFUNCTION("""COMPUTED_VALUE"""),14357.0)</f>
        <v>14357</v>
      </c>
      <c r="K395" s="136">
        <f>IFERROR(__xludf.DUMMYFUNCTION("""COMPUTED_VALUE"""),40.0)</f>
        <v>40</v>
      </c>
      <c r="L395" s="136">
        <f>IFERROR(__xludf.DUMMYFUNCTION("""COMPUTED_VALUE"""),26.0)</f>
        <v>26</v>
      </c>
      <c r="M395" s="136">
        <f>IFERROR(__xludf.DUMMYFUNCTION("""COMPUTED_VALUE"""),43.0)</f>
        <v>43</v>
      </c>
      <c r="N395" s="136">
        <f>IFERROR(__xludf.DUMMYFUNCTION("""COMPUTED_VALUE"""),114.0)</f>
        <v>114</v>
      </c>
      <c r="O395" s="138">
        <f>IFERROR(__xludf.DUMMYFUNCTION("""COMPUTED_VALUE"""),10.0)</f>
        <v>10</v>
      </c>
      <c r="P395" s="138">
        <f>IFERROR(__xludf.DUMMYFUNCTION("""COMPUTED_VALUE"""),2.0)</f>
        <v>2</v>
      </c>
      <c r="Q395" s="138">
        <f>IFERROR(__xludf.DUMMYFUNCTION("""COMPUTED_VALUE"""),2.0)</f>
        <v>2</v>
      </c>
      <c r="R395" s="138">
        <f>IFERROR(__xludf.DUMMYFUNCTION("""COMPUTED_VALUE"""),4.0)</f>
        <v>4</v>
      </c>
      <c r="S395" s="139">
        <f>IFERROR(__xludf.DUMMYFUNCTION("""COMPUTED_VALUE"""),299.0)</f>
        <v>299</v>
      </c>
      <c r="T395" s="140">
        <f>IFERROR(__xludf.DUMMYFUNCTION("""COMPUTED_VALUE"""),105.0)</f>
        <v>105</v>
      </c>
      <c r="U395" s="136">
        <f>IFERROR(__xludf.DUMMYFUNCTION("""COMPUTED_VALUE"""),30.0)</f>
        <v>30</v>
      </c>
      <c r="V395" s="136">
        <f>IFERROR(__xludf.DUMMYFUNCTION("""COMPUTED_VALUE"""),43.0)</f>
        <v>43</v>
      </c>
      <c r="W395" s="136">
        <f>IFERROR(__xludf.DUMMYFUNCTION("""COMPUTED_VALUE"""),52.0)</f>
        <v>52</v>
      </c>
      <c r="X395" s="136">
        <f>IFERROR(__xludf.DUMMYFUNCTION("""COMPUTED_VALUE"""),370.2439024390244)</f>
        <v>370.2439024</v>
      </c>
      <c r="Y395" s="141">
        <f>IFERROR(__xludf.DUMMYFUNCTION("""COMPUTED_VALUE"""),44.92048780487804)</f>
        <v>44.9204878</v>
      </c>
      <c r="Z395" s="141">
        <f>IFERROR(__xludf.DUMMYFUNCTION("""COMPUTED_VALUE"""),2198.1463414634145)</f>
        <v>2198.146341</v>
      </c>
    </row>
    <row r="396">
      <c r="A396" s="41" t="str">
        <f>IFERROR(__xludf.DUMMYFUNCTION("""COMPUTED_VALUE"""),"Challenger")</f>
        <v>Challenger</v>
      </c>
      <c r="B396" s="41" t="str">
        <f>IFERROR(__xludf.DUMMYFUNCTION("""COMPUTED_VALUE"""),"RSC006477")</f>
        <v>RSC006477</v>
      </c>
      <c r="C396" s="41" t="str">
        <f>IFERROR(__xludf.DUMMYFUNCTION("""COMPUTED_VALUE"""),"XtraCrispyRL")</f>
        <v>XtraCrispyRL</v>
      </c>
      <c r="D396" s="41" t="str">
        <f>IFERROR(__xludf.DUMMYFUNCTION("""COMPUTED_VALUE"""),"Void")</f>
        <v>Void</v>
      </c>
      <c r="E396" s="136">
        <f>IFERROR(__xludf.DUMMYFUNCTION("""COMPUTED_VALUE"""),46.0)</f>
        <v>46</v>
      </c>
      <c r="F396" s="136">
        <f>IFERROR(__xludf.DUMMYFUNCTION("""COMPUTED_VALUE"""),21.0)</f>
        <v>21</v>
      </c>
      <c r="G396" s="136">
        <f>IFERROR(__xludf.DUMMYFUNCTION("""COMPUTED_VALUE"""),25.0)</f>
        <v>25</v>
      </c>
      <c r="H396" s="137">
        <f>IFERROR(__xludf.DUMMYFUNCTION("""COMPUTED_VALUE"""),0.45652173913043476)</f>
        <v>0.4565217391</v>
      </c>
      <c r="I396" s="136">
        <f>IFERROR(__xludf.DUMMYFUNCTION("""COMPUTED_VALUE"""),12.0)</f>
        <v>12</v>
      </c>
      <c r="J396" s="136">
        <f>IFERROR(__xludf.DUMMYFUNCTION("""COMPUTED_VALUE"""),20379.0)</f>
        <v>20379</v>
      </c>
      <c r="K396" s="136">
        <f>IFERROR(__xludf.DUMMYFUNCTION("""COMPUTED_VALUE"""),57.0)</f>
        <v>57</v>
      </c>
      <c r="L396" s="136">
        <f>IFERROR(__xludf.DUMMYFUNCTION("""COMPUTED_VALUE"""),29.0)</f>
        <v>29</v>
      </c>
      <c r="M396" s="136">
        <f>IFERROR(__xludf.DUMMYFUNCTION("""COMPUTED_VALUE"""),70.0)</f>
        <v>70</v>
      </c>
      <c r="N396" s="136">
        <f>IFERROR(__xludf.DUMMYFUNCTION("""COMPUTED_VALUE"""),171.0)</f>
        <v>171</v>
      </c>
      <c r="O396" s="138">
        <f>IFERROR(__xludf.DUMMYFUNCTION("""COMPUTED_VALUE"""),14.0)</f>
        <v>14</v>
      </c>
      <c r="P396" s="138">
        <f>IFERROR(__xludf.DUMMYFUNCTION("""COMPUTED_VALUE"""),8.0)</f>
        <v>8</v>
      </c>
      <c r="Q396" s="138">
        <f>IFERROR(__xludf.DUMMYFUNCTION("""COMPUTED_VALUE"""),3.0)</f>
        <v>3</v>
      </c>
      <c r="R396" s="138">
        <f>IFERROR(__xludf.DUMMYFUNCTION("""COMPUTED_VALUE"""),10.0)</f>
        <v>10</v>
      </c>
      <c r="S396" s="139">
        <f>IFERROR(__xludf.DUMMYFUNCTION("""COMPUTED_VALUE"""),326.0)</f>
        <v>326</v>
      </c>
      <c r="T396" s="140">
        <f>IFERROR(__xludf.DUMMYFUNCTION("""COMPUTED_VALUE"""),110.0)</f>
        <v>110</v>
      </c>
      <c r="U396" s="136">
        <f>IFERROR(__xludf.DUMMYFUNCTION("""COMPUTED_VALUE"""),33.0)</f>
        <v>33</v>
      </c>
      <c r="V396" s="136">
        <f>IFERROR(__xludf.DUMMYFUNCTION("""COMPUTED_VALUE"""),28.0)</f>
        <v>28</v>
      </c>
      <c r="W396" s="136">
        <f>IFERROR(__xludf.DUMMYFUNCTION("""COMPUTED_VALUE"""),44.0)</f>
        <v>44</v>
      </c>
      <c r="X396" s="136">
        <f>IFERROR(__xludf.DUMMYFUNCTION("""COMPUTED_VALUE"""),342.0869565217391)</f>
        <v>342.0869565</v>
      </c>
      <c r="Y396" s="141">
        <f>IFERROR(__xludf.DUMMYFUNCTION("""COMPUTED_VALUE"""),52.862173913043485)</f>
        <v>52.86217391</v>
      </c>
      <c r="Z396" s="141">
        <f>IFERROR(__xludf.DUMMYFUNCTION("""COMPUTED_VALUE"""),2028.5217391304348)</f>
        <v>2028.521739</v>
      </c>
    </row>
    <row r="397">
      <c r="A397" s="41" t="str">
        <f>IFERROR(__xludf.DUMMYFUNCTION("""COMPUTED_VALUE"""),"Elite")</f>
        <v>Elite</v>
      </c>
      <c r="B397" s="41" t="str">
        <f>IFERROR(__xludf.DUMMYFUNCTION("""COMPUTED_VALUE"""),"RSC006484")</f>
        <v>RSC006484</v>
      </c>
      <c r="C397" s="41" t="str">
        <f>IFERROR(__xludf.DUMMYFUNCTION("""COMPUTED_VALUE"""),"AhmedSa-")</f>
        <v>AhmedSa-</v>
      </c>
      <c r="D397" s="41" t="str">
        <f>IFERROR(__xludf.DUMMYFUNCTION("""COMPUTED_VALUE"""),"Immortals")</f>
        <v>Immortals</v>
      </c>
      <c r="E397" s="136">
        <f>IFERROR(__xludf.DUMMYFUNCTION("""COMPUTED_VALUE"""),48.0)</f>
        <v>48</v>
      </c>
      <c r="F397" s="136">
        <f>IFERROR(__xludf.DUMMYFUNCTION("""COMPUTED_VALUE"""),18.0)</f>
        <v>18</v>
      </c>
      <c r="G397" s="136">
        <f>IFERROR(__xludf.DUMMYFUNCTION("""COMPUTED_VALUE"""),30.0)</f>
        <v>30</v>
      </c>
      <c r="H397" s="137">
        <f>IFERROR(__xludf.DUMMYFUNCTION("""COMPUTED_VALUE"""),0.375)</f>
        <v>0.375</v>
      </c>
      <c r="I397" s="136">
        <f>IFERROR(__xludf.DUMMYFUNCTION("""COMPUTED_VALUE"""),5.0)</f>
        <v>5</v>
      </c>
      <c r="J397" s="136">
        <f>IFERROR(__xludf.DUMMYFUNCTION("""COMPUTED_VALUE"""),15459.0)</f>
        <v>15459</v>
      </c>
      <c r="K397" s="136">
        <f>IFERROR(__xludf.DUMMYFUNCTION("""COMPUTED_VALUE"""),28.0)</f>
        <v>28</v>
      </c>
      <c r="L397" s="136">
        <f>IFERROR(__xludf.DUMMYFUNCTION("""COMPUTED_VALUE"""),28.0)</f>
        <v>28</v>
      </c>
      <c r="M397" s="136">
        <f>IFERROR(__xludf.DUMMYFUNCTION("""COMPUTED_VALUE"""),62.0)</f>
        <v>62</v>
      </c>
      <c r="N397" s="136">
        <f>IFERROR(__xludf.DUMMYFUNCTION("""COMPUTED_VALUE"""),128.0)</f>
        <v>128</v>
      </c>
      <c r="O397" s="138">
        <f>IFERROR(__xludf.DUMMYFUNCTION("""COMPUTED_VALUE"""),6.0)</f>
        <v>6</v>
      </c>
      <c r="P397" s="138">
        <f>IFERROR(__xludf.DUMMYFUNCTION("""COMPUTED_VALUE"""),0.0)</f>
        <v>0</v>
      </c>
      <c r="Q397" s="138">
        <f>IFERROR(__xludf.DUMMYFUNCTION("""COMPUTED_VALUE"""),3.0)</f>
        <v>3</v>
      </c>
      <c r="R397" s="138">
        <f>IFERROR(__xludf.DUMMYFUNCTION("""COMPUTED_VALUE"""),7.0)</f>
        <v>7</v>
      </c>
      <c r="S397" s="139">
        <f>IFERROR(__xludf.DUMMYFUNCTION("""COMPUTED_VALUE"""),417.0)</f>
        <v>417</v>
      </c>
      <c r="T397" s="140">
        <f>IFERROR(__xludf.DUMMYFUNCTION("""COMPUTED_VALUE"""),132.0)</f>
        <v>132</v>
      </c>
      <c r="U397" s="136">
        <f>IFERROR(__xludf.DUMMYFUNCTION("""COMPUTED_VALUE"""),36.0)</f>
        <v>36</v>
      </c>
      <c r="V397" s="136">
        <f>IFERROR(__xludf.DUMMYFUNCTION("""COMPUTED_VALUE"""),94.0)</f>
        <v>94</v>
      </c>
      <c r="W397" s="136">
        <f>IFERROR(__xludf.DUMMYFUNCTION("""COMPUTED_VALUE"""),56.0)</f>
        <v>56</v>
      </c>
      <c r="X397" s="136">
        <f>IFERROR(__xludf.DUMMYFUNCTION("""COMPUTED_VALUE"""),434.9791666666667)</f>
        <v>434.9791667</v>
      </c>
      <c r="Y397" s="141">
        <f>IFERROR(__xludf.DUMMYFUNCTION("""COMPUTED_VALUE"""),47.37541666666667)</f>
        <v>47.37541667</v>
      </c>
      <c r="Z397" s="141">
        <f>IFERROR(__xludf.DUMMYFUNCTION("""COMPUTED_VALUE"""),2634.0416666666665)</f>
        <v>2634.041667</v>
      </c>
    </row>
    <row r="398">
      <c r="A398" s="41" t="str">
        <f>IFERROR(__xludf.DUMMYFUNCTION("""COMPUTED_VALUE"""),"Rival")</f>
        <v>Rival</v>
      </c>
      <c r="B398" s="41" t="str">
        <f>IFERROR(__xludf.DUMMYFUNCTION("""COMPUTED_VALUE"""),"RSC006489")</f>
        <v>RSC006489</v>
      </c>
      <c r="C398" s="41" t="str">
        <f>IFERROR(__xludf.DUMMYFUNCTION("""COMPUTED_VALUE"""),"bayylock")</f>
        <v>bayylock</v>
      </c>
      <c r="D398" s="41" t="str">
        <f>IFERROR(__xludf.DUMMYFUNCTION("""COMPUTED_VALUE"""),"Hot Wings")</f>
        <v>Hot Wings</v>
      </c>
      <c r="E398" s="136">
        <f>IFERROR(__xludf.DUMMYFUNCTION("""COMPUTED_VALUE"""),45.0)</f>
        <v>45</v>
      </c>
      <c r="F398" s="136">
        <f>IFERROR(__xludf.DUMMYFUNCTION("""COMPUTED_VALUE"""),23.0)</f>
        <v>23</v>
      </c>
      <c r="G398" s="136">
        <f>IFERROR(__xludf.DUMMYFUNCTION("""COMPUTED_VALUE"""),22.0)</f>
        <v>22</v>
      </c>
      <c r="H398" s="137">
        <f>IFERROR(__xludf.DUMMYFUNCTION("""COMPUTED_VALUE"""),0.5111111111111111)</f>
        <v>0.5111111111</v>
      </c>
      <c r="I398" s="136">
        <f>IFERROR(__xludf.DUMMYFUNCTION("""COMPUTED_VALUE"""),4.0)</f>
        <v>4</v>
      </c>
      <c r="J398" s="136">
        <f>IFERROR(__xludf.DUMMYFUNCTION("""COMPUTED_VALUE"""),14488.0)</f>
        <v>14488</v>
      </c>
      <c r="K398" s="136">
        <f>IFERROR(__xludf.DUMMYFUNCTION("""COMPUTED_VALUE"""),36.0)</f>
        <v>36</v>
      </c>
      <c r="L398" s="136">
        <f>IFERROR(__xludf.DUMMYFUNCTION("""COMPUTED_VALUE"""),31.0)</f>
        <v>31</v>
      </c>
      <c r="M398" s="136">
        <f>IFERROR(__xludf.DUMMYFUNCTION("""COMPUTED_VALUE"""),40.0)</f>
        <v>40</v>
      </c>
      <c r="N398" s="136">
        <f>IFERROR(__xludf.DUMMYFUNCTION("""COMPUTED_VALUE"""),109.0)</f>
        <v>109</v>
      </c>
      <c r="O398" s="138">
        <f>IFERROR(__xludf.DUMMYFUNCTION("""COMPUTED_VALUE"""),8.0)</f>
        <v>8</v>
      </c>
      <c r="P398" s="138">
        <f>IFERROR(__xludf.DUMMYFUNCTION("""COMPUTED_VALUE"""),1.0)</f>
        <v>1</v>
      </c>
      <c r="Q398" s="138">
        <f>IFERROR(__xludf.DUMMYFUNCTION("""COMPUTED_VALUE"""),2.0)</f>
        <v>2</v>
      </c>
      <c r="R398" s="138">
        <f>IFERROR(__xludf.DUMMYFUNCTION("""COMPUTED_VALUE"""),1.0)</f>
        <v>1</v>
      </c>
      <c r="S398" s="139">
        <f>IFERROR(__xludf.DUMMYFUNCTION("""COMPUTED_VALUE"""),338.0)</f>
        <v>338</v>
      </c>
      <c r="T398" s="140">
        <f>IFERROR(__xludf.DUMMYFUNCTION("""COMPUTED_VALUE"""),114.0)</f>
        <v>114</v>
      </c>
      <c r="U398" s="136">
        <f>IFERROR(__xludf.DUMMYFUNCTION("""COMPUTED_VALUE"""),38.0)</f>
        <v>38</v>
      </c>
      <c r="V398" s="136">
        <f>IFERROR(__xludf.DUMMYFUNCTION("""COMPUTED_VALUE"""),23.0)</f>
        <v>23</v>
      </c>
      <c r="W398" s="136">
        <f>IFERROR(__xludf.DUMMYFUNCTION("""COMPUTED_VALUE"""),39.0)</f>
        <v>39</v>
      </c>
      <c r="X398" s="136">
        <f>IFERROR(__xludf.DUMMYFUNCTION("""COMPUTED_VALUE"""),409.73333333333335)</f>
        <v>409.7333333</v>
      </c>
      <c r="Y398" s="141">
        <f>IFERROR(__xludf.DUMMYFUNCTION("""COMPUTED_VALUE"""),45.81199999999999)</f>
        <v>45.812</v>
      </c>
      <c r="Z398" s="141">
        <f>IFERROR(__xludf.DUMMYFUNCTION("""COMPUTED_VALUE"""),2376.8444444444444)</f>
        <v>2376.844444</v>
      </c>
    </row>
    <row r="399">
      <c r="A399" s="41" t="str">
        <f>IFERROR(__xludf.DUMMYFUNCTION("""COMPUTED_VALUE"""),"Elite")</f>
        <v>Elite</v>
      </c>
      <c r="B399" s="41" t="str">
        <f>IFERROR(__xludf.DUMMYFUNCTION("""COMPUTED_VALUE"""),"RSC006490")</f>
        <v>RSC006490</v>
      </c>
      <c r="C399" s="41" t="str">
        <f>IFERROR(__xludf.DUMMYFUNCTION("""COMPUTED_VALUE"""),"Dayz")</f>
        <v>Dayz</v>
      </c>
      <c r="D399" s="41" t="str">
        <f>IFERROR(__xludf.DUMMYFUNCTION("""COMPUTED_VALUE"""),"Hellhounds")</f>
        <v>Hellhounds</v>
      </c>
      <c r="E399" s="136">
        <f>IFERROR(__xludf.DUMMYFUNCTION("""COMPUTED_VALUE"""),4.0)</f>
        <v>4</v>
      </c>
      <c r="F399" s="136">
        <f>IFERROR(__xludf.DUMMYFUNCTION("""COMPUTED_VALUE"""),2.0)</f>
        <v>2</v>
      </c>
      <c r="G399" s="136">
        <f>IFERROR(__xludf.DUMMYFUNCTION("""COMPUTED_VALUE"""),2.0)</f>
        <v>2</v>
      </c>
      <c r="H399" s="137">
        <f>IFERROR(__xludf.DUMMYFUNCTION("""COMPUTED_VALUE"""),0.5)</f>
        <v>0.5</v>
      </c>
      <c r="I399" s="136">
        <f>IFERROR(__xludf.DUMMYFUNCTION("""COMPUTED_VALUE"""),1.0)</f>
        <v>1</v>
      </c>
      <c r="J399" s="136">
        <f>IFERROR(__xludf.DUMMYFUNCTION("""COMPUTED_VALUE"""),1270.0)</f>
        <v>1270</v>
      </c>
      <c r="K399" s="136">
        <f>IFERROR(__xludf.DUMMYFUNCTION("""COMPUTED_VALUE"""),2.0)</f>
        <v>2</v>
      </c>
      <c r="L399" s="136">
        <f>IFERROR(__xludf.DUMMYFUNCTION("""COMPUTED_VALUE"""),1.0)</f>
        <v>1</v>
      </c>
      <c r="M399" s="136">
        <f>IFERROR(__xludf.DUMMYFUNCTION("""COMPUTED_VALUE"""),5.0)</f>
        <v>5</v>
      </c>
      <c r="N399" s="136">
        <f>IFERROR(__xludf.DUMMYFUNCTION("""COMPUTED_VALUE"""),6.0)</f>
        <v>6</v>
      </c>
      <c r="O399" s="138">
        <f>IFERROR(__xludf.DUMMYFUNCTION("""COMPUTED_VALUE"""),1.0)</f>
        <v>1</v>
      </c>
      <c r="P399" s="138">
        <f>IFERROR(__xludf.DUMMYFUNCTION("""COMPUTED_VALUE"""),0.0)</f>
        <v>0</v>
      </c>
      <c r="Q399" s="138">
        <f>IFERROR(__xludf.DUMMYFUNCTION("""COMPUTED_VALUE"""),0.0)</f>
        <v>0</v>
      </c>
      <c r="R399" s="138">
        <f>IFERROR(__xludf.DUMMYFUNCTION("""COMPUTED_VALUE"""),1.0)</f>
        <v>1</v>
      </c>
      <c r="S399" s="139">
        <f>IFERROR(__xludf.DUMMYFUNCTION("""COMPUTED_VALUE"""),27.0)</f>
        <v>27</v>
      </c>
      <c r="T399" s="140">
        <f>IFERROR(__xludf.DUMMYFUNCTION("""COMPUTED_VALUE"""),6.0)</f>
        <v>6</v>
      </c>
      <c r="U399" s="136">
        <f>IFERROR(__xludf.DUMMYFUNCTION("""COMPUTED_VALUE"""),3.0)</f>
        <v>3</v>
      </c>
      <c r="V399" s="136">
        <f>IFERROR(__xludf.DUMMYFUNCTION("""COMPUTED_VALUE"""),3.0)</f>
        <v>3</v>
      </c>
      <c r="W399" s="136">
        <f>IFERROR(__xludf.DUMMYFUNCTION("""COMPUTED_VALUE"""),3.0)</f>
        <v>3</v>
      </c>
      <c r="X399" s="136">
        <f>IFERROR(__xludf.DUMMYFUNCTION("""COMPUTED_VALUE"""),382.75)</f>
        <v>382.75</v>
      </c>
      <c r="Y399" s="141">
        <f>IFERROR(__xludf.DUMMYFUNCTION("""COMPUTED_VALUE"""),43.44)</f>
        <v>43.44</v>
      </c>
      <c r="Z399" s="141">
        <f>IFERROR(__xludf.DUMMYFUNCTION("""COMPUTED_VALUE"""),2147.0)</f>
        <v>2147</v>
      </c>
    </row>
    <row r="400">
      <c r="A400" s="41" t="str">
        <f>IFERROR(__xludf.DUMMYFUNCTION("""COMPUTED_VALUE"""),"Veteran")</f>
        <v>Veteran</v>
      </c>
      <c r="B400" s="41" t="str">
        <f>IFERROR(__xludf.DUMMYFUNCTION("""COMPUTED_VALUE"""),"RSC006490")</f>
        <v>RSC006490</v>
      </c>
      <c r="C400" s="41" t="str">
        <f>IFERROR(__xludf.DUMMYFUNCTION("""COMPUTED_VALUE"""),"Dayz")</f>
        <v>Dayz</v>
      </c>
      <c r="D400" s="41" t="str">
        <f>IFERROR(__xludf.DUMMYFUNCTION("""COMPUTED_VALUE"""),"Shadow Tails")</f>
        <v>Shadow Tails</v>
      </c>
      <c r="E400" s="136">
        <f>IFERROR(__xludf.DUMMYFUNCTION("""COMPUTED_VALUE"""),45.0)</f>
        <v>45</v>
      </c>
      <c r="F400" s="136">
        <f>IFERROR(__xludf.DUMMYFUNCTION("""COMPUTED_VALUE"""),20.0)</f>
        <v>20</v>
      </c>
      <c r="G400" s="136">
        <f>IFERROR(__xludf.DUMMYFUNCTION("""COMPUTED_VALUE"""),25.0)</f>
        <v>25</v>
      </c>
      <c r="H400" s="137">
        <f>IFERROR(__xludf.DUMMYFUNCTION("""COMPUTED_VALUE"""),0.4444444444444444)</f>
        <v>0.4444444444</v>
      </c>
      <c r="I400" s="136">
        <f>IFERROR(__xludf.DUMMYFUNCTION("""COMPUTED_VALUE"""),5.0)</f>
        <v>5</v>
      </c>
      <c r="J400" s="136">
        <f>IFERROR(__xludf.DUMMYFUNCTION("""COMPUTED_VALUE"""),15490.0)</f>
        <v>15490</v>
      </c>
      <c r="K400" s="136">
        <f>IFERROR(__xludf.DUMMYFUNCTION("""COMPUTED_VALUE"""),28.0)</f>
        <v>28</v>
      </c>
      <c r="L400" s="136">
        <f>IFERROR(__xludf.DUMMYFUNCTION("""COMPUTED_VALUE"""),27.0)</f>
        <v>27</v>
      </c>
      <c r="M400" s="136">
        <f>IFERROR(__xludf.DUMMYFUNCTION("""COMPUTED_VALUE"""),65.0)</f>
        <v>65</v>
      </c>
      <c r="N400" s="136">
        <f>IFERROR(__xludf.DUMMYFUNCTION("""COMPUTED_VALUE"""),107.0)</f>
        <v>107</v>
      </c>
      <c r="O400" s="138">
        <f>IFERROR(__xludf.DUMMYFUNCTION("""COMPUTED_VALUE"""),9.0)</f>
        <v>9</v>
      </c>
      <c r="P400" s="138">
        <f>IFERROR(__xludf.DUMMYFUNCTION("""COMPUTED_VALUE"""),2.0)</f>
        <v>2</v>
      </c>
      <c r="Q400" s="138">
        <f>IFERROR(__xludf.DUMMYFUNCTION("""COMPUTED_VALUE"""),3.0)</f>
        <v>3</v>
      </c>
      <c r="R400" s="138">
        <f>IFERROR(__xludf.DUMMYFUNCTION("""COMPUTED_VALUE"""),11.0)</f>
        <v>11</v>
      </c>
      <c r="S400" s="139">
        <f>IFERROR(__xludf.DUMMYFUNCTION("""COMPUTED_VALUE"""),359.0)</f>
        <v>359</v>
      </c>
      <c r="T400" s="140">
        <f>IFERROR(__xludf.DUMMYFUNCTION("""COMPUTED_VALUE"""),108.0)</f>
        <v>108</v>
      </c>
      <c r="U400" s="136">
        <f>IFERROR(__xludf.DUMMYFUNCTION("""COMPUTED_VALUE"""),36.0)</f>
        <v>36</v>
      </c>
      <c r="V400" s="136">
        <f>IFERROR(__xludf.DUMMYFUNCTION("""COMPUTED_VALUE"""),47.0)</f>
        <v>47</v>
      </c>
      <c r="W400" s="136">
        <f>IFERROR(__xludf.DUMMYFUNCTION("""COMPUTED_VALUE"""),57.0)</f>
        <v>57</v>
      </c>
      <c r="X400" s="136">
        <f>IFERROR(__xludf.DUMMYFUNCTION("""COMPUTED_VALUE"""),356.55555555555554)</f>
        <v>356.5555556</v>
      </c>
      <c r="Y400" s="141">
        <f>IFERROR(__xludf.DUMMYFUNCTION("""COMPUTED_VALUE"""),49.93955555555557)</f>
        <v>49.93955556</v>
      </c>
      <c r="Z400" s="141">
        <f>IFERROR(__xludf.DUMMYFUNCTION("""COMPUTED_VALUE"""),2148.8888888888887)</f>
        <v>2148.888889</v>
      </c>
    </row>
    <row r="401">
      <c r="A401" s="41" t="str">
        <f>IFERROR(__xludf.DUMMYFUNCTION("""COMPUTED_VALUE"""),"Challenger")</f>
        <v>Challenger</v>
      </c>
      <c r="B401" s="41" t="str">
        <f>IFERROR(__xludf.DUMMYFUNCTION("""COMPUTED_VALUE"""),"RSC006495")</f>
        <v>RSC006495</v>
      </c>
      <c r="C401" s="41" t="str">
        <f>IFERROR(__xludf.DUMMYFUNCTION("""COMPUTED_VALUE"""),"Hype.56")</f>
        <v>Hype.56</v>
      </c>
      <c r="D401" s="41" t="str">
        <f>IFERROR(__xludf.DUMMYFUNCTION("""COMPUTED_VALUE"""),"Blitzars
Gold Hoarders")</f>
        <v>Blitzars
Gold Hoarders</v>
      </c>
      <c r="E401" s="136">
        <f>IFERROR(__xludf.DUMMYFUNCTION("""COMPUTED_VALUE"""),38.0)</f>
        <v>38</v>
      </c>
      <c r="F401" s="136">
        <f>IFERROR(__xludf.DUMMYFUNCTION("""COMPUTED_VALUE"""),11.0)</f>
        <v>11</v>
      </c>
      <c r="G401" s="136">
        <f>IFERROR(__xludf.DUMMYFUNCTION("""COMPUTED_VALUE"""),27.0)</f>
        <v>27</v>
      </c>
      <c r="H401" s="137">
        <f>IFERROR(__xludf.DUMMYFUNCTION("""COMPUTED_VALUE"""),0.2894736842105263)</f>
        <v>0.2894736842</v>
      </c>
      <c r="I401" s="136">
        <f>IFERROR(__xludf.DUMMYFUNCTION("""COMPUTED_VALUE"""),4.0)</f>
        <v>4</v>
      </c>
      <c r="J401" s="136">
        <f>IFERROR(__xludf.DUMMYFUNCTION("""COMPUTED_VALUE"""),12976.0)</f>
        <v>12976</v>
      </c>
      <c r="K401" s="136">
        <f>IFERROR(__xludf.DUMMYFUNCTION("""COMPUTED_VALUE"""),25.0)</f>
        <v>25</v>
      </c>
      <c r="L401" s="136">
        <f>IFERROR(__xludf.DUMMYFUNCTION("""COMPUTED_VALUE"""),17.0)</f>
        <v>17</v>
      </c>
      <c r="M401" s="136">
        <f>IFERROR(__xludf.DUMMYFUNCTION("""COMPUTED_VALUE"""),55.0)</f>
        <v>55</v>
      </c>
      <c r="N401" s="136">
        <f>IFERROR(__xludf.DUMMYFUNCTION("""COMPUTED_VALUE"""),95.0)</f>
        <v>95</v>
      </c>
      <c r="O401" s="138">
        <f>IFERROR(__xludf.DUMMYFUNCTION("""COMPUTED_VALUE"""),5.0)</f>
        <v>5</v>
      </c>
      <c r="P401" s="138">
        <f>IFERROR(__xludf.DUMMYFUNCTION("""COMPUTED_VALUE"""),1.0)</f>
        <v>1</v>
      </c>
      <c r="Q401" s="138">
        <f>IFERROR(__xludf.DUMMYFUNCTION("""COMPUTED_VALUE"""),1.0)</f>
        <v>1</v>
      </c>
      <c r="R401" s="138">
        <f>IFERROR(__xludf.DUMMYFUNCTION("""COMPUTED_VALUE"""),7.0)</f>
        <v>7</v>
      </c>
      <c r="S401" s="139">
        <f>IFERROR(__xludf.DUMMYFUNCTION("""COMPUTED_VALUE"""),289.0)</f>
        <v>289</v>
      </c>
      <c r="T401" s="140">
        <f>IFERROR(__xludf.DUMMYFUNCTION("""COMPUTED_VALUE"""),95.0)</f>
        <v>95</v>
      </c>
      <c r="U401" s="136">
        <f>IFERROR(__xludf.DUMMYFUNCTION("""COMPUTED_VALUE"""),27.0)</f>
        <v>27</v>
      </c>
      <c r="V401" s="136">
        <f>IFERROR(__xludf.DUMMYFUNCTION("""COMPUTED_VALUE"""),45.0)</f>
        <v>45</v>
      </c>
      <c r="W401" s="136">
        <f>IFERROR(__xludf.DUMMYFUNCTION("""COMPUTED_VALUE"""),37.0)</f>
        <v>37</v>
      </c>
      <c r="X401" s="136">
        <f>IFERROR(__xludf.DUMMYFUNCTION("""COMPUTED_VALUE"""),345.8421052631579)</f>
        <v>345.8421053</v>
      </c>
      <c r="Y401" s="141">
        <f>IFERROR(__xludf.DUMMYFUNCTION("""COMPUTED_VALUE"""),54.021052631578954)</f>
        <v>54.02105263</v>
      </c>
      <c r="Z401" s="141">
        <f>IFERROR(__xludf.DUMMYFUNCTION("""COMPUTED_VALUE"""),2096.9736842105262)</f>
        <v>2096.973684</v>
      </c>
    </row>
    <row r="402">
      <c r="A402" s="41" t="str">
        <f>IFERROR(__xludf.DUMMYFUNCTION("""COMPUTED_VALUE"""),"Master")</f>
        <v>Master</v>
      </c>
      <c r="B402" s="41" t="str">
        <f>IFERROR(__xludf.DUMMYFUNCTION("""COMPUTED_VALUE"""),"RSC006534")</f>
        <v>RSC006534</v>
      </c>
      <c r="C402" s="41" t="str">
        <f>IFERROR(__xludf.DUMMYFUNCTION("""COMPUTED_VALUE"""),"FIN0oo")</f>
        <v>FIN0oo</v>
      </c>
      <c r="D402" s="41" t="str">
        <f>IFERROR(__xludf.DUMMYFUNCTION("""COMPUTED_VALUE"""),"Kawaii")</f>
        <v>Kawaii</v>
      </c>
      <c r="E402" s="136">
        <f>IFERROR(__xludf.DUMMYFUNCTION("""COMPUTED_VALUE"""),45.0)</f>
        <v>45</v>
      </c>
      <c r="F402" s="136">
        <f>IFERROR(__xludf.DUMMYFUNCTION("""COMPUTED_VALUE"""),24.0)</f>
        <v>24</v>
      </c>
      <c r="G402" s="136">
        <f>IFERROR(__xludf.DUMMYFUNCTION("""COMPUTED_VALUE"""),21.0)</f>
        <v>21</v>
      </c>
      <c r="H402" s="137">
        <f>IFERROR(__xludf.DUMMYFUNCTION("""COMPUTED_VALUE"""),0.5333333333333333)</f>
        <v>0.5333333333</v>
      </c>
      <c r="I402" s="136">
        <f>IFERROR(__xludf.DUMMYFUNCTION("""COMPUTED_VALUE"""),12.0)</f>
        <v>12</v>
      </c>
      <c r="J402" s="136">
        <f>IFERROR(__xludf.DUMMYFUNCTION("""COMPUTED_VALUE"""),17153.0)</f>
        <v>17153</v>
      </c>
      <c r="K402" s="136">
        <f>IFERROR(__xludf.DUMMYFUNCTION("""COMPUTED_VALUE"""),38.0)</f>
        <v>38</v>
      </c>
      <c r="L402" s="136">
        <f>IFERROR(__xludf.DUMMYFUNCTION("""COMPUTED_VALUE"""),25.0)</f>
        <v>25</v>
      </c>
      <c r="M402" s="136">
        <f>IFERROR(__xludf.DUMMYFUNCTION("""COMPUTED_VALUE"""),62.0)</f>
        <v>62</v>
      </c>
      <c r="N402" s="136">
        <f>IFERROR(__xludf.DUMMYFUNCTION("""COMPUTED_VALUE"""),129.0)</f>
        <v>129</v>
      </c>
      <c r="O402" s="138">
        <f>IFERROR(__xludf.DUMMYFUNCTION("""COMPUTED_VALUE"""),8.0)</f>
        <v>8</v>
      </c>
      <c r="P402" s="138">
        <f>IFERROR(__xludf.DUMMYFUNCTION("""COMPUTED_VALUE"""),2.0)</f>
        <v>2</v>
      </c>
      <c r="Q402" s="138">
        <f>IFERROR(__xludf.DUMMYFUNCTION("""COMPUTED_VALUE"""),2.0)</f>
        <v>2</v>
      </c>
      <c r="R402" s="138">
        <f>IFERROR(__xludf.DUMMYFUNCTION("""COMPUTED_VALUE"""),14.0)</f>
        <v>14</v>
      </c>
      <c r="S402" s="139">
        <f>IFERROR(__xludf.DUMMYFUNCTION("""COMPUTED_VALUE"""),332.0)</f>
        <v>332</v>
      </c>
      <c r="T402" s="140">
        <f>IFERROR(__xludf.DUMMYFUNCTION("""COMPUTED_VALUE"""),96.0)</f>
        <v>96</v>
      </c>
      <c r="U402" s="136">
        <f>IFERROR(__xludf.DUMMYFUNCTION("""COMPUTED_VALUE"""),26.0)</f>
        <v>26</v>
      </c>
      <c r="V402" s="136">
        <f>IFERROR(__xludf.DUMMYFUNCTION("""COMPUTED_VALUE"""),54.0)</f>
        <v>54</v>
      </c>
      <c r="W402" s="136">
        <f>IFERROR(__xludf.DUMMYFUNCTION("""COMPUTED_VALUE"""),51.0)</f>
        <v>51</v>
      </c>
      <c r="X402" s="136">
        <f>IFERROR(__xludf.DUMMYFUNCTION("""COMPUTED_VALUE"""),490.3658536585366)</f>
        <v>490.3658537</v>
      </c>
      <c r="Y402" s="141">
        <f>IFERROR(__xludf.DUMMYFUNCTION("""COMPUTED_VALUE"""),51.42951219512195)</f>
        <v>51.4295122</v>
      </c>
      <c r="Z402" s="141">
        <f>IFERROR(__xludf.DUMMYFUNCTION("""COMPUTED_VALUE"""),3182.878048780488)</f>
        <v>3182.878049</v>
      </c>
    </row>
    <row r="403">
      <c r="A403" s="41" t="str">
        <f>IFERROR(__xludf.DUMMYFUNCTION("""COMPUTED_VALUE"""),"Rival")</f>
        <v>Rival</v>
      </c>
      <c r="B403" s="41" t="str">
        <f>IFERROR(__xludf.DUMMYFUNCTION("""COMPUTED_VALUE"""),"RSC006543")</f>
        <v>RSC006543</v>
      </c>
      <c r="C403" s="41" t="str">
        <f>IFERROR(__xludf.DUMMYFUNCTION("""COMPUTED_VALUE"""),"MasonJar")</f>
        <v>MasonJar</v>
      </c>
      <c r="D403" s="41" t="str">
        <f>IFERROR(__xludf.DUMMYFUNCTION("""COMPUTED_VALUE"""),"Ocelots")</f>
        <v>Ocelots</v>
      </c>
      <c r="E403" s="136">
        <f>IFERROR(__xludf.DUMMYFUNCTION("""COMPUTED_VALUE"""),39.0)</f>
        <v>39</v>
      </c>
      <c r="F403" s="136">
        <f>IFERROR(__xludf.DUMMYFUNCTION("""COMPUTED_VALUE"""),14.0)</f>
        <v>14</v>
      </c>
      <c r="G403" s="136">
        <f>IFERROR(__xludf.DUMMYFUNCTION("""COMPUTED_VALUE"""),25.0)</f>
        <v>25</v>
      </c>
      <c r="H403" s="137">
        <f>IFERROR(__xludf.DUMMYFUNCTION("""COMPUTED_VALUE"""),0.358974358974359)</f>
        <v>0.358974359</v>
      </c>
      <c r="I403" s="136">
        <f>IFERROR(__xludf.DUMMYFUNCTION("""COMPUTED_VALUE"""),9.0)</f>
        <v>9</v>
      </c>
      <c r="J403" s="136">
        <f>IFERROR(__xludf.DUMMYFUNCTION("""COMPUTED_VALUE"""),15039.0)</f>
        <v>15039</v>
      </c>
      <c r="K403" s="136">
        <f>IFERROR(__xludf.DUMMYFUNCTION("""COMPUTED_VALUE"""),24.0)</f>
        <v>24</v>
      </c>
      <c r="L403" s="136">
        <f>IFERROR(__xludf.DUMMYFUNCTION("""COMPUTED_VALUE"""),21.0)</f>
        <v>21</v>
      </c>
      <c r="M403" s="136">
        <f>IFERROR(__xludf.DUMMYFUNCTION("""COMPUTED_VALUE"""),72.0)</f>
        <v>72</v>
      </c>
      <c r="N403" s="136">
        <f>IFERROR(__xludf.DUMMYFUNCTION("""COMPUTED_VALUE"""),88.0)</f>
        <v>88</v>
      </c>
      <c r="O403" s="138">
        <f>IFERROR(__xludf.DUMMYFUNCTION("""COMPUTED_VALUE"""),7.0)</f>
        <v>7</v>
      </c>
      <c r="P403" s="138">
        <f>IFERROR(__xludf.DUMMYFUNCTION("""COMPUTED_VALUE"""),2.0)</f>
        <v>2</v>
      </c>
      <c r="Q403" s="138">
        <f>IFERROR(__xludf.DUMMYFUNCTION("""COMPUTED_VALUE"""),0.0)</f>
        <v>0</v>
      </c>
      <c r="R403" s="138">
        <f>IFERROR(__xludf.DUMMYFUNCTION("""COMPUTED_VALUE"""),11.0)</f>
        <v>11</v>
      </c>
      <c r="S403" s="139">
        <f>IFERROR(__xludf.DUMMYFUNCTION("""COMPUTED_VALUE"""),339.0)</f>
        <v>339</v>
      </c>
      <c r="T403" s="140">
        <f>IFERROR(__xludf.DUMMYFUNCTION("""COMPUTED_VALUE"""),111.0)</f>
        <v>111</v>
      </c>
      <c r="U403" s="136">
        <f>IFERROR(__xludf.DUMMYFUNCTION("""COMPUTED_VALUE"""),46.0)</f>
        <v>46</v>
      </c>
      <c r="V403" s="136">
        <f>IFERROR(__xludf.DUMMYFUNCTION("""COMPUTED_VALUE"""),43.0)</f>
        <v>43</v>
      </c>
      <c r="W403" s="136">
        <f>IFERROR(__xludf.DUMMYFUNCTION("""COMPUTED_VALUE"""),29.0)</f>
        <v>29</v>
      </c>
      <c r="X403" s="136">
        <f>IFERROR(__xludf.DUMMYFUNCTION("""COMPUTED_VALUE"""),427.5128205128205)</f>
        <v>427.5128205</v>
      </c>
      <c r="Y403" s="141">
        <f>IFERROR(__xludf.DUMMYFUNCTION("""COMPUTED_VALUE"""),49.518717948717956)</f>
        <v>49.51871795</v>
      </c>
      <c r="Z403" s="141">
        <f>IFERROR(__xludf.DUMMYFUNCTION("""COMPUTED_VALUE"""),2567.3846153846152)</f>
        <v>2567.384615</v>
      </c>
    </row>
    <row r="404">
      <c r="A404" s="41" t="str">
        <f>IFERROR(__xludf.DUMMYFUNCTION("""COMPUTED_VALUE"""),"Master")</f>
        <v>Master</v>
      </c>
      <c r="B404" s="41" t="str">
        <f>IFERROR(__xludf.DUMMYFUNCTION("""COMPUTED_VALUE"""),"RSC006569")</f>
        <v>RSC006569</v>
      </c>
      <c r="C404" s="41" t="str">
        <f>IFERROR(__xludf.DUMMYFUNCTION("""COMPUTED_VALUE"""),"mulliganisoup")</f>
        <v>mulliganisoup</v>
      </c>
      <c r="D404" s="41" t="str">
        <f>IFERROR(__xludf.DUMMYFUNCTION("""COMPUTED_VALUE"""),"Battle Masters")</f>
        <v>Battle Masters</v>
      </c>
      <c r="E404" s="136">
        <f>IFERROR(__xludf.DUMMYFUNCTION("""COMPUTED_VALUE"""),4.0)</f>
        <v>4</v>
      </c>
      <c r="F404" s="136">
        <f>IFERROR(__xludf.DUMMYFUNCTION("""COMPUTED_VALUE"""),1.0)</f>
        <v>1</v>
      </c>
      <c r="G404" s="136">
        <f>IFERROR(__xludf.DUMMYFUNCTION("""COMPUTED_VALUE"""),3.0)</f>
        <v>3</v>
      </c>
      <c r="H404" s="137">
        <f>IFERROR(__xludf.DUMMYFUNCTION("""COMPUTED_VALUE"""),0.25)</f>
        <v>0.25</v>
      </c>
      <c r="I404" s="136">
        <f>IFERROR(__xludf.DUMMYFUNCTION("""COMPUTED_VALUE"""),0.0)</f>
        <v>0</v>
      </c>
      <c r="J404" s="136">
        <f>IFERROR(__xludf.DUMMYFUNCTION("""COMPUTED_VALUE"""),851.0)</f>
        <v>851</v>
      </c>
      <c r="K404" s="136">
        <f>IFERROR(__xludf.DUMMYFUNCTION("""COMPUTED_VALUE"""),2.0)</f>
        <v>2</v>
      </c>
      <c r="L404" s="136">
        <f>IFERROR(__xludf.DUMMYFUNCTION("""COMPUTED_VALUE"""),1.0)</f>
        <v>1</v>
      </c>
      <c r="M404" s="136">
        <f>IFERROR(__xludf.DUMMYFUNCTION("""COMPUTED_VALUE"""),3.0)</f>
        <v>3</v>
      </c>
      <c r="N404" s="136">
        <f>IFERROR(__xludf.DUMMYFUNCTION("""COMPUTED_VALUE"""),7.0)</f>
        <v>7</v>
      </c>
      <c r="O404" s="138">
        <f>IFERROR(__xludf.DUMMYFUNCTION("""COMPUTED_VALUE"""),0.0)</f>
        <v>0</v>
      </c>
      <c r="P404" s="138">
        <f>IFERROR(__xludf.DUMMYFUNCTION("""COMPUTED_VALUE"""),0.0)</f>
        <v>0</v>
      </c>
      <c r="Q404" s="138">
        <f>IFERROR(__xludf.DUMMYFUNCTION("""COMPUTED_VALUE"""),0.0)</f>
        <v>0</v>
      </c>
      <c r="R404" s="138">
        <f>IFERROR(__xludf.DUMMYFUNCTION("""COMPUTED_VALUE"""),0.0)</f>
        <v>0</v>
      </c>
      <c r="S404" s="139">
        <f>IFERROR(__xludf.DUMMYFUNCTION("""COMPUTED_VALUE"""),41.0)</f>
        <v>41</v>
      </c>
      <c r="T404" s="140">
        <f>IFERROR(__xludf.DUMMYFUNCTION("""COMPUTED_VALUE"""),12.0)</f>
        <v>12</v>
      </c>
      <c r="U404" s="136">
        <f>IFERROR(__xludf.DUMMYFUNCTION("""COMPUTED_VALUE"""),5.0)</f>
        <v>5</v>
      </c>
      <c r="V404" s="136">
        <f>IFERROR(__xludf.DUMMYFUNCTION("""COMPUTED_VALUE"""),2.0)</f>
        <v>2</v>
      </c>
      <c r="W404" s="136">
        <f>IFERROR(__xludf.DUMMYFUNCTION("""COMPUTED_VALUE"""),3.0)</f>
        <v>3</v>
      </c>
      <c r="X404" s="136">
        <f>IFERROR(__xludf.DUMMYFUNCTION("""COMPUTED_VALUE"""),313.75)</f>
        <v>313.75</v>
      </c>
      <c r="Y404" s="141">
        <f>IFERROR(__xludf.DUMMYFUNCTION("""COMPUTED_VALUE"""),32.715)</f>
        <v>32.715</v>
      </c>
      <c r="Z404" s="141">
        <f>IFERROR(__xludf.DUMMYFUNCTION("""COMPUTED_VALUE"""),1673.5)</f>
        <v>1673.5</v>
      </c>
    </row>
    <row r="405">
      <c r="A405" s="41" t="str">
        <f>IFERROR(__xludf.DUMMYFUNCTION("""COMPUTED_VALUE"""),"Challenger")</f>
        <v>Challenger</v>
      </c>
      <c r="B405" s="41" t="str">
        <f>IFERROR(__xludf.DUMMYFUNCTION("""COMPUTED_VALUE"""),"RSC006569")</f>
        <v>RSC006569</v>
      </c>
      <c r="C405" s="41" t="str">
        <f>IFERROR(__xludf.DUMMYFUNCTION("""COMPUTED_VALUE"""),"mulliganisoup")</f>
        <v>mulliganisoup</v>
      </c>
      <c r="D405" s="41" t="str">
        <f>IFERROR(__xludf.DUMMYFUNCTION("""COMPUTED_VALUE"""),"Gold Hoarders
Porch Pirates")</f>
        <v>Gold Hoarders
Porch Pirates</v>
      </c>
      <c r="E405" s="136">
        <f>IFERROR(__xludf.DUMMYFUNCTION("""COMPUTED_VALUE"""),24.0)</f>
        <v>24</v>
      </c>
      <c r="F405" s="136">
        <f>IFERROR(__xludf.DUMMYFUNCTION("""COMPUTED_VALUE"""),9.0)</f>
        <v>9</v>
      </c>
      <c r="G405" s="136">
        <f>IFERROR(__xludf.DUMMYFUNCTION("""COMPUTED_VALUE"""),15.0)</f>
        <v>15</v>
      </c>
      <c r="H405" s="137">
        <f>IFERROR(__xludf.DUMMYFUNCTION("""COMPUTED_VALUE"""),0.375)</f>
        <v>0.375</v>
      </c>
      <c r="I405" s="136">
        <f>IFERROR(__xludf.DUMMYFUNCTION("""COMPUTED_VALUE"""),4.0)</f>
        <v>4</v>
      </c>
      <c r="J405" s="136">
        <f>IFERROR(__xludf.DUMMYFUNCTION("""COMPUTED_VALUE"""),7604.0)</f>
        <v>7604</v>
      </c>
      <c r="K405" s="136">
        <f>IFERROR(__xludf.DUMMYFUNCTION("""COMPUTED_VALUE"""),13.0)</f>
        <v>13</v>
      </c>
      <c r="L405" s="136">
        <f>IFERROR(__xludf.DUMMYFUNCTION("""COMPUTED_VALUE"""),9.0)</f>
        <v>9</v>
      </c>
      <c r="M405" s="136">
        <f>IFERROR(__xludf.DUMMYFUNCTION("""COMPUTED_VALUE"""),37.0)</f>
        <v>37</v>
      </c>
      <c r="N405" s="136">
        <f>IFERROR(__xludf.DUMMYFUNCTION("""COMPUTED_VALUE"""),48.0)</f>
        <v>48</v>
      </c>
      <c r="O405" s="138">
        <f>IFERROR(__xludf.DUMMYFUNCTION("""COMPUTED_VALUE"""),4.0)</f>
        <v>4</v>
      </c>
      <c r="P405" s="138">
        <f>IFERROR(__xludf.DUMMYFUNCTION("""COMPUTED_VALUE"""),0.0)</f>
        <v>0</v>
      </c>
      <c r="Q405" s="138">
        <f>IFERROR(__xludf.DUMMYFUNCTION("""COMPUTED_VALUE"""),0.0)</f>
        <v>0</v>
      </c>
      <c r="R405" s="138">
        <f>IFERROR(__xludf.DUMMYFUNCTION("""COMPUTED_VALUE"""),5.0)</f>
        <v>5</v>
      </c>
      <c r="S405" s="139">
        <f>IFERROR(__xludf.DUMMYFUNCTION("""COMPUTED_VALUE"""),180.0)</f>
        <v>180</v>
      </c>
      <c r="T405" s="140">
        <f>IFERROR(__xludf.DUMMYFUNCTION("""COMPUTED_VALUE"""),54.0)</f>
        <v>54</v>
      </c>
      <c r="U405" s="136">
        <f>IFERROR(__xludf.DUMMYFUNCTION("""COMPUTED_VALUE"""),17.0)</f>
        <v>17</v>
      </c>
      <c r="V405" s="136">
        <f>IFERROR(__xludf.DUMMYFUNCTION("""COMPUTED_VALUE"""),18.0)</f>
        <v>18</v>
      </c>
      <c r="W405" s="136">
        <f>IFERROR(__xludf.DUMMYFUNCTION("""COMPUTED_VALUE"""),14.0)</f>
        <v>14</v>
      </c>
      <c r="X405" s="136">
        <f>IFERROR(__xludf.DUMMYFUNCTION("""COMPUTED_VALUE"""),338.7083333333333)</f>
        <v>338.7083333</v>
      </c>
      <c r="Y405" s="141">
        <f>IFERROR(__xludf.DUMMYFUNCTION("""COMPUTED_VALUE"""),44.31625)</f>
        <v>44.31625</v>
      </c>
      <c r="Z405" s="141">
        <f>IFERROR(__xludf.DUMMYFUNCTION("""COMPUTED_VALUE"""),1961.625)</f>
        <v>1961.625</v>
      </c>
    </row>
    <row r="406">
      <c r="A406" s="41" t="str">
        <f>IFERROR(__xludf.DUMMYFUNCTION("""COMPUTED_VALUE"""),"Elite")</f>
        <v>Elite</v>
      </c>
      <c r="B406" s="41" t="str">
        <f>IFERROR(__xludf.DUMMYFUNCTION("""COMPUTED_VALUE"""),"RSC006581")</f>
        <v>RSC006581</v>
      </c>
      <c r="C406" s="41" t="str">
        <f>IFERROR(__xludf.DUMMYFUNCTION("""COMPUTED_VALUE"""),"Light_Wigglebean")</f>
        <v>Light_Wigglebean</v>
      </c>
      <c r="D406" s="41" t="str">
        <f>IFERROR(__xludf.DUMMYFUNCTION("""COMPUTED_VALUE"""),"Black-Holes")</f>
        <v>Black-Holes</v>
      </c>
      <c r="E406" s="136">
        <f>IFERROR(__xludf.DUMMYFUNCTION("""COMPUTED_VALUE"""),44.0)</f>
        <v>44</v>
      </c>
      <c r="F406" s="136">
        <f>IFERROR(__xludf.DUMMYFUNCTION("""COMPUTED_VALUE"""),27.0)</f>
        <v>27</v>
      </c>
      <c r="G406" s="136">
        <f>IFERROR(__xludf.DUMMYFUNCTION("""COMPUTED_VALUE"""),17.0)</f>
        <v>17</v>
      </c>
      <c r="H406" s="137">
        <f>IFERROR(__xludf.DUMMYFUNCTION("""COMPUTED_VALUE"""),0.6136363636363636)</f>
        <v>0.6136363636</v>
      </c>
      <c r="I406" s="136">
        <f>IFERROR(__xludf.DUMMYFUNCTION("""COMPUTED_VALUE"""),10.0)</f>
        <v>10</v>
      </c>
      <c r="J406" s="136">
        <f>IFERROR(__xludf.DUMMYFUNCTION("""COMPUTED_VALUE"""),18840.0)</f>
        <v>18840</v>
      </c>
      <c r="K406" s="136">
        <f>IFERROR(__xludf.DUMMYFUNCTION("""COMPUTED_VALUE"""),48.0)</f>
        <v>48</v>
      </c>
      <c r="L406" s="136">
        <f>IFERROR(__xludf.DUMMYFUNCTION("""COMPUTED_VALUE"""),40.0)</f>
        <v>40</v>
      </c>
      <c r="M406" s="136">
        <f>IFERROR(__xludf.DUMMYFUNCTION("""COMPUTED_VALUE"""),59.0)</f>
        <v>59</v>
      </c>
      <c r="N406" s="136">
        <f>IFERROR(__xludf.DUMMYFUNCTION("""COMPUTED_VALUE"""),150.0)</f>
        <v>150</v>
      </c>
      <c r="O406" s="138">
        <f>IFERROR(__xludf.DUMMYFUNCTION("""COMPUTED_VALUE"""),15.0)</f>
        <v>15</v>
      </c>
      <c r="P406" s="138">
        <f>IFERROR(__xludf.DUMMYFUNCTION("""COMPUTED_VALUE"""),5.0)</f>
        <v>5</v>
      </c>
      <c r="Q406" s="138">
        <f>IFERROR(__xludf.DUMMYFUNCTION("""COMPUTED_VALUE"""),2.0)</f>
        <v>2</v>
      </c>
      <c r="R406" s="138">
        <f>IFERROR(__xludf.DUMMYFUNCTION("""COMPUTED_VALUE"""),7.0)</f>
        <v>7</v>
      </c>
      <c r="S406" s="139">
        <f>IFERROR(__xludf.DUMMYFUNCTION("""COMPUTED_VALUE"""),352.0)</f>
        <v>352</v>
      </c>
      <c r="T406" s="140">
        <f>IFERROR(__xludf.DUMMYFUNCTION("""COMPUTED_VALUE"""),109.0)</f>
        <v>109</v>
      </c>
      <c r="U406" s="136">
        <f>IFERROR(__xludf.DUMMYFUNCTION("""COMPUTED_VALUE"""),44.0)</f>
        <v>44</v>
      </c>
      <c r="V406" s="136">
        <f>IFERROR(__xludf.DUMMYFUNCTION("""COMPUTED_VALUE"""),76.0)</f>
        <v>76</v>
      </c>
      <c r="W406" s="136">
        <f>IFERROR(__xludf.DUMMYFUNCTION("""COMPUTED_VALUE"""),58.0)</f>
        <v>58</v>
      </c>
      <c r="X406" s="136">
        <f>IFERROR(__xludf.DUMMYFUNCTION("""COMPUTED_VALUE"""),444.90909090909093)</f>
        <v>444.9090909</v>
      </c>
      <c r="Y406" s="141">
        <f>IFERROR(__xludf.DUMMYFUNCTION("""COMPUTED_VALUE"""),50.48977272727273)</f>
        <v>50.48977273</v>
      </c>
      <c r="Z406" s="141">
        <f>IFERROR(__xludf.DUMMYFUNCTION("""COMPUTED_VALUE"""),2739.7727272727275)</f>
        <v>2739.772727</v>
      </c>
    </row>
    <row r="407">
      <c r="A407" s="41" t="str">
        <f>IFERROR(__xludf.DUMMYFUNCTION("""COMPUTED_VALUE"""),"Challenger")</f>
        <v>Challenger</v>
      </c>
      <c r="B407" s="41" t="str">
        <f>IFERROR(__xludf.DUMMYFUNCTION("""COMPUTED_VALUE"""),"RSC006586")</f>
        <v>RSC006586</v>
      </c>
      <c r="C407" s="41" t="str">
        <f>IFERROR(__xludf.DUMMYFUNCTION("""COMPUTED_VALUE"""),"dino_chick3n")</f>
        <v>dino_chick3n</v>
      </c>
      <c r="D407" s="41" t="str">
        <f>IFERROR(__xludf.DUMMYFUNCTION("""COMPUTED_VALUE"""),"Glams")</f>
        <v>Glams</v>
      </c>
      <c r="E407" s="136">
        <f>IFERROR(__xludf.DUMMYFUNCTION("""COMPUTED_VALUE"""),36.0)</f>
        <v>36</v>
      </c>
      <c r="F407" s="136">
        <f>IFERROR(__xludf.DUMMYFUNCTION("""COMPUTED_VALUE"""),12.0)</f>
        <v>12</v>
      </c>
      <c r="G407" s="136">
        <f>IFERROR(__xludf.DUMMYFUNCTION("""COMPUTED_VALUE"""),24.0)</f>
        <v>24</v>
      </c>
      <c r="H407" s="137">
        <f>IFERROR(__xludf.DUMMYFUNCTION("""COMPUTED_VALUE"""),0.3333333333333333)</f>
        <v>0.3333333333</v>
      </c>
      <c r="I407" s="136">
        <f>IFERROR(__xludf.DUMMYFUNCTION("""COMPUTED_VALUE"""),4.0)</f>
        <v>4</v>
      </c>
      <c r="J407" s="136">
        <f>IFERROR(__xludf.DUMMYFUNCTION("""COMPUTED_VALUE"""),10969.0)</f>
        <v>10969</v>
      </c>
      <c r="K407" s="136">
        <f>IFERROR(__xludf.DUMMYFUNCTION("""COMPUTED_VALUE"""),24.0)</f>
        <v>24</v>
      </c>
      <c r="L407" s="136">
        <f>IFERROR(__xludf.DUMMYFUNCTION("""COMPUTED_VALUE"""),12.0)</f>
        <v>12</v>
      </c>
      <c r="M407" s="136">
        <f>IFERROR(__xludf.DUMMYFUNCTION("""COMPUTED_VALUE"""),43.0)</f>
        <v>43</v>
      </c>
      <c r="N407" s="136">
        <f>IFERROR(__xludf.DUMMYFUNCTION("""COMPUTED_VALUE"""),80.0)</f>
        <v>80</v>
      </c>
      <c r="O407" s="138">
        <f>IFERROR(__xludf.DUMMYFUNCTION("""COMPUTED_VALUE"""),8.0)</f>
        <v>8</v>
      </c>
      <c r="P407" s="138">
        <f>IFERROR(__xludf.DUMMYFUNCTION("""COMPUTED_VALUE"""),2.0)</f>
        <v>2</v>
      </c>
      <c r="Q407" s="138">
        <f>IFERROR(__xludf.DUMMYFUNCTION("""COMPUTED_VALUE"""),0.0)</f>
        <v>0</v>
      </c>
      <c r="R407" s="138">
        <f>IFERROR(__xludf.DUMMYFUNCTION("""COMPUTED_VALUE"""),2.0)</f>
        <v>2</v>
      </c>
      <c r="S407" s="139">
        <f>IFERROR(__xludf.DUMMYFUNCTION("""COMPUTED_VALUE"""),286.0)</f>
        <v>286</v>
      </c>
      <c r="T407" s="140">
        <f>IFERROR(__xludf.DUMMYFUNCTION("""COMPUTED_VALUE"""),89.0)</f>
        <v>89</v>
      </c>
      <c r="U407" s="136">
        <f>IFERROR(__xludf.DUMMYFUNCTION("""COMPUTED_VALUE"""),23.0)</f>
        <v>23</v>
      </c>
      <c r="V407" s="136">
        <f>IFERROR(__xludf.DUMMYFUNCTION("""COMPUTED_VALUE"""),14.0)</f>
        <v>14</v>
      </c>
      <c r="W407" s="136">
        <f>IFERROR(__xludf.DUMMYFUNCTION("""COMPUTED_VALUE"""),30.0)</f>
        <v>30</v>
      </c>
      <c r="X407" s="136">
        <f>IFERROR(__xludf.DUMMYFUNCTION("""COMPUTED_VALUE"""),318.19444444444446)</f>
        <v>318.1944444</v>
      </c>
      <c r="Y407" s="141">
        <f>IFERROR(__xludf.DUMMYFUNCTION("""COMPUTED_VALUE"""),50.6325)</f>
        <v>50.6325</v>
      </c>
      <c r="Z407" s="141">
        <f>IFERROR(__xludf.DUMMYFUNCTION("""COMPUTED_VALUE"""),1842.7222222222222)</f>
        <v>1842.722222</v>
      </c>
    </row>
    <row r="408">
      <c r="A408" s="41" t="str">
        <f>IFERROR(__xludf.DUMMYFUNCTION("""COMPUTED_VALUE"""),"Challenger")</f>
        <v>Challenger</v>
      </c>
      <c r="B408" s="41" t="str">
        <f>IFERROR(__xludf.DUMMYFUNCTION("""COMPUTED_VALUE"""),"RSC006587")</f>
        <v>RSC006587</v>
      </c>
      <c r="C408" s="41" t="str">
        <f>IFERROR(__xludf.DUMMYFUNCTION("""COMPUTED_VALUE"""),"Enterprise15")</f>
        <v>Enterprise15</v>
      </c>
      <c r="D408" s="41" t="str">
        <f>IFERROR(__xludf.DUMMYFUNCTION("""COMPUTED_VALUE"""),"Warthogs")</f>
        <v>Warthogs</v>
      </c>
      <c r="E408" s="136">
        <f>IFERROR(__xludf.DUMMYFUNCTION("""COMPUTED_VALUE"""),46.0)</f>
        <v>46</v>
      </c>
      <c r="F408" s="136">
        <f>IFERROR(__xludf.DUMMYFUNCTION("""COMPUTED_VALUE"""),21.0)</f>
        <v>21</v>
      </c>
      <c r="G408" s="136">
        <f>IFERROR(__xludf.DUMMYFUNCTION("""COMPUTED_VALUE"""),25.0)</f>
        <v>25</v>
      </c>
      <c r="H408" s="137">
        <f>IFERROR(__xludf.DUMMYFUNCTION("""COMPUTED_VALUE"""),0.45652173913043476)</f>
        <v>0.4565217391</v>
      </c>
      <c r="I408" s="136">
        <f>IFERROR(__xludf.DUMMYFUNCTION("""COMPUTED_VALUE"""),6.0)</f>
        <v>6</v>
      </c>
      <c r="J408" s="136">
        <f>IFERROR(__xludf.DUMMYFUNCTION("""COMPUTED_VALUE"""),15505.0)</f>
        <v>15505</v>
      </c>
      <c r="K408" s="136">
        <f>IFERROR(__xludf.DUMMYFUNCTION("""COMPUTED_VALUE"""),30.0)</f>
        <v>30</v>
      </c>
      <c r="L408" s="136">
        <f>IFERROR(__xludf.DUMMYFUNCTION("""COMPUTED_VALUE"""),17.0)</f>
        <v>17</v>
      </c>
      <c r="M408" s="136">
        <f>IFERROR(__xludf.DUMMYFUNCTION("""COMPUTED_VALUE"""),74.0)</f>
        <v>74</v>
      </c>
      <c r="N408" s="136">
        <f>IFERROR(__xludf.DUMMYFUNCTION("""COMPUTED_VALUE"""),83.0)</f>
        <v>83</v>
      </c>
      <c r="O408" s="138">
        <f>IFERROR(__xludf.DUMMYFUNCTION("""COMPUTED_VALUE"""),4.0)</f>
        <v>4</v>
      </c>
      <c r="P408" s="138">
        <f>IFERROR(__xludf.DUMMYFUNCTION("""COMPUTED_VALUE"""),2.0)</f>
        <v>2</v>
      </c>
      <c r="Q408" s="138">
        <f>IFERROR(__xludf.DUMMYFUNCTION("""COMPUTED_VALUE"""),1.0)</f>
        <v>1</v>
      </c>
      <c r="R408" s="138">
        <f>IFERROR(__xludf.DUMMYFUNCTION("""COMPUTED_VALUE"""),12.0)</f>
        <v>12</v>
      </c>
      <c r="S408" s="139">
        <f>IFERROR(__xludf.DUMMYFUNCTION("""COMPUTED_VALUE"""),371.0)</f>
        <v>371</v>
      </c>
      <c r="T408" s="140">
        <f>IFERROR(__xludf.DUMMYFUNCTION("""COMPUTED_VALUE"""),116.0)</f>
        <v>116</v>
      </c>
      <c r="U408" s="136">
        <f>IFERROR(__xludf.DUMMYFUNCTION("""COMPUTED_VALUE"""),43.0)</f>
        <v>43</v>
      </c>
      <c r="V408" s="136">
        <f>IFERROR(__xludf.DUMMYFUNCTION("""COMPUTED_VALUE"""),64.0)</f>
        <v>64</v>
      </c>
      <c r="W408" s="136">
        <f>IFERROR(__xludf.DUMMYFUNCTION("""COMPUTED_VALUE"""),40.0)</f>
        <v>40</v>
      </c>
      <c r="X408" s="136">
        <f>IFERROR(__xludf.DUMMYFUNCTION("""COMPUTED_VALUE"""),436.4782608695652)</f>
        <v>436.4782609</v>
      </c>
      <c r="Y408" s="141">
        <f>IFERROR(__xludf.DUMMYFUNCTION("""COMPUTED_VALUE"""),49.27152173913044)</f>
        <v>49.27152174</v>
      </c>
      <c r="Z408" s="141">
        <f>IFERROR(__xludf.DUMMYFUNCTION("""COMPUTED_VALUE"""),2596.2391304347825)</f>
        <v>2596.23913</v>
      </c>
    </row>
    <row r="409">
      <c r="A409" s="41" t="str">
        <f>IFERROR(__xludf.DUMMYFUNCTION("""COMPUTED_VALUE"""),"Elite")</f>
        <v>Elite</v>
      </c>
      <c r="B409" s="41" t="str">
        <f>IFERROR(__xludf.DUMMYFUNCTION("""COMPUTED_VALUE"""),"RSC006613")</f>
        <v>RSC006613</v>
      </c>
      <c r="C409" s="41" t="str">
        <f>IFERROR(__xludf.DUMMYFUNCTION("""COMPUTED_VALUE"""),"cartman_-_")</f>
        <v>cartman_-_</v>
      </c>
      <c r="D409" s="41" t="str">
        <f>IFERROR(__xludf.DUMMYFUNCTION("""COMPUTED_VALUE"""),"Afterburners")</f>
        <v>Afterburners</v>
      </c>
      <c r="E409" s="136">
        <f>IFERROR(__xludf.DUMMYFUNCTION("""COMPUTED_VALUE"""),4.0)</f>
        <v>4</v>
      </c>
      <c r="F409" s="136">
        <f>IFERROR(__xludf.DUMMYFUNCTION("""COMPUTED_VALUE"""),1.0)</f>
        <v>1</v>
      </c>
      <c r="G409" s="136">
        <f>IFERROR(__xludf.DUMMYFUNCTION("""COMPUTED_VALUE"""),3.0)</f>
        <v>3</v>
      </c>
      <c r="H409" s="137">
        <f>IFERROR(__xludf.DUMMYFUNCTION("""COMPUTED_VALUE"""),0.25)</f>
        <v>0.25</v>
      </c>
      <c r="I409" s="136">
        <f>IFERROR(__xludf.DUMMYFUNCTION("""COMPUTED_VALUE"""),0.0)</f>
        <v>0</v>
      </c>
      <c r="J409" s="136">
        <f>IFERROR(__xludf.DUMMYFUNCTION("""COMPUTED_VALUE"""),1253.0)</f>
        <v>1253</v>
      </c>
      <c r="K409" s="136">
        <f>IFERROR(__xludf.DUMMYFUNCTION("""COMPUTED_VALUE"""),1.0)</f>
        <v>1</v>
      </c>
      <c r="L409" s="136">
        <f>IFERROR(__xludf.DUMMYFUNCTION("""COMPUTED_VALUE"""),3.0)</f>
        <v>3</v>
      </c>
      <c r="M409" s="136">
        <f>IFERROR(__xludf.DUMMYFUNCTION("""COMPUTED_VALUE"""),8.0)</f>
        <v>8</v>
      </c>
      <c r="N409" s="136">
        <f>IFERROR(__xludf.DUMMYFUNCTION("""COMPUTED_VALUE"""),5.0)</f>
        <v>5</v>
      </c>
      <c r="O409" s="138">
        <f>IFERROR(__xludf.DUMMYFUNCTION("""COMPUTED_VALUE"""),1.0)</f>
        <v>1</v>
      </c>
      <c r="P409" s="138">
        <f>IFERROR(__xludf.DUMMYFUNCTION("""COMPUTED_VALUE"""),0.0)</f>
        <v>0</v>
      </c>
      <c r="Q409" s="138">
        <f>IFERROR(__xludf.DUMMYFUNCTION("""COMPUTED_VALUE"""),0.0)</f>
        <v>0</v>
      </c>
      <c r="R409" s="138">
        <f>IFERROR(__xludf.DUMMYFUNCTION("""COMPUTED_VALUE"""),2.0)</f>
        <v>2</v>
      </c>
      <c r="S409" s="139">
        <f>IFERROR(__xludf.DUMMYFUNCTION("""COMPUTED_VALUE"""),49.0)</f>
        <v>49</v>
      </c>
      <c r="T409" s="140">
        <f>IFERROR(__xludf.DUMMYFUNCTION("""COMPUTED_VALUE"""),15.0)</f>
        <v>15</v>
      </c>
      <c r="U409" s="136">
        <f>IFERROR(__xludf.DUMMYFUNCTION("""COMPUTED_VALUE"""),4.0)</f>
        <v>4</v>
      </c>
      <c r="V409" s="136">
        <f>IFERROR(__xludf.DUMMYFUNCTION("""COMPUTED_VALUE"""),0.0)</f>
        <v>0</v>
      </c>
      <c r="W409" s="136">
        <f>IFERROR(__xludf.DUMMYFUNCTION("""COMPUTED_VALUE"""),4.0)</f>
        <v>4</v>
      </c>
      <c r="X409" s="136">
        <f>IFERROR(__xludf.DUMMYFUNCTION("""COMPUTED_VALUE"""),311.0)</f>
        <v>311</v>
      </c>
      <c r="Y409" s="141">
        <f>IFERROR(__xludf.DUMMYFUNCTION("""COMPUTED_VALUE"""),40.6025)</f>
        <v>40.6025</v>
      </c>
      <c r="Z409" s="141">
        <f>IFERROR(__xludf.DUMMYFUNCTION("""COMPUTED_VALUE"""),1941.75)</f>
        <v>1941.75</v>
      </c>
    </row>
    <row r="410">
      <c r="A410" s="41" t="str">
        <f>IFERROR(__xludf.DUMMYFUNCTION("""COMPUTED_VALUE"""),"Veteran")</f>
        <v>Veteran</v>
      </c>
      <c r="B410" s="41" t="str">
        <f>IFERROR(__xludf.DUMMYFUNCTION("""COMPUTED_VALUE"""),"RSC006613")</f>
        <v>RSC006613</v>
      </c>
      <c r="C410" s="41" t="str">
        <f>IFERROR(__xludf.DUMMYFUNCTION("""COMPUTED_VALUE"""),"cartman_-_")</f>
        <v>cartman_-_</v>
      </c>
      <c r="D410" s="41" t="str">
        <f>IFERROR(__xludf.DUMMYFUNCTION("""COMPUTED_VALUE"""),"Dogfight")</f>
        <v>Dogfight</v>
      </c>
      <c r="E410" s="136">
        <f>IFERROR(__xludf.DUMMYFUNCTION("""COMPUTED_VALUE"""),52.0)</f>
        <v>52</v>
      </c>
      <c r="F410" s="136">
        <f>IFERROR(__xludf.DUMMYFUNCTION("""COMPUTED_VALUE"""),37.0)</f>
        <v>37</v>
      </c>
      <c r="G410" s="136">
        <f>IFERROR(__xludf.DUMMYFUNCTION("""COMPUTED_VALUE"""),15.0)</f>
        <v>15</v>
      </c>
      <c r="H410" s="137">
        <f>IFERROR(__xludf.DUMMYFUNCTION("""COMPUTED_VALUE"""),0.7115384615384616)</f>
        <v>0.7115384615</v>
      </c>
      <c r="I410" s="136">
        <f>IFERROR(__xludf.DUMMYFUNCTION("""COMPUTED_VALUE"""),13.0)</f>
        <v>13</v>
      </c>
      <c r="J410" s="136">
        <f>IFERROR(__xludf.DUMMYFUNCTION("""COMPUTED_VALUE"""),19341.0)</f>
        <v>19341</v>
      </c>
      <c r="K410" s="136">
        <f>IFERROR(__xludf.DUMMYFUNCTION("""COMPUTED_VALUE"""),55.0)</f>
        <v>55</v>
      </c>
      <c r="L410" s="136">
        <f>IFERROR(__xludf.DUMMYFUNCTION("""COMPUTED_VALUE"""),40.0)</f>
        <v>40</v>
      </c>
      <c r="M410" s="136">
        <f>IFERROR(__xludf.DUMMYFUNCTION("""COMPUTED_VALUE"""),56.0)</f>
        <v>56</v>
      </c>
      <c r="N410" s="136">
        <f>IFERROR(__xludf.DUMMYFUNCTION("""COMPUTED_VALUE"""),147.0)</f>
        <v>147</v>
      </c>
      <c r="O410" s="138">
        <f>IFERROR(__xludf.DUMMYFUNCTION("""COMPUTED_VALUE"""),11.0)</f>
        <v>11</v>
      </c>
      <c r="P410" s="138">
        <f>IFERROR(__xludf.DUMMYFUNCTION("""COMPUTED_VALUE"""),7.0)</f>
        <v>7</v>
      </c>
      <c r="Q410" s="138">
        <f>IFERROR(__xludf.DUMMYFUNCTION("""COMPUTED_VALUE"""),2.0)</f>
        <v>2</v>
      </c>
      <c r="R410" s="138">
        <f>IFERROR(__xludf.DUMMYFUNCTION("""COMPUTED_VALUE"""),3.0)</f>
        <v>3</v>
      </c>
      <c r="S410" s="139">
        <f>IFERROR(__xludf.DUMMYFUNCTION("""COMPUTED_VALUE"""),315.0)</f>
        <v>315</v>
      </c>
      <c r="T410" s="140">
        <f>IFERROR(__xludf.DUMMYFUNCTION("""COMPUTED_VALUE"""),95.0)</f>
        <v>95</v>
      </c>
      <c r="U410" s="136">
        <f>IFERROR(__xludf.DUMMYFUNCTION("""COMPUTED_VALUE"""),34.0)</f>
        <v>34</v>
      </c>
      <c r="V410" s="136">
        <f>IFERROR(__xludf.DUMMYFUNCTION("""COMPUTED_VALUE"""),39.0)</f>
        <v>39</v>
      </c>
      <c r="W410" s="136">
        <f>IFERROR(__xludf.DUMMYFUNCTION("""COMPUTED_VALUE"""),60.0)</f>
        <v>60</v>
      </c>
      <c r="X410" s="136">
        <f>IFERROR(__xludf.DUMMYFUNCTION("""COMPUTED_VALUE"""),339.96153846153845)</f>
        <v>339.9615385</v>
      </c>
      <c r="Y410" s="141">
        <f>IFERROR(__xludf.DUMMYFUNCTION("""COMPUTED_VALUE"""),44.78903846153847)</f>
        <v>44.78903846</v>
      </c>
      <c r="Z410" s="141">
        <f>IFERROR(__xludf.DUMMYFUNCTION("""COMPUTED_VALUE"""),2026.0)</f>
        <v>2026</v>
      </c>
    </row>
    <row r="411">
      <c r="A411" s="41" t="str">
        <f>IFERROR(__xludf.DUMMYFUNCTION("""COMPUTED_VALUE"""),"Rival")</f>
        <v>Rival</v>
      </c>
      <c r="B411" s="41" t="str">
        <f>IFERROR(__xludf.DUMMYFUNCTION("""COMPUTED_VALUE"""),"RSC006625")</f>
        <v>RSC006625</v>
      </c>
      <c r="C411" s="41" t="str">
        <f>IFERROR(__xludf.DUMMYFUNCTION("""COMPUTED_VALUE"""),"FrogDrivesCar")</f>
        <v>FrogDrivesCar</v>
      </c>
      <c r="D411" s="41" t="str">
        <f>IFERROR(__xludf.DUMMYFUNCTION("""COMPUTED_VALUE"""),"Mining Legion")</f>
        <v>Mining Legion</v>
      </c>
      <c r="E411" s="136">
        <f>IFERROR(__xludf.DUMMYFUNCTION("""COMPUTED_VALUE"""),36.0)</f>
        <v>36</v>
      </c>
      <c r="F411" s="136">
        <f>IFERROR(__xludf.DUMMYFUNCTION("""COMPUTED_VALUE"""),21.0)</f>
        <v>21</v>
      </c>
      <c r="G411" s="136">
        <f>IFERROR(__xludf.DUMMYFUNCTION("""COMPUTED_VALUE"""),15.0)</f>
        <v>15</v>
      </c>
      <c r="H411" s="137">
        <f>IFERROR(__xludf.DUMMYFUNCTION("""COMPUTED_VALUE"""),0.5833333333333334)</f>
        <v>0.5833333333</v>
      </c>
      <c r="I411" s="136">
        <f>IFERROR(__xludf.DUMMYFUNCTION("""COMPUTED_VALUE"""),6.0)</f>
        <v>6</v>
      </c>
      <c r="J411" s="136">
        <f>IFERROR(__xludf.DUMMYFUNCTION("""COMPUTED_VALUE"""),12491.0)</f>
        <v>12491</v>
      </c>
      <c r="K411" s="136">
        <f>IFERROR(__xludf.DUMMYFUNCTION("""COMPUTED_VALUE"""),28.0)</f>
        <v>28</v>
      </c>
      <c r="L411" s="136">
        <f>IFERROR(__xludf.DUMMYFUNCTION("""COMPUTED_VALUE"""),30.0)</f>
        <v>30</v>
      </c>
      <c r="M411" s="136">
        <f>IFERROR(__xludf.DUMMYFUNCTION("""COMPUTED_VALUE"""),45.0)</f>
        <v>45</v>
      </c>
      <c r="N411" s="136">
        <f>IFERROR(__xludf.DUMMYFUNCTION("""COMPUTED_VALUE"""),86.0)</f>
        <v>86</v>
      </c>
      <c r="O411" s="138">
        <f>IFERROR(__xludf.DUMMYFUNCTION("""COMPUTED_VALUE"""),11.0)</f>
        <v>11</v>
      </c>
      <c r="P411" s="138">
        <f>IFERROR(__xludf.DUMMYFUNCTION("""COMPUTED_VALUE"""),2.0)</f>
        <v>2</v>
      </c>
      <c r="Q411" s="138">
        <f>IFERROR(__xludf.DUMMYFUNCTION("""COMPUTED_VALUE"""),3.0)</f>
        <v>3</v>
      </c>
      <c r="R411" s="138">
        <f>IFERROR(__xludf.DUMMYFUNCTION("""COMPUTED_VALUE"""),6.0)</f>
        <v>6</v>
      </c>
      <c r="S411" s="139">
        <f>IFERROR(__xludf.DUMMYFUNCTION("""COMPUTED_VALUE"""),258.0)</f>
        <v>258</v>
      </c>
      <c r="T411" s="140">
        <f>IFERROR(__xludf.DUMMYFUNCTION("""COMPUTED_VALUE"""),64.0)</f>
        <v>64</v>
      </c>
      <c r="U411" s="136">
        <f>IFERROR(__xludf.DUMMYFUNCTION("""COMPUTED_VALUE"""),23.0)</f>
        <v>23</v>
      </c>
      <c r="V411" s="136">
        <f>IFERROR(__xludf.DUMMYFUNCTION("""COMPUTED_VALUE"""),24.0)</f>
        <v>24</v>
      </c>
      <c r="W411" s="136">
        <f>IFERROR(__xludf.DUMMYFUNCTION("""COMPUTED_VALUE"""),31.0)</f>
        <v>31</v>
      </c>
      <c r="X411" s="136">
        <f>IFERROR(__xludf.DUMMYFUNCTION("""COMPUTED_VALUE"""),360.1388888888889)</f>
        <v>360.1388889</v>
      </c>
      <c r="Y411" s="141">
        <f>IFERROR(__xludf.DUMMYFUNCTION("""COMPUTED_VALUE"""),48.899166666666666)</f>
        <v>48.89916667</v>
      </c>
      <c r="Z411" s="141">
        <f>IFERROR(__xludf.DUMMYFUNCTION("""COMPUTED_VALUE"""),2127.1388888888887)</f>
        <v>2127.138889</v>
      </c>
    </row>
    <row r="412">
      <c r="A412" s="41" t="str">
        <f>IFERROR(__xludf.DUMMYFUNCTION("""COMPUTED_VALUE"""),"Veteran")</f>
        <v>Veteran</v>
      </c>
      <c r="B412" s="41" t="str">
        <f>IFERROR(__xludf.DUMMYFUNCTION("""COMPUTED_VALUE"""),"RSC006639")</f>
        <v>RSC006639</v>
      </c>
      <c r="C412" s="41" t="str">
        <f>IFERROR(__xludf.DUMMYFUNCTION("""COMPUTED_VALUE"""),"Zxphyr")</f>
        <v>Zxphyr</v>
      </c>
      <c r="D412" s="41" t="str">
        <f>IFERROR(__xludf.DUMMYFUNCTION("""COMPUTED_VALUE"""),"Avalanche")</f>
        <v>Avalanche</v>
      </c>
      <c r="E412" s="136">
        <f>IFERROR(__xludf.DUMMYFUNCTION("""COMPUTED_VALUE"""),12.0)</f>
        <v>12</v>
      </c>
      <c r="F412" s="136">
        <f>IFERROR(__xludf.DUMMYFUNCTION("""COMPUTED_VALUE"""),4.0)</f>
        <v>4</v>
      </c>
      <c r="G412" s="136">
        <f>IFERROR(__xludf.DUMMYFUNCTION("""COMPUTED_VALUE"""),8.0)</f>
        <v>8</v>
      </c>
      <c r="H412" s="137">
        <f>IFERROR(__xludf.DUMMYFUNCTION("""COMPUTED_VALUE"""),0.3333333333333333)</f>
        <v>0.3333333333</v>
      </c>
      <c r="I412" s="136">
        <f>IFERROR(__xludf.DUMMYFUNCTION("""COMPUTED_VALUE"""),2.0)</f>
        <v>2</v>
      </c>
      <c r="J412" s="136">
        <f>IFERROR(__xludf.DUMMYFUNCTION("""COMPUTED_VALUE"""),3641.0)</f>
        <v>3641</v>
      </c>
      <c r="K412" s="136">
        <f>IFERROR(__xludf.DUMMYFUNCTION("""COMPUTED_VALUE"""),10.0)</f>
        <v>10</v>
      </c>
      <c r="L412" s="136">
        <f>IFERROR(__xludf.DUMMYFUNCTION("""COMPUTED_VALUE"""),1.0)</f>
        <v>1</v>
      </c>
      <c r="M412" s="136">
        <f>IFERROR(__xludf.DUMMYFUNCTION("""COMPUTED_VALUE"""),18.0)</f>
        <v>18</v>
      </c>
      <c r="N412" s="136">
        <f>IFERROR(__xludf.DUMMYFUNCTION("""COMPUTED_VALUE"""),30.0)</f>
        <v>30</v>
      </c>
      <c r="O412" s="138">
        <f>IFERROR(__xludf.DUMMYFUNCTION("""COMPUTED_VALUE"""),1.0)</f>
        <v>1</v>
      </c>
      <c r="P412" s="138">
        <f>IFERROR(__xludf.DUMMYFUNCTION("""COMPUTED_VALUE"""),1.0)</f>
        <v>1</v>
      </c>
      <c r="Q412" s="138">
        <f>IFERROR(__xludf.DUMMYFUNCTION("""COMPUTED_VALUE"""),0.0)</f>
        <v>0</v>
      </c>
      <c r="R412" s="138">
        <f>IFERROR(__xludf.DUMMYFUNCTION("""COMPUTED_VALUE"""),1.0)</f>
        <v>1</v>
      </c>
      <c r="S412" s="139">
        <f>IFERROR(__xludf.DUMMYFUNCTION("""COMPUTED_VALUE"""),102.0)</f>
        <v>102</v>
      </c>
      <c r="T412" s="140">
        <f>IFERROR(__xludf.DUMMYFUNCTION("""COMPUTED_VALUE"""),35.0)</f>
        <v>35</v>
      </c>
      <c r="U412" s="136">
        <f>IFERROR(__xludf.DUMMYFUNCTION("""COMPUTED_VALUE"""),11.0)</f>
        <v>11</v>
      </c>
      <c r="V412" s="136">
        <f>IFERROR(__xludf.DUMMYFUNCTION("""COMPUTED_VALUE"""),21.0)</f>
        <v>21</v>
      </c>
      <c r="W412" s="136">
        <f>IFERROR(__xludf.DUMMYFUNCTION("""COMPUTED_VALUE"""),15.0)</f>
        <v>15</v>
      </c>
      <c r="X412" s="136">
        <f>IFERROR(__xludf.DUMMYFUNCTION("""COMPUTED_VALUE"""),414.8333333333333)</f>
        <v>414.8333333</v>
      </c>
      <c r="Y412" s="141">
        <f>IFERROR(__xludf.DUMMYFUNCTION("""COMPUTED_VALUE"""),45.275)</f>
        <v>45.275</v>
      </c>
      <c r="Z412" s="141">
        <f>IFERROR(__xludf.DUMMYFUNCTION("""COMPUTED_VALUE"""),2319.8333333333335)</f>
        <v>2319.833333</v>
      </c>
    </row>
    <row r="413">
      <c r="A413" s="41" t="str">
        <f>IFERROR(__xludf.DUMMYFUNCTION("""COMPUTED_VALUE"""),"Challenger")</f>
        <v>Challenger</v>
      </c>
      <c r="B413" s="41" t="str">
        <f>IFERROR(__xludf.DUMMYFUNCTION("""COMPUTED_VALUE"""),"RSC006642")</f>
        <v>RSC006642</v>
      </c>
      <c r="C413" s="41" t="str">
        <f>IFERROR(__xludf.DUMMYFUNCTION("""COMPUTED_VALUE"""),"Zone Killa")</f>
        <v>Zone Killa</v>
      </c>
      <c r="D413" s="41" t="str">
        <f>IFERROR(__xludf.DUMMYFUNCTION("""COMPUTED_VALUE"""),"Apple Associates")</f>
        <v>Apple Associates</v>
      </c>
      <c r="E413" s="136">
        <f>IFERROR(__xludf.DUMMYFUNCTION("""COMPUTED_VALUE"""),43.0)</f>
        <v>43</v>
      </c>
      <c r="F413" s="136">
        <f>IFERROR(__xludf.DUMMYFUNCTION("""COMPUTED_VALUE"""),28.0)</f>
        <v>28</v>
      </c>
      <c r="G413" s="136">
        <f>IFERROR(__xludf.DUMMYFUNCTION("""COMPUTED_VALUE"""),15.0)</f>
        <v>15</v>
      </c>
      <c r="H413" s="137">
        <f>IFERROR(__xludf.DUMMYFUNCTION("""COMPUTED_VALUE"""),0.6511627906976745)</f>
        <v>0.6511627907</v>
      </c>
      <c r="I413" s="136">
        <f>IFERROR(__xludf.DUMMYFUNCTION("""COMPUTED_VALUE"""),14.0)</f>
        <v>14</v>
      </c>
      <c r="J413" s="136">
        <f>IFERROR(__xludf.DUMMYFUNCTION("""COMPUTED_VALUE"""),16647.0)</f>
        <v>16647</v>
      </c>
      <c r="K413" s="136">
        <f>IFERROR(__xludf.DUMMYFUNCTION("""COMPUTED_VALUE"""),42.0)</f>
        <v>42</v>
      </c>
      <c r="L413" s="136">
        <f>IFERROR(__xludf.DUMMYFUNCTION("""COMPUTED_VALUE"""),24.0)</f>
        <v>24</v>
      </c>
      <c r="M413" s="136">
        <f>IFERROR(__xludf.DUMMYFUNCTION("""COMPUTED_VALUE"""),66.0)</f>
        <v>66</v>
      </c>
      <c r="N413" s="136">
        <f>IFERROR(__xludf.DUMMYFUNCTION("""COMPUTED_VALUE"""),94.0)</f>
        <v>94</v>
      </c>
      <c r="O413" s="138">
        <f>IFERROR(__xludf.DUMMYFUNCTION("""COMPUTED_VALUE"""),11.0)</f>
        <v>11</v>
      </c>
      <c r="P413" s="138">
        <f>IFERROR(__xludf.DUMMYFUNCTION("""COMPUTED_VALUE"""),3.0)</f>
        <v>3</v>
      </c>
      <c r="Q413" s="138">
        <f>IFERROR(__xludf.DUMMYFUNCTION("""COMPUTED_VALUE"""),1.0)</f>
        <v>1</v>
      </c>
      <c r="R413" s="138">
        <f>IFERROR(__xludf.DUMMYFUNCTION("""COMPUTED_VALUE"""),11.0)</f>
        <v>11</v>
      </c>
      <c r="S413" s="139">
        <f>IFERROR(__xludf.DUMMYFUNCTION("""COMPUTED_VALUE"""),302.0)</f>
        <v>302</v>
      </c>
      <c r="T413" s="140">
        <f>IFERROR(__xludf.DUMMYFUNCTION("""COMPUTED_VALUE"""),91.0)</f>
        <v>91</v>
      </c>
      <c r="U413" s="136">
        <f>IFERROR(__xludf.DUMMYFUNCTION("""COMPUTED_VALUE"""),28.0)</f>
        <v>28</v>
      </c>
      <c r="V413" s="136">
        <f>IFERROR(__xludf.DUMMYFUNCTION("""COMPUTED_VALUE"""),38.0)</f>
        <v>38</v>
      </c>
      <c r="W413" s="136">
        <f>IFERROR(__xludf.DUMMYFUNCTION("""COMPUTED_VALUE"""),38.0)</f>
        <v>38</v>
      </c>
      <c r="X413" s="136">
        <f>IFERROR(__xludf.DUMMYFUNCTION("""COMPUTED_VALUE"""),372.5813953488372)</f>
        <v>372.5813953</v>
      </c>
      <c r="Y413" s="141">
        <f>IFERROR(__xludf.DUMMYFUNCTION("""COMPUTED_VALUE"""),51.688372093023254)</f>
        <v>51.68837209</v>
      </c>
      <c r="Z413" s="141">
        <f>IFERROR(__xludf.DUMMYFUNCTION("""COMPUTED_VALUE"""),2260.3488372093025)</f>
        <v>2260.348837</v>
      </c>
    </row>
    <row r="414">
      <c r="A414" s="41" t="str">
        <f>IFERROR(__xludf.DUMMYFUNCTION("""COMPUTED_VALUE"""),"Rival")</f>
        <v>Rival</v>
      </c>
      <c r="B414" s="41" t="str">
        <f>IFERROR(__xludf.DUMMYFUNCTION("""COMPUTED_VALUE"""),"RSC006643")</f>
        <v>RSC006643</v>
      </c>
      <c r="C414" s="41" t="str">
        <f>IFERROR(__xludf.DUMMYFUNCTION("""COMPUTED_VALUE"""),"Napkhan")</f>
        <v>Napkhan</v>
      </c>
      <c r="D414" s="41" t="str">
        <f>IFERROR(__xludf.DUMMYFUNCTION("""COMPUTED_VALUE"""),"Ruthless Racket")</f>
        <v>Ruthless Racket</v>
      </c>
      <c r="E414" s="136">
        <f>IFERROR(__xludf.DUMMYFUNCTION("""COMPUTED_VALUE"""),22.0)</f>
        <v>22</v>
      </c>
      <c r="F414" s="136">
        <f>IFERROR(__xludf.DUMMYFUNCTION("""COMPUTED_VALUE"""),7.0)</f>
        <v>7</v>
      </c>
      <c r="G414" s="136">
        <f>IFERROR(__xludf.DUMMYFUNCTION("""COMPUTED_VALUE"""),15.0)</f>
        <v>15</v>
      </c>
      <c r="H414" s="137">
        <f>IFERROR(__xludf.DUMMYFUNCTION("""COMPUTED_VALUE"""),0.3181818181818182)</f>
        <v>0.3181818182</v>
      </c>
      <c r="I414" s="136">
        <f>IFERROR(__xludf.DUMMYFUNCTION("""COMPUTED_VALUE"""),3.0)</f>
        <v>3</v>
      </c>
      <c r="J414" s="136">
        <f>IFERROR(__xludf.DUMMYFUNCTION("""COMPUTED_VALUE"""),6600.0)</f>
        <v>6600</v>
      </c>
      <c r="K414" s="136">
        <f>IFERROR(__xludf.DUMMYFUNCTION("""COMPUTED_VALUE"""),12.0)</f>
        <v>12</v>
      </c>
      <c r="L414" s="136">
        <f>IFERROR(__xludf.DUMMYFUNCTION("""COMPUTED_VALUE"""),9.0)</f>
        <v>9</v>
      </c>
      <c r="M414" s="136">
        <f>IFERROR(__xludf.DUMMYFUNCTION("""COMPUTED_VALUE"""),29.0)</f>
        <v>29</v>
      </c>
      <c r="N414" s="136">
        <f>IFERROR(__xludf.DUMMYFUNCTION("""COMPUTED_VALUE"""),42.0)</f>
        <v>42</v>
      </c>
      <c r="O414" s="138">
        <f>IFERROR(__xludf.DUMMYFUNCTION("""COMPUTED_VALUE"""),3.0)</f>
        <v>3</v>
      </c>
      <c r="P414" s="138">
        <f>IFERROR(__xludf.DUMMYFUNCTION("""COMPUTED_VALUE"""),2.0)</f>
        <v>2</v>
      </c>
      <c r="Q414" s="138">
        <f>IFERROR(__xludf.DUMMYFUNCTION("""COMPUTED_VALUE"""),0.0)</f>
        <v>0</v>
      </c>
      <c r="R414" s="138">
        <f>IFERROR(__xludf.DUMMYFUNCTION("""COMPUTED_VALUE"""),1.0)</f>
        <v>1</v>
      </c>
      <c r="S414" s="139">
        <f>IFERROR(__xludf.DUMMYFUNCTION("""COMPUTED_VALUE"""),175.0)</f>
        <v>175</v>
      </c>
      <c r="T414" s="140">
        <f>IFERROR(__xludf.DUMMYFUNCTION("""COMPUTED_VALUE"""),56.0)</f>
        <v>56</v>
      </c>
      <c r="U414" s="136">
        <f>IFERROR(__xludf.DUMMYFUNCTION("""COMPUTED_VALUE"""),26.0)</f>
        <v>26</v>
      </c>
      <c r="V414" s="136">
        <f>IFERROR(__xludf.DUMMYFUNCTION("""COMPUTED_VALUE"""),21.0)</f>
        <v>21</v>
      </c>
      <c r="W414" s="136">
        <f>IFERROR(__xludf.DUMMYFUNCTION("""COMPUTED_VALUE"""),18.0)</f>
        <v>18</v>
      </c>
      <c r="X414" s="136">
        <f>IFERROR(__xludf.DUMMYFUNCTION("""COMPUTED_VALUE"""),356.45454545454544)</f>
        <v>356.4545455</v>
      </c>
      <c r="Y414" s="141">
        <f>IFERROR(__xludf.DUMMYFUNCTION("""COMPUTED_VALUE"""),41.92363636363637)</f>
        <v>41.92363636</v>
      </c>
      <c r="Z414" s="141">
        <f>IFERROR(__xludf.DUMMYFUNCTION("""COMPUTED_VALUE"""),2095.0454545454545)</f>
        <v>2095.045455</v>
      </c>
    </row>
    <row r="415">
      <c r="A415" s="41" t="str">
        <f>IFERROR(__xludf.DUMMYFUNCTION("""COMPUTED_VALUE"""),"Veteran")</f>
        <v>Veteran</v>
      </c>
      <c r="B415" s="41" t="str">
        <f>IFERROR(__xludf.DUMMYFUNCTION("""COMPUTED_VALUE"""),"RSC006654")</f>
        <v>RSC006654</v>
      </c>
      <c r="C415" s="41" t="str">
        <f>IFERROR(__xludf.DUMMYFUNCTION("""COMPUTED_VALUE"""),"Chicken")</f>
        <v>Chicken</v>
      </c>
      <c r="D415" s="41" t="str">
        <f>IFERROR(__xludf.DUMMYFUNCTION("""COMPUTED_VALUE"""),"Gorillas")</f>
        <v>Gorillas</v>
      </c>
      <c r="E415" s="136">
        <f>IFERROR(__xludf.DUMMYFUNCTION("""COMPUTED_VALUE"""),52.0)</f>
        <v>52</v>
      </c>
      <c r="F415" s="136">
        <f>IFERROR(__xludf.DUMMYFUNCTION("""COMPUTED_VALUE"""),19.0)</f>
        <v>19</v>
      </c>
      <c r="G415" s="136">
        <f>IFERROR(__xludf.DUMMYFUNCTION("""COMPUTED_VALUE"""),33.0)</f>
        <v>33</v>
      </c>
      <c r="H415" s="137">
        <f>IFERROR(__xludf.DUMMYFUNCTION("""COMPUTED_VALUE"""),0.36538461538461536)</f>
        <v>0.3653846154</v>
      </c>
      <c r="I415" s="136">
        <f>IFERROR(__xludf.DUMMYFUNCTION("""COMPUTED_VALUE"""),5.0)</f>
        <v>5</v>
      </c>
      <c r="J415" s="136">
        <f>IFERROR(__xludf.DUMMYFUNCTION("""COMPUTED_VALUE"""),17266.0)</f>
        <v>17266</v>
      </c>
      <c r="K415" s="136">
        <f>IFERROR(__xludf.DUMMYFUNCTION("""COMPUTED_VALUE"""),32.0)</f>
        <v>32</v>
      </c>
      <c r="L415" s="136">
        <f>IFERROR(__xludf.DUMMYFUNCTION("""COMPUTED_VALUE"""),26.0)</f>
        <v>26</v>
      </c>
      <c r="M415" s="136">
        <f>IFERROR(__xludf.DUMMYFUNCTION("""COMPUTED_VALUE"""),77.0)</f>
        <v>77</v>
      </c>
      <c r="N415" s="136">
        <f>IFERROR(__xludf.DUMMYFUNCTION("""COMPUTED_VALUE"""),130.0)</f>
        <v>130</v>
      </c>
      <c r="O415" s="138">
        <f>IFERROR(__xludf.DUMMYFUNCTION("""COMPUTED_VALUE"""),6.0)</f>
        <v>6</v>
      </c>
      <c r="P415" s="138">
        <f>IFERROR(__xludf.DUMMYFUNCTION("""COMPUTED_VALUE"""),1.0)</f>
        <v>1</v>
      </c>
      <c r="Q415" s="138">
        <f>IFERROR(__xludf.DUMMYFUNCTION("""COMPUTED_VALUE"""),0.0)</f>
        <v>0</v>
      </c>
      <c r="R415" s="138">
        <f>IFERROR(__xludf.DUMMYFUNCTION("""COMPUTED_VALUE"""),10.0)</f>
        <v>10</v>
      </c>
      <c r="S415" s="139">
        <f>IFERROR(__xludf.DUMMYFUNCTION("""COMPUTED_VALUE"""),435.0)</f>
        <v>435</v>
      </c>
      <c r="T415" s="140">
        <f>IFERROR(__xludf.DUMMYFUNCTION("""COMPUTED_VALUE"""),131.0)</f>
        <v>131</v>
      </c>
      <c r="U415" s="136">
        <f>IFERROR(__xludf.DUMMYFUNCTION("""COMPUTED_VALUE"""),44.0)</f>
        <v>44</v>
      </c>
      <c r="V415" s="136">
        <f>IFERROR(__xludf.DUMMYFUNCTION("""COMPUTED_VALUE"""),59.0)</f>
        <v>59</v>
      </c>
      <c r="W415" s="136">
        <f>IFERROR(__xludf.DUMMYFUNCTION("""COMPUTED_VALUE"""),60.0)</f>
        <v>60</v>
      </c>
      <c r="X415" s="136">
        <f>IFERROR(__xludf.DUMMYFUNCTION("""COMPUTED_VALUE"""),345.4423076923077)</f>
        <v>345.4423077</v>
      </c>
      <c r="Y415" s="141">
        <f>IFERROR(__xludf.DUMMYFUNCTION("""COMPUTED_VALUE"""),44.33769230769232)</f>
        <v>44.33769231</v>
      </c>
      <c r="Z415" s="141">
        <f>IFERROR(__xludf.DUMMYFUNCTION("""COMPUTED_VALUE"""),2081.769230769231)</f>
        <v>2081.769231</v>
      </c>
    </row>
    <row r="416">
      <c r="A416" s="41" t="str">
        <f>IFERROR(__xludf.DUMMYFUNCTION("""COMPUTED_VALUE"""),"Challenger")</f>
        <v>Challenger</v>
      </c>
      <c r="B416" s="41" t="str">
        <f>IFERROR(__xludf.DUMMYFUNCTION("""COMPUTED_VALUE"""),"RSC006659")</f>
        <v>RSC006659</v>
      </c>
      <c r="C416" s="41" t="str">
        <f>IFERROR(__xludf.DUMMYFUNCTION("""COMPUTED_VALUE"""),"ImZalama")</f>
        <v>ImZalama</v>
      </c>
      <c r="D416" s="41" t="str">
        <f>IFERROR(__xludf.DUMMYFUNCTION("""COMPUTED_VALUE"""),"Metal")</f>
        <v>Metal</v>
      </c>
      <c r="E416" s="136">
        <f>IFERROR(__xludf.DUMMYFUNCTION("""COMPUTED_VALUE"""),50.0)</f>
        <v>50</v>
      </c>
      <c r="F416" s="136">
        <f>IFERROR(__xludf.DUMMYFUNCTION("""COMPUTED_VALUE"""),24.0)</f>
        <v>24</v>
      </c>
      <c r="G416" s="136">
        <f>IFERROR(__xludf.DUMMYFUNCTION("""COMPUTED_VALUE"""),26.0)</f>
        <v>26</v>
      </c>
      <c r="H416" s="137">
        <f>IFERROR(__xludf.DUMMYFUNCTION("""COMPUTED_VALUE"""),0.48)</f>
        <v>0.48</v>
      </c>
      <c r="I416" s="136">
        <f>IFERROR(__xludf.DUMMYFUNCTION("""COMPUTED_VALUE"""),7.0)</f>
        <v>7</v>
      </c>
      <c r="J416" s="136">
        <f>IFERROR(__xludf.DUMMYFUNCTION("""COMPUTED_VALUE"""),16397.0)</f>
        <v>16397</v>
      </c>
      <c r="K416" s="136">
        <f>IFERROR(__xludf.DUMMYFUNCTION("""COMPUTED_VALUE"""),42.0)</f>
        <v>42</v>
      </c>
      <c r="L416" s="136">
        <f>IFERROR(__xludf.DUMMYFUNCTION("""COMPUTED_VALUE"""),23.0)</f>
        <v>23</v>
      </c>
      <c r="M416" s="136">
        <f>IFERROR(__xludf.DUMMYFUNCTION("""COMPUTED_VALUE"""),58.0)</f>
        <v>58</v>
      </c>
      <c r="N416" s="136">
        <f>IFERROR(__xludf.DUMMYFUNCTION("""COMPUTED_VALUE"""),136.0)</f>
        <v>136</v>
      </c>
      <c r="O416" s="138">
        <f>IFERROR(__xludf.DUMMYFUNCTION("""COMPUTED_VALUE"""),7.0)</f>
        <v>7</v>
      </c>
      <c r="P416" s="138">
        <f>IFERROR(__xludf.DUMMYFUNCTION("""COMPUTED_VALUE"""),3.0)</f>
        <v>3</v>
      </c>
      <c r="Q416" s="138">
        <f>IFERROR(__xludf.DUMMYFUNCTION("""COMPUTED_VALUE"""),1.0)</f>
        <v>1</v>
      </c>
      <c r="R416" s="138">
        <f>IFERROR(__xludf.DUMMYFUNCTION("""COMPUTED_VALUE"""),5.0)</f>
        <v>5</v>
      </c>
      <c r="S416" s="139">
        <f>IFERROR(__xludf.DUMMYFUNCTION("""COMPUTED_VALUE"""),362.0)</f>
        <v>362</v>
      </c>
      <c r="T416" s="140">
        <f>IFERROR(__xludf.DUMMYFUNCTION("""COMPUTED_VALUE"""),128.0)</f>
        <v>128</v>
      </c>
      <c r="U416" s="136">
        <f>IFERROR(__xludf.DUMMYFUNCTION("""COMPUTED_VALUE"""),43.0)</f>
        <v>43</v>
      </c>
      <c r="V416" s="136">
        <f>IFERROR(__xludf.DUMMYFUNCTION("""COMPUTED_VALUE"""),44.0)</f>
        <v>44</v>
      </c>
      <c r="W416" s="136">
        <f>IFERROR(__xludf.DUMMYFUNCTION("""COMPUTED_VALUE"""),42.0)</f>
        <v>42</v>
      </c>
      <c r="X416" s="136">
        <f>IFERROR(__xludf.DUMMYFUNCTION("""COMPUTED_VALUE"""),335.4)</f>
        <v>335.4</v>
      </c>
      <c r="Y416" s="141">
        <f>IFERROR(__xludf.DUMMYFUNCTION("""COMPUTED_VALUE"""),53.2162)</f>
        <v>53.2162</v>
      </c>
      <c r="Z416" s="141">
        <f>IFERROR(__xludf.DUMMYFUNCTION("""COMPUTED_VALUE"""),2079.54)</f>
        <v>2079.54</v>
      </c>
    </row>
    <row r="417">
      <c r="A417" s="41" t="str">
        <f>IFERROR(__xludf.DUMMYFUNCTION("""COMPUTED_VALUE"""),"Challenger")</f>
        <v>Challenger</v>
      </c>
      <c r="B417" s="41" t="str">
        <f>IFERROR(__xludf.DUMMYFUNCTION("""COMPUTED_VALUE"""),"RSC006667")</f>
        <v>RSC006667</v>
      </c>
      <c r="C417" s="41" t="str">
        <f>IFERROR(__xludf.DUMMYFUNCTION("""COMPUTED_VALUE"""),"GET2DACHOPPA5")</f>
        <v>GET2DACHOPPA5</v>
      </c>
      <c r="D417" s="41" t="str">
        <f>IFERROR(__xludf.DUMMYFUNCTION("""COMPUTED_VALUE"""),"Porch Pirates")</f>
        <v>Porch Pirates</v>
      </c>
      <c r="E417" s="136">
        <f>IFERROR(__xludf.DUMMYFUNCTION("""COMPUTED_VALUE"""),23.0)</f>
        <v>23</v>
      </c>
      <c r="F417" s="136">
        <f>IFERROR(__xludf.DUMMYFUNCTION("""COMPUTED_VALUE"""),6.0)</f>
        <v>6</v>
      </c>
      <c r="G417" s="136">
        <f>IFERROR(__xludf.DUMMYFUNCTION("""COMPUTED_VALUE"""),17.0)</f>
        <v>17</v>
      </c>
      <c r="H417" s="137">
        <f>IFERROR(__xludf.DUMMYFUNCTION("""COMPUTED_VALUE"""),0.2608695652173913)</f>
        <v>0.2608695652</v>
      </c>
      <c r="I417" s="136">
        <f>IFERROR(__xludf.DUMMYFUNCTION("""COMPUTED_VALUE"""),3.0)</f>
        <v>3</v>
      </c>
      <c r="J417" s="136">
        <f>IFERROR(__xludf.DUMMYFUNCTION("""COMPUTED_VALUE"""),7572.0)</f>
        <v>7572</v>
      </c>
      <c r="K417" s="136">
        <f>IFERROR(__xludf.DUMMYFUNCTION("""COMPUTED_VALUE"""),16.0)</f>
        <v>16</v>
      </c>
      <c r="L417" s="136">
        <f>IFERROR(__xludf.DUMMYFUNCTION("""COMPUTED_VALUE"""),7.0)</f>
        <v>7</v>
      </c>
      <c r="M417" s="136">
        <f>IFERROR(__xludf.DUMMYFUNCTION("""COMPUTED_VALUE"""),33.0)</f>
        <v>33</v>
      </c>
      <c r="N417" s="136">
        <f>IFERROR(__xludf.DUMMYFUNCTION("""COMPUTED_VALUE"""),57.0)</f>
        <v>57</v>
      </c>
      <c r="O417" s="138">
        <f>IFERROR(__xludf.DUMMYFUNCTION("""COMPUTED_VALUE"""),3.0)</f>
        <v>3</v>
      </c>
      <c r="P417" s="138">
        <f>IFERROR(__xludf.DUMMYFUNCTION("""COMPUTED_VALUE"""),2.0)</f>
        <v>2</v>
      </c>
      <c r="Q417" s="138">
        <f>IFERROR(__xludf.DUMMYFUNCTION("""COMPUTED_VALUE"""),0.0)</f>
        <v>0</v>
      </c>
      <c r="R417" s="138">
        <f>IFERROR(__xludf.DUMMYFUNCTION("""COMPUTED_VALUE"""),4.0)</f>
        <v>4</v>
      </c>
      <c r="S417" s="139">
        <f>IFERROR(__xludf.DUMMYFUNCTION("""COMPUTED_VALUE"""),193.0)</f>
        <v>193</v>
      </c>
      <c r="T417" s="140">
        <f>IFERROR(__xludf.DUMMYFUNCTION("""COMPUTED_VALUE"""),68.0)</f>
        <v>68</v>
      </c>
      <c r="U417" s="136">
        <f>IFERROR(__xludf.DUMMYFUNCTION("""COMPUTED_VALUE"""),27.0)</f>
        <v>27</v>
      </c>
      <c r="V417" s="136">
        <f>IFERROR(__xludf.DUMMYFUNCTION("""COMPUTED_VALUE"""),34.0)</f>
        <v>34</v>
      </c>
      <c r="W417" s="136">
        <f>IFERROR(__xludf.DUMMYFUNCTION("""COMPUTED_VALUE"""),33.0)</f>
        <v>33</v>
      </c>
      <c r="X417" s="136">
        <f>IFERROR(__xludf.DUMMYFUNCTION("""COMPUTED_VALUE"""),302.39130434782606)</f>
        <v>302.3913043</v>
      </c>
      <c r="Y417" s="141">
        <f>IFERROR(__xludf.DUMMYFUNCTION("""COMPUTED_VALUE"""),53.39521739130434)</f>
        <v>53.39521739</v>
      </c>
      <c r="Z417" s="141">
        <f>IFERROR(__xludf.DUMMYFUNCTION("""COMPUTED_VALUE"""),1933.0869565217392)</f>
        <v>1933.086957</v>
      </c>
    </row>
    <row r="418">
      <c r="A418" s="41" t="str">
        <f>IFERROR(__xludf.DUMMYFUNCTION("""COMPUTED_VALUE"""),"Elite")</f>
        <v>Elite</v>
      </c>
      <c r="B418" s="41" t="str">
        <f>IFERROR(__xludf.DUMMYFUNCTION("""COMPUTED_VALUE"""),"RSC006668")</f>
        <v>RSC006668</v>
      </c>
      <c r="C418" s="41" t="str">
        <f>IFERROR(__xludf.DUMMYFUNCTION("""COMPUTED_VALUE"""),"kamui")</f>
        <v>kamui</v>
      </c>
      <c r="D418" s="41" t="str">
        <f>IFERROR(__xludf.DUMMYFUNCTION("""COMPUTED_VALUE"""),"Commanders
Teddy Bears")</f>
        <v>Commanders
Teddy Bears</v>
      </c>
      <c r="E418" s="136">
        <f>IFERROR(__xludf.DUMMYFUNCTION("""COMPUTED_VALUE"""),44.0)</f>
        <v>44</v>
      </c>
      <c r="F418" s="136">
        <f>IFERROR(__xludf.DUMMYFUNCTION("""COMPUTED_VALUE"""),19.0)</f>
        <v>19</v>
      </c>
      <c r="G418" s="136">
        <f>IFERROR(__xludf.DUMMYFUNCTION("""COMPUTED_VALUE"""),25.0)</f>
        <v>25</v>
      </c>
      <c r="H418" s="137">
        <f>IFERROR(__xludf.DUMMYFUNCTION("""COMPUTED_VALUE"""),0.4318181818181818)</f>
        <v>0.4318181818</v>
      </c>
      <c r="I418" s="136">
        <f>IFERROR(__xludf.DUMMYFUNCTION("""COMPUTED_VALUE"""),4.0)</f>
        <v>4</v>
      </c>
      <c r="J418" s="136">
        <f>IFERROR(__xludf.DUMMYFUNCTION("""COMPUTED_VALUE"""),14383.0)</f>
        <v>14383</v>
      </c>
      <c r="K418" s="136">
        <f>IFERROR(__xludf.DUMMYFUNCTION("""COMPUTED_VALUE"""),27.0)</f>
        <v>27</v>
      </c>
      <c r="L418" s="136">
        <f>IFERROR(__xludf.DUMMYFUNCTION("""COMPUTED_VALUE"""),31.0)</f>
        <v>31</v>
      </c>
      <c r="M418" s="136">
        <f>IFERROR(__xludf.DUMMYFUNCTION("""COMPUTED_VALUE"""),47.0)</f>
        <v>47</v>
      </c>
      <c r="N418" s="136">
        <f>IFERROR(__xludf.DUMMYFUNCTION("""COMPUTED_VALUE"""),112.0)</f>
        <v>112</v>
      </c>
      <c r="O418" s="138">
        <f>IFERROR(__xludf.DUMMYFUNCTION("""COMPUTED_VALUE"""),12.0)</f>
        <v>12</v>
      </c>
      <c r="P418" s="138">
        <f>IFERROR(__xludf.DUMMYFUNCTION("""COMPUTED_VALUE"""),1.0)</f>
        <v>1</v>
      </c>
      <c r="Q418" s="138">
        <f>IFERROR(__xludf.DUMMYFUNCTION("""COMPUTED_VALUE"""),1.0)</f>
        <v>1</v>
      </c>
      <c r="R418" s="138">
        <f>IFERROR(__xludf.DUMMYFUNCTION("""COMPUTED_VALUE"""),3.0)</f>
        <v>3</v>
      </c>
      <c r="S418" s="139">
        <f>IFERROR(__xludf.DUMMYFUNCTION("""COMPUTED_VALUE"""),348.0)</f>
        <v>348</v>
      </c>
      <c r="T418" s="140">
        <f>IFERROR(__xludf.DUMMYFUNCTION("""COMPUTED_VALUE"""),108.0)</f>
        <v>108</v>
      </c>
      <c r="U418" s="136">
        <f>IFERROR(__xludf.DUMMYFUNCTION("""COMPUTED_VALUE"""),34.0)</f>
        <v>34</v>
      </c>
      <c r="V418" s="136">
        <f>IFERROR(__xludf.DUMMYFUNCTION("""COMPUTED_VALUE"""),32.0)</f>
        <v>32</v>
      </c>
      <c r="W418" s="136">
        <f>IFERROR(__xludf.DUMMYFUNCTION("""COMPUTED_VALUE"""),43.0)</f>
        <v>43</v>
      </c>
      <c r="X418" s="136">
        <f>IFERROR(__xludf.DUMMYFUNCTION("""COMPUTED_VALUE"""),420.4318181818182)</f>
        <v>420.4318182</v>
      </c>
      <c r="Y418" s="141">
        <f>IFERROR(__xludf.DUMMYFUNCTION("""COMPUTED_VALUE"""),51.29159090909092)</f>
        <v>51.29159091</v>
      </c>
      <c r="Z418" s="141">
        <f>IFERROR(__xludf.DUMMYFUNCTION("""COMPUTED_VALUE"""),2572.2272727272725)</f>
        <v>2572.227273</v>
      </c>
    </row>
    <row r="419">
      <c r="A419" s="41" t="str">
        <f>IFERROR(__xludf.DUMMYFUNCTION("""COMPUTED_VALUE"""),"Challenger")</f>
        <v>Challenger</v>
      </c>
      <c r="B419" s="41" t="str">
        <f>IFERROR(__xludf.DUMMYFUNCTION("""COMPUTED_VALUE"""),"RSC006669")</f>
        <v>RSC006669</v>
      </c>
      <c r="C419" s="41" t="str">
        <f>IFERROR(__xludf.DUMMYFUNCTION("""COMPUTED_VALUE"""),"xypheron")</f>
        <v>xypheron</v>
      </c>
      <c r="D419" s="41" t="str">
        <f>IFERROR(__xludf.DUMMYFUNCTION("""COMPUTED_VALUE"""),"Meat Lovers")</f>
        <v>Meat Lovers</v>
      </c>
      <c r="E419" s="136">
        <f>IFERROR(__xludf.DUMMYFUNCTION("""COMPUTED_VALUE"""),28.0)</f>
        <v>28</v>
      </c>
      <c r="F419" s="136">
        <f>IFERROR(__xludf.DUMMYFUNCTION("""COMPUTED_VALUE"""),16.0)</f>
        <v>16</v>
      </c>
      <c r="G419" s="136">
        <f>IFERROR(__xludf.DUMMYFUNCTION("""COMPUTED_VALUE"""),12.0)</f>
        <v>12</v>
      </c>
      <c r="H419" s="137">
        <f>IFERROR(__xludf.DUMMYFUNCTION("""COMPUTED_VALUE"""),0.5714285714285714)</f>
        <v>0.5714285714</v>
      </c>
      <c r="I419" s="136">
        <f>IFERROR(__xludf.DUMMYFUNCTION("""COMPUTED_VALUE"""),2.0)</f>
        <v>2</v>
      </c>
      <c r="J419" s="136">
        <f>IFERROR(__xludf.DUMMYFUNCTION("""COMPUTED_VALUE"""),9222.0)</f>
        <v>9222</v>
      </c>
      <c r="K419" s="136">
        <f>IFERROR(__xludf.DUMMYFUNCTION("""COMPUTED_VALUE"""),18.0)</f>
        <v>18</v>
      </c>
      <c r="L419" s="136">
        <f>IFERROR(__xludf.DUMMYFUNCTION("""COMPUTED_VALUE"""),17.0)</f>
        <v>17</v>
      </c>
      <c r="M419" s="136">
        <f>IFERROR(__xludf.DUMMYFUNCTION("""COMPUTED_VALUE"""),33.0)</f>
        <v>33</v>
      </c>
      <c r="N419" s="136">
        <f>IFERROR(__xludf.DUMMYFUNCTION("""COMPUTED_VALUE"""),82.0)</f>
        <v>82</v>
      </c>
      <c r="O419" s="138">
        <f>IFERROR(__xludf.DUMMYFUNCTION("""COMPUTED_VALUE"""),5.0)</f>
        <v>5</v>
      </c>
      <c r="P419" s="138">
        <f>IFERROR(__xludf.DUMMYFUNCTION("""COMPUTED_VALUE"""),1.0)</f>
        <v>1</v>
      </c>
      <c r="Q419" s="138">
        <f>IFERROR(__xludf.DUMMYFUNCTION("""COMPUTED_VALUE"""),0.0)</f>
        <v>0</v>
      </c>
      <c r="R419" s="138">
        <f>IFERROR(__xludf.DUMMYFUNCTION("""COMPUTED_VALUE"""),4.0)</f>
        <v>4</v>
      </c>
      <c r="S419" s="139">
        <f>IFERROR(__xludf.DUMMYFUNCTION("""COMPUTED_VALUE"""),195.0)</f>
        <v>195</v>
      </c>
      <c r="T419" s="140">
        <f>IFERROR(__xludf.DUMMYFUNCTION("""COMPUTED_VALUE"""),65.0)</f>
        <v>65</v>
      </c>
      <c r="U419" s="136">
        <f>IFERROR(__xludf.DUMMYFUNCTION("""COMPUTED_VALUE"""),19.0)</f>
        <v>19</v>
      </c>
      <c r="V419" s="136">
        <f>IFERROR(__xludf.DUMMYFUNCTION("""COMPUTED_VALUE"""),16.0)</f>
        <v>16</v>
      </c>
      <c r="W419" s="136">
        <f>IFERROR(__xludf.DUMMYFUNCTION("""COMPUTED_VALUE"""),29.0)</f>
        <v>29</v>
      </c>
      <c r="X419" s="136">
        <f>IFERROR(__xludf.DUMMYFUNCTION("""COMPUTED_VALUE"""),336.39285714285717)</f>
        <v>336.3928571</v>
      </c>
      <c r="Y419" s="141">
        <f>IFERROR(__xludf.DUMMYFUNCTION("""COMPUTED_VALUE"""),45.234285714285704)</f>
        <v>45.23428571</v>
      </c>
      <c r="Z419" s="141">
        <f>IFERROR(__xludf.DUMMYFUNCTION("""COMPUTED_VALUE"""),2052.3214285714284)</f>
        <v>2052.321429</v>
      </c>
    </row>
    <row r="420">
      <c r="A420" s="41" t="str">
        <f>IFERROR(__xludf.DUMMYFUNCTION("""COMPUTED_VALUE"""),"Premier")</f>
        <v>Premier</v>
      </c>
      <c r="B420" s="41" t="str">
        <f>IFERROR(__xludf.DUMMYFUNCTION("""COMPUTED_VALUE"""),"RSC006677")</f>
        <v>RSC006677</v>
      </c>
      <c r="C420" s="41" t="str">
        <f>IFERROR(__xludf.DUMMYFUNCTION("""COMPUTED_VALUE"""),"Luigi")</f>
        <v>Luigi</v>
      </c>
      <c r="D420" s="41" t="str">
        <f>IFERROR(__xludf.DUMMYFUNCTION("""COMPUTED_VALUE"""),"Interstellar")</f>
        <v>Interstellar</v>
      </c>
      <c r="E420" s="136">
        <f>IFERROR(__xludf.DUMMYFUNCTION("""COMPUTED_VALUE"""),48.0)</f>
        <v>48</v>
      </c>
      <c r="F420" s="136">
        <f>IFERROR(__xludf.DUMMYFUNCTION("""COMPUTED_VALUE"""),15.0)</f>
        <v>15</v>
      </c>
      <c r="G420" s="136">
        <f>IFERROR(__xludf.DUMMYFUNCTION("""COMPUTED_VALUE"""),33.0)</f>
        <v>33</v>
      </c>
      <c r="H420" s="137">
        <f>IFERROR(__xludf.DUMMYFUNCTION("""COMPUTED_VALUE"""),0.3125)</f>
        <v>0.3125</v>
      </c>
      <c r="I420" s="136">
        <f>IFERROR(__xludf.DUMMYFUNCTION("""COMPUTED_VALUE"""),6.0)</f>
        <v>6</v>
      </c>
      <c r="J420" s="136">
        <f>IFERROR(__xludf.DUMMYFUNCTION("""COMPUTED_VALUE"""),17466.0)</f>
        <v>17466</v>
      </c>
      <c r="K420" s="136">
        <f>IFERROR(__xludf.DUMMYFUNCTION("""COMPUTED_VALUE"""),36.0)</f>
        <v>36</v>
      </c>
      <c r="L420" s="136">
        <f>IFERROR(__xludf.DUMMYFUNCTION("""COMPUTED_VALUE"""),22.0)</f>
        <v>22</v>
      </c>
      <c r="M420" s="136">
        <f>IFERROR(__xludf.DUMMYFUNCTION("""COMPUTED_VALUE"""),71.0)</f>
        <v>71</v>
      </c>
      <c r="N420" s="136">
        <f>IFERROR(__xludf.DUMMYFUNCTION("""COMPUTED_VALUE"""),137.0)</f>
        <v>137</v>
      </c>
      <c r="O420" s="138">
        <f>IFERROR(__xludf.DUMMYFUNCTION("""COMPUTED_VALUE"""),8.0)</f>
        <v>8</v>
      </c>
      <c r="P420" s="138">
        <f>IFERROR(__xludf.DUMMYFUNCTION("""COMPUTED_VALUE"""),0.0)</f>
        <v>0</v>
      </c>
      <c r="Q420" s="138">
        <f>IFERROR(__xludf.DUMMYFUNCTION("""COMPUTED_VALUE"""),0.0)</f>
        <v>0</v>
      </c>
      <c r="R420" s="138">
        <f>IFERROR(__xludf.DUMMYFUNCTION("""COMPUTED_VALUE"""),11.0)</f>
        <v>11</v>
      </c>
      <c r="S420" s="139">
        <f>IFERROR(__xludf.DUMMYFUNCTION("""COMPUTED_VALUE"""),397.0)</f>
        <v>397</v>
      </c>
      <c r="T420" s="140">
        <f>IFERROR(__xludf.DUMMYFUNCTION("""COMPUTED_VALUE"""),137.0)</f>
        <v>137</v>
      </c>
      <c r="U420" s="136">
        <f>IFERROR(__xludf.DUMMYFUNCTION("""COMPUTED_VALUE"""),53.0)</f>
        <v>53</v>
      </c>
      <c r="V420" s="136">
        <f>IFERROR(__xludf.DUMMYFUNCTION("""COMPUTED_VALUE"""),68.0)</f>
        <v>68</v>
      </c>
      <c r="W420" s="136">
        <f>IFERROR(__xludf.DUMMYFUNCTION("""COMPUTED_VALUE"""),55.0)</f>
        <v>55</v>
      </c>
      <c r="X420" s="136">
        <f>IFERROR(__xludf.DUMMYFUNCTION("""COMPUTED_VALUE"""),440.375)</f>
        <v>440.375</v>
      </c>
      <c r="Y420" s="141">
        <f>IFERROR(__xludf.DUMMYFUNCTION("""COMPUTED_VALUE"""),48.843333333333334)</f>
        <v>48.84333333</v>
      </c>
      <c r="Z420" s="141">
        <f>IFERROR(__xludf.DUMMYFUNCTION("""COMPUTED_VALUE"""),2618.4583333333335)</f>
        <v>2618.458333</v>
      </c>
    </row>
    <row r="421">
      <c r="A421" s="41" t="str">
        <f>IFERROR(__xludf.DUMMYFUNCTION("""COMPUTED_VALUE"""),"Rival")</f>
        <v>Rival</v>
      </c>
      <c r="B421" s="41" t="str">
        <f>IFERROR(__xludf.DUMMYFUNCTION("""COMPUTED_VALUE"""),"RSC006678")</f>
        <v>RSC006678</v>
      </c>
      <c r="C421" s="41" t="str">
        <f>IFERROR(__xludf.DUMMYFUNCTION("""COMPUTED_VALUE"""),"EyeSucka")</f>
        <v>EyeSucka</v>
      </c>
      <c r="D421" s="41" t="str">
        <f>IFERROR(__xludf.DUMMYFUNCTION("""COMPUTED_VALUE"""),"Mining Legion")</f>
        <v>Mining Legion</v>
      </c>
      <c r="E421" s="136">
        <f>IFERROR(__xludf.DUMMYFUNCTION("""COMPUTED_VALUE"""),52.0)</f>
        <v>52</v>
      </c>
      <c r="F421" s="136">
        <f>IFERROR(__xludf.DUMMYFUNCTION("""COMPUTED_VALUE"""),34.0)</f>
        <v>34</v>
      </c>
      <c r="G421" s="136">
        <f>IFERROR(__xludf.DUMMYFUNCTION("""COMPUTED_VALUE"""),18.0)</f>
        <v>18</v>
      </c>
      <c r="H421" s="137">
        <f>IFERROR(__xludf.DUMMYFUNCTION("""COMPUTED_VALUE"""),0.6538461538461539)</f>
        <v>0.6538461538</v>
      </c>
      <c r="I421" s="136">
        <f>IFERROR(__xludf.DUMMYFUNCTION("""COMPUTED_VALUE"""),13.0)</f>
        <v>13</v>
      </c>
      <c r="J421" s="136">
        <f>IFERROR(__xludf.DUMMYFUNCTION("""COMPUTED_VALUE"""),18255.0)</f>
        <v>18255</v>
      </c>
      <c r="K421" s="136">
        <f>IFERROR(__xludf.DUMMYFUNCTION("""COMPUTED_VALUE"""),48.0)</f>
        <v>48</v>
      </c>
      <c r="L421" s="136">
        <f>IFERROR(__xludf.DUMMYFUNCTION("""COMPUTED_VALUE"""),32.0)</f>
        <v>32</v>
      </c>
      <c r="M421" s="136">
        <f>IFERROR(__xludf.DUMMYFUNCTION("""COMPUTED_VALUE"""),52.0)</f>
        <v>52</v>
      </c>
      <c r="N421" s="136">
        <f>IFERROR(__xludf.DUMMYFUNCTION("""COMPUTED_VALUE"""),162.0)</f>
        <v>162</v>
      </c>
      <c r="O421" s="138">
        <f>IFERROR(__xludf.DUMMYFUNCTION("""COMPUTED_VALUE"""),11.0)</f>
        <v>11</v>
      </c>
      <c r="P421" s="138">
        <f>IFERROR(__xludf.DUMMYFUNCTION("""COMPUTED_VALUE"""),1.0)</f>
        <v>1</v>
      </c>
      <c r="Q421" s="138">
        <f>IFERROR(__xludf.DUMMYFUNCTION("""COMPUTED_VALUE"""),0.0)</f>
        <v>0</v>
      </c>
      <c r="R421" s="138">
        <f>IFERROR(__xludf.DUMMYFUNCTION("""COMPUTED_VALUE"""),1.0)</f>
        <v>1</v>
      </c>
      <c r="S421" s="139">
        <f>IFERROR(__xludf.DUMMYFUNCTION("""COMPUTED_VALUE"""),338.0)</f>
        <v>338</v>
      </c>
      <c r="T421" s="140">
        <f>IFERROR(__xludf.DUMMYFUNCTION("""COMPUTED_VALUE"""),87.0)</f>
        <v>87</v>
      </c>
      <c r="U421" s="136">
        <f>IFERROR(__xludf.DUMMYFUNCTION("""COMPUTED_VALUE"""),35.0)</f>
        <v>35</v>
      </c>
      <c r="V421" s="136">
        <f>IFERROR(__xludf.DUMMYFUNCTION("""COMPUTED_VALUE"""),22.0)</f>
        <v>22</v>
      </c>
      <c r="W421" s="136">
        <f>IFERROR(__xludf.DUMMYFUNCTION("""COMPUTED_VALUE"""),65.0)</f>
        <v>65</v>
      </c>
      <c r="X421" s="136">
        <f>IFERROR(__xludf.DUMMYFUNCTION("""COMPUTED_VALUE"""),304.3076923076923)</f>
        <v>304.3076923</v>
      </c>
      <c r="Y421" s="141">
        <f>IFERROR(__xludf.DUMMYFUNCTION("""COMPUTED_VALUE"""),51.20961538461539)</f>
        <v>51.20961538</v>
      </c>
      <c r="Z421" s="141">
        <f>IFERROR(__xludf.DUMMYFUNCTION("""COMPUTED_VALUE"""),1854.9038461538462)</f>
        <v>1854.903846</v>
      </c>
    </row>
    <row r="422">
      <c r="A422" s="41" t="str">
        <f>IFERROR(__xludf.DUMMYFUNCTION("""COMPUTED_VALUE"""),"Rival")</f>
        <v>Rival</v>
      </c>
      <c r="B422" s="41" t="str">
        <f>IFERROR(__xludf.DUMMYFUNCTION("""COMPUTED_VALUE"""),"RSC006691")</f>
        <v>RSC006691</v>
      </c>
      <c r="C422" s="41" t="str">
        <f>IFERROR(__xludf.DUMMYFUNCTION("""COMPUTED_VALUE"""),"Jixer")</f>
        <v>Jixer</v>
      </c>
      <c r="D422" s="41" t="str">
        <f>IFERROR(__xludf.DUMMYFUNCTION("""COMPUTED_VALUE"""),"Tax Evaders")</f>
        <v>Tax Evaders</v>
      </c>
      <c r="E422" s="136">
        <f>IFERROR(__xludf.DUMMYFUNCTION("""COMPUTED_VALUE"""),3.0)</f>
        <v>3</v>
      </c>
      <c r="F422" s="136">
        <f>IFERROR(__xludf.DUMMYFUNCTION("""COMPUTED_VALUE"""),2.0)</f>
        <v>2</v>
      </c>
      <c r="G422" s="136">
        <f>IFERROR(__xludf.DUMMYFUNCTION("""COMPUTED_VALUE"""),1.0)</f>
        <v>1</v>
      </c>
      <c r="H422" s="137">
        <f>IFERROR(__xludf.DUMMYFUNCTION("""COMPUTED_VALUE"""),0.6666666666666666)</f>
        <v>0.6666666667</v>
      </c>
      <c r="I422" s="136">
        <f>IFERROR(__xludf.DUMMYFUNCTION("""COMPUTED_VALUE"""),1.0)</f>
        <v>1</v>
      </c>
      <c r="J422" s="136">
        <f>IFERROR(__xludf.DUMMYFUNCTION("""COMPUTED_VALUE"""),747.0)</f>
        <v>747</v>
      </c>
      <c r="K422" s="136">
        <f>IFERROR(__xludf.DUMMYFUNCTION("""COMPUTED_VALUE"""),1.0)</f>
        <v>1</v>
      </c>
      <c r="L422" s="136">
        <f>IFERROR(__xludf.DUMMYFUNCTION("""COMPUTED_VALUE"""),2.0)</f>
        <v>2</v>
      </c>
      <c r="M422" s="136">
        <f>IFERROR(__xludf.DUMMYFUNCTION("""COMPUTED_VALUE"""),3.0)</f>
        <v>3</v>
      </c>
      <c r="N422" s="136">
        <f>IFERROR(__xludf.DUMMYFUNCTION("""COMPUTED_VALUE"""),6.0)</f>
        <v>6</v>
      </c>
      <c r="O422" s="138">
        <f>IFERROR(__xludf.DUMMYFUNCTION("""COMPUTED_VALUE"""),1.0)</f>
        <v>1</v>
      </c>
      <c r="P422" s="138">
        <f>IFERROR(__xludf.DUMMYFUNCTION("""COMPUTED_VALUE"""),0.0)</f>
        <v>0</v>
      </c>
      <c r="Q422" s="138">
        <f>IFERROR(__xludf.DUMMYFUNCTION("""COMPUTED_VALUE"""),0.0)</f>
        <v>0</v>
      </c>
      <c r="R422" s="138">
        <f>IFERROR(__xludf.DUMMYFUNCTION("""COMPUTED_VALUE"""),0.0)</f>
        <v>0</v>
      </c>
      <c r="S422" s="139">
        <f>IFERROR(__xludf.DUMMYFUNCTION("""COMPUTED_VALUE"""),20.0)</f>
        <v>20</v>
      </c>
      <c r="T422" s="140">
        <f>IFERROR(__xludf.DUMMYFUNCTION("""COMPUTED_VALUE"""),8.0)</f>
        <v>8</v>
      </c>
      <c r="U422" s="136">
        <f>IFERROR(__xludf.DUMMYFUNCTION("""COMPUTED_VALUE"""),2.0)</f>
        <v>2</v>
      </c>
      <c r="V422" s="136">
        <f>IFERROR(__xludf.DUMMYFUNCTION("""COMPUTED_VALUE"""),1.0)</f>
        <v>1</v>
      </c>
      <c r="W422" s="136">
        <f>IFERROR(__xludf.DUMMYFUNCTION("""COMPUTED_VALUE"""),2.0)</f>
        <v>2</v>
      </c>
      <c r="X422" s="136">
        <f>IFERROR(__xludf.DUMMYFUNCTION("""COMPUTED_VALUE"""),451.3333333333333)</f>
        <v>451.3333333</v>
      </c>
      <c r="Y422" s="141">
        <f>IFERROR(__xludf.DUMMYFUNCTION("""COMPUTED_VALUE"""),50.53333333333333)</f>
        <v>50.53333333</v>
      </c>
      <c r="Z422" s="141">
        <f>IFERROR(__xludf.DUMMYFUNCTION("""COMPUTED_VALUE"""),2882.6666666666665)</f>
        <v>2882.666667</v>
      </c>
    </row>
    <row r="423">
      <c r="A423" s="41" t="str">
        <f>IFERROR(__xludf.DUMMYFUNCTION("""COMPUTED_VALUE"""),"Elite")</f>
        <v>Elite</v>
      </c>
      <c r="B423" s="41" t="str">
        <f>IFERROR(__xludf.DUMMYFUNCTION("""COMPUTED_VALUE"""),"RSC006700")</f>
        <v>RSC006700</v>
      </c>
      <c r="C423" s="41" t="str">
        <f>IFERROR(__xludf.DUMMYFUNCTION("""COMPUTED_VALUE"""),"Terx")</f>
        <v>Terx</v>
      </c>
      <c r="D423" s="41" t="str">
        <f>IFERROR(__xludf.DUMMYFUNCTION("""COMPUTED_VALUE"""),"Krakens")</f>
        <v>Krakens</v>
      </c>
      <c r="E423" s="136">
        <f>IFERROR(__xludf.DUMMYFUNCTION("""COMPUTED_VALUE"""),18.0)</f>
        <v>18</v>
      </c>
      <c r="F423" s="136">
        <f>IFERROR(__xludf.DUMMYFUNCTION("""COMPUTED_VALUE"""),6.0)</f>
        <v>6</v>
      </c>
      <c r="G423" s="136">
        <f>IFERROR(__xludf.DUMMYFUNCTION("""COMPUTED_VALUE"""),12.0)</f>
        <v>12</v>
      </c>
      <c r="H423" s="137">
        <f>IFERROR(__xludf.DUMMYFUNCTION("""COMPUTED_VALUE"""),0.3333333333333333)</f>
        <v>0.3333333333</v>
      </c>
      <c r="I423" s="136">
        <f>IFERROR(__xludf.DUMMYFUNCTION("""COMPUTED_VALUE"""),2.0)</f>
        <v>2</v>
      </c>
      <c r="J423" s="136">
        <f>IFERROR(__xludf.DUMMYFUNCTION("""COMPUTED_VALUE"""),4471.0)</f>
        <v>4471</v>
      </c>
      <c r="K423" s="136">
        <f>IFERROR(__xludf.DUMMYFUNCTION("""COMPUTED_VALUE"""),6.0)</f>
        <v>6</v>
      </c>
      <c r="L423" s="136">
        <f>IFERROR(__xludf.DUMMYFUNCTION("""COMPUTED_VALUE"""),7.0)</f>
        <v>7</v>
      </c>
      <c r="M423" s="136">
        <f>IFERROR(__xludf.DUMMYFUNCTION("""COMPUTED_VALUE"""),24.0)</f>
        <v>24</v>
      </c>
      <c r="N423" s="136">
        <f>IFERROR(__xludf.DUMMYFUNCTION("""COMPUTED_VALUE"""),32.0)</f>
        <v>32</v>
      </c>
      <c r="O423" s="138">
        <f>IFERROR(__xludf.DUMMYFUNCTION("""COMPUTED_VALUE"""),3.0)</f>
        <v>3</v>
      </c>
      <c r="P423" s="138">
        <f>IFERROR(__xludf.DUMMYFUNCTION("""COMPUTED_VALUE"""),0.0)</f>
        <v>0</v>
      </c>
      <c r="Q423" s="138">
        <f>IFERROR(__xludf.DUMMYFUNCTION("""COMPUTED_VALUE"""),0.0)</f>
        <v>0</v>
      </c>
      <c r="R423" s="138">
        <f>IFERROR(__xludf.DUMMYFUNCTION("""COMPUTED_VALUE"""),2.0)</f>
        <v>2</v>
      </c>
      <c r="S423" s="139">
        <f>IFERROR(__xludf.DUMMYFUNCTION("""COMPUTED_VALUE"""),161.0)</f>
        <v>161</v>
      </c>
      <c r="T423" s="140">
        <f>IFERROR(__xludf.DUMMYFUNCTION("""COMPUTED_VALUE"""),59.0)</f>
        <v>59</v>
      </c>
      <c r="U423" s="136">
        <f>IFERROR(__xludf.DUMMYFUNCTION("""COMPUTED_VALUE"""),14.0)</f>
        <v>14</v>
      </c>
      <c r="V423" s="136">
        <f>IFERROR(__xludf.DUMMYFUNCTION("""COMPUTED_VALUE"""),15.0)</f>
        <v>15</v>
      </c>
      <c r="W423" s="136">
        <f>IFERROR(__xludf.DUMMYFUNCTION("""COMPUTED_VALUE"""),19.0)</f>
        <v>19</v>
      </c>
      <c r="X423" s="136">
        <f>IFERROR(__xludf.DUMMYFUNCTION("""COMPUTED_VALUE"""),378.27777777777777)</f>
        <v>378.2777778</v>
      </c>
      <c r="Y423" s="141">
        <f>IFERROR(__xludf.DUMMYFUNCTION("""COMPUTED_VALUE"""),45.113333333333344)</f>
        <v>45.11333333</v>
      </c>
      <c r="Z423" s="141">
        <f>IFERROR(__xludf.DUMMYFUNCTION("""COMPUTED_VALUE"""),2194.1666666666665)</f>
        <v>2194.166667</v>
      </c>
    </row>
    <row r="424">
      <c r="A424" s="41" t="str">
        <f>IFERROR(__xludf.DUMMYFUNCTION("""COMPUTED_VALUE"""),"Elite")</f>
        <v>Elite</v>
      </c>
      <c r="B424" s="41" t="str">
        <f>IFERROR(__xludf.DUMMYFUNCTION("""COMPUTED_VALUE"""),"RSC006713")</f>
        <v>RSC006713</v>
      </c>
      <c r="C424" s="41" t="str">
        <f>IFERROR(__xludf.DUMMYFUNCTION("""COMPUTED_VALUE"""),"SGE Nemesis")</f>
        <v>SGE Nemesis</v>
      </c>
      <c r="D424" s="41" t="str">
        <f>IFERROR(__xludf.DUMMYFUNCTION("""COMPUTED_VALUE"""),"Peerless Scarred")</f>
        <v>Peerless Scarred</v>
      </c>
      <c r="E424" s="136">
        <f>IFERROR(__xludf.DUMMYFUNCTION("""COMPUTED_VALUE"""),53.0)</f>
        <v>53</v>
      </c>
      <c r="F424" s="136">
        <f>IFERROR(__xludf.DUMMYFUNCTION("""COMPUTED_VALUE"""),32.0)</f>
        <v>32</v>
      </c>
      <c r="G424" s="136">
        <f>IFERROR(__xludf.DUMMYFUNCTION("""COMPUTED_VALUE"""),21.0)</f>
        <v>21</v>
      </c>
      <c r="H424" s="137">
        <f>IFERROR(__xludf.DUMMYFUNCTION("""COMPUTED_VALUE"""),0.6037735849056604)</f>
        <v>0.6037735849</v>
      </c>
      <c r="I424" s="136">
        <f>IFERROR(__xludf.DUMMYFUNCTION("""COMPUTED_VALUE"""),9.0)</f>
        <v>9</v>
      </c>
      <c r="J424" s="136">
        <f>IFERROR(__xludf.DUMMYFUNCTION("""COMPUTED_VALUE"""),18398.0)</f>
        <v>18398</v>
      </c>
      <c r="K424" s="136">
        <f>IFERROR(__xludf.DUMMYFUNCTION("""COMPUTED_VALUE"""),43.0)</f>
        <v>43</v>
      </c>
      <c r="L424" s="136">
        <f>IFERROR(__xludf.DUMMYFUNCTION("""COMPUTED_VALUE"""),34.0)</f>
        <v>34</v>
      </c>
      <c r="M424" s="136">
        <f>IFERROR(__xludf.DUMMYFUNCTION("""COMPUTED_VALUE"""),73.0)</f>
        <v>73</v>
      </c>
      <c r="N424" s="136">
        <f>IFERROR(__xludf.DUMMYFUNCTION("""COMPUTED_VALUE"""),125.0)</f>
        <v>125</v>
      </c>
      <c r="O424" s="138">
        <f>IFERROR(__xludf.DUMMYFUNCTION("""COMPUTED_VALUE"""),12.0)</f>
        <v>12</v>
      </c>
      <c r="P424" s="138">
        <f>IFERROR(__xludf.DUMMYFUNCTION("""COMPUTED_VALUE"""),3.0)</f>
        <v>3</v>
      </c>
      <c r="Q424" s="138">
        <f>IFERROR(__xludf.DUMMYFUNCTION("""COMPUTED_VALUE"""),1.0)</f>
        <v>1</v>
      </c>
      <c r="R424" s="138">
        <f>IFERROR(__xludf.DUMMYFUNCTION("""COMPUTED_VALUE"""),10.0)</f>
        <v>10</v>
      </c>
      <c r="S424" s="139">
        <f>IFERROR(__xludf.DUMMYFUNCTION("""COMPUTED_VALUE"""),405.0)</f>
        <v>405</v>
      </c>
      <c r="T424" s="140">
        <f>IFERROR(__xludf.DUMMYFUNCTION("""COMPUTED_VALUE"""),112.0)</f>
        <v>112</v>
      </c>
      <c r="U424" s="136">
        <f>IFERROR(__xludf.DUMMYFUNCTION("""COMPUTED_VALUE"""),39.0)</f>
        <v>39</v>
      </c>
      <c r="V424" s="136">
        <f>IFERROR(__xludf.DUMMYFUNCTION("""COMPUTED_VALUE"""),83.0)</f>
        <v>83</v>
      </c>
      <c r="W424" s="136">
        <f>IFERROR(__xludf.DUMMYFUNCTION("""COMPUTED_VALUE"""),58.0)</f>
        <v>58</v>
      </c>
      <c r="X424" s="136">
        <f>IFERROR(__xludf.DUMMYFUNCTION("""COMPUTED_VALUE"""),409.77358490566036)</f>
        <v>409.7735849</v>
      </c>
      <c r="Y424" s="141">
        <f>IFERROR(__xludf.DUMMYFUNCTION("""COMPUTED_VALUE"""),48.58867924528302)</f>
        <v>48.58867925</v>
      </c>
      <c r="Z424" s="141">
        <f>IFERROR(__xludf.DUMMYFUNCTION("""COMPUTED_VALUE"""),2488.754716981132)</f>
        <v>2488.754717</v>
      </c>
    </row>
    <row r="425">
      <c r="A425" s="41" t="str">
        <f>IFERROR(__xludf.DUMMYFUNCTION("""COMPUTED_VALUE"""),"Elite")</f>
        <v>Elite</v>
      </c>
      <c r="B425" s="41" t="str">
        <f>IFERROR(__xludf.DUMMYFUNCTION("""COMPUTED_VALUE"""),"RSC006723")</f>
        <v>RSC006723</v>
      </c>
      <c r="C425" s="41" t="str">
        <f>IFERROR(__xludf.DUMMYFUNCTION("""COMPUTED_VALUE"""),"ROCK_Sause")</f>
        <v>ROCK_Sause</v>
      </c>
      <c r="D425" s="41" t="str">
        <f>IFERROR(__xludf.DUMMYFUNCTION("""COMPUTED_VALUE"""),"Thrashers
Afterburners
Immortals")</f>
        <v>Thrashers
Afterburners
Immortals</v>
      </c>
      <c r="E425" s="136">
        <f>IFERROR(__xludf.DUMMYFUNCTION("""COMPUTED_VALUE"""),48.0)</f>
        <v>48</v>
      </c>
      <c r="F425" s="136">
        <f>IFERROR(__xludf.DUMMYFUNCTION("""COMPUTED_VALUE"""),16.0)</f>
        <v>16</v>
      </c>
      <c r="G425" s="136">
        <f>IFERROR(__xludf.DUMMYFUNCTION("""COMPUTED_VALUE"""),32.0)</f>
        <v>32</v>
      </c>
      <c r="H425" s="137">
        <f>IFERROR(__xludf.DUMMYFUNCTION("""COMPUTED_VALUE"""),0.3333333333333333)</f>
        <v>0.3333333333</v>
      </c>
      <c r="I425" s="136">
        <f>IFERROR(__xludf.DUMMYFUNCTION("""COMPUTED_VALUE"""),5.0)</f>
        <v>5</v>
      </c>
      <c r="J425" s="136">
        <f>IFERROR(__xludf.DUMMYFUNCTION("""COMPUTED_VALUE"""),17925.0)</f>
        <v>17925</v>
      </c>
      <c r="K425" s="136">
        <f>IFERROR(__xludf.DUMMYFUNCTION("""COMPUTED_VALUE"""),37.0)</f>
        <v>37</v>
      </c>
      <c r="L425" s="136">
        <f>IFERROR(__xludf.DUMMYFUNCTION("""COMPUTED_VALUE"""),21.0)</f>
        <v>21</v>
      </c>
      <c r="M425" s="136">
        <f>IFERROR(__xludf.DUMMYFUNCTION("""COMPUTED_VALUE"""),74.0)</f>
        <v>74</v>
      </c>
      <c r="N425" s="136">
        <f>IFERROR(__xludf.DUMMYFUNCTION("""COMPUTED_VALUE"""),146.0)</f>
        <v>146</v>
      </c>
      <c r="O425" s="138">
        <f>IFERROR(__xludf.DUMMYFUNCTION("""COMPUTED_VALUE"""),6.0)</f>
        <v>6</v>
      </c>
      <c r="P425" s="138">
        <f>IFERROR(__xludf.DUMMYFUNCTION("""COMPUTED_VALUE"""),4.0)</f>
        <v>4</v>
      </c>
      <c r="Q425" s="138">
        <f>IFERROR(__xludf.DUMMYFUNCTION("""COMPUTED_VALUE"""),0.0)</f>
        <v>0</v>
      </c>
      <c r="R425" s="138">
        <f>IFERROR(__xludf.DUMMYFUNCTION("""COMPUTED_VALUE"""),10.0)</f>
        <v>10</v>
      </c>
      <c r="S425" s="139">
        <f>IFERROR(__xludf.DUMMYFUNCTION("""COMPUTED_VALUE"""),415.0)</f>
        <v>415</v>
      </c>
      <c r="T425" s="140">
        <f>IFERROR(__xludf.DUMMYFUNCTION("""COMPUTED_VALUE"""),140.0)</f>
        <v>140</v>
      </c>
      <c r="U425" s="136">
        <f>IFERROR(__xludf.DUMMYFUNCTION("""COMPUTED_VALUE"""),51.0)</f>
        <v>51</v>
      </c>
      <c r="V425" s="136">
        <f>IFERROR(__xludf.DUMMYFUNCTION("""COMPUTED_VALUE"""),58.0)</f>
        <v>58</v>
      </c>
      <c r="W425" s="136">
        <f>IFERROR(__xludf.DUMMYFUNCTION("""COMPUTED_VALUE"""),55.0)</f>
        <v>55</v>
      </c>
      <c r="X425" s="136">
        <f>IFERROR(__xludf.DUMMYFUNCTION("""COMPUTED_VALUE"""),395.6666666666667)</f>
        <v>395.6666667</v>
      </c>
      <c r="Y425" s="141">
        <f>IFERROR(__xludf.DUMMYFUNCTION("""COMPUTED_VALUE"""),44.754166666666656)</f>
        <v>44.75416667</v>
      </c>
      <c r="Z425" s="141">
        <f>IFERROR(__xludf.DUMMYFUNCTION("""COMPUTED_VALUE"""),2435.1458333333335)</f>
        <v>2435.145833</v>
      </c>
    </row>
    <row r="426">
      <c r="A426" s="41" t="str">
        <f>IFERROR(__xludf.DUMMYFUNCTION("""COMPUTED_VALUE"""),"Rival")</f>
        <v>Rival</v>
      </c>
      <c r="B426" s="41" t="str">
        <f>IFERROR(__xludf.DUMMYFUNCTION("""COMPUTED_VALUE"""),"RSC006733")</f>
        <v>RSC006733</v>
      </c>
      <c r="C426" s="41" t="str">
        <f>IFERROR(__xludf.DUMMYFUNCTION("""COMPUTED_VALUE"""),"RL Rust")</f>
        <v>RL Rust</v>
      </c>
      <c r="D426" s="41" t="str">
        <f>IFERROR(__xludf.DUMMYFUNCTION("""COMPUTED_VALUE"""),"Primo")</f>
        <v>Primo</v>
      </c>
      <c r="E426" s="136">
        <f>IFERROR(__xludf.DUMMYFUNCTION("""COMPUTED_VALUE"""),56.0)</f>
        <v>56</v>
      </c>
      <c r="F426" s="136">
        <f>IFERROR(__xludf.DUMMYFUNCTION("""COMPUTED_VALUE"""),35.0)</f>
        <v>35</v>
      </c>
      <c r="G426" s="136">
        <f>IFERROR(__xludf.DUMMYFUNCTION("""COMPUTED_VALUE"""),21.0)</f>
        <v>21</v>
      </c>
      <c r="H426" s="137">
        <f>IFERROR(__xludf.DUMMYFUNCTION("""COMPUTED_VALUE"""),0.625)</f>
        <v>0.625</v>
      </c>
      <c r="I426" s="136">
        <f>IFERROR(__xludf.DUMMYFUNCTION("""COMPUTED_VALUE"""),15.0)</f>
        <v>15</v>
      </c>
      <c r="J426" s="136">
        <f>IFERROR(__xludf.DUMMYFUNCTION("""COMPUTED_VALUE"""),24307.0)</f>
        <v>24307</v>
      </c>
      <c r="K426" s="136">
        <f>IFERROR(__xludf.DUMMYFUNCTION("""COMPUTED_VALUE"""),58.0)</f>
        <v>58</v>
      </c>
      <c r="L426" s="136">
        <f>IFERROR(__xludf.DUMMYFUNCTION("""COMPUTED_VALUE"""),43.0)</f>
        <v>43</v>
      </c>
      <c r="M426" s="136">
        <f>IFERROR(__xludf.DUMMYFUNCTION("""COMPUTED_VALUE"""),76.0)</f>
        <v>76</v>
      </c>
      <c r="N426" s="136">
        <f>IFERROR(__xludf.DUMMYFUNCTION("""COMPUTED_VALUE"""),179.0)</f>
        <v>179</v>
      </c>
      <c r="O426" s="138">
        <f>IFERROR(__xludf.DUMMYFUNCTION("""COMPUTED_VALUE"""),10.0)</f>
        <v>10</v>
      </c>
      <c r="P426" s="138">
        <f>IFERROR(__xludf.DUMMYFUNCTION("""COMPUTED_VALUE"""),6.0)</f>
        <v>6</v>
      </c>
      <c r="Q426" s="138">
        <f>IFERROR(__xludf.DUMMYFUNCTION("""COMPUTED_VALUE"""),3.0)</f>
        <v>3</v>
      </c>
      <c r="R426" s="138">
        <f>IFERROR(__xludf.DUMMYFUNCTION("""COMPUTED_VALUE"""),8.0)</f>
        <v>8</v>
      </c>
      <c r="S426" s="139">
        <f>IFERROR(__xludf.DUMMYFUNCTION("""COMPUTED_VALUE"""),342.0)</f>
        <v>342</v>
      </c>
      <c r="T426" s="140">
        <f>IFERROR(__xludf.DUMMYFUNCTION("""COMPUTED_VALUE"""),99.0)</f>
        <v>99</v>
      </c>
      <c r="U426" s="136">
        <f>IFERROR(__xludf.DUMMYFUNCTION("""COMPUTED_VALUE"""),32.0)</f>
        <v>32</v>
      </c>
      <c r="V426" s="136">
        <f>IFERROR(__xludf.DUMMYFUNCTION("""COMPUTED_VALUE"""),84.0)</f>
        <v>84</v>
      </c>
      <c r="W426" s="136">
        <f>IFERROR(__xludf.DUMMYFUNCTION("""COMPUTED_VALUE"""),39.0)</f>
        <v>39</v>
      </c>
      <c r="X426" s="136">
        <f>IFERROR(__xludf.DUMMYFUNCTION("""COMPUTED_VALUE"""),410.32142857142856)</f>
        <v>410.3214286</v>
      </c>
      <c r="Y426" s="141">
        <f>IFERROR(__xludf.DUMMYFUNCTION("""COMPUTED_VALUE"""),50.326071428571424)</f>
        <v>50.32607143</v>
      </c>
      <c r="Z426" s="141">
        <f>IFERROR(__xludf.DUMMYFUNCTION("""COMPUTED_VALUE"""),2523.3928571428573)</f>
        <v>2523.392857</v>
      </c>
    </row>
    <row r="427">
      <c r="A427" s="41" t="str">
        <f>IFERROR(__xludf.DUMMYFUNCTION("""COMPUTED_VALUE"""),"Rival")</f>
        <v>Rival</v>
      </c>
      <c r="B427" s="41" t="str">
        <f>IFERROR(__xludf.DUMMYFUNCTION("""COMPUTED_VALUE"""),"RSC006747")</f>
        <v>RSC006747</v>
      </c>
      <c r="C427" s="41" t="str">
        <f>IFERROR(__xludf.DUMMYFUNCTION("""COMPUTED_VALUE"""),"Panda")</f>
        <v>Panda</v>
      </c>
      <c r="D427" s="41" t="str">
        <f>IFERROR(__xludf.DUMMYFUNCTION("""COMPUTED_VALUE"""),"Ocelots")</f>
        <v>Ocelots</v>
      </c>
      <c r="E427" s="136">
        <f>IFERROR(__xludf.DUMMYFUNCTION("""COMPUTED_VALUE"""),44.0)</f>
        <v>44</v>
      </c>
      <c r="F427" s="136">
        <f>IFERROR(__xludf.DUMMYFUNCTION("""COMPUTED_VALUE"""),20.0)</f>
        <v>20</v>
      </c>
      <c r="G427" s="136">
        <f>IFERROR(__xludf.DUMMYFUNCTION("""COMPUTED_VALUE"""),24.0)</f>
        <v>24</v>
      </c>
      <c r="H427" s="137">
        <f>IFERROR(__xludf.DUMMYFUNCTION("""COMPUTED_VALUE"""),0.45454545454545453)</f>
        <v>0.4545454545</v>
      </c>
      <c r="I427" s="136">
        <f>IFERROR(__xludf.DUMMYFUNCTION("""COMPUTED_VALUE"""),1.0)</f>
        <v>1</v>
      </c>
      <c r="J427" s="136">
        <f>IFERROR(__xludf.DUMMYFUNCTION("""COMPUTED_VALUE"""),10394.0)</f>
        <v>10394</v>
      </c>
      <c r="K427" s="136">
        <f>IFERROR(__xludf.DUMMYFUNCTION("""COMPUTED_VALUE"""),24.0)</f>
        <v>24</v>
      </c>
      <c r="L427" s="136">
        <f>IFERROR(__xludf.DUMMYFUNCTION("""COMPUTED_VALUE"""),18.0)</f>
        <v>18</v>
      </c>
      <c r="M427" s="136">
        <f>IFERROR(__xludf.DUMMYFUNCTION("""COMPUTED_VALUE"""),33.0)</f>
        <v>33</v>
      </c>
      <c r="N427" s="136">
        <f>IFERROR(__xludf.DUMMYFUNCTION("""COMPUTED_VALUE"""),68.0)</f>
        <v>68</v>
      </c>
      <c r="O427" s="138">
        <f>IFERROR(__xludf.DUMMYFUNCTION("""COMPUTED_VALUE"""),6.0)</f>
        <v>6</v>
      </c>
      <c r="P427" s="138">
        <f>IFERROR(__xludf.DUMMYFUNCTION("""COMPUTED_VALUE"""),1.0)</f>
        <v>1</v>
      </c>
      <c r="Q427" s="138">
        <f>IFERROR(__xludf.DUMMYFUNCTION("""COMPUTED_VALUE"""),0.0)</f>
        <v>0</v>
      </c>
      <c r="R427" s="138">
        <f>IFERROR(__xludf.DUMMYFUNCTION("""COMPUTED_VALUE"""),0.0)</f>
        <v>0</v>
      </c>
      <c r="S427" s="139">
        <f>IFERROR(__xludf.DUMMYFUNCTION("""COMPUTED_VALUE"""),358.0)</f>
        <v>358</v>
      </c>
      <c r="T427" s="140">
        <f>IFERROR(__xludf.DUMMYFUNCTION("""COMPUTED_VALUE"""),120.0)</f>
        <v>120</v>
      </c>
      <c r="U427" s="136">
        <f>IFERROR(__xludf.DUMMYFUNCTION("""COMPUTED_VALUE"""),23.0)</f>
        <v>23</v>
      </c>
      <c r="V427" s="136">
        <f>IFERROR(__xludf.DUMMYFUNCTION("""COMPUTED_VALUE"""),72.0)</f>
        <v>72</v>
      </c>
      <c r="W427" s="136">
        <f>IFERROR(__xludf.DUMMYFUNCTION("""COMPUTED_VALUE"""),36.0)</f>
        <v>36</v>
      </c>
      <c r="X427" s="136">
        <f>IFERROR(__xludf.DUMMYFUNCTION("""COMPUTED_VALUE"""),345.27272727272725)</f>
        <v>345.2727273</v>
      </c>
      <c r="Y427" s="141">
        <f>IFERROR(__xludf.DUMMYFUNCTION("""COMPUTED_VALUE"""),47.50727272727272)</f>
        <v>47.50727273</v>
      </c>
      <c r="Z427" s="141">
        <f>IFERROR(__xludf.DUMMYFUNCTION("""COMPUTED_VALUE"""),2067.7954545454545)</f>
        <v>2067.795455</v>
      </c>
    </row>
    <row r="428">
      <c r="A428" s="41" t="str">
        <f>IFERROR(__xludf.DUMMYFUNCTION("""COMPUTED_VALUE"""),"Rival")</f>
        <v>Rival</v>
      </c>
      <c r="B428" s="41" t="str">
        <f>IFERROR(__xludf.DUMMYFUNCTION("""COMPUTED_VALUE"""),"RSC006748")</f>
        <v>RSC006748</v>
      </c>
      <c r="C428" s="41" t="str">
        <f>IFERROR(__xludf.DUMMYFUNCTION("""COMPUTED_VALUE"""),"Llamaboy101")</f>
        <v>Llamaboy101</v>
      </c>
      <c r="D428" s="41" t="str">
        <f>IFERROR(__xludf.DUMMYFUNCTION("""COMPUTED_VALUE"""),"Guards")</f>
        <v>Guards</v>
      </c>
      <c r="E428" s="136">
        <f>IFERROR(__xludf.DUMMYFUNCTION("""COMPUTED_VALUE"""),24.0)</f>
        <v>24</v>
      </c>
      <c r="F428" s="136">
        <f>IFERROR(__xludf.DUMMYFUNCTION("""COMPUTED_VALUE"""),12.0)</f>
        <v>12</v>
      </c>
      <c r="G428" s="136">
        <f>IFERROR(__xludf.DUMMYFUNCTION("""COMPUTED_VALUE"""),12.0)</f>
        <v>12</v>
      </c>
      <c r="H428" s="137">
        <f>IFERROR(__xludf.DUMMYFUNCTION("""COMPUTED_VALUE"""),0.5)</f>
        <v>0.5</v>
      </c>
      <c r="I428" s="136">
        <f>IFERROR(__xludf.DUMMYFUNCTION("""COMPUTED_VALUE"""),7.0)</f>
        <v>7</v>
      </c>
      <c r="J428" s="136">
        <f>IFERROR(__xludf.DUMMYFUNCTION("""COMPUTED_VALUE"""),8200.0)</f>
        <v>8200</v>
      </c>
      <c r="K428" s="136">
        <f>IFERROR(__xludf.DUMMYFUNCTION("""COMPUTED_VALUE"""),19.0)</f>
        <v>19</v>
      </c>
      <c r="L428" s="136">
        <f>IFERROR(__xludf.DUMMYFUNCTION("""COMPUTED_VALUE"""),13.0)</f>
        <v>13</v>
      </c>
      <c r="M428" s="136">
        <f>IFERROR(__xludf.DUMMYFUNCTION("""COMPUTED_VALUE"""),33.0)</f>
        <v>33</v>
      </c>
      <c r="N428" s="136">
        <f>IFERROR(__xludf.DUMMYFUNCTION("""COMPUTED_VALUE"""),50.0)</f>
        <v>50</v>
      </c>
      <c r="O428" s="138">
        <f>IFERROR(__xludf.DUMMYFUNCTION("""COMPUTED_VALUE"""),5.0)</f>
        <v>5</v>
      </c>
      <c r="P428" s="138">
        <f>IFERROR(__xludf.DUMMYFUNCTION("""COMPUTED_VALUE"""),0.0)</f>
        <v>0</v>
      </c>
      <c r="Q428" s="138">
        <f>IFERROR(__xludf.DUMMYFUNCTION("""COMPUTED_VALUE"""),0.0)</f>
        <v>0</v>
      </c>
      <c r="R428" s="138">
        <f>IFERROR(__xludf.DUMMYFUNCTION("""COMPUTED_VALUE"""),1.0)</f>
        <v>1</v>
      </c>
      <c r="S428" s="139">
        <f>IFERROR(__xludf.DUMMYFUNCTION("""COMPUTED_VALUE"""),187.0)</f>
        <v>187</v>
      </c>
      <c r="T428" s="140">
        <f>IFERROR(__xludf.DUMMYFUNCTION("""COMPUTED_VALUE"""),65.0)</f>
        <v>65</v>
      </c>
      <c r="U428" s="136">
        <f>IFERROR(__xludf.DUMMYFUNCTION("""COMPUTED_VALUE"""),20.0)</f>
        <v>20</v>
      </c>
      <c r="V428" s="136">
        <f>IFERROR(__xludf.DUMMYFUNCTION("""COMPUTED_VALUE"""),24.0)</f>
        <v>24</v>
      </c>
      <c r="W428" s="136">
        <f>IFERROR(__xludf.DUMMYFUNCTION("""COMPUTED_VALUE"""),33.0)</f>
        <v>33</v>
      </c>
      <c r="X428" s="136">
        <f>IFERROR(__xludf.DUMMYFUNCTION("""COMPUTED_VALUE"""),331.7083333333333)</f>
        <v>331.7083333</v>
      </c>
      <c r="Y428" s="141">
        <f>IFERROR(__xludf.DUMMYFUNCTION("""COMPUTED_VALUE"""),50.84833333333333)</f>
        <v>50.84833333</v>
      </c>
      <c r="Z428" s="141">
        <f>IFERROR(__xludf.DUMMYFUNCTION("""COMPUTED_VALUE"""),2094.7083333333335)</f>
        <v>2094.708333</v>
      </c>
    </row>
    <row r="429">
      <c r="A429" s="41" t="str">
        <f>IFERROR(__xludf.DUMMYFUNCTION("""COMPUTED_VALUE"""),"Rival")</f>
        <v>Rival</v>
      </c>
      <c r="B429" s="41" t="str">
        <f>IFERROR(__xludf.DUMMYFUNCTION("""COMPUTED_VALUE"""),"RSC006753")</f>
        <v>RSC006753</v>
      </c>
      <c r="C429" s="41" t="str">
        <f>IFERROR(__xludf.DUMMYFUNCTION("""COMPUTED_VALUE"""),"wakinguptomoney.")</f>
        <v>wakinguptomoney.</v>
      </c>
      <c r="D429" s="41" t="str">
        <f>IFERROR(__xludf.DUMMYFUNCTION("""COMPUTED_VALUE"""),"Ocelots")</f>
        <v>Ocelots</v>
      </c>
      <c r="E429" s="136">
        <f>IFERROR(__xludf.DUMMYFUNCTION("""COMPUTED_VALUE"""),13.0)</f>
        <v>13</v>
      </c>
      <c r="F429" s="136">
        <f>IFERROR(__xludf.DUMMYFUNCTION("""COMPUTED_VALUE"""),6.0)</f>
        <v>6</v>
      </c>
      <c r="G429" s="136">
        <f>IFERROR(__xludf.DUMMYFUNCTION("""COMPUTED_VALUE"""),7.0)</f>
        <v>7</v>
      </c>
      <c r="H429" s="137">
        <f>IFERROR(__xludf.DUMMYFUNCTION("""COMPUTED_VALUE"""),0.46153846153846156)</f>
        <v>0.4615384615</v>
      </c>
      <c r="I429" s="136">
        <f>IFERROR(__xludf.DUMMYFUNCTION("""COMPUTED_VALUE"""),2.0)</f>
        <v>2</v>
      </c>
      <c r="J429" s="136">
        <f>IFERROR(__xludf.DUMMYFUNCTION("""COMPUTED_VALUE"""),4108.0)</f>
        <v>4108</v>
      </c>
      <c r="K429" s="136">
        <f>IFERROR(__xludf.DUMMYFUNCTION("""COMPUTED_VALUE"""),12.0)</f>
        <v>12</v>
      </c>
      <c r="L429" s="136">
        <f>IFERROR(__xludf.DUMMYFUNCTION("""COMPUTED_VALUE"""),5.0)</f>
        <v>5</v>
      </c>
      <c r="M429" s="136">
        <f>IFERROR(__xludf.DUMMYFUNCTION("""COMPUTED_VALUE"""),11.0)</f>
        <v>11</v>
      </c>
      <c r="N429" s="136">
        <f>IFERROR(__xludf.DUMMYFUNCTION("""COMPUTED_VALUE"""),29.0)</f>
        <v>29</v>
      </c>
      <c r="O429" s="138">
        <f>IFERROR(__xludf.DUMMYFUNCTION("""COMPUTED_VALUE"""),2.0)</f>
        <v>2</v>
      </c>
      <c r="P429" s="138">
        <f>IFERROR(__xludf.DUMMYFUNCTION("""COMPUTED_VALUE"""),0.0)</f>
        <v>0</v>
      </c>
      <c r="Q429" s="138">
        <f>IFERROR(__xludf.DUMMYFUNCTION("""COMPUTED_VALUE"""),0.0)</f>
        <v>0</v>
      </c>
      <c r="R429" s="138">
        <f>IFERROR(__xludf.DUMMYFUNCTION("""COMPUTED_VALUE"""),0.0)</f>
        <v>0</v>
      </c>
      <c r="S429" s="139">
        <f>IFERROR(__xludf.DUMMYFUNCTION("""COMPUTED_VALUE"""),103.0)</f>
        <v>103</v>
      </c>
      <c r="T429" s="140">
        <f>IFERROR(__xludf.DUMMYFUNCTION("""COMPUTED_VALUE"""),37.0)</f>
        <v>37</v>
      </c>
      <c r="U429" s="136">
        <f>IFERROR(__xludf.DUMMYFUNCTION("""COMPUTED_VALUE"""),17.0)</f>
        <v>17</v>
      </c>
      <c r="V429" s="136">
        <f>IFERROR(__xludf.DUMMYFUNCTION("""COMPUTED_VALUE"""),8.0)</f>
        <v>8</v>
      </c>
      <c r="W429" s="136">
        <f>IFERROR(__xludf.DUMMYFUNCTION("""COMPUTED_VALUE"""),13.0)</f>
        <v>13</v>
      </c>
      <c r="X429" s="136">
        <f>IFERROR(__xludf.DUMMYFUNCTION("""COMPUTED_VALUE"""),420.3076923076923)</f>
        <v>420.3076923</v>
      </c>
      <c r="Y429" s="141">
        <f>IFERROR(__xludf.DUMMYFUNCTION("""COMPUTED_VALUE"""),49.11153846153846)</f>
        <v>49.11153846</v>
      </c>
      <c r="Z429" s="141">
        <f>IFERROR(__xludf.DUMMYFUNCTION("""COMPUTED_VALUE"""),2281.230769230769)</f>
        <v>2281.230769</v>
      </c>
    </row>
    <row r="430">
      <c r="A430" s="41" t="str">
        <f>IFERROR(__xludf.DUMMYFUNCTION("""COMPUTED_VALUE"""),"Rival")</f>
        <v>Rival</v>
      </c>
      <c r="B430" s="41" t="str">
        <f>IFERROR(__xludf.DUMMYFUNCTION("""COMPUTED_VALUE"""),"RSC006755")</f>
        <v>RSC006755</v>
      </c>
      <c r="C430" s="41" t="str">
        <f>IFERROR(__xludf.DUMMYFUNCTION("""COMPUTED_VALUE"""),"Fox_gt_400")</f>
        <v>Fox_gt_400</v>
      </c>
      <c r="D430" s="41" t="str">
        <f>IFERROR(__xludf.DUMMYFUNCTION("""COMPUTED_VALUE"""),"Gaboons")</f>
        <v>Gaboons</v>
      </c>
      <c r="E430" s="136">
        <f>IFERROR(__xludf.DUMMYFUNCTION("""COMPUTED_VALUE"""),4.0)</f>
        <v>4</v>
      </c>
      <c r="F430" s="136">
        <f>IFERROR(__xludf.DUMMYFUNCTION("""COMPUTED_VALUE"""),0.0)</f>
        <v>0</v>
      </c>
      <c r="G430" s="136">
        <f>IFERROR(__xludf.DUMMYFUNCTION("""COMPUTED_VALUE"""),4.0)</f>
        <v>4</v>
      </c>
      <c r="H430" s="137">
        <f>IFERROR(__xludf.DUMMYFUNCTION("""COMPUTED_VALUE"""),0.0)</f>
        <v>0</v>
      </c>
      <c r="I430" s="136">
        <f>IFERROR(__xludf.DUMMYFUNCTION("""COMPUTED_VALUE"""),0.0)</f>
        <v>0</v>
      </c>
      <c r="J430" s="136">
        <f>IFERROR(__xludf.DUMMYFUNCTION("""COMPUTED_VALUE"""),1201.0)</f>
        <v>1201</v>
      </c>
      <c r="K430" s="136">
        <f>IFERROR(__xludf.DUMMYFUNCTION("""COMPUTED_VALUE"""),2.0)</f>
        <v>2</v>
      </c>
      <c r="L430" s="136">
        <f>IFERROR(__xludf.DUMMYFUNCTION("""COMPUTED_VALUE"""),3.0)</f>
        <v>3</v>
      </c>
      <c r="M430" s="136">
        <f>IFERROR(__xludf.DUMMYFUNCTION("""COMPUTED_VALUE"""),6.0)</f>
        <v>6</v>
      </c>
      <c r="N430" s="136">
        <f>IFERROR(__xludf.DUMMYFUNCTION("""COMPUTED_VALUE"""),6.0)</f>
        <v>6</v>
      </c>
      <c r="O430" s="138">
        <f>IFERROR(__xludf.DUMMYFUNCTION("""COMPUTED_VALUE"""),0.0)</f>
        <v>0</v>
      </c>
      <c r="P430" s="138">
        <f>IFERROR(__xludf.DUMMYFUNCTION("""COMPUTED_VALUE"""),0.0)</f>
        <v>0</v>
      </c>
      <c r="Q430" s="138">
        <f>IFERROR(__xludf.DUMMYFUNCTION("""COMPUTED_VALUE"""),0.0)</f>
        <v>0</v>
      </c>
      <c r="R430" s="138">
        <f>IFERROR(__xludf.DUMMYFUNCTION("""COMPUTED_VALUE"""),1.0)</f>
        <v>1</v>
      </c>
      <c r="S430" s="139">
        <f>IFERROR(__xludf.DUMMYFUNCTION("""COMPUTED_VALUE"""),46.0)</f>
        <v>46</v>
      </c>
      <c r="T430" s="140">
        <f>IFERROR(__xludf.DUMMYFUNCTION("""COMPUTED_VALUE"""),15.0)</f>
        <v>15</v>
      </c>
      <c r="U430" s="136">
        <f>IFERROR(__xludf.DUMMYFUNCTION("""COMPUTED_VALUE"""),6.0)</f>
        <v>6</v>
      </c>
      <c r="V430" s="136">
        <f>IFERROR(__xludf.DUMMYFUNCTION("""COMPUTED_VALUE"""),1.0)</f>
        <v>1</v>
      </c>
      <c r="W430" s="136">
        <f>IFERROR(__xludf.DUMMYFUNCTION("""COMPUTED_VALUE"""),6.0)</f>
        <v>6</v>
      </c>
      <c r="X430" s="136"/>
      <c r="Y430" s="41"/>
      <c r="Z430" s="41"/>
    </row>
    <row r="431">
      <c r="A431" s="41" t="str">
        <f>IFERROR(__xludf.DUMMYFUNCTION("""COMPUTED_VALUE"""),"Challenger")</f>
        <v>Challenger</v>
      </c>
      <c r="B431" s="41" t="str">
        <f>IFERROR(__xludf.DUMMYFUNCTION("""COMPUTED_VALUE"""),"RSC006755")</f>
        <v>RSC006755</v>
      </c>
      <c r="C431" s="41" t="str">
        <f>IFERROR(__xludf.DUMMYFUNCTION("""COMPUTED_VALUE"""),"Fox_gt_400")</f>
        <v>Fox_gt_400</v>
      </c>
      <c r="D431" s="41" t="str">
        <f>IFERROR(__xludf.DUMMYFUNCTION("""COMPUTED_VALUE"""),"Spearmint
Corals
Jinyiwei")</f>
        <v>Spearmint
Corals
Jinyiwei</v>
      </c>
      <c r="E431" s="136">
        <f>IFERROR(__xludf.DUMMYFUNCTION("""COMPUTED_VALUE"""),29.0)</f>
        <v>29</v>
      </c>
      <c r="F431" s="136">
        <f>IFERROR(__xludf.DUMMYFUNCTION("""COMPUTED_VALUE"""),11.0)</f>
        <v>11</v>
      </c>
      <c r="G431" s="136">
        <f>IFERROR(__xludf.DUMMYFUNCTION("""COMPUTED_VALUE"""),18.0)</f>
        <v>18</v>
      </c>
      <c r="H431" s="137">
        <f>IFERROR(__xludf.DUMMYFUNCTION("""COMPUTED_VALUE"""),0.3793103448275862)</f>
        <v>0.3793103448</v>
      </c>
      <c r="I431" s="136">
        <f>IFERROR(__xludf.DUMMYFUNCTION("""COMPUTED_VALUE"""),1.0)</f>
        <v>1</v>
      </c>
      <c r="J431" s="136">
        <f>IFERROR(__xludf.DUMMYFUNCTION("""COMPUTED_VALUE"""),8604.0)</f>
        <v>8604</v>
      </c>
      <c r="K431" s="136">
        <f>IFERROR(__xludf.DUMMYFUNCTION("""COMPUTED_VALUE"""),21.0)</f>
        <v>21</v>
      </c>
      <c r="L431" s="136">
        <f>IFERROR(__xludf.DUMMYFUNCTION("""COMPUTED_VALUE"""),10.0)</f>
        <v>10</v>
      </c>
      <c r="M431" s="136">
        <f>IFERROR(__xludf.DUMMYFUNCTION("""COMPUTED_VALUE"""),33.0)</f>
        <v>33</v>
      </c>
      <c r="N431" s="136">
        <f>IFERROR(__xludf.DUMMYFUNCTION("""COMPUTED_VALUE"""),62.0)</f>
        <v>62</v>
      </c>
      <c r="O431" s="138">
        <f>IFERROR(__xludf.DUMMYFUNCTION("""COMPUTED_VALUE"""),7.0)</f>
        <v>7</v>
      </c>
      <c r="P431" s="138">
        <f>IFERROR(__xludf.DUMMYFUNCTION("""COMPUTED_VALUE"""),0.0)</f>
        <v>0</v>
      </c>
      <c r="Q431" s="138">
        <f>IFERROR(__xludf.DUMMYFUNCTION("""COMPUTED_VALUE"""),0.0)</f>
        <v>0</v>
      </c>
      <c r="R431" s="138">
        <f>IFERROR(__xludf.DUMMYFUNCTION("""COMPUTED_VALUE"""),2.0)</f>
        <v>2</v>
      </c>
      <c r="S431" s="139">
        <f>IFERROR(__xludf.DUMMYFUNCTION("""COMPUTED_VALUE"""),205.0)</f>
        <v>205</v>
      </c>
      <c r="T431" s="140">
        <f>IFERROR(__xludf.DUMMYFUNCTION("""COMPUTED_VALUE"""),76.0)</f>
        <v>76</v>
      </c>
      <c r="U431" s="136">
        <f>IFERROR(__xludf.DUMMYFUNCTION("""COMPUTED_VALUE"""),23.0)</f>
        <v>23</v>
      </c>
      <c r="V431" s="136">
        <f>IFERROR(__xludf.DUMMYFUNCTION("""COMPUTED_VALUE"""),5.0)</f>
        <v>5</v>
      </c>
      <c r="W431" s="136">
        <f>IFERROR(__xludf.DUMMYFUNCTION("""COMPUTED_VALUE"""),32.0)</f>
        <v>32</v>
      </c>
      <c r="X431" s="136">
        <f>IFERROR(__xludf.DUMMYFUNCTION("""COMPUTED_VALUE"""),292.2413793103448)</f>
        <v>292.2413793</v>
      </c>
      <c r="Y431" s="141">
        <f>IFERROR(__xludf.DUMMYFUNCTION("""COMPUTED_VALUE"""),52.924137931034494)</f>
        <v>52.92413793</v>
      </c>
      <c r="Z431" s="141">
        <f>IFERROR(__xludf.DUMMYFUNCTION("""COMPUTED_VALUE"""),1762.4137931034484)</f>
        <v>1762.413793</v>
      </c>
    </row>
    <row r="432">
      <c r="A432" s="41" t="str">
        <f>IFERROR(__xludf.DUMMYFUNCTION("""COMPUTED_VALUE"""),"Challenger")</f>
        <v>Challenger</v>
      </c>
      <c r="B432" s="41" t="str">
        <f>IFERROR(__xludf.DUMMYFUNCTION("""COMPUTED_VALUE"""),"RSC006758")</f>
        <v>RSC006758</v>
      </c>
      <c r="C432" s="41" t="str">
        <f>IFERROR(__xludf.DUMMYFUNCTION("""COMPUTED_VALUE"""),"El Booger Sugar")</f>
        <v>El Booger Sugar</v>
      </c>
      <c r="D432" s="41" t="str">
        <f>IFERROR(__xludf.DUMMYFUNCTION("""COMPUTED_VALUE"""),"Havarti Hustlers
Decuriones")</f>
        <v>Havarti Hustlers
Decuriones</v>
      </c>
      <c r="E432" s="136">
        <f>IFERROR(__xludf.DUMMYFUNCTION("""COMPUTED_VALUE"""),15.0)</f>
        <v>15</v>
      </c>
      <c r="F432" s="136">
        <f>IFERROR(__xludf.DUMMYFUNCTION("""COMPUTED_VALUE"""),6.0)</f>
        <v>6</v>
      </c>
      <c r="G432" s="136">
        <f>IFERROR(__xludf.DUMMYFUNCTION("""COMPUTED_VALUE"""),9.0)</f>
        <v>9</v>
      </c>
      <c r="H432" s="137">
        <f>IFERROR(__xludf.DUMMYFUNCTION("""COMPUTED_VALUE"""),0.4)</f>
        <v>0.4</v>
      </c>
      <c r="I432" s="136">
        <f>IFERROR(__xludf.DUMMYFUNCTION("""COMPUTED_VALUE"""),2.0)</f>
        <v>2</v>
      </c>
      <c r="J432" s="136">
        <f>IFERROR(__xludf.DUMMYFUNCTION("""COMPUTED_VALUE"""),3925.0)</f>
        <v>3925</v>
      </c>
      <c r="K432" s="136">
        <f>IFERROR(__xludf.DUMMYFUNCTION("""COMPUTED_VALUE"""),7.0)</f>
        <v>7</v>
      </c>
      <c r="L432" s="136">
        <f>IFERROR(__xludf.DUMMYFUNCTION("""COMPUTED_VALUE"""),9.0)</f>
        <v>9</v>
      </c>
      <c r="M432" s="136">
        <f>IFERROR(__xludf.DUMMYFUNCTION("""COMPUTED_VALUE"""),19.0)</f>
        <v>19</v>
      </c>
      <c r="N432" s="136">
        <f>IFERROR(__xludf.DUMMYFUNCTION("""COMPUTED_VALUE"""),25.0)</f>
        <v>25</v>
      </c>
      <c r="O432" s="138">
        <f>IFERROR(__xludf.DUMMYFUNCTION("""COMPUTED_VALUE"""),3.0)</f>
        <v>3</v>
      </c>
      <c r="P432" s="138">
        <f>IFERROR(__xludf.DUMMYFUNCTION("""COMPUTED_VALUE"""),0.0)</f>
        <v>0</v>
      </c>
      <c r="Q432" s="138">
        <f>IFERROR(__xludf.DUMMYFUNCTION("""COMPUTED_VALUE"""),1.0)</f>
        <v>1</v>
      </c>
      <c r="R432" s="138">
        <f>IFERROR(__xludf.DUMMYFUNCTION("""COMPUTED_VALUE"""),0.0)</f>
        <v>0</v>
      </c>
      <c r="S432" s="139">
        <f>IFERROR(__xludf.DUMMYFUNCTION("""COMPUTED_VALUE"""),110.0)</f>
        <v>110</v>
      </c>
      <c r="T432" s="140">
        <f>IFERROR(__xludf.DUMMYFUNCTION("""COMPUTED_VALUE"""),41.0)</f>
        <v>41</v>
      </c>
      <c r="U432" s="136">
        <f>IFERROR(__xludf.DUMMYFUNCTION("""COMPUTED_VALUE"""),11.0)</f>
        <v>11</v>
      </c>
      <c r="V432" s="136">
        <f>IFERROR(__xludf.DUMMYFUNCTION("""COMPUTED_VALUE"""),11.0)</f>
        <v>11</v>
      </c>
      <c r="W432" s="136">
        <f>IFERROR(__xludf.DUMMYFUNCTION("""COMPUTED_VALUE"""),25.0)</f>
        <v>25</v>
      </c>
      <c r="X432" s="136">
        <f>IFERROR(__xludf.DUMMYFUNCTION("""COMPUTED_VALUE"""),298.6)</f>
        <v>298.6</v>
      </c>
      <c r="Y432" s="141">
        <f>IFERROR(__xludf.DUMMYFUNCTION("""COMPUTED_VALUE"""),50.684)</f>
        <v>50.684</v>
      </c>
      <c r="Z432" s="141">
        <f>IFERROR(__xludf.DUMMYFUNCTION("""COMPUTED_VALUE"""),1913.6)</f>
        <v>1913.6</v>
      </c>
    </row>
    <row r="433">
      <c r="A433" s="41" t="str">
        <f>IFERROR(__xludf.DUMMYFUNCTION("""COMPUTED_VALUE"""),"Challenger")</f>
        <v>Challenger</v>
      </c>
      <c r="B433" s="41" t="str">
        <f>IFERROR(__xludf.DUMMYFUNCTION("""COMPUTED_VALUE"""),"RSC006769")</f>
        <v>RSC006769</v>
      </c>
      <c r="C433" s="41" t="str">
        <f>IFERROR(__xludf.DUMMYFUNCTION("""COMPUTED_VALUE"""),"baltostorm")</f>
        <v>baltostorm</v>
      </c>
      <c r="D433" s="41" t="str">
        <f>IFERROR(__xludf.DUMMYFUNCTION("""COMPUTED_VALUE"""),"Zombies")</f>
        <v>Zombies</v>
      </c>
      <c r="E433" s="136">
        <f>IFERROR(__xludf.DUMMYFUNCTION("""COMPUTED_VALUE"""),32.0)</f>
        <v>32</v>
      </c>
      <c r="F433" s="136">
        <f>IFERROR(__xludf.DUMMYFUNCTION("""COMPUTED_VALUE"""),15.0)</f>
        <v>15</v>
      </c>
      <c r="G433" s="136">
        <f>IFERROR(__xludf.DUMMYFUNCTION("""COMPUTED_VALUE"""),17.0)</f>
        <v>17</v>
      </c>
      <c r="H433" s="137">
        <f>IFERROR(__xludf.DUMMYFUNCTION("""COMPUTED_VALUE"""),0.46875)</f>
        <v>0.46875</v>
      </c>
      <c r="I433" s="136">
        <f>IFERROR(__xludf.DUMMYFUNCTION("""COMPUTED_VALUE"""),6.0)</f>
        <v>6</v>
      </c>
      <c r="J433" s="136">
        <f>IFERROR(__xludf.DUMMYFUNCTION("""COMPUTED_VALUE"""),11503.0)</f>
        <v>11503</v>
      </c>
      <c r="K433" s="136">
        <f>IFERROR(__xludf.DUMMYFUNCTION("""COMPUTED_VALUE"""),25.0)</f>
        <v>25</v>
      </c>
      <c r="L433" s="136">
        <f>IFERROR(__xludf.DUMMYFUNCTION("""COMPUTED_VALUE"""),17.0)</f>
        <v>17</v>
      </c>
      <c r="M433" s="136">
        <f>IFERROR(__xludf.DUMMYFUNCTION("""COMPUTED_VALUE"""),39.0)</f>
        <v>39</v>
      </c>
      <c r="N433" s="136">
        <f>IFERROR(__xludf.DUMMYFUNCTION("""COMPUTED_VALUE"""),90.0)</f>
        <v>90</v>
      </c>
      <c r="O433" s="138">
        <f>IFERROR(__xludf.DUMMYFUNCTION("""COMPUTED_VALUE"""),6.0)</f>
        <v>6</v>
      </c>
      <c r="P433" s="138">
        <f>IFERROR(__xludf.DUMMYFUNCTION("""COMPUTED_VALUE"""),2.0)</f>
        <v>2</v>
      </c>
      <c r="Q433" s="138">
        <f>IFERROR(__xludf.DUMMYFUNCTION("""COMPUTED_VALUE"""),0.0)</f>
        <v>0</v>
      </c>
      <c r="R433" s="138">
        <f>IFERROR(__xludf.DUMMYFUNCTION("""COMPUTED_VALUE"""),5.0)</f>
        <v>5</v>
      </c>
      <c r="S433" s="139">
        <f>IFERROR(__xludf.DUMMYFUNCTION("""COMPUTED_VALUE"""),255.0)</f>
        <v>255</v>
      </c>
      <c r="T433" s="140">
        <f>IFERROR(__xludf.DUMMYFUNCTION("""COMPUTED_VALUE"""),79.0)</f>
        <v>79</v>
      </c>
      <c r="U433" s="136">
        <f>IFERROR(__xludf.DUMMYFUNCTION("""COMPUTED_VALUE"""),26.0)</f>
        <v>26</v>
      </c>
      <c r="V433" s="136">
        <f>IFERROR(__xludf.DUMMYFUNCTION("""COMPUTED_VALUE"""),26.0)</f>
        <v>26</v>
      </c>
      <c r="W433" s="136">
        <f>IFERROR(__xludf.DUMMYFUNCTION("""COMPUTED_VALUE"""),27.0)</f>
        <v>27</v>
      </c>
      <c r="X433" s="136">
        <f>IFERROR(__xludf.DUMMYFUNCTION("""COMPUTED_VALUE"""),412.4375)</f>
        <v>412.4375</v>
      </c>
      <c r="Y433" s="141">
        <f>IFERROR(__xludf.DUMMYFUNCTION("""COMPUTED_VALUE"""),46.2234375)</f>
        <v>46.2234375</v>
      </c>
      <c r="Z433" s="141">
        <f>IFERROR(__xludf.DUMMYFUNCTION("""COMPUTED_VALUE"""),2411.0625)</f>
        <v>2411.0625</v>
      </c>
    </row>
    <row r="434">
      <c r="A434" s="41" t="str">
        <f>IFERROR(__xludf.DUMMYFUNCTION("""COMPUTED_VALUE"""),"Rival")</f>
        <v>Rival</v>
      </c>
      <c r="B434" s="41" t="str">
        <f>IFERROR(__xludf.DUMMYFUNCTION("""COMPUTED_VALUE"""),"RSC006770")</f>
        <v>RSC006770</v>
      </c>
      <c r="C434" s="41" t="str">
        <f>IFERROR(__xludf.DUMMYFUNCTION("""COMPUTED_VALUE"""),"ExecutivePowers")</f>
        <v>ExecutivePowers</v>
      </c>
      <c r="D434" s="41" t="str">
        <f>IFERROR(__xludf.DUMMYFUNCTION("""COMPUTED_VALUE"""),"Guards")</f>
        <v>Guards</v>
      </c>
      <c r="E434" s="136">
        <f>IFERROR(__xludf.DUMMYFUNCTION("""COMPUTED_VALUE"""),48.0)</f>
        <v>48</v>
      </c>
      <c r="F434" s="136">
        <f>IFERROR(__xludf.DUMMYFUNCTION("""COMPUTED_VALUE"""),22.0)</f>
        <v>22</v>
      </c>
      <c r="G434" s="136">
        <f>IFERROR(__xludf.DUMMYFUNCTION("""COMPUTED_VALUE"""),26.0)</f>
        <v>26</v>
      </c>
      <c r="H434" s="137">
        <f>IFERROR(__xludf.DUMMYFUNCTION("""COMPUTED_VALUE"""),0.4583333333333333)</f>
        <v>0.4583333333</v>
      </c>
      <c r="I434" s="136">
        <f>IFERROR(__xludf.DUMMYFUNCTION("""COMPUTED_VALUE"""),9.0)</f>
        <v>9</v>
      </c>
      <c r="J434" s="136">
        <f>IFERROR(__xludf.DUMMYFUNCTION("""COMPUTED_VALUE"""),19393.0)</f>
        <v>19393</v>
      </c>
      <c r="K434" s="136">
        <f>IFERROR(__xludf.DUMMYFUNCTION("""COMPUTED_VALUE"""),38.0)</f>
        <v>38</v>
      </c>
      <c r="L434" s="136">
        <f>IFERROR(__xludf.DUMMYFUNCTION("""COMPUTED_VALUE"""),33.0)</f>
        <v>33</v>
      </c>
      <c r="M434" s="136">
        <f>IFERROR(__xludf.DUMMYFUNCTION("""COMPUTED_VALUE"""),90.0)</f>
        <v>90</v>
      </c>
      <c r="N434" s="136">
        <f>IFERROR(__xludf.DUMMYFUNCTION("""COMPUTED_VALUE"""),124.0)</f>
        <v>124</v>
      </c>
      <c r="O434" s="138">
        <f>IFERROR(__xludf.DUMMYFUNCTION("""COMPUTED_VALUE"""),11.0)</f>
        <v>11</v>
      </c>
      <c r="P434" s="138">
        <f>IFERROR(__xludf.DUMMYFUNCTION("""COMPUTED_VALUE"""),1.0)</f>
        <v>1</v>
      </c>
      <c r="Q434" s="138">
        <f>IFERROR(__xludf.DUMMYFUNCTION("""COMPUTED_VALUE"""),4.0)</f>
        <v>4</v>
      </c>
      <c r="R434" s="138">
        <f>IFERROR(__xludf.DUMMYFUNCTION("""COMPUTED_VALUE"""),15.0)</f>
        <v>15</v>
      </c>
      <c r="S434" s="139">
        <f>IFERROR(__xludf.DUMMYFUNCTION("""COMPUTED_VALUE"""),397.0)</f>
        <v>397</v>
      </c>
      <c r="T434" s="140">
        <f>IFERROR(__xludf.DUMMYFUNCTION("""COMPUTED_VALUE"""),127.0)</f>
        <v>127</v>
      </c>
      <c r="U434" s="136">
        <f>IFERROR(__xludf.DUMMYFUNCTION("""COMPUTED_VALUE"""),31.0)</f>
        <v>31</v>
      </c>
      <c r="V434" s="136">
        <f>IFERROR(__xludf.DUMMYFUNCTION("""COMPUTED_VALUE"""),40.0)</f>
        <v>40</v>
      </c>
      <c r="W434" s="136">
        <f>IFERROR(__xludf.DUMMYFUNCTION("""COMPUTED_VALUE"""),42.0)</f>
        <v>42</v>
      </c>
      <c r="X434" s="136">
        <f>IFERROR(__xludf.DUMMYFUNCTION("""COMPUTED_VALUE"""),358.25)</f>
        <v>358.25</v>
      </c>
      <c r="Y434" s="141">
        <f>IFERROR(__xludf.DUMMYFUNCTION("""COMPUTED_VALUE"""),50.92249999999999)</f>
        <v>50.9225</v>
      </c>
      <c r="Z434" s="141">
        <f>IFERROR(__xludf.DUMMYFUNCTION("""COMPUTED_VALUE"""),2167.3333333333335)</f>
        <v>2167.333333</v>
      </c>
    </row>
    <row r="435">
      <c r="A435" s="41" t="str">
        <f>IFERROR(__xludf.DUMMYFUNCTION("""COMPUTED_VALUE"""),"Rival")</f>
        <v>Rival</v>
      </c>
      <c r="B435" s="41" t="str">
        <f>IFERROR(__xludf.DUMMYFUNCTION("""COMPUTED_VALUE"""),"RSC006774")</f>
        <v>RSC006774</v>
      </c>
      <c r="C435" s="41" t="str">
        <f>IFERROR(__xludf.DUMMYFUNCTION("""COMPUTED_VALUE"""),"JazzMagic.")</f>
        <v>JazzMagic.</v>
      </c>
      <c r="D435" s="41" t="str">
        <f>IFERROR(__xludf.DUMMYFUNCTION("""COMPUTED_VALUE"""),"Ruthless Racket")</f>
        <v>Ruthless Racket</v>
      </c>
      <c r="E435" s="136">
        <f>IFERROR(__xludf.DUMMYFUNCTION("""COMPUTED_VALUE"""),55.0)</f>
        <v>55</v>
      </c>
      <c r="F435" s="136">
        <f>IFERROR(__xludf.DUMMYFUNCTION("""COMPUTED_VALUE"""),32.0)</f>
        <v>32</v>
      </c>
      <c r="G435" s="136">
        <f>IFERROR(__xludf.DUMMYFUNCTION("""COMPUTED_VALUE"""),23.0)</f>
        <v>23</v>
      </c>
      <c r="H435" s="137">
        <f>IFERROR(__xludf.DUMMYFUNCTION("""COMPUTED_VALUE"""),0.5818181818181818)</f>
        <v>0.5818181818</v>
      </c>
      <c r="I435" s="136">
        <f>IFERROR(__xludf.DUMMYFUNCTION("""COMPUTED_VALUE"""),15.0)</f>
        <v>15</v>
      </c>
      <c r="J435" s="136">
        <f>IFERROR(__xludf.DUMMYFUNCTION("""COMPUTED_VALUE"""),20617.0)</f>
        <v>20617</v>
      </c>
      <c r="K435" s="136">
        <f>IFERROR(__xludf.DUMMYFUNCTION("""COMPUTED_VALUE"""),44.0)</f>
        <v>44</v>
      </c>
      <c r="L435" s="136">
        <f>IFERROR(__xludf.DUMMYFUNCTION("""COMPUTED_VALUE"""),34.0)</f>
        <v>34</v>
      </c>
      <c r="M435" s="136">
        <f>IFERROR(__xludf.DUMMYFUNCTION("""COMPUTED_VALUE"""),71.0)</f>
        <v>71</v>
      </c>
      <c r="N435" s="136">
        <f>IFERROR(__xludf.DUMMYFUNCTION("""COMPUTED_VALUE"""),141.0)</f>
        <v>141</v>
      </c>
      <c r="O435" s="138">
        <f>IFERROR(__xludf.DUMMYFUNCTION("""COMPUTED_VALUE"""),18.0)</f>
        <v>18</v>
      </c>
      <c r="P435" s="138">
        <f>IFERROR(__xludf.DUMMYFUNCTION("""COMPUTED_VALUE"""),2.0)</f>
        <v>2</v>
      </c>
      <c r="Q435" s="138">
        <f>IFERROR(__xludf.DUMMYFUNCTION("""COMPUTED_VALUE"""),1.0)</f>
        <v>1</v>
      </c>
      <c r="R435" s="138">
        <f>IFERROR(__xludf.DUMMYFUNCTION("""COMPUTED_VALUE"""),7.0)</f>
        <v>7</v>
      </c>
      <c r="S435" s="139">
        <f>IFERROR(__xludf.DUMMYFUNCTION("""COMPUTED_VALUE"""),399.0)</f>
        <v>399</v>
      </c>
      <c r="T435" s="140">
        <f>IFERROR(__xludf.DUMMYFUNCTION("""COMPUTED_VALUE"""),122.0)</f>
        <v>122</v>
      </c>
      <c r="U435" s="136">
        <f>IFERROR(__xludf.DUMMYFUNCTION("""COMPUTED_VALUE"""),37.0)</f>
        <v>37</v>
      </c>
      <c r="V435" s="136">
        <f>IFERROR(__xludf.DUMMYFUNCTION("""COMPUTED_VALUE"""),31.0)</f>
        <v>31</v>
      </c>
      <c r="W435" s="136">
        <f>IFERROR(__xludf.DUMMYFUNCTION("""COMPUTED_VALUE"""),64.0)</f>
        <v>64</v>
      </c>
      <c r="X435" s="136">
        <f>IFERROR(__xludf.DUMMYFUNCTION("""COMPUTED_VALUE"""),337.25454545454545)</f>
        <v>337.2545455</v>
      </c>
      <c r="Y435" s="141">
        <f>IFERROR(__xludf.DUMMYFUNCTION("""COMPUTED_VALUE"""),52.20436363636366)</f>
        <v>52.20436364</v>
      </c>
      <c r="Z435" s="141">
        <f>IFERROR(__xludf.DUMMYFUNCTION("""COMPUTED_VALUE"""),2047.4363636363637)</f>
        <v>2047.436364</v>
      </c>
    </row>
    <row r="436">
      <c r="A436" s="41" t="str">
        <f>IFERROR(__xludf.DUMMYFUNCTION("""COMPUTED_VALUE"""),"Rival")</f>
        <v>Rival</v>
      </c>
      <c r="B436" s="41" t="str">
        <f>IFERROR(__xludf.DUMMYFUNCTION("""COMPUTED_VALUE"""),"RSC006777")</f>
        <v>RSC006777</v>
      </c>
      <c r="C436" s="41" t="str">
        <f>IFERROR(__xludf.DUMMYFUNCTION("""COMPUTED_VALUE"""),"AlteredSp4rky")</f>
        <v>AlteredSp4rky</v>
      </c>
      <c r="D436" s="41" t="str">
        <f>IFERROR(__xludf.DUMMYFUNCTION("""COMPUTED_VALUE"""),"Ruthless Racket")</f>
        <v>Ruthless Racket</v>
      </c>
      <c r="E436" s="136">
        <f>IFERROR(__xludf.DUMMYFUNCTION("""COMPUTED_VALUE"""),46.0)</f>
        <v>46</v>
      </c>
      <c r="F436" s="136">
        <f>IFERROR(__xludf.DUMMYFUNCTION("""COMPUTED_VALUE"""),27.0)</f>
        <v>27</v>
      </c>
      <c r="G436" s="136">
        <f>IFERROR(__xludf.DUMMYFUNCTION("""COMPUTED_VALUE"""),19.0)</f>
        <v>19</v>
      </c>
      <c r="H436" s="137">
        <f>IFERROR(__xludf.DUMMYFUNCTION("""COMPUTED_VALUE"""),0.5869565217391305)</f>
        <v>0.5869565217</v>
      </c>
      <c r="I436" s="136">
        <f>IFERROR(__xludf.DUMMYFUNCTION("""COMPUTED_VALUE"""),4.0)</f>
        <v>4</v>
      </c>
      <c r="J436" s="136">
        <f>IFERROR(__xludf.DUMMYFUNCTION("""COMPUTED_VALUE"""),14115.0)</f>
        <v>14115</v>
      </c>
      <c r="K436" s="136">
        <f>IFERROR(__xludf.DUMMYFUNCTION("""COMPUTED_VALUE"""),30.0)</f>
        <v>30</v>
      </c>
      <c r="L436" s="136">
        <f>IFERROR(__xludf.DUMMYFUNCTION("""COMPUTED_VALUE"""),18.0)</f>
        <v>18</v>
      </c>
      <c r="M436" s="136">
        <f>IFERROR(__xludf.DUMMYFUNCTION("""COMPUTED_VALUE"""),56.0)</f>
        <v>56</v>
      </c>
      <c r="N436" s="136">
        <f>IFERROR(__xludf.DUMMYFUNCTION("""COMPUTED_VALUE"""),111.0)</f>
        <v>111</v>
      </c>
      <c r="O436" s="138">
        <f>IFERROR(__xludf.DUMMYFUNCTION("""COMPUTED_VALUE"""),5.0)</f>
        <v>5</v>
      </c>
      <c r="P436" s="138">
        <f>IFERROR(__xludf.DUMMYFUNCTION("""COMPUTED_VALUE"""),0.0)</f>
        <v>0</v>
      </c>
      <c r="Q436" s="138">
        <f>IFERROR(__xludf.DUMMYFUNCTION("""COMPUTED_VALUE"""),0.0)</f>
        <v>0</v>
      </c>
      <c r="R436" s="138">
        <f>IFERROR(__xludf.DUMMYFUNCTION("""COMPUTED_VALUE"""),4.0)</f>
        <v>4</v>
      </c>
      <c r="S436" s="139">
        <f>IFERROR(__xludf.DUMMYFUNCTION("""COMPUTED_VALUE"""),340.0)</f>
        <v>340</v>
      </c>
      <c r="T436" s="140">
        <f>IFERROR(__xludf.DUMMYFUNCTION("""COMPUTED_VALUE"""),97.0)</f>
        <v>97</v>
      </c>
      <c r="U436" s="136">
        <f>IFERROR(__xludf.DUMMYFUNCTION("""COMPUTED_VALUE"""),27.0)</f>
        <v>27</v>
      </c>
      <c r="V436" s="136">
        <f>IFERROR(__xludf.DUMMYFUNCTION("""COMPUTED_VALUE"""),55.0)</f>
        <v>55</v>
      </c>
      <c r="W436" s="136">
        <f>IFERROR(__xludf.DUMMYFUNCTION("""COMPUTED_VALUE"""),35.0)</f>
        <v>35</v>
      </c>
      <c r="X436" s="136">
        <f>IFERROR(__xludf.DUMMYFUNCTION("""COMPUTED_VALUE"""),415.32608695652175)</f>
        <v>415.326087</v>
      </c>
      <c r="Y436" s="141">
        <f>IFERROR(__xludf.DUMMYFUNCTION("""COMPUTED_VALUE"""),52.74652173913043)</f>
        <v>52.74652174</v>
      </c>
      <c r="Z436" s="141">
        <f>IFERROR(__xludf.DUMMYFUNCTION("""COMPUTED_VALUE"""),2620.7608695652175)</f>
        <v>2620.76087</v>
      </c>
    </row>
    <row r="437">
      <c r="A437" s="41" t="str">
        <f>IFERROR(__xludf.DUMMYFUNCTION("""COMPUTED_VALUE"""),"Elite")</f>
        <v>Elite</v>
      </c>
      <c r="B437" s="41" t="str">
        <f>IFERROR(__xludf.DUMMYFUNCTION("""COMPUTED_VALUE"""),"RSC006783")</f>
        <v>RSC006783</v>
      </c>
      <c r="C437" s="41" t="str">
        <f>IFERROR(__xludf.DUMMYFUNCTION("""COMPUTED_VALUE"""),"ImSouperGreat")</f>
        <v>ImSouperGreat</v>
      </c>
      <c r="D437" s="41" t="str">
        <f>IFERROR(__xludf.DUMMYFUNCTION("""COMPUTED_VALUE"""),"Great Whites")</f>
        <v>Great Whites</v>
      </c>
      <c r="E437" s="136">
        <f>IFERROR(__xludf.DUMMYFUNCTION("""COMPUTED_VALUE"""),56.0)</f>
        <v>56</v>
      </c>
      <c r="F437" s="136">
        <f>IFERROR(__xludf.DUMMYFUNCTION("""COMPUTED_VALUE"""),38.0)</f>
        <v>38</v>
      </c>
      <c r="G437" s="136">
        <f>IFERROR(__xludf.DUMMYFUNCTION("""COMPUTED_VALUE"""),18.0)</f>
        <v>18</v>
      </c>
      <c r="H437" s="137">
        <f>IFERROR(__xludf.DUMMYFUNCTION("""COMPUTED_VALUE"""),0.6785714285714286)</f>
        <v>0.6785714286</v>
      </c>
      <c r="I437" s="136">
        <f>IFERROR(__xludf.DUMMYFUNCTION("""COMPUTED_VALUE"""),15.0)</f>
        <v>15</v>
      </c>
      <c r="J437" s="136">
        <f>IFERROR(__xludf.DUMMYFUNCTION("""COMPUTED_VALUE"""),23080.0)</f>
        <v>23080</v>
      </c>
      <c r="K437" s="136">
        <f>IFERROR(__xludf.DUMMYFUNCTION("""COMPUTED_VALUE"""),57.0)</f>
        <v>57</v>
      </c>
      <c r="L437" s="136">
        <f>IFERROR(__xludf.DUMMYFUNCTION("""COMPUTED_VALUE"""),36.0)</f>
        <v>36</v>
      </c>
      <c r="M437" s="136">
        <f>IFERROR(__xludf.DUMMYFUNCTION("""COMPUTED_VALUE"""),76.0)</f>
        <v>76</v>
      </c>
      <c r="N437" s="136">
        <f>IFERROR(__xludf.DUMMYFUNCTION("""COMPUTED_VALUE"""),155.0)</f>
        <v>155</v>
      </c>
      <c r="O437" s="138">
        <f>IFERROR(__xludf.DUMMYFUNCTION("""COMPUTED_VALUE"""),18.0)</f>
        <v>18</v>
      </c>
      <c r="P437" s="138">
        <f>IFERROR(__xludf.DUMMYFUNCTION("""COMPUTED_VALUE"""),5.0)</f>
        <v>5</v>
      </c>
      <c r="Q437" s="138">
        <f>IFERROR(__xludf.DUMMYFUNCTION("""COMPUTED_VALUE"""),1.0)</f>
        <v>1</v>
      </c>
      <c r="R437" s="138">
        <f>IFERROR(__xludf.DUMMYFUNCTION("""COMPUTED_VALUE"""),8.0)</f>
        <v>8</v>
      </c>
      <c r="S437" s="139">
        <f>IFERROR(__xludf.DUMMYFUNCTION("""COMPUTED_VALUE"""),412.0)</f>
        <v>412</v>
      </c>
      <c r="T437" s="140">
        <f>IFERROR(__xludf.DUMMYFUNCTION("""COMPUTED_VALUE"""),94.0)</f>
        <v>94</v>
      </c>
      <c r="U437" s="136">
        <f>IFERROR(__xludf.DUMMYFUNCTION("""COMPUTED_VALUE"""),42.0)</f>
        <v>42</v>
      </c>
      <c r="V437" s="136">
        <f>IFERROR(__xludf.DUMMYFUNCTION("""COMPUTED_VALUE"""),68.0)</f>
        <v>68</v>
      </c>
      <c r="W437" s="136">
        <f>IFERROR(__xludf.DUMMYFUNCTION("""COMPUTED_VALUE"""),60.0)</f>
        <v>60</v>
      </c>
      <c r="X437" s="136">
        <f>IFERROR(__xludf.DUMMYFUNCTION("""COMPUTED_VALUE"""),399.44642857142856)</f>
        <v>399.4464286</v>
      </c>
      <c r="Y437" s="141">
        <f>IFERROR(__xludf.DUMMYFUNCTION("""COMPUTED_VALUE"""),54.1007142857143)</f>
        <v>54.10071429</v>
      </c>
      <c r="Z437" s="141">
        <f>IFERROR(__xludf.DUMMYFUNCTION("""COMPUTED_VALUE"""),2537.1428571428573)</f>
        <v>2537.142857</v>
      </c>
    </row>
    <row r="438">
      <c r="A438" s="41" t="str">
        <f>IFERROR(__xludf.DUMMYFUNCTION("""COMPUTED_VALUE"""),"Challenger")</f>
        <v>Challenger</v>
      </c>
      <c r="B438" s="41" t="str">
        <f>IFERROR(__xludf.DUMMYFUNCTION("""COMPUTED_VALUE"""),"RSC006784")</f>
        <v>RSC006784</v>
      </c>
      <c r="C438" s="41" t="str">
        <f>IFERROR(__xludf.DUMMYFUNCTION("""COMPUTED_VALUE"""),"KittyMeowMeow360")</f>
        <v>KittyMeowMeow360</v>
      </c>
      <c r="D438" s="41" t="str">
        <f>IFERROR(__xludf.DUMMYFUNCTION("""COMPUTED_VALUE"""),"Blitzars")</f>
        <v>Blitzars</v>
      </c>
      <c r="E438" s="136">
        <f>IFERROR(__xludf.DUMMYFUNCTION("""COMPUTED_VALUE"""),47.0)</f>
        <v>47</v>
      </c>
      <c r="F438" s="136">
        <f>IFERROR(__xludf.DUMMYFUNCTION("""COMPUTED_VALUE"""),28.0)</f>
        <v>28</v>
      </c>
      <c r="G438" s="136">
        <f>IFERROR(__xludf.DUMMYFUNCTION("""COMPUTED_VALUE"""),19.0)</f>
        <v>19</v>
      </c>
      <c r="H438" s="137">
        <f>IFERROR(__xludf.DUMMYFUNCTION("""COMPUTED_VALUE"""),0.5957446808510638)</f>
        <v>0.5957446809</v>
      </c>
      <c r="I438" s="136">
        <f>IFERROR(__xludf.DUMMYFUNCTION("""COMPUTED_VALUE"""),0.0)</f>
        <v>0</v>
      </c>
      <c r="J438" s="136">
        <f>IFERROR(__xludf.DUMMYFUNCTION("""COMPUTED_VALUE"""),13120.0)</f>
        <v>13120</v>
      </c>
      <c r="K438" s="136">
        <f>IFERROR(__xludf.DUMMYFUNCTION("""COMPUTED_VALUE"""),24.0)</f>
        <v>24</v>
      </c>
      <c r="L438" s="136">
        <f>IFERROR(__xludf.DUMMYFUNCTION("""COMPUTED_VALUE"""),26.0)</f>
        <v>26</v>
      </c>
      <c r="M438" s="136">
        <f>IFERROR(__xludf.DUMMYFUNCTION("""COMPUTED_VALUE"""),60.0)</f>
        <v>60</v>
      </c>
      <c r="N438" s="136">
        <f>IFERROR(__xludf.DUMMYFUNCTION("""COMPUTED_VALUE"""),80.0)</f>
        <v>80</v>
      </c>
      <c r="O438" s="138">
        <f>IFERROR(__xludf.DUMMYFUNCTION("""COMPUTED_VALUE"""),6.0)</f>
        <v>6</v>
      </c>
      <c r="P438" s="138">
        <f>IFERROR(__xludf.DUMMYFUNCTION("""COMPUTED_VALUE"""),0.0)</f>
        <v>0</v>
      </c>
      <c r="Q438" s="138">
        <f>IFERROR(__xludf.DUMMYFUNCTION("""COMPUTED_VALUE"""),0.0)</f>
        <v>0</v>
      </c>
      <c r="R438" s="138">
        <f>IFERROR(__xludf.DUMMYFUNCTION("""COMPUTED_VALUE"""),7.0)</f>
        <v>7</v>
      </c>
      <c r="S438" s="139">
        <f>IFERROR(__xludf.DUMMYFUNCTION("""COMPUTED_VALUE"""),307.0)</f>
        <v>307</v>
      </c>
      <c r="T438" s="140">
        <f>IFERROR(__xludf.DUMMYFUNCTION("""COMPUTED_VALUE"""),82.0)</f>
        <v>82</v>
      </c>
      <c r="U438" s="136">
        <f>IFERROR(__xludf.DUMMYFUNCTION("""COMPUTED_VALUE"""),22.0)</f>
        <v>22</v>
      </c>
      <c r="V438" s="136">
        <f>IFERROR(__xludf.DUMMYFUNCTION("""COMPUTED_VALUE"""),38.0)</f>
        <v>38</v>
      </c>
      <c r="W438" s="136">
        <f>IFERROR(__xludf.DUMMYFUNCTION("""COMPUTED_VALUE"""),41.0)</f>
        <v>41</v>
      </c>
      <c r="X438" s="136">
        <f>IFERROR(__xludf.DUMMYFUNCTION("""COMPUTED_VALUE"""),393.0851063829787)</f>
        <v>393.0851064</v>
      </c>
      <c r="Y438" s="141">
        <f>IFERROR(__xludf.DUMMYFUNCTION("""COMPUTED_VALUE"""),47.84212765957447)</f>
        <v>47.84212766</v>
      </c>
      <c r="Z438" s="141">
        <f>IFERROR(__xludf.DUMMYFUNCTION("""COMPUTED_VALUE"""),2322.2127659574467)</f>
        <v>2322.212766</v>
      </c>
    </row>
    <row r="439">
      <c r="A439" s="41" t="str">
        <f>IFERROR(__xludf.DUMMYFUNCTION("""COMPUTED_VALUE"""),"Veteran")</f>
        <v>Veteran</v>
      </c>
      <c r="B439" s="41" t="str">
        <f>IFERROR(__xludf.DUMMYFUNCTION("""COMPUTED_VALUE"""),"RSC006794")</f>
        <v>RSC006794</v>
      </c>
      <c r="C439" s="41" t="str">
        <f>IFERROR(__xludf.DUMMYFUNCTION("""COMPUTED_VALUE"""),"HI7MAN305")</f>
        <v>HI7MAN305</v>
      </c>
      <c r="D439" s="41" t="str">
        <f>IFERROR(__xludf.DUMMYFUNCTION("""COMPUTED_VALUE"""),"Peppermint
Fer-de-Lance")</f>
        <v>Peppermint
Fer-de-Lance</v>
      </c>
      <c r="E439" s="136">
        <f>IFERROR(__xludf.DUMMYFUNCTION("""COMPUTED_VALUE"""),27.0)</f>
        <v>27</v>
      </c>
      <c r="F439" s="136">
        <f>IFERROR(__xludf.DUMMYFUNCTION("""COMPUTED_VALUE"""),6.0)</f>
        <v>6</v>
      </c>
      <c r="G439" s="136">
        <f>IFERROR(__xludf.DUMMYFUNCTION("""COMPUTED_VALUE"""),21.0)</f>
        <v>21</v>
      </c>
      <c r="H439" s="137">
        <f>IFERROR(__xludf.DUMMYFUNCTION("""COMPUTED_VALUE"""),0.2222222222222222)</f>
        <v>0.2222222222</v>
      </c>
      <c r="I439" s="136">
        <f>IFERROR(__xludf.DUMMYFUNCTION("""COMPUTED_VALUE"""),0.0)</f>
        <v>0</v>
      </c>
      <c r="J439" s="136">
        <f>IFERROR(__xludf.DUMMYFUNCTION("""COMPUTED_VALUE"""),6264.0)</f>
        <v>6264</v>
      </c>
      <c r="K439" s="136">
        <f>IFERROR(__xludf.DUMMYFUNCTION("""COMPUTED_VALUE"""),6.0)</f>
        <v>6</v>
      </c>
      <c r="L439" s="136">
        <f>IFERROR(__xludf.DUMMYFUNCTION("""COMPUTED_VALUE"""),12.0)</f>
        <v>12</v>
      </c>
      <c r="M439" s="136">
        <f>IFERROR(__xludf.DUMMYFUNCTION("""COMPUTED_VALUE"""),37.0)</f>
        <v>37</v>
      </c>
      <c r="N439" s="136">
        <f>IFERROR(__xludf.DUMMYFUNCTION("""COMPUTED_VALUE"""),39.0)</f>
        <v>39</v>
      </c>
      <c r="O439" s="138">
        <f>IFERROR(__xludf.DUMMYFUNCTION("""COMPUTED_VALUE"""),0.0)</f>
        <v>0</v>
      </c>
      <c r="P439" s="138">
        <f>IFERROR(__xludf.DUMMYFUNCTION("""COMPUTED_VALUE"""),0.0)</f>
        <v>0</v>
      </c>
      <c r="Q439" s="138">
        <f>IFERROR(__xludf.DUMMYFUNCTION("""COMPUTED_VALUE"""),0.0)</f>
        <v>0</v>
      </c>
      <c r="R439" s="138">
        <f>IFERROR(__xludf.DUMMYFUNCTION("""COMPUTED_VALUE"""),5.0)</f>
        <v>5</v>
      </c>
      <c r="S439" s="139">
        <f>IFERROR(__xludf.DUMMYFUNCTION("""COMPUTED_VALUE"""),263.0)</f>
        <v>263</v>
      </c>
      <c r="T439" s="140">
        <f>IFERROR(__xludf.DUMMYFUNCTION("""COMPUTED_VALUE"""),96.0)</f>
        <v>96</v>
      </c>
      <c r="U439" s="136">
        <f>IFERROR(__xludf.DUMMYFUNCTION("""COMPUTED_VALUE"""),35.0)</f>
        <v>35</v>
      </c>
      <c r="V439" s="136">
        <f>IFERROR(__xludf.DUMMYFUNCTION("""COMPUTED_VALUE"""),11.0)</f>
        <v>11</v>
      </c>
      <c r="W439" s="136">
        <f>IFERROR(__xludf.DUMMYFUNCTION("""COMPUTED_VALUE"""),31.0)</f>
        <v>31</v>
      </c>
      <c r="X439" s="136">
        <f>IFERROR(__xludf.DUMMYFUNCTION("""COMPUTED_VALUE"""),323.77777777777777)</f>
        <v>323.7777778</v>
      </c>
      <c r="Y439" s="141">
        <f>IFERROR(__xludf.DUMMYFUNCTION("""COMPUTED_VALUE"""),43.931851851851846)</f>
        <v>43.93185185</v>
      </c>
      <c r="Z439" s="141">
        <f>IFERROR(__xludf.DUMMYFUNCTION("""COMPUTED_VALUE"""),1821.962962962963)</f>
        <v>1821.962963</v>
      </c>
    </row>
    <row r="440">
      <c r="A440" s="41" t="str">
        <f>IFERROR(__xludf.DUMMYFUNCTION("""COMPUTED_VALUE"""),"Challenger")</f>
        <v>Challenger</v>
      </c>
      <c r="B440" s="41" t="str">
        <f>IFERROR(__xludf.DUMMYFUNCTION("""COMPUTED_VALUE"""),"RSC006822")</f>
        <v>RSC006822</v>
      </c>
      <c r="C440" s="41" t="str">
        <f>IFERROR(__xludf.DUMMYFUNCTION("""COMPUTED_VALUE"""),"itsu_desu")</f>
        <v>itsu_desu</v>
      </c>
      <c r="D440" s="41" t="str">
        <f>IFERROR(__xludf.DUMMYFUNCTION("""COMPUTED_VALUE"""),"Void")</f>
        <v>Void</v>
      </c>
      <c r="E440" s="136">
        <f>IFERROR(__xludf.DUMMYFUNCTION("""COMPUTED_VALUE"""),35.0)</f>
        <v>35</v>
      </c>
      <c r="F440" s="136">
        <f>IFERROR(__xludf.DUMMYFUNCTION("""COMPUTED_VALUE"""),11.0)</f>
        <v>11</v>
      </c>
      <c r="G440" s="136">
        <f>IFERROR(__xludf.DUMMYFUNCTION("""COMPUTED_VALUE"""),24.0)</f>
        <v>24</v>
      </c>
      <c r="H440" s="137">
        <f>IFERROR(__xludf.DUMMYFUNCTION("""COMPUTED_VALUE"""),0.3142857142857143)</f>
        <v>0.3142857143</v>
      </c>
      <c r="I440" s="136">
        <f>IFERROR(__xludf.DUMMYFUNCTION("""COMPUTED_VALUE"""),4.0)</f>
        <v>4</v>
      </c>
      <c r="J440" s="136">
        <f>IFERROR(__xludf.DUMMYFUNCTION("""COMPUTED_VALUE"""),9459.0)</f>
        <v>9459</v>
      </c>
      <c r="K440" s="136">
        <f>IFERROR(__xludf.DUMMYFUNCTION("""COMPUTED_VALUE"""),27.0)</f>
        <v>27</v>
      </c>
      <c r="L440" s="136">
        <f>IFERROR(__xludf.DUMMYFUNCTION("""COMPUTED_VALUE"""),16.0)</f>
        <v>16</v>
      </c>
      <c r="M440" s="136">
        <f>IFERROR(__xludf.DUMMYFUNCTION("""COMPUTED_VALUE"""),24.0)</f>
        <v>24</v>
      </c>
      <c r="N440" s="136">
        <f>IFERROR(__xludf.DUMMYFUNCTION("""COMPUTED_VALUE"""),71.0)</f>
        <v>71</v>
      </c>
      <c r="O440" s="138">
        <f>IFERROR(__xludf.DUMMYFUNCTION("""COMPUTED_VALUE"""),3.0)</f>
        <v>3</v>
      </c>
      <c r="P440" s="138">
        <f>IFERROR(__xludf.DUMMYFUNCTION("""COMPUTED_VALUE"""),1.0)</f>
        <v>1</v>
      </c>
      <c r="Q440" s="138">
        <f>IFERROR(__xludf.DUMMYFUNCTION("""COMPUTED_VALUE"""),0.0)</f>
        <v>0</v>
      </c>
      <c r="R440" s="138">
        <f>IFERROR(__xludf.DUMMYFUNCTION("""COMPUTED_VALUE"""),2.0)</f>
        <v>2</v>
      </c>
      <c r="S440" s="139">
        <f>IFERROR(__xludf.DUMMYFUNCTION("""COMPUTED_VALUE"""),287.0)</f>
        <v>287</v>
      </c>
      <c r="T440" s="140">
        <f>IFERROR(__xludf.DUMMYFUNCTION("""COMPUTED_VALUE"""),93.0)</f>
        <v>93</v>
      </c>
      <c r="U440" s="136">
        <f>IFERROR(__xludf.DUMMYFUNCTION("""COMPUTED_VALUE"""),37.0)</f>
        <v>37</v>
      </c>
      <c r="V440" s="136">
        <f>IFERROR(__xludf.DUMMYFUNCTION("""COMPUTED_VALUE"""),25.0)</f>
        <v>25</v>
      </c>
      <c r="W440" s="136">
        <f>IFERROR(__xludf.DUMMYFUNCTION("""COMPUTED_VALUE"""),39.0)</f>
        <v>39</v>
      </c>
      <c r="X440" s="136">
        <f>IFERROR(__xludf.DUMMYFUNCTION("""COMPUTED_VALUE"""),399.8285714285714)</f>
        <v>399.8285714</v>
      </c>
      <c r="Y440" s="141">
        <f>IFERROR(__xludf.DUMMYFUNCTION("""COMPUTED_VALUE"""),50.279142857142865)</f>
        <v>50.27914286</v>
      </c>
      <c r="Z440" s="141">
        <f>IFERROR(__xludf.DUMMYFUNCTION("""COMPUTED_VALUE"""),2368.2)</f>
        <v>2368.2</v>
      </c>
    </row>
    <row r="441">
      <c r="A441" s="41" t="str">
        <f>IFERROR(__xludf.DUMMYFUNCTION("""COMPUTED_VALUE"""),"Veteran")</f>
        <v>Veteran</v>
      </c>
      <c r="B441" s="41" t="str">
        <f>IFERROR(__xludf.DUMMYFUNCTION("""COMPUTED_VALUE"""),"RSC006823")</f>
        <v>RSC006823</v>
      </c>
      <c r="C441" s="41" t="str">
        <f>IFERROR(__xludf.DUMMYFUNCTION("""COMPUTED_VALUE"""),"Onirltv")</f>
        <v>Onirltv</v>
      </c>
      <c r="D441" s="41" t="str">
        <f>IFERROR(__xludf.DUMMYFUNCTION("""COMPUTED_VALUE"""),"Peppermint")</f>
        <v>Peppermint</v>
      </c>
      <c r="E441" s="136">
        <f>IFERROR(__xludf.DUMMYFUNCTION("""COMPUTED_VALUE"""),8.0)</f>
        <v>8</v>
      </c>
      <c r="F441" s="136">
        <f>IFERROR(__xludf.DUMMYFUNCTION("""COMPUTED_VALUE"""),3.0)</f>
        <v>3</v>
      </c>
      <c r="G441" s="136">
        <f>IFERROR(__xludf.DUMMYFUNCTION("""COMPUTED_VALUE"""),5.0)</f>
        <v>5</v>
      </c>
      <c r="H441" s="137">
        <f>IFERROR(__xludf.DUMMYFUNCTION("""COMPUTED_VALUE"""),0.375)</f>
        <v>0.375</v>
      </c>
      <c r="I441" s="136">
        <f>IFERROR(__xludf.DUMMYFUNCTION("""COMPUTED_VALUE"""),1.0)</f>
        <v>1</v>
      </c>
      <c r="J441" s="136">
        <f>IFERROR(__xludf.DUMMYFUNCTION("""COMPUTED_VALUE"""),2863.0)</f>
        <v>2863</v>
      </c>
      <c r="K441" s="136">
        <f>IFERROR(__xludf.DUMMYFUNCTION("""COMPUTED_VALUE"""),6.0)</f>
        <v>6</v>
      </c>
      <c r="L441" s="136">
        <f>IFERROR(__xludf.DUMMYFUNCTION("""COMPUTED_VALUE"""),6.0)</f>
        <v>6</v>
      </c>
      <c r="M441" s="136">
        <f>IFERROR(__xludf.DUMMYFUNCTION("""COMPUTED_VALUE"""),8.0)</f>
        <v>8</v>
      </c>
      <c r="N441" s="136">
        <f>IFERROR(__xludf.DUMMYFUNCTION("""COMPUTED_VALUE"""),17.0)</f>
        <v>17</v>
      </c>
      <c r="O441" s="138">
        <f>IFERROR(__xludf.DUMMYFUNCTION("""COMPUTED_VALUE"""),2.0)</f>
        <v>2</v>
      </c>
      <c r="P441" s="138">
        <f>IFERROR(__xludf.DUMMYFUNCTION("""COMPUTED_VALUE"""),0.0)</f>
        <v>0</v>
      </c>
      <c r="Q441" s="138">
        <f>IFERROR(__xludf.DUMMYFUNCTION("""COMPUTED_VALUE"""),0.0)</f>
        <v>0</v>
      </c>
      <c r="R441" s="138">
        <f>IFERROR(__xludf.DUMMYFUNCTION("""COMPUTED_VALUE"""),0.0)</f>
        <v>0</v>
      </c>
      <c r="S441" s="139">
        <f>IFERROR(__xludf.DUMMYFUNCTION("""COMPUTED_VALUE"""),71.0)</f>
        <v>71</v>
      </c>
      <c r="T441" s="140">
        <f>IFERROR(__xludf.DUMMYFUNCTION("""COMPUTED_VALUE"""),24.0)</f>
        <v>24</v>
      </c>
      <c r="U441" s="136">
        <f>IFERROR(__xludf.DUMMYFUNCTION("""COMPUTED_VALUE"""),5.0)</f>
        <v>5</v>
      </c>
      <c r="V441" s="136">
        <f>IFERROR(__xludf.DUMMYFUNCTION("""COMPUTED_VALUE"""),11.0)</f>
        <v>11</v>
      </c>
      <c r="W441" s="136">
        <f>IFERROR(__xludf.DUMMYFUNCTION("""COMPUTED_VALUE"""),10.0)</f>
        <v>10</v>
      </c>
      <c r="X441" s="136">
        <f>IFERROR(__xludf.DUMMYFUNCTION("""COMPUTED_VALUE"""),410.75)</f>
        <v>410.75</v>
      </c>
      <c r="Y441" s="141">
        <f>IFERROR(__xludf.DUMMYFUNCTION("""COMPUTED_VALUE"""),51.32874999999999)</f>
        <v>51.32875</v>
      </c>
      <c r="Z441" s="141">
        <f>IFERROR(__xludf.DUMMYFUNCTION("""COMPUTED_VALUE"""),2586.625)</f>
        <v>2586.625</v>
      </c>
    </row>
    <row r="442">
      <c r="A442" s="41" t="str">
        <f>IFERROR(__xludf.DUMMYFUNCTION("""COMPUTED_VALUE"""),"Rival")</f>
        <v>Rival</v>
      </c>
      <c r="B442" s="41" t="str">
        <f>IFERROR(__xludf.DUMMYFUNCTION("""COMPUTED_VALUE"""),"RSC006832")</f>
        <v>RSC006832</v>
      </c>
      <c r="C442" s="41" t="str">
        <f>IFERROR(__xludf.DUMMYFUNCTION("""COMPUTED_VALUE"""),"Pandaliciously")</f>
        <v>Pandaliciously</v>
      </c>
      <c r="D442" s="41" t="str">
        <f>IFERROR(__xludf.DUMMYFUNCTION("""COMPUTED_VALUE"""),"Phoenix")</f>
        <v>Phoenix</v>
      </c>
      <c r="E442" s="136">
        <f>IFERROR(__xludf.DUMMYFUNCTION("""COMPUTED_VALUE"""),48.0)</f>
        <v>48</v>
      </c>
      <c r="F442" s="136">
        <f>IFERROR(__xludf.DUMMYFUNCTION("""COMPUTED_VALUE"""),28.0)</f>
        <v>28</v>
      </c>
      <c r="G442" s="136">
        <f>IFERROR(__xludf.DUMMYFUNCTION("""COMPUTED_VALUE"""),20.0)</f>
        <v>20</v>
      </c>
      <c r="H442" s="137">
        <f>IFERROR(__xludf.DUMMYFUNCTION("""COMPUTED_VALUE"""),0.5833333333333334)</f>
        <v>0.5833333333</v>
      </c>
      <c r="I442" s="136">
        <f>IFERROR(__xludf.DUMMYFUNCTION("""COMPUTED_VALUE"""),9.0)</f>
        <v>9</v>
      </c>
      <c r="J442" s="136">
        <f>IFERROR(__xludf.DUMMYFUNCTION("""COMPUTED_VALUE"""),16743.0)</f>
        <v>16743</v>
      </c>
      <c r="K442" s="136">
        <f>IFERROR(__xludf.DUMMYFUNCTION("""COMPUTED_VALUE"""),40.0)</f>
        <v>40</v>
      </c>
      <c r="L442" s="136">
        <f>IFERROR(__xludf.DUMMYFUNCTION("""COMPUTED_VALUE"""),27.0)</f>
        <v>27</v>
      </c>
      <c r="M442" s="136">
        <f>IFERROR(__xludf.DUMMYFUNCTION("""COMPUTED_VALUE"""),55.0)</f>
        <v>55</v>
      </c>
      <c r="N442" s="136">
        <f>IFERROR(__xludf.DUMMYFUNCTION("""COMPUTED_VALUE"""),142.0)</f>
        <v>142</v>
      </c>
      <c r="O442" s="138">
        <f>IFERROR(__xludf.DUMMYFUNCTION("""COMPUTED_VALUE"""),12.0)</f>
        <v>12</v>
      </c>
      <c r="P442" s="138">
        <f>IFERROR(__xludf.DUMMYFUNCTION("""COMPUTED_VALUE"""),2.0)</f>
        <v>2</v>
      </c>
      <c r="Q442" s="138">
        <f>IFERROR(__xludf.DUMMYFUNCTION("""COMPUTED_VALUE"""),0.0)</f>
        <v>0</v>
      </c>
      <c r="R442" s="138">
        <f>IFERROR(__xludf.DUMMYFUNCTION("""COMPUTED_VALUE"""),3.0)</f>
        <v>3</v>
      </c>
      <c r="S442" s="139">
        <f>IFERROR(__xludf.DUMMYFUNCTION("""COMPUTED_VALUE"""),338.0)</f>
        <v>338</v>
      </c>
      <c r="T442" s="140">
        <f>IFERROR(__xludf.DUMMYFUNCTION("""COMPUTED_VALUE"""),97.0)</f>
        <v>97</v>
      </c>
      <c r="U442" s="136">
        <f>IFERROR(__xludf.DUMMYFUNCTION("""COMPUTED_VALUE"""),31.0)</f>
        <v>31</v>
      </c>
      <c r="V442" s="136">
        <f>IFERROR(__xludf.DUMMYFUNCTION("""COMPUTED_VALUE"""),80.0)</f>
        <v>80</v>
      </c>
      <c r="W442" s="136">
        <f>IFERROR(__xludf.DUMMYFUNCTION("""COMPUTED_VALUE"""),35.0)</f>
        <v>35</v>
      </c>
      <c r="X442" s="136">
        <f>IFERROR(__xludf.DUMMYFUNCTION("""COMPUTED_VALUE"""),354.4791666666667)</f>
        <v>354.4791667</v>
      </c>
      <c r="Y442" s="141">
        <f>IFERROR(__xludf.DUMMYFUNCTION("""COMPUTED_VALUE"""),46.172291666666666)</f>
        <v>46.17229167</v>
      </c>
      <c r="Z442" s="141">
        <f>IFERROR(__xludf.DUMMYFUNCTION("""COMPUTED_VALUE"""),2135.8333333333335)</f>
        <v>2135.833333</v>
      </c>
    </row>
    <row r="443">
      <c r="A443" s="41" t="str">
        <f>IFERROR(__xludf.DUMMYFUNCTION("""COMPUTED_VALUE"""),"Elite")</f>
        <v>Elite</v>
      </c>
      <c r="B443" s="41" t="str">
        <f>IFERROR(__xludf.DUMMYFUNCTION("""COMPUTED_VALUE"""),"RSC006869")</f>
        <v>RSC006869</v>
      </c>
      <c r="C443" s="41" t="str">
        <f>IFERROR(__xludf.DUMMYFUNCTION("""COMPUTED_VALUE"""),"Flurry ^-^")</f>
        <v>Flurry ^-^</v>
      </c>
      <c r="D443" s="41" t="str">
        <f>IFERROR(__xludf.DUMMYFUNCTION("""COMPUTED_VALUE"""),"Dik-diks")</f>
        <v>Dik-diks</v>
      </c>
      <c r="E443" s="136">
        <f>IFERROR(__xludf.DUMMYFUNCTION("""COMPUTED_VALUE"""),42.0)</f>
        <v>42</v>
      </c>
      <c r="F443" s="136">
        <f>IFERROR(__xludf.DUMMYFUNCTION("""COMPUTED_VALUE"""),20.0)</f>
        <v>20</v>
      </c>
      <c r="G443" s="136">
        <f>IFERROR(__xludf.DUMMYFUNCTION("""COMPUTED_VALUE"""),22.0)</f>
        <v>22</v>
      </c>
      <c r="H443" s="137">
        <f>IFERROR(__xludf.DUMMYFUNCTION("""COMPUTED_VALUE"""),0.47619047619047616)</f>
        <v>0.4761904762</v>
      </c>
      <c r="I443" s="136">
        <f>IFERROR(__xludf.DUMMYFUNCTION("""COMPUTED_VALUE"""),5.0)</f>
        <v>5</v>
      </c>
      <c r="J443" s="136">
        <f>IFERROR(__xludf.DUMMYFUNCTION("""COMPUTED_VALUE"""),14399.0)</f>
        <v>14399</v>
      </c>
      <c r="K443" s="136">
        <f>IFERROR(__xludf.DUMMYFUNCTION("""COMPUTED_VALUE"""),41.0)</f>
        <v>41</v>
      </c>
      <c r="L443" s="136">
        <f>IFERROR(__xludf.DUMMYFUNCTION("""COMPUTED_VALUE"""),26.0)</f>
        <v>26</v>
      </c>
      <c r="M443" s="136">
        <f>IFERROR(__xludf.DUMMYFUNCTION("""COMPUTED_VALUE"""),51.0)</f>
        <v>51</v>
      </c>
      <c r="N443" s="136">
        <f>IFERROR(__xludf.DUMMYFUNCTION("""COMPUTED_VALUE"""),105.0)</f>
        <v>105</v>
      </c>
      <c r="O443" s="138">
        <f>IFERROR(__xludf.DUMMYFUNCTION("""COMPUTED_VALUE"""),8.0)</f>
        <v>8</v>
      </c>
      <c r="P443" s="138">
        <f>IFERROR(__xludf.DUMMYFUNCTION("""COMPUTED_VALUE"""),4.0)</f>
        <v>4</v>
      </c>
      <c r="Q443" s="138">
        <f>IFERROR(__xludf.DUMMYFUNCTION("""COMPUTED_VALUE"""),1.0)</f>
        <v>1</v>
      </c>
      <c r="R443" s="138">
        <f>IFERROR(__xludf.DUMMYFUNCTION("""COMPUTED_VALUE"""),7.0)</f>
        <v>7</v>
      </c>
      <c r="S443" s="139">
        <f>IFERROR(__xludf.DUMMYFUNCTION("""COMPUTED_VALUE"""),348.0)</f>
        <v>348</v>
      </c>
      <c r="T443" s="140">
        <f>IFERROR(__xludf.DUMMYFUNCTION("""COMPUTED_VALUE"""),108.0)</f>
        <v>108</v>
      </c>
      <c r="U443" s="136">
        <f>IFERROR(__xludf.DUMMYFUNCTION("""COMPUTED_VALUE"""),36.0)</f>
        <v>36</v>
      </c>
      <c r="V443" s="136">
        <f>IFERROR(__xludf.DUMMYFUNCTION("""COMPUTED_VALUE"""),17.0)</f>
        <v>17</v>
      </c>
      <c r="W443" s="136">
        <f>IFERROR(__xludf.DUMMYFUNCTION("""COMPUTED_VALUE"""),30.0)</f>
        <v>30</v>
      </c>
      <c r="X443" s="136">
        <f>IFERROR(__xludf.DUMMYFUNCTION("""COMPUTED_VALUE"""),369.8333333333333)</f>
        <v>369.8333333</v>
      </c>
      <c r="Y443" s="141">
        <f>IFERROR(__xludf.DUMMYFUNCTION("""COMPUTED_VALUE"""),51.73261904761907)</f>
        <v>51.73261905</v>
      </c>
      <c r="Z443" s="141">
        <f>IFERROR(__xludf.DUMMYFUNCTION("""COMPUTED_VALUE"""),2295.690476190476)</f>
        <v>2295.690476</v>
      </c>
    </row>
    <row r="444">
      <c r="A444" s="41" t="str">
        <f>IFERROR(__xludf.DUMMYFUNCTION("""COMPUTED_VALUE"""),"Elite")</f>
        <v>Elite</v>
      </c>
      <c r="B444" s="41" t="str">
        <f>IFERROR(__xludf.DUMMYFUNCTION("""COMPUTED_VALUE"""),"RSC006877")</f>
        <v>RSC006877</v>
      </c>
      <c r="C444" s="41" t="str">
        <f>IFERROR(__xludf.DUMMYFUNCTION("""COMPUTED_VALUE"""),"Jolt")</f>
        <v>Jolt</v>
      </c>
      <c r="D444" s="41" t="str">
        <f>IFERROR(__xludf.DUMMYFUNCTION("""COMPUTED_VALUE"""),"Afterburners
Thrashers")</f>
        <v>Afterburners
Thrashers</v>
      </c>
      <c r="E444" s="136">
        <f>IFERROR(__xludf.DUMMYFUNCTION("""COMPUTED_VALUE"""),48.0)</f>
        <v>48</v>
      </c>
      <c r="F444" s="136">
        <f>IFERROR(__xludf.DUMMYFUNCTION("""COMPUTED_VALUE"""),21.0)</f>
        <v>21</v>
      </c>
      <c r="G444" s="136">
        <f>IFERROR(__xludf.DUMMYFUNCTION("""COMPUTED_VALUE"""),27.0)</f>
        <v>27</v>
      </c>
      <c r="H444" s="137">
        <f>IFERROR(__xludf.DUMMYFUNCTION("""COMPUTED_VALUE"""),0.4375)</f>
        <v>0.4375</v>
      </c>
      <c r="I444" s="136">
        <f>IFERROR(__xludf.DUMMYFUNCTION("""COMPUTED_VALUE"""),10.0)</f>
        <v>10</v>
      </c>
      <c r="J444" s="136">
        <f>IFERROR(__xludf.DUMMYFUNCTION("""COMPUTED_VALUE"""),19550.0)</f>
        <v>19550</v>
      </c>
      <c r="K444" s="136">
        <f>IFERROR(__xludf.DUMMYFUNCTION("""COMPUTED_VALUE"""),43.0)</f>
        <v>43</v>
      </c>
      <c r="L444" s="136">
        <f>IFERROR(__xludf.DUMMYFUNCTION("""COMPUTED_VALUE"""),39.0)</f>
        <v>39</v>
      </c>
      <c r="M444" s="136">
        <f>IFERROR(__xludf.DUMMYFUNCTION("""COMPUTED_VALUE"""),80.0)</f>
        <v>80</v>
      </c>
      <c r="N444" s="136">
        <f>IFERROR(__xludf.DUMMYFUNCTION("""COMPUTED_VALUE"""),130.0)</f>
        <v>130</v>
      </c>
      <c r="O444" s="138">
        <f>IFERROR(__xludf.DUMMYFUNCTION("""COMPUTED_VALUE"""),8.0)</f>
        <v>8</v>
      </c>
      <c r="P444" s="138">
        <f>IFERROR(__xludf.DUMMYFUNCTION("""COMPUTED_VALUE"""),3.0)</f>
        <v>3</v>
      </c>
      <c r="Q444" s="138">
        <f>IFERROR(__xludf.DUMMYFUNCTION("""COMPUTED_VALUE"""),2.0)</f>
        <v>2</v>
      </c>
      <c r="R444" s="138">
        <f>IFERROR(__xludf.DUMMYFUNCTION("""COMPUTED_VALUE"""),12.0)</f>
        <v>12</v>
      </c>
      <c r="S444" s="139">
        <f>IFERROR(__xludf.DUMMYFUNCTION("""COMPUTED_VALUE"""),397.0)</f>
        <v>397</v>
      </c>
      <c r="T444" s="140">
        <f>IFERROR(__xludf.DUMMYFUNCTION("""COMPUTED_VALUE"""),126.0)</f>
        <v>126</v>
      </c>
      <c r="U444" s="136">
        <f>IFERROR(__xludf.DUMMYFUNCTION("""COMPUTED_VALUE"""),42.0)</f>
        <v>42</v>
      </c>
      <c r="V444" s="136">
        <f>IFERROR(__xludf.DUMMYFUNCTION("""COMPUTED_VALUE"""),84.0)</f>
        <v>84</v>
      </c>
      <c r="W444" s="136">
        <f>IFERROR(__xludf.DUMMYFUNCTION("""COMPUTED_VALUE"""),55.0)</f>
        <v>55</v>
      </c>
      <c r="X444" s="136">
        <f>IFERROR(__xludf.DUMMYFUNCTION("""COMPUTED_VALUE"""),470.6041666666667)</f>
        <v>470.6041667</v>
      </c>
      <c r="Y444" s="141">
        <f>IFERROR(__xludf.DUMMYFUNCTION("""COMPUTED_VALUE"""),49.70229166666666)</f>
        <v>49.70229167</v>
      </c>
      <c r="Z444" s="141">
        <f>IFERROR(__xludf.DUMMYFUNCTION("""COMPUTED_VALUE"""),2894.7916666666665)</f>
        <v>2894.791667</v>
      </c>
    </row>
    <row r="445">
      <c r="A445" s="41" t="str">
        <f>IFERROR(__xludf.DUMMYFUNCTION("""COMPUTED_VALUE"""),"Prospect")</f>
        <v>Prospect</v>
      </c>
      <c r="B445" s="41" t="str">
        <f>IFERROR(__xludf.DUMMYFUNCTION("""COMPUTED_VALUE"""),"RSC006880")</f>
        <v>RSC006880</v>
      </c>
      <c r="C445" s="41" t="str">
        <f>IFERROR(__xludf.DUMMYFUNCTION("""COMPUTED_VALUE"""),"Kenjicat17")</f>
        <v>Kenjicat17</v>
      </c>
      <c r="D445" s="41" t="str">
        <f>IFERROR(__xludf.DUMMYFUNCTION("""COMPUTED_VALUE"""),"Principales")</f>
        <v>Principales</v>
      </c>
      <c r="E445" s="136">
        <f>IFERROR(__xludf.DUMMYFUNCTION("""COMPUTED_VALUE"""),41.0)</f>
        <v>41</v>
      </c>
      <c r="F445" s="136">
        <f>IFERROR(__xludf.DUMMYFUNCTION("""COMPUTED_VALUE"""),15.0)</f>
        <v>15</v>
      </c>
      <c r="G445" s="136">
        <f>IFERROR(__xludf.DUMMYFUNCTION("""COMPUTED_VALUE"""),26.0)</f>
        <v>26</v>
      </c>
      <c r="H445" s="137">
        <f>IFERROR(__xludf.DUMMYFUNCTION("""COMPUTED_VALUE"""),0.36585365853658536)</f>
        <v>0.3658536585</v>
      </c>
      <c r="I445" s="136">
        <f>IFERROR(__xludf.DUMMYFUNCTION("""COMPUTED_VALUE"""),5.0)</f>
        <v>5</v>
      </c>
      <c r="J445" s="136">
        <f>IFERROR(__xludf.DUMMYFUNCTION("""COMPUTED_VALUE"""),13325.0)</f>
        <v>13325</v>
      </c>
      <c r="K445" s="136">
        <f>IFERROR(__xludf.DUMMYFUNCTION("""COMPUTED_VALUE"""),32.0)</f>
        <v>32</v>
      </c>
      <c r="L445" s="136">
        <f>IFERROR(__xludf.DUMMYFUNCTION("""COMPUTED_VALUE"""),20.0)</f>
        <v>20</v>
      </c>
      <c r="M445" s="136">
        <f>IFERROR(__xludf.DUMMYFUNCTION("""COMPUTED_VALUE"""),52.0)</f>
        <v>52</v>
      </c>
      <c r="N445" s="136">
        <f>IFERROR(__xludf.DUMMYFUNCTION("""COMPUTED_VALUE"""),89.0)</f>
        <v>89</v>
      </c>
      <c r="O445" s="138">
        <f>IFERROR(__xludf.DUMMYFUNCTION("""COMPUTED_VALUE"""),9.0)</f>
        <v>9</v>
      </c>
      <c r="P445" s="138">
        <f>IFERROR(__xludf.DUMMYFUNCTION("""COMPUTED_VALUE"""),1.0)</f>
        <v>1</v>
      </c>
      <c r="Q445" s="138">
        <f>IFERROR(__xludf.DUMMYFUNCTION("""COMPUTED_VALUE"""),0.0)</f>
        <v>0</v>
      </c>
      <c r="R445" s="138">
        <f>IFERROR(__xludf.DUMMYFUNCTION("""COMPUTED_VALUE"""),3.0)</f>
        <v>3</v>
      </c>
      <c r="S445" s="139">
        <f>IFERROR(__xludf.DUMMYFUNCTION("""COMPUTED_VALUE"""),332.0)</f>
        <v>332</v>
      </c>
      <c r="T445" s="140">
        <f>IFERROR(__xludf.DUMMYFUNCTION("""COMPUTED_VALUE"""),105.0)</f>
        <v>105</v>
      </c>
      <c r="U445" s="136">
        <f>IFERROR(__xludf.DUMMYFUNCTION("""COMPUTED_VALUE"""),44.0)</f>
        <v>44</v>
      </c>
      <c r="V445" s="136">
        <f>IFERROR(__xludf.DUMMYFUNCTION("""COMPUTED_VALUE"""),27.0)</f>
        <v>27</v>
      </c>
      <c r="W445" s="136">
        <f>IFERROR(__xludf.DUMMYFUNCTION("""COMPUTED_VALUE"""),39.0)</f>
        <v>39</v>
      </c>
      <c r="X445" s="136">
        <f>IFERROR(__xludf.DUMMYFUNCTION("""COMPUTED_VALUE"""),280.609756097561)</f>
        <v>280.6097561</v>
      </c>
      <c r="Y445" s="141">
        <f>IFERROR(__xludf.DUMMYFUNCTION("""COMPUTED_VALUE"""),48.89609756097561)</f>
        <v>48.89609756</v>
      </c>
      <c r="Z445" s="141">
        <f>IFERROR(__xludf.DUMMYFUNCTION("""COMPUTED_VALUE"""),1867.9268292682927)</f>
        <v>1867.926829</v>
      </c>
    </row>
    <row r="446">
      <c r="A446" s="41" t="str">
        <f>IFERROR(__xludf.DUMMYFUNCTION("""COMPUTED_VALUE"""),"Rival")</f>
        <v>Rival</v>
      </c>
      <c r="B446" s="41" t="str">
        <f>IFERROR(__xludf.DUMMYFUNCTION("""COMPUTED_VALUE"""),"RSC006883")</f>
        <v>RSC006883</v>
      </c>
      <c r="C446" s="41" t="str">
        <f>IFERROR(__xludf.DUMMYFUNCTION("""COMPUTED_VALUE"""),"Kit")</f>
        <v>Kit</v>
      </c>
      <c r="D446" s="41" t="str">
        <f>IFERROR(__xludf.DUMMYFUNCTION("""COMPUTED_VALUE"""),"Liars")</f>
        <v>Liars</v>
      </c>
      <c r="E446" s="136">
        <f>IFERROR(__xludf.DUMMYFUNCTION("""COMPUTED_VALUE"""),51.0)</f>
        <v>51</v>
      </c>
      <c r="F446" s="136">
        <f>IFERROR(__xludf.DUMMYFUNCTION("""COMPUTED_VALUE"""),18.0)</f>
        <v>18</v>
      </c>
      <c r="G446" s="136">
        <f>IFERROR(__xludf.DUMMYFUNCTION("""COMPUTED_VALUE"""),33.0)</f>
        <v>33</v>
      </c>
      <c r="H446" s="137">
        <f>IFERROR(__xludf.DUMMYFUNCTION("""COMPUTED_VALUE"""),0.35294117647058826)</f>
        <v>0.3529411765</v>
      </c>
      <c r="I446" s="136">
        <f>IFERROR(__xludf.DUMMYFUNCTION("""COMPUTED_VALUE"""),7.0)</f>
        <v>7</v>
      </c>
      <c r="J446" s="136">
        <f>IFERROR(__xludf.DUMMYFUNCTION("""COMPUTED_VALUE"""),15212.0)</f>
        <v>15212</v>
      </c>
      <c r="K446" s="136">
        <f>IFERROR(__xludf.DUMMYFUNCTION("""COMPUTED_VALUE"""),33.0)</f>
        <v>33</v>
      </c>
      <c r="L446" s="136">
        <f>IFERROR(__xludf.DUMMYFUNCTION("""COMPUTED_VALUE"""),18.0)</f>
        <v>18</v>
      </c>
      <c r="M446" s="136">
        <f>IFERROR(__xludf.DUMMYFUNCTION("""COMPUTED_VALUE"""),55.0)</f>
        <v>55</v>
      </c>
      <c r="N446" s="136">
        <f>IFERROR(__xludf.DUMMYFUNCTION("""COMPUTED_VALUE"""),121.0)</f>
        <v>121</v>
      </c>
      <c r="O446" s="138">
        <f>IFERROR(__xludf.DUMMYFUNCTION("""COMPUTED_VALUE"""),6.0)</f>
        <v>6</v>
      </c>
      <c r="P446" s="138">
        <f>IFERROR(__xludf.DUMMYFUNCTION("""COMPUTED_VALUE"""),2.0)</f>
        <v>2</v>
      </c>
      <c r="Q446" s="138">
        <f>IFERROR(__xludf.DUMMYFUNCTION("""COMPUTED_VALUE"""),0.0)</f>
        <v>0</v>
      </c>
      <c r="R446" s="138">
        <f>IFERROR(__xludf.DUMMYFUNCTION("""COMPUTED_VALUE"""),7.0)</f>
        <v>7</v>
      </c>
      <c r="S446" s="139">
        <f>IFERROR(__xludf.DUMMYFUNCTION("""COMPUTED_VALUE"""),415.0)</f>
        <v>415</v>
      </c>
      <c r="T446" s="140">
        <f>IFERROR(__xludf.DUMMYFUNCTION("""COMPUTED_VALUE"""),133.0)</f>
        <v>133</v>
      </c>
      <c r="U446" s="136">
        <f>IFERROR(__xludf.DUMMYFUNCTION("""COMPUTED_VALUE"""),35.0)</f>
        <v>35</v>
      </c>
      <c r="V446" s="136">
        <f>IFERROR(__xludf.DUMMYFUNCTION("""COMPUTED_VALUE"""),48.0)</f>
        <v>48</v>
      </c>
      <c r="W446" s="136">
        <f>IFERROR(__xludf.DUMMYFUNCTION("""COMPUTED_VALUE"""),34.0)</f>
        <v>34</v>
      </c>
      <c r="X446" s="136">
        <f>IFERROR(__xludf.DUMMYFUNCTION("""COMPUTED_VALUE"""),315.3137254901961)</f>
        <v>315.3137255</v>
      </c>
      <c r="Y446" s="141">
        <f>IFERROR(__xludf.DUMMYFUNCTION("""COMPUTED_VALUE"""),48.888039215686256)</f>
        <v>48.88803922</v>
      </c>
      <c r="Z446" s="141">
        <f>IFERROR(__xludf.DUMMYFUNCTION("""COMPUTED_VALUE"""),1873.0980392156862)</f>
        <v>1873.098039</v>
      </c>
    </row>
    <row r="447">
      <c r="A447" s="41" t="str">
        <f>IFERROR(__xludf.DUMMYFUNCTION("""COMPUTED_VALUE"""),"Premier")</f>
        <v>Premier</v>
      </c>
      <c r="B447" s="41" t="str">
        <f>IFERROR(__xludf.DUMMYFUNCTION("""COMPUTED_VALUE"""),"RSC006889")</f>
        <v>RSC006889</v>
      </c>
      <c r="C447" s="41" t="str">
        <f>IFERROR(__xludf.DUMMYFUNCTION("""COMPUTED_VALUE"""),"Jay")</f>
        <v>Jay</v>
      </c>
      <c r="D447" s="41" t="str">
        <f>IFERROR(__xludf.DUMMYFUNCTION("""COMPUTED_VALUE"""),"Leviathans")</f>
        <v>Leviathans</v>
      </c>
      <c r="E447" s="136">
        <f>IFERROR(__xludf.DUMMYFUNCTION("""COMPUTED_VALUE"""),24.0)</f>
        <v>24</v>
      </c>
      <c r="F447" s="136">
        <f>IFERROR(__xludf.DUMMYFUNCTION("""COMPUTED_VALUE"""),13.0)</f>
        <v>13</v>
      </c>
      <c r="G447" s="136">
        <f>IFERROR(__xludf.DUMMYFUNCTION("""COMPUTED_VALUE"""),11.0)</f>
        <v>11</v>
      </c>
      <c r="H447" s="137">
        <f>IFERROR(__xludf.DUMMYFUNCTION("""COMPUTED_VALUE"""),0.5416666666666666)</f>
        <v>0.5416666667</v>
      </c>
      <c r="I447" s="136">
        <f>IFERROR(__xludf.DUMMYFUNCTION("""COMPUTED_VALUE"""),2.0)</f>
        <v>2</v>
      </c>
      <c r="J447" s="136">
        <f>IFERROR(__xludf.DUMMYFUNCTION("""COMPUTED_VALUE"""),9603.0)</f>
        <v>9603</v>
      </c>
      <c r="K447" s="136">
        <f>IFERROR(__xludf.DUMMYFUNCTION("""COMPUTED_VALUE"""),20.0)</f>
        <v>20</v>
      </c>
      <c r="L447" s="136">
        <f>IFERROR(__xludf.DUMMYFUNCTION("""COMPUTED_VALUE"""),16.0)</f>
        <v>16</v>
      </c>
      <c r="M447" s="136">
        <f>IFERROR(__xludf.DUMMYFUNCTION("""COMPUTED_VALUE"""),41.0)</f>
        <v>41</v>
      </c>
      <c r="N447" s="136">
        <f>IFERROR(__xludf.DUMMYFUNCTION("""COMPUTED_VALUE"""),66.0)</f>
        <v>66</v>
      </c>
      <c r="O447" s="138">
        <f>IFERROR(__xludf.DUMMYFUNCTION("""COMPUTED_VALUE"""),4.0)</f>
        <v>4</v>
      </c>
      <c r="P447" s="138">
        <f>IFERROR(__xludf.DUMMYFUNCTION("""COMPUTED_VALUE"""),1.0)</f>
        <v>1</v>
      </c>
      <c r="Q447" s="138">
        <f>IFERROR(__xludf.DUMMYFUNCTION("""COMPUTED_VALUE"""),0.0)</f>
        <v>0</v>
      </c>
      <c r="R447" s="138">
        <f>IFERROR(__xludf.DUMMYFUNCTION("""COMPUTED_VALUE"""),6.0)</f>
        <v>6</v>
      </c>
      <c r="S447" s="139">
        <f>IFERROR(__xludf.DUMMYFUNCTION("""COMPUTED_VALUE"""),234.0)</f>
        <v>234</v>
      </c>
      <c r="T447" s="140">
        <f>IFERROR(__xludf.DUMMYFUNCTION("""COMPUTED_VALUE"""),59.0)</f>
        <v>59</v>
      </c>
      <c r="U447" s="136">
        <f>IFERROR(__xludf.DUMMYFUNCTION("""COMPUTED_VALUE"""),14.0)</f>
        <v>14</v>
      </c>
      <c r="V447" s="136">
        <f>IFERROR(__xludf.DUMMYFUNCTION("""COMPUTED_VALUE"""),33.0)</f>
        <v>33</v>
      </c>
      <c r="W447" s="136">
        <f>IFERROR(__xludf.DUMMYFUNCTION("""COMPUTED_VALUE"""),34.0)</f>
        <v>34</v>
      </c>
      <c r="X447" s="136">
        <f>IFERROR(__xludf.DUMMYFUNCTION("""COMPUTED_VALUE"""),361.7083333333333)</f>
        <v>361.7083333</v>
      </c>
      <c r="Y447" s="141">
        <f>IFERROR(__xludf.DUMMYFUNCTION("""COMPUTED_VALUE"""),49.54916666666667)</f>
        <v>49.54916667</v>
      </c>
      <c r="Z447" s="141">
        <f>IFERROR(__xludf.DUMMYFUNCTION("""COMPUTED_VALUE"""),2309.0)</f>
        <v>2309</v>
      </c>
    </row>
    <row r="448">
      <c r="A448" s="41" t="str">
        <f>IFERROR(__xludf.DUMMYFUNCTION("""COMPUTED_VALUE"""),"Master")</f>
        <v>Master</v>
      </c>
      <c r="B448" s="41" t="str">
        <f>IFERROR(__xludf.DUMMYFUNCTION("""COMPUTED_VALUE"""),"RSC006903")</f>
        <v>RSC006903</v>
      </c>
      <c r="C448" s="41" t="str">
        <f>IFERROR(__xludf.DUMMYFUNCTION("""COMPUTED_VALUE"""),"BobbyWitDatT00L")</f>
        <v>BobbyWitDatT00L</v>
      </c>
      <c r="D448" s="41" t="str">
        <f>IFERROR(__xludf.DUMMYFUNCTION("""COMPUTED_VALUE"""),"Heinous Henchmen")</f>
        <v>Heinous Henchmen</v>
      </c>
      <c r="E448" s="136">
        <f>IFERROR(__xludf.DUMMYFUNCTION("""COMPUTED_VALUE"""),56.0)</f>
        <v>56</v>
      </c>
      <c r="F448" s="136">
        <f>IFERROR(__xludf.DUMMYFUNCTION("""COMPUTED_VALUE"""),29.0)</f>
        <v>29</v>
      </c>
      <c r="G448" s="136">
        <f>IFERROR(__xludf.DUMMYFUNCTION("""COMPUTED_VALUE"""),27.0)</f>
        <v>27</v>
      </c>
      <c r="H448" s="137">
        <f>IFERROR(__xludf.DUMMYFUNCTION("""COMPUTED_VALUE"""),0.5178571428571429)</f>
        <v>0.5178571429</v>
      </c>
      <c r="I448" s="136">
        <f>IFERROR(__xludf.DUMMYFUNCTION("""COMPUTED_VALUE"""),11.0)</f>
        <v>11</v>
      </c>
      <c r="J448" s="136">
        <f>IFERROR(__xludf.DUMMYFUNCTION("""COMPUTED_VALUE"""),18888.0)</f>
        <v>18888</v>
      </c>
      <c r="K448" s="136">
        <f>IFERROR(__xludf.DUMMYFUNCTION("""COMPUTED_VALUE"""),43.0)</f>
        <v>43</v>
      </c>
      <c r="L448" s="136">
        <f>IFERROR(__xludf.DUMMYFUNCTION("""COMPUTED_VALUE"""),29.0)</f>
        <v>29</v>
      </c>
      <c r="M448" s="136">
        <f>IFERROR(__xludf.DUMMYFUNCTION("""COMPUTED_VALUE"""),73.0)</f>
        <v>73</v>
      </c>
      <c r="N448" s="136">
        <f>IFERROR(__xludf.DUMMYFUNCTION("""COMPUTED_VALUE"""),126.0)</f>
        <v>126</v>
      </c>
      <c r="O448" s="138">
        <f>IFERROR(__xludf.DUMMYFUNCTION("""COMPUTED_VALUE"""),11.0)</f>
        <v>11</v>
      </c>
      <c r="P448" s="138">
        <f>IFERROR(__xludf.DUMMYFUNCTION("""COMPUTED_VALUE"""),2.0)</f>
        <v>2</v>
      </c>
      <c r="Q448" s="138">
        <f>IFERROR(__xludf.DUMMYFUNCTION("""COMPUTED_VALUE"""),2.0)</f>
        <v>2</v>
      </c>
      <c r="R448" s="138">
        <f>IFERROR(__xludf.DUMMYFUNCTION("""COMPUTED_VALUE"""),12.0)</f>
        <v>12</v>
      </c>
      <c r="S448" s="139">
        <f>IFERROR(__xludf.DUMMYFUNCTION("""COMPUTED_VALUE"""),382.0)</f>
        <v>382</v>
      </c>
      <c r="T448" s="140">
        <f>IFERROR(__xludf.DUMMYFUNCTION("""COMPUTED_VALUE"""),109.0)</f>
        <v>109</v>
      </c>
      <c r="U448" s="136">
        <f>IFERROR(__xludf.DUMMYFUNCTION("""COMPUTED_VALUE"""),37.0)</f>
        <v>37</v>
      </c>
      <c r="V448" s="136">
        <f>IFERROR(__xludf.DUMMYFUNCTION("""COMPUTED_VALUE"""),49.0)</f>
        <v>49</v>
      </c>
      <c r="W448" s="136">
        <f>IFERROR(__xludf.DUMMYFUNCTION("""COMPUTED_VALUE"""),54.0)</f>
        <v>54</v>
      </c>
      <c r="X448" s="136">
        <f>IFERROR(__xludf.DUMMYFUNCTION("""COMPUTED_VALUE"""),361.4807692307692)</f>
        <v>361.4807692</v>
      </c>
      <c r="Y448" s="141">
        <f>IFERROR(__xludf.DUMMYFUNCTION("""COMPUTED_VALUE"""),49.00961538461537)</f>
        <v>49.00961538</v>
      </c>
      <c r="Z448" s="141">
        <f>IFERROR(__xludf.DUMMYFUNCTION("""COMPUTED_VALUE"""),2194.019230769231)</f>
        <v>2194.019231</v>
      </c>
    </row>
    <row r="449">
      <c r="A449" s="41" t="str">
        <f>IFERROR(__xludf.DUMMYFUNCTION("""COMPUTED_VALUE"""),"Challenger")</f>
        <v>Challenger</v>
      </c>
      <c r="B449" s="41" t="str">
        <f>IFERROR(__xludf.DUMMYFUNCTION("""COMPUTED_VALUE"""),"RSC006908")</f>
        <v>RSC006908</v>
      </c>
      <c r="C449" s="41" t="str">
        <f>IFERROR(__xludf.DUMMYFUNCTION("""COMPUTED_VALUE"""),"OvrSizedFrog")</f>
        <v>OvrSizedFrog</v>
      </c>
      <c r="D449" s="41" t="str">
        <f>IFERROR(__xludf.DUMMYFUNCTION("""COMPUTED_VALUE"""),"Ryujin")</f>
        <v>Ryujin</v>
      </c>
      <c r="E449" s="136">
        <f>IFERROR(__xludf.DUMMYFUNCTION("""COMPUTED_VALUE"""),40.0)</f>
        <v>40</v>
      </c>
      <c r="F449" s="136">
        <f>IFERROR(__xludf.DUMMYFUNCTION("""COMPUTED_VALUE"""),19.0)</f>
        <v>19</v>
      </c>
      <c r="G449" s="136">
        <f>IFERROR(__xludf.DUMMYFUNCTION("""COMPUTED_VALUE"""),21.0)</f>
        <v>21</v>
      </c>
      <c r="H449" s="137">
        <f>IFERROR(__xludf.DUMMYFUNCTION("""COMPUTED_VALUE"""),0.475)</f>
        <v>0.475</v>
      </c>
      <c r="I449" s="136">
        <f>IFERROR(__xludf.DUMMYFUNCTION("""COMPUTED_VALUE"""),10.0)</f>
        <v>10</v>
      </c>
      <c r="J449" s="136">
        <f>IFERROR(__xludf.DUMMYFUNCTION("""COMPUTED_VALUE"""),13412.0)</f>
        <v>13412</v>
      </c>
      <c r="K449" s="136">
        <f>IFERROR(__xludf.DUMMYFUNCTION("""COMPUTED_VALUE"""),30.0)</f>
        <v>30</v>
      </c>
      <c r="L449" s="136">
        <f>IFERROR(__xludf.DUMMYFUNCTION("""COMPUTED_VALUE"""),20.0)</f>
        <v>20</v>
      </c>
      <c r="M449" s="136">
        <f>IFERROR(__xludf.DUMMYFUNCTION("""COMPUTED_VALUE"""),47.0)</f>
        <v>47</v>
      </c>
      <c r="N449" s="136">
        <f>IFERROR(__xludf.DUMMYFUNCTION("""COMPUTED_VALUE"""),103.0)</f>
        <v>103</v>
      </c>
      <c r="O449" s="138">
        <f>IFERROR(__xludf.DUMMYFUNCTION("""COMPUTED_VALUE"""),6.0)</f>
        <v>6</v>
      </c>
      <c r="P449" s="138">
        <f>IFERROR(__xludf.DUMMYFUNCTION("""COMPUTED_VALUE"""),2.0)</f>
        <v>2</v>
      </c>
      <c r="Q449" s="138">
        <f>IFERROR(__xludf.DUMMYFUNCTION("""COMPUTED_VALUE"""),2.0)</f>
        <v>2</v>
      </c>
      <c r="R449" s="138">
        <f>IFERROR(__xludf.DUMMYFUNCTION("""COMPUTED_VALUE"""),7.0)</f>
        <v>7</v>
      </c>
      <c r="S449" s="139">
        <f>IFERROR(__xludf.DUMMYFUNCTION("""COMPUTED_VALUE"""),301.0)</f>
        <v>301</v>
      </c>
      <c r="T449" s="140">
        <f>IFERROR(__xludf.DUMMYFUNCTION("""COMPUTED_VALUE"""),96.0)</f>
        <v>96</v>
      </c>
      <c r="U449" s="136">
        <f>IFERROR(__xludf.DUMMYFUNCTION("""COMPUTED_VALUE"""),35.0)</f>
        <v>35</v>
      </c>
      <c r="V449" s="136">
        <f>IFERROR(__xludf.DUMMYFUNCTION("""COMPUTED_VALUE"""),20.0)</f>
        <v>20</v>
      </c>
      <c r="W449" s="136">
        <f>IFERROR(__xludf.DUMMYFUNCTION("""COMPUTED_VALUE"""),36.0)</f>
        <v>36</v>
      </c>
      <c r="X449" s="136">
        <f>IFERROR(__xludf.DUMMYFUNCTION("""COMPUTED_VALUE"""),320.55)</f>
        <v>320.55</v>
      </c>
      <c r="Y449" s="141">
        <f>IFERROR(__xludf.DUMMYFUNCTION("""COMPUTED_VALUE"""),53.50775)</f>
        <v>53.50775</v>
      </c>
      <c r="Z449" s="141">
        <f>IFERROR(__xludf.DUMMYFUNCTION("""COMPUTED_VALUE"""),1920.475)</f>
        <v>1920.475</v>
      </c>
    </row>
    <row r="450">
      <c r="A450" s="41" t="str">
        <f>IFERROR(__xludf.DUMMYFUNCTION("""COMPUTED_VALUE"""),"Rival")</f>
        <v>Rival</v>
      </c>
      <c r="B450" s="41" t="str">
        <f>IFERROR(__xludf.DUMMYFUNCTION("""COMPUTED_VALUE"""),"RSC006910")</f>
        <v>RSC006910</v>
      </c>
      <c r="C450" s="41" t="str">
        <f>IFERROR(__xludf.DUMMYFUNCTION("""COMPUTED_VALUE"""),"Swanny2.0")</f>
        <v>Swanny2.0</v>
      </c>
      <c r="D450" s="41" t="str">
        <f>IFERROR(__xludf.DUMMYFUNCTION("""COMPUTED_VALUE"""),"Liars")</f>
        <v>Liars</v>
      </c>
      <c r="E450" s="136">
        <f>IFERROR(__xludf.DUMMYFUNCTION("""COMPUTED_VALUE"""),44.0)</f>
        <v>44</v>
      </c>
      <c r="F450" s="136">
        <f>IFERROR(__xludf.DUMMYFUNCTION("""COMPUTED_VALUE"""),12.0)</f>
        <v>12</v>
      </c>
      <c r="G450" s="136">
        <f>IFERROR(__xludf.DUMMYFUNCTION("""COMPUTED_VALUE"""),32.0)</f>
        <v>32</v>
      </c>
      <c r="H450" s="137">
        <f>IFERROR(__xludf.DUMMYFUNCTION("""COMPUTED_VALUE"""),0.2727272727272727)</f>
        <v>0.2727272727</v>
      </c>
      <c r="I450" s="136">
        <f>IFERROR(__xludf.DUMMYFUNCTION("""COMPUTED_VALUE"""),4.0)</f>
        <v>4</v>
      </c>
      <c r="J450" s="136">
        <f>IFERROR(__xludf.DUMMYFUNCTION("""COMPUTED_VALUE"""),15512.0)</f>
        <v>15512</v>
      </c>
      <c r="K450" s="136">
        <f>IFERROR(__xludf.DUMMYFUNCTION("""COMPUTED_VALUE"""),24.0)</f>
        <v>24</v>
      </c>
      <c r="L450" s="136">
        <f>IFERROR(__xludf.DUMMYFUNCTION("""COMPUTED_VALUE"""),21.0)</f>
        <v>21</v>
      </c>
      <c r="M450" s="136">
        <f>IFERROR(__xludf.DUMMYFUNCTION("""COMPUTED_VALUE"""),82.0)</f>
        <v>82</v>
      </c>
      <c r="N450" s="136">
        <f>IFERROR(__xludf.DUMMYFUNCTION("""COMPUTED_VALUE"""),78.0)</f>
        <v>78</v>
      </c>
      <c r="O450" s="138">
        <f>IFERROR(__xludf.DUMMYFUNCTION("""COMPUTED_VALUE"""),6.0)</f>
        <v>6</v>
      </c>
      <c r="P450" s="138">
        <f>IFERROR(__xludf.DUMMYFUNCTION("""COMPUTED_VALUE"""),0.0)</f>
        <v>0</v>
      </c>
      <c r="Q450" s="138">
        <f>IFERROR(__xludf.DUMMYFUNCTION("""COMPUTED_VALUE"""),1.0)</f>
        <v>1</v>
      </c>
      <c r="R450" s="138">
        <f>IFERROR(__xludf.DUMMYFUNCTION("""COMPUTED_VALUE"""),14.0)</f>
        <v>14</v>
      </c>
      <c r="S450" s="139">
        <f>IFERROR(__xludf.DUMMYFUNCTION("""COMPUTED_VALUE"""),383.0)</f>
        <v>383</v>
      </c>
      <c r="T450" s="140">
        <f>IFERROR(__xludf.DUMMYFUNCTION("""COMPUTED_VALUE"""),123.0)</f>
        <v>123</v>
      </c>
      <c r="U450" s="136">
        <f>IFERROR(__xludf.DUMMYFUNCTION("""COMPUTED_VALUE"""),44.0)</f>
        <v>44</v>
      </c>
      <c r="V450" s="136">
        <f>IFERROR(__xludf.DUMMYFUNCTION("""COMPUTED_VALUE"""),31.0)</f>
        <v>31</v>
      </c>
      <c r="W450" s="136">
        <f>IFERROR(__xludf.DUMMYFUNCTION("""COMPUTED_VALUE"""),41.0)</f>
        <v>41</v>
      </c>
      <c r="X450" s="136">
        <f>IFERROR(__xludf.DUMMYFUNCTION("""COMPUTED_VALUE"""),349.77272727272725)</f>
        <v>349.7727273</v>
      </c>
      <c r="Y450" s="141">
        <f>IFERROR(__xludf.DUMMYFUNCTION("""COMPUTED_VALUE"""),57.2590909090909)</f>
        <v>57.25909091</v>
      </c>
      <c r="Z450" s="141">
        <f>IFERROR(__xludf.DUMMYFUNCTION("""COMPUTED_VALUE"""),2105.3863636363635)</f>
        <v>2105.386364</v>
      </c>
    </row>
    <row r="451">
      <c r="A451" s="41" t="str">
        <f>IFERROR(__xludf.DUMMYFUNCTION("""COMPUTED_VALUE"""),"Prospect")</f>
        <v>Prospect</v>
      </c>
      <c r="B451" s="41" t="str">
        <f>IFERROR(__xludf.DUMMYFUNCTION("""COMPUTED_VALUE"""),"RSC006919")</f>
        <v>RSC006919</v>
      </c>
      <c r="C451" s="41" t="str">
        <f>IFERROR(__xludf.DUMMYFUNCTION("""COMPUTED_VALUE"""),"rinny_b0y")</f>
        <v>rinny_b0y</v>
      </c>
      <c r="D451" s="41" t="str">
        <f>IFERROR(__xludf.DUMMYFUNCTION("""COMPUTED_VALUE"""),"Hostile Takeover")</f>
        <v>Hostile Takeover</v>
      </c>
      <c r="E451" s="136">
        <f>IFERROR(__xludf.DUMMYFUNCTION("""COMPUTED_VALUE"""),39.0)</f>
        <v>39</v>
      </c>
      <c r="F451" s="136">
        <f>IFERROR(__xludf.DUMMYFUNCTION("""COMPUTED_VALUE"""),26.0)</f>
        <v>26</v>
      </c>
      <c r="G451" s="136">
        <f>IFERROR(__xludf.DUMMYFUNCTION("""COMPUTED_VALUE"""),13.0)</f>
        <v>13</v>
      </c>
      <c r="H451" s="137">
        <f>IFERROR(__xludf.DUMMYFUNCTION("""COMPUTED_VALUE"""),0.6666666666666666)</f>
        <v>0.6666666667</v>
      </c>
      <c r="I451" s="136">
        <f>IFERROR(__xludf.DUMMYFUNCTION("""COMPUTED_VALUE"""),8.0)</f>
        <v>8</v>
      </c>
      <c r="J451" s="136">
        <f>IFERROR(__xludf.DUMMYFUNCTION("""COMPUTED_VALUE"""),14069.0)</f>
        <v>14069</v>
      </c>
      <c r="K451" s="136">
        <f>IFERROR(__xludf.DUMMYFUNCTION("""COMPUTED_VALUE"""),43.0)</f>
        <v>43</v>
      </c>
      <c r="L451" s="136">
        <f>IFERROR(__xludf.DUMMYFUNCTION("""COMPUTED_VALUE"""),23.0)</f>
        <v>23</v>
      </c>
      <c r="M451" s="136">
        <f>IFERROR(__xludf.DUMMYFUNCTION("""COMPUTED_VALUE"""),50.0)</f>
        <v>50</v>
      </c>
      <c r="N451" s="136">
        <f>IFERROR(__xludf.DUMMYFUNCTION("""COMPUTED_VALUE"""),110.0)</f>
        <v>110</v>
      </c>
      <c r="O451" s="138">
        <f>IFERROR(__xludf.DUMMYFUNCTION("""COMPUTED_VALUE"""),7.0)</f>
        <v>7</v>
      </c>
      <c r="P451" s="138">
        <f>IFERROR(__xludf.DUMMYFUNCTION("""COMPUTED_VALUE"""),5.0)</f>
        <v>5</v>
      </c>
      <c r="Q451" s="138">
        <f>IFERROR(__xludf.DUMMYFUNCTION("""COMPUTED_VALUE"""),1.0)</f>
        <v>1</v>
      </c>
      <c r="R451" s="138">
        <f>IFERROR(__xludf.DUMMYFUNCTION("""COMPUTED_VALUE"""),4.0)</f>
        <v>4</v>
      </c>
      <c r="S451" s="139">
        <f>IFERROR(__xludf.DUMMYFUNCTION("""COMPUTED_VALUE"""),261.0)</f>
        <v>261</v>
      </c>
      <c r="T451" s="140">
        <f>IFERROR(__xludf.DUMMYFUNCTION("""COMPUTED_VALUE"""),67.0)</f>
        <v>67</v>
      </c>
      <c r="U451" s="136">
        <f>IFERROR(__xludf.DUMMYFUNCTION("""COMPUTED_VALUE"""),22.0)</f>
        <v>22</v>
      </c>
      <c r="V451" s="136">
        <f>IFERROR(__xludf.DUMMYFUNCTION("""COMPUTED_VALUE"""),20.0)</f>
        <v>20</v>
      </c>
      <c r="W451" s="136">
        <f>IFERROR(__xludf.DUMMYFUNCTION("""COMPUTED_VALUE"""),35.0)</f>
        <v>35</v>
      </c>
      <c r="X451" s="136">
        <f>IFERROR(__xludf.DUMMYFUNCTION("""COMPUTED_VALUE"""),349.6923076923077)</f>
        <v>349.6923077</v>
      </c>
      <c r="Y451" s="141">
        <f>IFERROR(__xludf.DUMMYFUNCTION("""COMPUTED_VALUE"""),56.71641025641025)</f>
        <v>56.71641026</v>
      </c>
      <c r="Z451" s="141">
        <f>IFERROR(__xludf.DUMMYFUNCTION("""COMPUTED_VALUE"""),2192.923076923077)</f>
        <v>2192.923077</v>
      </c>
    </row>
    <row r="452">
      <c r="A452" s="41" t="str">
        <f>IFERROR(__xludf.DUMMYFUNCTION("""COMPUTED_VALUE"""),"Challenger")</f>
        <v>Challenger</v>
      </c>
      <c r="B452" s="41" t="str">
        <f>IFERROR(__xludf.DUMMYFUNCTION("""COMPUTED_VALUE"""),"RSC006923")</f>
        <v>RSC006923</v>
      </c>
      <c r="C452" s="41" t="str">
        <f>IFERROR(__xludf.DUMMYFUNCTION("""COMPUTED_VALUE"""),"LostZealous")</f>
        <v>LostZealous</v>
      </c>
      <c r="D452" s="41" t="str">
        <f>IFERROR(__xludf.DUMMYFUNCTION("""COMPUTED_VALUE"""),"Zombies")</f>
        <v>Zombies</v>
      </c>
      <c r="E452" s="136">
        <f>IFERROR(__xludf.DUMMYFUNCTION("""COMPUTED_VALUE"""),52.0)</f>
        <v>52</v>
      </c>
      <c r="F452" s="136">
        <f>IFERROR(__xludf.DUMMYFUNCTION("""COMPUTED_VALUE"""),29.0)</f>
        <v>29</v>
      </c>
      <c r="G452" s="136">
        <f>IFERROR(__xludf.DUMMYFUNCTION("""COMPUTED_VALUE"""),23.0)</f>
        <v>23</v>
      </c>
      <c r="H452" s="137">
        <f>IFERROR(__xludf.DUMMYFUNCTION("""COMPUTED_VALUE"""),0.5576923076923077)</f>
        <v>0.5576923077</v>
      </c>
      <c r="I452" s="136">
        <f>IFERROR(__xludf.DUMMYFUNCTION("""COMPUTED_VALUE"""),15.0)</f>
        <v>15</v>
      </c>
      <c r="J452" s="136">
        <f>IFERROR(__xludf.DUMMYFUNCTION("""COMPUTED_VALUE"""),20145.0)</f>
        <v>20145</v>
      </c>
      <c r="K452" s="136">
        <f>IFERROR(__xludf.DUMMYFUNCTION("""COMPUTED_VALUE"""),48.0)</f>
        <v>48</v>
      </c>
      <c r="L452" s="136">
        <f>IFERROR(__xludf.DUMMYFUNCTION("""COMPUTED_VALUE"""),28.0)</f>
        <v>28</v>
      </c>
      <c r="M452" s="136">
        <f>IFERROR(__xludf.DUMMYFUNCTION("""COMPUTED_VALUE"""),63.0)</f>
        <v>63</v>
      </c>
      <c r="N452" s="136">
        <f>IFERROR(__xludf.DUMMYFUNCTION("""COMPUTED_VALUE"""),154.0)</f>
        <v>154</v>
      </c>
      <c r="O452" s="138">
        <f>IFERROR(__xludf.DUMMYFUNCTION("""COMPUTED_VALUE"""),9.0)</f>
        <v>9</v>
      </c>
      <c r="P452" s="138">
        <f>IFERROR(__xludf.DUMMYFUNCTION("""COMPUTED_VALUE"""),3.0)</f>
        <v>3</v>
      </c>
      <c r="Q452" s="138">
        <f>IFERROR(__xludf.DUMMYFUNCTION("""COMPUTED_VALUE"""),1.0)</f>
        <v>1</v>
      </c>
      <c r="R452" s="138">
        <f>IFERROR(__xludf.DUMMYFUNCTION("""COMPUTED_VALUE"""),8.0)</f>
        <v>8</v>
      </c>
      <c r="S452" s="139">
        <f>IFERROR(__xludf.DUMMYFUNCTION("""COMPUTED_VALUE"""),365.0)</f>
        <v>365</v>
      </c>
      <c r="T452" s="140">
        <f>IFERROR(__xludf.DUMMYFUNCTION("""COMPUTED_VALUE"""),123.0)</f>
        <v>123</v>
      </c>
      <c r="U452" s="136">
        <f>IFERROR(__xludf.DUMMYFUNCTION("""COMPUTED_VALUE"""),45.0)</f>
        <v>45</v>
      </c>
      <c r="V452" s="136">
        <f>IFERROR(__xludf.DUMMYFUNCTION("""COMPUTED_VALUE"""),80.0)</f>
        <v>80</v>
      </c>
      <c r="W452" s="136">
        <f>IFERROR(__xludf.DUMMYFUNCTION("""COMPUTED_VALUE"""),55.0)</f>
        <v>55</v>
      </c>
      <c r="X452" s="136">
        <f>IFERROR(__xludf.DUMMYFUNCTION("""COMPUTED_VALUE"""),333.9230769230769)</f>
        <v>333.9230769</v>
      </c>
      <c r="Y452" s="141">
        <f>IFERROR(__xludf.DUMMYFUNCTION("""COMPUTED_VALUE"""),50.25846153846157)</f>
        <v>50.25846154</v>
      </c>
      <c r="Z452" s="141">
        <f>IFERROR(__xludf.DUMMYFUNCTION("""COMPUTED_VALUE"""),2092.1923076923076)</f>
        <v>2092.192308</v>
      </c>
    </row>
    <row r="453">
      <c r="A453" s="41" t="str">
        <f>IFERROR(__xludf.DUMMYFUNCTION("""COMPUTED_VALUE"""),"Rival")</f>
        <v>Rival</v>
      </c>
      <c r="B453" s="41" t="str">
        <f>IFERROR(__xludf.DUMMYFUNCTION("""COMPUTED_VALUE"""),"RSC006928")</f>
        <v>RSC006928</v>
      </c>
      <c r="C453" s="41" t="str">
        <f>IFERROR(__xludf.DUMMYFUNCTION("""COMPUTED_VALUE"""),"Thunderbolt")</f>
        <v>Thunderbolt</v>
      </c>
      <c r="D453" s="41" t="str">
        <f>IFERROR(__xludf.DUMMYFUNCTION("""COMPUTED_VALUE"""),"Asiago Arsonists")</f>
        <v>Asiago Arsonists</v>
      </c>
      <c r="E453" s="136">
        <f>IFERROR(__xludf.DUMMYFUNCTION("""COMPUTED_VALUE"""),48.0)</f>
        <v>48</v>
      </c>
      <c r="F453" s="136">
        <f>IFERROR(__xludf.DUMMYFUNCTION("""COMPUTED_VALUE"""),28.0)</f>
        <v>28</v>
      </c>
      <c r="G453" s="136">
        <f>IFERROR(__xludf.DUMMYFUNCTION("""COMPUTED_VALUE"""),20.0)</f>
        <v>20</v>
      </c>
      <c r="H453" s="137">
        <f>IFERROR(__xludf.DUMMYFUNCTION("""COMPUTED_VALUE"""),0.5833333333333334)</f>
        <v>0.5833333333</v>
      </c>
      <c r="I453" s="136">
        <f>IFERROR(__xludf.DUMMYFUNCTION("""COMPUTED_VALUE"""),0.0)</f>
        <v>0</v>
      </c>
      <c r="J453" s="136">
        <f>IFERROR(__xludf.DUMMYFUNCTION("""COMPUTED_VALUE"""),12798.0)</f>
        <v>12798</v>
      </c>
      <c r="K453" s="136">
        <f>IFERROR(__xludf.DUMMYFUNCTION("""COMPUTED_VALUE"""),28.0)</f>
        <v>28</v>
      </c>
      <c r="L453" s="136">
        <f>IFERROR(__xludf.DUMMYFUNCTION("""COMPUTED_VALUE"""),23.0)</f>
        <v>23</v>
      </c>
      <c r="M453" s="136">
        <f>IFERROR(__xludf.DUMMYFUNCTION("""COMPUTED_VALUE"""),43.0)</f>
        <v>43</v>
      </c>
      <c r="N453" s="136">
        <f>IFERROR(__xludf.DUMMYFUNCTION("""COMPUTED_VALUE"""),116.0)</f>
        <v>116</v>
      </c>
      <c r="O453" s="138">
        <f>IFERROR(__xludf.DUMMYFUNCTION("""COMPUTED_VALUE"""),4.0)</f>
        <v>4</v>
      </c>
      <c r="P453" s="138">
        <f>IFERROR(__xludf.DUMMYFUNCTION("""COMPUTED_VALUE"""),1.0)</f>
        <v>1</v>
      </c>
      <c r="Q453" s="138">
        <f>IFERROR(__xludf.DUMMYFUNCTION("""COMPUTED_VALUE"""),1.0)</f>
        <v>1</v>
      </c>
      <c r="R453" s="138">
        <f>IFERROR(__xludf.DUMMYFUNCTION("""COMPUTED_VALUE"""),2.0)</f>
        <v>2</v>
      </c>
      <c r="S453" s="139">
        <f>IFERROR(__xludf.DUMMYFUNCTION("""COMPUTED_VALUE"""),353.0)</f>
        <v>353</v>
      </c>
      <c r="T453" s="140">
        <f>IFERROR(__xludf.DUMMYFUNCTION("""COMPUTED_VALUE"""),99.0)</f>
        <v>99</v>
      </c>
      <c r="U453" s="136">
        <f>IFERROR(__xludf.DUMMYFUNCTION("""COMPUTED_VALUE"""),32.0)</f>
        <v>32</v>
      </c>
      <c r="V453" s="136">
        <f>IFERROR(__xludf.DUMMYFUNCTION("""COMPUTED_VALUE"""),48.0)</f>
        <v>48</v>
      </c>
      <c r="W453" s="136">
        <f>IFERROR(__xludf.DUMMYFUNCTION("""COMPUTED_VALUE"""),49.0)</f>
        <v>49</v>
      </c>
      <c r="X453" s="136">
        <f>IFERROR(__xludf.DUMMYFUNCTION("""COMPUTED_VALUE"""),318.5)</f>
        <v>318.5</v>
      </c>
      <c r="Y453" s="141">
        <f>IFERROR(__xludf.DUMMYFUNCTION("""COMPUTED_VALUE"""),45.64937499999999)</f>
        <v>45.649375</v>
      </c>
      <c r="Z453" s="141">
        <f>IFERROR(__xludf.DUMMYFUNCTION("""COMPUTED_VALUE"""),1926.7291666666667)</f>
        <v>1926.729167</v>
      </c>
    </row>
    <row r="454">
      <c r="A454" s="41" t="str">
        <f>IFERROR(__xludf.DUMMYFUNCTION("""COMPUTED_VALUE"""),"Rival")</f>
        <v>Rival</v>
      </c>
      <c r="B454" s="41" t="str">
        <f>IFERROR(__xludf.DUMMYFUNCTION("""COMPUTED_VALUE"""),"RSC006935")</f>
        <v>RSC006935</v>
      </c>
      <c r="C454" s="41" t="str">
        <f>IFERROR(__xludf.DUMMYFUNCTION("""COMPUTED_VALUE"""),"Bazzinga")</f>
        <v>Bazzinga</v>
      </c>
      <c r="D454" s="41" t="str">
        <f>IFERROR(__xludf.DUMMYFUNCTION("""COMPUTED_VALUE"""),"Lacuna")</f>
        <v>Lacuna</v>
      </c>
      <c r="E454" s="136">
        <f>IFERROR(__xludf.DUMMYFUNCTION("""COMPUTED_VALUE"""),55.0)</f>
        <v>55</v>
      </c>
      <c r="F454" s="136">
        <f>IFERROR(__xludf.DUMMYFUNCTION("""COMPUTED_VALUE"""),32.0)</f>
        <v>32</v>
      </c>
      <c r="G454" s="136">
        <f>IFERROR(__xludf.DUMMYFUNCTION("""COMPUTED_VALUE"""),23.0)</f>
        <v>23</v>
      </c>
      <c r="H454" s="137">
        <f>IFERROR(__xludf.DUMMYFUNCTION("""COMPUTED_VALUE"""),0.5818181818181818)</f>
        <v>0.5818181818</v>
      </c>
      <c r="I454" s="136">
        <f>IFERROR(__xludf.DUMMYFUNCTION("""COMPUTED_VALUE"""),7.0)</f>
        <v>7</v>
      </c>
      <c r="J454" s="136">
        <f>IFERROR(__xludf.DUMMYFUNCTION("""COMPUTED_VALUE"""),19962.0)</f>
        <v>19962</v>
      </c>
      <c r="K454" s="136">
        <f>IFERROR(__xludf.DUMMYFUNCTION("""COMPUTED_VALUE"""),48.0)</f>
        <v>48</v>
      </c>
      <c r="L454" s="136">
        <f>IFERROR(__xludf.DUMMYFUNCTION("""COMPUTED_VALUE"""),30.0)</f>
        <v>30</v>
      </c>
      <c r="M454" s="136">
        <f>IFERROR(__xludf.DUMMYFUNCTION("""COMPUTED_VALUE"""),72.0)</f>
        <v>72</v>
      </c>
      <c r="N454" s="136">
        <f>IFERROR(__xludf.DUMMYFUNCTION("""COMPUTED_VALUE"""),152.0)</f>
        <v>152</v>
      </c>
      <c r="O454" s="138">
        <f>IFERROR(__xludf.DUMMYFUNCTION("""COMPUTED_VALUE"""),10.0)</f>
        <v>10</v>
      </c>
      <c r="P454" s="138">
        <f>IFERROR(__xludf.DUMMYFUNCTION("""COMPUTED_VALUE"""),2.0)</f>
        <v>2</v>
      </c>
      <c r="Q454" s="138">
        <f>IFERROR(__xludf.DUMMYFUNCTION("""COMPUTED_VALUE"""),1.0)</f>
        <v>1</v>
      </c>
      <c r="R454" s="138">
        <f>IFERROR(__xludf.DUMMYFUNCTION("""COMPUTED_VALUE"""),8.0)</f>
        <v>8</v>
      </c>
      <c r="S454" s="139">
        <f>IFERROR(__xludf.DUMMYFUNCTION("""COMPUTED_VALUE"""),403.0)</f>
        <v>403</v>
      </c>
      <c r="T454" s="140">
        <f>IFERROR(__xludf.DUMMYFUNCTION("""COMPUTED_VALUE"""),115.0)</f>
        <v>115</v>
      </c>
      <c r="U454" s="136">
        <f>IFERROR(__xludf.DUMMYFUNCTION("""COMPUTED_VALUE"""),40.0)</f>
        <v>40</v>
      </c>
      <c r="V454" s="136">
        <f>IFERROR(__xludf.DUMMYFUNCTION("""COMPUTED_VALUE"""),56.0)</f>
        <v>56</v>
      </c>
      <c r="W454" s="136">
        <f>IFERROR(__xludf.DUMMYFUNCTION("""COMPUTED_VALUE"""),52.0)</f>
        <v>52</v>
      </c>
      <c r="X454" s="136">
        <f>IFERROR(__xludf.DUMMYFUNCTION("""COMPUTED_VALUE"""),303.3090909090909)</f>
        <v>303.3090909</v>
      </c>
      <c r="Y454" s="141">
        <f>IFERROR(__xludf.DUMMYFUNCTION("""COMPUTED_VALUE"""),52.963090909090916)</f>
        <v>52.96309091</v>
      </c>
      <c r="Z454" s="141">
        <f>IFERROR(__xludf.DUMMYFUNCTION("""COMPUTED_VALUE"""),1929.7636363636364)</f>
        <v>1929.763636</v>
      </c>
    </row>
    <row r="455">
      <c r="A455" s="41" t="str">
        <f>IFERROR(__xludf.DUMMYFUNCTION("""COMPUTED_VALUE"""),"Veteran")</f>
        <v>Veteran</v>
      </c>
      <c r="B455" s="41" t="str">
        <f>IFERROR(__xludf.DUMMYFUNCTION("""COMPUTED_VALUE"""),"RSC006938")</f>
        <v>RSC006938</v>
      </c>
      <c r="C455" s="41" t="str">
        <f>IFERROR(__xludf.DUMMYFUNCTION("""COMPUTED_VALUE"""),"Soda. .")</f>
        <v>Soda. .</v>
      </c>
      <c r="D455" s="41" t="str">
        <f>IFERROR(__xludf.DUMMYFUNCTION("""COMPUTED_VALUE"""),"Navigators")</f>
        <v>Navigators</v>
      </c>
      <c r="E455" s="136">
        <f>IFERROR(__xludf.DUMMYFUNCTION("""COMPUTED_VALUE"""),32.0)</f>
        <v>32</v>
      </c>
      <c r="F455" s="136">
        <f>IFERROR(__xludf.DUMMYFUNCTION("""COMPUTED_VALUE"""),13.0)</f>
        <v>13</v>
      </c>
      <c r="G455" s="136">
        <f>IFERROR(__xludf.DUMMYFUNCTION("""COMPUTED_VALUE"""),19.0)</f>
        <v>19</v>
      </c>
      <c r="H455" s="137">
        <f>IFERROR(__xludf.DUMMYFUNCTION("""COMPUTED_VALUE"""),0.40625)</f>
        <v>0.40625</v>
      </c>
      <c r="I455" s="136">
        <f>IFERROR(__xludf.DUMMYFUNCTION("""COMPUTED_VALUE"""),4.0)</f>
        <v>4</v>
      </c>
      <c r="J455" s="136">
        <f>IFERROR(__xludf.DUMMYFUNCTION("""COMPUTED_VALUE"""),11147.0)</f>
        <v>11147</v>
      </c>
      <c r="K455" s="136">
        <f>IFERROR(__xludf.DUMMYFUNCTION("""COMPUTED_VALUE"""),21.0)</f>
        <v>21</v>
      </c>
      <c r="L455" s="136">
        <f>IFERROR(__xludf.DUMMYFUNCTION("""COMPUTED_VALUE"""),17.0)</f>
        <v>17</v>
      </c>
      <c r="M455" s="136">
        <f>IFERROR(__xludf.DUMMYFUNCTION("""COMPUTED_VALUE"""),49.0)</f>
        <v>49</v>
      </c>
      <c r="N455" s="136">
        <f>IFERROR(__xludf.DUMMYFUNCTION("""COMPUTED_VALUE"""),75.0)</f>
        <v>75</v>
      </c>
      <c r="O455" s="138">
        <f>IFERROR(__xludf.DUMMYFUNCTION("""COMPUTED_VALUE"""),2.0)</f>
        <v>2</v>
      </c>
      <c r="P455" s="138">
        <f>IFERROR(__xludf.DUMMYFUNCTION("""COMPUTED_VALUE"""),2.0)</f>
        <v>2</v>
      </c>
      <c r="Q455" s="138">
        <f>IFERROR(__xludf.DUMMYFUNCTION("""COMPUTED_VALUE"""),0.0)</f>
        <v>0</v>
      </c>
      <c r="R455" s="138">
        <f>IFERROR(__xludf.DUMMYFUNCTION("""COMPUTED_VALUE"""),6.0)</f>
        <v>6</v>
      </c>
      <c r="S455" s="139">
        <f>IFERROR(__xludf.DUMMYFUNCTION("""COMPUTED_VALUE"""),284.0)</f>
        <v>284</v>
      </c>
      <c r="T455" s="140">
        <f>IFERROR(__xludf.DUMMYFUNCTION("""COMPUTED_VALUE"""),82.0)</f>
        <v>82</v>
      </c>
      <c r="U455" s="136">
        <f>IFERROR(__xludf.DUMMYFUNCTION("""COMPUTED_VALUE"""),23.0)</f>
        <v>23</v>
      </c>
      <c r="V455" s="136">
        <f>IFERROR(__xludf.DUMMYFUNCTION("""COMPUTED_VALUE"""),95.0)</f>
        <v>95</v>
      </c>
      <c r="W455" s="136">
        <f>IFERROR(__xludf.DUMMYFUNCTION("""COMPUTED_VALUE"""),20.0)</f>
        <v>20</v>
      </c>
      <c r="X455" s="136">
        <f>IFERROR(__xludf.DUMMYFUNCTION("""COMPUTED_VALUE"""),396.0625)</f>
        <v>396.0625</v>
      </c>
      <c r="Y455" s="141">
        <f>IFERROR(__xludf.DUMMYFUNCTION("""COMPUTED_VALUE"""),47.695937499999985)</f>
        <v>47.6959375</v>
      </c>
      <c r="Z455" s="141">
        <f>IFERROR(__xludf.DUMMYFUNCTION("""COMPUTED_VALUE"""),2497.40625)</f>
        <v>2497.40625</v>
      </c>
    </row>
    <row r="456">
      <c r="A456" s="41" t="str">
        <f>IFERROR(__xludf.DUMMYFUNCTION("""COMPUTED_VALUE"""),"Veteran")</f>
        <v>Veteran</v>
      </c>
      <c r="B456" s="41" t="str">
        <f>IFERROR(__xludf.DUMMYFUNCTION("""COMPUTED_VALUE"""),"RSC006945")</f>
        <v>RSC006945</v>
      </c>
      <c r="C456" s="41" t="str">
        <f>IFERROR(__xludf.DUMMYFUNCTION("""COMPUTED_VALUE"""),"nuummite")</f>
        <v>nuummite</v>
      </c>
      <c r="D456" s="41" t="str">
        <f>IFERROR(__xludf.DUMMYFUNCTION("""COMPUTED_VALUE"""),"Gargoyle")</f>
        <v>Gargoyle</v>
      </c>
      <c r="E456" s="136">
        <f>IFERROR(__xludf.DUMMYFUNCTION("""COMPUTED_VALUE"""),51.0)</f>
        <v>51</v>
      </c>
      <c r="F456" s="136">
        <f>IFERROR(__xludf.DUMMYFUNCTION("""COMPUTED_VALUE"""),31.0)</f>
        <v>31</v>
      </c>
      <c r="G456" s="136">
        <f>IFERROR(__xludf.DUMMYFUNCTION("""COMPUTED_VALUE"""),20.0)</f>
        <v>20</v>
      </c>
      <c r="H456" s="137">
        <f>IFERROR(__xludf.DUMMYFUNCTION("""COMPUTED_VALUE"""),0.6078431372549019)</f>
        <v>0.6078431373</v>
      </c>
      <c r="I456" s="136">
        <f>IFERROR(__xludf.DUMMYFUNCTION("""COMPUTED_VALUE"""),15.0)</f>
        <v>15</v>
      </c>
      <c r="J456" s="136">
        <f>IFERROR(__xludf.DUMMYFUNCTION("""COMPUTED_VALUE"""),19914.0)</f>
        <v>19914</v>
      </c>
      <c r="K456" s="136">
        <f>IFERROR(__xludf.DUMMYFUNCTION("""COMPUTED_VALUE"""),61.0)</f>
        <v>61</v>
      </c>
      <c r="L456" s="136">
        <f>IFERROR(__xludf.DUMMYFUNCTION("""COMPUTED_VALUE"""),34.0)</f>
        <v>34</v>
      </c>
      <c r="M456" s="136">
        <f>IFERROR(__xludf.DUMMYFUNCTION("""COMPUTED_VALUE"""),51.0)</f>
        <v>51</v>
      </c>
      <c r="N456" s="136">
        <f>IFERROR(__xludf.DUMMYFUNCTION("""COMPUTED_VALUE"""),180.0)</f>
        <v>180</v>
      </c>
      <c r="O456" s="138">
        <f>IFERROR(__xludf.DUMMYFUNCTION("""COMPUTED_VALUE"""),12.0)</f>
        <v>12</v>
      </c>
      <c r="P456" s="138">
        <f>IFERROR(__xludf.DUMMYFUNCTION("""COMPUTED_VALUE"""),6.0)</f>
        <v>6</v>
      </c>
      <c r="Q456" s="138">
        <f>IFERROR(__xludf.DUMMYFUNCTION("""COMPUTED_VALUE"""),2.0)</f>
        <v>2</v>
      </c>
      <c r="R456" s="138">
        <f>IFERROR(__xludf.DUMMYFUNCTION("""COMPUTED_VALUE"""),4.0)</f>
        <v>4</v>
      </c>
      <c r="S456" s="139">
        <f>IFERROR(__xludf.DUMMYFUNCTION("""COMPUTED_VALUE"""),349.0)</f>
        <v>349</v>
      </c>
      <c r="T456" s="140">
        <f>IFERROR(__xludf.DUMMYFUNCTION("""COMPUTED_VALUE"""),96.0)</f>
        <v>96</v>
      </c>
      <c r="U456" s="136">
        <f>IFERROR(__xludf.DUMMYFUNCTION("""COMPUTED_VALUE"""),34.0)</f>
        <v>34</v>
      </c>
      <c r="V456" s="136">
        <f>IFERROR(__xludf.DUMMYFUNCTION("""COMPUTED_VALUE"""),15.0)</f>
        <v>15</v>
      </c>
      <c r="W456" s="136">
        <f>IFERROR(__xludf.DUMMYFUNCTION("""COMPUTED_VALUE"""),65.0)</f>
        <v>65</v>
      </c>
      <c r="X456" s="136">
        <f>IFERROR(__xludf.DUMMYFUNCTION("""COMPUTED_VALUE"""),340.01960784313724)</f>
        <v>340.0196078</v>
      </c>
      <c r="Y456" s="141">
        <f>IFERROR(__xludf.DUMMYFUNCTION("""COMPUTED_VALUE"""),42.07784313725491)</f>
        <v>42.07784314</v>
      </c>
      <c r="Z456" s="141">
        <f>IFERROR(__xludf.DUMMYFUNCTION("""COMPUTED_VALUE"""),1972.1568627450981)</f>
        <v>1972.156863</v>
      </c>
    </row>
    <row r="457">
      <c r="A457" s="41" t="str">
        <f>IFERROR(__xludf.DUMMYFUNCTION("""COMPUTED_VALUE"""),"Elite")</f>
        <v>Elite</v>
      </c>
      <c r="B457" s="41" t="str">
        <f>IFERROR(__xludf.DUMMYFUNCTION("""COMPUTED_VALUE"""),"RSC006947")</f>
        <v>RSC006947</v>
      </c>
      <c r="C457" s="41" t="str">
        <f>IFERROR(__xludf.DUMMYFUNCTION("""COMPUTED_VALUE"""),"HaZard")</f>
        <v>HaZard</v>
      </c>
      <c r="D457" s="41" t="str">
        <f>IFERROR(__xludf.DUMMYFUNCTION("""COMPUTED_VALUE"""),"Black-Holes
Hydras
Commanders")</f>
        <v>Black-Holes
Hydras
Commanders</v>
      </c>
      <c r="E457" s="136">
        <f>IFERROR(__xludf.DUMMYFUNCTION("""COMPUTED_VALUE"""),43.0)</f>
        <v>43</v>
      </c>
      <c r="F457" s="136">
        <f>IFERROR(__xludf.DUMMYFUNCTION("""COMPUTED_VALUE"""),28.0)</f>
        <v>28</v>
      </c>
      <c r="G457" s="136">
        <f>IFERROR(__xludf.DUMMYFUNCTION("""COMPUTED_VALUE"""),15.0)</f>
        <v>15</v>
      </c>
      <c r="H457" s="137">
        <f>IFERROR(__xludf.DUMMYFUNCTION("""COMPUTED_VALUE"""),0.6511627906976745)</f>
        <v>0.6511627907</v>
      </c>
      <c r="I457" s="136">
        <f>IFERROR(__xludf.DUMMYFUNCTION("""COMPUTED_VALUE"""),4.0)</f>
        <v>4</v>
      </c>
      <c r="J457" s="136">
        <f>IFERROR(__xludf.DUMMYFUNCTION("""COMPUTED_VALUE"""),13602.0)</f>
        <v>13602</v>
      </c>
      <c r="K457" s="136">
        <f>IFERROR(__xludf.DUMMYFUNCTION("""COMPUTED_VALUE"""),36.0)</f>
        <v>36</v>
      </c>
      <c r="L457" s="136">
        <f>IFERROR(__xludf.DUMMYFUNCTION("""COMPUTED_VALUE"""),30.0)</f>
        <v>30</v>
      </c>
      <c r="M457" s="136">
        <f>IFERROR(__xludf.DUMMYFUNCTION("""COMPUTED_VALUE"""),40.0)</f>
        <v>40</v>
      </c>
      <c r="N457" s="136">
        <f>IFERROR(__xludf.DUMMYFUNCTION("""COMPUTED_VALUE"""),117.0)</f>
        <v>117</v>
      </c>
      <c r="O457" s="138">
        <f>IFERROR(__xludf.DUMMYFUNCTION("""COMPUTED_VALUE"""),11.0)</f>
        <v>11</v>
      </c>
      <c r="P457" s="138">
        <f>IFERROR(__xludf.DUMMYFUNCTION("""COMPUTED_VALUE"""),2.0)</f>
        <v>2</v>
      </c>
      <c r="Q457" s="138">
        <f>IFERROR(__xludf.DUMMYFUNCTION("""COMPUTED_VALUE"""),1.0)</f>
        <v>1</v>
      </c>
      <c r="R457" s="138">
        <f>IFERROR(__xludf.DUMMYFUNCTION("""COMPUTED_VALUE"""),1.0)</f>
        <v>1</v>
      </c>
      <c r="S457" s="139">
        <f>IFERROR(__xludf.DUMMYFUNCTION("""COMPUTED_VALUE"""),311.0)</f>
        <v>311</v>
      </c>
      <c r="T457" s="140">
        <f>IFERROR(__xludf.DUMMYFUNCTION("""COMPUTED_VALUE"""),102.0)</f>
        <v>102</v>
      </c>
      <c r="U457" s="136">
        <f>IFERROR(__xludf.DUMMYFUNCTION("""COMPUTED_VALUE"""),37.0)</f>
        <v>37</v>
      </c>
      <c r="V457" s="136">
        <f>IFERROR(__xludf.DUMMYFUNCTION("""COMPUTED_VALUE"""),63.0)</f>
        <v>63</v>
      </c>
      <c r="W457" s="136">
        <f>IFERROR(__xludf.DUMMYFUNCTION("""COMPUTED_VALUE"""),40.0)</f>
        <v>40</v>
      </c>
      <c r="X457" s="136">
        <f>IFERROR(__xludf.DUMMYFUNCTION("""COMPUTED_VALUE"""),356.25581395348837)</f>
        <v>356.255814</v>
      </c>
      <c r="Y457" s="141">
        <f>IFERROR(__xludf.DUMMYFUNCTION("""COMPUTED_VALUE"""),52.347674418604655)</f>
        <v>52.34767442</v>
      </c>
      <c r="Z457" s="141">
        <f>IFERROR(__xludf.DUMMYFUNCTION("""COMPUTED_VALUE"""),2223.2558139534885)</f>
        <v>2223.255814</v>
      </c>
    </row>
    <row r="458">
      <c r="A458" s="41" t="str">
        <f>IFERROR(__xludf.DUMMYFUNCTION("""COMPUTED_VALUE"""),"Veteran")</f>
        <v>Veteran</v>
      </c>
      <c r="B458" s="41" t="str">
        <f>IFERROR(__xludf.DUMMYFUNCTION("""COMPUTED_VALUE"""),"RSC006949")</f>
        <v>RSC006949</v>
      </c>
      <c r="C458" s="41" t="str">
        <f>IFERROR(__xludf.DUMMYFUNCTION("""COMPUTED_VALUE"""),"oiNio")</f>
        <v>oiNio</v>
      </c>
      <c r="D458" s="41" t="str">
        <f>IFERROR(__xludf.DUMMYFUNCTION("""COMPUTED_VALUE"""),"White Collars")</f>
        <v>White Collars</v>
      </c>
      <c r="E458" s="136">
        <f>IFERROR(__xludf.DUMMYFUNCTION("""COMPUTED_VALUE"""),4.0)</f>
        <v>4</v>
      </c>
      <c r="F458" s="136">
        <f>IFERROR(__xludf.DUMMYFUNCTION("""COMPUTED_VALUE"""),1.0)</f>
        <v>1</v>
      </c>
      <c r="G458" s="136">
        <f>IFERROR(__xludf.DUMMYFUNCTION("""COMPUTED_VALUE"""),3.0)</f>
        <v>3</v>
      </c>
      <c r="H458" s="137">
        <f>IFERROR(__xludf.DUMMYFUNCTION("""COMPUTED_VALUE"""),0.25)</f>
        <v>0.25</v>
      </c>
      <c r="I458" s="136">
        <f>IFERROR(__xludf.DUMMYFUNCTION("""COMPUTED_VALUE"""),0.0)</f>
        <v>0</v>
      </c>
      <c r="J458" s="136">
        <f>IFERROR(__xludf.DUMMYFUNCTION("""COMPUTED_VALUE"""),1209.0)</f>
        <v>1209</v>
      </c>
      <c r="K458" s="136">
        <f>IFERROR(__xludf.DUMMYFUNCTION("""COMPUTED_VALUE"""),4.0)</f>
        <v>4</v>
      </c>
      <c r="L458" s="136">
        <f>IFERROR(__xludf.DUMMYFUNCTION("""COMPUTED_VALUE"""),0.0)</f>
        <v>0</v>
      </c>
      <c r="M458" s="136">
        <f>IFERROR(__xludf.DUMMYFUNCTION("""COMPUTED_VALUE"""),3.0)</f>
        <v>3</v>
      </c>
      <c r="N458" s="136">
        <f>IFERROR(__xludf.DUMMYFUNCTION("""COMPUTED_VALUE"""),8.0)</f>
        <v>8</v>
      </c>
      <c r="O458" s="138">
        <f>IFERROR(__xludf.DUMMYFUNCTION("""COMPUTED_VALUE"""),0.0)</f>
        <v>0</v>
      </c>
      <c r="P458" s="138">
        <f>IFERROR(__xludf.DUMMYFUNCTION("""COMPUTED_VALUE"""),0.0)</f>
        <v>0</v>
      </c>
      <c r="Q458" s="138">
        <f>IFERROR(__xludf.DUMMYFUNCTION("""COMPUTED_VALUE"""),0.0)</f>
        <v>0</v>
      </c>
      <c r="R458" s="138">
        <f>IFERROR(__xludf.DUMMYFUNCTION("""COMPUTED_VALUE"""),0.0)</f>
        <v>0</v>
      </c>
      <c r="S458" s="139">
        <f>IFERROR(__xludf.DUMMYFUNCTION("""COMPUTED_VALUE"""),34.0)</f>
        <v>34</v>
      </c>
      <c r="T458" s="140">
        <f>IFERROR(__xludf.DUMMYFUNCTION("""COMPUTED_VALUE"""),10.0)</f>
        <v>10</v>
      </c>
      <c r="U458" s="136">
        <f>IFERROR(__xludf.DUMMYFUNCTION("""COMPUTED_VALUE"""),2.0)</f>
        <v>2</v>
      </c>
      <c r="V458" s="136">
        <f>IFERROR(__xludf.DUMMYFUNCTION("""COMPUTED_VALUE"""),2.0)</f>
        <v>2</v>
      </c>
      <c r="W458" s="136">
        <f>IFERROR(__xludf.DUMMYFUNCTION("""COMPUTED_VALUE"""),5.0)</f>
        <v>5</v>
      </c>
      <c r="X458" s="136">
        <f>IFERROR(__xludf.DUMMYFUNCTION("""COMPUTED_VALUE"""),373.75)</f>
        <v>373.75</v>
      </c>
      <c r="Y458" s="141">
        <f>IFERROR(__xludf.DUMMYFUNCTION("""COMPUTED_VALUE"""),46.33)</f>
        <v>46.33</v>
      </c>
      <c r="Z458" s="141">
        <f>IFERROR(__xludf.DUMMYFUNCTION("""COMPUTED_VALUE"""),2226.75)</f>
        <v>2226.75</v>
      </c>
    </row>
    <row r="459">
      <c r="A459" s="41" t="str">
        <f>IFERROR(__xludf.DUMMYFUNCTION("""COMPUTED_VALUE"""),"Premier")</f>
        <v>Premier</v>
      </c>
      <c r="B459" s="41" t="str">
        <f>IFERROR(__xludf.DUMMYFUNCTION("""COMPUTED_VALUE"""),"RSC006952")</f>
        <v>RSC006952</v>
      </c>
      <c r="C459" s="41" t="str">
        <f>IFERROR(__xludf.DUMMYFUNCTION("""COMPUTED_VALUE"""),"end of navegelion")</f>
        <v>end of navegelion</v>
      </c>
      <c r="D459" s="41" t="str">
        <f>IFERROR(__xludf.DUMMYFUNCTION("""COMPUTED_VALUE"""),"Punks")</f>
        <v>Punks</v>
      </c>
      <c r="E459" s="136">
        <f>IFERROR(__xludf.DUMMYFUNCTION("""COMPUTED_VALUE"""),40.0)</f>
        <v>40</v>
      </c>
      <c r="F459" s="136">
        <f>IFERROR(__xludf.DUMMYFUNCTION("""COMPUTED_VALUE"""),16.0)</f>
        <v>16</v>
      </c>
      <c r="G459" s="136">
        <f>IFERROR(__xludf.DUMMYFUNCTION("""COMPUTED_VALUE"""),24.0)</f>
        <v>24</v>
      </c>
      <c r="H459" s="137">
        <f>IFERROR(__xludf.DUMMYFUNCTION("""COMPUTED_VALUE"""),0.4)</f>
        <v>0.4</v>
      </c>
      <c r="I459" s="136">
        <f>IFERROR(__xludf.DUMMYFUNCTION("""COMPUTED_VALUE"""),5.0)</f>
        <v>5</v>
      </c>
      <c r="J459" s="136">
        <f>IFERROR(__xludf.DUMMYFUNCTION("""COMPUTED_VALUE"""),14601.0)</f>
        <v>14601</v>
      </c>
      <c r="K459" s="136">
        <f>IFERROR(__xludf.DUMMYFUNCTION("""COMPUTED_VALUE"""),27.0)</f>
        <v>27</v>
      </c>
      <c r="L459" s="136">
        <f>IFERROR(__xludf.DUMMYFUNCTION("""COMPUTED_VALUE"""),27.0)</f>
        <v>27</v>
      </c>
      <c r="M459" s="136">
        <f>IFERROR(__xludf.DUMMYFUNCTION("""COMPUTED_VALUE"""),67.0)</f>
        <v>67</v>
      </c>
      <c r="N459" s="136">
        <f>IFERROR(__xludf.DUMMYFUNCTION("""COMPUTED_VALUE"""),96.0)</f>
        <v>96</v>
      </c>
      <c r="O459" s="138">
        <f>IFERROR(__xludf.DUMMYFUNCTION("""COMPUTED_VALUE"""),12.0)</f>
        <v>12</v>
      </c>
      <c r="P459" s="138">
        <f>IFERROR(__xludf.DUMMYFUNCTION("""COMPUTED_VALUE"""),0.0)</f>
        <v>0</v>
      </c>
      <c r="Q459" s="138">
        <f>IFERROR(__xludf.DUMMYFUNCTION("""COMPUTED_VALUE"""),0.0)</f>
        <v>0</v>
      </c>
      <c r="R459" s="138">
        <f>IFERROR(__xludf.DUMMYFUNCTION("""COMPUTED_VALUE"""),9.0)</f>
        <v>9</v>
      </c>
      <c r="S459" s="139">
        <f>IFERROR(__xludf.DUMMYFUNCTION("""COMPUTED_VALUE"""),351.0)</f>
        <v>351</v>
      </c>
      <c r="T459" s="140">
        <f>IFERROR(__xludf.DUMMYFUNCTION("""COMPUTED_VALUE"""),107.0)</f>
        <v>107</v>
      </c>
      <c r="U459" s="136">
        <f>IFERROR(__xludf.DUMMYFUNCTION("""COMPUTED_VALUE"""),37.0)</f>
        <v>37</v>
      </c>
      <c r="V459" s="136">
        <f>IFERROR(__xludf.DUMMYFUNCTION("""COMPUTED_VALUE"""),25.0)</f>
        <v>25</v>
      </c>
      <c r="W459" s="136">
        <f>IFERROR(__xludf.DUMMYFUNCTION("""COMPUTED_VALUE"""),43.0)</f>
        <v>43</v>
      </c>
      <c r="X459" s="136">
        <f>IFERROR(__xludf.DUMMYFUNCTION("""COMPUTED_VALUE"""),434.875)</f>
        <v>434.875</v>
      </c>
      <c r="Y459" s="141">
        <f>IFERROR(__xludf.DUMMYFUNCTION("""COMPUTED_VALUE"""),44.358999999999995)</f>
        <v>44.359</v>
      </c>
      <c r="Z459" s="141">
        <f>IFERROR(__xludf.DUMMYFUNCTION("""COMPUTED_VALUE"""),2551.675)</f>
        <v>2551.675</v>
      </c>
    </row>
    <row r="460">
      <c r="A460" s="41" t="str">
        <f>IFERROR(__xludf.DUMMYFUNCTION("""COMPUTED_VALUE"""),"Challenger")</f>
        <v>Challenger</v>
      </c>
      <c r="B460" s="41" t="str">
        <f>IFERROR(__xludf.DUMMYFUNCTION("""COMPUTED_VALUE"""),"RSC006966")</f>
        <v>RSC006966</v>
      </c>
      <c r="C460" s="41" t="str">
        <f>IFERROR(__xludf.DUMMYFUNCTION("""COMPUTED_VALUE"""),"Pivot97")</f>
        <v>Pivot97</v>
      </c>
      <c r="D460" s="41" t="str">
        <f>IFERROR(__xludf.DUMMYFUNCTION("""COMPUTED_VALUE"""),"Havarti Hustlers")</f>
        <v>Havarti Hustlers</v>
      </c>
      <c r="E460" s="136">
        <f>IFERROR(__xludf.DUMMYFUNCTION("""COMPUTED_VALUE"""),21.0)</f>
        <v>21</v>
      </c>
      <c r="F460" s="136">
        <f>IFERROR(__xludf.DUMMYFUNCTION("""COMPUTED_VALUE"""),10.0)</f>
        <v>10</v>
      </c>
      <c r="G460" s="136">
        <f>IFERROR(__xludf.DUMMYFUNCTION("""COMPUTED_VALUE"""),11.0)</f>
        <v>11</v>
      </c>
      <c r="H460" s="137">
        <f>IFERROR(__xludf.DUMMYFUNCTION("""COMPUTED_VALUE"""),0.47619047619047616)</f>
        <v>0.4761904762</v>
      </c>
      <c r="I460" s="136">
        <f>IFERROR(__xludf.DUMMYFUNCTION("""COMPUTED_VALUE"""),4.0)</f>
        <v>4</v>
      </c>
      <c r="J460" s="136">
        <f>IFERROR(__xludf.DUMMYFUNCTION("""COMPUTED_VALUE"""),6314.0)</f>
        <v>6314</v>
      </c>
      <c r="K460" s="136">
        <f>IFERROR(__xludf.DUMMYFUNCTION("""COMPUTED_VALUE"""),17.0)</f>
        <v>17</v>
      </c>
      <c r="L460" s="136">
        <f>IFERROR(__xludf.DUMMYFUNCTION("""COMPUTED_VALUE"""),9.0)</f>
        <v>9</v>
      </c>
      <c r="M460" s="136">
        <f>IFERROR(__xludf.DUMMYFUNCTION("""COMPUTED_VALUE"""),20.0)</f>
        <v>20</v>
      </c>
      <c r="N460" s="136">
        <f>IFERROR(__xludf.DUMMYFUNCTION("""COMPUTED_VALUE"""),43.0)</f>
        <v>43</v>
      </c>
      <c r="O460" s="138">
        <f>IFERROR(__xludf.DUMMYFUNCTION("""COMPUTED_VALUE"""),5.0)</f>
        <v>5</v>
      </c>
      <c r="P460" s="138">
        <f>IFERROR(__xludf.DUMMYFUNCTION("""COMPUTED_VALUE"""),2.0)</f>
        <v>2</v>
      </c>
      <c r="Q460" s="138">
        <f>IFERROR(__xludf.DUMMYFUNCTION("""COMPUTED_VALUE"""),0.0)</f>
        <v>0</v>
      </c>
      <c r="R460" s="138">
        <f>IFERROR(__xludf.DUMMYFUNCTION("""COMPUTED_VALUE"""),2.0)</f>
        <v>2</v>
      </c>
      <c r="S460" s="139">
        <f>IFERROR(__xludf.DUMMYFUNCTION("""COMPUTED_VALUE"""),159.0)</f>
        <v>159</v>
      </c>
      <c r="T460" s="140">
        <f>IFERROR(__xludf.DUMMYFUNCTION("""COMPUTED_VALUE"""),63.0)</f>
        <v>63</v>
      </c>
      <c r="U460" s="136">
        <f>IFERROR(__xludf.DUMMYFUNCTION("""COMPUTED_VALUE"""),19.0)</f>
        <v>19</v>
      </c>
      <c r="V460" s="136">
        <f>IFERROR(__xludf.DUMMYFUNCTION("""COMPUTED_VALUE"""),14.0)</f>
        <v>14</v>
      </c>
      <c r="W460" s="136">
        <f>IFERROR(__xludf.DUMMYFUNCTION("""COMPUTED_VALUE"""),12.0)</f>
        <v>12</v>
      </c>
      <c r="X460" s="136">
        <f>IFERROR(__xludf.DUMMYFUNCTION("""COMPUTED_VALUE"""),352.6190476190476)</f>
        <v>352.6190476</v>
      </c>
      <c r="Y460" s="141">
        <f>IFERROR(__xludf.DUMMYFUNCTION("""COMPUTED_VALUE"""),44.30095238095238)</f>
        <v>44.30095238</v>
      </c>
      <c r="Z460" s="141">
        <f>IFERROR(__xludf.DUMMYFUNCTION("""COMPUTED_VALUE"""),1992.857142857143)</f>
        <v>1992.857143</v>
      </c>
    </row>
    <row r="461">
      <c r="A461" s="41" t="str">
        <f>IFERROR(__xludf.DUMMYFUNCTION("""COMPUTED_VALUE"""),"Veteran")</f>
        <v>Veteran</v>
      </c>
      <c r="B461" s="41" t="str">
        <f>IFERROR(__xludf.DUMMYFUNCTION("""COMPUTED_VALUE"""),"RSC006976")</f>
        <v>RSC006976</v>
      </c>
      <c r="C461" s="41" t="str">
        <f>IFERROR(__xludf.DUMMYFUNCTION("""COMPUTED_VALUE"""),"Slendda")</f>
        <v>Slendda</v>
      </c>
      <c r="D461" s="41" t="str">
        <f>IFERROR(__xludf.DUMMYFUNCTION("""COMPUTED_VALUE"""),"Cannoli")</f>
        <v>Cannoli</v>
      </c>
      <c r="E461" s="136">
        <f>IFERROR(__xludf.DUMMYFUNCTION("""COMPUTED_VALUE"""),18.0)</f>
        <v>18</v>
      </c>
      <c r="F461" s="136">
        <f>IFERROR(__xludf.DUMMYFUNCTION("""COMPUTED_VALUE"""),6.0)</f>
        <v>6</v>
      </c>
      <c r="G461" s="136">
        <f>IFERROR(__xludf.DUMMYFUNCTION("""COMPUTED_VALUE"""),12.0)</f>
        <v>12</v>
      </c>
      <c r="H461" s="137">
        <f>IFERROR(__xludf.DUMMYFUNCTION("""COMPUTED_VALUE"""),0.3333333333333333)</f>
        <v>0.3333333333</v>
      </c>
      <c r="I461" s="136">
        <f>IFERROR(__xludf.DUMMYFUNCTION("""COMPUTED_VALUE"""),0.0)</f>
        <v>0</v>
      </c>
      <c r="J461" s="136">
        <f>IFERROR(__xludf.DUMMYFUNCTION("""COMPUTED_VALUE"""),4870.0)</f>
        <v>4870</v>
      </c>
      <c r="K461" s="136">
        <f>IFERROR(__xludf.DUMMYFUNCTION("""COMPUTED_VALUE"""),5.0)</f>
        <v>5</v>
      </c>
      <c r="L461" s="136">
        <f>IFERROR(__xludf.DUMMYFUNCTION("""COMPUTED_VALUE"""),10.0)</f>
        <v>10</v>
      </c>
      <c r="M461" s="136">
        <f>IFERROR(__xludf.DUMMYFUNCTION("""COMPUTED_VALUE"""),20.0)</f>
        <v>20</v>
      </c>
      <c r="N461" s="136">
        <f>IFERROR(__xludf.DUMMYFUNCTION("""COMPUTED_VALUE"""),35.0)</f>
        <v>35</v>
      </c>
      <c r="O461" s="138">
        <f>IFERROR(__xludf.DUMMYFUNCTION("""COMPUTED_VALUE"""),2.0)</f>
        <v>2</v>
      </c>
      <c r="P461" s="138">
        <f>IFERROR(__xludf.DUMMYFUNCTION("""COMPUTED_VALUE"""),0.0)</f>
        <v>0</v>
      </c>
      <c r="Q461" s="138">
        <f>IFERROR(__xludf.DUMMYFUNCTION("""COMPUTED_VALUE"""),1.0)</f>
        <v>1</v>
      </c>
      <c r="R461" s="138">
        <f>IFERROR(__xludf.DUMMYFUNCTION("""COMPUTED_VALUE"""),1.0)</f>
        <v>1</v>
      </c>
      <c r="S461" s="139">
        <f>IFERROR(__xludf.DUMMYFUNCTION("""COMPUTED_VALUE"""),151.0)</f>
        <v>151</v>
      </c>
      <c r="T461" s="140">
        <f>IFERROR(__xludf.DUMMYFUNCTION("""COMPUTED_VALUE"""),60.0)</f>
        <v>60</v>
      </c>
      <c r="U461" s="136">
        <f>IFERROR(__xludf.DUMMYFUNCTION("""COMPUTED_VALUE"""),20.0)</f>
        <v>20</v>
      </c>
      <c r="V461" s="136">
        <f>IFERROR(__xludf.DUMMYFUNCTION("""COMPUTED_VALUE"""),18.0)</f>
        <v>18</v>
      </c>
      <c r="W461" s="136">
        <f>IFERROR(__xludf.DUMMYFUNCTION("""COMPUTED_VALUE"""),13.0)</f>
        <v>13</v>
      </c>
      <c r="X461" s="136">
        <f>IFERROR(__xludf.DUMMYFUNCTION("""COMPUTED_VALUE"""),387.44444444444446)</f>
        <v>387.4444444</v>
      </c>
      <c r="Y461" s="141">
        <f>IFERROR(__xludf.DUMMYFUNCTION("""COMPUTED_VALUE"""),43.655)</f>
        <v>43.655</v>
      </c>
      <c r="Z461" s="141">
        <f>IFERROR(__xludf.DUMMYFUNCTION("""COMPUTED_VALUE"""),2365.777777777778)</f>
        <v>2365.777778</v>
      </c>
    </row>
    <row r="462">
      <c r="A462" s="41" t="str">
        <f>IFERROR(__xludf.DUMMYFUNCTION("""COMPUTED_VALUE"""),"Elite")</f>
        <v>Elite</v>
      </c>
      <c r="B462" s="41" t="str">
        <f>IFERROR(__xludf.DUMMYFUNCTION("""COMPUTED_VALUE"""),"RSC006985")</f>
        <v>RSC006985</v>
      </c>
      <c r="C462" s="41" t="str">
        <f>IFERROR(__xludf.DUMMYFUNCTION("""COMPUTED_VALUE"""),"not so jucy skep")</f>
        <v>not so jucy skep</v>
      </c>
      <c r="D462" s="41" t="str">
        <f>IFERROR(__xludf.DUMMYFUNCTION("""COMPUTED_VALUE"""),"Dragon")</f>
        <v>Dragon</v>
      </c>
      <c r="E462" s="136">
        <f>IFERROR(__xludf.DUMMYFUNCTION("""COMPUTED_VALUE"""),48.0)</f>
        <v>48</v>
      </c>
      <c r="F462" s="136">
        <f>IFERROR(__xludf.DUMMYFUNCTION("""COMPUTED_VALUE"""),36.0)</f>
        <v>36</v>
      </c>
      <c r="G462" s="136">
        <f>IFERROR(__xludf.DUMMYFUNCTION("""COMPUTED_VALUE"""),12.0)</f>
        <v>12</v>
      </c>
      <c r="H462" s="137">
        <f>IFERROR(__xludf.DUMMYFUNCTION("""COMPUTED_VALUE"""),0.75)</f>
        <v>0.75</v>
      </c>
      <c r="I462" s="136">
        <f>IFERROR(__xludf.DUMMYFUNCTION("""COMPUTED_VALUE"""),13.0)</f>
        <v>13</v>
      </c>
      <c r="J462" s="136">
        <f>IFERROR(__xludf.DUMMYFUNCTION("""COMPUTED_VALUE"""),20250.0)</f>
        <v>20250</v>
      </c>
      <c r="K462" s="136">
        <f>IFERROR(__xludf.DUMMYFUNCTION("""COMPUTED_VALUE"""),45.0)</f>
        <v>45</v>
      </c>
      <c r="L462" s="136">
        <f>IFERROR(__xludf.DUMMYFUNCTION("""COMPUTED_VALUE"""),45.0)</f>
        <v>45</v>
      </c>
      <c r="M462" s="136">
        <f>IFERROR(__xludf.DUMMYFUNCTION("""COMPUTED_VALUE"""),66.0)</f>
        <v>66</v>
      </c>
      <c r="N462" s="136">
        <f>IFERROR(__xludf.DUMMYFUNCTION("""COMPUTED_VALUE"""),161.0)</f>
        <v>161</v>
      </c>
      <c r="O462" s="138">
        <f>IFERROR(__xludf.DUMMYFUNCTION("""COMPUTED_VALUE"""),14.0)</f>
        <v>14</v>
      </c>
      <c r="P462" s="138">
        <f>IFERROR(__xludf.DUMMYFUNCTION("""COMPUTED_VALUE"""),2.0)</f>
        <v>2</v>
      </c>
      <c r="Q462" s="138">
        <f>IFERROR(__xludf.DUMMYFUNCTION("""COMPUTED_VALUE"""),2.0)</f>
        <v>2</v>
      </c>
      <c r="R462" s="138">
        <f>IFERROR(__xludf.DUMMYFUNCTION("""COMPUTED_VALUE"""),9.0)</f>
        <v>9</v>
      </c>
      <c r="S462" s="139">
        <f>IFERROR(__xludf.DUMMYFUNCTION("""COMPUTED_VALUE"""),337.0)</f>
        <v>337</v>
      </c>
      <c r="T462" s="140">
        <f>IFERROR(__xludf.DUMMYFUNCTION("""COMPUTED_VALUE"""),94.0)</f>
        <v>94</v>
      </c>
      <c r="U462" s="136">
        <f>IFERROR(__xludf.DUMMYFUNCTION("""COMPUTED_VALUE"""),29.0)</f>
        <v>29</v>
      </c>
      <c r="V462" s="136">
        <f>IFERROR(__xludf.DUMMYFUNCTION("""COMPUTED_VALUE"""),51.0)</f>
        <v>51</v>
      </c>
      <c r="W462" s="136">
        <f>IFERROR(__xludf.DUMMYFUNCTION("""COMPUTED_VALUE"""),49.0)</f>
        <v>49</v>
      </c>
      <c r="X462" s="136">
        <f>IFERROR(__xludf.DUMMYFUNCTION("""COMPUTED_VALUE"""),466.0833333333333)</f>
        <v>466.0833333</v>
      </c>
      <c r="Y462" s="141">
        <f>IFERROR(__xludf.DUMMYFUNCTION("""COMPUTED_VALUE"""),46.42083333333335)</f>
        <v>46.42083333</v>
      </c>
      <c r="Z462" s="141">
        <f>IFERROR(__xludf.DUMMYFUNCTION("""COMPUTED_VALUE"""),2815.9375)</f>
        <v>2815.9375</v>
      </c>
    </row>
    <row r="463">
      <c r="A463" s="41" t="str">
        <f>IFERROR(__xludf.DUMMYFUNCTION("""COMPUTED_VALUE"""),"Rival")</f>
        <v>Rival</v>
      </c>
      <c r="B463" s="41" t="str">
        <f>IFERROR(__xludf.DUMMYFUNCTION("""COMPUTED_VALUE"""),"RSC007035")</f>
        <v>RSC007035</v>
      </c>
      <c r="C463" s="41" t="str">
        <f>IFERROR(__xludf.DUMMYFUNCTION("""COMPUTED_VALUE"""),"swah-")</f>
        <v>swah-</v>
      </c>
      <c r="D463" s="41" t="str">
        <f>IFERROR(__xludf.DUMMYFUNCTION("""COMPUTED_VALUE"""),"Phoenix")</f>
        <v>Phoenix</v>
      </c>
      <c r="E463" s="136">
        <f>IFERROR(__xludf.DUMMYFUNCTION("""COMPUTED_VALUE"""),35.0)</f>
        <v>35</v>
      </c>
      <c r="F463" s="136">
        <f>IFERROR(__xludf.DUMMYFUNCTION("""COMPUTED_VALUE"""),24.0)</f>
        <v>24</v>
      </c>
      <c r="G463" s="136">
        <f>IFERROR(__xludf.DUMMYFUNCTION("""COMPUTED_VALUE"""),11.0)</f>
        <v>11</v>
      </c>
      <c r="H463" s="137">
        <f>IFERROR(__xludf.DUMMYFUNCTION("""COMPUTED_VALUE"""),0.6857142857142857)</f>
        <v>0.6857142857</v>
      </c>
      <c r="I463" s="136">
        <f>IFERROR(__xludf.DUMMYFUNCTION("""COMPUTED_VALUE"""),13.0)</f>
        <v>13</v>
      </c>
      <c r="J463" s="136">
        <f>IFERROR(__xludf.DUMMYFUNCTION("""COMPUTED_VALUE"""),16223.0)</f>
        <v>16223</v>
      </c>
      <c r="K463" s="136">
        <f>IFERROR(__xludf.DUMMYFUNCTION("""COMPUTED_VALUE"""),45.0)</f>
        <v>45</v>
      </c>
      <c r="L463" s="136">
        <f>IFERROR(__xludf.DUMMYFUNCTION("""COMPUTED_VALUE"""),24.0)</f>
        <v>24</v>
      </c>
      <c r="M463" s="136">
        <f>IFERROR(__xludf.DUMMYFUNCTION("""COMPUTED_VALUE"""),49.0)</f>
        <v>49</v>
      </c>
      <c r="N463" s="136">
        <f>IFERROR(__xludf.DUMMYFUNCTION("""COMPUTED_VALUE"""),146.0)</f>
        <v>146</v>
      </c>
      <c r="O463" s="138">
        <f>IFERROR(__xludf.DUMMYFUNCTION("""COMPUTED_VALUE"""),9.0)</f>
        <v>9</v>
      </c>
      <c r="P463" s="138">
        <f>IFERROR(__xludf.DUMMYFUNCTION("""COMPUTED_VALUE"""),5.0)</f>
        <v>5</v>
      </c>
      <c r="Q463" s="138">
        <f>IFERROR(__xludf.DUMMYFUNCTION("""COMPUTED_VALUE"""),1.0)</f>
        <v>1</v>
      </c>
      <c r="R463" s="138">
        <f>IFERROR(__xludf.DUMMYFUNCTION("""COMPUTED_VALUE"""),5.0)</f>
        <v>5</v>
      </c>
      <c r="S463" s="139">
        <f>IFERROR(__xludf.DUMMYFUNCTION("""COMPUTED_VALUE"""),238.0)</f>
        <v>238</v>
      </c>
      <c r="T463" s="140">
        <f>IFERROR(__xludf.DUMMYFUNCTION("""COMPUTED_VALUE"""),71.0)</f>
        <v>71</v>
      </c>
      <c r="U463" s="136">
        <f>IFERROR(__xludf.DUMMYFUNCTION("""COMPUTED_VALUE"""),30.0)</f>
        <v>30</v>
      </c>
      <c r="V463" s="136">
        <f>IFERROR(__xludf.DUMMYFUNCTION("""COMPUTED_VALUE"""),22.0)</f>
        <v>22</v>
      </c>
      <c r="W463" s="136">
        <f>IFERROR(__xludf.DUMMYFUNCTION("""COMPUTED_VALUE"""),27.0)</f>
        <v>27</v>
      </c>
      <c r="X463" s="136">
        <f>IFERROR(__xludf.DUMMYFUNCTION("""COMPUTED_VALUE"""),459.65714285714284)</f>
        <v>459.6571429</v>
      </c>
      <c r="Y463" s="141">
        <f>IFERROR(__xludf.DUMMYFUNCTION("""COMPUTED_VALUE"""),48.32428571428571)</f>
        <v>48.32428571</v>
      </c>
      <c r="Z463" s="141">
        <f>IFERROR(__xludf.DUMMYFUNCTION("""COMPUTED_VALUE"""),2732.5142857142855)</f>
        <v>2732.514286</v>
      </c>
    </row>
    <row r="464">
      <c r="A464" s="41" t="str">
        <f>IFERROR(__xludf.DUMMYFUNCTION("""COMPUTED_VALUE"""),"Challenger")</f>
        <v>Challenger</v>
      </c>
      <c r="B464" s="41" t="str">
        <f>IFERROR(__xludf.DUMMYFUNCTION("""COMPUTED_VALUE"""),"RSC007045")</f>
        <v>RSC007045</v>
      </c>
      <c r="C464" s="41" t="str">
        <f>IFERROR(__xludf.DUMMYFUNCTION("""COMPUTED_VALUE"""),"fetty_steve98")</f>
        <v>fetty_steve98</v>
      </c>
      <c r="D464" s="41" t="str">
        <f>IFERROR(__xludf.DUMMYFUNCTION("""COMPUTED_VALUE"""),"Threshers")</f>
        <v>Threshers</v>
      </c>
      <c r="E464" s="136">
        <f>IFERROR(__xludf.DUMMYFUNCTION("""COMPUTED_VALUE"""),40.0)</f>
        <v>40</v>
      </c>
      <c r="F464" s="136">
        <f>IFERROR(__xludf.DUMMYFUNCTION("""COMPUTED_VALUE"""),24.0)</f>
        <v>24</v>
      </c>
      <c r="G464" s="136">
        <f>IFERROR(__xludf.DUMMYFUNCTION("""COMPUTED_VALUE"""),16.0)</f>
        <v>16</v>
      </c>
      <c r="H464" s="137">
        <f>IFERROR(__xludf.DUMMYFUNCTION("""COMPUTED_VALUE"""),0.6)</f>
        <v>0.6</v>
      </c>
      <c r="I464" s="136">
        <f>IFERROR(__xludf.DUMMYFUNCTION("""COMPUTED_VALUE"""),11.0)</f>
        <v>11</v>
      </c>
      <c r="J464" s="136">
        <f>IFERROR(__xludf.DUMMYFUNCTION("""COMPUTED_VALUE"""),13828.0)</f>
        <v>13828</v>
      </c>
      <c r="K464" s="136">
        <f>IFERROR(__xludf.DUMMYFUNCTION("""COMPUTED_VALUE"""),30.0)</f>
        <v>30</v>
      </c>
      <c r="L464" s="136">
        <f>IFERROR(__xludf.DUMMYFUNCTION("""COMPUTED_VALUE"""),22.0)</f>
        <v>22</v>
      </c>
      <c r="M464" s="136">
        <f>IFERROR(__xludf.DUMMYFUNCTION("""COMPUTED_VALUE"""),54.0)</f>
        <v>54</v>
      </c>
      <c r="N464" s="136">
        <f>IFERROR(__xludf.DUMMYFUNCTION("""COMPUTED_VALUE"""),93.0)</f>
        <v>93</v>
      </c>
      <c r="O464" s="138">
        <f>IFERROR(__xludf.DUMMYFUNCTION("""COMPUTED_VALUE"""),5.0)</f>
        <v>5</v>
      </c>
      <c r="P464" s="138">
        <f>IFERROR(__xludf.DUMMYFUNCTION("""COMPUTED_VALUE"""),1.0)</f>
        <v>1</v>
      </c>
      <c r="Q464" s="138">
        <f>IFERROR(__xludf.DUMMYFUNCTION("""COMPUTED_VALUE"""),0.0)</f>
        <v>0</v>
      </c>
      <c r="R464" s="138">
        <f>IFERROR(__xludf.DUMMYFUNCTION("""COMPUTED_VALUE"""),6.0)</f>
        <v>6</v>
      </c>
      <c r="S464" s="139">
        <f>IFERROR(__xludf.DUMMYFUNCTION("""COMPUTED_VALUE"""),290.0)</f>
        <v>290</v>
      </c>
      <c r="T464" s="140">
        <f>IFERROR(__xludf.DUMMYFUNCTION("""COMPUTED_VALUE"""),79.0)</f>
        <v>79</v>
      </c>
      <c r="U464" s="136">
        <f>IFERROR(__xludf.DUMMYFUNCTION("""COMPUTED_VALUE"""),23.0)</f>
        <v>23</v>
      </c>
      <c r="V464" s="136">
        <f>IFERROR(__xludf.DUMMYFUNCTION("""COMPUTED_VALUE"""),26.0)</f>
        <v>26</v>
      </c>
      <c r="W464" s="136">
        <f>IFERROR(__xludf.DUMMYFUNCTION("""COMPUTED_VALUE"""),49.0)</f>
        <v>49</v>
      </c>
      <c r="X464" s="136">
        <f>IFERROR(__xludf.DUMMYFUNCTION("""COMPUTED_VALUE"""),279.4)</f>
        <v>279.4</v>
      </c>
      <c r="Y464" s="141">
        <f>IFERROR(__xludf.DUMMYFUNCTION("""COMPUTED_VALUE"""),55.342000000000006)</f>
        <v>55.342</v>
      </c>
      <c r="Z464" s="141">
        <f>IFERROR(__xludf.DUMMYFUNCTION("""COMPUTED_VALUE"""),1741.225)</f>
        <v>1741.225</v>
      </c>
    </row>
    <row r="465">
      <c r="A465" s="41" t="str">
        <f>IFERROR(__xludf.DUMMYFUNCTION("""COMPUTED_VALUE"""),"Veteran")</f>
        <v>Veteran</v>
      </c>
      <c r="B465" s="41" t="str">
        <f>IFERROR(__xludf.DUMMYFUNCTION("""COMPUTED_VALUE"""),"RSC007062")</f>
        <v>RSC007062</v>
      </c>
      <c r="C465" s="41" t="str">
        <f>IFERROR(__xludf.DUMMYFUNCTION("""COMPUTED_VALUE"""),"Ice Phoenix")</f>
        <v>Ice Phoenix</v>
      </c>
      <c r="D465" s="41" t="str">
        <f>IFERROR(__xludf.DUMMYFUNCTION("""COMPUTED_VALUE"""),"Street Rats")</f>
        <v>Street Rats</v>
      </c>
      <c r="E465" s="136">
        <f>IFERROR(__xludf.DUMMYFUNCTION("""COMPUTED_VALUE"""),29.0)</f>
        <v>29</v>
      </c>
      <c r="F465" s="136">
        <f>IFERROR(__xludf.DUMMYFUNCTION("""COMPUTED_VALUE"""),10.0)</f>
        <v>10</v>
      </c>
      <c r="G465" s="136">
        <f>IFERROR(__xludf.DUMMYFUNCTION("""COMPUTED_VALUE"""),19.0)</f>
        <v>19</v>
      </c>
      <c r="H465" s="137">
        <f>IFERROR(__xludf.DUMMYFUNCTION("""COMPUTED_VALUE"""),0.3448275862068966)</f>
        <v>0.3448275862</v>
      </c>
      <c r="I465" s="136">
        <f>IFERROR(__xludf.DUMMYFUNCTION("""COMPUTED_VALUE"""),4.0)</f>
        <v>4</v>
      </c>
      <c r="J465" s="136">
        <f>IFERROR(__xludf.DUMMYFUNCTION("""COMPUTED_VALUE"""),10158.0)</f>
        <v>10158</v>
      </c>
      <c r="K465" s="136">
        <f>IFERROR(__xludf.DUMMYFUNCTION("""COMPUTED_VALUE"""),22.0)</f>
        <v>22</v>
      </c>
      <c r="L465" s="136">
        <f>IFERROR(__xludf.DUMMYFUNCTION("""COMPUTED_VALUE"""),10.0)</f>
        <v>10</v>
      </c>
      <c r="M465" s="136">
        <f>IFERROR(__xludf.DUMMYFUNCTION("""COMPUTED_VALUE"""),48.0)</f>
        <v>48</v>
      </c>
      <c r="N465" s="136">
        <f>IFERROR(__xludf.DUMMYFUNCTION("""COMPUTED_VALUE"""),68.0)</f>
        <v>68</v>
      </c>
      <c r="O465" s="138">
        <f>IFERROR(__xludf.DUMMYFUNCTION("""COMPUTED_VALUE"""),4.0)</f>
        <v>4</v>
      </c>
      <c r="P465" s="138">
        <f>IFERROR(__xludf.DUMMYFUNCTION("""COMPUTED_VALUE"""),3.0)</f>
        <v>3</v>
      </c>
      <c r="Q465" s="138">
        <f>IFERROR(__xludf.DUMMYFUNCTION("""COMPUTED_VALUE"""),0.0)</f>
        <v>0</v>
      </c>
      <c r="R465" s="138">
        <f>IFERROR(__xludf.DUMMYFUNCTION("""COMPUTED_VALUE"""),4.0)</f>
        <v>4</v>
      </c>
      <c r="S465" s="139">
        <f>IFERROR(__xludf.DUMMYFUNCTION("""COMPUTED_VALUE"""),277.0)</f>
        <v>277</v>
      </c>
      <c r="T465" s="140">
        <f>IFERROR(__xludf.DUMMYFUNCTION("""COMPUTED_VALUE"""),85.0)</f>
        <v>85</v>
      </c>
      <c r="U465" s="136">
        <f>IFERROR(__xludf.DUMMYFUNCTION("""COMPUTED_VALUE"""),25.0)</f>
        <v>25</v>
      </c>
      <c r="V465" s="136">
        <f>IFERROR(__xludf.DUMMYFUNCTION("""COMPUTED_VALUE"""),18.0)</f>
        <v>18</v>
      </c>
      <c r="W465" s="136">
        <f>IFERROR(__xludf.DUMMYFUNCTION("""COMPUTED_VALUE"""),47.0)</f>
        <v>47</v>
      </c>
      <c r="X465" s="136">
        <f>IFERROR(__xludf.DUMMYFUNCTION("""COMPUTED_VALUE"""),328.2068965517241)</f>
        <v>328.2068966</v>
      </c>
      <c r="Y465" s="141">
        <f>IFERROR(__xludf.DUMMYFUNCTION("""COMPUTED_VALUE"""),47.72896551724137)</f>
        <v>47.72896552</v>
      </c>
      <c r="Z465" s="141">
        <f>IFERROR(__xludf.DUMMYFUNCTION("""COMPUTED_VALUE"""),2092.551724137931)</f>
        <v>2092.551724</v>
      </c>
    </row>
    <row r="466">
      <c r="A466" s="41" t="str">
        <f>IFERROR(__xludf.DUMMYFUNCTION("""COMPUTED_VALUE"""),"Rival")</f>
        <v>Rival</v>
      </c>
      <c r="B466" s="41" t="str">
        <f>IFERROR(__xludf.DUMMYFUNCTION("""COMPUTED_VALUE"""),"RSC007065")</f>
        <v>RSC007065</v>
      </c>
      <c r="C466" s="41" t="str">
        <f>IFERROR(__xludf.DUMMYFUNCTION("""COMPUTED_VALUE"""),"Rampage")</f>
        <v>Rampage</v>
      </c>
      <c r="D466" s="41" t="str">
        <f>IFERROR(__xludf.DUMMYFUNCTION("""COMPUTED_VALUE"""),"Hot Wings")</f>
        <v>Hot Wings</v>
      </c>
      <c r="E466" s="136">
        <f>IFERROR(__xludf.DUMMYFUNCTION("""COMPUTED_VALUE"""),23.0)</f>
        <v>23</v>
      </c>
      <c r="F466" s="136">
        <f>IFERROR(__xludf.DUMMYFUNCTION("""COMPUTED_VALUE"""),8.0)</f>
        <v>8</v>
      </c>
      <c r="G466" s="136">
        <f>IFERROR(__xludf.DUMMYFUNCTION("""COMPUTED_VALUE"""),15.0)</f>
        <v>15</v>
      </c>
      <c r="H466" s="137">
        <f>IFERROR(__xludf.DUMMYFUNCTION("""COMPUTED_VALUE"""),0.34782608695652173)</f>
        <v>0.347826087</v>
      </c>
      <c r="I466" s="136">
        <f>IFERROR(__xludf.DUMMYFUNCTION("""COMPUTED_VALUE"""),2.0)</f>
        <v>2</v>
      </c>
      <c r="J466" s="136">
        <f>IFERROR(__xludf.DUMMYFUNCTION("""COMPUTED_VALUE"""),6951.0)</f>
        <v>6951</v>
      </c>
      <c r="K466" s="136">
        <f>IFERROR(__xludf.DUMMYFUNCTION("""COMPUTED_VALUE"""),13.0)</f>
        <v>13</v>
      </c>
      <c r="L466" s="136">
        <f>IFERROR(__xludf.DUMMYFUNCTION("""COMPUTED_VALUE"""),10.0)</f>
        <v>10</v>
      </c>
      <c r="M466" s="136">
        <f>IFERROR(__xludf.DUMMYFUNCTION("""COMPUTED_VALUE"""),25.0)</f>
        <v>25</v>
      </c>
      <c r="N466" s="136">
        <f>IFERROR(__xludf.DUMMYFUNCTION("""COMPUTED_VALUE"""),65.0)</f>
        <v>65</v>
      </c>
      <c r="O466" s="138">
        <f>IFERROR(__xludf.DUMMYFUNCTION("""COMPUTED_VALUE"""),1.0)</f>
        <v>1</v>
      </c>
      <c r="P466" s="138">
        <f>IFERROR(__xludf.DUMMYFUNCTION("""COMPUTED_VALUE"""),0.0)</f>
        <v>0</v>
      </c>
      <c r="Q466" s="138">
        <f>IFERROR(__xludf.DUMMYFUNCTION("""COMPUTED_VALUE"""),0.0)</f>
        <v>0</v>
      </c>
      <c r="R466" s="138">
        <f>IFERROR(__xludf.DUMMYFUNCTION("""COMPUTED_VALUE"""),2.0)</f>
        <v>2</v>
      </c>
      <c r="S466" s="139">
        <f>IFERROR(__xludf.DUMMYFUNCTION("""COMPUTED_VALUE"""),190.0)</f>
        <v>190</v>
      </c>
      <c r="T466" s="140">
        <f>IFERROR(__xludf.DUMMYFUNCTION("""COMPUTED_VALUE"""),65.0)</f>
        <v>65</v>
      </c>
      <c r="U466" s="136">
        <f>IFERROR(__xludf.DUMMYFUNCTION("""COMPUTED_VALUE"""),21.0)</f>
        <v>21</v>
      </c>
      <c r="V466" s="136">
        <f>IFERROR(__xludf.DUMMYFUNCTION("""COMPUTED_VALUE"""),17.0)</f>
        <v>17</v>
      </c>
      <c r="W466" s="136">
        <f>IFERROR(__xludf.DUMMYFUNCTION("""COMPUTED_VALUE"""),19.0)</f>
        <v>19</v>
      </c>
      <c r="X466" s="136">
        <f>IFERROR(__xludf.DUMMYFUNCTION("""COMPUTED_VALUE"""),407.2173913043478)</f>
        <v>407.2173913</v>
      </c>
      <c r="Y466" s="141">
        <f>IFERROR(__xludf.DUMMYFUNCTION("""COMPUTED_VALUE"""),54.3508695652174)</f>
        <v>54.35086957</v>
      </c>
      <c r="Z466" s="141">
        <f>IFERROR(__xludf.DUMMYFUNCTION("""COMPUTED_VALUE"""),2527.5652173913045)</f>
        <v>2527.565217</v>
      </c>
    </row>
    <row r="467">
      <c r="A467" s="41" t="str">
        <f>IFERROR(__xludf.DUMMYFUNCTION("""COMPUTED_VALUE"""),"Veteran")</f>
        <v>Veteran</v>
      </c>
      <c r="B467" s="41" t="str">
        <f>IFERROR(__xludf.DUMMYFUNCTION("""COMPUTED_VALUE"""),"RSC007070")</f>
        <v>RSC007070</v>
      </c>
      <c r="C467" s="41" t="str">
        <f>IFERROR(__xludf.DUMMYFUNCTION("""COMPUTED_VALUE"""),"demha.")</f>
        <v>demha.</v>
      </c>
      <c r="D467" s="41" t="str">
        <f>IFERROR(__xludf.DUMMYFUNCTION("""COMPUTED_VALUE"""),"White Collars")</f>
        <v>White Collars</v>
      </c>
      <c r="E467" s="136">
        <f>IFERROR(__xludf.DUMMYFUNCTION("""COMPUTED_VALUE"""),3.0)</f>
        <v>3</v>
      </c>
      <c r="F467" s="136">
        <f>IFERROR(__xludf.DUMMYFUNCTION("""COMPUTED_VALUE"""),1.0)</f>
        <v>1</v>
      </c>
      <c r="G467" s="136">
        <f>IFERROR(__xludf.DUMMYFUNCTION("""COMPUTED_VALUE"""),2.0)</f>
        <v>2</v>
      </c>
      <c r="H467" s="137">
        <f>IFERROR(__xludf.DUMMYFUNCTION("""COMPUTED_VALUE"""),0.3333333333333333)</f>
        <v>0.3333333333</v>
      </c>
      <c r="I467" s="136">
        <f>IFERROR(__xludf.DUMMYFUNCTION("""COMPUTED_VALUE"""),0.0)</f>
        <v>0</v>
      </c>
      <c r="J467" s="136">
        <f>IFERROR(__xludf.DUMMYFUNCTION("""COMPUTED_VALUE"""),973.0)</f>
        <v>973</v>
      </c>
      <c r="K467" s="136">
        <f>IFERROR(__xludf.DUMMYFUNCTION("""COMPUTED_VALUE"""),3.0)</f>
        <v>3</v>
      </c>
      <c r="L467" s="136">
        <f>IFERROR(__xludf.DUMMYFUNCTION("""COMPUTED_VALUE"""),0.0)</f>
        <v>0</v>
      </c>
      <c r="M467" s="136">
        <f>IFERROR(__xludf.DUMMYFUNCTION("""COMPUTED_VALUE"""),6.0)</f>
        <v>6</v>
      </c>
      <c r="N467" s="136">
        <f>IFERROR(__xludf.DUMMYFUNCTION("""COMPUTED_VALUE"""),6.0)</f>
        <v>6</v>
      </c>
      <c r="O467" s="138">
        <f>IFERROR(__xludf.DUMMYFUNCTION("""COMPUTED_VALUE"""),0.0)</f>
        <v>0</v>
      </c>
      <c r="P467" s="138">
        <f>IFERROR(__xludf.DUMMYFUNCTION("""COMPUTED_VALUE"""),0.0)</f>
        <v>0</v>
      </c>
      <c r="Q467" s="138">
        <f>IFERROR(__xludf.DUMMYFUNCTION("""COMPUTED_VALUE"""),0.0)</f>
        <v>0</v>
      </c>
      <c r="R467" s="138">
        <f>IFERROR(__xludf.DUMMYFUNCTION("""COMPUTED_VALUE"""),1.0)</f>
        <v>1</v>
      </c>
      <c r="S467" s="139">
        <f>IFERROR(__xludf.DUMMYFUNCTION("""COMPUTED_VALUE"""),26.0)</f>
        <v>26</v>
      </c>
      <c r="T467" s="140">
        <f>IFERROR(__xludf.DUMMYFUNCTION("""COMPUTED_VALUE"""),7.0)</f>
        <v>7</v>
      </c>
      <c r="U467" s="136">
        <f>IFERROR(__xludf.DUMMYFUNCTION("""COMPUTED_VALUE"""),5.0)</f>
        <v>5</v>
      </c>
      <c r="V467" s="136">
        <f>IFERROR(__xludf.DUMMYFUNCTION("""COMPUTED_VALUE"""),4.0)</f>
        <v>4</v>
      </c>
      <c r="W467" s="136">
        <f>IFERROR(__xludf.DUMMYFUNCTION("""COMPUTED_VALUE"""),4.0)</f>
        <v>4</v>
      </c>
      <c r="X467" s="136">
        <f>IFERROR(__xludf.DUMMYFUNCTION("""COMPUTED_VALUE"""),414.3333333333333)</f>
        <v>414.3333333</v>
      </c>
      <c r="Y467" s="141">
        <f>IFERROR(__xludf.DUMMYFUNCTION("""COMPUTED_VALUE"""),50.376666666666665)</f>
        <v>50.37666667</v>
      </c>
      <c r="Z467" s="141">
        <f>IFERROR(__xludf.DUMMYFUNCTION("""COMPUTED_VALUE"""),2276.0)</f>
        <v>2276</v>
      </c>
    </row>
    <row r="468">
      <c r="A468" s="41" t="str">
        <f>IFERROR(__xludf.DUMMYFUNCTION("""COMPUTED_VALUE"""),"Premier")</f>
        <v>Premier</v>
      </c>
      <c r="B468" s="41" t="str">
        <f>IFERROR(__xludf.DUMMYFUNCTION("""COMPUTED_VALUE"""),"RSC007071")</f>
        <v>RSC007071</v>
      </c>
      <c r="C468" s="41" t="str">
        <f>IFERROR(__xludf.DUMMYFUNCTION("""COMPUTED_VALUE"""),"Ankur")</f>
        <v>Ankur</v>
      </c>
      <c r="D468" s="41" t="str">
        <f>IFERROR(__xludf.DUMMYFUNCTION("""COMPUTED_VALUE"""),"Interstellar")</f>
        <v>Interstellar</v>
      </c>
      <c r="E468" s="136">
        <f>IFERROR(__xludf.DUMMYFUNCTION("""COMPUTED_VALUE"""),4.0)</f>
        <v>4</v>
      </c>
      <c r="F468" s="136">
        <f>IFERROR(__xludf.DUMMYFUNCTION("""COMPUTED_VALUE"""),4.0)</f>
        <v>4</v>
      </c>
      <c r="G468" s="136">
        <f>IFERROR(__xludf.DUMMYFUNCTION("""COMPUTED_VALUE"""),0.0)</f>
        <v>0</v>
      </c>
      <c r="H468" s="137">
        <f>IFERROR(__xludf.DUMMYFUNCTION("""COMPUTED_VALUE"""),1.0)</f>
        <v>1</v>
      </c>
      <c r="I468" s="136">
        <f>IFERROR(__xludf.DUMMYFUNCTION("""COMPUTED_VALUE"""),2.0)</f>
        <v>2</v>
      </c>
      <c r="J468" s="136">
        <f>IFERROR(__xludf.DUMMYFUNCTION("""COMPUTED_VALUE"""),2304.0)</f>
        <v>2304</v>
      </c>
      <c r="K468" s="136">
        <f>IFERROR(__xludf.DUMMYFUNCTION("""COMPUTED_VALUE"""),7.0)</f>
        <v>7</v>
      </c>
      <c r="L468" s="136">
        <f>IFERROR(__xludf.DUMMYFUNCTION("""COMPUTED_VALUE"""),4.0)</f>
        <v>4</v>
      </c>
      <c r="M468" s="136">
        <f>IFERROR(__xludf.DUMMYFUNCTION("""COMPUTED_VALUE"""),8.0)</f>
        <v>8</v>
      </c>
      <c r="N468" s="136">
        <f>IFERROR(__xludf.DUMMYFUNCTION("""COMPUTED_VALUE"""),14.0)</f>
        <v>14</v>
      </c>
      <c r="O468" s="138">
        <f>IFERROR(__xludf.DUMMYFUNCTION("""COMPUTED_VALUE"""),3.0)</f>
        <v>3</v>
      </c>
      <c r="P468" s="138">
        <f>IFERROR(__xludf.DUMMYFUNCTION("""COMPUTED_VALUE"""),1.0)</f>
        <v>1</v>
      </c>
      <c r="Q468" s="138">
        <f>IFERROR(__xludf.DUMMYFUNCTION("""COMPUTED_VALUE"""),0.0)</f>
        <v>0</v>
      </c>
      <c r="R468" s="138">
        <f>IFERROR(__xludf.DUMMYFUNCTION("""COMPUTED_VALUE"""),2.0)</f>
        <v>2</v>
      </c>
      <c r="S468" s="139">
        <f>IFERROR(__xludf.DUMMYFUNCTION("""COMPUTED_VALUE"""),32.0)</f>
        <v>32</v>
      </c>
      <c r="T468" s="140">
        <f>IFERROR(__xludf.DUMMYFUNCTION("""COMPUTED_VALUE"""),6.0)</f>
        <v>6</v>
      </c>
      <c r="U468" s="136">
        <f>IFERROR(__xludf.DUMMYFUNCTION("""COMPUTED_VALUE"""),2.0)</f>
        <v>2</v>
      </c>
      <c r="V468" s="136">
        <f>IFERROR(__xludf.DUMMYFUNCTION("""COMPUTED_VALUE"""),2.0)</f>
        <v>2</v>
      </c>
      <c r="W468" s="136">
        <f>IFERROR(__xludf.DUMMYFUNCTION("""COMPUTED_VALUE"""),4.0)</f>
        <v>4</v>
      </c>
      <c r="X468" s="136">
        <f>IFERROR(__xludf.DUMMYFUNCTION("""COMPUTED_VALUE"""),388.0)</f>
        <v>388</v>
      </c>
      <c r="Y468" s="141">
        <f>IFERROR(__xludf.DUMMYFUNCTION("""COMPUTED_VALUE"""),52.575)</f>
        <v>52.575</v>
      </c>
      <c r="Z468" s="141">
        <f>IFERROR(__xludf.DUMMYFUNCTION("""COMPUTED_VALUE"""),2328.0)</f>
        <v>2328</v>
      </c>
    </row>
    <row r="469">
      <c r="A469" s="41" t="str">
        <f>IFERROR(__xludf.DUMMYFUNCTION("""COMPUTED_VALUE"""),"Challenger")</f>
        <v>Challenger</v>
      </c>
      <c r="B469" s="41" t="str">
        <f>IFERROR(__xludf.DUMMYFUNCTION("""COMPUTED_VALUE"""),"RSC007092")</f>
        <v>RSC007092</v>
      </c>
      <c r="C469" s="41" t="str">
        <f>IFERROR(__xludf.DUMMYFUNCTION("""COMPUTED_VALUE"""),"Minjaaa")</f>
        <v>Minjaaa</v>
      </c>
      <c r="D469" s="41" t="str">
        <f>IFERROR(__xludf.DUMMYFUNCTION("""COMPUTED_VALUE"""),"Ryujin")</f>
        <v>Ryujin</v>
      </c>
      <c r="E469" s="136">
        <f>IFERROR(__xludf.DUMMYFUNCTION("""COMPUTED_VALUE"""),52.0)</f>
        <v>52</v>
      </c>
      <c r="F469" s="136">
        <f>IFERROR(__xludf.DUMMYFUNCTION("""COMPUTED_VALUE"""),25.0)</f>
        <v>25</v>
      </c>
      <c r="G469" s="136">
        <f>IFERROR(__xludf.DUMMYFUNCTION("""COMPUTED_VALUE"""),27.0)</f>
        <v>27</v>
      </c>
      <c r="H469" s="137">
        <f>IFERROR(__xludf.DUMMYFUNCTION("""COMPUTED_VALUE"""),0.4807692307692308)</f>
        <v>0.4807692308</v>
      </c>
      <c r="I469" s="136">
        <f>IFERROR(__xludf.DUMMYFUNCTION("""COMPUTED_VALUE"""),9.0)</f>
        <v>9</v>
      </c>
      <c r="J469" s="136">
        <f>IFERROR(__xludf.DUMMYFUNCTION("""COMPUTED_VALUE"""),18295.0)</f>
        <v>18295</v>
      </c>
      <c r="K469" s="136">
        <f>IFERROR(__xludf.DUMMYFUNCTION("""COMPUTED_VALUE"""),49.0)</f>
        <v>49</v>
      </c>
      <c r="L469" s="136">
        <f>IFERROR(__xludf.DUMMYFUNCTION("""COMPUTED_VALUE"""),18.0)</f>
        <v>18</v>
      </c>
      <c r="M469" s="136">
        <f>IFERROR(__xludf.DUMMYFUNCTION("""COMPUTED_VALUE"""),65.0)</f>
        <v>65</v>
      </c>
      <c r="N469" s="136">
        <f>IFERROR(__xludf.DUMMYFUNCTION("""COMPUTED_VALUE"""),139.0)</f>
        <v>139</v>
      </c>
      <c r="O469" s="138">
        <f>IFERROR(__xludf.DUMMYFUNCTION("""COMPUTED_VALUE"""),6.0)</f>
        <v>6</v>
      </c>
      <c r="P469" s="138">
        <f>IFERROR(__xludf.DUMMYFUNCTION("""COMPUTED_VALUE"""),4.0)</f>
        <v>4</v>
      </c>
      <c r="Q469" s="138">
        <f>IFERROR(__xludf.DUMMYFUNCTION("""COMPUTED_VALUE"""),0.0)</f>
        <v>0</v>
      </c>
      <c r="R469" s="138">
        <f>IFERROR(__xludf.DUMMYFUNCTION("""COMPUTED_VALUE"""),8.0)</f>
        <v>8</v>
      </c>
      <c r="S469" s="139">
        <f>IFERROR(__xludf.DUMMYFUNCTION("""COMPUTED_VALUE"""),404.0)</f>
        <v>404</v>
      </c>
      <c r="T469" s="140">
        <f>IFERROR(__xludf.DUMMYFUNCTION("""COMPUTED_VALUE"""),116.0)</f>
        <v>116</v>
      </c>
      <c r="U469" s="136">
        <f>IFERROR(__xludf.DUMMYFUNCTION("""COMPUTED_VALUE"""),35.0)</f>
        <v>35</v>
      </c>
      <c r="V469" s="136">
        <f>IFERROR(__xludf.DUMMYFUNCTION("""COMPUTED_VALUE"""),74.0)</f>
        <v>74</v>
      </c>
      <c r="W469" s="136">
        <f>IFERROR(__xludf.DUMMYFUNCTION("""COMPUTED_VALUE"""),45.0)</f>
        <v>45</v>
      </c>
      <c r="X469" s="136">
        <f>IFERROR(__xludf.DUMMYFUNCTION("""COMPUTED_VALUE"""),329.6923076923077)</f>
        <v>329.6923077</v>
      </c>
      <c r="Y469" s="141">
        <f>IFERROR(__xludf.DUMMYFUNCTION("""COMPUTED_VALUE"""),52.2417307692308)</f>
        <v>52.24173077</v>
      </c>
      <c r="Z469" s="141">
        <f>IFERROR(__xludf.DUMMYFUNCTION("""COMPUTED_VALUE"""),1981.2884615384614)</f>
        <v>1981.288462</v>
      </c>
    </row>
    <row r="470">
      <c r="A470" s="41" t="str">
        <f>IFERROR(__xludf.DUMMYFUNCTION("""COMPUTED_VALUE"""),"Rival")</f>
        <v>Rival</v>
      </c>
      <c r="B470" s="41" t="str">
        <f>IFERROR(__xludf.DUMMYFUNCTION("""COMPUTED_VALUE"""),"RSC007093")</f>
        <v>RSC007093</v>
      </c>
      <c r="C470" s="41" t="str">
        <f>IFERROR(__xludf.DUMMYFUNCTION("""COMPUTED_VALUE"""),"Mangy")</f>
        <v>Mangy</v>
      </c>
      <c r="D470" s="41" t="str">
        <f>IFERROR(__xludf.DUMMYFUNCTION("""COMPUTED_VALUE"""),"Dracos")</f>
        <v>Dracos</v>
      </c>
      <c r="E470" s="136">
        <f>IFERROR(__xludf.DUMMYFUNCTION("""COMPUTED_VALUE"""),4.0)</f>
        <v>4</v>
      </c>
      <c r="F470" s="136">
        <f>IFERROR(__xludf.DUMMYFUNCTION("""COMPUTED_VALUE"""),2.0)</f>
        <v>2</v>
      </c>
      <c r="G470" s="136">
        <f>IFERROR(__xludf.DUMMYFUNCTION("""COMPUTED_VALUE"""),2.0)</f>
        <v>2</v>
      </c>
      <c r="H470" s="137">
        <f>IFERROR(__xludf.DUMMYFUNCTION("""COMPUTED_VALUE"""),0.5)</f>
        <v>0.5</v>
      </c>
      <c r="I470" s="136">
        <f>IFERROR(__xludf.DUMMYFUNCTION("""COMPUTED_VALUE"""),1.0)</f>
        <v>1</v>
      </c>
      <c r="J470" s="136">
        <f>IFERROR(__xludf.DUMMYFUNCTION("""COMPUTED_VALUE"""),1383.0)</f>
        <v>1383</v>
      </c>
      <c r="K470" s="136">
        <f>IFERROR(__xludf.DUMMYFUNCTION("""COMPUTED_VALUE"""),3.0)</f>
        <v>3</v>
      </c>
      <c r="L470" s="136">
        <f>IFERROR(__xludf.DUMMYFUNCTION("""COMPUTED_VALUE"""),6.0)</f>
        <v>6</v>
      </c>
      <c r="M470" s="136">
        <f>IFERROR(__xludf.DUMMYFUNCTION("""COMPUTED_VALUE"""),2.0)</f>
        <v>2</v>
      </c>
      <c r="N470" s="136">
        <f>IFERROR(__xludf.DUMMYFUNCTION("""COMPUTED_VALUE"""),9.0)</f>
        <v>9</v>
      </c>
      <c r="O470" s="138">
        <f>IFERROR(__xludf.DUMMYFUNCTION("""COMPUTED_VALUE"""),2.0)</f>
        <v>2</v>
      </c>
      <c r="P470" s="138">
        <f>IFERROR(__xludf.DUMMYFUNCTION("""COMPUTED_VALUE"""),0.0)</f>
        <v>0</v>
      </c>
      <c r="Q470" s="138">
        <f>IFERROR(__xludf.DUMMYFUNCTION("""COMPUTED_VALUE"""),1.0)</f>
        <v>1</v>
      </c>
      <c r="R470" s="138">
        <f>IFERROR(__xludf.DUMMYFUNCTION("""COMPUTED_VALUE"""),0.0)</f>
        <v>0</v>
      </c>
      <c r="S470" s="139">
        <f>IFERROR(__xludf.DUMMYFUNCTION("""COMPUTED_VALUE"""),33.0)</f>
        <v>33</v>
      </c>
      <c r="T470" s="140">
        <f>IFERROR(__xludf.DUMMYFUNCTION("""COMPUTED_VALUE"""),13.0)</f>
        <v>13</v>
      </c>
      <c r="U470" s="136">
        <f>IFERROR(__xludf.DUMMYFUNCTION("""COMPUTED_VALUE"""),3.0)</f>
        <v>3</v>
      </c>
      <c r="V470" s="136">
        <f>IFERROR(__xludf.DUMMYFUNCTION("""COMPUTED_VALUE"""),1.0)</f>
        <v>1</v>
      </c>
      <c r="W470" s="136">
        <f>IFERROR(__xludf.DUMMYFUNCTION("""COMPUTED_VALUE"""),6.0)</f>
        <v>6</v>
      </c>
      <c r="X470" s="136"/>
      <c r="Y470" s="41"/>
      <c r="Z470" s="41"/>
    </row>
    <row r="471">
      <c r="A471" s="41" t="str">
        <f>IFERROR(__xludf.DUMMYFUNCTION("""COMPUTED_VALUE"""),"Master")</f>
        <v>Master</v>
      </c>
      <c r="B471" s="41" t="str">
        <f>IFERROR(__xludf.DUMMYFUNCTION("""COMPUTED_VALUE"""),"RSC007099")</f>
        <v>RSC007099</v>
      </c>
      <c r="C471" s="41" t="str">
        <f>IFERROR(__xludf.DUMMYFUNCTION("""COMPUTED_VALUE"""),"clankerh8er49")</f>
        <v>clankerh8er49</v>
      </c>
      <c r="D471" s="41" t="str">
        <f>IFERROR(__xludf.DUMMYFUNCTION("""COMPUTED_VALUE"""),"Battle Masters")</f>
        <v>Battle Masters</v>
      </c>
      <c r="E471" s="136">
        <f>IFERROR(__xludf.DUMMYFUNCTION("""COMPUTED_VALUE"""),12.0)</f>
        <v>12</v>
      </c>
      <c r="F471" s="136">
        <f>IFERROR(__xludf.DUMMYFUNCTION("""COMPUTED_VALUE"""),5.0)</f>
        <v>5</v>
      </c>
      <c r="G471" s="136">
        <f>IFERROR(__xludf.DUMMYFUNCTION("""COMPUTED_VALUE"""),7.0)</f>
        <v>7</v>
      </c>
      <c r="H471" s="137">
        <f>IFERROR(__xludf.DUMMYFUNCTION("""COMPUTED_VALUE"""),0.4166666666666667)</f>
        <v>0.4166666667</v>
      </c>
      <c r="I471" s="136">
        <f>IFERROR(__xludf.DUMMYFUNCTION("""COMPUTED_VALUE"""),3.0)</f>
        <v>3</v>
      </c>
      <c r="J471" s="136">
        <f>IFERROR(__xludf.DUMMYFUNCTION("""COMPUTED_VALUE"""),4310.0)</f>
        <v>4310</v>
      </c>
      <c r="K471" s="136">
        <f>IFERROR(__xludf.DUMMYFUNCTION("""COMPUTED_VALUE"""),12.0)</f>
        <v>12</v>
      </c>
      <c r="L471" s="136">
        <f>IFERROR(__xludf.DUMMYFUNCTION("""COMPUTED_VALUE"""),6.0)</f>
        <v>6</v>
      </c>
      <c r="M471" s="136">
        <f>IFERROR(__xludf.DUMMYFUNCTION("""COMPUTED_VALUE"""),15.0)</f>
        <v>15</v>
      </c>
      <c r="N471" s="136">
        <f>IFERROR(__xludf.DUMMYFUNCTION("""COMPUTED_VALUE"""),24.0)</f>
        <v>24</v>
      </c>
      <c r="O471" s="138">
        <f>IFERROR(__xludf.DUMMYFUNCTION("""COMPUTED_VALUE"""),3.0)</f>
        <v>3</v>
      </c>
      <c r="P471" s="138">
        <f>IFERROR(__xludf.DUMMYFUNCTION("""COMPUTED_VALUE"""),1.0)</f>
        <v>1</v>
      </c>
      <c r="Q471" s="138">
        <f>IFERROR(__xludf.DUMMYFUNCTION("""COMPUTED_VALUE"""),0.0)</f>
        <v>0</v>
      </c>
      <c r="R471" s="138">
        <f>IFERROR(__xludf.DUMMYFUNCTION("""COMPUTED_VALUE"""),1.0)</f>
        <v>1</v>
      </c>
      <c r="S471" s="139">
        <f>IFERROR(__xludf.DUMMYFUNCTION("""COMPUTED_VALUE"""),107.0)</f>
        <v>107</v>
      </c>
      <c r="T471" s="140">
        <f>IFERROR(__xludf.DUMMYFUNCTION("""COMPUTED_VALUE"""),35.0)</f>
        <v>35</v>
      </c>
      <c r="U471" s="136">
        <f>IFERROR(__xludf.DUMMYFUNCTION("""COMPUTED_VALUE"""),15.0)</f>
        <v>15</v>
      </c>
      <c r="V471" s="136">
        <f>IFERROR(__xludf.DUMMYFUNCTION("""COMPUTED_VALUE"""),17.0)</f>
        <v>17</v>
      </c>
      <c r="W471" s="136">
        <f>IFERROR(__xludf.DUMMYFUNCTION("""COMPUTED_VALUE"""),11.0)</f>
        <v>11</v>
      </c>
      <c r="X471" s="136">
        <f>IFERROR(__xludf.DUMMYFUNCTION("""COMPUTED_VALUE"""),435.5)</f>
        <v>435.5</v>
      </c>
      <c r="Y471" s="141">
        <f>IFERROR(__xludf.DUMMYFUNCTION("""COMPUTED_VALUE"""),46.12416666666667)</f>
        <v>46.12416667</v>
      </c>
      <c r="Z471" s="141">
        <f>IFERROR(__xludf.DUMMYFUNCTION("""COMPUTED_VALUE"""),2545.25)</f>
        <v>2545.25</v>
      </c>
    </row>
    <row r="472">
      <c r="A472" s="41" t="str">
        <f>IFERROR(__xludf.DUMMYFUNCTION("""COMPUTED_VALUE"""),"Elite")</f>
        <v>Elite</v>
      </c>
      <c r="B472" s="41" t="str">
        <f>IFERROR(__xludf.DUMMYFUNCTION("""COMPUTED_VALUE"""),"RSC007115")</f>
        <v>RSC007115</v>
      </c>
      <c r="C472" s="41" t="str">
        <f>IFERROR(__xludf.DUMMYFUNCTION("""COMPUTED_VALUE"""),"Zoomin")</f>
        <v>Zoomin</v>
      </c>
      <c r="D472" s="41" t="str">
        <f>IFERROR(__xludf.DUMMYFUNCTION("""COMPUTED_VALUE"""),"Raptors")</f>
        <v>Raptors</v>
      </c>
      <c r="E472" s="136">
        <f>IFERROR(__xludf.DUMMYFUNCTION("""COMPUTED_VALUE"""),50.0)</f>
        <v>50</v>
      </c>
      <c r="F472" s="136">
        <f>IFERROR(__xludf.DUMMYFUNCTION("""COMPUTED_VALUE"""),10.0)</f>
        <v>10</v>
      </c>
      <c r="G472" s="136">
        <f>IFERROR(__xludf.DUMMYFUNCTION("""COMPUTED_VALUE"""),40.0)</f>
        <v>40</v>
      </c>
      <c r="H472" s="137">
        <f>IFERROR(__xludf.DUMMYFUNCTION("""COMPUTED_VALUE"""),0.2)</f>
        <v>0.2</v>
      </c>
      <c r="I472" s="136">
        <f>IFERROR(__xludf.DUMMYFUNCTION("""COMPUTED_VALUE"""),4.0)</f>
        <v>4</v>
      </c>
      <c r="J472" s="136">
        <f>IFERROR(__xludf.DUMMYFUNCTION("""COMPUTED_VALUE"""),17916.0)</f>
        <v>17916</v>
      </c>
      <c r="K472" s="136">
        <f>IFERROR(__xludf.DUMMYFUNCTION("""COMPUTED_VALUE"""),33.0)</f>
        <v>33</v>
      </c>
      <c r="L472" s="136">
        <f>IFERROR(__xludf.DUMMYFUNCTION("""COMPUTED_VALUE"""),15.0)</f>
        <v>15</v>
      </c>
      <c r="M472" s="136">
        <f>IFERROR(__xludf.DUMMYFUNCTION("""COMPUTED_VALUE"""),81.0)</f>
        <v>81</v>
      </c>
      <c r="N472" s="136">
        <f>IFERROR(__xludf.DUMMYFUNCTION("""COMPUTED_VALUE"""),114.0)</f>
        <v>114</v>
      </c>
      <c r="O472" s="138">
        <f>IFERROR(__xludf.DUMMYFUNCTION("""COMPUTED_VALUE"""),2.0)</f>
        <v>2</v>
      </c>
      <c r="P472" s="138">
        <f>IFERROR(__xludf.DUMMYFUNCTION("""COMPUTED_VALUE"""),1.0)</f>
        <v>1</v>
      </c>
      <c r="Q472" s="138">
        <f>IFERROR(__xludf.DUMMYFUNCTION("""COMPUTED_VALUE"""),0.0)</f>
        <v>0</v>
      </c>
      <c r="R472" s="138">
        <f>IFERROR(__xludf.DUMMYFUNCTION("""COMPUTED_VALUE"""),11.0)</f>
        <v>11</v>
      </c>
      <c r="S472" s="139">
        <f>IFERROR(__xludf.DUMMYFUNCTION("""COMPUTED_VALUE"""),468.0)</f>
        <v>468</v>
      </c>
      <c r="T472" s="140">
        <f>IFERROR(__xludf.DUMMYFUNCTION("""COMPUTED_VALUE"""),164.0)</f>
        <v>164</v>
      </c>
      <c r="U472" s="136">
        <f>IFERROR(__xludf.DUMMYFUNCTION("""COMPUTED_VALUE"""),51.0)</f>
        <v>51</v>
      </c>
      <c r="V472" s="136">
        <f>IFERROR(__xludf.DUMMYFUNCTION("""COMPUTED_VALUE"""),46.0)</f>
        <v>46</v>
      </c>
      <c r="W472" s="136">
        <f>IFERROR(__xludf.DUMMYFUNCTION("""COMPUTED_VALUE"""),48.0)</f>
        <v>48</v>
      </c>
      <c r="X472" s="136">
        <f>IFERROR(__xludf.DUMMYFUNCTION("""COMPUTED_VALUE"""),387.66)</f>
        <v>387.66</v>
      </c>
      <c r="Y472" s="141">
        <f>IFERROR(__xludf.DUMMYFUNCTION("""COMPUTED_VALUE"""),47.15379999999998)</f>
        <v>47.1538</v>
      </c>
      <c r="Z472" s="141">
        <f>IFERROR(__xludf.DUMMYFUNCTION("""COMPUTED_VALUE"""),2397.24)</f>
        <v>2397.24</v>
      </c>
    </row>
    <row r="473">
      <c r="A473" s="41" t="str">
        <f>IFERROR(__xludf.DUMMYFUNCTION("""COMPUTED_VALUE"""),"Elite")</f>
        <v>Elite</v>
      </c>
      <c r="B473" s="41" t="str">
        <f>IFERROR(__xludf.DUMMYFUNCTION("""COMPUTED_VALUE"""),"RSC007129")</f>
        <v>RSC007129</v>
      </c>
      <c r="C473" s="41" t="str">
        <f>IFERROR(__xludf.DUMMYFUNCTION("""COMPUTED_VALUE"""),"EKA Luminous")</f>
        <v>EKA Luminous</v>
      </c>
      <c r="D473" s="41" t="str">
        <f>IFERROR(__xludf.DUMMYFUNCTION("""COMPUTED_VALUE"""),"Forge Defenders")</f>
        <v>Forge Defenders</v>
      </c>
      <c r="E473" s="136">
        <f>IFERROR(__xludf.DUMMYFUNCTION("""COMPUTED_VALUE"""),29.0)</f>
        <v>29</v>
      </c>
      <c r="F473" s="136">
        <f>IFERROR(__xludf.DUMMYFUNCTION("""COMPUTED_VALUE"""),13.0)</f>
        <v>13</v>
      </c>
      <c r="G473" s="136">
        <f>IFERROR(__xludf.DUMMYFUNCTION("""COMPUTED_VALUE"""),16.0)</f>
        <v>16</v>
      </c>
      <c r="H473" s="137">
        <f>IFERROR(__xludf.DUMMYFUNCTION("""COMPUTED_VALUE"""),0.4482758620689655)</f>
        <v>0.4482758621</v>
      </c>
      <c r="I473" s="136">
        <f>IFERROR(__xludf.DUMMYFUNCTION("""COMPUTED_VALUE"""),2.0)</f>
        <v>2</v>
      </c>
      <c r="J473" s="136">
        <f>IFERROR(__xludf.DUMMYFUNCTION("""COMPUTED_VALUE"""),9687.0)</f>
        <v>9687</v>
      </c>
      <c r="K473" s="136">
        <f>IFERROR(__xludf.DUMMYFUNCTION("""COMPUTED_VALUE"""),23.0)</f>
        <v>23</v>
      </c>
      <c r="L473" s="136">
        <f>IFERROR(__xludf.DUMMYFUNCTION("""COMPUTED_VALUE"""),16.0)</f>
        <v>16</v>
      </c>
      <c r="M473" s="136">
        <f>IFERROR(__xludf.DUMMYFUNCTION("""COMPUTED_VALUE"""),37.0)</f>
        <v>37</v>
      </c>
      <c r="N473" s="136">
        <f>IFERROR(__xludf.DUMMYFUNCTION("""COMPUTED_VALUE"""),76.0)</f>
        <v>76</v>
      </c>
      <c r="O473" s="138">
        <f>IFERROR(__xludf.DUMMYFUNCTION("""COMPUTED_VALUE"""),5.0)</f>
        <v>5</v>
      </c>
      <c r="P473" s="138">
        <f>IFERROR(__xludf.DUMMYFUNCTION("""COMPUTED_VALUE"""),3.0)</f>
        <v>3</v>
      </c>
      <c r="Q473" s="138">
        <f>IFERROR(__xludf.DUMMYFUNCTION("""COMPUTED_VALUE"""),1.0)</f>
        <v>1</v>
      </c>
      <c r="R473" s="138">
        <f>IFERROR(__xludf.DUMMYFUNCTION("""COMPUTED_VALUE"""),2.0)</f>
        <v>2</v>
      </c>
      <c r="S473" s="139">
        <f>IFERROR(__xludf.DUMMYFUNCTION("""COMPUTED_VALUE"""),236.0)</f>
        <v>236</v>
      </c>
      <c r="T473" s="140">
        <f>IFERROR(__xludf.DUMMYFUNCTION("""COMPUTED_VALUE"""),79.0)</f>
        <v>79</v>
      </c>
      <c r="U473" s="136">
        <f>IFERROR(__xludf.DUMMYFUNCTION("""COMPUTED_VALUE"""),22.0)</f>
        <v>22</v>
      </c>
      <c r="V473" s="136">
        <f>IFERROR(__xludf.DUMMYFUNCTION("""COMPUTED_VALUE"""),23.0)</f>
        <v>23</v>
      </c>
      <c r="W473" s="136">
        <f>IFERROR(__xludf.DUMMYFUNCTION("""COMPUTED_VALUE"""),46.0)</f>
        <v>46</v>
      </c>
      <c r="X473" s="136">
        <f>IFERROR(__xludf.DUMMYFUNCTION("""COMPUTED_VALUE"""),411.62068965517244)</f>
        <v>411.6206897</v>
      </c>
      <c r="Y473" s="141">
        <f>IFERROR(__xludf.DUMMYFUNCTION("""COMPUTED_VALUE"""),49.29103448275861)</f>
        <v>49.29103448</v>
      </c>
      <c r="Z473" s="141">
        <f>IFERROR(__xludf.DUMMYFUNCTION("""COMPUTED_VALUE"""),2534.0)</f>
        <v>2534</v>
      </c>
    </row>
    <row r="474">
      <c r="A474" s="41" t="str">
        <f>IFERROR(__xludf.DUMMYFUNCTION("""COMPUTED_VALUE"""),"Veteran")</f>
        <v>Veteran</v>
      </c>
      <c r="B474" s="41" t="str">
        <f>IFERROR(__xludf.DUMMYFUNCTION("""COMPUTED_VALUE"""),"RSC007131")</f>
        <v>RSC007131</v>
      </c>
      <c r="C474" s="41" t="str">
        <f>IFERROR(__xludf.DUMMYFUNCTION("""COMPUTED_VALUE"""),"BankShark")</f>
        <v>BankShark</v>
      </c>
      <c r="D474" s="41" t="str">
        <f>IFERROR(__xludf.DUMMYFUNCTION("""COMPUTED_VALUE"""),"Makos")</f>
        <v>Makos</v>
      </c>
      <c r="E474" s="136">
        <f>IFERROR(__xludf.DUMMYFUNCTION("""COMPUTED_VALUE"""),55.0)</f>
        <v>55</v>
      </c>
      <c r="F474" s="136">
        <f>IFERROR(__xludf.DUMMYFUNCTION("""COMPUTED_VALUE"""),37.0)</f>
        <v>37</v>
      </c>
      <c r="G474" s="136">
        <f>IFERROR(__xludf.DUMMYFUNCTION("""COMPUTED_VALUE"""),18.0)</f>
        <v>18</v>
      </c>
      <c r="H474" s="137">
        <f>IFERROR(__xludf.DUMMYFUNCTION("""COMPUTED_VALUE"""),0.6727272727272727)</f>
        <v>0.6727272727</v>
      </c>
      <c r="I474" s="136">
        <f>IFERROR(__xludf.DUMMYFUNCTION("""COMPUTED_VALUE"""),18.0)</f>
        <v>18</v>
      </c>
      <c r="J474" s="136">
        <f>IFERROR(__xludf.DUMMYFUNCTION("""COMPUTED_VALUE"""),22550.0)</f>
        <v>22550</v>
      </c>
      <c r="K474" s="136">
        <f>IFERROR(__xludf.DUMMYFUNCTION("""COMPUTED_VALUE"""),62.0)</f>
        <v>62</v>
      </c>
      <c r="L474" s="136">
        <f>IFERROR(__xludf.DUMMYFUNCTION("""COMPUTED_VALUE"""),29.0)</f>
        <v>29</v>
      </c>
      <c r="M474" s="136">
        <f>IFERROR(__xludf.DUMMYFUNCTION("""COMPUTED_VALUE"""),75.0)</f>
        <v>75</v>
      </c>
      <c r="N474" s="136">
        <f>IFERROR(__xludf.DUMMYFUNCTION("""COMPUTED_VALUE"""),183.0)</f>
        <v>183</v>
      </c>
      <c r="O474" s="138">
        <f>IFERROR(__xludf.DUMMYFUNCTION("""COMPUTED_VALUE"""),13.0)</f>
        <v>13</v>
      </c>
      <c r="P474" s="138">
        <f>IFERROR(__xludf.DUMMYFUNCTION("""COMPUTED_VALUE"""),6.0)</f>
        <v>6</v>
      </c>
      <c r="Q474" s="138">
        <f>IFERROR(__xludf.DUMMYFUNCTION("""COMPUTED_VALUE"""),0.0)</f>
        <v>0</v>
      </c>
      <c r="R474" s="138">
        <f>IFERROR(__xludf.DUMMYFUNCTION("""COMPUTED_VALUE"""),11.0)</f>
        <v>11</v>
      </c>
      <c r="S474" s="139">
        <f>IFERROR(__xludf.DUMMYFUNCTION("""COMPUTED_VALUE"""),391.0)</f>
        <v>391</v>
      </c>
      <c r="T474" s="140">
        <f>IFERROR(__xludf.DUMMYFUNCTION("""COMPUTED_VALUE"""),112.0)</f>
        <v>112</v>
      </c>
      <c r="U474" s="136">
        <f>IFERROR(__xludf.DUMMYFUNCTION("""COMPUTED_VALUE"""),32.0)</f>
        <v>32</v>
      </c>
      <c r="V474" s="136">
        <f>IFERROR(__xludf.DUMMYFUNCTION("""COMPUTED_VALUE"""),95.0)</f>
        <v>95</v>
      </c>
      <c r="W474" s="136">
        <f>IFERROR(__xludf.DUMMYFUNCTION("""COMPUTED_VALUE"""),52.0)</f>
        <v>52</v>
      </c>
      <c r="X474" s="136">
        <f>IFERROR(__xludf.DUMMYFUNCTION("""COMPUTED_VALUE"""),442.58181818181816)</f>
        <v>442.5818182</v>
      </c>
      <c r="Y474" s="141">
        <f>IFERROR(__xludf.DUMMYFUNCTION("""COMPUTED_VALUE"""),53.57709090909091)</f>
        <v>53.57709091</v>
      </c>
      <c r="Z474" s="141">
        <f>IFERROR(__xludf.DUMMYFUNCTION("""COMPUTED_VALUE"""),2736.5272727272727)</f>
        <v>2736.527273</v>
      </c>
    </row>
    <row r="475">
      <c r="A475" s="41" t="str">
        <f>IFERROR(__xludf.DUMMYFUNCTION("""COMPUTED_VALUE"""),"Challenger")</f>
        <v>Challenger</v>
      </c>
      <c r="B475" s="41" t="str">
        <f>IFERROR(__xludf.DUMMYFUNCTION("""COMPUTED_VALUE"""),"RSC007141")</f>
        <v>RSC007141</v>
      </c>
      <c r="C475" s="41" t="str">
        <f>IFERROR(__xludf.DUMMYFUNCTION("""COMPUTED_VALUE"""),"Cuddlingus")</f>
        <v>Cuddlingus</v>
      </c>
      <c r="D475" s="41" t="str">
        <f>IFERROR(__xludf.DUMMYFUNCTION("""COMPUTED_VALUE"""),"Zombies")</f>
        <v>Zombies</v>
      </c>
      <c r="E475" s="136">
        <f>IFERROR(__xludf.DUMMYFUNCTION("""COMPUTED_VALUE"""),40.0)</f>
        <v>40</v>
      </c>
      <c r="F475" s="136">
        <f>IFERROR(__xludf.DUMMYFUNCTION("""COMPUTED_VALUE"""),23.0)</f>
        <v>23</v>
      </c>
      <c r="G475" s="136">
        <f>IFERROR(__xludf.DUMMYFUNCTION("""COMPUTED_VALUE"""),17.0)</f>
        <v>17</v>
      </c>
      <c r="H475" s="137">
        <f>IFERROR(__xludf.DUMMYFUNCTION("""COMPUTED_VALUE"""),0.575)</f>
        <v>0.575</v>
      </c>
      <c r="I475" s="136">
        <f>IFERROR(__xludf.DUMMYFUNCTION("""COMPUTED_VALUE"""),5.0)</f>
        <v>5</v>
      </c>
      <c r="J475" s="136">
        <f>IFERROR(__xludf.DUMMYFUNCTION("""COMPUTED_VALUE"""),11688.0)</f>
        <v>11688</v>
      </c>
      <c r="K475" s="136">
        <f>IFERROR(__xludf.DUMMYFUNCTION("""COMPUTED_VALUE"""),27.0)</f>
        <v>27</v>
      </c>
      <c r="L475" s="136">
        <f>IFERROR(__xludf.DUMMYFUNCTION("""COMPUTED_VALUE"""),17.0)</f>
        <v>17</v>
      </c>
      <c r="M475" s="136">
        <f>IFERROR(__xludf.DUMMYFUNCTION("""COMPUTED_VALUE"""),37.0)</f>
        <v>37</v>
      </c>
      <c r="N475" s="136">
        <f>IFERROR(__xludf.DUMMYFUNCTION("""COMPUTED_VALUE"""),78.0)</f>
        <v>78</v>
      </c>
      <c r="O475" s="138">
        <f>IFERROR(__xludf.DUMMYFUNCTION("""COMPUTED_VALUE"""),3.0)</f>
        <v>3</v>
      </c>
      <c r="P475" s="138">
        <f>IFERROR(__xludf.DUMMYFUNCTION("""COMPUTED_VALUE"""),2.0)</f>
        <v>2</v>
      </c>
      <c r="Q475" s="138">
        <f>IFERROR(__xludf.DUMMYFUNCTION("""COMPUTED_VALUE"""),0.0)</f>
        <v>0</v>
      </c>
      <c r="R475" s="138">
        <f>IFERROR(__xludf.DUMMYFUNCTION("""COMPUTED_VALUE"""),7.0)</f>
        <v>7</v>
      </c>
      <c r="S475" s="139">
        <f>IFERROR(__xludf.DUMMYFUNCTION("""COMPUTED_VALUE"""),266.0)</f>
        <v>266</v>
      </c>
      <c r="T475" s="140">
        <f>IFERROR(__xludf.DUMMYFUNCTION("""COMPUTED_VALUE"""),90.0)</f>
        <v>90</v>
      </c>
      <c r="U475" s="136">
        <f>IFERROR(__xludf.DUMMYFUNCTION("""COMPUTED_VALUE"""),32.0)</f>
        <v>32</v>
      </c>
      <c r="V475" s="136">
        <f>IFERROR(__xludf.DUMMYFUNCTION("""COMPUTED_VALUE"""),61.0)</f>
        <v>61</v>
      </c>
      <c r="W475" s="136">
        <f>IFERROR(__xludf.DUMMYFUNCTION("""COMPUTED_VALUE"""),37.0)</f>
        <v>37</v>
      </c>
      <c r="X475" s="136">
        <f>IFERROR(__xludf.DUMMYFUNCTION("""COMPUTED_VALUE"""),432.775)</f>
        <v>432.775</v>
      </c>
      <c r="Y475" s="141">
        <f>IFERROR(__xludf.DUMMYFUNCTION("""COMPUTED_VALUE"""),49.81824999999999)</f>
        <v>49.81825</v>
      </c>
      <c r="Z475" s="141">
        <f>IFERROR(__xludf.DUMMYFUNCTION("""COMPUTED_VALUE"""),2599.55)</f>
        <v>2599.55</v>
      </c>
    </row>
    <row r="476">
      <c r="A476" s="41" t="str">
        <f>IFERROR(__xludf.DUMMYFUNCTION("""COMPUTED_VALUE"""),"Veteran")</f>
        <v>Veteran</v>
      </c>
      <c r="B476" s="41" t="str">
        <f>IFERROR(__xludf.DUMMYFUNCTION("""COMPUTED_VALUE"""),"RSC007143")</f>
        <v>RSC007143</v>
      </c>
      <c r="C476" s="41" t="str">
        <f>IFERROR(__xludf.DUMMYFUNCTION("""COMPUTED_VALUE"""),"OmniMurders")</f>
        <v>OmniMurders</v>
      </c>
      <c r="D476" s="41" t="str">
        <f>IFERROR(__xludf.DUMMYFUNCTION("""COMPUTED_VALUE"""),"Folks
Banshees
Peppermint")</f>
        <v>Folks
Banshees
Peppermint</v>
      </c>
      <c r="E476" s="136">
        <f>IFERROR(__xludf.DUMMYFUNCTION("""COMPUTED_VALUE"""),32.0)</f>
        <v>32</v>
      </c>
      <c r="F476" s="136">
        <f>IFERROR(__xludf.DUMMYFUNCTION("""COMPUTED_VALUE"""),7.0)</f>
        <v>7</v>
      </c>
      <c r="G476" s="136">
        <f>IFERROR(__xludf.DUMMYFUNCTION("""COMPUTED_VALUE"""),25.0)</f>
        <v>25</v>
      </c>
      <c r="H476" s="137">
        <f>IFERROR(__xludf.DUMMYFUNCTION("""COMPUTED_VALUE"""),0.21875)</f>
        <v>0.21875</v>
      </c>
      <c r="I476" s="136">
        <f>IFERROR(__xludf.DUMMYFUNCTION("""COMPUTED_VALUE"""),1.0)</f>
        <v>1</v>
      </c>
      <c r="J476" s="136">
        <f>IFERROR(__xludf.DUMMYFUNCTION("""COMPUTED_VALUE"""),10246.0)</f>
        <v>10246</v>
      </c>
      <c r="K476" s="136">
        <f>IFERROR(__xludf.DUMMYFUNCTION("""COMPUTED_VALUE"""),21.0)</f>
        <v>21</v>
      </c>
      <c r="L476" s="136">
        <f>IFERROR(__xludf.DUMMYFUNCTION("""COMPUTED_VALUE"""),10.0)</f>
        <v>10</v>
      </c>
      <c r="M476" s="136">
        <f>IFERROR(__xludf.DUMMYFUNCTION("""COMPUTED_VALUE"""),49.0)</f>
        <v>49</v>
      </c>
      <c r="N476" s="136">
        <f>IFERROR(__xludf.DUMMYFUNCTION("""COMPUTED_VALUE"""),75.0)</f>
        <v>75</v>
      </c>
      <c r="O476" s="138">
        <f>IFERROR(__xludf.DUMMYFUNCTION("""COMPUTED_VALUE"""),2.0)</f>
        <v>2</v>
      </c>
      <c r="P476" s="138">
        <f>IFERROR(__xludf.DUMMYFUNCTION("""COMPUTED_VALUE"""),0.0)</f>
        <v>0</v>
      </c>
      <c r="Q476" s="138">
        <f>IFERROR(__xludf.DUMMYFUNCTION("""COMPUTED_VALUE"""),0.0)</f>
        <v>0</v>
      </c>
      <c r="R476" s="138">
        <f>IFERROR(__xludf.DUMMYFUNCTION("""COMPUTED_VALUE"""),5.0)</f>
        <v>5</v>
      </c>
      <c r="S476" s="139">
        <f>IFERROR(__xludf.DUMMYFUNCTION("""COMPUTED_VALUE"""),283.0)</f>
        <v>283</v>
      </c>
      <c r="T476" s="140">
        <f>IFERROR(__xludf.DUMMYFUNCTION("""COMPUTED_VALUE"""),89.0)</f>
        <v>89</v>
      </c>
      <c r="U476" s="136">
        <f>IFERROR(__xludf.DUMMYFUNCTION("""COMPUTED_VALUE"""),20.0)</f>
        <v>20</v>
      </c>
      <c r="V476" s="136">
        <f>IFERROR(__xludf.DUMMYFUNCTION("""COMPUTED_VALUE"""),51.0)</f>
        <v>51</v>
      </c>
      <c r="W476" s="136">
        <f>IFERROR(__xludf.DUMMYFUNCTION("""COMPUTED_VALUE"""),51.0)</f>
        <v>51</v>
      </c>
      <c r="X476" s="136">
        <f>IFERROR(__xludf.DUMMYFUNCTION("""COMPUTED_VALUE"""),375.75)</f>
        <v>375.75</v>
      </c>
      <c r="Y476" s="141">
        <f>IFERROR(__xludf.DUMMYFUNCTION("""COMPUTED_VALUE"""),48.121562499999996)</f>
        <v>48.1215625</v>
      </c>
      <c r="Z476" s="141">
        <f>IFERROR(__xludf.DUMMYFUNCTION("""COMPUTED_VALUE"""),2257.34375)</f>
        <v>2257.34375</v>
      </c>
    </row>
    <row r="477">
      <c r="A477" s="41" t="str">
        <f>IFERROR(__xludf.DUMMYFUNCTION("""COMPUTED_VALUE"""),"Rival")</f>
        <v>Rival</v>
      </c>
      <c r="B477" s="41" t="str">
        <f>IFERROR(__xludf.DUMMYFUNCTION("""COMPUTED_VALUE"""),"RSC007144")</f>
        <v>RSC007144</v>
      </c>
      <c r="C477" s="41" t="str">
        <f>IFERROR(__xludf.DUMMYFUNCTION("""COMPUTED_VALUE"""),"The_Killerwon")</f>
        <v>The_Killerwon</v>
      </c>
      <c r="D477" s="41" t="str">
        <f>IFERROR(__xludf.DUMMYFUNCTION("""COMPUTED_VALUE"""),"Gaboons")</f>
        <v>Gaboons</v>
      </c>
      <c r="E477" s="136">
        <f>IFERROR(__xludf.DUMMYFUNCTION("""COMPUTED_VALUE"""),49.0)</f>
        <v>49</v>
      </c>
      <c r="F477" s="136">
        <f>IFERROR(__xludf.DUMMYFUNCTION("""COMPUTED_VALUE"""),19.0)</f>
        <v>19</v>
      </c>
      <c r="G477" s="136">
        <f>IFERROR(__xludf.DUMMYFUNCTION("""COMPUTED_VALUE"""),30.0)</f>
        <v>30</v>
      </c>
      <c r="H477" s="137">
        <f>IFERROR(__xludf.DUMMYFUNCTION("""COMPUTED_VALUE"""),0.3877551020408163)</f>
        <v>0.387755102</v>
      </c>
      <c r="I477" s="136">
        <f>IFERROR(__xludf.DUMMYFUNCTION("""COMPUTED_VALUE"""),6.0)</f>
        <v>6</v>
      </c>
      <c r="J477" s="136">
        <f>IFERROR(__xludf.DUMMYFUNCTION("""COMPUTED_VALUE"""),18178.0)</f>
        <v>18178</v>
      </c>
      <c r="K477" s="136">
        <f>IFERROR(__xludf.DUMMYFUNCTION("""COMPUTED_VALUE"""),48.0)</f>
        <v>48</v>
      </c>
      <c r="L477" s="136">
        <f>IFERROR(__xludf.DUMMYFUNCTION("""COMPUTED_VALUE"""),26.0)</f>
        <v>26</v>
      </c>
      <c r="M477" s="136">
        <f>IFERROR(__xludf.DUMMYFUNCTION("""COMPUTED_VALUE"""),68.0)</f>
        <v>68</v>
      </c>
      <c r="N477" s="136">
        <f>IFERROR(__xludf.DUMMYFUNCTION("""COMPUTED_VALUE"""),133.0)</f>
        <v>133</v>
      </c>
      <c r="O477" s="138">
        <f>IFERROR(__xludf.DUMMYFUNCTION("""COMPUTED_VALUE"""),13.0)</f>
        <v>13</v>
      </c>
      <c r="P477" s="138">
        <f>IFERROR(__xludf.DUMMYFUNCTION("""COMPUTED_VALUE"""),5.0)</f>
        <v>5</v>
      </c>
      <c r="Q477" s="138">
        <f>IFERROR(__xludf.DUMMYFUNCTION("""COMPUTED_VALUE"""),0.0)</f>
        <v>0</v>
      </c>
      <c r="R477" s="138">
        <f>IFERROR(__xludf.DUMMYFUNCTION("""COMPUTED_VALUE"""),7.0)</f>
        <v>7</v>
      </c>
      <c r="S477" s="139">
        <f>IFERROR(__xludf.DUMMYFUNCTION("""COMPUTED_VALUE"""),388.0)</f>
        <v>388</v>
      </c>
      <c r="T477" s="140">
        <f>IFERROR(__xludf.DUMMYFUNCTION("""COMPUTED_VALUE"""),136.0)</f>
        <v>136</v>
      </c>
      <c r="U477" s="136">
        <f>IFERROR(__xludf.DUMMYFUNCTION("""COMPUTED_VALUE"""),60.0)</f>
        <v>60</v>
      </c>
      <c r="V477" s="136">
        <f>IFERROR(__xludf.DUMMYFUNCTION("""COMPUTED_VALUE"""),26.0)</f>
        <v>26</v>
      </c>
      <c r="W477" s="136">
        <f>IFERROR(__xludf.DUMMYFUNCTION("""COMPUTED_VALUE"""),48.0)</f>
        <v>48</v>
      </c>
      <c r="X477" s="136">
        <f>IFERROR(__xludf.DUMMYFUNCTION("""COMPUTED_VALUE"""),312.9591836734694)</f>
        <v>312.9591837</v>
      </c>
      <c r="Y477" s="141">
        <f>IFERROR(__xludf.DUMMYFUNCTION("""COMPUTED_VALUE"""),51.135918367346925)</f>
        <v>51.13591837</v>
      </c>
      <c r="Z477" s="141">
        <f>IFERROR(__xludf.DUMMYFUNCTION("""COMPUTED_VALUE"""),1930.5102040816328)</f>
        <v>1930.510204</v>
      </c>
    </row>
    <row r="478">
      <c r="A478" s="41" t="str">
        <f>IFERROR(__xludf.DUMMYFUNCTION("""COMPUTED_VALUE"""),"Challenger")</f>
        <v>Challenger</v>
      </c>
      <c r="B478" s="41" t="str">
        <f>IFERROR(__xludf.DUMMYFUNCTION("""COMPUTED_VALUE"""),"RSC007153")</f>
        <v>RSC007153</v>
      </c>
      <c r="C478" s="41" t="str">
        <f>IFERROR(__xludf.DUMMYFUNCTION("""COMPUTED_VALUE"""),"Washyymann")</f>
        <v>Washyymann</v>
      </c>
      <c r="D478" s="41" t="str">
        <f>IFERROR(__xludf.DUMMYFUNCTION("""COMPUTED_VALUE"""),"Apple Associates")</f>
        <v>Apple Associates</v>
      </c>
      <c r="E478" s="136">
        <f>IFERROR(__xludf.DUMMYFUNCTION("""COMPUTED_VALUE"""),23.0)</f>
        <v>23</v>
      </c>
      <c r="F478" s="136">
        <f>IFERROR(__xludf.DUMMYFUNCTION("""COMPUTED_VALUE"""),13.0)</f>
        <v>13</v>
      </c>
      <c r="G478" s="136">
        <f>IFERROR(__xludf.DUMMYFUNCTION("""COMPUTED_VALUE"""),10.0)</f>
        <v>10</v>
      </c>
      <c r="H478" s="137">
        <f>IFERROR(__xludf.DUMMYFUNCTION("""COMPUTED_VALUE"""),0.5652173913043478)</f>
        <v>0.5652173913</v>
      </c>
      <c r="I478" s="136">
        <f>IFERROR(__xludf.DUMMYFUNCTION("""COMPUTED_VALUE"""),6.0)</f>
        <v>6</v>
      </c>
      <c r="J478" s="136">
        <f>IFERROR(__xludf.DUMMYFUNCTION("""COMPUTED_VALUE"""),8438.0)</f>
        <v>8438</v>
      </c>
      <c r="K478" s="136">
        <f>IFERROR(__xludf.DUMMYFUNCTION("""COMPUTED_VALUE"""),23.0)</f>
        <v>23</v>
      </c>
      <c r="L478" s="136">
        <f>IFERROR(__xludf.DUMMYFUNCTION("""COMPUTED_VALUE"""),21.0)</f>
        <v>21</v>
      </c>
      <c r="M478" s="136">
        <f>IFERROR(__xludf.DUMMYFUNCTION("""COMPUTED_VALUE"""),21.0)</f>
        <v>21</v>
      </c>
      <c r="N478" s="136">
        <f>IFERROR(__xludf.DUMMYFUNCTION("""COMPUTED_VALUE"""),64.0)</f>
        <v>64</v>
      </c>
      <c r="O478" s="138">
        <f>IFERROR(__xludf.DUMMYFUNCTION("""COMPUTED_VALUE"""),7.0)</f>
        <v>7</v>
      </c>
      <c r="P478" s="138">
        <f>IFERROR(__xludf.DUMMYFUNCTION("""COMPUTED_VALUE"""),2.0)</f>
        <v>2</v>
      </c>
      <c r="Q478" s="138">
        <f>IFERROR(__xludf.DUMMYFUNCTION("""COMPUTED_VALUE"""),1.0)</f>
        <v>1</v>
      </c>
      <c r="R478" s="138">
        <f>IFERROR(__xludf.DUMMYFUNCTION("""COMPUTED_VALUE"""),2.0)</f>
        <v>2</v>
      </c>
      <c r="S478" s="139">
        <f>IFERROR(__xludf.DUMMYFUNCTION("""COMPUTED_VALUE"""),163.0)</f>
        <v>163</v>
      </c>
      <c r="T478" s="140">
        <f>IFERROR(__xludf.DUMMYFUNCTION("""COMPUTED_VALUE"""),63.0)</f>
        <v>63</v>
      </c>
      <c r="U478" s="136">
        <f>IFERROR(__xludf.DUMMYFUNCTION("""COMPUTED_VALUE"""),18.0)</f>
        <v>18</v>
      </c>
      <c r="V478" s="136">
        <f>IFERROR(__xludf.DUMMYFUNCTION("""COMPUTED_VALUE"""),32.0)</f>
        <v>32</v>
      </c>
      <c r="W478" s="136">
        <f>IFERROR(__xludf.DUMMYFUNCTION("""COMPUTED_VALUE"""),18.0)</f>
        <v>18</v>
      </c>
      <c r="X478" s="136">
        <f>IFERROR(__xludf.DUMMYFUNCTION("""COMPUTED_VALUE"""),415.0869565217391)</f>
        <v>415.0869565</v>
      </c>
      <c r="Y478" s="141">
        <f>IFERROR(__xludf.DUMMYFUNCTION("""COMPUTED_VALUE"""),52.81217391304348)</f>
        <v>52.81217391</v>
      </c>
      <c r="Z478" s="141">
        <f>IFERROR(__xludf.DUMMYFUNCTION("""COMPUTED_VALUE"""),2539.8695652173915)</f>
        <v>2539.869565</v>
      </c>
    </row>
    <row r="479">
      <c r="A479" s="41" t="str">
        <f>IFERROR(__xludf.DUMMYFUNCTION("""COMPUTED_VALUE"""),"Amateur")</f>
        <v>Amateur</v>
      </c>
      <c r="B479" s="41" t="str">
        <f>IFERROR(__xludf.DUMMYFUNCTION("""COMPUTED_VALUE"""),"RSC007161")</f>
        <v>RSC007161</v>
      </c>
      <c r="C479" s="41" t="str">
        <f>IFERROR(__xludf.DUMMYFUNCTION("""COMPUTED_VALUE"""),"MrAnderpants")</f>
        <v>MrAnderpants</v>
      </c>
      <c r="D479" s="41" t="str">
        <f>IFERROR(__xludf.DUMMYFUNCTION("""COMPUTED_VALUE"""),"Winter Fresh
Electric Eels
Garlic Knots")</f>
        <v>Winter Fresh
Electric Eels
Garlic Knots</v>
      </c>
      <c r="E479" s="136">
        <f>IFERROR(__xludf.DUMMYFUNCTION("""COMPUTED_VALUE"""),11.0)</f>
        <v>11</v>
      </c>
      <c r="F479" s="136">
        <f>IFERROR(__xludf.DUMMYFUNCTION("""COMPUTED_VALUE"""),5.0)</f>
        <v>5</v>
      </c>
      <c r="G479" s="136">
        <f>IFERROR(__xludf.DUMMYFUNCTION("""COMPUTED_VALUE"""),6.0)</f>
        <v>6</v>
      </c>
      <c r="H479" s="137">
        <f>IFERROR(__xludf.DUMMYFUNCTION("""COMPUTED_VALUE"""),0.45454545454545453)</f>
        <v>0.4545454545</v>
      </c>
      <c r="I479" s="136">
        <f>IFERROR(__xludf.DUMMYFUNCTION("""COMPUTED_VALUE"""),2.0)</f>
        <v>2</v>
      </c>
      <c r="J479" s="136">
        <f>IFERROR(__xludf.DUMMYFUNCTION("""COMPUTED_VALUE"""),3510.0)</f>
        <v>3510</v>
      </c>
      <c r="K479" s="136">
        <f>IFERROR(__xludf.DUMMYFUNCTION("""COMPUTED_VALUE"""),11.0)</f>
        <v>11</v>
      </c>
      <c r="L479" s="136">
        <f>IFERROR(__xludf.DUMMYFUNCTION("""COMPUTED_VALUE"""),4.0)</f>
        <v>4</v>
      </c>
      <c r="M479" s="136">
        <f>IFERROR(__xludf.DUMMYFUNCTION("""COMPUTED_VALUE"""),11.0)</f>
        <v>11</v>
      </c>
      <c r="N479" s="136">
        <f>IFERROR(__xludf.DUMMYFUNCTION("""COMPUTED_VALUE"""),22.0)</f>
        <v>22</v>
      </c>
      <c r="O479" s="138">
        <f>IFERROR(__xludf.DUMMYFUNCTION("""COMPUTED_VALUE"""),0.0)</f>
        <v>0</v>
      </c>
      <c r="P479" s="138">
        <f>IFERROR(__xludf.DUMMYFUNCTION("""COMPUTED_VALUE"""),0.0)</f>
        <v>0</v>
      </c>
      <c r="Q479" s="138">
        <f>IFERROR(__xludf.DUMMYFUNCTION("""COMPUTED_VALUE"""),0.0)</f>
        <v>0</v>
      </c>
      <c r="R479" s="138">
        <f>IFERROR(__xludf.DUMMYFUNCTION("""COMPUTED_VALUE"""),0.0)</f>
        <v>0</v>
      </c>
      <c r="S479" s="139">
        <f>IFERROR(__xludf.DUMMYFUNCTION("""COMPUTED_VALUE"""),70.0)</f>
        <v>70</v>
      </c>
      <c r="T479" s="140">
        <f>IFERROR(__xludf.DUMMYFUNCTION("""COMPUTED_VALUE"""),29.0)</f>
        <v>29</v>
      </c>
      <c r="U479" s="136">
        <f>IFERROR(__xludf.DUMMYFUNCTION("""COMPUTED_VALUE"""),7.0)</f>
        <v>7</v>
      </c>
      <c r="V479" s="136">
        <f>IFERROR(__xludf.DUMMYFUNCTION("""COMPUTED_VALUE"""),14.0)</f>
        <v>14</v>
      </c>
      <c r="W479" s="136">
        <f>IFERROR(__xludf.DUMMYFUNCTION("""COMPUTED_VALUE"""),9.0)</f>
        <v>9</v>
      </c>
      <c r="X479" s="139">
        <f>IFERROR(__xludf.DUMMYFUNCTION("""COMPUTED_VALUE"""),280.8181818181818)</f>
        <v>280.8181818</v>
      </c>
      <c r="Y479" s="141">
        <f>IFERROR(__xludf.DUMMYFUNCTION("""COMPUTED_VALUE"""),50.84727272727273)</f>
        <v>50.84727273</v>
      </c>
      <c r="Z479" s="141">
        <f>IFERROR(__xludf.DUMMYFUNCTION("""COMPUTED_VALUE"""),1730.8181818181818)</f>
        <v>1730.818182</v>
      </c>
    </row>
    <row r="480">
      <c r="A480" s="41" t="str">
        <f>IFERROR(__xludf.DUMMYFUNCTION("""COMPUTED_VALUE"""),"Challenger")</f>
        <v>Challenger</v>
      </c>
      <c r="B480" s="41" t="str">
        <f>IFERROR(__xludf.DUMMYFUNCTION("""COMPUTED_VALUE"""),"RSC007165")</f>
        <v>RSC007165</v>
      </c>
      <c r="C480" s="41" t="str">
        <f>IFERROR(__xludf.DUMMYFUNCTION("""COMPUTED_VALUE"""),"BRG")</f>
        <v>BRG</v>
      </c>
      <c r="D480" s="41" t="str">
        <f>IFERROR(__xludf.DUMMYFUNCTION("""COMPUTED_VALUE"""),"Corals
Havarti Hustlers")</f>
        <v>Corals
Havarti Hustlers</v>
      </c>
      <c r="E480" s="136">
        <f>IFERROR(__xludf.DUMMYFUNCTION("""COMPUTED_VALUE"""),40.0)</f>
        <v>40</v>
      </c>
      <c r="F480" s="136">
        <f>IFERROR(__xludf.DUMMYFUNCTION("""COMPUTED_VALUE"""),12.0)</f>
        <v>12</v>
      </c>
      <c r="G480" s="136">
        <f>IFERROR(__xludf.DUMMYFUNCTION("""COMPUTED_VALUE"""),28.0)</f>
        <v>28</v>
      </c>
      <c r="H480" s="137">
        <f>IFERROR(__xludf.DUMMYFUNCTION("""COMPUTED_VALUE"""),0.3)</f>
        <v>0.3</v>
      </c>
      <c r="I480" s="136">
        <f>IFERROR(__xludf.DUMMYFUNCTION("""COMPUTED_VALUE"""),3.0)</f>
        <v>3</v>
      </c>
      <c r="J480" s="136">
        <f>IFERROR(__xludf.DUMMYFUNCTION("""COMPUTED_VALUE"""),11074.0)</f>
        <v>11074</v>
      </c>
      <c r="K480" s="136">
        <f>IFERROR(__xludf.DUMMYFUNCTION("""COMPUTED_VALUE"""),17.0)</f>
        <v>17</v>
      </c>
      <c r="L480" s="136">
        <f>IFERROR(__xludf.DUMMYFUNCTION("""COMPUTED_VALUE"""),13.0)</f>
        <v>13</v>
      </c>
      <c r="M480" s="136">
        <f>IFERROR(__xludf.DUMMYFUNCTION("""COMPUTED_VALUE"""),62.0)</f>
        <v>62</v>
      </c>
      <c r="N480" s="136">
        <f>IFERROR(__xludf.DUMMYFUNCTION("""COMPUTED_VALUE"""),66.0)</f>
        <v>66</v>
      </c>
      <c r="O480" s="138">
        <f>IFERROR(__xludf.DUMMYFUNCTION("""COMPUTED_VALUE"""),2.0)</f>
        <v>2</v>
      </c>
      <c r="P480" s="138">
        <f>IFERROR(__xludf.DUMMYFUNCTION("""COMPUTED_VALUE"""),0.0)</f>
        <v>0</v>
      </c>
      <c r="Q480" s="138">
        <f>IFERROR(__xludf.DUMMYFUNCTION("""COMPUTED_VALUE"""),1.0)</f>
        <v>1</v>
      </c>
      <c r="R480" s="138">
        <f>IFERROR(__xludf.DUMMYFUNCTION("""COMPUTED_VALUE"""),7.0)</f>
        <v>7</v>
      </c>
      <c r="S480" s="139">
        <f>IFERROR(__xludf.DUMMYFUNCTION("""COMPUTED_VALUE"""),323.0)</f>
        <v>323</v>
      </c>
      <c r="T480" s="140">
        <f>IFERROR(__xludf.DUMMYFUNCTION("""COMPUTED_VALUE"""),119.0)</f>
        <v>119</v>
      </c>
      <c r="U480" s="136">
        <f>IFERROR(__xludf.DUMMYFUNCTION("""COMPUTED_VALUE"""),47.0)</f>
        <v>47</v>
      </c>
      <c r="V480" s="136">
        <f>IFERROR(__xludf.DUMMYFUNCTION("""COMPUTED_VALUE"""),20.0)</f>
        <v>20</v>
      </c>
      <c r="W480" s="136">
        <f>IFERROR(__xludf.DUMMYFUNCTION("""COMPUTED_VALUE"""),42.0)</f>
        <v>42</v>
      </c>
      <c r="X480" s="136">
        <f>IFERROR(__xludf.DUMMYFUNCTION("""COMPUTED_VALUE"""),370.3)</f>
        <v>370.3</v>
      </c>
      <c r="Y480" s="141">
        <f>IFERROR(__xludf.DUMMYFUNCTION("""COMPUTED_VALUE"""),48.62174999999999)</f>
        <v>48.62175</v>
      </c>
      <c r="Z480" s="141">
        <f>IFERROR(__xludf.DUMMYFUNCTION("""COMPUTED_VALUE"""),2186.425)</f>
        <v>2186.425</v>
      </c>
    </row>
    <row r="481">
      <c r="A481" s="41" t="str">
        <f>IFERROR(__xludf.DUMMYFUNCTION("""COMPUTED_VALUE"""),"Master")</f>
        <v>Master</v>
      </c>
      <c r="B481" s="41" t="str">
        <f>IFERROR(__xludf.DUMMYFUNCTION("""COMPUTED_VALUE"""),"RSC007166")</f>
        <v>RSC007166</v>
      </c>
      <c r="C481" s="41" t="str">
        <f>IFERROR(__xludf.DUMMYFUNCTION("""COMPUTED_VALUE"""),"nelz")</f>
        <v>nelz</v>
      </c>
      <c r="D481" s="41" t="str">
        <f>IFERROR(__xludf.DUMMYFUNCTION("""COMPUTED_VALUE"""),"Helicoprions")</f>
        <v>Helicoprions</v>
      </c>
      <c r="E481" s="136">
        <f>IFERROR(__xludf.DUMMYFUNCTION("""COMPUTED_VALUE"""),48.0)</f>
        <v>48</v>
      </c>
      <c r="F481" s="136">
        <f>IFERROR(__xludf.DUMMYFUNCTION("""COMPUTED_VALUE"""),24.0)</f>
        <v>24</v>
      </c>
      <c r="G481" s="136">
        <f>IFERROR(__xludf.DUMMYFUNCTION("""COMPUTED_VALUE"""),24.0)</f>
        <v>24</v>
      </c>
      <c r="H481" s="137">
        <f>IFERROR(__xludf.DUMMYFUNCTION("""COMPUTED_VALUE"""),0.5)</f>
        <v>0.5</v>
      </c>
      <c r="I481" s="136">
        <f>IFERROR(__xludf.DUMMYFUNCTION("""COMPUTED_VALUE"""),4.0)</f>
        <v>4</v>
      </c>
      <c r="J481" s="136">
        <f>IFERROR(__xludf.DUMMYFUNCTION("""COMPUTED_VALUE"""),15492.0)</f>
        <v>15492</v>
      </c>
      <c r="K481" s="136">
        <f>IFERROR(__xludf.DUMMYFUNCTION("""COMPUTED_VALUE"""),28.0)</f>
        <v>28</v>
      </c>
      <c r="L481" s="136">
        <f>IFERROR(__xludf.DUMMYFUNCTION("""COMPUTED_VALUE"""),28.0)</f>
        <v>28</v>
      </c>
      <c r="M481" s="136">
        <f>IFERROR(__xludf.DUMMYFUNCTION("""COMPUTED_VALUE"""),65.0)</f>
        <v>65</v>
      </c>
      <c r="N481" s="136">
        <f>IFERROR(__xludf.DUMMYFUNCTION("""COMPUTED_VALUE"""),99.0)</f>
        <v>99</v>
      </c>
      <c r="O481" s="138">
        <f>IFERROR(__xludf.DUMMYFUNCTION("""COMPUTED_VALUE"""),6.0)</f>
        <v>6</v>
      </c>
      <c r="P481" s="138">
        <f>IFERROR(__xludf.DUMMYFUNCTION("""COMPUTED_VALUE"""),1.0)</f>
        <v>1</v>
      </c>
      <c r="Q481" s="138">
        <f>IFERROR(__xludf.DUMMYFUNCTION("""COMPUTED_VALUE"""),2.0)</f>
        <v>2</v>
      </c>
      <c r="R481" s="138">
        <f>IFERROR(__xludf.DUMMYFUNCTION("""COMPUTED_VALUE"""),13.0)</f>
        <v>13</v>
      </c>
      <c r="S481" s="139">
        <f>IFERROR(__xludf.DUMMYFUNCTION("""COMPUTED_VALUE"""),332.0)</f>
        <v>332</v>
      </c>
      <c r="T481" s="140">
        <f>IFERROR(__xludf.DUMMYFUNCTION("""COMPUTED_VALUE"""),92.0)</f>
        <v>92</v>
      </c>
      <c r="U481" s="136">
        <f>IFERROR(__xludf.DUMMYFUNCTION("""COMPUTED_VALUE"""),32.0)</f>
        <v>32</v>
      </c>
      <c r="V481" s="136">
        <f>IFERROR(__xludf.DUMMYFUNCTION("""COMPUTED_VALUE"""),73.0)</f>
        <v>73</v>
      </c>
      <c r="W481" s="136">
        <f>IFERROR(__xludf.DUMMYFUNCTION("""COMPUTED_VALUE"""),64.0)</f>
        <v>64</v>
      </c>
      <c r="X481" s="136">
        <f>IFERROR(__xludf.DUMMYFUNCTION("""COMPUTED_VALUE"""),356.20454545454544)</f>
        <v>356.2045455</v>
      </c>
      <c r="Y481" s="141">
        <f>IFERROR(__xludf.DUMMYFUNCTION("""COMPUTED_VALUE"""),51.49704545454547)</f>
        <v>51.49704545</v>
      </c>
      <c r="Z481" s="141">
        <f>IFERROR(__xludf.DUMMYFUNCTION("""COMPUTED_VALUE"""),2259.2272727272725)</f>
        <v>2259.227273</v>
      </c>
    </row>
    <row r="482">
      <c r="A482" s="41" t="str">
        <f>IFERROR(__xludf.DUMMYFUNCTION("""COMPUTED_VALUE"""),"Veteran")</f>
        <v>Veteran</v>
      </c>
      <c r="B482" s="41" t="str">
        <f>IFERROR(__xludf.DUMMYFUNCTION("""COMPUTED_VALUE"""),"RSC007173")</f>
        <v>RSC007173</v>
      </c>
      <c r="C482" s="41" t="str">
        <f>IFERROR(__xludf.DUMMYFUNCTION("""COMPUTED_VALUE"""),"mr_marino_")</f>
        <v>mr_marino_</v>
      </c>
      <c r="D482" s="41" t="str">
        <f>IFERROR(__xludf.DUMMYFUNCTION("""COMPUTED_VALUE"""),"Fer-de-Lance")</f>
        <v>Fer-de-Lance</v>
      </c>
      <c r="E482" s="136">
        <f>IFERROR(__xludf.DUMMYFUNCTION("""COMPUTED_VALUE"""),50.0)</f>
        <v>50</v>
      </c>
      <c r="F482" s="136">
        <f>IFERROR(__xludf.DUMMYFUNCTION("""COMPUTED_VALUE"""),24.0)</f>
        <v>24</v>
      </c>
      <c r="G482" s="136">
        <f>IFERROR(__xludf.DUMMYFUNCTION("""COMPUTED_VALUE"""),26.0)</f>
        <v>26</v>
      </c>
      <c r="H482" s="137">
        <f>IFERROR(__xludf.DUMMYFUNCTION("""COMPUTED_VALUE"""),0.48)</f>
        <v>0.48</v>
      </c>
      <c r="I482" s="136">
        <f>IFERROR(__xludf.DUMMYFUNCTION("""COMPUTED_VALUE"""),6.0)</f>
        <v>6</v>
      </c>
      <c r="J482" s="136">
        <f>IFERROR(__xludf.DUMMYFUNCTION("""COMPUTED_VALUE"""),17425.0)</f>
        <v>17425</v>
      </c>
      <c r="K482" s="136">
        <f>IFERROR(__xludf.DUMMYFUNCTION("""COMPUTED_VALUE"""),29.0)</f>
        <v>29</v>
      </c>
      <c r="L482" s="136">
        <f>IFERROR(__xludf.DUMMYFUNCTION("""COMPUTED_VALUE"""),34.0)</f>
        <v>34</v>
      </c>
      <c r="M482" s="136">
        <f>IFERROR(__xludf.DUMMYFUNCTION("""COMPUTED_VALUE"""),81.0)</f>
        <v>81</v>
      </c>
      <c r="N482" s="136">
        <f>IFERROR(__xludf.DUMMYFUNCTION("""COMPUTED_VALUE"""),117.0)</f>
        <v>117</v>
      </c>
      <c r="O482" s="138">
        <f>IFERROR(__xludf.DUMMYFUNCTION("""COMPUTED_VALUE"""),7.0)</f>
        <v>7</v>
      </c>
      <c r="P482" s="138">
        <f>IFERROR(__xludf.DUMMYFUNCTION("""COMPUTED_VALUE"""),2.0)</f>
        <v>2</v>
      </c>
      <c r="Q482" s="138">
        <f>IFERROR(__xludf.DUMMYFUNCTION("""COMPUTED_VALUE"""),0.0)</f>
        <v>0</v>
      </c>
      <c r="R482" s="138">
        <f>IFERROR(__xludf.DUMMYFUNCTION("""COMPUTED_VALUE"""),14.0)</f>
        <v>14</v>
      </c>
      <c r="S482" s="139">
        <f>IFERROR(__xludf.DUMMYFUNCTION("""COMPUTED_VALUE"""),434.0)</f>
        <v>434</v>
      </c>
      <c r="T482" s="140">
        <f>IFERROR(__xludf.DUMMYFUNCTION("""COMPUTED_VALUE"""),142.0)</f>
        <v>142</v>
      </c>
      <c r="U482" s="136">
        <f>IFERROR(__xludf.DUMMYFUNCTION("""COMPUTED_VALUE"""),51.0)</f>
        <v>51</v>
      </c>
      <c r="V482" s="136">
        <f>IFERROR(__xludf.DUMMYFUNCTION("""COMPUTED_VALUE"""),67.0)</f>
        <v>67</v>
      </c>
      <c r="W482" s="136">
        <f>IFERROR(__xludf.DUMMYFUNCTION("""COMPUTED_VALUE"""),41.0)</f>
        <v>41</v>
      </c>
      <c r="X482" s="136">
        <f>IFERROR(__xludf.DUMMYFUNCTION("""COMPUTED_VALUE"""),394.8)</f>
        <v>394.8</v>
      </c>
      <c r="Y482" s="141">
        <f>IFERROR(__xludf.DUMMYFUNCTION("""COMPUTED_VALUE"""),51.3024)</f>
        <v>51.3024</v>
      </c>
      <c r="Z482" s="141">
        <f>IFERROR(__xludf.DUMMYFUNCTION("""COMPUTED_VALUE"""),2400.9)</f>
        <v>2400.9</v>
      </c>
    </row>
    <row r="483">
      <c r="A483" s="41" t="str">
        <f>IFERROR(__xludf.DUMMYFUNCTION("""COMPUTED_VALUE"""),"Premier")</f>
        <v>Premier</v>
      </c>
      <c r="B483" s="41" t="str">
        <f>IFERROR(__xludf.DUMMYFUNCTION("""COMPUTED_VALUE"""),"RSC007174")</f>
        <v>RSC007174</v>
      </c>
      <c r="C483" s="41" t="str">
        <f>IFERROR(__xludf.DUMMYFUNCTION("""COMPUTED_VALUE"""),"LMNS")</f>
        <v>LMNS</v>
      </c>
      <c r="D483" s="41" t="str">
        <f>IFERROR(__xludf.DUMMYFUNCTION("""COMPUTED_VALUE"""),"Super Clusters")</f>
        <v>Super Clusters</v>
      </c>
      <c r="E483" s="136">
        <f>IFERROR(__xludf.DUMMYFUNCTION("""COMPUTED_VALUE"""),16.0)</f>
        <v>16</v>
      </c>
      <c r="F483" s="136">
        <f>IFERROR(__xludf.DUMMYFUNCTION("""COMPUTED_VALUE"""),11.0)</f>
        <v>11</v>
      </c>
      <c r="G483" s="136">
        <f>IFERROR(__xludf.DUMMYFUNCTION("""COMPUTED_VALUE"""),5.0)</f>
        <v>5</v>
      </c>
      <c r="H483" s="137">
        <f>IFERROR(__xludf.DUMMYFUNCTION("""COMPUTED_VALUE"""),0.6875)</f>
        <v>0.6875</v>
      </c>
      <c r="I483" s="136">
        <f>IFERROR(__xludf.DUMMYFUNCTION("""COMPUTED_VALUE"""),4.0)</f>
        <v>4</v>
      </c>
      <c r="J483" s="136">
        <f>IFERROR(__xludf.DUMMYFUNCTION("""COMPUTED_VALUE"""),6433.0)</f>
        <v>6433</v>
      </c>
      <c r="K483" s="136">
        <f>IFERROR(__xludf.DUMMYFUNCTION("""COMPUTED_VALUE"""),17.0)</f>
        <v>17</v>
      </c>
      <c r="L483" s="136">
        <f>IFERROR(__xludf.DUMMYFUNCTION("""COMPUTED_VALUE"""),13.0)</f>
        <v>13</v>
      </c>
      <c r="M483" s="136">
        <f>IFERROR(__xludf.DUMMYFUNCTION("""COMPUTED_VALUE"""),22.0)</f>
        <v>22</v>
      </c>
      <c r="N483" s="136">
        <f>IFERROR(__xludf.DUMMYFUNCTION("""COMPUTED_VALUE"""),44.0)</f>
        <v>44</v>
      </c>
      <c r="O483" s="138">
        <f>IFERROR(__xludf.DUMMYFUNCTION("""COMPUTED_VALUE"""),6.0)</f>
        <v>6</v>
      </c>
      <c r="P483" s="138">
        <f>IFERROR(__xludf.DUMMYFUNCTION("""COMPUTED_VALUE"""),2.0)</f>
        <v>2</v>
      </c>
      <c r="Q483" s="138">
        <f>IFERROR(__xludf.DUMMYFUNCTION("""COMPUTED_VALUE"""),0.0)</f>
        <v>0</v>
      </c>
      <c r="R483" s="138">
        <f>IFERROR(__xludf.DUMMYFUNCTION("""COMPUTED_VALUE"""),2.0)</f>
        <v>2</v>
      </c>
      <c r="S483" s="139">
        <f>IFERROR(__xludf.DUMMYFUNCTION("""COMPUTED_VALUE"""),141.0)</f>
        <v>141</v>
      </c>
      <c r="T483" s="140">
        <f>IFERROR(__xludf.DUMMYFUNCTION("""COMPUTED_VALUE"""),38.0)</f>
        <v>38</v>
      </c>
      <c r="U483" s="136">
        <f>IFERROR(__xludf.DUMMYFUNCTION("""COMPUTED_VALUE"""),10.0)</f>
        <v>10</v>
      </c>
      <c r="V483" s="136">
        <f>IFERROR(__xludf.DUMMYFUNCTION("""COMPUTED_VALUE"""),23.0)</f>
        <v>23</v>
      </c>
      <c r="W483" s="136">
        <f>IFERROR(__xludf.DUMMYFUNCTION("""COMPUTED_VALUE"""),24.0)</f>
        <v>24</v>
      </c>
      <c r="X483" s="136">
        <f>IFERROR(__xludf.DUMMYFUNCTION("""COMPUTED_VALUE"""),414.6875)</f>
        <v>414.6875</v>
      </c>
      <c r="Y483" s="141">
        <f>IFERROR(__xludf.DUMMYFUNCTION("""COMPUTED_VALUE"""),45.714999999999996)</f>
        <v>45.715</v>
      </c>
      <c r="Z483" s="141">
        <f>IFERROR(__xludf.DUMMYFUNCTION("""COMPUTED_VALUE"""),2536.4375)</f>
        <v>2536.4375</v>
      </c>
    </row>
    <row r="484">
      <c r="A484" s="41" t="str">
        <f>IFERROR(__xludf.DUMMYFUNCTION("""COMPUTED_VALUE"""),"Challenger")</f>
        <v>Challenger</v>
      </c>
      <c r="B484" s="41" t="str">
        <f>IFERROR(__xludf.DUMMYFUNCTION("""COMPUTED_VALUE"""),"RSC007178")</f>
        <v>RSC007178</v>
      </c>
      <c r="C484" s="41" t="str">
        <f>IFERROR(__xludf.DUMMYFUNCTION("""COMPUTED_VALUE"""),"littygriddy65")</f>
        <v>littygriddy65</v>
      </c>
      <c r="D484" s="41" t="str">
        <f>IFERROR(__xludf.DUMMYFUNCTION("""COMPUTED_VALUE"""),"Warthogs")</f>
        <v>Warthogs</v>
      </c>
      <c r="E484" s="136">
        <f>IFERROR(__xludf.DUMMYFUNCTION("""COMPUTED_VALUE"""),8.0)</f>
        <v>8</v>
      </c>
      <c r="F484" s="136">
        <f>IFERROR(__xludf.DUMMYFUNCTION("""COMPUTED_VALUE"""),5.0)</f>
        <v>5</v>
      </c>
      <c r="G484" s="136">
        <f>IFERROR(__xludf.DUMMYFUNCTION("""COMPUTED_VALUE"""),3.0)</f>
        <v>3</v>
      </c>
      <c r="H484" s="137">
        <f>IFERROR(__xludf.DUMMYFUNCTION("""COMPUTED_VALUE"""),0.625)</f>
        <v>0.625</v>
      </c>
      <c r="I484" s="136">
        <f>IFERROR(__xludf.DUMMYFUNCTION("""COMPUTED_VALUE"""),2.0)</f>
        <v>2</v>
      </c>
      <c r="J484" s="136">
        <f>IFERROR(__xludf.DUMMYFUNCTION("""COMPUTED_VALUE"""),2165.0)</f>
        <v>2165</v>
      </c>
      <c r="K484" s="136">
        <f>IFERROR(__xludf.DUMMYFUNCTION("""COMPUTED_VALUE"""),5.0)</f>
        <v>5</v>
      </c>
      <c r="L484" s="136">
        <f>IFERROR(__xludf.DUMMYFUNCTION("""COMPUTED_VALUE"""),1.0)</f>
        <v>1</v>
      </c>
      <c r="M484" s="136">
        <f>IFERROR(__xludf.DUMMYFUNCTION("""COMPUTED_VALUE"""),7.0)</f>
        <v>7</v>
      </c>
      <c r="N484" s="136">
        <f>IFERROR(__xludf.DUMMYFUNCTION("""COMPUTED_VALUE"""),19.0)</f>
        <v>19</v>
      </c>
      <c r="O484" s="138">
        <f>IFERROR(__xludf.DUMMYFUNCTION("""COMPUTED_VALUE"""),1.0)</f>
        <v>1</v>
      </c>
      <c r="P484" s="138">
        <f>IFERROR(__xludf.DUMMYFUNCTION("""COMPUTED_VALUE"""),0.0)</f>
        <v>0</v>
      </c>
      <c r="Q484" s="138">
        <f>IFERROR(__xludf.DUMMYFUNCTION("""COMPUTED_VALUE"""),0.0)</f>
        <v>0</v>
      </c>
      <c r="R484" s="138">
        <f>IFERROR(__xludf.DUMMYFUNCTION("""COMPUTED_VALUE"""),1.0)</f>
        <v>1</v>
      </c>
      <c r="S484" s="139">
        <f>IFERROR(__xludf.DUMMYFUNCTION("""COMPUTED_VALUE"""),54.0)</f>
        <v>54</v>
      </c>
      <c r="T484" s="140">
        <f>IFERROR(__xludf.DUMMYFUNCTION("""COMPUTED_VALUE"""),16.0)</f>
        <v>16</v>
      </c>
      <c r="U484" s="136">
        <f>IFERROR(__xludf.DUMMYFUNCTION("""COMPUTED_VALUE"""),8.0)</f>
        <v>8</v>
      </c>
      <c r="V484" s="136">
        <f>IFERROR(__xludf.DUMMYFUNCTION("""COMPUTED_VALUE"""),1.0)</f>
        <v>1</v>
      </c>
      <c r="W484" s="136">
        <f>IFERROR(__xludf.DUMMYFUNCTION("""COMPUTED_VALUE"""),8.0)</f>
        <v>8</v>
      </c>
      <c r="X484" s="136"/>
      <c r="Y484" s="41"/>
      <c r="Z484" s="41"/>
    </row>
    <row r="485">
      <c r="A485" s="41" t="str">
        <f>IFERROR(__xludf.DUMMYFUNCTION("""COMPUTED_VALUE"""),"Challenger")</f>
        <v>Challenger</v>
      </c>
      <c r="B485" s="41" t="str">
        <f>IFERROR(__xludf.DUMMYFUNCTION("""COMPUTED_VALUE"""),"RSC007179")</f>
        <v>RSC007179</v>
      </c>
      <c r="C485" s="41" t="str">
        <f>IFERROR(__xludf.DUMMYFUNCTION("""COMPUTED_VALUE"""),"B0A._.")</f>
        <v>B0A._.</v>
      </c>
      <c r="D485" s="41" t="str">
        <f>IFERROR(__xludf.DUMMYFUNCTION("""COMPUTED_VALUE"""),"Jinyiwei")</f>
        <v>Jinyiwei</v>
      </c>
      <c r="E485" s="136">
        <f>IFERROR(__xludf.DUMMYFUNCTION("""COMPUTED_VALUE"""),46.0)</f>
        <v>46</v>
      </c>
      <c r="F485" s="136">
        <f>IFERROR(__xludf.DUMMYFUNCTION("""COMPUTED_VALUE"""),17.0)</f>
        <v>17</v>
      </c>
      <c r="G485" s="136">
        <f>IFERROR(__xludf.DUMMYFUNCTION("""COMPUTED_VALUE"""),29.0)</f>
        <v>29</v>
      </c>
      <c r="H485" s="137">
        <f>IFERROR(__xludf.DUMMYFUNCTION("""COMPUTED_VALUE"""),0.3695652173913043)</f>
        <v>0.3695652174</v>
      </c>
      <c r="I485" s="136">
        <f>IFERROR(__xludf.DUMMYFUNCTION("""COMPUTED_VALUE"""),3.0)</f>
        <v>3</v>
      </c>
      <c r="J485" s="136">
        <f>IFERROR(__xludf.DUMMYFUNCTION("""COMPUTED_VALUE"""),12195.0)</f>
        <v>12195</v>
      </c>
      <c r="K485" s="136">
        <f>IFERROR(__xludf.DUMMYFUNCTION("""COMPUTED_VALUE"""),22.0)</f>
        <v>22</v>
      </c>
      <c r="L485" s="136">
        <f>IFERROR(__xludf.DUMMYFUNCTION("""COMPUTED_VALUE"""),20.0)</f>
        <v>20</v>
      </c>
      <c r="M485" s="136">
        <f>IFERROR(__xludf.DUMMYFUNCTION("""COMPUTED_VALUE"""),44.0)</f>
        <v>44</v>
      </c>
      <c r="N485" s="136">
        <f>IFERROR(__xludf.DUMMYFUNCTION("""COMPUTED_VALUE"""),82.0)</f>
        <v>82</v>
      </c>
      <c r="O485" s="138">
        <f>IFERROR(__xludf.DUMMYFUNCTION("""COMPUTED_VALUE"""),2.0)</f>
        <v>2</v>
      </c>
      <c r="P485" s="138">
        <f>IFERROR(__xludf.DUMMYFUNCTION("""COMPUTED_VALUE"""),0.0)</f>
        <v>0</v>
      </c>
      <c r="Q485" s="138">
        <f>IFERROR(__xludf.DUMMYFUNCTION("""COMPUTED_VALUE"""),0.0)</f>
        <v>0</v>
      </c>
      <c r="R485" s="138">
        <f>IFERROR(__xludf.DUMMYFUNCTION("""COMPUTED_VALUE"""),2.0)</f>
        <v>2</v>
      </c>
      <c r="S485" s="139">
        <f>IFERROR(__xludf.DUMMYFUNCTION("""COMPUTED_VALUE"""),371.0)</f>
        <v>371</v>
      </c>
      <c r="T485" s="140">
        <f>IFERROR(__xludf.DUMMYFUNCTION("""COMPUTED_VALUE"""),132.0)</f>
        <v>132</v>
      </c>
      <c r="U485" s="136">
        <f>IFERROR(__xludf.DUMMYFUNCTION("""COMPUTED_VALUE"""),52.0)</f>
        <v>52</v>
      </c>
      <c r="V485" s="136">
        <f>IFERROR(__xludf.DUMMYFUNCTION("""COMPUTED_VALUE"""),40.0)</f>
        <v>40</v>
      </c>
      <c r="W485" s="136">
        <f>IFERROR(__xludf.DUMMYFUNCTION("""COMPUTED_VALUE"""),54.0)</f>
        <v>54</v>
      </c>
      <c r="X485" s="136">
        <f>IFERROR(__xludf.DUMMYFUNCTION("""COMPUTED_VALUE"""),362.6521739130435)</f>
        <v>362.6521739</v>
      </c>
      <c r="Y485" s="141">
        <f>IFERROR(__xludf.DUMMYFUNCTION("""COMPUTED_VALUE"""),54.09934782608696)</f>
        <v>54.09934783</v>
      </c>
      <c r="Z485" s="141">
        <f>IFERROR(__xludf.DUMMYFUNCTION("""COMPUTED_VALUE"""),2265.304347826087)</f>
        <v>2265.304348</v>
      </c>
    </row>
    <row r="486">
      <c r="A486" s="41" t="str">
        <f>IFERROR(__xludf.DUMMYFUNCTION("""COMPUTED_VALUE"""),"Veteran")</f>
        <v>Veteran</v>
      </c>
      <c r="B486" s="41" t="str">
        <f>IFERROR(__xludf.DUMMYFUNCTION("""COMPUTED_VALUE"""),"RSC007186")</f>
        <v>RSC007186</v>
      </c>
      <c r="C486" s="41" t="str">
        <f>IFERROR(__xludf.DUMMYFUNCTION("""COMPUTED_VALUE"""),"Bushier Brow")</f>
        <v>Bushier Brow</v>
      </c>
      <c r="D486" s="41" t="str">
        <f>IFERROR(__xludf.DUMMYFUNCTION("""COMPUTED_VALUE"""),"Singularity")</f>
        <v>Singularity</v>
      </c>
      <c r="E486" s="136">
        <f>IFERROR(__xludf.DUMMYFUNCTION("""COMPUTED_VALUE"""),51.0)</f>
        <v>51</v>
      </c>
      <c r="F486" s="136">
        <f>IFERROR(__xludf.DUMMYFUNCTION("""COMPUTED_VALUE"""),15.0)</f>
        <v>15</v>
      </c>
      <c r="G486" s="136">
        <f>IFERROR(__xludf.DUMMYFUNCTION("""COMPUTED_VALUE"""),36.0)</f>
        <v>36</v>
      </c>
      <c r="H486" s="137">
        <f>IFERROR(__xludf.DUMMYFUNCTION("""COMPUTED_VALUE"""),0.29411764705882354)</f>
        <v>0.2941176471</v>
      </c>
      <c r="I486" s="136">
        <f>IFERROR(__xludf.DUMMYFUNCTION("""COMPUTED_VALUE"""),3.0)</f>
        <v>3</v>
      </c>
      <c r="J486" s="136">
        <f>IFERROR(__xludf.DUMMYFUNCTION("""COMPUTED_VALUE"""),17879.0)</f>
        <v>17879</v>
      </c>
      <c r="K486" s="136">
        <f>IFERROR(__xludf.DUMMYFUNCTION("""COMPUTED_VALUE"""),32.0)</f>
        <v>32</v>
      </c>
      <c r="L486" s="136">
        <f>IFERROR(__xludf.DUMMYFUNCTION("""COMPUTED_VALUE"""),21.0)</f>
        <v>21</v>
      </c>
      <c r="M486" s="136">
        <f>IFERROR(__xludf.DUMMYFUNCTION("""COMPUTED_VALUE"""),85.0)</f>
        <v>85</v>
      </c>
      <c r="N486" s="136">
        <f>IFERROR(__xludf.DUMMYFUNCTION("""COMPUTED_VALUE"""),114.0)</f>
        <v>114</v>
      </c>
      <c r="O486" s="138">
        <f>IFERROR(__xludf.DUMMYFUNCTION("""COMPUTED_VALUE"""),6.0)</f>
        <v>6</v>
      </c>
      <c r="P486" s="138">
        <f>IFERROR(__xludf.DUMMYFUNCTION("""COMPUTED_VALUE"""),1.0)</f>
        <v>1</v>
      </c>
      <c r="Q486" s="138">
        <f>IFERROR(__xludf.DUMMYFUNCTION("""COMPUTED_VALUE"""),0.0)</f>
        <v>0</v>
      </c>
      <c r="R486" s="138">
        <f>IFERROR(__xludf.DUMMYFUNCTION("""COMPUTED_VALUE"""),11.0)</f>
        <v>11</v>
      </c>
      <c r="S486" s="139">
        <f>IFERROR(__xludf.DUMMYFUNCTION("""COMPUTED_VALUE"""),466.0)</f>
        <v>466</v>
      </c>
      <c r="T486" s="140">
        <f>IFERROR(__xludf.DUMMYFUNCTION("""COMPUTED_VALUE"""),155.0)</f>
        <v>155</v>
      </c>
      <c r="U486" s="136">
        <f>IFERROR(__xludf.DUMMYFUNCTION("""COMPUTED_VALUE"""),55.0)</f>
        <v>55</v>
      </c>
      <c r="V486" s="136">
        <f>IFERROR(__xludf.DUMMYFUNCTION("""COMPUTED_VALUE"""),24.0)</f>
        <v>24</v>
      </c>
      <c r="W486" s="136">
        <f>IFERROR(__xludf.DUMMYFUNCTION("""COMPUTED_VALUE"""),65.0)</f>
        <v>65</v>
      </c>
      <c r="X486" s="136">
        <f>IFERROR(__xludf.DUMMYFUNCTION("""COMPUTED_VALUE"""),343.9019607843137)</f>
        <v>343.9019608</v>
      </c>
      <c r="Y486" s="141">
        <f>IFERROR(__xludf.DUMMYFUNCTION("""COMPUTED_VALUE"""),45.23392156862743)</f>
        <v>45.23392157</v>
      </c>
      <c r="Z486" s="141">
        <f>IFERROR(__xludf.DUMMYFUNCTION("""COMPUTED_VALUE"""),2034.9411764705883)</f>
        <v>2034.941176</v>
      </c>
    </row>
    <row r="487">
      <c r="A487" s="41" t="str">
        <f>IFERROR(__xludf.DUMMYFUNCTION("""COMPUTED_VALUE"""),"Elite")</f>
        <v>Elite</v>
      </c>
      <c r="B487" s="41" t="str">
        <f>IFERROR(__xludf.DUMMYFUNCTION("""COMPUTED_VALUE"""),"RSC007187")</f>
        <v>RSC007187</v>
      </c>
      <c r="C487" s="41" t="str">
        <f>IFERROR(__xludf.DUMMYFUNCTION("""COMPUTED_VALUE"""),"Evil Gooby")</f>
        <v>Evil Gooby</v>
      </c>
      <c r="D487" s="41" t="str">
        <f>IFERROR(__xludf.DUMMYFUNCTION("""COMPUTED_VALUE"""),"Swordsman")</f>
        <v>Swordsman</v>
      </c>
      <c r="E487" s="136">
        <f>IFERROR(__xludf.DUMMYFUNCTION("""COMPUTED_VALUE"""),51.0)</f>
        <v>51</v>
      </c>
      <c r="F487" s="136">
        <f>IFERROR(__xludf.DUMMYFUNCTION("""COMPUTED_VALUE"""),26.0)</f>
        <v>26</v>
      </c>
      <c r="G487" s="136">
        <f>IFERROR(__xludf.DUMMYFUNCTION("""COMPUTED_VALUE"""),25.0)</f>
        <v>25</v>
      </c>
      <c r="H487" s="137">
        <f>IFERROR(__xludf.DUMMYFUNCTION("""COMPUTED_VALUE"""),0.5098039215686274)</f>
        <v>0.5098039216</v>
      </c>
      <c r="I487" s="136">
        <f>IFERROR(__xludf.DUMMYFUNCTION("""COMPUTED_VALUE"""),7.0)</f>
        <v>7</v>
      </c>
      <c r="J487" s="136">
        <f>IFERROR(__xludf.DUMMYFUNCTION("""COMPUTED_VALUE"""),16484.0)</f>
        <v>16484</v>
      </c>
      <c r="K487" s="136">
        <f>IFERROR(__xludf.DUMMYFUNCTION("""COMPUTED_VALUE"""),28.0)</f>
        <v>28</v>
      </c>
      <c r="L487" s="136">
        <f>IFERROR(__xludf.DUMMYFUNCTION("""COMPUTED_VALUE"""),34.0)</f>
        <v>34</v>
      </c>
      <c r="M487" s="136">
        <f>IFERROR(__xludf.DUMMYFUNCTION("""COMPUTED_VALUE"""),68.0)</f>
        <v>68</v>
      </c>
      <c r="N487" s="136">
        <f>IFERROR(__xludf.DUMMYFUNCTION("""COMPUTED_VALUE"""),116.0)</f>
        <v>116</v>
      </c>
      <c r="O487" s="138">
        <f>IFERROR(__xludf.DUMMYFUNCTION("""COMPUTED_VALUE"""),9.0)</f>
        <v>9</v>
      </c>
      <c r="P487" s="138">
        <f>IFERROR(__xludf.DUMMYFUNCTION("""COMPUTED_VALUE"""),1.0)</f>
        <v>1</v>
      </c>
      <c r="Q487" s="138">
        <f>IFERROR(__xludf.DUMMYFUNCTION("""COMPUTED_VALUE"""),1.0)</f>
        <v>1</v>
      </c>
      <c r="R487" s="138">
        <f>IFERROR(__xludf.DUMMYFUNCTION("""COMPUTED_VALUE"""),7.0)</f>
        <v>7</v>
      </c>
      <c r="S487" s="139">
        <f>IFERROR(__xludf.DUMMYFUNCTION("""COMPUTED_VALUE"""),409.0)</f>
        <v>409</v>
      </c>
      <c r="T487" s="140">
        <f>IFERROR(__xludf.DUMMYFUNCTION("""COMPUTED_VALUE"""),127.0)</f>
        <v>127</v>
      </c>
      <c r="U487" s="136">
        <f>IFERROR(__xludf.DUMMYFUNCTION("""COMPUTED_VALUE"""),46.0)</f>
        <v>46</v>
      </c>
      <c r="V487" s="136">
        <f>IFERROR(__xludf.DUMMYFUNCTION("""COMPUTED_VALUE"""),86.0)</f>
        <v>86</v>
      </c>
      <c r="W487" s="136">
        <f>IFERROR(__xludf.DUMMYFUNCTION("""COMPUTED_VALUE"""),62.0)</f>
        <v>62</v>
      </c>
      <c r="X487" s="136">
        <f>IFERROR(__xludf.DUMMYFUNCTION("""COMPUTED_VALUE"""),409.6862745098039)</f>
        <v>409.6862745</v>
      </c>
      <c r="Y487" s="141">
        <f>IFERROR(__xludf.DUMMYFUNCTION("""COMPUTED_VALUE"""),47.58549019607843)</f>
        <v>47.5854902</v>
      </c>
      <c r="Z487" s="141">
        <f>IFERROR(__xludf.DUMMYFUNCTION("""COMPUTED_VALUE"""),2500.7843137254904)</f>
        <v>2500.784314</v>
      </c>
    </row>
    <row r="488">
      <c r="A488" s="41" t="str">
        <f>IFERROR(__xludf.DUMMYFUNCTION("""COMPUTED_VALUE"""),"Challenger")</f>
        <v>Challenger</v>
      </c>
      <c r="B488" s="41" t="str">
        <f>IFERROR(__xludf.DUMMYFUNCTION("""COMPUTED_VALUE"""),"RSC007190")</f>
        <v>RSC007190</v>
      </c>
      <c r="C488" s="41" t="str">
        <f>IFERROR(__xludf.DUMMYFUNCTION("""COMPUTED_VALUE"""),"Cagiestsafe6")</f>
        <v>Cagiestsafe6</v>
      </c>
      <c r="D488" s="41" t="str">
        <f>IFERROR(__xludf.DUMMYFUNCTION("""COMPUTED_VALUE"""),"Thunder Pups")</f>
        <v>Thunder Pups</v>
      </c>
      <c r="E488" s="136">
        <f>IFERROR(__xludf.DUMMYFUNCTION("""COMPUTED_VALUE"""),51.0)</f>
        <v>51</v>
      </c>
      <c r="F488" s="136">
        <f>IFERROR(__xludf.DUMMYFUNCTION("""COMPUTED_VALUE"""),28.0)</f>
        <v>28</v>
      </c>
      <c r="G488" s="136">
        <f>IFERROR(__xludf.DUMMYFUNCTION("""COMPUTED_VALUE"""),23.0)</f>
        <v>23</v>
      </c>
      <c r="H488" s="137">
        <f>IFERROR(__xludf.DUMMYFUNCTION("""COMPUTED_VALUE"""),0.5490196078431373)</f>
        <v>0.5490196078</v>
      </c>
      <c r="I488" s="136">
        <f>IFERROR(__xludf.DUMMYFUNCTION("""COMPUTED_VALUE"""),12.0)</f>
        <v>12</v>
      </c>
      <c r="J488" s="136">
        <f>IFERROR(__xludf.DUMMYFUNCTION("""COMPUTED_VALUE"""),21159.0)</f>
        <v>21159</v>
      </c>
      <c r="K488" s="136">
        <f>IFERROR(__xludf.DUMMYFUNCTION("""COMPUTED_VALUE"""),58.0)</f>
        <v>58</v>
      </c>
      <c r="L488" s="136">
        <f>IFERROR(__xludf.DUMMYFUNCTION("""COMPUTED_VALUE"""),28.0)</f>
        <v>28</v>
      </c>
      <c r="M488" s="136">
        <f>IFERROR(__xludf.DUMMYFUNCTION("""COMPUTED_VALUE"""),76.0)</f>
        <v>76</v>
      </c>
      <c r="N488" s="136">
        <f>IFERROR(__xludf.DUMMYFUNCTION("""COMPUTED_VALUE"""),146.0)</f>
        <v>146</v>
      </c>
      <c r="O488" s="138">
        <f>IFERROR(__xludf.DUMMYFUNCTION("""COMPUTED_VALUE"""),10.0)</f>
        <v>10</v>
      </c>
      <c r="P488" s="138">
        <f>IFERROR(__xludf.DUMMYFUNCTION("""COMPUTED_VALUE"""),3.0)</f>
        <v>3</v>
      </c>
      <c r="Q488" s="138">
        <f>IFERROR(__xludf.DUMMYFUNCTION("""COMPUTED_VALUE"""),0.0)</f>
        <v>0</v>
      </c>
      <c r="R488" s="138">
        <f>IFERROR(__xludf.DUMMYFUNCTION("""COMPUTED_VALUE"""),12.0)</f>
        <v>12</v>
      </c>
      <c r="S488" s="139">
        <f>IFERROR(__xludf.DUMMYFUNCTION("""COMPUTED_VALUE"""),375.0)</f>
        <v>375</v>
      </c>
      <c r="T488" s="140">
        <f>IFERROR(__xludf.DUMMYFUNCTION("""COMPUTED_VALUE"""),119.0)</f>
        <v>119</v>
      </c>
      <c r="U488" s="136">
        <f>IFERROR(__xludf.DUMMYFUNCTION("""COMPUTED_VALUE"""),37.0)</f>
        <v>37</v>
      </c>
      <c r="V488" s="136">
        <f>IFERROR(__xludf.DUMMYFUNCTION("""COMPUTED_VALUE"""),34.0)</f>
        <v>34</v>
      </c>
      <c r="W488" s="136">
        <f>IFERROR(__xludf.DUMMYFUNCTION("""COMPUTED_VALUE"""),58.0)</f>
        <v>58</v>
      </c>
      <c r="X488" s="136">
        <f>IFERROR(__xludf.DUMMYFUNCTION("""COMPUTED_VALUE"""),422.7843137254902)</f>
        <v>422.7843137</v>
      </c>
      <c r="Y488" s="141">
        <f>IFERROR(__xludf.DUMMYFUNCTION("""COMPUTED_VALUE"""),45.56117647058825)</f>
        <v>45.56117647</v>
      </c>
      <c r="Z488" s="141">
        <f>IFERROR(__xludf.DUMMYFUNCTION("""COMPUTED_VALUE"""),2499.549019607843)</f>
        <v>2499.54902</v>
      </c>
    </row>
    <row r="489">
      <c r="A489" s="41" t="str">
        <f>IFERROR(__xludf.DUMMYFUNCTION("""COMPUTED_VALUE"""),"Rival")</f>
        <v>Rival</v>
      </c>
      <c r="B489" s="41" t="str">
        <f>IFERROR(__xludf.DUMMYFUNCTION("""COMPUTED_VALUE"""),"RSC007201")</f>
        <v>RSC007201</v>
      </c>
      <c r="C489" s="41" t="str">
        <f>IFERROR(__xludf.DUMMYFUNCTION("""COMPUTED_VALUE"""),"FallenAngel")</f>
        <v>FallenAngel</v>
      </c>
      <c r="D489" s="41" t="str">
        <f>IFERROR(__xludf.DUMMYFUNCTION("""COMPUTED_VALUE"""),"Heavy Metal")</f>
        <v>Heavy Metal</v>
      </c>
      <c r="E489" s="136">
        <f>IFERROR(__xludf.DUMMYFUNCTION("""COMPUTED_VALUE"""),44.0)</f>
        <v>44</v>
      </c>
      <c r="F489" s="136">
        <f>IFERROR(__xludf.DUMMYFUNCTION("""COMPUTED_VALUE"""),21.0)</f>
        <v>21</v>
      </c>
      <c r="G489" s="136">
        <f>IFERROR(__xludf.DUMMYFUNCTION("""COMPUTED_VALUE"""),23.0)</f>
        <v>23</v>
      </c>
      <c r="H489" s="137">
        <f>IFERROR(__xludf.DUMMYFUNCTION("""COMPUTED_VALUE"""),0.4772727272727273)</f>
        <v>0.4772727273</v>
      </c>
      <c r="I489" s="136">
        <f>IFERROR(__xludf.DUMMYFUNCTION("""COMPUTED_VALUE"""),5.0)</f>
        <v>5</v>
      </c>
      <c r="J489" s="136">
        <f>IFERROR(__xludf.DUMMYFUNCTION("""COMPUTED_VALUE"""),13824.0)</f>
        <v>13824</v>
      </c>
      <c r="K489" s="136">
        <f>IFERROR(__xludf.DUMMYFUNCTION("""COMPUTED_VALUE"""),26.0)</f>
        <v>26</v>
      </c>
      <c r="L489" s="136">
        <f>IFERROR(__xludf.DUMMYFUNCTION("""COMPUTED_VALUE"""),13.0)</f>
        <v>13</v>
      </c>
      <c r="M489" s="136">
        <f>IFERROR(__xludf.DUMMYFUNCTION("""COMPUTED_VALUE"""),66.0)</f>
        <v>66</v>
      </c>
      <c r="N489" s="136">
        <f>IFERROR(__xludf.DUMMYFUNCTION("""COMPUTED_VALUE"""),82.0)</f>
        <v>82</v>
      </c>
      <c r="O489" s="138">
        <f>IFERROR(__xludf.DUMMYFUNCTION("""COMPUTED_VALUE"""),4.0)</f>
        <v>4</v>
      </c>
      <c r="P489" s="138">
        <f>IFERROR(__xludf.DUMMYFUNCTION("""COMPUTED_VALUE"""),0.0)</f>
        <v>0</v>
      </c>
      <c r="Q489" s="138">
        <f>IFERROR(__xludf.DUMMYFUNCTION("""COMPUTED_VALUE"""),0.0)</f>
        <v>0</v>
      </c>
      <c r="R489" s="138">
        <f>IFERROR(__xludf.DUMMYFUNCTION("""COMPUTED_VALUE"""),8.0)</f>
        <v>8</v>
      </c>
      <c r="S489" s="139">
        <f>IFERROR(__xludf.DUMMYFUNCTION("""COMPUTED_VALUE"""),363.0)</f>
        <v>363</v>
      </c>
      <c r="T489" s="140">
        <f>IFERROR(__xludf.DUMMYFUNCTION("""COMPUTED_VALUE"""),102.0)</f>
        <v>102</v>
      </c>
      <c r="U489" s="136">
        <f>IFERROR(__xludf.DUMMYFUNCTION("""COMPUTED_VALUE"""),35.0)</f>
        <v>35</v>
      </c>
      <c r="V489" s="136">
        <f>IFERROR(__xludf.DUMMYFUNCTION("""COMPUTED_VALUE"""),21.0)</f>
        <v>21</v>
      </c>
      <c r="W489" s="136">
        <f>IFERROR(__xludf.DUMMYFUNCTION("""COMPUTED_VALUE"""),52.0)</f>
        <v>52</v>
      </c>
      <c r="X489" s="136">
        <f>IFERROR(__xludf.DUMMYFUNCTION("""COMPUTED_VALUE"""),321.54545454545456)</f>
        <v>321.5454545</v>
      </c>
      <c r="Y489" s="141">
        <f>IFERROR(__xludf.DUMMYFUNCTION("""COMPUTED_VALUE"""),50.51295454545454)</f>
        <v>50.51295455</v>
      </c>
      <c r="Z489" s="141">
        <f>IFERROR(__xludf.DUMMYFUNCTION("""COMPUTED_VALUE"""),2019.2954545454545)</f>
        <v>2019.295455</v>
      </c>
    </row>
    <row r="490">
      <c r="A490" s="41" t="str">
        <f>IFERROR(__xludf.DUMMYFUNCTION("""COMPUTED_VALUE"""),"Veteran")</f>
        <v>Veteran</v>
      </c>
      <c r="B490" s="41" t="str">
        <f>IFERROR(__xludf.DUMMYFUNCTION("""COMPUTED_VALUE"""),"RSC007202")</f>
        <v>RSC007202</v>
      </c>
      <c r="C490" s="41" t="str">
        <f>IFERROR(__xludf.DUMMYFUNCTION("""COMPUTED_VALUE"""),"GreatHonda")</f>
        <v>GreatHonda</v>
      </c>
      <c r="D490" s="41" t="str">
        <f>IFERROR(__xludf.DUMMYFUNCTION("""COMPUTED_VALUE"""),"Gargoyle")</f>
        <v>Gargoyle</v>
      </c>
      <c r="E490" s="136">
        <f>IFERROR(__xludf.DUMMYFUNCTION("""COMPUTED_VALUE"""),48.0)</f>
        <v>48</v>
      </c>
      <c r="F490" s="136">
        <f>IFERROR(__xludf.DUMMYFUNCTION("""COMPUTED_VALUE"""),31.0)</f>
        <v>31</v>
      </c>
      <c r="G490" s="136">
        <f>IFERROR(__xludf.DUMMYFUNCTION("""COMPUTED_VALUE"""),17.0)</f>
        <v>17</v>
      </c>
      <c r="H490" s="137">
        <f>IFERROR(__xludf.DUMMYFUNCTION("""COMPUTED_VALUE"""),0.6458333333333334)</f>
        <v>0.6458333333</v>
      </c>
      <c r="I490" s="136">
        <f>IFERROR(__xludf.DUMMYFUNCTION("""COMPUTED_VALUE"""),9.0)</f>
        <v>9</v>
      </c>
      <c r="J490" s="136">
        <f>IFERROR(__xludf.DUMMYFUNCTION("""COMPUTED_VALUE"""),16250.0)</f>
        <v>16250</v>
      </c>
      <c r="K490" s="136">
        <f>IFERROR(__xludf.DUMMYFUNCTION("""COMPUTED_VALUE"""),33.0)</f>
        <v>33</v>
      </c>
      <c r="L490" s="136">
        <f>IFERROR(__xludf.DUMMYFUNCTION("""COMPUTED_VALUE"""),26.0)</f>
        <v>26</v>
      </c>
      <c r="M490" s="136">
        <f>IFERROR(__xludf.DUMMYFUNCTION("""COMPUTED_VALUE"""),65.0)</f>
        <v>65</v>
      </c>
      <c r="N490" s="136">
        <f>IFERROR(__xludf.DUMMYFUNCTION("""COMPUTED_VALUE"""),130.0)</f>
        <v>130</v>
      </c>
      <c r="O490" s="138">
        <f>IFERROR(__xludf.DUMMYFUNCTION("""COMPUTED_VALUE"""),12.0)</f>
        <v>12</v>
      </c>
      <c r="P490" s="138">
        <f>IFERROR(__xludf.DUMMYFUNCTION("""COMPUTED_VALUE"""),2.0)</f>
        <v>2</v>
      </c>
      <c r="Q490" s="138">
        <f>IFERROR(__xludf.DUMMYFUNCTION("""COMPUTED_VALUE"""),0.0)</f>
        <v>0</v>
      </c>
      <c r="R490" s="138">
        <f>IFERROR(__xludf.DUMMYFUNCTION("""COMPUTED_VALUE"""),6.0)</f>
        <v>6</v>
      </c>
      <c r="S490" s="139">
        <f>IFERROR(__xludf.DUMMYFUNCTION("""COMPUTED_VALUE"""),313.0)</f>
        <v>313</v>
      </c>
      <c r="T490" s="140">
        <f>IFERROR(__xludf.DUMMYFUNCTION("""COMPUTED_VALUE"""),86.0)</f>
        <v>86</v>
      </c>
      <c r="U490" s="136">
        <f>IFERROR(__xludf.DUMMYFUNCTION("""COMPUTED_VALUE"""),26.0)</f>
        <v>26</v>
      </c>
      <c r="V490" s="136">
        <f>IFERROR(__xludf.DUMMYFUNCTION("""COMPUTED_VALUE"""),39.0)</f>
        <v>39</v>
      </c>
      <c r="W490" s="136">
        <f>IFERROR(__xludf.DUMMYFUNCTION("""COMPUTED_VALUE"""),49.0)</f>
        <v>49</v>
      </c>
      <c r="X490" s="136">
        <f>IFERROR(__xludf.DUMMYFUNCTION("""COMPUTED_VALUE"""),348.3125)</f>
        <v>348.3125</v>
      </c>
      <c r="Y490" s="141">
        <f>IFERROR(__xludf.DUMMYFUNCTION("""COMPUTED_VALUE"""),46.67395833333333)</f>
        <v>46.67395833</v>
      </c>
      <c r="Z490" s="141">
        <f>IFERROR(__xludf.DUMMYFUNCTION("""COMPUTED_VALUE"""),2047.2291666666667)</f>
        <v>2047.229167</v>
      </c>
    </row>
    <row r="491">
      <c r="A491" s="41" t="str">
        <f>IFERROR(__xludf.DUMMYFUNCTION("""COMPUTED_VALUE"""),"Veteran")</f>
        <v>Veteran</v>
      </c>
      <c r="B491" s="41" t="str">
        <f>IFERROR(__xludf.DUMMYFUNCTION("""COMPUTED_VALUE"""),"RSC007213")</f>
        <v>RSC007213</v>
      </c>
      <c r="C491" s="41" t="str">
        <f>IFERROR(__xludf.DUMMYFUNCTION("""COMPUTED_VALUE"""),"Pythronex")</f>
        <v>Pythronex</v>
      </c>
      <c r="D491" s="41" t="str">
        <f>IFERROR(__xludf.DUMMYFUNCTION("""COMPUTED_VALUE"""),"Mosaic Maestros
Makos
Shadow Tails")</f>
        <v>Mosaic Maestros
Makos
Shadow Tails</v>
      </c>
      <c r="E491" s="136">
        <f>IFERROR(__xludf.DUMMYFUNCTION("""COMPUTED_VALUE"""),24.0)</f>
        <v>24</v>
      </c>
      <c r="F491" s="136">
        <f>IFERROR(__xludf.DUMMYFUNCTION("""COMPUTED_VALUE"""),10.0)</f>
        <v>10</v>
      </c>
      <c r="G491" s="136">
        <f>IFERROR(__xludf.DUMMYFUNCTION("""COMPUTED_VALUE"""),14.0)</f>
        <v>14</v>
      </c>
      <c r="H491" s="137">
        <f>IFERROR(__xludf.DUMMYFUNCTION("""COMPUTED_VALUE"""),0.4166666666666667)</f>
        <v>0.4166666667</v>
      </c>
      <c r="I491" s="136">
        <f>IFERROR(__xludf.DUMMYFUNCTION("""COMPUTED_VALUE"""),5.0)</f>
        <v>5</v>
      </c>
      <c r="J491" s="136">
        <f>IFERROR(__xludf.DUMMYFUNCTION("""COMPUTED_VALUE"""),7981.0)</f>
        <v>7981</v>
      </c>
      <c r="K491" s="136">
        <f>IFERROR(__xludf.DUMMYFUNCTION("""COMPUTED_VALUE"""),16.0)</f>
        <v>16</v>
      </c>
      <c r="L491" s="136">
        <f>IFERROR(__xludf.DUMMYFUNCTION("""COMPUTED_VALUE"""),11.0)</f>
        <v>11</v>
      </c>
      <c r="M491" s="136">
        <f>IFERROR(__xludf.DUMMYFUNCTION("""COMPUTED_VALUE"""),32.0)</f>
        <v>32</v>
      </c>
      <c r="N491" s="136">
        <f>IFERROR(__xludf.DUMMYFUNCTION("""COMPUTED_VALUE"""),47.0)</f>
        <v>47</v>
      </c>
      <c r="O491" s="138">
        <f>IFERROR(__xludf.DUMMYFUNCTION("""COMPUTED_VALUE"""),7.0)</f>
        <v>7</v>
      </c>
      <c r="P491" s="138">
        <f>IFERROR(__xludf.DUMMYFUNCTION("""COMPUTED_VALUE"""),0.0)</f>
        <v>0</v>
      </c>
      <c r="Q491" s="138">
        <f>IFERROR(__xludf.DUMMYFUNCTION("""COMPUTED_VALUE"""),0.0)</f>
        <v>0</v>
      </c>
      <c r="R491" s="138">
        <f>IFERROR(__xludf.DUMMYFUNCTION("""COMPUTED_VALUE"""),3.0)</f>
        <v>3</v>
      </c>
      <c r="S491" s="139">
        <f>IFERROR(__xludf.DUMMYFUNCTION("""COMPUTED_VALUE"""),200.0)</f>
        <v>200</v>
      </c>
      <c r="T491" s="140">
        <f>IFERROR(__xludf.DUMMYFUNCTION("""COMPUTED_VALUE"""),69.0)</f>
        <v>69</v>
      </c>
      <c r="U491" s="136">
        <f>IFERROR(__xludf.DUMMYFUNCTION("""COMPUTED_VALUE"""),31.0)</f>
        <v>31</v>
      </c>
      <c r="V491" s="136">
        <f>IFERROR(__xludf.DUMMYFUNCTION("""COMPUTED_VALUE"""),28.0)</f>
        <v>28</v>
      </c>
      <c r="W491" s="136">
        <f>IFERROR(__xludf.DUMMYFUNCTION("""COMPUTED_VALUE"""),33.0)</f>
        <v>33</v>
      </c>
      <c r="X491" s="136">
        <f>IFERROR(__xludf.DUMMYFUNCTION("""COMPUTED_VALUE"""),309.75)</f>
        <v>309.75</v>
      </c>
      <c r="Y491" s="141">
        <f>IFERROR(__xludf.DUMMYFUNCTION("""COMPUTED_VALUE"""),47.282083333333325)</f>
        <v>47.28208333</v>
      </c>
      <c r="Z491" s="141">
        <f>IFERROR(__xludf.DUMMYFUNCTION("""COMPUTED_VALUE"""),1816.8333333333333)</f>
        <v>1816.833333</v>
      </c>
    </row>
    <row r="492">
      <c r="A492" s="41" t="str">
        <f>IFERROR(__xludf.DUMMYFUNCTION("""COMPUTED_VALUE"""),"Amateur")</f>
        <v>Amateur</v>
      </c>
      <c r="B492" s="41" t="str">
        <f>IFERROR(__xludf.DUMMYFUNCTION("""COMPUTED_VALUE"""),"RSC007216")</f>
        <v>RSC007216</v>
      </c>
      <c r="C492" s="41" t="str">
        <f>IFERROR(__xludf.DUMMYFUNCTION("""COMPUTED_VALUE"""),"ASAPxLEG")</f>
        <v>ASAPxLEG</v>
      </c>
      <c r="D492" s="41" t="str">
        <f>IFERROR(__xludf.DUMMYFUNCTION("""COMPUTED_VALUE"""),"Kappa")</f>
        <v>Kappa</v>
      </c>
      <c r="E492" s="136">
        <f>IFERROR(__xludf.DUMMYFUNCTION("""COMPUTED_VALUE"""),51.0)</f>
        <v>51</v>
      </c>
      <c r="F492" s="136">
        <f>IFERROR(__xludf.DUMMYFUNCTION("""COMPUTED_VALUE"""),23.0)</f>
        <v>23</v>
      </c>
      <c r="G492" s="136">
        <f>IFERROR(__xludf.DUMMYFUNCTION("""COMPUTED_VALUE"""),28.0)</f>
        <v>28</v>
      </c>
      <c r="H492" s="137">
        <f>IFERROR(__xludf.DUMMYFUNCTION("""COMPUTED_VALUE"""),0.45098039215686275)</f>
        <v>0.4509803922</v>
      </c>
      <c r="I492" s="136">
        <f>IFERROR(__xludf.DUMMYFUNCTION("""COMPUTED_VALUE"""),4.0)</f>
        <v>4</v>
      </c>
      <c r="J492" s="136">
        <f>IFERROR(__xludf.DUMMYFUNCTION("""COMPUTED_VALUE"""),13363.0)</f>
        <v>13363</v>
      </c>
      <c r="K492" s="136">
        <f>IFERROR(__xludf.DUMMYFUNCTION("""COMPUTED_VALUE"""),25.0)</f>
        <v>25</v>
      </c>
      <c r="L492" s="136">
        <f>IFERROR(__xludf.DUMMYFUNCTION("""COMPUTED_VALUE"""),27.0)</f>
        <v>27</v>
      </c>
      <c r="M492" s="136">
        <f>IFERROR(__xludf.DUMMYFUNCTION("""COMPUTED_VALUE"""),45.0)</f>
        <v>45</v>
      </c>
      <c r="N492" s="136">
        <f>IFERROR(__xludf.DUMMYFUNCTION("""COMPUTED_VALUE"""),69.0)</f>
        <v>69</v>
      </c>
      <c r="O492" s="138">
        <f>IFERROR(__xludf.DUMMYFUNCTION("""COMPUTED_VALUE"""),3.0)</f>
        <v>3</v>
      </c>
      <c r="P492" s="138">
        <f>IFERROR(__xludf.DUMMYFUNCTION("""COMPUTED_VALUE"""),1.0)</f>
        <v>1</v>
      </c>
      <c r="Q492" s="138">
        <f>IFERROR(__xludf.DUMMYFUNCTION("""COMPUTED_VALUE"""),1.0)</f>
        <v>1</v>
      </c>
      <c r="R492" s="138">
        <f>IFERROR(__xludf.DUMMYFUNCTION("""COMPUTED_VALUE"""),1.0)</f>
        <v>1</v>
      </c>
      <c r="S492" s="139">
        <f>IFERROR(__xludf.DUMMYFUNCTION("""COMPUTED_VALUE"""),375.0)</f>
        <v>375</v>
      </c>
      <c r="T492" s="140">
        <f>IFERROR(__xludf.DUMMYFUNCTION("""COMPUTED_VALUE"""),126.0)</f>
        <v>126</v>
      </c>
      <c r="U492" s="136">
        <f>IFERROR(__xludf.DUMMYFUNCTION("""COMPUTED_VALUE"""),36.0)</f>
        <v>36</v>
      </c>
      <c r="V492" s="136">
        <f>IFERROR(__xludf.DUMMYFUNCTION("""COMPUTED_VALUE"""),26.0)</f>
        <v>26</v>
      </c>
      <c r="W492" s="136">
        <f>IFERROR(__xludf.DUMMYFUNCTION("""COMPUTED_VALUE"""),35.0)</f>
        <v>35</v>
      </c>
      <c r="X492" s="139">
        <f>IFERROR(__xludf.DUMMYFUNCTION("""COMPUTED_VALUE"""),270.2549019607843)</f>
        <v>270.254902</v>
      </c>
      <c r="Y492" s="141">
        <f>IFERROR(__xludf.DUMMYFUNCTION("""COMPUTED_VALUE"""),53.57411764705883)</f>
        <v>53.57411765</v>
      </c>
      <c r="Z492" s="141">
        <f>IFERROR(__xludf.DUMMYFUNCTION("""COMPUTED_VALUE"""),1652.137254901961)</f>
        <v>1652.137255</v>
      </c>
    </row>
    <row r="493">
      <c r="A493" s="41" t="str">
        <f>IFERROR(__xludf.DUMMYFUNCTION("""COMPUTED_VALUE"""),"Rival")</f>
        <v>Rival</v>
      </c>
      <c r="B493" s="41" t="str">
        <f>IFERROR(__xludf.DUMMYFUNCTION("""COMPUTED_VALUE"""),"RSC007222")</f>
        <v>RSC007222</v>
      </c>
      <c r="C493" s="41" t="str">
        <f>IFERROR(__xludf.DUMMYFUNCTION("""COMPUTED_VALUE"""),"S3EZ")</f>
        <v>S3EZ</v>
      </c>
      <c r="D493" s="41" t="str">
        <f>IFERROR(__xludf.DUMMYFUNCTION("""COMPUTED_VALUE"""),"Hue Heroes")</f>
        <v>Hue Heroes</v>
      </c>
      <c r="E493" s="136">
        <f>IFERROR(__xludf.DUMMYFUNCTION("""COMPUTED_VALUE"""),34.0)</f>
        <v>34</v>
      </c>
      <c r="F493" s="136">
        <f>IFERROR(__xludf.DUMMYFUNCTION("""COMPUTED_VALUE"""),19.0)</f>
        <v>19</v>
      </c>
      <c r="G493" s="136">
        <f>IFERROR(__xludf.DUMMYFUNCTION("""COMPUTED_VALUE"""),15.0)</f>
        <v>15</v>
      </c>
      <c r="H493" s="137">
        <f>IFERROR(__xludf.DUMMYFUNCTION("""COMPUTED_VALUE"""),0.5588235294117647)</f>
        <v>0.5588235294</v>
      </c>
      <c r="I493" s="136">
        <f>IFERROR(__xludf.DUMMYFUNCTION("""COMPUTED_VALUE"""),4.0)</f>
        <v>4</v>
      </c>
      <c r="J493" s="136">
        <f>IFERROR(__xludf.DUMMYFUNCTION("""COMPUTED_VALUE"""),10902.0)</f>
        <v>10902</v>
      </c>
      <c r="K493" s="136">
        <f>IFERROR(__xludf.DUMMYFUNCTION("""COMPUTED_VALUE"""),27.0)</f>
        <v>27</v>
      </c>
      <c r="L493" s="136">
        <f>IFERROR(__xludf.DUMMYFUNCTION("""COMPUTED_VALUE"""),16.0)</f>
        <v>16</v>
      </c>
      <c r="M493" s="136">
        <f>IFERROR(__xludf.DUMMYFUNCTION("""COMPUTED_VALUE"""),41.0)</f>
        <v>41</v>
      </c>
      <c r="N493" s="136">
        <f>IFERROR(__xludf.DUMMYFUNCTION("""COMPUTED_VALUE"""),73.0)</f>
        <v>73</v>
      </c>
      <c r="O493" s="138">
        <f>IFERROR(__xludf.DUMMYFUNCTION("""COMPUTED_VALUE"""),6.0)</f>
        <v>6</v>
      </c>
      <c r="P493" s="138">
        <f>IFERROR(__xludf.DUMMYFUNCTION("""COMPUTED_VALUE"""),1.0)</f>
        <v>1</v>
      </c>
      <c r="Q493" s="138">
        <f>IFERROR(__xludf.DUMMYFUNCTION("""COMPUTED_VALUE"""),0.0)</f>
        <v>0</v>
      </c>
      <c r="R493" s="138">
        <f>IFERROR(__xludf.DUMMYFUNCTION("""COMPUTED_VALUE"""),5.0)</f>
        <v>5</v>
      </c>
      <c r="S493" s="139">
        <f>IFERROR(__xludf.DUMMYFUNCTION("""COMPUTED_VALUE"""),231.0)</f>
        <v>231</v>
      </c>
      <c r="T493" s="140">
        <f>IFERROR(__xludf.DUMMYFUNCTION("""COMPUTED_VALUE"""),73.0)</f>
        <v>73</v>
      </c>
      <c r="U493" s="136">
        <f>IFERROR(__xludf.DUMMYFUNCTION("""COMPUTED_VALUE"""),19.0)</f>
        <v>19</v>
      </c>
      <c r="V493" s="136">
        <f>IFERROR(__xludf.DUMMYFUNCTION("""COMPUTED_VALUE"""),32.0)</f>
        <v>32</v>
      </c>
      <c r="W493" s="136">
        <f>IFERROR(__xludf.DUMMYFUNCTION("""COMPUTED_VALUE"""),34.0)</f>
        <v>34</v>
      </c>
      <c r="X493" s="136">
        <f>IFERROR(__xludf.DUMMYFUNCTION("""COMPUTED_VALUE"""),346.3529411764706)</f>
        <v>346.3529412</v>
      </c>
      <c r="Y493" s="141">
        <f>IFERROR(__xludf.DUMMYFUNCTION("""COMPUTED_VALUE"""),52.380882352941185)</f>
        <v>52.38088235</v>
      </c>
      <c r="Z493" s="141">
        <f>IFERROR(__xludf.DUMMYFUNCTION("""COMPUTED_VALUE"""),2072.8823529411766)</f>
        <v>2072.882353</v>
      </c>
    </row>
    <row r="494">
      <c r="A494" s="41" t="str">
        <f>IFERROR(__xludf.DUMMYFUNCTION("""COMPUTED_VALUE"""),"Rival")</f>
        <v>Rival</v>
      </c>
      <c r="B494" s="41" t="str">
        <f>IFERROR(__xludf.DUMMYFUNCTION("""COMPUTED_VALUE"""),"RSC007256")</f>
        <v>RSC007256</v>
      </c>
      <c r="C494" s="41" t="str">
        <f>IFERROR(__xludf.DUMMYFUNCTION("""COMPUTED_VALUE"""),"Destined Odst666")</f>
        <v>Destined Odst666</v>
      </c>
      <c r="D494" s="41" t="str">
        <f>IFERROR(__xludf.DUMMYFUNCTION("""COMPUTED_VALUE"""),"Hot Wings
Lacuna")</f>
        <v>Hot Wings
Lacuna</v>
      </c>
      <c r="E494" s="136">
        <f>IFERROR(__xludf.DUMMYFUNCTION("""COMPUTED_VALUE"""),52.0)</f>
        <v>52</v>
      </c>
      <c r="F494" s="136">
        <f>IFERROR(__xludf.DUMMYFUNCTION("""COMPUTED_VALUE"""),30.0)</f>
        <v>30</v>
      </c>
      <c r="G494" s="136">
        <f>IFERROR(__xludf.DUMMYFUNCTION("""COMPUTED_VALUE"""),22.0)</f>
        <v>22</v>
      </c>
      <c r="H494" s="137">
        <f>IFERROR(__xludf.DUMMYFUNCTION("""COMPUTED_VALUE"""),0.5769230769230769)</f>
        <v>0.5769230769</v>
      </c>
      <c r="I494" s="136">
        <f>IFERROR(__xludf.DUMMYFUNCTION("""COMPUTED_VALUE"""),16.0)</f>
        <v>16</v>
      </c>
      <c r="J494" s="136">
        <f>IFERROR(__xludf.DUMMYFUNCTION("""COMPUTED_VALUE"""),18414.0)</f>
        <v>18414</v>
      </c>
      <c r="K494" s="136">
        <f>IFERROR(__xludf.DUMMYFUNCTION("""COMPUTED_VALUE"""),41.0)</f>
        <v>41</v>
      </c>
      <c r="L494" s="136">
        <f>IFERROR(__xludf.DUMMYFUNCTION("""COMPUTED_VALUE"""),25.0)</f>
        <v>25</v>
      </c>
      <c r="M494" s="136">
        <f>IFERROR(__xludf.DUMMYFUNCTION("""COMPUTED_VALUE"""),68.0)</f>
        <v>68</v>
      </c>
      <c r="N494" s="136">
        <f>IFERROR(__xludf.DUMMYFUNCTION("""COMPUTED_VALUE"""),135.0)</f>
        <v>135</v>
      </c>
      <c r="O494" s="138">
        <f>IFERROR(__xludf.DUMMYFUNCTION("""COMPUTED_VALUE"""),10.0)</f>
        <v>10</v>
      </c>
      <c r="P494" s="138">
        <f>IFERROR(__xludf.DUMMYFUNCTION("""COMPUTED_VALUE"""),2.0)</f>
        <v>2</v>
      </c>
      <c r="Q494" s="138">
        <f>IFERROR(__xludf.DUMMYFUNCTION("""COMPUTED_VALUE"""),1.0)</f>
        <v>1</v>
      </c>
      <c r="R494" s="138">
        <f>IFERROR(__xludf.DUMMYFUNCTION("""COMPUTED_VALUE"""),8.0)</f>
        <v>8</v>
      </c>
      <c r="S494" s="139">
        <f>IFERROR(__xludf.DUMMYFUNCTION("""COMPUTED_VALUE"""),380.0)</f>
        <v>380</v>
      </c>
      <c r="T494" s="140">
        <f>IFERROR(__xludf.DUMMYFUNCTION("""COMPUTED_VALUE"""),113.0)</f>
        <v>113</v>
      </c>
      <c r="U494" s="136">
        <f>IFERROR(__xludf.DUMMYFUNCTION("""COMPUTED_VALUE"""),39.0)</f>
        <v>39</v>
      </c>
      <c r="V494" s="136">
        <f>IFERROR(__xludf.DUMMYFUNCTION("""COMPUTED_VALUE"""),86.0)</f>
        <v>86</v>
      </c>
      <c r="W494" s="136">
        <f>IFERROR(__xludf.DUMMYFUNCTION("""COMPUTED_VALUE"""),46.0)</f>
        <v>46</v>
      </c>
      <c r="X494" s="136">
        <f>IFERROR(__xludf.DUMMYFUNCTION("""COMPUTED_VALUE"""),428.53846153846155)</f>
        <v>428.5384615</v>
      </c>
      <c r="Y494" s="141">
        <f>IFERROR(__xludf.DUMMYFUNCTION("""COMPUTED_VALUE"""),55.91730769230771)</f>
        <v>55.91730769</v>
      </c>
      <c r="Z494" s="141">
        <f>IFERROR(__xludf.DUMMYFUNCTION("""COMPUTED_VALUE"""),2664.903846153846)</f>
        <v>2664.903846</v>
      </c>
    </row>
    <row r="495">
      <c r="A495" s="41" t="str">
        <f>IFERROR(__xludf.DUMMYFUNCTION("""COMPUTED_VALUE"""),"Elite")</f>
        <v>Elite</v>
      </c>
      <c r="B495" s="41" t="str">
        <f>IFERROR(__xludf.DUMMYFUNCTION("""COMPUTED_VALUE"""),"RSC007260")</f>
        <v>RSC007260</v>
      </c>
      <c r="C495" s="41" t="str">
        <f>IFERROR(__xludf.DUMMYFUNCTION("""COMPUTED_VALUE"""),"FlopMode.")</f>
        <v>FlopMode.</v>
      </c>
      <c r="D495" s="41" t="str">
        <f>IFERROR(__xludf.DUMMYFUNCTION("""COMPUTED_VALUE"""),"Afterburners")</f>
        <v>Afterburners</v>
      </c>
      <c r="E495" s="136">
        <f>IFERROR(__xludf.DUMMYFUNCTION("""COMPUTED_VALUE"""),4.0)</f>
        <v>4</v>
      </c>
      <c r="F495" s="136">
        <f>IFERROR(__xludf.DUMMYFUNCTION("""COMPUTED_VALUE"""),4.0)</f>
        <v>4</v>
      </c>
      <c r="G495" s="136">
        <f>IFERROR(__xludf.DUMMYFUNCTION("""COMPUTED_VALUE"""),0.0)</f>
        <v>0</v>
      </c>
      <c r="H495" s="137">
        <f>IFERROR(__xludf.DUMMYFUNCTION("""COMPUTED_VALUE"""),1.0)</f>
        <v>1</v>
      </c>
      <c r="I495" s="136">
        <f>IFERROR(__xludf.DUMMYFUNCTION("""COMPUTED_VALUE"""),3.0)</f>
        <v>3</v>
      </c>
      <c r="J495" s="136">
        <f>IFERROR(__xludf.DUMMYFUNCTION("""COMPUTED_VALUE"""),2118.0)</f>
        <v>2118</v>
      </c>
      <c r="K495" s="136">
        <f>IFERROR(__xludf.DUMMYFUNCTION("""COMPUTED_VALUE"""),7.0)</f>
        <v>7</v>
      </c>
      <c r="L495" s="136">
        <f>IFERROR(__xludf.DUMMYFUNCTION("""COMPUTED_VALUE"""),1.0)</f>
        <v>1</v>
      </c>
      <c r="M495" s="136">
        <f>IFERROR(__xludf.DUMMYFUNCTION("""COMPUTED_VALUE"""),10.0)</f>
        <v>10</v>
      </c>
      <c r="N495" s="136">
        <f>IFERROR(__xludf.DUMMYFUNCTION("""COMPUTED_VALUE"""),13.0)</f>
        <v>13</v>
      </c>
      <c r="O495" s="138">
        <f>IFERROR(__xludf.DUMMYFUNCTION("""COMPUTED_VALUE"""),1.0)</f>
        <v>1</v>
      </c>
      <c r="P495" s="138">
        <f>IFERROR(__xludf.DUMMYFUNCTION("""COMPUTED_VALUE"""),1.0)</f>
        <v>1</v>
      </c>
      <c r="Q495" s="138">
        <f>IFERROR(__xludf.DUMMYFUNCTION("""COMPUTED_VALUE"""),0.0)</f>
        <v>0</v>
      </c>
      <c r="R495" s="138">
        <f>IFERROR(__xludf.DUMMYFUNCTION("""COMPUTED_VALUE"""),2.0)</f>
        <v>2</v>
      </c>
      <c r="S495" s="139">
        <f>IFERROR(__xludf.DUMMYFUNCTION("""COMPUTED_VALUE"""),36.0)</f>
        <v>36</v>
      </c>
      <c r="T495" s="140">
        <f>IFERROR(__xludf.DUMMYFUNCTION("""COMPUTED_VALUE"""),5.0)</f>
        <v>5</v>
      </c>
      <c r="U495" s="136">
        <f>IFERROR(__xludf.DUMMYFUNCTION("""COMPUTED_VALUE"""),0.0)</f>
        <v>0</v>
      </c>
      <c r="V495" s="136">
        <f>IFERROR(__xludf.DUMMYFUNCTION("""COMPUTED_VALUE"""),8.0)</f>
        <v>8</v>
      </c>
      <c r="W495" s="136">
        <f>IFERROR(__xludf.DUMMYFUNCTION("""COMPUTED_VALUE"""),7.0)</f>
        <v>7</v>
      </c>
      <c r="X495" s="136">
        <f>IFERROR(__xludf.DUMMYFUNCTION("""COMPUTED_VALUE"""),362.5)</f>
        <v>362.5</v>
      </c>
      <c r="Y495" s="141">
        <f>IFERROR(__xludf.DUMMYFUNCTION("""COMPUTED_VALUE"""),53.097500000000004)</f>
        <v>53.0975</v>
      </c>
      <c r="Z495" s="141">
        <f>IFERROR(__xludf.DUMMYFUNCTION("""COMPUTED_VALUE"""),2090.75)</f>
        <v>2090.75</v>
      </c>
    </row>
    <row r="496">
      <c r="A496" s="41" t="str">
        <f>IFERROR(__xludf.DUMMYFUNCTION("""COMPUTED_VALUE"""),"Challenger")</f>
        <v>Challenger</v>
      </c>
      <c r="B496" s="41" t="str">
        <f>IFERROR(__xludf.DUMMYFUNCTION("""COMPUTED_VALUE"""),"RSC007262")</f>
        <v>RSC007262</v>
      </c>
      <c r="C496" s="41" t="str">
        <f>IFERROR(__xludf.DUMMYFUNCTION("""COMPUTED_VALUE"""),"Vvreze")</f>
        <v>Vvreze</v>
      </c>
      <c r="D496" s="41" t="str">
        <f>IFERROR(__xludf.DUMMYFUNCTION("""COMPUTED_VALUE"""),"Thunder Pups")</f>
        <v>Thunder Pups</v>
      </c>
      <c r="E496" s="136">
        <f>IFERROR(__xludf.DUMMYFUNCTION("""COMPUTED_VALUE"""),53.0)</f>
        <v>53</v>
      </c>
      <c r="F496" s="136">
        <f>IFERROR(__xludf.DUMMYFUNCTION("""COMPUTED_VALUE"""),30.0)</f>
        <v>30</v>
      </c>
      <c r="G496" s="136">
        <f>IFERROR(__xludf.DUMMYFUNCTION("""COMPUTED_VALUE"""),23.0)</f>
        <v>23</v>
      </c>
      <c r="H496" s="137">
        <f>IFERROR(__xludf.DUMMYFUNCTION("""COMPUTED_VALUE"""),0.5660377358490566)</f>
        <v>0.5660377358</v>
      </c>
      <c r="I496" s="136">
        <f>IFERROR(__xludf.DUMMYFUNCTION("""COMPUTED_VALUE"""),11.0)</f>
        <v>11</v>
      </c>
      <c r="J496" s="136">
        <f>IFERROR(__xludf.DUMMYFUNCTION("""COMPUTED_VALUE"""),18853.0)</f>
        <v>18853</v>
      </c>
      <c r="K496" s="136">
        <f>IFERROR(__xludf.DUMMYFUNCTION("""COMPUTED_VALUE"""),48.0)</f>
        <v>48</v>
      </c>
      <c r="L496" s="136">
        <f>IFERROR(__xludf.DUMMYFUNCTION("""COMPUTED_VALUE"""),31.0)</f>
        <v>31</v>
      </c>
      <c r="M496" s="136">
        <f>IFERROR(__xludf.DUMMYFUNCTION("""COMPUTED_VALUE"""),58.0)</f>
        <v>58</v>
      </c>
      <c r="N496" s="136">
        <f>IFERROR(__xludf.DUMMYFUNCTION("""COMPUTED_VALUE"""),140.0)</f>
        <v>140</v>
      </c>
      <c r="O496" s="138">
        <f>IFERROR(__xludf.DUMMYFUNCTION("""COMPUTED_VALUE"""),7.0)</f>
        <v>7</v>
      </c>
      <c r="P496" s="138">
        <f>IFERROR(__xludf.DUMMYFUNCTION("""COMPUTED_VALUE"""),3.0)</f>
        <v>3</v>
      </c>
      <c r="Q496" s="138">
        <f>IFERROR(__xludf.DUMMYFUNCTION("""COMPUTED_VALUE"""),1.0)</f>
        <v>1</v>
      </c>
      <c r="R496" s="138">
        <f>IFERROR(__xludf.DUMMYFUNCTION("""COMPUTED_VALUE"""),7.0)</f>
        <v>7</v>
      </c>
      <c r="S496" s="139">
        <f>IFERROR(__xludf.DUMMYFUNCTION("""COMPUTED_VALUE"""),389.0)</f>
        <v>389</v>
      </c>
      <c r="T496" s="140">
        <f>IFERROR(__xludf.DUMMYFUNCTION("""COMPUTED_VALUE"""),123.0)</f>
        <v>123</v>
      </c>
      <c r="U496" s="136">
        <f>IFERROR(__xludf.DUMMYFUNCTION("""COMPUTED_VALUE"""),36.0)</f>
        <v>36</v>
      </c>
      <c r="V496" s="136">
        <f>IFERROR(__xludf.DUMMYFUNCTION("""COMPUTED_VALUE"""),57.0)</f>
        <v>57</v>
      </c>
      <c r="W496" s="136">
        <f>IFERROR(__xludf.DUMMYFUNCTION("""COMPUTED_VALUE"""),66.0)</f>
        <v>66</v>
      </c>
      <c r="X496" s="136">
        <f>IFERROR(__xludf.DUMMYFUNCTION("""COMPUTED_VALUE"""),381.54716981132077)</f>
        <v>381.5471698</v>
      </c>
      <c r="Y496" s="141">
        <f>IFERROR(__xludf.DUMMYFUNCTION("""COMPUTED_VALUE"""),49.58264150943397)</f>
        <v>49.58264151</v>
      </c>
      <c r="Z496" s="141">
        <f>IFERROR(__xludf.DUMMYFUNCTION("""COMPUTED_VALUE"""),2333.6415094339623)</f>
        <v>2333.641509</v>
      </c>
    </row>
    <row r="497">
      <c r="A497" s="41" t="str">
        <f>IFERROR(__xludf.DUMMYFUNCTION("""COMPUTED_VALUE"""),"Elite")</f>
        <v>Elite</v>
      </c>
      <c r="B497" s="41" t="str">
        <f>IFERROR(__xludf.DUMMYFUNCTION("""COMPUTED_VALUE"""),"RSC007269")</f>
        <v>RSC007269</v>
      </c>
      <c r="C497" s="41" t="str">
        <f>IFERROR(__xludf.DUMMYFUNCTION("""COMPUTED_VALUE"""),"Navik")</f>
        <v>Navik</v>
      </c>
      <c r="D497" s="41" t="str">
        <f>IFERROR(__xludf.DUMMYFUNCTION("""COMPUTED_VALUE"""),"Commanders")</f>
        <v>Commanders</v>
      </c>
      <c r="E497" s="136">
        <f>IFERROR(__xludf.DUMMYFUNCTION("""COMPUTED_VALUE"""),56.0)</f>
        <v>56</v>
      </c>
      <c r="F497" s="136">
        <f>IFERROR(__xludf.DUMMYFUNCTION("""COMPUTED_VALUE"""),29.0)</f>
        <v>29</v>
      </c>
      <c r="G497" s="136">
        <f>IFERROR(__xludf.DUMMYFUNCTION("""COMPUTED_VALUE"""),27.0)</f>
        <v>27</v>
      </c>
      <c r="H497" s="137">
        <f>IFERROR(__xludf.DUMMYFUNCTION("""COMPUTED_VALUE"""),0.5178571428571429)</f>
        <v>0.5178571429</v>
      </c>
      <c r="I497" s="136">
        <f>IFERROR(__xludf.DUMMYFUNCTION("""COMPUTED_VALUE"""),7.0)</f>
        <v>7</v>
      </c>
      <c r="J497" s="136">
        <f>IFERROR(__xludf.DUMMYFUNCTION("""COMPUTED_VALUE"""),22428.0)</f>
        <v>22428</v>
      </c>
      <c r="K497" s="136">
        <f>IFERROR(__xludf.DUMMYFUNCTION("""COMPUTED_VALUE"""),56.0)</f>
        <v>56</v>
      </c>
      <c r="L497" s="136">
        <f>IFERROR(__xludf.DUMMYFUNCTION("""COMPUTED_VALUE"""),41.0)</f>
        <v>41</v>
      </c>
      <c r="M497" s="136">
        <f>IFERROR(__xludf.DUMMYFUNCTION("""COMPUTED_VALUE"""),88.0)</f>
        <v>88</v>
      </c>
      <c r="N497" s="136">
        <f>IFERROR(__xludf.DUMMYFUNCTION("""COMPUTED_VALUE"""),175.0)</f>
        <v>175</v>
      </c>
      <c r="O497" s="138">
        <f>IFERROR(__xludf.DUMMYFUNCTION("""COMPUTED_VALUE"""),14.0)</f>
        <v>14</v>
      </c>
      <c r="P497" s="138">
        <f>IFERROR(__xludf.DUMMYFUNCTION("""COMPUTED_VALUE"""),6.0)</f>
        <v>6</v>
      </c>
      <c r="Q497" s="138">
        <f>IFERROR(__xludf.DUMMYFUNCTION("""COMPUTED_VALUE"""),2.0)</f>
        <v>2</v>
      </c>
      <c r="R497" s="138">
        <f>IFERROR(__xludf.DUMMYFUNCTION("""COMPUTED_VALUE"""),11.0)</f>
        <v>11</v>
      </c>
      <c r="S497" s="139">
        <f>IFERROR(__xludf.DUMMYFUNCTION("""COMPUTED_VALUE"""),451.0)</f>
        <v>451</v>
      </c>
      <c r="T497" s="140">
        <f>IFERROR(__xludf.DUMMYFUNCTION("""COMPUTED_VALUE"""),144.0)</f>
        <v>144</v>
      </c>
      <c r="U497" s="136">
        <f>IFERROR(__xludf.DUMMYFUNCTION("""COMPUTED_VALUE"""),48.0)</f>
        <v>48</v>
      </c>
      <c r="V497" s="136">
        <f>IFERROR(__xludf.DUMMYFUNCTION("""COMPUTED_VALUE"""),64.0)</f>
        <v>64</v>
      </c>
      <c r="W497" s="136">
        <f>IFERROR(__xludf.DUMMYFUNCTION("""COMPUTED_VALUE"""),58.0)</f>
        <v>58</v>
      </c>
      <c r="X497" s="136">
        <f>IFERROR(__xludf.DUMMYFUNCTION("""COMPUTED_VALUE"""),414.19642857142856)</f>
        <v>414.1964286</v>
      </c>
      <c r="Y497" s="141">
        <f>IFERROR(__xludf.DUMMYFUNCTION("""COMPUTED_VALUE"""),49.161607142857136)</f>
        <v>49.16160714</v>
      </c>
      <c r="Z497" s="141">
        <f>IFERROR(__xludf.DUMMYFUNCTION("""COMPUTED_VALUE"""),2508.2678571428573)</f>
        <v>2508.267857</v>
      </c>
    </row>
    <row r="498">
      <c r="A498" s="41" t="str">
        <f>IFERROR(__xludf.DUMMYFUNCTION("""COMPUTED_VALUE"""),"Amateur")</f>
        <v>Amateur</v>
      </c>
      <c r="B498" s="41" t="str">
        <f>IFERROR(__xludf.DUMMYFUNCTION("""COMPUTED_VALUE"""),"RSC007270")</f>
        <v>RSC007270</v>
      </c>
      <c r="C498" s="41" t="str">
        <f>IFERROR(__xludf.DUMMYFUNCTION("""COMPUTED_VALUE"""),"D0pey killer")</f>
        <v>D0pey killer</v>
      </c>
      <c r="D498" s="41" t="str">
        <f>IFERROR(__xludf.DUMMYFUNCTION("""COMPUTED_VALUE"""),"Electric Eels")</f>
        <v>Electric Eels</v>
      </c>
      <c r="E498" s="136">
        <f>IFERROR(__xludf.DUMMYFUNCTION("""COMPUTED_VALUE"""),48.0)</f>
        <v>48</v>
      </c>
      <c r="F498" s="136">
        <f>IFERROR(__xludf.DUMMYFUNCTION("""COMPUTED_VALUE"""),24.0)</f>
        <v>24</v>
      </c>
      <c r="G498" s="136">
        <f>IFERROR(__xludf.DUMMYFUNCTION("""COMPUTED_VALUE"""),24.0)</f>
        <v>24</v>
      </c>
      <c r="H498" s="137">
        <f>IFERROR(__xludf.DUMMYFUNCTION("""COMPUTED_VALUE"""),0.5)</f>
        <v>0.5</v>
      </c>
      <c r="I498" s="136">
        <f>IFERROR(__xludf.DUMMYFUNCTION("""COMPUTED_VALUE"""),4.0)</f>
        <v>4</v>
      </c>
      <c r="J498" s="136">
        <f>IFERROR(__xludf.DUMMYFUNCTION("""COMPUTED_VALUE"""),15443.0)</f>
        <v>15443</v>
      </c>
      <c r="K498" s="136">
        <f>IFERROR(__xludf.DUMMYFUNCTION("""COMPUTED_VALUE"""),35.0)</f>
        <v>35</v>
      </c>
      <c r="L498" s="136">
        <f>IFERROR(__xludf.DUMMYFUNCTION("""COMPUTED_VALUE"""),24.0)</f>
        <v>24</v>
      </c>
      <c r="M498" s="136">
        <f>IFERROR(__xludf.DUMMYFUNCTION("""COMPUTED_VALUE"""),49.0)</f>
        <v>49</v>
      </c>
      <c r="N498" s="136">
        <f>IFERROR(__xludf.DUMMYFUNCTION("""COMPUTED_VALUE"""),118.0)</f>
        <v>118</v>
      </c>
      <c r="O498" s="138">
        <f>IFERROR(__xludf.DUMMYFUNCTION("""COMPUTED_VALUE"""),7.0)</f>
        <v>7</v>
      </c>
      <c r="P498" s="138">
        <f>IFERROR(__xludf.DUMMYFUNCTION("""COMPUTED_VALUE"""),2.0)</f>
        <v>2</v>
      </c>
      <c r="Q498" s="138">
        <f>IFERROR(__xludf.DUMMYFUNCTION("""COMPUTED_VALUE"""),2.0)</f>
        <v>2</v>
      </c>
      <c r="R498" s="138">
        <f>IFERROR(__xludf.DUMMYFUNCTION("""COMPUTED_VALUE"""),7.0)</f>
        <v>7</v>
      </c>
      <c r="S498" s="139">
        <f>IFERROR(__xludf.DUMMYFUNCTION("""COMPUTED_VALUE"""),302.0)</f>
        <v>302</v>
      </c>
      <c r="T498" s="140">
        <f>IFERROR(__xludf.DUMMYFUNCTION("""COMPUTED_VALUE"""),100.0)</f>
        <v>100</v>
      </c>
      <c r="U498" s="136">
        <f>IFERROR(__xludf.DUMMYFUNCTION("""COMPUTED_VALUE"""),34.0)</f>
        <v>34</v>
      </c>
      <c r="V498" s="136">
        <f>IFERROR(__xludf.DUMMYFUNCTION("""COMPUTED_VALUE"""),43.0)</f>
        <v>43</v>
      </c>
      <c r="W498" s="136">
        <f>IFERROR(__xludf.DUMMYFUNCTION("""COMPUTED_VALUE"""),33.0)</f>
        <v>33</v>
      </c>
      <c r="X498" s="139">
        <f>IFERROR(__xludf.DUMMYFUNCTION("""COMPUTED_VALUE"""),336.0625)</f>
        <v>336.0625</v>
      </c>
      <c r="Y498" s="141">
        <f>IFERROR(__xludf.DUMMYFUNCTION("""COMPUTED_VALUE"""),52.08833333333333)</f>
        <v>52.08833333</v>
      </c>
      <c r="Z498" s="141">
        <f>IFERROR(__xludf.DUMMYFUNCTION("""COMPUTED_VALUE"""),2036.6666666666667)</f>
        <v>2036.666667</v>
      </c>
    </row>
    <row r="499">
      <c r="A499" s="41" t="str">
        <f>IFERROR(__xludf.DUMMYFUNCTION("""COMPUTED_VALUE"""),"Challenger")</f>
        <v>Challenger</v>
      </c>
      <c r="B499" s="41" t="str">
        <f>IFERROR(__xludf.DUMMYFUNCTION("""COMPUTED_VALUE"""),"RSC007271")</f>
        <v>RSC007271</v>
      </c>
      <c r="C499" s="41" t="str">
        <f>IFERROR(__xludf.DUMMYFUNCTION("""COMPUTED_VALUE"""),"Unc Darth")</f>
        <v>Unc Darth</v>
      </c>
      <c r="D499" s="41" t="str">
        <f>IFERROR(__xludf.DUMMYFUNCTION("""COMPUTED_VALUE"""),"Warthogs
Gold Hoarders")</f>
        <v>Warthogs
Gold Hoarders</v>
      </c>
      <c r="E499" s="136">
        <f>IFERROR(__xludf.DUMMYFUNCTION("""COMPUTED_VALUE"""),18.0)</f>
        <v>18</v>
      </c>
      <c r="F499" s="136">
        <f>IFERROR(__xludf.DUMMYFUNCTION("""COMPUTED_VALUE"""),5.0)</f>
        <v>5</v>
      </c>
      <c r="G499" s="136">
        <f>IFERROR(__xludf.DUMMYFUNCTION("""COMPUTED_VALUE"""),13.0)</f>
        <v>13</v>
      </c>
      <c r="H499" s="137">
        <f>IFERROR(__xludf.DUMMYFUNCTION("""COMPUTED_VALUE"""),0.2777777777777778)</f>
        <v>0.2777777778</v>
      </c>
      <c r="I499" s="136">
        <f>IFERROR(__xludf.DUMMYFUNCTION("""COMPUTED_VALUE"""),0.0)</f>
        <v>0</v>
      </c>
      <c r="J499" s="136">
        <f>IFERROR(__xludf.DUMMYFUNCTION("""COMPUTED_VALUE"""),3945.0)</f>
        <v>3945</v>
      </c>
      <c r="K499" s="136">
        <f>IFERROR(__xludf.DUMMYFUNCTION("""COMPUTED_VALUE"""),5.0)</f>
        <v>5</v>
      </c>
      <c r="L499" s="136">
        <f>IFERROR(__xludf.DUMMYFUNCTION("""COMPUTED_VALUE"""),4.0)</f>
        <v>4</v>
      </c>
      <c r="M499" s="136">
        <f>IFERROR(__xludf.DUMMYFUNCTION("""COMPUTED_VALUE"""),16.0)</f>
        <v>16</v>
      </c>
      <c r="N499" s="136">
        <f>IFERROR(__xludf.DUMMYFUNCTION("""COMPUTED_VALUE"""),26.0)</f>
        <v>26</v>
      </c>
      <c r="O499" s="138">
        <f>IFERROR(__xludf.DUMMYFUNCTION("""COMPUTED_VALUE"""),0.0)</f>
        <v>0</v>
      </c>
      <c r="P499" s="138">
        <f>IFERROR(__xludf.DUMMYFUNCTION("""COMPUTED_VALUE"""),0.0)</f>
        <v>0</v>
      </c>
      <c r="Q499" s="138">
        <f>IFERROR(__xludf.DUMMYFUNCTION("""COMPUTED_VALUE"""),0.0)</f>
        <v>0</v>
      </c>
      <c r="R499" s="138">
        <f>IFERROR(__xludf.DUMMYFUNCTION("""COMPUTED_VALUE"""),1.0)</f>
        <v>1</v>
      </c>
      <c r="S499" s="139">
        <f>IFERROR(__xludf.DUMMYFUNCTION("""COMPUTED_VALUE"""),137.0)</f>
        <v>137</v>
      </c>
      <c r="T499" s="140">
        <f>IFERROR(__xludf.DUMMYFUNCTION("""COMPUTED_VALUE"""),52.0)</f>
        <v>52</v>
      </c>
      <c r="U499" s="136">
        <f>IFERROR(__xludf.DUMMYFUNCTION("""COMPUTED_VALUE"""),18.0)</f>
        <v>18</v>
      </c>
      <c r="V499" s="136">
        <f>IFERROR(__xludf.DUMMYFUNCTION("""COMPUTED_VALUE"""),23.0)</f>
        <v>23</v>
      </c>
      <c r="W499" s="136">
        <f>IFERROR(__xludf.DUMMYFUNCTION("""COMPUTED_VALUE"""),15.0)</f>
        <v>15</v>
      </c>
      <c r="X499" s="136">
        <f>IFERROR(__xludf.DUMMYFUNCTION("""COMPUTED_VALUE"""),308.77777777777777)</f>
        <v>308.7777778</v>
      </c>
      <c r="Y499" s="141">
        <f>IFERROR(__xludf.DUMMYFUNCTION("""COMPUTED_VALUE"""),47.36388888888889)</f>
        <v>47.36388889</v>
      </c>
      <c r="Z499" s="141">
        <f>IFERROR(__xludf.DUMMYFUNCTION("""COMPUTED_VALUE"""),1809.7777777777778)</f>
        <v>1809.777778</v>
      </c>
    </row>
    <row r="500">
      <c r="A500" s="41" t="str">
        <f>IFERROR(__xludf.DUMMYFUNCTION("""COMPUTED_VALUE"""),"Elite")</f>
        <v>Elite</v>
      </c>
      <c r="B500" s="41" t="str">
        <f>IFERROR(__xludf.DUMMYFUNCTION("""COMPUTED_VALUE"""),"RSC007280")</f>
        <v>RSC007280</v>
      </c>
      <c r="C500" s="41" t="str">
        <f>IFERROR(__xludf.DUMMYFUNCTION("""COMPUTED_VALUE"""),"BallChasinq")</f>
        <v>BallChasinq</v>
      </c>
      <c r="D500" s="41" t="str">
        <f>IFERROR(__xludf.DUMMYFUNCTION("""COMPUTED_VALUE"""),"Dik-diks")</f>
        <v>Dik-diks</v>
      </c>
      <c r="E500" s="136">
        <f>IFERROR(__xludf.DUMMYFUNCTION("""COMPUTED_VALUE"""),48.0)</f>
        <v>48</v>
      </c>
      <c r="F500" s="136">
        <f>IFERROR(__xludf.DUMMYFUNCTION("""COMPUTED_VALUE"""),22.0)</f>
        <v>22</v>
      </c>
      <c r="G500" s="136">
        <f>IFERROR(__xludf.DUMMYFUNCTION("""COMPUTED_VALUE"""),26.0)</f>
        <v>26</v>
      </c>
      <c r="H500" s="137">
        <f>IFERROR(__xludf.DUMMYFUNCTION("""COMPUTED_VALUE"""),0.4583333333333333)</f>
        <v>0.4583333333</v>
      </c>
      <c r="I500" s="136">
        <f>IFERROR(__xludf.DUMMYFUNCTION("""COMPUTED_VALUE"""),9.0)</f>
        <v>9</v>
      </c>
      <c r="J500" s="136">
        <f>IFERROR(__xludf.DUMMYFUNCTION("""COMPUTED_VALUE"""),20562.0)</f>
        <v>20562</v>
      </c>
      <c r="K500" s="136">
        <f>IFERROR(__xludf.DUMMYFUNCTION("""COMPUTED_VALUE"""),41.0)</f>
        <v>41</v>
      </c>
      <c r="L500" s="136">
        <f>IFERROR(__xludf.DUMMYFUNCTION("""COMPUTED_VALUE"""),40.0)</f>
        <v>40</v>
      </c>
      <c r="M500" s="136">
        <f>IFERROR(__xludf.DUMMYFUNCTION("""COMPUTED_VALUE"""),90.0)</f>
        <v>90</v>
      </c>
      <c r="N500" s="136">
        <f>IFERROR(__xludf.DUMMYFUNCTION("""COMPUTED_VALUE"""),135.0)</f>
        <v>135</v>
      </c>
      <c r="O500" s="138">
        <f>IFERROR(__xludf.DUMMYFUNCTION("""COMPUTED_VALUE"""),18.0)</f>
        <v>18</v>
      </c>
      <c r="P500" s="138">
        <f>IFERROR(__xludf.DUMMYFUNCTION("""COMPUTED_VALUE"""),3.0)</f>
        <v>3</v>
      </c>
      <c r="Q500" s="138">
        <f>IFERROR(__xludf.DUMMYFUNCTION("""COMPUTED_VALUE"""),2.0)</f>
        <v>2</v>
      </c>
      <c r="R500" s="138">
        <f>IFERROR(__xludf.DUMMYFUNCTION("""COMPUTED_VALUE"""),13.0)</f>
        <v>13</v>
      </c>
      <c r="S500" s="139">
        <f>IFERROR(__xludf.DUMMYFUNCTION("""COMPUTED_VALUE"""),418.0)</f>
        <v>418</v>
      </c>
      <c r="T500" s="140">
        <f>IFERROR(__xludf.DUMMYFUNCTION("""COMPUTED_VALUE"""),126.0)</f>
        <v>126</v>
      </c>
      <c r="U500" s="136">
        <f>IFERROR(__xludf.DUMMYFUNCTION("""COMPUTED_VALUE"""),39.0)</f>
        <v>39</v>
      </c>
      <c r="V500" s="136">
        <f>IFERROR(__xludf.DUMMYFUNCTION("""COMPUTED_VALUE"""),28.0)</f>
        <v>28</v>
      </c>
      <c r="W500" s="136">
        <f>IFERROR(__xludf.DUMMYFUNCTION("""COMPUTED_VALUE"""),50.0)</f>
        <v>50</v>
      </c>
      <c r="X500" s="136">
        <f>IFERROR(__xludf.DUMMYFUNCTION("""COMPUTED_VALUE"""),396.9166666666667)</f>
        <v>396.9166667</v>
      </c>
      <c r="Y500" s="141">
        <f>IFERROR(__xludf.DUMMYFUNCTION("""COMPUTED_VALUE"""),45.38395833333332)</f>
        <v>45.38395833</v>
      </c>
      <c r="Z500" s="141">
        <f>IFERROR(__xludf.DUMMYFUNCTION("""COMPUTED_VALUE"""),2361.5625)</f>
        <v>2361.5625</v>
      </c>
    </row>
    <row r="501">
      <c r="A501" s="41" t="str">
        <f>IFERROR(__xludf.DUMMYFUNCTION("""COMPUTED_VALUE"""),"Master")</f>
        <v>Master</v>
      </c>
      <c r="B501" s="41" t="str">
        <f>IFERROR(__xludf.DUMMYFUNCTION("""COMPUTED_VALUE"""),"RSC007282")</f>
        <v>RSC007282</v>
      </c>
      <c r="C501" s="41" t="str">
        <f>IFERROR(__xludf.DUMMYFUNCTION("""COMPUTED_VALUE"""),"kRs^^")</f>
        <v>kRs^^</v>
      </c>
      <c r="D501" s="41" t="str">
        <f>IFERROR(__xludf.DUMMYFUNCTION("""COMPUTED_VALUE"""),"Helicoprions")</f>
        <v>Helicoprions</v>
      </c>
      <c r="E501" s="136">
        <f>IFERROR(__xludf.DUMMYFUNCTION("""COMPUTED_VALUE"""),44.0)</f>
        <v>44</v>
      </c>
      <c r="F501" s="136">
        <f>IFERROR(__xludf.DUMMYFUNCTION("""COMPUTED_VALUE"""),24.0)</f>
        <v>24</v>
      </c>
      <c r="G501" s="136">
        <f>IFERROR(__xludf.DUMMYFUNCTION("""COMPUTED_VALUE"""),20.0)</f>
        <v>20</v>
      </c>
      <c r="H501" s="137">
        <f>IFERROR(__xludf.DUMMYFUNCTION("""COMPUTED_VALUE"""),0.5454545454545454)</f>
        <v>0.5454545455</v>
      </c>
      <c r="I501" s="136">
        <f>IFERROR(__xludf.DUMMYFUNCTION("""COMPUTED_VALUE"""),10.0)</f>
        <v>10</v>
      </c>
      <c r="J501" s="136">
        <f>IFERROR(__xludf.DUMMYFUNCTION("""COMPUTED_VALUE"""),17859.0)</f>
        <v>17859</v>
      </c>
      <c r="K501" s="136">
        <f>IFERROR(__xludf.DUMMYFUNCTION("""COMPUTED_VALUE"""),45.0)</f>
        <v>45</v>
      </c>
      <c r="L501" s="136">
        <f>IFERROR(__xludf.DUMMYFUNCTION("""COMPUTED_VALUE"""),33.0)</f>
        <v>33</v>
      </c>
      <c r="M501" s="136">
        <f>IFERROR(__xludf.DUMMYFUNCTION("""COMPUTED_VALUE"""),57.0)</f>
        <v>57</v>
      </c>
      <c r="N501" s="136">
        <f>IFERROR(__xludf.DUMMYFUNCTION("""COMPUTED_VALUE"""),146.0)</f>
        <v>146</v>
      </c>
      <c r="O501" s="138">
        <f>IFERROR(__xludf.DUMMYFUNCTION("""COMPUTED_VALUE"""),10.0)</f>
        <v>10</v>
      </c>
      <c r="P501" s="138">
        <f>IFERROR(__xludf.DUMMYFUNCTION("""COMPUTED_VALUE"""),4.0)</f>
        <v>4</v>
      </c>
      <c r="Q501" s="138">
        <f>IFERROR(__xludf.DUMMYFUNCTION("""COMPUTED_VALUE"""),2.0)</f>
        <v>2</v>
      </c>
      <c r="R501" s="138">
        <f>IFERROR(__xludf.DUMMYFUNCTION("""COMPUTED_VALUE"""),7.0)</f>
        <v>7</v>
      </c>
      <c r="S501" s="139">
        <f>IFERROR(__xludf.DUMMYFUNCTION("""COMPUTED_VALUE"""),333.0)</f>
        <v>333</v>
      </c>
      <c r="T501" s="140">
        <f>IFERROR(__xludf.DUMMYFUNCTION("""COMPUTED_VALUE"""),99.0)</f>
        <v>99</v>
      </c>
      <c r="U501" s="136">
        <f>IFERROR(__xludf.DUMMYFUNCTION("""COMPUTED_VALUE"""),25.0)</f>
        <v>25</v>
      </c>
      <c r="V501" s="136">
        <f>IFERROR(__xludf.DUMMYFUNCTION("""COMPUTED_VALUE"""),73.0)</f>
        <v>73</v>
      </c>
      <c r="W501" s="136">
        <f>IFERROR(__xludf.DUMMYFUNCTION("""COMPUTED_VALUE"""),46.0)</f>
        <v>46</v>
      </c>
      <c r="X501" s="136">
        <f>IFERROR(__xludf.DUMMYFUNCTION("""COMPUTED_VALUE"""),416.3181818181818)</f>
        <v>416.3181818</v>
      </c>
      <c r="Y501" s="141">
        <f>IFERROR(__xludf.DUMMYFUNCTION("""COMPUTED_VALUE"""),46.584772727272714)</f>
        <v>46.58477273</v>
      </c>
      <c r="Z501" s="141">
        <f>IFERROR(__xludf.DUMMYFUNCTION("""COMPUTED_VALUE"""),2536.1136363636365)</f>
        <v>2536.113636</v>
      </c>
    </row>
    <row r="502">
      <c r="A502" s="41" t="str">
        <f>IFERROR(__xludf.DUMMYFUNCTION("""COMPUTED_VALUE"""),"Challenger")</f>
        <v>Challenger</v>
      </c>
      <c r="B502" s="41" t="str">
        <f>IFERROR(__xludf.DUMMYFUNCTION("""COMPUTED_VALUE"""),"RSC007284")</f>
        <v>RSC007284</v>
      </c>
      <c r="C502" s="41" t="str">
        <f>IFERROR(__xludf.DUMMYFUNCTION("""COMPUTED_VALUE"""),"7aco104")</f>
        <v>7aco104</v>
      </c>
      <c r="D502" s="41" t="str">
        <f>IFERROR(__xludf.DUMMYFUNCTION("""COMPUTED_VALUE"""),"Meat Lovers")</f>
        <v>Meat Lovers</v>
      </c>
      <c r="E502" s="136">
        <f>IFERROR(__xludf.DUMMYFUNCTION("""COMPUTED_VALUE"""),52.0)</f>
        <v>52</v>
      </c>
      <c r="F502" s="136">
        <f>IFERROR(__xludf.DUMMYFUNCTION("""COMPUTED_VALUE"""),23.0)</f>
        <v>23</v>
      </c>
      <c r="G502" s="136">
        <f>IFERROR(__xludf.DUMMYFUNCTION("""COMPUTED_VALUE"""),29.0)</f>
        <v>29</v>
      </c>
      <c r="H502" s="137">
        <f>IFERROR(__xludf.DUMMYFUNCTION("""COMPUTED_VALUE"""),0.4423076923076923)</f>
        <v>0.4423076923</v>
      </c>
      <c r="I502" s="136">
        <f>IFERROR(__xludf.DUMMYFUNCTION("""COMPUTED_VALUE"""),13.0)</f>
        <v>13</v>
      </c>
      <c r="J502" s="136">
        <f>IFERROR(__xludf.DUMMYFUNCTION("""COMPUTED_VALUE"""),18245.0)</f>
        <v>18245</v>
      </c>
      <c r="K502" s="136">
        <f>IFERROR(__xludf.DUMMYFUNCTION("""COMPUTED_VALUE"""),51.0)</f>
        <v>51</v>
      </c>
      <c r="L502" s="136">
        <f>IFERROR(__xludf.DUMMYFUNCTION("""COMPUTED_VALUE"""),24.0)</f>
        <v>24</v>
      </c>
      <c r="M502" s="136">
        <f>IFERROR(__xludf.DUMMYFUNCTION("""COMPUTED_VALUE"""),53.0)</f>
        <v>53</v>
      </c>
      <c r="N502" s="136">
        <f>IFERROR(__xludf.DUMMYFUNCTION("""COMPUTED_VALUE"""),149.0)</f>
        <v>149</v>
      </c>
      <c r="O502" s="138">
        <f>IFERROR(__xludf.DUMMYFUNCTION("""COMPUTED_VALUE"""),5.0)</f>
        <v>5</v>
      </c>
      <c r="P502" s="138">
        <f>IFERROR(__xludf.DUMMYFUNCTION("""COMPUTED_VALUE"""),4.0)</f>
        <v>4</v>
      </c>
      <c r="Q502" s="138">
        <f>IFERROR(__xludf.DUMMYFUNCTION("""COMPUTED_VALUE"""),0.0)</f>
        <v>0</v>
      </c>
      <c r="R502" s="138">
        <f>IFERROR(__xludf.DUMMYFUNCTION("""COMPUTED_VALUE"""),5.0)</f>
        <v>5</v>
      </c>
      <c r="S502" s="139">
        <f>IFERROR(__xludf.DUMMYFUNCTION("""COMPUTED_VALUE"""),382.0)</f>
        <v>382</v>
      </c>
      <c r="T502" s="140">
        <f>IFERROR(__xludf.DUMMYFUNCTION("""COMPUTED_VALUE"""),140.0)</f>
        <v>140</v>
      </c>
      <c r="U502" s="136">
        <f>IFERROR(__xludf.DUMMYFUNCTION("""COMPUTED_VALUE"""),57.0)</f>
        <v>57</v>
      </c>
      <c r="V502" s="136">
        <f>IFERROR(__xludf.DUMMYFUNCTION("""COMPUTED_VALUE"""),52.0)</f>
        <v>52</v>
      </c>
      <c r="W502" s="136">
        <f>IFERROR(__xludf.DUMMYFUNCTION("""COMPUTED_VALUE"""),54.0)</f>
        <v>54</v>
      </c>
      <c r="X502" s="136">
        <f>IFERROR(__xludf.DUMMYFUNCTION("""COMPUTED_VALUE"""),381.1923076923077)</f>
        <v>381.1923077</v>
      </c>
      <c r="Y502" s="141">
        <f>IFERROR(__xludf.DUMMYFUNCTION("""COMPUTED_VALUE"""),44.86115384615385)</f>
        <v>44.86115385</v>
      </c>
      <c r="Z502" s="141">
        <f>IFERROR(__xludf.DUMMYFUNCTION("""COMPUTED_VALUE"""),2247.7115384615386)</f>
        <v>2247.711538</v>
      </c>
    </row>
    <row r="503">
      <c r="A503" s="41" t="str">
        <f>IFERROR(__xludf.DUMMYFUNCTION("""COMPUTED_VALUE"""),"Elite")</f>
        <v>Elite</v>
      </c>
      <c r="B503" s="41" t="str">
        <f>IFERROR(__xludf.DUMMYFUNCTION("""COMPUTED_VALUE"""),"RSC007288")</f>
        <v>RSC007288</v>
      </c>
      <c r="C503" s="41" t="str">
        <f>IFERROR(__xludf.DUMMYFUNCTION("""COMPUTED_VALUE"""),"vTheTankMan")</f>
        <v>vTheTankMan</v>
      </c>
      <c r="D503" s="41" t="str">
        <f>IFERROR(__xludf.DUMMYFUNCTION("""COMPUTED_VALUE"""),"Krakens
Sloths")</f>
        <v>Krakens
Sloths</v>
      </c>
      <c r="E503" s="136">
        <f>IFERROR(__xludf.DUMMYFUNCTION("""COMPUTED_VALUE"""),20.0)</f>
        <v>20</v>
      </c>
      <c r="F503" s="136">
        <f>IFERROR(__xludf.DUMMYFUNCTION("""COMPUTED_VALUE"""),7.0)</f>
        <v>7</v>
      </c>
      <c r="G503" s="136">
        <f>IFERROR(__xludf.DUMMYFUNCTION("""COMPUTED_VALUE"""),13.0)</f>
        <v>13</v>
      </c>
      <c r="H503" s="137">
        <f>IFERROR(__xludf.DUMMYFUNCTION("""COMPUTED_VALUE"""),0.35)</f>
        <v>0.35</v>
      </c>
      <c r="I503" s="136">
        <f>IFERROR(__xludf.DUMMYFUNCTION("""COMPUTED_VALUE"""),1.0)</f>
        <v>1</v>
      </c>
      <c r="J503" s="136">
        <f>IFERROR(__xludf.DUMMYFUNCTION("""COMPUTED_VALUE"""),6369.0)</f>
        <v>6369</v>
      </c>
      <c r="K503" s="136">
        <f>IFERROR(__xludf.DUMMYFUNCTION("""COMPUTED_VALUE"""),13.0)</f>
        <v>13</v>
      </c>
      <c r="L503" s="136">
        <f>IFERROR(__xludf.DUMMYFUNCTION("""COMPUTED_VALUE"""),11.0)</f>
        <v>11</v>
      </c>
      <c r="M503" s="136">
        <f>IFERROR(__xludf.DUMMYFUNCTION("""COMPUTED_VALUE"""),23.0)</f>
        <v>23</v>
      </c>
      <c r="N503" s="136">
        <f>IFERROR(__xludf.DUMMYFUNCTION("""COMPUTED_VALUE"""),46.0)</f>
        <v>46</v>
      </c>
      <c r="O503" s="138">
        <f>IFERROR(__xludf.DUMMYFUNCTION("""COMPUTED_VALUE"""),5.0)</f>
        <v>5</v>
      </c>
      <c r="P503" s="138">
        <f>IFERROR(__xludf.DUMMYFUNCTION("""COMPUTED_VALUE"""),0.0)</f>
        <v>0</v>
      </c>
      <c r="Q503" s="138">
        <f>IFERROR(__xludf.DUMMYFUNCTION("""COMPUTED_VALUE"""),0.0)</f>
        <v>0</v>
      </c>
      <c r="R503" s="138">
        <f>IFERROR(__xludf.DUMMYFUNCTION("""COMPUTED_VALUE"""),1.0)</f>
        <v>1</v>
      </c>
      <c r="S503" s="139">
        <f>IFERROR(__xludf.DUMMYFUNCTION("""COMPUTED_VALUE"""),177.0)</f>
        <v>177</v>
      </c>
      <c r="T503" s="140">
        <f>IFERROR(__xludf.DUMMYFUNCTION("""COMPUTED_VALUE"""),58.0)</f>
        <v>58</v>
      </c>
      <c r="U503" s="136">
        <f>IFERROR(__xludf.DUMMYFUNCTION("""COMPUTED_VALUE"""),19.0)</f>
        <v>19</v>
      </c>
      <c r="V503" s="136">
        <f>IFERROR(__xludf.DUMMYFUNCTION("""COMPUTED_VALUE"""),22.0)</f>
        <v>22</v>
      </c>
      <c r="W503" s="136">
        <f>IFERROR(__xludf.DUMMYFUNCTION("""COMPUTED_VALUE"""),32.0)</f>
        <v>32</v>
      </c>
      <c r="X503" s="136">
        <f>IFERROR(__xludf.DUMMYFUNCTION("""COMPUTED_VALUE"""),397.5)</f>
        <v>397.5</v>
      </c>
      <c r="Y503" s="141">
        <f>IFERROR(__xludf.DUMMYFUNCTION("""COMPUTED_VALUE"""),44.9315)</f>
        <v>44.9315</v>
      </c>
      <c r="Z503" s="141">
        <f>IFERROR(__xludf.DUMMYFUNCTION("""COMPUTED_VALUE"""),2362.6)</f>
        <v>2362.6</v>
      </c>
    </row>
    <row r="504">
      <c r="A504" s="41" t="str">
        <f>IFERROR(__xludf.DUMMYFUNCTION("""COMPUTED_VALUE"""),"Veteran")</f>
        <v>Veteran</v>
      </c>
      <c r="B504" s="41" t="str">
        <f>IFERROR(__xludf.DUMMYFUNCTION("""COMPUTED_VALUE"""),"RSC007293")</f>
        <v>RSC007293</v>
      </c>
      <c r="C504" s="41" t="str">
        <f>IFERROR(__xludf.DUMMYFUNCTION("""COMPUTED_VALUE"""),"YtExplixiit")</f>
        <v>YtExplixiit</v>
      </c>
      <c r="D504" s="41" t="str">
        <f>IFERROR(__xludf.DUMMYFUNCTION("""COMPUTED_VALUE"""),"Berserkers")</f>
        <v>Berserkers</v>
      </c>
      <c r="E504" s="136">
        <f>IFERROR(__xludf.DUMMYFUNCTION("""COMPUTED_VALUE"""),8.0)</f>
        <v>8</v>
      </c>
      <c r="F504" s="136">
        <f>IFERROR(__xludf.DUMMYFUNCTION("""COMPUTED_VALUE"""),3.0)</f>
        <v>3</v>
      </c>
      <c r="G504" s="136">
        <f>IFERROR(__xludf.DUMMYFUNCTION("""COMPUTED_VALUE"""),5.0)</f>
        <v>5</v>
      </c>
      <c r="H504" s="137">
        <f>IFERROR(__xludf.DUMMYFUNCTION("""COMPUTED_VALUE"""),0.375)</f>
        <v>0.375</v>
      </c>
      <c r="I504" s="136">
        <f>IFERROR(__xludf.DUMMYFUNCTION("""COMPUTED_VALUE"""),0.0)</f>
        <v>0</v>
      </c>
      <c r="J504" s="136">
        <f>IFERROR(__xludf.DUMMYFUNCTION("""COMPUTED_VALUE"""),2659.0)</f>
        <v>2659</v>
      </c>
      <c r="K504" s="136">
        <f>IFERROR(__xludf.DUMMYFUNCTION("""COMPUTED_VALUE"""),5.0)</f>
        <v>5</v>
      </c>
      <c r="L504" s="136">
        <f>IFERROR(__xludf.DUMMYFUNCTION("""COMPUTED_VALUE"""),9.0)</f>
        <v>9</v>
      </c>
      <c r="M504" s="136">
        <f>IFERROR(__xludf.DUMMYFUNCTION("""COMPUTED_VALUE"""),7.0)</f>
        <v>7</v>
      </c>
      <c r="N504" s="136">
        <f>IFERROR(__xludf.DUMMYFUNCTION("""COMPUTED_VALUE"""),19.0)</f>
        <v>19</v>
      </c>
      <c r="O504" s="138">
        <f>IFERROR(__xludf.DUMMYFUNCTION("""COMPUTED_VALUE"""),1.0)</f>
        <v>1</v>
      </c>
      <c r="P504" s="138">
        <f>IFERROR(__xludf.DUMMYFUNCTION("""COMPUTED_VALUE"""),0.0)</f>
        <v>0</v>
      </c>
      <c r="Q504" s="138">
        <f>IFERROR(__xludf.DUMMYFUNCTION("""COMPUTED_VALUE"""),1.0)</f>
        <v>1</v>
      </c>
      <c r="R504" s="138">
        <f>IFERROR(__xludf.DUMMYFUNCTION("""COMPUTED_VALUE"""),1.0)</f>
        <v>1</v>
      </c>
      <c r="S504" s="139">
        <f>IFERROR(__xludf.DUMMYFUNCTION("""COMPUTED_VALUE"""),75.0)</f>
        <v>75</v>
      </c>
      <c r="T504" s="140">
        <f>IFERROR(__xludf.DUMMYFUNCTION("""COMPUTED_VALUE"""),29.0)</f>
        <v>29</v>
      </c>
      <c r="U504" s="136">
        <f>IFERROR(__xludf.DUMMYFUNCTION("""COMPUTED_VALUE"""),12.0)</f>
        <v>12</v>
      </c>
      <c r="V504" s="136">
        <f>IFERROR(__xludf.DUMMYFUNCTION("""COMPUTED_VALUE"""),9.0)</f>
        <v>9</v>
      </c>
      <c r="W504" s="136">
        <f>IFERROR(__xludf.DUMMYFUNCTION("""COMPUTED_VALUE"""),10.0)</f>
        <v>10</v>
      </c>
      <c r="X504" s="136"/>
      <c r="Y504" s="41"/>
      <c r="Z504" s="41"/>
    </row>
    <row r="505">
      <c r="A505" s="41" t="str">
        <f>IFERROR(__xludf.DUMMYFUNCTION("""COMPUTED_VALUE"""),"Rival")</f>
        <v>Rival</v>
      </c>
      <c r="B505" s="41" t="str">
        <f>IFERROR(__xludf.DUMMYFUNCTION("""COMPUTED_VALUE"""),"RSC007294")</f>
        <v>RSC007294</v>
      </c>
      <c r="C505" s="41" t="str">
        <f>IFERROR(__xludf.DUMMYFUNCTION("""COMPUTED_VALUE"""),"CF0UR_")</f>
        <v>CF0UR_</v>
      </c>
      <c r="D505" s="41" t="str">
        <f>IFERROR(__xludf.DUMMYFUNCTION("""COMPUTED_VALUE"""),"Dracos")</f>
        <v>Dracos</v>
      </c>
      <c r="E505" s="136">
        <f>IFERROR(__xludf.DUMMYFUNCTION("""COMPUTED_VALUE"""),24.0)</f>
        <v>24</v>
      </c>
      <c r="F505" s="136">
        <f>IFERROR(__xludf.DUMMYFUNCTION("""COMPUTED_VALUE"""),11.0)</f>
        <v>11</v>
      </c>
      <c r="G505" s="136">
        <f>IFERROR(__xludf.DUMMYFUNCTION("""COMPUTED_VALUE"""),13.0)</f>
        <v>13</v>
      </c>
      <c r="H505" s="137">
        <f>IFERROR(__xludf.DUMMYFUNCTION("""COMPUTED_VALUE"""),0.4583333333333333)</f>
        <v>0.4583333333</v>
      </c>
      <c r="I505" s="136">
        <f>IFERROR(__xludf.DUMMYFUNCTION("""COMPUTED_VALUE"""),3.0)</f>
        <v>3</v>
      </c>
      <c r="J505" s="136">
        <f>IFERROR(__xludf.DUMMYFUNCTION("""COMPUTED_VALUE"""),6738.0)</f>
        <v>6738</v>
      </c>
      <c r="K505" s="136">
        <f>IFERROR(__xludf.DUMMYFUNCTION("""COMPUTED_VALUE"""),12.0)</f>
        <v>12</v>
      </c>
      <c r="L505" s="136">
        <f>IFERROR(__xludf.DUMMYFUNCTION("""COMPUTED_VALUE"""),11.0)</f>
        <v>11</v>
      </c>
      <c r="M505" s="136">
        <f>IFERROR(__xludf.DUMMYFUNCTION("""COMPUTED_VALUE"""),24.0)</f>
        <v>24</v>
      </c>
      <c r="N505" s="136">
        <f>IFERROR(__xludf.DUMMYFUNCTION("""COMPUTED_VALUE"""),50.0)</f>
        <v>50</v>
      </c>
      <c r="O505" s="138">
        <f>IFERROR(__xludf.DUMMYFUNCTION("""COMPUTED_VALUE"""),1.0)</f>
        <v>1</v>
      </c>
      <c r="P505" s="138">
        <f>IFERROR(__xludf.DUMMYFUNCTION("""COMPUTED_VALUE"""),0.0)</f>
        <v>0</v>
      </c>
      <c r="Q505" s="138">
        <f>IFERROR(__xludf.DUMMYFUNCTION("""COMPUTED_VALUE"""),0.0)</f>
        <v>0</v>
      </c>
      <c r="R505" s="138">
        <f>IFERROR(__xludf.DUMMYFUNCTION("""COMPUTED_VALUE"""),3.0)</f>
        <v>3</v>
      </c>
      <c r="S505" s="139">
        <f>IFERROR(__xludf.DUMMYFUNCTION("""COMPUTED_VALUE"""),174.0)</f>
        <v>174</v>
      </c>
      <c r="T505" s="140">
        <f>IFERROR(__xludf.DUMMYFUNCTION("""COMPUTED_VALUE"""),55.0)</f>
        <v>55</v>
      </c>
      <c r="U505" s="136">
        <f>IFERROR(__xludf.DUMMYFUNCTION("""COMPUTED_VALUE"""),24.0)</f>
        <v>24</v>
      </c>
      <c r="V505" s="136">
        <f>IFERROR(__xludf.DUMMYFUNCTION("""COMPUTED_VALUE"""),14.0)</f>
        <v>14</v>
      </c>
      <c r="W505" s="136">
        <f>IFERROR(__xludf.DUMMYFUNCTION("""COMPUTED_VALUE"""),20.0)</f>
        <v>20</v>
      </c>
      <c r="X505" s="136">
        <f>IFERROR(__xludf.DUMMYFUNCTION("""COMPUTED_VALUE"""),322.75)</f>
        <v>322.75</v>
      </c>
      <c r="Y505" s="141">
        <f>IFERROR(__xludf.DUMMYFUNCTION("""COMPUTED_VALUE"""),51.329999999999984)</f>
        <v>51.33</v>
      </c>
      <c r="Z505" s="141">
        <f>IFERROR(__xludf.DUMMYFUNCTION("""COMPUTED_VALUE"""),1854.625)</f>
        <v>1854.625</v>
      </c>
    </row>
    <row r="506">
      <c r="A506" s="41" t="str">
        <f>IFERROR(__xludf.DUMMYFUNCTION("""COMPUTED_VALUE"""),"Master")</f>
        <v>Master</v>
      </c>
      <c r="B506" s="41" t="str">
        <f>IFERROR(__xludf.DUMMYFUNCTION("""COMPUTED_VALUE"""),"RSC007295")</f>
        <v>RSC007295</v>
      </c>
      <c r="C506" s="41" t="str">
        <f>IFERROR(__xludf.DUMMYFUNCTION("""COMPUTED_VALUE"""),"TheLegendaryChance")</f>
        <v>TheLegendaryChance</v>
      </c>
      <c r="D506" s="41" t="str">
        <f>IFERROR(__xludf.DUMMYFUNCTION("""COMPUTED_VALUE"""),"Battle Masters")</f>
        <v>Battle Masters</v>
      </c>
      <c r="E506" s="136">
        <f>IFERROR(__xludf.DUMMYFUNCTION("""COMPUTED_VALUE"""),38.0)</f>
        <v>38</v>
      </c>
      <c r="F506" s="136">
        <f>IFERROR(__xludf.DUMMYFUNCTION("""COMPUTED_VALUE"""),10.0)</f>
        <v>10</v>
      </c>
      <c r="G506" s="136">
        <f>IFERROR(__xludf.DUMMYFUNCTION("""COMPUTED_VALUE"""),28.0)</f>
        <v>28</v>
      </c>
      <c r="H506" s="137">
        <f>IFERROR(__xludf.DUMMYFUNCTION("""COMPUTED_VALUE"""),0.2631578947368421)</f>
        <v>0.2631578947</v>
      </c>
      <c r="I506" s="136">
        <f>IFERROR(__xludf.DUMMYFUNCTION("""COMPUTED_VALUE"""),2.0)</f>
        <v>2</v>
      </c>
      <c r="J506" s="136">
        <f>IFERROR(__xludf.DUMMYFUNCTION("""COMPUTED_VALUE"""),12919.0)</f>
        <v>12919</v>
      </c>
      <c r="K506" s="136">
        <f>IFERROR(__xludf.DUMMYFUNCTION("""COMPUTED_VALUE"""),25.0)</f>
        <v>25</v>
      </c>
      <c r="L506" s="136">
        <f>IFERROR(__xludf.DUMMYFUNCTION("""COMPUTED_VALUE"""),17.0)</f>
        <v>17</v>
      </c>
      <c r="M506" s="136">
        <f>IFERROR(__xludf.DUMMYFUNCTION("""COMPUTED_VALUE"""),63.0)</f>
        <v>63</v>
      </c>
      <c r="N506" s="136">
        <f>IFERROR(__xludf.DUMMYFUNCTION("""COMPUTED_VALUE"""),93.0)</f>
        <v>93</v>
      </c>
      <c r="O506" s="138">
        <f>IFERROR(__xludf.DUMMYFUNCTION("""COMPUTED_VALUE"""),6.0)</f>
        <v>6</v>
      </c>
      <c r="P506" s="138">
        <f>IFERROR(__xludf.DUMMYFUNCTION("""COMPUTED_VALUE"""),0.0)</f>
        <v>0</v>
      </c>
      <c r="Q506" s="138">
        <f>IFERROR(__xludf.DUMMYFUNCTION("""COMPUTED_VALUE"""),0.0)</f>
        <v>0</v>
      </c>
      <c r="R506" s="138">
        <f>IFERROR(__xludf.DUMMYFUNCTION("""COMPUTED_VALUE"""),13.0)</f>
        <v>13</v>
      </c>
      <c r="S506" s="139">
        <f>IFERROR(__xludf.DUMMYFUNCTION("""COMPUTED_VALUE"""),323.0)</f>
        <v>323</v>
      </c>
      <c r="T506" s="140">
        <f>IFERROR(__xludf.DUMMYFUNCTION("""COMPUTED_VALUE"""),102.0)</f>
        <v>102</v>
      </c>
      <c r="U506" s="136">
        <f>IFERROR(__xludf.DUMMYFUNCTION("""COMPUTED_VALUE"""),31.0)</f>
        <v>31</v>
      </c>
      <c r="V506" s="136">
        <f>IFERROR(__xludf.DUMMYFUNCTION("""COMPUTED_VALUE"""),66.0)</f>
        <v>66</v>
      </c>
      <c r="W506" s="136">
        <f>IFERROR(__xludf.DUMMYFUNCTION("""COMPUTED_VALUE"""),40.0)</f>
        <v>40</v>
      </c>
      <c r="X506" s="136">
        <f>IFERROR(__xludf.DUMMYFUNCTION("""COMPUTED_VALUE"""),477.5)</f>
        <v>477.5</v>
      </c>
      <c r="Y506" s="141">
        <f>IFERROR(__xludf.DUMMYFUNCTION("""COMPUTED_VALUE"""),44.93264705882353)</f>
        <v>44.93264706</v>
      </c>
      <c r="Z506" s="141">
        <f>IFERROR(__xludf.DUMMYFUNCTION("""COMPUTED_VALUE"""),2771.4411764705883)</f>
        <v>2771.441176</v>
      </c>
    </row>
    <row r="507">
      <c r="A507" s="41" t="str">
        <f>IFERROR(__xludf.DUMMYFUNCTION("""COMPUTED_VALUE"""),"Challenger")</f>
        <v>Challenger</v>
      </c>
      <c r="B507" s="41" t="str">
        <f>IFERROR(__xludf.DUMMYFUNCTION("""COMPUTED_VALUE"""),"RSC007297")</f>
        <v>RSC007297</v>
      </c>
      <c r="C507" s="41" t="str">
        <f>IFERROR(__xludf.DUMMYFUNCTION("""COMPUTED_VALUE"""),"St-_-Marc")</f>
        <v>St-_-Marc</v>
      </c>
      <c r="D507" s="41" t="str">
        <f>IFERROR(__xludf.DUMMYFUNCTION("""COMPUTED_VALUE"""),"Warthogs")</f>
        <v>Warthogs</v>
      </c>
      <c r="E507" s="136">
        <f>IFERROR(__xludf.DUMMYFUNCTION("""COMPUTED_VALUE"""),53.0)</f>
        <v>53</v>
      </c>
      <c r="F507" s="136">
        <f>IFERROR(__xludf.DUMMYFUNCTION("""COMPUTED_VALUE"""),26.0)</f>
        <v>26</v>
      </c>
      <c r="G507" s="136">
        <f>IFERROR(__xludf.DUMMYFUNCTION("""COMPUTED_VALUE"""),27.0)</f>
        <v>27</v>
      </c>
      <c r="H507" s="137">
        <f>IFERROR(__xludf.DUMMYFUNCTION("""COMPUTED_VALUE"""),0.49056603773584906)</f>
        <v>0.4905660377</v>
      </c>
      <c r="I507" s="136">
        <f>IFERROR(__xludf.DUMMYFUNCTION("""COMPUTED_VALUE"""),10.0)</f>
        <v>10</v>
      </c>
      <c r="J507" s="136">
        <f>IFERROR(__xludf.DUMMYFUNCTION("""COMPUTED_VALUE"""),18640.0)</f>
        <v>18640</v>
      </c>
      <c r="K507" s="136">
        <f>IFERROR(__xludf.DUMMYFUNCTION("""COMPUTED_VALUE"""),47.0)</f>
        <v>47</v>
      </c>
      <c r="L507" s="136">
        <f>IFERROR(__xludf.DUMMYFUNCTION("""COMPUTED_VALUE"""),23.0)</f>
        <v>23</v>
      </c>
      <c r="M507" s="136">
        <f>IFERROR(__xludf.DUMMYFUNCTION("""COMPUTED_VALUE"""),57.0)</f>
        <v>57</v>
      </c>
      <c r="N507" s="136">
        <f>IFERROR(__xludf.DUMMYFUNCTION("""COMPUTED_VALUE"""),148.0)</f>
        <v>148</v>
      </c>
      <c r="O507" s="138">
        <f>IFERROR(__xludf.DUMMYFUNCTION("""COMPUTED_VALUE"""),7.0)</f>
        <v>7</v>
      </c>
      <c r="P507" s="138">
        <f>IFERROR(__xludf.DUMMYFUNCTION("""COMPUTED_VALUE"""),5.0)</f>
        <v>5</v>
      </c>
      <c r="Q507" s="138">
        <f>IFERROR(__xludf.DUMMYFUNCTION("""COMPUTED_VALUE"""),1.0)</f>
        <v>1</v>
      </c>
      <c r="R507" s="138">
        <f>IFERROR(__xludf.DUMMYFUNCTION("""COMPUTED_VALUE"""),4.0)</f>
        <v>4</v>
      </c>
      <c r="S507" s="139">
        <f>IFERROR(__xludf.DUMMYFUNCTION("""COMPUTED_VALUE"""),427.0)</f>
        <v>427</v>
      </c>
      <c r="T507" s="140">
        <f>IFERROR(__xludf.DUMMYFUNCTION("""COMPUTED_VALUE"""),130.0)</f>
        <v>130</v>
      </c>
      <c r="U507" s="136">
        <f>IFERROR(__xludf.DUMMYFUNCTION("""COMPUTED_VALUE"""),30.0)</f>
        <v>30</v>
      </c>
      <c r="V507" s="136">
        <f>IFERROR(__xludf.DUMMYFUNCTION("""COMPUTED_VALUE"""),39.0)</f>
        <v>39</v>
      </c>
      <c r="W507" s="136">
        <f>IFERROR(__xludf.DUMMYFUNCTION("""COMPUTED_VALUE"""),61.0)</f>
        <v>61</v>
      </c>
      <c r="X507" s="136">
        <f>IFERROR(__xludf.DUMMYFUNCTION("""COMPUTED_VALUE"""),354.3018867924528)</f>
        <v>354.3018868</v>
      </c>
      <c r="Y507" s="141">
        <f>IFERROR(__xludf.DUMMYFUNCTION("""COMPUTED_VALUE"""),50.80471698113207)</f>
        <v>50.80471698</v>
      </c>
      <c r="Z507" s="141">
        <f>IFERROR(__xludf.DUMMYFUNCTION("""COMPUTED_VALUE"""),2194.735849056604)</f>
        <v>2194.735849</v>
      </c>
    </row>
    <row r="508">
      <c r="A508" s="41" t="str">
        <f>IFERROR(__xludf.DUMMYFUNCTION("""COMPUTED_VALUE"""),"Rival")</f>
        <v>Rival</v>
      </c>
      <c r="B508" s="41" t="str">
        <f>IFERROR(__xludf.DUMMYFUNCTION("""COMPUTED_VALUE"""),"RSC007307")</f>
        <v>RSC007307</v>
      </c>
      <c r="C508" s="41" t="str">
        <f>IFERROR(__xludf.DUMMYFUNCTION("""COMPUTED_VALUE"""),"Jmh187-")</f>
        <v>Jmh187-</v>
      </c>
      <c r="D508" s="41" t="str">
        <f>IFERROR(__xludf.DUMMYFUNCTION("""COMPUTED_VALUE"""),"Nightfall")</f>
        <v>Nightfall</v>
      </c>
      <c r="E508" s="136">
        <f>IFERROR(__xludf.DUMMYFUNCTION("""COMPUTED_VALUE"""),31.0)</f>
        <v>31</v>
      </c>
      <c r="F508" s="136">
        <f>IFERROR(__xludf.DUMMYFUNCTION("""COMPUTED_VALUE"""),13.0)</f>
        <v>13</v>
      </c>
      <c r="G508" s="136">
        <f>IFERROR(__xludf.DUMMYFUNCTION("""COMPUTED_VALUE"""),18.0)</f>
        <v>18</v>
      </c>
      <c r="H508" s="137">
        <f>IFERROR(__xludf.DUMMYFUNCTION("""COMPUTED_VALUE"""),0.41935483870967744)</f>
        <v>0.4193548387</v>
      </c>
      <c r="I508" s="136">
        <f>IFERROR(__xludf.DUMMYFUNCTION("""COMPUTED_VALUE"""),2.0)</f>
        <v>2</v>
      </c>
      <c r="J508" s="136">
        <f>IFERROR(__xludf.DUMMYFUNCTION("""COMPUTED_VALUE"""),10551.0)</f>
        <v>10551</v>
      </c>
      <c r="K508" s="136">
        <f>IFERROR(__xludf.DUMMYFUNCTION("""COMPUTED_VALUE"""),26.0)</f>
        <v>26</v>
      </c>
      <c r="L508" s="136">
        <f>IFERROR(__xludf.DUMMYFUNCTION("""COMPUTED_VALUE"""),18.0)</f>
        <v>18</v>
      </c>
      <c r="M508" s="136">
        <f>IFERROR(__xludf.DUMMYFUNCTION("""COMPUTED_VALUE"""),35.0)</f>
        <v>35</v>
      </c>
      <c r="N508" s="136">
        <f>IFERROR(__xludf.DUMMYFUNCTION("""COMPUTED_VALUE"""),90.0)</f>
        <v>90</v>
      </c>
      <c r="O508" s="138">
        <f>IFERROR(__xludf.DUMMYFUNCTION("""COMPUTED_VALUE"""),7.0)</f>
        <v>7</v>
      </c>
      <c r="P508" s="138">
        <f>IFERROR(__xludf.DUMMYFUNCTION("""COMPUTED_VALUE"""),1.0)</f>
        <v>1</v>
      </c>
      <c r="Q508" s="138">
        <f>IFERROR(__xludf.DUMMYFUNCTION("""COMPUTED_VALUE"""),0.0)</f>
        <v>0</v>
      </c>
      <c r="R508" s="138">
        <f>IFERROR(__xludf.DUMMYFUNCTION("""COMPUTED_VALUE"""),5.0)</f>
        <v>5</v>
      </c>
      <c r="S508" s="139">
        <f>IFERROR(__xludf.DUMMYFUNCTION("""COMPUTED_VALUE"""),233.0)</f>
        <v>233</v>
      </c>
      <c r="T508" s="140">
        <f>IFERROR(__xludf.DUMMYFUNCTION("""COMPUTED_VALUE"""),78.0)</f>
        <v>78</v>
      </c>
      <c r="U508" s="136">
        <f>IFERROR(__xludf.DUMMYFUNCTION("""COMPUTED_VALUE"""),21.0)</f>
        <v>21</v>
      </c>
      <c r="V508" s="136">
        <f>IFERROR(__xludf.DUMMYFUNCTION("""COMPUTED_VALUE"""),38.0)</f>
        <v>38</v>
      </c>
      <c r="W508" s="136">
        <f>IFERROR(__xludf.DUMMYFUNCTION("""COMPUTED_VALUE"""),31.0)</f>
        <v>31</v>
      </c>
      <c r="X508" s="136">
        <f>IFERROR(__xludf.DUMMYFUNCTION("""COMPUTED_VALUE"""),419.4193548387097)</f>
        <v>419.4193548</v>
      </c>
      <c r="Y508" s="141">
        <f>IFERROR(__xludf.DUMMYFUNCTION("""COMPUTED_VALUE"""),49.18032258064516)</f>
        <v>49.18032258</v>
      </c>
      <c r="Z508" s="141">
        <f>IFERROR(__xludf.DUMMYFUNCTION("""COMPUTED_VALUE"""),2530.2258064516127)</f>
        <v>2530.225806</v>
      </c>
    </row>
    <row r="509">
      <c r="A509" s="41" t="str">
        <f>IFERROR(__xludf.DUMMYFUNCTION("""COMPUTED_VALUE"""),"Rival")</f>
        <v>Rival</v>
      </c>
      <c r="B509" s="41" t="str">
        <f>IFERROR(__xludf.DUMMYFUNCTION("""COMPUTED_VALUE"""),"RSC007317")</f>
        <v>RSC007317</v>
      </c>
      <c r="C509" s="41" t="str">
        <f>IFERROR(__xludf.DUMMYFUNCTION("""COMPUTED_VALUE"""),"TheDarkHero77")</f>
        <v>TheDarkHero77</v>
      </c>
      <c r="D509" s="41" t="str">
        <f>IFERROR(__xludf.DUMMYFUNCTION("""COMPUTED_VALUE"""),"Tax Evaders
Asiago Arsonists")</f>
        <v>Tax Evaders
Asiago Arsonists</v>
      </c>
      <c r="E509" s="136">
        <f>IFERROR(__xludf.DUMMYFUNCTION("""COMPUTED_VALUE"""),52.0)</f>
        <v>52</v>
      </c>
      <c r="F509" s="136">
        <f>IFERROR(__xludf.DUMMYFUNCTION("""COMPUTED_VALUE"""),30.0)</f>
        <v>30</v>
      </c>
      <c r="G509" s="136">
        <f>IFERROR(__xludf.DUMMYFUNCTION("""COMPUTED_VALUE"""),22.0)</f>
        <v>22</v>
      </c>
      <c r="H509" s="137">
        <f>IFERROR(__xludf.DUMMYFUNCTION("""COMPUTED_VALUE"""),0.5769230769230769)</f>
        <v>0.5769230769</v>
      </c>
      <c r="I509" s="136">
        <f>IFERROR(__xludf.DUMMYFUNCTION("""COMPUTED_VALUE"""),17.0)</f>
        <v>17</v>
      </c>
      <c r="J509" s="136">
        <f>IFERROR(__xludf.DUMMYFUNCTION("""COMPUTED_VALUE"""),22773.0)</f>
        <v>22773</v>
      </c>
      <c r="K509" s="136">
        <f>IFERROR(__xludf.DUMMYFUNCTION("""COMPUTED_VALUE"""),57.0)</f>
        <v>57</v>
      </c>
      <c r="L509" s="136">
        <f>IFERROR(__xludf.DUMMYFUNCTION("""COMPUTED_VALUE"""),35.0)</f>
        <v>35</v>
      </c>
      <c r="M509" s="136">
        <f>IFERROR(__xludf.DUMMYFUNCTION("""COMPUTED_VALUE"""),71.0)</f>
        <v>71</v>
      </c>
      <c r="N509" s="136">
        <f>IFERROR(__xludf.DUMMYFUNCTION("""COMPUTED_VALUE"""),156.0)</f>
        <v>156</v>
      </c>
      <c r="O509" s="138">
        <f>IFERROR(__xludf.DUMMYFUNCTION("""COMPUTED_VALUE"""),11.0)</f>
        <v>11</v>
      </c>
      <c r="P509" s="138">
        <f>IFERROR(__xludf.DUMMYFUNCTION("""COMPUTED_VALUE"""),6.0)</f>
        <v>6</v>
      </c>
      <c r="Q509" s="138">
        <f>IFERROR(__xludf.DUMMYFUNCTION("""COMPUTED_VALUE"""),1.0)</f>
        <v>1</v>
      </c>
      <c r="R509" s="138">
        <f>IFERROR(__xludf.DUMMYFUNCTION("""COMPUTED_VALUE"""),8.0)</f>
        <v>8</v>
      </c>
      <c r="S509" s="139">
        <f>IFERROR(__xludf.DUMMYFUNCTION("""COMPUTED_VALUE"""),359.0)</f>
        <v>359</v>
      </c>
      <c r="T509" s="140">
        <f>IFERROR(__xludf.DUMMYFUNCTION("""COMPUTED_VALUE"""),105.0)</f>
        <v>105</v>
      </c>
      <c r="U509" s="136">
        <f>IFERROR(__xludf.DUMMYFUNCTION("""COMPUTED_VALUE"""),32.0)</f>
        <v>32</v>
      </c>
      <c r="V509" s="136">
        <f>IFERROR(__xludf.DUMMYFUNCTION("""COMPUTED_VALUE"""),49.0)</f>
        <v>49</v>
      </c>
      <c r="W509" s="136">
        <f>IFERROR(__xludf.DUMMYFUNCTION("""COMPUTED_VALUE"""),39.0)</f>
        <v>39</v>
      </c>
      <c r="X509" s="136">
        <f>IFERROR(__xludf.DUMMYFUNCTION("""COMPUTED_VALUE"""),444.1923076923077)</f>
        <v>444.1923077</v>
      </c>
      <c r="Y509" s="141">
        <f>IFERROR(__xludf.DUMMYFUNCTION("""COMPUTED_VALUE"""),52.98115384615383)</f>
        <v>52.98115385</v>
      </c>
      <c r="Z509" s="141">
        <f>IFERROR(__xludf.DUMMYFUNCTION("""COMPUTED_VALUE"""),2768.423076923077)</f>
        <v>2768.423077</v>
      </c>
    </row>
    <row r="510">
      <c r="A510" s="41" t="str">
        <f>IFERROR(__xludf.DUMMYFUNCTION("""COMPUTED_VALUE"""),"Elite")</f>
        <v>Elite</v>
      </c>
      <c r="B510" s="41" t="str">
        <f>IFERROR(__xludf.DUMMYFUNCTION("""COMPUTED_VALUE"""),"RSC007327")</f>
        <v>RSC007327</v>
      </c>
      <c r="C510" s="41" t="str">
        <f>IFERROR(__xludf.DUMMYFUNCTION("""COMPUTED_VALUE"""),"User-0ca0854f3f")</f>
        <v>User-0ca0854f3f</v>
      </c>
      <c r="D510" s="41" t="str">
        <f>IFERROR(__xludf.DUMMYFUNCTION("""COMPUTED_VALUE"""),"Black-Holes")</f>
        <v>Black-Holes</v>
      </c>
      <c r="E510" s="136">
        <f>IFERROR(__xludf.DUMMYFUNCTION("""COMPUTED_VALUE"""),4.0)</f>
        <v>4</v>
      </c>
      <c r="F510" s="136">
        <f>IFERROR(__xludf.DUMMYFUNCTION("""COMPUTED_VALUE"""),3.0)</f>
        <v>3</v>
      </c>
      <c r="G510" s="136">
        <f>IFERROR(__xludf.DUMMYFUNCTION("""COMPUTED_VALUE"""),1.0)</f>
        <v>1</v>
      </c>
      <c r="H510" s="137">
        <f>IFERROR(__xludf.DUMMYFUNCTION("""COMPUTED_VALUE"""),0.75)</f>
        <v>0.75</v>
      </c>
      <c r="I510" s="136">
        <f>IFERROR(__xludf.DUMMYFUNCTION("""COMPUTED_VALUE"""),0.0)</f>
        <v>0</v>
      </c>
      <c r="J510" s="136">
        <f>IFERROR(__xludf.DUMMYFUNCTION("""COMPUTED_VALUE"""),1094.0)</f>
        <v>1094</v>
      </c>
      <c r="K510" s="136">
        <f>IFERROR(__xludf.DUMMYFUNCTION("""COMPUTED_VALUE"""),3.0)</f>
        <v>3</v>
      </c>
      <c r="L510" s="136">
        <f>IFERROR(__xludf.DUMMYFUNCTION("""COMPUTED_VALUE"""),2.0)</f>
        <v>2</v>
      </c>
      <c r="M510" s="136">
        <f>IFERROR(__xludf.DUMMYFUNCTION("""COMPUTED_VALUE"""),2.0)</f>
        <v>2</v>
      </c>
      <c r="N510" s="136">
        <f>IFERROR(__xludf.DUMMYFUNCTION("""COMPUTED_VALUE"""),7.0)</f>
        <v>7</v>
      </c>
      <c r="O510" s="138">
        <f>IFERROR(__xludf.DUMMYFUNCTION("""COMPUTED_VALUE"""),0.0)</f>
        <v>0</v>
      </c>
      <c r="P510" s="138">
        <f>IFERROR(__xludf.DUMMYFUNCTION("""COMPUTED_VALUE"""),0.0)</f>
        <v>0</v>
      </c>
      <c r="Q510" s="138">
        <f>IFERROR(__xludf.DUMMYFUNCTION("""COMPUTED_VALUE"""),0.0)</f>
        <v>0</v>
      </c>
      <c r="R510" s="138">
        <f>IFERROR(__xludf.DUMMYFUNCTION("""COMPUTED_VALUE"""),0.0)</f>
        <v>0</v>
      </c>
      <c r="S510" s="139">
        <f>IFERROR(__xludf.DUMMYFUNCTION("""COMPUTED_VALUE"""),27.0)</f>
        <v>27</v>
      </c>
      <c r="T510" s="140">
        <f>IFERROR(__xludf.DUMMYFUNCTION("""COMPUTED_VALUE"""),10.0)</f>
        <v>10</v>
      </c>
      <c r="U510" s="136">
        <f>IFERROR(__xludf.DUMMYFUNCTION("""COMPUTED_VALUE"""),4.0)</f>
        <v>4</v>
      </c>
      <c r="V510" s="136">
        <f>IFERROR(__xludf.DUMMYFUNCTION("""COMPUTED_VALUE"""),4.0)</f>
        <v>4</v>
      </c>
      <c r="W510" s="136">
        <f>IFERROR(__xludf.DUMMYFUNCTION("""COMPUTED_VALUE"""),1.0)</f>
        <v>1</v>
      </c>
      <c r="X510" s="136">
        <f>IFERROR(__xludf.DUMMYFUNCTION("""COMPUTED_VALUE"""),425.5)</f>
        <v>425.5</v>
      </c>
      <c r="Y510" s="141">
        <f>IFERROR(__xludf.DUMMYFUNCTION("""COMPUTED_VALUE"""),50.432500000000005)</f>
        <v>50.4325</v>
      </c>
      <c r="Z510" s="141">
        <f>IFERROR(__xludf.DUMMYFUNCTION("""COMPUTED_VALUE"""),2910.5)</f>
        <v>2910.5</v>
      </c>
    </row>
    <row r="511">
      <c r="A511" s="41" t="str">
        <f>IFERROR(__xludf.DUMMYFUNCTION("""COMPUTED_VALUE"""),"Premier")</f>
        <v>Premier</v>
      </c>
      <c r="B511" s="41" t="str">
        <f>IFERROR(__xludf.DUMMYFUNCTION("""COMPUTED_VALUE"""),"RSC007330")</f>
        <v>RSC007330</v>
      </c>
      <c r="C511" s="41" t="str">
        <f>IFERROR(__xludf.DUMMYFUNCTION("""COMPUTED_VALUE"""),"Spooky")</f>
        <v>Spooky</v>
      </c>
      <c r="D511" s="41" t="str">
        <f>IFERROR(__xludf.DUMMYFUNCTION("""COMPUTED_VALUE"""),"Capybaras")</f>
        <v>Capybaras</v>
      </c>
      <c r="E511" s="136">
        <f>IFERROR(__xludf.DUMMYFUNCTION("""COMPUTED_VALUE"""),10.0)</f>
        <v>10</v>
      </c>
      <c r="F511" s="136">
        <f>IFERROR(__xludf.DUMMYFUNCTION("""COMPUTED_VALUE"""),6.0)</f>
        <v>6</v>
      </c>
      <c r="G511" s="136">
        <f>IFERROR(__xludf.DUMMYFUNCTION("""COMPUTED_VALUE"""),4.0)</f>
        <v>4</v>
      </c>
      <c r="H511" s="137">
        <f>IFERROR(__xludf.DUMMYFUNCTION("""COMPUTED_VALUE"""),0.6)</f>
        <v>0.6</v>
      </c>
      <c r="I511" s="136">
        <f>IFERROR(__xludf.DUMMYFUNCTION("""COMPUTED_VALUE"""),1.0)</f>
        <v>1</v>
      </c>
      <c r="J511" s="136">
        <f>IFERROR(__xludf.DUMMYFUNCTION("""COMPUTED_VALUE"""),3551.0)</f>
        <v>3551</v>
      </c>
      <c r="K511" s="136">
        <f>IFERROR(__xludf.DUMMYFUNCTION("""COMPUTED_VALUE"""),7.0)</f>
        <v>7</v>
      </c>
      <c r="L511" s="136">
        <f>IFERROR(__xludf.DUMMYFUNCTION("""COMPUTED_VALUE"""),8.0)</f>
        <v>8</v>
      </c>
      <c r="M511" s="136">
        <f>IFERROR(__xludf.DUMMYFUNCTION("""COMPUTED_VALUE"""),15.0)</f>
        <v>15</v>
      </c>
      <c r="N511" s="136">
        <f>IFERROR(__xludf.DUMMYFUNCTION("""COMPUTED_VALUE"""),25.0)</f>
        <v>25</v>
      </c>
      <c r="O511" s="138">
        <f>IFERROR(__xludf.DUMMYFUNCTION("""COMPUTED_VALUE"""),2.0)</f>
        <v>2</v>
      </c>
      <c r="P511" s="138">
        <f>IFERROR(__xludf.DUMMYFUNCTION("""COMPUTED_VALUE"""),1.0)</f>
        <v>1</v>
      </c>
      <c r="Q511" s="138">
        <f>IFERROR(__xludf.DUMMYFUNCTION("""COMPUTED_VALUE"""),0.0)</f>
        <v>0</v>
      </c>
      <c r="R511" s="138">
        <f>IFERROR(__xludf.DUMMYFUNCTION("""COMPUTED_VALUE"""),3.0)</f>
        <v>3</v>
      </c>
      <c r="S511" s="139">
        <f>IFERROR(__xludf.DUMMYFUNCTION("""COMPUTED_VALUE"""),78.0)</f>
        <v>78</v>
      </c>
      <c r="T511" s="140">
        <f>IFERROR(__xludf.DUMMYFUNCTION("""COMPUTED_VALUE"""),23.0)</f>
        <v>23</v>
      </c>
      <c r="U511" s="136">
        <f>IFERROR(__xludf.DUMMYFUNCTION("""COMPUTED_VALUE"""),9.0)</f>
        <v>9</v>
      </c>
      <c r="V511" s="136">
        <f>IFERROR(__xludf.DUMMYFUNCTION("""COMPUTED_VALUE"""),5.0)</f>
        <v>5</v>
      </c>
      <c r="W511" s="136">
        <f>IFERROR(__xludf.DUMMYFUNCTION("""COMPUTED_VALUE"""),8.0)</f>
        <v>8</v>
      </c>
      <c r="X511" s="136">
        <f>IFERROR(__xludf.DUMMYFUNCTION("""COMPUTED_VALUE"""),393.5)</f>
        <v>393.5</v>
      </c>
      <c r="Y511" s="141">
        <f>IFERROR(__xludf.DUMMYFUNCTION("""COMPUTED_VALUE"""),48.419000000000004)</f>
        <v>48.419</v>
      </c>
      <c r="Z511" s="141">
        <f>IFERROR(__xludf.DUMMYFUNCTION("""COMPUTED_VALUE"""),2322.0)</f>
        <v>2322</v>
      </c>
    </row>
    <row r="512">
      <c r="A512" s="41" t="str">
        <f>IFERROR(__xludf.DUMMYFUNCTION("""COMPUTED_VALUE"""),"Veteran")</f>
        <v>Veteran</v>
      </c>
      <c r="B512" s="41" t="str">
        <f>IFERROR(__xludf.DUMMYFUNCTION("""COMPUTED_VALUE"""),"RSC007331")</f>
        <v>RSC007331</v>
      </c>
      <c r="C512" s="41" t="str">
        <f>IFERROR(__xludf.DUMMYFUNCTION("""COMPUTED_VALUE"""),"Ikigai")</f>
        <v>Ikigai</v>
      </c>
      <c r="D512" s="41" t="str">
        <f>IFERROR(__xludf.DUMMYFUNCTION("""COMPUTED_VALUE"""),"Banshees")</f>
        <v>Banshees</v>
      </c>
      <c r="E512" s="136">
        <f>IFERROR(__xludf.DUMMYFUNCTION("""COMPUTED_VALUE"""),43.0)</f>
        <v>43</v>
      </c>
      <c r="F512" s="136">
        <f>IFERROR(__xludf.DUMMYFUNCTION("""COMPUTED_VALUE"""),16.0)</f>
        <v>16</v>
      </c>
      <c r="G512" s="136">
        <f>IFERROR(__xludf.DUMMYFUNCTION("""COMPUTED_VALUE"""),27.0)</f>
        <v>27</v>
      </c>
      <c r="H512" s="137">
        <f>IFERROR(__xludf.DUMMYFUNCTION("""COMPUTED_VALUE"""),0.37209302325581395)</f>
        <v>0.3720930233</v>
      </c>
      <c r="I512" s="136">
        <f>IFERROR(__xludf.DUMMYFUNCTION("""COMPUTED_VALUE"""),6.0)</f>
        <v>6</v>
      </c>
      <c r="J512" s="136">
        <f>IFERROR(__xludf.DUMMYFUNCTION("""COMPUTED_VALUE"""),15973.0)</f>
        <v>15973</v>
      </c>
      <c r="K512" s="136">
        <f>IFERROR(__xludf.DUMMYFUNCTION("""COMPUTED_VALUE"""),33.0)</f>
        <v>33</v>
      </c>
      <c r="L512" s="136">
        <f>IFERROR(__xludf.DUMMYFUNCTION("""COMPUTED_VALUE"""),31.0)</f>
        <v>31</v>
      </c>
      <c r="M512" s="136">
        <f>IFERROR(__xludf.DUMMYFUNCTION("""COMPUTED_VALUE"""),63.0)</f>
        <v>63</v>
      </c>
      <c r="N512" s="136">
        <f>IFERROR(__xludf.DUMMYFUNCTION("""COMPUTED_VALUE"""),112.0)</f>
        <v>112</v>
      </c>
      <c r="O512" s="138">
        <f>IFERROR(__xludf.DUMMYFUNCTION("""COMPUTED_VALUE"""),10.0)</f>
        <v>10</v>
      </c>
      <c r="P512" s="138">
        <f>IFERROR(__xludf.DUMMYFUNCTION("""COMPUTED_VALUE"""),3.0)</f>
        <v>3</v>
      </c>
      <c r="Q512" s="138">
        <f>IFERROR(__xludf.DUMMYFUNCTION("""COMPUTED_VALUE"""),1.0)</f>
        <v>1</v>
      </c>
      <c r="R512" s="138">
        <f>IFERROR(__xludf.DUMMYFUNCTION("""COMPUTED_VALUE"""),8.0)</f>
        <v>8</v>
      </c>
      <c r="S512" s="139">
        <f>IFERROR(__xludf.DUMMYFUNCTION("""COMPUTED_VALUE"""),374.0)</f>
        <v>374</v>
      </c>
      <c r="T512" s="140">
        <f>IFERROR(__xludf.DUMMYFUNCTION("""COMPUTED_VALUE"""),130.0)</f>
        <v>130</v>
      </c>
      <c r="U512" s="136">
        <f>IFERROR(__xludf.DUMMYFUNCTION("""COMPUTED_VALUE"""),46.0)</f>
        <v>46</v>
      </c>
      <c r="V512" s="136">
        <f>IFERROR(__xludf.DUMMYFUNCTION("""COMPUTED_VALUE"""),66.0)</f>
        <v>66</v>
      </c>
      <c r="W512" s="136">
        <f>IFERROR(__xludf.DUMMYFUNCTION("""COMPUTED_VALUE"""),40.0)</f>
        <v>40</v>
      </c>
      <c r="X512" s="136">
        <f>IFERROR(__xludf.DUMMYFUNCTION("""COMPUTED_VALUE"""),451.30232558139534)</f>
        <v>451.3023256</v>
      </c>
      <c r="Y512" s="141">
        <f>IFERROR(__xludf.DUMMYFUNCTION("""COMPUTED_VALUE"""),45.87627906976744)</f>
        <v>45.87627907</v>
      </c>
      <c r="Z512" s="141">
        <f>IFERROR(__xludf.DUMMYFUNCTION("""COMPUTED_VALUE"""),2775.767441860465)</f>
        <v>2775.767442</v>
      </c>
    </row>
    <row r="513">
      <c r="A513" s="41" t="str">
        <f>IFERROR(__xludf.DUMMYFUNCTION("""COMPUTED_VALUE"""),"Elite")</f>
        <v>Elite</v>
      </c>
      <c r="B513" s="41" t="str">
        <f>IFERROR(__xludf.DUMMYFUNCTION("""COMPUTED_VALUE"""),"RSC007341")</f>
        <v>RSC007341</v>
      </c>
      <c r="C513" s="41" t="str">
        <f>IFERROR(__xludf.DUMMYFUNCTION("""COMPUTED_VALUE"""),"Squashy")</f>
        <v>Squashy</v>
      </c>
      <c r="D513" s="41" t="str">
        <f>IFERROR(__xludf.DUMMYFUNCTION("""COMPUTED_VALUE"""),"Raptors")</f>
        <v>Raptors</v>
      </c>
      <c r="E513" s="136">
        <f>IFERROR(__xludf.DUMMYFUNCTION("""COMPUTED_VALUE"""),34.0)</f>
        <v>34</v>
      </c>
      <c r="F513" s="136">
        <f>IFERROR(__xludf.DUMMYFUNCTION("""COMPUTED_VALUE"""),3.0)</f>
        <v>3</v>
      </c>
      <c r="G513" s="136">
        <f>IFERROR(__xludf.DUMMYFUNCTION("""COMPUTED_VALUE"""),31.0)</f>
        <v>31</v>
      </c>
      <c r="H513" s="137">
        <f>IFERROR(__xludf.DUMMYFUNCTION("""COMPUTED_VALUE"""),0.08823529411764706)</f>
        <v>0.08823529412</v>
      </c>
      <c r="I513" s="136">
        <f>IFERROR(__xludf.DUMMYFUNCTION("""COMPUTED_VALUE"""),1.0)</f>
        <v>1</v>
      </c>
      <c r="J513" s="136">
        <f>IFERROR(__xludf.DUMMYFUNCTION("""COMPUTED_VALUE"""),11248.0)</f>
        <v>11248</v>
      </c>
      <c r="K513" s="136">
        <f>IFERROR(__xludf.DUMMYFUNCTION("""COMPUTED_VALUE"""),14.0)</f>
        <v>14</v>
      </c>
      <c r="L513" s="136">
        <f>IFERROR(__xludf.DUMMYFUNCTION("""COMPUTED_VALUE"""),14.0)</f>
        <v>14</v>
      </c>
      <c r="M513" s="136">
        <f>IFERROR(__xludf.DUMMYFUNCTION("""COMPUTED_VALUE"""),60.0)</f>
        <v>60</v>
      </c>
      <c r="N513" s="136">
        <f>IFERROR(__xludf.DUMMYFUNCTION("""COMPUTED_VALUE"""),74.0)</f>
        <v>74</v>
      </c>
      <c r="O513" s="138">
        <f>IFERROR(__xludf.DUMMYFUNCTION("""COMPUTED_VALUE"""),4.0)</f>
        <v>4</v>
      </c>
      <c r="P513" s="138">
        <f>IFERROR(__xludf.DUMMYFUNCTION("""COMPUTED_VALUE"""),0.0)</f>
        <v>0</v>
      </c>
      <c r="Q513" s="138">
        <f>IFERROR(__xludf.DUMMYFUNCTION("""COMPUTED_VALUE"""),0.0)</f>
        <v>0</v>
      </c>
      <c r="R513" s="138">
        <f>IFERROR(__xludf.DUMMYFUNCTION("""COMPUTED_VALUE"""),8.0)</f>
        <v>8</v>
      </c>
      <c r="S513" s="139">
        <f>IFERROR(__xludf.DUMMYFUNCTION("""COMPUTED_VALUE"""),324.0)</f>
        <v>324</v>
      </c>
      <c r="T513" s="140">
        <f>IFERROR(__xludf.DUMMYFUNCTION("""COMPUTED_VALUE"""),118.0)</f>
        <v>118</v>
      </c>
      <c r="U513" s="136">
        <f>IFERROR(__xludf.DUMMYFUNCTION("""COMPUTED_VALUE"""),38.0)</f>
        <v>38</v>
      </c>
      <c r="V513" s="136">
        <f>IFERROR(__xludf.DUMMYFUNCTION("""COMPUTED_VALUE"""),24.0)</f>
        <v>24</v>
      </c>
      <c r="W513" s="136">
        <f>IFERROR(__xludf.DUMMYFUNCTION("""COMPUTED_VALUE"""),35.0)</f>
        <v>35</v>
      </c>
      <c r="X513" s="136">
        <f>IFERROR(__xludf.DUMMYFUNCTION("""COMPUTED_VALUE"""),352.3235294117647)</f>
        <v>352.3235294</v>
      </c>
      <c r="Y513" s="141">
        <f>IFERROR(__xludf.DUMMYFUNCTION("""COMPUTED_VALUE"""),45.240882352941185)</f>
        <v>45.24088235</v>
      </c>
      <c r="Z513" s="141">
        <f>IFERROR(__xludf.DUMMYFUNCTION("""COMPUTED_VALUE"""),2170.735294117647)</f>
        <v>2170.735294</v>
      </c>
    </row>
    <row r="514">
      <c r="A514" s="41" t="str">
        <f>IFERROR(__xludf.DUMMYFUNCTION("""COMPUTED_VALUE"""),"Elite")</f>
        <v>Elite</v>
      </c>
      <c r="B514" s="41" t="str">
        <f>IFERROR(__xludf.DUMMYFUNCTION("""COMPUTED_VALUE"""),"RSC007354")</f>
        <v>RSC007354</v>
      </c>
      <c r="C514" s="41" t="str">
        <f>IFERROR(__xludf.DUMMYFUNCTION("""COMPUTED_VALUE"""),"Fanatic")</f>
        <v>Fanatic</v>
      </c>
      <c r="D514" s="41" t="str">
        <f>IFERROR(__xludf.DUMMYFUNCTION("""COMPUTED_VALUE"""),"Hellhounds")</f>
        <v>Hellhounds</v>
      </c>
      <c r="E514" s="136">
        <f>IFERROR(__xludf.DUMMYFUNCTION("""COMPUTED_VALUE"""),47.0)</f>
        <v>47</v>
      </c>
      <c r="F514" s="136">
        <f>IFERROR(__xludf.DUMMYFUNCTION("""COMPUTED_VALUE"""),18.0)</f>
        <v>18</v>
      </c>
      <c r="G514" s="136">
        <f>IFERROR(__xludf.DUMMYFUNCTION("""COMPUTED_VALUE"""),29.0)</f>
        <v>29</v>
      </c>
      <c r="H514" s="137">
        <f>IFERROR(__xludf.DUMMYFUNCTION("""COMPUTED_VALUE"""),0.3829787234042553)</f>
        <v>0.3829787234</v>
      </c>
      <c r="I514" s="136">
        <f>IFERROR(__xludf.DUMMYFUNCTION("""COMPUTED_VALUE"""),8.0)</f>
        <v>8</v>
      </c>
      <c r="J514" s="136">
        <f>IFERROR(__xludf.DUMMYFUNCTION("""COMPUTED_VALUE"""),19632.0)</f>
        <v>19632</v>
      </c>
      <c r="K514" s="136">
        <f>IFERROR(__xludf.DUMMYFUNCTION("""COMPUTED_VALUE"""),48.0)</f>
        <v>48</v>
      </c>
      <c r="L514" s="136">
        <f>IFERROR(__xludf.DUMMYFUNCTION("""COMPUTED_VALUE"""),19.0)</f>
        <v>19</v>
      </c>
      <c r="M514" s="136">
        <f>IFERROR(__xludf.DUMMYFUNCTION("""COMPUTED_VALUE"""),82.0)</f>
        <v>82</v>
      </c>
      <c r="N514" s="136">
        <f>IFERROR(__xludf.DUMMYFUNCTION("""COMPUTED_VALUE"""),142.0)</f>
        <v>142</v>
      </c>
      <c r="O514" s="138">
        <f>IFERROR(__xludf.DUMMYFUNCTION("""COMPUTED_VALUE"""),7.0)</f>
        <v>7</v>
      </c>
      <c r="P514" s="138">
        <f>IFERROR(__xludf.DUMMYFUNCTION("""COMPUTED_VALUE"""),4.0)</f>
        <v>4</v>
      </c>
      <c r="Q514" s="138">
        <f>IFERROR(__xludf.DUMMYFUNCTION("""COMPUTED_VALUE"""),0.0)</f>
        <v>0</v>
      </c>
      <c r="R514" s="138">
        <f>IFERROR(__xludf.DUMMYFUNCTION("""COMPUTED_VALUE"""),10.0)</f>
        <v>10</v>
      </c>
      <c r="S514" s="139">
        <f>IFERROR(__xludf.DUMMYFUNCTION("""COMPUTED_VALUE"""),423.0)</f>
        <v>423</v>
      </c>
      <c r="T514" s="140">
        <f>IFERROR(__xludf.DUMMYFUNCTION("""COMPUTED_VALUE"""),127.0)</f>
        <v>127</v>
      </c>
      <c r="U514" s="136">
        <f>IFERROR(__xludf.DUMMYFUNCTION("""COMPUTED_VALUE"""),47.0)</f>
        <v>47</v>
      </c>
      <c r="V514" s="136">
        <f>IFERROR(__xludf.DUMMYFUNCTION("""COMPUTED_VALUE"""),50.0)</f>
        <v>50</v>
      </c>
      <c r="W514" s="136">
        <f>IFERROR(__xludf.DUMMYFUNCTION("""COMPUTED_VALUE"""),49.0)</f>
        <v>49</v>
      </c>
      <c r="X514" s="136">
        <f>IFERROR(__xludf.DUMMYFUNCTION("""COMPUTED_VALUE"""),441.7659574468085)</f>
        <v>441.7659574</v>
      </c>
      <c r="Y514" s="141">
        <f>IFERROR(__xludf.DUMMYFUNCTION("""COMPUTED_VALUE"""),51.115957446808494)</f>
        <v>51.11595745</v>
      </c>
      <c r="Z514" s="141">
        <f>IFERROR(__xludf.DUMMYFUNCTION("""COMPUTED_VALUE"""),2650.7021276595747)</f>
        <v>2650.702128</v>
      </c>
    </row>
    <row r="515">
      <c r="A515" s="41" t="str">
        <f>IFERROR(__xludf.DUMMYFUNCTION("""COMPUTED_VALUE"""),"Veteran")</f>
        <v>Veteran</v>
      </c>
      <c r="B515" s="41" t="str">
        <f>IFERROR(__xludf.DUMMYFUNCTION("""COMPUTED_VALUE"""),"RSC007358")</f>
        <v>RSC007358</v>
      </c>
      <c r="C515" s="41" t="str">
        <f>IFERROR(__xludf.DUMMYFUNCTION("""COMPUTED_VALUE"""),"Tropicalshortsba")</f>
        <v>Tropicalshortsba</v>
      </c>
      <c r="D515" s="41" t="str">
        <f>IFERROR(__xludf.DUMMYFUNCTION("""COMPUTED_VALUE"""),"Giant Squids")</f>
        <v>Giant Squids</v>
      </c>
      <c r="E515" s="136">
        <f>IFERROR(__xludf.DUMMYFUNCTION("""COMPUTED_VALUE"""),50.0)</f>
        <v>50</v>
      </c>
      <c r="F515" s="136">
        <f>IFERROR(__xludf.DUMMYFUNCTION("""COMPUTED_VALUE"""),29.0)</f>
        <v>29</v>
      </c>
      <c r="G515" s="136">
        <f>IFERROR(__xludf.DUMMYFUNCTION("""COMPUTED_VALUE"""),21.0)</f>
        <v>21</v>
      </c>
      <c r="H515" s="137">
        <f>IFERROR(__xludf.DUMMYFUNCTION("""COMPUTED_VALUE"""),0.58)</f>
        <v>0.58</v>
      </c>
      <c r="I515" s="136">
        <f>IFERROR(__xludf.DUMMYFUNCTION("""COMPUTED_VALUE"""),6.0)</f>
        <v>6</v>
      </c>
      <c r="J515" s="136">
        <f>IFERROR(__xludf.DUMMYFUNCTION("""COMPUTED_VALUE"""),16340.0)</f>
        <v>16340</v>
      </c>
      <c r="K515" s="136">
        <f>IFERROR(__xludf.DUMMYFUNCTION("""COMPUTED_VALUE"""),40.0)</f>
        <v>40</v>
      </c>
      <c r="L515" s="136">
        <f>IFERROR(__xludf.DUMMYFUNCTION("""COMPUTED_VALUE"""),31.0)</f>
        <v>31</v>
      </c>
      <c r="M515" s="136">
        <f>IFERROR(__xludf.DUMMYFUNCTION("""COMPUTED_VALUE"""),50.0)</f>
        <v>50</v>
      </c>
      <c r="N515" s="136">
        <f>IFERROR(__xludf.DUMMYFUNCTION("""COMPUTED_VALUE"""),126.0)</f>
        <v>126</v>
      </c>
      <c r="O515" s="138">
        <f>IFERROR(__xludf.DUMMYFUNCTION("""COMPUTED_VALUE"""),10.0)</f>
        <v>10</v>
      </c>
      <c r="P515" s="138">
        <f>IFERROR(__xludf.DUMMYFUNCTION("""COMPUTED_VALUE"""),1.0)</f>
        <v>1</v>
      </c>
      <c r="Q515" s="138">
        <f>IFERROR(__xludf.DUMMYFUNCTION("""COMPUTED_VALUE"""),4.0)</f>
        <v>4</v>
      </c>
      <c r="R515" s="138">
        <f>IFERROR(__xludf.DUMMYFUNCTION("""COMPUTED_VALUE"""),2.0)</f>
        <v>2</v>
      </c>
      <c r="S515" s="139">
        <f>IFERROR(__xludf.DUMMYFUNCTION("""COMPUTED_VALUE"""),363.0)</f>
        <v>363</v>
      </c>
      <c r="T515" s="140">
        <f>IFERROR(__xludf.DUMMYFUNCTION("""COMPUTED_VALUE"""),112.0)</f>
        <v>112</v>
      </c>
      <c r="U515" s="136">
        <f>IFERROR(__xludf.DUMMYFUNCTION("""COMPUTED_VALUE"""),34.0)</f>
        <v>34</v>
      </c>
      <c r="V515" s="136">
        <f>IFERROR(__xludf.DUMMYFUNCTION("""COMPUTED_VALUE"""),19.0)</f>
        <v>19</v>
      </c>
      <c r="W515" s="136">
        <f>IFERROR(__xludf.DUMMYFUNCTION("""COMPUTED_VALUE"""),57.0)</f>
        <v>57</v>
      </c>
      <c r="X515" s="136">
        <f>IFERROR(__xludf.DUMMYFUNCTION("""COMPUTED_VALUE"""),410.36)</f>
        <v>410.36</v>
      </c>
      <c r="Y515" s="141">
        <f>IFERROR(__xludf.DUMMYFUNCTION("""COMPUTED_VALUE"""),47.622400000000006)</f>
        <v>47.6224</v>
      </c>
      <c r="Z515" s="141">
        <f>IFERROR(__xludf.DUMMYFUNCTION("""COMPUTED_VALUE"""),2427.94)</f>
        <v>2427.94</v>
      </c>
    </row>
    <row r="516">
      <c r="A516" s="41" t="str">
        <f>IFERROR(__xludf.DUMMYFUNCTION("""COMPUTED_VALUE"""),"Challenger")</f>
        <v>Challenger</v>
      </c>
      <c r="B516" s="41" t="str">
        <f>IFERROR(__xludf.DUMMYFUNCTION("""COMPUTED_VALUE"""),"RSC007370")</f>
        <v>RSC007370</v>
      </c>
      <c r="C516" s="41" t="str">
        <f>IFERROR(__xludf.DUMMYFUNCTION("""COMPUTED_VALUE"""),"Jarrod81535")</f>
        <v>Jarrod81535</v>
      </c>
      <c r="D516" s="41" t="str">
        <f>IFERROR(__xludf.DUMMYFUNCTION("""COMPUTED_VALUE"""),"Happy B-day Jess")</f>
        <v>Happy B-day Jess</v>
      </c>
      <c r="E516" s="136">
        <f>IFERROR(__xludf.DUMMYFUNCTION("""COMPUTED_VALUE"""),54.0)</f>
        <v>54</v>
      </c>
      <c r="F516" s="136">
        <f>IFERROR(__xludf.DUMMYFUNCTION("""COMPUTED_VALUE"""),33.0)</f>
        <v>33</v>
      </c>
      <c r="G516" s="136">
        <f>IFERROR(__xludf.DUMMYFUNCTION("""COMPUTED_VALUE"""),21.0)</f>
        <v>21</v>
      </c>
      <c r="H516" s="137">
        <f>IFERROR(__xludf.DUMMYFUNCTION("""COMPUTED_VALUE"""),0.6111111111111112)</f>
        <v>0.6111111111</v>
      </c>
      <c r="I516" s="136">
        <f>IFERROR(__xludf.DUMMYFUNCTION("""COMPUTED_VALUE"""),20.0)</f>
        <v>20</v>
      </c>
      <c r="J516" s="136">
        <f>IFERROR(__xludf.DUMMYFUNCTION("""COMPUTED_VALUE"""),21156.0)</f>
        <v>21156</v>
      </c>
      <c r="K516" s="136">
        <f>IFERROR(__xludf.DUMMYFUNCTION("""COMPUTED_VALUE"""),57.0)</f>
        <v>57</v>
      </c>
      <c r="L516" s="136">
        <f>IFERROR(__xludf.DUMMYFUNCTION("""COMPUTED_VALUE"""),35.0)</f>
        <v>35</v>
      </c>
      <c r="M516" s="136">
        <f>IFERROR(__xludf.DUMMYFUNCTION("""COMPUTED_VALUE"""),71.0)</f>
        <v>71</v>
      </c>
      <c r="N516" s="136">
        <f>IFERROR(__xludf.DUMMYFUNCTION("""COMPUTED_VALUE"""),182.0)</f>
        <v>182</v>
      </c>
      <c r="O516" s="138">
        <f>IFERROR(__xludf.DUMMYFUNCTION("""COMPUTED_VALUE"""),14.0)</f>
        <v>14</v>
      </c>
      <c r="P516" s="138">
        <f>IFERROR(__xludf.DUMMYFUNCTION("""COMPUTED_VALUE"""),5.0)</f>
        <v>5</v>
      </c>
      <c r="Q516" s="138">
        <f>IFERROR(__xludf.DUMMYFUNCTION("""COMPUTED_VALUE"""),4.0)</f>
        <v>4</v>
      </c>
      <c r="R516" s="138">
        <f>IFERROR(__xludf.DUMMYFUNCTION("""COMPUTED_VALUE"""),8.0)</f>
        <v>8</v>
      </c>
      <c r="S516" s="139">
        <f>IFERROR(__xludf.DUMMYFUNCTION("""COMPUTED_VALUE"""),352.0)</f>
        <v>352</v>
      </c>
      <c r="T516" s="140">
        <f>IFERROR(__xludf.DUMMYFUNCTION("""COMPUTED_VALUE"""),107.0)</f>
        <v>107</v>
      </c>
      <c r="U516" s="136">
        <f>IFERROR(__xludf.DUMMYFUNCTION("""COMPUTED_VALUE"""),38.0)</f>
        <v>38</v>
      </c>
      <c r="V516" s="136">
        <f>IFERROR(__xludf.DUMMYFUNCTION("""COMPUTED_VALUE"""),59.0)</f>
        <v>59</v>
      </c>
      <c r="W516" s="136">
        <f>IFERROR(__xludf.DUMMYFUNCTION("""COMPUTED_VALUE"""),44.0)</f>
        <v>44</v>
      </c>
      <c r="X516" s="136">
        <f>IFERROR(__xludf.DUMMYFUNCTION("""COMPUTED_VALUE"""),356.1666666666667)</f>
        <v>356.1666667</v>
      </c>
      <c r="Y516" s="141">
        <f>IFERROR(__xludf.DUMMYFUNCTION("""COMPUTED_VALUE"""),52.2025925925926)</f>
        <v>52.20259259</v>
      </c>
      <c r="Z516" s="141">
        <f>IFERROR(__xludf.DUMMYFUNCTION("""COMPUTED_VALUE"""),2107.8888888888887)</f>
        <v>2107.888889</v>
      </c>
    </row>
    <row r="517">
      <c r="A517" s="41" t="str">
        <f>IFERROR(__xludf.DUMMYFUNCTION("""COMPUTED_VALUE"""),"Prospect")</f>
        <v>Prospect</v>
      </c>
      <c r="B517" s="41" t="str">
        <f>IFERROR(__xludf.DUMMYFUNCTION("""COMPUTED_VALUE"""),"RSC007372")</f>
        <v>RSC007372</v>
      </c>
      <c r="C517" s="41" t="str">
        <f>IFERROR(__xludf.DUMMYFUNCTION("""COMPUTED_VALUE"""),"Zirr_Grzzlr_onTT")</f>
        <v>Zirr_Grzzlr_onTT</v>
      </c>
      <c r="D517" s="41" t="str">
        <f>IFERROR(__xludf.DUMMYFUNCTION("""COMPUTED_VALUE"""),"Tic Tacs
Piranhas")</f>
        <v>Tic Tacs
Piranhas</v>
      </c>
      <c r="E517" s="136">
        <f>IFERROR(__xludf.DUMMYFUNCTION("""COMPUTED_VALUE"""),56.0)</f>
        <v>56</v>
      </c>
      <c r="F517" s="136">
        <f>IFERROR(__xludf.DUMMYFUNCTION("""COMPUTED_VALUE"""),31.0)</f>
        <v>31</v>
      </c>
      <c r="G517" s="136">
        <f>IFERROR(__xludf.DUMMYFUNCTION("""COMPUTED_VALUE"""),25.0)</f>
        <v>25</v>
      </c>
      <c r="H517" s="137">
        <f>IFERROR(__xludf.DUMMYFUNCTION("""COMPUTED_VALUE"""),0.5535714285714286)</f>
        <v>0.5535714286</v>
      </c>
      <c r="I517" s="136">
        <f>IFERROR(__xludf.DUMMYFUNCTION("""COMPUTED_VALUE"""),9.0)</f>
        <v>9</v>
      </c>
      <c r="J517" s="136">
        <f>IFERROR(__xludf.DUMMYFUNCTION("""COMPUTED_VALUE"""),19327.0)</f>
        <v>19327</v>
      </c>
      <c r="K517" s="136">
        <f>IFERROR(__xludf.DUMMYFUNCTION("""COMPUTED_VALUE"""),62.0)</f>
        <v>62</v>
      </c>
      <c r="L517" s="136">
        <f>IFERROR(__xludf.DUMMYFUNCTION("""COMPUTED_VALUE"""),23.0)</f>
        <v>23</v>
      </c>
      <c r="M517" s="136">
        <f>IFERROR(__xludf.DUMMYFUNCTION("""COMPUTED_VALUE"""),59.0)</f>
        <v>59</v>
      </c>
      <c r="N517" s="136">
        <f>IFERROR(__xludf.DUMMYFUNCTION("""COMPUTED_VALUE"""),158.0)</f>
        <v>158</v>
      </c>
      <c r="O517" s="138">
        <f>IFERROR(__xludf.DUMMYFUNCTION("""COMPUTED_VALUE"""),6.0)</f>
        <v>6</v>
      </c>
      <c r="P517" s="138">
        <f>IFERROR(__xludf.DUMMYFUNCTION("""COMPUTED_VALUE"""),5.0)</f>
        <v>5</v>
      </c>
      <c r="Q517" s="138">
        <f>IFERROR(__xludf.DUMMYFUNCTION("""COMPUTED_VALUE"""),1.0)</f>
        <v>1</v>
      </c>
      <c r="R517" s="138">
        <f>IFERROR(__xludf.DUMMYFUNCTION("""COMPUTED_VALUE"""),5.0)</f>
        <v>5</v>
      </c>
      <c r="S517" s="139">
        <f>IFERROR(__xludf.DUMMYFUNCTION("""COMPUTED_VALUE"""),377.0)</f>
        <v>377</v>
      </c>
      <c r="T517" s="140">
        <f>IFERROR(__xludf.DUMMYFUNCTION("""COMPUTED_VALUE"""),122.0)</f>
        <v>122</v>
      </c>
      <c r="U517" s="136">
        <f>IFERROR(__xludf.DUMMYFUNCTION("""COMPUTED_VALUE"""),46.0)</f>
        <v>46</v>
      </c>
      <c r="V517" s="136">
        <f>IFERROR(__xludf.DUMMYFUNCTION("""COMPUTED_VALUE"""),68.0)</f>
        <v>68</v>
      </c>
      <c r="W517" s="136">
        <f>IFERROR(__xludf.DUMMYFUNCTION("""COMPUTED_VALUE"""),49.0)</f>
        <v>49</v>
      </c>
      <c r="X517" s="136">
        <f>IFERROR(__xludf.DUMMYFUNCTION("""COMPUTED_VALUE"""),371.30357142857144)</f>
        <v>371.3035714</v>
      </c>
      <c r="Y517" s="141">
        <f>IFERROR(__xludf.DUMMYFUNCTION("""COMPUTED_VALUE"""),54.96589285714286)</f>
        <v>54.96589286</v>
      </c>
      <c r="Z517" s="141">
        <f>IFERROR(__xludf.DUMMYFUNCTION("""COMPUTED_VALUE"""),2242.1071428571427)</f>
        <v>2242.107143</v>
      </c>
    </row>
    <row r="518">
      <c r="A518" s="41" t="str">
        <f>IFERROR(__xludf.DUMMYFUNCTION("""COMPUTED_VALUE"""),"Veteran")</f>
        <v>Veteran</v>
      </c>
      <c r="B518" s="41" t="str">
        <f>IFERROR(__xludf.DUMMYFUNCTION("""COMPUTED_VALUE"""),"RSC007373")</f>
        <v>RSC007373</v>
      </c>
      <c r="C518" s="41" t="str">
        <f>IFERROR(__xludf.DUMMYFUNCTION("""COMPUTED_VALUE"""),"pug")</f>
        <v>pug</v>
      </c>
      <c r="D518" s="41" t="str">
        <f>IFERROR(__xludf.DUMMYFUNCTION("""COMPUTED_VALUE"""),"Gargoyle")</f>
        <v>Gargoyle</v>
      </c>
      <c r="E518" s="136">
        <f>IFERROR(__xludf.DUMMYFUNCTION("""COMPUTED_VALUE"""),13.0)</f>
        <v>13</v>
      </c>
      <c r="F518" s="136">
        <f>IFERROR(__xludf.DUMMYFUNCTION("""COMPUTED_VALUE"""),9.0)</f>
        <v>9</v>
      </c>
      <c r="G518" s="136">
        <f>IFERROR(__xludf.DUMMYFUNCTION("""COMPUTED_VALUE"""),4.0)</f>
        <v>4</v>
      </c>
      <c r="H518" s="137">
        <f>IFERROR(__xludf.DUMMYFUNCTION("""COMPUTED_VALUE"""),0.6923076923076923)</f>
        <v>0.6923076923</v>
      </c>
      <c r="I518" s="136">
        <f>IFERROR(__xludf.DUMMYFUNCTION("""COMPUTED_VALUE"""),2.0)</f>
        <v>2</v>
      </c>
      <c r="J518" s="136">
        <f>IFERROR(__xludf.DUMMYFUNCTION("""COMPUTED_VALUE"""),4014.0)</f>
        <v>4014</v>
      </c>
      <c r="K518" s="136">
        <f>IFERROR(__xludf.DUMMYFUNCTION("""COMPUTED_VALUE"""),10.0)</f>
        <v>10</v>
      </c>
      <c r="L518" s="136">
        <f>IFERROR(__xludf.DUMMYFUNCTION("""COMPUTED_VALUE"""),5.0)</f>
        <v>5</v>
      </c>
      <c r="M518" s="136">
        <f>IFERROR(__xludf.DUMMYFUNCTION("""COMPUTED_VALUE"""),14.0)</f>
        <v>14</v>
      </c>
      <c r="N518" s="136">
        <f>IFERROR(__xludf.DUMMYFUNCTION("""COMPUTED_VALUE"""),30.0)</f>
        <v>30</v>
      </c>
      <c r="O518" s="138">
        <f>IFERROR(__xludf.DUMMYFUNCTION("""COMPUTED_VALUE"""),0.0)</f>
        <v>0</v>
      </c>
      <c r="P518" s="138">
        <f>IFERROR(__xludf.DUMMYFUNCTION("""COMPUTED_VALUE"""),2.0)</f>
        <v>2</v>
      </c>
      <c r="Q518" s="138">
        <f>IFERROR(__xludf.DUMMYFUNCTION("""COMPUTED_VALUE"""),0.0)</f>
        <v>0</v>
      </c>
      <c r="R518" s="138">
        <f>IFERROR(__xludf.DUMMYFUNCTION("""COMPUTED_VALUE"""),0.0)</f>
        <v>0</v>
      </c>
      <c r="S518" s="139">
        <f>IFERROR(__xludf.DUMMYFUNCTION("""COMPUTED_VALUE"""),108.0)</f>
        <v>108</v>
      </c>
      <c r="T518" s="140">
        <f>IFERROR(__xludf.DUMMYFUNCTION("""COMPUTED_VALUE"""),23.0)</f>
        <v>23</v>
      </c>
      <c r="U518" s="136">
        <f>IFERROR(__xludf.DUMMYFUNCTION("""COMPUTED_VALUE"""),8.0)</f>
        <v>8</v>
      </c>
      <c r="V518" s="136">
        <f>IFERROR(__xludf.DUMMYFUNCTION("""COMPUTED_VALUE"""),10.0)</f>
        <v>10</v>
      </c>
      <c r="W518" s="136">
        <f>IFERROR(__xludf.DUMMYFUNCTION("""COMPUTED_VALUE"""),19.0)</f>
        <v>19</v>
      </c>
      <c r="X518" s="136"/>
      <c r="Y518" s="41"/>
      <c r="Z518" s="41"/>
    </row>
    <row r="519">
      <c r="A519" s="41" t="str">
        <f>IFERROR(__xludf.DUMMYFUNCTION("""COMPUTED_VALUE"""),"Elite")</f>
        <v>Elite</v>
      </c>
      <c r="B519" s="41" t="str">
        <f>IFERROR(__xludf.DUMMYFUNCTION("""COMPUTED_VALUE"""),"RSC007383")</f>
        <v>RSC007383</v>
      </c>
      <c r="C519" s="41" t="str">
        <f>IFERROR(__xludf.DUMMYFUNCTION("""COMPUTED_VALUE"""),"ttv. blestbb")</f>
        <v>ttv. blestbb</v>
      </c>
      <c r="D519" s="41" t="str">
        <f>IFERROR(__xludf.DUMMYFUNCTION("""COMPUTED_VALUE"""),"Black-Holes
Orochi
Ghastly Goombahs")</f>
        <v>Black-Holes
Orochi
Ghastly Goombahs</v>
      </c>
      <c r="E519" s="136">
        <f>IFERROR(__xludf.DUMMYFUNCTION("""COMPUTED_VALUE"""),23.0)</f>
        <v>23</v>
      </c>
      <c r="F519" s="136">
        <f>IFERROR(__xludf.DUMMYFUNCTION("""COMPUTED_VALUE"""),12.0)</f>
        <v>12</v>
      </c>
      <c r="G519" s="136">
        <f>IFERROR(__xludf.DUMMYFUNCTION("""COMPUTED_VALUE"""),11.0)</f>
        <v>11</v>
      </c>
      <c r="H519" s="137">
        <f>IFERROR(__xludf.DUMMYFUNCTION("""COMPUTED_VALUE"""),0.5217391304347826)</f>
        <v>0.5217391304</v>
      </c>
      <c r="I519" s="136">
        <f>IFERROR(__xludf.DUMMYFUNCTION("""COMPUTED_VALUE"""),2.0)</f>
        <v>2</v>
      </c>
      <c r="J519" s="136">
        <f>IFERROR(__xludf.DUMMYFUNCTION("""COMPUTED_VALUE"""),8095.0)</f>
        <v>8095</v>
      </c>
      <c r="K519" s="136">
        <f>IFERROR(__xludf.DUMMYFUNCTION("""COMPUTED_VALUE"""),19.0)</f>
        <v>19</v>
      </c>
      <c r="L519" s="136">
        <f>IFERROR(__xludf.DUMMYFUNCTION("""COMPUTED_VALUE"""),10.0)</f>
        <v>10</v>
      </c>
      <c r="M519" s="136">
        <f>IFERROR(__xludf.DUMMYFUNCTION("""COMPUTED_VALUE"""),25.0)</f>
        <v>25</v>
      </c>
      <c r="N519" s="136">
        <f>IFERROR(__xludf.DUMMYFUNCTION("""COMPUTED_VALUE"""),71.0)</f>
        <v>71</v>
      </c>
      <c r="O519" s="138">
        <f>IFERROR(__xludf.DUMMYFUNCTION("""COMPUTED_VALUE"""),4.0)</f>
        <v>4</v>
      </c>
      <c r="P519" s="138">
        <f>IFERROR(__xludf.DUMMYFUNCTION("""COMPUTED_VALUE"""),3.0)</f>
        <v>3</v>
      </c>
      <c r="Q519" s="138">
        <f>IFERROR(__xludf.DUMMYFUNCTION("""COMPUTED_VALUE"""),0.0)</f>
        <v>0</v>
      </c>
      <c r="R519" s="138">
        <f>IFERROR(__xludf.DUMMYFUNCTION("""COMPUTED_VALUE"""),1.0)</f>
        <v>1</v>
      </c>
      <c r="S519" s="139">
        <f>IFERROR(__xludf.DUMMYFUNCTION("""COMPUTED_VALUE"""),162.0)</f>
        <v>162</v>
      </c>
      <c r="T519" s="140">
        <f>IFERROR(__xludf.DUMMYFUNCTION("""COMPUTED_VALUE"""),49.0)</f>
        <v>49</v>
      </c>
      <c r="U519" s="136">
        <f>IFERROR(__xludf.DUMMYFUNCTION("""COMPUTED_VALUE"""),14.0)</f>
        <v>14</v>
      </c>
      <c r="V519" s="136">
        <f>IFERROR(__xludf.DUMMYFUNCTION("""COMPUTED_VALUE"""),9.0)</f>
        <v>9</v>
      </c>
      <c r="W519" s="136">
        <f>IFERROR(__xludf.DUMMYFUNCTION("""COMPUTED_VALUE"""),29.0)</f>
        <v>29</v>
      </c>
      <c r="X519" s="136">
        <f>IFERROR(__xludf.DUMMYFUNCTION("""COMPUTED_VALUE"""),357.30434782608694)</f>
        <v>357.3043478</v>
      </c>
      <c r="Y519" s="141">
        <f>IFERROR(__xludf.DUMMYFUNCTION("""COMPUTED_VALUE"""),45.246521739130436)</f>
        <v>45.24652174</v>
      </c>
      <c r="Z519" s="141">
        <f>IFERROR(__xludf.DUMMYFUNCTION("""COMPUTED_VALUE"""),2145.304347826087)</f>
        <v>2145.304348</v>
      </c>
    </row>
    <row r="520">
      <c r="A520" s="41" t="str">
        <f>IFERROR(__xludf.DUMMYFUNCTION("""COMPUTED_VALUE"""),"Elite")</f>
        <v>Elite</v>
      </c>
      <c r="B520" s="41" t="str">
        <f>IFERROR(__xludf.DUMMYFUNCTION("""COMPUTED_VALUE"""),"RSC007386")</f>
        <v>RSC007386</v>
      </c>
      <c r="C520" s="41" t="str">
        <f>IFERROR(__xludf.DUMMYFUNCTION("""COMPUTED_VALUE"""),"oddtrip")</f>
        <v>oddtrip</v>
      </c>
      <c r="D520" s="41" t="str">
        <f>IFERROR(__xludf.DUMMYFUNCTION("""COMPUTED_VALUE"""),"Despair")</f>
        <v>Despair</v>
      </c>
      <c r="E520" s="136">
        <f>IFERROR(__xludf.DUMMYFUNCTION("""COMPUTED_VALUE"""),31.0)</f>
        <v>31</v>
      </c>
      <c r="F520" s="136">
        <f>IFERROR(__xludf.DUMMYFUNCTION("""COMPUTED_VALUE"""),18.0)</f>
        <v>18</v>
      </c>
      <c r="G520" s="136">
        <f>IFERROR(__xludf.DUMMYFUNCTION("""COMPUTED_VALUE"""),13.0)</f>
        <v>13</v>
      </c>
      <c r="H520" s="137">
        <f>IFERROR(__xludf.DUMMYFUNCTION("""COMPUTED_VALUE"""),0.5806451612903226)</f>
        <v>0.5806451613</v>
      </c>
      <c r="I520" s="136">
        <f>IFERROR(__xludf.DUMMYFUNCTION("""COMPUTED_VALUE"""),6.0)</f>
        <v>6</v>
      </c>
      <c r="J520" s="136">
        <f>IFERROR(__xludf.DUMMYFUNCTION("""COMPUTED_VALUE"""),10554.0)</f>
        <v>10554</v>
      </c>
      <c r="K520" s="136">
        <f>IFERROR(__xludf.DUMMYFUNCTION("""COMPUTED_VALUE"""),24.0)</f>
        <v>24</v>
      </c>
      <c r="L520" s="136">
        <f>IFERROR(__xludf.DUMMYFUNCTION("""COMPUTED_VALUE"""),24.0)</f>
        <v>24</v>
      </c>
      <c r="M520" s="136">
        <f>IFERROR(__xludf.DUMMYFUNCTION("""COMPUTED_VALUE"""),33.0)</f>
        <v>33</v>
      </c>
      <c r="N520" s="136">
        <f>IFERROR(__xludf.DUMMYFUNCTION("""COMPUTED_VALUE"""),87.0)</f>
        <v>87</v>
      </c>
      <c r="O520" s="138">
        <f>IFERROR(__xludf.DUMMYFUNCTION("""COMPUTED_VALUE"""),11.0)</f>
        <v>11</v>
      </c>
      <c r="P520" s="138">
        <f>IFERROR(__xludf.DUMMYFUNCTION("""COMPUTED_VALUE"""),1.0)</f>
        <v>1</v>
      </c>
      <c r="Q520" s="138">
        <f>IFERROR(__xludf.DUMMYFUNCTION("""COMPUTED_VALUE"""),1.0)</f>
        <v>1</v>
      </c>
      <c r="R520" s="138">
        <f>IFERROR(__xludf.DUMMYFUNCTION("""COMPUTED_VALUE"""),4.0)</f>
        <v>4</v>
      </c>
      <c r="S520" s="139">
        <f>IFERROR(__xludf.DUMMYFUNCTION("""COMPUTED_VALUE"""),222.0)</f>
        <v>222</v>
      </c>
      <c r="T520" s="140">
        <f>IFERROR(__xludf.DUMMYFUNCTION("""COMPUTED_VALUE"""),79.0)</f>
        <v>79</v>
      </c>
      <c r="U520" s="136">
        <f>IFERROR(__xludf.DUMMYFUNCTION("""COMPUTED_VALUE"""),22.0)</f>
        <v>22</v>
      </c>
      <c r="V520" s="136">
        <f>IFERROR(__xludf.DUMMYFUNCTION("""COMPUTED_VALUE"""),26.0)</f>
        <v>26</v>
      </c>
      <c r="W520" s="136">
        <f>IFERROR(__xludf.DUMMYFUNCTION("""COMPUTED_VALUE"""),33.0)</f>
        <v>33</v>
      </c>
      <c r="X520" s="136">
        <f>IFERROR(__xludf.DUMMYFUNCTION("""COMPUTED_VALUE"""),382.03225806451616)</f>
        <v>382.0322581</v>
      </c>
      <c r="Y520" s="141">
        <f>IFERROR(__xludf.DUMMYFUNCTION("""COMPUTED_VALUE"""),49.75419354838711)</f>
        <v>49.75419355</v>
      </c>
      <c r="Z520" s="141">
        <f>IFERROR(__xludf.DUMMYFUNCTION("""COMPUTED_VALUE"""),2433.064516129032)</f>
        <v>2433.064516</v>
      </c>
    </row>
    <row r="521">
      <c r="A521" s="41" t="str">
        <f>IFERROR(__xludf.DUMMYFUNCTION("""COMPUTED_VALUE"""),"Rival")</f>
        <v>Rival</v>
      </c>
      <c r="B521" s="41" t="str">
        <f>IFERROR(__xludf.DUMMYFUNCTION("""COMPUTED_VALUE"""),"RSC007406")</f>
        <v>RSC007406</v>
      </c>
      <c r="C521" s="41" t="str">
        <f>IFERROR(__xludf.DUMMYFUNCTION("""COMPUTED_VALUE"""),"junior1000gsxr")</f>
        <v>junior1000gsxr</v>
      </c>
      <c r="D521" s="41" t="str">
        <f>IFERROR(__xludf.DUMMYFUNCTION("""COMPUTED_VALUE"""),"Kitsune
Quasars")</f>
        <v>Kitsune
Quasars</v>
      </c>
      <c r="E521" s="136">
        <f>IFERROR(__xludf.DUMMYFUNCTION("""COMPUTED_VALUE"""),10.0)</f>
        <v>10</v>
      </c>
      <c r="F521" s="136">
        <f>IFERROR(__xludf.DUMMYFUNCTION("""COMPUTED_VALUE"""),3.0)</f>
        <v>3</v>
      </c>
      <c r="G521" s="136">
        <f>IFERROR(__xludf.DUMMYFUNCTION("""COMPUTED_VALUE"""),7.0)</f>
        <v>7</v>
      </c>
      <c r="H521" s="137">
        <f>IFERROR(__xludf.DUMMYFUNCTION("""COMPUTED_VALUE"""),0.3)</f>
        <v>0.3</v>
      </c>
      <c r="I521" s="136">
        <f>IFERROR(__xludf.DUMMYFUNCTION("""COMPUTED_VALUE"""),0.0)</f>
        <v>0</v>
      </c>
      <c r="J521" s="136">
        <f>IFERROR(__xludf.DUMMYFUNCTION("""COMPUTED_VALUE"""),2375.0)</f>
        <v>2375</v>
      </c>
      <c r="K521" s="136">
        <f>IFERROR(__xludf.DUMMYFUNCTION("""COMPUTED_VALUE"""),4.0)</f>
        <v>4</v>
      </c>
      <c r="L521" s="136">
        <f>IFERROR(__xludf.DUMMYFUNCTION("""COMPUTED_VALUE"""),2.0)</f>
        <v>2</v>
      </c>
      <c r="M521" s="136">
        <f>IFERROR(__xludf.DUMMYFUNCTION("""COMPUTED_VALUE"""),9.0)</f>
        <v>9</v>
      </c>
      <c r="N521" s="136">
        <f>IFERROR(__xludf.DUMMYFUNCTION("""COMPUTED_VALUE"""),17.0)</f>
        <v>17</v>
      </c>
      <c r="O521" s="138">
        <f>IFERROR(__xludf.DUMMYFUNCTION("""COMPUTED_VALUE"""),0.0)</f>
        <v>0</v>
      </c>
      <c r="P521" s="138">
        <f>IFERROR(__xludf.DUMMYFUNCTION("""COMPUTED_VALUE"""),0.0)</f>
        <v>0</v>
      </c>
      <c r="Q521" s="138">
        <f>IFERROR(__xludf.DUMMYFUNCTION("""COMPUTED_VALUE"""),0.0)</f>
        <v>0</v>
      </c>
      <c r="R521" s="138">
        <f>IFERROR(__xludf.DUMMYFUNCTION("""COMPUTED_VALUE"""),0.0)</f>
        <v>0</v>
      </c>
      <c r="S521" s="139">
        <f>IFERROR(__xludf.DUMMYFUNCTION("""COMPUTED_VALUE"""),76.0)</f>
        <v>76</v>
      </c>
      <c r="T521" s="140">
        <f>IFERROR(__xludf.DUMMYFUNCTION("""COMPUTED_VALUE"""),24.0)</f>
        <v>24</v>
      </c>
      <c r="U521" s="136">
        <f>IFERROR(__xludf.DUMMYFUNCTION("""COMPUTED_VALUE"""),13.0)</f>
        <v>13</v>
      </c>
      <c r="V521" s="136">
        <f>IFERROR(__xludf.DUMMYFUNCTION("""COMPUTED_VALUE"""),28.0)</f>
        <v>28</v>
      </c>
      <c r="W521" s="136">
        <f>IFERROR(__xludf.DUMMYFUNCTION("""COMPUTED_VALUE"""),9.0)</f>
        <v>9</v>
      </c>
      <c r="X521" s="136">
        <f>IFERROR(__xludf.DUMMYFUNCTION("""COMPUTED_VALUE"""),408.3)</f>
        <v>408.3</v>
      </c>
      <c r="Y521" s="141">
        <f>IFERROR(__xludf.DUMMYFUNCTION("""COMPUTED_VALUE"""),47.844)</f>
        <v>47.844</v>
      </c>
      <c r="Z521" s="141">
        <f>IFERROR(__xludf.DUMMYFUNCTION("""COMPUTED_VALUE"""),2345.3)</f>
        <v>2345.3</v>
      </c>
    </row>
    <row r="522">
      <c r="A522" s="41" t="str">
        <f>IFERROR(__xludf.DUMMYFUNCTION("""COMPUTED_VALUE"""),"Master")</f>
        <v>Master</v>
      </c>
      <c r="B522" s="41" t="str">
        <f>IFERROR(__xludf.DUMMYFUNCTION("""COMPUTED_VALUE"""),"RSC007412")</f>
        <v>RSC007412</v>
      </c>
      <c r="C522" s="41" t="str">
        <f>IFERROR(__xludf.DUMMYFUNCTION("""COMPUTED_VALUE"""),"spuf.")</f>
        <v>spuf.</v>
      </c>
      <c r="D522" s="41" t="str">
        <f>IFERROR(__xludf.DUMMYFUNCTION("""COMPUTED_VALUE"""),"Care Bears")</f>
        <v>Care Bears</v>
      </c>
      <c r="E522" s="136">
        <f>IFERROR(__xludf.DUMMYFUNCTION("""COMPUTED_VALUE"""),52.0)</f>
        <v>52</v>
      </c>
      <c r="F522" s="136">
        <f>IFERROR(__xludf.DUMMYFUNCTION("""COMPUTED_VALUE"""),33.0)</f>
        <v>33</v>
      </c>
      <c r="G522" s="136">
        <f>IFERROR(__xludf.DUMMYFUNCTION("""COMPUTED_VALUE"""),19.0)</f>
        <v>19</v>
      </c>
      <c r="H522" s="137">
        <f>IFERROR(__xludf.DUMMYFUNCTION("""COMPUTED_VALUE"""),0.6346153846153846)</f>
        <v>0.6346153846</v>
      </c>
      <c r="I522" s="136">
        <f>IFERROR(__xludf.DUMMYFUNCTION("""COMPUTED_VALUE"""),11.0)</f>
        <v>11</v>
      </c>
      <c r="J522" s="136">
        <f>IFERROR(__xludf.DUMMYFUNCTION("""COMPUTED_VALUE"""),18227.0)</f>
        <v>18227</v>
      </c>
      <c r="K522" s="136">
        <f>IFERROR(__xludf.DUMMYFUNCTION("""COMPUTED_VALUE"""),37.0)</f>
        <v>37</v>
      </c>
      <c r="L522" s="136">
        <f>IFERROR(__xludf.DUMMYFUNCTION("""COMPUTED_VALUE"""),28.0)</f>
        <v>28</v>
      </c>
      <c r="M522" s="136">
        <f>IFERROR(__xludf.DUMMYFUNCTION("""COMPUTED_VALUE"""),69.0)</f>
        <v>69</v>
      </c>
      <c r="N522" s="136">
        <f>IFERROR(__xludf.DUMMYFUNCTION("""COMPUTED_VALUE"""),144.0)</f>
        <v>144</v>
      </c>
      <c r="O522" s="138">
        <f>IFERROR(__xludf.DUMMYFUNCTION("""COMPUTED_VALUE"""),5.0)</f>
        <v>5</v>
      </c>
      <c r="P522" s="138">
        <f>IFERROR(__xludf.DUMMYFUNCTION("""COMPUTED_VALUE"""),2.0)</f>
        <v>2</v>
      </c>
      <c r="Q522" s="138">
        <f>IFERROR(__xludf.DUMMYFUNCTION("""COMPUTED_VALUE"""),1.0)</f>
        <v>1</v>
      </c>
      <c r="R522" s="138">
        <f>IFERROR(__xludf.DUMMYFUNCTION("""COMPUTED_VALUE"""),9.0)</f>
        <v>9</v>
      </c>
      <c r="S522" s="139">
        <f>IFERROR(__xludf.DUMMYFUNCTION("""COMPUTED_VALUE"""),331.0)</f>
        <v>331</v>
      </c>
      <c r="T522" s="140">
        <f>IFERROR(__xludf.DUMMYFUNCTION("""COMPUTED_VALUE"""),90.0)</f>
        <v>90</v>
      </c>
      <c r="U522" s="136">
        <f>IFERROR(__xludf.DUMMYFUNCTION("""COMPUTED_VALUE"""),32.0)</f>
        <v>32</v>
      </c>
      <c r="V522" s="136">
        <f>IFERROR(__xludf.DUMMYFUNCTION("""COMPUTED_VALUE"""),78.0)</f>
        <v>78</v>
      </c>
      <c r="W522" s="136">
        <f>IFERROR(__xludf.DUMMYFUNCTION("""COMPUTED_VALUE"""),64.0)</f>
        <v>64</v>
      </c>
      <c r="X522" s="136">
        <f>IFERROR(__xludf.DUMMYFUNCTION("""COMPUTED_VALUE"""),464.2708333333333)</f>
        <v>464.2708333</v>
      </c>
      <c r="Y522" s="141">
        <f>IFERROR(__xludf.DUMMYFUNCTION("""COMPUTED_VALUE"""),49.814374999999984)</f>
        <v>49.814375</v>
      </c>
      <c r="Z522" s="141">
        <f>IFERROR(__xludf.DUMMYFUNCTION("""COMPUTED_VALUE"""),2830.3125)</f>
        <v>2830.3125</v>
      </c>
    </row>
    <row r="523">
      <c r="A523" s="41" t="str">
        <f>IFERROR(__xludf.DUMMYFUNCTION("""COMPUTED_VALUE"""),"Challenger")</f>
        <v>Challenger</v>
      </c>
      <c r="B523" s="41" t="str">
        <f>IFERROR(__xludf.DUMMYFUNCTION("""COMPUTED_VALUE"""),"RSC007423")</f>
        <v>RSC007423</v>
      </c>
      <c r="C523" s="41" t="str">
        <f>IFERROR(__xludf.DUMMYFUNCTION("""COMPUTED_VALUE"""),"Valuedsquash465")</f>
        <v>Valuedsquash465</v>
      </c>
      <c r="D523" s="41" t="str">
        <f>IFERROR(__xludf.DUMMYFUNCTION("""COMPUTED_VALUE"""),"Porch Pirates
Decuriones
Warthogs")</f>
        <v>Porch Pirates
Decuriones
Warthogs</v>
      </c>
      <c r="E523" s="136">
        <f>IFERROR(__xludf.DUMMYFUNCTION("""COMPUTED_VALUE"""),13.0)</f>
        <v>13</v>
      </c>
      <c r="F523" s="136">
        <f>IFERROR(__xludf.DUMMYFUNCTION("""COMPUTED_VALUE"""),4.0)</f>
        <v>4</v>
      </c>
      <c r="G523" s="136">
        <f>IFERROR(__xludf.DUMMYFUNCTION("""COMPUTED_VALUE"""),9.0)</f>
        <v>9</v>
      </c>
      <c r="H523" s="137">
        <f>IFERROR(__xludf.DUMMYFUNCTION("""COMPUTED_VALUE"""),0.3076923076923077)</f>
        <v>0.3076923077</v>
      </c>
      <c r="I523" s="136">
        <f>IFERROR(__xludf.DUMMYFUNCTION("""COMPUTED_VALUE"""),1.0)</f>
        <v>1</v>
      </c>
      <c r="J523" s="136">
        <f>IFERROR(__xludf.DUMMYFUNCTION("""COMPUTED_VALUE"""),4163.0)</f>
        <v>4163</v>
      </c>
      <c r="K523" s="136">
        <f>IFERROR(__xludf.DUMMYFUNCTION("""COMPUTED_VALUE"""),6.0)</f>
        <v>6</v>
      </c>
      <c r="L523" s="136">
        <f>IFERROR(__xludf.DUMMYFUNCTION("""COMPUTED_VALUE"""),10.0)</f>
        <v>10</v>
      </c>
      <c r="M523" s="136">
        <f>IFERROR(__xludf.DUMMYFUNCTION("""COMPUTED_VALUE"""),15.0)</f>
        <v>15</v>
      </c>
      <c r="N523" s="136">
        <f>IFERROR(__xludf.DUMMYFUNCTION("""COMPUTED_VALUE"""),30.0)</f>
        <v>30</v>
      </c>
      <c r="O523" s="138">
        <f>IFERROR(__xludf.DUMMYFUNCTION("""COMPUTED_VALUE"""),3.0)</f>
        <v>3</v>
      </c>
      <c r="P523" s="138">
        <f>IFERROR(__xludf.DUMMYFUNCTION("""COMPUTED_VALUE"""),0.0)</f>
        <v>0</v>
      </c>
      <c r="Q523" s="138">
        <f>IFERROR(__xludf.DUMMYFUNCTION("""COMPUTED_VALUE"""),0.0)</f>
        <v>0</v>
      </c>
      <c r="R523" s="138">
        <f>IFERROR(__xludf.DUMMYFUNCTION("""COMPUTED_VALUE"""),1.0)</f>
        <v>1</v>
      </c>
      <c r="S523" s="139">
        <f>IFERROR(__xludf.DUMMYFUNCTION("""COMPUTED_VALUE"""),109.0)</f>
        <v>109</v>
      </c>
      <c r="T523" s="140">
        <f>IFERROR(__xludf.DUMMYFUNCTION("""COMPUTED_VALUE"""),39.0)</f>
        <v>39</v>
      </c>
      <c r="U523" s="136">
        <f>IFERROR(__xludf.DUMMYFUNCTION("""COMPUTED_VALUE"""),21.0)</f>
        <v>21</v>
      </c>
      <c r="V523" s="136">
        <f>IFERROR(__xludf.DUMMYFUNCTION("""COMPUTED_VALUE"""),7.0)</f>
        <v>7</v>
      </c>
      <c r="W523" s="136">
        <f>IFERROR(__xludf.DUMMYFUNCTION("""COMPUTED_VALUE"""),16.0)</f>
        <v>16</v>
      </c>
      <c r="X523" s="136">
        <f>IFERROR(__xludf.DUMMYFUNCTION("""COMPUTED_VALUE"""),433.46153846153845)</f>
        <v>433.4615385</v>
      </c>
      <c r="Y523" s="141">
        <f>IFERROR(__xludf.DUMMYFUNCTION("""COMPUTED_VALUE"""),48.45230769230769)</f>
        <v>48.45230769</v>
      </c>
      <c r="Z523" s="141">
        <f>IFERROR(__xludf.DUMMYFUNCTION("""COMPUTED_VALUE"""),2735.6923076923076)</f>
        <v>2735.692308</v>
      </c>
    </row>
    <row r="524">
      <c r="A524" s="41" t="str">
        <f>IFERROR(__xludf.DUMMYFUNCTION("""COMPUTED_VALUE"""),"Challenger")</f>
        <v>Challenger</v>
      </c>
      <c r="B524" s="41" t="str">
        <f>IFERROR(__xludf.DUMMYFUNCTION("""COMPUTED_VALUE"""),"RSC007431")</f>
        <v>RSC007431</v>
      </c>
      <c r="C524" s="41" t="str">
        <f>IFERROR(__xludf.DUMMYFUNCTION("""COMPUTED_VALUE"""),"xPotatodactylx")</f>
        <v>xPotatodactylx</v>
      </c>
      <c r="D524" s="41" t="str">
        <f>IFERROR(__xludf.DUMMYFUNCTION("""COMPUTED_VALUE"""),"Ryujin")</f>
        <v>Ryujin</v>
      </c>
      <c r="E524" s="136">
        <f>IFERROR(__xludf.DUMMYFUNCTION("""COMPUTED_VALUE"""),46.0)</f>
        <v>46</v>
      </c>
      <c r="F524" s="136">
        <f>IFERROR(__xludf.DUMMYFUNCTION("""COMPUTED_VALUE"""),22.0)</f>
        <v>22</v>
      </c>
      <c r="G524" s="136">
        <f>IFERROR(__xludf.DUMMYFUNCTION("""COMPUTED_VALUE"""),24.0)</f>
        <v>24</v>
      </c>
      <c r="H524" s="137">
        <f>IFERROR(__xludf.DUMMYFUNCTION("""COMPUTED_VALUE"""),0.4782608695652174)</f>
        <v>0.4782608696</v>
      </c>
      <c r="I524" s="136">
        <f>IFERROR(__xludf.DUMMYFUNCTION("""COMPUTED_VALUE"""),3.0)</f>
        <v>3</v>
      </c>
      <c r="J524" s="136">
        <f>IFERROR(__xludf.DUMMYFUNCTION("""COMPUTED_VALUE"""),13882.0)</f>
        <v>13882</v>
      </c>
      <c r="K524" s="136">
        <f>IFERROR(__xludf.DUMMYFUNCTION("""COMPUTED_VALUE"""),24.0)</f>
        <v>24</v>
      </c>
      <c r="L524" s="136">
        <f>IFERROR(__xludf.DUMMYFUNCTION("""COMPUTED_VALUE"""),19.0)</f>
        <v>19</v>
      </c>
      <c r="M524" s="136">
        <f>IFERROR(__xludf.DUMMYFUNCTION("""COMPUTED_VALUE"""),72.0)</f>
        <v>72</v>
      </c>
      <c r="N524" s="136">
        <f>IFERROR(__xludf.DUMMYFUNCTION("""COMPUTED_VALUE"""),83.0)</f>
        <v>83</v>
      </c>
      <c r="O524" s="138">
        <f>IFERROR(__xludf.DUMMYFUNCTION("""COMPUTED_VALUE"""),5.0)</f>
        <v>5</v>
      </c>
      <c r="P524" s="138">
        <f>IFERROR(__xludf.DUMMYFUNCTION("""COMPUTED_VALUE"""),0.0)</f>
        <v>0</v>
      </c>
      <c r="Q524" s="138">
        <f>IFERROR(__xludf.DUMMYFUNCTION("""COMPUTED_VALUE"""),2.0)</f>
        <v>2</v>
      </c>
      <c r="R524" s="138">
        <f>IFERROR(__xludf.DUMMYFUNCTION("""COMPUTED_VALUE"""),8.0)</f>
        <v>8</v>
      </c>
      <c r="S524" s="139">
        <f>IFERROR(__xludf.DUMMYFUNCTION("""COMPUTED_VALUE"""),344.0)</f>
        <v>344</v>
      </c>
      <c r="T524" s="140">
        <f>IFERROR(__xludf.DUMMYFUNCTION("""COMPUTED_VALUE"""),95.0)</f>
        <v>95</v>
      </c>
      <c r="U524" s="136">
        <f>IFERROR(__xludf.DUMMYFUNCTION("""COMPUTED_VALUE"""),31.0)</f>
        <v>31</v>
      </c>
      <c r="V524" s="136">
        <f>IFERROR(__xludf.DUMMYFUNCTION("""COMPUTED_VALUE"""),32.0)</f>
        <v>32</v>
      </c>
      <c r="W524" s="136">
        <f>IFERROR(__xludf.DUMMYFUNCTION("""COMPUTED_VALUE"""),37.0)</f>
        <v>37</v>
      </c>
      <c r="X524" s="136">
        <f>IFERROR(__xludf.DUMMYFUNCTION("""COMPUTED_VALUE"""),328.80434782608694)</f>
        <v>328.8043478</v>
      </c>
      <c r="Y524" s="141">
        <f>IFERROR(__xludf.DUMMYFUNCTION("""COMPUTED_VALUE"""),44.391304347826086)</f>
        <v>44.39130435</v>
      </c>
      <c r="Z524" s="141">
        <f>IFERROR(__xludf.DUMMYFUNCTION("""COMPUTED_VALUE"""),1904.2608695652175)</f>
        <v>1904.26087</v>
      </c>
    </row>
    <row r="525">
      <c r="A525" s="41" t="str">
        <f>IFERROR(__xludf.DUMMYFUNCTION("""COMPUTED_VALUE"""),"Challenger")</f>
        <v>Challenger</v>
      </c>
      <c r="B525" s="41" t="str">
        <f>IFERROR(__xludf.DUMMYFUNCTION("""COMPUTED_VALUE"""),"RSC007442")</f>
        <v>RSC007442</v>
      </c>
      <c r="C525" s="41" t="str">
        <f>IFERROR(__xludf.DUMMYFUNCTION("""COMPUTED_VALUE"""),"willbong")</f>
        <v>willbong</v>
      </c>
      <c r="D525" s="41" t="str">
        <f>IFERROR(__xludf.DUMMYFUNCTION("""COMPUTED_VALUE"""),"Sirens
Spearmint
Toucans")</f>
        <v>Sirens
Spearmint
Toucans</v>
      </c>
      <c r="E525" s="136">
        <f>IFERROR(__xludf.DUMMYFUNCTION("""COMPUTED_VALUE"""),31.0)</f>
        <v>31</v>
      </c>
      <c r="F525" s="136">
        <f>IFERROR(__xludf.DUMMYFUNCTION("""COMPUTED_VALUE"""),12.0)</f>
        <v>12</v>
      </c>
      <c r="G525" s="136">
        <f>IFERROR(__xludf.DUMMYFUNCTION("""COMPUTED_VALUE"""),19.0)</f>
        <v>19</v>
      </c>
      <c r="H525" s="137">
        <f>IFERROR(__xludf.DUMMYFUNCTION("""COMPUTED_VALUE"""),0.3870967741935484)</f>
        <v>0.3870967742</v>
      </c>
      <c r="I525" s="136">
        <f>IFERROR(__xludf.DUMMYFUNCTION("""COMPUTED_VALUE"""),4.0)</f>
        <v>4</v>
      </c>
      <c r="J525" s="136">
        <f>IFERROR(__xludf.DUMMYFUNCTION("""COMPUTED_VALUE"""),8747.0)</f>
        <v>8747</v>
      </c>
      <c r="K525" s="136">
        <f>IFERROR(__xludf.DUMMYFUNCTION("""COMPUTED_VALUE"""),15.0)</f>
        <v>15</v>
      </c>
      <c r="L525" s="136">
        <f>IFERROR(__xludf.DUMMYFUNCTION("""COMPUTED_VALUE"""),14.0)</f>
        <v>14</v>
      </c>
      <c r="M525" s="136">
        <f>IFERROR(__xludf.DUMMYFUNCTION("""COMPUTED_VALUE"""),35.0)</f>
        <v>35</v>
      </c>
      <c r="N525" s="136">
        <f>IFERROR(__xludf.DUMMYFUNCTION("""COMPUTED_VALUE"""),48.0)</f>
        <v>48</v>
      </c>
      <c r="O525" s="138">
        <f>IFERROR(__xludf.DUMMYFUNCTION("""COMPUTED_VALUE"""),3.0)</f>
        <v>3</v>
      </c>
      <c r="P525" s="138">
        <f>IFERROR(__xludf.DUMMYFUNCTION("""COMPUTED_VALUE"""),0.0)</f>
        <v>0</v>
      </c>
      <c r="Q525" s="138">
        <f>IFERROR(__xludf.DUMMYFUNCTION("""COMPUTED_VALUE"""),0.0)</f>
        <v>0</v>
      </c>
      <c r="R525" s="138">
        <f>IFERROR(__xludf.DUMMYFUNCTION("""COMPUTED_VALUE"""),3.0)</f>
        <v>3</v>
      </c>
      <c r="S525" s="139">
        <f>IFERROR(__xludf.DUMMYFUNCTION("""COMPUTED_VALUE"""),285.0)</f>
        <v>285</v>
      </c>
      <c r="T525" s="140">
        <f>IFERROR(__xludf.DUMMYFUNCTION("""COMPUTED_VALUE"""),89.0)</f>
        <v>89</v>
      </c>
      <c r="U525" s="136">
        <f>IFERROR(__xludf.DUMMYFUNCTION("""COMPUTED_VALUE"""),24.0)</f>
        <v>24</v>
      </c>
      <c r="V525" s="136">
        <f>IFERROR(__xludf.DUMMYFUNCTION("""COMPUTED_VALUE"""),45.0)</f>
        <v>45</v>
      </c>
      <c r="W525" s="136">
        <f>IFERROR(__xludf.DUMMYFUNCTION("""COMPUTED_VALUE"""),27.0)</f>
        <v>27</v>
      </c>
      <c r="X525" s="136">
        <f>IFERROR(__xludf.DUMMYFUNCTION("""COMPUTED_VALUE"""),314.7741935483871)</f>
        <v>314.7741935</v>
      </c>
      <c r="Y525" s="141">
        <f>IFERROR(__xludf.DUMMYFUNCTION("""COMPUTED_VALUE"""),54.6358064516129)</f>
        <v>54.63580645</v>
      </c>
      <c r="Z525" s="141">
        <f>IFERROR(__xludf.DUMMYFUNCTION("""COMPUTED_VALUE"""),1913.1935483870968)</f>
        <v>1913.193548</v>
      </c>
    </row>
    <row r="526">
      <c r="A526" s="41" t="str">
        <f>IFERROR(__xludf.DUMMYFUNCTION("""COMPUTED_VALUE"""),"Rival")</f>
        <v>Rival</v>
      </c>
      <c r="B526" s="41" t="str">
        <f>IFERROR(__xludf.DUMMYFUNCTION("""COMPUTED_VALUE"""),"RSC007453")</f>
        <v>RSC007453</v>
      </c>
      <c r="C526" s="41" t="str">
        <f>IFERROR(__xludf.DUMMYFUNCTION("""COMPUTED_VALUE"""),"TheDoy420")</f>
        <v>TheDoy420</v>
      </c>
      <c r="D526" s="41" t="str">
        <f>IFERROR(__xludf.DUMMYFUNCTION("""COMPUTED_VALUE"""),"Gaboons
Polar Ice")</f>
        <v>Gaboons
Polar Ice</v>
      </c>
      <c r="E526" s="136">
        <f>IFERROR(__xludf.DUMMYFUNCTION("""COMPUTED_VALUE"""),13.0)</f>
        <v>13</v>
      </c>
      <c r="F526" s="136">
        <f>IFERROR(__xludf.DUMMYFUNCTION("""COMPUTED_VALUE"""),4.0)</f>
        <v>4</v>
      </c>
      <c r="G526" s="136">
        <f>IFERROR(__xludf.DUMMYFUNCTION("""COMPUTED_VALUE"""),9.0)</f>
        <v>9</v>
      </c>
      <c r="H526" s="137">
        <f>IFERROR(__xludf.DUMMYFUNCTION("""COMPUTED_VALUE"""),0.3076923076923077)</f>
        <v>0.3076923077</v>
      </c>
      <c r="I526" s="136">
        <f>IFERROR(__xludf.DUMMYFUNCTION("""COMPUTED_VALUE"""),1.0)</f>
        <v>1</v>
      </c>
      <c r="J526" s="136">
        <f>IFERROR(__xludf.DUMMYFUNCTION("""COMPUTED_VALUE"""),4331.0)</f>
        <v>4331</v>
      </c>
      <c r="K526" s="136">
        <f>IFERROR(__xludf.DUMMYFUNCTION("""COMPUTED_VALUE"""),11.0)</f>
        <v>11</v>
      </c>
      <c r="L526" s="136">
        <f>IFERROR(__xludf.DUMMYFUNCTION("""COMPUTED_VALUE"""),8.0)</f>
        <v>8</v>
      </c>
      <c r="M526" s="136">
        <f>IFERROR(__xludf.DUMMYFUNCTION("""COMPUTED_VALUE"""),14.0)</f>
        <v>14</v>
      </c>
      <c r="N526" s="136">
        <f>IFERROR(__xludf.DUMMYFUNCTION("""COMPUTED_VALUE"""),22.0)</f>
        <v>22</v>
      </c>
      <c r="O526" s="138">
        <f>IFERROR(__xludf.DUMMYFUNCTION("""COMPUTED_VALUE"""),3.0)</f>
        <v>3</v>
      </c>
      <c r="P526" s="138">
        <f>IFERROR(__xludf.DUMMYFUNCTION("""COMPUTED_VALUE"""),1.0)</f>
        <v>1</v>
      </c>
      <c r="Q526" s="138">
        <f>IFERROR(__xludf.DUMMYFUNCTION("""COMPUTED_VALUE"""),0.0)</f>
        <v>0</v>
      </c>
      <c r="R526" s="138">
        <f>IFERROR(__xludf.DUMMYFUNCTION("""COMPUTED_VALUE"""),1.0)</f>
        <v>1</v>
      </c>
      <c r="S526" s="139">
        <f>IFERROR(__xludf.DUMMYFUNCTION("""COMPUTED_VALUE"""),93.0)</f>
        <v>93</v>
      </c>
      <c r="T526" s="140">
        <f>IFERROR(__xludf.DUMMYFUNCTION("""COMPUTED_VALUE"""),30.0)</f>
        <v>30</v>
      </c>
      <c r="U526" s="136">
        <f>IFERROR(__xludf.DUMMYFUNCTION("""COMPUTED_VALUE"""),11.0)</f>
        <v>11</v>
      </c>
      <c r="V526" s="136">
        <f>IFERROR(__xludf.DUMMYFUNCTION("""COMPUTED_VALUE"""),9.0)</f>
        <v>9</v>
      </c>
      <c r="W526" s="136">
        <f>IFERROR(__xludf.DUMMYFUNCTION("""COMPUTED_VALUE"""),15.0)</f>
        <v>15</v>
      </c>
      <c r="X526" s="136">
        <f>IFERROR(__xludf.DUMMYFUNCTION("""COMPUTED_VALUE"""),332.3076923076923)</f>
        <v>332.3076923</v>
      </c>
      <c r="Y526" s="141">
        <f>IFERROR(__xludf.DUMMYFUNCTION("""COMPUTED_VALUE"""),46.71846153846153)</f>
        <v>46.71846154</v>
      </c>
      <c r="Z526" s="141">
        <f>IFERROR(__xludf.DUMMYFUNCTION("""COMPUTED_VALUE"""),1962.3076923076924)</f>
        <v>1962.307692</v>
      </c>
    </row>
    <row r="527">
      <c r="A527" s="41" t="str">
        <f>IFERROR(__xludf.DUMMYFUNCTION("""COMPUTED_VALUE"""),"Premier")</f>
        <v>Premier</v>
      </c>
      <c r="B527" s="41" t="str">
        <f>IFERROR(__xludf.DUMMYFUNCTION("""COMPUTED_VALUE"""),"RSC007460")</f>
        <v>RSC007460</v>
      </c>
      <c r="C527" s="41" t="str">
        <f>IFERROR(__xludf.DUMMYFUNCTION("""COMPUTED_VALUE"""),"mogiiuh")</f>
        <v>mogiiuh</v>
      </c>
      <c r="D527" s="41" t="str">
        <f>IFERROR(__xludf.DUMMYFUNCTION("""COMPUTED_VALUE"""),"Punks")</f>
        <v>Punks</v>
      </c>
      <c r="E527" s="136">
        <f>IFERROR(__xludf.DUMMYFUNCTION("""COMPUTED_VALUE"""),20.0)</f>
        <v>20</v>
      </c>
      <c r="F527" s="136">
        <f>IFERROR(__xludf.DUMMYFUNCTION("""COMPUTED_VALUE"""),10.0)</f>
        <v>10</v>
      </c>
      <c r="G527" s="136">
        <f>IFERROR(__xludf.DUMMYFUNCTION("""COMPUTED_VALUE"""),10.0)</f>
        <v>10</v>
      </c>
      <c r="H527" s="137">
        <f>IFERROR(__xludf.DUMMYFUNCTION("""COMPUTED_VALUE"""),0.5)</f>
        <v>0.5</v>
      </c>
      <c r="I527" s="136">
        <f>IFERROR(__xludf.DUMMYFUNCTION("""COMPUTED_VALUE"""),6.0)</f>
        <v>6</v>
      </c>
      <c r="J527" s="136">
        <f>IFERROR(__xludf.DUMMYFUNCTION("""COMPUTED_VALUE"""),10005.0)</f>
        <v>10005</v>
      </c>
      <c r="K527" s="136">
        <f>IFERROR(__xludf.DUMMYFUNCTION("""COMPUTED_VALUE"""),22.0)</f>
        <v>22</v>
      </c>
      <c r="L527" s="136">
        <f>IFERROR(__xludf.DUMMYFUNCTION("""COMPUTED_VALUE"""),18.0)</f>
        <v>18</v>
      </c>
      <c r="M527" s="136">
        <f>IFERROR(__xludf.DUMMYFUNCTION("""COMPUTED_VALUE"""),43.0)</f>
        <v>43</v>
      </c>
      <c r="N527" s="136">
        <f>IFERROR(__xludf.DUMMYFUNCTION("""COMPUTED_VALUE"""),72.0)</f>
        <v>72</v>
      </c>
      <c r="O527" s="138">
        <f>IFERROR(__xludf.DUMMYFUNCTION("""COMPUTED_VALUE"""),10.0)</f>
        <v>10</v>
      </c>
      <c r="P527" s="138">
        <f>IFERROR(__xludf.DUMMYFUNCTION("""COMPUTED_VALUE"""),2.0)</f>
        <v>2</v>
      </c>
      <c r="Q527" s="138">
        <f>IFERROR(__xludf.DUMMYFUNCTION("""COMPUTED_VALUE"""),0.0)</f>
        <v>0</v>
      </c>
      <c r="R527" s="138">
        <f>IFERROR(__xludf.DUMMYFUNCTION("""COMPUTED_VALUE"""),8.0)</f>
        <v>8</v>
      </c>
      <c r="S527" s="139">
        <f>IFERROR(__xludf.DUMMYFUNCTION("""COMPUTED_VALUE"""),186.0)</f>
        <v>186</v>
      </c>
      <c r="T527" s="140">
        <f>IFERROR(__xludf.DUMMYFUNCTION("""COMPUTED_VALUE"""),53.0)</f>
        <v>53</v>
      </c>
      <c r="U527" s="136">
        <f>IFERROR(__xludf.DUMMYFUNCTION("""COMPUTED_VALUE"""),13.0)</f>
        <v>13</v>
      </c>
      <c r="V527" s="136">
        <f>IFERROR(__xludf.DUMMYFUNCTION("""COMPUTED_VALUE"""),25.0)</f>
        <v>25</v>
      </c>
      <c r="W527" s="136">
        <f>IFERROR(__xludf.DUMMYFUNCTION("""COMPUTED_VALUE"""),24.0)</f>
        <v>24</v>
      </c>
      <c r="X527" s="136">
        <f>IFERROR(__xludf.DUMMYFUNCTION("""COMPUTED_VALUE"""),436.45)</f>
        <v>436.45</v>
      </c>
      <c r="Y527" s="141">
        <f>IFERROR(__xludf.DUMMYFUNCTION("""COMPUTED_VALUE"""),52.193)</f>
        <v>52.193</v>
      </c>
      <c r="Z527" s="141">
        <f>IFERROR(__xludf.DUMMYFUNCTION("""COMPUTED_VALUE"""),2619.0)</f>
        <v>2619</v>
      </c>
    </row>
    <row r="528">
      <c r="A528" s="41" t="str">
        <f>IFERROR(__xludf.DUMMYFUNCTION("""COMPUTED_VALUE"""),"Amateur")</f>
        <v>Amateur</v>
      </c>
      <c r="B528" s="41" t="str">
        <f>IFERROR(__xludf.DUMMYFUNCTION("""COMPUTED_VALUE"""),"RSC007462")</f>
        <v>RSC007462</v>
      </c>
      <c r="C528" s="41" t="str">
        <f>IFERROR(__xludf.DUMMYFUNCTION("""COMPUTED_VALUE"""),"Lil DizNick")</f>
        <v>Lil DizNick</v>
      </c>
      <c r="D528" s="41" t="str">
        <f>IFERROR(__xludf.DUMMYFUNCTION("""COMPUTED_VALUE"""),"Winter Fresh")</f>
        <v>Winter Fresh</v>
      </c>
      <c r="E528" s="136">
        <f>IFERROR(__xludf.DUMMYFUNCTION("""COMPUTED_VALUE"""),4.0)</f>
        <v>4</v>
      </c>
      <c r="F528" s="136">
        <f>IFERROR(__xludf.DUMMYFUNCTION("""COMPUTED_VALUE"""),0.0)</f>
        <v>0</v>
      </c>
      <c r="G528" s="136">
        <f>IFERROR(__xludf.DUMMYFUNCTION("""COMPUTED_VALUE"""),4.0)</f>
        <v>4</v>
      </c>
      <c r="H528" s="137">
        <f>IFERROR(__xludf.DUMMYFUNCTION("""COMPUTED_VALUE"""),0.0)</f>
        <v>0</v>
      </c>
      <c r="I528" s="136">
        <f>IFERROR(__xludf.DUMMYFUNCTION("""COMPUTED_VALUE"""),0.0)</f>
        <v>0</v>
      </c>
      <c r="J528" s="136">
        <f>IFERROR(__xludf.DUMMYFUNCTION("""COMPUTED_VALUE"""),1077.0)</f>
        <v>1077</v>
      </c>
      <c r="K528" s="136">
        <f>IFERROR(__xludf.DUMMYFUNCTION("""COMPUTED_VALUE"""),2.0)</f>
        <v>2</v>
      </c>
      <c r="L528" s="136">
        <f>IFERROR(__xludf.DUMMYFUNCTION("""COMPUTED_VALUE"""),1.0)</f>
        <v>1</v>
      </c>
      <c r="M528" s="136">
        <f>IFERROR(__xludf.DUMMYFUNCTION("""COMPUTED_VALUE"""),4.0)</f>
        <v>4</v>
      </c>
      <c r="N528" s="136">
        <f>IFERROR(__xludf.DUMMYFUNCTION("""COMPUTED_VALUE"""),7.0)</f>
        <v>7</v>
      </c>
      <c r="O528" s="138">
        <f>IFERROR(__xludf.DUMMYFUNCTION("""COMPUTED_VALUE"""),0.0)</f>
        <v>0</v>
      </c>
      <c r="P528" s="138">
        <f>IFERROR(__xludf.DUMMYFUNCTION("""COMPUTED_VALUE"""),0.0)</f>
        <v>0</v>
      </c>
      <c r="Q528" s="138">
        <f>IFERROR(__xludf.DUMMYFUNCTION("""COMPUTED_VALUE"""),0.0)</f>
        <v>0</v>
      </c>
      <c r="R528" s="138">
        <f>IFERROR(__xludf.DUMMYFUNCTION("""COMPUTED_VALUE"""),0.0)</f>
        <v>0</v>
      </c>
      <c r="S528" s="139">
        <f>IFERROR(__xludf.DUMMYFUNCTION("""COMPUTED_VALUE"""),38.0)</f>
        <v>38</v>
      </c>
      <c r="T528" s="140">
        <f>IFERROR(__xludf.DUMMYFUNCTION("""COMPUTED_VALUE"""),18.0)</f>
        <v>18</v>
      </c>
      <c r="U528" s="136">
        <f>IFERROR(__xludf.DUMMYFUNCTION("""COMPUTED_VALUE"""),6.0)</f>
        <v>6</v>
      </c>
      <c r="V528" s="136">
        <f>IFERROR(__xludf.DUMMYFUNCTION("""COMPUTED_VALUE"""),5.0)</f>
        <v>5</v>
      </c>
      <c r="W528" s="136">
        <f>IFERROR(__xludf.DUMMYFUNCTION("""COMPUTED_VALUE"""),8.0)</f>
        <v>8</v>
      </c>
      <c r="X528" s="139">
        <f>IFERROR(__xludf.DUMMYFUNCTION("""COMPUTED_VALUE"""),366.5)</f>
        <v>366.5</v>
      </c>
      <c r="Y528" s="141">
        <f>IFERROR(__xludf.DUMMYFUNCTION("""COMPUTED_VALUE"""),45.88249999999999)</f>
        <v>45.8825</v>
      </c>
      <c r="Z528" s="141">
        <f>IFERROR(__xludf.DUMMYFUNCTION("""COMPUTED_VALUE"""),2047.0)</f>
        <v>2047</v>
      </c>
    </row>
    <row r="529">
      <c r="A529" s="41" t="str">
        <f>IFERROR(__xludf.DUMMYFUNCTION("""COMPUTED_VALUE"""),"Prospect")</f>
        <v>Prospect</v>
      </c>
      <c r="B529" s="41" t="str">
        <f>IFERROR(__xludf.DUMMYFUNCTION("""COMPUTED_VALUE"""),"RSC007464")</f>
        <v>RSC007464</v>
      </c>
      <c r="C529" s="41" t="str">
        <f>IFERROR(__xludf.DUMMYFUNCTION("""COMPUTED_VALUE"""),"MoonKnight2")</f>
        <v>MoonKnight2</v>
      </c>
      <c r="D529" s="41" t="str">
        <f>IFERROR(__xludf.DUMMYFUNCTION("""COMPUTED_VALUE"""),"Honey Badgers")</f>
        <v>Honey Badgers</v>
      </c>
      <c r="E529" s="136">
        <f>IFERROR(__xludf.DUMMYFUNCTION("""COMPUTED_VALUE"""),42.0)</f>
        <v>42</v>
      </c>
      <c r="F529" s="136">
        <f>IFERROR(__xludf.DUMMYFUNCTION("""COMPUTED_VALUE"""),18.0)</f>
        <v>18</v>
      </c>
      <c r="G529" s="136">
        <f>IFERROR(__xludf.DUMMYFUNCTION("""COMPUTED_VALUE"""),24.0)</f>
        <v>24</v>
      </c>
      <c r="H529" s="137">
        <f>IFERROR(__xludf.DUMMYFUNCTION("""COMPUTED_VALUE"""),0.42857142857142855)</f>
        <v>0.4285714286</v>
      </c>
      <c r="I529" s="136">
        <f>IFERROR(__xludf.DUMMYFUNCTION("""COMPUTED_VALUE"""),5.0)</f>
        <v>5</v>
      </c>
      <c r="J529" s="136">
        <f>IFERROR(__xludf.DUMMYFUNCTION("""COMPUTED_VALUE"""),12041.0)</f>
        <v>12041</v>
      </c>
      <c r="K529" s="136">
        <f>IFERROR(__xludf.DUMMYFUNCTION("""COMPUTED_VALUE"""),32.0)</f>
        <v>32</v>
      </c>
      <c r="L529" s="136">
        <f>IFERROR(__xludf.DUMMYFUNCTION("""COMPUTED_VALUE"""),16.0)</f>
        <v>16</v>
      </c>
      <c r="M529" s="136">
        <f>IFERROR(__xludf.DUMMYFUNCTION("""COMPUTED_VALUE"""),41.0)</f>
        <v>41</v>
      </c>
      <c r="N529" s="136">
        <f>IFERROR(__xludf.DUMMYFUNCTION("""COMPUTED_VALUE"""),84.0)</f>
        <v>84</v>
      </c>
      <c r="O529" s="138">
        <f>IFERROR(__xludf.DUMMYFUNCTION("""COMPUTED_VALUE"""),3.0)</f>
        <v>3</v>
      </c>
      <c r="P529" s="138">
        <f>IFERROR(__xludf.DUMMYFUNCTION("""COMPUTED_VALUE"""),1.0)</f>
        <v>1</v>
      </c>
      <c r="Q529" s="138">
        <f>IFERROR(__xludf.DUMMYFUNCTION("""COMPUTED_VALUE"""),0.0)</f>
        <v>0</v>
      </c>
      <c r="R529" s="138">
        <f>IFERROR(__xludf.DUMMYFUNCTION("""COMPUTED_VALUE"""),2.0)</f>
        <v>2</v>
      </c>
      <c r="S529" s="139">
        <f>IFERROR(__xludf.DUMMYFUNCTION("""COMPUTED_VALUE"""),287.0)</f>
        <v>287</v>
      </c>
      <c r="T529" s="140">
        <f>IFERROR(__xludf.DUMMYFUNCTION("""COMPUTED_VALUE"""),106.0)</f>
        <v>106</v>
      </c>
      <c r="U529" s="136">
        <f>IFERROR(__xludf.DUMMYFUNCTION("""COMPUTED_VALUE"""),39.0)</f>
        <v>39</v>
      </c>
      <c r="V529" s="136">
        <f>IFERROR(__xludf.DUMMYFUNCTION("""COMPUTED_VALUE"""),21.0)</f>
        <v>21</v>
      </c>
      <c r="W529" s="136">
        <f>IFERROR(__xludf.DUMMYFUNCTION("""COMPUTED_VALUE"""),35.0)</f>
        <v>35</v>
      </c>
      <c r="X529" s="136">
        <f>IFERROR(__xludf.DUMMYFUNCTION("""COMPUTED_VALUE"""),319.6904761904762)</f>
        <v>319.6904762</v>
      </c>
      <c r="Y529" s="141">
        <f>IFERROR(__xludf.DUMMYFUNCTION("""COMPUTED_VALUE"""),48.859285714285726)</f>
        <v>48.85928571</v>
      </c>
      <c r="Z529" s="141">
        <f>IFERROR(__xludf.DUMMYFUNCTION("""COMPUTED_VALUE"""),1950.3333333333333)</f>
        <v>1950.333333</v>
      </c>
    </row>
    <row r="530">
      <c r="A530" s="41" t="str">
        <f>IFERROR(__xludf.DUMMYFUNCTION("""COMPUTED_VALUE"""),"Amateur")</f>
        <v>Amateur</v>
      </c>
      <c r="B530" s="41" t="str">
        <f>IFERROR(__xludf.DUMMYFUNCTION("""COMPUTED_VALUE"""),"RSC007468")</f>
        <v>RSC007468</v>
      </c>
      <c r="C530" s="41" t="str">
        <f>IFERROR(__xludf.DUMMYFUNCTION("""COMPUTED_VALUE"""),"im_link42")</f>
        <v>im_link42</v>
      </c>
      <c r="D530" s="41" t="str">
        <f>IFERROR(__xludf.DUMMYFUNCTION("""COMPUTED_VALUE"""),"Kappa")</f>
        <v>Kappa</v>
      </c>
      <c r="E530" s="136">
        <f>IFERROR(__xludf.DUMMYFUNCTION("""COMPUTED_VALUE"""),46.0)</f>
        <v>46</v>
      </c>
      <c r="F530" s="136">
        <f>IFERROR(__xludf.DUMMYFUNCTION("""COMPUTED_VALUE"""),20.0)</f>
        <v>20</v>
      </c>
      <c r="G530" s="136">
        <f>IFERROR(__xludf.DUMMYFUNCTION("""COMPUTED_VALUE"""),26.0)</f>
        <v>26</v>
      </c>
      <c r="H530" s="137">
        <f>IFERROR(__xludf.DUMMYFUNCTION("""COMPUTED_VALUE"""),0.43478260869565216)</f>
        <v>0.4347826087</v>
      </c>
      <c r="I530" s="136">
        <f>IFERROR(__xludf.DUMMYFUNCTION("""COMPUTED_VALUE"""),14.0)</f>
        <v>14</v>
      </c>
      <c r="J530" s="136">
        <f>IFERROR(__xludf.DUMMYFUNCTION("""COMPUTED_VALUE"""),17796.0)</f>
        <v>17796</v>
      </c>
      <c r="K530" s="136">
        <f>IFERROR(__xludf.DUMMYFUNCTION("""COMPUTED_VALUE"""),46.0)</f>
        <v>46</v>
      </c>
      <c r="L530" s="136">
        <f>IFERROR(__xludf.DUMMYFUNCTION("""COMPUTED_VALUE"""),20.0)</f>
        <v>20</v>
      </c>
      <c r="M530" s="136">
        <f>IFERROR(__xludf.DUMMYFUNCTION("""COMPUTED_VALUE"""),74.0)</f>
        <v>74</v>
      </c>
      <c r="N530" s="136">
        <f>IFERROR(__xludf.DUMMYFUNCTION("""COMPUTED_VALUE"""),126.0)</f>
        <v>126</v>
      </c>
      <c r="O530" s="138">
        <f>IFERROR(__xludf.DUMMYFUNCTION("""COMPUTED_VALUE"""),12.0)</f>
        <v>12</v>
      </c>
      <c r="P530" s="138">
        <f>IFERROR(__xludf.DUMMYFUNCTION("""COMPUTED_VALUE"""),2.0)</f>
        <v>2</v>
      </c>
      <c r="Q530" s="138">
        <f>IFERROR(__xludf.DUMMYFUNCTION("""COMPUTED_VALUE"""),0.0)</f>
        <v>0</v>
      </c>
      <c r="R530" s="138">
        <f>IFERROR(__xludf.DUMMYFUNCTION("""COMPUTED_VALUE"""),7.0)</f>
        <v>7</v>
      </c>
      <c r="S530" s="139">
        <f>IFERROR(__xludf.DUMMYFUNCTION("""COMPUTED_VALUE"""),350.0)</f>
        <v>350</v>
      </c>
      <c r="T530" s="140">
        <f>IFERROR(__xludf.DUMMYFUNCTION("""COMPUTED_VALUE"""),120.0)</f>
        <v>120</v>
      </c>
      <c r="U530" s="136">
        <f>IFERROR(__xludf.DUMMYFUNCTION("""COMPUTED_VALUE"""),51.0)</f>
        <v>51</v>
      </c>
      <c r="V530" s="136">
        <f>IFERROR(__xludf.DUMMYFUNCTION("""COMPUTED_VALUE"""),25.0)</f>
        <v>25</v>
      </c>
      <c r="W530" s="136">
        <f>IFERROR(__xludf.DUMMYFUNCTION("""COMPUTED_VALUE"""),34.0)</f>
        <v>34</v>
      </c>
      <c r="X530" s="139">
        <f>IFERROR(__xludf.DUMMYFUNCTION("""COMPUTED_VALUE"""),352.5869565217391)</f>
        <v>352.5869565</v>
      </c>
      <c r="Y530" s="141">
        <f>IFERROR(__xludf.DUMMYFUNCTION("""COMPUTED_VALUE"""),53.33217391304348)</f>
        <v>53.33217391</v>
      </c>
      <c r="Z530" s="141">
        <f>IFERROR(__xludf.DUMMYFUNCTION("""COMPUTED_VALUE"""),2159.9347826086955)</f>
        <v>2159.934783</v>
      </c>
    </row>
    <row r="531">
      <c r="A531" s="41" t="str">
        <f>IFERROR(__xludf.DUMMYFUNCTION("""COMPUTED_VALUE"""),"Elite")</f>
        <v>Elite</v>
      </c>
      <c r="B531" s="41" t="str">
        <f>IFERROR(__xludf.DUMMYFUNCTION("""COMPUTED_VALUE"""),"RSC007470")</f>
        <v>RSC007470</v>
      </c>
      <c r="C531" s="41" t="str">
        <f>IFERROR(__xludf.DUMMYFUNCTION("""COMPUTED_VALUE"""),"Fused Gavin")</f>
        <v>Fused Gavin</v>
      </c>
      <c r="D531" s="41" t="str">
        <f>IFERROR(__xludf.DUMMYFUNCTION("""COMPUTED_VALUE"""),"Swordsman")</f>
        <v>Swordsman</v>
      </c>
      <c r="E531" s="136">
        <f>IFERROR(__xludf.DUMMYFUNCTION("""COMPUTED_VALUE"""),23.0)</f>
        <v>23</v>
      </c>
      <c r="F531" s="136">
        <f>IFERROR(__xludf.DUMMYFUNCTION("""COMPUTED_VALUE"""),13.0)</f>
        <v>13</v>
      </c>
      <c r="G531" s="136">
        <f>IFERROR(__xludf.DUMMYFUNCTION("""COMPUTED_VALUE"""),10.0)</f>
        <v>10</v>
      </c>
      <c r="H531" s="137">
        <f>IFERROR(__xludf.DUMMYFUNCTION("""COMPUTED_VALUE"""),0.5652173913043478)</f>
        <v>0.5652173913</v>
      </c>
      <c r="I531" s="136">
        <f>IFERROR(__xludf.DUMMYFUNCTION("""COMPUTED_VALUE"""),6.0)</f>
        <v>6</v>
      </c>
      <c r="J531" s="136">
        <f>IFERROR(__xludf.DUMMYFUNCTION("""COMPUTED_VALUE"""),8270.0)</f>
        <v>8270</v>
      </c>
      <c r="K531" s="136">
        <f>IFERROR(__xludf.DUMMYFUNCTION("""COMPUTED_VALUE"""),18.0)</f>
        <v>18</v>
      </c>
      <c r="L531" s="136">
        <f>IFERROR(__xludf.DUMMYFUNCTION("""COMPUTED_VALUE"""),13.0)</f>
        <v>13</v>
      </c>
      <c r="M531" s="136">
        <f>IFERROR(__xludf.DUMMYFUNCTION("""COMPUTED_VALUE"""),39.0)</f>
        <v>39</v>
      </c>
      <c r="N531" s="136">
        <f>IFERROR(__xludf.DUMMYFUNCTION("""COMPUTED_VALUE"""),50.0)</f>
        <v>50</v>
      </c>
      <c r="O531" s="138">
        <f>IFERROR(__xludf.DUMMYFUNCTION("""COMPUTED_VALUE"""),4.0)</f>
        <v>4</v>
      </c>
      <c r="P531" s="138">
        <f>IFERROR(__xludf.DUMMYFUNCTION("""COMPUTED_VALUE"""),1.0)</f>
        <v>1</v>
      </c>
      <c r="Q531" s="138">
        <f>IFERROR(__xludf.DUMMYFUNCTION("""COMPUTED_VALUE"""),0.0)</f>
        <v>0</v>
      </c>
      <c r="R531" s="138">
        <f>IFERROR(__xludf.DUMMYFUNCTION("""COMPUTED_VALUE"""),6.0)</f>
        <v>6</v>
      </c>
      <c r="S531" s="139">
        <f>IFERROR(__xludf.DUMMYFUNCTION("""COMPUTED_VALUE"""),198.0)</f>
        <v>198</v>
      </c>
      <c r="T531" s="140">
        <f>IFERROR(__xludf.DUMMYFUNCTION("""COMPUTED_VALUE"""),53.0)</f>
        <v>53</v>
      </c>
      <c r="U531" s="136">
        <f>IFERROR(__xludf.DUMMYFUNCTION("""COMPUTED_VALUE"""),18.0)</f>
        <v>18</v>
      </c>
      <c r="V531" s="136">
        <f>IFERROR(__xludf.DUMMYFUNCTION("""COMPUTED_VALUE"""),15.0)</f>
        <v>15</v>
      </c>
      <c r="W531" s="136">
        <f>IFERROR(__xludf.DUMMYFUNCTION("""COMPUTED_VALUE"""),21.0)</f>
        <v>21</v>
      </c>
      <c r="X531" s="136">
        <f>IFERROR(__xludf.DUMMYFUNCTION("""COMPUTED_VALUE"""),418.0)</f>
        <v>418</v>
      </c>
      <c r="Y531" s="141">
        <f>IFERROR(__xludf.DUMMYFUNCTION("""COMPUTED_VALUE"""),42.90695652173913)</f>
        <v>42.90695652</v>
      </c>
      <c r="Z531" s="141">
        <f>IFERROR(__xludf.DUMMYFUNCTION("""COMPUTED_VALUE"""),2457.695652173913)</f>
        <v>2457.695652</v>
      </c>
    </row>
    <row r="532">
      <c r="A532" s="41" t="str">
        <f>IFERROR(__xludf.DUMMYFUNCTION("""COMPUTED_VALUE"""),"Veteran")</f>
        <v>Veteran</v>
      </c>
      <c r="B532" s="41" t="str">
        <f>IFERROR(__xludf.DUMMYFUNCTION("""COMPUTED_VALUE"""),"RSC007475")</f>
        <v>RSC007475</v>
      </c>
      <c r="C532" s="41" t="str">
        <f>IFERROR(__xludf.DUMMYFUNCTION("""COMPUTED_VALUE"""),"spposse")</f>
        <v>spposse</v>
      </c>
      <c r="D532" s="41" t="str">
        <f>IFERROR(__xludf.DUMMYFUNCTION("""COMPUTED_VALUE"""),"Dread")</f>
        <v>Dread</v>
      </c>
      <c r="E532" s="136">
        <f>IFERROR(__xludf.DUMMYFUNCTION("""COMPUTED_VALUE"""),12.0)</f>
        <v>12</v>
      </c>
      <c r="F532" s="136">
        <f>IFERROR(__xludf.DUMMYFUNCTION("""COMPUTED_VALUE"""),6.0)</f>
        <v>6</v>
      </c>
      <c r="G532" s="136">
        <f>IFERROR(__xludf.DUMMYFUNCTION("""COMPUTED_VALUE"""),6.0)</f>
        <v>6</v>
      </c>
      <c r="H532" s="137">
        <f>IFERROR(__xludf.DUMMYFUNCTION("""COMPUTED_VALUE"""),0.5)</f>
        <v>0.5</v>
      </c>
      <c r="I532" s="136">
        <f>IFERROR(__xludf.DUMMYFUNCTION("""COMPUTED_VALUE"""),1.0)</f>
        <v>1</v>
      </c>
      <c r="J532" s="136">
        <f>IFERROR(__xludf.DUMMYFUNCTION("""COMPUTED_VALUE"""),4085.0)</f>
        <v>4085</v>
      </c>
      <c r="K532" s="136">
        <f>IFERROR(__xludf.DUMMYFUNCTION("""COMPUTED_VALUE"""),9.0)</f>
        <v>9</v>
      </c>
      <c r="L532" s="136">
        <f>IFERROR(__xludf.DUMMYFUNCTION("""COMPUTED_VALUE"""),6.0)</f>
        <v>6</v>
      </c>
      <c r="M532" s="136">
        <f>IFERROR(__xludf.DUMMYFUNCTION("""COMPUTED_VALUE"""),12.0)</f>
        <v>12</v>
      </c>
      <c r="N532" s="136">
        <f>IFERROR(__xludf.DUMMYFUNCTION("""COMPUTED_VALUE"""),36.0)</f>
        <v>36</v>
      </c>
      <c r="O532" s="138">
        <f>IFERROR(__xludf.DUMMYFUNCTION("""COMPUTED_VALUE"""),1.0)</f>
        <v>1</v>
      </c>
      <c r="P532" s="138">
        <f>IFERROR(__xludf.DUMMYFUNCTION("""COMPUTED_VALUE"""),0.0)</f>
        <v>0</v>
      </c>
      <c r="Q532" s="138">
        <f>IFERROR(__xludf.DUMMYFUNCTION("""COMPUTED_VALUE"""),0.0)</f>
        <v>0</v>
      </c>
      <c r="R532" s="138">
        <f>IFERROR(__xludf.DUMMYFUNCTION("""COMPUTED_VALUE"""),1.0)</f>
        <v>1</v>
      </c>
      <c r="S532" s="139">
        <f>IFERROR(__xludf.DUMMYFUNCTION("""COMPUTED_VALUE"""),108.0)</f>
        <v>108</v>
      </c>
      <c r="T532" s="140">
        <f>IFERROR(__xludf.DUMMYFUNCTION("""COMPUTED_VALUE"""),33.0)</f>
        <v>33</v>
      </c>
      <c r="U532" s="136">
        <f>IFERROR(__xludf.DUMMYFUNCTION("""COMPUTED_VALUE"""),7.0)</f>
        <v>7</v>
      </c>
      <c r="V532" s="136">
        <f>IFERROR(__xludf.DUMMYFUNCTION("""COMPUTED_VALUE"""),19.0)</f>
        <v>19</v>
      </c>
      <c r="W532" s="136">
        <f>IFERROR(__xludf.DUMMYFUNCTION("""COMPUTED_VALUE"""),15.0)</f>
        <v>15</v>
      </c>
      <c r="X532" s="136">
        <f>IFERROR(__xludf.DUMMYFUNCTION("""COMPUTED_VALUE"""),367.0)</f>
        <v>367</v>
      </c>
      <c r="Y532" s="141">
        <f>IFERROR(__xludf.DUMMYFUNCTION("""COMPUTED_VALUE"""),53.0625)</f>
        <v>53.0625</v>
      </c>
      <c r="Z532" s="141">
        <f>IFERROR(__xludf.DUMMYFUNCTION("""COMPUTED_VALUE"""),2407.5833333333335)</f>
        <v>2407.583333</v>
      </c>
    </row>
    <row r="533">
      <c r="A533" s="41" t="str">
        <f>IFERROR(__xludf.DUMMYFUNCTION("""COMPUTED_VALUE"""),"Veteran")</f>
        <v>Veteran</v>
      </c>
      <c r="B533" s="41" t="str">
        <f>IFERROR(__xludf.DUMMYFUNCTION("""COMPUTED_VALUE"""),"RSC007482")</f>
        <v>RSC007482</v>
      </c>
      <c r="C533" s="41" t="str">
        <f>IFERROR(__xludf.DUMMYFUNCTION("""COMPUTED_VALUE"""),"MyTyranosaur")</f>
        <v>MyTyranosaur</v>
      </c>
      <c r="D533" s="41" t="str">
        <f>IFERROR(__xludf.DUMMYFUNCTION("""COMPUTED_VALUE"""),"Fer-de-Lance")</f>
        <v>Fer-de-Lance</v>
      </c>
      <c r="E533" s="136">
        <f>IFERROR(__xludf.DUMMYFUNCTION("""COMPUTED_VALUE"""),37.0)</f>
        <v>37</v>
      </c>
      <c r="F533" s="136">
        <f>IFERROR(__xludf.DUMMYFUNCTION("""COMPUTED_VALUE"""),20.0)</f>
        <v>20</v>
      </c>
      <c r="G533" s="136">
        <f>IFERROR(__xludf.DUMMYFUNCTION("""COMPUTED_VALUE"""),17.0)</f>
        <v>17</v>
      </c>
      <c r="H533" s="137">
        <f>IFERROR(__xludf.DUMMYFUNCTION("""COMPUTED_VALUE"""),0.5405405405405406)</f>
        <v>0.5405405405</v>
      </c>
      <c r="I533" s="136">
        <f>IFERROR(__xludf.DUMMYFUNCTION("""COMPUTED_VALUE"""),8.0)</f>
        <v>8</v>
      </c>
      <c r="J533" s="136">
        <f>IFERROR(__xludf.DUMMYFUNCTION("""COMPUTED_VALUE"""),13504.0)</f>
        <v>13504</v>
      </c>
      <c r="K533" s="136">
        <f>IFERROR(__xludf.DUMMYFUNCTION("""COMPUTED_VALUE"""),33.0)</f>
        <v>33</v>
      </c>
      <c r="L533" s="136">
        <f>IFERROR(__xludf.DUMMYFUNCTION("""COMPUTED_VALUE"""),19.0)</f>
        <v>19</v>
      </c>
      <c r="M533" s="136">
        <f>IFERROR(__xludf.DUMMYFUNCTION("""COMPUTED_VALUE"""),45.0)</f>
        <v>45</v>
      </c>
      <c r="N533" s="136">
        <f>IFERROR(__xludf.DUMMYFUNCTION("""COMPUTED_VALUE"""),114.0)</f>
        <v>114</v>
      </c>
      <c r="O533" s="138">
        <f>IFERROR(__xludf.DUMMYFUNCTION("""COMPUTED_VALUE"""),4.0)</f>
        <v>4</v>
      </c>
      <c r="P533" s="138">
        <f>IFERROR(__xludf.DUMMYFUNCTION("""COMPUTED_VALUE"""),3.0)</f>
        <v>3</v>
      </c>
      <c r="Q533" s="138">
        <f>IFERROR(__xludf.DUMMYFUNCTION("""COMPUTED_VALUE"""),0.0)</f>
        <v>0</v>
      </c>
      <c r="R533" s="138">
        <f>IFERROR(__xludf.DUMMYFUNCTION("""COMPUTED_VALUE"""),5.0)</f>
        <v>5</v>
      </c>
      <c r="S533" s="139">
        <f>IFERROR(__xludf.DUMMYFUNCTION("""COMPUTED_VALUE"""),284.0)</f>
        <v>284</v>
      </c>
      <c r="T533" s="140">
        <f>IFERROR(__xludf.DUMMYFUNCTION("""COMPUTED_VALUE"""),92.0)</f>
        <v>92</v>
      </c>
      <c r="U533" s="136">
        <f>IFERROR(__xludf.DUMMYFUNCTION("""COMPUTED_VALUE"""),31.0)</f>
        <v>31</v>
      </c>
      <c r="V533" s="136">
        <f>IFERROR(__xludf.DUMMYFUNCTION("""COMPUTED_VALUE"""),35.0)</f>
        <v>35</v>
      </c>
      <c r="W533" s="136">
        <f>IFERROR(__xludf.DUMMYFUNCTION("""COMPUTED_VALUE"""),47.0)</f>
        <v>47</v>
      </c>
      <c r="X533" s="136">
        <f>IFERROR(__xludf.DUMMYFUNCTION("""COMPUTED_VALUE"""),390.97297297297297)</f>
        <v>390.972973</v>
      </c>
      <c r="Y533" s="141">
        <f>IFERROR(__xludf.DUMMYFUNCTION("""COMPUTED_VALUE"""),46.22675675675675)</f>
        <v>46.22675676</v>
      </c>
      <c r="Z533" s="141">
        <f>IFERROR(__xludf.DUMMYFUNCTION("""COMPUTED_VALUE"""),2338.4324324324325)</f>
        <v>2338.432432</v>
      </c>
    </row>
    <row r="534">
      <c r="A534" s="41" t="str">
        <f>IFERROR(__xludf.DUMMYFUNCTION("""COMPUTED_VALUE"""),"Elite")</f>
        <v>Elite</v>
      </c>
      <c r="B534" s="41" t="str">
        <f>IFERROR(__xludf.DUMMYFUNCTION("""COMPUTED_VALUE"""),"RSC007486")</f>
        <v>RSC007486</v>
      </c>
      <c r="C534" s="41" t="str">
        <f>IFERROR(__xludf.DUMMYFUNCTION("""COMPUTED_VALUE"""),"kj")</f>
        <v>kj</v>
      </c>
      <c r="D534" s="41" t="str">
        <f>IFERROR(__xludf.DUMMYFUNCTION("""COMPUTED_VALUE"""),"Cotija Cartel")</f>
        <v>Cotija Cartel</v>
      </c>
      <c r="E534" s="136">
        <f>IFERROR(__xludf.DUMMYFUNCTION("""COMPUTED_VALUE"""),4.0)</f>
        <v>4</v>
      </c>
      <c r="F534" s="136">
        <f>IFERROR(__xludf.DUMMYFUNCTION("""COMPUTED_VALUE"""),2.0)</f>
        <v>2</v>
      </c>
      <c r="G534" s="136">
        <f>IFERROR(__xludf.DUMMYFUNCTION("""COMPUTED_VALUE"""),2.0)</f>
        <v>2</v>
      </c>
      <c r="H534" s="137">
        <f>IFERROR(__xludf.DUMMYFUNCTION("""COMPUTED_VALUE"""),0.5)</f>
        <v>0.5</v>
      </c>
      <c r="I534" s="136">
        <f>IFERROR(__xludf.DUMMYFUNCTION("""COMPUTED_VALUE"""),1.0)</f>
        <v>1</v>
      </c>
      <c r="J534" s="136">
        <f>IFERROR(__xludf.DUMMYFUNCTION("""COMPUTED_VALUE"""),1386.0)</f>
        <v>1386</v>
      </c>
      <c r="K534" s="136">
        <f>IFERROR(__xludf.DUMMYFUNCTION("""COMPUTED_VALUE"""),4.0)</f>
        <v>4</v>
      </c>
      <c r="L534" s="136">
        <f>IFERROR(__xludf.DUMMYFUNCTION("""COMPUTED_VALUE"""),0.0)</f>
        <v>0</v>
      </c>
      <c r="M534" s="136">
        <f>IFERROR(__xludf.DUMMYFUNCTION("""COMPUTED_VALUE"""),6.0)</f>
        <v>6</v>
      </c>
      <c r="N534" s="136">
        <f>IFERROR(__xludf.DUMMYFUNCTION("""COMPUTED_VALUE"""),11.0)</f>
        <v>11</v>
      </c>
      <c r="O534" s="138">
        <f>IFERROR(__xludf.DUMMYFUNCTION("""COMPUTED_VALUE"""),0.0)</f>
        <v>0</v>
      </c>
      <c r="P534" s="138">
        <f>IFERROR(__xludf.DUMMYFUNCTION("""COMPUTED_VALUE"""),0.0)</f>
        <v>0</v>
      </c>
      <c r="Q534" s="138">
        <f>IFERROR(__xludf.DUMMYFUNCTION("""COMPUTED_VALUE"""),0.0)</f>
        <v>0</v>
      </c>
      <c r="R534" s="138">
        <f>IFERROR(__xludf.DUMMYFUNCTION("""COMPUTED_VALUE"""),1.0)</f>
        <v>1</v>
      </c>
      <c r="S534" s="139">
        <f>IFERROR(__xludf.DUMMYFUNCTION("""COMPUTED_VALUE"""),30.0)</f>
        <v>30</v>
      </c>
      <c r="T534" s="140">
        <f>IFERROR(__xludf.DUMMYFUNCTION("""COMPUTED_VALUE"""),9.0)</f>
        <v>9</v>
      </c>
      <c r="U534" s="136">
        <f>IFERROR(__xludf.DUMMYFUNCTION("""COMPUTED_VALUE"""),2.0)</f>
        <v>2</v>
      </c>
      <c r="V534" s="136">
        <f>IFERROR(__xludf.DUMMYFUNCTION("""COMPUTED_VALUE"""),6.0)</f>
        <v>6</v>
      </c>
      <c r="W534" s="136">
        <f>IFERROR(__xludf.DUMMYFUNCTION("""COMPUTED_VALUE"""),5.0)</f>
        <v>5</v>
      </c>
      <c r="X534" s="136">
        <f>IFERROR(__xludf.DUMMYFUNCTION("""COMPUTED_VALUE"""),444.5)</f>
        <v>444.5</v>
      </c>
      <c r="Y534" s="141">
        <f>IFERROR(__xludf.DUMMYFUNCTION("""COMPUTED_VALUE"""),47.2)</f>
        <v>47.2</v>
      </c>
      <c r="Z534" s="141">
        <f>IFERROR(__xludf.DUMMYFUNCTION("""COMPUTED_VALUE"""),2488.5)</f>
        <v>2488.5</v>
      </c>
    </row>
    <row r="535">
      <c r="A535" s="41" t="str">
        <f>IFERROR(__xludf.DUMMYFUNCTION("""COMPUTED_VALUE"""),"Rival")</f>
        <v>Rival</v>
      </c>
      <c r="B535" s="41" t="str">
        <f>IFERROR(__xludf.DUMMYFUNCTION("""COMPUTED_VALUE"""),"RSC007487")</f>
        <v>RSC007487</v>
      </c>
      <c r="C535" s="41" t="str">
        <f>IFERROR(__xludf.DUMMYFUNCTION("""COMPUTED_VALUE"""),"YoloOnTinder")</f>
        <v>YoloOnTinder</v>
      </c>
      <c r="D535" s="41" t="str">
        <f>IFERROR(__xludf.DUMMYFUNCTION("""COMPUTED_VALUE"""),"Liars")</f>
        <v>Liars</v>
      </c>
      <c r="E535" s="136">
        <f>IFERROR(__xludf.DUMMYFUNCTION("""COMPUTED_VALUE"""),4.0)</f>
        <v>4</v>
      </c>
      <c r="F535" s="136">
        <f>IFERROR(__xludf.DUMMYFUNCTION("""COMPUTED_VALUE"""),1.0)</f>
        <v>1</v>
      </c>
      <c r="G535" s="136">
        <f>IFERROR(__xludf.DUMMYFUNCTION("""COMPUTED_VALUE"""),3.0)</f>
        <v>3</v>
      </c>
      <c r="H535" s="137">
        <f>IFERROR(__xludf.DUMMYFUNCTION("""COMPUTED_VALUE"""),0.25)</f>
        <v>0.25</v>
      </c>
      <c r="I535" s="136">
        <f>IFERROR(__xludf.DUMMYFUNCTION("""COMPUTED_VALUE"""),0.0)</f>
        <v>0</v>
      </c>
      <c r="J535" s="136">
        <f>IFERROR(__xludf.DUMMYFUNCTION("""COMPUTED_VALUE"""),1514.0)</f>
        <v>1514</v>
      </c>
      <c r="K535" s="136">
        <f>IFERROR(__xludf.DUMMYFUNCTION("""COMPUTED_VALUE"""),5.0)</f>
        <v>5</v>
      </c>
      <c r="L535" s="136">
        <f>IFERROR(__xludf.DUMMYFUNCTION("""COMPUTED_VALUE"""),1.0)</f>
        <v>1</v>
      </c>
      <c r="M535" s="136">
        <f>IFERROR(__xludf.DUMMYFUNCTION("""COMPUTED_VALUE"""),5.0)</f>
        <v>5</v>
      </c>
      <c r="N535" s="136">
        <f>IFERROR(__xludf.DUMMYFUNCTION("""COMPUTED_VALUE"""),10.0)</f>
        <v>10</v>
      </c>
      <c r="O535" s="138">
        <f>IFERROR(__xludf.DUMMYFUNCTION("""COMPUTED_VALUE"""),0.0)</f>
        <v>0</v>
      </c>
      <c r="P535" s="138">
        <f>IFERROR(__xludf.DUMMYFUNCTION("""COMPUTED_VALUE"""),0.0)</f>
        <v>0</v>
      </c>
      <c r="Q535" s="138">
        <f>IFERROR(__xludf.DUMMYFUNCTION("""COMPUTED_VALUE"""),0.0)</f>
        <v>0</v>
      </c>
      <c r="R535" s="138">
        <f>IFERROR(__xludf.DUMMYFUNCTION("""COMPUTED_VALUE"""),1.0)</f>
        <v>1</v>
      </c>
      <c r="S535" s="139">
        <f>IFERROR(__xludf.DUMMYFUNCTION("""COMPUTED_VALUE"""),31.0)</f>
        <v>31</v>
      </c>
      <c r="T535" s="140">
        <f>IFERROR(__xludf.DUMMYFUNCTION("""COMPUTED_VALUE"""),12.0)</f>
        <v>12</v>
      </c>
      <c r="U535" s="136">
        <f>IFERROR(__xludf.DUMMYFUNCTION("""COMPUTED_VALUE"""),3.0)</f>
        <v>3</v>
      </c>
      <c r="V535" s="136">
        <f>IFERROR(__xludf.DUMMYFUNCTION("""COMPUTED_VALUE"""),8.0)</f>
        <v>8</v>
      </c>
      <c r="W535" s="136">
        <f>IFERROR(__xludf.DUMMYFUNCTION("""COMPUTED_VALUE"""),2.0)</f>
        <v>2</v>
      </c>
      <c r="X535" s="136"/>
      <c r="Y535" s="41"/>
      <c r="Z535" s="41"/>
    </row>
    <row r="536">
      <c r="A536" s="41" t="str">
        <f>IFERROR(__xludf.DUMMYFUNCTION("""COMPUTED_VALUE"""),"Master")</f>
        <v>Master</v>
      </c>
      <c r="B536" s="41" t="str">
        <f>IFERROR(__xludf.DUMMYFUNCTION("""COMPUTED_VALUE"""),"RSC007494")</f>
        <v>RSC007494</v>
      </c>
      <c r="C536" s="41" t="str">
        <f>IFERROR(__xludf.DUMMYFUNCTION("""COMPUTED_VALUE"""),"C-Loupe")</f>
        <v>C-Loupe</v>
      </c>
      <c r="D536" s="41" t="str">
        <f>IFERROR(__xludf.DUMMYFUNCTION("""COMPUTED_VALUE"""),"Helicoprions")</f>
        <v>Helicoprions</v>
      </c>
      <c r="E536" s="136">
        <f>IFERROR(__xludf.DUMMYFUNCTION("""COMPUTED_VALUE"""),20.0)</f>
        <v>20</v>
      </c>
      <c r="F536" s="136">
        <f>IFERROR(__xludf.DUMMYFUNCTION("""COMPUTED_VALUE"""),6.0)</f>
        <v>6</v>
      </c>
      <c r="G536" s="136">
        <f>IFERROR(__xludf.DUMMYFUNCTION("""COMPUTED_VALUE"""),14.0)</f>
        <v>14</v>
      </c>
      <c r="H536" s="137">
        <f>IFERROR(__xludf.DUMMYFUNCTION("""COMPUTED_VALUE"""),0.3)</f>
        <v>0.3</v>
      </c>
      <c r="I536" s="136">
        <f>IFERROR(__xludf.DUMMYFUNCTION("""COMPUTED_VALUE"""),3.0)</f>
        <v>3</v>
      </c>
      <c r="J536" s="136">
        <f>IFERROR(__xludf.DUMMYFUNCTION("""COMPUTED_VALUE"""),5372.0)</f>
        <v>5372</v>
      </c>
      <c r="K536" s="136">
        <f>IFERROR(__xludf.DUMMYFUNCTION("""COMPUTED_VALUE"""),14.0)</f>
        <v>14</v>
      </c>
      <c r="L536" s="136">
        <f>IFERROR(__xludf.DUMMYFUNCTION("""COMPUTED_VALUE"""),2.0)</f>
        <v>2</v>
      </c>
      <c r="M536" s="136">
        <f>IFERROR(__xludf.DUMMYFUNCTION("""COMPUTED_VALUE"""),30.0)</f>
        <v>30</v>
      </c>
      <c r="N536" s="136">
        <f>IFERROR(__xludf.DUMMYFUNCTION("""COMPUTED_VALUE"""),38.0)</f>
        <v>38</v>
      </c>
      <c r="O536" s="138">
        <f>IFERROR(__xludf.DUMMYFUNCTION("""COMPUTED_VALUE"""),0.0)</f>
        <v>0</v>
      </c>
      <c r="P536" s="138">
        <f>IFERROR(__xludf.DUMMYFUNCTION("""COMPUTED_VALUE"""),1.0)</f>
        <v>1</v>
      </c>
      <c r="Q536" s="138">
        <f>IFERROR(__xludf.DUMMYFUNCTION("""COMPUTED_VALUE"""),0.0)</f>
        <v>0</v>
      </c>
      <c r="R536" s="138">
        <f>IFERROR(__xludf.DUMMYFUNCTION("""COMPUTED_VALUE"""),6.0)</f>
        <v>6</v>
      </c>
      <c r="S536" s="139">
        <f>IFERROR(__xludf.DUMMYFUNCTION("""COMPUTED_VALUE"""),127.0)</f>
        <v>127</v>
      </c>
      <c r="T536" s="140">
        <f>IFERROR(__xludf.DUMMYFUNCTION("""COMPUTED_VALUE"""),39.0)</f>
        <v>39</v>
      </c>
      <c r="U536" s="136">
        <f>IFERROR(__xludf.DUMMYFUNCTION("""COMPUTED_VALUE"""),12.0)</f>
        <v>12</v>
      </c>
      <c r="V536" s="136">
        <f>IFERROR(__xludf.DUMMYFUNCTION("""COMPUTED_VALUE"""),17.0)</f>
        <v>17</v>
      </c>
      <c r="W536" s="136">
        <f>IFERROR(__xludf.DUMMYFUNCTION("""COMPUTED_VALUE"""),22.0)</f>
        <v>22</v>
      </c>
      <c r="X536" s="136">
        <f>IFERROR(__xludf.DUMMYFUNCTION("""COMPUTED_VALUE"""),459.6875)</f>
        <v>459.6875</v>
      </c>
      <c r="Y536" s="141">
        <f>IFERROR(__xludf.DUMMYFUNCTION("""COMPUTED_VALUE"""),46.44)</f>
        <v>46.44</v>
      </c>
      <c r="Z536" s="141">
        <f>IFERROR(__xludf.DUMMYFUNCTION("""COMPUTED_VALUE"""),2531.125)</f>
        <v>2531.125</v>
      </c>
    </row>
    <row r="537">
      <c r="A537" s="41" t="str">
        <f>IFERROR(__xludf.DUMMYFUNCTION("""COMPUTED_VALUE"""),"Veteran")</f>
        <v>Veteran</v>
      </c>
      <c r="B537" s="41" t="str">
        <f>IFERROR(__xludf.DUMMYFUNCTION("""COMPUTED_VALUE"""),"RSC007501")</f>
        <v>RSC007501</v>
      </c>
      <c r="C537" s="41" t="str">
        <f>IFERROR(__xludf.DUMMYFUNCTION("""COMPUTED_VALUE"""),"RAW MUSHROOMS")</f>
        <v>RAW MUSHROOMS</v>
      </c>
      <c r="D537" s="41" t="str">
        <f>IFERROR(__xludf.DUMMYFUNCTION("""COMPUTED_VALUE"""),"Supernova")</f>
        <v>Supernova</v>
      </c>
      <c r="E537" s="136">
        <f>IFERROR(__xludf.DUMMYFUNCTION("""COMPUTED_VALUE"""),4.0)</f>
        <v>4</v>
      </c>
      <c r="F537" s="136">
        <f>IFERROR(__xludf.DUMMYFUNCTION("""COMPUTED_VALUE"""),3.0)</f>
        <v>3</v>
      </c>
      <c r="G537" s="136">
        <f>IFERROR(__xludf.DUMMYFUNCTION("""COMPUTED_VALUE"""),1.0)</f>
        <v>1</v>
      </c>
      <c r="H537" s="137">
        <f>IFERROR(__xludf.DUMMYFUNCTION("""COMPUTED_VALUE"""),0.75)</f>
        <v>0.75</v>
      </c>
      <c r="I537" s="136">
        <f>IFERROR(__xludf.DUMMYFUNCTION("""COMPUTED_VALUE"""),1.0)</f>
        <v>1</v>
      </c>
      <c r="J537" s="136">
        <f>IFERROR(__xludf.DUMMYFUNCTION("""COMPUTED_VALUE"""),1189.0)</f>
        <v>1189</v>
      </c>
      <c r="K537" s="136">
        <f>IFERROR(__xludf.DUMMYFUNCTION("""COMPUTED_VALUE"""),2.0)</f>
        <v>2</v>
      </c>
      <c r="L537" s="136">
        <f>IFERROR(__xludf.DUMMYFUNCTION("""COMPUTED_VALUE"""),4.0)</f>
        <v>4</v>
      </c>
      <c r="M537" s="136">
        <f>IFERROR(__xludf.DUMMYFUNCTION("""COMPUTED_VALUE"""),3.0)</f>
        <v>3</v>
      </c>
      <c r="N537" s="136">
        <f>IFERROR(__xludf.DUMMYFUNCTION("""COMPUTED_VALUE"""),6.0)</f>
        <v>6</v>
      </c>
      <c r="O537" s="138">
        <f>IFERROR(__xludf.DUMMYFUNCTION("""COMPUTED_VALUE"""),1.0)</f>
        <v>1</v>
      </c>
      <c r="P537" s="138">
        <f>IFERROR(__xludf.DUMMYFUNCTION("""COMPUTED_VALUE"""),0.0)</f>
        <v>0</v>
      </c>
      <c r="Q537" s="138">
        <f>IFERROR(__xludf.DUMMYFUNCTION("""COMPUTED_VALUE"""),0.0)</f>
        <v>0</v>
      </c>
      <c r="R537" s="138">
        <f>IFERROR(__xludf.DUMMYFUNCTION("""COMPUTED_VALUE"""),0.0)</f>
        <v>0</v>
      </c>
      <c r="S537" s="139">
        <f>IFERROR(__xludf.DUMMYFUNCTION("""COMPUTED_VALUE"""),17.0)</f>
        <v>17</v>
      </c>
      <c r="T537" s="140">
        <f>IFERROR(__xludf.DUMMYFUNCTION("""COMPUTED_VALUE"""),3.0)</f>
        <v>3</v>
      </c>
      <c r="U537" s="136">
        <f>IFERROR(__xludf.DUMMYFUNCTION("""COMPUTED_VALUE"""),0.0)</f>
        <v>0</v>
      </c>
      <c r="V537" s="136">
        <f>IFERROR(__xludf.DUMMYFUNCTION("""COMPUTED_VALUE"""),3.0)</f>
        <v>3</v>
      </c>
      <c r="W537" s="136">
        <f>IFERROR(__xludf.DUMMYFUNCTION("""COMPUTED_VALUE"""),2.0)</f>
        <v>2</v>
      </c>
      <c r="X537" s="136"/>
      <c r="Y537" s="41"/>
      <c r="Z537" s="41"/>
    </row>
    <row r="538">
      <c r="A538" s="41" t="str">
        <f>IFERROR(__xludf.DUMMYFUNCTION("""COMPUTED_VALUE"""),"Challenger")</f>
        <v>Challenger</v>
      </c>
      <c r="B538" s="41" t="str">
        <f>IFERROR(__xludf.DUMMYFUNCTION("""COMPUTED_VALUE"""),"RSC007502")</f>
        <v>RSC007502</v>
      </c>
      <c r="C538" s="41" t="str">
        <f>IFERROR(__xludf.DUMMYFUNCTION("""COMPUTED_VALUE"""),"Cr1m5on_RL")</f>
        <v>Cr1m5on_RL</v>
      </c>
      <c r="D538" s="41" t="str">
        <f>IFERROR(__xludf.DUMMYFUNCTION("""COMPUTED_VALUE"""),"Metal")</f>
        <v>Metal</v>
      </c>
      <c r="E538" s="136">
        <f>IFERROR(__xludf.DUMMYFUNCTION("""COMPUTED_VALUE"""),45.0)</f>
        <v>45</v>
      </c>
      <c r="F538" s="136">
        <f>IFERROR(__xludf.DUMMYFUNCTION("""COMPUTED_VALUE"""),21.0)</f>
        <v>21</v>
      </c>
      <c r="G538" s="136">
        <f>IFERROR(__xludf.DUMMYFUNCTION("""COMPUTED_VALUE"""),24.0)</f>
        <v>24</v>
      </c>
      <c r="H538" s="137">
        <f>IFERROR(__xludf.DUMMYFUNCTION("""COMPUTED_VALUE"""),0.4666666666666667)</f>
        <v>0.4666666667</v>
      </c>
      <c r="I538" s="136">
        <f>IFERROR(__xludf.DUMMYFUNCTION("""COMPUTED_VALUE"""),7.0)</f>
        <v>7</v>
      </c>
      <c r="J538" s="136">
        <f>IFERROR(__xludf.DUMMYFUNCTION("""COMPUTED_VALUE"""),14074.0)</f>
        <v>14074</v>
      </c>
      <c r="K538" s="136">
        <f>IFERROR(__xludf.DUMMYFUNCTION("""COMPUTED_VALUE"""),33.0)</f>
        <v>33</v>
      </c>
      <c r="L538" s="136">
        <f>IFERROR(__xludf.DUMMYFUNCTION("""COMPUTED_VALUE"""),26.0)</f>
        <v>26</v>
      </c>
      <c r="M538" s="136">
        <f>IFERROR(__xludf.DUMMYFUNCTION("""COMPUTED_VALUE"""),39.0)</f>
        <v>39</v>
      </c>
      <c r="N538" s="136">
        <f>IFERROR(__xludf.DUMMYFUNCTION("""COMPUTED_VALUE"""),110.0)</f>
        <v>110</v>
      </c>
      <c r="O538" s="138">
        <f>IFERROR(__xludf.DUMMYFUNCTION("""COMPUTED_VALUE"""),6.0)</f>
        <v>6</v>
      </c>
      <c r="P538" s="138">
        <f>IFERROR(__xludf.DUMMYFUNCTION("""COMPUTED_VALUE"""),2.0)</f>
        <v>2</v>
      </c>
      <c r="Q538" s="138">
        <f>IFERROR(__xludf.DUMMYFUNCTION("""COMPUTED_VALUE"""),2.0)</f>
        <v>2</v>
      </c>
      <c r="R538" s="138">
        <f>IFERROR(__xludf.DUMMYFUNCTION("""COMPUTED_VALUE"""),2.0)</f>
        <v>2</v>
      </c>
      <c r="S538" s="139">
        <f>IFERROR(__xludf.DUMMYFUNCTION("""COMPUTED_VALUE"""),323.0)</f>
        <v>323</v>
      </c>
      <c r="T538" s="140">
        <f>IFERROR(__xludf.DUMMYFUNCTION("""COMPUTED_VALUE"""),122.0)</f>
        <v>122</v>
      </c>
      <c r="U538" s="136">
        <f>IFERROR(__xludf.DUMMYFUNCTION("""COMPUTED_VALUE"""),40.0)</f>
        <v>40</v>
      </c>
      <c r="V538" s="136">
        <f>IFERROR(__xludf.DUMMYFUNCTION("""COMPUTED_VALUE"""),41.0)</f>
        <v>41</v>
      </c>
      <c r="W538" s="136">
        <f>IFERROR(__xludf.DUMMYFUNCTION("""COMPUTED_VALUE"""),53.0)</f>
        <v>53</v>
      </c>
      <c r="X538" s="136">
        <f>IFERROR(__xludf.DUMMYFUNCTION("""COMPUTED_VALUE"""),408.8)</f>
        <v>408.8</v>
      </c>
      <c r="Y538" s="141">
        <f>IFERROR(__xludf.DUMMYFUNCTION("""COMPUTED_VALUE"""),48.03977777777778)</f>
        <v>48.03977778</v>
      </c>
      <c r="Z538" s="141">
        <f>IFERROR(__xludf.DUMMYFUNCTION("""COMPUTED_VALUE"""),2471.0666666666666)</f>
        <v>2471.066667</v>
      </c>
    </row>
    <row r="539">
      <c r="A539" s="41" t="str">
        <f>IFERROR(__xludf.DUMMYFUNCTION("""COMPUTED_VALUE"""),"Veteran")</f>
        <v>Veteran</v>
      </c>
      <c r="B539" s="41" t="str">
        <f>IFERROR(__xludf.DUMMYFUNCTION("""COMPUTED_VALUE"""),"RSC007512")</f>
        <v>RSC007512</v>
      </c>
      <c r="C539" s="41" t="str">
        <f>IFERROR(__xludf.DUMMYFUNCTION("""COMPUTED_VALUE"""),"BigGreenRL")</f>
        <v>BigGreenRL</v>
      </c>
      <c r="D539" s="41" t="str">
        <f>IFERROR(__xludf.DUMMYFUNCTION("""COMPUTED_VALUE"""),"Mosaic Maestros")</f>
        <v>Mosaic Maestros</v>
      </c>
      <c r="E539" s="136">
        <f>IFERROR(__xludf.DUMMYFUNCTION("""COMPUTED_VALUE"""),44.0)</f>
        <v>44</v>
      </c>
      <c r="F539" s="136">
        <f>IFERROR(__xludf.DUMMYFUNCTION("""COMPUTED_VALUE"""),17.0)</f>
        <v>17</v>
      </c>
      <c r="G539" s="136">
        <f>IFERROR(__xludf.DUMMYFUNCTION("""COMPUTED_VALUE"""),27.0)</f>
        <v>27</v>
      </c>
      <c r="H539" s="137">
        <f>IFERROR(__xludf.DUMMYFUNCTION("""COMPUTED_VALUE"""),0.38636363636363635)</f>
        <v>0.3863636364</v>
      </c>
      <c r="I539" s="136">
        <f>IFERROR(__xludf.DUMMYFUNCTION("""COMPUTED_VALUE"""),9.0)</f>
        <v>9</v>
      </c>
      <c r="J539" s="136">
        <f>IFERROR(__xludf.DUMMYFUNCTION("""COMPUTED_VALUE"""),17192.0)</f>
        <v>17192</v>
      </c>
      <c r="K539" s="136">
        <f>IFERROR(__xludf.DUMMYFUNCTION("""COMPUTED_VALUE"""),32.0)</f>
        <v>32</v>
      </c>
      <c r="L539" s="136">
        <f>IFERROR(__xludf.DUMMYFUNCTION("""COMPUTED_VALUE"""),25.0)</f>
        <v>25</v>
      </c>
      <c r="M539" s="136">
        <f>IFERROR(__xludf.DUMMYFUNCTION("""COMPUTED_VALUE"""),74.0)</f>
        <v>74</v>
      </c>
      <c r="N539" s="136">
        <f>IFERROR(__xludf.DUMMYFUNCTION("""COMPUTED_VALUE"""),117.0)</f>
        <v>117</v>
      </c>
      <c r="O539" s="138">
        <f>IFERROR(__xludf.DUMMYFUNCTION("""COMPUTED_VALUE"""),11.0)</f>
        <v>11</v>
      </c>
      <c r="P539" s="138">
        <f>IFERROR(__xludf.DUMMYFUNCTION("""COMPUTED_VALUE"""),3.0)</f>
        <v>3</v>
      </c>
      <c r="Q539" s="138">
        <f>IFERROR(__xludf.DUMMYFUNCTION("""COMPUTED_VALUE"""),0.0)</f>
        <v>0</v>
      </c>
      <c r="R539" s="138">
        <f>IFERROR(__xludf.DUMMYFUNCTION("""COMPUTED_VALUE"""),11.0)</f>
        <v>11</v>
      </c>
      <c r="S539" s="139">
        <f>IFERROR(__xludf.DUMMYFUNCTION("""COMPUTED_VALUE"""),387.0)</f>
        <v>387</v>
      </c>
      <c r="T539" s="140">
        <f>IFERROR(__xludf.DUMMYFUNCTION("""COMPUTED_VALUE"""),132.0)</f>
        <v>132</v>
      </c>
      <c r="U539" s="136">
        <f>IFERROR(__xludf.DUMMYFUNCTION("""COMPUTED_VALUE"""),51.0)</f>
        <v>51</v>
      </c>
      <c r="V539" s="136">
        <f>IFERROR(__xludf.DUMMYFUNCTION("""COMPUTED_VALUE"""),50.0)</f>
        <v>50</v>
      </c>
      <c r="W539" s="136">
        <f>IFERROR(__xludf.DUMMYFUNCTION("""COMPUTED_VALUE"""),48.0)</f>
        <v>48</v>
      </c>
      <c r="X539" s="136">
        <f>IFERROR(__xludf.DUMMYFUNCTION("""COMPUTED_VALUE"""),394.3863636363636)</f>
        <v>394.3863636</v>
      </c>
      <c r="Y539" s="141">
        <f>IFERROR(__xludf.DUMMYFUNCTION("""COMPUTED_VALUE"""),50.84431818181818)</f>
        <v>50.84431818</v>
      </c>
      <c r="Z539" s="141">
        <f>IFERROR(__xludf.DUMMYFUNCTION("""COMPUTED_VALUE"""),2441.318181818182)</f>
        <v>2441.318182</v>
      </c>
    </row>
    <row r="540">
      <c r="A540" s="41" t="str">
        <f>IFERROR(__xludf.DUMMYFUNCTION("""COMPUTED_VALUE"""),"Prospect")</f>
        <v>Prospect</v>
      </c>
      <c r="B540" s="41" t="str">
        <f>IFERROR(__xludf.DUMMYFUNCTION("""COMPUTED_VALUE"""),"RSC007513")</f>
        <v>RSC007513</v>
      </c>
      <c r="C540" s="41" t="str">
        <f>IFERROR(__xludf.DUMMYFUNCTION("""COMPUTED_VALUE"""),"Russ")</f>
        <v>Russ</v>
      </c>
      <c r="D540" s="41" t="str">
        <f>IFERROR(__xludf.DUMMYFUNCTION("""COMPUTED_VALUE"""),"Earth")</f>
        <v>Earth</v>
      </c>
      <c r="E540" s="136">
        <f>IFERROR(__xludf.DUMMYFUNCTION("""COMPUTED_VALUE"""),19.0)</f>
        <v>19</v>
      </c>
      <c r="F540" s="136">
        <f>IFERROR(__xludf.DUMMYFUNCTION("""COMPUTED_VALUE"""),4.0)</f>
        <v>4</v>
      </c>
      <c r="G540" s="136">
        <f>IFERROR(__xludf.DUMMYFUNCTION("""COMPUTED_VALUE"""),15.0)</f>
        <v>15</v>
      </c>
      <c r="H540" s="137">
        <f>IFERROR(__xludf.DUMMYFUNCTION("""COMPUTED_VALUE"""),0.21052631578947367)</f>
        <v>0.2105263158</v>
      </c>
      <c r="I540" s="136">
        <f>IFERROR(__xludf.DUMMYFUNCTION("""COMPUTED_VALUE"""),1.0)</f>
        <v>1</v>
      </c>
      <c r="J540" s="136">
        <f>IFERROR(__xludf.DUMMYFUNCTION("""COMPUTED_VALUE"""),4372.0)</f>
        <v>4372</v>
      </c>
      <c r="K540" s="136">
        <f>IFERROR(__xludf.DUMMYFUNCTION("""COMPUTED_VALUE"""),6.0)</f>
        <v>6</v>
      </c>
      <c r="L540" s="136">
        <f>IFERROR(__xludf.DUMMYFUNCTION("""COMPUTED_VALUE"""),7.0)</f>
        <v>7</v>
      </c>
      <c r="M540" s="136">
        <f>IFERROR(__xludf.DUMMYFUNCTION("""COMPUTED_VALUE"""),16.0)</f>
        <v>16</v>
      </c>
      <c r="N540" s="136">
        <f>IFERROR(__xludf.DUMMYFUNCTION("""COMPUTED_VALUE"""),25.0)</f>
        <v>25</v>
      </c>
      <c r="O540" s="138">
        <f>IFERROR(__xludf.DUMMYFUNCTION("""COMPUTED_VALUE"""),2.0)</f>
        <v>2</v>
      </c>
      <c r="P540" s="138">
        <f>IFERROR(__xludf.DUMMYFUNCTION("""COMPUTED_VALUE"""),0.0)</f>
        <v>0</v>
      </c>
      <c r="Q540" s="138">
        <f>IFERROR(__xludf.DUMMYFUNCTION("""COMPUTED_VALUE"""),0.0)</f>
        <v>0</v>
      </c>
      <c r="R540" s="138">
        <f>IFERROR(__xludf.DUMMYFUNCTION("""COMPUTED_VALUE"""),1.0)</f>
        <v>1</v>
      </c>
      <c r="S540" s="139">
        <f>IFERROR(__xludf.DUMMYFUNCTION("""COMPUTED_VALUE"""),158.0)</f>
        <v>158</v>
      </c>
      <c r="T540" s="140">
        <f>IFERROR(__xludf.DUMMYFUNCTION("""COMPUTED_VALUE"""),65.0)</f>
        <v>65</v>
      </c>
      <c r="U540" s="136">
        <f>IFERROR(__xludf.DUMMYFUNCTION("""COMPUTED_VALUE"""),15.0)</f>
        <v>15</v>
      </c>
      <c r="V540" s="136">
        <f>IFERROR(__xludf.DUMMYFUNCTION("""COMPUTED_VALUE"""),12.0)</f>
        <v>12</v>
      </c>
      <c r="W540" s="136">
        <f>IFERROR(__xludf.DUMMYFUNCTION("""COMPUTED_VALUE"""),21.0)</f>
        <v>21</v>
      </c>
      <c r="X540" s="136">
        <f>IFERROR(__xludf.DUMMYFUNCTION("""COMPUTED_VALUE"""),296.57894736842104)</f>
        <v>296.5789474</v>
      </c>
      <c r="Y540" s="141">
        <f>IFERROR(__xludf.DUMMYFUNCTION("""COMPUTED_VALUE"""),46.555263157894736)</f>
        <v>46.55526316</v>
      </c>
      <c r="Z540" s="141">
        <f>IFERROR(__xludf.DUMMYFUNCTION("""COMPUTED_VALUE"""),1875.6842105263158)</f>
        <v>1875.684211</v>
      </c>
    </row>
    <row r="541">
      <c r="A541" s="41" t="str">
        <f>IFERROR(__xludf.DUMMYFUNCTION("""COMPUTED_VALUE"""),"Elite")</f>
        <v>Elite</v>
      </c>
      <c r="B541" s="41" t="str">
        <f>IFERROR(__xludf.DUMMYFUNCTION("""COMPUTED_VALUE"""),"RSC007514")</f>
        <v>RSC007514</v>
      </c>
      <c r="C541" s="41" t="str">
        <f>IFERROR(__xludf.DUMMYFUNCTION("""COMPUTED_VALUE"""),"Sauce_Boss_36")</f>
        <v>Sauce_Boss_36</v>
      </c>
      <c r="D541" s="41" t="str">
        <f>IFERROR(__xludf.DUMMYFUNCTION("""COMPUTED_VALUE"""),"Dragon")</f>
        <v>Dragon</v>
      </c>
      <c r="E541" s="136">
        <f>IFERROR(__xludf.DUMMYFUNCTION("""COMPUTED_VALUE"""),41.0)</f>
        <v>41</v>
      </c>
      <c r="F541" s="136">
        <f>IFERROR(__xludf.DUMMYFUNCTION("""COMPUTED_VALUE"""),29.0)</f>
        <v>29</v>
      </c>
      <c r="G541" s="136">
        <f>IFERROR(__xludf.DUMMYFUNCTION("""COMPUTED_VALUE"""),12.0)</f>
        <v>12</v>
      </c>
      <c r="H541" s="137">
        <f>IFERROR(__xludf.DUMMYFUNCTION("""COMPUTED_VALUE"""),0.7073170731707317)</f>
        <v>0.7073170732</v>
      </c>
      <c r="I541" s="136">
        <f>IFERROR(__xludf.DUMMYFUNCTION("""COMPUTED_VALUE"""),8.0)</f>
        <v>8</v>
      </c>
      <c r="J541" s="136">
        <f>IFERROR(__xludf.DUMMYFUNCTION("""COMPUTED_VALUE"""),15095.0)</f>
        <v>15095</v>
      </c>
      <c r="K541" s="136">
        <f>IFERROR(__xludf.DUMMYFUNCTION("""COMPUTED_VALUE"""),36.0)</f>
        <v>36</v>
      </c>
      <c r="L541" s="136">
        <f>IFERROR(__xludf.DUMMYFUNCTION("""COMPUTED_VALUE"""),33.0)</f>
        <v>33</v>
      </c>
      <c r="M541" s="136">
        <f>IFERROR(__xludf.DUMMYFUNCTION("""COMPUTED_VALUE"""),55.0)</f>
        <v>55</v>
      </c>
      <c r="N541" s="136">
        <f>IFERROR(__xludf.DUMMYFUNCTION("""COMPUTED_VALUE"""),120.0)</f>
        <v>120</v>
      </c>
      <c r="O541" s="138">
        <f>IFERROR(__xludf.DUMMYFUNCTION("""COMPUTED_VALUE"""),8.0)</f>
        <v>8</v>
      </c>
      <c r="P541" s="138">
        <f>IFERROR(__xludf.DUMMYFUNCTION("""COMPUTED_VALUE"""),3.0)</f>
        <v>3</v>
      </c>
      <c r="Q541" s="138">
        <f>IFERROR(__xludf.DUMMYFUNCTION("""COMPUTED_VALUE"""),4.0)</f>
        <v>4</v>
      </c>
      <c r="R541" s="138">
        <f>IFERROR(__xludf.DUMMYFUNCTION("""COMPUTED_VALUE"""),8.0)</f>
        <v>8</v>
      </c>
      <c r="S541" s="139">
        <f>IFERROR(__xludf.DUMMYFUNCTION("""COMPUTED_VALUE"""),311.0)</f>
        <v>311</v>
      </c>
      <c r="T541" s="140">
        <f>IFERROR(__xludf.DUMMYFUNCTION("""COMPUTED_VALUE"""),84.0)</f>
        <v>84</v>
      </c>
      <c r="U541" s="136">
        <f>IFERROR(__xludf.DUMMYFUNCTION("""COMPUTED_VALUE"""),34.0)</f>
        <v>34</v>
      </c>
      <c r="V541" s="136">
        <f>IFERROR(__xludf.DUMMYFUNCTION("""COMPUTED_VALUE"""),47.0)</f>
        <v>47</v>
      </c>
      <c r="W541" s="136">
        <f>IFERROR(__xludf.DUMMYFUNCTION("""COMPUTED_VALUE"""),45.0)</f>
        <v>45</v>
      </c>
      <c r="X541" s="136">
        <f>IFERROR(__xludf.DUMMYFUNCTION("""COMPUTED_VALUE"""),363.0731707317073)</f>
        <v>363.0731707</v>
      </c>
      <c r="Y541" s="141">
        <f>IFERROR(__xludf.DUMMYFUNCTION("""COMPUTED_VALUE"""),53.819024390243904)</f>
        <v>53.81902439</v>
      </c>
      <c r="Z541" s="141">
        <f>IFERROR(__xludf.DUMMYFUNCTION("""COMPUTED_VALUE"""),2268.4146341463415)</f>
        <v>2268.414634</v>
      </c>
    </row>
    <row r="542">
      <c r="A542" s="41" t="str">
        <f>IFERROR(__xludf.DUMMYFUNCTION("""COMPUTED_VALUE"""),"Prospect")</f>
        <v>Prospect</v>
      </c>
      <c r="B542" s="41" t="str">
        <f>IFERROR(__xludf.DUMMYFUNCTION("""COMPUTED_VALUE"""),"RSC007515")</f>
        <v>RSC007515</v>
      </c>
      <c r="C542" s="41" t="str">
        <f>IFERROR(__xludf.DUMMYFUNCTION("""COMPUTED_VALUE"""),"superstrikzz")</f>
        <v>superstrikzz</v>
      </c>
      <c r="D542" s="41" t="str">
        <f>IFERROR(__xludf.DUMMYFUNCTION("""COMPUTED_VALUE"""),"Principales")</f>
        <v>Principales</v>
      </c>
      <c r="E542" s="136">
        <f>IFERROR(__xludf.DUMMYFUNCTION("""COMPUTED_VALUE"""),50.0)</f>
        <v>50</v>
      </c>
      <c r="F542" s="136">
        <f>IFERROR(__xludf.DUMMYFUNCTION("""COMPUTED_VALUE"""),20.0)</f>
        <v>20</v>
      </c>
      <c r="G542" s="136">
        <f>IFERROR(__xludf.DUMMYFUNCTION("""COMPUTED_VALUE"""),30.0)</f>
        <v>30</v>
      </c>
      <c r="H542" s="137">
        <f>IFERROR(__xludf.DUMMYFUNCTION("""COMPUTED_VALUE"""),0.4)</f>
        <v>0.4</v>
      </c>
      <c r="I542" s="136">
        <f>IFERROR(__xludf.DUMMYFUNCTION("""COMPUTED_VALUE"""),10.0)</f>
        <v>10</v>
      </c>
      <c r="J542" s="136">
        <f>IFERROR(__xludf.DUMMYFUNCTION("""COMPUTED_VALUE"""),19280.0)</f>
        <v>19280</v>
      </c>
      <c r="K542" s="136">
        <f>IFERROR(__xludf.DUMMYFUNCTION("""COMPUTED_VALUE"""),38.0)</f>
        <v>38</v>
      </c>
      <c r="L542" s="136">
        <f>IFERROR(__xludf.DUMMYFUNCTION("""COMPUTED_VALUE"""),19.0)</f>
        <v>19</v>
      </c>
      <c r="M542" s="136">
        <f>IFERROR(__xludf.DUMMYFUNCTION("""COMPUTED_VALUE"""),77.0)</f>
        <v>77</v>
      </c>
      <c r="N542" s="136">
        <f>IFERROR(__xludf.DUMMYFUNCTION("""COMPUTED_VALUE"""),148.0)</f>
        <v>148</v>
      </c>
      <c r="O542" s="138">
        <f>IFERROR(__xludf.DUMMYFUNCTION("""COMPUTED_VALUE"""),8.0)</f>
        <v>8</v>
      </c>
      <c r="P542" s="138">
        <f>IFERROR(__xludf.DUMMYFUNCTION("""COMPUTED_VALUE"""),3.0)</f>
        <v>3</v>
      </c>
      <c r="Q542" s="138">
        <f>IFERROR(__xludf.DUMMYFUNCTION("""COMPUTED_VALUE"""),1.0)</f>
        <v>1</v>
      </c>
      <c r="R542" s="138">
        <f>IFERROR(__xludf.DUMMYFUNCTION("""COMPUTED_VALUE"""),9.0)</f>
        <v>9</v>
      </c>
      <c r="S542" s="139">
        <f>IFERROR(__xludf.DUMMYFUNCTION("""COMPUTED_VALUE"""),407.0)</f>
        <v>407</v>
      </c>
      <c r="T542" s="140">
        <f>IFERROR(__xludf.DUMMYFUNCTION("""COMPUTED_VALUE"""),125.0)</f>
        <v>125</v>
      </c>
      <c r="U542" s="136">
        <f>IFERROR(__xludf.DUMMYFUNCTION("""COMPUTED_VALUE"""),47.0)</f>
        <v>47</v>
      </c>
      <c r="V542" s="136">
        <f>IFERROR(__xludf.DUMMYFUNCTION("""COMPUTED_VALUE"""),67.0)</f>
        <v>67</v>
      </c>
      <c r="W542" s="136">
        <f>IFERROR(__xludf.DUMMYFUNCTION("""COMPUTED_VALUE"""),39.0)</f>
        <v>39</v>
      </c>
      <c r="X542" s="136">
        <f>IFERROR(__xludf.DUMMYFUNCTION("""COMPUTED_VALUE"""),388.56)</f>
        <v>388.56</v>
      </c>
      <c r="Y542" s="141">
        <f>IFERROR(__xludf.DUMMYFUNCTION("""COMPUTED_VALUE"""),43.74319999999999)</f>
        <v>43.7432</v>
      </c>
      <c r="Z542" s="141">
        <f>IFERROR(__xludf.DUMMYFUNCTION("""COMPUTED_VALUE"""),2445.96)</f>
        <v>2445.96</v>
      </c>
    </row>
    <row r="543">
      <c r="A543" s="41" t="str">
        <f>IFERROR(__xludf.DUMMYFUNCTION("""COMPUTED_VALUE"""),"Challenger")</f>
        <v>Challenger</v>
      </c>
      <c r="B543" s="41" t="str">
        <f>IFERROR(__xludf.DUMMYFUNCTION("""COMPUTED_VALUE"""),"RSC007518")</f>
        <v>RSC007518</v>
      </c>
      <c r="C543" s="41" t="str">
        <f>IFERROR(__xludf.DUMMYFUNCTION("""COMPUTED_VALUE"""),"LoneDrifter.")</f>
        <v>LoneDrifter.</v>
      </c>
      <c r="D543" s="41" t="str">
        <f>IFERROR(__xludf.DUMMYFUNCTION("""COMPUTED_VALUE"""),"Scribes")</f>
        <v>Scribes</v>
      </c>
      <c r="E543" s="136">
        <f>IFERROR(__xludf.DUMMYFUNCTION("""COMPUTED_VALUE"""),56.0)</f>
        <v>56</v>
      </c>
      <c r="F543" s="136">
        <f>IFERROR(__xludf.DUMMYFUNCTION("""COMPUTED_VALUE"""),23.0)</f>
        <v>23</v>
      </c>
      <c r="G543" s="136">
        <f>IFERROR(__xludf.DUMMYFUNCTION("""COMPUTED_VALUE"""),33.0)</f>
        <v>33</v>
      </c>
      <c r="H543" s="137">
        <f>IFERROR(__xludf.DUMMYFUNCTION("""COMPUTED_VALUE"""),0.4107142857142857)</f>
        <v>0.4107142857</v>
      </c>
      <c r="I543" s="136">
        <f>IFERROR(__xludf.DUMMYFUNCTION("""COMPUTED_VALUE"""),8.0)</f>
        <v>8</v>
      </c>
      <c r="J543" s="136">
        <f>IFERROR(__xludf.DUMMYFUNCTION("""COMPUTED_VALUE"""),19075.0)</f>
        <v>19075</v>
      </c>
      <c r="K543" s="136">
        <f>IFERROR(__xludf.DUMMYFUNCTION("""COMPUTED_VALUE"""),42.0)</f>
        <v>42</v>
      </c>
      <c r="L543" s="136">
        <f>IFERROR(__xludf.DUMMYFUNCTION("""COMPUTED_VALUE"""),35.0)</f>
        <v>35</v>
      </c>
      <c r="M543" s="136">
        <f>IFERROR(__xludf.DUMMYFUNCTION("""COMPUTED_VALUE"""),69.0)</f>
        <v>69</v>
      </c>
      <c r="N543" s="136">
        <f>IFERROR(__xludf.DUMMYFUNCTION("""COMPUTED_VALUE"""),129.0)</f>
        <v>129</v>
      </c>
      <c r="O543" s="138">
        <f>IFERROR(__xludf.DUMMYFUNCTION("""COMPUTED_VALUE"""),11.0)</f>
        <v>11</v>
      </c>
      <c r="P543" s="138">
        <f>IFERROR(__xludf.DUMMYFUNCTION("""COMPUTED_VALUE"""),3.0)</f>
        <v>3</v>
      </c>
      <c r="Q543" s="138">
        <f>IFERROR(__xludf.DUMMYFUNCTION("""COMPUTED_VALUE"""),0.0)</f>
        <v>0</v>
      </c>
      <c r="R543" s="138">
        <f>IFERROR(__xludf.DUMMYFUNCTION("""COMPUTED_VALUE"""),7.0)</f>
        <v>7</v>
      </c>
      <c r="S543" s="139">
        <f>IFERROR(__xludf.DUMMYFUNCTION("""COMPUTED_VALUE"""),435.0)</f>
        <v>435</v>
      </c>
      <c r="T543" s="140">
        <f>IFERROR(__xludf.DUMMYFUNCTION("""COMPUTED_VALUE"""),161.0)</f>
        <v>161</v>
      </c>
      <c r="U543" s="136">
        <f>IFERROR(__xludf.DUMMYFUNCTION("""COMPUTED_VALUE"""),61.0)</f>
        <v>61</v>
      </c>
      <c r="V543" s="136">
        <f>IFERROR(__xludf.DUMMYFUNCTION("""COMPUTED_VALUE"""),35.0)</f>
        <v>35</v>
      </c>
      <c r="W543" s="136">
        <f>IFERROR(__xludf.DUMMYFUNCTION("""COMPUTED_VALUE"""),51.0)</f>
        <v>51</v>
      </c>
      <c r="X543" s="136">
        <f>IFERROR(__xludf.DUMMYFUNCTION("""COMPUTED_VALUE"""),371.5)</f>
        <v>371.5</v>
      </c>
      <c r="Y543" s="141">
        <f>IFERROR(__xludf.DUMMYFUNCTION("""COMPUTED_VALUE"""),48.54714285714284)</f>
        <v>48.54714286</v>
      </c>
      <c r="Z543" s="141">
        <f>IFERROR(__xludf.DUMMYFUNCTION("""COMPUTED_VALUE"""),2185.5178571428573)</f>
        <v>2185.517857</v>
      </c>
    </row>
    <row r="544">
      <c r="A544" s="41" t="str">
        <f>IFERROR(__xludf.DUMMYFUNCTION("""COMPUTED_VALUE"""),"Prospect")</f>
        <v>Prospect</v>
      </c>
      <c r="B544" s="41" t="str">
        <f>IFERROR(__xludf.DUMMYFUNCTION("""COMPUTED_VALUE"""),"RSC007520")</f>
        <v>RSC007520</v>
      </c>
      <c r="C544" s="41" t="str">
        <f>IFERROR(__xludf.DUMMYFUNCTION("""COMPUTED_VALUE"""),"Blitzzzzz.")</f>
        <v>Blitzzzzz.</v>
      </c>
      <c r="D544" s="41" t="str">
        <f>IFERROR(__xludf.DUMMYFUNCTION("""COMPUTED_VALUE"""),"Honey Badgers
Hostile Takeover")</f>
        <v>Honey Badgers
Hostile Takeover</v>
      </c>
      <c r="E544" s="136">
        <f>IFERROR(__xludf.DUMMYFUNCTION("""COMPUTED_VALUE"""),56.0)</f>
        <v>56</v>
      </c>
      <c r="F544" s="136">
        <f>IFERROR(__xludf.DUMMYFUNCTION("""COMPUTED_VALUE"""),33.0)</f>
        <v>33</v>
      </c>
      <c r="G544" s="136">
        <f>IFERROR(__xludf.DUMMYFUNCTION("""COMPUTED_VALUE"""),23.0)</f>
        <v>23</v>
      </c>
      <c r="H544" s="137">
        <f>IFERROR(__xludf.DUMMYFUNCTION("""COMPUTED_VALUE"""),0.5892857142857143)</f>
        <v>0.5892857143</v>
      </c>
      <c r="I544" s="136">
        <f>IFERROR(__xludf.DUMMYFUNCTION("""COMPUTED_VALUE"""),11.0)</f>
        <v>11</v>
      </c>
      <c r="J544" s="136">
        <f>IFERROR(__xludf.DUMMYFUNCTION("""COMPUTED_VALUE"""),20319.0)</f>
        <v>20319</v>
      </c>
      <c r="K544" s="136">
        <f>IFERROR(__xludf.DUMMYFUNCTION("""COMPUTED_VALUE"""),58.0)</f>
        <v>58</v>
      </c>
      <c r="L544" s="136">
        <f>IFERROR(__xludf.DUMMYFUNCTION("""COMPUTED_VALUE"""),32.0)</f>
        <v>32</v>
      </c>
      <c r="M544" s="136">
        <f>IFERROR(__xludf.DUMMYFUNCTION("""COMPUTED_VALUE"""),58.0)</f>
        <v>58</v>
      </c>
      <c r="N544" s="136">
        <f>IFERROR(__xludf.DUMMYFUNCTION("""COMPUTED_VALUE"""),146.0)</f>
        <v>146</v>
      </c>
      <c r="O544" s="138">
        <f>IFERROR(__xludf.DUMMYFUNCTION("""COMPUTED_VALUE"""),9.0)</f>
        <v>9</v>
      </c>
      <c r="P544" s="138">
        <f>IFERROR(__xludf.DUMMYFUNCTION("""COMPUTED_VALUE"""),5.0)</f>
        <v>5</v>
      </c>
      <c r="Q544" s="138">
        <f>IFERROR(__xludf.DUMMYFUNCTION("""COMPUTED_VALUE"""),3.0)</f>
        <v>3</v>
      </c>
      <c r="R544" s="138">
        <f>IFERROR(__xludf.DUMMYFUNCTION("""COMPUTED_VALUE"""),5.0)</f>
        <v>5</v>
      </c>
      <c r="S544" s="139">
        <f>IFERROR(__xludf.DUMMYFUNCTION("""COMPUTED_VALUE"""),367.0)</f>
        <v>367</v>
      </c>
      <c r="T544" s="140">
        <f>IFERROR(__xludf.DUMMYFUNCTION("""COMPUTED_VALUE"""),123.0)</f>
        <v>123</v>
      </c>
      <c r="U544" s="136">
        <f>IFERROR(__xludf.DUMMYFUNCTION("""COMPUTED_VALUE"""),35.0)</f>
        <v>35</v>
      </c>
      <c r="V544" s="136">
        <f>IFERROR(__xludf.DUMMYFUNCTION("""COMPUTED_VALUE"""),98.0)</f>
        <v>98</v>
      </c>
      <c r="W544" s="136">
        <f>IFERROR(__xludf.DUMMYFUNCTION("""COMPUTED_VALUE"""),58.0)</f>
        <v>58</v>
      </c>
      <c r="X544" s="136">
        <f>IFERROR(__xludf.DUMMYFUNCTION("""COMPUTED_VALUE"""),419.4107142857143)</f>
        <v>419.4107143</v>
      </c>
      <c r="Y544" s="141">
        <f>IFERROR(__xludf.DUMMYFUNCTION("""COMPUTED_VALUE"""),50.85607142857141)</f>
        <v>50.85607143</v>
      </c>
      <c r="Z544" s="141">
        <f>IFERROR(__xludf.DUMMYFUNCTION("""COMPUTED_VALUE"""),2591.3035714285716)</f>
        <v>2591.303571</v>
      </c>
    </row>
    <row r="545">
      <c r="A545" s="41" t="str">
        <f>IFERROR(__xludf.DUMMYFUNCTION("""COMPUTED_VALUE"""),"Challenger")</f>
        <v>Challenger</v>
      </c>
      <c r="B545" s="41" t="str">
        <f>IFERROR(__xludf.DUMMYFUNCTION("""COMPUTED_VALUE"""),"RSC007525")</f>
        <v>RSC007525</v>
      </c>
      <c r="C545" s="41" t="str">
        <f>IFERROR(__xludf.DUMMYFUNCTION("""COMPUTED_VALUE"""),"BulletNote")</f>
        <v>BulletNote</v>
      </c>
      <c r="D545" s="41" t="str">
        <f>IFERROR(__xludf.DUMMYFUNCTION("""COMPUTED_VALUE"""),"Thunder Pups")</f>
        <v>Thunder Pups</v>
      </c>
      <c r="E545" s="136">
        <f>IFERROR(__xludf.DUMMYFUNCTION("""COMPUTED_VALUE"""),34.0)</f>
        <v>34</v>
      </c>
      <c r="F545" s="136">
        <f>IFERROR(__xludf.DUMMYFUNCTION("""COMPUTED_VALUE"""),17.0)</f>
        <v>17</v>
      </c>
      <c r="G545" s="136">
        <f>IFERROR(__xludf.DUMMYFUNCTION("""COMPUTED_VALUE"""),17.0)</f>
        <v>17</v>
      </c>
      <c r="H545" s="137">
        <f>IFERROR(__xludf.DUMMYFUNCTION("""COMPUTED_VALUE"""),0.5)</f>
        <v>0.5</v>
      </c>
      <c r="I545" s="136">
        <f>IFERROR(__xludf.DUMMYFUNCTION("""COMPUTED_VALUE"""),4.0)</f>
        <v>4</v>
      </c>
      <c r="J545" s="136">
        <f>IFERROR(__xludf.DUMMYFUNCTION("""COMPUTED_VALUE"""),10880.0)</f>
        <v>10880</v>
      </c>
      <c r="K545" s="136">
        <f>IFERROR(__xludf.DUMMYFUNCTION("""COMPUTED_VALUE"""),24.0)</f>
        <v>24</v>
      </c>
      <c r="L545" s="136">
        <f>IFERROR(__xludf.DUMMYFUNCTION("""COMPUTED_VALUE"""),18.0)</f>
        <v>18</v>
      </c>
      <c r="M545" s="136">
        <f>IFERROR(__xludf.DUMMYFUNCTION("""COMPUTED_VALUE"""),45.0)</f>
        <v>45</v>
      </c>
      <c r="N545" s="136">
        <f>IFERROR(__xludf.DUMMYFUNCTION("""COMPUTED_VALUE"""),67.0)</f>
        <v>67</v>
      </c>
      <c r="O545" s="138">
        <f>IFERROR(__xludf.DUMMYFUNCTION("""COMPUTED_VALUE"""),4.0)</f>
        <v>4</v>
      </c>
      <c r="P545" s="138">
        <f>IFERROR(__xludf.DUMMYFUNCTION("""COMPUTED_VALUE"""),2.0)</f>
        <v>2</v>
      </c>
      <c r="Q545" s="138">
        <f>IFERROR(__xludf.DUMMYFUNCTION("""COMPUTED_VALUE"""),0.0)</f>
        <v>0</v>
      </c>
      <c r="R545" s="138">
        <f>IFERROR(__xludf.DUMMYFUNCTION("""COMPUTED_VALUE"""),6.0)</f>
        <v>6</v>
      </c>
      <c r="S545" s="139">
        <f>IFERROR(__xludf.DUMMYFUNCTION("""COMPUTED_VALUE"""),254.0)</f>
        <v>254</v>
      </c>
      <c r="T545" s="140">
        <f>IFERROR(__xludf.DUMMYFUNCTION("""COMPUTED_VALUE"""),88.0)</f>
        <v>88</v>
      </c>
      <c r="U545" s="136">
        <f>IFERROR(__xludf.DUMMYFUNCTION("""COMPUTED_VALUE"""),29.0)</f>
        <v>29</v>
      </c>
      <c r="V545" s="136">
        <f>IFERROR(__xludf.DUMMYFUNCTION("""COMPUTED_VALUE"""),15.0)</f>
        <v>15</v>
      </c>
      <c r="W545" s="136">
        <f>IFERROR(__xludf.DUMMYFUNCTION("""COMPUTED_VALUE"""),40.0)</f>
        <v>40</v>
      </c>
      <c r="X545" s="136">
        <f>IFERROR(__xludf.DUMMYFUNCTION("""COMPUTED_VALUE"""),266.8529411764706)</f>
        <v>266.8529412</v>
      </c>
      <c r="Y545" s="141">
        <f>IFERROR(__xludf.DUMMYFUNCTION("""COMPUTED_VALUE"""),52.56999999999999)</f>
        <v>52.57</v>
      </c>
      <c r="Z545" s="141">
        <f>IFERROR(__xludf.DUMMYFUNCTION("""COMPUTED_VALUE"""),1671.6176470588234)</f>
        <v>1671.617647</v>
      </c>
    </row>
    <row r="546">
      <c r="A546" s="41" t="str">
        <f>IFERROR(__xludf.DUMMYFUNCTION("""COMPUTED_VALUE"""),"Challenger")</f>
        <v>Challenger</v>
      </c>
      <c r="B546" s="41" t="str">
        <f>IFERROR(__xludf.DUMMYFUNCTION("""COMPUTED_VALUE"""),"RSC007537")</f>
        <v>RSC007537</v>
      </c>
      <c r="C546" s="41" t="str">
        <f>IFERROR(__xludf.DUMMYFUNCTION("""COMPUTED_VALUE"""),"yoshawatt")</f>
        <v>yoshawatt</v>
      </c>
      <c r="D546" s="41" t="str">
        <f>IFERROR(__xludf.DUMMYFUNCTION("""COMPUTED_VALUE"""),"Stingrays
Metal")</f>
        <v>Stingrays
Metal</v>
      </c>
      <c r="E546" s="136">
        <f>IFERROR(__xludf.DUMMYFUNCTION("""COMPUTED_VALUE"""),29.0)</f>
        <v>29</v>
      </c>
      <c r="F546" s="136">
        <f>IFERROR(__xludf.DUMMYFUNCTION("""COMPUTED_VALUE"""),12.0)</f>
        <v>12</v>
      </c>
      <c r="G546" s="136">
        <f>IFERROR(__xludf.DUMMYFUNCTION("""COMPUTED_VALUE"""),17.0)</f>
        <v>17</v>
      </c>
      <c r="H546" s="137">
        <f>IFERROR(__xludf.DUMMYFUNCTION("""COMPUTED_VALUE"""),0.41379310344827586)</f>
        <v>0.4137931034</v>
      </c>
      <c r="I546" s="136">
        <f>IFERROR(__xludf.DUMMYFUNCTION("""COMPUTED_VALUE"""),5.0)</f>
        <v>5</v>
      </c>
      <c r="J546" s="136">
        <f>IFERROR(__xludf.DUMMYFUNCTION("""COMPUTED_VALUE"""),8973.0)</f>
        <v>8973</v>
      </c>
      <c r="K546" s="136">
        <f>IFERROR(__xludf.DUMMYFUNCTION("""COMPUTED_VALUE"""),27.0)</f>
        <v>27</v>
      </c>
      <c r="L546" s="136">
        <f>IFERROR(__xludf.DUMMYFUNCTION("""COMPUTED_VALUE"""),9.0)</f>
        <v>9</v>
      </c>
      <c r="M546" s="136">
        <f>IFERROR(__xludf.DUMMYFUNCTION("""COMPUTED_VALUE"""),21.0)</f>
        <v>21</v>
      </c>
      <c r="N546" s="136">
        <f>IFERROR(__xludf.DUMMYFUNCTION("""COMPUTED_VALUE"""),78.0)</f>
        <v>78</v>
      </c>
      <c r="O546" s="138">
        <f>IFERROR(__xludf.DUMMYFUNCTION("""COMPUTED_VALUE"""),2.0)</f>
        <v>2</v>
      </c>
      <c r="P546" s="138">
        <f>IFERROR(__xludf.DUMMYFUNCTION("""COMPUTED_VALUE"""),1.0)</f>
        <v>1</v>
      </c>
      <c r="Q546" s="138">
        <f>IFERROR(__xludf.DUMMYFUNCTION("""COMPUTED_VALUE"""),0.0)</f>
        <v>0</v>
      </c>
      <c r="R546" s="138">
        <f>IFERROR(__xludf.DUMMYFUNCTION("""COMPUTED_VALUE"""),1.0)</f>
        <v>1</v>
      </c>
      <c r="S546" s="139">
        <f>IFERROR(__xludf.DUMMYFUNCTION("""COMPUTED_VALUE"""),209.0)</f>
        <v>209</v>
      </c>
      <c r="T546" s="140">
        <f>IFERROR(__xludf.DUMMYFUNCTION("""COMPUTED_VALUE"""),79.0)</f>
        <v>79</v>
      </c>
      <c r="U546" s="136">
        <f>IFERROR(__xludf.DUMMYFUNCTION("""COMPUTED_VALUE"""),27.0)</f>
        <v>27</v>
      </c>
      <c r="V546" s="136">
        <f>IFERROR(__xludf.DUMMYFUNCTION("""COMPUTED_VALUE"""),15.0)</f>
        <v>15</v>
      </c>
      <c r="W546" s="136">
        <f>IFERROR(__xludf.DUMMYFUNCTION("""COMPUTED_VALUE"""),28.0)</f>
        <v>28</v>
      </c>
      <c r="X546" s="136">
        <f>IFERROR(__xludf.DUMMYFUNCTION("""COMPUTED_VALUE"""),383.41379310344826)</f>
        <v>383.4137931</v>
      </c>
      <c r="Y546" s="141">
        <f>IFERROR(__xludf.DUMMYFUNCTION("""COMPUTED_VALUE"""),46.418275862068974)</f>
        <v>46.41827586</v>
      </c>
      <c r="Z546" s="141">
        <f>IFERROR(__xludf.DUMMYFUNCTION("""COMPUTED_VALUE"""),2242.6206896551726)</f>
        <v>2242.62069</v>
      </c>
    </row>
    <row r="547">
      <c r="A547" s="41" t="str">
        <f>IFERROR(__xludf.DUMMYFUNCTION("""COMPUTED_VALUE"""),"Rival")</f>
        <v>Rival</v>
      </c>
      <c r="B547" s="41" t="str">
        <f>IFERROR(__xludf.DUMMYFUNCTION("""COMPUTED_VALUE"""),"RSC007546")</f>
        <v>RSC007546</v>
      </c>
      <c r="C547" s="41" t="str">
        <f>IFERROR(__xludf.DUMMYFUNCTION("""COMPUTED_VALUE"""),"N0TTopmarx")</f>
        <v>N0TTopmarx</v>
      </c>
      <c r="D547" s="41" t="str">
        <f>IFERROR(__xludf.DUMMYFUNCTION("""COMPUTED_VALUE"""),"Wind
Black Ice")</f>
        <v>Wind
Black Ice</v>
      </c>
      <c r="E547" s="136">
        <f>IFERROR(__xludf.DUMMYFUNCTION("""COMPUTED_VALUE"""),28.0)</f>
        <v>28</v>
      </c>
      <c r="F547" s="136">
        <f>IFERROR(__xludf.DUMMYFUNCTION("""COMPUTED_VALUE"""),11.0)</f>
        <v>11</v>
      </c>
      <c r="G547" s="136">
        <f>IFERROR(__xludf.DUMMYFUNCTION("""COMPUTED_VALUE"""),17.0)</f>
        <v>17</v>
      </c>
      <c r="H547" s="137">
        <f>IFERROR(__xludf.DUMMYFUNCTION("""COMPUTED_VALUE"""),0.39285714285714285)</f>
        <v>0.3928571429</v>
      </c>
      <c r="I547" s="136">
        <f>IFERROR(__xludf.DUMMYFUNCTION("""COMPUTED_VALUE"""),4.0)</f>
        <v>4</v>
      </c>
      <c r="J547" s="136">
        <f>IFERROR(__xludf.DUMMYFUNCTION("""COMPUTED_VALUE"""),10391.0)</f>
        <v>10391</v>
      </c>
      <c r="K547" s="136">
        <f>IFERROR(__xludf.DUMMYFUNCTION("""COMPUTED_VALUE"""),22.0)</f>
        <v>22</v>
      </c>
      <c r="L547" s="136">
        <f>IFERROR(__xludf.DUMMYFUNCTION("""COMPUTED_VALUE"""),13.0)</f>
        <v>13</v>
      </c>
      <c r="M547" s="136">
        <f>IFERROR(__xludf.DUMMYFUNCTION("""COMPUTED_VALUE"""),44.0)</f>
        <v>44</v>
      </c>
      <c r="N547" s="136">
        <f>IFERROR(__xludf.DUMMYFUNCTION("""COMPUTED_VALUE"""),60.0)</f>
        <v>60</v>
      </c>
      <c r="O547" s="138">
        <f>IFERROR(__xludf.DUMMYFUNCTION("""COMPUTED_VALUE"""),6.0)</f>
        <v>6</v>
      </c>
      <c r="P547" s="138">
        <f>IFERROR(__xludf.DUMMYFUNCTION("""COMPUTED_VALUE"""),3.0)</f>
        <v>3</v>
      </c>
      <c r="Q547" s="138">
        <f>IFERROR(__xludf.DUMMYFUNCTION("""COMPUTED_VALUE"""),0.0)</f>
        <v>0</v>
      </c>
      <c r="R547" s="138">
        <f>IFERROR(__xludf.DUMMYFUNCTION("""COMPUTED_VALUE"""),6.0)</f>
        <v>6</v>
      </c>
      <c r="S547" s="139">
        <f>IFERROR(__xludf.DUMMYFUNCTION("""COMPUTED_VALUE"""),254.0)</f>
        <v>254</v>
      </c>
      <c r="T547" s="140">
        <f>IFERROR(__xludf.DUMMYFUNCTION("""COMPUTED_VALUE"""),79.0)</f>
        <v>79</v>
      </c>
      <c r="U547" s="136">
        <f>IFERROR(__xludf.DUMMYFUNCTION("""COMPUTED_VALUE"""),23.0)</f>
        <v>23</v>
      </c>
      <c r="V547" s="136">
        <f>IFERROR(__xludf.DUMMYFUNCTION("""COMPUTED_VALUE"""),53.0)</f>
        <v>53</v>
      </c>
      <c r="W547" s="136">
        <f>IFERROR(__xludf.DUMMYFUNCTION("""COMPUTED_VALUE"""),22.0)</f>
        <v>22</v>
      </c>
      <c r="X547" s="136">
        <f>IFERROR(__xludf.DUMMYFUNCTION("""COMPUTED_VALUE"""),425.2857142857143)</f>
        <v>425.2857143</v>
      </c>
      <c r="Y547" s="141">
        <f>IFERROR(__xludf.DUMMYFUNCTION("""COMPUTED_VALUE"""),50.930714285714295)</f>
        <v>50.93071429</v>
      </c>
      <c r="Z547" s="141">
        <f>IFERROR(__xludf.DUMMYFUNCTION("""COMPUTED_VALUE"""),2682.8214285714284)</f>
        <v>2682.821429</v>
      </c>
    </row>
    <row r="548">
      <c r="A548" s="41" t="str">
        <f>IFERROR(__xludf.DUMMYFUNCTION("""COMPUTED_VALUE"""),"Rival")</f>
        <v>Rival</v>
      </c>
      <c r="B548" s="41" t="str">
        <f>IFERROR(__xludf.DUMMYFUNCTION("""COMPUTED_VALUE"""),"RSC007549")</f>
        <v>RSC007549</v>
      </c>
      <c r="C548" s="41" t="str">
        <f>IFERROR(__xludf.DUMMYFUNCTION("""COMPUTED_VALUE"""),"Whiffy_RL")</f>
        <v>Whiffy_RL</v>
      </c>
      <c r="D548" s="41" t="str">
        <f>IFERROR(__xludf.DUMMYFUNCTION("""COMPUTED_VALUE"""),"Scramjets")</f>
        <v>Scramjets</v>
      </c>
      <c r="E548" s="136">
        <f>IFERROR(__xludf.DUMMYFUNCTION("""COMPUTED_VALUE"""),13.0)</f>
        <v>13</v>
      </c>
      <c r="F548" s="136">
        <f>IFERROR(__xludf.DUMMYFUNCTION("""COMPUTED_VALUE"""),8.0)</f>
        <v>8</v>
      </c>
      <c r="G548" s="136">
        <f>IFERROR(__xludf.DUMMYFUNCTION("""COMPUTED_VALUE"""),5.0)</f>
        <v>5</v>
      </c>
      <c r="H548" s="137">
        <f>IFERROR(__xludf.DUMMYFUNCTION("""COMPUTED_VALUE"""),0.6153846153846154)</f>
        <v>0.6153846154</v>
      </c>
      <c r="I548" s="136">
        <f>IFERROR(__xludf.DUMMYFUNCTION("""COMPUTED_VALUE"""),0.0)</f>
        <v>0</v>
      </c>
      <c r="J548" s="136">
        <f>IFERROR(__xludf.DUMMYFUNCTION("""COMPUTED_VALUE"""),4361.0)</f>
        <v>4361</v>
      </c>
      <c r="K548" s="136">
        <f>IFERROR(__xludf.DUMMYFUNCTION("""COMPUTED_VALUE"""),5.0)</f>
        <v>5</v>
      </c>
      <c r="L548" s="136">
        <f>IFERROR(__xludf.DUMMYFUNCTION("""COMPUTED_VALUE"""),10.0)</f>
        <v>10</v>
      </c>
      <c r="M548" s="136">
        <f>IFERROR(__xludf.DUMMYFUNCTION("""COMPUTED_VALUE"""),19.0)</f>
        <v>19</v>
      </c>
      <c r="N548" s="136">
        <f>IFERROR(__xludf.DUMMYFUNCTION("""COMPUTED_VALUE"""),28.0)</f>
        <v>28</v>
      </c>
      <c r="O548" s="138">
        <f>IFERROR(__xludf.DUMMYFUNCTION("""COMPUTED_VALUE"""),0.0)</f>
        <v>0</v>
      </c>
      <c r="P548" s="138">
        <f>IFERROR(__xludf.DUMMYFUNCTION("""COMPUTED_VALUE"""),0.0)</f>
        <v>0</v>
      </c>
      <c r="Q548" s="138">
        <f>IFERROR(__xludf.DUMMYFUNCTION("""COMPUTED_VALUE"""),0.0)</f>
        <v>0</v>
      </c>
      <c r="R548" s="138">
        <f>IFERROR(__xludf.DUMMYFUNCTION("""COMPUTED_VALUE"""),3.0)</f>
        <v>3</v>
      </c>
      <c r="S548" s="139">
        <f>IFERROR(__xludf.DUMMYFUNCTION("""COMPUTED_VALUE"""),91.0)</f>
        <v>91</v>
      </c>
      <c r="T548" s="140">
        <f>IFERROR(__xludf.DUMMYFUNCTION("""COMPUTED_VALUE"""),26.0)</f>
        <v>26</v>
      </c>
      <c r="U548" s="136">
        <f>IFERROR(__xludf.DUMMYFUNCTION("""COMPUTED_VALUE"""),8.0)</f>
        <v>8</v>
      </c>
      <c r="V548" s="136">
        <f>IFERROR(__xludf.DUMMYFUNCTION("""COMPUTED_VALUE"""),12.0)</f>
        <v>12</v>
      </c>
      <c r="W548" s="136">
        <f>IFERROR(__xludf.DUMMYFUNCTION("""COMPUTED_VALUE"""),8.0)</f>
        <v>8</v>
      </c>
      <c r="X548" s="136">
        <f>IFERROR(__xludf.DUMMYFUNCTION("""COMPUTED_VALUE"""),370.0)</f>
        <v>370</v>
      </c>
      <c r="Y548" s="141">
        <f>IFERROR(__xludf.DUMMYFUNCTION("""COMPUTED_VALUE"""),52.42307692307692)</f>
        <v>52.42307692</v>
      </c>
      <c r="Z548" s="141">
        <f>IFERROR(__xludf.DUMMYFUNCTION("""COMPUTED_VALUE"""),2338.6153846153848)</f>
        <v>2338.615385</v>
      </c>
    </row>
    <row r="549">
      <c r="A549" s="41" t="str">
        <f>IFERROR(__xludf.DUMMYFUNCTION("""COMPUTED_VALUE"""),"Veteran")</f>
        <v>Veteran</v>
      </c>
      <c r="B549" s="41" t="str">
        <f>IFERROR(__xludf.DUMMYFUNCTION("""COMPUTED_VALUE"""),"RSC007555")</f>
        <v>RSC007555</v>
      </c>
      <c r="C549" s="41" t="str">
        <f>IFERROR(__xludf.DUMMYFUNCTION("""COMPUTED_VALUE"""),"cjastr0-")</f>
        <v>cjastr0-</v>
      </c>
      <c r="D549" s="41" t="str">
        <f>IFERROR(__xludf.DUMMYFUNCTION("""COMPUTED_VALUE"""),"Gouda Gangsters")</f>
        <v>Gouda Gangsters</v>
      </c>
      <c r="E549" s="136">
        <f>IFERROR(__xludf.DUMMYFUNCTION("""COMPUTED_VALUE"""),24.0)</f>
        <v>24</v>
      </c>
      <c r="F549" s="136">
        <f>IFERROR(__xludf.DUMMYFUNCTION("""COMPUTED_VALUE"""),7.0)</f>
        <v>7</v>
      </c>
      <c r="G549" s="136">
        <f>IFERROR(__xludf.DUMMYFUNCTION("""COMPUTED_VALUE"""),17.0)</f>
        <v>17</v>
      </c>
      <c r="H549" s="137">
        <f>IFERROR(__xludf.DUMMYFUNCTION("""COMPUTED_VALUE"""),0.2916666666666667)</f>
        <v>0.2916666667</v>
      </c>
      <c r="I549" s="136">
        <f>IFERROR(__xludf.DUMMYFUNCTION("""COMPUTED_VALUE"""),3.0)</f>
        <v>3</v>
      </c>
      <c r="J549" s="136">
        <f>IFERROR(__xludf.DUMMYFUNCTION("""COMPUTED_VALUE"""),7619.0)</f>
        <v>7619</v>
      </c>
      <c r="K549" s="136">
        <f>IFERROR(__xludf.DUMMYFUNCTION("""COMPUTED_VALUE"""),16.0)</f>
        <v>16</v>
      </c>
      <c r="L549" s="136">
        <f>IFERROR(__xludf.DUMMYFUNCTION("""COMPUTED_VALUE"""),9.0)</f>
        <v>9</v>
      </c>
      <c r="M549" s="136">
        <f>IFERROR(__xludf.DUMMYFUNCTION("""COMPUTED_VALUE"""),26.0)</f>
        <v>26</v>
      </c>
      <c r="N549" s="136">
        <f>IFERROR(__xludf.DUMMYFUNCTION("""COMPUTED_VALUE"""),48.0)</f>
        <v>48</v>
      </c>
      <c r="O549" s="138">
        <f>IFERROR(__xludf.DUMMYFUNCTION("""COMPUTED_VALUE"""),6.0)</f>
        <v>6</v>
      </c>
      <c r="P549" s="138">
        <f>IFERROR(__xludf.DUMMYFUNCTION("""COMPUTED_VALUE"""),1.0)</f>
        <v>1</v>
      </c>
      <c r="Q549" s="138">
        <f>IFERROR(__xludf.DUMMYFUNCTION("""COMPUTED_VALUE"""),0.0)</f>
        <v>0</v>
      </c>
      <c r="R549" s="138">
        <f>IFERROR(__xludf.DUMMYFUNCTION("""COMPUTED_VALUE"""),0.0)</f>
        <v>0</v>
      </c>
      <c r="S549" s="139">
        <f>IFERROR(__xludf.DUMMYFUNCTION("""COMPUTED_VALUE"""),184.0)</f>
        <v>184</v>
      </c>
      <c r="T549" s="140">
        <f>IFERROR(__xludf.DUMMYFUNCTION("""COMPUTED_VALUE"""),57.0)</f>
        <v>57</v>
      </c>
      <c r="U549" s="136">
        <f>IFERROR(__xludf.DUMMYFUNCTION("""COMPUTED_VALUE"""),17.0)</f>
        <v>17</v>
      </c>
      <c r="V549" s="136">
        <f>IFERROR(__xludf.DUMMYFUNCTION("""COMPUTED_VALUE"""),24.0)</f>
        <v>24</v>
      </c>
      <c r="W549" s="136">
        <f>IFERROR(__xludf.DUMMYFUNCTION("""COMPUTED_VALUE"""),30.0)</f>
        <v>30</v>
      </c>
      <c r="X549" s="136">
        <f>IFERROR(__xludf.DUMMYFUNCTION("""COMPUTED_VALUE"""),374.9166666666667)</f>
        <v>374.9166667</v>
      </c>
      <c r="Y549" s="141">
        <f>IFERROR(__xludf.DUMMYFUNCTION("""COMPUTED_VALUE"""),52.45208333333333)</f>
        <v>52.45208333</v>
      </c>
      <c r="Z549" s="141">
        <f>IFERROR(__xludf.DUMMYFUNCTION("""COMPUTED_VALUE"""),2235.4583333333335)</f>
        <v>2235.458333</v>
      </c>
    </row>
    <row r="550">
      <c r="A550" s="41" t="str">
        <f>IFERROR(__xludf.DUMMYFUNCTION("""COMPUTED_VALUE"""),"Master")</f>
        <v>Master</v>
      </c>
      <c r="B550" s="41" t="str">
        <f>IFERROR(__xludf.DUMMYFUNCTION("""COMPUTED_VALUE"""),"RSC007558")</f>
        <v>RSC007558</v>
      </c>
      <c r="C550" s="41" t="str">
        <f>IFERROR(__xludf.DUMMYFUNCTION("""COMPUTED_VALUE"""),"Frijole")</f>
        <v>Frijole</v>
      </c>
      <c r="D550" s="41" t="str">
        <f>IFERROR(__xludf.DUMMYFUNCTION("""COMPUTED_VALUE"""),"Fromunda Frauds")</f>
        <v>Fromunda Frauds</v>
      </c>
      <c r="E550" s="136">
        <f>IFERROR(__xludf.DUMMYFUNCTION("""COMPUTED_VALUE"""),51.0)</f>
        <v>51</v>
      </c>
      <c r="F550" s="136">
        <f>IFERROR(__xludf.DUMMYFUNCTION("""COMPUTED_VALUE"""),29.0)</f>
        <v>29</v>
      </c>
      <c r="G550" s="136">
        <f>IFERROR(__xludf.DUMMYFUNCTION("""COMPUTED_VALUE"""),22.0)</f>
        <v>22</v>
      </c>
      <c r="H550" s="137">
        <f>IFERROR(__xludf.DUMMYFUNCTION("""COMPUTED_VALUE"""),0.5686274509803921)</f>
        <v>0.568627451</v>
      </c>
      <c r="I550" s="136">
        <f>IFERROR(__xludf.DUMMYFUNCTION("""COMPUTED_VALUE"""),8.0)</f>
        <v>8</v>
      </c>
      <c r="J550" s="136">
        <f>IFERROR(__xludf.DUMMYFUNCTION("""COMPUTED_VALUE"""),18403.0)</f>
        <v>18403</v>
      </c>
      <c r="K550" s="136">
        <f>IFERROR(__xludf.DUMMYFUNCTION("""COMPUTED_VALUE"""),42.0)</f>
        <v>42</v>
      </c>
      <c r="L550" s="136">
        <f>IFERROR(__xludf.DUMMYFUNCTION("""COMPUTED_VALUE"""),26.0)</f>
        <v>26</v>
      </c>
      <c r="M550" s="136">
        <f>IFERROR(__xludf.DUMMYFUNCTION("""COMPUTED_VALUE"""),70.0)</f>
        <v>70</v>
      </c>
      <c r="N550" s="136">
        <f>IFERROR(__xludf.DUMMYFUNCTION("""COMPUTED_VALUE"""),145.0)</f>
        <v>145</v>
      </c>
      <c r="O550" s="138">
        <f>IFERROR(__xludf.DUMMYFUNCTION("""COMPUTED_VALUE"""),12.0)</f>
        <v>12</v>
      </c>
      <c r="P550" s="138">
        <f>IFERROR(__xludf.DUMMYFUNCTION("""COMPUTED_VALUE"""),2.0)</f>
        <v>2</v>
      </c>
      <c r="Q550" s="138">
        <f>IFERROR(__xludf.DUMMYFUNCTION("""COMPUTED_VALUE"""),1.0)</f>
        <v>1</v>
      </c>
      <c r="R550" s="138">
        <f>IFERROR(__xludf.DUMMYFUNCTION("""COMPUTED_VALUE"""),9.0)</f>
        <v>9</v>
      </c>
      <c r="S550" s="139">
        <f>IFERROR(__xludf.DUMMYFUNCTION("""COMPUTED_VALUE"""),375.0)</f>
        <v>375</v>
      </c>
      <c r="T550" s="140">
        <f>IFERROR(__xludf.DUMMYFUNCTION("""COMPUTED_VALUE"""),106.0)</f>
        <v>106</v>
      </c>
      <c r="U550" s="136">
        <f>IFERROR(__xludf.DUMMYFUNCTION("""COMPUTED_VALUE"""),29.0)</f>
        <v>29</v>
      </c>
      <c r="V550" s="136">
        <f>IFERROR(__xludf.DUMMYFUNCTION("""COMPUTED_VALUE"""),29.0)</f>
        <v>29</v>
      </c>
      <c r="W550" s="136">
        <f>IFERROR(__xludf.DUMMYFUNCTION("""COMPUTED_VALUE"""),60.0)</f>
        <v>60</v>
      </c>
      <c r="X550" s="136">
        <f>IFERROR(__xludf.DUMMYFUNCTION("""COMPUTED_VALUE"""),399.2352941176471)</f>
        <v>399.2352941</v>
      </c>
      <c r="Y550" s="141">
        <f>IFERROR(__xludf.DUMMYFUNCTION("""COMPUTED_VALUE"""),55.03901960784313)</f>
        <v>55.03901961</v>
      </c>
      <c r="Z550" s="141">
        <f>IFERROR(__xludf.DUMMYFUNCTION("""COMPUTED_VALUE"""),2432.3333333333335)</f>
        <v>2432.333333</v>
      </c>
    </row>
    <row r="551">
      <c r="A551" s="41" t="str">
        <f>IFERROR(__xludf.DUMMYFUNCTION("""COMPUTED_VALUE"""),"Rival")</f>
        <v>Rival</v>
      </c>
      <c r="B551" s="41" t="str">
        <f>IFERROR(__xludf.DUMMYFUNCTION("""COMPUTED_VALUE"""),"RSC007560")</f>
        <v>RSC007560</v>
      </c>
      <c r="C551" s="41" t="str">
        <f>IFERROR(__xludf.DUMMYFUNCTION("""COMPUTED_VALUE"""),"ObiWan_Can_O_Bee")</f>
        <v>ObiWan_Can_O_Bee</v>
      </c>
      <c r="D551" s="41" t="str">
        <f>IFERROR(__xludf.DUMMYFUNCTION("""COMPUTED_VALUE"""),"Nightfall")</f>
        <v>Nightfall</v>
      </c>
      <c r="E551" s="136">
        <f>IFERROR(__xludf.DUMMYFUNCTION("""COMPUTED_VALUE"""),47.0)</f>
        <v>47</v>
      </c>
      <c r="F551" s="136">
        <f>IFERROR(__xludf.DUMMYFUNCTION("""COMPUTED_VALUE"""),23.0)</f>
        <v>23</v>
      </c>
      <c r="G551" s="136">
        <f>IFERROR(__xludf.DUMMYFUNCTION("""COMPUTED_VALUE"""),24.0)</f>
        <v>24</v>
      </c>
      <c r="H551" s="137">
        <f>IFERROR(__xludf.DUMMYFUNCTION("""COMPUTED_VALUE"""),0.48936170212765956)</f>
        <v>0.4893617021</v>
      </c>
      <c r="I551" s="136">
        <f>IFERROR(__xludf.DUMMYFUNCTION("""COMPUTED_VALUE"""),5.0)</f>
        <v>5</v>
      </c>
      <c r="J551" s="136">
        <f>IFERROR(__xludf.DUMMYFUNCTION("""COMPUTED_VALUE"""),14821.0)</f>
        <v>14821</v>
      </c>
      <c r="K551" s="136">
        <f>IFERROR(__xludf.DUMMYFUNCTION("""COMPUTED_VALUE"""),24.0)</f>
        <v>24</v>
      </c>
      <c r="L551" s="136">
        <f>IFERROR(__xludf.DUMMYFUNCTION("""COMPUTED_VALUE"""),29.0)</f>
        <v>29</v>
      </c>
      <c r="M551" s="136">
        <f>IFERROR(__xludf.DUMMYFUNCTION("""COMPUTED_VALUE"""),74.0)</f>
        <v>74</v>
      </c>
      <c r="N551" s="136">
        <f>IFERROR(__xludf.DUMMYFUNCTION("""COMPUTED_VALUE"""),105.0)</f>
        <v>105</v>
      </c>
      <c r="O551" s="138">
        <f>IFERROR(__xludf.DUMMYFUNCTION("""COMPUTED_VALUE"""),5.0)</f>
        <v>5</v>
      </c>
      <c r="P551" s="138">
        <f>IFERROR(__xludf.DUMMYFUNCTION("""COMPUTED_VALUE"""),0.0)</f>
        <v>0</v>
      </c>
      <c r="Q551" s="138">
        <f>IFERROR(__xludf.DUMMYFUNCTION("""COMPUTED_VALUE"""),0.0)</f>
        <v>0</v>
      </c>
      <c r="R551" s="138">
        <f>IFERROR(__xludf.DUMMYFUNCTION("""COMPUTED_VALUE"""),9.0)</f>
        <v>9</v>
      </c>
      <c r="S551" s="139">
        <f>IFERROR(__xludf.DUMMYFUNCTION("""COMPUTED_VALUE"""),347.0)</f>
        <v>347</v>
      </c>
      <c r="T551" s="140">
        <f>IFERROR(__xludf.DUMMYFUNCTION("""COMPUTED_VALUE"""),110.0)</f>
        <v>110</v>
      </c>
      <c r="U551" s="136">
        <f>IFERROR(__xludf.DUMMYFUNCTION("""COMPUTED_VALUE"""),34.0)</f>
        <v>34</v>
      </c>
      <c r="V551" s="136">
        <f>IFERROR(__xludf.DUMMYFUNCTION("""COMPUTED_VALUE"""),49.0)</f>
        <v>49</v>
      </c>
      <c r="W551" s="136">
        <f>IFERROR(__xludf.DUMMYFUNCTION("""COMPUTED_VALUE"""),42.0)</f>
        <v>42</v>
      </c>
      <c r="X551" s="136">
        <f>IFERROR(__xludf.DUMMYFUNCTION("""COMPUTED_VALUE"""),400.0425531914894)</f>
        <v>400.0425532</v>
      </c>
      <c r="Y551" s="141">
        <f>IFERROR(__xludf.DUMMYFUNCTION("""COMPUTED_VALUE"""),51.26574468085106)</f>
        <v>51.26574468</v>
      </c>
      <c r="Z551" s="141">
        <f>IFERROR(__xludf.DUMMYFUNCTION("""COMPUTED_VALUE"""),2439.6382978723404)</f>
        <v>2439.638298</v>
      </c>
    </row>
    <row r="552">
      <c r="A552" s="41" t="str">
        <f>IFERROR(__xludf.DUMMYFUNCTION("""COMPUTED_VALUE"""),"Master")</f>
        <v>Master</v>
      </c>
      <c r="B552" s="41" t="str">
        <f>IFERROR(__xludf.DUMMYFUNCTION("""COMPUTED_VALUE"""),"RSC007565")</f>
        <v>RSC007565</v>
      </c>
      <c r="C552" s="41" t="str">
        <f>IFERROR(__xludf.DUMMYFUNCTION("""COMPUTED_VALUE"""),"AcX")</f>
        <v>AcX</v>
      </c>
      <c r="D552" s="41" t="str">
        <f>IFERROR(__xludf.DUMMYFUNCTION("""COMPUTED_VALUE"""),"Care Bears")</f>
        <v>Care Bears</v>
      </c>
      <c r="E552" s="136">
        <f>IFERROR(__xludf.DUMMYFUNCTION("""COMPUTED_VALUE"""),51.0)</f>
        <v>51</v>
      </c>
      <c r="F552" s="136">
        <f>IFERROR(__xludf.DUMMYFUNCTION("""COMPUTED_VALUE"""),32.0)</f>
        <v>32</v>
      </c>
      <c r="G552" s="136">
        <f>IFERROR(__xludf.DUMMYFUNCTION("""COMPUTED_VALUE"""),19.0)</f>
        <v>19</v>
      </c>
      <c r="H552" s="137">
        <f>IFERROR(__xludf.DUMMYFUNCTION("""COMPUTED_VALUE"""),0.6274509803921569)</f>
        <v>0.6274509804</v>
      </c>
      <c r="I552" s="136">
        <f>IFERROR(__xludf.DUMMYFUNCTION("""COMPUTED_VALUE"""),12.0)</f>
        <v>12</v>
      </c>
      <c r="J552" s="136">
        <f>IFERROR(__xludf.DUMMYFUNCTION("""COMPUTED_VALUE"""),16668.0)</f>
        <v>16668</v>
      </c>
      <c r="K552" s="136">
        <f>IFERROR(__xludf.DUMMYFUNCTION("""COMPUTED_VALUE"""),38.0)</f>
        <v>38</v>
      </c>
      <c r="L552" s="136">
        <f>IFERROR(__xludf.DUMMYFUNCTION("""COMPUTED_VALUE"""),32.0)</f>
        <v>32</v>
      </c>
      <c r="M552" s="136">
        <f>IFERROR(__xludf.DUMMYFUNCTION("""COMPUTED_VALUE"""),58.0)</f>
        <v>58</v>
      </c>
      <c r="N552" s="136">
        <f>IFERROR(__xludf.DUMMYFUNCTION("""COMPUTED_VALUE"""),107.0)</f>
        <v>107</v>
      </c>
      <c r="O552" s="138">
        <f>IFERROR(__xludf.DUMMYFUNCTION("""COMPUTED_VALUE"""),7.0)</f>
        <v>7</v>
      </c>
      <c r="P552" s="138">
        <f>IFERROR(__xludf.DUMMYFUNCTION("""COMPUTED_VALUE"""),3.0)</f>
        <v>3</v>
      </c>
      <c r="Q552" s="138">
        <f>IFERROR(__xludf.DUMMYFUNCTION("""COMPUTED_VALUE"""),2.0)</f>
        <v>2</v>
      </c>
      <c r="R552" s="138">
        <f>IFERROR(__xludf.DUMMYFUNCTION("""COMPUTED_VALUE"""),11.0)</f>
        <v>11</v>
      </c>
      <c r="S552" s="139">
        <f>IFERROR(__xludf.DUMMYFUNCTION("""COMPUTED_VALUE"""),306.0)</f>
        <v>306</v>
      </c>
      <c r="T552" s="140">
        <f>IFERROR(__xludf.DUMMYFUNCTION("""COMPUTED_VALUE"""),81.0)</f>
        <v>81</v>
      </c>
      <c r="U552" s="136">
        <f>IFERROR(__xludf.DUMMYFUNCTION("""COMPUTED_VALUE"""),27.0)</f>
        <v>27</v>
      </c>
      <c r="V552" s="136">
        <f>IFERROR(__xludf.DUMMYFUNCTION("""COMPUTED_VALUE"""),35.0)</f>
        <v>35</v>
      </c>
      <c r="W552" s="136">
        <f>IFERROR(__xludf.DUMMYFUNCTION("""COMPUTED_VALUE"""),60.0)</f>
        <v>60</v>
      </c>
      <c r="X552" s="136">
        <f>IFERROR(__xludf.DUMMYFUNCTION("""COMPUTED_VALUE"""),374.97872340425533)</f>
        <v>374.9787234</v>
      </c>
      <c r="Y552" s="141">
        <f>IFERROR(__xludf.DUMMYFUNCTION("""COMPUTED_VALUE"""),47.34914893617021)</f>
        <v>47.34914894</v>
      </c>
      <c r="Z552" s="141">
        <f>IFERROR(__xludf.DUMMYFUNCTION("""COMPUTED_VALUE"""),2219.2978723404253)</f>
        <v>2219.297872</v>
      </c>
    </row>
    <row r="553">
      <c r="A553" s="41" t="str">
        <f>IFERROR(__xludf.DUMMYFUNCTION("""COMPUTED_VALUE"""),"Challenger")</f>
        <v>Challenger</v>
      </c>
      <c r="B553" s="41" t="str">
        <f>IFERROR(__xludf.DUMMYFUNCTION("""COMPUTED_VALUE"""),"RSC007568")</f>
        <v>RSC007568</v>
      </c>
      <c r="C553" s="41" t="str">
        <f>IFERROR(__xludf.DUMMYFUNCTION("""COMPUTED_VALUE"""),"Chills1912")</f>
        <v>Chills1912</v>
      </c>
      <c r="D553" s="41" t="str">
        <f>IFERROR(__xludf.DUMMYFUNCTION("""COMPUTED_VALUE"""),"Void")</f>
        <v>Void</v>
      </c>
      <c r="E553" s="136">
        <f>IFERROR(__xludf.DUMMYFUNCTION("""COMPUTED_VALUE"""),47.0)</f>
        <v>47</v>
      </c>
      <c r="F553" s="136">
        <f>IFERROR(__xludf.DUMMYFUNCTION("""COMPUTED_VALUE"""),24.0)</f>
        <v>24</v>
      </c>
      <c r="G553" s="136">
        <f>IFERROR(__xludf.DUMMYFUNCTION("""COMPUTED_VALUE"""),23.0)</f>
        <v>23</v>
      </c>
      <c r="H553" s="137">
        <f>IFERROR(__xludf.DUMMYFUNCTION("""COMPUTED_VALUE"""),0.5106382978723404)</f>
        <v>0.5106382979</v>
      </c>
      <c r="I553" s="136">
        <f>IFERROR(__xludf.DUMMYFUNCTION("""COMPUTED_VALUE"""),4.0)</f>
        <v>4</v>
      </c>
      <c r="J553" s="136">
        <f>IFERROR(__xludf.DUMMYFUNCTION("""COMPUTED_VALUE"""),14902.0)</f>
        <v>14902</v>
      </c>
      <c r="K553" s="136">
        <f>IFERROR(__xludf.DUMMYFUNCTION("""COMPUTED_VALUE"""),28.0)</f>
        <v>28</v>
      </c>
      <c r="L553" s="136">
        <f>IFERROR(__xludf.DUMMYFUNCTION("""COMPUTED_VALUE"""),30.0)</f>
        <v>30</v>
      </c>
      <c r="M553" s="136">
        <f>IFERROR(__xludf.DUMMYFUNCTION("""COMPUTED_VALUE"""),56.0)</f>
        <v>56</v>
      </c>
      <c r="N553" s="136">
        <f>IFERROR(__xludf.DUMMYFUNCTION("""COMPUTED_VALUE"""),101.0)</f>
        <v>101</v>
      </c>
      <c r="O553" s="138">
        <f>IFERROR(__xludf.DUMMYFUNCTION("""COMPUTED_VALUE"""),5.0)</f>
        <v>5</v>
      </c>
      <c r="P553" s="138">
        <f>IFERROR(__xludf.DUMMYFUNCTION("""COMPUTED_VALUE"""),1.0)</f>
        <v>1</v>
      </c>
      <c r="Q553" s="138">
        <f>IFERROR(__xludf.DUMMYFUNCTION("""COMPUTED_VALUE"""),0.0)</f>
        <v>0</v>
      </c>
      <c r="R553" s="138">
        <f>IFERROR(__xludf.DUMMYFUNCTION("""COMPUTED_VALUE"""),8.0)</f>
        <v>8</v>
      </c>
      <c r="S553" s="139">
        <f>IFERROR(__xludf.DUMMYFUNCTION("""COMPUTED_VALUE"""),334.0)</f>
        <v>334</v>
      </c>
      <c r="T553" s="140">
        <f>IFERROR(__xludf.DUMMYFUNCTION("""COMPUTED_VALUE"""),112.0)</f>
        <v>112</v>
      </c>
      <c r="U553" s="136">
        <f>IFERROR(__xludf.DUMMYFUNCTION("""COMPUTED_VALUE"""),34.0)</f>
        <v>34</v>
      </c>
      <c r="V553" s="136">
        <f>IFERROR(__xludf.DUMMYFUNCTION("""COMPUTED_VALUE"""),26.0)</f>
        <v>26</v>
      </c>
      <c r="W553" s="136">
        <f>IFERROR(__xludf.DUMMYFUNCTION("""COMPUTED_VALUE"""),51.0)</f>
        <v>51</v>
      </c>
      <c r="X553" s="136">
        <f>IFERROR(__xludf.DUMMYFUNCTION("""COMPUTED_VALUE"""),272.02127659574467)</f>
        <v>272.0212766</v>
      </c>
      <c r="Y553" s="141">
        <f>IFERROR(__xludf.DUMMYFUNCTION("""COMPUTED_VALUE"""),55.21872340425529)</f>
        <v>55.2187234</v>
      </c>
      <c r="Z553" s="141">
        <f>IFERROR(__xludf.DUMMYFUNCTION("""COMPUTED_VALUE"""),1722.4255319148936)</f>
        <v>1722.425532</v>
      </c>
    </row>
    <row r="554">
      <c r="A554" s="41" t="str">
        <f>IFERROR(__xludf.DUMMYFUNCTION("""COMPUTED_VALUE"""),"Amateur")</f>
        <v>Amateur</v>
      </c>
      <c r="B554" s="41" t="str">
        <f>IFERROR(__xludf.DUMMYFUNCTION("""COMPUTED_VALUE"""),"RSC007571")</f>
        <v>RSC007571</v>
      </c>
      <c r="C554" s="41" t="str">
        <f>IFERROR(__xludf.DUMMYFUNCTION("""COMPUTED_VALUE"""),"StephM2_")</f>
        <v>StephM2_</v>
      </c>
      <c r="D554" s="41" t="str">
        <f>IFERROR(__xludf.DUMMYFUNCTION("""COMPUTED_VALUE"""),"Garlic Knots")</f>
        <v>Garlic Knots</v>
      </c>
      <c r="E554" s="136">
        <f>IFERROR(__xludf.DUMMYFUNCTION("""COMPUTED_VALUE"""),47.0)</f>
        <v>47</v>
      </c>
      <c r="F554" s="136">
        <f>IFERROR(__xludf.DUMMYFUNCTION("""COMPUTED_VALUE"""),21.0)</f>
        <v>21</v>
      </c>
      <c r="G554" s="136">
        <f>IFERROR(__xludf.DUMMYFUNCTION("""COMPUTED_VALUE"""),26.0)</f>
        <v>26</v>
      </c>
      <c r="H554" s="137">
        <f>IFERROR(__xludf.DUMMYFUNCTION("""COMPUTED_VALUE"""),0.44680851063829785)</f>
        <v>0.4468085106</v>
      </c>
      <c r="I554" s="136">
        <f>IFERROR(__xludf.DUMMYFUNCTION("""COMPUTED_VALUE"""),13.0)</f>
        <v>13</v>
      </c>
      <c r="J554" s="136">
        <f>IFERROR(__xludf.DUMMYFUNCTION("""COMPUTED_VALUE"""),17651.0)</f>
        <v>17651</v>
      </c>
      <c r="K554" s="136">
        <f>IFERROR(__xludf.DUMMYFUNCTION("""COMPUTED_VALUE"""),42.0)</f>
        <v>42</v>
      </c>
      <c r="L554" s="136">
        <f>IFERROR(__xludf.DUMMYFUNCTION("""COMPUTED_VALUE"""),22.0)</f>
        <v>22</v>
      </c>
      <c r="M554" s="136">
        <f>IFERROR(__xludf.DUMMYFUNCTION("""COMPUTED_VALUE"""),65.0)</f>
        <v>65</v>
      </c>
      <c r="N554" s="136">
        <f>IFERROR(__xludf.DUMMYFUNCTION("""COMPUTED_VALUE"""),133.0)</f>
        <v>133</v>
      </c>
      <c r="O554" s="138">
        <f>IFERROR(__xludf.DUMMYFUNCTION("""COMPUTED_VALUE"""),10.0)</f>
        <v>10</v>
      </c>
      <c r="P554" s="138">
        <f>IFERROR(__xludf.DUMMYFUNCTION("""COMPUTED_VALUE"""),4.0)</f>
        <v>4</v>
      </c>
      <c r="Q554" s="138">
        <f>IFERROR(__xludf.DUMMYFUNCTION("""COMPUTED_VALUE"""),0.0)</f>
        <v>0</v>
      </c>
      <c r="R554" s="138">
        <f>IFERROR(__xludf.DUMMYFUNCTION("""COMPUTED_VALUE"""),9.0)</f>
        <v>9</v>
      </c>
      <c r="S554" s="139">
        <f>IFERROR(__xludf.DUMMYFUNCTION("""COMPUTED_VALUE"""),288.0)</f>
        <v>288</v>
      </c>
      <c r="T554" s="140">
        <f>IFERROR(__xludf.DUMMYFUNCTION("""COMPUTED_VALUE"""),114.0)</f>
        <v>114</v>
      </c>
      <c r="U554" s="136">
        <f>IFERROR(__xludf.DUMMYFUNCTION("""COMPUTED_VALUE"""),44.0)</f>
        <v>44</v>
      </c>
      <c r="V554" s="136">
        <f>IFERROR(__xludf.DUMMYFUNCTION("""COMPUTED_VALUE"""),61.0)</f>
        <v>61</v>
      </c>
      <c r="W554" s="136">
        <f>IFERROR(__xludf.DUMMYFUNCTION("""COMPUTED_VALUE"""),24.0)</f>
        <v>24</v>
      </c>
      <c r="X554" s="139">
        <f>IFERROR(__xludf.DUMMYFUNCTION("""COMPUTED_VALUE"""),373.97872340425533)</f>
        <v>373.9787234</v>
      </c>
      <c r="Y554" s="141">
        <f>IFERROR(__xludf.DUMMYFUNCTION("""COMPUTED_VALUE"""),51.93553191489362)</f>
        <v>51.93553191</v>
      </c>
      <c r="Z554" s="141">
        <f>IFERROR(__xludf.DUMMYFUNCTION("""COMPUTED_VALUE"""),2334.0851063829787)</f>
        <v>2334.085106</v>
      </c>
    </row>
    <row r="555">
      <c r="A555" s="41" t="str">
        <f>IFERROR(__xludf.DUMMYFUNCTION("""COMPUTED_VALUE"""),"Amateur")</f>
        <v>Amateur</v>
      </c>
      <c r="B555" s="41" t="str">
        <f>IFERROR(__xludf.DUMMYFUNCTION("""COMPUTED_VALUE"""),"RSC007573")</f>
        <v>RSC007573</v>
      </c>
      <c r="C555" s="41" t="str">
        <f>IFERROR(__xludf.DUMMYFUNCTION("""COMPUTED_VALUE"""),"zag_42")</f>
        <v>zag_42</v>
      </c>
      <c r="D555" s="41" t="str">
        <f>IFERROR(__xludf.DUMMYFUNCTION("""COMPUTED_VALUE"""),"Garlic Knots")</f>
        <v>Garlic Knots</v>
      </c>
      <c r="E555" s="136">
        <f>IFERROR(__xludf.DUMMYFUNCTION("""COMPUTED_VALUE"""),27.0)</f>
        <v>27</v>
      </c>
      <c r="F555" s="136">
        <f>IFERROR(__xludf.DUMMYFUNCTION("""COMPUTED_VALUE"""),12.0)</f>
        <v>12</v>
      </c>
      <c r="G555" s="136">
        <f>IFERROR(__xludf.DUMMYFUNCTION("""COMPUTED_VALUE"""),15.0)</f>
        <v>15</v>
      </c>
      <c r="H555" s="137">
        <f>IFERROR(__xludf.DUMMYFUNCTION("""COMPUTED_VALUE"""),0.4444444444444444)</f>
        <v>0.4444444444</v>
      </c>
      <c r="I555" s="136">
        <f>IFERROR(__xludf.DUMMYFUNCTION("""COMPUTED_VALUE"""),0.0)</f>
        <v>0</v>
      </c>
      <c r="J555" s="136">
        <f>IFERROR(__xludf.DUMMYFUNCTION("""COMPUTED_VALUE"""),6727.0)</f>
        <v>6727</v>
      </c>
      <c r="K555" s="136">
        <f>IFERROR(__xludf.DUMMYFUNCTION("""COMPUTED_VALUE"""),15.0)</f>
        <v>15</v>
      </c>
      <c r="L555" s="136">
        <f>IFERROR(__xludf.DUMMYFUNCTION("""COMPUTED_VALUE"""),18.0)</f>
        <v>18</v>
      </c>
      <c r="M555" s="136">
        <f>IFERROR(__xludf.DUMMYFUNCTION("""COMPUTED_VALUE"""),18.0)</f>
        <v>18</v>
      </c>
      <c r="N555" s="136">
        <f>IFERROR(__xludf.DUMMYFUNCTION("""COMPUTED_VALUE"""),38.0)</f>
        <v>38</v>
      </c>
      <c r="O555" s="138">
        <f>IFERROR(__xludf.DUMMYFUNCTION("""COMPUTED_VALUE"""),1.0)</f>
        <v>1</v>
      </c>
      <c r="P555" s="138">
        <f>IFERROR(__xludf.DUMMYFUNCTION("""COMPUTED_VALUE"""),0.0)</f>
        <v>0</v>
      </c>
      <c r="Q555" s="138">
        <f>IFERROR(__xludf.DUMMYFUNCTION("""COMPUTED_VALUE"""),1.0)</f>
        <v>1</v>
      </c>
      <c r="R555" s="138">
        <f>IFERROR(__xludf.DUMMYFUNCTION("""COMPUTED_VALUE"""),0.0)</f>
        <v>0</v>
      </c>
      <c r="S555" s="139">
        <f>IFERROR(__xludf.DUMMYFUNCTION("""COMPUTED_VALUE"""),158.0)</f>
        <v>158</v>
      </c>
      <c r="T555" s="140">
        <f>IFERROR(__xludf.DUMMYFUNCTION("""COMPUTED_VALUE"""),65.0)</f>
        <v>65</v>
      </c>
      <c r="U555" s="136">
        <f>IFERROR(__xludf.DUMMYFUNCTION("""COMPUTED_VALUE"""),16.0)</f>
        <v>16</v>
      </c>
      <c r="V555" s="136">
        <f>IFERROR(__xludf.DUMMYFUNCTION("""COMPUTED_VALUE"""),9.0)</f>
        <v>9</v>
      </c>
      <c r="W555" s="136">
        <f>IFERROR(__xludf.DUMMYFUNCTION("""COMPUTED_VALUE"""),25.0)</f>
        <v>25</v>
      </c>
      <c r="X555" s="139">
        <f>IFERROR(__xludf.DUMMYFUNCTION("""COMPUTED_VALUE"""),268.22222222222223)</f>
        <v>268.2222222</v>
      </c>
      <c r="Y555" s="141">
        <f>IFERROR(__xludf.DUMMYFUNCTION("""COMPUTED_VALUE"""),39.96999999999999)</f>
        <v>39.97</v>
      </c>
      <c r="Z555" s="141">
        <f>IFERROR(__xludf.DUMMYFUNCTION("""COMPUTED_VALUE"""),1523.037037037037)</f>
        <v>1523.037037</v>
      </c>
    </row>
    <row r="556">
      <c r="A556" s="41" t="str">
        <f>IFERROR(__xludf.DUMMYFUNCTION("""COMPUTED_VALUE"""),"Veteran")</f>
        <v>Veteran</v>
      </c>
      <c r="B556" s="41" t="str">
        <f>IFERROR(__xludf.DUMMYFUNCTION("""COMPUTED_VALUE"""),"RSC007576")</f>
        <v>RSC007576</v>
      </c>
      <c r="C556" s="41" t="str">
        <f>IFERROR(__xludf.DUMMYFUNCTION("""COMPUTED_VALUE"""),"CxldHeartedJess")</f>
        <v>CxldHeartedJess</v>
      </c>
      <c r="D556" s="41" t="str">
        <f>IFERROR(__xludf.DUMMYFUNCTION("""COMPUTED_VALUE"""),"Peppermint")</f>
        <v>Peppermint</v>
      </c>
      <c r="E556" s="136">
        <f>IFERROR(__xludf.DUMMYFUNCTION("""COMPUTED_VALUE"""),8.0)</f>
        <v>8</v>
      </c>
      <c r="F556" s="136">
        <f>IFERROR(__xludf.DUMMYFUNCTION("""COMPUTED_VALUE"""),2.0)</f>
        <v>2</v>
      </c>
      <c r="G556" s="136">
        <f>IFERROR(__xludf.DUMMYFUNCTION("""COMPUTED_VALUE"""),6.0)</f>
        <v>6</v>
      </c>
      <c r="H556" s="137">
        <f>IFERROR(__xludf.DUMMYFUNCTION("""COMPUTED_VALUE"""),0.25)</f>
        <v>0.25</v>
      </c>
      <c r="I556" s="136">
        <f>IFERROR(__xludf.DUMMYFUNCTION("""COMPUTED_VALUE"""),0.0)</f>
        <v>0</v>
      </c>
      <c r="J556" s="136">
        <f>IFERROR(__xludf.DUMMYFUNCTION("""COMPUTED_VALUE"""),1992.0)</f>
        <v>1992</v>
      </c>
      <c r="K556" s="136">
        <f>IFERROR(__xludf.DUMMYFUNCTION("""COMPUTED_VALUE"""),2.0)</f>
        <v>2</v>
      </c>
      <c r="L556" s="136">
        <f>IFERROR(__xludf.DUMMYFUNCTION("""COMPUTED_VALUE"""),5.0)</f>
        <v>5</v>
      </c>
      <c r="M556" s="136">
        <f>IFERROR(__xludf.DUMMYFUNCTION("""COMPUTED_VALUE"""),8.0)</f>
        <v>8</v>
      </c>
      <c r="N556" s="136">
        <f>IFERROR(__xludf.DUMMYFUNCTION("""COMPUTED_VALUE"""),14.0)</f>
        <v>14</v>
      </c>
      <c r="O556" s="138">
        <f>IFERROR(__xludf.DUMMYFUNCTION("""COMPUTED_VALUE"""),0.0)</f>
        <v>0</v>
      </c>
      <c r="P556" s="138">
        <f>IFERROR(__xludf.DUMMYFUNCTION("""COMPUTED_VALUE"""),0.0)</f>
        <v>0</v>
      </c>
      <c r="Q556" s="138">
        <f>IFERROR(__xludf.DUMMYFUNCTION("""COMPUTED_VALUE"""),0.0)</f>
        <v>0</v>
      </c>
      <c r="R556" s="138">
        <f>IFERROR(__xludf.DUMMYFUNCTION("""COMPUTED_VALUE"""),0.0)</f>
        <v>0</v>
      </c>
      <c r="S556" s="139">
        <f>IFERROR(__xludf.DUMMYFUNCTION("""COMPUTED_VALUE"""),74.0)</f>
        <v>74</v>
      </c>
      <c r="T556" s="140">
        <f>IFERROR(__xludf.DUMMYFUNCTION("""COMPUTED_VALUE"""),26.0)</f>
        <v>26</v>
      </c>
      <c r="U556" s="136">
        <f>IFERROR(__xludf.DUMMYFUNCTION("""COMPUTED_VALUE"""),8.0)</f>
        <v>8</v>
      </c>
      <c r="V556" s="136">
        <f>IFERROR(__xludf.DUMMYFUNCTION("""COMPUTED_VALUE"""),7.0)</f>
        <v>7</v>
      </c>
      <c r="W556" s="136">
        <f>IFERROR(__xludf.DUMMYFUNCTION("""COMPUTED_VALUE"""),2.0)</f>
        <v>2</v>
      </c>
      <c r="X556" s="136"/>
      <c r="Y556" s="41"/>
      <c r="Z556" s="41"/>
    </row>
    <row r="557">
      <c r="A557" s="41" t="str">
        <f>IFERROR(__xludf.DUMMYFUNCTION("""COMPUTED_VALUE"""),"Amateur")</f>
        <v>Amateur</v>
      </c>
      <c r="B557" s="41" t="str">
        <f>IFERROR(__xludf.DUMMYFUNCTION("""COMPUTED_VALUE"""),"RSC007581")</f>
        <v>RSC007581</v>
      </c>
      <c r="C557" s="41" t="str">
        <f>IFERROR(__xludf.DUMMYFUNCTION("""COMPUTED_VALUE"""),"Wrecklessjay02")</f>
        <v>Wrecklessjay02</v>
      </c>
      <c r="D557" s="41" t="str">
        <f>IFERROR(__xludf.DUMMYFUNCTION("""COMPUTED_VALUE"""),"Bombers")</f>
        <v>Bombers</v>
      </c>
      <c r="E557" s="136">
        <f>IFERROR(__xludf.DUMMYFUNCTION("""COMPUTED_VALUE"""),47.0)</f>
        <v>47</v>
      </c>
      <c r="F557" s="136">
        <f>IFERROR(__xludf.DUMMYFUNCTION("""COMPUTED_VALUE"""),34.0)</f>
        <v>34</v>
      </c>
      <c r="G557" s="136">
        <f>IFERROR(__xludf.DUMMYFUNCTION("""COMPUTED_VALUE"""),13.0)</f>
        <v>13</v>
      </c>
      <c r="H557" s="137">
        <f>IFERROR(__xludf.DUMMYFUNCTION("""COMPUTED_VALUE"""),0.723404255319149)</f>
        <v>0.7234042553</v>
      </c>
      <c r="I557" s="136">
        <f>IFERROR(__xludf.DUMMYFUNCTION("""COMPUTED_VALUE"""),7.0)</f>
        <v>7</v>
      </c>
      <c r="J557" s="136">
        <f>IFERROR(__xludf.DUMMYFUNCTION("""COMPUTED_VALUE"""),13812.0)</f>
        <v>13812</v>
      </c>
      <c r="K557" s="136">
        <f>IFERROR(__xludf.DUMMYFUNCTION("""COMPUTED_VALUE"""),29.0)</f>
        <v>29</v>
      </c>
      <c r="L557" s="136">
        <f>IFERROR(__xludf.DUMMYFUNCTION("""COMPUTED_VALUE"""),27.0)</f>
        <v>27</v>
      </c>
      <c r="M557" s="136">
        <f>IFERROR(__xludf.DUMMYFUNCTION("""COMPUTED_VALUE"""),40.0)</f>
        <v>40</v>
      </c>
      <c r="N557" s="136">
        <f>IFERROR(__xludf.DUMMYFUNCTION("""COMPUTED_VALUE"""),106.0)</f>
        <v>106</v>
      </c>
      <c r="O557" s="138">
        <f>IFERROR(__xludf.DUMMYFUNCTION("""COMPUTED_VALUE"""),2.0)</f>
        <v>2</v>
      </c>
      <c r="P557" s="138">
        <f>IFERROR(__xludf.DUMMYFUNCTION("""COMPUTED_VALUE"""),2.0)</f>
        <v>2</v>
      </c>
      <c r="Q557" s="138">
        <f>IFERROR(__xludf.DUMMYFUNCTION("""COMPUTED_VALUE"""),1.0)</f>
        <v>1</v>
      </c>
      <c r="R557" s="138">
        <f>IFERROR(__xludf.DUMMYFUNCTION("""COMPUTED_VALUE"""),2.0)</f>
        <v>2</v>
      </c>
      <c r="S557" s="139">
        <f>IFERROR(__xludf.DUMMYFUNCTION("""COMPUTED_VALUE"""),279.0)</f>
        <v>279</v>
      </c>
      <c r="T557" s="140">
        <f>IFERROR(__xludf.DUMMYFUNCTION("""COMPUTED_VALUE"""),84.0)</f>
        <v>84</v>
      </c>
      <c r="U557" s="136">
        <f>IFERROR(__xludf.DUMMYFUNCTION("""COMPUTED_VALUE"""),27.0)</f>
        <v>27</v>
      </c>
      <c r="V557" s="136">
        <f>IFERROR(__xludf.DUMMYFUNCTION("""COMPUTED_VALUE"""),39.0)</f>
        <v>39</v>
      </c>
      <c r="W557" s="136">
        <f>IFERROR(__xludf.DUMMYFUNCTION("""COMPUTED_VALUE"""),30.0)</f>
        <v>30</v>
      </c>
      <c r="X557" s="139">
        <f>IFERROR(__xludf.DUMMYFUNCTION("""COMPUTED_VALUE"""),403.78723404255317)</f>
        <v>403.787234</v>
      </c>
      <c r="Y557" s="141">
        <f>IFERROR(__xludf.DUMMYFUNCTION("""COMPUTED_VALUE"""),47.41148936170211)</f>
        <v>47.41148936</v>
      </c>
      <c r="Z557" s="141">
        <f>IFERROR(__xludf.DUMMYFUNCTION("""COMPUTED_VALUE"""),2285.3617021276596)</f>
        <v>2285.361702</v>
      </c>
    </row>
    <row r="558">
      <c r="A558" s="41" t="str">
        <f>IFERROR(__xludf.DUMMYFUNCTION("""COMPUTED_VALUE"""),"Veteran")</f>
        <v>Veteran</v>
      </c>
      <c r="B558" s="41" t="str">
        <f>IFERROR(__xludf.DUMMYFUNCTION("""COMPUTED_VALUE"""),"RSC007582")</f>
        <v>RSC007582</v>
      </c>
      <c r="C558" s="41" t="str">
        <f>IFERROR(__xludf.DUMMYFUNCTION("""COMPUTED_VALUE"""),"Wavy")</f>
        <v>Wavy</v>
      </c>
      <c r="D558" s="41" t="str">
        <f>IFERROR(__xludf.DUMMYFUNCTION("""COMPUTED_VALUE"""),"Lycans")</f>
        <v>Lycans</v>
      </c>
      <c r="E558" s="136">
        <f>IFERROR(__xludf.DUMMYFUNCTION("""COMPUTED_VALUE"""),49.0)</f>
        <v>49</v>
      </c>
      <c r="F558" s="136">
        <f>IFERROR(__xludf.DUMMYFUNCTION("""COMPUTED_VALUE"""),34.0)</f>
        <v>34</v>
      </c>
      <c r="G558" s="136">
        <f>IFERROR(__xludf.DUMMYFUNCTION("""COMPUTED_VALUE"""),15.0)</f>
        <v>15</v>
      </c>
      <c r="H558" s="137">
        <f>IFERROR(__xludf.DUMMYFUNCTION("""COMPUTED_VALUE"""),0.6938775510204082)</f>
        <v>0.693877551</v>
      </c>
      <c r="I558" s="136">
        <f>IFERROR(__xludf.DUMMYFUNCTION("""COMPUTED_VALUE"""),8.0)</f>
        <v>8</v>
      </c>
      <c r="J558" s="136">
        <f>IFERROR(__xludf.DUMMYFUNCTION("""COMPUTED_VALUE"""),17068.0)</f>
        <v>17068</v>
      </c>
      <c r="K558" s="136">
        <f>IFERROR(__xludf.DUMMYFUNCTION("""COMPUTED_VALUE"""),42.0)</f>
        <v>42</v>
      </c>
      <c r="L558" s="136">
        <f>IFERROR(__xludf.DUMMYFUNCTION("""COMPUTED_VALUE"""),38.0)</f>
        <v>38</v>
      </c>
      <c r="M558" s="136">
        <f>IFERROR(__xludf.DUMMYFUNCTION("""COMPUTED_VALUE"""),57.0)</f>
        <v>57</v>
      </c>
      <c r="N558" s="136">
        <f>IFERROR(__xludf.DUMMYFUNCTION("""COMPUTED_VALUE"""),123.0)</f>
        <v>123</v>
      </c>
      <c r="O558" s="138">
        <f>IFERROR(__xludf.DUMMYFUNCTION("""COMPUTED_VALUE"""),12.0)</f>
        <v>12</v>
      </c>
      <c r="P558" s="138">
        <f>IFERROR(__xludf.DUMMYFUNCTION("""COMPUTED_VALUE"""),4.0)</f>
        <v>4</v>
      </c>
      <c r="Q558" s="138">
        <f>IFERROR(__xludf.DUMMYFUNCTION("""COMPUTED_VALUE"""),2.0)</f>
        <v>2</v>
      </c>
      <c r="R558" s="138">
        <f>IFERROR(__xludf.DUMMYFUNCTION("""COMPUTED_VALUE"""),6.0)</f>
        <v>6</v>
      </c>
      <c r="S558" s="139">
        <f>IFERROR(__xludf.DUMMYFUNCTION("""COMPUTED_VALUE"""),329.0)</f>
        <v>329</v>
      </c>
      <c r="T558" s="140">
        <f>IFERROR(__xludf.DUMMYFUNCTION("""COMPUTED_VALUE"""),86.0)</f>
        <v>86</v>
      </c>
      <c r="U558" s="136">
        <f>IFERROR(__xludf.DUMMYFUNCTION("""COMPUTED_VALUE"""),31.0)</f>
        <v>31</v>
      </c>
      <c r="V558" s="136">
        <f>IFERROR(__xludf.DUMMYFUNCTION("""COMPUTED_VALUE"""),70.0)</f>
        <v>70</v>
      </c>
      <c r="W558" s="136">
        <f>IFERROR(__xludf.DUMMYFUNCTION("""COMPUTED_VALUE"""),62.0)</f>
        <v>62</v>
      </c>
      <c r="X558" s="136">
        <f>IFERROR(__xludf.DUMMYFUNCTION("""COMPUTED_VALUE"""),401.57142857142856)</f>
        <v>401.5714286</v>
      </c>
      <c r="Y558" s="141">
        <f>IFERROR(__xludf.DUMMYFUNCTION("""COMPUTED_VALUE"""),49.06408163265306)</f>
        <v>49.06408163</v>
      </c>
      <c r="Z558" s="141">
        <f>IFERROR(__xludf.DUMMYFUNCTION("""COMPUTED_VALUE"""),2403.9591836734694)</f>
        <v>2403.959184</v>
      </c>
    </row>
    <row r="559">
      <c r="A559" s="41" t="str">
        <f>IFERROR(__xludf.DUMMYFUNCTION("""COMPUTED_VALUE"""),"Rival")</f>
        <v>Rival</v>
      </c>
      <c r="B559" s="41" t="str">
        <f>IFERROR(__xludf.DUMMYFUNCTION("""COMPUTED_VALUE"""),"RSC007590")</f>
        <v>RSC007590</v>
      </c>
      <c r="C559" s="41" t="str">
        <f>IFERROR(__xludf.DUMMYFUNCTION("""COMPUTED_VALUE"""),"DonkeyPancakes2")</f>
        <v>DonkeyPancakes2</v>
      </c>
      <c r="D559" s="41" t="str">
        <f>IFERROR(__xludf.DUMMYFUNCTION("""COMPUTED_VALUE"""),"Hippos")</f>
        <v>Hippos</v>
      </c>
      <c r="E559" s="136">
        <f>IFERROR(__xludf.DUMMYFUNCTION("""COMPUTED_VALUE"""),29.0)</f>
        <v>29</v>
      </c>
      <c r="F559" s="136">
        <f>IFERROR(__xludf.DUMMYFUNCTION("""COMPUTED_VALUE"""),19.0)</f>
        <v>19</v>
      </c>
      <c r="G559" s="136">
        <f>IFERROR(__xludf.DUMMYFUNCTION("""COMPUTED_VALUE"""),10.0)</f>
        <v>10</v>
      </c>
      <c r="H559" s="137">
        <f>IFERROR(__xludf.DUMMYFUNCTION("""COMPUTED_VALUE"""),0.6551724137931034)</f>
        <v>0.6551724138</v>
      </c>
      <c r="I559" s="136">
        <f>IFERROR(__xludf.DUMMYFUNCTION("""COMPUTED_VALUE"""),4.0)</f>
        <v>4</v>
      </c>
      <c r="J559" s="136">
        <f>IFERROR(__xludf.DUMMYFUNCTION("""COMPUTED_VALUE"""),8503.0)</f>
        <v>8503</v>
      </c>
      <c r="K559" s="136">
        <f>IFERROR(__xludf.DUMMYFUNCTION("""COMPUTED_VALUE"""),17.0)</f>
        <v>17</v>
      </c>
      <c r="L559" s="136">
        <f>IFERROR(__xludf.DUMMYFUNCTION("""COMPUTED_VALUE"""),18.0)</f>
        <v>18</v>
      </c>
      <c r="M559" s="136">
        <f>IFERROR(__xludf.DUMMYFUNCTION("""COMPUTED_VALUE"""),29.0)</f>
        <v>29</v>
      </c>
      <c r="N559" s="136">
        <f>IFERROR(__xludf.DUMMYFUNCTION("""COMPUTED_VALUE"""),67.0)</f>
        <v>67</v>
      </c>
      <c r="O559" s="138">
        <f>IFERROR(__xludf.DUMMYFUNCTION("""COMPUTED_VALUE"""),0.0)</f>
        <v>0</v>
      </c>
      <c r="P559" s="138">
        <f>IFERROR(__xludf.DUMMYFUNCTION("""COMPUTED_VALUE"""),1.0)</f>
        <v>1</v>
      </c>
      <c r="Q559" s="138">
        <f>IFERROR(__xludf.DUMMYFUNCTION("""COMPUTED_VALUE"""),0.0)</f>
        <v>0</v>
      </c>
      <c r="R559" s="138">
        <f>IFERROR(__xludf.DUMMYFUNCTION("""COMPUTED_VALUE"""),2.0)</f>
        <v>2</v>
      </c>
      <c r="S559" s="139">
        <f>IFERROR(__xludf.DUMMYFUNCTION("""COMPUTED_VALUE"""),191.0)</f>
        <v>191</v>
      </c>
      <c r="T559" s="140">
        <f>IFERROR(__xludf.DUMMYFUNCTION("""COMPUTED_VALUE"""),51.0)</f>
        <v>51</v>
      </c>
      <c r="U559" s="136">
        <f>IFERROR(__xludf.DUMMYFUNCTION("""COMPUTED_VALUE"""),15.0)</f>
        <v>15</v>
      </c>
      <c r="V559" s="136">
        <f>IFERROR(__xludf.DUMMYFUNCTION("""COMPUTED_VALUE"""),22.0)</f>
        <v>22</v>
      </c>
      <c r="W559" s="136">
        <f>IFERROR(__xludf.DUMMYFUNCTION("""COMPUTED_VALUE"""),29.0)</f>
        <v>29</v>
      </c>
      <c r="X559" s="136">
        <f>IFERROR(__xludf.DUMMYFUNCTION("""COMPUTED_VALUE"""),387.2413793103448)</f>
        <v>387.2413793</v>
      </c>
      <c r="Y559" s="141">
        <f>IFERROR(__xludf.DUMMYFUNCTION("""COMPUTED_VALUE"""),49.18517241379312)</f>
        <v>49.18517241</v>
      </c>
      <c r="Z559" s="141">
        <f>IFERROR(__xludf.DUMMYFUNCTION("""COMPUTED_VALUE"""),2280.2413793103447)</f>
        <v>2280.241379</v>
      </c>
    </row>
    <row r="560">
      <c r="A560" s="41" t="str">
        <f>IFERROR(__xludf.DUMMYFUNCTION("""COMPUTED_VALUE"""),"Veteran")</f>
        <v>Veteran</v>
      </c>
      <c r="B560" s="41" t="str">
        <f>IFERROR(__xludf.DUMMYFUNCTION("""COMPUTED_VALUE"""),"RSC007594")</f>
        <v>RSC007594</v>
      </c>
      <c r="C560" s="41" t="str">
        <f>IFERROR(__xludf.DUMMYFUNCTION("""COMPUTED_VALUE"""),"Notbeanrl")</f>
        <v>Notbeanrl</v>
      </c>
      <c r="D560" s="41" t="str">
        <f>IFERROR(__xludf.DUMMYFUNCTION("""COMPUTED_VALUE"""),"Blacksmiths")</f>
        <v>Blacksmiths</v>
      </c>
      <c r="E560" s="136">
        <f>IFERROR(__xludf.DUMMYFUNCTION("""COMPUTED_VALUE"""),52.0)</f>
        <v>52</v>
      </c>
      <c r="F560" s="136">
        <f>IFERROR(__xludf.DUMMYFUNCTION("""COMPUTED_VALUE"""),28.0)</f>
        <v>28</v>
      </c>
      <c r="G560" s="136">
        <f>IFERROR(__xludf.DUMMYFUNCTION("""COMPUTED_VALUE"""),24.0)</f>
        <v>24</v>
      </c>
      <c r="H560" s="137">
        <f>IFERROR(__xludf.DUMMYFUNCTION("""COMPUTED_VALUE"""),0.5384615384615384)</f>
        <v>0.5384615385</v>
      </c>
      <c r="I560" s="136">
        <f>IFERROR(__xludf.DUMMYFUNCTION("""COMPUTED_VALUE"""),11.0)</f>
        <v>11</v>
      </c>
      <c r="J560" s="136">
        <f>IFERROR(__xludf.DUMMYFUNCTION("""COMPUTED_VALUE"""),20691.0)</f>
        <v>20691</v>
      </c>
      <c r="K560" s="136">
        <f>IFERROR(__xludf.DUMMYFUNCTION("""COMPUTED_VALUE"""),64.0)</f>
        <v>64</v>
      </c>
      <c r="L560" s="136">
        <f>IFERROR(__xludf.DUMMYFUNCTION("""COMPUTED_VALUE"""),30.0)</f>
        <v>30</v>
      </c>
      <c r="M560" s="136">
        <f>IFERROR(__xludf.DUMMYFUNCTION("""COMPUTED_VALUE"""),61.0)</f>
        <v>61</v>
      </c>
      <c r="N560" s="136">
        <f>IFERROR(__xludf.DUMMYFUNCTION("""COMPUTED_VALUE"""),182.0)</f>
        <v>182</v>
      </c>
      <c r="O560" s="138">
        <f>IFERROR(__xludf.DUMMYFUNCTION("""COMPUTED_VALUE"""),8.0)</f>
        <v>8</v>
      </c>
      <c r="P560" s="138">
        <f>IFERROR(__xludf.DUMMYFUNCTION("""COMPUTED_VALUE"""),2.0)</f>
        <v>2</v>
      </c>
      <c r="Q560" s="138">
        <f>IFERROR(__xludf.DUMMYFUNCTION("""COMPUTED_VALUE"""),3.0)</f>
        <v>3</v>
      </c>
      <c r="R560" s="138">
        <f>IFERROR(__xludf.DUMMYFUNCTION("""COMPUTED_VALUE"""),5.0)</f>
        <v>5</v>
      </c>
      <c r="S560" s="139">
        <f>IFERROR(__xludf.DUMMYFUNCTION("""COMPUTED_VALUE"""),398.0)</f>
        <v>398</v>
      </c>
      <c r="T560" s="140">
        <f>IFERROR(__xludf.DUMMYFUNCTION("""COMPUTED_VALUE"""),123.0)</f>
        <v>123</v>
      </c>
      <c r="U560" s="136">
        <f>IFERROR(__xludf.DUMMYFUNCTION("""COMPUTED_VALUE"""),44.0)</f>
        <v>44</v>
      </c>
      <c r="V560" s="136">
        <f>IFERROR(__xludf.DUMMYFUNCTION("""COMPUTED_VALUE"""),51.0)</f>
        <v>51</v>
      </c>
      <c r="W560" s="136">
        <f>IFERROR(__xludf.DUMMYFUNCTION("""COMPUTED_VALUE"""),66.0)</f>
        <v>66</v>
      </c>
      <c r="X560" s="136">
        <f>IFERROR(__xludf.DUMMYFUNCTION("""COMPUTED_VALUE"""),346.86538461538464)</f>
        <v>346.8653846</v>
      </c>
      <c r="Y560" s="141">
        <f>IFERROR(__xludf.DUMMYFUNCTION("""COMPUTED_VALUE"""),50.64423076923076)</f>
        <v>50.64423077</v>
      </c>
      <c r="Z560" s="141">
        <f>IFERROR(__xludf.DUMMYFUNCTION("""COMPUTED_VALUE"""),2210.519230769231)</f>
        <v>2210.519231</v>
      </c>
    </row>
    <row r="561">
      <c r="A561" s="41" t="str">
        <f>IFERROR(__xludf.DUMMYFUNCTION("""COMPUTED_VALUE"""),"Rival")</f>
        <v>Rival</v>
      </c>
      <c r="B561" s="41" t="str">
        <f>IFERROR(__xludf.DUMMYFUNCTION("""COMPUTED_VALUE"""),"RSC007600")</f>
        <v>RSC007600</v>
      </c>
      <c r="C561" s="41" t="str">
        <f>IFERROR(__xludf.DUMMYFUNCTION("""COMPUTED_VALUE"""),"CN Tyson")</f>
        <v>CN Tyson</v>
      </c>
      <c r="D561" s="41" t="str">
        <f>IFERROR(__xludf.DUMMYFUNCTION("""COMPUTED_VALUE"""),"Howlers")</f>
        <v>Howlers</v>
      </c>
      <c r="E561" s="136">
        <f>IFERROR(__xludf.DUMMYFUNCTION("""COMPUTED_VALUE"""),41.0)</f>
        <v>41</v>
      </c>
      <c r="F561" s="136">
        <f>IFERROR(__xludf.DUMMYFUNCTION("""COMPUTED_VALUE"""),22.0)</f>
        <v>22</v>
      </c>
      <c r="G561" s="136">
        <f>IFERROR(__xludf.DUMMYFUNCTION("""COMPUTED_VALUE"""),19.0)</f>
        <v>19</v>
      </c>
      <c r="H561" s="137">
        <f>IFERROR(__xludf.DUMMYFUNCTION("""COMPUTED_VALUE"""),0.5365853658536586)</f>
        <v>0.5365853659</v>
      </c>
      <c r="I561" s="136">
        <f>IFERROR(__xludf.DUMMYFUNCTION("""COMPUTED_VALUE"""),5.0)</f>
        <v>5</v>
      </c>
      <c r="J561" s="136">
        <f>IFERROR(__xludf.DUMMYFUNCTION("""COMPUTED_VALUE"""),13473.0)</f>
        <v>13473</v>
      </c>
      <c r="K561" s="136">
        <f>IFERROR(__xludf.DUMMYFUNCTION("""COMPUTED_VALUE"""),30.0)</f>
        <v>30</v>
      </c>
      <c r="L561" s="136">
        <f>IFERROR(__xludf.DUMMYFUNCTION("""COMPUTED_VALUE"""),22.0)</f>
        <v>22</v>
      </c>
      <c r="M561" s="136">
        <f>IFERROR(__xludf.DUMMYFUNCTION("""COMPUTED_VALUE"""),51.0)</f>
        <v>51</v>
      </c>
      <c r="N561" s="136">
        <f>IFERROR(__xludf.DUMMYFUNCTION("""COMPUTED_VALUE"""),106.0)</f>
        <v>106</v>
      </c>
      <c r="O561" s="138">
        <f>IFERROR(__xludf.DUMMYFUNCTION("""COMPUTED_VALUE"""),9.0)</f>
        <v>9</v>
      </c>
      <c r="P561" s="138">
        <f>IFERROR(__xludf.DUMMYFUNCTION("""COMPUTED_VALUE"""),1.0)</f>
        <v>1</v>
      </c>
      <c r="Q561" s="138">
        <f>IFERROR(__xludf.DUMMYFUNCTION("""COMPUTED_VALUE"""),1.0)</f>
        <v>1</v>
      </c>
      <c r="R561" s="138">
        <f>IFERROR(__xludf.DUMMYFUNCTION("""COMPUTED_VALUE"""),4.0)</f>
        <v>4</v>
      </c>
      <c r="S561" s="139">
        <f>IFERROR(__xludf.DUMMYFUNCTION("""COMPUTED_VALUE"""),283.0)</f>
        <v>283</v>
      </c>
      <c r="T561" s="140">
        <f>IFERROR(__xludf.DUMMYFUNCTION("""COMPUTED_VALUE"""),85.0)</f>
        <v>85</v>
      </c>
      <c r="U561" s="136">
        <f>IFERROR(__xludf.DUMMYFUNCTION("""COMPUTED_VALUE"""),32.0)</f>
        <v>32</v>
      </c>
      <c r="V561" s="136">
        <f>IFERROR(__xludf.DUMMYFUNCTION("""COMPUTED_VALUE"""),38.0)</f>
        <v>38</v>
      </c>
      <c r="W561" s="136">
        <f>IFERROR(__xludf.DUMMYFUNCTION("""COMPUTED_VALUE"""),40.0)</f>
        <v>40</v>
      </c>
      <c r="X561" s="136">
        <f>IFERROR(__xludf.DUMMYFUNCTION("""COMPUTED_VALUE"""),381.9024390243902)</f>
        <v>381.902439</v>
      </c>
      <c r="Y561" s="141">
        <f>IFERROR(__xludf.DUMMYFUNCTION("""COMPUTED_VALUE"""),50.672682926829275)</f>
        <v>50.67268293</v>
      </c>
      <c r="Z561" s="141">
        <f>IFERROR(__xludf.DUMMYFUNCTION("""COMPUTED_VALUE"""),2257.0975609756097)</f>
        <v>2257.097561</v>
      </c>
    </row>
    <row r="562">
      <c r="A562" s="41" t="str">
        <f>IFERROR(__xludf.DUMMYFUNCTION("""COMPUTED_VALUE"""),"Rival")</f>
        <v>Rival</v>
      </c>
      <c r="B562" s="41" t="str">
        <f>IFERROR(__xludf.DUMMYFUNCTION("""COMPUTED_VALUE"""),"RSC007604")</f>
        <v>RSC007604</v>
      </c>
      <c r="C562" s="41" t="str">
        <f>IFERROR(__xludf.DUMMYFUNCTION("""COMPUTED_VALUE"""),"RiisenJT")</f>
        <v>RiisenJT</v>
      </c>
      <c r="D562" s="41" t="str">
        <f>IFERROR(__xludf.DUMMYFUNCTION("""COMPUTED_VALUE"""),"Ocelots
Wind")</f>
        <v>Ocelots
Wind</v>
      </c>
      <c r="E562" s="136">
        <f>IFERROR(__xludf.DUMMYFUNCTION("""COMPUTED_VALUE"""),41.0)</f>
        <v>41</v>
      </c>
      <c r="F562" s="136">
        <f>IFERROR(__xludf.DUMMYFUNCTION("""COMPUTED_VALUE"""),25.0)</f>
        <v>25</v>
      </c>
      <c r="G562" s="136">
        <f>IFERROR(__xludf.DUMMYFUNCTION("""COMPUTED_VALUE"""),16.0)</f>
        <v>16</v>
      </c>
      <c r="H562" s="137">
        <f>IFERROR(__xludf.DUMMYFUNCTION("""COMPUTED_VALUE"""),0.6097560975609756)</f>
        <v>0.6097560976</v>
      </c>
      <c r="I562" s="136">
        <f>IFERROR(__xludf.DUMMYFUNCTION("""COMPUTED_VALUE"""),10.0)</f>
        <v>10</v>
      </c>
      <c r="J562" s="136">
        <f>IFERROR(__xludf.DUMMYFUNCTION("""COMPUTED_VALUE"""),15233.0)</f>
        <v>15233</v>
      </c>
      <c r="K562" s="136">
        <f>IFERROR(__xludf.DUMMYFUNCTION("""COMPUTED_VALUE"""),40.0)</f>
        <v>40</v>
      </c>
      <c r="L562" s="136">
        <f>IFERROR(__xludf.DUMMYFUNCTION("""COMPUTED_VALUE"""),29.0)</f>
        <v>29</v>
      </c>
      <c r="M562" s="136">
        <f>IFERROR(__xludf.DUMMYFUNCTION("""COMPUTED_VALUE"""),51.0)</f>
        <v>51</v>
      </c>
      <c r="N562" s="136">
        <f>IFERROR(__xludf.DUMMYFUNCTION("""COMPUTED_VALUE"""),114.0)</f>
        <v>114</v>
      </c>
      <c r="O562" s="138">
        <f>IFERROR(__xludf.DUMMYFUNCTION("""COMPUTED_VALUE"""),11.0)</f>
        <v>11</v>
      </c>
      <c r="P562" s="138">
        <f>IFERROR(__xludf.DUMMYFUNCTION("""COMPUTED_VALUE"""),3.0)</f>
        <v>3</v>
      </c>
      <c r="Q562" s="138">
        <f>IFERROR(__xludf.DUMMYFUNCTION("""COMPUTED_VALUE"""),3.0)</f>
        <v>3</v>
      </c>
      <c r="R562" s="138">
        <f>IFERROR(__xludf.DUMMYFUNCTION("""COMPUTED_VALUE"""),5.0)</f>
        <v>5</v>
      </c>
      <c r="S562" s="139">
        <f>IFERROR(__xludf.DUMMYFUNCTION("""COMPUTED_VALUE"""),316.0)</f>
        <v>316</v>
      </c>
      <c r="T562" s="140">
        <f>IFERROR(__xludf.DUMMYFUNCTION("""COMPUTED_VALUE"""),95.0)</f>
        <v>95</v>
      </c>
      <c r="U562" s="136">
        <f>IFERROR(__xludf.DUMMYFUNCTION("""COMPUTED_VALUE"""),20.0)</f>
        <v>20</v>
      </c>
      <c r="V562" s="136">
        <f>IFERROR(__xludf.DUMMYFUNCTION("""COMPUTED_VALUE"""),31.0)</f>
        <v>31</v>
      </c>
      <c r="W562" s="136">
        <f>IFERROR(__xludf.DUMMYFUNCTION("""COMPUTED_VALUE"""),29.0)</f>
        <v>29</v>
      </c>
      <c r="X562" s="136">
        <f>IFERROR(__xludf.DUMMYFUNCTION("""COMPUTED_VALUE"""),440.6585365853659)</f>
        <v>440.6585366</v>
      </c>
      <c r="Y562" s="141">
        <f>IFERROR(__xludf.DUMMYFUNCTION("""COMPUTED_VALUE"""),47.16146341463414)</f>
        <v>47.16146341</v>
      </c>
      <c r="Z562" s="141">
        <f>IFERROR(__xludf.DUMMYFUNCTION("""COMPUTED_VALUE"""),2579.3658536585367)</f>
        <v>2579.365854</v>
      </c>
    </row>
    <row r="563">
      <c r="A563" s="41" t="str">
        <f>IFERROR(__xludf.DUMMYFUNCTION("""COMPUTED_VALUE"""),"Elite")</f>
        <v>Elite</v>
      </c>
      <c r="B563" s="41" t="str">
        <f>IFERROR(__xludf.DUMMYFUNCTION("""COMPUTED_VALUE"""),"RSC007607")</f>
        <v>RSC007607</v>
      </c>
      <c r="C563" s="41" t="str">
        <f>IFERROR(__xludf.DUMMYFUNCTION("""COMPUTED_VALUE"""),"GameGang")</f>
        <v>GameGang</v>
      </c>
      <c r="D563" s="41" t="str">
        <f>IFERROR(__xludf.DUMMYFUNCTION("""COMPUTED_VALUE"""),"Raptors
Sloths")</f>
        <v>Raptors
Sloths</v>
      </c>
      <c r="E563" s="136">
        <f>IFERROR(__xludf.DUMMYFUNCTION("""COMPUTED_VALUE"""),34.0)</f>
        <v>34</v>
      </c>
      <c r="F563" s="136">
        <f>IFERROR(__xludf.DUMMYFUNCTION("""COMPUTED_VALUE"""),11.0)</f>
        <v>11</v>
      </c>
      <c r="G563" s="136">
        <f>IFERROR(__xludf.DUMMYFUNCTION("""COMPUTED_VALUE"""),23.0)</f>
        <v>23</v>
      </c>
      <c r="H563" s="137">
        <f>IFERROR(__xludf.DUMMYFUNCTION("""COMPUTED_VALUE"""),0.3235294117647059)</f>
        <v>0.3235294118</v>
      </c>
      <c r="I563" s="136">
        <f>IFERROR(__xludf.DUMMYFUNCTION("""COMPUTED_VALUE"""),1.0)</f>
        <v>1</v>
      </c>
      <c r="J563" s="136">
        <f>IFERROR(__xludf.DUMMYFUNCTION("""COMPUTED_VALUE"""),9687.0)</f>
        <v>9687</v>
      </c>
      <c r="K563" s="136">
        <f>IFERROR(__xludf.DUMMYFUNCTION("""COMPUTED_VALUE"""),20.0)</f>
        <v>20</v>
      </c>
      <c r="L563" s="136">
        <f>IFERROR(__xludf.DUMMYFUNCTION("""COMPUTED_VALUE"""),13.0)</f>
        <v>13</v>
      </c>
      <c r="M563" s="136">
        <f>IFERROR(__xludf.DUMMYFUNCTION("""COMPUTED_VALUE"""),33.0)</f>
        <v>33</v>
      </c>
      <c r="N563" s="136">
        <f>IFERROR(__xludf.DUMMYFUNCTION("""COMPUTED_VALUE"""),80.0)</f>
        <v>80</v>
      </c>
      <c r="O563" s="138">
        <f>IFERROR(__xludf.DUMMYFUNCTION("""COMPUTED_VALUE"""),4.0)</f>
        <v>4</v>
      </c>
      <c r="P563" s="138">
        <f>IFERROR(__xludf.DUMMYFUNCTION("""COMPUTED_VALUE"""),0.0)</f>
        <v>0</v>
      </c>
      <c r="Q563" s="138">
        <f>IFERROR(__xludf.DUMMYFUNCTION("""COMPUTED_VALUE"""),0.0)</f>
        <v>0</v>
      </c>
      <c r="R563" s="138">
        <f>IFERROR(__xludf.DUMMYFUNCTION("""COMPUTED_VALUE"""),3.0)</f>
        <v>3</v>
      </c>
      <c r="S563" s="139">
        <f>IFERROR(__xludf.DUMMYFUNCTION("""COMPUTED_VALUE"""),304.0)</f>
        <v>304</v>
      </c>
      <c r="T563" s="140">
        <f>IFERROR(__xludf.DUMMYFUNCTION("""COMPUTED_VALUE"""),113.0)</f>
        <v>113</v>
      </c>
      <c r="U563" s="136">
        <f>IFERROR(__xludf.DUMMYFUNCTION("""COMPUTED_VALUE"""),44.0)</f>
        <v>44</v>
      </c>
      <c r="V563" s="136">
        <f>IFERROR(__xludf.DUMMYFUNCTION("""COMPUTED_VALUE"""),40.0)</f>
        <v>40</v>
      </c>
      <c r="W563" s="136">
        <f>IFERROR(__xludf.DUMMYFUNCTION("""COMPUTED_VALUE"""),42.0)</f>
        <v>42</v>
      </c>
      <c r="X563" s="136">
        <f>IFERROR(__xludf.DUMMYFUNCTION("""COMPUTED_VALUE"""),344.38235294117646)</f>
        <v>344.3823529</v>
      </c>
      <c r="Y563" s="141">
        <f>IFERROR(__xludf.DUMMYFUNCTION("""COMPUTED_VALUE"""),46.235000000000014)</f>
        <v>46.235</v>
      </c>
      <c r="Z563" s="141">
        <f>IFERROR(__xludf.DUMMYFUNCTION("""COMPUTED_VALUE"""),2137.764705882353)</f>
        <v>2137.764706</v>
      </c>
    </row>
    <row r="564">
      <c r="A564" s="41" t="str">
        <f>IFERROR(__xludf.DUMMYFUNCTION("""COMPUTED_VALUE"""),"Elite")</f>
        <v>Elite</v>
      </c>
      <c r="B564" s="41" t="str">
        <f>IFERROR(__xludf.DUMMYFUNCTION("""COMPUTED_VALUE"""),"RSC007610")</f>
        <v>RSC007610</v>
      </c>
      <c r="C564" s="41" t="str">
        <f>IFERROR(__xludf.DUMMYFUNCTION("""COMPUTED_VALUE"""),"Halibut907")</f>
        <v>Halibut907</v>
      </c>
      <c r="D564" s="41" t="str">
        <f>IFERROR(__xludf.DUMMYFUNCTION("""COMPUTED_VALUE"""),"Sloths
Ghastly Goombahs")</f>
        <v>Sloths
Ghastly Goombahs</v>
      </c>
      <c r="E564" s="136">
        <f>IFERROR(__xludf.DUMMYFUNCTION("""COMPUTED_VALUE"""),25.0)</f>
        <v>25</v>
      </c>
      <c r="F564" s="136">
        <f>IFERROR(__xludf.DUMMYFUNCTION("""COMPUTED_VALUE"""),13.0)</f>
        <v>13</v>
      </c>
      <c r="G564" s="136">
        <f>IFERROR(__xludf.DUMMYFUNCTION("""COMPUTED_VALUE"""),12.0)</f>
        <v>12</v>
      </c>
      <c r="H564" s="137">
        <f>IFERROR(__xludf.DUMMYFUNCTION("""COMPUTED_VALUE"""),0.52)</f>
        <v>0.52</v>
      </c>
      <c r="I564" s="136">
        <f>IFERROR(__xludf.DUMMYFUNCTION("""COMPUTED_VALUE"""),3.0)</f>
        <v>3</v>
      </c>
      <c r="J564" s="136">
        <f>IFERROR(__xludf.DUMMYFUNCTION("""COMPUTED_VALUE"""),8975.0)</f>
        <v>8975</v>
      </c>
      <c r="K564" s="136">
        <f>IFERROR(__xludf.DUMMYFUNCTION("""COMPUTED_VALUE"""),14.0)</f>
        <v>14</v>
      </c>
      <c r="L564" s="136">
        <f>IFERROR(__xludf.DUMMYFUNCTION("""COMPUTED_VALUE"""),20.0)</f>
        <v>20</v>
      </c>
      <c r="M564" s="136">
        <f>IFERROR(__xludf.DUMMYFUNCTION("""COMPUTED_VALUE"""),41.0)</f>
        <v>41</v>
      </c>
      <c r="N564" s="136">
        <f>IFERROR(__xludf.DUMMYFUNCTION("""COMPUTED_VALUE"""),57.0)</f>
        <v>57</v>
      </c>
      <c r="O564" s="138">
        <f>IFERROR(__xludf.DUMMYFUNCTION("""COMPUTED_VALUE"""),7.0)</f>
        <v>7</v>
      </c>
      <c r="P564" s="138">
        <f>IFERROR(__xludf.DUMMYFUNCTION("""COMPUTED_VALUE"""),0.0)</f>
        <v>0</v>
      </c>
      <c r="Q564" s="138">
        <f>IFERROR(__xludf.DUMMYFUNCTION("""COMPUTED_VALUE"""),1.0)</f>
        <v>1</v>
      </c>
      <c r="R564" s="138">
        <f>IFERROR(__xludf.DUMMYFUNCTION("""COMPUTED_VALUE"""),7.0)</f>
        <v>7</v>
      </c>
      <c r="S564" s="139">
        <f>IFERROR(__xludf.DUMMYFUNCTION("""COMPUTED_VALUE"""),176.0)</f>
        <v>176</v>
      </c>
      <c r="T564" s="140">
        <f>IFERROR(__xludf.DUMMYFUNCTION("""COMPUTED_VALUE"""),54.0)</f>
        <v>54</v>
      </c>
      <c r="U564" s="136">
        <f>IFERROR(__xludf.DUMMYFUNCTION("""COMPUTED_VALUE"""),20.0)</f>
        <v>20</v>
      </c>
      <c r="V564" s="136">
        <f>IFERROR(__xludf.DUMMYFUNCTION("""COMPUTED_VALUE"""),9.0)</f>
        <v>9</v>
      </c>
      <c r="W564" s="136">
        <f>IFERROR(__xludf.DUMMYFUNCTION("""COMPUTED_VALUE"""),18.0)</f>
        <v>18</v>
      </c>
      <c r="X564" s="136">
        <f>IFERROR(__xludf.DUMMYFUNCTION("""COMPUTED_VALUE"""),411.92)</f>
        <v>411.92</v>
      </c>
      <c r="Y564" s="141">
        <f>IFERROR(__xludf.DUMMYFUNCTION("""COMPUTED_VALUE"""),51.78119999999999)</f>
        <v>51.7812</v>
      </c>
      <c r="Z564" s="141">
        <f>IFERROR(__xludf.DUMMYFUNCTION("""COMPUTED_VALUE"""),2523.12)</f>
        <v>2523.12</v>
      </c>
    </row>
    <row r="565">
      <c r="A565" s="41" t="str">
        <f>IFERROR(__xludf.DUMMYFUNCTION("""COMPUTED_VALUE"""),"Rival")</f>
        <v>Rival</v>
      </c>
      <c r="B565" s="41" t="str">
        <f>IFERROR(__xludf.DUMMYFUNCTION("""COMPUTED_VALUE"""),"RSC007613")</f>
        <v>RSC007613</v>
      </c>
      <c r="C565" s="41" t="str">
        <f>IFERROR(__xludf.DUMMYFUNCTION("""COMPUTED_VALUE"""),"Squatch70")</f>
        <v>Squatch70</v>
      </c>
      <c r="D565" s="41" t="str">
        <f>IFERROR(__xludf.DUMMYFUNCTION("""COMPUTED_VALUE"""),"Howlers")</f>
        <v>Howlers</v>
      </c>
      <c r="E565" s="136">
        <f>IFERROR(__xludf.DUMMYFUNCTION("""COMPUTED_VALUE"""),53.0)</f>
        <v>53</v>
      </c>
      <c r="F565" s="136">
        <f>IFERROR(__xludf.DUMMYFUNCTION("""COMPUTED_VALUE"""),28.0)</f>
        <v>28</v>
      </c>
      <c r="G565" s="136">
        <f>IFERROR(__xludf.DUMMYFUNCTION("""COMPUTED_VALUE"""),25.0)</f>
        <v>25</v>
      </c>
      <c r="H565" s="137">
        <f>IFERROR(__xludf.DUMMYFUNCTION("""COMPUTED_VALUE"""),0.5283018867924528)</f>
        <v>0.5283018868</v>
      </c>
      <c r="I565" s="136">
        <f>IFERROR(__xludf.DUMMYFUNCTION("""COMPUTED_VALUE"""),9.0)</f>
        <v>9</v>
      </c>
      <c r="J565" s="136">
        <f>IFERROR(__xludf.DUMMYFUNCTION("""COMPUTED_VALUE"""),18005.0)</f>
        <v>18005</v>
      </c>
      <c r="K565" s="136">
        <f>IFERROR(__xludf.DUMMYFUNCTION("""COMPUTED_VALUE"""),43.0)</f>
        <v>43</v>
      </c>
      <c r="L565" s="136">
        <f>IFERROR(__xludf.DUMMYFUNCTION("""COMPUTED_VALUE"""),36.0)</f>
        <v>36</v>
      </c>
      <c r="M565" s="136">
        <f>IFERROR(__xludf.DUMMYFUNCTION("""COMPUTED_VALUE"""),50.0)</f>
        <v>50</v>
      </c>
      <c r="N565" s="136">
        <f>IFERROR(__xludf.DUMMYFUNCTION("""COMPUTED_VALUE"""),139.0)</f>
        <v>139</v>
      </c>
      <c r="O565" s="138">
        <f>IFERROR(__xludf.DUMMYFUNCTION("""COMPUTED_VALUE"""),9.0)</f>
        <v>9</v>
      </c>
      <c r="P565" s="138">
        <f>IFERROR(__xludf.DUMMYFUNCTION("""COMPUTED_VALUE"""),5.0)</f>
        <v>5</v>
      </c>
      <c r="Q565" s="138">
        <f>IFERROR(__xludf.DUMMYFUNCTION("""COMPUTED_VALUE"""),2.0)</f>
        <v>2</v>
      </c>
      <c r="R565" s="138">
        <f>IFERROR(__xludf.DUMMYFUNCTION("""COMPUTED_VALUE"""),4.0)</f>
        <v>4</v>
      </c>
      <c r="S565" s="139">
        <f>IFERROR(__xludf.DUMMYFUNCTION("""COMPUTED_VALUE"""),357.0)</f>
        <v>357</v>
      </c>
      <c r="T565" s="140">
        <f>IFERROR(__xludf.DUMMYFUNCTION("""COMPUTED_VALUE"""),115.0)</f>
        <v>115</v>
      </c>
      <c r="U565" s="136">
        <f>IFERROR(__xludf.DUMMYFUNCTION("""COMPUTED_VALUE"""),44.0)</f>
        <v>44</v>
      </c>
      <c r="V565" s="136">
        <f>IFERROR(__xludf.DUMMYFUNCTION("""COMPUTED_VALUE"""),66.0)</f>
        <v>66</v>
      </c>
      <c r="W565" s="136">
        <f>IFERROR(__xludf.DUMMYFUNCTION("""COMPUTED_VALUE"""),51.0)</f>
        <v>51</v>
      </c>
      <c r="X565" s="136">
        <f>IFERROR(__xludf.DUMMYFUNCTION("""COMPUTED_VALUE"""),400.1698113207547)</f>
        <v>400.1698113</v>
      </c>
      <c r="Y565" s="141">
        <f>IFERROR(__xludf.DUMMYFUNCTION("""COMPUTED_VALUE"""),50.482641509433954)</f>
        <v>50.48264151</v>
      </c>
      <c r="Z565" s="141">
        <f>IFERROR(__xludf.DUMMYFUNCTION("""COMPUTED_VALUE"""),2338.811320754717)</f>
        <v>2338.811321</v>
      </c>
    </row>
    <row r="566">
      <c r="A566" s="41" t="str">
        <f>IFERROR(__xludf.DUMMYFUNCTION("""COMPUTED_VALUE"""),"Veteran")</f>
        <v>Veteran</v>
      </c>
      <c r="B566" s="41" t="str">
        <f>IFERROR(__xludf.DUMMYFUNCTION("""COMPUTED_VALUE"""),"RSC007618")</f>
        <v>RSC007618</v>
      </c>
      <c r="C566" s="41" t="str">
        <f>IFERROR(__xludf.DUMMYFUNCTION("""COMPUTED_VALUE"""),"Robbie")</f>
        <v>Robbie</v>
      </c>
      <c r="D566" s="41" t="str">
        <f>IFERROR(__xludf.DUMMYFUNCTION("""COMPUTED_VALUE"""),"Blacksmiths")</f>
        <v>Blacksmiths</v>
      </c>
      <c r="E566" s="136">
        <f>IFERROR(__xludf.DUMMYFUNCTION("""COMPUTED_VALUE"""),12.0)</f>
        <v>12</v>
      </c>
      <c r="F566" s="136">
        <f>IFERROR(__xludf.DUMMYFUNCTION("""COMPUTED_VALUE"""),4.0)</f>
        <v>4</v>
      </c>
      <c r="G566" s="136">
        <f>IFERROR(__xludf.DUMMYFUNCTION("""COMPUTED_VALUE"""),8.0)</f>
        <v>8</v>
      </c>
      <c r="H566" s="137">
        <f>IFERROR(__xludf.DUMMYFUNCTION("""COMPUTED_VALUE"""),0.3333333333333333)</f>
        <v>0.3333333333</v>
      </c>
      <c r="I566" s="136">
        <f>IFERROR(__xludf.DUMMYFUNCTION("""COMPUTED_VALUE"""),1.0)</f>
        <v>1</v>
      </c>
      <c r="J566" s="136">
        <f>IFERROR(__xludf.DUMMYFUNCTION("""COMPUTED_VALUE"""),3222.0)</f>
        <v>3222</v>
      </c>
      <c r="K566" s="136">
        <f>IFERROR(__xludf.DUMMYFUNCTION("""COMPUTED_VALUE"""),7.0)</f>
        <v>7</v>
      </c>
      <c r="L566" s="136">
        <f>IFERROR(__xludf.DUMMYFUNCTION("""COMPUTED_VALUE"""),3.0)</f>
        <v>3</v>
      </c>
      <c r="M566" s="136">
        <f>IFERROR(__xludf.DUMMYFUNCTION("""COMPUTED_VALUE"""),11.0)</f>
        <v>11</v>
      </c>
      <c r="N566" s="136">
        <f>IFERROR(__xludf.DUMMYFUNCTION("""COMPUTED_VALUE"""),33.0)</f>
        <v>33</v>
      </c>
      <c r="O566" s="138">
        <f>IFERROR(__xludf.DUMMYFUNCTION("""COMPUTED_VALUE"""),0.0)</f>
        <v>0</v>
      </c>
      <c r="P566" s="138">
        <f>IFERROR(__xludf.DUMMYFUNCTION("""COMPUTED_VALUE"""),1.0)</f>
        <v>1</v>
      </c>
      <c r="Q566" s="138">
        <f>IFERROR(__xludf.DUMMYFUNCTION("""COMPUTED_VALUE"""),0.0)</f>
        <v>0</v>
      </c>
      <c r="R566" s="138">
        <f>IFERROR(__xludf.DUMMYFUNCTION("""COMPUTED_VALUE"""),1.0)</f>
        <v>1</v>
      </c>
      <c r="S566" s="139">
        <f>IFERROR(__xludf.DUMMYFUNCTION("""COMPUTED_VALUE"""),76.0)</f>
        <v>76</v>
      </c>
      <c r="T566" s="140">
        <f>IFERROR(__xludf.DUMMYFUNCTION("""COMPUTED_VALUE"""),29.0)</f>
        <v>29</v>
      </c>
      <c r="U566" s="136">
        <f>IFERROR(__xludf.DUMMYFUNCTION("""COMPUTED_VALUE"""),11.0)</f>
        <v>11</v>
      </c>
      <c r="V566" s="136">
        <f>IFERROR(__xludf.DUMMYFUNCTION("""COMPUTED_VALUE"""),12.0)</f>
        <v>12</v>
      </c>
      <c r="W566" s="136">
        <f>IFERROR(__xludf.DUMMYFUNCTION("""COMPUTED_VALUE"""),12.0)</f>
        <v>12</v>
      </c>
      <c r="X566" s="136">
        <f>IFERROR(__xludf.DUMMYFUNCTION("""COMPUTED_VALUE"""),384.0833333333333)</f>
        <v>384.0833333</v>
      </c>
      <c r="Y566" s="141">
        <f>IFERROR(__xludf.DUMMYFUNCTION("""COMPUTED_VALUE"""),44.520833333333336)</f>
        <v>44.52083333</v>
      </c>
      <c r="Z566" s="141">
        <f>IFERROR(__xludf.DUMMYFUNCTION("""COMPUTED_VALUE"""),2270.5833333333335)</f>
        <v>2270.583333</v>
      </c>
    </row>
    <row r="567">
      <c r="A567" s="41" t="str">
        <f>IFERROR(__xludf.DUMMYFUNCTION("""COMPUTED_VALUE"""),"Amateur")</f>
        <v>Amateur</v>
      </c>
      <c r="B567" s="41" t="str">
        <f>IFERROR(__xludf.DUMMYFUNCTION("""COMPUTED_VALUE"""),"RSC007621")</f>
        <v>RSC007621</v>
      </c>
      <c r="C567" s="41" t="str">
        <f>IFERROR(__xludf.DUMMYFUNCTION("""COMPUTED_VALUE"""),"Classy-God57")</f>
        <v>Classy-God57</v>
      </c>
      <c r="D567" s="41" t="str">
        <f>IFERROR(__xludf.DUMMYFUNCTION("""COMPUTED_VALUE"""),"Winter Fresh")</f>
        <v>Winter Fresh</v>
      </c>
      <c r="E567" s="136">
        <f>IFERROR(__xludf.DUMMYFUNCTION("""COMPUTED_VALUE"""),47.0)</f>
        <v>47</v>
      </c>
      <c r="F567" s="136">
        <f>IFERROR(__xludf.DUMMYFUNCTION("""COMPUTED_VALUE"""),30.0)</f>
        <v>30</v>
      </c>
      <c r="G567" s="136">
        <f>IFERROR(__xludf.DUMMYFUNCTION("""COMPUTED_VALUE"""),17.0)</f>
        <v>17</v>
      </c>
      <c r="H567" s="137">
        <f>IFERROR(__xludf.DUMMYFUNCTION("""COMPUTED_VALUE"""),0.6382978723404256)</f>
        <v>0.6382978723</v>
      </c>
      <c r="I567" s="136">
        <f>IFERROR(__xludf.DUMMYFUNCTION("""COMPUTED_VALUE"""),6.0)</f>
        <v>6</v>
      </c>
      <c r="J567" s="136">
        <f>IFERROR(__xludf.DUMMYFUNCTION("""COMPUTED_VALUE"""),15486.0)</f>
        <v>15486</v>
      </c>
      <c r="K567" s="136">
        <f>IFERROR(__xludf.DUMMYFUNCTION("""COMPUTED_VALUE"""),43.0)</f>
        <v>43</v>
      </c>
      <c r="L567" s="136">
        <f>IFERROR(__xludf.DUMMYFUNCTION("""COMPUTED_VALUE"""),27.0)</f>
        <v>27</v>
      </c>
      <c r="M567" s="136">
        <f>IFERROR(__xludf.DUMMYFUNCTION("""COMPUTED_VALUE"""),41.0)</f>
        <v>41</v>
      </c>
      <c r="N567" s="136">
        <f>IFERROR(__xludf.DUMMYFUNCTION("""COMPUTED_VALUE"""),139.0)</f>
        <v>139</v>
      </c>
      <c r="O567" s="138">
        <f>IFERROR(__xludf.DUMMYFUNCTION("""COMPUTED_VALUE"""),6.0)</f>
        <v>6</v>
      </c>
      <c r="P567" s="138">
        <f>IFERROR(__xludf.DUMMYFUNCTION("""COMPUTED_VALUE"""),2.0)</f>
        <v>2</v>
      </c>
      <c r="Q567" s="138">
        <f>IFERROR(__xludf.DUMMYFUNCTION("""COMPUTED_VALUE"""),0.0)</f>
        <v>0</v>
      </c>
      <c r="R567" s="138">
        <f>IFERROR(__xludf.DUMMYFUNCTION("""COMPUTED_VALUE"""),3.0)</f>
        <v>3</v>
      </c>
      <c r="S567" s="139">
        <f>IFERROR(__xludf.DUMMYFUNCTION("""COMPUTED_VALUE"""),240.0)</f>
        <v>240</v>
      </c>
      <c r="T567" s="140">
        <f>IFERROR(__xludf.DUMMYFUNCTION("""COMPUTED_VALUE"""),93.0)</f>
        <v>93</v>
      </c>
      <c r="U567" s="136">
        <f>IFERROR(__xludf.DUMMYFUNCTION("""COMPUTED_VALUE"""),36.0)</f>
        <v>36</v>
      </c>
      <c r="V567" s="136">
        <f>IFERROR(__xludf.DUMMYFUNCTION("""COMPUTED_VALUE"""),20.0)</f>
        <v>20</v>
      </c>
      <c r="W567" s="136">
        <f>IFERROR(__xludf.DUMMYFUNCTION("""COMPUTED_VALUE"""),45.0)</f>
        <v>45</v>
      </c>
      <c r="X567" s="139">
        <f>IFERROR(__xludf.DUMMYFUNCTION("""COMPUTED_VALUE"""),330.3404255319149)</f>
        <v>330.3404255</v>
      </c>
      <c r="Y567" s="141">
        <f>IFERROR(__xludf.DUMMYFUNCTION("""COMPUTED_VALUE"""),52.57638297872343)</f>
        <v>52.57638298</v>
      </c>
      <c r="Z567" s="141">
        <f>IFERROR(__xludf.DUMMYFUNCTION("""COMPUTED_VALUE"""),1987.404255319149)</f>
        <v>1987.404255</v>
      </c>
    </row>
    <row r="568">
      <c r="A568" s="41" t="str">
        <f>IFERROR(__xludf.DUMMYFUNCTION("""COMPUTED_VALUE"""),"Rival")</f>
        <v>Rival</v>
      </c>
      <c r="B568" s="41" t="str">
        <f>IFERROR(__xludf.DUMMYFUNCTION("""COMPUTED_VALUE"""),"RSC007624")</f>
        <v>RSC007624</v>
      </c>
      <c r="C568" s="41" t="str">
        <f>IFERROR(__xludf.DUMMYFUNCTION("""COMPUTED_VALUE"""),"Extended")</f>
        <v>Extended</v>
      </c>
      <c r="D568" s="41" t="str">
        <f>IFERROR(__xludf.DUMMYFUNCTION("""COMPUTED_VALUE"""),"Heavy Metal
Primo")</f>
        <v>Heavy Metal
Primo</v>
      </c>
      <c r="E568" s="136">
        <f>IFERROR(__xludf.DUMMYFUNCTION("""COMPUTED_VALUE"""),31.0)</f>
        <v>31</v>
      </c>
      <c r="F568" s="136">
        <f>IFERROR(__xludf.DUMMYFUNCTION("""COMPUTED_VALUE"""),17.0)</f>
        <v>17</v>
      </c>
      <c r="G568" s="136">
        <f>IFERROR(__xludf.DUMMYFUNCTION("""COMPUTED_VALUE"""),14.0)</f>
        <v>14</v>
      </c>
      <c r="H568" s="137">
        <f>IFERROR(__xludf.DUMMYFUNCTION("""COMPUTED_VALUE"""),0.5483870967741935)</f>
        <v>0.5483870968</v>
      </c>
      <c r="I568" s="136">
        <f>IFERROR(__xludf.DUMMYFUNCTION("""COMPUTED_VALUE"""),4.0)</f>
        <v>4</v>
      </c>
      <c r="J568" s="136">
        <f>IFERROR(__xludf.DUMMYFUNCTION("""COMPUTED_VALUE"""),9975.0)</f>
        <v>9975</v>
      </c>
      <c r="K568" s="136">
        <f>IFERROR(__xludf.DUMMYFUNCTION("""COMPUTED_VALUE"""),25.0)</f>
        <v>25</v>
      </c>
      <c r="L568" s="136">
        <f>IFERROR(__xludf.DUMMYFUNCTION("""COMPUTED_VALUE"""),17.0)</f>
        <v>17</v>
      </c>
      <c r="M568" s="136">
        <f>IFERROR(__xludf.DUMMYFUNCTION("""COMPUTED_VALUE"""),27.0)</f>
        <v>27</v>
      </c>
      <c r="N568" s="136">
        <f>IFERROR(__xludf.DUMMYFUNCTION("""COMPUTED_VALUE"""),86.0)</f>
        <v>86</v>
      </c>
      <c r="O568" s="138">
        <f>IFERROR(__xludf.DUMMYFUNCTION("""COMPUTED_VALUE"""),6.0)</f>
        <v>6</v>
      </c>
      <c r="P568" s="138">
        <f>IFERROR(__xludf.DUMMYFUNCTION("""COMPUTED_VALUE"""),2.0)</f>
        <v>2</v>
      </c>
      <c r="Q568" s="138">
        <f>IFERROR(__xludf.DUMMYFUNCTION("""COMPUTED_VALUE"""),0.0)</f>
        <v>0</v>
      </c>
      <c r="R568" s="138">
        <f>IFERROR(__xludf.DUMMYFUNCTION("""COMPUTED_VALUE"""),1.0)</f>
        <v>1</v>
      </c>
      <c r="S568" s="139">
        <f>IFERROR(__xludf.DUMMYFUNCTION("""COMPUTED_VALUE"""),230.0)</f>
        <v>230</v>
      </c>
      <c r="T568" s="140">
        <f>IFERROR(__xludf.DUMMYFUNCTION("""COMPUTED_VALUE"""),66.0)</f>
        <v>66</v>
      </c>
      <c r="U568" s="136">
        <f>IFERROR(__xludf.DUMMYFUNCTION("""COMPUTED_VALUE"""),22.0)</f>
        <v>22</v>
      </c>
      <c r="V568" s="136">
        <f>IFERROR(__xludf.DUMMYFUNCTION("""COMPUTED_VALUE"""),30.0)</f>
        <v>30</v>
      </c>
      <c r="W568" s="136">
        <f>IFERROR(__xludf.DUMMYFUNCTION("""COMPUTED_VALUE"""),37.0)</f>
        <v>37</v>
      </c>
      <c r="X568" s="136">
        <f>IFERROR(__xludf.DUMMYFUNCTION("""COMPUTED_VALUE"""),422.2258064516129)</f>
        <v>422.2258065</v>
      </c>
      <c r="Y568" s="141">
        <f>IFERROR(__xludf.DUMMYFUNCTION("""COMPUTED_VALUE"""),49.98612903225807)</f>
        <v>49.98612903</v>
      </c>
      <c r="Z568" s="141">
        <f>IFERROR(__xludf.DUMMYFUNCTION("""COMPUTED_VALUE"""),2587.1290322580644)</f>
        <v>2587.129032</v>
      </c>
    </row>
    <row r="569">
      <c r="A569" s="41" t="str">
        <f>IFERROR(__xludf.DUMMYFUNCTION("""COMPUTED_VALUE"""),"Rival")</f>
        <v>Rival</v>
      </c>
      <c r="B569" s="41" t="str">
        <f>IFERROR(__xludf.DUMMYFUNCTION("""COMPUTED_VALUE"""),"RSC007625")</f>
        <v>RSC007625</v>
      </c>
      <c r="C569" s="41" t="str">
        <f>IFERROR(__xludf.DUMMYFUNCTION("""COMPUTED_VALUE"""),"assassin_funny.")</f>
        <v>assassin_funny.</v>
      </c>
      <c r="D569" s="41" t="str">
        <f>IFERROR(__xludf.DUMMYFUNCTION("""COMPUTED_VALUE"""),"Wind")</f>
        <v>Wind</v>
      </c>
      <c r="E569" s="136">
        <f>IFERROR(__xludf.DUMMYFUNCTION("""COMPUTED_VALUE"""),51.0)</f>
        <v>51</v>
      </c>
      <c r="F569" s="136">
        <f>IFERROR(__xludf.DUMMYFUNCTION("""COMPUTED_VALUE"""),28.0)</f>
        <v>28</v>
      </c>
      <c r="G569" s="136">
        <f>IFERROR(__xludf.DUMMYFUNCTION("""COMPUTED_VALUE"""),23.0)</f>
        <v>23</v>
      </c>
      <c r="H569" s="137">
        <f>IFERROR(__xludf.DUMMYFUNCTION("""COMPUTED_VALUE"""),0.5490196078431373)</f>
        <v>0.5490196078</v>
      </c>
      <c r="I569" s="136">
        <f>IFERROR(__xludf.DUMMYFUNCTION("""COMPUTED_VALUE"""),13.0)</f>
        <v>13</v>
      </c>
      <c r="J569" s="136">
        <f>IFERROR(__xludf.DUMMYFUNCTION("""COMPUTED_VALUE"""),22036.0)</f>
        <v>22036</v>
      </c>
      <c r="K569" s="136">
        <f>IFERROR(__xludf.DUMMYFUNCTION("""COMPUTED_VALUE"""),66.0)</f>
        <v>66</v>
      </c>
      <c r="L569" s="136">
        <f>IFERROR(__xludf.DUMMYFUNCTION("""COMPUTED_VALUE"""),30.0)</f>
        <v>30</v>
      </c>
      <c r="M569" s="136">
        <f>IFERROR(__xludf.DUMMYFUNCTION("""COMPUTED_VALUE"""),70.0)</f>
        <v>70</v>
      </c>
      <c r="N569" s="136">
        <f>IFERROR(__xludf.DUMMYFUNCTION("""COMPUTED_VALUE"""),161.0)</f>
        <v>161</v>
      </c>
      <c r="O569" s="138">
        <f>IFERROR(__xludf.DUMMYFUNCTION("""COMPUTED_VALUE"""),13.0)</f>
        <v>13</v>
      </c>
      <c r="P569" s="138">
        <f>IFERROR(__xludf.DUMMYFUNCTION("""COMPUTED_VALUE"""),11.0)</f>
        <v>11</v>
      </c>
      <c r="Q569" s="138">
        <f>IFERROR(__xludf.DUMMYFUNCTION("""COMPUTED_VALUE"""),2.0)</f>
        <v>2</v>
      </c>
      <c r="R569" s="138">
        <f>IFERROR(__xludf.DUMMYFUNCTION("""COMPUTED_VALUE"""),9.0)</f>
        <v>9</v>
      </c>
      <c r="S569" s="139">
        <f>IFERROR(__xludf.DUMMYFUNCTION("""COMPUTED_VALUE"""),387.0)</f>
        <v>387</v>
      </c>
      <c r="T569" s="140">
        <f>IFERROR(__xludf.DUMMYFUNCTION("""COMPUTED_VALUE"""),117.0)</f>
        <v>117</v>
      </c>
      <c r="U569" s="136">
        <f>IFERROR(__xludf.DUMMYFUNCTION("""COMPUTED_VALUE"""),40.0)</f>
        <v>40</v>
      </c>
      <c r="V569" s="136">
        <f>IFERROR(__xludf.DUMMYFUNCTION("""COMPUTED_VALUE"""),62.0)</f>
        <v>62</v>
      </c>
      <c r="W569" s="136">
        <f>IFERROR(__xludf.DUMMYFUNCTION("""COMPUTED_VALUE"""),52.0)</f>
        <v>52</v>
      </c>
      <c r="X569" s="136">
        <f>IFERROR(__xludf.DUMMYFUNCTION("""COMPUTED_VALUE"""),407.37254901960785)</f>
        <v>407.372549</v>
      </c>
      <c r="Y569" s="141">
        <f>IFERROR(__xludf.DUMMYFUNCTION("""COMPUTED_VALUE"""),49.45196078431374)</f>
        <v>49.45196078</v>
      </c>
      <c r="Z569" s="141">
        <f>IFERROR(__xludf.DUMMYFUNCTION("""COMPUTED_VALUE"""),2435.627450980392)</f>
        <v>2435.627451</v>
      </c>
    </row>
    <row r="570">
      <c r="A570" s="41" t="str">
        <f>IFERROR(__xludf.DUMMYFUNCTION("""COMPUTED_VALUE"""),"Elite")</f>
        <v>Elite</v>
      </c>
      <c r="B570" s="41" t="str">
        <f>IFERROR(__xludf.DUMMYFUNCTION("""COMPUTED_VALUE"""),"RSC007629")</f>
        <v>RSC007629</v>
      </c>
      <c r="C570" s="41" t="str">
        <f>IFERROR(__xludf.DUMMYFUNCTION("""COMPUTED_VALUE"""),"Mochi")</f>
        <v>Mochi</v>
      </c>
      <c r="D570" s="41" t="str">
        <f>IFERROR(__xludf.DUMMYFUNCTION("""COMPUTED_VALUE"""),"Immortals
Krakens")</f>
        <v>Immortals
Krakens</v>
      </c>
      <c r="E570" s="136">
        <f>IFERROR(__xludf.DUMMYFUNCTION("""COMPUTED_VALUE"""),23.0)</f>
        <v>23</v>
      </c>
      <c r="F570" s="136">
        <f>IFERROR(__xludf.DUMMYFUNCTION("""COMPUTED_VALUE"""),5.0)</f>
        <v>5</v>
      </c>
      <c r="G570" s="136">
        <f>IFERROR(__xludf.DUMMYFUNCTION("""COMPUTED_VALUE"""),18.0)</f>
        <v>18</v>
      </c>
      <c r="H570" s="137">
        <f>IFERROR(__xludf.DUMMYFUNCTION("""COMPUTED_VALUE"""),0.21739130434782608)</f>
        <v>0.2173913043</v>
      </c>
      <c r="I570" s="136">
        <f>IFERROR(__xludf.DUMMYFUNCTION("""COMPUTED_VALUE"""),2.0)</f>
        <v>2</v>
      </c>
      <c r="J570" s="136">
        <f>IFERROR(__xludf.DUMMYFUNCTION("""COMPUTED_VALUE"""),7838.0)</f>
        <v>7838</v>
      </c>
      <c r="K570" s="136">
        <f>IFERROR(__xludf.DUMMYFUNCTION("""COMPUTED_VALUE"""),11.0)</f>
        <v>11</v>
      </c>
      <c r="L570" s="136">
        <f>IFERROR(__xludf.DUMMYFUNCTION("""COMPUTED_VALUE"""),13.0)</f>
        <v>13</v>
      </c>
      <c r="M570" s="136">
        <f>IFERROR(__xludf.DUMMYFUNCTION("""COMPUTED_VALUE"""),36.0)</f>
        <v>36</v>
      </c>
      <c r="N570" s="136">
        <f>IFERROR(__xludf.DUMMYFUNCTION("""COMPUTED_VALUE"""),63.0)</f>
        <v>63</v>
      </c>
      <c r="O570" s="138">
        <f>IFERROR(__xludf.DUMMYFUNCTION("""COMPUTED_VALUE"""),2.0)</f>
        <v>2</v>
      </c>
      <c r="P570" s="138">
        <f>IFERROR(__xludf.DUMMYFUNCTION("""COMPUTED_VALUE"""),0.0)</f>
        <v>0</v>
      </c>
      <c r="Q570" s="138">
        <f>IFERROR(__xludf.DUMMYFUNCTION("""COMPUTED_VALUE"""),2.0)</f>
        <v>2</v>
      </c>
      <c r="R570" s="138">
        <f>IFERROR(__xludf.DUMMYFUNCTION("""COMPUTED_VALUE"""),5.0)</f>
        <v>5</v>
      </c>
      <c r="S570" s="139">
        <f>IFERROR(__xludf.DUMMYFUNCTION("""COMPUTED_VALUE"""),203.0)</f>
        <v>203</v>
      </c>
      <c r="T570" s="140">
        <f>IFERROR(__xludf.DUMMYFUNCTION("""COMPUTED_VALUE"""),66.0)</f>
        <v>66</v>
      </c>
      <c r="U570" s="136">
        <f>IFERROR(__xludf.DUMMYFUNCTION("""COMPUTED_VALUE"""),26.0)</f>
        <v>26</v>
      </c>
      <c r="V570" s="136">
        <f>IFERROR(__xludf.DUMMYFUNCTION("""COMPUTED_VALUE"""),25.0)</f>
        <v>25</v>
      </c>
      <c r="W570" s="136">
        <f>IFERROR(__xludf.DUMMYFUNCTION("""COMPUTED_VALUE"""),25.0)</f>
        <v>25</v>
      </c>
      <c r="X570" s="136">
        <f>IFERROR(__xludf.DUMMYFUNCTION("""COMPUTED_VALUE"""),358.6521739130435)</f>
        <v>358.6521739</v>
      </c>
      <c r="Y570" s="141">
        <f>IFERROR(__xludf.DUMMYFUNCTION("""COMPUTED_VALUE"""),47.612173913043485)</f>
        <v>47.61217391</v>
      </c>
      <c r="Z570" s="141">
        <f>IFERROR(__xludf.DUMMYFUNCTION("""COMPUTED_VALUE"""),2226.217391304348)</f>
        <v>2226.217391</v>
      </c>
    </row>
    <row r="571">
      <c r="A571" s="41" t="str">
        <f>IFERROR(__xludf.DUMMYFUNCTION("""COMPUTED_VALUE"""),"Elite")</f>
        <v>Elite</v>
      </c>
      <c r="B571" s="41" t="str">
        <f>IFERROR(__xludf.DUMMYFUNCTION("""COMPUTED_VALUE"""),"RSC007642")</f>
        <v>RSC007642</v>
      </c>
      <c r="C571" s="41" t="str">
        <f>IFERROR(__xludf.DUMMYFUNCTION("""COMPUTED_VALUE"""),"Luminati7")</f>
        <v>Luminati7</v>
      </c>
      <c r="D571" s="41" t="str">
        <f>IFERROR(__xludf.DUMMYFUNCTION("""COMPUTED_VALUE"""),"Forest Cobra")</f>
        <v>Forest Cobra</v>
      </c>
      <c r="E571" s="136">
        <f>IFERROR(__xludf.DUMMYFUNCTION("""COMPUTED_VALUE"""),55.0)</f>
        <v>55</v>
      </c>
      <c r="F571" s="136">
        <f>IFERROR(__xludf.DUMMYFUNCTION("""COMPUTED_VALUE"""),39.0)</f>
        <v>39</v>
      </c>
      <c r="G571" s="136">
        <f>IFERROR(__xludf.DUMMYFUNCTION("""COMPUTED_VALUE"""),16.0)</f>
        <v>16</v>
      </c>
      <c r="H571" s="137">
        <f>IFERROR(__xludf.DUMMYFUNCTION("""COMPUTED_VALUE"""),0.7090909090909091)</f>
        <v>0.7090909091</v>
      </c>
      <c r="I571" s="136">
        <f>IFERROR(__xludf.DUMMYFUNCTION("""COMPUTED_VALUE"""),13.0)</f>
        <v>13</v>
      </c>
      <c r="J571" s="136">
        <f>IFERROR(__xludf.DUMMYFUNCTION("""COMPUTED_VALUE"""),22125.0)</f>
        <v>22125</v>
      </c>
      <c r="K571" s="136">
        <f>IFERROR(__xludf.DUMMYFUNCTION("""COMPUTED_VALUE"""),50.0)</f>
        <v>50</v>
      </c>
      <c r="L571" s="136">
        <f>IFERROR(__xludf.DUMMYFUNCTION("""COMPUTED_VALUE"""),41.0)</f>
        <v>41</v>
      </c>
      <c r="M571" s="136">
        <f>IFERROR(__xludf.DUMMYFUNCTION("""COMPUTED_VALUE"""),88.0)</f>
        <v>88</v>
      </c>
      <c r="N571" s="136">
        <f>IFERROR(__xludf.DUMMYFUNCTION("""COMPUTED_VALUE"""),152.0)</f>
        <v>152</v>
      </c>
      <c r="O571" s="138">
        <f>IFERROR(__xludf.DUMMYFUNCTION("""COMPUTED_VALUE"""),18.0)</f>
        <v>18</v>
      </c>
      <c r="P571" s="138">
        <f>IFERROR(__xludf.DUMMYFUNCTION("""COMPUTED_VALUE"""),1.0)</f>
        <v>1</v>
      </c>
      <c r="Q571" s="138">
        <f>IFERROR(__xludf.DUMMYFUNCTION("""COMPUTED_VALUE"""),1.0)</f>
        <v>1</v>
      </c>
      <c r="R571" s="138">
        <f>IFERROR(__xludf.DUMMYFUNCTION("""COMPUTED_VALUE"""),8.0)</f>
        <v>8</v>
      </c>
      <c r="S571" s="139">
        <f>IFERROR(__xludf.DUMMYFUNCTION("""COMPUTED_VALUE"""),407.0)</f>
        <v>407</v>
      </c>
      <c r="T571" s="140">
        <f>IFERROR(__xludf.DUMMYFUNCTION("""COMPUTED_VALUE"""),106.0)</f>
        <v>106</v>
      </c>
      <c r="U571" s="136">
        <f>IFERROR(__xludf.DUMMYFUNCTION("""COMPUTED_VALUE"""),43.0)</f>
        <v>43</v>
      </c>
      <c r="V571" s="136">
        <f>IFERROR(__xludf.DUMMYFUNCTION("""COMPUTED_VALUE"""),140.0)</f>
        <v>140</v>
      </c>
      <c r="W571" s="136">
        <f>IFERROR(__xludf.DUMMYFUNCTION("""COMPUTED_VALUE"""),50.0)</f>
        <v>50</v>
      </c>
      <c r="X571" s="136">
        <f>IFERROR(__xludf.DUMMYFUNCTION("""COMPUTED_VALUE"""),443.7090909090909)</f>
        <v>443.7090909</v>
      </c>
      <c r="Y571" s="141">
        <f>IFERROR(__xludf.DUMMYFUNCTION("""COMPUTED_VALUE"""),46.37436363636364)</f>
        <v>46.37436364</v>
      </c>
      <c r="Z571" s="141">
        <f>IFERROR(__xludf.DUMMYFUNCTION("""COMPUTED_VALUE"""),2661.1454545454544)</f>
        <v>2661.145455</v>
      </c>
    </row>
    <row r="572">
      <c r="A572" s="41" t="str">
        <f>IFERROR(__xludf.DUMMYFUNCTION("""COMPUTED_VALUE"""),"Elite")</f>
        <v>Elite</v>
      </c>
      <c r="B572" s="41" t="str">
        <f>IFERROR(__xludf.DUMMYFUNCTION("""COMPUTED_VALUE"""),"RSC007655")</f>
        <v>RSC007655</v>
      </c>
      <c r="C572" s="41" t="str">
        <f>IFERROR(__xludf.DUMMYFUNCTION("""COMPUTED_VALUE"""),"Geo")</f>
        <v>Geo</v>
      </c>
      <c r="D572" s="41" t="str">
        <f>IFERROR(__xludf.DUMMYFUNCTION("""COMPUTED_VALUE"""),"Orochi")</f>
        <v>Orochi</v>
      </c>
      <c r="E572" s="136">
        <f>IFERROR(__xludf.DUMMYFUNCTION("""COMPUTED_VALUE"""),34.0)</f>
        <v>34</v>
      </c>
      <c r="F572" s="136">
        <f>IFERROR(__xludf.DUMMYFUNCTION("""COMPUTED_VALUE"""),12.0)</f>
        <v>12</v>
      </c>
      <c r="G572" s="136">
        <f>IFERROR(__xludf.DUMMYFUNCTION("""COMPUTED_VALUE"""),22.0)</f>
        <v>22</v>
      </c>
      <c r="H572" s="137">
        <f>IFERROR(__xludf.DUMMYFUNCTION("""COMPUTED_VALUE"""),0.35294117647058826)</f>
        <v>0.3529411765</v>
      </c>
      <c r="I572" s="136">
        <f>IFERROR(__xludf.DUMMYFUNCTION("""COMPUTED_VALUE"""),6.0)</f>
        <v>6</v>
      </c>
      <c r="J572" s="136">
        <f>IFERROR(__xludf.DUMMYFUNCTION("""COMPUTED_VALUE"""),11803.0)</f>
        <v>11803</v>
      </c>
      <c r="K572" s="136">
        <f>IFERROR(__xludf.DUMMYFUNCTION("""COMPUTED_VALUE"""),22.0)</f>
        <v>22</v>
      </c>
      <c r="L572" s="136">
        <f>IFERROR(__xludf.DUMMYFUNCTION("""COMPUTED_VALUE"""),20.0)</f>
        <v>20</v>
      </c>
      <c r="M572" s="136">
        <f>IFERROR(__xludf.DUMMYFUNCTION("""COMPUTED_VALUE"""),48.0)</f>
        <v>48</v>
      </c>
      <c r="N572" s="136">
        <f>IFERROR(__xludf.DUMMYFUNCTION("""COMPUTED_VALUE"""),88.0)</f>
        <v>88</v>
      </c>
      <c r="O572" s="138">
        <f>IFERROR(__xludf.DUMMYFUNCTION("""COMPUTED_VALUE"""),3.0)</f>
        <v>3</v>
      </c>
      <c r="P572" s="138">
        <f>IFERROR(__xludf.DUMMYFUNCTION("""COMPUTED_VALUE"""),2.0)</f>
        <v>2</v>
      </c>
      <c r="Q572" s="138">
        <f>IFERROR(__xludf.DUMMYFUNCTION("""COMPUTED_VALUE"""),1.0)</f>
        <v>1</v>
      </c>
      <c r="R572" s="138">
        <f>IFERROR(__xludf.DUMMYFUNCTION("""COMPUTED_VALUE"""),7.0)</f>
        <v>7</v>
      </c>
      <c r="S572" s="139">
        <f>IFERROR(__xludf.DUMMYFUNCTION("""COMPUTED_VALUE"""),273.0)</f>
        <v>273</v>
      </c>
      <c r="T572" s="140">
        <f>IFERROR(__xludf.DUMMYFUNCTION("""COMPUTED_VALUE"""),79.0)</f>
        <v>79</v>
      </c>
      <c r="U572" s="136">
        <f>IFERROR(__xludf.DUMMYFUNCTION("""COMPUTED_VALUE"""),35.0)</f>
        <v>35</v>
      </c>
      <c r="V572" s="136">
        <f>IFERROR(__xludf.DUMMYFUNCTION("""COMPUTED_VALUE"""),36.0)</f>
        <v>36</v>
      </c>
      <c r="W572" s="136">
        <f>IFERROR(__xludf.DUMMYFUNCTION("""COMPUTED_VALUE"""),35.0)</f>
        <v>35</v>
      </c>
      <c r="X572" s="136">
        <f>IFERROR(__xludf.DUMMYFUNCTION("""COMPUTED_VALUE"""),450.0882352941176)</f>
        <v>450.0882353</v>
      </c>
      <c r="Y572" s="141">
        <f>IFERROR(__xludf.DUMMYFUNCTION("""COMPUTED_VALUE"""),48.5085294117647)</f>
        <v>48.50852941</v>
      </c>
      <c r="Z572" s="141">
        <f>IFERROR(__xludf.DUMMYFUNCTION("""COMPUTED_VALUE"""),2673.8823529411766)</f>
        <v>2673.882353</v>
      </c>
    </row>
    <row r="573">
      <c r="A573" s="41" t="str">
        <f>IFERROR(__xludf.DUMMYFUNCTION("""COMPUTED_VALUE"""),"Veteran")</f>
        <v>Veteran</v>
      </c>
      <c r="B573" s="41" t="str">
        <f>IFERROR(__xludf.DUMMYFUNCTION("""COMPUTED_VALUE"""),"RSC007660")</f>
        <v>RSC007660</v>
      </c>
      <c r="C573" s="41" t="str">
        <f>IFERROR(__xludf.DUMMYFUNCTION("""COMPUTED_VALUE"""),"Shraxl")</f>
        <v>Shraxl</v>
      </c>
      <c r="D573" s="41" t="str">
        <f>IFERROR(__xludf.DUMMYFUNCTION("""COMPUTED_VALUE"""),"Mages")</f>
        <v>Mages</v>
      </c>
      <c r="E573" s="136">
        <f>IFERROR(__xludf.DUMMYFUNCTION("""COMPUTED_VALUE"""),52.0)</f>
        <v>52</v>
      </c>
      <c r="F573" s="136">
        <f>IFERROR(__xludf.DUMMYFUNCTION("""COMPUTED_VALUE"""),25.0)</f>
        <v>25</v>
      </c>
      <c r="G573" s="136">
        <f>IFERROR(__xludf.DUMMYFUNCTION("""COMPUTED_VALUE"""),27.0)</f>
        <v>27</v>
      </c>
      <c r="H573" s="137">
        <f>IFERROR(__xludf.DUMMYFUNCTION("""COMPUTED_VALUE"""),0.4807692307692308)</f>
        <v>0.4807692308</v>
      </c>
      <c r="I573" s="136">
        <f>IFERROR(__xludf.DUMMYFUNCTION("""COMPUTED_VALUE"""),11.0)</f>
        <v>11</v>
      </c>
      <c r="J573" s="136">
        <f>IFERROR(__xludf.DUMMYFUNCTION("""COMPUTED_VALUE"""),22249.0)</f>
        <v>22249</v>
      </c>
      <c r="K573" s="136">
        <f>IFERROR(__xludf.DUMMYFUNCTION("""COMPUTED_VALUE"""),58.0)</f>
        <v>58</v>
      </c>
      <c r="L573" s="136">
        <f>IFERROR(__xludf.DUMMYFUNCTION("""COMPUTED_VALUE"""),33.0)</f>
        <v>33</v>
      </c>
      <c r="M573" s="136">
        <f>IFERROR(__xludf.DUMMYFUNCTION("""COMPUTED_VALUE"""),86.0)</f>
        <v>86</v>
      </c>
      <c r="N573" s="136">
        <f>IFERROR(__xludf.DUMMYFUNCTION("""COMPUTED_VALUE"""),159.0)</f>
        <v>159</v>
      </c>
      <c r="O573" s="138">
        <f>IFERROR(__xludf.DUMMYFUNCTION("""COMPUTED_VALUE"""),15.0)</f>
        <v>15</v>
      </c>
      <c r="P573" s="138">
        <f>IFERROR(__xludf.DUMMYFUNCTION("""COMPUTED_VALUE"""),4.0)</f>
        <v>4</v>
      </c>
      <c r="Q573" s="138">
        <f>IFERROR(__xludf.DUMMYFUNCTION("""COMPUTED_VALUE"""),0.0)</f>
        <v>0</v>
      </c>
      <c r="R573" s="138">
        <f>IFERROR(__xludf.DUMMYFUNCTION("""COMPUTED_VALUE"""),13.0)</f>
        <v>13</v>
      </c>
      <c r="S573" s="139">
        <f>IFERROR(__xludf.DUMMYFUNCTION("""COMPUTED_VALUE"""),442.0)</f>
        <v>442</v>
      </c>
      <c r="T573" s="140">
        <f>IFERROR(__xludf.DUMMYFUNCTION("""COMPUTED_VALUE"""),144.0)</f>
        <v>144</v>
      </c>
      <c r="U573" s="136">
        <f>IFERROR(__xludf.DUMMYFUNCTION("""COMPUTED_VALUE"""),54.0)</f>
        <v>54</v>
      </c>
      <c r="V573" s="136">
        <f>IFERROR(__xludf.DUMMYFUNCTION("""COMPUTED_VALUE"""),58.0)</f>
        <v>58</v>
      </c>
      <c r="W573" s="136">
        <f>IFERROR(__xludf.DUMMYFUNCTION("""COMPUTED_VALUE"""),63.0)</f>
        <v>63</v>
      </c>
      <c r="X573" s="136">
        <f>IFERROR(__xludf.DUMMYFUNCTION("""COMPUTED_VALUE"""),353.25)</f>
        <v>353.25</v>
      </c>
      <c r="Y573" s="141">
        <f>IFERROR(__xludf.DUMMYFUNCTION("""COMPUTED_VALUE"""),53.02057692307692)</f>
        <v>53.02057692</v>
      </c>
      <c r="Z573" s="141">
        <f>IFERROR(__xludf.DUMMYFUNCTION("""COMPUTED_VALUE"""),2246.5384615384614)</f>
        <v>2246.538462</v>
      </c>
    </row>
    <row r="574">
      <c r="A574" s="41" t="str">
        <f>IFERROR(__xludf.DUMMYFUNCTION("""COMPUTED_VALUE"""),"Amateur")</f>
        <v>Amateur</v>
      </c>
      <c r="B574" s="41" t="str">
        <f>IFERROR(__xludf.DUMMYFUNCTION("""COMPUTED_VALUE"""),"RSC007678")</f>
        <v>RSC007678</v>
      </c>
      <c r="C574" s="41" t="str">
        <f>IFERROR(__xludf.DUMMYFUNCTION("""COMPUTED_VALUE"""),"SavedHawk")</f>
        <v>SavedHawk</v>
      </c>
      <c r="D574" s="41" t="str">
        <f>IFERROR(__xludf.DUMMYFUNCTION("""COMPUTED_VALUE"""),"Winter Fresh")</f>
        <v>Winter Fresh</v>
      </c>
      <c r="E574" s="136">
        <f>IFERROR(__xludf.DUMMYFUNCTION("""COMPUTED_VALUE"""),4.0)</f>
        <v>4</v>
      </c>
      <c r="F574" s="136">
        <f>IFERROR(__xludf.DUMMYFUNCTION("""COMPUTED_VALUE"""),0.0)</f>
        <v>0</v>
      </c>
      <c r="G574" s="136">
        <f>IFERROR(__xludf.DUMMYFUNCTION("""COMPUTED_VALUE"""),4.0)</f>
        <v>4</v>
      </c>
      <c r="H574" s="137">
        <f>IFERROR(__xludf.DUMMYFUNCTION("""COMPUTED_VALUE"""),0.0)</f>
        <v>0</v>
      </c>
      <c r="I574" s="136">
        <f>IFERROR(__xludf.DUMMYFUNCTION("""COMPUTED_VALUE"""),0.0)</f>
        <v>0</v>
      </c>
      <c r="J574" s="136">
        <f>IFERROR(__xludf.DUMMYFUNCTION("""COMPUTED_VALUE"""),704.0)</f>
        <v>704</v>
      </c>
      <c r="K574" s="136">
        <f>IFERROR(__xludf.DUMMYFUNCTION("""COMPUTED_VALUE"""),1.0)</f>
        <v>1</v>
      </c>
      <c r="L574" s="136">
        <f>IFERROR(__xludf.DUMMYFUNCTION("""COMPUTED_VALUE"""),0.0)</f>
        <v>0</v>
      </c>
      <c r="M574" s="136">
        <f>IFERROR(__xludf.DUMMYFUNCTION("""COMPUTED_VALUE"""),3.0)</f>
        <v>3</v>
      </c>
      <c r="N574" s="136">
        <f>IFERROR(__xludf.DUMMYFUNCTION("""COMPUTED_VALUE"""),2.0)</f>
        <v>2</v>
      </c>
      <c r="O574" s="138">
        <f>IFERROR(__xludf.DUMMYFUNCTION("""COMPUTED_VALUE"""),0.0)</f>
        <v>0</v>
      </c>
      <c r="P574" s="138">
        <f>IFERROR(__xludf.DUMMYFUNCTION("""COMPUTED_VALUE"""),0.0)</f>
        <v>0</v>
      </c>
      <c r="Q574" s="138">
        <f>IFERROR(__xludf.DUMMYFUNCTION("""COMPUTED_VALUE"""),0.0)</f>
        <v>0</v>
      </c>
      <c r="R574" s="138">
        <f>IFERROR(__xludf.DUMMYFUNCTION("""COMPUTED_VALUE"""),0.0)</f>
        <v>0</v>
      </c>
      <c r="S574" s="139">
        <f>IFERROR(__xludf.DUMMYFUNCTION("""COMPUTED_VALUE"""),38.0)</f>
        <v>38</v>
      </c>
      <c r="T574" s="140">
        <f>IFERROR(__xludf.DUMMYFUNCTION("""COMPUTED_VALUE"""),18.0)</f>
        <v>18</v>
      </c>
      <c r="U574" s="136">
        <f>IFERROR(__xludf.DUMMYFUNCTION("""COMPUTED_VALUE"""),9.0)</f>
        <v>9</v>
      </c>
      <c r="V574" s="136">
        <f>IFERROR(__xludf.DUMMYFUNCTION("""COMPUTED_VALUE"""),3.0)</f>
        <v>3</v>
      </c>
      <c r="W574" s="136">
        <f>IFERROR(__xludf.DUMMYFUNCTION("""COMPUTED_VALUE"""),6.0)</f>
        <v>6</v>
      </c>
      <c r="X574" s="139">
        <f>IFERROR(__xludf.DUMMYFUNCTION("""COMPUTED_VALUE"""),398.75)</f>
        <v>398.75</v>
      </c>
      <c r="Y574" s="141">
        <f>IFERROR(__xludf.DUMMYFUNCTION("""COMPUTED_VALUE"""),44.317499999999995)</f>
        <v>44.3175</v>
      </c>
      <c r="Z574" s="141">
        <f>IFERROR(__xludf.DUMMYFUNCTION("""COMPUTED_VALUE"""),2265.5)</f>
        <v>2265.5</v>
      </c>
    </row>
    <row r="575">
      <c r="A575" s="41" t="str">
        <f>IFERROR(__xludf.DUMMYFUNCTION("""COMPUTED_VALUE"""),"Elite")</f>
        <v>Elite</v>
      </c>
      <c r="B575" s="41" t="str">
        <f>IFERROR(__xludf.DUMMYFUNCTION("""COMPUTED_VALUE"""),"RSC007688")</f>
        <v>RSC007688</v>
      </c>
      <c r="C575" s="41" t="str">
        <f>IFERROR(__xludf.DUMMYFUNCTION("""COMPUTED_VALUE"""),"Yami ^^")</f>
        <v>Yami ^^</v>
      </c>
      <c r="D575" s="41" t="str">
        <f>IFERROR(__xludf.DUMMYFUNCTION("""COMPUTED_VALUE"""),"Gelato")</f>
        <v>Gelato</v>
      </c>
      <c r="E575" s="136">
        <f>IFERROR(__xludf.DUMMYFUNCTION("""COMPUTED_VALUE"""),56.0)</f>
        <v>56</v>
      </c>
      <c r="F575" s="136">
        <f>IFERROR(__xludf.DUMMYFUNCTION("""COMPUTED_VALUE"""),28.0)</f>
        <v>28</v>
      </c>
      <c r="G575" s="136">
        <f>IFERROR(__xludf.DUMMYFUNCTION("""COMPUTED_VALUE"""),28.0)</f>
        <v>28</v>
      </c>
      <c r="H575" s="137">
        <f>IFERROR(__xludf.DUMMYFUNCTION("""COMPUTED_VALUE"""),0.5)</f>
        <v>0.5</v>
      </c>
      <c r="I575" s="136">
        <f>IFERROR(__xludf.DUMMYFUNCTION("""COMPUTED_VALUE"""),6.0)</f>
        <v>6</v>
      </c>
      <c r="J575" s="136">
        <f>IFERROR(__xludf.DUMMYFUNCTION("""COMPUTED_VALUE"""),19511.0)</f>
        <v>19511</v>
      </c>
      <c r="K575" s="136">
        <f>IFERROR(__xludf.DUMMYFUNCTION("""COMPUTED_VALUE"""),36.0)</f>
        <v>36</v>
      </c>
      <c r="L575" s="136">
        <f>IFERROR(__xludf.DUMMYFUNCTION("""COMPUTED_VALUE"""),38.0)</f>
        <v>38</v>
      </c>
      <c r="M575" s="136">
        <f>IFERROR(__xludf.DUMMYFUNCTION("""COMPUTED_VALUE"""),100.0)</f>
        <v>100</v>
      </c>
      <c r="N575" s="136">
        <f>IFERROR(__xludf.DUMMYFUNCTION("""COMPUTED_VALUE"""),122.0)</f>
        <v>122</v>
      </c>
      <c r="O575" s="138">
        <f>IFERROR(__xludf.DUMMYFUNCTION("""COMPUTED_VALUE"""),9.0)</f>
        <v>9</v>
      </c>
      <c r="P575" s="138">
        <f>IFERROR(__xludf.DUMMYFUNCTION("""COMPUTED_VALUE"""),1.0)</f>
        <v>1</v>
      </c>
      <c r="Q575" s="138">
        <f>IFERROR(__xludf.DUMMYFUNCTION("""COMPUTED_VALUE"""),2.0)</f>
        <v>2</v>
      </c>
      <c r="R575" s="138">
        <f>IFERROR(__xludf.DUMMYFUNCTION("""COMPUTED_VALUE"""),14.0)</f>
        <v>14</v>
      </c>
      <c r="S575" s="139">
        <f>IFERROR(__xludf.DUMMYFUNCTION("""COMPUTED_VALUE"""),498.0)</f>
        <v>498</v>
      </c>
      <c r="T575" s="140">
        <f>IFERROR(__xludf.DUMMYFUNCTION("""COMPUTED_VALUE"""),143.0)</f>
        <v>143</v>
      </c>
      <c r="U575" s="136">
        <f>IFERROR(__xludf.DUMMYFUNCTION("""COMPUTED_VALUE"""),60.0)</f>
        <v>60</v>
      </c>
      <c r="V575" s="136">
        <f>IFERROR(__xludf.DUMMYFUNCTION("""COMPUTED_VALUE"""),89.0)</f>
        <v>89</v>
      </c>
      <c r="W575" s="136">
        <f>IFERROR(__xludf.DUMMYFUNCTION("""COMPUTED_VALUE"""),50.0)</f>
        <v>50</v>
      </c>
      <c r="X575" s="136">
        <f>IFERROR(__xludf.DUMMYFUNCTION("""COMPUTED_VALUE"""),404.7142857142857)</f>
        <v>404.7142857</v>
      </c>
      <c r="Y575" s="141">
        <f>IFERROR(__xludf.DUMMYFUNCTION("""COMPUTED_VALUE"""),46.353392857142865)</f>
        <v>46.35339286</v>
      </c>
      <c r="Z575" s="141">
        <f>IFERROR(__xludf.DUMMYFUNCTION("""COMPUTED_VALUE"""),2423.2678571428573)</f>
        <v>2423.267857</v>
      </c>
    </row>
    <row r="576">
      <c r="A576" s="41" t="str">
        <f>IFERROR(__xludf.DUMMYFUNCTION("""COMPUTED_VALUE"""),"Challenger")</f>
        <v>Challenger</v>
      </c>
      <c r="B576" s="41" t="str">
        <f>IFERROR(__xludf.DUMMYFUNCTION("""COMPUTED_VALUE"""),"RSC007692")</f>
        <v>RSC007692</v>
      </c>
      <c r="C576" s="41" t="str">
        <f>IFERROR(__xludf.DUMMYFUNCTION("""COMPUTED_VALUE"""),"Unc_DyLon")</f>
        <v>Unc_DyLon</v>
      </c>
      <c r="D576" s="41" t="str">
        <f>IFERROR(__xludf.DUMMYFUNCTION("""COMPUTED_VALUE"""),"Gold Hoarders
Meat Lovers")</f>
        <v>Gold Hoarders
Meat Lovers</v>
      </c>
      <c r="E576" s="136">
        <f>IFERROR(__xludf.DUMMYFUNCTION("""COMPUTED_VALUE"""),51.0)</f>
        <v>51</v>
      </c>
      <c r="F576" s="136">
        <f>IFERROR(__xludf.DUMMYFUNCTION("""COMPUTED_VALUE"""),18.0)</f>
        <v>18</v>
      </c>
      <c r="G576" s="136">
        <f>IFERROR(__xludf.DUMMYFUNCTION("""COMPUTED_VALUE"""),33.0)</f>
        <v>33</v>
      </c>
      <c r="H576" s="137">
        <f>IFERROR(__xludf.DUMMYFUNCTION("""COMPUTED_VALUE"""),0.35294117647058826)</f>
        <v>0.3529411765</v>
      </c>
      <c r="I576" s="136">
        <f>IFERROR(__xludf.DUMMYFUNCTION("""COMPUTED_VALUE"""),8.0)</f>
        <v>8</v>
      </c>
      <c r="J576" s="136">
        <f>IFERROR(__xludf.DUMMYFUNCTION("""COMPUTED_VALUE"""),16758.0)</f>
        <v>16758</v>
      </c>
      <c r="K576" s="136">
        <f>IFERROR(__xludf.DUMMYFUNCTION("""COMPUTED_VALUE"""),35.0)</f>
        <v>35</v>
      </c>
      <c r="L576" s="136">
        <f>IFERROR(__xludf.DUMMYFUNCTION("""COMPUTED_VALUE"""),20.0)</f>
        <v>20</v>
      </c>
      <c r="M576" s="136">
        <f>IFERROR(__xludf.DUMMYFUNCTION("""COMPUTED_VALUE"""),68.0)</f>
        <v>68</v>
      </c>
      <c r="N576" s="136">
        <f>IFERROR(__xludf.DUMMYFUNCTION("""COMPUTED_VALUE"""),132.0)</f>
        <v>132</v>
      </c>
      <c r="O576" s="138">
        <f>IFERROR(__xludf.DUMMYFUNCTION("""COMPUTED_VALUE"""),5.0)</f>
        <v>5</v>
      </c>
      <c r="P576" s="138">
        <f>IFERROR(__xludf.DUMMYFUNCTION("""COMPUTED_VALUE"""),2.0)</f>
        <v>2</v>
      </c>
      <c r="Q576" s="138">
        <f>IFERROR(__xludf.DUMMYFUNCTION("""COMPUTED_VALUE"""),0.0)</f>
        <v>0</v>
      </c>
      <c r="R576" s="138">
        <f>IFERROR(__xludf.DUMMYFUNCTION("""COMPUTED_VALUE"""),10.0)</f>
        <v>10</v>
      </c>
      <c r="S576" s="139">
        <f>IFERROR(__xludf.DUMMYFUNCTION("""COMPUTED_VALUE"""),405.0)</f>
        <v>405</v>
      </c>
      <c r="T576" s="140">
        <f>IFERROR(__xludf.DUMMYFUNCTION("""COMPUTED_VALUE"""),134.0)</f>
        <v>134</v>
      </c>
      <c r="U576" s="136">
        <f>IFERROR(__xludf.DUMMYFUNCTION("""COMPUTED_VALUE"""),57.0)</f>
        <v>57</v>
      </c>
      <c r="V576" s="136">
        <f>IFERROR(__xludf.DUMMYFUNCTION("""COMPUTED_VALUE"""),37.0)</f>
        <v>37</v>
      </c>
      <c r="W576" s="136">
        <f>IFERROR(__xludf.DUMMYFUNCTION("""COMPUTED_VALUE"""),46.0)</f>
        <v>46</v>
      </c>
      <c r="X576" s="136">
        <f>IFERROR(__xludf.DUMMYFUNCTION("""COMPUTED_VALUE"""),321.3529411764706)</f>
        <v>321.3529412</v>
      </c>
      <c r="Y576" s="141">
        <f>IFERROR(__xludf.DUMMYFUNCTION("""COMPUTED_VALUE"""),46.57607843137255)</f>
        <v>46.57607843</v>
      </c>
      <c r="Z576" s="141">
        <f>IFERROR(__xludf.DUMMYFUNCTION("""COMPUTED_VALUE"""),1939.7450980392157)</f>
        <v>1939.745098</v>
      </c>
    </row>
    <row r="577">
      <c r="A577" s="41" t="str">
        <f>IFERROR(__xludf.DUMMYFUNCTION("""COMPUTED_VALUE"""),"Premier")</f>
        <v>Premier</v>
      </c>
      <c r="B577" s="41" t="str">
        <f>IFERROR(__xludf.DUMMYFUNCTION("""COMPUTED_VALUE"""),"RSC007718")</f>
        <v>RSC007718</v>
      </c>
      <c r="C577" s="41" t="str">
        <f>IFERROR(__xludf.DUMMYFUNCTION("""COMPUTED_VALUE"""),"dxge")</f>
        <v>dxge</v>
      </c>
      <c r="D577" s="41" t="str">
        <f>IFERROR(__xludf.DUMMYFUNCTION("""COMPUTED_VALUE"""),"Gummy Bears
Capybaras")</f>
        <v>Gummy Bears
Capybaras</v>
      </c>
      <c r="E577" s="136">
        <f>IFERROR(__xludf.DUMMYFUNCTION("""COMPUTED_VALUE"""),8.0)</f>
        <v>8</v>
      </c>
      <c r="F577" s="136">
        <f>IFERROR(__xludf.DUMMYFUNCTION("""COMPUTED_VALUE"""),5.0)</f>
        <v>5</v>
      </c>
      <c r="G577" s="136">
        <f>IFERROR(__xludf.DUMMYFUNCTION("""COMPUTED_VALUE"""),3.0)</f>
        <v>3</v>
      </c>
      <c r="H577" s="137">
        <f>IFERROR(__xludf.DUMMYFUNCTION("""COMPUTED_VALUE"""),0.625)</f>
        <v>0.625</v>
      </c>
      <c r="I577" s="136">
        <f>IFERROR(__xludf.DUMMYFUNCTION("""COMPUTED_VALUE"""),3.0)</f>
        <v>3</v>
      </c>
      <c r="J577" s="136">
        <f>IFERROR(__xludf.DUMMYFUNCTION("""COMPUTED_VALUE"""),3774.0)</f>
        <v>3774</v>
      </c>
      <c r="K577" s="136">
        <f>IFERROR(__xludf.DUMMYFUNCTION("""COMPUTED_VALUE"""),8.0)</f>
        <v>8</v>
      </c>
      <c r="L577" s="136">
        <f>IFERROR(__xludf.DUMMYFUNCTION("""COMPUTED_VALUE"""),2.0)</f>
        <v>2</v>
      </c>
      <c r="M577" s="136">
        <f>IFERROR(__xludf.DUMMYFUNCTION("""COMPUTED_VALUE"""),20.0)</f>
        <v>20</v>
      </c>
      <c r="N577" s="136">
        <f>IFERROR(__xludf.DUMMYFUNCTION("""COMPUTED_VALUE"""),25.0)</f>
        <v>25</v>
      </c>
      <c r="O577" s="138">
        <f>IFERROR(__xludf.DUMMYFUNCTION("""COMPUTED_VALUE"""),1.0)</f>
        <v>1</v>
      </c>
      <c r="P577" s="138">
        <f>IFERROR(__xludf.DUMMYFUNCTION("""COMPUTED_VALUE"""),0.0)</f>
        <v>0</v>
      </c>
      <c r="Q577" s="138">
        <f>IFERROR(__xludf.DUMMYFUNCTION("""COMPUTED_VALUE"""),0.0)</f>
        <v>0</v>
      </c>
      <c r="R577" s="138">
        <f>IFERROR(__xludf.DUMMYFUNCTION("""COMPUTED_VALUE"""),4.0)</f>
        <v>4</v>
      </c>
      <c r="S577" s="139">
        <f>IFERROR(__xludf.DUMMYFUNCTION("""COMPUTED_VALUE"""),69.0)</f>
        <v>69</v>
      </c>
      <c r="T577" s="140">
        <f>IFERROR(__xludf.DUMMYFUNCTION("""COMPUTED_VALUE"""),20.0)</f>
        <v>20</v>
      </c>
      <c r="U577" s="136">
        <f>IFERROR(__xludf.DUMMYFUNCTION("""COMPUTED_VALUE"""),11.0)</f>
        <v>11</v>
      </c>
      <c r="V577" s="136">
        <f>IFERROR(__xludf.DUMMYFUNCTION("""COMPUTED_VALUE"""),17.0)</f>
        <v>17</v>
      </c>
      <c r="W577" s="136">
        <f>IFERROR(__xludf.DUMMYFUNCTION("""COMPUTED_VALUE"""),8.0)</f>
        <v>8</v>
      </c>
      <c r="X577" s="136">
        <f>IFERROR(__xludf.DUMMYFUNCTION("""COMPUTED_VALUE"""),440.375)</f>
        <v>440.375</v>
      </c>
      <c r="Y577" s="141">
        <f>IFERROR(__xludf.DUMMYFUNCTION("""COMPUTED_VALUE"""),46.14249999999999)</f>
        <v>46.1425</v>
      </c>
      <c r="Z577" s="141">
        <f>IFERROR(__xludf.DUMMYFUNCTION("""COMPUTED_VALUE"""),2591.0)</f>
        <v>2591</v>
      </c>
    </row>
    <row r="578">
      <c r="A578" s="41" t="str">
        <f>IFERROR(__xludf.DUMMYFUNCTION("""COMPUTED_VALUE"""),"Veteran")</f>
        <v>Veteran</v>
      </c>
      <c r="B578" s="41" t="str">
        <f>IFERROR(__xludf.DUMMYFUNCTION("""COMPUTED_VALUE"""),"RSC007720")</f>
        <v>RSC007720</v>
      </c>
      <c r="C578" s="41" t="str">
        <f>IFERROR(__xludf.DUMMYFUNCTION("""COMPUTED_VALUE"""),"trock")</f>
        <v>trock</v>
      </c>
      <c r="D578" s="41" t="str">
        <f>IFERROR(__xludf.DUMMYFUNCTION("""COMPUTED_VALUE"""),"Dread")</f>
        <v>Dread</v>
      </c>
      <c r="E578" s="136">
        <f>IFERROR(__xludf.DUMMYFUNCTION("""COMPUTED_VALUE"""),52.0)</f>
        <v>52</v>
      </c>
      <c r="F578" s="136">
        <f>IFERROR(__xludf.DUMMYFUNCTION("""COMPUTED_VALUE"""),32.0)</f>
        <v>32</v>
      </c>
      <c r="G578" s="136">
        <f>IFERROR(__xludf.DUMMYFUNCTION("""COMPUTED_VALUE"""),20.0)</f>
        <v>20</v>
      </c>
      <c r="H578" s="137">
        <f>IFERROR(__xludf.DUMMYFUNCTION("""COMPUTED_VALUE"""),0.6153846153846154)</f>
        <v>0.6153846154</v>
      </c>
      <c r="I578" s="136">
        <f>IFERROR(__xludf.DUMMYFUNCTION("""COMPUTED_VALUE"""),13.0)</f>
        <v>13</v>
      </c>
      <c r="J578" s="136">
        <f>IFERROR(__xludf.DUMMYFUNCTION("""COMPUTED_VALUE"""),19131.0)</f>
        <v>19131</v>
      </c>
      <c r="K578" s="136">
        <f>IFERROR(__xludf.DUMMYFUNCTION("""COMPUTED_VALUE"""),40.0)</f>
        <v>40</v>
      </c>
      <c r="L578" s="136">
        <f>IFERROR(__xludf.DUMMYFUNCTION("""COMPUTED_VALUE"""),28.0)</f>
        <v>28</v>
      </c>
      <c r="M578" s="136">
        <f>IFERROR(__xludf.DUMMYFUNCTION("""COMPUTED_VALUE"""),85.0)</f>
        <v>85</v>
      </c>
      <c r="N578" s="136">
        <f>IFERROR(__xludf.DUMMYFUNCTION("""COMPUTED_VALUE"""),122.0)</f>
        <v>122</v>
      </c>
      <c r="O578" s="138">
        <f>IFERROR(__xludf.DUMMYFUNCTION("""COMPUTED_VALUE"""),8.0)</f>
        <v>8</v>
      </c>
      <c r="P578" s="138">
        <f>IFERROR(__xludf.DUMMYFUNCTION("""COMPUTED_VALUE"""),1.0)</f>
        <v>1</v>
      </c>
      <c r="Q578" s="138">
        <f>IFERROR(__xludf.DUMMYFUNCTION("""COMPUTED_VALUE"""),1.0)</f>
        <v>1</v>
      </c>
      <c r="R578" s="138">
        <f>IFERROR(__xludf.DUMMYFUNCTION("""COMPUTED_VALUE"""),12.0)</f>
        <v>12</v>
      </c>
      <c r="S578" s="139">
        <f>IFERROR(__xludf.DUMMYFUNCTION("""COMPUTED_VALUE"""),427.0)</f>
        <v>427</v>
      </c>
      <c r="T578" s="140">
        <f>IFERROR(__xludf.DUMMYFUNCTION("""COMPUTED_VALUE"""),110.0)</f>
        <v>110</v>
      </c>
      <c r="U578" s="136">
        <f>IFERROR(__xludf.DUMMYFUNCTION("""COMPUTED_VALUE"""),39.0)</f>
        <v>39</v>
      </c>
      <c r="V578" s="136">
        <f>IFERROR(__xludf.DUMMYFUNCTION("""COMPUTED_VALUE"""),77.0)</f>
        <v>77</v>
      </c>
      <c r="W578" s="136">
        <f>IFERROR(__xludf.DUMMYFUNCTION("""COMPUTED_VALUE"""),63.0)</f>
        <v>63</v>
      </c>
      <c r="X578" s="136">
        <f>IFERROR(__xludf.DUMMYFUNCTION("""COMPUTED_VALUE"""),354.25)</f>
        <v>354.25</v>
      </c>
      <c r="Y578" s="141">
        <f>IFERROR(__xludf.DUMMYFUNCTION("""COMPUTED_VALUE"""),46.07057692307691)</f>
        <v>46.07057692</v>
      </c>
      <c r="Z578" s="141">
        <f>IFERROR(__xludf.DUMMYFUNCTION("""COMPUTED_VALUE"""),2184.1153846153848)</f>
        <v>2184.115385</v>
      </c>
    </row>
    <row r="579">
      <c r="A579" s="41" t="str">
        <f>IFERROR(__xludf.DUMMYFUNCTION("""COMPUTED_VALUE"""),"Rival")</f>
        <v>Rival</v>
      </c>
      <c r="B579" s="41" t="str">
        <f>IFERROR(__xludf.DUMMYFUNCTION("""COMPUTED_VALUE"""),"RSC007753")</f>
        <v>RSC007753</v>
      </c>
      <c r="C579" s="41" t="str">
        <f>IFERROR(__xludf.DUMMYFUNCTION("""COMPUTED_VALUE"""),"Chromebook")</f>
        <v>Chromebook</v>
      </c>
      <c r="D579" s="41" t="str">
        <f>IFERROR(__xludf.DUMMYFUNCTION("""COMPUTED_VALUE"""),"Scramjets")</f>
        <v>Scramjets</v>
      </c>
      <c r="E579" s="136">
        <f>IFERROR(__xludf.DUMMYFUNCTION("""COMPUTED_VALUE"""),4.0)</f>
        <v>4</v>
      </c>
      <c r="F579" s="136">
        <f>IFERROR(__xludf.DUMMYFUNCTION("""COMPUTED_VALUE"""),1.0)</f>
        <v>1</v>
      </c>
      <c r="G579" s="136">
        <f>IFERROR(__xludf.DUMMYFUNCTION("""COMPUTED_VALUE"""),3.0)</f>
        <v>3</v>
      </c>
      <c r="H579" s="137">
        <f>IFERROR(__xludf.DUMMYFUNCTION("""COMPUTED_VALUE"""),0.25)</f>
        <v>0.25</v>
      </c>
      <c r="I579" s="136">
        <f>IFERROR(__xludf.DUMMYFUNCTION("""COMPUTED_VALUE"""),1.0)</f>
        <v>1</v>
      </c>
      <c r="J579" s="136">
        <f>IFERROR(__xludf.DUMMYFUNCTION("""COMPUTED_VALUE"""),1503.0)</f>
        <v>1503</v>
      </c>
      <c r="K579" s="136">
        <f>IFERROR(__xludf.DUMMYFUNCTION("""COMPUTED_VALUE"""),6.0)</f>
        <v>6</v>
      </c>
      <c r="L579" s="136">
        <f>IFERROR(__xludf.DUMMYFUNCTION("""COMPUTED_VALUE"""),0.0)</f>
        <v>0</v>
      </c>
      <c r="M579" s="136">
        <f>IFERROR(__xludf.DUMMYFUNCTION("""COMPUTED_VALUE"""),4.0)</f>
        <v>4</v>
      </c>
      <c r="N579" s="136">
        <f>IFERROR(__xludf.DUMMYFUNCTION("""COMPUTED_VALUE"""),10.0)</f>
        <v>10</v>
      </c>
      <c r="O579" s="138">
        <f>IFERROR(__xludf.DUMMYFUNCTION("""COMPUTED_VALUE"""),0.0)</f>
        <v>0</v>
      </c>
      <c r="P579" s="138">
        <f>IFERROR(__xludf.DUMMYFUNCTION("""COMPUTED_VALUE"""),0.0)</f>
        <v>0</v>
      </c>
      <c r="Q579" s="138">
        <f>IFERROR(__xludf.DUMMYFUNCTION("""COMPUTED_VALUE"""),0.0)</f>
        <v>0</v>
      </c>
      <c r="R579" s="138">
        <f>IFERROR(__xludf.DUMMYFUNCTION("""COMPUTED_VALUE"""),1.0)</f>
        <v>1</v>
      </c>
      <c r="S579" s="139">
        <f>IFERROR(__xludf.DUMMYFUNCTION("""COMPUTED_VALUE"""),33.0)</f>
        <v>33</v>
      </c>
      <c r="T579" s="140">
        <f>IFERROR(__xludf.DUMMYFUNCTION("""COMPUTED_VALUE"""),15.0)</f>
        <v>15</v>
      </c>
      <c r="U579" s="136">
        <f>IFERROR(__xludf.DUMMYFUNCTION("""COMPUTED_VALUE"""),9.0)</f>
        <v>9</v>
      </c>
      <c r="V579" s="136">
        <f>IFERROR(__xludf.DUMMYFUNCTION("""COMPUTED_VALUE"""),4.0)</f>
        <v>4</v>
      </c>
      <c r="W579" s="136">
        <f>IFERROR(__xludf.DUMMYFUNCTION("""COMPUTED_VALUE"""),6.0)</f>
        <v>6</v>
      </c>
      <c r="X579" s="136">
        <f>IFERROR(__xludf.DUMMYFUNCTION("""COMPUTED_VALUE"""),445.5)</f>
        <v>445.5</v>
      </c>
      <c r="Y579" s="141">
        <f>IFERROR(__xludf.DUMMYFUNCTION("""COMPUTED_VALUE"""),47.9625)</f>
        <v>47.9625</v>
      </c>
      <c r="Z579" s="141">
        <f>IFERROR(__xludf.DUMMYFUNCTION("""COMPUTED_VALUE"""),2801.25)</f>
        <v>2801.25</v>
      </c>
    </row>
    <row r="580">
      <c r="A580" s="41" t="str">
        <f>IFERROR(__xludf.DUMMYFUNCTION("""COMPUTED_VALUE"""),"Veteran")</f>
        <v>Veteran</v>
      </c>
      <c r="B580" s="41" t="str">
        <f>IFERROR(__xludf.DUMMYFUNCTION("""COMPUTED_VALUE"""),"RSC007756")</f>
        <v>RSC007756</v>
      </c>
      <c r="C580" s="41" t="str">
        <f>IFERROR(__xludf.DUMMYFUNCTION("""COMPUTED_VALUE"""),"Taunt")</f>
        <v>Taunt</v>
      </c>
      <c r="D580" s="41" t="str">
        <f>IFERROR(__xludf.DUMMYFUNCTION("""COMPUTED_VALUE"""),"Berserkers")</f>
        <v>Berserkers</v>
      </c>
      <c r="E580" s="136">
        <f>IFERROR(__xludf.DUMMYFUNCTION("""COMPUTED_VALUE"""),40.0)</f>
        <v>40</v>
      </c>
      <c r="F580" s="136">
        <f>IFERROR(__xludf.DUMMYFUNCTION("""COMPUTED_VALUE"""),30.0)</f>
        <v>30</v>
      </c>
      <c r="G580" s="136">
        <f>IFERROR(__xludf.DUMMYFUNCTION("""COMPUTED_VALUE"""),10.0)</f>
        <v>10</v>
      </c>
      <c r="H580" s="137">
        <f>IFERROR(__xludf.DUMMYFUNCTION("""COMPUTED_VALUE"""),0.75)</f>
        <v>0.75</v>
      </c>
      <c r="I580" s="136">
        <f>IFERROR(__xludf.DUMMYFUNCTION("""COMPUTED_VALUE"""),10.0)</f>
        <v>10</v>
      </c>
      <c r="J580" s="136">
        <f>IFERROR(__xludf.DUMMYFUNCTION("""COMPUTED_VALUE"""),15496.0)</f>
        <v>15496</v>
      </c>
      <c r="K580" s="136">
        <f>IFERROR(__xludf.DUMMYFUNCTION("""COMPUTED_VALUE"""),35.0)</f>
        <v>35</v>
      </c>
      <c r="L580" s="136">
        <f>IFERROR(__xludf.DUMMYFUNCTION("""COMPUTED_VALUE"""),22.0)</f>
        <v>22</v>
      </c>
      <c r="M580" s="136">
        <f>IFERROR(__xludf.DUMMYFUNCTION("""COMPUTED_VALUE"""),62.0)</f>
        <v>62</v>
      </c>
      <c r="N580" s="136">
        <f>IFERROR(__xludf.DUMMYFUNCTION("""COMPUTED_VALUE"""),127.0)</f>
        <v>127</v>
      </c>
      <c r="O580" s="138">
        <f>IFERROR(__xludf.DUMMYFUNCTION("""COMPUTED_VALUE"""),10.0)</f>
        <v>10</v>
      </c>
      <c r="P580" s="138">
        <f>IFERROR(__xludf.DUMMYFUNCTION("""COMPUTED_VALUE"""),2.0)</f>
        <v>2</v>
      </c>
      <c r="Q580" s="138">
        <f>IFERROR(__xludf.DUMMYFUNCTION("""COMPUTED_VALUE"""),0.0)</f>
        <v>0</v>
      </c>
      <c r="R580" s="138">
        <f>IFERROR(__xludf.DUMMYFUNCTION("""COMPUTED_VALUE"""),10.0)</f>
        <v>10</v>
      </c>
      <c r="S580" s="139">
        <f>IFERROR(__xludf.DUMMYFUNCTION("""COMPUTED_VALUE"""),277.0)</f>
        <v>277</v>
      </c>
      <c r="T580" s="140">
        <f>IFERROR(__xludf.DUMMYFUNCTION("""COMPUTED_VALUE"""),73.0)</f>
        <v>73</v>
      </c>
      <c r="U580" s="136">
        <f>IFERROR(__xludf.DUMMYFUNCTION("""COMPUTED_VALUE"""),24.0)</f>
        <v>24</v>
      </c>
      <c r="V580" s="136">
        <f>IFERROR(__xludf.DUMMYFUNCTION("""COMPUTED_VALUE"""),29.0)</f>
        <v>29</v>
      </c>
      <c r="W580" s="136">
        <f>IFERROR(__xludf.DUMMYFUNCTION("""COMPUTED_VALUE"""),44.0)</f>
        <v>44</v>
      </c>
      <c r="X580" s="136">
        <f>IFERROR(__xludf.DUMMYFUNCTION("""COMPUTED_VALUE"""),368.375)</f>
        <v>368.375</v>
      </c>
      <c r="Y580" s="141">
        <f>IFERROR(__xludf.DUMMYFUNCTION("""COMPUTED_VALUE"""),52.88199999999999)</f>
        <v>52.882</v>
      </c>
      <c r="Z580" s="141">
        <f>IFERROR(__xludf.DUMMYFUNCTION("""COMPUTED_VALUE"""),2283.625)</f>
        <v>2283.625</v>
      </c>
    </row>
    <row r="581">
      <c r="A581" s="41" t="str">
        <f>IFERROR(__xludf.DUMMYFUNCTION("""COMPUTED_VALUE"""),"Elite")</f>
        <v>Elite</v>
      </c>
      <c r="B581" s="41" t="str">
        <f>IFERROR(__xludf.DUMMYFUNCTION("""COMPUTED_VALUE"""),"RSC007811")</f>
        <v>RSC007811</v>
      </c>
      <c r="C581" s="41" t="str">
        <f>IFERROR(__xludf.DUMMYFUNCTION("""COMPUTED_VALUE"""),"Gray")</f>
        <v>Gray</v>
      </c>
      <c r="D581" s="41" t="str">
        <f>IFERROR(__xludf.DUMMYFUNCTION("""COMPUTED_VALUE"""),"Sloths
Cotija Cartel")</f>
        <v>Sloths
Cotija Cartel</v>
      </c>
      <c r="E581" s="136">
        <f>IFERROR(__xludf.DUMMYFUNCTION("""COMPUTED_VALUE"""),47.0)</f>
        <v>47</v>
      </c>
      <c r="F581" s="136">
        <f>IFERROR(__xludf.DUMMYFUNCTION("""COMPUTED_VALUE"""),18.0)</f>
        <v>18</v>
      </c>
      <c r="G581" s="136">
        <f>IFERROR(__xludf.DUMMYFUNCTION("""COMPUTED_VALUE"""),29.0)</f>
        <v>29</v>
      </c>
      <c r="H581" s="137">
        <f>IFERROR(__xludf.DUMMYFUNCTION("""COMPUTED_VALUE"""),0.3829787234042553)</f>
        <v>0.3829787234</v>
      </c>
      <c r="I581" s="136">
        <f>IFERROR(__xludf.DUMMYFUNCTION("""COMPUTED_VALUE"""),8.0)</f>
        <v>8</v>
      </c>
      <c r="J581" s="136">
        <f>IFERROR(__xludf.DUMMYFUNCTION("""COMPUTED_VALUE"""),17622.0)</f>
        <v>17622</v>
      </c>
      <c r="K581" s="136">
        <f>IFERROR(__xludf.DUMMYFUNCTION("""COMPUTED_VALUE"""),43.0)</f>
        <v>43</v>
      </c>
      <c r="L581" s="136">
        <f>IFERROR(__xludf.DUMMYFUNCTION("""COMPUTED_VALUE"""),27.0)</f>
        <v>27</v>
      </c>
      <c r="M581" s="136">
        <f>IFERROR(__xludf.DUMMYFUNCTION("""COMPUTED_VALUE"""),70.0)</f>
        <v>70</v>
      </c>
      <c r="N581" s="136">
        <f>IFERROR(__xludf.DUMMYFUNCTION("""COMPUTED_VALUE"""),133.0)</f>
        <v>133</v>
      </c>
      <c r="O581" s="138">
        <f>IFERROR(__xludf.DUMMYFUNCTION("""COMPUTED_VALUE"""),13.0)</f>
        <v>13</v>
      </c>
      <c r="P581" s="138">
        <f>IFERROR(__xludf.DUMMYFUNCTION("""COMPUTED_VALUE"""),3.0)</f>
        <v>3</v>
      </c>
      <c r="Q581" s="138">
        <f>IFERROR(__xludf.DUMMYFUNCTION("""COMPUTED_VALUE"""),0.0)</f>
        <v>0</v>
      </c>
      <c r="R581" s="138">
        <f>IFERROR(__xludf.DUMMYFUNCTION("""COMPUTED_VALUE"""),9.0)</f>
        <v>9</v>
      </c>
      <c r="S581" s="139">
        <f>IFERROR(__xludf.DUMMYFUNCTION("""COMPUTED_VALUE"""),383.0)</f>
        <v>383</v>
      </c>
      <c r="T581" s="140">
        <f>IFERROR(__xludf.DUMMYFUNCTION("""COMPUTED_VALUE"""),129.0)</f>
        <v>129</v>
      </c>
      <c r="U581" s="136">
        <f>IFERROR(__xludf.DUMMYFUNCTION("""COMPUTED_VALUE"""),48.0)</f>
        <v>48</v>
      </c>
      <c r="V581" s="136">
        <f>IFERROR(__xludf.DUMMYFUNCTION("""COMPUTED_VALUE"""),50.0)</f>
        <v>50</v>
      </c>
      <c r="W581" s="136">
        <f>IFERROR(__xludf.DUMMYFUNCTION("""COMPUTED_VALUE"""),46.0)</f>
        <v>46</v>
      </c>
      <c r="X581" s="136">
        <f>IFERROR(__xludf.DUMMYFUNCTION("""COMPUTED_VALUE"""),405.2340425531915)</f>
        <v>405.2340426</v>
      </c>
      <c r="Y581" s="141">
        <f>IFERROR(__xludf.DUMMYFUNCTION("""COMPUTED_VALUE"""),47.09170212765958)</f>
        <v>47.09170213</v>
      </c>
      <c r="Z581" s="141">
        <f>IFERROR(__xludf.DUMMYFUNCTION("""COMPUTED_VALUE"""),2451.723404255319)</f>
        <v>2451.723404</v>
      </c>
    </row>
    <row r="582">
      <c r="A582" s="41" t="str">
        <f>IFERROR(__xludf.DUMMYFUNCTION("""COMPUTED_VALUE"""),"Challenger")</f>
        <v>Challenger</v>
      </c>
      <c r="B582" s="41" t="str">
        <f>IFERROR(__xludf.DUMMYFUNCTION("""COMPUTED_VALUE"""),"RSC007816")</f>
        <v>RSC007816</v>
      </c>
      <c r="C582" s="41" t="str">
        <f>IFERROR(__xludf.DUMMYFUNCTION("""COMPUTED_VALUE"""),"Auty RL")</f>
        <v>Auty RL</v>
      </c>
      <c r="D582" s="41" t="str">
        <f>IFERROR(__xludf.DUMMYFUNCTION("""COMPUTED_VALUE"""),"Threshers")</f>
        <v>Threshers</v>
      </c>
      <c r="E582" s="136">
        <f>IFERROR(__xludf.DUMMYFUNCTION("""COMPUTED_VALUE"""),52.0)</f>
        <v>52</v>
      </c>
      <c r="F582" s="136">
        <f>IFERROR(__xludf.DUMMYFUNCTION("""COMPUTED_VALUE"""),32.0)</f>
        <v>32</v>
      </c>
      <c r="G582" s="136">
        <f>IFERROR(__xludf.DUMMYFUNCTION("""COMPUTED_VALUE"""),20.0)</f>
        <v>20</v>
      </c>
      <c r="H582" s="137">
        <f>IFERROR(__xludf.DUMMYFUNCTION("""COMPUTED_VALUE"""),0.6153846153846154)</f>
        <v>0.6153846154</v>
      </c>
      <c r="I582" s="136">
        <f>IFERROR(__xludf.DUMMYFUNCTION("""COMPUTED_VALUE"""),5.0)</f>
        <v>5</v>
      </c>
      <c r="J582" s="136">
        <f>IFERROR(__xludf.DUMMYFUNCTION("""COMPUTED_VALUE"""),16517.0)</f>
        <v>16517</v>
      </c>
      <c r="K582" s="136">
        <f>IFERROR(__xludf.DUMMYFUNCTION("""COMPUTED_VALUE"""),43.0)</f>
        <v>43</v>
      </c>
      <c r="L582" s="136">
        <f>IFERROR(__xludf.DUMMYFUNCTION("""COMPUTED_VALUE"""),19.0)</f>
        <v>19</v>
      </c>
      <c r="M582" s="136">
        <f>IFERROR(__xludf.DUMMYFUNCTION("""COMPUTED_VALUE"""),53.0)</f>
        <v>53</v>
      </c>
      <c r="N582" s="136">
        <f>IFERROR(__xludf.DUMMYFUNCTION("""COMPUTED_VALUE"""),117.0)</f>
        <v>117</v>
      </c>
      <c r="O582" s="138">
        <f>IFERROR(__xludf.DUMMYFUNCTION("""COMPUTED_VALUE"""),5.0)</f>
        <v>5</v>
      </c>
      <c r="P582" s="138">
        <f>IFERROR(__xludf.DUMMYFUNCTION("""COMPUTED_VALUE"""),1.0)</f>
        <v>1</v>
      </c>
      <c r="Q582" s="138">
        <f>IFERROR(__xludf.DUMMYFUNCTION("""COMPUTED_VALUE"""),0.0)</f>
        <v>0</v>
      </c>
      <c r="R582" s="138">
        <f>IFERROR(__xludf.DUMMYFUNCTION("""COMPUTED_VALUE"""),6.0)</f>
        <v>6</v>
      </c>
      <c r="S582" s="139">
        <f>IFERROR(__xludf.DUMMYFUNCTION("""COMPUTED_VALUE"""),364.0)</f>
        <v>364</v>
      </c>
      <c r="T582" s="140">
        <f>IFERROR(__xludf.DUMMYFUNCTION("""COMPUTED_VALUE"""),97.0)</f>
        <v>97</v>
      </c>
      <c r="U582" s="136">
        <f>IFERROR(__xludf.DUMMYFUNCTION("""COMPUTED_VALUE"""),31.0)</f>
        <v>31</v>
      </c>
      <c r="V582" s="136">
        <f>IFERROR(__xludf.DUMMYFUNCTION("""COMPUTED_VALUE"""),24.0)</f>
        <v>24</v>
      </c>
      <c r="W582" s="136">
        <f>IFERROR(__xludf.DUMMYFUNCTION("""COMPUTED_VALUE"""),39.0)</f>
        <v>39</v>
      </c>
      <c r="X582" s="136">
        <f>IFERROR(__xludf.DUMMYFUNCTION("""COMPUTED_VALUE"""),297.15384615384613)</f>
        <v>297.1538462</v>
      </c>
      <c r="Y582" s="141">
        <f>IFERROR(__xludf.DUMMYFUNCTION("""COMPUTED_VALUE"""),53.00057692307692)</f>
        <v>53.00057692</v>
      </c>
      <c r="Z582" s="141">
        <f>IFERROR(__xludf.DUMMYFUNCTION("""COMPUTED_VALUE"""),1834.7884615384614)</f>
        <v>1834.788462</v>
      </c>
    </row>
    <row r="583">
      <c r="A583" s="41" t="str">
        <f>IFERROR(__xludf.DUMMYFUNCTION("""COMPUTED_VALUE"""),"Rival")</f>
        <v>Rival</v>
      </c>
      <c r="B583" s="41" t="str">
        <f>IFERROR(__xludf.DUMMYFUNCTION("""COMPUTED_VALUE"""),"RSC007824")</f>
        <v>RSC007824</v>
      </c>
      <c r="C583" s="41" t="str">
        <f>IFERROR(__xludf.DUMMYFUNCTION("""COMPUTED_VALUE"""),"Akki402")</f>
        <v>Akki402</v>
      </c>
      <c r="D583" s="41" t="str">
        <f>IFERROR(__xludf.DUMMYFUNCTION("""COMPUTED_VALUE"""),"Quasars
Lacuna
Wind
Samurai
Phoenix")</f>
        <v>Quasars
Lacuna
Wind
Samurai
Phoenix</v>
      </c>
      <c r="E583" s="136">
        <f>IFERROR(__xludf.DUMMYFUNCTION("""COMPUTED_VALUE"""),28.0)</f>
        <v>28</v>
      </c>
      <c r="F583" s="136">
        <f>IFERROR(__xludf.DUMMYFUNCTION("""COMPUTED_VALUE"""),13.0)</f>
        <v>13</v>
      </c>
      <c r="G583" s="136">
        <f>IFERROR(__xludf.DUMMYFUNCTION("""COMPUTED_VALUE"""),15.0)</f>
        <v>15</v>
      </c>
      <c r="H583" s="137">
        <f>IFERROR(__xludf.DUMMYFUNCTION("""COMPUTED_VALUE"""),0.4642857142857143)</f>
        <v>0.4642857143</v>
      </c>
      <c r="I583" s="136">
        <f>IFERROR(__xludf.DUMMYFUNCTION("""COMPUTED_VALUE"""),2.0)</f>
        <v>2</v>
      </c>
      <c r="J583" s="136">
        <f>IFERROR(__xludf.DUMMYFUNCTION("""COMPUTED_VALUE"""),8056.0)</f>
        <v>8056</v>
      </c>
      <c r="K583" s="136">
        <f>IFERROR(__xludf.DUMMYFUNCTION("""COMPUTED_VALUE"""),10.0)</f>
        <v>10</v>
      </c>
      <c r="L583" s="136">
        <f>IFERROR(__xludf.DUMMYFUNCTION("""COMPUTED_VALUE"""),16.0)</f>
        <v>16</v>
      </c>
      <c r="M583" s="136">
        <f>IFERROR(__xludf.DUMMYFUNCTION("""COMPUTED_VALUE"""),38.0)</f>
        <v>38</v>
      </c>
      <c r="N583" s="136">
        <f>IFERROR(__xludf.DUMMYFUNCTION("""COMPUTED_VALUE"""),45.0)</f>
        <v>45</v>
      </c>
      <c r="O583" s="138">
        <f>IFERROR(__xludf.DUMMYFUNCTION("""COMPUTED_VALUE"""),2.0)</f>
        <v>2</v>
      </c>
      <c r="P583" s="138">
        <f>IFERROR(__xludf.DUMMYFUNCTION("""COMPUTED_VALUE"""),0.0)</f>
        <v>0</v>
      </c>
      <c r="Q583" s="138">
        <f>IFERROR(__xludf.DUMMYFUNCTION("""COMPUTED_VALUE"""),0.0)</f>
        <v>0</v>
      </c>
      <c r="R583" s="138">
        <f>IFERROR(__xludf.DUMMYFUNCTION("""COMPUTED_VALUE"""),1.0)</f>
        <v>1</v>
      </c>
      <c r="S583" s="139">
        <f>IFERROR(__xludf.DUMMYFUNCTION("""COMPUTED_VALUE"""),204.0)</f>
        <v>204</v>
      </c>
      <c r="T583" s="140">
        <f>IFERROR(__xludf.DUMMYFUNCTION("""COMPUTED_VALUE"""),56.0)</f>
        <v>56</v>
      </c>
      <c r="U583" s="136">
        <f>IFERROR(__xludf.DUMMYFUNCTION("""COMPUTED_VALUE"""),12.0)</f>
        <v>12</v>
      </c>
      <c r="V583" s="136">
        <f>IFERROR(__xludf.DUMMYFUNCTION("""COMPUTED_VALUE"""),48.0)</f>
        <v>48</v>
      </c>
      <c r="W583" s="136">
        <f>IFERROR(__xludf.DUMMYFUNCTION("""COMPUTED_VALUE"""),22.0)</f>
        <v>22</v>
      </c>
      <c r="X583" s="136">
        <f>IFERROR(__xludf.DUMMYFUNCTION("""COMPUTED_VALUE"""),407.9642857142857)</f>
        <v>407.9642857</v>
      </c>
      <c r="Y583" s="141">
        <f>IFERROR(__xludf.DUMMYFUNCTION("""COMPUTED_VALUE"""),48.409285714285716)</f>
        <v>48.40928571</v>
      </c>
      <c r="Z583" s="141">
        <f>IFERROR(__xludf.DUMMYFUNCTION("""COMPUTED_VALUE"""),2430.5714285714284)</f>
        <v>2430.571429</v>
      </c>
    </row>
    <row r="584">
      <c r="A584" s="41" t="str">
        <f>IFERROR(__xludf.DUMMYFUNCTION("""COMPUTED_VALUE"""),"Rival")</f>
        <v>Rival</v>
      </c>
      <c r="B584" s="41" t="str">
        <f>IFERROR(__xludf.DUMMYFUNCTION("""COMPUTED_VALUE"""),"RSC007831")</f>
        <v>RSC007831</v>
      </c>
      <c r="C584" s="41" t="str">
        <f>IFERROR(__xludf.DUMMYFUNCTION("""COMPUTED_VALUE"""),"Havox.RL")</f>
        <v>Havox.RL</v>
      </c>
      <c r="D584" s="41" t="str">
        <f>IFERROR(__xludf.DUMMYFUNCTION("""COMPUTED_VALUE"""),"Hue Heroes")</f>
        <v>Hue Heroes</v>
      </c>
      <c r="E584" s="136">
        <f>IFERROR(__xludf.DUMMYFUNCTION("""COMPUTED_VALUE"""),52.0)</f>
        <v>52</v>
      </c>
      <c r="F584" s="136">
        <f>IFERROR(__xludf.DUMMYFUNCTION("""COMPUTED_VALUE"""),29.0)</f>
        <v>29</v>
      </c>
      <c r="G584" s="136">
        <f>IFERROR(__xludf.DUMMYFUNCTION("""COMPUTED_VALUE"""),23.0)</f>
        <v>23</v>
      </c>
      <c r="H584" s="137">
        <f>IFERROR(__xludf.DUMMYFUNCTION("""COMPUTED_VALUE"""),0.5576923076923077)</f>
        <v>0.5576923077</v>
      </c>
      <c r="I584" s="136">
        <f>IFERROR(__xludf.DUMMYFUNCTION("""COMPUTED_VALUE"""),15.0)</f>
        <v>15</v>
      </c>
      <c r="J584" s="136">
        <f>IFERROR(__xludf.DUMMYFUNCTION("""COMPUTED_VALUE"""),20890.0)</f>
        <v>20890</v>
      </c>
      <c r="K584" s="136">
        <f>IFERROR(__xludf.DUMMYFUNCTION("""COMPUTED_VALUE"""),52.0)</f>
        <v>52</v>
      </c>
      <c r="L584" s="136">
        <f>IFERROR(__xludf.DUMMYFUNCTION("""COMPUTED_VALUE"""),38.0)</f>
        <v>38</v>
      </c>
      <c r="M584" s="136">
        <f>IFERROR(__xludf.DUMMYFUNCTION("""COMPUTED_VALUE"""),77.0)</f>
        <v>77</v>
      </c>
      <c r="N584" s="136">
        <f>IFERROR(__xludf.DUMMYFUNCTION("""COMPUTED_VALUE"""),132.0)</f>
        <v>132</v>
      </c>
      <c r="O584" s="138">
        <f>IFERROR(__xludf.DUMMYFUNCTION("""COMPUTED_VALUE"""),12.0)</f>
        <v>12</v>
      </c>
      <c r="P584" s="138">
        <f>IFERROR(__xludf.DUMMYFUNCTION("""COMPUTED_VALUE"""),4.0)</f>
        <v>4</v>
      </c>
      <c r="Q584" s="138">
        <f>IFERROR(__xludf.DUMMYFUNCTION("""COMPUTED_VALUE"""),2.0)</f>
        <v>2</v>
      </c>
      <c r="R584" s="138">
        <f>IFERROR(__xludf.DUMMYFUNCTION("""COMPUTED_VALUE"""),12.0)</f>
        <v>12</v>
      </c>
      <c r="S584" s="139">
        <f>IFERROR(__xludf.DUMMYFUNCTION("""COMPUTED_VALUE"""),371.0)</f>
        <v>371</v>
      </c>
      <c r="T584" s="140">
        <f>IFERROR(__xludf.DUMMYFUNCTION("""COMPUTED_VALUE"""),126.0)</f>
        <v>126</v>
      </c>
      <c r="U584" s="136">
        <f>IFERROR(__xludf.DUMMYFUNCTION("""COMPUTED_VALUE"""),48.0)</f>
        <v>48</v>
      </c>
      <c r="V584" s="136">
        <f>IFERROR(__xludf.DUMMYFUNCTION("""COMPUTED_VALUE"""),60.0)</f>
        <v>60</v>
      </c>
      <c r="W584" s="136">
        <f>IFERROR(__xludf.DUMMYFUNCTION("""COMPUTED_VALUE"""),38.0)</f>
        <v>38</v>
      </c>
      <c r="X584" s="136">
        <f>IFERROR(__xludf.DUMMYFUNCTION("""COMPUTED_VALUE"""),429.03846153846155)</f>
        <v>429.0384615</v>
      </c>
      <c r="Y584" s="141">
        <f>IFERROR(__xludf.DUMMYFUNCTION("""COMPUTED_VALUE"""),47.596346153846156)</f>
        <v>47.59634615</v>
      </c>
      <c r="Z584" s="141">
        <f>IFERROR(__xludf.DUMMYFUNCTION("""COMPUTED_VALUE"""),2551.326923076923)</f>
        <v>2551.326923</v>
      </c>
    </row>
    <row r="585">
      <c r="A585" s="41" t="str">
        <f>IFERROR(__xludf.DUMMYFUNCTION("""COMPUTED_VALUE"""),"Premier")</f>
        <v>Premier</v>
      </c>
      <c r="B585" s="41" t="str">
        <f>IFERROR(__xludf.DUMMYFUNCTION("""COMPUTED_VALUE"""),"RSC007845")</f>
        <v>RSC007845</v>
      </c>
      <c r="C585" s="41" t="str">
        <f>IFERROR(__xludf.DUMMYFUNCTION("""COMPUTED_VALUE"""),"Enchanted")</f>
        <v>Enchanted</v>
      </c>
      <c r="D585" s="41" t="str">
        <f>IFERROR(__xludf.DUMMYFUNCTION("""COMPUTED_VALUE"""),"Leviathans")</f>
        <v>Leviathans</v>
      </c>
      <c r="E585" s="136">
        <f>IFERROR(__xludf.DUMMYFUNCTION("""COMPUTED_VALUE"""),36.0)</f>
        <v>36</v>
      </c>
      <c r="F585" s="136">
        <f>IFERROR(__xludf.DUMMYFUNCTION("""COMPUTED_VALUE"""),19.0)</f>
        <v>19</v>
      </c>
      <c r="G585" s="136">
        <f>IFERROR(__xludf.DUMMYFUNCTION("""COMPUTED_VALUE"""),17.0)</f>
        <v>17</v>
      </c>
      <c r="H585" s="137">
        <f>IFERROR(__xludf.DUMMYFUNCTION("""COMPUTED_VALUE"""),0.5277777777777778)</f>
        <v>0.5277777778</v>
      </c>
      <c r="I585" s="136">
        <f>IFERROR(__xludf.DUMMYFUNCTION("""COMPUTED_VALUE"""),9.0)</f>
        <v>9</v>
      </c>
      <c r="J585" s="136">
        <f>IFERROR(__xludf.DUMMYFUNCTION("""COMPUTED_VALUE"""),16579.0)</f>
        <v>16579</v>
      </c>
      <c r="K585" s="136">
        <f>IFERROR(__xludf.DUMMYFUNCTION("""COMPUTED_VALUE"""),34.0)</f>
        <v>34</v>
      </c>
      <c r="L585" s="136">
        <f>IFERROR(__xludf.DUMMYFUNCTION("""COMPUTED_VALUE"""),30.0)</f>
        <v>30</v>
      </c>
      <c r="M585" s="136">
        <f>IFERROR(__xludf.DUMMYFUNCTION("""COMPUTED_VALUE"""),69.0)</f>
        <v>69</v>
      </c>
      <c r="N585" s="136">
        <f>IFERROR(__xludf.DUMMYFUNCTION("""COMPUTED_VALUE"""),111.0)</f>
        <v>111</v>
      </c>
      <c r="O585" s="138">
        <f>IFERROR(__xludf.DUMMYFUNCTION("""COMPUTED_VALUE"""),9.0)</f>
        <v>9</v>
      </c>
      <c r="P585" s="138">
        <f>IFERROR(__xludf.DUMMYFUNCTION("""COMPUTED_VALUE"""),1.0)</f>
        <v>1</v>
      </c>
      <c r="Q585" s="138">
        <f>IFERROR(__xludf.DUMMYFUNCTION("""COMPUTED_VALUE"""),4.0)</f>
        <v>4</v>
      </c>
      <c r="R585" s="138">
        <f>IFERROR(__xludf.DUMMYFUNCTION("""COMPUTED_VALUE"""),11.0)</f>
        <v>11</v>
      </c>
      <c r="S585" s="139">
        <f>IFERROR(__xludf.DUMMYFUNCTION("""COMPUTED_VALUE"""),344.0)</f>
        <v>344</v>
      </c>
      <c r="T585" s="140">
        <f>IFERROR(__xludf.DUMMYFUNCTION("""COMPUTED_VALUE"""),94.0)</f>
        <v>94</v>
      </c>
      <c r="U585" s="136">
        <f>IFERROR(__xludf.DUMMYFUNCTION("""COMPUTED_VALUE"""),39.0)</f>
        <v>39</v>
      </c>
      <c r="V585" s="136">
        <f>IFERROR(__xludf.DUMMYFUNCTION("""COMPUTED_VALUE"""),40.0)</f>
        <v>40</v>
      </c>
      <c r="W585" s="136">
        <f>IFERROR(__xludf.DUMMYFUNCTION("""COMPUTED_VALUE"""),35.0)</f>
        <v>35</v>
      </c>
      <c r="X585" s="136">
        <f>IFERROR(__xludf.DUMMYFUNCTION("""COMPUTED_VALUE"""),412.4166666666667)</f>
        <v>412.4166667</v>
      </c>
      <c r="Y585" s="141">
        <f>IFERROR(__xludf.DUMMYFUNCTION("""COMPUTED_VALUE"""),50.650833333333345)</f>
        <v>50.65083333</v>
      </c>
      <c r="Z585" s="141">
        <f>IFERROR(__xludf.DUMMYFUNCTION("""COMPUTED_VALUE"""),2702.277777777778)</f>
        <v>2702.277778</v>
      </c>
    </row>
    <row r="586">
      <c r="A586" s="41" t="str">
        <f>IFERROR(__xludf.DUMMYFUNCTION("""COMPUTED_VALUE"""),"Elite")</f>
        <v>Elite</v>
      </c>
      <c r="B586" s="41" t="str">
        <f>IFERROR(__xludf.DUMMYFUNCTION("""COMPUTED_VALUE"""),"RSC007846")</f>
        <v>RSC007846</v>
      </c>
      <c r="C586" s="41" t="str">
        <f>IFERROR(__xludf.DUMMYFUNCTION("""COMPUTED_VALUE"""),"Lovegreyhounds")</f>
        <v>Lovegreyhounds</v>
      </c>
      <c r="D586" s="41" t="str">
        <f>IFERROR(__xludf.DUMMYFUNCTION("""COMPUTED_VALUE"""),"Black-Holes")</f>
        <v>Black-Holes</v>
      </c>
      <c r="E586" s="136">
        <f>IFERROR(__xludf.DUMMYFUNCTION("""COMPUTED_VALUE"""),46.0)</f>
        <v>46</v>
      </c>
      <c r="F586" s="136">
        <f>IFERROR(__xludf.DUMMYFUNCTION("""COMPUTED_VALUE"""),28.0)</f>
        <v>28</v>
      </c>
      <c r="G586" s="136">
        <f>IFERROR(__xludf.DUMMYFUNCTION("""COMPUTED_VALUE"""),18.0)</f>
        <v>18</v>
      </c>
      <c r="H586" s="137">
        <f>IFERROR(__xludf.DUMMYFUNCTION("""COMPUTED_VALUE"""),0.6086956521739131)</f>
        <v>0.6086956522</v>
      </c>
      <c r="I586" s="136">
        <f>IFERROR(__xludf.DUMMYFUNCTION("""COMPUTED_VALUE"""),12.0)</f>
        <v>12</v>
      </c>
      <c r="J586" s="136">
        <f>IFERROR(__xludf.DUMMYFUNCTION("""COMPUTED_VALUE"""),18513.0)</f>
        <v>18513</v>
      </c>
      <c r="K586" s="136">
        <f>IFERROR(__xludf.DUMMYFUNCTION("""COMPUTED_VALUE"""),54.0)</f>
        <v>54</v>
      </c>
      <c r="L586" s="136">
        <f>IFERROR(__xludf.DUMMYFUNCTION("""COMPUTED_VALUE"""),21.0)</f>
        <v>21</v>
      </c>
      <c r="M586" s="136">
        <f>IFERROR(__xludf.DUMMYFUNCTION("""COMPUTED_VALUE"""),77.0)</f>
        <v>77</v>
      </c>
      <c r="N586" s="136">
        <f>IFERROR(__xludf.DUMMYFUNCTION("""COMPUTED_VALUE"""),139.0)</f>
        <v>139</v>
      </c>
      <c r="O586" s="138">
        <f>IFERROR(__xludf.DUMMYFUNCTION("""COMPUTED_VALUE"""),9.0)</f>
        <v>9</v>
      </c>
      <c r="P586" s="138">
        <f>IFERROR(__xludf.DUMMYFUNCTION("""COMPUTED_VALUE"""),7.0)</f>
        <v>7</v>
      </c>
      <c r="Q586" s="138">
        <f>IFERROR(__xludf.DUMMYFUNCTION("""COMPUTED_VALUE"""),1.0)</f>
        <v>1</v>
      </c>
      <c r="R586" s="138">
        <f>IFERROR(__xludf.DUMMYFUNCTION("""COMPUTED_VALUE"""),11.0)</f>
        <v>11</v>
      </c>
      <c r="S586" s="139">
        <f>IFERROR(__xludf.DUMMYFUNCTION("""COMPUTED_VALUE"""),365.0)</f>
        <v>365</v>
      </c>
      <c r="T586" s="140">
        <f>IFERROR(__xludf.DUMMYFUNCTION("""COMPUTED_VALUE"""),111.0)</f>
        <v>111</v>
      </c>
      <c r="U586" s="136">
        <f>IFERROR(__xludf.DUMMYFUNCTION("""COMPUTED_VALUE"""),39.0)</f>
        <v>39</v>
      </c>
      <c r="V586" s="136">
        <f>IFERROR(__xludf.DUMMYFUNCTION("""COMPUTED_VALUE"""),71.0)</f>
        <v>71</v>
      </c>
      <c r="W586" s="136">
        <f>IFERROR(__xludf.DUMMYFUNCTION("""COMPUTED_VALUE"""),53.0)</f>
        <v>53</v>
      </c>
      <c r="X586" s="136">
        <f>IFERROR(__xludf.DUMMYFUNCTION("""COMPUTED_VALUE"""),369.3695652173913)</f>
        <v>369.3695652</v>
      </c>
      <c r="Y586" s="141">
        <f>IFERROR(__xludf.DUMMYFUNCTION("""COMPUTED_VALUE"""),54.678478260869575)</f>
        <v>54.67847826</v>
      </c>
      <c r="Z586" s="141">
        <f>IFERROR(__xludf.DUMMYFUNCTION("""COMPUTED_VALUE"""),2332.8695652173915)</f>
        <v>2332.869565</v>
      </c>
    </row>
    <row r="587">
      <c r="A587" s="41" t="str">
        <f>IFERROR(__xludf.DUMMYFUNCTION("""COMPUTED_VALUE"""),"Veteran")</f>
        <v>Veteran</v>
      </c>
      <c r="B587" s="41" t="str">
        <f>IFERROR(__xludf.DUMMYFUNCTION("""COMPUTED_VALUE"""),"RSC007850")</f>
        <v>RSC007850</v>
      </c>
      <c r="C587" s="41" t="str">
        <f>IFERROR(__xludf.DUMMYFUNCTION("""COMPUTED_VALUE"""),"harp NO boost")</f>
        <v>harp NO boost</v>
      </c>
      <c r="D587" s="41" t="str">
        <f>IFERROR(__xludf.DUMMYFUNCTION("""COMPUTED_VALUE"""),"Cannoli")</f>
        <v>Cannoli</v>
      </c>
      <c r="E587" s="136">
        <f>IFERROR(__xludf.DUMMYFUNCTION("""COMPUTED_VALUE"""),52.0)</f>
        <v>52</v>
      </c>
      <c r="F587" s="136">
        <f>IFERROR(__xludf.DUMMYFUNCTION("""COMPUTED_VALUE"""),24.0)</f>
        <v>24</v>
      </c>
      <c r="G587" s="136">
        <f>IFERROR(__xludf.DUMMYFUNCTION("""COMPUTED_VALUE"""),28.0)</f>
        <v>28</v>
      </c>
      <c r="H587" s="137">
        <f>IFERROR(__xludf.DUMMYFUNCTION("""COMPUTED_VALUE"""),0.46153846153846156)</f>
        <v>0.4615384615</v>
      </c>
      <c r="I587" s="136">
        <f>IFERROR(__xludf.DUMMYFUNCTION("""COMPUTED_VALUE"""),7.0)</f>
        <v>7</v>
      </c>
      <c r="J587" s="136">
        <f>IFERROR(__xludf.DUMMYFUNCTION("""COMPUTED_VALUE"""),18531.0)</f>
        <v>18531</v>
      </c>
      <c r="K587" s="136">
        <f>IFERROR(__xludf.DUMMYFUNCTION("""COMPUTED_VALUE"""),40.0)</f>
        <v>40</v>
      </c>
      <c r="L587" s="136">
        <f>IFERROR(__xludf.DUMMYFUNCTION("""COMPUTED_VALUE"""),35.0)</f>
        <v>35</v>
      </c>
      <c r="M587" s="136">
        <f>IFERROR(__xludf.DUMMYFUNCTION("""COMPUTED_VALUE"""),69.0)</f>
        <v>69</v>
      </c>
      <c r="N587" s="136">
        <f>IFERROR(__xludf.DUMMYFUNCTION("""COMPUTED_VALUE"""),106.0)</f>
        <v>106</v>
      </c>
      <c r="O587" s="138">
        <f>IFERROR(__xludf.DUMMYFUNCTION("""COMPUTED_VALUE"""),8.0)</f>
        <v>8</v>
      </c>
      <c r="P587" s="138">
        <f>IFERROR(__xludf.DUMMYFUNCTION("""COMPUTED_VALUE"""),2.0)</f>
        <v>2</v>
      </c>
      <c r="Q587" s="138">
        <f>IFERROR(__xludf.DUMMYFUNCTION("""COMPUTED_VALUE"""),1.0)</f>
        <v>1</v>
      </c>
      <c r="R587" s="138">
        <f>IFERROR(__xludf.DUMMYFUNCTION("""COMPUTED_VALUE"""),6.0)</f>
        <v>6</v>
      </c>
      <c r="S587" s="139">
        <f>IFERROR(__xludf.DUMMYFUNCTION("""COMPUTED_VALUE"""),446.0)</f>
        <v>446</v>
      </c>
      <c r="T587" s="140">
        <f>IFERROR(__xludf.DUMMYFUNCTION("""COMPUTED_VALUE"""),147.0)</f>
        <v>147</v>
      </c>
      <c r="U587" s="136">
        <f>IFERROR(__xludf.DUMMYFUNCTION("""COMPUTED_VALUE"""),54.0)</f>
        <v>54</v>
      </c>
      <c r="V587" s="136">
        <f>IFERROR(__xludf.DUMMYFUNCTION("""COMPUTED_VALUE"""),51.0)</f>
        <v>51</v>
      </c>
      <c r="W587" s="136">
        <f>IFERROR(__xludf.DUMMYFUNCTION("""COMPUTED_VALUE"""),51.0)</f>
        <v>51</v>
      </c>
      <c r="X587" s="136">
        <f>IFERROR(__xludf.DUMMYFUNCTION("""COMPUTED_VALUE"""),435.84615384615387)</f>
        <v>435.8461538</v>
      </c>
      <c r="Y587" s="141">
        <f>IFERROR(__xludf.DUMMYFUNCTION("""COMPUTED_VALUE"""),40.822307692307696)</f>
        <v>40.82230769</v>
      </c>
      <c r="Z587" s="141">
        <f>IFERROR(__xludf.DUMMYFUNCTION("""COMPUTED_VALUE"""),2598.730769230769)</f>
        <v>2598.730769</v>
      </c>
    </row>
    <row r="588">
      <c r="A588" s="41" t="str">
        <f>IFERROR(__xludf.DUMMYFUNCTION("""COMPUTED_VALUE"""),"Amateur")</f>
        <v>Amateur</v>
      </c>
      <c r="B588" s="41" t="str">
        <f>IFERROR(__xludf.DUMMYFUNCTION("""COMPUTED_VALUE"""),"RSC007852")</f>
        <v>RSC007852</v>
      </c>
      <c r="C588" s="41" t="str">
        <f>IFERROR(__xludf.DUMMYFUNCTION("""COMPUTED_VALUE"""),"Medicmac121")</f>
        <v>Medicmac121</v>
      </c>
      <c r="D588" s="41" t="str">
        <f>IFERROR(__xludf.DUMMYFUNCTION("""COMPUTED_VALUE"""),"Garlic Knots")</f>
        <v>Garlic Knots</v>
      </c>
      <c r="E588" s="136">
        <f>IFERROR(__xludf.DUMMYFUNCTION("""COMPUTED_VALUE"""),44.0)</f>
        <v>44</v>
      </c>
      <c r="F588" s="136">
        <f>IFERROR(__xludf.DUMMYFUNCTION("""COMPUTED_VALUE"""),20.0)</f>
        <v>20</v>
      </c>
      <c r="G588" s="136">
        <f>IFERROR(__xludf.DUMMYFUNCTION("""COMPUTED_VALUE"""),24.0)</f>
        <v>24</v>
      </c>
      <c r="H588" s="137">
        <f>IFERROR(__xludf.DUMMYFUNCTION("""COMPUTED_VALUE"""),0.45454545454545453)</f>
        <v>0.4545454545</v>
      </c>
      <c r="I588" s="136">
        <f>IFERROR(__xludf.DUMMYFUNCTION("""COMPUTED_VALUE"""),5.0)</f>
        <v>5</v>
      </c>
      <c r="J588" s="136">
        <f>IFERROR(__xludf.DUMMYFUNCTION("""COMPUTED_VALUE"""),13777.0)</f>
        <v>13777</v>
      </c>
      <c r="K588" s="136">
        <f>IFERROR(__xludf.DUMMYFUNCTION("""COMPUTED_VALUE"""),37.0)</f>
        <v>37</v>
      </c>
      <c r="L588" s="136">
        <f>IFERROR(__xludf.DUMMYFUNCTION("""COMPUTED_VALUE"""),19.0)</f>
        <v>19</v>
      </c>
      <c r="M588" s="136">
        <f>IFERROR(__xludf.DUMMYFUNCTION("""COMPUTED_VALUE"""),32.0)</f>
        <v>32</v>
      </c>
      <c r="N588" s="136">
        <f>IFERROR(__xludf.DUMMYFUNCTION("""COMPUTED_VALUE"""),120.0)</f>
        <v>120</v>
      </c>
      <c r="O588" s="138">
        <f>IFERROR(__xludf.DUMMYFUNCTION("""COMPUTED_VALUE"""),5.0)</f>
        <v>5</v>
      </c>
      <c r="P588" s="138">
        <f>IFERROR(__xludf.DUMMYFUNCTION("""COMPUTED_VALUE"""),3.0)</f>
        <v>3</v>
      </c>
      <c r="Q588" s="138">
        <f>IFERROR(__xludf.DUMMYFUNCTION("""COMPUTED_VALUE"""),0.0)</f>
        <v>0</v>
      </c>
      <c r="R588" s="138">
        <f>IFERROR(__xludf.DUMMYFUNCTION("""COMPUTED_VALUE"""),3.0)</f>
        <v>3</v>
      </c>
      <c r="S588" s="139">
        <f>IFERROR(__xludf.DUMMYFUNCTION("""COMPUTED_VALUE"""),271.0)</f>
        <v>271</v>
      </c>
      <c r="T588" s="140">
        <f>IFERROR(__xludf.DUMMYFUNCTION("""COMPUTED_VALUE"""),107.0)</f>
        <v>107</v>
      </c>
      <c r="U588" s="136">
        <f>IFERROR(__xludf.DUMMYFUNCTION("""COMPUTED_VALUE"""),36.0)</f>
        <v>36</v>
      </c>
      <c r="V588" s="136">
        <f>IFERROR(__xludf.DUMMYFUNCTION("""COMPUTED_VALUE"""),59.0)</f>
        <v>59</v>
      </c>
      <c r="W588" s="136">
        <f>IFERROR(__xludf.DUMMYFUNCTION("""COMPUTED_VALUE"""),26.0)</f>
        <v>26</v>
      </c>
      <c r="X588" s="139">
        <f>IFERROR(__xludf.DUMMYFUNCTION("""COMPUTED_VALUE"""),452.25)</f>
        <v>452.25</v>
      </c>
      <c r="Y588" s="141">
        <f>IFERROR(__xludf.DUMMYFUNCTION("""COMPUTED_VALUE"""),47.72772727272727)</f>
        <v>47.72772727</v>
      </c>
      <c r="Z588" s="141">
        <f>IFERROR(__xludf.DUMMYFUNCTION("""COMPUTED_VALUE"""),2694.1136363636365)</f>
        <v>2694.113636</v>
      </c>
    </row>
    <row r="589">
      <c r="A589" s="41" t="str">
        <f>IFERROR(__xludf.DUMMYFUNCTION("""COMPUTED_VALUE"""),"Elite")</f>
        <v>Elite</v>
      </c>
      <c r="B589" s="41" t="str">
        <f>IFERROR(__xludf.DUMMYFUNCTION("""COMPUTED_VALUE"""),"RSC007855")</f>
        <v>RSC007855</v>
      </c>
      <c r="C589" s="41" t="str">
        <f>IFERROR(__xludf.DUMMYFUNCTION("""COMPUTED_VALUE"""),"Dub_Dill")</f>
        <v>Dub_Dill</v>
      </c>
      <c r="D589" s="41" t="str">
        <f>IFERROR(__xludf.DUMMYFUNCTION("""COMPUTED_VALUE"""),"Praetorian Guard
Afterburners")</f>
        <v>Praetorian Guard
Afterburners</v>
      </c>
      <c r="E589" s="136">
        <f>IFERROR(__xludf.DUMMYFUNCTION("""COMPUTED_VALUE"""),37.0)</f>
        <v>37</v>
      </c>
      <c r="F589" s="136">
        <f>IFERROR(__xludf.DUMMYFUNCTION("""COMPUTED_VALUE"""),17.0)</f>
        <v>17</v>
      </c>
      <c r="G589" s="136">
        <f>IFERROR(__xludf.DUMMYFUNCTION("""COMPUTED_VALUE"""),20.0)</f>
        <v>20</v>
      </c>
      <c r="H589" s="137">
        <f>IFERROR(__xludf.DUMMYFUNCTION("""COMPUTED_VALUE"""),0.4594594594594595)</f>
        <v>0.4594594595</v>
      </c>
      <c r="I589" s="136">
        <f>IFERROR(__xludf.DUMMYFUNCTION("""COMPUTED_VALUE"""),6.0)</f>
        <v>6</v>
      </c>
      <c r="J589" s="136">
        <f>IFERROR(__xludf.DUMMYFUNCTION("""COMPUTED_VALUE"""),12681.0)</f>
        <v>12681</v>
      </c>
      <c r="K589" s="136">
        <f>IFERROR(__xludf.DUMMYFUNCTION("""COMPUTED_VALUE"""),29.0)</f>
        <v>29</v>
      </c>
      <c r="L589" s="136">
        <f>IFERROR(__xludf.DUMMYFUNCTION("""COMPUTED_VALUE"""),21.0)</f>
        <v>21</v>
      </c>
      <c r="M589" s="136">
        <f>IFERROR(__xludf.DUMMYFUNCTION("""COMPUTED_VALUE"""),44.0)</f>
        <v>44</v>
      </c>
      <c r="N589" s="136">
        <f>IFERROR(__xludf.DUMMYFUNCTION("""COMPUTED_VALUE"""),97.0)</f>
        <v>97</v>
      </c>
      <c r="O589" s="138">
        <f>IFERROR(__xludf.DUMMYFUNCTION("""COMPUTED_VALUE"""),6.0)</f>
        <v>6</v>
      </c>
      <c r="P589" s="138">
        <f>IFERROR(__xludf.DUMMYFUNCTION("""COMPUTED_VALUE"""),2.0)</f>
        <v>2</v>
      </c>
      <c r="Q589" s="138">
        <f>IFERROR(__xludf.DUMMYFUNCTION("""COMPUTED_VALUE"""),2.0)</f>
        <v>2</v>
      </c>
      <c r="R589" s="138">
        <f>IFERROR(__xludf.DUMMYFUNCTION("""COMPUTED_VALUE"""),6.0)</f>
        <v>6</v>
      </c>
      <c r="S589" s="139">
        <f>IFERROR(__xludf.DUMMYFUNCTION("""COMPUTED_VALUE"""),311.0)</f>
        <v>311</v>
      </c>
      <c r="T589" s="140">
        <f>IFERROR(__xludf.DUMMYFUNCTION("""COMPUTED_VALUE"""),100.0)</f>
        <v>100</v>
      </c>
      <c r="U589" s="136">
        <f>IFERROR(__xludf.DUMMYFUNCTION("""COMPUTED_VALUE"""),34.0)</f>
        <v>34</v>
      </c>
      <c r="V589" s="136">
        <f>IFERROR(__xludf.DUMMYFUNCTION("""COMPUTED_VALUE"""),36.0)</f>
        <v>36</v>
      </c>
      <c r="W589" s="136">
        <f>IFERROR(__xludf.DUMMYFUNCTION("""COMPUTED_VALUE"""),53.0)</f>
        <v>53</v>
      </c>
      <c r="X589" s="136">
        <f>IFERROR(__xludf.DUMMYFUNCTION("""COMPUTED_VALUE"""),391.18918918918916)</f>
        <v>391.1891892</v>
      </c>
      <c r="Y589" s="141">
        <f>IFERROR(__xludf.DUMMYFUNCTION("""COMPUTED_VALUE"""),52.51702702702702)</f>
        <v>52.51702703</v>
      </c>
      <c r="Z589" s="141">
        <f>IFERROR(__xludf.DUMMYFUNCTION("""COMPUTED_VALUE"""),2396.7837837837837)</f>
        <v>2396.783784</v>
      </c>
    </row>
    <row r="590">
      <c r="A590" s="41" t="str">
        <f>IFERROR(__xludf.DUMMYFUNCTION("""COMPUTED_VALUE"""),"Veteran")</f>
        <v>Veteran</v>
      </c>
      <c r="B590" s="41" t="str">
        <f>IFERROR(__xludf.DUMMYFUNCTION("""COMPUTED_VALUE"""),"RSC007856")</f>
        <v>RSC007856</v>
      </c>
      <c r="C590" s="41" t="str">
        <f>IFERROR(__xludf.DUMMYFUNCTION("""COMPUTED_VALUE"""),"Captain Daddy")</f>
        <v>Captain Daddy</v>
      </c>
      <c r="D590" s="41" t="str">
        <f>IFERROR(__xludf.DUMMYFUNCTION("""COMPUTED_VALUE"""),"Lycans")</f>
        <v>Lycans</v>
      </c>
      <c r="E590" s="136">
        <f>IFERROR(__xludf.DUMMYFUNCTION("""COMPUTED_VALUE"""),54.0)</f>
        <v>54</v>
      </c>
      <c r="F590" s="136">
        <f>IFERROR(__xludf.DUMMYFUNCTION("""COMPUTED_VALUE"""),35.0)</f>
        <v>35</v>
      </c>
      <c r="G590" s="136">
        <f>IFERROR(__xludf.DUMMYFUNCTION("""COMPUTED_VALUE"""),19.0)</f>
        <v>19</v>
      </c>
      <c r="H590" s="137">
        <f>IFERROR(__xludf.DUMMYFUNCTION("""COMPUTED_VALUE"""),0.6481481481481481)</f>
        <v>0.6481481481</v>
      </c>
      <c r="I590" s="136">
        <f>IFERROR(__xludf.DUMMYFUNCTION("""COMPUTED_VALUE"""),15.0)</f>
        <v>15</v>
      </c>
      <c r="J590" s="136">
        <f>IFERROR(__xludf.DUMMYFUNCTION("""COMPUTED_VALUE"""),22141.0)</f>
        <v>22141</v>
      </c>
      <c r="K590" s="136">
        <f>IFERROR(__xludf.DUMMYFUNCTION("""COMPUTED_VALUE"""),56.0)</f>
        <v>56</v>
      </c>
      <c r="L590" s="136">
        <f>IFERROR(__xludf.DUMMYFUNCTION("""COMPUTED_VALUE"""),41.0)</f>
        <v>41</v>
      </c>
      <c r="M590" s="136">
        <f>IFERROR(__xludf.DUMMYFUNCTION("""COMPUTED_VALUE"""),78.0)</f>
        <v>78</v>
      </c>
      <c r="N590" s="136">
        <f>IFERROR(__xludf.DUMMYFUNCTION("""COMPUTED_VALUE"""),158.0)</f>
        <v>158</v>
      </c>
      <c r="O590" s="138">
        <f>IFERROR(__xludf.DUMMYFUNCTION("""COMPUTED_VALUE"""),19.0)</f>
        <v>19</v>
      </c>
      <c r="P590" s="138">
        <f>IFERROR(__xludf.DUMMYFUNCTION("""COMPUTED_VALUE"""),2.0)</f>
        <v>2</v>
      </c>
      <c r="Q590" s="138">
        <f>IFERROR(__xludf.DUMMYFUNCTION("""COMPUTED_VALUE"""),2.0)</f>
        <v>2</v>
      </c>
      <c r="R590" s="138">
        <f>IFERROR(__xludf.DUMMYFUNCTION("""COMPUTED_VALUE"""),12.0)</f>
        <v>12</v>
      </c>
      <c r="S590" s="139">
        <f>IFERROR(__xludf.DUMMYFUNCTION("""COMPUTED_VALUE"""),368.0)</f>
        <v>368</v>
      </c>
      <c r="T590" s="140">
        <f>IFERROR(__xludf.DUMMYFUNCTION("""COMPUTED_VALUE"""),103.0)</f>
        <v>103</v>
      </c>
      <c r="U590" s="136">
        <f>IFERROR(__xludf.DUMMYFUNCTION("""COMPUTED_VALUE"""),30.0)</f>
        <v>30</v>
      </c>
      <c r="V590" s="136">
        <f>IFERROR(__xludf.DUMMYFUNCTION("""COMPUTED_VALUE"""),93.0)</f>
        <v>93</v>
      </c>
      <c r="W590" s="136">
        <f>IFERROR(__xludf.DUMMYFUNCTION("""COMPUTED_VALUE"""),65.0)</f>
        <v>65</v>
      </c>
      <c r="X590" s="136">
        <f>IFERROR(__xludf.DUMMYFUNCTION("""COMPUTED_VALUE"""),425.75925925925924)</f>
        <v>425.7592593</v>
      </c>
      <c r="Y590" s="141">
        <f>IFERROR(__xludf.DUMMYFUNCTION("""COMPUTED_VALUE"""),47.98925925925926)</f>
        <v>47.98925926</v>
      </c>
      <c r="Z590" s="141">
        <f>IFERROR(__xludf.DUMMYFUNCTION("""COMPUTED_VALUE"""),2510.3703703703704)</f>
        <v>2510.37037</v>
      </c>
    </row>
    <row r="591">
      <c r="A591" s="41" t="str">
        <f>IFERROR(__xludf.DUMMYFUNCTION("""COMPUTED_VALUE"""),"Veteran")</f>
        <v>Veteran</v>
      </c>
      <c r="B591" s="41" t="str">
        <f>IFERROR(__xludf.DUMMYFUNCTION("""COMPUTED_VALUE"""),"RSC007861")</f>
        <v>RSC007861</v>
      </c>
      <c r="C591" s="41" t="str">
        <f>IFERROR(__xludf.DUMMYFUNCTION("""COMPUTED_VALUE"""),"xmanyaknow")</f>
        <v>xmanyaknow</v>
      </c>
      <c r="D591" s="41" t="str">
        <f>IFERROR(__xludf.DUMMYFUNCTION("""COMPUTED_VALUE"""),"Sons of Ares")</f>
        <v>Sons of Ares</v>
      </c>
      <c r="E591" s="136">
        <f>IFERROR(__xludf.DUMMYFUNCTION("""COMPUTED_VALUE"""),10.0)</f>
        <v>10</v>
      </c>
      <c r="F591" s="136">
        <f>IFERROR(__xludf.DUMMYFUNCTION("""COMPUTED_VALUE"""),4.0)</f>
        <v>4</v>
      </c>
      <c r="G591" s="136">
        <f>IFERROR(__xludf.DUMMYFUNCTION("""COMPUTED_VALUE"""),6.0)</f>
        <v>6</v>
      </c>
      <c r="H591" s="137">
        <f>IFERROR(__xludf.DUMMYFUNCTION("""COMPUTED_VALUE"""),0.4)</f>
        <v>0.4</v>
      </c>
      <c r="I591" s="136">
        <f>IFERROR(__xludf.DUMMYFUNCTION("""COMPUTED_VALUE"""),1.0)</f>
        <v>1</v>
      </c>
      <c r="J591" s="136">
        <f>IFERROR(__xludf.DUMMYFUNCTION("""COMPUTED_VALUE"""),2992.0)</f>
        <v>2992</v>
      </c>
      <c r="K591" s="136">
        <f>IFERROR(__xludf.DUMMYFUNCTION("""COMPUTED_VALUE"""),5.0)</f>
        <v>5</v>
      </c>
      <c r="L591" s="136">
        <f>IFERROR(__xludf.DUMMYFUNCTION("""COMPUTED_VALUE"""),8.0)</f>
        <v>8</v>
      </c>
      <c r="M591" s="136">
        <f>IFERROR(__xludf.DUMMYFUNCTION("""COMPUTED_VALUE"""),11.0)</f>
        <v>11</v>
      </c>
      <c r="N591" s="136">
        <f>IFERROR(__xludf.DUMMYFUNCTION("""COMPUTED_VALUE"""),20.0)</f>
        <v>20</v>
      </c>
      <c r="O591" s="138">
        <f>IFERROR(__xludf.DUMMYFUNCTION("""COMPUTED_VALUE"""),2.0)</f>
        <v>2</v>
      </c>
      <c r="P591" s="138">
        <f>IFERROR(__xludf.DUMMYFUNCTION("""COMPUTED_VALUE"""),0.0)</f>
        <v>0</v>
      </c>
      <c r="Q591" s="138">
        <f>IFERROR(__xludf.DUMMYFUNCTION("""COMPUTED_VALUE"""),1.0)</f>
        <v>1</v>
      </c>
      <c r="R591" s="138">
        <f>IFERROR(__xludf.DUMMYFUNCTION("""COMPUTED_VALUE"""),1.0)</f>
        <v>1</v>
      </c>
      <c r="S591" s="139">
        <f>IFERROR(__xludf.DUMMYFUNCTION("""COMPUTED_VALUE"""),87.0)</f>
        <v>87</v>
      </c>
      <c r="T591" s="140">
        <f>IFERROR(__xludf.DUMMYFUNCTION("""COMPUTED_VALUE"""),32.0)</f>
        <v>32</v>
      </c>
      <c r="U591" s="136">
        <f>IFERROR(__xludf.DUMMYFUNCTION("""COMPUTED_VALUE"""),8.0)</f>
        <v>8</v>
      </c>
      <c r="V591" s="136">
        <f>IFERROR(__xludf.DUMMYFUNCTION("""COMPUTED_VALUE"""),9.0)</f>
        <v>9</v>
      </c>
      <c r="W591" s="136">
        <f>IFERROR(__xludf.DUMMYFUNCTION("""COMPUTED_VALUE"""),18.0)</f>
        <v>18</v>
      </c>
      <c r="X591" s="136">
        <f>IFERROR(__xludf.DUMMYFUNCTION("""COMPUTED_VALUE"""),384.3)</f>
        <v>384.3</v>
      </c>
      <c r="Y591" s="141">
        <f>IFERROR(__xludf.DUMMYFUNCTION("""COMPUTED_VALUE"""),45.486000000000004)</f>
        <v>45.486</v>
      </c>
      <c r="Z591" s="141">
        <f>IFERROR(__xludf.DUMMYFUNCTION("""COMPUTED_VALUE"""),2417.4)</f>
        <v>2417.4</v>
      </c>
    </row>
    <row r="592">
      <c r="A592" s="41" t="str">
        <f>IFERROR(__xludf.DUMMYFUNCTION("""COMPUTED_VALUE"""),"Challenger")</f>
        <v>Challenger</v>
      </c>
      <c r="B592" s="41" t="str">
        <f>IFERROR(__xludf.DUMMYFUNCTION("""COMPUTED_VALUE"""),"RSC007865")</f>
        <v>RSC007865</v>
      </c>
      <c r="C592" s="41" t="str">
        <f>IFERROR(__xludf.DUMMYFUNCTION("""COMPUTED_VALUE"""),"StoveMessiah")</f>
        <v>StoveMessiah</v>
      </c>
      <c r="D592" s="41" t="str">
        <f>IFERROR(__xludf.DUMMYFUNCTION("""COMPUTED_VALUE"""),"Stingrays")</f>
        <v>Stingrays</v>
      </c>
      <c r="E592" s="136">
        <f>IFERROR(__xludf.DUMMYFUNCTION("""COMPUTED_VALUE"""),54.0)</f>
        <v>54</v>
      </c>
      <c r="F592" s="136">
        <f>IFERROR(__xludf.DUMMYFUNCTION("""COMPUTED_VALUE"""),29.0)</f>
        <v>29</v>
      </c>
      <c r="G592" s="136">
        <f>IFERROR(__xludf.DUMMYFUNCTION("""COMPUTED_VALUE"""),25.0)</f>
        <v>25</v>
      </c>
      <c r="H592" s="137">
        <f>IFERROR(__xludf.DUMMYFUNCTION("""COMPUTED_VALUE"""),0.5370370370370371)</f>
        <v>0.537037037</v>
      </c>
      <c r="I592" s="136">
        <f>IFERROR(__xludf.DUMMYFUNCTION("""COMPUTED_VALUE"""),9.0)</f>
        <v>9</v>
      </c>
      <c r="J592" s="136">
        <f>IFERROR(__xludf.DUMMYFUNCTION("""COMPUTED_VALUE"""),19976.0)</f>
        <v>19976</v>
      </c>
      <c r="K592" s="136">
        <f>IFERROR(__xludf.DUMMYFUNCTION("""COMPUTED_VALUE"""),54.0)</f>
        <v>54</v>
      </c>
      <c r="L592" s="136">
        <f>IFERROR(__xludf.DUMMYFUNCTION("""COMPUTED_VALUE"""),37.0)</f>
        <v>37</v>
      </c>
      <c r="M592" s="136">
        <f>IFERROR(__xludf.DUMMYFUNCTION("""COMPUTED_VALUE"""),65.0)</f>
        <v>65</v>
      </c>
      <c r="N592" s="136">
        <f>IFERROR(__xludf.DUMMYFUNCTION("""COMPUTED_VALUE"""),142.0)</f>
        <v>142</v>
      </c>
      <c r="O592" s="138">
        <f>IFERROR(__xludf.DUMMYFUNCTION("""COMPUTED_VALUE"""),11.0)</f>
        <v>11</v>
      </c>
      <c r="P592" s="138">
        <f>IFERROR(__xludf.DUMMYFUNCTION("""COMPUTED_VALUE"""),5.0)</f>
        <v>5</v>
      </c>
      <c r="Q592" s="138">
        <f>IFERROR(__xludf.DUMMYFUNCTION("""COMPUTED_VALUE"""),0.0)</f>
        <v>0</v>
      </c>
      <c r="R592" s="138">
        <f>IFERROR(__xludf.DUMMYFUNCTION("""COMPUTED_VALUE"""),6.0)</f>
        <v>6</v>
      </c>
      <c r="S592" s="139">
        <f>IFERROR(__xludf.DUMMYFUNCTION("""COMPUTED_VALUE"""),399.0)</f>
        <v>399</v>
      </c>
      <c r="T592" s="140">
        <f>IFERROR(__xludf.DUMMYFUNCTION("""COMPUTED_VALUE"""),138.0)</f>
        <v>138</v>
      </c>
      <c r="U592" s="136">
        <f>IFERROR(__xludf.DUMMYFUNCTION("""COMPUTED_VALUE"""),46.0)</f>
        <v>46</v>
      </c>
      <c r="V592" s="136">
        <f>IFERROR(__xludf.DUMMYFUNCTION("""COMPUTED_VALUE"""),35.0)</f>
        <v>35</v>
      </c>
      <c r="W592" s="136">
        <f>IFERROR(__xludf.DUMMYFUNCTION("""COMPUTED_VALUE"""),43.0)</f>
        <v>43</v>
      </c>
      <c r="X592" s="136">
        <f>IFERROR(__xludf.DUMMYFUNCTION("""COMPUTED_VALUE"""),332.05555555555554)</f>
        <v>332.0555556</v>
      </c>
      <c r="Y592" s="141">
        <f>IFERROR(__xludf.DUMMYFUNCTION("""COMPUTED_VALUE"""),48.056296296296296)</f>
        <v>48.0562963</v>
      </c>
      <c r="Z592" s="141">
        <f>IFERROR(__xludf.DUMMYFUNCTION("""COMPUTED_VALUE"""),2005.2222222222222)</f>
        <v>2005.222222</v>
      </c>
    </row>
    <row r="593">
      <c r="A593" s="41" t="str">
        <f>IFERROR(__xludf.DUMMYFUNCTION("""COMPUTED_VALUE"""),"Challenger")</f>
        <v>Challenger</v>
      </c>
      <c r="B593" s="41" t="str">
        <f>IFERROR(__xludf.DUMMYFUNCTION("""COMPUTED_VALUE"""),"RSC007866")</f>
        <v>RSC007866</v>
      </c>
      <c r="C593" s="41" t="str">
        <f>IFERROR(__xludf.DUMMYFUNCTION("""COMPUTED_VALUE"""),"Swzyy GN")</f>
        <v>Swzyy GN</v>
      </c>
      <c r="D593" s="41" t="str">
        <f>IFERROR(__xludf.DUMMYFUNCTION("""COMPUTED_VALUE"""),"Metal")</f>
        <v>Metal</v>
      </c>
      <c r="E593" s="136">
        <f>IFERROR(__xludf.DUMMYFUNCTION("""COMPUTED_VALUE"""),45.0)</f>
        <v>45</v>
      </c>
      <c r="F593" s="136">
        <f>IFERROR(__xludf.DUMMYFUNCTION("""COMPUTED_VALUE"""),18.0)</f>
        <v>18</v>
      </c>
      <c r="G593" s="136">
        <f>IFERROR(__xludf.DUMMYFUNCTION("""COMPUTED_VALUE"""),27.0)</f>
        <v>27</v>
      </c>
      <c r="H593" s="137">
        <f>IFERROR(__xludf.DUMMYFUNCTION("""COMPUTED_VALUE"""),0.4)</f>
        <v>0.4</v>
      </c>
      <c r="I593" s="136">
        <f>IFERROR(__xludf.DUMMYFUNCTION("""COMPUTED_VALUE"""),6.0)</f>
        <v>6</v>
      </c>
      <c r="J593" s="136">
        <f>IFERROR(__xludf.DUMMYFUNCTION("""COMPUTED_VALUE"""),15255.0)</f>
        <v>15255</v>
      </c>
      <c r="K593" s="136">
        <f>IFERROR(__xludf.DUMMYFUNCTION("""COMPUTED_VALUE"""),24.0)</f>
        <v>24</v>
      </c>
      <c r="L593" s="136">
        <f>IFERROR(__xludf.DUMMYFUNCTION("""COMPUTED_VALUE"""),22.0)</f>
        <v>22</v>
      </c>
      <c r="M593" s="136">
        <f>IFERROR(__xludf.DUMMYFUNCTION("""COMPUTED_VALUE"""),66.0)</f>
        <v>66</v>
      </c>
      <c r="N593" s="136">
        <f>IFERROR(__xludf.DUMMYFUNCTION("""COMPUTED_VALUE"""),112.0)</f>
        <v>112</v>
      </c>
      <c r="O593" s="138">
        <f>IFERROR(__xludf.DUMMYFUNCTION("""COMPUTED_VALUE"""),8.0)</f>
        <v>8</v>
      </c>
      <c r="P593" s="138">
        <f>IFERROR(__xludf.DUMMYFUNCTION("""COMPUTED_VALUE"""),1.0)</f>
        <v>1</v>
      </c>
      <c r="Q593" s="138">
        <f>IFERROR(__xludf.DUMMYFUNCTION("""COMPUTED_VALUE"""),2.0)</f>
        <v>2</v>
      </c>
      <c r="R593" s="138">
        <f>IFERROR(__xludf.DUMMYFUNCTION("""COMPUTED_VALUE"""),10.0)</f>
        <v>10</v>
      </c>
      <c r="S593" s="139">
        <f>IFERROR(__xludf.DUMMYFUNCTION("""COMPUTED_VALUE"""),341.0)</f>
        <v>341</v>
      </c>
      <c r="T593" s="140">
        <f>IFERROR(__xludf.DUMMYFUNCTION("""COMPUTED_VALUE"""),121.0)</f>
        <v>121</v>
      </c>
      <c r="U593" s="136">
        <f>IFERROR(__xludf.DUMMYFUNCTION("""COMPUTED_VALUE"""),38.0)</f>
        <v>38</v>
      </c>
      <c r="V593" s="136">
        <f>IFERROR(__xludf.DUMMYFUNCTION("""COMPUTED_VALUE"""),24.0)</f>
        <v>24</v>
      </c>
      <c r="W593" s="136">
        <f>IFERROR(__xludf.DUMMYFUNCTION("""COMPUTED_VALUE"""),26.0)</f>
        <v>26</v>
      </c>
      <c r="X593" s="136">
        <f>IFERROR(__xludf.DUMMYFUNCTION("""COMPUTED_VALUE"""),368.84444444444443)</f>
        <v>368.8444444</v>
      </c>
      <c r="Y593" s="141">
        <f>IFERROR(__xludf.DUMMYFUNCTION("""COMPUTED_VALUE"""),51.66555555555554)</f>
        <v>51.66555556</v>
      </c>
      <c r="Z593" s="141">
        <f>IFERROR(__xludf.DUMMYFUNCTION("""COMPUTED_VALUE"""),2237.911111111111)</f>
        <v>2237.911111</v>
      </c>
    </row>
    <row r="594">
      <c r="A594" s="41" t="str">
        <f>IFERROR(__xludf.DUMMYFUNCTION("""COMPUTED_VALUE"""),"Master")</f>
        <v>Master</v>
      </c>
      <c r="B594" s="41" t="str">
        <f>IFERROR(__xludf.DUMMYFUNCTION("""COMPUTED_VALUE"""),"RSC007868")</f>
        <v>RSC007868</v>
      </c>
      <c r="C594" s="41" t="str">
        <f>IFERROR(__xludf.DUMMYFUNCTION("""COMPUTED_VALUE"""),"(Jay)")</f>
        <v>(Jay)</v>
      </c>
      <c r="D594" s="41" t="str">
        <f>IFERROR(__xludf.DUMMYFUNCTION("""COMPUTED_VALUE"""),"Andromeda
Reapers
Battle Masters")</f>
        <v>Andromeda
Reapers
Battle Masters</v>
      </c>
      <c r="E594" s="136">
        <f>IFERROR(__xludf.DUMMYFUNCTION("""COMPUTED_VALUE"""),28.0)</f>
        <v>28</v>
      </c>
      <c r="F594" s="136">
        <f>IFERROR(__xludf.DUMMYFUNCTION("""COMPUTED_VALUE"""),13.0)</f>
        <v>13</v>
      </c>
      <c r="G594" s="136">
        <f>IFERROR(__xludf.DUMMYFUNCTION("""COMPUTED_VALUE"""),15.0)</f>
        <v>15</v>
      </c>
      <c r="H594" s="137">
        <f>IFERROR(__xludf.DUMMYFUNCTION("""COMPUTED_VALUE"""),0.4642857142857143)</f>
        <v>0.4642857143</v>
      </c>
      <c r="I594" s="136">
        <f>IFERROR(__xludf.DUMMYFUNCTION("""COMPUTED_VALUE"""),5.0)</f>
        <v>5</v>
      </c>
      <c r="J594" s="136">
        <f>IFERROR(__xludf.DUMMYFUNCTION("""COMPUTED_VALUE"""),9719.0)</f>
        <v>9719</v>
      </c>
      <c r="K594" s="136">
        <f>IFERROR(__xludf.DUMMYFUNCTION("""COMPUTED_VALUE"""),17.0)</f>
        <v>17</v>
      </c>
      <c r="L594" s="136">
        <f>IFERROR(__xludf.DUMMYFUNCTION("""COMPUTED_VALUE"""),15.0)</f>
        <v>15</v>
      </c>
      <c r="M594" s="136">
        <f>IFERROR(__xludf.DUMMYFUNCTION("""COMPUTED_VALUE"""),47.0)</f>
        <v>47</v>
      </c>
      <c r="N594" s="136">
        <f>IFERROR(__xludf.DUMMYFUNCTION("""COMPUTED_VALUE"""),64.0)</f>
        <v>64</v>
      </c>
      <c r="O594" s="138">
        <f>IFERROR(__xludf.DUMMYFUNCTION("""COMPUTED_VALUE"""),3.0)</f>
        <v>3</v>
      </c>
      <c r="P594" s="138">
        <f>IFERROR(__xludf.DUMMYFUNCTION("""COMPUTED_VALUE"""),1.0)</f>
        <v>1</v>
      </c>
      <c r="Q594" s="138">
        <f>IFERROR(__xludf.DUMMYFUNCTION("""COMPUTED_VALUE"""),0.0)</f>
        <v>0</v>
      </c>
      <c r="R594" s="138">
        <f>IFERROR(__xludf.DUMMYFUNCTION("""COMPUTED_VALUE"""),7.0)</f>
        <v>7</v>
      </c>
      <c r="S594" s="139">
        <f>IFERROR(__xludf.DUMMYFUNCTION("""COMPUTED_VALUE"""),251.0)</f>
        <v>251</v>
      </c>
      <c r="T594" s="140">
        <f>IFERROR(__xludf.DUMMYFUNCTION("""COMPUTED_VALUE"""),72.0)</f>
        <v>72</v>
      </c>
      <c r="U594" s="136">
        <f>IFERROR(__xludf.DUMMYFUNCTION("""COMPUTED_VALUE"""),19.0)</f>
        <v>19</v>
      </c>
      <c r="V594" s="136">
        <f>IFERROR(__xludf.DUMMYFUNCTION("""COMPUTED_VALUE"""),43.0)</f>
        <v>43</v>
      </c>
      <c r="W594" s="136">
        <f>IFERROR(__xludf.DUMMYFUNCTION("""COMPUTED_VALUE"""),33.0)</f>
        <v>33</v>
      </c>
      <c r="X594" s="136">
        <f>IFERROR(__xludf.DUMMYFUNCTION("""COMPUTED_VALUE"""),404.92857142857144)</f>
        <v>404.9285714</v>
      </c>
      <c r="Y594" s="141">
        <f>IFERROR(__xludf.DUMMYFUNCTION("""COMPUTED_VALUE"""),43.74250000000001)</f>
        <v>43.7425</v>
      </c>
      <c r="Z594" s="141">
        <f>IFERROR(__xludf.DUMMYFUNCTION("""COMPUTED_VALUE"""),2386.714285714286)</f>
        <v>2386.714286</v>
      </c>
    </row>
    <row r="595">
      <c r="A595" s="41" t="str">
        <f>IFERROR(__xludf.DUMMYFUNCTION("""COMPUTED_VALUE"""),"Prospect")</f>
        <v>Prospect</v>
      </c>
      <c r="B595" s="41" t="str">
        <f>IFERROR(__xludf.DUMMYFUNCTION("""COMPUTED_VALUE"""),"RSC007874")</f>
        <v>RSC007874</v>
      </c>
      <c r="C595" s="41" t="str">
        <f>IFERROR(__xludf.DUMMYFUNCTION("""COMPUTED_VALUE"""),"Salty Num Num")</f>
        <v>Salty Num Num</v>
      </c>
      <c r="D595" s="41" t="str">
        <f>IFERROR(__xludf.DUMMYFUNCTION("""COMPUTED_VALUE"""),"Skeletons")</f>
        <v>Skeletons</v>
      </c>
      <c r="E595" s="136">
        <f>IFERROR(__xludf.DUMMYFUNCTION("""COMPUTED_VALUE"""),19.0)</f>
        <v>19</v>
      </c>
      <c r="F595" s="136">
        <f>IFERROR(__xludf.DUMMYFUNCTION("""COMPUTED_VALUE"""),2.0)</f>
        <v>2</v>
      </c>
      <c r="G595" s="136">
        <f>IFERROR(__xludf.DUMMYFUNCTION("""COMPUTED_VALUE"""),17.0)</f>
        <v>17</v>
      </c>
      <c r="H595" s="137">
        <f>IFERROR(__xludf.DUMMYFUNCTION("""COMPUTED_VALUE"""),0.10526315789473684)</f>
        <v>0.1052631579</v>
      </c>
      <c r="I595" s="136">
        <f>IFERROR(__xludf.DUMMYFUNCTION("""COMPUTED_VALUE"""),1.0)</f>
        <v>1</v>
      </c>
      <c r="J595" s="136">
        <f>IFERROR(__xludf.DUMMYFUNCTION("""COMPUTED_VALUE"""),5325.0)</f>
        <v>5325</v>
      </c>
      <c r="K595" s="136">
        <f>IFERROR(__xludf.DUMMYFUNCTION("""COMPUTED_VALUE"""),11.0)</f>
        <v>11</v>
      </c>
      <c r="L595" s="136">
        <f>IFERROR(__xludf.DUMMYFUNCTION("""COMPUTED_VALUE"""),5.0)</f>
        <v>5</v>
      </c>
      <c r="M595" s="136">
        <f>IFERROR(__xludf.DUMMYFUNCTION("""COMPUTED_VALUE"""),18.0)</f>
        <v>18</v>
      </c>
      <c r="N595" s="136">
        <f>IFERROR(__xludf.DUMMYFUNCTION("""COMPUTED_VALUE"""),42.0)</f>
        <v>42</v>
      </c>
      <c r="O595" s="138">
        <f>IFERROR(__xludf.DUMMYFUNCTION("""COMPUTED_VALUE"""),2.0)</f>
        <v>2</v>
      </c>
      <c r="P595" s="138">
        <f>IFERROR(__xludf.DUMMYFUNCTION("""COMPUTED_VALUE"""),0.0)</f>
        <v>0</v>
      </c>
      <c r="Q595" s="138">
        <f>IFERROR(__xludf.DUMMYFUNCTION("""COMPUTED_VALUE"""),0.0)</f>
        <v>0</v>
      </c>
      <c r="R595" s="138">
        <f>IFERROR(__xludf.DUMMYFUNCTION("""COMPUTED_VALUE"""),0.0)</f>
        <v>0</v>
      </c>
      <c r="S595" s="139">
        <f>IFERROR(__xludf.DUMMYFUNCTION("""COMPUTED_VALUE"""),167.0)</f>
        <v>167</v>
      </c>
      <c r="T595" s="140">
        <f>IFERROR(__xludf.DUMMYFUNCTION("""COMPUTED_VALUE"""),75.0)</f>
        <v>75</v>
      </c>
      <c r="U595" s="136">
        <f>IFERROR(__xludf.DUMMYFUNCTION("""COMPUTED_VALUE"""),21.0)</f>
        <v>21</v>
      </c>
      <c r="V595" s="136">
        <f>IFERROR(__xludf.DUMMYFUNCTION("""COMPUTED_VALUE"""),26.0)</f>
        <v>26</v>
      </c>
      <c r="W595" s="136">
        <f>IFERROR(__xludf.DUMMYFUNCTION("""COMPUTED_VALUE"""),17.0)</f>
        <v>17</v>
      </c>
      <c r="X595" s="136">
        <f>IFERROR(__xludf.DUMMYFUNCTION("""COMPUTED_VALUE"""),405.8421052631579)</f>
        <v>405.8421053</v>
      </c>
      <c r="Y595" s="141">
        <f>IFERROR(__xludf.DUMMYFUNCTION("""COMPUTED_VALUE"""),49.08578947368421)</f>
        <v>49.08578947</v>
      </c>
      <c r="Z595" s="141">
        <f>IFERROR(__xludf.DUMMYFUNCTION("""COMPUTED_VALUE"""),2418.1052631578946)</f>
        <v>2418.105263</v>
      </c>
    </row>
    <row r="596">
      <c r="A596" s="41" t="str">
        <f>IFERROR(__xludf.DUMMYFUNCTION("""COMPUTED_VALUE"""),"Master")</f>
        <v>Master</v>
      </c>
      <c r="B596" s="41" t="str">
        <f>IFERROR(__xludf.DUMMYFUNCTION("""COMPUTED_VALUE"""),"RSC007876")</f>
        <v>RSC007876</v>
      </c>
      <c r="C596" s="41" t="str">
        <f>IFERROR(__xludf.DUMMYFUNCTION("""COMPUTED_VALUE"""),"dwsn.")</f>
        <v>dwsn.</v>
      </c>
      <c r="D596" s="41" t="str">
        <f>IFERROR(__xludf.DUMMYFUNCTION("""COMPUTED_VALUE"""),"Helicoprions")</f>
        <v>Helicoprions</v>
      </c>
      <c r="E596" s="136">
        <f>IFERROR(__xludf.DUMMYFUNCTION("""COMPUTED_VALUE"""),48.0)</f>
        <v>48</v>
      </c>
      <c r="F596" s="136">
        <f>IFERROR(__xludf.DUMMYFUNCTION("""COMPUTED_VALUE"""),25.0)</f>
        <v>25</v>
      </c>
      <c r="G596" s="136">
        <f>IFERROR(__xludf.DUMMYFUNCTION("""COMPUTED_VALUE"""),23.0)</f>
        <v>23</v>
      </c>
      <c r="H596" s="137">
        <f>IFERROR(__xludf.DUMMYFUNCTION("""COMPUTED_VALUE"""),0.5208333333333334)</f>
        <v>0.5208333333</v>
      </c>
      <c r="I596" s="136">
        <f>IFERROR(__xludf.DUMMYFUNCTION("""COMPUTED_VALUE"""),9.0)</f>
        <v>9</v>
      </c>
      <c r="J596" s="136">
        <f>IFERROR(__xludf.DUMMYFUNCTION("""COMPUTED_VALUE"""),19810.0)</f>
        <v>19810</v>
      </c>
      <c r="K596" s="136">
        <f>IFERROR(__xludf.DUMMYFUNCTION("""COMPUTED_VALUE"""),43.0)</f>
        <v>43</v>
      </c>
      <c r="L596" s="136">
        <f>IFERROR(__xludf.DUMMYFUNCTION("""COMPUTED_VALUE"""),40.0)</f>
        <v>40</v>
      </c>
      <c r="M596" s="136">
        <f>IFERROR(__xludf.DUMMYFUNCTION("""COMPUTED_VALUE"""),66.0)</f>
        <v>66</v>
      </c>
      <c r="N596" s="136">
        <f>IFERROR(__xludf.DUMMYFUNCTION("""COMPUTED_VALUE"""),135.0)</f>
        <v>135</v>
      </c>
      <c r="O596" s="138">
        <f>IFERROR(__xludf.DUMMYFUNCTION("""COMPUTED_VALUE"""),15.0)</f>
        <v>15</v>
      </c>
      <c r="P596" s="138">
        <f>IFERROR(__xludf.DUMMYFUNCTION("""COMPUTED_VALUE"""),3.0)</f>
        <v>3</v>
      </c>
      <c r="Q596" s="138">
        <f>IFERROR(__xludf.DUMMYFUNCTION("""COMPUTED_VALUE"""),4.0)</f>
        <v>4</v>
      </c>
      <c r="R596" s="138">
        <f>IFERROR(__xludf.DUMMYFUNCTION("""COMPUTED_VALUE"""),6.0)</f>
        <v>6</v>
      </c>
      <c r="S596" s="139">
        <f>IFERROR(__xludf.DUMMYFUNCTION("""COMPUTED_VALUE"""),376.0)</f>
        <v>376</v>
      </c>
      <c r="T596" s="140">
        <f>IFERROR(__xludf.DUMMYFUNCTION("""COMPUTED_VALUE"""),109.0)</f>
        <v>109</v>
      </c>
      <c r="U596" s="136">
        <f>IFERROR(__xludf.DUMMYFUNCTION("""COMPUTED_VALUE"""),46.0)</f>
        <v>46</v>
      </c>
      <c r="V596" s="136">
        <f>IFERROR(__xludf.DUMMYFUNCTION("""COMPUTED_VALUE"""),44.0)</f>
        <v>44</v>
      </c>
      <c r="W596" s="136">
        <f>IFERROR(__xludf.DUMMYFUNCTION("""COMPUTED_VALUE"""),45.0)</f>
        <v>45</v>
      </c>
      <c r="X596" s="136">
        <f>IFERROR(__xludf.DUMMYFUNCTION("""COMPUTED_VALUE"""),448.7916666666667)</f>
        <v>448.7916667</v>
      </c>
      <c r="Y596" s="141">
        <f>IFERROR(__xludf.DUMMYFUNCTION("""COMPUTED_VALUE"""),50.056041666666665)</f>
        <v>50.05604167</v>
      </c>
      <c r="Z596" s="141">
        <f>IFERROR(__xludf.DUMMYFUNCTION("""COMPUTED_VALUE"""),2723.1041666666665)</f>
        <v>2723.104167</v>
      </c>
    </row>
    <row r="597">
      <c r="A597" s="41" t="str">
        <f>IFERROR(__xludf.DUMMYFUNCTION("""COMPUTED_VALUE"""),"Elite")</f>
        <v>Elite</v>
      </c>
      <c r="B597" s="41" t="str">
        <f>IFERROR(__xludf.DUMMYFUNCTION("""COMPUTED_VALUE"""),"RSC007877")</f>
        <v>RSC007877</v>
      </c>
      <c r="C597" s="41" t="str">
        <f>IFERROR(__xludf.DUMMYFUNCTION("""COMPUTED_VALUE"""),"Torro")</f>
        <v>Torro</v>
      </c>
      <c r="D597" s="41" t="str">
        <f>IFERROR(__xludf.DUMMYFUNCTION("""COMPUTED_VALUE"""),"Dik-diks")</f>
        <v>Dik-diks</v>
      </c>
      <c r="E597" s="136">
        <f>IFERROR(__xludf.DUMMYFUNCTION("""COMPUTED_VALUE"""),13.0)</f>
        <v>13</v>
      </c>
      <c r="F597" s="136">
        <f>IFERROR(__xludf.DUMMYFUNCTION("""COMPUTED_VALUE"""),6.0)</f>
        <v>6</v>
      </c>
      <c r="G597" s="136">
        <f>IFERROR(__xludf.DUMMYFUNCTION("""COMPUTED_VALUE"""),7.0)</f>
        <v>7</v>
      </c>
      <c r="H597" s="137">
        <f>IFERROR(__xludf.DUMMYFUNCTION("""COMPUTED_VALUE"""),0.46153846153846156)</f>
        <v>0.4615384615</v>
      </c>
      <c r="I597" s="136">
        <f>IFERROR(__xludf.DUMMYFUNCTION("""COMPUTED_VALUE"""),1.0)</f>
        <v>1</v>
      </c>
      <c r="J597" s="136">
        <f>IFERROR(__xludf.DUMMYFUNCTION("""COMPUTED_VALUE"""),3675.0)</f>
        <v>3675</v>
      </c>
      <c r="K597" s="136">
        <f>IFERROR(__xludf.DUMMYFUNCTION("""COMPUTED_VALUE"""),2.0)</f>
        <v>2</v>
      </c>
      <c r="L597" s="136">
        <f>IFERROR(__xludf.DUMMYFUNCTION("""COMPUTED_VALUE"""),11.0)</f>
        <v>11</v>
      </c>
      <c r="M597" s="136">
        <f>IFERROR(__xludf.DUMMYFUNCTION("""COMPUTED_VALUE"""),14.0)</f>
        <v>14</v>
      </c>
      <c r="N597" s="136">
        <f>IFERROR(__xludf.DUMMYFUNCTION("""COMPUTED_VALUE"""),24.0)</f>
        <v>24</v>
      </c>
      <c r="O597" s="138">
        <f>IFERROR(__xludf.DUMMYFUNCTION("""COMPUTED_VALUE"""),2.0)</f>
        <v>2</v>
      </c>
      <c r="P597" s="138">
        <f>IFERROR(__xludf.DUMMYFUNCTION("""COMPUTED_VALUE"""),0.0)</f>
        <v>0</v>
      </c>
      <c r="Q597" s="138">
        <f>IFERROR(__xludf.DUMMYFUNCTION("""COMPUTED_VALUE"""),0.0)</f>
        <v>0</v>
      </c>
      <c r="R597" s="138">
        <f>IFERROR(__xludf.DUMMYFUNCTION("""COMPUTED_VALUE"""),1.0)</f>
        <v>1</v>
      </c>
      <c r="S597" s="139">
        <f>IFERROR(__xludf.DUMMYFUNCTION("""COMPUTED_VALUE"""),94.0)</f>
        <v>94</v>
      </c>
      <c r="T597" s="140">
        <f>IFERROR(__xludf.DUMMYFUNCTION("""COMPUTED_VALUE"""),35.0)</f>
        <v>35</v>
      </c>
      <c r="U597" s="136">
        <f>IFERROR(__xludf.DUMMYFUNCTION("""COMPUTED_VALUE"""),15.0)</f>
        <v>15</v>
      </c>
      <c r="V597" s="136">
        <f>IFERROR(__xludf.DUMMYFUNCTION("""COMPUTED_VALUE"""),25.0)</f>
        <v>25</v>
      </c>
      <c r="W597" s="136">
        <f>IFERROR(__xludf.DUMMYFUNCTION("""COMPUTED_VALUE"""),9.0)</f>
        <v>9</v>
      </c>
      <c r="X597" s="136">
        <f>IFERROR(__xludf.DUMMYFUNCTION("""COMPUTED_VALUE"""),460.3076923076923)</f>
        <v>460.3076923</v>
      </c>
      <c r="Y597" s="141">
        <f>IFERROR(__xludf.DUMMYFUNCTION("""COMPUTED_VALUE"""),50.03692307692308)</f>
        <v>50.03692308</v>
      </c>
      <c r="Z597" s="141">
        <f>IFERROR(__xludf.DUMMYFUNCTION("""COMPUTED_VALUE"""),2662.846153846154)</f>
        <v>2662.846154</v>
      </c>
    </row>
    <row r="598">
      <c r="A598" s="41" t="str">
        <f>IFERROR(__xludf.DUMMYFUNCTION("""COMPUTED_VALUE"""),"Challenger")</f>
        <v>Challenger</v>
      </c>
      <c r="B598" s="41" t="str">
        <f>IFERROR(__xludf.DUMMYFUNCTION("""COMPUTED_VALUE"""),"RSC007885")</f>
        <v>RSC007885</v>
      </c>
      <c r="C598" s="41" t="str">
        <f>IFERROR(__xludf.DUMMYFUNCTION("""COMPUTED_VALUE"""),"Larkspur")</f>
        <v>Larkspur</v>
      </c>
      <c r="D598" s="41" t="str">
        <f>IFERROR(__xludf.DUMMYFUNCTION("""COMPUTED_VALUE"""),"Stingrays")</f>
        <v>Stingrays</v>
      </c>
      <c r="E598" s="136">
        <f>IFERROR(__xludf.DUMMYFUNCTION("""COMPUTED_VALUE"""),54.0)</f>
        <v>54</v>
      </c>
      <c r="F598" s="136">
        <f>IFERROR(__xludf.DUMMYFUNCTION("""COMPUTED_VALUE"""),28.0)</f>
        <v>28</v>
      </c>
      <c r="G598" s="136">
        <f>IFERROR(__xludf.DUMMYFUNCTION("""COMPUTED_VALUE"""),26.0)</f>
        <v>26</v>
      </c>
      <c r="H598" s="137">
        <f>IFERROR(__xludf.DUMMYFUNCTION("""COMPUTED_VALUE"""),0.5185185185185185)</f>
        <v>0.5185185185</v>
      </c>
      <c r="I598" s="136">
        <f>IFERROR(__xludf.DUMMYFUNCTION("""COMPUTED_VALUE"""),8.0)</f>
        <v>8</v>
      </c>
      <c r="J598" s="136">
        <f>IFERROR(__xludf.DUMMYFUNCTION("""COMPUTED_VALUE"""),19386.0)</f>
        <v>19386</v>
      </c>
      <c r="K598" s="136">
        <f>IFERROR(__xludf.DUMMYFUNCTION("""COMPUTED_VALUE"""),52.0)</f>
        <v>52</v>
      </c>
      <c r="L598" s="136">
        <f>IFERROR(__xludf.DUMMYFUNCTION("""COMPUTED_VALUE"""),39.0)</f>
        <v>39</v>
      </c>
      <c r="M598" s="136">
        <f>IFERROR(__xludf.DUMMYFUNCTION("""COMPUTED_VALUE"""),61.0)</f>
        <v>61</v>
      </c>
      <c r="N598" s="136">
        <f>IFERROR(__xludf.DUMMYFUNCTION("""COMPUTED_VALUE"""),146.0)</f>
        <v>146</v>
      </c>
      <c r="O598" s="138">
        <f>IFERROR(__xludf.DUMMYFUNCTION("""COMPUTED_VALUE"""),9.0)</f>
        <v>9</v>
      </c>
      <c r="P598" s="138">
        <f>IFERROR(__xludf.DUMMYFUNCTION("""COMPUTED_VALUE"""),2.0)</f>
        <v>2</v>
      </c>
      <c r="Q598" s="138">
        <f>IFERROR(__xludf.DUMMYFUNCTION("""COMPUTED_VALUE"""),3.0)</f>
        <v>3</v>
      </c>
      <c r="R598" s="138">
        <f>IFERROR(__xludf.DUMMYFUNCTION("""COMPUTED_VALUE"""),6.0)</f>
        <v>6</v>
      </c>
      <c r="S598" s="139">
        <f>IFERROR(__xludf.DUMMYFUNCTION("""COMPUTED_VALUE"""),395.0)</f>
        <v>395</v>
      </c>
      <c r="T598" s="140">
        <f>IFERROR(__xludf.DUMMYFUNCTION("""COMPUTED_VALUE"""),137.0)</f>
        <v>137</v>
      </c>
      <c r="U598" s="136">
        <f>IFERROR(__xludf.DUMMYFUNCTION("""COMPUTED_VALUE"""),48.0)</f>
        <v>48</v>
      </c>
      <c r="V598" s="136">
        <f>IFERROR(__xludf.DUMMYFUNCTION("""COMPUTED_VALUE"""),54.0)</f>
        <v>54</v>
      </c>
      <c r="W598" s="136">
        <f>IFERROR(__xludf.DUMMYFUNCTION("""COMPUTED_VALUE"""),63.0)</f>
        <v>63</v>
      </c>
      <c r="X598" s="136">
        <f>IFERROR(__xludf.DUMMYFUNCTION("""COMPUTED_VALUE"""),384.0740740740741)</f>
        <v>384.0740741</v>
      </c>
      <c r="Y598" s="141">
        <f>IFERROR(__xludf.DUMMYFUNCTION("""COMPUTED_VALUE"""),45.013333333333314)</f>
        <v>45.01333333</v>
      </c>
      <c r="Z598" s="141">
        <f>IFERROR(__xludf.DUMMYFUNCTION("""COMPUTED_VALUE"""),2250.3333333333335)</f>
        <v>2250.333333</v>
      </c>
    </row>
    <row r="599">
      <c r="A599" s="41" t="str">
        <f>IFERROR(__xludf.DUMMYFUNCTION("""COMPUTED_VALUE"""),"Prospect")</f>
        <v>Prospect</v>
      </c>
      <c r="B599" s="41" t="str">
        <f>IFERROR(__xludf.DUMMYFUNCTION("""COMPUTED_VALUE"""),"RSC007886")</f>
        <v>RSC007886</v>
      </c>
      <c r="C599" s="41" t="str">
        <f>IFERROR(__xludf.DUMMYFUNCTION("""COMPUTED_VALUE"""),"Dino incarnate")</f>
        <v>Dino incarnate</v>
      </c>
      <c r="D599" s="41" t="str">
        <f>IFERROR(__xludf.DUMMYFUNCTION("""COMPUTED_VALUE"""),"Hostile Takeover
Skeletons")</f>
        <v>Hostile Takeover
Skeletons</v>
      </c>
      <c r="E599" s="136">
        <f>IFERROR(__xludf.DUMMYFUNCTION("""COMPUTED_VALUE"""),48.0)</f>
        <v>48</v>
      </c>
      <c r="F599" s="136">
        <f>IFERROR(__xludf.DUMMYFUNCTION("""COMPUTED_VALUE"""),26.0)</f>
        <v>26</v>
      </c>
      <c r="G599" s="136">
        <f>IFERROR(__xludf.DUMMYFUNCTION("""COMPUTED_VALUE"""),22.0)</f>
        <v>22</v>
      </c>
      <c r="H599" s="137">
        <f>IFERROR(__xludf.DUMMYFUNCTION("""COMPUTED_VALUE"""),0.5416666666666666)</f>
        <v>0.5416666667</v>
      </c>
      <c r="I599" s="136">
        <f>IFERROR(__xludf.DUMMYFUNCTION("""COMPUTED_VALUE"""),7.0)</f>
        <v>7</v>
      </c>
      <c r="J599" s="136">
        <f>IFERROR(__xludf.DUMMYFUNCTION("""COMPUTED_VALUE"""),16829.0)</f>
        <v>16829</v>
      </c>
      <c r="K599" s="136">
        <f>IFERROR(__xludf.DUMMYFUNCTION("""COMPUTED_VALUE"""),41.0)</f>
        <v>41</v>
      </c>
      <c r="L599" s="136">
        <f>IFERROR(__xludf.DUMMYFUNCTION("""COMPUTED_VALUE"""),26.0)</f>
        <v>26</v>
      </c>
      <c r="M599" s="136">
        <f>IFERROR(__xludf.DUMMYFUNCTION("""COMPUTED_VALUE"""),56.0)</f>
        <v>56</v>
      </c>
      <c r="N599" s="136">
        <f>IFERROR(__xludf.DUMMYFUNCTION("""COMPUTED_VALUE"""),131.0)</f>
        <v>131</v>
      </c>
      <c r="O599" s="138">
        <f>IFERROR(__xludf.DUMMYFUNCTION("""COMPUTED_VALUE"""),10.0)</f>
        <v>10</v>
      </c>
      <c r="P599" s="138">
        <f>IFERROR(__xludf.DUMMYFUNCTION("""COMPUTED_VALUE"""),3.0)</f>
        <v>3</v>
      </c>
      <c r="Q599" s="138">
        <f>IFERROR(__xludf.DUMMYFUNCTION("""COMPUTED_VALUE"""),1.0)</f>
        <v>1</v>
      </c>
      <c r="R599" s="138">
        <f>IFERROR(__xludf.DUMMYFUNCTION("""COMPUTED_VALUE"""),4.0)</f>
        <v>4</v>
      </c>
      <c r="S599" s="139">
        <f>IFERROR(__xludf.DUMMYFUNCTION("""COMPUTED_VALUE"""),351.0)</f>
        <v>351</v>
      </c>
      <c r="T599" s="140">
        <f>IFERROR(__xludf.DUMMYFUNCTION("""COMPUTED_VALUE"""),114.0)</f>
        <v>114</v>
      </c>
      <c r="U599" s="136">
        <f>IFERROR(__xludf.DUMMYFUNCTION("""COMPUTED_VALUE"""),32.0)</f>
        <v>32</v>
      </c>
      <c r="V599" s="136">
        <f>IFERROR(__xludf.DUMMYFUNCTION("""COMPUTED_VALUE"""),37.0)</f>
        <v>37</v>
      </c>
      <c r="W599" s="136">
        <f>IFERROR(__xludf.DUMMYFUNCTION("""COMPUTED_VALUE"""),41.0)</f>
        <v>41</v>
      </c>
      <c r="X599" s="136">
        <f>IFERROR(__xludf.DUMMYFUNCTION("""COMPUTED_VALUE"""),385.3541666666667)</f>
        <v>385.3541667</v>
      </c>
      <c r="Y599" s="141">
        <f>IFERROR(__xludf.DUMMYFUNCTION("""COMPUTED_VALUE"""),46.76729166666667)</f>
        <v>46.76729167</v>
      </c>
      <c r="Z599" s="141">
        <f>IFERROR(__xludf.DUMMYFUNCTION("""COMPUTED_VALUE"""),2379.7916666666665)</f>
        <v>2379.791667</v>
      </c>
    </row>
    <row r="600">
      <c r="A600" s="41" t="str">
        <f>IFERROR(__xludf.DUMMYFUNCTION("""COMPUTED_VALUE"""),"Master")</f>
        <v>Master</v>
      </c>
      <c r="B600" s="41" t="str">
        <f>IFERROR(__xludf.DUMMYFUNCTION("""COMPUTED_VALUE"""),"RSC007893")</f>
        <v>RSC007893</v>
      </c>
      <c r="C600" s="41" t="str">
        <f>IFERROR(__xludf.DUMMYFUNCTION("""COMPUTED_VALUE"""),"solar722")</f>
        <v>solar722</v>
      </c>
      <c r="D600" s="41" t="str">
        <f>IFERROR(__xludf.DUMMYFUNCTION("""COMPUTED_VALUE"""),"Spectres")</f>
        <v>Spectres</v>
      </c>
      <c r="E600" s="136">
        <f>IFERROR(__xludf.DUMMYFUNCTION("""COMPUTED_VALUE"""),48.0)</f>
        <v>48</v>
      </c>
      <c r="F600" s="136">
        <f>IFERROR(__xludf.DUMMYFUNCTION("""COMPUTED_VALUE"""),24.0)</f>
        <v>24</v>
      </c>
      <c r="G600" s="136">
        <f>IFERROR(__xludf.DUMMYFUNCTION("""COMPUTED_VALUE"""),24.0)</f>
        <v>24</v>
      </c>
      <c r="H600" s="137">
        <f>IFERROR(__xludf.DUMMYFUNCTION("""COMPUTED_VALUE"""),0.5)</f>
        <v>0.5</v>
      </c>
      <c r="I600" s="136">
        <f>IFERROR(__xludf.DUMMYFUNCTION("""COMPUTED_VALUE"""),12.0)</f>
        <v>12</v>
      </c>
      <c r="J600" s="136">
        <f>IFERROR(__xludf.DUMMYFUNCTION("""COMPUTED_VALUE"""),18415.0)</f>
        <v>18415</v>
      </c>
      <c r="K600" s="136">
        <f>IFERROR(__xludf.DUMMYFUNCTION("""COMPUTED_VALUE"""),40.0)</f>
        <v>40</v>
      </c>
      <c r="L600" s="136">
        <f>IFERROR(__xludf.DUMMYFUNCTION("""COMPUTED_VALUE"""),21.0)</f>
        <v>21</v>
      </c>
      <c r="M600" s="136">
        <f>IFERROR(__xludf.DUMMYFUNCTION("""COMPUTED_VALUE"""),71.0)</f>
        <v>71</v>
      </c>
      <c r="N600" s="136">
        <f>IFERROR(__xludf.DUMMYFUNCTION("""COMPUTED_VALUE"""),154.0)</f>
        <v>154</v>
      </c>
      <c r="O600" s="138">
        <f>IFERROR(__xludf.DUMMYFUNCTION("""COMPUTED_VALUE"""),8.0)</f>
        <v>8</v>
      </c>
      <c r="P600" s="138">
        <f>IFERROR(__xludf.DUMMYFUNCTION("""COMPUTED_VALUE"""),4.0)</f>
        <v>4</v>
      </c>
      <c r="Q600" s="138">
        <f>IFERROR(__xludf.DUMMYFUNCTION("""COMPUTED_VALUE"""),0.0)</f>
        <v>0</v>
      </c>
      <c r="R600" s="138">
        <f>IFERROR(__xludf.DUMMYFUNCTION("""COMPUTED_VALUE"""),10.0)</f>
        <v>10</v>
      </c>
      <c r="S600" s="139">
        <f>IFERROR(__xludf.DUMMYFUNCTION("""COMPUTED_VALUE"""),332.0)</f>
        <v>332</v>
      </c>
      <c r="T600" s="140">
        <f>IFERROR(__xludf.DUMMYFUNCTION("""COMPUTED_VALUE"""),94.0)</f>
        <v>94</v>
      </c>
      <c r="U600" s="136">
        <f>IFERROR(__xludf.DUMMYFUNCTION("""COMPUTED_VALUE"""),37.0)</f>
        <v>37</v>
      </c>
      <c r="V600" s="136">
        <f>IFERROR(__xludf.DUMMYFUNCTION("""COMPUTED_VALUE"""),32.0)</f>
        <v>32</v>
      </c>
      <c r="W600" s="136">
        <f>IFERROR(__xludf.DUMMYFUNCTION("""COMPUTED_VALUE"""),59.0)</f>
        <v>59</v>
      </c>
      <c r="X600" s="136">
        <f>IFERROR(__xludf.DUMMYFUNCTION("""COMPUTED_VALUE"""),427.65909090909093)</f>
        <v>427.6590909</v>
      </c>
      <c r="Y600" s="141">
        <f>IFERROR(__xludf.DUMMYFUNCTION("""COMPUTED_VALUE"""),49.62499999999999)</f>
        <v>49.625</v>
      </c>
      <c r="Z600" s="141">
        <f>IFERROR(__xludf.DUMMYFUNCTION("""COMPUTED_VALUE"""),2538.431818181818)</f>
        <v>2538.431818</v>
      </c>
    </row>
    <row r="601">
      <c r="A601" s="41" t="str">
        <f>IFERROR(__xludf.DUMMYFUNCTION("""COMPUTED_VALUE"""),"Rival")</f>
        <v>Rival</v>
      </c>
      <c r="B601" s="41" t="str">
        <f>IFERROR(__xludf.DUMMYFUNCTION("""COMPUTED_VALUE"""),"RSC007897")</f>
        <v>RSC007897</v>
      </c>
      <c r="C601" s="41" t="str">
        <f>IFERROR(__xludf.DUMMYFUNCTION("""COMPUTED_VALUE"""),"Synnicall")</f>
        <v>Synnicall</v>
      </c>
      <c r="D601" s="41" t="str">
        <f>IFERROR(__xludf.DUMMYFUNCTION("""COMPUTED_VALUE"""),"Purrgatory")</f>
        <v>Purrgatory</v>
      </c>
      <c r="E601" s="136">
        <f>IFERROR(__xludf.DUMMYFUNCTION("""COMPUTED_VALUE"""),46.0)</f>
        <v>46</v>
      </c>
      <c r="F601" s="136">
        <f>IFERROR(__xludf.DUMMYFUNCTION("""COMPUTED_VALUE"""),21.0)</f>
        <v>21</v>
      </c>
      <c r="G601" s="136">
        <f>IFERROR(__xludf.DUMMYFUNCTION("""COMPUTED_VALUE"""),25.0)</f>
        <v>25</v>
      </c>
      <c r="H601" s="137">
        <f>IFERROR(__xludf.DUMMYFUNCTION("""COMPUTED_VALUE"""),0.45652173913043476)</f>
        <v>0.4565217391</v>
      </c>
      <c r="I601" s="136">
        <f>IFERROR(__xludf.DUMMYFUNCTION("""COMPUTED_VALUE"""),5.0)</f>
        <v>5</v>
      </c>
      <c r="J601" s="136">
        <f>IFERROR(__xludf.DUMMYFUNCTION("""COMPUTED_VALUE"""),15800.0)</f>
        <v>15800</v>
      </c>
      <c r="K601" s="136">
        <f>IFERROR(__xludf.DUMMYFUNCTION("""COMPUTED_VALUE"""),32.0)</f>
        <v>32</v>
      </c>
      <c r="L601" s="136">
        <f>IFERROR(__xludf.DUMMYFUNCTION("""COMPUTED_VALUE"""),21.0)</f>
        <v>21</v>
      </c>
      <c r="M601" s="136">
        <f>IFERROR(__xludf.DUMMYFUNCTION("""COMPUTED_VALUE"""),69.0)</f>
        <v>69</v>
      </c>
      <c r="N601" s="136">
        <f>IFERROR(__xludf.DUMMYFUNCTION("""COMPUTED_VALUE"""),128.0)</f>
        <v>128</v>
      </c>
      <c r="O601" s="138">
        <f>IFERROR(__xludf.DUMMYFUNCTION("""COMPUTED_VALUE"""),8.0)</f>
        <v>8</v>
      </c>
      <c r="P601" s="138">
        <f>IFERROR(__xludf.DUMMYFUNCTION("""COMPUTED_VALUE"""),0.0)</f>
        <v>0</v>
      </c>
      <c r="Q601" s="138">
        <f>IFERROR(__xludf.DUMMYFUNCTION("""COMPUTED_VALUE"""),1.0)</f>
        <v>1</v>
      </c>
      <c r="R601" s="138">
        <f>IFERROR(__xludf.DUMMYFUNCTION("""COMPUTED_VALUE"""),6.0)</f>
        <v>6</v>
      </c>
      <c r="S601" s="139">
        <f>IFERROR(__xludf.DUMMYFUNCTION("""COMPUTED_VALUE"""),368.0)</f>
        <v>368</v>
      </c>
      <c r="T601" s="140">
        <f>IFERROR(__xludf.DUMMYFUNCTION("""COMPUTED_VALUE"""),101.0)</f>
        <v>101</v>
      </c>
      <c r="U601" s="136">
        <f>IFERROR(__xludf.DUMMYFUNCTION("""COMPUTED_VALUE"""),41.0)</f>
        <v>41</v>
      </c>
      <c r="V601" s="136">
        <f>IFERROR(__xludf.DUMMYFUNCTION("""COMPUTED_VALUE"""),37.0)</f>
        <v>37</v>
      </c>
      <c r="W601" s="136">
        <f>IFERROR(__xludf.DUMMYFUNCTION("""COMPUTED_VALUE"""),36.0)</f>
        <v>36</v>
      </c>
      <c r="X601" s="136">
        <f>IFERROR(__xludf.DUMMYFUNCTION("""COMPUTED_VALUE"""),400.4130434782609)</f>
        <v>400.4130435</v>
      </c>
      <c r="Y601" s="141">
        <f>IFERROR(__xludf.DUMMYFUNCTION("""COMPUTED_VALUE"""),52.8404347826087)</f>
        <v>52.84043478</v>
      </c>
      <c r="Z601" s="141">
        <f>IFERROR(__xludf.DUMMYFUNCTION("""COMPUTED_VALUE"""),2377.1521739130435)</f>
        <v>2377.152174</v>
      </c>
    </row>
    <row r="602">
      <c r="A602" s="41" t="str">
        <f>IFERROR(__xludf.DUMMYFUNCTION("""COMPUTED_VALUE"""),"Prospect")</f>
        <v>Prospect</v>
      </c>
      <c r="B602" s="41" t="str">
        <f>IFERROR(__xludf.DUMMYFUNCTION("""COMPUTED_VALUE"""),"RSC007899")</f>
        <v>RSC007899</v>
      </c>
      <c r="C602" s="41" t="str">
        <f>IFERROR(__xludf.DUMMYFUNCTION("""COMPUTED_VALUE"""),"SeaSpay182009")</f>
        <v>SeaSpay182009</v>
      </c>
      <c r="D602" s="41" t="str">
        <f>IFERROR(__xludf.DUMMYFUNCTION("""COMPUTED_VALUE"""),"Turbulence")</f>
        <v>Turbulence</v>
      </c>
      <c r="E602" s="136">
        <f>IFERROR(__xludf.DUMMYFUNCTION("""COMPUTED_VALUE"""),31.0)</f>
        <v>31</v>
      </c>
      <c r="F602" s="136">
        <f>IFERROR(__xludf.DUMMYFUNCTION("""COMPUTED_VALUE"""),21.0)</f>
        <v>21</v>
      </c>
      <c r="G602" s="136">
        <f>IFERROR(__xludf.DUMMYFUNCTION("""COMPUTED_VALUE"""),10.0)</f>
        <v>10</v>
      </c>
      <c r="H602" s="137">
        <f>IFERROR(__xludf.DUMMYFUNCTION("""COMPUTED_VALUE"""),0.6774193548387096)</f>
        <v>0.6774193548</v>
      </c>
      <c r="I602" s="136">
        <f>IFERROR(__xludf.DUMMYFUNCTION("""COMPUTED_VALUE"""),7.0)</f>
        <v>7</v>
      </c>
      <c r="J602" s="136">
        <f>IFERROR(__xludf.DUMMYFUNCTION("""COMPUTED_VALUE"""),10527.0)</f>
        <v>10527</v>
      </c>
      <c r="K602" s="136">
        <f>IFERROR(__xludf.DUMMYFUNCTION("""COMPUTED_VALUE"""),20.0)</f>
        <v>20</v>
      </c>
      <c r="L602" s="136">
        <f>IFERROR(__xludf.DUMMYFUNCTION("""COMPUTED_VALUE"""),12.0)</f>
        <v>12</v>
      </c>
      <c r="M602" s="136">
        <f>IFERROR(__xludf.DUMMYFUNCTION("""COMPUTED_VALUE"""),45.0)</f>
        <v>45</v>
      </c>
      <c r="N602" s="136">
        <f>IFERROR(__xludf.DUMMYFUNCTION("""COMPUTED_VALUE"""),86.0)</f>
        <v>86</v>
      </c>
      <c r="O602" s="138">
        <f>IFERROR(__xludf.DUMMYFUNCTION("""COMPUTED_VALUE"""),5.0)</f>
        <v>5</v>
      </c>
      <c r="P602" s="138">
        <f>IFERROR(__xludf.DUMMYFUNCTION("""COMPUTED_VALUE"""),0.0)</f>
        <v>0</v>
      </c>
      <c r="Q602" s="138">
        <f>IFERROR(__xludf.DUMMYFUNCTION("""COMPUTED_VALUE"""),0.0)</f>
        <v>0</v>
      </c>
      <c r="R602" s="138">
        <f>IFERROR(__xludf.DUMMYFUNCTION("""COMPUTED_VALUE"""),4.0)</f>
        <v>4</v>
      </c>
      <c r="S602" s="139">
        <f>IFERROR(__xludf.DUMMYFUNCTION("""COMPUTED_VALUE"""),205.0)</f>
        <v>205</v>
      </c>
      <c r="T602" s="140">
        <f>IFERROR(__xludf.DUMMYFUNCTION("""COMPUTED_VALUE"""),59.0)</f>
        <v>59</v>
      </c>
      <c r="U602" s="136">
        <f>IFERROR(__xludf.DUMMYFUNCTION("""COMPUTED_VALUE"""),19.0)</f>
        <v>19</v>
      </c>
      <c r="V602" s="136">
        <f>IFERROR(__xludf.DUMMYFUNCTION("""COMPUTED_VALUE"""),21.0)</f>
        <v>21</v>
      </c>
      <c r="W602" s="136">
        <f>IFERROR(__xludf.DUMMYFUNCTION("""COMPUTED_VALUE"""),43.0)</f>
        <v>43</v>
      </c>
      <c r="X602" s="136">
        <f>IFERROR(__xludf.DUMMYFUNCTION("""COMPUTED_VALUE"""),327.16129032258067)</f>
        <v>327.1612903</v>
      </c>
      <c r="Y602" s="141">
        <f>IFERROR(__xludf.DUMMYFUNCTION("""COMPUTED_VALUE"""),55.18870967741936)</f>
        <v>55.18870968</v>
      </c>
      <c r="Z602" s="141">
        <f>IFERROR(__xludf.DUMMYFUNCTION("""COMPUTED_VALUE"""),2167.0)</f>
        <v>2167</v>
      </c>
    </row>
    <row r="603">
      <c r="A603" s="41" t="str">
        <f>IFERROR(__xludf.DUMMYFUNCTION("""COMPUTED_VALUE"""),"Rival")</f>
        <v>Rival</v>
      </c>
      <c r="B603" s="41" t="str">
        <f>IFERROR(__xludf.DUMMYFUNCTION("""COMPUTED_VALUE"""),"RSC007904")</f>
        <v>RSC007904</v>
      </c>
      <c r="C603" s="41" t="str">
        <f>IFERROR(__xludf.DUMMYFUNCTION("""COMPUTED_VALUE"""),"branthedan")</f>
        <v>branthedan</v>
      </c>
      <c r="D603" s="41" t="str">
        <f>IFERROR(__xludf.DUMMYFUNCTION("""COMPUTED_VALUE"""),"Purrgatory")</f>
        <v>Purrgatory</v>
      </c>
      <c r="E603" s="136">
        <f>IFERROR(__xludf.DUMMYFUNCTION("""COMPUTED_VALUE"""),55.0)</f>
        <v>55</v>
      </c>
      <c r="F603" s="136">
        <f>IFERROR(__xludf.DUMMYFUNCTION("""COMPUTED_VALUE"""),28.0)</f>
        <v>28</v>
      </c>
      <c r="G603" s="136">
        <f>IFERROR(__xludf.DUMMYFUNCTION("""COMPUTED_VALUE"""),27.0)</f>
        <v>27</v>
      </c>
      <c r="H603" s="137">
        <f>IFERROR(__xludf.DUMMYFUNCTION("""COMPUTED_VALUE"""),0.509090909090909)</f>
        <v>0.5090909091</v>
      </c>
      <c r="I603" s="136">
        <f>IFERROR(__xludf.DUMMYFUNCTION("""COMPUTED_VALUE"""),9.0)</f>
        <v>9</v>
      </c>
      <c r="J603" s="136">
        <f>IFERROR(__xludf.DUMMYFUNCTION("""COMPUTED_VALUE"""),18750.0)</f>
        <v>18750</v>
      </c>
      <c r="K603" s="136">
        <f>IFERROR(__xludf.DUMMYFUNCTION("""COMPUTED_VALUE"""),27.0)</f>
        <v>27</v>
      </c>
      <c r="L603" s="136">
        <f>IFERROR(__xludf.DUMMYFUNCTION("""COMPUTED_VALUE"""),34.0)</f>
        <v>34</v>
      </c>
      <c r="M603" s="136">
        <f>IFERROR(__xludf.DUMMYFUNCTION("""COMPUTED_VALUE"""),85.0)</f>
        <v>85</v>
      </c>
      <c r="N603" s="136">
        <f>IFERROR(__xludf.DUMMYFUNCTION("""COMPUTED_VALUE"""),123.0)</f>
        <v>123</v>
      </c>
      <c r="O603" s="138">
        <f>IFERROR(__xludf.DUMMYFUNCTION("""COMPUTED_VALUE"""),9.0)</f>
        <v>9</v>
      </c>
      <c r="P603" s="138">
        <f>IFERROR(__xludf.DUMMYFUNCTION("""COMPUTED_VALUE"""),1.0)</f>
        <v>1</v>
      </c>
      <c r="Q603" s="138">
        <f>IFERROR(__xludf.DUMMYFUNCTION("""COMPUTED_VALUE"""),1.0)</f>
        <v>1</v>
      </c>
      <c r="R603" s="138">
        <f>IFERROR(__xludf.DUMMYFUNCTION("""COMPUTED_VALUE"""),7.0)</f>
        <v>7</v>
      </c>
      <c r="S603" s="139">
        <f>IFERROR(__xludf.DUMMYFUNCTION("""COMPUTED_VALUE"""),427.0)</f>
        <v>427</v>
      </c>
      <c r="T603" s="140">
        <f>IFERROR(__xludf.DUMMYFUNCTION("""COMPUTED_VALUE"""),118.0)</f>
        <v>118</v>
      </c>
      <c r="U603" s="136">
        <f>IFERROR(__xludf.DUMMYFUNCTION("""COMPUTED_VALUE"""),34.0)</f>
        <v>34</v>
      </c>
      <c r="V603" s="136">
        <f>IFERROR(__xludf.DUMMYFUNCTION("""COMPUTED_VALUE"""),74.0)</f>
        <v>74</v>
      </c>
      <c r="W603" s="136">
        <f>IFERROR(__xludf.DUMMYFUNCTION("""COMPUTED_VALUE"""),41.0)</f>
        <v>41</v>
      </c>
      <c r="X603" s="136">
        <f>IFERROR(__xludf.DUMMYFUNCTION("""COMPUTED_VALUE"""),374.43636363636364)</f>
        <v>374.4363636</v>
      </c>
      <c r="Y603" s="141">
        <f>IFERROR(__xludf.DUMMYFUNCTION("""COMPUTED_VALUE"""),45.38672727272728)</f>
        <v>45.38672727</v>
      </c>
      <c r="Z603" s="141">
        <f>IFERROR(__xludf.DUMMYFUNCTION("""COMPUTED_VALUE"""),2209.7454545454543)</f>
        <v>2209.745455</v>
      </c>
    </row>
    <row r="604">
      <c r="A604" s="41" t="str">
        <f>IFERROR(__xludf.DUMMYFUNCTION("""COMPUTED_VALUE"""),"Veteran")</f>
        <v>Veteran</v>
      </c>
      <c r="B604" s="41" t="str">
        <f>IFERROR(__xludf.DUMMYFUNCTION("""COMPUTED_VALUE"""),"RSC007906")</f>
        <v>RSC007906</v>
      </c>
      <c r="C604" s="41" t="str">
        <f>IFERROR(__xludf.DUMMYFUNCTION("""COMPUTED_VALUE"""),"Vaz1fy.")</f>
        <v>Vaz1fy.</v>
      </c>
      <c r="D604" s="41" t="str">
        <f>IFERROR(__xludf.DUMMYFUNCTION("""COMPUTED_VALUE"""),"Supernova")</f>
        <v>Supernova</v>
      </c>
      <c r="E604" s="136">
        <f>IFERROR(__xludf.DUMMYFUNCTION("""COMPUTED_VALUE"""),43.0)</f>
        <v>43</v>
      </c>
      <c r="F604" s="136">
        <f>IFERROR(__xludf.DUMMYFUNCTION("""COMPUTED_VALUE"""),33.0)</f>
        <v>33</v>
      </c>
      <c r="G604" s="136">
        <f>IFERROR(__xludf.DUMMYFUNCTION("""COMPUTED_VALUE"""),10.0)</f>
        <v>10</v>
      </c>
      <c r="H604" s="137">
        <f>IFERROR(__xludf.DUMMYFUNCTION("""COMPUTED_VALUE"""),0.7674418604651163)</f>
        <v>0.7674418605</v>
      </c>
      <c r="I604" s="136">
        <f>IFERROR(__xludf.DUMMYFUNCTION("""COMPUTED_VALUE"""),4.0)</f>
        <v>4</v>
      </c>
      <c r="J604" s="136">
        <f>IFERROR(__xludf.DUMMYFUNCTION("""COMPUTED_VALUE"""),12698.0)</f>
        <v>12698</v>
      </c>
      <c r="K604" s="136">
        <f>IFERROR(__xludf.DUMMYFUNCTION("""COMPUTED_VALUE"""),32.0)</f>
        <v>32</v>
      </c>
      <c r="L604" s="136">
        <f>IFERROR(__xludf.DUMMYFUNCTION("""COMPUTED_VALUE"""),27.0)</f>
        <v>27</v>
      </c>
      <c r="M604" s="136">
        <f>IFERROR(__xludf.DUMMYFUNCTION("""COMPUTED_VALUE"""),37.0)</f>
        <v>37</v>
      </c>
      <c r="N604" s="136">
        <f>IFERROR(__xludf.DUMMYFUNCTION("""COMPUTED_VALUE"""),117.0)</f>
        <v>117</v>
      </c>
      <c r="O604" s="138">
        <f>IFERROR(__xludf.DUMMYFUNCTION("""COMPUTED_VALUE"""),7.0)</f>
        <v>7</v>
      </c>
      <c r="P604" s="138">
        <f>IFERROR(__xludf.DUMMYFUNCTION("""COMPUTED_VALUE"""),2.0)</f>
        <v>2</v>
      </c>
      <c r="Q604" s="138">
        <f>IFERROR(__xludf.DUMMYFUNCTION("""COMPUTED_VALUE"""),0.0)</f>
        <v>0</v>
      </c>
      <c r="R604" s="138">
        <f>IFERROR(__xludf.DUMMYFUNCTION("""COMPUTED_VALUE"""),4.0)</f>
        <v>4</v>
      </c>
      <c r="S604" s="139">
        <f>IFERROR(__xludf.DUMMYFUNCTION("""COMPUTED_VALUE"""),288.0)</f>
        <v>288</v>
      </c>
      <c r="T604" s="140">
        <f>IFERROR(__xludf.DUMMYFUNCTION("""COMPUTED_VALUE"""),69.0)</f>
        <v>69</v>
      </c>
      <c r="U604" s="136">
        <f>IFERROR(__xludf.DUMMYFUNCTION("""COMPUTED_VALUE"""),18.0)</f>
        <v>18</v>
      </c>
      <c r="V604" s="136">
        <f>IFERROR(__xludf.DUMMYFUNCTION("""COMPUTED_VALUE"""),31.0)</f>
        <v>31</v>
      </c>
      <c r="W604" s="136">
        <f>IFERROR(__xludf.DUMMYFUNCTION("""COMPUTED_VALUE"""),44.0)</f>
        <v>44</v>
      </c>
      <c r="X604" s="136">
        <f>IFERROR(__xludf.DUMMYFUNCTION("""COMPUTED_VALUE"""),319.3488372093023)</f>
        <v>319.3488372</v>
      </c>
      <c r="Y604" s="141">
        <f>IFERROR(__xludf.DUMMYFUNCTION("""COMPUTED_VALUE"""),44.61093023255815)</f>
        <v>44.61093023</v>
      </c>
      <c r="Z604" s="141">
        <f>IFERROR(__xludf.DUMMYFUNCTION("""COMPUTED_VALUE"""),1862.5348837209303)</f>
        <v>1862.534884</v>
      </c>
    </row>
    <row r="605">
      <c r="A605" s="41" t="str">
        <f>IFERROR(__xludf.DUMMYFUNCTION("""COMPUTED_VALUE"""),"Elite")</f>
        <v>Elite</v>
      </c>
      <c r="B605" s="41" t="str">
        <f>IFERROR(__xludf.DUMMYFUNCTION("""COMPUTED_VALUE"""),"RSC007907")</f>
        <v>RSC007907</v>
      </c>
      <c r="C605" s="41" t="str">
        <f>IFERROR(__xludf.DUMMYFUNCTION("""COMPUTED_VALUE"""),"chazie.")</f>
        <v>chazie.</v>
      </c>
      <c r="D605" s="41" t="str">
        <f>IFERROR(__xludf.DUMMYFUNCTION("""COMPUTED_VALUE"""),"Praetorian Guard")</f>
        <v>Praetorian Guard</v>
      </c>
      <c r="E605" s="136">
        <f>IFERROR(__xludf.DUMMYFUNCTION("""COMPUTED_VALUE"""),36.0)</f>
        <v>36</v>
      </c>
      <c r="F605" s="136">
        <f>IFERROR(__xludf.DUMMYFUNCTION("""COMPUTED_VALUE"""),25.0)</f>
        <v>25</v>
      </c>
      <c r="G605" s="136">
        <f>IFERROR(__xludf.DUMMYFUNCTION("""COMPUTED_VALUE"""),11.0)</f>
        <v>11</v>
      </c>
      <c r="H605" s="137">
        <f>IFERROR(__xludf.DUMMYFUNCTION("""COMPUTED_VALUE"""),0.6944444444444444)</f>
        <v>0.6944444444</v>
      </c>
      <c r="I605" s="136">
        <f>IFERROR(__xludf.DUMMYFUNCTION("""COMPUTED_VALUE"""),8.0)</f>
        <v>8</v>
      </c>
      <c r="J605" s="136">
        <f>IFERROR(__xludf.DUMMYFUNCTION("""COMPUTED_VALUE"""),13841.0)</f>
        <v>13841</v>
      </c>
      <c r="K605" s="136">
        <f>IFERROR(__xludf.DUMMYFUNCTION("""COMPUTED_VALUE"""),31.0)</f>
        <v>31</v>
      </c>
      <c r="L605" s="136">
        <f>IFERROR(__xludf.DUMMYFUNCTION("""COMPUTED_VALUE"""),27.0)</f>
        <v>27</v>
      </c>
      <c r="M605" s="136">
        <f>IFERROR(__xludf.DUMMYFUNCTION("""COMPUTED_VALUE"""),48.0)</f>
        <v>48</v>
      </c>
      <c r="N605" s="136">
        <f>IFERROR(__xludf.DUMMYFUNCTION("""COMPUTED_VALUE"""),105.0)</f>
        <v>105</v>
      </c>
      <c r="O605" s="138">
        <f>IFERROR(__xludf.DUMMYFUNCTION("""COMPUTED_VALUE"""),8.0)</f>
        <v>8</v>
      </c>
      <c r="P605" s="138">
        <f>IFERROR(__xludf.DUMMYFUNCTION("""COMPUTED_VALUE"""),3.0)</f>
        <v>3</v>
      </c>
      <c r="Q605" s="138">
        <f>IFERROR(__xludf.DUMMYFUNCTION("""COMPUTED_VALUE"""),2.0)</f>
        <v>2</v>
      </c>
      <c r="R605" s="138">
        <f>IFERROR(__xludf.DUMMYFUNCTION("""COMPUTED_VALUE"""),8.0)</f>
        <v>8</v>
      </c>
      <c r="S605" s="139">
        <f>IFERROR(__xludf.DUMMYFUNCTION("""COMPUTED_VALUE"""),271.0)</f>
        <v>271</v>
      </c>
      <c r="T605" s="140">
        <f>IFERROR(__xludf.DUMMYFUNCTION("""COMPUTED_VALUE"""),77.0)</f>
        <v>77</v>
      </c>
      <c r="U605" s="136">
        <f>IFERROR(__xludf.DUMMYFUNCTION("""COMPUTED_VALUE"""),31.0)</f>
        <v>31</v>
      </c>
      <c r="V605" s="136">
        <f>IFERROR(__xludf.DUMMYFUNCTION("""COMPUTED_VALUE"""),58.0)</f>
        <v>58</v>
      </c>
      <c r="W605" s="136">
        <f>IFERROR(__xludf.DUMMYFUNCTION("""COMPUTED_VALUE"""),37.0)</f>
        <v>37</v>
      </c>
      <c r="X605" s="136">
        <f>IFERROR(__xludf.DUMMYFUNCTION("""COMPUTED_VALUE"""),445.5)</f>
        <v>445.5</v>
      </c>
      <c r="Y605" s="141">
        <f>IFERROR(__xludf.DUMMYFUNCTION("""COMPUTED_VALUE"""),46.746388888888895)</f>
        <v>46.74638889</v>
      </c>
      <c r="Z605" s="141">
        <f>IFERROR(__xludf.DUMMYFUNCTION("""COMPUTED_VALUE"""),2668.6388888888887)</f>
        <v>2668.638889</v>
      </c>
    </row>
    <row r="606">
      <c r="A606" s="41" t="str">
        <f>IFERROR(__xludf.DUMMYFUNCTION("""COMPUTED_VALUE"""),"Elite")</f>
        <v>Elite</v>
      </c>
      <c r="B606" s="41" t="str">
        <f>IFERROR(__xludf.DUMMYFUNCTION("""COMPUTED_VALUE"""),"RSC007908")</f>
        <v>RSC007908</v>
      </c>
      <c r="C606" s="41" t="str">
        <f>IFERROR(__xludf.DUMMYFUNCTION("""COMPUTED_VALUE"""),"C01E01")</f>
        <v>C01E01</v>
      </c>
      <c r="D606" s="41" t="str">
        <f>IFERROR(__xludf.DUMMYFUNCTION("""COMPUTED_VALUE"""),"Hydras")</f>
        <v>Hydras</v>
      </c>
      <c r="E606" s="136">
        <f>IFERROR(__xludf.DUMMYFUNCTION("""COMPUTED_VALUE"""),56.0)</f>
        <v>56</v>
      </c>
      <c r="F606" s="136">
        <f>IFERROR(__xludf.DUMMYFUNCTION("""COMPUTED_VALUE"""),31.0)</f>
        <v>31</v>
      </c>
      <c r="G606" s="136">
        <f>IFERROR(__xludf.DUMMYFUNCTION("""COMPUTED_VALUE"""),25.0)</f>
        <v>25</v>
      </c>
      <c r="H606" s="137">
        <f>IFERROR(__xludf.DUMMYFUNCTION("""COMPUTED_VALUE"""),0.5535714285714286)</f>
        <v>0.5535714286</v>
      </c>
      <c r="I606" s="136">
        <f>IFERROR(__xludf.DUMMYFUNCTION("""COMPUTED_VALUE"""),13.0)</f>
        <v>13</v>
      </c>
      <c r="J606" s="136">
        <f>IFERROR(__xludf.DUMMYFUNCTION("""COMPUTED_VALUE"""),22084.0)</f>
        <v>22084</v>
      </c>
      <c r="K606" s="136">
        <f>IFERROR(__xludf.DUMMYFUNCTION("""COMPUTED_VALUE"""),60.0)</f>
        <v>60</v>
      </c>
      <c r="L606" s="136">
        <f>IFERROR(__xludf.DUMMYFUNCTION("""COMPUTED_VALUE"""),29.0)</f>
        <v>29</v>
      </c>
      <c r="M606" s="136">
        <f>IFERROR(__xludf.DUMMYFUNCTION("""COMPUTED_VALUE"""),82.0)</f>
        <v>82</v>
      </c>
      <c r="N606" s="136">
        <f>IFERROR(__xludf.DUMMYFUNCTION("""COMPUTED_VALUE"""),161.0)</f>
        <v>161</v>
      </c>
      <c r="O606" s="138">
        <f>IFERROR(__xludf.DUMMYFUNCTION("""COMPUTED_VALUE"""),14.0)</f>
        <v>14</v>
      </c>
      <c r="P606" s="138">
        <f>IFERROR(__xludf.DUMMYFUNCTION("""COMPUTED_VALUE"""),5.0)</f>
        <v>5</v>
      </c>
      <c r="Q606" s="138">
        <f>IFERROR(__xludf.DUMMYFUNCTION("""COMPUTED_VALUE"""),1.0)</f>
        <v>1</v>
      </c>
      <c r="R606" s="138">
        <f>IFERROR(__xludf.DUMMYFUNCTION("""COMPUTED_VALUE"""),12.0)</f>
        <v>12</v>
      </c>
      <c r="S606" s="139">
        <f>IFERROR(__xludf.DUMMYFUNCTION("""COMPUTED_VALUE"""),427.0)</f>
        <v>427</v>
      </c>
      <c r="T606" s="140">
        <f>IFERROR(__xludf.DUMMYFUNCTION("""COMPUTED_VALUE"""),131.0)</f>
        <v>131</v>
      </c>
      <c r="U606" s="136">
        <f>IFERROR(__xludf.DUMMYFUNCTION("""COMPUTED_VALUE"""),40.0)</f>
        <v>40</v>
      </c>
      <c r="V606" s="136">
        <f>IFERROR(__xludf.DUMMYFUNCTION("""COMPUTED_VALUE"""),44.0)</f>
        <v>44</v>
      </c>
      <c r="W606" s="136">
        <f>IFERROR(__xludf.DUMMYFUNCTION("""COMPUTED_VALUE"""),58.0)</f>
        <v>58</v>
      </c>
      <c r="X606" s="136">
        <f>IFERROR(__xludf.DUMMYFUNCTION("""COMPUTED_VALUE"""),365.98214285714283)</f>
        <v>365.9821429</v>
      </c>
      <c r="Y606" s="141">
        <f>IFERROR(__xludf.DUMMYFUNCTION("""COMPUTED_VALUE"""),48.39625000000002)</f>
        <v>48.39625</v>
      </c>
      <c r="Z606" s="141">
        <f>IFERROR(__xludf.DUMMYFUNCTION("""COMPUTED_VALUE"""),2138.1785714285716)</f>
        <v>2138.178571</v>
      </c>
    </row>
    <row r="607">
      <c r="A607" s="41" t="str">
        <f>IFERROR(__xludf.DUMMYFUNCTION("""COMPUTED_VALUE"""),"Challenger")</f>
        <v>Challenger</v>
      </c>
      <c r="B607" s="41" t="str">
        <f>IFERROR(__xludf.DUMMYFUNCTION("""COMPUTED_VALUE"""),"RSC007911")</f>
        <v>RSC007911</v>
      </c>
      <c r="C607" s="41" t="str">
        <f>IFERROR(__xludf.DUMMYFUNCTION("""COMPUTED_VALUE"""),"Redhood913011")</f>
        <v>Redhood913011</v>
      </c>
      <c r="D607" s="41" t="str">
        <f>IFERROR(__xludf.DUMMYFUNCTION("""COMPUTED_VALUE"""),"Gold Hoarders
Sirens")</f>
        <v>Gold Hoarders
Sirens</v>
      </c>
      <c r="E607" s="136">
        <f>IFERROR(__xludf.DUMMYFUNCTION("""COMPUTED_VALUE"""),51.0)</f>
        <v>51</v>
      </c>
      <c r="F607" s="136">
        <f>IFERROR(__xludf.DUMMYFUNCTION("""COMPUTED_VALUE"""),25.0)</f>
        <v>25</v>
      </c>
      <c r="G607" s="136">
        <f>IFERROR(__xludf.DUMMYFUNCTION("""COMPUTED_VALUE"""),26.0)</f>
        <v>26</v>
      </c>
      <c r="H607" s="137">
        <f>IFERROR(__xludf.DUMMYFUNCTION("""COMPUTED_VALUE"""),0.49019607843137253)</f>
        <v>0.4901960784</v>
      </c>
      <c r="I607" s="136">
        <f>IFERROR(__xludf.DUMMYFUNCTION("""COMPUTED_VALUE"""),11.0)</f>
        <v>11</v>
      </c>
      <c r="J607" s="136">
        <f>IFERROR(__xludf.DUMMYFUNCTION("""COMPUTED_VALUE"""),21626.0)</f>
        <v>21626</v>
      </c>
      <c r="K607" s="136">
        <f>IFERROR(__xludf.DUMMYFUNCTION("""COMPUTED_VALUE"""),53.0)</f>
        <v>53</v>
      </c>
      <c r="L607" s="136">
        <f>IFERROR(__xludf.DUMMYFUNCTION("""COMPUTED_VALUE"""),21.0)</f>
        <v>21</v>
      </c>
      <c r="M607" s="136">
        <f>IFERROR(__xludf.DUMMYFUNCTION("""COMPUTED_VALUE"""),80.0)</f>
        <v>80</v>
      </c>
      <c r="N607" s="136">
        <f>IFERROR(__xludf.DUMMYFUNCTION("""COMPUTED_VALUE"""),171.0)</f>
        <v>171</v>
      </c>
      <c r="O607" s="138">
        <f>IFERROR(__xludf.DUMMYFUNCTION("""COMPUTED_VALUE"""),8.0)</f>
        <v>8</v>
      </c>
      <c r="P607" s="138">
        <f>IFERROR(__xludf.DUMMYFUNCTION("""COMPUTED_VALUE"""),5.0)</f>
        <v>5</v>
      </c>
      <c r="Q607" s="138">
        <f>IFERROR(__xludf.DUMMYFUNCTION("""COMPUTED_VALUE"""),1.0)</f>
        <v>1</v>
      </c>
      <c r="R607" s="138">
        <f>IFERROR(__xludf.DUMMYFUNCTION("""COMPUTED_VALUE"""),10.0)</f>
        <v>10</v>
      </c>
      <c r="S607" s="139">
        <f>IFERROR(__xludf.DUMMYFUNCTION("""COMPUTED_VALUE"""),407.0)</f>
        <v>407</v>
      </c>
      <c r="T607" s="140">
        <f>IFERROR(__xludf.DUMMYFUNCTION("""COMPUTED_VALUE"""),127.0)</f>
        <v>127</v>
      </c>
      <c r="U607" s="136">
        <f>IFERROR(__xludf.DUMMYFUNCTION("""COMPUTED_VALUE"""),44.0)</f>
        <v>44</v>
      </c>
      <c r="V607" s="136">
        <f>IFERROR(__xludf.DUMMYFUNCTION("""COMPUTED_VALUE"""),32.0)</f>
        <v>32</v>
      </c>
      <c r="W607" s="136">
        <f>IFERROR(__xludf.DUMMYFUNCTION("""COMPUTED_VALUE"""),35.0)</f>
        <v>35</v>
      </c>
      <c r="X607" s="136">
        <f>IFERROR(__xludf.DUMMYFUNCTION("""COMPUTED_VALUE"""),339.19607843137254)</f>
        <v>339.1960784</v>
      </c>
      <c r="Y607" s="141">
        <f>IFERROR(__xludf.DUMMYFUNCTION("""COMPUTED_VALUE"""),52.23529411764705)</f>
        <v>52.23529412</v>
      </c>
      <c r="Z607" s="141">
        <f>IFERROR(__xludf.DUMMYFUNCTION("""COMPUTED_VALUE"""),2124.921568627451)</f>
        <v>2124.921569</v>
      </c>
    </row>
    <row r="608">
      <c r="A608" s="41" t="str">
        <f>IFERROR(__xludf.DUMMYFUNCTION("""COMPUTED_VALUE"""),"Prospect")</f>
        <v>Prospect</v>
      </c>
      <c r="B608" s="41" t="str">
        <f>IFERROR(__xludf.DUMMYFUNCTION("""COMPUTED_VALUE"""),"RSC007918")</f>
        <v>RSC007918</v>
      </c>
      <c r="C608" s="41" t="str">
        <f>IFERROR(__xludf.DUMMYFUNCTION("""COMPUTED_VALUE"""),"TheBLKBoy")</f>
        <v>TheBLKBoy</v>
      </c>
      <c r="D608" s="41" t="str">
        <f>IFERROR(__xludf.DUMMYFUNCTION("""COMPUTED_VALUE"""),"Tic Tacs
Skeletons")</f>
        <v>Tic Tacs
Skeletons</v>
      </c>
      <c r="E608" s="136">
        <f>IFERROR(__xludf.DUMMYFUNCTION("""COMPUTED_VALUE"""),33.0)</f>
        <v>33</v>
      </c>
      <c r="F608" s="136">
        <f>IFERROR(__xludf.DUMMYFUNCTION("""COMPUTED_VALUE"""),9.0)</f>
        <v>9</v>
      </c>
      <c r="G608" s="136">
        <f>IFERROR(__xludf.DUMMYFUNCTION("""COMPUTED_VALUE"""),24.0)</f>
        <v>24</v>
      </c>
      <c r="H608" s="137">
        <f>IFERROR(__xludf.DUMMYFUNCTION("""COMPUTED_VALUE"""),0.2727272727272727)</f>
        <v>0.2727272727</v>
      </c>
      <c r="I608" s="136">
        <f>IFERROR(__xludf.DUMMYFUNCTION("""COMPUTED_VALUE"""),1.0)</f>
        <v>1</v>
      </c>
      <c r="J608" s="136">
        <f>IFERROR(__xludf.DUMMYFUNCTION("""COMPUTED_VALUE"""),8930.0)</f>
        <v>8930</v>
      </c>
      <c r="K608" s="136">
        <f>IFERROR(__xludf.DUMMYFUNCTION("""COMPUTED_VALUE"""),21.0)</f>
        <v>21</v>
      </c>
      <c r="L608" s="136">
        <f>IFERROR(__xludf.DUMMYFUNCTION("""COMPUTED_VALUE"""),9.0)</f>
        <v>9</v>
      </c>
      <c r="M608" s="136">
        <f>IFERROR(__xludf.DUMMYFUNCTION("""COMPUTED_VALUE"""),31.0)</f>
        <v>31</v>
      </c>
      <c r="N608" s="136">
        <f>IFERROR(__xludf.DUMMYFUNCTION("""COMPUTED_VALUE"""),63.0)</f>
        <v>63</v>
      </c>
      <c r="O608" s="138">
        <f>IFERROR(__xludf.DUMMYFUNCTION("""COMPUTED_VALUE"""),2.0)</f>
        <v>2</v>
      </c>
      <c r="P608" s="138">
        <f>IFERROR(__xludf.DUMMYFUNCTION("""COMPUTED_VALUE"""),2.0)</f>
        <v>2</v>
      </c>
      <c r="Q608" s="138">
        <f>IFERROR(__xludf.DUMMYFUNCTION("""COMPUTED_VALUE"""),0.0)</f>
        <v>0</v>
      </c>
      <c r="R608" s="138">
        <f>IFERROR(__xludf.DUMMYFUNCTION("""COMPUTED_VALUE"""),1.0)</f>
        <v>1</v>
      </c>
      <c r="S608" s="139">
        <f>IFERROR(__xludf.DUMMYFUNCTION("""COMPUTED_VALUE"""),273.0)</f>
        <v>273</v>
      </c>
      <c r="T608" s="140">
        <f>IFERROR(__xludf.DUMMYFUNCTION("""COMPUTED_VALUE"""),120.0)</f>
        <v>120</v>
      </c>
      <c r="U608" s="136">
        <f>IFERROR(__xludf.DUMMYFUNCTION("""COMPUTED_VALUE"""),49.0)</f>
        <v>49</v>
      </c>
      <c r="V608" s="136">
        <f>IFERROR(__xludf.DUMMYFUNCTION("""COMPUTED_VALUE"""),38.0)</f>
        <v>38</v>
      </c>
      <c r="W608" s="136">
        <f>IFERROR(__xludf.DUMMYFUNCTION("""COMPUTED_VALUE"""),24.0)</f>
        <v>24</v>
      </c>
      <c r="X608" s="136">
        <f>IFERROR(__xludf.DUMMYFUNCTION("""COMPUTED_VALUE"""),346.0)</f>
        <v>346</v>
      </c>
      <c r="Y608" s="141">
        <f>IFERROR(__xludf.DUMMYFUNCTION("""COMPUTED_VALUE"""),45.61363636363636)</f>
        <v>45.61363636</v>
      </c>
      <c r="Z608" s="141">
        <f>IFERROR(__xludf.DUMMYFUNCTION("""COMPUTED_VALUE"""),2017.030303030303)</f>
        <v>2017.030303</v>
      </c>
    </row>
    <row r="609">
      <c r="A609" s="41" t="str">
        <f>IFERROR(__xludf.DUMMYFUNCTION("""COMPUTED_VALUE"""),"Elite")</f>
        <v>Elite</v>
      </c>
      <c r="B609" s="41" t="str">
        <f>IFERROR(__xludf.DUMMYFUNCTION("""COMPUTED_VALUE"""),"RSC007920")</f>
        <v>RSC007920</v>
      </c>
      <c r="C609" s="41" t="str">
        <f>IFERROR(__xludf.DUMMYFUNCTION("""COMPUTED_VALUE"""),"Ocular8")</f>
        <v>Ocular8</v>
      </c>
      <c r="D609" s="41" t="str">
        <f>IFERROR(__xludf.DUMMYFUNCTION("""COMPUTED_VALUE"""),"Krakens
Cotija Cartel")</f>
        <v>Krakens
Cotija Cartel</v>
      </c>
      <c r="E609" s="136">
        <f>IFERROR(__xludf.DUMMYFUNCTION("""COMPUTED_VALUE"""),2.0)</f>
        <v>2</v>
      </c>
      <c r="F609" s="136">
        <f>IFERROR(__xludf.DUMMYFUNCTION("""COMPUTED_VALUE"""),0.0)</f>
        <v>0</v>
      </c>
      <c r="G609" s="136">
        <f>IFERROR(__xludf.DUMMYFUNCTION("""COMPUTED_VALUE"""),2.0)</f>
        <v>2</v>
      </c>
      <c r="H609" s="137">
        <f>IFERROR(__xludf.DUMMYFUNCTION("""COMPUTED_VALUE"""),0.0)</f>
        <v>0</v>
      </c>
      <c r="I609" s="136">
        <f>IFERROR(__xludf.DUMMYFUNCTION("""COMPUTED_VALUE"""),0.0)</f>
        <v>0</v>
      </c>
      <c r="J609" s="136">
        <f>IFERROR(__xludf.DUMMYFUNCTION("""COMPUTED_VALUE"""),585.0)</f>
        <v>585</v>
      </c>
      <c r="K609" s="136">
        <f>IFERROR(__xludf.DUMMYFUNCTION("""COMPUTED_VALUE"""),0.0)</f>
        <v>0</v>
      </c>
      <c r="L609" s="136">
        <f>IFERROR(__xludf.DUMMYFUNCTION("""COMPUTED_VALUE"""),1.0)</f>
        <v>1</v>
      </c>
      <c r="M609" s="136">
        <f>IFERROR(__xludf.DUMMYFUNCTION("""COMPUTED_VALUE"""),4.0)</f>
        <v>4</v>
      </c>
      <c r="N609" s="136">
        <f>IFERROR(__xludf.DUMMYFUNCTION("""COMPUTED_VALUE"""),3.0)</f>
        <v>3</v>
      </c>
      <c r="O609" s="138">
        <f>IFERROR(__xludf.DUMMYFUNCTION("""COMPUTED_VALUE"""),0.0)</f>
        <v>0</v>
      </c>
      <c r="P609" s="138">
        <f>IFERROR(__xludf.DUMMYFUNCTION("""COMPUTED_VALUE"""),0.0)</f>
        <v>0</v>
      </c>
      <c r="Q609" s="138">
        <f>IFERROR(__xludf.DUMMYFUNCTION("""COMPUTED_VALUE"""),0.0)</f>
        <v>0</v>
      </c>
      <c r="R609" s="138">
        <f>IFERROR(__xludf.DUMMYFUNCTION("""COMPUTED_VALUE"""),1.0)</f>
        <v>1</v>
      </c>
      <c r="S609" s="139">
        <f>IFERROR(__xludf.DUMMYFUNCTION("""COMPUTED_VALUE"""),20.0)</f>
        <v>20</v>
      </c>
      <c r="T609" s="140">
        <f>IFERROR(__xludf.DUMMYFUNCTION("""COMPUTED_VALUE"""),10.0)</f>
        <v>10</v>
      </c>
      <c r="U609" s="136">
        <f>IFERROR(__xludf.DUMMYFUNCTION("""COMPUTED_VALUE"""),8.0)</f>
        <v>8</v>
      </c>
      <c r="V609" s="136">
        <f>IFERROR(__xludf.DUMMYFUNCTION("""COMPUTED_VALUE"""),0.0)</f>
        <v>0</v>
      </c>
      <c r="W609" s="136">
        <f>IFERROR(__xludf.DUMMYFUNCTION("""COMPUTED_VALUE"""),2.0)</f>
        <v>2</v>
      </c>
      <c r="X609" s="136">
        <f>IFERROR(__xludf.DUMMYFUNCTION("""COMPUTED_VALUE"""),357.0)</f>
        <v>357</v>
      </c>
      <c r="Y609" s="141">
        <f>IFERROR(__xludf.DUMMYFUNCTION("""COMPUTED_VALUE"""),47.489999999999995)</f>
        <v>47.49</v>
      </c>
      <c r="Z609" s="141">
        <f>IFERROR(__xludf.DUMMYFUNCTION("""COMPUTED_VALUE"""),2041.5)</f>
        <v>2041.5</v>
      </c>
    </row>
    <row r="610">
      <c r="A610" s="41" t="str">
        <f>IFERROR(__xludf.DUMMYFUNCTION("""COMPUTED_VALUE"""),"Amateur")</f>
        <v>Amateur</v>
      </c>
      <c r="B610" s="41" t="str">
        <f>IFERROR(__xludf.DUMMYFUNCTION("""COMPUTED_VALUE"""),"RSC007921")</f>
        <v>RSC007921</v>
      </c>
      <c r="C610" s="41" t="str">
        <f>IFERROR(__xludf.DUMMYFUNCTION("""COMPUTED_VALUE"""),"sXCyBeast")</f>
        <v>sXCyBeast</v>
      </c>
      <c r="D610" s="41" t="str">
        <f>IFERROR(__xludf.DUMMYFUNCTION("""COMPUTED_VALUE"""),"HR Violation")</f>
        <v>HR Violation</v>
      </c>
      <c r="E610" s="136">
        <f>IFERROR(__xludf.DUMMYFUNCTION("""COMPUTED_VALUE"""),56.0)</f>
        <v>56</v>
      </c>
      <c r="F610" s="136">
        <f>IFERROR(__xludf.DUMMYFUNCTION("""COMPUTED_VALUE"""),27.0)</f>
        <v>27</v>
      </c>
      <c r="G610" s="136">
        <f>IFERROR(__xludf.DUMMYFUNCTION("""COMPUTED_VALUE"""),29.0)</f>
        <v>29</v>
      </c>
      <c r="H610" s="137">
        <f>IFERROR(__xludf.DUMMYFUNCTION("""COMPUTED_VALUE"""),0.48214285714285715)</f>
        <v>0.4821428571</v>
      </c>
      <c r="I610" s="136">
        <f>IFERROR(__xludf.DUMMYFUNCTION("""COMPUTED_VALUE"""),7.0)</f>
        <v>7</v>
      </c>
      <c r="J610" s="136">
        <f>IFERROR(__xludf.DUMMYFUNCTION("""COMPUTED_VALUE"""),14400.0)</f>
        <v>14400</v>
      </c>
      <c r="K610" s="136">
        <f>IFERROR(__xludf.DUMMYFUNCTION("""COMPUTED_VALUE"""),31.0)</f>
        <v>31</v>
      </c>
      <c r="L610" s="136">
        <f>IFERROR(__xludf.DUMMYFUNCTION("""COMPUTED_VALUE"""),21.0)</f>
        <v>21</v>
      </c>
      <c r="M610" s="136">
        <f>IFERROR(__xludf.DUMMYFUNCTION("""COMPUTED_VALUE"""),66.0)</f>
        <v>66</v>
      </c>
      <c r="N610" s="136">
        <f>IFERROR(__xludf.DUMMYFUNCTION("""COMPUTED_VALUE"""),93.0)</f>
        <v>93</v>
      </c>
      <c r="O610" s="138">
        <f>IFERROR(__xludf.DUMMYFUNCTION("""COMPUTED_VALUE"""),8.0)</f>
        <v>8</v>
      </c>
      <c r="P610" s="138">
        <f>IFERROR(__xludf.DUMMYFUNCTION("""COMPUTED_VALUE"""),1.0)</f>
        <v>1</v>
      </c>
      <c r="Q610" s="138">
        <f>IFERROR(__xludf.DUMMYFUNCTION("""COMPUTED_VALUE"""),1.0)</f>
        <v>1</v>
      </c>
      <c r="R610" s="138">
        <f>IFERROR(__xludf.DUMMYFUNCTION("""COMPUTED_VALUE"""),5.0)</f>
        <v>5</v>
      </c>
      <c r="S610" s="139">
        <f>IFERROR(__xludf.DUMMYFUNCTION("""COMPUTED_VALUE"""),371.0)</f>
        <v>371</v>
      </c>
      <c r="T610" s="140">
        <f>IFERROR(__xludf.DUMMYFUNCTION("""COMPUTED_VALUE"""),123.0)</f>
        <v>123</v>
      </c>
      <c r="U610" s="136">
        <f>IFERROR(__xludf.DUMMYFUNCTION("""COMPUTED_VALUE"""),34.0)</f>
        <v>34</v>
      </c>
      <c r="V610" s="136">
        <f>IFERROR(__xludf.DUMMYFUNCTION("""COMPUTED_VALUE"""),61.0)</f>
        <v>61</v>
      </c>
      <c r="W610" s="136">
        <f>IFERROR(__xludf.DUMMYFUNCTION("""COMPUTED_VALUE"""),36.0)</f>
        <v>36</v>
      </c>
      <c r="X610" s="139">
        <f>IFERROR(__xludf.DUMMYFUNCTION("""COMPUTED_VALUE"""),346.9642857142857)</f>
        <v>346.9642857</v>
      </c>
      <c r="Y610" s="141">
        <f>IFERROR(__xludf.DUMMYFUNCTION("""COMPUTED_VALUE"""),53.85839285714287)</f>
        <v>53.85839286</v>
      </c>
      <c r="Z610" s="141">
        <f>IFERROR(__xludf.DUMMYFUNCTION("""COMPUTED_VALUE"""),2063.9464285714284)</f>
        <v>2063.946429</v>
      </c>
    </row>
    <row r="611">
      <c r="A611" s="41" t="str">
        <f>IFERROR(__xludf.DUMMYFUNCTION("""COMPUTED_VALUE"""),"Premier")</f>
        <v>Premier</v>
      </c>
      <c r="B611" s="41" t="str">
        <f>IFERROR(__xludf.DUMMYFUNCTION("""COMPUTED_VALUE"""),"RSC007924")</f>
        <v>RSC007924</v>
      </c>
      <c r="C611" s="41" t="str">
        <f>IFERROR(__xludf.DUMMYFUNCTION("""COMPUTED_VALUE"""),"Kaorix")</f>
        <v>Kaorix</v>
      </c>
      <c r="D611" s="41" t="str">
        <f>IFERROR(__xludf.DUMMYFUNCTION("""COMPUTED_VALUE"""),"Interstellar")</f>
        <v>Interstellar</v>
      </c>
      <c r="E611" s="136">
        <f>IFERROR(__xludf.DUMMYFUNCTION("""COMPUTED_VALUE"""),12.0)</f>
        <v>12</v>
      </c>
      <c r="F611" s="136">
        <f>IFERROR(__xludf.DUMMYFUNCTION("""COMPUTED_VALUE"""),4.0)</f>
        <v>4</v>
      </c>
      <c r="G611" s="136">
        <f>IFERROR(__xludf.DUMMYFUNCTION("""COMPUTED_VALUE"""),8.0)</f>
        <v>8</v>
      </c>
      <c r="H611" s="137">
        <f>IFERROR(__xludf.DUMMYFUNCTION("""COMPUTED_VALUE"""),0.3333333333333333)</f>
        <v>0.3333333333</v>
      </c>
      <c r="I611" s="136">
        <f>IFERROR(__xludf.DUMMYFUNCTION("""COMPUTED_VALUE"""),2.0)</f>
        <v>2</v>
      </c>
      <c r="J611" s="136">
        <f>IFERROR(__xludf.DUMMYFUNCTION("""COMPUTED_VALUE"""),3737.0)</f>
        <v>3737</v>
      </c>
      <c r="K611" s="136">
        <f>IFERROR(__xludf.DUMMYFUNCTION("""COMPUTED_VALUE"""),6.0)</f>
        <v>6</v>
      </c>
      <c r="L611" s="136">
        <f>IFERROR(__xludf.DUMMYFUNCTION("""COMPUTED_VALUE"""),3.0)</f>
        <v>3</v>
      </c>
      <c r="M611" s="136">
        <f>IFERROR(__xludf.DUMMYFUNCTION("""COMPUTED_VALUE"""),21.0)</f>
        <v>21</v>
      </c>
      <c r="N611" s="136">
        <f>IFERROR(__xludf.DUMMYFUNCTION("""COMPUTED_VALUE"""),23.0)</f>
        <v>23</v>
      </c>
      <c r="O611" s="138">
        <f>IFERROR(__xludf.DUMMYFUNCTION("""COMPUTED_VALUE"""),3.0)</f>
        <v>3</v>
      </c>
      <c r="P611" s="138">
        <f>IFERROR(__xludf.DUMMYFUNCTION("""COMPUTED_VALUE"""),0.0)</f>
        <v>0</v>
      </c>
      <c r="Q611" s="138">
        <f>IFERROR(__xludf.DUMMYFUNCTION("""COMPUTED_VALUE"""),0.0)</f>
        <v>0</v>
      </c>
      <c r="R611" s="138">
        <f>IFERROR(__xludf.DUMMYFUNCTION("""COMPUTED_VALUE"""),6.0)</f>
        <v>6</v>
      </c>
      <c r="S611" s="139">
        <f>IFERROR(__xludf.DUMMYFUNCTION("""COMPUTED_VALUE"""),102.0)</f>
        <v>102</v>
      </c>
      <c r="T611" s="140">
        <f>IFERROR(__xludf.DUMMYFUNCTION("""COMPUTED_VALUE"""),31.0)</f>
        <v>31</v>
      </c>
      <c r="U611" s="136">
        <f>IFERROR(__xludf.DUMMYFUNCTION("""COMPUTED_VALUE"""),11.0)</f>
        <v>11</v>
      </c>
      <c r="V611" s="136">
        <f>IFERROR(__xludf.DUMMYFUNCTION("""COMPUTED_VALUE"""),23.0)</f>
        <v>23</v>
      </c>
      <c r="W611" s="136">
        <f>IFERROR(__xludf.DUMMYFUNCTION("""COMPUTED_VALUE"""),18.0)</f>
        <v>18</v>
      </c>
      <c r="X611" s="136">
        <f>IFERROR(__xludf.DUMMYFUNCTION("""COMPUTED_VALUE"""),401.9166666666667)</f>
        <v>401.9166667</v>
      </c>
      <c r="Y611" s="141">
        <f>IFERROR(__xludf.DUMMYFUNCTION("""COMPUTED_VALUE"""),48.88666666666666)</f>
        <v>48.88666667</v>
      </c>
      <c r="Z611" s="141">
        <f>IFERROR(__xludf.DUMMYFUNCTION("""COMPUTED_VALUE"""),2372.5)</f>
        <v>2372.5</v>
      </c>
    </row>
    <row r="612">
      <c r="A612" s="41" t="str">
        <f>IFERROR(__xludf.DUMMYFUNCTION("""COMPUTED_VALUE"""),"Elite")</f>
        <v>Elite</v>
      </c>
      <c r="B612" s="41" t="str">
        <f>IFERROR(__xludf.DUMMYFUNCTION("""COMPUTED_VALUE"""),"RSC007930")</f>
        <v>RSC007930</v>
      </c>
      <c r="C612" s="41" t="str">
        <f>IFERROR(__xludf.DUMMYFUNCTION("""COMPUTED_VALUE"""),"Ziffy")</f>
        <v>Ziffy</v>
      </c>
      <c r="D612" s="41" t="str">
        <f>IFERROR(__xludf.DUMMYFUNCTION("""COMPUTED_VALUE"""),"Forest Cobra
Thrashers")</f>
        <v>Forest Cobra
Thrashers</v>
      </c>
      <c r="E612" s="136">
        <f>IFERROR(__xludf.DUMMYFUNCTION("""COMPUTED_VALUE"""),7.0)</f>
        <v>7</v>
      </c>
      <c r="F612" s="136">
        <f>IFERROR(__xludf.DUMMYFUNCTION("""COMPUTED_VALUE"""),0.0)</f>
        <v>0</v>
      </c>
      <c r="G612" s="136">
        <f>IFERROR(__xludf.DUMMYFUNCTION("""COMPUTED_VALUE"""),7.0)</f>
        <v>7</v>
      </c>
      <c r="H612" s="137">
        <f>IFERROR(__xludf.DUMMYFUNCTION("""COMPUTED_VALUE"""),0.0)</f>
        <v>0</v>
      </c>
      <c r="I612" s="136">
        <f>IFERROR(__xludf.DUMMYFUNCTION("""COMPUTED_VALUE"""),0.0)</f>
        <v>0</v>
      </c>
      <c r="J612" s="136">
        <f>IFERROR(__xludf.DUMMYFUNCTION("""COMPUTED_VALUE"""),2503.0)</f>
        <v>2503</v>
      </c>
      <c r="K612" s="136">
        <f>IFERROR(__xludf.DUMMYFUNCTION("""COMPUTED_VALUE"""),3.0)</f>
        <v>3</v>
      </c>
      <c r="L612" s="136">
        <f>IFERROR(__xludf.DUMMYFUNCTION("""COMPUTED_VALUE"""),1.0)</f>
        <v>1</v>
      </c>
      <c r="M612" s="136">
        <f>IFERROR(__xludf.DUMMYFUNCTION("""COMPUTED_VALUE"""),14.0)</f>
        <v>14</v>
      </c>
      <c r="N612" s="136">
        <f>IFERROR(__xludf.DUMMYFUNCTION("""COMPUTED_VALUE"""),11.0)</f>
        <v>11</v>
      </c>
      <c r="O612" s="138">
        <f>IFERROR(__xludf.DUMMYFUNCTION("""COMPUTED_VALUE"""),0.0)</f>
        <v>0</v>
      </c>
      <c r="P612" s="138">
        <f>IFERROR(__xludf.DUMMYFUNCTION("""COMPUTED_VALUE"""),0.0)</f>
        <v>0</v>
      </c>
      <c r="Q612" s="138">
        <f>IFERROR(__xludf.DUMMYFUNCTION("""COMPUTED_VALUE"""),0.0)</f>
        <v>0</v>
      </c>
      <c r="R612" s="138">
        <f>IFERROR(__xludf.DUMMYFUNCTION("""COMPUTED_VALUE"""),3.0)</f>
        <v>3</v>
      </c>
      <c r="S612" s="139">
        <f>IFERROR(__xludf.DUMMYFUNCTION("""COMPUTED_VALUE"""),68.0)</f>
        <v>68</v>
      </c>
      <c r="T612" s="140">
        <f>IFERROR(__xludf.DUMMYFUNCTION("""COMPUTED_VALUE"""),23.0)</f>
        <v>23</v>
      </c>
      <c r="U612" s="136">
        <f>IFERROR(__xludf.DUMMYFUNCTION("""COMPUTED_VALUE"""),6.0)</f>
        <v>6</v>
      </c>
      <c r="V612" s="136">
        <f>IFERROR(__xludf.DUMMYFUNCTION("""COMPUTED_VALUE"""),1.0)</f>
        <v>1</v>
      </c>
      <c r="W612" s="136">
        <f>IFERROR(__xludf.DUMMYFUNCTION("""COMPUTED_VALUE"""),8.0)</f>
        <v>8</v>
      </c>
      <c r="X612" s="136">
        <f>IFERROR(__xludf.DUMMYFUNCTION("""COMPUTED_VALUE"""),392.0)</f>
        <v>392</v>
      </c>
      <c r="Y612" s="141">
        <f>IFERROR(__xludf.DUMMYFUNCTION("""COMPUTED_VALUE"""),46.02285714285714)</f>
        <v>46.02285714</v>
      </c>
      <c r="Z612" s="141">
        <f>IFERROR(__xludf.DUMMYFUNCTION("""COMPUTED_VALUE"""),2385.8571428571427)</f>
        <v>2385.857143</v>
      </c>
    </row>
    <row r="613">
      <c r="A613" s="41" t="str">
        <f>IFERROR(__xludf.DUMMYFUNCTION("""COMPUTED_VALUE"""),"Elite")</f>
        <v>Elite</v>
      </c>
      <c r="B613" s="41" t="str">
        <f>IFERROR(__xludf.DUMMYFUNCTION("""COMPUTED_VALUE"""),"RSC007936")</f>
        <v>RSC007936</v>
      </c>
      <c r="C613" s="41" t="str">
        <f>IFERROR(__xludf.DUMMYFUNCTION("""COMPUTED_VALUE"""),"Crazics")</f>
        <v>Crazics</v>
      </c>
      <c r="D613" s="41" t="str">
        <f>IFERROR(__xludf.DUMMYFUNCTION("""COMPUTED_VALUE"""),"Cotija Cartel")</f>
        <v>Cotija Cartel</v>
      </c>
      <c r="E613" s="136">
        <f>IFERROR(__xludf.DUMMYFUNCTION("""COMPUTED_VALUE"""),39.0)</f>
        <v>39</v>
      </c>
      <c r="F613" s="136">
        <f>IFERROR(__xludf.DUMMYFUNCTION("""COMPUTED_VALUE"""),16.0)</f>
        <v>16</v>
      </c>
      <c r="G613" s="136">
        <f>IFERROR(__xludf.DUMMYFUNCTION("""COMPUTED_VALUE"""),23.0)</f>
        <v>23</v>
      </c>
      <c r="H613" s="137">
        <f>IFERROR(__xludf.DUMMYFUNCTION("""COMPUTED_VALUE"""),0.41025641025641024)</f>
        <v>0.4102564103</v>
      </c>
      <c r="I613" s="136">
        <f>IFERROR(__xludf.DUMMYFUNCTION("""COMPUTED_VALUE"""),3.0)</f>
        <v>3</v>
      </c>
      <c r="J613" s="136">
        <f>IFERROR(__xludf.DUMMYFUNCTION("""COMPUTED_VALUE"""),13137.0)</f>
        <v>13137</v>
      </c>
      <c r="K613" s="136">
        <f>IFERROR(__xludf.DUMMYFUNCTION("""COMPUTED_VALUE"""),24.0)</f>
        <v>24</v>
      </c>
      <c r="L613" s="136">
        <f>IFERROR(__xludf.DUMMYFUNCTION("""COMPUTED_VALUE"""),23.0)</f>
        <v>23</v>
      </c>
      <c r="M613" s="136">
        <f>IFERROR(__xludf.DUMMYFUNCTION("""COMPUTED_VALUE"""),64.0)</f>
        <v>64</v>
      </c>
      <c r="N613" s="136">
        <f>IFERROR(__xludf.DUMMYFUNCTION("""COMPUTED_VALUE"""),101.0)</f>
        <v>101</v>
      </c>
      <c r="O613" s="138">
        <f>IFERROR(__xludf.DUMMYFUNCTION("""COMPUTED_VALUE"""),3.0)</f>
        <v>3</v>
      </c>
      <c r="P613" s="138">
        <f>IFERROR(__xludf.DUMMYFUNCTION("""COMPUTED_VALUE"""),0.0)</f>
        <v>0</v>
      </c>
      <c r="Q613" s="138">
        <f>IFERROR(__xludf.DUMMYFUNCTION("""COMPUTED_VALUE"""),0.0)</f>
        <v>0</v>
      </c>
      <c r="R613" s="138">
        <f>IFERROR(__xludf.DUMMYFUNCTION("""COMPUTED_VALUE"""),9.0)</f>
        <v>9</v>
      </c>
      <c r="S613" s="139">
        <f>IFERROR(__xludf.DUMMYFUNCTION("""COMPUTED_VALUE"""),344.0)</f>
        <v>344</v>
      </c>
      <c r="T613" s="140">
        <f>IFERROR(__xludf.DUMMYFUNCTION("""COMPUTED_VALUE"""),116.0)</f>
        <v>116</v>
      </c>
      <c r="U613" s="136">
        <f>IFERROR(__xludf.DUMMYFUNCTION("""COMPUTED_VALUE"""),36.0)</f>
        <v>36</v>
      </c>
      <c r="V613" s="136">
        <f>IFERROR(__xludf.DUMMYFUNCTION("""COMPUTED_VALUE"""),25.0)</f>
        <v>25</v>
      </c>
      <c r="W613" s="136">
        <f>IFERROR(__xludf.DUMMYFUNCTION("""COMPUTED_VALUE"""),40.0)</f>
        <v>40</v>
      </c>
      <c r="X613" s="136">
        <f>IFERROR(__xludf.DUMMYFUNCTION("""COMPUTED_VALUE"""),354.12820512820514)</f>
        <v>354.1282051</v>
      </c>
      <c r="Y613" s="141">
        <f>IFERROR(__xludf.DUMMYFUNCTION("""COMPUTED_VALUE"""),56.41538461538461)</f>
        <v>56.41538462</v>
      </c>
      <c r="Z613" s="141">
        <f>IFERROR(__xludf.DUMMYFUNCTION("""COMPUTED_VALUE"""),2280.2820512820513)</f>
        <v>2280.282051</v>
      </c>
    </row>
    <row r="614">
      <c r="A614" s="41" t="str">
        <f>IFERROR(__xludf.DUMMYFUNCTION("""COMPUTED_VALUE"""),"Master")</f>
        <v>Master</v>
      </c>
      <c r="B614" s="41" t="str">
        <f>IFERROR(__xludf.DUMMYFUNCTION("""COMPUTED_VALUE"""),"RSC007941")</f>
        <v>RSC007941</v>
      </c>
      <c r="C614" s="41" t="str">
        <f>IFERROR(__xludf.DUMMYFUNCTION("""COMPUTED_VALUE"""),"Shepherd")</f>
        <v>Shepherd</v>
      </c>
      <c r="D614" s="41" t="str">
        <f>IFERROR(__xludf.DUMMYFUNCTION("""COMPUTED_VALUE"""),"Spectres")</f>
        <v>Spectres</v>
      </c>
      <c r="E614" s="136">
        <f>IFERROR(__xludf.DUMMYFUNCTION("""COMPUTED_VALUE"""),36.0)</f>
        <v>36</v>
      </c>
      <c r="F614" s="136">
        <f>IFERROR(__xludf.DUMMYFUNCTION("""COMPUTED_VALUE"""),21.0)</f>
        <v>21</v>
      </c>
      <c r="G614" s="136">
        <f>IFERROR(__xludf.DUMMYFUNCTION("""COMPUTED_VALUE"""),15.0)</f>
        <v>15</v>
      </c>
      <c r="H614" s="137">
        <f>IFERROR(__xludf.DUMMYFUNCTION("""COMPUTED_VALUE"""),0.5833333333333334)</f>
        <v>0.5833333333</v>
      </c>
      <c r="I614" s="136">
        <f>IFERROR(__xludf.DUMMYFUNCTION("""COMPUTED_VALUE"""),2.0)</f>
        <v>2</v>
      </c>
      <c r="J614" s="136">
        <f>IFERROR(__xludf.DUMMYFUNCTION("""COMPUTED_VALUE"""),9683.0)</f>
        <v>9683</v>
      </c>
      <c r="K614" s="136">
        <f>IFERROR(__xludf.DUMMYFUNCTION("""COMPUTED_VALUE"""),18.0)</f>
        <v>18</v>
      </c>
      <c r="L614" s="136">
        <f>IFERROR(__xludf.DUMMYFUNCTION("""COMPUTED_VALUE"""),18.0)</f>
        <v>18</v>
      </c>
      <c r="M614" s="136">
        <f>IFERROR(__xludf.DUMMYFUNCTION("""COMPUTED_VALUE"""),39.0)</f>
        <v>39</v>
      </c>
      <c r="N614" s="136">
        <f>IFERROR(__xludf.DUMMYFUNCTION("""COMPUTED_VALUE"""),64.0)</f>
        <v>64</v>
      </c>
      <c r="O614" s="138">
        <f>IFERROR(__xludf.DUMMYFUNCTION("""COMPUTED_VALUE"""),5.0)</f>
        <v>5</v>
      </c>
      <c r="P614" s="138">
        <f>IFERROR(__xludf.DUMMYFUNCTION("""COMPUTED_VALUE"""),0.0)</f>
        <v>0</v>
      </c>
      <c r="Q614" s="138">
        <f>IFERROR(__xludf.DUMMYFUNCTION("""COMPUTED_VALUE"""),2.0)</f>
        <v>2</v>
      </c>
      <c r="R614" s="138">
        <f>IFERROR(__xludf.DUMMYFUNCTION("""COMPUTED_VALUE"""),4.0)</f>
        <v>4</v>
      </c>
      <c r="S614" s="139">
        <f>IFERROR(__xludf.DUMMYFUNCTION("""COMPUTED_VALUE"""),229.0)</f>
        <v>229</v>
      </c>
      <c r="T614" s="140">
        <f>IFERROR(__xludf.DUMMYFUNCTION("""COMPUTED_VALUE"""),63.0)</f>
        <v>63</v>
      </c>
      <c r="U614" s="136">
        <f>IFERROR(__xludf.DUMMYFUNCTION("""COMPUTED_VALUE"""),16.0)</f>
        <v>16</v>
      </c>
      <c r="V614" s="136">
        <f>IFERROR(__xludf.DUMMYFUNCTION("""COMPUTED_VALUE"""),54.0)</f>
        <v>54</v>
      </c>
      <c r="W614" s="136">
        <f>IFERROR(__xludf.DUMMYFUNCTION("""COMPUTED_VALUE"""),45.0)</f>
        <v>45</v>
      </c>
      <c r="X614" s="136">
        <f>IFERROR(__xludf.DUMMYFUNCTION("""COMPUTED_VALUE"""),361.21875)</f>
        <v>361.21875</v>
      </c>
      <c r="Y614" s="141">
        <f>IFERROR(__xludf.DUMMYFUNCTION("""COMPUTED_VALUE"""),49.001562500000006)</f>
        <v>49.0015625</v>
      </c>
      <c r="Z614" s="141">
        <f>IFERROR(__xludf.DUMMYFUNCTION("""COMPUTED_VALUE"""),2260.6875)</f>
        <v>2260.6875</v>
      </c>
    </row>
    <row r="615">
      <c r="A615" s="41" t="str">
        <f>IFERROR(__xludf.DUMMYFUNCTION("""COMPUTED_VALUE"""),"Elite")</f>
        <v>Elite</v>
      </c>
      <c r="B615" s="41" t="str">
        <f>IFERROR(__xludf.DUMMYFUNCTION("""COMPUTED_VALUE"""),"RSC007954")</f>
        <v>RSC007954</v>
      </c>
      <c r="C615" s="41" t="str">
        <f>IFERROR(__xludf.DUMMYFUNCTION("""COMPUTED_VALUE"""),"Killer")</f>
        <v>Killer</v>
      </c>
      <c r="D615" s="41" t="str">
        <f>IFERROR(__xludf.DUMMYFUNCTION("""COMPUTED_VALUE"""),"Gelato")</f>
        <v>Gelato</v>
      </c>
      <c r="E615" s="136">
        <f>IFERROR(__xludf.DUMMYFUNCTION("""COMPUTED_VALUE"""),32.0)</f>
        <v>32</v>
      </c>
      <c r="F615" s="136">
        <f>IFERROR(__xludf.DUMMYFUNCTION("""COMPUTED_VALUE"""),20.0)</f>
        <v>20</v>
      </c>
      <c r="G615" s="136">
        <f>IFERROR(__xludf.DUMMYFUNCTION("""COMPUTED_VALUE"""),12.0)</f>
        <v>12</v>
      </c>
      <c r="H615" s="137">
        <f>IFERROR(__xludf.DUMMYFUNCTION("""COMPUTED_VALUE"""),0.625)</f>
        <v>0.625</v>
      </c>
      <c r="I615" s="136">
        <f>IFERROR(__xludf.DUMMYFUNCTION("""COMPUTED_VALUE"""),11.0)</f>
        <v>11</v>
      </c>
      <c r="J615" s="136">
        <f>IFERROR(__xludf.DUMMYFUNCTION("""COMPUTED_VALUE"""),13648.0)</f>
        <v>13648</v>
      </c>
      <c r="K615" s="136">
        <f>IFERROR(__xludf.DUMMYFUNCTION("""COMPUTED_VALUE"""),35.0)</f>
        <v>35</v>
      </c>
      <c r="L615" s="136">
        <f>IFERROR(__xludf.DUMMYFUNCTION("""COMPUTED_VALUE"""),29.0)</f>
        <v>29</v>
      </c>
      <c r="M615" s="136">
        <f>IFERROR(__xludf.DUMMYFUNCTION("""COMPUTED_VALUE"""),50.0)</f>
        <v>50</v>
      </c>
      <c r="N615" s="136">
        <f>IFERROR(__xludf.DUMMYFUNCTION("""COMPUTED_VALUE"""),97.0)</f>
        <v>97</v>
      </c>
      <c r="O615" s="138">
        <f>IFERROR(__xludf.DUMMYFUNCTION("""COMPUTED_VALUE"""),12.0)</f>
        <v>12</v>
      </c>
      <c r="P615" s="138">
        <f>IFERROR(__xludf.DUMMYFUNCTION("""COMPUTED_VALUE"""),4.0)</f>
        <v>4</v>
      </c>
      <c r="Q615" s="138">
        <f>IFERROR(__xludf.DUMMYFUNCTION("""COMPUTED_VALUE"""),1.0)</f>
        <v>1</v>
      </c>
      <c r="R615" s="138">
        <f>IFERROR(__xludf.DUMMYFUNCTION("""COMPUTED_VALUE"""),7.0)</f>
        <v>7</v>
      </c>
      <c r="S615" s="139">
        <f>IFERROR(__xludf.DUMMYFUNCTION("""COMPUTED_VALUE"""),266.0)</f>
        <v>266</v>
      </c>
      <c r="T615" s="140">
        <f>IFERROR(__xludf.DUMMYFUNCTION("""COMPUTED_VALUE"""),72.0)</f>
        <v>72</v>
      </c>
      <c r="U615" s="136">
        <f>IFERROR(__xludf.DUMMYFUNCTION("""COMPUTED_VALUE"""),22.0)</f>
        <v>22</v>
      </c>
      <c r="V615" s="136">
        <f>IFERROR(__xludf.DUMMYFUNCTION("""COMPUTED_VALUE"""),36.0)</f>
        <v>36</v>
      </c>
      <c r="W615" s="136">
        <f>IFERROR(__xludf.DUMMYFUNCTION("""COMPUTED_VALUE"""),41.0)</f>
        <v>41</v>
      </c>
      <c r="X615" s="136">
        <f>IFERROR(__xludf.DUMMYFUNCTION("""COMPUTED_VALUE"""),409.09375)</f>
        <v>409.09375</v>
      </c>
      <c r="Y615" s="141">
        <f>IFERROR(__xludf.DUMMYFUNCTION("""COMPUTED_VALUE"""),48.640312500000014)</f>
        <v>48.6403125</v>
      </c>
      <c r="Z615" s="141">
        <f>IFERROR(__xludf.DUMMYFUNCTION("""COMPUTED_VALUE"""),2399.28125)</f>
        <v>2399.28125</v>
      </c>
    </row>
    <row r="616">
      <c r="A616" s="41" t="str">
        <f>IFERROR(__xludf.DUMMYFUNCTION("""COMPUTED_VALUE"""),"Challenger")</f>
        <v>Challenger</v>
      </c>
      <c r="B616" s="41" t="str">
        <f>IFERROR(__xludf.DUMMYFUNCTION("""COMPUTED_VALUE"""),"RSC007955")</f>
        <v>RSC007955</v>
      </c>
      <c r="C616" s="41" t="str">
        <f>IFERROR(__xludf.DUMMYFUNCTION("""COMPUTED_VALUE"""),"JonathanVanDyk")</f>
        <v>JonathanVanDyk</v>
      </c>
      <c r="D616" s="41" t="str">
        <f>IFERROR(__xludf.DUMMYFUNCTION("""COMPUTED_VALUE"""),"Threshers")</f>
        <v>Threshers</v>
      </c>
      <c r="E616" s="136">
        <f>IFERROR(__xludf.DUMMYFUNCTION("""COMPUTED_VALUE"""),16.0)</f>
        <v>16</v>
      </c>
      <c r="F616" s="136">
        <f>IFERROR(__xludf.DUMMYFUNCTION("""COMPUTED_VALUE"""),7.0)</f>
        <v>7</v>
      </c>
      <c r="G616" s="136">
        <f>IFERROR(__xludf.DUMMYFUNCTION("""COMPUTED_VALUE"""),9.0)</f>
        <v>9</v>
      </c>
      <c r="H616" s="137">
        <f>IFERROR(__xludf.DUMMYFUNCTION("""COMPUTED_VALUE"""),0.4375)</f>
        <v>0.4375</v>
      </c>
      <c r="I616" s="136">
        <f>IFERROR(__xludf.DUMMYFUNCTION("""COMPUTED_VALUE"""),1.0)</f>
        <v>1</v>
      </c>
      <c r="J616" s="136">
        <f>IFERROR(__xludf.DUMMYFUNCTION("""COMPUTED_VALUE"""),3882.0)</f>
        <v>3882</v>
      </c>
      <c r="K616" s="136">
        <f>IFERROR(__xludf.DUMMYFUNCTION("""COMPUTED_VALUE"""),7.0)</f>
        <v>7</v>
      </c>
      <c r="L616" s="136">
        <f>IFERROR(__xludf.DUMMYFUNCTION("""COMPUTED_VALUE"""),2.0)</f>
        <v>2</v>
      </c>
      <c r="M616" s="136">
        <f>IFERROR(__xludf.DUMMYFUNCTION("""COMPUTED_VALUE"""),19.0)</f>
        <v>19</v>
      </c>
      <c r="N616" s="136">
        <f>IFERROR(__xludf.DUMMYFUNCTION("""COMPUTED_VALUE"""),25.0)</f>
        <v>25</v>
      </c>
      <c r="O616" s="138">
        <f>IFERROR(__xludf.DUMMYFUNCTION("""COMPUTED_VALUE"""),0.0)</f>
        <v>0</v>
      </c>
      <c r="P616" s="138">
        <f>IFERROR(__xludf.DUMMYFUNCTION("""COMPUTED_VALUE"""),0.0)</f>
        <v>0</v>
      </c>
      <c r="Q616" s="138">
        <f>IFERROR(__xludf.DUMMYFUNCTION("""COMPUTED_VALUE"""),0.0)</f>
        <v>0</v>
      </c>
      <c r="R616" s="138">
        <f>IFERROR(__xludf.DUMMYFUNCTION("""COMPUTED_VALUE"""),3.0)</f>
        <v>3</v>
      </c>
      <c r="S616" s="139">
        <f>IFERROR(__xludf.DUMMYFUNCTION("""COMPUTED_VALUE"""),120.0)</f>
        <v>120</v>
      </c>
      <c r="T616" s="140">
        <f>IFERROR(__xludf.DUMMYFUNCTION("""COMPUTED_VALUE"""),35.0)</f>
        <v>35</v>
      </c>
      <c r="U616" s="136">
        <f>IFERROR(__xludf.DUMMYFUNCTION("""COMPUTED_VALUE"""),17.0)</f>
        <v>17</v>
      </c>
      <c r="V616" s="136">
        <f>IFERROR(__xludf.DUMMYFUNCTION("""COMPUTED_VALUE"""),8.0)</f>
        <v>8</v>
      </c>
      <c r="W616" s="136">
        <f>IFERROR(__xludf.DUMMYFUNCTION("""COMPUTED_VALUE"""),11.0)</f>
        <v>11</v>
      </c>
      <c r="X616" s="136">
        <f>IFERROR(__xludf.DUMMYFUNCTION("""COMPUTED_VALUE"""),343.25)</f>
        <v>343.25</v>
      </c>
      <c r="Y616" s="141">
        <f>IFERROR(__xludf.DUMMYFUNCTION("""COMPUTED_VALUE"""),45.778749999999995)</f>
        <v>45.77875</v>
      </c>
      <c r="Z616" s="141">
        <f>IFERROR(__xludf.DUMMYFUNCTION("""COMPUTED_VALUE"""),1912.25)</f>
        <v>1912.25</v>
      </c>
    </row>
    <row r="617">
      <c r="A617" s="41" t="str">
        <f>IFERROR(__xludf.DUMMYFUNCTION("""COMPUTED_VALUE"""),"Prospect")</f>
        <v>Prospect</v>
      </c>
      <c r="B617" s="41" t="str">
        <f>IFERROR(__xludf.DUMMYFUNCTION("""COMPUTED_VALUE"""),"RSC007958")</f>
        <v>RSC007958</v>
      </c>
      <c r="C617" s="41" t="str">
        <f>IFERROR(__xludf.DUMMYFUNCTION("""COMPUTED_VALUE"""),"SE AT WORK")</f>
        <v>SE AT WORK</v>
      </c>
      <c r="D617" s="41" t="str">
        <f>IFERROR(__xludf.DUMMYFUNCTION("""COMPUTED_VALUE"""),"Tic Tacs")</f>
        <v>Tic Tacs</v>
      </c>
      <c r="E617" s="136">
        <f>IFERROR(__xludf.DUMMYFUNCTION("""COMPUTED_VALUE"""),48.0)</f>
        <v>48</v>
      </c>
      <c r="F617" s="136">
        <f>IFERROR(__xludf.DUMMYFUNCTION("""COMPUTED_VALUE"""),30.0)</f>
        <v>30</v>
      </c>
      <c r="G617" s="136">
        <f>IFERROR(__xludf.DUMMYFUNCTION("""COMPUTED_VALUE"""),18.0)</f>
        <v>18</v>
      </c>
      <c r="H617" s="137">
        <f>IFERROR(__xludf.DUMMYFUNCTION("""COMPUTED_VALUE"""),0.625)</f>
        <v>0.625</v>
      </c>
      <c r="I617" s="136">
        <f>IFERROR(__xludf.DUMMYFUNCTION("""COMPUTED_VALUE"""),10.0)</f>
        <v>10</v>
      </c>
      <c r="J617" s="136">
        <f>IFERROR(__xludf.DUMMYFUNCTION("""COMPUTED_VALUE"""),16675.0)</f>
        <v>16675</v>
      </c>
      <c r="K617" s="136">
        <f>IFERROR(__xludf.DUMMYFUNCTION("""COMPUTED_VALUE"""),40.0)</f>
        <v>40</v>
      </c>
      <c r="L617" s="136">
        <f>IFERROR(__xludf.DUMMYFUNCTION("""COMPUTED_VALUE"""),32.0)</f>
        <v>32</v>
      </c>
      <c r="M617" s="136">
        <f>IFERROR(__xludf.DUMMYFUNCTION("""COMPUTED_VALUE"""),56.0)</f>
        <v>56</v>
      </c>
      <c r="N617" s="136">
        <f>IFERROR(__xludf.DUMMYFUNCTION("""COMPUTED_VALUE"""),118.0)</f>
        <v>118</v>
      </c>
      <c r="O617" s="138">
        <f>IFERROR(__xludf.DUMMYFUNCTION("""COMPUTED_VALUE"""),11.0)</f>
        <v>11</v>
      </c>
      <c r="P617" s="138">
        <f>IFERROR(__xludf.DUMMYFUNCTION("""COMPUTED_VALUE"""),5.0)</f>
        <v>5</v>
      </c>
      <c r="Q617" s="138">
        <f>IFERROR(__xludf.DUMMYFUNCTION("""COMPUTED_VALUE"""),1.0)</f>
        <v>1</v>
      </c>
      <c r="R617" s="138">
        <f>IFERROR(__xludf.DUMMYFUNCTION("""COMPUTED_VALUE"""),6.0)</f>
        <v>6</v>
      </c>
      <c r="S617" s="139">
        <f>IFERROR(__xludf.DUMMYFUNCTION("""COMPUTED_VALUE"""),319.0)</f>
        <v>319</v>
      </c>
      <c r="T617" s="140">
        <f>IFERROR(__xludf.DUMMYFUNCTION("""COMPUTED_VALUE"""),100.0)</f>
        <v>100</v>
      </c>
      <c r="U617" s="136">
        <f>IFERROR(__xludf.DUMMYFUNCTION("""COMPUTED_VALUE"""),39.0)</f>
        <v>39</v>
      </c>
      <c r="V617" s="136">
        <f>IFERROR(__xludf.DUMMYFUNCTION("""COMPUTED_VALUE"""),30.0)</f>
        <v>30</v>
      </c>
      <c r="W617" s="136">
        <f>IFERROR(__xludf.DUMMYFUNCTION("""COMPUTED_VALUE"""),48.0)</f>
        <v>48</v>
      </c>
      <c r="X617" s="136">
        <f>IFERROR(__xludf.DUMMYFUNCTION("""COMPUTED_VALUE"""),388.25)</f>
        <v>388.25</v>
      </c>
      <c r="Y617" s="141">
        <f>IFERROR(__xludf.DUMMYFUNCTION("""COMPUTED_VALUE"""),47.57979166666667)</f>
        <v>47.57979167</v>
      </c>
      <c r="Z617" s="141">
        <f>IFERROR(__xludf.DUMMYFUNCTION("""COMPUTED_VALUE"""),2375.875)</f>
        <v>2375.875</v>
      </c>
    </row>
    <row r="618">
      <c r="A618" s="41" t="str">
        <f>IFERROR(__xludf.DUMMYFUNCTION("""COMPUTED_VALUE"""),"Rival")</f>
        <v>Rival</v>
      </c>
      <c r="B618" s="41" t="str">
        <f>IFERROR(__xludf.DUMMYFUNCTION("""COMPUTED_VALUE"""),"RSC007960")</f>
        <v>RSC007960</v>
      </c>
      <c r="C618" s="41" t="str">
        <f>IFERROR(__xludf.DUMMYFUNCTION("""COMPUTED_VALUE"""),"Kayo")</f>
        <v>Kayo</v>
      </c>
      <c r="D618" s="41" t="str">
        <f>IFERROR(__xludf.DUMMYFUNCTION("""COMPUTED_VALUE"""),"Scramjets")</f>
        <v>Scramjets</v>
      </c>
      <c r="E618" s="136">
        <f>IFERROR(__xludf.DUMMYFUNCTION("""COMPUTED_VALUE"""),48.0)</f>
        <v>48</v>
      </c>
      <c r="F618" s="136">
        <f>IFERROR(__xludf.DUMMYFUNCTION("""COMPUTED_VALUE"""),25.0)</f>
        <v>25</v>
      </c>
      <c r="G618" s="136">
        <f>IFERROR(__xludf.DUMMYFUNCTION("""COMPUTED_VALUE"""),23.0)</f>
        <v>23</v>
      </c>
      <c r="H618" s="137">
        <f>IFERROR(__xludf.DUMMYFUNCTION("""COMPUTED_VALUE"""),0.5208333333333334)</f>
        <v>0.5208333333</v>
      </c>
      <c r="I618" s="136">
        <f>IFERROR(__xludf.DUMMYFUNCTION("""COMPUTED_VALUE"""),7.0)</f>
        <v>7</v>
      </c>
      <c r="J618" s="136">
        <f>IFERROR(__xludf.DUMMYFUNCTION("""COMPUTED_VALUE"""),17404.0)</f>
        <v>17404</v>
      </c>
      <c r="K618" s="136">
        <f>IFERROR(__xludf.DUMMYFUNCTION("""COMPUTED_VALUE"""),40.0)</f>
        <v>40</v>
      </c>
      <c r="L618" s="136">
        <f>IFERROR(__xludf.DUMMYFUNCTION("""COMPUTED_VALUE"""),37.0)</f>
        <v>37</v>
      </c>
      <c r="M618" s="136">
        <f>IFERROR(__xludf.DUMMYFUNCTION("""COMPUTED_VALUE"""),59.0)</f>
        <v>59</v>
      </c>
      <c r="N618" s="136">
        <f>IFERROR(__xludf.DUMMYFUNCTION("""COMPUTED_VALUE"""),115.0)</f>
        <v>115</v>
      </c>
      <c r="O618" s="138">
        <f>IFERROR(__xludf.DUMMYFUNCTION("""COMPUTED_VALUE"""),10.0)</f>
        <v>10</v>
      </c>
      <c r="P618" s="138">
        <f>IFERROR(__xludf.DUMMYFUNCTION("""COMPUTED_VALUE"""),3.0)</f>
        <v>3</v>
      </c>
      <c r="Q618" s="138">
        <f>IFERROR(__xludf.DUMMYFUNCTION("""COMPUTED_VALUE"""),1.0)</f>
        <v>1</v>
      </c>
      <c r="R618" s="138">
        <f>IFERROR(__xludf.DUMMYFUNCTION("""COMPUTED_VALUE"""),6.0)</f>
        <v>6</v>
      </c>
      <c r="S618" s="139">
        <f>IFERROR(__xludf.DUMMYFUNCTION("""COMPUTED_VALUE"""),349.0)</f>
        <v>349</v>
      </c>
      <c r="T618" s="140">
        <f>IFERROR(__xludf.DUMMYFUNCTION("""COMPUTED_VALUE"""),115.0)</f>
        <v>115</v>
      </c>
      <c r="U618" s="136">
        <f>IFERROR(__xludf.DUMMYFUNCTION("""COMPUTED_VALUE"""),25.0)</f>
        <v>25</v>
      </c>
      <c r="V618" s="136">
        <f>IFERROR(__xludf.DUMMYFUNCTION("""COMPUTED_VALUE"""),44.0)</f>
        <v>44</v>
      </c>
      <c r="W618" s="136">
        <f>IFERROR(__xludf.DUMMYFUNCTION("""COMPUTED_VALUE"""),42.0)</f>
        <v>42</v>
      </c>
      <c r="X618" s="136">
        <f>IFERROR(__xludf.DUMMYFUNCTION("""COMPUTED_VALUE"""),339.125)</f>
        <v>339.125</v>
      </c>
      <c r="Y618" s="141">
        <f>IFERROR(__xludf.DUMMYFUNCTION("""COMPUTED_VALUE"""),44.834166666666654)</f>
        <v>44.83416667</v>
      </c>
      <c r="Z618" s="141">
        <f>IFERROR(__xludf.DUMMYFUNCTION("""COMPUTED_VALUE"""),1984.1666666666667)</f>
        <v>1984.166667</v>
      </c>
    </row>
    <row r="619">
      <c r="A619" s="41" t="str">
        <f>IFERROR(__xludf.DUMMYFUNCTION("""COMPUTED_VALUE"""),"Rival")</f>
        <v>Rival</v>
      </c>
      <c r="B619" s="41" t="str">
        <f>IFERROR(__xludf.DUMMYFUNCTION("""COMPUTED_VALUE"""),"RSC007961")</f>
        <v>RSC007961</v>
      </c>
      <c r="C619" s="41" t="str">
        <f>IFERROR(__xludf.DUMMYFUNCTION("""COMPUTED_VALUE"""),"Skrilpp")</f>
        <v>Skrilpp</v>
      </c>
      <c r="D619" s="41" t="str">
        <f>IFERROR(__xludf.DUMMYFUNCTION("""COMPUTED_VALUE"""),"Lacuna
Black Ice
Scramjets")</f>
        <v>Lacuna
Black Ice
Scramjets</v>
      </c>
      <c r="E619" s="136">
        <f>IFERROR(__xludf.DUMMYFUNCTION("""COMPUTED_VALUE"""),10.0)</f>
        <v>10</v>
      </c>
      <c r="F619" s="136">
        <f>IFERROR(__xludf.DUMMYFUNCTION("""COMPUTED_VALUE"""),6.0)</f>
        <v>6</v>
      </c>
      <c r="G619" s="136">
        <f>IFERROR(__xludf.DUMMYFUNCTION("""COMPUTED_VALUE"""),4.0)</f>
        <v>4</v>
      </c>
      <c r="H619" s="137">
        <f>IFERROR(__xludf.DUMMYFUNCTION("""COMPUTED_VALUE"""),0.6)</f>
        <v>0.6</v>
      </c>
      <c r="I619" s="136">
        <f>IFERROR(__xludf.DUMMYFUNCTION("""COMPUTED_VALUE"""),3.0)</f>
        <v>3</v>
      </c>
      <c r="J619" s="136">
        <f>IFERROR(__xludf.DUMMYFUNCTION("""COMPUTED_VALUE"""),3338.0)</f>
        <v>3338</v>
      </c>
      <c r="K619" s="136">
        <f>IFERROR(__xludf.DUMMYFUNCTION("""COMPUTED_VALUE"""),6.0)</f>
        <v>6</v>
      </c>
      <c r="L619" s="136">
        <f>IFERROR(__xludf.DUMMYFUNCTION("""COMPUTED_VALUE"""),4.0)</f>
        <v>4</v>
      </c>
      <c r="M619" s="136">
        <f>IFERROR(__xludf.DUMMYFUNCTION("""COMPUTED_VALUE"""),16.0)</f>
        <v>16</v>
      </c>
      <c r="N619" s="136">
        <f>IFERROR(__xludf.DUMMYFUNCTION("""COMPUTED_VALUE"""),27.0)</f>
        <v>27</v>
      </c>
      <c r="O619" s="138">
        <f>IFERROR(__xludf.DUMMYFUNCTION("""COMPUTED_VALUE"""),1.0)</f>
        <v>1</v>
      </c>
      <c r="P619" s="138">
        <f>IFERROR(__xludf.DUMMYFUNCTION("""COMPUTED_VALUE"""),0.0)</f>
        <v>0</v>
      </c>
      <c r="Q619" s="138">
        <f>IFERROR(__xludf.DUMMYFUNCTION("""COMPUTED_VALUE"""),0.0)</f>
        <v>0</v>
      </c>
      <c r="R619" s="138">
        <f>IFERROR(__xludf.DUMMYFUNCTION("""COMPUTED_VALUE"""),1.0)</f>
        <v>1</v>
      </c>
      <c r="S619" s="139">
        <f>IFERROR(__xludf.DUMMYFUNCTION("""COMPUTED_VALUE"""),74.0)</f>
        <v>74</v>
      </c>
      <c r="T619" s="140">
        <f>IFERROR(__xludf.DUMMYFUNCTION("""COMPUTED_VALUE"""),20.0)</f>
        <v>20</v>
      </c>
      <c r="U619" s="136">
        <f>IFERROR(__xludf.DUMMYFUNCTION("""COMPUTED_VALUE"""),10.0)</f>
        <v>10</v>
      </c>
      <c r="V619" s="136">
        <f>IFERROR(__xludf.DUMMYFUNCTION("""COMPUTED_VALUE"""),18.0)</f>
        <v>18</v>
      </c>
      <c r="W619" s="136">
        <f>IFERROR(__xludf.DUMMYFUNCTION("""COMPUTED_VALUE"""),13.0)</f>
        <v>13</v>
      </c>
      <c r="X619" s="136">
        <f>IFERROR(__xludf.DUMMYFUNCTION("""COMPUTED_VALUE"""),395.5)</f>
        <v>395.5</v>
      </c>
      <c r="Y619" s="141">
        <f>IFERROR(__xludf.DUMMYFUNCTION("""COMPUTED_VALUE"""),50.090999999999994)</f>
        <v>50.091</v>
      </c>
      <c r="Z619" s="141">
        <f>IFERROR(__xludf.DUMMYFUNCTION("""COMPUTED_VALUE"""),2393.3)</f>
        <v>2393.3</v>
      </c>
    </row>
    <row r="620">
      <c r="A620" s="41" t="str">
        <f>IFERROR(__xludf.DUMMYFUNCTION("""COMPUTED_VALUE"""),"Challenger")</f>
        <v>Challenger</v>
      </c>
      <c r="B620" s="41" t="str">
        <f>IFERROR(__xludf.DUMMYFUNCTION("""COMPUTED_VALUE"""),"RSC007969")</f>
        <v>RSC007969</v>
      </c>
      <c r="C620" s="41" t="str">
        <f>IFERROR(__xludf.DUMMYFUNCTION("""COMPUTED_VALUE"""),"EcHo.rll")</f>
        <v>EcHo.rll</v>
      </c>
      <c r="D620" s="41" t="str">
        <f>IFERROR(__xludf.DUMMYFUNCTION("""COMPUTED_VALUE"""),"Sirens
Gold Hoarders")</f>
        <v>Sirens
Gold Hoarders</v>
      </c>
      <c r="E620" s="136">
        <f>IFERROR(__xludf.DUMMYFUNCTION("""COMPUTED_VALUE"""),15.0)</f>
        <v>15</v>
      </c>
      <c r="F620" s="136">
        <f>IFERROR(__xludf.DUMMYFUNCTION("""COMPUTED_VALUE"""),4.0)</f>
        <v>4</v>
      </c>
      <c r="G620" s="136">
        <f>IFERROR(__xludf.DUMMYFUNCTION("""COMPUTED_VALUE"""),11.0)</f>
        <v>11</v>
      </c>
      <c r="H620" s="137">
        <f>IFERROR(__xludf.DUMMYFUNCTION("""COMPUTED_VALUE"""),0.26666666666666666)</f>
        <v>0.2666666667</v>
      </c>
      <c r="I620" s="136">
        <f>IFERROR(__xludf.DUMMYFUNCTION("""COMPUTED_VALUE"""),2.0)</f>
        <v>2</v>
      </c>
      <c r="J620" s="136">
        <f>IFERROR(__xludf.DUMMYFUNCTION("""COMPUTED_VALUE"""),5100.0)</f>
        <v>5100</v>
      </c>
      <c r="K620" s="136">
        <f>IFERROR(__xludf.DUMMYFUNCTION("""COMPUTED_VALUE"""),9.0)</f>
        <v>9</v>
      </c>
      <c r="L620" s="136">
        <f>IFERROR(__xludf.DUMMYFUNCTION("""COMPUTED_VALUE"""),5.0)</f>
        <v>5</v>
      </c>
      <c r="M620" s="136">
        <f>IFERROR(__xludf.DUMMYFUNCTION("""COMPUTED_VALUE"""),26.0)</f>
        <v>26</v>
      </c>
      <c r="N620" s="136">
        <f>IFERROR(__xludf.DUMMYFUNCTION("""COMPUTED_VALUE"""),33.0)</f>
        <v>33</v>
      </c>
      <c r="O620" s="138">
        <f>IFERROR(__xludf.DUMMYFUNCTION("""COMPUTED_VALUE"""),1.0)</f>
        <v>1</v>
      </c>
      <c r="P620" s="138">
        <f>IFERROR(__xludf.DUMMYFUNCTION("""COMPUTED_VALUE"""),0.0)</f>
        <v>0</v>
      </c>
      <c r="Q620" s="138">
        <f>IFERROR(__xludf.DUMMYFUNCTION("""COMPUTED_VALUE"""),0.0)</f>
        <v>0</v>
      </c>
      <c r="R620" s="138">
        <f>IFERROR(__xludf.DUMMYFUNCTION("""COMPUTED_VALUE"""),4.0)</f>
        <v>4</v>
      </c>
      <c r="S620" s="139">
        <f>IFERROR(__xludf.DUMMYFUNCTION("""COMPUTED_VALUE"""),126.0)</f>
        <v>126</v>
      </c>
      <c r="T620" s="140">
        <f>IFERROR(__xludf.DUMMYFUNCTION("""COMPUTED_VALUE"""),41.0)</f>
        <v>41</v>
      </c>
      <c r="U620" s="136">
        <f>IFERROR(__xludf.DUMMYFUNCTION("""COMPUTED_VALUE"""),17.0)</f>
        <v>17</v>
      </c>
      <c r="V620" s="136">
        <f>IFERROR(__xludf.DUMMYFUNCTION("""COMPUTED_VALUE"""),11.0)</f>
        <v>11</v>
      </c>
      <c r="W620" s="136">
        <f>IFERROR(__xludf.DUMMYFUNCTION("""COMPUTED_VALUE"""),19.0)</f>
        <v>19</v>
      </c>
      <c r="X620" s="136">
        <f>IFERROR(__xludf.DUMMYFUNCTION("""COMPUTED_VALUE"""),452.3333333333333)</f>
        <v>452.3333333</v>
      </c>
      <c r="Y620" s="141">
        <f>IFERROR(__xludf.DUMMYFUNCTION("""COMPUTED_VALUE"""),49.09000000000001)</f>
        <v>49.09</v>
      </c>
      <c r="Z620" s="141">
        <f>IFERROR(__xludf.DUMMYFUNCTION("""COMPUTED_VALUE"""),2631.133333333333)</f>
        <v>2631.133333</v>
      </c>
    </row>
    <row r="621">
      <c r="A621" s="41" t="str">
        <f>IFERROR(__xludf.DUMMYFUNCTION("""COMPUTED_VALUE"""),"Rival")</f>
        <v>Rival</v>
      </c>
      <c r="B621" s="41" t="str">
        <f>IFERROR(__xludf.DUMMYFUNCTION("""COMPUTED_VALUE"""),"RSC008000")</f>
        <v>RSC008000</v>
      </c>
      <c r="C621" s="41" t="str">
        <f>IFERROR(__xludf.DUMMYFUNCTION("""COMPUTED_VALUE"""),"ChefHoffy")</f>
        <v>ChefHoffy</v>
      </c>
      <c r="D621" s="41" t="str">
        <f>IFERROR(__xludf.DUMMYFUNCTION("""COMPUTED_VALUE"""),"Kitsune")</f>
        <v>Kitsune</v>
      </c>
      <c r="E621" s="136">
        <f>IFERROR(__xludf.DUMMYFUNCTION("""COMPUTED_VALUE"""),56.0)</f>
        <v>56</v>
      </c>
      <c r="F621" s="136">
        <f>IFERROR(__xludf.DUMMYFUNCTION("""COMPUTED_VALUE"""),25.0)</f>
        <v>25</v>
      </c>
      <c r="G621" s="136">
        <f>IFERROR(__xludf.DUMMYFUNCTION("""COMPUTED_VALUE"""),31.0)</f>
        <v>31</v>
      </c>
      <c r="H621" s="137">
        <f>IFERROR(__xludf.DUMMYFUNCTION("""COMPUTED_VALUE"""),0.44642857142857145)</f>
        <v>0.4464285714</v>
      </c>
      <c r="I621" s="136">
        <f>IFERROR(__xludf.DUMMYFUNCTION("""COMPUTED_VALUE"""),9.0)</f>
        <v>9</v>
      </c>
      <c r="J621" s="136">
        <f>IFERROR(__xludf.DUMMYFUNCTION("""COMPUTED_VALUE"""),18527.0)</f>
        <v>18527</v>
      </c>
      <c r="K621" s="136">
        <f>IFERROR(__xludf.DUMMYFUNCTION("""COMPUTED_VALUE"""),45.0)</f>
        <v>45</v>
      </c>
      <c r="L621" s="136">
        <f>IFERROR(__xludf.DUMMYFUNCTION("""COMPUTED_VALUE"""),21.0)</f>
        <v>21</v>
      </c>
      <c r="M621" s="136">
        <f>IFERROR(__xludf.DUMMYFUNCTION("""COMPUTED_VALUE"""),64.0)</f>
        <v>64</v>
      </c>
      <c r="N621" s="136">
        <f>IFERROR(__xludf.DUMMYFUNCTION("""COMPUTED_VALUE"""),158.0)</f>
        <v>158</v>
      </c>
      <c r="O621" s="138">
        <f>IFERROR(__xludf.DUMMYFUNCTION("""COMPUTED_VALUE"""),7.0)</f>
        <v>7</v>
      </c>
      <c r="P621" s="138">
        <f>IFERROR(__xludf.DUMMYFUNCTION("""COMPUTED_VALUE"""),2.0)</f>
        <v>2</v>
      </c>
      <c r="Q621" s="138">
        <f>IFERROR(__xludf.DUMMYFUNCTION("""COMPUTED_VALUE"""),1.0)</f>
        <v>1</v>
      </c>
      <c r="R621" s="138">
        <f>IFERROR(__xludf.DUMMYFUNCTION("""COMPUTED_VALUE"""),5.0)</f>
        <v>5</v>
      </c>
      <c r="S621" s="139">
        <f>IFERROR(__xludf.DUMMYFUNCTION("""COMPUTED_VALUE"""),395.0)</f>
        <v>395</v>
      </c>
      <c r="T621" s="140">
        <f>IFERROR(__xludf.DUMMYFUNCTION("""COMPUTED_VALUE"""),120.0)</f>
        <v>120</v>
      </c>
      <c r="U621" s="136">
        <f>IFERROR(__xludf.DUMMYFUNCTION("""COMPUTED_VALUE"""),48.0)</f>
        <v>48</v>
      </c>
      <c r="V621" s="136">
        <f>IFERROR(__xludf.DUMMYFUNCTION("""COMPUTED_VALUE"""),59.0)</f>
        <v>59</v>
      </c>
      <c r="W621" s="136">
        <f>IFERROR(__xludf.DUMMYFUNCTION("""COMPUTED_VALUE"""),55.0)</f>
        <v>55</v>
      </c>
      <c r="X621" s="136">
        <f>IFERROR(__xludf.DUMMYFUNCTION("""COMPUTED_VALUE"""),355.89285714285717)</f>
        <v>355.8928571</v>
      </c>
      <c r="Y621" s="141">
        <f>IFERROR(__xludf.DUMMYFUNCTION("""COMPUTED_VALUE"""),50.264642857142846)</f>
        <v>50.26464286</v>
      </c>
      <c r="Z621" s="141">
        <f>IFERROR(__xludf.DUMMYFUNCTION("""COMPUTED_VALUE"""),2123.910714285714)</f>
        <v>2123.910714</v>
      </c>
    </row>
    <row r="622">
      <c r="A622" s="41" t="str">
        <f>IFERROR(__xludf.DUMMYFUNCTION("""COMPUTED_VALUE"""),"Challenger")</f>
        <v>Challenger</v>
      </c>
      <c r="B622" s="41" t="str">
        <f>IFERROR(__xludf.DUMMYFUNCTION("""COMPUTED_VALUE"""),"RSC008010")</f>
        <v>RSC008010</v>
      </c>
      <c r="C622" s="41" t="str">
        <f>IFERROR(__xludf.DUMMYFUNCTION("""COMPUTED_VALUE"""),"WamBamTYMan-")</f>
        <v>WamBamTYMan-</v>
      </c>
      <c r="D622" s="41" t="str">
        <f>IFERROR(__xludf.DUMMYFUNCTION("""COMPUTED_VALUE"""),"Warbirds")</f>
        <v>Warbirds</v>
      </c>
      <c r="E622" s="136">
        <f>IFERROR(__xludf.DUMMYFUNCTION("""COMPUTED_VALUE"""),52.0)</f>
        <v>52</v>
      </c>
      <c r="F622" s="136">
        <f>IFERROR(__xludf.DUMMYFUNCTION("""COMPUTED_VALUE"""),32.0)</f>
        <v>32</v>
      </c>
      <c r="G622" s="136">
        <f>IFERROR(__xludf.DUMMYFUNCTION("""COMPUTED_VALUE"""),20.0)</f>
        <v>20</v>
      </c>
      <c r="H622" s="137">
        <f>IFERROR(__xludf.DUMMYFUNCTION("""COMPUTED_VALUE"""),0.6153846153846154)</f>
        <v>0.6153846154</v>
      </c>
      <c r="I622" s="136">
        <f>IFERROR(__xludf.DUMMYFUNCTION("""COMPUTED_VALUE"""),7.0)</f>
        <v>7</v>
      </c>
      <c r="J622" s="136">
        <f>IFERROR(__xludf.DUMMYFUNCTION("""COMPUTED_VALUE"""),16620.0)</f>
        <v>16620</v>
      </c>
      <c r="K622" s="136">
        <f>IFERROR(__xludf.DUMMYFUNCTION("""COMPUTED_VALUE"""),40.0)</f>
        <v>40</v>
      </c>
      <c r="L622" s="136">
        <f>IFERROR(__xludf.DUMMYFUNCTION("""COMPUTED_VALUE"""),37.0)</f>
        <v>37</v>
      </c>
      <c r="M622" s="136">
        <f>IFERROR(__xludf.DUMMYFUNCTION("""COMPUTED_VALUE"""),62.0)</f>
        <v>62</v>
      </c>
      <c r="N622" s="136">
        <f>IFERROR(__xludf.DUMMYFUNCTION("""COMPUTED_VALUE"""),113.0)</f>
        <v>113</v>
      </c>
      <c r="O622" s="138">
        <f>IFERROR(__xludf.DUMMYFUNCTION("""COMPUTED_VALUE"""),13.0)</f>
        <v>13</v>
      </c>
      <c r="P622" s="138">
        <f>IFERROR(__xludf.DUMMYFUNCTION("""COMPUTED_VALUE"""),1.0)</f>
        <v>1</v>
      </c>
      <c r="Q622" s="138">
        <f>IFERROR(__xludf.DUMMYFUNCTION("""COMPUTED_VALUE"""),3.0)</f>
        <v>3</v>
      </c>
      <c r="R622" s="138">
        <f>IFERROR(__xludf.DUMMYFUNCTION("""COMPUTED_VALUE"""),5.0)</f>
        <v>5</v>
      </c>
      <c r="S622" s="139">
        <f>IFERROR(__xludf.DUMMYFUNCTION("""COMPUTED_VALUE"""),368.0)</f>
        <v>368</v>
      </c>
      <c r="T622" s="140">
        <f>IFERROR(__xludf.DUMMYFUNCTION("""COMPUTED_VALUE"""),92.0)</f>
        <v>92</v>
      </c>
      <c r="U622" s="136">
        <f>IFERROR(__xludf.DUMMYFUNCTION("""COMPUTED_VALUE"""),26.0)</f>
        <v>26</v>
      </c>
      <c r="V622" s="136">
        <f>IFERROR(__xludf.DUMMYFUNCTION("""COMPUTED_VALUE"""),77.0)</f>
        <v>77</v>
      </c>
      <c r="W622" s="136">
        <f>IFERROR(__xludf.DUMMYFUNCTION("""COMPUTED_VALUE"""),59.0)</f>
        <v>59</v>
      </c>
      <c r="X622" s="136">
        <f>IFERROR(__xludf.DUMMYFUNCTION("""COMPUTED_VALUE"""),361.7692307692308)</f>
        <v>361.7692308</v>
      </c>
      <c r="Y622" s="141">
        <f>IFERROR(__xludf.DUMMYFUNCTION("""COMPUTED_VALUE"""),54.735)</f>
        <v>54.735</v>
      </c>
      <c r="Z622" s="141">
        <f>IFERROR(__xludf.DUMMYFUNCTION("""COMPUTED_VALUE"""),2241.0384615384614)</f>
        <v>2241.038462</v>
      </c>
    </row>
    <row r="623">
      <c r="A623" s="41" t="str">
        <f>IFERROR(__xludf.DUMMYFUNCTION("""COMPUTED_VALUE"""),"Challenger")</f>
        <v>Challenger</v>
      </c>
      <c r="B623" s="41" t="str">
        <f>IFERROR(__xludf.DUMMYFUNCTION("""COMPUTED_VALUE"""),"RSC008014")</f>
        <v>RSC008014</v>
      </c>
      <c r="C623" s="41" t="str">
        <f>IFERROR(__xludf.DUMMYFUNCTION("""COMPUTED_VALUE"""),"TweakingOut")</f>
        <v>TweakingOut</v>
      </c>
      <c r="D623" s="41" t="str">
        <f>IFERROR(__xludf.DUMMYFUNCTION("""COMPUTED_VALUE"""),"Havarti Hustlers")</f>
        <v>Havarti Hustlers</v>
      </c>
      <c r="E623" s="136">
        <f>IFERROR(__xludf.DUMMYFUNCTION("""COMPUTED_VALUE"""),56.0)</f>
        <v>56</v>
      </c>
      <c r="F623" s="136">
        <f>IFERROR(__xludf.DUMMYFUNCTION("""COMPUTED_VALUE"""),19.0)</f>
        <v>19</v>
      </c>
      <c r="G623" s="136">
        <f>IFERROR(__xludf.DUMMYFUNCTION("""COMPUTED_VALUE"""),37.0)</f>
        <v>37</v>
      </c>
      <c r="H623" s="137">
        <f>IFERROR(__xludf.DUMMYFUNCTION("""COMPUTED_VALUE"""),0.3392857142857143)</f>
        <v>0.3392857143</v>
      </c>
      <c r="I623" s="136">
        <f>IFERROR(__xludf.DUMMYFUNCTION("""COMPUTED_VALUE"""),7.0)</f>
        <v>7</v>
      </c>
      <c r="J623" s="136">
        <f>IFERROR(__xludf.DUMMYFUNCTION("""COMPUTED_VALUE"""),17617.0)</f>
        <v>17617</v>
      </c>
      <c r="K623" s="136">
        <f>IFERROR(__xludf.DUMMYFUNCTION("""COMPUTED_VALUE"""),35.0)</f>
        <v>35</v>
      </c>
      <c r="L623" s="136">
        <f>IFERROR(__xludf.DUMMYFUNCTION("""COMPUTED_VALUE"""),20.0)</f>
        <v>20</v>
      </c>
      <c r="M623" s="136">
        <f>IFERROR(__xludf.DUMMYFUNCTION("""COMPUTED_VALUE"""),67.0)</f>
        <v>67</v>
      </c>
      <c r="N623" s="136">
        <f>IFERROR(__xludf.DUMMYFUNCTION("""COMPUTED_VALUE"""),117.0)</f>
        <v>117</v>
      </c>
      <c r="O623" s="138">
        <f>IFERROR(__xludf.DUMMYFUNCTION("""COMPUTED_VALUE"""),5.0)</f>
        <v>5</v>
      </c>
      <c r="P623" s="138">
        <f>IFERROR(__xludf.DUMMYFUNCTION("""COMPUTED_VALUE"""),2.0)</f>
        <v>2</v>
      </c>
      <c r="Q623" s="138">
        <f>IFERROR(__xludf.DUMMYFUNCTION("""COMPUTED_VALUE"""),0.0)</f>
        <v>0</v>
      </c>
      <c r="R623" s="138">
        <f>IFERROR(__xludf.DUMMYFUNCTION("""COMPUTED_VALUE"""),8.0)</f>
        <v>8</v>
      </c>
      <c r="S623" s="139">
        <f>IFERROR(__xludf.DUMMYFUNCTION("""COMPUTED_VALUE"""),461.0)</f>
        <v>461</v>
      </c>
      <c r="T623" s="140">
        <f>IFERROR(__xludf.DUMMYFUNCTION("""COMPUTED_VALUE"""),171.0)</f>
        <v>171</v>
      </c>
      <c r="U623" s="136">
        <f>IFERROR(__xludf.DUMMYFUNCTION("""COMPUTED_VALUE"""),53.0)</f>
        <v>53</v>
      </c>
      <c r="V623" s="136">
        <f>IFERROR(__xludf.DUMMYFUNCTION("""COMPUTED_VALUE"""),124.0)</f>
        <v>124</v>
      </c>
      <c r="W623" s="136">
        <f>IFERROR(__xludf.DUMMYFUNCTION("""COMPUTED_VALUE"""),59.0)</f>
        <v>59</v>
      </c>
      <c r="X623" s="136">
        <f>IFERROR(__xludf.DUMMYFUNCTION("""COMPUTED_VALUE"""),416.07142857142856)</f>
        <v>416.0714286</v>
      </c>
      <c r="Y623" s="141">
        <f>IFERROR(__xludf.DUMMYFUNCTION("""COMPUTED_VALUE"""),48.936607142857135)</f>
        <v>48.93660714</v>
      </c>
      <c r="Z623" s="141">
        <f>IFERROR(__xludf.DUMMYFUNCTION("""COMPUTED_VALUE"""),2546.6071428571427)</f>
        <v>2546.607143</v>
      </c>
    </row>
    <row r="624">
      <c r="A624" s="41" t="str">
        <f>IFERROR(__xludf.DUMMYFUNCTION("""COMPUTED_VALUE"""),"Challenger")</f>
        <v>Challenger</v>
      </c>
      <c r="B624" s="41" t="str">
        <f>IFERROR(__xludf.DUMMYFUNCTION("""COMPUTED_VALUE"""),"RSC008026")</f>
        <v>RSC008026</v>
      </c>
      <c r="C624" s="41" t="str">
        <f>IFERROR(__xludf.DUMMYFUNCTION("""COMPUTED_VALUE"""),"Kanashìmi")</f>
        <v>Kanashìmi</v>
      </c>
      <c r="D624" s="41" t="str">
        <f>IFERROR(__xludf.DUMMYFUNCTION("""COMPUTED_VALUE"""),"Havarti Hustlers")</f>
        <v>Havarti Hustlers</v>
      </c>
      <c r="E624" s="136">
        <f>IFERROR(__xludf.DUMMYFUNCTION("""COMPUTED_VALUE"""),4.0)</f>
        <v>4</v>
      </c>
      <c r="F624" s="136">
        <f>IFERROR(__xludf.DUMMYFUNCTION("""COMPUTED_VALUE"""),1.0)</f>
        <v>1</v>
      </c>
      <c r="G624" s="136">
        <f>IFERROR(__xludf.DUMMYFUNCTION("""COMPUTED_VALUE"""),3.0)</f>
        <v>3</v>
      </c>
      <c r="H624" s="137">
        <f>IFERROR(__xludf.DUMMYFUNCTION("""COMPUTED_VALUE"""),0.25)</f>
        <v>0.25</v>
      </c>
      <c r="I624" s="136">
        <f>IFERROR(__xludf.DUMMYFUNCTION("""COMPUTED_VALUE"""),0.0)</f>
        <v>0</v>
      </c>
      <c r="J624" s="136">
        <f>IFERROR(__xludf.DUMMYFUNCTION("""COMPUTED_VALUE"""),1577.0)</f>
        <v>1577</v>
      </c>
      <c r="K624" s="136">
        <f>IFERROR(__xludf.DUMMYFUNCTION("""COMPUTED_VALUE"""),4.0)</f>
        <v>4</v>
      </c>
      <c r="L624" s="136">
        <f>IFERROR(__xludf.DUMMYFUNCTION("""COMPUTED_VALUE"""),2.0)</f>
        <v>2</v>
      </c>
      <c r="M624" s="136">
        <f>IFERROR(__xludf.DUMMYFUNCTION("""COMPUTED_VALUE"""),4.0)</f>
        <v>4</v>
      </c>
      <c r="N624" s="136">
        <f>IFERROR(__xludf.DUMMYFUNCTION("""COMPUTED_VALUE"""),10.0)</f>
        <v>10</v>
      </c>
      <c r="O624" s="138">
        <f>IFERROR(__xludf.DUMMYFUNCTION("""COMPUTED_VALUE"""),0.0)</f>
        <v>0</v>
      </c>
      <c r="P624" s="138">
        <f>IFERROR(__xludf.DUMMYFUNCTION("""COMPUTED_VALUE"""),0.0)</f>
        <v>0</v>
      </c>
      <c r="Q624" s="138">
        <f>IFERROR(__xludf.DUMMYFUNCTION("""COMPUTED_VALUE"""),0.0)</f>
        <v>0</v>
      </c>
      <c r="R624" s="138">
        <f>IFERROR(__xludf.DUMMYFUNCTION("""COMPUTED_VALUE"""),1.0)</f>
        <v>1</v>
      </c>
      <c r="S624" s="139">
        <f>IFERROR(__xludf.DUMMYFUNCTION("""COMPUTED_VALUE"""),34.0)</f>
        <v>34</v>
      </c>
      <c r="T624" s="140">
        <f>IFERROR(__xludf.DUMMYFUNCTION("""COMPUTED_VALUE"""),14.0)</f>
        <v>14</v>
      </c>
      <c r="U624" s="136">
        <f>IFERROR(__xludf.DUMMYFUNCTION("""COMPUTED_VALUE"""),5.0)</f>
        <v>5</v>
      </c>
      <c r="V624" s="136">
        <f>IFERROR(__xludf.DUMMYFUNCTION("""COMPUTED_VALUE"""),5.0)</f>
        <v>5</v>
      </c>
      <c r="W624" s="136">
        <f>IFERROR(__xludf.DUMMYFUNCTION("""COMPUTED_VALUE"""),4.0)</f>
        <v>4</v>
      </c>
      <c r="X624" s="136"/>
      <c r="Y624" s="41"/>
      <c r="Z624" s="41"/>
    </row>
    <row r="625">
      <c r="A625" s="41" t="str">
        <f>IFERROR(__xludf.DUMMYFUNCTION("""COMPUTED_VALUE"""),"Challenger")</f>
        <v>Challenger</v>
      </c>
      <c r="B625" s="41" t="str">
        <f>IFERROR(__xludf.DUMMYFUNCTION("""COMPUTED_VALUE"""),"RSC008031")</f>
        <v>RSC008031</v>
      </c>
      <c r="C625" s="41" t="str">
        <f>IFERROR(__xludf.DUMMYFUNCTION("""COMPUTED_VALUE"""),"timthebigone")</f>
        <v>timthebigone</v>
      </c>
      <c r="D625" s="41" t="str">
        <f>IFERROR(__xludf.DUMMYFUNCTION("""COMPUTED_VALUE"""),"Corals")</f>
        <v>Corals</v>
      </c>
      <c r="E625" s="136">
        <f>IFERROR(__xludf.DUMMYFUNCTION("""COMPUTED_VALUE"""),11.0)</f>
        <v>11</v>
      </c>
      <c r="F625" s="136">
        <f>IFERROR(__xludf.DUMMYFUNCTION("""COMPUTED_VALUE"""),3.0)</f>
        <v>3</v>
      </c>
      <c r="G625" s="136">
        <f>IFERROR(__xludf.DUMMYFUNCTION("""COMPUTED_VALUE"""),8.0)</f>
        <v>8</v>
      </c>
      <c r="H625" s="137">
        <f>IFERROR(__xludf.DUMMYFUNCTION("""COMPUTED_VALUE"""),0.2727272727272727)</f>
        <v>0.2727272727</v>
      </c>
      <c r="I625" s="136">
        <f>IFERROR(__xludf.DUMMYFUNCTION("""COMPUTED_VALUE"""),0.0)</f>
        <v>0</v>
      </c>
      <c r="J625" s="136">
        <f>IFERROR(__xludf.DUMMYFUNCTION("""COMPUTED_VALUE"""),3161.0)</f>
        <v>3161</v>
      </c>
      <c r="K625" s="136">
        <f>IFERROR(__xludf.DUMMYFUNCTION("""COMPUTED_VALUE"""),6.0)</f>
        <v>6</v>
      </c>
      <c r="L625" s="136">
        <f>IFERROR(__xludf.DUMMYFUNCTION("""COMPUTED_VALUE"""),7.0)</f>
        <v>7</v>
      </c>
      <c r="M625" s="136">
        <f>IFERROR(__xludf.DUMMYFUNCTION("""COMPUTED_VALUE"""),10.0)</f>
        <v>10</v>
      </c>
      <c r="N625" s="136">
        <f>IFERROR(__xludf.DUMMYFUNCTION("""COMPUTED_VALUE"""),29.0)</f>
        <v>29</v>
      </c>
      <c r="O625" s="138">
        <f>IFERROR(__xludf.DUMMYFUNCTION("""COMPUTED_VALUE"""),1.0)</f>
        <v>1</v>
      </c>
      <c r="P625" s="138">
        <f>IFERROR(__xludf.DUMMYFUNCTION("""COMPUTED_VALUE"""),0.0)</f>
        <v>0</v>
      </c>
      <c r="Q625" s="138">
        <f>IFERROR(__xludf.DUMMYFUNCTION("""COMPUTED_VALUE"""),1.0)</f>
        <v>1</v>
      </c>
      <c r="R625" s="138">
        <f>IFERROR(__xludf.DUMMYFUNCTION("""COMPUTED_VALUE"""),2.0)</f>
        <v>2</v>
      </c>
      <c r="S625" s="139">
        <f>IFERROR(__xludf.DUMMYFUNCTION("""COMPUTED_VALUE"""),86.0)</f>
        <v>86</v>
      </c>
      <c r="T625" s="140">
        <f>IFERROR(__xludf.DUMMYFUNCTION("""COMPUTED_VALUE"""),29.0)</f>
        <v>29</v>
      </c>
      <c r="U625" s="136">
        <f>IFERROR(__xludf.DUMMYFUNCTION("""COMPUTED_VALUE"""),10.0)</f>
        <v>10</v>
      </c>
      <c r="V625" s="136">
        <f>IFERROR(__xludf.DUMMYFUNCTION("""COMPUTED_VALUE"""),9.0)</f>
        <v>9</v>
      </c>
      <c r="W625" s="136">
        <f>IFERROR(__xludf.DUMMYFUNCTION("""COMPUTED_VALUE"""),8.0)</f>
        <v>8</v>
      </c>
      <c r="X625" s="136">
        <f>IFERROR(__xludf.DUMMYFUNCTION("""COMPUTED_VALUE"""),318.0)</f>
        <v>318</v>
      </c>
      <c r="Y625" s="141">
        <f>IFERROR(__xludf.DUMMYFUNCTION("""COMPUTED_VALUE"""),46.448181818181816)</f>
        <v>46.44818182</v>
      </c>
      <c r="Z625" s="141">
        <f>IFERROR(__xludf.DUMMYFUNCTION("""COMPUTED_VALUE"""),1925.3636363636363)</f>
        <v>1925.363636</v>
      </c>
    </row>
    <row r="626">
      <c r="A626" s="41" t="str">
        <f>IFERROR(__xludf.DUMMYFUNCTION("""COMPUTED_VALUE"""),"Challenger")</f>
        <v>Challenger</v>
      </c>
      <c r="B626" s="41" t="str">
        <f>IFERROR(__xludf.DUMMYFUNCTION("""COMPUTED_VALUE"""),"RSC008044")</f>
        <v>RSC008044</v>
      </c>
      <c r="C626" s="41" t="str">
        <f>IFERROR(__xludf.DUMMYFUNCTION("""COMPUTED_VALUE"""),"fender_bender2")</f>
        <v>fender_bender2</v>
      </c>
      <c r="D626" s="41" t="str">
        <f>IFERROR(__xludf.DUMMYFUNCTION("""COMPUTED_VALUE"""),"Olympic Knights")</f>
        <v>Olympic Knights</v>
      </c>
      <c r="E626" s="136">
        <f>IFERROR(__xludf.DUMMYFUNCTION("""COMPUTED_VALUE"""),19.0)</f>
        <v>19</v>
      </c>
      <c r="F626" s="136">
        <f>IFERROR(__xludf.DUMMYFUNCTION("""COMPUTED_VALUE"""),13.0)</f>
        <v>13</v>
      </c>
      <c r="G626" s="136">
        <f>IFERROR(__xludf.DUMMYFUNCTION("""COMPUTED_VALUE"""),6.0)</f>
        <v>6</v>
      </c>
      <c r="H626" s="137">
        <f>IFERROR(__xludf.DUMMYFUNCTION("""COMPUTED_VALUE"""),0.6842105263157895)</f>
        <v>0.6842105263</v>
      </c>
      <c r="I626" s="136">
        <f>IFERROR(__xludf.DUMMYFUNCTION("""COMPUTED_VALUE"""),6.0)</f>
        <v>6</v>
      </c>
      <c r="J626" s="136">
        <f>IFERROR(__xludf.DUMMYFUNCTION("""COMPUTED_VALUE"""),5644.0)</f>
        <v>5644</v>
      </c>
      <c r="K626" s="136">
        <f>IFERROR(__xludf.DUMMYFUNCTION("""COMPUTED_VALUE"""),14.0)</f>
        <v>14</v>
      </c>
      <c r="L626" s="136">
        <f>IFERROR(__xludf.DUMMYFUNCTION("""COMPUTED_VALUE"""),7.0)</f>
        <v>7</v>
      </c>
      <c r="M626" s="136">
        <f>IFERROR(__xludf.DUMMYFUNCTION("""COMPUTED_VALUE"""),18.0)</f>
        <v>18</v>
      </c>
      <c r="N626" s="136">
        <f>IFERROR(__xludf.DUMMYFUNCTION("""COMPUTED_VALUE"""),51.0)</f>
        <v>51</v>
      </c>
      <c r="O626" s="138">
        <f>IFERROR(__xludf.DUMMYFUNCTION("""COMPUTED_VALUE"""),2.0)</f>
        <v>2</v>
      </c>
      <c r="P626" s="138">
        <f>IFERROR(__xludf.DUMMYFUNCTION("""COMPUTED_VALUE"""),0.0)</f>
        <v>0</v>
      </c>
      <c r="Q626" s="138">
        <f>IFERROR(__xludf.DUMMYFUNCTION("""COMPUTED_VALUE"""),0.0)</f>
        <v>0</v>
      </c>
      <c r="R626" s="138">
        <f>IFERROR(__xludf.DUMMYFUNCTION("""COMPUTED_VALUE"""),1.0)</f>
        <v>1</v>
      </c>
      <c r="S626" s="139">
        <f>IFERROR(__xludf.DUMMYFUNCTION("""COMPUTED_VALUE"""),106.0)</f>
        <v>106</v>
      </c>
      <c r="T626" s="140">
        <f>IFERROR(__xludf.DUMMYFUNCTION("""COMPUTED_VALUE"""),26.0)</f>
        <v>26</v>
      </c>
      <c r="U626" s="136">
        <f>IFERROR(__xludf.DUMMYFUNCTION("""COMPUTED_VALUE"""),8.0)</f>
        <v>8</v>
      </c>
      <c r="V626" s="136">
        <f>IFERROR(__xludf.DUMMYFUNCTION("""COMPUTED_VALUE"""),4.0)</f>
        <v>4</v>
      </c>
      <c r="W626" s="136">
        <f>IFERROR(__xludf.DUMMYFUNCTION("""COMPUTED_VALUE"""),19.0)</f>
        <v>19</v>
      </c>
      <c r="X626" s="136">
        <f>IFERROR(__xludf.DUMMYFUNCTION("""COMPUTED_VALUE"""),281.42105263157896)</f>
        <v>281.4210526</v>
      </c>
      <c r="Y626" s="141">
        <f>IFERROR(__xludf.DUMMYFUNCTION("""COMPUTED_VALUE"""),50.39473684210527)</f>
        <v>50.39473684</v>
      </c>
      <c r="Z626" s="141">
        <f>IFERROR(__xludf.DUMMYFUNCTION("""COMPUTED_VALUE"""),1649.1052631578948)</f>
        <v>1649.105263</v>
      </c>
    </row>
    <row r="627">
      <c r="A627" s="41" t="str">
        <f>IFERROR(__xludf.DUMMYFUNCTION("""COMPUTED_VALUE"""),"Rival")</f>
        <v>Rival</v>
      </c>
      <c r="B627" s="41" t="str">
        <f>IFERROR(__xludf.DUMMYFUNCTION("""COMPUTED_VALUE"""),"RSC008045")</f>
        <v>RSC008045</v>
      </c>
      <c r="C627" s="41" t="str">
        <f>IFERROR(__xludf.DUMMYFUNCTION("""COMPUTED_VALUE"""),"Uncaringfool230")</f>
        <v>Uncaringfool230</v>
      </c>
      <c r="D627" s="41" t="str">
        <f>IFERROR(__xludf.DUMMYFUNCTION("""COMPUTED_VALUE"""),"Scramjets")</f>
        <v>Scramjets</v>
      </c>
      <c r="E627" s="136">
        <f>IFERROR(__xludf.DUMMYFUNCTION("""COMPUTED_VALUE"""),6.0)</f>
        <v>6</v>
      </c>
      <c r="F627" s="136">
        <f>IFERROR(__xludf.DUMMYFUNCTION("""COMPUTED_VALUE"""),1.0)</f>
        <v>1</v>
      </c>
      <c r="G627" s="136">
        <f>IFERROR(__xludf.DUMMYFUNCTION("""COMPUTED_VALUE"""),5.0)</f>
        <v>5</v>
      </c>
      <c r="H627" s="137">
        <f>IFERROR(__xludf.DUMMYFUNCTION("""COMPUTED_VALUE"""),0.16666666666666666)</f>
        <v>0.1666666667</v>
      </c>
      <c r="I627" s="136">
        <f>IFERROR(__xludf.DUMMYFUNCTION("""COMPUTED_VALUE"""),0.0)</f>
        <v>0</v>
      </c>
      <c r="J627" s="136">
        <f>IFERROR(__xludf.DUMMYFUNCTION("""COMPUTED_VALUE"""),1714.0)</f>
        <v>1714</v>
      </c>
      <c r="K627" s="136">
        <f>IFERROR(__xludf.DUMMYFUNCTION("""COMPUTED_VALUE"""),1.0)</f>
        <v>1</v>
      </c>
      <c r="L627" s="136">
        <f>IFERROR(__xludf.DUMMYFUNCTION("""COMPUTED_VALUE"""),4.0)</f>
        <v>4</v>
      </c>
      <c r="M627" s="136">
        <f>IFERROR(__xludf.DUMMYFUNCTION("""COMPUTED_VALUE"""),7.0)</f>
        <v>7</v>
      </c>
      <c r="N627" s="136">
        <f>IFERROR(__xludf.DUMMYFUNCTION("""COMPUTED_VALUE"""),14.0)</f>
        <v>14</v>
      </c>
      <c r="O627" s="138">
        <f>IFERROR(__xludf.DUMMYFUNCTION("""COMPUTED_VALUE"""),0.0)</f>
        <v>0</v>
      </c>
      <c r="P627" s="138">
        <f>IFERROR(__xludf.DUMMYFUNCTION("""COMPUTED_VALUE"""),0.0)</f>
        <v>0</v>
      </c>
      <c r="Q627" s="138">
        <f>IFERROR(__xludf.DUMMYFUNCTION("""COMPUTED_VALUE"""),0.0)</f>
        <v>0</v>
      </c>
      <c r="R627" s="138">
        <f>IFERROR(__xludf.DUMMYFUNCTION("""COMPUTED_VALUE"""),0.0)</f>
        <v>0</v>
      </c>
      <c r="S627" s="139">
        <f>IFERROR(__xludf.DUMMYFUNCTION("""COMPUTED_VALUE"""),48.0)</f>
        <v>48</v>
      </c>
      <c r="T627" s="140">
        <f>IFERROR(__xludf.DUMMYFUNCTION("""COMPUTED_VALUE"""),14.0)</f>
        <v>14</v>
      </c>
      <c r="U627" s="136">
        <f>IFERROR(__xludf.DUMMYFUNCTION("""COMPUTED_VALUE"""),3.0)</f>
        <v>3</v>
      </c>
      <c r="V627" s="136">
        <f>IFERROR(__xludf.DUMMYFUNCTION("""COMPUTED_VALUE"""),4.0)</f>
        <v>4</v>
      </c>
      <c r="W627" s="136">
        <f>IFERROR(__xludf.DUMMYFUNCTION("""COMPUTED_VALUE"""),2.0)</f>
        <v>2</v>
      </c>
      <c r="X627" s="136">
        <f>IFERROR(__xludf.DUMMYFUNCTION("""COMPUTED_VALUE"""),356.1666666666667)</f>
        <v>356.1666667</v>
      </c>
      <c r="Y627" s="141">
        <f>IFERROR(__xludf.DUMMYFUNCTION("""COMPUTED_VALUE"""),44.004999999999995)</f>
        <v>44.005</v>
      </c>
      <c r="Z627" s="141">
        <f>IFERROR(__xludf.DUMMYFUNCTION("""COMPUTED_VALUE"""),2108.3333333333335)</f>
        <v>2108.333333</v>
      </c>
    </row>
    <row r="628">
      <c r="A628" s="41" t="str">
        <f>IFERROR(__xludf.DUMMYFUNCTION("""COMPUTED_VALUE"""),"Veteran")</f>
        <v>Veteran</v>
      </c>
      <c r="B628" s="41" t="str">
        <f>IFERROR(__xludf.DUMMYFUNCTION("""COMPUTED_VALUE"""),"RSC008052")</f>
        <v>RSC008052</v>
      </c>
      <c r="C628" s="41" t="str">
        <f>IFERROR(__xludf.DUMMYFUNCTION("""COMPUTED_VALUE"""),"CrypticTide.")</f>
        <v>CrypticTide.</v>
      </c>
      <c r="D628" s="41" t="str">
        <f>IFERROR(__xludf.DUMMYFUNCTION("""COMPUTED_VALUE"""),"Fer-de-Lance")</f>
        <v>Fer-de-Lance</v>
      </c>
      <c r="E628" s="136">
        <f>IFERROR(__xludf.DUMMYFUNCTION("""COMPUTED_VALUE"""),4.0)</f>
        <v>4</v>
      </c>
      <c r="F628" s="136">
        <f>IFERROR(__xludf.DUMMYFUNCTION("""COMPUTED_VALUE"""),1.0)</f>
        <v>1</v>
      </c>
      <c r="G628" s="136">
        <f>IFERROR(__xludf.DUMMYFUNCTION("""COMPUTED_VALUE"""),3.0)</f>
        <v>3</v>
      </c>
      <c r="H628" s="137">
        <f>IFERROR(__xludf.DUMMYFUNCTION("""COMPUTED_VALUE"""),0.25)</f>
        <v>0.25</v>
      </c>
      <c r="I628" s="136">
        <f>IFERROR(__xludf.DUMMYFUNCTION("""COMPUTED_VALUE"""),1.0)</f>
        <v>1</v>
      </c>
      <c r="J628" s="136">
        <f>IFERROR(__xludf.DUMMYFUNCTION("""COMPUTED_VALUE"""),1412.0)</f>
        <v>1412</v>
      </c>
      <c r="K628" s="136">
        <f>IFERROR(__xludf.DUMMYFUNCTION("""COMPUTED_VALUE"""),4.0)</f>
        <v>4</v>
      </c>
      <c r="L628" s="136">
        <f>IFERROR(__xludf.DUMMYFUNCTION("""COMPUTED_VALUE"""),1.0)</f>
        <v>1</v>
      </c>
      <c r="M628" s="136">
        <f>IFERROR(__xludf.DUMMYFUNCTION("""COMPUTED_VALUE"""),5.0)</f>
        <v>5</v>
      </c>
      <c r="N628" s="136">
        <f>IFERROR(__xludf.DUMMYFUNCTION("""COMPUTED_VALUE"""),9.0)</f>
        <v>9</v>
      </c>
      <c r="O628" s="138">
        <f>IFERROR(__xludf.DUMMYFUNCTION("""COMPUTED_VALUE"""),1.0)</f>
        <v>1</v>
      </c>
      <c r="P628" s="138">
        <f>IFERROR(__xludf.DUMMYFUNCTION("""COMPUTED_VALUE"""),0.0)</f>
        <v>0</v>
      </c>
      <c r="Q628" s="138">
        <f>IFERROR(__xludf.DUMMYFUNCTION("""COMPUTED_VALUE"""),0.0)</f>
        <v>0</v>
      </c>
      <c r="R628" s="138">
        <f>IFERROR(__xludf.DUMMYFUNCTION("""COMPUTED_VALUE"""),0.0)</f>
        <v>0</v>
      </c>
      <c r="S628" s="139">
        <f>IFERROR(__xludf.DUMMYFUNCTION("""COMPUTED_VALUE"""),27.0)</f>
        <v>27</v>
      </c>
      <c r="T628" s="140">
        <f>IFERROR(__xludf.DUMMYFUNCTION("""COMPUTED_VALUE"""),10.0)</f>
        <v>10</v>
      </c>
      <c r="U628" s="136">
        <f>IFERROR(__xludf.DUMMYFUNCTION("""COMPUTED_VALUE"""),6.0)</f>
        <v>6</v>
      </c>
      <c r="V628" s="136">
        <f>IFERROR(__xludf.DUMMYFUNCTION("""COMPUTED_VALUE"""),4.0)</f>
        <v>4</v>
      </c>
      <c r="W628" s="136">
        <f>IFERROR(__xludf.DUMMYFUNCTION("""COMPUTED_VALUE"""),3.0)</f>
        <v>3</v>
      </c>
      <c r="X628" s="136">
        <f>IFERROR(__xludf.DUMMYFUNCTION("""COMPUTED_VALUE"""),395.75)</f>
        <v>395.75</v>
      </c>
      <c r="Y628" s="141">
        <f>IFERROR(__xludf.DUMMYFUNCTION("""COMPUTED_VALUE"""),45.82)</f>
        <v>45.82</v>
      </c>
      <c r="Z628" s="141">
        <f>IFERROR(__xludf.DUMMYFUNCTION("""COMPUTED_VALUE"""),2222.25)</f>
        <v>2222.25</v>
      </c>
    </row>
    <row r="629">
      <c r="A629" s="41" t="str">
        <f>IFERROR(__xludf.DUMMYFUNCTION("""COMPUTED_VALUE"""),"Challenger")</f>
        <v>Challenger</v>
      </c>
      <c r="B629" s="41" t="str">
        <f>IFERROR(__xludf.DUMMYFUNCTION("""COMPUTED_VALUE"""),"RSC008078")</f>
        <v>RSC008078</v>
      </c>
      <c r="C629" s="41" t="str">
        <f>IFERROR(__xludf.DUMMYFUNCTION("""COMPUTED_VALUE"""),"ADV3RSE.")</f>
        <v>ADV3RSE.</v>
      </c>
      <c r="D629" s="41" t="str">
        <f>IFERROR(__xludf.DUMMYFUNCTION("""COMPUTED_VALUE"""),"Cooks")</f>
        <v>Cooks</v>
      </c>
      <c r="E629" s="136">
        <f>IFERROR(__xludf.DUMMYFUNCTION("""COMPUTED_VALUE"""),54.0)</f>
        <v>54</v>
      </c>
      <c r="F629" s="136">
        <f>IFERROR(__xludf.DUMMYFUNCTION("""COMPUTED_VALUE"""),35.0)</f>
        <v>35</v>
      </c>
      <c r="G629" s="136">
        <f>IFERROR(__xludf.DUMMYFUNCTION("""COMPUTED_VALUE"""),19.0)</f>
        <v>19</v>
      </c>
      <c r="H629" s="137">
        <f>IFERROR(__xludf.DUMMYFUNCTION("""COMPUTED_VALUE"""),0.6481481481481481)</f>
        <v>0.6481481481</v>
      </c>
      <c r="I629" s="136">
        <f>IFERROR(__xludf.DUMMYFUNCTION("""COMPUTED_VALUE"""),14.0)</f>
        <v>14</v>
      </c>
      <c r="J629" s="136">
        <f>IFERROR(__xludf.DUMMYFUNCTION("""COMPUTED_VALUE"""),20118.0)</f>
        <v>20118</v>
      </c>
      <c r="K629" s="136">
        <f>IFERROR(__xludf.DUMMYFUNCTION("""COMPUTED_VALUE"""),52.0)</f>
        <v>52</v>
      </c>
      <c r="L629" s="136">
        <f>IFERROR(__xludf.DUMMYFUNCTION("""COMPUTED_VALUE"""),33.0)</f>
        <v>33</v>
      </c>
      <c r="M629" s="136">
        <f>IFERROR(__xludf.DUMMYFUNCTION("""COMPUTED_VALUE"""),65.0)</f>
        <v>65</v>
      </c>
      <c r="N629" s="136">
        <f>IFERROR(__xludf.DUMMYFUNCTION("""COMPUTED_VALUE"""),175.0)</f>
        <v>175</v>
      </c>
      <c r="O629" s="138">
        <f>IFERROR(__xludf.DUMMYFUNCTION("""COMPUTED_VALUE"""),8.0)</f>
        <v>8</v>
      </c>
      <c r="P629" s="138">
        <f>IFERROR(__xludf.DUMMYFUNCTION("""COMPUTED_VALUE"""),5.0)</f>
        <v>5</v>
      </c>
      <c r="Q629" s="138">
        <f>IFERROR(__xludf.DUMMYFUNCTION("""COMPUTED_VALUE"""),1.0)</f>
        <v>1</v>
      </c>
      <c r="R629" s="138">
        <f>IFERROR(__xludf.DUMMYFUNCTION("""COMPUTED_VALUE"""),5.0)</f>
        <v>5</v>
      </c>
      <c r="S629" s="139">
        <f>IFERROR(__xludf.DUMMYFUNCTION("""COMPUTED_VALUE"""),329.0)</f>
        <v>329</v>
      </c>
      <c r="T629" s="140">
        <f>IFERROR(__xludf.DUMMYFUNCTION("""COMPUTED_VALUE"""),111.0)</f>
        <v>111</v>
      </c>
      <c r="U629" s="136">
        <f>IFERROR(__xludf.DUMMYFUNCTION("""COMPUTED_VALUE"""),32.0)</f>
        <v>32</v>
      </c>
      <c r="V629" s="136">
        <f>IFERROR(__xludf.DUMMYFUNCTION("""COMPUTED_VALUE"""),44.0)</f>
        <v>44</v>
      </c>
      <c r="W629" s="136">
        <f>IFERROR(__xludf.DUMMYFUNCTION("""COMPUTED_VALUE"""),28.0)</f>
        <v>28</v>
      </c>
      <c r="X629" s="136">
        <f>IFERROR(__xludf.DUMMYFUNCTION("""COMPUTED_VALUE"""),393.4074074074074)</f>
        <v>393.4074074</v>
      </c>
      <c r="Y629" s="141">
        <f>IFERROR(__xludf.DUMMYFUNCTION("""COMPUTED_VALUE"""),50.19703703703705)</f>
        <v>50.19703704</v>
      </c>
      <c r="Z629" s="141">
        <f>IFERROR(__xludf.DUMMYFUNCTION("""COMPUTED_VALUE"""),2323.296296296296)</f>
        <v>2323.296296</v>
      </c>
    </row>
    <row r="630">
      <c r="A630" s="41" t="str">
        <f>IFERROR(__xludf.DUMMYFUNCTION("""COMPUTED_VALUE"""),"Amateur")</f>
        <v>Amateur</v>
      </c>
      <c r="B630" s="41" t="str">
        <f>IFERROR(__xludf.DUMMYFUNCTION("""COMPUTED_VALUE"""),"RSC008083")</f>
        <v>RSC008083</v>
      </c>
      <c r="C630" s="41" t="str">
        <f>IFERROR(__xludf.DUMMYFUNCTION("""COMPUTED_VALUE"""),"Rocketgirl_32")</f>
        <v>Rocketgirl_32</v>
      </c>
      <c r="D630" s="41" t="str">
        <f>IFERROR(__xludf.DUMMYFUNCTION("""COMPUTED_VALUE"""),"Legionaries")</f>
        <v>Legionaries</v>
      </c>
      <c r="E630" s="136">
        <f>IFERROR(__xludf.DUMMYFUNCTION("""COMPUTED_VALUE"""),55.0)</f>
        <v>55</v>
      </c>
      <c r="F630" s="136">
        <f>IFERROR(__xludf.DUMMYFUNCTION("""COMPUTED_VALUE"""),13.0)</f>
        <v>13</v>
      </c>
      <c r="G630" s="136">
        <f>IFERROR(__xludf.DUMMYFUNCTION("""COMPUTED_VALUE"""),42.0)</f>
        <v>42</v>
      </c>
      <c r="H630" s="137">
        <f>IFERROR(__xludf.DUMMYFUNCTION("""COMPUTED_VALUE"""),0.23636363636363636)</f>
        <v>0.2363636364</v>
      </c>
      <c r="I630" s="136">
        <f>IFERROR(__xludf.DUMMYFUNCTION("""COMPUTED_VALUE"""),8.0)</f>
        <v>8</v>
      </c>
      <c r="J630" s="136">
        <f>IFERROR(__xludf.DUMMYFUNCTION("""COMPUTED_VALUE"""),17476.0)</f>
        <v>17476</v>
      </c>
      <c r="K630" s="136">
        <f>IFERROR(__xludf.DUMMYFUNCTION("""COMPUTED_VALUE"""),36.0)</f>
        <v>36</v>
      </c>
      <c r="L630" s="136">
        <f>IFERROR(__xludf.DUMMYFUNCTION("""COMPUTED_VALUE"""),10.0)</f>
        <v>10</v>
      </c>
      <c r="M630" s="136">
        <f>IFERROR(__xludf.DUMMYFUNCTION("""COMPUTED_VALUE"""),84.0)</f>
        <v>84</v>
      </c>
      <c r="N630" s="136">
        <f>IFERROR(__xludf.DUMMYFUNCTION("""COMPUTED_VALUE"""),121.0)</f>
        <v>121</v>
      </c>
      <c r="O630" s="138">
        <f>IFERROR(__xludf.DUMMYFUNCTION("""COMPUTED_VALUE"""),3.0)</f>
        <v>3</v>
      </c>
      <c r="P630" s="138">
        <f>IFERROR(__xludf.DUMMYFUNCTION("""COMPUTED_VALUE"""),1.0)</f>
        <v>1</v>
      </c>
      <c r="Q630" s="138">
        <f>IFERROR(__xludf.DUMMYFUNCTION("""COMPUTED_VALUE"""),0.0)</f>
        <v>0</v>
      </c>
      <c r="R630" s="138">
        <f>IFERROR(__xludf.DUMMYFUNCTION("""COMPUTED_VALUE"""),11.0)</f>
        <v>11</v>
      </c>
      <c r="S630" s="139">
        <f>IFERROR(__xludf.DUMMYFUNCTION("""COMPUTED_VALUE"""),434.0)</f>
        <v>434</v>
      </c>
      <c r="T630" s="140">
        <f>IFERROR(__xludf.DUMMYFUNCTION("""COMPUTED_VALUE"""),158.0)</f>
        <v>158</v>
      </c>
      <c r="U630" s="136">
        <f>IFERROR(__xludf.DUMMYFUNCTION("""COMPUTED_VALUE"""),61.0)</f>
        <v>61</v>
      </c>
      <c r="V630" s="136">
        <f>IFERROR(__xludf.DUMMYFUNCTION("""COMPUTED_VALUE"""),27.0)</f>
        <v>27</v>
      </c>
      <c r="W630" s="136">
        <f>IFERROR(__xludf.DUMMYFUNCTION("""COMPUTED_VALUE"""),47.0)</f>
        <v>47</v>
      </c>
      <c r="X630" s="139">
        <f>IFERROR(__xludf.DUMMYFUNCTION("""COMPUTED_VALUE"""),294.0)</f>
        <v>294</v>
      </c>
      <c r="Y630" s="141">
        <f>IFERROR(__xludf.DUMMYFUNCTION("""COMPUTED_VALUE"""),46.75654545454546)</f>
        <v>46.75654545</v>
      </c>
      <c r="Z630" s="141">
        <f>IFERROR(__xludf.DUMMYFUNCTION("""COMPUTED_VALUE"""),1697.8363636363636)</f>
        <v>1697.836364</v>
      </c>
    </row>
    <row r="631">
      <c r="A631" s="41" t="str">
        <f>IFERROR(__xludf.DUMMYFUNCTION("""COMPUTED_VALUE"""),"Elite")</f>
        <v>Elite</v>
      </c>
      <c r="B631" s="41" t="str">
        <f>IFERROR(__xludf.DUMMYFUNCTION("""COMPUTED_VALUE"""),"RSC008089")</f>
        <v>RSC008089</v>
      </c>
      <c r="C631" s="41" t="str">
        <f>IFERROR(__xludf.DUMMYFUNCTION("""COMPUTED_VALUE"""),"SyrupBloodz")</f>
        <v>SyrupBloodz</v>
      </c>
      <c r="D631" s="41" t="str">
        <f>IFERROR(__xludf.DUMMYFUNCTION("""COMPUTED_VALUE"""),"Fire")</f>
        <v>Fire</v>
      </c>
      <c r="E631" s="136">
        <f>IFERROR(__xludf.DUMMYFUNCTION("""COMPUTED_VALUE"""),10.0)</f>
        <v>10</v>
      </c>
      <c r="F631" s="136">
        <f>IFERROR(__xludf.DUMMYFUNCTION("""COMPUTED_VALUE"""),3.0)</f>
        <v>3</v>
      </c>
      <c r="G631" s="136">
        <f>IFERROR(__xludf.DUMMYFUNCTION("""COMPUTED_VALUE"""),7.0)</f>
        <v>7</v>
      </c>
      <c r="H631" s="137">
        <f>IFERROR(__xludf.DUMMYFUNCTION("""COMPUTED_VALUE"""),0.3)</f>
        <v>0.3</v>
      </c>
      <c r="I631" s="136">
        <f>IFERROR(__xludf.DUMMYFUNCTION("""COMPUTED_VALUE"""),1.0)</f>
        <v>1</v>
      </c>
      <c r="J631" s="136">
        <f>IFERROR(__xludf.DUMMYFUNCTION("""COMPUTED_VALUE"""),3688.0)</f>
        <v>3688</v>
      </c>
      <c r="K631" s="136">
        <f>IFERROR(__xludf.DUMMYFUNCTION("""COMPUTED_VALUE"""),4.0)</f>
        <v>4</v>
      </c>
      <c r="L631" s="136">
        <f>IFERROR(__xludf.DUMMYFUNCTION("""COMPUTED_VALUE"""),8.0)</f>
        <v>8</v>
      </c>
      <c r="M631" s="136">
        <f>IFERROR(__xludf.DUMMYFUNCTION("""COMPUTED_VALUE"""),19.0)</f>
        <v>19</v>
      </c>
      <c r="N631" s="136">
        <f>IFERROR(__xludf.DUMMYFUNCTION("""COMPUTED_VALUE"""),24.0)</f>
        <v>24</v>
      </c>
      <c r="O631" s="138">
        <f>IFERROR(__xludf.DUMMYFUNCTION("""COMPUTED_VALUE"""),2.0)</f>
        <v>2</v>
      </c>
      <c r="P631" s="138">
        <f>IFERROR(__xludf.DUMMYFUNCTION("""COMPUTED_VALUE"""),0.0)</f>
        <v>0</v>
      </c>
      <c r="Q631" s="138">
        <f>IFERROR(__xludf.DUMMYFUNCTION("""COMPUTED_VALUE"""),1.0)</f>
        <v>1</v>
      </c>
      <c r="R631" s="138">
        <f>IFERROR(__xludf.DUMMYFUNCTION("""COMPUTED_VALUE"""),3.0)</f>
        <v>3</v>
      </c>
      <c r="S631" s="139">
        <f>IFERROR(__xludf.DUMMYFUNCTION("""COMPUTED_VALUE"""),89.0)</f>
        <v>89</v>
      </c>
      <c r="T631" s="140">
        <f>IFERROR(__xludf.DUMMYFUNCTION("""COMPUTED_VALUE"""),24.0)</f>
        <v>24</v>
      </c>
      <c r="U631" s="136">
        <f>IFERROR(__xludf.DUMMYFUNCTION("""COMPUTED_VALUE"""),7.0)</f>
        <v>7</v>
      </c>
      <c r="V631" s="136">
        <f>IFERROR(__xludf.DUMMYFUNCTION("""COMPUTED_VALUE"""),7.0)</f>
        <v>7</v>
      </c>
      <c r="W631" s="136">
        <f>IFERROR(__xludf.DUMMYFUNCTION("""COMPUTED_VALUE"""),13.0)</f>
        <v>13</v>
      </c>
      <c r="X631" s="136">
        <f>IFERROR(__xludf.DUMMYFUNCTION("""COMPUTED_VALUE"""),406.0)</f>
        <v>406</v>
      </c>
      <c r="Y631" s="141">
        <f>IFERROR(__xludf.DUMMYFUNCTION("""COMPUTED_VALUE"""),43.42699999999999)</f>
        <v>43.427</v>
      </c>
      <c r="Z631" s="141">
        <f>IFERROR(__xludf.DUMMYFUNCTION("""COMPUTED_VALUE"""),2632.9)</f>
        <v>2632.9</v>
      </c>
    </row>
    <row r="632">
      <c r="A632" s="41" t="str">
        <f>IFERROR(__xludf.DUMMYFUNCTION("""COMPUTED_VALUE"""),"Amateur")</f>
        <v>Amateur</v>
      </c>
      <c r="B632" s="41" t="str">
        <f>IFERROR(__xludf.DUMMYFUNCTION("""COMPUTED_VALUE"""),"RSC008092")</f>
        <v>RSC008092</v>
      </c>
      <c r="C632" s="41" t="str">
        <f>IFERROR(__xludf.DUMMYFUNCTION("""COMPUTED_VALUE"""),"ImPodz")</f>
        <v>ImPodz</v>
      </c>
      <c r="D632" s="41" t="str">
        <f>IFERROR(__xludf.DUMMYFUNCTION("""COMPUTED_VALUE"""),"Electric Eels")</f>
        <v>Electric Eels</v>
      </c>
      <c r="E632" s="136">
        <f>IFERROR(__xludf.DUMMYFUNCTION("""COMPUTED_VALUE"""),28.0)</f>
        <v>28</v>
      </c>
      <c r="F632" s="136">
        <f>IFERROR(__xludf.DUMMYFUNCTION("""COMPUTED_VALUE"""),13.0)</f>
        <v>13</v>
      </c>
      <c r="G632" s="136">
        <f>IFERROR(__xludf.DUMMYFUNCTION("""COMPUTED_VALUE"""),15.0)</f>
        <v>15</v>
      </c>
      <c r="H632" s="137">
        <f>IFERROR(__xludf.DUMMYFUNCTION("""COMPUTED_VALUE"""),0.4642857142857143)</f>
        <v>0.4642857143</v>
      </c>
      <c r="I632" s="136">
        <f>IFERROR(__xludf.DUMMYFUNCTION("""COMPUTED_VALUE"""),6.0)</f>
        <v>6</v>
      </c>
      <c r="J632" s="136">
        <f>IFERROR(__xludf.DUMMYFUNCTION("""COMPUTED_VALUE"""),10042.0)</f>
        <v>10042</v>
      </c>
      <c r="K632" s="136">
        <f>IFERROR(__xludf.DUMMYFUNCTION("""COMPUTED_VALUE"""),24.0)</f>
        <v>24</v>
      </c>
      <c r="L632" s="136">
        <f>IFERROR(__xludf.DUMMYFUNCTION("""COMPUTED_VALUE"""),11.0)</f>
        <v>11</v>
      </c>
      <c r="M632" s="136">
        <f>IFERROR(__xludf.DUMMYFUNCTION("""COMPUTED_VALUE"""),36.0)</f>
        <v>36</v>
      </c>
      <c r="N632" s="136">
        <f>IFERROR(__xludf.DUMMYFUNCTION("""COMPUTED_VALUE"""),66.0)</f>
        <v>66</v>
      </c>
      <c r="O632" s="138">
        <f>IFERROR(__xludf.DUMMYFUNCTION("""COMPUTED_VALUE"""),2.0)</f>
        <v>2</v>
      </c>
      <c r="P632" s="138">
        <f>IFERROR(__xludf.DUMMYFUNCTION("""COMPUTED_VALUE"""),3.0)</f>
        <v>3</v>
      </c>
      <c r="Q632" s="138">
        <f>IFERROR(__xludf.DUMMYFUNCTION("""COMPUTED_VALUE"""),0.0)</f>
        <v>0</v>
      </c>
      <c r="R632" s="138">
        <f>IFERROR(__xludf.DUMMYFUNCTION("""COMPUTED_VALUE"""),4.0)</f>
        <v>4</v>
      </c>
      <c r="S632" s="139">
        <f>IFERROR(__xludf.DUMMYFUNCTION("""COMPUTED_VALUE"""),194.0)</f>
        <v>194</v>
      </c>
      <c r="T632" s="140">
        <f>IFERROR(__xludf.DUMMYFUNCTION("""COMPUTED_VALUE"""),63.0)</f>
        <v>63</v>
      </c>
      <c r="U632" s="136">
        <f>IFERROR(__xludf.DUMMYFUNCTION("""COMPUTED_VALUE"""),25.0)</f>
        <v>25</v>
      </c>
      <c r="V632" s="136">
        <f>IFERROR(__xludf.DUMMYFUNCTION("""COMPUTED_VALUE"""),21.0)</f>
        <v>21</v>
      </c>
      <c r="W632" s="136">
        <f>IFERROR(__xludf.DUMMYFUNCTION("""COMPUTED_VALUE"""),14.0)</f>
        <v>14</v>
      </c>
      <c r="X632" s="139">
        <f>IFERROR(__xludf.DUMMYFUNCTION("""COMPUTED_VALUE"""),339.2142857142857)</f>
        <v>339.2142857</v>
      </c>
      <c r="Y632" s="141">
        <f>IFERROR(__xludf.DUMMYFUNCTION("""COMPUTED_VALUE"""),53.53214285714285)</f>
        <v>53.53214286</v>
      </c>
      <c r="Z632" s="141">
        <f>IFERROR(__xludf.DUMMYFUNCTION("""COMPUTED_VALUE"""),2120.6428571428573)</f>
        <v>2120.642857</v>
      </c>
    </row>
    <row r="633">
      <c r="A633" s="41" t="str">
        <f>IFERROR(__xludf.DUMMYFUNCTION("""COMPUTED_VALUE"""),"Premier")</f>
        <v>Premier</v>
      </c>
      <c r="B633" s="41" t="str">
        <f>IFERROR(__xludf.DUMMYFUNCTION("""COMPUTED_VALUE"""),"RSC008094")</f>
        <v>RSC008094</v>
      </c>
      <c r="C633" s="41" t="str">
        <f>IFERROR(__xludf.DUMMYFUNCTION("""COMPUTED_VALUE"""),"JoshuaNaoki")</f>
        <v>JoshuaNaoki</v>
      </c>
      <c r="D633" s="41" t="str">
        <f>IFERROR(__xludf.DUMMYFUNCTION("""COMPUTED_VALUE"""),"Punks
Gummy Bears")</f>
        <v>Punks
Gummy Bears</v>
      </c>
      <c r="E633" s="136">
        <f>IFERROR(__xludf.DUMMYFUNCTION("""COMPUTED_VALUE"""),49.0)</f>
        <v>49</v>
      </c>
      <c r="F633" s="136">
        <f>IFERROR(__xludf.DUMMYFUNCTION("""COMPUTED_VALUE"""),21.0)</f>
        <v>21</v>
      </c>
      <c r="G633" s="136">
        <f>IFERROR(__xludf.DUMMYFUNCTION("""COMPUTED_VALUE"""),28.0)</f>
        <v>28</v>
      </c>
      <c r="H633" s="137">
        <f>IFERROR(__xludf.DUMMYFUNCTION("""COMPUTED_VALUE"""),0.42857142857142855)</f>
        <v>0.4285714286</v>
      </c>
      <c r="I633" s="136">
        <f>IFERROR(__xludf.DUMMYFUNCTION("""COMPUTED_VALUE"""),2.0)</f>
        <v>2</v>
      </c>
      <c r="J633" s="136">
        <f>IFERROR(__xludf.DUMMYFUNCTION("""COMPUTED_VALUE"""),14223.0)</f>
        <v>14223</v>
      </c>
      <c r="K633" s="136">
        <f>IFERROR(__xludf.DUMMYFUNCTION("""COMPUTED_VALUE"""),27.0)</f>
        <v>27</v>
      </c>
      <c r="L633" s="136">
        <f>IFERROR(__xludf.DUMMYFUNCTION("""COMPUTED_VALUE"""),26.0)</f>
        <v>26</v>
      </c>
      <c r="M633" s="136">
        <f>IFERROR(__xludf.DUMMYFUNCTION("""COMPUTED_VALUE"""),57.0)</f>
        <v>57</v>
      </c>
      <c r="N633" s="136">
        <f>IFERROR(__xludf.DUMMYFUNCTION("""COMPUTED_VALUE"""),117.0)</f>
        <v>117</v>
      </c>
      <c r="O633" s="138">
        <f>IFERROR(__xludf.DUMMYFUNCTION("""COMPUTED_VALUE"""),7.0)</f>
        <v>7</v>
      </c>
      <c r="P633" s="138">
        <f>IFERROR(__xludf.DUMMYFUNCTION("""COMPUTED_VALUE"""),0.0)</f>
        <v>0</v>
      </c>
      <c r="Q633" s="138">
        <f>IFERROR(__xludf.DUMMYFUNCTION("""COMPUTED_VALUE"""),0.0)</f>
        <v>0</v>
      </c>
      <c r="R633" s="138">
        <f>IFERROR(__xludf.DUMMYFUNCTION("""COMPUTED_VALUE"""),5.0)</f>
        <v>5</v>
      </c>
      <c r="S633" s="139">
        <f>IFERROR(__xludf.DUMMYFUNCTION("""COMPUTED_VALUE"""),442.0)</f>
        <v>442</v>
      </c>
      <c r="T633" s="140">
        <f>IFERROR(__xludf.DUMMYFUNCTION("""COMPUTED_VALUE"""),133.0)</f>
        <v>133</v>
      </c>
      <c r="U633" s="136">
        <f>IFERROR(__xludf.DUMMYFUNCTION("""COMPUTED_VALUE"""),50.0)</f>
        <v>50</v>
      </c>
      <c r="V633" s="136">
        <f>IFERROR(__xludf.DUMMYFUNCTION("""COMPUTED_VALUE"""),29.0)</f>
        <v>29</v>
      </c>
      <c r="W633" s="136">
        <f>IFERROR(__xludf.DUMMYFUNCTION("""COMPUTED_VALUE"""),52.0)</f>
        <v>52</v>
      </c>
      <c r="X633" s="136">
        <f>IFERROR(__xludf.DUMMYFUNCTION("""COMPUTED_VALUE"""),390.44897959183675)</f>
        <v>390.4489796</v>
      </c>
      <c r="Y633" s="141">
        <f>IFERROR(__xludf.DUMMYFUNCTION("""COMPUTED_VALUE"""),46.74795918367347)</f>
        <v>46.74795918</v>
      </c>
      <c r="Z633" s="141">
        <f>IFERROR(__xludf.DUMMYFUNCTION("""COMPUTED_VALUE"""),2331.8571428571427)</f>
        <v>2331.857143</v>
      </c>
    </row>
    <row r="634">
      <c r="A634" s="41" t="str">
        <f>IFERROR(__xludf.DUMMYFUNCTION("""COMPUTED_VALUE"""),"Elite")</f>
        <v>Elite</v>
      </c>
      <c r="B634" s="41" t="str">
        <f>IFERROR(__xludf.DUMMYFUNCTION("""COMPUTED_VALUE"""),"RSC008102")</f>
        <v>RSC008102</v>
      </c>
      <c r="C634" s="41" t="str">
        <f>IFERROR(__xludf.DUMMYFUNCTION("""COMPUTED_VALUE"""),"Talent?")</f>
        <v>Talent?</v>
      </c>
      <c r="D634" s="41" t="str">
        <f>IFERROR(__xludf.DUMMYFUNCTION("""COMPUTED_VALUE"""),"Cotija Cartel")</f>
        <v>Cotija Cartel</v>
      </c>
      <c r="E634" s="136">
        <f>IFERROR(__xludf.DUMMYFUNCTION("""COMPUTED_VALUE"""),50.0)</f>
        <v>50</v>
      </c>
      <c r="F634" s="136">
        <f>IFERROR(__xludf.DUMMYFUNCTION("""COMPUTED_VALUE"""),22.0)</f>
        <v>22</v>
      </c>
      <c r="G634" s="136">
        <f>IFERROR(__xludf.DUMMYFUNCTION("""COMPUTED_VALUE"""),28.0)</f>
        <v>28</v>
      </c>
      <c r="H634" s="137">
        <f>IFERROR(__xludf.DUMMYFUNCTION("""COMPUTED_VALUE"""),0.44)</f>
        <v>0.44</v>
      </c>
      <c r="I634" s="136">
        <f>IFERROR(__xludf.DUMMYFUNCTION("""COMPUTED_VALUE"""),8.0)</f>
        <v>8</v>
      </c>
      <c r="J634" s="136">
        <f>IFERROR(__xludf.DUMMYFUNCTION("""COMPUTED_VALUE"""),18219.0)</f>
        <v>18219</v>
      </c>
      <c r="K634" s="136">
        <f>IFERROR(__xludf.DUMMYFUNCTION("""COMPUTED_VALUE"""),38.0)</f>
        <v>38</v>
      </c>
      <c r="L634" s="136">
        <f>IFERROR(__xludf.DUMMYFUNCTION("""COMPUTED_VALUE"""),29.0)</f>
        <v>29</v>
      </c>
      <c r="M634" s="136">
        <f>IFERROR(__xludf.DUMMYFUNCTION("""COMPUTED_VALUE"""),72.0)</f>
        <v>72</v>
      </c>
      <c r="N634" s="136">
        <f>IFERROR(__xludf.DUMMYFUNCTION("""COMPUTED_VALUE"""),125.0)</f>
        <v>125</v>
      </c>
      <c r="O634" s="138">
        <f>IFERROR(__xludf.DUMMYFUNCTION("""COMPUTED_VALUE"""),4.0)</f>
        <v>4</v>
      </c>
      <c r="P634" s="138">
        <f>IFERROR(__xludf.DUMMYFUNCTION("""COMPUTED_VALUE"""),2.0)</f>
        <v>2</v>
      </c>
      <c r="Q634" s="138">
        <f>IFERROR(__xludf.DUMMYFUNCTION("""COMPUTED_VALUE"""),1.0)</f>
        <v>1</v>
      </c>
      <c r="R634" s="138">
        <f>IFERROR(__xludf.DUMMYFUNCTION("""COMPUTED_VALUE"""),8.0)</f>
        <v>8</v>
      </c>
      <c r="S634" s="139">
        <f>IFERROR(__xludf.DUMMYFUNCTION("""COMPUTED_VALUE"""),428.0)</f>
        <v>428</v>
      </c>
      <c r="T634" s="140">
        <f>IFERROR(__xludf.DUMMYFUNCTION("""COMPUTED_VALUE"""),142.0)</f>
        <v>142</v>
      </c>
      <c r="U634" s="136">
        <f>IFERROR(__xludf.DUMMYFUNCTION("""COMPUTED_VALUE"""),50.0)</f>
        <v>50</v>
      </c>
      <c r="V634" s="136">
        <f>IFERROR(__xludf.DUMMYFUNCTION("""COMPUTED_VALUE"""),56.0)</f>
        <v>56</v>
      </c>
      <c r="W634" s="136">
        <f>IFERROR(__xludf.DUMMYFUNCTION("""COMPUTED_VALUE"""),40.0)</f>
        <v>40</v>
      </c>
      <c r="X634" s="136">
        <f>IFERROR(__xludf.DUMMYFUNCTION("""COMPUTED_VALUE"""),443.04)</f>
        <v>443.04</v>
      </c>
      <c r="Y634" s="141">
        <f>IFERROR(__xludf.DUMMYFUNCTION("""COMPUTED_VALUE"""),49.28500000000001)</f>
        <v>49.285</v>
      </c>
      <c r="Z634" s="141">
        <f>IFERROR(__xludf.DUMMYFUNCTION("""COMPUTED_VALUE"""),2765.88)</f>
        <v>2765.88</v>
      </c>
    </row>
    <row r="635">
      <c r="A635" s="41" t="str">
        <f>IFERROR(__xludf.DUMMYFUNCTION("""COMPUTED_VALUE"""),"Challenger")</f>
        <v>Challenger</v>
      </c>
      <c r="B635" s="41" t="str">
        <f>IFERROR(__xludf.DUMMYFUNCTION("""COMPUTED_VALUE"""),"RSC008103")</f>
        <v>RSC008103</v>
      </c>
      <c r="C635" s="41" t="str">
        <f>IFERROR(__xludf.DUMMYFUNCTION("""COMPUTED_VALUE"""),"AkTION")</f>
        <v>AkTION</v>
      </c>
      <c r="D635" s="41" t="str">
        <f>IFERROR(__xludf.DUMMYFUNCTION("""COMPUTED_VALUE"""),"Chromatic Chaos")</f>
        <v>Chromatic Chaos</v>
      </c>
      <c r="E635" s="136">
        <f>IFERROR(__xludf.DUMMYFUNCTION("""COMPUTED_VALUE"""),53.0)</f>
        <v>53</v>
      </c>
      <c r="F635" s="136">
        <f>IFERROR(__xludf.DUMMYFUNCTION("""COMPUTED_VALUE"""),28.0)</f>
        <v>28</v>
      </c>
      <c r="G635" s="136">
        <f>IFERROR(__xludf.DUMMYFUNCTION("""COMPUTED_VALUE"""),25.0)</f>
        <v>25</v>
      </c>
      <c r="H635" s="137">
        <f>IFERROR(__xludf.DUMMYFUNCTION("""COMPUTED_VALUE"""),0.5283018867924528)</f>
        <v>0.5283018868</v>
      </c>
      <c r="I635" s="136">
        <f>IFERROR(__xludf.DUMMYFUNCTION("""COMPUTED_VALUE"""),5.0)</f>
        <v>5</v>
      </c>
      <c r="J635" s="136">
        <f>IFERROR(__xludf.DUMMYFUNCTION("""COMPUTED_VALUE"""),18218.0)</f>
        <v>18218</v>
      </c>
      <c r="K635" s="136">
        <f>IFERROR(__xludf.DUMMYFUNCTION("""COMPUTED_VALUE"""),36.0)</f>
        <v>36</v>
      </c>
      <c r="L635" s="136">
        <f>IFERROR(__xludf.DUMMYFUNCTION("""COMPUTED_VALUE"""),34.0)</f>
        <v>34</v>
      </c>
      <c r="M635" s="136">
        <f>IFERROR(__xludf.DUMMYFUNCTION("""COMPUTED_VALUE"""),71.0)</f>
        <v>71</v>
      </c>
      <c r="N635" s="136">
        <f>IFERROR(__xludf.DUMMYFUNCTION("""COMPUTED_VALUE"""),122.0)</f>
        <v>122</v>
      </c>
      <c r="O635" s="138">
        <f>IFERROR(__xludf.DUMMYFUNCTION("""COMPUTED_VALUE"""),11.0)</f>
        <v>11</v>
      </c>
      <c r="P635" s="138">
        <f>IFERROR(__xludf.DUMMYFUNCTION("""COMPUTED_VALUE"""),1.0)</f>
        <v>1</v>
      </c>
      <c r="Q635" s="138">
        <f>IFERROR(__xludf.DUMMYFUNCTION("""COMPUTED_VALUE"""),2.0)</f>
        <v>2</v>
      </c>
      <c r="R635" s="138">
        <f>IFERROR(__xludf.DUMMYFUNCTION("""COMPUTED_VALUE"""),6.0)</f>
        <v>6</v>
      </c>
      <c r="S635" s="139">
        <f>IFERROR(__xludf.DUMMYFUNCTION("""COMPUTED_VALUE"""),390.0)</f>
        <v>390</v>
      </c>
      <c r="T635" s="140">
        <f>IFERROR(__xludf.DUMMYFUNCTION("""COMPUTED_VALUE"""),117.0)</f>
        <v>117</v>
      </c>
      <c r="U635" s="136">
        <f>IFERROR(__xludf.DUMMYFUNCTION("""COMPUTED_VALUE"""),40.0)</f>
        <v>40</v>
      </c>
      <c r="V635" s="136">
        <f>IFERROR(__xludf.DUMMYFUNCTION("""COMPUTED_VALUE"""),45.0)</f>
        <v>45</v>
      </c>
      <c r="W635" s="136">
        <f>IFERROR(__xludf.DUMMYFUNCTION("""COMPUTED_VALUE"""),47.0)</f>
        <v>47</v>
      </c>
      <c r="X635" s="136">
        <f>IFERROR(__xludf.DUMMYFUNCTION("""COMPUTED_VALUE"""),382.8867924528302)</f>
        <v>382.8867925</v>
      </c>
      <c r="Y635" s="141">
        <f>IFERROR(__xludf.DUMMYFUNCTION("""COMPUTED_VALUE"""),50.208490566037725)</f>
        <v>50.20849057</v>
      </c>
      <c r="Z635" s="141">
        <f>IFERROR(__xludf.DUMMYFUNCTION("""COMPUTED_VALUE"""),2335.8867924528304)</f>
        <v>2335.886792</v>
      </c>
    </row>
    <row r="636">
      <c r="A636" s="41" t="str">
        <f>IFERROR(__xludf.DUMMYFUNCTION("""COMPUTED_VALUE"""),"Veteran")</f>
        <v>Veteran</v>
      </c>
      <c r="B636" s="41" t="str">
        <f>IFERROR(__xludf.DUMMYFUNCTION("""COMPUTED_VALUE"""),"RSC008104")</f>
        <v>RSC008104</v>
      </c>
      <c r="C636" s="41" t="str">
        <f>IFERROR(__xludf.DUMMYFUNCTION("""COMPUTED_VALUE"""),"M0NKEE .")</f>
        <v>M0NKEE .</v>
      </c>
      <c r="D636" s="41" t="str">
        <f>IFERROR(__xludf.DUMMYFUNCTION("""COMPUTED_VALUE"""),"Sons of Ares")</f>
        <v>Sons of Ares</v>
      </c>
      <c r="E636" s="136">
        <f>IFERROR(__xludf.DUMMYFUNCTION("""COMPUTED_VALUE"""),52.0)</f>
        <v>52</v>
      </c>
      <c r="F636" s="136">
        <f>IFERROR(__xludf.DUMMYFUNCTION("""COMPUTED_VALUE"""),30.0)</f>
        <v>30</v>
      </c>
      <c r="G636" s="136">
        <f>IFERROR(__xludf.DUMMYFUNCTION("""COMPUTED_VALUE"""),22.0)</f>
        <v>22</v>
      </c>
      <c r="H636" s="137">
        <f>IFERROR(__xludf.DUMMYFUNCTION("""COMPUTED_VALUE"""),0.5769230769230769)</f>
        <v>0.5769230769</v>
      </c>
      <c r="I636" s="136">
        <f>IFERROR(__xludf.DUMMYFUNCTION("""COMPUTED_VALUE"""),8.0)</f>
        <v>8</v>
      </c>
      <c r="J636" s="136">
        <f>IFERROR(__xludf.DUMMYFUNCTION("""COMPUTED_VALUE"""),17828.0)</f>
        <v>17828</v>
      </c>
      <c r="K636" s="136">
        <f>IFERROR(__xludf.DUMMYFUNCTION("""COMPUTED_VALUE"""),33.0)</f>
        <v>33</v>
      </c>
      <c r="L636" s="136">
        <f>IFERROR(__xludf.DUMMYFUNCTION("""COMPUTED_VALUE"""),32.0)</f>
        <v>32</v>
      </c>
      <c r="M636" s="136">
        <f>IFERROR(__xludf.DUMMYFUNCTION("""COMPUTED_VALUE"""),72.0)</f>
        <v>72</v>
      </c>
      <c r="N636" s="136">
        <f>IFERROR(__xludf.DUMMYFUNCTION("""COMPUTED_VALUE"""),139.0)</f>
        <v>139</v>
      </c>
      <c r="O636" s="138">
        <f>IFERROR(__xludf.DUMMYFUNCTION("""COMPUTED_VALUE"""),10.0)</f>
        <v>10</v>
      </c>
      <c r="P636" s="138">
        <f>IFERROR(__xludf.DUMMYFUNCTION("""COMPUTED_VALUE"""),1.0)</f>
        <v>1</v>
      </c>
      <c r="Q636" s="138">
        <f>IFERROR(__xludf.DUMMYFUNCTION("""COMPUTED_VALUE"""),0.0)</f>
        <v>0</v>
      </c>
      <c r="R636" s="138">
        <f>IFERROR(__xludf.DUMMYFUNCTION("""COMPUTED_VALUE"""),8.0)</f>
        <v>8</v>
      </c>
      <c r="S636" s="139">
        <f>IFERROR(__xludf.DUMMYFUNCTION("""COMPUTED_VALUE"""),369.0)</f>
        <v>369</v>
      </c>
      <c r="T636" s="140">
        <f>IFERROR(__xludf.DUMMYFUNCTION("""COMPUTED_VALUE"""),102.0)</f>
        <v>102</v>
      </c>
      <c r="U636" s="136">
        <f>IFERROR(__xludf.DUMMYFUNCTION("""COMPUTED_VALUE"""),33.0)</f>
        <v>33</v>
      </c>
      <c r="V636" s="136">
        <f>IFERROR(__xludf.DUMMYFUNCTION("""COMPUTED_VALUE"""),96.0)</f>
        <v>96</v>
      </c>
      <c r="W636" s="136">
        <f>IFERROR(__xludf.DUMMYFUNCTION("""COMPUTED_VALUE"""),43.0)</f>
        <v>43</v>
      </c>
      <c r="X636" s="136">
        <f>IFERROR(__xludf.DUMMYFUNCTION("""COMPUTED_VALUE"""),402.11538461538464)</f>
        <v>402.1153846</v>
      </c>
      <c r="Y636" s="141">
        <f>IFERROR(__xludf.DUMMYFUNCTION("""COMPUTED_VALUE"""),48.859807692307676)</f>
        <v>48.85980769</v>
      </c>
      <c r="Z636" s="141">
        <f>IFERROR(__xludf.DUMMYFUNCTION("""COMPUTED_VALUE"""),2365.769230769231)</f>
        <v>2365.769231</v>
      </c>
    </row>
    <row r="637">
      <c r="A637" s="41" t="str">
        <f>IFERROR(__xludf.DUMMYFUNCTION("""COMPUTED_VALUE"""),"Prospect")</f>
        <v>Prospect</v>
      </c>
      <c r="B637" s="41" t="str">
        <f>IFERROR(__xludf.DUMMYFUNCTION("""COMPUTED_VALUE"""),"RSC008106")</f>
        <v>RSC008106</v>
      </c>
      <c r="C637" s="41" t="str">
        <f>IFERROR(__xludf.DUMMYFUNCTION("""COMPUTED_VALUE"""),"M0USE_1")</f>
        <v>M0USE_1</v>
      </c>
      <c r="D637" s="41" t="str">
        <f>IFERROR(__xludf.DUMMYFUNCTION("""COMPUTED_VALUE"""),"Blacktips")</f>
        <v>Blacktips</v>
      </c>
      <c r="E637" s="136">
        <f>IFERROR(__xludf.DUMMYFUNCTION("""COMPUTED_VALUE"""),56.0)</f>
        <v>56</v>
      </c>
      <c r="F637" s="136">
        <f>IFERROR(__xludf.DUMMYFUNCTION("""COMPUTED_VALUE"""),36.0)</f>
        <v>36</v>
      </c>
      <c r="G637" s="136">
        <f>IFERROR(__xludf.DUMMYFUNCTION("""COMPUTED_VALUE"""),20.0)</f>
        <v>20</v>
      </c>
      <c r="H637" s="137">
        <f>IFERROR(__xludf.DUMMYFUNCTION("""COMPUTED_VALUE"""),0.6428571428571429)</f>
        <v>0.6428571429</v>
      </c>
      <c r="I637" s="136">
        <f>IFERROR(__xludf.DUMMYFUNCTION("""COMPUTED_VALUE"""),10.0)</f>
        <v>10</v>
      </c>
      <c r="J637" s="136">
        <f>IFERROR(__xludf.DUMMYFUNCTION("""COMPUTED_VALUE"""),19869.0)</f>
        <v>19869</v>
      </c>
      <c r="K637" s="136">
        <f>IFERROR(__xludf.DUMMYFUNCTION("""COMPUTED_VALUE"""),48.0)</f>
        <v>48</v>
      </c>
      <c r="L637" s="136">
        <f>IFERROR(__xludf.DUMMYFUNCTION("""COMPUTED_VALUE"""),40.0)</f>
        <v>40</v>
      </c>
      <c r="M637" s="136">
        <f>IFERROR(__xludf.DUMMYFUNCTION("""COMPUTED_VALUE"""),68.0)</f>
        <v>68</v>
      </c>
      <c r="N637" s="136">
        <f>IFERROR(__xludf.DUMMYFUNCTION("""COMPUTED_VALUE"""),145.0)</f>
        <v>145</v>
      </c>
      <c r="O637" s="138">
        <f>IFERROR(__xludf.DUMMYFUNCTION("""COMPUTED_VALUE"""),16.0)</f>
        <v>16</v>
      </c>
      <c r="P637" s="138">
        <f>IFERROR(__xludf.DUMMYFUNCTION("""COMPUTED_VALUE"""),3.0)</f>
        <v>3</v>
      </c>
      <c r="Q637" s="138">
        <f>IFERROR(__xludf.DUMMYFUNCTION("""COMPUTED_VALUE"""),3.0)</f>
        <v>3</v>
      </c>
      <c r="R637" s="138">
        <f>IFERROR(__xludf.DUMMYFUNCTION("""COMPUTED_VALUE"""),6.0)</f>
        <v>6</v>
      </c>
      <c r="S637" s="139">
        <f>IFERROR(__xludf.DUMMYFUNCTION("""COMPUTED_VALUE"""),372.0)</f>
        <v>372</v>
      </c>
      <c r="T637" s="140">
        <f>IFERROR(__xludf.DUMMYFUNCTION("""COMPUTED_VALUE"""),122.0)</f>
        <v>122</v>
      </c>
      <c r="U637" s="136">
        <f>IFERROR(__xludf.DUMMYFUNCTION("""COMPUTED_VALUE"""),61.0)</f>
        <v>61</v>
      </c>
      <c r="V637" s="136">
        <f>IFERROR(__xludf.DUMMYFUNCTION("""COMPUTED_VALUE"""),61.0)</f>
        <v>61</v>
      </c>
      <c r="W637" s="136">
        <f>IFERROR(__xludf.DUMMYFUNCTION("""COMPUTED_VALUE"""),54.0)</f>
        <v>54</v>
      </c>
      <c r="X637" s="136">
        <f>IFERROR(__xludf.DUMMYFUNCTION("""COMPUTED_VALUE"""),357.125)</f>
        <v>357.125</v>
      </c>
      <c r="Y637" s="141">
        <f>IFERROR(__xludf.DUMMYFUNCTION("""COMPUTED_VALUE"""),48.02607142857143)</f>
        <v>48.02607143</v>
      </c>
      <c r="Z637" s="141">
        <f>IFERROR(__xludf.DUMMYFUNCTION("""COMPUTED_VALUE"""),2188.089285714286)</f>
        <v>2188.089286</v>
      </c>
    </row>
    <row r="638">
      <c r="A638" s="41" t="str">
        <f>IFERROR(__xludf.DUMMYFUNCTION("""COMPUTED_VALUE"""),"Elite")</f>
        <v>Elite</v>
      </c>
      <c r="B638" s="41" t="str">
        <f>IFERROR(__xludf.DUMMYFUNCTION("""COMPUTED_VALUE"""),"RSC008109")</f>
        <v>RSC008109</v>
      </c>
      <c r="C638" s="41" t="str">
        <f>IFERROR(__xludf.DUMMYFUNCTION("""COMPUTED_VALUE"""),"Tbrock")</f>
        <v>Tbrock</v>
      </c>
      <c r="D638" s="41" t="str">
        <f>IFERROR(__xludf.DUMMYFUNCTION("""COMPUTED_VALUE"""),"Drive-by")</f>
        <v>Drive-by</v>
      </c>
      <c r="E638" s="136">
        <f>IFERROR(__xludf.DUMMYFUNCTION("""COMPUTED_VALUE"""),2.0)</f>
        <v>2</v>
      </c>
      <c r="F638" s="136">
        <f>IFERROR(__xludf.DUMMYFUNCTION("""COMPUTED_VALUE"""),0.0)</f>
        <v>0</v>
      </c>
      <c r="G638" s="136">
        <f>IFERROR(__xludf.DUMMYFUNCTION("""COMPUTED_VALUE"""),2.0)</f>
        <v>2</v>
      </c>
      <c r="H638" s="137">
        <f>IFERROR(__xludf.DUMMYFUNCTION("""COMPUTED_VALUE"""),0.0)</f>
        <v>0</v>
      </c>
      <c r="I638" s="136">
        <f>IFERROR(__xludf.DUMMYFUNCTION("""COMPUTED_VALUE"""),0.0)</f>
        <v>0</v>
      </c>
      <c r="J638" s="136">
        <f>IFERROR(__xludf.DUMMYFUNCTION("""COMPUTED_VALUE"""),629.0)</f>
        <v>629</v>
      </c>
      <c r="K638" s="136">
        <f>IFERROR(__xludf.DUMMYFUNCTION("""COMPUTED_VALUE"""),1.0)</f>
        <v>1</v>
      </c>
      <c r="L638" s="136">
        <f>IFERROR(__xludf.DUMMYFUNCTION("""COMPUTED_VALUE"""),0.0)</f>
        <v>0</v>
      </c>
      <c r="M638" s="136">
        <f>IFERROR(__xludf.DUMMYFUNCTION("""COMPUTED_VALUE"""),5.0)</f>
        <v>5</v>
      </c>
      <c r="N638" s="136">
        <f>IFERROR(__xludf.DUMMYFUNCTION("""COMPUTED_VALUE"""),1.0)</f>
        <v>1</v>
      </c>
      <c r="O638" s="138">
        <f>IFERROR(__xludf.DUMMYFUNCTION("""COMPUTED_VALUE"""),0.0)</f>
        <v>0</v>
      </c>
      <c r="P638" s="138">
        <f>IFERROR(__xludf.DUMMYFUNCTION("""COMPUTED_VALUE"""),0.0)</f>
        <v>0</v>
      </c>
      <c r="Q638" s="138">
        <f>IFERROR(__xludf.DUMMYFUNCTION("""COMPUTED_VALUE"""),0.0)</f>
        <v>0</v>
      </c>
      <c r="R638" s="138">
        <f>IFERROR(__xludf.DUMMYFUNCTION("""COMPUTED_VALUE"""),1.0)</f>
        <v>1</v>
      </c>
      <c r="S638" s="139">
        <f>IFERROR(__xludf.DUMMYFUNCTION("""COMPUTED_VALUE"""),36.0)</f>
        <v>36</v>
      </c>
      <c r="T638" s="140">
        <f>IFERROR(__xludf.DUMMYFUNCTION("""COMPUTED_VALUE"""),13.0)</f>
        <v>13</v>
      </c>
      <c r="U638" s="136">
        <f>IFERROR(__xludf.DUMMYFUNCTION("""COMPUTED_VALUE"""),2.0)</f>
        <v>2</v>
      </c>
      <c r="V638" s="136">
        <f>IFERROR(__xludf.DUMMYFUNCTION("""COMPUTED_VALUE"""),0.0)</f>
        <v>0</v>
      </c>
      <c r="W638" s="136">
        <f>IFERROR(__xludf.DUMMYFUNCTION("""COMPUTED_VALUE"""),0.0)</f>
        <v>0</v>
      </c>
      <c r="X638" s="136">
        <f>IFERROR(__xludf.DUMMYFUNCTION("""COMPUTED_VALUE"""),377.0)</f>
        <v>377</v>
      </c>
      <c r="Y638" s="141">
        <f>IFERROR(__xludf.DUMMYFUNCTION("""COMPUTED_VALUE"""),45.89)</f>
        <v>45.89</v>
      </c>
      <c r="Z638" s="141">
        <f>IFERROR(__xludf.DUMMYFUNCTION("""COMPUTED_VALUE"""),1367.0)</f>
        <v>1367</v>
      </c>
    </row>
    <row r="639">
      <c r="A639" s="41" t="str">
        <f>IFERROR(__xludf.DUMMYFUNCTION("""COMPUTED_VALUE"""),"Prospect")</f>
        <v>Prospect</v>
      </c>
      <c r="B639" s="41" t="str">
        <f>IFERROR(__xludf.DUMMYFUNCTION("""COMPUTED_VALUE"""),"RSC008110")</f>
        <v>RSC008110</v>
      </c>
      <c r="C639" s="41" t="str">
        <f>IFERROR(__xludf.DUMMYFUNCTION("""COMPUTED_VALUE"""),"IrishHawk27")</f>
        <v>IrishHawk27</v>
      </c>
      <c r="D639" s="41" t="str">
        <f>IFERROR(__xludf.DUMMYFUNCTION("""COMPUTED_VALUE"""),"Skeletons
Honey Badgers
Hostile Takeover")</f>
        <v>Skeletons
Honey Badgers
Hostile Takeover</v>
      </c>
      <c r="E639" s="136">
        <f>IFERROR(__xludf.DUMMYFUNCTION("""COMPUTED_VALUE"""),28.0)</f>
        <v>28</v>
      </c>
      <c r="F639" s="136">
        <f>IFERROR(__xludf.DUMMYFUNCTION("""COMPUTED_VALUE"""),12.0)</f>
        <v>12</v>
      </c>
      <c r="G639" s="136">
        <f>IFERROR(__xludf.DUMMYFUNCTION("""COMPUTED_VALUE"""),16.0)</f>
        <v>16</v>
      </c>
      <c r="H639" s="137">
        <f>IFERROR(__xludf.DUMMYFUNCTION("""COMPUTED_VALUE"""),0.42857142857142855)</f>
        <v>0.4285714286</v>
      </c>
      <c r="I639" s="136">
        <f>IFERROR(__xludf.DUMMYFUNCTION("""COMPUTED_VALUE"""),5.0)</f>
        <v>5</v>
      </c>
      <c r="J639" s="136">
        <f>IFERROR(__xludf.DUMMYFUNCTION("""COMPUTED_VALUE"""),9594.0)</f>
        <v>9594</v>
      </c>
      <c r="K639" s="136">
        <f>IFERROR(__xludf.DUMMYFUNCTION("""COMPUTED_VALUE"""),27.0)</f>
        <v>27</v>
      </c>
      <c r="L639" s="136">
        <f>IFERROR(__xludf.DUMMYFUNCTION("""COMPUTED_VALUE"""),14.0)</f>
        <v>14</v>
      </c>
      <c r="M639" s="136">
        <f>IFERROR(__xludf.DUMMYFUNCTION("""COMPUTED_VALUE"""),27.0)</f>
        <v>27</v>
      </c>
      <c r="N639" s="136">
        <f>IFERROR(__xludf.DUMMYFUNCTION("""COMPUTED_VALUE"""),79.0)</f>
        <v>79</v>
      </c>
      <c r="O639" s="138">
        <f>IFERROR(__xludf.DUMMYFUNCTION("""COMPUTED_VALUE"""),4.0)</f>
        <v>4</v>
      </c>
      <c r="P639" s="138">
        <f>IFERROR(__xludf.DUMMYFUNCTION("""COMPUTED_VALUE"""),2.0)</f>
        <v>2</v>
      </c>
      <c r="Q639" s="138">
        <f>IFERROR(__xludf.DUMMYFUNCTION("""COMPUTED_VALUE"""),1.0)</f>
        <v>1</v>
      </c>
      <c r="R639" s="138">
        <f>IFERROR(__xludf.DUMMYFUNCTION("""COMPUTED_VALUE"""),1.0)</f>
        <v>1</v>
      </c>
      <c r="S639" s="139">
        <f>IFERROR(__xludf.DUMMYFUNCTION("""COMPUTED_VALUE"""),226.0)</f>
        <v>226</v>
      </c>
      <c r="T639" s="140">
        <f>IFERROR(__xludf.DUMMYFUNCTION("""COMPUTED_VALUE"""),86.0)</f>
        <v>86</v>
      </c>
      <c r="U639" s="136">
        <f>IFERROR(__xludf.DUMMYFUNCTION("""COMPUTED_VALUE"""),31.0)</f>
        <v>31</v>
      </c>
      <c r="V639" s="136">
        <f>IFERROR(__xludf.DUMMYFUNCTION("""COMPUTED_VALUE"""),9.0)</f>
        <v>9</v>
      </c>
      <c r="W639" s="136">
        <f>IFERROR(__xludf.DUMMYFUNCTION("""COMPUTED_VALUE"""),36.0)</f>
        <v>36</v>
      </c>
      <c r="X639" s="136">
        <f>IFERROR(__xludf.DUMMYFUNCTION("""COMPUTED_VALUE"""),297.25)</f>
        <v>297.25</v>
      </c>
      <c r="Y639" s="141">
        <f>IFERROR(__xludf.DUMMYFUNCTION("""COMPUTED_VALUE"""),45.385714285714286)</f>
        <v>45.38571429</v>
      </c>
      <c r="Z639" s="141">
        <f>IFERROR(__xludf.DUMMYFUNCTION("""COMPUTED_VALUE"""),1754.1785714285713)</f>
        <v>1754.178571</v>
      </c>
    </row>
    <row r="640">
      <c r="A640" s="41" t="str">
        <f>IFERROR(__xludf.DUMMYFUNCTION("""COMPUTED_VALUE"""),"Challenger")</f>
        <v>Challenger</v>
      </c>
      <c r="B640" s="41" t="str">
        <f>IFERROR(__xludf.DUMMYFUNCTION("""COMPUTED_VALUE"""),"RSC008111")</f>
        <v>RSC008111</v>
      </c>
      <c r="C640" s="41" t="str">
        <f>IFERROR(__xludf.DUMMYFUNCTION("""COMPUTED_VALUE"""),"Shadow_11Bravo")</f>
        <v>Shadow_11Bravo</v>
      </c>
      <c r="D640" s="41" t="str">
        <f>IFERROR(__xludf.DUMMYFUNCTION("""COMPUTED_VALUE"""),"Happy B-day Jess")</f>
        <v>Happy B-day Jess</v>
      </c>
      <c r="E640" s="136">
        <f>IFERROR(__xludf.DUMMYFUNCTION("""COMPUTED_VALUE"""),30.0)</f>
        <v>30</v>
      </c>
      <c r="F640" s="136">
        <f>IFERROR(__xludf.DUMMYFUNCTION("""COMPUTED_VALUE"""),22.0)</f>
        <v>22</v>
      </c>
      <c r="G640" s="136">
        <f>IFERROR(__xludf.DUMMYFUNCTION("""COMPUTED_VALUE"""),8.0)</f>
        <v>8</v>
      </c>
      <c r="H640" s="137">
        <f>IFERROR(__xludf.DUMMYFUNCTION("""COMPUTED_VALUE"""),0.7333333333333333)</f>
        <v>0.7333333333</v>
      </c>
      <c r="I640" s="136">
        <f>IFERROR(__xludf.DUMMYFUNCTION("""COMPUTED_VALUE"""),7.0)</f>
        <v>7</v>
      </c>
      <c r="J640" s="136">
        <f>IFERROR(__xludf.DUMMYFUNCTION("""COMPUTED_VALUE"""),9543.0)</f>
        <v>9543</v>
      </c>
      <c r="K640" s="136">
        <f>IFERROR(__xludf.DUMMYFUNCTION("""COMPUTED_VALUE"""),19.0)</f>
        <v>19</v>
      </c>
      <c r="L640" s="136">
        <f>IFERROR(__xludf.DUMMYFUNCTION("""COMPUTED_VALUE"""),22.0)</f>
        <v>22</v>
      </c>
      <c r="M640" s="136">
        <f>IFERROR(__xludf.DUMMYFUNCTION("""COMPUTED_VALUE"""),36.0)</f>
        <v>36</v>
      </c>
      <c r="N640" s="136">
        <f>IFERROR(__xludf.DUMMYFUNCTION("""COMPUTED_VALUE"""),52.0)</f>
        <v>52</v>
      </c>
      <c r="O640" s="138">
        <f>IFERROR(__xludf.DUMMYFUNCTION("""COMPUTED_VALUE"""),7.0)</f>
        <v>7</v>
      </c>
      <c r="P640" s="138">
        <f>IFERROR(__xludf.DUMMYFUNCTION("""COMPUTED_VALUE"""),1.0)</f>
        <v>1</v>
      </c>
      <c r="Q640" s="138">
        <f>IFERROR(__xludf.DUMMYFUNCTION("""COMPUTED_VALUE"""),2.0)</f>
        <v>2</v>
      </c>
      <c r="R640" s="138">
        <f>IFERROR(__xludf.DUMMYFUNCTION("""COMPUTED_VALUE"""),4.0)</f>
        <v>4</v>
      </c>
      <c r="S640" s="139">
        <f>IFERROR(__xludf.DUMMYFUNCTION("""COMPUTED_VALUE"""),204.0)</f>
        <v>204</v>
      </c>
      <c r="T640" s="140">
        <f>IFERROR(__xludf.DUMMYFUNCTION("""COMPUTED_VALUE"""),54.0)</f>
        <v>54</v>
      </c>
      <c r="U640" s="136">
        <f>IFERROR(__xludf.DUMMYFUNCTION("""COMPUTED_VALUE"""),17.0)</f>
        <v>17</v>
      </c>
      <c r="V640" s="136">
        <f>IFERROR(__xludf.DUMMYFUNCTION("""COMPUTED_VALUE"""),10.0)</f>
        <v>10</v>
      </c>
      <c r="W640" s="136">
        <f>IFERROR(__xludf.DUMMYFUNCTION("""COMPUTED_VALUE"""),14.0)</f>
        <v>14</v>
      </c>
      <c r="X640" s="136">
        <f>IFERROR(__xludf.DUMMYFUNCTION("""COMPUTED_VALUE"""),314.6)</f>
        <v>314.6</v>
      </c>
      <c r="Y640" s="141">
        <f>IFERROR(__xludf.DUMMYFUNCTION("""COMPUTED_VALUE"""),48.18766666666668)</f>
        <v>48.18766667</v>
      </c>
      <c r="Z640" s="141">
        <f>IFERROR(__xludf.DUMMYFUNCTION("""COMPUTED_VALUE"""),1816.8333333333333)</f>
        <v>1816.833333</v>
      </c>
    </row>
    <row r="641">
      <c r="A641" s="41" t="str">
        <f>IFERROR(__xludf.DUMMYFUNCTION("""COMPUTED_VALUE"""),"Veteran")</f>
        <v>Veteran</v>
      </c>
      <c r="B641" s="41" t="str">
        <f>IFERROR(__xludf.DUMMYFUNCTION("""COMPUTED_VALUE"""),"RSC008115")</f>
        <v>RSC008115</v>
      </c>
      <c r="C641" s="41" t="str">
        <f>IFERROR(__xludf.DUMMYFUNCTION("""COMPUTED_VALUE"""),"Glint")</f>
        <v>Glint</v>
      </c>
      <c r="D641" s="41" t="str">
        <f>IFERROR(__xludf.DUMMYFUNCTION("""COMPUTED_VALUE"""),"Mages")</f>
        <v>Mages</v>
      </c>
      <c r="E641" s="136">
        <f>IFERROR(__xludf.DUMMYFUNCTION("""COMPUTED_VALUE"""),52.0)</f>
        <v>52</v>
      </c>
      <c r="F641" s="136">
        <f>IFERROR(__xludf.DUMMYFUNCTION("""COMPUTED_VALUE"""),25.0)</f>
        <v>25</v>
      </c>
      <c r="G641" s="136">
        <f>IFERROR(__xludf.DUMMYFUNCTION("""COMPUTED_VALUE"""),27.0)</f>
        <v>27</v>
      </c>
      <c r="H641" s="137">
        <f>IFERROR(__xludf.DUMMYFUNCTION("""COMPUTED_VALUE"""),0.4807692307692308)</f>
        <v>0.4807692308</v>
      </c>
      <c r="I641" s="136">
        <f>IFERROR(__xludf.DUMMYFUNCTION("""COMPUTED_VALUE"""),8.0)</f>
        <v>8</v>
      </c>
      <c r="J641" s="136">
        <f>IFERROR(__xludf.DUMMYFUNCTION("""COMPUTED_VALUE"""),17553.0)</f>
        <v>17553</v>
      </c>
      <c r="K641" s="136">
        <f>IFERROR(__xludf.DUMMYFUNCTION("""COMPUTED_VALUE"""),35.0)</f>
        <v>35</v>
      </c>
      <c r="L641" s="136">
        <f>IFERROR(__xludf.DUMMYFUNCTION("""COMPUTED_VALUE"""),38.0)</f>
        <v>38</v>
      </c>
      <c r="M641" s="136">
        <f>IFERROR(__xludf.DUMMYFUNCTION("""COMPUTED_VALUE"""),68.0)</f>
        <v>68</v>
      </c>
      <c r="N641" s="136">
        <f>IFERROR(__xludf.DUMMYFUNCTION("""COMPUTED_VALUE"""),115.0)</f>
        <v>115</v>
      </c>
      <c r="O641" s="138">
        <f>IFERROR(__xludf.DUMMYFUNCTION("""COMPUTED_VALUE"""),8.0)</f>
        <v>8</v>
      </c>
      <c r="P641" s="138">
        <f>IFERROR(__xludf.DUMMYFUNCTION("""COMPUTED_VALUE"""),2.0)</f>
        <v>2</v>
      </c>
      <c r="Q641" s="138">
        <f>IFERROR(__xludf.DUMMYFUNCTION("""COMPUTED_VALUE"""),0.0)</f>
        <v>0</v>
      </c>
      <c r="R641" s="138">
        <f>IFERROR(__xludf.DUMMYFUNCTION("""COMPUTED_VALUE"""),8.0)</f>
        <v>8</v>
      </c>
      <c r="S641" s="139">
        <f>IFERROR(__xludf.DUMMYFUNCTION("""COMPUTED_VALUE"""),442.0)</f>
        <v>442</v>
      </c>
      <c r="T641" s="140">
        <f>IFERROR(__xludf.DUMMYFUNCTION("""COMPUTED_VALUE"""),144.0)</f>
        <v>144</v>
      </c>
      <c r="U641" s="136">
        <f>IFERROR(__xludf.DUMMYFUNCTION("""COMPUTED_VALUE"""),42.0)</f>
        <v>42</v>
      </c>
      <c r="V641" s="136">
        <f>IFERROR(__xludf.DUMMYFUNCTION("""COMPUTED_VALUE"""),51.0)</f>
        <v>51</v>
      </c>
      <c r="W641" s="136">
        <f>IFERROR(__xludf.DUMMYFUNCTION("""COMPUTED_VALUE"""),45.0)</f>
        <v>45</v>
      </c>
      <c r="X641" s="136">
        <f>IFERROR(__xludf.DUMMYFUNCTION("""COMPUTED_VALUE"""),357.61538461538464)</f>
        <v>357.6153846</v>
      </c>
      <c r="Y641" s="141">
        <f>IFERROR(__xludf.DUMMYFUNCTION("""COMPUTED_VALUE"""),47.883846153846164)</f>
        <v>47.88384615</v>
      </c>
      <c r="Z641" s="141">
        <f>IFERROR(__xludf.DUMMYFUNCTION("""COMPUTED_VALUE"""),2263.173076923077)</f>
        <v>2263.173077</v>
      </c>
    </row>
    <row r="642">
      <c r="A642" s="41" t="str">
        <f>IFERROR(__xludf.DUMMYFUNCTION("""COMPUTED_VALUE"""),"Veteran")</f>
        <v>Veteran</v>
      </c>
      <c r="B642" s="41" t="str">
        <f>IFERROR(__xludf.DUMMYFUNCTION("""COMPUTED_VALUE"""),"RSC008116")</f>
        <v>RSC008116</v>
      </c>
      <c r="C642" s="41" t="str">
        <f>IFERROR(__xludf.DUMMYFUNCTION("""COMPUTED_VALUE"""),"Jake")</f>
        <v>Jake</v>
      </c>
      <c r="D642" s="41" t="str">
        <f>IFERROR(__xludf.DUMMYFUNCTION("""COMPUTED_VALUE"""),"Merciless Mob")</f>
        <v>Merciless Mob</v>
      </c>
      <c r="E642" s="136">
        <f>IFERROR(__xludf.DUMMYFUNCTION("""COMPUTED_VALUE"""),48.0)</f>
        <v>48</v>
      </c>
      <c r="F642" s="136">
        <f>IFERROR(__xludf.DUMMYFUNCTION("""COMPUTED_VALUE"""),20.0)</f>
        <v>20</v>
      </c>
      <c r="G642" s="136">
        <f>IFERROR(__xludf.DUMMYFUNCTION("""COMPUTED_VALUE"""),28.0)</f>
        <v>28</v>
      </c>
      <c r="H642" s="137">
        <f>IFERROR(__xludf.DUMMYFUNCTION("""COMPUTED_VALUE"""),0.4166666666666667)</f>
        <v>0.4166666667</v>
      </c>
      <c r="I642" s="136">
        <f>IFERROR(__xludf.DUMMYFUNCTION("""COMPUTED_VALUE"""),9.0)</f>
        <v>9</v>
      </c>
      <c r="J642" s="136">
        <f>IFERROR(__xludf.DUMMYFUNCTION("""COMPUTED_VALUE"""),16663.0)</f>
        <v>16663</v>
      </c>
      <c r="K642" s="136">
        <f>IFERROR(__xludf.DUMMYFUNCTION("""COMPUTED_VALUE"""),39.0)</f>
        <v>39</v>
      </c>
      <c r="L642" s="136">
        <f>IFERROR(__xludf.DUMMYFUNCTION("""COMPUTED_VALUE"""),20.0)</f>
        <v>20</v>
      </c>
      <c r="M642" s="136">
        <f>IFERROR(__xludf.DUMMYFUNCTION("""COMPUTED_VALUE"""),69.0)</f>
        <v>69</v>
      </c>
      <c r="N642" s="136">
        <f>IFERROR(__xludf.DUMMYFUNCTION("""COMPUTED_VALUE"""),122.0)</f>
        <v>122</v>
      </c>
      <c r="O642" s="138">
        <f>IFERROR(__xludf.DUMMYFUNCTION("""COMPUTED_VALUE"""),8.0)</f>
        <v>8</v>
      </c>
      <c r="P642" s="138">
        <f>IFERROR(__xludf.DUMMYFUNCTION("""COMPUTED_VALUE"""),2.0)</f>
        <v>2</v>
      </c>
      <c r="Q642" s="138">
        <f>IFERROR(__xludf.DUMMYFUNCTION("""COMPUTED_VALUE"""),0.0)</f>
        <v>0</v>
      </c>
      <c r="R642" s="138">
        <f>IFERROR(__xludf.DUMMYFUNCTION("""COMPUTED_VALUE"""),9.0)</f>
        <v>9</v>
      </c>
      <c r="S642" s="139">
        <f>IFERROR(__xludf.DUMMYFUNCTION("""COMPUTED_VALUE"""),395.0)</f>
        <v>395</v>
      </c>
      <c r="T642" s="140">
        <f>IFERROR(__xludf.DUMMYFUNCTION("""COMPUTED_VALUE"""),118.0)</f>
        <v>118</v>
      </c>
      <c r="U642" s="136">
        <f>IFERROR(__xludf.DUMMYFUNCTION("""COMPUTED_VALUE"""),36.0)</f>
        <v>36</v>
      </c>
      <c r="V642" s="136">
        <f>IFERROR(__xludf.DUMMYFUNCTION("""COMPUTED_VALUE"""),66.0)</f>
        <v>66</v>
      </c>
      <c r="W642" s="136">
        <f>IFERROR(__xludf.DUMMYFUNCTION("""COMPUTED_VALUE"""),46.0)</f>
        <v>46</v>
      </c>
      <c r="X642" s="136">
        <f>IFERROR(__xludf.DUMMYFUNCTION("""COMPUTED_VALUE"""),406.5416666666667)</f>
        <v>406.5416667</v>
      </c>
      <c r="Y642" s="141">
        <f>IFERROR(__xludf.DUMMYFUNCTION("""COMPUTED_VALUE"""),55.36645833333335)</f>
        <v>55.36645833</v>
      </c>
      <c r="Z642" s="141">
        <f>IFERROR(__xludf.DUMMYFUNCTION("""COMPUTED_VALUE"""),2400.9583333333335)</f>
        <v>2400.958333</v>
      </c>
    </row>
    <row r="643">
      <c r="A643" s="41" t="str">
        <f>IFERROR(__xludf.DUMMYFUNCTION("""COMPUTED_VALUE"""),"Rival")</f>
        <v>Rival</v>
      </c>
      <c r="B643" s="41" t="str">
        <f>IFERROR(__xludf.DUMMYFUNCTION("""COMPUTED_VALUE"""),"RSC008119")</f>
        <v>RSC008119</v>
      </c>
      <c r="C643" s="41" t="str">
        <f>IFERROR(__xludf.DUMMYFUNCTION("""COMPUTED_VALUE"""),"SlimmySlimReaper")</f>
        <v>SlimmySlimReaper</v>
      </c>
      <c r="D643" s="41" t="str">
        <f>IFERROR(__xludf.DUMMYFUNCTION("""COMPUTED_VALUE"""),"Tax Evaders
Black Ice
Barracudas
Liars")</f>
        <v>Tax Evaders
Black Ice
Barracudas
Liars</v>
      </c>
      <c r="E643" s="136">
        <f>IFERROR(__xludf.DUMMYFUNCTION("""COMPUTED_VALUE"""),16.0)</f>
        <v>16</v>
      </c>
      <c r="F643" s="136">
        <f>IFERROR(__xludf.DUMMYFUNCTION("""COMPUTED_VALUE"""),7.0)</f>
        <v>7</v>
      </c>
      <c r="G643" s="136">
        <f>IFERROR(__xludf.DUMMYFUNCTION("""COMPUTED_VALUE"""),9.0)</f>
        <v>9</v>
      </c>
      <c r="H643" s="137">
        <f>IFERROR(__xludf.DUMMYFUNCTION("""COMPUTED_VALUE"""),0.4375)</f>
        <v>0.4375</v>
      </c>
      <c r="I643" s="136">
        <f>IFERROR(__xludf.DUMMYFUNCTION("""COMPUTED_VALUE"""),2.0)</f>
        <v>2</v>
      </c>
      <c r="J643" s="136">
        <f>IFERROR(__xludf.DUMMYFUNCTION("""COMPUTED_VALUE"""),5020.0)</f>
        <v>5020</v>
      </c>
      <c r="K643" s="136">
        <f>IFERROR(__xludf.DUMMYFUNCTION("""COMPUTED_VALUE"""),10.0)</f>
        <v>10</v>
      </c>
      <c r="L643" s="136">
        <f>IFERROR(__xludf.DUMMYFUNCTION("""COMPUTED_VALUE"""),8.0)</f>
        <v>8</v>
      </c>
      <c r="M643" s="136">
        <f>IFERROR(__xludf.DUMMYFUNCTION("""COMPUTED_VALUE"""),20.0)</f>
        <v>20</v>
      </c>
      <c r="N643" s="136">
        <f>IFERROR(__xludf.DUMMYFUNCTION("""COMPUTED_VALUE"""),43.0)</f>
        <v>43</v>
      </c>
      <c r="O643" s="138">
        <f>IFERROR(__xludf.DUMMYFUNCTION("""COMPUTED_VALUE"""),1.0)</f>
        <v>1</v>
      </c>
      <c r="P643" s="138">
        <f>IFERROR(__xludf.DUMMYFUNCTION("""COMPUTED_VALUE"""),1.0)</f>
        <v>1</v>
      </c>
      <c r="Q643" s="138">
        <f>IFERROR(__xludf.DUMMYFUNCTION("""COMPUTED_VALUE"""),0.0)</f>
        <v>0</v>
      </c>
      <c r="R643" s="138">
        <f>IFERROR(__xludf.DUMMYFUNCTION("""COMPUTED_VALUE"""),2.0)</f>
        <v>2</v>
      </c>
      <c r="S643" s="139">
        <f>IFERROR(__xludf.DUMMYFUNCTION("""COMPUTED_VALUE"""),109.0)</f>
        <v>109</v>
      </c>
      <c r="T643" s="140">
        <f>IFERROR(__xludf.DUMMYFUNCTION("""COMPUTED_VALUE"""),39.0)</f>
        <v>39</v>
      </c>
      <c r="U643" s="136">
        <f>IFERROR(__xludf.DUMMYFUNCTION("""COMPUTED_VALUE"""),17.0)</f>
        <v>17</v>
      </c>
      <c r="V643" s="136">
        <f>IFERROR(__xludf.DUMMYFUNCTION("""COMPUTED_VALUE"""),22.0)</f>
        <v>22</v>
      </c>
      <c r="W643" s="136">
        <f>IFERROR(__xludf.DUMMYFUNCTION("""COMPUTED_VALUE"""),10.0)</f>
        <v>10</v>
      </c>
      <c r="X643" s="136">
        <f>IFERROR(__xludf.DUMMYFUNCTION("""COMPUTED_VALUE"""),456.875)</f>
        <v>456.875</v>
      </c>
      <c r="Y643" s="141">
        <f>IFERROR(__xludf.DUMMYFUNCTION("""COMPUTED_VALUE"""),49.393750000000004)</f>
        <v>49.39375</v>
      </c>
      <c r="Z643" s="141">
        <f>IFERROR(__xludf.DUMMYFUNCTION("""COMPUTED_VALUE"""),2591.1875)</f>
        <v>2591.1875</v>
      </c>
    </row>
    <row r="644">
      <c r="A644" s="41" t="str">
        <f>IFERROR(__xludf.DUMMYFUNCTION("""COMPUTED_VALUE"""),"Challenger")</f>
        <v>Challenger</v>
      </c>
      <c r="B644" s="41" t="str">
        <f>IFERROR(__xludf.DUMMYFUNCTION("""COMPUTED_VALUE"""),"RSC008120")</f>
        <v>RSC008120</v>
      </c>
      <c r="C644" s="41" t="str">
        <f>IFERROR(__xludf.DUMMYFUNCTION("""COMPUTED_VALUE"""),"spul4k")</f>
        <v>spul4k</v>
      </c>
      <c r="D644" s="41" t="str">
        <f>IFERROR(__xludf.DUMMYFUNCTION("""COMPUTED_VALUE"""),"Glaciers")</f>
        <v>Glaciers</v>
      </c>
      <c r="E644" s="136">
        <f>IFERROR(__xludf.DUMMYFUNCTION("""COMPUTED_VALUE"""),40.0)</f>
        <v>40</v>
      </c>
      <c r="F644" s="136">
        <f>IFERROR(__xludf.DUMMYFUNCTION("""COMPUTED_VALUE"""),22.0)</f>
        <v>22</v>
      </c>
      <c r="G644" s="136">
        <f>IFERROR(__xludf.DUMMYFUNCTION("""COMPUTED_VALUE"""),18.0)</f>
        <v>18</v>
      </c>
      <c r="H644" s="137">
        <f>IFERROR(__xludf.DUMMYFUNCTION("""COMPUTED_VALUE"""),0.55)</f>
        <v>0.55</v>
      </c>
      <c r="I644" s="136">
        <f>IFERROR(__xludf.DUMMYFUNCTION("""COMPUTED_VALUE"""),5.0)</f>
        <v>5</v>
      </c>
      <c r="J644" s="136">
        <f>IFERROR(__xludf.DUMMYFUNCTION("""COMPUTED_VALUE"""),12530.0)</f>
        <v>12530</v>
      </c>
      <c r="K644" s="136">
        <f>IFERROR(__xludf.DUMMYFUNCTION("""COMPUTED_VALUE"""),30.0)</f>
        <v>30</v>
      </c>
      <c r="L644" s="136">
        <f>IFERROR(__xludf.DUMMYFUNCTION("""COMPUTED_VALUE"""),16.0)</f>
        <v>16</v>
      </c>
      <c r="M644" s="136">
        <f>IFERROR(__xludf.DUMMYFUNCTION("""COMPUTED_VALUE"""),53.0)</f>
        <v>53</v>
      </c>
      <c r="N644" s="136">
        <f>IFERROR(__xludf.DUMMYFUNCTION("""COMPUTED_VALUE"""),88.0)</f>
        <v>88</v>
      </c>
      <c r="O644" s="138">
        <f>IFERROR(__xludf.DUMMYFUNCTION("""COMPUTED_VALUE"""),7.0)</f>
        <v>7</v>
      </c>
      <c r="P644" s="138">
        <f>IFERROR(__xludf.DUMMYFUNCTION("""COMPUTED_VALUE"""),1.0)</f>
        <v>1</v>
      </c>
      <c r="Q644" s="138">
        <f>IFERROR(__xludf.DUMMYFUNCTION("""COMPUTED_VALUE"""),0.0)</f>
        <v>0</v>
      </c>
      <c r="R644" s="138">
        <f>IFERROR(__xludf.DUMMYFUNCTION("""COMPUTED_VALUE"""),7.0)</f>
        <v>7</v>
      </c>
      <c r="S644" s="139">
        <f>IFERROR(__xludf.DUMMYFUNCTION("""COMPUTED_VALUE"""),284.0)</f>
        <v>284</v>
      </c>
      <c r="T644" s="140">
        <f>IFERROR(__xludf.DUMMYFUNCTION("""COMPUTED_VALUE"""),90.0)</f>
        <v>90</v>
      </c>
      <c r="U644" s="136">
        <f>IFERROR(__xludf.DUMMYFUNCTION("""COMPUTED_VALUE"""),38.0)</f>
        <v>38</v>
      </c>
      <c r="V644" s="136">
        <f>IFERROR(__xludf.DUMMYFUNCTION("""COMPUTED_VALUE"""),46.0)</f>
        <v>46</v>
      </c>
      <c r="W644" s="136">
        <f>IFERROR(__xludf.DUMMYFUNCTION("""COMPUTED_VALUE"""),51.0)</f>
        <v>51</v>
      </c>
      <c r="X644" s="136">
        <f>IFERROR(__xludf.DUMMYFUNCTION("""COMPUTED_VALUE"""),360.15)</f>
        <v>360.15</v>
      </c>
      <c r="Y644" s="141">
        <f>IFERROR(__xludf.DUMMYFUNCTION("""COMPUTED_VALUE"""),51.172500000000014)</f>
        <v>51.1725</v>
      </c>
      <c r="Z644" s="141">
        <f>IFERROR(__xludf.DUMMYFUNCTION("""COMPUTED_VALUE"""),2264.825)</f>
        <v>2264.825</v>
      </c>
    </row>
    <row r="645">
      <c r="A645" s="41" t="str">
        <f>IFERROR(__xludf.DUMMYFUNCTION("""COMPUTED_VALUE"""),"Challenger")</f>
        <v>Challenger</v>
      </c>
      <c r="B645" s="41" t="str">
        <f>IFERROR(__xludf.DUMMYFUNCTION("""COMPUTED_VALUE"""),"RSC008121")</f>
        <v>RSC008121</v>
      </c>
      <c r="C645" s="41" t="str">
        <f>IFERROR(__xludf.DUMMYFUNCTION("""COMPUTED_VALUE"""),"FlyDRCar")</f>
        <v>FlyDRCar</v>
      </c>
      <c r="D645" s="41" t="str">
        <f>IFERROR(__xludf.DUMMYFUNCTION("""COMPUTED_VALUE"""),"Jinyiwei
Meat Lovers
Warbirds
Corals")</f>
        <v>Jinyiwei
Meat Lovers
Warbirds
Corals</v>
      </c>
      <c r="E645" s="136">
        <f>IFERROR(__xludf.DUMMYFUNCTION("""COMPUTED_VALUE"""),30.0)</f>
        <v>30</v>
      </c>
      <c r="F645" s="136">
        <f>IFERROR(__xludf.DUMMYFUNCTION("""COMPUTED_VALUE"""),14.0)</f>
        <v>14</v>
      </c>
      <c r="G645" s="136">
        <f>IFERROR(__xludf.DUMMYFUNCTION("""COMPUTED_VALUE"""),16.0)</f>
        <v>16</v>
      </c>
      <c r="H645" s="137">
        <f>IFERROR(__xludf.DUMMYFUNCTION("""COMPUTED_VALUE"""),0.4666666666666667)</f>
        <v>0.4666666667</v>
      </c>
      <c r="I645" s="136">
        <f>IFERROR(__xludf.DUMMYFUNCTION("""COMPUTED_VALUE"""),8.0)</f>
        <v>8</v>
      </c>
      <c r="J645" s="136">
        <f>IFERROR(__xludf.DUMMYFUNCTION("""COMPUTED_VALUE"""),10240.0)</f>
        <v>10240</v>
      </c>
      <c r="K645" s="136">
        <f>IFERROR(__xludf.DUMMYFUNCTION("""COMPUTED_VALUE"""),29.0)</f>
        <v>29</v>
      </c>
      <c r="L645" s="136">
        <f>IFERROR(__xludf.DUMMYFUNCTION("""COMPUTED_VALUE"""),12.0)</f>
        <v>12</v>
      </c>
      <c r="M645" s="136">
        <f>IFERROR(__xludf.DUMMYFUNCTION("""COMPUTED_VALUE"""),29.0)</f>
        <v>29</v>
      </c>
      <c r="N645" s="136">
        <f>IFERROR(__xludf.DUMMYFUNCTION("""COMPUTED_VALUE"""),81.0)</f>
        <v>81</v>
      </c>
      <c r="O645" s="138">
        <f>IFERROR(__xludf.DUMMYFUNCTION("""COMPUTED_VALUE"""),3.0)</f>
        <v>3</v>
      </c>
      <c r="P645" s="138">
        <f>IFERROR(__xludf.DUMMYFUNCTION("""COMPUTED_VALUE"""),5.0)</f>
        <v>5</v>
      </c>
      <c r="Q645" s="138">
        <f>IFERROR(__xludf.DUMMYFUNCTION("""COMPUTED_VALUE"""),0.0)</f>
        <v>0</v>
      </c>
      <c r="R645" s="138">
        <f>IFERROR(__xludf.DUMMYFUNCTION("""COMPUTED_VALUE"""),1.0)</f>
        <v>1</v>
      </c>
      <c r="S645" s="139">
        <f>IFERROR(__xludf.DUMMYFUNCTION("""COMPUTED_VALUE"""),216.0)</f>
        <v>216</v>
      </c>
      <c r="T645" s="140">
        <f>IFERROR(__xludf.DUMMYFUNCTION("""COMPUTED_VALUE"""),77.0)</f>
        <v>77</v>
      </c>
      <c r="U645" s="136">
        <f>IFERROR(__xludf.DUMMYFUNCTION("""COMPUTED_VALUE"""),25.0)</f>
        <v>25</v>
      </c>
      <c r="V645" s="136">
        <f>IFERROR(__xludf.DUMMYFUNCTION("""COMPUTED_VALUE"""),35.0)</f>
        <v>35</v>
      </c>
      <c r="W645" s="136">
        <f>IFERROR(__xludf.DUMMYFUNCTION("""COMPUTED_VALUE"""),30.0)</f>
        <v>30</v>
      </c>
      <c r="X645" s="136">
        <f>IFERROR(__xludf.DUMMYFUNCTION("""COMPUTED_VALUE"""),340.8333333333333)</f>
        <v>340.8333333</v>
      </c>
      <c r="Y645" s="141">
        <f>IFERROR(__xludf.DUMMYFUNCTION("""COMPUTED_VALUE"""),46.98599999999999)</f>
        <v>46.986</v>
      </c>
      <c r="Z645" s="141">
        <f>IFERROR(__xludf.DUMMYFUNCTION("""COMPUTED_VALUE"""),2061.733333333333)</f>
        <v>2061.733333</v>
      </c>
    </row>
    <row r="646">
      <c r="A646" s="41" t="str">
        <f>IFERROR(__xludf.DUMMYFUNCTION("""COMPUTED_VALUE"""),"Prospect")</f>
        <v>Prospect</v>
      </c>
      <c r="B646" s="41" t="str">
        <f>IFERROR(__xludf.DUMMYFUNCTION("""COMPUTED_VALUE"""),"RSC008126")</f>
        <v>RSC008126</v>
      </c>
      <c r="C646" s="41" t="str">
        <f>IFERROR(__xludf.DUMMYFUNCTION("""COMPUTED_VALUE"""),"Zuuhan")</f>
        <v>Zuuhan</v>
      </c>
      <c r="D646" s="41" t="str">
        <f>IFERROR(__xludf.DUMMYFUNCTION("""COMPUTED_VALUE"""),"Blacktips")</f>
        <v>Blacktips</v>
      </c>
      <c r="E646" s="136">
        <f>IFERROR(__xludf.DUMMYFUNCTION("""COMPUTED_VALUE"""),9.0)</f>
        <v>9</v>
      </c>
      <c r="F646" s="136">
        <f>IFERROR(__xludf.DUMMYFUNCTION("""COMPUTED_VALUE"""),2.0)</f>
        <v>2</v>
      </c>
      <c r="G646" s="136">
        <f>IFERROR(__xludf.DUMMYFUNCTION("""COMPUTED_VALUE"""),7.0)</f>
        <v>7</v>
      </c>
      <c r="H646" s="137">
        <f>IFERROR(__xludf.DUMMYFUNCTION("""COMPUTED_VALUE"""),0.2222222222222222)</f>
        <v>0.2222222222</v>
      </c>
      <c r="I646" s="136">
        <f>IFERROR(__xludf.DUMMYFUNCTION("""COMPUTED_VALUE"""),0.0)</f>
        <v>0</v>
      </c>
      <c r="J646" s="136">
        <f>IFERROR(__xludf.DUMMYFUNCTION("""COMPUTED_VALUE"""),1674.0)</f>
        <v>1674</v>
      </c>
      <c r="K646" s="136">
        <f>IFERROR(__xludf.DUMMYFUNCTION("""COMPUTED_VALUE"""),4.0)</f>
        <v>4</v>
      </c>
      <c r="L646" s="136">
        <f>IFERROR(__xludf.DUMMYFUNCTION("""COMPUTED_VALUE"""),3.0)</f>
        <v>3</v>
      </c>
      <c r="M646" s="136">
        <f>IFERROR(__xludf.DUMMYFUNCTION("""COMPUTED_VALUE"""),5.0)</f>
        <v>5</v>
      </c>
      <c r="N646" s="136">
        <f>IFERROR(__xludf.DUMMYFUNCTION("""COMPUTED_VALUE"""),13.0)</f>
        <v>13</v>
      </c>
      <c r="O646" s="138">
        <f>IFERROR(__xludf.DUMMYFUNCTION("""COMPUTED_VALUE"""),0.0)</f>
        <v>0</v>
      </c>
      <c r="P646" s="138">
        <f>IFERROR(__xludf.DUMMYFUNCTION("""COMPUTED_VALUE"""),0.0)</f>
        <v>0</v>
      </c>
      <c r="Q646" s="138">
        <f>IFERROR(__xludf.DUMMYFUNCTION("""COMPUTED_VALUE"""),0.0)</f>
        <v>0</v>
      </c>
      <c r="R646" s="138">
        <f>IFERROR(__xludf.DUMMYFUNCTION("""COMPUTED_VALUE"""),0.0)</f>
        <v>0</v>
      </c>
      <c r="S646" s="139">
        <f>IFERROR(__xludf.DUMMYFUNCTION("""COMPUTED_VALUE"""),75.0)</f>
        <v>75</v>
      </c>
      <c r="T646" s="140">
        <f>IFERROR(__xludf.DUMMYFUNCTION("""COMPUTED_VALUE"""),34.0)</f>
        <v>34</v>
      </c>
      <c r="U646" s="136">
        <f>IFERROR(__xludf.DUMMYFUNCTION("""COMPUTED_VALUE"""),8.0)</f>
        <v>8</v>
      </c>
      <c r="V646" s="136">
        <f>IFERROR(__xludf.DUMMYFUNCTION("""COMPUTED_VALUE"""),9.0)</f>
        <v>9</v>
      </c>
      <c r="W646" s="136">
        <f>IFERROR(__xludf.DUMMYFUNCTION("""COMPUTED_VALUE"""),5.0)</f>
        <v>5</v>
      </c>
      <c r="X646" s="136">
        <f>IFERROR(__xludf.DUMMYFUNCTION("""COMPUTED_VALUE"""),328.55555555555554)</f>
        <v>328.5555556</v>
      </c>
      <c r="Y646" s="141">
        <f>IFERROR(__xludf.DUMMYFUNCTION("""COMPUTED_VALUE"""),56.86555555555556)</f>
        <v>56.86555556</v>
      </c>
      <c r="Z646" s="141">
        <f>IFERROR(__xludf.DUMMYFUNCTION("""COMPUTED_VALUE"""),2205.222222222222)</f>
        <v>2205.222222</v>
      </c>
    </row>
    <row r="647">
      <c r="A647" s="41" t="str">
        <f>IFERROR(__xludf.DUMMYFUNCTION("""COMPUTED_VALUE"""),"Elite")</f>
        <v>Elite</v>
      </c>
      <c r="B647" s="41" t="str">
        <f>IFERROR(__xludf.DUMMYFUNCTION("""COMPUTED_VALUE"""),"RSC008128")</f>
        <v>RSC008128</v>
      </c>
      <c r="C647" s="41" t="str">
        <f>IFERROR(__xludf.DUMMYFUNCTION("""COMPUTED_VALUE"""),"ThruStyler")</f>
        <v>ThruStyler</v>
      </c>
      <c r="D647" s="41" t="str">
        <f>IFERROR(__xludf.DUMMYFUNCTION("""COMPUTED_VALUE"""),"Orochi")</f>
        <v>Orochi</v>
      </c>
      <c r="E647" s="136">
        <f>IFERROR(__xludf.DUMMYFUNCTION("""COMPUTED_VALUE"""),38.0)</f>
        <v>38</v>
      </c>
      <c r="F647" s="136">
        <f>IFERROR(__xludf.DUMMYFUNCTION("""COMPUTED_VALUE"""),17.0)</f>
        <v>17</v>
      </c>
      <c r="G647" s="136">
        <f>IFERROR(__xludf.DUMMYFUNCTION("""COMPUTED_VALUE"""),21.0)</f>
        <v>21</v>
      </c>
      <c r="H647" s="137">
        <f>IFERROR(__xludf.DUMMYFUNCTION("""COMPUTED_VALUE"""),0.4473684210526316)</f>
        <v>0.4473684211</v>
      </c>
      <c r="I647" s="136">
        <f>IFERROR(__xludf.DUMMYFUNCTION("""COMPUTED_VALUE"""),6.0)</f>
        <v>6</v>
      </c>
      <c r="J647" s="136">
        <f>IFERROR(__xludf.DUMMYFUNCTION("""COMPUTED_VALUE"""),12970.0)</f>
        <v>12970</v>
      </c>
      <c r="K647" s="136">
        <f>IFERROR(__xludf.DUMMYFUNCTION("""COMPUTED_VALUE"""),30.0)</f>
        <v>30</v>
      </c>
      <c r="L647" s="136">
        <f>IFERROR(__xludf.DUMMYFUNCTION("""COMPUTED_VALUE"""),10.0)</f>
        <v>10</v>
      </c>
      <c r="M647" s="136">
        <f>IFERROR(__xludf.DUMMYFUNCTION("""COMPUTED_VALUE"""),57.0)</f>
        <v>57</v>
      </c>
      <c r="N647" s="136">
        <f>IFERROR(__xludf.DUMMYFUNCTION("""COMPUTED_VALUE"""),88.0)</f>
        <v>88</v>
      </c>
      <c r="O647" s="138">
        <f>IFERROR(__xludf.DUMMYFUNCTION("""COMPUTED_VALUE"""),4.0)</f>
        <v>4</v>
      </c>
      <c r="P647" s="138">
        <f>IFERROR(__xludf.DUMMYFUNCTION("""COMPUTED_VALUE"""),1.0)</f>
        <v>1</v>
      </c>
      <c r="Q647" s="138">
        <f>IFERROR(__xludf.DUMMYFUNCTION("""COMPUTED_VALUE"""),0.0)</f>
        <v>0</v>
      </c>
      <c r="R647" s="138">
        <f>IFERROR(__xludf.DUMMYFUNCTION("""COMPUTED_VALUE"""),6.0)</f>
        <v>6</v>
      </c>
      <c r="S647" s="139">
        <f>IFERROR(__xludf.DUMMYFUNCTION("""COMPUTED_VALUE"""),297.0)</f>
        <v>297</v>
      </c>
      <c r="T647" s="140">
        <f>IFERROR(__xludf.DUMMYFUNCTION("""COMPUTED_VALUE"""),81.0)</f>
        <v>81</v>
      </c>
      <c r="U647" s="136">
        <f>IFERROR(__xludf.DUMMYFUNCTION("""COMPUTED_VALUE"""),31.0)</f>
        <v>31</v>
      </c>
      <c r="V647" s="136">
        <f>IFERROR(__xludf.DUMMYFUNCTION("""COMPUTED_VALUE"""),29.0)</f>
        <v>29</v>
      </c>
      <c r="W647" s="136">
        <f>IFERROR(__xludf.DUMMYFUNCTION("""COMPUTED_VALUE"""),47.0)</f>
        <v>47</v>
      </c>
      <c r="X647" s="136">
        <f>IFERROR(__xludf.DUMMYFUNCTION("""COMPUTED_VALUE"""),354.1578947368421)</f>
        <v>354.1578947</v>
      </c>
      <c r="Y647" s="141">
        <f>IFERROR(__xludf.DUMMYFUNCTION("""COMPUTED_VALUE"""),43.752894736842094)</f>
        <v>43.75289474</v>
      </c>
      <c r="Z647" s="141">
        <f>IFERROR(__xludf.DUMMYFUNCTION("""COMPUTED_VALUE"""),2024.5263157894738)</f>
        <v>2024.526316</v>
      </c>
    </row>
    <row r="648">
      <c r="A648" s="41" t="str">
        <f>IFERROR(__xludf.DUMMYFUNCTION("""COMPUTED_VALUE"""),"Amateur")</f>
        <v>Amateur</v>
      </c>
      <c r="B648" s="41" t="str">
        <f>IFERROR(__xludf.DUMMYFUNCTION("""COMPUTED_VALUE"""),"RSC008130")</f>
        <v>RSC008130</v>
      </c>
      <c r="C648" s="41" t="str">
        <f>IFERROR(__xludf.DUMMYFUNCTION("""COMPUTED_VALUE"""),"BeardedFrodo1")</f>
        <v>BeardedFrodo1</v>
      </c>
      <c r="D648" s="41" t="str">
        <f>IFERROR(__xludf.DUMMYFUNCTION("""COMPUTED_VALUE"""),"Bombers")</f>
        <v>Bombers</v>
      </c>
      <c r="E648" s="136">
        <f>IFERROR(__xludf.DUMMYFUNCTION("""COMPUTED_VALUE"""),55.0)</f>
        <v>55</v>
      </c>
      <c r="F648" s="136">
        <f>IFERROR(__xludf.DUMMYFUNCTION("""COMPUTED_VALUE"""),38.0)</f>
        <v>38</v>
      </c>
      <c r="G648" s="136">
        <f>IFERROR(__xludf.DUMMYFUNCTION("""COMPUTED_VALUE"""),17.0)</f>
        <v>17</v>
      </c>
      <c r="H648" s="137">
        <f>IFERROR(__xludf.DUMMYFUNCTION("""COMPUTED_VALUE"""),0.6909090909090909)</f>
        <v>0.6909090909</v>
      </c>
      <c r="I648" s="136">
        <f>IFERROR(__xludf.DUMMYFUNCTION("""COMPUTED_VALUE"""),13.0)</f>
        <v>13</v>
      </c>
      <c r="J648" s="136">
        <f>IFERROR(__xludf.DUMMYFUNCTION("""COMPUTED_VALUE"""),16424.0)</f>
        <v>16424</v>
      </c>
      <c r="K648" s="136">
        <f>IFERROR(__xludf.DUMMYFUNCTION("""COMPUTED_VALUE"""),44.0)</f>
        <v>44</v>
      </c>
      <c r="L648" s="136">
        <f>IFERROR(__xludf.DUMMYFUNCTION("""COMPUTED_VALUE"""),23.0)</f>
        <v>23</v>
      </c>
      <c r="M648" s="136">
        <f>IFERROR(__xludf.DUMMYFUNCTION("""COMPUTED_VALUE"""),51.0)</f>
        <v>51</v>
      </c>
      <c r="N648" s="136">
        <f>IFERROR(__xludf.DUMMYFUNCTION("""COMPUTED_VALUE"""),124.0)</f>
        <v>124</v>
      </c>
      <c r="O648" s="138">
        <f>IFERROR(__xludf.DUMMYFUNCTION("""COMPUTED_VALUE"""),5.0)</f>
        <v>5</v>
      </c>
      <c r="P648" s="138">
        <f>IFERROR(__xludf.DUMMYFUNCTION("""COMPUTED_VALUE"""),2.0)</f>
        <v>2</v>
      </c>
      <c r="Q648" s="138">
        <f>IFERROR(__xludf.DUMMYFUNCTION("""COMPUTED_VALUE"""),1.0)</f>
        <v>1</v>
      </c>
      <c r="R648" s="138">
        <f>IFERROR(__xludf.DUMMYFUNCTION("""COMPUTED_VALUE"""),1.0)</f>
        <v>1</v>
      </c>
      <c r="S648" s="139">
        <f>IFERROR(__xludf.DUMMYFUNCTION("""COMPUTED_VALUE"""),328.0)</f>
        <v>328</v>
      </c>
      <c r="T648" s="140">
        <f>IFERROR(__xludf.DUMMYFUNCTION("""COMPUTED_VALUE"""),100.0)</f>
        <v>100</v>
      </c>
      <c r="U648" s="136">
        <f>IFERROR(__xludf.DUMMYFUNCTION("""COMPUTED_VALUE"""),36.0)</f>
        <v>36</v>
      </c>
      <c r="V648" s="136">
        <f>IFERROR(__xludf.DUMMYFUNCTION("""COMPUTED_VALUE"""),27.0)</f>
        <v>27</v>
      </c>
      <c r="W648" s="136">
        <f>IFERROR(__xludf.DUMMYFUNCTION("""COMPUTED_VALUE"""),36.0)</f>
        <v>36</v>
      </c>
      <c r="X648" s="139">
        <f>IFERROR(__xludf.DUMMYFUNCTION("""COMPUTED_VALUE"""),301.25454545454545)</f>
        <v>301.2545455</v>
      </c>
      <c r="Y648" s="141">
        <f>IFERROR(__xludf.DUMMYFUNCTION("""COMPUTED_VALUE"""),56.30254545454545)</f>
        <v>56.30254545</v>
      </c>
      <c r="Z648" s="141">
        <f>IFERROR(__xludf.DUMMYFUNCTION("""COMPUTED_VALUE"""),1833.3636363636363)</f>
        <v>1833.363636</v>
      </c>
    </row>
    <row r="649">
      <c r="A649" s="41" t="str">
        <f>IFERROR(__xludf.DUMMYFUNCTION("""COMPUTED_VALUE"""),"Amateur")</f>
        <v>Amateur</v>
      </c>
      <c r="B649" s="41" t="str">
        <f>IFERROR(__xludf.DUMMYFUNCTION("""COMPUTED_VALUE"""),"RSC008131")</f>
        <v>RSC008131</v>
      </c>
      <c r="C649" s="41" t="str">
        <f>IFERROR(__xludf.DUMMYFUNCTION("""COMPUTED_VALUE"""),"chrisofspades")</f>
        <v>chrisofspades</v>
      </c>
      <c r="D649" s="41" t="str">
        <f>IFERROR(__xludf.DUMMYFUNCTION("""COMPUTED_VALUE"""),"HR Violation")</f>
        <v>HR Violation</v>
      </c>
      <c r="E649" s="136">
        <f>IFERROR(__xludf.DUMMYFUNCTION("""COMPUTED_VALUE"""),36.0)</f>
        <v>36</v>
      </c>
      <c r="F649" s="136">
        <f>IFERROR(__xludf.DUMMYFUNCTION("""COMPUTED_VALUE"""),19.0)</f>
        <v>19</v>
      </c>
      <c r="G649" s="136">
        <f>IFERROR(__xludf.DUMMYFUNCTION("""COMPUTED_VALUE"""),17.0)</f>
        <v>17</v>
      </c>
      <c r="H649" s="137">
        <f>IFERROR(__xludf.DUMMYFUNCTION("""COMPUTED_VALUE"""),0.5277777777777778)</f>
        <v>0.5277777778</v>
      </c>
      <c r="I649" s="136">
        <f>IFERROR(__xludf.DUMMYFUNCTION("""COMPUTED_VALUE"""),2.0)</f>
        <v>2</v>
      </c>
      <c r="J649" s="136">
        <f>IFERROR(__xludf.DUMMYFUNCTION("""COMPUTED_VALUE"""),9944.0)</f>
        <v>9944</v>
      </c>
      <c r="K649" s="136">
        <f>IFERROR(__xludf.DUMMYFUNCTION("""COMPUTED_VALUE"""),19.0)</f>
        <v>19</v>
      </c>
      <c r="L649" s="136">
        <f>IFERROR(__xludf.DUMMYFUNCTION("""COMPUTED_VALUE"""),18.0)</f>
        <v>18</v>
      </c>
      <c r="M649" s="136">
        <f>IFERROR(__xludf.DUMMYFUNCTION("""COMPUTED_VALUE"""),36.0)</f>
        <v>36</v>
      </c>
      <c r="N649" s="136">
        <f>IFERROR(__xludf.DUMMYFUNCTION("""COMPUTED_VALUE"""),58.0)</f>
        <v>58</v>
      </c>
      <c r="O649" s="138">
        <f>IFERROR(__xludf.DUMMYFUNCTION("""COMPUTED_VALUE"""),4.0)</f>
        <v>4</v>
      </c>
      <c r="P649" s="138">
        <f>IFERROR(__xludf.DUMMYFUNCTION("""COMPUTED_VALUE"""),1.0)</f>
        <v>1</v>
      </c>
      <c r="Q649" s="138">
        <f>IFERROR(__xludf.DUMMYFUNCTION("""COMPUTED_VALUE"""),0.0)</f>
        <v>0</v>
      </c>
      <c r="R649" s="138">
        <f>IFERROR(__xludf.DUMMYFUNCTION("""COMPUTED_VALUE"""),3.0)</f>
        <v>3</v>
      </c>
      <c r="S649" s="139">
        <f>IFERROR(__xludf.DUMMYFUNCTION("""COMPUTED_VALUE"""),248.0)</f>
        <v>248</v>
      </c>
      <c r="T649" s="140">
        <f>IFERROR(__xludf.DUMMYFUNCTION("""COMPUTED_VALUE"""),82.0)</f>
        <v>82</v>
      </c>
      <c r="U649" s="136">
        <f>IFERROR(__xludf.DUMMYFUNCTION("""COMPUTED_VALUE"""),34.0)</f>
        <v>34</v>
      </c>
      <c r="V649" s="136">
        <f>IFERROR(__xludf.DUMMYFUNCTION("""COMPUTED_VALUE"""),17.0)</f>
        <v>17</v>
      </c>
      <c r="W649" s="136">
        <f>IFERROR(__xludf.DUMMYFUNCTION("""COMPUTED_VALUE"""),23.0)</f>
        <v>23</v>
      </c>
      <c r="X649" s="139">
        <f>IFERROR(__xludf.DUMMYFUNCTION("""COMPUTED_VALUE"""),261.6388888888889)</f>
        <v>261.6388889</v>
      </c>
      <c r="Y649" s="141">
        <f>IFERROR(__xludf.DUMMYFUNCTION("""COMPUTED_VALUE"""),57.32055555555554)</f>
        <v>57.32055556</v>
      </c>
      <c r="Z649" s="141">
        <f>IFERROR(__xludf.DUMMYFUNCTION("""COMPUTED_VALUE"""),1608.111111111111)</f>
        <v>1608.111111</v>
      </c>
    </row>
    <row r="650">
      <c r="A650" s="41" t="str">
        <f>IFERROR(__xludf.DUMMYFUNCTION("""COMPUTED_VALUE"""),"Rival")</f>
        <v>Rival</v>
      </c>
      <c r="B650" s="41" t="str">
        <f>IFERROR(__xludf.DUMMYFUNCTION("""COMPUTED_VALUE"""),"RSC008135")</f>
        <v>RSC008135</v>
      </c>
      <c r="C650" s="41" t="str">
        <f>IFERROR(__xludf.DUMMYFUNCTION("""COMPUTED_VALUE"""),"Ezio_256")</f>
        <v>Ezio_256</v>
      </c>
      <c r="D650" s="41" t="str">
        <f>IFERROR(__xludf.DUMMYFUNCTION("""COMPUTED_VALUE"""),"Phantoms")</f>
        <v>Phantoms</v>
      </c>
      <c r="E650" s="136">
        <f>IFERROR(__xludf.DUMMYFUNCTION("""COMPUTED_VALUE"""),35.0)</f>
        <v>35</v>
      </c>
      <c r="F650" s="136">
        <f>IFERROR(__xludf.DUMMYFUNCTION("""COMPUTED_VALUE"""),9.0)</f>
        <v>9</v>
      </c>
      <c r="G650" s="136">
        <f>IFERROR(__xludf.DUMMYFUNCTION("""COMPUTED_VALUE"""),26.0)</f>
        <v>26</v>
      </c>
      <c r="H650" s="137">
        <f>IFERROR(__xludf.DUMMYFUNCTION("""COMPUTED_VALUE"""),0.2571428571428571)</f>
        <v>0.2571428571</v>
      </c>
      <c r="I650" s="136">
        <f>IFERROR(__xludf.DUMMYFUNCTION("""COMPUTED_VALUE"""),1.0)</f>
        <v>1</v>
      </c>
      <c r="J650" s="136">
        <f>IFERROR(__xludf.DUMMYFUNCTION("""COMPUTED_VALUE"""),10029.0)</f>
        <v>10029</v>
      </c>
      <c r="K650" s="136">
        <f>IFERROR(__xludf.DUMMYFUNCTION("""COMPUTED_VALUE"""),16.0)</f>
        <v>16</v>
      </c>
      <c r="L650" s="136">
        <f>IFERROR(__xludf.DUMMYFUNCTION("""COMPUTED_VALUE"""),11.0)</f>
        <v>11</v>
      </c>
      <c r="M650" s="136">
        <f>IFERROR(__xludf.DUMMYFUNCTION("""COMPUTED_VALUE"""),52.0)</f>
        <v>52</v>
      </c>
      <c r="N650" s="136">
        <f>IFERROR(__xludf.DUMMYFUNCTION("""COMPUTED_VALUE"""),61.0)</f>
        <v>61</v>
      </c>
      <c r="O650" s="138">
        <f>IFERROR(__xludf.DUMMYFUNCTION("""COMPUTED_VALUE"""),2.0)</f>
        <v>2</v>
      </c>
      <c r="P650" s="138">
        <f>IFERROR(__xludf.DUMMYFUNCTION("""COMPUTED_VALUE"""),0.0)</f>
        <v>0</v>
      </c>
      <c r="Q650" s="138">
        <f>IFERROR(__xludf.DUMMYFUNCTION("""COMPUTED_VALUE"""),0.0)</f>
        <v>0</v>
      </c>
      <c r="R650" s="138">
        <f>IFERROR(__xludf.DUMMYFUNCTION("""COMPUTED_VALUE"""),7.0)</f>
        <v>7</v>
      </c>
      <c r="S650" s="139">
        <f>IFERROR(__xludf.DUMMYFUNCTION("""COMPUTED_VALUE"""),326.0)</f>
        <v>326</v>
      </c>
      <c r="T650" s="140">
        <f>IFERROR(__xludf.DUMMYFUNCTION("""COMPUTED_VALUE"""),117.0)</f>
        <v>117</v>
      </c>
      <c r="U650" s="136">
        <f>IFERROR(__xludf.DUMMYFUNCTION("""COMPUTED_VALUE"""),34.0)</f>
        <v>34</v>
      </c>
      <c r="V650" s="136">
        <f>IFERROR(__xludf.DUMMYFUNCTION("""COMPUTED_VALUE"""),17.0)</f>
        <v>17</v>
      </c>
      <c r="W650" s="136">
        <f>IFERROR(__xludf.DUMMYFUNCTION("""COMPUTED_VALUE"""),43.0)</f>
        <v>43</v>
      </c>
      <c r="X650" s="136">
        <f>IFERROR(__xludf.DUMMYFUNCTION("""COMPUTED_VALUE"""),357.0857142857143)</f>
        <v>357.0857143</v>
      </c>
      <c r="Y650" s="141">
        <f>IFERROR(__xludf.DUMMYFUNCTION("""COMPUTED_VALUE"""),52.83400000000001)</f>
        <v>52.834</v>
      </c>
      <c r="Z650" s="141">
        <f>IFERROR(__xludf.DUMMYFUNCTION("""COMPUTED_VALUE"""),2235.7714285714287)</f>
        <v>2235.771429</v>
      </c>
    </row>
    <row r="651">
      <c r="A651" s="41" t="str">
        <f>IFERROR(__xludf.DUMMYFUNCTION("""COMPUTED_VALUE"""),"Amateur")</f>
        <v>Amateur</v>
      </c>
      <c r="B651" s="41" t="str">
        <f>IFERROR(__xludf.DUMMYFUNCTION("""COMPUTED_VALUE"""),"RSC008136")</f>
        <v>RSC008136</v>
      </c>
      <c r="C651" s="41" t="str">
        <f>IFERROR(__xludf.DUMMYFUNCTION("""COMPUTED_VALUE"""),"GeneralLeigh91")</f>
        <v>GeneralLeigh91</v>
      </c>
      <c r="D651" s="41" t="str">
        <f>IFERROR(__xludf.DUMMYFUNCTION("""COMPUTED_VALUE"""),"Winter Fresh
Chimera")</f>
        <v>Winter Fresh
Chimera</v>
      </c>
      <c r="E651" s="136">
        <f>IFERROR(__xludf.DUMMYFUNCTION("""COMPUTED_VALUE"""),50.0)</f>
        <v>50</v>
      </c>
      <c r="F651" s="136">
        <f>IFERROR(__xludf.DUMMYFUNCTION("""COMPUTED_VALUE"""),31.0)</f>
        <v>31</v>
      </c>
      <c r="G651" s="136">
        <f>IFERROR(__xludf.DUMMYFUNCTION("""COMPUTED_VALUE"""),19.0)</f>
        <v>19</v>
      </c>
      <c r="H651" s="137">
        <f>IFERROR(__xludf.DUMMYFUNCTION("""COMPUTED_VALUE"""),0.62)</f>
        <v>0.62</v>
      </c>
      <c r="I651" s="136">
        <f>IFERROR(__xludf.DUMMYFUNCTION("""COMPUTED_VALUE"""),11.0)</f>
        <v>11</v>
      </c>
      <c r="J651" s="136">
        <f>IFERROR(__xludf.DUMMYFUNCTION("""COMPUTED_VALUE"""),17383.0)</f>
        <v>17383</v>
      </c>
      <c r="K651" s="136">
        <f>IFERROR(__xludf.DUMMYFUNCTION("""COMPUTED_VALUE"""),48.0)</f>
        <v>48</v>
      </c>
      <c r="L651" s="136">
        <f>IFERROR(__xludf.DUMMYFUNCTION("""COMPUTED_VALUE"""),29.0)</f>
        <v>29</v>
      </c>
      <c r="M651" s="136">
        <f>IFERROR(__xludf.DUMMYFUNCTION("""COMPUTED_VALUE"""),63.0)</f>
        <v>63</v>
      </c>
      <c r="N651" s="136">
        <f>IFERROR(__xludf.DUMMYFUNCTION("""COMPUTED_VALUE"""),121.0)</f>
        <v>121</v>
      </c>
      <c r="O651" s="138">
        <f>IFERROR(__xludf.DUMMYFUNCTION("""COMPUTED_VALUE"""),7.0)</f>
        <v>7</v>
      </c>
      <c r="P651" s="138">
        <f>IFERROR(__xludf.DUMMYFUNCTION("""COMPUTED_VALUE"""),4.0)</f>
        <v>4</v>
      </c>
      <c r="Q651" s="138">
        <f>IFERROR(__xludf.DUMMYFUNCTION("""COMPUTED_VALUE"""),2.0)</f>
        <v>2</v>
      </c>
      <c r="R651" s="138">
        <f>IFERROR(__xludf.DUMMYFUNCTION("""COMPUTED_VALUE"""),7.0)</f>
        <v>7</v>
      </c>
      <c r="S651" s="139">
        <f>IFERROR(__xludf.DUMMYFUNCTION("""COMPUTED_VALUE"""),366.0)</f>
        <v>366</v>
      </c>
      <c r="T651" s="140">
        <f>IFERROR(__xludf.DUMMYFUNCTION("""COMPUTED_VALUE"""),105.0)</f>
        <v>105</v>
      </c>
      <c r="U651" s="136">
        <f>IFERROR(__xludf.DUMMYFUNCTION("""COMPUTED_VALUE"""),28.0)</f>
        <v>28</v>
      </c>
      <c r="V651" s="136">
        <f>IFERROR(__xludf.DUMMYFUNCTION("""COMPUTED_VALUE"""),32.0)</f>
        <v>32</v>
      </c>
      <c r="W651" s="136">
        <f>IFERROR(__xludf.DUMMYFUNCTION("""COMPUTED_VALUE"""),33.0)</f>
        <v>33</v>
      </c>
      <c r="X651" s="139">
        <f>IFERROR(__xludf.DUMMYFUNCTION("""COMPUTED_VALUE"""),270.88)</f>
        <v>270.88</v>
      </c>
      <c r="Y651" s="141">
        <f>IFERROR(__xludf.DUMMYFUNCTION("""COMPUTED_VALUE"""),52.01539999999999)</f>
        <v>52.0154</v>
      </c>
      <c r="Z651" s="141">
        <f>IFERROR(__xludf.DUMMYFUNCTION("""COMPUTED_VALUE"""),1705.74)</f>
        <v>1705.74</v>
      </c>
    </row>
    <row r="652">
      <c r="A652" s="41" t="str">
        <f>IFERROR(__xludf.DUMMYFUNCTION("""COMPUTED_VALUE"""),"Rival")</f>
        <v>Rival</v>
      </c>
      <c r="B652" s="41" t="str">
        <f>IFERROR(__xludf.DUMMYFUNCTION("""COMPUTED_VALUE"""),"RSC008138")</f>
        <v>RSC008138</v>
      </c>
      <c r="C652" s="41" t="str">
        <f>IFERROR(__xludf.DUMMYFUNCTION("""COMPUTED_VALUE"""),"Skillz Issue")</f>
        <v>Skillz Issue</v>
      </c>
      <c r="D652" s="41" t="str">
        <f>IFERROR(__xludf.DUMMYFUNCTION("""COMPUTED_VALUE"""),"Samurai
Quasars")</f>
        <v>Samurai
Quasars</v>
      </c>
      <c r="E652" s="136">
        <f>IFERROR(__xludf.DUMMYFUNCTION("""COMPUTED_VALUE"""),35.0)</f>
        <v>35</v>
      </c>
      <c r="F652" s="136">
        <f>IFERROR(__xludf.DUMMYFUNCTION("""COMPUTED_VALUE"""),14.0)</f>
        <v>14</v>
      </c>
      <c r="G652" s="136">
        <f>IFERROR(__xludf.DUMMYFUNCTION("""COMPUTED_VALUE"""),21.0)</f>
        <v>21</v>
      </c>
      <c r="H652" s="137">
        <f>IFERROR(__xludf.DUMMYFUNCTION("""COMPUTED_VALUE"""),0.4)</f>
        <v>0.4</v>
      </c>
      <c r="I652" s="136">
        <f>IFERROR(__xludf.DUMMYFUNCTION("""COMPUTED_VALUE"""),7.0)</f>
        <v>7</v>
      </c>
      <c r="J652" s="136">
        <f>IFERROR(__xludf.DUMMYFUNCTION("""COMPUTED_VALUE"""),12524.0)</f>
        <v>12524</v>
      </c>
      <c r="K652" s="136">
        <f>IFERROR(__xludf.DUMMYFUNCTION("""COMPUTED_VALUE"""),25.0)</f>
        <v>25</v>
      </c>
      <c r="L652" s="136">
        <f>IFERROR(__xludf.DUMMYFUNCTION("""COMPUTED_VALUE"""),22.0)</f>
        <v>22</v>
      </c>
      <c r="M652" s="136">
        <f>IFERROR(__xludf.DUMMYFUNCTION("""COMPUTED_VALUE"""),53.0)</f>
        <v>53</v>
      </c>
      <c r="N652" s="136">
        <f>IFERROR(__xludf.DUMMYFUNCTION("""COMPUTED_VALUE"""),79.0)</f>
        <v>79</v>
      </c>
      <c r="O652" s="138">
        <f>IFERROR(__xludf.DUMMYFUNCTION("""COMPUTED_VALUE"""),8.0)</f>
        <v>8</v>
      </c>
      <c r="P652" s="138">
        <f>IFERROR(__xludf.DUMMYFUNCTION("""COMPUTED_VALUE"""),1.0)</f>
        <v>1</v>
      </c>
      <c r="Q652" s="138">
        <f>IFERROR(__xludf.DUMMYFUNCTION("""COMPUTED_VALUE"""),0.0)</f>
        <v>0</v>
      </c>
      <c r="R652" s="138">
        <f>IFERROR(__xludf.DUMMYFUNCTION("""COMPUTED_VALUE"""),9.0)</f>
        <v>9</v>
      </c>
      <c r="S652" s="139">
        <f>IFERROR(__xludf.DUMMYFUNCTION("""COMPUTED_VALUE"""),269.0)</f>
        <v>269</v>
      </c>
      <c r="T652" s="140">
        <f>IFERROR(__xludf.DUMMYFUNCTION("""COMPUTED_VALUE"""),85.0)</f>
        <v>85</v>
      </c>
      <c r="U652" s="136">
        <f>IFERROR(__xludf.DUMMYFUNCTION("""COMPUTED_VALUE"""),33.0)</f>
        <v>33</v>
      </c>
      <c r="V652" s="136">
        <f>IFERROR(__xludf.DUMMYFUNCTION("""COMPUTED_VALUE"""),27.0)</f>
        <v>27</v>
      </c>
      <c r="W652" s="136">
        <f>IFERROR(__xludf.DUMMYFUNCTION("""COMPUTED_VALUE"""),26.0)</f>
        <v>26</v>
      </c>
      <c r="X652" s="136">
        <f>IFERROR(__xludf.DUMMYFUNCTION("""COMPUTED_VALUE"""),405.74285714285713)</f>
        <v>405.7428571</v>
      </c>
      <c r="Y652" s="141">
        <f>IFERROR(__xludf.DUMMYFUNCTION("""COMPUTED_VALUE"""),55.915142857142854)</f>
        <v>55.91514286</v>
      </c>
      <c r="Z652" s="141">
        <f>IFERROR(__xludf.DUMMYFUNCTION("""COMPUTED_VALUE"""),2528.4285714285716)</f>
        <v>2528.428571</v>
      </c>
    </row>
    <row r="653">
      <c r="A653" s="41" t="str">
        <f>IFERROR(__xludf.DUMMYFUNCTION("""COMPUTED_VALUE"""),"Premier")</f>
        <v>Premier</v>
      </c>
      <c r="B653" s="41" t="str">
        <f>IFERROR(__xludf.DUMMYFUNCTION("""COMPUTED_VALUE"""),"RSC008139")</f>
        <v>RSC008139</v>
      </c>
      <c r="C653" s="41" t="str">
        <f>IFERROR(__xludf.DUMMYFUNCTION("""COMPUTED_VALUE"""),"Oibu")</f>
        <v>Oibu</v>
      </c>
      <c r="D653" s="41" t="str">
        <f>IFERROR(__xludf.DUMMYFUNCTION("""COMPUTED_VALUE"""),"Capybaras
Interstellar
Feta Forgers")</f>
        <v>Capybaras
Interstellar
Feta Forgers</v>
      </c>
      <c r="E653" s="136">
        <f>IFERROR(__xludf.DUMMYFUNCTION("""COMPUTED_VALUE"""),35.0)</f>
        <v>35</v>
      </c>
      <c r="F653" s="136">
        <f>IFERROR(__xludf.DUMMYFUNCTION("""COMPUTED_VALUE"""),20.0)</f>
        <v>20</v>
      </c>
      <c r="G653" s="136">
        <f>IFERROR(__xludf.DUMMYFUNCTION("""COMPUTED_VALUE"""),15.0)</f>
        <v>15</v>
      </c>
      <c r="H653" s="137">
        <f>IFERROR(__xludf.DUMMYFUNCTION("""COMPUTED_VALUE"""),0.5714285714285714)</f>
        <v>0.5714285714</v>
      </c>
      <c r="I653" s="136">
        <f>IFERROR(__xludf.DUMMYFUNCTION("""COMPUTED_VALUE"""),7.0)</f>
        <v>7</v>
      </c>
      <c r="J653" s="136">
        <f>IFERROR(__xludf.DUMMYFUNCTION("""COMPUTED_VALUE"""),14246.0)</f>
        <v>14246</v>
      </c>
      <c r="K653" s="136">
        <f>IFERROR(__xludf.DUMMYFUNCTION("""COMPUTED_VALUE"""),32.0)</f>
        <v>32</v>
      </c>
      <c r="L653" s="136">
        <f>IFERROR(__xludf.DUMMYFUNCTION("""COMPUTED_VALUE"""),21.0)</f>
        <v>21</v>
      </c>
      <c r="M653" s="136">
        <f>IFERROR(__xludf.DUMMYFUNCTION("""COMPUTED_VALUE"""),66.0)</f>
        <v>66</v>
      </c>
      <c r="N653" s="136">
        <f>IFERROR(__xludf.DUMMYFUNCTION("""COMPUTED_VALUE"""),87.0)</f>
        <v>87</v>
      </c>
      <c r="O653" s="138">
        <f>IFERROR(__xludf.DUMMYFUNCTION("""COMPUTED_VALUE"""),13.0)</f>
        <v>13</v>
      </c>
      <c r="P653" s="138">
        <f>IFERROR(__xludf.DUMMYFUNCTION("""COMPUTED_VALUE"""),2.0)</f>
        <v>2</v>
      </c>
      <c r="Q653" s="138">
        <f>IFERROR(__xludf.DUMMYFUNCTION("""COMPUTED_VALUE"""),0.0)</f>
        <v>0</v>
      </c>
      <c r="R653" s="138">
        <f>IFERROR(__xludf.DUMMYFUNCTION("""COMPUTED_VALUE"""),8.0)</f>
        <v>8</v>
      </c>
      <c r="S653" s="139">
        <f>IFERROR(__xludf.DUMMYFUNCTION("""COMPUTED_VALUE"""),304.0)</f>
        <v>304</v>
      </c>
      <c r="T653" s="140">
        <f>IFERROR(__xludf.DUMMYFUNCTION("""COMPUTED_VALUE"""),81.0)</f>
        <v>81</v>
      </c>
      <c r="U653" s="136">
        <f>IFERROR(__xludf.DUMMYFUNCTION("""COMPUTED_VALUE"""),37.0)</f>
        <v>37</v>
      </c>
      <c r="V653" s="136">
        <f>IFERROR(__xludf.DUMMYFUNCTION("""COMPUTED_VALUE"""),40.0)</f>
        <v>40</v>
      </c>
      <c r="W653" s="136">
        <f>IFERROR(__xludf.DUMMYFUNCTION("""COMPUTED_VALUE"""),36.0)</f>
        <v>36</v>
      </c>
      <c r="X653" s="140">
        <f>IFERROR(__xludf.DUMMYFUNCTION("""COMPUTED_VALUE"""),440.57142857142856)</f>
        <v>440.5714286</v>
      </c>
      <c r="Y653" s="141">
        <f>IFERROR(__xludf.DUMMYFUNCTION("""COMPUTED_VALUE"""),48.07)</f>
        <v>48.07</v>
      </c>
      <c r="Z653" s="141">
        <f>IFERROR(__xludf.DUMMYFUNCTION("""COMPUTED_VALUE"""),2648.1714285714284)</f>
        <v>2648.171429</v>
      </c>
    </row>
    <row r="654">
      <c r="A654" s="41" t="str">
        <f>IFERROR(__xludf.DUMMYFUNCTION("""COMPUTED_VALUE"""),"Prospect")</f>
        <v>Prospect</v>
      </c>
      <c r="B654" s="41" t="str">
        <f>IFERROR(__xludf.DUMMYFUNCTION("""COMPUTED_VALUE"""),"RSC008147")</f>
        <v>RSC008147</v>
      </c>
      <c r="C654" s="41" t="str">
        <f>IFERROR(__xludf.DUMMYFUNCTION("""COMPUTED_VALUE"""),"CrucialUrchin")</f>
        <v>CrucialUrchin</v>
      </c>
      <c r="D654" s="41" t="str">
        <f>IFERROR(__xludf.DUMMYFUNCTION("""COMPUTED_VALUE"""),"Skeletons")</f>
        <v>Skeletons</v>
      </c>
      <c r="E654" s="136">
        <f>IFERROR(__xludf.DUMMYFUNCTION("""COMPUTED_VALUE"""),9.0)</f>
        <v>9</v>
      </c>
      <c r="F654" s="136">
        <f>IFERROR(__xludf.DUMMYFUNCTION("""COMPUTED_VALUE"""),3.0)</f>
        <v>3</v>
      </c>
      <c r="G654" s="136">
        <f>IFERROR(__xludf.DUMMYFUNCTION("""COMPUTED_VALUE"""),6.0)</f>
        <v>6</v>
      </c>
      <c r="H654" s="137">
        <f>IFERROR(__xludf.DUMMYFUNCTION("""COMPUTED_VALUE"""),0.3333333333333333)</f>
        <v>0.3333333333</v>
      </c>
      <c r="I654" s="136">
        <f>IFERROR(__xludf.DUMMYFUNCTION("""COMPUTED_VALUE"""),0.0)</f>
        <v>0</v>
      </c>
      <c r="J654" s="136">
        <f>IFERROR(__xludf.DUMMYFUNCTION("""COMPUTED_VALUE"""),3401.0)</f>
        <v>3401</v>
      </c>
      <c r="K654" s="136">
        <f>IFERROR(__xludf.DUMMYFUNCTION("""COMPUTED_VALUE"""),9.0)</f>
        <v>9</v>
      </c>
      <c r="L654" s="136">
        <f>IFERROR(__xludf.DUMMYFUNCTION("""COMPUTED_VALUE"""),5.0)</f>
        <v>5</v>
      </c>
      <c r="M654" s="136">
        <f>IFERROR(__xludf.DUMMYFUNCTION("""COMPUTED_VALUE"""),11.0)</f>
        <v>11</v>
      </c>
      <c r="N654" s="136">
        <f>IFERROR(__xludf.DUMMYFUNCTION("""COMPUTED_VALUE"""),22.0)</f>
        <v>22</v>
      </c>
      <c r="O654" s="138">
        <f>IFERROR(__xludf.DUMMYFUNCTION("""COMPUTED_VALUE"""),0.0)</f>
        <v>0</v>
      </c>
      <c r="P654" s="138">
        <f>IFERROR(__xludf.DUMMYFUNCTION("""COMPUTED_VALUE"""),0.0)</f>
        <v>0</v>
      </c>
      <c r="Q654" s="138">
        <f>IFERROR(__xludf.DUMMYFUNCTION("""COMPUTED_VALUE"""),0.0)</f>
        <v>0</v>
      </c>
      <c r="R654" s="138">
        <f>IFERROR(__xludf.DUMMYFUNCTION("""COMPUTED_VALUE"""),2.0)</f>
        <v>2</v>
      </c>
      <c r="S654" s="139">
        <f>IFERROR(__xludf.DUMMYFUNCTION("""COMPUTED_VALUE"""),77.0)</f>
        <v>77</v>
      </c>
      <c r="T654" s="140">
        <f>IFERROR(__xludf.DUMMYFUNCTION("""COMPUTED_VALUE"""),28.0)</f>
        <v>28</v>
      </c>
      <c r="U654" s="136">
        <f>IFERROR(__xludf.DUMMYFUNCTION("""COMPUTED_VALUE"""),8.0)</f>
        <v>8</v>
      </c>
      <c r="V654" s="136">
        <f>IFERROR(__xludf.DUMMYFUNCTION("""COMPUTED_VALUE"""),6.0)</f>
        <v>6</v>
      </c>
      <c r="W654" s="136">
        <f>IFERROR(__xludf.DUMMYFUNCTION("""COMPUTED_VALUE"""),9.0)</f>
        <v>9</v>
      </c>
      <c r="X654" s="136">
        <f>IFERROR(__xludf.DUMMYFUNCTION("""COMPUTED_VALUE"""),426.1111111111111)</f>
        <v>426.1111111</v>
      </c>
      <c r="Y654" s="141">
        <f>IFERROR(__xludf.DUMMYFUNCTION("""COMPUTED_VALUE"""),43.93444444444444)</f>
        <v>43.93444444</v>
      </c>
      <c r="Z654" s="141">
        <f>IFERROR(__xludf.DUMMYFUNCTION("""COMPUTED_VALUE"""),2716.777777777778)</f>
        <v>2716.777778</v>
      </c>
    </row>
    <row r="655">
      <c r="A655" s="41" t="str">
        <f>IFERROR(__xludf.DUMMYFUNCTION("""COMPUTED_VALUE"""),"Amateur")</f>
        <v>Amateur</v>
      </c>
      <c r="B655" s="41" t="str">
        <f>IFERROR(__xludf.DUMMYFUNCTION("""COMPUTED_VALUE"""),"RSC008151")</f>
        <v>RSC008151</v>
      </c>
      <c r="C655" s="41" t="str">
        <f>IFERROR(__xludf.DUMMYFUNCTION("""COMPUTED_VALUE"""),"Extrakrispybecky")</f>
        <v>Extrakrispybecky</v>
      </c>
      <c r="D655" s="41" t="str">
        <f>IFERROR(__xludf.DUMMYFUNCTION("""COMPUTED_VALUE"""),"Kappa")</f>
        <v>Kappa</v>
      </c>
      <c r="E655" s="136">
        <f>IFERROR(__xludf.DUMMYFUNCTION("""COMPUTED_VALUE"""),16.0)</f>
        <v>16</v>
      </c>
      <c r="F655" s="136">
        <f>IFERROR(__xludf.DUMMYFUNCTION("""COMPUTED_VALUE"""),5.0)</f>
        <v>5</v>
      </c>
      <c r="G655" s="136">
        <f>IFERROR(__xludf.DUMMYFUNCTION("""COMPUTED_VALUE"""),11.0)</f>
        <v>11</v>
      </c>
      <c r="H655" s="137">
        <f>IFERROR(__xludf.DUMMYFUNCTION("""COMPUTED_VALUE"""),0.3125)</f>
        <v>0.3125</v>
      </c>
      <c r="I655" s="136">
        <f>IFERROR(__xludf.DUMMYFUNCTION("""COMPUTED_VALUE"""),0.0)</f>
        <v>0</v>
      </c>
      <c r="J655" s="136">
        <f>IFERROR(__xludf.DUMMYFUNCTION("""COMPUTED_VALUE"""),3739.0)</f>
        <v>3739</v>
      </c>
      <c r="K655" s="136">
        <f>IFERROR(__xludf.DUMMYFUNCTION("""COMPUTED_VALUE"""),8.0)</f>
        <v>8</v>
      </c>
      <c r="L655" s="136">
        <f>IFERROR(__xludf.DUMMYFUNCTION("""COMPUTED_VALUE"""),5.0)</f>
        <v>5</v>
      </c>
      <c r="M655" s="136">
        <f>IFERROR(__xludf.DUMMYFUNCTION("""COMPUTED_VALUE"""),20.0)</f>
        <v>20</v>
      </c>
      <c r="N655" s="136">
        <f>IFERROR(__xludf.DUMMYFUNCTION("""COMPUTED_VALUE"""),19.0)</f>
        <v>19</v>
      </c>
      <c r="O655" s="138">
        <f>IFERROR(__xludf.DUMMYFUNCTION("""COMPUTED_VALUE"""),1.0)</f>
        <v>1</v>
      </c>
      <c r="P655" s="138">
        <f>IFERROR(__xludf.DUMMYFUNCTION("""COMPUTED_VALUE"""),0.0)</f>
        <v>0</v>
      </c>
      <c r="Q655" s="138">
        <f>IFERROR(__xludf.DUMMYFUNCTION("""COMPUTED_VALUE"""),0.0)</f>
        <v>0</v>
      </c>
      <c r="R655" s="138">
        <f>IFERROR(__xludf.DUMMYFUNCTION("""COMPUTED_VALUE"""),1.0)</f>
        <v>1</v>
      </c>
      <c r="S655" s="139">
        <f>IFERROR(__xludf.DUMMYFUNCTION("""COMPUTED_VALUE"""),127.0)</f>
        <v>127</v>
      </c>
      <c r="T655" s="140">
        <f>IFERROR(__xludf.DUMMYFUNCTION("""COMPUTED_VALUE"""),48.0)</f>
        <v>48</v>
      </c>
      <c r="U655" s="136">
        <f>IFERROR(__xludf.DUMMYFUNCTION("""COMPUTED_VALUE"""),16.0)</f>
        <v>16</v>
      </c>
      <c r="V655" s="136">
        <f>IFERROR(__xludf.DUMMYFUNCTION("""COMPUTED_VALUE"""),21.0)</f>
        <v>21</v>
      </c>
      <c r="W655" s="136">
        <f>IFERROR(__xludf.DUMMYFUNCTION("""COMPUTED_VALUE"""),14.0)</f>
        <v>14</v>
      </c>
      <c r="X655" s="139">
        <f>IFERROR(__xludf.DUMMYFUNCTION("""COMPUTED_VALUE"""),288.5625)</f>
        <v>288.5625</v>
      </c>
      <c r="Y655" s="141">
        <f>IFERROR(__xludf.DUMMYFUNCTION("""COMPUTED_VALUE"""),43.356875)</f>
        <v>43.356875</v>
      </c>
      <c r="Z655" s="141">
        <f>IFERROR(__xludf.DUMMYFUNCTION("""COMPUTED_VALUE"""),1742.875)</f>
        <v>1742.875</v>
      </c>
    </row>
    <row r="656">
      <c r="A656" s="41" t="str">
        <f>IFERROR(__xludf.DUMMYFUNCTION("""COMPUTED_VALUE"""),"Prospect")</f>
        <v>Prospect</v>
      </c>
      <c r="B656" s="41" t="str">
        <f>IFERROR(__xludf.DUMMYFUNCTION("""COMPUTED_VALUE"""),"RSC008153")</f>
        <v>RSC008153</v>
      </c>
      <c r="C656" s="41" t="str">
        <f>IFERROR(__xludf.DUMMYFUNCTION("""COMPUTED_VALUE"""),"Tyson_WA")</f>
        <v>Tyson_WA</v>
      </c>
      <c r="D656" s="41" t="str">
        <f>IFERROR(__xludf.DUMMYFUNCTION("""COMPUTED_VALUE"""),"Skeletons
Tic Tacs
Earth")</f>
        <v>Skeletons
Tic Tacs
Earth</v>
      </c>
      <c r="E656" s="136">
        <f>IFERROR(__xludf.DUMMYFUNCTION("""COMPUTED_VALUE"""),22.0)</f>
        <v>22</v>
      </c>
      <c r="F656" s="136">
        <f>IFERROR(__xludf.DUMMYFUNCTION("""COMPUTED_VALUE"""),6.0)</f>
        <v>6</v>
      </c>
      <c r="G656" s="136">
        <f>IFERROR(__xludf.DUMMYFUNCTION("""COMPUTED_VALUE"""),16.0)</f>
        <v>16</v>
      </c>
      <c r="H656" s="137">
        <f>IFERROR(__xludf.DUMMYFUNCTION("""COMPUTED_VALUE"""),0.2727272727272727)</f>
        <v>0.2727272727</v>
      </c>
      <c r="I656" s="136">
        <f>IFERROR(__xludf.DUMMYFUNCTION("""COMPUTED_VALUE"""),2.0)</f>
        <v>2</v>
      </c>
      <c r="J656" s="136">
        <f>IFERROR(__xludf.DUMMYFUNCTION("""COMPUTED_VALUE"""),7243.0)</f>
        <v>7243</v>
      </c>
      <c r="K656" s="136">
        <f>IFERROR(__xludf.DUMMYFUNCTION("""COMPUTED_VALUE"""),19.0)</f>
        <v>19</v>
      </c>
      <c r="L656" s="136">
        <f>IFERROR(__xludf.DUMMYFUNCTION("""COMPUTED_VALUE"""),11.0)</f>
        <v>11</v>
      </c>
      <c r="M656" s="136">
        <f>IFERROR(__xludf.DUMMYFUNCTION("""COMPUTED_VALUE"""),23.0)</f>
        <v>23</v>
      </c>
      <c r="N656" s="136">
        <f>IFERROR(__xludf.DUMMYFUNCTION("""COMPUTED_VALUE"""),54.0)</f>
        <v>54</v>
      </c>
      <c r="O656" s="138">
        <f>IFERROR(__xludf.DUMMYFUNCTION("""COMPUTED_VALUE"""),4.0)</f>
        <v>4</v>
      </c>
      <c r="P656" s="138">
        <f>IFERROR(__xludf.DUMMYFUNCTION("""COMPUTED_VALUE"""),2.0)</f>
        <v>2</v>
      </c>
      <c r="Q656" s="138">
        <f>IFERROR(__xludf.DUMMYFUNCTION("""COMPUTED_VALUE"""),0.0)</f>
        <v>0</v>
      </c>
      <c r="R656" s="138">
        <f>IFERROR(__xludf.DUMMYFUNCTION("""COMPUTED_VALUE"""),2.0)</f>
        <v>2</v>
      </c>
      <c r="S656" s="139">
        <f>IFERROR(__xludf.DUMMYFUNCTION("""COMPUTED_VALUE"""),196.0)</f>
        <v>196</v>
      </c>
      <c r="T656" s="140">
        <f>IFERROR(__xludf.DUMMYFUNCTION("""COMPUTED_VALUE"""),80.0)</f>
        <v>80</v>
      </c>
      <c r="U656" s="136">
        <f>IFERROR(__xludf.DUMMYFUNCTION("""COMPUTED_VALUE"""),27.0)</f>
        <v>27</v>
      </c>
      <c r="V656" s="136">
        <f>IFERROR(__xludf.DUMMYFUNCTION("""COMPUTED_VALUE"""),13.0)</f>
        <v>13</v>
      </c>
      <c r="W656" s="136">
        <f>IFERROR(__xludf.DUMMYFUNCTION("""COMPUTED_VALUE"""),19.0)</f>
        <v>19</v>
      </c>
      <c r="X656" s="136">
        <f>IFERROR(__xludf.DUMMYFUNCTION("""COMPUTED_VALUE"""),283.0)</f>
        <v>283</v>
      </c>
      <c r="Y656" s="141">
        <f>IFERROR(__xludf.DUMMYFUNCTION("""COMPUTED_VALUE"""),44.26545454545454)</f>
        <v>44.26545455</v>
      </c>
      <c r="Z656" s="141">
        <f>IFERROR(__xludf.DUMMYFUNCTION("""COMPUTED_VALUE"""),1768.9545454545455)</f>
        <v>1768.954545</v>
      </c>
    </row>
    <row r="657">
      <c r="A657" s="41" t="str">
        <f>IFERROR(__xludf.DUMMYFUNCTION("""COMPUTED_VALUE"""),"Rival")</f>
        <v>Rival</v>
      </c>
      <c r="B657" s="41" t="str">
        <f>IFERROR(__xludf.DUMMYFUNCTION("""COMPUTED_VALUE"""),"RSC008154")</f>
        <v>RSC008154</v>
      </c>
      <c r="C657" s="41" t="str">
        <f>IFERROR(__xludf.DUMMYFUNCTION("""COMPUTED_VALUE"""),"Blurrryy.")</f>
        <v>Blurrryy.</v>
      </c>
      <c r="D657" s="41" t="str">
        <f>IFERROR(__xludf.DUMMYFUNCTION("""COMPUTED_VALUE"""),"Phantoms")</f>
        <v>Phantoms</v>
      </c>
      <c r="E657" s="136">
        <f>IFERROR(__xludf.DUMMYFUNCTION("""COMPUTED_VALUE"""),37.0)</f>
        <v>37</v>
      </c>
      <c r="F657" s="136">
        <f>IFERROR(__xludf.DUMMYFUNCTION("""COMPUTED_VALUE"""),11.0)</f>
        <v>11</v>
      </c>
      <c r="G657" s="136">
        <f>IFERROR(__xludf.DUMMYFUNCTION("""COMPUTED_VALUE"""),26.0)</f>
        <v>26</v>
      </c>
      <c r="H657" s="137">
        <f>IFERROR(__xludf.DUMMYFUNCTION("""COMPUTED_VALUE"""),0.2972972972972973)</f>
        <v>0.2972972973</v>
      </c>
      <c r="I657" s="136">
        <f>IFERROR(__xludf.DUMMYFUNCTION("""COMPUTED_VALUE"""),4.0)</f>
        <v>4</v>
      </c>
      <c r="J657" s="136">
        <f>IFERROR(__xludf.DUMMYFUNCTION("""COMPUTED_VALUE"""),12913.0)</f>
        <v>12913</v>
      </c>
      <c r="K657" s="136">
        <f>IFERROR(__xludf.DUMMYFUNCTION("""COMPUTED_VALUE"""),25.0)</f>
        <v>25</v>
      </c>
      <c r="L657" s="136">
        <f>IFERROR(__xludf.DUMMYFUNCTION("""COMPUTED_VALUE"""),16.0)</f>
        <v>16</v>
      </c>
      <c r="M657" s="136">
        <f>IFERROR(__xludf.DUMMYFUNCTION("""COMPUTED_VALUE"""),58.0)</f>
        <v>58</v>
      </c>
      <c r="N657" s="136">
        <f>IFERROR(__xludf.DUMMYFUNCTION("""COMPUTED_VALUE"""),89.0)</f>
        <v>89</v>
      </c>
      <c r="O657" s="138">
        <f>IFERROR(__xludf.DUMMYFUNCTION("""COMPUTED_VALUE"""),6.0)</f>
        <v>6</v>
      </c>
      <c r="P657" s="138">
        <f>IFERROR(__xludf.DUMMYFUNCTION("""COMPUTED_VALUE"""),1.0)</f>
        <v>1</v>
      </c>
      <c r="Q657" s="138">
        <f>IFERROR(__xludf.DUMMYFUNCTION("""COMPUTED_VALUE"""),0.0)</f>
        <v>0</v>
      </c>
      <c r="R657" s="138">
        <f>IFERROR(__xludf.DUMMYFUNCTION("""COMPUTED_VALUE"""),7.0)</f>
        <v>7</v>
      </c>
      <c r="S657" s="139">
        <f>IFERROR(__xludf.DUMMYFUNCTION("""COMPUTED_VALUE"""),324.0)</f>
        <v>324</v>
      </c>
      <c r="T657" s="140">
        <f>IFERROR(__xludf.DUMMYFUNCTION("""COMPUTED_VALUE"""),115.0)</f>
        <v>115</v>
      </c>
      <c r="U657" s="136">
        <f>IFERROR(__xludf.DUMMYFUNCTION("""COMPUTED_VALUE"""),50.0)</f>
        <v>50</v>
      </c>
      <c r="V657" s="136">
        <f>IFERROR(__xludf.DUMMYFUNCTION("""COMPUTED_VALUE"""),31.0)</f>
        <v>31</v>
      </c>
      <c r="W657" s="136">
        <f>IFERROR(__xludf.DUMMYFUNCTION("""COMPUTED_VALUE"""),32.0)</f>
        <v>32</v>
      </c>
      <c r="X657" s="136">
        <f>IFERROR(__xludf.DUMMYFUNCTION("""COMPUTED_VALUE"""),343.5405405405405)</f>
        <v>343.5405405</v>
      </c>
      <c r="Y657" s="141">
        <f>IFERROR(__xludf.DUMMYFUNCTION("""COMPUTED_VALUE"""),58.45837837837837)</f>
        <v>58.45837838</v>
      </c>
      <c r="Z657" s="141">
        <f>IFERROR(__xludf.DUMMYFUNCTION("""COMPUTED_VALUE"""),2278.4324324324325)</f>
        <v>2278.432432</v>
      </c>
    </row>
    <row r="658">
      <c r="A658" s="41" t="str">
        <f>IFERROR(__xludf.DUMMYFUNCTION("""COMPUTED_VALUE"""),"Elite")</f>
        <v>Elite</v>
      </c>
      <c r="B658" s="41" t="str">
        <f>IFERROR(__xludf.DUMMYFUNCTION("""COMPUTED_VALUE"""),"RSC008155")</f>
        <v>RSC008155</v>
      </c>
      <c r="C658" s="41" t="str">
        <f>IFERROR(__xludf.DUMMYFUNCTION("""COMPUTED_VALUE"""),"WinterMajorChamp")</f>
        <v>WinterMajorChamp</v>
      </c>
      <c r="D658" s="41" t="str">
        <f>IFERROR(__xludf.DUMMYFUNCTION("""COMPUTED_VALUE"""),"Sloths")</f>
        <v>Sloths</v>
      </c>
      <c r="E658" s="136">
        <f>IFERROR(__xludf.DUMMYFUNCTION("""COMPUTED_VALUE"""),52.0)</f>
        <v>52</v>
      </c>
      <c r="F658" s="136">
        <f>IFERROR(__xludf.DUMMYFUNCTION("""COMPUTED_VALUE"""),26.0)</f>
        <v>26</v>
      </c>
      <c r="G658" s="136">
        <f>IFERROR(__xludf.DUMMYFUNCTION("""COMPUTED_VALUE"""),26.0)</f>
        <v>26</v>
      </c>
      <c r="H658" s="137">
        <f>IFERROR(__xludf.DUMMYFUNCTION("""COMPUTED_VALUE"""),0.5)</f>
        <v>0.5</v>
      </c>
      <c r="I658" s="136">
        <f>IFERROR(__xludf.DUMMYFUNCTION("""COMPUTED_VALUE"""),10.0)</f>
        <v>10</v>
      </c>
      <c r="J658" s="136">
        <f>IFERROR(__xludf.DUMMYFUNCTION("""COMPUTED_VALUE"""),21687.0)</f>
        <v>21687</v>
      </c>
      <c r="K658" s="136">
        <f>IFERROR(__xludf.DUMMYFUNCTION("""COMPUTED_VALUE"""),58.0)</f>
        <v>58</v>
      </c>
      <c r="L658" s="136">
        <f>IFERROR(__xludf.DUMMYFUNCTION("""COMPUTED_VALUE"""),37.0)</f>
        <v>37</v>
      </c>
      <c r="M658" s="136">
        <f>IFERROR(__xludf.DUMMYFUNCTION("""COMPUTED_VALUE"""),67.0)</f>
        <v>67</v>
      </c>
      <c r="N658" s="136">
        <f>IFERROR(__xludf.DUMMYFUNCTION("""COMPUTED_VALUE"""),169.0)</f>
        <v>169</v>
      </c>
      <c r="O658" s="138">
        <f>IFERROR(__xludf.DUMMYFUNCTION("""COMPUTED_VALUE"""),18.0)</f>
        <v>18</v>
      </c>
      <c r="P658" s="138">
        <f>IFERROR(__xludf.DUMMYFUNCTION("""COMPUTED_VALUE"""),4.0)</f>
        <v>4</v>
      </c>
      <c r="Q658" s="138">
        <f>IFERROR(__xludf.DUMMYFUNCTION("""COMPUTED_VALUE"""),1.0)</f>
        <v>1</v>
      </c>
      <c r="R658" s="138">
        <f>IFERROR(__xludf.DUMMYFUNCTION("""COMPUTED_VALUE"""),8.0)</f>
        <v>8</v>
      </c>
      <c r="S658" s="139">
        <f>IFERROR(__xludf.DUMMYFUNCTION("""COMPUTED_VALUE"""),399.0)</f>
        <v>399</v>
      </c>
      <c r="T658" s="140">
        <f>IFERROR(__xludf.DUMMYFUNCTION("""COMPUTED_VALUE"""),130.0)</f>
        <v>130</v>
      </c>
      <c r="U658" s="136">
        <f>IFERROR(__xludf.DUMMYFUNCTION("""COMPUTED_VALUE"""),46.0)</f>
        <v>46</v>
      </c>
      <c r="V658" s="136">
        <f>IFERROR(__xludf.DUMMYFUNCTION("""COMPUTED_VALUE"""),83.0)</f>
        <v>83</v>
      </c>
      <c r="W658" s="136">
        <f>IFERROR(__xludf.DUMMYFUNCTION("""COMPUTED_VALUE"""),31.0)</f>
        <v>31</v>
      </c>
      <c r="X658" s="136">
        <f>IFERROR(__xludf.DUMMYFUNCTION("""COMPUTED_VALUE"""),463.6923076923077)</f>
        <v>463.6923077</v>
      </c>
      <c r="Y658" s="141">
        <f>IFERROR(__xludf.DUMMYFUNCTION("""COMPUTED_VALUE"""),48.49115384615386)</f>
        <v>48.49115385</v>
      </c>
      <c r="Z658" s="141">
        <f>IFERROR(__xludf.DUMMYFUNCTION("""COMPUTED_VALUE"""),2797.2115384615386)</f>
        <v>2797.211538</v>
      </c>
    </row>
    <row r="659">
      <c r="A659" s="41" t="str">
        <f>IFERROR(__xludf.DUMMYFUNCTION("""COMPUTED_VALUE"""),"Challenger")</f>
        <v>Challenger</v>
      </c>
      <c r="B659" s="41" t="str">
        <f>IFERROR(__xludf.DUMMYFUNCTION("""COMPUTED_VALUE"""),"RSC008158")</f>
        <v>RSC008158</v>
      </c>
      <c r="C659" s="41" t="str">
        <f>IFERROR(__xludf.DUMMYFUNCTION("""COMPUTED_VALUE"""),"Twixxle_")</f>
        <v>Twixxle_</v>
      </c>
      <c r="D659" s="41" t="str">
        <f>IFERROR(__xludf.DUMMYFUNCTION("""COMPUTED_VALUE"""),"Shade")</f>
        <v>Shade</v>
      </c>
      <c r="E659" s="136">
        <f>IFERROR(__xludf.DUMMYFUNCTION("""COMPUTED_VALUE"""),55.0)</f>
        <v>55</v>
      </c>
      <c r="F659" s="136">
        <f>IFERROR(__xludf.DUMMYFUNCTION("""COMPUTED_VALUE"""),35.0)</f>
        <v>35</v>
      </c>
      <c r="G659" s="136">
        <f>IFERROR(__xludf.DUMMYFUNCTION("""COMPUTED_VALUE"""),20.0)</f>
        <v>20</v>
      </c>
      <c r="H659" s="137">
        <f>IFERROR(__xludf.DUMMYFUNCTION("""COMPUTED_VALUE"""),0.6363636363636364)</f>
        <v>0.6363636364</v>
      </c>
      <c r="I659" s="136">
        <f>IFERROR(__xludf.DUMMYFUNCTION("""COMPUTED_VALUE"""),8.0)</f>
        <v>8</v>
      </c>
      <c r="J659" s="136">
        <f>IFERROR(__xludf.DUMMYFUNCTION("""COMPUTED_VALUE"""),17125.0)</f>
        <v>17125</v>
      </c>
      <c r="K659" s="136">
        <f>IFERROR(__xludf.DUMMYFUNCTION("""COMPUTED_VALUE"""),43.0)</f>
        <v>43</v>
      </c>
      <c r="L659" s="136">
        <f>IFERROR(__xludf.DUMMYFUNCTION("""COMPUTED_VALUE"""),30.0)</f>
        <v>30</v>
      </c>
      <c r="M659" s="136">
        <f>IFERROR(__xludf.DUMMYFUNCTION("""COMPUTED_VALUE"""),45.0)</f>
        <v>45</v>
      </c>
      <c r="N659" s="136">
        <f>IFERROR(__xludf.DUMMYFUNCTION("""COMPUTED_VALUE"""),144.0)</f>
        <v>144</v>
      </c>
      <c r="O659" s="138">
        <f>IFERROR(__xludf.DUMMYFUNCTION("""COMPUTED_VALUE"""),10.0)</f>
        <v>10</v>
      </c>
      <c r="P659" s="138">
        <f>IFERROR(__xludf.DUMMYFUNCTION("""COMPUTED_VALUE"""),0.0)</f>
        <v>0</v>
      </c>
      <c r="Q659" s="138">
        <f>IFERROR(__xludf.DUMMYFUNCTION("""COMPUTED_VALUE"""),2.0)</f>
        <v>2</v>
      </c>
      <c r="R659" s="138">
        <f>IFERROR(__xludf.DUMMYFUNCTION("""COMPUTED_VALUE"""),1.0)</f>
        <v>1</v>
      </c>
      <c r="S659" s="139">
        <f>IFERROR(__xludf.DUMMYFUNCTION("""COMPUTED_VALUE"""),323.0)</f>
        <v>323</v>
      </c>
      <c r="T659" s="140">
        <f>IFERROR(__xludf.DUMMYFUNCTION("""COMPUTED_VALUE"""),105.0)</f>
        <v>105</v>
      </c>
      <c r="U659" s="136">
        <f>IFERROR(__xludf.DUMMYFUNCTION("""COMPUTED_VALUE"""),34.0)</f>
        <v>34</v>
      </c>
      <c r="V659" s="136">
        <f>IFERROR(__xludf.DUMMYFUNCTION("""COMPUTED_VALUE"""),27.0)</f>
        <v>27</v>
      </c>
      <c r="W659" s="136">
        <f>IFERROR(__xludf.DUMMYFUNCTION("""COMPUTED_VALUE"""),58.0)</f>
        <v>58</v>
      </c>
      <c r="X659" s="136">
        <f>IFERROR(__xludf.DUMMYFUNCTION("""COMPUTED_VALUE"""),346.8181818181818)</f>
        <v>346.8181818</v>
      </c>
      <c r="Y659" s="141">
        <f>IFERROR(__xludf.DUMMYFUNCTION("""COMPUTED_VALUE"""),54.27363636363638)</f>
        <v>54.27363636</v>
      </c>
      <c r="Z659" s="141">
        <f>IFERROR(__xludf.DUMMYFUNCTION("""COMPUTED_VALUE"""),1997.7818181818182)</f>
        <v>1997.781818</v>
      </c>
    </row>
    <row r="660">
      <c r="A660" s="41" t="str">
        <f>IFERROR(__xludf.DUMMYFUNCTION("""COMPUTED_VALUE"""),"Rival")</f>
        <v>Rival</v>
      </c>
      <c r="B660" s="41" t="str">
        <f>IFERROR(__xludf.DUMMYFUNCTION("""COMPUTED_VALUE"""),"RSC008162")</f>
        <v>RSC008162</v>
      </c>
      <c r="C660" s="41" t="str">
        <f>IFERROR(__xludf.DUMMYFUNCTION("""COMPUTED_VALUE"""),"ThatHomieGageTTV")</f>
        <v>ThatHomieGageTTV</v>
      </c>
      <c r="D660" s="41" t="str">
        <f>IFERROR(__xludf.DUMMYFUNCTION("""COMPUTED_VALUE"""),"Polar Ice")</f>
        <v>Polar Ice</v>
      </c>
      <c r="E660" s="136">
        <f>IFERROR(__xludf.DUMMYFUNCTION("""COMPUTED_VALUE"""),11.0)</f>
        <v>11</v>
      </c>
      <c r="F660" s="136">
        <f>IFERROR(__xludf.DUMMYFUNCTION("""COMPUTED_VALUE"""),0.0)</f>
        <v>0</v>
      </c>
      <c r="G660" s="136">
        <f>IFERROR(__xludf.DUMMYFUNCTION("""COMPUTED_VALUE"""),11.0)</f>
        <v>11</v>
      </c>
      <c r="H660" s="137">
        <f>IFERROR(__xludf.DUMMYFUNCTION("""COMPUTED_VALUE"""),0.0)</f>
        <v>0</v>
      </c>
      <c r="I660" s="136">
        <f>IFERROR(__xludf.DUMMYFUNCTION("""COMPUTED_VALUE"""),0.0)</f>
        <v>0</v>
      </c>
      <c r="J660" s="136">
        <f>IFERROR(__xludf.DUMMYFUNCTION("""COMPUTED_VALUE"""),2605.0)</f>
        <v>2605</v>
      </c>
      <c r="K660" s="136">
        <f>IFERROR(__xludf.DUMMYFUNCTION("""COMPUTED_VALUE"""),3.0)</f>
        <v>3</v>
      </c>
      <c r="L660" s="136">
        <f>IFERROR(__xludf.DUMMYFUNCTION("""COMPUTED_VALUE"""),5.0)</f>
        <v>5</v>
      </c>
      <c r="M660" s="136">
        <f>IFERROR(__xludf.DUMMYFUNCTION("""COMPUTED_VALUE"""),16.0)</f>
        <v>16</v>
      </c>
      <c r="N660" s="136">
        <f>IFERROR(__xludf.DUMMYFUNCTION("""COMPUTED_VALUE"""),10.0)</f>
        <v>10</v>
      </c>
      <c r="O660" s="138">
        <f>IFERROR(__xludf.DUMMYFUNCTION("""COMPUTED_VALUE"""),0.0)</f>
        <v>0</v>
      </c>
      <c r="P660" s="138">
        <f>IFERROR(__xludf.DUMMYFUNCTION("""COMPUTED_VALUE"""),0.0)</f>
        <v>0</v>
      </c>
      <c r="Q660" s="138">
        <f>IFERROR(__xludf.DUMMYFUNCTION("""COMPUTED_VALUE"""),0.0)</f>
        <v>0</v>
      </c>
      <c r="R660" s="138">
        <f>IFERROR(__xludf.DUMMYFUNCTION("""COMPUTED_VALUE"""),2.0)</f>
        <v>2</v>
      </c>
      <c r="S660" s="139">
        <f>IFERROR(__xludf.DUMMYFUNCTION("""COMPUTED_VALUE"""),115.0)</f>
        <v>115</v>
      </c>
      <c r="T660" s="140">
        <f>IFERROR(__xludf.DUMMYFUNCTION("""COMPUTED_VALUE"""),50.0)</f>
        <v>50</v>
      </c>
      <c r="U660" s="136">
        <f>IFERROR(__xludf.DUMMYFUNCTION("""COMPUTED_VALUE"""),19.0)</f>
        <v>19</v>
      </c>
      <c r="V660" s="136">
        <f>IFERROR(__xludf.DUMMYFUNCTION("""COMPUTED_VALUE"""),17.0)</f>
        <v>17</v>
      </c>
      <c r="W660" s="136">
        <f>IFERROR(__xludf.DUMMYFUNCTION("""COMPUTED_VALUE"""),19.0)</f>
        <v>19</v>
      </c>
      <c r="X660" s="136"/>
      <c r="Y660" s="41"/>
      <c r="Z660" s="41"/>
    </row>
    <row r="661">
      <c r="A661" s="41" t="str">
        <f>IFERROR(__xludf.DUMMYFUNCTION("""COMPUTED_VALUE"""),"Challenger")</f>
        <v>Challenger</v>
      </c>
      <c r="B661" s="41" t="str">
        <f>IFERROR(__xludf.DUMMYFUNCTION("""COMPUTED_VALUE"""),"RSC008162")</f>
        <v>RSC008162</v>
      </c>
      <c r="C661" s="41" t="str">
        <f>IFERROR(__xludf.DUMMYFUNCTION("""COMPUTED_VALUE"""),"ThatHomieGageTTV")</f>
        <v>ThatHomieGageTTV</v>
      </c>
      <c r="D661" s="41" t="str">
        <f>IFERROR(__xludf.DUMMYFUNCTION("""COMPUTED_VALUE"""),"Spearmint")</f>
        <v>Spearmint</v>
      </c>
      <c r="E661" s="136">
        <f>IFERROR(__xludf.DUMMYFUNCTION("""COMPUTED_VALUE"""),38.0)</f>
        <v>38</v>
      </c>
      <c r="F661" s="136">
        <f>IFERROR(__xludf.DUMMYFUNCTION("""COMPUTED_VALUE"""),20.0)</f>
        <v>20</v>
      </c>
      <c r="G661" s="136">
        <f>IFERROR(__xludf.DUMMYFUNCTION("""COMPUTED_VALUE"""),18.0)</f>
        <v>18</v>
      </c>
      <c r="H661" s="137">
        <f>IFERROR(__xludf.DUMMYFUNCTION("""COMPUTED_VALUE"""),0.5263157894736842)</f>
        <v>0.5263157895</v>
      </c>
      <c r="I661" s="136">
        <f>IFERROR(__xludf.DUMMYFUNCTION("""COMPUTED_VALUE"""),7.0)</f>
        <v>7</v>
      </c>
      <c r="J661" s="136">
        <f>IFERROR(__xludf.DUMMYFUNCTION("""COMPUTED_VALUE"""),13238.0)</f>
        <v>13238</v>
      </c>
      <c r="K661" s="136">
        <f>IFERROR(__xludf.DUMMYFUNCTION("""COMPUTED_VALUE"""),26.0)</f>
        <v>26</v>
      </c>
      <c r="L661" s="136">
        <f>IFERROR(__xludf.DUMMYFUNCTION("""COMPUTED_VALUE"""),23.0)</f>
        <v>23</v>
      </c>
      <c r="M661" s="136">
        <f>IFERROR(__xludf.DUMMYFUNCTION("""COMPUTED_VALUE"""),60.0)</f>
        <v>60</v>
      </c>
      <c r="N661" s="136">
        <f>IFERROR(__xludf.DUMMYFUNCTION("""COMPUTED_VALUE"""),73.0)</f>
        <v>73</v>
      </c>
      <c r="O661" s="138">
        <f>IFERROR(__xludf.DUMMYFUNCTION("""COMPUTED_VALUE"""),7.0)</f>
        <v>7</v>
      </c>
      <c r="P661" s="138">
        <f>IFERROR(__xludf.DUMMYFUNCTION("""COMPUTED_VALUE"""),0.0)</f>
        <v>0</v>
      </c>
      <c r="Q661" s="138">
        <f>IFERROR(__xludf.DUMMYFUNCTION("""COMPUTED_VALUE"""),1.0)</f>
        <v>1</v>
      </c>
      <c r="R661" s="138">
        <f>IFERROR(__xludf.DUMMYFUNCTION("""COMPUTED_VALUE"""),9.0)</f>
        <v>9</v>
      </c>
      <c r="S661" s="139">
        <f>IFERROR(__xludf.DUMMYFUNCTION("""COMPUTED_VALUE"""),308.0)</f>
        <v>308</v>
      </c>
      <c r="T661" s="140">
        <f>IFERROR(__xludf.DUMMYFUNCTION("""COMPUTED_VALUE"""),89.0)</f>
        <v>89</v>
      </c>
      <c r="U661" s="136">
        <f>IFERROR(__xludf.DUMMYFUNCTION("""COMPUTED_VALUE"""),27.0)</f>
        <v>27</v>
      </c>
      <c r="V661" s="136">
        <f>IFERROR(__xludf.DUMMYFUNCTION("""COMPUTED_VALUE"""),53.0)</f>
        <v>53</v>
      </c>
      <c r="W661" s="136">
        <f>IFERROR(__xludf.DUMMYFUNCTION("""COMPUTED_VALUE"""),33.0)</f>
        <v>33</v>
      </c>
      <c r="X661" s="136">
        <f>IFERROR(__xludf.DUMMYFUNCTION("""COMPUTED_VALUE"""),393.86842105263156)</f>
        <v>393.8684211</v>
      </c>
      <c r="Y661" s="141">
        <f>IFERROR(__xludf.DUMMYFUNCTION("""COMPUTED_VALUE"""),53.85947368421053)</f>
        <v>53.85947368</v>
      </c>
      <c r="Z661" s="141">
        <f>IFERROR(__xludf.DUMMYFUNCTION("""COMPUTED_VALUE"""),2442.315789473684)</f>
        <v>2442.315789</v>
      </c>
    </row>
    <row r="662">
      <c r="A662" s="41" t="str">
        <f>IFERROR(__xludf.DUMMYFUNCTION("""COMPUTED_VALUE"""),"Veteran")</f>
        <v>Veteran</v>
      </c>
      <c r="B662" s="41" t="str">
        <f>IFERROR(__xludf.DUMMYFUNCTION("""COMPUTED_VALUE"""),"RSC008165")</f>
        <v>RSC008165</v>
      </c>
      <c r="C662" s="41" t="str">
        <f>IFERROR(__xludf.DUMMYFUNCTION("""COMPUTED_VALUE"""),"JoJo-sepy")</f>
        <v>JoJo-sepy</v>
      </c>
      <c r="D662" s="41" t="str">
        <f>IFERROR(__xludf.DUMMYFUNCTION("""COMPUTED_VALUE"""),"Water")</f>
        <v>Water</v>
      </c>
      <c r="E662" s="136">
        <f>IFERROR(__xludf.DUMMYFUNCTION("""COMPUTED_VALUE"""),56.0)</f>
        <v>56</v>
      </c>
      <c r="F662" s="136">
        <f>IFERROR(__xludf.DUMMYFUNCTION("""COMPUTED_VALUE"""),34.0)</f>
        <v>34</v>
      </c>
      <c r="G662" s="136">
        <f>IFERROR(__xludf.DUMMYFUNCTION("""COMPUTED_VALUE"""),22.0)</f>
        <v>22</v>
      </c>
      <c r="H662" s="137">
        <f>IFERROR(__xludf.DUMMYFUNCTION("""COMPUTED_VALUE"""),0.6071428571428571)</f>
        <v>0.6071428571</v>
      </c>
      <c r="I662" s="136">
        <f>IFERROR(__xludf.DUMMYFUNCTION("""COMPUTED_VALUE"""),11.0)</f>
        <v>11</v>
      </c>
      <c r="J662" s="136">
        <f>IFERROR(__xludf.DUMMYFUNCTION("""COMPUTED_VALUE"""),19719.0)</f>
        <v>19719</v>
      </c>
      <c r="K662" s="136">
        <f>IFERROR(__xludf.DUMMYFUNCTION("""COMPUTED_VALUE"""),49.0)</f>
        <v>49</v>
      </c>
      <c r="L662" s="136">
        <f>IFERROR(__xludf.DUMMYFUNCTION("""COMPUTED_VALUE"""),34.0)</f>
        <v>34</v>
      </c>
      <c r="M662" s="136">
        <f>IFERROR(__xludf.DUMMYFUNCTION("""COMPUTED_VALUE"""),68.0)</f>
        <v>68</v>
      </c>
      <c r="N662" s="136">
        <f>IFERROR(__xludf.DUMMYFUNCTION("""COMPUTED_VALUE"""),184.0)</f>
        <v>184</v>
      </c>
      <c r="O662" s="138">
        <f>IFERROR(__xludf.DUMMYFUNCTION("""COMPUTED_VALUE"""),9.0)</f>
        <v>9</v>
      </c>
      <c r="P662" s="138">
        <f>IFERROR(__xludf.DUMMYFUNCTION("""COMPUTED_VALUE"""),5.0)</f>
        <v>5</v>
      </c>
      <c r="Q662" s="138">
        <f>IFERROR(__xludf.DUMMYFUNCTION("""COMPUTED_VALUE"""),1.0)</f>
        <v>1</v>
      </c>
      <c r="R662" s="138">
        <f>IFERROR(__xludf.DUMMYFUNCTION("""COMPUTED_VALUE"""),6.0)</f>
        <v>6</v>
      </c>
      <c r="S662" s="139">
        <f>IFERROR(__xludf.DUMMYFUNCTION("""COMPUTED_VALUE"""),379.0)</f>
        <v>379</v>
      </c>
      <c r="T662" s="140">
        <f>IFERROR(__xludf.DUMMYFUNCTION("""COMPUTED_VALUE"""),97.0)</f>
        <v>97</v>
      </c>
      <c r="U662" s="136">
        <f>IFERROR(__xludf.DUMMYFUNCTION("""COMPUTED_VALUE"""),35.0)</f>
        <v>35</v>
      </c>
      <c r="V662" s="136">
        <f>IFERROR(__xludf.DUMMYFUNCTION("""COMPUTED_VALUE"""),71.0)</f>
        <v>71</v>
      </c>
      <c r="W662" s="136">
        <f>IFERROR(__xludf.DUMMYFUNCTION("""COMPUTED_VALUE"""),76.0)</f>
        <v>76</v>
      </c>
      <c r="X662" s="136">
        <f>IFERROR(__xludf.DUMMYFUNCTION("""COMPUTED_VALUE"""),407.57142857142856)</f>
        <v>407.5714286</v>
      </c>
      <c r="Y662" s="141">
        <f>IFERROR(__xludf.DUMMYFUNCTION("""COMPUTED_VALUE"""),48.22678571428572)</f>
        <v>48.22678571</v>
      </c>
      <c r="Z662" s="141">
        <f>IFERROR(__xludf.DUMMYFUNCTION("""COMPUTED_VALUE"""),2469.089285714286)</f>
        <v>2469.089286</v>
      </c>
    </row>
    <row r="663">
      <c r="A663" s="41" t="str">
        <f>IFERROR(__xludf.DUMMYFUNCTION("""COMPUTED_VALUE"""),"Elite")</f>
        <v>Elite</v>
      </c>
      <c r="B663" s="41" t="str">
        <f>IFERROR(__xludf.DUMMYFUNCTION("""COMPUTED_VALUE"""),"RSC008169")</f>
        <v>RSC008169</v>
      </c>
      <c r="C663" s="41" t="str">
        <f>IFERROR(__xludf.DUMMYFUNCTION("""COMPUTED_VALUE"""),"Trickter02")</f>
        <v>Trickter02</v>
      </c>
      <c r="D663" s="41" t="str">
        <f>IFERROR(__xludf.DUMMYFUNCTION("""COMPUTED_VALUE"""),"Swordsman")</f>
        <v>Swordsman</v>
      </c>
      <c r="E663" s="136">
        <f>IFERROR(__xludf.DUMMYFUNCTION("""COMPUTED_VALUE"""),38.0)</f>
        <v>38</v>
      </c>
      <c r="F663" s="136">
        <f>IFERROR(__xludf.DUMMYFUNCTION("""COMPUTED_VALUE"""),21.0)</f>
        <v>21</v>
      </c>
      <c r="G663" s="136">
        <f>IFERROR(__xludf.DUMMYFUNCTION("""COMPUTED_VALUE"""),17.0)</f>
        <v>17</v>
      </c>
      <c r="H663" s="137">
        <f>IFERROR(__xludf.DUMMYFUNCTION("""COMPUTED_VALUE"""),0.5526315789473685)</f>
        <v>0.5526315789</v>
      </c>
      <c r="I663" s="136">
        <f>IFERROR(__xludf.DUMMYFUNCTION("""COMPUTED_VALUE"""),4.0)</f>
        <v>4</v>
      </c>
      <c r="J663" s="136">
        <f>IFERROR(__xludf.DUMMYFUNCTION("""COMPUTED_VALUE"""),12747.0)</f>
        <v>12747</v>
      </c>
      <c r="K663" s="136">
        <f>IFERROR(__xludf.DUMMYFUNCTION("""COMPUTED_VALUE"""),36.0)</f>
        <v>36</v>
      </c>
      <c r="L663" s="136">
        <f>IFERROR(__xludf.DUMMYFUNCTION("""COMPUTED_VALUE"""),23.0)</f>
        <v>23</v>
      </c>
      <c r="M663" s="136">
        <f>IFERROR(__xludf.DUMMYFUNCTION("""COMPUTED_VALUE"""),21.0)</f>
        <v>21</v>
      </c>
      <c r="N663" s="136">
        <f>IFERROR(__xludf.DUMMYFUNCTION("""COMPUTED_VALUE"""),144.0)</f>
        <v>144</v>
      </c>
      <c r="O663" s="138">
        <f>IFERROR(__xludf.DUMMYFUNCTION("""COMPUTED_VALUE"""),3.0)</f>
        <v>3</v>
      </c>
      <c r="P663" s="138">
        <f>IFERROR(__xludf.DUMMYFUNCTION("""COMPUTED_VALUE"""),3.0)</f>
        <v>3</v>
      </c>
      <c r="Q663" s="138">
        <f>IFERROR(__xludf.DUMMYFUNCTION("""COMPUTED_VALUE"""),1.0)</f>
        <v>1</v>
      </c>
      <c r="R663" s="138">
        <f>IFERROR(__xludf.DUMMYFUNCTION("""COMPUTED_VALUE"""),0.0)</f>
        <v>0</v>
      </c>
      <c r="S663" s="139">
        <f>IFERROR(__xludf.DUMMYFUNCTION("""COMPUTED_VALUE"""),281.0)</f>
        <v>281</v>
      </c>
      <c r="T663" s="140">
        <f>IFERROR(__xludf.DUMMYFUNCTION("""COMPUTED_VALUE"""),90.0)</f>
        <v>90</v>
      </c>
      <c r="U663" s="136">
        <f>IFERROR(__xludf.DUMMYFUNCTION("""COMPUTED_VALUE"""),34.0)</f>
        <v>34</v>
      </c>
      <c r="V663" s="136">
        <f>IFERROR(__xludf.DUMMYFUNCTION("""COMPUTED_VALUE"""),65.0)</f>
        <v>65</v>
      </c>
      <c r="W663" s="136">
        <f>IFERROR(__xludf.DUMMYFUNCTION("""COMPUTED_VALUE"""),56.0)</f>
        <v>56</v>
      </c>
      <c r="X663" s="136">
        <f>IFERROR(__xludf.DUMMYFUNCTION("""COMPUTED_VALUE"""),426.57894736842104)</f>
        <v>426.5789474</v>
      </c>
      <c r="Y663" s="141">
        <f>IFERROR(__xludf.DUMMYFUNCTION("""COMPUTED_VALUE"""),49.23184210526316)</f>
        <v>49.23184211</v>
      </c>
      <c r="Z663" s="141">
        <f>IFERROR(__xludf.DUMMYFUNCTION("""COMPUTED_VALUE"""),2666.8947368421054)</f>
        <v>2666.894737</v>
      </c>
    </row>
    <row r="664">
      <c r="A664" s="41" t="str">
        <f>IFERROR(__xludf.DUMMYFUNCTION("""COMPUTED_VALUE"""),"Veteran")</f>
        <v>Veteran</v>
      </c>
      <c r="B664" s="41" t="str">
        <f>IFERROR(__xludf.DUMMYFUNCTION("""COMPUTED_VALUE"""),"RSC008170")</f>
        <v>RSC008170</v>
      </c>
      <c r="C664" s="41" t="str">
        <f>IFERROR(__xludf.DUMMYFUNCTION("""COMPUTED_VALUE"""),"Hypernova")</f>
        <v>Hypernova</v>
      </c>
      <c r="D664" s="41" t="str">
        <f>IFERROR(__xludf.DUMMYFUNCTION("""COMPUTED_VALUE"""),"Nighthawks")</f>
        <v>Nighthawks</v>
      </c>
      <c r="E664" s="136">
        <f>IFERROR(__xludf.DUMMYFUNCTION("""COMPUTED_VALUE"""),41.0)</f>
        <v>41</v>
      </c>
      <c r="F664" s="136">
        <f>IFERROR(__xludf.DUMMYFUNCTION("""COMPUTED_VALUE"""),24.0)</f>
        <v>24</v>
      </c>
      <c r="G664" s="136">
        <f>IFERROR(__xludf.DUMMYFUNCTION("""COMPUTED_VALUE"""),17.0)</f>
        <v>17</v>
      </c>
      <c r="H664" s="137">
        <f>IFERROR(__xludf.DUMMYFUNCTION("""COMPUTED_VALUE"""),0.5853658536585366)</f>
        <v>0.5853658537</v>
      </c>
      <c r="I664" s="136">
        <f>IFERROR(__xludf.DUMMYFUNCTION("""COMPUTED_VALUE"""),10.0)</f>
        <v>10</v>
      </c>
      <c r="J664" s="136">
        <f>IFERROR(__xludf.DUMMYFUNCTION("""COMPUTED_VALUE"""),14772.0)</f>
        <v>14772</v>
      </c>
      <c r="K664" s="136">
        <f>IFERROR(__xludf.DUMMYFUNCTION("""COMPUTED_VALUE"""),35.0)</f>
        <v>35</v>
      </c>
      <c r="L664" s="136">
        <f>IFERROR(__xludf.DUMMYFUNCTION("""COMPUTED_VALUE"""),33.0)</f>
        <v>33</v>
      </c>
      <c r="M664" s="136">
        <f>IFERROR(__xludf.DUMMYFUNCTION("""COMPUTED_VALUE"""),53.0)</f>
        <v>53</v>
      </c>
      <c r="N664" s="136">
        <f>IFERROR(__xludf.DUMMYFUNCTION("""COMPUTED_VALUE"""),100.0)</f>
        <v>100</v>
      </c>
      <c r="O664" s="138">
        <f>IFERROR(__xludf.DUMMYFUNCTION("""COMPUTED_VALUE"""),13.0)</f>
        <v>13</v>
      </c>
      <c r="P664" s="138">
        <f>IFERROR(__xludf.DUMMYFUNCTION("""COMPUTED_VALUE"""),2.0)</f>
        <v>2</v>
      </c>
      <c r="Q664" s="138">
        <f>IFERROR(__xludf.DUMMYFUNCTION("""COMPUTED_VALUE"""),1.0)</f>
        <v>1</v>
      </c>
      <c r="R664" s="138">
        <f>IFERROR(__xludf.DUMMYFUNCTION("""COMPUTED_VALUE"""),3.0)</f>
        <v>3</v>
      </c>
      <c r="S664" s="139">
        <f>IFERROR(__xludf.DUMMYFUNCTION("""COMPUTED_VALUE"""),311.0)</f>
        <v>311</v>
      </c>
      <c r="T664" s="140">
        <f>IFERROR(__xludf.DUMMYFUNCTION("""COMPUTED_VALUE"""),93.0)</f>
        <v>93</v>
      </c>
      <c r="U664" s="136">
        <f>IFERROR(__xludf.DUMMYFUNCTION("""COMPUTED_VALUE"""),41.0)</f>
        <v>41</v>
      </c>
      <c r="V664" s="136">
        <f>IFERROR(__xludf.DUMMYFUNCTION("""COMPUTED_VALUE"""),67.0)</f>
        <v>67</v>
      </c>
      <c r="W664" s="136">
        <f>IFERROR(__xludf.DUMMYFUNCTION("""COMPUTED_VALUE"""),30.0)</f>
        <v>30</v>
      </c>
      <c r="X664" s="136">
        <f>IFERROR(__xludf.DUMMYFUNCTION("""COMPUTED_VALUE"""),446.0731707317073)</f>
        <v>446.0731707</v>
      </c>
      <c r="Y664" s="141">
        <f>IFERROR(__xludf.DUMMYFUNCTION("""COMPUTED_VALUE"""),51.75634146341464)</f>
        <v>51.75634146</v>
      </c>
      <c r="Z664" s="141">
        <f>IFERROR(__xludf.DUMMYFUNCTION("""COMPUTED_VALUE"""),2718.5853658536585)</f>
        <v>2718.585366</v>
      </c>
    </row>
    <row r="665">
      <c r="A665" s="41" t="str">
        <f>IFERROR(__xludf.DUMMYFUNCTION("""COMPUTED_VALUE"""),"Master")</f>
        <v>Master</v>
      </c>
      <c r="B665" s="41" t="str">
        <f>IFERROR(__xludf.DUMMYFUNCTION("""COMPUTED_VALUE"""),"RSC008171")</f>
        <v>RSC008171</v>
      </c>
      <c r="C665" s="41" t="str">
        <f>IFERROR(__xludf.DUMMYFUNCTION("""COMPUTED_VALUE"""),"Shxde")</f>
        <v>Shxde</v>
      </c>
      <c r="D665" s="41" t="str">
        <f>IFERROR(__xludf.DUMMYFUNCTION("""COMPUTED_VALUE"""),"Fromunda Frauds")</f>
        <v>Fromunda Frauds</v>
      </c>
      <c r="E665" s="136">
        <f>IFERROR(__xludf.DUMMYFUNCTION("""COMPUTED_VALUE"""),56.0)</f>
        <v>56</v>
      </c>
      <c r="F665" s="136">
        <f>IFERROR(__xludf.DUMMYFUNCTION("""COMPUTED_VALUE"""),33.0)</f>
        <v>33</v>
      </c>
      <c r="G665" s="136">
        <f>IFERROR(__xludf.DUMMYFUNCTION("""COMPUTED_VALUE"""),23.0)</f>
        <v>23</v>
      </c>
      <c r="H665" s="137">
        <f>IFERROR(__xludf.DUMMYFUNCTION("""COMPUTED_VALUE"""),0.5892857142857143)</f>
        <v>0.5892857143</v>
      </c>
      <c r="I665" s="136">
        <f>IFERROR(__xludf.DUMMYFUNCTION("""COMPUTED_VALUE"""),11.0)</f>
        <v>11</v>
      </c>
      <c r="J665" s="136">
        <f>IFERROR(__xludf.DUMMYFUNCTION("""COMPUTED_VALUE"""),19617.0)</f>
        <v>19617</v>
      </c>
      <c r="K665" s="136">
        <f>IFERROR(__xludf.DUMMYFUNCTION("""COMPUTED_VALUE"""),45.0)</f>
        <v>45</v>
      </c>
      <c r="L665" s="136">
        <f>IFERROR(__xludf.DUMMYFUNCTION("""COMPUTED_VALUE"""),20.0)</f>
        <v>20</v>
      </c>
      <c r="M665" s="136">
        <f>IFERROR(__xludf.DUMMYFUNCTION("""COMPUTED_VALUE"""),81.0)</f>
        <v>81</v>
      </c>
      <c r="N665" s="136">
        <f>IFERROR(__xludf.DUMMYFUNCTION("""COMPUTED_VALUE"""),158.0)</f>
        <v>158</v>
      </c>
      <c r="O665" s="138">
        <f>IFERROR(__xludf.DUMMYFUNCTION("""COMPUTED_VALUE"""),9.0)</f>
        <v>9</v>
      </c>
      <c r="P665" s="138">
        <f>IFERROR(__xludf.DUMMYFUNCTION("""COMPUTED_VALUE"""),4.0)</f>
        <v>4</v>
      </c>
      <c r="Q665" s="138">
        <f>IFERROR(__xludf.DUMMYFUNCTION("""COMPUTED_VALUE"""),0.0)</f>
        <v>0</v>
      </c>
      <c r="R665" s="138">
        <f>IFERROR(__xludf.DUMMYFUNCTION("""COMPUTED_VALUE"""),15.0)</f>
        <v>15</v>
      </c>
      <c r="S665" s="139">
        <f>IFERROR(__xludf.DUMMYFUNCTION("""COMPUTED_VALUE"""),382.0)</f>
        <v>382</v>
      </c>
      <c r="T665" s="140">
        <f>IFERROR(__xludf.DUMMYFUNCTION("""COMPUTED_VALUE"""),110.0)</f>
        <v>110</v>
      </c>
      <c r="U665" s="136">
        <f>IFERROR(__xludf.DUMMYFUNCTION("""COMPUTED_VALUE"""),42.0)</f>
        <v>42</v>
      </c>
      <c r="V665" s="136">
        <f>IFERROR(__xludf.DUMMYFUNCTION("""COMPUTED_VALUE"""),40.0)</f>
        <v>40</v>
      </c>
      <c r="W665" s="136">
        <f>IFERROR(__xludf.DUMMYFUNCTION("""COMPUTED_VALUE"""),63.0)</f>
        <v>63</v>
      </c>
      <c r="X665" s="136">
        <f>IFERROR(__xludf.DUMMYFUNCTION("""COMPUTED_VALUE"""),399.59615384615387)</f>
        <v>399.5961538</v>
      </c>
      <c r="Y665" s="141">
        <f>IFERROR(__xludf.DUMMYFUNCTION("""COMPUTED_VALUE"""),46.100769230769224)</f>
        <v>46.10076923</v>
      </c>
      <c r="Z665" s="141">
        <f>IFERROR(__xludf.DUMMYFUNCTION("""COMPUTED_VALUE"""),2296.5)</f>
        <v>2296.5</v>
      </c>
    </row>
    <row r="666">
      <c r="A666" s="41" t="str">
        <f>IFERROR(__xludf.DUMMYFUNCTION("""COMPUTED_VALUE"""),"Veteran")</f>
        <v>Veteran</v>
      </c>
      <c r="B666" s="41" t="str">
        <f>IFERROR(__xludf.DUMMYFUNCTION("""COMPUTED_VALUE"""),"RSC008172")</f>
        <v>RSC008172</v>
      </c>
      <c r="C666" s="41" t="str">
        <f>IFERROR(__xludf.DUMMYFUNCTION("""COMPUTED_VALUE"""),"Vera")</f>
        <v>Vera</v>
      </c>
      <c r="D666" s="41" t="str">
        <f>IFERROR(__xludf.DUMMYFUNCTION("""COMPUTED_VALUE"""),"Giant Squids
Lycans")</f>
        <v>Giant Squids
Lycans</v>
      </c>
      <c r="E666" s="136">
        <f>IFERROR(__xludf.DUMMYFUNCTION("""COMPUTED_VALUE"""),11.0)</f>
        <v>11</v>
      </c>
      <c r="F666" s="136">
        <f>IFERROR(__xludf.DUMMYFUNCTION("""COMPUTED_VALUE"""),4.0)</f>
        <v>4</v>
      </c>
      <c r="G666" s="136">
        <f>IFERROR(__xludf.DUMMYFUNCTION("""COMPUTED_VALUE"""),7.0)</f>
        <v>7</v>
      </c>
      <c r="H666" s="137">
        <f>IFERROR(__xludf.DUMMYFUNCTION("""COMPUTED_VALUE"""),0.36363636363636365)</f>
        <v>0.3636363636</v>
      </c>
      <c r="I666" s="136">
        <f>IFERROR(__xludf.DUMMYFUNCTION("""COMPUTED_VALUE"""),2.0)</f>
        <v>2</v>
      </c>
      <c r="J666" s="136">
        <f>IFERROR(__xludf.DUMMYFUNCTION("""COMPUTED_VALUE"""),3669.0)</f>
        <v>3669</v>
      </c>
      <c r="K666" s="136">
        <f>IFERROR(__xludf.DUMMYFUNCTION("""COMPUTED_VALUE"""),10.0)</f>
        <v>10</v>
      </c>
      <c r="L666" s="136">
        <f>IFERROR(__xludf.DUMMYFUNCTION("""COMPUTED_VALUE"""),7.0)</f>
        <v>7</v>
      </c>
      <c r="M666" s="136">
        <f>IFERROR(__xludf.DUMMYFUNCTION("""COMPUTED_VALUE"""),13.0)</f>
        <v>13</v>
      </c>
      <c r="N666" s="136">
        <f>IFERROR(__xludf.DUMMYFUNCTION("""COMPUTED_VALUE"""),30.0)</f>
        <v>30</v>
      </c>
      <c r="O666" s="138">
        <f>IFERROR(__xludf.DUMMYFUNCTION("""COMPUTED_VALUE"""),4.0)</f>
        <v>4</v>
      </c>
      <c r="P666" s="138">
        <f>IFERROR(__xludf.DUMMYFUNCTION("""COMPUTED_VALUE"""),0.0)</f>
        <v>0</v>
      </c>
      <c r="Q666" s="138">
        <f>IFERROR(__xludf.DUMMYFUNCTION("""COMPUTED_VALUE"""),0.0)</f>
        <v>0</v>
      </c>
      <c r="R666" s="138">
        <f>IFERROR(__xludf.DUMMYFUNCTION("""COMPUTED_VALUE"""),2.0)</f>
        <v>2</v>
      </c>
      <c r="S666" s="139">
        <f>IFERROR(__xludf.DUMMYFUNCTION("""COMPUTED_VALUE"""),84.0)</f>
        <v>84</v>
      </c>
      <c r="T666" s="140">
        <f>IFERROR(__xludf.DUMMYFUNCTION("""COMPUTED_VALUE"""),28.0)</f>
        <v>28</v>
      </c>
      <c r="U666" s="136">
        <f>IFERROR(__xludf.DUMMYFUNCTION("""COMPUTED_VALUE"""),9.0)</f>
        <v>9</v>
      </c>
      <c r="V666" s="136">
        <f>IFERROR(__xludf.DUMMYFUNCTION("""COMPUTED_VALUE"""),12.0)</f>
        <v>12</v>
      </c>
      <c r="W666" s="136">
        <f>IFERROR(__xludf.DUMMYFUNCTION("""COMPUTED_VALUE"""),7.0)</f>
        <v>7</v>
      </c>
      <c r="X666" s="136">
        <f>IFERROR(__xludf.DUMMYFUNCTION("""COMPUTED_VALUE"""),403.27272727272725)</f>
        <v>403.2727273</v>
      </c>
      <c r="Y666" s="141">
        <f>IFERROR(__xludf.DUMMYFUNCTION("""COMPUTED_VALUE"""),47.22636363636364)</f>
        <v>47.22636364</v>
      </c>
      <c r="Z666" s="141">
        <f>IFERROR(__xludf.DUMMYFUNCTION("""COMPUTED_VALUE"""),2387.818181818182)</f>
        <v>2387.818182</v>
      </c>
    </row>
    <row r="667">
      <c r="A667" s="41" t="str">
        <f>IFERROR(__xludf.DUMMYFUNCTION("""COMPUTED_VALUE"""),"Rival")</f>
        <v>Rival</v>
      </c>
      <c r="B667" s="41" t="str">
        <f>IFERROR(__xludf.DUMMYFUNCTION("""COMPUTED_VALUE"""),"RSC008173")</f>
        <v>RSC008173</v>
      </c>
      <c r="C667" s="41" t="str">
        <f>IFERROR(__xludf.DUMMYFUNCTION("""COMPUTED_VALUE"""),"Wild Thing")</f>
        <v>Wild Thing</v>
      </c>
      <c r="D667" s="41" t="str">
        <f>IFERROR(__xludf.DUMMYFUNCTION("""COMPUTED_VALUE"""),"Primo")</f>
        <v>Primo</v>
      </c>
      <c r="E667" s="136">
        <f>IFERROR(__xludf.DUMMYFUNCTION("""COMPUTED_VALUE"""),55.0)</f>
        <v>55</v>
      </c>
      <c r="F667" s="136">
        <f>IFERROR(__xludf.DUMMYFUNCTION("""COMPUTED_VALUE"""),35.0)</f>
        <v>35</v>
      </c>
      <c r="G667" s="136">
        <f>IFERROR(__xludf.DUMMYFUNCTION("""COMPUTED_VALUE"""),20.0)</f>
        <v>20</v>
      </c>
      <c r="H667" s="137">
        <f>IFERROR(__xludf.DUMMYFUNCTION("""COMPUTED_VALUE"""),0.6363636363636364)</f>
        <v>0.6363636364</v>
      </c>
      <c r="I667" s="136">
        <f>IFERROR(__xludf.DUMMYFUNCTION("""COMPUTED_VALUE"""),11.0)</f>
        <v>11</v>
      </c>
      <c r="J667" s="136">
        <f>IFERROR(__xludf.DUMMYFUNCTION("""COMPUTED_VALUE"""),17762.0)</f>
        <v>17762</v>
      </c>
      <c r="K667" s="136">
        <f>IFERROR(__xludf.DUMMYFUNCTION("""COMPUTED_VALUE"""),48.0)</f>
        <v>48</v>
      </c>
      <c r="L667" s="136">
        <f>IFERROR(__xludf.DUMMYFUNCTION("""COMPUTED_VALUE"""),30.0)</f>
        <v>30</v>
      </c>
      <c r="M667" s="136">
        <f>IFERROR(__xludf.DUMMYFUNCTION("""COMPUTED_VALUE"""),54.0)</f>
        <v>54</v>
      </c>
      <c r="N667" s="136">
        <f>IFERROR(__xludf.DUMMYFUNCTION("""COMPUTED_VALUE"""),162.0)</f>
        <v>162</v>
      </c>
      <c r="O667" s="138">
        <f>IFERROR(__xludf.DUMMYFUNCTION("""COMPUTED_VALUE"""),7.0)</f>
        <v>7</v>
      </c>
      <c r="P667" s="138">
        <f>IFERROR(__xludf.DUMMYFUNCTION("""COMPUTED_VALUE"""),4.0)</f>
        <v>4</v>
      </c>
      <c r="Q667" s="138">
        <f>IFERROR(__xludf.DUMMYFUNCTION("""COMPUTED_VALUE"""),1.0)</f>
        <v>1</v>
      </c>
      <c r="R667" s="138">
        <f>IFERROR(__xludf.DUMMYFUNCTION("""COMPUTED_VALUE"""),4.0)</f>
        <v>4</v>
      </c>
      <c r="S667" s="139">
        <f>IFERROR(__xludf.DUMMYFUNCTION("""COMPUTED_VALUE"""),339.0)</f>
        <v>339</v>
      </c>
      <c r="T667" s="140">
        <f>IFERROR(__xludf.DUMMYFUNCTION("""COMPUTED_VALUE"""),98.0)</f>
        <v>98</v>
      </c>
      <c r="U667" s="136">
        <f>IFERROR(__xludf.DUMMYFUNCTION("""COMPUTED_VALUE"""),34.0)</f>
        <v>34</v>
      </c>
      <c r="V667" s="136">
        <f>IFERROR(__xludf.DUMMYFUNCTION("""COMPUTED_VALUE"""),47.0)</f>
        <v>47</v>
      </c>
      <c r="W667" s="136">
        <f>IFERROR(__xludf.DUMMYFUNCTION("""COMPUTED_VALUE"""),54.0)</f>
        <v>54</v>
      </c>
      <c r="X667" s="136">
        <f>IFERROR(__xludf.DUMMYFUNCTION("""COMPUTED_VALUE"""),346.8909090909091)</f>
        <v>346.8909091</v>
      </c>
      <c r="Y667" s="141">
        <f>IFERROR(__xludf.DUMMYFUNCTION("""COMPUTED_VALUE"""),49.88345454545453)</f>
        <v>49.88345455</v>
      </c>
      <c r="Z667" s="141">
        <f>IFERROR(__xludf.DUMMYFUNCTION("""COMPUTED_VALUE"""),2100.7090909090907)</f>
        <v>2100.709091</v>
      </c>
    </row>
    <row r="668">
      <c r="A668" s="41" t="str">
        <f>IFERROR(__xludf.DUMMYFUNCTION("""COMPUTED_VALUE"""),"Challenger")</f>
        <v>Challenger</v>
      </c>
      <c r="B668" s="41" t="str">
        <f>IFERROR(__xludf.DUMMYFUNCTION("""COMPUTED_VALUE"""),"RSC008176")</f>
        <v>RSC008176</v>
      </c>
      <c r="C668" s="41" t="str">
        <f>IFERROR(__xludf.DUMMYFUNCTION("""COMPUTED_VALUE"""),"xLunarWolfx")</f>
        <v>xLunarWolfx</v>
      </c>
      <c r="D668" s="41" t="str">
        <f>IFERROR(__xludf.DUMMYFUNCTION("""COMPUTED_VALUE"""),"Toucans")</f>
        <v>Toucans</v>
      </c>
      <c r="E668" s="136">
        <f>IFERROR(__xludf.DUMMYFUNCTION("""COMPUTED_VALUE"""),37.0)</f>
        <v>37</v>
      </c>
      <c r="F668" s="136">
        <f>IFERROR(__xludf.DUMMYFUNCTION("""COMPUTED_VALUE"""),9.0)</f>
        <v>9</v>
      </c>
      <c r="G668" s="136">
        <f>IFERROR(__xludf.DUMMYFUNCTION("""COMPUTED_VALUE"""),28.0)</f>
        <v>28</v>
      </c>
      <c r="H668" s="137">
        <f>IFERROR(__xludf.DUMMYFUNCTION("""COMPUTED_VALUE"""),0.24324324324324326)</f>
        <v>0.2432432432</v>
      </c>
      <c r="I668" s="136">
        <f>IFERROR(__xludf.DUMMYFUNCTION("""COMPUTED_VALUE"""),2.0)</f>
        <v>2</v>
      </c>
      <c r="J668" s="136">
        <f>IFERROR(__xludf.DUMMYFUNCTION("""COMPUTED_VALUE"""),10024.0)</f>
        <v>10024</v>
      </c>
      <c r="K668" s="136">
        <f>IFERROR(__xludf.DUMMYFUNCTION("""COMPUTED_VALUE"""),14.0)</f>
        <v>14</v>
      </c>
      <c r="L668" s="136">
        <f>IFERROR(__xludf.DUMMYFUNCTION("""COMPUTED_VALUE"""),11.0)</f>
        <v>11</v>
      </c>
      <c r="M668" s="136">
        <f>IFERROR(__xludf.DUMMYFUNCTION("""COMPUTED_VALUE"""),54.0)</f>
        <v>54</v>
      </c>
      <c r="N668" s="136">
        <f>IFERROR(__xludf.DUMMYFUNCTION("""COMPUTED_VALUE"""),47.0)</f>
        <v>47</v>
      </c>
      <c r="O668" s="138">
        <f>IFERROR(__xludf.DUMMYFUNCTION("""COMPUTED_VALUE"""),3.0)</f>
        <v>3</v>
      </c>
      <c r="P668" s="138">
        <f>IFERROR(__xludf.DUMMYFUNCTION("""COMPUTED_VALUE"""),1.0)</f>
        <v>1</v>
      </c>
      <c r="Q668" s="138">
        <f>IFERROR(__xludf.DUMMYFUNCTION("""COMPUTED_VALUE"""),0.0)</f>
        <v>0</v>
      </c>
      <c r="R668" s="138">
        <f>IFERROR(__xludf.DUMMYFUNCTION("""COMPUTED_VALUE"""),7.0)</f>
        <v>7</v>
      </c>
      <c r="S668" s="139">
        <f>IFERROR(__xludf.DUMMYFUNCTION("""COMPUTED_VALUE"""),359.0)</f>
        <v>359</v>
      </c>
      <c r="T668" s="140">
        <f>IFERROR(__xludf.DUMMYFUNCTION("""COMPUTED_VALUE"""),122.0)</f>
        <v>122</v>
      </c>
      <c r="U668" s="136">
        <f>IFERROR(__xludf.DUMMYFUNCTION("""COMPUTED_VALUE"""),46.0)</f>
        <v>46</v>
      </c>
      <c r="V668" s="136">
        <f>IFERROR(__xludf.DUMMYFUNCTION("""COMPUTED_VALUE"""),20.0)</f>
        <v>20</v>
      </c>
      <c r="W668" s="136">
        <f>IFERROR(__xludf.DUMMYFUNCTION("""COMPUTED_VALUE"""),44.0)</f>
        <v>44</v>
      </c>
      <c r="X668" s="136">
        <f>IFERROR(__xludf.DUMMYFUNCTION("""COMPUTED_VALUE"""),330.5405405405405)</f>
        <v>330.5405405</v>
      </c>
      <c r="Y668" s="141">
        <f>IFERROR(__xludf.DUMMYFUNCTION("""COMPUTED_VALUE"""),48.95243243243243)</f>
        <v>48.95243243</v>
      </c>
      <c r="Z668" s="141">
        <f>IFERROR(__xludf.DUMMYFUNCTION("""COMPUTED_VALUE"""),1946.3513513513512)</f>
        <v>1946.351351</v>
      </c>
    </row>
    <row r="669">
      <c r="A669" s="41" t="str">
        <f>IFERROR(__xludf.DUMMYFUNCTION("""COMPUTED_VALUE"""),"Amateur")</f>
        <v>Amateur</v>
      </c>
      <c r="B669" s="41" t="str">
        <f>IFERROR(__xludf.DUMMYFUNCTION("""COMPUTED_VALUE"""),"RSC008178")</f>
        <v>RSC008178</v>
      </c>
      <c r="C669" s="41" t="str">
        <f>IFERROR(__xludf.DUMMYFUNCTION("""COMPUTED_VALUE"""),"Bigwigglystylezz")</f>
        <v>Bigwigglystylezz</v>
      </c>
      <c r="D669" s="41" t="str">
        <f>IFERROR(__xludf.DUMMYFUNCTION("""COMPUTED_VALUE"""),"Winter Fresh")</f>
        <v>Winter Fresh</v>
      </c>
      <c r="E669" s="136">
        <f>IFERROR(__xludf.DUMMYFUNCTION("""COMPUTED_VALUE"""),43.0)</f>
        <v>43</v>
      </c>
      <c r="F669" s="136">
        <f>IFERROR(__xludf.DUMMYFUNCTION("""COMPUTED_VALUE"""),26.0)</f>
        <v>26</v>
      </c>
      <c r="G669" s="136">
        <f>IFERROR(__xludf.DUMMYFUNCTION("""COMPUTED_VALUE"""),17.0)</f>
        <v>17</v>
      </c>
      <c r="H669" s="137">
        <f>IFERROR(__xludf.DUMMYFUNCTION("""COMPUTED_VALUE"""),0.6046511627906976)</f>
        <v>0.6046511628</v>
      </c>
      <c r="I669" s="136">
        <f>IFERROR(__xludf.DUMMYFUNCTION("""COMPUTED_VALUE"""),13.0)</f>
        <v>13</v>
      </c>
      <c r="J669" s="136">
        <f>IFERROR(__xludf.DUMMYFUNCTION("""COMPUTED_VALUE"""),15291.0)</f>
        <v>15291</v>
      </c>
      <c r="K669" s="136">
        <f>IFERROR(__xludf.DUMMYFUNCTION("""COMPUTED_VALUE"""),48.0)</f>
        <v>48</v>
      </c>
      <c r="L669" s="136">
        <f>IFERROR(__xludf.DUMMYFUNCTION("""COMPUTED_VALUE"""),23.0)</f>
        <v>23</v>
      </c>
      <c r="M669" s="136">
        <f>IFERROR(__xludf.DUMMYFUNCTION("""COMPUTED_VALUE"""),37.0)</f>
        <v>37</v>
      </c>
      <c r="N669" s="136">
        <f>IFERROR(__xludf.DUMMYFUNCTION("""COMPUTED_VALUE"""),112.0)</f>
        <v>112</v>
      </c>
      <c r="O669" s="138">
        <f>IFERROR(__xludf.DUMMYFUNCTION("""COMPUTED_VALUE"""),6.0)</f>
        <v>6</v>
      </c>
      <c r="P669" s="138">
        <f>IFERROR(__xludf.DUMMYFUNCTION("""COMPUTED_VALUE"""),4.0)</f>
        <v>4</v>
      </c>
      <c r="Q669" s="138">
        <f>IFERROR(__xludf.DUMMYFUNCTION("""COMPUTED_VALUE"""),3.0)</f>
        <v>3</v>
      </c>
      <c r="R669" s="138">
        <f>IFERROR(__xludf.DUMMYFUNCTION("""COMPUTED_VALUE"""),0.0)</f>
        <v>0</v>
      </c>
      <c r="S669" s="139">
        <f>IFERROR(__xludf.DUMMYFUNCTION("""COMPUTED_VALUE"""),216.0)</f>
        <v>216</v>
      </c>
      <c r="T669" s="140">
        <f>IFERROR(__xludf.DUMMYFUNCTION("""COMPUTED_VALUE"""),86.0)</f>
        <v>86</v>
      </c>
      <c r="U669" s="136">
        <f>IFERROR(__xludf.DUMMYFUNCTION("""COMPUTED_VALUE"""),26.0)</f>
        <v>26</v>
      </c>
      <c r="V669" s="136">
        <f>IFERROR(__xludf.DUMMYFUNCTION("""COMPUTED_VALUE"""),30.0)</f>
        <v>30</v>
      </c>
      <c r="W669" s="136">
        <f>IFERROR(__xludf.DUMMYFUNCTION("""COMPUTED_VALUE"""),24.0)</f>
        <v>24</v>
      </c>
      <c r="X669" s="139">
        <f>IFERROR(__xludf.DUMMYFUNCTION("""COMPUTED_VALUE"""),335.3255813953488)</f>
        <v>335.3255814</v>
      </c>
      <c r="Y669" s="141">
        <f>IFERROR(__xludf.DUMMYFUNCTION("""COMPUTED_VALUE"""),60.98930232558139)</f>
        <v>60.98930233</v>
      </c>
      <c r="Z669" s="141">
        <f>IFERROR(__xludf.DUMMYFUNCTION("""COMPUTED_VALUE"""),2018.906976744186)</f>
        <v>2018.906977</v>
      </c>
    </row>
    <row r="670">
      <c r="A670" s="41" t="str">
        <f>IFERROR(__xludf.DUMMYFUNCTION("""COMPUTED_VALUE"""),"Prospect")</f>
        <v>Prospect</v>
      </c>
      <c r="B670" s="41" t="str">
        <f>IFERROR(__xludf.DUMMYFUNCTION("""COMPUTED_VALUE"""),"RSC008187")</f>
        <v>RSC008187</v>
      </c>
      <c r="C670" s="41" t="str">
        <f>IFERROR(__xludf.DUMMYFUNCTION("""COMPUTED_VALUE"""),"Tonini08")</f>
        <v>Tonini08</v>
      </c>
      <c r="D670" s="41" t="str">
        <f>IFERROR(__xludf.DUMMYFUNCTION("""COMPUTED_VALUE"""),"Blacktips")</f>
        <v>Blacktips</v>
      </c>
      <c r="E670" s="136">
        <f>IFERROR(__xludf.DUMMYFUNCTION("""COMPUTED_VALUE"""),55.0)</f>
        <v>55</v>
      </c>
      <c r="F670" s="136">
        <f>IFERROR(__xludf.DUMMYFUNCTION("""COMPUTED_VALUE"""),36.0)</f>
        <v>36</v>
      </c>
      <c r="G670" s="136">
        <f>IFERROR(__xludf.DUMMYFUNCTION("""COMPUTED_VALUE"""),19.0)</f>
        <v>19</v>
      </c>
      <c r="H670" s="137">
        <f>IFERROR(__xludf.DUMMYFUNCTION("""COMPUTED_VALUE"""),0.6545454545454545)</f>
        <v>0.6545454545</v>
      </c>
      <c r="I670" s="136">
        <f>IFERROR(__xludf.DUMMYFUNCTION("""COMPUTED_VALUE"""),15.0)</f>
        <v>15</v>
      </c>
      <c r="J670" s="136">
        <f>IFERROR(__xludf.DUMMYFUNCTION("""COMPUTED_VALUE"""),20417.0)</f>
        <v>20417</v>
      </c>
      <c r="K670" s="136">
        <f>IFERROR(__xludf.DUMMYFUNCTION("""COMPUTED_VALUE"""),53.0)</f>
        <v>53</v>
      </c>
      <c r="L670" s="136">
        <f>IFERROR(__xludf.DUMMYFUNCTION("""COMPUTED_VALUE"""),29.0)</f>
        <v>29</v>
      </c>
      <c r="M670" s="136">
        <f>IFERROR(__xludf.DUMMYFUNCTION("""COMPUTED_VALUE"""),68.0)</f>
        <v>68</v>
      </c>
      <c r="N670" s="136">
        <f>IFERROR(__xludf.DUMMYFUNCTION("""COMPUTED_VALUE"""),150.0)</f>
        <v>150</v>
      </c>
      <c r="O670" s="138">
        <f>IFERROR(__xludf.DUMMYFUNCTION("""COMPUTED_VALUE"""),9.0)</f>
        <v>9</v>
      </c>
      <c r="P670" s="138">
        <f>IFERROR(__xludf.DUMMYFUNCTION("""COMPUTED_VALUE"""),6.0)</f>
        <v>6</v>
      </c>
      <c r="Q670" s="138">
        <f>IFERROR(__xludf.DUMMYFUNCTION("""COMPUTED_VALUE"""),1.0)</f>
        <v>1</v>
      </c>
      <c r="R670" s="138">
        <f>IFERROR(__xludf.DUMMYFUNCTION("""COMPUTED_VALUE"""),7.0)</f>
        <v>7</v>
      </c>
      <c r="S670" s="139">
        <f>IFERROR(__xludf.DUMMYFUNCTION("""COMPUTED_VALUE"""),364.0)</f>
        <v>364</v>
      </c>
      <c r="T670" s="140">
        <f>IFERROR(__xludf.DUMMYFUNCTION("""COMPUTED_VALUE"""),118.0)</f>
        <v>118</v>
      </c>
      <c r="U670" s="136">
        <f>IFERROR(__xludf.DUMMYFUNCTION("""COMPUTED_VALUE"""),35.0)</f>
        <v>35</v>
      </c>
      <c r="V670" s="136">
        <f>IFERROR(__xludf.DUMMYFUNCTION("""COMPUTED_VALUE"""),52.0)</f>
        <v>52</v>
      </c>
      <c r="W670" s="136">
        <f>IFERROR(__xludf.DUMMYFUNCTION("""COMPUTED_VALUE"""),52.0)</f>
        <v>52</v>
      </c>
      <c r="X670" s="136">
        <f>IFERROR(__xludf.DUMMYFUNCTION("""COMPUTED_VALUE"""),258.6545454545454)</f>
        <v>258.6545455</v>
      </c>
      <c r="Y670" s="141">
        <f>IFERROR(__xludf.DUMMYFUNCTION("""COMPUTED_VALUE"""),51.67309090909088)</f>
        <v>51.67309091</v>
      </c>
      <c r="Z670" s="141">
        <f>IFERROR(__xludf.DUMMYFUNCTION("""COMPUTED_VALUE"""),1603.1636363636364)</f>
        <v>1603.163636</v>
      </c>
    </row>
    <row r="671">
      <c r="A671" s="41" t="str">
        <f>IFERROR(__xludf.DUMMYFUNCTION("""COMPUTED_VALUE"""),"Challenger")</f>
        <v>Challenger</v>
      </c>
      <c r="B671" s="41" t="str">
        <f>IFERROR(__xludf.DUMMYFUNCTION("""COMPUTED_VALUE"""),"RSC008188")</f>
        <v>RSC008188</v>
      </c>
      <c r="C671" s="41" t="str">
        <f>IFERROR(__xludf.DUMMYFUNCTION("""COMPUTED_VALUE"""),"SludgeMixFuzz")</f>
        <v>SludgeMixFuzz</v>
      </c>
      <c r="D671" s="41" t="str">
        <f>IFERROR(__xludf.DUMMYFUNCTION("""COMPUTED_VALUE"""),"Sirens")</f>
        <v>Sirens</v>
      </c>
      <c r="E671" s="136">
        <f>IFERROR(__xludf.DUMMYFUNCTION("""COMPUTED_VALUE"""),45.0)</f>
        <v>45</v>
      </c>
      <c r="F671" s="136">
        <f>IFERROR(__xludf.DUMMYFUNCTION("""COMPUTED_VALUE"""),21.0)</f>
        <v>21</v>
      </c>
      <c r="G671" s="136">
        <f>IFERROR(__xludf.DUMMYFUNCTION("""COMPUTED_VALUE"""),24.0)</f>
        <v>24</v>
      </c>
      <c r="H671" s="137">
        <f>IFERROR(__xludf.DUMMYFUNCTION("""COMPUTED_VALUE"""),0.4666666666666667)</f>
        <v>0.4666666667</v>
      </c>
      <c r="I671" s="136">
        <f>IFERROR(__xludf.DUMMYFUNCTION("""COMPUTED_VALUE"""),6.0)</f>
        <v>6</v>
      </c>
      <c r="J671" s="136">
        <f>IFERROR(__xludf.DUMMYFUNCTION("""COMPUTED_VALUE"""),13682.0)</f>
        <v>13682</v>
      </c>
      <c r="K671" s="136">
        <f>IFERROR(__xludf.DUMMYFUNCTION("""COMPUTED_VALUE"""),24.0)</f>
        <v>24</v>
      </c>
      <c r="L671" s="136">
        <f>IFERROR(__xludf.DUMMYFUNCTION("""COMPUTED_VALUE"""),25.0)</f>
        <v>25</v>
      </c>
      <c r="M671" s="136">
        <f>IFERROR(__xludf.DUMMYFUNCTION("""COMPUTED_VALUE"""),63.0)</f>
        <v>63</v>
      </c>
      <c r="N671" s="136">
        <f>IFERROR(__xludf.DUMMYFUNCTION("""COMPUTED_VALUE"""),77.0)</f>
        <v>77</v>
      </c>
      <c r="O671" s="138">
        <f>IFERROR(__xludf.DUMMYFUNCTION("""COMPUTED_VALUE"""),6.0)</f>
        <v>6</v>
      </c>
      <c r="P671" s="138">
        <f>IFERROR(__xludf.DUMMYFUNCTION("""COMPUTED_VALUE"""),0.0)</f>
        <v>0</v>
      </c>
      <c r="Q671" s="138">
        <f>IFERROR(__xludf.DUMMYFUNCTION("""COMPUTED_VALUE"""),2.0)</f>
        <v>2</v>
      </c>
      <c r="R671" s="138">
        <f>IFERROR(__xludf.DUMMYFUNCTION("""COMPUTED_VALUE"""),8.0)</f>
        <v>8</v>
      </c>
      <c r="S671" s="139">
        <f>IFERROR(__xludf.DUMMYFUNCTION("""COMPUTED_VALUE"""),364.0)</f>
        <v>364</v>
      </c>
      <c r="T671" s="140">
        <f>IFERROR(__xludf.DUMMYFUNCTION("""COMPUTED_VALUE"""),129.0)</f>
        <v>129</v>
      </c>
      <c r="U671" s="136">
        <f>IFERROR(__xludf.DUMMYFUNCTION("""COMPUTED_VALUE"""),37.0)</f>
        <v>37</v>
      </c>
      <c r="V671" s="136">
        <f>IFERROR(__xludf.DUMMYFUNCTION("""COMPUTED_VALUE"""),102.0)</f>
        <v>102</v>
      </c>
      <c r="W671" s="136">
        <f>IFERROR(__xludf.DUMMYFUNCTION("""COMPUTED_VALUE"""),48.0)</f>
        <v>48</v>
      </c>
      <c r="X671" s="136">
        <f>IFERROR(__xludf.DUMMYFUNCTION("""COMPUTED_VALUE"""),322.0)</f>
        <v>322</v>
      </c>
      <c r="Y671" s="141">
        <f>IFERROR(__xludf.DUMMYFUNCTION("""COMPUTED_VALUE"""),47.37511111111111)</f>
        <v>47.37511111</v>
      </c>
      <c r="Z671" s="141">
        <f>IFERROR(__xludf.DUMMYFUNCTION("""COMPUTED_VALUE"""),1916.8222222222223)</f>
        <v>1916.822222</v>
      </c>
    </row>
    <row r="672">
      <c r="A672" s="41" t="str">
        <f>IFERROR(__xludf.DUMMYFUNCTION("""COMPUTED_VALUE"""),"Rival")</f>
        <v>Rival</v>
      </c>
      <c r="B672" s="41" t="str">
        <f>IFERROR(__xludf.DUMMYFUNCTION("""COMPUTED_VALUE"""),"RSC008191")</f>
        <v>RSC008191</v>
      </c>
      <c r="C672" s="41" t="str">
        <f>IFERROR(__xludf.DUMMYFUNCTION("""COMPUTED_VALUE"""),"Crowbar7570")</f>
        <v>Crowbar7570</v>
      </c>
      <c r="D672" s="41" t="str">
        <f>IFERROR(__xludf.DUMMYFUNCTION("""COMPUTED_VALUE"""),"Guards")</f>
        <v>Guards</v>
      </c>
      <c r="E672" s="136">
        <f>IFERROR(__xludf.DUMMYFUNCTION("""COMPUTED_VALUE"""),43.0)</f>
        <v>43</v>
      </c>
      <c r="F672" s="136">
        <f>IFERROR(__xludf.DUMMYFUNCTION("""COMPUTED_VALUE"""),19.0)</f>
        <v>19</v>
      </c>
      <c r="G672" s="136">
        <f>IFERROR(__xludf.DUMMYFUNCTION("""COMPUTED_VALUE"""),24.0)</f>
        <v>24</v>
      </c>
      <c r="H672" s="137">
        <f>IFERROR(__xludf.DUMMYFUNCTION("""COMPUTED_VALUE"""),0.4418604651162791)</f>
        <v>0.4418604651</v>
      </c>
      <c r="I672" s="136">
        <f>IFERROR(__xludf.DUMMYFUNCTION("""COMPUTED_VALUE"""),6.0)</f>
        <v>6</v>
      </c>
      <c r="J672" s="136">
        <f>IFERROR(__xludf.DUMMYFUNCTION("""COMPUTED_VALUE"""),14951.0)</f>
        <v>14951</v>
      </c>
      <c r="K672" s="136">
        <f>IFERROR(__xludf.DUMMYFUNCTION("""COMPUTED_VALUE"""),36.0)</f>
        <v>36</v>
      </c>
      <c r="L672" s="136">
        <f>IFERROR(__xludf.DUMMYFUNCTION("""COMPUTED_VALUE"""),22.0)</f>
        <v>22</v>
      </c>
      <c r="M672" s="136">
        <f>IFERROR(__xludf.DUMMYFUNCTION("""COMPUTED_VALUE"""),48.0)</f>
        <v>48</v>
      </c>
      <c r="N672" s="136">
        <f>IFERROR(__xludf.DUMMYFUNCTION("""COMPUTED_VALUE"""),108.0)</f>
        <v>108</v>
      </c>
      <c r="O672" s="138">
        <f>IFERROR(__xludf.DUMMYFUNCTION("""COMPUTED_VALUE"""),8.0)</f>
        <v>8</v>
      </c>
      <c r="P672" s="138">
        <f>IFERROR(__xludf.DUMMYFUNCTION("""COMPUTED_VALUE"""),3.0)</f>
        <v>3</v>
      </c>
      <c r="Q672" s="138">
        <f>IFERROR(__xludf.DUMMYFUNCTION("""COMPUTED_VALUE"""),2.0)</f>
        <v>2</v>
      </c>
      <c r="R672" s="138">
        <f>IFERROR(__xludf.DUMMYFUNCTION("""COMPUTED_VALUE"""),5.0)</f>
        <v>5</v>
      </c>
      <c r="S672" s="139">
        <f>IFERROR(__xludf.DUMMYFUNCTION("""COMPUTED_VALUE"""),341.0)</f>
        <v>341</v>
      </c>
      <c r="T672" s="140">
        <f>IFERROR(__xludf.DUMMYFUNCTION("""COMPUTED_VALUE"""),106.0)</f>
        <v>106</v>
      </c>
      <c r="U672" s="136">
        <f>IFERROR(__xludf.DUMMYFUNCTION("""COMPUTED_VALUE"""),47.0)</f>
        <v>47</v>
      </c>
      <c r="V672" s="136">
        <f>IFERROR(__xludf.DUMMYFUNCTION("""COMPUTED_VALUE"""),37.0)</f>
        <v>37</v>
      </c>
      <c r="W672" s="136">
        <f>IFERROR(__xludf.DUMMYFUNCTION("""COMPUTED_VALUE"""),40.0)</f>
        <v>40</v>
      </c>
      <c r="X672" s="136">
        <f>IFERROR(__xludf.DUMMYFUNCTION("""COMPUTED_VALUE"""),405.1860465116279)</f>
        <v>405.1860465</v>
      </c>
      <c r="Y672" s="141">
        <f>IFERROR(__xludf.DUMMYFUNCTION("""COMPUTED_VALUE"""),45.87186046511629)</f>
        <v>45.87186047</v>
      </c>
      <c r="Z672" s="141">
        <f>IFERROR(__xludf.DUMMYFUNCTION("""COMPUTED_VALUE"""),2369.6976744186045)</f>
        <v>2369.697674</v>
      </c>
    </row>
    <row r="673">
      <c r="A673" s="41" t="str">
        <f>IFERROR(__xludf.DUMMYFUNCTION("""COMPUTED_VALUE"""),"Rival")</f>
        <v>Rival</v>
      </c>
      <c r="B673" s="41" t="str">
        <f>IFERROR(__xludf.DUMMYFUNCTION("""COMPUTED_VALUE"""),"RSC008192")</f>
        <v>RSC008192</v>
      </c>
      <c r="C673" s="41" t="str">
        <f>IFERROR(__xludf.DUMMYFUNCTION("""COMPUTED_VALUE"""),"Alpha Dingo")</f>
        <v>Alpha Dingo</v>
      </c>
      <c r="D673" s="41" t="str">
        <f>IFERROR(__xludf.DUMMYFUNCTION("""COMPUTED_VALUE"""),"Hammerheads")</f>
        <v>Hammerheads</v>
      </c>
      <c r="E673" s="136">
        <f>IFERROR(__xludf.DUMMYFUNCTION("""COMPUTED_VALUE"""),38.0)</f>
        <v>38</v>
      </c>
      <c r="F673" s="136">
        <f>IFERROR(__xludf.DUMMYFUNCTION("""COMPUTED_VALUE"""),16.0)</f>
        <v>16</v>
      </c>
      <c r="G673" s="136">
        <f>IFERROR(__xludf.DUMMYFUNCTION("""COMPUTED_VALUE"""),22.0)</f>
        <v>22</v>
      </c>
      <c r="H673" s="137">
        <f>IFERROR(__xludf.DUMMYFUNCTION("""COMPUTED_VALUE"""),0.42105263157894735)</f>
        <v>0.4210526316</v>
      </c>
      <c r="I673" s="136">
        <f>IFERROR(__xludf.DUMMYFUNCTION("""COMPUTED_VALUE"""),3.0)</f>
        <v>3</v>
      </c>
      <c r="J673" s="136">
        <f>IFERROR(__xludf.DUMMYFUNCTION("""COMPUTED_VALUE"""),11584.0)</f>
        <v>11584</v>
      </c>
      <c r="K673" s="136">
        <f>IFERROR(__xludf.DUMMYFUNCTION("""COMPUTED_VALUE"""),22.0)</f>
        <v>22</v>
      </c>
      <c r="L673" s="136">
        <f>IFERROR(__xludf.DUMMYFUNCTION("""COMPUTED_VALUE"""),21.0)</f>
        <v>21</v>
      </c>
      <c r="M673" s="136">
        <f>IFERROR(__xludf.DUMMYFUNCTION("""COMPUTED_VALUE"""),40.0)</f>
        <v>40</v>
      </c>
      <c r="N673" s="136">
        <f>IFERROR(__xludf.DUMMYFUNCTION("""COMPUTED_VALUE"""),78.0)</f>
        <v>78</v>
      </c>
      <c r="O673" s="138">
        <f>IFERROR(__xludf.DUMMYFUNCTION("""COMPUTED_VALUE"""),3.0)</f>
        <v>3</v>
      </c>
      <c r="P673" s="138">
        <f>IFERROR(__xludf.DUMMYFUNCTION("""COMPUTED_VALUE"""),0.0)</f>
        <v>0</v>
      </c>
      <c r="Q673" s="138">
        <f>IFERROR(__xludf.DUMMYFUNCTION("""COMPUTED_VALUE"""),0.0)</f>
        <v>0</v>
      </c>
      <c r="R673" s="138">
        <f>IFERROR(__xludf.DUMMYFUNCTION("""COMPUTED_VALUE"""),6.0)</f>
        <v>6</v>
      </c>
      <c r="S673" s="139">
        <f>IFERROR(__xludf.DUMMYFUNCTION("""COMPUTED_VALUE"""),319.0)</f>
        <v>319</v>
      </c>
      <c r="T673" s="140">
        <f>IFERROR(__xludf.DUMMYFUNCTION("""COMPUTED_VALUE"""),108.0)</f>
        <v>108</v>
      </c>
      <c r="U673" s="136">
        <f>IFERROR(__xludf.DUMMYFUNCTION("""COMPUTED_VALUE"""),33.0)</f>
        <v>33</v>
      </c>
      <c r="V673" s="136">
        <f>IFERROR(__xludf.DUMMYFUNCTION("""COMPUTED_VALUE"""),21.0)</f>
        <v>21</v>
      </c>
      <c r="W673" s="136">
        <f>IFERROR(__xludf.DUMMYFUNCTION("""COMPUTED_VALUE"""),53.0)</f>
        <v>53</v>
      </c>
      <c r="X673" s="136">
        <f>IFERROR(__xludf.DUMMYFUNCTION("""COMPUTED_VALUE"""),317.2631578947368)</f>
        <v>317.2631579</v>
      </c>
      <c r="Y673" s="141">
        <f>IFERROR(__xludf.DUMMYFUNCTION("""COMPUTED_VALUE"""),51.876842105263144)</f>
        <v>51.87684211</v>
      </c>
      <c r="Z673" s="141">
        <f>IFERROR(__xludf.DUMMYFUNCTION("""COMPUTED_VALUE"""),1940.2631578947369)</f>
        <v>1940.263158</v>
      </c>
    </row>
    <row r="674">
      <c r="A674" s="41" t="str">
        <f>IFERROR(__xludf.DUMMYFUNCTION("""COMPUTED_VALUE"""),"Amateur")</f>
        <v>Amateur</v>
      </c>
      <c r="B674" s="41" t="str">
        <f>IFERROR(__xludf.DUMMYFUNCTION("""COMPUTED_VALUE"""),"RSC008193")</f>
        <v>RSC008193</v>
      </c>
      <c r="C674" s="41" t="str">
        <f>IFERROR(__xludf.DUMMYFUNCTION("""COMPUTED_VALUE"""),"RL Camaro")</f>
        <v>RL Camaro</v>
      </c>
      <c r="D674" s="41" t="str">
        <f>IFERROR(__xludf.DUMMYFUNCTION("""COMPUTED_VALUE"""),"Chimera")</f>
        <v>Chimera</v>
      </c>
      <c r="E674" s="136">
        <f>IFERROR(__xludf.DUMMYFUNCTION("""COMPUTED_VALUE"""),51.0)</f>
        <v>51</v>
      </c>
      <c r="F674" s="136">
        <f>IFERROR(__xludf.DUMMYFUNCTION("""COMPUTED_VALUE"""),27.0)</f>
        <v>27</v>
      </c>
      <c r="G674" s="136">
        <f>IFERROR(__xludf.DUMMYFUNCTION("""COMPUTED_VALUE"""),24.0)</f>
        <v>24</v>
      </c>
      <c r="H674" s="137">
        <f>IFERROR(__xludf.DUMMYFUNCTION("""COMPUTED_VALUE"""),0.5294117647058824)</f>
        <v>0.5294117647</v>
      </c>
      <c r="I674" s="136">
        <f>IFERROR(__xludf.DUMMYFUNCTION("""COMPUTED_VALUE"""),10.0)</f>
        <v>10</v>
      </c>
      <c r="J674" s="136">
        <f>IFERROR(__xludf.DUMMYFUNCTION("""COMPUTED_VALUE"""),16903.0)</f>
        <v>16903</v>
      </c>
      <c r="K674" s="136">
        <f>IFERROR(__xludf.DUMMYFUNCTION("""COMPUTED_VALUE"""),46.0)</f>
        <v>46</v>
      </c>
      <c r="L674" s="136">
        <f>IFERROR(__xludf.DUMMYFUNCTION("""COMPUTED_VALUE"""),24.0)</f>
        <v>24</v>
      </c>
      <c r="M674" s="136">
        <f>IFERROR(__xludf.DUMMYFUNCTION("""COMPUTED_VALUE"""),40.0)</f>
        <v>40</v>
      </c>
      <c r="N674" s="136">
        <f>IFERROR(__xludf.DUMMYFUNCTION("""COMPUTED_VALUE"""),117.0)</f>
        <v>117</v>
      </c>
      <c r="O674" s="138">
        <f>IFERROR(__xludf.DUMMYFUNCTION("""COMPUTED_VALUE"""),4.0)</f>
        <v>4</v>
      </c>
      <c r="P674" s="138">
        <f>IFERROR(__xludf.DUMMYFUNCTION("""COMPUTED_VALUE"""),3.0)</f>
        <v>3</v>
      </c>
      <c r="Q674" s="138">
        <f>IFERROR(__xludf.DUMMYFUNCTION("""COMPUTED_VALUE"""),0.0)</f>
        <v>0</v>
      </c>
      <c r="R674" s="138">
        <f>IFERROR(__xludf.DUMMYFUNCTION("""COMPUTED_VALUE"""),3.0)</f>
        <v>3</v>
      </c>
      <c r="S674" s="139">
        <f>IFERROR(__xludf.DUMMYFUNCTION("""COMPUTED_VALUE"""),372.0)</f>
        <v>372</v>
      </c>
      <c r="T674" s="140">
        <f>IFERROR(__xludf.DUMMYFUNCTION("""COMPUTED_VALUE"""),114.0)</f>
        <v>114</v>
      </c>
      <c r="U674" s="136">
        <f>IFERROR(__xludf.DUMMYFUNCTION("""COMPUTED_VALUE"""),36.0)</f>
        <v>36</v>
      </c>
      <c r="V674" s="136">
        <f>IFERROR(__xludf.DUMMYFUNCTION("""COMPUTED_VALUE"""),23.0)</f>
        <v>23</v>
      </c>
      <c r="W674" s="136">
        <f>IFERROR(__xludf.DUMMYFUNCTION("""COMPUTED_VALUE"""),34.0)</f>
        <v>34</v>
      </c>
      <c r="X674" s="139">
        <f>IFERROR(__xludf.DUMMYFUNCTION("""COMPUTED_VALUE"""),300.3333333333333)</f>
        <v>300.3333333</v>
      </c>
      <c r="Y674" s="141">
        <f>IFERROR(__xludf.DUMMYFUNCTION("""COMPUTED_VALUE"""),54.78392156862744)</f>
        <v>54.78392157</v>
      </c>
      <c r="Z674" s="141">
        <f>IFERROR(__xludf.DUMMYFUNCTION("""COMPUTED_VALUE"""),1920.5686274509803)</f>
        <v>1920.568627</v>
      </c>
    </row>
    <row r="675">
      <c r="A675" s="41" t="str">
        <f>IFERROR(__xludf.DUMMYFUNCTION("""COMPUTED_VALUE"""),"Challenger")</f>
        <v>Challenger</v>
      </c>
      <c r="B675" s="41" t="str">
        <f>IFERROR(__xludf.DUMMYFUNCTION("""COMPUTED_VALUE"""),"RSC008195")</f>
        <v>RSC008195</v>
      </c>
      <c r="C675" s="41" t="str">
        <f>IFERROR(__xludf.DUMMYFUNCTION("""COMPUTED_VALUE"""),"Preaux.")</f>
        <v>Preaux.</v>
      </c>
      <c r="D675" s="41" t="str">
        <f>IFERROR(__xludf.DUMMYFUNCTION("""COMPUTED_VALUE"""),"Sirens")</f>
        <v>Sirens</v>
      </c>
      <c r="E675" s="136">
        <f>IFERROR(__xludf.DUMMYFUNCTION("""COMPUTED_VALUE"""),49.0)</f>
        <v>49</v>
      </c>
      <c r="F675" s="136">
        <f>IFERROR(__xludf.DUMMYFUNCTION("""COMPUTED_VALUE"""),20.0)</f>
        <v>20</v>
      </c>
      <c r="G675" s="136">
        <f>IFERROR(__xludf.DUMMYFUNCTION("""COMPUTED_VALUE"""),29.0)</f>
        <v>29</v>
      </c>
      <c r="H675" s="137">
        <f>IFERROR(__xludf.DUMMYFUNCTION("""COMPUTED_VALUE"""),0.40816326530612246)</f>
        <v>0.4081632653</v>
      </c>
      <c r="I675" s="136">
        <f>IFERROR(__xludf.DUMMYFUNCTION("""COMPUTED_VALUE"""),9.0)</f>
        <v>9</v>
      </c>
      <c r="J675" s="136">
        <f>IFERROR(__xludf.DUMMYFUNCTION("""COMPUTED_VALUE"""),17270.0)</f>
        <v>17270</v>
      </c>
      <c r="K675" s="136">
        <f>IFERROR(__xludf.DUMMYFUNCTION("""COMPUTED_VALUE"""),43.0)</f>
        <v>43</v>
      </c>
      <c r="L675" s="136">
        <f>IFERROR(__xludf.DUMMYFUNCTION("""COMPUTED_VALUE"""),21.0)</f>
        <v>21</v>
      </c>
      <c r="M675" s="136">
        <f>IFERROR(__xludf.DUMMYFUNCTION("""COMPUTED_VALUE"""),67.0)</f>
        <v>67</v>
      </c>
      <c r="N675" s="136">
        <f>IFERROR(__xludf.DUMMYFUNCTION("""COMPUTED_VALUE"""),106.0)</f>
        <v>106</v>
      </c>
      <c r="O675" s="138">
        <f>IFERROR(__xludf.DUMMYFUNCTION("""COMPUTED_VALUE"""),5.0)</f>
        <v>5</v>
      </c>
      <c r="P675" s="138">
        <f>IFERROR(__xludf.DUMMYFUNCTION("""COMPUTED_VALUE"""),5.0)</f>
        <v>5</v>
      </c>
      <c r="Q675" s="138">
        <f>IFERROR(__xludf.DUMMYFUNCTION("""COMPUTED_VALUE"""),0.0)</f>
        <v>0</v>
      </c>
      <c r="R675" s="138">
        <f>IFERROR(__xludf.DUMMYFUNCTION("""COMPUTED_VALUE"""),9.0)</f>
        <v>9</v>
      </c>
      <c r="S675" s="139">
        <f>IFERROR(__xludf.DUMMYFUNCTION("""COMPUTED_VALUE"""),391.0)</f>
        <v>391</v>
      </c>
      <c r="T675" s="140">
        <f>IFERROR(__xludf.DUMMYFUNCTION("""COMPUTED_VALUE"""),134.0)</f>
        <v>134</v>
      </c>
      <c r="U675" s="136">
        <f>IFERROR(__xludf.DUMMYFUNCTION("""COMPUTED_VALUE"""),43.0)</f>
        <v>43</v>
      </c>
      <c r="V675" s="136">
        <f>IFERROR(__xludf.DUMMYFUNCTION("""COMPUTED_VALUE"""),93.0)</f>
        <v>93</v>
      </c>
      <c r="W675" s="136">
        <f>IFERROR(__xludf.DUMMYFUNCTION("""COMPUTED_VALUE"""),46.0)</f>
        <v>46</v>
      </c>
      <c r="X675" s="136">
        <f>IFERROR(__xludf.DUMMYFUNCTION("""COMPUTED_VALUE"""),331.0612244897959)</f>
        <v>331.0612245</v>
      </c>
      <c r="Y675" s="141">
        <f>IFERROR(__xludf.DUMMYFUNCTION("""COMPUTED_VALUE"""),51.21673469387754)</f>
        <v>51.21673469</v>
      </c>
      <c r="Z675" s="141">
        <f>IFERROR(__xludf.DUMMYFUNCTION("""COMPUTED_VALUE"""),1947.3061224489795)</f>
        <v>1947.306122</v>
      </c>
    </row>
    <row r="676">
      <c r="A676" s="41" t="str">
        <f>IFERROR(__xludf.DUMMYFUNCTION("""COMPUTED_VALUE"""),"Elite")</f>
        <v>Elite</v>
      </c>
      <c r="B676" s="41" t="str">
        <f>IFERROR(__xludf.DUMMYFUNCTION("""COMPUTED_VALUE"""),"RSC008198")</f>
        <v>RSC008198</v>
      </c>
      <c r="C676" s="41" t="str">
        <f>IFERROR(__xludf.DUMMYFUNCTION("""COMPUTED_VALUE"""),"Taiyo")</f>
        <v>Taiyo</v>
      </c>
      <c r="D676" s="41" t="str">
        <f>IFERROR(__xludf.DUMMYFUNCTION("""COMPUTED_VALUE"""),"Fire")</f>
        <v>Fire</v>
      </c>
      <c r="E676" s="136">
        <f>IFERROR(__xludf.DUMMYFUNCTION("""COMPUTED_VALUE"""),52.0)</f>
        <v>52</v>
      </c>
      <c r="F676" s="136">
        <f>IFERROR(__xludf.DUMMYFUNCTION("""COMPUTED_VALUE"""),28.0)</f>
        <v>28</v>
      </c>
      <c r="G676" s="136">
        <f>IFERROR(__xludf.DUMMYFUNCTION("""COMPUTED_VALUE"""),24.0)</f>
        <v>24</v>
      </c>
      <c r="H676" s="137">
        <f>IFERROR(__xludf.DUMMYFUNCTION("""COMPUTED_VALUE"""),0.5384615384615384)</f>
        <v>0.5384615385</v>
      </c>
      <c r="I676" s="136">
        <f>IFERROR(__xludf.DUMMYFUNCTION("""COMPUTED_VALUE"""),9.0)</f>
        <v>9</v>
      </c>
      <c r="J676" s="136">
        <f>IFERROR(__xludf.DUMMYFUNCTION("""COMPUTED_VALUE"""),19120.0)</f>
        <v>19120</v>
      </c>
      <c r="K676" s="136">
        <f>IFERROR(__xludf.DUMMYFUNCTION("""COMPUTED_VALUE"""),46.0)</f>
        <v>46</v>
      </c>
      <c r="L676" s="136">
        <f>IFERROR(__xludf.DUMMYFUNCTION("""COMPUTED_VALUE"""),27.0)</f>
        <v>27</v>
      </c>
      <c r="M676" s="136">
        <f>IFERROR(__xludf.DUMMYFUNCTION("""COMPUTED_VALUE"""),68.0)</f>
        <v>68</v>
      </c>
      <c r="N676" s="136">
        <f>IFERROR(__xludf.DUMMYFUNCTION("""COMPUTED_VALUE"""),146.0)</f>
        <v>146</v>
      </c>
      <c r="O676" s="138">
        <f>IFERROR(__xludf.DUMMYFUNCTION("""COMPUTED_VALUE"""),12.0)</f>
        <v>12</v>
      </c>
      <c r="P676" s="138">
        <f>IFERROR(__xludf.DUMMYFUNCTION("""COMPUTED_VALUE"""),4.0)</f>
        <v>4</v>
      </c>
      <c r="Q676" s="138">
        <f>IFERROR(__xludf.DUMMYFUNCTION("""COMPUTED_VALUE"""),0.0)</f>
        <v>0</v>
      </c>
      <c r="R676" s="138">
        <f>IFERROR(__xludf.DUMMYFUNCTION("""COMPUTED_VALUE"""),5.0)</f>
        <v>5</v>
      </c>
      <c r="S676" s="139">
        <f>IFERROR(__xludf.DUMMYFUNCTION("""COMPUTED_VALUE"""),448.0)</f>
        <v>448</v>
      </c>
      <c r="T676" s="140">
        <f>IFERROR(__xludf.DUMMYFUNCTION("""COMPUTED_VALUE"""),107.0)</f>
        <v>107</v>
      </c>
      <c r="U676" s="136">
        <f>IFERROR(__xludf.DUMMYFUNCTION("""COMPUTED_VALUE"""),34.0)</f>
        <v>34</v>
      </c>
      <c r="V676" s="136">
        <f>IFERROR(__xludf.DUMMYFUNCTION("""COMPUTED_VALUE"""),54.0)</f>
        <v>54</v>
      </c>
      <c r="W676" s="136">
        <f>IFERROR(__xludf.DUMMYFUNCTION("""COMPUTED_VALUE"""),68.0)</f>
        <v>68</v>
      </c>
      <c r="X676" s="136">
        <f>IFERROR(__xludf.DUMMYFUNCTION("""COMPUTED_VALUE"""),374.59615384615387)</f>
        <v>374.5961538</v>
      </c>
      <c r="Y676" s="141">
        <f>IFERROR(__xludf.DUMMYFUNCTION("""COMPUTED_VALUE"""),50.711923076923085)</f>
        <v>50.71192308</v>
      </c>
      <c r="Z676" s="141">
        <f>IFERROR(__xludf.DUMMYFUNCTION("""COMPUTED_VALUE"""),2260.2115384615386)</f>
        <v>2260.211538</v>
      </c>
    </row>
    <row r="677">
      <c r="A677" s="41" t="str">
        <f>IFERROR(__xludf.DUMMYFUNCTION("""COMPUTED_VALUE"""),"Elite")</f>
        <v>Elite</v>
      </c>
      <c r="B677" s="41" t="str">
        <f>IFERROR(__xludf.DUMMYFUNCTION("""COMPUTED_VALUE"""),"RSC008200")</f>
        <v>RSC008200</v>
      </c>
      <c r="C677" s="41" t="str">
        <f>IFERROR(__xludf.DUMMYFUNCTION("""COMPUTED_VALUE"""),"Cloudburst")</f>
        <v>Cloudburst</v>
      </c>
      <c r="D677" s="41" t="str">
        <f>IFERROR(__xludf.DUMMYFUNCTION("""COMPUTED_VALUE"""),"Krakens")</f>
        <v>Krakens</v>
      </c>
      <c r="E677" s="136">
        <f>IFERROR(__xludf.DUMMYFUNCTION("""COMPUTED_VALUE"""),47.0)</f>
        <v>47</v>
      </c>
      <c r="F677" s="136">
        <f>IFERROR(__xludf.DUMMYFUNCTION("""COMPUTED_VALUE"""),15.0)</f>
        <v>15</v>
      </c>
      <c r="G677" s="136">
        <f>IFERROR(__xludf.DUMMYFUNCTION("""COMPUTED_VALUE"""),32.0)</f>
        <v>32</v>
      </c>
      <c r="H677" s="137">
        <f>IFERROR(__xludf.DUMMYFUNCTION("""COMPUTED_VALUE"""),0.3191489361702128)</f>
        <v>0.3191489362</v>
      </c>
      <c r="I677" s="136">
        <f>IFERROR(__xludf.DUMMYFUNCTION("""COMPUTED_VALUE"""),6.0)</f>
        <v>6</v>
      </c>
      <c r="J677" s="136">
        <f>IFERROR(__xludf.DUMMYFUNCTION("""COMPUTED_VALUE"""),17211.0)</f>
        <v>17211</v>
      </c>
      <c r="K677" s="136">
        <f>IFERROR(__xludf.DUMMYFUNCTION("""COMPUTED_VALUE"""),38.0)</f>
        <v>38</v>
      </c>
      <c r="L677" s="136">
        <f>IFERROR(__xludf.DUMMYFUNCTION("""COMPUTED_VALUE"""),21.0)</f>
        <v>21</v>
      </c>
      <c r="M677" s="136">
        <f>IFERROR(__xludf.DUMMYFUNCTION("""COMPUTED_VALUE"""),69.0)</f>
        <v>69</v>
      </c>
      <c r="N677" s="136">
        <f>IFERROR(__xludf.DUMMYFUNCTION("""COMPUTED_VALUE"""),131.0)</f>
        <v>131</v>
      </c>
      <c r="O677" s="138">
        <f>IFERROR(__xludf.DUMMYFUNCTION("""COMPUTED_VALUE"""),12.0)</f>
        <v>12</v>
      </c>
      <c r="P677" s="138">
        <f>IFERROR(__xludf.DUMMYFUNCTION("""COMPUTED_VALUE"""),0.0)</f>
        <v>0</v>
      </c>
      <c r="Q677" s="138">
        <f>IFERROR(__xludf.DUMMYFUNCTION("""COMPUTED_VALUE"""),0.0)</f>
        <v>0</v>
      </c>
      <c r="R677" s="138">
        <f>IFERROR(__xludf.DUMMYFUNCTION("""COMPUTED_VALUE"""),8.0)</f>
        <v>8</v>
      </c>
      <c r="S677" s="139">
        <f>IFERROR(__xludf.DUMMYFUNCTION("""COMPUTED_VALUE"""),423.0)</f>
        <v>423</v>
      </c>
      <c r="T677" s="140">
        <f>IFERROR(__xludf.DUMMYFUNCTION("""COMPUTED_VALUE"""),144.0)</f>
        <v>144</v>
      </c>
      <c r="U677" s="136">
        <f>IFERROR(__xludf.DUMMYFUNCTION("""COMPUTED_VALUE"""),44.0)</f>
        <v>44</v>
      </c>
      <c r="V677" s="136">
        <f>IFERROR(__xludf.DUMMYFUNCTION("""COMPUTED_VALUE"""),49.0)</f>
        <v>49</v>
      </c>
      <c r="W677" s="136">
        <f>IFERROR(__xludf.DUMMYFUNCTION("""COMPUTED_VALUE"""),55.0)</f>
        <v>55</v>
      </c>
      <c r="X677" s="136">
        <f>IFERROR(__xludf.DUMMYFUNCTION("""COMPUTED_VALUE"""),434.3404255319149)</f>
        <v>434.3404255</v>
      </c>
      <c r="Y677" s="141">
        <f>IFERROR(__xludf.DUMMYFUNCTION("""COMPUTED_VALUE"""),47.267659574468084)</f>
        <v>47.26765957</v>
      </c>
      <c r="Z677" s="141">
        <f>IFERROR(__xludf.DUMMYFUNCTION("""COMPUTED_VALUE"""),2642.7872340425533)</f>
        <v>2642.787234</v>
      </c>
    </row>
    <row r="678">
      <c r="A678" s="41" t="str">
        <f>IFERROR(__xludf.DUMMYFUNCTION("""COMPUTED_VALUE"""),"Amateur")</f>
        <v>Amateur</v>
      </c>
      <c r="B678" s="41" t="str">
        <f>IFERROR(__xludf.DUMMYFUNCTION("""COMPUTED_VALUE"""),"RSC008201")</f>
        <v>RSC008201</v>
      </c>
      <c r="C678" s="41" t="str">
        <f>IFERROR(__xludf.DUMMYFUNCTION("""COMPUTED_VALUE"""),"CatalystNEMO")</f>
        <v>CatalystNEMO</v>
      </c>
      <c r="D678" s="41" t="str">
        <f>IFERROR(__xludf.DUMMYFUNCTION("""COMPUTED_VALUE"""),"Bombers")</f>
        <v>Bombers</v>
      </c>
      <c r="E678" s="136">
        <f>IFERROR(__xludf.DUMMYFUNCTION("""COMPUTED_VALUE"""),4.0)</f>
        <v>4</v>
      </c>
      <c r="F678" s="136">
        <f>IFERROR(__xludf.DUMMYFUNCTION("""COMPUTED_VALUE"""),3.0)</f>
        <v>3</v>
      </c>
      <c r="G678" s="136">
        <f>IFERROR(__xludf.DUMMYFUNCTION("""COMPUTED_VALUE"""),1.0)</f>
        <v>1</v>
      </c>
      <c r="H678" s="137">
        <f>IFERROR(__xludf.DUMMYFUNCTION("""COMPUTED_VALUE"""),0.75)</f>
        <v>0.75</v>
      </c>
      <c r="I678" s="136">
        <f>IFERROR(__xludf.DUMMYFUNCTION("""COMPUTED_VALUE"""),2.0)</f>
        <v>2</v>
      </c>
      <c r="J678" s="136">
        <f>IFERROR(__xludf.DUMMYFUNCTION("""COMPUTED_VALUE"""),1760.0)</f>
        <v>1760</v>
      </c>
      <c r="K678" s="136">
        <f>IFERROR(__xludf.DUMMYFUNCTION("""COMPUTED_VALUE"""),6.0)</f>
        <v>6</v>
      </c>
      <c r="L678" s="136">
        <f>IFERROR(__xludf.DUMMYFUNCTION("""COMPUTED_VALUE"""),5.0)</f>
        <v>5</v>
      </c>
      <c r="M678" s="136">
        <f>IFERROR(__xludf.DUMMYFUNCTION("""COMPUTED_VALUE"""),3.0)</f>
        <v>3</v>
      </c>
      <c r="N678" s="136">
        <f>IFERROR(__xludf.DUMMYFUNCTION("""COMPUTED_VALUE"""),16.0)</f>
        <v>16</v>
      </c>
      <c r="O678" s="138">
        <f>IFERROR(__xludf.DUMMYFUNCTION("""COMPUTED_VALUE"""),2.0)</f>
        <v>2</v>
      </c>
      <c r="P678" s="138">
        <f>IFERROR(__xludf.DUMMYFUNCTION("""COMPUTED_VALUE"""),0.0)</f>
        <v>0</v>
      </c>
      <c r="Q678" s="138">
        <f>IFERROR(__xludf.DUMMYFUNCTION("""COMPUTED_VALUE"""),0.0)</f>
        <v>0</v>
      </c>
      <c r="R678" s="138">
        <f>IFERROR(__xludf.DUMMYFUNCTION("""COMPUTED_VALUE"""),0.0)</f>
        <v>0</v>
      </c>
      <c r="S678" s="139">
        <f>IFERROR(__xludf.DUMMYFUNCTION("""COMPUTED_VALUE"""),20.0)</f>
        <v>20</v>
      </c>
      <c r="T678" s="140">
        <f>IFERROR(__xludf.DUMMYFUNCTION("""COMPUTED_VALUE"""),7.0)</f>
        <v>7</v>
      </c>
      <c r="U678" s="136">
        <f>IFERROR(__xludf.DUMMYFUNCTION("""COMPUTED_VALUE"""),2.0)</f>
        <v>2</v>
      </c>
      <c r="V678" s="136">
        <f>IFERROR(__xludf.DUMMYFUNCTION("""COMPUTED_VALUE"""),2.0)</f>
        <v>2</v>
      </c>
      <c r="W678" s="136">
        <f>IFERROR(__xludf.DUMMYFUNCTION("""COMPUTED_VALUE"""),5.0)</f>
        <v>5</v>
      </c>
      <c r="X678" s="139">
        <f>IFERROR(__xludf.DUMMYFUNCTION("""COMPUTED_VALUE"""),352.5)</f>
        <v>352.5</v>
      </c>
      <c r="Y678" s="141">
        <f>IFERROR(__xludf.DUMMYFUNCTION("""COMPUTED_VALUE"""),45.4275)</f>
        <v>45.4275</v>
      </c>
      <c r="Z678" s="141">
        <f>IFERROR(__xludf.DUMMYFUNCTION("""COMPUTED_VALUE"""),2017.5)</f>
        <v>2017.5</v>
      </c>
    </row>
    <row r="679">
      <c r="A679" s="41" t="str">
        <f>IFERROR(__xludf.DUMMYFUNCTION("""COMPUTED_VALUE"""),"Veteran")</f>
        <v>Veteran</v>
      </c>
      <c r="B679" s="41" t="str">
        <f>IFERROR(__xludf.DUMMYFUNCTION("""COMPUTED_VALUE"""),"RSC008211")</f>
        <v>RSC008211</v>
      </c>
      <c r="C679" s="41" t="str">
        <f>IFERROR(__xludf.DUMMYFUNCTION("""COMPUTED_VALUE"""),"Astro-HxIIFire")</f>
        <v>Astro-HxIIFire</v>
      </c>
      <c r="D679" s="41" t="str">
        <f>IFERROR(__xludf.DUMMYFUNCTION("""COMPUTED_VALUE"""),"Legati")</f>
        <v>Legati</v>
      </c>
      <c r="E679" s="136">
        <f>IFERROR(__xludf.DUMMYFUNCTION("""COMPUTED_VALUE"""),7.0)</f>
        <v>7</v>
      </c>
      <c r="F679" s="136">
        <f>IFERROR(__xludf.DUMMYFUNCTION("""COMPUTED_VALUE"""),2.0)</f>
        <v>2</v>
      </c>
      <c r="G679" s="136">
        <f>IFERROR(__xludf.DUMMYFUNCTION("""COMPUTED_VALUE"""),5.0)</f>
        <v>5</v>
      </c>
      <c r="H679" s="137">
        <f>IFERROR(__xludf.DUMMYFUNCTION("""COMPUTED_VALUE"""),0.2857142857142857)</f>
        <v>0.2857142857</v>
      </c>
      <c r="I679" s="136">
        <f>IFERROR(__xludf.DUMMYFUNCTION("""COMPUTED_VALUE"""),1.0)</f>
        <v>1</v>
      </c>
      <c r="J679" s="136">
        <f>IFERROR(__xludf.DUMMYFUNCTION("""COMPUTED_VALUE"""),2221.0)</f>
        <v>2221</v>
      </c>
      <c r="K679" s="136">
        <f>IFERROR(__xludf.DUMMYFUNCTION("""COMPUTED_VALUE"""),6.0)</f>
        <v>6</v>
      </c>
      <c r="L679" s="136">
        <f>IFERROR(__xludf.DUMMYFUNCTION("""COMPUTED_VALUE"""),2.0)</f>
        <v>2</v>
      </c>
      <c r="M679" s="136">
        <f>IFERROR(__xludf.DUMMYFUNCTION("""COMPUTED_VALUE"""),9.0)</f>
        <v>9</v>
      </c>
      <c r="N679" s="136">
        <f>IFERROR(__xludf.DUMMYFUNCTION("""COMPUTED_VALUE"""),17.0)</f>
        <v>17</v>
      </c>
      <c r="O679" s="138">
        <f>IFERROR(__xludf.DUMMYFUNCTION("""COMPUTED_VALUE"""),2.0)</f>
        <v>2</v>
      </c>
      <c r="P679" s="138">
        <f>IFERROR(__xludf.DUMMYFUNCTION("""COMPUTED_VALUE"""),0.0)</f>
        <v>0</v>
      </c>
      <c r="Q679" s="138">
        <f>IFERROR(__xludf.DUMMYFUNCTION("""COMPUTED_VALUE"""),0.0)</f>
        <v>0</v>
      </c>
      <c r="R679" s="138">
        <f>IFERROR(__xludf.DUMMYFUNCTION("""COMPUTED_VALUE"""),1.0)</f>
        <v>1</v>
      </c>
      <c r="S679" s="139">
        <f>IFERROR(__xludf.DUMMYFUNCTION("""COMPUTED_VALUE"""),50.0)</f>
        <v>50</v>
      </c>
      <c r="T679" s="140">
        <f>IFERROR(__xludf.DUMMYFUNCTION("""COMPUTED_VALUE"""),25.0)</f>
        <v>25</v>
      </c>
      <c r="U679" s="136">
        <f>IFERROR(__xludf.DUMMYFUNCTION("""COMPUTED_VALUE"""),10.0)</f>
        <v>10</v>
      </c>
      <c r="V679" s="136">
        <f>IFERROR(__xludf.DUMMYFUNCTION("""COMPUTED_VALUE"""),6.0)</f>
        <v>6</v>
      </c>
      <c r="W679" s="136">
        <f>IFERROR(__xludf.DUMMYFUNCTION("""COMPUTED_VALUE"""),9.0)</f>
        <v>9</v>
      </c>
      <c r="X679" s="136">
        <f>IFERROR(__xludf.DUMMYFUNCTION("""COMPUTED_VALUE"""),444.57142857142856)</f>
        <v>444.5714286</v>
      </c>
      <c r="Y679" s="141">
        <f>IFERROR(__xludf.DUMMYFUNCTION("""COMPUTED_VALUE"""),46.98428571428571)</f>
        <v>46.98428571</v>
      </c>
      <c r="Z679" s="141">
        <f>IFERROR(__xludf.DUMMYFUNCTION("""COMPUTED_VALUE"""),2670.5714285714284)</f>
        <v>2670.571429</v>
      </c>
    </row>
    <row r="680">
      <c r="A680" s="41" t="str">
        <f>IFERROR(__xludf.DUMMYFUNCTION("""COMPUTED_VALUE"""),"Amateur")</f>
        <v>Amateur</v>
      </c>
      <c r="B680" s="41" t="str">
        <f>IFERROR(__xludf.DUMMYFUNCTION("""COMPUTED_VALUE"""),"RSC008213")</f>
        <v>RSC008213</v>
      </c>
      <c r="C680" s="41" t="str">
        <f>IFERROR(__xludf.DUMMYFUNCTION("""COMPUTED_VALUE"""),"SeargD")</f>
        <v>SeargD</v>
      </c>
      <c r="D680" s="41" t="str">
        <f>IFERROR(__xludf.DUMMYFUNCTION("""COMPUTED_VALUE"""),"Legionaries")</f>
        <v>Legionaries</v>
      </c>
      <c r="E680" s="136">
        <f>IFERROR(__xludf.DUMMYFUNCTION("""COMPUTED_VALUE"""),40.0)</f>
        <v>40</v>
      </c>
      <c r="F680" s="136">
        <f>IFERROR(__xludf.DUMMYFUNCTION("""COMPUTED_VALUE"""),9.0)</f>
        <v>9</v>
      </c>
      <c r="G680" s="136">
        <f>IFERROR(__xludf.DUMMYFUNCTION("""COMPUTED_VALUE"""),31.0)</f>
        <v>31</v>
      </c>
      <c r="H680" s="137">
        <f>IFERROR(__xludf.DUMMYFUNCTION("""COMPUTED_VALUE"""),0.225)</f>
        <v>0.225</v>
      </c>
      <c r="I680" s="136">
        <f>IFERROR(__xludf.DUMMYFUNCTION("""COMPUTED_VALUE"""),2.0)</f>
        <v>2</v>
      </c>
      <c r="J680" s="136">
        <f>IFERROR(__xludf.DUMMYFUNCTION("""COMPUTED_VALUE"""),9586.0)</f>
        <v>9586</v>
      </c>
      <c r="K680" s="136">
        <f>IFERROR(__xludf.DUMMYFUNCTION("""COMPUTED_VALUE"""),18.0)</f>
        <v>18</v>
      </c>
      <c r="L680" s="136">
        <f>IFERROR(__xludf.DUMMYFUNCTION("""COMPUTED_VALUE"""),12.0)</f>
        <v>12</v>
      </c>
      <c r="M680" s="136">
        <f>IFERROR(__xludf.DUMMYFUNCTION("""COMPUTED_VALUE"""),35.0)</f>
        <v>35</v>
      </c>
      <c r="N680" s="136">
        <f>IFERROR(__xludf.DUMMYFUNCTION("""COMPUTED_VALUE"""),59.0)</f>
        <v>59</v>
      </c>
      <c r="O680" s="138">
        <f>IFERROR(__xludf.DUMMYFUNCTION("""COMPUTED_VALUE"""),2.0)</f>
        <v>2</v>
      </c>
      <c r="P680" s="138">
        <f>IFERROR(__xludf.DUMMYFUNCTION("""COMPUTED_VALUE"""),0.0)</f>
        <v>0</v>
      </c>
      <c r="Q680" s="138">
        <f>IFERROR(__xludf.DUMMYFUNCTION("""COMPUTED_VALUE"""),0.0)</f>
        <v>0</v>
      </c>
      <c r="R680" s="138">
        <f>IFERROR(__xludf.DUMMYFUNCTION("""COMPUTED_VALUE"""),3.0)</f>
        <v>3</v>
      </c>
      <c r="S680" s="139">
        <f>IFERROR(__xludf.DUMMYFUNCTION("""COMPUTED_VALUE"""),317.0)</f>
        <v>317</v>
      </c>
      <c r="T680" s="140">
        <f>IFERROR(__xludf.DUMMYFUNCTION("""COMPUTED_VALUE"""),119.0)</f>
        <v>119</v>
      </c>
      <c r="U680" s="136">
        <f>IFERROR(__xludf.DUMMYFUNCTION("""COMPUTED_VALUE"""),31.0)</f>
        <v>31</v>
      </c>
      <c r="V680" s="136">
        <f>IFERROR(__xludf.DUMMYFUNCTION("""COMPUTED_VALUE"""),17.0)</f>
        <v>17</v>
      </c>
      <c r="W680" s="136">
        <f>IFERROR(__xludf.DUMMYFUNCTION("""COMPUTED_VALUE"""),34.0)</f>
        <v>34</v>
      </c>
      <c r="X680" s="139">
        <f>IFERROR(__xludf.DUMMYFUNCTION("""COMPUTED_VALUE"""),321.325)</f>
        <v>321.325</v>
      </c>
      <c r="Y680" s="141">
        <f>IFERROR(__xludf.DUMMYFUNCTION("""COMPUTED_VALUE"""),49.10349999999999)</f>
        <v>49.1035</v>
      </c>
      <c r="Z680" s="141">
        <f>IFERROR(__xludf.DUMMYFUNCTION("""COMPUTED_VALUE"""),1820.825)</f>
        <v>1820.825</v>
      </c>
    </row>
    <row r="681">
      <c r="A681" s="41" t="str">
        <f>IFERROR(__xludf.DUMMYFUNCTION("""COMPUTED_VALUE"""),"Challenger")</f>
        <v>Challenger</v>
      </c>
      <c r="B681" s="41" t="str">
        <f>IFERROR(__xludf.DUMMYFUNCTION("""COMPUTED_VALUE"""),"RSC008216")</f>
        <v>RSC008216</v>
      </c>
      <c r="C681" s="41" t="str">
        <f>IFERROR(__xludf.DUMMYFUNCTION("""COMPUTED_VALUE"""),"oBlueyRL")</f>
        <v>oBlueyRL</v>
      </c>
      <c r="D681" s="41" t="str">
        <f>IFERROR(__xludf.DUMMYFUNCTION("""COMPUTED_VALUE"""),"Warbirds")</f>
        <v>Warbirds</v>
      </c>
      <c r="E681" s="136">
        <f>IFERROR(__xludf.DUMMYFUNCTION("""COMPUTED_VALUE"""),19.0)</f>
        <v>19</v>
      </c>
      <c r="F681" s="136">
        <f>IFERROR(__xludf.DUMMYFUNCTION("""COMPUTED_VALUE"""),10.0)</f>
        <v>10</v>
      </c>
      <c r="G681" s="136">
        <f>IFERROR(__xludf.DUMMYFUNCTION("""COMPUTED_VALUE"""),9.0)</f>
        <v>9</v>
      </c>
      <c r="H681" s="137">
        <f>IFERROR(__xludf.DUMMYFUNCTION("""COMPUTED_VALUE"""),0.5263157894736842)</f>
        <v>0.5263157895</v>
      </c>
      <c r="I681" s="136">
        <f>IFERROR(__xludf.DUMMYFUNCTION("""COMPUTED_VALUE"""),0.0)</f>
        <v>0</v>
      </c>
      <c r="J681" s="136">
        <f>IFERROR(__xludf.DUMMYFUNCTION("""COMPUTED_VALUE"""),6255.0)</f>
        <v>6255</v>
      </c>
      <c r="K681" s="136">
        <f>IFERROR(__xludf.DUMMYFUNCTION("""COMPUTED_VALUE"""),13.0)</f>
        <v>13</v>
      </c>
      <c r="L681" s="136">
        <f>IFERROR(__xludf.DUMMYFUNCTION("""COMPUTED_VALUE"""),16.0)</f>
        <v>16</v>
      </c>
      <c r="M681" s="136">
        <f>IFERROR(__xludf.DUMMYFUNCTION("""COMPUTED_VALUE"""),19.0)</f>
        <v>19</v>
      </c>
      <c r="N681" s="136">
        <f>IFERROR(__xludf.DUMMYFUNCTION("""COMPUTED_VALUE"""),52.0)</f>
        <v>52</v>
      </c>
      <c r="O681" s="138">
        <f>IFERROR(__xludf.DUMMYFUNCTION("""COMPUTED_VALUE"""),2.0)</f>
        <v>2</v>
      </c>
      <c r="P681" s="138">
        <f>IFERROR(__xludf.DUMMYFUNCTION("""COMPUTED_VALUE"""),0.0)</f>
        <v>0</v>
      </c>
      <c r="Q681" s="138">
        <f>IFERROR(__xludf.DUMMYFUNCTION("""COMPUTED_VALUE"""),0.0)</f>
        <v>0</v>
      </c>
      <c r="R681" s="138">
        <f>IFERROR(__xludf.DUMMYFUNCTION("""COMPUTED_VALUE"""),1.0)</f>
        <v>1</v>
      </c>
      <c r="S681" s="139">
        <f>IFERROR(__xludf.DUMMYFUNCTION("""COMPUTED_VALUE"""),153.0)</f>
        <v>153</v>
      </c>
      <c r="T681" s="140">
        <f>IFERROR(__xludf.DUMMYFUNCTION("""COMPUTED_VALUE"""),43.0)</f>
        <v>43</v>
      </c>
      <c r="U681" s="136">
        <f>IFERROR(__xludf.DUMMYFUNCTION("""COMPUTED_VALUE"""),13.0)</f>
        <v>13</v>
      </c>
      <c r="V681" s="136">
        <f>IFERROR(__xludf.DUMMYFUNCTION("""COMPUTED_VALUE"""),12.0)</f>
        <v>12</v>
      </c>
      <c r="W681" s="136">
        <f>IFERROR(__xludf.DUMMYFUNCTION("""COMPUTED_VALUE"""),24.0)</f>
        <v>24</v>
      </c>
      <c r="X681" s="136">
        <f>IFERROR(__xludf.DUMMYFUNCTION("""COMPUTED_VALUE"""),260.7368421052632)</f>
        <v>260.7368421</v>
      </c>
      <c r="Y681" s="141">
        <f>IFERROR(__xludf.DUMMYFUNCTION("""COMPUTED_VALUE"""),53.32052631578947)</f>
        <v>53.32052632</v>
      </c>
      <c r="Z681" s="141">
        <f>IFERROR(__xludf.DUMMYFUNCTION("""COMPUTED_VALUE"""),1702.578947368421)</f>
        <v>1702.578947</v>
      </c>
    </row>
    <row r="682">
      <c r="A682" s="41" t="str">
        <f>IFERROR(__xludf.DUMMYFUNCTION("""COMPUTED_VALUE"""),"Rival")</f>
        <v>Rival</v>
      </c>
      <c r="B682" s="41" t="str">
        <f>IFERROR(__xludf.DUMMYFUNCTION("""COMPUTED_VALUE"""),"RSC008217")</f>
        <v>RSC008217</v>
      </c>
      <c r="C682" s="41" t="str">
        <f>IFERROR(__xludf.DUMMYFUNCTION("""COMPUTED_VALUE"""),"Legitmrmouse")</f>
        <v>Legitmrmouse</v>
      </c>
      <c r="D682" s="41" t="str">
        <f>IFERROR(__xludf.DUMMYFUNCTION("""COMPUTED_VALUE"""),"Polar Bears")</f>
        <v>Polar Bears</v>
      </c>
      <c r="E682" s="136">
        <f>IFERROR(__xludf.DUMMYFUNCTION("""COMPUTED_VALUE"""),53.0)</f>
        <v>53</v>
      </c>
      <c r="F682" s="136">
        <f>IFERROR(__xludf.DUMMYFUNCTION("""COMPUTED_VALUE"""),28.0)</f>
        <v>28</v>
      </c>
      <c r="G682" s="136">
        <f>IFERROR(__xludf.DUMMYFUNCTION("""COMPUTED_VALUE"""),25.0)</f>
        <v>25</v>
      </c>
      <c r="H682" s="137">
        <f>IFERROR(__xludf.DUMMYFUNCTION("""COMPUTED_VALUE"""),0.5283018867924528)</f>
        <v>0.5283018868</v>
      </c>
      <c r="I682" s="136">
        <f>IFERROR(__xludf.DUMMYFUNCTION("""COMPUTED_VALUE"""),11.0)</f>
        <v>11</v>
      </c>
      <c r="J682" s="136">
        <f>IFERROR(__xludf.DUMMYFUNCTION("""COMPUTED_VALUE"""),21685.0)</f>
        <v>21685</v>
      </c>
      <c r="K682" s="136">
        <f>IFERROR(__xludf.DUMMYFUNCTION("""COMPUTED_VALUE"""),43.0)</f>
        <v>43</v>
      </c>
      <c r="L682" s="136">
        <f>IFERROR(__xludf.DUMMYFUNCTION("""COMPUTED_VALUE"""),28.0)</f>
        <v>28</v>
      </c>
      <c r="M682" s="136">
        <f>IFERROR(__xludf.DUMMYFUNCTION("""COMPUTED_VALUE"""),108.0)</f>
        <v>108</v>
      </c>
      <c r="N682" s="136">
        <f>IFERROR(__xludf.DUMMYFUNCTION("""COMPUTED_VALUE"""),126.0)</f>
        <v>126</v>
      </c>
      <c r="O682" s="138">
        <f>IFERROR(__xludf.DUMMYFUNCTION("""COMPUTED_VALUE"""),12.0)</f>
        <v>12</v>
      </c>
      <c r="P682" s="138">
        <f>IFERROR(__xludf.DUMMYFUNCTION("""COMPUTED_VALUE"""),3.0)</f>
        <v>3</v>
      </c>
      <c r="Q682" s="138">
        <f>IFERROR(__xludf.DUMMYFUNCTION("""COMPUTED_VALUE"""),1.0)</f>
        <v>1</v>
      </c>
      <c r="R682" s="138">
        <f>IFERROR(__xludf.DUMMYFUNCTION("""COMPUTED_VALUE"""),15.0)</f>
        <v>15</v>
      </c>
      <c r="S682" s="139">
        <f>IFERROR(__xludf.DUMMYFUNCTION("""COMPUTED_VALUE"""),461.0)</f>
        <v>461</v>
      </c>
      <c r="T682" s="140">
        <f>IFERROR(__xludf.DUMMYFUNCTION("""COMPUTED_VALUE"""),123.0)</f>
        <v>123</v>
      </c>
      <c r="U682" s="136">
        <f>IFERROR(__xludf.DUMMYFUNCTION("""COMPUTED_VALUE"""),50.0)</f>
        <v>50</v>
      </c>
      <c r="V682" s="136">
        <f>IFERROR(__xludf.DUMMYFUNCTION("""COMPUTED_VALUE"""),49.0)</f>
        <v>49</v>
      </c>
      <c r="W682" s="136">
        <f>IFERROR(__xludf.DUMMYFUNCTION("""COMPUTED_VALUE"""),36.0)</f>
        <v>36</v>
      </c>
      <c r="X682" s="136">
        <f>IFERROR(__xludf.DUMMYFUNCTION("""COMPUTED_VALUE"""),358.35849056603774)</f>
        <v>358.3584906</v>
      </c>
      <c r="Y682" s="141">
        <f>IFERROR(__xludf.DUMMYFUNCTION("""COMPUTED_VALUE"""),55.47905660377357)</f>
        <v>55.4790566</v>
      </c>
      <c r="Z682" s="141">
        <f>IFERROR(__xludf.DUMMYFUNCTION("""COMPUTED_VALUE"""),2188.6792452830186)</f>
        <v>2188.679245</v>
      </c>
    </row>
    <row r="683">
      <c r="A683" s="41" t="str">
        <f>IFERROR(__xludf.DUMMYFUNCTION("""COMPUTED_VALUE"""),"Challenger")</f>
        <v>Challenger</v>
      </c>
      <c r="B683" s="41" t="str">
        <f>IFERROR(__xludf.DUMMYFUNCTION("""COMPUTED_VALUE"""),"RSC008218")</f>
        <v>RSC008218</v>
      </c>
      <c r="C683" s="41" t="str">
        <f>IFERROR(__xludf.DUMMYFUNCTION("""COMPUTED_VALUE"""),"Korrello")</f>
        <v>Korrello</v>
      </c>
      <c r="D683" s="41" t="str">
        <f>IFERROR(__xludf.DUMMYFUNCTION("""COMPUTED_VALUE"""),"Glaciers")</f>
        <v>Glaciers</v>
      </c>
      <c r="E683" s="136">
        <f>IFERROR(__xludf.DUMMYFUNCTION("""COMPUTED_VALUE"""),30.0)</f>
        <v>30</v>
      </c>
      <c r="F683" s="136">
        <f>IFERROR(__xludf.DUMMYFUNCTION("""COMPUTED_VALUE"""),17.0)</f>
        <v>17</v>
      </c>
      <c r="G683" s="136">
        <f>IFERROR(__xludf.DUMMYFUNCTION("""COMPUTED_VALUE"""),13.0)</f>
        <v>13</v>
      </c>
      <c r="H683" s="137">
        <f>IFERROR(__xludf.DUMMYFUNCTION("""COMPUTED_VALUE"""),0.5666666666666667)</f>
        <v>0.5666666667</v>
      </c>
      <c r="I683" s="136">
        <f>IFERROR(__xludf.DUMMYFUNCTION("""COMPUTED_VALUE"""),4.0)</f>
        <v>4</v>
      </c>
      <c r="J683" s="136">
        <f>IFERROR(__xludf.DUMMYFUNCTION("""COMPUTED_VALUE"""),8473.0)</f>
        <v>8473</v>
      </c>
      <c r="K683" s="136">
        <f>IFERROR(__xludf.DUMMYFUNCTION("""COMPUTED_VALUE"""),24.0)</f>
        <v>24</v>
      </c>
      <c r="L683" s="136">
        <f>IFERROR(__xludf.DUMMYFUNCTION("""COMPUTED_VALUE"""),14.0)</f>
        <v>14</v>
      </c>
      <c r="M683" s="136">
        <f>IFERROR(__xludf.DUMMYFUNCTION("""COMPUTED_VALUE"""),34.0)</f>
        <v>34</v>
      </c>
      <c r="N683" s="136">
        <f>IFERROR(__xludf.DUMMYFUNCTION("""COMPUTED_VALUE"""),59.0)</f>
        <v>59</v>
      </c>
      <c r="O683" s="138">
        <f>IFERROR(__xludf.DUMMYFUNCTION("""COMPUTED_VALUE"""),4.0)</f>
        <v>4</v>
      </c>
      <c r="P683" s="138">
        <f>IFERROR(__xludf.DUMMYFUNCTION("""COMPUTED_VALUE"""),1.0)</f>
        <v>1</v>
      </c>
      <c r="Q683" s="138">
        <f>IFERROR(__xludf.DUMMYFUNCTION("""COMPUTED_VALUE"""),0.0)</f>
        <v>0</v>
      </c>
      <c r="R683" s="138">
        <f>IFERROR(__xludf.DUMMYFUNCTION("""COMPUTED_VALUE"""),5.0)</f>
        <v>5</v>
      </c>
      <c r="S683" s="139">
        <f>IFERROR(__xludf.DUMMYFUNCTION("""COMPUTED_VALUE"""),225.0)</f>
        <v>225</v>
      </c>
      <c r="T683" s="140">
        <f>IFERROR(__xludf.DUMMYFUNCTION("""COMPUTED_VALUE"""),69.0)</f>
        <v>69</v>
      </c>
      <c r="U683" s="136">
        <f>IFERROR(__xludf.DUMMYFUNCTION("""COMPUTED_VALUE"""),18.0)</f>
        <v>18</v>
      </c>
      <c r="V683" s="136">
        <f>IFERROR(__xludf.DUMMYFUNCTION("""COMPUTED_VALUE"""),23.0)</f>
        <v>23</v>
      </c>
      <c r="W683" s="136">
        <f>IFERROR(__xludf.DUMMYFUNCTION("""COMPUTED_VALUE"""),32.0)</f>
        <v>32</v>
      </c>
      <c r="X683" s="136">
        <f>IFERROR(__xludf.DUMMYFUNCTION("""COMPUTED_VALUE"""),288.0)</f>
        <v>288</v>
      </c>
      <c r="Y683" s="141">
        <f>IFERROR(__xludf.DUMMYFUNCTION("""COMPUTED_VALUE"""),52.170999999999985)</f>
        <v>52.171</v>
      </c>
      <c r="Z683" s="141">
        <f>IFERROR(__xludf.DUMMYFUNCTION("""COMPUTED_VALUE"""),1807.2)</f>
        <v>1807.2</v>
      </c>
    </row>
    <row r="684">
      <c r="A684" s="41" t="str">
        <f>IFERROR(__xludf.DUMMYFUNCTION("""COMPUTED_VALUE"""),"Elite")</f>
        <v>Elite</v>
      </c>
      <c r="B684" s="41" t="str">
        <f>IFERROR(__xludf.DUMMYFUNCTION("""COMPUTED_VALUE"""),"RSC008221")</f>
        <v>RSC008221</v>
      </c>
      <c r="C684" s="41" t="str">
        <f>IFERROR(__xludf.DUMMYFUNCTION("""COMPUTED_VALUE"""),"KamdenRL")</f>
        <v>KamdenRL</v>
      </c>
      <c r="D684" s="41" t="str">
        <f>IFERROR(__xludf.DUMMYFUNCTION("""COMPUTED_VALUE"""),"Thrashers
Black-Holes
Hellhounds
Forest Cobra")</f>
        <v>Thrashers
Black-Holes
Hellhounds
Forest Cobra</v>
      </c>
      <c r="E684" s="136">
        <f>IFERROR(__xludf.DUMMYFUNCTION("""COMPUTED_VALUE"""),18.0)</f>
        <v>18</v>
      </c>
      <c r="F684" s="136">
        <f>IFERROR(__xludf.DUMMYFUNCTION("""COMPUTED_VALUE"""),12.0)</f>
        <v>12</v>
      </c>
      <c r="G684" s="136">
        <f>IFERROR(__xludf.DUMMYFUNCTION("""COMPUTED_VALUE"""),6.0)</f>
        <v>6</v>
      </c>
      <c r="H684" s="137">
        <f>IFERROR(__xludf.DUMMYFUNCTION("""COMPUTED_VALUE"""),0.6666666666666666)</f>
        <v>0.6666666667</v>
      </c>
      <c r="I684" s="136">
        <f>IFERROR(__xludf.DUMMYFUNCTION("""COMPUTED_VALUE"""),6.0)</f>
        <v>6</v>
      </c>
      <c r="J684" s="136">
        <f>IFERROR(__xludf.DUMMYFUNCTION("""COMPUTED_VALUE"""),7083.0)</f>
        <v>7083</v>
      </c>
      <c r="K684" s="136">
        <f>IFERROR(__xludf.DUMMYFUNCTION("""COMPUTED_VALUE"""),19.0)</f>
        <v>19</v>
      </c>
      <c r="L684" s="136">
        <f>IFERROR(__xludf.DUMMYFUNCTION("""COMPUTED_VALUE"""),10.0)</f>
        <v>10</v>
      </c>
      <c r="M684" s="136">
        <f>IFERROR(__xludf.DUMMYFUNCTION("""COMPUTED_VALUE"""),25.0)</f>
        <v>25</v>
      </c>
      <c r="N684" s="136">
        <f>IFERROR(__xludf.DUMMYFUNCTION("""COMPUTED_VALUE"""),57.0)</f>
        <v>57</v>
      </c>
      <c r="O684" s="138">
        <f>IFERROR(__xludf.DUMMYFUNCTION("""COMPUTED_VALUE"""),4.0)</f>
        <v>4</v>
      </c>
      <c r="P684" s="138">
        <f>IFERROR(__xludf.DUMMYFUNCTION("""COMPUTED_VALUE"""),1.0)</f>
        <v>1</v>
      </c>
      <c r="Q684" s="138">
        <f>IFERROR(__xludf.DUMMYFUNCTION("""COMPUTED_VALUE"""),1.0)</f>
        <v>1</v>
      </c>
      <c r="R684" s="138">
        <f>IFERROR(__xludf.DUMMYFUNCTION("""COMPUTED_VALUE"""),5.0)</f>
        <v>5</v>
      </c>
      <c r="S684" s="139">
        <f>IFERROR(__xludf.DUMMYFUNCTION("""COMPUTED_VALUE"""),139.0)</f>
        <v>139</v>
      </c>
      <c r="T684" s="140">
        <f>IFERROR(__xludf.DUMMYFUNCTION("""COMPUTED_VALUE"""),45.0)</f>
        <v>45</v>
      </c>
      <c r="U684" s="136">
        <f>IFERROR(__xludf.DUMMYFUNCTION("""COMPUTED_VALUE"""),18.0)</f>
        <v>18</v>
      </c>
      <c r="V684" s="136">
        <f>IFERROR(__xludf.DUMMYFUNCTION("""COMPUTED_VALUE"""),17.0)</f>
        <v>17</v>
      </c>
      <c r="W684" s="136">
        <f>IFERROR(__xludf.DUMMYFUNCTION("""COMPUTED_VALUE"""),20.0)</f>
        <v>20</v>
      </c>
      <c r="X684" s="136">
        <f>IFERROR(__xludf.DUMMYFUNCTION("""COMPUTED_VALUE"""),395.3333333333333)</f>
        <v>395.3333333</v>
      </c>
      <c r="Y684" s="141">
        <f>IFERROR(__xludf.DUMMYFUNCTION("""COMPUTED_VALUE"""),49.34055555555557)</f>
        <v>49.34055556</v>
      </c>
      <c r="Z684" s="141">
        <f>IFERROR(__xludf.DUMMYFUNCTION("""COMPUTED_VALUE"""),2610.6666666666665)</f>
        <v>2610.666667</v>
      </c>
    </row>
    <row r="685">
      <c r="A685" s="41" t="str">
        <f>IFERROR(__xludf.DUMMYFUNCTION("""COMPUTED_VALUE"""),"Challenger")</f>
        <v>Challenger</v>
      </c>
      <c r="B685" s="41" t="str">
        <f>IFERROR(__xludf.DUMMYFUNCTION("""COMPUTED_VALUE"""),"RSC008222")</f>
        <v>RSC008222</v>
      </c>
      <c r="C685" s="41" t="str">
        <f>IFERROR(__xludf.DUMMYFUNCTION("""COMPUTED_VALUE"""),"Alfredo")</f>
        <v>Alfredo</v>
      </c>
      <c r="D685" s="41" t="str">
        <f>IFERROR(__xludf.DUMMYFUNCTION("""COMPUTED_VALUE"""),"Jinyiwei")</f>
        <v>Jinyiwei</v>
      </c>
      <c r="E685" s="136">
        <f>IFERROR(__xludf.DUMMYFUNCTION("""COMPUTED_VALUE"""),30.0)</f>
        <v>30</v>
      </c>
      <c r="F685" s="136">
        <f>IFERROR(__xludf.DUMMYFUNCTION("""COMPUTED_VALUE"""),13.0)</f>
        <v>13</v>
      </c>
      <c r="G685" s="136">
        <f>IFERROR(__xludf.DUMMYFUNCTION("""COMPUTED_VALUE"""),17.0)</f>
        <v>17</v>
      </c>
      <c r="H685" s="137">
        <f>IFERROR(__xludf.DUMMYFUNCTION("""COMPUTED_VALUE"""),0.43333333333333335)</f>
        <v>0.4333333333</v>
      </c>
      <c r="I685" s="136">
        <f>IFERROR(__xludf.DUMMYFUNCTION("""COMPUTED_VALUE"""),4.0)</f>
        <v>4</v>
      </c>
      <c r="J685" s="136">
        <f>IFERROR(__xludf.DUMMYFUNCTION("""COMPUTED_VALUE"""),9715.0)</f>
        <v>9715</v>
      </c>
      <c r="K685" s="136">
        <f>IFERROR(__xludf.DUMMYFUNCTION("""COMPUTED_VALUE"""),21.0)</f>
        <v>21</v>
      </c>
      <c r="L685" s="136">
        <f>IFERROR(__xludf.DUMMYFUNCTION("""COMPUTED_VALUE"""),11.0)</f>
        <v>11</v>
      </c>
      <c r="M685" s="136">
        <f>IFERROR(__xludf.DUMMYFUNCTION("""COMPUTED_VALUE"""),41.0)</f>
        <v>41</v>
      </c>
      <c r="N685" s="136">
        <f>IFERROR(__xludf.DUMMYFUNCTION("""COMPUTED_VALUE"""),72.0)</f>
        <v>72</v>
      </c>
      <c r="O685" s="138">
        <f>IFERROR(__xludf.DUMMYFUNCTION("""COMPUTED_VALUE"""),2.0)</f>
        <v>2</v>
      </c>
      <c r="P685" s="138">
        <f>IFERROR(__xludf.DUMMYFUNCTION("""COMPUTED_VALUE"""),1.0)</f>
        <v>1</v>
      </c>
      <c r="Q685" s="138">
        <f>IFERROR(__xludf.DUMMYFUNCTION("""COMPUTED_VALUE"""),0.0)</f>
        <v>0</v>
      </c>
      <c r="R685" s="138">
        <f>IFERROR(__xludf.DUMMYFUNCTION("""COMPUTED_VALUE"""),6.0)</f>
        <v>6</v>
      </c>
      <c r="S685" s="139">
        <f>IFERROR(__xludf.DUMMYFUNCTION("""COMPUTED_VALUE"""),242.0)</f>
        <v>242</v>
      </c>
      <c r="T685" s="140">
        <f>IFERROR(__xludf.DUMMYFUNCTION("""COMPUTED_VALUE"""),73.0)</f>
        <v>73</v>
      </c>
      <c r="U685" s="136">
        <f>IFERROR(__xludf.DUMMYFUNCTION("""COMPUTED_VALUE"""),25.0)</f>
        <v>25</v>
      </c>
      <c r="V685" s="136">
        <f>IFERROR(__xludf.DUMMYFUNCTION("""COMPUTED_VALUE"""),15.0)</f>
        <v>15</v>
      </c>
      <c r="W685" s="136">
        <f>IFERROR(__xludf.DUMMYFUNCTION("""COMPUTED_VALUE"""),28.0)</f>
        <v>28</v>
      </c>
      <c r="X685" s="136">
        <f>IFERROR(__xludf.DUMMYFUNCTION("""COMPUTED_VALUE"""),342.23333333333335)</f>
        <v>342.2333333</v>
      </c>
      <c r="Y685" s="141">
        <f>IFERROR(__xludf.DUMMYFUNCTION("""COMPUTED_VALUE"""),56.932)</f>
        <v>56.932</v>
      </c>
      <c r="Z685" s="141">
        <f>IFERROR(__xludf.DUMMYFUNCTION("""COMPUTED_VALUE"""),2099.4)</f>
        <v>2099.4</v>
      </c>
    </row>
    <row r="686">
      <c r="A686" s="41" t="str">
        <f>IFERROR(__xludf.DUMMYFUNCTION("""COMPUTED_VALUE"""),"Rival")</f>
        <v>Rival</v>
      </c>
      <c r="B686" s="41" t="str">
        <f>IFERROR(__xludf.DUMMYFUNCTION("""COMPUTED_VALUE"""),"RSC008226")</f>
        <v>RSC008226</v>
      </c>
      <c r="C686" s="41" t="str">
        <f>IFERROR(__xludf.DUMMYFUNCTION("""COMPUTED_VALUE"""),"OurStevie")</f>
        <v>OurStevie</v>
      </c>
      <c r="D686" s="41" t="str">
        <f>IFERROR(__xludf.DUMMYFUNCTION("""COMPUTED_VALUE"""),"Phoenix")</f>
        <v>Phoenix</v>
      </c>
      <c r="E686" s="136">
        <f>IFERROR(__xludf.DUMMYFUNCTION("""COMPUTED_VALUE"""),33.0)</f>
        <v>33</v>
      </c>
      <c r="F686" s="136">
        <f>IFERROR(__xludf.DUMMYFUNCTION("""COMPUTED_VALUE"""),19.0)</f>
        <v>19</v>
      </c>
      <c r="G686" s="136">
        <f>IFERROR(__xludf.DUMMYFUNCTION("""COMPUTED_VALUE"""),14.0)</f>
        <v>14</v>
      </c>
      <c r="H686" s="137">
        <f>IFERROR(__xludf.DUMMYFUNCTION("""COMPUTED_VALUE"""),0.5757575757575758)</f>
        <v>0.5757575758</v>
      </c>
      <c r="I686" s="136">
        <f>IFERROR(__xludf.DUMMYFUNCTION("""COMPUTED_VALUE"""),1.0)</f>
        <v>1</v>
      </c>
      <c r="J686" s="136">
        <f>IFERROR(__xludf.DUMMYFUNCTION("""COMPUTED_VALUE"""),10124.0)</f>
        <v>10124</v>
      </c>
      <c r="K686" s="136">
        <f>IFERROR(__xludf.DUMMYFUNCTION("""COMPUTED_VALUE"""),22.0)</f>
        <v>22</v>
      </c>
      <c r="L686" s="136">
        <f>IFERROR(__xludf.DUMMYFUNCTION("""COMPUTED_VALUE"""),23.0)</f>
        <v>23</v>
      </c>
      <c r="M686" s="136">
        <f>IFERROR(__xludf.DUMMYFUNCTION("""COMPUTED_VALUE"""),34.0)</f>
        <v>34</v>
      </c>
      <c r="N686" s="136">
        <f>IFERROR(__xludf.DUMMYFUNCTION("""COMPUTED_VALUE"""),83.0)</f>
        <v>83</v>
      </c>
      <c r="O686" s="138">
        <f>IFERROR(__xludf.DUMMYFUNCTION("""COMPUTED_VALUE"""),3.0)</f>
        <v>3</v>
      </c>
      <c r="P686" s="138">
        <f>IFERROR(__xludf.DUMMYFUNCTION("""COMPUTED_VALUE"""),1.0)</f>
        <v>1</v>
      </c>
      <c r="Q686" s="138">
        <f>IFERROR(__xludf.DUMMYFUNCTION("""COMPUTED_VALUE"""),1.0)</f>
        <v>1</v>
      </c>
      <c r="R686" s="138">
        <f>IFERROR(__xludf.DUMMYFUNCTION("""COMPUTED_VALUE"""),3.0)</f>
        <v>3</v>
      </c>
      <c r="S686" s="139">
        <f>IFERROR(__xludf.DUMMYFUNCTION("""COMPUTED_VALUE"""),230.0)</f>
        <v>230</v>
      </c>
      <c r="T686" s="140">
        <f>IFERROR(__xludf.DUMMYFUNCTION("""COMPUTED_VALUE"""),70.0)</f>
        <v>70</v>
      </c>
      <c r="U686" s="136">
        <f>IFERROR(__xludf.DUMMYFUNCTION("""COMPUTED_VALUE"""),16.0)</f>
        <v>16</v>
      </c>
      <c r="V686" s="136">
        <f>IFERROR(__xludf.DUMMYFUNCTION("""COMPUTED_VALUE"""),40.0)</f>
        <v>40</v>
      </c>
      <c r="W686" s="136">
        <f>IFERROR(__xludf.DUMMYFUNCTION("""COMPUTED_VALUE"""),19.0)</f>
        <v>19</v>
      </c>
      <c r="X686" s="136">
        <f>IFERROR(__xludf.DUMMYFUNCTION("""COMPUTED_VALUE"""),358.030303030303)</f>
        <v>358.030303</v>
      </c>
      <c r="Y686" s="141">
        <f>IFERROR(__xludf.DUMMYFUNCTION("""COMPUTED_VALUE"""),47.68575757575757)</f>
        <v>47.68575758</v>
      </c>
      <c r="Z686" s="141">
        <f>IFERROR(__xludf.DUMMYFUNCTION("""COMPUTED_VALUE"""),2210.969696969697)</f>
        <v>2210.969697</v>
      </c>
    </row>
    <row r="687">
      <c r="A687" s="41" t="str">
        <f>IFERROR(__xludf.DUMMYFUNCTION("""COMPUTED_VALUE"""),"Amateur")</f>
        <v>Amateur</v>
      </c>
      <c r="B687" s="41" t="str">
        <f>IFERROR(__xludf.DUMMYFUNCTION("""COMPUTED_VALUE"""),"RSC008227")</f>
        <v>RSC008227</v>
      </c>
      <c r="C687" s="41" t="str">
        <f>IFERROR(__xludf.DUMMYFUNCTION("""COMPUTED_VALUE"""),"batman")</f>
        <v>batman</v>
      </c>
      <c r="D687" s="41" t="str">
        <f>IFERROR(__xludf.DUMMYFUNCTION("""COMPUTED_VALUE"""),"Electric Eels")</f>
        <v>Electric Eels</v>
      </c>
      <c r="E687" s="136">
        <f>IFERROR(__xludf.DUMMYFUNCTION("""COMPUTED_VALUE"""),12.0)</f>
        <v>12</v>
      </c>
      <c r="F687" s="136">
        <f>IFERROR(__xludf.DUMMYFUNCTION("""COMPUTED_VALUE"""),8.0)</f>
        <v>8</v>
      </c>
      <c r="G687" s="136">
        <f>IFERROR(__xludf.DUMMYFUNCTION("""COMPUTED_VALUE"""),4.0)</f>
        <v>4</v>
      </c>
      <c r="H687" s="137">
        <f>IFERROR(__xludf.DUMMYFUNCTION("""COMPUTED_VALUE"""),0.6666666666666666)</f>
        <v>0.6666666667</v>
      </c>
      <c r="I687" s="136">
        <f>IFERROR(__xludf.DUMMYFUNCTION("""COMPUTED_VALUE"""),1.0)</f>
        <v>1</v>
      </c>
      <c r="J687" s="136">
        <f>IFERROR(__xludf.DUMMYFUNCTION("""COMPUTED_VALUE"""),4076.0)</f>
        <v>4076</v>
      </c>
      <c r="K687" s="136">
        <f>IFERROR(__xludf.DUMMYFUNCTION("""COMPUTED_VALUE"""),8.0)</f>
        <v>8</v>
      </c>
      <c r="L687" s="136">
        <f>IFERROR(__xludf.DUMMYFUNCTION("""COMPUTED_VALUE"""),9.0)</f>
        <v>9</v>
      </c>
      <c r="M687" s="136">
        <f>IFERROR(__xludf.DUMMYFUNCTION("""COMPUTED_VALUE"""),15.0)</f>
        <v>15</v>
      </c>
      <c r="N687" s="136">
        <f>IFERROR(__xludf.DUMMYFUNCTION("""COMPUTED_VALUE"""),26.0)</f>
        <v>26</v>
      </c>
      <c r="O687" s="138">
        <f>IFERROR(__xludf.DUMMYFUNCTION("""COMPUTED_VALUE"""),2.0)</f>
        <v>2</v>
      </c>
      <c r="P687" s="138">
        <f>IFERROR(__xludf.DUMMYFUNCTION("""COMPUTED_VALUE"""),1.0)</f>
        <v>1</v>
      </c>
      <c r="Q687" s="138">
        <f>IFERROR(__xludf.DUMMYFUNCTION("""COMPUTED_VALUE"""),0.0)</f>
        <v>0</v>
      </c>
      <c r="R687" s="138">
        <f>IFERROR(__xludf.DUMMYFUNCTION("""COMPUTED_VALUE"""),2.0)</f>
        <v>2</v>
      </c>
      <c r="S687" s="139">
        <f>IFERROR(__xludf.DUMMYFUNCTION("""COMPUTED_VALUE"""),73.0)</f>
        <v>73</v>
      </c>
      <c r="T687" s="140">
        <f>IFERROR(__xludf.DUMMYFUNCTION("""COMPUTED_VALUE"""),24.0)</f>
        <v>24</v>
      </c>
      <c r="U687" s="136">
        <f>IFERROR(__xludf.DUMMYFUNCTION("""COMPUTED_VALUE"""),9.0)</f>
        <v>9</v>
      </c>
      <c r="V687" s="136">
        <f>IFERROR(__xludf.DUMMYFUNCTION("""COMPUTED_VALUE"""),9.0)</f>
        <v>9</v>
      </c>
      <c r="W687" s="136">
        <f>IFERROR(__xludf.DUMMYFUNCTION("""COMPUTED_VALUE"""),14.0)</f>
        <v>14</v>
      </c>
      <c r="X687" s="139">
        <f>IFERROR(__xludf.DUMMYFUNCTION("""COMPUTED_VALUE"""),339.5833333333333)</f>
        <v>339.5833333</v>
      </c>
      <c r="Y687" s="141">
        <f>IFERROR(__xludf.DUMMYFUNCTION("""COMPUTED_VALUE"""),55.745)</f>
        <v>55.745</v>
      </c>
      <c r="Z687" s="141">
        <f>IFERROR(__xludf.DUMMYFUNCTION("""COMPUTED_VALUE"""),2171.3333333333335)</f>
        <v>2171.333333</v>
      </c>
    </row>
    <row r="688">
      <c r="A688" s="41" t="str">
        <f>IFERROR(__xludf.DUMMYFUNCTION("""COMPUTED_VALUE"""),"Veteran")</f>
        <v>Veteran</v>
      </c>
      <c r="B688" s="41" t="str">
        <f>IFERROR(__xludf.DUMMYFUNCTION("""COMPUTED_VALUE"""),"RSC008231")</f>
        <v>RSC008231</v>
      </c>
      <c r="C688" s="41" t="str">
        <f>IFERROR(__xludf.DUMMYFUNCTION("""COMPUTED_VALUE"""),"Afino")</f>
        <v>Afino</v>
      </c>
      <c r="D688" s="41" t="str">
        <f>IFERROR(__xludf.DUMMYFUNCTION("""COMPUTED_VALUE"""),"Nighthawks
Grizzly Bears")</f>
        <v>Nighthawks
Grizzly Bears</v>
      </c>
      <c r="E688" s="136">
        <f>IFERROR(__xludf.DUMMYFUNCTION("""COMPUTED_VALUE"""),37.0)</f>
        <v>37</v>
      </c>
      <c r="F688" s="136">
        <f>IFERROR(__xludf.DUMMYFUNCTION("""COMPUTED_VALUE"""),21.0)</f>
        <v>21</v>
      </c>
      <c r="G688" s="136">
        <f>IFERROR(__xludf.DUMMYFUNCTION("""COMPUTED_VALUE"""),16.0)</f>
        <v>16</v>
      </c>
      <c r="H688" s="137">
        <f>IFERROR(__xludf.DUMMYFUNCTION("""COMPUTED_VALUE"""),0.5675675675675675)</f>
        <v>0.5675675676</v>
      </c>
      <c r="I688" s="136">
        <f>IFERROR(__xludf.DUMMYFUNCTION("""COMPUTED_VALUE"""),4.0)</f>
        <v>4</v>
      </c>
      <c r="J688" s="136">
        <f>IFERROR(__xludf.DUMMYFUNCTION("""COMPUTED_VALUE"""),12481.0)</f>
        <v>12481</v>
      </c>
      <c r="K688" s="136">
        <f>IFERROR(__xludf.DUMMYFUNCTION("""COMPUTED_VALUE"""),25.0)</f>
        <v>25</v>
      </c>
      <c r="L688" s="136">
        <f>IFERROR(__xludf.DUMMYFUNCTION("""COMPUTED_VALUE"""),28.0)</f>
        <v>28</v>
      </c>
      <c r="M688" s="136">
        <f>IFERROR(__xludf.DUMMYFUNCTION("""COMPUTED_VALUE"""),45.0)</f>
        <v>45</v>
      </c>
      <c r="N688" s="136">
        <f>IFERROR(__xludf.DUMMYFUNCTION("""COMPUTED_VALUE"""),87.0)</f>
        <v>87</v>
      </c>
      <c r="O688" s="138">
        <f>IFERROR(__xludf.DUMMYFUNCTION("""COMPUTED_VALUE"""),7.0)</f>
        <v>7</v>
      </c>
      <c r="P688" s="138">
        <f>IFERROR(__xludf.DUMMYFUNCTION("""COMPUTED_VALUE"""),2.0)</f>
        <v>2</v>
      </c>
      <c r="Q688" s="138">
        <f>IFERROR(__xludf.DUMMYFUNCTION("""COMPUTED_VALUE"""),0.0)</f>
        <v>0</v>
      </c>
      <c r="R688" s="138">
        <f>IFERROR(__xludf.DUMMYFUNCTION("""COMPUTED_VALUE"""),6.0)</f>
        <v>6</v>
      </c>
      <c r="S688" s="139">
        <f>IFERROR(__xludf.DUMMYFUNCTION("""COMPUTED_VALUE"""),288.0)</f>
        <v>288</v>
      </c>
      <c r="T688" s="140">
        <f>IFERROR(__xludf.DUMMYFUNCTION("""COMPUTED_VALUE"""),83.0)</f>
        <v>83</v>
      </c>
      <c r="U688" s="136">
        <f>IFERROR(__xludf.DUMMYFUNCTION("""COMPUTED_VALUE"""),15.0)</f>
        <v>15</v>
      </c>
      <c r="V688" s="136">
        <f>IFERROR(__xludf.DUMMYFUNCTION("""COMPUTED_VALUE"""),109.0)</f>
        <v>109</v>
      </c>
      <c r="W688" s="136">
        <f>IFERROR(__xludf.DUMMYFUNCTION("""COMPUTED_VALUE"""),41.0)</f>
        <v>41</v>
      </c>
      <c r="X688" s="136">
        <f>IFERROR(__xludf.DUMMYFUNCTION("""COMPUTED_VALUE"""),392.7567567567568)</f>
        <v>392.7567568</v>
      </c>
      <c r="Y688" s="141">
        <f>IFERROR(__xludf.DUMMYFUNCTION("""COMPUTED_VALUE"""),47.00648648648651)</f>
        <v>47.00648649</v>
      </c>
      <c r="Z688" s="141">
        <f>IFERROR(__xludf.DUMMYFUNCTION("""COMPUTED_VALUE"""),2379.891891891892)</f>
        <v>2379.891892</v>
      </c>
    </row>
    <row r="689">
      <c r="A689" s="41" t="str">
        <f>IFERROR(__xludf.DUMMYFUNCTION("""COMPUTED_VALUE"""),"Rival")</f>
        <v>Rival</v>
      </c>
      <c r="B689" s="41" t="str">
        <f>IFERROR(__xludf.DUMMYFUNCTION("""COMPUTED_VALUE"""),"RSC008234")</f>
        <v>RSC008234</v>
      </c>
      <c r="C689" s="41" t="str">
        <f>IFERROR(__xludf.DUMMYFUNCTION("""COMPUTED_VALUE"""),"Its_Bran")</f>
        <v>Its_Bran</v>
      </c>
      <c r="D689" s="41" t="str">
        <f>IFERROR(__xludf.DUMMYFUNCTION("""COMPUTED_VALUE"""),"Asiago Arsonists")</f>
        <v>Asiago Arsonists</v>
      </c>
      <c r="E689" s="136">
        <f>IFERROR(__xludf.DUMMYFUNCTION("""COMPUTED_VALUE"""),46.0)</f>
        <v>46</v>
      </c>
      <c r="F689" s="136">
        <f>IFERROR(__xludf.DUMMYFUNCTION("""COMPUTED_VALUE"""),29.0)</f>
        <v>29</v>
      </c>
      <c r="G689" s="136">
        <f>IFERROR(__xludf.DUMMYFUNCTION("""COMPUTED_VALUE"""),17.0)</f>
        <v>17</v>
      </c>
      <c r="H689" s="137">
        <f>IFERROR(__xludf.DUMMYFUNCTION("""COMPUTED_VALUE"""),0.6304347826086957)</f>
        <v>0.6304347826</v>
      </c>
      <c r="I689" s="136">
        <f>IFERROR(__xludf.DUMMYFUNCTION("""COMPUTED_VALUE"""),13.0)</f>
        <v>13</v>
      </c>
      <c r="J689" s="136">
        <f>IFERROR(__xludf.DUMMYFUNCTION("""COMPUTED_VALUE"""),18135.0)</f>
        <v>18135</v>
      </c>
      <c r="K689" s="136">
        <f>IFERROR(__xludf.DUMMYFUNCTION("""COMPUTED_VALUE"""),43.0)</f>
        <v>43</v>
      </c>
      <c r="L689" s="136">
        <f>IFERROR(__xludf.DUMMYFUNCTION("""COMPUTED_VALUE"""),29.0)</f>
        <v>29</v>
      </c>
      <c r="M689" s="136">
        <f>IFERROR(__xludf.DUMMYFUNCTION("""COMPUTED_VALUE"""),75.0)</f>
        <v>75</v>
      </c>
      <c r="N689" s="136">
        <f>IFERROR(__xludf.DUMMYFUNCTION("""COMPUTED_VALUE"""),128.0)</f>
        <v>128</v>
      </c>
      <c r="O689" s="138">
        <f>IFERROR(__xludf.DUMMYFUNCTION("""COMPUTED_VALUE"""),7.0)</f>
        <v>7</v>
      </c>
      <c r="P689" s="138">
        <f>IFERROR(__xludf.DUMMYFUNCTION("""COMPUTED_VALUE"""),4.0)</f>
        <v>4</v>
      </c>
      <c r="Q689" s="138">
        <f>IFERROR(__xludf.DUMMYFUNCTION("""COMPUTED_VALUE"""),2.0)</f>
        <v>2</v>
      </c>
      <c r="R689" s="138">
        <f>IFERROR(__xludf.DUMMYFUNCTION("""COMPUTED_VALUE"""),8.0)</f>
        <v>8</v>
      </c>
      <c r="S689" s="139">
        <f>IFERROR(__xludf.DUMMYFUNCTION("""COMPUTED_VALUE"""),340.0)</f>
        <v>340</v>
      </c>
      <c r="T689" s="140">
        <f>IFERROR(__xludf.DUMMYFUNCTION("""COMPUTED_VALUE"""),90.0)</f>
        <v>90</v>
      </c>
      <c r="U689" s="136">
        <f>IFERROR(__xludf.DUMMYFUNCTION("""COMPUTED_VALUE"""),35.0)</f>
        <v>35</v>
      </c>
      <c r="V689" s="136">
        <f>IFERROR(__xludf.DUMMYFUNCTION("""COMPUTED_VALUE"""),47.0)</f>
        <v>47</v>
      </c>
      <c r="W689" s="136">
        <f>IFERROR(__xludf.DUMMYFUNCTION("""COMPUTED_VALUE"""),46.0)</f>
        <v>46</v>
      </c>
      <c r="X689" s="136">
        <f>IFERROR(__xludf.DUMMYFUNCTION("""COMPUTED_VALUE"""),334.4130434782609)</f>
        <v>334.4130435</v>
      </c>
      <c r="Y689" s="141">
        <f>IFERROR(__xludf.DUMMYFUNCTION("""COMPUTED_VALUE"""),52.77630434782609)</f>
        <v>52.77630435</v>
      </c>
      <c r="Z689" s="141">
        <f>IFERROR(__xludf.DUMMYFUNCTION("""COMPUTED_VALUE"""),2110.282608695652)</f>
        <v>2110.282609</v>
      </c>
    </row>
    <row r="690">
      <c r="A690" s="41" t="str">
        <f>IFERROR(__xludf.DUMMYFUNCTION("""COMPUTED_VALUE"""),"Challenger")</f>
        <v>Challenger</v>
      </c>
      <c r="B690" s="41" t="str">
        <f>IFERROR(__xludf.DUMMYFUNCTION("""COMPUTED_VALUE"""),"RSC008237")</f>
        <v>RSC008237</v>
      </c>
      <c r="C690" s="41" t="str">
        <f>IFERROR(__xludf.DUMMYFUNCTION("""COMPUTED_VALUE"""),"SardonicOx")</f>
        <v>SardonicOx</v>
      </c>
      <c r="D690" s="41" t="str">
        <f>IFERROR(__xludf.DUMMYFUNCTION("""COMPUTED_VALUE"""),"Insider Traders")</f>
        <v>Insider Traders</v>
      </c>
      <c r="E690" s="136">
        <f>IFERROR(__xludf.DUMMYFUNCTION("""COMPUTED_VALUE"""),13.0)</f>
        <v>13</v>
      </c>
      <c r="F690" s="136">
        <f>IFERROR(__xludf.DUMMYFUNCTION("""COMPUTED_VALUE"""),1.0)</f>
        <v>1</v>
      </c>
      <c r="G690" s="136">
        <f>IFERROR(__xludf.DUMMYFUNCTION("""COMPUTED_VALUE"""),12.0)</f>
        <v>12</v>
      </c>
      <c r="H690" s="137">
        <f>IFERROR(__xludf.DUMMYFUNCTION("""COMPUTED_VALUE"""),0.07692307692307693)</f>
        <v>0.07692307692</v>
      </c>
      <c r="I690" s="136">
        <f>IFERROR(__xludf.DUMMYFUNCTION("""COMPUTED_VALUE"""),0.0)</f>
        <v>0</v>
      </c>
      <c r="J690" s="136">
        <f>IFERROR(__xludf.DUMMYFUNCTION("""COMPUTED_VALUE"""),3299.0)</f>
        <v>3299</v>
      </c>
      <c r="K690" s="136">
        <f>IFERROR(__xludf.DUMMYFUNCTION("""COMPUTED_VALUE"""),6.0)</f>
        <v>6</v>
      </c>
      <c r="L690" s="136">
        <f>IFERROR(__xludf.DUMMYFUNCTION("""COMPUTED_VALUE"""),4.0)</f>
        <v>4</v>
      </c>
      <c r="M690" s="136">
        <f>IFERROR(__xludf.DUMMYFUNCTION("""COMPUTED_VALUE"""),18.0)</f>
        <v>18</v>
      </c>
      <c r="N690" s="136">
        <f>IFERROR(__xludf.DUMMYFUNCTION("""COMPUTED_VALUE"""),25.0)</f>
        <v>25</v>
      </c>
      <c r="O690" s="138">
        <f>IFERROR(__xludf.DUMMYFUNCTION("""COMPUTED_VALUE"""),0.0)</f>
        <v>0</v>
      </c>
      <c r="P690" s="138">
        <f>IFERROR(__xludf.DUMMYFUNCTION("""COMPUTED_VALUE"""),1.0)</f>
        <v>1</v>
      </c>
      <c r="Q690" s="138">
        <f>IFERROR(__xludf.DUMMYFUNCTION("""COMPUTED_VALUE"""),0.0)</f>
        <v>0</v>
      </c>
      <c r="R690" s="138">
        <f>IFERROR(__xludf.DUMMYFUNCTION("""COMPUTED_VALUE"""),2.0)</f>
        <v>2</v>
      </c>
      <c r="S690" s="139">
        <f>IFERROR(__xludf.DUMMYFUNCTION("""COMPUTED_VALUE"""),106.0)</f>
        <v>106</v>
      </c>
      <c r="T690" s="140">
        <f>IFERROR(__xludf.DUMMYFUNCTION("""COMPUTED_VALUE"""),32.0)</f>
        <v>32</v>
      </c>
      <c r="U690" s="136">
        <f>IFERROR(__xludf.DUMMYFUNCTION("""COMPUTED_VALUE"""),12.0)</f>
        <v>12</v>
      </c>
      <c r="V690" s="136">
        <f>IFERROR(__xludf.DUMMYFUNCTION("""COMPUTED_VALUE"""),6.0)</f>
        <v>6</v>
      </c>
      <c r="W690" s="136">
        <f>IFERROR(__xludf.DUMMYFUNCTION("""COMPUTED_VALUE"""),12.0)</f>
        <v>12</v>
      </c>
      <c r="X690" s="136">
        <f>IFERROR(__xludf.DUMMYFUNCTION("""COMPUTED_VALUE"""),304.46153846153845)</f>
        <v>304.4615385</v>
      </c>
      <c r="Y690" s="141">
        <f>IFERROR(__xludf.DUMMYFUNCTION("""COMPUTED_VALUE"""),51.29461538461539)</f>
        <v>51.29461538</v>
      </c>
      <c r="Z690" s="141">
        <f>IFERROR(__xludf.DUMMYFUNCTION("""COMPUTED_VALUE"""),1766.5384615384614)</f>
        <v>1766.538462</v>
      </c>
    </row>
    <row r="691">
      <c r="A691" s="41" t="str">
        <f>IFERROR(__xludf.DUMMYFUNCTION("""COMPUTED_VALUE"""),"Master")</f>
        <v>Master</v>
      </c>
      <c r="B691" s="41" t="str">
        <f>IFERROR(__xludf.DUMMYFUNCTION("""COMPUTED_VALUE"""),"RSC008242")</f>
        <v>RSC008242</v>
      </c>
      <c r="C691" s="41" t="str">
        <f>IFERROR(__xludf.DUMMYFUNCTION("""COMPUTED_VALUE"""),"Snipes")</f>
        <v>Snipes</v>
      </c>
      <c r="D691" s="41" t="str">
        <f>IFERROR(__xludf.DUMMYFUNCTION("""COMPUTED_VALUE"""),"Reapers")</f>
        <v>Reapers</v>
      </c>
      <c r="E691" s="136">
        <f>IFERROR(__xludf.DUMMYFUNCTION("""COMPUTED_VALUE"""),53.0)</f>
        <v>53</v>
      </c>
      <c r="F691" s="136">
        <f>IFERROR(__xludf.DUMMYFUNCTION("""COMPUTED_VALUE"""),26.0)</f>
        <v>26</v>
      </c>
      <c r="G691" s="136">
        <f>IFERROR(__xludf.DUMMYFUNCTION("""COMPUTED_VALUE"""),27.0)</f>
        <v>27</v>
      </c>
      <c r="H691" s="137">
        <f>IFERROR(__xludf.DUMMYFUNCTION("""COMPUTED_VALUE"""),0.49056603773584906)</f>
        <v>0.4905660377</v>
      </c>
      <c r="I691" s="136">
        <f>IFERROR(__xludf.DUMMYFUNCTION("""COMPUTED_VALUE"""),4.0)</f>
        <v>4</v>
      </c>
      <c r="J691" s="136">
        <f>IFERROR(__xludf.DUMMYFUNCTION("""COMPUTED_VALUE"""),16539.0)</f>
        <v>16539</v>
      </c>
      <c r="K691" s="136">
        <f>IFERROR(__xludf.DUMMYFUNCTION("""COMPUTED_VALUE"""),32.0)</f>
        <v>32</v>
      </c>
      <c r="L691" s="136">
        <f>IFERROR(__xludf.DUMMYFUNCTION("""COMPUTED_VALUE"""),26.0)</f>
        <v>26</v>
      </c>
      <c r="M691" s="136">
        <f>IFERROR(__xludf.DUMMYFUNCTION("""COMPUTED_VALUE"""),65.0)</f>
        <v>65</v>
      </c>
      <c r="N691" s="136">
        <f>IFERROR(__xludf.DUMMYFUNCTION("""COMPUTED_VALUE"""),109.0)</f>
        <v>109</v>
      </c>
      <c r="O691" s="138">
        <f>IFERROR(__xludf.DUMMYFUNCTION("""COMPUTED_VALUE"""),8.0)</f>
        <v>8</v>
      </c>
      <c r="P691" s="138">
        <f>IFERROR(__xludf.DUMMYFUNCTION("""COMPUTED_VALUE"""),2.0)</f>
        <v>2</v>
      </c>
      <c r="Q691" s="138">
        <f>IFERROR(__xludf.DUMMYFUNCTION("""COMPUTED_VALUE"""),1.0)</f>
        <v>1</v>
      </c>
      <c r="R691" s="138">
        <f>IFERROR(__xludf.DUMMYFUNCTION("""COMPUTED_VALUE"""),7.0)</f>
        <v>7</v>
      </c>
      <c r="S691" s="139">
        <f>IFERROR(__xludf.DUMMYFUNCTION("""COMPUTED_VALUE"""),345.0)</f>
        <v>345</v>
      </c>
      <c r="T691" s="140">
        <f>IFERROR(__xludf.DUMMYFUNCTION("""COMPUTED_VALUE"""),107.0)</f>
        <v>107</v>
      </c>
      <c r="U691" s="136">
        <f>IFERROR(__xludf.DUMMYFUNCTION("""COMPUTED_VALUE"""),40.0)</f>
        <v>40</v>
      </c>
      <c r="V691" s="136">
        <f>IFERROR(__xludf.DUMMYFUNCTION("""COMPUTED_VALUE"""),56.0)</f>
        <v>56</v>
      </c>
      <c r="W691" s="136">
        <f>IFERROR(__xludf.DUMMYFUNCTION("""COMPUTED_VALUE"""),73.0)</f>
        <v>73</v>
      </c>
      <c r="X691" s="136">
        <f>IFERROR(__xludf.DUMMYFUNCTION("""COMPUTED_VALUE"""),412.9591836734694)</f>
        <v>412.9591837</v>
      </c>
      <c r="Y691" s="141">
        <f>IFERROR(__xludf.DUMMYFUNCTION("""COMPUTED_VALUE"""),46.69755102040817)</f>
        <v>46.69755102</v>
      </c>
      <c r="Z691" s="141">
        <f>IFERROR(__xludf.DUMMYFUNCTION("""COMPUTED_VALUE"""),2486.183673469388)</f>
        <v>2486.183673</v>
      </c>
    </row>
    <row r="692">
      <c r="A692" s="41" t="str">
        <f>IFERROR(__xludf.DUMMYFUNCTION("""COMPUTED_VALUE"""),"Premier")</f>
        <v>Premier</v>
      </c>
      <c r="B692" s="41" t="str">
        <f>IFERROR(__xludf.DUMMYFUNCTION("""COMPUTED_VALUE"""),"RSC008244")</f>
        <v>RSC008244</v>
      </c>
      <c r="C692" s="41" t="str">
        <f>IFERROR(__xludf.DUMMYFUNCTION("""COMPUTED_VALUE"""),"Oghma")</f>
        <v>Oghma</v>
      </c>
      <c r="D692" s="41" t="str">
        <f>IFERROR(__xludf.DUMMYFUNCTION("""COMPUTED_VALUE"""),"Crooked Capos")</f>
        <v>Crooked Capos</v>
      </c>
      <c r="E692" s="136">
        <f>IFERROR(__xludf.DUMMYFUNCTION("""COMPUTED_VALUE"""),42.0)</f>
        <v>42</v>
      </c>
      <c r="F692" s="136">
        <f>IFERROR(__xludf.DUMMYFUNCTION("""COMPUTED_VALUE"""),23.0)</f>
        <v>23</v>
      </c>
      <c r="G692" s="136">
        <f>IFERROR(__xludf.DUMMYFUNCTION("""COMPUTED_VALUE"""),19.0)</f>
        <v>19</v>
      </c>
      <c r="H692" s="137">
        <f>IFERROR(__xludf.DUMMYFUNCTION("""COMPUTED_VALUE"""),0.5476190476190477)</f>
        <v>0.5476190476</v>
      </c>
      <c r="I692" s="136">
        <f>IFERROR(__xludf.DUMMYFUNCTION("""COMPUTED_VALUE"""),8.0)</f>
        <v>8</v>
      </c>
      <c r="J692" s="136">
        <f>IFERROR(__xludf.DUMMYFUNCTION("""COMPUTED_VALUE"""),17551.0)</f>
        <v>17551</v>
      </c>
      <c r="K692" s="136">
        <f>IFERROR(__xludf.DUMMYFUNCTION("""COMPUTED_VALUE"""),37.0)</f>
        <v>37</v>
      </c>
      <c r="L692" s="136">
        <f>IFERROR(__xludf.DUMMYFUNCTION("""COMPUTED_VALUE"""),29.0)</f>
        <v>29</v>
      </c>
      <c r="M692" s="136">
        <f>IFERROR(__xludf.DUMMYFUNCTION("""COMPUTED_VALUE"""),83.0)</f>
        <v>83</v>
      </c>
      <c r="N692" s="136">
        <f>IFERROR(__xludf.DUMMYFUNCTION("""COMPUTED_VALUE"""),123.0)</f>
        <v>123</v>
      </c>
      <c r="O692" s="138">
        <f>IFERROR(__xludf.DUMMYFUNCTION("""COMPUTED_VALUE"""),10.0)</f>
        <v>10</v>
      </c>
      <c r="P692" s="138">
        <f>IFERROR(__xludf.DUMMYFUNCTION("""COMPUTED_VALUE"""),4.0)</f>
        <v>4</v>
      </c>
      <c r="Q692" s="138">
        <f>IFERROR(__xludf.DUMMYFUNCTION("""COMPUTED_VALUE"""),2.0)</f>
        <v>2</v>
      </c>
      <c r="R692" s="138">
        <f>IFERROR(__xludf.DUMMYFUNCTION("""COMPUTED_VALUE"""),10.0)</f>
        <v>10</v>
      </c>
      <c r="S692" s="139">
        <f>IFERROR(__xludf.DUMMYFUNCTION("""COMPUTED_VALUE"""),354.0)</f>
        <v>354</v>
      </c>
      <c r="T692" s="140">
        <f>IFERROR(__xludf.DUMMYFUNCTION("""COMPUTED_VALUE"""),86.0)</f>
        <v>86</v>
      </c>
      <c r="U692" s="136">
        <f>IFERROR(__xludf.DUMMYFUNCTION("""COMPUTED_VALUE"""),27.0)</f>
        <v>27</v>
      </c>
      <c r="V692" s="136">
        <f>IFERROR(__xludf.DUMMYFUNCTION("""COMPUTED_VALUE"""),37.0)</f>
        <v>37</v>
      </c>
      <c r="W692" s="136">
        <f>IFERROR(__xludf.DUMMYFUNCTION("""COMPUTED_VALUE"""),43.0)</f>
        <v>43</v>
      </c>
      <c r="X692" s="136">
        <f>IFERROR(__xludf.DUMMYFUNCTION("""COMPUTED_VALUE"""),442.26190476190476)</f>
        <v>442.2619048</v>
      </c>
      <c r="Y692" s="141">
        <f>IFERROR(__xludf.DUMMYFUNCTION("""COMPUTED_VALUE"""),46.342857142857156)</f>
        <v>46.34285714</v>
      </c>
      <c r="Z692" s="141">
        <f>IFERROR(__xludf.DUMMYFUNCTION("""COMPUTED_VALUE"""),2670.1190476190477)</f>
        <v>2670.119048</v>
      </c>
    </row>
    <row r="693">
      <c r="A693" s="41" t="str">
        <f>IFERROR(__xludf.DUMMYFUNCTION("""COMPUTED_VALUE"""),"Prospect")</f>
        <v>Prospect</v>
      </c>
      <c r="B693" s="41" t="str">
        <f>IFERROR(__xludf.DUMMYFUNCTION("""COMPUTED_VALUE"""),"RSC008245")</f>
        <v>RSC008245</v>
      </c>
      <c r="C693" s="41" t="str">
        <f>IFERROR(__xludf.DUMMYFUNCTION("""COMPUTED_VALUE"""),"j_durv")</f>
        <v>j_durv</v>
      </c>
      <c r="D693" s="41" t="str">
        <f>IFERROR(__xludf.DUMMYFUNCTION("""COMPUTED_VALUE"""),"Hawaiian Pizza")</f>
        <v>Hawaiian Pizza</v>
      </c>
      <c r="E693" s="136">
        <f>IFERROR(__xludf.DUMMYFUNCTION("""COMPUTED_VALUE"""),49.0)</f>
        <v>49</v>
      </c>
      <c r="F693" s="136">
        <f>IFERROR(__xludf.DUMMYFUNCTION("""COMPUTED_VALUE"""),23.0)</f>
        <v>23</v>
      </c>
      <c r="G693" s="136">
        <f>IFERROR(__xludf.DUMMYFUNCTION("""COMPUTED_VALUE"""),26.0)</f>
        <v>26</v>
      </c>
      <c r="H693" s="137">
        <f>IFERROR(__xludf.DUMMYFUNCTION("""COMPUTED_VALUE"""),0.46938775510204084)</f>
        <v>0.4693877551</v>
      </c>
      <c r="I693" s="136">
        <f>IFERROR(__xludf.DUMMYFUNCTION("""COMPUTED_VALUE"""),9.0)</f>
        <v>9</v>
      </c>
      <c r="J693" s="136">
        <f>IFERROR(__xludf.DUMMYFUNCTION("""COMPUTED_VALUE"""),16735.0)</f>
        <v>16735</v>
      </c>
      <c r="K693" s="136">
        <f>IFERROR(__xludf.DUMMYFUNCTION("""COMPUTED_VALUE"""),39.0)</f>
        <v>39</v>
      </c>
      <c r="L693" s="136">
        <f>IFERROR(__xludf.DUMMYFUNCTION("""COMPUTED_VALUE"""),25.0)</f>
        <v>25</v>
      </c>
      <c r="M693" s="136">
        <f>IFERROR(__xludf.DUMMYFUNCTION("""COMPUTED_VALUE"""),55.0)</f>
        <v>55</v>
      </c>
      <c r="N693" s="136">
        <f>IFERROR(__xludf.DUMMYFUNCTION("""COMPUTED_VALUE"""),115.0)</f>
        <v>115</v>
      </c>
      <c r="O693" s="138">
        <f>IFERROR(__xludf.DUMMYFUNCTION("""COMPUTED_VALUE"""),5.0)</f>
        <v>5</v>
      </c>
      <c r="P693" s="138">
        <f>IFERROR(__xludf.DUMMYFUNCTION("""COMPUTED_VALUE"""),4.0)</f>
        <v>4</v>
      </c>
      <c r="Q693" s="138">
        <f>IFERROR(__xludf.DUMMYFUNCTION("""COMPUTED_VALUE"""),2.0)</f>
        <v>2</v>
      </c>
      <c r="R693" s="138">
        <f>IFERROR(__xludf.DUMMYFUNCTION("""COMPUTED_VALUE"""),7.0)</f>
        <v>7</v>
      </c>
      <c r="S693" s="139">
        <f>IFERROR(__xludf.DUMMYFUNCTION("""COMPUTED_VALUE"""),331.0)</f>
        <v>331</v>
      </c>
      <c r="T693" s="140">
        <f>IFERROR(__xludf.DUMMYFUNCTION("""COMPUTED_VALUE"""),101.0)</f>
        <v>101</v>
      </c>
      <c r="U693" s="136">
        <f>IFERROR(__xludf.DUMMYFUNCTION("""COMPUTED_VALUE"""),39.0)</f>
        <v>39</v>
      </c>
      <c r="V693" s="136">
        <f>IFERROR(__xludf.DUMMYFUNCTION("""COMPUTED_VALUE"""),77.0)</f>
        <v>77</v>
      </c>
      <c r="W693" s="136">
        <f>IFERROR(__xludf.DUMMYFUNCTION("""COMPUTED_VALUE"""),53.0)</f>
        <v>53</v>
      </c>
      <c r="X693" s="136">
        <f>IFERROR(__xludf.DUMMYFUNCTION("""COMPUTED_VALUE"""),316.40816326530614)</f>
        <v>316.4081633</v>
      </c>
      <c r="Y693" s="141">
        <f>IFERROR(__xludf.DUMMYFUNCTION("""COMPUTED_VALUE"""),48.68877551020408)</f>
        <v>48.68877551</v>
      </c>
      <c r="Z693" s="141">
        <f>IFERROR(__xludf.DUMMYFUNCTION("""COMPUTED_VALUE"""),1946.1020408163265)</f>
        <v>1946.102041</v>
      </c>
    </row>
    <row r="694">
      <c r="A694" s="41" t="str">
        <f>IFERROR(__xludf.DUMMYFUNCTION("""COMPUTED_VALUE"""),"Rival")</f>
        <v>Rival</v>
      </c>
      <c r="B694" s="41" t="str">
        <f>IFERROR(__xludf.DUMMYFUNCTION("""COMPUTED_VALUE"""),"RSC008249")</f>
        <v>RSC008249</v>
      </c>
      <c r="C694" s="41" t="str">
        <f>IFERROR(__xludf.DUMMYFUNCTION("""COMPUTED_VALUE"""),"imtobad00")</f>
        <v>imtobad00</v>
      </c>
      <c r="D694" s="41" t="str">
        <f>IFERROR(__xludf.DUMMYFUNCTION("""COMPUTED_VALUE"""),"Lightning")</f>
        <v>Lightning</v>
      </c>
      <c r="E694" s="136">
        <f>IFERROR(__xludf.DUMMYFUNCTION("""COMPUTED_VALUE"""),2.0)</f>
        <v>2</v>
      </c>
      <c r="F694" s="136">
        <f>IFERROR(__xludf.DUMMYFUNCTION("""COMPUTED_VALUE"""),1.0)</f>
        <v>1</v>
      </c>
      <c r="G694" s="136">
        <f>IFERROR(__xludf.DUMMYFUNCTION("""COMPUTED_VALUE"""),1.0)</f>
        <v>1</v>
      </c>
      <c r="H694" s="137">
        <f>IFERROR(__xludf.DUMMYFUNCTION("""COMPUTED_VALUE"""),0.5)</f>
        <v>0.5</v>
      </c>
      <c r="I694" s="136">
        <f>IFERROR(__xludf.DUMMYFUNCTION("""COMPUTED_VALUE"""),1.0)</f>
        <v>1</v>
      </c>
      <c r="J694" s="136">
        <f>IFERROR(__xludf.DUMMYFUNCTION("""COMPUTED_VALUE"""),750.0)</f>
        <v>750</v>
      </c>
      <c r="K694" s="136">
        <f>IFERROR(__xludf.DUMMYFUNCTION("""COMPUTED_VALUE"""),3.0)</f>
        <v>3</v>
      </c>
      <c r="L694" s="136">
        <f>IFERROR(__xludf.DUMMYFUNCTION("""COMPUTED_VALUE"""),1.0)</f>
        <v>1</v>
      </c>
      <c r="M694" s="136">
        <f>IFERROR(__xludf.DUMMYFUNCTION("""COMPUTED_VALUE"""),1.0)</f>
        <v>1</v>
      </c>
      <c r="N694" s="136">
        <f>IFERROR(__xludf.DUMMYFUNCTION("""COMPUTED_VALUE"""),4.0)</f>
        <v>4</v>
      </c>
      <c r="O694" s="138">
        <f>IFERROR(__xludf.DUMMYFUNCTION("""COMPUTED_VALUE"""),1.0)</f>
        <v>1</v>
      </c>
      <c r="P694" s="138">
        <f>IFERROR(__xludf.DUMMYFUNCTION("""COMPUTED_VALUE"""),1.0)</f>
        <v>1</v>
      </c>
      <c r="Q694" s="138">
        <f>IFERROR(__xludf.DUMMYFUNCTION("""COMPUTED_VALUE"""),0.0)</f>
        <v>0</v>
      </c>
      <c r="R694" s="138">
        <f>IFERROR(__xludf.DUMMYFUNCTION("""COMPUTED_VALUE"""),0.0)</f>
        <v>0</v>
      </c>
      <c r="S694" s="139">
        <f>IFERROR(__xludf.DUMMYFUNCTION("""COMPUTED_VALUE"""),12.0)</f>
        <v>12</v>
      </c>
      <c r="T694" s="140">
        <f>IFERROR(__xludf.DUMMYFUNCTION("""COMPUTED_VALUE"""),5.0)</f>
        <v>5</v>
      </c>
      <c r="U694" s="136">
        <f>IFERROR(__xludf.DUMMYFUNCTION("""COMPUTED_VALUE"""),1.0)</f>
        <v>1</v>
      </c>
      <c r="V694" s="136">
        <f>IFERROR(__xludf.DUMMYFUNCTION("""COMPUTED_VALUE"""),2.0)</f>
        <v>2</v>
      </c>
      <c r="W694" s="136">
        <f>IFERROR(__xludf.DUMMYFUNCTION("""COMPUTED_VALUE"""),3.0)</f>
        <v>3</v>
      </c>
      <c r="X694" s="136">
        <f>IFERROR(__xludf.DUMMYFUNCTION("""COMPUTED_VALUE"""),431.0)</f>
        <v>431</v>
      </c>
      <c r="Y694" s="141">
        <f>IFERROR(__xludf.DUMMYFUNCTION("""COMPUTED_VALUE"""),48.3)</f>
        <v>48.3</v>
      </c>
      <c r="Z694" s="141">
        <f>IFERROR(__xludf.DUMMYFUNCTION("""COMPUTED_VALUE"""),2401.0)</f>
        <v>2401</v>
      </c>
    </row>
    <row r="695">
      <c r="A695" s="41" t="str">
        <f>IFERROR(__xludf.DUMMYFUNCTION("""COMPUTED_VALUE"""),"Challenger")</f>
        <v>Challenger</v>
      </c>
      <c r="B695" s="41" t="str">
        <f>IFERROR(__xludf.DUMMYFUNCTION("""COMPUTED_VALUE"""),"RSC008251")</f>
        <v>RSC008251</v>
      </c>
      <c r="C695" s="41" t="str">
        <f>IFERROR(__xludf.DUMMYFUNCTION("""COMPUTED_VALUE"""),"Honey x Badger3")</f>
        <v>Honey x Badger3</v>
      </c>
      <c r="D695" s="41" t="str">
        <f>IFERROR(__xludf.DUMMYFUNCTION("""COMPUTED_VALUE"""),"Happy B-day Jess
Corals")</f>
        <v>Happy B-day Jess
Corals</v>
      </c>
      <c r="E695" s="136">
        <f>IFERROR(__xludf.DUMMYFUNCTION("""COMPUTED_VALUE"""),40.0)</f>
        <v>40</v>
      </c>
      <c r="F695" s="136">
        <f>IFERROR(__xludf.DUMMYFUNCTION("""COMPUTED_VALUE"""),23.0)</f>
        <v>23</v>
      </c>
      <c r="G695" s="136">
        <f>IFERROR(__xludf.DUMMYFUNCTION("""COMPUTED_VALUE"""),17.0)</f>
        <v>17</v>
      </c>
      <c r="H695" s="137">
        <f>IFERROR(__xludf.DUMMYFUNCTION("""COMPUTED_VALUE"""),0.575)</f>
        <v>0.575</v>
      </c>
      <c r="I695" s="136">
        <f>IFERROR(__xludf.DUMMYFUNCTION("""COMPUTED_VALUE"""),7.0)</f>
        <v>7</v>
      </c>
      <c r="J695" s="136">
        <f>IFERROR(__xludf.DUMMYFUNCTION("""COMPUTED_VALUE"""),14191.0)</f>
        <v>14191</v>
      </c>
      <c r="K695" s="136">
        <f>IFERROR(__xludf.DUMMYFUNCTION("""COMPUTED_VALUE"""),34.0)</f>
        <v>34</v>
      </c>
      <c r="L695" s="136">
        <f>IFERROR(__xludf.DUMMYFUNCTION("""COMPUTED_VALUE"""),29.0)</f>
        <v>29</v>
      </c>
      <c r="M695" s="136">
        <f>IFERROR(__xludf.DUMMYFUNCTION("""COMPUTED_VALUE"""),41.0)</f>
        <v>41</v>
      </c>
      <c r="N695" s="136">
        <f>IFERROR(__xludf.DUMMYFUNCTION("""COMPUTED_VALUE"""),124.0)</f>
        <v>124</v>
      </c>
      <c r="O695" s="138">
        <f>IFERROR(__xludf.DUMMYFUNCTION("""COMPUTED_VALUE"""),10.0)</f>
        <v>10</v>
      </c>
      <c r="P695" s="138">
        <f>IFERROR(__xludf.DUMMYFUNCTION("""COMPUTED_VALUE"""),2.0)</f>
        <v>2</v>
      </c>
      <c r="Q695" s="138">
        <f>IFERROR(__xludf.DUMMYFUNCTION("""COMPUTED_VALUE"""),1.0)</f>
        <v>1</v>
      </c>
      <c r="R695" s="138">
        <f>IFERROR(__xludf.DUMMYFUNCTION("""COMPUTED_VALUE"""),2.0)</f>
        <v>2</v>
      </c>
      <c r="S695" s="139">
        <f>IFERROR(__xludf.DUMMYFUNCTION("""COMPUTED_VALUE"""),247.0)</f>
        <v>247</v>
      </c>
      <c r="T695" s="140">
        <f>IFERROR(__xludf.DUMMYFUNCTION("""COMPUTED_VALUE"""),87.0)</f>
        <v>87</v>
      </c>
      <c r="U695" s="136">
        <f>IFERROR(__xludf.DUMMYFUNCTION("""COMPUTED_VALUE"""),19.0)</f>
        <v>19</v>
      </c>
      <c r="V695" s="136">
        <f>IFERROR(__xludf.DUMMYFUNCTION("""COMPUTED_VALUE"""),54.0)</f>
        <v>54</v>
      </c>
      <c r="W695" s="136">
        <f>IFERROR(__xludf.DUMMYFUNCTION("""COMPUTED_VALUE"""),30.0)</f>
        <v>30</v>
      </c>
      <c r="X695" s="136">
        <f>IFERROR(__xludf.DUMMYFUNCTION("""COMPUTED_VALUE"""),378.875)</f>
        <v>378.875</v>
      </c>
      <c r="Y695" s="141">
        <f>IFERROR(__xludf.DUMMYFUNCTION("""COMPUTED_VALUE"""),49.319)</f>
        <v>49.319</v>
      </c>
      <c r="Z695" s="141">
        <f>IFERROR(__xludf.DUMMYFUNCTION("""COMPUTED_VALUE"""),2295.8)</f>
        <v>2295.8</v>
      </c>
    </row>
    <row r="696">
      <c r="A696" s="41" t="str">
        <f>IFERROR(__xludf.DUMMYFUNCTION("""COMPUTED_VALUE"""),"Elite")</f>
        <v>Elite</v>
      </c>
      <c r="B696" s="41" t="str">
        <f>IFERROR(__xludf.DUMMYFUNCTION("""COMPUTED_VALUE"""),"RSC008255")</f>
        <v>RSC008255</v>
      </c>
      <c r="C696" s="41" t="str">
        <f>IFERROR(__xludf.DUMMYFUNCTION("""COMPUTED_VALUE"""),"Knabit")</f>
        <v>Knabit</v>
      </c>
      <c r="D696" s="41" t="str">
        <f>IFERROR(__xludf.DUMMYFUNCTION("""COMPUTED_VALUE"""),"Embezzlers")</f>
        <v>Embezzlers</v>
      </c>
      <c r="E696" s="136">
        <f>IFERROR(__xludf.DUMMYFUNCTION("""COMPUTED_VALUE"""),52.0)</f>
        <v>52</v>
      </c>
      <c r="F696" s="136">
        <f>IFERROR(__xludf.DUMMYFUNCTION("""COMPUTED_VALUE"""),36.0)</f>
        <v>36</v>
      </c>
      <c r="G696" s="136">
        <f>IFERROR(__xludf.DUMMYFUNCTION("""COMPUTED_VALUE"""),16.0)</f>
        <v>16</v>
      </c>
      <c r="H696" s="137">
        <f>IFERROR(__xludf.DUMMYFUNCTION("""COMPUTED_VALUE"""),0.6923076923076923)</f>
        <v>0.6923076923</v>
      </c>
      <c r="I696" s="136">
        <f>IFERROR(__xludf.DUMMYFUNCTION("""COMPUTED_VALUE"""),10.0)</f>
        <v>10</v>
      </c>
      <c r="J696" s="136">
        <f>IFERROR(__xludf.DUMMYFUNCTION("""COMPUTED_VALUE"""),20641.0)</f>
        <v>20641</v>
      </c>
      <c r="K696" s="136">
        <f>IFERROR(__xludf.DUMMYFUNCTION("""COMPUTED_VALUE"""),47.0)</f>
        <v>47</v>
      </c>
      <c r="L696" s="136">
        <f>IFERROR(__xludf.DUMMYFUNCTION("""COMPUTED_VALUE"""),43.0)</f>
        <v>43</v>
      </c>
      <c r="M696" s="136">
        <f>IFERROR(__xludf.DUMMYFUNCTION("""COMPUTED_VALUE"""),80.0)</f>
        <v>80</v>
      </c>
      <c r="N696" s="136">
        <f>IFERROR(__xludf.DUMMYFUNCTION("""COMPUTED_VALUE"""),139.0)</f>
        <v>139</v>
      </c>
      <c r="O696" s="138">
        <f>IFERROR(__xludf.DUMMYFUNCTION("""COMPUTED_VALUE"""),16.0)</f>
        <v>16</v>
      </c>
      <c r="P696" s="138">
        <f>IFERROR(__xludf.DUMMYFUNCTION("""COMPUTED_VALUE"""),2.0)</f>
        <v>2</v>
      </c>
      <c r="Q696" s="138">
        <f>IFERROR(__xludf.DUMMYFUNCTION("""COMPUTED_VALUE"""),1.0)</f>
        <v>1</v>
      </c>
      <c r="R696" s="138">
        <f>IFERROR(__xludf.DUMMYFUNCTION("""COMPUTED_VALUE"""),7.0)</f>
        <v>7</v>
      </c>
      <c r="S696" s="139">
        <f>IFERROR(__xludf.DUMMYFUNCTION("""COMPUTED_VALUE"""),393.0)</f>
        <v>393</v>
      </c>
      <c r="T696" s="140">
        <f>IFERROR(__xludf.DUMMYFUNCTION("""COMPUTED_VALUE"""),96.0)</f>
        <v>96</v>
      </c>
      <c r="U696" s="136">
        <f>IFERROR(__xludf.DUMMYFUNCTION("""COMPUTED_VALUE"""),34.0)</f>
        <v>34</v>
      </c>
      <c r="V696" s="136">
        <f>IFERROR(__xludf.DUMMYFUNCTION("""COMPUTED_VALUE"""),60.0)</f>
        <v>60</v>
      </c>
      <c r="W696" s="136">
        <f>IFERROR(__xludf.DUMMYFUNCTION("""COMPUTED_VALUE"""),55.0)</f>
        <v>55</v>
      </c>
      <c r="X696" s="136">
        <f>IFERROR(__xludf.DUMMYFUNCTION("""COMPUTED_VALUE"""),434.8076923076923)</f>
        <v>434.8076923</v>
      </c>
      <c r="Y696" s="141">
        <f>IFERROR(__xludf.DUMMYFUNCTION("""COMPUTED_VALUE"""),49.71192307692306)</f>
        <v>49.71192308</v>
      </c>
      <c r="Z696" s="141">
        <f>IFERROR(__xludf.DUMMYFUNCTION("""COMPUTED_VALUE"""),2611.519230769231)</f>
        <v>2611.519231</v>
      </c>
    </row>
    <row r="697">
      <c r="A697" s="41" t="str">
        <f>IFERROR(__xludf.DUMMYFUNCTION("""COMPUTED_VALUE"""),"Prospect")</f>
        <v>Prospect</v>
      </c>
      <c r="B697" s="41" t="str">
        <f>IFERROR(__xludf.DUMMYFUNCTION("""COMPUTED_VALUE"""),"RSC008257")</f>
        <v>RSC008257</v>
      </c>
      <c r="C697" s="41" t="str">
        <f>IFERROR(__xludf.DUMMYFUNCTION("""COMPUTED_VALUE"""),"Arana6059")</f>
        <v>Arana6059</v>
      </c>
      <c r="D697" s="41" t="str">
        <f>IFERROR(__xludf.DUMMYFUNCTION("""COMPUTED_VALUE"""),"Piranhas
Turbulence")</f>
        <v>Piranhas
Turbulence</v>
      </c>
      <c r="E697" s="136">
        <f>IFERROR(__xludf.DUMMYFUNCTION("""COMPUTED_VALUE"""),31.0)</f>
        <v>31</v>
      </c>
      <c r="F697" s="136">
        <f>IFERROR(__xludf.DUMMYFUNCTION("""COMPUTED_VALUE"""),24.0)</f>
        <v>24</v>
      </c>
      <c r="G697" s="136">
        <f>IFERROR(__xludf.DUMMYFUNCTION("""COMPUTED_VALUE"""),7.0)</f>
        <v>7</v>
      </c>
      <c r="H697" s="137">
        <f>IFERROR(__xludf.DUMMYFUNCTION("""COMPUTED_VALUE"""),0.7741935483870968)</f>
        <v>0.7741935484</v>
      </c>
      <c r="I697" s="136">
        <f>IFERROR(__xludf.DUMMYFUNCTION("""COMPUTED_VALUE"""),10.0)</f>
        <v>10</v>
      </c>
      <c r="J697" s="136">
        <f>IFERROR(__xludf.DUMMYFUNCTION("""COMPUTED_VALUE"""),11510.0)</f>
        <v>11510</v>
      </c>
      <c r="K697" s="136">
        <f>IFERROR(__xludf.DUMMYFUNCTION("""COMPUTED_VALUE"""),34.0)</f>
        <v>34</v>
      </c>
      <c r="L697" s="136">
        <f>IFERROR(__xludf.DUMMYFUNCTION("""COMPUTED_VALUE"""),16.0)</f>
        <v>16</v>
      </c>
      <c r="M697" s="136">
        <f>IFERROR(__xludf.DUMMYFUNCTION("""COMPUTED_VALUE"""),30.0)</f>
        <v>30</v>
      </c>
      <c r="N697" s="136">
        <f>IFERROR(__xludf.DUMMYFUNCTION("""COMPUTED_VALUE"""),103.0)</f>
        <v>103</v>
      </c>
      <c r="O697" s="138">
        <f>IFERROR(__xludf.DUMMYFUNCTION("""COMPUTED_VALUE"""),3.0)</f>
        <v>3</v>
      </c>
      <c r="P697" s="138">
        <f>IFERROR(__xludf.DUMMYFUNCTION("""COMPUTED_VALUE"""),6.0)</f>
        <v>6</v>
      </c>
      <c r="Q697" s="138">
        <f>IFERROR(__xludf.DUMMYFUNCTION("""COMPUTED_VALUE"""),0.0)</f>
        <v>0</v>
      </c>
      <c r="R697" s="138">
        <f>IFERROR(__xludf.DUMMYFUNCTION("""COMPUTED_VALUE"""),5.0)</f>
        <v>5</v>
      </c>
      <c r="S697" s="139">
        <f>IFERROR(__xludf.DUMMYFUNCTION("""COMPUTED_VALUE"""),208.0)</f>
        <v>208</v>
      </c>
      <c r="T697" s="140">
        <f>IFERROR(__xludf.DUMMYFUNCTION("""COMPUTED_VALUE"""),59.0)</f>
        <v>59</v>
      </c>
      <c r="U697" s="136">
        <f>IFERROR(__xludf.DUMMYFUNCTION("""COMPUTED_VALUE"""),19.0)</f>
        <v>19</v>
      </c>
      <c r="V697" s="136">
        <f>IFERROR(__xludf.DUMMYFUNCTION("""COMPUTED_VALUE"""),7.0)</f>
        <v>7</v>
      </c>
      <c r="W697" s="136">
        <f>IFERROR(__xludf.DUMMYFUNCTION("""COMPUTED_VALUE"""),38.0)</f>
        <v>38</v>
      </c>
      <c r="X697" s="136">
        <f>IFERROR(__xludf.DUMMYFUNCTION("""COMPUTED_VALUE"""),270.93548387096774)</f>
        <v>270.9354839</v>
      </c>
      <c r="Y697" s="141">
        <f>IFERROR(__xludf.DUMMYFUNCTION("""COMPUTED_VALUE"""),55.05225806451614)</f>
        <v>55.05225806</v>
      </c>
      <c r="Z697" s="141">
        <f>IFERROR(__xludf.DUMMYFUNCTION("""COMPUTED_VALUE"""),1782.1935483870968)</f>
        <v>1782.193548</v>
      </c>
    </row>
    <row r="698">
      <c r="A698" s="41" t="str">
        <f>IFERROR(__xludf.DUMMYFUNCTION("""COMPUTED_VALUE"""),"Rival")</f>
        <v>Rival</v>
      </c>
      <c r="B698" s="41" t="str">
        <f>IFERROR(__xludf.DUMMYFUNCTION("""COMPUTED_VALUE"""),"RSC008259")</f>
        <v>RSC008259</v>
      </c>
      <c r="C698" s="41" t="str">
        <f>IFERROR(__xludf.DUMMYFUNCTION("""COMPUTED_VALUE"""),"Puma")</f>
        <v>Puma</v>
      </c>
      <c r="D698" s="41" t="str">
        <f>IFERROR(__xludf.DUMMYFUNCTION("""COMPUTED_VALUE"""),"Samurai")</f>
        <v>Samurai</v>
      </c>
      <c r="E698" s="136">
        <f>IFERROR(__xludf.DUMMYFUNCTION("""COMPUTED_VALUE"""),39.0)</f>
        <v>39</v>
      </c>
      <c r="F698" s="136">
        <f>IFERROR(__xludf.DUMMYFUNCTION("""COMPUTED_VALUE"""),17.0)</f>
        <v>17</v>
      </c>
      <c r="G698" s="136">
        <f>IFERROR(__xludf.DUMMYFUNCTION("""COMPUTED_VALUE"""),22.0)</f>
        <v>22</v>
      </c>
      <c r="H698" s="137">
        <f>IFERROR(__xludf.DUMMYFUNCTION("""COMPUTED_VALUE"""),0.4358974358974359)</f>
        <v>0.4358974359</v>
      </c>
      <c r="I698" s="136">
        <f>IFERROR(__xludf.DUMMYFUNCTION("""COMPUTED_VALUE"""),5.0)</f>
        <v>5</v>
      </c>
      <c r="J698" s="136">
        <f>IFERROR(__xludf.DUMMYFUNCTION("""COMPUTED_VALUE"""),14136.0)</f>
        <v>14136</v>
      </c>
      <c r="K698" s="136">
        <f>IFERROR(__xludf.DUMMYFUNCTION("""COMPUTED_VALUE"""),28.0)</f>
        <v>28</v>
      </c>
      <c r="L698" s="136">
        <f>IFERROR(__xludf.DUMMYFUNCTION("""COMPUTED_VALUE"""),25.0)</f>
        <v>25</v>
      </c>
      <c r="M698" s="136">
        <f>IFERROR(__xludf.DUMMYFUNCTION("""COMPUTED_VALUE"""),61.0)</f>
        <v>61</v>
      </c>
      <c r="N698" s="136">
        <f>IFERROR(__xludf.DUMMYFUNCTION("""COMPUTED_VALUE"""),106.0)</f>
        <v>106</v>
      </c>
      <c r="O698" s="138">
        <f>IFERROR(__xludf.DUMMYFUNCTION("""COMPUTED_VALUE"""),6.0)</f>
        <v>6</v>
      </c>
      <c r="P698" s="138">
        <f>IFERROR(__xludf.DUMMYFUNCTION("""COMPUTED_VALUE"""),2.0)</f>
        <v>2</v>
      </c>
      <c r="Q698" s="138">
        <f>IFERROR(__xludf.DUMMYFUNCTION("""COMPUTED_VALUE"""),2.0)</f>
        <v>2</v>
      </c>
      <c r="R698" s="138">
        <f>IFERROR(__xludf.DUMMYFUNCTION("""COMPUTED_VALUE"""),10.0)</f>
        <v>10</v>
      </c>
      <c r="S698" s="139">
        <f>IFERROR(__xludf.DUMMYFUNCTION("""COMPUTED_VALUE"""),327.0)</f>
        <v>327</v>
      </c>
      <c r="T698" s="140">
        <f>IFERROR(__xludf.DUMMYFUNCTION("""COMPUTED_VALUE"""),98.0)</f>
        <v>98</v>
      </c>
      <c r="U698" s="136">
        <f>IFERROR(__xludf.DUMMYFUNCTION("""COMPUTED_VALUE"""),48.0)</f>
        <v>48</v>
      </c>
      <c r="V698" s="136">
        <f>IFERROR(__xludf.DUMMYFUNCTION("""COMPUTED_VALUE"""),37.0)</f>
        <v>37</v>
      </c>
      <c r="W698" s="136">
        <f>IFERROR(__xludf.DUMMYFUNCTION("""COMPUTED_VALUE"""),38.0)</f>
        <v>38</v>
      </c>
      <c r="X698" s="136">
        <f>IFERROR(__xludf.DUMMYFUNCTION("""COMPUTED_VALUE"""),336.28205128205127)</f>
        <v>336.2820513</v>
      </c>
      <c r="Y698" s="141">
        <f>IFERROR(__xludf.DUMMYFUNCTION("""COMPUTED_VALUE"""),46.487435897435894)</f>
        <v>46.4874359</v>
      </c>
      <c r="Z698" s="141">
        <f>IFERROR(__xludf.DUMMYFUNCTION("""COMPUTED_VALUE"""),2118.4871794871797)</f>
        <v>2118.487179</v>
      </c>
    </row>
    <row r="699">
      <c r="A699" s="41" t="str">
        <f>IFERROR(__xludf.DUMMYFUNCTION("""COMPUTED_VALUE"""),"Challenger")</f>
        <v>Challenger</v>
      </c>
      <c r="B699" s="41" t="str">
        <f>IFERROR(__xludf.DUMMYFUNCTION("""COMPUTED_VALUE"""),"RSC008260")</f>
        <v>RSC008260</v>
      </c>
      <c r="C699" s="41" t="str">
        <f>IFERROR(__xludf.DUMMYFUNCTION("""COMPUTED_VALUE"""),"Crucified6856")</f>
        <v>Crucified6856</v>
      </c>
      <c r="D699" s="41" t="str">
        <f>IFERROR(__xludf.DUMMYFUNCTION("""COMPUTED_VALUE"""),"Glaciers")</f>
        <v>Glaciers</v>
      </c>
      <c r="E699" s="136">
        <f>IFERROR(__xludf.DUMMYFUNCTION("""COMPUTED_VALUE"""),49.0)</f>
        <v>49</v>
      </c>
      <c r="F699" s="136">
        <f>IFERROR(__xludf.DUMMYFUNCTION("""COMPUTED_VALUE"""),27.0)</f>
        <v>27</v>
      </c>
      <c r="G699" s="136">
        <f>IFERROR(__xludf.DUMMYFUNCTION("""COMPUTED_VALUE"""),22.0)</f>
        <v>22</v>
      </c>
      <c r="H699" s="137">
        <f>IFERROR(__xludf.DUMMYFUNCTION("""COMPUTED_VALUE"""),0.5510204081632653)</f>
        <v>0.5510204082</v>
      </c>
      <c r="I699" s="136">
        <f>IFERROR(__xludf.DUMMYFUNCTION("""COMPUTED_VALUE"""),15.0)</f>
        <v>15</v>
      </c>
      <c r="J699" s="136">
        <f>IFERROR(__xludf.DUMMYFUNCTION("""COMPUTED_VALUE"""),19944.0)</f>
        <v>19944</v>
      </c>
      <c r="K699" s="136">
        <f>IFERROR(__xludf.DUMMYFUNCTION("""COMPUTED_VALUE"""),50.0)</f>
        <v>50</v>
      </c>
      <c r="L699" s="136">
        <f>IFERROR(__xludf.DUMMYFUNCTION("""COMPUTED_VALUE"""),27.0)</f>
        <v>27</v>
      </c>
      <c r="M699" s="136">
        <f>IFERROR(__xludf.DUMMYFUNCTION("""COMPUTED_VALUE"""),65.0)</f>
        <v>65</v>
      </c>
      <c r="N699" s="136">
        <f>IFERROR(__xludf.DUMMYFUNCTION("""COMPUTED_VALUE"""),162.0)</f>
        <v>162</v>
      </c>
      <c r="O699" s="138">
        <f>IFERROR(__xludf.DUMMYFUNCTION("""COMPUTED_VALUE"""),8.0)</f>
        <v>8</v>
      </c>
      <c r="P699" s="138">
        <f>IFERROR(__xludf.DUMMYFUNCTION("""COMPUTED_VALUE"""),6.0)</f>
        <v>6</v>
      </c>
      <c r="Q699" s="138">
        <f>IFERROR(__xludf.DUMMYFUNCTION("""COMPUTED_VALUE"""),0.0)</f>
        <v>0</v>
      </c>
      <c r="R699" s="138">
        <f>IFERROR(__xludf.DUMMYFUNCTION("""COMPUTED_VALUE"""),4.0)</f>
        <v>4</v>
      </c>
      <c r="S699" s="139">
        <f>IFERROR(__xludf.DUMMYFUNCTION("""COMPUTED_VALUE"""),344.0)</f>
        <v>344</v>
      </c>
      <c r="T699" s="140">
        <f>IFERROR(__xludf.DUMMYFUNCTION("""COMPUTED_VALUE"""),105.0)</f>
        <v>105</v>
      </c>
      <c r="U699" s="136">
        <f>IFERROR(__xludf.DUMMYFUNCTION("""COMPUTED_VALUE"""),36.0)</f>
        <v>36</v>
      </c>
      <c r="V699" s="136">
        <f>IFERROR(__xludf.DUMMYFUNCTION("""COMPUTED_VALUE"""),36.0)</f>
        <v>36</v>
      </c>
      <c r="W699" s="136">
        <f>IFERROR(__xludf.DUMMYFUNCTION("""COMPUTED_VALUE"""),65.0)</f>
        <v>65</v>
      </c>
      <c r="X699" s="136">
        <f>IFERROR(__xludf.DUMMYFUNCTION("""COMPUTED_VALUE"""),373.8979591836735)</f>
        <v>373.8979592</v>
      </c>
      <c r="Y699" s="141">
        <f>IFERROR(__xludf.DUMMYFUNCTION("""COMPUTED_VALUE"""),48.89510204081632)</f>
        <v>48.89510204</v>
      </c>
      <c r="Z699" s="141">
        <f>IFERROR(__xludf.DUMMYFUNCTION("""COMPUTED_VALUE"""),2215.8979591836733)</f>
        <v>2215.897959</v>
      </c>
    </row>
    <row r="700">
      <c r="A700" s="41" t="str">
        <f>IFERROR(__xludf.DUMMYFUNCTION("""COMPUTED_VALUE"""),"Challenger")</f>
        <v>Challenger</v>
      </c>
      <c r="B700" s="41" t="str">
        <f>IFERROR(__xludf.DUMMYFUNCTION("""COMPUTED_VALUE"""),"RSC008271")</f>
        <v>RSC008271</v>
      </c>
      <c r="C700" s="41" t="str">
        <f>IFERROR(__xludf.DUMMYFUNCTION("""COMPUTED_VALUE"""),"Zenitramx-_-")</f>
        <v>Zenitramx-_-</v>
      </c>
      <c r="D700" s="41" t="str">
        <f>IFERROR(__xludf.DUMMYFUNCTION("""COMPUTED_VALUE"""),"Glams")</f>
        <v>Glams</v>
      </c>
      <c r="E700" s="136">
        <f>IFERROR(__xludf.DUMMYFUNCTION("""COMPUTED_VALUE"""),4.0)</f>
        <v>4</v>
      </c>
      <c r="F700" s="136">
        <f>IFERROR(__xludf.DUMMYFUNCTION("""COMPUTED_VALUE"""),2.0)</f>
        <v>2</v>
      </c>
      <c r="G700" s="136">
        <f>IFERROR(__xludf.DUMMYFUNCTION("""COMPUTED_VALUE"""),2.0)</f>
        <v>2</v>
      </c>
      <c r="H700" s="137">
        <f>IFERROR(__xludf.DUMMYFUNCTION("""COMPUTED_VALUE"""),0.5)</f>
        <v>0.5</v>
      </c>
      <c r="I700" s="136">
        <f>IFERROR(__xludf.DUMMYFUNCTION("""COMPUTED_VALUE"""),0.0)</f>
        <v>0</v>
      </c>
      <c r="J700" s="136">
        <f>IFERROR(__xludf.DUMMYFUNCTION("""COMPUTED_VALUE"""),859.0)</f>
        <v>859</v>
      </c>
      <c r="K700" s="136">
        <f>IFERROR(__xludf.DUMMYFUNCTION("""COMPUTED_VALUE"""),1.0)</f>
        <v>1</v>
      </c>
      <c r="L700" s="136">
        <f>IFERROR(__xludf.DUMMYFUNCTION("""COMPUTED_VALUE"""),1.0)</f>
        <v>1</v>
      </c>
      <c r="M700" s="136">
        <f>IFERROR(__xludf.DUMMYFUNCTION("""COMPUTED_VALUE"""),4.0)</f>
        <v>4</v>
      </c>
      <c r="N700" s="136">
        <f>IFERROR(__xludf.DUMMYFUNCTION("""COMPUTED_VALUE"""),4.0)</f>
        <v>4</v>
      </c>
      <c r="O700" s="138">
        <f>IFERROR(__xludf.DUMMYFUNCTION("""COMPUTED_VALUE"""),0.0)</f>
        <v>0</v>
      </c>
      <c r="P700" s="138">
        <f>IFERROR(__xludf.DUMMYFUNCTION("""COMPUTED_VALUE"""),0.0)</f>
        <v>0</v>
      </c>
      <c r="Q700" s="138">
        <f>IFERROR(__xludf.DUMMYFUNCTION("""COMPUTED_VALUE"""),0.0)</f>
        <v>0</v>
      </c>
      <c r="R700" s="138">
        <f>IFERROR(__xludf.DUMMYFUNCTION("""COMPUTED_VALUE"""),0.0)</f>
        <v>0</v>
      </c>
      <c r="S700" s="139">
        <f>IFERROR(__xludf.DUMMYFUNCTION("""COMPUTED_VALUE"""),34.0)</f>
        <v>34</v>
      </c>
      <c r="T700" s="140">
        <f>IFERROR(__xludf.DUMMYFUNCTION("""COMPUTED_VALUE"""),11.0)</f>
        <v>11</v>
      </c>
      <c r="U700" s="136">
        <f>IFERROR(__xludf.DUMMYFUNCTION("""COMPUTED_VALUE"""),4.0)</f>
        <v>4</v>
      </c>
      <c r="V700" s="136">
        <f>IFERROR(__xludf.DUMMYFUNCTION("""COMPUTED_VALUE"""),3.0)</f>
        <v>3</v>
      </c>
      <c r="W700" s="136">
        <f>IFERROR(__xludf.DUMMYFUNCTION("""COMPUTED_VALUE"""),2.0)</f>
        <v>2</v>
      </c>
      <c r="X700" s="136">
        <f>IFERROR(__xludf.DUMMYFUNCTION("""COMPUTED_VALUE"""),454.5)</f>
        <v>454.5</v>
      </c>
      <c r="Y700" s="141">
        <f>IFERROR(__xludf.DUMMYFUNCTION("""COMPUTED_VALUE"""),45.057500000000005)</f>
        <v>45.0575</v>
      </c>
      <c r="Z700" s="141">
        <f>IFERROR(__xludf.DUMMYFUNCTION("""COMPUTED_VALUE"""),2557.0)</f>
        <v>2557</v>
      </c>
    </row>
    <row r="701">
      <c r="A701" s="41" t="str">
        <f>IFERROR(__xludf.DUMMYFUNCTION("""COMPUTED_VALUE"""),"Prospect")</f>
        <v>Prospect</v>
      </c>
      <c r="B701" s="41" t="str">
        <f>IFERROR(__xludf.DUMMYFUNCTION("""COMPUTED_VALUE"""),"RSC008278")</f>
        <v>RSC008278</v>
      </c>
      <c r="C701" s="41" t="str">
        <f>IFERROR(__xludf.DUMMYFUNCTION("""COMPUTED_VALUE"""),"tacosbruh1299")</f>
        <v>tacosbruh1299</v>
      </c>
      <c r="D701" s="41" t="str">
        <f>IFERROR(__xludf.DUMMYFUNCTION("""COMPUTED_VALUE"""),"Tanuki")</f>
        <v>Tanuki</v>
      </c>
      <c r="E701" s="136">
        <f>IFERROR(__xludf.DUMMYFUNCTION("""COMPUTED_VALUE"""),52.0)</f>
        <v>52</v>
      </c>
      <c r="F701" s="136">
        <f>IFERROR(__xludf.DUMMYFUNCTION("""COMPUTED_VALUE"""),22.0)</f>
        <v>22</v>
      </c>
      <c r="G701" s="136">
        <f>IFERROR(__xludf.DUMMYFUNCTION("""COMPUTED_VALUE"""),30.0)</f>
        <v>30</v>
      </c>
      <c r="H701" s="137">
        <f>IFERROR(__xludf.DUMMYFUNCTION("""COMPUTED_VALUE"""),0.4230769230769231)</f>
        <v>0.4230769231</v>
      </c>
      <c r="I701" s="136">
        <f>IFERROR(__xludf.DUMMYFUNCTION("""COMPUTED_VALUE"""),8.0)</f>
        <v>8</v>
      </c>
      <c r="J701" s="136">
        <f>IFERROR(__xludf.DUMMYFUNCTION("""COMPUTED_VALUE"""),17944.0)</f>
        <v>17944</v>
      </c>
      <c r="K701" s="136">
        <f>IFERROR(__xludf.DUMMYFUNCTION("""COMPUTED_VALUE"""),37.0)</f>
        <v>37</v>
      </c>
      <c r="L701" s="136">
        <f>IFERROR(__xludf.DUMMYFUNCTION("""COMPUTED_VALUE"""),24.0)</f>
        <v>24</v>
      </c>
      <c r="M701" s="136">
        <f>IFERROR(__xludf.DUMMYFUNCTION("""COMPUTED_VALUE"""),76.0)</f>
        <v>76</v>
      </c>
      <c r="N701" s="136">
        <f>IFERROR(__xludf.DUMMYFUNCTION("""COMPUTED_VALUE"""),113.0)</f>
        <v>113</v>
      </c>
      <c r="O701" s="138">
        <f>IFERROR(__xludf.DUMMYFUNCTION("""COMPUTED_VALUE"""),6.0)</f>
        <v>6</v>
      </c>
      <c r="P701" s="138">
        <f>IFERROR(__xludf.DUMMYFUNCTION("""COMPUTED_VALUE"""),5.0)</f>
        <v>5</v>
      </c>
      <c r="Q701" s="138">
        <f>IFERROR(__xludf.DUMMYFUNCTION("""COMPUTED_VALUE"""),2.0)</f>
        <v>2</v>
      </c>
      <c r="R701" s="138">
        <f>IFERROR(__xludf.DUMMYFUNCTION("""COMPUTED_VALUE"""),11.0)</f>
        <v>11</v>
      </c>
      <c r="S701" s="139">
        <f>IFERROR(__xludf.DUMMYFUNCTION("""COMPUTED_VALUE"""),362.0)</f>
        <v>362</v>
      </c>
      <c r="T701" s="140">
        <f>IFERROR(__xludf.DUMMYFUNCTION("""COMPUTED_VALUE"""),122.0)</f>
        <v>122</v>
      </c>
      <c r="U701" s="136">
        <f>IFERROR(__xludf.DUMMYFUNCTION("""COMPUTED_VALUE"""),48.0)</f>
        <v>48</v>
      </c>
      <c r="V701" s="136">
        <f>IFERROR(__xludf.DUMMYFUNCTION("""COMPUTED_VALUE"""),69.0)</f>
        <v>69</v>
      </c>
      <c r="W701" s="136">
        <f>IFERROR(__xludf.DUMMYFUNCTION("""COMPUTED_VALUE"""),39.0)</f>
        <v>39</v>
      </c>
      <c r="X701" s="136">
        <f>IFERROR(__xludf.DUMMYFUNCTION("""COMPUTED_VALUE"""),361.8269230769231)</f>
        <v>361.8269231</v>
      </c>
      <c r="Y701" s="141">
        <f>IFERROR(__xludf.DUMMYFUNCTION("""COMPUTED_VALUE"""),53.44961538461538)</f>
        <v>53.44961538</v>
      </c>
      <c r="Z701" s="141">
        <f>IFERROR(__xludf.DUMMYFUNCTION("""COMPUTED_VALUE"""),2117.019230769231)</f>
        <v>2117.019231</v>
      </c>
    </row>
    <row r="702">
      <c r="A702" s="41" t="str">
        <f>IFERROR(__xludf.DUMMYFUNCTION("""COMPUTED_VALUE"""),"Premier")</f>
        <v>Premier</v>
      </c>
      <c r="B702" s="41" t="str">
        <f>IFERROR(__xludf.DUMMYFUNCTION("""COMPUTED_VALUE"""),"RSC008285")</f>
        <v>RSC008285</v>
      </c>
      <c r="C702" s="41" t="str">
        <f>IFERROR(__xludf.DUMMYFUNCTION("""COMPUTED_VALUE"""),"ChiRho_-")</f>
        <v>ChiRho_-</v>
      </c>
      <c r="D702" s="41" t="str">
        <f>IFERROR(__xludf.DUMMYFUNCTION("""COMPUTED_VALUE"""),"Leviathans")</f>
        <v>Leviathans</v>
      </c>
      <c r="E702" s="136">
        <f>IFERROR(__xludf.DUMMYFUNCTION("""COMPUTED_VALUE"""),12.0)</f>
        <v>12</v>
      </c>
      <c r="F702" s="136">
        <f>IFERROR(__xludf.DUMMYFUNCTION("""COMPUTED_VALUE"""),4.0)</f>
        <v>4</v>
      </c>
      <c r="G702" s="136">
        <f>IFERROR(__xludf.DUMMYFUNCTION("""COMPUTED_VALUE"""),8.0)</f>
        <v>8</v>
      </c>
      <c r="H702" s="137">
        <f>IFERROR(__xludf.DUMMYFUNCTION("""COMPUTED_VALUE"""),0.3333333333333333)</f>
        <v>0.3333333333</v>
      </c>
      <c r="I702" s="136">
        <f>IFERROR(__xludf.DUMMYFUNCTION("""COMPUTED_VALUE"""),1.0)</f>
        <v>1</v>
      </c>
      <c r="J702" s="136">
        <f>IFERROR(__xludf.DUMMYFUNCTION("""COMPUTED_VALUE"""),3801.0)</f>
        <v>3801</v>
      </c>
      <c r="K702" s="136">
        <f>IFERROR(__xludf.DUMMYFUNCTION("""COMPUTED_VALUE"""),4.0)</f>
        <v>4</v>
      </c>
      <c r="L702" s="136">
        <f>IFERROR(__xludf.DUMMYFUNCTION("""COMPUTED_VALUE"""),10.0)</f>
        <v>10</v>
      </c>
      <c r="M702" s="136">
        <f>IFERROR(__xludf.DUMMYFUNCTION("""COMPUTED_VALUE"""),19.0)</f>
        <v>19</v>
      </c>
      <c r="N702" s="136">
        <f>IFERROR(__xludf.DUMMYFUNCTION("""COMPUTED_VALUE"""),25.0)</f>
        <v>25</v>
      </c>
      <c r="O702" s="138">
        <f>IFERROR(__xludf.DUMMYFUNCTION("""COMPUTED_VALUE"""),3.0)</f>
        <v>3</v>
      </c>
      <c r="P702" s="138">
        <f>IFERROR(__xludf.DUMMYFUNCTION("""COMPUTED_VALUE"""),0.0)</f>
        <v>0</v>
      </c>
      <c r="Q702" s="138">
        <f>IFERROR(__xludf.DUMMYFUNCTION("""COMPUTED_VALUE"""),0.0)</f>
        <v>0</v>
      </c>
      <c r="R702" s="138">
        <f>IFERROR(__xludf.DUMMYFUNCTION("""COMPUTED_VALUE"""),1.0)</f>
        <v>1</v>
      </c>
      <c r="S702" s="139">
        <f>IFERROR(__xludf.DUMMYFUNCTION("""COMPUTED_VALUE"""),123.0)</f>
        <v>123</v>
      </c>
      <c r="T702" s="140">
        <f>IFERROR(__xludf.DUMMYFUNCTION("""COMPUTED_VALUE"""),37.0)</f>
        <v>37</v>
      </c>
      <c r="U702" s="136">
        <f>IFERROR(__xludf.DUMMYFUNCTION("""COMPUTED_VALUE"""),14.0)</f>
        <v>14</v>
      </c>
      <c r="V702" s="136">
        <f>IFERROR(__xludf.DUMMYFUNCTION("""COMPUTED_VALUE"""),9.0)</f>
        <v>9</v>
      </c>
      <c r="W702" s="136">
        <f>IFERROR(__xludf.DUMMYFUNCTION("""COMPUTED_VALUE"""),12.0)</f>
        <v>12</v>
      </c>
      <c r="X702" s="136">
        <f>IFERROR(__xludf.DUMMYFUNCTION("""COMPUTED_VALUE"""),324.3333333333333)</f>
        <v>324.3333333</v>
      </c>
      <c r="Y702" s="141">
        <f>IFERROR(__xludf.DUMMYFUNCTION("""COMPUTED_VALUE"""),51.494166666666665)</f>
        <v>51.49416667</v>
      </c>
      <c r="Z702" s="141">
        <f>IFERROR(__xludf.DUMMYFUNCTION("""COMPUTED_VALUE"""),1889.9166666666667)</f>
        <v>1889.916667</v>
      </c>
    </row>
    <row r="703">
      <c r="A703" s="41" t="str">
        <f>IFERROR(__xludf.DUMMYFUNCTION("""COMPUTED_VALUE"""),"Master")</f>
        <v>Master</v>
      </c>
      <c r="B703" s="41" t="str">
        <f>IFERROR(__xludf.DUMMYFUNCTION("""COMPUTED_VALUE"""),"RSC008285")</f>
        <v>RSC008285</v>
      </c>
      <c r="C703" s="41" t="str">
        <f>IFERROR(__xludf.DUMMYFUNCTION("""COMPUTED_VALUE"""),"ChiRho_-")</f>
        <v>ChiRho_-</v>
      </c>
      <c r="D703" s="41" t="str">
        <f>IFERROR(__xludf.DUMMYFUNCTION("""COMPUTED_VALUE"""),"Reapers")</f>
        <v>Reapers</v>
      </c>
      <c r="E703" s="136">
        <f>IFERROR(__xludf.DUMMYFUNCTION("""COMPUTED_VALUE"""),4.0)</f>
        <v>4</v>
      </c>
      <c r="F703" s="136">
        <f>IFERROR(__xludf.DUMMYFUNCTION("""COMPUTED_VALUE"""),3.0)</f>
        <v>3</v>
      </c>
      <c r="G703" s="136">
        <f>IFERROR(__xludf.DUMMYFUNCTION("""COMPUTED_VALUE"""),1.0)</f>
        <v>1</v>
      </c>
      <c r="H703" s="137">
        <f>IFERROR(__xludf.DUMMYFUNCTION("""COMPUTED_VALUE"""),0.75)</f>
        <v>0.75</v>
      </c>
      <c r="I703" s="136">
        <f>IFERROR(__xludf.DUMMYFUNCTION("""COMPUTED_VALUE"""),2.0)</f>
        <v>2</v>
      </c>
      <c r="J703" s="136">
        <f>IFERROR(__xludf.DUMMYFUNCTION("""COMPUTED_VALUE"""),1691.0)</f>
        <v>1691</v>
      </c>
      <c r="K703" s="136">
        <f>IFERROR(__xludf.DUMMYFUNCTION("""COMPUTED_VALUE"""),5.0)</f>
        <v>5</v>
      </c>
      <c r="L703" s="136">
        <f>IFERROR(__xludf.DUMMYFUNCTION("""COMPUTED_VALUE"""),2.0)</f>
        <v>2</v>
      </c>
      <c r="M703" s="136">
        <f>IFERROR(__xludf.DUMMYFUNCTION("""COMPUTED_VALUE"""),7.0)</f>
        <v>7</v>
      </c>
      <c r="N703" s="136">
        <f>IFERROR(__xludf.DUMMYFUNCTION("""COMPUTED_VALUE"""),6.0)</f>
        <v>6</v>
      </c>
      <c r="O703" s="138">
        <f>IFERROR(__xludf.DUMMYFUNCTION("""COMPUTED_VALUE"""),1.0)</f>
        <v>1</v>
      </c>
      <c r="P703" s="138">
        <f>IFERROR(__xludf.DUMMYFUNCTION("""COMPUTED_VALUE"""),0.0)</f>
        <v>0</v>
      </c>
      <c r="Q703" s="138">
        <f>IFERROR(__xludf.DUMMYFUNCTION("""COMPUTED_VALUE"""),0.0)</f>
        <v>0</v>
      </c>
      <c r="R703" s="138">
        <f>IFERROR(__xludf.DUMMYFUNCTION("""COMPUTED_VALUE"""),0.0)</f>
        <v>0</v>
      </c>
      <c r="S703" s="139">
        <f>IFERROR(__xludf.DUMMYFUNCTION("""COMPUTED_VALUE"""),25.0)</f>
        <v>25</v>
      </c>
      <c r="T703" s="140">
        <f>IFERROR(__xludf.DUMMYFUNCTION("""COMPUTED_VALUE"""),7.0)</f>
        <v>7</v>
      </c>
      <c r="U703" s="136">
        <f>IFERROR(__xludf.DUMMYFUNCTION("""COMPUTED_VALUE"""),2.0)</f>
        <v>2</v>
      </c>
      <c r="V703" s="136">
        <f>IFERROR(__xludf.DUMMYFUNCTION("""COMPUTED_VALUE"""),1.0)</f>
        <v>1</v>
      </c>
      <c r="W703" s="136">
        <f>IFERROR(__xludf.DUMMYFUNCTION("""COMPUTED_VALUE"""),5.0)</f>
        <v>5</v>
      </c>
      <c r="X703" s="136">
        <f>IFERROR(__xludf.DUMMYFUNCTION("""COMPUTED_VALUE"""),333.5)</f>
        <v>333.5</v>
      </c>
      <c r="Y703" s="141">
        <f>IFERROR(__xludf.DUMMYFUNCTION("""COMPUTED_VALUE"""),54.17250000000001)</f>
        <v>54.1725</v>
      </c>
      <c r="Z703" s="141">
        <f>IFERROR(__xludf.DUMMYFUNCTION("""COMPUTED_VALUE"""),1925.0)</f>
        <v>1925</v>
      </c>
    </row>
    <row r="704">
      <c r="A704" s="41" t="str">
        <f>IFERROR(__xludf.DUMMYFUNCTION("""COMPUTED_VALUE"""),"Challenger")</f>
        <v>Challenger</v>
      </c>
      <c r="B704" s="41" t="str">
        <f>IFERROR(__xludf.DUMMYFUNCTION("""COMPUTED_VALUE"""),"RSC008288")</f>
        <v>RSC008288</v>
      </c>
      <c r="C704" s="41" t="str">
        <f>IFERROR(__xludf.DUMMYFUNCTION("""COMPUTED_VALUE"""),"WifiWFB")</f>
        <v>WifiWFB</v>
      </c>
      <c r="D704" s="41" t="str">
        <f>IFERROR(__xludf.DUMMYFUNCTION("""COMPUTED_VALUE"""),"Thunder Pups
Blitzars")</f>
        <v>Thunder Pups
Blitzars</v>
      </c>
      <c r="E704" s="136">
        <f>IFERROR(__xludf.DUMMYFUNCTION("""COMPUTED_VALUE"""),36.0)</f>
        <v>36</v>
      </c>
      <c r="F704" s="136">
        <f>IFERROR(__xludf.DUMMYFUNCTION("""COMPUTED_VALUE"""),27.0)</f>
        <v>27</v>
      </c>
      <c r="G704" s="136">
        <f>IFERROR(__xludf.DUMMYFUNCTION("""COMPUTED_VALUE"""),9.0)</f>
        <v>9</v>
      </c>
      <c r="H704" s="137">
        <f>IFERROR(__xludf.DUMMYFUNCTION("""COMPUTED_VALUE"""),0.75)</f>
        <v>0.75</v>
      </c>
      <c r="I704" s="136">
        <f>IFERROR(__xludf.DUMMYFUNCTION("""COMPUTED_VALUE"""),13.0)</f>
        <v>13</v>
      </c>
      <c r="J704" s="136">
        <f>IFERROR(__xludf.DUMMYFUNCTION("""COMPUTED_VALUE"""),14832.0)</f>
        <v>14832</v>
      </c>
      <c r="K704" s="136">
        <f>IFERROR(__xludf.DUMMYFUNCTION("""COMPUTED_VALUE"""),44.0)</f>
        <v>44</v>
      </c>
      <c r="L704" s="136">
        <f>IFERROR(__xludf.DUMMYFUNCTION("""COMPUTED_VALUE"""),25.0)</f>
        <v>25</v>
      </c>
      <c r="M704" s="136">
        <f>IFERROR(__xludf.DUMMYFUNCTION("""COMPUTED_VALUE"""),48.0)</f>
        <v>48</v>
      </c>
      <c r="N704" s="136">
        <f>IFERROR(__xludf.DUMMYFUNCTION("""COMPUTED_VALUE"""),115.0)</f>
        <v>115</v>
      </c>
      <c r="O704" s="138">
        <f>IFERROR(__xludf.DUMMYFUNCTION("""COMPUTED_VALUE"""),9.0)</f>
        <v>9</v>
      </c>
      <c r="P704" s="138">
        <f>IFERROR(__xludf.DUMMYFUNCTION("""COMPUTED_VALUE"""),3.0)</f>
        <v>3</v>
      </c>
      <c r="Q704" s="138">
        <f>IFERROR(__xludf.DUMMYFUNCTION("""COMPUTED_VALUE"""),1.0)</f>
        <v>1</v>
      </c>
      <c r="R704" s="138">
        <f>IFERROR(__xludf.DUMMYFUNCTION("""COMPUTED_VALUE"""),7.0)</f>
        <v>7</v>
      </c>
      <c r="S704" s="139">
        <f>IFERROR(__xludf.DUMMYFUNCTION("""COMPUTED_VALUE"""),219.0)</f>
        <v>219</v>
      </c>
      <c r="T704" s="140">
        <f>IFERROR(__xludf.DUMMYFUNCTION("""COMPUTED_VALUE"""),51.0)</f>
        <v>51</v>
      </c>
      <c r="U704" s="136">
        <f>IFERROR(__xludf.DUMMYFUNCTION("""COMPUTED_VALUE"""),20.0)</f>
        <v>20</v>
      </c>
      <c r="V704" s="136">
        <f>IFERROR(__xludf.DUMMYFUNCTION("""COMPUTED_VALUE"""),89.0)</f>
        <v>89</v>
      </c>
      <c r="W704" s="136">
        <f>IFERROR(__xludf.DUMMYFUNCTION("""COMPUTED_VALUE"""),22.0)</f>
        <v>22</v>
      </c>
      <c r="X704" s="136">
        <f>IFERROR(__xludf.DUMMYFUNCTION("""COMPUTED_VALUE"""),454.30555555555554)</f>
        <v>454.3055556</v>
      </c>
      <c r="Y704" s="141">
        <f>IFERROR(__xludf.DUMMYFUNCTION("""COMPUTED_VALUE"""),48.746666666666655)</f>
        <v>48.74666667</v>
      </c>
      <c r="Z704" s="141">
        <f>IFERROR(__xludf.DUMMYFUNCTION("""COMPUTED_VALUE"""),2574.1944444444443)</f>
        <v>2574.194444</v>
      </c>
    </row>
    <row r="705">
      <c r="A705" s="41" t="str">
        <f>IFERROR(__xludf.DUMMYFUNCTION("""COMPUTED_VALUE"""),"Rival")</f>
        <v>Rival</v>
      </c>
      <c r="B705" s="41" t="str">
        <f>IFERROR(__xludf.DUMMYFUNCTION("""COMPUTED_VALUE"""),"RSC008290")</f>
        <v>RSC008290</v>
      </c>
      <c r="C705" s="41" t="str">
        <f>IFERROR(__xludf.DUMMYFUNCTION("""COMPUTED_VALUE"""),"KrsOneTwoThree1")</f>
        <v>KrsOneTwoThree1</v>
      </c>
      <c r="D705" s="41" t="str">
        <f>IFERROR(__xludf.DUMMYFUNCTION("""COMPUTED_VALUE"""),"Lightning")</f>
        <v>Lightning</v>
      </c>
      <c r="E705" s="136">
        <f>IFERROR(__xludf.DUMMYFUNCTION("""COMPUTED_VALUE"""),56.0)</f>
        <v>56</v>
      </c>
      <c r="F705" s="136">
        <f>IFERROR(__xludf.DUMMYFUNCTION("""COMPUTED_VALUE"""),30.0)</f>
        <v>30</v>
      </c>
      <c r="G705" s="136">
        <f>IFERROR(__xludf.DUMMYFUNCTION("""COMPUTED_VALUE"""),26.0)</f>
        <v>26</v>
      </c>
      <c r="H705" s="137">
        <f>IFERROR(__xludf.DUMMYFUNCTION("""COMPUTED_VALUE"""),0.5357142857142857)</f>
        <v>0.5357142857</v>
      </c>
      <c r="I705" s="136">
        <f>IFERROR(__xludf.DUMMYFUNCTION("""COMPUTED_VALUE"""),14.0)</f>
        <v>14</v>
      </c>
      <c r="J705" s="136">
        <f>IFERROR(__xludf.DUMMYFUNCTION("""COMPUTED_VALUE"""),22022.0)</f>
        <v>22022</v>
      </c>
      <c r="K705" s="136">
        <f>IFERROR(__xludf.DUMMYFUNCTION("""COMPUTED_VALUE"""),49.0)</f>
        <v>49</v>
      </c>
      <c r="L705" s="136">
        <f>IFERROR(__xludf.DUMMYFUNCTION("""COMPUTED_VALUE"""),29.0)</f>
        <v>29</v>
      </c>
      <c r="M705" s="136">
        <f>IFERROR(__xludf.DUMMYFUNCTION("""COMPUTED_VALUE"""),100.0)</f>
        <v>100</v>
      </c>
      <c r="N705" s="136">
        <f>IFERROR(__xludf.DUMMYFUNCTION("""COMPUTED_VALUE"""),137.0)</f>
        <v>137</v>
      </c>
      <c r="O705" s="138">
        <f>IFERROR(__xludf.DUMMYFUNCTION("""COMPUTED_VALUE"""),14.0)</f>
        <v>14</v>
      </c>
      <c r="P705" s="138">
        <f>IFERROR(__xludf.DUMMYFUNCTION("""COMPUTED_VALUE"""),5.0)</f>
        <v>5</v>
      </c>
      <c r="Q705" s="138">
        <f>IFERROR(__xludf.DUMMYFUNCTION("""COMPUTED_VALUE"""),0.0)</f>
        <v>0</v>
      </c>
      <c r="R705" s="138">
        <f>IFERROR(__xludf.DUMMYFUNCTION("""COMPUTED_VALUE"""),16.0)</f>
        <v>16</v>
      </c>
      <c r="S705" s="139">
        <f>IFERROR(__xludf.DUMMYFUNCTION("""COMPUTED_VALUE"""),406.0)</f>
        <v>406</v>
      </c>
      <c r="T705" s="140">
        <f>IFERROR(__xludf.DUMMYFUNCTION("""COMPUTED_VALUE"""),115.0)</f>
        <v>115</v>
      </c>
      <c r="U705" s="136">
        <f>IFERROR(__xludf.DUMMYFUNCTION("""COMPUTED_VALUE"""),38.0)</f>
        <v>38</v>
      </c>
      <c r="V705" s="136">
        <f>IFERROR(__xludf.DUMMYFUNCTION("""COMPUTED_VALUE"""),35.0)</f>
        <v>35</v>
      </c>
      <c r="W705" s="136">
        <f>IFERROR(__xludf.DUMMYFUNCTION("""COMPUTED_VALUE"""),55.0)</f>
        <v>55</v>
      </c>
      <c r="X705" s="136">
        <f>IFERROR(__xludf.DUMMYFUNCTION("""COMPUTED_VALUE"""),377.57142857142856)</f>
        <v>377.5714286</v>
      </c>
      <c r="Y705" s="141">
        <f>IFERROR(__xludf.DUMMYFUNCTION("""COMPUTED_VALUE"""),49.540357142857154)</f>
        <v>49.54035714</v>
      </c>
      <c r="Z705" s="141">
        <f>IFERROR(__xludf.DUMMYFUNCTION("""COMPUTED_VALUE"""),2234.9285714285716)</f>
        <v>2234.928571</v>
      </c>
    </row>
    <row r="706">
      <c r="A706" s="41" t="str">
        <f>IFERROR(__xludf.DUMMYFUNCTION("""COMPUTED_VALUE"""),"Rival")</f>
        <v>Rival</v>
      </c>
      <c r="B706" s="41" t="str">
        <f>IFERROR(__xludf.DUMMYFUNCTION("""COMPUTED_VALUE"""),"RSC008293")</f>
        <v>RSC008293</v>
      </c>
      <c r="C706" s="41" t="str">
        <f>IFERROR(__xludf.DUMMYFUNCTION("""COMPUTED_VALUE"""),"Tall_28")</f>
        <v>Tall_28</v>
      </c>
      <c r="D706" s="41" t="str">
        <f>IFERROR(__xludf.DUMMYFUNCTION("""COMPUTED_VALUE"""),"Nightfall")</f>
        <v>Nightfall</v>
      </c>
      <c r="E706" s="136">
        <f>IFERROR(__xludf.DUMMYFUNCTION("""COMPUTED_VALUE"""),34.0)</f>
        <v>34</v>
      </c>
      <c r="F706" s="136">
        <f>IFERROR(__xludf.DUMMYFUNCTION("""COMPUTED_VALUE"""),16.0)</f>
        <v>16</v>
      </c>
      <c r="G706" s="136">
        <f>IFERROR(__xludf.DUMMYFUNCTION("""COMPUTED_VALUE"""),18.0)</f>
        <v>18</v>
      </c>
      <c r="H706" s="137">
        <f>IFERROR(__xludf.DUMMYFUNCTION("""COMPUTED_VALUE"""),0.47058823529411764)</f>
        <v>0.4705882353</v>
      </c>
      <c r="I706" s="136">
        <f>IFERROR(__xludf.DUMMYFUNCTION("""COMPUTED_VALUE"""),4.0)</f>
        <v>4</v>
      </c>
      <c r="J706" s="136">
        <f>IFERROR(__xludf.DUMMYFUNCTION("""COMPUTED_VALUE"""),11835.0)</f>
        <v>11835</v>
      </c>
      <c r="K706" s="136">
        <f>IFERROR(__xludf.DUMMYFUNCTION("""COMPUTED_VALUE"""),26.0)</f>
        <v>26</v>
      </c>
      <c r="L706" s="136">
        <f>IFERROR(__xludf.DUMMYFUNCTION("""COMPUTED_VALUE"""),16.0)</f>
        <v>16</v>
      </c>
      <c r="M706" s="136">
        <f>IFERROR(__xludf.DUMMYFUNCTION("""COMPUTED_VALUE"""),50.0)</f>
        <v>50</v>
      </c>
      <c r="N706" s="136">
        <f>IFERROR(__xludf.DUMMYFUNCTION("""COMPUTED_VALUE"""),75.0)</f>
        <v>75</v>
      </c>
      <c r="O706" s="138">
        <f>IFERROR(__xludf.DUMMYFUNCTION("""COMPUTED_VALUE"""),10.0)</f>
        <v>10</v>
      </c>
      <c r="P706" s="138">
        <f>IFERROR(__xludf.DUMMYFUNCTION("""COMPUTED_VALUE"""),1.0)</f>
        <v>1</v>
      </c>
      <c r="Q706" s="138">
        <f>IFERROR(__xludf.DUMMYFUNCTION("""COMPUTED_VALUE"""),0.0)</f>
        <v>0</v>
      </c>
      <c r="R706" s="138">
        <f>IFERROR(__xludf.DUMMYFUNCTION("""COMPUTED_VALUE"""),5.0)</f>
        <v>5</v>
      </c>
      <c r="S706" s="139">
        <f>IFERROR(__xludf.DUMMYFUNCTION("""COMPUTED_VALUE"""),249.0)</f>
        <v>249</v>
      </c>
      <c r="T706" s="140">
        <f>IFERROR(__xludf.DUMMYFUNCTION("""COMPUTED_VALUE"""),76.0)</f>
        <v>76</v>
      </c>
      <c r="U706" s="136">
        <f>IFERROR(__xludf.DUMMYFUNCTION("""COMPUTED_VALUE"""),31.0)</f>
        <v>31</v>
      </c>
      <c r="V706" s="136">
        <f>IFERROR(__xludf.DUMMYFUNCTION("""COMPUTED_VALUE"""),44.0)</f>
        <v>44</v>
      </c>
      <c r="W706" s="136">
        <f>IFERROR(__xludf.DUMMYFUNCTION("""COMPUTED_VALUE"""),20.0)</f>
        <v>20</v>
      </c>
      <c r="X706" s="136">
        <f>IFERROR(__xludf.DUMMYFUNCTION("""COMPUTED_VALUE"""),423.11764705882354)</f>
        <v>423.1176471</v>
      </c>
      <c r="Y706" s="141">
        <f>IFERROR(__xludf.DUMMYFUNCTION("""COMPUTED_VALUE"""),53.612941176470585)</f>
        <v>53.61294118</v>
      </c>
      <c r="Z706" s="141">
        <f>IFERROR(__xludf.DUMMYFUNCTION("""COMPUTED_VALUE"""),2563.029411764706)</f>
        <v>2563.029412</v>
      </c>
    </row>
    <row r="707">
      <c r="A707" s="41" t="str">
        <f>IFERROR(__xludf.DUMMYFUNCTION("""COMPUTED_VALUE"""),"Veteran")</f>
        <v>Veteran</v>
      </c>
      <c r="B707" s="41" t="str">
        <f>IFERROR(__xludf.DUMMYFUNCTION("""COMPUTED_VALUE"""),"RSC008320")</f>
        <v>RSC008320</v>
      </c>
      <c r="C707" s="41" t="str">
        <f>IFERROR(__xludf.DUMMYFUNCTION("""COMPUTED_VALUE"""),"Jhammy.")</f>
        <v>Jhammy.</v>
      </c>
      <c r="D707" s="41" t="str">
        <f>IFERROR(__xludf.DUMMYFUNCTION("""COMPUTED_VALUE"""),"Street Rats")</f>
        <v>Street Rats</v>
      </c>
      <c r="E707" s="136">
        <f>IFERROR(__xludf.DUMMYFUNCTION("""COMPUTED_VALUE"""),53.0)</f>
        <v>53</v>
      </c>
      <c r="F707" s="136">
        <f>IFERROR(__xludf.DUMMYFUNCTION("""COMPUTED_VALUE"""),22.0)</f>
        <v>22</v>
      </c>
      <c r="G707" s="136">
        <f>IFERROR(__xludf.DUMMYFUNCTION("""COMPUTED_VALUE"""),31.0)</f>
        <v>31</v>
      </c>
      <c r="H707" s="137">
        <f>IFERROR(__xludf.DUMMYFUNCTION("""COMPUTED_VALUE"""),0.41509433962264153)</f>
        <v>0.4150943396</v>
      </c>
      <c r="I707" s="136">
        <f>IFERROR(__xludf.DUMMYFUNCTION("""COMPUTED_VALUE"""),8.0)</f>
        <v>8</v>
      </c>
      <c r="J707" s="136">
        <f>IFERROR(__xludf.DUMMYFUNCTION("""COMPUTED_VALUE"""),20257.0)</f>
        <v>20257</v>
      </c>
      <c r="K707" s="136">
        <f>IFERROR(__xludf.DUMMYFUNCTION("""COMPUTED_VALUE"""),40.0)</f>
        <v>40</v>
      </c>
      <c r="L707" s="136">
        <f>IFERROR(__xludf.DUMMYFUNCTION("""COMPUTED_VALUE"""),27.0)</f>
        <v>27</v>
      </c>
      <c r="M707" s="136">
        <f>IFERROR(__xludf.DUMMYFUNCTION("""COMPUTED_VALUE"""),92.0)</f>
        <v>92</v>
      </c>
      <c r="N707" s="136">
        <f>IFERROR(__xludf.DUMMYFUNCTION("""COMPUTED_VALUE"""),146.0)</f>
        <v>146</v>
      </c>
      <c r="O707" s="138">
        <f>IFERROR(__xludf.DUMMYFUNCTION("""COMPUTED_VALUE"""),12.0)</f>
        <v>12</v>
      </c>
      <c r="P707" s="138">
        <f>IFERROR(__xludf.DUMMYFUNCTION("""COMPUTED_VALUE"""),1.0)</f>
        <v>1</v>
      </c>
      <c r="Q707" s="138">
        <f>IFERROR(__xludf.DUMMYFUNCTION("""COMPUTED_VALUE"""),1.0)</f>
        <v>1</v>
      </c>
      <c r="R707" s="138">
        <f>IFERROR(__xludf.DUMMYFUNCTION("""COMPUTED_VALUE"""),11.0)</f>
        <v>11</v>
      </c>
      <c r="S707" s="139">
        <f>IFERROR(__xludf.DUMMYFUNCTION("""COMPUTED_VALUE"""),473.0)</f>
        <v>473</v>
      </c>
      <c r="T707" s="140">
        <f>IFERROR(__xludf.DUMMYFUNCTION("""COMPUTED_VALUE"""),132.0)</f>
        <v>132</v>
      </c>
      <c r="U707" s="136">
        <f>IFERROR(__xludf.DUMMYFUNCTION("""COMPUTED_VALUE"""),53.0)</f>
        <v>53</v>
      </c>
      <c r="V707" s="136">
        <f>IFERROR(__xludf.DUMMYFUNCTION("""COMPUTED_VALUE"""),54.0)</f>
        <v>54</v>
      </c>
      <c r="W707" s="136">
        <f>IFERROR(__xludf.DUMMYFUNCTION("""COMPUTED_VALUE"""),62.0)</f>
        <v>62</v>
      </c>
      <c r="X707" s="136">
        <f>IFERROR(__xludf.DUMMYFUNCTION("""COMPUTED_VALUE"""),378.188679245283)</f>
        <v>378.1886792</v>
      </c>
      <c r="Y707" s="141">
        <f>IFERROR(__xludf.DUMMYFUNCTION("""COMPUTED_VALUE"""),48.53452830188678)</f>
        <v>48.5345283</v>
      </c>
      <c r="Z707" s="141">
        <f>IFERROR(__xludf.DUMMYFUNCTION("""COMPUTED_VALUE"""),2344.245283018868)</f>
        <v>2344.245283</v>
      </c>
    </row>
    <row r="708">
      <c r="A708" s="41" t="str">
        <f>IFERROR(__xludf.DUMMYFUNCTION("""COMPUTED_VALUE"""),"Prospect")</f>
        <v>Prospect</v>
      </c>
      <c r="B708" s="41" t="str">
        <f>IFERROR(__xludf.DUMMYFUNCTION("""COMPUTED_VALUE"""),"RSC008323")</f>
        <v>RSC008323</v>
      </c>
      <c r="C708" s="41" t="str">
        <f>IFERROR(__xludf.DUMMYFUNCTION("""COMPUTED_VALUE"""),"Fireburner.")</f>
        <v>Fireburner.</v>
      </c>
      <c r="D708" s="41" t="str">
        <f>IFERROR(__xludf.DUMMYFUNCTION("""COMPUTED_VALUE"""),"Piranhas")</f>
        <v>Piranhas</v>
      </c>
      <c r="E708" s="136">
        <f>IFERROR(__xludf.DUMMYFUNCTION("""COMPUTED_VALUE"""),33.0)</f>
        <v>33</v>
      </c>
      <c r="F708" s="136">
        <f>IFERROR(__xludf.DUMMYFUNCTION("""COMPUTED_VALUE"""),14.0)</f>
        <v>14</v>
      </c>
      <c r="G708" s="136">
        <f>IFERROR(__xludf.DUMMYFUNCTION("""COMPUTED_VALUE"""),19.0)</f>
        <v>19</v>
      </c>
      <c r="H708" s="137">
        <f>IFERROR(__xludf.DUMMYFUNCTION("""COMPUTED_VALUE"""),0.42424242424242425)</f>
        <v>0.4242424242</v>
      </c>
      <c r="I708" s="136">
        <f>IFERROR(__xludf.DUMMYFUNCTION("""COMPUTED_VALUE"""),9.0)</f>
        <v>9</v>
      </c>
      <c r="J708" s="136">
        <f>IFERROR(__xludf.DUMMYFUNCTION("""COMPUTED_VALUE"""),11799.0)</f>
        <v>11799</v>
      </c>
      <c r="K708" s="136">
        <f>IFERROR(__xludf.DUMMYFUNCTION("""COMPUTED_VALUE"""),32.0)</f>
        <v>32</v>
      </c>
      <c r="L708" s="136">
        <f>IFERROR(__xludf.DUMMYFUNCTION("""COMPUTED_VALUE"""),16.0)</f>
        <v>16</v>
      </c>
      <c r="M708" s="136">
        <f>IFERROR(__xludf.DUMMYFUNCTION("""COMPUTED_VALUE"""),38.0)</f>
        <v>38</v>
      </c>
      <c r="N708" s="136">
        <f>IFERROR(__xludf.DUMMYFUNCTION("""COMPUTED_VALUE"""),88.0)</f>
        <v>88</v>
      </c>
      <c r="O708" s="138">
        <f>IFERROR(__xludf.DUMMYFUNCTION("""COMPUTED_VALUE"""),6.0)</f>
        <v>6</v>
      </c>
      <c r="P708" s="138">
        <f>IFERROR(__xludf.DUMMYFUNCTION("""COMPUTED_VALUE"""),5.0)</f>
        <v>5</v>
      </c>
      <c r="Q708" s="138">
        <f>IFERROR(__xludf.DUMMYFUNCTION("""COMPUTED_VALUE"""),0.0)</f>
        <v>0</v>
      </c>
      <c r="R708" s="138">
        <f>IFERROR(__xludf.DUMMYFUNCTION("""COMPUTED_VALUE"""),3.0)</f>
        <v>3</v>
      </c>
      <c r="S708" s="139">
        <f>IFERROR(__xludf.DUMMYFUNCTION("""COMPUTED_VALUE"""),247.0)</f>
        <v>247</v>
      </c>
      <c r="T708" s="140">
        <f>IFERROR(__xludf.DUMMYFUNCTION("""COMPUTED_VALUE"""),92.0)</f>
        <v>92</v>
      </c>
      <c r="U708" s="136">
        <f>IFERROR(__xludf.DUMMYFUNCTION("""COMPUTED_VALUE"""),28.0)</f>
        <v>28</v>
      </c>
      <c r="V708" s="136">
        <f>IFERROR(__xludf.DUMMYFUNCTION("""COMPUTED_VALUE"""),38.0)</f>
        <v>38</v>
      </c>
      <c r="W708" s="136">
        <f>IFERROR(__xludf.DUMMYFUNCTION("""COMPUTED_VALUE"""),26.0)</f>
        <v>26</v>
      </c>
      <c r="X708" s="136">
        <f>IFERROR(__xludf.DUMMYFUNCTION("""COMPUTED_VALUE"""),428.2121212121212)</f>
        <v>428.2121212</v>
      </c>
      <c r="Y708" s="141">
        <f>IFERROR(__xludf.DUMMYFUNCTION("""COMPUTED_VALUE"""),50.91363636363634)</f>
        <v>50.91363636</v>
      </c>
      <c r="Z708" s="141">
        <f>IFERROR(__xludf.DUMMYFUNCTION("""COMPUTED_VALUE"""),2482.121212121212)</f>
        <v>2482.121212</v>
      </c>
    </row>
    <row r="709">
      <c r="A709" s="41" t="str">
        <f>IFERROR(__xludf.DUMMYFUNCTION("""COMPUTED_VALUE"""),"Veteran")</f>
        <v>Veteran</v>
      </c>
      <c r="B709" s="41" t="str">
        <f>IFERROR(__xludf.DUMMYFUNCTION("""COMPUTED_VALUE"""),"RSC008325")</f>
        <v>RSC008325</v>
      </c>
      <c r="C709" s="41" t="str">
        <f>IFERROR(__xludf.DUMMYFUNCTION("""COMPUTED_VALUE"""),"Jxc1zz")</f>
        <v>Jxc1zz</v>
      </c>
      <c r="D709" s="41" t="str">
        <f>IFERROR(__xludf.DUMMYFUNCTION("""COMPUTED_VALUE"""),"Singularity")</f>
        <v>Singularity</v>
      </c>
      <c r="E709" s="136">
        <f>IFERROR(__xludf.DUMMYFUNCTION("""COMPUTED_VALUE"""),12.0)</f>
        <v>12</v>
      </c>
      <c r="F709" s="136">
        <f>IFERROR(__xludf.DUMMYFUNCTION("""COMPUTED_VALUE"""),4.0)</f>
        <v>4</v>
      </c>
      <c r="G709" s="136">
        <f>IFERROR(__xludf.DUMMYFUNCTION("""COMPUTED_VALUE"""),8.0)</f>
        <v>8</v>
      </c>
      <c r="H709" s="137">
        <f>IFERROR(__xludf.DUMMYFUNCTION("""COMPUTED_VALUE"""),0.3333333333333333)</f>
        <v>0.3333333333</v>
      </c>
      <c r="I709" s="136">
        <f>IFERROR(__xludf.DUMMYFUNCTION("""COMPUTED_VALUE"""),2.0)</f>
        <v>2</v>
      </c>
      <c r="J709" s="136">
        <f>IFERROR(__xludf.DUMMYFUNCTION("""COMPUTED_VALUE"""),4831.0)</f>
        <v>4831</v>
      </c>
      <c r="K709" s="136">
        <f>IFERROR(__xludf.DUMMYFUNCTION("""COMPUTED_VALUE"""),11.0)</f>
        <v>11</v>
      </c>
      <c r="L709" s="136">
        <f>IFERROR(__xludf.DUMMYFUNCTION("""COMPUTED_VALUE"""),7.0)</f>
        <v>7</v>
      </c>
      <c r="M709" s="136">
        <f>IFERROR(__xludf.DUMMYFUNCTION("""COMPUTED_VALUE"""),19.0)</f>
        <v>19</v>
      </c>
      <c r="N709" s="136">
        <f>IFERROR(__xludf.DUMMYFUNCTION("""COMPUTED_VALUE"""),30.0)</f>
        <v>30</v>
      </c>
      <c r="O709" s="138">
        <f>IFERROR(__xludf.DUMMYFUNCTION("""COMPUTED_VALUE"""),3.0)</f>
        <v>3</v>
      </c>
      <c r="P709" s="138">
        <f>IFERROR(__xludf.DUMMYFUNCTION("""COMPUTED_VALUE"""),2.0)</f>
        <v>2</v>
      </c>
      <c r="Q709" s="138">
        <f>IFERROR(__xludf.DUMMYFUNCTION("""COMPUTED_VALUE"""),0.0)</f>
        <v>0</v>
      </c>
      <c r="R709" s="138">
        <f>IFERROR(__xludf.DUMMYFUNCTION("""COMPUTED_VALUE"""),1.0)</f>
        <v>1</v>
      </c>
      <c r="S709" s="139">
        <f>IFERROR(__xludf.DUMMYFUNCTION("""COMPUTED_VALUE"""),110.0)</f>
        <v>110</v>
      </c>
      <c r="T709" s="140">
        <f>IFERROR(__xludf.DUMMYFUNCTION("""COMPUTED_VALUE"""),36.0)</f>
        <v>36</v>
      </c>
      <c r="U709" s="136">
        <f>IFERROR(__xludf.DUMMYFUNCTION("""COMPUTED_VALUE"""),12.0)</f>
        <v>12</v>
      </c>
      <c r="V709" s="136">
        <f>IFERROR(__xludf.DUMMYFUNCTION("""COMPUTED_VALUE"""),8.0)</f>
        <v>8</v>
      </c>
      <c r="W709" s="136">
        <f>IFERROR(__xludf.DUMMYFUNCTION("""COMPUTED_VALUE"""),12.0)</f>
        <v>12</v>
      </c>
      <c r="X709" s="136">
        <f>IFERROR(__xludf.DUMMYFUNCTION("""COMPUTED_VALUE"""),357.75)</f>
        <v>357.75</v>
      </c>
      <c r="Y709" s="141">
        <f>IFERROR(__xludf.DUMMYFUNCTION("""COMPUTED_VALUE"""),52.13916666666666)</f>
        <v>52.13916667</v>
      </c>
      <c r="Z709" s="141">
        <f>IFERROR(__xludf.DUMMYFUNCTION("""COMPUTED_VALUE"""),2187.25)</f>
        <v>2187.25</v>
      </c>
    </row>
    <row r="710">
      <c r="A710" s="41" t="str">
        <f>IFERROR(__xludf.DUMMYFUNCTION("""COMPUTED_VALUE"""),"Amateur")</f>
        <v>Amateur</v>
      </c>
      <c r="B710" s="41" t="str">
        <f>IFERROR(__xludf.DUMMYFUNCTION("""COMPUTED_VALUE"""),"RSC008327")</f>
        <v>RSC008327</v>
      </c>
      <c r="C710" s="41" t="str">
        <f>IFERROR(__xludf.DUMMYFUNCTION("""COMPUTED_VALUE"""),"tempo_rl_ttv")</f>
        <v>tempo_rl_ttv</v>
      </c>
      <c r="D710" s="41" t="str">
        <f>IFERROR(__xludf.DUMMYFUNCTION("""COMPUTED_VALUE"""),"Winter Fresh")</f>
        <v>Winter Fresh</v>
      </c>
      <c r="E710" s="136">
        <f>IFERROR(__xludf.DUMMYFUNCTION("""COMPUTED_VALUE"""),36.0)</f>
        <v>36</v>
      </c>
      <c r="F710" s="136">
        <f>IFERROR(__xludf.DUMMYFUNCTION("""COMPUTED_VALUE"""),22.0)</f>
        <v>22</v>
      </c>
      <c r="G710" s="136">
        <f>IFERROR(__xludf.DUMMYFUNCTION("""COMPUTED_VALUE"""),14.0)</f>
        <v>14</v>
      </c>
      <c r="H710" s="137">
        <f>IFERROR(__xludf.DUMMYFUNCTION("""COMPUTED_VALUE"""),0.6111111111111112)</f>
        <v>0.6111111111</v>
      </c>
      <c r="I710" s="136">
        <f>IFERROR(__xludf.DUMMYFUNCTION("""COMPUTED_VALUE"""),9.0)</f>
        <v>9</v>
      </c>
      <c r="J710" s="136">
        <f>IFERROR(__xludf.DUMMYFUNCTION("""COMPUTED_VALUE"""),10858.0)</f>
        <v>10858</v>
      </c>
      <c r="K710" s="136">
        <f>IFERROR(__xludf.DUMMYFUNCTION("""COMPUTED_VALUE"""),28.0)</f>
        <v>28</v>
      </c>
      <c r="L710" s="136">
        <f>IFERROR(__xludf.DUMMYFUNCTION("""COMPUTED_VALUE"""),14.0)</f>
        <v>14</v>
      </c>
      <c r="M710" s="136">
        <f>IFERROR(__xludf.DUMMYFUNCTION("""COMPUTED_VALUE"""),32.0)</f>
        <v>32</v>
      </c>
      <c r="N710" s="136">
        <f>IFERROR(__xludf.DUMMYFUNCTION("""COMPUTED_VALUE"""),75.0)</f>
        <v>75</v>
      </c>
      <c r="O710" s="138">
        <f>IFERROR(__xludf.DUMMYFUNCTION("""COMPUTED_VALUE"""),5.0)</f>
        <v>5</v>
      </c>
      <c r="P710" s="138">
        <f>IFERROR(__xludf.DUMMYFUNCTION("""COMPUTED_VALUE"""),2.0)</f>
        <v>2</v>
      </c>
      <c r="Q710" s="138">
        <f>IFERROR(__xludf.DUMMYFUNCTION("""COMPUTED_VALUE"""),0.0)</f>
        <v>0</v>
      </c>
      <c r="R710" s="138">
        <f>IFERROR(__xludf.DUMMYFUNCTION("""COMPUTED_VALUE"""),4.0)</f>
        <v>4</v>
      </c>
      <c r="S710" s="139">
        <f>IFERROR(__xludf.DUMMYFUNCTION("""COMPUTED_VALUE"""),193.0)</f>
        <v>193</v>
      </c>
      <c r="T710" s="140">
        <f>IFERROR(__xludf.DUMMYFUNCTION("""COMPUTED_VALUE"""),77.0)</f>
        <v>77</v>
      </c>
      <c r="U710" s="136">
        <f>IFERROR(__xludf.DUMMYFUNCTION("""COMPUTED_VALUE"""),18.0)</f>
        <v>18</v>
      </c>
      <c r="V710" s="136">
        <f>IFERROR(__xludf.DUMMYFUNCTION("""COMPUTED_VALUE"""),51.0)</f>
        <v>51</v>
      </c>
      <c r="W710" s="136">
        <f>IFERROR(__xludf.DUMMYFUNCTION("""COMPUTED_VALUE"""),24.0)</f>
        <v>24</v>
      </c>
      <c r="X710" s="139">
        <f>IFERROR(__xludf.DUMMYFUNCTION("""COMPUTED_VALUE"""),308.44444444444446)</f>
        <v>308.4444444</v>
      </c>
      <c r="Y710" s="141">
        <f>IFERROR(__xludf.DUMMYFUNCTION("""COMPUTED_VALUE"""),47.63305555555556)</f>
        <v>47.63305556</v>
      </c>
      <c r="Z710" s="141">
        <f>IFERROR(__xludf.DUMMYFUNCTION("""COMPUTED_VALUE"""),1800.9722222222222)</f>
        <v>1800.972222</v>
      </c>
    </row>
    <row r="711">
      <c r="A711" s="41" t="str">
        <f>IFERROR(__xludf.DUMMYFUNCTION("""COMPUTED_VALUE"""),"Master")</f>
        <v>Master</v>
      </c>
      <c r="B711" s="41" t="str">
        <f>IFERROR(__xludf.DUMMYFUNCTION("""COMPUTED_VALUE"""),"RSC008330")</f>
        <v>RSC008330</v>
      </c>
      <c r="C711" s="41" t="str">
        <f>IFERROR(__xludf.DUMMYFUNCTION("""COMPUTED_VALUE"""),"Jammin")</f>
        <v>Jammin</v>
      </c>
      <c r="D711" s="41" t="str">
        <f>IFERROR(__xludf.DUMMYFUNCTION("""COMPUTED_VALUE"""),"Kawaii")</f>
        <v>Kawaii</v>
      </c>
      <c r="E711" s="136">
        <f>IFERROR(__xludf.DUMMYFUNCTION("""COMPUTED_VALUE"""),25.0)</f>
        <v>25</v>
      </c>
      <c r="F711" s="136">
        <f>IFERROR(__xludf.DUMMYFUNCTION("""COMPUTED_VALUE"""),8.0)</f>
        <v>8</v>
      </c>
      <c r="G711" s="136">
        <f>IFERROR(__xludf.DUMMYFUNCTION("""COMPUTED_VALUE"""),17.0)</f>
        <v>17</v>
      </c>
      <c r="H711" s="137">
        <f>IFERROR(__xludf.DUMMYFUNCTION("""COMPUTED_VALUE"""),0.32)</f>
        <v>0.32</v>
      </c>
      <c r="I711" s="136">
        <f>IFERROR(__xludf.DUMMYFUNCTION("""COMPUTED_VALUE"""),2.0)</f>
        <v>2</v>
      </c>
      <c r="J711" s="136">
        <f>IFERROR(__xludf.DUMMYFUNCTION("""COMPUTED_VALUE"""),6271.0)</f>
        <v>6271</v>
      </c>
      <c r="K711" s="136">
        <f>IFERROR(__xludf.DUMMYFUNCTION("""COMPUTED_VALUE"""),11.0)</f>
        <v>11</v>
      </c>
      <c r="L711" s="136">
        <f>IFERROR(__xludf.DUMMYFUNCTION("""COMPUTED_VALUE"""),8.0)</f>
        <v>8</v>
      </c>
      <c r="M711" s="136">
        <f>IFERROR(__xludf.DUMMYFUNCTION("""COMPUTED_VALUE"""),29.0)</f>
        <v>29</v>
      </c>
      <c r="N711" s="136">
        <f>IFERROR(__xludf.DUMMYFUNCTION("""COMPUTED_VALUE"""),56.0)</f>
        <v>56</v>
      </c>
      <c r="O711" s="138">
        <f>IFERROR(__xludf.DUMMYFUNCTION("""COMPUTED_VALUE"""),0.0)</f>
        <v>0</v>
      </c>
      <c r="P711" s="138">
        <f>IFERROR(__xludf.DUMMYFUNCTION("""COMPUTED_VALUE"""),1.0)</f>
        <v>1</v>
      </c>
      <c r="Q711" s="138">
        <f>IFERROR(__xludf.DUMMYFUNCTION("""COMPUTED_VALUE"""),0.0)</f>
        <v>0</v>
      </c>
      <c r="R711" s="138">
        <f>IFERROR(__xludf.DUMMYFUNCTION("""COMPUTED_VALUE"""),4.0)</f>
        <v>4</v>
      </c>
      <c r="S711" s="139">
        <f>IFERROR(__xludf.DUMMYFUNCTION("""COMPUTED_VALUE"""),178.0)</f>
        <v>178</v>
      </c>
      <c r="T711" s="140">
        <f>IFERROR(__xludf.DUMMYFUNCTION("""COMPUTED_VALUE"""),53.0)</f>
        <v>53</v>
      </c>
      <c r="U711" s="136">
        <f>IFERROR(__xludf.DUMMYFUNCTION("""COMPUTED_VALUE"""),19.0)</f>
        <v>19</v>
      </c>
      <c r="V711" s="136">
        <f>IFERROR(__xludf.DUMMYFUNCTION("""COMPUTED_VALUE"""),11.0)</f>
        <v>11</v>
      </c>
      <c r="W711" s="136">
        <f>IFERROR(__xludf.DUMMYFUNCTION("""COMPUTED_VALUE"""),22.0)</f>
        <v>22</v>
      </c>
      <c r="X711" s="136">
        <f>IFERROR(__xludf.DUMMYFUNCTION("""COMPUTED_VALUE"""),405.76190476190476)</f>
        <v>405.7619048</v>
      </c>
      <c r="Y711" s="141">
        <f>IFERROR(__xludf.DUMMYFUNCTION("""COMPUTED_VALUE"""),48.65761904761905)</f>
        <v>48.65761905</v>
      </c>
      <c r="Z711" s="141">
        <f>IFERROR(__xludf.DUMMYFUNCTION("""COMPUTED_VALUE"""),2466.5714285714284)</f>
        <v>2466.571429</v>
      </c>
    </row>
    <row r="712">
      <c r="A712" s="41" t="str">
        <f>IFERROR(__xludf.DUMMYFUNCTION("""COMPUTED_VALUE"""),"Rival")</f>
        <v>Rival</v>
      </c>
      <c r="B712" s="41" t="str">
        <f>IFERROR(__xludf.DUMMYFUNCTION("""COMPUTED_VALUE"""),"RSC008331")</f>
        <v>RSC008331</v>
      </c>
      <c r="C712" s="41" t="str">
        <f>IFERROR(__xludf.DUMMYFUNCTION("""COMPUTED_VALUE"""),"Hanz Simmer")</f>
        <v>Hanz Simmer</v>
      </c>
      <c r="D712" s="41" t="str">
        <f>IFERROR(__xludf.DUMMYFUNCTION("""COMPUTED_VALUE"""),"Quasars")</f>
        <v>Quasars</v>
      </c>
      <c r="E712" s="136">
        <f>IFERROR(__xludf.DUMMYFUNCTION("""COMPUTED_VALUE"""),38.0)</f>
        <v>38</v>
      </c>
      <c r="F712" s="136">
        <f>IFERROR(__xludf.DUMMYFUNCTION("""COMPUTED_VALUE"""),18.0)</f>
        <v>18</v>
      </c>
      <c r="G712" s="136">
        <f>IFERROR(__xludf.DUMMYFUNCTION("""COMPUTED_VALUE"""),20.0)</f>
        <v>20</v>
      </c>
      <c r="H712" s="137">
        <f>IFERROR(__xludf.DUMMYFUNCTION("""COMPUTED_VALUE"""),0.47368421052631576)</f>
        <v>0.4736842105</v>
      </c>
      <c r="I712" s="136">
        <f>IFERROR(__xludf.DUMMYFUNCTION("""COMPUTED_VALUE"""),4.0)</f>
        <v>4</v>
      </c>
      <c r="J712" s="136">
        <f>IFERROR(__xludf.DUMMYFUNCTION("""COMPUTED_VALUE"""),12143.0)</f>
        <v>12143</v>
      </c>
      <c r="K712" s="136">
        <f>IFERROR(__xludf.DUMMYFUNCTION("""COMPUTED_VALUE"""),33.0)</f>
        <v>33</v>
      </c>
      <c r="L712" s="136">
        <f>IFERROR(__xludf.DUMMYFUNCTION("""COMPUTED_VALUE"""),17.0)</f>
        <v>17</v>
      </c>
      <c r="M712" s="136">
        <f>IFERROR(__xludf.DUMMYFUNCTION("""COMPUTED_VALUE"""),43.0)</f>
        <v>43</v>
      </c>
      <c r="N712" s="136">
        <f>IFERROR(__xludf.DUMMYFUNCTION("""COMPUTED_VALUE"""),90.0)</f>
        <v>90</v>
      </c>
      <c r="O712" s="138">
        <f>IFERROR(__xludf.DUMMYFUNCTION("""COMPUTED_VALUE"""),8.0)</f>
        <v>8</v>
      </c>
      <c r="P712" s="138">
        <f>IFERROR(__xludf.DUMMYFUNCTION("""COMPUTED_VALUE"""),0.0)</f>
        <v>0</v>
      </c>
      <c r="Q712" s="138">
        <f>IFERROR(__xludf.DUMMYFUNCTION("""COMPUTED_VALUE"""),1.0)</f>
        <v>1</v>
      </c>
      <c r="R712" s="138">
        <f>IFERROR(__xludf.DUMMYFUNCTION("""COMPUTED_VALUE"""),4.0)</f>
        <v>4</v>
      </c>
      <c r="S712" s="139">
        <f>IFERROR(__xludf.DUMMYFUNCTION("""COMPUTED_VALUE"""),278.0)</f>
        <v>278</v>
      </c>
      <c r="T712" s="140">
        <f>IFERROR(__xludf.DUMMYFUNCTION("""COMPUTED_VALUE"""),82.0)</f>
        <v>82</v>
      </c>
      <c r="U712" s="136">
        <f>IFERROR(__xludf.DUMMYFUNCTION("""COMPUTED_VALUE"""),30.0)</f>
        <v>30</v>
      </c>
      <c r="V712" s="136">
        <f>IFERROR(__xludf.DUMMYFUNCTION("""COMPUTED_VALUE"""),29.0)</f>
        <v>29</v>
      </c>
      <c r="W712" s="136">
        <f>IFERROR(__xludf.DUMMYFUNCTION("""COMPUTED_VALUE"""),28.0)</f>
        <v>28</v>
      </c>
      <c r="X712" s="136">
        <f>IFERROR(__xludf.DUMMYFUNCTION("""COMPUTED_VALUE"""),315.7368421052632)</f>
        <v>315.7368421</v>
      </c>
      <c r="Y712" s="141">
        <f>IFERROR(__xludf.DUMMYFUNCTION("""COMPUTED_VALUE"""),48.72026315789473)</f>
        <v>48.72026316</v>
      </c>
      <c r="Z712" s="141">
        <f>IFERROR(__xludf.DUMMYFUNCTION("""COMPUTED_VALUE"""),1892.657894736842)</f>
        <v>1892.657895</v>
      </c>
    </row>
    <row r="713">
      <c r="A713" s="41" t="str">
        <f>IFERROR(__xludf.DUMMYFUNCTION("""COMPUTED_VALUE"""),"Challenger")</f>
        <v>Challenger</v>
      </c>
      <c r="B713" s="41" t="str">
        <f>IFERROR(__xludf.DUMMYFUNCTION("""COMPUTED_VALUE"""),"RSC008335")</f>
        <v>RSC008335</v>
      </c>
      <c r="C713" s="41" t="str">
        <f>IFERROR(__xludf.DUMMYFUNCTION("""COMPUTED_VALUE"""),"DLG_ToxicRatTrap")</f>
        <v>DLG_ToxicRatTrap</v>
      </c>
      <c r="D713" s="41" t="str">
        <f>IFERROR(__xludf.DUMMYFUNCTION("""COMPUTED_VALUE"""),"Glaciers")</f>
        <v>Glaciers</v>
      </c>
      <c r="E713" s="136">
        <f>IFERROR(__xludf.DUMMYFUNCTION("""COMPUTED_VALUE"""),41.0)</f>
        <v>41</v>
      </c>
      <c r="F713" s="136">
        <f>IFERROR(__xludf.DUMMYFUNCTION("""COMPUTED_VALUE"""),22.0)</f>
        <v>22</v>
      </c>
      <c r="G713" s="136">
        <f>IFERROR(__xludf.DUMMYFUNCTION("""COMPUTED_VALUE"""),19.0)</f>
        <v>19</v>
      </c>
      <c r="H713" s="137">
        <f>IFERROR(__xludf.DUMMYFUNCTION("""COMPUTED_VALUE"""),0.5365853658536586)</f>
        <v>0.5365853659</v>
      </c>
      <c r="I713" s="136">
        <f>IFERROR(__xludf.DUMMYFUNCTION("""COMPUTED_VALUE"""),4.0)</f>
        <v>4</v>
      </c>
      <c r="J713" s="136">
        <f>IFERROR(__xludf.DUMMYFUNCTION("""COMPUTED_VALUE"""),12672.0)</f>
        <v>12672</v>
      </c>
      <c r="K713" s="136">
        <f>IFERROR(__xludf.DUMMYFUNCTION("""COMPUTED_VALUE"""),19.0)</f>
        <v>19</v>
      </c>
      <c r="L713" s="136">
        <f>IFERROR(__xludf.DUMMYFUNCTION("""COMPUTED_VALUE"""),30.0)</f>
        <v>30</v>
      </c>
      <c r="M713" s="136">
        <f>IFERROR(__xludf.DUMMYFUNCTION("""COMPUTED_VALUE"""),35.0)</f>
        <v>35</v>
      </c>
      <c r="N713" s="136">
        <f>IFERROR(__xludf.DUMMYFUNCTION("""COMPUTED_VALUE"""),98.0)</f>
        <v>98</v>
      </c>
      <c r="O713" s="138">
        <f>IFERROR(__xludf.DUMMYFUNCTION("""COMPUTED_VALUE"""),4.0)</f>
        <v>4</v>
      </c>
      <c r="P713" s="138">
        <f>IFERROR(__xludf.DUMMYFUNCTION("""COMPUTED_VALUE"""),0.0)</f>
        <v>0</v>
      </c>
      <c r="Q713" s="138">
        <f>IFERROR(__xludf.DUMMYFUNCTION("""COMPUTED_VALUE"""),1.0)</f>
        <v>1</v>
      </c>
      <c r="R713" s="138">
        <f>IFERROR(__xludf.DUMMYFUNCTION("""COMPUTED_VALUE"""),2.0)</f>
        <v>2</v>
      </c>
      <c r="S713" s="139">
        <f>IFERROR(__xludf.DUMMYFUNCTION("""COMPUTED_VALUE"""),287.0)</f>
        <v>287</v>
      </c>
      <c r="T713" s="140">
        <f>IFERROR(__xludf.DUMMYFUNCTION("""COMPUTED_VALUE"""),92.0)</f>
        <v>92</v>
      </c>
      <c r="U713" s="136">
        <f>IFERROR(__xludf.DUMMYFUNCTION("""COMPUTED_VALUE"""),30.0)</f>
        <v>30</v>
      </c>
      <c r="V713" s="136">
        <f>IFERROR(__xludf.DUMMYFUNCTION("""COMPUTED_VALUE"""),24.0)</f>
        <v>24</v>
      </c>
      <c r="W713" s="136">
        <f>IFERROR(__xludf.DUMMYFUNCTION("""COMPUTED_VALUE"""),42.0)</f>
        <v>42</v>
      </c>
      <c r="X713" s="136">
        <f>IFERROR(__xludf.DUMMYFUNCTION("""COMPUTED_VALUE"""),376.0731707317073)</f>
        <v>376.0731707</v>
      </c>
      <c r="Y713" s="141">
        <f>IFERROR(__xludf.DUMMYFUNCTION("""COMPUTED_VALUE"""),50.699024390243885)</f>
        <v>50.69902439</v>
      </c>
      <c r="Z713" s="141">
        <f>IFERROR(__xludf.DUMMYFUNCTION("""COMPUTED_VALUE"""),2261.170731707317)</f>
        <v>2261.170732</v>
      </c>
    </row>
    <row r="714">
      <c r="A714" s="41" t="str">
        <f>IFERROR(__xludf.DUMMYFUNCTION("""COMPUTED_VALUE"""),"Prospect")</f>
        <v>Prospect</v>
      </c>
      <c r="B714" s="41" t="str">
        <f>IFERROR(__xludf.DUMMYFUNCTION("""COMPUTED_VALUE"""),"RSC008337")</f>
        <v>RSC008337</v>
      </c>
      <c r="C714" s="41" t="str">
        <f>IFERROR(__xludf.DUMMYFUNCTION("""COMPUTED_VALUE"""),"Bblaazee.")</f>
        <v>Bblaazee.</v>
      </c>
      <c r="D714" s="41" t="str">
        <f>IFERROR(__xludf.DUMMYFUNCTION("""COMPUTED_VALUE"""),"Piranhas")</f>
        <v>Piranhas</v>
      </c>
      <c r="E714" s="136">
        <f>IFERROR(__xludf.DUMMYFUNCTION("""COMPUTED_VALUE"""),39.0)</f>
        <v>39</v>
      </c>
      <c r="F714" s="136">
        <f>IFERROR(__xludf.DUMMYFUNCTION("""COMPUTED_VALUE"""),17.0)</f>
        <v>17</v>
      </c>
      <c r="G714" s="136">
        <f>IFERROR(__xludf.DUMMYFUNCTION("""COMPUTED_VALUE"""),22.0)</f>
        <v>22</v>
      </c>
      <c r="H714" s="137">
        <f>IFERROR(__xludf.DUMMYFUNCTION("""COMPUTED_VALUE"""),0.4358974358974359)</f>
        <v>0.4358974359</v>
      </c>
      <c r="I714" s="136">
        <f>IFERROR(__xludf.DUMMYFUNCTION("""COMPUTED_VALUE"""),8.0)</f>
        <v>8</v>
      </c>
      <c r="J714" s="136">
        <f>IFERROR(__xludf.DUMMYFUNCTION("""COMPUTED_VALUE"""),14216.0)</f>
        <v>14216</v>
      </c>
      <c r="K714" s="136">
        <f>IFERROR(__xludf.DUMMYFUNCTION("""COMPUTED_VALUE"""),35.0)</f>
        <v>35</v>
      </c>
      <c r="L714" s="136">
        <f>IFERROR(__xludf.DUMMYFUNCTION("""COMPUTED_VALUE"""),14.0)</f>
        <v>14</v>
      </c>
      <c r="M714" s="136">
        <f>IFERROR(__xludf.DUMMYFUNCTION("""COMPUTED_VALUE"""),56.0)</f>
        <v>56</v>
      </c>
      <c r="N714" s="136">
        <f>IFERROR(__xludf.DUMMYFUNCTION("""COMPUTED_VALUE"""),91.0)</f>
        <v>91</v>
      </c>
      <c r="O714" s="138">
        <f>IFERROR(__xludf.DUMMYFUNCTION("""COMPUTED_VALUE"""),5.0)</f>
        <v>5</v>
      </c>
      <c r="P714" s="138">
        <f>IFERROR(__xludf.DUMMYFUNCTION("""COMPUTED_VALUE"""),2.0)</f>
        <v>2</v>
      </c>
      <c r="Q714" s="138">
        <f>IFERROR(__xludf.DUMMYFUNCTION("""COMPUTED_VALUE"""),2.0)</f>
        <v>2</v>
      </c>
      <c r="R714" s="138">
        <f>IFERROR(__xludf.DUMMYFUNCTION("""COMPUTED_VALUE"""),7.0)</f>
        <v>7</v>
      </c>
      <c r="S714" s="139">
        <f>IFERROR(__xludf.DUMMYFUNCTION("""COMPUTED_VALUE"""),305.0)</f>
        <v>305</v>
      </c>
      <c r="T714" s="140">
        <f>IFERROR(__xludf.DUMMYFUNCTION("""COMPUTED_VALUE"""),107.0)</f>
        <v>107</v>
      </c>
      <c r="U714" s="136">
        <f>IFERROR(__xludf.DUMMYFUNCTION("""COMPUTED_VALUE"""),36.0)</f>
        <v>36</v>
      </c>
      <c r="V714" s="136">
        <f>IFERROR(__xludf.DUMMYFUNCTION("""COMPUTED_VALUE"""),25.0)</f>
        <v>25</v>
      </c>
      <c r="W714" s="136">
        <f>IFERROR(__xludf.DUMMYFUNCTION("""COMPUTED_VALUE"""),36.0)</f>
        <v>36</v>
      </c>
      <c r="X714" s="136">
        <f>IFERROR(__xludf.DUMMYFUNCTION("""COMPUTED_VALUE"""),376.3333333333333)</f>
        <v>376.3333333</v>
      </c>
      <c r="Y714" s="141">
        <f>IFERROR(__xludf.DUMMYFUNCTION("""COMPUTED_VALUE"""),53.89307692307693)</f>
        <v>53.89307692</v>
      </c>
      <c r="Z714" s="141">
        <f>IFERROR(__xludf.DUMMYFUNCTION("""COMPUTED_VALUE"""),2268.076923076923)</f>
        <v>2268.076923</v>
      </c>
    </row>
    <row r="715">
      <c r="A715" s="41" t="str">
        <f>IFERROR(__xludf.DUMMYFUNCTION("""COMPUTED_VALUE"""),"Challenger")</f>
        <v>Challenger</v>
      </c>
      <c r="B715" s="41" t="str">
        <f>IFERROR(__xludf.DUMMYFUNCTION("""COMPUTED_VALUE"""),"RSC008340")</f>
        <v>RSC008340</v>
      </c>
      <c r="C715" s="41" t="str">
        <f>IFERROR(__xludf.DUMMYFUNCTION("""COMPUTED_VALUE"""),"Slowsociety")</f>
        <v>Slowsociety</v>
      </c>
      <c r="D715" s="41" t="str">
        <f>IFERROR(__xludf.DUMMYFUNCTION("""COMPUTED_VALUE"""),"Void")</f>
        <v>Void</v>
      </c>
      <c r="E715" s="136">
        <f>IFERROR(__xludf.DUMMYFUNCTION("""COMPUTED_VALUE"""),40.0)</f>
        <v>40</v>
      </c>
      <c r="F715" s="136">
        <f>IFERROR(__xludf.DUMMYFUNCTION("""COMPUTED_VALUE"""),22.0)</f>
        <v>22</v>
      </c>
      <c r="G715" s="136">
        <f>IFERROR(__xludf.DUMMYFUNCTION("""COMPUTED_VALUE"""),18.0)</f>
        <v>18</v>
      </c>
      <c r="H715" s="137">
        <f>IFERROR(__xludf.DUMMYFUNCTION("""COMPUTED_VALUE"""),0.55)</f>
        <v>0.55</v>
      </c>
      <c r="I715" s="136">
        <f>IFERROR(__xludf.DUMMYFUNCTION("""COMPUTED_VALUE"""),6.0)</f>
        <v>6</v>
      </c>
      <c r="J715" s="136">
        <f>IFERROR(__xludf.DUMMYFUNCTION("""COMPUTED_VALUE"""),14311.0)</f>
        <v>14311</v>
      </c>
      <c r="K715" s="136">
        <f>IFERROR(__xludf.DUMMYFUNCTION("""COMPUTED_VALUE"""),38.0)</f>
        <v>38</v>
      </c>
      <c r="L715" s="136">
        <f>IFERROR(__xludf.DUMMYFUNCTION("""COMPUTED_VALUE"""),23.0)</f>
        <v>23</v>
      </c>
      <c r="M715" s="136">
        <f>IFERROR(__xludf.DUMMYFUNCTION("""COMPUTED_VALUE"""),55.0)</f>
        <v>55</v>
      </c>
      <c r="N715" s="136">
        <f>IFERROR(__xludf.DUMMYFUNCTION("""COMPUTED_VALUE"""),108.0)</f>
        <v>108</v>
      </c>
      <c r="O715" s="138">
        <f>IFERROR(__xludf.DUMMYFUNCTION("""COMPUTED_VALUE"""),7.0)</f>
        <v>7</v>
      </c>
      <c r="P715" s="138">
        <f>IFERROR(__xludf.DUMMYFUNCTION("""COMPUTED_VALUE"""),3.0)</f>
        <v>3</v>
      </c>
      <c r="Q715" s="138">
        <f>IFERROR(__xludf.DUMMYFUNCTION("""COMPUTED_VALUE"""),1.0)</f>
        <v>1</v>
      </c>
      <c r="R715" s="138">
        <f>IFERROR(__xludf.DUMMYFUNCTION("""COMPUTED_VALUE"""),6.0)</f>
        <v>6</v>
      </c>
      <c r="S715" s="139">
        <f>IFERROR(__xludf.DUMMYFUNCTION("""COMPUTED_VALUE"""),265.0)</f>
        <v>265</v>
      </c>
      <c r="T715" s="140">
        <f>IFERROR(__xludf.DUMMYFUNCTION("""COMPUTED_VALUE"""),90.0)</f>
        <v>90</v>
      </c>
      <c r="U715" s="136">
        <f>IFERROR(__xludf.DUMMYFUNCTION("""COMPUTED_VALUE"""),31.0)</f>
        <v>31</v>
      </c>
      <c r="V715" s="136">
        <f>IFERROR(__xludf.DUMMYFUNCTION("""COMPUTED_VALUE"""),62.0)</f>
        <v>62</v>
      </c>
      <c r="W715" s="136">
        <f>IFERROR(__xludf.DUMMYFUNCTION("""COMPUTED_VALUE"""),37.0)</f>
        <v>37</v>
      </c>
      <c r="X715" s="136">
        <f>IFERROR(__xludf.DUMMYFUNCTION("""COMPUTED_VALUE"""),368.1)</f>
        <v>368.1</v>
      </c>
      <c r="Y715" s="141">
        <f>IFERROR(__xludf.DUMMYFUNCTION("""COMPUTED_VALUE"""),52.57375)</f>
        <v>52.57375</v>
      </c>
      <c r="Z715" s="141">
        <f>IFERROR(__xludf.DUMMYFUNCTION("""COMPUTED_VALUE"""),2184.525)</f>
        <v>2184.525</v>
      </c>
    </row>
    <row r="716">
      <c r="A716" s="41" t="str">
        <f>IFERROR(__xludf.DUMMYFUNCTION("""COMPUTED_VALUE"""),"Rival")</f>
        <v>Rival</v>
      </c>
      <c r="B716" s="41" t="str">
        <f>IFERROR(__xludf.DUMMYFUNCTION("""COMPUTED_VALUE"""),"RSC008341")</f>
        <v>RSC008341</v>
      </c>
      <c r="C716" s="41" t="str">
        <f>IFERROR(__xludf.DUMMYFUNCTION("""COMPUTED_VALUE"""),"haileyset")</f>
        <v>haileyset</v>
      </c>
      <c r="D716" s="41" t="str">
        <f>IFERROR(__xludf.DUMMYFUNCTION("""COMPUTED_VALUE"""),"Hammerheads")</f>
        <v>Hammerheads</v>
      </c>
      <c r="E716" s="136">
        <f>IFERROR(__xludf.DUMMYFUNCTION("""COMPUTED_VALUE"""),55.0)</f>
        <v>55</v>
      </c>
      <c r="F716" s="136">
        <f>IFERROR(__xludf.DUMMYFUNCTION("""COMPUTED_VALUE"""),27.0)</f>
        <v>27</v>
      </c>
      <c r="G716" s="136">
        <f>IFERROR(__xludf.DUMMYFUNCTION("""COMPUTED_VALUE"""),28.0)</f>
        <v>28</v>
      </c>
      <c r="H716" s="137">
        <f>IFERROR(__xludf.DUMMYFUNCTION("""COMPUTED_VALUE"""),0.4909090909090909)</f>
        <v>0.4909090909</v>
      </c>
      <c r="I716" s="136">
        <f>IFERROR(__xludf.DUMMYFUNCTION("""COMPUTED_VALUE"""),10.0)</f>
        <v>10</v>
      </c>
      <c r="J716" s="136">
        <f>IFERROR(__xludf.DUMMYFUNCTION("""COMPUTED_VALUE"""),18874.0)</f>
        <v>18874</v>
      </c>
      <c r="K716" s="136">
        <f>IFERROR(__xludf.DUMMYFUNCTION("""COMPUTED_VALUE"""),43.0)</f>
        <v>43</v>
      </c>
      <c r="L716" s="136">
        <f>IFERROR(__xludf.DUMMYFUNCTION("""COMPUTED_VALUE"""),20.0)</f>
        <v>20</v>
      </c>
      <c r="M716" s="136">
        <f>IFERROR(__xludf.DUMMYFUNCTION("""COMPUTED_VALUE"""),84.0)</f>
        <v>84</v>
      </c>
      <c r="N716" s="136">
        <f>IFERROR(__xludf.DUMMYFUNCTION("""COMPUTED_VALUE"""),127.0)</f>
        <v>127</v>
      </c>
      <c r="O716" s="138">
        <f>IFERROR(__xludf.DUMMYFUNCTION("""COMPUTED_VALUE"""),7.0)</f>
        <v>7</v>
      </c>
      <c r="P716" s="138">
        <f>IFERROR(__xludf.DUMMYFUNCTION("""COMPUTED_VALUE"""),2.0)</f>
        <v>2</v>
      </c>
      <c r="Q716" s="138">
        <f>IFERROR(__xludf.DUMMYFUNCTION("""COMPUTED_VALUE"""),1.0)</f>
        <v>1</v>
      </c>
      <c r="R716" s="138">
        <f>IFERROR(__xludf.DUMMYFUNCTION("""COMPUTED_VALUE"""),10.0)</f>
        <v>10</v>
      </c>
      <c r="S716" s="139">
        <f>IFERROR(__xludf.DUMMYFUNCTION("""COMPUTED_VALUE"""),435.0)</f>
        <v>435</v>
      </c>
      <c r="T716" s="140">
        <f>IFERROR(__xludf.DUMMYFUNCTION("""COMPUTED_VALUE"""),146.0)</f>
        <v>146</v>
      </c>
      <c r="U716" s="136">
        <f>IFERROR(__xludf.DUMMYFUNCTION("""COMPUTED_VALUE"""),61.0)</f>
        <v>61</v>
      </c>
      <c r="V716" s="136">
        <f>IFERROR(__xludf.DUMMYFUNCTION("""COMPUTED_VALUE"""),26.0)</f>
        <v>26</v>
      </c>
      <c r="W716" s="136">
        <f>IFERROR(__xludf.DUMMYFUNCTION("""COMPUTED_VALUE"""),49.0)</f>
        <v>49</v>
      </c>
      <c r="X716" s="136">
        <f>IFERROR(__xludf.DUMMYFUNCTION("""COMPUTED_VALUE"""),407.1818181818182)</f>
        <v>407.1818182</v>
      </c>
      <c r="Y716" s="141">
        <f>IFERROR(__xludf.DUMMYFUNCTION("""COMPUTED_VALUE"""),46.04472727272727)</f>
        <v>46.04472727</v>
      </c>
      <c r="Z716" s="141">
        <f>IFERROR(__xludf.DUMMYFUNCTION("""COMPUTED_VALUE"""),2423.927272727273)</f>
        <v>2423.927273</v>
      </c>
    </row>
    <row r="717">
      <c r="A717" s="41" t="str">
        <f>IFERROR(__xludf.DUMMYFUNCTION("""COMPUTED_VALUE"""),"Premier")</f>
        <v>Premier</v>
      </c>
      <c r="B717" s="41" t="str">
        <f>IFERROR(__xludf.DUMMYFUNCTION("""COMPUTED_VALUE"""),"RSC008343")</f>
        <v>RSC008343</v>
      </c>
      <c r="C717" s="41" t="str">
        <f>IFERROR(__xludf.DUMMYFUNCTION("""COMPUTED_VALUE"""),"surreal")</f>
        <v>surreal</v>
      </c>
      <c r="D717" s="41" t="str">
        <f>IFERROR(__xludf.DUMMYFUNCTION("""COMPUTED_VALUE"""),"Capybaras")</f>
        <v>Capybaras</v>
      </c>
      <c r="E717" s="136">
        <f>IFERROR(__xludf.DUMMYFUNCTION("""COMPUTED_VALUE"""),47.0)</f>
        <v>47</v>
      </c>
      <c r="F717" s="136">
        <f>IFERROR(__xludf.DUMMYFUNCTION("""COMPUTED_VALUE"""),32.0)</f>
        <v>32</v>
      </c>
      <c r="G717" s="136">
        <f>IFERROR(__xludf.DUMMYFUNCTION("""COMPUTED_VALUE"""),15.0)</f>
        <v>15</v>
      </c>
      <c r="H717" s="137">
        <f>IFERROR(__xludf.DUMMYFUNCTION("""COMPUTED_VALUE"""),0.6808510638297872)</f>
        <v>0.6808510638</v>
      </c>
      <c r="I717" s="136">
        <f>IFERROR(__xludf.DUMMYFUNCTION("""COMPUTED_VALUE"""),14.0)</f>
        <v>14</v>
      </c>
      <c r="J717" s="136">
        <f>IFERROR(__xludf.DUMMYFUNCTION("""COMPUTED_VALUE"""),19698.0)</f>
        <v>19698</v>
      </c>
      <c r="K717" s="136">
        <f>IFERROR(__xludf.DUMMYFUNCTION("""COMPUTED_VALUE"""),48.0)</f>
        <v>48</v>
      </c>
      <c r="L717" s="136">
        <f>IFERROR(__xludf.DUMMYFUNCTION("""COMPUTED_VALUE"""),38.0)</f>
        <v>38</v>
      </c>
      <c r="M717" s="136">
        <f>IFERROR(__xludf.DUMMYFUNCTION("""COMPUTED_VALUE"""),59.0)</f>
        <v>59</v>
      </c>
      <c r="N717" s="136">
        <f>IFERROR(__xludf.DUMMYFUNCTION("""COMPUTED_VALUE"""),145.0)</f>
        <v>145</v>
      </c>
      <c r="O717" s="138">
        <f>IFERROR(__xludf.DUMMYFUNCTION("""COMPUTED_VALUE"""),9.0)</f>
        <v>9</v>
      </c>
      <c r="P717" s="138">
        <f>IFERROR(__xludf.DUMMYFUNCTION("""COMPUTED_VALUE"""),3.0)</f>
        <v>3</v>
      </c>
      <c r="Q717" s="138">
        <f>IFERROR(__xludf.DUMMYFUNCTION("""COMPUTED_VALUE"""),4.0)</f>
        <v>4</v>
      </c>
      <c r="R717" s="138">
        <f>IFERROR(__xludf.DUMMYFUNCTION("""COMPUTED_VALUE"""),5.0)</f>
        <v>5</v>
      </c>
      <c r="S717" s="139">
        <f>IFERROR(__xludf.DUMMYFUNCTION("""COMPUTED_VALUE"""),310.0)</f>
        <v>310</v>
      </c>
      <c r="T717" s="140">
        <f>IFERROR(__xludf.DUMMYFUNCTION("""COMPUTED_VALUE"""),96.0)</f>
        <v>96</v>
      </c>
      <c r="U717" s="136">
        <f>IFERROR(__xludf.DUMMYFUNCTION("""COMPUTED_VALUE"""),38.0)</f>
        <v>38</v>
      </c>
      <c r="V717" s="136">
        <f>IFERROR(__xludf.DUMMYFUNCTION("""COMPUTED_VALUE"""),36.0)</f>
        <v>36</v>
      </c>
      <c r="W717" s="136">
        <f>IFERROR(__xludf.DUMMYFUNCTION("""COMPUTED_VALUE"""),34.0)</f>
        <v>34</v>
      </c>
      <c r="X717" s="136">
        <f>IFERROR(__xludf.DUMMYFUNCTION("""COMPUTED_VALUE"""),488.7659574468085)</f>
        <v>488.7659574</v>
      </c>
      <c r="Y717" s="141">
        <f>IFERROR(__xludf.DUMMYFUNCTION("""COMPUTED_VALUE"""),46.26340425531915)</f>
        <v>46.26340426</v>
      </c>
      <c r="Z717" s="141">
        <f>IFERROR(__xludf.DUMMYFUNCTION("""COMPUTED_VALUE"""),2826.0851063829787)</f>
        <v>2826.085106</v>
      </c>
    </row>
    <row r="718">
      <c r="A718" s="41" t="str">
        <f>IFERROR(__xludf.DUMMYFUNCTION("""COMPUTED_VALUE"""),"Veteran")</f>
        <v>Veteran</v>
      </c>
      <c r="B718" s="41" t="str">
        <f>IFERROR(__xludf.DUMMYFUNCTION("""COMPUTED_VALUE"""),"RSC008344")</f>
        <v>RSC008344</v>
      </c>
      <c r="C718" s="41" t="str">
        <f>IFERROR(__xludf.DUMMYFUNCTION("""COMPUTED_VALUE"""),"RealRoice_IsGetz")</f>
        <v>RealRoice_IsGetz</v>
      </c>
      <c r="D718" s="41" t="str">
        <f>IFERROR(__xludf.DUMMYFUNCTION("""COMPUTED_VALUE"""),"Singularity")</f>
        <v>Singularity</v>
      </c>
      <c r="E718" s="136">
        <f>IFERROR(__xludf.DUMMYFUNCTION("""COMPUTED_VALUE"""),49.0)</f>
        <v>49</v>
      </c>
      <c r="F718" s="136">
        <f>IFERROR(__xludf.DUMMYFUNCTION("""COMPUTED_VALUE"""),14.0)</f>
        <v>14</v>
      </c>
      <c r="G718" s="136">
        <f>IFERROR(__xludf.DUMMYFUNCTION("""COMPUTED_VALUE"""),35.0)</f>
        <v>35</v>
      </c>
      <c r="H718" s="137">
        <f>IFERROR(__xludf.DUMMYFUNCTION("""COMPUTED_VALUE"""),0.2857142857142857)</f>
        <v>0.2857142857</v>
      </c>
      <c r="I718" s="136">
        <f>IFERROR(__xludf.DUMMYFUNCTION("""COMPUTED_VALUE"""),3.0)</f>
        <v>3</v>
      </c>
      <c r="J718" s="136">
        <f>IFERROR(__xludf.DUMMYFUNCTION("""COMPUTED_VALUE"""),14805.0)</f>
        <v>14805</v>
      </c>
      <c r="K718" s="136">
        <f>IFERROR(__xludf.DUMMYFUNCTION("""COMPUTED_VALUE"""),30.0)</f>
        <v>30</v>
      </c>
      <c r="L718" s="136">
        <f>IFERROR(__xludf.DUMMYFUNCTION("""COMPUTED_VALUE"""),28.0)</f>
        <v>28</v>
      </c>
      <c r="M718" s="136">
        <f>IFERROR(__xludf.DUMMYFUNCTION("""COMPUTED_VALUE"""),53.0)</f>
        <v>53</v>
      </c>
      <c r="N718" s="136">
        <f>IFERROR(__xludf.DUMMYFUNCTION("""COMPUTED_VALUE"""),113.0)</f>
        <v>113</v>
      </c>
      <c r="O718" s="138">
        <f>IFERROR(__xludf.DUMMYFUNCTION("""COMPUTED_VALUE"""),10.0)</f>
        <v>10</v>
      </c>
      <c r="P718" s="138">
        <f>IFERROR(__xludf.DUMMYFUNCTION("""COMPUTED_VALUE"""),2.0)</f>
        <v>2</v>
      </c>
      <c r="Q718" s="138">
        <f>IFERROR(__xludf.DUMMYFUNCTION("""COMPUTED_VALUE"""),0.0)</f>
        <v>0</v>
      </c>
      <c r="R718" s="138">
        <f>IFERROR(__xludf.DUMMYFUNCTION("""COMPUTED_VALUE"""),1.0)</f>
        <v>1</v>
      </c>
      <c r="S718" s="139">
        <f>IFERROR(__xludf.DUMMYFUNCTION("""COMPUTED_VALUE"""),451.0)</f>
        <v>451</v>
      </c>
      <c r="T718" s="140">
        <f>IFERROR(__xludf.DUMMYFUNCTION("""COMPUTED_VALUE"""),149.0)</f>
        <v>149</v>
      </c>
      <c r="U718" s="136">
        <f>IFERROR(__xludf.DUMMYFUNCTION("""COMPUTED_VALUE"""),39.0)</f>
        <v>39</v>
      </c>
      <c r="V718" s="136">
        <f>IFERROR(__xludf.DUMMYFUNCTION("""COMPUTED_VALUE"""),53.0)</f>
        <v>53</v>
      </c>
      <c r="W718" s="136">
        <f>IFERROR(__xludf.DUMMYFUNCTION("""COMPUTED_VALUE"""),58.0)</f>
        <v>58</v>
      </c>
      <c r="X718" s="136">
        <f>IFERROR(__xludf.DUMMYFUNCTION("""COMPUTED_VALUE"""),413.2040816326531)</f>
        <v>413.2040816</v>
      </c>
      <c r="Y718" s="141">
        <f>IFERROR(__xludf.DUMMYFUNCTION("""COMPUTED_VALUE"""),47.64408163265307)</f>
        <v>47.64408163</v>
      </c>
      <c r="Z718" s="141">
        <f>IFERROR(__xludf.DUMMYFUNCTION("""COMPUTED_VALUE"""),2498.3469387755104)</f>
        <v>2498.346939</v>
      </c>
    </row>
    <row r="719">
      <c r="A719" s="41" t="str">
        <f>IFERROR(__xludf.DUMMYFUNCTION("""COMPUTED_VALUE"""),"Premier")</f>
        <v>Premier</v>
      </c>
      <c r="B719" s="41" t="str">
        <f>IFERROR(__xludf.DUMMYFUNCTION("""COMPUTED_VALUE"""),"RSC008347")</f>
        <v>RSC008347</v>
      </c>
      <c r="C719" s="41" t="str">
        <f>IFERROR(__xludf.DUMMYFUNCTION("""COMPUTED_VALUE"""),"kor")</f>
        <v>kor</v>
      </c>
      <c r="D719" s="41" t="str">
        <f>IFERROR(__xludf.DUMMYFUNCTION("""COMPUTED_VALUE"""),"Feta Forgers")</f>
        <v>Feta Forgers</v>
      </c>
      <c r="E719" s="136">
        <f>IFERROR(__xludf.DUMMYFUNCTION("""COMPUTED_VALUE"""),4.0)</f>
        <v>4</v>
      </c>
      <c r="F719" s="136">
        <f>IFERROR(__xludf.DUMMYFUNCTION("""COMPUTED_VALUE"""),2.0)</f>
        <v>2</v>
      </c>
      <c r="G719" s="136">
        <f>IFERROR(__xludf.DUMMYFUNCTION("""COMPUTED_VALUE"""),2.0)</f>
        <v>2</v>
      </c>
      <c r="H719" s="137">
        <f>IFERROR(__xludf.DUMMYFUNCTION("""COMPUTED_VALUE"""),0.5)</f>
        <v>0.5</v>
      </c>
      <c r="I719" s="136">
        <f>IFERROR(__xludf.DUMMYFUNCTION("""COMPUTED_VALUE"""),0.0)</f>
        <v>0</v>
      </c>
      <c r="J719" s="136">
        <f>IFERROR(__xludf.DUMMYFUNCTION("""COMPUTED_VALUE"""),1597.0)</f>
        <v>1597</v>
      </c>
      <c r="K719" s="136">
        <f>IFERROR(__xludf.DUMMYFUNCTION("""COMPUTED_VALUE"""),2.0)</f>
        <v>2</v>
      </c>
      <c r="L719" s="136">
        <f>IFERROR(__xludf.DUMMYFUNCTION("""COMPUTED_VALUE"""),2.0)</f>
        <v>2</v>
      </c>
      <c r="M719" s="136">
        <f>IFERROR(__xludf.DUMMYFUNCTION("""COMPUTED_VALUE"""),10.0)</f>
        <v>10</v>
      </c>
      <c r="N719" s="136">
        <f>IFERROR(__xludf.DUMMYFUNCTION("""COMPUTED_VALUE"""),12.0)</f>
        <v>12</v>
      </c>
      <c r="O719" s="138">
        <f>IFERROR(__xludf.DUMMYFUNCTION("""COMPUTED_VALUE"""),0.0)</f>
        <v>0</v>
      </c>
      <c r="P719" s="138">
        <f>IFERROR(__xludf.DUMMYFUNCTION("""COMPUTED_VALUE"""),0.0)</f>
        <v>0</v>
      </c>
      <c r="Q719" s="138">
        <f>IFERROR(__xludf.DUMMYFUNCTION("""COMPUTED_VALUE"""),0.0)</f>
        <v>0</v>
      </c>
      <c r="R719" s="138">
        <f>IFERROR(__xludf.DUMMYFUNCTION("""COMPUTED_VALUE"""),2.0)</f>
        <v>2</v>
      </c>
      <c r="S719" s="139">
        <f>IFERROR(__xludf.DUMMYFUNCTION("""COMPUTED_VALUE"""),40.0)</f>
        <v>40</v>
      </c>
      <c r="T719" s="140">
        <f>IFERROR(__xludf.DUMMYFUNCTION("""COMPUTED_VALUE"""),14.0)</f>
        <v>14</v>
      </c>
      <c r="U719" s="136">
        <f>IFERROR(__xludf.DUMMYFUNCTION("""COMPUTED_VALUE"""),2.0)</f>
        <v>2</v>
      </c>
      <c r="V719" s="136">
        <f>IFERROR(__xludf.DUMMYFUNCTION("""COMPUTED_VALUE"""),3.0)</f>
        <v>3</v>
      </c>
      <c r="W719" s="136">
        <f>IFERROR(__xludf.DUMMYFUNCTION("""COMPUTED_VALUE"""),2.0)</f>
        <v>2</v>
      </c>
      <c r="X719" s="136">
        <f>IFERROR(__xludf.DUMMYFUNCTION("""COMPUTED_VALUE"""),384.5)</f>
        <v>384.5</v>
      </c>
      <c r="Y719" s="141">
        <f>IFERROR(__xludf.DUMMYFUNCTION("""COMPUTED_VALUE"""),50.9975)</f>
        <v>50.9975</v>
      </c>
      <c r="Z719" s="141">
        <f>IFERROR(__xludf.DUMMYFUNCTION("""COMPUTED_VALUE"""),2439.0)</f>
        <v>2439</v>
      </c>
    </row>
    <row r="720">
      <c r="A720" s="41" t="str">
        <f>IFERROR(__xludf.DUMMYFUNCTION("""COMPUTED_VALUE"""),"Challenger")</f>
        <v>Challenger</v>
      </c>
      <c r="B720" s="41" t="str">
        <f>IFERROR(__xludf.DUMMYFUNCTION("""COMPUTED_VALUE"""),"RSC008348")</f>
        <v>RSC008348</v>
      </c>
      <c r="C720" s="41" t="str">
        <f>IFERROR(__xludf.DUMMYFUNCTION("""COMPUTED_VALUE"""),"Shadows_ss")</f>
        <v>Shadows_ss</v>
      </c>
      <c r="D720" s="41" t="str">
        <f>IFERROR(__xludf.DUMMYFUNCTION("""COMPUTED_VALUE"""),"Sirens")</f>
        <v>Sirens</v>
      </c>
      <c r="E720" s="136">
        <f>IFERROR(__xludf.DUMMYFUNCTION("""COMPUTED_VALUE"""),33.0)</f>
        <v>33</v>
      </c>
      <c r="F720" s="136">
        <f>IFERROR(__xludf.DUMMYFUNCTION("""COMPUTED_VALUE"""),14.0)</f>
        <v>14</v>
      </c>
      <c r="G720" s="136">
        <f>IFERROR(__xludf.DUMMYFUNCTION("""COMPUTED_VALUE"""),19.0)</f>
        <v>19</v>
      </c>
      <c r="H720" s="137">
        <f>IFERROR(__xludf.DUMMYFUNCTION("""COMPUTED_VALUE"""),0.42424242424242425)</f>
        <v>0.4242424242</v>
      </c>
      <c r="I720" s="136">
        <f>IFERROR(__xludf.DUMMYFUNCTION("""COMPUTED_VALUE"""),1.0)</f>
        <v>1</v>
      </c>
      <c r="J720" s="136">
        <f>IFERROR(__xludf.DUMMYFUNCTION("""COMPUTED_VALUE"""),8865.0)</f>
        <v>8865</v>
      </c>
      <c r="K720" s="136">
        <f>IFERROR(__xludf.DUMMYFUNCTION("""COMPUTED_VALUE"""),23.0)</f>
        <v>23</v>
      </c>
      <c r="L720" s="136">
        <f>IFERROR(__xludf.DUMMYFUNCTION("""COMPUTED_VALUE"""),12.0)</f>
        <v>12</v>
      </c>
      <c r="M720" s="136">
        <f>IFERROR(__xludf.DUMMYFUNCTION("""COMPUTED_VALUE"""),30.0)</f>
        <v>30</v>
      </c>
      <c r="N720" s="136">
        <f>IFERROR(__xludf.DUMMYFUNCTION("""COMPUTED_VALUE"""),57.0)</f>
        <v>57</v>
      </c>
      <c r="O720" s="138">
        <f>IFERROR(__xludf.DUMMYFUNCTION("""COMPUTED_VALUE"""),3.0)</f>
        <v>3</v>
      </c>
      <c r="P720" s="138">
        <f>IFERROR(__xludf.DUMMYFUNCTION("""COMPUTED_VALUE"""),1.0)</f>
        <v>1</v>
      </c>
      <c r="Q720" s="138">
        <f>IFERROR(__xludf.DUMMYFUNCTION("""COMPUTED_VALUE"""),0.0)</f>
        <v>0</v>
      </c>
      <c r="R720" s="138">
        <f>IFERROR(__xludf.DUMMYFUNCTION("""COMPUTED_VALUE"""),3.0)</f>
        <v>3</v>
      </c>
      <c r="S720" s="139">
        <f>IFERROR(__xludf.DUMMYFUNCTION("""COMPUTED_VALUE"""),274.0)</f>
        <v>274</v>
      </c>
      <c r="T720" s="140">
        <f>IFERROR(__xludf.DUMMYFUNCTION("""COMPUTED_VALUE"""),98.0)</f>
        <v>98</v>
      </c>
      <c r="U720" s="136">
        <f>IFERROR(__xludf.DUMMYFUNCTION("""COMPUTED_VALUE"""),35.0)</f>
        <v>35</v>
      </c>
      <c r="V720" s="136">
        <f>IFERROR(__xludf.DUMMYFUNCTION("""COMPUTED_VALUE"""),85.0)</f>
        <v>85</v>
      </c>
      <c r="W720" s="136">
        <f>IFERROR(__xludf.DUMMYFUNCTION("""COMPUTED_VALUE"""),24.0)</f>
        <v>24</v>
      </c>
      <c r="X720" s="136">
        <f>IFERROR(__xludf.DUMMYFUNCTION("""COMPUTED_VALUE"""),388.030303030303)</f>
        <v>388.030303</v>
      </c>
      <c r="Y720" s="141">
        <f>IFERROR(__xludf.DUMMYFUNCTION("""COMPUTED_VALUE"""),44.93090909090909)</f>
        <v>44.93090909</v>
      </c>
      <c r="Z720" s="141">
        <f>IFERROR(__xludf.DUMMYFUNCTION("""COMPUTED_VALUE"""),2285.909090909091)</f>
        <v>2285.909091</v>
      </c>
    </row>
    <row r="721">
      <c r="A721" s="41" t="str">
        <f>IFERROR(__xludf.DUMMYFUNCTION("""COMPUTED_VALUE"""),"Veteran")</f>
        <v>Veteran</v>
      </c>
      <c r="B721" s="41" t="str">
        <f>IFERROR(__xludf.DUMMYFUNCTION("""COMPUTED_VALUE"""),"RSC008351")</f>
        <v>RSC008351</v>
      </c>
      <c r="C721" s="41" t="str">
        <f>IFERROR(__xludf.DUMMYFUNCTION("""COMPUTED_VALUE"""),"trendy &lt;3")</f>
        <v>trendy &lt;3</v>
      </c>
      <c r="D721" s="41" t="str">
        <f>IFERROR(__xludf.DUMMYFUNCTION("""COMPUTED_VALUE"""),"White Collars")</f>
        <v>White Collars</v>
      </c>
      <c r="E721" s="136">
        <f>IFERROR(__xludf.DUMMYFUNCTION("""COMPUTED_VALUE"""),56.0)</f>
        <v>56</v>
      </c>
      <c r="F721" s="136">
        <f>IFERROR(__xludf.DUMMYFUNCTION("""COMPUTED_VALUE"""),30.0)</f>
        <v>30</v>
      </c>
      <c r="G721" s="136">
        <f>IFERROR(__xludf.DUMMYFUNCTION("""COMPUTED_VALUE"""),26.0)</f>
        <v>26</v>
      </c>
      <c r="H721" s="137">
        <f>IFERROR(__xludf.DUMMYFUNCTION("""COMPUTED_VALUE"""),0.5357142857142857)</f>
        <v>0.5357142857</v>
      </c>
      <c r="I721" s="136">
        <f>IFERROR(__xludf.DUMMYFUNCTION("""COMPUTED_VALUE"""),12.0)</f>
        <v>12</v>
      </c>
      <c r="J721" s="136">
        <f>IFERROR(__xludf.DUMMYFUNCTION("""COMPUTED_VALUE"""),21015.0)</f>
        <v>21015</v>
      </c>
      <c r="K721" s="136">
        <f>IFERROR(__xludf.DUMMYFUNCTION("""COMPUTED_VALUE"""),40.0)</f>
        <v>40</v>
      </c>
      <c r="L721" s="136">
        <f>IFERROR(__xludf.DUMMYFUNCTION("""COMPUTED_VALUE"""),47.0)</f>
        <v>47</v>
      </c>
      <c r="M721" s="136">
        <f>IFERROR(__xludf.DUMMYFUNCTION("""COMPUTED_VALUE"""),78.0)</f>
        <v>78</v>
      </c>
      <c r="N721" s="136">
        <f>IFERROR(__xludf.DUMMYFUNCTION("""COMPUTED_VALUE"""),154.0)</f>
        <v>154</v>
      </c>
      <c r="O721" s="138">
        <f>IFERROR(__xludf.DUMMYFUNCTION("""COMPUTED_VALUE"""),12.0)</f>
        <v>12</v>
      </c>
      <c r="P721" s="138">
        <f>IFERROR(__xludf.DUMMYFUNCTION("""COMPUTED_VALUE"""),1.0)</f>
        <v>1</v>
      </c>
      <c r="Q721" s="138">
        <f>IFERROR(__xludf.DUMMYFUNCTION("""COMPUTED_VALUE"""),6.0)</f>
        <v>6</v>
      </c>
      <c r="R721" s="138">
        <f>IFERROR(__xludf.DUMMYFUNCTION("""COMPUTED_VALUE"""),8.0)</f>
        <v>8</v>
      </c>
      <c r="S721" s="139">
        <f>IFERROR(__xludf.DUMMYFUNCTION("""COMPUTED_VALUE"""),397.0)</f>
        <v>397</v>
      </c>
      <c r="T721" s="140">
        <f>IFERROR(__xludf.DUMMYFUNCTION("""COMPUTED_VALUE"""),107.0)</f>
        <v>107</v>
      </c>
      <c r="U721" s="136">
        <f>IFERROR(__xludf.DUMMYFUNCTION("""COMPUTED_VALUE"""),37.0)</f>
        <v>37</v>
      </c>
      <c r="V721" s="136">
        <f>IFERROR(__xludf.DUMMYFUNCTION("""COMPUTED_VALUE"""),32.0)</f>
        <v>32</v>
      </c>
      <c r="W721" s="136">
        <f>IFERROR(__xludf.DUMMYFUNCTION("""COMPUTED_VALUE"""),52.0)</f>
        <v>52</v>
      </c>
      <c r="X721" s="136">
        <f>IFERROR(__xludf.DUMMYFUNCTION("""COMPUTED_VALUE"""),411.01785714285717)</f>
        <v>411.0178571</v>
      </c>
      <c r="Y721" s="141">
        <f>IFERROR(__xludf.DUMMYFUNCTION("""COMPUTED_VALUE"""),50.751428571428576)</f>
        <v>50.75142857</v>
      </c>
      <c r="Z721" s="141">
        <f>IFERROR(__xludf.DUMMYFUNCTION("""COMPUTED_VALUE"""),2440.910714285714)</f>
        <v>2440.910714</v>
      </c>
    </row>
    <row r="722">
      <c r="A722" s="41" t="str">
        <f>IFERROR(__xludf.DUMMYFUNCTION("""COMPUTED_VALUE"""),"Elite")</f>
        <v>Elite</v>
      </c>
      <c r="B722" s="41" t="str">
        <f>IFERROR(__xludf.DUMMYFUNCTION("""COMPUTED_VALUE"""),"RSC008353")</f>
        <v>RSC008353</v>
      </c>
      <c r="C722" s="41" t="str">
        <f>IFERROR(__xludf.DUMMYFUNCTION("""COMPUTED_VALUE"""),"IcyWrenTTV")</f>
        <v>IcyWrenTTV</v>
      </c>
      <c r="D722" s="41" t="str">
        <f>IFERROR(__xludf.DUMMYFUNCTION("""COMPUTED_VALUE"""),"Drive-by")</f>
        <v>Drive-by</v>
      </c>
      <c r="E722" s="136">
        <f>IFERROR(__xludf.DUMMYFUNCTION("""COMPUTED_VALUE"""),27.0)</f>
        <v>27</v>
      </c>
      <c r="F722" s="136">
        <f>IFERROR(__xludf.DUMMYFUNCTION("""COMPUTED_VALUE"""),5.0)</f>
        <v>5</v>
      </c>
      <c r="G722" s="136">
        <f>IFERROR(__xludf.DUMMYFUNCTION("""COMPUTED_VALUE"""),22.0)</f>
        <v>22</v>
      </c>
      <c r="H722" s="137">
        <f>IFERROR(__xludf.DUMMYFUNCTION("""COMPUTED_VALUE"""),0.18518518518518517)</f>
        <v>0.1851851852</v>
      </c>
      <c r="I722" s="136">
        <f>IFERROR(__xludf.DUMMYFUNCTION("""COMPUTED_VALUE"""),0.0)</f>
        <v>0</v>
      </c>
      <c r="J722" s="136">
        <f>IFERROR(__xludf.DUMMYFUNCTION("""COMPUTED_VALUE"""),7573.0)</f>
        <v>7573</v>
      </c>
      <c r="K722" s="136">
        <f>IFERROR(__xludf.DUMMYFUNCTION("""COMPUTED_VALUE"""),12.0)</f>
        <v>12</v>
      </c>
      <c r="L722" s="136">
        <f>IFERROR(__xludf.DUMMYFUNCTION("""COMPUTED_VALUE"""),10.0)</f>
        <v>10</v>
      </c>
      <c r="M722" s="136">
        <f>IFERROR(__xludf.DUMMYFUNCTION("""COMPUTED_VALUE"""),37.0)</f>
        <v>37</v>
      </c>
      <c r="N722" s="136">
        <f>IFERROR(__xludf.DUMMYFUNCTION("""COMPUTED_VALUE"""),47.0)</f>
        <v>47</v>
      </c>
      <c r="O722" s="138">
        <f>IFERROR(__xludf.DUMMYFUNCTION("""COMPUTED_VALUE"""),3.0)</f>
        <v>3</v>
      </c>
      <c r="P722" s="138">
        <f>IFERROR(__xludf.DUMMYFUNCTION("""COMPUTED_VALUE"""),1.0)</f>
        <v>1</v>
      </c>
      <c r="Q722" s="138">
        <f>IFERROR(__xludf.DUMMYFUNCTION("""COMPUTED_VALUE"""),1.0)</f>
        <v>1</v>
      </c>
      <c r="R722" s="138">
        <f>IFERROR(__xludf.DUMMYFUNCTION("""COMPUTED_VALUE"""),4.0)</f>
        <v>4</v>
      </c>
      <c r="S722" s="139">
        <f>IFERROR(__xludf.DUMMYFUNCTION("""COMPUTED_VALUE"""),286.0)</f>
        <v>286</v>
      </c>
      <c r="T722" s="140">
        <f>IFERROR(__xludf.DUMMYFUNCTION("""COMPUTED_VALUE"""),99.0)</f>
        <v>99</v>
      </c>
      <c r="U722" s="136">
        <f>IFERROR(__xludf.DUMMYFUNCTION("""COMPUTED_VALUE"""),26.0)</f>
        <v>26</v>
      </c>
      <c r="V722" s="136">
        <f>IFERROR(__xludf.DUMMYFUNCTION("""COMPUTED_VALUE"""),14.0)</f>
        <v>14</v>
      </c>
      <c r="W722" s="136">
        <f>IFERROR(__xludf.DUMMYFUNCTION("""COMPUTED_VALUE"""),28.0)</f>
        <v>28</v>
      </c>
      <c r="X722" s="136">
        <f>IFERROR(__xludf.DUMMYFUNCTION("""COMPUTED_VALUE"""),377.9259259259259)</f>
        <v>377.9259259</v>
      </c>
      <c r="Y722" s="141">
        <f>IFERROR(__xludf.DUMMYFUNCTION("""COMPUTED_VALUE"""),49.72888888888889)</f>
        <v>49.72888889</v>
      </c>
      <c r="Z722" s="141">
        <f>IFERROR(__xludf.DUMMYFUNCTION("""COMPUTED_VALUE"""),2278.259259259259)</f>
        <v>2278.259259</v>
      </c>
    </row>
    <row r="723">
      <c r="A723" s="41" t="str">
        <f>IFERROR(__xludf.DUMMYFUNCTION("""COMPUTED_VALUE"""),"Elite")</f>
        <v>Elite</v>
      </c>
      <c r="B723" s="41" t="str">
        <f>IFERROR(__xludf.DUMMYFUNCTION("""COMPUTED_VALUE"""),"RSC008354")</f>
        <v>RSC008354</v>
      </c>
      <c r="C723" s="41" t="str">
        <f>IFERROR(__xludf.DUMMYFUNCTION("""COMPUTED_VALUE"""),"S3 TEK")</f>
        <v>S3 TEK</v>
      </c>
      <c r="D723" s="41" t="str">
        <f>IFERROR(__xludf.DUMMYFUNCTION("""COMPUTED_VALUE"""),"Afterburners")</f>
        <v>Afterburners</v>
      </c>
      <c r="E723" s="136">
        <f>IFERROR(__xludf.DUMMYFUNCTION("""COMPUTED_VALUE"""),16.0)</f>
        <v>16</v>
      </c>
      <c r="F723" s="136">
        <f>IFERROR(__xludf.DUMMYFUNCTION("""COMPUTED_VALUE"""),3.0)</f>
        <v>3</v>
      </c>
      <c r="G723" s="136">
        <f>IFERROR(__xludf.DUMMYFUNCTION("""COMPUTED_VALUE"""),13.0)</f>
        <v>13</v>
      </c>
      <c r="H723" s="137">
        <f>IFERROR(__xludf.DUMMYFUNCTION("""COMPUTED_VALUE"""),0.1875)</f>
        <v>0.1875</v>
      </c>
      <c r="I723" s="136">
        <f>IFERROR(__xludf.DUMMYFUNCTION("""COMPUTED_VALUE"""),1.0)</f>
        <v>1</v>
      </c>
      <c r="J723" s="136">
        <f>IFERROR(__xludf.DUMMYFUNCTION("""COMPUTED_VALUE"""),5725.0)</f>
        <v>5725</v>
      </c>
      <c r="K723" s="136">
        <f>IFERROR(__xludf.DUMMYFUNCTION("""COMPUTED_VALUE"""),16.0)</f>
        <v>16</v>
      </c>
      <c r="L723" s="136">
        <f>IFERROR(__xludf.DUMMYFUNCTION("""COMPUTED_VALUE"""),7.0)</f>
        <v>7</v>
      </c>
      <c r="M723" s="136">
        <f>IFERROR(__xludf.DUMMYFUNCTION("""COMPUTED_VALUE"""),21.0)</f>
        <v>21</v>
      </c>
      <c r="N723" s="136">
        <f>IFERROR(__xludf.DUMMYFUNCTION("""COMPUTED_VALUE"""),39.0)</f>
        <v>39</v>
      </c>
      <c r="O723" s="138">
        <f>IFERROR(__xludf.DUMMYFUNCTION("""COMPUTED_VALUE"""),3.0)</f>
        <v>3</v>
      </c>
      <c r="P723" s="138">
        <f>IFERROR(__xludf.DUMMYFUNCTION("""COMPUTED_VALUE"""),0.0)</f>
        <v>0</v>
      </c>
      <c r="Q723" s="138">
        <f>IFERROR(__xludf.DUMMYFUNCTION("""COMPUTED_VALUE"""),0.0)</f>
        <v>0</v>
      </c>
      <c r="R723" s="138">
        <f>IFERROR(__xludf.DUMMYFUNCTION("""COMPUTED_VALUE"""),2.0)</f>
        <v>2</v>
      </c>
      <c r="S723" s="139">
        <f>IFERROR(__xludf.DUMMYFUNCTION("""COMPUTED_VALUE"""),154.0)</f>
        <v>154</v>
      </c>
      <c r="T723" s="140">
        <f>IFERROR(__xludf.DUMMYFUNCTION("""COMPUTED_VALUE"""),59.0)</f>
        <v>59</v>
      </c>
      <c r="U723" s="136">
        <f>IFERROR(__xludf.DUMMYFUNCTION("""COMPUTED_VALUE"""),22.0)</f>
        <v>22</v>
      </c>
      <c r="V723" s="136">
        <f>IFERROR(__xludf.DUMMYFUNCTION("""COMPUTED_VALUE"""),10.0)</f>
        <v>10</v>
      </c>
      <c r="W723" s="136">
        <f>IFERROR(__xludf.DUMMYFUNCTION("""COMPUTED_VALUE"""),14.0)</f>
        <v>14</v>
      </c>
      <c r="X723" s="136">
        <f>IFERROR(__xludf.DUMMYFUNCTION("""COMPUTED_VALUE"""),379.6875)</f>
        <v>379.6875</v>
      </c>
      <c r="Y723" s="141">
        <f>IFERROR(__xludf.DUMMYFUNCTION("""COMPUTED_VALUE"""),46.03875000000001)</f>
        <v>46.03875</v>
      </c>
      <c r="Z723" s="141">
        <f>IFERROR(__xludf.DUMMYFUNCTION("""COMPUTED_VALUE"""),2375.25)</f>
        <v>2375.25</v>
      </c>
    </row>
    <row r="724">
      <c r="A724" s="41" t="str">
        <f>IFERROR(__xludf.DUMMYFUNCTION("""COMPUTED_VALUE"""),"Elite")</f>
        <v>Elite</v>
      </c>
      <c r="B724" s="41" t="str">
        <f>IFERROR(__xludf.DUMMYFUNCTION("""COMPUTED_VALUE"""),"RSC008355")</f>
        <v>RSC008355</v>
      </c>
      <c r="C724" s="41" t="str">
        <f>IFERROR(__xludf.DUMMYFUNCTION("""COMPUTED_VALUE"""),"SmyrnaRL")</f>
        <v>SmyrnaRL</v>
      </c>
      <c r="D724" s="41" t="str">
        <f>IFERROR(__xludf.DUMMYFUNCTION("""COMPUTED_VALUE"""),"Sloths")</f>
        <v>Sloths</v>
      </c>
      <c r="E724" s="136">
        <f>IFERROR(__xludf.DUMMYFUNCTION("""COMPUTED_VALUE"""),4.0)</f>
        <v>4</v>
      </c>
      <c r="F724" s="136">
        <f>IFERROR(__xludf.DUMMYFUNCTION("""COMPUTED_VALUE"""),2.0)</f>
        <v>2</v>
      </c>
      <c r="G724" s="136">
        <f>IFERROR(__xludf.DUMMYFUNCTION("""COMPUTED_VALUE"""),2.0)</f>
        <v>2</v>
      </c>
      <c r="H724" s="137">
        <f>IFERROR(__xludf.DUMMYFUNCTION("""COMPUTED_VALUE"""),0.5)</f>
        <v>0.5</v>
      </c>
      <c r="I724" s="136">
        <f>IFERROR(__xludf.DUMMYFUNCTION("""COMPUTED_VALUE"""),0.0)</f>
        <v>0</v>
      </c>
      <c r="J724" s="136">
        <f>IFERROR(__xludf.DUMMYFUNCTION("""COMPUTED_VALUE"""),1025.0)</f>
        <v>1025</v>
      </c>
      <c r="K724" s="136">
        <f>IFERROR(__xludf.DUMMYFUNCTION("""COMPUTED_VALUE"""),1.0)</f>
        <v>1</v>
      </c>
      <c r="L724" s="136">
        <f>IFERROR(__xludf.DUMMYFUNCTION("""COMPUTED_VALUE"""),0.0)</f>
        <v>0</v>
      </c>
      <c r="M724" s="136">
        <f>IFERROR(__xludf.DUMMYFUNCTION("""COMPUTED_VALUE"""),5.0)</f>
        <v>5</v>
      </c>
      <c r="N724" s="136">
        <f>IFERROR(__xludf.DUMMYFUNCTION("""COMPUTED_VALUE"""),12.0)</f>
        <v>12</v>
      </c>
      <c r="O724" s="138">
        <f>IFERROR(__xludf.DUMMYFUNCTION("""COMPUTED_VALUE"""),0.0)</f>
        <v>0</v>
      </c>
      <c r="P724" s="138">
        <f>IFERROR(__xludf.DUMMYFUNCTION("""COMPUTED_VALUE"""),0.0)</f>
        <v>0</v>
      </c>
      <c r="Q724" s="138">
        <f>IFERROR(__xludf.DUMMYFUNCTION("""COMPUTED_VALUE"""),0.0)</f>
        <v>0</v>
      </c>
      <c r="R724" s="138">
        <f>IFERROR(__xludf.DUMMYFUNCTION("""COMPUTED_VALUE"""),1.0)</f>
        <v>1</v>
      </c>
      <c r="S724" s="139">
        <f>IFERROR(__xludf.DUMMYFUNCTION("""COMPUTED_VALUE"""),33.0)</f>
        <v>33</v>
      </c>
      <c r="T724" s="140">
        <f>IFERROR(__xludf.DUMMYFUNCTION("""COMPUTED_VALUE"""),12.0)</f>
        <v>12</v>
      </c>
      <c r="U724" s="136">
        <f>IFERROR(__xludf.DUMMYFUNCTION("""COMPUTED_VALUE"""),3.0)</f>
        <v>3</v>
      </c>
      <c r="V724" s="136">
        <f>IFERROR(__xludf.DUMMYFUNCTION("""COMPUTED_VALUE"""),5.0)</f>
        <v>5</v>
      </c>
      <c r="W724" s="136">
        <f>IFERROR(__xludf.DUMMYFUNCTION("""COMPUTED_VALUE"""),3.0)</f>
        <v>3</v>
      </c>
      <c r="X724" s="136">
        <f>IFERROR(__xludf.DUMMYFUNCTION("""COMPUTED_VALUE"""),429.5)</f>
        <v>429.5</v>
      </c>
      <c r="Y724" s="141">
        <f>IFERROR(__xludf.DUMMYFUNCTION("""COMPUTED_VALUE"""),48.385)</f>
        <v>48.385</v>
      </c>
      <c r="Z724" s="141">
        <f>IFERROR(__xludf.DUMMYFUNCTION("""COMPUTED_VALUE"""),3072.0)</f>
        <v>3072</v>
      </c>
    </row>
    <row r="725">
      <c r="A725" s="41" t="str">
        <f>IFERROR(__xludf.DUMMYFUNCTION("""COMPUTED_VALUE"""),"Challenger")</f>
        <v>Challenger</v>
      </c>
      <c r="B725" s="41" t="str">
        <f>IFERROR(__xludf.DUMMYFUNCTION("""COMPUTED_VALUE"""),"RSC008357")</f>
        <v>RSC008357</v>
      </c>
      <c r="C725" s="41" t="str">
        <f>IFERROR(__xludf.DUMMYFUNCTION("""COMPUTED_VALUE"""),"tiagosan _")</f>
        <v>tiagosan _</v>
      </c>
      <c r="D725" s="41" t="str">
        <f>IFERROR(__xludf.DUMMYFUNCTION("""COMPUTED_VALUE"""),"Shade")</f>
        <v>Shade</v>
      </c>
      <c r="E725" s="136">
        <f>IFERROR(__xludf.DUMMYFUNCTION("""COMPUTED_VALUE"""),43.0)</f>
        <v>43</v>
      </c>
      <c r="F725" s="136">
        <f>IFERROR(__xludf.DUMMYFUNCTION("""COMPUTED_VALUE"""),29.0)</f>
        <v>29</v>
      </c>
      <c r="G725" s="136">
        <f>IFERROR(__xludf.DUMMYFUNCTION("""COMPUTED_VALUE"""),14.0)</f>
        <v>14</v>
      </c>
      <c r="H725" s="137">
        <f>IFERROR(__xludf.DUMMYFUNCTION("""COMPUTED_VALUE"""),0.6744186046511628)</f>
        <v>0.6744186047</v>
      </c>
      <c r="I725" s="136">
        <f>IFERROR(__xludf.DUMMYFUNCTION("""COMPUTED_VALUE"""),6.0)</f>
        <v>6</v>
      </c>
      <c r="J725" s="136">
        <f>IFERROR(__xludf.DUMMYFUNCTION("""COMPUTED_VALUE"""),13370.0)</f>
        <v>13370</v>
      </c>
      <c r="K725" s="136">
        <f>IFERROR(__xludf.DUMMYFUNCTION("""COMPUTED_VALUE"""),32.0)</f>
        <v>32</v>
      </c>
      <c r="L725" s="136">
        <f>IFERROR(__xludf.DUMMYFUNCTION("""COMPUTED_VALUE"""),19.0)</f>
        <v>19</v>
      </c>
      <c r="M725" s="136">
        <f>IFERROR(__xludf.DUMMYFUNCTION("""COMPUTED_VALUE"""),44.0)</f>
        <v>44</v>
      </c>
      <c r="N725" s="136">
        <f>IFERROR(__xludf.DUMMYFUNCTION("""COMPUTED_VALUE"""),115.0)</f>
        <v>115</v>
      </c>
      <c r="O725" s="138">
        <f>IFERROR(__xludf.DUMMYFUNCTION("""COMPUTED_VALUE"""),6.0)</f>
        <v>6</v>
      </c>
      <c r="P725" s="138">
        <f>IFERROR(__xludf.DUMMYFUNCTION("""COMPUTED_VALUE"""),2.0)</f>
        <v>2</v>
      </c>
      <c r="Q725" s="138">
        <f>IFERROR(__xludf.DUMMYFUNCTION("""COMPUTED_VALUE"""),1.0)</f>
        <v>1</v>
      </c>
      <c r="R725" s="138">
        <f>IFERROR(__xludf.DUMMYFUNCTION("""COMPUTED_VALUE"""),2.0)</f>
        <v>2</v>
      </c>
      <c r="S725" s="139">
        <f>IFERROR(__xludf.DUMMYFUNCTION("""COMPUTED_VALUE"""),258.0)</f>
        <v>258</v>
      </c>
      <c r="T725" s="140">
        <f>IFERROR(__xludf.DUMMYFUNCTION("""COMPUTED_VALUE"""),83.0)</f>
        <v>83</v>
      </c>
      <c r="U725" s="136">
        <f>IFERROR(__xludf.DUMMYFUNCTION("""COMPUTED_VALUE"""),29.0)</f>
        <v>29</v>
      </c>
      <c r="V725" s="136">
        <f>IFERROR(__xludf.DUMMYFUNCTION("""COMPUTED_VALUE"""),30.0)</f>
        <v>30</v>
      </c>
      <c r="W725" s="136">
        <f>IFERROR(__xludf.DUMMYFUNCTION("""COMPUTED_VALUE"""),37.0)</f>
        <v>37</v>
      </c>
      <c r="X725" s="136">
        <f>IFERROR(__xludf.DUMMYFUNCTION("""COMPUTED_VALUE"""),372.93023255813955)</f>
        <v>372.9302326</v>
      </c>
      <c r="Y725" s="141">
        <f>IFERROR(__xludf.DUMMYFUNCTION("""COMPUTED_VALUE"""),45.60395348837209)</f>
        <v>45.60395349</v>
      </c>
      <c r="Z725" s="141">
        <f>IFERROR(__xludf.DUMMYFUNCTION("""COMPUTED_VALUE"""),2126.3023255813955)</f>
        <v>2126.302326</v>
      </c>
    </row>
    <row r="726">
      <c r="A726" s="41" t="str">
        <f>IFERROR(__xludf.DUMMYFUNCTION("""COMPUTED_VALUE"""),"Rival")</f>
        <v>Rival</v>
      </c>
      <c r="B726" s="41" t="str">
        <f>IFERROR(__xludf.DUMMYFUNCTION("""COMPUTED_VALUE"""),"RSC008360")</f>
        <v>RSC008360</v>
      </c>
      <c r="C726" s="41" t="str">
        <f>IFERROR(__xludf.DUMMYFUNCTION("""COMPUTED_VALUE"""),"Merk890")</f>
        <v>Merk890</v>
      </c>
      <c r="D726" s="41" t="str">
        <f>IFERROR(__xludf.DUMMYFUNCTION("""COMPUTED_VALUE"""),"Lightning")</f>
        <v>Lightning</v>
      </c>
      <c r="E726" s="136">
        <f>IFERROR(__xludf.DUMMYFUNCTION("""COMPUTED_VALUE"""),44.0)</f>
        <v>44</v>
      </c>
      <c r="F726" s="136">
        <f>IFERROR(__xludf.DUMMYFUNCTION("""COMPUTED_VALUE"""),24.0)</f>
        <v>24</v>
      </c>
      <c r="G726" s="136">
        <f>IFERROR(__xludf.DUMMYFUNCTION("""COMPUTED_VALUE"""),20.0)</f>
        <v>20</v>
      </c>
      <c r="H726" s="137">
        <f>IFERROR(__xludf.DUMMYFUNCTION("""COMPUTED_VALUE"""),0.5454545454545454)</f>
        <v>0.5454545455</v>
      </c>
      <c r="I726" s="136">
        <f>IFERROR(__xludf.DUMMYFUNCTION("""COMPUTED_VALUE"""),9.0)</f>
        <v>9</v>
      </c>
      <c r="J726" s="136">
        <f>IFERROR(__xludf.DUMMYFUNCTION("""COMPUTED_VALUE"""),16382.0)</f>
        <v>16382</v>
      </c>
      <c r="K726" s="136">
        <f>IFERROR(__xludf.DUMMYFUNCTION("""COMPUTED_VALUE"""),41.0)</f>
        <v>41</v>
      </c>
      <c r="L726" s="136">
        <f>IFERROR(__xludf.DUMMYFUNCTION("""COMPUTED_VALUE"""),31.0)</f>
        <v>31</v>
      </c>
      <c r="M726" s="136">
        <f>IFERROR(__xludf.DUMMYFUNCTION("""COMPUTED_VALUE"""),50.0)</f>
        <v>50</v>
      </c>
      <c r="N726" s="136">
        <f>IFERROR(__xludf.DUMMYFUNCTION("""COMPUTED_VALUE"""),119.0)</f>
        <v>119</v>
      </c>
      <c r="O726" s="138">
        <f>IFERROR(__xludf.DUMMYFUNCTION("""COMPUTED_VALUE"""),11.0)</f>
        <v>11</v>
      </c>
      <c r="P726" s="138">
        <f>IFERROR(__xludf.DUMMYFUNCTION("""COMPUTED_VALUE"""),4.0)</f>
        <v>4</v>
      </c>
      <c r="Q726" s="138">
        <f>IFERROR(__xludf.DUMMYFUNCTION("""COMPUTED_VALUE"""),1.0)</f>
        <v>1</v>
      </c>
      <c r="R726" s="138">
        <f>IFERROR(__xludf.DUMMYFUNCTION("""COMPUTED_VALUE"""),7.0)</f>
        <v>7</v>
      </c>
      <c r="S726" s="139">
        <f>IFERROR(__xludf.DUMMYFUNCTION("""COMPUTED_VALUE"""),337.0)</f>
        <v>337</v>
      </c>
      <c r="T726" s="140">
        <f>IFERROR(__xludf.DUMMYFUNCTION("""COMPUTED_VALUE"""),95.0)</f>
        <v>95</v>
      </c>
      <c r="U726" s="136">
        <f>IFERROR(__xludf.DUMMYFUNCTION("""COMPUTED_VALUE"""),37.0)</f>
        <v>37</v>
      </c>
      <c r="V726" s="136">
        <f>IFERROR(__xludf.DUMMYFUNCTION("""COMPUTED_VALUE"""),9.0)</f>
        <v>9</v>
      </c>
      <c r="W726" s="136">
        <f>IFERROR(__xludf.DUMMYFUNCTION("""COMPUTED_VALUE"""),46.0)</f>
        <v>46</v>
      </c>
      <c r="X726" s="136">
        <f>IFERROR(__xludf.DUMMYFUNCTION("""COMPUTED_VALUE"""),313.04545454545456)</f>
        <v>313.0454545</v>
      </c>
      <c r="Y726" s="141">
        <f>IFERROR(__xludf.DUMMYFUNCTION("""COMPUTED_VALUE"""),45.54545454545455)</f>
        <v>45.54545455</v>
      </c>
      <c r="Z726" s="141">
        <f>IFERROR(__xludf.DUMMYFUNCTION("""COMPUTED_VALUE"""),1859.75)</f>
        <v>1859.75</v>
      </c>
    </row>
    <row r="727">
      <c r="A727" s="41" t="str">
        <f>IFERROR(__xludf.DUMMYFUNCTION("""COMPUTED_VALUE"""),"Elite")</f>
        <v>Elite</v>
      </c>
      <c r="B727" s="41" t="str">
        <f>IFERROR(__xludf.DUMMYFUNCTION("""COMPUTED_VALUE"""),"RSC008362")</f>
        <v>RSC008362</v>
      </c>
      <c r="C727" s="41" t="str">
        <f>IFERROR(__xludf.DUMMYFUNCTION("""COMPUTED_VALUE"""),"flash!")</f>
        <v>flash!</v>
      </c>
      <c r="D727" s="41" t="str">
        <f>IFERROR(__xludf.DUMMYFUNCTION("""COMPUTED_VALUE"""),"Teddy Bears
Sloths")</f>
        <v>Teddy Bears
Sloths</v>
      </c>
      <c r="E727" s="136">
        <f>IFERROR(__xludf.DUMMYFUNCTION("""COMPUTED_VALUE"""),40.0)</f>
        <v>40</v>
      </c>
      <c r="F727" s="136">
        <f>IFERROR(__xludf.DUMMYFUNCTION("""COMPUTED_VALUE"""),25.0)</f>
        <v>25</v>
      </c>
      <c r="G727" s="136">
        <f>IFERROR(__xludf.DUMMYFUNCTION("""COMPUTED_VALUE"""),15.0)</f>
        <v>15</v>
      </c>
      <c r="H727" s="137">
        <f>IFERROR(__xludf.DUMMYFUNCTION("""COMPUTED_VALUE"""),0.625)</f>
        <v>0.625</v>
      </c>
      <c r="I727" s="136">
        <f>IFERROR(__xludf.DUMMYFUNCTION("""COMPUTED_VALUE"""),12.0)</f>
        <v>12</v>
      </c>
      <c r="J727" s="136">
        <f>IFERROR(__xludf.DUMMYFUNCTION("""COMPUTED_VALUE"""),17266.0)</f>
        <v>17266</v>
      </c>
      <c r="K727" s="136">
        <f>IFERROR(__xludf.DUMMYFUNCTION("""COMPUTED_VALUE"""),41.0)</f>
        <v>41</v>
      </c>
      <c r="L727" s="136">
        <f>IFERROR(__xludf.DUMMYFUNCTION("""COMPUTED_VALUE"""),34.0)</f>
        <v>34</v>
      </c>
      <c r="M727" s="136">
        <f>IFERROR(__xludf.DUMMYFUNCTION("""COMPUTED_VALUE"""),60.0)</f>
        <v>60</v>
      </c>
      <c r="N727" s="136">
        <f>IFERROR(__xludf.DUMMYFUNCTION("""COMPUTED_VALUE"""),115.0)</f>
        <v>115</v>
      </c>
      <c r="O727" s="138">
        <f>IFERROR(__xludf.DUMMYFUNCTION("""COMPUTED_VALUE"""),14.0)</f>
        <v>14</v>
      </c>
      <c r="P727" s="138">
        <f>IFERROR(__xludf.DUMMYFUNCTION("""COMPUTED_VALUE"""),3.0)</f>
        <v>3</v>
      </c>
      <c r="Q727" s="138">
        <f>IFERROR(__xludf.DUMMYFUNCTION("""COMPUTED_VALUE"""),1.0)</f>
        <v>1</v>
      </c>
      <c r="R727" s="138">
        <f>IFERROR(__xludf.DUMMYFUNCTION("""COMPUTED_VALUE"""),8.0)</f>
        <v>8</v>
      </c>
      <c r="S727" s="139">
        <f>IFERROR(__xludf.DUMMYFUNCTION("""COMPUTED_VALUE"""),299.0)</f>
        <v>299</v>
      </c>
      <c r="T727" s="140">
        <f>IFERROR(__xludf.DUMMYFUNCTION("""COMPUTED_VALUE"""),84.0)</f>
        <v>84</v>
      </c>
      <c r="U727" s="136">
        <f>IFERROR(__xludf.DUMMYFUNCTION("""COMPUTED_VALUE"""),27.0)</f>
        <v>27</v>
      </c>
      <c r="V727" s="136">
        <f>IFERROR(__xludf.DUMMYFUNCTION("""COMPUTED_VALUE"""),58.0)</f>
        <v>58</v>
      </c>
      <c r="W727" s="136">
        <f>IFERROR(__xludf.DUMMYFUNCTION("""COMPUTED_VALUE"""),28.0)</f>
        <v>28</v>
      </c>
      <c r="X727" s="136">
        <f>IFERROR(__xludf.DUMMYFUNCTION("""COMPUTED_VALUE"""),405.275)</f>
        <v>405.275</v>
      </c>
      <c r="Y727" s="141">
        <f>IFERROR(__xludf.DUMMYFUNCTION("""COMPUTED_VALUE"""),49.24225)</f>
        <v>49.24225</v>
      </c>
      <c r="Z727" s="141">
        <f>IFERROR(__xludf.DUMMYFUNCTION("""COMPUTED_VALUE"""),2461.775)</f>
        <v>2461.775</v>
      </c>
    </row>
    <row r="728">
      <c r="A728" s="41" t="str">
        <f>IFERROR(__xludf.DUMMYFUNCTION("""COMPUTED_VALUE"""),"Elite")</f>
        <v>Elite</v>
      </c>
      <c r="B728" s="41" t="str">
        <f>IFERROR(__xludf.DUMMYFUNCTION("""COMPUTED_VALUE"""),"RSC008363")</f>
        <v>RSC008363</v>
      </c>
      <c r="C728" s="41" t="str">
        <f>IFERROR(__xludf.DUMMYFUNCTION("""COMPUTED_VALUE"""),"Jarrtsu")</f>
        <v>Jarrtsu</v>
      </c>
      <c r="D728" s="41" t="str">
        <f>IFERROR(__xludf.DUMMYFUNCTION("""COMPUTED_VALUE"""),"Krakens")</f>
        <v>Krakens</v>
      </c>
      <c r="E728" s="136">
        <f>IFERROR(__xludf.DUMMYFUNCTION("""COMPUTED_VALUE"""),52.0)</f>
        <v>52</v>
      </c>
      <c r="F728" s="136">
        <f>IFERROR(__xludf.DUMMYFUNCTION("""COMPUTED_VALUE"""),16.0)</f>
        <v>16</v>
      </c>
      <c r="G728" s="136">
        <f>IFERROR(__xludf.DUMMYFUNCTION("""COMPUTED_VALUE"""),36.0)</f>
        <v>36</v>
      </c>
      <c r="H728" s="137">
        <f>IFERROR(__xludf.DUMMYFUNCTION("""COMPUTED_VALUE"""),0.3076923076923077)</f>
        <v>0.3076923077</v>
      </c>
      <c r="I728" s="136">
        <f>IFERROR(__xludf.DUMMYFUNCTION("""COMPUTED_VALUE"""),5.0)</f>
        <v>5</v>
      </c>
      <c r="J728" s="136">
        <f>IFERROR(__xludf.DUMMYFUNCTION("""COMPUTED_VALUE"""),19364.0)</f>
        <v>19364</v>
      </c>
      <c r="K728" s="136">
        <f>IFERROR(__xludf.DUMMYFUNCTION("""COMPUTED_VALUE"""),39.0)</f>
        <v>39</v>
      </c>
      <c r="L728" s="136">
        <f>IFERROR(__xludf.DUMMYFUNCTION("""COMPUTED_VALUE"""),28.0)</f>
        <v>28</v>
      </c>
      <c r="M728" s="136">
        <f>IFERROR(__xludf.DUMMYFUNCTION("""COMPUTED_VALUE"""),79.0)</f>
        <v>79</v>
      </c>
      <c r="N728" s="136">
        <f>IFERROR(__xludf.DUMMYFUNCTION("""COMPUTED_VALUE"""),126.0)</f>
        <v>126</v>
      </c>
      <c r="O728" s="138">
        <f>IFERROR(__xludf.DUMMYFUNCTION("""COMPUTED_VALUE"""),11.0)</f>
        <v>11</v>
      </c>
      <c r="P728" s="138">
        <f>IFERROR(__xludf.DUMMYFUNCTION("""COMPUTED_VALUE"""),1.0)</f>
        <v>1</v>
      </c>
      <c r="Q728" s="138">
        <f>IFERROR(__xludf.DUMMYFUNCTION("""COMPUTED_VALUE"""),2.0)</f>
        <v>2</v>
      </c>
      <c r="R728" s="138">
        <f>IFERROR(__xludf.DUMMYFUNCTION("""COMPUTED_VALUE"""),10.0)</f>
        <v>10</v>
      </c>
      <c r="S728" s="139">
        <f>IFERROR(__xludf.DUMMYFUNCTION("""COMPUTED_VALUE"""),453.0)</f>
        <v>453</v>
      </c>
      <c r="T728" s="140">
        <f>IFERROR(__xludf.DUMMYFUNCTION("""COMPUTED_VALUE"""),153.0)</f>
        <v>153</v>
      </c>
      <c r="U728" s="136">
        <f>IFERROR(__xludf.DUMMYFUNCTION("""COMPUTED_VALUE"""),52.0)</f>
        <v>52</v>
      </c>
      <c r="V728" s="136">
        <f>IFERROR(__xludf.DUMMYFUNCTION("""COMPUTED_VALUE"""),51.0)</f>
        <v>51</v>
      </c>
      <c r="W728" s="136">
        <f>IFERROR(__xludf.DUMMYFUNCTION("""COMPUTED_VALUE"""),63.0)</f>
        <v>63</v>
      </c>
      <c r="X728" s="136">
        <f>IFERROR(__xludf.DUMMYFUNCTION("""COMPUTED_VALUE"""),381.2692307692308)</f>
        <v>381.2692308</v>
      </c>
      <c r="Y728" s="141">
        <f>IFERROR(__xludf.DUMMYFUNCTION("""COMPUTED_VALUE"""),47.39923076923076)</f>
        <v>47.39923077</v>
      </c>
      <c r="Z728" s="141">
        <f>IFERROR(__xludf.DUMMYFUNCTION("""COMPUTED_VALUE"""),2322.173076923077)</f>
        <v>2322.173077</v>
      </c>
    </row>
    <row r="729">
      <c r="A729" s="41" t="str">
        <f>IFERROR(__xludf.DUMMYFUNCTION("""COMPUTED_VALUE"""),"Veteran")</f>
        <v>Veteran</v>
      </c>
      <c r="B729" s="41" t="str">
        <f>IFERROR(__xludf.DUMMYFUNCTION("""COMPUTED_VALUE"""),"RSC008364")</f>
        <v>RSC008364</v>
      </c>
      <c r="C729" s="41" t="str">
        <f>IFERROR(__xludf.DUMMYFUNCTION("""COMPUTED_VALUE"""),"Ken Whiffey Jr.")</f>
        <v>Ken Whiffey Jr.</v>
      </c>
      <c r="D729" s="41" t="str">
        <f>IFERROR(__xludf.DUMMYFUNCTION("""COMPUTED_VALUE"""),"Giraffes")</f>
        <v>Giraffes</v>
      </c>
      <c r="E729" s="136">
        <f>IFERROR(__xludf.DUMMYFUNCTION("""COMPUTED_VALUE"""),36.0)</f>
        <v>36</v>
      </c>
      <c r="F729" s="136">
        <f>IFERROR(__xludf.DUMMYFUNCTION("""COMPUTED_VALUE"""),18.0)</f>
        <v>18</v>
      </c>
      <c r="G729" s="136">
        <f>IFERROR(__xludf.DUMMYFUNCTION("""COMPUTED_VALUE"""),18.0)</f>
        <v>18</v>
      </c>
      <c r="H729" s="137">
        <f>IFERROR(__xludf.DUMMYFUNCTION("""COMPUTED_VALUE"""),0.5)</f>
        <v>0.5</v>
      </c>
      <c r="I729" s="136">
        <f>IFERROR(__xludf.DUMMYFUNCTION("""COMPUTED_VALUE"""),2.0)</f>
        <v>2</v>
      </c>
      <c r="J729" s="136">
        <f>IFERROR(__xludf.DUMMYFUNCTION("""COMPUTED_VALUE"""),11181.0)</f>
        <v>11181</v>
      </c>
      <c r="K729" s="136">
        <f>IFERROR(__xludf.DUMMYFUNCTION("""COMPUTED_VALUE"""),20.0)</f>
        <v>20</v>
      </c>
      <c r="L729" s="136">
        <f>IFERROR(__xludf.DUMMYFUNCTION("""COMPUTED_VALUE"""),12.0)</f>
        <v>12</v>
      </c>
      <c r="M729" s="136">
        <f>IFERROR(__xludf.DUMMYFUNCTION("""COMPUTED_VALUE"""),49.0)</f>
        <v>49</v>
      </c>
      <c r="N729" s="136">
        <f>IFERROR(__xludf.DUMMYFUNCTION("""COMPUTED_VALUE"""),86.0)</f>
        <v>86</v>
      </c>
      <c r="O729" s="138">
        <f>IFERROR(__xludf.DUMMYFUNCTION("""COMPUTED_VALUE"""),6.0)</f>
        <v>6</v>
      </c>
      <c r="P729" s="138">
        <f>IFERROR(__xludf.DUMMYFUNCTION("""COMPUTED_VALUE"""),0.0)</f>
        <v>0</v>
      </c>
      <c r="Q729" s="138">
        <f>IFERROR(__xludf.DUMMYFUNCTION("""COMPUTED_VALUE"""),0.0)</f>
        <v>0</v>
      </c>
      <c r="R729" s="138">
        <f>IFERROR(__xludf.DUMMYFUNCTION("""COMPUTED_VALUE"""),5.0)</f>
        <v>5</v>
      </c>
      <c r="S729" s="139">
        <f>IFERROR(__xludf.DUMMYFUNCTION("""COMPUTED_VALUE"""),257.0)</f>
        <v>257</v>
      </c>
      <c r="T729" s="140">
        <f>IFERROR(__xludf.DUMMYFUNCTION("""COMPUTED_VALUE"""),84.0)</f>
        <v>84</v>
      </c>
      <c r="U729" s="136">
        <f>IFERROR(__xludf.DUMMYFUNCTION("""COMPUTED_VALUE"""),27.0)</f>
        <v>27</v>
      </c>
      <c r="V729" s="136">
        <f>IFERROR(__xludf.DUMMYFUNCTION("""COMPUTED_VALUE"""),33.0)</f>
        <v>33</v>
      </c>
      <c r="W729" s="136">
        <f>IFERROR(__xludf.DUMMYFUNCTION("""COMPUTED_VALUE"""),52.0)</f>
        <v>52</v>
      </c>
      <c r="X729" s="136">
        <f>IFERROR(__xludf.DUMMYFUNCTION("""COMPUTED_VALUE"""),358.0833333333333)</f>
        <v>358.0833333</v>
      </c>
      <c r="Y729" s="141">
        <f>IFERROR(__xludf.DUMMYFUNCTION("""COMPUTED_VALUE"""),46.56111111111112)</f>
        <v>46.56111111</v>
      </c>
      <c r="Z729" s="141">
        <f>IFERROR(__xludf.DUMMYFUNCTION("""COMPUTED_VALUE"""),2124.8611111111113)</f>
        <v>2124.861111</v>
      </c>
    </row>
    <row r="730">
      <c r="A730" s="41" t="str">
        <f>IFERROR(__xludf.DUMMYFUNCTION("""COMPUTED_VALUE"""),"Challenger")</f>
        <v>Challenger</v>
      </c>
      <c r="B730" s="41" t="str">
        <f>IFERROR(__xludf.DUMMYFUNCTION("""COMPUTED_VALUE"""),"RSC008365")</f>
        <v>RSC008365</v>
      </c>
      <c r="C730" s="41" t="str">
        <f>IFERROR(__xludf.DUMMYFUNCTION("""COMPUTED_VALUE"""),"ZonaHOMI")</f>
        <v>ZonaHOMI</v>
      </c>
      <c r="D730" s="41" t="str">
        <f>IFERROR(__xludf.DUMMYFUNCTION("""COMPUTED_VALUE"""),"Toucans
Sirens
Decuriones")</f>
        <v>Toucans
Sirens
Decuriones</v>
      </c>
      <c r="E730" s="136">
        <f>IFERROR(__xludf.DUMMYFUNCTION("""COMPUTED_VALUE"""),10.0)</f>
        <v>10</v>
      </c>
      <c r="F730" s="136">
        <f>IFERROR(__xludf.DUMMYFUNCTION("""COMPUTED_VALUE"""),4.0)</f>
        <v>4</v>
      </c>
      <c r="G730" s="136">
        <f>IFERROR(__xludf.DUMMYFUNCTION("""COMPUTED_VALUE"""),6.0)</f>
        <v>6</v>
      </c>
      <c r="H730" s="137">
        <f>IFERROR(__xludf.DUMMYFUNCTION("""COMPUTED_VALUE"""),0.4)</f>
        <v>0.4</v>
      </c>
      <c r="I730" s="136">
        <f>IFERROR(__xludf.DUMMYFUNCTION("""COMPUTED_VALUE"""),2.0)</f>
        <v>2</v>
      </c>
      <c r="J730" s="136">
        <f>IFERROR(__xludf.DUMMYFUNCTION("""COMPUTED_VALUE"""),3508.0)</f>
        <v>3508</v>
      </c>
      <c r="K730" s="136">
        <f>IFERROR(__xludf.DUMMYFUNCTION("""COMPUTED_VALUE"""),9.0)</f>
        <v>9</v>
      </c>
      <c r="L730" s="136">
        <f>IFERROR(__xludf.DUMMYFUNCTION("""COMPUTED_VALUE"""),2.0)</f>
        <v>2</v>
      </c>
      <c r="M730" s="136">
        <f>IFERROR(__xludf.DUMMYFUNCTION("""COMPUTED_VALUE"""),17.0)</f>
        <v>17</v>
      </c>
      <c r="N730" s="136">
        <f>IFERROR(__xludf.DUMMYFUNCTION("""COMPUTED_VALUE"""),22.0)</f>
        <v>22</v>
      </c>
      <c r="O730" s="138">
        <f>IFERROR(__xludf.DUMMYFUNCTION("""COMPUTED_VALUE"""),1.0)</f>
        <v>1</v>
      </c>
      <c r="P730" s="138">
        <f>IFERROR(__xludf.DUMMYFUNCTION("""COMPUTED_VALUE"""),1.0)</f>
        <v>1</v>
      </c>
      <c r="Q730" s="138">
        <f>IFERROR(__xludf.DUMMYFUNCTION("""COMPUTED_VALUE"""),0.0)</f>
        <v>0</v>
      </c>
      <c r="R730" s="138">
        <f>IFERROR(__xludf.DUMMYFUNCTION("""COMPUTED_VALUE"""),3.0)</f>
        <v>3</v>
      </c>
      <c r="S730" s="139">
        <f>IFERROR(__xludf.DUMMYFUNCTION("""COMPUTED_VALUE"""),95.0)</f>
        <v>95</v>
      </c>
      <c r="T730" s="140">
        <f>IFERROR(__xludf.DUMMYFUNCTION("""COMPUTED_VALUE"""),37.0)</f>
        <v>37</v>
      </c>
      <c r="U730" s="136">
        <f>IFERROR(__xludf.DUMMYFUNCTION("""COMPUTED_VALUE"""),16.0)</f>
        <v>16</v>
      </c>
      <c r="V730" s="136">
        <f>IFERROR(__xludf.DUMMYFUNCTION("""COMPUTED_VALUE"""),7.0)</f>
        <v>7</v>
      </c>
      <c r="W730" s="136">
        <f>IFERROR(__xludf.DUMMYFUNCTION("""COMPUTED_VALUE"""),5.0)</f>
        <v>5</v>
      </c>
      <c r="X730" s="136">
        <f>IFERROR(__xludf.DUMMYFUNCTION("""COMPUTED_VALUE"""),341.8)</f>
        <v>341.8</v>
      </c>
      <c r="Y730" s="141">
        <f>IFERROR(__xludf.DUMMYFUNCTION("""COMPUTED_VALUE"""),50.551)</f>
        <v>50.551</v>
      </c>
      <c r="Z730" s="141">
        <f>IFERROR(__xludf.DUMMYFUNCTION("""COMPUTED_VALUE"""),2136.9)</f>
        <v>2136.9</v>
      </c>
    </row>
    <row r="731">
      <c r="A731" s="41" t="str">
        <f>IFERROR(__xludf.DUMMYFUNCTION("""COMPUTED_VALUE"""),"Master")</f>
        <v>Master</v>
      </c>
      <c r="B731" s="41" t="str">
        <f>IFERROR(__xludf.DUMMYFUNCTION("""COMPUTED_VALUE"""),"RSC008368")</f>
        <v>RSC008368</v>
      </c>
      <c r="C731" s="41" t="str">
        <f>IFERROR(__xludf.DUMMYFUNCTION("""COMPUTED_VALUE"""),"taLz.")</f>
        <v>taLz.</v>
      </c>
      <c r="D731" s="41" t="str">
        <f>IFERROR(__xludf.DUMMYFUNCTION("""COMPUTED_VALUE"""),"Fromunda Frauds")</f>
        <v>Fromunda Frauds</v>
      </c>
      <c r="E731" s="136">
        <f>IFERROR(__xludf.DUMMYFUNCTION("""COMPUTED_VALUE"""),13.0)</f>
        <v>13</v>
      </c>
      <c r="F731" s="136">
        <f>IFERROR(__xludf.DUMMYFUNCTION("""COMPUTED_VALUE"""),6.0)</f>
        <v>6</v>
      </c>
      <c r="G731" s="136">
        <f>IFERROR(__xludf.DUMMYFUNCTION("""COMPUTED_VALUE"""),7.0)</f>
        <v>7</v>
      </c>
      <c r="H731" s="137">
        <f>IFERROR(__xludf.DUMMYFUNCTION("""COMPUTED_VALUE"""),0.46153846153846156)</f>
        <v>0.4615384615</v>
      </c>
      <c r="I731" s="136">
        <f>IFERROR(__xludf.DUMMYFUNCTION("""COMPUTED_VALUE"""),3.0)</f>
        <v>3</v>
      </c>
      <c r="J731" s="136">
        <f>IFERROR(__xludf.DUMMYFUNCTION("""COMPUTED_VALUE"""),2352.0)</f>
        <v>2352</v>
      </c>
      <c r="K731" s="136">
        <f>IFERROR(__xludf.DUMMYFUNCTION("""COMPUTED_VALUE"""),2.0)</f>
        <v>2</v>
      </c>
      <c r="L731" s="136">
        <f>IFERROR(__xludf.DUMMYFUNCTION("""COMPUTED_VALUE"""),5.0)</f>
        <v>5</v>
      </c>
      <c r="M731" s="136">
        <f>IFERROR(__xludf.DUMMYFUNCTION("""COMPUTED_VALUE"""),9.0)</f>
        <v>9</v>
      </c>
      <c r="N731" s="136">
        <f>IFERROR(__xludf.DUMMYFUNCTION("""COMPUTED_VALUE"""),8.0)</f>
        <v>8</v>
      </c>
      <c r="O731" s="138">
        <f>IFERROR(__xludf.DUMMYFUNCTION("""COMPUTED_VALUE"""),0.0)</f>
        <v>0</v>
      </c>
      <c r="P731" s="138">
        <f>IFERROR(__xludf.DUMMYFUNCTION("""COMPUTED_VALUE"""),1.0)</f>
        <v>1</v>
      </c>
      <c r="Q731" s="138">
        <f>IFERROR(__xludf.DUMMYFUNCTION("""COMPUTED_VALUE"""),1.0)</f>
        <v>1</v>
      </c>
      <c r="R731" s="138">
        <f>IFERROR(__xludf.DUMMYFUNCTION("""COMPUTED_VALUE"""),0.0)</f>
        <v>0</v>
      </c>
      <c r="S731" s="139">
        <f>IFERROR(__xludf.DUMMYFUNCTION("""COMPUTED_VALUE"""),75.0)</f>
        <v>75</v>
      </c>
      <c r="T731" s="140">
        <f>IFERROR(__xludf.DUMMYFUNCTION("""COMPUTED_VALUE"""),27.0)</f>
        <v>27</v>
      </c>
      <c r="U731" s="136">
        <f>IFERROR(__xludf.DUMMYFUNCTION("""COMPUTED_VALUE"""),8.0)</f>
        <v>8</v>
      </c>
      <c r="V731" s="136">
        <f>IFERROR(__xludf.DUMMYFUNCTION("""COMPUTED_VALUE"""),11.0)</f>
        <v>11</v>
      </c>
      <c r="W731" s="136">
        <f>IFERROR(__xludf.DUMMYFUNCTION("""COMPUTED_VALUE"""),6.0)</f>
        <v>6</v>
      </c>
      <c r="X731" s="136">
        <f>IFERROR(__xludf.DUMMYFUNCTION("""COMPUTED_VALUE"""),416.77777777777777)</f>
        <v>416.7777778</v>
      </c>
      <c r="Y731" s="141">
        <f>IFERROR(__xludf.DUMMYFUNCTION("""COMPUTED_VALUE"""),44.79555555555555)</f>
        <v>44.79555556</v>
      </c>
      <c r="Z731" s="141">
        <f>IFERROR(__xludf.DUMMYFUNCTION("""COMPUTED_VALUE"""),2430.777777777778)</f>
        <v>2430.777778</v>
      </c>
    </row>
    <row r="732">
      <c r="A732" s="41" t="str">
        <f>IFERROR(__xludf.DUMMYFUNCTION("""COMPUTED_VALUE"""),"Veteran")</f>
        <v>Veteran</v>
      </c>
      <c r="B732" s="41" t="str">
        <f>IFERROR(__xludf.DUMMYFUNCTION("""COMPUTED_VALUE"""),"RSC008369")</f>
        <v>RSC008369</v>
      </c>
      <c r="C732" s="41" t="str">
        <f>IFERROR(__xludf.DUMMYFUNCTION("""COMPUTED_VALUE"""),"EternalJinx")</f>
        <v>EternalJinx</v>
      </c>
      <c r="D732" s="41" t="str">
        <f>IFERROR(__xludf.DUMMYFUNCTION("""COMPUTED_VALUE"""),"Dogfight")</f>
        <v>Dogfight</v>
      </c>
      <c r="E732" s="136">
        <f>IFERROR(__xludf.DUMMYFUNCTION("""COMPUTED_VALUE"""),36.0)</f>
        <v>36</v>
      </c>
      <c r="F732" s="136">
        <f>IFERROR(__xludf.DUMMYFUNCTION("""COMPUTED_VALUE"""),27.0)</f>
        <v>27</v>
      </c>
      <c r="G732" s="136">
        <f>IFERROR(__xludf.DUMMYFUNCTION("""COMPUTED_VALUE"""),9.0)</f>
        <v>9</v>
      </c>
      <c r="H732" s="137">
        <f>IFERROR(__xludf.DUMMYFUNCTION("""COMPUTED_VALUE"""),0.75)</f>
        <v>0.75</v>
      </c>
      <c r="I732" s="136">
        <f>IFERROR(__xludf.DUMMYFUNCTION("""COMPUTED_VALUE"""),7.0)</f>
        <v>7</v>
      </c>
      <c r="J732" s="136">
        <f>IFERROR(__xludf.DUMMYFUNCTION("""COMPUTED_VALUE"""),14089.0)</f>
        <v>14089</v>
      </c>
      <c r="K732" s="136">
        <f>IFERROR(__xludf.DUMMYFUNCTION("""COMPUTED_VALUE"""),35.0)</f>
        <v>35</v>
      </c>
      <c r="L732" s="136">
        <f>IFERROR(__xludf.DUMMYFUNCTION("""COMPUTED_VALUE"""),37.0)</f>
        <v>37</v>
      </c>
      <c r="M732" s="136">
        <f>IFERROR(__xludf.DUMMYFUNCTION("""COMPUTED_VALUE"""),33.0)</f>
        <v>33</v>
      </c>
      <c r="N732" s="136">
        <f>IFERROR(__xludf.DUMMYFUNCTION("""COMPUTED_VALUE"""),118.0)</f>
        <v>118</v>
      </c>
      <c r="O732" s="138">
        <f>IFERROR(__xludf.DUMMYFUNCTION("""COMPUTED_VALUE"""),4.0)</f>
        <v>4</v>
      </c>
      <c r="P732" s="138">
        <f>IFERROR(__xludf.DUMMYFUNCTION("""COMPUTED_VALUE"""),4.0)</f>
        <v>4</v>
      </c>
      <c r="Q732" s="138">
        <f>IFERROR(__xludf.DUMMYFUNCTION("""COMPUTED_VALUE"""),3.0)</f>
        <v>3</v>
      </c>
      <c r="R732" s="138">
        <f>IFERROR(__xludf.DUMMYFUNCTION("""COMPUTED_VALUE"""),1.0)</f>
        <v>1</v>
      </c>
      <c r="S732" s="139">
        <f>IFERROR(__xludf.DUMMYFUNCTION("""COMPUTED_VALUE"""),220.0)</f>
        <v>220</v>
      </c>
      <c r="T732" s="140">
        <f>IFERROR(__xludf.DUMMYFUNCTION("""COMPUTED_VALUE"""),63.0)</f>
        <v>63</v>
      </c>
      <c r="U732" s="136">
        <f>IFERROR(__xludf.DUMMYFUNCTION("""COMPUTED_VALUE"""),14.0)</f>
        <v>14</v>
      </c>
      <c r="V732" s="136">
        <f>IFERROR(__xludf.DUMMYFUNCTION("""COMPUTED_VALUE"""),45.0)</f>
        <v>45</v>
      </c>
      <c r="W732" s="136">
        <f>IFERROR(__xludf.DUMMYFUNCTION("""COMPUTED_VALUE"""),26.0)</f>
        <v>26</v>
      </c>
      <c r="X732" s="136">
        <f>IFERROR(__xludf.DUMMYFUNCTION("""COMPUTED_VALUE"""),489.9166666666667)</f>
        <v>489.9166667</v>
      </c>
      <c r="Y732" s="141">
        <f>IFERROR(__xludf.DUMMYFUNCTION("""COMPUTED_VALUE"""),52.269722222222214)</f>
        <v>52.26972222</v>
      </c>
      <c r="Z732" s="141">
        <f>IFERROR(__xludf.DUMMYFUNCTION("""COMPUTED_VALUE"""),2921.8888888888887)</f>
        <v>2921.888889</v>
      </c>
    </row>
    <row r="733">
      <c r="A733" s="41" t="str">
        <f>IFERROR(__xludf.DUMMYFUNCTION("""COMPUTED_VALUE"""),"Prospect")</f>
        <v>Prospect</v>
      </c>
      <c r="B733" s="41" t="str">
        <f>IFERROR(__xludf.DUMMYFUNCTION("""COMPUTED_VALUE"""),"RSC008370")</f>
        <v>RSC008370</v>
      </c>
      <c r="C733" s="41" t="str">
        <f>IFERROR(__xludf.DUMMYFUNCTION("""COMPUTED_VALUE"""),"Precision")</f>
        <v>Precision</v>
      </c>
      <c r="D733" s="41" t="str">
        <f>IFERROR(__xludf.DUMMYFUNCTION("""COMPUTED_VALUE"""),"Hawaiian Pizza
Piranhas
Tic Tacs")</f>
        <v>Hawaiian Pizza
Piranhas
Tic Tacs</v>
      </c>
      <c r="E733" s="136">
        <f>IFERROR(__xludf.DUMMYFUNCTION("""COMPUTED_VALUE"""),40.0)</f>
        <v>40</v>
      </c>
      <c r="F733" s="136">
        <f>IFERROR(__xludf.DUMMYFUNCTION("""COMPUTED_VALUE"""),21.0)</f>
        <v>21</v>
      </c>
      <c r="G733" s="136">
        <f>IFERROR(__xludf.DUMMYFUNCTION("""COMPUTED_VALUE"""),19.0)</f>
        <v>19</v>
      </c>
      <c r="H733" s="137">
        <f>IFERROR(__xludf.DUMMYFUNCTION("""COMPUTED_VALUE"""),0.525)</f>
        <v>0.525</v>
      </c>
      <c r="I733" s="136">
        <f>IFERROR(__xludf.DUMMYFUNCTION("""COMPUTED_VALUE"""),6.0)</f>
        <v>6</v>
      </c>
      <c r="J733" s="136">
        <f>IFERROR(__xludf.DUMMYFUNCTION("""COMPUTED_VALUE"""),12510.0)</f>
        <v>12510</v>
      </c>
      <c r="K733" s="136">
        <f>IFERROR(__xludf.DUMMYFUNCTION("""COMPUTED_VALUE"""),24.0)</f>
        <v>24</v>
      </c>
      <c r="L733" s="136">
        <f>IFERROR(__xludf.DUMMYFUNCTION("""COMPUTED_VALUE"""),31.0)</f>
        <v>31</v>
      </c>
      <c r="M733" s="136">
        <f>IFERROR(__xludf.DUMMYFUNCTION("""COMPUTED_VALUE"""),45.0)</f>
        <v>45</v>
      </c>
      <c r="N733" s="136">
        <f>IFERROR(__xludf.DUMMYFUNCTION("""COMPUTED_VALUE"""),78.0)</f>
        <v>78</v>
      </c>
      <c r="O733" s="138">
        <f>IFERROR(__xludf.DUMMYFUNCTION("""COMPUTED_VALUE"""),10.0)</f>
        <v>10</v>
      </c>
      <c r="P733" s="138">
        <f>IFERROR(__xludf.DUMMYFUNCTION("""COMPUTED_VALUE"""),0.0)</f>
        <v>0</v>
      </c>
      <c r="Q733" s="138">
        <f>IFERROR(__xludf.DUMMYFUNCTION("""COMPUTED_VALUE"""),2.0)</f>
        <v>2</v>
      </c>
      <c r="R733" s="138">
        <f>IFERROR(__xludf.DUMMYFUNCTION("""COMPUTED_VALUE"""),1.0)</f>
        <v>1</v>
      </c>
      <c r="S733" s="139">
        <f>IFERROR(__xludf.DUMMYFUNCTION("""COMPUTED_VALUE"""),270.0)</f>
        <v>270</v>
      </c>
      <c r="T733" s="140">
        <f>IFERROR(__xludf.DUMMYFUNCTION("""COMPUTED_VALUE"""),94.0)</f>
        <v>94</v>
      </c>
      <c r="U733" s="136">
        <f>IFERROR(__xludf.DUMMYFUNCTION("""COMPUTED_VALUE"""),39.0)</f>
        <v>39</v>
      </c>
      <c r="V733" s="136">
        <f>IFERROR(__xludf.DUMMYFUNCTION("""COMPUTED_VALUE"""),55.0)</f>
        <v>55</v>
      </c>
      <c r="W733" s="136">
        <f>IFERROR(__xludf.DUMMYFUNCTION("""COMPUTED_VALUE"""),30.0)</f>
        <v>30</v>
      </c>
      <c r="X733" s="136">
        <f>IFERROR(__xludf.DUMMYFUNCTION("""COMPUTED_VALUE"""),388.325)</f>
        <v>388.325</v>
      </c>
      <c r="Y733" s="141">
        <f>IFERROR(__xludf.DUMMYFUNCTION("""COMPUTED_VALUE"""),53.993500000000004)</f>
        <v>53.9935</v>
      </c>
      <c r="Z733" s="141">
        <f>IFERROR(__xludf.DUMMYFUNCTION("""COMPUTED_VALUE"""),2350.1)</f>
        <v>2350.1</v>
      </c>
    </row>
    <row r="734">
      <c r="A734" s="41" t="str">
        <f>IFERROR(__xludf.DUMMYFUNCTION("""COMPUTED_VALUE"""),"Veteran")</f>
        <v>Veteran</v>
      </c>
      <c r="B734" s="41" t="str">
        <f>IFERROR(__xludf.DUMMYFUNCTION("""COMPUTED_VALUE"""),"RSC008373")</f>
        <v>RSC008373</v>
      </c>
      <c r="C734" s="41" t="str">
        <f>IFERROR(__xludf.DUMMYFUNCTION("""COMPUTED_VALUE"""),"jhonko")</f>
        <v>jhonko</v>
      </c>
      <c r="D734" s="41" t="str">
        <f>IFERROR(__xludf.DUMMYFUNCTION("""COMPUTED_VALUE"""),"Blacksmiths")</f>
        <v>Blacksmiths</v>
      </c>
      <c r="E734" s="136">
        <f>IFERROR(__xludf.DUMMYFUNCTION("""COMPUTED_VALUE"""),50.0)</f>
        <v>50</v>
      </c>
      <c r="F734" s="136">
        <f>IFERROR(__xludf.DUMMYFUNCTION("""COMPUTED_VALUE"""),26.0)</f>
        <v>26</v>
      </c>
      <c r="G734" s="136">
        <f>IFERROR(__xludf.DUMMYFUNCTION("""COMPUTED_VALUE"""),24.0)</f>
        <v>24</v>
      </c>
      <c r="H734" s="137">
        <f>IFERROR(__xludf.DUMMYFUNCTION("""COMPUTED_VALUE"""),0.52)</f>
        <v>0.52</v>
      </c>
      <c r="I734" s="136">
        <f>IFERROR(__xludf.DUMMYFUNCTION("""COMPUTED_VALUE"""),7.0)</f>
        <v>7</v>
      </c>
      <c r="J734" s="136">
        <f>IFERROR(__xludf.DUMMYFUNCTION("""COMPUTED_VALUE"""),17748.0)</f>
        <v>17748</v>
      </c>
      <c r="K734" s="136">
        <f>IFERROR(__xludf.DUMMYFUNCTION("""COMPUTED_VALUE"""),31.0)</f>
        <v>31</v>
      </c>
      <c r="L734" s="136">
        <f>IFERROR(__xludf.DUMMYFUNCTION("""COMPUTED_VALUE"""),34.0)</f>
        <v>34</v>
      </c>
      <c r="M734" s="136">
        <f>IFERROR(__xludf.DUMMYFUNCTION("""COMPUTED_VALUE"""),73.0)</f>
        <v>73</v>
      </c>
      <c r="N734" s="136">
        <f>IFERROR(__xludf.DUMMYFUNCTION("""COMPUTED_VALUE"""),102.0)</f>
        <v>102</v>
      </c>
      <c r="O734" s="138">
        <f>IFERROR(__xludf.DUMMYFUNCTION("""COMPUTED_VALUE"""),11.0)</f>
        <v>11</v>
      </c>
      <c r="P734" s="138">
        <f>IFERROR(__xludf.DUMMYFUNCTION("""COMPUTED_VALUE"""),0.0)</f>
        <v>0</v>
      </c>
      <c r="Q734" s="138">
        <f>IFERROR(__xludf.DUMMYFUNCTION("""COMPUTED_VALUE"""),2.0)</f>
        <v>2</v>
      </c>
      <c r="R734" s="138">
        <f>IFERROR(__xludf.DUMMYFUNCTION("""COMPUTED_VALUE"""),8.0)</f>
        <v>8</v>
      </c>
      <c r="S734" s="139">
        <f>IFERROR(__xludf.DUMMYFUNCTION("""COMPUTED_VALUE"""),394.0)</f>
        <v>394</v>
      </c>
      <c r="T734" s="140">
        <f>IFERROR(__xludf.DUMMYFUNCTION("""COMPUTED_VALUE"""),121.0)</f>
        <v>121</v>
      </c>
      <c r="U734" s="136">
        <f>IFERROR(__xludf.DUMMYFUNCTION("""COMPUTED_VALUE"""),45.0)</f>
        <v>45</v>
      </c>
      <c r="V734" s="136">
        <f>IFERROR(__xludf.DUMMYFUNCTION("""COMPUTED_VALUE"""),56.0)</f>
        <v>56</v>
      </c>
      <c r="W734" s="136">
        <f>IFERROR(__xludf.DUMMYFUNCTION("""COMPUTED_VALUE"""),50.0)</f>
        <v>50</v>
      </c>
      <c r="X734" s="136">
        <f>IFERROR(__xludf.DUMMYFUNCTION("""COMPUTED_VALUE"""),450.98)</f>
        <v>450.98</v>
      </c>
      <c r="Y734" s="141">
        <f>IFERROR(__xludf.DUMMYFUNCTION("""COMPUTED_VALUE"""),50.8036)</f>
        <v>50.8036</v>
      </c>
      <c r="Z734" s="141">
        <f>IFERROR(__xludf.DUMMYFUNCTION("""COMPUTED_VALUE"""),2842.22)</f>
        <v>2842.22</v>
      </c>
    </row>
    <row r="735">
      <c r="A735" s="41" t="str">
        <f>IFERROR(__xludf.DUMMYFUNCTION("""COMPUTED_VALUE"""),"Veteran")</f>
        <v>Veteran</v>
      </c>
      <c r="B735" s="41" t="str">
        <f>IFERROR(__xludf.DUMMYFUNCTION("""COMPUTED_VALUE"""),"RSC008376")</f>
        <v>RSC008376</v>
      </c>
      <c r="C735" s="41" t="str">
        <f>IFERROR(__xludf.DUMMYFUNCTION("""COMPUTED_VALUE"""),"Storytime")</f>
        <v>Storytime</v>
      </c>
      <c r="D735" s="41" t="str">
        <f>IFERROR(__xludf.DUMMYFUNCTION("""COMPUTED_VALUE"""),"Berserkers")</f>
        <v>Berserkers</v>
      </c>
      <c r="E735" s="136">
        <f>IFERROR(__xludf.DUMMYFUNCTION("""COMPUTED_VALUE"""),56.0)</f>
        <v>56</v>
      </c>
      <c r="F735" s="136">
        <f>IFERROR(__xludf.DUMMYFUNCTION("""COMPUTED_VALUE"""),36.0)</f>
        <v>36</v>
      </c>
      <c r="G735" s="136">
        <f>IFERROR(__xludf.DUMMYFUNCTION("""COMPUTED_VALUE"""),20.0)</f>
        <v>20</v>
      </c>
      <c r="H735" s="137">
        <f>IFERROR(__xludf.DUMMYFUNCTION("""COMPUTED_VALUE"""),0.6428571428571429)</f>
        <v>0.6428571429</v>
      </c>
      <c r="I735" s="136">
        <f>IFERROR(__xludf.DUMMYFUNCTION("""COMPUTED_VALUE"""),11.0)</f>
        <v>11</v>
      </c>
      <c r="J735" s="136">
        <f>IFERROR(__xludf.DUMMYFUNCTION("""COMPUTED_VALUE"""),22299.0)</f>
        <v>22299</v>
      </c>
      <c r="K735" s="136">
        <f>IFERROR(__xludf.DUMMYFUNCTION("""COMPUTED_VALUE"""),50.0)</f>
        <v>50</v>
      </c>
      <c r="L735" s="136">
        <f>IFERROR(__xludf.DUMMYFUNCTION("""COMPUTED_VALUE"""),41.0)</f>
        <v>41</v>
      </c>
      <c r="M735" s="136">
        <f>IFERROR(__xludf.DUMMYFUNCTION("""COMPUTED_VALUE"""),79.0)</f>
        <v>79</v>
      </c>
      <c r="N735" s="136">
        <f>IFERROR(__xludf.DUMMYFUNCTION("""COMPUTED_VALUE"""),180.0)</f>
        <v>180</v>
      </c>
      <c r="O735" s="138">
        <f>IFERROR(__xludf.DUMMYFUNCTION("""COMPUTED_VALUE"""),18.0)</f>
        <v>18</v>
      </c>
      <c r="P735" s="138">
        <f>IFERROR(__xludf.DUMMYFUNCTION("""COMPUTED_VALUE"""),2.0)</f>
        <v>2</v>
      </c>
      <c r="Q735" s="138">
        <f>IFERROR(__xludf.DUMMYFUNCTION("""COMPUTED_VALUE"""),3.0)</f>
        <v>3</v>
      </c>
      <c r="R735" s="138">
        <f>IFERROR(__xludf.DUMMYFUNCTION("""COMPUTED_VALUE"""),11.0)</f>
        <v>11</v>
      </c>
      <c r="S735" s="139">
        <f>IFERROR(__xludf.DUMMYFUNCTION("""COMPUTED_VALUE"""),415.0)</f>
        <v>415</v>
      </c>
      <c r="T735" s="140">
        <f>IFERROR(__xludf.DUMMYFUNCTION("""COMPUTED_VALUE"""),127.0)</f>
        <v>127</v>
      </c>
      <c r="U735" s="136">
        <f>IFERROR(__xludf.DUMMYFUNCTION("""COMPUTED_VALUE"""),43.0)</f>
        <v>43</v>
      </c>
      <c r="V735" s="136">
        <f>IFERROR(__xludf.DUMMYFUNCTION("""COMPUTED_VALUE"""),65.0)</f>
        <v>65</v>
      </c>
      <c r="W735" s="136">
        <f>IFERROR(__xludf.DUMMYFUNCTION("""COMPUTED_VALUE"""),62.0)</f>
        <v>62</v>
      </c>
      <c r="X735" s="136">
        <f>IFERROR(__xludf.DUMMYFUNCTION("""COMPUTED_VALUE"""),399.2142857142857)</f>
        <v>399.2142857</v>
      </c>
      <c r="Y735" s="141">
        <f>IFERROR(__xludf.DUMMYFUNCTION("""COMPUTED_VALUE"""),52.4125)</f>
        <v>52.4125</v>
      </c>
      <c r="Z735" s="141">
        <f>IFERROR(__xludf.DUMMYFUNCTION("""COMPUTED_VALUE"""),2511.6428571428573)</f>
        <v>2511.642857</v>
      </c>
    </row>
    <row r="736">
      <c r="A736" s="41" t="str">
        <f>IFERROR(__xludf.DUMMYFUNCTION("""COMPUTED_VALUE"""),"Prospect")</f>
        <v>Prospect</v>
      </c>
      <c r="B736" s="41" t="str">
        <f>IFERROR(__xludf.DUMMYFUNCTION("""COMPUTED_VALUE"""),"RSC008379")</f>
        <v>RSC008379</v>
      </c>
      <c r="C736" s="41" t="str">
        <f>IFERROR(__xludf.DUMMYFUNCTION("""COMPUTED_VALUE"""),"Caiman")</f>
        <v>Caiman</v>
      </c>
      <c r="D736" s="41" t="str">
        <f>IFERROR(__xludf.DUMMYFUNCTION("""COMPUTED_VALUE"""),"Piranhas")</f>
        <v>Piranhas</v>
      </c>
      <c r="E736" s="136">
        <f>IFERROR(__xludf.DUMMYFUNCTION("""COMPUTED_VALUE"""),38.0)</f>
        <v>38</v>
      </c>
      <c r="F736" s="136">
        <f>IFERROR(__xludf.DUMMYFUNCTION("""COMPUTED_VALUE"""),13.0)</f>
        <v>13</v>
      </c>
      <c r="G736" s="136">
        <f>IFERROR(__xludf.DUMMYFUNCTION("""COMPUTED_VALUE"""),25.0)</f>
        <v>25</v>
      </c>
      <c r="H736" s="137">
        <f>IFERROR(__xludf.DUMMYFUNCTION("""COMPUTED_VALUE"""),0.34210526315789475)</f>
        <v>0.3421052632</v>
      </c>
      <c r="I736" s="136">
        <f>IFERROR(__xludf.DUMMYFUNCTION("""COMPUTED_VALUE"""),3.0)</f>
        <v>3</v>
      </c>
      <c r="J736" s="136">
        <f>IFERROR(__xludf.DUMMYFUNCTION("""COMPUTED_VALUE"""),10903.0)</f>
        <v>10903</v>
      </c>
      <c r="K736" s="136">
        <f>IFERROR(__xludf.DUMMYFUNCTION("""COMPUTED_VALUE"""),24.0)</f>
        <v>24</v>
      </c>
      <c r="L736" s="136">
        <f>IFERROR(__xludf.DUMMYFUNCTION("""COMPUTED_VALUE"""),12.0)</f>
        <v>12</v>
      </c>
      <c r="M736" s="136">
        <f>IFERROR(__xludf.DUMMYFUNCTION("""COMPUTED_VALUE"""),43.0)</f>
        <v>43</v>
      </c>
      <c r="N736" s="136">
        <f>IFERROR(__xludf.DUMMYFUNCTION("""COMPUTED_VALUE"""),78.0)</f>
        <v>78</v>
      </c>
      <c r="O736" s="138">
        <f>IFERROR(__xludf.DUMMYFUNCTION("""COMPUTED_VALUE"""),7.0)</f>
        <v>7</v>
      </c>
      <c r="P736" s="138">
        <f>IFERROR(__xludf.DUMMYFUNCTION("""COMPUTED_VALUE"""),1.0)</f>
        <v>1</v>
      </c>
      <c r="Q736" s="138">
        <f>IFERROR(__xludf.DUMMYFUNCTION("""COMPUTED_VALUE"""),0.0)</f>
        <v>0</v>
      </c>
      <c r="R736" s="138">
        <f>IFERROR(__xludf.DUMMYFUNCTION("""COMPUTED_VALUE"""),4.0)</f>
        <v>4</v>
      </c>
      <c r="S736" s="139">
        <f>IFERROR(__xludf.DUMMYFUNCTION("""COMPUTED_VALUE"""),314.0)</f>
        <v>314</v>
      </c>
      <c r="T736" s="140">
        <f>IFERROR(__xludf.DUMMYFUNCTION("""COMPUTED_VALUE"""),117.0)</f>
        <v>117</v>
      </c>
      <c r="U736" s="136">
        <f>IFERROR(__xludf.DUMMYFUNCTION("""COMPUTED_VALUE"""),31.0)</f>
        <v>31</v>
      </c>
      <c r="V736" s="136">
        <f>IFERROR(__xludf.DUMMYFUNCTION("""COMPUTED_VALUE"""),63.0)</f>
        <v>63</v>
      </c>
      <c r="W736" s="136">
        <f>IFERROR(__xludf.DUMMYFUNCTION("""COMPUTED_VALUE"""),37.0)</f>
        <v>37</v>
      </c>
      <c r="X736" s="136">
        <f>IFERROR(__xludf.DUMMYFUNCTION("""COMPUTED_VALUE"""),374.36842105263156)</f>
        <v>374.3684211</v>
      </c>
      <c r="Y736" s="141">
        <f>IFERROR(__xludf.DUMMYFUNCTION("""COMPUTED_VALUE"""),50.47684210526315)</f>
        <v>50.47684211</v>
      </c>
      <c r="Z736" s="141">
        <f>IFERROR(__xludf.DUMMYFUNCTION("""COMPUTED_VALUE"""),2301.7894736842104)</f>
        <v>2301.789474</v>
      </c>
    </row>
    <row r="737">
      <c r="A737" s="41" t="str">
        <f>IFERROR(__xludf.DUMMYFUNCTION("""COMPUTED_VALUE"""),"Elite")</f>
        <v>Elite</v>
      </c>
      <c r="B737" s="41" t="str">
        <f>IFERROR(__xludf.DUMMYFUNCTION("""COMPUTED_VALUE"""),"RSC008382")</f>
        <v>RSC008382</v>
      </c>
      <c r="C737" s="41" t="str">
        <f>IFERROR(__xludf.DUMMYFUNCTION("""COMPUTED_VALUE"""),"KiLo")</f>
        <v>KiLo</v>
      </c>
      <c r="D737" s="41" t="str">
        <f>IFERROR(__xludf.DUMMYFUNCTION("""COMPUTED_VALUE"""),"Dragon")</f>
        <v>Dragon</v>
      </c>
      <c r="E737" s="136">
        <f>IFERROR(__xludf.DUMMYFUNCTION("""COMPUTED_VALUE"""),23.0)</f>
        <v>23</v>
      </c>
      <c r="F737" s="136">
        <f>IFERROR(__xludf.DUMMYFUNCTION("""COMPUTED_VALUE"""),15.0)</f>
        <v>15</v>
      </c>
      <c r="G737" s="136">
        <f>IFERROR(__xludf.DUMMYFUNCTION("""COMPUTED_VALUE"""),8.0)</f>
        <v>8</v>
      </c>
      <c r="H737" s="137">
        <f>IFERROR(__xludf.DUMMYFUNCTION("""COMPUTED_VALUE"""),0.6521739130434783)</f>
        <v>0.652173913</v>
      </c>
      <c r="I737" s="136">
        <f>IFERROR(__xludf.DUMMYFUNCTION("""COMPUTED_VALUE"""),3.0)</f>
        <v>3</v>
      </c>
      <c r="J737" s="136">
        <f>IFERROR(__xludf.DUMMYFUNCTION("""COMPUTED_VALUE"""),8014.0)</f>
        <v>8014</v>
      </c>
      <c r="K737" s="136">
        <f>IFERROR(__xludf.DUMMYFUNCTION("""COMPUTED_VALUE"""),17.0)</f>
        <v>17</v>
      </c>
      <c r="L737" s="136">
        <f>IFERROR(__xludf.DUMMYFUNCTION("""COMPUTED_VALUE"""),19.0)</f>
        <v>19</v>
      </c>
      <c r="M737" s="136">
        <f>IFERROR(__xludf.DUMMYFUNCTION("""COMPUTED_VALUE"""),33.0)</f>
        <v>33</v>
      </c>
      <c r="N737" s="136">
        <f>IFERROR(__xludf.DUMMYFUNCTION("""COMPUTED_VALUE"""),49.0)</f>
        <v>49</v>
      </c>
      <c r="O737" s="138">
        <f>IFERROR(__xludf.DUMMYFUNCTION("""COMPUTED_VALUE"""),6.0)</f>
        <v>6</v>
      </c>
      <c r="P737" s="138">
        <f>IFERROR(__xludf.DUMMYFUNCTION("""COMPUTED_VALUE"""),0.0)</f>
        <v>0</v>
      </c>
      <c r="Q737" s="138">
        <f>IFERROR(__xludf.DUMMYFUNCTION("""COMPUTED_VALUE"""),0.0)</f>
        <v>0</v>
      </c>
      <c r="R737" s="138">
        <f>IFERROR(__xludf.DUMMYFUNCTION("""COMPUTED_VALUE"""),2.0)</f>
        <v>2</v>
      </c>
      <c r="S737" s="139">
        <f>IFERROR(__xludf.DUMMYFUNCTION("""COMPUTED_VALUE"""),180.0)</f>
        <v>180</v>
      </c>
      <c r="T737" s="140">
        <f>IFERROR(__xludf.DUMMYFUNCTION("""COMPUTED_VALUE"""),44.0)</f>
        <v>44</v>
      </c>
      <c r="U737" s="136">
        <f>IFERROR(__xludf.DUMMYFUNCTION("""COMPUTED_VALUE"""),13.0)</f>
        <v>13</v>
      </c>
      <c r="V737" s="136">
        <f>IFERROR(__xludf.DUMMYFUNCTION("""COMPUTED_VALUE"""),21.0)</f>
        <v>21</v>
      </c>
      <c r="W737" s="136">
        <f>IFERROR(__xludf.DUMMYFUNCTION("""COMPUTED_VALUE"""),19.0)</f>
        <v>19</v>
      </c>
      <c r="X737" s="136">
        <f>IFERROR(__xludf.DUMMYFUNCTION("""COMPUTED_VALUE"""),401.2608695652174)</f>
        <v>401.2608696</v>
      </c>
      <c r="Y737" s="141">
        <f>IFERROR(__xludf.DUMMYFUNCTION("""COMPUTED_VALUE"""),50.42521739130434)</f>
        <v>50.42521739</v>
      </c>
      <c r="Z737" s="141">
        <f>IFERROR(__xludf.DUMMYFUNCTION("""COMPUTED_VALUE"""),2380.086956521739)</f>
        <v>2380.086957</v>
      </c>
    </row>
    <row r="738">
      <c r="A738" s="41" t="str">
        <f>IFERROR(__xludf.DUMMYFUNCTION("""COMPUTED_VALUE"""),"Veteran")</f>
        <v>Veteran</v>
      </c>
      <c r="B738" s="41" t="str">
        <f>IFERROR(__xludf.DUMMYFUNCTION("""COMPUTED_VALUE"""),"RSC008384")</f>
        <v>RSC008384</v>
      </c>
      <c r="C738" s="41" t="str">
        <f>IFERROR(__xludf.DUMMYFUNCTION("""COMPUTED_VALUE"""),"NotLuke9")</f>
        <v>NotLuke9</v>
      </c>
      <c r="D738" s="41" t="str">
        <f>IFERROR(__xludf.DUMMYFUNCTION("""COMPUTED_VALUE"""),"Mages")</f>
        <v>Mages</v>
      </c>
      <c r="E738" s="136">
        <f>IFERROR(__xludf.DUMMYFUNCTION("""COMPUTED_VALUE"""),44.0)</f>
        <v>44</v>
      </c>
      <c r="F738" s="136">
        <f>IFERROR(__xludf.DUMMYFUNCTION("""COMPUTED_VALUE"""),23.0)</f>
        <v>23</v>
      </c>
      <c r="G738" s="136">
        <f>IFERROR(__xludf.DUMMYFUNCTION("""COMPUTED_VALUE"""),21.0)</f>
        <v>21</v>
      </c>
      <c r="H738" s="137">
        <f>IFERROR(__xludf.DUMMYFUNCTION("""COMPUTED_VALUE"""),0.5227272727272727)</f>
        <v>0.5227272727</v>
      </c>
      <c r="I738" s="136">
        <f>IFERROR(__xludf.DUMMYFUNCTION("""COMPUTED_VALUE"""),6.0)</f>
        <v>6</v>
      </c>
      <c r="J738" s="136">
        <f>IFERROR(__xludf.DUMMYFUNCTION("""COMPUTED_VALUE"""),16464.0)</f>
        <v>16464</v>
      </c>
      <c r="K738" s="136">
        <f>IFERROR(__xludf.DUMMYFUNCTION("""COMPUTED_VALUE"""),41.0)</f>
        <v>41</v>
      </c>
      <c r="L738" s="136">
        <f>IFERROR(__xludf.DUMMYFUNCTION("""COMPUTED_VALUE"""),31.0)</f>
        <v>31</v>
      </c>
      <c r="M738" s="136">
        <f>IFERROR(__xludf.DUMMYFUNCTION("""COMPUTED_VALUE"""),58.0)</f>
        <v>58</v>
      </c>
      <c r="N738" s="136">
        <f>IFERROR(__xludf.DUMMYFUNCTION("""COMPUTED_VALUE"""),128.0)</f>
        <v>128</v>
      </c>
      <c r="O738" s="138">
        <f>IFERROR(__xludf.DUMMYFUNCTION("""COMPUTED_VALUE"""),14.0)</f>
        <v>14</v>
      </c>
      <c r="P738" s="138">
        <f>IFERROR(__xludf.DUMMYFUNCTION("""COMPUTED_VALUE"""),4.0)</f>
        <v>4</v>
      </c>
      <c r="Q738" s="138">
        <f>IFERROR(__xludf.DUMMYFUNCTION("""COMPUTED_VALUE"""),0.0)</f>
        <v>0</v>
      </c>
      <c r="R738" s="138">
        <f>IFERROR(__xludf.DUMMYFUNCTION("""COMPUTED_VALUE"""),6.0)</f>
        <v>6</v>
      </c>
      <c r="S738" s="139">
        <f>IFERROR(__xludf.DUMMYFUNCTION("""COMPUTED_VALUE"""),372.0)</f>
        <v>372</v>
      </c>
      <c r="T738" s="140">
        <f>IFERROR(__xludf.DUMMYFUNCTION("""COMPUTED_VALUE"""),115.0)</f>
        <v>115</v>
      </c>
      <c r="U738" s="136">
        <f>IFERROR(__xludf.DUMMYFUNCTION("""COMPUTED_VALUE"""),44.0)</f>
        <v>44</v>
      </c>
      <c r="V738" s="136">
        <f>IFERROR(__xludf.DUMMYFUNCTION("""COMPUTED_VALUE"""),24.0)</f>
        <v>24</v>
      </c>
      <c r="W738" s="136">
        <f>IFERROR(__xludf.DUMMYFUNCTION("""COMPUTED_VALUE"""),34.0)</f>
        <v>34</v>
      </c>
      <c r="X738" s="136">
        <f>IFERROR(__xludf.DUMMYFUNCTION("""COMPUTED_VALUE"""),376.1818181818182)</f>
        <v>376.1818182</v>
      </c>
      <c r="Y738" s="141">
        <f>IFERROR(__xludf.DUMMYFUNCTION("""COMPUTED_VALUE"""),47.0609090909091)</f>
        <v>47.06090909</v>
      </c>
      <c r="Z738" s="141">
        <f>IFERROR(__xludf.DUMMYFUNCTION("""COMPUTED_VALUE"""),2337.2272727272725)</f>
        <v>2337.227273</v>
      </c>
    </row>
    <row r="739">
      <c r="A739" s="41" t="str">
        <f>IFERROR(__xludf.DUMMYFUNCTION("""COMPUTED_VALUE"""),"Challenger")</f>
        <v>Challenger</v>
      </c>
      <c r="B739" s="41" t="str">
        <f>IFERROR(__xludf.DUMMYFUNCTION("""COMPUTED_VALUE"""),"RSC008390")</f>
        <v>RSC008390</v>
      </c>
      <c r="C739" s="41" t="str">
        <f>IFERROR(__xludf.DUMMYFUNCTION("""COMPUTED_VALUE"""),"Cully")</f>
        <v>Cully</v>
      </c>
      <c r="D739" s="41" t="str">
        <f>IFERROR(__xludf.DUMMYFUNCTION("""COMPUTED_VALUE"""),"Olympic Knights")</f>
        <v>Olympic Knights</v>
      </c>
      <c r="E739" s="136">
        <f>IFERROR(__xludf.DUMMYFUNCTION("""COMPUTED_VALUE"""),50.0)</f>
        <v>50</v>
      </c>
      <c r="F739" s="136">
        <f>IFERROR(__xludf.DUMMYFUNCTION("""COMPUTED_VALUE"""),35.0)</f>
        <v>35</v>
      </c>
      <c r="G739" s="136">
        <f>IFERROR(__xludf.DUMMYFUNCTION("""COMPUTED_VALUE"""),15.0)</f>
        <v>15</v>
      </c>
      <c r="H739" s="137">
        <f>IFERROR(__xludf.DUMMYFUNCTION("""COMPUTED_VALUE"""),0.7)</f>
        <v>0.7</v>
      </c>
      <c r="I739" s="136">
        <f>IFERROR(__xludf.DUMMYFUNCTION("""COMPUTED_VALUE"""),11.0)</f>
        <v>11</v>
      </c>
      <c r="J739" s="136">
        <f>IFERROR(__xludf.DUMMYFUNCTION("""COMPUTED_VALUE"""),16757.0)</f>
        <v>16757</v>
      </c>
      <c r="K739" s="136">
        <f>IFERROR(__xludf.DUMMYFUNCTION("""COMPUTED_VALUE"""),36.0)</f>
        <v>36</v>
      </c>
      <c r="L739" s="136">
        <f>IFERROR(__xludf.DUMMYFUNCTION("""COMPUTED_VALUE"""),25.0)</f>
        <v>25</v>
      </c>
      <c r="M739" s="136">
        <f>IFERROR(__xludf.DUMMYFUNCTION("""COMPUTED_VALUE"""),63.0)</f>
        <v>63</v>
      </c>
      <c r="N739" s="136">
        <f>IFERROR(__xludf.DUMMYFUNCTION("""COMPUTED_VALUE"""),121.0)</f>
        <v>121</v>
      </c>
      <c r="O739" s="138">
        <f>IFERROR(__xludf.DUMMYFUNCTION("""COMPUTED_VALUE"""),8.0)</f>
        <v>8</v>
      </c>
      <c r="P739" s="138">
        <f>IFERROR(__xludf.DUMMYFUNCTION("""COMPUTED_VALUE"""),2.0)</f>
        <v>2</v>
      </c>
      <c r="Q739" s="138">
        <f>IFERROR(__xludf.DUMMYFUNCTION("""COMPUTED_VALUE"""),0.0)</f>
        <v>0</v>
      </c>
      <c r="R739" s="138">
        <f>IFERROR(__xludf.DUMMYFUNCTION("""COMPUTED_VALUE"""),5.0)</f>
        <v>5</v>
      </c>
      <c r="S739" s="139">
        <f>IFERROR(__xludf.DUMMYFUNCTION("""COMPUTED_VALUE"""),308.0)</f>
        <v>308</v>
      </c>
      <c r="T739" s="140">
        <f>IFERROR(__xludf.DUMMYFUNCTION("""COMPUTED_VALUE"""),76.0)</f>
        <v>76</v>
      </c>
      <c r="U739" s="136">
        <f>IFERROR(__xludf.DUMMYFUNCTION("""COMPUTED_VALUE"""),30.0)</f>
        <v>30</v>
      </c>
      <c r="V739" s="136">
        <f>IFERROR(__xludf.DUMMYFUNCTION("""COMPUTED_VALUE"""),85.0)</f>
        <v>85</v>
      </c>
      <c r="W739" s="136">
        <f>IFERROR(__xludf.DUMMYFUNCTION("""COMPUTED_VALUE"""),32.0)</f>
        <v>32</v>
      </c>
      <c r="X739" s="136">
        <f>IFERROR(__xludf.DUMMYFUNCTION("""COMPUTED_VALUE"""),321.54)</f>
        <v>321.54</v>
      </c>
      <c r="Y739" s="141">
        <f>IFERROR(__xludf.DUMMYFUNCTION("""COMPUTED_VALUE"""),54.164999999999985)</f>
        <v>54.165</v>
      </c>
      <c r="Z739" s="141">
        <f>IFERROR(__xludf.DUMMYFUNCTION("""COMPUTED_VALUE"""),1997.12)</f>
        <v>1997.12</v>
      </c>
    </row>
    <row r="740">
      <c r="A740" s="41" t="str">
        <f>IFERROR(__xludf.DUMMYFUNCTION("""COMPUTED_VALUE"""),"Elite")</f>
        <v>Elite</v>
      </c>
      <c r="B740" s="41" t="str">
        <f>IFERROR(__xludf.DUMMYFUNCTION("""COMPUTED_VALUE"""),"RSC008391")</f>
        <v>RSC008391</v>
      </c>
      <c r="C740" s="41" t="str">
        <f>IFERROR(__xludf.DUMMYFUNCTION("""COMPUTED_VALUE"""),"SirPeakzIV")</f>
        <v>SirPeakzIV</v>
      </c>
      <c r="D740" s="41" t="str">
        <f>IFERROR(__xludf.DUMMYFUNCTION("""COMPUTED_VALUE"""),"Cotija Cartel
Afterburners
Immortals")</f>
        <v>Cotija Cartel
Afterburners
Immortals</v>
      </c>
      <c r="E740" s="136">
        <f>IFERROR(__xludf.DUMMYFUNCTION("""COMPUTED_VALUE"""),44.0)</f>
        <v>44</v>
      </c>
      <c r="F740" s="136">
        <f>IFERROR(__xludf.DUMMYFUNCTION("""COMPUTED_VALUE"""),20.0)</f>
        <v>20</v>
      </c>
      <c r="G740" s="136">
        <f>IFERROR(__xludf.DUMMYFUNCTION("""COMPUTED_VALUE"""),24.0)</f>
        <v>24</v>
      </c>
      <c r="H740" s="137">
        <f>IFERROR(__xludf.DUMMYFUNCTION("""COMPUTED_VALUE"""),0.45454545454545453)</f>
        <v>0.4545454545</v>
      </c>
      <c r="I740" s="136">
        <f>IFERROR(__xludf.DUMMYFUNCTION("""COMPUTED_VALUE"""),5.0)</f>
        <v>5</v>
      </c>
      <c r="J740" s="136">
        <f>IFERROR(__xludf.DUMMYFUNCTION("""COMPUTED_VALUE"""),15782.0)</f>
        <v>15782</v>
      </c>
      <c r="K740" s="136">
        <f>IFERROR(__xludf.DUMMYFUNCTION("""COMPUTED_VALUE"""),33.0)</f>
        <v>33</v>
      </c>
      <c r="L740" s="136">
        <f>IFERROR(__xludf.DUMMYFUNCTION("""COMPUTED_VALUE"""),23.0)</f>
        <v>23</v>
      </c>
      <c r="M740" s="136">
        <f>IFERROR(__xludf.DUMMYFUNCTION("""COMPUTED_VALUE"""),73.0)</f>
        <v>73</v>
      </c>
      <c r="N740" s="136">
        <f>IFERROR(__xludf.DUMMYFUNCTION("""COMPUTED_VALUE"""),127.0)</f>
        <v>127</v>
      </c>
      <c r="O740" s="138">
        <f>IFERROR(__xludf.DUMMYFUNCTION("""COMPUTED_VALUE"""),8.0)</f>
        <v>8</v>
      </c>
      <c r="P740" s="138">
        <f>IFERROR(__xludf.DUMMYFUNCTION("""COMPUTED_VALUE"""),2.0)</f>
        <v>2</v>
      </c>
      <c r="Q740" s="138">
        <f>IFERROR(__xludf.DUMMYFUNCTION("""COMPUTED_VALUE"""),0.0)</f>
        <v>0</v>
      </c>
      <c r="R740" s="138">
        <f>IFERROR(__xludf.DUMMYFUNCTION("""COMPUTED_VALUE"""),10.0)</f>
        <v>10</v>
      </c>
      <c r="S740" s="139">
        <f>IFERROR(__xludf.DUMMYFUNCTION("""COMPUTED_VALUE"""),391.0)</f>
        <v>391</v>
      </c>
      <c r="T740" s="140">
        <f>IFERROR(__xludf.DUMMYFUNCTION("""COMPUTED_VALUE"""),126.0)</f>
        <v>126</v>
      </c>
      <c r="U740" s="136">
        <f>IFERROR(__xludf.DUMMYFUNCTION("""COMPUTED_VALUE"""),34.0)</f>
        <v>34</v>
      </c>
      <c r="V740" s="136">
        <f>IFERROR(__xludf.DUMMYFUNCTION("""COMPUTED_VALUE"""),92.0)</f>
        <v>92</v>
      </c>
      <c r="W740" s="136">
        <f>IFERROR(__xludf.DUMMYFUNCTION("""COMPUTED_VALUE"""),39.0)</f>
        <v>39</v>
      </c>
      <c r="X740" s="136">
        <f>IFERROR(__xludf.DUMMYFUNCTION("""COMPUTED_VALUE"""),369.5)</f>
        <v>369.5</v>
      </c>
      <c r="Y740" s="141">
        <f>IFERROR(__xludf.DUMMYFUNCTION("""COMPUTED_VALUE"""),48.885)</f>
        <v>48.885</v>
      </c>
      <c r="Z740" s="141">
        <f>IFERROR(__xludf.DUMMYFUNCTION("""COMPUTED_VALUE"""),2318.6136363636365)</f>
        <v>2318.613636</v>
      </c>
    </row>
    <row r="741">
      <c r="A741" s="41" t="str">
        <f>IFERROR(__xludf.DUMMYFUNCTION("""COMPUTED_VALUE"""),"Challenger")</f>
        <v>Challenger</v>
      </c>
      <c r="B741" s="41" t="str">
        <f>IFERROR(__xludf.DUMMYFUNCTION("""COMPUTED_VALUE"""),"RSC008393")</f>
        <v>RSC008393</v>
      </c>
      <c r="C741" s="41" t="str">
        <f>IFERROR(__xludf.DUMMYFUNCTION("""COMPUTED_VALUE"""),"zerajule")</f>
        <v>zerajule</v>
      </c>
      <c r="D741" s="41" t="str">
        <f>IFERROR(__xludf.DUMMYFUNCTION("""COMPUTED_VALUE"""),"Olympic Knights")</f>
        <v>Olympic Knights</v>
      </c>
      <c r="E741" s="136">
        <f>IFERROR(__xludf.DUMMYFUNCTION("""COMPUTED_VALUE"""),51.0)</f>
        <v>51</v>
      </c>
      <c r="F741" s="136">
        <f>IFERROR(__xludf.DUMMYFUNCTION("""COMPUTED_VALUE"""),36.0)</f>
        <v>36</v>
      </c>
      <c r="G741" s="136">
        <f>IFERROR(__xludf.DUMMYFUNCTION("""COMPUTED_VALUE"""),15.0)</f>
        <v>15</v>
      </c>
      <c r="H741" s="137">
        <f>IFERROR(__xludf.DUMMYFUNCTION("""COMPUTED_VALUE"""),0.7058823529411765)</f>
        <v>0.7058823529</v>
      </c>
      <c r="I741" s="136">
        <f>IFERROR(__xludf.DUMMYFUNCTION("""COMPUTED_VALUE"""),17.0)</f>
        <v>17</v>
      </c>
      <c r="J741" s="136">
        <f>IFERROR(__xludf.DUMMYFUNCTION("""COMPUTED_VALUE"""),18820.0)</f>
        <v>18820</v>
      </c>
      <c r="K741" s="136">
        <f>IFERROR(__xludf.DUMMYFUNCTION("""COMPUTED_VALUE"""),55.0)</f>
        <v>55</v>
      </c>
      <c r="L741" s="136">
        <f>IFERROR(__xludf.DUMMYFUNCTION("""COMPUTED_VALUE"""),22.0)</f>
        <v>22</v>
      </c>
      <c r="M741" s="136">
        <f>IFERROR(__xludf.DUMMYFUNCTION("""COMPUTED_VALUE"""),48.0)</f>
        <v>48</v>
      </c>
      <c r="N741" s="136">
        <f>IFERROR(__xludf.DUMMYFUNCTION("""COMPUTED_VALUE"""),160.0)</f>
        <v>160</v>
      </c>
      <c r="O741" s="138">
        <f>IFERROR(__xludf.DUMMYFUNCTION("""COMPUTED_VALUE"""),7.0)</f>
        <v>7</v>
      </c>
      <c r="P741" s="138">
        <f>IFERROR(__xludf.DUMMYFUNCTION("""COMPUTED_VALUE"""),3.0)</f>
        <v>3</v>
      </c>
      <c r="Q741" s="138">
        <f>IFERROR(__xludf.DUMMYFUNCTION("""COMPUTED_VALUE"""),0.0)</f>
        <v>0</v>
      </c>
      <c r="R741" s="138">
        <f>IFERROR(__xludf.DUMMYFUNCTION("""COMPUTED_VALUE"""),3.0)</f>
        <v>3</v>
      </c>
      <c r="S741" s="139">
        <f>IFERROR(__xludf.DUMMYFUNCTION("""COMPUTED_VALUE"""),311.0)</f>
        <v>311</v>
      </c>
      <c r="T741" s="140">
        <f>IFERROR(__xludf.DUMMYFUNCTION("""COMPUTED_VALUE"""),73.0)</f>
        <v>73</v>
      </c>
      <c r="U741" s="136">
        <f>IFERROR(__xludf.DUMMYFUNCTION("""COMPUTED_VALUE"""),22.0)</f>
        <v>22</v>
      </c>
      <c r="V741" s="136">
        <f>IFERROR(__xludf.DUMMYFUNCTION("""COMPUTED_VALUE"""),40.0)</f>
        <v>40</v>
      </c>
      <c r="W741" s="136">
        <f>IFERROR(__xludf.DUMMYFUNCTION("""COMPUTED_VALUE"""),44.0)</f>
        <v>44</v>
      </c>
      <c r="X741" s="136">
        <f>IFERROR(__xludf.DUMMYFUNCTION("""COMPUTED_VALUE"""),355.1764705882353)</f>
        <v>355.1764706</v>
      </c>
      <c r="Y741" s="141">
        <f>IFERROR(__xludf.DUMMYFUNCTION("""COMPUTED_VALUE"""),49.95588235294119)</f>
        <v>49.95588235</v>
      </c>
      <c r="Z741" s="141">
        <f>IFERROR(__xludf.DUMMYFUNCTION("""COMPUTED_VALUE"""),2142.4117647058824)</f>
        <v>2142.411765</v>
      </c>
    </row>
    <row r="742">
      <c r="A742" s="41" t="str">
        <f>IFERROR(__xludf.DUMMYFUNCTION("""COMPUTED_VALUE"""),"Elite")</f>
        <v>Elite</v>
      </c>
      <c r="B742" s="41" t="str">
        <f>IFERROR(__xludf.DUMMYFUNCTION("""COMPUTED_VALUE"""),"RSC008399")</f>
        <v>RSC008399</v>
      </c>
      <c r="C742" s="41" t="str">
        <f>IFERROR(__xludf.DUMMYFUNCTION("""COMPUTED_VALUE"""),"Tiz Samu")</f>
        <v>Tiz Samu</v>
      </c>
      <c r="D742" s="41" t="str">
        <f>IFERROR(__xludf.DUMMYFUNCTION("""COMPUTED_VALUE"""),"Praetorian Guard")</f>
        <v>Praetorian Guard</v>
      </c>
      <c r="E742" s="136">
        <f>IFERROR(__xludf.DUMMYFUNCTION("""COMPUTED_VALUE"""),42.0)</f>
        <v>42</v>
      </c>
      <c r="F742" s="136">
        <f>IFERROR(__xludf.DUMMYFUNCTION("""COMPUTED_VALUE"""),25.0)</f>
        <v>25</v>
      </c>
      <c r="G742" s="136">
        <f>IFERROR(__xludf.DUMMYFUNCTION("""COMPUTED_VALUE"""),17.0)</f>
        <v>17</v>
      </c>
      <c r="H742" s="137">
        <f>IFERROR(__xludf.DUMMYFUNCTION("""COMPUTED_VALUE"""),0.5952380952380952)</f>
        <v>0.5952380952</v>
      </c>
      <c r="I742" s="136">
        <f>IFERROR(__xludf.DUMMYFUNCTION("""COMPUTED_VALUE"""),7.0)</f>
        <v>7</v>
      </c>
      <c r="J742" s="136">
        <f>IFERROR(__xludf.DUMMYFUNCTION("""COMPUTED_VALUE"""),14250.0)</f>
        <v>14250</v>
      </c>
      <c r="K742" s="136">
        <f>IFERROR(__xludf.DUMMYFUNCTION("""COMPUTED_VALUE"""),30.0)</f>
        <v>30</v>
      </c>
      <c r="L742" s="136">
        <f>IFERROR(__xludf.DUMMYFUNCTION("""COMPUTED_VALUE"""),30.0)</f>
        <v>30</v>
      </c>
      <c r="M742" s="136">
        <f>IFERROR(__xludf.DUMMYFUNCTION("""COMPUTED_VALUE"""),49.0)</f>
        <v>49</v>
      </c>
      <c r="N742" s="136">
        <f>IFERROR(__xludf.DUMMYFUNCTION("""COMPUTED_VALUE"""),94.0)</f>
        <v>94</v>
      </c>
      <c r="O742" s="138">
        <f>IFERROR(__xludf.DUMMYFUNCTION("""COMPUTED_VALUE"""),9.0)</f>
        <v>9</v>
      </c>
      <c r="P742" s="138">
        <f>IFERROR(__xludf.DUMMYFUNCTION("""COMPUTED_VALUE"""),2.0)</f>
        <v>2</v>
      </c>
      <c r="Q742" s="138">
        <f>IFERROR(__xludf.DUMMYFUNCTION("""COMPUTED_VALUE"""),1.0)</f>
        <v>1</v>
      </c>
      <c r="R742" s="138">
        <f>IFERROR(__xludf.DUMMYFUNCTION("""COMPUTED_VALUE"""),4.0)</f>
        <v>4</v>
      </c>
      <c r="S742" s="139">
        <f>IFERROR(__xludf.DUMMYFUNCTION("""COMPUTED_VALUE"""),345.0)</f>
        <v>345</v>
      </c>
      <c r="T742" s="140">
        <f>IFERROR(__xludf.DUMMYFUNCTION("""COMPUTED_VALUE"""),99.0)</f>
        <v>99</v>
      </c>
      <c r="U742" s="136">
        <f>IFERROR(__xludf.DUMMYFUNCTION("""COMPUTED_VALUE"""),35.0)</f>
        <v>35</v>
      </c>
      <c r="V742" s="136">
        <f>IFERROR(__xludf.DUMMYFUNCTION("""COMPUTED_VALUE"""),33.0)</f>
        <v>33</v>
      </c>
      <c r="W742" s="136">
        <f>IFERROR(__xludf.DUMMYFUNCTION("""COMPUTED_VALUE"""),49.0)</f>
        <v>49</v>
      </c>
      <c r="X742" s="136">
        <f>IFERROR(__xludf.DUMMYFUNCTION("""COMPUTED_VALUE"""),362.3809523809524)</f>
        <v>362.3809524</v>
      </c>
      <c r="Y742" s="141">
        <f>IFERROR(__xludf.DUMMYFUNCTION("""COMPUTED_VALUE"""),47.334047619047624)</f>
        <v>47.33404762</v>
      </c>
      <c r="Z742" s="141">
        <f>IFERROR(__xludf.DUMMYFUNCTION("""COMPUTED_VALUE"""),2126.0476190476193)</f>
        <v>2126.047619</v>
      </c>
    </row>
    <row r="743">
      <c r="A743" s="41" t="str">
        <f>IFERROR(__xludf.DUMMYFUNCTION("""COMPUTED_VALUE"""),"Veteran")</f>
        <v>Veteran</v>
      </c>
      <c r="B743" s="41" t="str">
        <f>IFERROR(__xludf.DUMMYFUNCTION("""COMPUTED_VALUE"""),"RSC008400")</f>
        <v>RSC008400</v>
      </c>
      <c r="C743" s="41" t="str">
        <f>IFERROR(__xludf.DUMMYFUNCTION("""COMPUTED_VALUE"""),"Itzmoose")</f>
        <v>Itzmoose</v>
      </c>
      <c r="D743" s="41" t="str">
        <f>IFERROR(__xludf.DUMMYFUNCTION("""COMPUTED_VALUE"""),"Peppermint
Merciless Mob")</f>
        <v>Peppermint
Merciless Mob</v>
      </c>
      <c r="E743" s="136">
        <f>IFERROR(__xludf.DUMMYFUNCTION("""COMPUTED_VALUE"""),19.0)</f>
        <v>19</v>
      </c>
      <c r="F743" s="136">
        <f>IFERROR(__xludf.DUMMYFUNCTION("""COMPUTED_VALUE"""),6.0)</f>
        <v>6</v>
      </c>
      <c r="G743" s="136">
        <f>IFERROR(__xludf.DUMMYFUNCTION("""COMPUTED_VALUE"""),13.0)</f>
        <v>13</v>
      </c>
      <c r="H743" s="137">
        <f>IFERROR(__xludf.DUMMYFUNCTION("""COMPUTED_VALUE"""),0.3157894736842105)</f>
        <v>0.3157894737</v>
      </c>
      <c r="I743" s="136">
        <f>IFERROR(__xludf.DUMMYFUNCTION("""COMPUTED_VALUE"""),4.0)</f>
        <v>4</v>
      </c>
      <c r="J743" s="136">
        <f>IFERROR(__xludf.DUMMYFUNCTION("""COMPUTED_VALUE"""),6959.0)</f>
        <v>6959</v>
      </c>
      <c r="K743" s="136">
        <f>IFERROR(__xludf.DUMMYFUNCTION("""COMPUTED_VALUE"""),17.0)</f>
        <v>17</v>
      </c>
      <c r="L743" s="136">
        <f>IFERROR(__xludf.DUMMYFUNCTION("""COMPUTED_VALUE"""),8.0)</f>
        <v>8</v>
      </c>
      <c r="M743" s="136">
        <f>IFERROR(__xludf.DUMMYFUNCTION("""COMPUTED_VALUE"""),27.0)</f>
        <v>27</v>
      </c>
      <c r="N743" s="136">
        <f>IFERROR(__xludf.DUMMYFUNCTION("""COMPUTED_VALUE"""),47.0)</f>
        <v>47</v>
      </c>
      <c r="O743" s="138">
        <f>IFERROR(__xludf.DUMMYFUNCTION("""COMPUTED_VALUE"""),1.0)</f>
        <v>1</v>
      </c>
      <c r="P743" s="138">
        <f>IFERROR(__xludf.DUMMYFUNCTION("""COMPUTED_VALUE"""),2.0)</f>
        <v>2</v>
      </c>
      <c r="Q743" s="138">
        <f>IFERROR(__xludf.DUMMYFUNCTION("""COMPUTED_VALUE"""),0.0)</f>
        <v>0</v>
      </c>
      <c r="R743" s="138">
        <f>IFERROR(__xludf.DUMMYFUNCTION("""COMPUTED_VALUE"""),3.0)</f>
        <v>3</v>
      </c>
      <c r="S743" s="139">
        <f>IFERROR(__xludf.DUMMYFUNCTION("""COMPUTED_VALUE"""),166.0)</f>
        <v>166</v>
      </c>
      <c r="T743" s="140">
        <f>IFERROR(__xludf.DUMMYFUNCTION("""COMPUTED_VALUE"""),53.0)</f>
        <v>53</v>
      </c>
      <c r="U743" s="136">
        <f>IFERROR(__xludf.DUMMYFUNCTION("""COMPUTED_VALUE"""),18.0)</f>
        <v>18</v>
      </c>
      <c r="V743" s="136">
        <f>IFERROR(__xludf.DUMMYFUNCTION("""COMPUTED_VALUE"""),10.0)</f>
        <v>10</v>
      </c>
      <c r="W743" s="136">
        <f>IFERROR(__xludf.DUMMYFUNCTION("""COMPUTED_VALUE"""),22.0)</f>
        <v>22</v>
      </c>
      <c r="X743" s="136">
        <f>IFERROR(__xludf.DUMMYFUNCTION("""COMPUTED_VALUE"""),372.8421052631579)</f>
        <v>372.8421053</v>
      </c>
      <c r="Y743" s="141">
        <f>IFERROR(__xludf.DUMMYFUNCTION("""COMPUTED_VALUE"""),48.50105263157894)</f>
        <v>48.50105263</v>
      </c>
      <c r="Z743" s="141">
        <f>IFERROR(__xludf.DUMMYFUNCTION("""COMPUTED_VALUE"""),2230.4210526315787)</f>
        <v>2230.421053</v>
      </c>
    </row>
    <row r="744">
      <c r="A744" s="41" t="str">
        <f>IFERROR(__xludf.DUMMYFUNCTION("""COMPUTED_VALUE"""),"Amateur")</f>
        <v>Amateur</v>
      </c>
      <c r="B744" s="41" t="str">
        <f>IFERROR(__xludf.DUMMYFUNCTION("""COMPUTED_VALUE"""),"RSC008402")</f>
        <v>RSC008402</v>
      </c>
      <c r="C744" s="41" t="str">
        <f>IFERROR(__xludf.DUMMYFUNCTION("""COMPUTED_VALUE"""),"TTV/DucksNotKeys")</f>
        <v>TTV/DucksNotKeys</v>
      </c>
      <c r="D744" s="41" t="str">
        <f>IFERROR(__xludf.DUMMYFUNCTION("""COMPUTED_VALUE"""),"Chimera")</f>
        <v>Chimera</v>
      </c>
      <c r="E744" s="136">
        <f>IFERROR(__xludf.DUMMYFUNCTION("""COMPUTED_VALUE"""),14.0)</f>
        <v>14</v>
      </c>
      <c r="F744" s="136">
        <f>IFERROR(__xludf.DUMMYFUNCTION("""COMPUTED_VALUE"""),4.0)</f>
        <v>4</v>
      </c>
      <c r="G744" s="136">
        <f>IFERROR(__xludf.DUMMYFUNCTION("""COMPUTED_VALUE"""),10.0)</f>
        <v>10</v>
      </c>
      <c r="H744" s="137">
        <f>IFERROR(__xludf.DUMMYFUNCTION("""COMPUTED_VALUE"""),0.2857142857142857)</f>
        <v>0.2857142857</v>
      </c>
      <c r="I744" s="136">
        <f>IFERROR(__xludf.DUMMYFUNCTION("""COMPUTED_VALUE"""),1.0)</f>
        <v>1</v>
      </c>
      <c r="J744" s="136">
        <f>IFERROR(__xludf.DUMMYFUNCTION("""COMPUTED_VALUE"""),3008.0)</f>
        <v>3008</v>
      </c>
      <c r="K744" s="136">
        <f>IFERROR(__xludf.DUMMYFUNCTION("""COMPUTED_VALUE"""),4.0)</f>
        <v>4</v>
      </c>
      <c r="L744" s="136">
        <f>IFERROR(__xludf.DUMMYFUNCTION("""COMPUTED_VALUE"""),5.0)</f>
        <v>5</v>
      </c>
      <c r="M744" s="136">
        <f>IFERROR(__xludf.DUMMYFUNCTION("""COMPUTED_VALUE"""),11.0)</f>
        <v>11</v>
      </c>
      <c r="N744" s="136">
        <f>IFERROR(__xludf.DUMMYFUNCTION("""COMPUTED_VALUE"""),25.0)</f>
        <v>25</v>
      </c>
      <c r="O744" s="138">
        <f>IFERROR(__xludf.DUMMYFUNCTION("""COMPUTED_VALUE"""),1.0)</f>
        <v>1</v>
      </c>
      <c r="P744" s="138">
        <f>IFERROR(__xludf.DUMMYFUNCTION("""COMPUTED_VALUE"""),0.0)</f>
        <v>0</v>
      </c>
      <c r="Q744" s="138">
        <f>IFERROR(__xludf.DUMMYFUNCTION("""COMPUTED_VALUE"""),1.0)</f>
        <v>1</v>
      </c>
      <c r="R744" s="138">
        <f>IFERROR(__xludf.DUMMYFUNCTION("""COMPUTED_VALUE"""),0.0)</f>
        <v>0</v>
      </c>
      <c r="S744" s="139">
        <f>IFERROR(__xludf.DUMMYFUNCTION("""COMPUTED_VALUE"""),105.0)</f>
        <v>105</v>
      </c>
      <c r="T744" s="140">
        <f>IFERROR(__xludf.DUMMYFUNCTION("""COMPUTED_VALUE"""),38.0)</f>
        <v>38</v>
      </c>
      <c r="U744" s="136">
        <f>IFERROR(__xludf.DUMMYFUNCTION("""COMPUTED_VALUE"""),12.0)</f>
        <v>12</v>
      </c>
      <c r="V744" s="136">
        <f>IFERROR(__xludf.DUMMYFUNCTION("""COMPUTED_VALUE"""),11.0)</f>
        <v>11</v>
      </c>
      <c r="W744" s="136">
        <f>IFERROR(__xludf.DUMMYFUNCTION("""COMPUTED_VALUE"""),7.0)</f>
        <v>7</v>
      </c>
      <c r="X744" s="139">
        <f>IFERROR(__xludf.DUMMYFUNCTION("""COMPUTED_VALUE"""),296.2142857142857)</f>
        <v>296.2142857</v>
      </c>
      <c r="Y744" s="141">
        <f>IFERROR(__xludf.DUMMYFUNCTION("""COMPUTED_VALUE"""),54.39499999999999)</f>
        <v>54.395</v>
      </c>
      <c r="Z744" s="141">
        <f>IFERROR(__xludf.DUMMYFUNCTION("""COMPUTED_VALUE"""),1698.4285714285713)</f>
        <v>1698.428571</v>
      </c>
    </row>
    <row r="745">
      <c r="A745" s="41" t="str">
        <f>IFERROR(__xludf.DUMMYFUNCTION("""COMPUTED_VALUE"""),"Elite")</f>
        <v>Elite</v>
      </c>
      <c r="B745" s="41" t="str">
        <f>IFERROR(__xludf.DUMMYFUNCTION("""COMPUTED_VALUE"""),"RSC008403")</f>
        <v>RSC008403</v>
      </c>
      <c r="C745" s="41" t="str">
        <f>IFERROR(__xludf.DUMMYFUNCTION("""COMPUTED_VALUE"""),"mightie31")</f>
        <v>mightie31</v>
      </c>
      <c r="D745" s="41" t="str">
        <f>IFERROR(__xludf.DUMMYFUNCTION("""COMPUTED_VALUE"""),"Immortals
Raptors")</f>
        <v>Immortals
Raptors</v>
      </c>
      <c r="E745" s="136">
        <f>IFERROR(__xludf.DUMMYFUNCTION("""COMPUTED_VALUE"""),32.0)</f>
        <v>32</v>
      </c>
      <c r="F745" s="136">
        <f>IFERROR(__xludf.DUMMYFUNCTION("""COMPUTED_VALUE"""),9.0)</f>
        <v>9</v>
      </c>
      <c r="G745" s="136">
        <f>IFERROR(__xludf.DUMMYFUNCTION("""COMPUTED_VALUE"""),23.0)</f>
        <v>23</v>
      </c>
      <c r="H745" s="137">
        <f>IFERROR(__xludf.DUMMYFUNCTION("""COMPUTED_VALUE"""),0.28125)</f>
        <v>0.28125</v>
      </c>
      <c r="I745" s="136">
        <f>IFERROR(__xludf.DUMMYFUNCTION("""COMPUTED_VALUE"""),1.0)</f>
        <v>1</v>
      </c>
      <c r="J745" s="136">
        <f>IFERROR(__xludf.DUMMYFUNCTION("""COMPUTED_VALUE"""),9347.0)</f>
        <v>9347</v>
      </c>
      <c r="K745" s="136">
        <f>IFERROR(__xludf.DUMMYFUNCTION("""COMPUTED_VALUE"""),13.0)</f>
        <v>13</v>
      </c>
      <c r="L745" s="136">
        <f>IFERROR(__xludf.DUMMYFUNCTION("""COMPUTED_VALUE"""),12.0)</f>
        <v>12</v>
      </c>
      <c r="M745" s="136">
        <f>IFERROR(__xludf.DUMMYFUNCTION("""COMPUTED_VALUE"""),39.0)</f>
        <v>39</v>
      </c>
      <c r="N745" s="136">
        <f>IFERROR(__xludf.DUMMYFUNCTION("""COMPUTED_VALUE"""),62.0)</f>
        <v>62</v>
      </c>
      <c r="O745" s="138">
        <f>IFERROR(__xludf.DUMMYFUNCTION("""COMPUTED_VALUE"""),3.0)</f>
        <v>3</v>
      </c>
      <c r="P745" s="138">
        <f>IFERROR(__xludf.DUMMYFUNCTION("""COMPUTED_VALUE"""),0.0)</f>
        <v>0</v>
      </c>
      <c r="Q745" s="138">
        <f>IFERROR(__xludf.DUMMYFUNCTION("""COMPUTED_VALUE"""),0.0)</f>
        <v>0</v>
      </c>
      <c r="R745" s="138">
        <f>IFERROR(__xludf.DUMMYFUNCTION("""COMPUTED_VALUE"""),3.0)</f>
        <v>3</v>
      </c>
      <c r="S745" s="139">
        <f>IFERROR(__xludf.DUMMYFUNCTION("""COMPUTED_VALUE"""),274.0)</f>
        <v>274</v>
      </c>
      <c r="T745" s="140">
        <f>IFERROR(__xludf.DUMMYFUNCTION("""COMPUTED_VALUE"""),78.0)</f>
        <v>78</v>
      </c>
      <c r="U745" s="136">
        <f>IFERROR(__xludf.DUMMYFUNCTION("""COMPUTED_VALUE"""),28.0)</f>
        <v>28</v>
      </c>
      <c r="V745" s="136">
        <f>IFERROR(__xludf.DUMMYFUNCTION("""COMPUTED_VALUE"""),22.0)</f>
        <v>22</v>
      </c>
      <c r="W745" s="136">
        <f>IFERROR(__xludf.DUMMYFUNCTION("""COMPUTED_VALUE"""),31.0)</f>
        <v>31</v>
      </c>
      <c r="X745" s="136">
        <f>IFERROR(__xludf.DUMMYFUNCTION("""COMPUTED_VALUE"""),344.53125)</f>
        <v>344.53125</v>
      </c>
      <c r="Y745" s="141">
        <f>IFERROR(__xludf.DUMMYFUNCTION("""COMPUTED_VALUE"""),46.33812500000001)</f>
        <v>46.338125</v>
      </c>
      <c r="Z745" s="141">
        <f>IFERROR(__xludf.DUMMYFUNCTION("""COMPUTED_VALUE"""),2074.15625)</f>
        <v>2074.15625</v>
      </c>
    </row>
    <row r="746">
      <c r="A746" s="41" t="str">
        <f>IFERROR(__xludf.DUMMYFUNCTION("""COMPUTED_VALUE"""),"Rival")</f>
        <v>Rival</v>
      </c>
      <c r="B746" s="41" t="str">
        <f>IFERROR(__xludf.DUMMYFUNCTION("""COMPUTED_VALUE"""),"RSC008405")</f>
        <v>RSC008405</v>
      </c>
      <c r="C746" s="41" t="str">
        <f>IFERROR(__xludf.DUMMYFUNCTION("""COMPUTED_VALUE"""),"gxcid")</f>
        <v>gxcid</v>
      </c>
      <c r="D746" s="41" t="str">
        <f>IFERROR(__xludf.DUMMYFUNCTION("""COMPUTED_VALUE"""),"Barracudas")</f>
        <v>Barracudas</v>
      </c>
      <c r="E746" s="136">
        <f>IFERROR(__xludf.DUMMYFUNCTION("""COMPUTED_VALUE"""),40.0)</f>
        <v>40</v>
      </c>
      <c r="F746" s="136">
        <f>IFERROR(__xludf.DUMMYFUNCTION("""COMPUTED_VALUE"""),23.0)</f>
        <v>23</v>
      </c>
      <c r="G746" s="136">
        <f>IFERROR(__xludf.DUMMYFUNCTION("""COMPUTED_VALUE"""),17.0)</f>
        <v>17</v>
      </c>
      <c r="H746" s="137">
        <f>IFERROR(__xludf.DUMMYFUNCTION("""COMPUTED_VALUE"""),0.575)</f>
        <v>0.575</v>
      </c>
      <c r="I746" s="136">
        <f>IFERROR(__xludf.DUMMYFUNCTION("""COMPUTED_VALUE"""),10.0)</f>
        <v>10</v>
      </c>
      <c r="J746" s="136">
        <f>IFERROR(__xludf.DUMMYFUNCTION("""COMPUTED_VALUE"""),16162.0)</f>
        <v>16162</v>
      </c>
      <c r="K746" s="136">
        <f>IFERROR(__xludf.DUMMYFUNCTION("""COMPUTED_VALUE"""),37.0)</f>
        <v>37</v>
      </c>
      <c r="L746" s="136">
        <f>IFERROR(__xludf.DUMMYFUNCTION("""COMPUTED_VALUE"""),23.0)</f>
        <v>23</v>
      </c>
      <c r="M746" s="136">
        <f>IFERROR(__xludf.DUMMYFUNCTION("""COMPUTED_VALUE"""),62.0)</f>
        <v>62</v>
      </c>
      <c r="N746" s="136">
        <f>IFERROR(__xludf.DUMMYFUNCTION("""COMPUTED_VALUE"""),133.0)</f>
        <v>133</v>
      </c>
      <c r="O746" s="138">
        <f>IFERROR(__xludf.DUMMYFUNCTION("""COMPUTED_VALUE"""),10.0)</f>
        <v>10</v>
      </c>
      <c r="P746" s="138">
        <f>IFERROR(__xludf.DUMMYFUNCTION("""COMPUTED_VALUE"""),2.0)</f>
        <v>2</v>
      </c>
      <c r="Q746" s="138">
        <f>IFERROR(__xludf.DUMMYFUNCTION("""COMPUTED_VALUE"""),1.0)</f>
        <v>1</v>
      </c>
      <c r="R746" s="138">
        <f>IFERROR(__xludf.DUMMYFUNCTION("""COMPUTED_VALUE"""),5.0)</f>
        <v>5</v>
      </c>
      <c r="S746" s="139">
        <f>IFERROR(__xludf.DUMMYFUNCTION("""COMPUTED_VALUE"""),306.0)</f>
        <v>306</v>
      </c>
      <c r="T746" s="140">
        <f>IFERROR(__xludf.DUMMYFUNCTION("""COMPUTED_VALUE"""),82.0)</f>
        <v>82</v>
      </c>
      <c r="U746" s="136">
        <f>IFERROR(__xludf.DUMMYFUNCTION("""COMPUTED_VALUE"""),22.0)</f>
        <v>22</v>
      </c>
      <c r="V746" s="136">
        <f>IFERROR(__xludf.DUMMYFUNCTION("""COMPUTED_VALUE"""),34.0)</f>
        <v>34</v>
      </c>
      <c r="W746" s="136">
        <f>IFERROR(__xludf.DUMMYFUNCTION("""COMPUTED_VALUE"""),30.0)</f>
        <v>30</v>
      </c>
      <c r="X746" s="136">
        <f>IFERROR(__xludf.DUMMYFUNCTION("""COMPUTED_VALUE"""),437.675)</f>
        <v>437.675</v>
      </c>
      <c r="Y746" s="141">
        <f>IFERROR(__xludf.DUMMYFUNCTION("""COMPUTED_VALUE"""),50.49074999999999)</f>
        <v>50.49075</v>
      </c>
      <c r="Z746" s="141">
        <f>IFERROR(__xludf.DUMMYFUNCTION("""COMPUTED_VALUE"""),2662.325)</f>
        <v>2662.325</v>
      </c>
    </row>
    <row r="747">
      <c r="A747" s="41" t="str">
        <f>IFERROR(__xludf.DUMMYFUNCTION("""COMPUTED_VALUE"""),"Elite")</f>
        <v>Elite</v>
      </c>
      <c r="B747" s="41" t="str">
        <f>IFERROR(__xludf.DUMMYFUNCTION("""COMPUTED_VALUE"""),"RSC008408")</f>
        <v>RSC008408</v>
      </c>
      <c r="C747" s="41" t="str">
        <f>IFERROR(__xludf.DUMMYFUNCTION("""COMPUTED_VALUE"""),"LoonaKami")</f>
        <v>LoonaKami</v>
      </c>
      <c r="D747" s="41" t="str">
        <f>IFERROR(__xludf.DUMMYFUNCTION("""COMPUTED_VALUE"""),"Peerless Scarred")</f>
        <v>Peerless Scarred</v>
      </c>
      <c r="E747" s="136">
        <f>IFERROR(__xludf.DUMMYFUNCTION("""COMPUTED_VALUE"""),23.0)</f>
        <v>23</v>
      </c>
      <c r="F747" s="136">
        <f>IFERROR(__xludf.DUMMYFUNCTION("""COMPUTED_VALUE"""),9.0)</f>
        <v>9</v>
      </c>
      <c r="G747" s="136">
        <f>IFERROR(__xludf.DUMMYFUNCTION("""COMPUTED_VALUE"""),14.0)</f>
        <v>14</v>
      </c>
      <c r="H747" s="137">
        <f>IFERROR(__xludf.DUMMYFUNCTION("""COMPUTED_VALUE"""),0.391304347826087)</f>
        <v>0.3913043478</v>
      </c>
      <c r="I747" s="136">
        <f>IFERROR(__xludf.DUMMYFUNCTION("""COMPUTED_VALUE"""),4.0)</f>
        <v>4</v>
      </c>
      <c r="J747" s="136">
        <f>IFERROR(__xludf.DUMMYFUNCTION("""COMPUTED_VALUE"""),7742.0)</f>
        <v>7742</v>
      </c>
      <c r="K747" s="136">
        <f>IFERROR(__xludf.DUMMYFUNCTION("""COMPUTED_VALUE"""),15.0)</f>
        <v>15</v>
      </c>
      <c r="L747" s="136">
        <f>IFERROR(__xludf.DUMMYFUNCTION("""COMPUTED_VALUE"""),11.0)</f>
        <v>11</v>
      </c>
      <c r="M747" s="136">
        <f>IFERROR(__xludf.DUMMYFUNCTION("""COMPUTED_VALUE"""),32.0)</f>
        <v>32</v>
      </c>
      <c r="N747" s="136">
        <f>IFERROR(__xludf.DUMMYFUNCTION("""COMPUTED_VALUE"""),44.0)</f>
        <v>44</v>
      </c>
      <c r="O747" s="138">
        <f>IFERROR(__xludf.DUMMYFUNCTION("""COMPUTED_VALUE"""),4.0)</f>
        <v>4</v>
      </c>
      <c r="P747" s="138">
        <f>IFERROR(__xludf.DUMMYFUNCTION("""COMPUTED_VALUE"""),0.0)</f>
        <v>0</v>
      </c>
      <c r="Q747" s="138">
        <f>IFERROR(__xludf.DUMMYFUNCTION("""COMPUTED_VALUE"""),0.0)</f>
        <v>0</v>
      </c>
      <c r="R747" s="138">
        <f>IFERROR(__xludf.DUMMYFUNCTION("""COMPUTED_VALUE"""),3.0)</f>
        <v>3</v>
      </c>
      <c r="S747" s="139">
        <f>IFERROR(__xludf.DUMMYFUNCTION("""COMPUTED_VALUE"""),200.0)</f>
        <v>200</v>
      </c>
      <c r="T747" s="140">
        <f>IFERROR(__xludf.DUMMYFUNCTION("""COMPUTED_VALUE"""),56.0)</f>
        <v>56</v>
      </c>
      <c r="U747" s="136">
        <f>IFERROR(__xludf.DUMMYFUNCTION("""COMPUTED_VALUE"""),11.0)</f>
        <v>11</v>
      </c>
      <c r="V747" s="136">
        <f>IFERROR(__xludf.DUMMYFUNCTION("""COMPUTED_VALUE"""),42.0)</f>
        <v>42</v>
      </c>
      <c r="W747" s="136">
        <f>IFERROR(__xludf.DUMMYFUNCTION("""COMPUTED_VALUE"""),27.0)</f>
        <v>27</v>
      </c>
      <c r="X747" s="136">
        <f>IFERROR(__xludf.DUMMYFUNCTION("""COMPUTED_VALUE"""),412.4782608695652)</f>
        <v>412.4782609</v>
      </c>
      <c r="Y747" s="141">
        <f>IFERROR(__xludf.DUMMYFUNCTION("""COMPUTED_VALUE"""),46.81304347826087)</f>
        <v>46.81304348</v>
      </c>
      <c r="Z747" s="141">
        <f>IFERROR(__xludf.DUMMYFUNCTION("""COMPUTED_VALUE"""),2509.2608695652175)</f>
        <v>2509.26087</v>
      </c>
    </row>
    <row r="748">
      <c r="A748" s="41" t="str">
        <f>IFERROR(__xludf.DUMMYFUNCTION("""COMPUTED_VALUE"""),"Veteran")</f>
        <v>Veteran</v>
      </c>
      <c r="B748" s="41" t="str">
        <f>IFERROR(__xludf.DUMMYFUNCTION("""COMPUTED_VALUE"""),"RSC008411")</f>
        <v>RSC008411</v>
      </c>
      <c r="C748" s="41" t="str">
        <f>IFERROR(__xludf.DUMMYFUNCTION("""COMPUTED_VALUE"""),"cosmo6430")</f>
        <v>cosmo6430</v>
      </c>
      <c r="D748" s="41" t="str">
        <f>IFERROR(__xludf.DUMMYFUNCTION("""COMPUTED_VALUE"""),"Dread
Singularity")</f>
        <v>Dread
Singularity</v>
      </c>
      <c r="E748" s="136">
        <f>IFERROR(__xludf.DUMMYFUNCTION("""COMPUTED_VALUE"""),23.0)</f>
        <v>23</v>
      </c>
      <c r="F748" s="136">
        <f>IFERROR(__xludf.DUMMYFUNCTION("""COMPUTED_VALUE"""),3.0)</f>
        <v>3</v>
      </c>
      <c r="G748" s="136">
        <f>IFERROR(__xludf.DUMMYFUNCTION("""COMPUTED_VALUE"""),20.0)</f>
        <v>20</v>
      </c>
      <c r="H748" s="137">
        <f>IFERROR(__xludf.DUMMYFUNCTION("""COMPUTED_VALUE"""),0.13043478260869565)</f>
        <v>0.1304347826</v>
      </c>
      <c r="I748" s="136">
        <f>IFERROR(__xludf.DUMMYFUNCTION("""COMPUTED_VALUE"""),2.0)</f>
        <v>2</v>
      </c>
      <c r="J748" s="136">
        <f>IFERROR(__xludf.DUMMYFUNCTION("""COMPUTED_VALUE"""),6381.0)</f>
        <v>6381</v>
      </c>
      <c r="K748" s="136">
        <f>IFERROR(__xludf.DUMMYFUNCTION("""COMPUTED_VALUE"""),8.0)</f>
        <v>8</v>
      </c>
      <c r="L748" s="136">
        <f>IFERROR(__xludf.DUMMYFUNCTION("""COMPUTED_VALUE"""),7.0)</f>
        <v>7</v>
      </c>
      <c r="M748" s="136">
        <f>IFERROR(__xludf.DUMMYFUNCTION("""COMPUTED_VALUE"""),32.0)</f>
        <v>32</v>
      </c>
      <c r="N748" s="136">
        <f>IFERROR(__xludf.DUMMYFUNCTION("""COMPUTED_VALUE"""),40.0)</f>
        <v>40</v>
      </c>
      <c r="O748" s="138">
        <f>IFERROR(__xludf.DUMMYFUNCTION("""COMPUTED_VALUE"""),1.0)</f>
        <v>1</v>
      </c>
      <c r="P748" s="138">
        <f>IFERROR(__xludf.DUMMYFUNCTION("""COMPUTED_VALUE"""),0.0)</f>
        <v>0</v>
      </c>
      <c r="Q748" s="138">
        <f>IFERROR(__xludf.DUMMYFUNCTION("""COMPUTED_VALUE"""),0.0)</f>
        <v>0</v>
      </c>
      <c r="R748" s="138">
        <f>IFERROR(__xludf.DUMMYFUNCTION("""COMPUTED_VALUE"""),4.0)</f>
        <v>4</v>
      </c>
      <c r="S748" s="139">
        <f>IFERROR(__xludf.DUMMYFUNCTION("""COMPUTED_VALUE"""),225.0)</f>
        <v>225</v>
      </c>
      <c r="T748" s="140">
        <f>IFERROR(__xludf.DUMMYFUNCTION("""COMPUTED_VALUE"""),81.0)</f>
        <v>81</v>
      </c>
      <c r="U748" s="136">
        <f>IFERROR(__xludf.DUMMYFUNCTION("""COMPUTED_VALUE"""),33.0)</f>
        <v>33</v>
      </c>
      <c r="V748" s="136">
        <f>IFERROR(__xludf.DUMMYFUNCTION("""COMPUTED_VALUE"""),19.0)</f>
        <v>19</v>
      </c>
      <c r="W748" s="136">
        <f>IFERROR(__xludf.DUMMYFUNCTION("""COMPUTED_VALUE"""),34.0)</f>
        <v>34</v>
      </c>
      <c r="X748" s="136">
        <f>IFERROR(__xludf.DUMMYFUNCTION("""COMPUTED_VALUE"""),451.7391304347826)</f>
        <v>451.7391304</v>
      </c>
      <c r="Y748" s="141">
        <f>IFERROR(__xludf.DUMMYFUNCTION("""COMPUTED_VALUE"""),47.2804347826087)</f>
        <v>47.28043478</v>
      </c>
      <c r="Z748" s="141">
        <f>IFERROR(__xludf.DUMMYFUNCTION("""COMPUTED_VALUE"""),2609.0434782608695)</f>
        <v>2609.043478</v>
      </c>
    </row>
    <row r="749">
      <c r="A749" s="41" t="str">
        <f>IFERROR(__xludf.DUMMYFUNCTION("""COMPUTED_VALUE"""),"Premier")</f>
        <v>Premier</v>
      </c>
      <c r="B749" s="41" t="str">
        <f>IFERROR(__xludf.DUMMYFUNCTION("""COMPUTED_VALUE"""),"RSC008413")</f>
        <v>RSC008413</v>
      </c>
      <c r="C749" s="41" t="str">
        <f>IFERROR(__xludf.DUMMYFUNCTION("""COMPUTED_VALUE"""),"Duck")</f>
        <v>Duck</v>
      </c>
      <c r="D749" s="41" t="str">
        <f>IFERROR(__xludf.DUMMYFUNCTION("""COMPUTED_VALUE"""),"Leviathans")</f>
        <v>Leviathans</v>
      </c>
      <c r="E749" s="136">
        <f>IFERROR(__xludf.DUMMYFUNCTION("""COMPUTED_VALUE"""),48.0)</f>
        <v>48</v>
      </c>
      <c r="F749" s="136">
        <f>IFERROR(__xludf.DUMMYFUNCTION("""COMPUTED_VALUE"""),23.0)</f>
        <v>23</v>
      </c>
      <c r="G749" s="136">
        <f>IFERROR(__xludf.DUMMYFUNCTION("""COMPUTED_VALUE"""),25.0)</f>
        <v>25</v>
      </c>
      <c r="H749" s="137">
        <f>IFERROR(__xludf.DUMMYFUNCTION("""COMPUTED_VALUE"""),0.4791666666666667)</f>
        <v>0.4791666667</v>
      </c>
      <c r="I749" s="136">
        <f>IFERROR(__xludf.DUMMYFUNCTION("""COMPUTED_VALUE"""),11.0)</f>
        <v>11</v>
      </c>
      <c r="J749" s="136">
        <f>IFERROR(__xludf.DUMMYFUNCTION("""COMPUTED_VALUE"""),19647.0)</f>
        <v>19647</v>
      </c>
      <c r="K749" s="136">
        <f>IFERROR(__xludf.DUMMYFUNCTION("""COMPUTED_VALUE"""),41.0)</f>
        <v>41</v>
      </c>
      <c r="L749" s="136">
        <f>IFERROR(__xludf.DUMMYFUNCTION("""COMPUTED_VALUE"""),17.0)</f>
        <v>17</v>
      </c>
      <c r="M749" s="136">
        <f>IFERROR(__xludf.DUMMYFUNCTION("""COMPUTED_VALUE"""),96.0)</f>
        <v>96</v>
      </c>
      <c r="N749" s="136">
        <f>IFERROR(__xludf.DUMMYFUNCTION("""COMPUTED_VALUE"""),120.0)</f>
        <v>120</v>
      </c>
      <c r="O749" s="138">
        <f>IFERROR(__xludf.DUMMYFUNCTION("""COMPUTED_VALUE"""),8.0)</f>
        <v>8</v>
      </c>
      <c r="P749" s="138">
        <f>IFERROR(__xludf.DUMMYFUNCTION("""COMPUTED_VALUE"""),4.0)</f>
        <v>4</v>
      </c>
      <c r="Q749" s="138">
        <f>IFERROR(__xludf.DUMMYFUNCTION("""COMPUTED_VALUE"""),1.0)</f>
        <v>1</v>
      </c>
      <c r="R749" s="138">
        <f>IFERROR(__xludf.DUMMYFUNCTION("""COMPUTED_VALUE"""),16.0)</f>
        <v>16</v>
      </c>
      <c r="S749" s="139">
        <f>IFERROR(__xludf.DUMMYFUNCTION("""COMPUTED_VALUE"""),467.0)</f>
        <v>467</v>
      </c>
      <c r="T749" s="140">
        <f>IFERROR(__xludf.DUMMYFUNCTION("""COMPUTED_VALUE"""),134.0)</f>
        <v>134</v>
      </c>
      <c r="U749" s="136">
        <f>IFERROR(__xludf.DUMMYFUNCTION("""COMPUTED_VALUE"""),37.0)</f>
        <v>37</v>
      </c>
      <c r="V749" s="136">
        <f>IFERROR(__xludf.DUMMYFUNCTION("""COMPUTED_VALUE"""),38.0)</f>
        <v>38</v>
      </c>
      <c r="W749" s="136">
        <f>IFERROR(__xludf.DUMMYFUNCTION("""COMPUTED_VALUE"""),46.0)</f>
        <v>46</v>
      </c>
      <c r="X749" s="136">
        <f>IFERROR(__xludf.DUMMYFUNCTION("""COMPUTED_VALUE"""),414.9791666666667)</f>
        <v>414.9791667</v>
      </c>
      <c r="Y749" s="141">
        <f>IFERROR(__xludf.DUMMYFUNCTION("""COMPUTED_VALUE"""),46.77208333333331)</f>
        <v>46.77208333</v>
      </c>
      <c r="Z749" s="141">
        <f>IFERROR(__xludf.DUMMYFUNCTION("""COMPUTED_VALUE"""),2620.2916666666665)</f>
        <v>2620.291667</v>
      </c>
    </row>
    <row r="750">
      <c r="A750" s="41" t="str">
        <f>IFERROR(__xludf.DUMMYFUNCTION("""COMPUTED_VALUE"""),"Challenger")</f>
        <v>Challenger</v>
      </c>
      <c r="B750" s="41" t="str">
        <f>IFERROR(__xludf.DUMMYFUNCTION("""COMPUTED_VALUE"""),"RSC008415")</f>
        <v>RSC008415</v>
      </c>
      <c r="C750" s="41" t="str">
        <f>IFERROR(__xludf.DUMMYFUNCTION("""COMPUTED_VALUE"""),"StorchBurn")</f>
        <v>StorchBurn</v>
      </c>
      <c r="D750" s="41" t="str">
        <f>IFERROR(__xludf.DUMMYFUNCTION("""COMPUTED_VALUE"""),"Threshers")</f>
        <v>Threshers</v>
      </c>
      <c r="E750" s="136">
        <f>IFERROR(__xludf.DUMMYFUNCTION("""COMPUTED_VALUE"""),56.0)</f>
        <v>56</v>
      </c>
      <c r="F750" s="136">
        <f>IFERROR(__xludf.DUMMYFUNCTION("""COMPUTED_VALUE"""),32.0)</f>
        <v>32</v>
      </c>
      <c r="G750" s="136">
        <f>IFERROR(__xludf.DUMMYFUNCTION("""COMPUTED_VALUE"""),24.0)</f>
        <v>24</v>
      </c>
      <c r="H750" s="137">
        <f>IFERROR(__xludf.DUMMYFUNCTION("""COMPUTED_VALUE"""),0.5714285714285714)</f>
        <v>0.5714285714</v>
      </c>
      <c r="I750" s="136">
        <f>IFERROR(__xludf.DUMMYFUNCTION("""COMPUTED_VALUE"""),15.0)</f>
        <v>15</v>
      </c>
      <c r="J750" s="136">
        <f>IFERROR(__xludf.DUMMYFUNCTION("""COMPUTED_VALUE"""),21110.0)</f>
        <v>21110</v>
      </c>
      <c r="K750" s="136">
        <f>IFERROR(__xludf.DUMMYFUNCTION("""COMPUTED_VALUE"""),45.0)</f>
        <v>45</v>
      </c>
      <c r="L750" s="136">
        <f>IFERROR(__xludf.DUMMYFUNCTION("""COMPUTED_VALUE"""),33.0)</f>
        <v>33</v>
      </c>
      <c r="M750" s="136">
        <f>IFERROR(__xludf.DUMMYFUNCTION("""COMPUTED_VALUE"""),90.0)</f>
        <v>90</v>
      </c>
      <c r="N750" s="136">
        <f>IFERROR(__xludf.DUMMYFUNCTION("""COMPUTED_VALUE"""),138.0)</f>
        <v>138</v>
      </c>
      <c r="O750" s="138">
        <f>IFERROR(__xludf.DUMMYFUNCTION("""COMPUTED_VALUE"""),9.0)</f>
        <v>9</v>
      </c>
      <c r="P750" s="138">
        <f>IFERROR(__xludf.DUMMYFUNCTION("""COMPUTED_VALUE"""),3.0)</f>
        <v>3</v>
      </c>
      <c r="Q750" s="138">
        <f>IFERROR(__xludf.DUMMYFUNCTION("""COMPUTED_VALUE"""),0.0)</f>
        <v>0</v>
      </c>
      <c r="R750" s="138">
        <f>IFERROR(__xludf.DUMMYFUNCTION("""COMPUTED_VALUE"""),9.0)</f>
        <v>9</v>
      </c>
      <c r="S750" s="139">
        <f>IFERROR(__xludf.DUMMYFUNCTION("""COMPUTED_VALUE"""),402.0)</f>
        <v>402</v>
      </c>
      <c r="T750" s="140">
        <f>IFERROR(__xludf.DUMMYFUNCTION("""COMPUTED_VALUE"""),111.0)</f>
        <v>111</v>
      </c>
      <c r="U750" s="136">
        <f>IFERROR(__xludf.DUMMYFUNCTION("""COMPUTED_VALUE"""),37.0)</f>
        <v>37</v>
      </c>
      <c r="V750" s="136">
        <f>IFERROR(__xludf.DUMMYFUNCTION("""COMPUTED_VALUE"""),79.0)</f>
        <v>79</v>
      </c>
      <c r="W750" s="136">
        <f>IFERROR(__xludf.DUMMYFUNCTION("""COMPUTED_VALUE"""),53.0)</f>
        <v>53</v>
      </c>
      <c r="X750" s="136">
        <f>IFERROR(__xludf.DUMMYFUNCTION("""COMPUTED_VALUE"""),369.55357142857144)</f>
        <v>369.5535714</v>
      </c>
      <c r="Y750" s="141">
        <f>IFERROR(__xludf.DUMMYFUNCTION("""COMPUTED_VALUE"""),50.536785714285706)</f>
        <v>50.53678571</v>
      </c>
      <c r="Z750" s="141">
        <f>IFERROR(__xludf.DUMMYFUNCTION("""COMPUTED_VALUE"""),2199.8214285714284)</f>
        <v>2199.821429</v>
      </c>
    </row>
    <row r="751">
      <c r="A751" s="41" t="str">
        <f>IFERROR(__xludf.DUMMYFUNCTION("""COMPUTED_VALUE"""),"Elite")</f>
        <v>Elite</v>
      </c>
      <c r="B751" s="41" t="str">
        <f>IFERROR(__xludf.DUMMYFUNCTION("""COMPUTED_VALUE"""),"RSC008417")</f>
        <v>RSC008417</v>
      </c>
      <c r="C751" s="41" t="str">
        <f>IFERROR(__xludf.DUMMYFUNCTION("""COMPUTED_VALUE"""),"LC Spirit")</f>
        <v>LC Spirit</v>
      </c>
      <c r="D751" s="41" t="str">
        <f>IFERROR(__xludf.DUMMYFUNCTION("""COMPUTED_VALUE"""),"Fire")</f>
        <v>Fire</v>
      </c>
      <c r="E751" s="136">
        <f>IFERROR(__xludf.DUMMYFUNCTION("""COMPUTED_VALUE"""),54.0)</f>
        <v>54</v>
      </c>
      <c r="F751" s="136">
        <f>IFERROR(__xludf.DUMMYFUNCTION("""COMPUTED_VALUE"""),30.0)</f>
        <v>30</v>
      </c>
      <c r="G751" s="136">
        <f>IFERROR(__xludf.DUMMYFUNCTION("""COMPUTED_VALUE"""),24.0)</f>
        <v>24</v>
      </c>
      <c r="H751" s="137">
        <f>IFERROR(__xludf.DUMMYFUNCTION("""COMPUTED_VALUE"""),0.5555555555555556)</f>
        <v>0.5555555556</v>
      </c>
      <c r="I751" s="136">
        <f>IFERROR(__xludf.DUMMYFUNCTION("""COMPUTED_VALUE"""),13.0)</f>
        <v>13</v>
      </c>
      <c r="J751" s="136">
        <f>IFERROR(__xludf.DUMMYFUNCTION("""COMPUTED_VALUE"""),21273.0)</f>
        <v>21273</v>
      </c>
      <c r="K751" s="136">
        <f>IFERROR(__xludf.DUMMYFUNCTION("""COMPUTED_VALUE"""),39.0)</f>
        <v>39</v>
      </c>
      <c r="L751" s="136">
        <f>IFERROR(__xludf.DUMMYFUNCTION("""COMPUTED_VALUE"""),26.0)</f>
        <v>26</v>
      </c>
      <c r="M751" s="136">
        <f>IFERROR(__xludf.DUMMYFUNCTION("""COMPUTED_VALUE"""),104.0)</f>
        <v>104</v>
      </c>
      <c r="N751" s="136">
        <f>IFERROR(__xludf.DUMMYFUNCTION("""COMPUTED_VALUE"""),136.0)</f>
        <v>136</v>
      </c>
      <c r="O751" s="138">
        <f>IFERROR(__xludf.DUMMYFUNCTION("""COMPUTED_VALUE"""),7.0)</f>
        <v>7</v>
      </c>
      <c r="P751" s="138">
        <f>IFERROR(__xludf.DUMMYFUNCTION("""COMPUTED_VALUE"""),4.0)</f>
        <v>4</v>
      </c>
      <c r="Q751" s="138">
        <f>IFERROR(__xludf.DUMMYFUNCTION("""COMPUTED_VALUE"""),1.0)</f>
        <v>1</v>
      </c>
      <c r="R751" s="138">
        <f>IFERROR(__xludf.DUMMYFUNCTION("""COMPUTED_VALUE"""),18.0)</f>
        <v>18</v>
      </c>
      <c r="S751" s="139">
        <f>IFERROR(__xludf.DUMMYFUNCTION("""COMPUTED_VALUE"""),468.0)</f>
        <v>468</v>
      </c>
      <c r="T751" s="140">
        <f>IFERROR(__xludf.DUMMYFUNCTION("""COMPUTED_VALUE"""),115.0)</f>
        <v>115</v>
      </c>
      <c r="U751" s="136">
        <f>IFERROR(__xludf.DUMMYFUNCTION("""COMPUTED_VALUE"""),35.0)</f>
        <v>35</v>
      </c>
      <c r="V751" s="136">
        <f>IFERROR(__xludf.DUMMYFUNCTION("""COMPUTED_VALUE"""),63.0)</f>
        <v>63</v>
      </c>
      <c r="W751" s="136">
        <f>IFERROR(__xludf.DUMMYFUNCTION("""COMPUTED_VALUE"""),54.0)</f>
        <v>54</v>
      </c>
      <c r="X751" s="136">
        <f>IFERROR(__xludf.DUMMYFUNCTION("""COMPUTED_VALUE"""),346.2037037037037)</f>
        <v>346.2037037</v>
      </c>
      <c r="Y751" s="141">
        <f>IFERROR(__xludf.DUMMYFUNCTION("""COMPUTED_VALUE"""),49.686851851851856)</f>
        <v>49.68685185</v>
      </c>
      <c r="Z751" s="141">
        <f>IFERROR(__xludf.DUMMYFUNCTION("""COMPUTED_VALUE"""),2106.9444444444443)</f>
        <v>2106.944444</v>
      </c>
    </row>
    <row r="752">
      <c r="A752" s="41" t="str">
        <f>IFERROR(__xludf.DUMMYFUNCTION("""COMPUTED_VALUE"""),"Prospect")</f>
        <v>Prospect</v>
      </c>
      <c r="B752" s="41" t="str">
        <f>IFERROR(__xludf.DUMMYFUNCTION("""COMPUTED_VALUE"""),"RSC008418")</f>
        <v>RSC008418</v>
      </c>
      <c r="C752" s="41" t="str">
        <f>IFERROR(__xludf.DUMMYFUNCTION("""COMPUTED_VALUE"""),"I _amDan")</f>
        <v>I _amDan</v>
      </c>
      <c r="D752" s="41" t="str">
        <f>IFERROR(__xludf.DUMMYFUNCTION("""COMPUTED_VALUE"""),"Honey Badgers")</f>
        <v>Honey Badgers</v>
      </c>
      <c r="E752" s="136">
        <f>IFERROR(__xludf.DUMMYFUNCTION("""COMPUTED_VALUE"""),20.0)</f>
        <v>20</v>
      </c>
      <c r="F752" s="136">
        <f>IFERROR(__xludf.DUMMYFUNCTION("""COMPUTED_VALUE"""),15.0)</f>
        <v>15</v>
      </c>
      <c r="G752" s="136">
        <f>IFERROR(__xludf.DUMMYFUNCTION("""COMPUTED_VALUE"""),5.0)</f>
        <v>5</v>
      </c>
      <c r="H752" s="137">
        <f>IFERROR(__xludf.DUMMYFUNCTION("""COMPUTED_VALUE"""),0.75)</f>
        <v>0.75</v>
      </c>
      <c r="I752" s="136">
        <f>IFERROR(__xludf.DUMMYFUNCTION("""COMPUTED_VALUE"""),2.0)</f>
        <v>2</v>
      </c>
      <c r="J752" s="136">
        <f>IFERROR(__xludf.DUMMYFUNCTION("""COMPUTED_VALUE"""),6186.0)</f>
        <v>6186</v>
      </c>
      <c r="K752" s="136">
        <f>IFERROR(__xludf.DUMMYFUNCTION("""COMPUTED_VALUE"""),13.0)</f>
        <v>13</v>
      </c>
      <c r="L752" s="136">
        <f>IFERROR(__xludf.DUMMYFUNCTION("""COMPUTED_VALUE"""),14.0)</f>
        <v>14</v>
      </c>
      <c r="M752" s="136">
        <f>IFERROR(__xludf.DUMMYFUNCTION("""COMPUTED_VALUE"""),14.0)</f>
        <v>14</v>
      </c>
      <c r="N752" s="136">
        <f>IFERROR(__xludf.DUMMYFUNCTION("""COMPUTED_VALUE"""),53.0)</f>
        <v>53</v>
      </c>
      <c r="O752" s="138">
        <f>IFERROR(__xludf.DUMMYFUNCTION("""COMPUTED_VALUE"""),5.0)</f>
        <v>5</v>
      </c>
      <c r="P752" s="138">
        <f>IFERROR(__xludf.DUMMYFUNCTION("""COMPUTED_VALUE"""),0.0)</f>
        <v>0</v>
      </c>
      <c r="Q752" s="138">
        <f>IFERROR(__xludf.DUMMYFUNCTION("""COMPUTED_VALUE"""),0.0)</f>
        <v>0</v>
      </c>
      <c r="R752" s="138">
        <f>IFERROR(__xludf.DUMMYFUNCTION("""COMPUTED_VALUE"""),1.0)</f>
        <v>1</v>
      </c>
      <c r="S752" s="139">
        <f>IFERROR(__xludf.DUMMYFUNCTION("""COMPUTED_VALUE"""),106.0)</f>
        <v>106</v>
      </c>
      <c r="T752" s="140">
        <f>IFERROR(__xludf.DUMMYFUNCTION("""COMPUTED_VALUE"""),35.0)</f>
        <v>35</v>
      </c>
      <c r="U752" s="136">
        <f>IFERROR(__xludf.DUMMYFUNCTION("""COMPUTED_VALUE"""),10.0)</f>
        <v>10</v>
      </c>
      <c r="V752" s="136">
        <f>IFERROR(__xludf.DUMMYFUNCTION("""COMPUTED_VALUE"""),17.0)</f>
        <v>17</v>
      </c>
      <c r="W752" s="136">
        <f>IFERROR(__xludf.DUMMYFUNCTION("""COMPUTED_VALUE"""),21.0)</f>
        <v>21</v>
      </c>
      <c r="X752" s="136">
        <f>IFERROR(__xludf.DUMMYFUNCTION("""COMPUTED_VALUE"""),328.45)</f>
        <v>328.45</v>
      </c>
      <c r="Y752" s="141">
        <f>IFERROR(__xludf.DUMMYFUNCTION("""COMPUTED_VALUE"""),47.589000000000006)</f>
        <v>47.589</v>
      </c>
      <c r="Z752" s="141">
        <f>IFERROR(__xludf.DUMMYFUNCTION("""COMPUTED_VALUE"""),1986.7)</f>
        <v>1986.7</v>
      </c>
    </row>
    <row r="753">
      <c r="A753" s="41" t="str">
        <f>IFERROR(__xludf.DUMMYFUNCTION("""COMPUTED_VALUE"""),"Amateur")</f>
        <v>Amateur</v>
      </c>
      <c r="B753" s="41" t="str">
        <f>IFERROR(__xludf.DUMMYFUNCTION("""COMPUTED_VALUE"""),"RSC008419")</f>
        <v>RSC008419</v>
      </c>
      <c r="C753" s="41" t="str">
        <f>IFERROR(__xludf.DUMMYFUNCTION("""COMPUTED_VALUE"""),"iSilently")</f>
        <v>iSilently</v>
      </c>
      <c r="D753" s="41" t="str">
        <f>IFERROR(__xludf.DUMMYFUNCTION("""COMPUTED_VALUE"""),"Chimera")</f>
        <v>Chimera</v>
      </c>
      <c r="E753" s="136">
        <f>IFERROR(__xludf.DUMMYFUNCTION("""COMPUTED_VALUE"""),45.0)</f>
        <v>45</v>
      </c>
      <c r="F753" s="136">
        <f>IFERROR(__xludf.DUMMYFUNCTION("""COMPUTED_VALUE"""),26.0)</f>
        <v>26</v>
      </c>
      <c r="G753" s="136">
        <f>IFERROR(__xludf.DUMMYFUNCTION("""COMPUTED_VALUE"""),19.0)</f>
        <v>19</v>
      </c>
      <c r="H753" s="137">
        <f>IFERROR(__xludf.DUMMYFUNCTION("""COMPUTED_VALUE"""),0.5777777777777777)</f>
        <v>0.5777777778</v>
      </c>
      <c r="I753" s="136">
        <f>IFERROR(__xludf.DUMMYFUNCTION("""COMPUTED_VALUE"""),7.0)</f>
        <v>7</v>
      </c>
      <c r="J753" s="136">
        <f>IFERROR(__xludf.DUMMYFUNCTION("""COMPUTED_VALUE"""),14892.0)</f>
        <v>14892</v>
      </c>
      <c r="K753" s="136">
        <f>IFERROR(__xludf.DUMMYFUNCTION("""COMPUTED_VALUE"""),31.0)</f>
        <v>31</v>
      </c>
      <c r="L753" s="136">
        <f>IFERROR(__xludf.DUMMYFUNCTION("""COMPUTED_VALUE"""),12.0)</f>
        <v>12</v>
      </c>
      <c r="M753" s="136">
        <f>IFERROR(__xludf.DUMMYFUNCTION("""COMPUTED_VALUE"""),77.0)</f>
        <v>77</v>
      </c>
      <c r="N753" s="136">
        <f>IFERROR(__xludf.DUMMYFUNCTION("""COMPUTED_VALUE"""),93.0)</f>
        <v>93</v>
      </c>
      <c r="O753" s="138">
        <f>IFERROR(__xludf.DUMMYFUNCTION("""COMPUTED_VALUE"""),3.0)</f>
        <v>3</v>
      </c>
      <c r="P753" s="138">
        <f>IFERROR(__xludf.DUMMYFUNCTION("""COMPUTED_VALUE"""),1.0)</f>
        <v>1</v>
      </c>
      <c r="Q753" s="138">
        <f>IFERROR(__xludf.DUMMYFUNCTION("""COMPUTED_VALUE"""),0.0)</f>
        <v>0</v>
      </c>
      <c r="R753" s="138">
        <f>IFERROR(__xludf.DUMMYFUNCTION("""COMPUTED_VALUE"""),10.0)</f>
        <v>10</v>
      </c>
      <c r="S753" s="139">
        <f>IFERROR(__xludf.DUMMYFUNCTION("""COMPUTED_VALUE"""),317.0)</f>
        <v>317</v>
      </c>
      <c r="T753" s="140">
        <f>IFERROR(__xludf.DUMMYFUNCTION("""COMPUTED_VALUE"""),90.0)</f>
        <v>90</v>
      </c>
      <c r="U753" s="136">
        <f>IFERROR(__xludf.DUMMYFUNCTION("""COMPUTED_VALUE"""),39.0)</f>
        <v>39</v>
      </c>
      <c r="V753" s="136">
        <f>IFERROR(__xludf.DUMMYFUNCTION("""COMPUTED_VALUE"""),44.0)</f>
        <v>44</v>
      </c>
      <c r="W753" s="136">
        <f>IFERROR(__xludf.DUMMYFUNCTION("""COMPUTED_VALUE"""),24.0)</f>
        <v>24</v>
      </c>
      <c r="X753" s="139">
        <f>IFERROR(__xludf.DUMMYFUNCTION("""COMPUTED_VALUE"""),370.2)</f>
        <v>370.2</v>
      </c>
      <c r="Y753" s="141">
        <f>IFERROR(__xludf.DUMMYFUNCTION("""COMPUTED_VALUE"""),49.5271111111111)</f>
        <v>49.52711111</v>
      </c>
      <c r="Z753" s="141">
        <f>IFERROR(__xludf.DUMMYFUNCTION("""COMPUTED_VALUE"""),2209.911111111111)</f>
        <v>2209.911111</v>
      </c>
    </row>
    <row r="754">
      <c r="A754" s="41" t="str">
        <f>IFERROR(__xludf.DUMMYFUNCTION("""COMPUTED_VALUE"""),"Elite")</f>
        <v>Elite</v>
      </c>
      <c r="B754" s="41" t="str">
        <f>IFERROR(__xludf.DUMMYFUNCTION("""COMPUTED_VALUE"""),"RSC008420")</f>
        <v>RSC008420</v>
      </c>
      <c r="C754" s="41" t="str">
        <f>IFERROR(__xludf.DUMMYFUNCTION("""COMPUTED_VALUE"""),"Volkner")</f>
        <v>Volkner</v>
      </c>
      <c r="D754" s="41" t="str">
        <f>IFERROR(__xludf.DUMMYFUNCTION("""COMPUTED_VALUE"""),"Swordsman")</f>
        <v>Swordsman</v>
      </c>
      <c r="E754" s="136">
        <f>IFERROR(__xludf.DUMMYFUNCTION("""COMPUTED_VALUE"""),56.0)</f>
        <v>56</v>
      </c>
      <c r="F754" s="136">
        <f>IFERROR(__xludf.DUMMYFUNCTION("""COMPUTED_VALUE"""),30.0)</f>
        <v>30</v>
      </c>
      <c r="G754" s="136">
        <f>IFERROR(__xludf.DUMMYFUNCTION("""COMPUTED_VALUE"""),26.0)</f>
        <v>26</v>
      </c>
      <c r="H754" s="137">
        <f>IFERROR(__xludf.DUMMYFUNCTION("""COMPUTED_VALUE"""),0.5357142857142857)</f>
        <v>0.5357142857</v>
      </c>
      <c r="I754" s="136">
        <f>IFERROR(__xludf.DUMMYFUNCTION("""COMPUTED_VALUE"""),13.0)</f>
        <v>13</v>
      </c>
      <c r="J754" s="136">
        <f>IFERROR(__xludf.DUMMYFUNCTION("""COMPUTED_VALUE"""),23863.0)</f>
        <v>23863</v>
      </c>
      <c r="K754" s="136">
        <f>IFERROR(__xludf.DUMMYFUNCTION("""COMPUTED_VALUE"""),54.0)</f>
        <v>54</v>
      </c>
      <c r="L754" s="136">
        <f>IFERROR(__xludf.DUMMYFUNCTION("""COMPUTED_VALUE"""),29.0)</f>
        <v>29</v>
      </c>
      <c r="M754" s="136">
        <f>IFERROR(__xludf.DUMMYFUNCTION("""COMPUTED_VALUE"""),105.0)</f>
        <v>105</v>
      </c>
      <c r="N754" s="136">
        <f>IFERROR(__xludf.DUMMYFUNCTION("""COMPUTED_VALUE"""),183.0)</f>
        <v>183</v>
      </c>
      <c r="O754" s="138">
        <f>IFERROR(__xludf.DUMMYFUNCTION("""COMPUTED_VALUE"""),13.0)</f>
        <v>13</v>
      </c>
      <c r="P754" s="138">
        <f>IFERROR(__xludf.DUMMYFUNCTION("""COMPUTED_VALUE"""),4.0)</f>
        <v>4</v>
      </c>
      <c r="Q754" s="138">
        <f>IFERROR(__xludf.DUMMYFUNCTION("""COMPUTED_VALUE"""),0.0)</f>
        <v>0</v>
      </c>
      <c r="R754" s="138">
        <f>IFERROR(__xludf.DUMMYFUNCTION("""COMPUTED_VALUE"""),20.0)</f>
        <v>20</v>
      </c>
      <c r="S754" s="139">
        <f>IFERROR(__xludf.DUMMYFUNCTION("""COMPUTED_VALUE"""),444.0)</f>
        <v>444</v>
      </c>
      <c r="T754" s="140">
        <f>IFERROR(__xludf.DUMMYFUNCTION("""COMPUTED_VALUE"""),135.0)</f>
        <v>135</v>
      </c>
      <c r="U754" s="136">
        <f>IFERROR(__xludf.DUMMYFUNCTION("""COMPUTED_VALUE"""),37.0)</f>
        <v>37</v>
      </c>
      <c r="V754" s="136">
        <f>IFERROR(__xludf.DUMMYFUNCTION("""COMPUTED_VALUE"""),115.0)</f>
        <v>115</v>
      </c>
      <c r="W754" s="136">
        <f>IFERROR(__xludf.DUMMYFUNCTION("""COMPUTED_VALUE"""),53.0)</f>
        <v>53</v>
      </c>
      <c r="X754" s="136">
        <f>IFERROR(__xludf.DUMMYFUNCTION("""COMPUTED_VALUE"""),395.0357142857143)</f>
        <v>395.0357143</v>
      </c>
      <c r="Y754" s="141">
        <f>IFERROR(__xludf.DUMMYFUNCTION("""COMPUTED_VALUE"""),46.18714285714285)</f>
        <v>46.18714286</v>
      </c>
      <c r="Z754" s="141">
        <f>IFERROR(__xludf.DUMMYFUNCTION("""COMPUTED_VALUE"""),2377.9285714285716)</f>
        <v>2377.928571</v>
      </c>
    </row>
    <row r="755">
      <c r="A755" s="41" t="str">
        <f>IFERROR(__xludf.DUMMYFUNCTION("""COMPUTED_VALUE"""),"Veteran")</f>
        <v>Veteran</v>
      </c>
      <c r="B755" s="41" t="str">
        <f>IFERROR(__xludf.DUMMYFUNCTION("""COMPUTED_VALUE"""),"RSC008422")</f>
        <v>RSC008422</v>
      </c>
      <c r="C755" s="41" t="str">
        <f>IFERROR(__xludf.DUMMYFUNCTION("""COMPUTED_VALUE"""),"carszin")</f>
        <v>carszin</v>
      </c>
      <c r="D755" s="41" t="str">
        <f>IFERROR(__xludf.DUMMYFUNCTION("""COMPUTED_VALUE"""),"Gouda Gangsters
Berserkers")</f>
        <v>Gouda Gangsters
Berserkers</v>
      </c>
      <c r="E755" s="136">
        <f>IFERROR(__xludf.DUMMYFUNCTION("""COMPUTED_VALUE"""),24.0)</f>
        <v>24</v>
      </c>
      <c r="F755" s="136">
        <f>IFERROR(__xludf.DUMMYFUNCTION("""COMPUTED_VALUE"""),15.0)</f>
        <v>15</v>
      </c>
      <c r="G755" s="136">
        <f>IFERROR(__xludf.DUMMYFUNCTION("""COMPUTED_VALUE"""),9.0)</f>
        <v>9</v>
      </c>
      <c r="H755" s="137">
        <f>IFERROR(__xludf.DUMMYFUNCTION("""COMPUTED_VALUE"""),0.625)</f>
        <v>0.625</v>
      </c>
      <c r="I755" s="136">
        <f>IFERROR(__xludf.DUMMYFUNCTION("""COMPUTED_VALUE"""),8.0)</f>
        <v>8</v>
      </c>
      <c r="J755" s="136">
        <f>IFERROR(__xludf.DUMMYFUNCTION("""COMPUTED_VALUE"""),9922.0)</f>
        <v>9922</v>
      </c>
      <c r="K755" s="136">
        <f>IFERROR(__xludf.DUMMYFUNCTION("""COMPUTED_VALUE"""),22.0)</f>
        <v>22</v>
      </c>
      <c r="L755" s="136">
        <f>IFERROR(__xludf.DUMMYFUNCTION("""COMPUTED_VALUE"""),14.0)</f>
        <v>14</v>
      </c>
      <c r="M755" s="136">
        <f>IFERROR(__xludf.DUMMYFUNCTION("""COMPUTED_VALUE"""),39.0)</f>
        <v>39</v>
      </c>
      <c r="N755" s="136">
        <f>IFERROR(__xludf.DUMMYFUNCTION("""COMPUTED_VALUE"""),72.0)</f>
        <v>72</v>
      </c>
      <c r="O755" s="138">
        <f>IFERROR(__xludf.DUMMYFUNCTION("""COMPUTED_VALUE"""),5.0)</f>
        <v>5</v>
      </c>
      <c r="P755" s="138">
        <f>IFERROR(__xludf.DUMMYFUNCTION("""COMPUTED_VALUE"""),0.0)</f>
        <v>0</v>
      </c>
      <c r="Q755" s="138">
        <f>IFERROR(__xludf.DUMMYFUNCTION("""COMPUTED_VALUE"""),0.0)</f>
        <v>0</v>
      </c>
      <c r="R755" s="138">
        <f>IFERROR(__xludf.DUMMYFUNCTION("""COMPUTED_VALUE"""),6.0)</f>
        <v>6</v>
      </c>
      <c r="S755" s="139">
        <f>IFERROR(__xludf.DUMMYFUNCTION("""COMPUTED_VALUE"""),199.0)</f>
        <v>199</v>
      </c>
      <c r="T755" s="140">
        <f>IFERROR(__xludf.DUMMYFUNCTION("""COMPUTED_VALUE"""),59.0)</f>
        <v>59</v>
      </c>
      <c r="U755" s="136">
        <f>IFERROR(__xludf.DUMMYFUNCTION("""COMPUTED_VALUE"""),15.0)</f>
        <v>15</v>
      </c>
      <c r="V755" s="136">
        <f>IFERROR(__xludf.DUMMYFUNCTION("""COMPUTED_VALUE"""),38.0)</f>
        <v>38</v>
      </c>
      <c r="W755" s="136">
        <f>IFERROR(__xludf.DUMMYFUNCTION("""COMPUTED_VALUE"""),20.0)</f>
        <v>20</v>
      </c>
      <c r="X755" s="136">
        <f>IFERROR(__xludf.DUMMYFUNCTION("""COMPUTED_VALUE"""),416.7916666666667)</f>
        <v>416.7916667</v>
      </c>
      <c r="Y755" s="141">
        <f>IFERROR(__xludf.DUMMYFUNCTION("""COMPUTED_VALUE"""),52.07291666666666)</f>
        <v>52.07291667</v>
      </c>
      <c r="Z755" s="141">
        <f>IFERROR(__xludf.DUMMYFUNCTION("""COMPUTED_VALUE"""),2557.7083333333335)</f>
        <v>2557.708333</v>
      </c>
    </row>
    <row r="756">
      <c r="A756" s="41" t="str">
        <f>IFERROR(__xludf.DUMMYFUNCTION("""COMPUTED_VALUE"""),"Premier")</f>
        <v>Premier</v>
      </c>
      <c r="B756" s="41" t="str">
        <f>IFERROR(__xludf.DUMMYFUNCTION("""COMPUTED_VALUE"""),"RSC008424")</f>
        <v>RSC008424</v>
      </c>
      <c r="C756" s="41" t="str">
        <f>IFERROR(__xludf.DUMMYFUNCTION("""COMPUTED_VALUE"""),"Kev.")</f>
        <v>Kev.</v>
      </c>
      <c r="D756" s="41" t="str">
        <f>IFERROR(__xludf.DUMMYFUNCTION("""COMPUTED_VALUE"""),"Leviathans
Feta Forgers")</f>
        <v>Leviathans
Feta Forgers</v>
      </c>
      <c r="E756" s="136">
        <f>IFERROR(__xludf.DUMMYFUNCTION("""COMPUTED_VALUE"""),5.0)</f>
        <v>5</v>
      </c>
      <c r="F756" s="136">
        <f>IFERROR(__xludf.DUMMYFUNCTION("""COMPUTED_VALUE"""),3.0)</f>
        <v>3</v>
      </c>
      <c r="G756" s="136">
        <f>IFERROR(__xludf.DUMMYFUNCTION("""COMPUTED_VALUE"""),2.0)</f>
        <v>2</v>
      </c>
      <c r="H756" s="137">
        <f>IFERROR(__xludf.DUMMYFUNCTION("""COMPUTED_VALUE"""),0.6)</f>
        <v>0.6</v>
      </c>
      <c r="I756" s="136">
        <f>IFERROR(__xludf.DUMMYFUNCTION("""COMPUTED_VALUE"""),2.0)</f>
        <v>2</v>
      </c>
      <c r="J756" s="136">
        <f>IFERROR(__xludf.DUMMYFUNCTION("""COMPUTED_VALUE"""),1800.0)</f>
        <v>1800</v>
      </c>
      <c r="K756" s="136">
        <f>IFERROR(__xludf.DUMMYFUNCTION("""COMPUTED_VALUE"""),4.0)</f>
        <v>4</v>
      </c>
      <c r="L756" s="136">
        <f>IFERROR(__xludf.DUMMYFUNCTION("""COMPUTED_VALUE"""),2.0)</f>
        <v>2</v>
      </c>
      <c r="M756" s="136">
        <f>IFERROR(__xludf.DUMMYFUNCTION("""COMPUTED_VALUE"""),7.0)</f>
        <v>7</v>
      </c>
      <c r="N756" s="136">
        <f>IFERROR(__xludf.DUMMYFUNCTION("""COMPUTED_VALUE"""),8.0)</f>
        <v>8</v>
      </c>
      <c r="O756" s="138">
        <f>IFERROR(__xludf.DUMMYFUNCTION("""COMPUTED_VALUE"""),1.0)</f>
        <v>1</v>
      </c>
      <c r="P756" s="138">
        <f>IFERROR(__xludf.DUMMYFUNCTION("""COMPUTED_VALUE"""),0.0)</f>
        <v>0</v>
      </c>
      <c r="Q756" s="138">
        <f>IFERROR(__xludf.DUMMYFUNCTION("""COMPUTED_VALUE"""),0.0)</f>
        <v>0</v>
      </c>
      <c r="R756" s="138">
        <f>IFERROR(__xludf.DUMMYFUNCTION("""COMPUTED_VALUE"""),2.0)</f>
        <v>2</v>
      </c>
      <c r="S756" s="139">
        <f>IFERROR(__xludf.DUMMYFUNCTION("""COMPUTED_VALUE"""),43.0)</f>
        <v>43</v>
      </c>
      <c r="T756" s="140">
        <f>IFERROR(__xludf.DUMMYFUNCTION("""COMPUTED_VALUE"""),9.0)</f>
        <v>9</v>
      </c>
      <c r="U756" s="136">
        <f>IFERROR(__xludf.DUMMYFUNCTION("""COMPUTED_VALUE"""),4.0)</f>
        <v>4</v>
      </c>
      <c r="V756" s="136">
        <f>IFERROR(__xludf.DUMMYFUNCTION("""COMPUTED_VALUE"""),3.0)</f>
        <v>3</v>
      </c>
      <c r="W756" s="136">
        <f>IFERROR(__xludf.DUMMYFUNCTION("""COMPUTED_VALUE"""),2.0)</f>
        <v>2</v>
      </c>
      <c r="X756" s="136">
        <f>IFERROR(__xludf.DUMMYFUNCTION("""COMPUTED_VALUE"""),347.2)</f>
        <v>347.2</v>
      </c>
      <c r="Y756" s="141">
        <f>IFERROR(__xludf.DUMMYFUNCTION("""COMPUTED_VALUE"""),45.674)</f>
        <v>45.674</v>
      </c>
      <c r="Z756" s="141">
        <f>IFERROR(__xludf.DUMMYFUNCTION("""COMPUTED_VALUE"""),2010.0)</f>
        <v>2010</v>
      </c>
    </row>
    <row r="757">
      <c r="A757" s="41" t="str">
        <f>IFERROR(__xludf.DUMMYFUNCTION("""COMPUTED_VALUE"""),"Challenger")</f>
        <v>Challenger</v>
      </c>
      <c r="B757" s="41" t="str">
        <f>IFERROR(__xludf.DUMMYFUNCTION("""COMPUTED_VALUE"""),"RSC008426")</f>
        <v>RSC008426</v>
      </c>
      <c r="C757" s="41" t="str">
        <f>IFERROR(__xludf.DUMMYFUNCTION("""COMPUTED_VALUE"""),"Midnight")</f>
        <v>Midnight</v>
      </c>
      <c r="D757" s="41" t="str">
        <f>IFERROR(__xludf.DUMMYFUNCTION("""COMPUTED_VALUE"""),"Warbirds")</f>
        <v>Warbirds</v>
      </c>
      <c r="E757" s="136">
        <f>IFERROR(__xludf.DUMMYFUNCTION("""COMPUTED_VALUE"""),52.0)</f>
        <v>52</v>
      </c>
      <c r="F757" s="136">
        <f>IFERROR(__xludf.DUMMYFUNCTION("""COMPUTED_VALUE"""),32.0)</f>
        <v>32</v>
      </c>
      <c r="G757" s="136">
        <f>IFERROR(__xludf.DUMMYFUNCTION("""COMPUTED_VALUE"""),20.0)</f>
        <v>20</v>
      </c>
      <c r="H757" s="137">
        <f>IFERROR(__xludf.DUMMYFUNCTION("""COMPUTED_VALUE"""),0.6153846153846154)</f>
        <v>0.6153846154</v>
      </c>
      <c r="I757" s="136">
        <f>IFERROR(__xludf.DUMMYFUNCTION("""COMPUTED_VALUE"""),18.0)</f>
        <v>18</v>
      </c>
      <c r="J757" s="136">
        <f>IFERROR(__xludf.DUMMYFUNCTION("""COMPUTED_VALUE"""),22495.0)</f>
        <v>22495</v>
      </c>
      <c r="K757" s="136">
        <f>IFERROR(__xludf.DUMMYFUNCTION("""COMPUTED_VALUE"""),66.0)</f>
        <v>66</v>
      </c>
      <c r="L757" s="136">
        <f>IFERROR(__xludf.DUMMYFUNCTION("""COMPUTED_VALUE"""),27.0)</f>
        <v>27</v>
      </c>
      <c r="M757" s="136">
        <f>IFERROR(__xludf.DUMMYFUNCTION("""COMPUTED_VALUE"""),68.0)</f>
        <v>68</v>
      </c>
      <c r="N757" s="136">
        <f>IFERROR(__xludf.DUMMYFUNCTION("""COMPUTED_VALUE"""),162.0)</f>
        <v>162</v>
      </c>
      <c r="O757" s="138">
        <f>IFERROR(__xludf.DUMMYFUNCTION("""COMPUTED_VALUE"""),13.0)</f>
        <v>13</v>
      </c>
      <c r="P757" s="138">
        <f>IFERROR(__xludf.DUMMYFUNCTION("""COMPUTED_VALUE"""),5.0)</f>
        <v>5</v>
      </c>
      <c r="Q757" s="138">
        <f>IFERROR(__xludf.DUMMYFUNCTION("""COMPUTED_VALUE"""),0.0)</f>
        <v>0</v>
      </c>
      <c r="R757" s="138">
        <f>IFERROR(__xludf.DUMMYFUNCTION("""COMPUTED_VALUE"""),10.0)</f>
        <v>10</v>
      </c>
      <c r="S757" s="139">
        <f>IFERROR(__xludf.DUMMYFUNCTION("""COMPUTED_VALUE"""),368.0)</f>
        <v>368</v>
      </c>
      <c r="T757" s="140">
        <f>IFERROR(__xludf.DUMMYFUNCTION("""COMPUTED_VALUE"""),92.0)</f>
        <v>92</v>
      </c>
      <c r="U757" s="136">
        <f>IFERROR(__xludf.DUMMYFUNCTION("""COMPUTED_VALUE"""),36.0)</f>
        <v>36</v>
      </c>
      <c r="V757" s="136">
        <f>IFERROR(__xludf.DUMMYFUNCTION("""COMPUTED_VALUE"""),49.0)</f>
        <v>49</v>
      </c>
      <c r="W757" s="136">
        <f>IFERROR(__xludf.DUMMYFUNCTION("""COMPUTED_VALUE"""),41.0)</f>
        <v>41</v>
      </c>
      <c r="X757" s="136">
        <f>IFERROR(__xludf.DUMMYFUNCTION("""COMPUTED_VALUE"""),380.2307692307692)</f>
        <v>380.2307692</v>
      </c>
      <c r="Y757" s="141">
        <f>IFERROR(__xludf.DUMMYFUNCTION("""COMPUTED_VALUE"""),48.44365384615385)</f>
        <v>48.44365385</v>
      </c>
      <c r="Z757" s="141">
        <f>IFERROR(__xludf.DUMMYFUNCTION("""COMPUTED_VALUE"""),2289.4423076923076)</f>
        <v>2289.442308</v>
      </c>
    </row>
    <row r="758">
      <c r="A758" s="41" t="str">
        <f>IFERROR(__xludf.DUMMYFUNCTION("""COMPUTED_VALUE"""),"Veteran")</f>
        <v>Veteran</v>
      </c>
      <c r="B758" s="41" t="str">
        <f>IFERROR(__xludf.DUMMYFUNCTION("""COMPUTED_VALUE"""),"RSC008428")</f>
        <v>RSC008428</v>
      </c>
      <c r="C758" s="41" t="str">
        <f>IFERROR(__xludf.DUMMYFUNCTION("""COMPUTED_VALUE"""),"PG_THE3RD")</f>
        <v>PG_THE3RD</v>
      </c>
      <c r="D758" s="41" t="str">
        <f>IFERROR(__xludf.DUMMYFUNCTION("""COMPUTED_VALUE"""),"Supernova")</f>
        <v>Supernova</v>
      </c>
      <c r="E758" s="136">
        <f>IFERROR(__xludf.DUMMYFUNCTION("""COMPUTED_VALUE"""),51.0)</f>
        <v>51</v>
      </c>
      <c r="F758" s="136">
        <f>IFERROR(__xludf.DUMMYFUNCTION("""COMPUTED_VALUE"""),37.0)</f>
        <v>37</v>
      </c>
      <c r="G758" s="136">
        <f>IFERROR(__xludf.DUMMYFUNCTION("""COMPUTED_VALUE"""),14.0)</f>
        <v>14</v>
      </c>
      <c r="H758" s="137">
        <f>IFERROR(__xludf.DUMMYFUNCTION("""COMPUTED_VALUE"""),0.7254901960784313)</f>
        <v>0.7254901961</v>
      </c>
      <c r="I758" s="136">
        <f>IFERROR(__xludf.DUMMYFUNCTION("""COMPUTED_VALUE"""),22.0)</f>
        <v>22</v>
      </c>
      <c r="J758" s="136">
        <f>IFERROR(__xludf.DUMMYFUNCTION("""COMPUTED_VALUE"""),22352.0)</f>
        <v>22352</v>
      </c>
      <c r="K758" s="136">
        <f>IFERROR(__xludf.DUMMYFUNCTION("""COMPUTED_VALUE"""),64.0)</f>
        <v>64</v>
      </c>
      <c r="L758" s="136">
        <f>IFERROR(__xludf.DUMMYFUNCTION("""COMPUTED_VALUE"""),42.0)</f>
        <v>42</v>
      </c>
      <c r="M758" s="136">
        <f>IFERROR(__xludf.DUMMYFUNCTION("""COMPUTED_VALUE"""),68.0)</f>
        <v>68</v>
      </c>
      <c r="N758" s="136">
        <f>IFERROR(__xludf.DUMMYFUNCTION("""COMPUTED_VALUE"""),198.0)</f>
        <v>198</v>
      </c>
      <c r="O758" s="138">
        <f>IFERROR(__xludf.DUMMYFUNCTION("""COMPUTED_VALUE"""),17.0)</f>
        <v>17</v>
      </c>
      <c r="P758" s="138">
        <f>IFERROR(__xludf.DUMMYFUNCTION("""COMPUTED_VALUE"""),6.0)</f>
        <v>6</v>
      </c>
      <c r="Q758" s="138">
        <f>IFERROR(__xludf.DUMMYFUNCTION("""COMPUTED_VALUE"""),2.0)</f>
        <v>2</v>
      </c>
      <c r="R758" s="138">
        <f>IFERROR(__xludf.DUMMYFUNCTION("""COMPUTED_VALUE"""),8.0)</f>
        <v>8</v>
      </c>
      <c r="S758" s="139">
        <f>IFERROR(__xludf.DUMMYFUNCTION("""COMPUTED_VALUE"""),343.0)</f>
        <v>343</v>
      </c>
      <c r="T758" s="140">
        <f>IFERROR(__xludf.DUMMYFUNCTION("""COMPUTED_VALUE"""),84.0)</f>
        <v>84</v>
      </c>
      <c r="U758" s="136">
        <f>IFERROR(__xludf.DUMMYFUNCTION("""COMPUTED_VALUE"""),41.0)</f>
        <v>41</v>
      </c>
      <c r="V758" s="136">
        <f>IFERROR(__xludf.DUMMYFUNCTION("""COMPUTED_VALUE"""),43.0)</f>
        <v>43</v>
      </c>
      <c r="W758" s="136">
        <f>IFERROR(__xludf.DUMMYFUNCTION("""COMPUTED_VALUE"""),52.0)</f>
        <v>52</v>
      </c>
      <c r="X758" s="136">
        <f>IFERROR(__xludf.DUMMYFUNCTION("""COMPUTED_VALUE"""),351.9019607843137)</f>
        <v>351.9019608</v>
      </c>
      <c r="Y758" s="141">
        <f>IFERROR(__xludf.DUMMYFUNCTION("""COMPUTED_VALUE"""),52.777843137254884)</f>
        <v>52.77784314</v>
      </c>
      <c r="Z758" s="141">
        <f>IFERROR(__xludf.DUMMYFUNCTION("""COMPUTED_VALUE"""),2055.823529411765)</f>
        <v>2055.823529</v>
      </c>
    </row>
    <row r="759">
      <c r="A759" s="41" t="str">
        <f>IFERROR(__xludf.DUMMYFUNCTION("""COMPUTED_VALUE"""),"Prospect")</f>
        <v>Prospect</v>
      </c>
      <c r="B759" s="41" t="str">
        <f>IFERROR(__xludf.DUMMYFUNCTION("""COMPUTED_VALUE"""),"RSC008431")</f>
        <v>RSC008431</v>
      </c>
      <c r="C759" s="41" t="str">
        <f>IFERROR(__xludf.DUMMYFUNCTION("""COMPUTED_VALUE"""),"Wildragon112")</f>
        <v>Wildragon112</v>
      </c>
      <c r="D759" s="41" t="str">
        <f>IFERROR(__xludf.DUMMYFUNCTION("""COMPUTED_VALUE"""),"Turbulence")</f>
        <v>Turbulence</v>
      </c>
      <c r="E759" s="136">
        <f>IFERROR(__xludf.DUMMYFUNCTION("""COMPUTED_VALUE"""),50.0)</f>
        <v>50</v>
      </c>
      <c r="F759" s="136">
        <f>IFERROR(__xludf.DUMMYFUNCTION("""COMPUTED_VALUE"""),34.0)</f>
        <v>34</v>
      </c>
      <c r="G759" s="136">
        <f>IFERROR(__xludf.DUMMYFUNCTION("""COMPUTED_VALUE"""),16.0)</f>
        <v>16</v>
      </c>
      <c r="H759" s="137">
        <f>IFERROR(__xludf.DUMMYFUNCTION("""COMPUTED_VALUE"""),0.68)</f>
        <v>0.68</v>
      </c>
      <c r="I759" s="136">
        <f>IFERROR(__xludf.DUMMYFUNCTION("""COMPUTED_VALUE"""),13.0)</f>
        <v>13</v>
      </c>
      <c r="J759" s="136">
        <f>IFERROR(__xludf.DUMMYFUNCTION("""COMPUTED_VALUE"""),19213.0)</f>
        <v>19213</v>
      </c>
      <c r="K759" s="136">
        <f>IFERROR(__xludf.DUMMYFUNCTION("""COMPUTED_VALUE"""),46.0)</f>
        <v>46</v>
      </c>
      <c r="L759" s="136">
        <f>IFERROR(__xludf.DUMMYFUNCTION("""COMPUTED_VALUE"""),24.0)</f>
        <v>24</v>
      </c>
      <c r="M759" s="136">
        <f>IFERROR(__xludf.DUMMYFUNCTION("""COMPUTED_VALUE"""),79.0)</f>
        <v>79</v>
      </c>
      <c r="N759" s="136">
        <f>IFERROR(__xludf.DUMMYFUNCTION("""COMPUTED_VALUE"""),133.0)</f>
        <v>133</v>
      </c>
      <c r="O759" s="138">
        <f>IFERROR(__xludf.DUMMYFUNCTION("""COMPUTED_VALUE"""),7.0)</f>
        <v>7</v>
      </c>
      <c r="P759" s="138">
        <f>IFERROR(__xludf.DUMMYFUNCTION("""COMPUTED_VALUE"""),4.0)</f>
        <v>4</v>
      </c>
      <c r="Q759" s="138">
        <f>IFERROR(__xludf.DUMMYFUNCTION("""COMPUTED_VALUE"""),1.0)</f>
        <v>1</v>
      </c>
      <c r="R759" s="138">
        <f>IFERROR(__xludf.DUMMYFUNCTION("""COMPUTED_VALUE"""),11.0)</f>
        <v>11</v>
      </c>
      <c r="S759" s="139">
        <f>IFERROR(__xludf.DUMMYFUNCTION("""COMPUTED_VALUE"""),347.0)</f>
        <v>347</v>
      </c>
      <c r="T759" s="140">
        <f>IFERROR(__xludf.DUMMYFUNCTION("""COMPUTED_VALUE"""),91.0)</f>
        <v>91</v>
      </c>
      <c r="U759" s="136">
        <f>IFERROR(__xludf.DUMMYFUNCTION("""COMPUTED_VALUE"""),37.0)</f>
        <v>37</v>
      </c>
      <c r="V759" s="136">
        <f>IFERROR(__xludf.DUMMYFUNCTION("""COMPUTED_VALUE"""),35.0)</f>
        <v>35</v>
      </c>
      <c r="W759" s="136">
        <f>IFERROR(__xludf.DUMMYFUNCTION("""COMPUTED_VALUE"""),48.0)</f>
        <v>48</v>
      </c>
      <c r="X759" s="136">
        <f>IFERROR(__xludf.DUMMYFUNCTION("""COMPUTED_VALUE"""),318.94)</f>
        <v>318.94</v>
      </c>
      <c r="Y759" s="141">
        <f>IFERROR(__xludf.DUMMYFUNCTION("""COMPUTED_VALUE"""),50.71159999999999)</f>
        <v>50.7116</v>
      </c>
      <c r="Z759" s="141">
        <f>IFERROR(__xludf.DUMMYFUNCTION("""COMPUTED_VALUE"""),2014.62)</f>
        <v>2014.62</v>
      </c>
    </row>
    <row r="760">
      <c r="A760" s="41" t="str">
        <f>IFERROR(__xludf.DUMMYFUNCTION("""COMPUTED_VALUE"""),"Veteran")</f>
        <v>Veteran</v>
      </c>
      <c r="B760" s="41" t="str">
        <f>IFERROR(__xludf.DUMMYFUNCTION("""COMPUTED_VALUE"""),"RSC008432")</f>
        <v>RSC008432</v>
      </c>
      <c r="C760" s="41" t="str">
        <f>IFERROR(__xludf.DUMMYFUNCTION("""COMPUTED_VALUE"""),"Doinkers.")</f>
        <v>Doinkers.</v>
      </c>
      <c r="D760" s="41" t="str">
        <f>IFERROR(__xludf.DUMMYFUNCTION("""COMPUTED_VALUE"""),"Giraffes")</f>
        <v>Giraffes</v>
      </c>
      <c r="E760" s="136">
        <f>IFERROR(__xludf.DUMMYFUNCTION("""COMPUTED_VALUE"""),33.0)</f>
        <v>33</v>
      </c>
      <c r="F760" s="136">
        <f>IFERROR(__xludf.DUMMYFUNCTION("""COMPUTED_VALUE"""),17.0)</f>
        <v>17</v>
      </c>
      <c r="G760" s="136">
        <f>IFERROR(__xludf.DUMMYFUNCTION("""COMPUTED_VALUE"""),16.0)</f>
        <v>16</v>
      </c>
      <c r="H760" s="137">
        <f>IFERROR(__xludf.DUMMYFUNCTION("""COMPUTED_VALUE"""),0.5151515151515151)</f>
        <v>0.5151515152</v>
      </c>
      <c r="I760" s="136">
        <f>IFERROR(__xludf.DUMMYFUNCTION("""COMPUTED_VALUE"""),7.0)</f>
        <v>7</v>
      </c>
      <c r="J760" s="136">
        <f>IFERROR(__xludf.DUMMYFUNCTION("""COMPUTED_VALUE"""),12984.0)</f>
        <v>12984</v>
      </c>
      <c r="K760" s="136">
        <f>IFERROR(__xludf.DUMMYFUNCTION("""COMPUTED_VALUE"""),31.0)</f>
        <v>31</v>
      </c>
      <c r="L760" s="136">
        <f>IFERROR(__xludf.DUMMYFUNCTION("""COMPUTED_VALUE"""),26.0)</f>
        <v>26</v>
      </c>
      <c r="M760" s="136">
        <f>IFERROR(__xludf.DUMMYFUNCTION("""COMPUTED_VALUE"""),51.0)</f>
        <v>51</v>
      </c>
      <c r="N760" s="136">
        <f>IFERROR(__xludf.DUMMYFUNCTION("""COMPUTED_VALUE"""),84.0)</f>
        <v>84</v>
      </c>
      <c r="O760" s="138">
        <f>IFERROR(__xludf.DUMMYFUNCTION("""COMPUTED_VALUE"""),8.0)</f>
        <v>8</v>
      </c>
      <c r="P760" s="138">
        <f>IFERROR(__xludf.DUMMYFUNCTION("""COMPUTED_VALUE"""),2.0)</f>
        <v>2</v>
      </c>
      <c r="Q760" s="138">
        <f>IFERROR(__xludf.DUMMYFUNCTION("""COMPUTED_VALUE"""),1.0)</f>
        <v>1</v>
      </c>
      <c r="R760" s="138">
        <f>IFERROR(__xludf.DUMMYFUNCTION("""COMPUTED_VALUE"""),7.0)</f>
        <v>7</v>
      </c>
      <c r="S760" s="139">
        <f>IFERROR(__xludf.DUMMYFUNCTION("""COMPUTED_VALUE"""),276.0)</f>
        <v>276</v>
      </c>
      <c r="T760" s="140">
        <f>IFERROR(__xludf.DUMMYFUNCTION("""COMPUTED_VALUE"""),83.0)</f>
        <v>83</v>
      </c>
      <c r="U760" s="136">
        <f>IFERROR(__xludf.DUMMYFUNCTION("""COMPUTED_VALUE"""),28.0)</f>
        <v>28</v>
      </c>
      <c r="V760" s="136">
        <f>IFERROR(__xludf.DUMMYFUNCTION("""COMPUTED_VALUE"""),41.0)</f>
        <v>41</v>
      </c>
      <c r="W760" s="136">
        <f>IFERROR(__xludf.DUMMYFUNCTION("""COMPUTED_VALUE"""),21.0)</f>
        <v>21</v>
      </c>
      <c r="X760" s="136">
        <f>IFERROR(__xludf.DUMMYFUNCTION("""COMPUTED_VALUE"""),370.90909090909093)</f>
        <v>370.9090909</v>
      </c>
      <c r="Y760" s="141">
        <f>IFERROR(__xludf.DUMMYFUNCTION("""COMPUTED_VALUE"""),45.832121212121216)</f>
        <v>45.83212121</v>
      </c>
      <c r="Z760" s="141">
        <f>IFERROR(__xludf.DUMMYFUNCTION("""COMPUTED_VALUE"""),2153.3636363636365)</f>
        <v>2153.363636</v>
      </c>
    </row>
    <row r="761">
      <c r="A761" s="41" t="str">
        <f>IFERROR(__xludf.DUMMYFUNCTION("""COMPUTED_VALUE"""),"Veteran")</f>
        <v>Veteran</v>
      </c>
      <c r="B761" s="41" t="str">
        <f>IFERROR(__xludf.DUMMYFUNCTION("""COMPUTED_VALUE"""),"RSC008433")</f>
        <v>RSC008433</v>
      </c>
      <c r="C761" s="41" t="str">
        <f>IFERROR(__xludf.DUMMYFUNCTION("""COMPUTED_VALUE"""),"Headshotn")</f>
        <v>Headshotn</v>
      </c>
      <c r="D761" s="41" t="str">
        <f>IFERROR(__xludf.DUMMYFUNCTION("""COMPUTED_VALUE"""),"Shadow Tails
Dread")</f>
        <v>Shadow Tails
Dread</v>
      </c>
      <c r="E761" s="136">
        <f>IFERROR(__xludf.DUMMYFUNCTION("""COMPUTED_VALUE"""),40.0)</f>
        <v>40</v>
      </c>
      <c r="F761" s="136">
        <f>IFERROR(__xludf.DUMMYFUNCTION("""COMPUTED_VALUE"""),27.0)</f>
        <v>27</v>
      </c>
      <c r="G761" s="136">
        <f>IFERROR(__xludf.DUMMYFUNCTION("""COMPUTED_VALUE"""),13.0)</f>
        <v>13</v>
      </c>
      <c r="H761" s="137">
        <f>IFERROR(__xludf.DUMMYFUNCTION("""COMPUTED_VALUE"""),0.675)</f>
        <v>0.675</v>
      </c>
      <c r="I761" s="136">
        <f>IFERROR(__xludf.DUMMYFUNCTION("""COMPUTED_VALUE"""),9.0)</f>
        <v>9</v>
      </c>
      <c r="J761" s="136">
        <f>IFERROR(__xludf.DUMMYFUNCTION("""COMPUTED_VALUE"""),16296.0)</f>
        <v>16296</v>
      </c>
      <c r="K761" s="136">
        <f>IFERROR(__xludf.DUMMYFUNCTION("""COMPUTED_VALUE"""),36.0)</f>
        <v>36</v>
      </c>
      <c r="L761" s="136">
        <f>IFERROR(__xludf.DUMMYFUNCTION("""COMPUTED_VALUE"""),27.0)</f>
        <v>27</v>
      </c>
      <c r="M761" s="136">
        <f>IFERROR(__xludf.DUMMYFUNCTION("""COMPUTED_VALUE"""),73.0)</f>
        <v>73</v>
      </c>
      <c r="N761" s="136">
        <f>IFERROR(__xludf.DUMMYFUNCTION("""COMPUTED_VALUE"""),104.0)</f>
        <v>104</v>
      </c>
      <c r="O761" s="138">
        <f>IFERROR(__xludf.DUMMYFUNCTION("""COMPUTED_VALUE"""),7.0)</f>
        <v>7</v>
      </c>
      <c r="P761" s="138">
        <f>IFERROR(__xludf.DUMMYFUNCTION("""COMPUTED_VALUE"""),4.0)</f>
        <v>4</v>
      </c>
      <c r="Q761" s="138">
        <f>IFERROR(__xludf.DUMMYFUNCTION("""COMPUTED_VALUE"""),2.0)</f>
        <v>2</v>
      </c>
      <c r="R761" s="138">
        <f>IFERROR(__xludf.DUMMYFUNCTION("""COMPUTED_VALUE"""),12.0)</f>
        <v>12</v>
      </c>
      <c r="S761" s="139">
        <f>IFERROR(__xludf.DUMMYFUNCTION("""COMPUTED_VALUE"""),324.0)</f>
        <v>324</v>
      </c>
      <c r="T761" s="140">
        <f>IFERROR(__xludf.DUMMYFUNCTION("""COMPUTED_VALUE"""),74.0)</f>
        <v>74</v>
      </c>
      <c r="U761" s="136">
        <f>IFERROR(__xludf.DUMMYFUNCTION("""COMPUTED_VALUE"""),23.0)</f>
        <v>23</v>
      </c>
      <c r="V761" s="136">
        <f>IFERROR(__xludf.DUMMYFUNCTION("""COMPUTED_VALUE"""),33.0)</f>
        <v>33</v>
      </c>
      <c r="W761" s="136">
        <f>IFERROR(__xludf.DUMMYFUNCTION("""COMPUTED_VALUE"""),45.0)</f>
        <v>45</v>
      </c>
      <c r="X761" s="136">
        <f>IFERROR(__xludf.DUMMYFUNCTION("""COMPUTED_VALUE"""),346.7)</f>
        <v>346.7</v>
      </c>
      <c r="Y761" s="141">
        <f>IFERROR(__xludf.DUMMYFUNCTION("""COMPUTED_VALUE"""),55.879499999999986)</f>
        <v>55.8795</v>
      </c>
      <c r="Z761" s="141">
        <f>IFERROR(__xludf.DUMMYFUNCTION("""COMPUTED_VALUE"""),2208.95)</f>
        <v>2208.95</v>
      </c>
    </row>
    <row r="762">
      <c r="A762" s="41" t="str">
        <f>IFERROR(__xludf.DUMMYFUNCTION("""COMPUTED_VALUE"""),"Prospect")</f>
        <v>Prospect</v>
      </c>
      <c r="B762" s="41" t="str">
        <f>IFERROR(__xludf.DUMMYFUNCTION("""COMPUTED_VALUE"""),"RSC008435")</f>
        <v>RSC008435</v>
      </c>
      <c r="C762" s="41" t="str">
        <f>IFERROR(__xludf.DUMMYFUNCTION("""COMPUTED_VALUE"""),"ReformedMike")</f>
        <v>ReformedMike</v>
      </c>
      <c r="D762" s="41" t="str">
        <f>IFERROR(__xludf.DUMMYFUNCTION("""COMPUTED_VALUE"""),"Skeletons")</f>
        <v>Skeletons</v>
      </c>
      <c r="E762" s="136">
        <f>IFERROR(__xludf.DUMMYFUNCTION("""COMPUTED_VALUE"""),14.0)</f>
        <v>14</v>
      </c>
      <c r="F762" s="136">
        <f>IFERROR(__xludf.DUMMYFUNCTION("""COMPUTED_VALUE"""),6.0)</f>
        <v>6</v>
      </c>
      <c r="G762" s="136">
        <f>IFERROR(__xludf.DUMMYFUNCTION("""COMPUTED_VALUE"""),8.0)</f>
        <v>8</v>
      </c>
      <c r="H762" s="137">
        <f>IFERROR(__xludf.DUMMYFUNCTION("""COMPUTED_VALUE"""),0.42857142857142855)</f>
        <v>0.4285714286</v>
      </c>
      <c r="I762" s="136">
        <f>IFERROR(__xludf.DUMMYFUNCTION("""COMPUTED_VALUE"""),2.0)</f>
        <v>2</v>
      </c>
      <c r="J762" s="136">
        <f>IFERROR(__xludf.DUMMYFUNCTION("""COMPUTED_VALUE"""),3991.0)</f>
        <v>3991</v>
      </c>
      <c r="K762" s="136">
        <f>IFERROR(__xludf.DUMMYFUNCTION("""COMPUTED_VALUE"""),7.0)</f>
        <v>7</v>
      </c>
      <c r="L762" s="136">
        <f>IFERROR(__xludf.DUMMYFUNCTION("""COMPUTED_VALUE"""),5.0)</f>
        <v>5</v>
      </c>
      <c r="M762" s="136">
        <f>IFERROR(__xludf.DUMMYFUNCTION("""COMPUTED_VALUE"""),21.0)</f>
        <v>21</v>
      </c>
      <c r="N762" s="136">
        <f>IFERROR(__xludf.DUMMYFUNCTION("""COMPUTED_VALUE"""),18.0)</f>
        <v>18</v>
      </c>
      <c r="O762" s="138">
        <f>IFERROR(__xludf.DUMMYFUNCTION("""COMPUTED_VALUE"""),1.0)</f>
        <v>1</v>
      </c>
      <c r="P762" s="138">
        <f>IFERROR(__xludf.DUMMYFUNCTION("""COMPUTED_VALUE"""),0.0)</f>
        <v>0</v>
      </c>
      <c r="Q762" s="138">
        <f>IFERROR(__xludf.DUMMYFUNCTION("""COMPUTED_VALUE"""),0.0)</f>
        <v>0</v>
      </c>
      <c r="R762" s="138">
        <f>IFERROR(__xludf.DUMMYFUNCTION("""COMPUTED_VALUE"""),2.0)</f>
        <v>2</v>
      </c>
      <c r="S762" s="139">
        <f>IFERROR(__xludf.DUMMYFUNCTION("""COMPUTED_VALUE"""),117.0)</f>
        <v>117</v>
      </c>
      <c r="T762" s="140">
        <f>IFERROR(__xludf.DUMMYFUNCTION("""COMPUTED_VALUE"""),40.0)</f>
        <v>40</v>
      </c>
      <c r="U762" s="136">
        <f>IFERROR(__xludf.DUMMYFUNCTION("""COMPUTED_VALUE"""),18.0)</f>
        <v>18</v>
      </c>
      <c r="V762" s="136">
        <f>IFERROR(__xludf.DUMMYFUNCTION("""COMPUTED_VALUE"""),8.0)</f>
        <v>8</v>
      </c>
      <c r="W762" s="136">
        <f>IFERROR(__xludf.DUMMYFUNCTION("""COMPUTED_VALUE"""),18.0)</f>
        <v>18</v>
      </c>
      <c r="X762" s="136">
        <f>IFERROR(__xludf.DUMMYFUNCTION("""COMPUTED_VALUE"""),263.7142857142857)</f>
        <v>263.7142857</v>
      </c>
      <c r="Y762" s="141">
        <f>IFERROR(__xludf.DUMMYFUNCTION("""COMPUTED_VALUE"""),51.478571428571435)</f>
        <v>51.47857143</v>
      </c>
      <c r="Z762" s="141">
        <f>IFERROR(__xludf.DUMMYFUNCTION("""COMPUTED_VALUE"""),1733.642857142857)</f>
        <v>1733.642857</v>
      </c>
    </row>
    <row r="763">
      <c r="A763" s="41" t="str">
        <f>IFERROR(__xludf.DUMMYFUNCTION("""COMPUTED_VALUE"""),"Rival")</f>
        <v>Rival</v>
      </c>
      <c r="B763" s="41" t="str">
        <f>IFERROR(__xludf.DUMMYFUNCTION("""COMPUTED_VALUE"""),"RSC008440")</f>
        <v>RSC008440</v>
      </c>
      <c r="C763" s="41" t="str">
        <f>IFERROR(__xludf.DUMMYFUNCTION("""COMPUTED_VALUE"""),"Keriel_Cereal")</f>
        <v>Keriel_Cereal</v>
      </c>
      <c r="D763" s="41" t="str">
        <f>IFERROR(__xludf.DUMMYFUNCTION("""COMPUTED_VALUE"""),"Hippos")</f>
        <v>Hippos</v>
      </c>
      <c r="E763" s="136">
        <f>IFERROR(__xludf.DUMMYFUNCTION("""COMPUTED_VALUE"""),56.0)</f>
        <v>56</v>
      </c>
      <c r="F763" s="136">
        <f>IFERROR(__xludf.DUMMYFUNCTION("""COMPUTED_VALUE"""),40.0)</f>
        <v>40</v>
      </c>
      <c r="G763" s="136">
        <f>IFERROR(__xludf.DUMMYFUNCTION("""COMPUTED_VALUE"""),16.0)</f>
        <v>16</v>
      </c>
      <c r="H763" s="137">
        <f>IFERROR(__xludf.DUMMYFUNCTION("""COMPUTED_VALUE"""),0.7142857142857143)</f>
        <v>0.7142857143</v>
      </c>
      <c r="I763" s="136">
        <f>IFERROR(__xludf.DUMMYFUNCTION("""COMPUTED_VALUE"""),23.0)</f>
        <v>23</v>
      </c>
      <c r="J763" s="136">
        <f>IFERROR(__xludf.DUMMYFUNCTION("""COMPUTED_VALUE"""),23778.0)</f>
        <v>23778</v>
      </c>
      <c r="K763" s="136">
        <f>IFERROR(__xludf.DUMMYFUNCTION("""COMPUTED_VALUE"""),56.0)</f>
        <v>56</v>
      </c>
      <c r="L763" s="136">
        <f>IFERROR(__xludf.DUMMYFUNCTION("""COMPUTED_VALUE"""),39.0)</f>
        <v>39</v>
      </c>
      <c r="M763" s="136">
        <f>IFERROR(__xludf.DUMMYFUNCTION("""COMPUTED_VALUE"""),87.0)</f>
        <v>87</v>
      </c>
      <c r="N763" s="136">
        <f>IFERROR(__xludf.DUMMYFUNCTION("""COMPUTED_VALUE"""),179.0)</f>
        <v>179</v>
      </c>
      <c r="O763" s="138">
        <f>IFERROR(__xludf.DUMMYFUNCTION("""COMPUTED_VALUE"""),15.0)</f>
        <v>15</v>
      </c>
      <c r="P763" s="138">
        <f>IFERROR(__xludf.DUMMYFUNCTION("""COMPUTED_VALUE"""),4.0)</f>
        <v>4</v>
      </c>
      <c r="Q763" s="138">
        <f>IFERROR(__xludf.DUMMYFUNCTION("""COMPUTED_VALUE"""),3.0)</f>
        <v>3</v>
      </c>
      <c r="R763" s="138">
        <f>IFERROR(__xludf.DUMMYFUNCTION("""COMPUTED_VALUE"""),12.0)</f>
        <v>12</v>
      </c>
      <c r="S763" s="139">
        <f>IFERROR(__xludf.DUMMYFUNCTION("""COMPUTED_VALUE"""),369.0)</f>
        <v>369</v>
      </c>
      <c r="T763" s="140">
        <f>IFERROR(__xludf.DUMMYFUNCTION("""COMPUTED_VALUE"""),102.0)</f>
        <v>102</v>
      </c>
      <c r="U763" s="136">
        <f>IFERROR(__xludf.DUMMYFUNCTION("""COMPUTED_VALUE"""),33.0)</f>
        <v>33</v>
      </c>
      <c r="V763" s="136">
        <f>IFERROR(__xludf.DUMMYFUNCTION("""COMPUTED_VALUE"""),47.0)</f>
        <v>47</v>
      </c>
      <c r="W763" s="136">
        <f>IFERROR(__xludf.DUMMYFUNCTION("""COMPUTED_VALUE"""),47.0)</f>
        <v>47</v>
      </c>
      <c r="X763" s="136">
        <f>IFERROR(__xludf.DUMMYFUNCTION("""COMPUTED_VALUE"""),399.17857142857144)</f>
        <v>399.1785714</v>
      </c>
      <c r="Y763" s="141">
        <f>IFERROR(__xludf.DUMMYFUNCTION("""COMPUTED_VALUE"""),53.24482142857143)</f>
        <v>53.24482143</v>
      </c>
      <c r="Z763" s="141">
        <f>IFERROR(__xludf.DUMMYFUNCTION("""COMPUTED_VALUE"""),2439.7678571428573)</f>
        <v>2439.767857</v>
      </c>
    </row>
    <row r="764">
      <c r="A764" s="41" t="str">
        <f>IFERROR(__xludf.DUMMYFUNCTION("""COMPUTED_VALUE"""),"Amateur")</f>
        <v>Amateur</v>
      </c>
      <c r="B764" s="41" t="str">
        <f>IFERROR(__xludf.DUMMYFUNCTION("""COMPUTED_VALUE"""),"RSC008441")</f>
        <v>RSC008441</v>
      </c>
      <c r="C764" s="41" t="str">
        <f>IFERROR(__xludf.DUMMYFUNCTION("""COMPUTED_VALUE"""),"Izumi._._.")</f>
        <v>Izumi._._.</v>
      </c>
      <c r="D764" s="41" t="str">
        <f>IFERROR(__xludf.DUMMYFUNCTION("""COMPUTED_VALUE"""),"HR Violation")</f>
        <v>HR Violation</v>
      </c>
      <c r="E764" s="136">
        <f>IFERROR(__xludf.DUMMYFUNCTION("""COMPUTED_VALUE"""),56.0)</f>
        <v>56</v>
      </c>
      <c r="F764" s="136">
        <f>IFERROR(__xludf.DUMMYFUNCTION("""COMPUTED_VALUE"""),27.0)</f>
        <v>27</v>
      </c>
      <c r="G764" s="136">
        <f>IFERROR(__xludf.DUMMYFUNCTION("""COMPUTED_VALUE"""),29.0)</f>
        <v>29</v>
      </c>
      <c r="H764" s="137">
        <f>IFERROR(__xludf.DUMMYFUNCTION("""COMPUTED_VALUE"""),0.48214285714285715)</f>
        <v>0.4821428571</v>
      </c>
      <c r="I764" s="136">
        <f>IFERROR(__xludf.DUMMYFUNCTION("""COMPUTED_VALUE"""),13.0)</f>
        <v>13</v>
      </c>
      <c r="J764" s="136">
        <f>IFERROR(__xludf.DUMMYFUNCTION("""COMPUTED_VALUE"""),19855.0)</f>
        <v>19855</v>
      </c>
      <c r="K764" s="136">
        <f>IFERROR(__xludf.DUMMYFUNCTION("""COMPUTED_VALUE"""),52.0)</f>
        <v>52</v>
      </c>
      <c r="L764" s="136">
        <f>IFERROR(__xludf.DUMMYFUNCTION("""COMPUTED_VALUE"""),25.0)</f>
        <v>25</v>
      </c>
      <c r="M764" s="136">
        <f>IFERROR(__xludf.DUMMYFUNCTION("""COMPUTED_VALUE"""),71.0)</f>
        <v>71</v>
      </c>
      <c r="N764" s="136">
        <f>IFERROR(__xludf.DUMMYFUNCTION("""COMPUTED_VALUE"""),146.0)</f>
        <v>146</v>
      </c>
      <c r="O764" s="138">
        <f>IFERROR(__xludf.DUMMYFUNCTION("""COMPUTED_VALUE"""),7.0)</f>
        <v>7</v>
      </c>
      <c r="P764" s="138">
        <f>IFERROR(__xludf.DUMMYFUNCTION("""COMPUTED_VALUE"""),0.0)</f>
        <v>0</v>
      </c>
      <c r="Q764" s="138">
        <f>IFERROR(__xludf.DUMMYFUNCTION("""COMPUTED_VALUE"""),0.0)</f>
        <v>0</v>
      </c>
      <c r="R764" s="138">
        <f>IFERROR(__xludf.DUMMYFUNCTION("""COMPUTED_VALUE"""),9.0)</f>
        <v>9</v>
      </c>
      <c r="S764" s="139">
        <f>IFERROR(__xludf.DUMMYFUNCTION("""COMPUTED_VALUE"""),371.0)</f>
        <v>371</v>
      </c>
      <c r="T764" s="140">
        <f>IFERROR(__xludf.DUMMYFUNCTION("""COMPUTED_VALUE"""),123.0)</f>
        <v>123</v>
      </c>
      <c r="U764" s="136">
        <f>IFERROR(__xludf.DUMMYFUNCTION("""COMPUTED_VALUE"""),38.0)</f>
        <v>38</v>
      </c>
      <c r="V764" s="136">
        <f>IFERROR(__xludf.DUMMYFUNCTION("""COMPUTED_VALUE"""),17.0)</f>
        <v>17</v>
      </c>
      <c r="W764" s="136">
        <f>IFERROR(__xludf.DUMMYFUNCTION("""COMPUTED_VALUE"""),42.0)</f>
        <v>42</v>
      </c>
      <c r="X764" s="139">
        <f>IFERROR(__xludf.DUMMYFUNCTION("""COMPUTED_VALUE"""),255.26785714285714)</f>
        <v>255.2678571</v>
      </c>
      <c r="Y764" s="141">
        <f>IFERROR(__xludf.DUMMYFUNCTION("""COMPUTED_VALUE"""),52.02714285714287)</f>
        <v>52.02714286</v>
      </c>
      <c r="Z764" s="141">
        <f>IFERROR(__xludf.DUMMYFUNCTION("""COMPUTED_VALUE"""),1463.5)</f>
        <v>1463.5</v>
      </c>
    </row>
    <row r="765">
      <c r="A765" s="41" t="str">
        <f>IFERROR(__xludf.DUMMYFUNCTION("""COMPUTED_VALUE"""),"Rival")</f>
        <v>Rival</v>
      </c>
      <c r="B765" s="41" t="str">
        <f>IFERROR(__xludf.DUMMYFUNCTION("""COMPUTED_VALUE"""),"RSC008442")</f>
        <v>RSC008442</v>
      </c>
      <c r="C765" s="41" t="str">
        <f>IFERROR(__xludf.DUMMYFUNCTION("""COMPUTED_VALUE"""),"Billionninja")</f>
        <v>Billionninja</v>
      </c>
      <c r="D765" s="41" t="str">
        <f>IFERROR(__xludf.DUMMYFUNCTION("""COMPUTED_VALUE"""),"Ocelots")</f>
        <v>Ocelots</v>
      </c>
      <c r="E765" s="136">
        <f>IFERROR(__xludf.DUMMYFUNCTION("""COMPUTED_VALUE"""),36.0)</f>
        <v>36</v>
      </c>
      <c r="F765" s="136">
        <f>IFERROR(__xludf.DUMMYFUNCTION("""COMPUTED_VALUE"""),13.0)</f>
        <v>13</v>
      </c>
      <c r="G765" s="136">
        <f>IFERROR(__xludf.DUMMYFUNCTION("""COMPUTED_VALUE"""),23.0)</f>
        <v>23</v>
      </c>
      <c r="H765" s="137">
        <f>IFERROR(__xludf.DUMMYFUNCTION("""COMPUTED_VALUE"""),0.3611111111111111)</f>
        <v>0.3611111111</v>
      </c>
      <c r="I765" s="136">
        <f>IFERROR(__xludf.DUMMYFUNCTION("""COMPUTED_VALUE"""),5.0)</f>
        <v>5</v>
      </c>
      <c r="J765" s="136">
        <f>IFERROR(__xludf.DUMMYFUNCTION("""COMPUTED_VALUE"""),12382.0)</f>
        <v>12382</v>
      </c>
      <c r="K765" s="136">
        <f>IFERROR(__xludf.DUMMYFUNCTION("""COMPUTED_VALUE"""),25.0)</f>
        <v>25</v>
      </c>
      <c r="L765" s="136">
        <f>IFERROR(__xludf.DUMMYFUNCTION("""COMPUTED_VALUE"""),16.0)</f>
        <v>16</v>
      </c>
      <c r="M765" s="136">
        <f>IFERROR(__xludf.DUMMYFUNCTION("""COMPUTED_VALUE"""),52.0)</f>
        <v>52</v>
      </c>
      <c r="N765" s="136">
        <f>IFERROR(__xludf.DUMMYFUNCTION("""COMPUTED_VALUE"""),89.0)</f>
        <v>89</v>
      </c>
      <c r="O765" s="138">
        <f>IFERROR(__xludf.DUMMYFUNCTION("""COMPUTED_VALUE"""),7.0)</f>
        <v>7</v>
      </c>
      <c r="P765" s="138">
        <f>IFERROR(__xludf.DUMMYFUNCTION("""COMPUTED_VALUE"""),0.0)</f>
        <v>0</v>
      </c>
      <c r="Q765" s="138">
        <f>IFERROR(__xludf.DUMMYFUNCTION("""COMPUTED_VALUE"""),0.0)</f>
        <v>0</v>
      </c>
      <c r="R765" s="138">
        <f>IFERROR(__xludf.DUMMYFUNCTION("""COMPUTED_VALUE"""),6.0)</f>
        <v>6</v>
      </c>
      <c r="S765" s="139">
        <f>IFERROR(__xludf.DUMMYFUNCTION("""COMPUTED_VALUE"""),302.0)</f>
        <v>302</v>
      </c>
      <c r="T765" s="140">
        <f>IFERROR(__xludf.DUMMYFUNCTION("""COMPUTED_VALUE"""),97.0)</f>
        <v>97</v>
      </c>
      <c r="U765" s="136">
        <f>IFERROR(__xludf.DUMMYFUNCTION("""COMPUTED_VALUE"""),35.0)</f>
        <v>35</v>
      </c>
      <c r="V765" s="136">
        <f>IFERROR(__xludf.DUMMYFUNCTION("""COMPUTED_VALUE"""),12.0)</f>
        <v>12</v>
      </c>
      <c r="W765" s="136">
        <f>IFERROR(__xludf.DUMMYFUNCTION("""COMPUTED_VALUE"""),40.0)</f>
        <v>40</v>
      </c>
      <c r="X765" s="136">
        <f>IFERROR(__xludf.DUMMYFUNCTION("""COMPUTED_VALUE"""),367.44444444444446)</f>
        <v>367.4444444</v>
      </c>
      <c r="Y765" s="141">
        <f>IFERROR(__xludf.DUMMYFUNCTION("""COMPUTED_VALUE"""),41.04472222222223)</f>
        <v>41.04472222</v>
      </c>
      <c r="Z765" s="141">
        <f>IFERROR(__xludf.DUMMYFUNCTION("""COMPUTED_VALUE"""),2068.777777777778)</f>
        <v>2068.777778</v>
      </c>
    </row>
    <row r="766">
      <c r="A766" s="41" t="str">
        <f>IFERROR(__xludf.DUMMYFUNCTION("""COMPUTED_VALUE"""),"Rival")</f>
        <v>Rival</v>
      </c>
      <c r="B766" s="41" t="str">
        <f>IFERROR(__xludf.DUMMYFUNCTION("""COMPUTED_VALUE"""),"RSC008443")</f>
        <v>RSC008443</v>
      </c>
      <c r="C766" s="41" t="str">
        <f>IFERROR(__xludf.DUMMYFUNCTION("""COMPUTED_VALUE"""),"cow")</f>
        <v>cow</v>
      </c>
      <c r="D766" s="41" t="str">
        <f>IFERROR(__xludf.DUMMYFUNCTION("""COMPUTED_VALUE"""),"Mining Legion
Gaboons
Liars")</f>
        <v>Mining Legion
Gaboons
Liars</v>
      </c>
      <c r="E766" s="136">
        <f>IFERROR(__xludf.DUMMYFUNCTION("""COMPUTED_VALUE"""),23.0)</f>
        <v>23</v>
      </c>
      <c r="F766" s="136">
        <f>IFERROR(__xludf.DUMMYFUNCTION("""COMPUTED_VALUE"""),13.0)</f>
        <v>13</v>
      </c>
      <c r="G766" s="136">
        <f>IFERROR(__xludf.DUMMYFUNCTION("""COMPUTED_VALUE"""),10.0)</f>
        <v>10</v>
      </c>
      <c r="H766" s="137">
        <f>IFERROR(__xludf.DUMMYFUNCTION("""COMPUTED_VALUE"""),0.5652173913043478)</f>
        <v>0.5652173913</v>
      </c>
      <c r="I766" s="136">
        <f>IFERROR(__xludf.DUMMYFUNCTION("""COMPUTED_VALUE"""),1.0)</f>
        <v>1</v>
      </c>
      <c r="J766" s="136">
        <f>IFERROR(__xludf.DUMMYFUNCTION("""COMPUTED_VALUE"""),6292.0)</f>
        <v>6292</v>
      </c>
      <c r="K766" s="136">
        <f>IFERROR(__xludf.DUMMYFUNCTION("""COMPUTED_VALUE"""),11.0)</f>
        <v>11</v>
      </c>
      <c r="L766" s="136">
        <f>IFERROR(__xludf.DUMMYFUNCTION("""COMPUTED_VALUE"""),10.0)</f>
        <v>10</v>
      </c>
      <c r="M766" s="136">
        <f>IFERROR(__xludf.DUMMYFUNCTION("""COMPUTED_VALUE"""),30.0)</f>
        <v>30</v>
      </c>
      <c r="N766" s="136">
        <f>IFERROR(__xludf.DUMMYFUNCTION("""COMPUTED_VALUE"""),35.0)</f>
        <v>35</v>
      </c>
      <c r="O766" s="138">
        <f>IFERROR(__xludf.DUMMYFUNCTION("""COMPUTED_VALUE"""),4.0)</f>
        <v>4</v>
      </c>
      <c r="P766" s="138">
        <f>IFERROR(__xludf.DUMMYFUNCTION("""COMPUTED_VALUE"""),0.0)</f>
        <v>0</v>
      </c>
      <c r="Q766" s="138">
        <f>IFERROR(__xludf.DUMMYFUNCTION("""COMPUTED_VALUE"""),0.0)</f>
        <v>0</v>
      </c>
      <c r="R766" s="138">
        <f>IFERROR(__xludf.DUMMYFUNCTION("""COMPUTED_VALUE"""),5.0)</f>
        <v>5</v>
      </c>
      <c r="S766" s="139">
        <f>IFERROR(__xludf.DUMMYFUNCTION("""COMPUTED_VALUE"""),140.0)</f>
        <v>140</v>
      </c>
      <c r="T766" s="140">
        <f>IFERROR(__xludf.DUMMYFUNCTION("""COMPUTED_VALUE"""),43.0)</f>
        <v>43</v>
      </c>
      <c r="U766" s="136">
        <f>IFERROR(__xludf.DUMMYFUNCTION("""COMPUTED_VALUE"""),12.0)</f>
        <v>12</v>
      </c>
      <c r="V766" s="136">
        <f>IFERROR(__xludf.DUMMYFUNCTION("""COMPUTED_VALUE"""),20.0)</f>
        <v>20</v>
      </c>
      <c r="W766" s="136">
        <f>IFERROR(__xludf.DUMMYFUNCTION("""COMPUTED_VALUE"""),17.0)</f>
        <v>17</v>
      </c>
      <c r="X766" s="136">
        <f>IFERROR(__xludf.DUMMYFUNCTION("""COMPUTED_VALUE"""),371.6521739130435)</f>
        <v>371.6521739</v>
      </c>
      <c r="Y766" s="141">
        <f>IFERROR(__xludf.DUMMYFUNCTION("""COMPUTED_VALUE"""),47.94739130434783)</f>
        <v>47.9473913</v>
      </c>
      <c r="Z766" s="141">
        <f>IFERROR(__xludf.DUMMYFUNCTION("""COMPUTED_VALUE"""),2159.2608695652175)</f>
        <v>2159.26087</v>
      </c>
    </row>
    <row r="767">
      <c r="A767" s="41" t="str">
        <f>IFERROR(__xludf.DUMMYFUNCTION("""COMPUTED_VALUE"""),"Elite")</f>
        <v>Elite</v>
      </c>
      <c r="B767" s="41" t="str">
        <f>IFERROR(__xludf.DUMMYFUNCTION("""COMPUTED_VALUE"""),"RSC008446")</f>
        <v>RSC008446</v>
      </c>
      <c r="C767" s="41" t="str">
        <f>IFERROR(__xludf.DUMMYFUNCTION("""COMPUTED_VALUE"""),"Rose_Havoc97")</f>
        <v>Rose_Havoc97</v>
      </c>
      <c r="D767" s="41" t="str">
        <f>IFERROR(__xludf.DUMMYFUNCTION("""COMPUTED_VALUE"""),"Hellhounds")</f>
        <v>Hellhounds</v>
      </c>
      <c r="E767" s="136">
        <f>IFERROR(__xludf.DUMMYFUNCTION("""COMPUTED_VALUE"""),28.0)</f>
        <v>28</v>
      </c>
      <c r="F767" s="136">
        <f>IFERROR(__xludf.DUMMYFUNCTION("""COMPUTED_VALUE"""),9.0)</f>
        <v>9</v>
      </c>
      <c r="G767" s="136">
        <f>IFERROR(__xludf.DUMMYFUNCTION("""COMPUTED_VALUE"""),19.0)</f>
        <v>19</v>
      </c>
      <c r="H767" s="137">
        <f>IFERROR(__xludf.DUMMYFUNCTION("""COMPUTED_VALUE"""),0.32142857142857145)</f>
        <v>0.3214285714</v>
      </c>
      <c r="I767" s="136">
        <f>IFERROR(__xludf.DUMMYFUNCTION("""COMPUTED_VALUE"""),0.0)</f>
        <v>0</v>
      </c>
      <c r="J767" s="136">
        <f>IFERROR(__xludf.DUMMYFUNCTION("""COMPUTED_VALUE"""),8483.0)</f>
        <v>8483</v>
      </c>
      <c r="K767" s="136">
        <f>IFERROR(__xludf.DUMMYFUNCTION("""COMPUTED_VALUE"""),14.0)</f>
        <v>14</v>
      </c>
      <c r="L767" s="136">
        <f>IFERROR(__xludf.DUMMYFUNCTION("""COMPUTED_VALUE"""),18.0)</f>
        <v>18</v>
      </c>
      <c r="M767" s="136">
        <f>IFERROR(__xludf.DUMMYFUNCTION("""COMPUTED_VALUE"""),27.0)</f>
        <v>27</v>
      </c>
      <c r="N767" s="136">
        <f>IFERROR(__xludf.DUMMYFUNCTION("""COMPUTED_VALUE"""),65.0)</f>
        <v>65</v>
      </c>
      <c r="O767" s="138">
        <f>IFERROR(__xludf.DUMMYFUNCTION("""COMPUTED_VALUE"""),3.0)</f>
        <v>3</v>
      </c>
      <c r="P767" s="138">
        <f>IFERROR(__xludf.DUMMYFUNCTION("""COMPUTED_VALUE"""),0.0)</f>
        <v>0</v>
      </c>
      <c r="Q767" s="138">
        <f>IFERROR(__xludf.DUMMYFUNCTION("""COMPUTED_VALUE"""),1.0)</f>
        <v>1</v>
      </c>
      <c r="R767" s="138">
        <f>IFERROR(__xludf.DUMMYFUNCTION("""COMPUTED_VALUE"""),3.0)</f>
        <v>3</v>
      </c>
      <c r="S767" s="139">
        <f>IFERROR(__xludf.DUMMYFUNCTION("""COMPUTED_VALUE"""),276.0)</f>
        <v>276</v>
      </c>
      <c r="T767" s="140">
        <f>IFERROR(__xludf.DUMMYFUNCTION("""COMPUTED_VALUE"""),79.0)</f>
        <v>79</v>
      </c>
      <c r="U767" s="136">
        <f>IFERROR(__xludf.DUMMYFUNCTION("""COMPUTED_VALUE"""),23.0)</f>
        <v>23</v>
      </c>
      <c r="V767" s="136">
        <f>IFERROR(__xludf.DUMMYFUNCTION("""COMPUTED_VALUE"""),26.0)</f>
        <v>26</v>
      </c>
      <c r="W767" s="136">
        <f>IFERROR(__xludf.DUMMYFUNCTION("""COMPUTED_VALUE"""),25.0)</f>
        <v>25</v>
      </c>
      <c r="X767" s="136">
        <f>IFERROR(__xludf.DUMMYFUNCTION("""COMPUTED_VALUE"""),388.32142857142856)</f>
        <v>388.3214286</v>
      </c>
      <c r="Y767" s="141">
        <f>IFERROR(__xludf.DUMMYFUNCTION("""COMPUTED_VALUE"""),45.64964285714285)</f>
        <v>45.64964286</v>
      </c>
      <c r="Z767" s="141">
        <f>IFERROR(__xludf.DUMMYFUNCTION("""COMPUTED_VALUE"""),2384.714285714286)</f>
        <v>2384.714286</v>
      </c>
    </row>
    <row r="768">
      <c r="A768" s="41" t="str">
        <f>IFERROR(__xludf.DUMMYFUNCTION("""COMPUTED_VALUE"""),"Prospect")</f>
        <v>Prospect</v>
      </c>
      <c r="B768" s="41" t="str">
        <f>IFERROR(__xludf.DUMMYFUNCTION("""COMPUTED_VALUE"""),"RSC008447")</f>
        <v>RSC008447</v>
      </c>
      <c r="C768" s="41" t="str">
        <f>IFERROR(__xludf.DUMMYFUNCTION("""COMPUTED_VALUE"""),"jim2jam")</f>
        <v>jim2jam</v>
      </c>
      <c r="D768" s="41" t="str">
        <f>IFERROR(__xludf.DUMMYFUNCTION("""COMPUTED_VALUE"""),"Skeletons")</f>
        <v>Skeletons</v>
      </c>
      <c r="E768" s="136">
        <f>IFERROR(__xludf.DUMMYFUNCTION("""COMPUTED_VALUE"""),1.0)</f>
        <v>1</v>
      </c>
      <c r="F768" s="136">
        <f>IFERROR(__xludf.DUMMYFUNCTION("""COMPUTED_VALUE"""),0.0)</f>
        <v>0</v>
      </c>
      <c r="G768" s="136">
        <f>IFERROR(__xludf.DUMMYFUNCTION("""COMPUTED_VALUE"""),1.0)</f>
        <v>1</v>
      </c>
      <c r="H768" s="137">
        <f>IFERROR(__xludf.DUMMYFUNCTION("""COMPUTED_VALUE"""),0.0)</f>
        <v>0</v>
      </c>
      <c r="I768" s="136">
        <f>IFERROR(__xludf.DUMMYFUNCTION("""COMPUTED_VALUE"""),0.0)</f>
        <v>0</v>
      </c>
      <c r="J768" s="136">
        <f>IFERROR(__xludf.DUMMYFUNCTION("""COMPUTED_VALUE"""),386.0)</f>
        <v>386</v>
      </c>
      <c r="K768" s="136">
        <f>IFERROR(__xludf.DUMMYFUNCTION("""COMPUTED_VALUE"""),1.0)</f>
        <v>1</v>
      </c>
      <c r="L768" s="136">
        <f>IFERROR(__xludf.DUMMYFUNCTION("""COMPUTED_VALUE"""),1.0)</f>
        <v>1</v>
      </c>
      <c r="M768" s="136">
        <f>IFERROR(__xludf.DUMMYFUNCTION("""COMPUTED_VALUE"""),1.0)</f>
        <v>1</v>
      </c>
      <c r="N768" s="136">
        <f>IFERROR(__xludf.DUMMYFUNCTION("""COMPUTED_VALUE"""),2.0)</f>
        <v>2</v>
      </c>
      <c r="O768" s="138">
        <f>IFERROR(__xludf.DUMMYFUNCTION("""COMPUTED_VALUE"""),1.0)</f>
        <v>1</v>
      </c>
      <c r="P768" s="138">
        <f>IFERROR(__xludf.DUMMYFUNCTION("""COMPUTED_VALUE"""),0.0)</f>
        <v>0</v>
      </c>
      <c r="Q768" s="138">
        <f>IFERROR(__xludf.DUMMYFUNCTION("""COMPUTED_VALUE"""),0.0)</f>
        <v>0</v>
      </c>
      <c r="R768" s="138">
        <f>IFERROR(__xludf.DUMMYFUNCTION("""COMPUTED_VALUE"""),0.0)</f>
        <v>0</v>
      </c>
      <c r="S768" s="139">
        <f>IFERROR(__xludf.DUMMYFUNCTION("""COMPUTED_VALUE"""),10.0)</f>
        <v>10</v>
      </c>
      <c r="T768" s="140">
        <f>IFERROR(__xludf.DUMMYFUNCTION("""COMPUTED_VALUE"""),5.0)</f>
        <v>5</v>
      </c>
      <c r="U768" s="136">
        <f>IFERROR(__xludf.DUMMYFUNCTION("""COMPUTED_VALUE"""),1.0)</f>
        <v>1</v>
      </c>
      <c r="V768" s="136">
        <f>IFERROR(__xludf.DUMMYFUNCTION("""COMPUTED_VALUE"""),0.0)</f>
        <v>0</v>
      </c>
      <c r="W768" s="136">
        <f>IFERROR(__xludf.DUMMYFUNCTION("""COMPUTED_VALUE"""),0.0)</f>
        <v>0</v>
      </c>
      <c r="X768" s="136">
        <f>IFERROR(__xludf.DUMMYFUNCTION("""COMPUTED_VALUE"""),326.0)</f>
        <v>326</v>
      </c>
      <c r="Y768" s="141">
        <f>IFERROR(__xludf.DUMMYFUNCTION("""COMPUTED_VALUE"""),51.13)</f>
        <v>51.13</v>
      </c>
      <c r="Z768" s="141">
        <f>IFERROR(__xludf.DUMMYFUNCTION("""COMPUTED_VALUE"""),1936.0)</f>
        <v>1936</v>
      </c>
    </row>
    <row r="769">
      <c r="A769" s="41" t="str">
        <f>IFERROR(__xludf.DUMMYFUNCTION("""COMPUTED_VALUE"""),"Elite")</f>
        <v>Elite</v>
      </c>
      <c r="B769" s="41" t="str">
        <f>IFERROR(__xludf.DUMMYFUNCTION("""COMPUTED_VALUE"""),"RSC008448")</f>
        <v>RSC008448</v>
      </c>
      <c r="C769" s="41" t="str">
        <f>IFERROR(__xludf.DUMMYFUNCTION("""COMPUTED_VALUE"""),"haz")</f>
        <v>haz</v>
      </c>
      <c r="D769" s="41" t="str">
        <f>IFERROR(__xludf.DUMMYFUNCTION("""COMPUTED_VALUE"""),"Black-Holes")</f>
        <v>Black-Holes</v>
      </c>
      <c r="E769" s="136">
        <f>IFERROR(__xludf.DUMMYFUNCTION("""COMPUTED_VALUE"""),20.0)</f>
        <v>20</v>
      </c>
      <c r="F769" s="136">
        <f>IFERROR(__xludf.DUMMYFUNCTION("""COMPUTED_VALUE"""),11.0)</f>
        <v>11</v>
      </c>
      <c r="G769" s="136">
        <f>IFERROR(__xludf.DUMMYFUNCTION("""COMPUTED_VALUE"""),9.0)</f>
        <v>9</v>
      </c>
      <c r="H769" s="137">
        <f>IFERROR(__xludf.DUMMYFUNCTION("""COMPUTED_VALUE"""),0.55)</f>
        <v>0.55</v>
      </c>
      <c r="I769" s="136">
        <f>IFERROR(__xludf.DUMMYFUNCTION("""COMPUTED_VALUE"""),4.0)</f>
        <v>4</v>
      </c>
      <c r="J769" s="136">
        <f>IFERROR(__xludf.DUMMYFUNCTION("""COMPUTED_VALUE"""),7339.0)</f>
        <v>7339</v>
      </c>
      <c r="K769" s="136">
        <f>IFERROR(__xludf.DUMMYFUNCTION("""COMPUTED_VALUE"""),15.0)</f>
        <v>15</v>
      </c>
      <c r="L769" s="136">
        <f>IFERROR(__xludf.DUMMYFUNCTION("""COMPUTED_VALUE"""),17.0)</f>
        <v>17</v>
      </c>
      <c r="M769" s="136">
        <f>IFERROR(__xludf.DUMMYFUNCTION("""COMPUTED_VALUE"""),25.0)</f>
        <v>25</v>
      </c>
      <c r="N769" s="136">
        <f>IFERROR(__xludf.DUMMYFUNCTION("""COMPUTED_VALUE"""),59.0)</f>
        <v>59</v>
      </c>
      <c r="O769" s="138">
        <f>IFERROR(__xludf.DUMMYFUNCTION("""COMPUTED_VALUE"""),4.0)</f>
        <v>4</v>
      </c>
      <c r="P769" s="138">
        <f>IFERROR(__xludf.DUMMYFUNCTION("""COMPUTED_VALUE"""),2.0)</f>
        <v>2</v>
      </c>
      <c r="Q769" s="138">
        <f>IFERROR(__xludf.DUMMYFUNCTION("""COMPUTED_VALUE"""),1.0)</f>
        <v>1</v>
      </c>
      <c r="R769" s="138">
        <f>IFERROR(__xludf.DUMMYFUNCTION("""COMPUTED_VALUE"""),4.0)</f>
        <v>4</v>
      </c>
      <c r="S769" s="139">
        <f>IFERROR(__xludf.DUMMYFUNCTION("""COMPUTED_VALUE"""),143.0)</f>
        <v>143</v>
      </c>
      <c r="T769" s="140">
        <f>IFERROR(__xludf.DUMMYFUNCTION("""COMPUTED_VALUE"""),43.0)</f>
        <v>43</v>
      </c>
      <c r="U769" s="136">
        <f>IFERROR(__xludf.DUMMYFUNCTION("""COMPUTED_VALUE"""),13.0)</f>
        <v>13</v>
      </c>
      <c r="V769" s="136">
        <f>IFERROR(__xludf.DUMMYFUNCTION("""COMPUTED_VALUE"""),24.0)</f>
        <v>24</v>
      </c>
      <c r="W769" s="136">
        <f>IFERROR(__xludf.DUMMYFUNCTION("""COMPUTED_VALUE"""),23.0)</f>
        <v>23</v>
      </c>
      <c r="X769" s="136">
        <f>IFERROR(__xludf.DUMMYFUNCTION("""COMPUTED_VALUE"""),440.75)</f>
        <v>440.75</v>
      </c>
      <c r="Y769" s="141">
        <f>IFERROR(__xludf.DUMMYFUNCTION("""COMPUTED_VALUE"""),49.45649999999999)</f>
        <v>49.4565</v>
      </c>
      <c r="Z769" s="141">
        <f>IFERROR(__xludf.DUMMYFUNCTION("""COMPUTED_VALUE"""),2661.45)</f>
        <v>2661.45</v>
      </c>
    </row>
    <row r="770">
      <c r="A770" s="41" t="str">
        <f>IFERROR(__xludf.DUMMYFUNCTION("""COMPUTED_VALUE"""),"Prospect")</f>
        <v>Prospect</v>
      </c>
      <c r="B770" s="41" t="str">
        <f>IFERROR(__xludf.DUMMYFUNCTION("""COMPUTED_VALUE"""),"RSC008451")</f>
        <v>RSC008451</v>
      </c>
      <c r="C770" s="41" t="str">
        <f>IFERROR(__xludf.DUMMYFUNCTION("""COMPUTED_VALUE"""),"RyGuy2flie")</f>
        <v>RyGuy2flie</v>
      </c>
      <c r="D770" s="41" t="str">
        <f>IFERROR(__xludf.DUMMYFUNCTION("""COMPUTED_VALUE"""),"Hostile Takeover")</f>
        <v>Hostile Takeover</v>
      </c>
      <c r="E770" s="136">
        <f>IFERROR(__xludf.DUMMYFUNCTION("""COMPUTED_VALUE"""),33.0)</f>
        <v>33</v>
      </c>
      <c r="F770" s="136">
        <f>IFERROR(__xludf.DUMMYFUNCTION("""COMPUTED_VALUE"""),23.0)</f>
        <v>23</v>
      </c>
      <c r="G770" s="136">
        <f>IFERROR(__xludf.DUMMYFUNCTION("""COMPUTED_VALUE"""),10.0)</f>
        <v>10</v>
      </c>
      <c r="H770" s="137">
        <f>IFERROR(__xludf.DUMMYFUNCTION("""COMPUTED_VALUE"""),0.696969696969697)</f>
        <v>0.696969697</v>
      </c>
      <c r="I770" s="136">
        <f>IFERROR(__xludf.DUMMYFUNCTION("""COMPUTED_VALUE"""),2.0)</f>
        <v>2</v>
      </c>
      <c r="J770" s="136">
        <f>IFERROR(__xludf.DUMMYFUNCTION("""COMPUTED_VALUE"""),10095.0)</f>
        <v>10095</v>
      </c>
      <c r="K770" s="136">
        <f>IFERROR(__xludf.DUMMYFUNCTION("""COMPUTED_VALUE"""),25.0)</f>
        <v>25</v>
      </c>
      <c r="L770" s="136">
        <f>IFERROR(__xludf.DUMMYFUNCTION("""COMPUTED_VALUE"""),18.0)</f>
        <v>18</v>
      </c>
      <c r="M770" s="136">
        <f>IFERROR(__xludf.DUMMYFUNCTION("""COMPUTED_VALUE"""),33.0)</f>
        <v>33</v>
      </c>
      <c r="N770" s="136">
        <f>IFERROR(__xludf.DUMMYFUNCTION("""COMPUTED_VALUE"""),75.0)</f>
        <v>75</v>
      </c>
      <c r="O770" s="138">
        <f>IFERROR(__xludf.DUMMYFUNCTION("""COMPUTED_VALUE"""),1.0)</f>
        <v>1</v>
      </c>
      <c r="P770" s="138">
        <f>IFERROR(__xludf.DUMMYFUNCTION("""COMPUTED_VALUE"""),0.0)</f>
        <v>0</v>
      </c>
      <c r="Q770" s="138">
        <f>IFERROR(__xludf.DUMMYFUNCTION("""COMPUTED_VALUE"""),2.0)</f>
        <v>2</v>
      </c>
      <c r="R770" s="138">
        <f>IFERROR(__xludf.DUMMYFUNCTION("""COMPUTED_VALUE"""),3.0)</f>
        <v>3</v>
      </c>
      <c r="S770" s="139">
        <f>IFERROR(__xludf.DUMMYFUNCTION("""COMPUTED_VALUE"""),210.0)</f>
        <v>210</v>
      </c>
      <c r="T770" s="140">
        <f>IFERROR(__xludf.DUMMYFUNCTION("""COMPUTED_VALUE"""),55.0)</f>
        <v>55</v>
      </c>
      <c r="U770" s="136">
        <f>IFERROR(__xludf.DUMMYFUNCTION("""COMPUTED_VALUE"""),15.0)</f>
        <v>15</v>
      </c>
      <c r="V770" s="136">
        <f>IFERROR(__xludf.DUMMYFUNCTION("""COMPUTED_VALUE"""),8.0)</f>
        <v>8</v>
      </c>
      <c r="W770" s="136">
        <f>IFERROR(__xludf.DUMMYFUNCTION("""COMPUTED_VALUE"""),25.0)</f>
        <v>25</v>
      </c>
      <c r="X770" s="136">
        <f>IFERROR(__xludf.DUMMYFUNCTION("""COMPUTED_VALUE"""),314.3030303030303)</f>
        <v>314.3030303</v>
      </c>
      <c r="Y770" s="141">
        <f>IFERROR(__xludf.DUMMYFUNCTION("""COMPUTED_VALUE"""),45.51151515151515)</f>
        <v>45.51151515</v>
      </c>
      <c r="Z770" s="141">
        <f>IFERROR(__xludf.DUMMYFUNCTION("""COMPUTED_VALUE"""),1902.1818181818182)</f>
        <v>1902.181818</v>
      </c>
    </row>
    <row r="771">
      <c r="A771" s="41" t="str">
        <f>IFERROR(__xludf.DUMMYFUNCTION("""COMPUTED_VALUE"""),"Veteran")</f>
        <v>Veteran</v>
      </c>
      <c r="B771" s="41" t="str">
        <f>IFERROR(__xludf.DUMMYFUNCTION("""COMPUTED_VALUE"""),"RSC008452")</f>
        <v>RSC008452</v>
      </c>
      <c r="C771" s="41" t="str">
        <f>IFERROR(__xludf.DUMMYFUNCTION("""COMPUTED_VALUE"""),"pxiruu")</f>
        <v>pxiruu</v>
      </c>
      <c r="D771" s="41" t="str">
        <f>IFERROR(__xludf.DUMMYFUNCTION("""COMPUTED_VALUE"""),"Giant Squids")</f>
        <v>Giant Squids</v>
      </c>
      <c r="E771" s="136">
        <f>IFERROR(__xludf.DUMMYFUNCTION("""COMPUTED_VALUE"""),51.0)</f>
        <v>51</v>
      </c>
      <c r="F771" s="136">
        <f>IFERROR(__xludf.DUMMYFUNCTION("""COMPUTED_VALUE"""),29.0)</f>
        <v>29</v>
      </c>
      <c r="G771" s="136">
        <f>IFERROR(__xludf.DUMMYFUNCTION("""COMPUTED_VALUE"""),22.0)</f>
        <v>22</v>
      </c>
      <c r="H771" s="137">
        <f>IFERROR(__xludf.DUMMYFUNCTION("""COMPUTED_VALUE"""),0.5686274509803921)</f>
        <v>0.568627451</v>
      </c>
      <c r="I771" s="136">
        <f>IFERROR(__xludf.DUMMYFUNCTION("""COMPUTED_VALUE"""),15.0)</f>
        <v>15</v>
      </c>
      <c r="J771" s="136">
        <f>IFERROR(__xludf.DUMMYFUNCTION("""COMPUTED_VALUE"""),19480.0)</f>
        <v>19480</v>
      </c>
      <c r="K771" s="136">
        <f>IFERROR(__xludf.DUMMYFUNCTION("""COMPUTED_VALUE"""),49.0)</f>
        <v>49</v>
      </c>
      <c r="L771" s="136">
        <f>IFERROR(__xludf.DUMMYFUNCTION("""COMPUTED_VALUE"""),36.0)</f>
        <v>36</v>
      </c>
      <c r="M771" s="136">
        <f>IFERROR(__xludf.DUMMYFUNCTION("""COMPUTED_VALUE"""),58.0)</f>
        <v>58</v>
      </c>
      <c r="N771" s="136">
        <f>IFERROR(__xludf.DUMMYFUNCTION("""COMPUTED_VALUE"""),168.0)</f>
        <v>168</v>
      </c>
      <c r="O771" s="138">
        <f>IFERROR(__xludf.DUMMYFUNCTION("""COMPUTED_VALUE"""),8.0)</f>
        <v>8</v>
      </c>
      <c r="P771" s="138">
        <f>IFERROR(__xludf.DUMMYFUNCTION("""COMPUTED_VALUE"""),4.0)</f>
        <v>4</v>
      </c>
      <c r="Q771" s="138">
        <f>IFERROR(__xludf.DUMMYFUNCTION("""COMPUTED_VALUE"""),3.0)</f>
        <v>3</v>
      </c>
      <c r="R771" s="138">
        <f>IFERROR(__xludf.DUMMYFUNCTION("""COMPUTED_VALUE"""),7.0)</f>
        <v>7</v>
      </c>
      <c r="S771" s="139">
        <f>IFERROR(__xludf.DUMMYFUNCTION("""COMPUTED_VALUE"""),369.0)</f>
        <v>369</v>
      </c>
      <c r="T771" s="140">
        <f>IFERROR(__xludf.DUMMYFUNCTION("""COMPUTED_VALUE"""),117.0)</f>
        <v>117</v>
      </c>
      <c r="U771" s="136">
        <f>IFERROR(__xludf.DUMMYFUNCTION("""COMPUTED_VALUE"""),41.0)</f>
        <v>41</v>
      </c>
      <c r="V771" s="136">
        <f>IFERROR(__xludf.DUMMYFUNCTION("""COMPUTED_VALUE"""),79.0)</f>
        <v>79</v>
      </c>
      <c r="W771" s="136">
        <f>IFERROR(__xludf.DUMMYFUNCTION("""COMPUTED_VALUE"""),47.0)</f>
        <v>47</v>
      </c>
      <c r="X771" s="136">
        <f>IFERROR(__xludf.DUMMYFUNCTION("""COMPUTED_VALUE"""),464.88235294117646)</f>
        <v>464.8823529</v>
      </c>
      <c r="Y771" s="141">
        <f>IFERROR(__xludf.DUMMYFUNCTION("""COMPUTED_VALUE"""),50.874509803921576)</f>
        <v>50.8745098</v>
      </c>
      <c r="Z771" s="141">
        <f>IFERROR(__xludf.DUMMYFUNCTION("""COMPUTED_VALUE"""),2805.627450980392)</f>
        <v>2805.627451</v>
      </c>
    </row>
    <row r="772">
      <c r="A772" s="41" t="str">
        <f>IFERROR(__xludf.DUMMYFUNCTION("""COMPUTED_VALUE"""),"Challenger")</f>
        <v>Challenger</v>
      </c>
      <c r="B772" s="41" t="str">
        <f>IFERROR(__xludf.DUMMYFUNCTION("""COMPUTED_VALUE"""),"RSC008454")</f>
        <v>RSC008454</v>
      </c>
      <c r="C772" s="41" t="str">
        <f>IFERROR(__xludf.DUMMYFUNCTION("""COMPUTED_VALUE"""),"Worma")</f>
        <v>Worma</v>
      </c>
      <c r="D772" s="41" t="str">
        <f>IFERROR(__xludf.DUMMYFUNCTION("""COMPUTED_VALUE"""),"Blitzars")</f>
        <v>Blitzars</v>
      </c>
      <c r="E772" s="136">
        <f>IFERROR(__xludf.DUMMYFUNCTION("""COMPUTED_VALUE"""),49.0)</f>
        <v>49</v>
      </c>
      <c r="F772" s="136">
        <f>IFERROR(__xludf.DUMMYFUNCTION("""COMPUTED_VALUE"""),28.0)</f>
        <v>28</v>
      </c>
      <c r="G772" s="136">
        <f>IFERROR(__xludf.DUMMYFUNCTION("""COMPUTED_VALUE"""),21.0)</f>
        <v>21</v>
      </c>
      <c r="H772" s="137">
        <f>IFERROR(__xludf.DUMMYFUNCTION("""COMPUTED_VALUE"""),0.5714285714285714)</f>
        <v>0.5714285714</v>
      </c>
      <c r="I772" s="136">
        <f>IFERROR(__xludf.DUMMYFUNCTION("""COMPUTED_VALUE"""),16.0)</f>
        <v>16</v>
      </c>
      <c r="J772" s="136">
        <f>IFERROR(__xludf.DUMMYFUNCTION("""COMPUTED_VALUE"""),20088.0)</f>
        <v>20088</v>
      </c>
      <c r="K772" s="136">
        <f>IFERROR(__xludf.DUMMYFUNCTION("""COMPUTED_VALUE"""),54.0)</f>
        <v>54</v>
      </c>
      <c r="L772" s="136">
        <f>IFERROR(__xludf.DUMMYFUNCTION("""COMPUTED_VALUE"""),29.0)</f>
        <v>29</v>
      </c>
      <c r="M772" s="136">
        <f>IFERROR(__xludf.DUMMYFUNCTION("""COMPUTED_VALUE"""),65.0)</f>
        <v>65</v>
      </c>
      <c r="N772" s="136">
        <f>IFERROR(__xludf.DUMMYFUNCTION("""COMPUTED_VALUE"""),158.0)</f>
        <v>158</v>
      </c>
      <c r="O772" s="138">
        <f>IFERROR(__xludf.DUMMYFUNCTION("""COMPUTED_VALUE"""),12.0)</f>
        <v>12</v>
      </c>
      <c r="P772" s="138">
        <f>IFERROR(__xludf.DUMMYFUNCTION("""COMPUTED_VALUE"""),6.0)</f>
        <v>6</v>
      </c>
      <c r="Q772" s="138">
        <f>IFERROR(__xludf.DUMMYFUNCTION("""COMPUTED_VALUE"""),2.0)</f>
        <v>2</v>
      </c>
      <c r="R772" s="138">
        <f>IFERROR(__xludf.DUMMYFUNCTION("""COMPUTED_VALUE"""),9.0)</f>
        <v>9</v>
      </c>
      <c r="S772" s="139">
        <f>IFERROR(__xludf.DUMMYFUNCTION("""COMPUTED_VALUE"""),324.0)</f>
        <v>324</v>
      </c>
      <c r="T772" s="140">
        <f>IFERROR(__xludf.DUMMYFUNCTION("""COMPUTED_VALUE"""),87.0)</f>
        <v>87</v>
      </c>
      <c r="U772" s="136">
        <f>IFERROR(__xludf.DUMMYFUNCTION("""COMPUTED_VALUE"""),34.0)</f>
        <v>34</v>
      </c>
      <c r="V772" s="136">
        <f>IFERROR(__xludf.DUMMYFUNCTION("""COMPUTED_VALUE"""),25.0)</f>
        <v>25</v>
      </c>
      <c r="W772" s="136">
        <f>IFERROR(__xludf.DUMMYFUNCTION("""COMPUTED_VALUE"""),38.0)</f>
        <v>38</v>
      </c>
      <c r="X772" s="136">
        <f>IFERROR(__xludf.DUMMYFUNCTION("""COMPUTED_VALUE"""),316.57142857142856)</f>
        <v>316.5714286</v>
      </c>
      <c r="Y772" s="141">
        <f>IFERROR(__xludf.DUMMYFUNCTION("""COMPUTED_VALUE"""),49.69918367346937)</f>
        <v>49.69918367</v>
      </c>
      <c r="Z772" s="141">
        <f>IFERROR(__xludf.DUMMYFUNCTION("""COMPUTED_VALUE"""),1830.142857142857)</f>
        <v>1830.142857</v>
      </c>
    </row>
    <row r="773">
      <c r="A773" s="41" t="str">
        <f>IFERROR(__xludf.DUMMYFUNCTION("""COMPUTED_VALUE"""),"Veteran")</f>
        <v>Veteran</v>
      </c>
      <c r="B773" s="41" t="str">
        <f>IFERROR(__xludf.DUMMYFUNCTION("""COMPUTED_VALUE"""),"RSC008455")</f>
        <v>RSC008455</v>
      </c>
      <c r="C773" s="41" t="str">
        <f>IFERROR(__xludf.DUMMYFUNCTION("""COMPUTED_VALUE"""),"Craque")</f>
        <v>Craque</v>
      </c>
      <c r="D773" s="41" t="str">
        <f>IFERROR(__xludf.DUMMYFUNCTION("""COMPUTED_VALUE"""),"Grizzly Bears")</f>
        <v>Grizzly Bears</v>
      </c>
      <c r="E773" s="136">
        <f>IFERROR(__xludf.DUMMYFUNCTION("""COMPUTED_VALUE"""),52.0)</f>
        <v>52</v>
      </c>
      <c r="F773" s="136">
        <f>IFERROR(__xludf.DUMMYFUNCTION("""COMPUTED_VALUE"""),24.0)</f>
        <v>24</v>
      </c>
      <c r="G773" s="136">
        <f>IFERROR(__xludf.DUMMYFUNCTION("""COMPUTED_VALUE"""),28.0)</f>
        <v>28</v>
      </c>
      <c r="H773" s="137">
        <f>IFERROR(__xludf.DUMMYFUNCTION("""COMPUTED_VALUE"""),0.46153846153846156)</f>
        <v>0.4615384615</v>
      </c>
      <c r="I773" s="136">
        <f>IFERROR(__xludf.DUMMYFUNCTION("""COMPUTED_VALUE"""),11.0)</f>
        <v>11</v>
      </c>
      <c r="J773" s="136">
        <f>IFERROR(__xludf.DUMMYFUNCTION("""COMPUTED_VALUE"""),19877.0)</f>
        <v>19877</v>
      </c>
      <c r="K773" s="136">
        <f>IFERROR(__xludf.DUMMYFUNCTION("""COMPUTED_VALUE"""),41.0)</f>
        <v>41</v>
      </c>
      <c r="L773" s="136">
        <f>IFERROR(__xludf.DUMMYFUNCTION("""COMPUTED_VALUE"""),22.0)</f>
        <v>22</v>
      </c>
      <c r="M773" s="136">
        <f>IFERROR(__xludf.DUMMYFUNCTION("""COMPUTED_VALUE"""),85.0)</f>
        <v>85</v>
      </c>
      <c r="N773" s="136">
        <f>IFERROR(__xludf.DUMMYFUNCTION("""COMPUTED_VALUE"""),119.0)</f>
        <v>119</v>
      </c>
      <c r="O773" s="138">
        <f>IFERROR(__xludf.DUMMYFUNCTION("""COMPUTED_VALUE"""),9.0)</f>
        <v>9</v>
      </c>
      <c r="P773" s="138">
        <f>IFERROR(__xludf.DUMMYFUNCTION("""COMPUTED_VALUE"""),0.0)</f>
        <v>0</v>
      </c>
      <c r="Q773" s="138">
        <f>IFERROR(__xludf.DUMMYFUNCTION("""COMPUTED_VALUE"""),1.0)</f>
        <v>1</v>
      </c>
      <c r="R773" s="138">
        <f>IFERROR(__xludf.DUMMYFUNCTION("""COMPUTED_VALUE"""),12.0)</f>
        <v>12</v>
      </c>
      <c r="S773" s="139">
        <f>IFERROR(__xludf.DUMMYFUNCTION("""COMPUTED_VALUE"""),425.0)</f>
        <v>425</v>
      </c>
      <c r="T773" s="140">
        <f>IFERROR(__xludf.DUMMYFUNCTION("""COMPUTED_VALUE"""),122.0)</f>
        <v>122</v>
      </c>
      <c r="U773" s="136">
        <f>IFERROR(__xludf.DUMMYFUNCTION("""COMPUTED_VALUE"""),45.0)</f>
        <v>45</v>
      </c>
      <c r="V773" s="136">
        <f>IFERROR(__xludf.DUMMYFUNCTION("""COMPUTED_VALUE"""),50.0)</f>
        <v>50</v>
      </c>
      <c r="W773" s="136">
        <f>IFERROR(__xludf.DUMMYFUNCTION("""COMPUTED_VALUE"""),48.0)</f>
        <v>48</v>
      </c>
      <c r="X773" s="136">
        <f>IFERROR(__xludf.DUMMYFUNCTION("""COMPUTED_VALUE"""),375.40384615384613)</f>
        <v>375.4038462</v>
      </c>
      <c r="Y773" s="141">
        <f>IFERROR(__xludf.DUMMYFUNCTION("""COMPUTED_VALUE"""),47.69557692307693)</f>
        <v>47.69557692</v>
      </c>
      <c r="Z773" s="141">
        <f>IFERROR(__xludf.DUMMYFUNCTION("""COMPUTED_VALUE"""),2235.269230769231)</f>
        <v>2235.269231</v>
      </c>
    </row>
    <row r="774">
      <c r="A774" s="41" t="str">
        <f>IFERROR(__xludf.DUMMYFUNCTION("""COMPUTED_VALUE"""),"Veteran")</f>
        <v>Veteran</v>
      </c>
      <c r="B774" s="41" t="str">
        <f>IFERROR(__xludf.DUMMYFUNCTION("""COMPUTED_VALUE"""),"RSC008460")</f>
        <v>RSC008460</v>
      </c>
      <c r="C774" s="41" t="str">
        <f>IFERROR(__xludf.DUMMYFUNCTION("""COMPUTED_VALUE"""),"Murleaux")</f>
        <v>Murleaux</v>
      </c>
      <c r="D774" s="41" t="str">
        <f>IFERROR(__xludf.DUMMYFUNCTION("""COMPUTED_VALUE"""),"Folks")</f>
        <v>Folks</v>
      </c>
      <c r="E774" s="136">
        <f>IFERROR(__xludf.DUMMYFUNCTION("""COMPUTED_VALUE"""),51.0)</f>
        <v>51</v>
      </c>
      <c r="F774" s="136">
        <f>IFERROR(__xludf.DUMMYFUNCTION("""COMPUTED_VALUE"""),21.0)</f>
        <v>21</v>
      </c>
      <c r="G774" s="136">
        <f>IFERROR(__xludf.DUMMYFUNCTION("""COMPUTED_VALUE"""),30.0)</f>
        <v>30</v>
      </c>
      <c r="H774" s="137">
        <f>IFERROR(__xludf.DUMMYFUNCTION("""COMPUTED_VALUE"""),0.4117647058823529)</f>
        <v>0.4117647059</v>
      </c>
      <c r="I774" s="136">
        <f>IFERROR(__xludf.DUMMYFUNCTION("""COMPUTED_VALUE"""),9.0)</f>
        <v>9</v>
      </c>
      <c r="J774" s="136">
        <f>IFERROR(__xludf.DUMMYFUNCTION("""COMPUTED_VALUE"""),17928.0)</f>
        <v>17928</v>
      </c>
      <c r="K774" s="136">
        <f>IFERROR(__xludf.DUMMYFUNCTION("""COMPUTED_VALUE"""),28.0)</f>
        <v>28</v>
      </c>
      <c r="L774" s="136">
        <f>IFERROR(__xludf.DUMMYFUNCTION("""COMPUTED_VALUE"""),28.0)</f>
        <v>28</v>
      </c>
      <c r="M774" s="136">
        <f>IFERROR(__xludf.DUMMYFUNCTION("""COMPUTED_VALUE"""),81.0)</f>
        <v>81</v>
      </c>
      <c r="N774" s="136">
        <f>IFERROR(__xludf.DUMMYFUNCTION("""COMPUTED_VALUE"""),126.0)</f>
        <v>126</v>
      </c>
      <c r="O774" s="138">
        <f>IFERROR(__xludf.DUMMYFUNCTION("""COMPUTED_VALUE"""),7.0)</f>
        <v>7</v>
      </c>
      <c r="P774" s="138">
        <f>IFERROR(__xludf.DUMMYFUNCTION("""COMPUTED_VALUE"""),1.0)</f>
        <v>1</v>
      </c>
      <c r="Q774" s="138">
        <f>IFERROR(__xludf.DUMMYFUNCTION("""COMPUTED_VALUE"""),1.0)</f>
        <v>1</v>
      </c>
      <c r="R774" s="138">
        <f>IFERROR(__xludf.DUMMYFUNCTION("""COMPUTED_VALUE"""),11.0)</f>
        <v>11</v>
      </c>
      <c r="S774" s="139">
        <f>IFERROR(__xludf.DUMMYFUNCTION("""COMPUTED_VALUE"""),446.0)</f>
        <v>446</v>
      </c>
      <c r="T774" s="140">
        <f>IFERROR(__xludf.DUMMYFUNCTION("""COMPUTED_VALUE"""),143.0)</f>
        <v>143</v>
      </c>
      <c r="U774" s="136">
        <f>IFERROR(__xludf.DUMMYFUNCTION("""COMPUTED_VALUE"""),52.0)</f>
        <v>52</v>
      </c>
      <c r="V774" s="136">
        <f>IFERROR(__xludf.DUMMYFUNCTION("""COMPUTED_VALUE"""),55.0)</f>
        <v>55</v>
      </c>
      <c r="W774" s="136">
        <f>IFERROR(__xludf.DUMMYFUNCTION("""COMPUTED_VALUE"""),43.0)</f>
        <v>43</v>
      </c>
      <c r="X774" s="136">
        <f>IFERROR(__xludf.DUMMYFUNCTION("""COMPUTED_VALUE"""),460.0980392156863)</f>
        <v>460.0980392</v>
      </c>
      <c r="Y774" s="141">
        <f>IFERROR(__xludf.DUMMYFUNCTION("""COMPUTED_VALUE"""),48.24882352941176)</f>
        <v>48.24882353</v>
      </c>
      <c r="Z774" s="141">
        <f>IFERROR(__xludf.DUMMYFUNCTION("""COMPUTED_VALUE"""),2750.4313725490197)</f>
        <v>2750.431373</v>
      </c>
    </row>
    <row r="775">
      <c r="A775" s="41" t="str">
        <f>IFERROR(__xludf.DUMMYFUNCTION("""COMPUTED_VALUE"""),"Elite")</f>
        <v>Elite</v>
      </c>
      <c r="B775" s="41" t="str">
        <f>IFERROR(__xludf.DUMMYFUNCTION("""COMPUTED_VALUE"""),"RSC008461")</f>
        <v>RSC008461</v>
      </c>
      <c r="C775" s="41" t="str">
        <f>IFERROR(__xludf.DUMMYFUNCTION("""COMPUTED_VALUE"""),"Kos")</f>
        <v>Kos</v>
      </c>
      <c r="D775" s="41" t="str">
        <f>IFERROR(__xludf.DUMMYFUNCTION("""COMPUTED_VALUE"""),"Desolation")</f>
        <v>Desolation</v>
      </c>
      <c r="E775" s="136">
        <f>IFERROR(__xludf.DUMMYFUNCTION("""COMPUTED_VALUE"""),55.0)</f>
        <v>55</v>
      </c>
      <c r="F775" s="136">
        <f>IFERROR(__xludf.DUMMYFUNCTION("""COMPUTED_VALUE"""),29.0)</f>
        <v>29</v>
      </c>
      <c r="G775" s="136">
        <f>IFERROR(__xludf.DUMMYFUNCTION("""COMPUTED_VALUE"""),26.0)</f>
        <v>26</v>
      </c>
      <c r="H775" s="137">
        <f>IFERROR(__xludf.DUMMYFUNCTION("""COMPUTED_VALUE"""),0.5272727272727272)</f>
        <v>0.5272727273</v>
      </c>
      <c r="I775" s="136">
        <f>IFERROR(__xludf.DUMMYFUNCTION("""COMPUTED_VALUE"""),9.0)</f>
        <v>9</v>
      </c>
      <c r="J775" s="136">
        <f>IFERROR(__xludf.DUMMYFUNCTION("""COMPUTED_VALUE"""),18343.0)</f>
        <v>18343</v>
      </c>
      <c r="K775" s="136">
        <f>IFERROR(__xludf.DUMMYFUNCTION("""COMPUTED_VALUE"""),40.0)</f>
        <v>40</v>
      </c>
      <c r="L775" s="136">
        <f>IFERROR(__xludf.DUMMYFUNCTION("""COMPUTED_VALUE"""),27.0)</f>
        <v>27</v>
      </c>
      <c r="M775" s="136">
        <f>IFERROR(__xludf.DUMMYFUNCTION("""COMPUTED_VALUE"""),72.0)</f>
        <v>72</v>
      </c>
      <c r="N775" s="136">
        <f>IFERROR(__xludf.DUMMYFUNCTION("""COMPUTED_VALUE"""),156.0)</f>
        <v>156</v>
      </c>
      <c r="O775" s="138">
        <f>IFERROR(__xludf.DUMMYFUNCTION("""COMPUTED_VALUE"""),10.0)</f>
        <v>10</v>
      </c>
      <c r="P775" s="138">
        <f>IFERROR(__xludf.DUMMYFUNCTION("""COMPUTED_VALUE"""),2.0)</f>
        <v>2</v>
      </c>
      <c r="Q775" s="138">
        <f>IFERROR(__xludf.DUMMYFUNCTION("""COMPUTED_VALUE"""),1.0)</f>
        <v>1</v>
      </c>
      <c r="R775" s="138">
        <f>IFERROR(__xludf.DUMMYFUNCTION("""COMPUTED_VALUE"""),7.0)</f>
        <v>7</v>
      </c>
      <c r="S775" s="139">
        <f>IFERROR(__xludf.DUMMYFUNCTION("""COMPUTED_VALUE"""),455.0)</f>
        <v>455</v>
      </c>
      <c r="T775" s="140">
        <f>IFERROR(__xludf.DUMMYFUNCTION("""COMPUTED_VALUE"""),146.0)</f>
        <v>146</v>
      </c>
      <c r="U775" s="136">
        <f>IFERROR(__xludf.DUMMYFUNCTION("""COMPUTED_VALUE"""),52.0)</f>
        <v>52</v>
      </c>
      <c r="V775" s="136">
        <f>IFERROR(__xludf.DUMMYFUNCTION("""COMPUTED_VALUE"""),71.0)</f>
        <v>71</v>
      </c>
      <c r="W775" s="136">
        <f>IFERROR(__xludf.DUMMYFUNCTION("""COMPUTED_VALUE"""),83.0)</f>
        <v>83</v>
      </c>
      <c r="X775" s="136">
        <f>IFERROR(__xludf.DUMMYFUNCTION("""COMPUTED_VALUE"""),400.8181818181818)</f>
        <v>400.8181818</v>
      </c>
      <c r="Y775" s="141">
        <f>IFERROR(__xludf.DUMMYFUNCTION("""COMPUTED_VALUE"""),46.11981818181818)</f>
        <v>46.11981818</v>
      </c>
      <c r="Z775" s="141">
        <f>IFERROR(__xludf.DUMMYFUNCTION("""COMPUTED_VALUE"""),2302.8545454545456)</f>
        <v>2302.854545</v>
      </c>
    </row>
    <row r="776">
      <c r="A776" s="41" t="str">
        <f>IFERROR(__xludf.DUMMYFUNCTION("""COMPUTED_VALUE"""),"Veteran")</f>
        <v>Veteran</v>
      </c>
      <c r="B776" s="41" t="str">
        <f>IFERROR(__xludf.DUMMYFUNCTION("""COMPUTED_VALUE"""),"RSC008463")</f>
        <v>RSC008463</v>
      </c>
      <c r="C776" s="41" t="str">
        <f>IFERROR(__xludf.DUMMYFUNCTION("""COMPUTED_VALUE"""),"KryptWard")</f>
        <v>KryptWard</v>
      </c>
      <c r="D776" s="41" t="str">
        <f>IFERROR(__xludf.DUMMYFUNCTION("""COMPUTED_VALUE"""),"Mosaic Maestros")</f>
        <v>Mosaic Maestros</v>
      </c>
      <c r="E776" s="136">
        <f>IFERROR(__xludf.DUMMYFUNCTION("""COMPUTED_VALUE"""),49.0)</f>
        <v>49</v>
      </c>
      <c r="F776" s="136">
        <f>IFERROR(__xludf.DUMMYFUNCTION("""COMPUTED_VALUE"""),17.0)</f>
        <v>17</v>
      </c>
      <c r="G776" s="136">
        <f>IFERROR(__xludf.DUMMYFUNCTION("""COMPUTED_VALUE"""),32.0)</f>
        <v>32</v>
      </c>
      <c r="H776" s="137">
        <f>IFERROR(__xludf.DUMMYFUNCTION("""COMPUTED_VALUE"""),0.3469387755102041)</f>
        <v>0.3469387755</v>
      </c>
      <c r="I776" s="136">
        <f>IFERROR(__xludf.DUMMYFUNCTION("""COMPUTED_VALUE"""),4.0)</f>
        <v>4</v>
      </c>
      <c r="J776" s="136">
        <f>IFERROR(__xludf.DUMMYFUNCTION("""COMPUTED_VALUE"""),15975.0)</f>
        <v>15975</v>
      </c>
      <c r="K776" s="136">
        <f>IFERROR(__xludf.DUMMYFUNCTION("""COMPUTED_VALUE"""),41.0)</f>
        <v>41</v>
      </c>
      <c r="L776" s="136">
        <f>IFERROR(__xludf.DUMMYFUNCTION("""COMPUTED_VALUE"""),25.0)</f>
        <v>25</v>
      </c>
      <c r="M776" s="136">
        <f>IFERROR(__xludf.DUMMYFUNCTION("""COMPUTED_VALUE"""),50.0)</f>
        <v>50</v>
      </c>
      <c r="N776" s="136">
        <f>IFERROR(__xludf.DUMMYFUNCTION("""COMPUTED_VALUE"""),132.0)</f>
        <v>132</v>
      </c>
      <c r="O776" s="138">
        <f>IFERROR(__xludf.DUMMYFUNCTION("""COMPUTED_VALUE"""),4.0)</f>
        <v>4</v>
      </c>
      <c r="P776" s="138">
        <f>IFERROR(__xludf.DUMMYFUNCTION("""COMPUTED_VALUE"""),3.0)</f>
        <v>3</v>
      </c>
      <c r="Q776" s="138">
        <f>IFERROR(__xludf.DUMMYFUNCTION("""COMPUTED_VALUE"""),1.0)</f>
        <v>1</v>
      </c>
      <c r="R776" s="138">
        <f>IFERROR(__xludf.DUMMYFUNCTION("""COMPUTED_VALUE"""),3.0)</f>
        <v>3</v>
      </c>
      <c r="S776" s="139">
        <f>IFERROR(__xludf.DUMMYFUNCTION("""COMPUTED_VALUE"""),448.0)</f>
        <v>448</v>
      </c>
      <c r="T776" s="140">
        <f>IFERROR(__xludf.DUMMYFUNCTION("""COMPUTED_VALUE"""),163.0)</f>
        <v>163</v>
      </c>
      <c r="U776" s="136">
        <f>IFERROR(__xludf.DUMMYFUNCTION("""COMPUTED_VALUE"""),46.0)</f>
        <v>46</v>
      </c>
      <c r="V776" s="136">
        <f>IFERROR(__xludf.DUMMYFUNCTION("""COMPUTED_VALUE"""),33.0)</f>
        <v>33</v>
      </c>
      <c r="W776" s="136">
        <f>IFERROR(__xludf.DUMMYFUNCTION("""COMPUTED_VALUE"""),53.0)</f>
        <v>53</v>
      </c>
      <c r="X776" s="136">
        <f>IFERROR(__xludf.DUMMYFUNCTION("""COMPUTED_VALUE"""),332.9795918367347)</f>
        <v>332.9795918</v>
      </c>
      <c r="Y776" s="141">
        <f>IFERROR(__xludf.DUMMYFUNCTION("""COMPUTED_VALUE"""),49.36897959183673)</f>
        <v>49.36897959</v>
      </c>
      <c r="Z776" s="141">
        <f>IFERROR(__xludf.DUMMYFUNCTION("""COMPUTED_VALUE"""),2067.081632653061)</f>
        <v>2067.081633</v>
      </c>
    </row>
    <row r="777">
      <c r="A777" s="41" t="str">
        <f>IFERROR(__xludf.DUMMYFUNCTION("""COMPUTED_VALUE"""),"Rival")</f>
        <v>Rival</v>
      </c>
      <c r="B777" s="41" t="str">
        <f>IFERROR(__xludf.DUMMYFUNCTION("""COMPUTED_VALUE"""),"RSC008465")</f>
        <v>RSC008465</v>
      </c>
      <c r="C777" s="41" t="str">
        <f>IFERROR(__xludf.DUMMYFUNCTION("""COMPUTED_VALUE"""),"IncorrectTerror")</f>
        <v>IncorrectTerror</v>
      </c>
      <c r="D777" s="41" t="str">
        <f>IFERROR(__xludf.DUMMYFUNCTION("""COMPUTED_VALUE"""),"Wind")</f>
        <v>Wind</v>
      </c>
      <c r="E777" s="136">
        <f>IFERROR(__xludf.DUMMYFUNCTION("""COMPUTED_VALUE"""),46.0)</f>
        <v>46</v>
      </c>
      <c r="F777" s="136">
        <f>IFERROR(__xludf.DUMMYFUNCTION("""COMPUTED_VALUE"""),27.0)</f>
        <v>27</v>
      </c>
      <c r="G777" s="136">
        <f>IFERROR(__xludf.DUMMYFUNCTION("""COMPUTED_VALUE"""),19.0)</f>
        <v>19</v>
      </c>
      <c r="H777" s="137">
        <f>IFERROR(__xludf.DUMMYFUNCTION("""COMPUTED_VALUE"""),0.5869565217391305)</f>
        <v>0.5869565217</v>
      </c>
      <c r="I777" s="136">
        <f>IFERROR(__xludf.DUMMYFUNCTION("""COMPUTED_VALUE"""),5.0)</f>
        <v>5</v>
      </c>
      <c r="J777" s="136">
        <f>IFERROR(__xludf.DUMMYFUNCTION("""COMPUTED_VALUE"""),15481.0)</f>
        <v>15481</v>
      </c>
      <c r="K777" s="136">
        <f>IFERROR(__xludf.DUMMYFUNCTION("""COMPUTED_VALUE"""),30.0)</f>
        <v>30</v>
      </c>
      <c r="L777" s="136">
        <f>IFERROR(__xludf.DUMMYFUNCTION("""COMPUTED_VALUE"""),28.0)</f>
        <v>28</v>
      </c>
      <c r="M777" s="136">
        <f>IFERROR(__xludf.DUMMYFUNCTION("""COMPUTED_VALUE"""),51.0)</f>
        <v>51</v>
      </c>
      <c r="N777" s="136">
        <f>IFERROR(__xludf.DUMMYFUNCTION("""COMPUTED_VALUE"""),130.0)</f>
        <v>130</v>
      </c>
      <c r="O777" s="138">
        <f>IFERROR(__xludf.DUMMYFUNCTION("""COMPUTED_VALUE"""),4.0)</f>
        <v>4</v>
      </c>
      <c r="P777" s="138">
        <f>IFERROR(__xludf.DUMMYFUNCTION("""COMPUTED_VALUE"""),0.0)</f>
        <v>0</v>
      </c>
      <c r="Q777" s="138">
        <f>IFERROR(__xludf.DUMMYFUNCTION("""COMPUTED_VALUE"""),0.0)</f>
        <v>0</v>
      </c>
      <c r="R777" s="138">
        <f>IFERROR(__xludf.DUMMYFUNCTION("""COMPUTED_VALUE"""),5.0)</f>
        <v>5</v>
      </c>
      <c r="S777" s="139">
        <f>IFERROR(__xludf.DUMMYFUNCTION("""COMPUTED_VALUE"""),318.0)</f>
        <v>318</v>
      </c>
      <c r="T777" s="140">
        <f>IFERROR(__xludf.DUMMYFUNCTION("""COMPUTED_VALUE"""),99.0)</f>
        <v>99</v>
      </c>
      <c r="U777" s="136">
        <f>IFERROR(__xludf.DUMMYFUNCTION("""COMPUTED_VALUE"""),35.0)</f>
        <v>35</v>
      </c>
      <c r="V777" s="136">
        <f>IFERROR(__xludf.DUMMYFUNCTION("""COMPUTED_VALUE"""),35.0)</f>
        <v>35</v>
      </c>
      <c r="W777" s="136">
        <f>IFERROR(__xludf.DUMMYFUNCTION("""COMPUTED_VALUE"""),43.0)</f>
        <v>43</v>
      </c>
      <c r="X777" s="136">
        <f>IFERROR(__xludf.DUMMYFUNCTION("""COMPUTED_VALUE"""),459.8695652173913)</f>
        <v>459.8695652</v>
      </c>
      <c r="Y777" s="141">
        <f>IFERROR(__xludf.DUMMYFUNCTION("""COMPUTED_VALUE"""),54.63847826086956)</f>
        <v>54.63847826</v>
      </c>
      <c r="Z777" s="141">
        <f>IFERROR(__xludf.DUMMYFUNCTION("""COMPUTED_VALUE"""),2720.978260869565)</f>
        <v>2720.978261</v>
      </c>
    </row>
    <row r="778">
      <c r="A778" s="41" t="str">
        <f>IFERROR(__xludf.DUMMYFUNCTION("""COMPUTED_VALUE"""),"Challenger")</f>
        <v>Challenger</v>
      </c>
      <c r="B778" s="41" t="str">
        <f>IFERROR(__xludf.DUMMYFUNCTION("""COMPUTED_VALUE"""),"RSC008466")</f>
        <v>RSC008466</v>
      </c>
      <c r="C778" s="41" t="str">
        <f>IFERROR(__xludf.DUMMYFUNCTION("""COMPUTED_VALUE"""),"Cwuzzy")</f>
        <v>Cwuzzy</v>
      </c>
      <c r="D778" s="41" t="str">
        <f>IFERROR(__xludf.DUMMYFUNCTION("""COMPUTED_VALUE"""),"Warbirds")</f>
        <v>Warbirds</v>
      </c>
      <c r="E778" s="136">
        <f>IFERROR(__xludf.DUMMYFUNCTION("""COMPUTED_VALUE"""),8.0)</f>
        <v>8</v>
      </c>
      <c r="F778" s="136">
        <f>IFERROR(__xludf.DUMMYFUNCTION("""COMPUTED_VALUE"""),6.0)</f>
        <v>6</v>
      </c>
      <c r="G778" s="136">
        <f>IFERROR(__xludf.DUMMYFUNCTION("""COMPUTED_VALUE"""),2.0)</f>
        <v>2</v>
      </c>
      <c r="H778" s="137">
        <f>IFERROR(__xludf.DUMMYFUNCTION("""COMPUTED_VALUE"""),0.75)</f>
        <v>0.75</v>
      </c>
      <c r="I778" s="136">
        <f>IFERROR(__xludf.DUMMYFUNCTION("""COMPUTED_VALUE"""),1.0)</f>
        <v>1</v>
      </c>
      <c r="J778" s="136">
        <f>IFERROR(__xludf.DUMMYFUNCTION("""COMPUTED_VALUE"""),3081.0)</f>
        <v>3081</v>
      </c>
      <c r="K778" s="136">
        <f>IFERROR(__xludf.DUMMYFUNCTION("""COMPUTED_VALUE"""),7.0)</f>
        <v>7</v>
      </c>
      <c r="L778" s="136">
        <f>IFERROR(__xludf.DUMMYFUNCTION("""COMPUTED_VALUE"""),4.0)</f>
        <v>4</v>
      </c>
      <c r="M778" s="136">
        <f>IFERROR(__xludf.DUMMYFUNCTION("""COMPUTED_VALUE"""),12.0)</f>
        <v>12</v>
      </c>
      <c r="N778" s="136">
        <f>IFERROR(__xludf.DUMMYFUNCTION("""COMPUTED_VALUE"""),20.0)</f>
        <v>20</v>
      </c>
      <c r="O778" s="138">
        <f>IFERROR(__xludf.DUMMYFUNCTION("""COMPUTED_VALUE"""),1.0)</f>
        <v>1</v>
      </c>
      <c r="P778" s="138">
        <f>IFERROR(__xludf.DUMMYFUNCTION("""COMPUTED_VALUE"""),0.0)</f>
        <v>0</v>
      </c>
      <c r="Q778" s="138">
        <f>IFERROR(__xludf.DUMMYFUNCTION("""COMPUTED_VALUE"""),0.0)</f>
        <v>0</v>
      </c>
      <c r="R778" s="138">
        <f>IFERROR(__xludf.DUMMYFUNCTION("""COMPUTED_VALUE"""),1.0)</f>
        <v>1</v>
      </c>
      <c r="S778" s="139">
        <f>IFERROR(__xludf.DUMMYFUNCTION("""COMPUTED_VALUE"""),57.0)</f>
        <v>57</v>
      </c>
      <c r="T778" s="140">
        <f>IFERROR(__xludf.DUMMYFUNCTION("""COMPUTED_VALUE"""),13.0)</f>
        <v>13</v>
      </c>
      <c r="U778" s="136">
        <f>IFERROR(__xludf.DUMMYFUNCTION("""COMPUTED_VALUE"""),5.0)</f>
        <v>5</v>
      </c>
      <c r="V778" s="136">
        <f>IFERROR(__xludf.DUMMYFUNCTION("""COMPUTED_VALUE"""),10.0)</f>
        <v>10</v>
      </c>
      <c r="W778" s="136">
        <f>IFERROR(__xludf.DUMMYFUNCTION("""COMPUTED_VALUE"""),6.0)</f>
        <v>6</v>
      </c>
      <c r="X778" s="136">
        <f>IFERROR(__xludf.DUMMYFUNCTION("""COMPUTED_VALUE"""),351.625)</f>
        <v>351.625</v>
      </c>
      <c r="Y778" s="141">
        <f>IFERROR(__xludf.DUMMYFUNCTION("""COMPUTED_VALUE"""),50.54875)</f>
        <v>50.54875</v>
      </c>
      <c r="Z778" s="141">
        <f>IFERROR(__xludf.DUMMYFUNCTION("""COMPUTED_VALUE"""),2174.5)</f>
        <v>2174.5</v>
      </c>
    </row>
    <row r="779">
      <c r="A779" s="41" t="str">
        <f>IFERROR(__xludf.DUMMYFUNCTION("""COMPUTED_VALUE"""),"Prospect")</f>
        <v>Prospect</v>
      </c>
      <c r="B779" s="41" t="str">
        <f>IFERROR(__xludf.DUMMYFUNCTION("""COMPUTED_VALUE"""),"RSC008470")</f>
        <v>RSC008470</v>
      </c>
      <c r="C779" s="41" t="str">
        <f>IFERROR(__xludf.DUMMYFUNCTION("""COMPUTED_VALUE"""),"ReaperXD97")</f>
        <v>ReaperXD97</v>
      </c>
      <c r="D779" s="41" t="str">
        <f>IFERROR(__xludf.DUMMYFUNCTION("""COMPUTED_VALUE"""),"Honey Badgers")</f>
        <v>Honey Badgers</v>
      </c>
      <c r="E779" s="136">
        <f>IFERROR(__xludf.DUMMYFUNCTION("""COMPUTED_VALUE"""),39.0)</f>
        <v>39</v>
      </c>
      <c r="F779" s="136">
        <f>IFERROR(__xludf.DUMMYFUNCTION("""COMPUTED_VALUE"""),19.0)</f>
        <v>19</v>
      </c>
      <c r="G779" s="136">
        <f>IFERROR(__xludf.DUMMYFUNCTION("""COMPUTED_VALUE"""),20.0)</f>
        <v>20</v>
      </c>
      <c r="H779" s="137">
        <f>IFERROR(__xludf.DUMMYFUNCTION("""COMPUTED_VALUE"""),0.48717948717948717)</f>
        <v>0.4871794872</v>
      </c>
      <c r="I779" s="136">
        <f>IFERROR(__xludf.DUMMYFUNCTION("""COMPUTED_VALUE"""),7.0)</f>
        <v>7</v>
      </c>
      <c r="J779" s="136">
        <f>IFERROR(__xludf.DUMMYFUNCTION("""COMPUTED_VALUE"""),13609.0)</f>
        <v>13609</v>
      </c>
      <c r="K779" s="136">
        <f>IFERROR(__xludf.DUMMYFUNCTION("""COMPUTED_VALUE"""),34.0)</f>
        <v>34</v>
      </c>
      <c r="L779" s="136">
        <f>IFERROR(__xludf.DUMMYFUNCTION("""COMPUTED_VALUE"""),27.0)</f>
        <v>27</v>
      </c>
      <c r="M779" s="136">
        <f>IFERROR(__xludf.DUMMYFUNCTION("""COMPUTED_VALUE"""),48.0)</f>
        <v>48</v>
      </c>
      <c r="N779" s="136">
        <f>IFERROR(__xludf.DUMMYFUNCTION("""COMPUTED_VALUE"""),82.0)</f>
        <v>82</v>
      </c>
      <c r="O779" s="138">
        <f>IFERROR(__xludf.DUMMYFUNCTION("""COMPUTED_VALUE"""),9.0)</f>
        <v>9</v>
      </c>
      <c r="P779" s="138">
        <f>IFERROR(__xludf.DUMMYFUNCTION("""COMPUTED_VALUE"""),4.0)</f>
        <v>4</v>
      </c>
      <c r="Q779" s="138">
        <f>IFERROR(__xludf.DUMMYFUNCTION("""COMPUTED_VALUE"""),1.0)</f>
        <v>1</v>
      </c>
      <c r="R779" s="138">
        <f>IFERROR(__xludf.DUMMYFUNCTION("""COMPUTED_VALUE"""),4.0)</f>
        <v>4</v>
      </c>
      <c r="S779" s="139">
        <f>IFERROR(__xludf.DUMMYFUNCTION("""COMPUTED_VALUE"""),293.0)</f>
        <v>293</v>
      </c>
      <c r="T779" s="140">
        <f>IFERROR(__xludf.DUMMYFUNCTION("""COMPUTED_VALUE"""),101.0)</f>
        <v>101</v>
      </c>
      <c r="U779" s="136">
        <f>IFERROR(__xludf.DUMMYFUNCTION("""COMPUTED_VALUE"""),36.0)</f>
        <v>36</v>
      </c>
      <c r="V779" s="136">
        <f>IFERROR(__xludf.DUMMYFUNCTION("""COMPUTED_VALUE"""),19.0)</f>
        <v>19</v>
      </c>
      <c r="W779" s="136">
        <f>IFERROR(__xludf.DUMMYFUNCTION("""COMPUTED_VALUE"""),43.0)</f>
        <v>43</v>
      </c>
      <c r="X779" s="136">
        <f>IFERROR(__xludf.DUMMYFUNCTION("""COMPUTED_VALUE"""),300.0769230769231)</f>
        <v>300.0769231</v>
      </c>
      <c r="Y779" s="141">
        <f>IFERROR(__xludf.DUMMYFUNCTION("""COMPUTED_VALUE"""),47.47846153846154)</f>
        <v>47.47846154</v>
      </c>
      <c r="Z779" s="141">
        <f>IFERROR(__xludf.DUMMYFUNCTION("""COMPUTED_VALUE"""),1832.5384615384614)</f>
        <v>1832.538462</v>
      </c>
    </row>
    <row r="780">
      <c r="A780" s="41" t="str">
        <f>IFERROR(__xludf.DUMMYFUNCTION("""COMPUTED_VALUE"""),"Prospect")</f>
        <v>Prospect</v>
      </c>
      <c r="B780" s="41" t="str">
        <f>IFERROR(__xludf.DUMMYFUNCTION("""COMPUTED_VALUE"""),"RSC008471")</f>
        <v>RSC008471</v>
      </c>
      <c r="C780" s="41" t="str">
        <f>IFERROR(__xludf.DUMMYFUNCTION("""COMPUTED_VALUE"""),"TrytonsShadow95")</f>
        <v>TrytonsShadow95</v>
      </c>
      <c r="D780" s="41" t="str">
        <f>IFERROR(__xludf.DUMMYFUNCTION("""COMPUTED_VALUE"""),"Principales")</f>
        <v>Principales</v>
      </c>
      <c r="E780" s="136">
        <f>IFERROR(__xludf.DUMMYFUNCTION("""COMPUTED_VALUE"""),36.0)</f>
        <v>36</v>
      </c>
      <c r="F780" s="136">
        <f>IFERROR(__xludf.DUMMYFUNCTION("""COMPUTED_VALUE"""),15.0)</f>
        <v>15</v>
      </c>
      <c r="G780" s="136">
        <f>IFERROR(__xludf.DUMMYFUNCTION("""COMPUTED_VALUE"""),21.0)</f>
        <v>21</v>
      </c>
      <c r="H780" s="137">
        <f>IFERROR(__xludf.DUMMYFUNCTION("""COMPUTED_VALUE"""),0.4166666666666667)</f>
        <v>0.4166666667</v>
      </c>
      <c r="I780" s="136">
        <f>IFERROR(__xludf.DUMMYFUNCTION("""COMPUTED_VALUE"""),6.0)</f>
        <v>6</v>
      </c>
      <c r="J780" s="136">
        <f>IFERROR(__xludf.DUMMYFUNCTION("""COMPUTED_VALUE"""),12564.0)</f>
        <v>12564</v>
      </c>
      <c r="K780" s="136">
        <f>IFERROR(__xludf.DUMMYFUNCTION("""COMPUTED_VALUE"""),25.0)</f>
        <v>25</v>
      </c>
      <c r="L780" s="136">
        <f>IFERROR(__xludf.DUMMYFUNCTION("""COMPUTED_VALUE"""),15.0)</f>
        <v>15</v>
      </c>
      <c r="M780" s="136">
        <f>IFERROR(__xludf.DUMMYFUNCTION("""COMPUTED_VALUE"""),50.0)</f>
        <v>50</v>
      </c>
      <c r="N780" s="136">
        <f>IFERROR(__xludf.DUMMYFUNCTION("""COMPUTED_VALUE"""),95.0)</f>
        <v>95</v>
      </c>
      <c r="O780" s="138">
        <f>IFERROR(__xludf.DUMMYFUNCTION("""COMPUTED_VALUE"""),5.0)</f>
        <v>5</v>
      </c>
      <c r="P780" s="138">
        <f>IFERROR(__xludf.DUMMYFUNCTION("""COMPUTED_VALUE"""),0.0)</f>
        <v>0</v>
      </c>
      <c r="Q780" s="138">
        <f>IFERROR(__xludf.DUMMYFUNCTION("""COMPUTED_VALUE"""),0.0)</f>
        <v>0</v>
      </c>
      <c r="R780" s="138">
        <f>IFERROR(__xludf.DUMMYFUNCTION("""COMPUTED_VALUE"""),6.0)</f>
        <v>6</v>
      </c>
      <c r="S780" s="139">
        <f>IFERROR(__xludf.DUMMYFUNCTION("""COMPUTED_VALUE"""),308.0)</f>
        <v>308</v>
      </c>
      <c r="T780" s="140">
        <f>IFERROR(__xludf.DUMMYFUNCTION("""COMPUTED_VALUE"""),93.0)</f>
        <v>93</v>
      </c>
      <c r="U780" s="136">
        <f>IFERROR(__xludf.DUMMYFUNCTION("""COMPUTED_VALUE"""),24.0)</f>
        <v>24</v>
      </c>
      <c r="V780" s="136">
        <f>IFERROR(__xludf.DUMMYFUNCTION("""COMPUTED_VALUE"""),60.0)</f>
        <v>60</v>
      </c>
      <c r="W780" s="136">
        <f>IFERROR(__xludf.DUMMYFUNCTION("""COMPUTED_VALUE"""),27.0)</f>
        <v>27</v>
      </c>
      <c r="X780" s="136">
        <f>IFERROR(__xludf.DUMMYFUNCTION("""COMPUTED_VALUE"""),428.8611111111111)</f>
        <v>428.8611111</v>
      </c>
      <c r="Y780" s="141">
        <f>IFERROR(__xludf.DUMMYFUNCTION("""COMPUTED_VALUE"""),50.899444444444434)</f>
        <v>50.89944444</v>
      </c>
      <c r="Z780" s="141">
        <f>IFERROR(__xludf.DUMMYFUNCTION("""COMPUTED_VALUE"""),2898.8611111111113)</f>
        <v>2898.861111</v>
      </c>
    </row>
    <row r="781">
      <c r="A781" s="41" t="str">
        <f>IFERROR(__xludf.DUMMYFUNCTION("""COMPUTED_VALUE"""),"Challenger")</f>
        <v>Challenger</v>
      </c>
      <c r="B781" s="41" t="str">
        <f>IFERROR(__xludf.DUMMYFUNCTION("""COMPUTED_VALUE"""),"RSC008473")</f>
        <v>RSC008473</v>
      </c>
      <c r="C781" s="41" t="str">
        <f>IFERROR(__xludf.DUMMYFUNCTION("""COMPUTED_VALUE"""),"korndoguwu")</f>
        <v>korndoguwu</v>
      </c>
      <c r="D781" s="41" t="str">
        <f>IFERROR(__xludf.DUMMYFUNCTION("""COMPUTED_VALUE"""),"Scribes
Gold Hoarders")</f>
        <v>Scribes
Gold Hoarders</v>
      </c>
      <c r="E781" s="136">
        <f>IFERROR(__xludf.DUMMYFUNCTION("""COMPUTED_VALUE"""),10.0)</f>
        <v>10</v>
      </c>
      <c r="F781" s="136">
        <f>IFERROR(__xludf.DUMMYFUNCTION("""COMPUTED_VALUE"""),3.0)</f>
        <v>3</v>
      </c>
      <c r="G781" s="136">
        <f>IFERROR(__xludf.DUMMYFUNCTION("""COMPUTED_VALUE"""),7.0)</f>
        <v>7</v>
      </c>
      <c r="H781" s="137">
        <f>IFERROR(__xludf.DUMMYFUNCTION("""COMPUTED_VALUE"""),0.3)</f>
        <v>0.3</v>
      </c>
      <c r="I781" s="136">
        <f>IFERROR(__xludf.DUMMYFUNCTION("""COMPUTED_VALUE"""),2.0)</f>
        <v>2</v>
      </c>
      <c r="J781" s="136">
        <f>IFERROR(__xludf.DUMMYFUNCTION("""COMPUTED_VALUE"""),2677.0)</f>
        <v>2677</v>
      </c>
      <c r="K781" s="136">
        <f>IFERROR(__xludf.DUMMYFUNCTION("""COMPUTED_VALUE"""),6.0)</f>
        <v>6</v>
      </c>
      <c r="L781" s="136">
        <f>IFERROR(__xludf.DUMMYFUNCTION("""COMPUTED_VALUE"""),4.0)</f>
        <v>4</v>
      </c>
      <c r="M781" s="136">
        <f>IFERROR(__xludf.DUMMYFUNCTION("""COMPUTED_VALUE"""),11.0)</f>
        <v>11</v>
      </c>
      <c r="N781" s="136">
        <f>IFERROR(__xludf.DUMMYFUNCTION("""COMPUTED_VALUE"""),16.0)</f>
        <v>16</v>
      </c>
      <c r="O781" s="138">
        <f>IFERROR(__xludf.DUMMYFUNCTION("""COMPUTED_VALUE"""),2.0)</f>
        <v>2</v>
      </c>
      <c r="P781" s="138">
        <f>IFERROR(__xludf.DUMMYFUNCTION("""COMPUTED_VALUE"""),0.0)</f>
        <v>0</v>
      </c>
      <c r="Q781" s="138">
        <f>IFERROR(__xludf.DUMMYFUNCTION("""COMPUTED_VALUE"""),0.0)</f>
        <v>0</v>
      </c>
      <c r="R781" s="138">
        <f>IFERROR(__xludf.DUMMYFUNCTION("""COMPUTED_VALUE"""),1.0)</f>
        <v>1</v>
      </c>
      <c r="S781" s="139">
        <f>IFERROR(__xludf.DUMMYFUNCTION("""COMPUTED_VALUE"""),76.0)</f>
        <v>76</v>
      </c>
      <c r="T781" s="140">
        <f>IFERROR(__xludf.DUMMYFUNCTION("""COMPUTED_VALUE"""),35.0)</f>
        <v>35</v>
      </c>
      <c r="U781" s="136">
        <f>IFERROR(__xludf.DUMMYFUNCTION("""COMPUTED_VALUE"""),9.0)</f>
        <v>9</v>
      </c>
      <c r="V781" s="136">
        <f>IFERROR(__xludf.DUMMYFUNCTION("""COMPUTED_VALUE"""),8.0)</f>
        <v>8</v>
      </c>
      <c r="W781" s="136">
        <f>IFERROR(__xludf.DUMMYFUNCTION("""COMPUTED_VALUE"""),17.0)</f>
        <v>17</v>
      </c>
      <c r="X781" s="136">
        <f>IFERROR(__xludf.DUMMYFUNCTION("""COMPUTED_VALUE"""),379.4)</f>
        <v>379.4</v>
      </c>
      <c r="Y781" s="141">
        <f>IFERROR(__xludf.DUMMYFUNCTION("""COMPUTED_VALUE"""),47.096000000000004)</f>
        <v>47.096</v>
      </c>
      <c r="Z781" s="141">
        <f>IFERROR(__xludf.DUMMYFUNCTION("""COMPUTED_VALUE"""),2266.7)</f>
        <v>2266.7</v>
      </c>
    </row>
    <row r="782">
      <c r="A782" s="41" t="str">
        <f>IFERROR(__xludf.DUMMYFUNCTION("""COMPUTED_VALUE"""),"Elite")</f>
        <v>Elite</v>
      </c>
      <c r="B782" s="41" t="str">
        <f>IFERROR(__xludf.DUMMYFUNCTION("""COMPUTED_VALUE"""),"RSC008478")</f>
        <v>RSC008478</v>
      </c>
      <c r="C782" s="41" t="str">
        <f>IFERROR(__xludf.DUMMYFUNCTION("""COMPUTED_VALUE"""),"Inflict")</f>
        <v>Inflict</v>
      </c>
      <c r="D782" s="41" t="str">
        <f>IFERROR(__xludf.DUMMYFUNCTION("""COMPUTED_VALUE"""),"Teddy Bears")</f>
        <v>Teddy Bears</v>
      </c>
      <c r="E782" s="136">
        <f>IFERROR(__xludf.DUMMYFUNCTION("""COMPUTED_VALUE"""),12.0)</f>
        <v>12</v>
      </c>
      <c r="F782" s="136">
        <f>IFERROR(__xludf.DUMMYFUNCTION("""COMPUTED_VALUE"""),1.0)</f>
        <v>1</v>
      </c>
      <c r="G782" s="136">
        <f>IFERROR(__xludf.DUMMYFUNCTION("""COMPUTED_VALUE"""),11.0)</f>
        <v>11</v>
      </c>
      <c r="H782" s="137">
        <f>IFERROR(__xludf.DUMMYFUNCTION("""COMPUTED_VALUE"""),0.08333333333333333)</f>
        <v>0.08333333333</v>
      </c>
      <c r="I782" s="136">
        <f>IFERROR(__xludf.DUMMYFUNCTION("""COMPUTED_VALUE"""),0.0)</f>
        <v>0</v>
      </c>
      <c r="J782" s="136">
        <f>IFERROR(__xludf.DUMMYFUNCTION("""COMPUTED_VALUE"""),3586.0)</f>
        <v>3586</v>
      </c>
      <c r="K782" s="136">
        <f>IFERROR(__xludf.DUMMYFUNCTION("""COMPUTED_VALUE"""),7.0)</f>
        <v>7</v>
      </c>
      <c r="L782" s="136">
        <f>IFERROR(__xludf.DUMMYFUNCTION("""COMPUTED_VALUE"""),3.0)</f>
        <v>3</v>
      </c>
      <c r="M782" s="136">
        <f>IFERROR(__xludf.DUMMYFUNCTION("""COMPUTED_VALUE"""),17.0)</f>
        <v>17</v>
      </c>
      <c r="N782" s="136">
        <f>IFERROR(__xludf.DUMMYFUNCTION("""COMPUTED_VALUE"""),25.0)</f>
        <v>25</v>
      </c>
      <c r="O782" s="138">
        <f>IFERROR(__xludf.DUMMYFUNCTION("""COMPUTED_VALUE"""),2.0)</f>
        <v>2</v>
      </c>
      <c r="P782" s="138">
        <f>IFERROR(__xludf.DUMMYFUNCTION("""COMPUTED_VALUE"""),0.0)</f>
        <v>0</v>
      </c>
      <c r="Q782" s="138">
        <f>IFERROR(__xludf.DUMMYFUNCTION("""COMPUTED_VALUE"""),0.0)</f>
        <v>0</v>
      </c>
      <c r="R782" s="138">
        <f>IFERROR(__xludf.DUMMYFUNCTION("""COMPUTED_VALUE"""),3.0)</f>
        <v>3</v>
      </c>
      <c r="S782" s="139">
        <f>IFERROR(__xludf.DUMMYFUNCTION("""COMPUTED_VALUE"""),114.0)</f>
        <v>114</v>
      </c>
      <c r="T782" s="140">
        <f>IFERROR(__xludf.DUMMYFUNCTION("""COMPUTED_VALUE"""),42.0)</f>
        <v>42</v>
      </c>
      <c r="U782" s="136">
        <f>IFERROR(__xludf.DUMMYFUNCTION("""COMPUTED_VALUE"""),17.0)</f>
        <v>17</v>
      </c>
      <c r="V782" s="136">
        <f>IFERROR(__xludf.DUMMYFUNCTION("""COMPUTED_VALUE"""),7.0)</f>
        <v>7</v>
      </c>
      <c r="W782" s="136">
        <f>IFERROR(__xludf.DUMMYFUNCTION("""COMPUTED_VALUE"""),18.0)</f>
        <v>18</v>
      </c>
      <c r="X782" s="136">
        <f>IFERROR(__xludf.DUMMYFUNCTION("""COMPUTED_VALUE"""),434.0)</f>
        <v>434</v>
      </c>
      <c r="Y782" s="141">
        <f>IFERROR(__xludf.DUMMYFUNCTION("""COMPUTED_VALUE"""),42.711666666666666)</f>
        <v>42.71166667</v>
      </c>
      <c r="Z782" s="141">
        <f>IFERROR(__xludf.DUMMYFUNCTION("""COMPUTED_VALUE"""),2554.1666666666665)</f>
        <v>2554.166667</v>
      </c>
    </row>
    <row r="783">
      <c r="A783" s="41" t="str">
        <f>IFERROR(__xludf.DUMMYFUNCTION("""COMPUTED_VALUE"""),"Elite")</f>
        <v>Elite</v>
      </c>
      <c r="B783" s="41" t="str">
        <f>IFERROR(__xludf.DUMMYFUNCTION("""COMPUTED_VALUE"""),"RSC008479")</f>
        <v>RSC008479</v>
      </c>
      <c r="C783" s="41" t="str">
        <f>IFERROR(__xludf.DUMMYFUNCTION("""COMPUTED_VALUE"""),"Yaki")</f>
        <v>Yaki</v>
      </c>
      <c r="D783" s="41" t="str">
        <f>IFERROR(__xludf.DUMMYFUNCTION("""COMPUTED_VALUE"""),"Frostbite")</f>
        <v>Frostbite</v>
      </c>
      <c r="E783" s="136">
        <f>IFERROR(__xludf.DUMMYFUNCTION("""COMPUTED_VALUE"""),52.0)</f>
        <v>52</v>
      </c>
      <c r="F783" s="136">
        <f>IFERROR(__xludf.DUMMYFUNCTION("""COMPUTED_VALUE"""),24.0)</f>
        <v>24</v>
      </c>
      <c r="G783" s="136">
        <f>IFERROR(__xludf.DUMMYFUNCTION("""COMPUTED_VALUE"""),28.0)</f>
        <v>28</v>
      </c>
      <c r="H783" s="137">
        <f>IFERROR(__xludf.DUMMYFUNCTION("""COMPUTED_VALUE"""),0.46153846153846156)</f>
        <v>0.4615384615</v>
      </c>
      <c r="I783" s="136">
        <f>IFERROR(__xludf.DUMMYFUNCTION("""COMPUTED_VALUE"""),8.0)</f>
        <v>8</v>
      </c>
      <c r="J783" s="136">
        <f>IFERROR(__xludf.DUMMYFUNCTION("""COMPUTED_VALUE"""),16899.0)</f>
        <v>16899</v>
      </c>
      <c r="K783" s="136">
        <f>IFERROR(__xludf.DUMMYFUNCTION("""COMPUTED_VALUE"""),43.0)</f>
        <v>43</v>
      </c>
      <c r="L783" s="136">
        <f>IFERROR(__xludf.DUMMYFUNCTION("""COMPUTED_VALUE"""),25.0)</f>
        <v>25</v>
      </c>
      <c r="M783" s="136">
        <f>IFERROR(__xludf.DUMMYFUNCTION("""COMPUTED_VALUE"""),59.0)</f>
        <v>59</v>
      </c>
      <c r="N783" s="136">
        <f>IFERROR(__xludf.DUMMYFUNCTION("""COMPUTED_VALUE"""),137.0)</f>
        <v>137</v>
      </c>
      <c r="O783" s="138">
        <f>IFERROR(__xludf.DUMMYFUNCTION("""COMPUTED_VALUE"""),10.0)</f>
        <v>10</v>
      </c>
      <c r="P783" s="138">
        <f>IFERROR(__xludf.DUMMYFUNCTION("""COMPUTED_VALUE"""),2.0)</f>
        <v>2</v>
      </c>
      <c r="Q783" s="138">
        <f>IFERROR(__xludf.DUMMYFUNCTION("""COMPUTED_VALUE"""),0.0)</f>
        <v>0</v>
      </c>
      <c r="R783" s="138">
        <f>IFERROR(__xludf.DUMMYFUNCTION("""COMPUTED_VALUE"""),6.0)</f>
        <v>6</v>
      </c>
      <c r="S783" s="139">
        <f>IFERROR(__xludf.DUMMYFUNCTION("""COMPUTED_VALUE"""),400.0)</f>
        <v>400</v>
      </c>
      <c r="T783" s="140">
        <f>IFERROR(__xludf.DUMMYFUNCTION("""COMPUTED_VALUE"""),127.0)</f>
        <v>127</v>
      </c>
      <c r="U783" s="136">
        <f>IFERROR(__xludf.DUMMYFUNCTION("""COMPUTED_VALUE"""),45.0)</f>
        <v>45</v>
      </c>
      <c r="V783" s="136">
        <f>IFERROR(__xludf.DUMMYFUNCTION("""COMPUTED_VALUE"""),43.0)</f>
        <v>43</v>
      </c>
      <c r="W783" s="136">
        <f>IFERROR(__xludf.DUMMYFUNCTION("""COMPUTED_VALUE"""),62.0)</f>
        <v>62</v>
      </c>
      <c r="X783" s="136">
        <f>IFERROR(__xludf.DUMMYFUNCTION("""COMPUTED_VALUE"""),378.71153846153845)</f>
        <v>378.7115385</v>
      </c>
      <c r="Y783" s="141">
        <f>IFERROR(__xludf.DUMMYFUNCTION("""COMPUTED_VALUE"""),52.292115384615386)</f>
        <v>52.29211538</v>
      </c>
      <c r="Z783" s="141">
        <f>IFERROR(__xludf.DUMMYFUNCTION("""COMPUTED_VALUE"""),2227.4423076923076)</f>
        <v>2227.442308</v>
      </c>
    </row>
    <row r="784">
      <c r="A784" s="41" t="str">
        <f>IFERROR(__xludf.DUMMYFUNCTION("""COMPUTED_VALUE"""),"Rival")</f>
        <v>Rival</v>
      </c>
      <c r="B784" s="41" t="str">
        <f>IFERROR(__xludf.DUMMYFUNCTION("""COMPUTED_VALUE"""),"RSC008484")</f>
        <v>RSC008484</v>
      </c>
      <c r="C784" s="41" t="str">
        <f>IFERROR(__xludf.DUMMYFUNCTION("""COMPUTED_VALUE"""),"PshycoNot")</f>
        <v>PshycoNot</v>
      </c>
      <c r="D784" s="41" t="str">
        <f>IFERROR(__xludf.DUMMYFUNCTION("""COMPUTED_VALUE"""),"Lacuna")</f>
        <v>Lacuna</v>
      </c>
      <c r="E784" s="136">
        <f>IFERROR(__xludf.DUMMYFUNCTION("""COMPUTED_VALUE"""),13.0)</f>
        <v>13</v>
      </c>
      <c r="F784" s="136">
        <f>IFERROR(__xludf.DUMMYFUNCTION("""COMPUTED_VALUE"""),7.0)</f>
        <v>7</v>
      </c>
      <c r="G784" s="136">
        <f>IFERROR(__xludf.DUMMYFUNCTION("""COMPUTED_VALUE"""),6.0)</f>
        <v>6</v>
      </c>
      <c r="H784" s="137">
        <f>IFERROR(__xludf.DUMMYFUNCTION("""COMPUTED_VALUE"""),0.5384615384615384)</f>
        <v>0.5384615385</v>
      </c>
      <c r="I784" s="136">
        <f>IFERROR(__xludf.DUMMYFUNCTION("""COMPUTED_VALUE"""),3.0)</f>
        <v>3</v>
      </c>
      <c r="J784" s="136">
        <f>IFERROR(__xludf.DUMMYFUNCTION("""COMPUTED_VALUE"""),5167.0)</f>
        <v>5167</v>
      </c>
      <c r="K784" s="136">
        <f>IFERROR(__xludf.DUMMYFUNCTION("""COMPUTED_VALUE"""),15.0)</f>
        <v>15</v>
      </c>
      <c r="L784" s="136">
        <f>IFERROR(__xludf.DUMMYFUNCTION("""COMPUTED_VALUE"""),4.0)</f>
        <v>4</v>
      </c>
      <c r="M784" s="136">
        <f>IFERROR(__xludf.DUMMYFUNCTION("""COMPUTED_VALUE"""),18.0)</f>
        <v>18</v>
      </c>
      <c r="N784" s="136">
        <f>IFERROR(__xludf.DUMMYFUNCTION("""COMPUTED_VALUE"""),39.0)</f>
        <v>39</v>
      </c>
      <c r="O784" s="138">
        <f>IFERROR(__xludf.DUMMYFUNCTION("""COMPUTED_VALUE"""),3.0)</f>
        <v>3</v>
      </c>
      <c r="P784" s="138">
        <f>IFERROR(__xludf.DUMMYFUNCTION("""COMPUTED_VALUE"""),1.0)</f>
        <v>1</v>
      </c>
      <c r="Q784" s="138">
        <f>IFERROR(__xludf.DUMMYFUNCTION("""COMPUTED_VALUE"""),0.0)</f>
        <v>0</v>
      </c>
      <c r="R784" s="138">
        <f>IFERROR(__xludf.DUMMYFUNCTION("""COMPUTED_VALUE"""),2.0)</f>
        <v>2</v>
      </c>
      <c r="S784" s="139">
        <f>IFERROR(__xludf.DUMMYFUNCTION("""COMPUTED_VALUE"""),110.0)</f>
        <v>110</v>
      </c>
      <c r="T784" s="140">
        <f>IFERROR(__xludf.DUMMYFUNCTION("""COMPUTED_VALUE"""),28.0)</f>
        <v>28</v>
      </c>
      <c r="U784" s="136">
        <f>IFERROR(__xludf.DUMMYFUNCTION("""COMPUTED_VALUE"""),12.0)</f>
        <v>12</v>
      </c>
      <c r="V784" s="136">
        <f>IFERROR(__xludf.DUMMYFUNCTION("""COMPUTED_VALUE"""),19.0)</f>
        <v>19</v>
      </c>
      <c r="W784" s="136">
        <f>IFERROR(__xludf.DUMMYFUNCTION("""COMPUTED_VALUE"""),10.0)</f>
        <v>10</v>
      </c>
      <c r="X784" s="136">
        <f>IFERROR(__xludf.DUMMYFUNCTION("""COMPUTED_VALUE"""),353.53846153846155)</f>
        <v>353.5384615</v>
      </c>
      <c r="Y784" s="141">
        <f>IFERROR(__xludf.DUMMYFUNCTION("""COMPUTED_VALUE"""),55.324615384615385)</f>
        <v>55.32461538</v>
      </c>
      <c r="Z784" s="141">
        <f>IFERROR(__xludf.DUMMYFUNCTION("""COMPUTED_VALUE"""),2342.6153846153848)</f>
        <v>2342.615385</v>
      </c>
    </row>
    <row r="785">
      <c r="A785" s="41" t="str">
        <f>IFERROR(__xludf.DUMMYFUNCTION("""COMPUTED_VALUE"""),"Rival")</f>
        <v>Rival</v>
      </c>
      <c r="B785" s="41" t="str">
        <f>IFERROR(__xludf.DUMMYFUNCTION("""COMPUTED_VALUE"""),"RSC008487")</f>
        <v>RSC008487</v>
      </c>
      <c r="C785" s="41" t="str">
        <f>IFERROR(__xludf.DUMMYFUNCTION("""COMPUTED_VALUE"""),"S3 UniQ")</f>
        <v>S3 UniQ</v>
      </c>
      <c r="D785" s="41" t="str">
        <f>IFERROR(__xludf.DUMMYFUNCTION("""COMPUTED_VALUE"""),"Samurai
Tax Evaders
Phantoms
Ruthless Racket")</f>
        <v>Samurai
Tax Evaders
Phantoms
Ruthless Racket</v>
      </c>
      <c r="E785" s="136">
        <f>IFERROR(__xludf.DUMMYFUNCTION("""COMPUTED_VALUE"""),50.0)</f>
        <v>50</v>
      </c>
      <c r="F785" s="136">
        <f>IFERROR(__xludf.DUMMYFUNCTION("""COMPUTED_VALUE"""),30.0)</f>
        <v>30</v>
      </c>
      <c r="G785" s="136">
        <f>IFERROR(__xludf.DUMMYFUNCTION("""COMPUTED_VALUE"""),20.0)</f>
        <v>20</v>
      </c>
      <c r="H785" s="137">
        <f>IFERROR(__xludf.DUMMYFUNCTION("""COMPUTED_VALUE"""),0.6)</f>
        <v>0.6</v>
      </c>
      <c r="I785" s="136">
        <f>IFERROR(__xludf.DUMMYFUNCTION("""COMPUTED_VALUE"""),9.0)</f>
        <v>9</v>
      </c>
      <c r="J785" s="136">
        <f>IFERROR(__xludf.DUMMYFUNCTION("""COMPUTED_VALUE"""),17113.0)</f>
        <v>17113</v>
      </c>
      <c r="K785" s="136">
        <f>IFERROR(__xludf.DUMMYFUNCTION("""COMPUTED_VALUE"""),45.0)</f>
        <v>45</v>
      </c>
      <c r="L785" s="136">
        <f>IFERROR(__xludf.DUMMYFUNCTION("""COMPUTED_VALUE"""),28.0)</f>
        <v>28</v>
      </c>
      <c r="M785" s="136">
        <f>IFERROR(__xludf.DUMMYFUNCTION("""COMPUTED_VALUE"""),47.0)</f>
        <v>47</v>
      </c>
      <c r="N785" s="136">
        <f>IFERROR(__xludf.DUMMYFUNCTION("""COMPUTED_VALUE"""),127.0)</f>
        <v>127</v>
      </c>
      <c r="O785" s="138">
        <f>IFERROR(__xludf.DUMMYFUNCTION("""COMPUTED_VALUE"""),7.0)</f>
        <v>7</v>
      </c>
      <c r="P785" s="138">
        <f>IFERROR(__xludf.DUMMYFUNCTION("""COMPUTED_VALUE"""),4.0)</f>
        <v>4</v>
      </c>
      <c r="Q785" s="138">
        <f>IFERROR(__xludf.DUMMYFUNCTION("""COMPUTED_VALUE"""),2.0)</f>
        <v>2</v>
      </c>
      <c r="R785" s="138">
        <f>IFERROR(__xludf.DUMMYFUNCTION("""COMPUTED_VALUE"""),2.0)</f>
        <v>2</v>
      </c>
      <c r="S785" s="139">
        <f>IFERROR(__xludf.DUMMYFUNCTION("""COMPUTED_VALUE"""),337.0)</f>
        <v>337</v>
      </c>
      <c r="T785" s="140">
        <f>IFERROR(__xludf.DUMMYFUNCTION("""COMPUTED_VALUE"""),109.0)</f>
        <v>109</v>
      </c>
      <c r="U785" s="136">
        <f>IFERROR(__xludf.DUMMYFUNCTION("""COMPUTED_VALUE"""),38.0)</f>
        <v>38</v>
      </c>
      <c r="V785" s="136">
        <f>IFERROR(__xludf.DUMMYFUNCTION("""COMPUTED_VALUE"""),48.0)</f>
        <v>48</v>
      </c>
      <c r="W785" s="136">
        <f>IFERROR(__xludf.DUMMYFUNCTION("""COMPUTED_VALUE"""),47.0)</f>
        <v>47</v>
      </c>
      <c r="X785" s="136">
        <f>IFERROR(__xludf.DUMMYFUNCTION("""COMPUTED_VALUE"""),394.72)</f>
        <v>394.72</v>
      </c>
      <c r="Y785" s="141">
        <f>IFERROR(__xludf.DUMMYFUNCTION("""COMPUTED_VALUE"""),49.1154)</f>
        <v>49.1154</v>
      </c>
      <c r="Z785" s="141">
        <f>IFERROR(__xludf.DUMMYFUNCTION("""COMPUTED_VALUE"""),2412.8)</f>
        <v>2412.8</v>
      </c>
    </row>
    <row r="786">
      <c r="A786" s="41" t="str">
        <f>IFERROR(__xludf.DUMMYFUNCTION("""COMPUTED_VALUE"""),"Elite")</f>
        <v>Elite</v>
      </c>
      <c r="B786" s="41" t="str">
        <f>IFERROR(__xludf.DUMMYFUNCTION("""COMPUTED_VALUE"""),"RSC008488")</f>
        <v>RSC008488</v>
      </c>
      <c r="C786" s="41" t="str">
        <f>IFERROR(__xludf.DUMMYFUNCTION("""COMPUTED_VALUE"""),"J.Boosted")</f>
        <v>J.Boosted</v>
      </c>
      <c r="D786" s="41" t="str">
        <f>IFERROR(__xludf.DUMMYFUNCTION("""COMPUTED_VALUE"""),"Forge Defenders
Black-Holes")</f>
        <v>Forge Defenders
Black-Holes</v>
      </c>
      <c r="E786" s="136">
        <f>IFERROR(__xludf.DUMMYFUNCTION("""COMPUTED_VALUE"""),49.0)</f>
        <v>49</v>
      </c>
      <c r="F786" s="136">
        <f>IFERROR(__xludf.DUMMYFUNCTION("""COMPUTED_VALUE"""),29.0)</f>
        <v>29</v>
      </c>
      <c r="G786" s="136">
        <f>IFERROR(__xludf.DUMMYFUNCTION("""COMPUTED_VALUE"""),20.0)</f>
        <v>20</v>
      </c>
      <c r="H786" s="137">
        <f>IFERROR(__xludf.DUMMYFUNCTION("""COMPUTED_VALUE"""),0.5918367346938775)</f>
        <v>0.5918367347</v>
      </c>
      <c r="I786" s="136">
        <f>IFERROR(__xludf.DUMMYFUNCTION("""COMPUTED_VALUE"""),8.0)</f>
        <v>8</v>
      </c>
      <c r="J786" s="136">
        <f>IFERROR(__xludf.DUMMYFUNCTION("""COMPUTED_VALUE"""),19258.0)</f>
        <v>19258</v>
      </c>
      <c r="K786" s="136">
        <f>IFERROR(__xludf.DUMMYFUNCTION("""COMPUTED_VALUE"""),41.0)</f>
        <v>41</v>
      </c>
      <c r="L786" s="136">
        <f>IFERROR(__xludf.DUMMYFUNCTION("""COMPUTED_VALUE"""),33.0)</f>
        <v>33</v>
      </c>
      <c r="M786" s="136">
        <f>IFERROR(__xludf.DUMMYFUNCTION("""COMPUTED_VALUE"""),70.0)</f>
        <v>70</v>
      </c>
      <c r="N786" s="136">
        <f>IFERROR(__xludf.DUMMYFUNCTION("""COMPUTED_VALUE"""),130.0)</f>
        <v>130</v>
      </c>
      <c r="O786" s="138">
        <f>IFERROR(__xludf.DUMMYFUNCTION("""COMPUTED_VALUE"""),7.0)</f>
        <v>7</v>
      </c>
      <c r="P786" s="138">
        <f>IFERROR(__xludf.DUMMYFUNCTION("""COMPUTED_VALUE"""),2.0)</f>
        <v>2</v>
      </c>
      <c r="Q786" s="138">
        <f>IFERROR(__xludf.DUMMYFUNCTION("""COMPUTED_VALUE"""),3.0)</f>
        <v>3</v>
      </c>
      <c r="R786" s="138">
        <f>IFERROR(__xludf.DUMMYFUNCTION("""COMPUTED_VALUE"""),6.0)</f>
        <v>6</v>
      </c>
      <c r="S786" s="139">
        <f>IFERROR(__xludf.DUMMYFUNCTION("""COMPUTED_VALUE"""),383.0)</f>
        <v>383</v>
      </c>
      <c r="T786" s="140">
        <f>IFERROR(__xludf.DUMMYFUNCTION("""COMPUTED_VALUE"""),103.0)</f>
        <v>103</v>
      </c>
      <c r="U786" s="136">
        <f>IFERROR(__xludf.DUMMYFUNCTION("""COMPUTED_VALUE"""),37.0)</f>
        <v>37</v>
      </c>
      <c r="V786" s="136">
        <f>IFERROR(__xludf.DUMMYFUNCTION("""COMPUTED_VALUE"""),45.0)</f>
        <v>45</v>
      </c>
      <c r="W786" s="136">
        <f>IFERROR(__xludf.DUMMYFUNCTION("""COMPUTED_VALUE"""),61.0)</f>
        <v>61</v>
      </c>
      <c r="X786" s="136">
        <f>IFERROR(__xludf.DUMMYFUNCTION("""COMPUTED_VALUE"""),416.81632653061223)</f>
        <v>416.8163265</v>
      </c>
      <c r="Y786" s="141">
        <f>IFERROR(__xludf.DUMMYFUNCTION("""COMPUTED_VALUE"""),47.14020408163264)</f>
        <v>47.14020408</v>
      </c>
      <c r="Z786" s="141">
        <f>IFERROR(__xludf.DUMMYFUNCTION("""COMPUTED_VALUE"""),2566.6530612244896)</f>
        <v>2566.653061</v>
      </c>
    </row>
    <row r="787">
      <c r="A787" s="41" t="str">
        <f>IFERROR(__xludf.DUMMYFUNCTION("""COMPUTED_VALUE"""),"Rival")</f>
        <v>Rival</v>
      </c>
      <c r="B787" s="41" t="str">
        <f>IFERROR(__xludf.DUMMYFUNCTION("""COMPUTED_VALUE"""),"RSC008489")</f>
        <v>RSC008489</v>
      </c>
      <c r="C787" s="41" t="str">
        <f>IFERROR(__xludf.DUMMYFUNCTION("""COMPUTED_VALUE"""),"nacho_nachos2")</f>
        <v>nacho_nachos2</v>
      </c>
      <c r="D787" s="41" t="str">
        <f>IFERROR(__xludf.DUMMYFUNCTION("""COMPUTED_VALUE"""),"Scramjets")</f>
        <v>Scramjets</v>
      </c>
      <c r="E787" s="136">
        <f>IFERROR(__xludf.DUMMYFUNCTION("""COMPUTED_VALUE"""),2.0)</f>
        <v>2</v>
      </c>
      <c r="F787" s="136">
        <f>IFERROR(__xludf.DUMMYFUNCTION("""COMPUTED_VALUE"""),1.0)</f>
        <v>1</v>
      </c>
      <c r="G787" s="136">
        <f>IFERROR(__xludf.DUMMYFUNCTION("""COMPUTED_VALUE"""),1.0)</f>
        <v>1</v>
      </c>
      <c r="H787" s="137">
        <f>IFERROR(__xludf.DUMMYFUNCTION("""COMPUTED_VALUE"""),0.5)</f>
        <v>0.5</v>
      </c>
      <c r="I787" s="136">
        <f>IFERROR(__xludf.DUMMYFUNCTION("""COMPUTED_VALUE"""),0.0)</f>
        <v>0</v>
      </c>
      <c r="J787" s="136">
        <f>IFERROR(__xludf.DUMMYFUNCTION("""COMPUTED_VALUE"""),207.0)</f>
        <v>207</v>
      </c>
      <c r="K787" s="136">
        <f>IFERROR(__xludf.DUMMYFUNCTION("""COMPUTED_VALUE"""),0.0)</f>
        <v>0</v>
      </c>
      <c r="L787" s="136">
        <f>IFERROR(__xludf.DUMMYFUNCTION("""COMPUTED_VALUE"""),0.0)</f>
        <v>0</v>
      </c>
      <c r="M787" s="136">
        <f>IFERROR(__xludf.DUMMYFUNCTION("""COMPUTED_VALUE"""),1.0)</f>
        <v>1</v>
      </c>
      <c r="N787" s="136">
        <f>IFERROR(__xludf.DUMMYFUNCTION("""COMPUTED_VALUE"""),0.0)</f>
        <v>0</v>
      </c>
      <c r="O787" s="138">
        <f>IFERROR(__xludf.DUMMYFUNCTION("""COMPUTED_VALUE"""),0.0)</f>
        <v>0</v>
      </c>
      <c r="P787" s="138">
        <f>IFERROR(__xludf.DUMMYFUNCTION("""COMPUTED_VALUE"""),0.0)</f>
        <v>0</v>
      </c>
      <c r="Q787" s="138">
        <f>IFERROR(__xludf.DUMMYFUNCTION("""COMPUTED_VALUE"""),0.0)</f>
        <v>0</v>
      </c>
      <c r="R787" s="138">
        <f>IFERROR(__xludf.DUMMYFUNCTION("""COMPUTED_VALUE"""),0.0)</f>
        <v>0</v>
      </c>
      <c r="S787" s="139">
        <f>IFERROR(__xludf.DUMMYFUNCTION("""COMPUTED_VALUE"""),16.0)</f>
        <v>16</v>
      </c>
      <c r="T787" s="140">
        <f>IFERROR(__xludf.DUMMYFUNCTION("""COMPUTED_VALUE"""),5.0)</f>
        <v>5</v>
      </c>
      <c r="U787" s="136">
        <f>IFERROR(__xludf.DUMMYFUNCTION("""COMPUTED_VALUE"""),0.0)</f>
        <v>0</v>
      </c>
      <c r="V787" s="136">
        <f>IFERROR(__xludf.DUMMYFUNCTION("""COMPUTED_VALUE"""),0.0)</f>
        <v>0</v>
      </c>
      <c r="W787" s="136">
        <f>IFERROR(__xludf.DUMMYFUNCTION("""COMPUTED_VALUE"""),1.0)</f>
        <v>1</v>
      </c>
      <c r="X787" s="136">
        <f>IFERROR(__xludf.DUMMYFUNCTION("""COMPUTED_VALUE"""),218.0)</f>
        <v>218</v>
      </c>
      <c r="Y787" s="141">
        <f>IFERROR(__xludf.DUMMYFUNCTION("""COMPUTED_VALUE"""),50.96)</f>
        <v>50.96</v>
      </c>
      <c r="Z787" s="141">
        <f>IFERROR(__xludf.DUMMYFUNCTION("""COMPUTED_VALUE"""),1460.5)</f>
        <v>1460.5</v>
      </c>
    </row>
    <row r="788">
      <c r="A788" s="41" t="str">
        <f>IFERROR(__xludf.DUMMYFUNCTION("""COMPUTED_VALUE"""),"Amateur")</f>
        <v>Amateur</v>
      </c>
      <c r="B788" s="41" t="str">
        <f>IFERROR(__xludf.DUMMYFUNCTION("""COMPUTED_VALUE"""),"RSC008489")</f>
        <v>RSC008489</v>
      </c>
      <c r="C788" s="41" t="str">
        <f>IFERROR(__xludf.DUMMYFUNCTION("""COMPUTED_VALUE"""),"nacho_nachos2")</f>
        <v>nacho_nachos2</v>
      </c>
      <c r="D788" s="41" t="str">
        <f>IFERROR(__xludf.DUMMYFUNCTION("""COMPUTED_VALUE"""),"Bombers")</f>
        <v>Bombers</v>
      </c>
      <c r="E788" s="136">
        <f>IFERROR(__xludf.DUMMYFUNCTION("""COMPUTED_VALUE"""),4.0)</f>
        <v>4</v>
      </c>
      <c r="F788" s="136">
        <f>IFERROR(__xludf.DUMMYFUNCTION("""COMPUTED_VALUE"""),1.0)</f>
        <v>1</v>
      </c>
      <c r="G788" s="136">
        <f>IFERROR(__xludf.DUMMYFUNCTION("""COMPUTED_VALUE"""),3.0)</f>
        <v>3</v>
      </c>
      <c r="H788" s="137">
        <f>IFERROR(__xludf.DUMMYFUNCTION("""COMPUTED_VALUE"""),0.25)</f>
        <v>0.25</v>
      </c>
      <c r="I788" s="136">
        <f>IFERROR(__xludf.DUMMYFUNCTION("""COMPUTED_VALUE"""),0.0)</f>
        <v>0</v>
      </c>
      <c r="J788" s="136">
        <f>IFERROR(__xludf.DUMMYFUNCTION("""COMPUTED_VALUE"""),361.0)</f>
        <v>361</v>
      </c>
      <c r="K788" s="136">
        <f>IFERROR(__xludf.DUMMYFUNCTION("""COMPUTED_VALUE"""),0.0)</f>
        <v>0</v>
      </c>
      <c r="L788" s="136">
        <f>IFERROR(__xludf.DUMMYFUNCTION("""COMPUTED_VALUE"""),0.0)</f>
        <v>0</v>
      </c>
      <c r="M788" s="136">
        <f>IFERROR(__xludf.DUMMYFUNCTION("""COMPUTED_VALUE"""),2.0)</f>
        <v>2</v>
      </c>
      <c r="N788" s="136">
        <f>IFERROR(__xludf.DUMMYFUNCTION("""COMPUTED_VALUE"""),2.0)</f>
        <v>2</v>
      </c>
      <c r="O788" s="138">
        <f>IFERROR(__xludf.DUMMYFUNCTION("""COMPUTED_VALUE"""),0.0)</f>
        <v>0</v>
      </c>
      <c r="P788" s="138">
        <f>IFERROR(__xludf.DUMMYFUNCTION("""COMPUTED_VALUE"""),0.0)</f>
        <v>0</v>
      </c>
      <c r="Q788" s="138">
        <f>IFERROR(__xludf.DUMMYFUNCTION("""COMPUTED_VALUE"""),0.0)</f>
        <v>0</v>
      </c>
      <c r="R788" s="138">
        <f>IFERROR(__xludf.DUMMYFUNCTION("""COMPUTED_VALUE"""),0.0)</f>
        <v>0</v>
      </c>
      <c r="S788" s="139">
        <f>IFERROR(__xludf.DUMMYFUNCTION("""COMPUTED_VALUE"""),29.0)</f>
        <v>29</v>
      </c>
      <c r="T788" s="140">
        <f>IFERROR(__xludf.DUMMYFUNCTION("""COMPUTED_VALUE"""),9.0)</f>
        <v>9</v>
      </c>
      <c r="U788" s="136">
        <f>IFERROR(__xludf.DUMMYFUNCTION("""COMPUTED_VALUE"""),3.0)</f>
        <v>3</v>
      </c>
      <c r="V788" s="136">
        <f>IFERROR(__xludf.DUMMYFUNCTION("""COMPUTED_VALUE"""),0.0)</f>
        <v>0</v>
      </c>
      <c r="W788" s="136">
        <f>IFERROR(__xludf.DUMMYFUNCTION("""COMPUTED_VALUE"""),2.0)</f>
        <v>2</v>
      </c>
      <c r="X788" s="139">
        <f>IFERROR(__xludf.DUMMYFUNCTION("""COMPUTED_VALUE"""),185.5)</f>
        <v>185.5</v>
      </c>
      <c r="Y788" s="141">
        <f>IFERROR(__xludf.DUMMYFUNCTION("""COMPUTED_VALUE"""),43.0575)</f>
        <v>43.0575</v>
      </c>
      <c r="Z788" s="141">
        <f>IFERROR(__xludf.DUMMYFUNCTION("""COMPUTED_VALUE"""),993.0)</f>
        <v>993</v>
      </c>
    </row>
    <row r="789">
      <c r="A789" s="41" t="str">
        <f>IFERROR(__xludf.DUMMYFUNCTION("""COMPUTED_VALUE"""),"Elite")</f>
        <v>Elite</v>
      </c>
      <c r="B789" s="41" t="str">
        <f>IFERROR(__xludf.DUMMYFUNCTION("""COMPUTED_VALUE"""),"RSC008490")</f>
        <v>RSC008490</v>
      </c>
      <c r="C789" s="41" t="str">
        <f>IFERROR(__xludf.DUMMYFUNCTION("""COMPUTED_VALUE"""),"FrostBeard")</f>
        <v>FrostBeard</v>
      </c>
      <c r="D789" s="41" t="str">
        <f>IFERROR(__xludf.DUMMYFUNCTION("""COMPUTED_VALUE"""),"Desolation")</f>
        <v>Desolation</v>
      </c>
      <c r="E789" s="136">
        <f>IFERROR(__xludf.DUMMYFUNCTION("""COMPUTED_VALUE"""),45.0)</f>
        <v>45</v>
      </c>
      <c r="F789" s="136">
        <f>IFERROR(__xludf.DUMMYFUNCTION("""COMPUTED_VALUE"""),23.0)</f>
        <v>23</v>
      </c>
      <c r="G789" s="136">
        <f>IFERROR(__xludf.DUMMYFUNCTION("""COMPUTED_VALUE"""),22.0)</f>
        <v>22</v>
      </c>
      <c r="H789" s="137">
        <f>IFERROR(__xludf.DUMMYFUNCTION("""COMPUTED_VALUE"""),0.5111111111111111)</f>
        <v>0.5111111111</v>
      </c>
      <c r="I789" s="136">
        <f>IFERROR(__xludf.DUMMYFUNCTION("""COMPUTED_VALUE"""),10.0)</f>
        <v>10</v>
      </c>
      <c r="J789" s="136">
        <f>IFERROR(__xludf.DUMMYFUNCTION("""COMPUTED_VALUE"""),14687.0)</f>
        <v>14687</v>
      </c>
      <c r="K789" s="136">
        <f>IFERROR(__xludf.DUMMYFUNCTION("""COMPUTED_VALUE"""),42.0)</f>
        <v>42</v>
      </c>
      <c r="L789" s="136">
        <f>IFERROR(__xludf.DUMMYFUNCTION("""COMPUTED_VALUE"""),26.0)</f>
        <v>26</v>
      </c>
      <c r="M789" s="136">
        <f>IFERROR(__xludf.DUMMYFUNCTION("""COMPUTED_VALUE"""),34.0)</f>
        <v>34</v>
      </c>
      <c r="N789" s="136">
        <f>IFERROR(__xludf.DUMMYFUNCTION("""COMPUTED_VALUE"""),139.0)</f>
        <v>139</v>
      </c>
      <c r="O789" s="138">
        <f>IFERROR(__xludf.DUMMYFUNCTION("""COMPUTED_VALUE"""),9.0)</f>
        <v>9</v>
      </c>
      <c r="P789" s="138">
        <f>IFERROR(__xludf.DUMMYFUNCTION("""COMPUTED_VALUE"""),2.0)</f>
        <v>2</v>
      </c>
      <c r="Q789" s="138">
        <f>IFERROR(__xludf.DUMMYFUNCTION("""COMPUTED_VALUE"""),0.0)</f>
        <v>0</v>
      </c>
      <c r="R789" s="138">
        <f>IFERROR(__xludf.DUMMYFUNCTION("""COMPUTED_VALUE"""),2.0)</f>
        <v>2</v>
      </c>
      <c r="S789" s="139">
        <f>IFERROR(__xludf.DUMMYFUNCTION("""COMPUTED_VALUE"""),369.0)</f>
        <v>369</v>
      </c>
      <c r="T789" s="140">
        <f>IFERROR(__xludf.DUMMYFUNCTION("""COMPUTED_VALUE"""),125.0)</f>
        <v>125</v>
      </c>
      <c r="U789" s="136">
        <f>IFERROR(__xludf.DUMMYFUNCTION("""COMPUTED_VALUE"""),42.0)</f>
        <v>42</v>
      </c>
      <c r="V789" s="136">
        <f>IFERROR(__xludf.DUMMYFUNCTION("""COMPUTED_VALUE"""),67.0)</f>
        <v>67</v>
      </c>
      <c r="W789" s="136">
        <f>IFERROR(__xludf.DUMMYFUNCTION("""COMPUTED_VALUE"""),56.0)</f>
        <v>56</v>
      </c>
      <c r="X789" s="136">
        <f>IFERROR(__xludf.DUMMYFUNCTION("""COMPUTED_VALUE"""),414.31111111111113)</f>
        <v>414.3111111</v>
      </c>
      <c r="Y789" s="141">
        <f>IFERROR(__xludf.DUMMYFUNCTION("""COMPUTED_VALUE"""),47.02755555555556)</f>
        <v>47.02755556</v>
      </c>
      <c r="Z789" s="141">
        <f>IFERROR(__xludf.DUMMYFUNCTION("""COMPUTED_VALUE"""),2430.9555555555557)</f>
        <v>2430.955556</v>
      </c>
    </row>
    <row r="790">
      <c r="A790" s="41" t="str">
        <f>IFERROR(__xludf.DUMMYFUNCTION("""COMPUTED_VALUE"""),"Challenger")</f>
        <v>Challenger</v>
      </c>
      <c r="B790" s="41" t="str">
        <f>IFERROR(__xludf.DUMMYFUNCTION("""COMPUTED_VALUE"""),"RSC008492")</f>
        <v>RSC008492</v>
      </c>
      <c r="C790" s="41" t="str">
        <f>IFERROR(__xludf.DUMMYFUNCTION("""COMPUTED_VALUE"""),"Unc_Rez")</f>
        <v>Unc_Rez</v>
      </c>
      <c r="D790" s="41" t="str">
        <f>IFERROR(__xludf.DUMMYFUNCTION("""COMPUTED_VALUE"""),"Panda Bears")</f>
        <v>Panda Bears</v>
      </c>
      <c r="E790" s="136">
        <f>IFERROR(__xludf.DUMMYFUNCTION("""COMPUTED_VALUE"""),28.0)</f>
        <v>28</v>
      </c>
      <c r="F790" s="136">
        <f>IFERROR(__xludf.DUMMYFUNCTION("""COMPUTED_VALUE"""),14.0)</f>
        <v>14</v>
      </c>
      <c r="G790" s="136">
        <f>IFERROR(__xludf.DUMMYFUNCTION("""COMPUTED_VALUE"""),14.0)</f>
        <v>14</v>
      </c>
      <c r="H790" s="137">
        <f>IFERROR(__xludf.DUMMYFUNCTION("""COMPUTED_VALUE"""),0.5)</f>
        <v>0.5</v>
      </c>
      <c r="I790" s="136">
        <f>IFERROR(__xludf.DUMMYFUNCTION("""COMPUTED_VALUE"""),2.0)</f>
        <v>2</v>
      </c>
      <c r="J790" s="136">
        <f>IFERROR(__xludf.DUMMYFUNCTION("""COMPUTED_VALUE"""),8313.0)</f>
        <v>8313</v>
      </c>
      <c r="K790" s="136">
        <f>IFERROR(__xludf.DUMMYFUNCTION("""COMPUTED_VALUE"""),16.0)</f>
        <v>16</v>
      </c>
      <c r="L790" s="136">
        <f>IFERROR(__xludf.DUMMYFUNCTION("""COMPUTED_VALUE"""),13.0)</f>
        <v>13</v>
      </c>
      <c r="M790" s="136">
        <f>IFERROR(__xludf.DUMMYFUNCTION("""COMPUTED_VALUE"""),31.0)</f>
        <v>31</v>
      </c>
      <c r="N790" s="136">
        <f>IFERROR(__xludf.DUMMYFUNCTION("""COMPUTED_VALUE"""),49.0)</f>
        <v>49</v>
      </c>
      <c r="O790" s="138">
        <f>IFERROR(__xludf.DUMMYFUNCTION("""COMPUTED_VALUE"""),4.0)</f>
        <v>4</v>
      </c>
      <c r="P790" s="138">
        <f>IFERROR(__xludf.DUMMYFUNCTION("""COMPUTED_VALUE"""),0.0)</f>
        <v>0</v>
      </c>
      <c r="Q790" s="138">
        <f>IFERROR(__xludf.DUMMYFUNCTION("""COMPUTED_VALUE"""),1.0)</f>
        <v>1</v>
      </c>
      <c r="R790" s="138">
        <f>IFERROR(__xludf.DUMMYFUNCTION("""COMPUTED_VALUE"""),4.0)</f>
        <v>4</v>
      </c>
      <c r="S790" s="139">
        <f>IFERROR(__xludf.DUMMYFUNCTION("""COMPUTED_VALUE"""),224.0)</f>
        <v>224</v>
      </c>
      <c r="T790" s="140">
        <f>IFERROR(__xludf.DUMMYFUNCTION("""COMPUTED_VALUE"""),74.0)</f>
        <v>74</v>
      </c>
      <c r="U790" s="136">
        <f>IFERROR(__xludf.DUMMYFUNCTION("""COMPUTED_VALUE"""),27.0)</f>
        <v>27</v>
      </c>
      <c r="V790" s="136">
        <f>IFERROR(__xludf.DUMMYFUNCTION("""COMPUTED_VALUE"""),29.0)</f>
        <v>29</v>
      </c>
      <c r="W790" s="136">
        <f>IFERROR(__xludf.DUMMYFUNCTION("""COMPUTED_VALUE"""),29.0)</f>
        <v>29</v>
      </c>
      <c r="X790" s="136">
        <f>IFERROR(__xludf.DUMMYFUNCTION("""COMPUTED_VALUE"""),360.64285714285717)</f>
        <v>360.6428571</v>
      </c>
      <c r="Y790" s="141">
        <f>IFERROR(__xludf.DUMMYFUNCTION("""COMPUTED_VALUE"""),48.1425)</f>
        <v>48.1425</v>
      </c>
      <c r="Z790" s="141">
        <f>IFERROR(__xludf.DUMMYFUNCTION("""COMPUTED_VALUE"""),2207.535714285714)</f>
        <v>2207.535714</v>
      </c>
    </row>
    <row r="791">
      <c r="A791" s="41" t="str">
        <f>IFERROR(__xludf.DUMMYFUNCTION("""COMPUTED_VALUE"""),"Elite")</f>
        <v>Elite</v>
      </c>
      <c r="B791" s="41" t="str">
        <f>IFERROR(__xludf.DUMMYFUNCTION("""COMPUTED_VALUE"""),"RSC008493")</f>
        <v>RSC008493</v>
      </c>
      <c r="C791" s="41" t="str">
        <f>IFERROR(__xludf.DUMMYFUNCTION("""COMPUTED_VALUE"""),"wntr.")</f>
        <v>wntr.</v>
      </c>
      <c r="D791" s="41" t="str">
        <f>IFERROR(__xludf.DUMMYFUNCTION("""COMPUTED_VALUE"""),"Ghastly Goombahs")</f>
        <v>Ghastly Goombahs</v>
      </c>
      <c r="E791" s="136">
        <f>IFERROR(__xludf.DUMMYFUNCTION("""COMPUTED_VALUE"""),36.0)</f>
        <v>36</v>
      </c>
      <c r="F791" s="136">
        <f>IFERROR(__xludf.DUMMYFUNCTION("""COMPUTED_VALUE"""),16.0)</f>
        <v>16</v>
      </c>
      <c r="G791" s="136">
        <f>IFERROR(__xludf.DUMMYFUNCTION("""COMPUTED_VALUE"""),20.0)</f>
        <v>20</v>
      </c>
      <c r="H791" s="137">
        <f>IFERROR(__xludf.DUMMYFUNCTION("""COMPUTED_VALUE"""),0.4444444444444444)</f>
        <v>0.4444444444</v>
      </c>
      <c r="I791" s="136">
        <f>IFERROR(__xludf.DUMMYFUNCTION("""COMPUTED_VALUE"""),8.0)</f>
        <v>8</v>
      </c>
      <c r="J791" s="136">
        <f>IFERROR(__xludf.DUMMYFUNCTION("""COMPUTED_VALUE"""),15742.0)</f>
        <v>15742</v>
      </c>
      <c r="K791" s="136">
        <f>IFERROR(__xludf.DUMMYFUNCTION("""COMPUTED_VALUE"""),37.0)</f>
        <v>37</v>
      </c>
      <c r="L791" s="136">
        <f>IFERROR(__xludf.DUMMYFUNCTION("""COMPUTED_VALUE"""),26.0)</f>
        <v>26</v>
      </c>
      <c r="M791" s="136">
        <f>IFERROR(__xludf.DUMMYFUNCTION("""COMPUTED_VALUE"""),66.0)</f>
        <v>66</v>
      </c>
      <c r="N791" s="136">
        <f>IFERROR(__xludf.DUMMYFUNCTION("""COMPUTED_VALUE"""),105.0)</f>
        <v>105</v>
      </c>
      <c r="O791" s="138">
        <f>IFERROR(__xludf.DUMMYFUNCTION("""COMPUTED_VALUE"""),12.0)</f>
        <v>12</v>
      </c>
      <c r="P791" s="138">
        <f>IFERROR(__xludf.DUMMYFUNCTION("""COMPUTED_VALUE"""),4.0)</f>
        <v>4</v>
      </c>
      <c r="Q791" s="138">
        <f>IFERROR(__xludf.DUMMYFUNCTION("""COMPUTED_VALUE"""),1.0)</f>
        <v>1</v>
      </c>
      <c r="R791" s="138">
        <f>IFERROR(__xludf.DUMMYFUNCTION("""COMPUTED_VALUE"""),7.0)</f>
        <v>7</v>
      </c>
      <c r="S791" s="139">
        <f>IFERROR(__xludf.DUMMYFUNCTION("""COMPUTED_VALUE"""),295.0)</f>
        <v>295</v>
      </c>
      <c r="T791" s="140">
        <f>IFERROR(__xludf.DUMMYFUNCTION("""COMPUTED_VALUE"""),81.0)</f>
        <v>81</v>
      </c>
      <c r="U791" s="136">
        <f>IFERROR(__xludf.DUMMYFUNCTION("""COMPUTED_VALUE"""),23.0)</f>
        <v>23</v>
      </c>
      <c r="V791" s="136">
        <f>IFERROR(__xludf.DUMMYFUNCTION("""COMPUTED_VALUE"""),27.0)</f>
        <v>27</v>
      </c>
      <c r="W791" s="136">
        <f>IFERROR(__xludf.DUMMYFUNCTION("""COMPUTED_VALUE"""),42.0)</f>
        <v>42</v>
      </c>
      <c r="X791" s="136">
        <f>IFERROR(__xludf.DUMMYFUNCTION("""COMPUTED_VALUE"""),373.27777777777777)</f>
        <v>373.2777778</v>
      </c>
      <c r="Y791" s="141">
        <f>IFERROR(__xludf.DUMMYFUNCTION("""COMPUTED_VALUE"""),48.02888888888888)</f>
        <v>48.02888889</v>
      </c>
      <c r="Z791" s="141">
        <f>IFERROR(__xludf.DUMMYFUNCTION("""COMPUTED_VALUE"""),2268.5833333333335)</f>
        <v>2268.583333</v>
      </c>
    </row>
    <row r="792">
      <c r="A792" s="41" t="str">
        <f>IFERROR(__xludf.DUMMYFUNCTION("""COMPUTED_VALUE"""),"Veteran")</f>
        <v>Veteran</v>
      </c>
      <c r="B792" s="41" t="str">
        <f>IFERROR(__xludf.DUMMYFUNCTION("""COMPUTED_VALUE"""),"RSC008494")</f>
        <v>RSC008494</v>
      </c>
      <c r="C792" s="41" t="str">
        <f>IFERROR(__xludf.DUMMYFUNCTION("""COMPUTED_VALUE"""),"//Ronx")</f>
        <v>//Ronx</v>
      </c>
      <c r="D792" s="41" t="str">
        <f>IFERROR(__xludf.DUMMYFUNCTION("""COMPUTED_VALUE"""),"Dread")</f>
        <v>Dread</v>
      </c>
      <c r="E792" s="136">
        <f>IFERROR(__xludf.DUMMYFUNCTION("""COMPUTED_VALUE"""),54.0)</f>
        <v>54</v>
      </c>
      <c r="F792" s="136">
        <f>IFERROR(__xludf.DUMMYFUNCTION("""COMPUTED_VALUE"""),35.0)</f>
        <v>35</v>
      </c>
      <c r="G792" s="136">
        <f>IFERROR(__xludf.DUMMYFUNCTION("""COMPUTED_VALUE"""),19.0)</f>
        <v>19</v>
      </c>
      <c r="H792" s="137">
        <f>IFERROR(__xludf.DUMMYFUNCTION("""COMPUTED_VALUE"""),0.6481481481481481)</f>
        <v>0.6481481481</v>
      </c>
      <c r="I792" s="136">
        <f>IFERROR(__xludf.DUMMYFUNCTION("""COMPUTED_VALUE"""),12.0)</f>
        <v>12</v>
      </c>
      <c r="J792" s="136">
        <f>IFERROR(__xludf.DUMMYFUNCTION("""COMPUTED_VALUE"""),22212.0)</f>
        <v>22212</v>
      </c>
      <c r="K792" s="136">
        <f>IFERROR(__xludf.DUMMYFUNCTION("""COMPUTED_VALUE"""),52.0)</f>
        <v>52</v>
      </c>
      <c r="L792" s="136">
        <f>IFERROR(__xludf.DUMMYFUNCTION("""COMPUTED_VALUE"""),39.0)</f>
        <v>39</v>
      </c>
      <c r="M792" s="136">
        <f>IFERROR(__xludf.DUMMYFUNCTION("""COMPUTED_VALUE"""),84.0)</f>
        <v>84</v>
      </c>
      <c r="N792" s="136">
        <f>IFERROR(__xludf.DUMMYFUNCTION("""COMPUTED_VALUE"""),149.0)</f>
        <v>149</v>
      </c>
      <c r="O792" s="138">
        <f>IFERROR(__xludf.DUMMYFUNCTION("""COMPUTED_VALUE"""),13.0)</f>
        <v>13</v>
      </c>
      <c r="P792" s="138">
        <f>IFERROR(__xludf.DUMMYFUNCTION("""COMPUTED_VALUE"""),4.0)</f>
        <v>4</v>
      </c>
      <c r="Q792" s="138">
        <f>IFERROR(__xludf.DUMMYFUNCTION("""COMPUTED_VALUE"""),0.0)</f>
        <v>0</v>
      </c>
      <c r="R792" s="138">
        <f>IFERROR(__xludf.DUMMYFUNCTION("""COMPUTED_VALUE"""),13.0)</f>
        <v>13</v>
      </c>
      <c r="S792" s="139">
        <f>IFERROR(__xludf.DUMMYFUNCTION("""COMPUTED_VALUE"""),437.0)</f>
        <v>437</v>
      </c>
      <c r="T792" s="140">
        <f>IFERROR(__xludf.DUMMYFUNCTION("""COMPUTED_VALUE"""),113.0)</f>
        <v>113</v>
      </c>
      <c r="U792" s="136">
        <f>IFERROR(__xludf.DUMMYFUNCTION("""COMPUTED_VALUE"""),38.0)</f>
        <v>38</v>
      </c>
      <c r="V792" s="136">
        <f>IFERROR(__xludf.DUMMYFUNCTION("""COMPUTED_VALUE"""),40.0)</f>
        <v>40</v>
      </c>
      <c r="W792" s="136">
        <f>IFERROR(__xludf.DUMMYFUNCTION("""COMPUTED_VALUE"""),49.0)</f>
        <v>49</v>
      </c>
      <c r="X792" s="136">
        <f>IFERROR(__xludf.DUMMYFUNCTION("""COMPUTED_VALUE"""),430.3888888888889)</f>
        <v>430.3888889</v>
      </c>
      <c r="Y792" s="141">
        <f>IFERROR(__xludf.DUMMYFUNCTION("""COMPUTED_VALUE"""),48.94314814814814)</f>
        <v>48.94314815</v>
      </c>
      <c r="Z792" s="141">
        <f>IFERROR(__xludf.DUMMYFUNCTION("""COMPUTED_VALUE"""),2663.5925925925926)</f>
        <v>2663.592593</v>
      </c>
    </row>
    <row r="793">
      <c r="A793" s="41" t="str">
        <f>IFERROR(__xludf.DUMMYFUNCTION("""COMPUTED_VALUE"""),"Master")</f>
        <v>Master</v>
      </c>
      <c r="B793" s="41" t="str">
        <f>IFERROR(__xludf.DUMMYFUNCTION("""COMPUTED_VALUE"""),"RSC008500")</f>
        <v>RSC008500</v>
      </c>
      <c r="C793" s="41" t="str">
        <f>IFERROR(__xludf.DUMMYFUNCTION("""COMPUTED_VALUE"""),"Alejandro55")</f>
        <v>Alejandro55</v>
      </c>
      <c r="D793" s="41" t="str">
        <f>IFERROR(__xludf.DUMMYFUNCTION("""COMPUTED_VALUE"""),"Lemurs
Battle Masters")</f>
        <v>Lemurs
Battle Masters</v>
      </c>
      <c r="E793" s="136">
        <f>IFERROR(__xludf.DUMMYFUNCTION("""COMPUTED_VALUE"""),6.0)</f>
        <v>6</v>
      </c>
      <c r="F793" s="136">
        <f>IFERROR(__xludf.DUMMYFUNCTION("""COMPUTED_VALUE"""),0.0)</f>
        <v>0</v>
      </c>
      <c r="G793" s="136">
        <f>IFERROR(__xludf.DUMMYFUNCTION("""COMPUTED_VALUE"""),6.0)</f>
        <v>6</v>
      </c>
      <c r="H793" s="137">
        <f>IFERROR(__xludf.DUMMYFUNCTION("""COMPUTED_VALUE"""),0.0)</f>
        <v>0</v>
      </c>
      <c r="I793" s="136">
        <f>IFERROR(__xludf.DUMMYFUNCTION("""COMPUTED_VALUE"""),0.0)</f>
        <v>0</v>
      </c>
      <c r="J793" s="136">
        <f>IFERROR(__xludf.DUMMYFUNCTION("""COMPUTED_VALUE"""),1749.0)</f>
        <v>1749</v>
      </c>
      <c r="K793" s="136">
        <f>IFERROR(__xludf.DUMMYFUNCTION("""COMPUTED_VALUE"""),3.0)</f>
        <v>3</v>
      </c>
      <c r="L793" s="136">
        <f>IFERROR(__xludf.DUMMYFUNCTION("""COMPUTED_VALUE"""),3.0)</f>
        <v>3</v>
      </c>
      <c r="M793" s="136">
        <f>IFERROR(__xludf.DUMMYFUNCTION("""COMPUTED_VALUE"""),8.0)</f>
        <v>8</v>
      </c>
      <c r="N793" s="136">
        <f>IFERROR(__xludf.DUMMYFUNCTION("""COMPUTED_VALUE"""),11.0)</f>
        <v>11</v>
      </c>
      <c r="O793" s="138">
        <f>IFERROR(__xludf.DUMMYFUNCTION("""COMPUTED_VALUE"""),1.0)</f>
        <v>1</v>
      </c>
      <c r="P793" s="138">
        <f>IFERROR(__xludf.DUMMYFUNCTION("""COMPUTED_VALUE"""),0.0)</f>
        <v>0</v>
      </c>
      <c r="Q793" s="138">
        <f>IFERROR(__xludf.DUMMYFUNCTION("""COMPUTED_VALUE"""),0.0)</f>
        <v>0</v>
      </c>
      <c r="R793" s="138">
        <f>IFERROR(__xludf.DUMMYFUNCTION("""COMPUTED_VALUE"""),1.0)</f>
        <v>1</v>
      </c>
      <c r="S793" s="139">
        <f>IFERROR(__xludf.DUMMYFUNCTION("""COMPUTED_VALUE"""),64.0)</f>
        <v>64</v>
      </c>
      <c r="T793" s="140">
        <f>IFERROR(__xludf.DUMMYFUNCTION("""COMPUTED_VALUE"""),21.0)</f>
        <v>21</v>
      </c>
      <c r="U793" s="136">
        <f>IFERROR(__xludf.DUMMYFUNCTION("""COMPUTED_VALUE"""),6.0)</f>
        <v>6</v>
      </c>
      <c r="V793" s="136">
        <f>IFERROR(__xludf.DUMMYFUNCTION("""COMPUTED_VALUE"""),6.0)</f>
        <v>6</v>
      </c>
      <c r="W793" s="136">
        <f>IFERROR(__xludf.DUMMYFUNCTION("""COMPUTED_VALUE"""),10.0)</f>
        <v>10</v>
      </c>
      <c r="X793" s="136">
        <f>IFERROR(__xludf.DUMMYFUNCTION("""COMPUTED_VALUE"""),364.0)</f>
        <v>364</v>
      </c>
      <c r="Y793" s="141">
        <f>IFERROR(__xludf.DUMMYFUNCTION("""COMPUTED_VALUE"""),54.945)</f>
        <v>54.945</v>
      </c>
      <c r="Z793" s="141">
        <f>IFERROR(__xludf.DUMMYFUNCTION("""COMPUTED_VALUE"""),2344.6666666666665)</f>
        <v>2344.666667</v>
      </c>
    </row>
    <row r="794">
      <c r="A794" s="41" t="str">
        <f>IFERROR(__xludf.DUMMYFUNCTION("""COMPUTED_VALUE"""),"Rival")</f>
        <v>Rival</v>
      </c>
      <c r="B794" s="41" t="str">
        <f>IFERROR(__xludf.DUMMYFUNCTION("""COMPUTED_VALUE"""),"RSC008502")</f>
        <v>RSC008502</v>
      </c>
      <c r="C794" s="41" t="str">
        <f>IFERROR(__xludf.DUMMYFUNCTION("""COMPUTED_VALUE"""),"Jetwind17")</f>
        <v>Jetwind17</v>
      </c>
      <c r="D794" s="41" t="str">
        <f>IFERROR(__xludf.DUMMYFUNCTION("""COMPUTED_VALUE"""),"Heavy Metal")</f>
        <v>Heavy Metal</v>
      </c>
      <c r="E794" s="136">
        <f>IFERROR(__xludf.DUMMYFUNCTION("""COMPUTED_VALUE"""),20.0)</f>
        <v>20</v>
      </c>
      <c r="F794" s="136">
        <f>IFERROR(__xludf.DUMMYFUNCTION("""COMPUTED_VALUE"""),9.0)</f>
        <v>9</v>
      </c>
      <c r="G794" s="136">
        <f>IFERROR(__xludf.DUMMYFUNCTION("""COMPUTED_VALUE"""),11.0)</f>
        <v>11</v>
      </c>
      <c r="H794" s="137">
        <f>IFERROR(__xludf.DUMMYFUNCTION("""COMPUTED_VALUE"""),0.45)</f>
        <v>0.45</v>
      </c>
      <c r="I794" s="136">
        <f>IFERROR(__xludf.DUMMYFUNCTION("""COMPUTED_VALUE"""),3.0)</f>
        <v>3</v>
      </c>
      <c r="J794" s="136">
        <f>IFERROR(__xludf.DUMMYFUNCTION("""COMPUTED_VALUE"""),6416.0)</f>
        <v>6416</v>
      </c>
      <c r="K794" s="136">
        <f>IFERROR(__xludf.DUMMYFUNCTION("""COMPUTED_VALUE"""),12.0)</f>
        <v>12</v>
      </c>
      <c r="L794" s="136">
        <f>IFERROR(__xludf.DUMMYFUNCTION("""COMPUTED_VALUE"""),11.0)</f>
        <v>11</v>
      </c>
      <c r="M794" s="136">
        <f>IFERROR(__xludf.DUMMYFUNCTION("""COMPUTED_VALUE"""),32.0)</f>
        <v>32</v>
      </c>
      <c r="N794" s="136">
        <f>IFERROR(__xludf.DUMMYFUNCTION("""COMPUTED_VALUE"""),47.0)</f>
        <v>47</v>
      </c>
      <c r="O794" s="138">
        <f>IFERROR(__xludf.DUMMYFUNCTION("""COMPUTED_VALUE"""),4.0)</f>
        <v>4</v>
      </c>
      <c r="P794" s="138">
        <f>IFERROR(__xludf.DUMMYFUNCTION("""COMPUTED_VALUE"""),0.0)</f>
        <v>0</v>
      </c>
      <c r="Q794" s="138">
        <f>IFERROR(__xludf.DUMMYFUNCTION("""COMPUTED_VALUE"""),0.0)</f>
        <v>0</v>
      </c>
      <c r="R794" s="138">
        <f>IFERROR(__xludf.DUMMYFUNCTION("""COMPUTED_VALUE"""),2.0)</f>
        <v>2</v>
      </c>
      <c r="S794" s="139">
        <f>IFERROR(__xludf.DUMMYFUNCTION("""COMPUTED_VALUE"""),166.0)</f>
        <v>166</v>
      </c>
      <c r="T794" s="140">
        <f>IFERROR(__xludf.DUMMYFUNCTION("""COMPUTED_VALUE"""),48.0)</f>
        <v>48</v>
      </c>
      <c r="U794" s="136">
        <f>IFERROR(__xludf.DUMMYFUNCTION("""COMPUTED_VALUE"""),8.0)</f>
        <v>8</v>
      </c>
      <c r="V794" s="136">
        <f>IFERROR(__xludf.DUMMYFUNCTION("""COMPUTED_VALUE"""),13.0)</f>
        <v>13</v>
      </c>
      <c r="W794" s="136">
        <f>IFERROR(__xludf.DUMMYFUNCTION("""COMPUTED_VALUE"""),14.0)</f>
        <v>14</v>
      </c>
      <c r="X794" s="136"/>
      <c r="Y794" s="41"/>
      <c r="Z794" s="41"/>
    </row>
    <row r="795">
      <c r="A795" s="41" t="str">
        <f>IFERROR(__xludf.DUMMYFUNCTION("""COMPUTED_VALUE"""),"Elite")</f>
        <v>Elite</v>
      </c>
      <c r="B795" s="41" t="str">
        <f>IFERROR(__xludf.DUMMYFUNCTION("""COMPUTED_VALUE"""),"RSC008503")</f>
        <v>RSC008503</v>
      </c>
      <c r="C795" s="41" t="str">
        <f>IFERROR(__xludf.DUMMYFUNCTION("""COMPUTED_VALUE"""),"Rick0810")</f>
        <v>Rick0810</v>
      </c>
      <c r="D795" s="41" t="str">
        <f>IFERROR(__xludf.DUMMYFUNCTION("""COMPUTED_VALUE"""),"Ghastly Goombahs
Commanders
Drive-by")</f>
        <v>Ghastly Goombahs
Commanders
Drive-by</v>
      </c>
      <c r="E795" s="136">
        <f>IFERROR(__xludf.DUMMYFUNCTION("""COMPUTED_VALUE"""),10.0)</f>
        <v>10</v>
      </c>
      <c r="F795" s="136">
        <f>IFERROR(__xludf.DUMMYFUNCTION("""COMPUTED_VALUE"""),5.0)</f>
        <v>5</v>
      </c>
      <c r="G795" s="136">
        <f>IFERROR(__xludf.DUMMYFUNCTION("""COMPUTED_VALUE"""),5.0)</f>
        <v>5</v>
      </c>
      <c r="H795" s="137">
        <f>IFERROR(__xludf.DUMMYFUNCTION("""COMPUTED_VALUE"""),0.5)</f>
        <v>0.5</v>
      </c>
      <c r="I795" s="136">
        <f>IFERROR(__xludf.DUMMYFUNCTION("""COMPUTED_VALUE"""),2.0)</f>
        <v>2</v>
      </c>
      <c r="J795" s="136">
        <f>IFERROR(__xludf.DUMMYFUNCTION("""COMPUTED_VALUE"""),4173.0)</f>
        <v>4173</v>
      </c>
      <c r="K795" s="136">
        <f>IFERROR(__xludf.DUMMYFUNCTION("""COMPUTED_VALUE"""),9.0)</f>
        <v>9</v>
      </c>
      <c r="L795" s="136">
        <f>IFERROR(__xludf.DUMMYFUNCTION("""COMPUTED_VALUE"""),9.0)</f>
        <v>9</v>
      </c>
      <c r="M795" s="136">
        <f>IFERROR(__xludf.DUMMYFUNCTION("""COMPUTED_VALUE"""),18.0)</f>
        <v>18</v>
      </c>
      <c r="N795" s="136">
        <f>IFERROR(__xludf.DUMMYFUNCTION("""COMPUTED_VALUE"""),33.0)</f>
        <v>33</v>
      </c>
      <c r="O795" s="138">
        <f>IFERROR(__xludf.DUMMYFUNCTION("""COMPUTED_VALUE"""),4.0)</f>
        <v>4</v>
      </c>
      <c r="P795" s="138">
        <f>IFERROR(__xludf.DUMMYFUNCTION("""COMPUTED_VALUE"""),0.0)</f>
        <v>0</v>
      </c>
      <c r="Q795" s="138">
        <f>IFERROR(__xludf.DUMMYFUNCTION("""COMPUTED_VALUE"""),0.0)</f>
        <v>0</v>
      </c>
      <c r="R795" s="138">
        <f>IFERROR(__xludf.DUMMYFUNCTION("""COMPUTED_VALUE"""),2.0)</f>
        <v>2</v>
      </c>
      <c r="S795" s="139">
        <f>IFERROR(__xludf.DUMMYFUNCTION("""COMPUTED_VALUE"""),100.0)</f>
        <v>100</v>
      </c>
      <c r="T795" s="140">
        <f>IFERROR(__xludf.DUMMYFUNCTION("""COMPUTED_VALUE"""),31.0)</f>
        <v>31</v>
      </c>
      <c r="U795" s="136">
        <f>IFERROR(__xludf.DUMMYFUNCTION("""COMPUTED_VALUE"""),8.0)</f>
        <v>8</v>
      </c>
      <c r="V795" s="136">
        <f>IFERROR(__xludf.DUMMYFUNCTION("""COMPUTED_VALUE"""),16.0)</f>
        <v>16</v>
      </c>
      <c r="W795" s="136">
        <f>IFERROR(__xludf.DUMMYFUNCTION("""COMPUTED_VALUE"""),13.0)</f>
        <v>13</v>
      </c>
      <c r="X795" s="136">
        <f>IFERROR(__xludf.DUMMYFUNCTION("""COMPUTED_VALUE"""),394.7)</f>
        <v>394.7</v>
      </c>
      <c r="Y795" s="141">
        <f>IFERROR(__xludf.DUMMYFUNCTION("""COMPUTED_VALUE"""),48.41)</f>
        <v>48.41</v>
      </c>
      <c r="Z795" s="141">
        <f>IFERROR(__xludf.DUMMYFUNCTION("""COMPUTED_VALUE"""),2530.1)</f>
        <v>2530.1</v>
      </c>
    </row>
    <row r="796">
      <c r="A796" s="41" t="str">
        <f>IFERROR(__xludf.DUMMYFUNCTION("""COMPUTED_VALUE"""),"Veteran")</f>
        <v>Veteran</v>
      </c>
      <c r="B796" s="41" t="str">
        <f>IFERROR(__xludf.DUMMYFUNCTION("""COMPUTED_VALUE"""),"RSC008505")</f>
        <v>RSC008505</v>
      </c>
      <c r="C796" s="41" t="str">
        <f>IFERROR(__xludf.DUMMYFUNCTION("""COMPUTED_VALUE"""),"SpicyShinobi")</f>
        <v>SpicyShinobi</v>
      </c>
      <c r="D796" s="41" t="str">
        <f>IFERROR(__xludf.DUMMYFUNCTION("""COMPUTED_VALUE"""),"Grizzly Bears")</f>
        <v>Grizzly Bears</v>
      </c>
      <c r="E796" s="136">
        <f>IFERROR(__xludf.DUMMYFUNCTION("""COMPUTED_VALUE"""),7.0)</f>
        <v>7</v>
      </c>
      <c r="F796" s="136">
        <f>IFERROR(__xludf.DUMMYFUNCTION("""COMPUTED_VALUE"""),2.0)</f>
        <v>2</v>
      </c>
      <c r="G796" s="136">
        <f>IFERROR(__xludf.DUMMYFUNCTION("""COMPUTED_VALUE"""),5.0)</f>
        <v>5</v>
      </c>
      <c r="H796" s="137">
        <f>IFERROR(__xludf.DUMMYFUNCTION("""COMPUTED_VALUE"""),0.2857142857142857)</f>
        <v>0.2857142857</v>
      </c>
      <c r="I796" s="136">
        <f>IFERROR(__xludf.DUMMYFUNCTION("""COMPUTED_VALUE"""),0.0)</f>
        <v>0</v>
      </c>
      <c r="J796" s="136">
        <f>IFERROR(__xludf.DUMMYFUNCTION("""COMPUTED_VALUE"""),1481.0)</f>
        <v>1481</v>
      </c>
      <c r="K796" s="136">
        <f>IFERROR(__xludf.DUMMYFUNCTION("""COMPUTED_VALUE"""),0.0)</f>
        <v>0</v>
      </c>
      <c r="L796" s="136">
        <f>IFERROR(__xludf.DUMMYFUNCTION("""COMPUTED_VALUE"""),2.0)</f>
        <v>2</v>
      </c>
      <c r="M796" s="136">
        <f>IFERROR(__xludf.DUMMYFUNCTION("""COMPUTED_VALUE"""),8.0)</f>
        <v>8</v>
      </c>
      <c r="N796" s="136">
        <f>IFERROR(__xludf.DUMMYFUNCTION("""COMPUTED_VALUE"""),7.0)</f>
        <v>7</v>
      </c>
      <c r="O796" s="138">
        <f>IFERROR(__xludf.DUMMYFUNCTION("""COMPUTED_VALUE"""),0.0)</f>
        <v>0</v>
      </c>
      <c r="P796" s="138">
        <f>IFERROR(__xludf.DUMMYFUNCTION("""COMPUTED_VALUE"""),0.0)</f>
        <v>0</v>
      </c>
      <c r="Q796" s="138">
        <f>IFERROR(__xludf.DUMMYFUNCTION("""COMPUTED_VALUE"""),0.0)</f>
        <v>0</v>
      </c>
      <c r="R796" s="138">
        <f>IFERROR(__xludf.DUMMYFUNCTION("""COMPUTED_VALUE"""),0.0)</f>
        <v>0</v>
      </c>
      <c r="S796" s="139">
        <f>IFERROR(__xludf.DUMMYFUNCTION("""COMPUTED_VALUE"""),57.0)</f>
        <v>57</v>
      </c>
      <c r="T796" s="140">
        <f>IFERROR(__xludf.DUMMYFUNCTION("""COMPUTED_VALUE"""),15.0)</f>
        <v>15</v>
      </c>
      <c r="U796" s="136">
        <f>IFERROR(__xludf.DUMMYFUNCTION("""COMPUTED_VALUE"""),6.0)</f>
        <v>6</v>
      </c>
      <c r="V796" s="136">
        <f>IFERROR(__xludf.DUMMYFUNCTION("""COMPUTED_VALUE"""),5.0)</f>
        <v>5</v>
      </c>
      <c r="W796" s="136">
        <f>IFERROR(__xludf.DUMMYFUNCTION("""COMPUTED_VALUE"""),14.0)</f>
        <v>14</v>
      </c>
      <c r="X796" s="136"/>
      <c r="Y796" s="41"/>
      <c r="Z796" s="41"/>
    </row>
    <row r="797">
      <c r="A797" s="41" t="str">
        <f>IFERROR(__xludf.DUMMYFUNCTION("""COMPUTED_VALUE"""),"Rival")</f>
        <v>Rival</v>
      </c>
      <c r="B797" s="41" t="str">
        <f>IFERROR(__xludf.DUMMYFUNCTION("""COMPUTED_VALUE"""),"RSC008507")</f>
        <v>RSC008507</v>
      </c>
      <c r="C797" s="41" t="str">
        <f>IFERROR(__xludf.DUMMYFUNCTION("""COMPUTED_VALUE"""),"Unc Jeebs")</f>
        <v>Unc Jeebs</v>
      </c>
      <c r="D797" s="41" t="str">
        <f>IFERROR(__xludf.DUMMYFUNCTION("""COMPUTED_VALUE"""),"Lacuna
Scramjets")</f>
        <v>Lacuna
Scramjets</v>
      </c>
      <c r="E797" s="136">
        <f>IFERROR(__xludf.DUMMYFUNCTION("""COMPUTED_VALUE"""),37.0)</f>
        <v>37</v>
      </c>
      <c r="F797" s="136">
        <f>IFERROR(__xludf.DUMMYFUNCTION("""COMPUTED_VALUE"""),22.0)</f>
        <v>22</v>
      </c>
      <c r="G797" s="136">
        <f>IFERROR(__xludf.DUMMYFUNCTION("""COMPUTED_VALUE"""),15.0)</f>
        <v>15</v>
      </c>
      <c r="H797" s="137">
        <f>IFERROR(__xludf.DUMMYFUNCTION("""COMPUTED_VALUE"""),0.5945945945945946)</f>
        <v>0.5945945946</v>
      </c>
      <c r="I797" s="136">
        <f>IFERROR(__xludf.DUMMYFUNCTION("""COMPUTED_VALUE"""),5.0)</f>
        <v>5</v>
      </c>
      <c r="J797" s="136">
        <f>IFERROR(__xludf.DUMMYFUNCTION("""COMPUTED_VALUE"""),13007.0)</f>
        <v>13007</v>
      </c>
      <c r="K797" s="136">
        <f>IFERROR(__xludf.DUMMYFUNCTION("""COMPUTED_VALUE"""),26.0)</f>
        <v>26</v>
      </c>
      <c r="L797" s="136">
        <f>IFERROR(__xludf.DUMMYFUNCTION("""COMPUTED_VALUE"""),24.0)</f>
        <v>24</v>
      </c>
      <c r="M797" s="136">
        <f>IFERROR(__xludf.DUMMYFUNCTION("""COMPUTED_VALUE"""),46.0)</f>
        <v>46</v>
      </c>
      <c r="N797" s="136">
        <f>IFERROR(__xludf.DUMMYFUNCTION("""COMPUTED_VALUE"""),100.0)</f>
        <v>100</v>
      </c>
      <c r="O797" s="138">
        <f>IFERROR(__xludf.DUMMYFUNCTION("""COMPUTED_VALUE"""),5.0)</f>
        <v>5</v>
      </c>
      <c r="P797" s="138">
        <f>IFERROR(__xludf.DUMMYFUNCTION("""COMPUTED_VALUE"""),1.0)</f>
        <v>1</v>
      </c>
      <c r="Q797" s="138">
        <f>IFERROR(__xludf.DUMMYFUNCTION("""COMPUTED_VALUE"""),0.0)</f>
        <v>0</v>
      </c>
      <c r="R797" s="138">
        <f>IFERROR(__xludf.DUMMYFUNCTION("""COMPUTED_VALUE"""),5.0)</f>
        <v>5</v>
      </c>
      <c r="S797" s="139">
        <f>IFERROR(__xludf.DUMMYFUNCTION("""COMPUTED_VALUE"""),257.0)</f>
        <v>257</v>
      </c>
      <c r="T797" s="140">
        <f>IFERROR(__xludf.DUMMYFUNCTION("""COMPUTED_VALUE"""),77.0)</f>
        <v>77</v>
      </c>
      <c r="U797" s="136">
        <f>IFERROR(__xludf.DUMMYFUNCTION("""COMPUTED_VALUE"""),27.0)</f>
        <v>27</v>
      </c>
      <c r="V797" s="136">
        <f>IFERROR(__xludf.DUMMYFUNCTION("""COMPUTED_VALUE"""),42.0)</f>
        <v>42</v>
      </c>
      <c r="W797" s="136">
        <f>IFERROR(__xludf.DUMMYFUNCTION("""COMPUTED_VALUE"""),39.0)</f>
        <v>39</v>
      </c>
      <c r="X797" s="136">
        <f>IFERROR(__xludf.DUMMYFUNCTION("""COMPUTED_VALUE"""),322.8378378378378)</f>
        <v>322.8378378</v>
      </c>
      <c r="Y797" s="141">
        <f>IFERROR(__xludf.DUMMYFUNCTION("""COMPUTED_VALUE"""),48.552972972972974)</f>
        <v>48.55297297</v>
      </c>
      <c r="Z797" s="141">
        <f>IFERROR(__xludf.DUMMYFUNCTION("""COMPUTED_VALUE"""),1972.972972972973)</f>
        <v>1972.972973</v>
      </c>
    </row>
    <row r="798">
      <c r="A798" s="41" t="str">
        <f>IFERROR(__xludf.DUMMYFUNCTION("""COMPUTED_VALUE"""),"Veteran")</f>
        <v>Veteran</v>
      </c>
      <c r="B798" s="41" t="str">
        <f>IFERROR(__xludf.DUMMYFUNCTION("""COMPUTED_VALUE"""),"RSC008508")</f>
        <v>RSC008508</v>
      </c>
      <c r="C798" s="41" t="str">
        <f>IFERROR(__xludf.DUMMYFUNCTION("""COMPUTED_VALUE"""),"Flame_RL10")</f>
        <v>Flame_RL10</v>
      </c>
      <c r="D798" s="41" t="str">
        <f>IFERROR(__xludf.DUMMYFUNCTION("""COMPUTED_VALUE"""),"Grizzly Bears")</f>
        <v>Grizzly Bears</v>
      </c>
      <c r="E798" s="136">
        <f>IFERROR(__xludf.DUMMYFUNCTION("""COMPUTED_VALUE"""),4.0)</f>
        <v>4</v>
      </c>
      <c r="F798" s="136">
        <f>IFERROR(__xludf.DUMMYFUNCTION("""COMPUTED_VALUE"""),1.0)</f>
        <v>1</v>
      </c>
      <c r="G798" s="136">
        <f>IFERROR(__xludf.DUMMYFUNCTION("""COMPUTED_VALUE"""),3.0)</f>
        <v>3</v>
      </c>
      <c r="H798" s="137">
        <f>IFERROR(__xludf.DUMMYFUNCTION("""COMPUTED_VALUE"""),0.25)</f>
        <v>0.25</v>
      </c>
      <c r="I798" s="136">
        <f>IFERROR(__xludf.DUMMYFUNCTION("""COMPUTED_VALUE"""),1.0)</f>
        <v>1</v>
      </c>
      <c r="J798" s="136">
        <f>IFERROR(__xludf.DUMMYFUNCTION("""COMPUTED_VALUE"""),1402.0)</f>
        <v>1402</v>
      </c>
      <c r="K798" s="136">
        <f>IFERROR(__xludf.DUMMYFUNCTION("""COMPUTED_VALUE"""),4.0)</f>
        <v>4</v>
      </c>
      <c r="L798" s="136">
        <f>IFERROR(__xludf.DUMMYFUNCTION("""COMPUTED_VALUE"""),3.0)</f>
        <v>3</v>
      </c>
      <c r="M798" s="136">
        <f>IFERROR(__xludf.DUMMYFUNCTION("""COMPUTED_VALUE"""),5.0)</f>
        <v>5</v>
      </c>
      <c r="N798" s="136">
        <f>IFERROR(__xludf.DUMMYFUNCTION("""COMPUTED_VALUE"""),8.0)</f>
        <v>8</v>
      </c>
      <c r="O798" s="138">
        <f>IFERROR(__xludf.DUMMYFUNCTION("""COMPUTED_VALUE"""),1.0)</f>
        <v>1</v>
      </c>
      <c r="P798" s="138">
        <f>IFERROR(__xludf.DUMMYFUNCTION("""COMPUTED_VALUE"""),0.0)</f>
        <v>0</v>
      </c>
      <c r="Q798" s="138">
        <f>IFERROR(__xludf.DUMMYFUNCTION("""COMPUTED_VALUE"""),0.0)</f>
        <v>0</v>
      </c>
      <c r="R798" s="138">
        <f>IFERROR(__xludf.DUMMYFUNCTION("""COMPUTED_VALUE"""),0.0)</f>
        <v>0</v>
      </c>
      <c r="S798" s="139">
        <f>IFERROR(__xludf.DUMMYFUNCTION("""COMPUTED_VALUE"""),33.0)</f>
        <v>33</v>
      </c>
      <c r="T798" s="140">
        <f>IFERROR(__xludf.DUMMYFUNCTION("""COMPUTED_VALUE"""),9.0)</f>
        <v>9</v>
      </c>
      <c r="U798" s="136">
        <f>IFERROR(__xludf.DUMMYFUNCTION("""COMPUTED_VALUE"""),6.0)</f>
        <v>6</v>
      </c>
      <c r="V798" s="136">
        <f>IFERROR(__xludf.DUMMYFUNCTION("""COMPUTED_VALUE"""),6.0)</f>
        <v>6</v>
      </c>
      <c r="W798" s="136">
        <f>IFERROR(__xludf.DUMMYFUNCTION("""COMPUTED_VALUE"""),10.0)</f>
        <v>10</v>
      </c>
      <c r="X798" s="136"/>
      <c r="Y798" s="41"/>
      <c r="Z798" s="41"/>
    </row>
    <row r="799">
      <c r="A799" s="41" t="str">
        <f>IFERROR(__xludf.DUMMYFUNCTION("""COMPUTED_VALUE"""),"Rival")</f>
        <v>Rival</v>
      </c>
      <c r="B799" s="41" t="str">
        <f>IFERROR(__xludf.DUMMYFUNCTION("""COMPUTED_VALUE"""),"RSC008517")</f>
        <v>RSC008517</v>
      </c>
      <c r="C799" s="41" t="str">
        <f>IFERROR(__xludf.DUMMYFUNCTION("""COMPUTED_VALUE"""),"MOX jori")</f>
        <v>MOX jori</v>
      </c>
      <c r="D799" s="41" t="str">
        <f>IFERROR(__xludf.DUMMYFUNCTION("""COMPUTED_VALUE"""),"Kitsune")</f>
        <v>Kitsune</v>
      </c>
      <c r="E799" s="136">
        <f>IFERROR(__xludf.DUMMYFUNCTION("""COMPUTED_VALUE"""),10.0)</f>
        <v>10</v>
      </c>
      <c r="F799" s="136">
        <f>IFERROR(__xludf.DUMMYFUNCTION("""COMPUTED_VALUE"""),2.0)</f>
        <v>2</v>
      </c>
      <c r="G799" s="136">
        <f>IFERROR(__xludf.DUMMYFUNCTION("""COMPUTED_VALUE"""),8.0)</f>
        <v>8</v>
      </c>
      <c r="H799" s="137">
        <f>IFERROR(__xludf.DUMMYFUNCTION("""COMPUTED_VALUE"""),0.2)</f>
        <v>0.2</v>
      </c>
      <c r="I799" s="136">
        <f>IFERROR(__xludf.DUMMYFUNCTION("""COMPUTED_VALUE"""),0.0)</f>
        <v>0</v>
      </c>
      <c r="J799" s="136">
        <f>IFERROR(__xludf.DUMMYFUNCTION("""COMPUTED_VALUE"""),3047.0)</f>
        <v>3047</v>
      </c>
      <c r="K799" s="136">
        <f>IFERROR(__xludf.DUMMYFUNCTION("""COMPUTED_VALUE"""),7.0)</f>
        <v>7</v>
      </c>
      <c r="L799" s="136">
        <f>IFERROR(__xludf.DUMMYFUNCTION("""COMPUTED_VALUE"""),5.0)</f>
        <v>5</v>
      </c>
      <c r="M799" s="136">
        <f>IFERROR(__xludf.DUMMYFUNCTION("""COMPUTED_VALUE"""),9.0)</f>
        <v>9</v>
      </c>
      <c r="N799" s="136">
        <f>IFERROR(__xludf.DUMMYFUNCTION("""COMPUTED_VALUE"""),26.0)</f>
        <v>26</v>
      </c>
      <c r="O799" s="138">
        <f>IFERROR(__xludf.DUMMYFUNCTION("""COMPUTED_VALUE"""),0.0)</f>
        <v>0</v>
      </c>
      <c r="P799" s="138">
        <f>IFERROR(__xludf.DUMMYFUNCTION("""COMPUTED_VALUE"""),1.0)</f>
        <v>1</v>
      </c>
      <c r="Q799" s="138">
        <f>IFERROR(__xludf.DUMMYFUNCTION("""COMPUTED_VALUE"""),0.0)</f>
        <v>0</v>
      </c>
      <c r="R799" s="138">
        <f>IFERROR(__xludf.DUMMYFUNCTION("""COMPUTED_VALUE"""),0.0)</f>
        <v>0</v>
      </c>
      <c r="S799" s="139">
        <f>IFERROR(__xludf.DUMMYFUNCTION("""COMPUTED_VALUE"""),82.0)</f>
        <v>82</v>
      </c>
      <c r="T799" s="140">
        <f>IFERROR(__xludf.DUMMYFUNCTION("""COMPUTED_VALUE"""),30.0)</f>
        <v>30</v>
      </c>
      <c r="U799" s="136">
        <f>IFERROR(__xludf.DUMMYFUNCTION("""COMPUTED_VALUE"""),11.0)</f>
        <v>11</v>
      </c>
      <c r="V799" s="136">
        <f>IFERROR(__xludf.DUMMYFUNCTION("""COMPUTED_VALUE"""),10.0)</f>
        <v>10</v>
      </c>
      <c r="W799" s="136">
        <f>IFERROR(__xludf.DUMMYFUNCTION("""COMPUTED_VALUE"""),9.0)</f>
        <v>9</v>
      </c>
      <c r="X799" s="136"/>
      <c r="Y799" s="41"/>
      <c r="Z799" s="41"/>
    </row>
    <row r="800">
      <c r="A800" s="41" t="str">
        <f>IFERROR(__xludf.DUMMYFUNCTION("""COMPUTED_VALUE"""),"Elite")</f>
        <v>Elite</v>
      </c>
      <c r="B800" s="41" t="str">
        <f>IFERROR(__xludf.DUMMYFUNCTION("""COMPUTED_VALUE"""),"RSC008519")</f>
        <v>RSC008519</v>
      </c>
      <c r="C800" s="41" t="str">
        <f>IFERROR(__xludf.DUMMYFUNCTION("""COMPUTED_VALUE"""),"Juice_loffi")</f>
        <v>Juice_loffi</v>
      </c>
      <c r="D800" s="41" t="str">
        <f>IFERROR(__xludf.DUMMYFUNCTION("""COMPUTED_VALUE"""),"Praetorian Guard
Teddy Bears")</f>
        <v>Praetorian Guard
Teddy Bears</v>
      </c>
      <c r="E800" s="136">
        <f>IFERROR(__xludf.DUMMYFUNCTION("""COMPUTED_VALUE"""),6.0)</f>
        <v>6</v>
      </c>
      <c r="F800" s="136">
        <f>IFERROR(__xludf.DUMMYFUNCTION("""COMPUTED_VALUE"""),1.0)</f>
        <v>1</v>
      </c>
      <c r="G800" s="136">
        <f>IFERROR(__xludf.DUMMYFUNCTION("""COMPUTED_VALUE"""),5.0)</f>
        <v>5</v>
      </c>
      <c r="H800" s="137">
        <f>IFERROR(__xludf.DUMMYFUNCTION("""COMPUTED_VALUE"""),0.16666666666666666)</f>
        <v>0.1666666667</v>
      </c>
      <c r="I800" s="136">
        <f>IFERROR(__xludf.DUMMYFUNCTION("""COMPUTED_VALUE"""),0.0)</f>
        <v>0</v>
      </c>
      <c r="J800" s="136">
        <f>IFERROR(__xludf.DUMMYFUNCTION("""COMPUTED_VALUE"""),1448.0)</f>
        <v>1448</v>
      </c>
      <c r="K800" s="136">
        <f>IFERROR(__xludf.DUMMYFUNCTION("""COMPUTED_VALUE"""),0.0)</f>
        <v>0</v>
      </c>
      <c r="L800" s="136">
        <f>IFERROR(__xludf.DUMMYFUNCTION("""COMPUTED_VALUE"""),4.0)</f>
        <v>4</v>
      </c>
      <c r="M800" s="136">
        <f>IFERROR(__xludf.DUMMYFUNCTION("""COMPUTED_VALUE"""),11.0)</f>
        <v>11</v>
      </c>
      <c r="N800" s="136">
        <f>IFERROR(__xludf.DUMMYFUNCTION("""COMPUTED_VALUE"""),8.0)</f>
        <v>8</v>
      </c>
      <c r="O800" s="138">
        <f>IFERROR(__xludf.DUMMYFUNCTION("""COMPUTED_VALUE"""),0.0)</f>
        <v>0</v>
      </c>
      <c r="P800" s="138">
        <f>IFERROR(__xludf.DUMMYFUNCTION("""COMPUTED_VALUE"""),0.0)</f>
        <v>0</v>
      </c>
      <c r="Q800" s="138">
        <f>IFERROR(__xludf.DUMMYFUNCTION("""COMPUTED_VALUE"""),0.0)</f>
        <v>0</v>
      </c>
      <c r="R800" s="138">
        <f>IFERROR(__xludf.DUMMYFUNCTION("""COMPUTED_VALUE"""),2.0)</f>
        <v>2</v>
      </c>
      <c r="S800" s="139">
        <f>IFERROR(__xludf.DUMMYFUNCTION("""COMPUTED_VALUE"""),61.0)</f>
        <v>61</v>
      </c>
      <c r="T800" s="140">
        <f>IFERROR(__xludf.DUMMYFUNCTION("""COMPUTED_VALUE"""),20.0)</f>
        <v>20</v>
      </c>
      <c r="U800" s="136">
        <f>IFERROR(__xludf.DUMMYFUNCTION("""COMPUTED_VALUE"""),10.0)</f>
        <v>10</v>
      </c>
      <c r="V800" s="136">
        <f>IFERROR(__xludf.DUMMYFUNCTION("""COMPUTED_VALUE"""),7.0)</f>
        <v>7</v>
      </c>
      <c r="W800" s="136">
        <f>IFERROR(__xludf.DUMMYFUNCTION("""COMPUTED_VALUE"""),6.0)</f>
        <v>6</v>
      </c>
      <c r="X800" s="136">
        <f>IFERROR(__xludf.DUMMYFUNCTION("""COMPUTED_VALUE"""),392.6666666666667)</f>
        <v>392.6666667</v>
      </c>
      <c r="Y800" s="141">
        <f>IFERROR(__xludf.DUMMYFUNCTION("""COMPUTED_VALUE"""),42.86833333333333)</f>
        <v>42.86833333</v>
      </c>
      <c r="Z800" s="141">
        <f>IFERROR(__xludf.DUMMYFUNCTION("""COMPUTED_VALUE"""),2223.6666666666665)</f>
        <v>2223.666667</v>
      </c>
    </row>
    <row r="801">
      <c r="A801" s="41" t="str">
        <f>IFERROR(__xludf.DUMMYFUNCTION("""COMPUTED_VALUE"""),"Veteran")</f>
        <v>Veteran</v>
      </c>
      <c r="B801" s="41" t="str">
        <f>IFERROR(__xludf.DUMMYFUNCTION("""COMPUTED_VALUE"""),"RSC008524")</f>
        <v>RSC008524</v>
      </c>
      <c r="C801" s="41" t="str">
        <f>IFERROR(__xludf.DUMMYFUNCTION("""COMPUTED_VALUE"""),"ṽex")</f>
        <v>ṽex</v>
      </c>
      <c r="D801" s="41" t="str">
        <f>IFERROR(__xludf.DUMMYFUNCTION("""COMPUTED_VALUE"""),"Singularity")</f>
        <v>Singularity</v>
      </c>
      <c r="E801" s="136">
        <f>IFERROR(__xludf.DUMMYFUNCTION("""COMPUTED_VALUE"""),4.0)</f>
        <v>4</v>
      </c>
      <c r="F801" s="136">
        <f>IFERROR(__xludf.DUMMYFUNCTION("""COMPUTED_VALUE"""),1.0)</f>
        <v>1</v>
      </c>
      <c r="G801" s="136">
        <f>IFERROR(__xludf.DUMMYFUNCTION("""COMPUTED_VALUE"""),3.0)</f>
        <v>3</v>
      </c>
      <c r="H801" s="137">
        <f>IFERROR(__xludf.DUMMYFUNCTION("""COMPUTED_VALUE"""),0.25)</f>
        <v>0.25</v>
      </c>
      <c r="I801" s="136">
        <f>IFERROR(__xludf.DUMMYFUNCTION("""COMPUTED_VALUE"""),1.0)</f>
        <v>1</v>
      </c>
      <c r="J801" s="136">
        <f>IFERROR(__xludf.DUMMYFUNCTION("""COMPUTED_VALUE"""),1453.0)</f>
        <v>1453</v>
      </c>
      <c r="K801" s="136">
        <f>IFERROR(__xludf.DUMMYFUNCTION("""COMPUTED_VALUE"""),1.0)</f>
        <v>1</v>
      </c>
      <c r="L801" s="136">
        <f>IFERROR(__xludf.DUMMYFUNCTION("""COMPUTED_VALUE"""),2.0)</f>
        <v>2</v>
      </c>
      <c r="M801" s="136">
        <f>IFERROR(__xludf.DUMMYFUNCTION("""COMPUTED_VALUE"""),9.0)</f>
        <v>9</v>
      </c>
      <c r="N801" s="136">
        <f>IFERROR(__xludf.DUMMYFUNCTION("""COMPUTED_VALUE"""),8.0)</f>
        <v>8</v>
      </c>
      <c r="O801" s="138">
        <f>IFERROR(__xludf.DUMMYFUNCTION("""COMPUTED_VALUE"""),0.0)</f>
        <v>0</v>
      </c>
      <c r="P801" s="138">
        <f>IFERROR(__xludf.DUMMYFUNCTION("""COMPUTED_VALUE"""),0.0)</f>
        <v>0</v>
      </c>
      <c r="Q801" s="138">
        <f>IFERROR(__xludf.DUMMYFUNCTION("""COMPUTED_VALUE"""),0.0)</f>
        <v>0</v>
      </c>
      <c r="R801" s="138">
        <f>IFERROR(__xludf.DUMMYFUNCTION("""COMPUTED_VALUE"""),2.0)</f>
        <v>2</v>
      </c>
      <c r="S801" s="139">
        <f>IFERROR(__xludf.DUMMYFUNCTION("""COMPUTED_VALUE"""),39.0)</f>
        <v>39</v>
      </c>
      <c r="T801" s="140">
        <f>IFERROR(__xludf.DUMMYFUNCTION("""COMPUTED_VALUE"""),10.0)</f>
        <v>10</v>
      </c>
      <c r="U801" s="136">
        <f>IFERROR(__xludf.DUMMYFUNCTION("""COMPUTED_VALUE"""),3.0)</f>
        <v>3</v>
      </c>
      <c r="V801" s="136">
        <f>IFERROR(__xludf.DUMMYFUNCTION("""COMPUTED_VALUE"""),4.0)</f>
        <v>4</v>
      </c>
      <c r="W801" s="136">
        <f>IFERROR(__xludf.DUMMYFUNCTION("""COMPUTED_VALUE"""),3.0)</f>
        <v>3</v>
      </c>
      <c r="X801" s="136"/>
      <c r="Y801" s="41"/>
      <c r="Z801" s="41"/>
    </row>
    <row r="802">
      <c r="A802" s="41" t="str">
        <f>IFERROR(__xludf.DUMMYFUNCTION("""COMPUTED_VALUE"""),"Elite")</f>
        <v>Elite</v>
      </c>
      <c r="B802" s="41" t="str">
        <f>IFERROR(__xludf.DUMMYFUNCTION("""COMPUTED_VALUE"""),"RSC008525")</f>
        <v>RSC008525</v>
      </c>
      <c r="C802" s="41" t="str">
        <f>IFERROR(__xludf.DUMMYFUNCTION("""COMPUTED_VALUE"""),"tjdubya21")</f>
        <v>tjdubya21</v>
      </c>
      <c r="D802" s="41" t="str">
        <f>IFERROR(__xludf.DUMMYFUNCTION("""COMPUTED_VALUE"""),"Praetorian Guard")</f>
        <v>Praetorian Guard</v>
      </c>
      <c r="E802" s="136">
        <f>IFERROR(__xludf.DUMMYFUNCTION("""COMPUTED_VALUE"""),6.0)</f>
        <v>6</v>
      </c>
      <c r="F802" s="136">
        <f>IFERROR(__xludf.DUMMYFUNCTION("""COMPUTED_VALUE"""),3.0)</f>
        <v>3</v>
      </c>
      <c r="G802" s="136">
        <f>IFERROR(__xludf.DUMMYFUNCTION("""COMPUTED_VALUE"""),3.0)</f>
        <v>3</v>
      </c>
      <c r="H802" s="137">
        <f>IFERROR(__xludf.DUMMYFUNCTION("""COMPUTED_VALUE"""),0.5)</f>
        <v>0.5</v>
      </c>
      <c r="I802" s="136">
        <f>IFERROR(__xludf.DUMMYFUNCTION("""COMPUTED_VALUE"""),0.0)</f>
        <v>0</v>
      </c>
      <c r="J802" s="136">
        <f>IFERROR(__xludf.DUMMYFUNCTION("""COMPUTED_VALUE"""),1477.0)</f>
        <v>1477</v>
      </c>
      <c r="K802" s="136">
        <f>IFERROR(__xludf.DUMMYFUNCTION("""COMPUTED_VALUE"""),4.0)</f>
        <v>4</v>
      </c>
      <c r="L802" s="136">
        <f>IFERROR(__xludf.DUMMYFUNCTION("""COMPUTED_VALUE"""),4.0)</f>
        <v>4</v>
      </c>
      <c r="M802" s="136">
        <f>IFERROR(__xludf.DUMMYFUNCTION("""COMPUTED_VALUE"""),3.0)</f>
        <v>3</v>
      </c>
      <c r="N802" s="136">
        <f>IFERROR(__xludf.DUMMYFUNCTION("""COMPUTED_VALUE"""),7.0)</f>
        <v>7</v>
      </c>
      <c r="O802" s="138">
        <f>IFERROR(__xludf.DUMMYFUNCTION("""COMPUTED_VALUE"""),0.0)</f>
        <v>0</v>
      </c>
      <c r="P802" s="138">
        <f>IFERROR(__xludf.DUMMYFUNCTION("""COMPUTED_VALUE"""),0.0)</f>
        <v>0</v>
      </c>
      <c r="Q802" s="138">
        <f>IFERROR(__xludf.DUMMYFUNCTION("""COMPUTED_VALUE"""),0.0)</f>
        <v>0</v>
      </c>
      <c r="R802" s="138">
        <f>IFERROR(__xludf.DUMMYFUNCTION("""COMPUTED_VALUE"""),0.0)</f>
        <v>0</v>
      </c>
      <c r="S802" s="139">
        <f>IFERROR(__xludf.DUMMYFUNCTION("""COMPUTED_VALUE"""),52.0)</f>
        <v>52</v>
      </c>
      <c r="T802" s="140">
        <f>IFERROR(__xludf.DUMMYFUNCTION("""COMPUTED_VALUE"""),10.0)</f>
        <v>10</v>
      </c>
      <c r="U802" s="136">
        <f>IFERROR(__xludf.DUMMYFUNCTION("""COMPUTED_VALUE"""),3.0)</f>
        <v>3</v>
      </c>
      <c r="V802" s="136">
        <f>IFERROR(__xludf.DUMMYFUNCTION("""COMPUTED_VALUE"""),11.0)</f>
        <v>11</v>
      </c>
      <c r="W802" s="136">
        <f>IFERROR(__xludf.DUMMYFUNCTION("""COMPUTED_VALUE"""),5.0)</f>
        <v>5</v>
      </c>
      <c r="X802" s="136">
        <f>IFERROR(__xludf.DUMMYFUNCTION("""COMPUTED_VALUE"""),411.5)</f>
        <v>411.5</v>
      </c>
      <c r="Y802" s="141">
        <f>IFERROR(__xludf.DUMMYFUNCTION("""COMPUTED_VALUE"""),45.67666666666667)</f>
        <v>45.67666667</v>
      </c>
      <c r="Z802" s="141">
        <f>IFERROR(__xludf.DUMMYFUNCTION("""COMPUTED_VALUE"""),2422.3333333333335)</f>
        <v>2422.333333</v>
      </c>
    </row>
    <row r="803">
      <c r="A803" s="41" t="str">
        <f>IFERROR(__xludf.DUMMYFUNCTION("""COMPUTED_VALUE"""),"Veteran")</f>
        <v>Veteran</v>
      </c>
      <c r="B803" s="41" t="str">
        <f>IFERROR(__xludf.DUMMYFUNCTION("""COMPUTED_VALUE"""),"RSC008527")</f>
        <v>RSC008527</v>
      </c>
      <c r="C803" s="41" t="str">
        <f>IFERROR(__xludf.DUMMYFUNCTION("""COMPUTED_VALUE"""),"HouseHoldNugg")</f>
        <v>HouseHoldNugg</v>
      </c>
      <c r="D803" s="41" t="str">
        <f>IFERROR(__xludf.DUMMYFUNCTION("""COMPUTED_VALUE"""),"Shadow Tails")</f>
        <v>Shadow Tails</v>
      </c>
      <c r="E803" s="136">
        <f>IFERROR(__xludf.DUMMYFUNCTION("""COMPUTED_VALUE"""),18.0)</f>
        <v>18</v>
      </c>
      <c r="F803" s="136">
        <f>IFERROR(__xludf.DUMMYFUNCTION("""COMPUTED_VALUE"""),9.0)</f>
        <v>9</v>
      </c>
      <c r="G803" s="136">
        <f>IFERROR(__xludf.DUMMYFUNCTION("""COMPUTED_VALUE"""),9.0)</f>
        <v>9</v>
      </c>
      <c r="H803" s="137">
        <f>IFERROR(__xludf.DUMMYFUNCTION("""COMPUTED_VALUE"""),0.5)</f>
        <v>0.5</v>
      </c>
      <c r="I803" s="136">
        <f>IFERROR(__xludf.DUMMYFUNCTION("""COMPUTED_VALUE"""),3.0)</f>
        <v>3</v>
      </c>
      <c r="J803" s="136">
        <f>IFERROR(__xludf.DUMMYFUNCTION("""COMPUTED_VALUE"""),5491.0)</f>
        <v>5491</v>
      </c>
      <c r="K803" s="136">
        <f>IFERROR(__xludf.DUMMYFUNCTION("""COMPUTED_VALUE"""),10.0)</f>
        <v>10</v>
      </c>
      <c r="L803" s="136">
        <f>IFERROR(__xludf.DUMMYFUNCTION("""COMPUTED_VALUE"""),8.0)</f>
        <v>8</v>
      </c>
      <c r="M803" s="136">
        <f>IFERROR(__xludf.DUMMYFUNCTION("""COMPUTED_VALUE"""),20.0)</f>
        <v>20</v>
      </c>
      <c r="N803" s="136">
        <f>IFERROR(__xludf.DUMMYFUNCTION("""COMPUTED_VALUE"""),46.0)</f>
        <v>46</v>
      </c>
      <c r="O803" s="138">
        <f>IFERROR(__xludf.DUMMYFUNCTION("""COMPUTED_VALUE"""),0.0)</f>
        <v>0</v>
      </c>
      <c r="P803" s="138">
        <f>IFERROR(__xludf.DUMMYFUNCTION("""COMPUTED_VALUE"""),2.0)</f>
        <v>2</v>
      </c>
      <c r="Q803" s="138">
        <f>IFERROR(__xludf.DUMMYFUNCTION("""COMPUTED_VALUE"""),1.0)</f>
        <v>1</v>
      </c>
      <c r="R803" s="138">
        <f>IFERROR(__xludf.DUMMYFUNCTION("""COMPUTED_VALUE"""),2.0)</f>
        <v>2</v>
      </c>
      <c r="S803" s="139">
        <f>IFERROR(__xludf.DUMMYFUNCTION("""COMPUTED_VALUE"""),112.0)</f>
        <v>112</v>
      </c>
      <c r="T803" s="140">
        <f>IFERROR(__xludf.DUMMYFUNCTION("""COMPUTED_VALUE"""),32.0)</f>
        <v>32</v>
      </c>
      <c r="U803" s="136">
        <f>IFERROR(__xludf.DUMMYFUNCTION("""COMPUTED_VALUE"""),14.0)</f>
        <v>14</v>
      </c>
      <c r="V803" s="136">
        <f>IFERROR(__xludf.DUMMYFUNCTION("""COMPUTED_VALUE"""),7.0)</f>
        <v>7</v>
      </c>
      <c r="W803" s="136">
        <f>IFERROR(__xludf.DUMMYFUNCTION("""COMPUTED_VALUE"""),24.0)</f>
        <v>24</v>
      </c>
      <c r="X803" s="136"/>
      <c r="Y803" s="41"/>
      <c r="Z803" s="41"/>
    </row>
    <row r="804">
      <c r="A804" s="41" t="str">
        <f>IFERROR(__xludf.DUMMYFUNCTION("""COMPUTED_VALUE"""),"Elite")</f>
        <v>Elite</v>
      </c>
      <c r="B804" s="41" t="str">
        <f>IFERROR(__xludf.DUMMYFUNCTION("""COMPUTED_VALUE"""),"RSC008531")</f>
        <v>RSC008531</v>
      </c>
      <c r="C804" s="41" t="str">
        <f>IFERROR(__xludf.DUMMYFUNCTION("""COMPUTED_VALUE"""),"drkmist")</f>
        <v>drkmist</v>
      </c>
      <c r="D804" s="41" t="str">
        <f>IFERROR(__xludf.DUMMYFUNCTION("""COMPUTED_VALUE"""),"Sloths")</f>
        <v>Sloths</v>
      </c>
      <c r="E804" s="136">
        <f>IFERROR(__xludf.DUMMYFUNCTION("""COMPUTED_VALUE"""),3.0)</f>
        <v>3</v>
      </c>
      <c r="F804" s="136">
        <f>IFERROR(__xludf.DUMMYFUNCTION("""COMPUTED_VALUE"""),2.0)</f>
        <v>2</v>
      </c>
      <c r="G804" s="136">
        <f>IFERROR(__xludf.DUMMYFUNCTION("""COMPUTED_VALUE"""),1.0)</f>
        <v>1</v>
      </c>
      <c r="H804" s="137">
        <f>IFERROR(__xludf.DUMMYFUNCTION("""COMPUTED_VALUE"""),0.6666666666666666)</f>
        <v>0.6666666667</v>
      </c>
      <c r="I804" s="136">
        <f>IFERROR(__xludf.DUMMYFUNCTION("""COMPUTED_VALUE"""),1.0)</f>
        <v>1</v>
      </c>
      <c r="J804" s="136">
        <f>IFERROR(__xludf.DUMMYFUNCTION("""COMPUTED_VALUE"""),1343.0)</f>
        <v>1343</v>
      </c>
      <c r="K804" s="136">
        <f>IFERROR(__xludf.DUMMYFUNCTION("""COMPUTED_VALUE"""),2.0)</f>
        <v>2</v>
      </c>
      <c r="L804" s="136">
        <f>IFERROR(__xludf.DUMMYFUNCTION("""COMPUTED_VALUE"""),3.0)</f>
        <v>3</v>
      </c>
      <c r="M804" s="136">
        <f>IFERROR(__xludf.DUMMYFUNCTION("""COMPUTED_VALUE"""),7.0)</f>
        <v>7</v>
      </c>
      <c r="N804" s="136">
        <f>IFERROR(__xludf.DUMMYFUNCTION("""COMPUTED_VALUE"""),6.0)</f>
        <v>6</v>
      </c>
      <c r="O804" s="138">
        <f>IFERROR(__xludf.DUMMYFUNCTION("""COMPUTED_VALUE"""),1.0)</f>
        <v>1</v>
      </c>
      <c r="P804" s="138">
        <f>IFERROR(__xludf.DUMMYFUNCTION("""COMPUTED_VALUE"""),0.0)</f>
        <v>0</v>
      </c>
      <c r="Q804" s="138">
        <f>IFERROR(__xludf.DUMMYFUNCTION("""COMPUTED_VALUE"""),0.0)</f>
        <v>0</v>
      </c>
      <c r="R804" s="138">
        <f>IFERROR(__xludf.DUMMYFUNCTION("""COMPUTED_VALUE"""),1.0)</f>
        <v>1</v>
      </c>
      <c r="S804" s="139">
        <f>IFERROR(__xludf.DUMMYFUNCTION("""COMPUTED_VALUE"""),38.0)</f>
        <v>38</v>
      </c>
      <c r="T804" s="140">
        <f>IFERROR(__xludf.DUMMYFUNCTION("""COMPUTED_VALUE"""),8.0)</f>
        <v>8</v>
      </c>
      <c r="U804" s="136">
        <f>IFERROR(__xludf.DUMMYFUNCTION("""COMPUTED_VALUE"""),2.0)</f>
        <v>2</v>
      </c>
      <c r="V804" s="136">
        <f>IFERROR(__xludf.DUMMYFUNCTION("""COMPUTED_VALUE"""),1.0)</f>
        <v>1</v>
      </c>
      <c r="W804" s="136">
        <f>IFERROR(__xludf.DUMMYFUNCTION("""COMPUTED_VALUE"""),5.0)</f>
        <v>5</v>
      </c>
      <c r="X804" s="136">
        <f>IFERROR(__xludf.DUMMYFUNCTION("""COMPUTED_VALUE"""),440.3333333333333)</f>
        <v>440.3333333</v>
      </c>
      <c r="Y804" s="141">
        <f>IFERROR(__xludf.DUMMYFUNCTION("""COMPUTED_VALUE"""),49.15)</f>
        <v>49.15</v>
      </c>
      <c r="Z804" s="141">
        <f>IFERROR(__xludf.DUMMYFUNCTION("""COMPUTED_VALUE"""),3284.3333333333335)</f>
        <v>3284.333333</v>
      </c>
    </row>
    <row r="805">
      <c r="A805" s="41" t="str">
        <f>IFERROR(__xludf.DUMMYFUNCTION("""COMPUTED_VALUE"""),"Rival")</f>
        <v>Rival</v>
      </c>
      <c r="B805" s="41" t="str">
        <f>IFERROR(__xludf.DUMMYFUNCTION("""COMPUTED_VALUE"""),"RSC008533")</f>
        <v>RSC008533</v>
      </c>
      <c r="C805" s="41" t="str">
        <f>IFERROR(__xludf.DUMMYFUNCTION("""COMPUTED_VALUE"""),"Malik_P4")</f>
        <v>Malik_P4</v>
      </c>
      <c r="D805" s="41" t="str">
        <f>IFERROR(__xludf.DUMMYFUNCTION("""COMPUTED_VALUE"""),"Lightning")</f>
        <v>Lightning</v>
      </c>
      <c r="E805" s="136">
        <f>IFERROR(__xludf.DUMMYFUNCTION("""COMPUTED_VALUE"""),28.0)</f>
        <v>28</v>
      </c>
      <c r="F805" s="136">
        <f>IFERROR(__xludf.DUMMYFUNCTION("""COMPUTED_VALUE"""),16.0)</f>
        <v>16</v>
      </c>
      <c r="G805" s="136">
        <f>IFERROR(__xludf.DUMMYFUNCTION("""COMPUTED_VALUE"""),12.0)</f>
        <v>12</v>
      </c>
      <c r="H805" s="137">
        <f>IFERROR(__xludf.DUMMYFUNCTION("""COMPUTED_VALUE"""),0.5714285714285714)</f>
        <v>0.5714285714</v>
      </c>
      <c r="I805" s="136">
        <f>IFERROR(__xludf.DUMMYFUNCTION("""COMPUTED_VALUE"""),1.0)</f>
        <v>1</v>
      </c>
      <c r="J805" s="136">
        <f>IFERROR(__xludf.DUMMYFUNCTION("""COMPUTED_VALUE"""),8623.0)</f>
        <v>8623</v>
      </c>
      <c r="K805" s="136">
        <f>IFERROR(__xludf.DUMMYFUNCTION("""COMPUTED_VALUE"""),21.0)</f>
        <v>21</v>
      </c>
      <c r="L805" s="136">
        <f>IFERROR(__xludf.DUMMYFUNCTION("""COMPUTED_VALUE"""),19.0)</f>
        <v>19</v>
      </c>
      <c r="M805" s="136">
        <f>IFERROR(__xludf.DUMMYFUNCTION("""COMPUTED_VALUE"""),27.0)</f>
        <v>27</v>
      </c>
      <c r="N805" s="136">
        <f>IFERROR(__xludf.DUMMYFUNCTION("""COMPUTED_VALUE"""),59.0)</f>
        <v>59</v>
      </c>
      <c r="O805" s="138">
        <f>IFERROR(__xludf.DUMMYFUNCTION("""COMPUTED_VALUE"""),5.0)</f>
        <v>5</v>
      </c>
      <c r="P805" s="138">
        <f>IFERROR(__xludf.DUMMYFUNCTION("""COMPUTED_VALUE"""),0.0)</f>
        <v>0</v>
      </c>
      <c r="Q805" s="138">
        <f>IFERROR(__xludf.DUMMYFUNCTION("""COMPUTED_VALUE"""),1.0)</f>
        <v>1</v>
      </c>
      <c r="R805" s="138">
        <f>IFERROR(__xludf.DUMMYFUNCTION("""COMPUTED_VALUE"""),2.0)</f>
        <v>2</v>
      </c>
      <c r="S805" s="139">
        <f>IFERROR(__xludf.DUMMYFUNCTION("""COMPUTED_VALUE"""),231.0)</f>
        <v>231</v>
      </c>
      <c r="T805" s="140">
        <f>IFERROR(__xludf.DUMMYFUNCTION("""COMPUTED_VALUE"""),64.0)</f>
        <v>64</v>
      </c>
      <c r="U805" s="136">
        <f>IFERROR(__xludf.DUMMYFUNCTION("""COMPUTED_VALUE"""),21.0)</f>
        <v>21</v>
      </c>
      <c r="V805" s="136">
        <f>IFERROR(__xludf.DUMMYFUNCTION("""COMPUTED_VALUE"""),15.0)</f>
        <v>15</v>
      </c>
      <c r="W805" s="136">
        <f>IFERROR(__xludf.DUMMYFUNCTION("""COMPUTED_VALUE"""),18.0)</f>
        <v>18</v>
      </c>
      <c r="X805" s="136">
        <f>IFERROR(__xludf.DUMMYFUNCTION("""COMPUTED_VALUE"""),300.67857142857144)</f>
        <v>300.6785714</v>
      </c>
      <c r="Y805" s="141">
        <f>IFERROR(__xludf.DUMMYFUNCTION("""COMPUTED_VALUE"""),49.11464285714286)</f>
        <v>49.11464286</v>
      </c>
      <c r="Z805" s="141">
        <f>IFERROR(__xludf.DUMMYFUNCTION("""COMPUTED_VALUE"""),1839.357142857143)</f>
        <v>1839.357143</v>
      </c>
    </row>
    <row r="806">
      <c r="A806" s="41" t="str">
        <f>IFERROR(__xludf.DUMMYFUNCTION("""COMPUTED_VALUE"""),"Veteran")</f>
        <v>Veteran</v>
      </c>
      <c r="B806" s="41" t="str">
        <f>IFERROR(__xludf.DUMMYFUNCTION("""COMPUTED_VALUE"""),"RSC008535")</f>
        <v>RSC008535</v>
      </c>
      <c r="C806" s="41" t="str">
        <f>IFERROR(__xludf.DUMMYFUNCTION("""COMPUTED_VALUE"""),"recon21savege")</f>
        <v>recon21savege</v>
      </c>
      <c r="D806" s="41" t="str">
        <f>IFERROR(__xludf.DUMMYFUNCTION("""COMPUTED_VALUE"""),"Gouda Gangsters")</f>
        <v>Gouda Gangsters</v>
      </c>
      <c r="E806" s="136">
        <f>IFERROR(__xludf.DUMMYFUNCTION("""COMPUTED_VALUE"""),16.0)</f>
        <v>16</v>
      </c>
      <c r="F806" s="136">
        <f>IFERROR(__xludf.DUMMYFUNCTION("""COMPUTED_VALUE"""),7.0)</f>
        <v>7</v>
      </c>
      <c r="G806" s="136">
        <f>IFERROR(__xludf.DUMMYFUNCTION("""COMPUTED_VALUE"""),9.0)</f>
        <v>9</v>
      </c>
      <c r="H806" s="137">
        <f>IFERROR(__xludf.DUMMYFUNCTION("""COMPUTED_VALUE"""),0.4375)</f>
        <v>0.4375</v>
      </c>
      <c r="I806" s="136">
        <f>IFERROR(__xludf.DUMMYFUNCTION("""COMPUTED_VALUE"""),4.0)</f>
        <v>4</v>
      </c>
      <c r="J806" s="136">
        <f>IFERROR(__xludf.DUMMYFUNCTION("""COMPUTED_VALUE"""),6026.0)</f>
        <v>6026</v>
      </c>
      <c r="K806" s="136">
        <f>IFERROR(__xludf.DUMMYFUNCTION("""COMPUTED_VALUE"""),10.0)</f>
        <v>10</v>
      </c>
      <c r="L806" s="136">
        <f>IFERROR(__xludf.DUMMYFUNCTION("""COMPUTED_VALUE"""),10.0)</f>
        <v>10</v>
      </c>
      <c r="M806" s="136">
        <f>IFERROR(__xludf.DUMMYFUNCTION("""COMPUTED_VALUE"""),22.0)</f>
        <v>22</v>
      </c>
      <c r="N806" s="136">
        <f>IFERROR(__xludf.DUMMYFUNCTION("""COMPUTED_VALUE"""),49.0)</f>
        <v>49</v>
      </c>
      <c r="O806" s="138">
        <f>IFERROR(__xludf.DUMMYFUNCTION("""COMPUTED_VALUE"""),4.0)</f>
        <v>4</v>
      </c>
      <c r="P806" s="138">
        <f>IFERROR(__xludf.DUMMYFUNCTION("""COMPUTED_VALUE"""),1.0)</f>
        <v>1</v>
      </c>
      <c r="Q806" s="138">
        <f>IFERROR(__xludf.DUMMYFUNCTION("""COMPUTED_VALUE"""),0.0)</f>
        <v>0</v>
      </c>
      <c r="R806" s="138">
        <f>IFERROR(__xludf.DUMMYFUNCTION("""COMPUTED_VALUE"""),2.0)</f>
        <v>2</v>
      </c>
      <c r="S806" s="139">
        <f>IFERROR(__xludf.DUMMYFUNCTION("""COMPUTED_VALUE"""),122.0)</f>
        <v>122</v>
      </c>
      <c r="T806" s="140">
        <f>IFERROR(__xludf.DUMMYFUNCTION("""COMPUTED_VALUE"""),46.0)</f>
        <v>46</v>
      </c>
      <c r="U806" s="136">
        <f>IFERROR(__xludf.DUMMYFUNCTION("""COMPUTED_VALUE"""),19.0)</f>
        <v>19</v>
      </c>
      <c r="V806" s="136">
        <f>IFERROR(__xludf.DUMMYFUNCTION("""COMPUTED_VALUE"""),17.0)</f>
        <v>17</v>
      </c>
      <c r="W806" s="136">
        <f>IFERROR(__xludf.DUMMYFUNCTION("""COMPUTED_VALUE"""),10.0)</f>
        <v>10</v>
      </c>
      <c r="X806" s="136"/>
      <c r="Y806" s="41"/>
      <c r="Z806" s="41"/>
    </row>
    <row r="807">
      <c r="A807" s="41" t="str">
        <f>IFERROR(__xludf.DUMMYFUNCTION("""COMPUTED_VALUE"""),"Veteran")</f>
        <v>Veteran</v>
      </c>
      <c r="B807" s="41" t="str">
        <f>IFERROR(__xludf.DUMMYFUNCTION("""COMPUTED_VALUE"""),"RSC008536")</f>
        <v>RSC008536</v>
      </c>
      <c r="C807" s="41" t="str">
        <f>IFERROR(__xludf.DUMMYFUNCTION("""COMPUTED_VALUE"""),"Synbad-")</f>
        <v>Synbad-</v>
      </c>
      <c r="D807" s="41" t="str">
        <f>IFERROR(__xludf.DUMMYFUNCTION("""COMPUTED_VALUE"""),"White Collars
Peppermint")</f>
        <v>White Collars
Peppermint</v>
      </c>
      <c r="E807" s="136">
        <f>IFERROR(__xludf.DUMMYFUNCTION("""COMPUTED_VALUE"""),28.0)</f>
        <v>28</v>
      </c>
      <c r="F807" s="136">
        <f>IFERROR(__xludf.DUMMYFUNCTION("""COMPUTED_VALUE"""),14.0)</f>
        <v>14</v>
      </c>
      <c r="G807" s="136">
        <f>IFERROR(__xludf.DUMMYFUNCTION("""COMPUTED_VALUE"""),14.0)</f>
        <v>14</v>
      </c>
      <c r="H807" s="137">
        <f>IFERROR(__xludf.DUMMYFUNCTION("""COMPUTED_VALUE"""),0.5)</f>
        <v>0.5</v>
      </c>
      <c r="I807" s="136">
        <f>IFERROR(__xludf.DUMMYFUNCTION("""COMPUTED_VALUE"""),3.0)</f>
        <v>3</v>
      </c>
      <c r="J807" s="136">
        <f>IFERROR(__xludf.DUMMYFUNCTION("""COMPUTED_VALUE"""),9069.0)</f>
        <v>9069</v>
      </c>
      <c r="K807" s="136">
        <f>IFERROR(__xludf.DUMMYFUNCTION("""COMPUTED_VALUE"""),16.0)</f>
        <v>16</v>
      </c>
      <c r="L807" s="136">
        <f>IFERROR(__xludf.DUMMYFUNCTION("""COMPUTED_VALUE"""),13.0)</f>
        <v>13</v>
      </c>
      <c r="M807" s="136">
        <f>IFERROR(__xludf.DUMMYFUNCTION("""COMPUTED_VALUE"""),43.0)</f>
        <v>43</v>
      </c>
      <c r="N807" s="136">
        <f>IFERROR(__xludf.DUMMYFUNCTION("""COMPUTED_VALUE"""),60.0)</f>
        <v>60</v>
      </c>
      <c r="O807" s="138">
        <f>IFERROR(__xludf.DUMMYFUNCTION("""COMPUTED_VALUE"""),1.0)</f>
        <v>1</v>
      </c>
      <c r="P807" s="138">
        <f>IFERROR(__xludf.DUMMYFUNCTION("""COMPUTED_VALUE"""),1.0)</f>
        <v>1</v>
      </c>
      <c r="Q807" s="138">
        <f>IFERROR(__xludf.DUMMYFUNCTION("""COMPUTED_VALUE"""),0.0)</f>
        <v>0</v>
      </c>
      <c r="R807" s="138">
        <f>IFERROR(__xludf.DUMMYFUNCTION("""COMPUTED_VALUE"""),6.0)</f>
        <v>6</v>
      </c>
      <c r="S807" s="139">
        <f>IFERROR(__xludf.DUMMYFUNCTION("""COMPUTED_VALUE"""),212.0)</f>
        <v>212</v>
      </c>
      <c r="T807" s="140">
        <f>IFERROR(__xludf.DUMMYFUNCTION("""COMPUTED_VALUE"""),61.0)</f>
        <v>61</v>
      </c>
      <c r="U807" s="136">
        <f>IFERROR(__xludf.DUMMYFUNCTION("""COMPUTED_VALUE"""),19.0)</f>
        <v>19</v>
      </c>
      <c r="V807" s="136">
        <f>IFERROR(__xludf.DUMMYFUNCTION("""COMPUTED_VALUE"""),20.0)</f>
        <v>20</v>
      </c>
      <c r="W807" s="136">
        <f>IFERROR(__xludf.DUMMYFUNCTION("""COMPUTED_VALUE"""),26.0)</f>
        <v>26</v>
      </c>
      <c r="X807" s="136"/>
      <c r="Y807" s="41"/>
      <c r="Z807" s="41"/>
    </row>
    <row r="808">
      <c r="A808" s="41" t="str">
        <f>IFERROR(__xludf.DUMMYFUNCTION("""COMPUTED_VALUE"""),"Rival")</f>
        <v>Rival</v>
      </c>
      <c r="B808" s="41" t="str">
        <f>IFERROR(__xludf.DUMMYFUNCTION("""COMPUTED_VALUE"""),"RSC008537")</f>
        <v>RSC008537</v>
      </c>
      <c r="C808" s="41" t="str">
        <f>IFERROR(__xludf.DUMMYFUNCTION("""COMPUTED_VALUE"""),"SirSqwilly")</f>
        <v>SirSqwilly</v>
      </c>
      <c r="D808" s="41" t="str">
        <f>IFERROR(__xludf.DUMMYFUNCTION("""COMPUTED_VALUE"""),"Heavy Metal
Ocelots")</f>
        <v>Heavy Metal
Ocelots</v>
      </c>
      <c r="E808" s="136">
        <f>IFERROR(__xludf.DUMMYFUNCTION("""COMPUTED_VALUE"""),17.0)</f>
        <v>17</v>
      </c>
      <c r="F808" s="136">
        <f>IFERROR(__xludf.DUMMYFUNCTION("""COMPUTED_VALUE"""),8.0)</f>
        <v>8</v>
      </c>
      <c r="G808" s="136">
        <f>IFERROR(__xludf.DUMMYFUNCTION("""COMPUTED_VALUE"""),9.0)</f>
        <v>9</v>
      </c>
      <c r="H808" s="137">
        <f>IFERROR(__xludf.DUMMYFUNCTION("""COMPUTED_VALUE"""),0.47058823529411764)</f>
        <v>0.4705882353</v>
      </c>
      <c r="I808" s="136">
        <f>IFERROR(__xludf.DUMMYFUNCTION("""COMPUTED_VALUE"""),2.0)</f>
        <v>2</v>
      </c>
      <c r="J808" s="136">
        <f>IFERROR(__xludf.DUMMYFUNCTION("""COMPUTED_VALUE"""),4786.0)</f>
        <v>4786</v>
      </c>
      <c r="K808" s="136">
        <f>IFERROR(__xludf.DUMMYFUNCTION("""COMPUTED_VALUE"""),10.0)</f>
        <v>10</v>
      </c>
      <c r="L808" s="136">
        <f>IFERROR(__xludf.DUMMYFUNCTION("""COMPUTED_VALUE"""),7.0)</f>
        <v>7</v>
      </c>
      <c r="M808" s="136">
        <f>IFERROR(__xludf.DUMMYFUNCTION("""COMPUTED_VALUE"""),17.0)</f>
        <v>17</v>
      </c>
      <c r="N808" s="136">
        <f>IFERROR(__xludf.DUMMYFUNCTION("""COMPUTED_VALUE"""),36.0)</f>
        <v>36</v>
      </c>
      <c r="O808" s="138">
        <f>IFERROR(__xludf.DUMMYFUNCTION("""COMPUTED_VALUE"""),2.0)</f>
        <v>2</v>
      </c>
      <c r="P808" s="138">
        <f>IFERROR(__xludf.DUMMYFUNCTION("""COMPUTED_VALUE"""),0.0)</f>
        <v>0</v>
      </c>
      <c r="Q808" s="138">
        <f>IFERROR(__xludf.DUMMYFUNCTION("""COMPUTED_VALUE"""),0.0)</f>
        <v>0</v>
      </c>
      <c r="R808" s="138">
        <f>IFERROR(__xludf.DUMMYFUNCTION("""COMPUTED_VALUE"""),0.0)</f>
        <v>0</v>
      </c>
      <c r="S808" s="139">
        <f>IFERROR(__xludf.DUMMYFUNCTION("""COMPUTED_VALUE"""),114.0)</f>
        <v>114</v>
      </c>
      <c r="T808" s="140">
        <f>IFERROR(__xludf.DUMMYFUNCTION("""COMPUTED_VALUE"""),35.0)</f>
        <v>35</v>
      </c>
      <c r="U808" s="136">
        <f>IFERROR(__xludf.DUMMYFUNCTION("""COMPUTED_VALUE"""),17.0)</f>
        <v>17</v>
      </c>
      <c r="V808" s="136">
        <f>IFERROR(__xludf.DUMMYFUNCTION("""COMPUTED_VALUE"""),12.0)</f>
        <v>12</v>
      </c>
      <c r="W808" s="136">
        <f>IFERROR(__xludf.DUMMYFUNCTION("""COMPUTED_VALUE"""),15.0)</f>
        <v>15</v>
      </c>
      <c r="X808" s="136">
        <f>IFERROR(__xludf.DUMMYFUNCTION("""COMPUTED_VALUE"""),345.7647058823529)</f>
        <v>345.7647059</v>
      </c>
      <c r="Y808" s="141">
        <f>IFERROR(__xludf.DUMMYFUNCTION("""COMPUTED_VALUE"""),52.31882352941176)</f>
        <v>52.31882353</v>
      </c>
      <c r="Z808" s="141">
        <f>IFERROR(__xludf.DUMMYFUNCTION("""COMPUTED_VALUE"""),2051.176470588235)</f>
        <v>2051.176471</v>
      </c>
    </row>
    <row r="809">
      <c r="A809" s="41" t="str">
        <f>IFERROR(__xludf.DUMMYFUNCTION("""COMPUTED_VALUE"""),"Master")</f>
        <v>Master</v>
      </c>
      <c r="B809" s="41" t="str">
        <f>IFERROR(__xludf.DUMMYFUNCTION("""COMPUTED_VALUE"""),"RSC008539")</f>
        <v>RSC008539</v>
      </c>
      <c r="C809" s="41" t="str">
        <f>IFERROR(__xludf.DUMMYFUNCTION("""COMPUTED_VALUE"""),"Shune.")</f>
        <v>Shune.</v>
      </c>
      <c r="D809" s="41" t="str">
        <f>IFERROR(__xludf.DUMMYFUNCTION("""COMPUTED_VALUE"""),"Battle Masters")</f>
        <v>Battle Masters</v>
      </c>
      <c r="E809" s="136">
        <f>IFERROR(__xludf.DUMMYFUNCTION("""COMPUTED_VALUE"""),23.0)</f>
        <v>23</v>
      </c>
      <c r="F809" s="136">
        <f>IFERROR(__xludf.DUMMYFUNCTION("""COMPUTED_VALUE"""),5.0)</f>
        <v>5</v>
      </c>
      <c r="G809" s="136">
        <f>IFERROR(__xludf.DUMMYFUNCTION("""COMPUTED_VALUE"""),18.0)</f>
        <v>18</v>
      </c>
      <c r="H809" s="137">
        <f>IFERROR(__xludf.DUMMYFUNCTION("""COMPUTED_VALUE"""),0.21739130434782608)</f>
        <v>0.2173913043</v>
      </c>
      <c r="I809" s="136">
        <f>IFERROR(__xludf.DUMMYFUNCTION("""COMPUTED_VALUE"""),0.0)</f>
        <v>0</v>
      </c>
      <c r="J809" s="136">
        <f>IFERROR(__xludf.DUMMYFUNCTION("""COMPUTED_VALUE"""),7572.0)</f>
        <v>7572</v>
      </c>
      <c r="K809" s="136">
        <f>IFERROR(__xludf.DUMMYFUNCTION("""COMPUTED_VALUE"""),10.0)</f>
        <v>10</v>
      </c>
      <c r="L809" s="136">
        <f>IFERROR(__xludf.DUMMYFUNCTION("""COMPUTED_VALUE"""),16.0)</f>
        <v>16</v>
      </c>
      <c r="M809" s="136">
        <f>IFERROR(__xludf.DUMMYFUNCTION("""COMPUTED_VALUE"""),30.0)</f>
        <v>30</v>
      </c>
      <c r="N809" s="136">
        <f>IFERROR(__xludf.DUMMYFUNCTION("""COMPUTED_VALUE"""),50.0)</f>
        <v>50</v>
      </c>
      <c r="O809" s="138">
        <f>IFERROR(__xludf.DUMMYFUNCTION("""COMPUTED_VALUE"""),2.0)</f>
        <v>2</v>
      </c>
      <c r="P809" s="138">
        <f>IFERROR(__xludf.DUMMYFUNCTION("""COMPUTED_VALUE"""),0.0)</f>
        <v>0</v>
      </c>
      <c r="Q809" s="138">
        <f>IFERROR(__xludf.DUMMYFUNCTION("""COMPUTED_VALUE"""),0.0)</f>
        <v>0</v>
      </c>
      <c r="R809" s="138">
        <f>IFERROR(__xludf.DUMMYFUNCTION("""COMPUTED_VALUE"""),2.0)</f>
        <v>2</v>
      </c>
      <c r="S809" s="139">
        <f>IFERROR(__xludf.DUMMYFUNCTION("""COMPUTED_VALUE"""),220.0)</f>
        <v>220</v>
      </c>
      <c r="T809" s="140">
        <f>IFERROR(__xludf.DUMMYFUNCTION("""COMPUTED_VALUE"""),72.0)</f>
        <v>72</v>
      </c>
      <c r="U809" s="136">
        <f>IFERROR(__xludf.DUMMYFUNCTION("""COMPUTED_VALUE"""),29.0)</f>
        <v>29</v>
      </c>
      <c r="V809" s="136">
        <f>IFERROR(__xludf.DUMMYFUNCTION("""COMPUTED_VALUE"""),20.0)</f>
        <v>20</v>
      </c>
      <c r="W809" s="136">
        <f>IFERROR(__xludf.DUMMYFUNCTION("""COMPUTED_VALUE"""),27.0)</f>
        <v>27</v>
      </c>
      <c r="X809" s="136">
        <f>IFERROR(__xludf.DUMMYFUNCTION("""COMPUTED_VALUE"""),421.5217391304348)</f>
        <v>421.5217391</v>
      </c>
      <c r="Y809" s="141">
        <f>IFERROR(__xludf.DUMMYFUNCTION("""COMPUTED_VALUE"""),48.27739130434781)</f>
        <v>48.2773913</v>
      </c>
      <c r="Z809" s="141">
        <f>IFERROR(__xludf.DUMMYFUNCTION("""COMPUTED_VALUE"""),2489.8695652173915)</f>
        <v>2489.869565</v>
      </c>
    </row>
    <row r="810">
      <c r="A810" s="41" t="str">
        <f>IFERROR(__xludf.DUMMYFUNCTION("""COMPUTED_VALUE"""),"Challenger")</f>
        <v>Challenger</v>
      </c>
      <c r="B810" s="41" t="str">
        <f>IFERROR(__xludf.DUMMYFUNCTION("""COMPUTED_VALUE"""),"RSC008540")</f>
        <v>RSC008540</v>
      </c>
      <c r="C810" s="41" t="str">
        <f>IFERROR(__xludf.DUMMYFUNCTION("""COMPUTED_VALUE"""),"GG K-9")</f>
        <v>GG K-9</v>
      </c>
      <c r="D810" s="41" t="str">
        <f>IFERROR(__xludf.DUMMYFUNCTION("""COMPUTED_VALUE"""),"Havarti Hustlers")</f>
        <v>Havarti Hustlers</v>
      </c>
      <c r="E810" s="136">
        <f>IFERROR(__xludf.DUMMYFUNCTION("""COMPUTED_VALUE"""),16.0)</f>
        <v>16</v>
      </c>
      <c r="F810" s="136">
        <f>IFERROR(__xludf.DUMMYFUNCTION("""COMPUTED_VALUE"""),3.0)</f>
        <v>3</v>
      </c>
      <c r="G810" s="136">
        <f>IFERROR(__xludf.DUMMYFUNCTION("""COMPUTED_VALUE"""),13.0)</f>
        <v>13</v>
      </c>
      <c r="H810" s="137">
        <f>IFERROR(__xludf.DUMMYFUNCTION("""COMPUTED_VALUE"""),0.1875)</f>
        <v>0.1875</v>
      </c>
      <c r="I810" s="136">
        <f>IFERROR(__xludf.DUMMYFUNCTION("""COMPUTED_VALUE"""),1.0)</f>
        <v>1</v>
      </c>
      <c r="J810" s="136">
        <f>IFERROR(__xludf.DUMMYFUNCTION("""COMPUTED_VALUE"""),5574.0)</f>
        <v>5574</v>
      </c>
      <c r="K810" s="136">
        <f>IFERROR(__xludf.DUMMYFUNCTION("""COMPUTED_VALUE"""),15.0)</f>
        <v>15</v>
      </c>
      <c r="L810" s="136">
        <f>IFERROR(__xludf.DUMMYFUNCTION("""COMPUTED_VALUE"""),6.0)</f>
        <v>6</v>
      </c>
      <c r="M810" s="136">
        <f>IFERROR(__xludf.DUMMYFUNCTION("""COMPUTED_VALUE"""),17.0)</f>
        <v>17</v>
      </c>
      <c r="N810" s="136">
        <f>IFERROR(__xludf.DUMMYFUNCTION("""COMPUTED_VALUE"""),48.0)</f>
        <v>48</v>
      </c>
      <c r="O810" s="138">
        <f>IFERROR(__xludf.DUMMYFUNCTION("""COMPUTED_VALUE"""),2.0)</f>
        <v>2</v>
      </c>
      <c r="P810" s="138">
        <f>IFERROR(__xludf.DUMMYFUNCTION("""COMPUTED_VALUE"""),1.0)</f>
        <v>1</v>
      </c>
      <c r="Q810" s="138">
        <f>IFERROR(__xludf.DUMMYFUNCTION("""COMPUTED_VALUE"""),0.0)</f>
        <v>0</v>
      </c>
      <c r="R810" s="138">
        <f>IFERROR(__xludf.DUMMYFUNCTION("""COMPUTED_VALUE"""),0.0)</f>
        <v>0</v>
      </c>
      <c r="S810" s="139">
        <f>IFERROR(__xludf.DUMMYFUNCTION("""COMPUTED_VALUE"""),140.0)</f>
        <v>140</v>
      </c>
      <c r="T810" s="140">
        <f>IFERROR(__xludf.DUMMYFUNCTION("""COMPUTED_VALUE"""),57.0)</f>
        <v>57</v>
      </c>
      <c r="U810" s="136">
        <f>IFERROR(__xludf.DUMMYFUNCTION("""COMPUTED_VALUE"""),18.0)</f>
        <v>18</v>
      </c>
      <c r="V810" s="136">
        <f>IFERROR(__xludf.DUMMYFUNCTION("""COMPUTED_VALUE"""),18.0)</f>
        <v>18</v>
      </c>
      <c r="W810" s="136">
        <f>IFERROR(__xludf.DUMMYFUNCTION("""COMPUTED_VALUE"""),11.0)</f>
        <v>11</v>
      </c>
      <c r="X810" s="136"/>
      <c r="Y810" s="41"/>
      <c r="Z810" s="41"/>
    </row>
    <row r="811">
      <c r="A811" s="41" t="str">
        <f>IFERROR(__xludf.DUMMYFUNCTION("""COMPUTED_VALUE"""),"Amateur")</f>
        <v>Amateur</v>
      </c>
      <c r="B811" s="41" t="str">
        <f>IFERROR(__xludf.DUMMYFUNCTION("""COMPUTED_VALUE"""),"RSC008541")</f>
        <v>RSC008541</v>
      </c>
      <c r="C811" s="41" t="str">
        <f>IFERROR(__xludf.DUMMYFUNCTION("""COMPUTED_VALUE"""),"Jito1017")</f>
        <v>Jito1017</v>
      </c>
      <c r="D811" s="41" t="str">
        <f>IFERROR(__xludf.DUMMYFUNCTION("""COMPUTED_VALUE"""),"Electric Eels
Winter Fresh
Garlic Knots")</f>
        <v>Electric Eels
Winter Fresh
Garlic Knots</v>
      </c>
      <c r="E811" s="136">
        <f>IFERROR(__xludf.DUMMYFUNCTION("""COMPUTED_VALUE"""),16.0)</f>
        <v>16</v>
      </c>
      <c r="F811" s="136">
        <f>IFERROR(__xludf.DUMMYFUNCTION("""COMPUTED_VALUE"""),12.0)</f>
        <v>12</v>
      </c>
      <c r="G811" s="136">
        <f>IFERROR(__xludf.DUMMYFUNCTION("""COMPUTED_VALUE"""),4.0)</f>
        <v>4</v>
      </c>
      <c r="H811" s="137">
        <f>IFERROR(__xludf.DUMMYFUNCTION("""COMPUTED_VALUE"""),0.75)</f>
        <v>0.75</v>
      </c>
      <c r="I811" s="136">
        <f>IFERROR(__xludf.DUMMYFUNCTION("""COMPUTED_VALUE"""),8.0)</f>
        <v>8</v>
      </c>
      <c r="J811" s="136">
        <f>IFERROR(__xludf.DUMMYFUNCTION("""COMPUTED_VALUE"""),7003.0)</f>
        <v>7003</v>
      </c>
      <c r="K811" s="136">
        <f>IFERROR(__xludf.DUMMYFUNCTION("""COMPUTED_VALUE"""),23.0)</f>
        <v>23</v>
      </c>
      <c r="L811" s="136">
        <f>IFERROR(__xludf.DUMMYFUNCTION("""COMPUTED_VALUE"""),14.0)</f>
        <v>14</v>
      </c>
      <c r="M811" s="136">
        <f>IFERROR(__xludf.DUMMYFUNCTION("""COMPUTED_VALUE"""),13.0)</f>
        <v>13</v>
      </c>
      <c r="N811" s="136">
        <f>IFERROR(__xludf.DUMMYFUNCTION("""COMPUTED_VALUE"""),51.0)</f>
        <v>51</v>
      </c>
      <c r="O811" s="138">
        <f>IFERROR(__xludf.DUMMYFUNCTION("""COMPUTED_VALUE"""),6.0)</f>
        <v>6</v>
      </c>
      <c r="P811" s="138">
        <f>IFERROR(__xludf.DUMMYFUNCTION("""COMPUTED_VALUE"""),3.0)</f>
        <v>3</v>
      </c>
      <c r="Q811" s="138">
        <f>IFERROR(__xludf.DUMMYFUNCTION("""COMPUTED_VALUE"""),0.0)</f>
        <v>0</v>
      </c>
      <c r="R811" s="138">
        <f>IFERROR(__xludf.DUMMYFUNCTION("""COMPUTED_VALUE"""),0.0)</f>
        <v>0</v>
      </c>
      <c r="S811" s="139">
        <f>IFERROR(__xludf.DUMMYFUNCTION("""COMPUTED_VALUE"""),75.0)</f>
        <v>75</v>
      </c>
      <c r="T811" s="140">
        <f>IFERROR(__xludf.DUMMYFUNCTION("""COMPUTED_VALUE"""),27.0)</f>
        <v>27</v>
      </c>
      <c r="U811" s="136">
        <f>IFERROR(__xludf.DUMMYFUNCTION("""COMPUTED_VALUE"""),9.0)</f>
        <v>9</v>
      </c>
      <c r="V811" s="136">
        <f>IFERROR(__xludf.DUMMYFUNCTION("""COMPUTED_VALUE"""),14.0)</f>
        <v>14</v>
      </c>
      <c r="W811" s="136">
        <f>IFERROR(__xludf.DUMMYFUNCTION("""COMPUTED_VALUE"""),15.0)</f>
        <v>15</v>
      </c>
      <c r="X811" s="139">
        <f>IFERROR(__xludf.DUMMYFUNCTION("""COMPUTED_VALUE"""),387.375)</f>
        <v>387.375</v>
      </c>
      <c r="Y811" s="141">
        <f>IFERROR(__xludf.DUMMYFUNCTION("""COMPUTED_VALUE"""),52.0775)</f>
        <v>52.0775</v>
      </c>
      <c r="Z811" s="141">
        <f>IFERROR(__xludf.DUMMYFUNCTION("""COMPUTED_VALUE"""),2350.4375)</f>
        <v>2350.4375</v>
      </c>
    </row>
    <row r="812">
      <c r="A812" s="41" t="str">
        <f>IFERROR(__xludf.DUMMYFUNCTION("""COMPUTED_VALUE"""),"Rival")</f>
        <v>Rival</v>
      </c>
      <c r="B812" s="41" t="str">
        <f>IFERROR(__xludf.DUMMYFUNCTION("""COMPUTED_VALUE"""),"RSC008543")</f>
        <v>RSC008543</v>
      </c>
      <c r="C812" s="41" t="str">
        <f>IFERROR(__xludf.DUMMYFUNCTION("""COMPUTED_VALUE"""),"T1Ta")</f>
        <v>T1Ta</v>
      </c>
      <c r="D812" s="41" t="str">
        <f>IFERROR(__xludf.DUMMYFUNCTION("""COMPUTED_VALUE"""),"Black Ice")</f>
        <v>Black Ice</v>
      </c>
      <c r="E812" s="136">
        <f>IFERROR(__xludf.DUMMYFUNCTION("""COMPUTED_VALUE"""),4.0)</f>
        <v>4</v>
      </c>
      <c r="F812" s="136">
        <f>IFERROR(__xludf.DUMMYFUNCTION("""COMPUTED_VALUE"""),2.0)</f>
        <v>2</v>
      </c>
      <c r="G812" s="136">
        <f>IFERROR(__xludf.DUMMYFUNCTION("""COMPUTED_VALUE"""),2.0)</f>
        <v>2</v>
      </c>
      <c r="H812" s="137">
        <f>IFERROR(__xludf.DUMMYFUNCTION("""COMPUTED_VALUE"""),0.5)</f>
        <v>0.5</v>
      </c>
      <c r="I812" s="136">
        <f>IFERROR(__xludf.DUMMYFUNCTION("""COMPUTED_VALUE"""),0.0)</f>
        <v>0</v>
      </c>
      <c r="J812" s="136">
        <f>IFERROR(__xludf.DUMMYFUNCTION("""COMPUTED_VALUE"""),629.0)</f>
        <v>629</v>
      </c>
      <c r="K812" s="136">
        <f>IFERROR(__xludf.DUMMYFUNCTION("""COMPUTED_VALUE"""),1.0)</f>
        <v>1</v>
      </c>
      <c r="L812" s="136">
        <f>IFERROR(__xludf.DUMMYFUNCTION("""COMPUTED_VALUE"""),0.0)</f>
        <v>0</v>
      </c>
      <c r="M812" s="136">
        <f>IFERROR(__xludf.DUMMYFUNCTION("""COMPUTED_VALUE"""),3.0)</f>
        <v>3</v>
      </c>
      <c r="N812" s="136">
        <f>IFERROR(__xludf.DUMMYFUNCTION("""COMPUTED_VALUE"""),4.0)</f>
        <v>4</v>
      </c>
      <c r="O812" s="138">
        <f>IFERROR(__xludf.DUMMYFUNCTION("""COMPUTED_VALUE"""),0.0)</f>
        <v>0</v>
      </c>
      <c r="P812" s="138">
        <f>IFERROR(__xludf.DUMMYFUNCTION("""COMPUTED_VALUE"""),0.0)</f>
        <v>0</v>
      </c>
      <c r="Q812" s="138">
        <f>IFERROR(__xludf.DUMMYFUNCTION("""COMPUTED_VALUE"""),0.0)</f>
        <v>0</v>
      </c>
      <c r="R812" s="138">
        <f>IFERROR(__xludf.DUMMYFUNCTION("""COMPUTED_VALUE"""),0.0)</f>
        <v>0</v>
      </c>
      <c r="S812" s="139">
        <f>IFERROR(__xludf.DUMMYFUNCTION("""COMPUTED_VALUE"""),35.0)</f>
        <v>35</v>
      </c>
      <c r="T812" s="140">
        <f>IFERROR(__xludf.DUMMYFUNCTION("""COMPUTED_VALUE"""),14.0)</f>
        <v>14</v>
      </c>
      <c r="U812" s="136">
        <f>IFERROR(__xludf.DUMMYFUNCTION("""COMPUTED_VALUE"""),3.0)</f>
        <v>3</v>
      </c>
      <c r="V812" s="136">
        <f>IFERROR(__xludf.DUMMYFUNCTION("""COMPUTED_VALUE"""),2.0)</f>
        <v>2</v>
      </c>
      <c r="W812" s="136">
        <f>IFERROR(__xludf.DUMMYFUNCTION("""COMPUTED_VALUE"""),3.0)</f>
        <v>3</v>
      </c>
      <c r="X812" s="136"/>
      <c r="Y812" s="41"/>
      <c r="Z812" s="41"/>
    </row>
    <row r="813">
      <c r="A813" s="41" t="str">
        <f>IFERROR(__xludf.DUMMYFUNCTION("""COMPUTED_VALUE"""),"Veteran")</f>
        <v>Veteran</v>
      </c>
      <c r="B813" s="41" t="str">
        <f>IFERROR(__xludf.DUMMYFUNCTION("""COMPUTED_VALUE"""),"RSC008548")</f>
        <v>RSC008548</v>
      </c>
      <c r="C813" s="41" t="str">
        <f>IFERROR(__xludf.DUMMYFUNCTION("""COMPUTED_VALUE"""),"Slinkxyz")</f>
        <v>Slinkxyz</v>
      </c>
      <c r="D813" s="41" t="str">
        <f>IFERROR(__xludf.DUMMYFUNCTION("""COMPUTED_VALUE"""),"Peppermint
Makos
Shadow Tails")</f>
        <v>Peppermint
Makos
Shadow Tails</v>
      </c>
      <c r="E813" s="136">
        <f>IFERROR(__xludf.DUMMYFUNCTION("""COMPUTED_VALUE"""),12.0)</f>
        <v>12</v>
      </c>
      <c r="F813" s="136">
        <f>IFERROR(__xludf.DUMMYFUNCTION("""COMPUTED_VALUE"""),3.0)</f>
        <v>3</v>
      </c>
      <c r="G813" s="136">
        <f>IFERROR(__xludf.DUMMYFUNCTION("""COMPUTED_VALUE"""),9.0)</f>
        <v>9</v>
      </c>
      <c r="H813" s="137">
        <f>IFERROR(__xludf.DUMMYFUNCTION("""COMPUTED_VALUE"""),0.25)</f>
        <v>0.25</v>
      </c>
      <c r="I813" s="136">
        <f>IFERROR(__xludf.DUMMYFUNCTION("""COMPUTED_VALUE"""),0.0)</f>
        <v>0</v>
      </c>
      <c r="J813" s="136">
        <f>IFERROR(__xludf.DUMMYFUNCTION("""COMPUTED_VALUE"""),2649.0)</f>
        <v>2649</v>
      </c>
      <c r="K813" s="136">
        <f>IFERROR(__xludf.DUMMYFUNCTION("""COMPUTED_VALUE"""),4.0)</f>
        <v>4</v>
      </c>
      <c r="L813" s="136">
        <f>IFERROR(__xludf.DUMMYFUNCTION("""COMPUTED_VALUE"""),4.0)</f>
        <v>4</v>
      </c>
      <c r="M813" s="136">
        <f>IFERROR(__xludf.DUMMYFUNCTION("""COMPUTED_VALUE"""),8.0)</f>
        <v>8</v>
      </c>
      <c r="N813" s="136">
        <f>IFERROR(__xludf.DUMMYFUNCTION("""COMPUTED_VALUE"""),28.0)</f>
        <v>28</v>
      </c>
      <c r="O813" s="138">
        <f>IFERROR(__xludf.DUMMYFUNCTION("""COMPUTED_VALUE"""),0.0)</f>
        <v>0</v>
      </c>
      <c r="P813" s="138">
        <f>IFERROR(__xludf.DUMMYFUNCTION("""COMPUTED_VALUE"""),0.0)</f>
        <v>0</v>
      </c>
      <c r="Q813" s="138">
        <f>IFERROR(__xludf.DUMMYFUNCTION("""COMPUTED_VALUE"""),0.0)</f>
        <v>0</v>
      </c>
      <c r="R813" s="138">
        <f>IFERROR(__xludf.DUMMYFUNCTION("""COMPUTED_VALUE"""),1.0)</f>
        <v>1</v>
      </c>
      <c r="S813" s="139">
        <f>IFERROR(__xludf.DUMMYFUNCTION("""COMPUTED_VALUE"""),95.0)</f>
        <v>95</v>
      </c>
      <c r="T813" s="140">
        <f>IFERROR(__xludf.DUMMYFUNCTION("""COMPUTED_VALUE"""),26.0)</f>
        <v>26</v>
      </c>
      <c r="U813" s="136">
        <f>IFERROR(__xludf.DUMMYFUNCTION("""COMPUTED_VALUE"""),10.0)</f>
        <v>10</v>
      </c>
      <c r="V813" s="136">
        <f>IFERROR(__xludf.DUMMYFUNCTION("""COMPUTED_VALUE"""),11.0)</f>
        <v>11</v>
      </c>
      <c r="W813" s="136">
        <f>IFERROR(__xludf.DUMMYFUNCTION("""COMPUTED_VALUE"""),13.0)</f>
        <v>13</v>
      </c>
      <c r="X813" s="136">
        <f>IFERROR(__xludf.DUMMYFUNCTION("""COMPUTED_VALUE"""),428.6666666666667)</f>
        <v>428.6666667</v>
      </c>
      <c r="Y813" s="141">
        <f>IFERROR(__xludf.DUMMYFUNCTION("""COMPUTED_VALUE"""),47.1475)</f>
        <v>47.1475</v>
      </c>
      <c r="Z813" s="141">
        <f>IFERROR(__xludf.DUMMYFUNCTION("""COMPUTED_VALUE"""),2403.3333333333335)</f>
        <v>2403.333333</v>
      </c>
    </row>
    <row r="814">
      <c r="A814" s="41" t="str">
        <f>IFERROR(__xludf.DUMMYFUNCTION("""COMPUTED_VALUE"""),"Challenger")</f>
        <v>Challenger</v>
      </c>
      <c r="B814" s="41" t="str">
        <f>IFERROR(__xludf.DUMMYFUNCTION("""COMPUTED_VALUE"""),"RSC008552")</f>
        <v>RSC008552</v>
      </c>
      <c r="C814" s="41" t="str">
        <f>IFERROR(__xludf.DUMMYFUNCTION("""COMPUTED_VALUE"""),"S0UL09")</f>
        <v>S0UL09</v>
      </c>
      <c r="D814" s="41" t="str">
        <f>IFERROR(__xludf.DUMMYFUNCTION("""COMPUTED_VALUE"""),"Glaciers")</f>
        <v>Glaciers</v>
      </c>
      <c r="E814" s="136">
        <f>IFERROR(__xludf.DUMMYFUNCTION("""COMPUTED_VALUE"""),4.0)</f>
        <v>4</v>
      </c>
      <c r="F814" s="136">
        <f>IFERROR(__xludf.DUMMYFUNCTION("""COMPUTED_VALUE"""),2.0)</f>
        <v>2</v>
      </c>
      <c r="G814" s="136">
        <f>IFERROR(__xludf.DUMMYFUNCTION("""COMPUTED_VALUE"""),2.0)</f>
        <v>2</v>
      </c>
      <c r="H814" s="137">
        <f>IFERROR(__xludf.DUMMYFUNCTION("""COMPUTED_VALUE"""),0.5)</f>
        <v>0.5</v>
      </c>
      <c r="I814" s="136">
        <f>IFERROR(__xludf.DUMMYFUNCTION("""COMPUTED_VALUE"""),1.0)</f>
        <v>1</v>
      </c>
      <c r="J814" s="136">
        <f>IFERROR(__xludf.DUMMYFUNCTION("""COMPUTED_VALUE"""),1057.0)</f>
        <v>1057</v>
      </c>
      <c r="K814" s="136">
        <f>IFERROR(__xludf.DUMMYFUNCTION("""COMPUTED_VALUE"""),3.0)</f>
        <v>3</v>
      </c>
      <c r="L814" s="136">
        <f>IFERROR(__xludf.DUMMYFUNCTION("""COMPUTED_VALUE"""),1.0)</f>
        <v>1</v>
      </c>
      <c r="M814" s="136">
        <f>IFERROR(__xludf.DUMMYFUNCTION("""COMPUTED_VALUE"""),2.0)</f>
        <v>2</v>
      </c>
      <c r="N814" s="136">
        <f>IFERROR(__xludf.DUMMYFUNCTION("""COMPUTED_VALUE"""),8.0)</f>
        <v>8</v>
      </c>
      <c r="O814" s="138">
        <f>IFERROR(__xludf.DUMMYFUNCTION("""COMPUTED_VALUE"""),0.0)</f>
        <v>0</v>
      </c>
      <c r="P814" s="138">
        <f>IFERROR(__xludf.DUMMYFUNCTION("""COMPUTED_VALUE"""),1.0)</f>
        <v>1</v>
      </c>
      <c r="Q814" s="138">
        <f>IFERROR(__xludf.DUMMYFUNCTION("""COMPUTED_VALUE"""),0.0)</f>
        <v>0</v>
      </c>
      <c r="R814" s="138">
        <f>IFERROR(__xludf.DUMMYFUNCTION("""COMPUTED_VALUE"""),0.0)</f>
        <v>0</v>
      </c>
      <c r="S814" s="139">
        <f>IFERROR(__xludf.DUMMYFUNCTION("""COMPUTED_VALUE"""),28.0)</f>
        <v>28</v>
      </c>
      <c r="T814" s="140">
        <f>IFERROR(__xludf.DUMMYFUNCTION("""COMPUTED_VALUE"""),8.0)</f>
        <v>8</v>
      </c>
      <c r="U814" s="136">
        <f>IFERROR(__xludf.DUMMYFUNCTION("""COMPUTED_VALUE"""),1.0)</f>
        <v>1</v>
      </c>
      <c r="V814" s="136">
        <f>IFERROR(__xludf.DUMMYFUNCTION("""COMPUTED_VALUE"""),2.0)</f>
        <v>2</v>
      </c>
      <c r="W814" s="136">
        <f>IFERROR(__xludf.DUMMYFUNCTION("""COMPUTED_VALUE"""),6.0)</f>
        <v>6</v>
      </c>
      <c r="X814" s="136"/>
      <c r="Y814" s="41"/>
      <c r="Z814" s="41"/>
    </row>
    <row r="815">
      <c r="A815" s="41" t="str">
        <f>IFERROR(__xludf.DUMMYFUNCTION("""COMPUTED_VALUE"""),"Veteran")</f>
        <v>Veteran</v>
      </c>
      <c r="B815" s="41" t="str">
        <f>IFERROR(__xludf.DUMMYFUNCTION("""COMPUTED_VALUE"""),"RSC008553")</f>
        <v>RSC008553</v>
      </c>
      <c r="C815" s="41" t="str">
        <f>IFERROR(__xludf.DUMMYFUNCTION("""COMPUTED_VALUE"""),"Choco")</f>
        <v>Choco</v>
      </c>
      <c r="D815" s="41" t="str">
        <f>IFERROR(__xludf.DUMMYFUNCTION("""COMPUTED_VALUE"""),"Avalanche
Nighthawks
Gouda Gangsters
Mosaic Maestros
Merciless Mob")</f>
        <v>Avalanche
Nighthawks
Gouda Gangsters
Mosaic Maestros
Merciless Mob</v>
      </c>
      <c r="E815" s="136">
        <f>IFERROR(__xludf.DUMMYFUNCTION("""COMPUTED_VALUE"""),24.0)</f>
        <v>24</v>
      </c>
      <c r="F815" s="136">
        <f>IFERROR(__xludf.DUMMYFUNCTION("""COMPUTED_VALUE"""),11.0)</f>
        <v>11</v>
      </c>
      <c r="G815" s="136">
        <f>IFERROR(__xludf.DUMMYFUNCTION("""COMPUTED_VALUE"""),13.0)</f>
        <v>13</v>
      </c>
      <c r="H815" s="137">
        <f>IFERROR(__xludf.DUMMYFUNCTION("""COMPUTED_VALUE"""),0.4583333333333333)</f>
        <v>0.4583333333</v>
      </c>
      <c r="I815" s="136">
        <f>IFERROR(__xludf.DUMMYFUNCTION("""COMPUTED_VALUE"""),4.0)</f>
        <v>4</v>
      </c>
      <c r="J815" s="136">
        <f>IFERROR(__xludf.DUMMYFUNCTION("""COMPUTED_VALUE"""),9394.0)</f>
        <v>9394</v>
      </c>
      <c r="K815" s="136">
        <f>IFERROR(__xludf.DUMMYFUNCTION("""COMPUTED_VALUE"""),16.0)</f>
        <v>16</v>
      </c>
      <c r="L815" s="136">
        <f>IFERROR(__xludf.DUMMYFUNCTION("""COMPUTED_VALUE"""),18.0)</f>
        <v>18</v>
      </c>
      <c r="M815" s="136">
        <f>IFERROR(__xludf.DUMMYFUNCTION("""COMPUTED_VALUE"""),40.0)</f>
        <v>40</v>
      </c>
      <c r="N815" s="136">
        <f>IFERROR(__xludf.DUMMYFUNCTION("""COMPUTED_VALUE"""),65.0)</f>
        <v>65</v>
      </c>
      <c r="O815" s="138">
        <f>IFERROR(__xludf.DUMMYFUNCTION("""COMPUTED_VALUE"""),1.0)</f>
        <v>1</v>
      </c>
      <c r="P815" s="138">
        <f>IFERROR(__xludf.DUMMYFUNCTION("""COMPUTED_VALUE"""),1.0)</f>
        <v>1</v>
      </c>
      <c r="Q815" s="138">
        <f>IFERROR(__xludf.DUMMYFUNCTION("""COMPUTED_VALUE"""),0.0)</f>
        <v>0</v>
      </c>
      <c r="R815" s="138">
        <f>IFERROR(__xludf.DUMMYFUNCTION("""COMPUTED_VALUE"""),6.0)</f>
        <v>6</v>
      </c>
      <c r="S815" s="139">
        <f>IFERROR(__xludf.DUMMYFUNCTION("""COMPUTED_VALUE"""),194.0)</f>
        <v>194</v>
      </c>
      <c r="T815" s="140">
        <f>IFERROR(__xludf.DUMMYFUNCTION("""COMPUTED_VALUE"""),53.0)</f>
        <v>53</v>
      </c>
      <c r="U815" s="136">
        <f>IFERROR(__xludf.DUMMYFUNCTION("""COMPUTED_VALUE"""),18.0)</f>
        <v>18</v>
      </c>
      <c r="V815" s="136">
        <f>IFERROR(__xludf.DUMMYFUNCTION("""COMPUTED_VALUE"""),22.0)</f>
        <v>22</v>
      </c>
      <c r="W815" s="136">
        <f>IFERROR(__xludf.DUMMYFUNCTION("""COMPUTED_VALUE"""),26.0)</f>
        <v>26</v>
      </c>
      <c r="X815" s="136">
        <f>IFERROR(__xludf.DUMMYFUNCTION("""COMPUTED_VALUE"""),341.8333333333333)</f>
        <v>341.8333333</v>
      </c>
      <c r="Y815" s="141">
        <f>IFERROR(__xludf.DUMMYFUNCTION("""COMPUTED_VALUE"""),45.963750000000005)</f>
        <v>45.96375</v>
      </c>
      <c r="Z815" s="141">
        <f>IFERROR(__xludf.DUMMYFUNCTION("""COMPUTED_VALUE"""),2107.4166666666665)</f>
        <v>2107.416667</v>
      </c>
    </row>
    <row r="816">
      <c r="A816" s="41" t="str">
        <f>IFERROR(__xludf.DUMMYFUNCTION("""COMPUTED_VALUE"""),"Elite")</f>
        <v>Elite</v>
      </c>
      <c r="B816" s="41" t="str">
        <f>IFERROR(__xludf.DUMMYFUNCTION("""COMPUTED_VALUE"""),"RSC008554")</f>
        <v>RSC008554</v>
      </c>
      <c r="C816" s="41" t="str">
        <f>IFERROR(__xludf.DUMMYFUNCTION("""COMPUTED_VALUE"""),"golden4789")</f>
        <v>golden4789</v>
      </c>
      <c r="D816" s="41" t="str">
        <f>IFERROR(__xludf.DUMMYFUNCTION("""COMPUTED_VALUE"""),"Desolation")</f>
        <v>Desolation</v>
      </c>
      <c r="E816" s="136">
        <f>IFERROR(__xludf.DUMMYFUNCTION("""COMPUTED_VALUE"""),4.0)</f>
        <v>4</v>
      </c>
      <c r="F816" s="136">
        <f>IFERROR(__xludf.DUMMYFUNCTION("""COMPUTED_VALUE"""),3.0)</f>
        <v>3</v>
      </c>
      <c r="G816" s="136">
        <f>IFERROR(__xludf.DUMMYFUNCTION("""COMPUTED_VALUE"""),1.0)</f>
        <v>1</v>
      </c>
      <c r="H816" s="137">
        <f>IFERROR(__xludf.DUMMYFUNCTION("""COMPUTED_VALUE"""),0.75)</f>
        <v>0.75</v>
      </c>
      <c r="I816" s="136">
        <f>IFERROR(__xludf.DUMMYFUNCTION("""COMPUTED_VALUE"""),0.0)</f>
        <v>0</v>
      </c>
      <c r="J816" s="136">
        <f>IFERROR(__xludf.DUMMYFUNCTION("""COMPUTED_VALUE"""),1251.0)</f>
        <v>1251</v>
      </c>
      <c r="K816" s="136">
        <f>IFERROR(__xludf.DUMMYFUNCTION("""COMPUTED_VALUE"""),2.0)</f>
        <v>2</v>
      </c>
      <c r="L816" s="136">
        <f>IFERROR(__xludf.DUMMYFUNCTION("""COMPUTED_VALUE"""),3.0)</f>
        <v>3</v>
      </c>
      <c r="M816" s="136">
        <f>IFERROR(__xludf.DUMMYFUNCTION("""COMPUTED_VALUE"""),5.0)</f>
        <v>5</v>
      </c>
      <c r="N816" s="136">
        <f>IFERROR(__xludf.DUMMYFUNCTION("""COMPUTED_VALUE"""),7.0)</f>
        <v>7</v>
      </c>
      <c r="O816" s="138">
        <f>IFERROR(__xludf.DUMMYFUNCTION("""COMPUTED_VALUE"""),1.0)</f>
        <v>1</v>
      </c>
      <c r="P816" s="138">
        <f>IFERROR(__xludf.DUMMYFUNCTION("""COMPUTED_VALUE"""),0.0)</f>
        <v>0</v>
      </c>
      <c r="Q816" s="138">
        <f>IFERROR(__xludf.DUMMYFUNCTION("""COMPUTED_VALUE"""),0.0)</f>
        <v>0</v>
      </c>
      <c r="R816" s="138">
        <f>IFERROR(__xludf.DUMMYFUNCTION("""COMPUTED_VALUE"""),0.0)</f>
        <v>0</v>
      </c>
      <c r="S816" s="139">
        <f>IFERROR(__xludf.DUMMYFUNCTION("""COMPUTED_VALUE"""),34.0)</f>
        <v>34</v>
      </c>
      <c r="T816" s="140">
        <f>IFERROR(__xludf.DUMMYFUNCTION("""COMPUTED_VALUE"""),9.0)</f>
        <v>9</v>
      </c>
      <c r="U816" s="136">
        <f>IFERROR(__xludf.DUMMYFUNCTION("""COMPUTED_VALUE"""),1.0)</f>
        <v>1</v>
      </c>
      <c r="V816" s="136">
        <f>IFERROR(__xludf.DUMMYFUNCTION("""COMPUTED_VALUE"""),2.0)</f>
        <v>2</v>
      </c>
      <c r="W816" s="136">
        <f>IFERROR(__xludf.DUMMYFUNCTION("""COMPUTED_VALUE"""),6.0)</f>
        <v>6</v>
      </c>
      <c r="X816" s="136">
        <f>IFERROR(__xludf.DUMMYFUNCTION("""COMPUTED_VALUE"""),333.75)</f>
        <v>333.75</v>
      </c>
      <c r="Y816" s="141">
        <f>IFERROR(__xludf.DUMMYFUNCTION("""COMPUTED_VALUE"""),40.69)</f>
        <v>40.69</v>
      </c>
      <c r="Z816" s="141">
        <f>IFERROR(__xludf.DUMMYFUNCTION("""COMPUTED_VALUE"""),1919.5)</f>
        <v>1919.5</v>
      </c>
    </row>
    <row r="817">
      <c r="A817" s="41" t="str">
        <f>IFERROR(__xludf.DUMMYFUNCTION("""COMPUTED_VALUE"""),"Challenger")</f>
        <v>Challenger</v>
      </c>
      <c r="B817" s="41" t="str">
        <f>IFERROR(__xludf.DUMMYFUNCTION("""COMPUTED_VALUE"""),"RSC008556")</f>
        <v>RSC008556</v>
      </c>
      <c r="C817" s="41" t="str">
        <f>IFERROR(__xludf.DUMMYFUNCTION("""COMPUTED_VALUE"""),"jizko")</f>
        <v>jizko</v>
      </c>
      <c r="D817" s="41" t="str">
        <f>IFERROR(__xludf.DUMMYFUNCTION("""COMPUTED_VALUE"""),"Scribes")</f>
        <v>Scribes</v>
      </c>
      <c r="E817" s="136">
        <f>IFERROR(__xludf.DUMMYFUNCTION("""COMPUTED_VALUE"""),14.0)</f>
        <v>14</v>
      </c>
      <c r="F817" s="136">
        <f>IFERROR(__xludf.DUMMYFUNCTION("""COMPUTED_VALUE"""),6.0)</f>
        <v>6</v>
      </c>
      <c r="G817" s="136">
        <f>IFERROR(__xludf.DUMMYFUNCTION("""COMPUTED_VALUE"""),8.0)</f>
        <v>8</v>
      </c>
      <c r="H817" s="137">
        <f>IFERROR(__xludf.DUMMYFUNCTION("""COMPUTED_VALUE"""),0.42857142857142855)</f>
        <v>0.4285714286</v>
      </c>
      <c r="I817" s="136">
        <f>IFERROR(__xludf.DUMMYFUNCTION("""COMPUTED_VALUE"""),6.0)</f>
        <v>6</v>
      </c>
      <c r="J817" s="136">
        <f>IFERROR(__xludf.DUMMYFUNCTION("""COMPUTED_VALUE"""),5033.0)</f>
        <v>5033</v>
      </c>
      <c r="K817" s="136">
        <f>IFERROR(__xludf.DUMMYFUNCTION("""COMPUTED_VALUE"""),12.0)</f>
        <v>12</v>
      </c>
      <c r="L817" s="136">
        <f>IFERROR(__xludf.DUMMYFUNCTION("""COMPUTED_VALUE"""),6.0)</f>
        <v>6</v>
      </c>
      <c r="M817" s="136">
        <f>IFERROR(__xludf.DUMMYFUNCTION("""COMPUTED_VALUE"""),20.0)</f>
        <v>20</v>
      </c>
      <c r="N817" s="136">
        <f>IFERROR(__xludf.DUMMYFUNCTION("""COMPUTED_VALUE"""),41.0)</f>
        <v>41</v>
      </c>
      <c r="O817" s="138">
        <f>IFERROR(__xludf.DUMMYFUNCTION("""COMPUTED_VALUE"""),3.0)</f>
        <v>3</v>
      </c>
      <c r="P817" s="138">
        <f>IFERROR(__xludf.DUMMYFUNCTION("""COMPUTED_VALUE"""),0.0)</f>
        <v>0</v>
      </c>
      <c r="Q817" s="138">
        <f>IFERROR(__xludf.DUMMYFUNCTION("""COMPUTED_VALUE"""),0.0)</f>
        <v>0</v>
      </c>
      <c r="R817" s="138">
        <f>IFERROR(__xludf.DUMMYFUNCTION("""COMPUTED_VALUE"""),4.0)</f>
        <v>4</v>
      </c>
      <c r="S817" s="139">
        <f>IFERROR(__xludf.DUMMYFUNCTION("""COMPUTED_VALUE"""),99.0)</f>
        <v>99</v>
      </c>
      <c r="T817" s="140">
        <f>IFERROR(__xludf.DUMMYFUNCTION("""COMPUTED_VALUE"""),37.0)</f>
        <v>37</v>
      </c>
      <c r="U817" s="136">
        <f>IFERROR(__xludf.DUMMYFUNCTION("""COMPUTED_VALUE"""),12.0)</f>
        <v>12</v>
      </c>
      <c r="V817" s="136">
        <f>IFERROR(__xludf.DUMMYFUNCTION("""COMPUTED_VALUE"""),13.0)</f>
        <v>13</v>
      </c>
      <c r="W817" s="136">
        <f>IFERROR(__xludf.DUMMYFUNCTION("""COMPUTED_VALUE"""),7.0)</f>
        <v>7</v>
      </c>
      <c r="X817" s="136"/>
      <c r="Y817" s="41"/>
      <c r="Z817" s="41"/>
    </row>
    <row r="818">
      <c r="A818" s="41" t="str">
        <f>IFERROR(__xludf.DUMMYFUNCTION("""COMPUTED_VALUE"""),"Rival")</f>
        <v>Rival</v>
      </c>
      <c r="B818" s="41" t="str">
        <f>IFERROR(__xludf.DUMMYFUNCTION("""COMPUTED_VALUE"""),"RSC008557")</f>
        <v>RSC008557</v>
      </c>
      <c r="C818" s="41" t="str">
        <f>IFERROR(__xludf.DUMMYFUNCTION("""COMPUTED_VALUE"""),"lurx bad at rl")</f>
        <v>lurx bad at rl</v>
      </c>
      <c r="D818" s="41" t="str">
        <f>IFERROR(__xludf.DUMMYFUNCTION("""COMPUTED_VALUE"""),"Dracos
Phoenix")</f>
        <v>Dracos
Phoenix</v>
      </c>
      <c r="E818" s="136">
        <f>IFERROR(__xludf.DUMMYFUNCTION("""COMPUTED_VALUE"""),20.0)</f>
        <v>20</v>
      </c>
      <c r="F818" s="136">
        <f>IFERROR(__xludf.DUMMYFUNCTION("""COMPUTED_VALUE"""),14.0)</f>
        <v>14</v>
      </c>
      <c r="G818" s="136">
        <f>IFERROR(__xludf.DUMMYFUNCTION("""COMPUTED_VALUE"""),6.0)</f>
        <v>6</v>
      </c>
      <c r="H818" s="137">
        <f>IFERROR(__xludf.DUMMYFUNCTION("""COMPUTED_VALUE"""),0.7)</f>
        <v>0.7</v>
      </c>
      <c r="I818" s="136">
        <f>IFERROR(__xludf.DUMMYFUNCTION("""COMPUTED_VALUE"""),8.0)</f>
        <v>8</v>
      </c>
      <c r="J818" s="136">
        <f>IFERROR(__xludf.DUMMYFUNCTION("""COMPUTED_VALUE"""),7522.0)</f>
        <v>7522</v>
      </c>
      <c r="K818" s="136">
        <f>IFERROR(__xludf.DUMMYFUNCTION("""COMPUTED_VALUE"""),22.0)</f>
        <v>22</v>
      </c>
      <c r="L818" s="136">
        <f>IFERROR(__xludf.DUMMYFUNCTION("""COMPUTED_VALUE"""),13.0)</f>
        <v>13</v>
      </c>
      <c r="M818" s="136">
        <f>IFERROR(__xludf.DUMMYFUNCTION("""COMPUTED_VALUE"""),23.0)</f>
        <v>23</v>
      </c>
      <c r="N818" s="136">
        <f>IFERROR(__xludf.DUMMYFUNCTION("""COMPUTED_VALUE"""),62.0)</f>
        <v>62</v>
      </c>
      <c r="O818" s="138">
        <f>IFERROR(__xludf.DUMMYFUNCTION("""COMPUTED_VALUE"""),5.0)</f>
        <v>5</v>
      </c>
      <c r="P818" s="138">
        <f>IFERROR(__xludf.DUMMYFUNCTION("""COMPUTED_VALUE"""),3.0)</f>
        <v>3</v>
      </c>
      <c r="Q818" s="138">
        <f>IFERROR(__xludf.DUMMYFUNCTION("""COMPUTED_VALUE"""),0.0)</f>
        <v>0</v>
      </c>
      <c r="R818" s="138">
        <f>IFERROR(__xludf.DUMMYFUNCTION("""COMPUTED_VALUE"""),2.0)</f>
        <v>2</v>
      </c>
      <c r="S818" s="139">
        <f>IFERROR(__xludf.DUMMYFUNCTION("""COMPUTED_VALUE"""),130.0)</f>
        <v>130</v>
      </c>
      <c r="T818" s="140">
        <f>IFERROR(__xludf.DUMMYFUNCTION("""COMPUTED_VALUE"""),35.0)</f>
        <v>35</v>
      </c>
      <c r="U818" s="136">
        <f>IFERROR(__xludf.DUMMYFUNCTION("""COMPUTED_VALUE"""),15.0)</f>
        <v>15</v>
      </c>
      <c r="V818" s="136">
        <f>IFERROR(__xludf.DUMMYFUNCTION("""COMPUTED_VALUE"""),10.0)</f>
        <v>10</v>
      </c>
      <c r="W818" s="136">
        <f>IFERROR(__xludf.DUMMYFUNCTION("""COMPUTED_VALUE"""),10.0)</f>
        <v>10</v>
      </c>
      <c r="X818" s="136">
        <f>IFERROR(__xludf.DUMMYFUNCTION("""COMPUTED_VALUE"""),406.6)</f>
        <v>406.6</v>
      </c>
      <c r="Y818" s="141">
        <f>IFERROR(__xludf.DUMMYFUNCTION("""COMPUTED_VALUE"""),48.08200000000001)</f>
        <v>48.082</v>
      </c>
      <c r="Z818" s="141">
        <f>IFERROR(__xludf.DUMMYFUNCTION("""COMPUTED_VALUE"""),2272.8)</f>
        <v>2272.8</v>
      </c>
    </row>
    <row r="819">
      <c r="A819" s="41" t="str">
        <f>IFERROR(__xludf.DUMMYFUNCTION("""COMPUTED_VALUE"""),"Veteran")</f>
        <v>Veteran</v>
      </c>
      <c r="B819" s="41" t="str">
        <f>IFERROR(__xludf.DUMMYFUNCTION("""COMPUTED_VALUE"""),"RSC008562")</f>
        <v>RSC008562</v>
      </c>
      <c r="C819" s="41" t="str">
        <f>IFERROR(__xludf.DUMMYFUNCTION("""COMPUTED_VALUE"""),"lul za za")</f>
        <v>lul za za</v>
      </c>
      <c r="D819" s="41" t="str">
        <f>IFERROR(__xludf.DUMMYFUNCTION("""COMPUTED_VALUE"""),"Supernova
Peppermint")</f>
        <v>Supernova
Peppermint</v>
      </c>
      <c r="E819" s="136">
        <f>IFERROR(__xludf.DUMMYFUNCTION("""COMPUTED_VALUE"""),7.0)</f>
        <v>7</v>
      </c>
      <c r="F819" s="136">
        <f>IFERROR(__xludf.DUMMYFUNCTION("""COMPUTED_VALUE"""),2.0)</f>
        <v>2</v>
      </c>
      <c r="G819" s="136">
        <f>IFERROR(__xludf.DUMMYFUNCTION("""COMPUTED_VALUE"""),5.0)</f>
        <v>5</v>
      </c>
      <c r="H819" s="137">
        <f>IFERROR(__xludf.DUMMYFUNCTION("""COMPUTED_VALUE"""),0.2857142857142857)</f>
        <v>0.2857142857</v>
      </c>
      <c r="I819" s="136">
        <f>IFERROR(__xludf.DUMMYFUNCTION("""COMPUTED_VALUE"""),1.0)</f>
        <v>1</v>
      </c>
      <c r="J819" s="136">
        <f>IFERROR(__xludf.DUMMYFUNCTION("""COMPUTED_VALUE"""),2110.0)</f>
        <v>2110</v>
      </c>
      <c r="K819" s="136">
        <f>IFERROR(__xludf.DUMMYFUNCTION("""COMPUTED_VALUE"""),3.0)</f>
        <v>3</v>
      </c>
      <c r="L819" s="136">
        <f>IFERROR(__xludf.DUMMYFUNCTION("""COMPUTED_VALUE"""),1.0)</f>
        <v>1</v>
      </c>
      <c r="M819" s="136">
        <f>IFERROR(__xludf.DUMMYFUNCTION("""COMPUTED_VALUE"""),10.0)</f>
        <v>10</v>
      </c>
      <c r="N819" s="136">
        <f>IFERROR(__xludf.DUMMYFUNCTION("""COMPUTED_VALUE"""),12.0)</f>
        <v>12</v>
      </c>
      <c r="O819" s="138">
        <f>IFERROR(__xludf.DUMMYFUNCTION("""COMPUTED_VALUE"""),1.0)</f>
        <v>1</v>
      </c>
      <c r="P819" s="138">
        <f>IFERROR(__xludf.DUMMYFUNCTION("""COMPUTED_VALUE"""),0.0)</f>
        <v>0</v>
      </c>
      <c r="Q819" s="138">
        <f>IFERROR(__xludf.DUMMYFUNCTION("""COMPUTED_VALUE"""),0.0)</f>
        <v>0</v>
      </c>
      <c r="R819" s="138">
        <f>IFERROR(__xludf.DUMMYFUNCTION("""COMPUTED_VALUE"""),1.0)</f>
        <v>1</v>
      </c>
      <c r="S819" s="139">
        <f>IFERROR(__xludf.DUMMYFUNCTION("""COMPUTED_VALUE"""),65.0)</f>
        <v>65</v>
      </c>
      <c r="T819" s="140">
        <f>IFERROR(__xludf.DUMMYFUNCTION("""COMPUTED_VALUE"""),18.0)</f>
        <v>18</v>
      </c>
      <c r="U819" s="136">
        <f>IFERROR(__xludf.DUMMYFUNCTION("""COMPUTED_VALUE"""),11.0)</f>
        <v>11</v>
      </c>
      <c r="V819" s="136">
        <f>IFERROR(__xludf.DUMMYFUNCTION("""COMPUTED_VALUE"""),4.0)</f>
        <v>4</v>
      </c>
      <c r="W819" s="136">
        <f>IFERROR(__xludf.DUMMYFUNCTION("""COMPUTED_VALUE"""),8.0)</f>
        <v>8</v>
      </c>
      <c r="X819" s="136">
        <f>IFERROR(__xludf.DUMMYFUNCTION("""COMPUTED_VALUE"""),476.0)</f>
        <v>476</v>
      </c>
      <c r="Y819" s="141">
        <f>IFERROR(__xludf.DUMMYFUNCTION("""COMPUTED_VALUE"""),48.57714285714285)</f>
        <v>48.57714286</v>
      </c>
      <c r="Z819" s="141">
        <f>IFERROR(__xludf.DUMMYFUNCTION("""COMPUTED_VALUE"""),2746.4285714285716)</f>
        <v>2746.428571</v>
      </c>
    </row>
    <row r="820">
      <c r="A820" s="41" t="str">
        <f>IFERROR(__xludf.DUMMYFUNCTION("""COMPUTED_VALUE"""),"Rival")</f>
        <v>Rival</v>
      </c>
      <c r="B820" s="41" t="str">
        <f>IFERROR(__xludf.DUMMYFUNCTION("""COMPUTED_VALUE"""),"RSC008582")</f>
        <v>RSC008582</v>
      </c>
      <c r="C820" s="41" t="str">
        <f>IFERROR(__xludf.DUMMYFUNCTION("""COMPUTED_VALUE"""),"ZeXeR-_-")</f>
        <v>ZeXeR-_-</v>
      </c>
      <c r="D820" s="41" t="str">
        <f>IFERROR(__xludf.DUMMYFUNCTION("""COMPUTED_VALUE"""),"Ocelots")</f>
        <v>Ocelots</v>
      </c>
      <c r="E820" s="136">
        <f>IFERROR(__xludf.DUMMYFUNCTION("""COMPUTED_VALUE"""),4.0)</f>
        <v>4</v>
      </c>
      <c r="F820" s="136">
        <f>IFERROR(__xludf.DUMMYFUNCTION("""COMPUTED_VALUE"""),2.0)</f>
        <v>2</v>
      </c>
      <c r="G820" s="136">
        <f>IFERROR(__xludf.DUMMYFUNCTION("""COMPUTED_VALUE"""),2.0)</f>
        <v>2</v>
      </c>
      <c r="H820" s="137">
        <f>IFERROR(__xludf.DUMMYFUNCTION("""COMPUTED_VALUE"""),0.5)</f>
        <v>0.5</v>
      </c>
      <c r="I820" s="136">
        <f>IFERROR(__xludf.DUMMYFUNCTION("""COMPUTED_VALUE"""),2.0)</f>
        <v>2</v>
      </c>
      <c r="J820" s="136">
        <f>IFERROR(__xludf.DUMMYFUNCTION("""COMPUTED_VALUE"""),1630.0)</f>
        <v>1630</v>
      </c>
      <c r="K820" s="136">
        <f>IFERROR(__xludf.DUMMYFUNCTION("""COMPUTED_VALUE"""),5.0)</f>
        <v>5</v>
      </c>
      <c r="L820" s="136">
        <f>IFERROR(__xludf.DUMMYFUNCTION("""COMPUTED_VALUE"""),3.0)</f>
        <v>3</v>
      </c>
      <c r="M820" s="136">
        <f>IFERROR(__xludf.DUMMYFUNCTION("""COMPUTED_VALUE"""),6.0)</f>
        <v>6</v>
      </c>
      <c r="N820" s="136">
        <f>IFERROR(__xludf.DUMMYFUNCTION("""COMPUTED_VALUE"""),11.0)</f>
        <v>11</v>
      </c>
      <c r="O820" s="138">
        <f>IFERROR(__xludf.DUMMYFUNCTION("""COMPUTED_VALUE"""),1.0)</f>
        <v>1</v>
      </c>
      <c r="P820" s="138">
        <f>IFERROR(__xludf.DUMMYFUNCTION("""COMPUTED_VALUE"""),1.0)</f>
        <v>1</v>
      </c>
      <c r="Q820" s="138">
        <f>IFERROR(__xludf.DUMMYFUNCTION("""COMPUTED_VALUE"""),0.0)</f>
        <v>0</v>
      </c>
      <c r="R820" s="138">
        <f>IFERROR(__xludf.DUMMYFUNCTION("""COMPUTED_VALUE"""),0.0)</f>
        <v>0</v>
      </c>
      <c r="S820" s="139">
        <f>IFERROR(__xludf.DUMMYFUNCTION("""COMPUTED_VALUE"""),25.0)</f>
        <v>25</v>
      </c>
      <c r="T820" s="140">
        <f>IFERROR(__xludf.DUMMYFUNCTION("""COMPUTED_VALUE"""),7.0)</f>
        <v>7</v>
      </c>
      <c r="U820" s="136">
        <f>IFERROR(__xludf.DUMMYFUNCTION("""COMPUTED_VALUE"""),2.0)</f>
        <v>2</v>
      </c>
      <c r="V820" s="136">
        <f>IFERROR(__xludf.DUMMYFUNCTION("""COMPUTED_VALUE"""),3.0)</f>
        <v>3</v>
      </c>
      <c r="W820" s="136">
        <f>IFERROR(__xludf.DUMMYFUNCTION("""COMPUTED_VALUE"""),4.0)</f>
        <v>4</v>
      </c>
      <c r="X820" s="136"/>
      <c r="Y820" s="41"/>
      <c r="Z820" s="41"/>
    </row>
    <row r="821">
      <c r="A821" s="41" t="str">
        <f>IFERROR(__xludf.DUMMYFUNCTION("""COMPUTED_VALUE"""),"Veteran")</f>
        <v>Veteran</v>
      </c>
      <c r="B821" s="41" t="str">
        <f>IFERROR(__xludf.DUMMYFUNCTION("""COMPUTED_VALUE"""),"RSC008592")</f>
        <v>RSC008592</v>
      </c>
      <c r="C821" s="41" t="str">
        <f>IFERROR(__xludf.DUMMYFUNCTION("""COMPUTED_VALUE"""),"Rezcoh")</f>
        <v>Rezcoh</v>
      </c>
      <c r="D821" s="41" t="str">
        <f>IFERROR(__xludf.DUMMYFUNCTION("""COMPUTED_VALUE"""),"Peppermint")</f>
        <v>Peppermint</v>
      </c>
      <c r="E821" s="136">
        <f>IFERROR(__xludf.DUMMYFUNCTION("""COMPUTED_VALUE"""),4.0)</f>
        <v>4</v>
      </c>
      <c r="F821" s="136">
        <f>IFERROR(__xludf.DUMMYFUNCTION("""COMPUTED_VALUE"""),2.0)</f>
        <v>2</v>
      </c>
      <c r="G821" s="136">
        <f>IFERROR(__xludf.DUMMYFUNCTION("""COMPUTED_VALUE"""),2.0)</f>
        <v>2</v>
      </c>
      <c r="H821" s="137">
        <f>IFERROR(__xludf.DUMMYFUNCTION("""COMPUTED_VALUE"""),0.5)</f>
        <v>0.5</v>
      </c>
      <c r="I821" s="136">
        <f>IFERROR(__xludf.DUMMYFUNCTION("""COMPUTED_VALUE"""),0.0)</f>
        <v>0</v>
      </c>
      <c r="J821" s="136">
        <f>IFERROR(__xludf.DUMMYFUNCTION("""COMPUTED_VALUE"""),1292.0)</f>
        <v>1292</v>
      </c>
      <c r="K821" s="136">
        <f>IFERROR(__xludf.DUMMYFUNCTION("""COMPUTED_VALUE"""),3.0)</f>
        <v>3</v>
      </c>
      <c r="L821" s="136">
        <f>IFERROR(__xludf.DUMMYFUNCTION("""COMPUTED_VALUE"""),2.0)</f>
        <v>2</v>
      </c>
      <c r="M821" s="136">
        <f>IFERROR(__xludf.DUMMYFUNCTION("""COMPUTED_VALUE"""),3.0)</f>
        <v>3</v>
      </c>
      <c r="N821" s="136">
        <f>IFERROR(__xludf.DUMMYFUNCTION("""COMPUTED_VALUE"""),8.0)</f>
        <v>8</v>
      </c>
      <c r="O821" s="138">
        <f>IFERROR(__xludf.DUMMYFUNCTION("""COMPUTED_VALUE"""),1.0)</f>
        <v>1</v>
      </c>
      <c r="P821" s="138">
        <f>IFERROR(__xludf.DUMMYFUNCTION("""COMPUTED_VALUE"""),0.0)</f>
        <v>0</v>
      </c>
      <c r="Q821" s="138">
        <f>IFERROR(__xludf.DUMMYFUNCTION("""COMPUTED_VALUE"""),0.0)</f>
        <v>0</v>
      </c>
      <c r="R821" s="138">
        <f>IFERROR(__xludf.DUMMYFUNCTION("""COMPUTED_VALUE"""),0.0)</f>
        <v>0</v>
      </c>
      <c r="S821" s="139">
        <f>IFERROR(__xludf.DUMMYFUNCTION("""COMPUTED_VALUE"""),34.0)</f>
        <v>34</v>
      </c>
      <c r="T821" s="140">
        <f>IFERROR(__xludf.DUMMYFUNCTION("""COMPUTED_VALUE"""),13.0)</f>
        <v>13</v>
      </c>
      <c r="U821" s="136">
        <f>IFERROR(__xludf.DUMMYFUNCTION("""COMPUTED_VALUE"""),2.0)</f>
        <v>2</v>
      </c>
      <c r="V821" s="136">
        <f>IFERROR(__xludf.DUMMYFUNCTION("""COMPUTED_VALUE"""),0.0)</f>
        <v>0</v>
      </c>
      <c r="W821" s="136">
        <f>IFERROR(__xludf.DUMMYFUNCTION("""COMPUTED_VALUE"""),5.0)</f>
        <v>5</v>
      </c>
      <c r="X821" s="136"/>
      <c r="Y821" s="41"/>
      <c r="Z821" s="41"/>
    </row>
    <row r="822">
      <c r="A822" s="41" t="str">
        <f>IFERROR(__xludf.DUMMYFUNCTION("""COMPUTED_VALUE"""),"Veteran")</f>
        <v>Veteran</v>
      </c>
      <c r="B822" s="41" t="str">
        <f>IFERROR(__xludf.DUMMYFUNCTION("""COMPUTED_VALUE"""),"RSC008599")</f>
        <v>RSC008599</v>
      </c>
      <c r="C822" s="41" t="str">
        <f>IFERROR(__xludf.DUMMYFUNCTION("""COMPUTED_VALUE"""),"p4rka.")</f>
        <v>p4rka.</v>
      </c>
      <c r="D822" s="41" t="str">
        <f>IFERROR(__xludf.DUMMYFUNCTION("""COMPUTED_VALUE"""),"Fer-de-Lance")</f>
        <v>Fer-de-Lance</v>
      </c>
      <c r="E822" s="136">
        <f>IFERROR(__xludf.DUMMYFUNCTION("""COMPUTED_VALUE"""),4.0)</f>
        <v>4</v>
      </c>
      <c r="F822" s="136">
        <f>IFERROR(__xludf.DUMMYFUNCTION("""COMPUTED_VALUE"""),4.0)</f>
        <v>4</v>
      </c>
      <c r="G822" s="136">
        <f>IFERROR(__xludf.DUMMYFUNCTION("""COMPUTED_VALUE"""),0.0)</f>
        <v>0</v>
      </c>
      <c r="H822" s="137">
        <f>IFERROR(__xludf.DUMMYFUNCTION("""COMPUTED_VALUE"""),1.0)</f>
        <v>1</v>
      </c>
      <c r="I822" s="136">
        <f>IFERROR(__xludf.DUMMYFUNCTION("""COMPUTED_VALUE"""),1.0)</f>
        <v>1</v>
      </c>
      <c r="J822" s="136">
        <f>IFERROR(__xludf.DUMMYFUNCTION("""COMPUTED_VALUE"""),1527.0)</f>
        <v>1527</v>
      </c>
      <c r="K822" s="136">
        <f>IFERROR(__xludf.DUMMYFUNCTION("""COMPUTED_VALUE"""),4.0)</f>
        <v>4</v>
      </c>
      <c r="L822" s="136">
        <f>IFERROR(__xludf.DUMMYFUNCTION("""COMPUTED_VALUE"""),4.0)</f>
        <v>4</v>
      </c>
      <c r="M822" s="136">
        <f>IFERROR(__xludf.DUMMYFUNCTION("""COMPUTED_VALUE"""),4.0)</f>
        <v>4</v>
      </c>
      <c r="N822" s="136">
        <f>IFERROR(__xludf.DUMMYFUNCTION("""COMPUTED_VALUE"""),12.0)</f>
        <v>12</v>
      </c>
      <c r="O822" s="138">
        <f>IFERROR(__xludf.DUMMYFUNCTION("""COMPUTED_VALUE"""),1.0)</f>
        <v>1</v>
      </c>
      <c r="P822" s="138">
        <f>IFERROR(__xludf.DUMMYFUNCTION("""COMPUTED_VALUE"""),0.0)</f>
        <v>0</v>
      </c>
      <c r="Q822" s="138">
        <f>IFERROR(__xludf.DUMMYFUNCTION("""COMPUTED_VALUE"""),0.0)</f>
        <v>0</v>
      </c>
      <c r="R822" s="138">
        <f>IFERROR(__xludf.DUMMYFUNCTION("""COMPUTED_VALUE"""),0.0)</f>
        <v>0</v>
      </c>
      <c r="S822" s="139">
        <f>IFERROR(__xludf.DUMMYFUNCTION("""COMPUTED_VALUE"""),24.0)</f>
        <v>24</v>
      </c>
      <c r="T822" s="140">
        <f>IFERROR(__xludf.DUMMYFUNCTION("""COMPUTED_VALUE"""),6.0)</f>
        <v>6</v>
      </c>
      <c r="U822" s="136">
        <f>IFERROR(__xludf.DUMMYFUNCTION("""COMPUTED_VALUE"""),0.0)</f>
        <v>0</v>
      </c>
      <c r="V822" s="136">
        <f>IFERROR(__xludf.DUMMYFUNCTION("""COMPUTED_VALUE"""),2.0)</f>
        <v>2</v>
      </c>
      <c r="W822" s="136">
        <f>IFERROR(__xludf.DUMMYFUNCTION("""COMPUTED_VALUE"""),8.0)</f>
        <v>8</v>
      </c>
      <c r="X822" s="136"/>
      <c r="Y822" s="41"/>
      <c r="Z822" s="41"/>
    </row>
    <row r="823">
      <c r="A823" s="41" t="str">
        <f>IFERROR(__xludf.DUMMYFUNCTION("""COMPUTED_VALUE"""),"Rival")</f>
        <v>Rival</v>
      </c>
      <c r="B823" s="41" t="str">
        <f>IFERROR(__xludf.DUMMYFUNCTION("""COMPUTED_VALUE"""),"RSC008603")</f>
        <v>RSC008603</v>
      </c>
      <c r="C823" s="41" t="str">
        <f>IFERROR(__xludf.DUMMYFUNCTION("""COMPUTED_VALUE"""),"garrydacarry")</f>
        <v>garrydacarry</v>
      </c>
      <c r="D823" s="41" t="str">
        <f>IFERROR(__xludf.DUMMYFUNCTION("""COMPUTED_VALUE"""),"Dracos")</f>
        <v>Dracos</v>
      </c>
      <c r="E823" s="136">
        <f>IFERROR(__xludf.DUMMYFUNCTION("""COMPUTED_VALUE"""),4.0)</f>
        <v>4</v>
      </c>
      <c r="F823" s="136">
        <f>IFERROR(__xludf.DUMMYFUNCTION("""COMPUTED_VALUE"""),2.0)</f>
        <v>2</v>
      </c>
      <c r="G823" s="136">
        <f>IFERROR(__xludf.DUMMYFUNCTION("""COMPUTED_VALUE"""),2.0)</f>
        <v>2</v>
      </c>
      <c r="H823" s="137">
        <f>IFERROR(__xludf.DUMMYFUNCTION("""COMPUTED_VALUE"""),0.5)</f>
        <v>0.5</v>
      </c>
      <c r="I823" s="136">
        <f>IFERROR(__xludf.DUMMYFUNCTION("""COMPUTED_VALUE"""),1.0)</f>
        <v>1</v>
      </c>
      <c r="J823" s="136">
        <f>IFERROR(__xludf.DUMMYFUNCTION("""COMPUTED_VALUE"""),1779.0)</f>
        <v>1779</v>
      </c>
      <c r="K823" s="136">
        <f>IFERROR(__xludf.DUMMYFUNCTION("""COMPUTED_VALUE"""),3.0)</f>
        <v>3</v>
      </c>
      <c r="L823" s="136">
        <f>IFERROR(__xludf.DUMMYFUNCTION("""COMPUTED_VALUE"""),1.0)</f>
        <v>1</v>
      </c>
      <c r="M823" s="136">
        <f>IFERROR(__xludf.DUMMYFUNCTION("""COMPUTED_VALUE"""),9.0)</f>
        <v>9</v>
      </c>
      <c r="N823" s="136">
        <f>IFERROR(__xludf.DUMMYFUNCTION("""COMPUTED_VALUE"""),19.0)</f>
        <v>19</v>
      </c>
      <c r="O823" s="138">
        <f>IFERROR(__xludf.DUMMYFUNCTION("""COMPUTED_VALUE"""),1.0)</f>
        <v>1</v>
      </c>
      <c r="P823" s="138">
        <f>IFERROR(__xludf.DUMMYFUNCTION("""COMPUTED_VALUE"""),0.0)</f>
        <v>0</v>
      </c>
      <c r="Q823" s="138">
        <f>IFERROR(__xludf.DUMMYFUNCTION("""COMPUTED_VALUE"""),0.0)</f>
        <v>0</v>
      </c>
      <c r="R823" s="138">
        <f>IFERROR(__xludf.DUMMYFUNCTION("""COMPUTED_VALUE"""),2.0)</f>
        <v>2</v>
      </c>
      <c r="S823" s="139">
        <f>IFERROR(__xludf.DUMMYFUNCTION("""COMPUTED_VALUE"""),30.0)</f>
        <v>30</v>
      </c>
      <c r="T823" s="140">
        <f>IFERROR(__xludf.DUMMYFUNCTION("""COMPUTED_VALUE"""),5.0)</f>
        <v>5</v>
      </c>
      <c r="U823" s="136">
        <f>IFERROR(__xludf.DUMMYFUNCTION("""COMPUTED_VALUE"""),0.0)</f>
        <v>0</v>
      </c>
      <c r="V823" s="136">
        <f>IFERROR(__xludf.DUMMYFUNCTION("""COMPUTED_VALUE"""),1.0)</f>
        <v>1</v>
      </c>
      <c r="W823" s="136">
        <f>IFERROR(__xludf.DUMMYFUNCTION("""COMPUTED_VALUE"""),3.0)</f>
        <v>3</v>
      </c>
      <c r="X823" s="136"/>
      <c r="Y823" s="41"/>
      <c r="Z823" s="41"/>
    </row>
    <row r="824">
      <c r="A824" s="41" t="str">
        <f>IFERROR(__xludf.DUMMYFUNCTION("""COMPUTED_VALUE"""),"Premier")</f>
        <v>Premier</v>
      </c>
      <c r="B824" s="41" t="str">
        <f>IFERROR(__xludf.DUMMYFUNCTION("""COMPUTED_VALUE"""),"RSC008604")</f>
        <v>RSC008604</v>
      </c>
      <c r="C824" s="41" t="str">
        <f>IFERROR(__xludf.DUMMYFUNCTION("""COMPUTED_VALUE"""),"grogǃ")</f>
        <v>grogǃ</v>
      </c>
      <c r="D824" s="41" t="str">
        <f>IFERROR(__xludf.DUMMYFUNCTION("""COMPUTED_VALUE"""),"Feta Forgers")</f>
        <v>Feta Forgers</v>
      </c>
      <c r="E824" s="136">
        <f>IFERROR(__xludf.DUMMYFUNCTION("""COMPUTED_VALUE"""),4.0)</f>
        <v>4</v>
      </c>
      <c r="F824" s="136">
        <f>IFERROR(__xludf.DUMMYFUNCTION("""COMPUTED_VALUE"""),2.0)</f>
        <v>2</v>
      </c>
      <c r="G824" s="136">
        <f>IFERROR(__xludf.DUMMYFUNCTION("""COMPUTED_VALUE"""),2.0)</f>
        <v>2</v>
      </c>
      <c r="H824" s="137">
        <f>IFERROR(__xludf.DUMMYFUNCTION("""COMPUTED_VALUE"""),0.5)</f>
        <v>0.5</v>
      </c>
      <c r="I824" s="136">
        <f>IFERROR(__xludf.DUMMYFUNCTION("""COMPUTED_VALUE"""),1.0)</f>
        <v>1</v>
      </c>
      <c r="J824" s="136">
        <f>IFERROR(__xludf.DUMMYFUNCTION("""COMPUTED_VALUE"""),1244.0)</f>
        <v>1244</v>
      </c>
      <c r="K824" s="136">
        <f>IFERROR(__xludf.DUMMYFUNCTION("""COMPUTED_VALUE"""),2.0)</f>
        <v>2</v>
      </c>
      <c r="L824" s="136">
        <f>IFERROR(__xludf.DUMMYFUNCTION("""COMPUTED_VALUE"""),2.0)</f>
        <v>2</v>
      </c>
      <c r="M824" s="136">
        <f>IFERROR(__xludf.DUMMYFUNCTION("""COMPUTED_VALUE"""),5.0)</f>
        <v>5</v>
      </c>
      <c r="N824" s="136">
        <f>IFERROR(__xludf.DUMMYFUNCTION("""COMPUTED_VALUE"""),11.0)</f>
        <v>11</v>
      </c>
      <c r="O824" s="138">
        <f>IFERROR(__xludf.DUMMYFUNCTION("""COMPUTED_VALUE"""),0.0)</f>
        <v>0</v>
      </c>
      <c r="P824" s="138">
        <f>IFERROR(__xludf.DUMMYFUNCTION("""COMPUTED_VALUE"""),0.0)</f>
        <v>0</v>
      </c>
      <c r="Q824" s="138">
        <f>IFERROR(__xludf.DUMMYFUNCTION("""COMPUTED_VALUE"""),0.0)</f>
        <v>0</v>
      </c>
      <c r="R824" s="138">
        <f>IFERROR(__xludf.DUMMYFUNCTION("""COMPUTED_VALUE"""),1.0)</f>
        <v>1</v>
      </c>
      <c r="S824" s="139">
        <f>IFERROR(__xludf.DUMMYFUNCTION("""COMPUTED_VALUE"""),27.0)</f>
        <v>27</v>
      </c>
      <c r="T824" s="140">
        <f>IFERROR(__xludf.DUMMYFUNCTION("""COMPUTED_VALUE"""),9.0)</f>
        <v>9</v>
      </c>
      <c r="U824" s="136">
        <f>IFERROR(__xludf.DUMMYFUNCTION("""COMPUTED_VALUE"""),1.0)</f>
        <v>1</v>
      </c>
      <c r="V824" s="136">
        <f>IFERROR(__xludf.DUMMYFUNCTION("""COMPUTED_VALUE"""),6.0)</f>
        <v>6</v>
      </c>
      <c r="W824" s="136">
        <f>IFERROR(__xludf.DUMMYFUNCTION("""COMPUTED_VALUE"""),7.0)</f>
        <v>7</v>
      </c>
      <c r="X824" s="136">
        <f>IFERROR(__xludf.DUMMYFUNCTION("""COMPUTED_VALUE"""),435.25)</f>
        <v>435.25</v>
      </c>
      <c r="Y824" s="141">
        <f>IFERROR(__xludf.DUMMYFUNCTION("""COMPUTED_VALUE"""),51.96)</f>
        <v>51.96</v>
      </c>
      <c r="Z824" s="141">
        <f>IFERROR(__xludf.DUMMYFUNCTION("""COMPUTED_VALUE"""),2573.25)</f>
        <v>2573.25</v>
      </c>
    </row>
    <row r="825">
      <c r="A825" s="41"/>
      <c r="B825" s="41"/>
      <c r="C825" s="41"/>
      <c r="D825" s="41"/>
      <c r="E825" s="136"/>
      <c r="F825" s="136"/>
      <c r="G825" s="136"/>
      <c r="H825" s="137"/>
      <c r="I825" s="136"/>
      <c r="J825" s="136"/>
      <c r="K825" s="136"/>
      <c r="L825" s="136"/>
      <c r="M825" s="136"/>
      <c r="N825" s="136"/>
      <c r="O825" s="138"/>
      <c r="P825" s="138"/>
      <c r="Q825" s="138"/>
      <c r="R825" s="138"/>
      <c r="S825" s="139"/>
      <c r="T825" s="140"/>
      <c r="U825" s="136"/>
      <c r="V825" s="136"/>
      <c r="W825" s="136"/>
      <c r="X825" s="136"/>
      <c r="Y825" s="41"/>
      <c r="Z825" s="41"/>
    </row>
    <row r="826">
      <c r="A826" s="41"/>
      <c r="B826" s="41"/>
      <c r="C826" s="41"/>
      <c r="D826" s="41"/>
      <c r="E826" s="136"/>
      <c r="F826" s="136"/>
      <c r="G826" s="136"/>
      <c r="H826" s="137"/>
      <c r="I826" s="136"/>
      <c r="J826" s="136"/>
      <c r="K826" s="136"/>
      <c r="L826" s="136"/>
      <c r="M826" s="136"/>
      <c r="N826" s="136"/>
      <c r="O826" s="138"/>
      <c r="P826" s="138"/>
      <c r="Q826" s="138"/>
      <c r="R826" s="138"/>
      <c r="S826" s="139"/>
      <c r="T826" s="140"/>
      <c r="U826" s="136"/>
      <c r="V826" s="136"/>
      <c r="W826" s="136"/>
      <c r="X826" s="136"/>
      <c r="Y826" s="41"/>
      <c r="Z826" s="41"/>
    </row>
    <row r="827">
      <c r="A827" s="41"/>
      <c r="B827" s="41"/>
      <c r="C827" s="41"/>
      <c r="D827" s="41"/>
      <c r="E827" s="136"/>
      <c r="F827" s="136"/>
      <c r="G827" s="136"/>
      <c r="H827" s="137"/>
      <c r="I827" s="136"/>
      <c r="J827" s="136"/>
      <c r="K827" s="136"/>
      <c r="L827" s="136"/>
      <c r="M827" s="136"/>
      <c r="N827" s="136"/>
      <c r="O827" s="138"/>
      <c r="P827" s="138"/>
      <c r="Q827" s="138"/>
      <c r="R827" s="138"/>
      <c r="S827" s="139"/>
      <c r="T827" s="140"/>
      <c r="U827" s="136"/>
      <c r="V827" s="136"/>
      <c r="W827" s="136"/>
      <c r="X827" s="136"/>
      <c r="Y827" s="41"/>
      <c r="Z827" s="41"/>
    </row>
    <row r="828">
      <c r="A828" s="41"/>
      <c r="B828" s="41"/>
      <c r="C828" s="41"/>
      <c r="D828" s="41"/>
      <c r="E828" s="136"/>
      <c r="F828" s="136"/>
      <c r="G828" s="136"/>
      <c r="H828" s="137"/>
      <c r="I828" s="136"/>
      <c r="J828" s="136"/>
      <c r="K828" s="136"/>
      <c r="L828" s="136"/>
      <c r="M828" s="136"/>
      <c r="N828" s="136"/>
      <c r="O828" s="138"/>
      <c r="P828" s="138"/>
      <c r="Q828" s="138"/>
      <c r="R828" s="138"/>
      <c r="S828" s="139"/>
      <c r="T828" s="140"/>
      <c r="U828" s="136"/>
      <c r="V828" s="136"/>
      <c r="W828" s="136"/>
      <c r="X828" s="136"/>
      <c r="Y828" s="41"/>
      <c r="Z828" s="41"/>
    </row>
    <row r="829">
      <c r="A829" s="41"/>
      <c r="B829" s="41"/>
      <c r="C829" s="41"/>
      <c r="D829" s="41"/>
      <c r="E829" s="136"/>
      <c r="F829" s="136"/>
      <c r="G829" s="136"/>
      <c r="H829" s="137"/>
      <c r="I829" s="136"/>
      <c r="J829" s="136"/>
      <c r="K829" s="136"/>
      <c r="L829" s="136"/>
      <c r="M829" s="136"/>
      <c r="N829" s="136"/>
      <c r="O829" s="138"/>
      <c r="P829" s="138"/>
      <c r="Q829" s="138"/>
      <c r="R829" s="138"/>
      <c r="S829" s="139"/>
      <c r="T829" s="140"/>
      <c r="U829" s="136"/>
      <c r="V829" s="136"/>
      <c r="W829" s="136"/>
      <c r="X829" s="136"/>
      <c r="Y829" s="41"/>
      <c r="Z829" s="41"/>
    </row>
    <row r="830">
      <c r="A830" s="41"/>
      <c r="B830" s="41"/>
      <c r="C830" s="41"/>
      <c r="D830" s="41"/>
      <c r="E830" s="136"/>
      <c r="F830" s="136"/>
      <c r="G830" s="136"/>
      <c r="H830" s="137"/>
      <c r="I830" s="136"/>
      <c r="J830" s="136"/>
      <c r="K830" s="136"/>
      <c r="L830" s="136"/>
      <c r="M830" s="136"/>
      <c r="N830" s="136"/>
      <c r="O830" s="138"/>
      <c r="P830" s="138"/>
      <c r="Q830" s="138"/>
      <c r="R830" s="138"/>
      <c r="S830" s="139"/>
      <c r="T830" s="140"/>
      <c r="U830" s="136"/>
      <c r="V830" s="136"/>
      <c r="W830" s="136"/>
      <c r="X830" s="136"/>
      <c r="Y830" s="41"/>
      <c r="Z830" s="41"/>
    </row>
    <row r="831">
      <c r="A831" s="41"/>
      <c r="B831" s="41"/>
      <c r="C831" s="41"/>
      <c r="D831" s="41"/>
      <c r="E831" s="136"/>
      <c r="F831" s="136"/>
      <c r="G831" s="136"/>
      <c r="H831" s="137"/>
      <c r="I831" s="136"/>
      <c r="J831" s="136"/>
      <c r="K831" s="136"/>
      <c r="L831" s="136"/>
      <c r="M831" s="136"/>
      <c r="N831" s="136"/>
      <c r="O831" s="138"/>
      <c r="P831" s="138"/>
      <c r="Q831" s="138"/>
      <c r="R831" s="138"/>
      <c r="S831" s="139"/>
      <c r="T831" s="140"/>
      <c r="U831" s="136"/>
      <c r="V831" s="136"/>
      <c r="W831" s="136"/>
      <c r="X831" s="136"/>
      <c r="Y831" s="41"/>
      <c r="Z831" s="41"/>
    </row>
    <row r="832">
      <c r="A832" s="41"/>
      <c r="B832" s="41"/>
      <c r="C832" s="41"/>
      <c r="D832" s="41"/>
      <c r="E832" s="136"/>
      <c r="F832" s="136"/>
      <c r="G832" s="136"/>
      <c r="H832" s="137"/>
      <c r="I832" s="136"/>
      <c r="J832" s="136"/>
      <c r="K832" s="136"/>
      <c r="L832" s="136"/>
      <c r="M832" s="136"/>
      <c r="N832" s="136"/>
      <c r="O832" s="138"/>
      <c r="P832" s="138"/>
      <c r="Q832" s="138"/>
      <c r="R832" s="138"/>
      <c r="S832" s="139"/>
      <c r="T832" s="140"/>
      <c r="U832" s="136"/>
      <c r="V832" s="136"/>
      <c r="W832" s="136"/>
      <c r="X832" s="136"/>
      <c r="Y832" s="41"/>
      <c r="Z832" s="41"/>
    </row>
    <row r="833">
      <c r="A833" s="41"/>
      <c r="B833" s="41"/>
      <c r="C833" s="41"/>
      <c r="D833" s="41"/>
      <c r="E833" s="136"/>
      <c r="F833" s="136"/>
      <c r="G833" s="136"/>
      <c r="H833" s="137"/>
      <c r="I833" s="136"/>
      <c r="J833" s="136"/>
      <c r="K833" s="136"/>
      <c r="L833" s="136"/>
      <c r="M833" s="136"/>
      <c r="N833" s="136"/>
      <c r="O833" s="138"/>
      <c r="P833" s="138"/>
      <c r="Q833" s="138"/>
      <c r="R833" s="138"/>
      <c r="S833" s="139"/>
      <c r="T833" s="140"/>
      <c r="U833" s="136"/>
      <c r="V833" s="136"/>
      <c r="W833" s="136"/>
      <c r="X833" s="136"/>
      <c r="Y833" s="41"/>
      <c r="Z833" s="41"/>
    </row>
    <row r="834">
      <c r="A834" s="41"/>
      <c r="B834" s="41"/>
      <c r="C834" s="41"/>
      <c r="D834" s="41"/>
      <c r="E834" s="136"/>
      <c r="F834" s="136"/>
      <c r="G834" s="136"/>
      <c r="H834" s="137"/>
      <c r="I834" s="136"/>
      <c r="J834" s="136"/>
      <c r="K834" s="136"/>
      <c r="L834" s="136"/>
      <c r="M834" s="136"/>
      <c r="N834" s="136"/>
      <c r="O834" s="138"/>
      <c r="P834" s="138"/>
      <c r="Q834" s="138"/>
      <c r="R834" s="138"/>
      <c r="S834" s="139"/>
      <c r="T834" s="140"/>
      <c r="U834" s="136"/>
      <c r="V834" s="136"/>
      <c r="W834" s="136"/>
      <c r="X834" s="136"/>
      <c r="Y834" s="41"/>
      <c r="Z834" s="41"/>
    </row>
    <row r="835">
      <c r="A835" s="41"/>
      <c r="B835" s="41"/>
      <c r="C835" s="41"/>
      <c r="D835" s="41"/>
      <c r="E835" s="136"/>
      <c r="F835" s="136"/>
      <c r="G835" s="136"/>
      <c r="H835" s="137"/>
      <c r="I835" s="136"/>
      <c r="J835" s="136"/>
      <c r="K835" s="136"/>
      <c r="L835" s="136"/>
      <c r="M835" s="136"/>
      <c r="N835" s="136"/>
      <c r="O835" s="138"/>
      <c r="P835" s="138"/>
      <c r="Q835" s="138"/>
      <c r="R835" s="138"/>
      <c r="S835" s="139"/>
      <c r="T835" s="140"/>
      <c r="U835" s="136"/>
      <c r="V835" s="136"/>
      <c r="W835" s="136"/>
      <c r="X835" s="136"/>
      <c r="Y835" s="41"/>
      <c r="Z835" s="41"/>
    </row>
    <row r="836">
      <c r="A836" s="41"/>
      <c r="B836" s="41"/>
      <c r="C836" s="41"/>
      <c r="D836" s="41"/>
      <c r="E836" s="136"/>
      <c r="F836" s="136"/>
      <c r="G836" s="136"/>
      <c r="H836" s="137"/>
      <c r="I836" s="136"/>
      <c r="J836" s="136"/>
      <c r="K836" s="136"/>
      <c r="L836" s="136"/>
      <c r="M836" s="136"/>
      <c r="N836" s="136"/>
      <c r="O836" s="138"/>
      <c r="P836" s="138"/>
      <c r="Q836" s="138"/>
      <c r="R836" s="138"/>
      <c r="S836" s="139"/>
      <c r="T836" s="140"/>
      <c r="U836" s="136"/>
      <c r="V836" s="136"/>
      <c r="W836" s="136"/>
      <c r="X836" s="136"/>
      <c r="Y836" s="41"/>
      <c r="Z836" s="41"/>
    </row>
    <row r="837">
      <c r="A837" s="41"/>
      <c r="B837" s="41"/>
      <c r="C837" s="41"/>
      <c r="D837" s="41"/>
      <c r="E837" s="136"/>
      <c r="F837" s="136"/>
      <c r="G837" s="136"/>
      <c r="H837" s="137"/>
      <c r="I837" s="136"/>
      <c r="J837" s="136"/>
      <c r="K837" s="136"/>
      <c r="L837" s="136"/>
      <c r="M837" s="136"/>
      <c r="N837" s="136"/>
      <c r="O837" s="138"/>
      <c r="P837" s="138"/>
      <c r="Q837" s="138"/>
      <c r="R837" s="138"/>
      <c r="S837" s="139"/>
      <c r="T837" s="140"/>
      <c r="U837" s="136"/>
      <c r="V837" s="136"/>
      <c r="W837" s="136"/>
      <c r="X837" s="136"/>
      <c r="Y837" s="41"/>
      <c r="Z837" s="41"/>
    </row>
    <row r="838">
      <c r="A838" s="41"/>
      <c r="B838" s="41"/>
      <c r="C838" s="41"/>
      <c r="D838" s="41"/>
      <c r="E838" s="136"/>
      <c r="F838" s="136"/>
      <c r="G838" s="136"/>
      <c r="H838" s="137"/>
      <c r="I838" s="136"/>
      <c r="J838" s="136"/>
      <c r="K838" s="136"/>
      <c r="L838" s="136"/>
      <c r="M838" s="136"/>
      <c r="N838" s="136"/>
      <c r="O838" s="138"/>
      <c r="P838" s="138"/>
      <c r="Q838" s="138"/>
      <c r="R838" s="138"/>
      <c r="S838" s="139"/>
      <c r="T838" s="140"/>
      <c r="U838" s="136"/>
      <c r="V838" s="136"/>
      <c r="W838" s="136"/>
      <c r="X838" s="136"/>
      <c r="Y838" s="41"/>
      <c r="Z838" s="41"/>
    </row>
    <row r="839">
      <c r="A839" s="41"/>
      <c r="B839" s="41"/>
      <c r="C839" s="41"/>
      <c r="D839" s="41"/>
      <c r="E839" s="136"/>
      <c r="F839" s="136"/>
      <c r="G839" s="136"/>
      <c r="H839" s="137"/>
      <c r="I839" s="136"/>
      <c r="J839" s="136"/>
      <c r="K839" s="136"/>
      <c r="L839" s="136"/>
      <c r="M839" s="136"/>
      <c r="N839" s="136"/>
      <c r="O839" s="138"/>
      <c r="P839" s="138"/>
      <c r="Q839" s="138"/>
      <c r="R839" s="138"/>
      <c r="S839" s="139"/>
      <c r="T839" s="140"/>
      <c r="U839" s="136"/>
      <c r="V839" s="136"/>
      <c r="W839" s="136"/>
      <c r="X839" s="136"/>
      <c r="Y839" s="41"/>
      <c r="Z839" s="41"/>
    </row>
    <row r="840">
      <c r="A840" s="41"/>
      <c r="B840" s="41"/>
      <c r="C840" s="41"/>
      <c r="D840" s="41"/>
      <c r="E840" s="136"/>
      <c r="F840" s="136"/>
      <c r="G840" s="136"/>
      <c r="H840" s="137"/>
      <c r="I840" s="136"/>
      <c r="J840" s="136"/>
      <c r="K840" s="136"/>
      <c r="L840" s="136"/>
      <c r="M840" s="136"/>
      <c r="N840" s="136"/>
      <c r="O840" s="138"/>
      <c r="P840" s="138"/>
      <c r="Q840" s="138"/>
      <c r="R840" s="138"/>
      <c r="S840" s="139"/>
      <c r="T840" s="140"/>
      <c r="U840" s="136"/>
      <c r="V840" s="136"/>
      <c r="W840" s="136"/>
      <c r="X840" s="136"/>
      <c r="Y840" s="41"/>
      <c r="Z840" s="41"/>
    </row>
    <row r="841">
      <c r="A841" s="41"/>
      <c r="B841" s="41"/>
      <c r="C841" s="41"/>
      <c r="D841" s="41"/>
      <c r="E841" s="136"/>
      <c r="F841" s="136"/>
      <c r="G841" s="136"/>
      <c r="H841" s="137"/>
      <c r="I841" s="136"/>
      <c r="J841" s="136"/>
      <c r="K841" s="136"/>
      <c r="L841" s="136"/>
      <c r="M841" s="136"/>
      <c r="N841" s="136"/>
      <c r="O841" s="138"/>
      <c r="P841" s="138"/>
      <c r="Q841" s="138"/>
      <c r="R841" s="138"/>
      <c r="S841" s="139"/>
      <c r="T841" s="140"/>
      <c r="U841" s="136"/>
      <c r="V841" s="136"/>
      <c r="W841" s="136"/>
      <c r="X841" s="136"/>
      <c r="Y841" s="41"/>
      <c r="Z841" s="41"/>
    </row>
    <row r="842">
      <c r="A842" s="41"/>
      <c r="B842" s="41"/>
      <c r="C842" s="41"/>
      <c r="D842" s="41"/>
      <c r="E842" s="136"/>
      <c r="F842" s="136"/>
      <c r="G842" s="136"/>
      <c r="H842" s="137"/>
      <c r="I842" s="136"/>
      <c r="J842" s="136"/>
      <c r="K842" s="136"/>
      <c r="L842" s="136"/>
      <c r="M842" s="136"/>
      <c r="N842" s="136"/>
      <c r="O842" s="138"/>
      <c r="P842" s="138"/>
      <c r="Q842" s="138"/>
      <c r="R842" s="138"/>
      <c r="S842" s="139"/>
      <c r="T842" s="140"/>
      <c r="U842" s="136"/>
      <c r="V842" s="136"/>
      <c r="W842" s="136"/>
      <c r="X842" s="136"/>
      <c r="Y842" s="41"/>
      <c r="Z842" s="41"/>
    </row>
    <row r="843">
      <c r="A843" s="41"/>
      <c r="B843" s="41"/>
      <c r="C843" s="41"/>
      <c r="D843" s="41"/>
      <c r="E843" s="136"/>
      <c r="F843" s="136"/>
      <c r="G843" s="136"/>
      <c r="H843" s="137"/>
      <c r="I843" s="136"/>
      <c r="J843" s="136"/>
      <c r="K843" s="136"/>
      <c r="L843" s="136"/>
      <c r="M843" s="136"/>
      <c r="N843" s="136"/>
      <c r="O843" s="138"/>
      <c r="P843" s="138"/>
      <c r="Q843" s="138"/>
      <c r="R843" s="138"/>
      <c r="S843" s="139"/>
      <c r="T843" s="140"/>
      <c r="U843" s="136"/>
      <c r="V843" s="136"/>
      <c r="W843" s="136"/>
      <c r="X843" s="136"/>
      <c r="Y843" s="41"/>
      <c r="Z843" s="41"/>
    </row>
    <row r="844">
      <c r="A844" s="41"/>
      <c r="B844" s="41"/>
      <c r="C844" s="41"/>
      <c r="D844" s="41"/>
      <c r="E844" s="136"/>
      <c r="F844" s="136"/>
      <c r="G844" s="136"/>
      <c r="H844" s="137"/>
      <c r="I844" s="136"/>
      <c r="J844" s="136"/>
      <c r="K844" s="136"/>
      <c r="L844" s="136"/>
      <c r="M844" s="136"/>
      <c r="N844" s="136"/>
      <c r="O844" s="138"/>
      <c r="P844" s="138"/>
      <c r="Q844" s="138"/>
      <c r="R844" s="138"/>
      <c r="S844" s="139"/>
      <c r="T844" s="140"/>
      <c r="U844" s="136"/>
      <c r="V844" s="136"/>
      <c r="W844" s="136"/>
      <c r="X844" s="136"/>
      <c r="Y844" s="41"/>
      <c r="Z844" s="41"/>
    </row>
    <row r="845">
      <c r="A845" s="41"/>
      <c r="B845" s="41"/>
      <c r="C845" s="41"/>
      <c r="D845" s="41"/>
      <c r="E845" s="136"/>
      <c r="F845" s="136"/>
      <c r="G845" s="136"/>
      <c r="H845" s="137"/>
      <c r="I845" s="136"/>
      <c r="J845" s="136"/>
      <c r="K845" s="136"/>
      <c r="L845" s="136"/>
      <c r="M845" s="136"/>
      <c r="N845" s="136"/>
      <c r="O845" s="138"/>
      <c r="P845" s="138"/>
      <c r="Q845" s="138"/>
      <c r="R845" s="138"/>
      <c r="S845" s="139"/>
      <c r="T845" s="140"/>
      <c r="U845" s="136"/>
      <c r="V845" s="136"/>
      <c r="W845" s="136"/>
      <c r="X845" s="136"/>
      <c r="Y845" s="41"/>
      <c r="Z845" s="41"/>
    </row>
    <row r="846">
      <c r="A846" s="41"/>
      <c r="B846" s="41"/>
      <c r="C846" s="41"/>
      <c r="D846" s="41"/>
      <c r="E846" s="136"/>
      <c r="F846" s="136"/>
      <c r="G846" s="136"/>
      <c r="H846" s="137"/>
      <c r="I846" s="136"/>
      <c r="J846" s="136"/>
      <c r="K846" s="136"/>
      <c r="L846" s="136"/>
      <c r="M846" s="136"/>
      <c r="N846" s="136"/>
      <c r="O846" s="138"/>
      <c r="P846" s="138"/>
      <c r="Q846" s="138"/>
      <c r="R846" s="138"/>
      <c r="S846" s="139"/>
      <c r="T846" s="140"/>
      <c r="U846" s="136"/>
      <c r="V846" s="136"/>
      <c r="W846" s="136"/>
      <c r="X846" s="136"/>
      <c r="Y846" s="41"/>
      <c r="Z846" s="41"/>
    </row>
    <row r="847">
      <c r="A847" s="41"/>
      <c r="B847" s="41"/>
      <c r="C847" s="41"/>
      <c r="D847" s="41"/>
      <c r="E847" s="136"/>
      <c r="F847" s="136"/>
      <c r="G847" s="136"/>
      <c r="H847" s="137"/>
      <c r="I847" s="136"/>
      <c r="J847" s="136"/>
      <c r="K847" s="136"/>
      <c r="L847" s="136"/>
      <c r="M847" s="136"/>
      <c r="N847" s="136"/>
      <c r="O847" s="138"/>
      <c r="P847" s="138"/>
      <c r="Q847" s="138"/>
      <c r="R847" s="138"/>
      <c r="S847" s="139"/>
      <c r="T847" s="140"/>
      <c r="U847" s="136"/>
      <c r="V847" s="136"/>
      <c r="W847" s="136"/>
      <c r="X847" s="136"/>
      <c r="Y847" s="41"/>
      <c r="Z847" s="41"/>
    </row>
    <row r="848">
      <c r="A848" s="41"/>
      <c r="B848" s="41"/>
      <c r="C848" s="41"/>
      <c r="D848" s="41"/>
      <c r="E848" s="136"/>
      <c r="F848" s="136"/>
      <c r="G848" s="136"/>
      <c r="H848" s="137"/>
      <c r="I848" s="136"/>
      <c r="J848" s="136"/>
      <c r="K848" s="136"/>
      <c r="L848" s="136"/>
      <c r="M848" s="136"/>
      <c r="N848" s="136"/>
      <c r="O848" s="138"/>
      <c r="P848" s="138"/>
      <c r="Q848" s="138"/>
      <c r="R848" s="138"/>
      <c r="S848" s="139"/>
      <c r="T848" s="140"/>
      <c r="U848" s="136"/>
      <c r="V848" s="136"/>
      <c r="W848" s="136"/>
      <c r="X848" s="136"/>
      <c r="Y848" s="41"/>
      <c r="Z848" s="41"/>
    </row>
    <row r="849">
      <c r="A849" s="41"/>
      <c r="B849" s="41"/>
      <c r="C849" s="41"/>
      <c r="D849" s="41"/>
      <c r="E849" s="136"/>
      <c r="F849" s="136"/>
      <c r="G849" s="136"/>
      <c r="H849" s="137"/>
      <c r="I849" s="136"/>
      <c r="J849" s="136"/>
      <c r="K849" s="136"/>
      <c r="L849" s="136"/>
      <c r="M849" s="136"/>
      <c r="N849" s="136"/>
      <c r="O849" s="138"/>
      <c r="P849" s="138"/>
      <c r="Q849" s="138"/>
      <c r="R849" s="138"/>
      <c r="S849" s="139"/>
      <c r="T849" s="140"/>
      <c r="U849" s="136"/>
      <c r="V849" s="136"/>
      <c r="W849" s="136"/>
      <c r="X849" s="136"/>
      <c r="Y849" s="41"/>
      <c r="Z849" s="41"/>
    </row>
    <row r="850">
      <c r="A850" s="41"/>
      <c r="B850" s="41"/>
      <c r="C850" s="41"/>
      <c r="D850" s="41"/>
      <c r="E850" s="136"/>
      <c r="F850" s="136"/>
      <c r="G850" s="136"/>
      <c r="H850" s="137"/>
      <c r="I850" s="136"/>
      <c r="J850" s="136"/>
      <c r="K850" s="136"/>
      <c r="L850" s="136"/>
      <c r="M850" s="136"/>
      <c r="N850" s="136"/>
      <c r="O850" s="138"/>
      <c r="P850" s="138"/>
      <c r="Q850" s="138"/>
      <c r="R850" s="138"/>
      <c r="S850" s="139"/>
      <c r="T850" s="140"/>
      <c r="U850" s="136"/>
      <c r="V850" s="136"/>
      <c r="W850" s="136"/>
      <c r="X850" s="136"/>
      <c r="Y850" s="41"/>
      <c r="Z850" s="41"/>
    </row>
    <row r="851">
      <c r="A851" s="41"/>
      <c r="B851" s="41"/>
      <c r="C851" s="41"/>
      <c r="D851" s="41"/>
      <c r="E851" s="136"/>
      <c r="F851" s="136"/>
      <c r="G851" s="136"/>
      <c r="H851" s="137"/>
      <c r="I851" s="136"/>
      <c r="J851" s="136"/>
      <c r="K851" s="136"/>
      <c r="L851" s="136"/>
      <c r="M851" s="136"/>
      <c r="N851" s="136"/>
      <c r="O851" s="138"/>
      <c r="P851" s="138"/>
      <c r="Q851" s="138"/>
      <c r="R851" s="138"/>
      <c r="S851" s="139"/>
      <c r="T851" s="140"/>
      <c r="U851" s="136"/>
      <c r="V851" s="136"/>
      <c r="W851" s="136"/>
      <c r="X851" s="136"/>
      <c r="Y851" s="41"/>
      <c r="Z851" s="41"/>
    </row>
    <row r="852">
      <c r="A852" s="41"/>
      <c r="B852" s="41"/>
      <c r="C852" s="41"/>
      <c r="D852" s="41"/>
      <c r="E852" s="136"/>
      <c r="F852" s="136"/>
      <c r="G852" s="136"/>
      <c r="H852" s="137"/>
      <c r="I852" s="136"/>
      <c r="J852" s="136"/>
      <c r="K852" s="136"/>
      <c r="L852" s="136"/>
      <c r="M852" s="136"/>
      <c r="N852" s="136"/>
      <c r="O852" s="138"/>
      <c r="P852" s="138"/>
      <c r="Q852" s="138"/>
      <c r="R852" s="138"/>
      <c r="S852" s="139"/>
      <c r="T852" s="140"/>
      <c r="U852" s="136"/>
      <c r="V852" s="136"/>
      <c r="W852" s="136"/>
      <c r="X852" s="136"/>
      <c r="Y852" s="41"/>
      <c r="Z852" s="41"/>
    </row>
    <row r="853">
      <c r="A853" s="41"/>
      <c r="B853" s="41"/>
      <c r="C853" s="41"/>
      <c r="D853" s="41"/>
      <c r="E853" s="136"/>
      <c r="F853" s="136"/>
      <c r="G853" s="136"/>
      <c r="H853" s="137"/>
      <c r="I853" s="136"/>
      <c r="J853" s="136"/>
      <c r="K853" s="136"/>
      <c r="L853" s="136"/>
      <c r="M853" s="136"/>
      <c r="N853" s="136"/>
      <c r="O853" s="138"/>
      <c r="P853" s="138"/>
      <c r="Q853" s="138"/>
      <c r="R853" s="138"/>
      <c r="S853" s="139"/>
      <c r="T853" s="140"/>
      <c r="U853" s="136"/>
      <c r="V853" s="136"/>
      <c r="W853" s="136"/>
      <c r="X853" s="136"/>
      <c r="Y853" s="41"/>
      <c r="Z853" s="41"/>
    </row>
    <row r="854">
      <c r="A854" s="41"/>
      <c r="B854" s="41"/>
      <c r="C854" s="41"/>
      <c r="D854" s="41"/>
      <c r="E854" s="136"/>
      <c r="F854" s="136"/>
      <c r="G854" s="136"/>
      <c r="H854" s="137"/>
      <c r="I854" s="136"/>
      <c r="J854" s="136"/>
      <c r="K854" s="136"/>
      <c r="L854" s="136"/>
      <c r="M854" s="136"/>
      <c r="N854" s="136"/>
      <c r="O854" s="138"/>
      <c r="P854" s="138"/>
      <c r="Q854" s="138"/>
      <c r="R854" s="138"/>
      <c r="S854" s="139"/>
      <c r="T854" s="140"/>
      <c r="U854" s="136"/>
      <c r="V854" s="136"/>
      <c r="W854" s="136"/>
      <c r="X854" s="136"/>
      <c r="Y854" s="41"/>
      <c r="Z854" s="41"/>
    </row>
    <row r="855">
      <c r="A855" s="41"/>
      <c r="B855" s="41"/>
      <c r="C855" s="41"/>
      <c r="D855" s="41"/>
      <c r="E855" s="136"/>
      <c r="F855" s="136"/>
      <c r="G855" s="136"/>
      <c r="H855" s="137"/>
      <c r="I855" s="136"/>
      <c r="J855" s="136"/>
      <c r="K855" s="136"/>
      <c r="L855" s="136"/>
      <c r="M855" s="136"/>
      <c r="N855" s="136"/>
      <c r="O855" s="138"/>
      <c r="P855" s="138"/>
      <c r="Q855" s="138"/>
      <c r="R855" s="138"/>
      <c r="S855" s="139"/>
      <c r="T855" s="140"/>
      <c r="U855" s="136"/>
      <c r="V855" s="136"/>
      <c r="W855" s="136"/>
      <c r="X855" s="136"/>
      <c r="Y855" s="41"/>
      <c r="Z855" s="41"/>
    </row>
    <row r="856">
      <c r="A856" s="41"/>
      <c r="B856" s="41"/>
      <c r="C856" s="41"/>
      <c r="D856" s="41"/>
      <c r="E856" s="136"/>
      <c r="F856" s="136"/>
      <c r="G856" s="136"/>
      <c r="H856" s="137"/>
      <c r="I856" s="136"/>
      <c r="J856" s="136"/>
      <c r="K856" s="136"/>
      <c r="L856" s="136"/>
      <c r="M856" s="136"/>
      <c r="N856" s="136"/>
      <c r="O856" s="138"/>
      <c r="P856" s="138"/>
      <c r="Q856" s="138"/>
      <c r="R856" s="138"/>
      <c r="S856" s="139"/>
      <c r="T856" s="140"/>
      <c r="U856" s="136"/>
      <c r="V856" s="136"/>
      <c r="W856" s="136"/>
      <c r="X856" s="136"/>
      <c r="Y856" s="41"/>
      <c r="Z856" s="41"/>
    </row>
    <row r="857">
      <c r="A857" s="41"/>
      <c r="B857" s="41"/>
      <c r="C857" s="41"/>
      <c r="D857" s="41"/>
      <c r="E857" s="136"/>
      <c r="F857" s="136"/>
      <c r="G857" s="136"/>
      <c r="H857" s="137"/>
      <c r="I857" s="136"/>
      <c r="J857" s="136"/>
      <c r="K857" s="136"/>
      <c r="L857" s="136"/>
      <c r="M857" s="136"/>
      <c r="N857" s="136"/>
      <c r="O857" s="138"/>
      <c r="P857" s="138"/>
      <c r="Q857" s="138"/>
      <c r="R857" s="138"/>
      <c r="S857" s="139"/>
      <c r="T857" s="140"/>
      <c r="U857" s="136"/>
      <c r="V857" s="136"/>
      <c r="W857" s="136"/>
      <c r="X857" s="136"/>
      <c r="Y857" s="41"/>
      <c r="Z857" s="41"/>
    </row>
    <row r="858">
      <c r="A858" s="41"/>
      <c r="B858" s="41"/>
      <c r="C858" s="41"/>
      <c r="D858" s="41"/>
      <c r="E858" s="136"/>
      <c r="F858" s="136"/>
      <c r="G858" s="136"/>
      <c r="H858" s="137"/>
      <c r="I858" s="136"/>
      <c r="J858" s="136"/>
      <c r="K858" s="136"/>
      <c r="L858" s="136"/>
      <c r="M858" s="136"/>
      <c r="N858" s="136"/>
      <c r="O858" s="138"/>
      <c r="P858" s="138"/>
      <c r="Q858" s="138"/>
      <c r="R858" s="138"/>
      <c r="S858" s="139"/>
      <c r="T858" s="140"/>
      <c r="U858" s="136"/>
      <c r="V858" s="136"/>
      <c r="W858" s="136"/>
      <c r="X858" s="136"/>
      <c r="Y858" s="41"/>
      <c r="Z858" s="41"/>
    </row>
    <row r="859">
      <c r="A859" s="41"/>
      <c r="B859" s="41"/>
      <c r="C859" s="41"/>
      <c r="D859" s="41"/>
      <c r="E859" s="136"/>
      <c r="F859" s="136"/>
      <c r="G859" s="136"/>
      <c r="H859" s="137"/>
      <c r="I859" s="136"/>
      <c r="J859" s="136"/>
      <c r="K859" s="136"/>
      <c r="L859" s="136"/>
      <c r="M859" s="136"/>
      <c r="N859" s="136"/>
      <c r="O859" s="138"/>
      <c r="P859" s="138"/>
      <c r="Q859" s="138"/>
      <c r="R859" s="138"/>
      <c r="S859" s="139"/>
      <c r="T859" s="140"/>
      <c r="U859" s="136"/>
      <c r="V859" s="136"/>
      <c r="W859" s="136"/>
      <c r="X859" s="136"/>
      <c r="Y859" s="41"/>
      <c r="Z859" s="41"/>
    </row>
    <row r="860">
      <c r="A860" s="41"/>
      <c r="B860" s="41"/>
      <c r="C860" s="41"/>
      <c r="D860" s="41"/>
      <c r="E860" s="136"/>
      <c r="F860" s="136"/>
      <c r="G860" s="136"/>
      <c r="H860" s="137"/>
      <c r="I860" s="136"/>
      <c r="J860" s="136"/>
      <c r="K860" s="136"/>
      <c r="L860" s="136"/>
      <c r="M860" s="136"/>
      <c r="N860" s="136"/>
      <c r="O860" s="138"/>
      <c r="P860" s="138"/>
      <c r="Q860" s="138"/>
      <c r="R860" s="138"/>
      <c r="S860" s="139"/>
      <c r="T860" s="140"/>
      <c r="U860" s="136"/>
      <c r="V860" s="136"/>
      <c r="W860" s="136"/>
      <c r="X860" s="136"/>
      <c r="Y860" s="41"/>
      <c r="Z860" s="41"/>
    </row>
    <row r="861">
      <c r="A861" s="41"/>
      <c r="B861" s="41"/>
      <c r="C861" s="41"/>
      <c r="D861" s="41"/>
      <c r="E861" s="136"/>
      <c r="F861" s="136"/>
      <c r="G861" s="136"/>
      <c r="H861" s="137"/>
      <c r="I861" s="136"/>
      <c r="J861" s="136"/>
      <c r="K861" s="136"/>
      <c r="L861" s="136"/>
      <c r="M861" s="136"/>
      <c r="N861" s="136"/>
      <c r="O861" s="138"/>
      <c r="P861" s="138"/>
      <c r="Q861" s="138"/>
      <c r="R861" s="138"/>
      <c r="S861" s="139"/>
      <c r="T861" s="140"/>
      <c r="U861" s="136"/>
      <c r="V861" s="136"/>
      <c r="W861" s="136"/>
      <c r="X861" s="136"/>
      <c r="Y861" s="41"/>
      <c r="Z861" s="41"/>
    </row>
    <row r="862">
      <c r="A862" s="41"/>
      <c r="B862" s="41"/>
      <c r="C862" s="41"/>
      <c r="D862" s="41"/>
      <c r="E862" s="136"/>
      <c r="F862" s="136"/>
      <c r="G862" s="136"/>
      <c r="H862" s="137"/>
      <c r="I862" s="136"/>
      <c r="J862" s="136"/>
      <c r="K862" s="136"/>
      <c r="L862" s="136"/>
      <c r="M862" s="136"/>
      <c r="N862" s="136"/>
      <c r="O862" s="138"/>
      <c r="P862" s="138"/>
      <c r="Q862" s="138"/>
      <c r="R862" s="138"/>
      <c r="S862" s="139"/>
      <c r="T862" s="140"/>
      <c r="U862" s="136"/>
      <c r="V862" s="136"/>
      <c r="W862" s="136"/>
      <c r="X862" s="136"/>
      <c r="Y862" s="41"/>
      <c r="Z862" s="41"/>
    </row>
    <row r="863">
      <c r="A863" s="41"/>
      <c r="B863" s="41"/>
      <c r="C863" s="41"/>
      <c r="D863" s="41"/>
      <c r="E863" s="136"/>
      <c r="F863" s="136"/>
      <c r="G863" s="136"/>
      <c r="H863" s="137"/>
      <c r="I863" s="136"/>
      <c r="J863" s="136"/>
      <c r="K863" s="136"/>
      <c r="L863" s="136"/>
      <c r="M863" s="136"/>
      <c r="N863" s="136"/>
      <c r="O863" s="138"/>
      <c r="P863" s="138"/>
      <c r="Q863" s="138"/>
      <c r="R863" s="138"/>
      <c r="S863" s="139"/>
      <c r="T863" s="140"/>
      <c r="U863" s="136"/>
      <c r="V863" s="136"/>
      <c r="W863" s="136"/>
      <c r="X863" s="136"/>
      <c r="Y863" s="41"/>
      <c r="Z863" s="41"/>
    </row>
    <row r="864">
      <c r="A864" s="41"/>
      <c r="B864" s="41"/>
      <c r="C864" s="41"/>
      <c r="D864" s="41"/>
      <c r="E864" s="136"/>
      <c r="F864" s="136"/>
      <c r="G864" s="136"/>
      <c r="H864" s="137"/>
      <c r="I864" s="136"/>
      <c r="J864" s="136"/>
      <c r="K864" s="136"/>
      <c r="L864" s="136"/>
      <c r="M864" s="136"/>
      <c r="N864" s="136"/>
      <c r="O864" s="138"/>
      <c r="P864" s="138"/>
      <c r="Q864" s="138"/>
      <c r="R864" s="138"/>
      <c r="S864" s="139"/>
      <c r="T864" s="140"/>
      <c r="U864" s="136"/>
      <c r="V864" s="136"/>
      <c r="W864" s="136"/>
      <c r="X864" s="136"/>
      <c r="Y864" s="41"/>
      <c r="Z864" s="41"/>
    </row>
    <row r="865">
      <c r="A865" s="41"/>
      <c r="B865" s="41"/>
      <c r="C865" s="41"/>
      <c r="D865" s="41"/>
      <c r="E865" s="136"/>
      <c r="F865" s="136"/>
      <c r="G865" s="136"/>
      <c r="H865" s="137"/>
      <c r="I865" s="136"/>
      <c r="J865" s="136"/>
      <c r="K865" s="136"/>
      <c r="L865" s="136"/>
      <c r="M865" s="136"/>
      <c r="N865" s="136"/>
      <c r="O865" s="138"/>
      <c r="P865" s="138"/>
      <c r="Q865" s="138"/>
      <c r="R865" s="138"/>
      <c r="S865" s="139"/>
      <c r="T865" s="140"/>
      <c r="U865" s="136"/>
      <c r="V865" s="136"/>
      <c r="W865" s="136"/>
      <c r="X865" s="136"/>
      <c r="Y865" s="41"/>
      <c r="Z865" s="41"/>
    </row>
    <row r="866">
      <c r="A866" s="41"/>
      <c r="B866" s="41"/>
      <c r="C866" s="41"/>
      <c r="D866" s="41"/>
      <c r="E866" s="136"/>
      <c r="F866" s="136"/>
      <c r="G866" s="136"/>
      <c r="H866" s="137"/>
      <c r="I866" s="136"/>
      <c r="J866" s="136"/>
      <c r="K866" s="136"/>
      <c r="L866" s="136"/>
      <c r="M866" s="136"/>
      <c r="N866" s="136"/>
      <c r="O866" s="138"/>
      <c r="P866" s="138"/>
      <c r="Q866" s="138"/>
      <c r="R866" s="138"/>
      <c r="S866" s="139"/>
      <c r="T866" s="140"/>
      <c r="U866" s="136"/>
      <c r="V866" s="136"/>
      <c r="W866" s="136"/>
      <c r="X866" s="136"/>
      <c r="Y866" s="41"/>
      <c r="Z866" s="41"/>
    </row>
    <row r="867">
      <c r="A867" s="41"/>
      <c r="B867" s="41"/>
      <c r="C867" s="41"/>
      <c r="D867" s="41"/>
      <c r="E867" s="136"/>
      <c r="F867" s="136"/>
      <c r="G867" s="136"/>
      <c r="H867" s="137"/>
      <c r="I867" s="136"/>
      <c r="J867" s="136"/>
      <c r="K867" s="136"/>
      <c r="L867" s="136"/>
      <c r="M867" s="136"/>
      <c r="N867" s="136"/>
      <c r="O867" s="138"/>
      <c r="P867" s="138"/>
      <c r="Q867" s="138"/>
      <c r="R867" s="138"/>
      <c r="S867" s="139"/>
      <c r="T867" s="140"/>
      <c r="U867" s="136"/>
      <c r="V867" s="136"/>
      <c r="W867" s="136"/>
      <c r="X867" s="136"/>
      <c r="Y867" s="41"/>
      <c r="Z867" s="41"/>
    </row>
    <row r="868">
      <c r="A868" s="41"/>
      <c r="B868" s="41"/>
      <c r="C868" s="41"/>
      <c r="D868" s="41"/>
      <c r="E868" s="136"/>
      <c r="F868" s="136"/>
      <c r="G868" s="136"/>
      <c r="H868" s="137"/>
      <c r="I868" s="136"/>
      <c r="J868" s="136"/>
      <c r="K868" s="136"/>
      <c r="L868" s="136"/>
      <c r="M868" s="136"/>
      <c r="N868" s="136"/>
      <c r="O868" s="138"/>
      <c r="P868" s="138"/>
      <c r="Q868" s="138"/>
      <c r="R868" s="138"/>
      <c r="S868" s="139"/>
      <c r="T868" s="140"/>
      <c r="U868" s="136"/>
      <c r="V868" s="136"/>
      <c r="W868" s="136"/>
      <c r="X868" s="136"/>
      <c r="Y868" s="41"/>
      <c r="Z868" s="41"/>
    </row>
    <row r="869">
      <c r="A869" s="41"/>
      <c r="B869" s="41"/>
      <c r="C869" s="41"/>
      <c r="D869" s="41"/>
      <c r="E869" s="136"/>
      <c r="F869" s="136"/>
      <c r="G869" s="136"/>
      <c r="H869" s="137"/>
      <c r="I869" s="136"/>
      <c r="J869" s="136"/>
      <c r="K869" s="136"/>
      <c r="L869" s="136"/>
      <c r="M869" s="136"/>
      <c r="N869" s="136"/>
      <c r="O869" s="138"/>
      <c r="P869" s="138"/>
      <c r="Q869" s="138"/>
      <c r="R869" s="138"/>
      <c r="S869" s="139"/>
      <c r="T869" s="140"/>
      <c r="U869" s="136"/>
      <c r="V869" s="136"/>
      <c r="W869" s="136"/>
      <c r="X869" s="136"/>
      <c r="Y869" s="41"/>
      <c r="Z869" s="41"/>
    </row>
    <row r="870">
      <c r="A870" s="41"/>
      <c r="B870" s="41"/>
      <c r="C870" s="41"/>
      <c r="D870" s="41"/>
      <c r="E870" s="136"/>
      <c r="F870" s="136"/>
      <c r="G870" s="136"/>
      <c r="H870" s="137"/>
      <c r="I870" s="136"/>
      <c r="J870" s="136"/>
      <c r="K870" s="136"/>
      <c r="L870" s="136"/>
      <c r="M870" s="136"/>
      <c r="N870" s="136"/>
      <c r="O870" s="138"/>
      <c r="P870" s="138"/>
      <c r="Q870" s="138"/>
      <c r="R870" s="138"/>
      <c r="S870" s="139"/>
      <c r="T870" s="140"/>
      <c r="U870" s="136"/>
      <c r="V870" s="136"/>
      <c r="W870" s="136"/>
      <c r="X870" s="136"/>
      <c r="Y870" s="41"/>
      <c r="Z870" s="41"/>
    </row>
    <row r="871">
      <c r="A871" s="41"/>
      <c r="B871" s="41"/>
      <c r="C871" s="41"/>
      <c r="D871" s="41"/>
      <c r="E871" s="136"/>
      <c r="F871" s="136"/>
      <c r="G871" s="136"/>
      <c r="H871" s="137"/>
      <c r="I871" s="136"/>
      <c r="J871" s="136"/>
      <c r="K871" s="136"/>
      <c r="L871" s="136"/>
      <c r="M871" s="136"/>
      <c r="N871" s="136"/>
      <c r="O871" s="138"/>
      <c r="P871" s="138"/>
      <c r="Q871" s="138"/>
      <c r="R871" s="138"/>
      <c r="S871" s="139"/>
      <c r="T871" s="140"/>
      <c r="U871" s="136"/>
      <c r="V871" s="136"/>
      <c r="W871" s="136"/>
      <c r="X871" s="136"/>
      <c r="Y871" s="41"/>
      <c r="Z871" s="41"/>
    </row>
    <row r="872">
      <c r="A872" s="41"/>
      <c r="B872" s="41"/>
      <c r="C872" s="41"/>
      <c r="D872" s="41"/>
      <c r="E872" s="136"/>
      <c r="F872" s="136"/>
      <c r="G872" s="136"/>
      <c r="H872" s="137"/>
      <c r="I872" s="136"/>
      <c r="J872" s="136"/>
      <c r="K872" s="136"/>
      <c r="L872" s="136"/>
      <c r="M872" s="136"/>
      <c r="N872" s="136"/>
      <c r="O872" s="138"/>
      <c r="P872" s="138"/>
      <c r="Q872" s="138"/>
      <c r="R872" s="138"/>
      <c r="S872" s="139"/>
      <c r="T872" s="140"/>
      <c r="U872" s="136"/>
      <c r="V872" s="136"/>
      <c r="W872" s="136"/>
      <c r="X872" s="136"/>
      <c r="Y872" s="41"/>
      <c r="Z872" s="41"/>
    </row>
    <row r="873">
      <c r="A873" s="41"/>
      <c r="B873" s="41"/>
      <c r="C873" s="41"/>
      <c r="D873" s="41"/>
      <c r="E873" s="136"/>
      <c r="F873" s="136"/>
      <c r="G873" s="136"/>
      <c r="H873" s="137"/>
      <c r="I873" s="136"/>
      <c r="J873" s="136"/>
      <c r="K873" s="136"/>
      <c r="L873" s="136"/>
      <c r="M873" s="136"/>
      <c r="N873" s="136"/>
      <c r="O873" s="138"/>
      <c r="P873" s="138"/>
      <c r="Q873" s="138"/>
      <c r="R873" s="138"/>
      <c r="S873" s="139"/>
      <c r="T873" s="140"/>
      <c r="U873" s="136"/>
      <c r="V873" s="136"/>
      <c r="W873" s="136"/>
      <c r="X873" s="136"/>
      <c r="Y873" s="41"/>
      <c r="Z873" s="41"/>
    </row>
    <row r="874">
      <c r="A874" s="41"/>
      <c r="B874" s="41"/>
      <c r="C874" s="41"/>
      <c r="D874" s="41"/>
      <c r="E874" s="136"/>
      <c r="F874" s="136"/>
      <c r="G874" s="136"/>
      <c r="H874" s="137"/>
      <c r="I874" s="136"/>
      <c r="J874" s="136"/>
      <c r="K874" s="136"/>
      <c r="L874" s="136"/>
      <c r="M874" s="136"/>
      <c r="N874" s="136"/>
      <c r="O874" s="138"/>
      <c r="P874" s="138"/>
      <c r="Q874" s="138"/>
      <c r="R874" s="138"/>
      <c r="S874" s="139"/>
      <c r="T874" s="140"/>
      <c r="U874" s="136"/>
      <c r="V874" s="136"/>
      <c r="W874" s="136"/>
      <c r="X874" s="136"/>
      <c r="Y874" s="41"/>
      <c r="Z874" s="41"/>
    </row>
    <row r="875">
      <c r="A875" s="41"/>
      <c r="B875" s="41"/>
      <c r="C875" s="41"/>
      <c r="D875" s="41"/>
      <c r="E875" s="136"/>
      <c r="F875" s="136"/>
      <c r="G875" s="136"/>
      <c r="H875" s="137"/>
      <c r="I875" s="136"/>
      <c r="J875" s="136"/>
      <c r="K875" s="136"/>
      <c r="L875" s="136"/>
      <c r="M875" s="136"/>
      <c r="N875" s="136"/>
      <c r="O875" s="138"/>
      <c r="P875" s="138"/>
      <c r="Q875" s="138"/>
      <c r="R875" s="138"/>
      <c r="S875" s="139"/>
      <c r="T875" s="140"/>
      <c r="U875" s="136"/>
      <c r="V875" s="136"/>
      <c r="W875" s="136"/>
      <c r="X875" s="136"/>
      <c r="Y875" s="41"/>
      <c r="Z875" s="41"/>
    </row>
    <row r="876">
      <c r="A876" s="41"/>
      <c r="B876" s="41"/>
      <c r="C876" s="41"/>
      <c r="D876" s="41"/>
      <c r="E876" s="136"/>
      <c r="F876" s="136"/>
      <c r="G876" s="136"/>
      <c r="H876" s="137"/>
      <c r="I876" s="136"/>
      <c r="J876" s="136"/>
      <c r="K876" s="136"/>
      <c r="L876" s="136"/>
      <c r="M876" s="136"/>
      <c r="N876" s="136"/>
      <c r="O876" s="138"/>
      <c r="P876" s="138"/>
      <c r="Q876" s="138"/>
      <c r="R876" s="138"/>
      <c r="S876" s="139"/>
      <c r="T876" s="140"/>
      <c r="U876" s="136"/>
      <c r="V876" s="136"/>
      <c r="W876" s="136"/>
      <c r="X876" s="136"/>
      <c r="Y876" s="41"/>
      <c r="Z876" s="41"/>
    </row>
    <row r="877">
      <c r="A877" s="41"/>
      <c r="B877" s="41"/>
      <c r="C877" s="41"/>
      <c r="D877" s="41"/>
      <c r="E877" s="136"/>
      <c r="F877" s="136"/>
      <c r="G877" s="136"/>
      <c r="H877" s="137"/>
      <c r="I877" s="136"/>
      <c r="J877" s="136"/>
      <c r="K877" s="136"/>
      <c r="L877" s="136"/>
      <c r="M877" s="136"/>
      <c r="N877" s="136"/>
      <c r="O877" s="138"/>
      <c r="P877" s="138"/>
      <c r="Q877" s="138"/>
      <c r="R877" s="138"/>
      <c r="S877" s="139"/>
      <c r="T877" s="140"/>
      <c r="U877" s="136"/>
      <c r="V877" s="136"/>
      <c r="W877" s="136"/>
      <c r="X877" s="136"/>
      <c r="Y877" s="41"/>
      <c r="Z877" s="41"/>
    </row>
    <row r="878">
      <c r="A878" s="41"/>
      <c r="B878" s="41"/>
      <c r="C878" s="41"/>
      <c r="D878" s="41"/>
      <c r="E878" s="136"/>
      <c r="F878" s="136"/>
      <c r="G878" s="136"/>
      <c r="H878" s="137"/>
      <c r="I878" s="136"/>
      <c r="J878" s="136"/>
      <c r="K878" s="136"/>
      <c r="L878" s="136"/>
      <c r="M878" s="136"/>
      <c r="N878" s="136"/>
      <c r="O878" s="138"/>
      <c r="P878" s="138"/>
      <c r="Q878" s="138"/>
      <c r="R878" s="138"/>
      <c r="S878" s="139"/>
      <c r="T878" s="140"/>
      <c r="U878" s="136"/>
      <c r="V878" s="136"/>
      <c r="W878" s="136"/>
      <c r="X878" s="136"/>
      <c r="Y878" s="41"/>
      <c r="Z878" s="41"/>
    </row>
    <row r="879">
      <c r="A879" s="41"/>
      <c r="B879" s="41"/>
      <c r="C879" s="41"/>
      <c r="D879" s="41"/>
      <c r="E879" s="136"/>
      <c r="F879" s="136"/>
      <c r="G879" s="136"/>
      <c r="H879" s="137"/>
      <c r="I879" s="136"/>
      <c r="J879" s="136"/>
      <c r="K879" s="136"/>
      <c r="L879" s="136"/>
      <c r="M879" s="136"/>
      <c r="N879" s="136"/>
      <c r="O879" s="138"/>
      <c r="P879" s="138"/>
      <c r="Q879" s="138"/>
      <c r="R879" s="138"/>
      <c r="S879" s="139"/>
      <c r="T879" s="140"/>
      <c r="U879" s="136"/>
      <c r="V879" s="136"/>
      <c r="W879" s="136"/>
      <c r="X879" s="136"/>
      <c r="Y879" s="41"/>
      <c r="Z879" s="41"/>
    </row>
    <row r="880">
      <c r="A880" s="41"/>
      <c r="B880" s="41"/>
      <c r="C880" s="41"/>
      <c r="D880" s="41"/>
      <c r="E880" s="136"/>
      <c r="F880" s="136"/>
      <c r="G880" s="136"/>
      <c r="H880" s="137"/>
      <c r="I880" s="136"/>
      <c r="J880" s="136"/>
      <c r="K880" s="136"/>
      <c r="L880" s="136"/>
      <c r="M880" s="136"/>
      <c r="N880" s="136"/>
      <c r="O880" s="138"/>
      <c r="P880" s="138"/>
      <c r="Q880" s="138"/>
      <c r="R880" s="138"/>
      <c r="S880" s="139"/>
      <c r="T880" s="140"/>
      <c r="U880" s="136"/>
      <c r="V880" s="136"/>
      <c r="W880" s="136"/>
      <c r="X880" s="136"/>
      <c r="Y880" s="41"/>
      <c r="Z880" s="41"/>
    </row>
    <row r="881">
      <c r="A881" s="41"/>
      <c r="B881" s="41"/>
      <c r="C881" s="41"/>
      <c r="D881" s="41"/>
      <c r="E881" s="136"/>
      <c r="F881" s="136"/>
      <c r="G881" s="136"/>
      <c r="H881" s="137"/>
      <c r="I881" s="136"/>
      <c r="J881" s="136"/>
      <c r="K881" s="136"/>
      <c r="L881" s="136"/>
      <c r="M881" s="136"/>
      <c r="N881" s="136"/>
      <c r="O881" s="138"/>
      <c r="P881" s="138"/>
      <c r="Q881" s="138"/>
      <c r="R881" s="138"/>
      <c r="S881" s="139"/>
      <c r="T881" s="140"/>
      <c r="U881" s="136"/>
      <c r="V881" s="136"/>
      <c r="W881" s="136"/>
      <c r="X881" s="136"/>
      <c r="Y881" s="41"/>
      <c r="Z881" s="41"/>
    </row>
    <row r="882">
      <c r="A882" s="41"/>
      <c r="B882" s="41"/>
      <c r="C882" s="41"/>
      <c r="D882" s="41"/>
      <c r="E882" s="136"/>
      <c r="F882" s="136"/>
      <c r="G882" s="136"/>
      <c r="H882" s="137"/>
      <c r="I882" s="136"/>
      <c r="J882" s="136"/>
      <c r="K882" s="136"/>
      <c r="L882" s="136"/>
      <c r="M882" s="136"/>
      <c r="N882" s="136"/>
      <c r="O882" s="138"/>
      <c r="P882" s="138"/>
      <c r="Q882" s="138"/>
      <c r="R882" s="138"/>
      <c r="S882" s="139"/>
      <c r="T882" s="140"/>
      <c r="U882" s="136"/>
      <c r="V882" s="136"/>
      <c r="W882" s="136"/>
      <c r="X882" s="136"/>
      <c r="Y882" s="41"/>
      <c r="Z882" s="41"/>
    </row>
    <row r="883">
      <c r="A883" s="41"/>
      <c r="B883" s="41"/>
      <c r="C883" s="41"/>
      <c r="D883" s="41"/>
      <c r="E883" s="136"/>
      <c r="F883" s="136"/>
      <c r="G883" s="136"/>
      <c r="H883" s="137"/>
      <c r="I883" s="136"/>
      <c r="J883" s="136"/>
      <c r="K883" s="136"/>
      <c r="L883" s="136"/>
      <c r="M883" s="136"/>
      <c r="N883" s="136"/>
      <c r="O883" s="138"/>
      <c r="P883" s="138"/>
      <c r="Q883" s="138"/>
      <c r="R883" s="138"/>
      <c r="S883" s="139"/>
      <c r="T883" s="140"/>
      <c r="U883" s="136"/>
      <c r="V883" s="136"/>
      <c r="W883" s="136"/>
      <c r="X883" s="136"/>
      <c r="Y883" s="41"/>
      <c r="Z883" s="41"/>
    </row>
    <row r="884">
      <c r="A884" s="41"/>
      <c r="B884" s="41"/>
      <c r="C884" s="41"/>
      <c r="D884" s="41"/>
      <c r="E884" s="136"/>
      <c r="F884" s="136"/>
      <c r="G884" s="136"/>
      <c r="H884" s="137"/>
      <c r="I884" s="136"/>
      <c r="J884" s="136"/>
      <c r="K884" s="136"/>
      <c r="L884" s="136"/>
      <c r="M884" s="136"/>
      <c r="N884" s="136"/>
      <c r="O884" s="138"/>
      <c r="P884" s="138"/>
      <c r="Q884" s="138"/>
      <c r="R884" s="138"/>
      <c r="S884" s="139"/>
      <c r="T884" s="140"/>
      <c r="U884" s="136"/>
      <c r="V884" s="136"/>
      <c r="W884" s="136"/>
      <c r="X884" s="136"/>
      <c r="Y884" s="41"/>
      <c r="Z884" s="41"/>
    </row>
    <row r="885">
      <c r="A885" s="41"/>
      <c r="B885" s="41"/>
      <c r="C885" s="41"/>
      <c r="D885" s="41"/>
      <c r="E885" s="136"/>
      <c r="F885" s="136"/>
      <c r="G885" s="136"/>
      <c r="H885" s="137"/>
      <c r="I885" s="136"/>
      <c r="J885" s="136"/>
      <c r="K885" s="136"/>
      <c r="L885" s="136"/>
      <c r="M885" s="136"/>
      <c r="N885" s="136"/>
      <c r="O885" s="138"/>
      <c r="P885" s="138"/>
      <c r="Q885" s="138"/>
      <c r="R885" s="138"/>
      <c r="S885" s="139"/>
      <c r="T885" s="140"/>
      <c r="U885" s="136"/>
      <c r="V885" s="136"/>
      <c r="W885" s="136"/>
      <c r="X885" s="136"/>
      <c r="Y885" s="41"/>
      <c r="Z885" s="41"/>
    </row>
    <row r="886">
      <c r="A886" s="41"/>
      <c r="B886" s="41"/>
      <c r="C886" s="41"/>
      <c r="D886" s="41"/>
      <c r="E886" s="136"/>
      <c r="F886" s="136"/>
      <c r="G886" s="136"/>
      <c r="H886" s="137"/>
      <c r="I886" s="136"/>
      <c r="J886" s="136"/>
      <c r="K886" s="136"/>
      <c r="L886" s="136"/>
      <c r="M886" s="136"/>
      <c r="N886" s="136"/>
      <c r="O886" s="138"/>
      <c r="P886" s="138"/>
      <c r="Q886" s="138"/>
      <c r="R886" s="138"/>
      <c r="S886" s="139"/>
      <c r="T886" s="140"/>
      <c r="U886" s="136"/>
      <c r="V886" s="136"/>
      <c r="W886" s="136"/>
      <c r="X886" s="136"/>
      <c r="Y886" s="41"/>
      <c r="Z886" s="41"/>
    </row>
    <row r="887">
      <c r="A887" s="41"/>
      <c r="B887" s="41"/>
      <c r="C887" s="41"/>
      <c r="D887" s="41"/>
      <c r="E887" s="136"/>
      <c r="F887" s="136"/>
      <c r="G887" s="136"/>
      <c r="H887" s="137"/>
      <c r="I887" s="136"/>
      <c r="J887" s="136"/>
      <c r="K887" s="136"/>
      <c r="L887" s="136"/>
      <c r="M887" s="136"/>
      <c r="N887" s="136"/>
      <c r="O887" s="138"/>
      <c r="P887" s="138"/>
      <c r="Q887" s="138"/>
      <c r="R887" s="138"/>
      <c r="S887" s="139"/>
      <c r="T887" s="140"/>
      <c r="U887" s="136"/>
      <c r="V887" s="136"/>
      <c r="W887" s="136"/>
      <c r="X887" s="136"/>
      <c r="Y887" s="41"/>
      <c r="Z887" s="41"/>
    </row>
    <row r="888">
      <c r="A888" s="41"/>
      <c r="B888" s="41"/>
      <c r="C888" s="41"/>
      <c r="D888" s="41"/>
      <c r="E888" s="136"/>
      <c r="F888" s="136"/>
      <c r="G888" s="136"/>
      <c r="H888" s="137"/>
      <c r="I888" s="136"/>
      <c r="J888" s="136"/>
      <c r="K888" s="136"/>
      <c r="L888" s="136"/>
      <c r="M888" s="136"/>
      <c r="N888" s="136"/>
      <c r="O888" s="138"/>
      <c r="P888" s="138"/>
      <c r="Q888" s="138"/>
      <c r="R888" s="138"/>
      <c r="S888" s="139"/>
      <c r="T888" s="140"/>
      <c r="U888" s="136"/>
      <c r="V888" s="136"/>
      <c r="W888" s="136"/>
      <c r="X888" s="136"/>
      <c r="Y888" s="41"/>
      <c r="Z888" s="41"/>
    </row>
    <row r="889">
      <c r="A889" s="41"/>
      <c r="B889" s="41"/>
      <c r="C889" s="41"/>
      <c r="D889" s="41"/>
      <c r="E889" s="136"/>
      <c r="F889" s="136"/>
      <c r="G889" s="136"/>
      <c r="H889" s="137"/>
      <c r="I889" s="136"/>
      <c r="J889" s="136"/>
      <c r="K889" s="136"/>
      <c r="L889" s="136"/>
      <c r="M889" s="136"/>
      <c r="N889" s="136"/>
      <c r="O889" s="138"/>
      <c r="P889" s="138"/>
      <c r="Q889" s="138"/>
      <c r="R889" s="138"/>
      <c r="S889" s="139"/>
      <c r="T889" s="140"/>
      <c r="U889" s="136"/>
      <c r="V889" s="136"/>
      <c r="W889" s="136"/>
      <c r="X889" s="136"/>
      <c r="Y889" s="41"/>
      <c r="Z889" s="41"/>
    </row>
    <row r="890">
      <c r="A890" s="41"/>
      <c r="B890" s="41"/>
      <c r="C890" s="41"/>
      <c r="D890" s="41"/>
      <c r="E890" s="136"/>
      <c r="F890" s="136"/>
      <c r="G890" s="136"/>
      <c r="H890" s="137"/>
      <c r="I890" s="136"/>
      <c r="J890" s="136"/>
      <c r="K890" s="136"/>
      <c r="L890" s="136"/>
      <c r="M890" s="136"/>
      <c r="N890" s="136"/>
      <c r="O890" s="138"/>
      <c r="P890" s="138"/>
      <c r="Q890" s="138"/>
      <c r="R890" s="138"/>
      <c r="S890" s="139"/>
      <c r="T890" s="140"/>
      <c r="U890" s="136"/>
      <c r="V890" s="136"/>
      <c r="W890" s="136"/>
      <c r="X890" s="136"/>
      <c r="Y890" s="41"/>
      <c r="Z890" s="41"/>
    </row>
    <row r="891">
      <c r="A891" s="41"/>
      <c r="B891" s="41"/>
      <c r="C891" s="41"/>
      <c r="D891" s="41"/>
      <c r="E891" s="136"/>
      <c r="F891" s="136"/>
      <c r="G891" s="136"/>
      <c r="H891" s="137"/>
      <c r="I891" s="136"/>
      <c r="J891" s="136"/>
      <c r="K891" s="136"/>
      <c r="L891" s="136"/>
      <c r="M891" s="136"/>
      <c r="N891" s="136"/>
      <c r="O891" s="138"/>
      <c r="P891" s="138"/>
      <c r="Q891" s="138"/>
      <c r="R891" s="138"/>
      <c r="S891" s="139"/>
      <c r="T891" s="140"/>
      <c r="U891" s="136"/>
      <c r="V891" s="136"/>
      <c r="W891" s="136"/>
      <c r="X891" s="136"/>
      <c r="Y891" s="41"/>
      <c r="Z891" s="41"/>
    </row>
    <row r="892">
      <c r="A892" s="41"/>
      <c r="B892" s="41"/>
      <c r="C892" s="41"/>
      <c r="D892" s="41"/>
      <c r="E892" s="136"/>
      <c r="F892" s="136"/>
      <c r="G892" s="136"/>
      <c r="H892" s="137"/>
      <c r="I892" s="136"/>
      <c r="J892" s="136"/>
      <c r="K892" s="136"/>
      <c r="L892" s="136"/>
      <c r="M892" s="136"/>
      <c r="N892" s="136"/>
      <c r="O892" s="138"/>
      <c r="P892" s="138"/>
      <c r="Q892" s="138"/>
      <c r="R892" s="138"/>
      <c r="S892" s="139"/>
      <c r="T892" s="140"/>
      <c r="U892" s="136"/>
      <c r="V892" s="136"/>
      <c r="W892" s="136"/>
      <c r="X892" s="136"/>
      <c r="Y892" s="41"/>
      <c r="Z892" s="41"/>
    </row>
    <row r="893">
      <c r="A893" s="41"/>
      <c r="B893" s="41"/>
      <c r="C893" s="41"/>
      <c r="D893" s="41"/>
      <c r="E893" s="136"/>
      <c r="F893" s="136"/>
      <c r="G893" s="136"/>
      <c r="H893" s="137"/>
      <c r="I893" s="136"/>
      <c r="J893" s="136"/>
      <c r="K893" s="136"/>
      <c r="L893" s="136"/>
      <c r="M893" s="136"/>
      <c r="N893" s="136"/>
      <c r="O893" s="138"/>
      <c r="P893" s="138"/>
      <c r="Q893" s="138"/>
      <c r="R893" s="138"/>
      <c r="S893" s="139"/>
      <c r="T893" s="140"/>
      <c r="U893" s="136"/>
      <c r="V893" s="136"/>
      <c r="W893" s="136"/>
      <c r="X893" s="136"/>
      <c r="Y893" s="41"/>
      <c r="Z893" s="41"/>
    </row>
    <row r="894">
      <c r="A894" s="41"/>
      <c r="B894" s="41"/>
      <c r="C894" s="41"/>
      <c r="D894" s="41"/>
      <c r="E894" s="136"/>
      <c r="F894" s="136"/>
      <c r="G894" s="136"/>
      <c r="H894" s="137"/>
      <c r="I894" s="136"/>
      <c r="J894" s="136"/>
      <c r="K894" s="136"/>
      <c r="L894" s="136"/>
      <c r="M894" s="136"/>
      <c r="N894" s="136"/>
      <c r="O894" s="138"/>
      <c r="P894" s="138"/>
      <c r="Q894" s="138"/>
      <c r="R894" s="138"/>
      <c r="S894" s="139"/>
      <c r="T894" s="140"/>
      <c r="U894" s="136"/>
      <c r="V894" s="136"/>
      <c r="W894" s="136"/>
      <c r="X894" s="136"/>
      <c r="Y894" s="41"/>
      <c r="Z894" s="41"/>
    </row>
    <row r="895">
      <c r="A895" s="41"/>
      <c r="B895" s="41"/>
      <c r="C895" s="41"/>
      <c r="D895" s="41"/>
      <c r="E895" s="136"/>
      <c r="F895" s="136"/>
      <c r="G895" s="136"/>
      <c r="H895" s="137"/>
      <c r="I895" s="136"/>
      <c r="J895" s="136"/>
      <c r="K895" s="136"/>
      <c r="L895" s="136"/>
      <c r="M895" s="136"/>
      <c r="N895" s="136"/>
      <c r="O895" s="138"/>
      <c r="P895" s="138"/>
      <c r="Q895" s="138"/>
      <c r="R895" s="138"/>
      <c r="S895" s="139"/>
      <c r="T895" s="140"/>
      <c r="U895" s="136"/>
      <c r="V895" s="136"/>
      <c r="W895" s="136"/>
      <c r="X895" s="136"/>
      <c r="Y895" s="41"/>
      <c r="Z895" s="41"/>
    </row>
    <row r="896">
      <c r="A896" s="41"/>
      <c r="B896" s="41"/>
      <c r="C896" s="41"/>
      <c r="D896" s="41"/>
      <c r="E896" s="136"/>
      <c r="F896" s="136"/>
      <c r="G896" s="136"/>
      <c r="H896" s="137"/>
      <c r="I896" s="136"/>
      <c r="J896" s="136"/>
      <c r="K896" s="136"/>
      <c r="L896" s="136"/>
      <c r="M896" s="136"/>
      <c r="N896" s="136"/>
      <c r="O896" s="138"/>
      <c r="P896" s="138"/>
      <c r="Q896" s="138"/>
      <c r="R896" s="138"/>
      <c r="S896" s="139"/>
      <c r="T896" s="140"/>
      <c r="U896" s="136"/>
      <c r="V896" s="136"/>
      <c r="W896" s="136"/>
      <c r="X896" s="136"/>
      <c r="Y896" s="41"/>
      <c r="Z896" s="41"/>
    </row>
    <row r="897">
      <c r="A897" s="41"/>
      <c r="B897" s="41"/>
      <c r="C897" s="41"/>
      <c r="D897" s="41"/>
      <c r="E897" s="136"/>
      <c r="F897" s="136"/>
      <c r="G897" s="136"/>
      <c r="H897" s="137"/>
      <c r="I897" s="136"/>
      <c r="J897" s="136"/>
      <c r="K897" s="136"/>
      <c r="L897" s="136"/>
      <c r="M897" s="136"/>
      <c r="N897" s="136"/>
      <c r="O897" s="138"/>
      <c r="P897" s="138"/>
      <c r="Q897" s="138"/>
      <c r="R897" s="138"/>
      <c r="S897" s="139"/>
      <c r="T897" s="140"/>
      <c r="U897" s="136"/>
      <c r="V897" s="136"/>
      <c r="W897" s="136"/>
      <c r="X897" s="136"/>
      <c r="Y897" s="41"/>
      <c r="Z897" s="41"/>
    </row>
    <row r="898">
      <c r="A898" s="41"/>
      <c r="B898" s="41"/>
      <c r="C898" s="41"/>
      <c r="D898" s="41"/>
      <c r="E898" s="136"/>
      <c r="F898" s="136"/>
      <c r="G898" s="136"/>
      <c r="H898" s="137"/>
      <c r="I898" s="136"/>
      <c r="J898" s="136"/>
      <c r="K898" s="136"/>
      <c r="L898" s="136"/>
      <c r="M898" s="136"/>
      <c r="N898" s="136"/>
      <c r="O898" s="138"/>
      <c r="P898" s="138"/>
      <c r="Q898" s="138"/>
      <c r="R898" s="138"/>
      <c r="S898" s="139"/>
      <c r="T898" s="140"/>
      <c r="U898" s="136"/>
      <c r="V898" s="136"/>
      <c r="W898" s="136"/>
      <c r="X898" s="136"/>
      <c r="Y898" s="41"/>
      <c r="Z898" s="41"/>
    </row>
    <row r="899">
      <c r="A899" s="41"/>
      <c r="B899" s="41"/>
      <c r="C899" s="41"/>
      <c r="D899" s="41"/>
      <c r="E899" s="136"/>
      <c r="F899" s="136"/>
      <c r="G899" s="136"/>
      <c r="H899" s="137"/>
      <c r="I899" s="136"/>
      <c r="J899" s="136"/>
      <c r="K899" s="136"/>
      <c r="L899" s="136"/>
      <c r="M899" s="136"/>
      <c r="N899" s="136"/>
      <c r="O899" s="138"/>
      <c r="P899" s="138"/>
      <c r="Q899" s="138"/>
      <c r="R899" s="138"/>
      <c r="S899" s="139"/>
      <c r="T899" s="140"/>
      <c r="U899" s="136"/>
      <c r="V899" s="136"/>
      <c r="W899" s="136"/>
      <c r="X899" s="136"/>
      <c r="Y899" s="41"/>
      <c r="Z899" s="41"/>
    </row>
    <row r="900">
      <c r="A900" s="41"/>
      <c r="B900" s="41"/>
      <c r="C900" s="41"/>
      <c r="D900" s="41"/>
      <c r="E900" s="136"/>
      <c r="F900" s="136"/>
      <c r="G900" s="136"/>
      <c r="H900" s="137"/>
      <c r="I900" s="136"/>
      <c r="J900" s="136"/>
      <c r="K900" s="136"/>
      <c r="L900" s="136"/>
      <c r="M900" s="136"/>
      <c r="N900" s="136"/>
      <c r="O900" s="138"/>
      <c r="P900" s="138"/>
      <c r="Q900" s="138"/>
      <c r="R900" s="138"/>
      <c r="S900" s="139"/>
      <c r="T900" s="140"/>
      <c r="U900" s="136"/>
      <c r="V900" s="136"/>
      <c r="W900" s="136"/>
      <c r="X900" s="136"/>
      <c r="Y900" s="41"/>
      <c r="Z900" s="41"/>
    </row>
    <row r="901">
      <c r="A901" s="41"/>
      <c r="B901" s="41"/>
      <c r="C901" s="41"/>
      <c r="D901" s="41"/>
      <c r="E901" s="136"/>
      <c r="F901" s="136"/>
      <c r="G901" s="136"/>
      <c r="H901" s="137"/>
      <c r="I901" s="136"/>
      <c r="J901" s="136"/>
      <c r="K901" s="136"/>
      <c r="L901" s="136"/>
      <c r="M901" s="136"/>
      <c r="N901" s="136"/>
      <c r="O901" s="138"/>
      <c r="P901" s="138"/>
      <c r="Q901" s="138"/>
      <c r="R901" s="138"/>
      <c r="S901" s="139"/>
      <c r="T901" s="140"/>
      <c r="U901" s="136"/>
      <c r="V901" s="136"/>
      <c r="W901" s="136"/>
      <c r="X901" s="136"/>
      <c r="Y901" s="41"/>
      <c r="Z901" s="41"/>
    </row>
    <row r="902">
      <c r="A902" s="41"/>
      <c r="B902" s="41"/>
      <c r="C902" s="41"/>
      <c r="D902" s="41"/>
      <c r="E902" s="136"/>
      <c r="F902" s="136"/>
      <c r="G902" s="136"/>
      <c r="H902" s="137"/>
      <c r="I902" s="136"/>
      <c r="J902" s="136"/>
      <c r="K902" s="136"/>
      <c r="L902" s="136"/>
      <c r="M902" s="136"/>
      <c r="N902" s="136"/>
      <c r="O902" s="138"/>
      <c r="P902" s="138"/>
      <c r="Q902" s="138"/>
      <c r="R902" s="138"/>
      <c r="S902" s="139"/>
      <c r="T902" s="140"/>
      <c r="U902" s="136"/>
      <c r="V902" s="136"/>
      <c r="W902" s="136"/>
      <c r="X902" s="136"/>
      <c r="Y902" s="41"/>
      <c r="Z902" s="41"/>
    </row>
    <row r="903">
      <c r="A903" s="41"/>
      <c r="B903" s="41"/>
      <c r="C903" s="41"/>
      <c r="D903" s="41"/>
      <c r="E903" s="136"/>
      <c r="F903" s="136"/>
      <c r="G903" s="136"/>
      <c r="H903" s="137"/>
      <c r="I903" s="136"/>
      <c r="J903" s="136"/>
      <c r="K903" s="136"/>
      <c r="L903" s="136"/>
      <c r="M903" s="136"/>
      <c r="N903" s="136"/>
      <c r="O903" s="138"/>
      <c r="P903" s="138"/>
      <c r="Q903" s="138"/>
      <c r="R903" s="138"/>
      <c r="S903" s="139"/>
      <c r="T903" s="140"/>
      <c r="U903" s="136"/>
      <c r="V903" s="136"/>
      <c r="W903" s="136"/>
      <c r="X903" s="136"/>
      <c r="Y903" s="41"/>
      <c r="Z903" s="41"/>
    </row>
    <row r="904">
      <c r="A904" s="41"/>
      <c r="B904" s="41"/>
      <c r="C904" s="41"/>
      <c r="D904" s="41"/>
      <c r="E904" s="136"/>
      <c r="F904" s="136"/>
      <c r="G904" s="136"/>
      <c r="H904" s="137"/>
      <c r="I904" s="136"/>
      <c r="J904" s="136"/>
      <c r="K904" s="136"/>
      <c r="L904" s="136"/>
      <c r="M904" s="136"/>
      <c r="N904" s="136"/>
      <c r="O904" s="138"/>
      <c r="P904" s="138"/>
      <c r="Q904" s="138"/>
      <c r="R904" s="138"/>
      <c r="S904" s="139"/>
      <c r="T904" s="140"/>
      <c r="U904" s="136"/>
      <c r="V904" s="136"/>
      <c r="W904" s="136"/>
      <c r="X904" s="136"/>
      <c r="Y904" s="41"/>
      <c r="Z904" s="41"/>
    </row>
    <row r="905">
      <c r="A905" s="41"/>
      <c r="B905" s="41"/>
      <c r="C905" s="41"/>
      <c r="D905" s="41"/>
      <c r="E905" s="136"/>
      <c r="F905" s="136"/>
      <c r="G905" s="136"/>
      <c r="H905" s="137"/>
      <c r="I905" s="136"/>
      <c r="J905" s="136"/>
      <c r="K905" s="136"/>
      <c r="L905" s="136"/>
      <c r="M905" s="136"/>
      <c r="N905" s="136"/>
      <c r="O905" s="138"/>
      <c r="P905" s="138"/>
      <c r="Q905" s="138"/>
      <c r="R905" s="138"/>
      <c r="S905" s="139"/>
      <c r="T905" s="140"/>
      <c r="U905" s="136"/>
      <c r="V905" s="136"/>
      <c r="W905" s="136"/>
      <c r="X905" s="136"/>
      <c r="Y905" s="41"/>
      <c r="Z905" s="41"/>
    </row>
    <row r="906">
      <c r="A906" s="41"/>
      <c r="B906" s="41"/>
      <c r="C906" s="41"/>
      <c r="D906" s="41"/>
      <c r="E906" s="136"/>
      <c r="F906" s="136"/>
      <c r="G906" s="136"/>
      <c r="H906" s="137"/>
      <c r="I906" s="136"/>
      <c r="J906" s="136"/>
      <c r="K906" s="136"/>
      <c r="L906" s="136"/>
      <c r="M906" s="136"/>
      <c r="N906" s="136"/>
      <c r="O906" s="138"/>
      <c r="P906" s="138"/>
      <c r="Q906" s="138"/>
      <c r="R906" s="138"/>
      <c r="S906" s="139"/>
      <c r="T906" s="140"/>
      <c r="U906" s="136"/>
      <c r="V906" s="136"/>
      <c r="W906" s="136"/>
      <c r="X906" s="136"/>
      <c r="Y906" s="41"/>
      <c r="Z906" s="41"/>
    </row>
    <row r="907">
      <c r="A907" s="41"/>
      <c r="B907" s="41"/>
      <c r="C907" s="41"/>
      <c r="D907" s="41"/>
      <c r="E907" s="136"/>
      <c r="F907" s="136"/>
      <c r="G907" s="136"/>
      <c r="H907" s="137"/>
      <c r="I907" s="136"/>
      <c r="J907" s="136"/>
      <c r="K907" s="136"/>
      <c r="L907" s="136"/>
      <c r="M907" s="136"/>
      <c r="N907" s="136"/>
      <c r="O907" s="138"/>
      <c r="P907" s="138"/>
      <c r="Q907" s="138"/>
      <c r="R907" s="138"/>
      <c r="S907" s="139"/>
      <c r="T907" s="140"/>
      <c r="U907" s="136"/>
      <c r="V907" s="136"/>
      <c r="W907" s="136"/>
      <c r="X907" s="136"/>
      <c r="Y907" s="41"/>
      <c r="Z907" s="41"/>
    </row>
    <row r="908">
      <c r="A908" s="41"/>
      <c r="B908" s="41"/>
      <c r="C908" s="41"/>
      <c r="D908" s="41"/>
      <c r="E908" s="136"/>
      <c r="F908" s="136"/>
      <c r="G908" s="136"/>
      <c r="H908" s="137"/>
      <c r="I908" s="136"/>
      <c r="J908" s="136"/>
      <c r="K908" s="136"/>
      <c r="L908" s="136"/>
      <c r="M908" s="136"/>
      <c r="N908" s="136"/>
      <c r="O908" s="138"/>
      <c r="P908" s="138"/>
      <c r="Q908" s="138"/>
      <c r="R908" s="138"/>
      <c r="S908" s="139"/>
      <c r="T908" s="140"/>
      <c r="U908" s="136"/>
      <c r="V908" s="136"/>
      <c r="W908" s="136"/>
      <c r="X908" s="136"/>
      <c r="Y908" s="41"/>
      <c r="Z908" s="41"/>
    </row>
    <row r="909">
      <c r="A909" s="41"/>
      <c r="B909" s="41"/>
      <c r="C909" s="41"/>
      <c r="D909" s="41"/>
      <c r="E909" s="136"/>
      <c r="F909" s="136"/>
      <c r="G909" s="136"/>
      <c r="H909" s="137"/>
      <c r="I909" s="136"/>
      <c r="J909" s="136"/>
      <c r="K909" s="136"/>
      <c r="L909" s="136"/>
      <c r="M909" s="136"/>
      <c r="N909" s="136"/>
      <c r="O909" s="138"/>
      <c r="P909" s="138"/>
      <c r="Q909" s="138"/>
      <c r="R909" s="138"/>
      <c r="S909" s="139"/>
      <c r="T909" s="140"/>
      <c r="U909" s="136"/>
      <c r="V909" s="136"/>
      <c r="W909" s="136"/>
      <c r="X909" s="136"/>
      <c r="Y909" s="41"/>
      <c r="Z909" s="41"/>
    </row>
    <row r="910">
      <c r="A910" s="41"/>
      <c r="B910" s="41"/>
      <c r="C910" s="41"/>
      <c r="D910" s="41"/>
      <c r="E910" s="136"/>
      <c r="F910" s="136"/>
      <c r="G910" s="136"/>
      <c r="H910" s="137"/>
      <c r="I910" s="136"/>
      <c r="J910" s="136"/>
      <c r="K910" s="136"/>
      <c r="L910" s="136"/>
      <c r="M910" s="136"/>
      <c r="N910" s="136"/>
      <c r="O910" s="138"/>
      <c r="P910" s="138"/>
      <c r="Q910" s="138"/>
      <c r="R910" s="138"/>
      <c r="S910" s="139"/>
      <c r="T910" s="140"/>
      <c r="U910" s="136"/>
      <c r="V910" s="136"/>
      <c r="W910" s="136"/>
      <c r="X910" s="136"/>
      <c r="Y910" s="41"/>
      <c r="Z910" s="41"/>
    </row>
    <row r="911">
      <c r="A911" s="41"/>
      <c r="B911" s="41"/>
      <c r="C911" s="41"/>
      <c r="D911" s="41"/>
      <c r="E911" s="136"/>
      <c r="F911" s="136"/>
      <c r="G911" s="136"/>
      <c r="H911" s="137"/>
      <c r="I911" s="136"/>
      <c r="J911" s="136"/>
      <c r="K911" s="136"/>
      <c r="L911" s="136"/>
      <c r="M911" s="136"/>
      <c r="N911" s="136"/>
      <c r="O911" s="138"/>
      <c r="P911" s="138"/>
      <c r="Q911" s="138"/>
      <c r="R911" s="138"/>
      <c r="S911" s="139"/>
      <c r="T911" s="140"/>
      <c r="U911" s="136"/>
      <c r="V911" s="136"/>
      <c r="W911" s="136"/>
      <c r="X911" s="136"/>
      <c r="Y911" s="41"/>
      <c r="Z911" s="41"/>
    </row>
    <row r="912">
      <c r="A912" s="41"/>
      <c r="B912" s="41"/>
      <c r="C912" s="41"/>
      <c r="D912" s="41"/>
      <c r="E912" s="136"/>
      <c r="F912" s="136"/>
      <c r="G912" s="136"/>
      <c r="H912" s="137"/>
      <c r="I912" s="136"/>
      <c r="J912" s="136"/>
      <c r="K912" s="136"/>
      <c r="L912" s="136"/>
      <c r="M912" s="136"/>
      <c r="N912" s="136"/>
      <c r="O912" s="138"/>
      <c r="P912" s="138"/>
      <c r="Q912" s="138"/>
      <c r="R912" s="138"/>
      <c r="S912" s="139"/>
      <c r="T912" s="140"/>
      <c r="U912" s="136"/>
      <c r="V912" s="136"/>
      <c r="W912" s="136"/>
      <c r="X912" s="136"/>
      <c r="Y912" s="41"/>
      <c r="Z912" s="41"/>
    </row>
    <row r="913">
      <c r="A913" s="41"/>
      <c r="B913" s="41"/>
      <c r="C913" s="41"/>
      <c r="D913" s="41"/>
      <c r="E913" s="136"/>
      <c r="F913" s="136"/>
      <c r="G913" s="136"/>
      <c r="H913" s="137"/>
      <c r="I913" s="136"/>
      <c r="J913" s="136"/>
      <c r="K913" s="136"/>
      <c r="L913" s="136"/>
      <c r="M913" s="136"/>
      <c r="N913" s="136"/>
      <c r="O913" s="138"/>
      <c r="P913" s="138"/>
      <c r="Q913" s="138"/>
      <c r="R913" s="138"/>
      <c r="S913" s="139"/>
      <c r="T913" s="140"/>
      <c r="U913" s="136"/>
      <c r="V913" s="136"/>
      <c r="W913" s="136"/>
      <c r="X913" s="136"/>
      <c r="Y913" s="41"/>
      <c r="Z913" s="41"/>
    </row>
    <row r="914">
      <c r="A914" s="41"/>
      <c r="B914" s="41"/>
      <c r="C914" s="41"/>
      <c r="D914" s="41"/>
      <c r="E914" s="136"/>
      <c r="F914" s="136"/>
      <c r="G914" s="136"/>
      <c r="H914" s="137"/>
      <c r="I914" s="136"/>
      <c r="J914" s="136"/>
      <c r="K914" s="136"/>
      <c r="L914" s="136"/>
      <c r="M914" s="136"/>
      <c r="N914" s="136"/>
      <c r="O914" s="138"/>
      <c r="P914" s="138"/>
      <c r="Q914" s="138"/>
      <c r="R914" s="138"/>
      <c r="S914" s="139"/>
      <c r="T914" s="140"/>
      <c r="U914" s="136"/>
      <c r="V914" s="136"/>
      <c r="W914" s="136"/>
      <c r="X914" s="136"/>
      <c r="Y914" s="41"/>
      <c r="Z914" s="41"/>
    </row>
    <row r="915">
      <c r="A915" s="41"/>
      <c r="B915" s="41"/>
      <c r="C915" s="41"/>
      <c r="D915" s="41"/>
      <c r="E915" s="136"/>
      <c r="F915" s="136"/>
      <c r="G915" s="136"/>
      <c r="H915" s="137"/>
      <c r="I915" s="136"/>
      <c r="J915" s="136"/>
      <c r="K915" s="136"/>
      <c r="L915" s="136"/>
      <c r="M915" s="136"/>
      <c r="N915" s="136"/>
      <c r="O915" s="138"/>
      <c r="P915" s="138"/>
      <c r="Q915" s="138"/>
      <c r="R915" s="138"/>
      <c r="S915" s="139"/>
      <c r="T915" s="140"/>
      <c r="U915" s="136"/>
      <c r="V915" s="136"/>
      <c r="W915" s="136"/>
      <c r="X915" s="136"/>
      <c r="Y915" s="41"/>
      <c r="Z915" s="41"/>
    </row>
    <row r="916">
      <c r="A916" s="41"/>
      <c r="B916" s="41"/>
      <c r="C916" s="41"/>
      <c r="D916" s="41"/>
      <c r="E916" s="136"/>
      <c r="F916" s="136"/>
      <c r="G916" s="136"/>
      <c r="H916" s="137"/>
      <c r="I916" s="136"/>
      <c r="J916" s="136"/>
      <c r="K916" s="136"/>
      <c r="L916" s="136"/>
      <c r="M916" s="136"/>
      <c r="N916" s="136"/>
      <c r="O916" s="138"/>
      <c r="P916" s="138"/>
      <c r="Q916" s="138"/>
      <c r="R916" s="138"/>
      <c r="S916" s="139"/>
      <c r="T916" s="140"/>
      <c r="U916" s="136"/>
      <c r="V916" s="136"/>
      <c r="W916" s="136"/>
      <c r="X916" s="136"/>
      <c r="Y916" s="41"/>
      <c r="Z916" s="41"/>
    </row>
    <row r="917">
      <c r="A917" s="41"/>
      <c r="B917" s="41"/>
      <c r="C917" s="41"/>
      <c r="D917" s="41"/>
      <c r="E917" s="136"/>
      <c r="F917" s="136"/>
      <c r="G917" s="136"/>
      <c r="H917" s="137"/>
      <c r="I917" s="136"/>
      <c r="J917" s="136"/>
      <c r="K917" s="136"/>
      <c r="L917" s="136"/>
      <c r="M917" s="136"/>
      <c r="N917" s="136"/>
      <c r="O917" s="138"/>
      <c r="P917" s="138"/>
      <c r="Q917" s="138"/>
      <c r="R917" s="138"/>
      <c r="S917" s="139"/>
      <c r="T917" s="140"/>
      <c r="U917" s="136"/>
      <c r="V917" s="136"/>
      <c r="W917" s="136"/>
      <c r="X917" s="136"/>
      <c r="Y917" s="41"/>
      <c r="Z917" s="41"/>
    </row>
    <row r="918">
      <c r="A918" s="41"/>
      <c r="B918" s="41"/>
      <c r="C918" s="41"/>
      <c r="D918" s="41"/>
      <c r="E918" s="136"/>
      <c r="F918" s="136"/>
      <c r="G918" s="136"/>
      <c r="H918" s="137"/>
      <c r="I918" s="136"/>
      <c r="J918" s="136"/>
      <c r="K918" s="136"/>
      <c r="L918" s="136"/>
      <c r="M918" s="136"/>
      <c r="N918" s="136"/>
      <c r="O918" s="138"/>
      <c r="P918" s="138"/>
      <c r="Q918" s="138"/>
      <c r="R918" s="138"/>
      <c r="S918" s="139"/>
      <c r="T918" s="140"/>
      <c r="U918" s="136"/>
      <c r="V918" s="136"/>
      <c r="W918" s="136"/>
      <c r="X918" s="136"/>
      <c r="Y918" s="41"/>
      <c r="Z918" s="41"/>
    </row>
    <row r="919">
      <c r="A919" s="41"/>
      <c r="B919" s="41"/>
      <c r="C919" s="41"/>
      <c r="D919" s="41"/>
      <c r="E919" s="136"/>
      <c r="F919" s="136"/>
      <c r="G919" s="136"/>
      <c r="H919" s="137"/>
      <c r="I919" s="136"/>
      <c r="J919" s="136"/>
      <c r="K919" s="136"/>
      <c r="L919" s="136"/>
      <c r="M919" s="136"/>
      <c r="N919" s="136"/>
      <c r="O919" s="138"/>
      <c r="P919" s="138"/>
      <c r="Q919" s="138"/>
      <c r="R919" s="138"/>
      <c r="S919" s="139"/>
      <c r="T919" s="140"/>
      <c r="U919" s="136"/>
      <c r="V919" s="136"/>
      <c r="W919" s="136"/>
      <c r="X919" s="136"/>
      <c r="Y919" s="41"/>
      <c r="Z919" s="41"/>
    </row>
    <row r="920">
      <c r="A920" s="41"/>
      <c r="B920" s="41"/>
      <c r="C920" s="41"/>
      <c r="D920" s="41"/>
      <c r="E920" s="136"/>
      <c r="F920" s="136"/>
      <c r="G920" s="136"/>
      <c r="H920" s="137"/>
      <c r="I920" s="136"/>
      <c r="J920" s="136"/>
      <c r="K920" s="136"/>
      <c r="L920" s="136"/>
      <c r="M920" s="136"/>
      <c r="N920" s="136"/>
      <c r="O920" s="138"/>
      <c r="P920" s="138"/>
      <c r="Q920" s="138"/>
      <c r="R920" s="138"/>
      <c r="S920" s="139"/>
      <c r="T920" s="140"/>
      <c r="U920" s="136"/>
      <c r="V920" s="136"/>
      <c r="W920" s="136"/>
      <c r="X920" s="136"/>
      <c r="Y920" s="41"/>
      <c r="Z920" s="41"/>
    </row>
    <row r="921">
      <c r="A921" s="41"/>
      <c r="B921" s="41"/>
      <c r="C921" s="41"/>
      <c r="D921" s="41"/>
      <c r="E921" s="136"/>
      <c r="F921" s="136"/>
      <c r="G921" s="136"/>
      <c r="H921" s="137"/>
      <c r="I921" s="136"/>
      <c r="J921" s="136"/>
      <c r="K921" s="136"/>
      <c r="L921" s="136"/>
      <c r="M921" s="136"/>
      <c r="N921" s="136"/>
      <c r="O921" s="142"/>
      <c r="P921" s="138"/>
      <c r="Q921" s="138"/>
      <c r="R921" s="138"/>
      <c r="S921" s="139"/>
      <c r="T921" s="140"/>
      <c r="U921" s="136"/>
      <c r="V921" s="136"/>
      <c r="W921" s="136"/>
      <c r="X921" s="136"/>
      <c r="Y921" s="41"/>
      <c r="Z921" s="41"/>
    </row>
    <row r="922">
      <c r="A922" s="41"/>
      <c r="B922" s="41"/>
      <c r="C922" s="41"/>
      <c r="D922" s="41"/>
      <c r="E922" s="136"/>
      <c r="F922" s="136"/>
      <c r="G922" s="136"/>
      <c r="H922" s="137"/>
      <c r="I922" s="136"/>
      <c r="J922" s="136"/>
      <c r="K922" s="136"/>
      <c r="L922" s="136"/>
      <c r="M922" s="136"/>
      <c r="N922" s="136"/>
      <c r="O922" s="142"/>
      <c r="P922" s="138"/>
      <c r="Q922" s="138"/>
      <c r="R922" s="138"/>
      <c r="S922" s="139"/>
      <c r="T922" s="140"/>
      <c r="U922" s="136"/>
      <c r="V922" s="136"/>
      <c r="W922" s="136"/>
      <c r="X922" s="136"/>
      <c r="Y922" s="41"/>
      <c r="Z922" s="41"/>
    </row>
    <row r="923">
      <c r="A923" s="41"/>
      <c r="B923" s="41"/>
      <c r="C923" s="41"/>
      <c r="D923" s="41"/>
      <c r="E923" s="136"/>
      <c r="F923" s="136"/>
      <c r="G923" s="136"/>
      <c r="H923" s="137"/>
      <c r="I923" s="136"/>
      <c r="J923" s="136"/>
      <c r="K923" s="136"/>
      <c r="L923" s="136"/>
      <c r="M923" s="136"/>
      <c r="N923" s="136"/>
      <c r="O923" s="142"/>
      <c r="P923" s="138"/>
      <c r="Q923" s="138"/>
      <c r="R923" s="138"/>
      <c r="S923" s="139"/>
      <c r="T923" s="140"/>
      <c r="U923" s="136"/>
      <c r="V923" s="136"/>
      <c r="W923" s="136"/>
      <c r="X923" s="136"/>
      <c r="Y923" s="41"/>
      <c r="Z923" s="41"/>
    </row>
    <row r="924">
      <c r="A924" s="41"/>
      <c r="B924" s="41"/>
      <c r="C924" s="41"/>
      <c r="D924" s="41"/>
      <c r="E924" s="136"/>
      <c r="F924" s="136"/>
      <c r="G924" s="136"/>
      <c r="H924" s="137"/>
      <c r="I924" s="136"/>
      <c r="J924" s="136"/>
      <c r="K924" s="136"/>
      <c r="L924" s="136"/>
      <c r="M924" s="136"/>
      <c r="N924" s="136"/>
      <c r="O924" s="142"/>
      <c r="P924" s="138"/>
      <c r="Q924" s="138"/>
      <c r="R924" s="138"/>
      <c r="S924" s="139"/>
      <c r="T924" s="140"/>
      <c r="U924" s="136"/>
      <c r="V924" s="136"/>
      <c r="W924" s="136"/>
      <c r="X924" s="136"/>
      <c r="Y924" s="41"/>
      <c r="Z924" s="41"/>
    </row>
    <row r="925">
      <c r="A925" s="41"/>
      <c r="B925" s="41"/>
      <c r="C925" s="41"/>
      <c r="D925" s="41"/>
      <c r="E925" s="136"/>
      <c r="F925" s="136"/>
      <c r="G925" s="136"/>
      <c r="H925" s="137"/>
      <c r="I925" s="136"/>
      <c r="J925" s="136"/>
      <c r="K925" s="136"/>
      <c r="L925" s="136"/>
      <c r="M925" s="136"/>
      <c r="N925" s="136"/>
      <c r="O925" s="142"/>
      <c r="P925" s="138"/>
      <c r="Q925" s="138"/>
      <c r="R925" s="138"/>
      <c r="S925" s="139"/>
      <c r="T925" s="140"/>
      <c r="U925" s="136"/>
      <c r="V925" s="136"/>
      <c r="W925" s="136"/>
      <c r="X925" s="136"/>
      <c r="Y925" s="41"/>
      <c r="Z925" s="41"/>
    </row>
    <row r="926">
      <c r="A926" s="41"/>
      <c r="B926" s="41"/>
      <c r="C926" s="41"/>
      <c r="D926" s="41"/>
      <c r="E926" s="136"/>
      <c r="F926" s="136"/>
      <c r="G926" s="136"/>
      <c r="H926" s="137"/>
      <c r="I926" s="136"/>
      <c r="J926" s="136"/>
      <c r="K926" s="136"/>
      <c r="L926" s="136"/>
      <c r="M926" s="136"/>
      <c r="N926" s="136"/>
      <c r="O926" s="142"/>
      <c r="P926" s="138"/>
      <c r="Q926" s="138"/>
      <c r="R926" s="138"/>
      <c r="S926" s="139"/>
      <c r="T926" s="140"/>
      <c r="U926" s="136"/>
      <c r="V926" s="136"/>
      <c r="W926" s="136"/>
      <c r="X926" s="136"/>
      <c r="Y926" s="41"/>
      <c r="Z926" s="41"/>
    </row>
    <row r="927">
      <c r="A927" s="41"/>
      <c r="B927" s="41"/>
      <c r="C927" s="41"/>
      <c r="D927" s="41"/>
      <c r="E927" s="136"/>
      <c r="F927" s="136"/>
      <c r="G927" s="136"/>
      <c r="H927" s="137"/>
      <c r="I927" s="136"/>
      <c r="J927" s="136"/>
      <c r="K927" s="136"/>
      <c r="L927" s="136"/>
      <c r="M927" s="136"/>
      <c r="N927" s="136"/>
      <c r="O927" s="142"/>
      <c r="P927" s="138"/>
      <c r="Q927" s="138"/>
      <c r="R927" s="138"/>
      <c r="S927" s="139"/>
      <c r="T927" s="140"/>
      <c r="U927" s="136"/>
      <c r="V927" s="136"/>
      <c r="W927" s="136"/>
      <c r="X927" s="136"/>
      <c r="Y927" s="41"/>
      <c r="Z927" s="41"/>
    </row>
    <row r="928">
      <c r="A928" s="41"/>
      <c r="B928" s="41"/>
      <c r="C928" s="41"/>
      <c r="D928" s="41"/>
      <c r="E928" s="136"/>
      <c r="F928" s="136"/>
      <c r="G928" s="136"/>
      <c r="H928" s="137"/>
      <c r="I928" s="136"/>
      <c r="J928" s="136"/>
      <c r="K928" s="136"/>
      <c r="L928" s="136"/>
      <c r="M928" s="136"/>
      <c r="N928" s="136"/>
      <c r="O928" s="142"/>
      <c r="P928" s="138"/>
      <c r="Q928" s="138"/>
      <c r="R928" s="138"/>
      <c r="S928" s="139"/>
      <c r="T928" s="140"/>
      <c r="U928" s="136"/>
      <c r="V928" s="136"/>
      <c r="W928" s="136"/>
      <c r="X928" s="136"/>
      <c r="Y928" s="41"/>
      <c r="Z928" s="41"/>
    </row>
    <row r="929">
      <c r="A929" s="41"/>
      <c r="B929" s="41"/>
      <c r="C929" s="41"/>
      <c r="D929" s="41"/>
      <c r="E929" s="136"/>
      <c r="F929" s="136"/>
      <c r="G929" s="136"/>
      <c r="H929" s="137"/>
      <c r="I929" s="136"/>
      <c r="J929" s="136"/>
      <c r="K929" s="136"/>
      <c r="L929" s="136"/>
      <c r="M929" s="136"/>
      <c r="N929" s="136"/>
      <c r="O929" s="142"/>
      <c r="P929" s="138"/>
      <c r="Q929" s="138"/>
      <c r="R929" s="138"/>
      <c r="S929" s="139"/>
      <c r="T929" s="140"/>
      <c r="U929" s="136"/>
      <c r="V929" s="136"/>
      <c r="W929" s="136"/>
      <c r="X929" s="136"/>
      <c r="Y929" s="41"/>
      <c r="Z929" s="41"/>
    </row>
    <row r="930">
      <c r="A930" s="41"/>
      <c r="B930" s="41"/>
      <c r="C930" s="41"/>
      <c r="D930" s="41"/>
      <c r="E930" s="136"/>
      <c r="F930" s="136"/>
      <c r="G930" s="136"/>
      <c r="H930" s="137"/>
      <c r="I930" s="136"/>
      <c r="J930" s="136"/>
      <c r="K930" s="136"/>
      <c r="L930" s="136"/>
      <c r="M930" s="136"/>
      <c r="N930" s="136"/>
      <c r="O930" s="142"/>
      <c r="P930" s="138"/>
      <c r="Q930" s="138"/>
      <c r="R930" s="138"/>
      <c r="S930" s="139"/>
      <c r="T930" s="140"/>
      <c r="U930" s="136"/>
      <c r="V930" s="136"/>
      <c r="W930" s="136"/>
      <c r="X930" s="136"/>
      <c r="Y930" s="41"/>
      <c r="Z930" s="41"/>
    </row>
    <row r="931">
      <c r="A931" s="41"/>
      <c r="B931" s="41"/>
      <c r="C931" s="41"/>
      <c r="D931" s="41"/>
      <c r="E931" s="136"/>
      <c r="F931" s="136"/>
      <c r="G931" s="136"/>
      <c r="H931" s="137"/>
      <c r="I931" s="136"/>
      <c r="J931" s="136"/>
      <c r="K931" s="136"/>
      <c r="L931" s="136"/>
      <c r="M931" s="136"/>
      <c r="N931" s="136"/>
      <c r="O931" s="142"/>
      <c r="P931" s="138"/>
      <c r="Q931" s="138"/>
      <c r="R931" s="138"/>
      <c r="S931" s="139"/>
      <c r="T931" s="140"/>
      <c r="U931" s="136"/>
      <c r="V931" s="136"/>
      <c r="W931" s="136"/>
      <c r="X931" s="136"/>
      <c r="Y931" s="41"/>
      <c r="Z931" s="41"/>
    </row>
    <row r="932">
      <c r="A932" s="41"/>
      <c r="B932" s="41"/>
      <c r="C932" s="41"/>
      <c r="D932" s="41"/>
      <c r="E932" s="136"/>
      <c r="F932" s="136"/>
      <c r="G932" s="136"/>
      <c r="H932" s="137"/>
      <c r="I932" s="136"/>
      <c r="J932" s="136"/>
      <c r="K932" s="136"/>
      <c r="L932" s="136"/>
      <c r="M932" s="136"/>
      <c r="N932" s="136"/>
      <c r="O932" s="142"/>
      <c r="P932" s="138"/>
      <c r="Q932" s="138"/>
      <c r="R932" s="138"/>
      <c r="S932" s="139"/>
      <c r="T932" s="140"/>
      <c r="U932" s="136"/>
      <c r="V932" s="136"/>
      <c r="W932" s="136"/>
      <c r="X932" s="136"/>
      <c r="Y932" s="41"/>
      <c r="Z932" s="41"/>
    </row>
    <row r="933">
      <c r="A933" s="41"/>
      <c r="B933" s="41"/>
      <c r="C933" s="41"/>
      <c r="D933" s="41"/>
      <c r="E933" s="136"/>
      <c r="F933" s="136"/>
      <c r="G933" s="136"/>
      <c r="H933" s="137"/>
      <c r="I933" s="136"/>
      <c r="J933" s="136"/>
      <c r="K933" s="136"/>
      <c r="L933" s="136"/>
      <c r="M933" s="136"/>
      <c r="N933" s="136"/>
      <c r="O933" s="142"/>
      <c r="P933" s="138"/>
      <c r="Q933" s="138"/>
      <c r="R933" s="138"/>
      <c r="S933" s="139"/>
      <c r="T933" s="140"/>
      <c r="U933" s="136"/>
      <c r="V933" s="136"/>
      <c r="W933" s="136"/>
      <c r="X933" s="136"/>
      <c r="Y933" s="41"/>
      <c r="Z933" s="41"/>
    </row>
    <row r="934">
      <c r="A934" s="41"/>
      <c r="B934" s="41"/>
      <c r="C934" s="41"/>
      <c r="D934" s="41"/>
      <c r="E934" s="136"/>
      <c r="F934" s="136"/>
      <c r="G934" s="136"/>
      <c r="H934" s="137"/>
      <c r="I934" s="136"/>
      <c r="J934" s="136"/>
      <c r="K934" s="136"/>
      <c r="L934" s="136"/>
      <c r="M934" s="136"/>
      <c r="N934" s="136"/>
      <c r="O934" s="142"/>
      <c r="P934" s="138"/>
      <c r="Q934" s="138"/>
      <c r="R934" s="138"/>
      <c r="S934" s="139"/>
      <c r="T934" s="140"/>
      <c r="U934" s="136"/>
      <c r="V934" s="136"/>
      <c r="W934" s="136"/>
      <c r="X934" s="136"/>
      <c r="Y934" s="41"/>
      <c r="Z934" s="41"/>
    </row>
    <row r="935">
      <c r="A935" s="41"/>
      <c r="B935" s="41"/>
      <c r="C935" s="41"/>
      <c r="D935" s="41"/>
      <c r="E935" s="136"/>
      <c r="F935" s="136"/>
      <c r="G935" s="136"/>
      <c r="H935" s="137"/>
      <c r="I935" s="136"/>
      <c r="J935" s="136"/>
      <c r="K935" s="136"/>
      <c r="L935" s="136"/>
      <c r="M935" s="136"/>
      <c r="N935" s="136"/>
      <c r="O935" s="142"/>
      <c r="P935" s="138"/>
      <c r="Q935" s="138"/>
      <c r="R935" s="138"/>
      <c r="S935" s="139"/>
      <c r="T935" s="140"/>
      <c r="U935" s="136"/>
      <c r="V935" s="136"/>
      <c r="W935" s="136"/>
      <c r="X935" s="136"/>
      <c r="Y935" s="41"/>
      <c r="Z935" s="41"/>
    </row>
    <row r="936">
      <c r="A936" s="41"/>
      <c r="B936" s="41"/>
      <c r="C936" s="41"/>
      <c r="D936" s="41"/>
      <c r="E936" s="136"/>
      <c r="F936" s="136"/>
      <c r="G936" s="136"/>
      <c r="H936" s="137"/>
      <c r="I936" s="136"/>
      <c r="J936" s="136"/>
      <c r="K936" s="136"/>
      <c r="L936" s="136"/>
      <c r="M936" s="136"/>
      <c r="N936" s="136"/>
      <c r="O936" s="142"/>
      <c r="P936" s="138"/>
      <c r="Q936" s="138"/>
      <c r="R936" s="138"/>
      <c r="S936" s="139"/>
      <c r="T936" s="140"/>
      <c r="U936" s="136"/>
      <c r="V936" s="136"/>
      <c r="W936" s="136"/>
      <c r="X936" s="136"/>
      <c r="Y936" s="41"/>
      <c r="Z936" s="41"/>
    </row>
    <row r="937">
      <c r="A937" s="41"/>
      <c r="B937" s="41"/>
      <c r="C937" s="41"/>
      <c r="D937" s="41"/>
      <c r="E937" s="136"/>
      <c r="F937" s="136"/>
      <c r="G937" s="136"/>
      <c r="H937" s="137"/>
      <c r="I937" s="136"/>
      <c r="J937" s="136"/>
      <c r="K937" s="136"/>
      <c r="L937" s="136"/>
      <c r="M937" s="136"/>
      <c r="N937" s="136"/>
      <c r="O937" s="142"/>
      <c r="P937" s="138"/>
      <c r="Q937" s="138"/>
      <c r="R937" s="138"/>
      <c r="S937" s="139"/>
      <c r="T937" s="140"/>
      <c r="U937" s="136"/>
      <c r="V937" s="136"/>
      <c r="W937" s="136"/>
      <c r="X937" s="136"/>
      <c r="Y937" s="41"/>
      <c r="Z937" s="41"/>
    </row>
    <row r="938">
      <c r="A938" s="41"/>
      <c r="B938" s="41"/>
      <c r="C938" s="41"/>
      <c r="D938" s="41"/>
      <c r="E938" s="136"/>
      <c r="F938" s="136"/>
      <c r="G938" s="136"/>
      <c r="H938" s="137"/>
      <c r="I938" s="136"/>
      <c r="J938" s="136"/>
      <c r="K938" s="136"/>
      <c r="L938" s="136"/>
      <c r="M938" s="136"/>
      <c r="N938" s="136"/>
      <c r="O938" s="142"/>
      <c r="P938" s="138"/>
      <c r="Q938" s="138"/>
      <c r="R938" s="138"/>
      <c r="S938" s="139"/>
      <c r="T938" s="140"/>
      <c r="U938" s="136"/>
      <c r="V938" s="136"/>
      <c r="W938" s="136"/>
      <c r="X938" s="136"/>
      <c r="Y938" s="41"/>
      <c r="Z938" s="41"/>
    </row>
    <row r="939">
      <c r="A939" s="41"/>
      <c r="B939" s="41"/>
      <c r="C939" s="41"/>
      <c r="D939" s="41"/>
      <c r="E939" s="136"/>
      <c r="F939" s="136"/>
      <c r="G939" s="136"/>
      <c r="H939" s="137"/>
      <c r="I939" s="136"/>
      <c r="J939" s="136"/>
      <c r="K939" s="136"/>
      <c r="L939" s="136"/>
      <c r="M939" s="136"/>
      <c r="N939" s="136"/>
      <c r="O939" s="142"/>
      <c r="P939" s="138"/>
      <c r="Q939" s="138"/>
      <c r="R939" s="138"/>
      <c r="S939" s="139"/>
      <c r="T939" s="140"/>
      <c r="U939" s="136"/>
      <c r="V939" s="136"/>
      <c r="W939" s="136"/>
      <c r="X939" s="136"/>
      <c r="Y939" s="41"/>
      <c r="Z939" s="41"/>
    </row>
    <row r="940">
      <c r="A940" s="41"/>
      <c r="B940" s="41"/>
      <c r="C940" s="41"/>
      <c r="D940" s="41"/>
      <c r="E940" s="136"/>
      <c r="F940" s="136"/>
      <c r="G940" s="136"/>
      <c r="H940" s="137"/>
      <c r="I940" s="136"/>
      <c r="J940" s="136"/>
      <c r="K940" s="136"/>
      <c r="L940" s="136"/>
      <c r="M940" s="136"/>
      <c r="N940" s="136"/>
      <c r="O940" s="142"/>
      <c r="P940" s="138"/>
      <c r="Q940" s="138"/>
      <c r="R940" s="138"/>
      <c r="S940" s="139"/>
      <c r="T940" s="140"/>
      <c r="U940" s="136"/>
      <c r="V940" s="136"/>
      <c r="W940" s="136"/>
      <c r="X940" s="136"/>
      <c r="Y940" s="41"/>
      <c r="Z940" s="41"/>
    </row>
    <row r="941">
      <c r="A941" s="41"/>
      <c r="B941" s="41"/>
      <c r="C941" s="41"/>
      <c r="D941" s="41"/>
      <c r="E941" s="136"/>
      <c r="F941" s="136"/>
      <c r="G941" s="136"/>
      <c r="H941" s="137"/>
      <c r="I941" s="136"/>
      <c r="J941" s="136"/>
      <c r="K941" s="136"/>
      <c r="L941" s="136"/>
      <c r="M941" s="136"/>
      <c r="N941" s="136"/>
      <c r="O941" s="142"/>
      <c r="P941" s="138"/>
      <c r="Q941" s="138"/>
      <c r="R941" s="138"/>
      <c r="S941" s="139"/>
      <c r="T941" s="140"/>
      <c r="U941" s="136"/>
      <c r="V941" s="136"/>
      <c r="W941" s="136"/>
      <c r="X941" s="136"/>
      <c r="Y941" s="41"/>
      <c r="Z941" s="41"/>
    </row>
    <row r="942">
      <c r="A942" s="41"/>
      <c r="B942" s="41"/>
      <c r="C942" s="41"/>
      <c r="D942" s="41"/>
      <c r="E942" s="136"/>
      <c r="F942" s="136"/>
      <c r="G942" s="136"/>
      <c r="H942" s="137"/>
      <c r="I942" s="136"/>
      <c r="J942" s="136"/>
      <c r="K942" s="136"/>
      <c r="L942" s="136"/>
      <c r="M942" s="136"/>
      <c r="N942" s="136"/>
      <c r="O942" s="142"/>
      <c r="P942" s="138"/>
      <c r="Q942" s="138"/>
      <c r="R942" s="138"/>
      <c r="S942" s="139"/>
      <c r="T942" s="140"/>
      <c r="U942" s="136"/>
      <c r="V942" s="136"/>
      <c r="W942" s="136"/>
      <c r="X942" s="136"/>
      <c r="Y942" s="41"/>
      <c r="Z942" s="41"/>
    </row>
    <row r="943">
      <c r="A943" s="41"/>
      <c r="B943" s="41"/>
      <c r="C943" s="41"/>
      <c r="D943" s="41"/>
      <c r="E943" s="136"/>
      <c r="F943" s="136"/>
      <c r="G943" s="136"/>
      <c r="H943" s="137"/>
      <c r="I943" s="136"/>
      <c r="J943" s="136"/>
      <c r="K943" s="136"/>
      <c r="L943" s="136"/>
      <c r="M943" s="136"/>
      <c r="N943" s="136"/>
      <c r="O943" s="142"/>
      <c r="P943" s="138"/>
      <c r="Q943" s="138"/>
      <c r="R943" s="138"/>
      <c r="S943" s="139"/>
      <c r="T943" s="140"/>
      <c r="U943" s="136"/>
      <c r="V943" s="136"/>
      <c r="W943" s="136"/>
      <c r="X943" s="136"/>
      <c r="Y943" s="41"/>
      <c r="Z943" s="41"/>
    </row>
    <row r="944">
      <c r="A944" s="41"/>
      <c r="B944" s="41"/>
      <c r="C944" s="41"/>
      <c r="D944" s="41"/>
      <c r="E944" s="136"/>
      <c r="F944" s="136"/>
      <c r="G944" s="136"/>
      <c r="H944" s="137"/>
      <c r="I944" s="136"/>
      <c r="J944" s="136"/>
      <c r="K944" s="136"/>
      <c r="L944" s="136"/>
      <c r="M944" s="136"/>
      <c r="N944" s="136"/>
      <c r="O944" s="142"/>
      <c r="P944" s="138"/>
      <c r="Q944" s="138"/>
      <c r="R944" s="138"/>
      <c r="S944" s="139"/>
      <c r="T944" s="140"/>
      <c r="U944" s="136"/>
      <c r="V944" s="136"/>
      <c r="W944" s="136"/>
      <c r="X944" s="136"/>
      <c r="Y944" s="41"/>
      <c r="Z944" s="41"/>
    </row>
    <row r="945">
      <c r="A945" s="41"/>
      <c r="B945" s="41"/>
      <c r="C945" s="41"/>
      <c r="D945" s="41"/>
      <c r="E945" s="136"/>
      <c r="F945" s="136"/>
      <c r="G945" s="136"/>
      <c r="H945" s="137"/>
      <c r="I945" s="136"/>
      <c r="J945" s="136"/>
      <c r="K945" s="136"/>
      <c r="L945" s="136"/>
      <c r="M945" s="136"/>
      <c r="N945" s="136"/>
      <c r="O945" s="142"/>
      <c r="P945" s="138"/>
      <c r="Q945" s="138"/>
      <c r="R945" s="138"/>
      <c r="S945" s="139"/>
      <c r="T945" s="140"/>
      <c r="U945" s="136"/>
      <c r="V945" s="136"/>
      <c r="W945" s="136"/>
      <c r="X945" s="136"/>
      <c r="Y945" s="41"/>
      <c r="Z945" s="41"/>
    </row>
    <row r="946">
      <c r="A946" s="41"/>
      <c r="B946" s="41"/>
      <c r="C946" s="41"/>
      <c r="D946" s="41"/>
      <c r="E946" s="136"/>
      <c r="F946" s="136"/>
      <c r="G946" s="136"/>
      <c r="H946" s="137"/>
      <c r="I946" s="136"/>
      <c r="J946" s="136"/>
      <c r="K946" s="136"/>
      <c r="L946" s="136"/>
      <c r="M946" s="136"/>
      <c r="N946" s="136"/>
      <c r="O946" s="142"/>
      <c r="P946" s="138"/>
      <c r="Q946" s="138"/>
      <c r="R946" s="138"/>
      <c r="S946" s="139"/>
      <c r="T946" s="140"/>
      <c r="U946" s="136"/>
      <c r="V946" s="136"/>
      <c r="W946" s="136"/>
      <c r="X946" s="136"/>
      <c r="Y946" s="41"/>
      <c r="Z946" s="41"/>
    </row>
    <row r="947">
      <c r="A947" s="41"/>
      <c r="B947" s="41"/>
      <c r="C947" s="41"/>
      <c r="D947" s="41"/>
      <c r="E947" s="136"/>
      <c r="F947" s="136"/>
      <c r="G947" s="136"/>
      <c r="H947" s="137"/>
      <c r="I947" s="136"/>
      <c r="J947" s="136"/>
      <c r="K947" s="136"/>
      <c r="L947" s="136"/>
      <c r="M947" s="136"/>
      <c r="N947" s="136"/>
      <c r="O947" s="142"/>
      <c r="P947" s="138"/>
      <c r="Q947" s="138"/>
      <c r="R947" s="138"/>
      <c r="S947" s="139"/>
      <c r="T947" s="140"/>
      <c r="U947" s="136"/>
      <c r="V947" s="136"/>
      <c r="W947" s="136"/>
      <c r="X947" s="136"/>
      <c r="Y947" s="41"/>
      <c r="Z947" s="41"/>
    </row>
    <row r="948">
      <c r="A948" s="41"/>
      <c r="B948" s="41"/>
      <c r="C948" s="41"/>
      <c r="D948" s="41"/>
      <c r="E948" s="136"/>
      <c r="F948" s="136"/>
      <c r="G948" s="136"/>
      <c r="H948" s="137"/>
      <c r="I948" s="136"/>
      <c r="J948" s="136"/>
      <c r="K948" s="136"/>
      <c r="L948" s="136"/>
      <c r="M948" s="136"/>
      <c r="N948" s="136"/>
      <c r="O948" s="142"/>
      <c r="P948" s="138"/>
      <c r="Q948" s="138"/>
      <c r="R948" s="138"/>
      <c r="S948" s="139"/>
      <c r="T948" s="140"/>
      <c r="U948" s="136"/>
      <c r="V948" s="136"/>
      <c r="W948" s="136"/>
      <c r="X948" s="136"/>
      <c r="Y948" s="41"/>
      <c r="Z948" s="41"/>
    </row>
    <row r="949">
      <c r="A949" s="41"/>
      <c r="B949" s="41"/>
      <c r="C949" s="41"/>
      <c r="D949" s="41"/>
      <c r="E949" s="136"/>
      <c r="F949" s="136"/>
      <c r="G949" s="136"/>
      <c r="H949" s="137"/>
      <c r="I949" s="136"/>
      <c r="J949" s="136"/>
      <c r="K949" s="136"/>
      <c r="L949" s="136"/>
      <c r="M949" s="136"/>
      <c r="N949" s="136"/>
      <c r="O949" s="142"/>
      <c r="P949" s="138"/>
      <c r="Q949" s="138"/>
      <c r="R949" s="138"/>
      <c r="S949" s="139"/>
      <c r="T949" s="140"/>
      <c r="U949" s="136"/>
      <c r="V949" s="136"/>
      <c r="W949" s="136"/>
      <c r="X949" s="136"/>
      <c r="Y949" s="41"/>
      <c r="Z949" s="41"/>
    </row>
    <row r="950">
      <c r="A950" s="41"/>
      <c r="B950" s="41"/>
      <c r="C950" s="41"/>
      <c r="D950" s="41"/>
      <c r="E950" s="136"/>
      <c r="F950" s="136"/>
      <c r="G950" s="136"/>
      <c r="H950" s="137"/>
      <c r="I950" s="136"/>
      <c r="J950" s="136"/>
      <c r="K950" s="136"/>
      <c r="L950" s="136"/>
      <c r="M950" s="136"/>
      <c r="N950" s="136"/>
      <c r="O950" s="142"/>
      <c r="P950" s="138"/>
      <c r="Q950" s="138"/>
      <c r="R950" s="138"/>
      <c r="S950" s="139"/>
      <c r="T950" s="140"/>
      <c r="U950" s="136"/>
      <c r="V950" s="136"/>
      <c r="W950" s="136"/>
      <c r="X950" s="136"/>
      <c r="Y950" s="41"/>
      <c r="Z950" s="41"/>
    </row>
    <row r="951">
      <c r="A951" s="41"/>
      <c r="B951" s="41"/>
      <c r="C951" s="41"/>
      <c r="D951" s="41"/>
      <c r="E951" s="136"/>
      <c r="F951" s="136"/>
      <c r="G951" s="136"/>
      <c r="H951" s="137"/>
      <c r="I951" s="136"/>
      <c r="J951" s="136"/>
      <c r="K951" s="136"/>
      <c r="L951" s="136"/>
      <c r="M951" s="136"/>
      <c r="N951" s="136"/>
      <c r="O951" s="142"/>
      <c r="P951" s="138"/>
      <c r="Q951" s="138"/>
      <c r="R951" s="138"/>
      <c r="S951" s="139"/>
      <c r="T951" s="140"/>
      <c r="U951" s="136"/>
      <c r="V951" s="136"/>
      <c r="W951" s="136"/>
      <c r="X951" s="136"/>
      <c r="Y951" s="41"/>
      <c r="Z951" s="41"/>
    </row>
    <row r="952">
      <c r="A952" s="41"/>
      <c r="B952" s="41"/>
      <c r="C952" s="41"/>
      <c r="D952" s="41"/>
      <c r="E952" s="136"/>
      <c r="F952" s="136"/>
      <c r="G952" s="136"/>
      <c r="H952" s="137"/>
      <c r="I952" s="136"/>
      <c r="J952" s="136"/>
      <c r="K952" s="136"/>
      <c r="L952" s="136"/>
      <c r="M952" s="136"/>
      <c r="N952" s="136"/>
      <c r="O952" s="142"/>
      <c r="P952" s="138"/>
      <c r="Q952" s="138"/>
      <c r="R952" s="138"/>
      <c r="S952" s="139"/>
      <c r="T952" s="140"/>
      <c r="U952" s="136"/>
      <c r="V952" s="136"/>
      <c r="W952" s="136"/>
      <c r="X952" s="136"/>
      <c r="Y952" s="41"/>
      <c r="Z952" s="41"/>
    </row>
    <row r="953">
      <c r="A953" s="41"/>
      <c r="B953" s="41"/>
      <c r="C953" s="41"/>
      <c r="D953" s="41"/>
      <c r="E953" s="136"/>
      <c r="F953" s="136"/>
      <c r="G953" s="136"/>
      <c r="H953" s="137"/>
      <c r="I953" s="136"/>
      <c r="J953" s="136"/>
      <c r="K953" s="136"/>
      <c r="L953" s="136"/>
      <c r="M953" s="136"/>
      <c r="N953" s="136"/>
      <c r="O953" s="142"/>
      <c r="P953" s="138"/>
      <c r="Q953" s="138"/>
      <c r="R953" s="138"/>
      <c r="S953" s="139"/>
      <c r="T953" s="140"/>
      <c r="U953" s="136"/>
      <c r="V953" s="136"/>
      <c r="W953" s="136"/>
      <c r="X953" s="136"/>
      <c r="Y953" s="41"/>
      <c r="Z953" s="41"/>
    </row>
    <row r="954">
      <c r="A954" s="41"/>
      <c r="B954" s="41"/>
      <c r="C954" s="41"/>
      <c r="D954" s="41"/>
      <c r="E954" s="136"/>
      <c r="F954" s="136"/>
      <c r="G954" s="136"/>
      <c r="H954" s="137"/>
      <c r="I954" s="136"/>
      <c r="J954" s="136"/>
      <c r="K954" s="136"/>
      <c r="L954" s="136"/>
      <c r="M954" s="136"/>
      <c r="N954" s="136"/>
      <c r="O954" s="142"/>
      <c r="P954" s="138"/>
      <c r="Q954" s="138"/>
      <c r="R954" s="138"/>
      <c r="S954" s="139"/>
      <c r="T954" s="140"/>
      <c r="U954" s="136"/>
      <c r="V954" s="136"/>
      <c r="W954" s="136"/>
      <c r="X954" s="136"/>
      <c r="Y954" s="41"/>
      <c r="Z954" s="41"/>
    </row>
    <row r="955">
      <c r="A955" s="41"/>
      <c r="B955" s="41"/>
      <c r="C955" s="41"/>
      <c r="D955" s="41"/>
      <c r="E955" s="136"/>
      <c r="F955" s="136"/>
      <c r="G955" s="136"/>
      <c r="H955" s="137"/>
      <c r="I955" s="136"/>
      <c r="J955" s="136"/>
      <c r="K955" s="136"/>
      <c r="L955" s="136"/>
      <c r="M955" s="136"/>
      <c r="N955" s="136"/>
      <c r="O955" s="142"/>
      <c r="P955" s="138"/>
      <c r="Q955" s="138"/>
      <c r="R955" s="138"/>
      <c r="S955" s="139"/>
      <c r="T955" s="140"/>
      <c r="U955" s="136"/>
      <c r="V955" s="136"/>
      <c r="W955" s="136"/>
      <c r="X955" s="136"/>
      <c r="Y955" s="41"/>
      <c r="Z955" s="41"/>
    </row>
    <row r="956">
      <c r="A956" s="41"/>
      <c r="B956" s="41"/>
      <c r="C956" s="41"/>
      <c r="D956" s="41"/>
      <c r="E956" s="136"/>
      <c r="F956" s="136"/>
      <c r="G956" s="136"/>
      <c r="H956" s="137"/>
      <c r="I956" s="136"/>
      <c r="J956" s="136"/>
      <c r="K956" s="136"/>
      <c r="L956" s="136"/>
      <c r="M956" s="136"/>
      <c r="N956" s="136"/>
      <c r="O956" s="142"/>
      <c r="P956" s="138"/>
      <c r="Q956" s="138"/>
      <c r="R956" s="138"/>
      <c r="S956" s="139"/>
      <c r="T956" s="140"/>
      <c r="U956" s="136"/>
      <c r="V956" s="136"/>
      <c r="W956" s="136"/>
      <c r="X956" s="136"/>
      <c r="Y956" s="41"/>
      <c r="Z956" s="41"/>
    </row>
    <row r="957">
      <c r="A957" s="41"/>
      <c r="B957" s="41"/>
      <c r="C957" s="41"/>
      <c r="D957" s="41"/>
      <c r="E957" s="136"/>
      <c r="F957" s="136"/>
      <c r="G957" s="136"/>
      <c r="H957" s="137"/>
      <c r="I957" s="136"/>
      <c r="J957" s="136"/>
      <c r="K957" s="136"/>
      <c r="L957" s="136"/>
      <c r="M957" s="136"/>
      <c r="N957" s="136"/>
      <c r="O957" s="142"/>
      <c r="P957" s="138"/>
      <c r="Q957" s="138"/>
      <c r="R957" s="138"/>
      <c r="S957" s="139"/>
      <c r="T957" s="140"/>
      <c r="U957" s="136"/>
      <c r="V957" s="136"/>
      <c r="W957" s="136"/>
      <c r="X957" s="136"/>
      <c r="Y957" s="41"/>
      <c r="Z957" s="41"/>
    </row>
    <row r="958">
      <c r="A958" s="41"/>
      <c r="B958" s="41"/>
      <c r="C958" s="41"/>
      <c r="D958" s="41"/>
      <c r="E958" s="136"/>
      <c r="F958" s="136"/>
      <c r="G958" s="136"/>
      <c r="H958" s="137"/>
      <c r="I958" s="136"/>
      <c r="J958" s="136"/>
      <c r="K958" s="136"/>
      <c r="L958" s="136"/>
      <c r="M958" s="136"/>
      <c r="N958" s="136"/>
      <c r="O958" s="142"/>
      <c r="P958" s="138"/>
      <c r="Q958" s="138"/>
      <c r="R958" s="138"/>
      <c r="S958" s="139"/>
      <c r="T958" s="140"/>
      <c r="U958" s="136"/>
      <c r="V958" s="136"/>
      <c r="W958" s="136"/>
      <c r="X958" s="136"/>
      <c r="Y958" s="41"/>
      <c r="Z958" s="41"/>
    </row>
    <row r="959">
      <c r="A959" s="41"/>
      <c r="B959" s="41"/>
      <c r="C959" s="41"/>
      <c r="D959" s="41"/>
      <c r="E959" s="136"/>
      <c r="F959" s="136"/>
      <c r="G959" s="136"/>
      <c r="H959" s="137"/>
      <c r="I959" s="136"/>
      <c r="J959" s="136"/>
      <c r="K959" s="136"/>
      <c r="L959" s="136"/>
      <c r="M959" s="136"/>
      <c r="N959" s="136"/>
      <c r="O959" s="142"/>
      <c r="P959" s="138"/>
      <c r="Q959" s="138"/>
      <c r="R959" s="138"/>
      <c r="S959" s="139"/>
      <c r="T959" s="140"/>
      <c r="U959" s="136"/>
      <c r="V959" s="136"/>
      <c r="W959" s="136"/>
      <c r="X959" s="136"/>
      <c r="Y959" s="41"/>
      <c r="Z959" s="41"/>
    </row>
    <row r="960">
      <c r="A960" s="41"/>
      <c r="B960" s="41"/>
      <c r="C960" s="41"/>
      <c r="D960" s="41"/>
      <c r="E960" s="136"/>
      <c r="F960" s="136"/>
      <c r="G960" s="136"/>
      <c r="H960" s="137"/>
      <c r="I960" s="136"/>
      <c r="J960" s="136"/>
      <c r="K960" s="136"/>
      <c r="L960" s="136"/>
      <c r="M960" s="136"/>
      <c r="N960" s="136"/>
      <c r="O960" s="142"/>
      <c r="P960" s="138"/>
      <c r="Q960" s="138"/>
      <c r="R960" s="138"/>
      <c r="S960" s="139"/>
      <c r="T960" s="140"/>
      <c r="U960" s="136"/>
      <c r="V960" s="136"/>
      <c r="W960" s="136"/>
      <c r="X960" s="136"/>
      <c r="Y960" s="41"/>
      <c r="Z960" s="41"/>
    </row>
    <row r="961">
      <c r="A961" s="41"/>
      <c r="B961" s="41"/>
      <c r="C961" s="41"/>
      <c r="D961" s="41"/>
      <c r="E961" s="136"/>
      <c r="F961" s="136"/>
      <c r="G961" s="136"/>
      <c r="H961" s="137"/>
      <c r="I961" s="136"/>
      <c r="J961" s="136"/>
      <c r="K961" s="136"/>
      <c r="L961" s="136"/>
      <c r="M961" s="136"/>
      <c r="N961" s="136"/>
      <c r="O961" s="142"/>
      <c r="P961" s="138"/>
      <c r="Q961" s="138"/>
      <c r="R961" s="138"/>
      <c r="S961" s="139"/>
      <c r="T961" s="140"/>
      <c r="U961" s="136"/>
      <c r="V961" s="136"/>
      <c r="W961" s="136"/>
      <c r="X961" s="136"/>
      <c r="Y961" s="41"/>
      <c r="Z961" s="41"/>
    </row>
    <row r="962">
      <c r="A962" s="41"/>
      <c r="B962" s="41"/>
      <c r="C962" s="41"/>
      <c r="D962" s="41"/>
      <c r="E962" s="136"/>
      <c r="F962" s="136"/>
      <c r="G962" s="136"/>
      <c r="H962" s="137"/>
      <c r="I962" s="136"/>
      <c r="J962" s="136"/>
      <c r="K962" s="136"/>
      <c r="L962" s="136"/>
      <c r="M962" s="136"/>
      <c r="N962" s="136"/>
      <c r="O962" s="142"/>
      <c r="P962" s="138"/>
      <c r="Q962" s="138"/>
      <c r="R962" s="138"/>
      <c r="S962" s="139"/>
      <c r="T962" s="140"/>
      <c r="U962" s="136"/>
      <c r="V962" s="136"/>
      <c r="W962" s="136"/>
      <c r="X962" s="136"/>
      <c r="Y962" s="41"/>
      <c r="Z962" s="41"/>
    </row>
    <row r="963">
      <c r="A963" s="41"/>
      <c r="B963" s="41"/>
      <c r="C963" s="41"/>
      <c r="D963" s="41"/>
      <c r="E963" s="136"/>
      <c r="F963" s="136"/>
      <c r="G963" s="136"/>
      <c r="H963" s="137"/>
      <c r="I963" s="136"/>
      <c r="J963" s="136"/>
      <c r="K963" s="136"/>
      <c r="L963" s="136"/>
      <c r="M963" s="136"/>
      <c r="N963" s="136"/>
      <c r="O963" s="142"/>
      <c r="P963" s="138"/>
      <c r="Q963" s="138"/>
      <c r="R963" s="138"/>
      <c r="S963" s="139"/>
      <c r="T963" s="140"/>
      <c r="U963" s="136"/>
      <c r="V963" s="136"/>
      <c r="W963" s="136"/>
      <c r="X963" s="136"/>
      <c r="Y963" s="41"/>
      <c r="Z963" s="41"/>
    </row>
    <row r="964">
      <c r="A964" s="41"/>
      <c r="B964" s="41"/>
      <c r="C964" s="41"/>
      <c r="D964" s="41"/>
      <c r="E964" s="136"/>
      <c r="F964" s="136"/>
      <c r="G964" s="136"/>
      <c r="H964" s="137"/>
      <c r="I964" s="136"/>
      <c r="J964" s="136"/>
      <c r="K964" s="136"/>
      <c r="L964" s="136"/>
      <c r="M964" s="136"/>
      <c r="N964" s="136"/>
      <c r="O964" s="142"/>
      <c r="P964" s="138"/>
      <c r="Q964" s="138"/>
      <c r="R964" s="138"/>
      <c r="S964" s="139"/>
      <c r="T964" s="140"/>
      <c r="U964" s="136"/>
      <c r="V964" s="136"/>
      <c r="W964" s="136"/>
      <c r="X964" s="136"/>
      <c r="Y964" s="41"/>
      <c r="Z964" s="41"/>
    </row>
    <row r="965">
      <c r="A965" s="41"/>
      <c r="B965" s="41"/>
      <c r="C965" s="41"/>
      <c r="D965" s="41"/>
      <c r="E965" s="136"/>
      <c r="F965" s="136"/>
      <c r="G965" s="136"/>
      <c r="H965" s="137"/>
      <c r="I965" s="136"/>
      <c r="J965" s="136"/>
      <c r="K965" s="136"/>
      <c r="L965" s="136"/>
      <c r="M965" s="136"/>
      <c r="N965" s="136"/>
      <c r="O965" s="142"/>
      <c r="P965" s="138"/>
      <c r="Q965" s="138"/>
      <c r="R965" s="138"/>
      <c r="S965" s="139"/>
      <c r="T965" s="140"/>
      <c r="U965" s="136"/>
      <c r="V965" s="136"/>
      <c r="W965" s="136"/>
      <c r="X965" s="136"/>
      <c r="Y965" s="41"/>
      <c r="Z965" s="41"/>
    </row>
    <row r="966">
      <c r="A966" s="41"/>
      <c r="B966" s="41"/>
      <c r="C966" s="41"/>
      <c r="D966" s="41"/>
      <c r="E966" s="136"/>
      <c r="F966" s="136"/>
      <c r="G966" s="136"/>
      <c r="H966" s="137"/>
      <c r="I966" s="136"/>
      <c r="J966" s="136"/>
      <c r="K966" s="136"/>
      <c r="L966" s="136"/>
      <c r="M966" s="136"/>
      <c r="N966" s="136"/>
      <c r="O966" s="142"/>
      <c r="P966" s="138"/>
      <c r="Q966" s="138"/>
      <c r="R966" s="138"/>
      <c r="S966" s="139"/>
      <c r="T966" s="140"/>
      <c r="U966" s="136"/>
      <c r="V966" s="136"/>
      <c r="W966" s="136"/>
      <c r="X966" s="136"/>
      <c r="Y966" s="41"/>
      <c r="Z966" s="41"/>
    </row>
    <row r="967">
      <c r="A967" s="41"/>
      <c r="B967" s="41"/>
      <c r="C967" s="41"/>
      <c r="D967" s="41"/>
      <c r="E967" s="136"/>
      <c r="F967" s="136"/>
      <c r="G967" s="136"/>
      <c r="H967" s="137"/>
      <c r="I967" s="136"/>
      <c r="J967" s="136"/>
      <c r="K967" s="136"/>
      <c r="L967" s="136"/>
      <c r="M967" s="136"/>
      <c r="N967" s="136"/>
      <c r="O967" s="142"/>
      <c r="P967" s="138"/>
      <c r="Q967" s="138"/>
      <c r="R967" s="138"/>
      <c r="S967" s="139"/>
      <c r="T967" s="140"/>
      <c r="U967" s="136"/>
      <c r="V967" s="136"/>
      <c r="W967" s="136"/>
      <c r="X967" s="136"/>
      <c r="Y967" s="41"/>
      <c r="Z967" s="41"/>
    </row>
    <row r="968">
      <c r="A968" s="41"/>
      <c r="B968" s="41"/>
      <c r="C968" s="41"/>
      <c r="D968" s="41"/>
      <c r="E968" s="136"/>
      <c r="F968" s="136"/>
      <c r="G968" s="136"/>
      <c r="H968" s="137"/>
      <c r="I968" s="136"/>
      <c r="J968" s="136"/>
      <c r="K968" s="136"/>
      <c r="L968" s="136"/>
      <c r="M968" s="136"/>
      <c r="N968" s="136"/>
      <c r="O968" s="142"/>
      <c r="P968" s="138"/>
      <c r="Q968" s="138"/>
      <c r="R968" s="138"/>
      <c r="S968" s="139"/>
      <c r="T968" s="140"/>
      <c r="U968" s="136"/>
      <c r="V968" s="136"/>
      <c r="W968" s="136"/>
      <c r="X968" s="136"/>
      <c r="Y968" s="41"/>
      <c r="Z968" s="41"/>
    </row>
    <row r="969">
      <c r="A969" s="41"/>
      <c r="B969" s="41"/>
      <c r="C969" s="41"/>
      <c r="D969" s="41"/>
      <c r="E969" s="136"/>
      <c r="F969" s="136"/>
      <c r="G969" s="136"/>
      <c r="H969" s="137"/>
      <c r="I969" s="136"/>
      <c r="J969" s="136"/>
      <c r="K969" s="136"/>
      <c r="L969" s="136"/>
      <c r="M969" s="136"/>
      <c r="N969" s="136"/>
      <c r="O969" s="142"/>
      <c r="P969" s="138"/>
      <c r="Q969" s="138"/>
      <c r="R969" s="138"/>
      <c r="S969" s="139"/>
      <c r="T969" s="140"/>
      <c r="U969" s="136"/>
      <c r="V969" s="136"/>
      <c r="W969" s="136"/>
      <c r="X969" s="136"/>
      <c r="Y969" s="41"/>
      <c r="Z969" s="41"/>
    </row>
    <row r="970">
      <c r="A970" s="41"/>
      <c r="B970" s="41"/>
      <c r="C970" s="41"/>
      <c r="D970" s="41"/>
      <c r="E970" s="136"/>
      <c r="F970" s="136"/>
      <c r="G970" s="136"/>
      <c r="H970" s="137"/>
      <c r="I970" s="136"/>
      <c r="J970" s="136"/>
      <c r="K970" s="136"/>
      <c r="L970" s="136"/>
      <c r="M970" s="136"/>
      <c r="N970" s="136"/>
      <c r="O970" s="142"/>
      <c r="P970" s="138"/>
      <c r="Q970" s="138"/>
      <c r="R970" s="138"/>
      <c r="S970" s="139"/>
      <c r="T970" s="140"/>
      <c r="U970" s="136"/>
      <c r="V970" s="136"/>
      <c r="W970" s="136"/>
      <c r="X970" s="136"/>
      <c r="Y970" s="41"/>
      <c r="Z970" s="41"/>
    </row>
    <row r="971">
      <c r="A971" s="41"/>
      <c r="B971" s="41"/>
      <c r="C971" s="41"/>
      <c r="D971" s="41"/>
      <c r="E971" s="136"/>
      <c r="F971" s="136"/>
      <c r="G971" s="136"/>
      <c r="H971" s="137"/>
      <c r="I971" s="136"/>
      <c r="J971" s="136"/>
      <c r="K971" s="136"/>
      <c r="L971" s="136"/>
      <c r="M971" s="136"/>
      <c r="N971" s="136"/>
      <c r="O971" s="142"/>
      <c r="P971" s="138"/>
      <c r="Q971" s="138"/>
      <c r="R971" s="138"/>
      <c r="S971" s="139"/>
      <c r="T971" s="140"/>
      <c r="U971" s="136"/>
      <c r="V971" s="136"/>
      <c r="W971" s="136"/>
      <c r="X971" s="136"/>
      <c r="Y971" s="41"/>
      <c r="Z971" s="41"/>
    </row>
    <row r="972">
      <c r="A972" s="41"/>
      <c r="B972" s="41"/>
      <c r="C972" s="41"/>
      <c r="D972" s="41"/>
      <c r="E972" s="136"/>
      <c r="F972" s="136"/>
      <c r="G972" s="136"/>
      <c r="H972" s="137"/>
      <c r="I972" s="136"/>
      <c r="J972" s="136"/>
      <c r="K972" s="136"/>
      <c r="L972" s="136"/>
      <c r="M972" s="136"/>
      <c r="N972" s="136"/>
      <c r="O972" s="142"/>
      <c r="P972" s="138"/>
      <c r="Q972" s="138"/>
      <c r="R972" s="138"/>
      <c r="S972" s="139"/>
      <c r="T972" s="140"/>
      <c r="U972" s="136"/>
      <c r="V972" s="136"/>
      <c r="W972" s="136"/>
      <c r="X972" s="136"/>
      <c r="Y972" s="41"/>
      <c r="Z972" s="41"/>
    </row>
    <row r="973">
      <c r="A973" s="41"/>
      <c r="B973" s="41"/>
      <c r="C973" s="41"/>
      <c r="D973" s="41"/>
      <c r="E973" s="136"/>
      <c r="F973" s="136"/>
      <c r="G973" s="136"/>
      <c r="H973" s="137"/>
      <c r="I973" s="136"/>
      <c r="J973" s="136"/>
      <c r="K973" s="136"/>
      <c r="L973" s="136"/>
      <c r="M973" s="136"/>
      <c r="N973" s="136"/>
      <c r="O973" s="142"/>
      <c r="P973" s="138"/>
      <c r="Q973" s="138"/>
      <c r="R973" s="138"/>
      <c r="S973" s="139"/>
      <c r="T973" s="140"/>
      <c r="U973" s="136"/>
      <c r="V973" s="136"/>
      <c r="W973" s="136"/>
      <c r="X973" s="136"/>
      <c r="Y973" s="41"/>
      <c r="Z973" s="41"/>
    </row>
    <row r="974">
      <c r="A974" s="41"/>
      <c r="B974" s="41"/>
      <c r="C974" s="41"/>
      <c r="D974" s="41"/>
      <c r="E974" s="136"/>
      <c r="F974" s="136"/>
      <c r="G974" s="136"/>
      <c r="H974" s="137"/>
      <c r="I974" s="136"/>
      <c r="J974" s="136"/>
      <c r="K974" s="136"/>
      <c r="L974" s="136"/>
      <c r="M974" s="136"/>
      <c r="N974" s="136"/>
      <c r="O974" s="142"/>
      <c r="P974" s="138"/>
      <c r="Q974" s="138"/>
      <c r="R974" s="138"/>
      <c r="S974" s="139"/>
      <c r="T974" s="140"/>
      <c r="U974" s="136"/>
      <c r="V974" s="136"/>
      <c r="W974" s="136"/>
      <c r="X974" s="136"/>
      <c r="Y974" s="41"/>
      <c r="Z974" s="41"/>
    </row>
    <row r="975">
      <c r="A975" s="41"/>
      <c r="B975" s="41"/>
      <c r="C975" s="41"/>
      <c r="D975" s="41"/>
      <c r="E975" s="136"/>
      <c r="F975" s="136"/>
      <c r="G975" s="136"/>
      <c r="H975" s="137"/>
      <c r="I975" s="136"/>
      <c r="J975" s="136"/>
      <c r="K975" s="136"/>
      <c r="L975" s="136"/>
      <c r="M975" s="136"/>
      <c r="N975" s="136"/>
      <c r="O975" s="142"/>
      <c r="P975" s="138"/>
      <c r="Q975" s="138"/>
      <c r="R975" s="138"/>
      <c r="S975" s="139"/>
      <c r="T975" s="140"/>
      <c r="U975" s="136"/>
      <c r="V975" s="136"/>
      <c r="W975" s="136"/>
      <c r="X975" s="136"/>
      <c r="Y975" s="41"/>
      <c r="Z975" s="41"/>
    </row>
    <row r="976">
      <c r="A976" s="41"/>
      <c r="B976" s="41"/>
      <c r="C976" s="41"/>
      <c r="D976" s="41"/>
      <c r="E976" s="136"/>
      <c r="F976" s="136"/>
      <c r="G976" s="136"/>
      <c r="H976" s="137"/>
      <c r="I976" s="136"/>
      <c r="J976" s="136"/>
      <c r="K976" s="136"/>
      <c r="L976" s="136"/>
      <c r="M976" s="136"/>
      <c r="N976" s="136"/>
      <c r="O976" s="142"/>
      <c r="P976" s="138"/>
      <c r="Q976" s="138"/>
      <c r="R976" s="138"/>
      <c r="S976" s="139"/>
      <c r="T976" s="140"/>
      <c r="U976" s="136"/>
      <c r="V976" s="136"/>
      <c r="W976" s="136"/>
      <c r="X976" s="136"/>
      <c r="Y976" s="41"/>
      <c r="Z976" s="41"/>
    </row>
    <row r="977">
      <c r="A977" s="41"/>
      <c r="B977" s="41"/>
      <c r="C977" s="41"/>
      <c r="D977" s="41"/>
      <c r="E977" s="136"/>
      <c r="F977" s="136"/>
      <c r="G977" s="136"/>
      <c r="H977" s="137"/>
      <c r="I977" s="136"/>
      <c r="J977" s="136"/>
      <c r="K977" s="136"/>
      <c r="L977" s="136"/>
      <c r="M977" s="136"/>
      <c r="N977" s="136"/>
      <c r="O977" s="142"/>
      <c r="P977" s="138"/>
      <c r="Q977" s="138"/>
      <c r="R977" s="138"/>
      <c r="S977" s="139"/>
      <c r="T977" s="140"/>
      <c r="U977" s="136"/>
      <c r="V977" s="136"/>
      <c r="W977" s="136"/>
      <c r="X977" s="136"/>
      <c r="Y977" s="41"/>
      <c r="Z977" s="41"/>
    </row>
    <row r="978">
      <c r="A978" s="41"/>
      <c r="B978" s="41"/>
      <c r="C978" s="41"/>
      <c r="D978" s="41"/>
      <c r="E978" s="136"/>
      <c r="F978" s="136"/>
      <c r="G978" s="136"/>
      <c r="H978" s="137"/>
      <c r="I978" s="136"/>
      <c r="J978" s="136"/>
      <c r="K978" s="136"/>
      <c r="L978" s="136"/>
      <c r="M978" s="136"/>
      <c r="N978" s="136"/>
      <c r="O978" s="142"/>
      <c r="P978" s="138"/>
      <c r="Q978" s="138"/>
      <c r="R978" s="138"/>
      <c r="S978" s="139"/>
      <c r="T978" s="140"/>
      <c r="U978" s="136"/>
      <c r="V978" s="136"/>
      <c r="W978" s="136"/>
      <c r="X978" s="136"/>
      <c r="Y978" s="41"/>
      <c r="Z978" s="41"/>
    </row>
    <row r="979">
      <c r="A979" s="41"/>
      <c r="B979" s="41"/>
      <c r="C979" s="41"/>
      <c r="D979" s="41"/>
      <c r="E979" s="136"/>
      <c r="F979" s="136"/>
      <c r="G979" s="136"/>
      <c r="H979" s="137"/>
      <c r="I979" s="136"/>
      <c r="J979" s="136"/>
      <c r="K979" s="136"/>
      <c r="L979" s="136"/>
      <c r="M979" s="136"/>
      <c r="N979" s="136"/>
      <c r="O979" s="142"/>
      <c r="P979" s="138"/>
      <c r="Q979" s="138"/>
      <c r="R979" s="138"/>
      <c r="S979" s="139"/>
      <c r="T979" s="140"/>
      <c r="U979" s="136"/>
      <c r="V979" s="136"/>
      <c r="W979" s="136"/>
      <c r="X979" s="136"/>
      <c r="Y979" s="41"/>
      <c r="Z979" s="41"/>
    </row>
    <row r="980">
      <c r="A980" s="41"/>
      <c r="B980" s="41"/>
      <c r="C980" s="41"/>
      <c r="D980" s="41"/>
      <c r="E980" s="136"/>
      <c r="F980" s="136"/>
      <c r="G980" s="136"/>
      <c r="H980" s="137"/>
      <c r="I980" s="136"/>
      <c r="J980" s="136"/>
      <c r="K980" s="136"/>
      <c r="L980" s="136"/>
      <c r="M980" s="136"/>
      <c r="N980" s="136"/>
      <c r="O980" s="142"/>
      <c r="P980" s="138"/>
      <c r="Q980" s="138"/>
      <c r="R980" s="138"/>
      <c r="S980" s="139"/>
      <c r="T980" s="140"/>
      <c r="U980" s="136"/>
      <c r="V980" s="136"/>
      <c r="W980" s="136"/>
      <c r="X980" s="136"/>
      <c r="Y980" s="41"/>
      <c r="Z980" s="41"/>
    </row>
    <row r="981">
      <c r="A981" s="41"/>
      <c r="B981" s="41"/>
      <c r="C981" s="41"/>
      <c r="D981" s="41"/>
      <c r="E981" s="136"/>
      <c r="F981" s="136"/>
      <c r="G981" s="136"/>
      <c r="H981" s="137"/>
      <c r="I981" s="136"/>
      <c r="J981" s="136"/>
      <c r="K981" s="136"/>
      <c r="L981" s="136"/>
      <c r="M981" s="136"/>
      <c r="N981" s="136"/>
      <c r="O981" s="142"/>
      <c r="P981" s="138"/>
      <c r="Q981" s="138"/>
      <c r="R981" s="138"/>
      <c r="S981" s="139"/>
      <c r="T981" s="140"/>
      <c r="U981" s="136"/>
      <c r="V981" s="136"/>
      <c r="W981" s="136"/>
      <c r="X981" s="136"/>
      <c r="Y981" s="41"/>
      <c r="Z981" s="41"/>
    </row>
    <row r="982">
      <c r="A982" s="41"/>
      <c r="B982" s="41"/>
      <c r="C982" s="41"/>
      <c r="D982" s="41"/>
      <c r="E982" s="136"/>
      <c r="F982" s="136"/>
      <c r="G982" s="136"/>
      <c r="H982" s="137"/>
      <c r="I982" s="136"/>
      <c r="J982" s="136"/>
      <c r="K982" s="136"/>
      <c r="L982" s="136"/>
      <c r="M982" s="136"/>
      <c r="N982" s="136"/>
      <c r="O982" s="142"/>
      <c r="P982" s="138"/>
      <c r="Q982" s="138"/>
      <c r="R982" s="138"/>
      <c r="S982" s="139"/>
      <c r="T982" s="140"/>
      <c r="U982" s="136"/>
      <c r="V982" s="136"/>
      <c r="W982" s="136"/>
      <c r="X982" s="136"/>
      <c r="Y982" s="41"/>
      <c r="Z982" s="41"/>
    </row>
    <row r="983">
      <c r="A983" s="41"/>
      <c r="B983" s="41"/>
      <c r="C983" s="41"/>
      <c r="D983" s="41"/>
      <c r="E983" s="136"/>
      <c r="F983" s="136"/>
      <c r="G983" s="136"/>
      <c r="H983" s="137"/>
      <c r="I983" s="136"/>
      <c r="J983" s="136"/>
      <c r="K983" s="136"/>
      <c r="L983" s="136"/>
      <c r="M983" s="136"/>
      <c r="N983" s="136"/>
      <c r="O983" s="142"/>
      <c r="P983" s="138"/>
      <c r="Q983" s="138"/>
      <c r="R983" s="138"/>
      <c r="S983" s="139"/>
      <c r="T983" s="140"/>
      <c r="U983" s="136"/>
      <c r="V983" s="136"/>
      <c r="W983" s="136"/>
      <c r="X983" s="136"/>
      <c r="Y983" s="41"/>
      <c r="Z983" s="41"/>
    </row>
    <row r="984">
      <c r="A984" s="41"/>
      <c r="B984" s="41"/>
      <c r="C984" s="41"/>
      <c r="D984" s="41"/>
      <c r="E984" s="136"/>
      <c r="F984" s="136"/>
      <c r="G984" s="136"/>
      <c r="H984" s="137"/>
      <c r="I984" s="136"/>
      <c r="J984" s="136"/>
      <c r="K984" s="136"/>
      <c r="L984" s="136"/>
      <c r="M984" s="136"/>
      <c r="N984" s="136"/>
      <c r="O984" s="142"/>
      <c r="P984" s="138"/>
      <c r="Q984" s="138"/>
      <c r="R984" s="138"/>
      <c r="S984" s="139"/>
      <c r="T984" s="140"/>
      <c r="U984" s="136"/>
      <c r="V984" s="136"/>
      <c r="W984" s="136"/>
      <c r="X984" s="136"/>
      <c r="Y984" s="41"/>
      <c r="Z984" s="41"/>
    </row>
    <row r="985">
      <c r="A985" s="41"/>
      <c r="B985" s="41"/>
      <c r="C985" s="41"/>
      <c r="D985" s="41"/>
      <c r="E985" s="136"/>
      <c r="F985" s="136"/>
      <c r="G985" s="136"/>
      <c r="H985" s="137"/>
      <c r="I985" s="136"/>
      <c r="J985" s="136"/>
      <c r="K985" s="136"/>
      <c r="L985" s="136"/>
      <c r="M985" s="136"/>
      <c r="N985" s="136"/>
      <c r="O985" s="142"/>
      <c r="P985" s="138"/>
      <c r="Q985" s="138"/>
      <c r="R985" s="138"/>
      <c r="S985" s="139"/>
      <c r="T985" s="140"/>
      <c r="U985" s="136"/>
      <c r="V985" s="136"/>
      <c r="W985" s="136"/>
      <c r="X985" s="136"/>
      <c r="Y985" s="41"/>
      <c r="Z985" s="41"/>
    </row>
    <row r="986">
      <c r="A986" s="41"/>
      <c r="B986" s="41"/>
      <c r="C986" s="41"/>
      <c r="D986" s="41"/>
      <c r="E986" s="136"/>
      <c r="F986" s="136"/>
      <c r="G986" s="136"/>
      <c r="H986" s="137"/>
      <c r="I986" s="136"/>
      <c r="J986" s="136"/>
      <c r="K986" s="136"/>
      <c r="L986" s="136"/>
      <c r="M986" s="136"/>
      <c r="N986" s="136"/>
      <c r="O986" s="142"/>
      <c r="P986" s="138"/>
      <c r="Q986" s="138"/>
      <c r="R986" s="138"/>
      <c r="S986" s="139"/>
      <c r="T986" s="140"/>
      <c r="U986" s="136"/>
      <c r="V986" s="136"/>
      <c r="W986" s="136"/>
      <c r="X986" s="136"/>
      <c r="Y986" s="41"/>
      <c r="Z986" s="41"/>
    </row>
    <row r="987">
      <c r="A987" s="41"/>
      <c r="B987" s="41"/>
      <c r="C987" s="41"/>
      <c r="D987" s="41"/>
      <c r="E987" s="136"/>
      <c r="F987" s="136"/>
      <c r="G987" s="136"/>
      <c r="H987" s="137"/>
      <c r="I987" s="136"/>
      <c r="J987" s="136"/>
      <c r="K987" s="136"/>
      <c r="L987" s="136"/>
      <c r="M987" s="136"/>
      <c r="N987" s="136"/>
      <c r="O987" s="142"/>
      <c r="P987" s="138"/>
      <c r="Q987" s="138"/>
      <c r="R987" s="138"/>
      <c r="S987" s="139"/>
      <c r="T987" s="140"/>
      <c r="U987" s="136"/>
      <c r="V987" s="136"/>
      <c r="W987" s="136"/>
      <c r="X987" s="136"/>
      <c r="Y987" s="41"/>
      <c r="Z987" s="41"/>
    </row>
    <row r="988">
      <c r="A988" s="41"/>
      <c r="B988" s="41"/>
      <c r="C988" s="41"/>
      <c r="D988" s="41"/>
      <c r="E988" s="136"/>
      <c r="F988" s="136"/>
      <c r="G988" s="136"/>
      <c r="H988" s="137"/>
      <c r="I988" s="136"/>
      <c r="J988" s="136"/>
      <c r="K988" s="136"/>
      <c r="L988" s="136"/>
      <c r="M988" s="136"/>
      <c r="N988" s="136"/>
      <c r="O988" s="142"/>
      <c r="P988" s="138"/>
      <c r="Q988" s="138"/>
      <c r="R988" s="138"/>
      <c r="S988" s="139"/>
      <c r="T988" s="140"/>
      <c r="U988" s="136"/>
      <c r="V988" s="136"/>
      <c r="W988" s="136"/>
      <c r="X988" s="136"/>
      <c r="Y988" s="41"/>
      <c r="Z988" s="41"/>
    </row>
    <row r="989">
      <c r="A989" s="41"/>
      <c r="B989" s="41"/>
      <c r="C989" s="41"/>
      <c r="D989" s="41"/>
      <c r="E989" s="136"/>
      <c r="F989" s="136"/>
      <c r="G989" s="136"/>
      <c r="H989" s="137"/>
      <c r="I989" s="136"/>
      <c r="J989" s="136"/>
      <c r="K989" s="136"/>
      <c r="L989" s="136"/>
      <c r="M989" s="136"/>
      <c r="N989" s="136"/>
      <c r="O989" s="142"/>
      <c r="P989" s="138"/>
      <c r="Q989" s="138"/>
      <c r="R989" s="138"/>
      <c r="S989" s="139"/>
      <c r="T989" s="140"/>
      <c r="U989" s="136"/>
      <c r="V989" s="136"/>
      <c r="W989" s="136"/>
      <c r="X989" s="136"/>
      <c r="Y989" s="41"/>
      <c r="Z989" s="41"/>
    </row>
    <row r="990">
      <c r="A990" s="41"/>
      <c r="B990" s="41"/>
      <c r="C990" s="41"/>
      <c r="D990" s="41"/>
      <c r="E990" s="136"/>
      <c r="F990" s="136"/>
      <c r="G990" s="136"/>
      <c r="H990" s="137"/>
      <c r="I990" s="136"/>
      <c r="J990" s="136"/>
      <c r="K990" s="136"/>
      <c r="L990" s="136"/>
      <c r="M990" s="136"/>
      <c r="N990" s="136"/>
      <c r="O990" s="142"/>
      <c r="P990" s="138"/>
      <c r="Q990" s="138"/>
      <c r="R990" s="138"/>
      <c r="S990" s="139"/>
      <c r="T990" s="140"/>
      <c r="U990" s="136"/>
      <c r="V990" s="136"/>
      <c r="W990" s="136"/>
      <c r="X990" s="136"/>
      <c r="Y990" s="41"/>
      <c r="Z990" s="41"/>
    </row>
    <row r="991">
      <c r="A991" s="41"/>
      <c r="B991" s="41"/>
      <c r="C991" s="41"/>
      <c r="D991" s="41"/>
      <c r="E991" s="136"/>
      <c r="F991" s="136"/>
      <c r="G991" s="136"/>
      <c r="H991" s="137"/>
      <c r="I991" s="136"/>
      <c r="J991" s="136"/>
      <c r="K991" s="136"/>
      <c r="L991" s="136"/>
      <c r="M991" s="136"/>
      <c r="N991" s="136"/>
      <c r="O991" s="142"/>
      <c r="P991" s="138"/>
      <c r="Q991" s="138"/>
      <c r="R991" s="138"/>
      <c r="S991" s="139"/>
      <c r="T991" s="140"/>
      <c r="U991" s="136"/>
      <c r="V991" s="136"/>
      <c r="W991" s="136"/>
      <c r="X991" s="136"/>
      <c r="Y991" s="41"/>
      <c r="Z991" s="41"/>
    </row>
    <row r="992">
      <c r="A992" s="41"/>
      <c r="B992" s="41"/>
      <c r="C992" s="41"/>
      <c r="D992" s="41"/>
      <c r="E992" s="136"/>
      <c r="F992" s="136"/>
      <c r="G992" s="136"/>
      <c r="H992" s="137"/>
      <c r="I992" s="136"/>
      <c r="J992" s="136"/>
      <c r="K992" s="136"/>
      <c r="L992" s="136"/>
      <c r="M992" s="136"/>
      <c r="N992" s="136"/>
      <c r="O992" s="142"/>
      <c r="P992" s="138"/>
      <c r="Q992" s="138"/>
      <c r="R992" s="138"/>
      <c r="S992" s="139"/>
      <c r="T992" s="140"/>
      <c r="U992" s="136"/>
      <c r="V992" s="136"/>
      <c r="W992" s="136"/>
      <c r="X992" s="136"/>
      <c r="Y992" s="41"/>
      <c r="Z992" s="41"/>
    </row>
    <row r="993">
      <c r="A993" s="41"/>
      <c r="B993" s="41"/>
      <c r="C993" s="41"/>
      <c r="D993" s="41"/>
      <c r="E993" s="136"/>
      <c r="F993" s="136"/>
      <c r="G993" s="136"/>
      <c r="H993" s="137"/>
      <c r="I993" s="136"/>
      <c r="J993" s="136"/>
      <c r="K993" s="136"/>
      <c r="L993" s="136"/>
      <c r="M993" s="136"/>
      <c r="N993" s="136"/>
      <c r="O993" s="142"/>
      <c r="P993" s="138"/>
      <c r="Q993" s="138"/>
      <c r="R993" s="138"/>
      <c r="S993" s="139"/>
      <c r="T993" s="140"/>
      <c r="U993" s="136"/>
      <c r="V993" s="136"/>
      <c r="W993" s="136"/>
      <c r="X993" s="136"/>
      <c r="Y993" s="41"/>
      <c r="Z993" s="41"/>
    </row>
    <row r="994">
      <c r="A994" s="41"/>
      <c r="B994" s="41"/>
      <c r="C994" s="41"/>
      <c r="D994" s="41"/>
      <c r="E994" s="136"/>
      <c r="F994" s="136"/>
      <c r="G994" s="136"/>
      <c r="H994" s="137"/>
      <c r="I994" s="136"/>
      <c r="J994" s="136"/>
      <c r="K994" s="136"/>
      <c r="L994" s="136"/>
      <c r="M994" s="136"/>
      <c r="N994" s="136"/>
      <c r="O994" s="142"/>
      <c r="P994" s="138"/>
      <c r="Q994" s="138"/>
      <c r="R994" s="138"/>
      <c r="S994" s="139"/>
      <c r="T994" s="140"/>
      <c r="U994" s="136"/>
      <c r="V994" s="136"/>
      <c r="W994" s="136"/>
      <c r="X994" s="136"/>
      <c r="Y994" s="41"/>
      <c r="Z994" s="41"/>
    </row>
    <row r="995">
      <c r="A995" s="41"/>
      <c r="B995" s="41"/>
      <c r="C995" s="41"/>
      <c r="D995" s="41"/>
      <c r="E995" s="136"/>
      <c r="F995" s="136"/>
      <c r="G995" s="136"/>
      <c r="H995" s="137"/>
      <c r="I995" s="136"/>
      <c r="J995" s="136"/>
      <c r="K995" s="136"/>
      <c r="L995" s="136"/>
      <c r="M995" s="136"/>
      <c r="N995" s="136"/>
      <c r="O995" s="142"/>
      <c r="P995" s="138"/>
      <c r="Q995" s="138"/>
      <c r="R995" s="138"/>
      <c r="S995" s="139"/>
      <c r="T995" s="140"/>
      <c r="U995" s="136"/>
      <c r="V995" s="136"/>
      <c r="W995" s="136"/>
      <c r="X995" s="136"/>
      <c r="Y995" s="41"/>
      <c r="Z995" s="41"/>
    </row>
    <row r="996">
      <c r="A996" s="41"/>
      <c r="B996" s="41"/>
      <c r="C996" s="41"/>
      <c r="D996" s="41"/>
      <c r="E996" s="136"/>
      <c r="F996" s="136"/>
      <c r="G996" s="136"/>
      <c r="H996" s="137"/>
      <c r="I996" s="136"/>
      <c r="J996" s="136"/>
      <c r="K996" s="136"/>
      <c r="L996" s="136"/>
      <c r="M996" s="136"/>
      <c r="N996" s="136"/>
      <c r="O996" s="142"/>
      <c r="P996" s="138"/>
      <c r="Q996" s="138"/>
      <c r="R996" s="138"/>
      <c r="S996" s="139"/>
      <c r="T996" s="140"/>
      <c r="U996" s="136"/>
      <c r="V996" s="136"/>
      <c r="W996" s="136"/>
      <c r="X996" s="136"/>
      <c r="Y996" s="41"/>
      <c r="Z996" s="41"/>
    </row>
    <row r="997">
      <c r="A997" s="41"/>
      <c r="B997" s="41"/>
      <c r="C997" s="41"/>
      <c r="D997" s="41"/>
      <c r="E997" s="136"/>
      <c r="F997" s="136"/>
      <c r="G997" s="136"/>
      <c r="H997" s="137"/>
      <c r="I997" s="136"/>
      <c r="J997" s="136"/>
      <c r="K997" s="136"/>
      <c r="L997" s="136"/>
      <c r="M997" s="136"/>
      <c r="N997" s="136"/>
      <c r="O997" s="142"/>
      <c r="P997" s="138"/>
      <c r="Q997" s="138"/>
      <c r="R997" s="138"/>
      <c r="S997" s="139"/>
      <c r="T997" s="140"/>
      <c r="U997" s="136"/>
      <c r="V997" s="136"/>
      <c r="W997" s="136"/>
      <c r="X997" s="136"/>
      <c r="Y997" s="41"/>
      <c r="Z997" s="41"/>
    </row>
    <row r="998">
      <c r="A998" s="41"/>
      <c r="B998" s="41"/>
      <c r="C998" s="41"/>
      <c r="D998" s="41"/>
      <c r="E998" s="136"/>
      <c r="F998" s="136"/>
      <c r="G998" s="136"/>
      <c r="H998" s="137"/>
      <c r="I998" s="136"/>
      <c r="J998" s="136"/>
      <c r="K998" s="136"/>
      <c r="L998" s="136"/>
      <c r="M998" s="136"/>
      <c r="N998" s="136"/>
      <c r="O998" s="142"/>
      <c r="P998" s="138"/>
      <c r="Q998" s="138"/>
      <c r="R998" s="138"/>
      <c r="S998" s="139"/>
      <c r="T998" s="140"/>
      <c r="U998" s="136"/>
      <c r="V998" s="136"/>
      <c r="W998" s="136"/>
      <c r="X998" s="136"/>
      <c r="Y998" s="41"/>
      <c r="Z998" s="41"/>
    </row>
    <row r="999">
      <c r="A999" s="41"/>
      <c r="B999" s="41"/>
      <c r="C999" s="41"/>
      <c r="D999" s="41"/>
      <c r="E999" s="136"/>
      <c r="F999" s="136"/>
      <c r="G999" s="136"/>
      <c r="H999" s="137"/>
      <c r="I999" s="136"/>
      <c r="J999" s="136"/>
      <c r="K999" s="136"/>
      <c r="L999" s="136"/>
      <c r="M999" s="136"/>
      <c r="N999" s="136"/>
      <c r="O999" s="142"/>
      <c r="P999" s="138"/>
      <c r="Q999" s="138"/>
      <c r="R999" s="138"/>
      <c r="S999" s="139"/>
      <c r="T999" s="140"/>
      <c r="U999" s="136"/>
      <c r="V999" s="136"/>
      <c r="W999" s="136"/>
      <c r="X999" s="136"/>
      <c r="Y999" s="41"/>
      <c r="Z999" s="41"/>
    </row>
    <row r="1000">
      <c r="A1000" s="41"/>
      <c r="B1000" s="41"/>
      <c r="C1000" s="41"/>
      <c r="D1000" s="41"/>
      <c r="E1000" s="136"/>
      <c r="F1000" s="136"/>
      <c r="G1000" s="136"/>
      <c r="H1000" s="137"/>
      <c r="I1000" s="136"/>
      <c r="J1000" s="136"/>
      <c r="K1000" s="136"/>
      <c r="L1000" s="136"/>
      <c r="M1000" s="136"/>
      <c r="N1000" s="136"/>
      <c r="O1000" s="142"/>
      <c r="P1000" s="138"/>
      <c r="Q1000" s="138"/>
      <c r="R1000" s="138"/>
      <c r="S1000" s="139"/>
      <c r="T1000" s="140"/>
      <c r="U1000" s="136"/>
      <c r="V1000" s="136"/>
      <c r="W1000" s="136"/>
      <c r="X1000" s="136"/>
      <c r="Y1000" s="41"/>
      <c r="Z1000" s="41"/>
    </row>
    <row r="1001">
      <c r="E1001" s="136"/>
      <c r="F1001" s="136"/>
      <c r="G1001" s="136"/>
      <c r="H1001" s="137"/>
      <c r="I1001" s="136"/>
      <c r="J1001" s="136"/>
      <c r="K1001" s="136"/>
      <c r="L1001" s="136"/>
      <c r="M1001" s="136"/>
      <c r="N1001" s="136"/>
      <c r="O1001" s="142"/>
      <c r="P1001" s="138"/>
      <c r="Q1001" s="138"/>
      <c r="R1001" s="138"/>
      <c r="S1001" s="139"/>
      <c r="T1001" s="140"/>
      <c r="U1001" s="136"/>
      <c r="V1001" s="136"/>
      <c r="W1001" s="136"/>
      <c r="X1001" s="136"/>
    </row>
    <row r="1002">
      <c r="E1002" s="136"/>
      <c r="F1002" s="136"/>
      <c r="G1002" s="136"/>
      <c r="H1002" s="137"/>
      <c r="I1002" s="136"/>
      <c r="J1002" s="136"/>
      <c r="K1002" s="136"/>
      <c r="L1002" s="136"/>
      <c r="M1002" s="136"/>
      <c r="N1002" s="136"/>
      <c r="O1002" s="142"/>
      <c r="P1002" s="138"/>
      <c r="Q1002" s="138"/>
      <c r="R1002" s="138"/>
      <c r="S1002" s="139"/>
      <c r="T1002" s="140"/>
      <c r="U1002" s="136"/>
      <c r="V1002" s="136"/>
      <c r="W1002" s="136"/>
      <c r="X1002" s="136"/>
    </row>
    <row r="1003">
      <c r="E1003" s="136"/>
      <c r="F1003" s="136"/>
      <c r="G1003" s="136"/>
      <c r="H1003" s="137"/>
      <c r="I1003" s="136"/>
      <c r="J1003" s="136"/>
      <c r="K1003" s="136"/>
      <c r="L1003" s="136"/>
      <c r="M1003" s="136"/>
      <c r="N1003" s="136"/>
      <c r="O1003" s="142"/>
      <c r="P1003" s="138"/>
      <c r="Q1003" s="138"/>
      <c r="R1003" s="138"/>
      <c r="S1003" s="139"/>
      <c r="T1003" s="140"/>
      <c r="U1003" s="136"/>
      <c r="V1003" s="136"/>
      <c r="W1003" s="136"/>
      <c r="X1003" s="136"/>
    </row>
    <row r="1004">
      <c r="E1004" s="136"/>
      <c r="F1004" s="136"/>
      <c r="G1004" s="136"/>
      <c r="H1004" s="137"/>
      <c r="I1004" s="136"/>
      <c r="J1004" s="136"/>
      <c r="K1004" s="136"/>
      <c r="L1004" s="136"/>
      <c r="M1004" s="136"/>
      <c r="N1004" s="136"/>
      <c r="O1004" s="142"/>
      <c r="P1004" s="138"/>
      <c r="Q1004" s="138"/>
      <c r="R1004" s="138"/>
      <c r="S1004" s="139"/>
      <c r="T1004" s="140"/>
      <c r="U1004" s="136"/>
      <c r="V1004" s="136"/>
      <c r="W1004" s="136"/>
      <c r="X1004" s="136"/>
    </row>
    <row r="1005">
      <c r="E1005" s="136"/>
      <c r="F1005" s="136"/>
      <c r="G1005" s="136"/>
      <c r="H1005" s="137"/>
      <c r="I1005" s="136"/>
      <c r="J1005" s="136"/>
      <c r="K1005" s="136"/>
      <c r="L1005" s="136"/>
      <c r="M1005" s="136"/>
      <c r="N1005" s="136"/>
      <c r="O1005" s="142"/>
      <c r="P1005" s="138"/>
      <c r="Q1005" s="138"/>
      <c r="R1005" s="138"/>
      <c r="S1005" s="139"/>
      <c r="T1005" s="140"/>
      <c r="U1005" s="136"/>
      <c r="V1005" s="136"/>
      <c r="W1005" s="136"/>
      <c r="X1005" s="136"/>
    </row>
    <row r="1006">
      <c r="E1006" s="136"/>
      <c r="F1006" s="136"/>
      <c r="G1006" s="136"/>
      <c r="H1006" s="137"/>
      <c r="I1006" s="136"/>
      <c r="J1006" s="136"/>
      <c r="K1006" s="136"/>
      <c r="L1006" s="136"/>
      <c r="M1006" s="136"/>
      <c r="N1006" s="136"/>
      <c r="O1006" s="142"/>
      <c r="P1006" s="138"/>
      <c r="Q1006" s="138"/>
      <c r="R1006" s="138"/>
      <c r="S1006" s="139"/>
      <c r="T1006" s="140"/>
      <c r="U1006" s="136"/>
      <c r="V1006" s="136"/>
      <c r="W1006" s="136"/>
      <c r="X1006" s="136"/>
    </row>
    <row r="1007">
      <c r="E1007" s="136"/>
      <c r="F1007" s="136"/>
      <c r="G1007" s="136"/>
      <c r="H1007" s="137"/>
      <c r="I1007" s="136"/>
      <c r="J1007" s="136"/>
      <c r="K1007" s="136"/>
      <c r="L1007" s="136"/>
      <c r="M1007" s="136"/>
      <c r="N1007" s="136"/>
      <c r="O1007" s="142"/>
      <c r="P1007" s="138"/>
      <c r="Q1007" s="138"/>
      <c r="R1007" s="138"/>
      <c r="S1007" s="139"/>
      <c r="T1007" s="140"/>
      <c r="U1007" s="136"/>
      <c r="V1007" s="136"/>
      <c r="W1007" s="136"/>
      <c r="X1007" s="136"/>
    </row>
    <row r="1008">
      <c r="E1008" s="136"/>
      <c r="F1008" s="136"/>
      <c r="G1008" s="136"/>
      <c r="H1008" s="137"/>
      <c r="I1008" s="136"/>
      <c r="J1008" s="136"/>
      <c r="K1008" s="136"/>
      <c r="L1008" s="136"/>
      <c r="M1008" s="136"/>
      <c r="N1008" s="136"/>
      <c r="O1008" s="142"/>
      <c r="P1008" s="138"/>
      <c r="Q1008" s="138"/>
      <c r="R1008" s="138"/>
      <c r="S1008" s="139"/>
      <c r="T1008" s="140"/>
      <c r="U1008" s="136"/>
      <c r="V1008" s="136"/>
      <c r="W1008" s="136"/>
      <c r="X1008" s="136"/>
    </row>
    <row r="1009">
      <c r="E1009" s="136"/>
      <c r="F1009" s="136"/>
      <c r="G1009" s="136"/>
      <c r="H1009" s="137"/>
      <c r="I1009" s="136"/>
      <c r="J1009" s="136"/>
      <c r="K1009" s="136"/>
      <c r="L1009" s="136"/>
      <c r="M1009" s="136"/>
      <c r="N1009" s="136"/>
      <c r="O1009" s="142"/>
      <c r="P1009" s="138"/>
      <c r="Q1009" s="138"/>
      <c r="R1009" s="138"/>
      <c r="S1009" s="139"/>
      <c r="T1009" s="140"/>
      <c r="U1009" s="136"/>
      <c r="V1009" s="136"/>
      <c r="W1009" s="136"/>
      <c r="X1009" s="136"/>
    </row>
    <row r="1010">
      <c r="E1010" s="136"/>
      <c r="F1010" s="136"/>
      <c r="G1010" s="136"/>
      <c r="H1010" s="137"/>
      <c r="I1010" s="136"/>
      <c r="J1010" s="136"/>
      <c r="K1010" s="136"/>
      <c r="L1010" s="136"/>
      <c r="M1010" s="136"/>
      <c r="N1010" s="136"/>
      <c r="O1010" s="142"/>
      <c r="P1010" s="138"/>
      <c r="Q1010" s="138"/>
      <c r="R1010" s="138"/>
      <c r="S1010" s="139"/>
      <c r="T1010" s="140"/>
      <c r="U1010" s="136"/>
      <c r="V1010" s="136"/>
      <c r="W1010" s="136"/>
      <c r="X1010" s="136"/>
    </row>
    <row r="1011">
      <c r="E1011" s="136"/>
      <c r="F1011" s="136"/>
      <c r="G1011" s="136"/>
      <c r="H1011" s="137"/>
      <c r="I1011" s="136"/>
      <c r="J1011" s="136"/>
      <c r="K1011" s="136"/>
      <c r="L1011" s="136"/>
      <c r="M1011" s="136"/>
      <c r="N1011" s="136"/>
      <c r="O1011" s="142"/>
      <c r="P1011" s="138"/>
      <c r="Q1011" s="138"/>
      <c r="R1011" s="138"/>
      <c r="S1011" s="139"/>
      <c r="T1011" s="140"/>
      <c r="U1011" s="136"/>
      <c r="V1011" s="136"/>
      <c r="W1011" s="136"/>
      <c r="X1011" s="136"/>
    </row>
    <row r="1012">
      <c r="E1012" s="136"/>
      <c r="F1012" s="136"/>
      <c r="G1012" s="136"/>
      <c r="H1012" s="137"/>
      <c r="I1012" s="136"/>
      <c r="J1012" s="136"/>
      <c r="K1012" s="136"/>
      <c r="L1012" s="136"/>
      <c r="M1012" s="136"/>
      <c r="N1012" s="136"/>
      <c r="O1012" s="142"/>
      <c r="P1012" s="138"/>
      <c r="Q1012" s="138"/>
      <c r="R1012" s="138"/>
      <c r="S1012" s="139"/>
      <c r="T1012" s="140"/>
      <c r="U1012" s="136"/>
      <c r="V1012" s="136"/>
      <c r="W1012" s="136"/>
      <c r="X1012" s="136"/>
    </row>
    <row r="1013">
      <c r="E1013" s="136"/>
      <c r="F1013" s="136"/>
      <c r="G1013" s="136"/>
      <c r="H1013" s="137"/>
      <c r="I1013" s="136"/>
      <c r="J1013" s="136"/>
      <c r="K1013" s="136"/>
      <c r="L1013" s="136"/>
      <c r="M1013" s="136"/>
      <c r="N1013" s="136"/>
      <c r="O1013" s="142"/>
      <c r="P1013" s="138"/>
      <c r="Q1013" s="138"/>
      <c r="R1013" s="138"/>
      <c r="S1013" s="139"/>
      <c r="T1013" s="140"/>
      <c r="U1013" s="136"/>
      <c r="V1013" s="136"/>
      <c r="W1013" s="136"/>
      <c r="X1013" s="136"/>
    </row>
    <row r="1014">
      <c r="E1014" s="136"/>
      <c r="F1014" s="136"/>
      <c r="G1014" s="136"/>
      <c r="H1014" s="137"/>
      <c r="I1014" s="136"/>
      <c r="J1014" s="136"/>
      <c r="K1014" s="136"/>
      <c r="L1014" s="136"/>
      <c r="M1014" s="136"/>
      <c r="N1014" s="136"/>
      <c r="O1014" s="142"/>
      <c r="P1014" s="138"/>
      <c r="Q1014" s="138"/>
      <c r="R1014" s="138"/>
      <c r="S1014" s="139"/>
      <c r="T1014" s="140"/>
      <c r="U1014" s="136"/>
      <c r="V1014" s="136"/>
      <c r="W1014" s="136"/>
      <c r="X1014" s="136"/>
    </row>
    <row r="1015">
      <c r="E1015" s="136"/>
      <c r="F1015" s="136"/>
      <c r="G1015" s="136"/>
      <c r="H1015" s="137"/>
      <c r="I1015" s="136"/>
      <c r="J1015" s="136"/>
      <c r="K1015" s="136"/>
      <c r="L1015" s="136"/>
      <c r="M1015" s="136"/>
      <c r="N1015" s="136"/>
      <c r="O1015" s="142"/>
      <c r="P1015" s="138"/>
      <c r="Q1015" s="138"/>
      <c r="R1015" s="138"/>
      <c r="S1015" s="139"/>
      <c r="T1015" s="140"/>
      <c r="U1015" s="136"/>
      <c r="V1015" s="136"/>
      <c r="W1015" s="136"/>
      <c r="X1015" s="136"/>
    </row>
    <row r="1016">
      <c r="E1016" s="136"/>
      <c r="F1016" s="136"/>
      <c r="G1016" s="136"/>
      <c r="H1016" s="137"/>
      <c r="I1016" s="136"/>
      <c r="J1016" s="136"/>
      <c r="K1016" s="136"/>
      <c r="L1016" s="136"/>
      <c r="M1016" s="136"/>
      <c r="N1016" s="136"/>
      <c r="O1016" s="142"/>
      <c r="P1016" s="138"/>
      <c r="Q1016" s="138"/>
      <c r="R1016" s="138"/>
      <c r="S1016" s="139"/>
      <c r="T1016" s="140"/>
      <c r="U1016" s="136"/>
      <c r="V1016" s="136"/>
      <c r="W1016" s="136"/>
      <c r="X1016" s="136"/>
    </row>
    <row r="1017">
      <c r="E1017" s="136"/>
      <c r="F1017" s="136"/>
      <c r="G1017" s="136"/>
      <c r="H1017" s="137"/>
      <c r="I1017" s="136"/>
      <c r="J1017" s="136"/>
      <c r="K1017" s="136"/>
      <c r="L1017" s="136"/>
      <c r="M1017" s="136"/>
      <c r="N1017" s="136"/>
      <c r="O1017" s="142"/>
      <c r="P1017" s="138"/>
      <c r="Q1017" s="138"/>
      <c r="R1017" s="138"/>
      <c r="S1017" s="139"/>
      <c r="T1017" s="140"/>
      <c r="U1017" s="136"/>
      <c r="V1017" s="136"/>
      <c r="W1017" s="136"/>
      <c r="X1017" s="136"/>
    </row>
    <row r="1018">
      <c r="E1018" s="136"/>
      <c r="F1018" s="136"/>
      <c r="G1018" s="136"/>
      <c r="H1018" s="137"/>
      <c r="I1018" s="136"/>
      <c r="J1018" s="136"/>
      <c r="K1018" s="136"/>
      <c r="L1018" s="136"/>
      <c r="M1018" s="136"/>
      <c r="N1018" s="136"/>
      <c r="O1018" s="142"/>
      <c r="P1018" s="138"/>
      <c r="Q1018" s="138"/>
      <c r="R1018" s="138"/>
      <c r="S1018" s="139"/>
      <c r="T1018" s="140"/>
      <c r="U1018" s="136"/>
      <c r="V1018" s="136"/>
      <c r="W1018" s="136"/>
      <c r="X1018" s="136"/>
    </row>
    <row r="1019">
      <c r="E1019" s="136"/>
      <c r="F1019" s="136"/>
      <c r="G1019" s="136"/>
      <c r="H1019" s="137"/>
      <c r="I1019" s="136"/>
      <c r="J1019" s="136"/>
      <c r="K1019" s="136"/>
      <c r="L1019" s="136"/>
      <c r="M1019" s="136"/>
      <c r="N1019" s="136"/>
      <c r="O1019" s="142"/>
      <c r="P1019" s="138"/>
      <c r="Q1019" s="138"/>
      <c r="R1019" s="138"/>
      <c r="S1019" s="139"/>
      <c r="T1019" s="140"/>
      <c r="U1019" s="136"/>
      <c r="V1019" s="136"/>
      <c r="W1019" s="136"/>
      <c r="X1019" s="136"/>
    </row>
    <row r="1020">
      <c r="E1020" s="136"/>
      <c r="F1020" s="136"/>
      <c r="G1020" s="136"/>
      <c r="H1020" s="137"/>
      <c r="I1020" s="136"/>
      <c r="J1020" s="136"/>
      <c r="K1020" s="136"/>
      <c r="L1020" s="136"/>
      <c r="M1020" s="136"/>
      <c r="N1020" s="136"/>
      <c r="O1020" s="142"/>
      <c r="P1020" s="138"/>
      <c r="Q1020" s="138"/>
      <c r="R1020" s="138"/>
      <c r="S1020" s="139"/>
      <c r="T1020" s="140"/>
      <c r="U1020" s="136"/>
      <c r="V1020" s="136"/>
      <c r="W1020" s="136"/>
      <c r="X1020" s="136"/>
    </row>
    <row r="1021">
      <c r="E1021" s="136"/>
      <c r="F1021" s="136"/>
      <c r="G1021" s="136"/>
      <c r="H1021" s="137"/>
      <c r="I1021" s="136"/>
      <c r="J1021" s="136"/>
      <c r="K1021" s="136"/>
      <c r="L1021" s="136"/>
      <c r="M1021" s="136"/>
      <c r="N1021" s="136"/>
      <c r="O1021" s="142"/>
      <c r="P1021" s="138"/>
      <c r="Q1021" s="138"/>
      <c r="R1021" s="138"/>
      <c r="S1021" s="139"/>
      <c r="T1021" s="140"/>
      <c r="U1021" s="136"/>
      <c r="V1021" s="136"/>
      <c r="W1021" s="136"/>
      <c r="X1021" s="136"/>
    </row>
    <row r="1022">
      <c r="E1022" s="136"/>
      <c r="F1022" s="136"/>
      <c r="G1022" s="136"/>
      <c r="H1022" s="137"/>
      <c r="I1022" s="136"/>
      <c r="J1022" s="136"/>
      <c r="K1022" s="136"/>
      <c r="L1022" s="136"/>
      <c r="M1022" s="136"/>
      <c r="N1022" s="136"/>
      <c r="O1022" s="142"/>
      <c r="P1022" s="138"/>
      <c r="Q1022" s="138"/>
      <c r="R1022" s="138"/>
      <c r="S1022" s="139"/>
      <c r="T1022" s="140"/>
      <c r="U1022" s="136"/>
      <c r="V1022" s="136"/>
      <c r="W1022" s="136"/>
      <c r="X1022" s="136"/>
    </row>
    <row r="1023">
      <c r="E1023" s="136"/>
      <c r="F1023" s="136"/>
      <c r="G1023" s="136"/>
      <c r="H1023" s="137"/>
      <c r="I1023" s="136"/>
      <c r="J1023" s="136"/>
      <c r="K1023" s="136"/>
      <c r="L1023" s="136"/>
      <c r="M1023" s="136"/>
      <c r="N1023" s="136"/>
      <c r="O1023" s="142"/>
      <c r="P1023" s="138"/>
      <c r="Q1023" s="138"/>
      <c r="R1023" s="138"/>
      <c r="S1023" s="139"/>
      <c r="T1023" s="140"/>
      <c r="U1023" s="136"/>
      <c r="V1023" s="136"/>
      <c r="W1023" s="136"/>
      <c r="X1023" s="136"/>
    </row>
    <row r="1024">
      <c r="E1024" s="136"/>
      <c r="F1024" s="136"/>
      <c r="G1024" s="136"/>
      <c r="H1024" s="137"/>
      <c r="I1024" s="136"/>
      <c r="J1024" s="136"/>
      <c r="K1024" s="136"/>
      <c r="L1024" s="136"/>
      <c r="M1024" s="136"/>
      <c r="N1024" s="136"/>
      <c r="O1024" s="142"/>
      <c r="P1024" s="138"/>
      <c r="Q1024" s="138"/>
      <c r="R1024" s="138"/>
      <c r="S1024" s="139"/>
      <c r="T1024" s="140"/>
      <c r="U1024" s="136"/>
      <c r="V1024" s="136"/>
      <c r="W1024" s="136"/>
      <c r="X1024" s="136"/>
    </row>
    <row r="1025">
      <c r="E1025" s="136"/>
      <c r="F1025" s="136"/>
      <c r="G1025" s="136"/>
      <c r="H1025" s="137"/>
      <c r="I1025" s="136"/>
      <c r="J1025" s="136"/>
      <c r="K1025" s="136"/>
      <c r="L1025" s="136"/>
      <c r="M1025" s="136"/>
      <c r="N1025" s="136"/>
      <c r="O1025" s="142"/>
      <c r="P1025" s="138"/>
      <c r="Q1025" s="138"/>
      <c r="R1025" s="138"/>
      <c r="S1025" s="139"/>
      <c r="T1025" s="140"/>
      <c r="U1025" s="136"/>
      <c r="V1025" s="136"/>
      <c r="W1025" s="136"/>
      <c r="X1025" s="136"/>
    </row>
    <row r="1026">
      <c r="E1026" s="136"/>
      <c r="F1026" s="136"/>
      <c r="G1026" s="136"/>
      <c r="H1026" s="137"/>
      <c r="I1026" s="136"/>
      <c r="J1026" s="136"/>
      <c r="K1026" s="136"/>
      <c r="L1026" s="136"/>
      <c r="M1026" s="136"/>
      <c r="N1026" s="136"/>
      <c r="O1026" s="142"/>
      <c r="P1026" s="138"/>
      <c r="Q1026" s="138"/>
      <c r="R1026" s="138"/>
      <c r="S1026" s="139"/>
      <c r="T1026" s="140"/>
      <c r="U1026" s="136"/>
      <c r="V1026" s="136"/>
      <c r="W1026" s="136"/>
      <c r="X1026" s="136"/>
    </row>
    <row r="1027">
      <c r="E1027" s="136"/>
      <c r="F1027" s="136"/>
      <c r="G1027" s="136"/>
      <c r="H1027" s="137"/>
      <c r="I1027" s="136"/>
      <c r="J1027" s="136"/>
      <c r="K1027" s="136"/>
      <c r="L1027" s="136"/>
      <c r="M1027" s="136"/>
      <c r="N1027" s="136"/>
      <c r="O1027" s="142"/>
      <c r="P1027" s="138"/>
      <c r="Q1027" s="138"/>
      <c r="R1027" s="138"/>
      <c r="S1027" s="139"/>
      <c r="T1027" s="140"/>
      <c r="U1027" s="136"/>
      <c r="V1027" s="136"/>
      <c r="W1027" s="136"/>
      <c r="X1027" s="136"/>
    </row>
    <row r="1028">
      <c r="E1028" s="136"/>
      <c r="F1028" s="136"/>
      <c r="G1028" s="136"/>
      <c r="H1028" s="137"/>
      <c r="I1028" s="136"/>
      <c r="J1028" s="136"/>
      <c r="K1028" s="136"/>
      <c r="L1028" s="136"/>
      <c r="M1028" s="136"/>
      <c r="N1028" s="136"/>
      <c r="O1028" s="142"/>
      <c r="P1028" s="138"/>
      <c r="Q1028" s="138"/>
      <c r="R1028" s="138"/>
      <c r="S1028" s="139"/>
      <c r="T1028" s="140"/>
      <c r="U1028" s="136"/>
      <c r="V1028" s="136"/>
      <c r="W1028" s="136"/>
      <c r="X1028" s="136"/>
    </row>
    <row r="1029">
      <c r="E1029" s="136"/>
      <c r="F1029" s="136"/>
      <c r="G1029" s="136"/>
      <c r="H1029" s="137"/>
      <c r="I1029" s="136"/>
      <c r="J1029" s="136"/>
      <c r="K1029" s="136"/>
      <c r="L1029" s="136"/>
      <c r="M1029" s="136"/>
      <c r="N1029" s="136"/>
      <c r="O1029" s="142"/>
      <c r="P1029" s="138"/>
      <c r="Q1029" s="138"/>
      <c r="R1029" s="138"/>
      <c r="S1029" s="139"/>
      <c r="T1029" s="140"/>
      <c r="U1029" s="136"/>
      <c r="V1029" s="136"/>
      <c r="W1029" s="136"/>
      <c r="X1029" s="136"/>
    </row>
    <row r="1030">
      <c r="E1030" s="136"/>
      <c r="F1030" s="136"/>
      <c r="G1030" s="136"/>
      <c r="H1030" s="137"/>
      <c r="I1030" s="136"/>
      <c r="J1030" s="136"/>
      <c r="K1030" s="136"/>
      <c r="L1030" s="136"/>
      <c r="M1030" s="136"/>
      <c r="N1030" s="136"/>
      <c r="O1030" s="142"/>
      <c r="P1030" s="138"/>
      <c r="Q1030" s="138"/>
      <c r="R1030" s="138"/>
      <c r="S1030" s="139"/>
      <c r="T1030" s="140"/>
      <c r="U1030" s="136"/>
      <c r="V1030" s="136"/>
      <c r="W1030" s="136"/>
      <c r="X1030" s="136"/>
    </row>
    <row r="1031">
      <c r="E1031" s="136"/>
      <c r="F1031" s="136"/>
      <c r="G1031" s="136"/>
      <c r="H1031" s="137"/>
      <c r="I1031" s="136"/>
      <c r="J1031" s="136"/>
      <c r="K1031" s="136"/>
      <c r="L1031" s="136"/>
      <c r="M1031" s="136"/>
      <c r="N1031" s="136"/>
      <c r="O1031" s="142"/>
      <c r="P1031" s="138"/>
      <c r="Q1031" s="138"/>
      <c r="R1031" s="138"/>
      <c r="S1031" s="139"/>
      <c r="T1031" s="140"/>
      <c r="U1031" s="136"/>
      <c r="V1031" s="136"/>
      <c r="W1031" s="136"/>
      <c r="X1031" s="136"/>
    </row>
    <row r="1032">
      <c r="E1032" s="136"/>
      <c r="F1032" s="136"/>
      <c r="G1032" s="136"/>
      <c r="H1032" s="137"/>
      <c r="I1032" s="136"/>
      <c r="J1032" s="136"/>
      <c r="K1032" s="136"/>
      <c r="L1032" s="136"/>
      <c r="M1032" s="136"/>
      <c r="N1032" s="136"/>
      <c r="O1032" s="142"/>
      <c r="P1032" s="138"/>
      <c r="Q1032" s="138"/>
      <c r="R1032" s="138"/>
      <c r="S1032" s="139"/>
      <c r="T1032" s="140"/>
      <c r="U1032" s="136"/>
      <c r="V1032" s="136"/>
      <c r="W1032" s="136"/>
      <c r="X1032" s="136"/>
    </row>
    <row r="1033">
      <c r="E1033" s="136"/>
      <c r="F1033" s="136"/>
      <c r="G1033" s="136"/>
      <c r="H1033" s="137"/>
      <c r="I1033" s="136"/>
      <c r="J1033" s="136"/>
      <c r="K1033" s="136"/>
      <c r="L1033" s="136"/>
      <c r="M1033" s="136"/>
      <c r="N1033" s="136"/>
      <c r="O1033" s="142"/>
      <c r="P1033" s="138"/>
      <c r="Q1033" s="138"/>
      <c r="R1033" s="138"/>
      <c r="S1033" s="139"/>
      <c r="T1033" s="140"/>
      <c r="U1033" s="136"/>
      <c r="V1033" s="136"/>
      <c r="W1033" s="136"/>
      <c r="X1033" s="136"/>
    </row>
    <row r="1034">
      <c r="E1034" s="136"/>
      <c r="F1034" s="136"/>
      <c r="G1034" s="136"/>
      <c r="H1034" s="137"/>
      <c r="I1034" s="136"/>
      <c r="J1034" s="136"/>
      <c r="K1034" s="136"/>
      <c r="L1034" s="136"/>
      <c r="M1034" s="136"/>
      <c r="N1034" s="136"/>
      <c r="O1034" s="142"/>
      <c r="P1034" s="138"/>
      <c r="Q1034" s="138"/>
      <c r="R1034" s="138"/>
      <c r="S1034" s="139"/>
      <c r="T1034" s="140"/>
      <c r="U1034" s="136"/>
      <c r="V1034" s="136"/>
      <c r="W1034" s="136"/>
      <c r="X1034" s="136"/>
    </row>
    <row r="1035">
      <c r="E1035" s="136"/>
      <c r="F1035" s="136"/>
      <c r="G1035" s="136"/>
      <c r="H1035" s="137"/>
      <c r="I1035" s="136"/>
      <c r="J1035" s="136"/>
      <c r="K1035" s="136"/>
      <c r="L1035" s="136"/>
      <c r="M1035" s="136"/>
      <c r="N1035" s="136"/>
      <c r="O1035" s="142"/>
      <c r="P1035" s="138"/>
      <c r="Q1035" s="138"/>
      <c r="R1035" s="138"/>
      <c r="S1035" s="139"/>
      <c r="T1035" s="140"/>
      <c r="U1035" s="136"/>
      <c r="V1035" s="136"/>
      <c r="W1035" s="136"/>
      <c r="X1035" s="136"/>
    </row>
    <row r="1036">
      <c r="E1036" s="136"/>
      <c r="F1036" s="136"/>
      <c r="G1036" s="136"/>
      <c r="H1036" s="137"/>
      <c r="I1036" s="136"/>
      <c r="J1036" s="136"/>
      <c r="K1036" s="136"/>
      <c r="L1036" s="136"/>
      <c r="M1036" s="136"/>
      <c r="N1036" s="136"/>
      <c r="O1036" s="142"/>
      <c r="P1036" s="138"/>
      <c r="Q1036" s="138"/>
      <c r="R1036" s="138"/>
      <c r="S1036" s="139"/>
      <c r="T1036" s="140"/>
      <c r="U1036" s="136"/>
      <c r="V1036" s="136"/>
      <c r="W1036" s="136"/>
      <c r="X1036" s="136"/>
    </row>
    <row r="1037">
      <c r="E1037" s="136"/>
      <c r="F1037" s="136"/>
      <c r="G1037" s="136"/>
      <c r="H1037" s="137"/>
      <c r="I1037" s="136"/>
      <c r="J1037" s="136"/>
      <c r="K1037" s="136"/>
      <c r="L1037" s="136"/>
      <c r="M1037" s="136"/>
      <c r="N1037" s="136"/>
      <c r="O1037" s="142"/>
      <c r="P1037" s="138"/>
      <c r="Q1037" s="138"/>
      <c r="R1037" s="138"/>
      <c r="S1037" s="139"/>
      <c r="T1037" s="140"/>
      <c r="U1037" s="136"/>
      <c r="V1037" s="136"/>
      <c r="W1037" s="136"/>
      <c r="X1037" s="136"/>
    </row>
    <row r="1038">
      <c r="E1038" s="136"/>
      <c r="F1038" s="136"/>
      <c r="G1038" s="136"/>
      <c r="H1038" s="137"/>
      <c r="I1038" s="136"/>
      <c r="J1038" s="136"/>
      <c r="K1038" s="136"/>
      <c r="L1038" s="136"/>
      <c r="M1038" s="136"/>
      <c r="N1038" s="136"/>
      <c r="O1038" s="142"/>
      <c r="P1038" s="138"/>
      <c r="Q1038" s="138"/>
      <c r="R1038" s="138"/>
      <c r="S1038" s="139"/>
      <c r="T1038" s="140"/>
      <c r="U1038" s="136"/>
      <c r="V1038" s="136"/>
      <c r="W1038" s="136"/>
      <c r="X1038" s="136"/>
    </row>
    <row r="1039">
      <c r="E1039" s="136"/>
      <c r="F1039" s="136"/>
      <c r="G1039" s="136"/>
      <c r="H1039" s="137"/>
      <c r="I1039" s="136"/>
      <c r="J1039" s="136"/>
      <c r="K1039" s="136"/>
      <c r="L1039" s="136"/>
      <c r="M1039" s="136"/>
      <c r="N1039" s="136"/>
      <c r="O1039" s="142"/>
      <c r="P1039" s="138"/>
      <c r="Q1039" s="138"/>
      <c r="R1039" s="138"/>
      <c r="S1039" s="139"/>
      <c r="T1039" s="140"/>
      <c r="U1039" s="136"/>
      <c r="V1039" s="136"/>
      <c r="W1039" s="136"/>
      <c r="X1039" s="136"/>
    </row>
    <row r="1040">
      <c r="E1040" s="136"/>
      <c r="F1040" s="136"/>
      <c r="G1040" s="136"/>
      <c r="H1040" s="137"/>
      <c r="I1040" s="136"/>
      <c r="J1040" s="136"/>
      <c r="K1040" s="136"/>
      <c r="L1040" s="136"/>
      <c r="M1040" s="136"/>
      <c r="N1040" s="136"/>
      <c r="O1040" s="142"/>
      <c r="P1040" s="138"/>
      <c r="Q1040" s="138"/>
      <c r="R1040" s="138"/>
      <c r="S1040" s="139"/>
      <c r="T1040" s="140"/>
      <c r="U1040" s="136"/>
      <c r="V1040" s="136"/>
      <c r="W1040" s="136"/>
      <c r="X1040" s="136"/>
    </row>
    <row r="1041">
      <c r="E1041" s="136"/>
      <c r="F1041" s="136"/>
      <c r="G1041" s="136"/>
      <c r="H1041" s="137"/>
      <c r="I1041" s="136"/>
      <c r="J1041" s="136"/>
      <c r="K1041" s="136"/>
      <c r="L1041" s="136"/>
      <c r="M1041" s="136"/>
      <c r="N1041" s="136"/>
      <c r="O1041" s="142"/>
      <c r="P1041" s="138"/>
      <c r="Q1041" s="138"/>
      <c r="R1041" s="138"/>
      <c r="S1041" s="139"/>
      <c r="T1041" s="140"/>
      <c r="U1041" s="136"/>
      <c r="V1041" s="136"/>
      <c r="W1041" s="136"/>
      <c r="X1041" s="136"/>
    </row>
    <row r="1042">
      <c r="E1042" s="136"/>
      <c r="F1042" s="136"/>
      <c r="G1042" s="136"/>
      <c r="H1042" s="137"/>
      <c r="I1042" s="136"/>
      <c r="J1042" s="136"/>
      <c r="K1042" s="136"/>
      <c r="L1042" s="136"/>
      <c r="M1042" s="136"/>
      <c r="N1042" s="136"/>
      <c r="O1042" s="142"/>
      <c r="P1042" s="138"/>
      <c r="Q1042" s="138"/>
      <c r="R1042" s="138"/>
      <c r="S1042" s="139"/>
      <c r="T1042" s="140"/>
      <c r="U1042" s="136"/>
      <c r="V1042" s="136"/>
      <c r="W1042" s="136"/>
      <c r="X1042" s="136"/>
    </row>
    <row r="1043">
      <c r="E1043" s="136"/>
      <c r="F1043" s="136"/>
      <c r="G1043" s="136"/>
      <c r="H1043" s="137"/>
      <c r="I1043" s="136"/>
      <c r="J1043" s="136"/>
      <c r="K1043" s="136"/>
      <c r="L1043" s="136"/>
      <c r="M1043" s="136"/>
      <c r="N1043" s="136"/>
      <c r="O1043" s="142"/>
      <c r="P1043" s="138"/>
      <c r="Q1043" s="138"/>
      <c r="R1043" s="138"/>
      <c r="S1043" s="139"/>
      <c r="T1043" s="140"/>
      <c r="U1043" s="136"/>
      <c r="V1043" s="136"/>
      <c r="W1043" s="136"/>
      <c r="X1043" s="136"/>
    </row>
    <row r="1044">
      <c r="E1044" s="136"/>
      <c r="F1044" s="136"/>
      <c r="G1044" s="136"/>
      <c r="H1044" s="137"/>
      <c r="I1044" s="136"/>
      <c r="J1044" s="136"/>
      <c r="K1044" s="136"/>
      <c r="L1044" s="136"/>
      <c r="M1044" s="136"/>
      <c r="N1044" s="136"/>
      <c r="O1044" s="142"/>
      <c r="P1044" s="138"/>
      <c r="Q1044" s="138"/>
      <c r="R1044" s="138"/>
      <c r="S1044" s="139"/>
      <c r="T1044" s="140"/>
      <c r="U1044" s="136"/>
      <c r="V1044" s="136"/>
      <c r="W1044" s="136"/>
      <c r="X1044" s="136"/>
    </row>
    <row r="1045">
      <c r="E1045" s="136"/>
      <c r="F1045" s="136"/>
      <c r="G1045" s="136"/>
      <c r="H1045" s="137"/>
      <c r="I1045" s="136"/>
      <c r="J1045" s="136"/>
      <c r="K1045" s="136"/>
      <c r="L1045" s="136"/>
      <c r="M1045" s="136"/>
      <c r="N1045" s="136"/>
      <c r="O1045" s="142"/>
      <c r="P1045" s="138"/>
      <c r="Q1045" s="138"/>
      <c r="R1045" s="138"/>
      <c r="S1045" s="139"/>
      <c r="T1045" s="140"/>
      <c r="U1045" s="136"/>
      <c r="V1045" s="136"/>
      <c r="W1045" s="136"/>
      <c r="X1045" s="136"/>
    </row>
    <row r="1046">
      <c r="E1046" s="136"/>
      <c r="F1046" s="136"/>
      <c r="G1046" s="136"/>
      <c r="H1046" s="137"/>
      <c r="I1046" s="136"/>
      <c r="J1046" s="136"/>
      <c r="K1046" s="136"/>
      <c r="L1046" s="136"/>
      <c r="M1046" s="136"/>
      <c r="N1046" s="136"/>
      <c r="O1046" s="142"/>
      <c r="P1046" s="138"/>
      <c r="Q1046" s="138"/>
      <c r="R1046" s="138"/>
      <c r="S1046" s="139"/>
      <c r="T1046" s="140"/>
      <c r="U1046" s="136"/>
      <c r="V1046" s="136"/>
      <c r="W1046" s="136"/>
      <c r="X1046" s="136"/>
    </row>
    <row r="1047">
      <c r="E1047" s="136"/>
      <c r="F1047" s="136"/>
      <c r="G1047" s="136"/>
      <c r="H1047" s="137"/>
      <c r="I1047" s="136"/>
      <c r="J1047" s="136"/>
      <c r="K1047" s="136"/>
      <c r="L1047" s="136"/>
      <c r="M1047" s="136"/>
      <c r="N1047" s="136"/>
      <c r="O1047" s="142"/>
      <c r="P1047" s="138"/>
      <c r="Q1047" s="138"/>
      <c r="R1047" s="138"/>
      <c r="S1047" s="139"/>
      <c r="T1047" s="140"/>
      <c r="U1047" s="136"/>
      <c r="V1047" s="136"/>
      <c r="W1047" s="136"/>
      <c r="X1047" s="136"/>
    </row>
    <row r="1048">
      <c r="E1048" s="136"/>
      <c r="F1048" s="136"/>
      <c r="G1048" s="136"/>
      <c r="H1048" s="137"/>
      <c r="I1048" s="136"/>
      <c r="J1048" s="136"/>
      <c r="K1048" s="136"/>
      <c r="L1048" s="136"/>
      <c r="M1048" s="136"/>
      <c r="N1048" s="136"/>
      <c r="O1048" s="142"/>
      <c r="P1048" s="138"/>
      <c r="Q1048" s="138"/>
      <c r="R1048" s="138"/>
      <c r="S1048" s="139"/>
      <c r="T1048" s="140"/>
      <c r="U1048" s="136"/>
      <c r="V1048" s="136"/>
      <c r="W1048" s="136"/>
      <c r="X1048" s="136"/>
    </row>
    <row r="1049">
      <c r="E1049" s="136"/>
      <c r="F1049" s="136"/>
      <c r="G1049" s="136"/>
      <c r="H1049" s="137"/>
      <c r="I1049" s="136"/>
      <c r="J1049" s="136"/>
      <c r="K1049" s="136"/>
      <c r="L1049" s="136"/>
      <c r="M1049" s="136"/>
      <c r="N1049" s="136"/>
      <c r="O1049" s="142"/>
      <c r="P1049" s="138"/>
      <c r="Q1049" s="138"/>
      <c r="R1049" s="138"/>
      <c r="S1049" s="139"/>
      <c r="T1049" s="140"/>
      <c r="U1049" s="136"/>
      <c r="V1049" s="136"/>
      <c r="W1049" s="136"/>
      <c r="X1049" s="136"/>
    </row>
    <row r="1050">
      <c r="E1050" s="136"/>
      <c r="F1050" s="136"/>
      <c r="G1050" s="136"/>
      <c r="H1050" s="137"/>
      <c r="I1050" s="136"/>
      <c r="J1050" s="136"/>
      <c r="K1050" s="136"/>
      <c r="L1050" s="136"/>
      <c r="M1050" s="136"/>
      <c r="N1050" s="136"/>
      <c r="O1050" s="142"/>
      <c r="P1050" s="138"/>
      <c r="Q1050" s="138"/>
      <c r="R1050" s="138"/>
      <c r="S1050" s="139"/>
      <c r="T1050" s="140"/>
      <c r="U1050" s="136"/>
      <c r="V1050" s="136"/>
      <c r="W1050" s="136"/>
      <c r="X1050" s="136"/>
    </row>
    <row r="1051">
      <c r="E1051" s="136"/>
      <c r="F1051" s="136"/>
      <c r="G1051" s="136"/>
      <c r="H1051" s="137"/>
      <c r="I1051" s="136"/>
      <c r="J1051" s="136"/>
      <c r="K1051" s="136"/>
      <c r="L1051" s="136"/>
      <c r="M1051" s="136"/>
      <c r="N1051" s="136"/>
      <c r="O1051" s="142"/>
      <c r="P1051" s="138"/>
      <c r="Q1051" s="138"/>
      <c r="R1051" s="138"/>
      <c r="S1051" s="139"/>
      <c r="T1051" s="140"/>
      <c r="U1051" s="136"/>
      <c r="V1051" s="136"/>
      <c r="W1051" s="136"/>
      <c r="X1051" s="136"/>
    </row>
    <row r="1052">
      <c r="E1052" s="136"/>
      <c r="F1052" s="136"/>
      <c r="G1052" s="136"/>
      <c r="H1052" s="137"/>
      <c r="I1052" s="136"/>
      <c r="J1052" s="136"/>
      <c r="K1052" s="136"/>
      <c r="L1052" s="136"/>
      <c r="M1052" s="136"/>
      <c r="N1052" s="136"/>
      <c r="O1052" s="142"/>
      <c r="P1052" s="138"/>
      <c r="Q1052" s="138"/>
      <c r="R1052" s="138"/>
      <c r="S1052" s="139"/>
      <c r="T1052" s="140"/>
      <c r="U1052" s="136"/>
      <c r="V1052" s="136"/>
      <c r="W1052" s="136"/>
      <c r="X1052" s="136"/>
    </row>
    <row r="1053">
      <c r="E1053" s="136"/>
      <c r="F1053" s="136"/>
      <c r="G1053" s="136"/>
      <c r="H1053" s="137"/>
      <c r="I1053" s="136"/>
      <c r="J1053" s="136"/>
      <c r="K1053" s="136"/>
      <c r="L1053" s="136"/>
      <c r="M1053" s="136"/>
      <c r="N1053" s="136"/>
      <c r="O1053" s="142"/>
      <c r="P1053" s="138"/>
      <c r="Q1053" s="138"/>
      <c r="R1053" s="138"/>
      <c r="S1053" s="139"/>
      <c r="T1053" s="140"/>
      <c r="U1053" s="136"/>
      <c r="V1053" s="136"/>
      <c r="W1053" s="136"/>
      <c r="X1053" s="136"/>
    </row>
    <row r="1054">
      <c r="E1054" s="136"/>
      <c r="F1054" s="136"/>
      <c r="G1054" s="136"/>
      <c r="H1054" s="137"/>
      <c r="I1054" s="136"/>
      <c r="J1054" s="136"/>
      <c r="K1054" s="136"/>
      <c r="L1054" s="136"/>
      <c r="M1054" s="136"/>
      <c r="N1054" s="136"/>
      <c r="O1054" s="142"/>
      <c r="P1054" s="138"/>
      <c r="Q1054" s="138"/>
      <c r="R1054" s="138"/>
      <c r="S1054" s="139"/>
      <c r="T1054" s="140"/>
      <c r="U1054" s="136"/>
      <c r="V1054" s="136"/>
      <c r="W1054" s="136"/>
      <c r="X1054" s="136"/>
    </row>
    <row r="1055">
      <c r="E1055" s="136"/>
      <c r="F1055" s="136"/>
      <c r="G1055" s="136"/>
      <c r="H1055" s="137"/>
      <c r="I1055" s="136"/>
      <c r="J1055" s="136"/>
      <c r="K1055" s="136"/>
      <c r="L1055" s="136"/>
      <c r="M1055" s="136"/>
      <c r="N1055" s="136"/>
      <c r="O1055" s="142"/>
      <c r="P1055" s="138"/>
      <c r="Q1055" s="138"/>
      <c r="R1055" s="138"/>
      <c r="S1055" s="139"/>
      <c r="T1055" s="140"/>
      <c r="U1055" s="136"/>
      <c r="V1055" s="136"/>
      <c r="W1055" s="136"/>
      <c r="X1055" s="136"/>
    </row>
    <row r="1056">
      <c r="E1056" s="136"/>
      <c r="F1056" s="136"/>
      <c r="G1056" s="136"/>
      <c r="H1056" s="137"/>
      <c r="I1056" s="136"/>
      <c r="J1056" s="136"/>
      <c r="K1056" s="136"/>
      <c r="L1056" s="136"/>
      <c r="M1056" s="136"/>
      <c r="N1056" s="136"/>
      <c r="O1056" s="142"/>
      <c r="P1056" s="138"/>
      <c r="Q1056" s="138"/>
      <c r="R1056" s="138"/>
      <c r="S1056" s="139"/>
      <c r="T1056" s="140"/>
      <c r="U1056" s="136"/>
      <c r="V1056" s="136"/>
      <c r="W1056" s="136"/>
      <c r="X1056" s="136"/>
    </row>
    <row r="1057">
      <c r="E1057" s="136"/>
      <c r="F1057" s="136"/>
      <c r="G1057" s="136"/>
      <c r="H1057" s="137"/>
      <c r="I1057" s="136"/>
      <c r="J1057" s="136"/>
      <c r="K1057" s="136"/>
      <c r="L1057" s="136"/>
      <c r="M1057" s="136"/>
      <c r="N1057" s="136"/>
      <c r="O1057" s="142"/>
      <c r="P1057" s="138"/>
      <c r="Q1057" s="138"/>
      <c r="R1057" s="138"/>
      <c r="S1057" s="139"/>
      <c r="T1057" s="140"/>
      <c r="U1057" s="136"/>
      <c r="V1057" s="136"/>
      <c r="W1057" s="136"/>
      <c r="X1057" s="136"/>
    </row>
    <row r="1058">
      <c r="E1058" s="136"/>
      <c r="F1058" s="136"/>
      <c r="G1058" s="136"/>
      <c r="H1058" s="137"/>
      <c r="I1058" s="136"/>
      <c r="J1058" s="136"/>
      <c r="K1058" s="136"/>
      <c r="L1058" s="136"/>
      <c r="M1058" s="136"/>
      <c r="N1058" s="136"/>
      <c r="O1058" s="142"/>
      <c r="P1058" s="138"/>
      <c r="Q1058" s="138"/>
      <c r="R1058" s="138"/>
      <c r="S1058" s="139"/>
      <c r="T1058" s="140"/>
      <c r="U1058" s="136"/>
      <c r="V1058" s="136"/>
      <c r="W1058" s="136"/>
      <c r="X1058" s="136"/>
    </row>
    <row r="1059">
      <c r="E1059" s="136"/>
      <c r="F1059" s="136"/>
      <c r="G1059" s="136"/>
      <c r="H1059" s="137"/>
      <c r="I1059" s="136"/>
      <c r="J1059" s="136"/>
      <c r="K1059" s="136"/>
      <c r="L1059" s="136"/>
      <c r="M1059" s="136"/>
      <c r="N1059" s="136"/>
      <c r="O1059" s="142"/>
      <c r="P1059" s="138"/>
      <c r="Q1059" s="138"/>
      <c r="R1059" s="138"/>
      <c r="S1059" s="139"/>
      <c r="T1059" s="140"/>
      <c r="U1059" s="136"/>
      <c r="V1059" s="136"/>
      <c r="W1059" s="136"/>
      <c r="X1059" s="136"/>
    </row>
    <row r="1060">
      <c r="E1060" s="136"/>
      <c r="F1060" s="136"/>
      <c r="G1060" s="136"/>
      <c r="H1060" s="137"/>
      <c r="I1060" s="136"/>
      <c r="J1060" s="136"/>
      <c r="K1060" s="136"/>
      <c r="L1060" s="136"/>
      <c r="M1060" s="136"/>
      <c r="N1060" s="136"/>
      <c r="O1060" s="142"/>
      <c r="P1060" s="138"/>
      <c r="Q1060" s="138"/>
      <c r="R1060" s="138"/>
      <c r="S1060" s="139"/>
      <c r="T1060" s="140"/>
      <c r="U1060" s="136"/>
      <c r="V1060" s="136"/>
      <c r="W1060" s="136"/>
      <c r="X1060" s="136"/>
    </row>
    <row r="1061">
      <c r="E1061" s="136"/>
      <c r="F1061" s="136"/>
      <c r="G1061" s="136"/>
      <c r="H1061" s="137"/>
      <c r="I1061" s="136"/>
      <c r="J1061" s="136"/>
      <c r="K1061" s="136"/>
      <c r="L1061" s="136"/>
      <c r="M1061" s="136"/>
      <c r="N1061" s="136"/>
      <c r="O1061" s="142"/>
      <c r="P1061" s="138"/>
      <c r="Q1061" s="138"/>
      <c r="R1061" s="138"/>
      <c r="S1061" s="139"/>
      <c r="T1061" s="140"/>
      <c r="U1061" s="136"/>
      <c r="V1061" s="136"/>
      <c r="W1061" s="136"/>
      <c r="X1061" s="136"/>
    </row>
    <row r="1062">
      <c r="E1062" s="136"/>
      <c r="F1062" s="136"/>
      <c r="G1062" s="136"/>
      <c r="H1062" s="137"/>
      <c r="I1062" s="136"/>
      <c r="J1062" s="136"/>
      <c r="K1062" s="136"/>
      <c r="L1062" s="136"/>
      <c r="M1062" s="136"/>
      <c r="N1062" s="136"/>
      <c r="O1062" s="142"/>
      <c r="P1062" s="138"/>
      <c r="Q1062" s="138"/>
      <c r="R1062" s="138"/>
      <c r="S1062" s="139"/>
      <c r="T1062" s="140"/>
      <c r="U1062" s="136"/>
      <c r="V1062" s="136"/>
      <c r="W1062" s="136"/>
      <c r="X1062" s="136"/>
    </row>
    <row r="1063">
      <c r="E1063" s="136"/>
      <c r="F1063" s="136"/>
      <c r="G1063" s="136"/>
      <c r="H1063" s="137"/>
      <c r="I1063" s="136"/>
      <c r="J1063" s="136"/>
      <c r="K1063" s="136"/>
      <c r="L1063" s="136"/>
      <c r="M1063" s="136"/>
      <c r="N1063" s="136"/>
      <c r="O1063" s="142"/>
      <c r="P1063" s="138"/>
      <c r="Q1063" s="138"/>
      <c r="R1063" s="138"/>
      <c r="S1063" s="139"/>
      <c r="T1063" s="140"/>
      <c r="U1063" s="136"/>
      <c r="V1063" s="136"/>
      <c r="W1063" s="136"/>
      <c r="X1063" s="136"/>
    </row>
    <row r="1064">
      <c r="E1064" s="136"/>
      <c r="F1064" s="136"/>
      <c r="G1064" s="136"/>
      <c r="H1064" s="137"/>
      <c r="I1064" s="136"/>
      <c r="J1064" s="136"/>
      <c r="K1064" s="136"/>
      <c r="L1064" s="136"/>
      <c r="M1064" s="136"/>
      <c r="N1064" s="136"/>
      <c r="O1064" s="142"/>
      <c r="P1064" s="138"/>
      <c r="Q1064" s="138"/>
      <c r="R1064" s="138"/>
      <c r="S1064" s="139"/>
      <c r="T1064" s="140"/>
      <c r="U1064" s="136"/>
      <c r="V1064" s="136"/>
      <c r="W1064" s="136"/>
      <c r="X1064" s="136"/>
    </row>
    <row r="1065">
      <c r="E1065" s="136"/>
      <c r="F1065" s="136"/>
      <c r="G1065" s="136"/>
      <c r="H1065" s="137"/>
      <c r="I1065" s="136"/>
      <c r="J1065" s="136"/>
      <c r="K1065" s="136"/>
      <c r="L1065" s="136"/>
      <c r="M1065" s="136"/>
      <c r="N1065" s="136"/>
      <c r="O1065" s="142"/>
      <c r="P1065" s="138"/>
      <c r="Q1065" s="138"/>
      <c r="R1065" s="138"/>
      <c r="S1065" s="139"/>
      <c r="T1065" s="140"/>
      <c r="U1065" s="136"/>
      <c r="V1065" s="136"/>
      <c r="W1065" s="136"/>
      <c r="X1065" s="136"/>
    </row>
    <row r="1066">
      <c r="E1066" s="136"/>
      <c r="F1066" s="136"/>
      <c r="G1066" s="136"/>
      <c r="H1066" s="137"/>
      <c r="I1066" s="136"/>
      <c r="J1066" s="136"/>
      <c r="K1066" s="136"/>
      <c r="L1066" s="136"/>
      <c r="M1066" s="136"/>
      <c r="N1066" s="136"/>
      <c r="O1066" s="142"/>
      <c r="P1066" s="138"/>
      <c r="Q1066" s="138"/>
      <c r="R1066" s="138"/>
      <c r="S1066" s="139"/>
      <c r="T1066" s="140"/>
      <c r="U1066" s="136"/>
      <c r="V1066" s="136"/>
      <c r="W1066" s="136"/>
      <c r="X1066" s="136"/>
    </row>
    <row r="1067">
      <c r="E1067" s="136"/>
      <c r="F1067" s="136"/>
      <c r="G1067" s="136"/>
      <c r="H1067" s="137"/>
      <c r="I1067" s="136"/>
      <c r="J1067" s="136"/>
      <c r="K1067" s="136"/>
      <c r="L1067" s="136"/>
      <c r="M1067" s="136"/>
      <c r="N1067" s="136"/>
      <c r="O1067" s="142"/>
      <c r="P1067" s="138"/>
      <c r="Q1067" s="138"/>
      <c r="R1067" s="138"/>
      <c r="S1067" s="139"/>
      <c r="T1067" s="140"/>
      <c r="U1067" s="136"/>
      <c r="V1067" s="136"/>
      <c r="W1067" s="136"/>
      <c r="X1067" s="136"/>
    </row>
    <row r="1068">
      <c r="E1068" s="136"/>
      <c r="F1068" s="136"/>
      <c r="G1068" s="136"/>
      <c r="H1068" s="137"/>
      <c r="I1068" s="136"/>
      <c r="J1068" s="136"/>
      <c r="K1068" s="136"/>
      <c r="L1068" s="136"/>
      <c r="M1068" s="136"/>
      <c r="N1068" s="136"/>
      <c r="O1068" s="142"/>
      <c r="P1068" s="138"/>
      <c r="Q1068" s="138"/>
      <c r="R1068" s="138"/>
      <c r="S1068" s="139"/>
      <c r="T1068" s="140"/>
      <c r="U1068" s="136"/>
      <c r="V1068" s="136"/>
      <c r="W1068" s="136"/>
      <c r="X1068" s="136"/>
    </row>
    <row r="1069">
      <c r="E1069" s="136"/>
      <c r="F1069" s="136"/>
      <c r="G1069" s="136"/>
      <c r="H1069" s="137"/>
      <c r="I1069" s="136"/>
      <c r="J1069" s="136"/>
      <c r="K1069" s="136"/>
      <c r="L1069" s="136"/>
      <c r="M1069" s="136"/>
      <c r="N1069" s="136"/>
      <c r="O1069" s="142"/>
      <c r="P1069" s="138"/>
      <c r="Q1069" s="138"/>
      <c r="R1069" s="138"/>
      <c r="S1069" s="139"/>
      <c r="T1069" s="140"/>
      <c r="U1069" s="136"/>
      <c r="V1069" s="136"/>
      <c r="W1069" s="136"/>
      <c r="X1069" s="136"/>
    </row>
    <row r="1070">
      <c r="E1070" s="136"/>
      <c r="F1070" s="136"/>
      <c r="G1070" s="136"/>
      <c r="H1070" s="137"/>
      <c r="I1070" s="136"/>
      <c r="J1070" s="136"/>
      <c r="K1070" s="136"/>
      <c r="L1070" s="136"/>
      <c r="M1070" s="136"/>
      <c r="N1070" s="136"/>
      <c r="O1070" s="142"/>
      <c r="P1070" s="138"/>
      <c r="Q1070" s="138"/>
      <c r="R1070" s="138"/>
      <c r="S1070" s="139"/>
      <c r="T1070" s="140"/>
      <c r="U1070" s="136"/>
      <c r="V1070" s="136"/>
      <c r="W1070" s="136"/>
      <c r="X1070" s="136"/>
    </row>
    <row r="1071">
      <c r="E1071" s="136"/>
      <c r="F1071" s="136"/>
      <c r="G1071" s="136"/>
      <c r="H1071" s="137"/>
      <c r="I1071" s="136"/>
      <c r="J1071" s="136"/>
      <c r="K1071" s="136"/>
      <c r="L1071" s="136"/>
      <c r="M1071" s="136"/>
      <c r="N1071" s="136"/>
      <c r="O1071" s="142"/>
      <c r="P1071" s="138"/>
      <c r="Q1071" s="138"/>
      <c r="R1071" s="138"/>
      <c r="S1071" s="139"/>
      <c r="T1071" s="140"/>
      <c r="U1071" s="136"/>
      <c r="V1071" s="136"/>
      <c r="W1071" s="136"/>
      <c r="X1071" s="136"/>
    </row>
    <row r="1072">
      <c r="E1072" s="136"/>
      <c r="F1072" s="136"/>
      <c r="G1072" s="136"/>
      <c r="H1072" s="137"/>
      <c r="I1072" s="136"/>
      <c r="J1072" s="136"/>
      <c r="K1072" s="136"/>
      <c r="L1072" s="136"/>
      <c r="M1072" s="136"/>
      <c r="N1072" s="136"/>
      <c r="O1072" s="142"/>
      <c r="P1072" s="138"/>
      <c r="Q1072" s="138"/>
      <c r="R1072" s="138"/>
      <c r="S1072" s="139"/>
      <c r="T1072" s="140"/>
      <c r="U1072" s="136"/>
      <c r="V1072" s="136"/>
      <c r="W1072" s="136"/>
      <c r="X1072" s="136"/>
    </row>
    <row r="1073">
      <c r="E1073" s="136"/>
      <c r="F1073" s="136"/>
      <c r="G1073" s="136"/>
      <c r="H1073" s="137"/>
      <c r="I1073" s="136"/>
      <c r="J1073" s="136"/>
      <c r="K1073" s="136"/>
      <c r="L1073" s="136"/>
      <c r="M1073" s="136"/>
      <c r="N1073" s="136"/>
      <c r="O1073" s="142"/>
      <c r="P1073" s="138"/>
      <c r="Q1073" s="138"/>
      <c r="R1073" s="138"/>
      <c r="S1073" s="139"/>
      <c r="T1073" s="140"/>
      <c r="U1073" s="136"/>
      <c r="V1073" s="136"/>
      <c r="W1073" s="136"/>
      <c r="X1073" s="136"/>
    </row>
    <row r="1074">
      <c r="E1074" s="136"/>
      <c r="F1074" s="136"/>
      <c r="G1074" s="136"/>
      <c r="H1074" s="137"/>
      <c r="I1074" s="136"/>
      <c r="J1074" s="136"/>
      <c r="K1074" s="136"/>
      <c r="L1074" s="136"/>
      <c r="M1074" s="136"/>
      <c r="N1074" s="136"/>
      <c r="O1074" s="142"/>
      <c r="P1074" s="138"/>
      <c r="Q1074" s="138"/>
      <c r="R1074" s="138"/>
      <c r="S1074" s="139"/>
      <c r="T1074" s="140"/>
      <c r="U1074" s="136"/>
      <c r="V1074" s="136"/>
      <c r="W1074" s="136"/>
      <c r="X1074" s="136"/>
    </row>
    <row r="1075">
      <c r="E1075" s="136"/>
      <c r="F1075" s="136"/>
      <c r="G1075" s="136"/>
      <c r="H1075" s="137"/>
      <c r="I1075" s="136"/>
      <c r="J1075" s="136"/>
      <c r="K1075" s="136"/>
      <c r="L1075" s="136"/>
      <c r="M1075" s="136"/>
      <c r="N1075" s="136"/>
      <c r="O1075" s="142"/>
      <c r="P1075" s="138"/>
      <c r="Q1075" s="138"/>
      <c r="R1075" s="138"/>
      <c r="S1075" s="139"/>
      <c r="T1075" s="140"/>
      <c r="U1075" s="136"/>
      <c r="V1075" s="136"/>
      <c r="W1075" s="136"/>
      <c r="X1075" s="136"/>
    </row>
    <row r="1076">
      <c r="E1076" s="136"/>
      <c r="F1076" s="136"/>
      <c r="G1076" s="136"/>
      <c r="H1076" s="137"/>
      <c r="I1076" s="136"/>
      <c r="J1076" s="136"/>
      <c r="K1076" s="136"/>
      <c r="L1076" s="136"/>
      <c r="M1076" s="136"/>
      <c r="N1076" s="136"/>
      <c r="O1076" s="142"/>
      <c r="P1076" s="138"/>
      <c r="Q1076" s="138"/>
      <c r="R1076" s="138"/>
      <c r="S1076" s="139"/>
      <c r="T1076" s="140"/>
      <c r="U1076" s="136"/>
      <c r="V1076" s="136"/>
      <c r="W1076" s="136"/>
      <c r="X1076" s="136"/>
    </row>
    <row r="1077">
      <c r="E1077" s="136"/>
      <c r="F1077" s="136"/>
      <c r="G1077" s="136"/>
      <c r="H1077" s="137"/>
      <c r="I1077" s="136"/>
      <c r="J1077" s="136"/>
      <c r="K1077" s="136"/>
      <c r="L1077" s="136"/>
      <c r="M1077" s="136"/>
      <c r="N1077" s="136"/>
      <c r="O1077" s="142"/>
      <c r="P1077" s="138"/>
      <c r="Q1077" s="138"/>
      <c r="R1077" s="138"/>
      <c r="S1077" s="139"/>
      <c r="T1077" s="140"/>
      <c r="U1077" s="136"/>
      <c r="V1077" s="136"/>
      <c r="W1077" s="136"/>
      <c r="X1077" s="136"/>
    </row>
    <row r="1078">
      <c r="E1078" s="136"/>
      <c r="F1078" s="136"/>
      <c r="G1078" s="136"/>
      <c r="H1078" s="137"/>
      <c r="I1078" s="136"/>
      <c r="J1078" s="136"/>
      <c r="K1078" s="136"/>
      <c r="L1078" s="136"/>
      <c r="M1078" s="136"/>
      <c r="N1078" s="136"/>
      <c r="O1078" s="142"/>
      <c r="P1078" s="138"/>
      <c r="Q1078" s="138"/>
      <c r="R1078" s="138"/>
      <c r="S1078" s="139"/>
      <c r="T1078" s="140"/>
      <c r="U1078" s="136"/>
      <c r="V1078" s="136"/>
      <c r="W1078" s="136"/>
      <c r="X1078" s="136"/>
    </row>
    <row r="1079">
      <c r="E1079" s="136"/>
      <c r="F1079" s="136"/>
      <c r="G1079" s="136"/>
      <c r="H1079" s="137"/>
      <c r="I1079" s="136"/>
      <c r="J1079" s="136"/>
      <c r="K1079" s="136"/>
      <c r="L1079" s="136"/>
      <c r="M1079" s="136"/>
      <c r="N1079" s="136"/>
      <c r="O1079" s="142"/>
      <c r="P1079" s="138"/>
      <c r="Q1079" s="138"/>
      <c r="R1079" s="138"/>
      <c r="S1079" s="139"/>
      <c r="T1079" s="140"/>
      <c r="U1079" s="136"/>
      <c r="V1079" s="136"/>
      <c r="W1079" s="136"/>
      <c r="X1079" s="136"/>
    </row>
    <row r="1080">
      <c r="E1080" s="136"/>
      <c r="F1080" s="136"/>
      <c r="G1080" s="136"/>
      <c r="H1080" s="137"/>
      <c r="I1080" s="136"/>
      <c r="J1080" s="136"/>
      <c r="K1080" s="136"/>
      <c r="L1080" s="136"/>
      <c r="M1080" s="136"/>
      <c r="N1080" s="136"/>
      <c r="O1080" s="142"/>
      <c r="P1080" s="138"/>
      <c r="Q1080" s="138"/>
      <c r="R1080" s="138"/>
      <c r="S1080" s="139"/>
      <c r="T1080" s="140"/>
      <c r="U1080" s="136"/>
      <c r="V1080" s="136"/>
      <c r="W1080" s="136"/>
      <c r="X1080" s="136"/>
    </row>
    <row r="1081">
      <c r="E1081" s="136"/>
      <c r="F1081" s="136"/>
      <c r="G1081" s="136"/>
      <c r="H1081" s="137"/>
      <c r="I1081" s="136"/>
      <c r="J1081" s="136"/>
      <c r="K1081" s="136"/>
      <c r="L1081" s="136"/>
      <c r="M1081" s="136"/>
      <c r="N1081" s="136"/>
      <c r="O1081" s="142"/>
      <c r="P1081" s="138"/>
      <c r="Q1081" s="138"/>
      <c r="R1081" s="138"/>
      <c r="S1081" s="139"/>
      <c r="T1081" s="140"/>
      <c r="U1081" s="136"/>
      <c r="V1081" s="136"/>
      <c r="W1081" s="136"/>
      <c r="X1081" s="136"/>
    </row>
    <row r="1082">
      <c r="E1082" s="136"/>
      <c r="F1082" s="136"/>
      <c r="G1082" s="136"/>
      <c r="H1082" s="137"/>
      <c r="I1082" s="136"/>
      <c r="J1082" s="136"/>
      <c r="K1082" s="136"/>
      <c r="L1082" s="136"/>
      <c r="M1082" s="136"/>
      <c r="N1082" s="136"/>
      <c r="O1082" s="142"/>
      <c r="P1082" s="138"/>
      <c r="Q1082" s="138"/>
      <c r="R1082" s="138"/>
      <c r="S1082" s="139"/>
      <c r="T1082" s="140"/>
      <c r="U1082" s="136"/>
      <c r="V1082" s="136"/>
      <c r="W1082" s="136"/>
      <c r="X1082" s="136"/>
    </row>
    <row r="1083">
      <c r="E1083" s="136"/>
      <c r="F1083" s="136"/>
      <c r="G1083" s="136"/>
      <c r="H1083" s="137"/>
      <c r="I1083" s="136"/>
      <c r="J1083" s="136"/>
      <c r="K1083" s="136"/>
      <c r="L1083" s="136"/>
      <c r="M1083" s="136"/>
      <c r="N1083" s="136"/>
      <c r="O1083" s="142"/>
      <c r="P1083" s="138"/>
      <c r="Q1083" s="138"/>
      <c r="R1083" s="138"/>
      <c r="S1083" s="139"/>
      <c r="T1083" s="140"/>
      <c r="U1083" s="136"/>
      <c r="V1083" s="136"/>
      <c r="W1083" s="136"/>
      <c r="X1083" s="136"/>
    </row>
    <row r="1084">
      <c r="E1084" s="136"/>
      <c r="F1084" s="136"/>
      <c r="G1084" s="136"/>
      <c r="H1084" s="137"/>
      <c r="I1084" s="136"/>
      <c r="J1084" s="136"/>
      <c r="K1084" s="136"/>
      <c r="L1084" s="136"/>
      <c r="M1084" s="136"/>
      <c r="N1084" s="136"/>
      <c r="O1084" s="142"/>
      <c r="P1084" s="138"/>
      <c r="Q1084" s="138"/>
      <c r="R1084" s="138"/>
      <c r="S1084" s="139"/>
      <c r="T1084" s="140"/>
      <c r="U1084" s="136"/>
      <c r="V1084" s="136"/>
      <c r="W1084" s="136"/>
      <c r="X1084" s="136"/>
    </row>
    <row r="1085">
      <c r="E1085" s="136"/>
      <c r="F1085" s="136"/>
      <c r="G1085" s="136"/>
      <c r="H1085" s="137"/>
      <c r="I1085" s="136"/>
      <c r="J1085" s="136"/>
      <c r="K1085" s="136"/>
      <c r="L1085" s="136"/>
      <c r="M1085" s="136"/>
      <c r="N1085" s="136"/>
      <c r="O1085" s="142"/>
      <c r="P1085" s="138"/>
      <c r="Q1085" s="138"/>
      <c r="R1085" s="138"/>
      <c r="S1085" s="139"/>
      <c r="T1085" s="140"/>
      <c r="U1085" s="136"/>
      <c r="V1085" s="136"/>
      <c r="W1085" s="136"/>
      <c r="X1085" s="136"/>
    </row>
    <row r="1086">
      <c r="E1086" s="136"/>
      <c r="F1086" s="136"/>
      <c r="G1086" s="136"/>
      <c r="H1086" s="137"/>
      <c r="I1086" s="136"/>
      <c r="J1086" s="136"/>
      <c r="K1086" s="136"/>
      <c r="L1086" s="136"/>
      <c r="M1086" s="136"/>
      <c r="N1086" s="136"/>
      <c r="O1086" s="142"/>
      <c r="P1086" s="138"/>
      <c r="Q1086" s="138"/>
      <c r="R1086" s="138"/>
      <c r="S1086" s="139"/>
      <c r="T1086" s="140"/>
      <c r="U1086" s="136"/>
      <c r="V1086" s="136"/>
      <c r="W1086" s="136"/>
      <c r="X1086" s="136"/>
    </row>
    <row r="1087">
      <c r="E1087" s="136"/>
      <c r="F1087" s="136"/>
      <c r="G1087" s="136"/>
      <c r="H1087" s="137"/>
      <c r="I1087" s="136"/>
      <c r="J1087" s="136"/>
      <c r="K1087" s="136"/>
      <c r="L1087" s="136"/>
      <c r="M1087" s="136"/>
      <c r="N1087" s="136"/>
      <c r="O1087" s="142"/>
      <c r="P1087" s="138"/>
      <c r="Q1087" s="138"/>
      <c r="R1087" s="138"/>
      <c r="S1087" s="139"/>
      <c r="T1087" s="140"/>
      <c r="U1087" s="136"/>
      <c r="V1087" s="136"/>
      <c r="W1087" s="136"/>
      <c r="X1087" s="136"/>
    </row>
    <row r="1088">
      <c r="E1088" s="136"/>
      <c r="F1088" s="136"/>
      <c r="G1088" s="136"/>
      <c r="H1088" s="137"/>
      <c r="I1088" s="136"/>
      <c r="J1088" s="136"/>
      <c r="K1088" s="136"/>
      <c r="L1088" s="136"/>
      <c r="M1088" s="136"/>
      <c r="N1088" s="136"/>
      <c r="O1088" s="142"/>
      <c r="P1088" s="138"/>
      <c r="Q1088" s="138"/>
      <c r="R1088" s="138"/>
      <c r="S1088" s="139"/>
      <c r="T1088" s="140"/>
      <c r="U1088" s="136"/>
      <c r="V1088" s="136"/>
      <c r="W1088" s="136"/>
      <c r="X1088" s="136"/>
    </row>
    <row r="1089">
      <c r="E1089" s="136"/>
      <c r="F1089" s="136"/>
      <c r="G1089" s="136"/>
      <c r="H1089" s="137"/>
      <c r="I1089" s="136"/>
      <c r="J1089" s="136"/>
      <c r="K1089" s="136"/>
      <c r="L1089" s="136"/>
      <c r="M1089" s="136"/>
      <c r="N1089" s="136"/>
      <c r="O1089" s="142"/>
      <c r="P1089" s="138"/>
      <c r="Q1089" s="138"/>
      <c r="R1089" s="138"/>
      <c r="S1089" s="139"/>
      <c r="T1089" s="140"/>
      <c r="U1089" s="136"/>
      <c r="V1089" s="136"/>
      <c r="W1089" s="136"/>
      <c r="X1089" s="136"/>
    </row>
    <row r="1090">
      <c r="E1090" s="136"/>
      <c r="F1090" s="136"/>
      <c r="G1090" s="136"/>
      <c r="H1090" s="137"/>
      <c r="I1090" s="136"/>
      <c r="J1090" s="136"/>
      <c r="K1090" s="136"/>
      <c r="L1090" s="136"/>
      <c r="M1090" s="136"/>
      <c r="N1090" s="136"/>
      <c r="O1090" s="142"/>
      <c r="P1090" s="138"/>
      <c r="Q1090" s="138"/>
      <c r="R1090" s="138"/>
      <c r="S1090" s="139"/>
      <c r="T1090" s="140"/>
      <c r="U1090" s="136"/>
      <c r="V1090" s="136"/>
      <c r="W1090" s="136"/>
      <c r="X1090" s="136"/>
    </row>
    <row r="1091">
      <c r="E1091" s="136"/>
      <c r="F1091" s="136"/>
      <c r="G1091" s="136"/>
      <c r="H1091" s="137"/>
      <c r="I1091" s="136"/>
      <c r="J1091" s="136"/>
      <c r="K1091" s="136"/>
      <c r="L1091" s="136"/>
      <c r="M1091" s="136"/>
      <c r="N1091" s="136"/>
      <c r="O1091" s="142"/>
      <c r="P1091" s="138"/>
      <c r="Q1091" s="138"/>
      <c r="R1091" s="138"/>
      <c r="S1091" s="139"/>
      <c r="T1091" s="140"/>
      <c r="U1091" s="136"/>
      <c r="V1091" s="136"/>
      <c r="W1091" s="136"/>
      <c r="X1091" s="136"/>
    </row>
    <row r="1092">
      <c r="E1092" s="136"/>
      <c r="F1092" s="136"/>
      <c r="G1092" s="136"/>
      <c r="H1092" s="137"/>
      <c r="I1092" s="136"/>
      <c r="J1092" s="136"/>
      <c r="K1092" s="136"/>
      <c r="L1092" s="136"/>
      <c r="M1092" s="136"/>
      <c r="N1092" s="136"/>
      <c r="O1092" s="142"/>
      <c r="P1092" s="138"/>
      <c r="Q1092" s="138"/>
      <c r="R1092" s="138"/>
      <c r="S1092" s="139"/>
      <c r="T1092" s="140"/>
      <c r="U1092" s="136"/>
      <c r="V1092" s="136"/>
      <c r="W1092" s="136"/>
      <c r="X1092" s="136"/>
    </row>
    <row r="1093">
      <c r="E1093" s="136"/>
      <c r="F1093" s="136"/>
      <c r="G1093" s="136"/>
      <c r="H1093" s="137"/>
      <c r="I1093" s="136"/>
      <c r="J1093" s="136"/>
      <c r="K1093" s="136"/>
      <c r="L1093" s="136"/>
      <c r="M1093" s="136"/>
      <c r="N1093" s="136"/>
      <c r="O1093" s="142"/>
      <c r="P1093" s="138"/>
      <c r="Q1093" s="138"/>
      <c r="R1093" s="138"/>
      <c r="S1093" s="139"/>
      <c r="T1093" s="140"/>
      <c r="U1093" s="136"/>
      <c r="V1093" s="136"/>
      <c r="W1093" s="136"/>
      <c r="X1093" s="136"/>
    </row>
    <row r="1094">
      <c r="E1094" s="136"/>
      <c r="F1094" s="136"/>
      <c r="G1094" s="136"/>
      <c r="H1094" s="137"/>
      <c r="I1094" s="136"/>
      <c r="J1094" s="136"/>
      <c r="K1094" s="136"/>
      <c r="L1094" s="136"/>
      <c r="M1094" s="136"/>
      <c r="N1094" s="136"/>
      <c r="O1094" s="142"/>
      <c r="P1094" s="138"/>
      <c r="Q1094" s="138"/>
      <c r="R1094" s="138"/>
      <c r="S1094" s="139"/>
      <c r="T1094" s="140"/>
      <c r="U1094" s="136"/>
      <c r="V1094" s="136"/>
      <c r="W1094" s="136"/>
      <c r="X1094" s="136"/>
    </row>
    <row r="1095">
      <c r="E1095" s="136"/>
      <c r="F1095" s="136"/>
      <c r="G1095" s="136"/>
      <c r="H1095" s="137"/>
      <c r="I1095" s="136"/>
      <c r="J1095" s="136"/>
      <c r="K1095" s="136"/>
      <c r="L1095" s="136"/>
      <c r="M1095" s="136"/>
      <c r="N1095" s="136"/>
      <c r="O1095" s="142"/>
      <c r="P1095" s="138"/>
      <c r="Q1095" s="138"/>
      <c r="R1095" s="138"/>
      <c r="S1095" s="139"/>
      <c r="T1095" s="140"/>
      <c r="U1095" s="136"/>
      <c r="V1095" s="136"/>
      <c r="W1095" s="136"/>
      <c r="X1095" s="136"/>
    </row>
    <row r="1096">
      <c r="E1096" s="136"/>
      <c r="F1096" s="136"/>
      <c r="G1096" s="136"/>
      <c r="H1096" s="137"/>
      <c r="I1096" s="136"/>
      <c r="J1096" s="136"/>
      <c r="K1096" s="136"/>
      <c r="L1096" s="136"/>
      <c r="M1096" s="136"/>
      <c r="N1096" s="136"/>
      <c r="O1096" s="142"/>
      <c r="P1096" s="138"/>
      <c r="Q1096" s="138"/>
      <c r="R1096" s="138"/>
      <c r="S1096" s="139"/>
      <c r="T1096" s="140"/>
      <c r="U1096" s="136"/>
      <c r="V1096" s="136"/>
      <c r="W1096" s="136"/>
      <c r="X1096" s="136"/>
    </row>
    <row r="1097">
      <c r="E1097" s="136"/>
      <c r="F1097" s="136"/>
      <c r="G1097" s="136"/>
      <c r="H1097" s="137"/>
      <c r="I1097" s="136"/>
      <c r="J1097" s="136"/>
      <c r="K1097" s="136"/>
      <c r="L1097" s="136"/>
      <c r="M1097" s="136"/>
      <c r="N1097" s="136"/>
      <c r="O1097" s="142"/>
      <c r="P1097" s="138"/>
      <c r="Q1097" s="138"/>
      <c r="R1097" s="138"/>
      <c r="S1097" s="139"/>
      <c r="T1097" s="140"/>
      <c r="U1097" s="136"/>
      <c r="V1097" s="136"/>
      <c r="W1097" s="136"/>
      <c r="X1097" s="136"/>
    </row>
    <row r="1098">
      <c r="E1098" s="136"/>
      <c r="F1098" s="136"/>
      <c r="G1098" s="136"/>
      <c r="H1098" s="137"/>
      <c r="I1098" s="136"/>
      <c r="J1098" s="136"/>
      <c r="K1098" s="136"/>
      <c r="L1098" s="136"/>
      <c r="M1098" s="136"/>
      <c r="N1098" s="136"/>
      <c r="O1098" s="142"/>
      <c r="P1098" s="138"/>
      <c r="Q1098" s="138"/>
      <c r="R1098" s="138"/>
      <c r="S1098" s="139"/>
      <c r="T1098" s="140"/>
      <c r="U1098" s="136"/>
      <c r="V1098" s="136"/>
      <c r="W1098" s="136"/>
      <c r="X1098" s="136"/>
    </row>
    <row r="1099">
      <c r="E1099" s="136"/>
      <c r="F1099" s="136"/>
      <c r="G1099" s="136"/>
      <c r="H1099" s="137"/>
      <c r="I1099" s="136"/>
      <c r="J1099" s="136"/>
      <c r="K1099" s="136"/>
      <c r="L1099" s="136"/>
      <c r="M1099" s="136"/>
      <c r="N1099" s="136"/>
      <c r="O1099" s="142"/>
      <c r="P1099" s="138"/>
      <c r="Q1099" s="138"/>
      <c r="R1099" s="138"/>
      <c r="S1099" s="139"/>
      <c r="T1099" s="140"/>
      <c r="U1099" s="136"/>
      <c r="V1099" s="136"/>
      <c r="W1099" s="136"/>
      <c r="X1099" s="136"/>
    </row>
    <row r="1100">
      <c r="E1100" s="136"/>
      <c r="F1100" s="136"/>
      <c r="G1100" s="136"/>
      <c r="H1100" s="137"/>
      <c r="I1100" s="136"/>
      <c r="J1100" s="136"/>
      <c r="K1100" s="136"/>
      <c r="L1100" s="136"/>
      <c r="M1100" s="136"/>
      <c r="N1100" s="136"/>
      <c r="O1100" s="142"/>
      <c r="P1100" s="138"/>
      <c r="Q1100" s="138"/>
      <c r="R1100" s="138"/>
      <c r="S1100" s="139"/>
      <c r="T1100" s="140"/>
      <c r="U1100" s="136"/>
      <c r="V1100" s="136"/>
      <c r="W1100" s="136"/>
      <c r="X1100" s="136"/>
    </row>
    <row r="1101">
      <c r="E1101" s="136"/>
      <c r="F1101" s="136"/>
      <c r="G1101" s="136"/>
      <c r="H1101" s="137"/>
      <c r="I1101" s="136"/>
      <c r="J1101" s="136"/>
      <c r="K1101" s="136"/>
      <c r="L1101" s="136"/>
      <c r="M1101" s="136"/>
      <c r="N1101" s="136"/>
      <c r="O1101" s="142"/>
      <c r="P1101" s="138"/>
      <c r="Q1101" s="138"/>
      <c r="R1101" s="138"/>
      <c r="S1101" s="139"/>
      <c r="T1101" s="140"/>
      <c r="U1101" s="136"/>
      <c r="V1101" s="136"/>
      <c r="W1101" s="136"/>
      <c r="X1101" s="136"/>
    </row>
    <row r="1102">
      <c r="E1102" s="136"/>
      <c r="F1102" s="136"/>
      <c r="G1102" s="136"/>
      <c r="H1102" s="137"/>
      <c r="I1102" s="136"/>
      <c r="J1102" s="136"/>
      <c r="K1102" s="136"/>
      <c r="L1102" s="136"/>
      <c r="M1102" s="136"/>
      <c r="N1102" s="136"/>
      <c r="O1102" s="142"/>
      <c r="P1102" s="138"/>
      <c r="Q1102" s="138"/>
      <c r="R1102" s="138"/>
      <c r="S1102" s="139"/>
      <c r="T1102" s="140"/>
      <c r="U1102" s="136"/>
      <c r="V1102" s="136"/>
      <c r="W1102" s="136"/>
      <c r="X1102" s="136"/>
    </row>
    <row r="1103">
      <c r="E1103" s="136"/>
      <c r="F1103" s="136"/>
      <c r="G1103" s="136"/>
      <c r="H1103" s="137"/>
      <c r="I1103" s="136"/>
      <c r="J1103" s="136"/>
      <c r="K1103" s="136"/>
      <c r="L1103" s="136"/>
      <c r="M1103" s="136"/>
      <c r="N1103" s="136"/>
      <c r="O1103" s="142"/>
      <c r="P1103" s="138"/>
      <c r="Q1103" s="138"/>
      <c r="R1103" s="138"/>
      <c r="S1103" s="139"/>
      <c r="T1103" s="140"/>
      <c r="U1103" s="136"/>
      <c r="V1103" s="136"/>
      <c r="W1103" s="136"/>
      <c r="X1103" s="136"/>
    </row>
    <row r="1104">
      <c r="E1104" s="136"/>
      <c r="F1104" s="136"/>
      <c r="G1104" s="136"/>
      <c r="H1104" s="137"/>
      <c r="I1104" s="136"/>
      <c r="J1104" s="136"/>
      <c r="K1104" s="136"/>
      <c r="L1104" s="136"/>
      <c r="M1104" s="136"/>
      <c r="N1104" s="136"/>
      <c r="O1104" s="142"/>
      <c r="P1104" s="138"/>
      <c r="Q1104" s="138"/>
      <c r="R1104" s="138"/>
      <c r="S1104" s="139"/>
      <c r="T1104" s="140"/>
      <c r="U1104" s="136"/>
      <c r="V1104" s="136"/>
      <c r="W1104" s="136"/>
      <c r="X1104" s="136"/>
    </row>
    <row r="1105">
      <c r="E1105" s="136"/>
      <c r="F1105" s="136"/>
      <c r="G1105" s="136"/>
      <c r="H1105" s="137"/>
      <c r="I1105" s="136"/>
      <c r="J1105" s="136"/>
      <c r="K1105" s="136"/>
      <c r="L1105" s="136"/>
      <c r="M1105" s="136"/>
      <c r="N1105" s="136"/>
      <c r="O1105" s="142"/>
      <c r="P1105" s="138"/>
      <c r="Q1105" s="138"/>
      <c r="R1105" s="138"/>
      <c r="S1105" s="139"/>
      <c r="T1105" s="140"/>
      <c r="U1105" s="136"/>
      <c r="V1105" s="136"/>
      <c r="W1105" s="136"/>
      <c r="X1105" s="136"/>
    </row>
    <row r="1106">
      <c r="E1106" s="136"/>
      <c r="F1106" s="136"/>
      <c r="G1106" s="136"/>
      <c r="H1106" s="137"/>
      <c r="I1106" s="136"/>
      <c r="J1106" s="136"/>
      <c r="K1106" s="136"/>
      <c r="L1106" s="136"/>
      <c r="M1106" s="136"/>
      <c r="N1106" s="136"/>
      <c r="O1106" s="142"/>
      <c r="P1106" s="138"/>
      <c r="Q1106" s="138"/>
      <c r="R1106" s="138"/>
      <c r="S1106" s="139"/>
      <c r="T1106" s="140"/>
      <c r="U1106" s="136"/>
      <c r="V1106" s="136"/>
      <c r="W1106" s="136"/>
      <c r="X1106" s="136"/>
    </row>
    <row r="1107">
      <c r="E1107" s="136"/>
      <c r="F1107" s="136"/>
      <c r="G1107" s="136"/>
      <c r="H1107" s="137"/>
      <c r="I1107" s="136"/>
      <c r="J1107" s="136"/>
      <c r="K1107" s="136"/>
      <c r="L1107" s="136"/>
      <c r="M1107" s="136"/>
      <c r="N1107" s="136"/>
      <c r="O1107" s="142"/>
      <c r="P1107" s="138"/>
      <c r="Q1107" s="138"/>
      <c r="R1107" s="138"/>
      <c r="S1107" s="139"/>
      <c r="T1107" s="140"/>
      <c r="U1107" s="136"/>
      <c r="V1107" s="136"/>
      <c r="W1107" s="136"/>
      <c r="X1107" s="136"/>
    </row>
    <row r="1108">
      <c r="E1108" s="136"/>
      <c r="F1108" s="136"/>
      <c r="G1108" s="136"/>
      <c r="H1108" s="137"/>
      <c r="I1108" s="136"/>
      <c r="J1108" s="136"/>
      <c r="K1108" s="136"/>
      <c r="L1108" s="136"/>
      <c r="M1108" s="136"/>
      <c r="N1108" s="136"/>
      <c r="O1108" s="142"/>
      <c r="P1108" s="138"/>
      <c r="Q1108" s="138"/>
      <c r="R1108" s="138"/>
      <c r="S1108" s="139"/>
      <c r="T1108" s="140"/>
      <c r="U1108" s="136"/>
      <c r="V1108" s="136"/>
      <c r="W1108" s="136"/>
      <c r="X1108" s="136"/>
    </row>
    <row r="1109">
      <c r="E1109" s="136"/>
      <c r="F1109" s="136"/>
      <c r="G1109" s="136"/>
      <c r="H1109" s="137"/>
      <c r="I1109" s="136"/>
      <c r="J1109" s="136"/>
      <c r="K1109" s="136"/>
      <c r="L1109" s="136"/>
      <c r="M1109" s="136"/>
      <c r="N1109" s="136"/>
      <c r="O1109" s="142"/>
      <c r="P1109" s="138"/>
      <c r="Q1109" s="138"/>
      <c r="R1109" s="138"/>
      <c r="S1109" s="139"/>
      <c r="T1109" s="140"/>
      <c r="U1109" s="136"/>
      <c r="V1109" s="136"/>
      <c r="W1109" s="136"/>
      <c r="X1109" s="136"/>
    </row>
    <row r="1110">
      <c r="E1110" s="136"/>
      <c r="F1110" s="136"/>
      <c r="G1110" s="136"/>
      <c r="H1110" s="137"/>
      <c r="I1110" s="136"/>
      <c r="J1110" s="136"/>
      <c r="K1110" s="136"/>
      <c r="L1110" s="136"/>
      <c r="M1110" s="136"/>
      <c r="N1110" s="136"/>
      <c r="O1110" s="142"/>
      <c r="P1110" s="138"/>
      <c r="Q1110" s="138"/>
      <c r="R1110" s="138"/>
      <c r="S1110" s="139"/>
      <c r="T1110" s="140"/>
      <c r="U1110" s="136"/>
      <c r="V1110" s="136"/>
      <c r="W1110" s="136"/>
      <c r="X1110" s="136"/>
    </row>
    <row r="1111">
      <c r="E1111" s="136"/>
      <c r="F1111" s="136"/>
      <c r="G1111" s="136"/>
      <c r="H1111" s="137"/>
      <c r="I1111" s="136"/>
      <c r="J1111" s="136"/>
      <c r="K1111" s="136"/>
      <c r="L1111" s="136"/>
      <c r="M1111" s="136"/>
      <c r="N1111" s="136"/>
      <c r="O1111" s="142"/>
      <c r="P1111" s="138"/>
      <c r="Q1111" s="138"/>
      <c r="R1111" s="138"/>
      <c r="S1111" s="139"/>
      <c r="T1111" s="140"/>
      <c r="U1111" s="136"/>
      <c r="V1111" s="136"/>
      <c r="W1111" s="136"/>
      <c r="X1111" s="136"/>
    </row>
    <row r="1112">
      <c r="E1112" s="136"/>
      <c r="F1112" s="136"/>
      <c r="G1112" s="136"/>
      <c r="H1112" s="137"/>
      <c r="I1112" s="136"/>
      <c r="J1112" s="136"/>
      <c r="K1112" s="136"/>
      <c r="L1112" s="136"/>
      <c r="M1112" s="136"/>
      <c r="N1112" s="136"/>
      <c r="O1112" s="142"/>
      <c r="P1112" s="138"/>
      <c r="Q1112" s="138"/>
      <c r="R1112" s="138"/>
      <c r="S1112" s="139"/>
      <c r="T1112" s="140"/>
      <c r="U1112" s="136"/>
      <c r="V1112" s="136"/>
      <c r="W1112" s="136"/>
      <c r="X1112" s="136"/>
    </row>
    <row r="1113">
      <c r="E1113" s="136"/>
      <c r="F1113" s="136"/>
      <c r="G1113" s="136"/>
      <c r="H1113" s="137"/>
      <c r="I1113" s="136"/>
      <c r="J1113" s="136"/>
      <c r="K1113" s="136"/>
      <c r="L1113" s="136"/>
      <c r="M1113" s="136"/>
      <c r="N1113" s="136"/>
      <c r="O1113" s="142"/>
      <c r="P1113" s="138"/>
      <c r="Q1113" s="138"/>
      <c r="R1113" s="138"/>
      <c r="S1113" s="139"/>
      <c r="T1113" s="140"/>
      <c r="U1113" s="136"/>
      <c r="V1113" s="136"/>
      <c r="W1113" s="136"/>
      <c r="X1113" s="136"/>
    </row>
    <row r="1114">
      <c r="E1114" s="136"/>
      <c r="F1114" s="136"/>
      <c r="G1114" s="136"/>
      <c r="H1114" s="137"/>
      <c r="I1114" s="136"/>
      <c r="J1114" s="136"/>
      <c r="K1114" s="136"/>
      <c r="L1114" s="136"/>
      <c r="M1114" s="136"/>
      <c r="N1114" s="136"/>
      <c r="O1114" s="142"/>
      <c r="P1114" s="138"/>
      <c r="Q1114" s="138"/>
      <c r="R1114" s="138"/>
      <c r="S1114" s="139"/>
      <c r="T1114" s="140"/>
      <c r="U1114" s="136"/>
      <c r="V1114" s="136"/>
      <c r="W1114" s="136"/>
      <c r="X1114" s="136"/>
    </row>
    <row r="1115">
      <c r="E1115" s="136"/>
      <c r="F1115" s="136"/>
      <c r="G1115" s="136"/>
      <c r="H1115" s="137"/>
      <c r="I1115" s="136"/>
      <c r="J1115" s="136"/>
      <c r="K1115" s="136"/>
      <c r="L1115" s="136"/>
      <c r="M1115" s="136"/>
      <c r="N1115" s="136"/>
      <c r="O1115" s="142"/>
      <c r="P1115" s="138"/>
      <c r="Q1115" s="138"/>
      <c r="R1115" s="138"/>
      <c r="S1115" s="139"/>
      <c r="T1115" s="140"/>
      <c r="U1115" s="136"/>
      <c r="V1115" s="136"/>
      <c r="W1115" s="136"/>
      <c r="X1115" s="136"/>
    </row>
    <row r="1116">
      <c r="E1116" s="136"/>
      <c r="F1116" s="136"/>
      <c r="G1116" s="136"/>
      <c r="H1116" s="137"/>
      <c r="I1116" s="136"/>
      <c r="J1116" s="136"/>
      <c r="K1116" s="136"/>
      <c r="L1116" s="136"/>
      <c r="M1116" s="136"/>
      <c r="N1116" s="136"/>
      <c r="O1116" s="142"/>
      <c r="P1116" s="138"/>
      <c r="Q1116" s="138"/>
      <c r="R1116" s="138"/>
      <c r="S1116" s="139"/>
      <c r="T1116" s="140"/>
      <c r="U1116" s="136"/>
      <c r="V1116" s="136"/>
      <c r="W1116" s="136"/>
      <c r="X1116" s="136"/>
    </row>
    <row r="1117">
      <c r="E1117" s="136"/>
      <c r="F1117" s="136"/>
      <c r="G1117" s="136"/>
      <c r="H1117" s="137"/>
      <c r="I1117" s="136"/>
      <c r="J1117" s="136"/>
      <c r="K1117" s="136"/>
      <c r="L1117" s="136"/>
      <c r="M1117" s="136"/>
      <c r="N1117" s="136"/>
      <c r="O1117" s="142"/>
      <c r="P1117" s="138"/>
      <c r="Q1117" s="138"/>
      <c r="R1117" s="138"/>
      <c r="S1117" s="139"/>
      <c r="T1117" s="140"/>
      <c r="U1117" s="136"/>
      <c r="V1117" s="136"/>
      <c r="W1117" s="136"/>
      <c r="X1117" s="136"/>
    </row>
    <row r="1118">
      <c r="E1118" s="136"/>
      <c r="F1118" s="136"/>
      <c r="G1118" s="136"/>
      <c r="H1118" s="137"/>
      <c r="I1118" s="136"/>
      <c r="J1118" s="136"/>
      <c r="K1118" s="136"/>
      <c r="L1118" s="136"/>
      <c r="M1118" s="136"/>
      <c r="N1118" s="136"/>
      <c r="O1118" s="142"/>
      <c r="P1118" s="138"/>
      <c r="Q1118" s="138"/>
      <c r="R1118" s="138"/>
      <c r="S1118" s="139"/>
      <c r="T1118" s="140"/>
      <c r="U1118" s="136"/>
      <c r="V1118" s="136"/>
      <c r="W1118" s="136"/>
      <c r="X1118" s="136"/>
    </row>
    <row r="1119">
      <c r="E1119" s="136"/>
      <c r="F1119" s="136"/>
      <c r="G1119" s="136"/>
      <c r="H1119" s="137"/>
      <c r="I1119" s="136"/>
      <c r="J1119" s="136"/>
      <c r="K1119" s="136"/>
      <c r="L1119" s="136"/>
      <c r="M1119" s="136"/>
      <c r="N1119" s="136"/>
      <c r="O1119" s="142"/>
      <c r="P1119" s="138"/>
      <c r="Q1119" s="138"/>
      <c r="R1119" s="138"/>
      <c r="S1119" s="139"/>
      <c r="T1119" s="140"/>
      <c r="U1119" s="136"/>
      <c r="V1119" s="136"/>
      <c r="W1119" s="136"/>
      <c r="X1119" s="136"/>
    </row>
    <row r="1120">
      <c r="E1120" s="136"/>
      <c r="F1120" s="136"/>
      <c r="G1120" s="136"/>
      <c r="H1120" s="137"/>
      <c r="I1120" s="136"/>
      <c r="J1120" s="136"/>
      <c r="K1120" s="136"/>
      <c r="L1120" s="136"/>
      <c r="M1120" s="136"/>
      <c r="N1120" s="136"/>
      <c r="O1120" s="142"/>
      <c r="P1120" s="138"/>
      <c r="Q1120" s="138"/>
      <c r="R1120" s="138"/>
      <c r="S1120" s="139"/>
      <c r="T1120" s="140"/>
      <c r="U1120" s="136"/>
      <c r="V1120" s="136"/>
      <c r="W1120" s="136"/>
      <c r="X1120" s="136"/>
    </row>
    <row r="1121">
      <c r="E1121" s="136"/>
      <c r="F1121" s="136"/>
      <c r="G1121" s="136"/>
      <c r="H1121" s="137"/>
      <c r="I1121" s="136"/>
      <c r="J1121" s="136"/>
      <c r="K1121" s="136"/>
      <c r="L1121" s="136"/>
      <c r="M1121" s="136"/>
      <c r="N1121" s="136"/>
      <c r="O1121" s="142"/>
      <c r="P1121" s="138"/>
      <c r="Q1121" s="138"/>
      <c r="R1121" s="138"/>
      <c r="S1121" s="139"/>
      <c r="T1121" s="140"/>
      <c r="U1121" s="136"/>
      <c r="V1121" s="136"/>
      <c r="W1121" s="136"/>
      <c r="X1121" s="136"/>
    </row>
    <row r="1122">
      <c r="E1122" s="136"/>
      <c r="F1122" s="136"/>
      <c r="G1122" s="136"/>
      <c r="H1122" s="137"/>
      <c r="I1122" s="136"/>
      <c r="J1122" s="136"/>
      <c r="K1122" s="136"/>
      <c r="L1122" s="136"/>
      <c r="M1122" s="136"/>
      <c r="N1122" s="136"/>
      <c r="O1122" s="142"/>
      <c r="P1122" s="138"/>
      <c r="Q1122" s="138"/>
      <c r="R1122" s="138"/>
      <c r="S1122" s="139"/>
      <c r="T1122" s="140"/>
      <c r="U1122" s="136"/>
      <c r="V1122" s="136"/>
      <c r="W1122" s="136"/>
      <c r="X1122" s="136"/>
    </row>
    <row r="1123">
      <c r="E1123" s="136"/>
      <c r="F1123" s="136"/>
      <c r="G1123" s="136"/>
      <c r="H1123" s="137"/>
      <c r="I1123" s="136"/>
      <c r="J1123" s="136"/>
      <c r="K1123" s="136"/>
      <c r="L1123" s="136"/>
      <c r="M1123" s="136"/>
      <c r="N1123" s="136"/>
      <c r="O1123" s="142"/>
      <c r="P1123" s="138"/>
      <c r="Q1123" s="138"/>
      <c r="R1123" s="138"/>
      <c r="S1123" s="139"/>
      <c r="T1123" s="140"/>
      <c r="U1123" s="136"/>
      <c r="V1123" s="136"/>
      <c r="W1123" s="136"/>
      <c r="X1123" s="136"/>
    </row>
    <row r="1124">
      <c r="E1124" s="136"/>
      <c r="F1124" s="136"/>
      <c r="G1124" s="136"/>
      <c r="H1124" s="137"/>
      <c r="I1124" s="136"/>
      <c r="J1124" s="136"/>
      <c r="K1124" s="136"/>
      <c r="L1124" s="136"/>
      <c r="M1124" s="136"/>
      <c r="N1124" s="136"/>
      <c r="O1124" s="142"/>
      <c r="P1124" s="138"/>
      <c r="Q1124" s="138"/>
      <c r="R1124" s="138"/>
      <c r="S1124" s="139"/>
      <c r="T1124" s="140"/>
      <c r="U1124" s="136"/>
      <c r="V1124" s="136"/>
      <c r="W1124" s="136"/>
      <c r="X1124" s="136"/>
    </row>
    <row r="1125">
      <c r="E1125" s="136"/>
      <c r="F1125" s="136"/>
      <c r="G1125" s="136"/>
      <c r="H1125" s="137"/>
      <c r="I1125" s="136"/>
      <c r="J1125" s="136"/>
      <c r="K1125" s="136"/>
      <c r="L1125" s="136"/>
      <c r="M1125" s="136"/>
      <c r="N1125" s="136"/>
      <c r="O1125" s="142"/>
      <c r="P1125" s="138"/>
      <c r="Q1125" s="138"/>
      <c r="R1125" s="138"/>
      <c r="S1125" s="139"/>
      <c r="T1125" s="140"/>
      <c r="U1125" s="136"/>
      <c r="V1125" s="136"/>
      <c r="W1125" s="136"/>
      <c r="X1125" s="136"/>
    </row>
    <row r="1126">
      <c r="E1126" s="136"/>
      <c r="F1126" s="136"/>
      <c r="G1126" s="136"/>
      <c r="H1126" s="137"/>
      <c r="I1126" s="136"/>
      <c r="J1126" s="136"/>
      <c r="K1126" s="136"/>
      <c r="L1126" s="136"/>
      <c r="M1126" s="136"/>
      <c r="N1126" s="136"/>
      <c r="O1126" s="142"/>
      <c r="P1126" s="138"/>
      <c r="Q1126" s="138"/>
      <c r="R1126" s="138"/>
      <c r="S1126" s="139"/>
      <c r="T1126" s="140"/>
      <c r="U1126" s="136"/>
      <c r="V1126" s="136"/>
      <c r="W1126" s="136"/>
      <c r="X1126" s="136"/>
    </row>
    <row r="1127">
      <c r="E1127" s="136"/>
      <c r="F1127" s="136"/>
      <c r="G1127" s="136"/>
      <c r="H1127" s="137"/>
      <c r="I1127" s="136"/>
      <c r="J1127" s="136"/>
      <c r="K1127" s="136"/>
      <c r="L1127" s="136"/>
      <c r="M1127" s="136"/>
      <c r="N1127" s="136"/>
      <c r="O1127" s="142"/>
      <c r="P1127" s="138"/>
      <c r="Q1127" s="138"/>
      <c r="R1127" s="138"/>
      <c r="S1127" s="139"/>
      <c r="T1127" s="140"/>
      <c r="U1127" s="136"/>
      <c r="V1127" s="136"/>
      <c r="W1127" s="136"/>
      <c r="X1127" s="136"/>
    </row>
    <row r="1128">
      <c r="E1128" s="136"/>
      <c r="F1128" s="136"/>
      <c r="G1128" s="136"/>
      <c r="H1128" s="137"/>
      <c r="I1128" s="136"/>
      <c r="J1128" s="136"/>
      <c r="K1128" s="136"/>
      <c r="L1128" s="136"/>
      <c r="M1128" s="136"/>
      <c r="N1128" s="136"/>
      <c r="O1128" s="142"/>
      <c r="P1128" s="138"/>
      <c r="Q1128" s="138"/>
      <c r="R1128" s="138"/>
      <c r="S1128" s="139"/>
      <c r="T1128" s="140"/>
      <c r="U1128" s="136"/>
      <c r="V1128" s="136"/>
      <c r="W1128" s="136"/>
      <c r="X1128" s="136"/>
    </row>
    <row r="1129">
      <c r="E1129" s="136"/>
      <c r="F1129" s="136"/>
      <c r="G1129" s="136"/>
      <c r="H1129" s="137"/>
      <c r="I1129" s="136"/>
      <c r="J1129" s="136"/>
      <c r="K1129" s="136"/>
      <c r="L1129" s="136"/>
      <c r="M1129" s="136"/>
      <c r="N1129" s="136"/>
      <c r="O1129" s="142"/>
      <c r="P1129" s="138"/>
      <c r="Q1129" s="138"/>
      <c r="R1129" s="138"/>
      <c r="S1129" s="139"/>
      <c r="T1129" s="140"/>
      <c r="U1129" s="136"/>
      <c r="V1129" s="136"/>
      <c r="W1129" s="136"/>
      <c r="X1129" s="136"/>
    </row>
    <row r="1130">
      <c r="E1130" s="136"/>
      <c r="F1130" s="136"/>
      <c r="G1130" s="136"/>
      <c r="H1130" s="137"/>
      <c r="I1130" s="136"/>
      <c r="J1130" s="136"/>
      <c r="K1130" s="136"/>
      <c r="L1130" s="136"/>
      <c r="M1130" s="136"/>
      <c r="N1130" s="136"/>
      <c r="O1130" s="142"/>
      <c r="P1130" s="138"/>
      <c r="Q1130" s="138"/>
      <c r="R1130" s="138"/>
      <c r="S1130" s="139"/>
      <c r="T1130" s="140"/>
      <c r="U1130" s="136"/>
      <c r="V1130" s="136"/>
      <c r="W1130" s="136"/>
      <c r="X1130" s="136"/>
    </row>
    <row r="1131">
      <c r="E1131" s="136"/>
      <c r="F1131" s="136"/>
      <c r="G1131" s="136"/>
      <c r="H1131" s="137"/>
      <c r="I1131" s="136"/>
      <c r="J1131" s="136"/>
      <c r="K1131" s="136"/>
      <c r="L1131" s="136"/>
      <c r="M1131" s="136"/>
      <c r="N1131" s="136"/>
      <c r="O1131" s="142"/>
      <c r="P1131" s="138"/>
      <c r="Q1131" s="138"/>
      <c r="R1131" s="138"/>
      <c r="S1131" s="139"/>
      <c r="T1131" s="140"/>
      <c r="U1131" s="136"/>
      <c r="V1131" s="136"/>
      <c r="W1131" s="136"/>
      <c r="X1131" s="136"/>
    </row>
    <row r="1132">
      <c r="E1132" s="136"/>
      <c r="F1132" s="136"/>
      <c r="G1132" s="136"/>
      <c r="H1132" s="137"/>
      <c r="I1132" s="136"/>
      <c r="J1132" s="136"/>
      <c r="K1132" s="136"/>
      <c r="L1132" s="136"/>
      <c r="M1132" s="136"/>
      <c r="N1132" s="136"/>
      <c r="O1132" s="142"/>
      <c r="P1132" s="138"/>
      <c r="Q1132" s="138"/>
      <c r="R1132" s="138"/>
      <c r="S1132" s="139"/>
      <c r="T1132" s="140"/>
      <c r="U1132" s="136"/>
      <c r="V1132" s="136"/>
      <c r="W1132" s="136"/>
      <c r="X1132" s="136"/>
    </row>
    <row r="1133">
      <c r="E1133" s="136"/>
      <c r="F1133" s="136"/>
      <c r="G1133" s="136"/>
      <c r="H1133" s="137"/>
      <c r="I1133" s="136"/>
      <c r="J1133" s="136"/>
      <c r="K1133" s="136"/>
      <c r="L1133" s="136"/>
      <c r="M1133" s="136"/>
      <c r="N1133" s="136"/>
      <c r="O1133" s="142"/>
      <c r="P1133" s="138"/>
      <c r="Q1133" s="138"/>
      <c r="R1133" s="138"/>
      <c r="S1133" s="139"/>
      <c r="T1133" s="140"/>
      <c r="U1133" s="136"/>
      <c r="V1133" s="136"/>
      <c r="W1133" s="136"/>
      <c r="X1133" s="136"/>
    </row>
    <row r="1134">
      <c r="E1134" s="136"/>
      <c r="F1134" s="136"/>
      <c r="G1134" s="136"/>
      <c r="H1134" s="137"/>
      <c r="I1134" s="136"/>
      <c r="J1134" s="136"/>
      <c r="K1134" s="136"/>
      <c r="L1134" s="136"/>
      <c r="M1134" s="136"/>
      <c r="N1134" s="136"/>
      <c r="O1134" s="142"/>
      <c r="P1134" s="138"/>
      <c r="Q1134" s="138"/>
      <c r="R1134" s="138"/>
      <c r="S1134" s="139"/>
      <c r="T1134" s="140"/>
      <c r="U1134" s="136"/>
      <c r="V1134" s="136"/>
      <c r="W1134" s="136"/>
      <c r="X1134" s="136"/>
    </row>
    <row r="1135">
      <c r="E1135" s="136"/>
      <c r="F1135" s="136"/>
      <c r="G1135" s="136"/>
      <c r="H1135" s="137"/>
      <c r="I1135" s="136"/>
      <c r="J1135" s="136"/>
      <c r="K1135" s="136"/>
      <c r="L1135" s="136"/>
      <c r="M1135" s="136"/>
      <c r="N1135" s="136"/>
      <c r="O1135" s="142"/>
      <c r="P1135" s="138"/>
      <c r="Q1135" s="138"/>
      <c r="R1135" s="138"/>
      <c r="S1135" s="139"/>
      <c r="T1135" s="140"/>
      <c r="U1135" s="136"/>
      <c r="V1135" s="136"/>
      <c r="W1135" s="136"/>
      <c r="X1135" s="136"/>
    </row>
    <row r="1136">
      <c r="E1136" s="136"/>
      <c r="F1136" s="136"/>
      <c r="G1136" s="136"/>
      <c r="H1136" s="137"/>
      <c r="I1136" s="136"/>
      <c r="J1136" s="136"/>
      <c r="K1136" s="136"/>
      <c r="L1136" s="136"/>
      <c r="M1136" s="136"/>
      <c r="N1136" s="136"/>
      <c r="O1136" s="142"/>
      <c r="P1136" s="138"/>
      <c r="Q1136" s="138"/>
      <c r="R1136" s="138"/>
      <c r="S1136" s="139"/>
      <c r="T1136" s="140"/>
      <c r="U1136" s="136"/>
      <c r="V1136" s="136"/>
      <c r="W1136" s="136"/>
      <c r="X1136" s="136"/>
    </row>
    <row r="1137">
      <c r="E1137" s="136"/>
      <c r="F1137" s="136"/>
      <c r="G1137" s="136"/>
      <c r="H1137" s="137"/>
      <c r="I1137" s="136"/>
      <c r="J1137" s="136"/>
      <c r="K1137" s="136"/>
      <c r="L1137" s="136"/>
      <c r="M1137" s="136"/>
      <c r="N1137" s="136"/>
      <c r="O1137" s="142"/>
      <c r="P1137" s="138"/>
      <c r="Q1137" s="138"/>
      <c r="R1137" s="138"/>
      <c r="S1137" s="139"/>
      <c r="T1137" s="140"/>
      <c r="U1137" s="136"/>
      <c r="V1137" s="136"/>
      <c r="W1137" s="136"/>
      <c r="X1137" s="136"/>
    </row>
    <row r="1138">
      <c r="E1138" s="136"/>
      <c r="F1138" s="136"/>
      <c r="G1138" s="136"/>
      <c r="H1138" s="137"/>
      <c r="I1138" s="136"/>
      <c r="J1138" s="136"/>
      <c r="K1138" s="136"/>
      <c r="L1138" s="136"/>
      <c r="M1138" s="136"/>
      <c r="N1138" s="136"/>
      <c r="O1138" s="142"/>
      <c r="P1138" s="138"/>
      <c r="Q1138" s="138"/>
      <c r="R1138" s="138"/>
      <c r="S1138" s="139"/>
      <c r="T1138" s="140"/>
      <c r="U1138" s="136"/>
      <c r="V1138" s="136"/>
      <c r="W1138" s="136"/>
      <c r="X1138" s="136"/>
    </row>
    <row r="1139">
      <c r="E1139" s="136"/>
      <c r="F1139" s="136"/>
      <c r="G1139" s="136"/>
      <c r="H1139" s="137"/>
      <c r="I1139" s="136"/>
      <c r="J1139" s="136"/>
      <c r="K1139" s="136"/>
      <c r="L1139" s="136"/>
      <c r="M1139" s="136"/>
      <c r="N1139" s="136"/>
      <c r="O1139" s="142"/>
      <c r="P1139" s="138"/>
      <c r="Q1139" s="138"/>
      <c r="R1139" s="138"/>
      <c r="S1139" s="139"/>
      <c r="T1139" s="140"/>
      <c r="U1139" s="136"/>
      <c r="V1139" s="136"/>
      <c r="W1139" s="136"/>
      <c r="X1139" s="136"/>
    </row>
    <row r="1140">
      <c r="E1140" s="136"/>
      <c r="F1140" s="136"/>
      <c r="G1140" s="136"/>
      <c r="H1140" s="137"/>
      <c r="I1140" s="136"/>
      <c r="J1140" s="136"/>
      <c r="K1140" s="136"/>
      <c r="L1140" s="136"/>
      <c r="M1140" s="136"/>
      <c r="N1140" s="136"/>
      <c r="O1140" s="142"/>
      <c r="P1140" s="138"/>
      <c r="Q1140" s="138"/>
      <c r="R1140" s="138"/>
      <c r="S1140" s="139"/>
      <c r="T1140" s="140"/>
      <c r="U1140" s="136"/>
      <c r="V1140" s="136"/>
      <c r="W1140" s="136"/>
      <c r="X1140" s="136"/>
    </row>
    <row r="1141">
      <c r="E1141" s="136"/>
      <c r="F1141" s="136"/>
      <c r="G1141" s="136"/>
      <c r="H1141" s="137"/>
      <c r="I1141" s="136"/>
      <c r="J1141" s="136"/>
      <c r="K1141" s="136"/>
      <c r="L1141" s="136"/>
      <c r="M1141" s="136"/>
      <c r="N1141" s="136"/>
      <c r="O1141" s="142"/>
      <c r="P1141" s="138"/>
      <c r="Q1141" s="138"/>
      <c r="R1141" s="138"/>
      <c r="S1141" s="139"/>
      <c r="T1141" s="140"/>
      <c r="U1141" s="136"/>
      <c r="V1141" s="136"/>
      <c r="W1141" s="136"/>
      <c r="X1141" s="136"/>
    </row>
    <row r="1142">
      <c r="E1142" s="136"/>
      <c r="F1142" s="136"/>
      <c r="G1142" s="136"/>
      <c r="H1142" s="137"/>
      <c r="I1142" s="136"/>
      <c r="J1142" s="136"/>
      <c r="K1142" s="136"/>
      <c r="L1142" s="136"/>
      <c r="M1142" s="136"/>
      <c r="N1142" s="136"/>
      <c r="O1142" s="142"/>
      <c r="P1142" s="138"/>
      <c r="Q1142" s="138"/>
      <c r="R1142" s="138"/>
      <c r="S1142" s="139"/>
      <c r="T1142" s="140"/>
      <c r="U1142" s="136"/>
      <c r="V1142" s="136"/>
      <c r="W1142" s="136"/>
      <c r="X1142" s="136"/>
    </row>
    <row r="1143">
      <c r="E1143" s="136"/>
      <c r="F1143" s="136"/>
      <c r="G1143" s="136"/>
      <c r="H1143" s="137"/>
      <c r="I1143" s="136"/>
      <c r="J1143" s="136"/>
      <c r="K1143" s="136"/>
      <c r="L1143" s="136"/>
      <c r="M1143" s="136"/>
      <c r="N1143" s="136"/>
      <c r="O1143" s="142"/>
      <c r="P1143" s="138"/>
      <c r="Q1143" s="138"/>
      <c r="R1143" s="138"/>
      <c r="S1143" s="139"/>
      <c r="T1143" s="140"/>
      <c r="U1143" s="136"/>
      <c r="V1143" s="136"/>
      <c r="W1143" s="136"/>
      <c r="X1143" s="136"/>
    </row>
    <row r="1144">
      <c r="E1144" s="136"/>
      <c r="F1144" s="136"/>
      <c r="G1144" s="136"/>
      <c r="H1144" s="137"/>
      <c r="I1144" s="136"/>
      <c r="J1144" s="136"/>
      <c r="K1144" s="136"/>
      <c r="L1144" s="136"/>
      <c r="M1144" s="136"/>
      <c r="N1144" s="136"/>
      <c r="O1144" s="142"/>
      <c r="P1144" s="138"/>
      <c r="Q1144" s="138"/>
      <c r="R1144" s="138"/>
      <c r="S1144" s="139"/>
      <c r="T1144" s="140"/>
      <c r="U1144" s="136"/>
      <c r="V1144" s="136"/>
      <c r="W1144" s="136"/>
      <c r="X1144" s="136"/>
    </row>
    <row r="1145">
      <c r="E1145" s="136"/>
      <c r="F1145" s="136"/>
      <c r="G1145" s="136"/>
      <c r="H1145" s="137"/>
      <c r="I1145" s="136"/>
      <c r="J1145" s="136"/>
      <c r="K1145" s="136"/>
      <c r="L1145" s="136"/>
      <c r="M1145" s="136"/>
      <c r="N1145" s="136"/>
      <c r="O1145" s="142"/>
      <c r="P1145" s="138"/>
      <c r="Q1145" s="138"/>
      <c r="R1145" s="138"/>
      <c r="S1145" s="139"/>
      <c r="T1145" s="140"/>
      <c r="U1145" s="136"/>
      <c r="V1145" s="136"/>
      <c r="W1145" s="136"/>
      <c r="X1145" s="136"/>
    </row>
    <row r="1146">
      <c r="E1146" s="136"/>
      <c r="F1146" s="136"/>
      <c r="G1146" s="136"/>
      <c r="H1146" s="137"/>
      <c r="I1146" s="136"/>
      <c r="J1146" s="136"/>
      <c r="K1146" s="136"/>
      <c r="L1146" s="136"/>
      <c r="M1146" s="136"/>
      <c r="N1146" s="136"/>
      <c r="O1146" s="142"/>
      <c r="P1146" s="138"/>
      <c r="Q1146" s="138"/>
      <c r="R1146" s="138"/>
      <c r="S1146" s="139"/>
      <c r="T1146" s="140"/>
      <c r="U1146" s="136"/>
      <c r="V1146" s="136"/>
      <c r="W1146" s="136"/>
      <c r="X1146" s="136"/>
    </row>
    <row r="1147">
      <c r="E1147" s="136"/>
      <c r="F1147" s="136"/>
      <c r="G1147" s="136"/>
      <c r="H1147" s="137"/>
      <c r="I1147" s="136"/>
      <c r="J1147" s="136"/>
      <c r="K1147" s="136"/>
      <c r="L1147" s="136"/>
      <c r="M1147" s="136"/>
      <c r="N1147" s="136"/>
      <c r="O1147" s="142"/>
      <c r="P1147" s="138"/>
      <c r="Q1147" s="138"/>
      <c r="R1147" s="138"/>
      <c r="S1147" s="139"/>
      <c r="T1147" s="140"/>
      <c r="U1147" s="136"/>
      <c r="V1147" s="136"/>
      <c r="W1147" s="136"/>
      <c r="X1147" s="136"/>
    </row>
    <row r="1148">
      <c r="E1148" s="136"/>
      <c r="F1148" s="136"/>
      <c r="G1148" s="136"/>
      <c r="H1148" s="137"/>
      <c r="I1148" s="136"/>
      <c r="J1148" s="136"/>
      <c r="K1148" s="136"/>
      <c r="L1148" s="136"/>
      <c r="M1148" s="136"/>
      <c r="N1148" s="136"/>
      <c r="O1148" s="142"/>
      <c r="P1148" s="138"/>
      <c r="Q1148" s="138"/>
      <c r="R1148" s="138"/>
      <c r="S1148" s="139"/>
      <c r="T1148" s="140"/>
      <c r="U1148" s="136"/>
      <c r="V1148" s="136"/>
      <c r="W1148" s="136"/>
      <c r="X1148" s="136"/>
    </row>
    <row r="1149">
      <c r="E1149" s="136"/>
      <c r="F1149" s="136"/>
      <c r="G1149" s="136"/>
      <c r="H1149" s="137"/>
      <c r="I1149" s="136"/>
      <c r="J1149" s="136"/>
      <c r="K1149" s="136"/>
      <c r="L1149" s="136"/>
      <c r="M1149" s="136"/>
      <c r="N1149" s="136"/>
      <c r="O1149" s="142"/>
      <c r="P1149" s="138"/>
      <c r="Q1149" s="138"/>
      <c r="R1149" s="138"/>
      <c r="S1149" s="139"/>
      <c r="T1149" s="140"/>
      <c r="U1149" s="136"/>
      <c r="V1149" s="136"/>
      <c r="W1149" s="136"/>
      <c r="X1149" s="136"/>
    </row>
    <row r="1150">
      <c r="E1150" s="136"/>
      <c r="F1150" s="136"/>
      <c r="G1150" s="136"/>
      <c r="H1150" s="137"/>
      <c r="I1150" s="136"/>
      <c r="J1150" s="136"/>
      <c r="K1150" s="136"/>
      <c r="L1150" s="136"/>
      <c r="M1150" s="136"/>
      <c r="N1150" s="136"/>
      <c r="O1150" s="142"/>
      <c r="P1150" s="138"/>
      <c r="Q1150" s="138"/>
      <c r="R1150" s="138"/>
      <c r="S1150" s="139"/>
      <c r="T1150" s="140"/>
      <c r="U1150" s="136"/>
      <c r="V1150" s="136"/>
      <c r="W1150" s="136"/>
      <c r="X1150" s="136"/>
    </row>
    <row r="1151">
      <c r="E1151" s="136"/>
      <c r="F1151" s="136"/>
      <c r="G1151" s="136"/>
      <c r="H1151" s="137"/>
      <c r="I1151" s="136"/>
      <c r="J1151" s="136"/>
      <c r="K1151" s="136"/>
      <c r="L1151" s="136"/>
      <c r="M1151" s="136"/>
      <c r="N1151" s="136"/>
      <c r="O1151" s="142"/>
      <c r="P1151" s="138"/>
      <c r="Q1151" s="138"/>
      <c r="R1151" s="138"/>
      <c r="S1151" s="139"/>
      <c r="T1151" s="140"/>
      <c r="U1151" s="136"/>
      <c r="V1151" s="136"/>
      <c r="W1151" s="136"/>
      <c r="X1151" s="136"/>
    </row>
    <row r="1152">
      <c r="E1152" s="136"/>
      <c r="F1152" s="136"/>
      <c r="G1152" s="136"/>
      <c r="H1152" s="137"/>
      <c r="I1152" s="136"/>
      <c r="J1152" s="136"/>
      <c r="K1152" s="136"/>
      <c r="L1152" s="136"/>
      <c r="M1152" s="136"/>
      <c r="N1152" s="136"/>
      <c r="O1152" s="142"/>
      <c r="P1152" s="138"/>
      <c r="Q1152" s="138"/>
      <c r="R1152" s="138"/>
      <c r="S1152" s="139"/>
      <c r="T1152" s="140"/>
      <c r="U1152" s="136"/>
      <c r="V1152" s="136"/>
      <c r="W1152" s="136"/>
      <c r="X1152" s="136"/>
    </row>
    <row r="1153">
      <c r="E1153" s="136"/>
      <c r="F1153" s="136"/>
      <c r="G1153" s="136"/>
      <c r="H1153" s="137"/>
      <c r="I1153" s="136"/>
      <c r="J1153" s="136"/>
      <c r="K1153" s="136"/>
      <c r="L1153" s="136"/>
      <c r="M1153" s="136"/>
      <c r="N1153" s="136"/>
      <c r="O1153" s="142"/>
      <c r="P1153" s="138"/>
      <c r="Q1153" s="138"/>
      <c r="R1153" s="138"/>
      <c r="S1153" s="139"/>
      <c r="T1153" s="140"/>
      <c r="U1153" s="136"/>
      <c r="V1153" s="136"/>
      <c r="W1153" s="136"/>
      <c r="X1153" s="136"/>
    </row>
    <row r="1154">
      <c r="E1154" s="136"/>
      <c r="F1154" s="136"/>
      <c r="G1154" s="136"/>
      <c r="H1154" s="137"/>
      <c r="I1154" s="136"/>
      <c r="J1154" s="136"/>
      <c r="K1154" s="136"/>
      <c r="L1154" s="136"/>
      <c r="M1154" s="136"/>
      <c r="N1154" s="136"/>
      <c r="O1154" s="142"/>
      <c r="P1154" s="138"/>
      <c r="Q1154" s="138"/>
      <c r="R1154" s="138"/>
      <c r="S1154" s="139"/>
      <c r="T1154" s="140"/>
      <c r="U1154" s="136"/>
      <c r="V1154" s="136"/>
      <c r="W1154" s="136"/>
      <c r="X1154" s="136"/>
    </row>
    <row r="1155">
      <c r="E1155" s="136"/>
      <c r="F1155" s="136"/>
      <c r="G1155" s="136"/>
      <c r="H1155" s="137"/>
      <c r="I1155" s="136"/>
      <c r="J1155" s="136"/>
      <c r="K1155" s="136"/>
      <c r="L1155" s="136"/>
      <c r="M1155" s="136"/>
      <c r="N1155" s="136"/>
      <c r="O1155" s="142"/>
      <c r="P1155" s="138"/>
      <c r="Q1155" s="138"/>
      <c r="R1155" s="138"/>
      <c r="S1155" s="139"/>
      <c r="T1155" s="140"/>
      <c r="U1155" s="136"/>
      <c r="V1155" s="136"/>
      <c r="W1155" s="136"/>
      <c r="X1155" s="136"/>
    </row>
    <row r="1156">
      <c r="E1156" s="136"/>
      <c r="F1156" s="136"/>
      <c r="G1156" s="136"/>
      <c r="H1156" s="137"/>
      <c r="I1156" s="136"/>
      <c r="J1156" s="136"/>
      <c r="K1156" s="136"/>
      <c r="L1156" s="136"/>
      <c r="M1156" s="136"/>
      <c r="N1156" s="136"/>
      <c r="O1156" s="142"/>
      <c r="P1156" s="138"/>
      <c r="Q1156" s="138"/>
      <c r="R1156" s="138"/>
      <c r="S1156" s="139"/>
      <c r="T1156" s="140"/>
      <c r="U1156" s="136"/>
      <c r="V1156" s="136"/>
      <c r="W1156" s="136"/>
      <c r="X1156" s="136"/>
    </row>
    <row r="1157">
      <c r="E1157" s="136"/>
      <c r="F1157" s="136"/>
      <c r="G1157" s="136"/>
      <c r="H1157" s="137"/>
      <c r="I1157" s="136"/>
      <c r="J1157" s="136"/>
      <c r="K1157" s="136"/>
      <c r="L1157" s="136"/>
      <c r="M1157" s="136"/>
      <c r="N1157" s="136"/>
      <c r="O1157" s="142"/>
      <c r="P1157" s="138"/>
      <c r="Q1157" s="138"/>
      <c r="R1157" s="138"/>
      <c r="S1157" s="139"/>
      <c r="T1157" s="140"/>
      <c r="U1157" s="136"/>
      <c r="V1157" s="136"/>
      <c r="W1157" s="136"/>
      <c r="X1157" s="136"/>
    </row>
    <row r="1158">
      <c r="E1158" s="136"/>
      <c r="F1158" s="136"/>
      <c r="G1158" s="136"/>
      <c r="H1158" s="137"/>
      <c r="I1158" s="136"/>
      <c r="J1158" s="136"/>
      <c r="K1158" s="136"/>
      <c r="L1158" s="136"/>
      <c r="M1158" s="136"/>
      <c r="N1158" s="136"/>
      <c r="O1158" s="142"/>
      <c r="P1158" s="138"/>
      <c r="Q1158" s="138"/>
      <c r="R1158" s="138"/>
      <c r="S1158" s="139"/>
      <c r="T1158" s="140"/>
      <c r="U1158" s="136"/>
      <c r="V1158" s="136"/>
      <c r="W1158" s="136"/>
      <c r="X1158" s="136"/>
    </row>
    <row r="1159">
      <c r="E1159" s="136"/>
      <c r="F1159" s="136"/>
      <c r="G1159" s="136"/>
      <c r="H1159" s="137"/>
      <c r="I1159" s="136"/>
      <c r="J1159" s="136"/>
      <c r="K1159" s="136"/>
      <c r="L1159" s="136"/>
      <c r="M1159" s="136"/>
      <c r="N1159" s="136"/>
      <c r="O1159" s="142"/>
      <c r="P1159" s="138"/>
      <c r="Q1159" s="138"/>
      <c r="R1159" s="138"/>
      <c r="S1159" s="139"/>
      <c r="T1159" s="140"/>
      <c r="U1159" s="136"/>
      <c r="V1159" s="136"/>
      <c r="W1159" s="136"/>
      <c r="X1159" s="136"/>
    </row>
    <row r="1160">
      <c r="E1160" s="136"/>
      <c r="F1160" s="136"/>
      <c r="G1160" s="136"/>
      <c r="H1160" s="137"/>
      <c r="I1160" s="136"/>
      <c r="J1160" s="136"/>
      <c r="K1160" s="136"/>
      <c r="L1160" s="136"/>
      <c r="M1160" s="136"/>
      <c r="N1160" s="136"/>
      <c r="O1160" s="142"/>
      <c r="P1160" s="138"/>
      <c r="Q1160" s="138"/>
      <c r="R1160" s="138"/>
      <c r="S1160" s="139"/>
      <c r="T1160" s="140"/>
      <c r="U1160" s="136"/>
      <c r="V1160" s="136"/>
      <c r="W1160" s="136"/>
      <c r="X1160" s="136"/>
    </row>
    <row r="1161">
      <c r="E1161" s="136"/>
      <c r="F1161" s="136"/>
      <c r="G1161" s="136"/>
      <c r="H1161" s="137"/>
      <c r="I1161" s="136"/>
      <c r="J1161" s="136"/>
      <c r="K1161" s="136"/>
      <c r="L1161" s="136"/>
      <c r="M1161" s="136"/>
      <c r="N1161" s="136"/>
      <c r="O1161" s="142"/>
      <c r="P1161" s="138"/>
      <c r="Q1161" s="138"/>
      <c r="R1161" s="138"/>
      <c r="S1161" s="139"/>
      <c r="T1161" s="140"/>
      <c r="U1161" s="136"/>
      <c r="V1161" s="136"/>
      <c r="W1161" s="136"/>
      <c r="X1161" s="136"/>
    </row>
    <row r="1162">
      <c r="E1162" s="136"/>
      <c r="F1162" s="136"/>
      <c r="G1162" s="136"/>
      <c r="H1162" s="137"/>
      <c r="I1162" s="136"/>
      <c r="J1162" s="136"/>
      <c r="K1162" s="136"/>
      <c r="L1162" s="136"/>
      <c r="M1162" s="136"/>
      <c r="N1162" s="136"/>
      <c r="O1162" s="142"/>
      <c r="P1162" s="138"/>
      <c r="Q1162" s="138"/>
      <c r="R1162" s="138"/>
      <c r="S1162" s="139"/>
      <c r="T1162" s="140"/>
      <c r="U1162" s="136"/>
      <c r="V1162" s="136"/>
      <c r="W1162" s="136"/>
      <c r="X1162" s="136"/>
    </row>
    <row r="1163">
      <c r="E1163" s="136"/>
      <c r="F1163" s="136"/>
      <c r="G1163" s="136"/>
      <c r="H1163" s="137"/>
      <c r="I1163" s="136"/>
      <c r="J1163" s="136"/>
      <c r="K1163" s="136"/>
      <c r="L1163" s="136"/>
      <c r="M1163" s="136"/>
      <c r="N1163" s="136"/>
      <c r="O1163" s="142"/>
      <c r="P1163" s="138"/>
      <c r="Q1163" s="138"/>
      <c r="R1163" s="138"/>
      <c r="S1163" s="139"/>
      <c r="T1163" s="140"/>
      <c r="U1163" s="136"/>
      <c r="V1163" s="136"/>
      <c r="W1163" s="136"/>
      <c r="X1163" s="136"/>
    </row>
    <row r="1164">
      <c r="E1164" s="136"/>
      <c r="F1164" s="136"/>
      <c r="G1164" s="136"/>
      <c r="H1164" s="137"/>
      <c r="I1164" s="136"/>
      <c r="J1164" s="136"/>
      <c r="K1164" s="136"/>
      <c r="L1164" s="136"/>
      <c r="M1164" s="136"/>
      <c r="N1164" s="136"/>
      <c r="O1164" s="142"/>
      <c r="P1164" s="138"/>
      <c r="Q1164" s="138"/>
      <c r="R1164" s="138"/>
      <c r="S1164" s="139"/>
      <c r="T1164" s="140"/>
      <c r="U1164" s="136"/>
      <c r="V1164" s="136"/>
      <c r="W1164" s="136"/>
      <c r="X1164" s="136"/>
    </row>
    <row r="1165">
      <c r="E1165" s="136"/>
      <c r="F1165" s="136"/>
      <c r="G1165" s="136"/>
      <c r="H1165" s="137"/>
      <c r="I1165" s="136"/>
      <c r="J1165" s="136"/>
      <c r="K1165" s="136"/>
      <c r="L1165" s="136"/>
      <c r="M1165" s="136"/>
      <c r="N1165" s="136"/>
      <c r="O1165" s="142"/>
      <c r="P1165" s="138"/>
      <c r="Q1165" s="138"/>
      <c r="R1165" s="138"/>
      <c r="S1165" s="139"/>
      <c r="T1165" s="140"/>
      <c r="U1165" s="136"/>
      <c r="V1165" s="136"/>
      <c r="W1165" s="136"/>
      <c r="X1165" s="136"/>
    </row>
    <row r="1166">
      <c r="E1166" s="136"/>
      <c r="F1166" s="136"/>
      <c r="G1166" s="136"/>
      <c r="H1166" s="137"/>
      <c r="I1166" s="136"/>
      <c r="J1166" s="136"/>
      <c r="K1166" s="136"/>
      <c r="L1166" s="136"/>
      <c r="M1166" s="136"/>
      <c r="N1166" s="136"/>
      <c r="O1166" s="142"/>
      <c r="P1166" s="138"/>
      <c r="Q1166" s="138"/>
      <c r="R1166" s="138"/>
      <c r="S1166" s="139"/>
      <c r="T1166" s="140"/>
      <c r="U1166" s="136"/>
      <c r="V1166" s="136"/>
      <c r="W1166" s="136"/>
      <c r="X1166" s="136"/>
    </row>
    <row r="1167">
      <c r="E1167" s="136"/>
      <c r="F1167" s="136"/>
      <c r="G1167" s="136"/>
      <c r="H1167" s="137"/>
      <c r="I1167" s="136"/>
      <c r="J1167" s="136"/>
      <c r="K1167" s="136"/>
      <c r="L1167" s="136"/>
      <c r="M1167" s="136"/>
      <c r="N1167" s="136"/>
      <c r="O1167" s="142"/>
      <c r="P1167" s="138"/>
      <c r="Q1167" s="138"/>
      <c r="R1167" s="138"/>
      <c r="S1167" s="139"/>
      <c r="T1167" s="140"/>
      <c r="U1167" s="136"/>
      <c r="V1167" s="136"/>
      <c r="W1167" s="136"/>
      <c r="X1167" s="136"/>
    </row>
    <row r="1168">
      <c r="E1168" s="136"/>
      <c r="F1168" s="136"/>
      <c r="G1168" s="136"/>
      <c r="H1168" s="137"/>
      <c r="I1168" s="136"/>
      <c r="J1168" s="136"/>
      <c r="K1168" s="136"/>
      <c r="L1168" s="136"/>
      <c r="M1168" s="136"/>
      <c r="N1168" s="136"/>
      <c r="O1168" s="142"/>
      <c r="P1168" s="138"/>
      <c r="Q1168" s="138"/>
      <c r="R1168" s="138"/>
      <c r="S1168" s="139"/>
      <c r="T1168" s="140"/>
      <c r="U1168" s="136"/>
      <c r="V1168" s="136"/>
      <c r="W1168" s="136"/>
      <c r="X1168" s="136"/>
    </row>
    <row r="1169">
      <c r="E1169" s="136"/>
      <c r="F1169" s="136"/>
      <c r="G1169" s="136"/>
      <c r="H1169" s="137"/>
      <c r="I1169" s="136"/>
      <c r="J1169" s="136"/>
      <c r="K1169" s="136"/>
      <c r="L1169" s="136"/>
      <c r="M1169" s="136"/>
      <c r="N1169" s="136"/>
      <c r="O1169" s="142"/>
      <c r="P1169" s="138"/>
      <c r="Q1169" s="138"/>
      <c r="R1169" s="138"/>
      <c r="S1169" s="139"/>
      <c r="T1169" s="140"/>
      <c r="U1169" s="136"/>
      <c r="V1169" s="136"/>
      <c r="W1169" s="136"/>
      <c r="X1169" s="136"/>
    </row>
    <row r="1170">
      <c r="E1170" s="136"/>
      <c r="F1170" s="136"/>
      <c r="G1170" s="136"/>
      <c r="H1170" s="137"/>
      <c r="I1170" s="136"/>
      <c r="J1170" s="136"/>
      <c r="K1170" s="136"/>
      <c r="L1170" s="136"/>
      <c r="M1170" s="136"/>
      <c r="N1170" s="136"/>
      <c r="O1170" s="142"/>
      <c r="P1170" s="138"/>
      <c r="Q1170" s="138"/>
      <c r="R1170" s="138"/>
      <c r="S1170" s="139"/>
      <c r="T1170" s="140"/>
      <c r="U1170" s="136"/>
      <c r="V1170" s="136"/>
      <c r="W1170" s="136"/>
      <c r="X1170" s="136"/>
    </row>
    <row r="1171">
      <c r="E1171" s="136"/>
      <c r="F1171" s="136"/>
      <c r="G1171" s="136"/>
      <c r="H1171" s="137"/>
      <c r="I1171" s="136"/>
      <c r="J1171" s="136"/>
      <c r="K1171" s="136"/>
      <c r="L1171" s="136"/>
      <c r="M1171" s="136"/>
      <c r="N1171" s="136"/>
      <c r="O1171" s="142"/>
      <c r="P1171" s="138"/>
      <c r="Q1171" s="138"/>
      <c r="R1171" s="138"/>
      <c r="S1171" s="139"/>
      <c r="T1171" s="140"/>
      <c r="U1171" s="136"/>
      <c r="V1171" s="136"/>
      <c r="W1171" s="136"/>
      <c r="X1171" s="136"/>
    </row>
    <row r="1172">
      <c r="E1172" s="136"/>
      <c r="F1172" s="136"/>
      <c r="G1172" s="136"/>
      <c r="H1172" s="137"/>
      <c r="I1172" s="136"/>
      <c r="J1172" s="136"/>
      <c r="K1172" s="136"/>
      <c r="L1172" s="136"/>
      <c r="M1172" s="136"/>
      <c r="N1172" s="136"/>
      <c r="O1172" s="142"/>
      <c r="P1172" s="138"/>
      <c r="Q1172" s="138"/>
      <c r="R1172" s="138"/>
      <c r="S1172" s="139"/>
      <c r="T1172" s="140"/>
      <c r="U1172" s="136"/>
      <c r="V1172" s="136"/>
      <c r="W1172" s="136"/>
      <c r="X1172" s="136"/>
    </row>
    <row r="1173">
      <c r="E1173" s="136"/>
      <c r="F1173" s="136"/>
      <c r="G1173" s="136"/>
      <c r="H1173" s="137"/>
      <c r="I1173" s="136"/>
      <c r="J1173" s="136"/>
      <c r="K1173" s="136"/>
      <c r="L1173" s="136"/>
      <c r="M1173" s="136"/>
      <c r="N1173" s="136"/>
      <c r="O1173" s="142"/>
      <c r="P1173" s="138"/>
      <c r="Q1173" s="138"/>
      <c r="R1173" s="138"/>
      <c r="S1173" s="139"/>
      <c r="T1173" s="140"/>
      <c r="U1173" s="136"/>
      <c r="V1173" s="136"/>
      <c r="W1173" s="136"/>
      <c r="X1173" s="136"/>
    </row>
    <row r="1174">
      <c r="E1174" s="136"/>
      <c r="F1174" s="136"/>
      <c r="G1174" s="136"/>
      <c r="H1174" s="137"/>
      <c r="I1174" s="136"/>
      <c r="J1174" s="136"/>
      <c r="K1174" s="136"/>
      <c r="L1174" s="136"/>
      <c r="M1174" s="136"/>
      <c r="N1174" s="136"/>
      <c r="O1174" s="142"/>
      <c r="P1174" s="138"/>
      <c r="Q1174" s="138"/>
      <c r="R1174" s="138"/>
      <c r="S1174" s="139"/>
      <c r="T1174" s="140"/>
      <c r="U1174" s="136"/>
      <c r="V1174" s="136"/>
      <c r="W1174" s="136"/>
      <c r="X1174" s="136"/>
    </row>
    <row r="1175">
      <c r="E1175" s="136"/>
      <c r="F1175" s="136"/>
      <c r="G1175" s="136"/>
      <c r="H1175" s="137"/>
      <c r="I1175" s="136"/>
      <c r="J1175" s="136"/>
      <c r="K1175" s="136"/>
      <c r="L1175" s="136"/>
      <c r="M1175" s="136"/>
      <c r="N1175" s="136"/>
      <c r="O1175" s="142"/>
      <c r="P1175" s="138"/>
      <c r="Q1175" s="138"/>
      <c r="R1175" s="138"/>
      <c r="S1175" s="139"/>
      <c r="T1175" s="140"/>
      <c r="U1175" s="136"/>
      <c r="V1175" s="136"/>
      <c r="W1175" s="136"/>
      <c r="X1175" s="136"/>
    </row>
    <row r="1176">
      <c r="E1176" s="136"/>
      <c r="F1176" s="136"/>
      <c r="G1176" s="136"/>
      <c r="H1176" s="137"/>
      <c r="I1176" s="136"/>
      <c r="J1176" s="136"/>
      <c r="K1176" s="136"/>
      <c r="L1176" s="136"/>
      <c r="M1176" s="136"/>
      <c r="N1176" s="136"/>
      <c r="O1176" s="142"/>
      <c r="P1176" s="138"/>
      <c r="Q1176" s="138"/>
      <c r="R1176" s="138"/>
      <c r="S1176" s="139"/>
      <c r="T1176" s="140"/>
      <c r="U1176" s="136"/>
      <c r="V1176" s="136"/>
      <c r="W1176" s="136"/>
      <c r="X1176" s="136"/>
    </row>
    <row r="1177">
      <c r="E1177" s="136"/>
      <c r="F1177" s="136"/>
      <c r="G1177" s="136"/>
      <c r="H1177" s="137"/>
      <c r="I1177" s="136"/>
      <c r="J1177" s="136"/>
      <c r="K1177" s="136"/>
      <c r="L1177" s="136"/>
      <c r="M1177" s="136"/>
      <c r="N1177" s="136"/>
      <c r="O1177" s="142"/>
      <c r="P1177" s="138"/>
      <c r="Q1177" s="138"/>
      <c r="R1177" s="138"/>
      <c r="S1177" s="139"/>
      <c r="T1177" s="140"/>
      <c r="U1177" s="136"/>
      <c r="V1177" s="136"/>
      <c r="W1177" s="136"/>
      <c r="X1177" s="136"/>
    </row>
    <row r="1178">
      <c r="E1178" s="136"/>
      <c r="F1178" s="136"/>
      <c r="G1178" s="136"/>
      <c r="H1178" s="137"/>
      <c r="I1178" s="136"/>
      <c r="J1178" s="136"/>
      <c r="K1178" s="136"/>
      <c r="L1178" s="136"/>
      <c r="M1178" s="136"/>
      <c r="N1178" s="136"/>
      <c r="O1178" s="142"/>
      <c r="P1178" s="138"/>
      <c r="Q1178" s="138"/>
      <c r="R1178" s="138"/>
      <c r="S1178" s="139"/>
      <c r="T1178" s="140"/>
      <c r="U1178" s="136"/>
      <c r="V1178" s="136"/>
      <c r="W1178" s="136"/>
      <c r="X1178" s="136"/>
    </row>
    <row r="1179">
      <c r="E1179" s="136"/>
      <c r="F1179" s="136"/>
      <c r="G1179" s="136"/>
      <c r="H1179" s="137"/>
      <c r="I1179" s="136"/>
      <c r="J1179" s="136"/>
      <c r="K1179" s="136"/>
      <c r="L1179" s="136"/>
      <c r="M1179" s="136"/>
      <c r="N1179" s="136"/>
      <c r="O1179" s="142"/>
      <c r="P1179" s="138"/>
      <c r="Q1179" s="138"/>
      <c r="R1179" s="138"/>
      <c r="S1179" s="139"/>
      <c r="T1179" s="140"/>
      <c r="U1179" s="136"/>
      <c r="V1179" s="136"/>
      <c r="W1179" s="136"/>
      <c r="X1179" s="136"/>
    </row>
    <row r="1180">
      <c r="E1180" s="136"/>
      <c r="F1180" s="136"/>
      <c r="G1180" s="136"/>
      <c r="H1180" s="137"/>
      <c r="I1180" s="136"/>
      <c r="J1180" s="136"/>
      <c r="K1180" s="136"/>
      <c r="L1180" s="136"/>
      <c r="M1180" s="136"/>
      <c r="N1180" s="136"/>
      <c r="O1180" s="142"/>
      <c r="P1180" s="138"/>
      <c r="Q1180" s="138"/>
      <c r="R1180" s="138"/>
      <c r="S1180" s="139"/>
      <c r="T1180" s="140"/>
      <c r="U1180" s="136"/>
      <c r="V1180" s="136"/>
      <c r="W1180" s="136"/>
      <c r="X1180" s="136"/>
    </row>
    <row r="1181">
      <c r="E1181" s="136"/>
      <c r="F1181" s="136"/>
      <c r="G1181" s="136"/>
      <c r="H1181" s="137"/>
      <c r="I1181" s="136"/>
      <c r="J1181" s="136"/>
      <c r="K1181" s="136"/>
      <c r="L1181" s="136"/>
      <c r="M1181" s="136"/>
      <c r="N1181" s="136"/>
      <c r="O1181" s="142"/>
      <c r="P1181" s="138"/>
      <c r="Q1181" s="138"/>
      <c r="R1181" s="138"/>
      <c r="S1181" s="139"/>
      <c r="T1181" s="140"/>
      <c r="U1181" s="136"/>
      <c r="V1181" s="136"/>
      <c r="W1181" s="136"/>
      <c r="X1181" s="136"/>
    </row>
    <row r="1182">
      <c r="E1182" s="136"/>
      <c r="F1182" s="136"/>
      <c r="G1182" s="136"/>
      <c r="H1182" s="137"/>
      <c r="I1182" s="136"/>
      <c r="J1182" s="136"/>
      <c r="K1182" s="136"/>
      <c r="L1182" s="136"/>
      <c r="M1182" s="136"/>
      <c r="N1182" s="136"/>
      <c r="O1182" s="142"/>
      <c r="P1182" s="138"/>
      <c r="Q1182" s="138"/>
      <c r="R1182" s="138"/>
      <c r="S1182" s="139"/>
      <c r="T1182" s="140"/>
      <c r="U1182" s="136"/>
      <c r="V1182" s="136"/>
      <c r="W1182" s="136"/>
      <c r="X1182" s="136"/>
    </row>
    <row r="1183">
      <c r="E1183" s="136"/>
      <c r="F1183" s="136"/>
      <c r="G1183" s="136"/>
      <c r="H1183" s="137"/>
      <c r="I1183" s="136"/>
      <c r="J1183" s="136"/>
      <c r="K1183" s="136"/>
      <c r="L1183" s="136"/>
      <c r="M1183" s="136"/>
      <c r="N1183" s="136"/>
      <c r="O1183" s="142"/>
      <c r="P1183" s="138"/>
      <c r="Q1183" s="138"/>
      <c r="R1183" s="138"/>
      <c r="S1183" s="139"/>
      <c r="T1183" s="140"/>
      <c r="U1183" s="136"/>
      <c r="V1183" s="136"/>
      <c r="W1183" s="136"/>
      <c r="X1183" s="136"/>
    </row>
    <row r="1184">
      <c r="E1184" s="136"/>
      <c r="F1184" s="136"/>
      <c r="G1184" s="136"/>
      <c r="H1184" s="137"/>
      <c r="I1184" s="136"/>
      <c r="J1184" s="136"/>
      <c r="K1184" s="136"/>
      <c r="L1184" s="136"/>
      <c r="M1184" s="136"/>
      <c r="N1184" s="136"/>
      <c r="O1184" s="142"/>
      <c r="P1184" s="138"/>
      <c r="Q1184" s="138"/>
      <c r="R1184" s="138"/>
      <c r="S1184" s="139"/>
      <c r="T1184" s="140"/>
      <c r="U1184" s="136"/>
      <c r="V1184" s="136"/>
      <c r="W1184" s="136"/>
      <c r="X1184" s="136"/>
    </row>
    <row r="1185">
      <c r="E1185" s="136"/>
      <c r="F1185" s="136"/>
      <c r="G1185" s="136"/>
      <c r="H1185" s="137"/>
      <c r="I1185" s="136"/>
      <c r="J1185" s="136"/>
      <c r="K1185" s="136"/>
      <c r="L1185" s="136"/>
      <c r="M1185" s="136"/>
      <c r="N1185" s="136"/>
      <c r="O1185" s="142"/>
      <c r="P1185" s="138"/>
      <c r="Q1185" s="138"/>
      <c r="R1185" s="138"/>
      <c r="S1185" s="139"/>
      <c r="T1185" s="140"/>
      <c r="U1185" s="136"/>
      <c r="V1185" s="136"/>
      <c r="W1185" s="136"/>
      <c r="X1185" s="136"/>
    </row>
    <row r="1186">
      <c r="E1186" s="136"/>
      <c r="F1186" s="136"/>
      <c r="G1186" s="136"/>
      <c r="H1186" s="137"/>
      <c r="I1186" s="136"/>
      <c r="J1186" s="136"/>
      <c r="K1186" s="136"/>
      <c r="L1186" s="136"/>
      <c r="M1186" s="136"/>
      <c r="N1186" s="136"/>
      <c r="O1186" s="142"/>
      <c r="P1186" s="138"/>
      <c r="Q1186" s="138"/>
      <c r="R1186" s="138"/>
      <c r="S1186" s="139"/>
      <c r="T1186" s="140"/>
      <c r="U1186" s="136"/>
      <c r="V1186" s="136"/>
      <c r="W1186" s="136"/>
      <c r="X1186" s="136"/>
    </row>
    <row r="1187">
      <c r="E1187" s="136"/>
      <c r="F1187" s="136"/>
      <c r="G1187" s="136"/>
      <c r="H1187" s="137"/>
      <c r="I1187" s="136"/>
      <c r="J1187" s="136"/>
      <c r="K1187" s="136"/>
      <c r="L1187" s="136"/>
      <c r="M1187" s="136"/>
      <c r="N1187" s="136"/>
      <c r="O1187" s="142"/>
      <c r="P1187" s="138"/>
      <c r="Q1187" s="138"/>
      <c r="R1187" s="138"/>
      <c r="S1187" s="139"/>
      <c r="T1187" s="140"/>
      <c r="U1187" s="136"/>
      <c r="V1187" s="136"/>
      <c r="W1187" s="136"/>
      <c r="X1187" s="136"/>
    </row>
    <row r="1188">
      <c r="E1188" s="136"/>
      <c r="F1188" s="136"/>
      <c r="G1188" s="136"/>
      <c r="H1188" s="137"/>
      <c r="I1188" s="136"/>
      <c r="J1188" s="136"/>
      <c r="K1188" s="136"/>
      <c r="L1188" s="136"/>
      <c r="M1188" s="136"/>
      <c r="N1188" s="136"/>
      <c r="O1188" s="142"/>
      <c r="P1188" s="138"/>
      <c r="Q1188" s="138"/>
      <c r="R1188" s="138"/>
      <c r="S1188" s="139"/>
      <c r="T1188" s="140"/>
      <c r="U1188" s="136"/>
      <c r="V1188" s="136"/>
      <c r="W1188" s="136"/>
      <c r="X1188" s="136"/>
    </row>
    <row r="1189">
      <c r="E1189" s="136"/>
      <c r="F1189" s="136"/>
      <c r="G1189" s="136"/>
      <c r="H1189" s="137"/>
      <c r="I1189" s="136"/>
      <c r="J1189" s="136"/>
      <c r="K1189" s="136"/>
      <c r="L1189" s="136"/>
      <c r="M1189" s="136"/>
      <c r="N1189" s="136"/>
      <c r="O1189" s="142"/>
      <c r="P1189" s="138"/>
      <c r="Q1189" s="138"/>
      <c r="R1189" s="138"/>
      <c r="S1189" s="139"/>
      <c r="T1189" s="140"/>
      <c r="U1189" s="136"/>
      <c r="V1189" s="136"/>
      <c r="W1189" s="136"/>
      <c r="X1189" s="136"/>
    </row>
    <row r="1190">
      <c r="E1190" s="136"/>
      <c r="F1190" s="136"/>
      <c r="G1190" s="136"/>
      <c r="H1190" s="137"/>
      <c r="I1190" s="136"/>
      <c r="J1190" s="136"/>
      <c r="K1190" s="136"/>
      <c r="L1190" s="136"/>
      <c r="M1190" s="136"/>
      <c r="N1190" s="136"/>
      <c r="O1190" s="142"/>
      <c r="P1190" s="138"/>
      <c r="Q1190" s="138"/>
      <c r="R1190" s="138"/>
      <c r="S1190" s="139"/>
      <c r="T1190" s="140"/>
      <c r="U1190" s="136"/>
      <c r="V1190" s="136"/>
      <c r="W1190" s="136"/>
      <c r="X1190" s="136"/>
    </row>
    <row r="1191">
      <c r="E1191" s="136"/>
      <c r="F1191" s="136"/>
      <c r="G1191" s="136"/>
      <c r="H1191" s="137"/>
      <c r="I1191" s="136"/>
      <c r="J1191" s="136"/>
      <c r="K1191" s="136"/>
      <c r="L1191" s="136"/>
      <c r="M1191" s="136"/>
      <c r="N1191" s="136"/>
      <c r="O1191" s="142"/>
      <c r="P1191" s="138"/>
      <c r="Q1191" s="138"/>
      <c r="R1191" s="138"/>
      <c r="S1191" s="139"/>
      <c r="T1191" s="140"/>
      <c r="U1191" s="136"/>
      <c r="V1191" s="136"/>
      <c r="W1191" s="136"/>
      <c r="X1191" s="136"/>
    </row>
    <row r="1192">
      <c r="E1192" s="136"/>
      <c r="F1192" s="136"/>
      <c r="G1192" s="136"/>
      <c r="H1192" s="137"/>
      <c r="I1192" s="136"/>
      <c r="J1192" s="136"/>
      <c r="K1192" s="136"/>
      <c r="L1192" s="136"/>
      <c r="M1192" s="136"/>
      <c r="N1192" s="136"/>
      <c r="O1192" s="142"/>
      <c r="P1192" s="138"/>
      <c r="Q1192" s="138"/>
      <c r="R1192" s="138"/>
      <c r="S1192" s="139"/>
      <c r="T1192" s="140"/>
      <c r="U1192" s="136"/>
      <c r="V1192" s="136"/>
      <c r="W1192" s="136"/>
      <c r="X1192" s="136"/>
    </row>
    <row r="1193">
      <c r="E1193" s="136"/>
      <c r="F1193" s="136"/>
      <c r="G1193" s="136"/>
      <c r="H1193" s="137"/>
      <c r="I1193" s="136"/>
      <c r="J1193" s="136"/>
      <c r="K1193" s="136"/>
      <c r="L1193" s="136"/>
      <c r="M1193" s="136"/>
      <c r="N1193" s="136"/>
      <c r="O1193" s="142"/>
      <c r="P1193" s="138"/>
      <c r="Q1193" s="138"/>
      <c r="R1193" s="138"/>
      <c r="S1193" s="139"/>
      <c r="T1193" s="140"/>
      <c r="U1193" s="136"/>
      <c r="V1193" s="136"/>
      <c r="W1193" s="136"/>
      <c r="X1193" s="136"/>
    </row>
    <row r="1194">
      <c r="E1194" s="136"/>
      <c r="F1194" s="136"/>
      <c r="G1194" s="136"/>
      <c r="H1194" s="137"/>
      <c r="I1194" s="136"/>
      <c r="J1194" s="136"/>
      <c r="K1194" s="136"/>
      <c r="L1194" s="136"/>
      <c r="M1194" s="136"/>
      <c r="N1194" s="136"/>
      <c r="O1194" s="142"/>
      <c r="P1194" s="138"/>
      <c r="Q1194" s="138"/>
      <c r="R1194" s="138"/>
      <c r="S1194" s="139"/>
      <c r="T1194" s="140"/>
      <c r="U1194" s="136"/>
      <c r="V1194" s="136"/>
      <c r="W1194" s="136"/>
      <c r="X1194" s="136"/>
    </row>
    <row r="1195">
      <c r="E1195" s="136"/>
      <c r="F1195" s="136"/>
      <c r="G1195" s="136"/>
      <c r="H1195" s="137"/>
      <c r="I1195" s="136"/>
      <c r="J1195" s="136"/>
      <c r="K1195" s="136"/>
      <c r="L1195" s="136"/>
      <c r="M1195" s="136"/>
      <c r="N1195" s="136"/>
      <c r="O1195" s="142"/>
      <c r="P1195" s="138"/>
      <c r="Q1195" s="138"/>
      <c r="R1195" s="138"/>
      <c r="S1195" s="139"/>
      <c r="T1195" s="140"/>
      <c r="U1195" s="136"/>
      <c r="V1195" s="136"/>
      <c r="W1195" s="136"/>
      <c r="X1195" s="136"/>
    </row>
    <row r="1196">
      <c r="E1196" s="136"/>
      <c r="F1196" s="136"/>
      <c r="G1196" s="136"/>
      <c r="H1196" s="137"/>
      <c r="I1196" s="136"/>
      <c r="J1196" s="136"/>
      <c r="K1196" s="136"/>
      <c r="L1196" s="136"/>
      <c r="M1196" s="136"/>
      <c r="N1196" s="136"/>
      <c r="O1196" s="142"/>
      <c r="P1196" s="138"/>
      <c r="Q1196" s="138"/>
      <c r="R1196" s="138"/>
      <c r="S1196" s="139"/>
      <c r="T1196" s="140"/>
      <c r="U1196" s="136"/>
      <c r="V1196" s="136"/>
      <c r="W1196" s="136"/>
      <c r="X1196" s="136"/>
    </row>
    <row r="1197">
      <c r="E1197" s="136"/>
      <c r="F1197" s="136"/>
      <c r="G1197" s="136"/>
      <c r="H1197" s="137"/>
      <c r="I1197" s="136"/>
      <c r="J1197" s="136"/>
      <c r="K1197" s="136"/>
      <c r="L1197" s="136"/>
      <c r="M1197" s="136"/>
      <c r="N1197" s="136"/>
      <c r="O1197" s="142"/>
      <c r="P1197" s="138"/>
      <c r="Q1197" s="138"/>
      <c r="R1197" s="138"/>
      <c r="S1197" s="139"/>
      <c r="T1197" s="140"/>
      <c r="U1197" s="136"/>
      <c r="V1197" s="136"/>
      <c r="W1197" s="136"/>
      <c r="X1197" s="136"/>
    </row>
    <row r="1198">
      <c r="E1198" s="136"/>
      <c r="F1198" s="136"/>
      <c r="G1198" s="136"/>
      <c r="H1198" s="137"/>
      <c r="I1198" s="136"/>
      <c r="J1198" s="136"/>
      <c r="K1198" s="136"/>
      <c r="L1198" s="136"/>
      <c r="M1198" s="136"/>
      <c r="N1198" s="136"/>
      <c r="O1198" s="142"/>
      <c r="P1198" s="138"/>
      <c r="Q1198" s="138"/>
      <c r="R1198" s="138"/>
      <c r="S1198" s="139"/>
      <c r="T1198" s="140"/>
      <c r="U1198" s="136"/>
      <c r="V1198" s="136"/>
      <c r="W1198" s="136"/>
      <c r="X1198" s="136"/>
    </row>
    <row r="1199">
      <c r="E1199" s="136"/>
      <c r="F1199" s="136"/>
      <c r="G1199" s="136"/>
      <c r="H1199" s="137"/>
      <c r="I1199" s="136"/>
      <c r="J1199" s="136"/>
      <c r="K1199" s="136"/>
      <c r="L1199" s="136"/>
      <c r="M1199" s="136"/>
      <c r="N1199" s="136"/>
      <c r="O1199" s="142"/>
      <c r="P1199" s="138"/>
      <c r="Q1199" s="138"/>
      <c r="R1199" s="138"/>
      <c r="S1199" s="139"/>
      <c r="T1199" s="140"/>
      <c r="U1199" s="136"/>
      <c r="V1199" s="136"/>
      <c r="W1199" s="136"/>
      <c r="X1199" s="136"/>
    </row>
    <row r="1200">
      <c r="E1200" s="136"/>
      <c r="F1200" s="136"/>
      <c r="G1200" s="136"/>
      <c r="H1200" s="137"/>
      <c r="I1200" s="136"/>
      <c r="J1200" s="136"/>
      <c r="K1200" s="136"/>
      <c r="L1200" s="136"/>
      <c r="M1200" s="136"/>
      <c r="N1200" s="136"/>
      <c r="O1200" s="142"/>
      <c r="P1200" s="138"/>
      <c r="Q1200" s="138"/>
      <c r="R1200" s="138"/>
      <c r="S1200" s="139"/>
      <c r="T1200" s="140"/>
      <c r="U1200" s="136"/>
      <c r="V1200" s="136"/>
      <c r="W1200" s="136"/>
      <c r="X1200" s="136"/>
    </row>
    <row r="1201">
      <c r="E1201" s="136"/>
      <c r="F1201" s="136"/>
      <c r="G1201" s="136"/>
      <c r="H1201" s="137"/>
      <c r="I1201" s="136"/>
      <c r="J1201" s="136"/>
      <c r="K1201" s="136"/>
      <c r="L1201" s="136"/>
      <c r="M1201" s="136"/>
      <c r="N1201" s="136"/>
      <c r="O1201" s="142"/>
      <c r="P1201" s="138"/>
      <c r="Q1201" s="138"/>
      <c r="R1201" s="138"/>
      <c r="S1201" s="139"/>
      <c r="T1201" s="140"/>
      <c r="U1201" s="136"/>
      <c r="V1201" s="136"/>
      <c r="W1201" s="136"/>
      <c r="X1201" s="136"/>
    </row>
    <row r="1202">
      <c r="E1202" s="136"/>
      <c r="F1202" s="136"/>
      <c r="G1202" s="136"/>
      <c r="H1202" s="137"/>
      <c r="I1202" s="136"/>
      <c r="J1202" s="136"/>
      <c r="K1202" s="136"/>
      <c r="L1202" s="136"/>
      <c r="M1202" s="136"/>
      <c r="N1202" s="136"/>
      <c r="O1202" s="142"/>
      <c r="P1202" s="138"/>
      <c r="Q1202" s="138"/>
      <c r="R1202" s="138"/>
      <c r="S1202" s="139"/>
      <c r="T1202" s="140"/>
      <c r="U1202" s="136"/>
      <c r="V1202" s="136"/>
      <c r="W1202" s="136"/>
      <c r="X1202" s="136"/>
    </row>
    <row r="1203">
      <c r="E1203" s="136"/>
      <c r="F1203" s="136"/>
      <c r="G1203" s="136"/>
      <c r="H1203" s="137"/>
      <c r="I1203" s="136"/>
      <c r="J1203" s="136"/>
      <c r="K1203" s="136"/>
      <c r="L1203" s="136"/>
      <c r="M1203" s="136"/>
      <c r="N1203" s="136"/>
      <c r="O1203" s="142"/>
      <c r="P1203" s="138"/>
      <c r="Q1203" s="138"/>
      <c r="R1203" s="138"/>
      <c r="S1203" s="139"/>
      <c r="T1203" s="140"/>
      <c r="U1203" s="136"/>
      <c r="V1203" s="136"/>
      <c r="W1203" s="136"/>
      <c r="X1203" s="136"/>
    </row>
    <row r="1204">
      <c r="E1204" s="136"/>
      <c r="F1204" s="136"/>
      <c r="G1204" s="136"/>
      <c r="H1204" s="137"/>
      <c r="I1204" s="136"/>
      <c r="J1204" s="136"/>
      <c r="K1204" s="136"/>
      <c r="L1204" s="136"/>
      <c r="M1204" s="136"/>
      <c r="N1204" s="136"/>
      <c r="O1204" s="142"/>
      <c r="P1204" s="138"/>
      <c r="Q1204" s="138"/>
      <c r="R1204" s="138"/>
      <c r="S1204" s="139"/>
      <c r="T1204" s="140"/>
      <c r="U1204" s="136"/>
      <c r="V1204" s="136"/>
      <c r="W1204" s="136"/>
      <c r="X1204" s="136"/>
    </row>
    <row r="1205">
      <c r="E1205" s="136"/>
      <c r="F1205" s="136"/>
      <c r="G1205" s="136"/>
      <c r="H1205" s="137"/>
      <c r="I1205" s="136"/>
      <c r="J1205" s="136"/>
      <c r="K1205" s="136"/>
      <c r="L1205" s="136"/>
      <c r="M1205" s="136"/>
      <c r="N1205" s="136"/>
      <c r="O1205" s="142"/>
      <c r="P1205" s="138"/>
      <c r="Q1205" s="138"/>
      <c r="R1205" s="138"/>
      <c r="S1205" s="139"/>
      <c r="T1205" s="140"/>
      <c r="U1205" s="136"/>
      <c r="V1205" s="136"/>
      <c r="W1205" s="136"/>
      <c r="X1205" s="136"/>
    </row>
    <row r="1206">
      <c r="E1206" s="136"/>
      <c r="F1206" s="136"/>
      <c r="G1206" s="136"/>
      <c r="H1206" s="137"/>
      <c r="I1206" s="136"/>
      <c r="J1206" s="136"/>
      <c r="K1206" s="136"/>
      <c r="L1206" s="136"/>
      <c r="M1206" s="136"/>
      <c r="N1206" s="136"/>
      <c r="O1206" s="142"/>
      <c r="P1206" s="138"/>
      <c r="Q1206" s="138"/>
      <c r="R1206" s="138"/>
      <c r="S1206" s="139"/>
      <c r="T1206" s="140"/>
      <c r="U1206" s="136"/>
      <c r="V1206" s="136"/>
      <c r="W1206" s="136"/>
      <c r="X1206" s="136"/>
    </row>
    <row r="1207">
      <c r="E1207" s="136"/>
      <c r="F1207" s="136"/>
      <c r="G1207" s="136"/>
      <c r="H1207" s="137"/>
      <c r="I1207" s="136"/>
      <c r="J1207" s="136"/>
      <c r="K1207" s="136"/>
      <c r="L1207" s="136"/>
      <c r="M1207" s="136"/>
      <c r="N1207" s="136"/>
      <c r="O1207" s="142"/>
      <c r="P1207" s="138"/>
      <c r="Q1207" s="138"/>
      <c r="R1207" s="138"/>
      <c r="S1207" s="139"/>
      <c r="T1207" s="140"/>
      <c r="U1207" s="136"/>
      <c r="V1207" s="136"/>
      <c r="W1207" s="136"/>
      <c r="X1207" s="136"/>
    </row>
    <row r="1208">
      <c r="E1208" s="136"/>
      <c r="F1208" s="136"/>
      <c r="G1208" s="136"/>
      <c r="H1208" s="137"/>
      <c r="I1208" s="136"/>
      <c r="J1208" s="136"/>
      <c r="K1208" s="136"/>
      <c r="L1208" s="136"/>
      <c r="M1208" s="136"/>
      <c r="N1208" s="136"/>
      <c r="O1208" s="142"/>
      <c r="P1208" s="138"/>
      <c r="Q1208" s="138"/>
      <c r="R1208" s="138"/>
      <c r="S1208" s="139"/>
      <c r="T1208" s="140"/>
      <c r="U1208" s="136"/>
      <c r="V1208" s="136"/>
      <c r="W1208" s="136"/>
      <c r="X1208" s="136"/>
    </row>
    <row r="1209">
      <c r="E1209" s="136"/>
      <c r="F1209" s="136"/>
      <c r="G1209" s="136"/>
      <c r="H1209" s="137"/>
      <c r="I1209" s="136"/>
      <c r="J1209" s="136"/>
      <c r="K1209" s="136"/>
      <c r="L1209" s="136"/>
      <c r="M1209" s="136"/>
      <c r="N1209" s="136"/>
      <c r="O1209" s="142"/>
      <c r="P1209" s="138"/>
      <c r="Q1209" s="138"/>
      <c r="R1209" s="138"/>
      <c r="S1209" s="139"/>
      <c r="T1209" s="140"/>
      <c r="U1209" s="136"/>
      <c r="V1209" s="136"/>
      <c r="W1209" s="136"/>
      <c r="X1209" s="136"/>
    </row>
    <row r="1210">
      <c r="E1210" s="136"/>
      <c r="F1210" s="136"/>
      <c r="G1210" s="136"/>
      <c r="H1210" s="137"/>
      <c r="I1210" s="136"/>
      <c r="J1210" s="136"/>
      <c r="K1210" s="136"/>
      <c r="L1210" s="136"/>
      <c r="M1210" s="136"/>
      <c r="N1210" s="136"/>
      <c r="O1210" s="142"/>
      <c r="P1210" s="138"/>
      <c r="Q1210" s="138"/>
      <c r="R1210" s="138"/>
      <c r="S1210" s="139"/>
      <c r="T1210" s="140"/>
      <c r="U1210" s="136"/>
      <c r="V1210" s="136"/>
      <c r="W1210" s="136"/>
      <c r="X1210" s="136"/>
    </row>
    <row r="1211">
      <c r="E1211" s="136"/>
      <c r="F1211" s="136"/>
      <c r="G1211" s="136"/>
      <c r="H1211" s="137"/>
      <c r="I1211" s="136"/>
      <c r="J1211" s="136"/>
      <c r="K1211" s="136"/>
      <c r="L1211" s="136"/>
      <c r="M1211" s="136"/>
      <c r="N1211" s="136"/>
      <c r="O1211" s="142"/>
      <c r="P1211" s="138"/>
      <c r="Q1211" s="138"/>
      <c r="R1211" s="138"/>
      <c r="S1211" s="139"/>
      <c r="T1211" s="140"/>
      <c r="U1211" s="136"/>
      <c r="V1211" s="136"/>
      <c r="W1211" s="136"/>
      <c r="X1211" s="136"/>
    </row>
    <row r="1212">
      <c r="E1212" s="136"/>
      <c r="F1212" s="136"/>
      <c r="G1212" s="136"/>
      <c r="H1212" s="137"/>
      <c r="I1212" s="136"/>
      <c r="J1212" s="136"/>
      <c r="K1212" s="136"/>
      <c r="L1212" s="136"/>
      <c r="M1212" s="136"/>
      <c r="N1212" s="136"/>
      <c r="O1212" s="142"/>
      <c r="P1212" s="138"/>
      <c r="Q1212" s="138"/>
      <c r="R1212" s="138"/>
      <c r="S1212" s="139"/>
      <c r="T1212" s="140"/>
      <c r="U1212" s="136"/>
      <c r="V1212" s="136"/>
      <c r="W1212" s="136"/>
      <c r="X1212" s="136"/>
    </row>
    <row r="1213">
      <c r="E1213" s="136"/>
      <c r="F1213" s="136"/>
      <c r="G1213" s="136"/>
      <c r="H1213" s="137"/>
      <c r="I1213" s="136"/>
      <c r="J1213" s="136"/>
      <c r="K1213" s="136"/>
      <c r="L1213" s="136"/>
      <c r="M1213" s="136"/>
      <c r="N1213" s="136"/>
      <c r="O1213" s="142"/>
      <c r="P1213" s="138"/>
      <c r="Q1213" s="138"/>
      <c r="R1213" s="138"/>
      <c r="S1213" s="139"/>
      <c r="T1213" s="140"/>
      <c r="U1213" s="136"/>
      <c r="V1213" s="136"/>
      <c r="W1213" s="136"/>
      <c r="X1213" s="136"/>
    </row>
    <row r="1214">
      <c r="E1214" s="136"/>
      <c r="F1214" s="136"/>
      <c r="G1214" s="136"/>
      <c r="H1214" s="137"/>
      <c r="I1214" s="136"/>
      <c r="J1214" s="136"/>
      <c r="K1214" s="136"/>
      <c r="L1214" s="136"/>
      <c r="M1214" s="136"/>
      <c r="N1214" s="136"/>
      <c r="O1214" s="142"/>
      <c r="P1214" s="138"/>
      <c r="Q1214" s="138"/>
      <c r="R1214" s="138"/>
      <c r="S1214" s="139"/>
      <c r="T1214" s="140"/>
      <c r="U1214" s="136"/>
      <c r="V1214" s="136"/>
      <c r="W1214" s="136"/>
      <c r="X1214" s="136"/>
    </row>
    <row r="1215">
      <c r="E1215" s="136"/>
      <c r="F1215" s="136"/>
      <c r="G1215" s="136"/>
      <c r="H1215" s="137"/>
      <c r="I1215" s="136"/>
      <c r="J1215" s="136"/>
      <c r="K1215" s="136"/>
      <c r="L1215" s="136"/>
      <c r="M1215" s="136"/>
      <c r="N1215" s="136"/>
      <c r="O1215" s="142"/>
      <c r="P1215" s="138"/>
      <c r="Q1215" s="138"/>
      <c r="R1215" s="138"/>
      <c r="S1215" s="139"/>
      <c r="T1215" s="140"/>
      <c r="U1215" s="136"/>
      <c r="V1215" s="136"/>
      <c r="W1215" s="136"/>
      <c r="X1215" s="136"/>
    </row>
    <row r="1216">
      <c r="E1216" s="136"/>
      <c r="F1216" s="136"/>
      <c r="G1216" s="136"/>
      <c r="H1216" s="137"/>
      <c r="I1216" s="136"/>
      <c r="J1216" s="136"/>
      <c r="K1216" s="136"/>
      <c r="L1216" s="136"/>
      <c r="M1216" s="136"/>
      <c r="N1216" s="136"/>
      <c r="O1216" s="142"/>
      <c r="P1216" s="138"/>
      <c r="Q1216" s="138"/>
      <c r="R1216" s="138"/>
      <c r="S1216" s="139"/>
      <c r="T1216" s="140"/>
      <c r="U1216" s="136"/>
      <c r="V1216" s="136"/>
      <c r="W1216" s="136"/>
      <c r="X1216" s="136"/>
    </row>
    <row r="1217">
      <c r="E1217" s="136"/>
      <c r="F1217" s="136"/>
      <c r="G1217" s="136"/>
      <c r="H1217" s="137"/>
      <c r="I1217" s="136"/>
      <c r="J1217" s="136"/>
      <c r="K1217" s="136"/>
      <c r="L1217" s="136"/>
      <c r="M1217" s="136"/>
      <c r="N1217" s="136"/>
      <c r="O1217" s="142"/>
      <c r="P1217" s="138"/>
      <c r="Q1217" s="138"/>
      <c r="R1217" s="138"/>
      <c r="S1217" s="139"/>
      <c r="T1217" s="140"/>
      <c r="U1217" s="136"/>
      <c r="V1217" s="136"/>
      <c r="W1217" s="136"/>
      <c r="X1217" s="136"/>
    </row>
    <row r="1218">
      <c r="E1218" s="136"/>
      <c r="F1218" s="136"/>
      <c r="G1218" s="136"/>
      <c r="H1218" s="137"/>
      <c r="I1218" s="136"/>
      <c r="J1218" s="136"/>
      <c r="K1218" s="136"/>
      <c r="L1218" s="136"/>
      <c r="M1218" s="136"/>
      <c r="N1218" s="136"/>
      <c r="O1218" s="142"/>
      <c r="P1218" s="138"/>
      <c r="Q1218" s="138"/>
      <c r="R1218" s="138"/>
      <c r="S1218" s="139"/>
      <c r="T1218" s="140"/>
      <c r="U1218" s="136"/>
      <c r="V1218" s="136"/>
      <c r="W1218" s="136"/>
      <c r="X1218" s="136"/>
    </row>
    <row r="1219">
      <c r="E1219" s="136"/>
      <c r="F1219" s="136"/>
      <c r="G1219" s="136"/>
      <c r="H1219" s="137"/>
      <c r="I1219" s="136"/>
      <c r="J1219" s="136"/>
      <c r="K1219" s="136"/>
      <c r="L1219" s="136"/>
      <c r="M1219" s="136"/>
      <c r="N1219" s="136"/>
      <c r="O1219" s="142"/>
      <c r="P1219" s="138"/>
      <c r="Q1219" s="138"/>
      <c r="R1219" s="138"/>
      <c r="S1219" s="139"/>
      <c r="T1219" s="140"/>
      <c r="U1219" s="136"/>
      <c r="V1219" s="136"/>
      <c r="W1219" s="136"/>
      <c r="X1219" s="136"/>
    </row>
    <row r="1220">
      <c r="E1220" s="136"/>
      <c r="F1220" s="136"/>
      <c r="G1220" s="136"/>
      <c r="H1220" s="137"/>
      <c r="I1220" s="136"/>
      <c r="J1220" s="136"/>
      <c r="K1220" s="136"/>
      <c r="L1220" s="136"/>
      <c r="M1220" s="136"/>
      <c r="N1220" s="136"/>
      <c r="O1220" s="142"/>
      <c r="P1220" s="138"/>
      <c r="Q1220" s="138"/>
      <c r="R1220" s="138"/>
      <c r="S1220" s="139"/>
      <c r="T1220" s="140"/>
      <c r="U1220" s="136"/>
      <c r="V1220" s="136"/>
      <c r="W1220" s="136"/>
      <c r="X1220" s="136"/>
    </row>
    <row r="1221">
      <c r="E1221" s="136"/>
      <c r="F1221" s="136"/>
      <c r="G1221" s="136"/>
      <c r="H1221" s="137"/>
      <c r="I1221" s="136"/>
      <c r="J1221" s="136"/>
      <c r="K1221" s="136"/>
      <c r="L1221" s="136"/>
      <c r="M1221" s="136"/>
      <c r="N1221" s="136"/>
      <c r="O1221" s="142"/>
      <c r="P1221" s="138"/>
      <c r="Q1221" s="138"/>
      <c r="R1221" s="138"/>
      <c r="S1221" s="139"/>
      <c r="T1221" s="140"/>
      <c r="U1221" s="136"/>
      <c r="V1221" s="136"/>
      <c r="W1221" s="136"/>
      <c r="X1221" s="136"/>
    </row>
    <row r="1222">
      <c r="E1222" s="136"/>
      <c r="F1222" s="136"/>
      <c r="G1222" s="136"/>
      <c r="H1222" s="137"/>
      <c r="I1222" s="136"/>
      <c r="J1222" s="136"/>
      <c r="K1222" s="136"/>
      <c r="L1222" s="136"/>
      <c r="M1222" s="136"/>
      <c r="N1222" s="136"/>
      <c r="O1222" s="142"/>
      <c r="P1222" s="138"/>
      <c r="Q1222" s="138"/>
      <c r="R1222" s="138"/>
      <c r="S1222" s="139"/>
      <c r="T1222" s="140"/>
      <c r="U1222" s="136"/>
      <c r="V1222" s="136"/>
      <c r="W1222" s="136"/>
      <c r="X1222" s="136"/>
    </row>
    <row r="1223">
      <c r="E1223" s="136"/>
      <c r="F1223" s="136"/>
      <c r="G1223" s="136"/>
      <c r="H1223" s="137"/>
      <c r="I1223" s="136"/>
      <c r="J1223" s="136"/>
      <c r="K1223" s="136"/>
      <c r="L1223" s="136"/>
      <c r="M1223" s="136"/>
      <c r="N1223" s="136"/>
      <c r="O1223" s="142"/>
      <c r="P1223" s="138"/>
      <c r="Q1223" s="138"/>
      <c r="R1223" s="138"/>
      <c r="S1223" s="139"/>
      <c r="T1223" s="140"/>
      <c r="U1223" s="136"/>
      <c r="V1223" s="136"/>
      <c r="W1223" s="136"/>
      <c r="X1223" s="136"/>
    </row>
    <row r="1224">
      <c r="E1224" s="136"/>
      <c r="F1224" s="136"/>
      <c r="G1224" s="136"/>
      <c r="H1224" s="137"/>
      <c r="I1224" s="136"/>
      <c r="J1224" s="136"/>
      <c r="K1224" s="136"/>
      <c r="L1224" s="136"/>
      <c r="M1224" s="136"/>
      <c r="N1224" s="136"/>
      <c r="O1224" s="142"/>
      <c r="P1224" s="138"/>
      <c r="Q1224" s="138"/>
      <c r="R1224" s="138"/>
      <c r="S1224" s="139"/>
      <c r="T1224" s="140"/>
      <c r="U1224" s="136"/>
      <c r="V1224" s="136"/>
      <c r="W1224" s="136"/>
      <c r="X1224" s="136"/>
    </row>
    <row r="1225">
      <c r="E1225" s="136"/>
      <c r="F1225" s="136"/>
      <c r="G1225" s="136"/>
      <c r="H1225" s="137"/>
      <c r="I1225" s="136"/>
      <c r="J1225" s="136"/>
      <c r="K1225" s="136"/>
      <c r="L1225" s="136"/>
      <c r="M1225" s="136"/>
      <c r="N1225" s="136"/>
      <c r="O1225" s="142"/>
      <c r="P1225" s="138"/>
      <c r="Q1225" s="138"/>
      <c r="R1225" s="138"/>
      <c r="S1225" s="139"/>
      <c r="T1225" s="140"/>
      <c r="U1225" s="136"/>
      <c r="V1225" s="136"/>
      <c r="W1225" s="136"/>
      <c r="X1225" s="136"/>
    </row>
    <row r="1226">
      <c r="E1226" s="136"/>
      <c r="F1226" s="136"/>
      <c r="G1226" s="136"/>
      <c r="H1226" s="137"/>
      <c r="I1226" s="136"/>
      <c r="J1226" s="136"/>
      <c r="K1226" s="136"/>
      <c r="L1226" s="136"/>
      <c r="M1226" s="136"/>
      <c r="N1226" s="136"/>
      <c r="O1226" s="142"/>
      <c r="P1226" s="138"/>
      <c r="Q1226" s="138"/>
      <c r="R1226" s="138"/>
      <c r="S1226" s="139"/>
      <c r="T1226" s="140"/>
      <c r="U1226" s="136"/>
      <c r="V1226" s="136"/>
      <c r="W1226" s="136"/>
      <c r="X1226" s="136"/>
    </row>
    <row r="1227">
      <c r="E1227" s="136"/>
      <c r="F1227" s="136"/>
      <c r="G1227" s="136"/>
      <c r="H1227" s="137"/>
      <c r="I1227" s="136"/>
      <c r="J1227" s="136"/>
      <c r="K1227" s="136"/>
      <c r="L1227" s="136"/>
      <c r="M1227" s="136"/>
      <c r="N1227" s="136"/>
      <c r="O1227" s="142"/>
      <c r="P1227" s="138"/>
      <c r="Q1227" s="138"/>
      <c r="R1227" s="138"/>
      <c r="S1227" s="139"/>
      <c r="T1227" s="140"/>
      <c r="U1227" s="136"/>
      <c r="V1227" s="136"/>
      <c r="W1227" s="136"/>
      <c r="X1227" s="136"/>
    </row>
    <row r="1228">
      <c r="E1228" s="136"/>
      <c r="F1228" s="136"/>
      <c r="G1228" s="136"/>
      <c r="H1228" s="137"/>
      <c r="I1228" s="136"/>
      <c r="J1228" s="136"/>
      <c r="K1228" s="136"/>
      <c r="L1228" s="136"/>
      <c r="M1228" s="136"/>
      <c r="N1228" s="136"/>
      <c r="O1228" s="142"/>
      <c r="P1228" s="138"/>
      <c r="Q1228" s="138"/>
      <c r="R1228" s="138"/>
      <c r="S1228" s="139"/>
      <c r="T1228" s="140"/>
      <c r="U1228" s="136"/>
      <c r="V1228" s="136"/>
      <c r="W1228" s="136"/>
      <c r="X1228" s="136"/>
    </row>
    <row r="1229">
      <c r="E1229" s="136"/>
      <c r="F1229" s="136"/>
      <c r="G1229" s="136"/>
      <c r="H1229" s="137"/>
      <c r="I1229" s="136"/>
      <c r="J1229" s="136"/>
      <c r="K1229" s="136"/>
      <c r="L1229" s="136"/>
      <c r="M1229" s="136"/>
      <c r="N1229" s="136"/>
      <c r="O1229" s="142"/>
      <c r="P1229" s="138"/>
      <c r="Q1229" s="138"/>
      <c r="R1229" s="138"/>
      <c r="S1229" s="139"/>
      <c r="T1229" s="140"/>
      <c r="U1229" s="136"/>
      <c r="V1229" s="136"/>
      <c r="W1229" s="136"/>
      <c r="X1229" s="136"/>
    </row>
    <row r="1230">
      <c r="E1230" s="136"/>
      <c r="F1230" s="136"/>
      <c r="G1230" s="136"/>
      <c r="H1230" s="137"/>
      <c r="I1230" s="136"/>
      <c r="J1230" s="136"/>
      <c r="K1230" s="136"/>
      <c r="L1230" s="136"/>
      <c r="M1230" s="136"/>
      <c r="N1230" s="136"/>
      <c r="O1230" s="142"/>
      <c r="P1230" s="138"/>
      <c r="Q1230" s="138"/>
      <c r="R1230" s="138"/>
      <c r="S1230" s="139"/>
      <c r="T1230" s="140"/>
      <c r="U1230" s="136"/>
      <c r="V1230" s="136"/>
      <c r="W1230" s="136"/>
      <c r="X1230" s="136"/>
    </row>
    <row r="1231">
      <c r="E1231" s="136"/>
      <c r="F1231" s="136"/>
      <c r="G1231" s="136"/>
      <c r="H1231" s="137"/>
      <c r="I1231" s="136"/>
      <c r="J1231" s="136"/>
      <c r="K1231" s="136"/>
      <c r="L1231" s="136"/>
      <c r="M1231" s="136"/>
      <c r="N1231" s="136"/>
      <c r="O1231" s="142"/>
      <c r="P1231" s="138"/>
      <c r="Q1231" s="138"/>
      <c r="R1231" s="138"/>
      <c r="S1231" s="139"/>
      <c r="T1231" s="140"/>
      <c r="U1231" s="136"/>
      <c r="V1231" s="136"/>
      <c r="W1231" s="136"/>
      <c r="X1231" s="136"/>
    </row>
    <row r="1232">
      <c r="E1232" s="136"/>
      <c r="F1232" s="136"/>
      <c r="G1232" s="136"/>
      <c r="H1232" s="137"/>
      <c r="I1232" s="136"/>
      <c r="J1232" s="136"/>
      <c r="K1232" s="136"/>
      <c r="L1232" s="136"/>
      <c r="M1232" s="136"/>
      <c r="N1232" s="136"/>
      <c r="O1232" s="142"/>
      <c r="P1232" s="138"/>
      <c r="Q1232" s="138"/>
      <c r="R1232" s="138"/>
      <c r="S1232" s="139"/>
      <c r="T1232" s="140"/>
      <c r="U1232" s="136"/>
      <c r="V1232" s="136"/>
      <c r="W1232" s="136"/>
      <c r="X1232" s="136"/>
    </row>
    <row r="1233">
      <c r="E1233" s="136"/>
      <c r="F1233" s="136"/>
      <c r="G1233" s="136"/>
      <c r="H1233" s="137"/>
      <c r="I1233" s="136"/>
      <c r="J1233" s="136"/>
      <c r="K1233" s="136"/>
      <c r="L1233" s="136"/>
      <c r="M1233" s="136"/>
      <c r="N1233" s="136"/>
      <c r="O1233" s="142"/>
      <c r="P1233" s="138"/>
      <c r="Q1233" s="138"/>
      <c r="R1233" s="138"/>
      <c r="S1233" s="139"/>
      <c r="T1233" s="140"/>
      <c r="U1233" s="136"/>
      <c r="V1233" s="136"/>
      <c r="W1233" s="136"/>
      <c r="X1233" s="136"/>
    </row>
    <row r="1234">
      <c r="E1234" s="136"/>
      <c r="F1234" s="136"/>
      <c r="G1234" s="136"/>
      <c r="H1234" s="137"/>
      <c r="I1234" s="136"/>
      <c r="J1234" s="136"/>
      <c r="K1234" s="136"/>
      <c r="L1234" s="136"/>
      <c r="M1234" s="136"/>
      <c r="N1234" s="136"/>
      <c r="O1234" s="142"/>
      <c r="P1234" s="138"/>
      <c r="Q1234" s="138"/>
      <c r="R1234" s="138"/>
      <c r="S1234" s="139"/>
      <c r="T1234" s="140"/>
      <c r="U1234" s="136"/>
      <c r="V1234" s="136"/>
      <c r="W1234" s="136"/>
      <c r="X1234" s="136"/>
    </row>
    <row r="1235">
      <c r="E1235" s="136"/>
      <c r="F1235" s="136"/>
      <c r="G1235" s="136"/>
      <c r="H1235" s="137"/>
      <c r="I1235" s="136"/>
      <c r="J1235" s="136"/>
      <c r="K1235" s="136"/>
      <c r="L1235" s="136"/>
      <c r="M1235" s="136"/>
      <c r="N1235" s="136"/>
      <c r="O1235" s="142"/>
      <c r="P1235" s="138"/>
      <c r="Q1235" s="138"/>
      <c r="R1235" s="138"/>
      <c r="S1235" s="139"/>
      <c r="T1235" s="140"/>
      <c r="U1235" s="136"/>
      <c r="V1235" s="136"/>
      <c r="W1235" s="136"/>
      <c r="X1235" s="136"/>
    </row>
    <row r="1236">
      <c r="E1236" s="136"/>
      <c r="F1236" s="136"/>
      <c r="G1236" s="136"/>
      <c r="H1236" s="137"/>
      <c r="I1236" s="136"/>
      <c r="J1236" s="136"/>
      <c r="K1236" s="136"/>
      <c r="L1236" s="136"/>
      <c r="M1236" s="136"/>
      <c r="N1236" s="136"/>
      <c r="O1236" s="142"/>
      <c r="P1236" s="138"/>
      <c r="Q1236" s="138"/>
      <c r="R1236" s="138"/>
      <c r="S1236" s="139"/>
      <c r="T1236" s="140"/>
      <c r="U1236" s="136"/>
      <c r="V1236" s="136"/>
      <c r="W1236" s="136"/>
      <c r="X1236" s="136"/>
    </row>
    <row r="1237">
      <c r="E1237" s="136"/>
      <c r="F1237" s="136"/>
      <c r="G1237" s="136"/>
      <c r="H1237" s="137"/>
      <c r="I1237" s="136"/>
      <c r="J1237" s="136"/>
      <c r="K1237" s="136"/>
      <c r="L1237" s="136"/>
      <c r="M1237" s="136"/>
      <c r="N1237" s="136"/>
      <c r="O1237" s="142"/>
      <c r="P1237" s="138"/>
      <c r="Q1237" s="138"/>
      <c r="R1237" s="138"/>
      <c r="S1237" s="139"/>
      <c r="T1237" s="140"/>
      <c r="U1237" s="136"/>
      <c r="V1237" s="136"/>
      <c r="W1237" s="136"/>
      <c r="X1237" s="136"/>
    </row>
    <row r="1238">
      <c r="E1238" s="136"/>
      <c r="F1238" s="136"/>
      <c r="G1238" s="136"/>
      <c r="H1238" s="137"/>
      <c r="I1238" s="136"/>
      <c r="J1238" s="136"/>
      <c r="K1238" s="136"/>
      <c r="L1238" s="136"/>
      <c r="M1238" s="136"/>
      <c r="N1238" s="136"/>
      <c r="O1238" s="142"/>
      <c r="P1238" s="138"/>
      <c r="Q1238" s="138"/>
      <c r="R1238" s="138"/>
      <c r="S1238" s="139"/>
      <c r="T1238" s="140"/>
      <c r="U1238" s="136"/>
      <c r="V1238" s="136"/>
      <c r="W1238" s="136"/>
      <c r="X1238" s="136"/>
    </row>
    <row r="1239">
      <c r="E1239" s="136"/>
      <c r="F1239" s="136"/>
      <c r="G1239" s="136"/>
      <c r="H1239" s="137"/>
      <c r="I1239" s="136"/>
      <c r="J1239" s="136"/>
      <c r="K1239" s="136"/>
      <c r="L1239" s="136"/>
      <c r="M1239" s="136"/>
      <c r="N1239" s="136"/>
      <c r="O1239" s="142"/>
      <c r="P1239" s="138"/>
      <c r="Q1239" s="138"/>
      <c r="R1239" s="138"/>
      <c r="S1239" s="139"/>
      <c r="T1239" s="140"/>
      <c r="U1239" s="136"/>
      <c r="V1239" s="136"/>
      <c r="W1239" s="136"/>
      <c r="X1239" s="136"/>
    </row>
    <row r="1240">
      <c r="E1240" s="136"/>
      <c r="F1240" s="136"/>
      <c r="G1240" s="136"/>
      <c r="H1240" s="137"/>
      <c r="I1240" s="136"/>
      <c r="J1240" s="136"/>
      <c r="K1240" s="136"/>
      <c r="L1240" s="136"/>
      <c r="M1240" s="136"/>
      <c r="N1240" s="136"/>
      <c r="O1240" s="142"/>
      <c r="P1240" s="138"/>
      <c r="Q1240" s="138"/>
      <c r="R1240" s="138"/>
      <c r="S1240" s="139"/>
      <c r="T1240" s="140"/>
      <c r="U1240" s="136"/>
      <c r="V1240" s="136"/>
      <c r="W1240" s="136"/>
      <c r="X1240" s="136"/>
    </row>
    <row r="1241">
      <c r="E1241" s="136"/>
      <c r="F1241" s="136"/>
      <c r="G1241" s="136"/>
      <c r="H1241" s="137"/>
      <c r="I1241" s="136"/>
      <c r="J1241" s="136"/>
      <c r="K1241" s="136"/>
      <c r="L1241" s="136"/>
      <c r="M1241" s="136"/>
      <c r="N1241" s="136"/>
      <c r="O1241" s="142"/>
      <c r="P1241" s="138"/>
      <c r="Q1241" s="138"/>
      <c r="R1241" s="138"/>
      <c r="S1241" s="139"/>
      <c r="T1241" s="140"/>
      <c r="U1241" s="136"/>
      <c r="V1241" s="136"/>
      <c r="W1241" s="136"/>
      <c r="X1241" s="136"/>
    </row>
    <row r="1242">
      <c r="E1242" s="136"/>
      <c r="F1242" s="136"/>
      <c r="G1242" s="136"/>
      <c r="H1242" s="137"/>
      <c r="I1242" s="136"/>
      <c r="J1242" s="136"/>
      <c r="K1242" s="136"/>
      <c r="L1242" s="136"/>
      <c r="M1242" s="136"/>
      <c r="N1242" s="136"/>
      <c r="O1242" s="142"/>
      <c r="P1242" s="138"/>
      <c r="Q1242" s="138"/>
      <c r="R1242" s="138"/>
      <c r="S1242" s="139"/>
      <c r="T1242" s="140"/>
      <c r="U1242" s="136"/>
      <c r="V1242" s="136"/>
      <c r="W1242" s="136"/>
      <c r="X1242" s="136"/>
    </row>
    <row r="1243">
      <c r="E1243" s="136"/>
      <c r="F1243" s="136"/>
      <c r="G1243" s="136"/>
      <c r="H1243" s="137"/>
      <c r="I1243" s="136"/>
      <c r="J1243" s="136"/>
      <c r="K1243" s="136"/>
      <c r="L1243" s="136"/>
      <c r="M1243" s="136"/>
      <c r="N1243" s="136"/>
      <c r="O1243" s="142"/>
      <c r="P1243" s="138"/>
      <c r="Q1243" s="138"/>
      <c r="R1243" s="138"/>
      <c r="S1243" s="139"/>
      <c r="T1243" s="140"/>
      <c r="U1243" s="136"/>
      <c r="V1243" s="136"/>
      <c r="W1243" s="136"/>
      <c r="X1243" s="136"/>
    </row>
    <row r="1244">
      <c r="E1244" s="136"/>
      <c r="F1244" s="136"/>
      <c r="G1244" s="136"/>
      <c r="H1244" s="137"/>
      <c r="I1244" s="136"/>
      <c r="J1244" s="136"/>
      <c r="K1244" s="136"/>
      <c r="L1244" s="136"/>
      <c r="M1244" s="136"/>
      <c r="N1244" s="136"/>
      <c r="O1244" s="142"/>
      <c r="P1244" s="138"/>
      <c r="Q1244" s="138"/>
      <c r="R1244" s="138"/>
      <c r="S1244" s="139"/>
      <c r="T1244" s="140"/>
      <c r="U1244" s="136"/>
      <c r="V1244" s="136"/>
      <c r="W1244" s="136"/>
      <c r="X1244" s="136"/>
    </row>
    <row r="1245">
      <c r="E1245" s="136"/>
      <c r="F1245" s="136"/>
      <c r="G1245" s="136"/>
      <c r="H1245" s="137"/>
      <c r="I1245" s="136"/>
      <c r="J1245" s="136"/>
      <c r="K1245" s="136"/>
      <c r="L1245" s="136"/>
      <c r="M1245" s="136"/>
      <c r="N1245" s="136"/>
      <c r="O1245" s="142"/>
      <c r="P1245" s="138"/>
      <c r="Q1245" s="138"/>
      <c r="R1245" s="138"/>
      <c r="S1245" s="139"/>
      <c r="T1245" s="140"/>
      <c r="U1245" s="136"/>
      <c r="V1245" s="136"/>
      <c r="W1245" s="136"/>
      <c r="X1245" s="136"/>
    </row>
    <row r="1246">
      <c r="E1246" s="136"/>
      <c r="F1246" s="136"/>
      <c r="G1246" s="136"/>
      <c r="H1246" s="137"/>
      <c r="I1246" s="136"/>
      <c r="J1246" s="136"/>
      <c r="K1246" s="136"/>
      <c r="L1246" s="136"/>
      <c r="M1246" s="136"/>
      <c r="N1246" s="136"/>
      <c r="O1246" s="142"/>
      <c r="P1246" s="138"/>
      <c r="Q1246" s="138"/>
      <c r="R1246" s="138"/>
      <c r="S1246" s="139"/>
      <c r="T1246" s="140"/>
      <c r="U1246" s="136"/>
      <c r="V1246" s="136"/>
      <c r="W1246" s="136"/>
      <c r="X1246" s="136"/>
    </row>
    <row r="1247">
      <c r="E1247" s="136"/>
      <c r="F1247" s="136"/>
      <c r="G1247" s="136"/>
      <c r="H1247" s="137"/>
      <c r="I1247" s="136"/>
      <c r="J1247" s="136"/>
      <c r="K1247" s="136"/>
      <c r="L1247" s="136"/>
      <c r="M1247" s="136"/>
      <c r="N1247" s="136"/>
      <c r="O1247" s="142"/>
      <c r="P1247" s="138"/>
      <c r="Q1247" s="138"/>
      <c r="R1247" s="138"/>
      <c r="S1247" s="139"/>
      <c r="T1247" s="140"/>
      <c r="U1247" s="136"/>
      <c r="V1247" s="136"/>
      <c r="W1247" s="136"/>
      <c r="X1247" s="136"/>
    </row>
    <row r="1248">
      <c r="E1248" s="136"/>
      <c r="F1248" s="136"/>
      <c r="G1248" s="136"/>
      <c r="H1248" s="137"/>
      <c r="I1248" s="136"/>
      <c r="J1248" s="136"/>
      <c r="K1248" s="136"/>
      <c r="L1248" s="136"/>
      <c r="M1248" s="136"/>
      <c r="N1248" s="136"/>
      <c r="O1248" s="142"/>
      <c r="P1248" s="138"/>
      <c r="Q1248" s="138"/>
      <c r="R1248" s="138"/>
      <c r="S1248" s="139"/>
      <c r="T1248" s="140"/>
      <c r="U1248" s="136"/>
      <c r="V1248" s="136"/>
      <c r="W1248" s="136"/>
      <c r="X1248" s="136"/>
    </row>
    <row r="1249">
      <c r="E1249" s="136"/>
      <c r="F1249" s="136"/>
      <c r="G1249" s="136"/>
      <c r="H1249" s="137"/>
      <c r="I1249" s="136"/>
      <c r="J1249" s="136"/>
      <c r="K1249" s="136"/>
      <c r="L1249" s="136"/>
      <c r="M1249" s="136"/>
      <c r="N1249" s="136"/>
      <c r="O1249" s="142"/>
      <c r="P1249" s="138"/>
      <c r="Q1249" s="138"/>
      <c r="R1249" s="138"/>
      <c r="S1249" s="139"/>
      <c r="T1249" s="140"/>
      <c r="U1249" s="136"/>
      <c r="V1249" s="136"/>
      <c r="W1249" s="136"/>
      <c r="X1249" s="136"/>
    </row>
    <row r="1250">
      <c r="E1250" s="136"/>
      <c r="F1250" s="136"/>
      <c r="G1250" s="136"/>
      <c r="H1250" s="137"/>
      <c r="I1250" s="136"/>
      <c r="J1250" s="136"/>
      <c r="K1250" s="136"/>
      <c r="L1250" s="136"/>
      <c r="M1250" s="136"/>
      <c r="N1250" s="136"/>
      <c r="O1250" s="142"/>
      <c r="P1250" s="138"/>
      <c r="Q1250" s="138"/>
      <c r="R1250" s="138"/>
      <c r="S1250" s="139"/>
      <c r="T1250" s="140"/>
      <c r="U1250" s="136"/>
      <c r="V1250" s="136"/>
      <c r="W1250" s="136"/>
      <c r="X1250" s="136"/>
    </row>
    <row r="1251">
      <c r="E1251" s="136"/>
      <c r="F1251" s="136"/>
      <c r="G1251" s="136"/>
      <c r="H1251" s="137"/>
      <c r="I1251" s="136"/>
      <c r="J1251" s="136"/>
      <c r="K1251" s="136"/>
      <c r="L1251" s="136"/>
      <c r="M1251" s="136"/>
      <c r="N1251" s="136"/>
      <c r="O1251" s="142"/>
      <c r="P1251" s="138"/>
      <c r="Q1251" s="138"/>
      <c r="R1251" s="138"/>
      <c r="S1251" s="139"/>
      <c r="T1251" s="140"/>
      <c r="U1251" s="136"/>
      <c r="V1251" s="136"/>
      <c r="W1251" s="136"/>
      <c r="X1251" s="136"/>
    </row>
    <row r="1252">
      <c r="E1252" s="136"/>
      <c r="F1252" s="136"/>
      <c r="G1252" s="136"/>
      <c r="H1252" s="137"/>
      <c r="I1252" s="136"/>
      <c r="J1252" s="136"/>
      <c r="K1252" s="136"/>
      <c r="L1252" s="136"/>
      <c r="M1252" s="136"/>
      <c r="N1252" s="136"/>
      <c r="O1252" s="142"/>
      <c r="P1252" s="138"/>
      <c r="Q1252" s="138"/>
      <c r="R1252" s="138"/>
      <c r="S1252" s="139"/>
      <c r="T1252" s="140"/>
      <c r="U1252" s="136"/>
      <c r="V1252" s="136"/>
      <c r="W1252" s="136"/>
      <c r="X1252" s="136"/>
    </row>
    <row r="1253">
      <c r="E1253" s="136"/>
      <c r="F1253" s="136"/>
      <c r="G1253" s="136"/>
      <c r="H1253" s="137"/>
      <c r="I1253" s="136"/>
      <c r="J1253" s="136"/>
      <c r="K1253" s="136"/>
      <c r="L1253" s="136"/>
      <c r="M1253" s="136"/>
      <c r="N1253" s="136"/>
      <c r="O1253" s="142"/>
      <c r="P1253" s="138"/>
      <c r="Q1253" s="138"/>
      <c r="R1253" s="138"/>
      <c r="S1253" s="139"/>
      <c r="T1253" s="140"/>
      <c r="U1253" s="136"/>
      <c r="V1253" s="136"/>
      <c r="W1253" s="136"/>
      <c r="X1253" s="136"/>
    </row>
    <row r="1254">
      <c r="E1254" s="136"/>
      <c r="F1254" s="136"/>
      <c r="G1254" s="136"/>
      <c r="H1254" s="137"/>
      <c r="I1254" s="136"/>
      <c r="J1254" s="136"/>
      <c r="K1254" s="136"/>
      <c r="L1254" s="136"/>
      <c r="M1254" s="136"/>
      <c r="N1254" s="136"/>
      <c r="O1254" s="142"/>
      <c r="P1254" s="138"/>
      <c r="Q1254" s="138"/>
      <c r="R1254" s="138"/>
      <c r="S1254" s="139"/>
      <c r="T1254" s="140"/>
      <c r="U1254" s="136"/>
      <c r="V1254" s="136"/>
      <c r="W1254" s="136"/>
      <c r="X1254" s="136"/>
    </row>
    <row r="1255">
      <c r="E1255" s="136"/>
      <c r="F1255" s="136"/>
      <c r="G1255" s="136"/>
      <c r="H1255" s="137"/>
      <c r="I1255" s="136"/>
      <c r="J1255" s="136"/>
      <c r="K1255" s="136"/>
      <c r="L1255" s="136"/>
      <c r="M1255" s="136"/>
      <c r="N1255" s="136"/>
      <c r="O1255" s="142"/>
      <c r="P1255" s="138"/>
      <c r="Q1255" s="138"/>
      <c r="R1255" s="138"/>
      <c r="S1255" s="139"/>
      <c r="T1255" s="140"/>
      <c r="U1255" s="136"/>
      <c r="V1255" s="136"/>
      <c r="W1255" s="136"/>
      <c r="X1255" s="136"/>
    </row>
    <row r="1256">
      <c r="E1256" s="136"/>
      <c r="F1256" s="136"/>
      <c r="G1256" s="136"/>
      <c r="H1256" s="137"/>
      <c r="I1256" s="136"/>
      <c r="J1256" s="136"/>
      <c r="K1256" s="136"/>
      <c r="L1256" s="136"/>
      <c r="M1256" s="136"/>
      <c r="N1256" s="136"/>
      <c r="O1256" s="142"/>
      <c r="P1256" s="138"/>
      <c r="Q1256" s="138"/>
      <c r="R1256" s="138"/>
      <c r="S1256" s="139"/>
      <c r="T1256" s="140"/>
      <c r="U1256" s="136"/>
      <c r="V1256" s="136"/>
      <c r="W1256" s="136"/>
      <c r="X1256" s="136"/>
    </row>
    <row r="1257">
      <c r="E1257" s="136"/>
      <c r="F1257" s="136"/>
      <c r="G1257" s="136"/>
      <c r="H1257" s="137"/>
      <c r="I1257" s="136"/>
      <c r="J1257" s="136"/>
      <c r="K1257" s="136"/>
      <c r="L1257" s="136"/>
      <c r="M1257" s="136"/>
      <c r="N1257" s="136"/>
      <c r="O1257" s="142"/>
      <c r="P1257" s="138"/>
      <c r="Q1257" s="138"/>
      <c r="R1257" s="138"/>
      <c r="S1257" s="139"/>
      <c r="T1257" s="140"/>
      <c r="U1257" s="136"/>
      <c r="V1257" s="136"/>
      <c r="W1257" s="136"/>
      <c r="X1257" s="136"/>
    </row>
    <row r="1258">
      <c r="E1258" s="136"/>
      <c r="F1258" s="136"/>
      <c r="G1258" s="136"/>
      <c r="H1258" s="137"/>
      <c r="I1258" s="136"/>
      <c r="J1258" s="136"/>
      <c r="K1258" s="136"/>
      <c r="L1258" s="136"/>
      <c r="M1258" s="136"/>
      <c r="N1258" s="136"/>
      <c r="O1258" s="142"/>
      <c r="P1258" s="138"/>
      <c r="Q1258" s="138"/>
      <c r="R1258" s="138"/>
      <c r="S1258" s="139"/>
      <c r="T1258" s="140"/>
      <c r="U1258" s="136"/>
      <c r="V1258" s="136"/>
      <c r="W1258" s="136"/>
      <c r="X1258" s="136"/>
    </row>
    <row r="1259">
      <c r="E1259" s="136"/>
      <c r="F1259" s="136"/>
      <c r="G1259" s="136"/>
      <c r="H1259" s="137"/>
      <c r="I1259" s="136"/>
      <c r="J1259" s="136"/>
      <c r="K1259" s="136"/>
      <c r="L1259" s="136"/>
      <c r="M1259" s="136"/>
      <c r="N1259" s="136"/>
      <c r="O1259" s="142"/>
      <c r="P1259" s="138"/>
      <c r="Q1259" s="138"/>
      <c r="R1259" s="138"/>
      <c r="S1259" s="139"/>
      <c r="T1259" s="140"/>
      <c r="U1259" s="136"/>
      <c r="V1259" s="136"/>
      <c r="W1259" s="136"/>
      <c r="X1259" s="136"/>
    </row>
    <row r="1260">
      <c r="E1260" s="136"/>
      <c r="F1260" s="136"/>
      <c r="G1260" s="136"/>
      <c r="H1260" s="137"/>
      <c r="I1260" s="136"/>
      <c r="J1260" s="136"/>
      <c r="K1260" s="136"/>
      <c r="L1260" s="136"/>
      <c r="M1260" s="136"/>
      <c r="N1260" s="136"/>
      <c r="O1260" s="142"/>
      <c r="P1260" s="138"/>
      <c r="Q1260" s="138"/>
      <c r="R1260" s="138"/>
      <c r="S1260" s="139"/>
      <c r="T1260" s="140"/>
      <c r="U1260" s="136"/>
      <c r="V1260" s="136"/>
      <c r="W1260" s="136"/>
      <c r="X1260" s="136"/>
    </row>
    <row r="1261">
      <c r="E1261" s="136"/>
      <c r="F1261" s="136"/>
      <c r="G1261" s="136"/>
      <c r="H1261" s="137"/>
      <c r="I1261" s="136"/>
      <c r="J1261" s="136"/>
      <c r="K1261" s="136"/>
      <c r="L1261" s="136"/>
      <c r="M1261" s="136"/>
      <c r="N1261" s="136"/>
      <c r="O1261" s="142"/>
      <c r="P1261" s="138"/>
      <c r="Q1261" s="138"/>
      <c r="R1261" s="138"/>
      <c r="S1261" s="139"/>
      <c r="T1261" s="140"/>
      <c r="U1261" s="136"/>
      <c r="V1261" s="136"/>
      <c r="W1261" s="136"/>
      <c r="X1261" s="136"/>
    </row>
    <row r="1262">
      <c r="E1262" s="136"/>
      <c r="F1262" s="136"/>
      <c r="G1262" s="136"/>
      <c r="H1262" s="137"/>
      <c r="I1262" s="136"/>
      <c r="J1262" s="136"/>
      <c r="K1262" s="136"/>
      <c r="L1262" s="136"/>
      <c r="M1262" s="136"/>
      <c r="N1262" s="136"/>
      <c r="O1262" s="142"/>
      <c r="P1262" s="138"/>
      <c r="Q1262" s="138"/>
      <c r="R1262" s="138"/>
      <c r="S1262" s="139"/>
      <c r="T1262" s="140"/>
      <c r="U1262" s="136"/>
      <c r="V1262" s="136"/>
      <c r="W1262" s="136"/>
      <c r="X1262" s="136"/>
    </row>
    <row r="1263">
      <c r="E1263" s="136"/>
      <c r="F1263" s="136"/>
      <c r="G1263" s="136"/>
      <c r="H1263" s="137"/>
      <c r="I1263" s="136"/>
      <c r="J1263" s="136"/>
      <c r="K1263" s="136"/>
      <c r="L1263" s="136"/>
      <c r="M1263" s="136"/>
      <c r="N1263" s="136"/>
      <c r="O1263" s="142"/>
      <c r="P1263" s="138"/>
      <c r="Q1263" s="138"/>
      <c r="R1263" s="138"/>
      <c r="S1263" s="139"/>
      <c r="T1263" s="140"/>
      <c r="U1263" s="136"/>
      <c r="V1263" s="136"/>
      <c r="W1263" s="136"/>
      <c r="X1263" s="136"/>
    </row>
    <row r="1264">
      <c r="E1264" s="136"/>
      <c r="F1264" s="136"/>
      <c r="G1264" s="136"/>
      <c r="H1264" s="137"/>
      <c r="I1264" s="136"/>
      <c r="J1264" s="136"/>
      <c r="K1264" s="136"/>
      <c r="L1264" s="136"/>
      <c r="M1264" s="136"/>
      <c r="N1264" s="136"/>
      <c r="O1264" s="142"/>
      <c r="P1264" s="138"/>
      <c r="Q1264" s="138"/>
      <c r="R1264" s="138"/>
      <c r="S1264" s="139"/>
      <c r="T1264" s="140"/>
      <c r="U1264" s="136"/>
      <c r="V1264" s="136"/>
      <c r="W1264" s="136"/>
      <c r="X1264" s="136"/>
    </row>
    <row r="1265">
      <c r="E1265" s="136"/>
      <c r="F1265" s="136"/>
      <c r="G1265" s="136"/>
      <c r="H1265" s="137"/>
      <c r="I1265" s="136"/>
      <c r="J1265" s="136"/>
      <c r="K1265" s="136"/>
      <c r="L1265" s="136"/>
      <c r="M1265" s="136"/>
      <c r="N1265" s="136"/>
      <c r="O1265" s="142"/>
      <c r="P1265" s="138"/>
      <c r="Q1265" s="138"/>
      <c r="R1265" s="138"/>
      <c r="S1265" s="139"/>
      <c r="T1265" s="140"/>
      <c r="U1265" s="136"/>
      <c r="V1265" s="136"/>
      <c r="W1265" s="136"/>
      <c r="X1265" s="136"/>
    </row>
    <row r="1266">
      <c r="E1266" s="136"/>
      <c r="F1266" s="136"/>
      <c r="G1266" s="136"/>
      <c r="H1266" s="137"/>
      <c r="I1266" s="136"/>
      <c r="J1266" s="136"/>
      <c r="K1266" s="136"/>
      <c r="L1266" s="136"/>
      <c r="M1266" s="136"/>
      <c r="N1266" s="136"/>
      <c r="O1266" s="142"/>
      <c r="P1266" s="138"/>
      <c r="Q1266" s="138"/>
      <c r="R1266" s="138"/>
      <c r="S1266" s="139"/>
      <c r="T1266" s="140"/>
      <c r="U1266" s="136"/>
      <c r="V1266" s="136"/>
      <c r="W1266" s="136"/>
      <c r="X1266" s="136"/>
    </row>
    <row r="1267">
      <c r="E1267" s="136"/>
      <c r="F1267" s="136"/>
      <c r="G1267" s="136"/>
      <c r="H1267" s="137"/>
      <c r="I1267" s="136"/>
      <c r="J1267" s="136"/>
      <c r="K1267" s="136"/>
      <c r="L1267" s="136"/>
      <c r="M1267" s="136"/>
      <c r="N1267" s="136"/>
      <c r="O1267" s="142"/>
      <c r="P1267" s="138"/>
      <c r="Q1267" s="138"/>
      <c r="R1267" s="138"/>
      <c r="S1267" s="139"/>
      <c r="T1267" s="140"/>
      <c r="U1267" s="136"/>
      <c r="V1267" s="136"/>
      <c r="W1267" s="136"/>
      <c r="X1267" s="136"/>
    </row>
    <row r="1268">
      <c r="E1268" s="136"/>
      <c r="F1268" s="136"/>
      <c r="G1268" s="136"/>
      <c r="H1268" s="137"/>
      <c r="I1268" s="136"/>
      <c r="J1268" s="136"/>
      <c r="K1268" s="136"/>
      <c r="L1268" s="136"/>
      <c r="M1268" s="136"/>
      <c r="N1268" s="136"/>
      <c r="O1268" s="142"/>
      <c r="P1268" s="138"/>
      <c r="Q1268" s="138"/>
      <c r="R1268" s="138"/>
      <c r="S1268" s="139"/>
      <c r="T1268" s="140"/>
      <c r="U1268" s="136"/>
      <c r="V1268" s="136"/>
      <c r="W1268" s="136"/>
      <c r="X1268" s="136"/>
    </row>
    <row r="1269">
      <c r="E1269" s="136"/>
      <c r="F1269" s="136"/>
      <c r="G1269" s="136"/>
      <c r="H1269" s="137"/>
      <c r="I1269" s="136"/>
      <c r="J1269" s="136"/>
      <c r="K1269" s="136"/>
      <c r="L1269" s="136"/>
      <c r="M1269" s="136"/>
      <c r="N1269" s="136"/>
      <c r="O1269" s="142"/>
      <c r="P1269" s="138"/>
      <c r="Q1269" s="138"/>
      <c r="R1269" s="138"/>
      <c r="S1269" s="139"/>
      <c r="T1269" s="140"/>
      <c r="U1269" s="136"/>
      <c r="V1269" s="136"/>
      <c r="W1269" s="136"/>
      <c r="X1269" s="136"/>
    </row>
    <row r="1270">
      <c r="E1270" s="136"/>
      <c r="F1270" s="136"/>
      <c r="G1270" s="136"/>
      <c r="H1270" s="137"/>
      <c r="I1270" s="136"/>
      <c r="J1270" s="136"/>
      <c r="K1270" s="136"/>
      <c r="L1270" s="136"/>
      <c r="M1270" s="136"/>
      <c r="N1270" s="136"/>
      <c r="O1270" s="142"/>
      <c r="P1270" s="138"/>
      <c r="Q1270" s="138"/>
      <c r="R1270" s="138"/>
      <c r="S1270" s="139"/>
      <c r="T1270" s="140"/>
      <c r="U1270" s="136"/>
      <c r="V1270" s="136"/>
      <c r="W1270" s="136"/>
      <c r="X1270" s="136"/>
    </row>
    <row r="1271">
      <c r="E1271" s="136"/>
      <c r="F1271" s="136"/>
      <c r="G1271" s="136"/>
      <c r="H1271" s="137"/>
      <c r="I1271" s="136"/>
      <c r="J1271" s="136"/>
      <c r="K1271" s="136"/>
      <c r="L1271" s="136"/>
      <c r="M1271" s="136"/>
      <c r="N1271" s="136"/>
      <c r="O1271" s="142"/>
      <c r="P1271" s="138"/>
      <c r="Q1271" s="138"/>
      <c r="R1271" s="138"/>
      <c r="S1271" s="139"/>
      <c r="T1271" s="140"/>
      <c r="U1271" s="136"/>
      <c r="V1271" s="136"/>
      <c r="W1271" s="136"/>
      <c r="X1271" s="136"/>
    </row>
    <row r="1272">
      <c r="E1272" s="136"/>
      <c r="F1272" s="136"/>
      <c r="G1272" s="136"/>
      <c r="H1272" s="137"/>
      <c r="I1272" s="136"/>
      <c r="J1272" s="136"/>
      <c r="K1272" s="136"/>
      <c r="L1272" s="136"/>
      <c r="M1272" s="136"/>
      <c r="N1272" s="136"/>
      <c r="O1272" s="142"/>
      <c r="P1272" s="138"/>
      <c r="Q1272" s="138"/>
      <c r="R1272" s="138"/>
      <c r="S1272" s="139"/>
      <c r="T1272" s="140"/>
      <c r="U1272" s="136"/>
      <c r="V1272" s="136"/>
      <c r="W1272" s="136"/>
      <c r="X1272" s="136"/>
    </row>
    <row r="1273">
      <c r="E1273" s="136"/>
      <c r="F1273" s="136"/>
      <c r="G1273" s="136"/>
      <c r="H1273" s="137"/>
      <c r="I1273" s="136"/>
      <c r="J1273" s="136"/>
      <c r="K1273" s="136"/>
      <c r="L1273" s="136"/>
      <c r="M1273" s="136"/>
      <c r="N1273" s="136"/>
      <c r="O1273" s="142"/>
      <c r="P1273" s="138"/>
      <c r="Q1273" s="138"/>
      <c r="R1273" s="138"/>
      <c r="S1273" s="139"/>
      <c r="T1273" s="140"/>
      <c r="U1273" s="136"/>
      <c r="V1273" s="136"/>
      <c r="W1273" s="136"/>
      <c r="X1273" s="136"/>
    </row>
    <row r="1274">
      <c r="E1274" s="136"/>
      <c r="F1274" s="136"/>
      <c r="G1274" s="136"/>
      <c r="H1274" s="137"/>
      <c r="I1274" s="136"/>
      <c r="J1274" s="136"/>
      <c r="K1274" s="136"/>
      <c r="L1274" s="136"/>
      <c r="M1274" s="136"/>
      <c r="N1274" s="136"/>
      <c r="O1274" s="142"/>
      <c r="P1274" s="138"/>
      <c r="Q1274" s="138"/>
      <c r="R1274" s="138"/>
      <c r="S1274" s="139"/>
      <c r="T1274" s="140"/>
      <c r="U1274" s="136"/>
      <c r="V1274" s="136"/>
      <c r="W1274" s="136"/>
      <c r="X1274" s="136"/>
    </row>
    <row r="1275">
      <c r="E1275" s="136"/>
      <c r="F1275" s="136"/>
      <c r="G1275" s="136"/>
      <c r="H1275" s="137"/>
      <c r="I1275" s="136"/>
      <c r="J1275" s="136"/>
      <c r="K1275" s="136"/>
      <c r="L1275" s="136"/>
      <c r="M1275" s="136"/>
      <c r="N1275" s="136"/>
      <c r="O1275" s="142"/>
      <c r="P1275" s="138"/>
      <c r="Q1275" s="138"/>
      <c r="R1275" s="138"/>
      <c r="S1275" s="139"/>
      <c r="T1275" s="140"/>
      <c r="U1275" s="136"/>
      <c r="V1275" s="136"/>
      <c r="W1275" s="136"/>
      <c r="X1275" s="136"/>
    </row>
    <row r="1276">
      <c r="E1276" s="136"/>
      <c r="F1276" s="136"/>
      <c r="G1276" s="136"/>
      <c r="H1276" s="137"/>
      <c r="I1276" s="136"/>
      <c r="J1276" s="136"/>
      <c r="K1276" s="136"/>
      <c r="L1276" s="136"/>
      <c r="M1276" s="136"/>
      <c r="N1276" s="136"/>
      <c r="O1276" s="142"/>
      <c r="P1276" s="138"/>
      <c r="Q1276" s="138"/>
      <c r="R1276" s="138"/>
      <c r="S1276" s="139"/>
      <c r="T1276" s="140"/>
      <c r="U1276" s="136"/>
      <c r="V1276" s="136"/>
      <c r="W1276" s="136"/>
      <c r="X1276" s="136"/>
    </row>
    <row r="1277">
      <c r="E1277" s="136"/>
      <c r="F1277" s="136"/>
      <c r="G1277" s="136"/>
      <c r="H1277" s="137"/>
      <c r="I1277" s="136"/>
      <c r="J1277" s="136"/>
      <c r="K1277" s="136"/>
      <c r="L1277" s="136"/>
      <c r="M1277" s="136"/>
      <c r="N1277" s="136"/>
      <c r="O1277" s="142"/>
      <c r="P1277" s="138"/>
      <c r="Q1277" s="138"/>
      <c r="R1277" s="138"/>
      <c r="S1277" s="139"/>
      <c r="T1277" s="140"/>
      <c r="U1277" s="136"/>
      <c r="V1277" s="136"/>
      <c r="W1277" s="136"/>
      <c r="X1277" s="136"/>
    </row>
    <row r="1278">
      <c r="E1278" s="136"/>
      <c r="F1278" s="136"/>
      <c r="G1278" s="136"/>
      <c r="H1278" s="137"/>
      <c r="I1278" s="136"/>
      <c r="J1278" s="136"/>
      <c r="K1278" s="136"/>
      <c r="L1278" s="136"/>
      <c r="M1278" s="136"/>
      <c r="N1278" s="136"/>
      <c r="O1278" s="142"/>
      <c r="P1278" s="138"/>
      <c r="Q1278" s="138"/>
      <c r="R1278" s="138"/>
      <c r="S1278" s="139"/>
      <c r="T1278" s="140"/>
      <c r="U1278" s="136"/>
      <c r="V1278" s="136"/>
      <c r="W1278" s="136"/>
      <c r="X1278" s="136"/>
    </row>
    <row r="1279">
      <c r="E1279" s="136"/>
      <c r="F1279" s="136"/>
      <c r="G1279" s="136"/>
      <c r="H1279" s="137"/>
      <c r="I1279" s="136"/>
      <c r="J1279" s="136"/>
      <c r="K1279" s="136"/>
      <c r="L1279" s="136"/>
      <c r="M1279" s="136"/>
      <c r="N1279" s="136"/>
      <c r="O1279" s="142"/>
      <c r="P1279" s="138"/>
      <c r="Q1279" s="138"/>
      <c r="R1279" s="138"/>
      <c r="S1279" s="139"/>
      <c r="T1279" s="140"/>
      <c r="U1279" s="136"/>
      <c r="V1279" s="136"/>
      <c r="W1279" s="136"/>
      <c r="X1279" s="136"/>
    </row>
    <row r="1280">
      <c r="E1280" s="136"/>
      <c r="F1280" s="136"/>
      <c r="G1280" s="136"/>
      <c r="H1280" s="137"/>
      <c r="I1280" s="136"/>
      <c r="J1280" s="136"/>
      <c r="K1280" s="136"/>
      <c r="L1280" s="136"/>
      <c r="M1280" s="136"/>
      <c r="N1280" s="136"/>
      <c r="O1280" s="142"/>
      <c r="P1280" s="138"/>
      <c r="Q1280" s="138"/>
      <c r="R1280" s="138"/>
      <c r="S1280" s="139"/>
      <c r="T1280" s="140"/>
      <c r="U1280" s="136"/>
      <c r="V1280" s="136"/>
      <c r="W1280" s="136"/>
      <c r="X1280" s="136"/>
    </row>
    <row r="1281">
      <c r="E1281" s="136"/>
      <c r="F1281" s="136"/>
      <c r="G1281" s="136"/>
      <c r="H1281" s="137"/>
      <c r="I1281" s="136"/>
      <c r="J1281" s="136"/>
      <c r="K1281" s="136"/>
      <c r="L1281" s="136"/>
      <c r="M1281" s="136"/>
      <c r="N1281" s="136"/>
      <c r="O1281" s="142"/>
      <c r="P1281" s="138"/>
      <c r="Q1281" s="138"/>
      <c r="R1281" s="138"/>
      <c r="S1281" s="139"/>
      <c r="T1281" s="140"/>
      <c r="U1281" s="136"/>
      <c r="V1281" s="136"/>
      <c r="W1281" s="136"/>
      <c r="X1281" s="136"/>
    </row>
    <row r="1282">
      <c r="E1282" s="136"/>
      <c r="F1282" s="136"/>
      <c r="G1282" s="136"/>
      <c r="H1282" s="137"/>
      <c r="I1282" s="136"/>
      <c r="J1282" s="136"/>
      <c r="K1282" s="136"/>
      <c r="L1282" s="136"/>
      <c r="M1282" s="136"/>
      <c r="N1282" s="136"/>
      <c r="O1282" s="142"/>
      <c r="P1282" s="138"/>
      <c r="Q1282" s="138"/>
      <c r="R1282" s="138"/>
      <c r="S1282" s="139"/>
      <c r="T1282" s="140"/>
      <c r="U1282" s="136"/>
      <c r="V1282" s="136"/>
      <c r="W1282" s="136"/>
      <c r="X1282" s="136"/>
    </row>
    <row r="1283">
      <c r="E1283" s="136"/>
      <c r="F1283" s="136"/>
      <c r="G1283" s="136"/>
      <c r="H1283" s="137"/>
      <c r="I1283" s="136"/>
      <c r="J1283" s="136"/>
      <c r="K1283" s="136"/>
      <c r="L1283" s="136"/>
      <c r="M1283" s="136"/>
      <c r="N1283" s="136"/>
      <c r="O1283" s="142"/>
      <c r="P1283" s="138"/>
      <c r="Q1283" s="138"/>
      <c r="R1283" s="138"/>
      <c r="S1283" s="139"/>
      <c r="T1283" s="140"/>
      <c r="U1283" s="136"/>
      <c r="V1283" s="136"/>
      <c r="W1283" s="136"/>
      <c r="X1283" s="136"/>
    </row>
    <row r="1284">
      <c r="E1284" s="136"/>
      <c r="F1284" s="136"/>
      <c r="G1284" s="136"/>
      <c r="H1284" s="137"/>
      <c r="I1284" s="136"/>
      <c r="J1284" s="136"/>
      <c r="K1284" s="136"/>
      <c r="L1284" s="136"/>
      <c r="M1284" s="136"/>
      <c r="N1284" s="136"/>
      <c r="O1284" s="142"/>
      <c r="P1284" s="138"/>
      <c r="Q1284" s="138"/>
      <c r="R1284" s="138"/>
      <c r="S1284" s="139"/>
      <c r="T1284" s="140"/>
      <c r="U1284" s="136"/>
      <c r="V1284" s="136"/>
      <c r="W1284" s="136"/>
      <c r="X1284" s="136"/>
    </row>
    <row r="1285">
      <c r="E1285" s="136"/>
      <c r="F1285" s="136"/>
      <c r="G1285" s="136"/>
      <c r="H1285" s="137"/>
      <c r="I1285" s="136"/>
      <c r="J1285" s="136"/>
      <c r="K1285" s="136"/>
      <c r="L1285" s="136"/>
      <c r="M1285" s="136"/>
      <c r="N1285" s="136"/>
      <c r="O1285" s="142"/>
      <c r="P1285" s="138"/>
      <c r="Q1285" s="138"/>
      <c r="R1285" s="138"/>
      <c r="S1285" s="139"/>
      <c r="T1285" s="140"/>
      <c r="U1285" s="136"/>
      <c r="V1285" s="136"/>
      <c r="W1285" s="136"/>
      <c r="X1285" s="136"/>
    </row>
    <row r="1286">
      <c r="E1286" s="136"/>
      <c r="F1286" s="136"/>
      <c r="G1286" s="136"/>
      <c r="H1286" s="137"/>
      <c r="I1286" s="136"/>
      <c r="J1286" s="136"/>
      <c r="K1286" s="136"/>
      <c r="L1286" s="136"/>
      <c r="M1286" s="136"/>
      <c r="N1286" s="136"/>
      <c r="O1286" s="142"/>
      <c r="P1286" s="138"/>
      <c r="Q1286" s="138"/>
      <c r="R1286" s="138"/>
      <c r="S1286" s="139"/>
      <c r="T1286" s="140"/>
      <c r="U1286" s="136"/>
      <c r="V1286" s="136"/>
      <c r="W1286" s="136"/>
      <c r="X1286" s="136"/>
    </row>
    <row r="1287">
      <c r="E1287" s="136"/>
      <c r="F1287" s="136"/>
      <c r="G1287" s="136"/>
      <c r="H1287" s="137"/>
      <c r="I1287" s="136"/>
      <c r="J1287" s="136"/>
      <c r="K1287" s="136"/>
      <c r="L1287" s="136"/>
      <c r="M1287" s="136"/>
      <c r="N1287" s="136"/>
      <c r="O1287" s="142"/>
      <c r="P1287" s="138"/>
      <c r="Q1287" s="138"/>
      <c r="R1287" s="138"/>
      <c r="S1287" s="139"/>
      <c r="T1287" s="140"/>
      <c r="U1287" s="136"/>
      <c r="V1287" s="136"/>
      <c r="W1287" s="136"/>
      <c r="X1287" s="136"/>
    </row>
    <row r="1288">
      <c r="E1288" s="136"/>
      <c r="F1288" s="136"/>
      <c r="G1288" s="136"/>
      <c r="H1288" s="137"/>
      <c r="I1288" s="136"/>
      <c r="J1288" s="136"/>
      <c r="K1288" s="136"/>
      <c r="L1288" s="136"/>
      <c r="M1288" s="136"/>
      <c r="N1288" s="136"/>
      <c r="O1288" s="142"/>
      <c r="P1288" s="138"/>
      <c r="Q1288" s="138"/>
      <c r="R1288" s="138"/>
      <c r="S1288" s="139"/>
      <c r="T1288" s="140"/>
      <c r="U1288" s="136"/>
      <c r="V1288" s="136"/>
      <c r="W1288" s="136"/>
      <c r="X1288" s="136"/>
    </row>
    <row r="1289">
      <c r="E1289" s="136"/>
      <c r="F1289" s="136"/>
      <c r="G1289" s="136"/>
      <c r="H1289" s="137"/>
      <c r="I1289" s="136"/>
      <c r="J1289" s="136"/>
      <c r="K1289" s="136"/>
      <c r="L1289" s="136"/>
      <c r="M1289" s="136"/>
      <c r="N1289" s="136"/>
      <c r="O1289" s="142"/>
      <c r="P1289" s="138"/>
      <c r="Q1289" s="138"/>
      <c r="R1289" s="138"/>
      <c r="S1289" s="139"/>
      <c r="T1289" s="140"/>
      <c r="U1289" s="136"/>
      <c r="V1289" s="136"/>
      <c r="W1289" s="136"/>
      <c r="X1289" s="136"/>
    </row>
    <row r="1290">
      <c r="E1290" s="136"/>
      <c r="F1290" s="136"/>
      <c r="G1290" s="136"/>
      <c r="H1290" s="137"/>
      <c r="I1290" s="136"/>
      <c r="J1290" s="136"/>
      <c r="K1290" s="136"/>
      <c r="L1290" s="136"/>
      <c r="M1290" s="136"/>
      <c r="N1290" s="136"/>
      <c r="O1290" s="142"/>
      <c r="P1290" s="138"/>
      <c r="Q1290" s="138"/>
      <c r="R1290" s="138"/>
      <c r="S1290" s="139"/>
      <c r="T1290" s="140"/>
      <c r="U1290" s="136"/>
      <c r="V1290" s="136"/>
      <c r="W1290" s="136"/>
      <c r="X1290" s="136"/>
    </row>
    <row r="1291">
      <c r="E1291" s="136"/>
      <c r="F1291" s="136"/>
      <c r="G1291" s="136"/>
      <c r="H1291" s="137"/>
      <c r="I1291" s="136"/>
      <c r="J1291" s="136"/>
      <c r="K1291" s="136"/>
      <c r="L1291" s="136"/>
      <c r="M1291" s="136"/>
      <c r="N1291" s="136"/>
      <c r="O1291" s="142"/>
      <c r="P1291" s="138"/>
      <c r="Q1291" s="138"/>
      <c r="R1291" s="138"/>
      <c r="S1291" s="139"/>
      <c r="T1291" s="140"/>
      <c r="U1291" s="136"/>
      <c r="V1291" s="136"/>
      <c r="W1291" s="136"/>
      <c r="X1291" s="136"/>
    </row>
    <row r="1292">
      <c r="E1292" s="136"/>
      <c r="F1292" s="136"/>
      <c r="G1292" s="136"/>
      <c r="H1292" s="137"/>
      <c r="I1292" s="136"/>
      <c r="J1292" s="136"/>
      <c r="K1292" s="136"/>
      <c r="L1292" s="136"/>
      <c r="M1292" s="136"/>
      <c r="N1292" s="136"/>
      <c r="O1292" s="142"/>
      <c r="P1292" s="138"/>
      <c r="Q1292" s="138"/>
      <c r="R1292" s="138"/>
      <c r="S1292" s="139"/>
      <c r="T1292" s="140"/>
      <c r="U1292" s="136"/>
      <c r="V1292" s="136"/>
      <c r="W1292" s="136"/>
      <c r="X1292" s="136"/>
    </row>
    <row r="1293">
      <c r="E1293" s="136"/>
      <c r="F1293" s="136"/>
      <c r="G1293" s="136"/>
      <c r="H1293" s="137"/>
      <c r="I1293" s="136"/>
      <c r="J1293" s="136"/>
      <c r="K1293" s="136"/>
      <c r="L1293" s="136"/>
      <c r="M1293" s="136"/>
      <c r="N1293" s="136"/>
      <c r="O1293" s="142"/>
      <c r="P1293" s="138"/>
      <c r="Q1293" s="138"/>
      <c r="R1293" s="138"/>
      <c r="S1293" s="139"/>
      <c r="T1293" s="140"/>
      <c r="U1293" s="136"/>
      <c r="V1293" s="136"/>
      <c r="W1293" s="136"/>
      <c r="X1293" s="136"/>
    </row>
    <row r="1294">
      <c r="E1294" s="136"/>
      <c r="F1294" s="136"/>
      <c r="G1294" s="136"/>
      <c r="H1294" s="137"/>
      <c r="I1294" s="136"/>
      <c r="J1294" s="136"/>
      <c r="K1294" s="136"/>
      <c r="L1294" s="136"/>
      <c r="M1294" s="136"/>
      <c r="N1294" s="136"/>
      <c r="O1294" s="142"/>
      <c r="P1294" s="138"/>
      <c r="Q1294" s="138"/>
      <c r="R1294" s="138"/>
      <c r="S1294" s="139"/>
      <c r="T1294" s="140"/>
      <c r="U1294" s="136"/>
      <c r="V1294" s="136"/>
      <c r="W1294" s="136"/>
      <c r="X1294" s="136"/>
    </row>
    <row r="1295">
      <c r="E1295" s="136"/>
      <c r="F1295" s="136"/>
      <c r="G1295" s="136"/>
      <c r="H1295" s="137"/>
      <c r="I1295" s="136"/>
      <c r="J1295" s="136"/>
      <c r="K1295" s="136"/>
      <c r="L1295" s="136"/>
      <c r="M1295" s="136"/>
      <c r="N1295" s="136"/>
      <c r="O1295" s="142"/>
      <c r="P1295" s="138"/>
      <c r="Q1295" s="138"/>
      <c r="R1295" s="138"/>
      <c r="S1295" s="139"/>
      <c r="T1295" s="140"/>
      <c r="U1295" s="136"/>
      <c r="V1295" s="136"/>
      <c r="W1295" s="136"/>
      <c r="X1295" s="136"/>
    </row>
    <row r="1296">
      <c r="E1296" s="136"/>
      <c r="F1296" s="136"/>
      <c r="G1296" s="136"/>
      <c r="H1296" s="137"/>
      <c r="I1296" s="136"/>
      <c r="J1296" s="136"/>
      <c r="K1296" s="136"/>
      <c r="L1296" s="136"/>
      <c r="M1296" s="136"/>
      <c r="N1296" s="136"/>
      <c r="O1296" s="142"/>
      <c r="P1296" s="138"/>
      <c r="Q1296" s="138"/>
      <c r="R1296" s="138"/>
      <c r="S1296" s="139"/>
      <c r="T1296" s="140"/>
      <c r="U1296" s="136"/>
      <c r="V1296" s="136"/>
      <c r="W1296" s="136"/>
      <c r="X1296" s="136"/>
    </row>
    <row r="1297">
      <c r="E1297" s="136"/>
      <c r="F1297" s="136"/>
      <c r="G1297" s="136"/>
      <c r="H1297" s="137"/>
      <c r="I1297" s="136"/>
      <c r="J1297" s="136"/>
      <c r="K1297" s="136"/>
      <c r="L1297" s="136"/>
      <c r="M1297" s="136"/>
      <c r="N1297" s="136"/>
      <c r="O1297" s="142"/>
      <c r="P1297" s="138"/>
      <c r="Q1297" s="138"/>
      <c r="R1297" s="138"/>
      <c r="S1297" s="139"/>
      <c r="T1297" s="140"/>
      <c r="U1297" s="136"/>
      <c r="V1297" s="136"/>
      <c r="W1297" s="136"/>
      <c r="X1297" s="136"/>
    </row>
    <row r="1298">
      <c r="E1298" s="136"/>
      <c r="F1298" s="136"/>
      <c r="G1298" s="136"/>
      <c r="H1298" s="137"/>
      <c r="I1298" s="136"/>
      <c r="J1298" s="136"/>
      <c r="K1298" s="136"/>
      <c r="L1298" s="136"/>
      <c r="M1298" s="136"/>
      <c r="N1298" s="136"/>
      <c r="O1298" s="142"/>
      <c r="P1298" s="138"/>
      <c r="Q1298" s="138"/>
      <c r="R1298" s="138"/>
      <c r="S1298" s="139"/>
      <c r="T1298" s="140"/>
      <c r="U1298" s="136"/>
      <c r="V1298" s="136"/>
      <c r="W1298" s="136"/>
      <c r="X1298" s="136"/>
    </row>
    <row r="1299">
      <c r="E1299" s="136"/>
      <c r="F1299" s="136"/>
      <c r="G1299" s="136"/>
      <c r="H1299" s="137"/>
      <c r="I1299" s="136"/>
      <c r="J1299" s="136"/>
      <c r="K1299" s="136"/>
      <c r="L1299" s="136"/>
      <c r="M1299" s="136"/>
      <c r="N1299" s="136"/>
      <c r="O1299" s="142"/>
      <c r="P1299" s="138"/>
      <c r="Q1299" s="138"/>
      <c r="R1299" s="138"/>
      <c r="S1299" s="139"/>
      <c r="T1299" s="140"/>
      <c r="U1299" s="136"/>
      <c r="V1299" s="136"/>
      <c r="W1299" s="136"/>
      <c r="X1299" s="136"/>
    </row>
    <row r="1300">
      <c r="E1300" s="136"/>
      <c r="F1300" s="136"/>
      <c r="G1300" s="136"/>
      <c r="H1300" s="137"/>
      <c r="I1300" s="136"/>
      <c r="J1300" s="136"/>
      <c r="K1300" s="136"/>
      <c r="L1300" s="136"/>
      <c r="M1300" s="136"/>
      <c r="N1300" s="136"/>
      <c r="O1300" s="142"/>
      <c r="P1300" s="138"/>
      <c r="Q1300" s="138"/>
      <c r="R1300" s="138"/>
      <c r="S1300" s="139"/>
      <c r="T1300" s="140"/>
      <c r="U1300" s="136"/>
      <c r="V1300" s="136"/>
      <c r="W1300" s="136"/>
      <c r="X1300" s="136"/>
    </row>
    <row r="1301">
      <c r="E1301" s="136"/>
      <c r="F1301" s="136"/>
      <c r="G1301" s="136"/>
      <c r="H1301" s="137"/>
      <c r="I1301" s="136"/>
      <c r="J1301" s="136"/>
      <c r="K1301" s="136"/>
      <c r="L1301" s="136"/>
      <c r="M1301" s="136"/>
      <c r="N1301" s="136"/>
      <c r="O1301" s="142"/>
      <c r="P1301" s="138"/>
      <c r="Q1301" s="138"/>
      <c r="R1301" s="138"/>
      <c r="S1301" s="139"/>
      <c r="T1301" s="140"/>
      <c r="U1301" s="136"/>
      <c r="V1301" s="136"/>
      <c r="W1301" s="136"/>
      <c r="X1301" s="136"/>
    </row>
    <row r="1302">
      <c r="E1302" s="136"/>
      <c r="F1302" s="136"/>
      <c r="G1302" s="136"/>
      <c r="H1302" s="137"/>
      <c r="I1302" s="136"/>
      <c r="J1302" s="136"/>
      <c r="K1302" s="136"/>
      <c r="L1302" s="136"/>
      <c r="M1302" s="136"/>
      <c r="N1302" s="136"/>
      <c r="O1302" s="142"/>
      <c r="P1302" s="138"/>
      <c r="Q1302" s="138"/>
      <c r="R1302" s="138"/>
      <c r="S1302" s="139"/>
      <c r="T1302" s="140"/>
      <c r="U1302" s="136"/>
      <c r="V1302" s="136"/>
      <c r="W1302" s="136"/>
      <c r="X1302" s="136"/>
    </row>
    <row r="1303">
      <c r="E1303" s="136"/>
      <c r="F1303" s="136"/>
      <c r="G1303" s="136"/>
      <c r="H1303" s="137"/>
      <c r="I1303" s="136"/>
      <c r="J1303" s="136"/>
      <c r="K1303" s="136"/>
      <c r="L1303" s="136"/>
      <c r="M1303" s="136"/>
      <c r="N1303" s="136"/>
      <c r="O1303" s="142"/>
      <c r="P1303" s="138"/>
      <c r="Q1303" s="138"/>
      <c r="R1303" s="138"/>
      <c r="S1303" s="139"/>
      <c r="T1303" s="140"/>
      <c r="U1303" s="136"/>
      <c r="V1303" s="136"/>
      <c r="W1303" s="136"/>
      <c r="X1303" s="136"/>
    </row>
    <row r="1304">
      <c r="E1304" s="136"/>
      <c r="F1304" s="136"/>
      <c r="G1304" s="136"/>
      <c r="H1304" s="137"/>
      <c r="I1304" s="136"/>
      <c r="J1304" s="136"/>
      <c r="K1304" s="136"/>
      <c r="L1304" s="136"/>
      <c r="M1304" s="136"/>
      <c r="N1304" s="136"/>
      <c r="O1304" s="142"/>
      <c r="P1304" s="138"/>
      <c r="Q1304" s="138"/>
      <c r="R1304" s="138"/>
      <c r="S1304" s="139"/>
      <c r="T1304" s="140"/>
      <c r="U1304" s="136"/>
      <c r="V1304" s="136"/>
      <c r="W1304" s="136"/>
      <c r="X1304" s="136"/>
    </row>
    <row r="1305">
      <c r="E1305" s="136"/>
      <c r="F1305" s="136"/>
      <c r="G1305" s="136"/>
      <c r="H1305" s="137"/>
      <c r="I1305" s="136"/>
      <c r="J1305" s="136"/>
      <c r="K1305" s="136"/>
      <c r="L1305" s="136"/>
      <c r="M1305" s="136"/>
      <c r="N1305" s="136"/>
      <c r="O1305" s="142"/>
      <c r="P1305" s="138"/>
      <c r="Q1305" s="138"/>
      <c r="R1305" s="138"/>
      <c r="S1305" s="139"/>
      <c r="T1305" s="140"/>
      <c r="U1305" s="136"/>
      <c r="V1305" s="136"/>
      <c r="W1305" s="136"/>
      <c r="X1305" s="136"/>
    </row>
    <row r="1306">
      <c r="E1306" s="136"/>
      <c r="F1306" s="136"/>
      <c r="G1306" s="136"/>
      <c r="H1306" s="137"/>
      <c r="I1306" s="136"/>
      <c r="J1306" s="136"/>
      <c r="K1306" s="136"/>
      <c r="L1306" s="136"/>
      <c r="M1306" s="136"/>
      <c r="N1306" s="136"/>
      <c r="O1306" s="142"/>
      <c r="P1306" s="138"/>
      <c r="Q1306" s="138"/>
      <c r="R1306" s="138"/>
      <c r="S1306" s="139"/>
      <c r="T1306" s="140"/>
      <c r="U1306" s="136"/>
      <c r="V1306" s="136"/>
      <c r="W1306" s="136"/>
      <c r="X1306" s="136"/>
    </row>
    <row r="1307">
      <c r="E1307" s="136"/>
      <c r="F1307" s="136"/>
      <c r="G1307" s="136"/>
      <c r="H1307" s="137"/>
      <c r="I1307" s="136"/>
      <c r="J1307" s="136"/>
      <c r="K1307" s="136"/>
      <c r="L1307" s="136"/>
      <c r="M1307" s="136"/>
      <c r="N1307" s="136"/>
      <c r="O1307" s="142"/>
      <c r="P1307" s="138"/>
      <c r="Q1307" s="138"/>
      <c r="R1307" s="138"/>
      <c r="S1307" s="139"/>
      <c r="T1307" s="140"/>
      <c r="U1307" s="136"/>
      <c r="V1307" s="136"/>
      <c r="W1307" s="136"/>
      <c r="X1307" s="136"/>
    </row>
    <row r="1308">
      <c r="E1308" s="136"/>
      <c r="F1308" s="136"/>
      <c r="G1308" s="136"/>
      <c r="H1308" s="137"/>
      <c r="I1308" s="136"/>
      <c r="J1308" s="136"/>
      <c r="K1308" s="136"/>
      <c r="L1308" s="136"/>
      <c r="M1308" s="136"/>
      <c r="N1308" s="136"/>
      <c r="O1308" s="142"/>
      <c r="P1308" s="138"/>
      <c r="Q1308" s="138"/>
      <c r="R1308" s="138"/>
      <c r="S1308" s="139"/>
      <c r="T1308" s="140"/>
      <c r="U1308" s="136"/>
      <c r="V1308" s="136"/>
      <c r="W1308" s="136"/>
      <c r="X1308" s="136"/>
    </row>
    <row r="1309">
      <c r="E1309" s="136"/>
      <c r="F1309" s="136"/>
      <c r="G1309" s="136"/>
      <c r="H1309" s="137"/>
      <c r="I1309" s="136"/>
      <c r="J1309" s="136"/>
      <c r="K1309" s="136"/>
      <c r="L1309" s="136"/>
      <c r="M1309" s="136"/>
      <c r="N1309" s="136"/>
      <c r="O1309" s="142"/>
      <c r="P1309" s="138"/>
      <c r="Q1309" s="138"/>
      <c r="R1309" s="138"/>
      <c r="S1309" s="139"/>
      <c r="T1309" s="140"/>
      <c r="U1309" s="136"/>
      <c r="V1309" s="136"/>
      <c r="W1309" s="136"/>
      <c r="X1309" s="136"/>
    </row>
    <row r="1310">
      <c r="E1310" s="136"/>
      <c r="F1310" s="136"/>
      <c r="G1310" s="136"/>
      <c r="H1310" s="137"/>
      <c r="I1310" s="136"/>
      <c r="J1310" s="136"/>
      <c r="K1310" s="136"/>
      <c r="L1310" s="136"/>
      <c r="M1310" s="136"/>
      <c r="N1310" s="136"/>
      <c r="O1310" s="142"/>
      <c r="P1310" s="138"/>
      <c r="Q1310" s="138"/>
      <c r="R1310" s="138"/>
      <c r="S1310" s="139"/>
      <c r="T1310" s="140"/>
      <c r="U1310" s="136"/>
      <c r="V1310" s="136"/>
      <c r="W1310" s="136"/>
      <c r="X1310" s="136"/>
    </row>
    <row r="1311">
      <c r="E1311" s="136"/>
      <c r="F1311" s="136"/>
      <c r="G1311" s="136"/>
      <c r="H1311" s="137"/>
      <c r="I1311" s="136"/>
      <c r="J1311" s="136"/>
      <c r="K1311" s="136"/>
      <c r="L1311" s="136"/>
      <c r="M1311" s="136"/>
      <c r="N1311" s="136"/>
      <c r="O1311" s="142"/>
      <c r="P1311" s="138"/>
      <c r="Q1311" s="138"/>
      <c r="R1311" s="138"/>
      <c r="S1311" s="139"/>
      <c r="T1311" s="140"/>
      <c r="U1311" s="136"/>
      <c r="V1311" s="136"/>
      <c r="W1311" s="136"/>
      <c r="X1311" s="136"/>
    </row>
    <row r="1312">
      <c r="E1312" s="136"/>
      <c r="F1312" s="136"/>
      <c r="G1312" s="136"/>
      <c r="H1312" s="137"/>
      <c r="I1312" s="136"/>
      <c r="J1312" s="136"/>
      <c r="K1312" s="136"/>
      <c r="L1312" s="136"/>
      <c r="M1312" s="136"/>
      <c r="N1312" s="136"/>
      <c r="O1312" s="142"/>
      <c r="P1312" s="138"/>
      <c r="Q1312" s="138"/>
      <c r="R1312" s="138"/>
      <c r="S1312" s="139"/>
      <c r="T1312" s="140"/>
      <c r="U1312" s="136"/>
      <c r="V1312" s="136"/>
      <c r="W1312" s="136"/>
      <c r="X1312" s="136"/>
    </row>
    <row r="1313">
      <c r="E1313" s="136"/>
      <c r="F1313" s="136"/>
      <c r="G1313" s="136"/>
      <c r="H1313" s="137"/>
      <c r="I1313" s="136"/>
      <c r="J1313" s="136"/>
      <c r="K1313" s="136"/>
      <c r="L1313" s="136"/>
      <c r="M1313" s="136"/>
      <c r="N1313" s="136"/>
      <c r="O1313" s="142"/>
      <c r="P1313" s="138"/>
      <c r="Q1313" s="138"/>
      <c r="R1313" s="138"/>
      <c r="S1313" s="139"/>
      <c r="T1313" s="140"/>
      <c r="U1313" s="136"/>
      <c r="V1313" s="136"/>
      <c r="W1313" s="136"/>
      <c r="X1313" s="136"/>
    </row>
    <row r="1314">
      <c r="E1314" s="136"/>
      <c r="F1314" s="136"/>
      <c r="G1314" s="136"/>
      <c r="H1314" s="137"/>
      <c r="I1314" s="136"/>
      <c r="J1314" s="136"/>
      <c r="K1314" s="136"/>
      <c r="L1314" s="136"/>
      <c r="M1314" s="136"/>
      <c r="N1314" s="136"/>
      <c r="O1314" s="142"/>
      <c r="P1314" s="138"/>
      <c r="Q1314" s="138"/>
      <c r="R1314" s="138"/>
      <c r="S1314" s="139"/>
      <c r="T1314" s="140"/>
      <c r="U1314" s="136"/>
      <c r="V1314" s="136"/>
      <c r="W1314" s="136"/>
      <c r="X1314" s="136"/>
    </row>
    <row r="1315">
      <c r="E1315" s="136"/>
      <c r="F1315" s="136"/>
      <c r="G1315" s="136"/>
      <c r="H1315" s="137"/>
      <c r="I1315" s="136"/>
      <c r="J1315" s="136"/>
      <c r="K1315" s="136"/>
      <c r="L1315" s="136"/>
      <c r="M1315" s="136"/>
      <c r="N1315" s="136"/>
      <c r="O1315" s="142"/>
      <c r="P1315" s="138"/>
      <c r="Q1315" s="138"/>
      <c r="R1315" s="138"/>
      <c r="S1315" s="139"/>
      <c r="T1315" s="140"/>
      <c r="U1315" s="136"/>
      <c r="V1315" s="136"/>
      <c r="W1315" s="136"/>
      <c r="X1315" s="136"/>
    </row>
    <row r="1316">
      <c r="E1316" s="136"/>
      <c r="F1316" s="136"/>
      <c r="G1316" s="136"/>
      <c r="H1316" s="137"/>
      <c r="I1316" s="136"/>
      <c r="J1316" s="136"/>
      <c r="K1316" s="136"/>
      <c r="L1316" s="136"/>
      <c r="M1316" s="136"/>
      <c r="N1316" s="136"/>
      <c r="O1316" s="142"/>
      <c r="P1316" s="138"/>
      <c r="Q1316" s="138"/>
      <c r="R1316" s="138"/>
      <c r="S1316" s="139"/>
      <c r="T1316" s="140"/>
      <c r="U1316" s="136"/>
      <c r="V1316" s="136"/>
      <c r="W1316" s="136"/>
      <c r="X1316" s="136"/>
    </row>
    <row r="1317">
      <c r="E1317" s="136"/>
      <c r="F1317" s="136"/>
      <c r="G1317" s="136"/>
      <c r="H1317" s="137"/>
      <c r="I1317" s="136"/>
      <c r="J1317" s="136"/>
      <c r="K1317" s="136"/>
      <c r="L1317" s="136"/>
      <c r="M1317" s="136"/>
      <c r="N1317" s="136"/>
      <c r="O1317" s="142"/>
      <c r="P1317" s="138"/>
      <c r="Q1317" s="138"/>
      <c r="R1317" s="138"/>
      <c r="S1317" s="139"/>
      <c r="T1317" s="140"/>
      <c r="U1317" s="136"/>
      <c r="V1317" s="136"/>
      <c r="W1317" s="136"/>
      <c r="X1317" s="136"/>
    </row>
    <row r="1318">
      <c r="E1318" s="136"/>
      <c r="F1318" s="136"/>
      <c r="G1318" s="136"/>
      <c r="H1318" s="137"/>
      <c r="I1318" s="136"/>
      <c r="J1318" s="136"/>
      <c r="K1318" s="136"/>
      <c r="L1318" s="136"/>
      <c r="M1318" s="136"/>
      <c r="N1318" s="136"/>
      <c r="O1318" s="142"/>
      <c r="P1318" s="138"/>
      <c r="Q1318" s="138"/>
      <c r="R1318" s="138"/>
      <c r="S1318" s="139"/>
      <c r="T1318" s="140"/>
      <c r="U1318" s="136"/>
      <c r="V1318" s="136"/>
      <c r="W1318" s="136"/>
      <c r="X1318" s="136"/>
    </row>
    <row r="1319">
      <c r="E1319" s="136"/>
      <c r="F1319" s="136"/>
      <c r="G1319" s="136"/>
      <c r="H1319" s="137"/>
      <c r="I1319" s="136"/>
      <c r="J1319" s="136"/>
      <c r="K1319" s="136"/>
      <c r="L1319" s="136"/>
      <c r="M1319" s="136"/>
      <c r="N1319" s="136"/>
      <c r="O1319" s="142"/>
      <c r="P1319" s="138"/>
      <c r="Q1319" s="138"/>
      <c r="R1319" s="138"/>
      <c r="S1319" s="139"/>
      <c r="T1319" s="140"/>
      <c r="U1319" s="136"/>
      <c r="V1319" s="136"/>
      <c r="W1319" s="136"/>
      <c r="X1319" s="136"/>
    </row>
    <row r="1320">
      <c r="E1320" s="136"/>
      <c r="F1320" s="136"/>
      <c r="G1320" s="136"/>
      <c r="H1320" s="137"/>
      <c r="I1320" s="136"/>
      <c r="J1320" s="136"/>
      <c r="K1320" s="136"/>
      <c r="L1320" s="136"/>
      <c r="M1320" s="136"/>
      <c r="N1320" s="136"/>
      <c r="O1320" s="142"/>
      <c r="P1320" s="138"/>
      <c r="Q1320" s="138"/>
      <c r="R1320" s="138"/>
      <c r="S1320" s="139"/>
      <c r="T1320" s="140"/>
      <c r="U1320" s="136"/>
      <c r="V1320" s="136"/>
      <c r="W1320" s="136"/>
      <c r="X1320" s="136"/>
    </row>
    <row r="1321">
      <c r="E1321" s="136"/>
      <c r="F1321" s="136"/>
      <c r="G1321" s="136"/>
      <c r="H1321" s="137"/>
      <c r="I1321" s="136"/>
      <c r="J1321" s="136"/>
      <c r="K1321" s="136"/>
      <c r="L1321" s="136"/>
      <c r="M1321" s="136"/>
      <c r="N1321" s="136"/>
      <c r="O1321" s="142"/>
      <c r="P1321" s="138"/>
      <c r="Q1321" s="138"/>
      <c r="R1321" s="138"/>
      <c r="S1321" s="139"/>
      <c r="T1321" s="140"/>
      <c r="U1321" s="136"/>
      <c r="V1321" s="136"/>
      <c r="W1321" s="136"/>
      <c r="X1321" s="136"/>
    </row>
    <row r="1322">
      <c r="E1322" s="136"/>
      <c r="F1322" s="136"/>
      <c r="G1322" s="136"/>
      <c r="H1322" s="137"/>
      <c r="I1322" s="136"/>
      <c r="J1322" s="136"/>
      <c r="K1322" s="136"/>
      <c r="L1322" s="136"/>
      <c r="M1322" s="136"/>
      <c r="N1322" s="136"/>
      <c r="O1322" s="142"/>
      <c r="P1322" s="138"/>
      <c r="Q1322" s="138"/>
      <c r="R1322" s="138"/>
      <c r="S1322" s="139"/>
      <c r="T1322" s="140"/>
      <c r="U1322" s="136"/>
      <c r="V1322" s="136"/>
      <c r="W1322" s="136"/>
      <c r="X1322" s="136"/>
    </row>
    <row r="1323">
      <c r="E1323" s="136"/>
      <c r="F1323" s="136"/>
      <c r="G1323" s="136"/>
      <c r="H1323" s="137"/>
      <c r="I1323" s="136"/>
      <c r="J1323" s="136"/>
      <c r="K1323" s="136"/>
      <c r="L1323" s="136"/>
      <c r="M1323" s="136"/>
      <c r="N1323" s="136"/>
      <c r="O1323" s="142"/>
      <c r="P1323" s="138"/>
      <c r="Q1323" s="138"/>
      <c r="R1323" s="138"/>
      <c r="S1323" s="139"/>
      <c r="T1323" s="140"/>
      <c r="U1323" s="136"/>
      <c r="V1323" s="136"/>
      <c r="W1323" s="136"/>
      <c r="X1323" s="136"/>
    </row>
    <row r="1324">
      <c r="E1324" s="136"/>
      <c r="F1324" s="136"/>
      <c r="G1324" s="136"/>
      <c r="H1324" s="137"/>
      <c r="I1324" s="136"/>
      <c r="J1324" s="136"/>
      <c r="K1324" s="136"/>
      <c r="L1324" s="136"/>
      <c r="M1324" s="136"/>
      <c r="N1324" s="136"/>
      <c r="O1324" s="142"/>
      <c r="P1324" s="138"/>
      <c r="Q1324" s="138"/>
      <c r="R1324" s="138"/>
      <c r="S1324" s="139"/>
      <c r="T1324" s="140"/>
      <c r="U1324" s="136"/>
      <c r="V1324" s="136"/>
      <c r="W1324" s="136"/>
      <c r="X1324" s="136"/>
    </row>
    <row r="1325">
      <c r="E1325" s="136"/>
      <c r="F1325" s="136"/>
      <c r="G1325" s="136"/>
      <c r="H1325" s="137"/>
      <c r="I1325" s="136"/>
      <c r="J1325" s="136"/>
      <c r="K1325" s="136"/>
      <c r="L1325" s="136"/>
      <c r="M1325" s="136"/>
      <c r="N1325" s="136"/>
      <c r="O1325" s="142"/>
      <c r="P1325" s="138"/>
      <c r="Q1325" s="138"/>
      <c r="R1325" s="138"/>
      <c r="S1325" s="139"/>
      <c r="T1325" s="140"/>
      <c r="U1325" s="136"/>
      <c r="V1325" s="136"/>
      <c r="W1325" s="136"/>
      <c r="X1325" s="136"/>
    </row>
    <row r="1326">
      <c r="E1326" s="136"/>
      <c r="F1326" s="136"/>
      <c r="G1326" s="136"/>
      <c r="H1326" s="137"/>
      <c r="I1326" s="136"/>
      <c r="J1326" s="136"/>
      <c r="K1326" s="136"/>
      <c r="L1326" s="136"/>
      <c r="M1326" s="136"/>
      <c r="N1326" s="136"/>
      <c r="O1326" s="142"/>
      <c r="P1326" s="138"/>
      <c r="Q1326" s="138"/>
      <c r="R1326" s="138"/>
      <c r="S1326" s="139"/>
      <c r="T1326" s="140"/>
      <c r="U1326" s="136"/>
      <c r="V1326" s="136"/>
      <c r="W1326" s="136"/>
      <c r="X1326" s="136"/>
    </row>
    <row r="1327">
      <c r="E1327" s="136"/>
      <c r="F1327" s="136"/>
      <c r="G1327" s="136"/>
      <c r="H1327" s="137"/>
      <c r="I1327" s="136"/>
      <c r="J1327" s="136"/>
      <c r="K1327" s="136"/>
      <c r="L1327" s="136"/>
      <c r="M1327" s="136"/>
      <c r="N1327" s="136"/>
      <c r="O1327" s="142"/>
      <c r="P1327" s="138"/>
      <c r="Q1327" s="138"/>
      <c r="R1327" s="138"/>
      <c r="S1327" s="139"/>
      <c r="T1327" s="140"/>
      <c r="U1327" s="136"/>
      <c r="V1327" s="136"/>
      <c r="W1327" s="136"/>
      <c r="X1327" s="136"/>
    </row>
    <row r="1328">
      <c r="E1328" s="136"/>
      <c r="F1328" s="136"/>
      <c r="G1328" s="136"/>
      <c r="H1328" s="137"/>
      <c r="I1328" s="136"/>
      <c r="J1328" s="136"/>
      <c r="K1328" s="136"/>
      <c r="L1328" s="136"/>
      <c r="M1328" s="136"/>
      <c r="N1328" s="136"/>
      <c r="O1328" s="142"/>
      <c r="P1328" s="138"/>
      <c r="Q1328" s="138"/>
      <c r="R1328" s="138"/>
      <c r="S1328" s="139"/>
      <c r="T1328" s="140"/>
      <c r="U1328" s="136"/>
      <c r="V1328" s="136"/>
      <c r="W1328" s="136"/>
      <c r="X1328" s="136"/>
    </row>
    <row r="1329">
      <c r="E1329" s="136"/>
      <c r="F1329" s="136"/>
      <c r="G1329" s="136"/>
      <c r="H1329" s="137"/>
      <c r="I1329" s="136"/>
      <c r="J1329" s="136"/>
      <c r="K1329" s="136"/>
      <c r="L1329" s="136"/>
      <c r="M1329" s="136"/>
      <c r="N1329" s="136"/>
      <c r="O1329" s="142"/>
      <c r="P1329" s="138"/>
      <c r="Q1329" s="138"/>
      <c r="R1329" s="138"/>
      <c r="S1329" s="139"/>
      <c r="T1329" s="140"/>
      <c r="U1329" s="136"/>
      <c r="V1329" s="136"/>
      <c r="W1329" s="136"/>
      <c r="X1329" s="136"/>
    </row>
    <row r="1330">
      <c r="E1330" s="136"/>
      <c r="F1330" s="136"/>
      <c r="G1330" s="136"/>
      <c r="H1330" s="137"/>
      <c r="I1330" s="136"/>
      <c r="J1330" s="136"/>
      <c r="K1330" s="136"/>
      <c r="L1330" s="136"/>
      <c r="M1330" s="136"/>
      <c r="N1330" s="136"/>
      <c r="O1330" s="142"/>
      <c r="P1330" s="138"/>
      <c r="Q1330" s="138"/>
      <c r="R1330" s="138"/>
      <c r="S1330" s="139"/>
      <c r="T1330" s="140"/>
      <c r="U1330" s="136"/>
      <c r="V1330" s="136"/>
      <c r="W1330" s="136"/>
      <c r="X1330" s="136"/>
    </row>
    <row r="1331">
      <c r="E1331" s="136"/>
      <c r="F1331" s="136"/>
      <c r="G1331" s="136"/>
      <c r="H1331" s="137"/>
      <c r="I1331" s="136"/>
      <c r="J1331" s="136"/>
      <c r="K1331" s="136"/>
      <c r="L1331" s="136"/>
      <c r="M1331" s="136"/>
      <c r="N1331" s="136"/>
      <c r="O1331" s="142"/>
      <c r="P1331" s="138"/>
      <c r="Q1331" s="138"/>
      <c r="R1331" s="138"/>
      <c r="S1331" s="139"/>
      <c r="T1331" s="140"/>
      <c r="U1331" s="136"/>
      <c r="V1331" s="136"/>
      <c r="W1331" s="136"/>
      <c r="X1331" s="136"/>
    </row>
    <row r="1332">
      <c r="E1332" s="136"/>
      <c r="F1332" s="136"/>
      <c r="G1332" s="136"/>
      <c r="H1332" s="137"/>
      <c r="I1332" s="136"/>
      <c r="J1332" s="136"/>
      <c r="K1332" s="136"/>
      <c r="L1332" s="136"/>
      <c r="M1332" s="136"/>
      <c r="N1332" s="136"/>
      <c r="O1332" s="142"/>
      <c r="P1332" s="138"/>
      <c r="Q1332" s="138"/>
      <c r="R1332" s="138"/>
      <c r="S1332" s="139"/>
      <c r="T1332" s="140"/>
      <c r="U1332" s="136"/>
      <c r="V1332" s="136"/>
      <c r="W1332" s="136"/>
      <c r="X1332" s="136"/>
    </row>
    <row r="1333">
      <c r="E1333" s="136"/>
      <c r="F1333" s="136"/>
      <c r="G1333" s="136"/>
      <c r="H1333" s="137"/>
      <c r="I1333" s="136"/>
      <c r="J1333" s="136"/>
      <c r="K1333" s="136"/>
      <c r="L1333" s="136"/>
      <c r="M1333" s="136"/>
      <c r="N1333" s="136"/>
      <c r="O1333" s="142"/>
      <c r="P1333" s="138"/>
      <c r="Q1333" s="138"/>
      <c r="R1333" s="138"/>
      <c r="S1333" s="139"/>
      <c r="T1333" s="140"/>
      <c r="U1333" s="136"/>
      <c r="V1333" s="136"/>
      <c r="W1333" s="136"/>
      <c r="X1333" s="136"/>
    </row>
    <row r="1334">
      <c r="E1334" s="136"/>
      <c r="F1334" s="136"/>
      <c r="G1334" s="136"/>
      <c r="H1334" s="137"/>
      <c r="I1334" s="136"/>
      <c r="J1334" s="136"/>
      <c r="K1334" s="136"/>
      <c r="L1334" s="136"/>
      <c r="M1334" s="136"/>
      <c r="N1334" s="136"/>
      <c r="O1334" s="142"/>
      <c r="P1334" s="138"/>
      <c r="Q1334" s="138"/>
      <c r="R1334" s="138"/>
      <c r="S1334" s="139"/>
      <c r="T1334" s="140"/>
      <c r="U1334" s="136"/>
      <c r="V1334" s="136"/>
      <c r="W1334" s="136"/>
      <c r="X1334" s="136"/>
    </row>
    <row r="1335">
      <c r="E1335" s="136"/>
      <c r="F1335" s="136"/>
      <c r="G1335" s="136"/>
      <c r="H1335" s="137"/>
      <c r="I1335" s="136"/>
      <c r="J1335" s="136"/>
      <c r="K1335" s="136"/>
      <c r="L1335" s="136"/>
      <c r="M1335" s="136"/>
      <c r="N1335" s="136"/>
      <c r="O1335" s="142"/>
      <c r="P1335" s="138"/>
      <c r="Q1335" s="138"/>
      <c r="R1335" s="138"/>
      <c r="S1335" s="139"/>
      <c r="T1335" s="140"/>
      <c r="U1335" s="136"/>
      <c r="V1335" s="136"/>
      <c r="W1335" s="136"/>
      <c r="X1335" s="136"/>
    </row>
    <row r="1336">
      <c r="E1336" s="136"/>
      <c r="F1336" s="136"/>
      <c r="G1336" s="136"/>
      <c r="H1336" s="137"/>
      <c r="I1336" s="136"/>
      <c r="J1336" s="136"/>
      <c r="K1336" s="136"/>
      <c r="L1336" s="136"/>
      <c r="M1336" s="136"/>
      <c r="N1336" s="136"/>
      <c r="O1336" s="142"/>
      <c r="P1336" s="138"/>
      <c r="Q1336" s="138"/>
      <c r="R1336" s="138"/>
      <c r="S1336" s="139"/>
      <c r="T1336" s="140"/>
      <c r="U1336" s="136"/>
      <c r="V1336" s="136"/>
      <c r="W1336" s="136"/>
      <c r="X1336" s="136"/>
    </row>
    <row r="1337">
      <c r="E1337" s="136"/>
      <c r="F1337" s="136"/>
      <c r="G1337" s="136"/>
      <c r="H1337" s="137"/>
      <c r="I1337" s="136"/>
      <c r="J1337" s="136"/>
      <c r="K1337" s="136"/>
      <c r="L1337" s="136"/>
      <c r="M1337" s="136"/>
      <c r="N1337" s="136"/>
      <c r="O1337" s="142"/>
      <c r="P1337" s="138"/>
      <c r="Q1337" s="138"/>
      <c r="R1337" s="138"/>
      <c r="S1337" s="139"/>
      <c r="T1337" s="140"/>
      <c r="U1337" s="136"/>
      <c r="V1337" s="136"/>
      <c r="W1337" s="136"/>
      <c r="X1337" s="136"/>
    </row>
    <row r="1338">
      <c r="E1338" s="136"/>
      <c r="F1338" s="136"/>
      <c r="G1338" s="136"/>
      <c r="H1338" s="137"/>
      <c r="I1338" s="136"/>
      <c r="J1338" s="136"/>
      <c r="K1338" s="136"/>
      <c r="L1338" s="136"/>
      <c r="M1338" s="136"/>
      <c r="N1338" s="136"/>
      <c r="O1338" s="142"/>
      <c r="P1338" s="138"/>
      <c r="Q1338" s="138"/>
      <c r="R1338" s="138"/>
      <c r="S1338" s="139"/>
      <c r="T1338" s="140"/>
      <c r="U1338" s="136"/>
      <c r="V1338" s="136"/>
      <c r="W1338" s="136"/>
      <c r="X1338" s="136"/>
    </row>
    <row r="1339">
      <c r="E1339" s="136"/>
      <c r="F1339" s="136"/>
      <c r="G1339" s="136"/>
      <c r="H1339" s="137"/>
      <c r="I1339" s="136"/>
      <c r="J1339" s="136"/>
      <c r="K1339" s="136"/>
      <c r="L1339" s="136"/>
      <c r="M1339" s="136"/>
      <c r="N1339" s="136"/>
      <c r="O1339" s="142"/>
      <c r="P1339" s="138"/>
      <c r="Q1339" s="138"/>
      <c r="R1339" s="138"/>
      <c r="S1339" s="139"/>
      <c r="T1339" s="140"/>
      <c r="U1339" s="136"/>
      <c r="V1339" s="136"/>
      <c r="W1339" s="136"/>
      <c r="X1339" s="136"/>
    </row>
    <row r="1340">
      <c r="E1340" s="136"/>
      <c r="F1340" s="136"/>
      <c r="G1340" s="136"/>
      <c r="H1340" s="137"/>
      <c r="I1340" s="136"/>
      <c r="J1340" s="136"/>
      <c r="K1340" s="136"/>
      <c r="L1340" s="136"/>
      <c r="M1340" s="136"/>
      <c r="N1340" s="136"/>
      <c r="O1340" s="142"/>
      <c r="P1340" s="138"/>
      <c r="Q1340" s="138"/>
      <c r="R1340" s="138"/>
      <c r="S1340" s="139"/>
      <c r="T1340" s="140"/>
      <c r="U1340" s="136"/>
      <c r="V1340" s="136"/>
      <c r="W1340" s="136"/>
      <c r="X1340" s="136"/>
    </row>
    <row r="1341">
      <c r="E1341" s="136"/>
      <c r="F1341" s="136"/>
      <c r="G1341" s="136"/>
      <c r="H1341" s="137"/>
      <c r="I1341" s="136"/>
      <c r="J1341" s="136"/>
      <c r="K1341" s="136"/>
      <c r="L1341" s="136"/>
      <c r="M1341" s="136"/>
      <c r="N1341" s="136"/>
      <c r="O1341" s="142"/>
      <c r="P1341" s="138"/>
      <c r="Q1341" s="138"/>
      <c r="R1341" s="138"/>
      <c r="S1341" s="139"/>
      <c r="T1341" s="140"/>
      <c r="U1341" s="136"/>
      <c r="V1341" s="136"/>
      <c r="W1341" s="136"/>
      <c r="X1341" s="136"/>
    </row>
    <row r="1342">
      <c r="E1342" s="136"/>
      <c r="F1342" s="136"/>
      <c r="G1342" s="136"/>
      <c r="H1342" s="137"/>
      <c r="I1342" s="136"/>
      <c r="J1342" s="136"/>
      <c r="K1342" s="136"/>
      <c r="L1342" s="136"/>
      <c r="M1342" s="136"/>
      <c r="N1342" s="136"/>
      <c r="O1342" s="142"/>
      <c r="P1342" s="138"/>
      <c r="Q1342" s="138"/>
      <c r="R1342" s="138"/>
      <c r="S1342" s="139"/>
      <c r="T1342" s="140"/>
      <c r="U1342" s="136"/>
      <c r="V1342" s="136"/>
      <c r="W1342" s="136"/>
      <c r="X1342" s="136"/>
    </row>
    <row r="1343">
      <c r="E1343" s="136"/>
      <c r="F1343" s="136"/>
      <c r="G1343" s="136"/>
      <c r="H1343" s="137"/>
      <c r="I1343" s="136"/>
      <c r="J1343" s="136"/>
      <c r="K1343" s="136"/>
      <c r="L1343" s="136"/>
      <c r="M1343" s="136"/>
      <c r="N1343" s="136"/>
      <c r="O1343" s="142"/>
      <c r="P1343" s="138"/>
      <c r="Q1343" s="138"/>
      <c r="R1343" s="138"/>
      <c r="S1343" s="139"/>
      <c r="T1343" s="140"/>
      <c r="U1343" s="136"/>
      <c r="V1343" s="136"/>
      <c r="W1343" s="136"/>
      <c r="X1343" s="136"/>
    </row>
    <row r="1344">
      <c r="E1344" s="136"/>
      <c r="F1344" s="136"/>
      <c r="G1344" s="136"/>
      <c r="H1344" s="137"/>
      <c r="I1344" s="136"/>
      <c r="J1344" s="136"/>
      <c r="K1344" s="136"/>
      <c r="L1344" s="136"/>
      <c r="M1344" s="136"/>
      <c r="N1344" s="136"/>
      <c r="O1344" s="142"/>
      <c r="P1344" s="138"/>
      <c r="Q1344" s="138"/>
      <c r="R1344" s="138"/>
      <c r="S1344" s="139"/>
      <c r="T1344" s="140"/>
      <c r="U1344" s="136"/>
      <c r="V1344" s="136"/>
      <c r="W1344" s="136"/>
      <c r="X1344" s="136"/>
    </row>
    <row r="1345">
      <c r="E1345" s="136"/>
      <c r="F1345" s="136"/>
      <c r="G1345" s="136"/>
      <c r="H1345" s="137"/>
      <c r="I1345" s="136"/>
      <c r="J1345" s="136"/>
      <c r="K1345" s="136"/>
      <c r="L1345" s="136"/>
      <c r="M1345" s="136"/>
      <c r="N1345" s="136"/>
      <c r="O1345" s="142"/>
      <c r="P1345" s="138"/>
      <c r="Q1345" s="138"/>
      <c r="R1345" s="138"/>
      <c r="S1345" s="139"/>
      <c r="T1345" s="140"/>
      <c r="U1345" s="136"/>
      <c r="V1345" s="136"/>
      <c r="W1345" s="136"/>
      <c r="X1345" s="136"/>
    </row>
    <row r="1346">
      <c r="E1346" s="136"/>
      <c r="F1346" s="136"/>
      <c r="G1346" s="136"/>
      <c r="H1346" s="137"/>
      <c r="I1346" s="136"/>
      <c r="J1346" s="136"/>
      <c r="K1346" s="136"/>
      <c r="L1346" s="136"/>
      <c r="M1346" s="136"/>
      <c r="N1346" s="136"/>
      <c r="O1346" s="142"/>
      <c r="P1346" s="138"/>
      <c r="Q1346" s="138"/>
      <c r="R1346" s="138"/>
      <c r="S1346" s="139"/>
      <c r="T1346" s="140"/>
      <c r="U1346" s="136"/>
      <c r="V1346" s="136"/>
      <c r="W1346" s="136"/>
      <c r="X1346" s="136"/>
    </row>
    <row r="1347">
      <c r="E1347" s="136"/>
      <c r="F1347" s="136"/>
      <c r="G1347" s="136"/>
      <c r="H1347" s="137"/>
      <c r="I1347" s="136"/>
      <c r="J1347" s="136"/>
      <c r="K1347" s="136"/>
      <c r="L1347" s="136"/>
      <c r="M1347" s="136"/>
      <c r="N1347" s="136"/>
      <c r="O1347" s="142"/>
      <c r="P1347" s="138"/>
      <c r="Q1347" s="138"/>
      <c r="R1347" s="138"/>
      <c r="S1347" s="139"/>
      <c r="T1347" s="140"/>
      <c r="U1347" s="136"/>
      <c r="V1347" s="136"/>
      <c r="W1347" s="136"/>
      <c r="X1347" s="136"/>
    </row>
    <row r="1348">
      <c r="E1348" s="136"/>
      <c r="F1348" s="136"/>
      <c r="G1348" s="136"/>
      <c r="H1348" s="137"/>
      <c r="I1348" s="136"/>
      <c r="J1348" s="136"/>
      <c r="K1348" s="136"/>
      <c r="L1348" s="136"/>
      <c r="M1348" s="136"/>
      <c r="N1348" s="136"/>
      <c r="O1348" s="142"/>
      <c r="P1348" s="138"/>
      <c r="Q1348" s="138"/>
      <c r="R1348" s="138"/>
      <c r="S1348" s="139"/>
      <c r="T1348" s="140"/>
      <c r="U1348" s="136"/>
      <c r="V1348" s="136"/>
      <c r="W1348" s="136"/>
      <c r="X1348" s="136"/>
    </row>
    <row r="1349">
      <c r="E1349" s="136"/>
      <c r="F1349" s="136"/>
      <c r="G1349" s="136"/>
      <c r="H1349" s="137"/>
      <c r="I1349" s="136"/>
      <c r="J1349" s="136"/>
      <c r="K1349" s="136"/>
      <c r="L1349" s="136"/>
      <c r="M1349" s="136"/>
      <c r="N1349" s="136"/>
      <c r="O1349" s="142"/>
      <c r="P1349" s="138"/>
      <c r="Q1349" s="138"/>
      <c r="R1349" s="138"/>
      <c r="S1349" s="139"/>
      <c r="T1349" s="140"/>
      <c r="U1349" s="136"/>
      <c r="V1349" s="136"/>
      <c r="W1349" s="136"/>
      <c r="X1349" s="136"/>
    </row>
    <row r="1350">
      <c r="E1350" s="136"/>
      <c r="F1350" s="136"/>
      <c r="G1350" s="136"/>
      <c r="H1350" s="137"/>
      <c r="I1350" s="136"/>
      <c r="J1350" s="136"/>
      <c r="K1350" s="136"/>
      <c r="L1350" s="136"/>
      <c r="M1350" s="136"/>
      <c r="N1350" s="136"/>
      <c r="O1350" s="142"/>
      <c r="P1350" s="138"/>
      <c r="Q1350" s="138"/>
      <c r="R1350" s="138"/>
      <c r="S1350" s="139"/>
      <c r="T1350" s="140"/>
      <c r="U1350" s="136"/>
      <c r="V1350" s="136"/>
      <c r="W1350" s="136"/>
      <c r="X1350" s="136"/>
    </row>
    <row r="1351">
      <c r="E1351" s="136"/>
      <c r="F1351" s="136"/>
      <c r="G1351" s="136"/>
      <c r="H1351" s="137"/>
      <c r="I1351" s="136"/>
      <c r="J1351" s="136"/>
      <c r="K1351" s="136"/>
      <c r="L1351" s="136"/>
      <c r="M1351" s="136"/>
      <c r="N1351" s="136"/>
      <c r="O1351" s="142"/>
      <c r="P1351" s="138"/>
      <c r="Q1351" s="138"/>
      <c r="R1351" s="138"/>
      <c r="S1351" s="139"/>
      <c r="T1351" s="140"/>
      <c r="U1351" s="136"/>
      <c r="V1351" s="136"/>
      <c r="W1351" s="136"/>
      <c r="X1351" s="136"/>
    </row>
    <row r="1352">
      <c r="E1352" s="136"/>
      <c r="F1352" s="136"/>
      <c r="G1352" s="136"/>
      <c r="H1352" s="137"/>
      <c r="I1352" s="136"/>
      <c r="J1352" s="136"/>
      <c r="K1352" s="136"/>
      <c r="L1352" s="136"/>
      <c r="M1352" s="136"/>
      <c r="N1352" s="136"/>
      <c r="O1352" s="142"/>
      <c r="P1352" s="138"/>
      <c r="Q1352" s="138"/>
      <c r="R1352" s="138"/>
      <c r="S1352" s="139"/>
      <c r="T1352" s="140"/>
      <c r="U1352" s="136"/>
      <c r="V1352" s="136"/>
      <c r="W1352" s="136"/>
      <c r="X1352" s="136"/>
    </row>
    <row r="1353">
      <c r="E1353" s="136"/>
      <c r="F1353" s="136"/>
      <c r="G1353" s="136"/>
      <c r="H1353" s="137"/>
      <c r="I1353" s="136"/>
      <c r="J1353" s="136"/>
      <c r="K1353" s="136"/>
      <c r="L1353" s="136"/>
      <c r="M1353" s="136"/>
      <c r="N1353" s="136"/>
      <c r="O1353" s="142"/>
      <c r="P1353" s="138"/>
      <c r="Q1353" s="138"/>
      <c r="R1353" s="138"/>
      <c r="S1353" s="139"/>
      <c r="T1353" s="140"/>
      <c r="U1353" s="136"/>
      <c r="V1353" s="136"/>
      <c r="W1353" s="136"/>
      <c r="X1353" s="136"/>
    </row>
    <row r="1354">
      <c r="E1354" s="136"/>
      <c r="F1354" s="136"/>
      <c r="G1354" s="136"/>
      <c r="H1354" s="137"/>
      <c r="I1354" s="136"/>
      <c r="J1354" s="136"/>
      <c r="K1354" s="136"/>
      <c r="L1354" s="136"/>
      <c r="M1354" s="136"/>
      <c r="N1354" s="136"/>
      <c r="O1354" s="142"/>
      <c r="P1354" s="138"/>
      <c r="Q1354" s="138"/>
      <c r="R1354" s="138"/>
      <c r="S1354" s="139"/>
      <c r="T1354" s="140"/>
      <c r="U1354" s="136"/>
      <c r="V1354" s="136"/>
      <c r="W1354" s="136"/>
      <c r="X1354" s="136"/>
    </row>
    <row r="1355">
      <c r="E1355" s="136"/>
      <c r="F1355" s="136"/>
      <c r="G1355" s="136"/>
      <c r="H1355" s="137"/>
      <c r="I1355" s="136"/>
      <c r="J1355" s="136"/>
      <c r="K1355" s="136"/>
      <c r="L1355" s="136"/>
      <c r="M1355" s="136"/>
      <c r="N1355" s="136"/>
      <c r="O1355" s="142"/>
      <c r="P1355" s="138"/>
      <c r="Q1355" s="138"/>
      <c r="R1355" s="138"/>
      <c r="S1355" s="139"/>
      <c r="T1355" s="140"/>
      <c r="U1355" s="136"/>
      <c r="V1355" s="136"/>
      <c r="W1355" s="136"/>
      <c r="X1355" s="136"/>
    </row>
    <row r="1356">
      <c r="E1356" s="136"/>
      <c r="F1356" s="136"/>
      <c r="G1356" s="136"/>
      <c r="H1356" s="137"/>
      <c r="I1356" s="136"/>
      <c r="J1356" s="136"/>
      <c r="K1356" s="136"/>
      <c r="L1356" s="136"/>
      <c r="M1356" s="136"/>
      <c r="N1356" s="136"/>
      <c r="O1356" s="142"/>
      <c r="P1356" s="138"/>
      <c r="Q1356" s="138"/>
      <c r="R1356" s="138"/>
      <c r="S1356" s="139"/>
      <c r="T1356" s="140"/>
      <c r="U1356" s="136"/>
      <c r="V1356" s="136"/>
      <c r="W1356" s="136"/>
      <c r="X1356" s="136"/>
    </row>
    <row r="1357">
      <c r="E1357" s="136"/>
      <c r="F1357" s="136"/>
      <c r="G1357" s="136"/>
      <c r="H1357" s="137"/>
      <c r="I1357" s="136"/>
      <c r="J1357" s="136"/>
      <c r="K1357" s="136"/>
      <c r="L1357" s="136"/>
      <c r="M1357" s="136"/>
      <c r="N1357" s="136"/>
      <c r="O1357" s="142"/>
      <c r="P1357" s="138"/>
      <c r="Q1357" s="138"/>
      <c r="R1357" s="138"/>
      <c r="S1357" s="139"/>
      <c r="T1357" s="140"/>
      <c r="U1357" s="136"/>
      <c r="V1357" s="136"/>
      <c r="W1357" s="136"/>
      <c r="X1357" s="136"/>
    </row>
    <row r="1358">
      <c r="E1358" s="136"/>
      <c r="F1358" s="136"/>
      <c r="G1358" s="136"/>
      <c r="H1358" s="137"/>
      <c r="I1358" s="136"/>
      <c r="J1358" s="136"/>
      <c r="K1358" s="136"/>
      <c r="L1358" s="136"/>
      <c r="M1358" s="136"/>
      <c r="N1358" s="136"/>
      <c r="O1358" s="142"/>
      <c r="P1358" s="138"/>
      <c r="Q1358" s="138"/>
      <c r="R1358" s="138"/>
      <c r="S1358" s="139"/>
      <c r="T1358" s="140"/>
      <c r="U1358" s="136"/>
      <c r="V1358" s="136"/>
      <c r="W1358" s="136"/>
      <c r="X1358" s="136"/>
    </row>
    <row r="1359">
      <c r="E1359" s="136"/>
      <c r="F1359" s="136"/>
      <c r="G1359" s="136"/>
      <c r="H1359" s="137"/>
      <c r="I1359" s="136"/>
      <c r="J1359" s="136"/>
      <c r="K1359" s="136"/>
      <c r="L1359" s="136"/>
      <c r="M1359" s="136"/>
      <c r="N1359" s="136"/>
      <c r="O1359" s="142"/>
      <c r="P1359" s="138"/>
      <c r="Q1359" s="138"/>
      <c r="R1359" s="138"/>
      <c r="S1359" s="139"/>
      <c r="T1359" s="140"/>
      <c r="U1359" s="136"/>
      <c r="V1359" s="136"/>
      <c r="W1359" s="136"/>
      <c r="X1359" s="136"/>
    </row>
    <row r="1360">
      <c r="E1360" s="136"/>
      <c r="F1360" s="136"/>
      <c r="G1360" s="136"/>
      <c r="H1360" s="137"/>
      <c r="I1360" s="136"/>
      <c r="J1360" s="136"/>
      <c r="K1360" s="136"/>
      <c r="L1360" s="136"/>
      <c r="M1360" s="136"/>
      <c r="N1360" s="136"/>
      <c r="O1360" s="142"/>
      <c r="P1360" s="138"/>
      <c r="Q1360" s="138"/>
      <c r="R1360" s="138"/>
      <c r="S1360" s="139"/>
      <c r="T1360" s="140"/>
      <c r="U1360" s="136"/>
      <c r="V1360" s="136"/>
      <c r="W1360" s="136"/>
      <c r="X1360" s="136"/>
    </row>
    <row r="1361">
      <c r="E1361" s="136"/>
      <c r="F1361" s="136"/>
      <c r="G1361" s="136"/>
      <c r="H1361" s="137"/>
      <c r="I1361" s="136"/>
      <c r="J1361" s="136"/>
      <c r="K1361" s="136"/>
      <c r="L1361" s="136"/>
      <c r="M1361" s="136"/>
      <c r="N1361" s="136"/>
      <c r="O1361" s="142"/>
      <c r="P1361" s="138"/>
      <c r="Q1361" s="138"/>
      <c r="R1361" s="138"/>
      <c r="S1361" s="139"/>
      <c r="T1361" s="140"/>
      <c r="U1361" s="136"/>
      <c r="V1361" s="136"/>
      <c r="W1361" s="136"/>
      <c r="X1361" s="136"/>
    </row>
    <row r="1362">
      <c r="E1362" s="136"/>
      <c r="F1362" s="136"/>
      <c r="G1362" s="136"/>
      <c r="H1362" s="137"/>
      <c r="I1362" s="136"/>
      <c r="J1362" s="136"/>
      <c r="K1362" s="136"/>
      <c r="L1362" s="136"/>
      <c r="M1362" s="136"/>
      <c r="N1362" s="136"/>
      <c r="O1362" s="142"/>
      <c r="P1362" s="138"/>
      <c r="Q1362" s="138"/>
      <c r="R1362" s="138"/>
      <c r="S1362" s="139"/>
      <c r="T1362" s="140"/>
      <c r="U1362" s="136"/>
      <c r="V1362" s="136"/>
      <c r="W1362" s="136"/>
      <c r="X1362" s="136"/>
    </row>
    <row r="1363">
      <c r="E1363" s="136"/>
      <c r="F1363" s="136"/>
      <c r="G1363" s="136"/>
      <c r="H1363" s="137"/>
      <c r="I1363" s="136"/>
      <c r="J1363" s="136"/>
      <c r="K1363" s="136"/>
      <c r="L1363" s="136"/>
      <c r="M1363" s="136"/>
      <c r="N1363" s="136"/>
      <c r="O1363" s="142"/>
      <c r="P1363" s="138"/>
      <c r="Q1363" s="138"/>
      <c r="R1363" s="138"/>
      <c r="S1363" s="139"/>
      <c r="T1363" s="140"/>
      <c r="U1363" s="136"/>
      <c r="V1363" s="136"/>
      <c r="W1363" s="136"/>
      <c r="X1363" s="136"/>
    </row>
    <row r="1364">
      <c r="E1364" s="136"/>
      <c r="F1364" s="136"/>
      <c r="G1364" s="136"/>
      <c r="H1364" s="137"/>
      <c r="I1364" s="136"/>
      <c r="J1364" s="136"/>
      <c r="K1364" s="136"/>
      <c r="L1364" s="136"/>
      <c r="M1364" s="136"/>
      <c r="N1364" s="136"/>
      <c r="O1364" s="142"/>
      <c r="P1364" s="138"/>
      <c r="Q1364" s="138"/>
      <c r="R1364" s="138"/>
      <c r="S1364" s="139"/>
      <c r="T1364" s="140"/>
      <c r="U1364" s="136"/>
      <c r="V1364" s="136"/>
      <c r="W1364" s="136"/>
      <c r="X1364" s="136"/>
    </row>
    <row r="1365">
      <c r="E1365" s="136"/>
      <c r="F1365" s="136"/>
      <c r="G1365" s="136"/>
      <c r="H1365" s="137"/>
      <c r="I1365" s="136"/>
      <c r="J1365" s="136"/>
      <c r="K1365" s="136"/>
      <c r="L1365" s="136"/>
      <c r="M1365" s="136"/>
      <c r="N1365" s="136"/>
      <c r="O1365" s="142"/>
      <c r="P1365" s="138"/>
      <c r="Q1365" s="138"/>
      <c r="R1365" s="138"/>
      <c r="S1365" s="139"/>
      <c r="T1365" s="140"/>
      <c r="U1365" s="136"/>
      <c r="V1365" s="136"/>
      <c r="W1365" s="136"/>
      <c r="X1365" s="136"/>
    </row>
    <row r="1366">
      <c r="E1366" s="136"/>
      <c r="F1366" s="136"/>
      <c r="G1366" s="136"/>
      <c r="H1366" s="137"/>
      <c r="I1366" s="136"/>
      <c r="J1366" s="136"/>
      <c r="K1366" s="136"/>
      <c r="L1366" s="136"/>
      <c r="M1366" s="136"/>
      <c r="N1366" s="136"/>
      <c r="O1366" s="142"/>
      <c r="P1366" s="138"/>
      <c r="Q1366" s="138"/>
      <c r="R1366" s="138"/>
      <c r="S1366" s="139"/>
      <c r="T1366" s="140"/>
      <c r="U1366" s="136"/>
      <c r="V1366" s="136"/>
      <c r="W1366" s="136"/>
      <c r="X1366" s="136"/>
    </row>
    <row r="1367">
      <c r="E1367" s="136"/>
      <c r="F1367" s="136"/>
      <c r="G1367" s="136"/>
      <c r="H1367" s="137"/>
      <c r="I1367" s="136"/>
      <c r="J1367" s="136"/>
      <c r="K1367" s="136"/>
      <c r="L1367" s="136"/>
      <c r="M1367" s="136"/>
      <c r="N1367" s="136"/>
      <c r="O1367" s="142"/>
      <c r="P1367" s="138"/>
      <c r="Q1367" s="138"/>
      <c r="R1367" s="138"/>
      <c r="S1367" s="139"/>
      <c r="T1367" s="140"/>
      <c r="U1367" s="136"/>
      <c r="V1367" s="136"/>
      <c r="W1367" s="136"/>
      <c r="X1367" s="136"/>
    </row>
    <row r="1368">
      <c r="E1368" s="136"/>
      <c r="F1368" s="136"/>
      <c r="G1368" s="136"/>
      <c r="H1368" s="137"/>
      <c r="I1368" s="136"/>
      <c r="J1368" s="136"/>
      <c r="K1368" s="136"/>
      <c r="L1368" s="136"/>
      <c r="M1368" s="136"/>
      <c r="N1368" s="136"/>
      <c r="O1368" s="142"/>
      <c r="P1368" s="138"/>
      <c r="Q1368" s="138"/>
      <c r="R1368" s="138"/>
      <c r="S1368" s="139"/>
      <c r="T1368" s="140"/>
      <c r="U1368" s="136"/>
      <c r="V1368" s="136"/>
      <c r="W1368" s="136"/>
      <c r="X1368" s="136"/>
    </row>
    <row r="1369">
      <c r="E1369" s="136"/>
      <c r="F1369" s="136"/>
      <c r="G1369" s="136"/>
      <c r="H1369" s="137"/>
      <c r="I1369" s="136"/>
      <c r="J1369" s="136"/>
      <c r="K1369" s="136"/>
      <c r="L1369" s="136"/>
      <c r="M1369" s="136"/>
      <c r="N1369" s="136"/>
      <c r="O1369" s="142"/>
      <c r="P1369" s="138"/>
      <c r="Q1369" s="138"/>
      <c r="R1369" s="138"/>
      <c r="S1369" s="139"/>
      <c r="T1369" s="140"/>
      <c r="U1369" s="136"/>
      <c r="V1369" s="136"/>
      <c r="W1369" s="136"/>
      <c r="X1369" s="136"/>
    </row>
    <row r="1370">
      <c r="E1370" s="136"/>
      <c r="F1370" s="136"/>
      <c r="G1370" s="136"/>
      <c r="H1370" s="137"/>
      <c r="I1370" s="136"/>
      <c r="J1370" s="136"/>
      <c r="K1370" s="136"/>
      <c r="L1370" s="136"/>
      <c r="M1370" s="136"/>
      <c r="N1370" s="136"/>
      <c r="O1370" s="142"/>
      <c r="P1370" s="138"/>
      <c r="Q1370" s="138"/>
      <c r="R1370" s="138"/>
      <c r="S1370" s="139"/>
      <c r="T1370" s="140"/>
      <c r="U1370" s="136"/>
      <c r="V1370" s="136"/>
      <c r="W1370" s="136"/>
      <c r="X1370" s="136"/>
    </row>
    <row r="1371">
      <c r="E1371" s="136"/>
      <c r="F1371" s="136"/>
      <c r="G1371" s="136"/>
      <c r="H1371" s="137"/>
      <c r="I1371" s="136"/>
      <c r="J1371" s="136"/>
      <c r="K1371" s="136"/>
      <c r="L1371" s="136"/>
      <c r="M1371" s="136"/>
      <c r="N1371" s="136"/>
      <c r="O1371" s="142"/>
      <c r="P1371" s="138"/>
      <c r="Q1371" s="138"/>
      <c r="R1371" s="138"/>
      <c r="S1371" s="139"/>
      <c r="T1371" s="140"/>
      <c r="U1371" s="136"/>
      <c r="V1371" s="136"/>
      <c r="W1371" s="136"/>
      <c r="X1371" s="136"/>
    </row>
    <row r="1372">
      <c r="E1372" s="136"/>
      <c r="F1372" s="136"/>
      <c r="G1372" s="136"/>
      <c r="H1372" s="137"/>
      <c r="I1372" s="136"/>
      <c r="J1372" s="136"/>
      <c r="K1372" s="136"/>
      <c r="L1372" s="136"/>
      <c r="M1372" s="136"/>
      <c r="N1372" s="136"/>
      <c r="O1372" s="142"/>
      <c r="P1372" s="138"/>
      <c r="Q1372" s="138"/>
      <c r="R1372" s="138"/>
      <c r="S1372" s="139"/>
      <c r="T1372" s="140"/>
      <c r="U1372" s="136"/>
      <c r="V1372" s="136"/>
      <c r="W1372" s="136"/>
      <c r="X1372" s="136"/>
    </row>
    <row r="1373">
      <c r="E1373" s="136"/>
      <c r="F1373" s="136"/>
      <c r="G1373" s="136"/>
      <c r="H1373" s="137"/>
      <c r="I1373" s="136"/>
      <c r="J1373" s="136"/>
      <c r="K1373" s="136"/>
      <c r="L1373" s="136"/>
      <c r="M1373" s="136"/>
      <c r="N1373" s="136"/>
      <c r="O1373" s="142"/>
      <c r="P1373" s="138"/>
      <c r="Q1373" s="138"/>
      <c r="R1373" s="138"/>
      <c r="S1373" s="139"/>
      <c r="T1373" s="140"/>
      <c r="U1373" s="136"/>
      <c r="V1373" s="136"/>
      <c r="W1373" s="136"/>
      <c r="X1373" s="136"/>
    </row>
    <row r="1374">
      <c r="E1374" s="136"/>
      <c r="F1374" s="136"/>
      <c r="G1374" s="136"/>
      <c r="H1374" s="137"/>
      <c r="I1374" s="136"/>
      <c r="J1374" s="136"/>
      <c r="K1374" s="136"/>
      <c r="L1374" s="136"/>
      <c r="M1374" s="136"/>
      <c r="N1374" s="136"/>
      <c r="O1374" s="142"/>
      <c r="P1374" s="138"/>
      <c r="Q1374" s="138"/>
      <c r="R1374" s="138"/>
      <c r="S1374" s="139"/>
      <c r="T1374" s="140"/>
      <c r="U1374" s="136"/>
      <c r="V1374" s="136"/>
      <c r="W1374" s="136"/>
      <c r="X1374" s="136"/>
    </row>
    <row r="1375">
      <c r="E1375" s="136"/>
      <c r="F1375" s="136"/>
      <c r="G1375" s="136"/>
      <c r="H1375" s="137"/>
      <c r="I1375" s="136"/>
      <c r="J1375" s="136"/>
      <c r="K1375" s="136"/>
      <c r="L1375" s="136"/>
      <c r="M1375" s="136"/>
      <c r="N1375" s="136"/>
      <c r="O1375" s="142"/>
      <c r="P1375" s="138"/>
      <c r="Q1375" s="138"/>
      <c r="R1375" s="138"/>
      <c r="S1375" s="139"/>
      <c r="T1375" s="140"/>
      <c r="U1375" s="136"/>
      <c r="V1375" s="136"/>
      <c r="W1375" s="136"/>
      <c r="X1375" s="136"/>
    </row>
    <row r="1376">
      <c r="E1376" s="136"/>
      <c r="F1376" s="136"/>
      <c r="G1376" s="136"/>
      <c r="H1376" s="137"/>
      <c r="I1376" s="136"/>
      <c r="J1376" s="136"/>
      <c r="K1376" s="136"/>
      <c r="L1376" s="136"/>
      <c r="M1376" s="136"/>
      <c r="N1376" s="136"/>
      <c r="O1376" s="142"/>
      <c r="P1376" s="138"/>
      <c r="Q1376" s="138"/>
      <c r="R1376" s="138"/>
      <c r="S1376" s="139"/>
      <c r="T1376" s="140"/>
      <c r="U1376" s="136"/>
      <c r="V1376" s="136"/>
      <c r="W1376" s="136"/>
      <c r="X1376" s="136"/>
    </row>
    <row r="1377">
      <c r="E1377" s="136"/>
      <c r="F1377" s="136"/>
      <c r="G1377" s="136"/>
      <c r="H1377" s="137"/>
      <c r="I1377" s="136"/>
      <c r="J1377" s="136"/>
      <c r="K1377" s="136"/>
      <c r="L1377" s="136"/>
      <c r="M1377" s="136"/>
      <c r="N1377" s="136"/>
      <c r="O1377" s="142"/>
      <c r="P1377" s="138"/>
      <c r="Q1377" s="138"/>
      <c r="R1377" s="138"/>
      <c r="S1377" s="139"/>
      <c r="T1377" s="140"/>
      <c r="U1377" s="136"/>
      <c r="V1377" s="136"/>
      <c r="W1377" s="136"/>
      <c r="X1377" s="136"/>
    </row>
    <row r="1378">
      <c r="E1378" s="136"/>
      <c r="F1378" s="136"/>
      <c r="G1378" s="136"/>
      <c r="H1378" s="137"/>
      <c r="I1378" s="136"/>
      <c r="J1378" s="136"/>
      <c r="K1378" s="136"/>
      <c r="L1378" s="136"/>
      <c r="M1378" s="136"/>
      <c r="N1378" s="136"/>
      <c r="O1378" s="142"/>
      <c r="P1378" s="138"/>
      <c r="Q1378" s="138"/>
      <c r="R1378" s="138"/>
      <c r="S1378" s="139"/>
      <c r="T1378" s="140"/>
      <c r="U1378" s="136"/>
      <c r="V1378" s="136"/>
      <c r="W1378" s="136"/>
      <c r="X1378" s="136"/>
    </row>
    <row r="1379">
      <c r="E1379" s="136"/>
      <c r="F1379" s="136"/>
      <c r="G1379" s="136"/>
      <c r="H1379" s="137"/>
      <c r="I1379" s="136"/>
      <c r="J1379" s="136"/>
      <c r="K1379" s="136"/>
      <c r="L1379" s="136"/>
      <c r="M1379" s="136"/>
      <c r="N1379" s="136"/>
      <c r="O1379" s="142"/>
      <c r="P1379" s="138"/>
      <c r="Q1379" s="138"/>
      <c r="R1379" s="138"/>
      <c r="S1379" s="139"/>
      <c r="T1379" s="140"/>
      <c r="U1379" s="136"/>
      <c r="V1379" s="136"/>
      <c r="W1379" s="136"/>
      <c r="X1379" s="136"/>
    </row>
    <row r="1380">
      <c r="E1380" s="136"/>
      <c r="F1380" s="136"/>
      <c r="G1380" s="136"/>
      <c r="H1380" s="137"/>
      <c r="I1380" s="136"/>
      <c r="J1380" s="136"/>
      <c r="K1380" s="136"/>
      <c r="L1380" s="136"/>
      <c r="M1380" s="136"/>
      <c r="N1380" s="136"/>
      <c r="O1380" s="142"/>
      <c r="P1380" s="138"/>
      <c r="Q1380" s="138"/>
      <c r="R1380" s="138"/>
      <c r="S1380" s="139"/>
      <c r="T1380" s="140"/>
      <c r="U1380" s="136"/>
      <c r="V1380" s="136"/>
      <c r="W1380" s="136"/>
      <c r="X1380" s="136"/>
    </row>
    <row r="1381">
      <c r="E1381" s="136"/>
      <c r="F1381" s="136"/>
      <c r="G1381" s="136"/>
      <c r="H1381" s="137"/>
      <c r="I1381" s="136"/>
      <c r="J1381" s="136"/>
      <c r="K1381" s="136"/>
      <c r="L1381" s="136"/>
      <c r="M1381" s="136"/>
      <c r="N1381" s="136"/>
      <c r="O1381" s="142"/>
      <c r="P1381" s="138"/>
      <c r="Q1381" s="138"/>
      <c r="R1381" s="138"/>
      <c r="S1381" s="139"/>
      <c r="T1381" s="140"/>
      <c r="U1381" s="136"/>
      <c r="V1381" s="136"/>
      <c r="W1381" s="136"/>
      <c r="X1381" s="136"/>
    </row>
    <row r="1382">
      <c r="E1382" s="136"/>
      <c r="F1382" s="136"/>
      <c r="G1382" s="136"/>
      <c r="H1382" s="137"/>
      <c r="I1382" s="136"/>
      <c r="J1382" s="136"/>
      <c r="K1382" s="136"/>
      <c r="L1382" s="136"/>
      <c r="M1382" s="136"/>
      <c r="N1382" s="136"/>
      <c r="O1382" s="142"/>
      <c r="P1382" s="138"/>
      <c r="Q1382" s="138"/>
      <c r="R1382" s="138"/>
      <c r="S1382" s="139"/>
      <c r="T1382" s="140"/>
      <c r="U1382" s="136"/>
      <c r="V1382" s="136"/>
      <c r="W1382" s="136"/>
      <c r="X1382" s="136"/>
    </row>
    <row r="1383">
      <c r="E1383" s="136"/>
      <c r="F1383" s="136"/>
      <c r="G1383" s="136"/>
      <c r="H1383" s="137"/>
      <c r="I1383" s="136"/>
      <c r="J1383" s="136"/>
      <c r="K1383" s="136"/>
      <c r="L1383" s="136"/>
      <c r="M1383" s="136"/>
      <c r="N1383" s="136"/>
      <c r="O1383" s="142"/>
      <c r="P1383" s="138"/>
      <c r="Q1383" s="138"/>
      <c r="R1383" s="138"/>
      <c r="S1383" s="139"/>
      <c r="T1383" s="140"/>
      <c r="U1383" s="136"/>
      <c r="V1383" s="136"/>
      <c r="W1383" s="136"/>
      <c r="X1383" s="136"/>
    </row>
    <row r="1384">
      <c r="E1384" s="136"/>
      <c r="F1384" s="136"/>
      <c r="G1384" s="136"/>
      <c r="H1384" s="137"/>
      <c r="I1384" s="136"/>
      <c r="J1384" s="136"/>
      <c r="K1384" s="136"/>
      <c r="L1384" s="136"/>
      <c r="M1384" s="136"/>
      <c r="N1384" s="136"/>
      <c r="O1384" s="142"/>
      <c r="P1384" s="138"/>
      <c r="Q1384" s="138"/>
      <c r="R1384" s="138"/>
      <c r="S1384" s="139"/>
      <c r="T1384" s="140"/>
      <c r="U1384" s="136"/>
      <c r="V1384" s="136"/>
      <c r="W1384" s="136"/>
      <c r="X1384" s="136"/>
    </row>
    <row r="1385">
      <c r="E1385" s="136"/>
      <c r="F1385" s="136"/>
      <c r="G1385" s="136"/>
      <c r="H1385" s="137"/>
      <c r="I1385" s="136"/>
      <c r="J1385" s="136"/>
      <c r="K1385" s="136"/>
      <c r="L1385" s="136"/>
      <c r="M1385" s="136"/>
      <c r="N1385" s="136"/>
      <c r="O1385" s="142"/>
      <c r="P1385" s="138"/>
      <c r="Q1385" s="138"/>
      <c r="R1385" s="138"/>
      <c r="S1385" s="139"/>
      <c r="T1385" s="140"/>
      <c r="U1385" s="136"/>
      <c r="V1385" s="136"/>
      <c r="W1385" s="136"/>
      <c r="X1385" s="136"/>
    </row>
    <row r="1386">
      <c r="E1386" s="136"/>
      <c r="F1386" s="136"/>
      <c r="G1386" s="136"/>
      <c r="H1386" s="137"/>
      <c r="I1386" s="136"/>
      <c r="J1386" s="136"/>
      <c r="K1386" s="136"/>
      <c r="L1386" s="136"/>
      <c r="M1386" s="136"/>
      <c r="N1386" s="136"/>
      <c r="O1386" s="142"/>
      <c r="P1386" s="138"/>
      <c r="Q1386" s="138"/>
      <c r="R1386" s="138"/>
      <c r="S1386" s="139"/>
      <c r="T1386" s="140"/>
      <c r="U1386" s="136"/>
      <c r="V1386" s="136"/>
      <c r="W1386" s="136"/>
      <c r="X1386" s="136"/>
    </row>
    <row r="1387">
      <c r="E1387" s="136"/>
      <c r="F1387" s="136"/>
      <c r="G1387" s="136"/>
      <c r="H1387" s="137"/>
      <c r="I1387" s="136"/>
      <c r="J1387" s="136"/>
      <c r="K1387" s="136"/>
      <c r="L1387" s="136"/>
      <c r="M1387" s="136"/>
      <c r="N1387" s="136"/>
      <c r="O1387" s="142"/>
      <c r="P1387" s="138"/>
      <c r="Q1387" s="138"/>
      <c r="R1387" s="138"/>
      <c r="S1387" s="139"/>
      <c r="T1387" s="140"/>
      <c r="U1387" s="136"/>
      <c r="V1387" s="136"/>
      <c r="W1387" s="136"/>
      <c r="X1387" s="136"/>
    </row>
    <row r="1388">
      <c r="E1388" s="136"/>
      <c r="F1388" s="136"/>
      <c r="G1388" s="136"/>
      <c r="H1388" s="137"/>
      <c r="I1388" s="136"/>
      <c r="J1388" s="136"/>
      <c r="K1388" s="136"/>
      <c r="L1388" s="136"/>
      <c r="M1388" s="136"/>
      <c r="N1388" s="136"/>
      <c r="O1388" s="142"/>
      <c r="P1388" s="138"/>
      <c r="Q1388" s="138"/>
      <c r="R1388" s="138"/>
      <c r="S1388" s="139"/>
      <c r="T1388" s="140"/>
      <c r="U1388" s="136"/>
      <c r="V1388" s="136"/>
      <c r="W1388" s="136"/>
      <c r="X1388" s="136"/>
    </row>
    <row r="1389">
      <c r="E1389" s="136"/>
      <c r="F1389" s="136"/>
      <c r="G1389" s="136"/>
      <c r="H1389" s="137"/>
      <c r="I1389" s="136"/>
      <c r="J1389" s="136"/>
      <c r="K1389" s="136"/>
      <c r="L1389" s="136"/>
      <c r="M1389" s="136"/>
      <c r="N1389" s="136"/>
      <c r="O1389" s="142"/>
      <c r="P1389" s="138"/>
      <c r="Q1389" s="138"/>
      <c r="R1389" s="138"/>
      <c r="S1389" s="139"/>
      <c r="T1389" s="140"/>
      <c r="U1389" s="136"/>
      <c r="V1389" s="136"/>
      <c r="W1389" s="136"/>
      <c r="X1389" s="136"/>
    </row>
    <row r="1390">
      <c r="E1390" s="136"/>
      <c r="F1390" s="136"/>
      <c r="G1390" s="136"/>
      <c r="H1390" s="137"/>
      <c r="I1390" s="136"/>
      <c r="J1390" s="136"/>
      <c r="K1390" s="136"/>
      <c r="L1390" s="136"/>
      <c r="M1390" s="136"/>
      <c r="N1390" s="136"/>
      <c r="O1390" s="142"/>
      <c r="P1390" s="138"/>
      <c r="Q1390" s="138"/>
      <c r="R1390" s="138"/>
      <c r="S1390" s="139"/>
      <c r="T1390" s="140"/>
      <c r="U1390" s="136"/>
      <c r="V1390" s="136"/>
      <c r="W1390" s="136"/>
      <c r="X1390" s="136"/>
    </row>
    <row r="1391">
      <c r="E1391" s="136"/>
      <c r="F1391" s="136"/>
      <c r="G1391" s="136"/>
      <c r="H1391" s="137"/>
      <c r="I1391" s="136"/>
      <c r="J1391" s="136"/>
      <c r="K1391" s="136"/>
      <c r="L1391" s="136"/>
      <c r="M1391" s="136"/>
      <c r="N1391" s="136"/>
      <c r="O1391" s="142"/>
      <c r="P1391" s="138"/>
      <c r="Q1391" s="138"/>
      <c r="R1391" s="138"/>
      <c r="S1391" s="139"/>
      <c r="T1391" s="140"/>
      <c r="U1391" s="136"/>
      <c r="V1391" s="136"/>
      <c r="W1391" s="136"/>
      <c r="X1391" s="136"/>
    </row>
    <row r="1392">
      <c r="E1392" s="136"/>
      <c r="F1392" s="136"/>
      <c r="G1392" s="136"/>
      <c r="H1392" s="137"/>
      <c r="I1392" s="136"/>
      <c r="J1392" s="136"/>
      <c r="K1392" s="136"/>
      <c r="L1392" s="136"/>
      <c r="M1392" s="136"/>
      <c r="N1392" s="136"/>
      <c r="O1392" s="142"/>
      <c r="P1392" s="138"/>
      <c r="Q1392" s="138"/>
      <c r="R1392" s="138"/>
      <c r="S1392" s="139"/>
      <c r="T1392" s="140"/>
      <c r="U1392" s="136"/>
      <c r="V1392" s="136"/>
      <c r="W1392" s="136"/>
      <c r="X1392" s="136"/>
    </row>
    <row r="1393">
      <c r="E1393" s="136"/>
      <c r="F1393" s="136"/>
      <c r="G1393" s="136"/>
      <c r="H1393" s="137"/>
      <c r="I1393" s="136"/>
      <c r="J1393" s="136"/>
      <c r="K1393" s="136"/>
      <c r="L1393" s="136"/>
      <c r="M1393" s="136"/>
      <c r="N1393" s="136"/>
      <c r="O1393" s="142"/>
      <c r="P1393" s="138"/>
      <c r="Q1393" s="138"/>
      <c r="R1393" s="138"/>
      <c r="S1393" s="139"/>
      <c r="T1393" s="140"/>
      <c r="U1393" s="136"/>
      <c r="V1393" s="136"/>
      <c r="W1393" s="136"/>
      <c r="X1393" s="136"/>
    </row>
    <row r="1394">
      <c r="E1394" s="136"/>
      <c r="F1394" s="136"/>
      <c r="G1394" s="136"/>
      <c r="H1394" s="137"/>
      <c r="I1394" s="136"/>
      <c r="J1394" s="136"/>
      <c r="K1394" s="136"/>
      <c r="L1394" s="136"/>
      <c r="M1394" s="136"/>
      <c r="N1394" s="136"/>
      <c r="O1394" s="142"/>
      <c r="P1394" s="138"/>
      <c r="Q1394" s="138"/>
      <c r="R1394" s="138"/>
      <c r="S1394" s="139"/>
      <c r="T1394" s="140"/>
      <c r="U1394" s="136"/>
      <c r="V1394" s="136"/>
      <c r="W1394" s="136"/>
      <c r="X1394" s="136"/>
    </row>
    <row r="1395">
      <c r="E1395" s="136"/>
      <c r="F1395" s="136"/>
      <c r="G1395" s="136"/>
      <c r="H1395" s="137"/>
      <c r="I1395" s="136"/>
      <c r="J1395" s="136"/>
      <c r="K1395" s="136"/>
      <c r="L1395" s="136"/>
      <c r="M1395" s="136"/>
      <c r="N1395" s="136"/>
      <c r="O1395" s="142"/>
      <c r="P1395" s="138"/>
      <c r="Q1395" s="138"/>
      <c r="R1395" s="138"/>
      <c r="S1395" s="139"/>
      <c r="T1395" s="140"/>
      <c r="U1395" s="136"/>
      <c r="V1395" s="136"/>
      <c r="W1395" s="136"/>
      <c r="X1395" s="136"/>
    </row>
    <row r="1396">
      <c r="E1396" s="136"/>
      <c r="F1396" s="136"/>
      <c r="G1396" s="136"/>
      <c r="H1396" s="137"/>
      <c r="I1396" s="136"/>
      <c r="J1396" s="136"/>
      <c r="K1396" s="136"/>
      <c r="L1396" s="136"/>
      <c r="M1396" s="136"/>
      <c r="N1396" s="136"/>
      <c r="O1396" s="142"/>
      <c r="P1396" s="138"/>
      <c r="Q1396" s="138"/>
      <c r="R1396" s="138"/>
      <c r="S1396" s="139"/>
      <c r="T1396" s="140"/>
      <c r="U1396" s="136"/>
      <c r="V1396" s="136"/>
      <c r="W1396" s="136"/>
      <c r="X1396" s="136"/>
    </row>
    <row r="1397">
      <c r="E1397" s="136"/>
      <c r="F1397" s="136"/>
      <c r="G1397" s="136"/>
      <c r="H1397" s="137"/>
      <c r="I1397" s="136"/>
      <c r="J1397" s="136"/>
      <c r="K1397" s="136"/>
      <c r="L1397" s="136"/>
      <c r="M1397" s="136"/>
      <c r="N1397" s="136"/>
      <c r="O1397" s="142"/>
      <c r="P1397" s="138"/>
      <c r="Q1397" s="138"/>
      <c r="R1397" s="138"/>
      <c r="S1397" s="139"/>
      <c r="T1397" s="140"/>
      <c r="U1397" s="136"/>
      <c r="V1397" s="136"/>
      <c r="W1397" s="136"/>
      <c r="X1397" s="136"/>
    </row>
    <row r="1398">
      <c r="E1398" s="136"/>
      <c r="F1398" s="136"/>
      <c r="G1398" s="136"/>
      <c r="H1398" s="137"/>
      <c r="I1398" s="136"/>
      <c r="J1398" s="136"/>
      <c r="K1398" s="136"/>
      <c r="L1398" s="136"/>
      <c r="M1398" s="136"/>
      <c r="N1398" s="136"/>
      <c r="O1398" s="142"/>
      <c r="P1398" s="138"/>
      <c r="Q1398" s="138"/>
      <c r="R1398" s="138"/>
      <c r="S1398" s="139"/>
      <c r="T1398" s="140"/>
      <c r="U1398" s="136"/>
      <c r="V1398" s="136"/>
      <c r="W1398" s="136"/>
      <c r="X1398" s="136"/>
    </row>
    <row r="1399">
      <c r="E1399" s="136"/>
      <c r="F1399" s="136"/>
      <c r="G1399" s="136"/>
      <c r="H1399" s="137"/>
      <c r="I1399" s="136"/>
      <c r="J1399" s="136"/>
      <c r="K1399" s="136"/>
      <c r="L1399" s="136"/>
      <c r="M1399" s="136"/>
      <c r="N1399" s="136"/>
      <c r="O1399" s="142"/>
      <c r="P1399" s="138"/>
      <c r="Q1399" s="138"/>
      <c r="R1399" s="138"/>
      <c r="S1399" s="139"/>
      <c r="T1399" s="140"/>
      <c r="U1399" s="136"/>
      <c r="V1399" s="136"/>
      <c r="W1399" s="136"/>
      <c r="X1399" s="136"/>
    </row>
    <row r="1400">
      <c r="E1400" s="136"/>
      <c r="F1400" s="136"/>
      <c r="G1400" s="136"/>
      <c r="H1400" s="137"/>
      <c r="I1400" s="136"/>
      <c r="J1400" s="136"/>
      <c r="K1400" s="136"/>
      <c r="L1400" s="136"/>
      <c r="M1400" s="136"/>
      <c r="N1400" s="136"/>
      <c r="O1400" s="142"/>
      <c r="P1400" s="138"/>
      <c r="Q1400" s="138"/>
      <c r="R1400" s="138"/>
      <c r="S1400" s="139"/>
      <c r="T1400" s="140"/>
      <c r="U1400" s="136"/>
      <c r="V1400" s="136"/>
      <c r="W1400" s="136"/>
      <c r="X1400" s="136"/>
    </row>
    <row r="1401">
      <c r="E1401" s="136"/>
      <c r="F1401" s="136"/>
      <c r="G1401" s="136"/>
      <c r="H1401" s="137"/>
      <c r="I1401" s="136"/>
      <c r="J1401" s="136"/>
      <c r="K1401" s="136"/>
      <c r="L1401" s="136"/>
      <c r="M1401" s="136"/>
      <c r="N1401" s="136"/>
      <c r="O1401" s="142"/>
      <c r="P1401" s="138"/>
      <c r="Q1401" s="138"/>
      <c r="R1401" s="138"/>
      <c r="S1401" s="139"/>
      <c r="T1401" s="140"/>
      <c r="U1401" s="136"/>
      <c r="V1401" s="136"/>
      <c r="W1401" s="136"/>
      <c r="X1401" s="136"/>
    </row>
    <row r="1402">
      <c r="E1402" s="136"/>
      <c r="F1402" s="136"/>
      <c r="G1402" s="136"/>
      <c r="H1402" s="137"/>
      <c r="I1402" s="136"/>
      <c r="J1402" s="136"/>
      <c r="K1402" s="136"/>
      <c r="L1402" s="136"/>
      <c r="M1402" s="136"/>
      <c r="N1402" s="136"/>
      <c r="O1402" s="142"/>
      <c r="P1402" s="138"/>
      <c r="Q1402" s="138"/>
      <c r="R1402" s="138"/>
      <c r="S1402" s="139"/>
      <c r="T1402" s="140"/>
      <c r="U1402" s="136"/>
      <c r="V1402" s="136"/>
      <c r="W1402" s="136"/>
      <c r="X1402" s="136"/>
    </row>
    <row r="1403">
      <c r="E1403" s="136"/>
      <c r="F1403" s="136"/>
      <c r="G1403" s="136"/>
      <c r="H1403" s="137"/>
      <c r="I1403" s="136"/>
      <c r="J1403" s="136"/>
      <c r="K1403" s="136"/>
      <c r="L1403" s="136"/>
      <c r="M1403" s="136"/>
      <c r="N1403" s="136"/>
      <c r="O1403" s="142"/>
      <c r="P1403" s="138"/>
      <c r="Q1403" s="138"/>
      <c r="R1403" s="138"/>
      <c r="S1403" s="139"/>
      <c r="T1403" s="140"/>
      <c r="U1403" s="136"/>
      <c r="V1403" s="136"/>
      <c r="W1403" s="136"/>
      <c r="X1403" s="136"/>
    </row>
    <row r="1404">
      <c r="E1404" s="136"/>
      <c r="F1404" s="136"/>
      <c r="G1404" s="136"/>
      <c r="H1404" s="137"/>
      <c r="I1404" s="136"/>
      <c r="J1404" s="136"/>
      <c r="K1404" s="136"/>
      <c r="L1404" s="136"/>
      <c r="M1404" s="136"/>
      <c r="N1404" s="136"/>
      <c r="O1404" s="142"/>
      <c r="P1404" s="138"/>
      <c r="Q1404" s="138"/>
      <c r="R1404" s="138"/>
      <c r="S1404" s="139"/>
      <c r="T1404" s="140"/>
      <c r="U1404" s="136"/>
      <c r="V1404" s="136"/>
      <c r="W1404" s="136"/>
      <c r="X1404" s="136"/>
    </row>
    <row r="1405">
      <c r="E1405" s="136"/>
      <c r="F1405" s="136"/>
      <c r="G1405" s="136"/>
      <c r="H1405" s="137"/>
      <c r="I1405" s="136"/>
      <c r="J1405" s="136"/>
      <c r="K1405" s="136"/>
      <c r="L1405" s="136"/>
      <c r="M1405" s="136"/>
      <c r="N1405" s="136"/>
      <c r="O1405" s="142"/>
      <c r="P1405" s="138"/>
      <c r="Q1405" s="138"/>
      <c r="R1405" s="138"/>
      <c r="S1405" s="139"/>
      <c r="T1405" s="140"/>
      <c r="U1405" s="136"/>
      <c r="V1405" s="136"/>
      <c r="W1405" s="136"/>
      <c r="X1405" s="136"/>
    </row>
    <row r="1406">
      <c r="E1406" s="136"/>
      <c r="F1406" s="136"/>
      <c r="G1406" s="136"/>
      <c r="H1406" s="137"/>
      <c r="I1406" s="136"/>
      <c r="J1406" s="136"/>
      <c r="K1406" s="136"/>
      <c r="L1406" s="136"/>
      <c r="M1406" s="136"/>
      <c r="N1406" s="136"/>
      <c r="O1406" s="142"/>
      <c r="P1406" s="138"/>
      <c r="Q1406" s="138"/>
      <c r="R1406" s="138"/>
      <c r="S1406" s="139"/>
      <c r="T1406" s="140"/>
      <c r="U1406" s="136"/>
      <c r="V1406" s="136"/>
      <c r="W1406" s="136"/>
      <c r="X1406" s="136"/>
    </row>
    <row r="1407">
      <c r="E1407" s="136"/>
      <c r="F1407" s="136"/>
      <c r="G1407" s="136"/>
      <c r="H1407" s="137"/>
      <c r="I1407" s="136"/>
      <c r="J1407" s="136"/>
      <c r="K1407" s="136"/>
      <c r="L1407" s="136"/>
      <c r="M1407" s="136"/>
      <c r="N1407" s="136"/>
      <c r="O1407" s="142"/>
      <c r="P1407" s="138"/>
      <c r="Q1407" s="138"/>
      <c r="R1407" s="138"/>
      <c r="S1407" s="139"/>
      <c r="T1407" s="140"/>
      <c r="U1407" s="136"/>
      <c r="V1407" s="136"/>
      <c r="W1407" s="136"/>
      <c r="X1407" s="136"/>
    </row>
    <row r="1408">
      <c r="E1408" s="136"/>
      <c r="F1408" s="136"/>
      <c r="G1408" s="136"/>
      <c r="H1408" s="137"/>
      <c r="I1408" s="136"/>
      <c r="J1408" s="136"/>
      <c r="K1408" s="136"/>
      <c r="L1408" s="136"/>
      <c r="M1408" s="136"/>
      <c r="N1408" s="136"/>
      <c r="O1408" s="142"/>
      <c r="P1408" s="138"/>
      <c r="Q1408" s="138"/>
      <c r="R1408" s="138"/>
      <c r="S1408" s="139"/>
      <c r="T1408" s="140"/>
      <c r="U1408" s="136"/>
      <c r="V1408" s="136"/>
      <c r="W1408" s="136"/>
      <c r="X1408" s="136"/>
    </row>
    <row r="1409">
      <c r="E1409" s="136"/>
      <c r="F1409" s="136"/>
      <c r="G1409" s="136"/>
      <c r="H1409" s="137"/>
      <c r="I1409" s="136"/>
      <c r="J1409" s="136"/>
      <c r="K1409" s="136"/>
      <c r="L1409" s="136"/>
      <c r="M1409" s="136"/>
      <c r="N1409" s="136"/>
      <c r="O1409" s="142"/>
      <c r="P1409" s="138"/>
      <c r="Q1409" s="138"/>
      <c r="R1409" s="138"/>
      <c r="S1409" s="139"/>
      <c r="T1409" s="140"/>
      <c r="U1409" s="136"/>
      <c r="V1409" s="136"/>
      <c r="W1409" s="136"/>
      <c r="X1409" s="136"/>
    </row>
    <row r="1410">
      <c r="E1410" s="136"/>
      <c r="F1410" s="136"/>
      <c r="G1410" s="136"/>
      <c r="H1410" s="137"/>
      <c r="I1410" s="136"/>
      <c r="J1410" s="136"/>
      <c r="K1410" s="136"/>
      <c r="L1410" s="136"/>
      <c r="M1410" s="136"/>
      <c r="N1410" s="136"/>
      <c r="O1410" s="142"/>
      <c r="P1410" s="138"/>
      <c r="Q1410" s="138"/>
      <c r="R1410" s="138"/>
      <c r="S1410" s="139"/>
      <c r="T1410" s="140"/>
      <c r="U1410" s="136"/>
      <c r="V1410" s="136"/>
      <c r="W1410" s="136"/>
      <c r="X1410" s="136"/>
    </row>
    <row r="1411">
      <c r="E1411" s="136"/>
      <c r="F1411" s="136"/>
      <c r="G1411" s="136"/>
      <c r="H1411" s="137"/>
      <c r="I1411" s="136"/>
      <c r="J1411" s="136"/>
      <c r="K1411" s="136"/>
      <c r="L1411" s="136"/>
      <c r="M1411" s="136"/>
      <c r="N1411" s="136"/>
      <c r="O1411" s="142"/>
      <c r="P1411" s="138"/>
      <c r="Q1411" s="138"/>
      <c r="R1411" s="138"/>
      <c r="S1411" s="139"/>
      <c r="T1411" s="140"/>
      <c r="U1411" s="136"/>
      <c r="V1411" s="136"/>
      <c r="W1411" s="136"/>
      <c r="X1411" s="136"/>
    </row>
    <row r="1412">
      <c r="E1412" s="136"/>
      <c r="F1412" s="136"/>
      <c r="G1412" s="136"/>
      <c r="H1412" s="137"/>
      <c r="I1412" s="136"/>
      <c r="J1412" s="136"/>
      <c r="K1412" s="136"/>
      <c r="L1412" s="136"/>
      <c r="M1412" s="136"/>
      <c r="N1412" s="136"/>
      <c r="O1412" s="142"/>
      <c r="P1412" s="138"/>
      <c r="Q1412" s="138"/>
      <c r="R1412" s="138"/>
      <c r="S1412" s="139"/>
      <c r="T1412" s="140"/>
      <c r="U1412" s="136"/>
      <c r="V1412" s="136"/>
      <c r="W1412" s="136"/>
      <c r="X1412" s="136"/>
    </row>
    <row r="1413">
      <c r="E1413" s="136"/>
      <c r="F1413" s="136"/>
      <c r="G1413" s="136"/>
      <c r="H1413" s="137"/>
      <c r="I1413" s="136"/>
      <c r="J1413" s="136"/>
      <c r="K1413" s="136"/>
      <c r="L1413" s="136"/>
      <c r="M1413" s="136"/>
      <c r="N1413" s="136"/>
      <c r="O1413" s="142"/>
      <c r="P1413" s="138"/>
      <c r="Q1413" s="138"/>
      <c r="R1413" s="138"/>
      <c r="S1413" s="139"/>
      <c r="T1413" s="140"/>
      <c r="U1413" s="136"/>
      <c r="V1413" s="136"/>
      <c r="W1413" s="136"/>
      <c r="X1413" s="136"/>
    </row>
    <row r="1414">
      <c r="E1414" s="136"/>
      <c r="F1414" s="136"/>
      <c r="G1414" s="136"/>
      <c r="H1414" s="137"/>
      <c r="I1414" s="136"/>
      <c r="J1414" s="136"/>
      <c r="K1414" s="136"/>
      <c r="L1414" s="136"/>
      <c r="M1414" s="136"/>
      <c r="N1414" s="136"/>
      <c r="O1414" s="142"/>
      <c r="P1414" s="138"/>
      <c r="Q1414" s="138"/>
      <c r="R1414" s="138"/>
      <c r="S1414" s="139"/>
      <c r="T1414" s="140"/>
      <c r="U1414" s="136"/>
      <c r="V1414" s="136"/>
      <c r="W1414" s="136"/>
      <c r="X1414" s="136"/>
    </row>
    <row r="1415">
      <c r="E1415" s="136"/>
      <c r="F1415" s="136"/>
      <c r="G1415" s="136"/>
      <c r="H1415" s="137"/>
      <c r="I1415" s="136"/>
      <c r="J1415" s="136"/>
      <c r="K1415" s="136"/>
      <c r="L1415" s="136"/>
      <c r="M1415" s="136"/>
      <c r="N1415" s="136"/>
      <c r="O1415" s="142"/>
      <c r="P1415" s="138"/>
      <c r="Q1415" s="138"/>
      <c r="R1415" s="138"/>
      <c r="S1415" s="139"/>
      <c r="T1415" s="140"/>
      <c r="U1415" s="136"/>
      <c r="V1415" s="136"/>
      <c r="W1415" s="136"/>
      <c r="X1415" s="136"/>
    </row>
    <row r="1416">
      <c r="E1416" s="136"/>
      <c r="F1416" s="136"/>
      <c r="G1416" s="136"/>
      <c r="H1416" s="137"/>
      <c r="I1416" s="136"/>
      <c r="J1416" s="136"/>
      <c r="K1416" s="136"/>
      <c r="L1416" s="136"/>
      <c r="M1416" s="136"/>
      <c r="N1416" s="136"/>
      <c r="O1416" s="142"/>
      <c r="P1416" s="138"/>
      <c r="Q1416" s="138"/>
      <c r="R1416" s="138"/>
      <c r="S1416" s="139"/>
      <c r="T1416" s="140"/>
      <c r="U1416" s="136"/>
      <c r="V1416" s="136"/>
      <c r="W1416" s="136"/>
      <c r="X1416" s="136"/>
    </row>
    <row r="1417">
      <c r="E1417" s="136"/>
      <c r="F1417" s="136"/>
      <c r="G1417" s="136"/>
      <c r="H1417" s="137"/>
      <c r="I1417" s="136"/>
      <c r="J1417" s="136"/>
      <c r="K1417" s="136"/>
      <c r="L1417" s="136"/>
      <c r="M1417" s="136"/>
      <c r="N1417" s="136"/>
      <c r="O1417" s="142"/>
      <c r="P1417" s="138"/>
      <c r="Q1417" s="138"/>
      <c r="R1417" s="138"/>
      <c r="S1417" s="139"/>
      <c r="T1417" s="140"/>
      <c r="U1417" s="136"/>
      <c r="V1417" s="136"/>
      <c r="W1417" s="136"/>
      <c r="X1417" s="136"/>
    </row>
    <row r="1418">
      <c r="E1418" s="136"/>
      <c r="F1418" s="136"/>
      <c r="G1418" s="136"/>
      <c r="H1418" s="137"/>
      <c r="I1418" s="136"/>
      <c r="J1418" s="136"/>
      <c r="K1418" s="136"/>
      <c r="L1418" s="136"/>
      <c r="M1418" s="136"/>
      <c r="N1418" s="136"/>
      <c r="O1418" s="142"/>
      <c r="P1418" s="138"/>
      <c r="Q1418" s="138"/>
      <c r="R1418" s="138"/>
      <c r="S1418" s="139"/>
      <c r="T1418" s="140"/>
      <c r="U1418" s="136"/>
      <c r="V1418" s="136"/>
      <c r="W1418" s="136"/>
      <c r="X1418" s="136"/>
    </row>
    <row r="1419">
      <c r="E1419" s="136"/>
      <c r="F1419" s="136"/>
      <c r="G1419" s="136"/>
      <c r="H1419" s="137"/>
      <c r="I1419" s="136"/>
      <c r="J1419" s="136"/>
      <c r="K1419" s="136"/>
      <c r="L1419" s="136"/>
      <c r="M1419" s="136"/>
      <c r="N1419" s="136"/>
      <c r="O1419" s="142"/>
      <c r="P1419" s="138"/>
      <c r="Q1419" s="138"/>
      <c r="R1419" s="138"/>
      <c r="S1419" s="139"/>
      <c r="T1419" s="140"/>
      <c r="U1419" s="136"/>
      <c r="V1419" s="136"/>
      <c r="W1419" s="136"/>
      <c r="X1419" s="136"/>
    </row>
    <row r="1420">
      <c r="E1420" s="136"/>
      <c r="F1420" s="136"/>
      <c r="G1420" s="136"/>
      <c r="H1420" s="137"/>
      <c r="I1420" s="136"/>
      <c r="J1420" s="136"/>
      <c r="K1420" s="136"/>
      <c r="L1420" s="136"/>
      <c r="M1420" s="136"/>
      <c r="N1420" s="136"/>
      <c r="O1420" s="142"/>
      <c r="P1420" s="138"/>
      <c r="Q1420" s="138"/>
      <c r="R1420" s="138"/>
      <c r="S1420" s="139"/>
      <c r="T1420" s="140"/>
      <c r="U1420" s="136"/>
      <c r="V1420" s="136"/>
      <c r="W1420" s="136"/>
      <c r="X1420" s="136"/>
    </row>
    <row r="1421">
      <c r="E1421" s="136"/>
      <c r="F1421" s="136"/>
      <c r="G1421" s="136"/>
      <c r="H1421" s="137"/>
      <c r="I1421" s="136"/>
      <c r="J1421" s="136"/>
      <c r="K1421" s="136"/>
      <c r="L1421" s="136"/>
      <c r="M1421" s="136"/>
      <c r="N1421" s="136"/>
      <c r="O1421" s="142"/>
      <c r="P1421" s="138"/>
      <c r="Q1421" s="138"/>
      <c r="R1421" s="138"/>
      <c r="S1421" s="139"/>
      <c r="T1421" s="140"/>
      <c r="U1421" s="136"/>
      <c r="V1421" s="136"/>
      <c r="W1421" s="136"/>
      <c r="X1421" s="136"/>
    </row>
    <row r="1422">
      <c r="E1422" s="136"/>
      <c r="F1422" s="136"/>
      <c r="G1422" s="136"/>
      <c r="H1422" s="137"/>
      <c r="I1422" s="136"/>
      <c r="J1422" s="136"/>
      <c r="K1422" s="136"/>
      <c r="L1422" s="136"/>
      <c r="M1422" s="136"/>
      <c r="N1422" s="136"/>
      <c r="O1422" s="142"/>
      <c r="P1422" s="138"/>
      <c r="Q1422" s="138"/>
      <c r="R1422" s="138"/>
      <c r="S1422" s="139"/>
      <c r="T1422" s="140"/>
      <c r="U1422" s="136"/>
      <c r="V1422" s="136"/>
      <c r="W1422" s="136"/>
      <c r="X1422" s="136"/>
    </row>
    <row r="1423">
      <c r="E1423" s="136"/>
      <c r="F1423" s="136"/>
      <c r="G1423" s="136"/>
      <c r="H1423" s="137"/>
      <c r="I1423" s="136"/>
      <c r="J1423" s="136"/>
      <c r="K1423" s="136"/>
      <c r="L1423" s="136"/>
      <c r="M1423" s="136"/>
      <c r="N1423" s="136"/>
      <c r="O1423" s="142"/>
      <c r="P1423" s="138"/>
      <c r="Q1423" s="138"/>
      <c r="R1423" s="138"/>
      <c r="S1423" s="139"/>
      <c r="T1423" s="140"/>
      <c r="U1423" s="136"/>
      <c r="V1423" s="136"/>
      <c r="W1423" s="136"/>
      <c r="X1423" s="136"/>
    </row>
    <row r="1424">
      <c r="E1424" s="136"/>
      <c r="F1424" s="136"/>
      <c r="G1424" s="136"/>
      <c r="H1424" s="137"/>
      <c r="I1424" s="136"/>
      <c r="J1424" s="136"/>
      <c r="K1424" s="136"/>
      <c r="L1424" s="136"/>
      <c r="M1424" s="136"/>
      <c r="N1424" s="136"/>
      <c r="O1424" s="142"/>
      <c r="P1424" s="138"/>
      <c r="Q1424" s="138"/>
      <c r="R1424" s="138"/>
      <c r="S1424" s="139"/>
      <c r="T1424" s="140"/>
      <c r="U1424" s="136"/>
      <c r="V1424" s="136"/>
      <c r="W1424" s="136"/>
      <c r="X1424" s="136"/>
    </row>
    <row r="1425">
      <c r="E1425" s="136"/>
      <c r="F1425" s="136"/>
      <c r="G1425" s="136"/>
      <c r="H1425" s="137"/>
      <c r="I1425" s="136"/>
      <c r="J1425" s="136"/>
      <c r="K1425" s="136"/>
      <c r="L1425" s="136"/>
      <c r="M1425" s="136"/>
      <c r="N1425" s="136"/>
      <c r="O1425" s="142"/>
      <c r="P1425" s="138"/>
      <c r="Q1425" s="138"/>
      <c r="R1425" s="138"/>
      <c r="S1425" s="139"/>
      <c r="T1425" s="140"/>
      <c r="U1425" s="136"/>
      <c r="V1425" s="136"/>
      <c r="W1425" s="136"/>
      <c r="X1425" s="136"/>
    </row>
    <row r="1426">
      <c r="E1426" s="136"/>
      <c r="F1426" s="136"/>
      <c r="G1426" s="136"/>
      <c r="H1426" s="137"/>
      <c r="I1426" s="136"/>
      <c r="J1426" s="136"/>
      <c r="K1426" s="136"/>
      <c r="L1426" s="136"/>
      <c r="M1426" s="136"/>
      <c r="N1426" s="136"/>
      <c r="O1426" s="142"/>
      <c r="P1426" s="138"/>
      <c r="Q1426" s="138"/>
      <c r="R1426" s="138"/>
      <c r="S1426" s="139"/>
      <c r="T1426" s="140"/>
      <c r="U1426" s="136"/>
      <c r="V1426" s="136"/>
      <c r="W1426" s="136"/>
      <c r="X1426" s="136"/>
    </row>
    <row r="1427">
      <c r="E1427" s="136"/>
      <c r="F1427" s="136"/>
      <c r="G1427" s="136"/>
      <c r="H1427" s="137"/>
      <c r="I1427" s="136"/>
      <c r="J1427" s="136"/>
      <c r="K1427" s="136"/>
      <c r="L1427" s="136"/>
      <c r="M1427" s="136"/>
      <c r="N1427" s="136"/>
      <c r="O1427" s="142"/>
      <c r="P1427" s="138"/>
      <c r="Q1427" s="138"/>
      <c r="R1427" s="138"/>
      <c r="S1427" s="139"/>
      <c r="T1427" s="140"/>
      <c r="U1427" s="136"/>
      <c r="V1427" s="136"/>
      <c r="W1427" s="136"/>
      <c r="X1427" s="136"/>
    </row>
    <row r="1428">
      <c r="E1428" s="136"/>
      <c r="F1428" s="136"/>
      <c r="G1428" s="136"/>
      <c r="H1428" s="137"/>
      <c r="I1428" s="136"/>
      <c r="J1428" s="136"/>
      <c r="K1428" s="136"/>
      <c r="L1428" s="136"/>
      <c r="M1428" s="136"/>
      <c r="N1428" s="136"/>
      <c r="O1428" s="142"/>
      <c r="P1428" s="138"/>
      <c r="Q1428" s="138"/>
      <c r="R1428" s="138"/>
      <c r="S1428" s="139"/>
      <c r="T1428" s="140"/>
      <c r="U1428" s="136"/>
      <c r="V1428" s="136"/>
      <c r="W1428" s="136"/>
      <c r="X1428" s="136"/>
    </row>
    <row r="1429">
      <c r="E1429" s="136"/>
      <c r="F1429" s="136"/>
      <c r="G1429" s="136"/>
      <c r="H1429" s="137"/>
      <c r="I1429" s="136"/>
      <c r="J1429" s="136"/>
      <c r="K1429" s="136"/>
      <c r="L1429" s="136"/>
      <c r="M1429" s="136"/>
      <c r="N1429" s="136"/>
      <c r="O1429" s="142"/>
      <c r="P1429" s="138"/>
      <c r="Q1429" s="138"/>
      <c r="R1429" s="138"/>
      <c r="S1429" s="139"/>
      <c r="T1429" s="140"/>
      <c r="U1429" s="136"/>
      <c r="V1429" s="136"/>
      <c r="W1429" s="136"/>
      <c r="X1429" s="136"/>
    </row>
    <row r="1430">
      <c r="E1430" s="136"/>
      <c r="F1430" s="136"/>
      <c r="G1430" s="136"/>
      <c r="H1430" s="137"/>
      <c r="I1430" s="136"/>
      <c r="J1430" s="136"/>
      <c r="K1430" s="136"/>
      <c r="L1430" s="136"/>
      <c r="M1430" s="136"/>
      <c r="N1430" s="136"/>
      <c r="O1430" s="142"/>
      <c r="P1430" s="138"/>
      <c r="Q1430" s="138"/>
      <c r="R1430" s="138"/>
      <c r="S1430" s="139"/>
      <c r="T1430" s="140"/>
      <c r="U1430" s="136"/>
      <c r="V1430" s="136"/>
      <c r="W1430" s="136"/>
      <c r="X1430" s="136"/>
    </row>
    <row r="1431">
      <c r="E1431" s="136"/>
      <c r="F1431" s="136"/>
      <c r="G1431" s="136"/>
      <c r="H1431" s="137"/>
      <c r="I1431" s="136"/>
      <c r="J1431" s="136"/>
      <c r="K1431" s="136"/>
      <c r="L1431" s="136"/>
      <c r="M1431" s="136"/>
      <c r="N1431" s="136"/>
      <c r="O1431" s="142"/>
      <c r="P1431" s="138"/>
      <c r="Q1431" s="138"/>
      <c r="R1431" s="138"/>
      <c r="S1431" s="139"/>
      <c r="T1431" s="140"/>
      <c r="U1431" s="136"/>
      <c r="V1431" s="136"/>
      <c r="W1431" s="136"/>
      <c r="X1431" s="136"/>
    </row>
    <row r="1432">
      <c r="E1432" s="136"/>
      <c r="F1432" s="136"/>
      <c r="G1432" s="136"/>
      <c r="H1432" s="137"/>
      <c r="I1432" s="136"/>
      <c r="J1432" s="136"/>
      <c r="K1432" s="136"/>
      <c r="L1432" s="136"/>
      <c r="M1432" s="136"/>
      <c r="N1432" s="136"/>
      <c r="O1432" s="142"/>
      <c r="P1432" s="138"/>
      <c r="Q1432" s="138"/>
      <c r="R1432" s="138"/>
      <c r="S1432" s="139"/>
      <c r="T1432" s="140"/>
      <c r="U1432" s="136"/>
      <c r="V1432" s="136"/>
      <c r="W1432" s="136"/>
      <c r="X1432" s="136"/>
    </row>
    <row r="1433">
      <c r="E1433" s="136"/>
      <c r="F1433" s="136"/>
      <c r="G1433" s="136"/>
      <c r="H1433" s="137"/>
      <c r="I1433" s="136"/>
      <c r="J1433" s="136"/>
      <c r="K1433" s="136"/>
      <c r="L1433" s="136"/>
      <c r="M1433" s="136"/>
      <c r="N1433" s="136"/>
      <c r="O1433" s="142"/>
      <c r="P1433" s="138"/>
      <c r="Q1433" s="138"/>
      <c r="R1433" s="138"/>
      <c r="S1433" s="139"/>
      <c r="T1433" s="140"/>
      <c r="U1433" s="136"/>
      <c r="V1433" s="136"/>
      <c r="W1433" s="136"/>
      <c r="X1433" s="136"/>
    </row>
    <row r="1434">
      <c r="E1434" s="136"/>
      <c r="F1434" s="136"/>
      <c r="G1434" s="136"/>
      <c r="H1434" s="137"/>
      <c r="I1434" s="136"/>
      <c r="J1434" s="136"/>
      <c r="K1434" s="136"/>
      <c r="L1434" s="136"/>
      <c r="M1434" s="136"/>
      <c r="N1434" s="136"/>
      <c r="O1434" s="142"/>
      <c r="P1434" s="138"/>
      <c r="Q1434" s="138"/>
      <c r="R1434" s="138"/>
      <c r="S1434" s="139"/>
      <c r="T1434" s="140"/>
      <c r="U1434" s="136"/>
      <c r="V1434" s="136"/>
      <c r="W1434" s="136"/>
      <c r="X1434" s="136"/>
    </row>
    <row r="1435">
      <c r="E1435" s="136"/>
      <c r="F1435" s="136"/>
      <c r="G1435" s="136"/>
      <c r="H1435" s="137"/>
      <c r="I1435" s="136"/>
      <c r="J1435" s="136"/>
      <c r="K1435" s="136"/>
      <c r="L1435" s="136"/>
      <c r="M1435" s="136"/>
      <c r="N1435" s="136"/>
      <c r="O1435" s="142"/>
      <c r="P1435" s="138"/>
      <c r="Q1435" s="138"/>
      <c r="R1435" s="138"/>
      <c r="S1435" s="139"/>
      <c r="T1435" s="140"/>
      <c r="U1435" s="136"/>
      <c r="V1435" s="136"/>
      <c r="W1435" s="136"/>
      <c r="X1435" s="136"/>
    </row>
    <row r="1436">
      <c r="E1436" s="136"/>
      <c r="F1436" s="136"/>
      <c r="G1436" s="136"/>
      <c r="H1436" s="137"/>
      <c r="I1436" s="136"/>
      <c r="J1436" s="136"/>
      <c r="K1436" s="136"/>
      <c r="L1436" s="136"/>
      <c r="M1436" s="136"/>
      <c r="N1436" s="136"/>
      <c r="O1436" s="142"/>
      <c r="P1436" s="138"/>
      <c r="Q1436" s="138"/>
      <c r="R1436" s="138"/>
      <c r="S1436" s="139"/>
      <c r="T1436" s="140"/>
      <c r="U1436" s="136"/>
      <c r="V1436" s="136"/>
      <c r="W1436" s="136"/>
      <c r="X1436" s="136"/>
    </row>
    <row r="1437">
      <c r="E1437" s="136"/>
      <c r="F1437" s="136"/>
      <c r="G1437" s="136"/>
      <c r="H1437" s="137"/>
      <c r="I1437" s="136"/>
      <c r="J1437" s="136"/>
      <c r="K1437" s="136"/>
      <c r="L1437" s="136"/>
      <c r="M1437" s="136"/>
      <c r="N1437" s="136"/>
      <c r="O1437" s="142"/>
      <c r="P1437" s="138"/>
      <c r="Q1437" s="138"/>
      <c r="R1437" s="138"/>
      <c r="S1437" s="139"/>
      <c r="T1437" s="140"/>
      <c r="U1437" s="136"/>
      <c r="V1437" s="136"/>
      <c r="W1437" s="136"/>
      <c r="X1437" s="136"/>
    </row>
    <row r="1438">
      <c r="E1438" s="136"/>
      <c r="F1438" s="136"/>
      <c r="G1438" s="136"/>
      <c r="H1438" s="137"/>
      <c r="I1438" s="136"/>
      <c r="J1438" s="136"/>
      <c r="K1438" s="136"/>
      <c r="L1438" s="136"/>
      <c r="M1438" s="136"/>
      <c r="N1438" s="136"/>
      <c r="O1438" s="142"/>
      <c r="P1438" s="138"/>
      <c r="Q1438" s="138"/>
      <c r="R1438" s="138"/>
      <c r="S1438" s="139"/>
      <c r="T1438" s="140"/>
      <c r="U1438" s="136"/>
      <c r="V1438" s="136"/>
      <c r="W1438" s="136"/>
      <c r="X1438" s="136"/>
    </row>
    <row r="1439">
      <c r="E1439" s="136"/>
      <c r="F1439" s="136"/>
      <c r="G1439" s="136"/>
      <c r="H1439" s="137"/>
      <c r="I1439" s="136"/>
      <c r="J1439" s="136"/>
      <c r="K1439" s="136"/>
      <c r="L1439" s="136"/>
      <c r="M1439" s="136"/>
      <c r="N1439" s="136"/>
      <c r="O1439" s="142"/>
      <c r="P1439" s="138"/>
      <c r="Q1439" s="138"/>
      <c r="R1439" s="138"/>
      <c r="S1439" s="139"/>
      <c r="T1439" s="140"/>
      <c r="U1439" s="136"/>
      <c r="V1439" s="136"/>
      <c r="W1439" s="136"/>
      <c r="X1439" s="136"/>
    </row>
    <row r="1440">
      <c r="E1440" s="136"/>
      <c r="F1440" s="136"/>
      <c r="G1440" s="136"/>
      <c r="H1440" s="137"/>
      <c r="I1440" s="136"/>
      <c r="J1440" s="136"/>
      <c r="K1440" s="136"/>
      <c r="L1440" s="136"/>
      <c r="M1440" s="136"/>
      <c r="N1440" s="136"/>
      <c r="O1440" s="142"/>
      <c r="P1440" s="138"/>
      <c r="Q1440" s="138"/>
      <c r="R1440" s="138"/>
      <c r="S1440" s="139"/>
      <c r="T1440" s="140"/>
      <c r="U1440" s="136"/>
      <c r="V1440" s="136"/>
      <c r="W1440" s="136"/>
      <c r="X1440" s="136"/>
    </row>
    <row r="1441">
      <c r="E1441" s="136"/>
      <c r="F1441" s="136"/>
      <c r="G1441" s="136"/>
      <c r="H1441" s="137"/>
      <c r="I1441" s="136"/>
      <c r="J1441" s="136"/>
      <c r="K1441" s="136"/>
      <c r="L1441" s="136"/>
      <c r="M1441" s="136"/>
      <c r="N1441" s="136"/>
      <c r="O1441" s="142"/>
      <c r="P1441" s="138"/>
      <c r="Q1441" s="138"/>
      <c r="R1441" s="138"/>
      <c r="S1441" s="139"/>
      <c r="T1441" s="140"/>
      <c r="U1441" s="136"/>
      <c r="V1441" s="136"/>
      <c r="W1441" s="136"/>
      <c r="X1441" s="136"/>
    </row>
    <row r="1442">
      <c r="E1442" s="136"/>
      <c r="F1442" s="136"/>
      <c r="G1442" s="136"/>
      <c r="H1442" s="137"/>
      <c r="I1442" s="136"/>
      <c r="J1442" s="136"/>
      <c r="K1442" s="136"/>
      <c r="L1442" s="136"/>
      <c r="M1442" s="136"/>
      <c r="N1442" s="136"/>
      <c r="O1442" s="142"/>
      <c r="P1442" s="138"/>
      <c r="Q1442" s="138"/>
      <c r="R1442" s="138"/>
      <c r="S1442" s="139"/>
      <c r="T1442" s="140"/>
      <c r="U1442" s="136"/>
      <c r="V1442" s="136"/>
      <c r="W1442" s="136"/>
      <c r="X1442" s="136"/>
    </row>
    <row r="1443">
      <c r="E1443" s="136"/>
      <c r="F1443" s="136"/>
      <c r="G1443" s="136"/>
      <c r="H1443" s="137"/>
      <c r="I1443" s="136"/>
      <c r="J1443" s="136"/>
      <c r="K1443" s="136"/>
      <c r="L1443" s="136"/>
      <c r="M1443" s="136"/>
      <c r="N1443" s="136"/>
      <c r="O1443" s="142"/>
      <c r="P1443" s="138"/>
      <c r="Q1443" s="138"/>
      <c r="R1443" s="138"/>
      <c r="S1443" s="139"/>
      <c r="T1443" s="140"/>
      <c r="U1443" s="136"/>
      <c r="V1443" s="136"/>
      <c r="W1443" s="136"/>
      <c r="X1443" s="136"/>
    </row>
    <row r="1444">
      <c r="E1444" s="136"/>
      <c r="F1444" s="136"/>
      <c r="G1444" s="136"/>
      <c r="H1444" s="137"/>
      <c r="I1444" s="136"/>
      <c r="J1444" s="136"/>
      <c r="K1444" s="136"/>
      <c r="L1444" s="136"/>
      <c r="M1444" s="136"/>
      <c r="N1444" s="136"/>
      <c r="O1444" s="142"/>
      <c r="P1444" s="138"/>
      <c r="Q1444" s="138"/>
      <c r="R1444" s="138"/>
      <c r="S1444" s="139"/>
      <c r="T1444" s="140"/>
      <c r="U1444" s="136"/>
      <c r="V1444" s="136"/>
      <c r="W1444" s="136"/>
      <c r="X1444" s="136"/>
    </row>
    <row r="1445">
      <c r="E1445" s="136"/>
      <c r="F1445" s="136"/>
      <c r="G1445" s="136"/>
      <c r="H1445" s="137"/>
      <c r="I1445" s="136"/>
      <c r="J1445" s="136"/>
      <c r="K1445" s="136"/>
      <c r="L1445" s="136"/>
      <c r="M1445" s="136"/>
      <c r="N1445" s="136"/>
      <c r="O1445" s="142"/>
      <c r="P1445" s="138"/>
      <c r="Q1445" s="138"/>
      <c r="R1445" s="138"/>
      <c r="S1445" s="139"/>
      <c r="T1445" s="140"/>
      <c r="U1445" s="136"/>
      <c r="V1445" s="136"/>
      <c r="W1445" s="136"/>
      <c r="X1445" s="136"/>
    </row>
    <row r="1446">
      <c r="E1446" s="136"/>
      <c r="F1446" s="136"/>
      <c r="G1446" s="136"/>
      <c r="H1446" s="137"/>
      <c r="I1446" s="136"/>
      <c r="J1446" s="136"/>
      <c r="K1446" s="136"/>
      <c r="L1446" s="136"/>
      <c r="M1446" s="136"/>
      <c r="N1446" s="136"/>
      <c r="O1446" s="142"/>
      <c r="P1446" s="138"/>
      <c r="Q1446" s="138"/>
      <c r="R1446" s="138"/>
      <c r="S1446" s="139"/>
      <c r="T1446" s="140"/>
      <c r="U1446" s="136"/>
      <c r="V1446" s="136"/>
      <c r="W1446" s="136"/>
      <c r="X1446" s="136"/>
    </row>
    <row r="1447">
      <c r="E1447" s="136"/>
      <c r="F1447" s="136"/>
      <c r="G1447" s="136"/>
      <c r="H1447" s="137"/>
      <c r="I1447" s="136"/>
      <c r="J1447" s="136"/>
      <c r="K1447" s="136"/>
      <c r="L1447" s="136"/>
      <c r="M1447" s="136"/>
      <c r="N1447" s="136"/>
      <c r="O1447" s="142"/>
      <c r="P1447" s="138"/>
      <c r="Q1447" s="138"/>
      <c r="R1447" s="138"/>
      <c r="S1447" s="139"/>
      <c r="T1447" s="140"/>
      <c r="U1447" s="136"/>
      <c r="V1447" s="136"/>
      <c r="W1447" s="136"/>
      <c r="X1447" s="136"/>
    </row>
    <row r="1448">
      <c r="E1448" s="136"/>
      <c r="F1448" s="136"/>
      <c r="G1448" s="136"/>
      <c r="H1448" s="137"/>
      <c r="I1448" s="136"/>
      <c r="J1448" s="136"/>
      <c r="K1448" s="136"/>
      <c r="L1448" s="136"/>
      <c r="M1448" s="136"/>
      <c r="N1448" s="136"/>
      <c r="O1448" s="142"/>
      <c r="P1448" s="138"/>
      <c r="Q1448" s="138"/>
      <c r="R1448" s="138"/>
      <c r="S1448" s="139"/>
      <c r="T1448" s="140"/>
      <c r="U1448" s="136"/>
      <c r="V1448" s="136"/>
      <c r="W1448" s="136"/>
      <c r="X1448" s="136"/>
    </row>
    <row r="1449">
      <c r="E1449" s="136"/>
      <c r="F1449" s="136"/>
      <c r="G1449" s="136"/>
      <c r="H1449" s="137"/>
      <c r="I1449" s="136"/>
      <c r="J1449" s="136"/>
      <c r="K1449" s="136"/>
      <c r="L1449" s="136"/>
      <c r="M1449" s="136"/>
      <c r="N1449" s="136"/>
      <c r="O1449" s="142"/>
      <c r="P1449" s="138"/>
      <c r="Q1449" s="138"/>
      <c r="R1449" s="138"/>
      <c r="S1449" s="139"/>
      <c r="T1449" s="140"/>
      <c r="U1449" s="136"/>
      <c r="V1449" s="136"/>
      <c r="W1449" s="136"/>
      <c r="X1449" s="136"/>
    </row>
    <row r="1450">
      <c r="E1450" s="136"/>
      <c r="F1450" s="136"/>
      <c r="G1450" s="136"/>
      <c r="H1450" s="137"/>
      <c r="I1450" s="136"/>
      <c r="J1450" s="136"/>
      <c r="K1450" s="136"/>
      <c r="L1450" s="136"/>
      <c r="M1450" s="136"/>
      <c r="N1450" s="136"/>
      <c r="O1450" s="142"/>
      <c r="P1450" s="138"/>
      <c r="Q1450" s="138"/>
      <c r="R1450" s="138"/>
      <c r="S1450" s="139"/>
      <c r="T1450" s="140"/>
      <c r="U1450" s="136"/>
      <c r="V1450" s="136"/>
      <c r="W1450" s="136"/>
      <c r="X1450" s="136"/>
    </row>
    <row r="1451">
      <c r="E1451" s="136"/>
      <c r="F1451" s="136"/>
      <c r="G1451" s="136"/>
      <c r="H1451" s="137"/>
      <c r="I1451" s="136"/>
      <c r="J1451" s="136"/>
      <c r="K1451" s="136"/>
      <c r="L1451" s="136"/>
      <c r="M1451" s="136"/>
      <c r="N1451" s="136"/>
      <c r="O1451" s="142"/>
      <c r="P1451" s="138"/>
      <c r="Q1451" s="138"/>
      <c r="R1451" s="138"/>
      <c r="S1451" s="139"/>
      <c r="T1451" s="140"/>
      <c r="U1451" s="136"/>
      <c r="V1451" s="136"/>
      <c r="W1451" s="136"/>
      <c r="X1451" s="136"/>
    </row>
    <row r="1452">
      <c r="E1452" s="136"/>
      <c r="F1452" s="136"/>
      <c r="G1452" s="136"/>
      <c r="H1452" s="137"/>
      <c r="I1452" s="136"/>
      <c r="J1452" s="136"/>
      <c r="K1452" s="136"/>
      <c r="L1452" s="136"/>
      <c r="M1452" s="136"/>
      <c r="N1452" s="136"/>
      <c r="O1452" s="142"/>
      <c r="P1452" s="138"/>
      <c r="Q1452" s="138"/>
      <c r="R1452" s="138"/>
      <c r="S1452" s="139"/>
      <c r="T1452" s="140"/>
      <c r="U1452" s="136"/>
      <c r="V1452" s="136"/>
      <c r="W1452" s="136"/>
      <c r="X1452" s="136"/>
    </row>
    <row r="1453">
      <c r="E1453" s="136"/>
      <c r="F1453" s="136"/>
      <c r="G1453" s="136"/>
      <c r="H1453" s="137"/>
      <c r="I1453" s="136"/>
      <c r="J1453" s="136"/>
      <c r="K1453" s="136"/>
      <c r="L1453" s="136"/>
      <c r="M1453" s="136"/>
      <c r="N1453" s="136"/>
      <c r="O1453" s="142"/>
      <c r="P1453" s="138"/>
      <c r="Q1453" s="138"/>
      <c r="R1453" s="138"/>
      <c r="S1453" s="139"/>
      <c r="T1453" s="140"/>
      <c r="U1453" s="136"/>
      <c r="V1453" s="136"/>
      <c r="W1453" s="136"/>
      <c r="X1453" s="136"/>
    </row>
    <row r="1454">
      <c r="E1454" s="136"/>
      <c r="F1454" s="136"/>
      <c r="G1454" s="136"/>
      <c r="H1454" s="137"/>
      <c r="I1454" s="136"/>
      <c r="J1454" s="136"/>
      <c r="K1454" s="136"/>
      <c r="L1454" s="136"/>
      <c r="M1454" s="136"/>
      <c r="N1454" s="136"/>
      <c r="O1454" s="142"/>
      <c r="P1454" s="138"/>
      <c r="Q1454" s="138"/>
      <c r="R1454" s="138"/>
      <c r="S1454" s="139"/>
      <c r="T1454" s="140"/>
      <c r="U1454" s="136"/>
      <c r="V1454" s="136"/>
      <c r="W1454" s="136"/>
      <c r="X1454" s="136"/>
    </row>
    <row r="1455">
      <c r="E1455" s="136"/>
      <c r="F1455" s="136"/>
      <c r="G1455" s="136"/>
      <c r="H1455" s="137"/>
      <c r="I1455" s="136"/>
      <c r="J1455" s="136"/>
      <c r="K1455" s="136"/>
      <c r="L1455" s="136"/>
      <c r="M1455" s="136"/>
      <c r="N1455" s="136"/>
      <c r="O1455" s="142"/>
      <c r="P1455" s="138"/>
      <c r="Q1455" s="138"/>
      <c r="R1455" s="138"/>
      <c r="S1455" s="139"/>
      <c r="T1455" s="140"/>
      <c r="U1455" s="136"/>
      <c r="V1455" s="136"/>
      <c r="W1455" s="136"/>
      <c r="X1455" s="136"/>
    </row>
    <row r="1456">
      <c r="E1456" s="136"/>
      <c r="F1456" s="136"/>
      <c r="G1456" s="136"/>
      <c r="H1456" s="137"/>
      <c r="I1456" s="136"/>
      <c r="J1456" s="136"/>
      <c r="K1456" s="136"/>
      <c r="L1456" s="136"/>
      <c r="M1456" s="136"/>
      <c r="N1456" s="136"/>
      <c r="O1456" s="142"/>
      <c r="P1456" s="138"/>
      <c r="Q1456" s="138"/>
      <c r="R1456" s="138"/>
      <c r="S1456" s="139"/>
      <c r="T1456" s="140"/>
      <c r="U1456" s="136"/>
      <c r="V1456" s="136"/>
      <c r="W1456" s="136"/>
      <c r="X1456" s="136"/>
    </row>
    <row r="1457">
      <c r="E1457" s="136"/>
      <c r="F1457" s="136"/>
      <c r="G1457" s="136"/>
      <c r="H1457" s="137"/>
      <c r="I1457" s="136"/>
      <c r="J1457" s="136"/>
      <c r="K1457" s="136"/>
      <c r="L1457" s="136"/>
      <c r="M1457" s="136"/>
      <c r="N1457" s="136"/>
      <c r="O1457" s="142"/>
      <c r="P1457" s="138"/>
      <c r="Q1457" s="138"/>
      <c r="R1457" s="138"/>
      <c r="S1457" s="139"/>
      <c r="T1457" s="140"/>
      <c r="U1457" s="136"/>
      <c r="V1457" s="136"/>
      <c r="W1457" s="136"/>
      <c r="X1457" s="136"/>
    </row>
    <row r="1458">
      <c r="E1458" s="136"/>
      <c r="F1458" s="136"/>
      <c r="G1458" s="136"/>
      <c r="H1458" s="137"/>
      <c r="I1458" s="136"/>
      <c r="J1458" s="136"/>
      <c r="K1458" s="136"/>
      <c r="L1458" s="136"/>
      <c r="M1458" s="136"/>
      <c r="N1458" s="136"/>
      <c r="O1458" s="142"/>
      <c r="P1458" s="138"/>
      <c r="Q1458" s="138"/>
      <c r="R1458" s="138"/>
      <c r="S1458" s="139"/>
      <c r="T1458" s="140"/>
      <c r="U1458" s="136"/>
      <c r="V1458" s="136"/>
      <c r="W1458" s="136"/>
      <c r="X1458" s="136"/>
    </row>
    <row r="1459">
      <c r="E1459" s="136"/>
      <c r="F1459" s="136"/>
      <c r="G1459" s="136"/>
      <c r="H1459" s="137"/>
      <c r="I1459" s="136"/>
      <c r="J1459" s="136"/>
      <c r="K1459" s="136"/>
      <c r="L1459" s="136"/>
      <c r="M1459" s="136"/>
      <c r="N1459" s="136"/>
      <c r="O1459" s="142"/>
      <c r="P1459" s="138"/>
      <c r="Q1459" s="138"/>
      <c r="R1459" s="138"/>
      <c r="S1459" s="139"/>
      <c r="T1459" s="140"/>
      <c r="U1459" s="136"/>
      <c r="V1459" s="136"/>
      <c r="W1459" s="136"/>
      <c r="X1459" s="136"/>
    </row>
    <row r="1460">
      <c r="E1460" s="136"/>
      <c r="F1460" s="136"/>
      <c r="G1460" s="136"/>
      <c r="H1460" s="137"/>
      <c r="I1460" s="136"/>
      <c r="J1460" s="136"/>
      <c r="K1460" s="136"/>
      <c r="L1460" s="136"/>
      <c r="M1460" s="136"/>
      <c r="N1460" s="136"/>
      <c r="O1460" s="142"/>
      <c r="P1460" s="138"/>
      <c r="Q1460" s="138"/>
      <c r="R1460" s="138"/>
      <c r="S1460" s="139"/>
      <c r="T1460" s="140"/>
      <c r="U1460" s="136"/>
      <c r="V1460" s="136"/>
      <c r="W1460" s="136"/>
      <c r="X1460" s="136"/>
    </row>
    <row r="1461">
      <c r="E1461" s="136"/>
      <c r="F1461" s="136"/>
      <c r="G1461" s="136"/>
      <c r="H1461" s="137"/>
      <c r="I1461" s="136"/>
      <c r="J1461" s="136"/>
      <c r="K1461" s="136"/>
      <c r="L1461" s="136"/>
      <c r="M1461" s="136"/>
      <c r="N1461" s="136"/>
      <c r="O1461" s="142"/>
      <c r="P1461" s="138"/>
      <c r="Q1461" s="138"/>
      <c r="R1461" s="138"/>
      <c r="S1461" s="139"/>
      <c r="T1461" s="140"/>
      <c r="U1461" s="136"/>
      <c r="V1461" s="136"/>
      <c r="W1461" s="136"/>
      <c r="X1461" s="136"/>
    </row>
    <row r="1462">
      <c r="E1462" s="136"/>
      <c r="F1462" s="136"/>
      <c r="G1462" s="136"/>
      <c r="H1462" s="137"/>
      <c r="I1462" s="136"/>
      <c r="J1462" s="136"/>
      <c r="K1462" s="136"/>
      <c r="L1462" s="136"/>
      <c r="M1462" s="136"/>
      <c r="N1462" s="136"/>
      <c r="O1462" s="142"/>
      <c r="P1462" s="138"/>
      <c r="Q1462" s="138"/>
      <c r="R1462" s="138"/>
      <c r="S1462" s="139"/>
      <c r="T1462" s="140"/>
      <c r="U1462" s="136"/>
      <c r="V1462" s="136"/>
      <c r="W1462" s="136"/>
      <c r="X1462" s="136"/>
    </row>
    <row r="1463">
      <c r="E1463" s="136"/>
      <c r="F1463" s="136"/>
      <c r="G1463" s="136"/>
      <c r="H1463" s="137"/>
      <c r="I1463" s="136"/>
      <c r="J1463" s="136"/>
      <c r="K1463" s="136"/>
      <c r="L1463" s="136"/>
      <c r="M1463" s="136"/>
      <c r="N1463" s="136"/>
      <c r="O1463" s="142"/>
      <c r="P1463" s="138"/>
      <c r="Q1463" s="138"/>
      <c r="R1463" s="138"/>
      <c r="S1463" s="139"/>
      <c r="T1463" s="140"/>
      <c r="U1463" s="136"/>
      <c r="V1463" s="136"/>
      <c r="W1463" s="136"/>
      <c r="X1463" s="136"/>
    </row>
    <row r="1464">
      <c r="E1464" s="136"/>
      <c r="F1464" s="136"/>
      <c r="G1464" s="136"/>
      <c r="H1464" s="137"/>
      <c r="I1464" s="136"/>
      <c r="J1464" s="136"/>
      <c r="K1464" s="136"/>
      <c r="L1464" s="136"/>
      <c r="M1464" s="136"/>
      <c r="N1464" s="136"/>
      <c r="O1464" s="142"/>
      <c r="P1464" s="138"/>
      <c r="Q1464" s="138"/>
      <c r="R1464" s="138"/>
      <c r="S1464" s="139"/>
      <c r="T1464" s="140"/>
      <c r="U1464" s="136"/>
      <c r="V1464" s="136"/>
      <c r="W1464" s="136"/>
      <c r="X1464" s="136"/>
    </row>
    <row r="1465">
      <c r="E1465" s="136"/>
      <c r="F1465" s="136"/>
      <c r="G1465" s="136"/>
      <c r="H1465" s="137"/>
      <c r="I1465" s="136"/>
      <c r="J1465" s="136"/>
      <c r="K1465" s="136"/>
      <c r="L1465" s="136"/>
      <c r="M1465" s="136"/>
      <c r="N1465" s="136"/>
      <c r="O1465" s="142"/>
      <c r="P1465" s="138"/>
      <c r="Q1465" s="138"/>
      <c r="R1465" s="138"/>
      <c r="S1465" s="139"/>
      <c r="T1465" s="140"/>
      <c r="U1465" s="136"/>
      <c r="V1465" s="136"/>
      <c r="W1465" s="136"/>
      <c r="X1465" s="136"/>
    </row>
    <row r="1466">
      <c r="E1466" s="136"/>
      <c r="F1466" s="136"/>
      <c r="G1466" s="136"/>
      <c r="H1466" s="137"/>
      <c r="I1466" s="136"/>
      <c r="J1466" s="136"/>
      <c r="K1466" s="136"/>
      <c r="L1466" s="136"/>
      <c r="M1466" s="136"/>
      <c r="N1466" s="136"/>
      <c r="O1466" s="142"/>
      <c r="P1466" s="138"/>
      <c r="Q1466" s="138"/>
      <c r="R1466" s="138"/>
      <c r="S1466" s="139"/>
      <c r="T1466" s="140"/>
      <c r="U1466" s="136"/>
      <c r="V1466" s="136"/>
      <c r="W1466" s="136"/>
      <c r="X1466" s="136"/>
    </row>
    <row r="1467">
      <c r="E1467" s="136"/>
      <c r="F1467" s="136"/>
      <c r="G1467" s="136"/>
      <c r="H1467" s="137"/>
      <c r="I1467" s="136"/>
      <c r="J1467" s="136"/>
      <c r="K1467" s="136"/>
      <c r="L1467" s="136"/>
      <c r="M1467" s="136"/>
      <c r="N1467" s="136"/>
      <c r="O1467" s="142"/>
      <c r="P1467" s="138"/>
      <c r="Q1467" s="138"/>
      <c r="R1467" s="138"/>
      <c r="S1467" s="139"/>
      <c r="T1467" s="140"/>
      <c r="U1467" s="136"/>
      <c r="V1467" s="136"/>
      <c r="W1467" s="136"/>
      <c r="X1467" s="136"/>
    </row>
    <row r="1468">
      <c r="E1468" s="136"/>
      <c r="F1468" s="136"/>
      <c r="G1468" s="136"/>
      <c r="H1468" s="137"/>
      <c r="I1468" s="136"/>
      <c r="J1468" s="136"/>
      <c r="K1468" s="136"/>
      <c r="L1468" s="136"/>
      <c r="M1468" s="136"/>
      <c r="N1468" s="136"/>
      <c r="O1468" s="142"/>
      <c r="P1468" s="138"/>
      <c r="Q1468" s="138"/>
      <c r="R1468" s="138"/>
      <c r="S1468" s="139"/>
      <c r="T1468" s="140"/>
      <c r="U1468" s="136"/>
      <c r="V1468" s="136"/>
      <c r="W1468" s="136"/>
      <c r="X1468" s="136"/>
    </row>
    <row r="1469">
      <c r="E1469" s="136"/>
      <c r="F1469" s="136"/>
      <c r="G1469" s="136"/>
      <c r="H1469" s="137"/>
      <c r="I1469" s="136"/>
      <c r="J1469" s="136"/>
      <c r="K1469" s="136"/>
      <c r="L1469" s="136"/>
      <c r="M1469" s="136"/>
      <c r="N1469" s="136"/>
      <c r="O1469" s="142"/>
      <c r="P1469" s="138"/>
      <c r="Q1469" s="138"/>
      <c r="R1469" s="138"/>
      <c r="S1469" s="139"/>
      <c r="T1469" s="140"/>
      <c r="U1469" s="136"/>
      <c r="V1469" s="136"/>
      <c r="W1469" s="136"/>
      <c r="X1469" s="136"/>
    </row>
    <row r="1470">
      <c r="E1470" s="136"/>
      <c r="F1470" s="136"/>
      <c r="G1470" s="136"/>
      <c r="H1470" s="137"/>
      <c r="I1470" s="136"/>
      <c r="J1470" s="136"/>
      <c r="K1470" s="136"/>
      <c r="L1470" s="136"/>
      <c r="M1470" s="136"/>
      <c r="N1470" s="136"/>
      <c r="O1470" s="142"/>
      <c r="P1470" s="138"/>
      <c r="Q1470" s="138"/>
      <c r="R1470" s="138"/>
      <c r="S1470" s="139"/>
      <c r="T1470" s="140"/>
      <c r="U1470" s="136"/>
      <c r="V1470" s="136"/>
      <c r="W1470" s="136"/>
      <c r="X1470" s="136"/>
    </row>
    <row r="1471">
      <c r="E1471" s="136"/>
      <c r="F1471" s="136"/>
      <c r="G1471" s="136"/>
      <c r="H1471" s="137"/>
      <c r="I1471" s="136"/>
      <c r="J1471" s="136"/>
      <c r="K1471" s="136"/>
      <c r="L1471" s="136"/>
      <c r="M1471" s="136"/>
      <c r="N1471" s="136"/>
      <c r="O1471" s="142"/>
      <c r="P1471" s="138"/>
      <c r="Q1471" s="138"/>
      <c r="R1471" s="138"/>
      <c r="S1471" s="139"/>
      <c r="T1471" s="140"/>
      <c r="U1471" s="136"/>
      <c r="V1471" s="136"/>
      <c r="W1471" s="136"/>
      <c r="X1471" s="136"/>
    </row>
    <row r="1472">
      <c r="E1472" s="136"/>
      <c r="F1472" s="136"/>
      <c r="G1472" s="136"/>
      <c r="H1472" s="137"/>
      <c r="I1472" s="136"/>
      <c r="J1472" s="136"/>
      <c r="K1472" s="136"/>
      <c r="L1472" s="136"/>
      <c r="M1472" s="136"/>
      <c r="N1472" s="136"/>
      <c r="O1472" s="142"/>
      <c r="P1472" s="138"/>
      <c r="Q1472" s="138"/>
      <c r="R1472" s="138"/>
      <c r="S1472" s="139"/>
      <c r="T1472" s="140"/>
      <c r="U1472" s="136"/>
      <c r="V1472" s="136"/>
      <c r="W1472" s="136"/>
      <c r="X1472" s="136"/>
    </row>
    <row r="1473">
      <c r="E1473" s="136"/>
      <c r="F1473" s="136"/>
      <c r="G1473" s="136"/>
      <c r="H1473" s="137"/>
      <c r="I1473" s="136"/>
      <c r="J1473" s="136"/>
      <c r="K1473" s="136"/>
      <c r="L1473" s="136"/>
      <c r="M1473" s="136"/>
      <c r="N1473" s="136"/>
      <c r="O1473" s="142"/>
      <c r="P1473" s="138"/>
      <c r="Q1473" s="138"/>
      <c r="R1473" s="138"/>
      <c r="S1473" s="139"/>
      <c r="T1473" s="140"/>
      <c r="U1473" s="136"/>
      <c r="V1473" s="136"/>
      <c r="W1473" s="136"/>
      <c r="X1473" s="136"/>
    </row>
    <row r="1474">
      <c r="E1474" s="136"/>
      <c r="F1474" s="136"/>
      <c r="G1474" s="136"/>
      <c r="H1474" s="137"/>
      <c r="I1474" s="136"/>
      <c r="J1474" s="136"/>
      <c r="K1474" s="136"/>
      <c r="L1474" s="136"/>
      <c r="M1474" s="136"/>
      <c r="N1474" s="136"/>
      <c r="O1474" s="142"/>
      <c r="P1474" s="138"/>
      <c r="Q1474" s="138"/>
      <c r="R1474" s="138"/>
      <c r="S1474" s="139"/>
      <c r="T1474" s="140"/>
      <c r="U1474" s="136"/>
      <c r="V1474" s="136"/>
      <c r="W1474" s="136"/>
      <c r="X1474" s="136"/>
    </row>
    <row r="1475">
      <c r="E1475" s="136"/>
      <c r="F1475" s="136"/>
      <c r="G1475" s="136"/>
      <c r="H1475" s="137"/>
      <c r="I1475" s="136"/>
      <c r="J1475" s="136"/>
      <c r="K1475" s="136"/>
      <c r="L1475" s="136"/>
      <c r="M1475" s="136"/>
      <c r="N1475" s="136"/>
      <c r="O1475" s="142"/>
      <c r="P1475" s="138"/>
      <c r="Q1475" s="138"/>
      <c r="R1475" s="138"/>
      <c r="S1475" s="139"/>
      <c r="T1475" s="140"/>
      <c r="U1475" s="136"/>
      <c r="V1475" s="136"/>
      <c r="W1475" s="136"/>
      <c r="X1475" s="136"/>
    </row>
    <row r="1476">
      <c r="E1476" s="136"/>
      <c r="F1476" s="136"/>
      <c r="G1476" s="136"/>
      <c r="H1476" s="137"/>
      <c r="I1476" s="136"/>
      <c r="J1476" s="136"/>
      <c r="K1476" s="136"/>
      <c r="L1476" s="136"/>
      <c r="M1476" s="136"/>
      <c r="N1476" s="136"/>
      <c r="O1476" s="142"/>
      <c r="P1476" s="138"/>
      <c r="Q1476" s="138"/>
      <c r="R1476" s="138"/>
      <c r="S1476" s="139"/>
      <c r="T1476" s="140"/>
      <c r="U1476" s="136"/>
      <c r="V1476" s="136"/>
      <c r="W1476" s="136"/>
      <c r="X1476" s="136"/>
    </row>
    <row r="1477">
      <c r="E1477" s="136"/>
      <c r="F1477" s="136"/>
      <c r="G1477" s="136"/>
      <c r="H1477" s="137"/>
      <c r="I1477" s="136"/>
      <c r="J1477" s="136"/>
      <c r="K1477" s="136"/>
      <c r="L1477" s="136"/>
      <c r="M1477" s="136"/>
      <c r="N1477" s="136"/>
      <c r="O1477" s="142"/>
      <c r="P1477" s="138"/>
      <c r="Q1477" s="138"/>
      <c r="R1477" s="138"/>
      <c r="S1477" s="139"/>
      <c r="T1477" s="140"/>
      <c r="U1477" s="136"/>
      <c r="V1477" s="136"/>
      <c r="W1477" s="136"/>
      <c r="X1477" s="136"/>
    </row>
    <row r="1478">
      <c r="E1478" s="136"/>
      <c r="F1478" s="136"/>
      <c r="G1478" s="136"/>
      <c r="H1478" s="137"/>
      <c r="I1478" s="136"/>
      <c r="J1478" s="136"/>
      <c r="K1478" s="136"/>
      <c r="L1478" s="136"/>
      <c r="M1478" s="136"/>
      <c r="N1478" s="136"/>
      <c r="O1478" s="142"/>
      <c r="P1478" s="138"/>
      <c r="Q1478" s="138"/>
      <c r="R1478" s="138"/>
      <c r="S1478" s="139"/>
      <c r="T1478" s="140"/>
      <c r="U1478" s="136"/>
      <c r="V1478" s="136"/>
      <c r="W1478" s="136"/>
      <c r="X1478" s="136"/>
    </row>
    <row r="1479">
      <c r="E1479" s="136"/>
      <c r="F1479" s="136"/>
      <c r="G1479" s="136"/>
      <c r="H1479" s="137"/>
      <c r="I1479" s="136"/>
      <c r="J1479" s="136"/>
      <c r="K1479" s="136"/>
      <c r="L1479" s="136"/>
      <c r="M1479" s="136"/>
      <c r="N1479" s="136"/>
      <c r="O1479" s="142"/>
      <c r="P1479" s="138"/>
      <c r="Q1479" s="138"/>
      <c r="R1479" s="138"/>
      <c r="S1479" s="139"/>
      <c r="T1479" s="140"/>
      <c r="U1479" s="136"/>
      <c r="V1479" s="136"/>
      <c r="W1479" s="136"/>
      <c r="X1479" s="136"/>
    </row>
    <row r="1480">
      <c r="E1480" s="136"/>
      <c r="F1480" s="136"/>
      <c r="G1480" s="136"/>
      <c r="H1480" s="137"/>
      <c r="I1480" s="136"/>
      <c r="J1480" s="136"/>
      <c r="K1480" s="136"/>
      <c r="L1480" s="136"/>
      <c r="M1480" s="136"/>
      <c r="N1480" s="136"/>
      <c r="O1480" s="142"/>
      <c r="P1480" s="138"/>
      <c r="Q1480" s="138"/>
      <c r="R1480" s="138"/>
      <c r="S1480" s="139"/>
      <c r="T1480" s="140"/>
      <c r="U1480" s="136"/>
      <c r="V1480" s="136"/>
      <c r="W1480" s="136"/>
      <c r="X1480" s="136"/>
    </row>
    <row r="1481">
      <c r="E1481" s="136"/>
      <c r="F1481" s="136"/>
      <c r="G1481" s="136"/>
      <c r="H1481" s="137"/>
      <c r="I1481" s="136"/>
      <c r="J1481" s="136"/>
      <c r="K1481" s="136"/>
      <c r="L1481" s="136"/>
      <c r="M1481" s="136"/>
      <c r="N1481" s="136"/>
      <c r="O1481" s="142"/>
      <c r="P1481" s="138"/>
      <c r="Q1481" s="138"/>
      <c r="R1481" s="138"/>
      <c r="S1481" s="139"/>
      <c r="T1481" s="140"/>
      <c r="U1481" s="136"/>
      <c r="V1481" s="136"/>
      <c r="W1481" s="136"/>
      <c r="X1481" s="136"/>
    </row>
    <row r="1482">
      <c r="E1482" s="136"/>
      <c r="F1482" s="136"/>
      <c r="G1482" s="136"/>
      <c r="H1482" s="137"/>
      <c r="I1482" s="136"/>
      <c r="J1482" s="136"/>
      <c r="K1482" s="136"/>
      <c r="L1482" s="136"/>
      <c r="M1482" s="136"/>
      <c r="N1482" s="136"/>
      <c r="O1482" s="142"/>
      <c r="P1482" s="138"/>
      <c r="Q1482" s="138"/>
      <c r="R1482" s="138"/>
      <c r="S1482" s="139"/>
      <c r="T1482" s="140"/>
      <c r="U1482" s="136"/>
      <c r="V1482" s="136"/>
      <c r="W1482" s="136"/>
      <c r="X1482" s="136"/>
    </row>
    <row r="1483">
      <c r="E1483" s="136"/>
      <c r="F1483" s="136"/>
      <c r="G1483" s="136"/>
      <c r="H1483" s="137"/>
      <c r="I1483" s="136"/>
      <c r="J1483" s="136"/>
      <c r="K1483" s="136"/>
      <c r="L1483" s="136"/>
      <c r="M1483" s="136"/>
      <c r="N1483" s="136"/>
      <c r="O1483" s="142"/>
      <c r="P1483" s="138"/>
      <c r="Q1483" s="138"/>
      <c r="R1483" s="138"/>
      <c r="S1483" s="139"/>
      <c r="T1483" s="140"/>
      <c r="U1483" s="136"/>
      <c r="V1483" s="136"/>
      <c r="W1483" s="136"/>
      <c r="X1483" s="136"/>
    </row>
    <row r="1484">
      <c r="E1484" s="136"/>
      <c r="F1484" s="136"/>
      <c r="G1484" s="136"/>
      <c r="H1484" s="137"/>
      <c r="I1484" s="136"/>
      <c r="J1484" s="136"/>
      <c r="K1484" s="136"/>
      <c r="L1484" s="136"/>
      <c r="M1484" s="136"/>
      <c r="N1484" s="136"/>
      <c r="O1484" s="142"/>
      <c r="P1484" s="138"/>
      <c r="Q1484" s="138"/>
      <c r="R1484" s="138"/>
      <c r="S1484" s="139"/>
      <c r="T1484" s="140"/>
      <c r="U1484" s="136"/>
      <c r="V1484" s="136"/>
      <c r="W1484" s="136"/>
      <c r="X1484" s="136"/>
    </row>
    <row r="1485">
      <c r="E1485" s="136"/>
      <c r="F1485" s="136"/>
      <c r="G1485" s="136"/>
      <c r="H1485" s="137"/>
      <c r="I1485" s="136"/>
      <c r="J1485" s="136"/>
      <c r="K1485" s="136"/>
      <c r="L1485" s="136"/>
      <c r="M1485" s="136"/>
      <c r="N1485" s="136"/>
      <c r="O1485" s="142"/>
      <c r="P1485" s="138"/>
      <c r="Q1485" s="138"/>
      <c r="R1485" s="138"/>
      <c r="S1485" s="139"/>
      <c r="T1485" s="140"/>
      <c r="U1485" s="136"/>
      <c r="V1485" s="136"/>
      <c r="W1485" s="136"/>
      <c r="X1485" s="136"/>
    </row>
    <row r="1486">
      <c r="E1486" s="136"/>
      <c r="F1486" s="136"/>
      <c r="G1486" s="136"/>
      <c r="H1486" s="137"/>
      <c r="I1486" s="136"/>
      <c r="J1486" s="136"/>
      <c r="K1486" s="136"/>
      <c r="L1486" s="136"/>
      <c r="M1486" s="136"/>
      <c r="N1486" s="136"/>
      <c r="O1486" s="142"/>
      <c r="P1486" s="138"/>
      <c r="Q1486" s="138"/>
      <c r="R1486" s="138"/>
      <c r="S1486" s="139"/>
      <c r="T1486" s="140"/>
      <c r="U1486" s="136"/>
      <c r="V1486" s="136"/>
      <c r="W1486" s="136"/>
      <c r="X1486" s="136"/>
    </row>
    <row r="1487">
      <c r="E1487" s="136"/>
      <c r="F1487" s="136"/>
      <c r="G1487" s="136"/>
      <c r="H1487" s="137"/>
      <c r="I1487" s="136"/>
      <c r="J1487" s="136"/>
      <c r="K1487" s="136"/>
      <c r="L1487" s="136"/>
      <c r="M1487" s="136"/>
      <c r="N1487" s="136"/>
      <c r="O1487" s="142"/>
      <c r="P1487" s="138"/>
      <c r="Q1487" s="138"/>
      <c r="R1487" s="138"/>
      <c r="S1487" s="139"/>
      <c r="T1487" s="140"/>
      <c r="U1487" s="136"/>
      <c r="V1487" s="136"/>
      <c r="W1487" s="136"/>
      <c r="X1487" s="136"/>
    </row>
    <row r="1488">
      <c r="E1488" s="136"/>
      <c r="F1488" s="136"/>
      <c r="G1488" s="136"/>
      <c r="H1488" s="137"/>
      <c r="I1488" s="136"/>
      <c r="J1488" s="136"/>
      <c r="K1488" s="136"/>
      <c r="L1488" s="136"/>
      <c r="M1488" s="136"/>
      <c r="N1488" s="136"/>
      <c r="O1488" s="142"/>
      <c r="P1488" s="138"/>
      <c r="Q1488" s="138"/>
      <c r="R1488" s="138"/>
      <c r="S1488" s="139"/>
      <c r="T1488" s="140"/>
      <c r="U1488" s="136"/>
      <c r="V1488" s="136"/>
      <c r="W1488" s="136"/>
      <c r="X1488" s="136"/>
    </row>
    <row r="1489">
      <c r="E1489" s="136"/>
      <c r="F1489" s="136"/>
      <c r="G1489" s="136"/>
      <c r="H1489" s="137"/>
      <c r="I1489" s="136"/>
      <c r="J1489" s="136"/>
      <c r="K1489" s="136"/>
      <c r="L1489" s="136"/>
      <c r="M1489" s="136"/>
      <c r="N1489" s="136"/>
      <c r="O1489" s="142"/>
      <c r="P1489" s="138"/>
      <c r="Q1489" s="138"/>
      <c r="R1489" s="138"/>
      <c r="S1489" s="139"/>
      <c r="T1489" s="140"/>
      <c r="U1489" s="136"/>
      <c r="V1489" s="136"/>
      <c r="W1489" s="136"/>
      <c r="X1489" s="136"/>
    </row>
    <row r="1490">
      <c r="E1490" s="136"/>
      <c r="F1490" s="136"/>
      <c r="G1490" s="136"/>
      <c r="H1490" s="137"/>
      <c r="I1490" s="136"/>
      <c r="J1490" s="136"/>
      <c r="K1490" s="136"/>
      <c r="L1490" s="136"/>
      <c r="M1490" s="136"/>
      <c r="N1490" s="136"/>
      <c r="O1490" s="142"/>
      <c r="P1490" s="138"/>
      <c r="Q1490" s="138"/>
      <c r="R1490" s="138"/>
      <c r="S1490" s="139"/>
      <c r="T1490" s="140"/>
      <c r="U1490" s="136"/>
      <c r="V1490" s="136"/>
      <c r="W1490" s="136"/>
      <c r="X1490" s="136"/>
    </row>
    <row r="1491">
      <c r="E1491" s="136"/>
      <c r="F1491" s="136"/>
      <c r="G1491" s="136"/>
      <c r="H1491" s="137"/>
      <c r="I1491" s="136"/>
      <c r="J1491" s="136"/>
      <c r="K1491" s="136"/>
      <c r="L1491" s="136"/>
      <c r="M1491" s="136"/>
      <c r="N1491" s="136"/>
      <c r="O1491" s="142"/>
      <c r="P1491" s="138"/>
      <c r="Q1491" s="138"/>
      <c r="R1491" s="138"/>
      <c r="S1491" s="139"/>
      <c r="T1491" s="140"/>
      <c r="U1491" s="136"/>
      <c r="V1491" s="136"/>
      <c r="W1491" s="136"/>
      <c r="X1491" s="136"/>
    </row>
    <row r="1492">
      <c r="E1492" s="136"/>
      <c r="F1492" s="136"/>
      <c r="G1492" s="136"/>
      <c r="H1492" s="137"/>
      <c r="I1492" s="136"/>
      <c r="J1492" s="136"/>
      <c r="K1492" s="136"/>
      <c r="L1492" s="136"/>
      <c r="M1492" s="136"/>
      <c r="N1492" s="136"/>
      <c r="O1492" s="142"/>
      <c r="P1492" s="138"/>
      <c r="Q1492" s="138"/>
      <c r="R1492" s="138"/>
      <c r="S1492" s="139"/>
      <c r="T1492" s="140"/>
      <c r="U1492" s="136"/>
      <c r="V1492" s="136"/>
      <c r="W1492" s="136"/>
      <c r="X1492" s="136"/>
    </row>
    <row r="1493">
      <c r="E1493" s="136"/>
      <c r="F1493" s="136"/>
      <c r="G1493" s="136"/>
      <c r="H1493" s="137"/>
      <c r="I1493" s="136"/>
      <c r="J1493" s="136"/>
      <c r="K1493" s="136"/>
      <c r="L1493" s="136"/>
      <c r="M1493" s="136"/>
      <c r="N1493" s="136"/>
      <c r="O1493" s="142"/>
      <c r="P1493" s="138"/>
      <c r="Q1493" s="138"/>
      <c r="R1493" s="138"/>
      <c r="S1493" s="139"/>
      <c r="T1493" s="140"/>
      <c r="U1493" s="136"/>
      <c r="V1493" s="136"/>
      <c r="W1493" s="136"/>
      <c r="X1493" s="136"/>
    </row>
    <row r="1494">
      <c r="E1494" s="136"/>
      <c r="F1494" s="136"/>
      <c r="G1494" s="136"/>
      <c r="H1494" s="137"/>
      <c r="I1494" s="136"/>
      <c r="J1494" s="136"/>
      <c r="K1494" s="136"/>
      <c r="L1494" s="136"/>
      <c r="M1494" s="136"/>
      <c r="N1494" s="136"/>
      <c r="O1494" s="142"/>
      <c r="P1494" s="138"/>
      <c r="Q1494" s="138"/>
      <c r="R1494" s="138"/>
      <c r="S1494" s="139"/>
      <c r="T1494" s="140"/>
      <c r="U1494" s="136"/>
      <c r="V1494" s="136"/>
      <c r="W1494" s="136"/>
      <c r="X1494" s="136"/>
    </row>
    <row r="1495">
      <c r="E1495" s="136"/>
      <c r="F1495" s="136"/>
      <c r="G1495" s="136"/>
      <c r="H1495" s="137"/>
      <c r="I1495" s="136"/>
      <c r="J1495" s="136"/>
      <c r="K1495" s="136"/>
      <c r="L1495" s="136"/>
      <c r="M1495" s="136"/>
      <c r="N1495" s="136"/>
      <c r="O1495" s="142"/>
      <c r="P1495" s="138"/>
      <c r="Q1495" s="138"/>
      <c r="R1495" s="138"/>
      <c r="S1495" s="139"/>
      <c r="T1495" s="140"/>
      <c r="U1495" s="136"/>
      <c r="V1495" s="136"/>
      <c r="W1495" s="136"/>
      <c r="X1495" s="136"/>
    </row>
    <row r="1496">
      <c r="E1496" s="136"/>
      <c r="F1496" s="136"/>
      <c r="G1496" s="136"/>
      <c r="H1496" s="137"/>
      <c r="I1496" s="136"/>
      <c r="J1496" s="136"/>
      <c r="K1496" s="136"/>
      <c r="L1496" s="136"/>
      <c r="M1496" s="136"/>
      <c r="N1496" s="136"/>
      <c r="O1496" s="142"/>
      <c r="P1496" s="138"/>
      <c r="Q1496" s="138"/>
      <c r="R1496" s="138"/>
      <c r="S1496" s="139"/>
      <c r="T1496" s="140"/>
      <c r="U1496" s="136"/>
      <c r="V1496" s="136"/>
      <c r="W1496" s="136"/>
      <c r="X1496" s="136"/>
    </row>
    <row r="1497">
      <c r="E1497" s="136"/>
      <c r="F1497" s="136"/>
      <c r="G1497" s="136"/>
      <c r="H1497" s="137"/>
      <c r="I1497" s="136"/>
      <c r="J1497" s="136"/>
      <c r="K1497" s="136"/>
      <c r="L1497" s="136"/>
      <c r="M1497" s="136"/>
      <c r="N1497" s="136"/>
      <c r="O1497" s="142"/>
      <c r="P1497" s="138"/>
      <c r="Q1497" s="138"/>
      <c r="R1497" s="138"/>
      <c r="S1497" s="139"/>
      <c r="T1497" s="140"/>
      <c r="U1497" s="136"/>
      <c r="V1497" s="136"/>
      <c r="W1497" s="136"/>
      <c r="X1497" s="136"/>
    </row>
    <row r="1498">
      <c r="E1498" s="136"/>
      <c r="F1498" s="136"/>
      <c r="G1498" s="136"/>
      <c r="H1498" s="137"/>
      <c r="I1498" s="136"/>
      <c r="J1498" s="136"/>
      <c r="K1498" s="136"/>
      <c r="L1498" s="136"/>
      <c r="M1498" s="136"/>
      <c r="N1498" s="136"/>
      <c r="O1498" s="142"/>
      <c r="P1498" s="138"/>
      <c r="Q1498" s="138"/>
      <c r="R1498" s="138"/>
      <c r="S1498" s="139"/>
      <c r="T1498" s="140"/>
      <c r="U1498" s="136"/>
      <c r="V1498" s="136"/>
      <c r="W1498" s="136"/>
      <c r="X1498" s="136"/>
    </row>
    <row r="1499">
      <c r="E1499" s="136"/>
      <c r="F1499" s="136"/>
      <c r="G1499" s="136"/>
      <c r="H1499" s="137"/>
      <c r="I1499" s="136"/>
      <c r="J1499" s="136"/>
      <c r="K1499" s="136"/>
      <c r="L1499" s="136"/>
      <c r="M1499" s="136"/>
      <c r="N1499" s="136"/>
      <c r="O1499" s="142"/>
      <c r="P1499" s="138"/>
      <c r="Q1499" s="138"/>
      <c r="R1499" s="138"/>
      <c r="S1499" s="139"/>
      <c r="T1499" s="140"/>
      <c r="U1499" s="136"/>
      <c r="V1499" s="136"/>
      <c r="W1499" s="136"/>
      <c r="X1499" s="136"/>
    </row>
    <row r="1500">
      <c r="E1500" s="136"/>
      <c r="F1500" s="136"/>
      <c r="G1500" s="136"/>
      <c r="H1500" s="137"/>
      <c r="I1500" s="136"/>
      <c r="J1500" s="136"/>
      <c r="K1500" s="136"/>
      <c r="L1500" s="136"/>
      <c r="M1500" s="136"/>
      <c r="N1500" s="136"/>
      <c r="O1500" s="142"/>
      <c r="P1500" s="138"/>
      <c r="Q1500" s="138"/>
      <c r="R1500" s="138"/>
      <c r="S1500" s="139"/>
      <c r="T1500" s="140"/>
      <c r="U1500" s="136"/>
      <c r="V1500" s="136"/>
      <c r="W1500" s="136"/>
      <c r="X1500" s="136"/>
    </row>
    <row r="1501">
      <c r="E1501" s="136"/>
      <c r="F1501" s="136"/>
      <c r="G1501" s="136"/>
      <c r="H1501" s="137"/>
      <c r="I1501" s="136"/>
      <c r="J1501" s="136"/>
      <c r="K1501" s="136"/>
      <c r="L1501" s="136"/>
      <c r="M1501" s="136"/>
      <c r="N1501" s="136"/>
      <c r="O1501" s="142"/>
      <c r="P1501" s="138"/>
      <c r="Q1501" s="138"/>
      <c r="R1501" s="138"/>
      <c r="S1501" s="139"/>
      <c r="T1501" s="140"/>
      <c r="U1501" s="136"/>
      <c r="V1501" s="136"/>
      <c r="W1501" s="136"/>
      <c r="X1501" s="136"/>
    </row>
    <row r="1502">
      <c r="E1502" s="136"/>
      <c r="F1502" s="136"/>
      <c r="G1502" s="136"/>
      <c r="H1502" s="137"/>
      <c r="I1502" s="136"/>
      <c r="J1502" s="136"/>
      <c r="K1502" s="136"/>
      <c r="L1502" s="136"/>
      <c r="M1502" s="136"/>
      <c r="N1502" s="136"/>
      <c r="O1502" s="142"/>
      <c r="P1502" s="138"/>
      <c r="Q1502" s="138"/>
      <c r="R1502" s="138"/>
      <c r="S1502" s="139"/>
      <c r="T1502" s="140"/>
      <c r="U1502" s="136"/>
      <c r="V1502" s="136"/>
      <c r="W1502" s="136"/>
      <c r="X1502" s="136"/>
    </row>
    <row r="1503">
      <c r="E1503" s="136"/>
      <c r="F1503" s="136"/>
      <c r="G1503" s="136"/>
      <c r="H1503" s="137"/>
      <c r="I1503" s="136"/>
      <c r="J1503" s="136"/>
      <c r="K1503" s="136"/>
      <c r="L1503" s="136"/>
      <c r="M1503" s="136"/>
      <c r="N1503" s="136"/>
      <c r="O1503" s="142"/>
      <c r="P1503" s="138"/>
      <c r="Q1503" s="138"/>
      <c r="R1503" s="138"/>
      <c r="S1503" s="139"/>
      <c r="T1503" s="140"/>
      <c r="U1503" s="136"/>
      <c r="V1503" s="136"/>
      <c r="W1503" s="136"/>
      <c r="X1503" s="13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24" width="8.88"/>
    <col customWidth="1" min="25" max="25" width="2.88"/>
    <col customWidth="1" min="26" max="26" width="3.25"/>
  </cols>
  <sheetData>
    <row r="1">
      <c r="A1" s="128" t="s">
        <v>2059</v>
      </c>
      <c r="B1" s="128" t="s">
        <v>5</v>
      </c>
      <c r="C1" s="129" t="s">
        <v>877</v>
      </c>
      <c r="D1" s="128" t="s">
        <v>62</v>
      </c>
      <c r="E1" s="130" t="s">
        <v>2060</v>
      </c>
      <c r="F1" s="128" t="s">
        <v>27</v>
      </c>
      <c r="G1" s="128" t="s">
        <v>29</v>
      </c>
      <c r="H1" s="131" t="s">
        <v>63</v>
      </c>
      <c r="I1" s="128" t="s">
        <v>33</v>
      </c>
      <c r="J1" s="128" t="s">
        <v>36</v>
      </c>
      <c r="K1" s="128" t="s">
        <v>40</v>
      </c>
      <c r="L1" s="128" t="s">
        <v>43</v>
      </c>
      <c r="M1" s="128" t="s">
        <v>46</v>
      </c>
      <c r="N1" s="128" t="s">
        <v>49</v>
      </c>
      <c r="O1" s="132" t="s">
        <v>50</v>
      </c>
      <c r="P1" s="143" t="s">
        <v>38</v>
      </c>
      <c r="Q1" s="144" t="s">
        <v>41</v>
      </c>
      <c r="R1" s="129" t="s">
        <v>44</v>
      </c>
      <c r="S1" s="129" t="s">
        <v>47</v>
      </c>
      <c r="T1" s="133" t="s">
        <v>64</v>
      </c>
      <c r="U1" s="134" t="s">
        <v>65</v>
      </c>
      <c r="V1" s="134" t="s">
        <v>66</v>
      </c>
      <c r="W1" s="134" t="s">
        <v>67</v>
      </c>
      <c r="X1" s="134" t="s">
        <v>68</v>
      </c>
      <c r="Y1" s="135" t="s">
        <v>52</v>
      </c>
      <c r="Z1" s="135" t="s">
        <v>55</v>
      </c>
    </row>
    <row r="2">
      <c r="A2" s="41" t="str">
        <f>IFERROR(__xludf.DUMMYFUNCTION("IMPORTRANGE(Variables!$B1, ""'Playoff Player Stats'!A2:g"")"),"#REF!")</f>
        <v>#REF!</v>
      </c>
      <c r="E2" s="136"/>
      <c r="F2" s="136"/>
      <c r="G2" s="136"/>
      <c r="H2" s="137" t="str">
        <f t="shared" ref="H2:H948" si="1">IF(COUNTBLANK($B2:$C2) + ($E2 = 0), , $F2 / $E2)</f>
        <v/>
      </c>
      <c r="I2" s="136" t="str">
        <f>IFERROR(__xludf.DUMMYFUNCTION("IMPORTRANGE(Variables!$B1, ""'Playoff Player Stats'!H2:m"")"),"#REF!")</f>
        <v>#REF!</v>
      </c>
      <c r="J2" s="136"/>
      <c r="K2" s="136"/>
      <c r="L2" s="136"/>
      <c r="M2" s="136"/>
      <c r="N2" s="136"/>
      <c r="O2" s="142" t="str">
        <f t="shared" ref="O2:O1001" si="2">iferror($K2 / $N2,"")</f>
        <v/>
      </c>
      <c r="P2" s="140" t="str">
        <f t="shared" ref="P2:P1001" si="3">IF(COUNTBLANK($B2:$C2) + ($J2 = 0), , $J2 / $E2)</f>
        <v/>
      </c>
      <c r="Q2" s="139" t="str">
        <f t="shared" ref="Q2:Q1001" si="4">IF(COUNTBLANK($B2:$C2) + ($K2 = 0), , $K2 / $E2)</f>
        <v/>
      </c>
      <c r="R2" s="139" t="str">
        <f t="shared" ref="R2:R1001" si="5">IF(COUNTBLANK($B2:$C2) + ($L2 = 0), , $L2 / $E2)</f>
        <v/>
      </c>
      <c r="S2" s="139" t="str">
        <f t="shared" ref="S2:S1001" si="6">IF(COUNTBLANK($B2:$C2) + ($M2 = 0), , $M2 / $E2)</f>
        <v/>
      </c>
      <c r="T2" s="140" t="str">
        <f t="shared" ref="T2:T1503" si="7">IF(COUNTBLANK($B2:$C2) + ($N2 = 0), , $N2 / $E2)</f>
        <v/>
      </c>
      <c r="U2" s="136" t="str">
        <f>IFERROR(__xludf.DUMMYFUNCTION("IMPORTRANGE(Variables!$B1, ""'Playoff Player Stats'!n2:Q"")"),"#REF!")</f>
        <v>#REF!</v>
      </c>
      <c r="V2" s="136"/>
      <c r="W2" s="136"/>
      <c r="X2" s="136"/>
      <c r="Y2" s="145" t="str">
        <f>IFERROR(__xludf.DUMMYFUNCTION("IMPORTRANGE(Variables!$B1, ""'Playoff Player Stats'!bx2:by"")"),"#REF!")</f>
        <v>#REF!</v>
      </c>
      <c r="Z2" s="145"/>
    </row>
    <row r="3">
      <c r="E3" s="136"/>
      <c r="F3" s="136"/>
      <c r="G3" s="136"/>
      <c r="H3" s="137" t="str">
        <f t="shared" si="1"/>
        <v/>
      </c>
      <c r="I3" s="136"/>
      <c r="J3" s="136"/>
      <c r="K3" s="136"/>
      <c r="L3" s="136"/>
      <c r="M3" s="136"/>
      <c r="N3" s="136"/>
      <c r="O3" s="142" t="str">
        <f t="shared" si="2"/>
        <v/>
      </c>
      <c r="P3" s="140" t="str">
        <f t="shared" si="3"/>
        <v/>
      </c>
      <c r="Q3" s="139" t="str">
        <f t="shared" si="4"/>
        <v/>
      </c>
      <c r="R3" s="139" t="str">
        <f t="shared" si="5"/>
        <v/>
      </c>
      <c r="S3" s="139" t="str">
        <f t="shared" si="6"/>
        <v/>
      </c>
      <c r="T3" s="140" t="str">
        <f t="shared" si="7"/>
        <v/>
      </c>
      <c r="U3" s="136"/>
      <c r="V3" s="136"/>
      <c r="W3" s="136"/>
      <c r="X3" s="136"/>
      <c r="Y3" s="145"/>
      <c r="Z3" s="145"/>
    </row>
    <row r="4">
      <c r="E4" s="136"/>
      <c r="F4" s="136"/>
      <c r="G4" s="136"/>
      <c r="H4" s="137" t="str">
        <f t="shared" si="1"/>
        <v/>
      </c>
      <c r="I4" s="136"/>
      <c r="J4" s="136"/>
      <c r="K4" s="136"/>
      <c r="L4" s="136"/>
      <c r="M4" s="136"/>
      <c r="N4" s="136"/>
      <c r="O4" s="142" t="str">
        <f t="shared" si="2"/>
        <v/>
      </c>
      <c r="P4" s="140" t="str">
        <f t="shared" si="3"/>
        <v/>
      </c>
      <c r="Q4" s="139" t="str">
        <f t="shared" si="4"/>
        <v/>
      </c>
      <c r="R4" s="139" t="str">
        <f t="shared" si="5"/>
        <v/>
      </c>
      <c r="S4" s="139" t="str">
        <f t="shared" si="6"/>
        <v/>
      </c>
      <c r="T4" s="140" t="str">
        <f t="shared" si="7"/>
        <v/>
      </c>
      <c r="U4" s="136"/>
      <c r="V4" s="136"/>
      <c r="W4" s="136"/>
      <c r="X4" s="136"/>
      <c r="Y4" s="145"/>
      <c r="Z4" s="145"/>
    </row>
    <row r="5">
      <c r="E5" s="136"/>
      <c r="F5" s="136"/>
      <c r="G5" s="136"/>
      <c r="H5" s="137" t="str">
        <f t="shared" si="1"/>
        <v/>
      </c>
      <c r="I5" s="136"/>
      <c r="J5" s="136"/>
      <c r="K5" s="136"/>
      <c r="L5" s="136"/>
      <c r="M5" s="136"/>
      <c r="N5" s="136"/>
      <c r="O5" s="142" t="str">
        <f t="shared" si="2"/>
        <v/>
      </c>
      <c r="P5" s="140" t="str">
        <f t="shared" si="3"/>
        <v/>
      </c>
      <c r="Q5" s="139" t="str">
        <f t="shared" si="4"/>
        <v/>
      </c>
      <c r="R5" s="139" t="str">
        <f t="shared" si="5"/>
        <v/>
      </c>
      <c r="S5" s="139" t="str">
        <f t="shared" si="6"/>
        <v/>
      </c>
      <c r="T5" s="140" t="str">
        <f t="shared" si="7"/>
        <v/>
      </c>
      <c r="U5" s="136"/>
      <c r="V5" s="136"/>
      <c r="W5" s="136"/>
      <c r="X5" s="136"/>
      <c r="Y5" s="145"/>
      <c r="Z5" s="145"/>
    </row>
    <row r="6">
      <c r="E6" s="136"/>
      <c r="F6" s="136"/>
      <c r="G6" s="136"/>
      <c r="H6" s="137" t="str">
        <f t="shared" si="1"/>
        <v/>
      </c>
      <c r="I6" s="136"/>
      <c r="J6" s="136"/>
      <c r="K6" s="136"/>
      <c r="L6" s="136"/>
      <c r="M6" s="136"/>
      <c r="N6" s="136"/>
      <c r="O6" s="142" t="str">
        <f t="shared" si="2"/>
        <v/>
      </c>
      <c r="P6" s="140" t="str">
        <f t="shared" si="3"/>
        <v/>
      </c>
      <c r="Q6" s="139" t="str">
        <f t="shared" si="4"/>
        <v/>
      </c>
      <c r="R6" s="139" t="str">
        <f t="shared" si="5"/>
        <v/>
      </c>
      <c r="S6" s="139" t="str">
        <f t="shared" si="6"/>
        <v/>
      </c>
      <c r="T6" s="140" t="str">
        <f t="shared" si="7"/>
        <v/>
      </c>
      <c r="U6" s="136"/>
      <c r="V6" s="136"/>
      <c r="W6" s="136"/>
      <c r="X6" s="136"/>
      <c r="Y6" s="145"/>
      <c r="Z6" s="145"/>
    </row>
    <row r="7">
      <c r="E7" s="136"/>
      <c r="F7" s="136"/>
      <c r="G7" s="136"/>
      <c r="H7" s="137" t="str">
        <f t="shared" si="1"/>
        <v/>
      </c>
      <c r="I7" s="136"/>
      <c r="J7" s="136"/>
      <c r="K7" s="136"/>
      <c r="L7" s="136"/>
      <c r="M7" s="136"/>
      <c r="N7" s="136"/>
      <c r="O7" s="142" t="str">
        <f t="shared" si="2"/>
        <v/>
      </c>
      <c r="P7" s="140" t="str">
        <f t="shared" si="3"/>
        <v/>
      </c>
      <c r="Q7" s="139" t="str">
        <f t="shared" si="4"/>
        <v/>
      </c>
      <c r="R7" s="139" t="str">
        <f t="shared" si="5"/>
        <v/>
      </c>
      <c r="S7" s="139" t="str">
        <f t="shared" si="6"/>
        <v/>
      </c>
      <c r="T7" s="140" t="str">
        <f t="shared" si="7"/>
        <v/>
      </c>
      <c r="U7" s="136"/>
      <c r="V7" s="136"/>
      <c r="W7" s="136"/>
      <c r="X7" s="136"/>
      <c r="Y7" s="145"/>
      <c r="Z7" s="145"/>
    </row>
    <row r="8">
      <c r="E8" s="136"/>
      <c r="F8" s="136"/>
      <c r="G8" s="136"/>
      <c r="H8" s="137" t="str">
        <f t="shared" si="1"/>
        <v/>
      </c>
      <c r="I8" s="136"/>
      <c r="J8" s="136"/>
      <c r="K8" s="136"/>
      <c r="L8" s="136"/>
      <c r="M8" s="136"/>
      <c r="N8" s="136"/>
      <c r="O8" s="142" t="str">
        <f t="shared" si="2"/>
        <v/>
      </c>
      <c r="P8" s="140" t="str">
        <f t="shared" si="3"/>
        <v/>
      </c>
      <c r="Q8" s="139" t="str">
        <f t="shared" si="4"/>
        <v/>
      </c>
      <c r="R8" s="139" t="str">
        <f t="shared" si="5"/>
        <v/>
      </c>
      <c r="S8" s="139" t="str">
        <f t="shared" si="6"/>
        <v/>
      </c>
      <c r="T8" s="140" t="str">
        <f t="shared" si="7"/>
        <v/>
      </c>
      <c r="U8" s="136"/>
      <c r="V8" s="136"/>
      <c r="W8" s="136"/>
      <c r="X8" s="136"/>
      <c r="Y8" s="145"/>
      <c r="Z8" s="145"/>
    </row>
    <row r="9">
      <c r="E9" s="136"/>
      <c r="F9" s="136"/>
      <c r="G9" s="136"/>
      <c r="H9" s="137" t="str">
        <f t="shared" si="1"/>
        <v/>
      </c>
      <c r="I9" s="136"/>
      <c r="J9" s="136"/>
      <c r="K9" s="136"/>
      <c r="L9" s="136"/>
      <c r="M9" s="136"/>
      <c r="N9" s="136"/>
      <c r="O9" s="142" t="str">
        <f t="shared" si="2"/>
        <v/>
      </c>
      <c r="P9" s="140" t="str">
        <f t="shared" si="3"/>
        <v/>
      </c>
      <c r="Q9" s="139" t="str">
        <f t="shared" si="4"/>
        <v/>
      </c>
      <c r="R9" s="139" t="str">
        <f t="shared" si="5"/>
        <v/>
      </c>
      <c r="S9" s="139" t="str">
        <f t="shared" si="6"/>
        <v/>
      </c>
      <c r="T9" s="140" t="str">
        <f t="shared" si="7"/>
        <v/>
      </c>
      <c r="U9" s="136"/>
      <c r="V9" s="136"/>
      <c r="W9" s="136"/>
      <c r="X9" s="136"/>
      <c r="Y9" s="145"/>
      <c r="Z9" s="145"/>
    </row>
    <row r="10">
      <c r="E10" s="136"/>
      <c r="F10" s="136"/>
      <c r="G10" s="136"/>
      <c r="H10" s="137" t="str">
        <f t="shared" si="1"/>
        <v/>
      </c>
      <c r="I10" s="136"/>
      <c r="J10" s="136"/>
      <c r="K10" s="136"/>
      <c r="L10" s="136"/>
      <c r="M10" s="136"/>
      <c r="N10" s="136"/>
      <c r="O10" s="142" t="str">
        <f t="shared" si="2"/>
        <v/>
      </c>
      <c r="P10" s="140" t="str">
        <f t="shared" si="3"/>
        <v/>
      </c>
      <c r="Q10" s="139" t="str">
        <f t="shared" si="4"/>
        <v/>
      </c>
      <c r="R10" s="139" t="str">
        <f t="shared" si="5"/>
        <v/>
      </c>
      <c r="S10" s="139" t="str">
        <f t="shared" si="6"/>
        <v/>
      </c>
      <c r="T10" s="140" t="str">
        <f t="shared" si="7"/>
        <v/>
      </c>
      <c r="U10" s="136"/>
      <c r="V10" s="136"/>
      <c r="W10" s="136"/>
      <c r="X10" s="136"/>
      <c r="Y10" s="145"/>
      <c r="Z10" s="145"/>
    </row>
    <row r="11">
      <c r="E11" s="136"/>
      <c r="F11" s="136"/>
      <c r="G11" s="136"/>
      <c r="H11" s="137" t="str">
        <f t="shared" si="1"/>
        <v/>
      </c>
      <c r="I11" s="136"/>
      <c r="J11" s="136"/>
      <c r="K11" s="136"/>
      <c r="L11" s="136"/>
      <c r="M11" s="136"/>
      <c r="N11" s="136"/>
      <c r="O11" s="142" t="str">
        <f t="shared" si="2"/>
        <v/>
      </c>
      <c r="P11" s="140" t="str">
        <f t="shared" si="3"/>
        <v/>
      </c>
      <c r="Q11" s="139" t="str">
        <f t="shared" si="4"/>
        <v/>
      </c>
      <c r="R11" s="139" t="str">
        <f t="shared" si="5"/>
        <v/>
      </c>
      <c r="S11" s="139" t="str">
        <f t="shared" si="6"/>
        <v/>
      </c>
      <c r="T11" s="140" t="str">
        <f t="shared" si="7"/>
        <v/>
      </c>
      <c r="U11" s="136"/>
      <c r="V11" s="136"/>
      <c r="W11" s="136"/>
      <c r="X11" s="136"/>
      <c r="Y11" s="145"/>
      <c r="Z11" s="145"/>
    </row>
    <row r="12">
      <c r="E12" s="136"/>
      <c r="F12" s="136"/>
      <c r="G12" s="136"/>
      <c r="H12" s="137" t="str">
        <f t="shared" si="1"/>
        <v/>
      </c>
      <c r="I12" s="136"/>
      <c r="J12" s="136"/>
      <c r="K12" s="136"/>
      <c r="L12" s="136"/>
      <c r="M12" s="136"/>
      <c r="N12" s="136"/>
      <c r="O12" s="142" t="str">
        <f t="shared" si="2"/>
        <v/>
      </c>
      <c r="P12" s="140" t="str">
        <f t="shared" si="3"/>
        <v/>
      </c>
      <c r="Q12" s="139" t="str">
        <f t="shared" si="4"/>
        <v/>
      </c>
      <c r="R12" s="139" t="str">
        <f t="shared" si="5"/>
        <v/>
      </c>
      <c r="S12" s="139" t="str">
        <f t="shared" si="6"/>
        <v/>
      </c>
      <c r="T12" s="140" t="str">
        <f t="shared" si="7"/>
        <v/>
      </c>
      <c r="U12" s="136"/>
      <c r="V12" s="136"/>
      <c r="W12" s="136"/>
      <c r="X12" s="136"/>
      <c r="Y12" s="145"/>
      <c r="Z12" s="145"/>
    </row>
    <row r="13">
      <c r="E13" s="136"/>
      <c r="F13" s="136"/>
      <c r="G13" s="136"/>
      <c r="H13" s="137" t="str">
        <f t="shared" si="1"/>
        <v/>
      </c>
      <c r="I13" s="136"/>
      <c r="J13" s="136"/>
      <c r="K13" s="136"/>
      <c r="L13" s="136"/>
      <c r="M13" s="136"/>
      <c r="N13" s="136"/>
      <c r="O13" s="142" t="str">
        <f t="shared" si="2"/>
        <v/>
      </c>
      <c r="P13" s="140" t="str">
        <f t="shared" si="3"/>
        <v/>
      </c>
      <c r="Q13" s="139" t="str">
        <f t="shared" si="4"/>
        <v/>
      </c>
      <c r="R13" s="139" t="str">
        <f t="shared" si="5"/>
        <v/>
      </c>
      <c r="S13" s="139" t="str">
        <f t="shared" si="6"/>
        <v/>
      </c>
      <c r="T13" s="140" t="str">
        <f t="shared" si="7"/>
        <v/>
      </c>
      <c r="U13" s="136"/>
      <c r="V13" s="136"/>
      <c r="W13" s="136"/>
      <c r="X13" s="136"/>
      <c r="Y13" s="145"/>
      <c r="Z13" s="145"/>
    </row>
    <row r="14">
      <c r="E14" s="136"/>
      <c r="F14" s="136"/>
      <c r="G14" s="136"/>
      <c r="H14" s="137" t="str">
        <f t="shared" si="1"/>
        <v/>
      </c>
      <c r="I14" s="136"/>
      <c r="J14" s="136"/>
      <c r="K14" s="136"/>
      <c r="L14" s="136"/>
      <c r="M14" s="136"/>
      <c r="N14" s="136"/>
      <c r="O14" s="142" t="str">
        <f t="shared" si="2"/>
        <v/>
      </c>
      <c r="P14" s="140" t="str">
        <f t="shared" si="3"/>
        <v/>
      </c>
      <c r="Q14" s="139" t="str">
        <f t="shared" si="4"/>
        <v/>
      </c>
      <c r="R14" s="139" t="str">
        <f t="shared" si="5"/>
        <v/>
      </c>
      <c r="S14" s="139" t="str">
        <f t="shared" si="6"/>
        <v/>
      </c>
      <c r="T14" s="140" t="str">
        <f t="shared" si="7"/>
        <v/>
      </c>
      <c r="U14" s="136"/>
      <c r="V14" s="136"/>
      <c r="W14" s="136"/>
      <c r="X14" s="136"/>
      <c r="Y14" s="145"/>
      <c r="Z14" s="145"/>
    </row>
    <row r="15">
      <c r="E15" s="136"/>
      <c r="F15" s="136"/>
      <c r="G15" s="136"/>
      <c r="H15" s="137" t="str">
        <f t="shared" si="1"/>
        <v/>
      </c>
      <c r="I15" s="136"/>
      <c r="J15" s="136"/>
      <c r="K15" s="136"/>
      <c r="L15" s="136"/>
      <c r="M15" s="136"/>
      <c r="N15" s="136"/>
      <c r="O15" s="142" t="str">
        <f t="shared" si="2"/>
        <v/>
      </c>
      <c r="P15" s="140" t="str">
        <f t="shared" si="3"/>
        <v/>
      </c>
      <c r="Q15" s="139" t="str">
        <f t="shared" si="4"/>
        <v/>
      </c>
      <c r="R15" s="139" t="str">
        <f t="shared" si="5"/>
        <v/>
      </c>
      <c r="S15" s="139" t="str">
        <f t="shared" si="6"/>
        <v/>
      </c>
      <c r="T15" s="140" t="str">
        <f t="shared" si="7"/>
        <v/>
      </c>
      <c r="U15" s="136"/>
      <c r="V15" s="136"/>
      <c r="W15" s="136"/>
      <c r="X15" s="136"/>
      <c r="Y15" s="145"/>
      <c r="Z15" s="145"/>
    </row>
    <row r="16">
      <c r="E16" s="136"/>
      <c r="F16" s="136"/>
      <c r="G16" s="136"/>
      <c r="H16" s="137" t="str">
        <f t="shared" si="1"/>
        <v/>
      </c>
      <c r="I16" s="136"/>
      <c r="J16" s="136"/>
      <c r="K16" s="136"/>
      <c r="L16" s="136"/>
      <c r="M16" s="136"/>
      <c r="N16" s="136"/>
      <c r="O16" s="142" t="str">
        <f t="shared" si="2"/>
        <v/>
      </c>
      <c r="P16" s="140" t="str">
        <f t="shared" si="3"/>
        <v/>
      </c>
      <c r="Q16" s="139" t="str">
        <f t="shared" si="4"/>
        <v/>
      </c>
      <c r="R16" s="139" t="str">
        <f t="shared" si="5"/>
        <v/>
      </c>
      <c r="S16" s="139" t="str">
        <f t="shared" si="6"/>
        <v/>
      </c>
      <c r="T16" s="140" t="str">
        <f t="shared" si="7"/>
        <v/>
      </c>
      <c r="U16" s="136"/>
      <c r="V16" s="136"/>
      <c r="W16" s="136"/>
      <c r="X16" s="136"/>
      <c r="Y16" s="145"/>
      <c r="Z16" s="145"/>
    </row>
    <row r="17">
      <c r="E17" s="136"/>
      <c r="F17" s="136"/>
      <c r="G17" s="136"/>
      <c r="H17" s="137" t="str">
        <f t="shared" si="1"/>
        <v/>
      </c>
      <c r="I17" s="136"/>
      <c r="J17" s="136"/>
      <c r="K17" s="136"/>
      <c r="L17" s="136"/>
      <c r="M17" s="136"/>
      <c r="N17" s="136"/>
      <c r="O17" s="142" t="str">
        <f t="shared" si="2"/>
        <v/>
      </c>
      <c r="P17" s="140" t="str">
        <f t="shared" si="3"/>
        <v/>
      </c>
      <c r="Q17" s="139" t="str">
        <f t="shared" si="4"/>
        <v/>
      </c>
      <c r="R17" s="139" t="str">
        <f t="shared" si="5"/>
        <v/>
      </c>
      <c r="S17" s="139" t="str">
        <f t="shared" si="6"/>
        <v/>
      </c>
      <c r="T17" s="140" t="str">
        <f t="shared" si="7"/>
        <v/>
      </c>
      <c r="U17" s="136"/>
      <c r="V17" s="136"/>
      <c r="W17" s="136"/>
      <c r="X17" s="136"/>
      <c r="Y17" s="145"/>
      <c r="Z17" s="145"/>
    </row>
    <row r="18">
      <c r="E18" s="136"/>
      <c r="F18" s="136"/>
      <c r="G18" s="136"/>
      <c r="H18" s="137" t="str">
        <f t="shared" si="1"/>
        <v/>
      </c>
      <c r="I18" s="136"/>
      <c r="J18" s="136"/>
      <c r="K18" s="136"/>
      <c r="L18" s="136"/>
      <c r="M18" s="136"/>
      <c r="N18" s="136"/>
      <c r="O18" s="142" t="str">
        <f t="shared" si="2"/>
        <v/>
      </c>
      <c r="P18" s="140" t="str">
        <f t="shared" si="3"/>
        <v/>
      </c>
      <c r="Q18" s="139" t="str">
        <f t="shared" si="4"/>
        <v/>
      </c>
      <c r="R18" s="139" t="str">
        <f t="shared" si="5"/>
        <v/>
      </c>
      <c r="S18" s="139" t="str">
        <f t="shared" si="6"/>
        <v/>
      </c>
      <c r="T18" s="140" t="str">
        <f t="shared" si="7"/>
        <v/>
      </c>
      <c r="U18" s="136"/>
      <c r="V18" s="136"/>
      <c r="W18" s="136"/>
      <c r="X18" s="136"/>
      <c r="Y18" s="145"/>
      <c r="Z18" s="145"/>
    </row>
    <row r="19">
      <c r="E19" s="136"/>
      <c r="F19" s="136"/>
      <c r="G19" s="136"/>
      <c r="H19" s="137" t="str">
        <f t="shared" si="1"/>
        <v/>
      </c>
      <c r="I19" s="136"/>
      <c r="J19" s="136"/>
      <c r="K19" s="136"/>
      <c r="L19" s="136"/>
      <c r="M19" s="136"/>
      <c r="N19" s="136"/>
      <c r="O19" s="142" t="str">
        <f t="shared" si="2"/>
        <v/>
      </c>
      <c r="P19" s="140" t="str">
        <f t="shared" si="3"/>
        <v/>
      </c>
      <c r="Q19" s="139" t="str">
        <f t="shared" si="4"/>
        <v/>
      </c>
      <c r="R19" s="139" t="str">
        <f t="shared" si="5"/>
        <v/>
      </c>
      <c r="S19" s="139" t="str">
        <f t="shared" si="6"/>
        <v/>
      </c>
      <c r="T19" s="140" t="str">
        <f t="shared" si="7"/>
        <v/>
      </c>
      <c r="U19" s="136"/>
      <c r="V19" s="136"/>
      <c r="W19" s="136"/>
      <c r="X19" s="136"/>
      <c r="Y19" s="145"/>
      <c r="Z19" s="145"/>
    </row>
    <row r="20">
      <c r="E20" s="136"/>
      <c r="F20" s="136"/>
      <c r="G20" s="136"/>
      <c r="H20" s="137" t="str">
        <f t="shared" si="1"/>
        <v/>
      </c>
      <c r="I20" s="136"/>
      <c r="J20" s="136"/>
      <c r="K20" s="136"/>
      <c r="L20" s="136"/>
      <c r="M20" s="136"/>
      <c r="N20" s="136"/>
      <c r="O20" s="142" t="str">
        <f t="shared" si="2"/>
        <v/>
      </c>
      <c r="P20" s="140" t="str">
        <f t="shared" si="3"/>
        <v/>
      </c>
      <c r="Q20" s="139" t="str">
        <f t="shared" si="4"/>
        <v/>
      </c>
      <c r="R20" s="139" t="str">
        <f t="shared" si="5"/>
        <v/>
      </c>
      <c r="S20" s="139" t="str">
        <f t="shared" si="6"/>
        <v/>
      </c>
      <c r="T20" s="140" t="str">
        <f t="shared" si="7"/>
        <v/>
      </c>
      <c r="U20" s="136"/>
      <c r="V20" s="136"/>
      <c r="W20" s="136"/>
      <c r="X20" s="136"/>
      <c r="Y20" s="145"/>
      <c r="Z20" s="145"/>
    </row>
    <row r="21">
      <c r="E21" s="136"/>
      <c r="F21" s="136"/>
      <c r="G21" s="136"/>
      <c r="H21" s="137" t="str">
        <f t="shared" si="1"/>
        <v/>
      </c>
      <c r="I21" s="136"/>
      <c r="J21" s="136"/>
      <c r="K21" s="136"/>
      <c r="L21" s="136"/>
      <c r="M21" s="136"/>
      <c r="N21" s="136"/>
      <c r="O21" s="142" t="str">
        <f t="shared" si="2"/>
        <v/>
      </c>
      <c r="P21" s="140" t="str">
        <f t="shared" si="3"/>
        <v/>
      </c>
      <c r="Q21" s="139" t="str">
        <f t="shared" si="4"/>
        <v/>
      </c>
      <c r="R21" s="139" t="str">
        <f t="shared" si="5"/>
        <v/>
      </c>
      <c r="S21" s="139" t="str">
        <f t="shared" si="6"/>
        <v/>
      </c>
      <c r="T21" s="140" t="str">
        <f t="shared" si="7"/>
        <v/>
      </c>
      <c r="U21" s="136"/>
      <c r="V21" s="136"/>
      <c r="W21" s="136"/>
      <c r="X21" s="136"/>
      <c r="Y21" s="145"/>
      <c r="Z21" s="145"/>
    </row>
    <row r="22">
      <c r="E22" s="136"/>
      <c r="F22" s="136"/>
      <c r="G22" s="136"/>
      <c r="H22" s="137" t="str">
        <f t="shared" si="1"/>
        <v/>
      </c>
      <c r="I22" s="136"/>
      <c r="J22" s="136"/>
      <c r="K22" s="136"/>
      <c r="L22" s="136"/>
      <c r="M22" s="136"/>
      <c r="N22" s="136"/>
      <c r="O22" s="142" t="str">
        <f t="shared" si="2"/>
        <v/>
      </c>
      <c r="P22" s="140" t="str">
        <f t="shared" si="3"/>
        <v/>
      </c>
      <c r="Q22" s="139" t="str">
        <f t="shared" si="4"/>
        <v/>
      </c>
      <c r="R22" s="139" t="str">
        <f t="shared" si="5"/>
        <v/>
      </c>
      <c r="S22" s="139" t="str">
        <f t="shared" si="6"/>
        <v/>
      </c>
      <c r="T22" s="140" t="str">
        <f t="shared" si="7"/>
        <v/>
      </c>
      <c r="U22" s="136"/>
      <c r="V22" s="136"/>
      <c r="W22" s="136"/>
      <c r="X22" s="136"/>
      <c r="Y22" s="145"/>
      <c r="Z22" s="145"/>
    </row>
    <row r="23">
      <c r="E23" s="136"/>
      <c r="F23" s="136"/>
      <c r="G23" s="136"/>
      <c r="H23" s="137" t="str">
        <f t="shared" si="1"/>
        <v/>
      </c>
      <c r="I23" s="136"/>
      <c r="J23" s="136"/>
      <c r="K23" s="136"/>
      <c r="L23" s="136"/>
      <c r="M23" s="136"/>
      <c r="N23" s="136"/>
      <c r="O23" s="142" t="str">
        <f t="shared" si="2"/>
        <v/>
      </c>
      <c r="P23" s="140" t="str">
        <f t="shared" si="3"/>
        <v/>
      </c>
      <c r="Q23" s="139" t="str">
        <f t="shared" si="4"/>
        <v/>
      </c>
      <c r="R23" s="139" t="str">
        <f t="shared" si="5"/>
        <v/>
      </c>
      <c r="S23" s="139" t="str">
        <f t="shared" si="6"/>
        <v/>
      </c>
      <c r="T23" s="140" t="str">
        <f t="shared" si="7"/>
        <v/>
      </c>
      <c r="U23" s="136"/>
      <c r="V23" s="136"/>
      <c r="W23" s="136"/>
      <c r="X23" s="136"/>
      <c r="Y23" s="145"/>
      <c r="Z23" s="145"/>
    </row>
    <row r="24">
      <c r="E24" s="136"/>
      <c r="F24" s="136"/>
      <c r="G24" s="136"/>
      <c r="H24" s="137" t="str">
        <f t="shared" si="1"/>
        <v/>
      </c>
      <c r="I24" s="136"/>
      <c r="J24" s="136"/>
      <c r="K24" s="136"/>
      <c r="L24" s="136"/>
      <c r="M24" s="136"/>
      <c r="N24" s="136"/>
      <c r="O24" s="142" t="str">
        <f t="shared" si="2"/>
        <v/>
      </c>
      <c r="P24" s="140" t="str">
        <f t="shared" si="3"/>
        <v/>
      </c>
      <c r="Q24" s="139" t="str">
        <f t="shared" si="4"/>
        <v/>
      </c>
      <c r="R24" s="139" t="str">
        <f t="shared" si="5"/>
        <v/>
      </c>
      <c r="S24" s="139" t="str">
        <f t="shared" si="6"/>
        <v/>
      </c>
      <c r="T24" s="140" t="str">
        <f t="shared" si="7"/>
        <v/>
      </c>
      <c r="U24" s="136"/>
      <c r="V24" s="136"/>
      <c r="W24" s="136"/>
      <c r="X24" s="136"/>
      <c r="Y24" s="145"/>
      <c r="Z24" s="145"/>
    </row>
    <row r="25">
      <c r="E25" s="136"/>
      <c r="F25" s="136"/>
      <c r="G25" s="136"/>
      <c r="H25" s="137" t="str">
        <f t="shared" si="1"/>
        <v/>
      </c>
      <c r="I25" s="136"/>
      <c r="J25" s="136"/>
      <c r="K25" s="136"/>
      <c r="L25" s="136"/>
      <c r="M25" s="136"/>
      <c r="N25" s="136"/>
      <c r="O25" s="142" t="str">
        <f t="shared" si="2"/>
        <v/>
      </c>
      <c r="P25" s="140" t="str">
        <f t="shared" si="3"/>
        <v/>
      </c>
      <c r="Q25" s="139" t="str">
        <f t="shared" si="4"/>
        <v/>
      </c>
      <c r="R25" s="139" t="str">
        <f t="shared" si="5"/>
        <v/>
      </c>
      <c r="S25" s="139" t="str">
        <f t="shared" si="6"/>
        <v/>
      </c>
      <c r="T25" s="140" t="str">
        <f t="shared" si="7"/>
        <v/>
      </c>
      <c r="U25" s="136"/>
      <c r="V25" s="136"/>
      <c r="W25" s="136"/>
      <c r="X25" s="136"/>
      <c r="Y25" s="145"/>
      <c r="Z25" s="145"/>
    </row>
    <row r="26">
      <c r="E26" s="136"/>
      <c r="F26" s="136"/>
      <c r="G26" s="136"/>
      <c r="H26" s="137" t="str">
        <f t="shared" si="1"/>
        <v/>
      </c>
      <c r="I26" s="136"/>
      <c r="J26" s="136"/>
      <c r="K26" s="136"/>
      <c r="L26" s="136"/>
      <c r="M26" s="136"/>
      <c r="N26" s="136"/>
      <c r="O26" s="142" t="str">
        <f t="shared" si="2"/>
        <v/>
      </c>
      <c r="P26" s="140" t="str">
        <f t="shared" si="3"/>
        <v/>
      </c>
      <c r="Q26" s="139" t="str">
        <f t="shared" si="4"/>
        <v/>
      </c>
      <c r="R26" s="139" t="str">
        <f t="shared" si="5"/>
        <v/>
      </c>
      <c r="S26" s="139" t="str">
        <f t="shared" si="6"/>
        <v/>
      </c>
      <c r="T26" s="140" t="str">
        <f t="shared" si="7"/>
        <v/>
      </c>
      <c r="U26" s="136"/>
      <c r="V26" s="136"/>
      <c r="W26" s="136"/>
      <c r="X26" s="136"/>
      <c r="Y26" s="145"/>
      <c r="Z26" s="145"/>
    </row>
    <row r="27">
      <c r="E27" s="136"/>
      <c r="F27" s="136"/>
      <c r="G27" s="136"/>
      <c r="H27" s="137" t="str">
        <f t="shared" si="1"/>
        <v/>
      </c>
      <c r="I27" s="136"/>
      <c r="J27" s="136"/>
      <c r="K27" s="136"/>
      <c r="L27" s="136"/>
      <c r="M27" s="136"/>
      <c r="N27" s="136"/>
      <c r="O27" s="142" t="str">
        <f t="shared" si="2"/>
        <v/>
      </c>
      <c r="P27" s="140" t="str">
        <f t="shared" si="3"/>
        <v/>
      </c>
      <c r="Q27" s="139" t="str">
        <f t="shared" si="4"/>
        <v/>
      </c>
      <c r="R27" s="139" t="str">
        <f t="shared" si="5"/>
        <v/>
      </c>
      <c r="S27" s="139" t="str">
        <f t="shared" si="6"/>
        <v/>
      </c>
      <c r="T27" s="140" t="str">
        <f t="shared" si="7"/>
        <v/>
      </c>
      <c r="U27" s="136"/>
      <c r="V27" s="136"/>
      <c r="W27" s="136"/>
      <c r="X27" s="136"/>
      <c r="Y27" s="145"/>
      <c r="Z27" s="145"/>
    </row>
    <row r="28">
      <c r="E28" s="136"/>
      <c r="F28" s="136"/>
      <c r="G28" s="136"/>
      <c r="H28" s="137" t="str">
        <f t="shared" si="1"/>
        <v/>
      </c>
      <c r="I28" s="136"/>
      <c r="J28" s="136"/>
      <c r="K28" s="136"/>
      <c r="L28" s="136"/>
      <c r="M28" s="136"/>
      <c r="N28" s="136"/>
      <c r="O28" s="142" t="str">
        <f t="shared" si="2"/>
        <v/>
      </c>
      <c r="P28" s="140" t="str">
        <f t="shared" si="3"/>
        <v/>
      </c>
      <c r="Q28" s="139" t="str">
        <f t="shared" si="4"/>
        <v/>
      </c>
      <c r="R28" s="139" t="str">
        <f t="shared" si="5"/>
        <v/>
      </c>
      <c r="S28" s="139" t="str">
        <f t="shared" si="6"/>
        <v/>
      </c>
      <c r="T28" s="140" t="str">
        <f t="shared" si="7"/>
        <v/>
      </c>
      <c r="U28" s="136"/>
      <c r="V28" s="136"/>
      <c r="W28" s="136"/>
      <c r="X28" s="136"/>
      <c r="Y28" s="145"/>
      <c r="Z28" s="145"/>
    </row>
    <row r="29">
      <c r="E29" s="136"/>
      <c r="F29" s="136"/>
      <c r="G29" s="136"/>
      <c r="H29" s="137" t="str">
        <f t="shared" si="1"/>
        <v/>
      </c>
      <c r="I29" s="136"/>
      <c r="J29" s="136"/>
      <c r="K29" s="136"/>
      <c r="L29" s="136"/>
      <c r="M29" s="136"/>
      <c r="N29" s="136"/>
      <c r="O29" s="142" t="str">
        <f t="shared" si="2"/>
        <v/>
      </c>
      <c r="P29" s="140" t="str">
        <f t="shared" si="3"/>
        <v/>
      </c>
      <c r="Q29" s="139" t="str">
        <f t="shared" si="4"/>
        <v/>
      </c>
      <c r="R29" s="139" t="str">
        <f t="shared" si="5"/>
        <v/>
      </c>
      <c r="S29" s="139" t="str">
        <f t="shared" si="6"/>
        <v/>
      </c>
      <c r="T29" s="140" t="str">
        <f t="shared" si="7"/>
        <v/>
      </c>
      <c r="U29" s="136"/>
      <c r="V29" s="136"/>
      <c r="W29" s="136"/>
      <c r="X29" s="136"/>
      <c r="Y29" s="145"/>
      <c r="Z29" s="145"/>
    </row>
    <row r="30">
      <c r="E30" s="136"/>
      <c r="F30" s="136"/>
      <c r="G30" s="136"/>
      <c r="H30" s="137" t="str">
        <f t="shared" si="1"/>
        <v/>
      </c>
      <c r="I30" s="136"/>
      <c r="J30" s="136"/>
      <c r="K30" s="136"/>
      <c r="L30" s="136"/>
      <c r="M30" s="136"/>
      <c r="N30" s="136"/>
      <c r="O30" s="142" t="str">
        <f t="shared" si="2"/>
        <v/>
      </c>
      <c r="P30" s="140" t="str">
        <f t="shared" si="3"/>
        <v/>
      </c>
      <c r="Q30" s="139" t="str">
        <f t="shared" si="4"/>
        <v/>
      </c>
      <c r="R30" s="139" t="str">
        <f t="shared" si="5"/>
        <v/>
      </c>
      <c r="S30" s="139" t="str">
        <f t="shared" si="6"/>
        <v/>
      </c>
      <c r="T30" s="140" t="str">
        <f t="shared" si="7"/>
        <v/>
      </c>
      <c r="U30" s="136"/>
      <c r="V30" s="136"/>
      <c r="W30" s="136"/>
      <c r="X30" s="136"/>
      <c r="Y30" s="145"/>
      <c r="Z30" s="145"/>
    </row>
    <row r="31">
      <c r="E31" s="136"/>
      <c r="F31" s="136"/>
      <c r="G31" s="136"/>
      <c r="H31" s="137" t="str">
        <f t="shared" si="1"/>
        <v/>
      </c>
      <c r="I31" s="136"/>
      <c r="J31" s="136"/>
      <c r="K31" s="136"/>
      <c r="L31" s="136"/>
      <c r="M31" s="136"/>
      <c r="N31" s="136"/>
      <c r="O31" s="142" t="str">
        <f t="shared" si="2"/>
        <v/>
      </c>
      <c r="P31" s="140" t="str">
        <f t="shared" si="3"/>
        <v/>
      </c>
      <c r="Q31" s="139" t="str">
        <f t="shared" si="4"/>
        <v/>
      </c>
      <c r="R31" s="139" t="str">
        <f t="shared" si="5"/>
        <v/>
      </c>
      <c r="S31" s="139" t="str">
        <f t="shared" si="6"/>
        <v/>
      </c>
      <c r="T31" s="140" t="str">
        <f t="shared" si="7"/>
        <v/>
      </c>
      <c r="U31" s="136"/>
      <c r="V31" s="136"/>
      <c r="W31" s="136"/>
      <c r="X31" s="136"/>
      <c r="Y31" s="145"/>
      <c r="Z31" s="145"/>
    </row>
    <row r="32">
      <c r="E32" s="136"/>
      <c r="F32" s="136"/>
      <c r="G32" s="136"/>
      <c r="H32" s="137" t="str">
        <f t="shared" si="1"/>
        <v/>
      </c>
      <c r="I32" s="136"/>
      <c r="J32" s="136"/>
      <c r="K32" s="136"/>
      <c r="L32" s="136"/>
      <c r="M32" s="136"/>
      <c r="N32" s="136"/>
      <c r="O32" s="142" t="str">
        <f t="shared" si="2"/>
        <v/>
      </c>
      <c r="P32" s="140" t="str">
        <f t="shared" si="3"/>
        <v/>
      </c>
      <c r="Q32" s="139" t="str">
        <f t="shared" si="4"/>
        <v/>
      </c>
      <c r="R32" s="139" t="str">
        <f t="shared" si="5"/>
        <v/>
      </c>
      <c r="S32" s="139" t="str">
        <f t="shared" si="6"/>
        <v/>
      </c>
      <c r="T32" s="140" t="str">
        <f t="shared" si="7"/>
        <v/>
      </c>
      <c r="U32" s="136"/>
      <c r="V32" s="136"/>
      <c r="W32" s="136"/>
      <c r="X32" s="136"/>
      <c r="Y32" s="145"/>
      <c r="Z32" s="145"/>
    </row>
    <row r="33">
      <c r="E33" s="136"/>
      <c r="F33" s="136"/>
      <c r="G33" s="136"/>
      <c r="H33" s="137" t="str">
        <f t="shared" si="1"/>
        <v/>
      </c>
      <c r="I33" s="136"/>
      <c r="J33" s="136"/>
      <c r="K33" s="136"/>
      <c r="L33" s="136"/>
      <c r="M33" s="136"/>
      <c r="N33" s="136"/>
      <c r="O33" s="142" t="str">
        <f t="shared" si="2"/>
        <v/>
      </c>
      <c r="P33" s="140" t="str">
        <f t="shared" si="3"/>
        <v/>
      </c>
      <c r="Q33" s="139" t="str">
        <f t="shared" si="4"/>
        <v/>
      </c>
      <c r="R33" s="139" t="str">
        <f t="shared" si="5"/>
        <v/>
      </c>
      <c r="S33" s="139" t="str">
        <f t="shared" si="6"/>
        <v/>
      </c>
      <c r="T33" s="140" t="str">
        <f t="shared" si="7"/>
        <v/>
      </c>
      <c r="U33" s="136"/>
      <c r="V33" s="136"/>
      <c r="W33" s="136"/>
      <c r="X33" s="136"/>
      <c r="Y33" s="145"/>
      <c r="Z33" s="145"/>
    </row>
    <row r="34">
      <c r="E34" s="136"/>
      <c r="F34" s="136"/>
      <c r="G34" s="136"/>
      <c r="H34" s="137" t="str">
        <f t="shared" si="1"/>
        <v/>
      </c>
      <c r="I34" s="136"/>
      <c r="J34" s="136"/>
      <c r="K34" s="136"/>
      <c r="L34" s="136"/>
      <c r="M34" s="136"/>
      <c r="N34" s="136"/>
      <c r="O34" s="142" t="str">
        <f t="shared" si="2"/>
        <v/>
      </c>
      <c r="P34" s="140" t="str">
        <f t="shared" si="3"/>
        <v/>
      </c>
      <c r="Q34" s="139" t="str">
        <f t="shared" si="4"/>
        <v/>
      </c>
      <c r="R34" s="139" t="str">
        <f t="shared" si="5"/>
        <v/>
      </c>
      <c r="S34" s="139" t="str">
        <f t="shared" si="6"/>
        <v/>
      </c>
      <c r="T34" s="140" t="str">
        <f t="shared" si="7"/>
        <v/>
      </c>
      <c r="U34" s="136"/>
      <c r="V34" s="136"/>
      <c r="W34" s="136"/>
      <c r="X34" s="136"/>
      <c r="Y34" s="145"/>
      <c r="Z34" s="145"/>
    </row>
    <row r="35">
      <c r="E35" s="136"/>
      <c r="F35" s="136"/>
      <c r="G35" s="136"/>
      <c r="H35" s="137" t="str">
        <f t="shared" si="1"/>
        <v/>
      </c>
      <c r="I35" s="136"/>
      <c r="J35" s="136"/>
      <c r="K35" s="136"/>
      <c r="L35" s="136"/>
      <c r="M35" s="136"/>
      <c r="N35" s="136"/>
      <c r="O35" s="142" t="str">
        <f t="shared" si="2"/>
        <v/>
      </c>
      <c r="P35" s="140" t="str">
        <f t="shared" si="3"/>
        <v/>
      </c>
      <c r="Q35" s="139" t="str">
        <f t="shared" si="4"/>
        <v/>
      </c>
      <c r="R35" s="139" t="str">
        <f t="shared" si="5"/>
        <v/>
      </c>
      <c r="S35" s="139" t="str">
        <f t="shared" si="6"/>
        <v/>
      </c>
      <c r="T35" s="140" t="str">
        <f t="shared" si="7"/>
        <v/>
      </c>
      <c r="U35" s="136"/>
      <c r="V35" s="136"/>
      <c r="W35" s="136"/>
      <c r="X35" s="136"/>
      <c r="Y35" s="145"/>
      <c r="Z35" s="145"/>
    </row>
    <row r="36">
      <c r="E36" s="136"/>
      <c r="F36" s="136"/>
      <c r="G36" s="136"/>
      <c r="H36" s="137" t="str">
        <f t="shared" si="1"/>
        <v/>
      </c>
      <c r="I36" s="136"/>
      <c r="J36" s="136"/>
      <c r="K36" s="136"/>
      <c r="L36" s="136"/>
      <c r="M36" s="136"/>
      <c r="N36" s="136"/>
      <c r="O36" s="142" t="str">
        <f t="shared" si="2"/>
        <v/>
      </c>
      <c r="P36" s="140" t="str">
        <f t="shared" si="3"/>
        <v/>
      </c>
      <c r="Q36" s="139" t="str">
        <f t="shared" si="4"/>
        <v/>
      </c>
      <c r="R36" s="139" t="str">
        <f t="shared" si="5"/>
        <v/>
      </c>
      <c r="S36" s="139" t="str">
        <f t="shared" si="6"/>
        <v/>
      </c>
      <c r="T36" s="140" t="str">
        <f t="shared" si="7"/>
        <v/>
      </c>
      <c r="U36" s="136"/>
      <c r="V36" s="136"/>
      <c r="W36" s="136"/>
      <c r="X36" s="136"/>
      <c r="Y36" s="145"/>
      <c r="Z36" s="145"/>
    </row>
    <row r="37">
      <c r="E37" s="136"/>
      <c r="F37" s="136"/>
      <c r="G37" s="136"/>
      <c r="H37" s="137" t="str">
        <f t="shared" si="1"/>
        <v/>
      </c>
      <c r="I37" s="136"/>
      <c r="J37" s="136"/>
      <c r="K37" s="136"/>
      <c r="L37" s="136"/>
      <c r="M37" s="136"/>
      <c r="N37" s="136"/>
      <c r="O37" s="142" t="str">
        <f t="shared" si="2"/>
        <v/>
      </c>
      <c r="P37" s="140" t="str">
        <f t="shared" si="3"/>
        <v/>
      </c>
      <c r="Q37" s="139" t="str">
        <f t="shared" si="4"/>
        <v/>
      </c>
      <c r="R37" s="139" t="str">
        <f t="shared" si="5"/>
        <v/>
      </c>
      <c r="S37" s="139" t="str">
        <f t="shared" si="6"/>
        <v/>
      </c>
      <c r="T37" s="140" t="str">
        <f t="shared" si="7"/>
        <v/>
      </c>
      <c r="U37" s="136"/>
      <c r="V37" s="136"/>
      <c r="W37" s="136"/>
      <c r="X37" s="136"/>
      <c r="Y37" s="145"/>
      <c r="Z37" s="145"/>
    </row>
    <row r="38">
      <c r="E38" s="136"/>
      <c r="F38" s="136"/>
      <c r="G38" s="136"/>
      <c r="H38" s="137" t="str">
        <f t="shared" si="1"/>
        <v/>
      </c>
      <c r="I38" s="136"/>
      <c r="J38" s="136"/>
      <c r="K38" s="136"/>
      <c r="L38" s="136"/>
      <c r="M38" s="136"/>
      <c r="N38" s="136"/>
      <c r="O38" s="142" t="str">
        <f t="shared" si="2"/>
        <v/>
      </c>
      <c r="P38" s="140" t="str">
        <f t="shared" si="3"/>
        <v/>
      </c>
      <c r="Q38" s="139" t="str">
        <f t="shared" si="4"/>
        <v/>
      </c>
      <c r="R38" s="139" t="str">
        <f t="shared" si="5"/>
        <v/>
      </c>
      <c r="S38" s="139" t="str">
        <f t="shared" si="6"/>
        <v/>
      </c>
      <c r="T38" s="140" t="str">
        <f t="shared" si="7"/>
        <v/>
      </c>
      <c r="U38" s="136"/>
      <c r="V38" s="136"/>
      <c r="W38" s="136"/>
      <c r="X38" s="136"/>
      <c r="Y38" s="145"/>
      <c r="Z38" s="145"/>
    </row>
    <row r="39">
      <c r="E39" s="136"/>
      <c r="F39" s="136"/>
      <c r="G39" s="136"/>
      <c r="H39" s="137" t="str">
        <f t="shared" si="1"/>
        <v/>
      </c>
      <c r="I39" s="136"/>
      <c r="J39" s="136"/>
      <c r="K39" s="136"/>
      <c r="L39" s="136"/>
      <c r="M39" s="136"/>
      <c r="N39" s="136"/>
      <c r="O39" s="142" t="str">
        <f t="shared" si="2"/>
        <v/>
      </c>
      <c r="P39" s="140" t="str">
        <f t="shared" si="3"/>
        <v/>
      </c>
      <c r="Q39" s="139" t="str">
        <f t="shared" si="4"/>
        <v/>
      </c>
      <c r="R39" s="139" t="str">
        <f t="shared" si="5"/>
        <v/>
      </c>
      <c r="S39" s="139" t="str">
        <f t="shared" si="6"/>
        <v/>
      </c>
      <c r="T39" s="140" t="str">
        <f t="shared" si="7"/>
        <v/>
      </c>
      <c r="U39" s="136"/>
      <c r="V39" s="136"/>
      <c r="W39" s="136"/>
      <c r="X39" s="136"/>
      <c r="Y39" s="145"/>
      <c r="Z39" s="145"/>
    </row>
    <row r="40">
      <c r="E40" s="136"/>
      <c r="F40" s="136"/>
      <c r="G40" s="136"/>
      <c r="H40" s="137" t="str">
        <f t="shared" si="1"/>
        <v/>
      </c>
      <c r="I40" s="136"/>
      <c r="J40" s="136"/>
      <c r="K40" s="136"/>
      <c r="L40" s="136"/>
      <c r="M40" s="136"/>
      <c r="N40" s="136"/>
      <c r="O40" s="142" t="str">
        <f t="shared" si="2"/>
        <v/>
      </c>
      <c r="P40" s="140" t="str">
        <f t="shared" si="3"/>
        <v/>
      </c>
      <c r="Q40" s="139" t="str">
        <f t="shared" si="4"/>
        <v/>
      </c>
      <c r="R40" s="139" t="str">
        <f t="shared" si="5"/>
        <v/>
      </c>
      <c r="S40" s="139" t="str">
        <f t="shared" si="6"/>
        <v/>
      </c>
      <c r="T40" s="140" t="str">
        <f t="shared" si="7"/>
        <v/>
      </c>
      <c r="U40" s="136"/>
      <c r="V40" s="136"/>
      <c r="W40" s="136"/>
      <c r="X40" s="136"/>
      <c r="Y40" s="145"/>
      <c r="Z40" s="145"/>
    </row>
    <row r="41">
      <c r="E41" s="136"/>
      <c r="F41" s="136"/>
      <c r="G41" s="136"/>
      <c r="H41" s="137" t="str">
        <f t="shared" si="1"/>
        <v/>
      </c>
      <c r="I41" s="136"/>
      <c r="J41" s="136"/>
      <c r="K41" s="136"/>
      <c r="L41" s="136"/>
      <c r="M41" s="136"/>
      <c r="N41" s="136"/>
      <c r="O41" s="142" t="str">
        <f t="shared" si="2"/>
        <v/>
      </c>
      <c r="P41" s="140" t="str">
        <f t="shared" si="3"/>
        <v/>
      </c>
      <c r="Q41" s="139" t="str">
        <f t="shared" si="4"/>
        <v/>
      </c>
      <c r="R41" s="139" t="str">
        <f t="shared" si="5"/>
        <v/>
      </c>
      <c r="S41" s="139" t="str">
        <f t="shared" si="6"/>
        <v/>
      </c>
      <c r="T41" s="140" t="str">
        <f t="shared" si="7"/>
        <v/>
      </c>
      <c r="U41" s="136"/>
      <c r="V41" s="136"/>
      <c r="W41" s="136"/>
      <c r="X41" s="136"/>
      <c r="Y41" s="145"/>
      <c r="Z41" s="145"/>
    </row>
    <row r="42">
      <c r="E42" s="136"/>
      <c r="F42" s="136"/>
      <c r="G42" s="136"/>
      <c r="H42" s="137" t="str">
        <f t="shared" si="1"/>
        <v/>
      </c>
      <c r="I42" s="136"/>
      <c r="J42" s="136"/>
      <c r="K42" s="136"/>
      <c r="L42" s="136"/>
      <c r="M42" s="136"/>
      <c r="N42" s="136"/>
      <c r="O42" s="142" t="str">
        <f t="shared" si="2"/>
        <v/>
      </c>
      <c r="P42" s="140" t="str">
        <f t="shared" si="3"/>
        <v/>
      </c>
      <c r="Q42" s="139" t="str">
        <f t="shared" si="4"/>
        <v/>
      </c>
      <c r="R42" s="139" t="str">
        <f t="shared" si="5"/>
        <v/>
      </c>
      <c r="S42" s="139" t="str">
        <f t="shared" si="6"/>
        <v/>
      </c>
      <c r="T42" s="140" t="str">
        <f t="shared" si="7"/>
        <v/>
      </c>
      <c r="U42" s="136"/>
      <c r="V42" s="136"/>
      <c r="W42" s="136"/>
      <c r="X42" s="136"/>
      <c r="Y42" s="145"/>
      <c r="Z42" s="145"/>
    </row>
    <row r="43">
      <c r="E43" s="136"/>
      <c r="F43" s="136"/>
      <c r="G43" s="136"/>
      <c r="H43" s="137" t="str">
        <f t="shared" si="1"/>
        <v/>
      </c>
      <c r="I43" s="136"/>
      <c r="J43" s="136"/>
      <c r="K43" s="136"/>
      <c r="L43" s="136"/>
      <c r="M43" s="136"/>
      <c r="N43" s="136"/>
      <c r="O43" s="142" t="str">
        <f t="shared" si="2"/>
        <v/>
      </c>
      <c r="P43" s="140" t="str">
        <f t="shared" si="3"/>
        <v/>
      </c>
      <c r="Q43" s="139" t="str">
        <f t="shared" si="4"/>
        <v/>
      </c>
      <c r="R43" s="139" t="str">
        <f t="shared" si="5"/>
        <v/>
      </c>
      <c r="S43" s="139" t="str">
        <f t="shared" si="6"/>
        <v/>
      </c>
      <c r="T43" s="140" t="str">
        <f t="shared" si="7"/>
        <v/>
      </c>
      <c r="U43" s="136"/>
      <c r="V43" s="136"/>
      <c r="W43" s="136"/>
      <c r="X43" s="136"/>
      <c r="Y43" s="145"/>
      <c r="Z43" s="145"/>
    </row>
    <row r="44">
      <c r="E44" s="136"/>
      <c r="F44" s="136"/>
      <c r="G44" s="136"/>
      <c r="H44" s="137" t="str">
        <f t="shared" si="1"/>
        <v/>
      </c>
      <c r="I44" s="136"/>
      <c r="J44" s="136"/>
      <c r="K44" s="136"/>
      <c r="L44" s="136"/>
      <c r="M44" s="136"/>
      <c r="N44" s="136"/>
      <c r="O44" s="142" t="str">
        <f t="shared" si="2"/>
        <v/>
      </c>
      <c r="P44" s="140" t="str">
        <f t="shared" si="3"/>
        <v/>
      </c>
      <c r="Q44" s="139" t="str">
        <f t="shared" si="4"/>
        <v/>
      </c>
      <c r="R44" s="139" t="str">
        <f t="shared" si="5"/>
        <v/>
      </c>
      <c r="S44" s="139" t="str">
        <f t="shared" si="6"/>
        <v/>
      </c>
      <c r="T44" s="140" t="str">
        <f t="shared" si="7"/>
        <v/>
      </c>
      <c r="U44" s="136"/>
      <c r="V44" s="136"/>
      <c r="W44" s="136"/>
      <c r="X44" s="136"/>
      <c r="Y44" s="145"/>
      <c r="Z44" s="145"/>
    </row>
    <row r="45">
      <c r="E45" s="136"/>
      <c r="F45" s="136"/>
      <c r="G45" s="136"/>
      <c r="H45" s="137" t="str">
        <f t="shared" si="1"/>
        <v/>
      </c>
      <c r="I45" s="136"/>
      <c r="J45" s="136"/>
      <c r="K45" s="136"/>
      <c r="L45" s="136"/>
      <c r="M45" s="136"/>
      <c r="N45" s="136"/>
      <c r="O45" s="142" t="str">
        <f t="shared" si="2"/>
        <v/>
      </c>
      <c r="P45" s="140" t="str">
        <f t="shared" si="3"/>
        <v/>
      </c>
      <c r="Q45" s="139" t="str">
        <f t="shared" si="4"/>
        <v/>
      </c>
      <c r="R45" s="139" t="str">
        <f t="shared" si="5"/>
        <v/>
      </c>
      <c r="S45" s="139" t="str">
        <f t="shared" si="6"/>
        <v/>
      </c>
      <c r="T45" s="140" t="str">
        <f t="shared" si="7"/>
        <v/>
      </c>
      <c r="U45" s="136"/>
      <c r="V45" s="136"/>
      <c r="W45" s="136"/>
      <c r="X45" s="136"/>
      <c r="Y45" s="145"/>
      <c r="Z45" s="145"/>
    </row>
    <row r="46">
      <c r="E46" s="136"/>
      <c r="F46" s="136"/>
      <c r="G46" s="136"/>
      <c r="H46" s="137" t="str">
        <f t="shared" si="1"/>
        <v/>
      </c>
      <c r="I46" s="136"/>
      <c r="J46" s="136"/>
      <c r="K46" s="136"/>
      <c r="L46" s="136"/>
      <c r="M46" s="136"/>
      <c r="N46" s="136"/>
      <c r="O46" s="142" t="str">
        <f t="shared" si="2"/>
        <v/>
      </c>
      <c r="P46" s="140" t="str">
        <f t="shared" si="3"/>
        <v/>
      </c>
      <c r="Q46" s="139" t="str">
        <f t="shared" si="4"/>
        <v/>
      </c>
      <c r="R46" s="139" t="str">
        <f t="shared" si="5"/>
        <v/>
      </c>
      <c r="S46" s="139" t="str">
        <f t="shared" si="6"/>
        <v/>
      </c>
      <c r="T46" s="140" t="str">
        <f t="shared" si="7"/>
        <v/>
      </c>
      <c r="U46" s="136"/>
      <c r="V46" s="136"/>
      <c r="W46" s="136"/>
      <c r="X46" s="136"/>
      <c r="Y46" s="145"/>
      <c r="Z46" s="145"/>
    </row>
    <row r="47">
      <c r="E47" s="136"/>
      <c r="F47" s="136"/>
      <c r="G47" s="136"/>
      <c r="H47" s="137" t="str">
        <f t="shared" si="1"/>
        <v/>
      </c>
      <c r="I47" s="136"/>
      <c r="J47" s="136"/>
      <c r="K47" s="136"/>
      <c r="L47" s="136"/>
      <c r="M47" s="136"/>
      <c r="N47" s="136"/>
      <c r="O47" s="142" t="str">
        <f t="shared" si="2"/>
        <v/>
      </c>
      <c r="P47" s="140" t="str">
        <f t="shared" si="3"/>
        <v/>
      </c>
      <c r="Q47" s="139" t="str">
        <f t="shared" si="4"/>
        <v/>
      </c>
      <c r="R47" s="139" t="str">
        <f t="shared" si="5"/>
        <v/>
      </c>
      <c r="S47" s="139" t="str">
        <f t="shared" si="6"/>
        <v/>
      </c>
      <c r="T47" s="140" t="str">
        <f t="shared" si="7"/>
        <v/>
      </c>
      <c r="U47" s="136"/>
      <c r="V47" s="136"/>
      <c r="W47" s="136"/>
      <c r="X47" s="136"/>
      <c r="Y47" s="145"/>
      <c r="Z47" s="145"/>
    </row>
    <row r="48">
      <c r="E48" s="136"/>
      <c r="F48" s="136"/>
      <c r="G48" s="136"/>
      <c r="H48" s="137" t="str">
        <f t="shared" si="1"/>
        <v/>
      </c>
      <c r="I48" s="136"/>
      <c r="J48" s="136"/>
      <c r="K48" s="136"/>
      <c r="L48" s="136"/>
      <c r="M48" s="136"/>
      <c r="N48" s="136"/>
      <c r="O48" s="142" t="str">
        <f t="shared" si="2"/>
        <v/>
      </c>
      <c r="P48" s="140" t="str">
        <f t="shared" si="3"/>
        <v/>
      </c>
      <c r="Q48" s="139" t="str">
        <f t="shared" si="4"/>
        <v/>
      </c>
      <c r="R48" s="139" t="str">
        <f t="shared" si="5"/>
        <v/>
      </c>
      <c r="S48" s="139" t="str">
        <f t="shared" si="6"/>
        <v/>
      </c>
      <c r="T48" s="140" t="str">
        <f t="shared" si="7"/>
        <v/>
      </c>
      <c r="U48" s="136"/>
      <c r="V48" s="136"/>
      <c r="W48" s="136"/>
      <c r="X48" s="136"/>
      <c r="Y48" s="145"/>
      <c r="Z48" s="145"/>
    </row>
    <row r="49">
      <c r="E49" s="136"/>
      <c r="F49" s="136"/>
      <c r="G49" s="136"/>
      <c r="H49" s="137" t="str">
        <f t="shared" si="1"/>
        <v/>
      </c>
      <c r="I49" s="136"/>
      <c r="J49" s="136"/>
      <c r="K49" s="136"/>
      <c r="L49" s="136"/>
      <c r="M49" s="136"/>
      <c r="N49" s="136"/>
      <c r="O49" s="142" t="str">
        <f t="shared" si="2"/>
        <v/>
      </c>
      <c r="P49" s="140" t="str">
        <f t="shared" si="3"/>
        <v/>
      </c>
      <c r="Q49" s="139" t="str">
        <f t="shared" si="4"/>
        <v/>
      </c>
      <c r="R49" s="139" t="str">
        <f t="shared" si="5"/>
        <v/>
      </c>
      <c r="S49" s="139" t="str">
        <f t="shared" si="6"/>
        <v/>
      </c>
      <c r="T49" s="140" t="str">
        <f t="shared" si="7"/>
        <v/>
      </c>
      <c r="U49" s="136"/>
      <c r="V49" s="136"/>
      <c r="W49" s="136"/>
      <c r="X49" s="136"/>
      <c r="Y49" s="145"/>
      <c r="Z49" s="145"/>
    </row>
    <row r="50">
      <c r="E50" s="136"/>
      <c r="F50" s="136"/>
      <c r="G50" s="136"/>
      <c r="H50" s="137" t="str">
        <f t="shared" si="1"/>
        <v/>
      </c>
      <c r="I50" s="136"/>
      <c r="J50" s="136"/>
      <c r="K50" s="136"/>
      <c r="L50" s="136"/>
      <c r="M50" s="136"/>
      <c r="N50" s="136"/>
      <c r="O50" s="142" t="str">
        <f t="shared" si="2"/>
        <v/>
      </c>
      <c r="P50" s="140" t="str">
        <f t="shared" si="3"/>
        <v/>
      </c>
      <c r="Q50" s="139" t="str">
        <f t="shared" si="4"/>
        <v/>
      </c>
      <c r="R50" s="139" t="str">
        <f t="shared" si="5"/>
        <v/>
      </c>
      <c r="S50" s="139" t="str">
        <f t="shared" si="6"/>
        <v/>
      </c>
      <c r="T50" s="140" t="str">
        <f t="shared" si="7"/>
        <v/>
      </c>
      <c r="U50" s="136"/>
      <c r="V50" s="136"/>
      <c r="W50" s="136"/>
      <c r="X50" s="136"/>
      <c r="Y50" s="145"/>
      <c r="Z50" s="145"/>
    </row>
    <row r="51">
      <c r="E51" s="136"/>
      <c r="F51" s="136"/>
      <c r="G51" s="136"/>
      <c r="H51" s="137" t="str">
        <f t="shared" si="1"/>
        <v/>
      </c>
      <c r="I51" s="136"/>
      <c r="J51" s="136"/>
      <c r="K51" s="136"/>
      <c r="L51" s="136"/>
      <c r="M51" s="136"/>
      <c r="N51" s="136"/>
      <c r="O51" s="142" t="str">
        <f t="shared" si="2"/>
        <v/>
      </c>
      <c r="P51" s="140" t="str">
        <f t="shared" si="3"/>
        <v/>
      </c>
      <c r="Q51" s="139" t="str">
        <f t="shared" si="4"/>
        <v/>
      </c>
      <c r="R51" s="139" t="str">
        <f t="shared" si="5"/>
        <v/>
      </c>
      <c r="S51" s="139" t="str">
        <f t="shared" si="6"/>
        <v/>
      </c>
      <c r="T51" s="140" t="str">
        <f t="shared" si="7"/>
        <v/>
      </c>
      <c r="U51" s="136"/>
      <c r="V51" s="136"/>
      <c r="W51" s="136"/>
      <c r="X51" s="136"/>
      <c r="Y51" s="145"/>
      <c r="Z51" s="145"/>
    </row>
    <row r="52">
      <c r="E52" s="136"/>
      <c r="F52" s="136"/>
      <c r="G52" s="136"/>
      <c r="H52" s="137" t="str">
        <f t="shared" si="1"/>
        <v/>
      </c>
      <c r="I52" s="136"/>
      <c r="J52" s="136"/>
      <c r="K52" s="136"/>
      <c r="L52" s="136"/>
      <c r="M52" s="136"/>
      <c r="N52" s="136"/>
      <c r="O52" s="142" t="str">
        <f t="shared" si="2"/>
        <v/>
      </c>
      <c r="P52" s="140" t="str">
        <f t="shared" si="3"/>
        <v/>
      </c>
      <c r="Q52" s="139" t="str">
        <f t="shared" si="4"/>
        <v/>
      </c>
      <c r="R52" s="139" t="str">
        <f t="shared" si="5"/>
        <v/>
      </c>
      <c r="S52" s="139" t="str">
        <f t="shared" si="6"/>
        <v/>
      </c>
      <c r="T52" s="140" t="str">
        <f t="shared" si="7"/>
        <v/>
      </c>
      <c r="U52" s="136"/>
      <c r="V52" s="136"/>
      <c r="W52" s="136"/>
      <c r="X52" s="136"/>
      <c r="Y52" s="145"/>
      <c r="Z52" s="145"/>
    </row>
    <row r="53">
      <c r="E53" s="136"/>
      <c r="F53" s="136"/>
      <c r="G53" s="136"/>
      <c r="H53" s="137" t="str">
        <f t="shared" si="1"/>
        <v/>
      </c>
      <c r="I53" s="136"/>
      <c r="J53" s="136"/>
      <c r="K53" s="136"/>
      <c r="L53" s="136"/>
      <c r="M53" s="136"/>
      <c r="N53" s="136"/>
      <c r="O53" s="142" t="str">
        <f t="shared" si="2"/>
        <v/>
      </c>
      <c r="P53" s="140" t="str">
        <f t="shared" si="3"/>
        <v/>
      </c>
      <c r="Q53" s="139" t="str">
        <f t="shared" si="4"/>
        <v/>
      </c>
      <c r="R53" s="139" t="str">
        <f t="shared" si="5"/>
        <v/>
      </c>
      <c r="S53" s="139" t="str">
        <f t="shared" si="6"/>
        <v/>
      </c>
      <c r="T53" s="140" t="str">
        <f t="shared" si="7"/>
        <v/>
      </c>
      <c r="U53" s="136"/>
      <c r="V53" s="136"/>
      <c r="W53" s="136"/>
      <c r="X53" s="136"/>
      <c r="Y53" s="145"/>
      <c r="Z53" s="145"/>
    </row>
    <row r="54">
      <c r="E54" s="136"/>
      <c r="F54" s="136"/>
      <c r="G54" s="136"/>
      <c r="H54" s="137" t="str">
        <f t="shared" si="1"/>
        <v/>
      </c>
      <c r="I54" s="136"/>
      <c r="J54" s="136"/>
      <c r="K54" s="136"/>
      <c r="L54" s="136"/>
      <c r="M54" s="136"/>
      <c r="N54" s="136"/>
      <c r="O54" s="142" t="str">
        <f t="shared" si="2"/>
        <v/>
      </c>
      <c r="P54" s="140" t="str">
        <f t="shared" si="3"/>
        <v/>
      </c>
      <c r="Q54" s="139" t="str">
        <f t="shared" si="4"/>
        <v/>
      </c>
      <c r="R54" s="139" t="str">
        <f t="shared" si="5"/>
        <v/>
      </c>
      <c r="S54" s="139" t="str">
        <f t="shared" si="6"/>
        <v/>
      </c>
      <c r="T54" s="140" t="str">
        <f t="shared" si="7"/>
        <v/>
      </c>
      <c r="U54" s="136"/>
      <c r="V54" s="136"/>
      <c r="W54" s="136"/>
      <c r="X54" s="136"/>
      <c r="Y54" s="145"/>
      <c r="Z54" s="145"/>
    </row>
    <row r="55">
      <c r="E55" s="136"/>
      <c r="F55" s="136"/>
      <c r="G55" s="136"/>
      <c r="H55" s="137" t="str">
        <f t="shared" si="1"/>
        <v/>
      </c>
      <c r="I55" s="136"/>
      <c r="J55" s="136"/>
      <c r="K55" s="136"/>
      <c r="L55" s="136"/>
      <c r="M55" s="136"/>
      <c r="N55" s="136"/>
      <c r="O55" s="142" t="str">
        <f t="shared" si="2"/>
        <v/>
      </c>
      <c r="P55" s="140" t="str">
        <f t="shared" si="3"/>
        <v/>
      </c>
      <c r="Q55" s="139" t="str">
        <f t="shared" si="4"/>
        <v/>
      </c>
      <c r="R55" s="139" t="str">
        <f t="shared" si="5"/>
        <v/>
      </c>
      <c r="S55" s="139" t="str">
        <f t="shared" si="6"/>
        <v/>
      </c>
      <c r="T55" s="140" t="str">
        <f t="shared" si="7"/>
        <v/>
      </c>
      <c r="U55" s="136"/>
      <c r="V55" s="136"/>
      <c r="W55" s="136"/>
      <c r="X55" s="136"/>
      <c r="Y55" s="145"/>
      <c r="Z55" s="145"/>
    </row>
    <row r="56">
      <c r="E56" s="136"/>
      <c r="F56" s="136"/>
      <c r="G56" s="136"/>
      <c r="H56" s="137" t="str">
        <f t="shared" si="1"/>
        <v/>
      </c>
      <c r="I56" s="136"/>
      <c r="J56" s="136"/>
      <c r="K56" s="136"/>
      <c r="L56" s="136"/>
      <c r="M56" s="136"/>
      <c r="N56" s="136"/>
      <c r="O56" s="142" t="str">
        <f t="shared" si="2"/>
        <v/>
      </c>
      <c r="P56" s="140" t="str">
        <f t="shared" si="3"/>
        <v/>
      </c>
      <c r="Q56" s="139" t="str">
        <f t="shared" si="4"/>
        <v/>
      </c>
      <c r="R56" s="139" t="str">
        <f t="shared" si="5"/>
        <v/>
      </c>
      <c r="S56" s="139" t="str">
        <f t="shared" si="6"/>
        <v/>
      </c>
      <c r="T56" s="140" t="str">
        <f t="shared" si="7"/>
        <v/>
      </c>
      <c r="U56" s="136"/>
      <c r="V56" s="136"/>
      <c r="W56" s="136"/>
      <c r="X56" s="136"/>
      <c r="Y56" s="145"/>
      <c r="Z56" s="145"/>
    </row>
    <row r="57">
      <c r="E57" s="136"/>
      <c r="F57" s="136"/>
      <c r="G57" s="136"/>
      <c r="H57" s="137" t="str">
        <f t="shared" si="1"/>
        <v/>
      </c>
      <c r="I57" s="136"/>
      <c r="J57" s="136"/>
      <c r="K57" s="136"/>
      <c r="L57" s="136"/>
      <c r="M57" s="136"/>
      <c r="N57" s="136"/>
      <c r="O57" s="142" t="str">
        <f t="shared" si="2"/>
        <v/>
      </c>
      <c r="P57" s="140" t="str">
        <f t="shared" si="3"/>
        <v/>
      </c>
      <c r="Q57" s="139" t="str">
        <f t="shared" si="4"/>
        <v/>
      </c>
      <c r="R57" s="139" t="str">
        <f t="shared" si="5"/>
        <v/>
      </c>
      <c r="S57" s="139" t="str">
        <f t="shared" si="6"/>
        <v/>
      </c>
      <c r="T57" s="140" t="str">
        <f t="shared" si="7"/>
        <v/>
      </c>
      <c r="U57" s="136"/>
      <c r="V57" s="136"/>
      <c r="W57" s="136"/>
      <c r="X57" s="136"/>
      <c r="Y57" s="145"/>
      <c r="Z57" s="145"/>
    </row>
    <row r="58">
      <c r="E58" s="136"/>
      <c r="F58" s="136"/>
      <c r="G58" s="136"/>
      <c r="H58" s="137" t="str">
        <f t="shared" si="1"/>
        <v/>
      </c>
      <c r="I58" s="136"/>
      <c r="J58" s="136"/>
      <c r="K58" s="136"/>
      <c r="L58" s="136"/>
      <c r="M58" s="136"/>
      <c r="N58" s="136"/>
      <c r="O58" s="142" t="str">
        <f t="shared" si="2"/>
        <v/>
      </c>
      <c r="P58" s="140" t="str">
        <f t="shared" si="3"/>
        <v/>
      </c>
      <c r="Q58" s="139" t="str">
        <f t="shared" si="4"/>
        <v/>
      </c>
      <c r="R58" s="139" t="str">
        <f t="shared" si="5"/>
        <v/>
      </c>
      <c r="S58" s="139" t="str">
        <f t="shared" si="6"/>
        <v/>
      </c>
      <c r="T58" s="140" t="str">
        <f t="shared" si="7"/>
        <v/>
      </c>
      <c r="U58" s="136"/>
      <c r="V58" s="136"/>
      <c r="W58" s="136"/>
      <c r="X58" s="136"/>
      <c r="Y58" s="145"/>
      <c r="Z58" s="145"/>
    </row>
    <row r="59">
      <c r="E59" s="136"/>
      <c r="F59" s="136"/>
      <c r="G59" s="136"/>
      <c r="H59" s="137" t="str">
        <f t="shared" si="1"/>
        <v/>
      </c>
      <c r="I59" s="136"/>
      <c r="J59" s="136"/>
      <c r="K59" s="136"/>
      <c r="L59" s="136"/>
      <c r="M59" s="136"/>
      <c r="N59" s="136"/>
      <c r="O59" s="142" t="str">
        <f t="shared" si="2"/>
        <v/>
      </c>
      <c r="P59" s="140" t="str">
        <f t="shared" si="3"/>
        <v/>
      </c>
      <c r="Q59" s="139" t="str">
        <f t="shared" si="4"/>
        <v/>
      </c>
      <c r="R59" s="139" t="str">
        <f t="shared" si="5"/>
        <v/>
      </c>
      <c r="S59" s="139" t="str">
        <f t="shared" si="6"/>
        <v/>
      </c>
      <c r="T59" s="140" t="str">
        <f t="shared" si="7"/>
        <v/>
      </c>
      <c r="U59" s="136"/>
      <c r="V59" s="136"/>
      <c r="W59" s="136"/>
      <c r="X59" s="136"/>
      <c r="Y59" s="145"/>
      <c r="Z59" s="145"/>
    </row>
    <row r="60">
      <c r="E60" s="136"/>
      <c r="F60" s="136"/>
      <c r="G60" s="136"/>
      <c r="H60" s="137" t="str">
        <f t="shared" si="1"/>
        <v/>
      </c>
      <c r="I60" s="136"/>
      <c r="J60" s="136"/>
      <c r="K60" s="136"/>
      <c r="L60" s="136"/>
      <c r="M60" s="136"/>
      <c r="N60" s="136"/>
      <c r="O60" s="142" t="str">
        <f t="shared" si="2"/>
        <v/>
      </c>
      <c r="P60" s="140" t="str">
        <f t="shared" si="3"/>
        <v/>
      </c>
      <c r="Q60" s="139" t="str">
        <f t="shared" si="4"/>
        <v/>
      </c>
      <c r="R60" s="139" t="str">
        <f t="shared" si="5"/>
        <v/>
      </c>
      <c r="S60" s="139" t="str">
        <f t="shared" si="6"/>
        <v/>
      </c>
      <c r="T60" s="140" t="str">
        <f t="shared" si="7"/>
        <v/>
      </c>
      <c r="U60" s="136"/>
      <c r="V60" s="136"/>
      <c r="W60" s="136"/>
      <c r="X60" s="136"/>
      <c r="Y60" s="145"/>
      <c r="Z60" s="145"/>
    </row>
    <row r="61">
      <c r="E61" s="136"/>
      <c r="F61" s="136"/>
      <c r="G61" s="136"/>
      <c r="H61" s="137" t="str">
        <f t="shared" si="1"/>
        <v/>
      </c>
      <c r="I61" s="136"/>
      <c r="J61" s="136"/>
      <c r="K61" s="136"/>
      <c r="L61" s="136"/>
      <c r="M61" s="136"/>
      <c r="N61" s="136"/>
      <c r="O61" s="142" t="str">
        <f t="shared" si="2"/>
        <v/>
      </c>
      <c r="P61" s="140" t="str">
        <f t="shared" si="3"/>
        <v/>
      </c>
      <c r="Q61" s="139" t="str">
        <f t="shared" si="4"/>
        <v/>
      </c>
      <c r="R61" s="139" t="str">
        <f t="shared" si="5"/>
        <v/>
      </c>
      <c r="S61" s="139" t="str">
        <f t="shared" si="6"/>
        <v/>
      </c>
      <c r="T61" s="140" t="str">
        <f t="shared" si="7"/>
        <v/>
      </c>
      <c r="U61" s="136"/>
      <c r="V61" s="136"/>
      <c r="W61" s="136"/>
      <c r="X61" s="136"/>
      <c r="Y61" s="145"/>
      <c r="Z61" s="145"/>
    </row>
    <row r="62">
      <c r="E62" s="136"/>
      <c r="F62" s="136"/>
      <c r="G62" s="136"/>
      <c r="H62" s="137" t="str">
        <f t="shared" si="1"/>
        <v/>
      </c>
      <c r="I62" s="136"/>
      <c r="J62" s="136"/>
      <c r="K62" s="136"/>
      <c r="L62" s="136"/>
      <c r="M62" s="136"/>
      <c r="N62" s="136"/>
      <c r="O62" s="142" t="str">
        <f t="shared" si="2"/>
        <v/>
      </c>
      <c r="P62" s="140" t="str">
        <f t="shared" si="3"/>
        <v/>
      </c>
      <c r="Q62" s="139" t="str">
        <f t="shared" si="4"/>
        <v/>
      </c>
      <c r="R62" s="139" t="str">
        <f t="shared" si="5"/>
        <v/>
      </c>
      <c r="S62" s="139" t="str">
        <f t="shared" si="6"/>
        <v/>
      </c>
      <c r="T62" s="140" t="str">
        <f t="shared" si="7"/>
        <v/>
      </c>
      <c r="U62" s="136"/>
      <c r="V62" s="136"/>
      <c r="W62" s="136"/>
      <c r="X62" s="136"/>
      <c r="Y62" s="145"/>
      <c r="Z62" s="145"/>
    </row>
    <row r="63">
      <c r="E63" s="136"/>
      <c r="F63" s="136"/>
      <c r="G63" s="136"/>
      <c r="H63" s="137" t="str">
        <f t="shared" si="1"/>
        <v/>
      </c>
      <c r="I63" s="136"/>
      <c r="J63" s="136"/>
      <c r="K63" s="136"/>
      <c r="L63" s="136"/>
      <c r="M63" s="136"/>
      <c r="N63" s="136"/>
      <c r="O63" s="142" t="str">
        <f t="shared" si="2"/>
        <v/>
      </c>
      <c r="P63" s="140" t="str">
        <f t="shared" si="3"/>
        <v/>
      </c>
      <c r="Q63" s="139" t="str">
        <f t="shared" si="4"/>
        <v/>
      </c>
      <c r="R63" s="139" t="str">
        <f t="shared" si="5"/>
        <v/>
      </c>
      <c r="S63" s="139" t="str">
        <f t="shared" si="6"/>
        <v/>
      </c>
      <c r="T63" s="140" t="str">
        <f t="shared" si="7"/>
        <v/>
      </c>
      <c r="U63" s="136"/>
      <c r="V63" s="136"/>
      <c r="W63" s="136"/>
      <c r="X63" s="136"/>
      <c r="Y63" s="145"/>
      <c r="Z63" s="145"/>
    </row>
    <row r="64">
      <c r="E64" s="136"/>
      <c r="F64" s="136"/>
      <c r="G64" s="136"/>
      <c r="H64" s="137" t="str">
        <f t="shared" si="1"/>
        <v/>
      </c>
      <c r="I64" s="136"/>
      <c r="J64" s="136"/>
      <c r="K64" s="136"/>
      <c r="L64" s="136"/>
      <c r="M64" s="136"/>
      <c r="N64" s="136"/>
      <c r="O64" s="142" t="str">
        <f t="shared" si="2"/>
        <v/>
      </c>
      <c r="P64" s="140" t="str">
        <f t="shared" si="3"/>
        <v/>
      </c>
      <c r="Q64" s="139" t="str">
        <f t="shared" si="4"/>
        <v/>
      </c>
      <c r="R64" s="139" t="str">
        <f t="shared" si="5"/>
        <v/>
      </c>
      <c r="S64" s="139" t="str">
        <f t="shared" si="6"/>
        <v/>
      </c>
      <c r="T64" s="140" t="str">
        <f t="shared" si="7"/>
        <v/>
      </c>
      <c r="U64" s="136"/>
      <c r="V64" s="136"/>
      <c r="W64" s="136"/>
      <c r="X64" s="136"/>
      <c r="Y64" s="145"/>
      <c r="Z64" s="145"/>
    </row>
    <row r="65">
      <c r="E65" s="136"/>
      <c r="F65" s="136"/>
      <c r="G65" s="136"/>
      <c r="H65" s="137" t="str">
        <f t="shared" si="1"/>
        <v/>
      </c>
      <c r="I65" s="136"/>
      <c r="J65" s="136"/>
      <c r="K65" s="136"/>
      <c r="L65" s="136"/>
      <c r="M65" s="136"/>
      <c r="N65" s="136"/>
      <c r="O65" s="142" t="str">
        <f t="shared" si="2"/>
        <v/>
      </c>
      <c r="P65" s="140" t="str">
        <f t="shared" si="3"/>
        <v/>
      </c>
      <c r="Q65" s="139" t="str">
        <f t="shared" si="4"/>
        <v/>
      </c>
      <c r="R65" s="139" t="str">
        <f t="shared" si="5"/>
        <v/>
      </c>
      <c r="S65" s="139" t="str">
        <f t="shared" si="6"/>
        <v/>
      </c>
      <c r="T65" s="140" t="str">
        <f t="shared" si="7"/>
        <v/>
      </c>
      <c r="U65" s="136"/>
      <c r="V65" s="136"/>
      <c r="W65" s="136"/>
      <c r="X65" s="136"/>
      <c r="Y65" s="145"/>
      <c r="Z65" s="145"/>
    </row>
    <row r="66">
      <c r="E66" s="136"/>
      <c r="F66" s="136"/>
      <c r="G66" s="136"/>
      <c r="H66" s="137" t="str">
        <f t="shared" si="1"/>
        <v/>
      </c>
      <c r="I66" s="136"/>
      <c r="J66" s="136"/>
      <c r="K66" s="136"/>
      <c r="L66" s="136"/>
      <c r="M66" s="136"/>
      <c r="N66" s="136"/>
      <c r="O66" s="142" t="str">
        <f t="shared" si="2"/>
        <v/>
      </c>
      <c r="P66" s="140" t="str">
        <f t="shared" si="3"/>
        <v/>
      </c>
      <c r="Q66" s="139" t="str">
        <f t="shared" si="4"/>
        <v/>
      </c>
      <c r="R66" s="139" t="str">
        <f t="shared" si="5"/>
        <v/>
      </c>
      <c r="S66" s="139" t="str">
        <f t="shared" si="6"/>
        <v/>
      </c>
      <c r="T66" s="140" t="str">
        <f t="shared" si="7"/>
        <v/>
      </c>
      <c r="U66" s="136"/>
      <c r="V66" s="136"/>
      <c r="W66" s="136"/>
      <c r="X66" s="136"/>
      <c r="Y66" s="145"/>
      <c r="Z66" s="145"/>
    </row>
    <row r="67">
      <c r="E67" s="136"/>
      <c r="F67" s="136"/>
      <c r="G67" s="136"/>
      <c r="H67" s="137" t="str">
        <f t="shared" si="1"/>
        <v/>
      </c>
      <c r="I67" s="136"/>
      <c r="J67" s="136"/>
      <c r="K67" s="136"/>
      <c r="L67" s="136"/>
      <c r="M67" s="136"/>
      <c r="N67" s="136"/>
      <c r="O67" s="142" t="str">
        <f t="shared" si="2"/>
        <v/>
      </c>
      <c r="P67" s="140" t="str">
        <f t="shared" si="3"/>
        <v/>
      </c>
      <c r="Q67" s="139" t="str">
        <f t="shared" si="4"/>
        <v/>
      </c>
      <c r="R67" s="139" t="str">
        <f t="shared" si="5"/>
        <v/>
      </c>
      <c r="S67" s="139" t="str">
        <f t="shared" si="6"/>
        <v/>
      </c>
      <c r="T67" s="140" t="str">
        <f t="shared" si="7"/>
        <v/>
      </c>
      <c r="U67" s="136"/>
      <c r="V67" s="136"/>
      <c r="W67" s="136"/>
      <c r="X67" s="136"/>
      <c r="Y67" s="145"/>
      <c r="Z67" s="145"/>
    </row>
    <row r="68">
      <c r="E68" s="136"/>
      <c r="F68" s="136"/>
      <c r="G68" s="136"/>
      <c r="H68" s="137" t="str">
        <f t="shared" si="1"/>
        <v/>
      </c>
      <c r="I68" s="136"/>
      <c r="J68" s="136"/>
      <c r="K68" s="136"/>
      <c r="L68" s="136"/>
      <c r="M68" s="136"/>
      <c r="N68" s="136"/>
      <c r="O68" s="142" t="str">
        <f t="shared" si="2"/>
        <v/>
      </c>
      <c r="P68" s="140" t="str">
        <f t="shared" si="3"/>
        <v/>
      </c>
      <c r="Q68" s="139" t="str">
        <f t="shared" si="4"/>
        <v/>
      </c>
      <c r="R68" s="139" t="str">
        <f t="shared" si="5"/>
        <v/>
      </c>
      <c r="S68" s="139" t="str">
        <f t="shared" si="6"/>
        <v/>
      </c>
      <c r="T68" s="140" t="str">
        <f t="shared" si="7"/>
        <v/>
      </c>
      <c r="U68" s="136"/>
      <c r="V68" s="136"/>
      <c r="W68" s="136"/>
      <c r="X68" s="136"/>
      <c r="Y68" s="145"/>
      <c r="Z68" s="145"/>
    </row>
    <row r="69">
      <c r="E69" s="136"/>
      <c r="F69" s="136"/>
      <c r="G69" s="136"/>
      <c r="H69" s="137" t="str">
        <f t="shared" si="1"/>
        <v/>
      </c>
      <c r="I69" s="136"/>
      <c r="J69" s="136"/>
      <c r="K69" s="136"/>
      <c r="L69" s="136"/>
      <c r="M69" s="136"/>
      <c r="N69" s="136"/>
      <c r="O69" s="142" t="str">
        <f t="shared" si="2"/>
        <v/>
      </c>
      <c r="P69" s="140" t="str">
        <f t="shared" si="3"/>
        <v/>
      </c>
      <c r="Q69" s="139" t="str">
        <f t="shared" si="4"/>
        <v/>
      </c>
      <c r="R69" s="139" t="str">
        <f t="shared" si="5"/>
        <v/>
      </c>
      <c r="S69" s="139" t="str">
        <f t="shared" si="6"/>
        <v/>
      </c>
      <c r="T69" s="140" t="str">
        <f t="shared" si="7"/>
        <v/>
      </c>
      <c r="U69" s="136"/>
      <c r="V69" s="136"/>
      <c r="W69" s="136"/>
      <c r="X69" s="136"/>
      <c r="Y69" s="145"/>
      <c r="Z69" s="145"/>
    </row>
    <row r="70">
      <c r="E70" s="136"/>
      <c r="F70" s="136"/>
      <c r="G70" s="136"/>
      <c r="H70" s="137" t="str">
        <f t="shared" si="1"/>
        <v/>
      </c>
      <c r="I70" s="136"/>
      <c r="J70" s="136"/>
      <c r="K70" s="136"/>
      <c r="L70" s="136"/>
      <c r="M70" s="136"/>
      <c r="N70" s="136"/>
      <c r="O70" s="142" t="str">
        <f t="shared" si="2"/>
        <v/>
      </c>
      <c r="P70" s="140" t="str">
        <f t="shared" si="3"/>
        <v/>
      </c>
      <c r="Q70" s="139" t="str">
        <f t="shared" si="4"/>
        <v/>
      </c>
      <c r="R70" s="139" t="str">
        <f t="shared" si="5"/>
        <v/>
      </c>
      <c r="S70" s="139" t="str">
        <f t="shared" si="6"/>
        <v/>
      </c>
      <c r="T70" s="140" t="str">
        <f t="shared" si="7"/>
        <v/>
      </c>
      <c r="U70" s="136"/>
      <c r="V70" s="136"/>
      <c r="W70" s="136"/>
      <c r="X70" s="136"/>
      <c r="Y70" s="145"/>
      <c r="Z70" s="145"/>
    </row>
    <row r="71">
      <c r="E71" s="136"/>
      <c r="F71" s="136"/>
      <c r="G71" s="136"/>
      <c r="H71" s="137" t="str">
        <f t="shared" si="1"/>
        <v/>
      </c>
      <c r="I71" s="136"/>
      <c r="J71" s="136"/>
      <c r="K71" s="136"/>
      <c r="L71" s="136"/>
      <c r="M71" s="136"/>
      <c r="N71" s="136"/>
      <c r="O71" s="142" t="str">
        <f t="shared" si="2"/>
        <v/>
      </c>
      <c r="P71" s="140" t="str">
        <f t="shared" si="3"/>
        <v/>
      </c>
      <c r="Q71" s="139" t="str">
        <f t="shared" si="4"/>
        <v/>
      </c>
      <c r="R71" s="139" t="str">
        <f t="shared" si="5"/>
        <v/>
      </c>
      <c r="S71" s="139" t="str">
        <f t="shared" si="6"/>
        <v/>
      </c>
      <c r="T71" s="140" t="str">
        <f t="shared" si="7"/>
        <v/>
      </c>
      <c r="U71" s="136"/>
      <c r="V71" s="136"/>
      <c r="W71" s="136"/>
      <c r="X71" s="136"/>
      <c r="Y71" s="145"/>
      <c r="Z71" s="145"/>
    </row>
    <row r="72">
      <c r="E72" s="136"/>
      <c r="F72" s="136"/>
      <c r="G72" s="136"/>
      <c r="H72" s="137" t="str">
        <f t="shared" si="1"/>
        <v/>
      </c>
      <c r="I72" s="136"/>
      <c r="J72" s="136"/>
      <c r="K72" s="136"/>
      <c r="L72" s="136"/>
      <c r="M72" s="136"/>
      <c r="N72" s="136"/>
      <c r="O72" s="142" t="str">
        <f t="shared" si="2"/>
        <v/>
      </c>
      <c r="P72" s="140" t="str">
        <f t="shared" si="3"/>
        <v/>
      </c>
      <c r="Q72" s="139" t="str">
        <f t="shared" si="4"/>
        <v/>
      </c>
      <c r="R72" s="139" t="str">
        <f t="shared" si="5"/>
        <v/>
      </c>
      <c r="S72" s="139" t="str">
        <f t="shared" si="6"/>
        <v/>
      </c>
      <c r="T72" s="140" t="str">
        <f t="shared" si="7"/>
        <v/>
      </c>
      <c r="U72" s="136"/>
      <c r="V72" s="136"/>
      <c r="W72" s="136"/>
      <c r="X72" s="136"/>
      <c r="Y72" s="145"/>
      <c r="Z72" s="145"/>
    </row>
    <row r="73">
      <c r="E73" s="136"/>
      <c r="F73" s="136"/>
      <c r="G73" s="136"/>
      <c r="H73" s="137" t="str">
        <f t="shared" si="1"/>
        <v/>
      </c>
      <c r="I73" s="136"/>
      <c r="J73" s="136"/>
      <c r="K73" s="136"/>
      <c r="L73" s="136"/>
      <c r="M73" s="136"/>
      <c r="N73" s="136"/>
      <c r="O73" s="142" t="str">
        <f t="shared" si="2"/>
        <v/>
      </c>
      <c r="P73" s="140" t="str">
        <f t="shared" si="3"/>
        <v/>
      </c>
      <c r="Q73" s="139" t="str">
        <f t="shared" si="4"/>
        <v/>
      </c>
      <c r="R73" s="139" t="str">
        <f t="shared" si="5"/>
        <v/>
      </c>
      <c r="S73" s="139" t="str">
        <f t="shared" si="6"/>
        <v/>
      </c>
      <c r="T73" s="140" t="str">
        <f t="shared" si="7"/>
        <v/>
      </c>
      <c r="U73" s="136"/>
      <c r="V73" s="136"/>
      <c r="W73" s="136"/>
      <c r="X73" s="136"/>
      <c r="Y73" s="145"/>
      <c r="Z73" s="145"/>
    </row>
    <row r="74">
      <c r="E74" s="136"/>
      <c r="F74" s="136"/>
      <c r="G74" s="136"/>
      <c r="H74" s="137" t="str">
        <f t="shared" si="1"/>
        <v/>
      </c>
      <c r="I74" s="136"/>
      <c r="J74" s="136"/>
      <c r="K74" s="136"/>
      <c r="L74" s="136"/>
      <c r="M74" s="136"/>
      <c r="N74" s="136"/>
      <c r="O74" s="142" t="str">
        <f t="shared" si="2"/>
        <v/>
      </c>
      <c r="P74" s="140" t="str">
        <f t="shared" si="3"/>
        <v/>
      </c>
      <c r="Q74" s="139" t="str">
        <f t="shared" si="4"/>
        <v/>
      </c>
      <c r="R74" s="139" t="str">
        <f t="shared" si="5"/>
        <v/>
      </c>
      <c r="S74" s="139" t="str">
        <f t="shared" si="6"/>
        <v/>
      </c>
      <c r="T74" s="140" t="str">
        <f t="shared" si="7"/>
        <v/>
      </c>
      <c r="U74" s="136"/>
      <c r="V74" s="136"/>
      <c r="W74" s="136"/>
      <c r="X74" s="136"/>
      <c r="Y74" s="145"/>
      <c r="Z74" s="145"/>
    </row>
    <row r="75">
      <c r="E75" s="136"/>
      <c r="F75" s="136"/>
      <c r="G75" s="136"/>
      <c r="H75" s="137" t="str">
        <f t="shared" si="1"/>
        <v/>
      </c>
      <c r="I75" s="136"/>
      <c r="J75" s="136"/>
      <c r="K75" s="136"/>
      <c r="L75" s="136"/>
      <c r="M75" s="136"/>
      <c r="N75" s="136"/>
      <c r="O75" s="142" t="str">
        <f t="shared" si="2"/>
        <v/>
      </c>
      <c r="P75" s="140" t="str">
        <f t="shared" si="3"/>
        <v/>
      </c>
      <c r="Q75" s="139" t="str">
        <f t="shared" si="4"/>
        <v/>
      </c>
      <c r="R75" s="139" t="str">
        <f t="shared" si="5"/>
        <v/>
      </c>
      <c r="S75" s="139" t="str">
        <f t="shared" si="6"/>
        <v/>
      </c>
      <c r="T75" s="140" t="str">
        <f t="shared" si="7"/>
        <v/>
      </c>
      <c r="U75" s="136"/>
      <c r="V75" s="136"/>
      <c r="W75" s="136"/>
      <c r="X75" s="136"/>
      <c r="Y75" s="145"/>
      <c r="Z75" s="145"/>
    </row>
    <row r="76">
      <c r="E76" s="136"/>
      <c r="F76" s="136"/>
      <c r="G76" s="136"/>
      <c r="H76" s="137" t="str">
        <f t="shared" si="1"/>
        <v/>
      </c>
      <c r="I76" s="136"/>
      <c r="J76" s="136"/>
      <c r="K76" s="136"/>
      <c r="L76" s="136"/>
      <c r="M76" s="136"/>
      <c r="N76" s="136"/>
      <c r="O76" s="142" t="str">
        <f t="shared" si="2"/>
        <v/>
      </c>
      <c r="P76" s="140" t="str">
        <f t="shared" si="3"/>
        <v/>
      </c>
      <c r="Q76" s="139" t="str">
        <f t="shared" si="4"/>
        <v/>
      </c>
      <c r="R76" s="139" t="str">
        <f t="shared" si="5"/>
        <v/>
      </c>
      <c r="S76" s="139" t="str">
        <f t="shared" si="6"/>
        <v/>
      </c>
      <c r="T76" s="140" t="str">
        <f t="shared" si="7"/>
        <v/>
      </c>
      <c r="U76" s="136"/>
      <c r="V76" s="136"/>
      <c r="W76" s="136"/>
      <c r="X76" s="136"/>
      <c r="Y76" s="145"/>
      <c r="Z76" s="145"/>
    </row>
    <row r="77">
      <c r="E77" s="136"/>
      <c r="F77" s="136"/>
      <c r="G77" s="136"/>
      <c r="H77" s="137" t="str">
        <f t="shared" si="1"/>
        <v/>
      </c>
      <c r="I77" s="136"/>
      <c r="J77" s="136"/>
      <c r="K77" s="136"/>
      <c r="L77" s="136"/>
      <c r="M77" s="136"/>
      <c r="N77" s="136"/>
      <c r="O77" s="142" t="str">
        <f t="shared" si="2"/>
        <v/>
      </c>
      <c r="P77" s="140" t="str">
        <f t="shared" si="3"/>
        <v/>
      </c>
      <c r="Q77" s="139" t="str">
        <f t="shared" si="4"/>
        <v/>
      </c>
      <c r="R77" s="139" t="str">
        <f t="shared" si="5"/>
        <v/>
      </c>
      <c r="S77" s="139" t="str">
        <f t="shared" si="6"/>
        <v/>
      </c>
      <c r="T77" s="140" t="str">
        <f t="shared" si="7"/>
        <v/>
      </c>
      <c r="U77" s="136"/>
      <c r="V77" s="136"/>
      <c r="W77" s="136"/>
      <c r="X77" s="136"/>
      <c r="Y77" s="145"/>
      <c r="Z77" s="145"/>
    </row>
    <row r="78">
      <c r="E78" s="136"/>
      <c r="F78" s="136"/>
      <c r="G78" s="136"/>
      <c r="H78" s="137" t="str">
        <f t="shared" si="1"/>
        <v/>
      </c>
      <c r="I78" s="136"/>
      <c r="J78" s="136"/>
      <c r="K78" s="136"/>
      <c r="L78" s="136"/>
      <c r="M78" s="136"/>
      <c r="N78" s="136"/>
      <c r="O78" s="142" t="str">
        <f t="shared" si="2"/>
        <v/>
      </c>
      <c r="P78" s="140" t="str">
        <f t="shared" si="3"/>
        <v/>
      </c>
      <c r="Q78" s="139" t="str">
        <f t="shared" si="4"/>
        <v/>
      </c>
      <c r="R78" s="139" t="str">
        <f t="shared" si="5"/>
        <v/>
      </c>
      <c r="S78" s="139" t="str">
        <f t="shared" si="6"/>
        <v/>
      </c>
      <c r="T78" s="140" t="str">
        <f t="shared" si="7"/>
        <v/>
      </c>
      <c r="U78" s="136"/>
      <c r="V78" s="136"/>
      <c r="W78" s="136"/>
      <c r="X78" s="136"/>
      <c r="Y78" s="145"/>
      <c r="Z78" s="145"/>
    </row>
    <row r="79">
      <c r="E79" s="136"/>
      <c r="F79" s="136"/>
      <c r="G79" s="136"/>
      <c r="H79" s="137" t="str">
        <f t="shared" si="1"/>
        <v/>
      </c>
      <c r="I79" s="136"/>
      <c r="J79" s="136"/>
      <c r="K79" s="136"/>
      <c r="L79" s="136"/>
      <c r="M79" s="136"/>
      <c r="N79" s="136"/>
      <c r="O79" s="142" t="str">
        <f t="shared" si="2"/>
        <v/>
      </c>
      <c r="P79" s="140" t="str">
        <f t="shared" si="3"/>
        <v/>
      </c>
      <c r="Q79" s="139" t="str">
        <f t="shared" si="4"/>
        <v/>
      </c>
      <c r="R79" s="139" t="str">
        <f t="shared" si="5"/>
        <v/>
      </c>
      <c r="S79" s="139" t="str">
        <f t="shared" si="6"/>
        <v/>
      </c>
      <c r="T79" s="140" t="str">
        <f t="shared" si="7"/>
        <v/>
      </c>
      <c r="U79" s="136"/>
      <c r="V79" s="136"/>
      <c r="W79" s="136"/>
      <c r="X79" s="136"/>
      <c r="Y79" s="145"/>
      <c r="Z79" s="145"/>
    </row>
    <row r="80">
      <c r="E80" s="136"/>
      <c r="F80" s="136"/>
      <c r="G80" s="136"/>
      <c r="H80" s="137" t="str">
        <f t="shared" si="1"/>
        <v/>
      </c>
      <c r="I80" s="136"/>
      <c r="J80" s="136"/>
      <c r="K80" s="136"/>
      <c r="L80" s="136"/>
      <c r="M80" s="136"/>
      <c r="N80" s="136"/>
      <c r="O80" s="142" t="str">
        <f t="shared" si="2"/>
        <v/>
      </c>
      <c r="P80" s="140" t="str">
        <f t="shared" si="3"/>
        <v/>
      </c>
      <c r="Q80" s="139" t="str">
        <f t="shared" si="4"/>
        <v/>
      </c>
      <c r="R80" s="139" t="str">
        <f t="shared" si="5"/>
        <v/>
      </c>
      <c r="S80" s="139" t="str">
        <f t="shared" si="6"/>
        <v/>
      </c>
      <c r="T80" s="140" t="str">
        <f t="shared" si="7"/>
        <v/>
      </c>
      <c r="U80" s="136"/>
      <c r="V80" s="136"/>
      <c r="W80" s="136"/>
      <c r="X80" s="136"/>
      <c r="Y80" s="145"/>
      <c r="Z80" s="145"/>
    </row>
    <row r="81">
      <c r="E81" s="136"/>
      <c r="F81" s="136"/>
      <c r="G81" s="136"/>
      <c r="H81" s="137" t="str">
        <f t="shared" si="1"/>
        <v/>
      </c>
      <c r="I81" s="136"/>
      <c r="J81" s="136"/>
      <c r="K81" s="136"/>
      <c r="L81" s="136"/>
      <c r="M81" s="136"/>
      <c r="N81" s="136"/>
      <c r="O81" s="142" t="str">
        <f t="shared" si="2"/>
        <v/>
      </c>
      <c r="P81" s="140" t="str">
        <f t="shared" si="3"/>
        <v/>
      </c>
      <c r="Q81" s="139" t="str">
        <f t="shared" si="4"/>
        <v/>
      </c>
      <c r="R81" s="139" t="str">
        <f t="shared" si="5"/>
        <v/>
      </c>
      <c r="S81" s="139" t="str">
        <f t="shared" si="6"/>
        <v/>
      </c>
      <c r="T81" s="140" t="str">
        <f t="shared" si="7"/>
        <v/>
      </c>
      <c r="U81" s="136"/>
      <c r="V81" s="136"/>
      <c r="W81" s="136"/>
      <c r="X81" s="136"/>
      <c r="Y81" s="145"/>
      <c r="Z81" s="145"/>
    </row>
    <row r="82">
      <c r="E82" s="136"/>
      <c r="F82" s="136"/>
      <c r="G82" s="136"/>
      <c r="H82" s="137" t="str">
        <f t="shared" si="1"/>
        <v/>
      </c>
      <c r="I82" s="136"/>
      <c r="J82" s="136"/>
      <c r="K82" s="136"/>
      <c r="L82" s="136"/>
      <c r="M82" s="136"/>
      <c r="N82" s="136"/>
      <c r="O82" s="142" t="str">
        <f t="shared" si="2"/>
        <v/>
      </c>
      <c r="P82" s="140" t="str">
        <f t="shared" si="3"/>
        <v/>
      </c>
      <c r="Q82" s="139" t="str">
        <f t="shared" si="4"/>
        <v/>
      </c>
      <c r="R82" s="139" t="str">
        <f t="shared" si="5"/>
        <v/>
      </c>
      <c r="S82" s="139" t="str">
        <f t="shared" si="6"/>
        <v/>
      </c>
      <c r="T82" s="140" t="str">
        <f t="shared" si="7"/>
        <v/>
      </c>
      <c r="U82" s="136"/>
      <c r="V82" s="136"/>
      <c r="W82" s="136"/>
      <c r="X82" s="136"/>
      <c r="Y82" s="145"/>
      <c r="Z82" s="145"/>
    </row>
    <row r="83">
      <c r="E83" s="136"/>
      <c r="F83" s="136"/>
      <c r="G83" s="136"/>
      <c r="H83" s="137" t="str">
        <f t="shared" si="1"/>
        <v/>
      </c>
      <c r="I83" s="136"/>
      <c r="J83" s="136"/>
      <c r="K83" s="136"/>
      <c r="L83" s="136"/>
      <c r="M83" s="136"/>
      <c r="N83" s="136"/>
      <c r="O83" s="142" t="str">
        <f t="shared" si="2"/>
        <v/>
      </c>
      <c r="P83" s="140" t="str">
        <f t="shared" si="3"/>
        <v/>
      </c>
      <c r="Q83" s="139" t="str">
        <f t="shared" si="4"/>
        <v/>
      </c>
      <c r="R83" s="139" t="str">
        <f t="shared" si="5"/>
        <v/>
      </c>
      <c r="S83" s="139" t="str">
        <f t="shared" si="6"/>
        <v/>
      </c>
      <c r="T83" s="140" t="str">
        <f t="shared" si="7"/>
        <v/>
      </c>
      <c r="U83" s="136"/>
      <c r="V83" s="136"/>
      <c r="W83" s="136"/>
      <c r="X83" s="136"/>
      <c r="Y83" s="145"/>
      <c r="Z83" s="145"/>
    </row>
    <row r="84">
      <c r="E84" s="136"/>
      <c r="F84" s="136"/>
      <c r="G84" s="136"/>
      <c r="H84" s="137" t="str">
        <f t="shared" si="1"/>
        <v/>
      </c>
      <c r="I84" s="136"/>
      <c r="J84" s="136"/>
      <c r="K84" s="136"/>
      <c r="L84" s="136"/>
      <c r="M84" s="136"/>
      <c r="N84" s="136"/>
      <c r="O84" s="142" t="str">
        <f t="shared" si="2"/>
        <v/>
      </c>
      <c r="P84" s="140" t="str">
        <f t="shared" si="3"/>
        <v/>
      </c>
      <c r="Q84" s="139" t="str">
        <f t="shared" si="4"/>
        <v/>
      </c>
      <c r="R84" s="139" t="str">
        <f t="shared" si="5"/>
        <v/>
      </c>
      <c r="S84" s="139" t="str">
        <f t="shared" si="6"/>
        <v/>
      </c>
      <c r="T84" s="140" t="str">
        <f t="shared" si="7"/>
        <v/>
      </c>
      <c r="U84" s="136"/>
      <c r="V84" s="136"/>
      <c r="W84" s="136"/>
      <c r="X84" s="136"/>
      <c r="Y84" s="145"/>
      <c r="Z84" s="145"/>
    </row>
    <row r="85">
      <c r="E85" s="136"/>
      <c r="F85" s="136"/>
      <c r="G85" s="136"/>
      <c r="H85" s="137" t="str">
        <f t="shared" si="1"/>
        <v/>
      </c>
      <c r="I85" s="136"/>
      <c r="J85" s="136"/>
      <c r="K85" s="136"/>
      <c r="L85" s="136"/>
      <c r="M85" s="136"/>
      <c r="N85" s="136"/>
      <c r="O85" s="142" t="str">
        <f t="shared" si="2"/>
        <v/>
      </c>
      <c r="P85" s="140" t="str">
        <f t="shared" si="3"/>
        <v/>
      </c>
      <c r="Q85" s="139" t="str">
        <f t="shared" si="4"/>
        <v/>
      </c>
      <c r="R85" s="139" t="str">
        <f t="shared" si="5"/>
        <v/>
      </c>
      <c r="S85" s="139" t="str">
        <f t="shared" si="6"/>
        <v/>
      </c>
      <c r="T85" s="140" t="str">
        <f t="shared" si="7"/>
        <v/>
      </c>
      <c r="U85" s="136"/>
      <c r="V85" s="136"/>
      <c r="W85" s="136"/>
      <c r="X85" s="136"/>
      <c r="Y85" s="145"/>
      <c r="Z85" s="145"/>
    </row>
    <row r="86">
      <c r="E86" s="136"/>
      <c r="F86" s="136"/>
      <c r="G86" s="136"/>
      <c r="H86" s="137" t="str">
        <f t="shared" si="1"/>
        <v/>
      </c>
      <c r="I86" s="136"/>
      <c r="J86" s="136"/>
      <c r="K86" s="136"/>
      <c r="L86" s="136"/>
      <c r="M86" s="136"/>
      <c r="N86" s="136"/>
      <c r="O86" s="142" t="str">
        <f t="shared" si="2"/>
        <v/>
      </c>
      <c r="P86" s="140" t="str">
        <f t="shared" si="3"/>
        <v/>
      </c>
      <c r="Q86" s="139" t="str">
        <f t="shared" si="4"/>
        <v/>
      </c>
      <c r="R86" s="139" t="str">
        <f t="shared" si="5"/>
        <v/>
      </c>
      <c r="S86" s="139" t="str">
        <f t="shared" si="6"/>
        <v/>
      </c>
      <c r="T86" s="140" t="str">
        <f t="shared" si="7"/>
        <v/>
      </c>
      <c r="U86" s="136"/>
      <c r="V86" s="136"/>
      <c r="W86" s="136"/>
      <c r="X86" s="136"/>
      <c r="Y86" s="145"/>
      <c r="Z86" s="145"/>
    </row>
    <row r="87">
      <c r="E87" s="136"/>
      <c r="F87" s="136"/>
      <c r="G87" s="136"/>
      <c r="H87" s="137" t="str">
        <f t="shared" si="1"/>
        <v/>
      </c>
      <c r="I87" s="136"/>
      <c r="J87" s="136"/>
      <c r="K87" s="136"/>
      <c r="L87" s="136"/>
      <c r="M87" s="136"/>
      <c r="N87" s="136"/>
      <c r="O87" s="142" t="str">
        <f t="shared" si="2"/>
        <v/>
      </c>
      <c r="P87" s="140" t="str">
        <f t="shared" si="3"/>
        <v/>
      </c>
      <c r="Q87" s="139" t="str">
        <f t="shared" si="4"/>
        <v/>
      </c>
      <c r="R87" s="139" t="str">
        <f t="shared" si="5"/>
        <v/>
      </c>
      <c r="S87" s="139" t="str">
        <f t="shared" si="6"/>
        <v/>
      </c>
      <c r="T87" s="140" t="str">
        <f t="shared" si="7"/>
        <v/>
      </c>
      <c r="U87" s="136"/>
      <c r="V87" s="136"/>
      <c r="W87" s="136"/>
      <c r="X87" s="136"/>
      <c r="Y87" s="145"/>
      <c r="Z87" s="145"/>
    </row>
    <row r="88">
      <c r="E88" s="136"/>
      <c r="F88" s="136"/>
      <c r="G88" s="136"/>
      <c r="H88" s="137" t="str">
        <f t="shared" si="1"/>
        <v/>
      </c>
      <c r="I88" s="136"/>
      <c r="J88" s="136"/>
      <c r="K88" s="136"/>
      <c r="L88" s="136"/>
      <c r="M88" s="136"/>
      <c r="N88" s="136"/>
      <c r="O88" s="142" t="str">
        <f t="shared" si="2"/>
        <v/>
      </c>
      <c r="P88" s="140" t="str">
        <f t="shared" si="3"/>
        <v/>
      </c>
      <c r="Q88" s="139" t="str">
        <f t="shared" si="4"/>
        <v/>
      </c>
      <c r="R88" s="139" t="str">
        <f t="shared" si="5"/>
        <v/>
      </c>
      <c r="S88" s="139" t="str">
        <f t="shared" si="6"/>
        <v/>
      </c>
      <c r="T88" s="140" t="str">
        <f t="shared" si="7"/>
        <v/>
      </c>
      <c r="U88" s="136"/>
      <c r="V88" s="136"/>
      <c r="W88" s="136"/>
      <c r="X88" s="136"/>
      <c r="Y88" s="145"/>
      <c r="Z88" s="145"/>
    </row>
    <row r="89">
      <c r="E89" s="136"/>
      <c r="F89" s="136"/>
      <c r="G89" s="136"/>
      <c r="H89" s="137" t="str">
        <f t="shared" si="1"/>
        <v/>
      </c>
      <c r="I89" s="136"/>
      <c r="J89" s="136"/>
      <c r="K89" s="136"/>
      <c r="L89" s="136"/>
      <c r="M89" s="136"/>
      <c r="N89" s="136"/>
      <c r="O89" s="142" t="str">
        <f t="shared" si="2"/>
        <v/>
      </c>
      <c r="P89" s="140" t="str">
        <f t="shared" si="3"/>
        <v/>
      </c>
      <c r="Q89" s="139" t="str">
        <f t="shared" si="4"/>
        <v/>
      </c>
      <c r="R89" s="139" t="str">
        <f t="shared" si="5"/>
        <v/>
      </c>
      <c r="S89" s="139" t="str">
        <f t="shared" si="6"/>
        <v/>
      </c>
      <c r="T89" s="140" t="str">
        <f t="shared" si="7"/>
        <v/>
      </c>
      <c r="U89" s="136"/>
      <c r="V89" s="136"/>
      <c r="W89" s="136"/>
      <c r="X89" s="136"/>
      <c r="Y89" s="145"/>
      <c r="Z89" s="145"/>
    </row>
    <row r="90">
      <c r="E90" s="136"/>
      <c r="F90" s="136"/>
      <c r="G90" s="136"/>
      <c r="H90" s="137" t="str">
        <f t="shared" si="1"/>
        <v/>
      </c>
      <c r="I90" s="136"/>
      <c r="J90" s="136"/>
      <c r="K90" s="136"/>
      <c r="L90" s="136"/>
      <c r="M90" s="136"/>
      <c r="N90" s="136"/>
      <c r="O90" s="142" t="str">
        <f t="shared" si="2"/>
        <v/>
      </c>
      <c r="P90" s="140" t="str">
        <f t="shared" si="3"/>
        <v/>
      </c>
      <c r="Q90" s="139" t="str">
        <f t="shared" si="4"/>
        <v/>
      </c>
      <c r="R90" s="139" t="str">
        <f t="shared" si="5"/>
        <v/>
      </c>
      <c r="S90" s="139" t="str">
        <f t="shared" si="6"/>
        <v/>
      </c>
      <c r="T90" s="140" t="str">
        <f t="shared" si="7"/>
        <v/>
      </c>
      <c r="U90" s="136"/>
      <c r="V90" s="136"/>
      <c r="W90" s="136"/>
      <c r="X90" s="136"/>
      <c r="Y90" s="145"/>
      <c r="Z90" s="145"/>
    </row>
    <row r="91">
      <c r="E91" s="136"/>
      <c r="F91" s="136"/>
      <c r="G91" s="136"/>
      <c r="H91" s="137" t="str">
        <f t="shared" si="1"/>
        <v/>
      </c>
      <c r="I91" s="136"/>
      <c r="J91" s="136"/>
      <c r="K91" s="136"/>
      <c r="L91" s="136"/>
      <c r="M91" s="136"/>
      <c r="N91" s="136"/>
      <c r="O91" s="142" t="str">
        <f t="shared" si="2"/>
        <v/>
      </c>
      <c r="P91" s="140" t="str">
        <f t="shared" si="3"/>
        <v/>
      </c>
      <c r="Q91" s="139" t="str">
        <f t="shared" si="4"/>
        <v/>
      </c>
      <c r="R91" s="139" t="str">
        <f t="shared" si="5"/>
        <v/>
      </c>
      <c r="S91" s="139" t="str">
        <f t="shared" si="6"/>
        <v/>
      </c>
      <c r="T91" s="140" t="str">
        <f t="shared" si="7"/>
        <v/>
      </c>
      <c r="U91" s="136"/>
      <c r="V91" s="136"/>
      <c r="W91" s="136"/>
      <c r="X91" s="136"/>
      <c r="Y91" s="145"/>
      <c r="Z91" s="145"/>
    </row>
    <row r="92">
      <c r="E92" s="136"/>
      <c r="F92" s="136"/>
      <c r="G92" s="136"/>
      <c r="H92" s="137" t="str">
        <f t="shared" si="1"/>
        <v/>
      </c>
      <c r="I92" s="136"/>
      <c r="J92" s="136"/>
      <c r="K92" s="136"/>
      <c r="L92" s="136"/>
      <c r="M92" s="136"/>
      <c r="N92" s="136"/>
      <c r="O92" s="142" t="str">
        <f t="shared" si="2"/>
        <v/>
      </c>
      <c r="P92" s="140" t="str">
        <f t="shared" si="3"/>
        <v/>
      </c>
      <c r="Q92" s="139" t="str">
        <f t="shared" si="4"/>
        <v/>
      </c>
      <c r="R92" s="139" t="str">
        <f t="shared" si="5"/>
        <v/>
      </c>
      <c r="S92" s="139" t="str">
        <f t="shared" si="6"/>
        <v/>
      </c>
      <c r="T92" s="140" t="str">
        <f t="shared" si="7"/>
        <v/>
      </c>
      <c r="U92" s="136"/>
      <c r="V92" s="136"/>
      <c r="W92" s="136"/>
      <c r="X92" s="136"/>
      <c r="Y92" s="145"/>
      <c r="Z92" s="145"/>
    </row>
    <row r="93">
      <c r="E93" s="136"/>
      <c r="F93" s="136"/>
      <c r="G93" s="136"/>
      <c r="H93" s="137" t="str">
        <f t="shared" si="1"/>
        <v/>
      </c>
      <c r="I93" s="136"/>
      <c r="J93" s="136"/>
      <c r="K93" s="136"/>
      <c r="L93" s="136"/>
      <c r="M93" s="136"/>
      <c r="N93" s="136"/>
      <c r="O93" s="142" t="str">
        <f t="shared" si="2"/>
        <v/>
      </c>
      <c r="P93" s="140" t="str">
        <f t="shared" si="3"/>
        <v/>
      </c>
      <c r="Q93" s="139" t="str">
        <f t="shared" si="4"/>
        <v/>
      </c>
      <c r="R93" s="139" t="str">
        <f t="shared" si="5"/>
        <v/>
      </c>
      <c r="S93" s="139" t="str">
        <f t="shared" si="6"/>
        <v/>
      </c>
      <c r="T93" s="140" t="str">
        <f t="shared" si="7"/>
        <v/>
      </c>
      <c r="U93" s="136"/>
      <c r="V93" s="136"/>
      <c r="W93" s="136"/>
      <c r="X93" s="136"/>
      <c r="Y93" s="145"/>
      <c r="Z93" s="145"/>
    </row>
    <row r="94">
      <c r="E94" s="136"/>
      <c r="F94" s="136"/>
      <c r="G94" s="136"/>
      <c r="H94" s="137" t="str">
        <f t="shared" si="1"/>
        <v/>
      </c>
      <c r="I94" s="136"/>
      <c r="J94" s="136"/>
      <c r="K94" s="136"/>
      <c r="L94" s="136"/>
      <c r="M94" s="136"/>
      <c r="N94" s="136"/>
      <c r="O94" s="142" t="str">
        <f t="shared" si="2"/>
        <v/>
      </c>
      <c r="P94" s="140" t="str">
        <f t="shared" si="3"/>
        <v/>
      </c>
      <c r="Q94" s="139" t="str">
        <f t="shared" si="4"/>
        <v/>
      </c>
      <c r="R94" s="139" t="str">
        <f t="shared" si="5"/>
        <v/>
      </c>
      <c r="S94" s="139" t="str">
        <f t="shared" si="6"/>
        <v/>
      </c>
      <c r="T94" s="140" t="str">
        <f t="shared" si="7"/>
        <v/>
      </c>
      <c r="U94" s="136"/>
      <c r="V94" s="136"/>
      <c r="W94" s="136"/>
      <c r="X94" s="136"/>
      <c r="Y94" s="145"/>
      <c r="Z94" s="145"/>
    </row>
    <row r="95">
      <c r="E95" s="136"/>
      <c r="F95" s="136"/>
      <c r="G95" s="136"/>
      <c r="H95" s="137" t="str">
        <f t="shared" si="1"/>
        <v/>
      </c>
      <c r="I95" s="136"/>
      <c r="J95" s="136"/>
      <c r="K95" s="136"/>
      <c r="L95" s="136"/>
      <c r="M95" s="136"/>
      <c r="N95" s="136"/>
      <c r="O95" s="142" t="str">
        <f t="shared" si="2"/>
        <v/>
      </c>
      <c r="P95" s="140" t="str">
        <f t="shared" si="3"/>
        <v/>
      </c>
      <c r="Q95" s="139" t="str">
        <f t="shared" si="4"/>
        <v/>
      </c>
      <c r="R95" s="139" t="str">
        <f t="shared" si="5"/>
        <v/>
      </c>
      <c r="S95" s="139" t="str">
        <f t="shared" si="6"/>
        <v/>
      </c>
      <c r="T95" s="140" t="str">
        <f t="shared" si="7"/>
        <v/>
      </c>
      <c r="U95" s="136"/>
      <c r="V95" s="136"/>
      <c r="W95" s="136"/>
      <c r="X95" s="136"/>
      <c r="Y95" s="145"/>
      <c r="Z95" s="145"/>
    </row>
    <row r="96">
      <c r="E96" s="136"/>
      <c r="F96" s="136"/>
      <c r="G96" s="136"/>
      <c r="H96" s="137" t="str">
        <f t="shared" si="1"/>
        <v/>
      </c>
      <c r="I96" s="136"/>
      <c r="J96" s="136"/>
      <c r="K96" s="136"/>
      <c r="L96" s="136"/>
      <c r="M96" s="136"/>
      <c r="N96" s="136"/>
      <c r="O96" s="142" t="str">
        <f t="shared" si="2"/>
        <v/>
      </c>
      <c r="P96" s="140" t="str">
        <f t="shared" si="3"/>
        <v/>
      </c>
      <c r="Q96" s="139" t="str">
        <f t="shared" si="4"/>
        <v/>
      </c>
      <c r="R96" s="139" t="str">
        <f t="shared" si="5"/>
        <v/>
      </c>
      <c r="S96" s="139" t="str">
        <f t="shared" si="6"/>
        <v/>
      </c>
      <c r="T96" s="140" t="str">
        <f t="shared" si="7"/>
        <v/>
      </c>
      <c r="U96" s="136"/>
      <c r="V96" s="136"/>
      <c r="W96" s="136"/>
      <c r="X96" s="136"/>
      <c r="Y96" s="145"/>
      <c r="Z96" s="145"/>
    </row>
    <row r="97">
      <c r="E97" s="136"/>
      <c r="F97" s="136"/>
      <c r="G97" s="136"/>
      <c r="H97" s="137" t="str">
        <f t="shared" si="1"/>
        <v/>
      </c>
      <c r="I97" s="136"/>
      <c r="J97" s="136"/>
      <c r="K97" s="136"/>
      <c r="L97" s="136"/>
      <c r="M97" s="136"/>
      <c r="N97" s="136"/>
      <c r="O97" s="142" t="str">
        <f t="shared" si="2"/>
        <v/>
      </c>
      <c r="P97" s="140" t="str">
        <f t="shared" si="3"/>
        <v/>
      </c>
      <c r="Q97" s="139" t="str">
        <f t="shared" si="4"/>
        <v/>
      </c>
      <c r="R97" s="139" t="str">
        <f t="shared" si="5"/>
        <v/>
      </c>
      <c r="S97" s="139" t="str">
        <f t="shared" si="6"/>
        <v/>
      </c>
      <c r="T97" s="140" t="str">
        <f t="shared" si="7"/>
        <v/>
      </c>
      <c r="U97" s="136"/>
      <c r="V97" s="136"/>
      <c r="W97" s="136"/>
      <c r="X97" s="136"/>
      <c r="Y97" s="145"/>
      <c r="Z97" s="145"/>
    </row>
    <row r="98">
      <c r="E98" s="136"/>
      <c r="F98" s="136"/>
      <c r="G98" s="136"/>
      <c r="H98" s="137" t="str">
        <f t="shared" si="1"/>
        <v/>
      </c>
      <c r="I98" s="136"/>
      <c r="J98" s="136"/>
      <c r="K98" s="136"/>
      <c r="L98" s="136"/>
      <c r="M98" s="136"/>
      <c r="N98" s="136"/>
      <c r="O98" s="142" t="str">
        <f t="shared" si="2"/>
        <v/>
      </c>
      <c r="P98" s="140" t="str">
        <f t="shared" si="3"/>
        <v/>
      </c>
      <c r="Q98" s="139" t="str">
        <f t="shared" si="4"/>
        <v/>
      </c>
      <c r="R98" s="139" t="str">
        <f t="shared" si="5"/>
        <v/>
      </c>
      <c r="S98" s="139" t="str">
        <f t="shared" si="6"/>
        <v/>
      </c>
      <c r="T98" s="140" t="str">
        <f t="shared" si="7"/>
        <v/>
      </c>
      <c r="U98" s="136"/>
      <c r="V98" s="136"/>
      <c r="W98" s="136"/>
      <c r="X98" s="136"/>
      <c r="Y98" s="145"/>
      <c r="Z98" s="145"/>
    </row>
    <row r="99">
      <c r="E99" s="136"/>
      <c r="F99" s="136"/>
      <c r="G99" s="136"/>
      <c r="H99" s="137" t="str">
        <f t="shared" si="1"/>
        <v/>
      </c>
      <c r="I99" s="136"/>
      <c r="J99" s="136"/>
      <c r="K99" s="136"/>
      <c r="L99" s="136"/>
      <c r="M99" s="136"/>
      <c r="N99" s="136"/>
      <c r="O99" s="142" t="str">
        <f t="shared" si="2"/>
        <v/>
      </c>
      <c r="P99" s="140" t="str">
        <f t="shared" si="3"/>
        <v/>
      </c>
      <c r="Q99" s="139" t="str">
        <f t="shared" si="4"/>
        <v/>
      </c>
      <c r="R99" s="139" t="str">
        <f t="shared" si="5"/>
        <v/>
      </c>
      <c r="S99" s="139" t="str">
        <f t="shared" si="6"/>
        <v/>
      </c>
      <c r="T99" s="140" t="str">
        <f t="shared" si="7"/>
        <v/>
      </c>
      <c r="U99" s="136"/>
      <c r="V99" s="136"/>
      <c r="W99" s="136"/>
      <c r="X99" s="136"/>
      <c r="Y99" s="145"/>
      <c r="Z99" s="145"/>
    </row>
    <row r="100">
      <c r="E100" s="136"/>
      <c r="F100" s="136"/>
      <c r="G100" s="136"/>
      <c r="H100" s="137" t="str">
        <f t="shared" si="1"/>
        <v/>
      </c>
      <c r="I100" s="136"/>
      <c r="J100" s="136"/>
      <c r="K100" s="136"/>
      <c r="L100" s="136"/>
      <c r="M100" s="136"/>
      <c r="N100" s="136"/>
      <c r="O100" s="142" t="str">
        <f t="shared" si="2"/>
        <v/>
      </c>
      <c r="P100" s="140" t="str">
        <f t="shared" si="3"/>
        <v/>
      </c>
      <c r="Q100" s="139" t="str">
        <f t="shared" si="4"/>
        <v/>
      </c>
      <c r="R100" s="139" t="str">
        <f t="shared" si="5"/>
        <v/>
      </c>
      <c r="S100" s="139" t="str">
        <f t="shared" si="6"/>
        <v/>
      </c>
      <c r="T100" s="140" t="str">
        <f t="shared" si="7"/>
        <v/>
      </c>
      <c r="U100" s="136"/>
      <c r="V100" s="136"/>
      <c r="W100" s="136"/>
      <c r="X100" s="136"/>
      <c r="Y100" s="145"/>
      <c r="Z100" s="145"/>
    </row>
    <row r="101">
      <c r="E101" s="136"/>
      <c r="F101" s="136"/>
      <c r="G101" s="136"/>
      <c r="H101" s="137" t="str">
        <f t="shared" si="1"/>
        <v/>
      </c>
      <c r="I101" s="136"/>
      <c r="J101" s="136"/>
      <c r="K101" s="136"/>
      <c r="L101" s="136"/>
      <c r="M101" s="136"/>
      <c r="N101" s="136"/>
      <c r="O101" s="142" t="str">
        <f t="shared" si="2"/>
        <v/>
      </c>
      <c r="P101" s="140" t="str">
        <f t="shared" si="3"/>
        <v/>
      </c>
      <c r="Q101" s="139" t="str">
        <f t="shared" si="4"/>
        <v/>
      </c>
      <c r="R101" s="139" t="str">
        <f t="shared" si="5"/>
        <v/>
      </c>
      <c r="S101" s="139" t="str">
        <f t="shared" si="6"/>
        <v/>
      </c>
      <c r="T101" s="140" t="str">
        <f t="shared" si="7"/>
        <v/>
      </c>
      <c r="U101" s="136"/>
      <c r="V101" s="136"/>
      <c r="W101" s="136"/>
      <c r="X101" s="136"/>
      <c r="Y101" s="145"/>
      <c r="Z101" s="145"/>
    </row>
    <row r="102">
      <c r="E102" s="136"/>
      <c r="F102" s="136"/>
      <c r="G102" s="136"/>
      <c r="H102" s="137" t="str">
        <f t="shared" si="1"/>
        <v/>
      </c>
      <c r="I102" s="136"/>
      <c r="J102" s="136"/>
      <c r="K102" s="136"/>
      <c r="L102" s="136"/>
      <c r="M102" s="136"/>
      <c r="N102" s="136"/>
      <c r="O102" s="142" t="str">
        <f t="shared" si="2"/>
        <v/>
      </c>
      <c r="P102" s="140" t="str">
        <f t="shared" si="3"/>
        <v/>
      </c>
      <c r="Q102" s="139" t="str">
        <f t="shared" si="4"/>
        <v/>
      </c>
      <c r="R102" s="139" t="str">
        <f t="shared" si="5"/>
        <v/>
      </c>
      <c r="S102" s="139" t="str">
        <f t="shared" si="6"/>
        <v/>
      </c>
      <c r="T102" s="140" t="str">
        <f t="shared" si="7"/>
        <v/>
      </c>
      <c r="U102" s="136"/>
      <c r="V102" s="136"/>
      <c r="W102" s="136"/>
      <c r="X102" s="136"/>
      <c r="Y102" s="145"/>
      <c r="Z102" s="145"/>
    </row>
    <row r="103">
      <c r="E103" s="136"/>
      <c r="F103" s="136"/>
      <c r="G103" s="136"/>
      <c r="H103" s="137" t="str">
        <f t="shared" si="1"/>
        <v/>
      </c>
      <c r="I103" s="136"/>
      <c r="J103" s="136"/>
      <c r="K103" s="136"/>
      <c r="L103" s="136"/>
      <c r="M103" s="136"/>
      <c r="N103" s="136"/>
      <c r="O103" s="142" t="str">
        <f t="shared" si="2"/>
        <v/>
      </c>
      <c r="P103" s="140" t="str">
        <f t="shared" si="3"/>
        <v/>
      </c>
      <c r="Q103" s="139" t="str">
        <f t="shared" si="4"/>
        <v/>
      </c>
      <c r="R103" s="139" t="str">
        <f t="shared" si="5"/>
        <v/>
      </c>
      <c r="S103" s="139" t="str">
        <f t="shared" si="6"/>
        <v/>
      </c>
      <c r="T103" s="140" t="str">
        <f t="shared" si="7"/>
        <v/>
      </c>
      <c r="U103" s="136"/>
      <c r="V103" s="136"/>
      <c r="W103" s="136"/>
      <c r="X103" s="136"/>
      <c r="Y103" s="145"/>
      <c r="Z103" s="145"/>
    </row>
    <row r="104">
      <c r="E104" s="136"/>
      <c r="F104" s="136"/>
      <c r="G104" s="136"/>
      <c r="H104" s="137" t="str">
        <f t="shared" si="1"/>
        <v/>
      </c>
      <c r="I104" s="136"/>
      <c r="J104" s="136"/>
      <c r="K104" s="136"/>
      <c r="L104" s="136"/>
      <c r="M104" s="136"/>
      <c r="N104" s="136"/>
      <c r="O104" s="142" t="str">
        <f t="shared" si="2"/>
        <v/>
      </c>
      <c r="P104" s="140" t="str">
        <f t="shared" si="3"/>
        <v/>
      </c>
      <c r="Q104" s="139" t="str">
        <f t="shared" si="4"/>
        <v/>
      </c>
      <c r="R104" s="139" t="str">
        <f t="shared" si="5"/>
        <v/>
      </c>
      <c r="S104" s="139" t="str">
        <f t="shared" si="6"/>
        <v/>
      </c>
      <c r="T104" s="140" t="str">
        <f t="shared" si="7"/>
        <v/>
      </c>
      <c r="U104" s="136"/>
      <c r="V104" s="136"/>
      <c r="W104" s="136"/>
      <c r="X104" s="136"/>
      <c r="Y104" s="145"/>
      <c r="Z104" s="145"/>
    </row>
    <row r="105">
      <c r="E105" s="136"/>
      <c r="F105" s="136"/>
      <c r="G105" s="136"/>
      <c r="H105" s="137" t="str">
        <f t="shared" si="1"/>
        <v/>
      </c>
      <c r="I105" s="136"/>
      <c r="J105" s="136"/>
      <c r="K105" s="136"/>
      <c r="L105" s="136"/>
      <c r="M105" s="136"/>
      <c r="N105" s="136"/>
      <c r="O105" s="142" t="str">
        <f t="shared" si="2"/>
        <v/>
      </c>
      <c r="P105" s="140" t="str">
        <f t="shared" si="3"/>
        <v/>
      </c>
      <c r="Q105" s="139" t="str">
        <f t="shared" si="4"/>
        <v/>
      </c>
      <c r="R105" s="139" t="str">
        <f t="shared" si="5"/>
        <v/>
      </c>
      <c r="S105" s="139" t="str">
        <f t="shared" si="6"/>
        <v/>
      </c>
      <c r="T105" s="140" t="str">
        <f t="shared" si="7"/>
        <v/>
      </c>
      <c r="U105" s="136"/>
      <c r="V105" s="136"/>
      <c r="W105" s="136"/>
      <c r="X105" s="136"/>
      <c r="Y105" s="145"/>
      <c r="Z105" s="145"/>
    </row>
    <row r="106">
      <c r="E106" s="136"/>
      <c r="F106" s="136"/>
      <c r="G106" s="136"/>
      <c r="H106" s="137" t="str">
        <f t="shared" si="1"/>
        <v/>
      </c>
      <c r="I106" s="136"/>
      <c r="J106" s="136"/>
      <c r="K106" s="136"/>
      <c r="L106" s="136"/>
      <c r="M106" s="136"/>
      <c r="N106" s="136"/>
      <c r="O106" s="142" t="str">
        <f t="shared" si="2"/>
        <v/>
      </c>
      <c r="P106" s="140" t="str">
        <f t="shared" si="3"/>
        <v/>
      </c>
      <c r="Q106" s="139" t="str">
        <f t="shared" si="4"/>
        <v/>
      </c>
      <c r="R106" s="139" t="str">
        <f t="shared" si="5"/>
        <v/>
      </c>
      <c r="S106" s="139" t="str">
        <f t="shared" si="6"/>
        <v/>
      </c>
      <c r="T106" s="140" t="str">
        <f t="shared" si="7"/>
        <v/>
      </c>
      <c r="U106" s="136"/>
      <c r="V106" s="136"/>
      <c r="W106" s="136"/>
      <c r="X106" s="136"/>
      <c r="Y106" s="145"/>
      <c r="Z106" s="145"/>
    </row>
    <row r="107">
      <c r="E107" s="136"/>
      <c r="F107" s="136"/>
      <c r="G107" s="136"/>
      <c r="H107" s="137" t="str">
        <f t="shared" si="1"/>
        <v/>
      </c>
      <c r="I107" s="136"/>
      <c r="J107" s="136"/>
      <c r="K107" s="136"/>
      <c r="L107" s="136"/>
      <c r="M107" s="136"/>
      <c r="N107" s="136"/>
      <c r="O107" s="142" t="str">
        <f t="shared" si="2"/>
        <v/>
      </c>
      <c r="P107" s="140" t="str">
        <f t="shared" si="3"/>
        <v/>
      </c>
      <c r="Q107" s="139" t="str">
        <f t="shared" si="4"/>
        <v/>
      </c>
      <c r="R107" s="139" t="str">
        <f t="shared" si="5"/>
        <v/>
      </c>
      <c r="S107" s="139" t="str">
        <f t="shared" si="6"/>
        <v/>
      </c>
      <c r="T107" s="140" t="str">
        <f t="shared" si="7"/>
        <v/>
      </c>
      <c r="U107" s="136"/>
      <c r="V107" s="136"/>
      <c r="W107" s="136"/>
      <c r="X107" s="136"/>
      <c r="Y107" s="145"/>
      <c r="Z107" s="145"/>
    </row>
    <row r="108">
      <c r="E108" s="136"/>
      <c r="F108" s="136"/>
      <c r="G108" s="136"/>
      <c r="H108" s="137" t="str">
        <f t="shared" si="1"/>
        <v/>
      </c>
      <c r="I108" s="136"/>
      <c r="J108" s="136"/>
      <c r="K108" s="136"/>
      <c r="L108" s="136"/>
      <c r="M108" s="136"/>
      <c r="N108" s="136"/>
      <c r="O108" s="142" t="str">
        <f t="shared" si="2"/>
        <v/>
      </c>
      <c r="P108" s="140" t="str">
        <f t="shared" si="3"/>
        <v/>
      </c>
      <c r="Q108" s="139" t="str">
        <f t="shared" si="4"/>
        <v/>
      </c>
      <c r="R108" s="139" t="str">
        <f t="shared" si="5"/>
        <v/>
      </c>
      <c r="S108" s="139" t="str">
        <f t="shared" si="6"/>
        <v/>
      </c>
      <c r="T108" s="140" t="str">
        <f t="shared" si="7"/>
        <v/>
      </c>
      <c r="U108" s="136"/>
      <c r="V108" s="136"/>
      <c r="W108" s="136"/>
      <c r="X108" s="136"/>
      <c r="Y108" s="145"/>
      <c r="Z108" s="145"/>
    </row>
    <row r="109">
      <c r="E109" s="136"/>
      <c r="F109" s="136"/>
      <c r="G109" s="136"/>
      <c r="H109" s="137" t="str">
        <f t="shared" si="1"/>
        <v/>
      </c>
      <c r="I109" s="136"/>
      <c r="J109" s="136"/>
      <c r="K109" s="136"/>
      <c r="L109" s="136"/>
      <c r="M109" s="136"/>
      <c r="N109" s="136"/>
      <c r="O109" s="142" t="str">
        <f t="shared" si="2"/>
        <v/>
      </c>
      <c r="P109" s="140" t="str">
        <f t="shared" si="3"/>
        <v/>
      </c>
      <c r="Q109" s="139" t="str">
        <f t="shared" si="4"/>
        <v/>
      </c>
      <c r="R109" s="139" t="str">
        <f t="shared" si="5"/>
        <v/>
      </c>
      <c r="S109" s="139" t="str">
        <f t="shared" si="6"/>
        <v/>
      </c>
      <c r="T109" s="140" t="str">
        <f t="shared" si="7"/>
        <v/>
      </c>
      <c r="U109" s="136"/>
      <c r="V109" s="136"/>
      <c r="W109" s="136"/>
      <c r="X109" s="136"/>
      <c r="Y109" s="145"/>
      <c r="Z109" s="145"/>
    </row>
    <row r="110">
      <c r="E110" s="136"/>
      <c r="F110" s="136"/>
      <c r="G110" s="136"/>
      <c r="H110" s="137" t="str">
        <f t="shared" si="1"/>
        <v/>
      </c>
      <c r="I110" s="136"/>
      <c r="J110" s="136"/>
      <c r="K110" s="136"/>
      <c r="L110" s="136"/>
      <c r="M110" s="136"/>
      <c r="N110" s="136"/>
      <c r="O110" s="142" t="str">
        <f t="shared" si="2"/>
        <v/>
      </c>
      <c r="P110" s="140" t="str">
        <f t="shared" si="3"/>
        <v/>
      </c>
      <c r="Q110" s="139" t="str">
        <f t="shared" si="4"/>
        <v/>
      </c>
      <c r="R110" s="139" t="str">
        <f t="shared" si="5"/>
        <v/>
      </c>
      <c r="S110" s="139" t="str">
        <f t="shared" si="6"/>
        <v/>
      </c>
      <c r="T110" s="140" t="str">
        <f t="shared" si="7"/>
        <v/>
      </c>
      <c r="U110" s="136"/>
      <c r="V110" s="136"/>
      <c r="W110" s="136"/>
      <c r="X110" s="136"/>
      <c r="Y110" s="145"/>
      <c r="Z110" s="145"/>
    </row>
    <row r="111">
      <c r="E111" s="136"/>
      <c r="F111" s="136"/>
      <c r="G111" s="136"/>
      <c r="H111" s="137" t="str">
        <f t="shared" si="1"/>
        <v/>
      </c>
      <c r="I111" s="136"/>
      <c r="J111" s="136"/>
      <c r="K111" s="136"/>
      <c r="L111" s="136"/>
      <c r="M111" s="136"/>
      <c r="N111" s="136"/>
      <c r="O111" s="142" t="str">
        <f t="shared" si="2"/>
        <v/>
      </c>
      <c r="P111" s="140" t="str">
        <f t="shared" si="3"/>
        <v/>
      </c>
      <c r="Q111" s="139" t="str">
        <f t="shared" si="4"/>
        <v/>
      </c>
      <c r="R111" s="139" t="str">
        <f t="shared" si="5"/>
        <v/>
      </c>
      <c r="S111" s="139" t="str">
        <f t="shared" si="6"/>
        <v/>
      </c>
      <c r="T111" s="140" t="str">
        <f t="shared" si="7"/>
        <v/>
      </c>
      <c r="U111" s="136"/>
      <c r="V111" s="136"/>
      <c r="W111" s="136"/>
      <c r="X111" s="136"/>
      <c r="Y111" s="145"/>
      <c r="Z111" s="145"/>
    </row>
    <row r="112">
      <c r="E112" s="136"/>
      <c r="F112" s="136"/>
      <c r="G112" s="136"/>
      <c r="H112" s="137" t="str">
        <f t="shared" si="1"/>
        <v/>
      </c>
      <c r="I112" s="136"/>
      <c r="J112" s="136"/>
      <c r="K112" s="136"/>
      <c r="L112" s="136"/>
      <c r="M112" s="136"/>
      <c r="N112" s="136"/>
      <c r="O112" s="142" t="str">
        <f t="shared" si="2"/>
        <v/>
      </c>
      <c r="P112" s="140" t="str">
        <f t="shared" si="3"/>
        <v/>
      </c>
      <c r="Q112" s="139" t="str">
        <f t="shared" si="4"/>
        <v/>
      </c>
      <c r="R112" s="139" t="str">
        <f t="shared" si="5"/>
        <v/>
      </c>
      <c r="S112" s="139" t="str">
        <f t="shared" si="6"/>
        <v/>
      </c>
      <c r="T112" s="140" t="str">
        <f t="shared" si="7"/>
        <v/>
      </c>
      <c r="U112" s="136"/>
      <c r="V112" s="136"/>
      <c r="W112" s="136"/>
      <c r="X112" s="136"/>
      <c r="Y112" s="145"/>
      <c r="Z112" s="145"/>
    </row>
    <row r="113">
      <c r="E113" s="136"/>
      <c r="F113" s="136"/>
      <c r="G113" s="136"/>
      <c r="H113" s="137" t="str">
        <f t="shared" si="1"/>
        <v/>
      </c>
      <c r="I113" s="136"/>
      <c r="J113" s="136"/>
      <c r="K113" s="136"/>
      <c r="L113" s="136"/>
      <c r="M113" s="136"/>
      <c r="N113" s="136"/>
      <c r="O113" s="142" t="str">
        <f t="shared" si="2"/>
        <v/>
      </c>
      <c r="P113" s="140" t="str">
        <f t="shared" si="3"/>
        <v/>
      </c>
      <c r="Q113" s="139" t="str">
        <f t="shared" si="4"/>
        <v/>
      </c>
      <c r="R113" s="139" t="str">
        <f t="shared" si="5"/>
        <v/>
      </c>
      <c r="S113" s="139" t="str">
        <f t="shared" si="6"/>
        <v/>
      </c>
      <c r="T113" s="140" t="str">
        <f t="shared" si="7"/>
        <v/>
      </c>
      <c r="U113" s="136"/>
      <c r="V113" s="136"/>
      <c r="W113" s="136"/>
      <c r="X113" s="136"/>
      <c r="Y113" s="145"/>
      <c r="Z113" s="145"/>
    </row>
    <row r="114">
      <c r="E114" s="136"/>
      <c r="F114" s="136"/>
      <c r="G114" s="136"/>
      <c r="H114" s="137" t="str">
        <f t="shared" si="1"/>
        <v/>
      </c>
      <c r="I114" s="136"/>
      <c r="J114" s="136"/>
      <c r="K114" s="136"/>
      <c r="L114" s="136"/>
      <c r="M114" s="136"/>
      <c r="N114" s="136"/>
      <c r="O114" s="142" t="str">
        <f t="shared" si="2"/>
        <v/>
      </c>
      <c r="P114" s="140" t="str">
        <f t="shared" si="3"/>
        <v/>
      </c>
      <c r="Q114" s="139" t="str">
        <f t="shared" si="4"/>
        <v/>
      </c>
      <c r="R114" s="139" t="str">
        <f t="shared" si="5"/>
        <v/>
      </c>
      <c r="S114" s="139" t="str">
        <f t="shared" si="6"/>
        <v/>
      </c>
      <c r="T114" s="140" t="str">
        <f t="shared" si="7"/>
        <v/>
      </c>
      <c r="U114" s="136"/>
      <c r="V114" s="136"/>
      <c r="W114" s="136"/>
      <c r="X114" s="136"/>
      <c r="Y114" s="145"/>
      <c r="Z114" s="145"/>
    </row>
    <row r="115">
      <c r="E115" s="136"/>
      <c r="F115" s="136"/>
      <c r="G115" s="136"/>
      <c r="H115" s="137" t="str">
        <f t="shared" si="1"/>
        <v/>
      </c>
      <c r="I115" s="136"/>
      <c r="J115" s="136"/>
      <c r="K115" s="136"/>
      <c r="L115" s="136"/>
      <c r="M115" s="136"/>
      <c r="N115" s="136"/>
      <c r="O115" s="142" t="str">
        <f t="shared" si="2"/>
        <v/>
      </c>
      <c r="P115" s="140" t="str">
        <f t="shared" si="3"/>
        <v/>
      </c>
      <c r="Q115" s="139" t="str">
        <f t="shared" si="4"/>
        <v/>
      </c>
      <c r="R115" s="139" t="str">
        <f t="shared" si="5"/>
        <v/>
      </c>
      <c r="S115" s="139" t="str">
        <f t="shared" si="6"/>
        <v/>
      </c>
      <c r="T115" s="140" t="str">
        <f t="shared" si="7"/>
        <v/>
      </c>
      <c r="U115" s="136"/>
      <c r="V115" s="136"/>
      <c r="W115" s="136"/>
      <c r="X115" s="136"/>
      <c r="Y115" s="145"/>
      <c r="Z115" s="145"/>
    </row>
    <row r="116">
      <c r="E116" s="136"/>
      <c r="F116" s="136"/>
      <c r="G116" s="136"/>
      <c r="H116" s="137" t="str">
        <f t="shared" si="1"/>
        <v/>
      </c>
      <c r="I116" s="136"/>
      <c r="J116" s="136"/>
      <c r="K116" s="136"/>
      <c r="L116" s="136"/>
      <c r="M116" s="136"/>
      <c r="N116" s="136"/>
      <c r="O116" s="142" t="str">
        <f t="shared" si="2"/>
        <v/>
      </c>
      <c r="P116" s="140" t="str">
        <f t="shared" si="3"/>
        <v/>
      </c>
      <c r="Q116" s="139" t="str">
        <f t="shared" si="4"/>
        <v/>
      </c>
      <c r="R116" s="139" t="str">
        <f t="shared" si="5"/>
        <v/>
      </c>
      <c r="S116" s="139" t="str">
        <f t="shared" si="6"/>
        <v/>
      </c>
      <c r="T116" s="140" t="str">
        <f t="shared" si="7"/>
        <v/>
      </c>
      <c r="U116" s="136"/>
      <c r="V116" s="136"/>
      <c r="W116" s="136"/>
      <c r="X116" s="136"/>
      <c r="Y116" s="145"/>
      <c r="Z116" s="145"/>
    </row>
    <row r="117">
      <c r="E117" s="136"/>
      <c r="F117" s="136"/>
      <c r="G117" s="136"/>
      <c r="H117" s="137" t="str">
        <f t="shared" si="1"/>
        <v/>
      </c>
      <c r="I117" s="136"/>
      <c r="J117" s="136"/>
      <c r="K117" s="136"/>
      <c r="L117" s="136"/>
      <c r="M117" s="136"/>
      <c r="N117" s="136"/>
      <c r="O117" s="142" t="str">
        <f t="shared" si="2"/>
        <v/>
      </c>
      <c r="P117" s="140" t="str">
        <f t="shared" si="3"/>
        <v/>
      </c>
      <c r="Q117" s="139" t="str">
        <f t="shared" si="4"/>
        <v/>
      </c>
      <c r="R117" s="139" t="str">
        <f t="shared" si="5"/>
        <v/>
      </c>
      <c r="S117" s="139" t="str">
        <f t="shared" si="6"/>
        <v/>
      </c>
      <c r="T117" s="140" t="str">
        <f t="shared" si="7"/>
        <v/>
      </c>
      <c r="U117" s="136"/>
      <c r="V117" s="136"/>
      <c r="W117" s="136"/>
      <c r="X117" s="136"/>
      <c r="Y117" s="145"/>
      <c r="Z117" s="145"/>
    </row>
    <row r="118">
      <c r="E118" s="136"/>
      <c r="F118" s="136"/>
      <c r="G118" s="136"/>
      <c r="H118" s="137" t="str">
        <f t="shared" si="1"/>
        <v/>
      </c>
      <c r="I118" s="136"/>
      <c r="J118" s="136"/>
      <c r="K118" s="136"/>
      <c r="L118" s="136"/>
      <c r="M118" s="136"/>
      <c r="N118" s="136"/>
      <c r="O118" s="142" t="str">
        <f t="shared" si="2"/>
        <v/>
      </c>
      <c r="P118" s="140" t="str">
        <f t="shared" si="3"/>
        <v/>
      </c>
      <c r="Q118" s="139" t="str">
        <f t="shared" si="4"/>
        <v/>
      </c>
      <c r="R118" s="139" t="str">
        <f t="shared" si="5"/>
        <v/>
      </c>
      <c r="S118" s="139" t="str">
        <f t="shared" si="6"/>
        <v/>
      </c>
      <c r="T118" s="140" t="str">
        <f t="shared" si="7"/>
        <v/>
      </c>
      <c r="U118" s="136"/>
      <c r="V118" s="136"/>
      <c r="W118" s="136"/>
      <c r="X118" s="136"/>
      <c r="Y118" s="145"/>
      <c r="Z118" s="145"/>
    </row>
    <row r="119">
      <c r="E119" s="136"/>
      <c r="F119" s="136"/>
      <c r="G119" s="136"/>
      <c r="H119" s="137" t="str">
        <f t="shared" si="1"/>
        <v/>
      </c>
      <c r="I119" s="136"/>
      <c r="J119" s="136"/>
      <c r="K119" s="136"/>
      <c r="L119" s="136"/>
      <c r="M119" s="136"/>
      <c r="N119" s="136"/>
      <c r="O119" s="142" t="str">
        <f t="shared" si="2"/>
        <v/>
      </c>
      <c r="P119" s="140" t="str">
        <f t="shared" si="3"/>
        <v/>
      </c>
      <c r="Q119" s="139" t="str">
        <f t="shared" si="4"/>
        <v/>
      </c>
      <c r="R119" s="139" t="str">
        <f t="shared" si="5"/>
        <v/>
      </c>
      <c r="S119" s="139" t="str">
        <f t="shared" si="6"/>
        <v/>
      </c>
      <c r="T119" s="140" t="str">
        <f t="shared" si="7"/>
        <v/>
      </c>
      <c r="U119" s="136"/>
      <c r="V119" s="136"/>
      <c r="W119" s="136"/>
      <c r="X119" s="136"/>
      <c r="Y119" s="145"/>
      <c r="Z119" s="145"/>
    </row>
    <row r="120">
      <c r="E120" s="136"/>
      <c r="F120" s="136"/>
      <c r="G120" s="136"/>
      <c r="H120" s="137" t="str">
        <f t="shared" si="1"/>
        <v/>
      </c>
      <c r="I120" s="136"/>
      <c r="J120" s="136"/>
      <c r="K120" s="136"/>
      <c r="L120" s="136"/>
      <c r="M120" s="136"/>
      <c r="N120" s="136"/>
      <c r="O120" s="142" t="str">
        <f t="shared" si="2"/>
        <v/>
      </c>
      <c r="P120" s="140" t="str">
        <f t="shared" si="3"/>
        <v/>
      </c>
      <c r="Q120" s="139" t="str">
        <f t="shared" si="4"/>
        <v/>
      </c>
      <c r="R120" s="139" t="str">
        <f t="shared" si="5"/>
        <v/>
      </c>
      <c r="S120" s="139" t="str">
        <f t="shared" si="6"/>
        <v/>
      </c>
      <c r="T120" s="140" t="str">
        <f t="shared" si="7"/>
        <v/>
      </c>
      <c r="U120" s="136"/>
      <c r="V120" s="136"/>
      <c r="W120" s="136"/>
      <c r="X120" s="136"/>
      <c r="Y120" s="145"/>
      <c r="Z120" s="145"/>
    </row>
    <row r="121">
      <c r="E121" s="136"/>
      <c r="F121" s="136"/>
      <c r="G121" s="136"/>
      <c r="H121" s="137" t="str">
        <f t="shared" si="1"/>
        <v/>
      </c>
      <c r="I121" s="136"/>
      <c r="J121" s="136"/>
      <c r="K121" s="136"/>
      <c r="L121" s="136"/>
      <c r="M121" s="136"/>
      <c r="N121" s="136"/>
      <c r="O121" s="142" t="str">
        <f t="shared" si="2"/>
        <v/>
      </c>
      <c r="P121" s="140" t="str">
        <f t="shared" si="3"/>
        <v/>
      </c>
      <c r="Q121" s="139" t="str">
        <f t="shared" si="4"/>
        <v/>
      </c>
      <c r="R121" s="139" t="str">
        <f t="shared" si="5"/>
        <v/>
      </c>
      <c r="S121" s="139" t="str">
        <f t="shared" si="6"/>
        <v/>
      </c>
      <c r="T121" s="140" t="str">
        <f t="shared" si="7"/>
        <v/>
      </c>
      <c r="U121" s="136"/>
      <c r="V121" s="136"/>
      <c r="W121" s="136"/>
      <c r="X121" s="136"/>
      <c r="Y121" s="145"/>
      <c r="Z121" s="145"/>
    </row>
    <row r="122">
      <c r="E122" s="136"/>
      <c r="F122" s="136"/>
      <c r="G122" s="136"/>
      <c r="H122" s="137" t="str">
        <f t="shared" si="1"/>
        <v/>
      </c>
      <c r="I122" s="136"/>
      <c r="J122" s="136"/>
      <c r="K122" s="136"/>
      <c r="L122" s="136"/>
      <c r="M122" s="136"/>
      <c r="N122" s="136"/>
      <c r="O122" s="142" t="str">
        <f t="shared" si="2"/>
        <v/>
      </c>
      <c r="P122" s="140" t="str">
        <f t="shared" si="3"/>
        <v/>
      </c>
      <c r="Q122" s="139" t="str">
        <f t="shared" si="4"/>
        <v/>
      </c>
      <c r="R122" s="139" t="str">
        <f t="shared" si="5"/>
        <v/>
      </c>
      <c r="S122" s="139" t="str">
        <f t="shared" si="6"/>
        <v/>
      </c>
      <c r="T122" s="140" t="str">
        <f t="shared" si="7"/>
        <v/>
      </c>
      <c r="U122" s="136"/>
      <c r="V122" s="136"/>
      <c r="W122" s="136"/>
      <c r="X122" s="136"/>
      <c r="Y122" s="145"/>
      <c r="Z122" s="145"/>
    </row>
    <row r="123">
      <c r="E123" s="136"/>
      <c r="F123" s="136"/>
      <c r="G123" s="136"/>
      <c r="H123" s="137" t="str">
        <f t="shared" si="1"/>
        <v/>
      </c>
      <c r="I123" s="136"/>
      <c r="J123" s="136"/>
      <c r="K123" s="136"/>
      <c r="L123" s="136"/>
      <c r="M123" s="136"/>
      <c r="N123" s="136"/>
      <c r="O123" s="142" t="str">
        <f t="shared" si="2"/>
        <v/>
      </c>
      <c r="P123" s="140" t="str">
        <f t="shared" si="3"/>
        <v/>
      </c>
      <c r="Q123" s="139" t="str">
        <f t="shared" si="4"/>
        <v/>
      </c>
      <c r="R123" s="139" t="str">
        <f t="shared" si="5"/>
        <v/>
      </c>
      <c r="S123" s="139" t="str">
        <f t="shared" si="6"/>
        <v/>
      </c>
      <c r="T123" s="140" t="str">
        <f t="shared" si="7"/>
        <v/>
      </c>
      <c r="U123" s="136"/>
      <c r="V123" s="136"/>
      <c r="W123" s="136"/>
      <c r="X123" s="136"/>
      <c r="Y123" s="145"/>
      <c r="Z123" s="145"/>
    </row>
    <row r="124">
      <c r="E124" s="136"/>
      <c r="F124" s="136"/>
      <c r="G124" s="136"/>
      <c r="H124" s="137" t="str">
        <f t="shared" si="1"/>
        <v/>
      </c>
      <c r="I124" s="136"/>
      <c r="J124" s="136"/>
      <c r="K124" s="136"/>
      <c r="L124" s="136"/>
      <c r="M124" s="136"/>
      <c r="N124" s="136"/>
      <c r="O124" s="142" t="str">
        <f t="shared" si="2"/>
        <v/>
      </c>
      <c r="P124" s="140" t="str">
        <f t="shared" si="3"/>
        <v/>
      </c>
      <c r="Q124" s="139" t="str">
        <f t="shared" si="4"/>
        <v/>
      </c>
      <c r="R124" s="139" t="str">
        <f t="shared" si="5"/>
        <v/>
      </c>
      <c r="S124" s="139" t="str">
        <f t="shared" si="6"/>
        <v/>
      </c>
      <c r="T124" s="140" t="str">
        <f t="shared" si="7"/>
        <v/>
      </c>
      <c r="U124" s="136"/>
      <c r="V124" s="136"/>
      <c r="W124" s="136"/>
      <c r="X124" s="136"/>
      <c r="Y124" s="145"/>
      <c r="Z124" s="145"/>
    </row>
    <row r="125">
      <c r="E125" s="136"/>
      <c r="F125" s="136"/>
      <c r="G125" s="136"/>
      <c r="H125" s="137" t="str">
        <f t="shared" si="1"/>
        <v/>
      </c>
      <c r="I125" s="136"/>
      <c r="J125" s="136"/>
      <c r="K125" s="136"/>
      <c r="L125" s="136"/>
      <c r="M125" s="136"/>
      <c r="N125" s="136"/>
      <c r="O125" s="142" t="str">
        <f t="shared" si="2"/>
        <v/>
      </c>
      <c r="P125" s="140" t="str">
        <f t="shared" si="3"/>
        <v/>
      </c>
      <c r="Q125" s="139" t="str">
        <f t="shared" si="4"/>
        <v/>
      </c>
      <c r="R125" s="139" t="str">
        <f t="shared" si="5"/>
        <v/>
      </c>
      <c r="S125" s="139" t="str">
        <f t="shared" si="6"/>
        <v/>
      </c>
      <c r="T125" s="140" t="str">
        <f t="shared" si="7"/>
        <v/>
      </c>
      <c r="U125" s="136"/>
      <c r="V125" s="136"/>
      <c r="W125" s="136"/>
      <c r="X125" s="136"/>
      <c r="Y125" s="145"/>
      <c r="Z125" s="145"/>
    </row>
    <row r="126">
      <c r="E126" s="136"/>
      <c r="F126" s="136"/>
      <c r="G126" s="136"/>
      <c r="H126" s="137" t="str">
        <f t="shared" si="1"/>
        <v/>
      </c>
      <c r="I126" s="136"/>
      <c r="J126" s="136"/>
      <c r="K126" s="136"/>
      <c r="L126" s="136"/>
      <c r="M126" s="136"/>
      <c r="N126" s="136"/>
      <c r="O126" s="142" t="str">
        <f t="shared" si="2"/>
        <v/>
      </c>
      <c r="P126" s="140" t="str">
        <f t="shared" si="3"/>
        <v/>
      </c>
      <c r="Q126" s="139" t="str">
        <f t="shared" si="4"/>
        <v/>
      </c>
      <c r="R126" s="139" t="str">
        <f t="shared" si="5"/>
        <v/>
      </c>
      <c r="S126" s="139" t="str">
        <f t="shared" si="6"/>
        <v/>
      </c>
      <c r="T126" s="140" t="str">
        <f t="shared" si="7"/>
        <v/>
      </c>
      <c r="U126" s="136"/>
      <c r="V126" s="136"/>
      <c r="W126" s="136"/>
      <c r="X126" s="136"/>
      <c r="Y126" s="145"/>
      <c r="Z126" s="145"/>
    </row>
    <row r="127">
      <c r="E127" s="136"/>
      <c r="F127" s="136"/>
      <c r="G127" s="136"/>
      <c r="H127" s="137" t="str">
        <f t="shared" si="1"/>
        <v/>
      </c>
      <c r="I127" s="136"/>
      <c r="J127" s="136"/>
      <c r="K127" s="136"/>
      <c r="L127" s="136"/>
      <c r="M127" s="136"/>
      <c r="N127" s="136"/>
      <c r="O127" s="142" t="str">
        <f t="shared" si="2"/>
        <v/>
      </c>
      <c r="P127" s="140" t="str">
        <f t="shared" si="3"/>
        <v/>
      </c>
      <c r="Q127" s="139" t="str">
        <f t="shared" si="4"/>
        <v/>
      </c>
      <c r="R127" s="139" t="str">
        <f t="shared" si="5"/>
        <v/>
      </c>
      <c r="S127" s="139" t="str">
        <f t="shared" si="6"/>
        <v/>
      </c>
      <c r="T127" s="140" t="str">
        <f t="shared" si="7"/>
        <v/>
      </c>
      <c r="U127" s="136"/>
      <c r="V127" s="136"/>
      <c r="W127" s="136"/>
      <c r="X127" s="136"/>
      <c r="Y127" s="145"/>
      <c r="Z127" s="145"/>
    </row>
    <row r="128">
      <c r="E128" s="136"/>
      <c r="F128" s="136"/>
      <c r="G128" s="136"/>
      <c r="H128" s="137" t="str">
        <f t="shared" si="1"/>
        <v/>
      </c>
      <c r="I128" s="136"/>
      <c r="J128" s="136"/>
      <c r="K128" s="136"/>
      <c r="L128" s="136"/>
      <c r="M128" s="136"/>
      <c r="N128" s="136"/>
      <c r="O128" s="142" t="str">
        <f t="shared" si="2"/>
        <v/>
      </c>
      <c r="P128" s="140" t="str">
        <f t="shared" si="3"/>
        <v/>
      </c>
      <c r="Q128" s="139" t="str">
        <f t="shared" si="4"/>
        <v/>
      </c>
      <c r="R128" s="139" t="str">
        <f t="shared" si="5"/>
        <v/>
      </c>
      <c r="S128" s="139" t="str">
        <f t="shared" si="6"/>
        <v/>
      </c>
      <c r="T128" s="140" t="str">
        <f t="shared" si="7"/>
        <v/>
      </c>
      <c r="U128" s="136"/>
      <c r="V128" s="136"/>
      <c r="W128" s="136"/>
      <c r="X128" s="136"/>
      <c r="Y128" s="145"/>
      <c r="Z128" s="145"/>
    </row>
    <row r="129">
      <c r="E129" s="136"/>
      <c r="F129" s="136"/>
      <c r="G129" s="136"/>
      <c r="H129" s="137" t="str">
        <f t="shared" si="1"/>
        <v/>
      </c>
      <c r="I129" s="136"/>
      <c r="J129" s="136"/>
      <c r="K129" s="136"/>
      <c r="L129" s="136"/>
      <c r="M129" s="136"/>
      <c r="N129" s="136"/>
      <c r="O129" s="142" t="str">
        <f t="shared" si="2"/>
        <v/>
      </c>
      <c r="P129" s="140" t="str">
        <f t="shared" si="3"/>
        <v/>
      </c>
      <c r="Q129" s="139" t="str">
        <f t="shared" si="4"/>
        <v/>
      </c>
      <c r="R129" s="139" t="str">
        <f t="shared" si="5"/>
        <v/>
      </c>
      <c r="S129" s="139" t="str">
        <f t="shared" si="6"/>
        <v/>
      </c>
      <c r="T129" s="140" t="str">
        <f t="shared" si="7"/>
        <v/>
      </c>
      <c r="U129" s="136"/>
      <c r="V129" s="136"/>
      <c r="W129" s="136"/>
      <c r="X129" s="136"/>
      <c r="Y129" s="145"/>
      <c r="Z129" s="145"/>
    </row>
    <row r="130">
      <c r="E130" s="136"/>
      <c r="F130" s="136"/>
      <c r="G130" s="136"/>
      <c r="H130" s="137" t="str">
        <f t="shared" si="1"/>
        <v/>
      </c>
      <c r="I130" s="136"/>
      <c r="J130" s="136"/>
      <c r="K130" s="136"/>
      <c r="L130" s="136"/>
      <c r="M130" s="136"/>
      <c r="N130" s="136"/>
      <c r="O130" s="142" t="str">
        <f t="shared" si="2"/>
        <v/>
      </c>
      <c r="P130" s="140" t="str">
        <f t="shared" si="3"/>
        <v/>
      </c>
      <c r="Q130" s="139" t="str">
        <f t="shared" si="4"/>
        <v/>
      </c>
      <c r="R130" s="139" t="str">
        <f t="shared" si="5"/>
        <v/>
      </c>
      <c r="S130" s="139" t="str">
        <f t="shared" si="6"/>
        <v/>
      </c>
      <c r="T130" s="140" t="str">
        <f t="shared" si="7"/>
        <v/>
      </c>
      <c r="U130" s="136"/>
      <c r="V130" s="136"/>
      <c r="W130" s="136"/>
      <c r="X130" s="136"/>
      <c r="Y130" s="145"/>
      <c r="Z130" s="145"/>
    </row>
    <row r="131">
      <c r="E131" s="136"/>
      <c r="F131" s="136"/>
      <c r="G131" s="136"/>
      <c r="H131" s="137" t="str">
        <f t="shared" si="1"/>
        <v/>
      </c>
      <c r="I131" s="136"/>
      <c r="J131" s="136"/>
      <c r="K131" s="136"/>
      <c r="L131" s="136"/>
      <c r="M131" s="136"/>
      <c r="N131" s="136"/>
      <c r="O131" s="142" t="str">
        <f t="shared" si="2"/>
        <v/>
      </c>
      <c r="P131" s="140" t="str">
        <f t="shared" si="3"/>
        <v/>
      </c>
      <c r="Q131" s="139" t="str">
        <f t="shared" si="4"/>
        <v/>
      </c>
      <c r="R131" s="139" t="str">
        <f t="shared" si="5"/>
        <v/>
      </c>
      <c r="S131" s="139" t="str">
        <f t="shared" si="6"/>
        <v/>
      </c>
      <c r="T131" s="140" t="str">
        <f t="shared" si="7"/>
        <v/>
      </c>
      <c r="U131" s="136"/>
      <c r="V131" s="136"/>
      <c r="W131" s="136"/>
      <c r="X131" s="136"/>
      <c r="Y131" s="145"/>
      <c r="Z131" s="145"/>
    </row>
    <row r="132">
      <c r="E132" s="136"/>
      <c r="F132" s="136"/>
      <c r="G132" s="136"/>
      <c r="H132" s="137" t="str">
        <f t="shared" si="1"/>
        <v/>
      </c>
      <c r="I132" s="136"/>
      <c r="J132" s="136"/>
      <c r="K132" s="136"/>
      <c r="L132" s="136"/>
      <c r="M132" s="136"/>
      <c r="N132" s="136"/>
      <c r="O132" s="142" t="str">
        <f t="shared" si="2"/>
        <v/>
      </c>
      <c r="P132" s="140" t="str">
        <f t="shared" si="3"/>
        <v/>
      </c>
      <c r="Q132" s="139" t="str">
        <f t="shared" si="4"/>
        <v/>
      </c>
      <c r="R132" s="139" t="str">
        <f t="shared" si="5"/>
        <v/>
      </c>
      <c r="S132" s="139" t="str">
        <f t="shared" si="6"/>
        <v/>
      </c>
      <c r="T132" s="140" t="str">
        <f t="shared" si="7"/>
        <v/>
      </c>
      <c r="U132" s="136"/>
      <c r="V132" s="136"/>
      <c r="W132" s="136"/>
      <c r="X132" s="136"/>
      <c r="Y132" s="145"/>
      <c r="Z132" s="145"/>
    </row>
    <row r="133">
      <c r="E133" s="136"/>
      <c r="F133" s="136"/>
      <c r="G133" s="136"/>
      <c r="H133" s="137" t="str">
        <f t="shared" si="1"/>
        <v/>
      </c>
      <c r="I133" s="136"/>
      <c r="J133" s="136"/>
      <c r="K133" s="136"/>
      <c r="L133" s="136"/>
      <c r="M133" s="136"/>
      <c r="N133" s="136"/>
      <c r="O133" s="142" t="str">
        <f t="shared" si="2"/>
        <v/>
      </c>
      <c r="P133" s="140" t="str">
        <f t="shared" si="3"/>
        <v/>
      </c>
      <c r="Q133" s="139" t="str">
        <f t="shared" si="4"/>
        <v/>
      </c>
      <c r="R133" s="139" t="str">
        <f t="shared" si="5"/>
        <v/>
      </c>
      <c r="S133" s="139" t="str">
        <f t="shared" si="6"/>
        <v/>
      </c>
      <c r="T133" s="140" t="str">
        <f t="shared" si="7"/>
        <v/>
      </c>
      <c r="U133" s="136"/>
      <c r="V133" s="136"/>
      <c r="W133" s="136"/>
      <c r="X133" s="136"/>
      <c r="Y133" s="145"/>
      <c r="Z133" s="145"/>
    </row>
    <row r="134">
      <c r="E134" s="136"/>
      <c r="F134" s="136"/>
      <c r="G134" s="136"/>
      <c r="H134" s="137" t="str">
        <f t="shared" si="1"/>
        <v/>
      </c>
      <c r="I134" s="136"/>
      <c r="J134" s="136"/>
      <c r="K134" s="136"/>
      <c r="L134" s="136"/>
      <c r="M134" s="136"/>
      <c r="N134" s="136"/>
      <c r="O134" s="142" t="str">
        <f t="shared" si="2"/>
        <v/>
      </c>
      <c r="P134" s="140" t="str">
        <f t="shared" si="3"/>
        <v/>
      </c>
      <c r="Q134" s="139" t="str">
        <f t="shared" si="4"/>
        <v/>
      </c>
      <c r="R134" s="139" t="str">
        <f t="shared" si="5"/>
        <v/>
      </c>
      <c r="S134" s="139" t="str">
        <f t="shared" si="6"/>
        <v/>
      </c>
      <c r="T134" s="140" t="str">
        <f t="shared" si="7"/>
        <v/>
      </c>
      <c r="U134" s="136"/>
      <c r="V134" s="136"/>
      <c r="W134" s="136"/>
      <c r="X134" s="136"/>
      <c r="Y134" s="145"/>
      <c r="Z134" s="145"/>
    </row>
    <row r="135">
      <c r="E135" s="136"/>
      <c r="F135" s="136"/>
      <c r="G135" s="136"/>
      <c r="H135" s="137" t="str">
        <f t="shared" si="1"/>
        <v/>
      </c>
      <c r="I135" s="136"/>
      <c r="J135" s="136"/>
      <c r="K135" s="136"/>
      <c r="L135" s="136"/>
      <c r="M135" s="136"/>
      <c r="N135" s="136"/>
      <c r="O135" s="142" t="str">
        <f t="shared" si="2"/>
        <v/>
      </c>
      <c r="P135" s="140" t="str">
        <f t="shared" si="3"/>
        <v/>
      </c>
      <c r="Q135" s="139" t="str">
        <f t="shared" si="4"/>
        <v/>
      </c>
      <c r="R135" s="139" t="str">
        <f t="shared" si="5"/>
        <v/>
      </c>
      <c r="S135" s="139" t="str">
        <f t="shared" si="6"/>
        <v/>
      </c>
      <c r="T135" s="140" t="str">
        <f t="shared" si="7"/>
        <v/>
      </c>
      <c r="U135" s="136"/>
      <c r="V135" s="136"/>
      <c r="W135" s="136"/>
      <c r="X135" s="136"/>
      <c r="Y135" s="145"/>
      <c r="Z135" s="145"/>
    </row>
    <row r="136">
      <c r="E136" s="136"/>
      <c r="F136" s="136"/>
      <c r="G136" s="136"/>
      <c r="H136" s="137" t="str">
        <f t="shared" si="1"/>
        <v/>
      </c>
      <c r="I136" s="136"/>
      <c r="J136" s="136"/>
      <c r="K136" s="136"/>
      <c r="L136" s="136"/>
      <c r="M136" s="136"/>
      <c r="N136" s="136"/>
      <c r="O136" s="142" t="str">
        <f t="shared" si="2"/>
        <v/>
      </c>
      <c r="P136" s="140" t="str">
        <f t="shared" si="3"/>
        <v/>
      </c>
      <c r="Q136" s="139" t="str">
        <f t="shared" si="4"/>
        <v/>
      </c>
      <c r="R136" s="139" t="str">
        <f t="shared" si="5"/>
        <v/>
      </c>
      <c r="S136" s="139" t="str">
        <f t="shared" si="6"/>
        <v/>
      </c>
      <c r="T136" s="140" t="str">
        <f t="shared" si="7"/>
        <v/>
      </c>
      <c r="U136" s="136"/>
      <c r="V136" s="136"/>
      <c r="W136" s="136"/>
      <c r="X136" s="136"/>
      <c r="Y136" s="145"/>
      <c r="Z136" s="145"/>
    </row>
    <row r="137">
      <c r="E137" s="136"/>
      <c r="F137" s="136"/>
      <c r="G137" s="136"/>
      <c r="H137" s="137" t="str">
        <f t="shared" si="1"/>
        <v/>
      </c>
      <c r="I137" s="136"/>
      <c r="J137" s="136"/>
      <c r="K137" s="136"/>
      <c r="L137" s="136"/>
      <c r="M137" s="136"/>
      <c r="N137" s="136"/>
      <c r="O137" s="142" t="str">
        <f t="shared" si="2"/>
        <v/>
      </c>
      <c r="P137" s="140" t="str">
        <f t="shared" si="3"/>
        <v/>
      </c>
      <c r="Q137" s="139" t="str">
        <f t="shared" si="4"/>
        <v/>
      </c>
      <c r="R137" s="139" t="str">
        <f t="shared" si="5"/>
        <v/>
      </c>
      <c r="S137" s="139" t="str">
        <f t="shared" si="6"/>
        <v/>
      </c>
      <c r="T137" s="140" t="str">
        <f t="shared" si="7"/>
        <v/>
      </c>
      <c r="U137" s="136"/>
      <c r="V137" s="136"/>
      <c r="W137" s="136"/>
      <c r="X137" s="136"/>
      <c r="Y137" s="145"/>
      <c r="Z137" s="145"/>
    </row>
    <row r="138">
      <c r="E138" s="136"/>
      <c r="F138" s="136"/>
      <c r="G138" s="136"/>
      <c r="H138" s="137" t="str">
        <f t="shared" si="1"/>
        <v/>
      </c>
      <c r="I138" s="136"/>
      <c r="J138" s="136"/>
      <c r="K138" s="136"/>
      <c r="L138" s="136"/>
      <c r="M138" s="136"/>
      <c r="N138" s="136"/>
      <c r="O138" s="142" t="str">
        <f t="shared" si="2"/>
        <v/>
      </c>
      <c r="P138" s="140" t="str">
        <f t="shared" si="3"/>
        <v/>
      </c>
      <c r="Q138" s="139" t="str">
        <f t="shared" si="4"/>
        <v/>
      </c>
      <c r="R138" s="139" t="str">
        <f t="shared" si="5"/>
        <v/>
      </c>
      <c r="S138" s="139" t="str">
        <f t="shared" si="6"/>
        <v/>
      </c>
      <c r="T138" s="140" t="str">
        <f t="shared" si="7"/>
        <v/>
      </c>
      <c r="U138" s="136"/>
      <c r="V138" s="136"/>
      <c r="W138" s="136"/>
      <c r="X138" s="136"/>
      <c r="Y138" s="145"/>
      <c r="Z138" s="145"/>
    </row>
    <row r="139">
      <c r="E139" s="136"/>
      <c r="F139" s="136"/>
      <c r="G139" s="136"/>
      <c r="H139" s="137" t="str">
        <f t="shared" si="1"/>
        <v/>
      </c>
      <c r="I139" s="136"/>
      <c r="J139" s="136"/>
      <c r="K139" s="136"/>
      <c r="L139" s="136"/>
      <c r="M139" s="136"/>
      <c r="N139" s="136"/>
      <c r="O139" s="142" t="str">
        <f t="shared" si="2"/>
        <v/>
      </c>
      <c r="P139" s="140" t="str">
        <f t="shared" si="3"/>
        <v/>
      </c>
      <c r="Q139" s="139" t="str">
        <f t="shared" si="4"/>
        <v/>
      </c>
      <c r="R139" s="139" t="str">
        <f t="shared" si="5"/>
        <v/>
      </c>
      <c r="S139" s="139" t="str">
        <f t="shared" si="6"/>
        <v/>
      </c>
      <c r="T139" s="140" t="str">
        <f t="shared" si="7"/>
        <v/>
      </c>
      <c r="U139" s="136"/>
      <c r="V139" s="136"/>
      <c r="W139" s="136"/>
      <c r="X139" s="136"/>
      <c r="Y139" s="145"/>
      <c r="Z139" s="145"/>
    </row>
    <row r="140">
      <c r="E140" s="136"/>
      <c r="F140" s="136"/>
      <c r="G140" s="136"/>
      <c r="H140" s="137" t="str">
        <f t="shared" si="1"/>
        <v/>
      </c>
      <c r="I140" s="136"/>
      <c r="J140" s="136"/>
      <c r="K140" s="136"/>
      <c r="L140" s="136"/>
      <c r="M140" s="136"/>
      <c r="N140" s="136"/>
      <c r="O140" s="142" t="str">
        <f t="shared" si="2"/>
        <v/>
      </c>
      <c r="P140" s="140" t="str">
        <f t="shared" si="3"/>
        <v/>
      </c>
      <c r="Q140" s="139" t="str">
        <f t="shared" si="4"/>
        <v/>
      </c>
      <c r="R140" s="139" t="str">
        <f t="shared" si="5"/>
        <v/>
      </c>
      <c r="S140" s="139" t="str">
        <f t="shared" si="6"/>
        <v/>
      </c>
      <c r="T140" s="140" t="str">
        <f t="shared" si="7"/>
        <v/>
      </c>
      <c r="U140" s="136"/>
      <c r="V140" s="136"/>
      <c r="W140" s="136"/>
      <c r="X140" s="136"/>
      <c r="Y140" s="145"/>
      <c r="Z140" s="145"/>
    </row>
    <row r="141">
      <c r="E141" s="136"/>
      <c r="F141" s="136"/>
      <c r="G141" s="136"/>
      <c r="H141" s="137" t="str">
        <f t="shared" si="1"/>
        <v/>
      </c>
      <c r="I141" s="136"/>
      <c r="J141" s="136"/>
      <c r="K141" s="136"/>
      <c r="L141" s="136"/>
      <c r="M141" s="136"/>
      <c r="N141" s="136"/>
      <c r="O141" s="142" t="str">
        <f t="shared" si="2"/>
        <v/>
      </c>
      <c r="P141" s="140" t="str">
        <f t="shared" si="3"/>
        <v/>
      </c>
      <c r="Q141" s="139" t="str">
        <f t="shared" si="4"/>
        <v/>
      </c>
      <c r="R141" s="139" t="str">
        <f t="shared" si="5"/>
        <v/>
      </c>
      <c r="S141" s="139" t="str">
        <f t="shared" si="6"/>
        <v/>
      </c>
      <c r="T141" s="140" t="str">
        <f t="shared" si="7"/>
        <v/>
      </c>
      <c r="U141" s="136"/>
      <c r="V141" s="136"/>
      <c r="W141" s="136"/>
      <c r="X141" s="136"/>
      <c r="Y141" s="145"/>
      <c r="Z141" s="145"/>
    </row>
    <row r="142">
      <c r="E142" s="136"/>
      <c r="F142" s="136"/>
      <c r="G142" s="136"/>
      <c r="H142" s="137" t="str">
        <f t="shared" si="1"/>
        <v/>
      </c>
      <c r="I142" s="136"/>
      <c r="J142" s="136"/>
      <c r="K142" s="136"/>
      <c r="L142" s="136"/>
      <c r="M142" s="136"/>
      <c r="N142" s="136"/>
      <c r="O142" s="142" t="str">
        <f t="shared" si="2"/>
        <v/>
      </c>
      <c r="P142" s="140" t="str">
        <f t="shared" si="3"/>
        <v/>
      </c>
      <c r="Q142" s="139" t="str">
        <f t="shared" si="4"/>
        <v/>
      </c>
      <c r="R142" s="139" t="str">
        <f t="shared" si="5"/>
        <v/>
      </c>
      <c r="S142" s="139" t="str">
        <f t="shared" si="6"/>
        <v/>
      </c>
      <c r="T142" s="140" t="str">
        <f t="shared" si="7"/>
        <v/>
      </c>
      <c r="U142" s="136"/>
      <c r="V142" s="136"/>
      <c r="W142" s="136"/>
      <c r="X142" s="136"/>
      <c r="Y142" s="145"/>
      <c r="Z142" s="145"/>
    </row>
    <row r="143">
      <c r="E143" s="136"/>
      <c r="F143" s="136"/>
      <c r="G143" s="136"/>
      <c r="H143" s="137" t="str">
        <f t="shared" si="1"/>
        <v/>
      </c>
      <c r="I143" s="136"/>
      <c r="J143" s="136"/>
      <c r="K143" s="136"/>
      <c r="L143" s="136"/>
      <c r="M143" s="136"/>
      <c r="N143" s="136"/>
      <c r="O143" s="142" t="str">
        <f t="shared" si="2"/>
        <v/>
      </c>
      <c r="P143" s="140" t="str">
        <f t="shared" si="3"/>
        <v/>
      </c>
      <c r="Q143" s="139" t="str">
        <f t="shared" si="4"/>
        <v/>
      </c>
      <c r="R143" s="139" t="str">
        <f t="shared" si="5"/>
        <v/>
      </c>
      <c r="S143" s="139" t="str">
        <f t="shared" si="6"/>
        <v/>
      </c>
      <c r="T143" s="140" t="str">
        <f t="shared" si="7"/>
        <v/>
      </c>
      <c r="U143" s="136"/>
      <c r="V143" s="136"/>
      <c r="W143" s="136"/>
      <c r="X143" s="136"/>
      <c r="Y143" s="145"/>
      <c r="Z143" s="145"/>
    </row>
    <row r="144">
      <c r="E144" s="136"/>
      <c r="F144" s="136"/>
      <c r="G144" s="136"/>
      <c r="H144" s="137" t="str">
        <f t="shared" si="1"/>
        <v/>
      </c>
      <c r="I144" s="136"/>
      <c r="J144" s="136"/>
      <c r="K144" s="136"/>
      <c r="L144" s="136"/>
      <c r="M144" s="136"/>
      <c r="N144" s="136"/>
      <c r="O144" s="142" t="str">
        <f t="shared" si="2"/>
        <v/>
      </c>
      <c r="P144" s="140" t="str">
        <f t="shared" si="3"/>
        <v/>
      </c>
      <c r="Q144" s="139" t="str">
        <f t="shared" si="4"/>
        <v/>
      </c>
      <c r="R144" s="139" t="str">
        <f t="shared" si="5"/>
        <v/>
      </c>
      <c r="S144" s="139" t="str">
        <f t="shared" si="6"/>
        <v/>
      </c>
      <c r="T144" s="140" t="str">
        <f t="shared" si="7"/>
        <v/>
      </c>
      <c r="U144" s="136"/>
      <c r="V144" s="136"/>
      <c r="W144" s="136"/>
      <c r="X144" s="136"/>
      <c r="Y144" s="145"/>
      <c r="Z144" s="145"/>
    </row>
    <row r="145">
      <c r="E145" s="136"/>
      <c r="F145" s="136"/>
      <c r="G145" s="136"/>
      <c r="H145" s="137" t="str">
        <f t="shared" si="1"/>
        <v/>
      </c>
      <c r="I145" s="136"/>
      <c r="J145" s="136"/>
      <c r="K145" s="136"/>
      <c r="L145" s="136"/>
      <c r="M145" s="136"/>
      <c r="N145" s="136"/>
      <c r="O145" s="142" t="str">
        <f t="shared" si="2"/>
        <v/>
      </c>
      <c r="P145" s="140" t="str">
        <f t="shared" si="3"/>
        <v/>
      </c>
      <c r="Q145" s="139" t="str">
        <f t="shared" si="4"/>
        <v/>
      </c>
      <c r="R145" s="139" t="str">
        <f t="shared" si="5"/>
        <v/>
      </c>
      <c r="S145" s="139" t="str">
        <f t="shared" si="6"/>
        <v/>
      </c>
      <c r="T145" s="140" t="str">
        <f t="shared" si="7"/>
        <v/>
      </c>
      <c r="U145" s="136"/>
      <c r="V145" s="136"/>
      <c r="W145" s="136"/>
      <c r="X145" s="136"/>
      <c r="Y145" s="145"/>
      <c r="Z145" s="145"/>
    </row>
    <row r="146">
      <c r="E146" s="136"/>
      <c r="F146" s="136"/>
      <c r="G146" s="136"/>
      <c r="H146" s="137" t="str">
        <f t="shared" si="1"/>
        <v/>
      </c>
      <c r="I146" s="136"/>
      <c r="J146" s="136"/>
      <c r="K146" s="136"/>
      <c r="L146" s="136"/>
      <c r="M146" s="136"/>
      <c r="N146" s="136"/>
      <c r="O146" s="142" t="str">
        <f t="shared" si="2"/>
        <v/>
      </c>
      <c r="P146" s="140" t="str">
        <f t="shared" si="3"/>
        <v/>
      </c>
      <c r="Q146" s="139" t="str">
        <f t="shared" si="4"/>
        <v/>
      </c>
      <c r="R146" s="139" t="str">
        <f t="shared" si="5"/>
        <v/>
      </c>
      <c r="S146" s="139" t="str">
        <f t="shared" si="6"/>
        <v/>
      </c>
      <c r="T146" s="140" t="str">
        <f t="shared" si="7"/>
        <v/>
      </c>
      <c r="U146" s="136"/>
      <c r="V146" s="136"/>
      <c r="W146" s="136"/>
      <c r="X146" s="136"/>
      <c r="Y146" s="145"/>
      <c r="Z146" s="145"/>
    </row>
    <row r="147">
      <c r="E147" s="136"/>
      <c r="F147" s="136"/>
      <c r="G147" s="136"/>
      <c r="H147" s="137" t="str">
        <f t="shared" si="1"/>
        <v/>
      </c>
      <c r="I147" s="136"/>
      <c r="J147" s="136"/>
      <c r="K147" s="136"/>
      <c r="L147" s="136"/>
      <c r="M147" s="136"/>
      <c r="N147" s="136"/>
      <c r="O147" s="142" t="str">
        <f t="shared" si="2"/>
        <v/>
      </c>
      <c r="P147" s="140" t="str">
        <f t="shared" si="3"/>
        <v/>
      </c>
      <c r="Q147" s="139" t="str">
        <f t="shared" si="4"/>
        <v/>
      </c>
      <c r="R147" s="139" t="str">
        <f t="shared" si="5"/>
        <v/>
      </c>
      <c r="S147" s="139" t="str">
        <f t="shared" si="6"/>
        <v/>
      </c>
      <c r="T147" s="140" t="str">
        <f t="shared" si="7"/>
        <v/>
      </c>
      <c r="U147" s="136"/>
      <c r="V147" s="136"/>
      <c r="W147" s="136"/>
      <c r="X147" s="136"/>
      <c r="Y147" s="145"/>
      <c r="Z147" s="145"/>
    </row>
    <row r="148">
      <c r="E148" s="136"/>
      <c r="F148" s="136"/>
      <c r="G148" s="136"/>
      <c r="H148" s="137" t="str">
        <f t="shared" si="1"/>
        <v/>
      </c>
      <c r="I148" s="136"/>
      <c r="J148" s="136"/>
      <c r="K148" s="136"/>
      <c r="L148" s="136"/>
      <c r="M148" s="136"/>
      <c r="N148" s="136"/>
      <c r="O148" s="142" t="str">
        <f t="shared" si="2"/>
        <v/>
      </c>
      <c r="P148" s="140" t="str">
        <f t="shared" si="3"/>
        <v/>
      </c>
      <c r="Q148" s="139" t="str">
        <f t="shared" si="4"/>
        <v/>
      </c>
      <c r="R148" s="139" t="str">
        <f t="shared" si="5"/>
        <v/>
      </c>
      <c r="S148" s="139" t="str">
        <f t="shared" si="6"/>
        <v/>
      </c>
      <c r="T148" s="140" t="str">
        <f t="shared" si="7"/>
        <v/>
      </c>
      <c r="U148" s="136"/>
      <c r="V148" s="136"/>
      <c r="W148" s="136"/>
      <c r="X148" s="136"/>
      <c r="Y148" s="145"/>
      <c r="Z148" s="145"/>
    </row>
    <row r="149">
      <c r="E149" s="136"/>
      <c r="F149" s="136"/>
      <c r="G149" s="136"/>
      <c r="H149" s="137" t="str">
        <f t="shared" si="1"/>
        <v/>
      </c>
      <c r="I149" s="136"/>
      <c r="J149" s="136"/>
      <c r="K149" s="136"/>
      <c r="L149" s="136"/>
      <c r="M149" s="136"/>
      <c r="N149" s="136"/>
      <c r="O149" s="142" t="str">
        <f t="shared" si="2"/>
        <v/>
      </c>
      <c r="P149" s="140" t="str">
        <f t="shared" si="3"/>
        <v/>
      </c>
      <c r="Q149" s="139" t="str">
        <f t="shared" si="4"/>
        <v/>
      </c>
      <c r="R149" s="139" t="str">
        <f t="shared" si="5"/>
        <v/>
      </c>
      <c r="S149" s="139" t="str">
        <f t="shared" si="6"/>
        <v/>
      </c>
      <c r="T149" s="140" t="str">
        <f t="shared" si="7"/>
        <v/>
      </c>
      <c r="U149" s="136"/>
      <c r="V149" s="136"/>
      <c r="W149" s="136"/>
      <c r="X149" s="136"/>
      <c r="Y149" s="145"/>
      <c r="Z149" s="145"/>
    </row>
    <row r="150">
      <c r="E150" s="136"/>
      <c r="F150" s="136"/>
      <c r="G150" s="136"/>
      <c r="H150" s="137" t="str">
        <f t="shared" si="1"/>
        <v/>
      </c>
      <c r="I150" s="136"/>
      <c r="J150" s="136"/>
      <c r="K150" s="136"/>
      <c r="L150" s="136"/>
      <c r="M150" s="136"/>
      <c r="N150" s="136"/>
      <c r="O150" s="142" t="str">
        <f t="shared" si="2"/>
        <v/>
      </c>
      <c r="P150" s="140" t="str">
        <f t="shared" si="3"/>
        <v/>
      </c>
      <c r="Q150" s="139" t="str">
        <f t="shared" si="4"/>
        <v/>
      </c>
      <c r="R150" s="139" t="str">
        <f t="shared" si="5"/>
        <v/>
      </c>
      <c r="S150" s="139" t="str">
        <f t="shared" si="6"/>
        <v/>
      </c>
      <c r="T150" s="140" t="str">
        <f t="shared" si="7"/>
        <v/>
      </c>
      <c r="U150" s="136"/>
      <c r="V150" s="136"/>
      <c r="W150" s="136"/>
      <c r="X150" s="136"/>
      <c r="Y150" s="145"/>
      <c r="Z150" s="145"/>
    </row>
    <row r="151">
      <c r="E151" s="136"/>
      <c r="F151" s="136"/>
      <c r="G151" s="136"/>
      <c r="H151" s="137" t="str">
        <f t="shared" si="1"/>
        <v/>
      </c>
      <c r="I151" s="136"/>
      <c r="J151" s="136"/>
      <c r="K151" s="136"/>
      <c r="L151" s="136"/>
      <c r="M151" s="136"/>
      <c r="N151" s="136"/>
      <c r="O151" s="142" t="str">
        <f t="shared" si="2"/>
        <v/>
      </c>
      <c r="P151" s="140" t="str">
        <f t="shared" si="3"/>
        <v/>
      </c>
      <c r="Q151" s="139" t="str">
        <f t="shared" si="4"/>
        <v/>
      </c>
      <c r="R151" s="139" t="str">
        <f t="shared" si="5"/>
        <v/>
      </c>
      <c r="S151" s="139" t="str">
        <f t="shared" si="6"/>
        <v/>
      </c>
      <c r="T151" s="140" t="str">
        <f t="shared" si="7"/>
        <v/>
      </c>
      <c r="U151" s="136"/>
      <c r="V151" s="136"/>
      <c r="W151" s="136"/>
      <c r="X151" s="136"/>
      <c r="Y151" s="145"/>
      <c r="Z151" s="145"/>
    </row>
    <row r="152">
      <c r="E152" s="136"/>
      <c r="F152" s="136"/>
      <c r="G152" s="136"/>
      <c r="H152" s="137" t="str">
        <f t="shared" si="1"/>
        <v/>
      </c>
      <c r="I152" s="136"/>
      <c r="J152" s="136"/>
      <c r="K152" s="136"/>
      <c r="L152" s="136"/>
      <c r="M152" s="136"/>
      <c r="N152" s="136"/>
      <c r="O152" s="142" t="str">
        <f t="shared" si="2"/>
        <v/>
      </c>
      <c r="P152" s="140" t="str">
        <f t="shared" si="3"/>
        <v/>
      </c>
      <c r="Q152" s="139" t="str">
        <f t="shared" si="4"/>
        <v/>
      </c>
      <c r="R152" s="139" t="str">
        <f t="shared" si="5"/>
        <v/>
      </c>
      <c r="S152" s="139" t="str">
        <f t="shared" si="6"/>
        <v/>
      </c>
      <c r="T152" s="140" t="str">
        <f t="shared" si="7"/>
        <v/>
      </c>
      <c r="U152" s="136"/>
      <c r="V152" s="136"/>
      <c r="W152" s="136"/>
      <c r="X152" s="136"/>
      <c r="Y152" s="145"/>
      <c r="Z152" s="145"/>
    </row>
    <row r="153">
      <c r="E153" s="136"/>
      <c r="F153" s="136"/>
      <c r="G153" s="136"/>
      <c r="H153" s="137" t="str">
        <f t="shared" si="1"/>
        <v/>
      </c>
      <c r="I153" s="136"/>
      <c r="J153" s="136"/>
      <c r="K153" s="136"/>
      <c r="L153" s="136"/>
      <c r="M153" s="136"/>
      <c r="N153" s="136"/>
      <c r="O153" s="142" t="str">
        <f t="shared" si="2"/>
        <v/>
      </c>
      <c r="P153" s="140" t="str">
        <f t="shared" si="3"/>
        <v/>
      </c>
      <c r="Q153" s="139" t="str">
        <f t="shared" si="4"/>
        <v/>
      </c>
      <c r="R153" s="139" t="str">
        <f t="shared" si="5"/>
        <v/>
      </c>
      <c r="S153" s="139" t="str">
        <f t="shared" si="6"/>
        <v/>
      </c>
      <c r="T153" s="140" t="str">
        <f t="shared" si="7"/>
        <v/>
      </c>
      <c r="U153" s="136"/>
      <c r="V153" s="136"/>
      <c r="W153" s="136"/>
      <c r="X153" s="136"/>
      <c r="Y153" s="145"/>
      <c r="Z153" s="145"/>
    </row>
    <row r="154">
      <c r="E154" s="136"/>
      <c r="F154" s="136"/>
      <c r="G154" s="136"/>
      <c r="H154" s="137" t="str">
        <f t="shared" si="1"/>
        <v/>
      </c>
      <c r="I154" s="136"/>
      <c r="J154" s="136"/>
      <c r="K154" s="136"/>
      <c r="L154" s="136"/>
      <c r="M154" s="136"/>
      <c r="N154" s="136"/>
      <c r="O154" s="142" t="str">
        <f t="shared" si="2"/>
        <v/>
      </c>
      <c r="P154" s="140" t="str">
        <f t="shared" si="3"/>
        <v/>
      </c>
      <c r="Q154" s="139" t="str">
        <f t="shared" si="4"/>
        <v/>
      </c>
      <c r="R154" s="139" t="str">
        <f t="shared" si="5"/>
        <v/>
      </c>
      <c r="S154" s="139" t="str">
        <f t="shared" si="6"/>
        <v/>
      </c>
      <c r="T154" s="140" t="str">
        <f t="shared" si="7"/>
        <v/>
      </c>
      <c r="U154" s="136"/>
      <c r="V154" s="136"/>
      <c r="W154" s="136"/>
      <c r="X154" s="136"/>
      <c r="Y154" s="145"/>
      <c r="Z154" s="145"/>
    </row>
    <row r="155">
      <c r="E155" s="136"/>
      <c r="F155" s="136"/>
      <c r="G155" s="136"/>
      <c r="H155" s="137" t="str">
        <f t="shared" si="1"/>
        <v/>
      </c>
      <c r="I155" s="136"/>
      <c r="J155" s="136"/>
      <c r="K155" s="136"/>
      <c r="L155" s="136"/>
      <c r="M155" s="136"/>
      <c r="N155" s="136"/>
      <c r="O155" s="142" t="str">
        <f t="shared" si="2"/>
        <v/>
      </c>
      <c r="P155" s="140" t="str">
        <f t="shared" si="3"/>
        <v/>
      </c>
      <c r="Q155" s="139" t="str">
        <f t="shared" si="4"/>
        <v/>
      </c>
      <c r="R155" s="139" t="str">
        <f t="shared" si="5"/>
        <v/>
      </c>
      <c r="S155" s="139" t="str">
        <f t="shared" si="6"/>
        <v/>
      </c>
      <c r="T155" s="140" t="str">
        <f t="shared" si="7"/>
        <v/>
      </c>
      <c r="U155" s="136"/>
      <c r="V155" s="136"/>
      <c r="W155" s="136"/>
      <c r="X155" s="136"/>
      <c r="Y155" s="145"/>
      <c r="Z155" s="145"/>
    </row>
    <row r="156">
      <c r="E156" s="136"/>
      <c r="F156" s="136"/>
      <c r="G156" s="136"/>
      <c r="H156" s="137" t="str">
        <f t="shared" si="1"/>
        <v/>
      </c>
      <c r="I156" s="136"/>
      <c r="J156" s="136"/>
      <c r="K156" s="136"/>
      <c r="L156" s="136"/>
      <c r="M156" s="136"/>
      <c r="N156" s="136"/>
      <c r="O156" s="142" t="str">
        <f t="shared" si="2"/>
        <v/>
      </c>
      <c r="P156" s="140" t="str">
        <f t="shared" si="3"/>
        <v/>
      </c>
      <c r="Q156" s="139" t="str">
        <f t="shared" si="4"/>
        <v/>
      </c>
      <c r="R156" s="139" t="str">
        <f t="shared" si="5"/>
        <v/>
      </c>
      <c r="S156" s="139" t="str">
        <f t="shared" si="6"/>
        <v/>
      </c>
      <c r="T156" s="140" t="str">
        <f t="shared" si="7"/>
        <v/>
      </c>
      <c r="U156" s="136"/>
      <c r="V156" s="136"/>
      <c r="W156" s="136"/>
      <c r="X156" s="136"/>
      <c r="Y156" s="145"/>
      <c r="Z156" s="145"/>
    </row>
    <row r="157">
      <c r="E157" s="136"/>
      <c r="F157" s="136"/>
      <c r="G157" s="136"/>
      <c r="H157" s="137" t="str">
        <f t="shared" si="1"/>
        <v/>
      </c>
      <c r="I157" s="136"/>
      <c r="J157" s="136"/>
      <c r="K157" s="136"/>
      <c r="L157" s="136"/>
      <c r="M157" s="136"/>
      <c r="N157" s="136"/>
      <c r="O157" s="142" t="str">
        <f t="shared" si="2"/>
        <v/>
      </c>
      <c r="P157" s="140" t="str">
        <f t="shared" si="3"/>
        <v/>
      </c>
      <c r="Q157" s="139" t="str">
        <f t="shared" si="4"/>
        <v/>
      </c>
      <c r="R157" s="139" t="str">
        <f t="shared" si="5"/>
        <v/>
      </c>
      <c r="S157" s="139" t="str">
        <f t="shared" si="6"/>
        <v/>
      </c>
      <c r="T157" s="140" t="str">
        <f t="shared" si="7"/>
        <v/>
      </c>
      <c r="U157" s="136"/>
      <c r="V157" s="136"/>
      <c r="W157" s="136"/>
      <c r="X157" s="136"/>
      <c r="Y157" s="145"/>
      <c r="Z157" s="145"/>
    </row>
    <row r="158">
      <c r="E158" s="136"/>
      <c r="F158" s="136"/>
      <c r="G158" s="136"/>
      <c r="H158" s="137" t="str">
        <f t="shared" si="1"/>
        <v/>
      </c>
      <c r="I158" s="136"/>
      <c r="J158" s="136"/>
      <c r="K158" s="136"/>
      <c r="L158" s="136"/>
      <c r="M158" s="136"/>
      <c r="N158" s="136"/>
      <c r="O158" s="142" t="str">
        <f t="shared" si="2"/>
        <v/>
      </c>
      <c r="P158" s="140" t="str">
        <f t="shared" si="3"/>
        <v/>
      </c>
      <c r="Q158" s="139" t="str">
        <f t="shared" si="4"/>
        <v/>
      </c>
      <c r="R158" s="139" t="str">
        <f t="shared" si="5"/>
        <v/>
      </c>
      <c r="S158" s="139" t="str">
        <f t="shared" si="6"/>
        <v/>
      </c>
      <c r="T158" s="140" t="str">
        <f t="shared" si="7"/>
        <v/>
      </c>
      <c r="U158" s="136"/>
      <c r="V158" s="136"/>
      <c r="W158" s="136"/>
      <c r="X158" s="136"/>
      <c r="Y158" s="145"/>
      <c r="Z158" s="145"/>
    </row>
    <row r="159">
      <c r="E159" s="136"/>
      <c r="F159" s="136"/>
      <c r="G159" s="136"/>
      <c r="H159" s="137" t="str">
        <f t="shared" si="1"/>
        <v/>
      </c>
      <c r="I159" s="136"/>
      <c r="J159" s="136"/>
      <c r="K159" s="136"/>
      <c r="L159" s="136"/>
      <c r="M159" s="136"/>
      <c r="N159" s="136"/>
      <c r="O159" s="142" t="str">
        <f t="shared" si="2"/>
        <v/>
      </c>
      <c r="P159" s="140" t="str">
        <f t="shared" si="3"/>
        <v/>
      </c>
      <c r="Q159" s="139" t="str">
        <f t="shared" si="4"/>
        <v/>
      </c>
      <c r="R159" s="139" t="str">
        <f t="shared" si="5"/>
        <v/>
      </c>
      <c r="S159" s="139" t="str">
        <f t="shared" si="6"/>
        <v/>
      </c>
      <c r="T159" s="140" t="str">
        <f t="shared" si="7"/>
        <v/>
      </c>
      <c r="U159" s="136"/>
      <c r="V159" s="136"/>
      <c r="W159" s="136"/>
      <c r="X159" s="136"/>
      <c r="Y159" s="145"/>
      <c r="Z159" s="145"/>
    </row>
    <row r="160">
      <c r="E160" s="136"/>
      <c r="F160" s="136"/>
      <c r="G160" s="136"/>
      <c r="H160" s="137" t="str">
        <f t="shared" si="1"/>
        <v/>
      </c>
      <c r="I160" s="136"/>
      <c r="J160" s="136"/>
      <c r="K160" s="136"/>
      <c r="L160" s="136"/>
      <c r="M160" s="136"/>
      <c r="N160" s="136"/>
      <c r="O160" s="142" t="str">
        <f t="shared" si="2"/>
        <v/>
      </c>
      <c r="P160" s="140" t="str">
        <f t="shared" si="3"/>
        <v/>
      </c>
      <c r="Q160" s="139" t="str">
        <f t="shared" si="4"/>
        <v/>
      </c>
      <c r="R160" s="139" t="str">
        <f t="shared" si="5"/>
        <v/>
      </c>
      <c r="S160" s="139" t="str">
        <f t="shared" si="6"/>
        <v/>
      </c>
      <c r="T160" s="140" t="str">
        <f t="shared" si="7"/>
        <v/>
      </c>
      <c r="U160" s="136"/>
      <c r="V160" s="136"/>
      <c r="W160" s="136"/>
      <c r="X160" s="136"/>
      <c r="Y160" s="145"/>
      <c r="Z160" s="145"/>
    </row>
    <row r="161">
      <c r="E161" s="136"/>
      <c r="F161" s="136"/>
      <c r="G161" s="136"/>
      <c r="H161" s="137" t="str">
        <f t="shared" si="1"/>
        <v/>
      </c>
      <c r="I161" s="136"/>
      <c r="J161" s="136"/>
      <c r="K161" s="136"/>
      <c r="L161" s="136"/>
      <c r="M161" s="136"/>
      <c r="N161" s="136"/>
      <c r="O161" s="142" t="str">
        <f t="shared" si="2"/>
        <v/>
      </c>
      <c r="P161" s="140" t="str">
        <f t="shared" si="3"/>
        <v/>
      </c>
      <c r="Q161" s="139" t="str">
        <f t="shared" si="4"/>
        <v/>
      </c>
      <c r="R161" s="139" t="str">
        <f t="shared" si="5"/>
        <v/>
      </c>
      <c r="S161" s="139" t="str">
        <f t="shared" si="6"/>
        <v/>
      </c>
      <c r="T161" s="140" t="str">
        <f t="shared" si="7"/>
        <v/>
      </c>
      <c r="U161" s="136"/>
      <c r="V161" s="136"/>
      <c r="W161" s="136"/>
      <c r="X161" s="136"/>
      <c r="Y161" s="145"/>
      <c r="Z161" s="145"/>
    </row>
    <row r="162">
      <c r="E162" s="136"/>
      <c r="F162" s="136"/>
      <c r="G162" s="136"/>
      <c r="H162" s="137" t="str">
        <f t="shared" si="1"/>
        <v/>
      </c>
      <c r="I162" s="136"/>
      <c r="J162" s="136"/>
      <c r="K162" s="136"/>
      <c r="L162" s="136"/>
      <c r="M162" s="136"/>
      <c r="N162" s="136"/>
      <c r="O162" s="142" t="str">
        <f t="shared" si="2"/>
        <v/>
      </c>
      <c r="P162" s="140" t="str">
        <f t="shared" si="3"/>
        <v/>
      </c>
      <c r="Q162" s="139" t="str">
        <f t="shared" si="4"/>
        <v/>
      </c>
      <c r="R162" s="139" t="str">
        <f t="shared" si="5"/>
        <v/>
      </c>
      <c r="S162" s="139" t="str">
        <f t="shared" si="6"/>
        <v/>
      </c>
      <c r="T162" s="140" t="str">
        <f t="shared" si="7"/>
        <v/>
      </c>
      <c r="U162" s="136"/>
      <c r="V162" s="136"/>
      <c r="W162" s="136"/>
      <c r="X162" s="136"/>
      <c r="Y162" s="145"/>
      <c r="Z162" s="145"/>
    </row>
    <row r="163">
      <c r="E163" s="136"/>
      <c r="F163" s="136"/>
      <c r="G163" s="136"/>
      <c r="H163" s="137" t="str">
        <f t="shared" si="1"/>
        <v/>
      </c>
      <c r="I163" s="136"/>
      <c r="J163" s="136"/>
      <c r="K163" s="136"/>
      <c r="L163" s="136"/>
      <c r="M163" s="136"/>
      <c r="N163" s="136"/>
      <c r="O163" s="142" t="str">
        <f t="shared" si="2"/>
        <v/>
      </c>
      <c r="P163" s="140" t="str">
        <f t="shared" si="3"/>
        <v/>
      </c>
      <c r="Q163" s="139" t="str">
        <f t="shared" si="4"/>
        <v/>
      </c>
      <c r="R163" s="139" t="str">
        <f t="shared" si="5"/>
        <v/>
      </c>
      <c r="S163" s="139" t="str">
        <f t="shared" si="6"/>
        <v/>
      </c>
      <c r="T163" s="140" t="str">
        <f t="shared" si="7"/>
        <v/>
      </c>
      <c r="U163" s="136"/>
      <c r="V163" s="136"/>
      <c r="W163" s="136"/>
      <c r="X163" s="136"/>
      <c r="Y163" s="145"/>
      <c r="Z163" s="145"/>
    </row>
    <row r="164">
      <c r="E164" s="136"/>
      <c r="F164" s="136"/>
      <c r="G164" s="136"/>
      <c r="H164" s="137" t="str">
        <f t="shared" si="1"/>
        <v/>
      </c>
      <c r="I164" s="136"/>
      <c r="J164" s="136"/>
      <c r="K164" s="136"/>
      <c r="L164" s="136"/>
      <c r="M164" s="136"/>
      <c r="N164" s="136"/>
      <c r="O164" s="142" t="str">
        <f t="shared" si="2"/>
        <v/>
      </c>
      <c r="P164" s="140" t="str">
        <f t="shared" si="3"/>
        <v/>
      </c>
      <c r="Q164" s="139" t="str">
        <f t="shared" si="4"/>
        <v/>
      </c>
      <c r="R164" s="139" t="str">
        <f t="shared" si="5"/>
        <v/>
      </c>
      <c r="S164" s="139" t="str">
        <f t="shared" si="6"/>
        <v/>
      </c>
      <c r="T164" s="140" t="str">
        <f t="shared" si="7"/>
        <v/>
      </c>
      <c r="U164" s="136"/>
      <c r="V164" s="136"/>
      <c r="W164" s="136"/>
      <c r="X164" s="136"/>
      <c r="Y164" s="145"/>
      <c r="Z164" s="145"/>
    </row>
    <row r="165">
      <c r="E165" s="136"/>
      <c r="F165" s="136"/>
      <c r="G165" s="136"/>
      <c r="H165" s="137" t="str">
        <f t="shared" si="1"/>
        <v/>
      </c>
      <c r="I165" s="136"/>
      <c r="J165" s="136"/>
      <c r="K165" s="136"/>
      <c r="L165" s="136"/>
      <c r="M165" s="136"/>
      <c r="N165" s="136"/>
      <c r="O165" s="142" t="str">
        <f t="shared" si="2"/>
        <v/>
      </c>
      <c r="P165" s="140" t="str">
        <f t="shared" si="3"/>
        <v/>
      </c>
      <c r="Q165" s="139" t="str">
        <f t="shared" si="4"/>
        <v/>
      </c>
      <c r="R165" s="139" t="str">
        <f t="shared" si="5"/>
        <v/>
      </c>
      <c r="S165" s="139" t="str">
        <f t="shared" si="6"/>
        <v/>
      </c>
      <c r="T165" s="140" t="str">
        <f t="shared" si="7"/>
        <v/>
      </c>
      <c r="U165" s="136"/>
      <c r="V165" s="136"/>
      <c r="W165" s="136"/>
      <c r="X165" s="136"/>
      <c r="Y165" s="145"/>
      <c r="Z165" s="145"/>
    </row>
    <row r="166">
      <c r="E166" s="136"/>
      <c r="F166" s="136"/>
      <c r="G166" s="136"/>
      <c r="H166" s="137" t="str">
        <f t="shared" si="1"/>
        <v/>
      </c>
      <c r="I166" s="136"/>
      <c r="J166" s="136"/>
      <c r="K166" s="136"/>
      <c r="L166" s="136"/>
      <c r="M166" s="136"/>
      <c r="N166" s="136"/>
      <c r="O166" s="142" t="str">
        <f t="shared" si="2"/>
        <v/>
      </c>
      <c r="P166" s="140" t="str">
        <f t="shared" si="3"/>
        <v/>
      </c>
      <c r="Q166" s="139" t="str">
        <f t="shared" si="4"/>
        <v/>
      </c>
      <c r="R166" s="139" t="str">
        <f t="shared" si="5"/>
        <v/>
      </c>
      <c r="S166" s="139" t="str">
        <f t="shared" si="6"/>
        <v/>
      </c>
      <c r="T166" s="140" t="str">
        <f t="shared" si="7"/>
        <v/>
      </c>
      <c r="U166" s="136"/>
      <c r="V166" s="136"/>
      <c r="W166" s="136"/>
      <c r="X166" s="136"/>
      <c r="Y166" s="145"/>
      <c r="Z166" s="145"/>
    </row>
    <row r="167">
      <c r="E167" s="136"/>
      <c r="F167" s="136"/>
      <c r="G167" s="136"/>
      <c r="H167" s="137" t="str">
        <f t="shared" si="1"/>
        <v/>
      </c>
      <c r="I167" s="136"/>
      <c r="J167" s="136"/>
      <c r="K167" s="136"/>
      <c r="L167" s="136"/>
      <c r="M167" s="136"/>
      <c r="N167" s="136"/>
      <c r="O167" s="142" t="str">
        <f t="shared" si="2"/>
        <v/>
      </c>
      <c r="P167" s="140" t="str">
        <f t="shared" si="3"/>
        <v/>
      </c>
      <c r="Q167" s="139" t="str">
        <f t="shared" si="4"/>
        <v/>
      </c>
      <c r="R167" s="139" t="str">
        <f t="shared" si="5"/>
        <v/>
      </c>
      <c r="S167" s="139" t="str">
        <f t="shared" si="6"/>
        <v/>
      </c>
      <c r="T167" s="140" t="str">
        <f t="shared" si="7"/>
        <v/>
      </c>
      <c r="U167" s="136"/>
      <c r="V167" s="136"/>
      <c r="W167" s="136"/>
      <c r="X167" s="136"/>
      <c r="Y167" s="145"/>
      <c r="Z167" s="145"/>
    </row>
    <row r="168">
      <c r="E168" s="136"/>
      <c r="F168" s="136"/>
      <c r="G168" s="136"/>
      <c r="H168" s="137" t="str">
        <f t="shared" si="1"/>
        <v/>
      </c>
      <c r="I168" s="136"/>
      <c r="J168" s="136"/>
      <c r="K168" s="136"/>
      <c r="L168" s="136"/>
      <c r="M168" s="136"/>
      <c r="N168" s="136"/>
      <c r="O168" s="142" t="str">
        <f t="shared" si="2"/>
        <v/>
      </c>
      <c r="P168" s="140" t="str">
        <f t="shared" si="3"/>
        <v/>
      </c>
      <c r="Q168" s="139" t="str">
        <f t="shared" si="4"/>
        <v/>
      </c>
      <c r="R168" s="139" t="str">
        <f t="shared" si="5"/>
        <v/>
      </c>
      <c r="S168" s="139" t="str">
        <f t="shared" si="6"/>
        <v/>
      </c>
      <c r="T168" s="140" t="str">
        <f t="shared" si="7"/>
        <v/>
      </c>
      <c r="U168" s="136"/>
      <c r="V168" s="136"/>
      <c r="W168" s="136"/>
      <c r="X168" s="136"/>
      <c r="Y168" s="145"/>
      <c r="Z168" s="145"/>
    </row>
    <row r="169">
      <c r="E169" s="136"/>
      <c r="F169" s="136"/>
      <c r="G169" s="136"/>
      <c r="H169" s="137" t="str">
        <f t="shared" si="1"/>
        <v/>
      </c>
      <c r="I169" s="136"/>
      <c r="J169" s="136"/>
      <c r="K169" s="136"/>
      <c r="L169" s="136"/>
      <c r="M169" s="136"/>
      <c r="N169" s="136"/>
      <c r="O169" s="142" t="str">
        <f t="shared" si="2"/>
        <v/>
      </c>
      <c r="P169" s="140" t="str">
        <f t="shared" si="3"/>
        <v/>
      </c>
      <c r="Q169" s="139" t="str">
        <f t="shared" si="4"/>
        <v/>
      </c>
      <c r="R169" s="139" t="str">
        <f t="shared" si="5"/>
        <v/>
      </c>
      <c r="S169" s="139" t="str">
        <f t="shared" si="6"/>
        <v/>
      </c>
      <c r="T169" s="140" t="str">
        <f t="shared" si="7"/>
        <v/>
      </c>
      <c r="U169" s="136"/>
      <c r="V169" s="136"/>
      <c r="W169" s="136"/>
      <c r="X169" s="136"/>
      <c r="Y169" s="145"/>
      <c r="Z169" s="145"/>
    </row>
    <row r="170">
      <c r="E170" s="136"/>
      <c r="F170" s="136"/>
      <c r="G170" s="136"/>
      <c r="H170" s="137" t="str">
        <f t="shared" si="1"/>
        <v/>
      </c>
      <c r="I170" s="136"/>
      <c r="J170" s="136"/>
      <c r="K170" s="136"/>
      <c r="L170" s="136"/>
      <c r="M170" s="136"/>
      <c r="N170" s="136"/>
      <c r="O170" s="142" t="str">
        <f t="shared" si="2"/>
        <v/>
      </c>
      <c r="P170" s="140" t="str">
        <f t="shared" si="3"/>
        <v/>
      </c>
      <c r="Q170" s="139" t="str">
        <f t="shared" si="4"/>
        <v/>
      </c>
      <c r="R170" s="139" t="str">
        <f t="shared" si="5"/>
        <v/>
      </c>
      <c r="S170" s="139" t="str">
        <f t="shared" si="6"/>
        <v/>
      </c>
      <c r="T170" s="140" t="str">
        <f t="shared" si="7"/>
        <v/>
      </c>
      <c r="U170" s="136"/>
      <c r="V170" s="136"/>
      <c r="W170" s="136"/>
      <c r="X170" s="136"/>
      <c r="Y170" s="145"/>
      <c r="Z170" s="145"/>
    </row>
    <row r="171">
      <c r="E171" s="136"/>
      <c r="F171" s="136"/>
      <c r="G171" s="136"/>
      <c r="H171" s="137" t="str">
        <f t="shared" si="1"/>
        <v/>
      </c>
      <c r="I171" s="136"/>
      <c r="J171" s="136"/>
      <c r="K171" s="136"/>
      <c r="L171" s="136"/>
      <c r="M171" s="136"/>
      <c r="N171" s="136"/>
      <c r="O171" s="142" t="str">
        <f t="shared" si="2"/>
        <v/>
      </c>
      <c r="P171" s="140" t="str">
        <f t="shared" si="3"/>
        <v/>
      </c>
      <c r="Q171" s="139" t="str">
        <f t="shared" si="4"/>
        <v/>
      </c>
      <c r="R171" s="139" t="str">
        <f t="shared" si="5"/>
        <v/>
      </c>
      <c r="S171" s="139" t="str">
        <f t="shared" si="6"/>
        <v/>
      </c>
      <c r="T171" s="140" t="str">
        <f t="shared" si="7"/>
        <v/>
      </c>
      <c r="U171" s="136"/>
      <c r="V171" s="136"/>
      <c r="W171" s="136"/>
      <c r="X171" s="136"/>
      <c r="Y171" s="145"/>
      <c r="Z171" s="145"/>
    </row>
    <row r="172">
      <c r="E172" s="136"/>
      <c r="F172" s="136"/>
      <c r="G172" s="136"/>
      <c r="H172" s="137" t="str">
        <f t="shared" si="1"/>
        <v/>
      </c>
      <c r="I172" s="136"/>
      <c r="J172" s="136"/>
      <c r="K172" s="136"/>
      <c r="L172" s="136"/>
      <c r="M172" s="136"/>
      <c r="N172" s="136"/>
      <c r="O172" s="142" t="str">
        <f t="shared" si="2"/>
        <v/>
      </c>
      <c r="P172" s="140" t="str">
        <f t="shared" si="3"/>
        <v/>
      </c>
      <c r="Q172" s="139" t="str">
        <f t="shared" si="4"/>
        <v/>
      </c>
      <c r="R172" s="139" t="str">
        <f t="shared" si="5"/>
        <v/>
      </c>
      <c r="S172" s="139" t="str">
        <f t="shared" si="6"/>
        <v/>
      </c>
      <c r="T172" s="140" t="str">
        <f t="shared" si="7"/>
        <v/>
      </c>
      <c r="U172" s="136"/>
      <c r="V172" s="136"/>
      <c r="W172" s="136"/>
      <c r="X172" s="136"/>
      <c r="Y172" s="145"/>
      <c r="Z172" s="145"/>
    </row>
    <row r="173">
      <c r="E173" s="136"/>
      <c r="F173" s="136"/>
      <c r="G173" s="136"/>
      <c r="H173" s="137" t="str">
        <f t="shared" si="1"/>
        <v/>
      </c>
      <c r="I173" s="136"/>
      <c r="J173" s="136"/>
      <c r="K173" s="136"/>
      <c r="L173" s="136"/>
      <c r="M173" s="136"/>
      <c r="N173" s="136"/>
      <c r="O173" s="142" t="str">
        <f t="shared" si="2"/>
        <v/>
      </c>
      <c r="P173" s="140" t="str">
        <f t="shared" si="3"/>
        <v/>
      </c>
      <c r="Q173" s="139" t="str">
        <f t="shared" si="4"/>
        <v/>
      </c>
      <c r="R173" s="139" t="str">
        <f t="shared" si="5"/>
        <v/>
      </c>
      <c r="S173" s="139" t="str">
        <f t="shared" si="6"/>
        <v/>
      </c>
      <c r="T173" s="140" t="str">
        <f t="shared" si="7"/>
        <v/>
      </c>
      <c r="U173" s="136"/>
      <c r="V173" s="136"/>
      <c r="W173" s="136"/>
      <c r="X173" s="136"/>
      <c r="Y173" s="145"/>
      <c r="Z173" s="145"/>
    </row>
    <row r="174">
      <c r="E174" s="136"/>
      <c r="F174" s="136"/>
      <c r="G174" s="136"/>
      <c r="H174" s="137" t="str">
        <f t="shared" si="1"/>
        <v/>
      </c>
      <c r="I174" s="136"/>
      <c r="J174" s="136"/>
      <c r="K174" s="136"/>
      <c r="L174" s="136"/>
      <c r="M174" s="136"/>
      <c r="N174" s="136"/>
      <c r="O174" s="142" t="str">
        <f t="shared" si="2"/>
        <v/>
      </c>
      <c r="P174" s="140" t="str">
        <f t="shared" si="3"/>
        <v/>
      </c>
      <c r="Q174" s="139" t="str">
        <f t="shared" si="4"/>
        <v/>
      </c>
      <c r="R174" s="139" t="str">
        <f t="shared" si="5"/>
        <v/>
      </c>
      <c r="S174" s="139" t="str">
        <f t="shared" si="6"/>
        <v/>
      </c>
      <c r="T174" s="140" t="str">
        <f t="shared" si="7"/>
        <v/>
      </c>
      <c r="U174" s="136"/>
      <c r="V174" s="136"/>
      <c r="W174" s="136"/>
      <c r="X174" s="136"/>
      <c r="Y174" s="145"/>
      <c r="Z174" s="145"/>
    </row>
    <row r="175">
      <c r="E175" s="136"/>
      <c r="F175" s="136"/>
      <c r="G175" s="136"/>
      <c r="H175" s="137" t="str">
        <f t="shared" si="1"/>
        <v/>
      </c>
      <c r="I175" s="136"/>
      <c r="J175" s="136"/>
      <c r="K175" s="136"/>
      <c r="L175" s="136"/>
      <c r="M175" s="136"/>
      <c r="N175" s="136"/>
      <c r="O175" s="142" t="str">
        <f t="shared" si="2"/>
        <v/>
      </c>
      <c r="P175" s="140" t="str">
        <f t="shared" si="3"/>
        <v/>
      </c>
      <c r="Q175" s="139" t="str">
        <f t="shared" si="4"/>
        <v/>
      </c>
      <c r="R175" s="139" t="str">
        <f t="shared" si="5"/>
        <v/>
      </c>
      <c r="S175" s="139" t="str">
        <f t="shared" si="6"/>
        <v/>
      </c>
      <c r="T175" s="140" t="str">
        <f t="shared" si="7"/>
        <v/>
      </c>
      <c r="U175" s="136"/>
      <c r="V175" s="136"/>
      <c r="W175" s="136"/>
      <c r="X175" s="136"/>
      <c r="Y175" s="145"/>
      <c r="Z175" s="145"/>
    </row>
    <row r="176">
      <c r="E176" s="136"/>
      <c r="F176" s="136"/>
      <c r="G176" s="136"/>
      <c r="H176" s="137" t="str">
        <f t="shared" si="1"/>
        <v/>
      </c>
      <c r="I176" s="136"/>
      <c r="J176" s="136"/>
      <c r="K176" s="136"/>
      <c r="L176" s="136"/>
      <c r="M176" s="136"/>
      <c r="N176" s="136"/>
      <c r="O176" s="142" t="str">
        <f t="shared" si="2"/>
        <v/>
      </c>
      <c r="P176" s="140" t="str">
        <f t="shared" si="3"/>
        <v/>
      </c>
      <c r="Q176" s="139" t="str">
        <f t="shared" si="4"/>
        <v/>
      </c>
      <c r="R176" s="139" t="str">
        <f t="shared" si="5"/>
        <v/>
      </c>
      <c r="S176" s="139" t="str">
        <f t="shared" si="6"/>
        <v/>
      </c>
      <c r="T176" s="140" t="str">
        <f t="shared" si="7"/>
        <v/>
      </c>
      <c r="U176" s="136"/>
      <c r="V176" s="136"/>
      <c r="W176" s="136"/>
      <c r="X176" s="136"/>
      <c r="Y176" s="145"/>
      <c r="Z176" s="145"/>
    </row>
    <row r="177">
      <c r="E177" s="136"/>
      <c r="F177" s="136"/>
      <c r="G177" s="136"/>
      <c r="H177" s="137" t="str">
        <f t="shared" si="1"/>
        <v/>
      </c>
      <c r="I177" s="136"/>
      <c r="J177" s="136"/>
      <c r="K177" s="136"/>
      <c r="L177" s="136"/>
      <c r="M177" s="136"/>
      <c r="N177" s="136"/>
      <c r="O177" s="142" t="str">
        <f t="shared" si="2"/>
        <v/>
      </c>
      <c r="P177" s="140" t="str">
        <f t="shared" si="3"/>
        <v/>
      </c>
      <c r="Q177" s="139" t="str">
        <f t="shared" si="4"/>
        <v/>
      </c>
      <c r="R177" s="139" t="str">
        <f t="shared" si="5"/>
        <v/>
      </c>
      <c r="S177" s="139" t="str">
        <f t="shared" si="6"/>
        <v/>
      </c>
      <c r="T177" s="140" t="str">
        <f t="shared" si="7"/>
        <v/>
      </c>
      <c r="U177" s="136"/>
      <c r="V177" s="136"/>
      <c r="W177" s="136"/>
      <c r="X177" s="136"/>
      <c r="Y177" s="145"/>
      <c r="Z177" s="145"/>
    </row>
    <row r="178">
      <c r="E178" s="136"/>
      <c r="F178" s="136"/>
      <c r="G178" s="136"/>
      <c r="H178" s="137" t="str">
        <f t="shared" si="1"/>
        <v/>
      </c>
      <c r="I178" s="136"/>
      <c r="J178" s="136"/>
      <c r="K178" s="136"/>
      <c r="L178" s="136"/>
      <c r="M178" s="136"/>
      <c r="N178" s="136"/>
      <c r="O178" s="142" t="str">
        <f t="shared" si="2"/>
        <v/>
      </c>
      <c r="P178" s="140" t="str">
        <f t="shared" si="3"/>
        <v/>
      </c>
      <c r="Q178" s="139" t="str">
        <f t="shared" si="4"/>
        <v/>
      </c>
      <c r="R178" s="139" t="str">
        <f t="shared" si="5"/>
        <v/>
      </c>
      <c r="S178" s="139" t="str">
        <f t="shared" si="6"/>
        <v/>
      </c>
      <c r="T178" s="140" t="str">
        <f t="shared" si="7"/>
        <v/>
      </c>
      <c r="U178" s="136"/>
      <c r="V178" s="136"/>
      <c r="W178" s="136"/>
      <c r="X178" s="136"/>
      <c r="Y178" s="145"/>
      <c r="Z178" s="145"/>
    </row>
    <row r="179">
      <c r="E179" s="136"/>
      <c r="F179" s="136"/>
      <c r="G179" s="136"/>
      <c r="H179" s="137" t="str">
        <f t="shared" si="1"/>
        <v/>
      </c>
      <c r="I179" s="136"/>
      <c r="J179" s="136"/>
      <c r="K179" s="136"/>
      <c r="L179" s="136"/>
      <c r="M179" s="136"/>
      <c r="N179" s="136"/>
      <c r="O179" s="142" t="str">
        <f t="shared" si="2"/>
        <v/>
      </c>
      <c r="P179" s="140" t="str">
        <f t="shared" si="3"/>
        <v/>
      </c>
      <c r="Q179" s="139" t="str">
        <f t="shared" si="4"/>
        <v/>
      </c>
      <c r="R179" s="139" t="str">
        <f t="shared" si="5"/>
        <v/>
      </c>
      <c r="S179" s="139" t="str">
        <f t="shared" si="6"/>
        <v/>
      </c>
      <c r="T179" s="140" t="str">
        <f t="shared" si="7"/>
        <v/>
      </c>
      <c r="U179" s="136"/>
      <c r="V179" s="136"/>
      <c r="W179" s="136"/>
      <c r="X179" s="136"/>
      <c r="Y179" s="145"/>
      <c r="Z179" s="145"/>
    </row>
    <row r="180">
      <c r="E180" s="136"/>
      <c r="F180" s="136"/>
      <c r="G180" s="136"/>
      <c r="H180" s="137" t="str">
        <f t="shared" si="1"/>
        <v/>
      </c>
      <c r="I180" s="136"/>
      <c r="J180" s="136"/>
      <c r="K180" s="136"/>
      <c r="L180" s="136"/>
      <c r="M180" s="136"/>
      <c r="N180" s="136"/>
      <c r="O180" s="142" t="str">
        <f t="shared" si="2"/>
        <v/>
      </c>
      <c r="P180" s="140" t="str">
        <f t="shared" si="3"/>
        <v/>
      </c>
      <c r="Q180" s="139" t="str">
        <f t="shared" si="4"/>
        <v/>
      </c>
      <c r="R180" s="139" t="str">
        <f t="shared" si="5"/>
        <v/>
      </c>
      <c r="S180" s="139" t="str">
        <f t="shared" si="6"/>
        <v/>
      </c>
      <c r="T180" s="140" t="str">
        <f t="shared" si="7"/>
        <v/>
      </c>
      <c r="U180" s="136"/>
      <c r="V180" s="136"/>
      <c r="W180" s="136"/>
      <c r="X180" s="136"/>
      <c r="Y180" s="145"/>
      <c r="Z180" s="145"/>
    </row>
    <row r="181">
      <c r="E181" s="136"/>
      <c r="F181" s="136"/>
      <c r="G181" s="136"/>
      <c r="H181" s="137" t="str">
        <f t="shared" si="1"/>
        <v/>
      </c>
      <c r="I181" s="136"/>
      <c r="J181" s="136"/>
      <c r="K181" s="136"/>
      <c r="L181" s="136"/>
      <c r="M181" s="136"/>
      <c r="N181" s="136"/>
      <c r="O181" s="142" t="str">
        <f t="shared" si="2"/>
        <v/>
      </c>
      <c r="P181" s="140" t="str">
        <f t="shared" si="3"/>
        <v/>
      </c>
      <c r="Q181" s="139" t="str">
        <f t="shared" si="4"/>
        <v/>
      </c>
      <c r="R181" s="139" t="str">
        <f t="shared" si="5"/>
        <v/>
      </c>
      <c r="S181" s="139" t="str">
        <f t="shared" si="6"/>
        <v/>
      </c>
      <c r="T181" s="140" t="str">
        <f t="shared" si="7"/>
        <v/>
      </c>
      <c r="U181" s="136"/>
      <c r="V181" s="136"/>
      <c r="W181" s="136"/>
      <c r="X181" s="136"/>
      <c r="Y181" s="145"/>
      <c r="Z181" s="145"/>
    </row>
    <row r="182">
      <c r="E182" s="136"/>
      <c r="F182" s="136"/>
      <c r="G182" s="136"/>
      <c r="H182" s="137" t="str">
        <f t="shared" si="1"/>
        <v/>
      </c>
      <c r="I182" s="136"/>
      <c r="J182" s="136"/>
      <c r="K182" s="136"/>
      <c r="L182" s="136"/>
      <c r="M182" s="136"/>
      <c r="N182" s="136"/>
      <c r="O182" s="142" t="str">
        <f t="shared" si="2"/>
        <v/>
      </c>
      <c r="P182" s="140" t="str">
        <f t="shared" si="3"/>
        <v/>
      </c>
      <c r="Q182" s="139" t="str">
        <f t="shared" si="4"/>
        <v/>
      </c>
      <c r="R182" s="139" t="str">
        <f t="shared" si="5"/>
        <v/>
      </c>
      <c r="S182" s="139" t="str">
        <f t="shared" si="6"/>
        <v/>
      </c>
      <c r="T182" s="140" t="str">
        <f t="shared" si="7"/>
        <v/>
      </c>
      <c r="U182" s="136"/>
      <c r="V182" s="136"/>
      <c r="W182" s="136"/>
      <c r="X182" s="136"/>
      <c r="Y182" s="145"/>
      <c r="Z182" s="145"/>
    </row>
    <row r="183">
      <c r="E183" s="136"/>
      <c r="F183" s="136"/>
      <c r="G183" s="136"/>
      <c r="H183" s="137" t="str">
        <f t="shared" si="1"/>
        <v/>
      </c>
      <c r="I183" s="136"/>
      <c r="J183" s="136"/>
      <c r="K183" s="136"/>
      <c r="L183" s="136"/>
      <c r="M183" s="136"/>
      <c r="N183" s="136"/>
      <c r="O183" s="142" t="str">
        <f t="shared" si="2"/>
        <v/>
      </c>
      <c r="P183" s="140" t="str">
        <f t="shared" si="3"/>
        <v/>
      </c>
      <c r="Q183" s="139" t="str">
        <f t="shared" si="4"/>
        <v/>
      </c>
      <c r="R183" s="139" t="str">
        <f t="shared" si="5"/>
        <v/>
      </c>
      <c r="S183" s="139" t="str">
        <f t="shared" si="6"/>
        <v/>
      </c>
      <c r="T183" s="140" t="str">
        <f t="shared" si="7"/>
        <v/>
      </c>
      <c r="U183" s="136"/>
      <c r="V183" s="136"/>
      <c r="W183" s="136"/>
      <c r="X183" s="136"/>
      <c r="Y183" s="145"/>
      <c r="Z183" s="145"/>
    </row>
    <row r="184">
      <c r="E184" s="136"/>
      <c r="F184" s="136"/>
      <c r="G184" s="136"/>
      <c r="H184" s="137" t="str">
        <f t="shared" si="1"/>
        <v/>
      </c>
      <c r="I184" s="136"/>
      <c r="J184" s="136"/>
      <c r="K184" s="136"/>
      <c r="L184" s="136"/>
      <c r="M184" s="136"/>
      <c r="N184" s="136"/>
      <c r="O184" s="142" t="str">
        <f t="shared" si="2"/>
        <v/>
      </c>
      <c r="P184" s="140" t="str">
        <f t="shared" si="3"/>
        <v/>
      </c>
      <c r="Q184" s="139" t="str">
        <f t="shared" si="4"/>
        <v/>
      </c>
      <c r="R184" s="139" t="str">
        <f t="shared" si="5"/>
        <v/>
      </c>
      <c r="S184" s="139" t="str">
        <f t="shared" si="6"/>
        <v/>
      </c>
      <c r="T184" s="140" t="str">
        <f t="shared" si="7"/>
        <v/>
      </c>
      <c r="U184" s="136"/>
      <c r="V184" s="136"/>
      <c r="W184" s="136"/>
      <c r="X184" s="136"/>
      <c r="Y184" s="145"/>
      <c r="Z184" s="145"/>
    </row>
    <row r="185">
      <c r="E185" s="136"/>
      <c r="F185" s="136"/>
      <c r="G185" s="136"/>
      <c r="H185" s="137" t="str">
        <f t="shared" si="1"/>
        <v/>
      </c>
      <c r="I185" s="136"/>
      <c r="J185" s="136"/>
      <c r="K185" s="136"/>
      <c r="L185" s="136"/>
      <c r="M185" s="136"/>
      <c r="N185" s="136"/>
      <c r="O185" s="142" t="str">
        <f t="shared" si="2"/>
        <v/>
      </c>
      <c r="P185" s="140" t="str">
        <f t="shared" si="3"/>
        <v/>
      </c>
      <c r="Q185" s="139" t="str">
        <f t="shared" si="4"/>
        <v/>
      </c>
      <c r="R185" s="139" t="str">
        <f t="shared" si="5"/>
        <v/>
      </c>
      <c r="S185" s="139" t="str">
        <f t="shared" si="6"/>
        <v/>
      </c>
      <c r="T185" s="140" t="str">
        <f t="shared" si="7"/>
        <v/>
      </c>
      <c r="U185" s="136"/>
      <c r="V185" s="136"/>
      <c r="W185" s="136"/>
      <c r="X185" s="136"/>
      <c r="Y185" s="145"/>
      <c r="Z185" s="145"/>
    </row>
    <row r="186">
      <c r="E186" s="136"/>
      <c r="F186" s="136"/>
      <c r="G186" s="136"/>
      <c r="H186" s="137" t="str">
        <f t="shared" si="1"/>
        <v/>
      </c>
      <c r="I186" s="136"/>
      <c r="J186" s="136"/>
      <c r="K186" s="136"/>
      <c r="L186" s="136"/>
      <c r="M186" s="136"/>
      <c r="N186" s="136"/>
      <c r="O186" s="142" t="str">
        <f t="shared" si="2"/>
        <v/>
      </c>
      <c r="P186" s="140" t="str">
        <f t="shared" si="3"/>
        <v/>
      </c>
      <c r="Q186" s="139" t="str">
        <f t="shared" si="4"/>
        <v/>
      </c>
      <c r="R186" s="139" t="str">
        <f t="shared" si="5"/>
        <v/>
      </c>
      <c r="S186" s="139" t="str">
        <f t="shared" si="6"/>
        <v/>
      </c>
      <c r="T186" s="140" t="str">
        <f t="shared" si="7"/>
        <v/>
      </c>
      <c r="U186" s="136"/>
      <c r="V186" s="136"/>
      <c r="W186" s="136"/>
      <c r="X186" s="136"/>
      <c r="Y186" s="145"/>
      <c r="Z186" s="145"/>
    </row>
    <row r="187">
      <c r="E187" s="136"/>
      <c r="F187" s="136"/>
      <c r="G187" s="136"/>
      <c r="H187" s="137" t="str">
        <f t="shared" si="1"/>
        <v/>
      </c>
      <c r="I187" s="136"/>
      <c r="J187" s="136"/>
      <c r="K187" s="136"/>
      <c r="L187" s="136"/>
      <c r="M187" s="136"/>
      <c r="N187" s="136"/>
      <c r="O187" s="142" t="str">
        <f t="shared" si="2"/>
        <v/>
      </c>
      <c r="P187" s="140" t="str">
        <f t="shared" si="3"/>
        <v/>
      </c>
      <c r="Q187" s="139" t="str">
        <f t="shared" si="4"/>
        <v/>
      </c>
      <c r="R187" s="139" t="str">
        <f t="shared" si="5"/>
        <v/>
      </c>
      <c r="S187" s="139" t="str">
        <f t="shared" si="6"/>
        <v/>
      </c>
      <c r="T187" s="140" t="str">
        <f t="shared" si="7"/>
        <v/>
      </c>
      <c r="U187" s="136"/>
      <c r="V187" s="136"/>
      <c r="W187" s="136"/>
      <c r="X187" s="136"/>
      <c r="Y187" s="145"/>
      <c r="Z187" s="145"/>
    </row>
    <row r="188">
      <c r="E188" s="136"/>
      <c r="F188" s="136"/>
      <c r="G188" s="136"/>
      <c r="H188" s="137" t="str">
        <f t="shared" si="1"/>
        <v/>
      </c>
      <c r="I188" s="136"/>
      <c r="J188" s="136"/>
      <c r="K188" s="136"/>
      <c r="L188" s="136"/>
      <c r="M188" s="136"/>
      <c r="N188" s="136"/>
      <c r="O188" s="142" t="str">
        <f t="shared" si="2"/>
        <v/>
      </c>
      <c r="P188" s="140" t="str">
        <f t="shared" si="3"/>
        <v/>
      </c>
      <c r="Q188" s="139" t="str">
        <f t="shared" si="4"/>
        <v/>
      </c>
      <c r="R188" s="139" t="str">
        <f t="shared" si="5"/>
        <v/>
      </c>
      <c r="S188" s="139" t="str">
        <f t="shared" si="6"/>
        <v/>
      </c>
      <c r="T188" s="140" t="str">
        <f t="shared" si="7"/>
        <v/>
      </c>
      <c r="U188" s="136"/>
      <c r="V188" s="136"/>
      <c r="W188" s="136"/>
      <c r="X188" s="136"/>
      <c r="Y188" s="145"/>
      <c r="Z188" s="145"/>
    </row>
    <row r="189">
      <c r="E189" s="136"/>
      <c r="F189" s="136"/>
      <c r="G189" s="136"/>
      <c r="H189" s="137" t="str">
        <f t="shared" si="1"/>
        <v/>
      </c>
      <c r="I189" s="136"/>
      <c r="J189" s="136"/>
      <c r="K189" s="136"/>
      <c r="L189" s="136"/>
      <c r="M189" s="136"/>
      <c r="N189" s="136"/>
      <c r="O189" s="142" t="str">
        <f t="shared" si="2"/>
        <v/>
      </c>
      <c r="P189" s="140" t="str">
        <f t="shared" si="3"/>
        <v/>
      </c>
      <c r="Q189" s="139" t="str">
        <f t="shared" si="4"/>
        <v/>
      </c>
      <c r="R189" s="139" t="str">
        <f t="shared" si="5"/>
        <v/>
      </c>
      <c r="S189" s="139" t="str">
        <f t="shared" si="6"/>
        <v/>
      </c>
      <c r="T189" s="140" t="str">
        <f t="shared" si="7"/>
        <v/>
      </c>
      <c r="U189" s="136"/>
      <c r="V189" s="136"/>
      <c r="W189" s="136"/>
      <c r="X189" s="136"/>
      <c r="Y189" s="145"/>
      <c r="Z189" s="145"/>
    </row>
    <row r="190">
      <c r="E190" s="136"/>
      <c r="F190" s="136"/>
      <c r="G190" s="136"/>
      <c r="H190" s="137" t="str">
        <f t="shared" si="1"/>
        <v/>
      </c>
      <c r="I190" s="136"/>
      <c r="J190" s="136"/>
      <c r="K190" s="136"/>
      <c r="L190" s="136"/>
      <c r="M190" s="136"/>
      <c r="N190" s="136"/>
      <c r="O190" s="142" t="str">
        <f t="shared" si="2"/>
        <v/>
      </c>
      <c r="P190" s="140" t="str">
        <f t="shared" si="3"/>
        <v/>
      </c>
      <c r="Q190" s="139" t="str">
        <f t="shared" si="4"/>
        <v/>
      </c>
      <c r="R190" s="139" t="str">
        <f t="shared" si="5"/>
        <v/>
      </c>
      <c r="S190" s="139" t="str">
        <f t="shared" si="6"/>
        <v/>
      </c>
      <c r="T190" s="140" t="str">
        <f t="shared" si="7"/>
        <v/>
      </c>
      <c r="U190" s="136"/>
      <c r="V190" s="136"/>
      <c r="W190" s="136"/>
      <c r="X190" s="136"/>
      <c r="Y190" s="145"/>
      <c r="Z190" s="145"/>
    </row>
    <row r="191">
      <c r="E191" s="136"/>
      <c r="F191" s="136"/>
      <c r="G191" s="136"/>
      <c r="H191" s="137" t="str">
        <f t="shared" si="1"/>
        <v/>
      </c>
      <c r="I191" s="136"/>
      <c r="J191" s="136"/>
      <c r="K191" s="136"/>
      <c r="L191" s="136"/>
      <c r="M191" s="136"/>
      <c r="N191" s="136"/>
      <c r="O191" s="142" t="str">
        <f t="shared" si="2"/>
        <v/>
      </c>
      <c r="P191" s="140" t="str">
        <f t="shared" si="3"/>
        <v/>
      </c>
      <c r="Q191" s="139" t="str">
        <f t="shared" si="4"/>
        <v/>
      </c>
      <c r="R191" s="139" t="str">
        <f t="shared" si="5"/>
        <v/>
      </c>
      <c r="S191" s="139" t="str">
        <f t="shared" si="6"/>
        <v/>
      </c>
      <c r="T191" s="140" t="str">
        <f t="shared" si="7"/>
        <v/>
      </c>
      <c r="U191" s="136"/>
      <c r="V191" s="136"/>
      <c r="W191" s="136"/>
      <c r="X191" s="136"/>
      <c r="Y191" s="145"/>
      <c r="Z191" s="145"/>
    </row>
    <row r="192">
      <c r="E192" s="136"/>
      <c r="F192" s="136"/>
      <c r="G192" s="136"/>
      <c r="H192" s="137" t="str">
        <f t="shared" si="1"/>
        <v/>
      </c>
      <c r="I192" s="136"/>
      <c r="J192" s="136"/>
      <c r="K192" s="136"/>
      <c r="L192" s="136"/>
      <c r="M192" s="136"/>
      <c r="N192" s="136"/>
      <c r="O192" s="142" t="str">
        <f t="shared" si="2"/>
        <v/>
      </c>
      <c r="P192" s="140" t="str">
        <f t="shared" si="3"/>
        <v/>
      </c>
      <c r="Q192" s="139" t="str">
        <f t="shared" si="4"/>
        <v/>
      </c>
      <c r="R192" s="139" t="str">
        <f t="shared" si="5"/>
        <v/>
      </c>
      <c r="S192" s="139" t="str">
        <f t="shared" si="6"/>
        <v/>
      </c>
      <c r="T192" s="140" t="str">
        <f t="shared" si="7"/>
        <v/>
      </c>
      <c r="U192" s="136"/>
      <c r="V192" s="136"/>
      <c r="W192" s="136"/>
      <c r="X192" s="136"/>
      <c r="Y192" s="145"/>
      <c r="Z192" s="145"/>
    </row>
    <row r="193">
      <c r="E193" s="136"/>
      <c r="F193" s="136"/>
      <c r="G193" s="136"/>
      <c r="H193" s="137" t="str">
        <f t="shared" si="1"/>
        <v/>
      </c>
      <c r="I193" s="136"/>
      <c r="J193" s="136"/>
      <c r="K193" s="136"/>
      <c r="L193" s="136"/>
      <c r="M193" s="136"/>
      <c r="N193" s="136"/>
      <c r="O193" s="142" t="str">
        <f t="shared" si="2"/>
        <v/>
      </c>
      <c r="P193" s="140" t="str">
        <f t="shared" si="3"/>
        <v/>
      </c>
      <c r="Q193" s="139" t="str">
        <f t="shared" si="4"/>
        <v/>
      </c>
      <c r="R193" s="139" t="str">
        <f t="shared" si="5"/>
        <v/>
      </c>
      <c r="S193" s="139" t="str">
        <f t="shared" si="6"/>
        <v/>
      </c>
      <c r="T193" s="140" t="str">
        <f t="shared" si="7"/>
        <v/>
      </c>
      <c r="U193" s="136"/>
      <c r="V193" s="136"/>
      <c r="W193" s="136"/>
      <c r="X193" s="136"/>
      <c r="Y193" s="145"/>
      <c r="Z193" s="145"/>
    </row>
    <row r="194">
      <c r="E194" s="136"/>
      <c r="F194" s="136"/>
      <c r="G194" s="136"/>
      <c r="H194" s="137" t="str">
        <f t="shared" si="1"/>
        <v/>
      </c>
      <c r="I194" s="136"/>
      <c r="J194" s="136"/>
      <c r="K194" s="136"/>
      <c r="L194" s="136"/>
      <c r="M194" s="136"/>
      <c r="N194" s="136"/>
      <c r="O194" s="142" t="str">
        <f t="shared" si="2"/>
        <v/>
      </c>
      <c r="P194" s="140" t="str">
        <f t="shared" si="3"/>
        <v/>
      </c>
      <c r="Q194" s="139" t="str">
        <f t="shared" si="4"/>
        <v/>
      </c>
      <c r="R194" s="139" t="str">
        <f t="shared" si="5"/>
        <v/>
      </c>
      <c r="S194" s="139" t="str">
        <f t="shared" si="6"/>
        <v/>
      </c>
      <c r="T194" s="140" t="str">
        <f t="shared" si="7"/>
        <v/>
      </c>
      <c r="U194" s="136"/>
      <c r="V194" s="136"/>
      <c r="W194" s="136"/>
      <c r="X194" s="136"/>
      <c r="Y194" s="145"/>
      <c r="Z194" s="145"/>
    </row>
    <row r="195">
      <c r="E195" s="136"/>
      <c r="F195" s="136"/>
      <c r="G195" s="136"/>
      <c r="H195" s="137" t="str">
        <f t="shared" si="1"/>
        <v/>
      </c>
      <c r="I195" s="136"/>
      <c r="J195" s="136"/>
      <c r="K195" s="136"/>
      <c r="L195" s="136"/>
      <c r="M195" s="136"/>
      <c r="N195" s="136"/>
      <c r="O195" s="142" t="str">
        <f t="shared" si="2"/>
        <v/>
      </c>
      <c r="P195" s="140" t="str">
        <f t="shared" si="3"/>
        <v/>
      </c>
      <c r="Q195" s="139" t="str">
        <f t="shared" si="4"/>
        <v/>
      </c>
      <c r="R195" s="139" t="str">
        <f t="shared" si="5"/>
        <v/>
      </c>
      <c r="S195" s="139" t="str">
        <f t="shared" si="6"/>
        <v/>
      </c>
      <c r="T195" s="140" t="str">
        <f t="shared" si="7"/>
        <v/>
      </c>
      <c r="U195" s="136"/>
      <c r="V195" s="136"/>
      <c r="W195" s="136"/>
      <c r="X195" s="136"/>
      <c r="Y195" s="145"/>
      <c r="Z195" s="145"/>
    </row>
    <row r="196">
      <c r="E196" s="136"/>
      <c r="F196" s="136"/>
      <c r="G196" s="136"/>
      <c r="H196" s="137" t="str">
        <f t="shared" si="1"/>
        <v/>
      </c>
      <c r="I196" s="136"/>
      <c r="J196" s="136"/>
      <c r="K196" s="136"/>
      <c r="L196" s="136"/>
      <c r="M196" s="136"/>
      <c r="N196" s="136"/>
      <c r="O196" s="142" t="str">
        <f t="shared" si="2"/>
        <v/>
      </c>
      <c r="P196" s="140" t="str">
        <f t="shared" si="3"/>
        <v/>
      </c>
      <c r="Q196" s="139" t="str">
        <f t="shared" si="4"/>
        <v/>
      </c>
      <c r="R196" s="139" t="str">
        <f t="shared" si="5"/>
        <v/>
      </c>
      <c r="S196" s="139" t="str">
        <f t="shared" si="6"/>
        <v/>
      </c>
      <c r="T196" s="140" t="str">
        <f t="shared" si="7"/>
        <v/>
      </c>
      <c r="U196" s="136"/>
      <c r="V196" s="136"/>
      <c r="W196" s="136"/>
      <c r="X196" s="136"/>
      <c r="Y196" s="145"/>
      <c r="Z196" s="145"/>
    </row>
    <row r="197">
      <c r="E197" s="136"/>
      <c r="F197" s="136"/>
      <c r="G197" s="136"/>
      <c r="H197" s="137" t="str">
        <f t="shared" si="1"/>
        <v/>
      </c>
      <c r="I197" s="136"/>
      <c r="J197" s="136"/>
      <c r="K197" s="136"/>
      <c r="L197" s="136"/>
      <c r="M197" s="136"/>
      <c r="N197" s="136"/>
      <c r="O197" s="142" t="str">
        <f t="shared" si="2"/>
        <v/>
      </c>
      <c r="P197" s="140" t="str">
        <f t="shared" si="3"/>
        <v/>
      </c>
      <c r="Q197" s="139" t="str">
        <f t="shared" si="4"/>
        <v/>
      </c>
      <c r="R197" s="139" t="str">
        <f t="shared" si="5"/>
        <v/>
      </c>
      <c r="S197" s="139" t="str">
        <f t="shared" si="6"/>
        <v/>
      </c>
      <c r="T197" s="140" t="str">
        <f t="shared" si="7"/>
        <v/>
      </c>
      <c r="U197" s="136"/>
      <c r="V197" s="136"/>
      <c r="W197" s="136"/>
      <c r="X197" s="136"/>
      <c r="Y197" s="145"/>
      <c r="Z197" s="145"/>
    </row>
    <row r="198">
      <c r="E198" s="136"/>
      <c r="F198" s="136"/>
      <c r="G198" s="136"/>
      <c r="H198" s="137" t="str">
        <f t="shared" si="1"/>
        <v/>
      </c>
      <c r="I198" s="136"/>
      <c r="J198" s="136"/>
      <c r="K198" s="136"/>
      <c r="L198" s="136"/>
      <c r="M198" s="136"/>
      <c r="N198" s="136"/>
      <c r="O198" s="142" t="str">
        <f t="shared" si="2"/>
        <v/>
      </c>
      <c r="P198" s="140" t="str">
        <f t="shared" si="3"/>
        <v/>
      </c>
      <c r="Q198" s="139" t="str">
        <f t="shared" si="4"/>
        <v/>
      </c>
      <c r="R198" s="139" t="str">
        <f t="shared" si="5"/>
        <v/>
      </c>
      <c r="S198" s="139" t="str">
        <f t="shared" si="6"/>
        <v/>
      </c>
      <c r="T198" s="140" t="str">
        <f t="shared" si="7"/>
        <v/>
      </c>
      <c r="U198" s="136"/>
      <c r="V198" s="136"/>
      <c r="W198" s="136"/>
      <c r="X198" s="136"/>
      <c r="Y198" s="145"/>
      <c r="Z198" s="145"/>
    </row>
    <row r="199">
      <c r="E199" s="136"/>
      <c r="F199" s="136"/>
      <c r="G199" s="136"/>
      <c r="H199" s="137" t="str">
        <f t="shared" si="1"/>
        <v/>
      </c>
      <c r="I199" s="136"/>
      <c r="J199" s="136"/>
      <c r="K199" s="136"/>
      <c r="L199" s="136"/>
      <c r="M199" s="136"/>
      <c r="N199" s="136"/>
      <c r="O199" s="142" t="str">
        <f t="shared" si="2"/>
        <v/>
      </c>
      <c r="P199" s="140" t="str">
        <f t="shared" si="3"/>
        <v/>
      </c>
      <c r="Q199" s="139" t="str">
        <f t="shared" si="4"/>
        <v/>
      </c>
      <c r="R199" s="139" t="str">
        <f t="shared" si="5"/>
        <v/>
      </c>
      <c r="S199" s="139" t="str">
        <f t="shared" si="6"/>
        <v/>
      </c>
      <c r="T199" s="140" t="str">
        <f t="shared" si="7"/>
        <v/>
      </c>
      <c r="U199" s="136"/>
      <c r="V199" s="136"/>
      <c r="W199" s="136"/>
      <c r="X199" s="136"/>
      <c r="Y199" s="145"/>
      <c r="Z199" s="145"/>
    </row>
    <row r="200">
      <c r="E200" s="136"/>
      <c r="F200" s="136"/>
      <c r="G200" s="136"/>
      <c r="H200" s="137" t="str">
        <f t="shared" si="1"/>
        <v/>
      </c>
      <c r="I200" s="136"/>
      <c r="J200" s="136"/>
      <c r="K200" s="136"/>
      <c r="L200" s="136"/>
      <c r="M200" s="136"/>
      <c r="N200" s="136"/>
      <c r="O200" s="142" t="str">
        <f t="shared" si="2"/>
        <v/>
      </c>
      <c r="P200" s="140" t="str">
        <f t="shared" si="3"/>
        <v/>
      </c>
      <c r="Q200" s="139" t="str">
        <f t="shared" si="4"/>
        <v/>
      </c>
      <c r="R200" s="139" t="str">
        <f t="shared" si="5"/>
        <v/>
      </c>
      <c r="S200" s="139" t="str">
        <f t="shared" si="6"/>
        <v/>
      </c>
      <c r="T200" s="140" t="str">
        <f t="shared" si="7"/>
        <v/>
      </c>
      <c r="U200" s="136"/>
      <c r="V200" s="136"/>
      <c r="W200" s="136"/>
      <c r="X200" s="136"/>
      <c r="Y200" s="145"/>
      <c r="Z200" s="145"/>
    </row>
    <row r="201">
      <c r="E201" s="136"/>
      <c r="F201" s="136"/>
      <c r="G201" s="136"/>
      <c r="H201" s="137" t="str">
        <f t="shared" si="1"/>
        <v/>
      </c>
      <c r="I201" s="136"/>
      <c r="J201" s="136"/>
      <c r="K201" s="136"/>
      <c r="L201" s="136"/>
      <c r="M201" s="136"/>
      <c r="N201" s="136"/>
      <c r="O201" s="142" t="str">
        <f t="shared" si="2"/>
        <v/>
      </c>
      <c r="P201" s="140" t="str">
        <f t="shared" si="3"/>
        <v/>
      </c>
      <c r="Q201" s="139" t="str">
        <f t="shared" si="4"/>
        <v/>
      </c>
      <c r="R201" s="139" t="str">
        <f t="shared" si="5"/>
        <v/>
      </c>
      <c r="S201" s="139" t="str">
        <f t="shared" si="6"/>
        <v/>
      </c>
      <c r="T201" s="140" t="str">
        <f t="shared" si="7"/>
        <v/>
      </c>
      <c r="U201" s="136"/>
      <c r="V201" s="136"/>
      <c r="W201" s="136"/>
      <c r="X201" s="136"/>
      <c r="Y201" s="145"/>
      <c r="Z201" s="145"/>
    </row>
    <row r="202">
      <c r="E202" s="136"/>
      <c r="F202" s="136"/>
      <c r="G202" s="136"/>
      <c r="H202" s="137" t="str">
        <f t="shared" si="1"/>
        <v/>
      </c>
      <c r="I202" s="136"/>
      <c r="J202" s="136"/>
      <c r="K202" s="136"/>
      <c r="L202" s="136"/>
      <c r="M202" s="136"/>
      <c r="N202" s="136"/>
      <c r="O202" s="142" t="str">
        <f t="shared" si="2"/>
        <v/>
      </c>
      <c r="P202" s="140" t="str">
        <f t="shared" si="3"/>
        <v/>
      </c>
      <c r="Q202" s="139" t="str">
        <f t="shared" si="4"/>
        <v/>
      </c>
      <c r="R202" s="139" t="str">
        <f t="shared" si="5"/>
        <v/>
      </c>
      <c r="S202" s="139" t="str">
        <f t="shared" si="6"/>
        <v/>
      </c>
      <c r="T202" s="140" t="str">
        <f t="shared" si="7"/>
        <v/>
      </c>
      <c r="U202" s="136"/>
      <c r="V202" s="136"/>
      <c r="W202" s="136"/>
      <c r="X202" s="136"/>
      <c r="Y202" s="145"/>
      <c r="Z202" s="145"/>
    </row>
    <row r="203">
      <c r="E203" s="136"/>
      <c r="F203" s="136"/>
      <c r="G203" s="136"/>
      <c r="H203" s="137" t="str">
        <f t="shared" si="1"/>
        <v/>
      </c>
      <c r="I203" s="136"/>
      <c r="J203" s="136"/>
      <c r="K203" s="136"/>
      <c r="L203" s="136"/>
      <c r="M203" s="136"/>
      <c r="N203" s="136"/>
      <c r="O203" s="142" t="str">
        <f t="shared" si="2"/>
        <v/>
      </c>
      <c r="P203" s="140" t="str">
        <f t="shared" si="3"/>
        <v/>
      </c>
      <c r="Q203" s="139" t="str">
        <f t="shared" si="4"/>
        <v/>
      </c>
      <c r="R203" s="139" t="str">
        <f t="shared" si="5"/>
        <v/>
      </c>
      <c r="S203" s="139" t="str">
        <f t="shared" si="6"/>
        <v/>
      </c>
      <c r="T203" s="140" t="str">
        <f t="shared" si="7"/>
        <v/>
      </c>
      <c r="U203" s="136"/>
      <c r="V203" s="136"/>
      <c r="W203" s="136"/>
      <c r="X203" s="136"/>
      <c r="Y203" s="145"/>
      <c r="Z203" s="145"/>
    </row>
    <row r="204">
      <c r="E204" s="136"/>
      <c r="F204" s="136"/>
      <c r="G204" s="136"/>
      <c r="H204" s="137" t="str">
        <f t="shared" si="1"/>
        <v/>
      </c>
      <c r="I204" s="136"/>
      <c r="J204" s="136"/>
      <c r="K204" s="136"/>
      <c r="L204" s="136"/>
      <c r="M204" s="136"/>
      <c r="N204" s="136"/>
      <c r="O204" s="142" t="str">
        <f t="shared" si="2"/>
        <v/>
      </c>
      <c r="P204" s="140" t="str">
        <f t="shared" si="3"/>
        <v/>
      </c>
      <c r="Q204" s="139" t="str">
        <f t="shared" si="4"/>
        <v/>
      </c>
      <c r="R204" s="139" t="str">
        <f t="shared" si="5"/>
        <v/>
      </c>
      <c r="S204" s="139" t="str">
        <f t="shared" si="6"/>
        <v/>
      </c>
      <c r="T204" s="140" t="str">
        <f t="shared" si="7"/>
        <v/>
      </c>
      <c r="U204" s="136"/>
      <c r="V204" s="136"/>
      <c r="W204" s="136"/>
      <c r="X204" s="136"/>
      <c r="Y204" s="145"/>
      <c r="Z204" s="145"/>
    </row>
    <row r="205">
      <c r="E205" s="136"/>
      <c r="F205" s="136"/>
      <c r="G205" s="136"/>
      <c r="H205" s="137" t="str">
        <f t="shared" si="1"/>
        <v/>
      </c>
      <c r="I205" s="136"/>
      <c r="J205" s="136"/>
      <c r="K205" s="136"/>
      <c r="L205" s="136"/>
      <c r="M205" s="136"/>
      <c r="N205" s="136"/>
      <c r="O205" s="142" t="str">
        <f t="shared" si="2"/>
        <v/>
      </c>
      <c r="P205" s="140" t="str">
        <f t="shared" si="3"/>
        <v/>
      </c>
      <c r="Q205" s="139" t="str">
        <f t="shared" si="4"/>
        <v/>
      </c>
      <c r="R205" s="139" t="str">
        <f t="shared" si="5"/>
        <v/>
      </c>
      <c r="S205" s="139" t="str">
        <f t="shared" si="6"/>
        <v/>
      </c>
      <c r="T205" s="140" t="str">
        <f t="shared" si="7"/>
        <v/>
      </c>
      <c r="U205" s="136"/>
      <c r="V205" s="136"/>
      <c r="W205" s="136"/>
      <c r="X205" s="136"/>
      <c r="Y205" s="145"/>
      <c r="Z205" s="145"/>
    </row>
    <row r="206">
      <c r="E206" s="136"/>
      <c r="F206" s="136"/>
      <c r="G206" s="136"/>
      <c r="H206" s="137" t="str">
        <f t="shared" si="1"/>
        <v/>
      </c>
      <c r="I206" s="136"/>
      <c r="J206" s="136"/>
      <c r="K206" s="136"/>
      <c r="L206" s="136"/>
      <c r="M206" s="136"/>
      <c r="N206" s="136"/>
      <c r="O206" s="142" t="str">
        <f t="shared" si="2"/>
        <v/>
      </c>
      <c r="P206" s="140" t="str">
        <f t="shared" si="3"/>
        <v/>
      </c>
      <c r="Q206" s="139" t="str">
        <f t="shared" si="4"/>
        <v/>
      </c>
      <c r="R206" s="139" t="str">
        <f t="shared" si="5"/>
        <v/>
      </c>
      <c r="S206" s="139" t="str">
        <f t="shared" si="6"/>
        <v/>
      </c>
      <c r="T206" s="140" t="str">
        <f t="shared" si="7"/>
        <v/>
      </c>
      <c r="U206" s="136"/>
      <c r="V206" s="136"/>
      <c r="W206" s="136"/>
      <c r="X206" s="136"/>
      <c r="Y206" s="145"/>
      <c r="Z206" s="145"/>
    </row>
    <row r="207">
      <c r="E207" s="136"/>
      <c r="F207" s="136"/>
      <c r="G207" s="136"/>
      <c r="H207" s="137" t="str">
        <f t="shared" si="1"/>
        <v/>
      </c>
      <c r="I207" s="136"/>
      <c r="J207" s="136"/>
      <c r="K207" s="136"/>
      <c r="L207" s="136"/>
      <c r="M207" s="136"/>
      <c r="N207" s="136"/>
      <c r="O207" s="142" t="str">
        <f t="shared" si="2"/>
        <v/>
      </c>
      <c r="P207" s="140" t="str">
        <f t="shared" si="3"/>
        <v/>
      </c>
      <c r="Q207" s="139" t="str">
        <f t="shared" si="4"/>
        <v/>
      </c>
      <c r="R207" s="139" t="str">
        <f t="shared" si="5"/>
        <v/>
      </c>
      <c r="S207" s="139" t="str">
        <f t="shared" si="6"/>
        <v/>
      </c>
      <c r="T207" s="140" t="str">
        <f t="shared" si="7"/>
        <v/>
      </c>
      <c r="U207" s="136"/>
      <c r="V207" s="136"/>
      <c r="W207" s="136"/>
      <c r="X207" s="136"/>
      <c r="Y207" s="145"/>
      <c r="Z207" s="145"/>
    </row>
    <row r="208">
      <c r="E208" s="136"/>
      <c r="F208" s="136"/>
      <c r="G208" s="136"/>
      <c r="H208" s="137" t="str">
        <f t="shared" si="1"/>
        <v/>
      </c>
      <c r="I208" s="136"/>
      <c r="J208" s="136"/>
      <c r="K208" s="136"/>
      <c r="L208" s="136"/>
      <c r="M208" s="136"/>
      <c r="N208" s="136"/>
      <c r="O208" s="142" t="str">
        <f t="shared" si="2"/>
        <v/>
      </c>
      <c r="P208" s="140" t="str">
        <f t="shared" si="3"/>
        <v/>
      </c>
      <c r="Q208" s="139" t="str">
        <f t="shared" si="4"/>
        <v/>
      </c>
      <c r="R208" s="139" t="str">
        <f t="shared" si="5"/>
        <v/>
      </c>
      <c r="S208" s="139" t="str">
        <f t="shared" si="6"/>
        <v/>
      </c>
      <c r="T208" s="140" t="str">
        <f t="shared" si="7"/>
        <v/>
      </c>
      <c r="U208" s="136"/>
      <c r="V208" s="136"/>
      <c r="W208" s="136"/>
      <c r="X208" s="136"/>
      <c r="Y208" s="145"/>
      <c r="Z208" s="145"/>
    </row>
    <row r="209">
      <c r="E209" s="136"/>
      <c r="F209" s="136"/>
      <c r="G209" s="136"/>
      <c r="H209" s="137" t="str">
        <f t="shared" si="1"/>
        <v/>
      </c>
      <c r="I209" s="136"/>
      <c r="J209" s="136"/>
      <c r="K209" s="136"/>
      <c r="L209" s="136"/>
      <c r="M209" s="136"/>
      <c r="N209" s="136"/>
      <c r="O209" s="142" t="str">
        <f t="shared" si="2"/>
        <v/>
      </c>
      <c r="P209" s="140" t="str">
        <f t="shared" si="3"/>
        <v/>
      </c>
      <c r="Q209" s="139" t="str">
        <f t="shared" si="4"/>
        <v/>
      </c>
      <c r="R209" s="139" t="str">
        <f t="shared" si="5"/>
        <v/>
      </c>
      <c r="S209" s="139" t="str">
        <f t="shared" si="6"/>
        <v/>
      </c>
      <c r="T209" s="140" t="str">
        <f t="shared" si="7"/>
        <v/>
      </c>
      <c r="U209" s="136"/>
      <c r="V209" s="136"/>
      <c r="W209" s="136"/>
      <c r="X209" s="136"/>
      <c r="Y209" s="145"/>
      <c r="Z209" s="145"/>
    </row>
    <row r="210">
      <c r="E210" s="136"/>
      <c r="F210" s="136"/>
      <c r="G210" s="136"/>
      <c r="H210" s="137" t="str">
        <f t="shared" si="1"/>
        <v/>
      </c>
      <c r="I210" s="136"/>
      <c r="J210" s="136"/>
      <c r="K210" s="136"/>
      <c r="L210" s="136"/>
      <c r="M210" s="136"/>
      <c r="N210" s="136"/>
      <c r="O210" s="142" t="str">
        <f t="shared" si="2"/>
        <v/>
      </c>
      <c r="P210" s="140" t="str">
        <f t="shared" si="3"/>
        <v/>
      </c>
      <c r="Q210" s="139" t="str">
        <f t="shared" si="4"/>
        <v/>
      </c>
      <c r="R210" s="139" t="str">
        <f t="shared" si="5"/>
        <v/>
      </c>
      <c r="S210" s="139" t="str">
        <f t="shared" si="6"/>
        <v/>
      </c>
      <c r="T210" s="140" t="str">
        <f t="shared" si="7"/>
        <v/>
      </c>
      <c r="U210" s="136"/>
      <c r="V210" s="136"/>
      <c r="W210" s="136"/>
      <c r="X210" s="136"/>
      <c r="Y210" s="145"/>
      <c r="Z210" s="145"/>
    </row>
    <row r="211">
      <c r="E211" s="136"/>
      <c r="F211" s="136"/>
      <c r="G211" s="136"/>
      <c r="H211" s="137" t="str">
        <f t="shared" si="1"/>
        <v/>
      </c>
      <c r="I211" s="136"/>
      <c r="J211" s="136"/>
      <c r="K211" s="136"/>
      <c r="L211" s="136"/>
      <c r="M211" s="136"/>
      <c r="N211" s="136"/>
      <c r="O211" s="142" t="str">
        <f t="shared" si="2"/>
        <v/>
      </c>
      <c r="P211" s="140" t="str">
        <f t="shared" si="3"/>
        <v/>
      </c>
      <c r="Q211" s="139" t="str">
        <f t="shared" si="4"/>
        <v/>
      </c>
      <c r="R211" s="139" t="str">
        <f t="shared" si="5"/>
        <v/>
      </c>
      <c r="S211" s="139" t="str">
        <f t="shared" si="6"/>
        <v/>
      </c>
      <c r="T211" s="140" t="str">
        <f t="shared" si="7"/>
        <v/>
      </c>
      <c r="U211" s="136"/>
      <c r="V211" s="136"/>
      <c r="W211" s="136"/>
      <c r="X211" s="136"/>
      <c r="Y211" s="145"/>
      <c r="Z211" s="145"/>
    </row>
    <row r="212">
      <c r="E212" s="136"/>
      <c r="F212" s="136"/>
      <c r="G212" s="136"/>
      <c r="H212" s="137" t="str">
        <f t="shared" si="1"/>
        <v/>
      </c>
      <c r="I212" s="136"/>
      <c r="J212" s="136"/>
      <c r="K212" s="136"/>
      <c r="L212" s="136"/>
      <c r="M212" s="136"/>
      <c r="N212" s="136"/>
      <c r="O212" s="142" t="str">
        <f t="shared" si="2"/>
        <v/>
      </c>
      <c r="P212" s="140" t="str">
        <f t="shared" si="3"/>
        <v/>
      </c>
      <c r="Q212" s="139" t="str">
        <f t="shared" si="4"/>
        <v/>
      </c>
      <c r="R212" s="139" t="str">
        <f t="shared" si="5"/>
        <v/>
      </c>
      <c r="S212" s="139" t="str">
        <f t="shared" si="6"/>
        <v/>
      </c>
      <c r="T212" s="140" t="str">
        <f t="shared" si="7"/>
        <v/>
      </c>
      <c r="U212" s="136"/>
      <c r="V212" s="136"/>
      <c r="W212" s="136"/>
      <c r="X212" s="136"/>
      <c r="Y212" s="145"/>
      <c r="Z212" s="145"/>
    </row>
    <row r="213">
      <c r="E213" s="136"/>
      <c r="F213" s="136"/>
      <c r="G213" s="136"/>
      <c r="H213" s="137" t="str">
        <f t="shared" si="1"/>
        <v/>
      </c>
      <c r="I213" s="136"/>
      <c r="J213" s="136"/>
      <c r="K213" s="136"/>
      <c r="L213" s="136"/>
      <c r="M213" s="136"/>
      <c r="N213" s="136"/>
      <c r="O213" s="142" t="str">
        <f t="shared" si="2"/>
        <v/>
      </c>
      <c r="P213" s="140" t="str">
        <f t="shared" si="3"/>
        <v/>
      </c>
      <c r="Q213" s="139" t="str">
        <f t="shared" si="4"/>
        <v/>
      </c>
      <c r="R213" s="139" t="str">
        <f t="shared" si="5"/>
        <v/>
      </c>
      <c r="S213" s="139" t="str">
        <f t="shared" si="6"/>
        <v/>
      </c>
      <c r="T213" s="140" t="str">
        <f t="shared" si="7"/>
        <v/>
      </c>
      <c r="U213" s="136"/>
      <c r="V213" s="136"/>
      <c r="W213" s="136"/>
      <c r="X213" s="136"/>
      <c r="Y213" s="145"/>
      <c r="Z213" s="145"/>
    </row>
    <row r="214">
      <c r="E214" s="136"/>
      <c r="F214" s="136"/>
      <c r="G214" s="136"/>
      <c r="H214" s="137" t="str">
        <f t="shared" si="1"/>
        <v/>
      </c>
      <c r="I214" s="136"/>
      <c r="J214" s="136"/>
      <c r="K214" s="136"/>
      <c r="L214" s="136"/>
      <c r="M214" s="136"/>
      <c r="N214" s="136"/>
      <c r="O214" s="142" t="str">
        <f t="shared" si="2"/>
        <v/>
      </c>
      <c r="P214" s="140" t="str">
        <f t="shared" si="3"/>
        <v/>
      </c>
      <c r="Q214" s="139" t="str">
        <f t="shared" si="4"/>
        <v/>
      </c>
      <c r="R214" s="139" t="str">
        <f t="shared" si="5"/>
        <v/>
      </c>
      <c r="S214" s="139" t="str">
        <f t="shared" si="6"/>
        <v/>
      </c>
      <c r="T214" s="140" t="str">
        <f t="shared" si="7"/>
        <v/>
      </c>
      <c r="U214" s="136"/>
      <c r="V214" s="136"/>
      <c r="W214" s="136"/>
      <c r="X214" s="136"/>
      <c r="Y214" s="145"/>
      <c r="Z214" s="145"/>
    </row>
    <row r="215">
      <c r="E215" s="136"/>
      <c r="F215" s="136"/>
      <c r="G215" s="136"/>
      <c r="H215" s="137" t="str">
        <f t="shared" si="1"/>
        <v/>
      </c>
      <c r="I215" s="136"/>
      <c r="J215" s="136"/>
      <c r="K215" s="136"/>
      <c r="L215" s="136"/>
      <c r="M215" s="136"/>
      <c r="N215" s="136"/>
      <c r="O215" s="142" t="str">
        <f t="shared" si="2"/>
        <v/>
      </c>
      <c r="P215" s="140" t="str">
        <f t="shared" si="3"/>
        <v/>
      </c>
      <c r="Q215" s="139" t="str">
        <f t="shared" si="4"/>
        <v/>
      </c>
      <c r="R215" s="139" t="str">
        <f t="shared" si="5"/>
        <v/>
      </c>
      <c r="S215" s="139" t="str">
        <f t="shared" si="6"/>
        <v/>
      </c>
      <c r="T215" s="140" t="str">
        <f t="shared" si="7"/>
        <v/>
      </c>
      <c r="U215" s="136"/>
      <c r="V215" s="136"/>
      <c r="W215" s="136"/>
      <c r="X215" s="136"/>
      <c r="Y215" s="145"/>
      <c r="Z215" s="145"/>
    </row>
    <row r="216">
      <c r="E216" s="136"/>
      <c r="F216" s="136"/>
      <c r="G216" s="136"/>
      <c r="H216" s="137" t="str">
        <f t="shared" si="1"/>
        <v/>
      </c>
      <c r="I216" s="136"/>
      <c r="J216" s="136"/>
      <c r="K216" s="136"/>
      <c r="L216" s="136"/>
      <c r="M216" s="136"/>
      <c r="N216" s="136"/>
      <c r="O216" s="142" t="str">
        <f t="shared" si="2"/>
        <v/>
      </c>
      <c r="P216" s="140" t="str">
        <f t="shared" si="3"/>
        <v/>
      </c>
      <c r="Q216" s="139" t="str">
        <f t="shared" si="4"/>
        <v/>
      </c>
      <c r="R216" s="139" t="str">
        <f t="shared" si="5"/>
        <v/>
      </c>
      <c r="S216" s="139" t="str">
        <f t="shared" si="6"/>
        <v/>
      </c>
      <c r="T216" s="140" t="str">
        <f t="shared" si="7"/>
        <v/>
      </c>
      <c r="U216" s="136"/>
      <c r="V216" s="136"/>
      <c r="W216" s="136"/>
      <c r="X216" s="136"/>
      <c r="Y216" s="145"/>
      <c r="Z216" s="145"/>
    </row>
    <row r="217">
      <c r="E217" s="136"/>
      <c r="F217" s="136"/>
      <c r="G217" s="136"/>
      <c r="H217" s="137" t="str">
        <f t="shared" si="1"/>
        <v/>
      </c>
      <c r="I217" s="136"/>
      <c r="J217" s="136"/>
      <c r="K217" s="136"/>
      <c r="L217" s="136"/>
      <c r="M217" s="136"/>
      <c r="N217" s="136"/>
      <c r="O217" s="142" t="str">
        <f t="shared" si="2"/>
        <v/>
      </c>
      <c r="P217" s="140" t="str">
        <f t="shared" si="3"/>
        <v/>
      </c>
      <c r="Q217" s="139" t="str">
        <f t="shared" si="4"/>
        <v/>
      </c>
      <c r="R217" s="139" t="str">
        <f t="shared" si="5"/>
        <v/>
      </c>
      <c r="S217" s="139" t="str">
        <f t="shared" si="6"/>
        <v/>
      </c>
      <c r="T217" s="140" t="str">
        <f t="shared" si="7"/>
        <v/>
      </c>
      <c r="U217" s="136"/>
      <c r="V217" s="136"/>
      <c r="W217" s="136"/>
      <c r="X217" s="136"/>
      <c r="Y217" s="145"/>
      <c r="Z217" s="145"/>
    </row>
    <row r="218">
      <c r="E218" s="136"/>
      <c r="F218" s="136"/>
      <c r="G218" s="136"/>
      <c r="H218" s="137" t="str">
        <f t="shared" si="1"/>
        <v/>
      </c>
      <c r="I218" s="136"/>
      <c r="J218" s="136"/>
      <c r="K218" s="136"/>
      <c r="L218" s="136"/>
      <c r="M218" s="136"/>
      <c r="N218" s="136"/>
      <c r="O218" s="142" t="str">
        <f t="shared" si="2"/>
        <v/>
      </c>
      <c r="P218" s="140" t="str">
        <f t="shared" si="3"/>
        <v/>
      </c>
      <c r="Q218" s="139" t="str">
        <f t="shared" si="4"/>
        <v/>
      </c>
      <c r="R218" s="139" t="str">
        <f t="shared" si="5"/>
        <v/>
      </c>
      <c r="S218" s="139" t="str">
        <f t="shared" si="6"/>
        <v/>
      </c>
      <c r="T218" s="140" t="str">
        <f t="shared" si="7"/>
        <v/>
      </c>
      <c r="U218" s="136"/>
      <c r="V218" s="136"/>
      <c r="W218" s="136"/>
      <c r="X218" s="136"/>
      <c r="Y218" s="145"/>
      <c r="Z218" s="145"/>
    </row>
    <row r="219">
      <c r="E219" s="136"/>
      <c r="F219" s="136"/>
      <c r="G219" s="136"/>
      <c r="H219" s="137" t="str">
        <f t="shared" si="1"/>
        <v/>
      </c>
      <c r="I219" s="136"/>
      <c r="J219" s="136"/>
      <c r="K219" s="136"/>
      <c r="L219" s="136"/>
      <c r="M219" s="136"/>
      <c r="N219" s="136"/>
      <c r="O219" s="142" t="str">
        <f t="shared" si="2"/>
        <v/>
      </c>
      <c r="P219" s="140" t="str">
        <f t="shared" si="3"/>
        <v/>
      </c>
      <c r="Q219" s="139" t="str">
        <f t="shared" si="4"/>
        <v/>
      </c>
      <c r="R219" s="139" t="str">
        <f t="shared" si="5"/>
        <v/>
      </c>
      <c r="S219" s="139" t="str">
        <f t="shared" si="6"/>
        <v/>
      </c>
      <c r="T219" s="140" t="str">
        <f t="shared" si="7"/>
        <v/>
      </c>
      <c r="U219" s="136"/>
      <c r="V219" s="136"/>
      <c r="W219" s="136"/>
      <c r="X219" s="136"/>
      <c r="Y219" s="145"/>
      <c r="Z219" s="145"/>
    </row>
    <row r="220">
      <c r="E220" s="136"/>
      <c r="F220" s="136"/>
      <c r="G220" s="136"/>
      <c r="H220" s="137" t="str">
        <f t="shared" si="1"/>
        <v/>
      </c>
      <c r="I220" s="136"/>
      <c r="J220" s="136"/>
      <c r="K220" s="136"/>
      <c r="L220" s="136"/>
      <c r="M220" s="136"/>
      <c r="N220" s="136"/>
      <c r="O220" s="142" t="str">
        <f t="shared" si="2"/>
        <v/>
      </c>
      <c r="P220" s="140" t="str">
        <f t="shared" si="3"/>
        <v/>
      </c>
      <c r="Q220" s="139" t="str">
        <f t="shared" si="4"/>
        <v/>
      </c>
      <c r="R220" s="139" t="str">
        <f t="shared" si="5"/>
        <v/>
      </c>
      <c r="S220" s="139" t="str">
        <f t="shared" si="6"/>
        <v/>
      </c>
      <c r="T220" s="140" t="str">
        <f t="shared" si="7"/>
        <v/>
      </c>
      <c r="U220" s="136"/>
      <c r="V220" s="136"/>
      <c r="W220" s="136"/>
      <c r="X220" s="136"/>
      <c r="Y220" s="145"/>
      <c r="Z220" s="145"/>
    </row>
    <row r="221">
      <c r="E221" s="136"/>
      <c r="F221" s="136"/>
      <c r="G221" s="136"/>
      <c r="H221" s="137" t="str">
        <f t="shared" si="1"/>
        <v/>
      </c>
      <c r="I221" s="136"/>
      <c r="J221" s="136"/>
      <c r="K221" s="136"/>
      <c r="L221" s="136"/>
      <c r="M221" s="136"/>
      <c r="N221" s="136"/>
      <c r="O221" s="142" t="str">
        <f t="shared" si="2"/>
        <v/>
      </c>
      <c r="P221" s="140" t="str">
        <f t="shared" si="3"/>
        <v/>
      </c>
      <c r="Q221" s="139" t="str">
        <f t="shared" si="4"/>
        <v/>
      </c>
      <c r="R221" s="139" t="str">
        <f t="shared" si="5"/>
        <v/>
      </c>
      <c r="S221" s="139" t="str">
        <f t="shared" si="6"/>
        <v/>
      </c>
      <c r="T221" s="140" t="str">
        <f t="shared" si="7"/>
        <v/>
      </c>
      <c r="U221" s="136"/>
      <c r="V221" s="136"/>
      <c r="W221" s="136"/>
      <c r="X221" s="136"/>
      <c r="Y221" s="145"/>
      <c r="Z221" s="145"/>
    </row>
    <row r="222">
      <c r="E222" s="136"/>
      <c r="F222" s="136"/>
      <c r="G222" s="136"/>
      <c r="H222" s="137" t="str">
        <f t="shared" si="1"/>
        <v/>
      </c>
      <c r="I222" s="136"/>
      <c r="J222" s="136"/>
      <c r="K222" s="136"/>
      <c r="L222" s="136"/>
      <c r="M222" s="136"/>
      <c r="N222" s="136"/>
      <c r="O222" s="142" t="str">
        <f t="shared" si="2"/>
        <v/>
      </c>
      <c r="P222" s="140" t="str">
        <f t="shared" si="3"/>
        <v/>
      </c>
      <c r="Q222" s="139" t="str">
        <f t="shared" si="4"/>
        <v/>
      </c>
      <c r="R222" s="139" t="str">
        <f t="shared" si="5"/>
        <v/>
      </c>
      <c r="S222" s="139" t="str">
        <f t="shared" si="6"/>
        <v/>
      </c>
      <c r="T222" s="140" t="str">
        <f t="shared" si="7"/>
        <v/>
      </c>
      <c r="U222" s="136"/>
      <c r="V222" s="136"/>
      <c r="W222" s="136"/>
      <c r="X222" s="136"/>
      <c r="Y222" s="145"/>
      <c r="Z222" s="145"/>
    </row>
    <row r="223">
      <c r="E223" s="136"/>
      <c r="F223" s="136"/>
      <c r="G223" s="136"/>
      <c r="H223" s="137" t="str">
        <f t="shared" si="1"/>
        <v/>
      </c>
      <c r="I223" s="136"/>
      <c r="J223" s="136"/>
      <c r="K223" s="136"/>
      <c r="L223" s="136"/>
      <c r="M223" s="136"/>
      <c r="N223" s="136"/>
      <c r="O223" s="142" t="str">
        <f t="shared" si="2"/>
        <v/>
      </c>
      <c r="P223" s="140" t="str">
        <f t="shared" si="3"/>
        <v/>
      </c>
      <c r="Q223" s="139" t="str">
        <f t="shared" si="4"/>
        <v/>
      </c>
      <c r="R223" s="139" t="str">
        <f t="shared" si="5"/>
        <v/>
      </c>
      <c r="S223" s="139" t="str">
        <f t="shared" si="6"/>
        <v/>
      </c>
      <c r="T223" s="140" t="str">
        <f t="shared" si="7"/>
        <v/>
      </c>
      <c r="U223" s="136"/>
      <c r="V223" s="136"/>
      <c r="W223" s="136"/>
      <c r="X223" s="136"/>
      <c r="Y223" s="145"/>
      <c r="Z223" s="145"/>
    </row>
    <row r="224">
      <c r="E224" s="136"/>
      <c r="F224" s="136"/>
      <c r="G224" s="136"/>
      <c r="H224" s="137" t="str">
        <f t="shared" si="1"/>
        <v/>
      </c>
      <c r="I224" s="136"/>
      <c r="J224" s="136"/>
      <c r="K224" s="136"/>
      <c r="L224" s="136"/>
      <c r="M224" s="136"/>
      <c r="N224" s="136"/>
      <c r="O224" s="142" t="str">
        <f t="shared" si="2"/>
        <v/>
      </c>
      <c r="P224" s="140" t="str">
        <f t="shared" si="3"/>
        <v/>
      </c>
      <c r="Q224" s="139" t="str">
        <f t="shared" si="4"/>
        <v/>
      </c>
      <c r="R224" s="139" t="str">
        <f t="shared" si="5"/>
        <v/>
      </c>
      <c r="S224" s="139" t="str">
        <f t="shared" si="6"/>
        <v/>
      </c>
      <c r="T224" s="140" t="str">
        <f t="shared" si="7"/>
        <v/>
      </c>
      <c r="U224" s="136"/>
      <c r="V224" s="136"/>
      <c r="W224" s="136"/>
      <c r="X224" s="136"/>
      <c r="Y224" s="145"/>
      <c r="Z224" s="145"/>
    </row>
    <row r="225">
      <c r="E225" s="136"/>
      <c r="F225" s="136"/>
      <c r="G225" s="136"/>
      <c r="H225" s="137" t="str">
        <f t="shared" si="1"/>
        <v/>
      </c>
      <c r="I225" s="136"/>
      <c r="J225" s="136"/>
      <c r="K225" s="136"/>
      <c r="L225" s="136"/>
      <c r="M225" s="136"/>
      <c r="N225" s="136"/>
      <c r="O225" s="142" t="str">
        <f t="shared" si="2"/>
        <v/>
      </c>
      <c r="P225" s="140" t="str">
        <f t="shared" si="3"/>
        <v/>
      </c>
      <c r="Q225" s="139" t="str">
        <f t="shared" si="4"/>
        <v/>
      </c>
      <c r="R225" s="139" t="str">
        <f t="shared" si="5"/>
        <v/>
      </c>
      <c r="S225" s="139" t="str">
        <f t="shared" si="6"/>
        <v/>
      </c>
      <c r="T225" s="140" t="str">
        <f t="shared" si="7"/>
        <v/>
      </c>
      <c r="U225" s="136"/>
      <c r="V225" s="136"/>
      <c r="W225" s="136"/>
      <c r="X225" s="136"/>
      <c r="Y225" s="145"/>
      <c r="Z225" s="145"/>
    </row>
    <row r="226">
      <c r="E226" s="136"/>
      <c r="F226" s="136"/>
      <c r="G226" s="136"/>
      <c r="H226" s="137" t="str">
        <f t="shared" si="1"/>
        <v/>
      </c>
      <c r="I226" s="136"/>
      <c r="J226" s="136"/>
      <c r="K226" s="136"/>
      <c r="L226" s="136"/>
      <c r="M226" s="136"/>
      <c r="N226" s="136"/>
      <c r="O226" s="142" t="str">
        <f t="shared" si="2"/>
        <v/>
      </c>
      <c r="P226" s="140" t="str">
        <f t="shared" si="3"/>
        <v/>
      </c>
      <c r="Q226" s="139" t="str">
        <f t="shared" si="4"/>
        <v/>
      </c>
      <c r="R226" s="139" t="str">
        <f t="shared" si="5"/>
        <v/>
      </c>
      <c r="S226" s="139" t="str">
        <f t="shared" si="6"/>
        <v/>
      </c>
      <c r="T226" s="140" t="str">
        <f t="shared" si="7"/>
        <v/>
      </c>
      <c r="U226" s="136"/>
      <c r="V226" s="136"/>
      <c r="W226" s="136"/>
      <c r="X226" s="136"/>
      <c r="Y226" s="145"/>
      <c r="Z226" s="145"/>
    </row>
    <row r="227">
      <c r="E227" s="136"/>
      <c r="F227" s="136"/>
      <c r="G227" s="136"/>
      <c r="H227" s="137" t="str">
        <f t="shared" si="1"/>
        <v/>
      </c>
      <c r="I227" s="136"/>
      <c r="J227" s="136"/>
      <c r="K227" s="136"/>
      <c r="L227" s="136"/>
      <c r="M227" s="136"/>
      <c r="N227" s="136"/>
      <c r="O227" s="142" t="str">
        <f t="shared" si="2"/>
        <v/>
      </c>
      <c r="P227" s="140" t="str">
        <f t="shared" si="3"/>
        <v/>
      </c>
      <c r="Q227" s="139" t="str">
        <f t="shared" si="4"/>
        <v/>
      </c>
      <c r="R227" s="139" t="str">
        <f t="shared" si="5"/>
        <v/>
      </c>
      <c r="S227" s="139" t="str">
        <f t="shared" si="6"/>
        <v/>
      </c>
      <c r="T227" s="140" t="str">
        <f t="shared" si="7"/>
        <v/>
      </c>
      <c r="U227" s="136"/>
      <c r="V227" s="136"/>
      <c r="W227" s="136"/>
      <c r="X227" s="136"/>
      <c r="Y227" s="145"/>
      <c r="Z227" s="145"/>
    </row>
    <row r="228">
      <c r="E228" s="136"/>
      <c r="F228" s="136"/>
      <c r="G228" s="136"/>
      <c r="H228" s="137" t="str">
        <f t="shared" si="1"/>
        <v/>
      </c>
      <c r="I228" s="136"/>
      <c r="J228" s="136"/>
      <c r="K228" s="136"/>
      <c r="L228" s="136"/>
      <c r="M228" s="136"/>
      <c r="N228" s="136"/>
      <c r="O228" s="142" t="str">
        <f t="shared" si="2"/>
        <v/>
      </c>
      <c r="P228" s="140" t="str">
        <f t="shared" si="3"/>
        <v/>
      </c>
      <c r="Q228" s="139" t="str">
        <f t="shared" si="4"/>
        <v/>
      </c>
      <c r="R228" s="139" t="str">
        <f t="shared" si="5"/>
        <v/>
      </c>
      <c r="S228" s="139" t="str">
        <f t="shared" si="6"/>
        <v/>
      </c>
      <c r="T228" s="140" t="str">
        <f t="shared" si="7"/>
        <v/>
      </c>
      <c r="U228" s="136"/>
      <c r="V228" s="136"/>
      <c r="W228" s="136"/>
      <c r="X228" s="136"/>
      <c r="Y228" s="145"/>
      <c r="Z228" s="145"/>
    </row>
    <row r="229">
      <c r="E229" s="136"/>
      <c r="F229" s="136"/>
      <c r="G229" s="136"/>
      <c r="H229" s="137" t="str">
        <f t="shared" si="1"/>
        <v/>
      </c>
      <c r="I229" s="136"/>
      <c r="J229" s="136"/>
      <c r="K229" s="136"/>
      <c r="L229" s="136"/>
      <c r="M229" s="136"/>
      <c r="N229" s="136"/>
      <c r="O229" s="142" t="str">
        <f t="shared" si="2"/>
        <v/>
      </c>
      <c r="P229" s="140" t="str">
        <f t="shared" si="3"/>
        <v/>
      </c>
      <c r="Q229" s="139" t="str">
        <f t="shared" si="4"/>
        <v/>
      </c>
      <c r="R229" s="139" t="str">
        <f t="shared" si="5"/>
        <v/>
      </c>
      <c r="S229" s="139" t="str">
        <f t="shared" si="6"/>
        <v/>
      </c>
      <c r="T229" s="140" t="str">
        <f t="shared" si="7"/>
        <v/>
      </c>
      <c r="U229" s="136"/>
      <c r="V229" s="136"/>
      <c r="W229" s="136"/>
      <c r="X229" s="136"/>
      <c r="Y229" s="145"/>
      <c r="Z229" s="145"/>
    </row>
    <row r="230">
      <c r="E230" s="136"/>
      <c r="F230" s="136"/>
      <c r="G230" s="136"/>
      <c r="H230" s="137" t="str">
        <f t="shared" si="1"/>
        <v/>
      </c>
      <c r="I230" s="136"/>
      <c r="J230" s="136"/>
      <c r="K230" s="136"/>
      <c r="L230" s="136"/>
      <c r="M230" s="136"/>
      <c r="N230" s="136"/>
      <c r="O230" s="142" t="str">
        <f t="shared" si="2"/>
        <v/>
      </c>
      <c r="P230" s="140" t="str">
        <f t="shared" si="3"/>
        <v/>
      </c>
      <c r="Q230" s="139" t="str">
        <f t="shared" si="4"/>
        <v/>
      </c>
      <c r="R230" s="139" t="str">
        <f t="shared" si="5"/>
        <v/>
      </c>
      <c r="S230" s="139" t="str">
        <f t="shared" si="6"/>
        <v/>
      </c>
      <c r="T230" s="140" t="str">
        <f t="shared" si="7"/>
        <v/>
      </c>
      <c r="U230" s="136"/>
      <c r="V230" s="136"/>
      <c r="W230" s="136"/>
      <c r="X230" s="136"/>
      <c r="Y230" s="145"/>
      <c r="Z230" s="145"/>
    </row>
    <row r="231">
      <c r="E231" s="136"/>
      <c r="F231" s="136"/>
      <c r="G231" s="136"/>
      <c r="H231" s="137" t="str">
        <f t="shared" si="1"/>
        <v/>
      </c>
      <c r="I231" s="136"/>
      <c r="J231" s="136"/>
      <c r="K231" s="136"/>
      <c r="L231" s="136"/>
      <c r="M231" s="136"/>
      <c r="N231" s="136"/>
      <c r="O231" s="142" t="str">
        <f t="shared" si="2"/>
        <v/>
      </c>
      <c r="P231" s="140" t="str">
        <f t="shared" si="3"/>
        <v/>
      </c>
      <c r="Q231" s="139" t="str">
        <f t="shared" si="4"/>
        <v/>
      </c>
      <c r="R231" s="139" t="str">
        <f t="shared" si="5"/>
        <v/>
      </c>
      <c r="S231" s="139" t="str">
        <f t="shared" si="6"/>
        <v/>
      </c>
      <c r="T231" s="140" t="str">
        <f t="shared" si="7"/>
        <v/>
      </c>
      <c r="U231" s="136"/>
      <c r="V231" s="136"/>
      <c r="W231" s="136"/>
      <c r="X231" s="136"/>
      <c r="Y231" s="145"/>
      <c r="Z231" s="145"/>
    </row>
    <row r="232">
      <c r="E232" s="136"/>
      <c r="F232" s="136"/>
      <c r="G232" s="136"/>
      <c r="H232" s="137" t="str">
        <f t="shared" si="1"/>
        <v/>
      </c>
      <c r="I232" s="136"/>
      <c r="J232" s="136"/>
      <c r="K232" s="136"/>
      <c r="L232" s="136"/>
      <c r="M232" s="136"/>
      <c r="N232" s="136"/>
      <c r="O232" s="142" t="str">
        <f t="shared" si="2"/>
        <v/>
      </c>
      <c r="P232" s="140" t="str">
        <f t="shared" si="3"/>
        <v/>
      </c>
      <c r="Q232" s="139" t="str">
        <f t="shared" si="4"/>
        <v/>
      </c>
      <c r="R232" s="139" t="str">
        <f t="shared" si="5"/>
        <v/>
      </c>
      <c r="S232" s="139" t="str">
        <f t="shared" si="6"/>
        <v/>
      </c>
      <c r="T232" s="140" t="str">
        <f t="shared" si="7"/>
        <v/>
      </c>
      <c r="U232" s="136"/>
      <c r="V232" s="136"/>
      <c r="W232" s="136"/>
      <c r="X232" s="136"/>
      <c r="Y232" s="145"/>
      <c r="Z232" s="145"/>
    </row>
    <row r="233">
      <c r="E233" s="136"/>
      <c r="F233" s="136"/>
      <c r="G233" s="136"/>
      <c r="H233" s="137" t="str">
        <f t="shared" si="1"/>
        <v/>
      </c>
      <c r="I233" s="136"/>
      <c r="J233" s="136"/>
      <c r="K233" s="136"/>
      <c r="L233" s="136"/>
      <c r="M233" s="136"/>
      <c r="N233" s="136"/>
      <c r="O233" s="142" t="str">
        <f t="shared" si="2"/>
        <v/>
      </c>
      <c r="P233" s="140" t="str">
        <f t="shared" si="3"/>
        <v/>
      </c>
      <c r="Q233" s="139" t="str">
        <f t="shared" si="4"/>
        <v/>
      </c>
      <c r="R233" s="139" t="str">
        <f t="shared" si="5"/>
        <v/>
      </c>
      <c r="S233" s="139" t="str">
        <f t="shared" si="6"/>
        <v/>
      </c>
      <c r="T233" s="140" t="str">
        <f t="shared" si="7"/>
        <v/>
      </c>
      <c r="U233" s="136"/>
      <c r="V233" s="136"/>
      <c r="W233" s="136"/>
      <c r="X233" s="136"/>
      <c r="Y233" s="145"/>
      <c r="Z233" s="145"/>
    </row>
    <row r="234">
      <c r="E234" s="136"/>
      <c r="F234" s="136"/>
      <c r="G234" s="136"/>
      <c r="H234" s="137" t="str">
        <f t="shared" si="1"/>
        <v/>
      </c>
      <c r="I234" s="136"/>
      <c r="J234" s="136"/>
      <c r="K234" s="136"/>
      <c r="L234" s="136"/>
      <c r="M234" s="136"/>
      <c r="N234" s="136"/>
      <c r="O234" s="142" t="str">
        <f t="shared" si="2"/>
        <v/>
      </c>
      <c r="P234" s="140" t="str">
        <f t="shared" si="3"/>
        <v/>
      </c>
      <c r="Q234" s="139" t="str">
        <f t="shared" si="4"/>
        <v/>
      </c>
      <c r="R234" s="139" t="str">
        <f t="shared" si="5"/>
        <v/>
      </c>
      <c r="S234" s="139" t="str">
        <f t="shared" si="6"/>
        <v/>
      </c>
      <c r="T234" s="140" t="str">
        <f t="shared" si="7"/>
        <v/>
      </c>
      <c r="U234" s="136"/>
      <c r="V234" s="136"/>
      <c r="W234" s="136"/>
      <c r="X234" s="136"/>
      <c r="Y234" s="145"/>
      <c r="Z234" s="145"/>
    </row>
    <row r="235">
      <c r="E235" s="136"/>
      <c r="F235" s="136"/>
      <c r="G235" s="136"/>
      <c r="H235" s="137" t="str">
        <f t="shared" si="1"/>
        <v/>
      </c>
      <c r="I235" s="136"/>
      <c r="J235" s="136"/>
      <c r="K235" s="136"/>
      <c r="L235" s="136"/>
      <c r="M235" s="136"/>
      <c r="N235" s="136"/>
      <c r="O235" s="142" t="str">
        <f t="shared" si="2"/>
        <v/>
      </c>
      <c r="P235" s="140" t="str">
        <f t="shared" si="3"/>
        <v/>
      </c>
      <c r="Q235" s="139" t="str">
        <f t="shared" si="4"/>
        <v/>
      </c>
      <c r="R235" s="139" t="str">
        <f t="shared" si="5"/>
        <v/>
      </c>
      <c r="S235" s="139" t="str">
        <f t="shared" si="6"/>
        <v/>
      </c>
      <c r="T235" s="140" t="str">
        <f t="shared" si="7"/>
        <v/>
      </c>
      <c r="U235" s="136"/>
      <c r="V235" s="136"/>
      <c r="W235" s="136"/>
      <c r="X235" s="136"/>
      <c r="Y235" s="145"/>
      <c r="Z235" s="145"/>
    </row>
    <row r="236">
      <c r="E236" s="136"/>
      <c r="F236" s="136"/>
      <c r="G236" s="136"/>
      <c r="H236" s="137" t="str">
        <f t="shared" si="1"/>
        <v/>
      </c>
      <c r="I236" s="136"/>
      <c r="J236" s="136"/>
      <c r="K236" s="136"/>
      <c r="L236" s="136"/>
      <c r="M236" s="136"/>
      <c r="N236" s="136"/>
      <c r="O236" s="142" t="str">
        <f t="shared" si="2"/>
        <v/>
      </c>
      <c r="P236" s="140" t="str">
        <f t="shared" si="3"/>
        <v/>
      </c>
      <c r="Q236" s="139" t="str">
        <f t="shared" si="4"/>
        <v/>
      </c>
      <c r="R236" s="139" t="str">
        <f t="shared" si="5"/>
        <v/>
      </c>
      <c r="S236" s="139" t="str">
        <f t="shared" si="6"/>
        <v/>
      </c>
      <c r="T236" s="140" t="str">
        <f t="shared" si="7"/>
        <v/>
      </c>
      <c r="U236" s="136"/>
      <c r="V236" s="136"/>
      <c r="W236" s="136"/>
      <c r="X236" s="136"/>
      <c r="Y236" s="145"/>
      <c r="Z236" s="145"/>
    </row>
    <row r="237">
      <c r="E237" s="136"/>
      <c r="F237" s="136"/>
      <c r="G237" s="136"/>
      <c r="H237" s="137" t="str">
        <f t="shared" si="1"/>
        <v/>
      </c>
      <c r="I237" s="136"/>
      <c r="J237" s="136"/>
      <c r="K237" s="136"/>
      <c r="L237" s="136"/>
      <c r="M237" s="136"/>
      <c r="N237" s="136"/>
      <c r="O237" s="142" t="str">
        <f t="shared" si="2"/>
        <v/>
      </c>
      <c r="P237" s="140" t="str">
        <f t="shared" si="3"/>
        <v/>
      </c>
      <c r="Q237" s="139" t="str">
        <f t="shared" si="4"/>
        <v/>
      </c>
      <c r="R237" s="139" t="str">
        <f t="shared" si="5"/>
        <v/>
      </c>
      <c r="S237" s="139" t="str">
        <f t="shared" si="6"/>
        <v/>
      </c>
      <c r="T237" s="140" t="str">
        <f t="shared" si="7"/>
        <v/>
      </c>
      <c r="U237" s="136"/>
      <c r="V237" s="136"/>
      <c r="W237" s="136"/>
      <c r="X237" s="136"/>
      <c r="Y237" s="145"/>
      <c r="Z237" s="145"/>
    </row>
    <row r="238">
      <c r="E238" s="136"/>
      <c r="F238" s="136"/>
      <c r="G238" s="136"/>
      <c r="H238" s="137" t="str">
        <f t="shared" si="1"/>
        <v/>
      </c>
      <c r="I238" s="136"/>
      <c r="J238" s="136"/>
      <c r="K238" s="136"/>
      <c r="L238" s="136"/>
      <c r="M238" s="136"/>
      <c r="N238" s="136"/>
      <c r="O238" s="142" t="str">
        <f t="shared" si="2"/>
        <v/>
      </c>
      <c r="P238" s="140" t="str">
        <f t="shared" si="3"/>
        <v/>
      </c>
      <c r="Q238" s="139" t="str">
        <f t="shared" si="4"/>
        <v/>
      </c>
      <c r="R238" s="139" t="str">
        <f t="shared" si="5"/>
        <v/>
      </c>
      <c r="S238" s="139" t="str">
        <f t="shared" si="6"/>
        <v/>
      </c>
      <c r="T238" s="140" t="str">
        <f t="shared" si="7"/>
        <v/>
      </c>
      <c r="U238" s="136"/>
      <c r="V238" s="136"/>
      <c r="W238" s="136"/>
      <c r="X238" s="136"/>
      <c r="Y238" s="145"/>
      <c r="Z238" s="145"/>
    </row>
    <row r="239">
      <c r="E239" s="136"/>
      <c r="F239" s="136"/>
      <c r="G239" s="136"/>
      <c r="H239" s="137" t="str">
        <f t="shared" si="1"/>
        <v/>
      </c>
      <c r="I239" s="136"/>
      <c r="J239" s="136"/>
      <c r="K239" s="136"/>
      <c r="L239" s="136"/>
      <c r="M239" s="136"/>
      <c r="N239" s="136"/>
      <c r="O239" s="142" t="str">
        <f t="shared" si="2"/>
        <v/>
      </c>
      <c r="P239" s="140" t="str">
        <f t="shared" si="3"/>
        <v/>
      </c>
      <c r="Q239" s="139" t="str">
        <f t="shared" si="4"/>
        <v/>
      </c>
      <c r="R239" s="139" t="str">
        <f t="shared" si="5"/>
        <v/>
      </c>
      <c r="S239" s="139" t="str">
        <f t="shared" si="6"/>
        <v/>
      </c>
      <c r="T239" s="140" t="str">
        <f t="shared" si="7"/>
        <v/>
      </c>
      <c r="U239" s="136"/>
      <c r="V239" s="136"/>
      <c r="W239" s="136"/>
      <c r="X239" s="136"/>
      <c r="Y239" s="145"/>
      <c r="Z239" s="145"/>
    </row>
    <row r="240">
      <c r="E240" s="136"/>
      <c r="F240" s="136"/>
      <c r="G240" s="136"/>
      <c r="H240" s="137" t="str">
        <f t="shared" si="1"/>
        <v/>
      </c>
      <c r="I240" s="136"/>
      <c r="J240" s="136"/>
      <c r="K240" s="136"/>
      <c r="L240" s="136"/>
      <c r="M240" s="136"/>
      <c r="N240" s="136"/>
      <c r="O240" s="142" t="str">
        <f t="shared" si="2"/>
        <v/>
      </c>
      <c r="P240" s="140" t="str">
        <f t="shared" si="3"/>
        <v/>
      </c>
      <c r="Q240" s="139" t="str">
        <f t="shared" si="4"/>
        <v/>
      </c>
      <c r="R240" s="139" t="str">
        <f t="shared" si="5"/>
        <v/>
      </c>
      <c r="S240" s="139" t="str">
        <f t="shared" si="6"/>
        <v/>
      </c>
      <c r="T240" s="140" t="str">
        <f t="shared" si="7"/>
        <v/>
      </c>
      <c r="U240" s="136"/>
      <c r="V240" s="136"/>
      <c r="W240" s="136"/>
      <c r="X240" s="136"/>
      <c r="Y240" s="145"/>
      <c r="Z240" s="145"/>
    </row>
    <row r="241">
      <c r="E241" s="136"/>
      <c r="F241" s="136"/>
      <c r="G241" s="136"/>
      <c r="H241" s="137" t="str">
        <f t="shared" si="1"/>
        <v/>
      </c>
      <c r="I241" s="136"/>
      <c r="J241" s="136"/>
      <c r="K241" s="136"/>
      <c r="L241" s="136"/>
      <c r="M241" s="136"/>
      <c r="N241" s="136"/>
      <c r="O241" s="142" t="str">
        <f t="shared" si="2"/>
        <v/>
      </c>
      <c r="P241" s="140" t="str">
        <f t="shared" si="3"/>
        <v/>
      </c>
      <c r="Q241" s="139" t="str">
        <f t="shared" si="4"/>
        <v/>
      </c>
      <c r="R241" s="139" t="str">
        <f t="shared" si="5"/>
        <v/>
      </c>
      <c r="S241" s="139" t="str">
        <f t="shared" si="6"/>
        <v/>
      </c>
      <c r="T241" s="140" t="str">
        <f t="shared" si="7"/>
        <v/>
      </c>
      <c r="U241" s="136"/>
      <c r="V241" s="136"/>
      <c r="W241" s="136"/>
      <c r="X241" s="136"/>
      <c r="Y241" s="145"/>
      <c r="Z241" s="145"/>
    </row>
    <row r="242">
      <c r="E242" s="136"/>
      <c r="F242" s="136"/>
      <c r="G242" s="136"/>
      <c r="H242" s="137" t="str">
        <f t="shared" si="1"/>
        <v/>
      </c>
      <c r="I242" s="136"/>
      <c r="J242" s="136"/>
      <c r="K242" s="136"/>
      <c r="L242" s="136"/>
      <c r="M242" s="136"/>
      <c r="N242" s="136"/>
      <c r="O242" s="142" t="str">
        <f t="shared" si="2"/>
        <v/>
      </c>
      <c r="P242" s="140" t="str">
        <f t="shared" si="3"/>
        <v/>
      </c>
      <c r="Q242" s="139" t="str">
        <f t="shared" si="4"/>
        <v/>
      </c>
      <c r="R242" s="139" t="str">
        <f t="shared" si="5"/>
        <v/>
      </c>
      <c r="S242" s="139" t="str">
        <f t="shared" si="6"/>
        <v/>
      </c>
      <c r="T242" s="140" t="str">
        <f t="shared" si="7"/>
        <v/>
      </c>
      <c r="U242" s="136"/>
      <c r="V242" s="136"/>
      <c r="W242" s="136"/>
      <c r="X242" s="136"/>
      <c r="Y242" s="145"/>
      <c r="Z242" s="145"/>
    </row>
    <row r="243">
      <c r="E243" s="136"/>
      <c r="F243" s="136"/>
      <c r="G243" s="136"/>
      <c r="H243" s="137" t="str">
        <f t="shared" si="1"/>
        <v/>
      </c>
      <c r="I243" s="136"/>
      <c r="J243" s="136"/>
      <c r="K243" s="136"/>
      <c r="L243" s="136"/>
      <c r="M243" s="136"/>
      <c r="N243" s="136"/>
      <c r="O243" s="142" t="str">
        <f t="shared" si="2"/>
        <v/>
      </c>
      <c r="P243" s="140" t="str">
        <f t="shared" si="3"/>
        <v/>
      </c>
      <c r="Q243" s="139" t="str">
        <f t="shared" si="4"/>
        <v/>
      </c>
      <c r="R243" s="139" t="str">
        <f t="shared" si="5"/>
        <v/>
      </c>
      <c r="S243" s="139" t="str">
        <f t="shared" si="6"/>
        <v/>
      </c>
      <c r="T243" s="140" t="str">
        <f t="shared" si="7"/>
        <v/>
      </c>
      <c r="U243" s="136"/>
      <c r="V243" s="136"/>
      <c r="W243" s="136"/>
      <c r="X243" s="136"/>
      <c r="Y243" s="145"/>
      <c r="Z243" s="145"/>
    </row>
    <row r="244">
      <c r="E244" s="136"/>
      <c r="F244" s="136"/>
      <c r="G244" s="136"/>
      <c r="H244" s="137" t="str">
        <f t="shared" si="1"/>
        <v/>
      </c>
      <c r="I244" s="136"/>
      <c r="J244" s="136"/>
      <c r="K244" s="136"/>
      <c r="L244" s="136"/>
      <c r="M244" s="136"/>
      <c r="N244" s="136"/>
      <c r="O244" s="142" t="str">
        <f t="shared" si="2"/>
        <v/>
      </c>
      <c r="P244" s="140" t="str">
        <f t="shared" si="3"/>
        <v/>
      </c>
      <c r="Q244" s="139" t="str">
        <f t="shared" si="4"/>
        <v/>
      </c>
      <c r="R244" s="139" t="str">
        <f t="shared" si="5"/>
        <v/>
      </c>
      <c r="S244" s="139" t="str">
        <f t="shared" si="6"/>
        <v/>
      </c>
      <c r="T244" s="140" t="str">
        <f t="shared" si="7"/>
        <v/>
      </c>
      <c r="U244" s="136"/>
      <c r="V244" s="136"/>
      <c r="W244" s="136"/>
      <c r="X244" s="136"/>
      <c r="Y244" s="145"/>
      <c r="Z244" s="145"/>
    </row>
    <row r="245">
      <c r="E245" s="136"/>
      <c r="F245" s="136"/>
      <c r="G245" s="136"/>
      <c r="H245" s="137" t="str">
        <f t="shared" si="1"/>
        <v/>
      </c>
      <c r="I245" s="136"/>
      <c r="J245" s="136"/>
      <c r="K245" s="136"/>
      <c r="L245" s="136"/>
      <c r="M245" s="136"/>
      <c r="N245" s="136"/>
      <c r="O245" s="142" t="str">
        <f t="shared" si="2"/>
        <v/>
      </c>
      <c r="P245" s="140" t="str">
        <f t="shared" si="3"/>
        <v/>
      </c>
      <c r="Q245" s="139" t="str">
        <f t="shared" si="4"/>
        <v/>
      </c>
      <c r="R245" s="139" t="str">
        <f t="shared" si="5"/>
        <v/>
      </c>
      <c r="S245" s="139" t="str">
        <f t="shared" si="6"/>
        <v/>
      </c>
      <c r="T245" s="140" t="str">
        <f t="shared" si="7"/>
        <v/>
      </c>
      <c r="U245" s="136"/>
      <c r="V245" s="136"/>
      <c r="W245" s="136"/>
      <c r="X245" s="136"/>
      <c r="Y245" s="145"/>
      <c r="Z245" s="145"/>
    </row>
    <row r="246">
      <c r="E246" s="136"/>
      <c r="F246" s="136"/>
      <c r="G246" s="136"/>
      <c r="H246" s="137" t="str">
        <f t="shared" si="1"/>
        <v/>
      </c>
      <c r="I246" s="136"/>
      <c r="J246" s="136"/>
      <c r="K246" s="136"/>
      <c r="L246" s="136"/>
      <c r="M246" s="136"/>
      <c r="N246" s="136"/>
      <c r="O246" s="142" t="str">
        <f t="shared" si="2"/>
        <v/>
      </c>
      <c r="P246" s="140" t="str">
        <f t="shared" si="3"/>
        <v/>
      </c>
      <c r="Q246" s="139" t="str">
        <f t="shared" si="4"/>
        <v/>
      </c>
      <c r="R246" s="139" t="str">
        <f t="shared" si="5"/>
        <v/>
      </c>
      <c r="S246" s="139" t="str">
        <f t="shared" si="6"/>
        <v/>
      </c>
      <c r="T246" s="140" t="str">
        <f t="shared" si="7"/>
        <v/>
      </c>
      <c r="U246" s="136"/>
      <c r="V246" s="136"/>
      <c r="W246" s="136"/>
      <c r="X246" s="136"/>
      <c r="Y246" s="145"/>
      <c r="Z246" s="145"/>
    </row>
    <row r="247">
      <c r="E247" s="136"/>
      <c r="F247" s="136"/>
      <c r="G247" s="136"/>
      <c r="H247" s="137" t="str">
        <f t="shared" si="1"/>
        <v/>
      </c>
      <c r="I247" s="136"/>
      <c r="J247" s="136"/>
      <c r="K247" s="136"/>
      <c r="L247" s="136"/>
      <c r="M247" s="136"/>
      <c r="N247" s="136"/>
      <c r="O247" s="142" t="str">
        <f t="shared" si="2"/>
        <v/>
      </c>
      <c r="P247" s="140" t="str">
        <f t="shared" si="3"/>
        <v/>
      </c>
      <c r="Q247" s="139" t="str">
        <f t="shared" si="4"/>
        <v/>
      </c>
      <c r="R247" s="139" t="str">
        <f t="shared" si="5"/>
        <v/>
      </c>
      <c r="S247" s="139" t="str">
        <f t="shared" si="6"/>
        <v/>
      </c>
      <c r="T247" s="140" t="str">
        <f t="shared" si="7"/>
        <v/>
      </c>
      <c r="U247" s="136"/>
      <c r="V247" s="136"/>
      <c r="W247" s="136"/>
      <c r="X247" s="136"/>
      <c r="Y247" s="145"/>
      <c r="Z247" s="145"/>
    </row>
    <row r="248">
      <c r="E248" s="136"/>
      <c r="F248" s="136"/>
      <c r="G248" s="136"/>
      <c r="H248" s="137" t="str">
        <f t="shared" si="1"/>
        <v/>
      </c>
      <c r="I248" s="136"/>
      <c r="J248" s="136"/>
      <c r="K248" s="136"/>
      <c r="L248" s="136"/>
      <c r="M248" s="136"/>
      <c r="N248" s="136"/>
      <c r="O248" s="142" t="str">
        <f t="shared" si="2"/>
        <v/>
      </c>
      <c r="P248" s="140" t="str">
        <f t="shared" si="3"/>
        <v/>
      </c>
      <c r="Q248" s="139" t="str">
        <f t="shared" si="4"/>
        <v/>
      </c>
      <c r="R248" s="139" t="str">
        <f t="shared" si="5"/>
        <v/>
      </c>
      <c r="S248" s="139" t="str">
        <f t="shared" si="6"/>
        <v/>
      </c>
      <c r="T248" s="140" t="str">
        <f t="shared" si="7"/>
        <v/>
      </c>
      <c r="U248" s="136"/>
      <c r="V248" s="136"/>
      <c r="W248" s="136"/>
      <c r="X248" s="136"/>
      <c r="Y248" s="145"/>
      <c r="Z248" s="145"/>
    </row>
    <row r="249">
      <c r="E249" s="136"/>
      <c r="F249" s="136"/>
      <c r="G249" s="136"/>
      <c r="H249" s="137" t="str">
        <f t="shared" si="1"/>
        <v/>
      </c>
      <c r="I249" s="136"/>
      <c r="J249" s="136"/>
      <c r="K249" s="136"/>
      <c r="L249" s="136"/>
      <c r="M249" s="136"/>
      <c r="N249" s="136"/>
      <c r="O249" s="142" t="str">
        <f t="shared" si="2"/>
        <v/>
      </c>
      <c r="P249" s="140" t="str">
        <f t="shared" si="3"/>
        <v/>
      </c>
      <c r="Q249" s="139" t="str">
        <f t="shared" si="4"/>
        <v/>
      </c>
      <c r="R249" s="139" t="str">
        <f t="shared" si="5"/>
        <v/>
      </c>
      <c r="S249" s="139" t="str">
        <f t="shared" si="6"/>
        <v/>
      </c>
      <c r="T249" s="140" t="str">
        <f t="shared" si="7"/>
        <v/>
      </c>
      <c r="U249" s="136"/>
      <c r="V249" s="136"/>
      <c r="W249" s="136"/>
      <c r="X249" s="136"/>
      <c r="Y249" s="145"/>
      <c r="Z249" s="145"/>
    </row>
    <row r="250">
      <c r="E250" s="136"/>
      <c r="F250" s="136"/>
      <c r="G250" s="136"/>
      <c r="H250" s="137" t="str">
        <f t="shared" si="1"/>
        <v/>
      </c>
      <c r="I250" s="136"/>
      <c r="J250" s="136"/>
      <c r="K250" s="136"/>
      <c r="L250" s="136"/>
      <c r="M250" s="136"/>
      <c r="N250" s="136"/>
      <c r="O250" s="142" t="str">
        <f t="shared" si="2"/>
        <v/>
      </c>
      <c r="P250" s="140" t="str">
        <f t="shared" si="3"/>
        <v/>
      </c>
      <c r="Q250" s="139" t="str">
        <f t="shared" si="4"/>
        <v/>
      </c>
      <c r="R250" s="139" t="str">
        <f t="shared" si="5"/>
        <v/>
      </c>
      <c r="S250" s="139" t="str">
        <f t="shared" si="6"/>
        <v/>
      </c>
      <c r="T250" s="140" t="str">
        <f t="shared" si="7"/>
        <v/>
      </c>
      <c r="U250" s="136"/>
      <c r="V250" s="136"/>
      <c r="W250" s="136"/>
      <c r="X250" s="136"/>
      <c r="Y250" s="145"/>
      <c r="Z250" s="145"/>
    </row>
    <row r="251">
      <c r="E251" s="136"/>
      <c r="F251" s="136"/>
      <c r="G251" s="136"/>
      <c r="H251" s="137" t="str">
        <f t="shared" si="1"/>
        <v/>
      </c>
      <c r="I251" s="136"/>
      <c r="J251" s="136"/>
      <c r="K251" s="136"/>
      <c r="L251" s="136"/>
      <c r="M251" s="136"/>
      <c r="N251" s="136"/>
      <c r="O251" s="142" t="str">
        <f t="shared" si="2"/>
        <v/>
      </c>
      <c r="P251" s="140" t="str">
        <f t="shared" si="3"/>
        <v/>
      </c>
      <c r="Q251" s="139" t="str">
        <f t="shared" si="4"/>
        <v/>
      </c>
      <c r="R251" s="139" t="str">
        <f t="shared" si="5"/>
        <v/>
      </c>
      <c r="S251" s="139" t="str">
        <f t="shared" si="6"/>
        <v/>
      </c>
      <c r="T251" s="140" t="str">
        <f t="shared" si="7"/>
        <v/>
      </c>
      <c r="U251" s="136"/>
      <c r="V251" s="136"/>
      <c r="W251" s="136"/>
      <c r="X251" s="136"/>
      <c r="Y251" s="145"/>
      <c r="Z251" s="145"/>
    </row>
    <row r="252">
      <c r="E252" s="136"/>
      <c r="F252" s="136"/>
      <c r="G252" s="136"/>
      <c r="H252" s="137" t="str">
        <f t="shared" si="1"/>
        <v/>
      </c>
      <c r="I252" s="136"/>
      <c r="J252" s="136"/>
      <c r="K252" s="136"/>
      <c r="L252" s="136"/>
      <c r="M252" s="136"/>
      <c r="N252" s="136"/>
      <c r="O252" s="142" t="str">
        <f t="shared" si="2"/>
        <v/>
      </c>
      <c r="P252" s="140" t="str">
        <f t="shared" si="3"/>
        <v/>
      </c>
      <c r="Q252" s="139" t="str">
        <f t="shared" si="4"/>
        <v/>
      </c>
      <c r="R252" s="139" t="str">
        <f t="shared" si="5"/>
        <v/>
      </c>
      <c r="S252" s="139" t="str">
        <f t="shared" si="6"/>
        <v/>
      </c>
      <c r="T252" s="140" t="str">
        <f t="shared" si="7"/>
        <v/>
      </c>
      <c r="U252" s="136"/>
      <c r="V252" s="136"/>
      <c r="W252" s="136"/>
      <c r="X252" s="136"/>
      <c r="Y252" s="145"/>
      <c r="Z252" s="145"/>
    </row>
    <row r="253">
      <c r="E253" s="136"/>
      <c r="F253" s="136"/>
      <c r="G253" s="136"/>
      <c r="H253" s="137" t="str">
        <f t="shared" si="1"/>
        <v/>
      </c>
      <c r="I253" s="136"/>
      <c r="J253" s="136"/>
      <c r="K253" s="136"/>
      <c r="L253" s="136"/>
      <c r="M253" s="136"/>
      <c r="N253" s="136"/>
      <c r="O253" s="142" t="str">
        <f t="shared" si="2"/>
        <v/>
      </c>
      <c r="P253" s="140" t="str">
        <f t="shared" si="3"/>
        <v/>
      </c>
      <c r="Q253" s="139" t="str">
        <f t="shared" si="4"/>
        <v/>
      </c>
      <c r="R253" s="139" t="str">
        <f t="shared" si="5"/>
        <v/>
      </c>
      <c r="S253" s="139" t="str">
        <f t="shared" si="6"/>
        <v/>
      </c>
      <c r="T253" s="140" t="str">
        <f t="shared" si="7"/>
        <v/>
      </c>
      <c r="U253" s="136"/>
      <c r="V253" s="136"/>
      <c r="W253" s="136"/>
      <c r="X253" s="136"/>
      <c r="Y253" s="145"/>
      <c r="Z253" s="145"/>
    </row>
    <row r="254">
      <c r="E254" s="136"/>
      <c r="F254" s="136"/>
      <c r="G254" s="136"/>
      <c r="H254" s="137" t="str">
        <f t="shared" si="1"/>
        <v/>
      </c>
      <c r="I254" s="136"/>
      <c r="J254" s="136"/>
      <c r="K254" s="136"/>
      <c r="L254" s="136"/>
      <c r="M254" s="136"/>
      <c r="N254" s="136"/>
      <c r="O254" s="142" t="str">
        <f t="shared" si="2"/>
        <v/>
      </c>
      <c r="P254" s="140" t="str">
        <f t="shared" si="3"/>
        <v/>
      </c>
      <c r="Q254" s="139" t="str">
        <f t="shared" si="4"/>
        <v/>
      </c>
      <c r="R254" s="139" t="str">
        <f t="shared" si="5"/>
        <v/>
      </c>
      <c r="S254" s="139" t="str">
        <f t="shared" si="6"/>
        <v/>
      </c>
      <c r="T254" s="140" t="str">
        <f t="shared" si="7"/>
        <v/>
      </c>
      <c r="U254" s="136"/>
      <c r="V254" s="136"/>
      <c r="W254" s="136"/>
      <c r="X254" s="136"/>
      <c r="Y254" s="145"/>
      <c r="Z254" s="145"/>
    </row>
    <row r="255">
      <c r="E255" s="136"/>
      <c r="F255" s="136"/>
      <c r="G255" s="136"/>
      <c r="H255" s="137" t="str">
        <f t="shared" si="1"/>
        <v/>
      </c>
      <c r="I255" s="136"/>
      <c r="J255" s="136"/>
      <c r="K255" s="136"/>
      <c r="L255" s="136"/>
      <c r="M255" s="136"/>
      <c r="N255" s="136"/>
      <c r="O255" s="142" t="str">
        <f t="shared" si="2"/>
        <v/>
      </c>
      <c r="P255" s="140" t="str">
        <f t="shared" si="3"/>
        <v/>
      </c>
      <c r="Q255" s="139" t="str">
        <f t="shared" si="4"/>
        <v/>
      </c>
      <c r="R255" s="139" t="str">
        <f t="shared" si="5"/>
        <v/>
      </c>
      <c r="S255" s="139" t="str">
        <f t="shared" si="6"/>
        <v/>
      </c>
      <c r="T255" s="140" t="str">
        <f t="shared" si="7"/>
        <v/>
      </c>
      <c r="U255" s="136"/>
      <c r="V255" s="136"/>
      <c r="W255" s="136"/>
      <c r="X255" s="136"/>
      <c r="Y255" s="145"/>
      <c r="Z255" s="145"/>
    </row>
    <row r="256">
      <c r="E256" s="136"/>
      <c r="F256" s="136"/>
      <c r="G256" s="136"/>
      <c r="H256" s="137" t="str">
        <f t="shared" si="1"/>
        <v/>
      </c>
      <c r="I256" s="136"/>
      <c r="J256" s="136"/>
      <c r="K256" s="136"/>
      <c r="L256" s="136"/>
      <c r="M256" s="136"/>
      <c r="N256" s="136"/>
      <c r="O256" s="142" t="str">
        <f t="shared" si="2"/>
        <v/>
      </c>
      <c r="P256" s="140" t="str">
        <f t="shared" si="3"/>
        <v/>
      </c>
      <c r="Q256" s="139" t="str">
        <f t="shared" si="4"/>
        <v/>
      </c>
      <c r="R256" s="139" t="str">
        <f t="shared" si="5"/>
        <v/>
      </c>
      <c r="S256" s="139" t="str">
        <f t="shared" si="6"/>
        <v/>
      </c>
      <c r="T256" s="140" t="str">
        <f t="shared" si="7"/>
        <v/>
      </c>
      <c r="U256" s="136"/>
      <c r="V256" s="136"/>
      <c r="W256" s="136"/>
      <c r="X256" s="136"/>
      <c r="Y256" s="145"/>
      <c r="Z256" s="145"/>
    </row>
    <row r="257">
      <c r="E257" s="136"/>
      <c r="F257" s="136"/>
      <c r="G257" s="136"/>
      <c r="H257" s="137" t="str">
        <f t="shared" si="1"/>
        <v/>
      </c>
      <c r="I257" s="136"/>
      <c r="J257" s="136"/>
      <c r="K257" s="136"/>
      <c r="L257" s="136"/>
      <c r="M257" s="136"/>
      <c r="N257" s="136"/>
      <c r="O257" s="142" t="str">
        <f t="shared" si="2"/>
        <v/>
      </c>
      <c r="P257" s="140" t="str">
        <f t="shared" si="3"/>
        <v/>
      </c>
      <c r="Q257" s="139" t="str">
        <f t="shared" si="4"/>
        <v/>
      </c>
      <c r="R257" s="139" t="str">
        <f t="shared" si="5"/>
        <v/>
      </c>
      <c r="S257" s="139" t="str">
        <f t="shared" si="6"/>
        <v/>
      </c>
      <c r="T257" s="140" t="str">
        <f t="shared" si="7"/>
        <v/>
      </c>
      <c r="U257" s="136"/>
      <c r="V257" s="136"/>
      <c r="W257" s="136"/>
      <c r="X257" s="136"/>
      <c r="Y257" s="145"/>
      <c r="Z257" s="145"/>
    </row>
    <row r="258">
      <c r="E258" s="136"/>
      <c r="F258" s="136"/>
      <c r="G258" s="136"/>
      <c r="H258" s="137" t="str">
        <f t="shared" si="1"/>
        <v/>
      </c>
      <c r="I258" s="136"/>
      <c r="J258" s="136"/>
      <c r="K258" s="136"/>
      <c r="L258" s="136"/>
      <c r="M258" s="136"/>
      <c r="N258" s="136"/>
      <c r="O258" s="142" t="str">
        <f t="shared" si="2"/>
        <v/>
      </c>
      <c r="P258" s="140" t="str">
        <f t="shared" si="3"/>
        <v/>
      </c>
      <c r="Q258" s="139" t="str">
        <f t="shared" si="4"/>
        <v/>
      </c>
      <c r="R258" s="139" t="str">
        <f t="shared" si="5"/>
        <v/>
      </c>
      <c r="S258" s="139" t="str">
        <f t="shared" si="6"/>
        <v/>
      </c>
      <c r="T258" s="140" t="str">
        <f t="shared" si="7"/>
        <v/>
      </c>
      <c r="U258" s="136"/>
      <c r="V258" s="136"/>
      <c r="W258" s="136"/>
      <c r="X258" s="136"/>
      <c r="Y258" s="145"/>
      <c r="Z258" s="145"/>
    </row>
    <row r="259">
      <c r="E259" s="136"/>
      <c r="F259" s="136"/>
      <c r="G259" s="136"/>
      <c r="H259" s="137" t="str">
        <f t="shared" si="1"/>
        <v/>
      </c>
      <c r="I259" s="136"/>
      <c r="J259" s="136"/>
      <c r="K259" s="136"/>
      <c r="L259" s="136"/>
      <c r="M259" s="136"/>
      <c r="N259" s="136"/>
      <c r="O259" s="142" t="str">
        <f t="shared" si="2"/>
        <v/>
      </c>
      <c r="P259" s="140" t="str">
        <f t="shared" si="3"/>
        <v/>
      </c>
      <c r="Q259" s="139" t="str">
        <f t="shared" si="4"/>
        <v/>
      </c>
      <c r="R259" s="139" t="str">
        <f t="shared" si="5"/>
        <v/>
      </c>
      <c r="S259" s="139" t="str">
        <f t="shared" si="6"/>
        <v/>
      </c>
      <c r="T259" s="140" t="str">
        <f t="shared" si="7"/>
        <v/>
      </c>
      <c r="U259" s="136"/>
      <c r="V259" s="136"/>
      <c r="W259" s="136"/>
      <c r="X259" s="136"/>
      <c r="Y259" s="145"/>
      <c r="Z259" s="145"/>
    </row>
    <row r="260">
      <c r="E260" s="136"/>
      <c r="F260" s="136"/>
      <c r="G260" s="136"/>
      <c r="H260" s="137" t="str">
        <f t="shared" si="1"/>
        <v/>
      </c>
      <c r="I260" s="136"/>
      <c r="J260" s="136"/>
      <c r="K260" s="136"/>
      <c r="L260" s="136"/>
      <c r="M260" s="136"/>
      <c r="N260" s="136"/>
      <c r="O260" s="142" t="str">
        <f t="shared" si="2"/>
        <v/>
      </c>
      <c r="P260" s="140" t="str">
        <f t="shared" si="3"/>
        <v/>
      </c>
      <c r="Q260" s="139" t="str">
        <f t="shared" si="4"/>
        <v/>
      </c>
      <c r="R260" s="139" t="str">
        <f t="shared" si="5"/>
        <v/>
      </c>
      <c r="S260" s="139" t="str">
        <f t="shared" si="6"/>
        <v/>
      </c>
      <c r="T260" s="140" t="str">
        <f t="shared" si="7"/>
        <v/>
      </c>
      <c r="U260" s="136"/>
      <c r="V260" s="136"/>
      <c r="W260" s="136"/>
      <c r="X260" s="136"/>
      <c r="Y260" s="145"/>
      <c r="Z260" s="145"/>
    </row>
    <row r="261">
      <c r="E261" s="136"/>
      <c r="F261" s="136"/>
      <c r="G261" s="136"/>
      <c r="H261" s="137" t="str">
        <f t="shared" si="1"/>
        <v/>
      </c>
      <c r="I261" s="136"/>
      <c r="J261" s="136"/>
      <c r="K261" s="136"/>
      <c r="L261" s="136"/>
      <c r="M261" s="136"/>
      <c r="N261" s="136"/>
      <c r="O261" s="142" t="str">
        <f t="shared" si="2"/>
        <v/>
      </c>
      <c r="P261" s="140" t="str">
        <f t="shared" si="3"/>
        <v/>
      </c>
      <c r="Q261" s="139" t="str">
        <f t="shared" si="4"/>
        <v/>
      </c>
      <c r="R261" s="139" t="str">
        <f t="shared" si="5"/>
        <v/>
      </c>
      <c r="S261" s="139" t="str">
        <f t="shared" si="6"/>
        <v/>
      </c>
      <c r="T261" s="140" t="str">
        <f t="shared" si="7"/>
        <v/>
      </c>
      <c r="U261" s="136"/>
      <c r="V261" s="136"/>
      <c r="W261" s="136"/>
      <c r="X261" s="136"/>
      <c r="Y261" s="145"/>
      <c r="Z261" s="145"/>
    </row>
    <row r="262">
      <c r="E262" s="136"/>
      <c r="F262" s="136"/>
      <c r="G262" s="136"/>
      <c r="H262" s="137" t="str">
        <f t="shared" si="1"/>
        <v/>
      </c>
      <c r="I262" s="136"/>
      <c r="J262" s="136"/>
      <c r="K262" s="136"/>
      <c r="L262" s="136"/>
      <c r="M262" s="136"/>
      <c r="N262" s="136"/>
      <c r="O262" s="142" t="str">
        <f t="shared" si="2"/>
        <v/>
      </c>
      <c r="P262" s="140" t="str">
        <f t="shared" si="3"/>
        <v/>
      </c>
      <c r="Q262" s="139" t="str">
        <f t="shared" si="4"/>
        <v/>
      </c>
      <c r="R262" s="139" t="str">
        <f t="shared" si="5"/>
        <v/>
      </c>
      <c r="S262" s="139" t="str">
        <f t="shared" si="6"/>
        <v/>
      </c>
      <c r="T262" s="140" t="str">
        <f t="shared" si="7"/>
        <v/>
      </c>
      <c r="U262" s="136"/>
      <c r="V262" s="136"/>
      <c r="W262" s="136"/>
      <c r="X262" s="136"/>
      <c r="Y262" s="145"/>
      <c r="Z262" s="145"/>
    </row>
    <row r="263">
      <c r="E263" s="136"/>
      <c r="F263" s="136"/>
      <c r="G263" s="136"/>
      <c r="H263" s="137" t="str">
        <f t="shared" si="1"/>
        <v/>
      </c>
      <c r="I263" s="136"/>
      <c r="J263" s="136"/>
      <c r="K263" s="136"/>
      <c r="L263" s="136"/>
      <c r="M263" s="136"/>
      <c r="N263" s="136"/>
      <c r="O263" s="142" t="str">
        <f t="shared" si="2"/>
        <v/>
      </c>
      <c r="P263" s="140" t="str">
        <f t="shared" si="3"/>
        <v/>
      </c>
      <c r="Q263" s="139" t="str">
        <f t="shared" si="4"/>
        <v/>
      </c>
      <c r="R263" s="139" t="str">
        <f t="shared" si="5"/>
        <v/>
      </c>
      <c r="S263" s="139" t="str">
        <f t="shared" si="6"/>
        <v/>
      </c>
      <c r="T263" s="140" t="str">
        <f t="shared" si="7"/>
        <v/>
      </c>
      <c r="U263" s="136"/>
      <c r="V263" s="136"/>
      <c r="W263" s="136"/>
      <c r="X263" s="136"/>
      <c r="Y263" s="145"/>
      <c r="Z263" s="145"/>
    </row>
    <row r="264">
      <c r="E264" s="136"/>
      <c r="F264" s="136"/>
      <c r="G264" s="136"/>
      <c r="H264" s="137" t="str">
        <f t="shared" si="1"/>
        <v/>
      </c>
      <c r="I264" s="136"/>
      <c r="J264" s="136"/>
      <c r="K264" s="136"/>
      <c r="L264" s="136"/>
      <c r="M264" s="136"/>
      <c r="N264" s="136"/>
      <c r="O264" s="142" t="str">
        <f t="shared" si="2"/>
        <v/>
      </c>
      <c r="P264" s="140" t="str">
        <f t="shared" si="3"/>
        <v/>
      </c>
      <c r="Q264" s="139" t="str">
        <f t="shared" si="4"/>
        <v/>
      </c>
      <c r="R264" s="139" t="str">
        <f t="shared" si="5"/>
        <v/>
      </c>
      <c r="S264" s="139" t="str">
        <f t="shared" si="6"/>
        <v/>
      </c>
      <c r="T264" s="140" t="str">
        <f t="shared" si="7"/>
        <v/>
      </c>
      <c r="U264" s="136"/>
      <c r="V264" s="136"/>
      <c r="W264" s="136"/>
      <c r="X264" s="136"/>
      <c r="Y264" s="145"/>
      <c r="Z264" s="145"/>
    </row>
    <row r="265">
      <c r="E265" s="136"/>
      <c r="F265" s="136"/>
      <c r="G265" s="136"/>
      <c r="H265" s="137" t="str">
        <f t="shared" si="1"/>
        <v/>
      </c>
      <c r="I265" s="136"/>
      <c r="J265" s="136"/>
      <c r="K265" s="136"/>
      <c r="L265" s="136"/>
      <c r="M265" s="136"/>
      <c r="N265" s="136"/>
      <c r="O265" s="142" t="str">
        <f t="shared" si="2"/>
        <v/>
      </c>
      <c r="P265" s="140" t="str">
        <f t="shared" si="3"/>
        <v/>
      </c>
      <c r="Q265" s="139" t="str">
        <f t="shared" si="4"/>
        <v/>
      </c>
      <c r="R265" s="139" t="str">
        <f t="shared" si="5"/>
        <v/>
      </c>
      <c r="S265" s="139" t="str">
        <f t="shared" si="6"/>
        <v/>
      </c>
      <c r="T265" s="140" t="str">
        <f t="shared" si="7"/>
        <v/>
      </c>
      <c r="U265" s="136"/>
      <c r="V265" s="136"/>
      <c r="W265" s="136"/>
      <c r="X265" s="136"/>
      <c r="Y265" s="145"/>
      <c r="Z265" s="145"/>
    </row>
    <row r="266">
      <c r="E266" s="136"/>
      <c r="F266" s="136"/>
      <c r="G266" s="136"/>
      <c r="H266" s="137" t="str">
        <f t="shared" si="1"/>
        <v/>
      </c>
      <c r="I266" s="136"/>
      <c r="J266" s="136"/>
      <c r="K266" s="136"/>
      <c r="L266" s="136"/>
      <c r="M266" s="136"/>
      <c r="N266" s="136"/>
      <c r="O266" s="142" t="str">
        <f t="shared" si="2"/>
        <v/>
      </c>
      <c r="P266" s="140" t="str">
        <f t="shared" si="3"/>
        <v/>
      </c>
      <c r="Q266" s="139" t="str">
        <f t="shared" si="4"/>
        <v/>
      </c>
      <c r="R266" s="139" t="str">
        <f t="shared" si="5"/>
        <v/>
      </c>
      <c r="S266" s="139" t="str">
        <f t="shared" si="6"/>
        <v/>
      </c>
      <c r="T266" s="140" t="str">
        <f t="shared" si="7"/>
        <v/>
      </c>
      <c r="U266" s="136"/>
      <c r="V266" s="136"/>
      <c r="W266" s="136"/>
      <c r="X266" s="136"/>
      <c r="Y266" s="145"/>
      <c r="Z266" s="145"/>
    </row>
    <row r="267">
      <c r="E267" s="136"/>
      <c r="F267" s="136"/>
      <c r="G267" s="136"/>
      <c r="H267" s="137" t="str">
        <f t="shared" si="1"/>
        <v/>
      </c>
      <c r="I267" s="136"/>
      <c r="J267" s="136"/>
      <c r="K267" s="136"/>
      <c r="L267" s="136"/>
      <c r="M267" s="136"/>
      <c r="N267" s="136"/>
      <c r="O267" s="142" t="str">
        <f t="shared" si="2"/>
        <v/>
      </c>
      <c r="P267" s="140" t="str">
        <f t="shared" si="3"/>
        <v/>
      </c>
      <c r="Q267" s="139" t="str">
        <f t="shared" si="4"/>
        <v/>
      </c>
      <c r="R267" s="139" t="str">
        <f t="shared" si="5"/>
        <v/>
      </c>
      <c r="S267" s="139" t="str">
        <f t="shared" si="6"/>
        <v/>
      </c>
      <c r="T267" s="140" t="str">
        <f t="shared" si="7"/>
        <v/>
      </c>
      <c r="U267" s="136"/>
      <c r="V267" s="136"/>
      <c r="W267" s="136"/>
      <c r="X267" s="136"/>
      <c r="Y267" s="145"/>
      <c r="Z267" s="145"/>
    </row>
    <row r="268">
      <c r="E268" s="136"/>
      <c r="F268" s="136"/>
      <c r="G268" s="136"/>
      <c r="H268" s="137" t="str">
        <f t="shared" si="1"/>
        <v/>
      </c>
      <c r="I268" s="136"/>
      <c r="J268" s="136"/>
      <c r="K268" s="136"/>
      <c r="L268" s="136"/>
      <c r="M268" s="136"/>
      <c r="N268" s="136"/>
      <c r="O268" s="142" t="str">
        <f t="shared" si="2"/>
        <v/>
      </c>
      <c r="P268" s="140" t="str">
        <f t="shared" si="3"/>
        <v/>
      </c>
      <c r="Q268" s="139" t="str">
        <f t="shared" si="4"/>
        <v/>
      </c>
      <c r="R268" s="139" t="str">
        <f t="shared" si="5"/>
        <v/>
      </c>
      <c r="S268" s="139" t="str">
        <f t="shared" si="6"/>
        <v/>
      </c>
      <c r="T268" s="140" t="str">
        <f t="shared" si="7"/>
        <v/>
      </c>
      <c r="U268" s="136"/>
      <c r="V268" s="136"/>
      <c r="W268" s="136"/>
      <c r="X268" s="136"/>
      <c r="Y268" s="145"/>
      <c r="Z268" s="145"/>
    </row>
    <row r="269">
      <c r="E269" s="136"/>
      <c r="F269" s="136"/>
      <c r="G269" s="136"/>
      <c r="H269" s="137" t="str">
        <f t="shared" si="1"/>
        <v/>
      </c>
      <c r="I269" s="136"/>
      <c r="J269" s="136"/>
      <c r="K269" s="136"/>
      <c r="L269" s="136"/>
      <c r="M269" s="136"/>
      <c r="N269" s="136"/>
      <c r="O269" s="142" t="str">
        <f t="shared" si="2"/>
        <v/>
      </c>
      <c r="P269" s="140" t="str">
        <f t="shared" si="3"/>
        <v/>
      </c>
      <c r="Q269" s="139" t="str">
        <f t="shared" si="4"/>
        <v/>
      </c>
      <c r="R269" s="139" t="str">
        <f t="shared" si="5"/>
        <v/>
      </c>
      <c r="S269" s="139" t="str">
        <f t="shared" si="6"/>
        <v/>
      </c>
      <c r="T269" s="140" t="str">
        <f t="shared" si="7"/>
        <v/>
      </c>
      <c r="U269" s="136"/>
      <c r="V269" s="136"/>
      <c r="W269" s="136"/>
      <c r="X269" s="136"/>
      <c r="Y269" s="145"/>
      <c r="Z269" s="145"/>
    </row>
    <row r="270">
      <c r="E270" s="136"/>
      <c r="F270" s="136"/>
      <c r="G270" s="136"/>
      <c r="H270" s="137" t="str">
        <f t="shared" si="1"/>
        <v/>
      </c>
      <c r="I270" s="136"/>
      <c r="J270" s="136"/>
      <c r="K270" s="136"/>
      <c r="L270" s="136"/>
      <c r="M270" s="136"/>
      <c r="N270" s="136"/>
      <c r="O270" s="142" t="str">
        <f t="shared" si="2"/>
        <v/>
      </c>
      <c r="P270" s="140" t="str">
        <f t="shared" si="3"/>
        <v/>
      </c>
      <c r="Q270" s="139" t="str">
        <f t="shared" si="4"/>
        <v/>
      </c>
      <c r="R270" s="139" t="str">
        <f t="shared" si="5"/>
        <v/>
      </c>
      <c r="S270" s="139" t="str">
        <f t="shared" si="6"/>
        <v/>
      </c>
      <c r="T270" s="140" t="str">
        <f t="shared" si="7"/>
        <v/>
      </c>
      <c r="U270" s="136"/>
      <c r="V270" s="136"/>
      <c r="W270" s="136"/>
      <c r="X270" s="136"/>
      <c r="Y270" s="145"/>
      <c r="Z270" s="145"/>
    </row>
    <row r="271">
      <c r="E271" s="136"/>
      <c r="F271" s="136"/>
      <c r="G271" s="136"/>
      <c r="H271" s="137" t="str">
        <f t="shared" si="1"/>
        <v/>
      </c>
      <c r="I271" s="136"/>
      <c r="J271" s="136"/>
      <c r="K271" s="136"/>
      <c r="L271" s="136"/>
      <c r="M271" s="136"/>
      <c r="N271" s="136"/>
      <c r="O271" s="142" t="str">
        <f t="shared" si="2"/>
        <v/>
      </c>
      <c r="P271" s="140" t="str">
        <f t="shared" si="3"/>
        <v/>
      </c>
      <c r="Q271" s="139" t="str">
        <f t="shared" si="4"/>
        <v/>
      </c>
      <c r="R271" s="139" t="str">
        <f t="shared" si="5"/>
        <v/>
      </c>
      <c r="S271" s="139" t="str">
        <f t="shared" si="6"/>
        <v/>
      </c>
      <c r="T271" s="140" t="str">
        <f t="shared" si="7"/>
        <v/>
      </c>
      <c r="U271" s="136"/>
      <c r="V271" s="136"/>
      <c r="W271" s="136"/>
      <c r="X271" s="136"/>
      <c r="Y271" s="145"/>
      <c r="Z271" s="145"/>
    </row>
    <row r="272">
      <c r="E272" s="136"/>
      <c r="F272" s="136"/>
      <c r="G272" s="136"/>
      <c r="H272" s="137" t="str">
        <f t="shared" si="1"/>
        <v/>
      </c>
      <c r="I272" s="136"/>
      <c r="J272" s="136"/>
      <c r="K272" s="136"/>
      <c r="L272" s="136"/>
      <c r="M272" s="136"/>
      <c r="N272" s="136"/>
      <c r="O272" s="142" t="str">
        <f t="shared" si="2"/>
        <v/>
      </c>
      <c r="P272" s="140" t="str">
        <f t="shared" si="3"/>
        <v/>
      </c>
      <c r="Q272" s="139" t="str">
        <f t="shared" si="4"/>
        <v/>
      </c>
      <c r="R272" s="139" t="str">
        <f t="shared" si="5"/>
        <v/>
      </c>
      <c r="S272" s="139" t="str">
        <f t="shared" si="6"/>
        <v/>
      </c>
      <c r="T272" s="140" t="str">
        <f t="shared" si="7"/>
        <v/>
      </c>
      <c r="U272" s="136"/>
      <c r="V272" s="136"/>
      <c r="W272" s="136"/>
      <c r="X272" s="136"/>
      <c r="Y272" s="145"/>
      <c r="Z272" s="145"/>
    </row>
    <row r="273">
      <c r="E273" s="136"/>
      <c r="F273" s="136"/>
      <c r="G273" s="136"/>
      <c r="H273" s="137" t="str">
        <f t="shared" si="1"/>
        <v/>
      </c>
      <c r="I273" s="136"/>
      <c r="J273" s="136"/>
      <c r="K273" s="136"/>
      <c r="L273" s="136"/>
      <c r="M273" s="136"/>
      <c r="N273" s="136"/>
      <c r="O273" s="142" t="str">
        <f t="shared" si="2"/>
        <v/>
      </c>
      <c r="P273" s="140" t="str">
        <f t="shared" si="3"/>
        <v/>
      </c>
      <c r="Q273" s="139" t="str">
        <f t="shared" si="4"/>
        <v/>
      </c>
      <c r="R273" s="139" t="str">
        <f t="shared" si="5"/>
        <v/>
      </c>
      <c r="S273" s="139" t="str">
        <f t="shared" si="6"/>
        <v/>
      </c>
      <c r="T273" s="140" t="str">
        <f t="shared" si="7"/>
        <v/>
      </c>
      <c r="U273" s="136"/>
      <c r="V273" s="136"/>
      <c r="W273" s="136"/>
      <c r="X273" s="136"/>
      <c r="Y273" s="145"/>
      <c r="Z273" s="145"/>
    </row>
    <row r="274">
      <c r="E274" s="136"/>
      <c r="F274" s="136"/>
      <c r="G274" s="136"/>
      <c r="H274" s="137" t="str">
        <f t="shared" si="1"/>
        <v/>
      </c>
      <c r="I274" s="136"/>
      <c r="J274" s="136"/>
      <c r="K274" s="136"/>
      <c r="L274" s="136"/>
      <c r="M274" s="136"/>
      <c r="N274" s="136"/>
      <c r="O274" s="142" t="str">
        <f t="shared" si="2"/>
        <v/>
      </c>
      <c r="P274" s="140" t="str">
        <f t="shared" si="3"/>
        <v/>
      </c>
      <c r="Q274" s="139" t="str">
        <f t="shared" si="4"/>
        <v/>
      </c>
      <c r="R274" s="139" t="str">
        <f t="shared" si="5"/>
        <v/>
      </c>
      <c r="S274" s="139" t="str">
        <f t="shared" si="6"/>
        <v/>
      </c>
      <c r="T274" s="140" t="str">
        <f t="shared" si="7"/>
        <v/>
      </c>
      <c r="U274" s="136"/>
      <c r="V274" s="136"/>
      <c r="W274" s="136"/>
      <c r="X274" s="136"/>
      <c r="Y274" s="145"/>
      <c r="Z274" s="145"/>
    </row>
    <row r="275">
      <c r="E275" s="136"/>
      <c r="F275" s="136"/>
      <c r="G275" s="136"/>
      <c r="H275" s="137" t="str">
        <f t="shared" si="1"/>
        <v/>
      </c>
      <c r="I275" s="136"/>
      <c r="J275" s="136"/>
      <c r="K275" s="136"/>
      <c r="L275" s="136"/>
      <c r="M275" s="136"/>
      <c r="N275" s="136"/>
      <c r="O275" s="142" t="str">
        <f t="shared" si="2"/>
        <v/>
      </c>
      <c r="P275" s="140" t="str">
        <f t="shared" si="3"/>
        <v/>
      </c>
      <c r="Q275" s="139" t="str">
        <f t="shared" si="4"/>
        <v/>
      </c>
      <c r="R275" s="139" t="str">
        <f t="shared" si="5"/>
        <v/>
      </c>
      <c r="S275" s="139" t="str">
        <f t="shared" si="6"/>
        <v/>
      </c>
      <c r="T275" s="140" t="str">
        <f t="shared" si="7"/>
        <v/>
      </c>
      <c r="U275" s="136"/>
      <c r="V275" s="136"/>
      <c r="W275" s="136"/>
      <c r="X275" s="136"/>
      <c r="Y275" s="145"/>
      <c r="Z275" s="145"/>
    </row>
    <row r="276">
      <c r="E276" s="136"/>
      <c r="F276" s="136"/>
      <c r="G276" s="136"/>
      <c r="H276" s="137" t="str">
        <f t="shared" si="1"/>
        <v/>
      </c>
      <c r="I276" s="136"/>
      <c r="J276" s="136"/>
      <c r="K276" s="136"/>
      <c r="L276" s="136"/>
      <c r="M276" s="136"/>
      <c r="N276" s="136"/>
      <c r="O276" s="142" t="str">
        <f t="shared" si="2"/>
        <v/>
      </c>
      <c r="P276" s="140" t="str">
        <f t="shared" si="3"/>
        <v/>
      </c>
      <c r="Q276" s="139" t="str">
        <f t="shared" si="4"/>
        <v/>
      </c>
      <c r="R276" s="139" t="str">
        <f t="shared" si="5"/>
        <v/>
      </c>
      <c r="S276" s="139" t="str">
        <f t="shared" si="6"/>
        <v/>
      </c>
      <c r="T276" s="140" t="str">
        <f t="shared" si="7"/>
        <v/>
      </c>
      <c r="U276" s="136"/>
      <c r="V276" s="136"/>
      <c r="W276" s="136"/>
      <c r="X276" s="136"/>
      <c r="Y276" s="145"/>
      <c r="Z276" s="145"/>
    </row>
    <row r="277">
      <c r="E277" s="136"/>
      <c r="F277" s="136"/>
      <c r="G277" s="136"/>
      <c r="H277" s="137" t="str">
        <f t="shared" si="1"/>
        <v/>
      </c>
      <c r="I277" s="136"/>
      <c r="J277" s="136"/>
      <c r="K277" s="136"/>
      <c r="L277" s="136"/>
      <c r="M277" s="136"/>
      <c r="N277" s="136"/>
      <c r="O277" s="142" t="str">
        <f t="shared" si="2"/>
        <v/>
      </c>
      <c r="P277" s="140" t="str">
        <f t="shared" si="3"/>
        <v/>
      </c>
      <c r="Q277" s="139" t="str">
        <f t="shared" si="4"/>
        <v/>
      </c>
      <c r="R277" s="139" t="str">
        <f t="shared" si="5"/>
        <v/>
      </c>
      <c r="S277" s="139" t="str">
        <f t="shared" si="6"/>
        <v/>
      </c>
      <c r="T277" s="140" t="str">
        <f t="shared" si="7"/>
        <v/>
      </c>
      <c r="U277" s="136"/>
      <c r="V277" s="136"/>
      <c r="W277" s="136"/>
      <c r="X277" s="136"/>
      <c r="Y277" s="145"/>
      <c r="Z277" s="145"/>
    </row>
    <row r="278">
      <c r="E278" s="136"/>
      <c r="F278" s="136"/>
      <c r="G278" s="136"/>
      <c r="H278" s="137" t="str">
        <f t="shared" si="1"/>
        <v/>
      </c>
      <c r="I278" s="136"/>
      <c r="J278" s="136"/>
      <c r="K278" s="136"/>
      <c r="L278" s="136"/>
      <c r="M278" s="136"/>
      <c r="N278" s="136"/>
      <c r="O278" s="142" t="str">
        <f t="shared" si="2"/>
        <v/>
      </c>
      <c r="P278" s="140" t="str">
        <f t="shared" si="3"/>
        <v/>
      </c>
      <c r="Q278" s="139" t="str">
        <f t="shared" si="4"/>
        <v/>
      </c>
      <c r="R278" s="139" t="str">
        <f t="shared" si="5"/>
        <v/>
      </c>
      <c r="S278" s="139" t="str">
        <f t="shared" si="6"/>
        <v/>
      </c>
      <c r="T278" s="140" t="str">
        <f t="shared" si="7"/>
        <v/>
      </c>
      <c r="U278" s="136"/>
      <c r="V278" s="136"/>
      <c r="W278" s="136"/>
      <c r="X278" s="136"/>
      <c r="Y278" s="145"/>
      <c r="Z278" s="145"/>
    </row>
    <row r="279">
      <c r="E279" s="136"/>
      <c r="F279" s="136"/>
      <c r="G279" s="136"/>
      <c r="H279" s="137" t="str">
        <f t="shared" si="1"/>
        <v/>
      </c>
      <c r="I279" s="136"/>
      <c r="J279" s="136"/>
      <c r="K279" s="136"/>
      <c r="L279" s="136"/>
      <c r="M279" s="136"/>
      <c r="N279" s="136"/>
      <c r="O279" s="142" t="str">
        <f t="shared" si="2"/>
        <v/>
      </c>
      <c r="P279" s="140" t="str">
        <f t="shared" si="3"/>
        <v/>
      </c>
      <c r="Q279" s="139" t="str">
        <f t="shared" si="4"/>
        <v/>
      </c>
      <c r="R279" s="139" t="str">
        <f t="shared" si="5"/>
        <v/>
      </c>
      <c r="S279" s="139" t="str">
        <f t="shared" si="6"/>
        <v/>
      </c>
      <c r="T279" s="140" t="str">
        <f t="shared" si="7"/>
        <v/>
      </c>
      <c r="U279" s="136"/>
      <c r="V279" s="136"/>
      <c r="W279" s="136"/>
      <c r="X279" s="136"/>
      <c r="Y279" s="145"/>
      <c r="Z279" s="145"/>
    </row>
    <row r="280">
      <c r="E280" s="136"/>
      <c r="F280" s="136"/>
      <c r="G280" s="136"/>
      <c r="H280" s="137" t="str">
        <f t="shared" si="1"/>
        <v/>
      </c>
      <c r="I280" s="136"/>
      <c r="J280" s="136"/>
      <c r="K280" s="136"/>
      <c r="L280" s="136"/>
      <c r="M280" s="136"/>
      <c r="N280" s="136"/>
      <c r="O280" s="142" t="str">
        <f t="shared" si="2"/>
        <v/>
      </c>
      <c r="P280" s="140" t="str">
        <f t="shared" si="3"/>
        <v/>
      </c>
      <c r="Q280" s="139" t="str">
        <f t="shared" si="4"/>
        <v/>
      </c>
      <c r="R280" s="139" t="str">
        <f t="shared" si="5"/>
        <v/>
      </c>
      <c r="S280" s="139" t="str">
        <f t="shared" si="6"/>
        <v/>
      </c>
      <c r="T280" s="140" t="str">
        <f t="shared" si="7"/>
        <v/>
      </c>
      <c r="U280" s="136"/>
      <c r="V280" s="136"/>
      <c r="W280" s="136"/>
      <c r="X280" s="136"/>
      <c r="Y280" s="145"/>
      <c r="Z280" s="145"/>
    </row>
    <row r="281">
      <c r="E281" s="136"/>
      <c r="F281" s="136"/>
      <c r="G281" s="136"/>
      <c r="H281" s="137" t="str">
        <f t="shared" si="1"/>
        <v/>
      </c>
      <c r="I281" s="136"/>
      <c r="J281" s="136"/>
      <c r="K281" s="136"/>
      <c r="L281" s="136"/>
      <c r="M281" s="136"/>
      <c r="N281" s="136"/>
      <c r="O281" s="142" t="str">
        <f t="shared" si="2"/>
        <v/>
      </c>
      <c r="P281" s="140" t="str">
        <f t="shared" si="3"/>
        <v/>
      </c>
      <c r="Q281" s="139" t="str">
        <f t="shared" si="4"/>
        <v/>
      </c>
      <c r="R281" s="139" t="str">
        <f t="shared" si="5"/>
        <v/>
      </c>
      <c r="S281" s="139" t="str">
        <f t="shared" si="6"/>
        <v/>
      </c>
      <c r="T281" s="140" t="str">
        <f t="shared" si="7"/>
        <v/>
      </c>
      <c r="U281" s="136"/>
      <c r="V281" s="136"/>
      <c r="W281" s="136"/>
      <c r="X281" s="136"/>
      <c r="Y281" s="145"/>
      <c r="Z281" s="145"/>
    </row>
    <row r="282">
      <c r="E282" s="136"/>
      <c r="F282" s="136"/>
      <c r="G282" s="136"/>
      <c r="H282" s="137" t="str">
        <f t="shared" si="1"/>
        <v/>
      </c>
      <c r="I282" s="136"/>
      <c r="J282" s="136"/>
      <c r="K282" s="136"/>
      <c r="L282" s="136"/>
      <c r="M282" s="136"/>
      <c r="N282" s="136"/>
      <c r="O282" s="142" t="str">
        <f t="shared" si="2"/>
        <v/>
      </c>
      <c r="P282" s="140" t="str">
        <f t="shared" si="3"/>
        <v/>
      </c>
      <c r="Q282" s="139" t="str">
        <f t="shared" si="4"/>
        <v/>
      </c>
      <c r="R282" s="139" t="str">
        <f t="shared" si="5"/>
        <v/>
      </c>
      <c r="S282" s="139" t="str">
        <f t="shared" si="6"/>
        <v/>
      </c>
      <c r="T282" s="140" t="str">
        <f t="shared" si="7"/>
        <v/>
      </c>
      <c r="U282" s="136"/>
      <c r="V282" s="136"/>
      <c r="W282" s="136"/>
      <c r="X282" s="136"/>
      <c r="Y282" s="145"/>
      <c r="Z282" s="145"/>
    </row>
    <row r="283">
      <c r="E283" s="136"/>
      <c r="F283" s="136"/>
      <c r="G283" s="136"/>
      <c r="H283" s="137" t="str">
        <f t="shared" si="1"/>
        <v/>
      </c>
      <c r="I283" s="136"/>
      <c r="J283" s="136"/>
      <c r="K283" s="136"/>
      <c r="L283" s="136"/>
      <c r="M283" s="136"/>
      <c r="N283" s="136"/>
      <c r="O283" s="142" t="str">
        <f t="shared" si="2"/>
        <v/>
      </c>
      <c r="P283" s="140" t="str">
        <f t="shared" si="3"/>
        <v/>
      </c>
      <c r="Q283" s="139" t="str">
        <f t="shared" si="4"/>
        <v/>
      </c>
      <c r="R283" s="139" t="str">
        <f t="shared" si="5"/>
        <v/>
      </c>
      <c r="S283" s="139" t="str">
        <f t="shared" si="6"/>
        <v/>
      </c>
      <c r="T283" s="140" t="str">
        <f t="shared" si="7"/>
        <v/>
      </c>
      <c r="U283" s="136"/>
      <c r="V283" s="136"/>
      <c r="W283" s="136"/>
      <c r="X283" s="136"/>
      <c r="Y283" s="145"/>
      <c r="Z283" s="145"/>
    </row>
    <row r="284">
      <c r="E284" s="136"/>
      <c r="F284" s="136"/>
      <c r="G284" s="136"/>
      <c r="H284" s="137" t="str">
        <f t="shared" si="1"/>
        <v/>
      </c>
      <c r="I284" s="136"/>
      <c r="J284" s="136"/>
      <c r="K284" s="136"/>
      <c r="L284" s="136"/>
      <c r="M284" s="136"/>
      <c r="N284" s="136"/>
      <c r="O284" s="142" t="str">
        <f t="shared" si="2"/>
        <v/>
      </c>
      <c r="P284" s="140" t="str">
        <f t="shared" si="3"/>
        <v/>
      </c>
      <c r="Q284" s="139" t="str">
        <f t="shared" si="4"/>
        <v/>
      </c>
      <c r="R284" s="139" t="str">
        <f t="shared" si="5"/>
        <v/>
      </c>
      <c r="S284" s="139" t="str">
        <f t="shared" si="6"/>
        <v/>
      </c>
      <c r="T284" s="140" t="str">
        <f t="shared" si="7"/>
        <v/>
      </c>
      <c r="U284" s="136"/>
      <c r="V284" s="136"/>
      <c r="W284" s="136"/>
      <c r="X284" s="136"/>
      <c r="Y284" s="145"/>
      <c r="Z284" s="145"/>
    </row>
    <row r="285">
      <c r="E285" s="136"/>
      <c r="F285" s="136"/>
      <c r="G285" s="136"/>
      <c r="H285" s="137" t="str">
        <f t="shared" si="1"/>
        <v/>
      </c>
      <c r="I285" s="136"/>
      <c r="J285" s="136"/>
      <c r="K285" s="136"/>
      <c r="L285" s="136"/>
      <c r="M285" s="136"/>
      <c r="N285" s="136"/>
      <c r="O285" s="142" t="str">
        <f t="shared" si="2"/>
        <v/>
      </c>
      <c r="P285" s="140" t="str">
        <f t="shared" si="3"/>
        <v/>
      </c>
      <c r="Q285" s="139" t="str">
        <f t="shared" si="4"/>
        <v/>
      </c>
      <c r="R285" s="139" t="str">
        <f t="shared" si="5"/>
        <v/>
      </c>
      <c r="S285" s="139" t="str">
        <f t="shared" si="6"/>
        <v/>
      </c>
      <c r="T285" s="140" t="str">
        <f t="shared" si="7"/>
        <v/>
      </c>
      <c r="U285" s="136"/>
      <c r="V285" s="136"/>
      <c r="W285" s="136"/>
      <c r="X285" s="136"/>
      <c r="Y285" s="145"/>
      <c r="Z285" s="145"/>
    </row>
    <row r="286">
      <c r="E286" s="136"/>
      <c r="F286" s="136"/>
      <c r="G286" s="136"/>
      <c r="H286" s="137" t="str">
        <f t="shared" si="1"/>
        <v/>
      </c>
      <c r="I286" s="136"/>
      <c r="J286" s="136"/>
      <c r="K286" s="136"/>
      <c r="L286" s="136"/>
      <c r="M286" s="136"/>
      <c r="N286" s="136"/>
      <c r="O286" s="142" t="str">
        <f t="shared" si="2"/>
        <v/>
      </c>
      <c r="P286" s="140" t="str">
        <f t="shared" si="3"/>
        <v/>
      </c>
      <c r="Q286" s="139" t="str">
        <f t="shared" si="4"/>
        <v/>
      </c>
      <c r="R286" s="139" t="str">
        <f t="shared" si="5"/>
        <v/>
      </c>
      <c r="S286" s="139" t="str">
        <f t="shared" si="6"/>
        <v/>
      </c>
      <c r="T286" s="140" t="str">
        <f t="shared" si="7"/>
        <v/>
      </c>
      <c r="U286" s="136"/>
      <c r="V286" s="136"/>
      <c r="W286" s="136"/>
      <c r="X286" s="136"/>
      <c r="Y286" s="145"/>
      <c r="Z286" s="145"/>
    </row>
    <row r="287">
      <c r="E287" s="136"/>
      <c r="F287" s="136"/>
      <c r="G287" s="136"/>
      <c r="H287" s="137" t="str">
        <f t="shared" si="1"/>
        <v/>
      </c>
      <c r="I287" s="136"/>
      <c r="J287" s="136"/>
      <c r="K287" s="136"/>
      <c r="L287" s="136"/>
      <c r="M287" s="136"/>
      <c r="N287" s="136"/>
      <c r="O287" s="142" t="str">
        <f t="shared" si="2"/>
        <v/>
      </c>
      <c r="P287" s="140" t="str">
        <f t="shared" si="3"/>
        <v/>
      </c>
      <c r="Q287" s="139" t="str">
        <f t="shared" si="4"/>
        <v/>
      </c>
      <c r="R287" s="139" t="str">
        <f t="shared" si="5"/>
        <v/>
      </c>
      <c r="S287" s="139" t="str">
        <f t="shared" si="6"/>
        <v/>
      </c>
      <c r="T287" s="140" t="str">
        <f t="shared" si="7"/>
        <v/>
      </c>
      <c r="U287" s="136"/>
      <c r="V287" s="136"/>
      <c r="W287" s="136"/>
      <c r="X287" s="136"/>
      <c r="Y287" s="145"/>
      <c r="Z287" s="145"/>
    </row>
    <row r="288">
      <c r="E288" s="136"/>
      <c r="F288" s="136"/>
      <c r="G288" s="136"/>
      <c r="H288" s="137" t="str">
        <f t="shared" si="1"/>
        <v/>
      </c>
      <c r="I288" s="136"/>
      <c r="J288" s="136"/>
      <c r="K288" s="136"/>
      <c r="L288" s="136"/>
      <c r="M288" s="136"/>
      <c r="N288" s="136"/>
      <c r="O288" s="142" t="str">
        <f t="shared" si="2"/>
        <v/>
      </c>
      <c r="P288" s="140" t="str">
        <f t="shared" si="3"/>
        <v/>
      </c>
      <c r="Q288" s="139" t="str">
        <f t="shared" si="4"/>
        <v/>
      </c>
      <c r="R288" s="139" t="str">
        <f t="shared" si="5"/>
        <v/>
      </c>
      <c r="S288" s="139" t="str">
        <f t="shared" si="6"/>
        <v/>
      </c>
      <c r="T288" s="140" t="str">
        <f t="shared" si="7"/>
        <v/>
      </c>
      <c r="U288" s="136"/>
      <c r="V288" s="136"/>
      <c r="W288" s="136"/>
      <c r="X288" s="136"/>
      <c r="Y288" s="145"/>
      <c r="Z288" s="145"/>
    </row>
    <row r="289">
      <c r="E289" s="136"/>
      <c r="F289" s="136"/>
      <c r="G289" s="136"/>
      <c r="H289" s="137" t="str">
        <f t="shared" si="1"/>
        <v/>
      </c>
      <c r="I289" s="136"/>
      <c r="J289" s="136"/>
      <c r="K289" s="136"/>
      <c r="L289" s="136"/>
      <c r="M289" s="136"/>
      <c r="N289" s="136"/>
      <c r="O289" s="142" t="str">
        <f t="shared" si="2"/>
        <v/>
      </c>
      <c r="P289" s="140" t="str">
        <f t="shared" si="3"/>
        <v/>
      </c>
      <c r="Q289" s="139" t="str">
        <f t="shared" si="4"/>
        <v/>
      </c>
      <c r="R289" s="139" t="str">
        <f t="shared" si="5"/>
        <v/>
      </c>
      <c r="S289" s="139" t="str">
        <f t="shared" si="6"/>
        <v/>
      </c>
      <c r="T289" s="140" t="str">
        <f t="shared" si="7"/>
        <v/>
      </c>
      <c r="U289" s="136"/>
      <c r="V289" s="136"/>
      <c r="W289" s="136"/>
      <c r="X289" s="136"/>
      <c r="Y289" s="145"/>
      <c r="Z289" s="145"/>
    </row>
    <row r="290">
      <c r="E290" s="136"/>
      <c r="F290" s="136"/>
      <c r="G290" s="136"/>
      <c r="H290" s="137" t="str">
        <f t="shared" si="1"/>
        <v/>
      </c>
      <c r="I290" s="136"/>
      <c r="J290" s="136"/>
      <c r="K290" s="136"/>
      <c r="L290" s="136"/>
      <c r="M290" s="136"/>
      <c r="N290" s="136"/>
      <c r="O290" s="142" t="str">
        <f t="shared" si="2"/>
        <v/>
      </c>
      <c r="P290" s="140" t="str">
        <f t="shared" si="3"/>
        <v/>
      </c>
      <c r="Q290" s="139" t="str">
        <f t="shared" si="4"/>
        <v/>
      </c>
      <c r="R290" s="139" t="str">
        <f t="shared" si="5"/>
        <v/>
      </c>
      <c r="S290" s="139" t="str">
        <f t="shared" si="6"/>
        <v/>
      </c>
      <c r="T290" s="140" t="str">
        <f t="shared" si="7"/>
        <v/>
      </c>
      <c r="U290" s="136"/>
      <c r="V290" s="136"/>
      <c r="W290" s="136"/>
      <c r="X290" s="136"/>
      <c r="Y290" s="145"/>
      <c r="Z290" s="145"/>
    </row>
    <row r="291">
      <c r="E291" s="136"/>
      <c r="F291" s="136"/>
      <c r="G291" s="136"/>
      <c r="H291" s="137" t="str">
        <f t="shared" si="1"/>
        <v/>
      </c>
      <c r="I291" s="136"/>
      <c r="J291" s="136"/>
      <c r="K291" s="136"/>
      <c r="L291" s="136"/>
      <c r="M291" s="136"/>
      <c r="N291" s="136"/>
      <c r="O291" s="142" t="str">
        <f t="shared" si="2"/>
        <v/>
      </c>
      <c r="P291" s="140" t="str">
        <f t="shared" si="3"/>
        <v/>
      </c>
      <c r="Q291" s="139" t="str">
        <f t="shared" si="4"/>
        <v/>
      </c>
      <c r="R291" s="139" t="str">
        <f t="shared" si="5"/>
        <v/>
      </c>
      <c r="S291" s="139" t="str">
        <f t="shared" si="6"/>
        <v/>
      </c>
      <c r="T291" s="140" t="str">
        <f t="shared" si="7"/>
        <v/>
      </c>
      <c r="U291" s="136"/>
      <c r="V291" s="136"/>
      <c r="W291" s="136"/>
      <c r="X291" s="136"/>
      <c r="Y291" s="145"/>
      <c r="Z291" s="145"/>
    </row>
    <row r="292">
      <c r="E292" s="136"/>
      <c r="F292" s="136"/>
      <c r="G292" s="136"/>
      <c r="H292" s="137" t="str">
        <f t="shared" si="1"/>
        <v/>
      </c>
      <c r="I292" s="136"/>
      <c r="J292" s="136"/>
      <c r="K292" s="136"/>
      <c r="L292" s="136"/>
      <c r="M292" s="136"/>
      <c r="N292" s="136"/>
      <c r="O292" s="142" t="str">
        <f t="shared" si="2"/>
        <v/>
      </c>
      <c r="P292" s="140" t="str">
        <f t="shared" si="3"/>
        <v/>
      </c>
      <c r="Q292" s="139" t="str">
        <f t="shared" si="4"/>
        <v/>
      </c>
      <c r="R292" s="139" t="str">
        <f t="shared" si="5"/>
        <v/>
      </c>
      <c r="S292" s="139" t="str">
        <f t="shared" si="6"/>
        <v/>
      </c>
      <c r="T292" s="140" t="str">
        <f t="shared" si="7"/>
        <v/>
      </c>
      <c r="U292" s="136"/>
      <c r="V292" s="136"/>
      <c r="W292" s="136"/>
      <c r="X292" s="136"/>
      <c r="Y292" s="145"/>
      <c r="Z292" s="145"/>
    </row>
    <row r="293">
      <c r="E293" s="136"/>
      <c r="F293" s="136"/>
      <c r="G293" s="136"/>
      <c r="H293" s="137" t="str">
        <f t="shared" si="1"/>
        <v/>
      </c>
      <c r="I293" s="136"/>
      <c r="J293" s="136"/>
      <c r="K293" s="136"/>
      <c r="L293" s="136"/>
      <c r="M293" s="136"/>
      <c r="N293" s="136"/>
      <c r="O293" s="142" t="str">
        <f t="shared" si="2"/>
        <v/>
      </c>
      <c r="P293" s="140" t="str">
        <f t="shared" si="3"/>
        <v/>
      </c>
      <c r="Q293" s="139" t="str">
        <f t="shared" si="4"/>
        <v/>
      </c>
      <c r="R293" s="139" t="str">
        <f t="shared" si="5"/>
        <v/>
      </c>
      <c r="S293" s="139" t="str">
        <f t="shared" si="6"/>
        <v/>
      </c>
      <c r="T293" s="140" t="str">
        <f t="shared" si="7"/>
        <v/>
      </c>
      <c r="U293" s="136"/>
      <c r="V293" s="136"/>
      <c r="W293" s="136"/>
      <c r="X293" s="136"/>
      <c r="Y293" s="145"/>
      <c r="Z293" s="145"/>
    </row>
    <row r="294">
      <c r="E294" s="136"/>
      <c r="F294" s="136"/>
      <c r="G294" s="136"/>
      <c r="H294" s="137" t="str">
        <f t="shared" si="1"/>
        <v/>
      </c>
      <c r="I294" s="136"/>
      <c r="J294" s="136"/>
      <c r="K294" s="136"/>
      <c r="L294" s="136"/>
      <c r="M294" s="136"/>
      <c r="N294" s="136"/>
      <c r="O294" s="142" t="str">
        <f t="shared" si="2"/>
        <v/>
      </c>
      <c r="P294" s="140" t="str">
        <f t="shared" si="3"/>
        <v/>
      </c>
      <c r="Q294" s="139" t="str">
        <f t="shared" si="4"/>
        <v/>
      </c>
      <c r="R294" s="139" t="str">
        <f t="shared" si="5"/>
        <v/>
      </c>
      <c r="S294" s="139" t="str">
        <f t="shared" si="6"/>
        <v/>
      </c>
      <c r="T294" s="140" t="str">
        <f t="shared" si="7"/>
        <v/>
      </c>
      <c r="U294" s="136"/>
      <c r="V294" s="136"/>
      <c r="W294" s="136"/>
      <c r="X294" s="136"/>
      <c r="Y294" s="145"/>
      <c r="Z294" s="145"/>
    </row>
    <row r="295">
      <c r="E295" s="136"/>
      <c r="F295" s="136"/>
      <c r="G295" s="136"/>
      <c r="H295" s="137" t="str">
        <f t="shared" si="1"/>
        <v/>
      </c>
      <c r="I295" s="136"/>
      <c r="J295" s="136"/>
      <c r="K295" s="136"/>
      <c r="L295" s="136"/>
      <c r="M295" s="136"/>
      <c r="N295" s="136"/>
      <c r="O295" s="142" t="str">
        <f t="shared" si="2"/>
        <v/>
      </c>
      <c r="P295" s="140" t="str">
        <f t="shared" si="3"/>
        <v/>
      </c>
      <c r="Q295" s="139" t="str">
        <f t="shared" si="4"/>
        <v/>
      </c>
      <c r="R295" s="139" t="str">
        <f t="shared" si="5"/>
        <v/>
      </c>
      <c r="S295" s="139" t="str">
        <f t="shared" si="6"/>
        <v/>
      </c>
      <c r="T295" s="140" t="str">
        <f t="shared" si="7"/>
        <v/>
      </c>
      <c r="U295" s="136"/>
      <c r="V295" s="136"/>
      <c r="W295" s="136"/>
      <c r="X295" s="136"/>
      <c r="Y295" s="145"/>
      <c r="Z295" s="145"/>
    </row>
    <row r="296">
      <c r="E296" s="136"/>
      <c r="F296" s="136"/>
      <c r="G296" s="136"/>
      <c r="H296" s="137" t="str">
        <f t="shared" si="1"/>
        <v/>
      </c>
      <c r="I296" s="136"/>
      <c r="J296" s="136"/>
      <c r="K296" s="136"/>
      <c r="L296" s="136"/>
      <c r="M296" s="136"/>
      <c r="N296" s="136"/>
      <c r="O296" s="142" t="str">
        <f t="shared" si="2"/>
        <v/>
      </c>
      <c r="P296" s="140" t="str">
        <f t="shared" si="3"/>
        <v/>
      </c>
      <c r="Q296" s="139" t="str">
        <f t="shared" si="4"/>
        <v/>
      </c>
      <c r="R296" s="139" t="str">
        <f t="shared" si="5"/>
        <v/>
      </c>
      <c r="S296" s="139" t="str">
        <f t="shared" si="6"/>
        <v/>
      </c>
      <c r="T296" s="140" t="str">
        <f t="shared" si="7"/>
        <v/>
      </c>
      <c r="U296" s="136"/>
      <c r="V296" s="136"/>
      <c r="W296" s="136"/>
      <c r="X296" s="136"/>
      <c r="Y296" s="145"/>
      <c r="Z296" s="145"/>
    </row>
    <row r="297">
      <c r="E297" s="136"/>
      <c r="F297" s="136"/>
      <c r="G297" s="136"/>
      <c r="H297" s="137" t="str">
        <f t="shared" si="1"/>
        <v/>
      </c>
      <c r="I297" s="136"/>
      <c r="J297" s="136"/>
      <c r="K297" s="136"/>
      <c r="L297" s="136"/>
      <c r="M297" s="136"/>
      <c r="N297" s="136"/>
      <c r="O297" s="142" t="str">
        <f t="shared" si="2"/>
        <v/>
      </c>
      <c r="P297" s="140" t="str">
        <f t="shared" si="3"/>
        <v/>
      </c>
      <c r="Q297" s="139" t="str">
        <f t="shared" si="4"/>
        <v/>
      </c>
      <c r="R297" s="139" t="str">
        <f t="shared" si="5"/>
        <v/>
      </c>
      <c r="S297" s="139" t="str">
        <f t="shared" si="6"/>
        <v/>
      </c>
      <c r="T297" s="140" t="str">
        <f t="shared" si="7"/>
        <v/>
      </c>
      <c r="U297" s="136"/>
      <c r="V297" s="136"/>
      <c r="W297" s="136"/>
      <c r="X297" s="136"/>
      <c r="Y297" s="145"/>
      <c r="Z297" s="145"/>
    </row>
    <row r="298">
      <c r="E298" s="136"/>
      <c r="F298" s="136"/>
      <c r="G298" s="136"/>
      <c r="H298" s="137" t="str">
        <f t="shared" si="1"/>
        <v/>
      </c>
      <c r="I298" s="136"/>
      <c r="J298" s="136"/>
      <c r="K298" s="136"/>
      <c r="L298" s="136"/>
      <c r="M298" s="136"/>
      <c r="N298" s="136"/>
      <c r="O298" s="142" t="str">
        <f t="shared" si="2"/>
        <v/>
      </c>
      <c r="P298" s="140" t="str">
        <f t="shared" si="3"/>
        <v/>
      </c>
      <c r="Q298" s="139" t="str">
        <f t="shared" si="4"/>
        <v/>
      </c>
      <c r="R298" s="139" t="str">
        <f t="shared" si="5"/>
        <v/>
      </c>
      <c r="S298" s="139" t="str">
        <f t="shared" si="6"/>
        <v/>
      </c>
      <c r="T298" s="140" t="str">
        <f t="shared" si="7"/>
        <v/>
      </c>
      <c r="U298" s="136"/>
      <c r="V298" s="136"/>
      <c r="W298" s="136"/>
      <c r="X298" s="136"/>
      <c r="Y298" s="145"/>
      <c r="Z298" s="145"/>
    </row>
    <row r="299">
      <c r="E299" s="136"/>
      <c r="F299" s="136"/>
      <c r="G299" s="136"/>
      <c r="H299" s="137" t="str">
        <f t="shared" si="1"/>
        <v/>
      </c>
      <c r="I299" s="136"/>
      <c r="J299" s="136"/>
      <c r="K299" s="136"/>
      <c r="L299" s="136"/>
      <c r="M299" s="136"/>
      <c r="N299" s="136"/>
      <c r="O299" s="142" t="str">
        <f t="shared" si="2"/>
        <v/>
      </c>
      <c r="P299" s="140" t="str">
        <f t="shared" si="3"/>
        <v/>
      </c>
      <c r="Q299" s="139" t="str">
        <f t="shared" si="4"/>
        <v/>
      </c>
      <c r="R299" s="139" t="str">
        <f t="shared" si="5"/>
        <v/>
      </c>
      <c r="S299" s="139" t="str">
        <f t="shared" si="6"/>
        <v/>
      </c>
      <c r="T299" s="140" t="str">
        <f t="shared" si="7"/>
        <v/>
      </c>
      <c r="U299" s="136"/>
      <c r="V299" s="136"/>
      <c r="W299" s="136"/>
      <c r="X299" s="136"/>
      <c r="Y299" s="145"/>
      <c r="Z299" s="145"/>
    </row>
    <row r="300">
      <c r="E300" s="136"/>
      <c r="F300" s="136"/>
      <c r="G300" s="136"/>
      <c r="H300" s="137" t="str">
        <f t="shared" si="1"/>
        <v/>
      </c>
      <c r="I300" s="136"/>
      <c r="J300" s="136"/>
      <c r="K300" s="136"/>
      <c r="L300" s="136"/>
      <c r="M300" s="136"/>
      <c r="N300" s="136"/>
      <c r="O300" s="142" t="str">
        <f t="shared" si="2"/>
        <v/>
      </c>
      <c r="P300" s="140" t="str">
        <f t="shared" si="3"/>
        <v/>
      </c>
      <c r="Q300" s="139" t="str">
        <f t="shared" si="4"/>
        <v/>
      </c>
      <c r="R300" s="139" t="str">
        <f t="shared" si="5"/>
        <v/>
      </c>
      <c r="S300" s="139" t="str">
        <f t="shared" si="6"/>
        <v/>
      </c>
      <c r="T300" s="140" t="str">
        <f t="shared" si="7"/>
        <v/>
      </c>
      <c r="U300" s="136"/>
      <c r="V300" s="136"/>
      <c r="W300" s="136"/>
      <c r="X300" s="136"/>
      <c r="Y300" s="145"/>
      <c r="Z300" s="145"/>
    </row>
    <row r="301">
      <c r="E301" s="136"/>
      <c r="F301" s="136"/>
      <c r="G301" s="136"/>
      <c r="H301" s="137" t="str">
        <f t="shared" si="1"/>
        <v/>
      </c>
      <c r="I301" s="136"/>
      <c r="J301" s="136"/>
      <c r="K301" s="136"/>
      <c r="L301" s="136"/>
      <c r="M301" s="136"/>
      <c r="N301" s="136"/>
      <c r="O301" s="142" t="str">
        <f t="shared" si="2"/>
        <v/>
      </c>
      <c r="P301" s="140" t="str">
        <f t="shared" si="3"/>
        <v/>
      </c>
      <c r="Q301" s="139" t="str">
        <f t="shared" si="4"/>
        <v/>
      </c>
      <c r="R301" s="139" t="str">
        <f t="shared" si="5"/>
        <v/>
      </c>
      <c r="S301" s="139" t="str">
        <f t="shared" si="6"/>
        <v/>
      </c>
      <c r="T301" s="140" t="str">
        <f t="shared" si="7"/>
        <v/>
      </c>
      <c r="U301" s="136"/>
      <c r="V301" s="136"/>
      <c r="W301" s="136"/>
      <c r="X301" s="136"/>
      <c r="Y301" s="145"/>
      <c r="Z301" s="145"/>
    </row>
    <row r="302">
      <c r="E302" s="136"/>
      <c r="F302" s="136"/>
      <c r="G302" s="136"/>
      <c r="H302" s="137" t="str">
        <f t="shared" si="1"/>
        <v/>
      </c>
      <c r="I302" s="136"/>
      <c r="J302" s="136"/>
      <c r="K302" s="136"/>
      <c r="L302" s="136"/>
      <c r="M302" s="136"/>
      <c r="N302" s="136"/>
      <c r="O302" s="142" t="str">
        <f t="shared" si="2"/>
        <v/>
      </c>
      <c r="P302" s="140" t="str">
        <f t="shared" si="3"/>
        <v/>
      </c>
      <c r="Q302" s="139" t="str">
        <f t="shared" si="4"/>
        <v/>
      </c>
      <c r="R302" s="139" t="str">
        <f t="shared" si="5"/>
        <v/>
      </c>
      <c r="S302" s="139" t="str">
        <f t="shared" si="6"/>
        <v/>
      </c>
      <c r="T302" s="140" t="str">
        <f t="shared" si="7"/>
        <v/>
      </c>
      <c r="U302" s="136"/>
      <c r="V302" s="136"/>
      <c r="W302" s="136"/>
      <c r="X302" s="136"/>
      <c r="Y302" s="145"/>
      <c r="Z302" s="145"/>
    </row>
    <row r="303">
      <c r="E303" s="136"/>
      <c r="F303" s="136"/>
      <c r="G303" s="136"/>
      <c r="H303" s="137" t="str">
        <f t="shared" si="1"/>
        <v/>
      </c>
      <c r="I303" s="136"/>
      <c r="J303" s="136"/>
      <c r="K303" s="136"/>
      <c r="L303" s="136"/>
      <c r="M303" s="136"/>
      <c r="N303" s="136"/>
      <c r="O303" s="142" t="str">
        <f t="shared" si="2"/>
        <v/>
      </c>
      <c r="P303" s="140" t="str">
        <f t="shared" si="3"/>
        <v/>
      </c>
      <c r="Q303" s="139" t="str">
        <f t="shared" si="4"/>
        <v/>
      </c>
      <c r="R303" s="139" t="str">
        <f t="shared" si="5"/>
        <v/>
      </c>
      <c r="S303" s="139" t="str">
        <f t="shared" si="6"/>
        <v/>
      </c>
      <c r="T303" s="140" t="str">
        <f t="shared" si="7"/>
        <v/>
      </c>
      <c r="U303" s="136"/>
      <c r="V303" s="136"/>
      <c r="W303" s="136"/>
      <c r="X303" s="136"/>
      <c r="Y303" s="145"/>
      <c r="Z303" s="145"/>
    </row>
    <row r="304">
      <c r="E304" s="136"/>
      <c r="F304" s="136"/>
      <c r="G304" s="136"/>
      <c r="H304" s="137" t="str">
        <f t="shared" si="1"/>
        <v/>
      </c>
      <c r="I304" s="136"/>
      <c r="J304" s="136"/>
      <c r="K304" s="136"/>
      <c r="L304" s="136"/>
      <c r="M304" s="136"/>
      <c r="N304" s="136"/>
      <c r="O304" s="142" t="str">
        <f t="shared" si="2"/>
        <v/>
      </c>
      <c r="P304" s="140" t="str">
        <f t="shared" si="3"/>
        <v/>
      </c>
      <c r="Q304" s="139" t="str">
        <f t="shared" si="4"/>
        <v/>
      </c>
      <c r="R304" s="139" t="str">
        <f t="shared" si="5"/>
        <v/>
      </c>
      <c r="S304" s="139" t="str">
        <f t="shared" si="6"/>
        <v/>
      </c>
      <c r="T304" s="140" t="str">
        <f t="shared" si="7"/>
        <v/>
      </c>
      <c r="U304" s="136"/>
      <c r="V304" s="136"/>
      <c r="W304" s="136"/>
      <c r="X304" s="136"/>
      <c r="Y304" s="145"/>
      <c r="Z304" s="145"/>
    </row>
    <row r="305">
      <c r="E305" s="136"/>
      <c r="F305" s="136"/>
      <c r="G305" s="136"/>
      <c r="H305" s="137" t="str">
        <f t="shared" si="1"/>
        <v/>
      </c>
      <c r="I305" s="136"/>
      <c r="J305" s="136"/>
      <c r="K305" s="136"/>
      <c r="L305" s="136"/>
      <c r="M305" s="136"/>
      <c r="N305" s="136"/>
      <c r="O305" s="142" t="str">
        <f t="shared" si="2"/>
        <v/>
      </c>
      <c r="P305" s="140" t="str">
        <f t="shared" si="3"/>
        <v/>
      </c>
      <c r="Q305" s="139" t="str">
        <f t="shared" si="4"/>
        <v/>
      </c>
      <c r="R305" s="139" t="str">
        <f t="shared" si="5"/>
        <v/>
      </c>
      <c r="S305" s="139" t="str">
        <f t="shared" si="6"/>
        <v/>
      </c>
      <c r="T305" s="140" t="str">
        <f t="shared" si="7"/>
        <v/>
      </c>
      <c r="U305" s="136"/>
      <c r="V305" s="136"/>
      <c r="W305" s="136"/>
      <c r="X305" s="136"/>
      <c r="Y305" s="145"/>
      <c r="Z305" s="145"/>
    </row>
    <row r="306">
      <c r="E306" s="136"/>
      <c r="F306" s="136"/>
      <c r="G306" s="136"/>
      <c r="H306" s="137" t="str">
        <f t="shared" si="1"/>
        <v/>
      </c>
      <c r="I306" s="136"/>
      <c r="J306" s="136"/>
      <c r="K306" s="136"/>
      <c r="L306" s="136"/>
      <c r="M306" s="136"/>
      <c r="N306" s="136"/>
      <c r="O306" s="142" t="str">
        <f t="shared" si="2"/>
        <v/>
      </c>
      <c r="P306" s="140" t="str">
        <f t="shared" si="3"/>
        <v/>
      </c>
      <c r="Q306" s="139" t="str">
        <f t="shared" si="4"/>
        <v/>
      </c>
      <c r="R306" s="139" t="str">
        <f t="shared" si="5"/>
        <v/>
      </c>
      <c r="S306" s="139" t="str">
        <f t="shared" si="6"/>
        <v/>
      </c>
      <c r="T306" s="140" t="str">
        <f t="shared" si="7"/>
        <v/>
      </c>
      <c r="U306" s="136"/>
      <c r="V306" s="136"/>
      <c r="W306" s="136"/>
      <c r="X306" s="136"/>
      <c r="Y306" s="145"/>
      <c r="Z306" s="145"/>
    </row>
    <row r="307">
      <c r="E307" s="136"/>
      <c r="F307" s="136"/>
      <c r="G307" s="136"/>
      <c r="H307" s="137" t="str">
        <f t="shared" si="1"/>
        <v/>
      </c>
      <c r="I307" s="136"/>
      <c r="J307" s="136"/>
      <c r="K307" s="136"/>
      <c r="L307" s="136"/>
      <c r="M307" s="136"/>
      <c r="N307" s="136"/>
      <c r="O307" s="142" t="str">
        <f t="shared" si="2"/>
        <v/>
      </c>
      <c r="P307" s="140" t="str">
        <f t="shared" si="3"/>
        <v/>
      </c>
      <c r="Q307" s="139" t="str">
        <f t="shared" si="4"/>
        <v/>
      </c>
      <c r="R307" s="139" t="str">
        <f t="shared" si="5"/>
        <v/>
      </c>
      <c r="S307" s="139" t="str">
        <f t="shared" si="6"/>
        <v/>
      </c>
      <c r="T307" s="140" t="str">
        <f t="shared" si="7"/>
        <v/>
      </c>
      <c r="U307" s="136"/>
      <c r="V307" s="136"/>
      <c r="W307" s="136"/>
      <c r="X307" s="136"/>
      <c r="Y307" s="145"/>
      <c r="Z307" s="145"/>
    </row>
    <row r="308">
      <c r="E308" s="136"/>
      <c r="F308" s="136"/>
      <c r="G308" s="136"/>
      <c r="H308" s="137" t="str">
        <f t="shared" si="1"/>
        <v/>
      </c>
      <c r="I308" s="136"/>
      <c r="J308" s="136"/>
      <c r="K308" s="136"/>
      <c r="L308" s="136"/>
      <c r="M308" s="136"/>
      <c r="N308" s="136"/>
      <c r="O308" s="142" t="str">
        <f t="shared" si="2"/>
        <v/>
      </c>
      <c r="P308" s="140" t="str">
        <f t="shared" si="3"/>
        <v/>
      </c>
      <c r="Q308" s="139" t="str">
        <f t="shared" si="4"/>
        <v/>
      </c>
      <c r="R308" s="139" t="str">
        <f t="shared" si="5"/>
        <v/>
      </c>
      <c r="S308" s="139" t="str">
        <f t="shared" si="6"/>
        <v/>
      </c>
      <c r="T308" s="140" t="str">
        <f t="shared" si="7"/>
        <v/>
      </c>
      <c r="U308" s="136"/>
      <c r="V308" s="136"/>
      <c r="W308" s="136"/>
      <c r="X308" s="136"/>
      <c r="Y308" s="145"/>
      <c r="Z308" s="145"/>
    </row>
    <row r="309">
      <c r="E309" s="136"/>
      <c r="F309" s="136"/>
      <c r="G309" s="136"/>
      <c r="H309" s="137" t="str">
        <f t="shared" si="1"/>
        <v/>
      </c>
      <c r="I309" s="136"/>
      <c r="J309" s="136"/>
      <c r="K309" s="136"/>
      <c r="L309" s="136"/>
      <c r="M309" s="136"/>
      <c r="N309" s="136"/>
      <c r="O309" s="142" t="str">
        <f t="shared" si="2"/>
        <v/>
      </c>
      <c r="P309" s="140" t="str">
        <f t="shared" si="3"/>
        <v/>
      </c>
      <c r="Q309" s="139" t="str">
        <f t="shared" si="4"/>
        <v/>
      </c>
      <c r="R309" s="139" t="str">
        <f t="shared" si="5"/>
        <v/>
      </c>
      <c r="S309" s="139" t="str">
        <f t="shared" si="6"/>
        <v/>
      </c>
      <c r="T309" s="140" t="str">
        <f t="shared" si="7"/>
        <v/>
      </c>
      <c r="U309" s="136"/>
      <c r="V309" s="136"/>
      <c r="W309" s="136"/>
      <c r="X309" s="136"/>
      <c r="Y309" s="145"/>
      <c r="Z309" s="145"/>
    </row>
    <row r="310">
      <c r="E310" s="136"/>
      <c r="F310" s="136"/>
      <c r="G310" s="136"/>
      <c r="H310" s="137" t="str">
        <f t="shared" si="1"/>
        <v/>
      </c>
      <c r="I310" s="136"/>
      <c r="J310" s="136"/>
      <c r="K310" s="136"/>
      <c r="L310" s="136"/>
      <c r="M310" s="136"/>
      <c r="N310" s="136"/>
      <c r="O310" s="142" t="str">
        <f t="shared" si="2"/>
        <v/>
      </c>
      <c r="P310" s="140" t="str">
        <f t="shared" si="3"/>
        <v/>
      </c>
      <c r="Q310" s="139" t="str">
        <f t="shared" si="4"/>
        <v/>
      </c>
      <c r="R310" s="139" t="str">
        <f t="shared" si="5"/>
        <v/>
      </c>
      <c r="S310" s="139" t="str">
        <f t="shared" si="6"/>
        <v/>
      </c>
      <c r="T310" s="140" t="str">
        <f t="shared" si="7"/>
        <v/>
      </c>
      <c r="U310" s="136"/>
      <c r="V310" s="136"/>
      <c r="W310" s="136"/>
      <c r="X310" s="136"/>
      <c r="Y310" s="145"/>
      <c r="Z310" s="145"/>
    </row>
    <row r="311">
      <c r="E311" s="136"/>
      <c r="F311" s="136"/>
      <c r="G311" s="136"/>
      <c r="H311" s="137" t="str">
        <f t="shared" si="1"/>
        <v/>
      </c>
      <c r="I311" s="136"/>
      <c r="J311" s="136"/>
      <c r="K311" s="136"/>
      <c r="L311" s="136"/>
      <c r="M311" s="136"/>
      <c r="N311" s="136"/>
      <c r="O311" s="142" t="str">
        <f t="shared" si="2"/>
        <v/>
      </c>
      <c r="P311" s="140" t="str">
        <f t="shared" si="3"/>
        <v/>
      </c>
      <c r="Q311" s="139" t="str">
        <f t="shared" si="4"/>
        <v/>
      </c>
      <c r="R311" s="139" t="str">
        <f t="shared" si="5"/>
        <v/>
      </c>
      <c r="S311" s="139" t="str">
        <f t="shared" si="6"/>
        <v/>
      </c>
      <c r="T311" s="140" t="str">
        <f t="shared" si="7"/>
        <v/>
      </c>
      <c r="U311" s="136"/>
      <c r="V311" s="136"/>
      <c r="W311" s="136"/>
      <c r="X311" s="136"/>
      <c r="Y311" s="145"/>
      <c r="Z311" s="145"/>
    </row>
    <row r="312">
      <c r="E312" s="136"/>
      <c r="F312" s="136"/>
      <c r="G312" s="136"/>
      <c r="H312" s="137" t="str">
        <f t="shared" si="1"/>
        <v/>
      </c>
      <c r="I312" s="136"/>
      <c r="J312" s="136"/>
      <c r="K312" s="136"/>
      <c r="L312" s="136"/>
      <c r="M312" s="136"/>
      <c r="N312" s="136"/>
      <c r="O312" s="142" t="str">
        <f t="shared" si="2"/>
        <v/>
      </c>
      <c r="P312" s="140" t="str">
        <f t="shared" si="3"/>
        <v/>
      </c>
      <c r="Q312" s="139" t="str">
        <f t="shared" si="4"/>
        <v/>
      </c>
      <c r="R312" s="139" t="str">
        <f t="shared" si="5"/>
        <v/>
      </c>
      <c r="S312" s="139" t="str">
        <f t="shared" si="6"/>
        <v/>
      </c>
      <c r="T312" s="140" t="str">
        <f t="shared" si="7"/>
        <v/>
      </c>
      <c r="U312" s="136"/>
      <c r="V312" s="136"/>
      <c r="W312" s="136"/>
      <c r="X312" s="136"/>
      <c r="Y312" s="145"/>
      <c r="Z312" s="145"/>
    </row>
    <row r="313">
      <c r="E313" s="136"/>
      <c r="F313" s="136"/>
      <c r="G313" s="136"/>
      <c r="H313" s="137" t="str">
        <f t="shared" si="1"/>
        <v/>
      </c>
      <c r="I313" s="136"/>
      <c r="J313" s="136"/>
      <c r="K313" s="136"/>
      <c r="L313" s="136"/>
      <c r="M313" s="136"/>
      <c r="N313" s="136"/>
      <c r="O313" s="142" t="str">
        <f t="shared" si="2"/>
        <v/>
      </c>
      <c r="P313" s="140" t="str">
        <f t="shared" si="3"/>
        <v/>
      </c>
      <c r="Q313" s="139" t="str">
        <f t="shared" si="4"/>
        <v/>
      </c>
      <c r="R313" s="139" t="str">
        <f t="shared" si="5"/>
        <v/>
      </c>
      <c r="S313" s="139" t="str">
        <f t="shared" si="6"/>
        <v/>
      </c>
      <c r="T313" s="140" t="str">
        <f t="shared" si="7"/>
        <v/>
      </c>
      <c r="U313" s="136"/>
      <c r="V313" s="136"/>
      <c r="W313" s="136"/>
      <c r="X313" s="136"/>
      <c r="Y313" s="145"/>
      <c r="Z313" s="145"/>
    </row>
    <row r="314">
      <c r="E314" s="136"/>
      <c r="F314" s="136"/>
      <c r="G314" s="136"/>
      <c r="H314" s="137" t="str">
        <f t="shared" si="1"/>
        <v/>
      </c>
      <c r="I314" s="136"/>
      <c r="J314" s="136"/>
      <c r="K314" s="136"/>
      <c r="L314" s="136"/>
      <c r="M314" s="136"/>
      <c r="N314" s="136"/>
      <c r="O314" s="142" t="str">
        <f t="shared" si="2"/>
        <v/>
      </c>
      <c r="P314" s="140" t="str">
        <f t="shared" si="3"/>
        <v/>
      </c>
      <c r="Q314" s="139" t="str">
        <f t="shared" si="4"/>
        <v/>
      </c>
      <c r="R314" s="139" t="str">
        <f t="shared" si="5"/>
        <v/>
      </c>
      <c r="S314" s="139" t="str">
        <f t="shared" si="6"/>
        <v/>
      </c>
      <c r="T314" s="140" t="str">
        <f t="shared" si="7"/>
        <v/>
      </c>
      <c r="U314" s="136"/>
      <c r="V314" s="136"/>
      <c r="W314" s="136"/>
      <c r="X314" s="136"/>
      <c r="Y314" s="145"/>
      <c r="Z314" s="145"/>
    </row>
    <row r="315">
      <c r="E315" s="136"/>
      <c r="F315" s="136"/>
      <c r="G315" s="136"/>
      <c r="H315" s="137" t="str">
        <f t="shared" si="1"/>
        <v/>
      </c>
      <c r="I315" s="136"/>
      <c r="J315" s="136"/>
      <c r="K315" s="136"/>
      <c r="L315" s="136"/>
      <c r="M315" s="136"/>
      <c r="N315" s="136"/>
      <c r="O315" s="142" t="str">
        <f t="shared" si="2"/>
        <v/>
      </c>
      <c r="P315" s="140" t="str">
        <f t="shared" si="3"/>
        <v/>
      </c>
      <c r="Q315" s="139" t="str">
        <f t="shared" si="4"/>
        <v/>
      </c>
      <c r="R315" s="139" t="str">
        <f t="shared" si="5"/>
        <v/>
      </c>
      <c r="S315" s="139" t="str">
        <f t="shared" si="6"/>
        <v/>
      </c>
      <c r="T315" s="140" t="str">
        <f t="shared" si="7"/>
        <v/>
      </c>
      <c r="U315" s="136"/>
      <c r="V315" s="136"/>
      <c r="W315" s="136"/>
      <c r="X315" s="136"/>
      <c r="Y315" s="145"/>
      <c r="Z315" s="145"/>
    </row>
    <row r="316">
      <c r="E316" s="136"/>
      <c r="F316" s="136"/>
      <c r="G316" s="136"/>
      <c r="H316" s="137" t="str">
        <f t="shared" si="1"/>
        <v/>
      </c>
      <c r="I316" s="136"/>
      <c r="J316" s="136"/>
      <c r="K316" s="136"/>
      <c r="L316" s="136"/>
      <c r="M316" s="136"/>
      <c r="N316" s="136"/>
      <c r="O316" s="142" t="str">
        <f t="shared" si="2"/>
        <v/>
      </c>
      <c r="P316" s="140" t="str">
        <f t="shared" si="3"/>
        <v/>
      </c>
      <c r="Q316" s="139" t="str">
        <f t="shared" si="4"/>
        <v/>
      </c>
      <c r="R316" s="139" t="str">
        <f t="shared" si="5"/>
        <v/>
      </c>
      <c r="S316" s="139" t="str">
        <f t="shared" si="6"/>
        <v/>
      </c>
      <c r="T316" s="140" t="str">
        <f t="shared" si="7"/>
        <v/>
      </c>
      <c r="U316" s="136"/>
      <c r="V316" s="136"/>
      <c r="W316" s="136"/>
      <c r="X316" s="136"/>
      <c r="Y316" s="145"/>
      <c r="Z316" s="145"/>
    </row>
    <row r="317">
      <c r="E317" s="136"/>
      <c r="F317" s="136"/>
      <c r="G317" s="136"/>
      <c r="H317" s="137" t="str">
        <f t="shared" si="1"/>
        <v/>
      </c>
      <c r="I317" s="136"/>
      <c r="J317" s="136"/>
      <c r="K317" s="136"/>
      <c r="L317" s="136"/>
      <c r="M317" s="136"/>
      <c r="N317" s="136"/>
      <c r="O317" s="142" t="str">
        <f t="shared" si="2"/>
        <v/>
      </c>
      <c r="P317" s="140" t="str">
        <f t="shared" si="3"/>
        <v/>
      </c>
      <c r="Q317" s="139" t="str">
        <f t="shared" si="4"/>
        <v/>
      </c>
      <c r="R317" s="139" t="str">
        <f t="shared" si="5"/>
        <v/>
      </c>
      <c r="S317" s="139" t="str">
        <f t="shared" si="6"/>
        <v/>
      </c>
      <c r="T317" s="140" t="str">
        <f t="shared" si="7"/>
        <v/>
      </c>
      <c r="U317" s="136"/>
      <c r="V317" s="136"/>
      <c r="W317" s="136"/>
      <c r="X317" s="136"/>
      <c r="Y317" s="145"/>
      <c r="Z317" s="145"/>
    </row>
    <row r="318">
      <c r="E318" s="136"/>
      <c r="F318" s="136"/>
      <c r="G318" s="136"/>
      <c r="H318" s="137" t="str">
        <f t="shared" si="1"/>
        <v/>
      </c>
      <c r="I318" s="136"/>
      <c r="J318" s="136"/>
      <c r="K318" s="136"/>
      <c r="L318" s="136"/>
      <c r="M318" s="136"/>
      <c r="N318" s="136"/>
      <c r="O318" s="142" t="str">
        <f t="shared" si="2"/>
        <v/>
      </c>
      <c r="P318" s="140" t="str">
        <f t="shared" si="3"/>
        <v/>
      </c>
      <c r="Q318" s="139" t="str">
        <f t="shared" si="4"/>
        <v/>
      </c>
      <c r="R318" s="139" t="str">
        <f t="shared" si="5"/>
        <v/>
      </c>
      <c r="S318" s="139" t="str">
        <f t="shared" si="6"/>
        <v/>
      </c>
      <c r="T318" s="140" t="str">
        <f t="shared" si="7"/>
        <v/>
      </c>
      <c r="U318" s="136"/>
      <c r="V318" s="136"/>
      <c r="W318" s="136"/>
      <c r="X318" s="136"/>
      <c r="Y318" s="145"/>
      <c r="Z318" s="145"/>
    </row>
    <row r="319">
      <c r="E319" s="136"/>
      <c r="F319" s="136"/>
      <c r="G319" s="136"/>
      <c r="H319" s="137" t="str">
        <f t="shared" si="1"/>
        <v/>
      </c>
      <c r="I319" s="136"/>
      <c r="J319" s="136"/>
      <c r="K319" s="136"/>
      <c r="L319" s="136"/>
      <c r="M319" s="136"/>
      <c r="N319" s="136"/>
      <c r="O319" s="142" t="str">
        <f t="shared" si="2"/>
        <v/>
      </c>
      <c r="P319" s="140" t="str">
        <f t="shared" si="3"/>
        <v/>
      </c>
      <c r="Q319" s="139" t="str">
        <f t="shared" si="4"/>
        <v/>
      </c>
      <c r="R319" s="139" t="str">
        <f t="shared" si="5"/>
        <v/>
      </c>
      <c r="S319" s="139" t="str">
        <f t="shared" si="6"/>
        <v/>
      </c>
      <c r="T319" s="140" t="str">
        <f t="shared" si="7"/>
        <v/>
      </c>
      <c r="U319" s="136"/>
      <c r="V319" s="136"/>
      <c r="W319" s="136"/>
      <c r="X319" s="136"/>
      <c r="Y319" s="145"/>
      <c r="Z319" s="145"/>
    </row>
    <row r="320">
      <c r="E320" s="136"/>
      <c r="F320" s="136"/>
      <c r="G320" s="136"/>
      <c r="H320" s="137" t="str">
        <f t="shared" si="1"/>
        <v/>
      </c>
      <c r="I320" s="136"/>
      <c r="J320" s="136"/>
      <c r="K320" s="136"/>
      <c r="L320" s="136"/>
      <c r="M320" s="136"/>
      <c r="N320" s="136"/>
      <c r="O320" s="142" t="str">
        <f t="shared" si="2"/>
        <v/>
      </c>
      <c r="P320" s="140" t="str">
        <f t="shared" si="3"/>
        <v/>
      </c>
      <c r="Q320" s="139" t="str">
        <f t="shared" si="4"/>
        <v/>
      </c>
      <c r="R320" s="139" t="str">
        <f t="shared" si="5"/>
        <v/>
      </c>
      <c r="S320" s="139" t="str">
        <f t="shared" si="6"/>
        <v/>
      </c>
      <c r="T320" s="140" t="str">
        <f t="shared" si="7"/>
        <v/>
      </c>
      <c r="U320" s="136"/>
      <c r="V320" s="136"/>
      <c r="W320" s="136"/>
      <c r="X320" s="136"/>
      <c r="Y320" s="145"/>
      <c r="Z320" s="145"/>
    </row>
    <row r="321">
      <c r="E321" s="136"/>
      <c r="F321" s="136"/>
      <c r="G321" s="136"/>
      <c r="H321" s="137" t="str">
        <f t="shared" si="1"/>
        <v/>
      </c>
      <c r="I321" s="136"/>
      <c r="J321" s="136"/>
      <c r="K321" s="136"/>
      <c r="L321" s="136"/>
      <c r="M321" s="136"/>
      <c r="N321" s="136"/>
      <c r="O321" s="142" t="str">
        <f t="shared" si="2"/>
        <v/>
      </c>
      <c r="P321" s="140" t="str">
        <f t="shared" si="3"/>
        <v/>
      </c>
      <c r="Q321" s="139" t="str">
        <f t="shared" si="4"/>
        <v/>
      </c>
      <c r="R321" s="139" t="str">
        <f t="shared" si="5"/>
        <v/>
      </c>
      <c r="S321" s="139" t="str">
        <f t="shared" si="6"/>
        <v/>
      </c>
      <c r="T321" s="140" t="str">
        <f t="shared" si="7"/>
        <v/>
      </c>
      <c r="U321" s="136"/>
      <c r="V321" s="136"/>
      <c r="W321" s="136"/>
      <c r="X321" s="136"/>
      <c r="Y321" s="145"/>
      <c r="Z321" s="145"/>
    </row>
    <row r="322">
      <c r="E322" s="136"/>
      <c r="F322" s="136"/>
      <c r="G322" s="136"/>
      <c r="H322" s="137" t="str">
        <f t="shared" si="1"/>
        <v/>
      </c>
      <c r="I322" s="136"/>
      <c r="J322" s="136"/>
      <c r="K322" s="136"/>
      <c r="L322" s="136"/>
      <c r="M322" s="136"/>
      <c r="N322" s="136"/>
      <c r="O322" s="142" t="str">
        <f t="shared" si="2"/>
        <v/>
      </c>
      <c r="P322" s="140" t="str">
        <f t="shared" si="3"/>
        <v/>
      </c>
      <c r="Q322" s="139" t="str">
        <f t="shared" si="4"/>
        <v/>
      </c>
      <c r="R322" s="139" t="str">
        <f t="shared" si="5"/>
        <v/>
      </c>
      <c r="S322" s="139" t="str">
        <f t="shared" si="6"/>
        <v/>
      </c>
      <c r="T322" s="140" t="str">
        <f t="shared" si="7"/>
        <v/>
      </c>
      <c r="U322" s="136"/>
      <c r="V322" s="136"/>
      <c r="W322" s="136"/>
      <c r="X322" s="136"/>
      <c r="Y322" s="145"/>
      <c r="Z322" s="145"/>
    </row>
    <row r="323">
      <c r="E323" s="136"/>
      <c r="F323" s="136"/>
      <c r="G323" s="136"/>
      <c r="H323" s="137" t="str">
        <f t="shared" si="1"/>
        <v/>
      </c>
      <c r="I323" s="136"/>
      <c r="J323" s="136"/>
      <c r="K323" s="136"/>
      <c r="L323" s="136"/>
      <c r="M323" s="136"/>
      <c r="N323" s="136"/>
      <c r="O323" s="142" t="str">
        <f t="shared" si="2"/>
        <v/>
      </c>
      <c r="P323" s="140" t="str">
        <f t="shared" si="3"/>
        <v/>
      </c>
      <c r="Q323" s="139" t="str">
        <f t="shared" si="4"/>
        <v/>
      </c>
      <c r="R323" s="139" t="str">
        <f t="shared" si="5"/>
        <v/>
      </c>
      <c r="S323" s="139" t="str">
        <f t="shared" si="6"/>
        <v/>
      </c>
      <c r="T323" s="140" t="str">
        <f t="shared" si="7"/>
        <v/>
      </c>
      <c r="U323" s="136"/>
      <c r="V323" s="136"/>
      <c r="W323" s="136"/>
      <c r="X323" s="136"/>
      <c r="Y323" s="145"/>
      <c r="Z323" s="145"/>
    </row>
    <row r="324">
      <c r="E324" s="136"/>
      <c r="F324" s="136"/>
      <c r="G324" s="136"/>
      <c r="H324" s="137" t="str">
        <f t="shared" si="1"/>
        <v/>
      </c>
      <c r="I324" s="136"/>
      <c r="J324" s="136"/>
      <c r="K324" s="136"/>
      <c r="L324" s="136"/>
      <c r="M324" s="136"/>
      <c r="N324" s="136"/>
      <c r="O324" s="142" t="str">
        <f t="shared" si="2"/>
        <v/>
      </c>
      <c r="P324" s="140" t="str">
        <f t="shared" si="3"/>
        <v/>
      </c>
      <c r="Q324" s="139" t="str">
        <f t="shared" si="4"/>
        <v/>
      </c>
      <c r="R324" s="139" t="str">
        <f t="shared" si="5"/>
        <v/>
      </c>
      <c r="S324" s="139" t="str">
        <f t="shared" si="6"/>
        <v/>
      </c>
      <c r="T324" s="140" t="str">
        <f t="shared" si="7"/>
        <v/>
      </c>
      <c r="U324" s="136"/>
      <c r="V324" s="136"/>
      <c r="W324" s="136"/>
      <c r="X324" s="136"/>
      <c r="Y324" s="145"/>
      <c r="Z324" s="145"/>
    </row>
    <row r="325">
      <c r="E325" s="136"/>
      <c r="F325" s="136"/>
      <c r="G325" s="136"/>
      <c r="H325" s="137" t="str">
        <f t="shared" si="1"/>
        <v/>
      </c>
      <c r="I325" s="136"/>
      <c r="J325" s="136"/>
      <c r="K325" s="136"/>
      <c r="L325" s="136"/>
      <c r="M325" s="136"/>
      <c r="N325" s="136"/>
      <c r="O325" s="142" t="str">
        <f t="shared" si="2"/>
        <v/>
      </c>
      <c r="P325" s="140" t="str">
        <f t="shared" si="3"/>
        <v/>
      </c>
      <c r="Q325" s="139" t="str">
        <f t="shared" si="4"/>
        <v/>
      </c>
      <c r="R325" s="139" t="str">
        <f t="shared" si="5"/>
        <v/>
      </c>
      <c r="S325" s="139" t="str">
        <f t="shared" si="6"/>
        <v/>
      </c>
      <c r="T325" s="140" t="str">
        <f t="shared" si="7"/>
        <v/>
      </c>
      <c r="U325" s="136"/>
      <c r="V325" s="136"/>
      <c r="W325" s="136"/>
      <c r="X325" s="136"/>
      <c r="Y325" s="145"/>
      <c r="Z325" s="145"/>
    </row>
    <row r="326">
      <c r="E326" s="136"/>
      <c r="F326" s="136"/>
      <c r="G326" s="136"/>
      <c r="H326" s="137" t="str">
        <f t="shared" si="1"/>
        <v/>
      </c>
      <c r="I326" s="136"/>
      <c r="J326" s="136"/>
      <c r="K326" s="136"/>
      <c r="L326" s="136"/>
      <c r="M326" s="136"/>
      <c r="N326" s="136"/>
      <c r="O326" s="142" t="str">
        <f t="shared" si="2"/>
        <v/>
      </c>
      <c r="P326" s="140" t="str">
        <f t="shared" si="3"/>
        <v/>
      </c>
      <c r="Q326" s="139" t="str">
        <f t="shared" si="4"/>
        <v/>
      </c>
      <c r="R326" s="139" t="str">
        <f t="shared" si="5"/>
        <v/>
      </c>
      <c r="S326" s="139" t="str">
        <f t="shared" si="6"/>
        <v/>
      </c>
      <c r="T326" s="140" t="str">
        <f t="shared" si="7"/>
        <v/>
      </c>
      <c r="U326" s="136"/>
      <c r="V326" s="136"/>
      <c r="W326" s="136"/>
      <c r="X326" s="136"/>
      <c r="Y326" s="145"/>
      <c r="Z326" s="145"/>
    </row>
    <row r="327">
      <c r="E327" s="136"/>
      <c r="F327" s="136"/>
      <c r="G327" s="136"/>
      <c r="H327" s="137" t="str">
        <f t="shared" si="1"/>
        <v/>
      </c>
      <c r="I327" s="136"/>
      <c r="J327" s="136"/>
      <c r="K327" s="136"/>
      <c r="L327" s="136"/>
      <c r="M327" s="136"/>
      <c r="N327" s="136"/>
      <c r="O327" s="142" t="str">
        <f t="shared" si="2"/>
        <v/>
      </c>
      <c r="P327" s="140" t="str">
        <f t="shared" si="3"/>
        <v/>
      </c>
      <c r="Q327" s="139" t="str">
        <f t="shared" si="4"/>
        <v/>
      </c>
      <c r="R327" s="139" t="str">
        <f t="shared" si="5"/>
        <v/>
      </c>
      <c r="S327" s="139" t="str">
        <f t="shared" si="6"/>
        <v/>
      </c>
      <c r="T327" s="140" t="str">
        <f t="shared" si="7"/>
        <v/>
      </c>
      <c r="U327" s="136"/>
      <c r="V327" s="136"/>
      <c r="W327" s="136"/>
      <c r="X327" s="136"/>
      <c r="Y327" s="145"/>
      <c r="Z327" s="145"/>
    </row>
    <row r="328">
      <c r="E328" s="136"/>
      <c r="F328" s="136"/>
      <c r="G328" s="136"/>
      <c r="H328" s="137" t="str">
        <f t="shared" si="1"/>
        <v/>
      </c>
      <c r="I328" s="136"/>
      <c r="J328" s="136"/>
      <c r="K328" s="136"/>
      <c r="L328" s="136"/>
      <c r="M328" s="136"/>
      <c r="N328" s="136"/>
      <c r="O328" s="142" t="str">
        <f t="shared" si="2"/>
        <v/>
      </c>
      <c r="P328" s="140" t="str">
        <f t="shared" si="3"/>
        <v/>
      </c>
      <c r="Q328" s="139" t="str">
        <f t="shared" si="4"/>
        <v/>
      </c>
      <c r="R328" s="139" t="str">
        <f t="shared" si="5"/>
        <v/>
      </c>
      <c r="S328" s="139" t="str">
        <f t="shared" si="6"/>
        <v/>
      </c>
      <c r="T328" s="140" t="str">
        <f t="shared" si="7"/>
        <v/>
      </c>
      <c r="U328" s="136"/>
      <c r="V328" s="136"/>
      <c r="W328" s="136"/>
      <c r="X328" s="136"/>
      <c r="Y328" s="145"/>
      <c r="Z328" s="145"/>
    </row>
    <row r="329">
      <c r="E329" s="136"/>
      <c r="F329" s="136"/>
      <c r="G329" s="136"/>
      <c r="H329" s="137" t="str">
        <f t="shared" si="1"/>
        <v/>
      </c>
      <c r="I329" s="136"/>
      <c r="J329" s="136"/>
      <c r="K329" s="136"/>
      <c r="L329" s="136"/>
      <c r="M329" s="136"/>
      <c r="N329" s="136"/>
      <c r="O329" s="142" t="str">
        <f t="shared" si="2"/>
        <v/>
      </c>
      <c r="P329" s="140" t="str">
        <f t="shared" si="3"/>
        <v/>
      </c>
      <c r="Q329" s="139" t="str">
        <f t="shared" si="4"/>
        <v/>
      </c>
      <c r="R329" s="139" t="str">
        <f t="shared" si="5"/>
        <v/>
      </c>
      <c r="S329" s="139" t="str">
        <f t="shared" si="6"/>
        <v/>
      </c>
      <c r="T329" s="140" t="str">
        <f t="shared" si="7"/>
        <v/>
      </c>
      <c r="U329" s="136"/>
      <c r="V329" s="136"/>
      <c r="W329" s="136"/>
      <c r="X329" s="136"/>
      <c r="Y329" s="145"/>
      <c r="Z329" s="145"/>
    </row>
    <row r="330">
      <c r="E330" s="136"/>
      <c r="F330" s="136"/>
      <c r="G330" s="136"/>
      <c r="H330" s="137" t="str">
        <f t="shared" si="1"/>
        <v/>
      </c>
      <c r="I330" s="136"/>
      <c r="J330" s="136"/>
      <c r="K330" s="136"/>
      <c r="L330" s="136"/>
      <c r="M330" s="136"/>
      <c r="N330" s="136"/>
      <c r="O330" s="142" t="str">
        <f t="shared" si="2"/>
        <v/>
      </c>
      <c r="P330" s="140" t="str">
        <f t="shared" si="3"/>
        <v/>
      </c>
      <c r="Q330" s="139" t="str">
        <f t="shared" si="4"/>
        <v/>
      </c>
      <c r="R330" s="139" t="str">
        <f t="shared" si="5"/>
        <v/>
      </c>
      <c r="S330" s="139" t="str">
        <f t="shared" si="6"/>
        <v/>
      </c>
      <c r="T330" s="140" t="str">
        <f t="shared" si="7"/>
        <v/>
      </c>
      <c r="U330" s="136"/>
      <c r="V330" s="136"/>
      <c r="W330" s="136"/>
      <c r="X330" s="136"/>
      <c r="Y330" s="145"/>
      <c r="Z330" s="145"/>
    </row>
    <row r="331">
      <c r="E331" s="136"/>
      <c r="F331" s="136"/>
      <c r="G331" s="136"/>
      <c r="H331" s="137" t="str">
        <f t="shared" si="1"/>
        <v/>
      </c>
      <c r="I331" s="136"/>
      <c r="J331" s="136"/>
      <c r="K331" s="136"/>
      <c r="L331" s="136"/>
      <c r="M331" s="136"/>
      <c r="N331" s="136"/>
      <c r="O331" s="142" t="str">
        <f t="shared" si="2"/>
        <v/>
      </c>
      <c r="P331" s="140" t="str">
        <f t="shared" si="3"/>
        <v/>
      </c>
      <c r="Q331" s="139" t="str">
        <f t="shared" si="4"/>
        <v/>
      </c>
      <c r="R331" s="139" t="str">
        <f t="shared" si="5"/>
        <v/>
      </c>
      <c r="S331" s="139" t="str">
        <f t="shared" si="6"/>
        <v/>
      </c>
      <c r="T331" s="140" t="str">
        <f t="shared" si="7"/>
        <v/>
      </c>
      <c r="U331" s="136"/>
      <c r="V331" s="136"/>
      <c r="W331" s="136"/>
      <c r="X331" s="136"/>
      <c r="Y331" s="145"/>
      <c r="Z331" s="145"/>
    </row>
    <row r="332">
      <c r="E332" s="136"/>
      <c r="F332" s="136"/>
      <c r="G332" s="136"/>
      <c r="H332" s="137" t="str">
        <f t="shared" si="1"/>
        <v/>
      </c>
      <c r="I332" s="136"/>
      <c r="J332" s="136"/>
      <c r="K332" s="136"/>
      <c r="L332" s="136"/>
      <c r="M332" s="136"/>
      <c r="N332" s="136"/>
      <c r="O332" s="142" t="str">
        <f t="shared" si="2"/>
        <v/>
      </c>
      <c r="P332" s="140" t="str">
        <f t="shared" si="3"/>
        <v/>
      </c>
      <c r="Q332" s="139" t="str">
        <f t="shared" si="4"/>
        <v/>
      </c>
      <c r="R332" s="139" t="str">
        <f t="shared" si="5"/>
        <v/>
      </c>
      <c r="S332" s="139" t="str">
        <f t="shared" si="6"/>
        <v/>
      </c>
      <c r="T332" s="140" t="str">
        <f t="shared" si="7"/>
        <v/>
      </c>
      <c r="U332" s="136"/>
      <c r="V332" s="136"/>
      <c r="W332" s="136"/>
      <c r="X332" s="136"/>
      <c r="Y332" s="145"/>
      <c r="Z332" s="145"/>
    </row>
    <row r="333">
      <c r="E333" s="136"/>
      <c r="F333" s="136"/>
      <c r="G333" s="136"/>
      <c r="H333" s="137" t="str">
        <f t="shared" si="1"/>
        <v/>
      </c>
      <c r="I333" s="136"/>
      <c r="J333" s="136"/>
      <c r="K333" s="136"/>
      <c r="L333" s="136"/>
      <c r="M333" s="136"/>
      <c r="N333" s="136"/>
      <c r="O333" s="142" t="str">
        <f t="shared" si="2"/>
        <v/>
      </c>
      <c r="P333" s="140" t="str">
        <f t="shared" si="3"/>
        <v/>
      </c>
      <c r="Q333" s="139" t="str">
        <f t="shared" si="4"/>
        <v/>
      </c>
      <c r="R333" s="139" t="str">
        <f t="shared" si="5"/>
        <v/>
      </c>
      <c r="S333" s="139" t="str">
        <f t="shared" si="6"/>
        <v/>
      </c>
      <c r="T333" s="140" t="str">
        <f t="shared" si="7"/>
        <v/>
      </c>
      <c r="U333" s="136"/>
      <c r="V333" s="136"/>
      <c r="W333" s="136"/>
      <c r="X333" s="136"/>
      <c r="Y333" s="145"/>
      <c r="Z333" s="145"/>
    </row>
    <row r="334">
      <c r="E334" s="136"/>
      <c r="F334" s="136"/>
      <c r="G334" s="136"/>
      <c r="H334" s="137" t="str">
        <f t="shared" si="1"/>
        <v/>
      </c>
      <c r="I334" s="136"/>
      <c r="J334" s="136"/>
      <c r="K334" s="136"/>
      <c r="L334" s="136"/>
      <c r="M334" s="136"/>
      <c r="N334" s="136"/>
      <c r="O334" s="142" t="str">
        <f t="shared" si="2"/>
        <v/>
      </c>
      <c r="P334" s="140" t="str">
        <f t="shared" si="3"/>
        <v/>
      </c>
      <c r="Q334" s="139" t="str">
        <f t="shared" si="4"/>
        <v/>
      </c>
      <c r="R334" s="139" t="str">
        <f t="shared" si="5"/>
        <v/>
      </c>
      <c r="S334" s="139" t="str">
        <f t="shared" si="6"/>
        <v/>
      </c>
      <c r="T334" s="140" t="str">
        <f t="shared" si="7"/>
        <v/>
      </c>
      <c r="U334" s="136"/>
      <c r="V334" s="136"/>
      <c r="W334" s="136"/>
      <c r="X334" s="136"/>
      <c r="Y334" s="145"/>
      <c r="Z334" s="145"/>
    </row>
    <row r="335">
      <c r="E335" s="136"/>
      <c r="F335" s="136"/>
      <c r="G335" s="136"/>
      <c r="H335" s="137" t="str">
        <f t="shared" si="1"/>
        <v/>
      </c>
      <c r="I335" s="136"/>
      <c r="J335" s="136"/>
      <c r="K335" s="136"/>
      <c r="L335" s="136"/>
      <c r="M335" s="136"/>
      <c r="N335" s="136"/>
      <c r="O335" s="142" t="str">
        <f t="shared" si="2"/>
        <v/>
      </c>
      <c r="P335" s="140" t="str">
        <f t="shared" si="3"/>
        <v/>
      </c>
      <c r="Q335" s="139" t="str">
        <f t="shared" si="4"/>
        <v/>
      </c>
      <c r="R335" s="139" t="str">
        <f t="shared" si="5"/>
        <v/>
      </c>
      <c r="S335" s="139" t="str">
        <f t="shared" si="6"/>
        <v/>
      </c>
      <c r="T335" s="140" t="str">
        <f t="shared" si="7"/>
        <v/>
      </c>
      <c r="U335" s="136"/>
      <c r="V335" s="136"/>
      <c r="W335" s="136"/>
      <c r="X335" s="136"/>
      <c r="Y335" s="145"/>
      <c r="Z335" s="145"/>
    </row>
    <row r="336">
      <c r="E336" s="136"/>
      <c r="F336" s="136"/>
      <c r="G336" s="136"/>
      <c r="H336" s="137" t="str">
        <f t="shared" si="1"/>
        <v/>
      </c>
      <c r="I336" s="136"/>
      <c r="J336" s="136"/>
      <c r="K336" s="136"/>
      <c r="L336" s="136"/>
      <c r="M336" s="136"/>
      <c r="N336" s="136"/>
      <c r="O336" s="142" t="str">
        <f t="shared" si="2"/>
        <v/>
      </c>
      <c r="P336" s="140" t="str">
        <f t="shared" si="3"/>
        <v/>
      </c>
      <c r="Q336" s="139" t="str">
        <f t="shared" si="4"/>
        <v/>
      </c>
      <c r="R336" s="139" t="str">
        <f t="shared" si="5"/>
        <v/>
      </c>
      <c r="S336" s="139" t="str">
        <f t="shared" si="6"/>
        <v/>
      </c>
      <c r="T336" s="140" t="str">
        <f t="shared" si="7"/>
        <v/>
      </c>
      <c r="U336" s="136"/>
      <c r="V336" s="136"/>
      <c r="W336" s="136"/>
      <c r="X336" s="136"/>
      <c r="Y336" s="145"/>
      <c r="Z336" s="145"/>
    </row>
    <row r="337">
      <c r="E337" s="136"/>
      <c r="F337" s="136"/>
      <c r="G337" s="136"/>
      <c r="H337" s="137" t="str">
        <f t="shared" si="1"/>
        <v/>
      </c>
      <c r="I337" s="136"/>
      <c r="J337" s="136"/>
      <c r="K337" s="136"/>
      <c r="L337" s="136"/>
      <c r="M337" s="136"/>
      <c r="N337" s="136"/>
      <c r="O337" s="142" t="str">
        <f t="shared" si="2"/>
        <v/>
      </c>
      <c r="P337" s="140" t="str">
        <f t="shared" si="3"/>
        <v/>
      </c>
      <c r="Q337" s="139" t="str">
        <f t="shared" si="4"/>
        <v/>
      </c>
      <c r="R337" s="139" t="str">
        <f t="shared" si="5"/>
        <v/>
      </c>
      <c r="S337" s="139" t="str">
        <f t="shared" si="6"/>
        <v/>
      </c>
      <c r="T337" s="140" t="str">
        <f t="shared" si="7"/>
        <v/>
      </c>
      <c r="U337" s="136"/>
      <c r="V337" s="136"/>
      <c r="W337" s="136"/>
      <c r="X337" s="136"/>
      <c r="Y337" s="145"/>
      <c r="Z337" s="145"/>
    </row>
    <row r="338">
      <c r="E338" s="136"/>
      <c r="F338" s="136"/>
      <c r="G338" s="136"/>
      <c r="H338" s="137" t="str">
        <f t="shared" si="1"/>
        <v/>
      </c>
      <c r="I338" s="136"/>
      <c r="J338" s="136"/>
      <c r="K338" s="136"/>
      <c r="L338" s="136"/>
      <c r="M338" s="136"/>
      <c r="N338" s="136"/>
      <c r="O338" s="142" t="str">
        <f t="shared" si="2"/>
        <v/>
      </c>
      <c r="P338" s="140" t="str">
        <f t="shared" si="3"/>
        <v/>
      </c>
      <c r="Q338" s="139" t="str">
        <f t="shared" si="4"/>
        <v/>
      </c>
      <c r="R338" s="139" t="str">
        <f t="shared" si="5"/>
        <v/>
      </c>
      <c r="S338" s="139" t="str">
        <f t="shared" si="6"/>
        <v/>
      </c>
      <c r="T338" s="140" t="str">
        <f t="shared" si="7"/>
        <v/>
      </c>
      <c r="U338" s="136"/>
      <c r="V338" s="136"/>
      <c r="W338" s="136"/>
      <c r="X338" s="136"/>
      <c r="Y338" s="145"/>
      <c r="Z338" s="145"/>
    </row>
    <row r="339">
      <c r="E339" s="136"/>
      <c r="F339" s="136"/>
      <c r="G339" s="136"/>
      <c r="H339" s="137" t="str">
        <f t="shared" si="1"/>
        <v/>
      </c>
      <c r="I339" s="136"/>
      <c r="J339" s="136"/>
      <c r="K339" s="136"/>
      <c r="L339" s="136"/>
      <c r="M339" s="136"/>
      <c r="N339" s="136"/>
      <c r="O339" s="142" t="str">
        <f t="shared" si="2"/>
        <v/>
      </c>
      <c r="P339" s="140" t="str">
        <f t="shared" si="3"/>
        <v/>
      </c>
      <c r="Q339" s="139" t="str">
        <f t="shared" si="4"/>
        <v/>
      </c>
      <c r="R339" s="139" t="str">
        <f t="shared" si="5"/>
        <v/>
      </c>
      <c r="S339" s="139" t="str">
        <f t="shared" si="6"/>
        <v/>
      </c>
      <c r="T339" s="140" t="str">
        <f t="shared" si="7"/>
        <v/>
      </c>
      <c r="U339" s="136"/>
      <c r="V339" s="136"/>
      <c r="W339" s="136"/>
      <c r="X339" s="136"/>
      <c r="Y339" s="145"/>
      <c r="Z339" s="145"/>
    </row>
    <row r="340">
      <c r="E340" s="136"/>
      <c r="F340" s="136"/>
      <c r="G340" s="136"/>
      <c r="H340" s="137" t="str">
        <f t="shared" si="1"/>
        <v/>
      </c>
      <c r="I340" s="136"/>
      <c r="J340" s="136"/>
      <c r="K340" s="136"/>
      <c r="L340" s="136"/>
      <c r="M340" s="136"/>
      <c r="N340" s="136"/>
      <c r="O340" s="142" t="str">
        <f t="shared" si="2"/>
        <v/>
      </c>
      <c r="P340" s="140" t="str">
        <f t="shared" si="3"/>
        <v/>
      </c>
      <c r="Q340" s="139" t="str">
        <f t="shared" si="4"/>
        <v/>
      </c>
      <c r="R340" s="139" t="str">
        <f t="shared" si="5"/>
        <v/>
      </c>
      <c r="S340" s="139" t="str">
        <f t="shared" si="6"/>
        <v/>
      </c>
      <c r="T340" s="140" t="str">
        <f t="shared" si="7"/>
        <v/>
      </c>
      <c r="U340" s="136"/>
      <c r="V340" s="136"/>
      <c r="W340" s="136"/>
      <c r="X340" s="136"/>
      <c r="Y340" s="145"/>
      <c r="Z340" s="145"/>
    </row>
    <row r="341">
      <c r="E341" s="136"/>
      <c r="F341" s="136"/>
      <c r="G341" s="136"/>
      <c r="H341" s="137" t="str">
        <f t="shared" si="1"/>
        <v/>
      </c>
      <c r="I341" s="136"/>
      <c r="J341" s="136"/>
      <c r="K341" s="136"/>
      <c r="L341" s="136"/>
      <c r="M341" s="136"/>
      <c r="N341" s="136"/>
      <c r="O341" s="142" t="str">
        <f t="shared" si="2"/>
        <v/>
      </c>
      <c r="P341" s="140" t="str">
        <f t="shared" si="3"/>
        <v/>
      </c>
      <c r="Q341" s="139" t="str">
        <f t="shared" si="4"/>
        <v/>
      </c>
      <c r="R341" s="139" t="str">
        <f t="shared" si="5"/>
        <v/>
      </c>
      <c r="S341" s="139" t="str">
        <f t="shared" si="6"/>
        <v/>
      </c>
      <c r="T341" s="140" t="str">
        <f t="shared" si="7"/>
        <v/>
      </c>
      <c r="U341" s="136"/>
      <c r="V341" s="136"/>
      <c r="W341" s="136"/>
      <c r="X341" s="136"/>
      <c r="Y341" s="145"/>
      <c r="Z341" s="145"/>
    </row>
    <row r="342">
      <c r="E342" s="136"/>
      <c r="F342" s="136"/>
      <c r="G342" s="136"/>
      <c r="H342" s="137" t="str">
        <f t="shared" si="1"/>
        <v/>
      </c>
      <c r="I342" s="136"/>
      <c r="J342" s="136"/>
      <c r="K342" s="136"/>
      <c r="L342" s="136"/>
      <c r="M342" s="136"/>
      <c r="N342" s="136"/>
      <c r="O342" s="142" t="str">
        <f t="shared" si="2"/>
        <v/>
      </c>
      <c r="P342" s="140" t="str">
        <f t="shared" si="3"/>
        <v/>
      </c>
      <c r="Q342" s="139" t="str">
        <f t="shared" si="4"/>
        <v/>
      </c>
      <c r="R342" s="139" t="str">
        <f t="shared" si="5"/>
        <v/>
      </c>
      <c r="S342" s="139" t="str">
        <f t="shared" si="6"/>
        <v/>
      </c>
      <c r="T342" s="140" t="str">
        <f t="shared" si="7"/>
        <v/>
      </c>
      <c r="U342" s="136"/>
      <c r="V342" s="136"/>
      <c r="W342" s="136"/>
      <c r="X342" s="136"/>
      <c r="Y342" s="145"/>
      <c r="Z342" s="145"/>
    </row>
    <row r="343">
      <c r="E343" s="136"/>
      <c r="F343" s="136"/>
      <c r="G343" s="136"/>
      <c r="H343" s="137" t="str">
        <f t="shared" si="1"/>
        <v/>
      </c>
      <c r="I343" s="136"/>
      <c r="J343" s="136"/>
      <c r="K343" s="136"/>
      <c r="L343" s="136"/>
      <c r="M343" s="136"/>
      <c r="N343" s="136"/>
      <c r="O343" s="142" t="str">
        <f t="shared" si="2"/>
        <v/>
      </c>
      <c r="P343" s="140" t="str">
        <f t="shared" si="3"/>
        <v/>
      </c>
      <c r="Q343" s="139" t="str">
        <f t="shared" si="4"/>
        <v/>
      </c>
      <c r="R343" s="139" t="str">
        <f t="shared" si="5"/>
        <v/>
      </c>
      <c r="S343" s="139" t="str">
        <f t="shared" si="6"/>
        <v/>
      </c>
      <c r="T343" s="140" t="str">
        <f t="shared" si="7"/>
        <v/>
      </c>
      <c r="U343" s="136"/>
      <c r="V343" s="136"/>
      <c r="W343" s="136"/>
      <c r="X343" s="136"/>
      <c r="Y343" s="145"/>
      <c r="Z343" s="145"/>
    </row>
    <row r="344">
      <c r="E344" s="136"/>
      <c r="F344" s="136"/>
      <c r="G344" s="136"/>
      <c r="H344" s="137" t="str">
        <f t="shared" si="1"/>
        <v/>
      </c>
      <c r="I344" s="136"/>
      <c r="J344" s="136"/>
      <c r="K344" s="136"/>
      <c r="L344" s="136"/>
      <c r="M344" s="136"/>
      <c r="N344" s="136"/>
      <c r="O344" s="142" t="str">
        <f t="shared" si="2"/>
        <v/>
      </c>
      <c r="P344" s="140" t="str">
        <f t="shared" si="3"/>
        <v/>
      </c>
      <c r="Q344" s="139" t="str">
        <f t="shared" si="4"/>
        <v/>
      </c>
      <c r="R344" s="139" t="str">
        <f t="shared" si="5"/>
        <v/>
      </c>
      <c r="S344" s="139" t="str">
        <f t="shared" si="6"/>
        <v/>
      </c>
      <c r="T344" s="140" t="str">
        <f t="shared" si="7"/>
        <v/>
      </c>
      <c r="U344" s="136"/>
      <c r="V344" s="136"/>
      <c r="W344" s="136"/>
      <c r="X344" s="136"/>
      <c r="Y344" s="145"/>
      <c r="Z344" s="145"/>
    </row>
    <row r="345">
      <c r="E345" s="136"/>
      <c r="F345" s="136"/>
      <c r="G345" s="136"/>
      <c r="H345" s="137" t="str">
        <f t="shared" si="1"/>
        <v/>
      </c>
      <c r="I345" s="136"/>
      <c r="J345" s="136"/>
      <c r="K345" s="136"/>
      <c r="L345" s="136"/>
      <c r="M345" s="136"/>
      <c r="N345" s="136"/>
      <c r="O345" s="142" t="str">
        <f t="shared" si="2"/>
        <v/>
      </c>
      <c r="P345" s="140" t="str">
        <f t="shared" si="3"/>
        <v/>
      </c>
      <c r="Q345" s="139" t="str">
        <f t="shared" si="4"/>
        <v/>
      </c>
      <c r="R345" s="139" t="str">
        <f t="shared" si="5"/>
        <v/>
      </c>
      <c r="S345" s="139" t="str">
        <f t="shared" si="6"/>
        <v/>
      </c>
      <c r="T345" s="140" t="str">
        <f t="shared" si="7"/>
        <v/>
      </c>
      <c r="U345" s="136"/>
      <c r="V345" s="136"/>
      <c r="W345" s="136"/>
      <c r="X345" s="136"/>
      <c r="Y345" s="145"/>
      <c r="Z345" s="145"/>
    </row>
    <row r="346">
      <c r="E346" s="136"/>
      <c r="F346" s="136"/>
      <c r="G346" s="136"/>
      <c r="H346" s="137" t="str">
        <f t="shared" si="1"/>
        <v/>
      </c>
      <c r="I346" s="136"/>
      <c r="J346" s="136"/>
      <c r="K346" s="136"/>
      <c r="L346" s="136"/>
      <c r="M346" s="136"/>
      <c r="N346" s="136"/>
      <c r="O346" s="142" t="str">
        <f t="shared" si="2"/>
        <v/>
      </c>
      <c r="P346" s="140" t="str">
        <f t="shared" si="3"/>
        <v/>
      </c>
      <c r="Q346" s="139" t="str">
        <f t="shared" si="4"/>
        <v/>
      </c>
      <c r="R346" s="139" t="str">
        <f t="shared" si="5"/>
        <v/>
      </c>
      <c r="S346" s="139" t="str">
        <f t="shared" si="6"/>
        <v/>
      </c>
      <c r="T346" s="140" t="str">
        <f t="shared" si="7"/>
        <v/>
      </c>
      <c r="U346" s="136"/>
      <c r="V346" s="136"/>
      <c r="W346" s="136"/>
      <c r="X346" s="136"/>
      <c r="Y346" s="145"/>
      <c r="Z346" s="145"/>
    </row>
    <row r="347">
      <c r="E347" s="136"/>
      <c r="F347" s="136"/>
      <c r="G347" s="136"/>
      <c r="H347" s="137" t="str">
        <f t="shared" si="1"/>
        <v/>
      </c>
      <c r="I347" s="136"/>
      <c r="J347" s="136"/>
      <c r="K347" s="136"/>
      <c r="L347" s="136"/>
      <c r="M347" s="136"/>
      <c r="N347" s="136"/>
      <c r="O347" s="142" t="str">
        <f t="shared" si="2"/>
        <v/>
      </c>
      <c r="P347" s="140" t="str">
        <f t="shared" si="3"/>
        <v/>
      </c>
      <c r="Q347" s="139" t="str">
        <f t="shared" si="4"/>
        <v/>
      </c>
      <c r="R347" s="139" t="str">
        <f t="shared" si="5"/>
        <v/>
      </c>
      <c r="S347" s="139" t="str">
        <f t="shared" si="6"/>
        <v/>
      </c>
      <c r="T347" s="140" t="str">
        <f t="shared" si="7"/>
        <v/>
      </c>
      <c r="U347" s="136"/>
      <c r="V347" s="136"/>
      <c r="W347" s="136"/>
      <c r="X347" s="136"/>
      <c r="Y347" s="145"/>
      <c r="Z347" s="145"/>
    </row>
    <row r="348">
      <c r="E348" s="136"/>
      <c r="F348" s="136"/>
      <c r="G348" s="136"/>
      <c r="H348" s="137" t="str">
        <f t="shared" si="1"/>
        <v/>
      </c>
      <c r="I348" s="136"/>
      <c r="J348" s="136"/>
      <c r="K348" s="136"/>
      <c r="L348" s="136"/>
      <c r="M348" s="136"/>
      <c r="N348" s="136"/>
      <c r="O348" s="142" t="str">
        <f t="shared" si="2"/>
        <v/>
      </c>
      <c r="P348" s="140" t="str">
        <f t="shared" si="3"/>
        <v/>
      </c>
      <c r="Q348" s="139" t="str">
        <f t="shared" si="4"/>
        <v/>
      </c>
      <c r="R348" s="139" t="str">
        <f t="shared" si="5"/>
        <v/>
      </c>
      <c r="S348" s="139" t="str">
        <f t="shared" si="6"/>
        <v/>
      </c>
      <c r="T348" s="140" t="str">
        <f t="shared" si="7"/>
        <v/>
      </c>
      <c r="U348" s="136"/>
      <c r="V348" s="136"/>
      <c r="W348" s="136"/>
      <c r="X348" s="136"/>
      <c r="Y348" s="145"/>
      <c r="Z348" s="145"/>
    </row>
    <row r="349">
      <c r="E349" s="136"/>
      <c r="F349" s="136"/>
      <c r="G349" s="136"/>
      <c r="H349" s="137" t="str">
        <f t="shared" si="1"/>
        <v/>
      </c>
      <c r="I349" s="136"/>
      <c r="J349" s="136"/>
      <c r="K349" s="136"/>
      <c r="L349" s="136"/>
      <c r="M349" s="136"/>
      <c r="N349" s="136"/>
      <c r="O349" s="142" t="str">
        <f t="shared" si="2"/>
        <v/>
      </c>
      <c r="P349" s="140" t="str">
        <f t="shared" si="3"/>
        <v/>
      </c>
      <c r="Q349" s="139" t="str">
        <f t="shared" si="4"/>
        <v/>
      </c>
      <c r="R349" s="139" t="str">
        <f t="shared" si="5"/>
        <v/>
      </c>
      <c r="S349" s="139" t="str">
        <f t="shared" si="6"/>
        <v/>
      </c>
      <c r="T349" s="140" t="str">
        <f t="shared" si="7"/>
        <v/>
      </c>
      <c r="U349" s="136"/>
      <c r="V349" s="136"/>
      <c r="W349" s="136"/>
      <c r="X349" s="136"/>
      <c r="Y349" s="145"/>
      <c r="Z349" s="145"/>
    </row>
    <row r="350">
      <c r="E350" s="136"/>
      <c r="F350" s="136"/>
      <c r="G350" s="136"/>
      <c r="H350" s="137" t="str">
        <f t="shared" si="1"/>
        <v/>
      </c>
      <c r="I350" s="136"/>
      <c r="J350" s="136"/>
      <c r="K350" s="136"/>
      <c r="L350" s="136"/>
      <c r="M350" s="136"/>
      <c r="N350" s="136"/>
      <c r="O350" s="142" t="str">
        <f t="shared" si="2"/>
        <v/>
      </c>
      <c r="P350" s="140" t="str">
        <f t="shared" si="3"/>
        <v/>
      </c>
      <c r="Q350" s="139" t="str">
        <f t="shared" si="4"/>
        <v/>
      </c>
      <c r="R350" s="139" t="str">
        <f t="shared" si="5"/>
        <v/>
      </c>
      <c r="S350" s="139" t="str">
        <f t="shared" si="6"/>
        <v/>
      </c>
      <c r="T350" s="140" t="str">
        <f t="shared" si="7"/>
        <v/>
      </c>
      <c r="U350" s="136"/>
      <c r="V350" s="136"/>
      <c r="W350" s="136"/>
      <c r="X350" s="136"/>
      <c r="Y350" s="145"/>
      <c r="Z350" s="145"/>
    </row>
    <row r="351">
      <c r="E351" s="136"/>
      <c r="F351" s="136"/>
      <c r="G351" s="136"/>
      <c r="H351" s="137" t="str">
        <f t="shared" si="1"/>
        <v/>
      </c>
      <c r="I351" s="136"/>
      <c r="J351" s="136"/>
      <c r="K351" s="136"/>
      <c r="L351" s="136"/>
      <c r="M351" s="136"/>
      <c r="N351" s="136"/>
      <c r="O351" s="142" t="str">
        <f t="shared" si="2"/>
        <v/>
      </c>
      <c r="P351" s="140" t="str">
        <f t="shared" si="3"/>
        <v/>
      </c>
      <c r="Q351" s="139" t="str">
        <f t="shared" si="4"/>
        <v/>
      </c>
      <c r="R351" s="139" t="str">
        <f t="shared" si="5"/>
        <v/>
      </c>
      <c r="S351" s="139" t="str">
        <f t="shared" si="6"/>
        <v/>
      </c>
      <c r="T351" s="140" t="str">
        <f t="shared" si="7"/>
        <v/>
      </c>
      <c r="U351" s="136"/>
      <c r="V351" s="136"/>
      <c r="W351" s="136"/>
      <c r="X351" s="136"/>
      <c r="Y351" s="145"/>
      <c r="Z351" s="145"/>
    </row>
    <row r="352">
      <c r="E352" s="136"/>
      <c r="F352" s="136"/>
      <c r="G352" s="136"/>
      <c r="H352" s="137" t="str">
        <f t="shared" si="1"/>
        <v/>
      </c>
      <c r="I352" s="136"/>
      <c r="J352" s="136"/>
      <c r="K352" s="136"/>
      <c r="L352" s="136"/>
      <c r="M352" s="136"/>
      <c r="N352" s="136"/>
      <c r="O352" s="142" t="str">
        <f t="shared" si="2"/>
        <v/>
      </c>
      <c r="P352" s="140" t="str">
        <f t="shared" si="3"/>
        <v/>
      </c>
      <c r="Q352" s="139" t="str">
        <f t="shared" si="4"/>
        <v/>
      </c>
      <c r="R352" s="139" t="str">
        <f t="shared" si="5"/>
        <v/>
      </c>
      <c r="S352" s="139" t="str">
        <f t="shared" si="6"/>
        <v/>
      </c>
      <c r="T352" s="140" t="str">
        <f t="shared" si="7"/>
        <v/>
      </c>
      <c r="U352" s="136"/>
      <c r="V352" s="136"/>
      <c r="W352" s="136"/>
      <c r="X352" s="136"/>
      <c r="Y352" s="145"/>
      <c r="Z352" s="145"/>
    </row>
    <row r="353">
      <c r="E353" s="136"/>
      <c r="F353" s="136"/>
      <c r="G353" s="136"/>
      <c r="H353" s="137" t="str">
        <f t="shared" si="1"/>
        <v/>
      </c>
      <c r="I353" s="136"/>
      <c r="J353" s="136"/>
      <c r="K353" s="136"/>
      <c r="L353" s="136"/>
      <c r="M353" s="136"/>
      <c r="N353" s="136"/>
      <c r="O353" s="142" t="str">
        <f t="shared" si="2"/>
        <v/>
      </c>
      <c r="P353" s="140" t="str">
        <f t="shared" si="3"/>
        <v/>
      </c>
      <c r="Q353" s="139" t="str">
        <f t="shared" si="4"/>
        <v/>
      </c>
      <c r="R353" s="139" t="str">
        <f t="shared" si="5"/>
        <v/>
      </c>
      <c r="S353" s="139" t="str">
        <f t="shared" si="6"/>
        <v/>
      </c>
      <c r="T353" s="140" t="str">
        <f t="shared" si="7"/>
        <v/>
      </c>
      <c r="U353" s="136"/>
      <c r="V353" s="136"/>
      <c r="W353" s="136"/>
      <c r="X353" s="136"/>
      <c r="Y353" s="145"/>
      <c r="Z353" s="145"/>
    </row>
    <row r="354">
      <c r="E354" s="136"/>
      <c r="F354" s="136"/>
      <c r="G354" s="136"/>
      <c r="H354" s="137" t="str">
        <f t="shared" si="1"/>
        <v/>
      </c>
      <c r="I354" s="136"/>
      <c r="J354" s="136"/>
      <c r="K354" s="136"/>
      <c r="L354" s="136"/>
      <c r="M354" s="136"/>
      <c r="N354" s="136"/>
      <c r="O354" s="142" t="str">
        <f t="shared" si="2"/>
        <v/>
      </c>
      <c r="P354" s="140" t="str">
        <f t="shared" si="3"/>
        <v/>
      </c>
      <c r="Q354" s="139" t="str">
        <f t="shared" si="4"/>
        <v/>
      </c>
      <c r="R354" s="139" t="str">
        <f t="shared" si="5"/>
        <v/>
      </c>
      <c r="S354" s="139" t="str">
        <f t="shared" si="6"/>
        <v/>
      </c>
      <c r="T354" s="140" t="str">
        <f t="shared" si="7"/>
        <v/>
      </c>
      <c r="U354" s="136"/>
      <c r="V354" s="136"/>
      <c r="W354" s="136"/>
      <c r="X354" s="136"/>
      <c r="Y354" s="145"/>
      <c r="Z354" s="145"/>
    </row>
    <row r="355">
      <c r="E355" s="136"/>
      <c r="F355" s="136"/>
      <c r="G355" s="136"/>
      <c r="H355" s="137" t="str">
        <f t="shared" si="1"/>
        <v/>
      </c>
      <c r="I355" s="136"/>
      <c r="J355" s="136"/>
      <c r="K355" s="136"/>
      <c r="L355" s="136"/>
      <c r="M355" s="136"/>
      <c r="N355" s="136"/>
      <c r="O355" s="142" t="str">
        <f t="shared" si="2"/>
        <v/>
      </c>
      <c r="P355" s="140" t="str">
        <f t="shared" si="3"/>
        <v/>
      </c>
      <c r="Q355" s="139" t="str">
        <f t="shared" si="4"/>
        <v/>
      </c>
      <c r="R355" s="139" t="str">
        <f t="shared" si="5"/>
        <v/>
      </c>
      <c r="S355" s="139" t="str">
        <f t="shared" si="6"/>
        <v/>
      </c>
      <c r="T355" s="140" t="str">
        <f t="shared" si="7"/>
        <v/>
      </c>
      <c r="U355" s="136"/>
      <c r="V355" s="136"/>
      <c r="W355" s="136"/>
      <c r="X355" s="136"/>
      <c r="Y355" s="145"/>
      <c r="Z355" s="145"/>
    </row>
    <row r="356">
      <c r="E356" s="136"/>
      <c r="F356" s="136"/>
      <c r="G356" s="136"/>
      <c r="H356" s="137" t="str">
        <f t="shared" si="1"/>
        <v/>
      </c>
      <c r="I356" s="136"/>
      <c r="J356" s="136"/>
      <c r="K356" s="136"/>
      <c r="L356" s="136"/>
      <c r="M356" s="136"/>
      <c r="N356" s="136"/>
      <c r="O356" s="142" t="str">
        <f t="shared" si="2"/>
        <v/>
      </c>
      <c r="P356" s="140" t="str">
        <f t="shared" si="3"/>
        <v/>
      </c>
      <c r="Q356" s="139" t="str">
        <f t="shared" si="4"/>
        <v/>
      </c>
      <c r="R356" s="139" t="str">
        <f t="shared" si="5"/>
        <v/>
      </c>
      <c r="S356" s="139" t="str">
        <f t="shared" si="6"/>
        <v/>
      </c>
      <c r="T356" s="140" t="str">
        <f t="shared" si="7"/>
        <v/>
      </c>
      <c r="U356" s="136"/>
      <c r="V356" s="136"/>
      <c r="W356" s="136"/>
      <c r="X356" s="136"/>
      <c r="Y356" s="145"/>
      <c r="Z356" s="145"/>
    </row>
    <row r="357">
      <c r="E357" s="136"/>
      <c r="F357" s="136"/>
      <c r="G357" s="136"/>
      <c r="H357" s="137" t="str">
        <f t="shared" si="1"/>
        <v/>
      </c>
      <c r="I357" s="136"/>
      <c r="J357" s="136"/>
      <c r="K357" s="136"/>
      <c r="L357" s="136"/>
      <c r="M357" s="136"/>
      <c r="N357" s="136"/>
      <c r="O357" s="142" t="str">
        <f t="shared" si="2"/>
        <v/>
      </c>
      <c r="P357" s="140" t="str">
        <f t="shared" si="3"/>
        <v/>
      </c>
      <c r="Q357" s="139" t="str">
        <f t="shared" si="4"/>
        <v/>
      </c>
      <c r="R357" s="139" t="str">
        <f t="shared" si="5"/>
        <v/>
      </c>
      <c r="S357" s="139" t="str">
        <f t="shared" si="6"/>
        <v/>
      </c>
      <c r="T357" s="140" t="str">
        <f t="shared" si="7"/>
        <v/>
      </c>
      <c r="U357" s="136"/>
      <c r="V357" s="136"/>
      <c r="W357" s="136"/>
      <c r="X357" s="136"/>
      <c r="Y357" s="145"/>
      <c r="Z357" s="145"/>
    </row>
    <row r="358">
      <c r="E358" s="136"/>
      <c r="F358" s="136"/>
      <c r="G358" s="136"/>
      <c r="H358" s="137" t="str">
        <f t="shared" si="1"/>
        <v/>
      </c>
      <c r="I358" s="136"/>
      <c r="J358" s="136"/>
      <c r="K358" s="136"/>
      <c r="L358" s="136"/>
      <c r="M358" s="136"/>
      <c r="N358" s="136"/>
      <c r="O358" s="142" t="str">
        <f t="shared" si="2"/>
        <v/>
      </c>
      <c r="P358" s="140" t="str">
        <f t="shared" si="3"/>
        <v/>
      </c>
      <c r="Q358" s="139" t="str">
        <f t="shared" si="4"/>
        <v/>
      </c>
      <c r="R358" s="139" t="str">
        <f t="shared" si="5"/>
        <v/>
      </c>
      <c r="S358" s="139" t="str">
        <f t="shared" si="6"/>
        <v/>
      </c>
      <c r="T358" s="140" t="str">
        <f t="shared" si="7"/>
        <v/>
      </c>
      <c r="U358" s="136"/>
      <c r="V358" s="136"/>
      <c r="W358" s="136"/>
      <c r="X358" s="136"/>
      <c r="Y358" s="145"/>
      <c r="Z358" s="145"/>
    </row>
    <row r="359">
      <c r="E359" s="136"/>
      <c r="F359" s="136"/>
      <c r="G359" s="136"/>
      <c r="H359" s="137" t="str">
        <f t="shared" si="1"/>
        <v/>
      </c>
      <c r="I359" s="136"/>
      <c r="J359" s="136"/>
      <c r="K359" s="136"/>
      <c r="L359" s="136"/>
      <c r="M359" s="136"/>
      <c r="N359" s="136"/>
      <c r="O359" s="142" t="str">
        <f t="shared" si="2"/>
        <v/>
      </c>
      <c r="P359" s="140" t="str">
        <f t="shared" si="3"/>
        <v/>
      </c>
      <c r="Q359" s="139" t="str">
        <f t="shared" si="4"/>
        <v/>
      </c>
      <c r="R359" s="139" t="str">
        <f t="shared" si="5"/>
        <v/>
      </c>
      <c r="S359" s="139" t="str">
        <f t="shared" si="6"/>
        <v/>
      </c>
      <c r="T359" s="140" t="str">
        <f t="shared" si="7"/>
        <v/>
      </c>
      <c r="U359" s="136"/>
      <c r="V359" s="136"/>
      <c r="W359" s="136"/>
      <c r="X359" s="136"/>
      <c r="Y359" s="145"/>
      <c r="Z359" s="145"/>
    </row>
    <row r="360">
      <c r="E360" s="136"/>
      <c r="F360" s="136"/>
      <c r="G360" s="136"/>
      <c r="H360" s="137" t="str">
        <f t="shared" si="1"/>
        <v/>
      </c>
      <c r="I360" s="136"/>
      <c r="J360" s="136"/>
      <c r="K360" s="136"/>
      <c r="L360" s="136"/>
      <c r="M360" s="136"/>
      <c r="N360" s="136"/>
      <c r="O360" s="142" t="str">
        <f t="shared" si="2"/>
        <v/>
      </c>
      <c r="P360" s="140" t="str">
        <f t="shared" si="3"/>
        <v/>
      </c>
      <c r="Q360" s="139" t="str">
        <f t="shared" si="4"/>
        <v/>
      </c>
      <c r="R360" s="139" t="str">
        <f t="shared" si="5"/>
        <v/>
      </c>
      <c r="S360" s="139" t="str">
        <f t="shared" si="6"/>
        <v/>
      </c>
      <c r="T360" s="140" t="str">
        <f t="shared" si="7"/>
        <v/>
      </c>
      <c r="U360" s="136"/>
      <c r="V360" s="136"/>
      <c r="W360" s="136"/>
      <c r="X360" s="136"/>
      <c r="Y360" s="145"/>
      <c r="Z360" s="145"/>
    </row>
    <row r="361">
      <c r="E361" s="136"/>
      <c r="F361" s="136"/>
      <c r="G361" s="136"/>
      <c r="H361" s="137" t="str">
        <f t="shared" si="1"/>
        <v/>
      </c>
      <c r="I361" s="136"/>
      <c r="J361" s="136"/>
      <c r="K361" s="136"/>
      <c r="L361" s="136"/>
      <c r="M361" s="136"/>
      <c r="N361" s="136"/>
      <c r="O361" s="142" t="str">
        <f t="shared" si="2"/>
        <v/>
      </c>
      <c r="P361" s="140" t="str">
        <f t="shared" si="3"/>
        <v/>
      </c>
      <c r="Q361" s="139" t="str">
        <f t="shared" si="4"/>
        <v/>
      </c>
      <c r="R361" s="139" t="str">
        <f t="shared" si="5"/>
        <v/>
      </c>
      <c r="S361" s="139" t="str">
        <f t="shared" si="6"/>
        <v/>
      </c>
      <c r="T361" s="140" t="str">
        <f t="shared" si="7"/>
        <v/>
      </c>
      <c r="U361" s="136"/>
      <c r="V361" s="136"/>
      <c r="W361" s="136"/>
      <c r="X361" s="136"/>
      <c r="Y361" s="145"/>
      <c r="Z361" s="145"/>
    </row>
    <row r="362">
      <c r="E362" s="136"/>
      <c r="F362" s="136"/>
      <c r="G362" s="136"/>
      <c r="H362" s="137" t="str">
        <f t="shared" si="1"/>
        <v/>
      </c>
      <c r="I362" s="136"/>
      <c r="J362" s="136"/>
      <c r="K362" s="136"/>
      <c r="L362" s="136"/>
      <c r="M362" s="136"/>
      <c r="N362" s="136"/>
      <c r="O362" s="142" t="str">
        <f t="shared" si="2"/>
        <v/>
      </c>
      <c r="P362" s="140" t="str">
        <f t="shared" si="3"/>
        <v/>
      </c>
      <c r="Q362" s="139" t="str">
        <f t="shared" si="4"/>
        <v/>
      </c>
      <c r="R362" s="139" t="str">
        <f t="shared" si="5"/>
        <v/>
      </c>
      <c r="S362" s="139" t="str">
        <f t="shared" si="6"/>
        <v/>
      </c>
      <c r="T362" s="140" t="str">
        <f t="shared" si="7"/>
        <v/>
      </c>
      <c r="U362" s="136"/>
      <c r="V362" s="136"/>
      <c r="W362" s="136"/>
      <c r="X362" s="136"/>
      <c r="Y362" s="145"/>
      <c r="Z362" s="145"/>
    </row>
    <row r="363">
      <c r="E363" s="136"/>
      <c r="F363" s="136"/>
      <c r="G363" s="136"/>
      <c r="H363" s="137" t="str">
        <f t="shared" si="1"/>
        <v/>
      </c>
      <c r="I363" s="136"/>
      <c r="J363" s="136"/>
      <c r="K363" s="136"/>
      <c r="L363" s="136"/>
      <c r="M363" s="136"/>
      <c r="N363" s="136"/>
      <c r="O363" s="142" t="str">
        <f t="shared" si="2"/>
        <v/>
      </c>
      <c r="P363" s="140" t="str">
        <f t="shared" si="3"/>
        <v/>
      </c>
      <c r="Q363" s="139" t="str">
        <f t="shared" si="4"/>
        <v/>
      </c>
      <c r="R363" s="139" t="str">
        <f t="shared" si="5"/>
        <v/>
      </c>
      <c r="S363" s="139" t="str">
        <f t="shared" si="6"/>
        <v/>
      </c>
      <c r="T363" s="140" t="str">
        <f t="shared" si="7"/>
        <v/>
      </c>
      <c r="U363" s="136"/>
      <c r="V363" s="136"/>
      <c r="W363" s="136"/>
      <c r="X363" s="136"/>
      <c r="Y363" s="145"/>
      <c r="Z363" s="145"/>
    </row>
    <row r="364">
      <c r="E364" s="136"/>
      <c r="F364" s="136"/>
      <c r="G364" s="136"/>
      <c r="H364" s="137" t="str">
        <f t="shared" si="1"/>
        <v/>
      </c>
      <c r="I364" s="136"/>
      <c r="J364" s="136"/>
      <c r="K364" s="136"/>
      <c r="L364" s="136"/>
      <c r="M364" s="136"/>
      <c r="N364" s="136"/>
      <c r="O364" s="142" t="str">
        <f t="shared" si="2"/>
        <v/>
      </c>
      <c r="P364" s="140" t="str">
        <f t="shared" si="3"/>
        <v/>
      </c>
      <c r="Q364" s="139" t="str">
        <f t="shared" si="4"/>
        <v/>
      </c>
      <c r="R364" s="139" t="str">
        <f t="shared" si="5"/>
        <v/>
      </c>
      <c r="S364" s="139" t="str">
        <f t="shared" si="6"/>
        <v/>
      </c>
      <c r="T364" s="140" t="str">
        <f t="shared" si="7"/>
        <v/>
      </c>
      <c r="U364" s="136"/>
      <c r="V364" s="136"/>
      <c r="W364" s="136"/>
      <c r="X364" s="136"/>
      <c r="Y364" s="145"/>
      <c r="Z364" s="145"/>
    </row>
    <row r="365">
      <c r="E365" s="136"/>
      <c r="F365" s="136"/>
      <c r="G365" s="136"/>
      <c r="H365" s="137" t="str">
        <f t="shared" si="1"/>
        <v/>
      </c>
      <c r="I365" s="136"/>
      <c r="J365" s="136"/>
      <c r="K365" s="136"/>
      <c r="L365" s="136"/>
      <c r="M365" s="136"/>
      <c r="N365" s="136"/>
      <c r="O365" s="142" t="str">
        <f t="shared" si="2"/>
        <v/>
      </c>
      <c r="P365" s="140" t="str">
        <f t="shared" si="3"/>
        <v/>
      </c>
      <c r="Q365" s="139" t="str">
        <f t="shared" si="4"/>
        <v/>
      </c>
      <c r="R365" s="139" t="str">
        <f t="shared" si="5"/>
        <v/>
      </c>
      <c r="S365" s="139" t="str">
        <f t="shared" si="6"/>
        <v/>
      </c>
      <c r="T365" s="140" t="str">
        <f t="shared" si="7"/>
        <v/>
      </c>
      <c r="U365" s="136"/>
      <c r="V365" s="136"/>
      <c r="W365" s="136"/>
      <c r="X365" s="136"/>
      <c r="Y365" s="145"/>
      <c r="Z365" s="145"/>
    </row>
    <row r="366">
      <c r="E366" s="136"/>
      <c r="F366" s="136"/>
      <c r="G366" s="136"/>
      <c r="H366" s="137" t="str">
        <f t="shared" si="1"/>
        <v/>
      </c>
      <c r="I366" s="136"/>
      <c r="J366" s="136"/>
      <c r="K366" s="136"/>
      <c r="L366" s="136"/>
      <c r="M366" s="136"/>
      <c r="N366" s="136"/>
      <c r="O366" s="142" t="str">
        <f t="shared" si="2"/>
        <v/>
      </c>
      <c r="P366" s="140" t="str">
        <f t="shared" si="3"/>
        <v/>
      </c>
      <c r="Q366" s="139" t="str">
        <f t="shared" si="4"/>
        <v/>
      </c>
      <c r="R366" s="139" t="str">
        <f t="shared" si="5"/>
        <v/>
      </c>
      <c r="S366" s="139" t="str">
        <f t="shared" si="6"/>
        <v/>
      </c>
      <c r="T366" s="140" t="str">
        <f t="shared" si="7"/>
        <v/>
      </c>
      <c r="U366" s="136"/>
      <c r="V366" s="136"/>
      <c r="W366" s="136"/>
      <c r="X366" s="136"/>
      <c r="Y366" s="145"/>
      <c r="Z366" s="145"/>
    </row>
    <row r="367">
      <c r="E367" s="136"/>
      <c r="F367" s="136"/>
      <c r="G367" s="136"/>
      <c r="H367" s="137" t="str">
        <f t="shared" si="1"/>
        <v/>
      </c>
      <c r="I367" s="136"/>
      <c r="J367" s="136"/>
      <c r="K367" s="136"/>
      <c r="L367" s="136"/>
      <c r="M367" s="136"/>
      <c r="N367" s="136"/>
      <c r="O367" s="142" t="str">
        <f t="shared" si="2"/>
        <v/>
      </c>
      <c r="P367" s="140" t="str">
        <f t="shared" si="3"/>
        <v/>
      </c>
      <c r="Q367" s="139" t="str">
        <f t="shared" si="4"/>
        <v/>
      </c>
      <c r="R367" s="139" t="str">
        <f t="shared" si="5"/>
        <v/>
      </c>
      <c r="S367" s="139" t="str">
        <f t="shared" si="6"/>
        <v/>
      </c>
      <c r="T367" s="140" t="str">
        <f t="shared" si="7"/>
        <v/>
      </c>
      <c r="U367" s="136"/>
      <c r="V367" s="136"/>
      <c r="W367" s="136"/>
      <c r="X367" s="136"/>
      <c r="Y367" s="145"/>
      <c r="Z367" s="145"/>
    </row>
    <row r="368">
      <c r="E368" s="136"/>
      <c r="F368" s="136"/>
      <c r="G368" s="136"/>
      <c r="H368" s="137" t="str">
        <f t="shared" si="1"/>
        <v/>
      </c>
      <c r="I368" s="136"/>
      <c r="J368" s="136"/>
      <c r="K368" s="136"/>
      <c r="L368" s="136"/>
      <c r="M368" s="136"/>
      <c r="N368" s="136"/>
      <c r="O368" s="142" t="str">
        <f t="shared" si="2"/>
        <v/>
      </c>
      <c r="P368" s="140" t="str">
        <f t="shared" si="3"/>
        <v/>
      </c>
      <c r="Q368" s="139" t="str">
        <f t="shared" si="4"/>
        <v/>
      </c>
      <c r="R368" s="139" t="str">
        <f t="shared" si="5"/>
        <v/>
      </c>
      <c r="S368" s="139" t="str">
        <f t="shared" si="6"/>
        <v/>
      </c>
      <c r="T368" s="140" t="str">
        <f t="shared" si="7"/>
        <v/>
      </c>
      <c r="U368" s="136"/>
      <c r="V368" s="136"/>
      <c r="W368" s="136"/>
      <c r="X368" s="136"/>
      <c r="Y368" s="145"/>
      <c r="Z368" s="145"/>
    </row>
    <row r="369">
      <c r="E369" s="136"/>
      <c r="F369" s="136"/>
      <c r="G369" s="136"/>
      <c r="H369" s="137" t="str">
        <f t="shared" si="1"/>
        <v/>
      </c>
      <c r="I369" s="136"/>
      <c r="J369" s="136"/>
      <c r="K369" s="136"/>
      <c r="L369" s="136"/>
      <c r="M369" s="136"/>
      <c r="N369" s="136"/>
      <c r="O369" s="142" t="str">
        <f t="shared" si="2"/>
        <v/>
      </c>
      <c r="P369" s="140" t="str">
        <f t="shared" si="3"/>
        <v/>
      </c>
      <c r="Q369" s="139" t="str">
        <f t="shared" si="4"/>
        <v/>
      </c>
      <c r="R369" s="139" t="str">
        <f t="shared" si="5"/>
        <v/>
      </c>
      <c r="S369" s="139" t="str">
        <f t="shared" si="6"/>
        <v/>
      </c>
      <c r="T369" s="140" t="str">
        <f t="shared" si="7"/>
        <v/>
      </c>
      <c r="U369" s="136"/>
      <c r="V369" s="136"/>
      <c r="W369" s="136"/>
      <c r="X369" s="136"/>
      <c r="Y369" s="145"/>
      <c r="Z369" s="145"/>
    </row>
    <row r="370">
      <c r="E370" s="136"/>
      <c r="F370" s="136"/>
      <c r="G370" s="136"/>
      <c r="H370" s="137" t="str">
        <f t="shared" si="1"/>
        <v/>
      </c>
      <c r="I370" s="136"/>
      <c r="J370" s="136"/>
      <c r="K370" s="136"/>
      <c r="L370" s="136"/>
      <c r="M370" s="136"/>
      <c r="N370" s="136"/>
      <c r="O370" s="142" t="str">
        <f t="shared" si="2"/>
        <v/>
      </c>
      <c r="P370" s="140" t="str">
        <f t="shared" si="3"/>
        <v/>
      </c>
      <c r="Q370" s="139" t="str">
        <f t="shared" si="4"/>
        <v/>
      </c>
      <c r="R370" s="139" t="str">
        <f t="shared" si="5"/>
        <v/>
      </c>
      <c r="S370" s="139" t="str">
        <f t="shared" si="6"/>
        <v/>
      </c>
      <c r="T370" s="140" t="str">
        <f t="shared" si="7"/>
        <v/>
      </c>
      <c r="U370" s="136"/>
      <c r="V370" s="136"/>
      <c r="W370" s="136"/>
      <c r="X370" s="136"/>
      <c r="Y370" s="145"/>
      <c r="Z370" s="145"/>
    </row>
    <row r="371">
      <c r="E371" s="136"/>
      <c r="F371" s="136"/>
      <c r="G371" s="136"/>
      <c r="H371" s="137" t="str">
        <f t="shared" si="1"/>
        <v/>
      </c>
      <c r="I371" s="136"/>
      <c r="J371" s="136"/>
      <c r="K371" s="136"/>
      <c r="L371" s="136"/>
      <c r="M371" s="136"/>
      <c r="N371" s="136"/>
      <c r="O371" s="142" t="str">
        <f t="shared" si="2"/>
        <v/>
      </c>
      <c r="P371" s="140" t="str">
        <f t="shared" si="3"/>
        <v/>
      </c>
      <c r="Q371" s="139" t="str">
        <f t="shared" si="4"/>
        <v/>
      </c>
      <c r="R371" s="139" t="str">
        <f t="shared" si="5"/>
        <v/>
      </c>
      <c r="S371" s="139" t="str">
        <f t="shared" si="6"/>
        <v/>
      </c>
      <c r="T371" s="140" t="str">
        <f t="shared" si="7"/>
        <v/>
      </c>
      <c r="U371" s="136"/>
      <c r="V371" s="136"/>
      <c r="W371" s="136"/>
      <c r="X371" s="136"/>
      <c r="Y371" s="145"/>
      <c r="Z371" s="145"/>
    </row>
    <row r="372">
      <c r="E372" s="136"/>
      <c r="F372" s="136"/>
      <c r="G372" s="136"/>
      <c r="H372" s="137" t="str">
        <f t="shared" si="1"/>
        <v/>
      </c>
      <c r="I372" s="136"/>
      <c r="J372" s="136"/>
      <c r="K372" s="136"/>
      <c r="L372" s="136"/>
      <c r="M372" s="136"/>
      <c r="N372" s="136"/>
      <c r="O372" s="142" t="str">
        <f t="shared" si="2"/>
        <v/>
      </c>
      <c r="P372" s="140" t="str">
        <f t="shared" si="3"/>
        <v/>
      </c>
      <c r="Q372" s="139" t="str">
        <f t="shared" si="4"/>
        <v/>
      </c>
      <c r="R372" s="139" t="str">
        <f t="shared" si="5"/>
        <v/>
      </c>
      <c r="S372" s="139" t="str">
        <f t="shared" si="6"/>
        <v/>
      </c>
      <c r="T372" s="140" t="str">
        <f t="shared" si="7"/>
        <v/>
      </c>
      <c r="U372" s="136"/>
      <c r="V372" s="136"/>
      <c r="W372" s="136"/>
      <c r="X372" s="136"/>
      <c r="Y372" s="145"/>
      <c r="Z372" s="145"/>
    </row>
    <row r="373">
      <c r="E373" s="136"/>
      <c r="F373" s="136"/>
      <c r="G373" s="136"/>
      <c r="H373" s="137" t="str">
        <f t="shared" si="1"/>
        <v/>
      </c>
      <c r="I373" s="136"/>
      <c r="J373" s="136"/>
      <c r="K373" s="136"/>
      <c r="L373" s="136"/>
      <c r="M373" s="136"/>
      <c r="N373" s="136"/>
      <c r="O373" s="142" t="str">
        <f t="shared" si="2"/>
        <v/>
      </c>
      <c r="P373" s="140" t="str">
        <f t="shared" si="3"/>
        <v/>
      </c>
      <c r="Q373" s="139" t="str">
        <f t="shared" si="4"/>
        <v/>
      </c>
      <c r="R373" s="139" t="str">
        <f t="shared" si="5"/>
        <v/>
      </c>
      <c r="S373" s="139" t="str">
        <f t="shared" si="6"/>
        <v/>
      </c>
      <c r="T373" s="140" t="str">
        <f t="shared" si="7"/>
        <v/>
      </c>
      <c r="U373" s="136"/>
      <c r="V373" s="136"/>
      <c r="W373" s="136"/>
      <c r="X373" s="136"/>
      <c r="Y373" s="145"/>
      <c r="Z373" s="145"/>
    </row>
    <row r="374">
      <c r="E374" s="136"/>
      <c r="F374" s="136"/>
      <c r="G374" s="136"/>
      <c r="H374" s="137" t="str">
        <f t="shared" si="1"/>
        <v/>
      </c>
      <c r="I374" s="136"/>
      <c r="J374" s="136"/>
      <c r="K374" s="136"/>
      <c r="L374" s="136"/>
      <c r="M374" s="136"/>
      <c r="N374" s="136"/>
      <c r="O374" s="142" t="str">
        <f t="shared" si="2"/>
        <v/>
      </c>
      <c r="P374" s="140" t="str">
        <f t="shared" si="3"/>
        <v/>
      </c>
      <c r="Q374" s="139" t="str">
        <f t="shared" si="4"/>
        <v/>
      </c>
      <c r="R374" s="139" t="str">
        <f t="shared" si="5"/>
        <v/>
      </c>
      <c r="S374" s="139" t="str">
        <f t="shared" si="6"/>
        <v/>
      </c>
      <c r="T374" s="140" t="str">
        <f t="shared" si="7"/>
        <v/>
      </c>
      <c r="U374" s="136"/>
      <c r="V374" s="136"/>
      <c r="W374" s="136"/>
      <c r="X374" s="136"/>
      <c r="Y374" s="145"/>
      <c r="Z374" s="145"/>
    </row>
    <row r="375">
      <c r="E375" s="136"/>
      <c r="F375" s="136"/>
      <c r="G375" s="136"/>
      <c r="H375" s="137" t="str">
        <f t="shared" si="1"/>
        <v/>
      </c>
      <c r="I375" s="136"/>
      <c r="J375" s="136"/>
      <c r="K375" s="136"/>
      <c r="L375" s="136"/>
      <c r="M375" s="136"/>
      <c r="N375" s="136"/>
      <c r="O375" s="142" t="str">
        <f t="shared" si="2"/>
        <v/>
      </c>
      <c r="P375" s="140" t="str">
        <f t="shared" si="3"/>
        <v/>
      </c>
      <c r="Q375" s="139" t="str">
        <f t="shared" si="4"/>
        <v/>
      </c>
      <c r="R375" s="139" t="str">
        <f t="shared" si="5"/>
        <v/>
      </c>
      <c r="S375" s="139" t="str">
        <f t="shared" si="6"/>
        <v/>
      </c>
      <c r="T375" s="140" t="str">
        <f t="shared" si="7"/>
        <v/>
      </c>
      <c r="U375" s="136"/>
      <c r="V375" s="136"/>
      <c r="W375" s="136"/>
      <c r="X375" s="136"/>
      <c r="Y375" s="145"/>
      <c r="Z375" s="145"/>
    </row>
    <row r="376">
      <c r="E376" s="136"/>
      <c r="F376" s="136"/>
      <c r="G376" s="136"/>
      <c r="H376" s="137" t="str">
        <f t="shared" si="1"/>
        <v/>
      </c>
      <c r="I376" s="136"/>
      <c r="J376" s="136"/>
      <c r="K376" s="136"/>
      <c r="L376" s="136"/>
      <c r="M376" s="136"/>
      <c r="N376" s="136"/>
      <c r="O376" s="142" t="str">
        <f t="shared" si="2"/>
        <v/>
      </c>
      <c r="P376" s="140" t="str">
        <f t="shared" si="3"/>
        <v/>
      </c>
      <c r="Q376" s="139" t="str">
        <f t="shared" si="4"/>
        <v/>
      </c>
      <c r="R376" s="139" t="str">
        <f t="shared" si="5"/>
        <v/>
      </c>
      <c r="S376" s="139" t="str">
        <f t="shared" si="6"/>
        <v/>
      </c>
      <c r="T376" s="140" t="str">
        <f t="shared" si="7"/>
        <v/>
      </c>
      <c r="U376" s="136"/>
      <c r="V376" s="136"/>
      <c r="W376" s="136"/>
      <c r="X376" s="136"/>
      <c r="Y376" s="145"/>
      <c r="Z376" s="145"/>
    </row>
    <row r="377">
      <c r="E377" s="136"/>
      <c r="F377" s="136"/>
      <c r="G377" s="136"/>
      <c r="H377" s="137" t="str">
        <f t="shared" si="1"/>
        <v/>
      </c>
      <c r="I377" s="136"/>
      <c r="J377" s="136"/>
      <c r="K377" s="136"/>
      <c r="L377" s="136"/>
      <c r="M377" s="136"/>
      <c r="N377" s="136"/>
      <c r="O377" s="142" t="str">
        <f t="shared" si="2"/>
        <v/>
      </c>
      <c r="P377" s="140" t="str">
        <f t="shared" si="3"/>
        <v/>
      </c>
      <c r="Q377" s="139" t="str">
        <f t="shared" si="4"/>
        <v/>
      </c>
      <c r="R377" s="139" t="str">
        <f t="shared" si="5"/>
        <v/>
      </c>
      <c r="S377" s="139" t="str">
        <f t="shared" si="6"/>
        <v/>
      </c>
      <c r="T377" s="140" t="str">
        <f t="shared" si="7"/>
        <v/>
      </c>
      <c r="U377" s="136"/>
      <c r="V377" s="136"/>
      <c r="W377" s="136"/>
      <c r="X377" s="136"/>
      <c r="Y377" s="145"/>
      <c r="Z377" s="145"/>
    </row>
    <row r="378">
      <c r="E378" s="136"/>
      <c r="F378" s="136"/>
      <c r="G378" s="136"/>
      <c r="H378" s="137" t="str">
        <f t="shared" si="1"/>
        <v/>
      </c>
      <c r="I378" s="136"/>
      <c r="J378" s="136"/>
      <c r="K378" s="136"/>
      <c r="L378" s="136"/>
      <c r="M378" s="136"/>
      <c r="N378" s="136"/>
      <c r="O378" s="142" t="str">
        <f t="shared" si="2"/>
        <v/>
      </c>
      <c r="P378" s="140" t="str">
        <f t="shared" si="3"/>
        <v/>
      </c>
      <c r="Q378" s="139" t="str">
        <f t="shared" si="4"/>
        <v/>
      </c>
      <c r="R378" s="139" t="str">
        <f t="shared" si="5"/>
        <v/>
      </c>
      <c r="S378" s="139" t="str">
        <f t="shared" si="6"/>
        <v/>
      </c>
      <c r="T378" s="140" t="str">
        <f t="shared" si="7"/>
        <v/>
      </c>
      <c r="U378" s="136"/>
      <c r="V378" s="136"/>
      <c r="W378" s="136"/>
      <c r="X378" s="136"/>
      <c r="Y378" s="145"/>
      <c r="Z378" s="145"/>
    </row>
    <row r="379">
      <c r="E379" s="136"/>
      <c r="F379" s="136"/>
      <c r="G379" s="136"/>
      <c r="H379" s="137" t="str">
        <f t="shared" si="1"/>
        <v/>
      </c>
      <c r="I379" s="136"/>
      <c r="J379" s="136"/>
      <c r="K379" s="136"/>
      <c r="L379" s="136"/>
      <c r="M379" s="136"/>
      <c r="N379" s="136"/>
      <c r="O379" s="142" t="str">
        <f t="shared" si="2"/>
        <v/>
      </c>
      <c r="P379" s="140" t="str">
        <f t="shared" si="3"/>
        <v/>
      </c>
      <c r="Q379" s="139" t="str">
        <f t="shared" si="4"/>
        <v/>
      </c>
      <c r="R379" s="139" t="str">
        <f t="shared" si="5"/>
        <v/>
      </c>
      <c r="S379" s="139" t="str">
        <f t="shared" si="6"/>
        <v/>
      </c>
      <c r="T379" s="140" t="str">
        <f t="shared" si="7"/>
        <v/>
      </c>
      <c r="U379" s="136"/>
      <c r="V379" s="136"/>
      <c r="W379" s="136"/>
      <c r="X379" s="136"/>
      <c r="Y379" s="145"/>
      <c r="Z379" s="145"/>
    </row>
    <row r="380">
      <c r="E380" s="136"/>
      <c r="F380" s="136"/>
      <c r="G380" s="136"/>
      <c r="H380" s="137" t="str">
        <f t="shared" si="1"/>
        <v/>
      </c>
      <c r="I380" s="136"/>
      <c r="J380" s="136"/>
      <c r="K380" s="136"/>
      <c r="L380" s="136"/>
      <c r="M380" s="136"/>
      <c r="N380" s="136"/>
      <c r="O380" s="142" t="str">
        <f t="shared" si="2"/>
        <v/>
      </c>
      <c r="P380" s="140" t="str">
        <f t="shared" si="3"/>
        <v/>
      </c>
      <c r="Q380" s="139" t="str">
        <f t="shared" si="4"/>
        <v/>
      </c>
      <c r="R380" s="139" t="str">
        <f t="shared" si="5"/>
        <v/>
      </c>
      <c r="S380" s="139" t="str">
        <f t="shared" si="6"/>
        <v/>
      </c>
      <c r="T380" s="140" t="str">
        <f t="shared" si="7"/>
        <v/>
      </c>
      <c r="U380" s="136"/>
      <c r="V380" s="136"/>
      <c r="W380" s="136"/>
      <c r="X380" s="136"/>
      <c r="Y380" s="145"/>
      <c r="Z380" s="145"/>
    </row>
    <row r="381">
      <c r="E381" s="136"/>
      <c r="F381" s="136"/>
      <c r="G381" s="136"/>
      <c r="H381" s="137" t="str">
        <f t="shared" si="1"/>
        <v/>
      </c>
      <c r="I381" s="136"/>
      <c r="J381" s="136"/>
      <c r="K381" s="136"/>
      <c r="L381" s="136"/>
      <c r="M381" s="136"/>
      <c r="N381" s="136"/>
      <c r="O381" s="142" t="str">
        <f t="shared" si="2"/>
        <v/>
      </c>
      <c r="P381" s="140" t="str">
        <f t="shared" si="3"/>
        <v/>
      </c>
      <c r="Q381" s="139" t="str">
        <f t="shared" si="4"/>
        <v/>
      </c>
      <c r="R381" s="139" t="str">
        <f t="shared" si="5"/>
        <v/>
      </c>
      <c r="S381" s="139" t="str">
        <f t="shared" si="6"/>
        <v/>
      </c>
      <c r="T381" s="140" t="str">
        <f t="shared" si="7"/>
        <v/>
      </c>
      <c r="U381" s="136"/>
      <c r="V381" s="136"/>
      <c r="W381" s="136"/>
      <c r="X381" s="136"/>
      <c r="Y381" s="145"/>
      <c r="Z381" s="145"/>
    </row>
    <row r="382">
      <c r="E382" s="136"/>
      <c r="F382" s="136"/>
      <c r="G382" s="136"/>
      <c r="H382" s="137" t="str">
        <f t="shared" si="1"/>
        <v/>
      </c>
      <c r="I382" s="136"/>
      <c r="J382" s="136"/>
      <c r="K382" s="136"/>
      <c r="L382" s="136"/>
      <c r="M382" s="136"/>
      <c r="N382" s="136"/>
      <c r="O382" s="142" t="str">
        <f t="shared" si="2"/>
        <v/>
      </c>
      <c r="P382" s="140" t="str">
        <f t="shared" si="3"/>
        <v/>
      </c>
      <c r="Q382" s="139" t="str">
        <f t="shared" si="4"/>
        <v/>
      </c>
      <c r="R382" s="139" t="str">
        <f t="shared" si="5"/>
        <v/>
      </c>
      <c r="S382" s="139" t="str">
        <f t="shared" si="6"/>
        <v/>
      </c>
      <c r="T382" s="140" t="str">
        <f t="shared" si="7"/>
        <v/>
      </c>
      <c r="U382" s="136"/>
      <c r="V382" s="136"/>
      <c r="W382" s="136"/>
      <c r="X382" s="136"/>
      <c r="Y382" s="145"/>
      <c r="Z382" s="145"/>
    </row>
    <row r="383">
      <c r="E383" s="136"/>
      <c r="F383" s="136"/>
      <c r="G383" s="136"/>
      <c r="H383" s="137" t="str">
        <f t="shared" si="1"/>
        <v/>
      </c>
      <c r="I383" s="136"/>
      <c r="J383" s="136"/>
      <c r="K383" s="136"/>
      <c r="L383" s="136"/>
      <c r="M383" s="136"/>
      <c r="N383" s="136"/>
      <c r="O383" s="142" t="str">
        <f t="shared" si="2"/>
        <v/>
      </c>
      <c r="P383" s="140" t="str">
        <f t="shared" si="3"/>
        <v/>
      </c>
      <c r="Q383" s="139" t="str">
        <f t="shared" si="4"/>
        <v/>
      </c>
      <c r="R383" s="139" t="str">
        <f t="shared" si="5"/>
        <v/>
      </c>
      <c r="S383" s="139" t="str">
        <f t="shared" si="6"/>
        <v/>
      </c>
      <c r="T383" s="140" t="str">
        <f t="shared" si="7"/>
        <v/>
      </c>
      <c r="U383" s="136"/>
      <c r="V383" s="136"/>
      <c r="W383" s="136"/>
      <c r="X383" s="136"/>
      <c r="Y383" s="145"/>
      <c r="Z383" s="145"/>
    </row>
    <row r="384">
      <c r="E384" s="136"/>
      <c r="F384" s="136"/>
      <c r="G384" s="136"/>
      <c r="H384" s="137" t="str">
        <f t="shared" si="1"/>
        <v/>
      </c>
      <c r="I384" s="136"/>
      <c r="J384" s="136"/>
      <c r="K384" s="136"/>
      <c r="L384" s="136"/>
      <c r="M384" s="136"/>
      <c r="N384" s="136"/>
      <c r="O384" s="142" t="str">
        <f t="shared" si="2"/>
        <v/>
      </c>
      <c r="P384" s="140" t="str">
        <f t="shared" si="3"/>
        <v/>
      </c>
      <c r="Q384" s="139" t="str">
        <f t="shared" si="4"/>
        <v/>
      </c>
      <c r="R384" s="139" t="str">
        <f t="shared" si="5"/>
        <v/>
      </c>
      <c r="S384" s="139" t="str">
        <f t="shared" si="6"/>
        <v/>
      </c>
      <c r="T384" s="140" t="str">
        <f t="shared" si="7"/>
        <v/>
      </c>
      <c r="U384" s="136"/>
      <c r="V384" s="136"/>
      <c r="W384" s="136"/>
      <c r="X384" s="136"/>
      <c r="Y384" s="145"/>
      <c r="Z384" s="145"/>
    </row>
    <row r="385">
      <c r="E385" s="136"/>
      <c r="F385" s="136"/>
      <c r="G385" s="136"/>
      <c r="H385" s="137" t="str">
        <f t="shared" si="1"/>
        <v/>
      </c>
      <c r="I385" s="136"/>
      <c r="J385" s="136"/>
      <c r="K385" s="136"/>
      <c r="L385" s="136"/>
      <c r="M385" s="136"/>
      <c r="N385" s="136"/>
      <c r="O385" s="142" t="str">
        <f t="shared" si="2"/>
        <v/>
      </c>
      <c r="P385" s="140" t="str">
        <f t="shared" si="3"/>
        <v/>
      </c>
      <c r="Q385" s="139" t="str">
        <f t="shared" si="4"/>
        <v/>
      </c>
      <c r="R385" s="139" t="str">
        <f t="shared" si="5"/>
        <v/>
      </c>
      <c r="S385" s="139" t="str">
        <f t="shared" si="6"/>
        <v/>
      </c>
      <c r="T385" s="140" t="str">
        <f t="shared" si="7"/>
        <v/>
      </c>
      <c r="U385" s="136"/>
      <c r="V385" s="136"/>
      <c r="W385" s="136"/>
      <c r="X385" s="136"/>
      <c r="Y385" s="145"/>
      <c r="Z385" s="145"/>
    </row>
    <row r="386">
      <c r="E386" s="136"/>
      <c r="F386" s="136"/>
      <c r="G386" s="136"/>
      <c r="H386" s="137" t="str">
        <f t="shared" si="1"/>
        <v/>
      </c>
      <c r="I386" s="136"/>
      <c r="J386" s="136"/>
      <c r="K386" s="136"/>
      <c r="L386" s="136"/>
      <c r="M386" s="136"/>
      <c r="N386" s="136"/>
      <c r="O386" s="142" t="str">
        <f t="shared" si="2"/>
        <v/>
      </c>
      <c r="P386" s="140" t="str">
        <f t="shared" si="3"/>
        <v/>
      </c>
      <c r="Q386" s="139" t="str">
        <f t="shared" si="4"/>
        <v/>
      </c>
      <c r="R386" s="139" t="str">
        <f t="shared" si="5"/>
        <v/>
      </c>
      <c r="S386" s="139" t="str">
        <f t="shared" si="6"/>
        <v/>
      </c>
      <c r="T386" s="140" t="str">
        <f t="shared" si="7"/>
        <v/>
      </c>
      <c r="U386" s="136"/>
      <c r="V386" s="136"/>
      <c r="W386" s="136"/>
      <c r="X386" s="136"/>
      <c r="Y386" s="145"/>
      <c r="Z386" s="145"/>
    </row>
    <row r="387">
      <c r="E387" s="136"/>
      <c r="F387" s="136"/>
      <c r="G387" s="136"/>
      <c r="H387" s="137" t="str">
        <f t="shared" si="1"/>
        <v/>
      </c>
      <c r="I387" s="136"/>
      <c r="J387" s="136"/>
      <c r="K387" s="136"/>
      <c r="L387" s="136"/>
      <c r="M387" s="136"/>
      <c r="N387" s="136"/>
      <c r="O387" s="142" t="str">
        <f t="shared" si="2"/>
        <v/>
      </c>
      <c r="P387" s="140" t="str">
        <f t="shared" si="3"/>
        <v/>
      </c>
      <c r="Q387" s="139" t="str">
        <f t="shared" si="4"/>
        <v/>
      </c>
      <c r="R387" s="139" t="str">
        <f t="shared" si="5"/>
        <v/>
      </c>
      <c r="S387" s="139" t="str">
        <f t="shared" si="6"/>
        <v/>
      </c>
      <c r="T387" s="140" t="str">
        <f t="shared" si="7"/>
        <v/>
      </c>
      <c r="U387" s="136"/>
      <c r="V387" s="136"/>
      <c r="W387" s="136"/>
      <c r="X387" s="136"/>
      <c r="Y387" s="145"/>
      <c r="Z387" s="145"/>
    </row>
    <row r="388">
      <c r="E388" s="136"/>
      <c r="F388" s="136"/>
      <c r="G388" s="136"/>
      <c r="H388" s="137" t="str">
        <f t="shared" si="1"/>
        <v/>
      </c>
      <c r="I388" s="136"/>
      <c r="J388" s="136"/>
      <c r="K388" s="136"/>
      <c r="L388" s="136"/>
      <c r="M388" s="136"/>
      <c r="N388" s="136"/>
      <c r="O388" s="142" t="str">
        <f t="shared" si="2"/>
        <v/>
      </c>
      <c r="P388" s="140" t="str">
        <f t="shared" si="3"/>
        <v/>
      </c>
      <c r="Q388" s="139" t="str">
        <f t="shared" si="4"/>
        <v/>
      </c>
      <c r="R388" s="139" t="str">
        <f t="shared" si="5"/>
        <v/>
      </c>
      <c r="S388" s="139" t="str">
        <f t="shared" si="6"/>
        <v/>
      </c>
      <c r="T388" s="140" t="str">
        <f t="shared" si="7"/>
        <v/>
      </c>
      <c r="U388" s="136"/>
      <c r="V388" s="136"/>
      <c r="W388" s="136"/>
      <c r="X388" s="136"/>
      <c r="Y388" s="145"/>
      <c r="Z388" s="145"/>
    </row>
    <row r="389">
      <c r="E389" s="136"/>
      <c r="F389" s="136"/>
      <c r="G389" s="136"/>
      <c r="H389" s="137" t="str">
        <f t="shared" si="1"/>
        <v/>
      </c>
      <c r="I389" s="136"/>
      <c r="J389" s="136"/>
      <c r="K389" s="136"/>
      <c r="L389" s="136"/>
      <c r="M389" s="136"/>
      <c r="N389" s="136"/>
      <c r="O389" s="142" t="str">
        <f t="shared" si="2"/>
        <v/>
      </c>
      <c r="P389" s="140" t="str">
        <f t="shared" si="3"/>
        <v/>
      </c>
      <c r="Q389" s="139" t="str">
        <f t="shared" si="4"/>
        <v/>
      </c>
      <c r="R389" s="139" t="str">
        <f t="shared" si="5"/>
        <v/>
      </c>
      <c r="S389" s="139" t="str">
        <f t="shared" si="6"/>
        <v/>
      </c>
      <c r="T389" s="140" t="str">
        <f t="shared" si="7"/>
        <v/>
      </c>
      <c r="U389" s="136"/>
      <c r="V389" s="136"/>
      <c r="W389" s="136"/>
      <c r="X389" s="136"/>
      <c r="Y389" s="145"/>
      <c r="Z389" s="145"/>
    </row>
    <row r="390">
      <c r="E390" s="136"/>
      <c r="F390" s="136"/>
      <c r="G390" s="136"/>
      <c r="H390" s="137" t="str">
        <f t="shared" si="1"/>
        <v/>
      </c>
      <c r="I390" s="136"/>
      <c r="J390" s="136"/>
      <c r="K390" s="136"/>
      <c r="L390" s="136"/>
      <c r="M390" s="136"/>
      <c r="N390" s="136"/>
      <c r="O390" s="142" t="str">
        <f t="shared" si="2"/>
        <v/>
      </c>
      <c r="P390" s="140" t="str">
        <f t="shared" si="3"/>
        <v/>
      </c>
      <c r="Q390" s="139" t="str">
        <f t="shared" si="4"/>
        <v/>
      </c>
      <c r="R390" s="139" t="str">
        <f t="shared" si="5"/>
        <v/>
      </c>
      <c r="S390" s="139" t="str">
        <f t="shared" si="6"/>
        <v/>
      </c>
      <c r="T390" s="140" t="str">
        <f t="shared" si="7"/>
        <v/>
      </c>
      <c r="U390" s="136"/>
      <c r="V390" s="136"/>
      <c r="W390" s="136"/>
      <c r="X390" s="136"/>
      <c r="Y390" s="145"/>
      <c r="Z390" s="145"/>
    </row>
    <row r="391">
      <c r="E391" s="136"/>
      <c r="F391" s="136"/>
      <c r="G391" s="136"/>
      <c r="H391" s="137" t="str">
        <f t="shared" si="1"/>
        <v/>
      </c>
      <c r="I391" s="136"/>
      <c r="J391" s="136"/>
      <c r="K391" s="136"/>
      <c r="L391" s="136"/>
      <c r="M391" s="136"/>
      <c r="N391" s="136"/>
      <c r="O391" s="142" t="str">
        <f t="shared" si="2"/>
        <v/>
      </c>
      <c r="P391" s="140" t="str">
        <f t="shared" si="3"/>
        <v/>
      </c>
      <c r="Q391" s="139" t="str">
        <f t="shared" si="4"/>
        <v/>
      </c>
      <c r="R391" s="139" t="str">
        <f t="shared" si="5"/>
        <v/>
      </c>
      <c r="S391" s="139" t="str">
        <f t="shared" si="6"/>
        <v/>
      </c>
      <c r="T391" s="140" t="str">
        <f t="shared" si="7"/>
        <v/>
      </c>
      <c r="U391" s="136"/>
      <c r="V391" s="136"/>
      <c r="W391" s="136"/>
      <c r="X391" s="136"/>
      <c r="Y391" s="145"/>
      <c r="Z391" s="145"/>
    </row>
    <row r="392">
      <c r="E392" s="136"/>
      <c r="F392" s="136"/>
      <c r="G392" s="136"/>
      <c r="H392" s="137" t="str">
        <f t="shared" si="1"/>
        <v/>
      </c>
      <c r="I392" s="136"/>
      <c r="J392" s="136"/>
      <c r="K392" s="136"/>
      <c r="L392" s="136"/>
      <c r="M392" s="136"/>
      <c r="N392" s="136"/>
      <c r="O392" s="142" t="str">
        <f t="shared" si="2"/>
        <v/>
      </c>
      <c r="P392" s="140" t="str">
        <f t="shared" si="3"/>
        <v/>
      </c>
      <c r="Q392" s="139" t="str">
        <f t="shared" si="4"/>
        <v/>
      </c>
      <c r="R392" s="139" t="str">
        <f t="shared" si="5"/>
        <v/>
      </c>
      <c r="S392" s="139" t="str">
        <f t="shared" si="6"/>
        <v/>
      </c>
      <c r="T392" s="140" t="str">
        <f t="shared" si="7"/>
        <v/>
      </c>
      <c r="U392" s="136"/>
      <c r="V392" s="136"/>
      <c r="W392" s="136"/>
      <c r="X392" s="136"/>
      <c r="Y392" s="145"/>
      <c r="Z392" s="145"/>
    </row>
    <row r="393">
      <c r="E393" s="136"/>
      <c r="F393" s="136"/>
      <c r="G393" s="136"/>
      <c r="H393" s="137" t="str">
        <f t="shared" si="1"/>
        <v/>
      </c>
      <c r="I393" s="136"/>
      <c r="J393" s="136"/>
      <c r="K393" s="136"/>
      <c r="L393" s="136"/>
      <c r="M393" s="136"/>
      <c r="N393" s="136"/>
      <c r="O393" s="142" t="str">
        <f t="shared" si="2"/>
        <v/>
      </c>
      <c r="P393" s="140" t="str">
        <f t="shared" si="3"/>
        <v/>
      </c>
      <c r="Q393" s="139" t="str">
        <f t="shared" si="4"/>
        <v/>
      </c>
      <c r="R393" s="139" t="str">
        <f t="shared" si="5"/>
        <v/>
      </c>
      <c r="S393" s="139" t="str">
        <f t="shared" si="6"/>
        <v/>
      </c>
      <c r="T393" s="140" t="str">
        <f t="shared" si="7"/>
        <v/>
      </c>
      <c r="U393" s="136"/>
      <c r="V393" s="136"/>
      <c r="W393" s="136"/>
      <c r="X393" s="136"/>
      <c r="Y393" s="145"/>
      <c r="Z393" s="145"/>
    </row>
    <row r="394">
      <c r="E394" s="136"/>
      <c r="F394" s="136"/>
      <c r="G394" s="136"/>
      <c r="H394" s="137" t="str">
        <f t="shared" si="1"/>
        <v/>
      </c>
      <c r="I394" s="136"/>
      <c r="J394" s="136"/>
      <c r="K394" s="136"/>
      <c r="L394" s="136"/>
      <c r="M394" s="136"/>
      <c r="N394" s="136"/>
      <c r="O394" s="142" t="str">
        <f t="shared" si="2"/>
        <v/>
      </c>
      <c r="P394" s="140" t="str">
        <f t="shared" si="3"/>
        <v/>
      </c>
      <c r="Q394" s="139" t="str">
        <f t="shared" si="4"/>
        <v/>
      </c>
      <c r="R394" s="139" t="str">
        <f t="shared" si="5"/>
        <v/>
      </c>
      <c r="S394" s="139" t="str">
        <f t="shared" si="6"/>
        <v/>
      </c>
      <c r="T394" s="140" t="str">
        <f t="shared" si="7"/>
        <v/>
      </c>
      <c r="U394" s="136"/>
      <c r="V394" s="136"/>
      <c r="W394" s="136"/>
      <c r="X394" s="136"/>
      <c r="Y394" s="145"/>
      <c r="Z394" s="145"/>
    </row>
    <row r="395">
      <c r="E395" s="136"/>
      <c r="F395" s="136"/>
      <c r="G395" s="136"/>
      <c r="H395" s="137" t="str">
        <f t="shared" si="1"/>
        <v/>
      </c>
      <c r="I395" s="136"/>
      <c r="J395" s="136"/>
      <c r="K395" s="136"/>
      <c r="L395" s="136"/>
      <c r="M395" s="136"/>
      <c r="N395" s="136"/>
      <c r="O395" s="142" t="str">
        <f t="shared" si="2"/>
        <v/>
      </c>
      <c r="P395" s="140" t="str">
        <f t="shared" si="3"/>
        <v/>
      </c>
      <c r="Q395" s="139" t="str">
        <f t="shared" si="4"/>
        <v/>
      </c>
      <c r="R395" s="139" t="str">
        <f t="shared" si="5"/>
        <v/>
      </c>
      <c r="S395" s="139" t="str">
        <f t="shared" si="6"/>
        <v/>
      </c>
      <c r="T395" s="140" t="str">
        <f t="shared" si="7"/>
        <v/>
      </c>
      <c r="U395" s="136"/>
      <c r="V395" s="136"/>
      <c r="W395" s="136"/>
      <c r="X395" s="136"/>
      <c r="Y395" s="145"/>
      <c r="Z395" s="145"/>
    </row>
    <row r="396">
      <c r="E396" s="136"/>
      <c r="F396" s="136"/>
      <c r="G396" s="136"/>
      <c r="H396" s="137" t="str">
        <f t="shared" si="1"/>
        <v/>
      </c>
      <c r="I396" s="136"/>
      <c r="J396" s="136"/>
      <c r="K396" s="136"/>
      <c r="L396" s="136"/>
      <c r="M396" s="136"/>
      <c r="N396" s="136"/>
      <c r="O396" s="142" t="str">
        <f t="shared" si="2"/>
        <v/>
      </c>
      <c r="P396" s="140" t="str">
        <f t="shared" si="3"/>
        <v/>
      </c>
      <c r="Q396" s="139" t="str">
        <f t="shared" si="4"/>
        <v/>
      </c>
      <c r="R396" s="139" t="str">
        <f t="shared" si="5"/>
        <v/>
      </c>
      <c r="S396" s="139" t="str">
        <f t="shared" si="6"/>
        <v/>
      </c>
      <c r="T396" s="140" t="str">
        <f t="shared" si="7"/>
        <v/>
      </c>
      <c r="U396" s="136"/>
      <c r="V396" s="136"/>
      <c r="W396" s="136"/>
      <c r="X396" s="136"/>
      <c r="Y396" s="145"/>
      <c r="Z396" s="145"/>
    </row>
    <row r="397">
      <c r="E397" s="136"/>
      <c r="F397" s="136"/>
      <c r="G397" s="136"/>
      <c r="H397" s="137" t="str">
        <f t="shared" si="1"/>
        <v/>
      </c>
      <c r="I397" s="136"/>
      <c r="J397" s="136"/>
      <c r="K397" s="136"/>
      <c r="L397" s="136"/>
      <c r="M397" s="136"/>
      <c r="N397" s="136"/>
      <c r="O397" s="142" t="str">
        <f t="shared" si="2"/>
        <v/>
      </c>
      <c r="P397" s="140" t="str">
        <f t="shared" si="3"/>
        <v/>
      </c>
      <c r="Q397" s="139" t="str">
        <f t="shared" si="4"/>
        <v/>
      </c>
      <c r="R397" s="139" t="str">
        <f t="shared" si="5"/>
        <v/>
      </c>
      <c r="S397" s="139" t="str">
        <f t="shared" si="6"/>
        <v/>
      </c>
      <c r="T397" s="140" t="str">
        <f t="shared" si="7"/>
        <v/>
      </c>
      <c r="U397" s="136"/>
      <c r="V397" s="136"/>
      <c r="W397" s="136"/>
      <c r="X397" s="136"/>
      <c r="Y397" s="145"/>
      <c r="Z397" s="145"/>
    </row>
    <row r="398">
      <c r="E398" s="136"/>
      <c r="F398" s="136"/>
      <c r="G398" s="136"/>
      <c r="H398" s="137" t="str">
        <f t="shared" si="1"/>
        <v/>
      </c>
      <c r="I398" s="136"/>
      <c r="J398" s="136"/>
      <c r="K398" s="136"/>
      <c r="L398" s="136"/>
      <c r="M398" s="136"/>
      <c r="N398" s="136"/>
      <c r="O398" s="142" t="str">
        <f t="shared" si="2"/>
        <v/>
      </c>
      <c r="P398" s="140" t="str">
        <f t="shared" si="3"/>
        <v/>
      </c>
      <c r="Q398" s="139" t="str">
        <f t="shared" si="4"/>
        <v/>
      </c>
      <c r="R398" s="139" t="str">
        <f t="shared" si="5"/>
        <v/>
      </c>
      <c r="S398" s="139" t="str">
        <f t="shared" si="6"/>
        <v/>
      </c>
      <c r="T398" s="140" t="str">
        <f t="shared" si="7"/>
        <v/>
      </c>
      <c r="U398" s="136"/>
      <c r="V398" s="136"/>
      <c r="W398" s="136"/>
      <c r="X398" s="136"/>
      <c r="Y398" s="145"/>
      <c r="Z398" s="145"/>
    </row>
    <row r="399">
      <c r="E399" s="136"/>
      <c r="F399" s="136"/>
      <c r="G399" s="136"/>
      <c r="H399" s="137" t="str">
        <f t="shared" si="1"/>
        <v/>
      </c>
      <c r="I399" s="136"/>
      <c r="J399" s="136"/>
      <c r="K399" s="136"/>
      <c r="L399" s="136"/>
      <c r="M399" s="136"/>
      <c r="N399" s="136"/>
      <c r="O399" s="142" t="str">
        <f t="shared" si="2"/>
        <v/>
      </c>
      <c r="P399" s="140" t="str">
        <f t="shared" si="3"/>
        <v/>
      </c>
      <c r="Q399" s="139" t="str">
        <f t="shared" si="4"/>
        <v/>
      </c>
      <c r="R399" s="139" t="str">
        <f t="shared" si="5"/>
        <v/>
      </c>
      <c r="S399" s="139" t="str">
        <f t="shared" si="6"/>
        <v/>
      </c>
      <c r="T399" s="140" t="str">
        <f t="shared" si="7"/>
        <v/>
      </c>
      <c r="U399" s="136"/>
      <c r="V399" s="136"/>
      <c r="W399" s="136"/>
      <c r="X399" s="136"/>
      <c r="Y399" s="145"/>
      <c r="Z399" s="145"/>
    </row>
    <row r="400">
      <c r="E400" s="136"/>
      <c r="F400" s="136"/>
      <c r="G400" s="136"/>
      <c r="H400" s="137" t="str">
        <f t="shared" si="1"/>
        <v/>
      </c>
      <c r="I400" s="136"/>
      <c r="J400" s="136"/>
      <c r="K400" s="136"/>
      <c r="L400" s="136"/>
      <c r="M400" s="136"/>
      <c r="N400" s="136"/>
      <c r="O400" s="142" t="str">
        <f t="shared" si="2"/>
        <v/>
      </c>
      <c r="P400" s="140" t="str">
        <f t="shared" si="3"/>
        <v/>
      </c>
      <c r="Q400" s="139" t="str">
        <f t="shared" si="4"/>
        <v/>
      </c>
      <c r="R400" s="139" t="str">
        <f t="shared" si="5"/>
        <v/>
      </c>
      <c r="S400" s="139" t="str">
        <f t="shared" si="6"/>
        <v/>
      </c>
      <c r="T400" s="140" t="str">
        <f t="shared" si="7"/>
        <v/>
      </c>
      <c r="U400" s="136"/>
      <c r="V400" s="136"/>
      <c r="W400" s="136"/>
      <c r="X400" s="136"/>
      <c r="Y400" s="145"/>
      <c r="Z400" s="145"/>
    </row>
    <row r="401">
      <c r="E401" s="136"/>
      <c r="F401" s="136"/>
      <c r="G401" s="136"/>
      <c r="H401" s="137" t="str">
        <f t="shared" si="1"/>
        <v/>
      </c>
      <c r="I401" s="136"/>
      <c r="J401" s="136"/>
      <c r="K401" s="136"/>
      <c r="L401" s="136"/>
      <c r="M401" s="136"/>
      <c r="N401" s="136"/>
      <c r="O401" s="142" t="str">
        <f t="shared" si="2"/>
        <v/>
      </c>
      <c r="P401" s="140" t="str">
        <f t="shared" si="3"/>
        <v/>
      </c>
      <c r="Q401" s="139" t="str">
        <f t="shared" si="4"/>
        <v/>
      </c>
      <c r="R401" s="139" t="str">
        <f t="shared" si="5"/>
        <v/>
      </c>
      <c r="S401" s="139" t="str">
        <f t="shared" si="6"/>
        <v/>
      </c>
      <c r="T401" s="140" t="str">
        <f t="shared" si="7"/>
        <v/>
      </c>
      <c r="U401" s="136"/>
      <c r="V401" s="136"/>
      <c r="W401" s="136"/>
      <c r="X401" s="136"/>
      <c r="Y401" s="145"/>
      <c r="Z401" s="145"/>
    </row>
    <row r="402">
      <c r="E402" s="136"/>
      <c r="F402" s="136"/>
      <c r="G402" s="136"/>
      <c r="H402" s="137" t="str">
        <f t="shared" si="1"/>
        <v/>
      </c>
      <c r="I402" s="136"/>
      <c r="J402" s="136"/>
      <c r="K402" s="136"/>
      <c r="L402" s="136"/>
      <c r="M402" s="136"/>
      <c r="N402" s="136"/>
      <c r="O402" s="142" t="str">
        <f t="shared" si="2"/>
        <v/>
      </c>
      <c r="P402" s="140" t="str">
        <f t="shared" si="3"/>
        <v/>
      </c>
      <c r="Q402" s="139" t="str">
        <f t="shared" si="4"/>
        <v/>
      </c>
      <c r="R402" s="139" t="str">
        <f t="shared" si="5"/>
        <v/>
      </c>
      <c r="S402" s="139" t="str">
        <f t="shared" si="6"/>
        <v/>
      </c>
      <c r="T402" s="140" t="str">
        <f t="shared" si="7"/>
        <v/>
      </c>
      <c r="U402" s="136"/>
      <c r="V402" s="136"/>
      <c r="W402" s="136"/>
      <c r="X402" s="136"/>
      <c r="Y402" s="145"/>
      <c r="Z402" s="145"/>
    </row>
    <row r="403">
      <c r="E403" s="136"/>
      <c r="F403" s="136"/>
      <c r="G403" s="136"/>
      <c r="H403" s="137" t="str">
        <f t="shared" si="1"/>
        <v/>
      </c>
      <c r="I403" s="136"/>
      <c r="J403" s="136"/>
      <c r="K403" s="136"/>
      <c r="L403" s="136"/>
      <c r="M403" s="136"/>
      <c r="N403" s="136"/>
      <c r="O403" s="142" t="str">
        <f t="shared" si="2"/>
        <v/>
      </c>
      <c r="P403" s="140" t="str">
        <f t="shared" si="3"/>
        <v/>
      </c>
      <c r="Q403" s="139" t="str">
        <f t="shared" si="4"/>
        <v/>
      </c>
      <c r="R403" s="139" t="str">
        <f t="shared" si="5"/>
        <v/>
      </c>
      <c r="S403" s="139" t="str">
        <f t="shared" si="6"/>
        <v/>
      </c>
      <c r="T403" s="140" t="str">
        <f t="shared" si="7"/>
        <v/>
      </c>
      <c r="U403" s="136"/>
      <c r="V403" s="136"/>
      <c r="W403" s="136"/>
      <c r="X403" s="136"/>
      <c r="Y403" s="145"/>
      <c r="Z403" s="145"/>
    </row>
    <row r="404">
      <c r="E404" s="136"/>
      <c r="F404" s="136"/>
      <c r="G404" s="136"/>
      <c r="H404" s="137" t="str">
        <f t="shared" si="1"/>
        <v/>
      </c>
      <c r="I404" s="136"/>
      <c r="J404" s="136"/>
      <c r="K404" s="136"/>
      <c r="L404" s="136"/>
      <c r="M404" s="136"/>
      <c r="N404" s="136"/>
      <c r="O404" s="142" t="str">
        <f t="shared" si="2"/>
        <v/>
      </c>
      <c r="P404" s="140" t="str">
        <f t="shared" si="3"/>
        <v/>
      </c>
      <c r="Q404" s="139" t="str">
        <f t="shared" si="4"/>
        <v/>
      </c>
      <c r="R404" s="139" t="str">
        <f t="shared" si="5"/>
        <v/>
      </c>
      <c r="S404" s="139" t="str">
        <f t="shared" si="6"/>
        <v/>
      </c>
      <c r="T404" s="140" t="str">
        <f t="shared" si="7"/>
        <v/>
      </c>
      <c r="U404" s="136"/>
      <c r="V404" s="136"/>
      <c r="W404" s="136"/>
      <c r="X404" s="136"/>
      <c r="Y404" s="145"/>
      <c r="Z404" s="145"/>
    </row>
    <row r="405">
      <c r="E405" s="136"/>
      <c r="F405" s="136"/>
      <c r="G405" s="136"/>
      <c r="H405" s="137" t="str">
        <f t="shared" si="1"/>
        <v/>
      </c>
      <c r="I405" s="136"/>
      <c r="J405" s="136"/>
      <c r="K405" s="136"/>
      <c r="L405" s="136"/>
      <c r="M405" s="136"/>
      <c r="N405" s="136"/>
      <c r="O405" s="142" t="str">
        <f t="shared" si="2"/>
        <v/>
      </c>
      <c r="P405" s="140" t="str">
        <f t="shared" si="3"/>
        <v/>
      </c>
      <c r="Q405" s="139" t="str">
        <f t="shared" si="4"/>
        <v/>
      </c>
      <c r="R405" s="139" t="str">
        <f t="shared" si="5"/>
        <v/>
      </c>
      <c r="S405" s="139" t="str">
        <f t="shared" si="6"/>
        <v/>
      </c>
      <c r="T405" s="140" t="str">
        <f t="shared" si="7"/>
        <v/>
      </c>
      <c r="U405" s="136"/>
      <c r="V405" s="136"/>
      <c r="W405" s="136"/>
      <c r="X405" s="136"/>
      <c r="Y405" s="145"/>
      <c r="Z405" s="145"/>
    </row>
    <row r="406">
      <c r="E406" s="136"/>
      <c r="F406" s="136"/>
      <c r="G406" s="136"/>
      <c r="H406" s="137" t="str">
        <f t="shared" si="1"/>
        <v/>
      </c>
      <c r="I406" s="136"/>
      <c r="J406" s="136"/>
      <c r="K406" s="136"/>
      <c r="L406" s="136"/>
      <c r="M406" s="136"/>
      <c r="N406" s="136"/>
      <c r="O406" s="142" t="str">
        <f t="shared" si="2"/>
        <v/>
      </c>
      <c r="P406" s="140" t="str">
        <f t="shared" si="3"/>
        <v/>
      </c>
      <c r="Q406" s="139" t="str">
        <f t="shared" si="4"/>
        <v/>
      </c>
      <c r="R406" s="139" t="str">
        <f t="shared" si="5"/>
        <v/>
      </c>
      <c r="S406" s="139" t="str">
        <f t="shared" si="6"/>
        <v/>
      </c>
      <c r="T406" s="140" t="str">
        <f t="shared" si="7"/>
        <v/>
      </c>
      <c r="U406" s="136"/>
      <c r="V406" s="136"/>
      <c r="W406" s="136"/>
      <c r="X406" s="136"/>
      <c r="Y406" s="145"/>
      <c r="Z406" s="145"/>
    </row>
    <row r="407">
      <c r="E407" s="136"/>
      <c r="F407" s="136"/>
      <c r="G407" s="136"/>
      <c r="H407" s="137" t="str">
        <f t="shared" si="1"/>
        <v/>
      </c>
      <c r="I407" s="136"/>
      <c r="J407" s="136"/>
      <c r="K407" s="136"/>
      <c r="L407" s="136"/>
      <c r="M407" s="136"/>
      <c r="N407" s="136"/>
      <c r="O407" s="142" t="str">
        <f t="shared" si="2"/>
        <v/>
      </c>
      <c r="P407" s="140" t="str">
        <f t="shared" si="3"/>
        <v/>
      </c>
      <c r="Q407" s="139" t="str">
        <f t="shared" si="4"/>
        <v/>
      </c>
      <c r="R407" s="139" t="str">
        <f t="shared" si="5"/>
        <v/>
      </c>
      <c r="S407" s="139" t="str">
        <f t="shared" si="6"/>
        <v/>
      </c>
      <c r="T407" s="140" t="str">
        <f t="shared" si="7"/>
        <v/>
      </c>
      <c r="U407" s="136"/>
      <c r="V407" s="136"/>
      <c r="W407" s="136"/>
      <c r="X407" s="136"/>
      <c r="Y407" s="145"/>
      <c r="Z407" s="145"/>
    </row>
    <row r="408">
      <c r="E408" s="136"/>
      <c r="F408" s="136"/>
      <c r="G408" s="136"/>
      <c r="H408" s="137" t="str">
        <f t="shared" si="1"/>
        <v/>
      </c>
      <c r="I408" s="136"/>
      <c r="J408" s="136"/>
      <c r="K408" s="136"/>
      <c r="L408" s="136"/>
      <c r="M408" s="136"/>
      <c r="N408" s="136"/>
      <c r="O408" s="142" t="str">
        <f t="shared" si="2"/>
        <v/>
      </c>
      <c r="P408" s="140" t="str">
        <f t="shared" si="3"/>
        <v/>
      </c>
      <c r="Q408" s="139" t="str">
        <f t="shared" si="4"/>
        <v/>
      </c>
      <c r="R408" s="139" t="str">
        <f t="shared" si="5"/>
        <v/>
      </c>
      <c r="S408" s="139" t="str">
        <f t="shared" si="6"/>
        <v/>
      </c>
      <c r="T408" s="140" t="str">
        <f t="shared" si="7"/>
        <v/>
      </c>
      <c r="U408" s="136"/>
      <c r="V408" s="136"/>
      <c r="W408" s="136"/>
      <c r="X408" s="136"/>
      <c r="Y408" s="145"/>
      <c r="Z408" s="145"/>
    </row>
    <row r="409">
      <c r="E409" s="136"/>
      <c r="F409" s="136"/>
      <c r="G409" s="136"/>
      <c r="H409" s="137" t="str">
        <f t="shared" si="1"/>
        <v/>
      </c>
      <c r="I409" s="136"/>
      <c r="J409" s="136"/>
      <c r="K409" s="136"/>
      <c r="L409" s="136"/>
      <c r="M409" s="136"/>
      <c r="N409" s="136"/>
      <c r="O409" s="142" t="str">
        <f t="shared" si="2"/>
        <v/>
      </c>
      <c r="P409" s="140" t="str">
        <f t="shared" si="3"/>
        <v/>
      </c>
      <c r="Q409" s="139" t="str">
        <f t="shared" si="4"/>
        <v/>
      </c>
      <c r="R409" s="139" t="str">
        <f t="shared" si="5"/>
        <v/>
      </c>
      <c r="S409" s="139" t="str">
        <f t="shared" si="6"/>
        <v/>
      </c>
      <c r="T409" s="140" t="str">
        <f t="shared" si="7"/>
        <v/>
      </c>
      <c r="U409" s="136"/>
      <c r="V409" s="136"/>
      <c r="W409" s="136"/>
      <c r="X409" s="136"/>
      <c r="Y409" s="145"/>
      <c r="Z409" s="145"/>
    </row>
    <row r="410">
      <c r="E410" s="136"/>
      <c r="F410" s="136"/>
      <c r="G410" s="136"/>
      <c r="H410" s="137" t="str">
        <f t="shared" si="1"/>
        <v/>
      </c>
      <c r="I410" s="136"/>
      <c r="J410" s="136"/>
      <c r="K410" s="136"/>
      <c r="L410" s="136"/>
      <c r="M410" s="136"/>
      <c r="N410" s="136"/>
      <c r="O410" s="142" t="str">
        <f t="shared" si="2"/>
        <v/>
      </c>
      <c r="P410" s="140" t="str">
        <f t="shared" si="3"/>
        <v/>
      </c>
      <c r="Q410" s="139" t="str">
        <f t="shared" si="4"/>
        <v/>
      </c>
      <c r="R410" s="139" t="str">
        <f t="shared" si="5"/>
        <v/>
      </c>
      <c r="S410" s="139" t="str">
        <f t="shared" si="6"/>
        <v/>
      </c>
      <c r="T410" s="140" t="str">
        <f t="shared" si="7"/>
        <v/>
      </c>
      <c r="U410" s="136"/>
      <c r="V410" s="136"/>
      <c r="W410" s="136"/>
      <c r="X410" s="136"/>
      <c r="Y410" s="145"/>
      <c r="Z410" s="145"/>
    </row>
    <row r="411">
      <c r="E411" s="136"/>
      <c r="F411" s="136"/>
      <c r="G411" s="136"/>
      <c r="H411" s="137" t="str">
        <f t="shared" si="1"/>
        <v/>
      </c>
      <c r="I411" s="136"/>
      <c r="J411" s="136"/>
      <c r="K411" s="136"/>
      <c r="L411" s="136"/>
      <c r="M411" s="136"/>
      <c r="N411" s="136"/>
      <c r="O411" s="142" t="str">
        <f t="shared" si="2"/>
        <v/>
      </c>
      <c r="P411" s="140" t="str">
        <f t="shared" si="3"/>
        <v/>
      </c>
      <c r="Q411" s="139" t="str">
        <f t="shared" si="4"/>
        <v/>
      </c>
      <c r="R411" s="139" t="str">
        <f t="shared" si="5"/>
        <v/>
      </c>
      <c r="S411" s="139" t="str">
        <f t="shared" si="6"/>
        <v/>
      </c>
      <c r="T411" s="140" t="str">
        <f t="shared" si="7"/>
        <v/>
      </c>
      <c r="U411" s="136"/>
      <c r="V411" s="136"/>
      <c r="W411" s="136"/>
      <c r="X411" s="136"/>
      <c r="Y411" s="145"/>
      <c r="Z411" s="145"/>
    </row>
    <row r="412">
      <c r="E412" s="136"/>
      <c r="F412" s="136"/>
      <c r="G412" s="136"/>
      <c r="H412" s="137" t="str">
        <f t="shared" si="1"/>
        <v/>
      </c>
      <c r="I412" s="136"/>
      <c r="J412" s="136"/>
      <c r="K412" s="136"/>
      <c r="L412" s="136"/>
      <c r="M412" s="136"/>
      <c r="N412" s="136"/>
      <c r="O412" s="142" t="str">
        <f t="shared" si="2"/>
        <v/>
      </c>
      <c r="P412" s="140" t="str">
        <f t="shared" si="3"/>
        <v/>
      </c>
      <c r="Q412" s="139" t="str">
        <f t="shared" si="4"/>
        <v/>
      </c>
      <c r="R412" s="139" t="str">
        <f t="shared" si="5"/>
        <v/>
      </c>
      <c r="S412" s="139" t="str">
        <f t="shared" si="6"/>
        <v/>
      </c>
      <c r="T412" s="140" t="str">
        <f t="shared" si="7"/>
        <v/>
      </c>
      <c r="U412" s="136"/>
      <c r="V412" s="136"/>
      <c r="W412" s="136"/>
      <c r="X412" s="136"/>
      <c r="Y412" s="145"/>
      <c r="Z412" s="145"/>
    </row>
    <row r="413">
      <c r="E413" s="136"/>
      <c r="F413" s="136"/>
      <c r="G413" s="136"/>
      <c r="H413" s="137" t="str">
        <f t="shared" si="1"/>
        <v/>
      </c>
      <c r="I413" s="136"/>
      <c r="J413" s="136"/>
      <c r="K413" s="136"/>
      <c r="L413" s="136"/>
      <c r="M413" s="136"/>
      <c r="N413" s="136"/>
      <c r="O413" s="142" t="str">
        <f t="shared" si="2"/>
        <v/>
      </c>
      <c r="P413" s="140" t="str">
        <f t="shared" si="3"/>
        <v/>
      </c>
      <c r="Q413" s="139" t="str">
        <f t="shared" si="4"/>
        <v/>
      </c>
      <c r="R413" s="139" t="str">
        <f t="shared" si="5"/>
        <v/>
      </c>
      <c r="S413" s="139" t="str">
        <f t="shared" si="6"/>
        <v/>
      </c>
      <c r="T413" s="140" t="str">
        <f t="shared" si="7"/>
        <v/>
      </c>
      <c r="U413" s="136"/>
      <c r="V413" s="136"/>
      <c r="W413" s="136"/>
      <c r="X413" s="136"/>
      <c r="Y413" s="145"/>
      <c r="Z413" s="145"/>
    </row>
    <row r="414">
      <c r="E414" s="136"/>
      <c r="F414" s="136"/>
      <c r="G414" s="136"/>
      <c r="H414" s="137" t="str">
        <f t="shared" si="1"/>
        <v/>
      </c>
      <c r="I414" s="136"/>
      <c r="J414" s="136"/>
      <c r="K414" s="136"/>
      <c r="L414" s="136"/>
      <c r="M414" s="136"/>
      <c r="N414" s="136"/>
      <c r="O414" s="142" t="str">
        <f t="shared" si="2"/>
        <v/>
      </c>
      <c r="P414" s="140" t="str">
        <f t="shared" si="3"/>
        <v/>
      </c>
      <c r="Q414" s="139" t="str">
        <f t="shared" si="4"/>
        <v/>
      </c>
      <c r="R414" s="139" t="str">
        <f t="shared" si="5"/>
        <v/>
      </c>
      <c r="S414" s="139" t="str">
        <f t="shared" si="6"/>
        <v/>
      </c>
      <c r="T414" s="140" t="str">
        <f t="shared" si="7"/>
        <v/>
      </c>
      <c r="U414" s="136"/>
      <c r="V414" s="136"/>
      <c r="W414" s="136"/>
      <c r="X414" s="136"/>
      <c r="Y414" s="145"/>
      <c r="Z414" s="145"/>
    </row>
    <row r="415">
      <c r="E415" s="136"/>
      <c r="F415" s="136"/>
      <c r="G415" s="136"/>
      <c r="H415" s="137" t="str">
        <f t="shared" si="1"/>
        <v/>
      </c>
      <c r="I415" s="136"/>
      <c r="J415" s="136"/>
      <c r="K415" s="136"/>
      <c r="L415" s="136"/>
      <c r="M415" s="136"/>
      <c r="N415" s="136"/>
      <c r="O415" s="142" t="str">
        <f t="shared" si="2"/>
        <v/>
      </c>
      <c r="P415" s="140" t="str">
        <f t="shared" si="3"/>
        <v/>
      </c>
      <c r="Q415" s="139" t="str">
        <f t="shared" si="4"/>
        <v/>
      </c>
      <c r="R415" s="139" t="str">
        <f t="shared" si="5"/>
        <v/>
      </c>
      <c r="S415" s="139" t="str">
        <f t="shared" si="6"/>
        <v/>
      </c>
      <c r="T415" s="140" t="str">
        <f t="shared" si="7"/>
        <v/>
      </c>
      <c r="U415" s="136"/>
      <c r="V415" s="136"/>
      <c r="W415" s="136"/>
      <c r="X415" s="136"/>
      <c r="Y415" s="145"/>
      <c r="Z415" s="145"/>
    </row>
    <row r="416">
      <c r="E416" s="136"/>
      <c r="F416" s="136"/>
      <c r="G416" s="136"/>
      <c r="H416" s="137" t="str">
        <f t="shared" si="1"/>
        <v/>
      </c>
      <c r="I416" s="136"/>
      <c r="J416" s="136"/>
      <c r="K416" s="136"/>
      <c r="L416" s="136"/>
      <c r="M416" s="136"/>
      <c r="N416" s="136"/>
      <c r="O416" s="142" t="str">
        <f t="shared" si="2"/>
        <v/>
      </c>
      <c r="P416" s="140" t="str">
        <f t="shared" si="3"/>
        <v/>
      </c>
      <c r="Q416" s="139" t="str">
        <f t="shared" si="4"/>
        <v/>
      </c>
      <c r="R416" s="139" t="str">
        <f t="shared" si="5"/>
        <v/>
      </c>
      <c r="S416" s="139" t="str">
        <f t="shared" si="6"/>
        <v/>
      </c>
      <c r="T416" s="140" t="str">
        <f t="shared" si="7"/>
        <v/>
      </c>
      <c r="U416" s="136"/>
      <c r="V416" s="136"/>
      <c r="W416" s="136"/>
      <c r="X416" s="136"/>
      <c r="Y416" s="145"/>
      <c r="Z416" s="145"/>
    </row>
    <row r="417">
      <c r="E417" s="136"/>
      <c r="F417" s="136"/>
      <c r="G417" s="136"/>
      <c r="H417" s="137" t="str">
        <f t="shared" si="1"/>
        <v/>
      </c>
      <c r="I417" s="136"/>
      <c r="J417" s="136"/>
      <c r="K417" s="136"/>
      <c r="L417" s="136"/>
      <c r="M417" s="136"/>
      <c r="N417" s="136"/>
      <c r="O417" s="142" t="str">
        <f t="shared" si="2"/>
        <v/>
      </c>
      <c r="P417" s="140" t="str">
        <f t="shared" si="3"/>
        <v/>
      </c>
      <c r="Q417" s="139" t="str">
        <f t="shared" si="4"/>
        <v/>
      </c>
      <c r="R417" s="139" t="str">
        <f t="shared" si="5"/>
        <v/>
      </c>
      <c r="S417" s="139" t="str">
        <f t="shared" si="6"/>
        <v/>
      </c>
      <c r="T417" s="140" t="str">
        <f t="shared" si="7"/>
        <v/>
      </c>
      <c r="U417" s="136"/>
      <c r="V417" s="136"/>
      <c r="W417" s="136"/>
      <c r="X417" s="136"/>
      <c r="Y417" s="145"/>
      <c r="Z417" s="145"/>
    </row>
    <row r="418">
      <c r="E418" s="136"/>
      <c r="F418" s="136"/>
      <c r="G418" s="136"/>
      <c r="H418" s="137" t="str">
        <f t="shared" si="1"/>
        <v/>
      </c>
      <c r="I418" s="136"/>
      <c r="J418" s="136"/>
      <c r="K418" s="136"/>
      <c r="L418" s="136"/>
      <c r="M418" s="136"/>
      <c r="N418" s="136"/>
      <c r="O418" s="142" t="str">
        <f t="shared" si="2"/>
        <v/>
      </c>
      <c r="P418" s="140" t="str">
        <f t="shared" si="3"/>
        <v/>
      </c>
      <c r="Q418" s="139" t="str">
        <f t="shared" si="4"/>
        <v/>
      </c>
      <c r="R418" s="139" t="str">
        <f t="shared" si="5"/>
        <v/>
      </c>
      <c r="S418" s="139" t="str">
        <f t="shared" si="6"/>
        <v/>
      </c>
      <c r="T418" s="140" t="str">
        <f t="shared" si="7"/>
        <v/>
      </c>
      <c r="U418" s="136"/>
      <c r="V418" s="136"/>
      <c r="W418" s="136"/>
      <c r="X418" s="136"/>
      <c r="Y418" s="145"/>
      <c r="Z418" s="145"/>
    </row>
    <row r="419">
      <c r="E419" s="136"/>
      <c r="F419" s="136"/>
      <c r="G419" s="136"/>
      <c r="H419" s="137" t="str">
        <f t="shared" si="1"/>
        <v/>
      </c>
      <c r="I419" s="136"/>
      <c r="J419" s="136"/>
      <c r="K419" s="136"/>
      <c r="L419" s="136"/>
      <c r="M419" s="136"/>
      <c r="N419" s="136"/>
      <c r="O419" s="142" t="str">
        <f t="shared" si="2"/>
        <v/>
      </c>
      <c r="P419" s="140" t="str">
        <f t="shared" si="3"/>
        <v/>
      </c>
      <c r="Q419" s="139" t="str">
        <f t="shared" si="4"/>
        <v/>
      </c>
      <c r="R419" s="139" t="str">
        <f t="shared" si="5"/>
        <v/>
      </c>
      <c r="S419" s="139" t="str">
        <f t="shared" si="6"/>
        <v/>
      </c>
      <c r="T419" s="140" t="str">
        <f t="shared" si="7"/>
        <v/>
      </c>
      <c r="U419" s="136"/>
      <c r="V419" s="136"/>
      <c r="W419" s="136"/>
      <c r="X419" s="136"/>
      <c r="Y419" s="145"/>
      <c r="Z419" s="145"/>
    </row>
    <row r="420">
      <c r="E420" s="136"/>
      <c r="F420" s="136"/>
      <c r="G420" s="136"/>
      <c r="H420" s="137" t="str">
        <f t="shared" si="1"/>
        <v/>
      </c>
      <c r="I420" s="136"/>
      <c r="J420" s="136"/>
      <c r="K420" s="136"/>
      <c r="L420" s="136"/>
      <c r="M420" s="136"/>
      <c r="N420" s="136"/>
      <c r="O420" s="142" t="str">
        <f t="shared" si="2"/>
        <v/>
      </c>
      <c r="P420" s="140" t="str">
        <f t="shared" si="3"/>
        <v/>
      </c>
      <c r="Q420" s="139" t="str">
        <f t="shared" si="4"/>
        <v/>
      </c>
      <c r="R420" s="139" t="str">
        <f t="shared" si="5"/>
        <v/>
      </c>
      <c r="S420" s="139" t="str">
        <f t="shared" si="6"/>
        <v/>
      </c>
      <c r="T420" s="140" t="str">
        <f t="shared" si="7"/>
        <v/>
      </c>
      <c r="U420" s="136"/>
      <c r="V420" s="136"/>
      <c r="W420" s="136"/>
      <c r="X420" s="136"/>
      <c r="Y420" s="145"/>
      <c r="Z420" s="145"/>
    </row>
    <row r="421">
      <c r="E421" s="136"/>
      <c r="F421" s="136"/>
      <c r="G421" s="136"/>
      <c r="H421" s="137" t="str">
        <f t="shared" si="1"/>
        <v/>
      </c>
      <c r="I421" s="136"/>
      <c r="J421" s="136"/>
      <c r="K421" s="136"/>
      <c r="L421" s="136"/>
      <c r="M421" s="136"/>
      <c r="N421" s="136"/>
      <c r="O421" s="142" t="str">
        <f t="shared" si="2"/>
        <v/>
      </c>
      <c r="P421" s="140" t="str">
        <f t="shared" si="3"/>
        <v/>
      </c>
      <c r="Q421" s="139" t="str">
        <f t="shared" si="4"/>
        <v/>
      </c>
      <c r="R421" s="139" t="str">
        <f t="shared" si="5"/>
        <v/>
      </c>
      <c r="S421" s="139" t="str">
        <f t="shared" si="6"/>
        <v/>
      </c>
      <c r="T421" s="140" t="str">
        <f t="shared" si="7"/>
        <v/>
      </c>
      <c r="U421" s="136"/>
      <c r="V421" s="136"/>
      <c r="W421" s="136"/>
      <c r="X421" s="136"/>
      <c r="Y421" s="145"/>
      <c r="Z421" s="145"/>
    </row>
    <row r="422">
      <c r="E422" s="136"/>
      <c r="F422" s="136"/>
      <c r="G422" s="136"/>
      <c r="H422" s="137" t="str">
        <f t="shared" si="1"/>
        <v/>
      </c>
      <c r="I422" s="136"/>
      <c r="J422" s="136"/>
      <c r="K422" s="136"/>
      <c r="L422" s="136"/>
      <c r="M422" s="136"/>
      <c r="N422" s="136"/>
      <c r="O422" s="142" t="str">
        <f t="shared" si="2"/>
        <v/>
      </c>
      <c r="P422" s="140" t="str">
        <f t="shared" si="3"/>
        <v/>
      </c>
      <c r="Q422" s="139" t="str">
        <f t="shared" si="4"/>
        <v/>
      </c>
      <c r="R422" s="139" t="str">
        <f t="shared" si="5"/>
        <v/>
      </c>
      <c r="S422" s="139" t="str">
        <f t="shared" si="6"/>
        <v/>
      </c>
      <c r="T422" s="140" t="str">
        <f t="shared" si="7"/>
        <v/>
      </c>
      <c r="U422" s="136"/>
      <c r="V422" s="136"/>
      <c r="W422" s="136"/>
      <c r="X422" s="136"/>
      <c r="Y422" s="145"/>
      <c r="Z422" s="145"/>
    </row>
    <row r="423">
      <c r="E423" s="136"/>
      <c r="F423" s="136"/>
      <c r="G423" s="136"/>
      <c r="H423" s="137" t="str">
        <f t="shared" si="1"/>
        <v/>
      </c>
      <c r="I423" s="136"/>
      <c r="J423" s="136"/>
      <c r="K423" s="136"/>
      <c r="L423" s="136"/>
      <c r="M423" s="136"/>
      <c r="N423" s="136"/>
      <c r="O423" s="142" t="str">
        <f t="shared" si="2"/>
        <v/>
      </c>
      <c r="P423" s="140" t="str">
        <f t="shared" si="3"/>
        <v/>
      </c>
      <c r="Q423" s="139" t="str">
        <f t="shared" si="4"/>
        <v/>
      </c>
      <c r="R423" s="139" t="str">
        <f t="shared" si="5"/>
        <v/>
      </c>
      <c r="S423" s="139" t="str">
        <f t="shared" si="6"/>
        <v/>
      </c>
      <c r="T423" s="140" t="str">
        <f t="shared" si="7"/>
        <v/>
      </c>
      <c r="U423" s="136"/>
      <c r="V423" s="136"/>
      <c r="W423" s="136"/>
      <c r="X423" s="136"/>
      <c r="Y423" s="145"/>
      <c r="Z423" s="145"/>
    </row>
    <row r="424">
      <c r="E424" s="136"/>
      <c r="F424" s="136"/>
      <c r="G424" s="136"/>
      <c r="H424" s="137" t="str">
        <f t="shared" si="1"/>
        <v/>
      </c>
      <c r="I424" s="136"/>
      <c r="J424" s="136"/>
      <c r="K424" s="136"/>
      <c r="L424" s="136"/>
      <c r="M424" s="136"/>
      <c r="N424" s="136"/>
      <c r="O424" s="142" t="str">
        <f t="shared" si="2"/>
        <v/>
      </c>
      <c r="P424" s="140" t="str">
        <f t="shared" si="3"/>
        <v/>
      </c>
      <c r="Q424" s="139" t="str">
        <f t="shared" si="4"/>
        <v/>
      </c>
      <c r="R424" s="139" t="str">
        <f t="shared" si="5"/>
        <v/>
      </c>
      <c r="S424" s="139" t="str">
        <f t="shared" si="6"/>
        <v/>
      </c>
      <c r="T424" s="140" t="str">
        <f t="shared" si="7"/>
        <v/>
      </c>
      <c r="U424" s="136"/>
      <c r="V424" s="136"/>
      <c r="W424" s="136"/>
      <c r="X424" s="136"/>
      <c r="Y424" s="145"/>
      <c r="Z424" s="145"/>
    </row>
    <row r="425">
      <c r="E425" s="136"/>
      <c r="F425" s="136"/>
      <c r="G425" s="136"/>
      <c r="H425" s="137" t="str">
        <f t="shared" si="1"/>
        <v/>
      </c>
      <c r="I425" s="136"/>
      <c r="J425" s="136"/>
      <c r="K425" s="136"/>
      <c r="L425" s="136"/>
      <c r="M425" s="136"/>
      <c r="N425" s="136"/>
      <c r="O425" s="142" t="str">
        <f t="shared" si="2"/>
        <v/>
      </c>
      <c r="P425" s="140" t="str">
        <f t="shared" si="3"/>
        <v/>
      </c>
      <c r="Q425" s="139" t="str">
        <f t="shared" si="4"/>
        <v/>
      </c>
      <c r="R425" s="139" t="str">
        <f t="shared" si="5"/>
        <v/>
      </c>
      <c r="S425" s="139" t="str">
        <f t="shared" si="6"/>
        <v/>
      </c>
      <c r="T425" s="140" t="str">
        <f t="shared" si="7"/>
        <v/>
      </c>
      <c r="U425" s="136"/>
      <c r="V425" s="136"/>
      <c r="W425" s="136"/>
      <c r="X425" s="136"/>
      <c r="Y425" s="145"/>
      <c r="Z425" s="145"/>
    </row>
    <row r="426">
      <c r="E426" s="136"/>
      <c r="F426" s="136"/>
      <c r="G426" s="136"/>
      <c r="H426" s="137" t="str">
        <f t="shared" si="1"/>
        <v/>
      </c>
      <c r="I426" s="136"/>
      <c r="J426" s="136"/>
      <c r="K426" s="136"/>
      <c r="L426" s="136"/>
      <c r="M426" s="136"/>
      <c r="N426" s="136"/>
      <c r="O426" s="142" t="str">
        <f t="shared" si="2"/>
        <v/>
      </c>
      <c r="P426" s="140" t="str">
        <f t="shared" si="3"/>
        <v/>
      </c>
      <c r="Q426" s="139" t="str">
        <f t="shared" si="4"/>
        <v/>
      </c>
      <c r="R426" s="139" t="str">
        <f t="shared" si="5"/>
        <v/>
      </c>
      <c r="S426" s="139" t="str">
        <f t="shared" si="6"/>
        <v/>
      </c>
      <c r="T426" s="140" t="str">
        <f t="shared" si="7"/>
        <v/>
      </c>
      <c r="U426" s="136"/>
      <c r="V426" s="136"/>
      <c r="W426" s="136"/>
      <c r="X426" s="136"/>
      <c r="Y426" s="145"/>
      <c r="Z426" s="145"/>
    </row>
    <row r="427">
      <c r="E427" s="136"/>
      <c r="F427" s="136"/>
      <c r="G427" s="136"/>
      <c r="H427" s="137" t="str">
        <f t="shared" si="1"/>
        <v/>
      </c>
      <c r="I427" s="136"/>
      <c r="J427" s="136"/>
      <c r="K427" s="136"/>
      <c r="L427" s="136"/>
      <c r="M427" s="136"/>
      <c r="N427" s="136"/>
      <c r="O427" s="142" t="str">
        <f t="shared" si="2"/>
        <v/>
      </c>
      <c r="P427" s="140" t="str">
        <f t="shared" si="3"/>
        <v/>
      </c>
      <c r="Q427" s="139" t="str">
        <f t="shared" si="4"/>
        <v/>
      </c>
      <c r="R427" s="139" t="str">
        <f t="shared" si="5"/>
        <v/>
      </c>
      <c r="S427" s="139" t="str">
        <f t="shared" si="6"/>
        <v/>
      </c>
      <c r="T427" s="140" t="str">
        <f t="shared" si="7"/>
        <v/>
      </c>
      <c r="U427" s="136"/>
      <c r="V427" s="136"/>
      <c r="W427" s="136"/>
      <c r="X427" s="136"/>
      <c r="Y427" s="145"/>
      <c r="Z427" s="145"/>
    </row>
    <row r="428">
      <c r="E428" s="136"/>
      <c r="F428" s="136"/>
      <c r="G428" s="136"/>
      <c r="H428" s="137" t="str">
        <f t="shared" si="1"/>
        <v/>
      </c>
      <c r="I428" s="136"/>
      <c r="J428" s="136"/>
      <c r="K428" s="136"/>
      <c r="L428" s="136"/>
      <c r="M428" s="136"/>
      <c r="N428" s="136"/>
      <c r="O428" s="142" t="str">
        <f t="shared" si="2"/>
        <v/>
      </c>
      <c r="P428" s="140" t="str">
        <f t="shared" si="3"/>
        <v/>
      </c>
      <c r="Q428" s="139" t="str">
        <f t="shared" si="4"/>
        <v/>
      </c>
      <c r="R428" s="139" t="str">
        <f t="shared" si="5"/>
        <v/>
      </c>
      <c r="S428" s="139" t="str">
        <f t="shared" si="6"/>
        <v/>
      </c>
      <c r="T428" s="140" t="str">
        <f t="shared" si="7"/>
        <v/>
      </c>
      <c r="U428" s="136"/>
      <c r="V428" s="136"/>
      <c r="W428" s="136"/>
      <c r="X428" s="136"/>
      <c r="Y428" s="145"/>
      <c r="Z428" s="145"/>
    </row>
    <row r="429">
      <c r="E429" s="136"/>
      <c r="F429" s="136"/>
      <c r="G429" s="136"/>
      <c r="H429" s="137" t="str">
        <f t="shared" si="1"/>
        <v/>
      </c>
      <c r="I429" s="136"/>
      <c r="J429" s="136"/>
      <c r="K429" s="136"/>
      <c r="L429" s="136"/>
      <c r="M429" s="136"/>
      <c r="N429" s="136"/>
      <c r="O429" s="142" t="str">
        <f t="shared" si="2"/>
        <v/>
      </c>
      <c r="P429" s="140" t="str">
        <f t="shared" si="3"/>
        <v/>
      </c>
      <c r="Q429" s="139" t="str">
        <f t="shared" si="4"/>
        <v/>
      </c>
      <c r="R429" s="139" t="str">
        <f t="shared" si="5"/>
        <v/>
      </c>
      <c r="S429" s="139" t="str">
        <f t="shared" si="6"/>
        <v/>
      </c>
      <c r="T429" s="140" t="str">
        <f t="shared" si="7"/>
        <v/>
      </c>
      <c r="U429" s="136"/>
      <c r="V429" s="136"/>
      <c r="W429" s="136"/>
      <c r="X429" s="136"/>
      <c r="Y429" s="145"/>
      <c r="Z429" s="145"/>
    </row>
    <row r="430">
      <c r="E430" s="136"/>
      <c r="F430" s="136"/>
      <c r="G430" s="136"/>
      <c r="H430" s="137" t="str">
        <f t="shared" si="1"/>
        <v/>
      </c>
      <c r="I430" s="136"/>
      <c r="J430" s="136"/>
      <c r="K430" s="136"/>
      <c r="L430" s="136"/>
      <c r="M430" s="136"/>
      <c r="N430" s="136"/>
      <c r="O430" s="142" t="str">
        <f t="shared" si="2"/>
        <v/>
      </c>
      <c r="P430" s="140" t="str">
        <f t="shared" si="3"/>
        <v/>
      </c>
      <c r="Q430" s="139" t="str">
        <f t="shared" si="4"/>
        <v/>
      </c>
      <c r="R430" s="139" t="str">
        <f t="shared" si="5"/>
        <v/>
      </c>
      <c r="S430" s="139" t="str">
        <f t="shared" si="6"/>
        <v/>
      </c>
      <c r="T430" s="140" t="str">
        <f t="shared" si="7"/>
        <v/>
      </c>
      <c r="U430" s="136"/>
      <c r="V430" s="136"/>
      <c r="W430" s="136"/>
      <c r="X430" s="136"/>
      <c r="Y430" s="145"/>
      <c r="Z430" s="145"/>
    </row>
    <row r="431">
      <c r="E431" s="136"/>
      <c r="F431" s="136"/>
      <c r="G431" s="136"/>
      <c r="H431" s="137" t="str">
        <f t="shared" si="1"/>
        <v/>
      </c>
      <c r="I431" s="136"/>
      <c r="J431" s="136"/>
      <c r="K431" s="136"/>
      <c r="L431" s="136"/>
      <c r="M431" s="136"/>
      <c r="N431" s="136"/>
      <c r="O431" s="142" t="str">
        <f t="shared" si="2"/>
        <v/>
      </c>
      <c r="P431" s="140" t="str">
        <f t="shared" si="3"/>
        <v/>
      </c>
      <c r="Q431" s="139" t="str">
        <f t="shared" si="4"/>
        <v/>
      </c>
      <c r="R431" s="139" t="str">
        <f t="shared" si="5"/>
        <v/>
      </c>
      <c r="S431" s="139" t="str">
        <f t="shared" si="6"/>
        <v/>
      </c>
      <c r="T431" s="140" t="str">
        <f t="shared" si="7"/>
        <v/>
      </c>
      <c r="U431" s="136"/>
      <c r="V431" s="136"/>
      <c r="W431" s="136"/>
      <c r="X431" s="136"/>
      <c r="Y431" s="145"/>
      <c r="Z431" s="145"/>
    </row>
    <row r="432">
      <c r="E432" s="136"/>
      <c r="F432" s="136"/>
      <c r="G432" s="136"/>
      <c r="H432" s="137" t="str">
        <f t="shared" si="1"/>
        <v/>
      </c>
      <c r="I432" s="136"/>
      <c r="J432" s="136"/>
      <c r="K432" s="136"/>
      <c r="L432" s="136"/>
      <c r="M432" s="136"/>
      <c r="N432" s="136"/>
      <c r="O432" s="142" t="str">
        <f t="shared" si="2"/>
        <v/>
      </c>
      <c r="P432" s="140" t="str">
        <f t="shared" si="3"/>
        <v/>
      </c>
      <c r="Q432" s="139" t="str">
        <f t="shared" si="4"/>
        <v/>
      </c>
      <c r="R432" s="139" t="str">
        <f t="shared" si="5"/>
        <v/>
      </c>
      <c r="S432" s="139" t="str">
        <f t="shared" si="6"/>
        <v/>
      </c>
      <c r="T432" s="140" t="str">
        <f t="shared" si="7"/>
        <v/>
      </c>
      <c r="U432" s="136"/>
      <c r="V432" s="136"/>
      <c r="W432" s="136"/>
      <c r="X432" s="136"/>
      <c r="Y432" s="145"/>
      <c r="Z432" s="145"/>
    </row>
    <row r="433">
      <c r="E433" s="136"/>
      <c r="F433" s="136"/>
      <c r="G433" s="136"/>
      <c r="H433" s="137" t="str">
        <f t="shared" si="1"/>
        <v/>
      </c>
      <c r="I433" s="136"/>
      <c r="J433" s="136"/>
      <c r="K433" s="136"/>
      <c r="L433" s="136"/>
      <c r="M433" s="136"/>
      <c r="N433" s="136"/>
      <c r="O433" s="142" t="str">
        <f t="shared" si="2"/>
        <v/>
      </c>
      <c r="P433" s="140" t="str">
        <f t="shared" si="3"/>
        <v/>
      </c>
      <c r="Q433" s="139" t="str">
        <f t="shared" si="4"/>
        <v/>
      </c>
      <c r="R433" s="139" t="str">
        <f t="shared" si="5"/>
        <v/>
      </c>
      <c r="S433" s="139" t="str">
        <f t="shared" si="6"/>
        <v/>
      </c>
      <c r="T433" s="140" t="str">
        <f t="shared" si="7"/>
        <v/>
      </c>
      <c r="U433" s="136"/>
      <c r="V433" s="136"/>
      <c r="W433" s="136"/>
      <c r="X433" s="136"/>
      <c r="Y433" s="145"/>
      <c r="Z433" s="145"/>
    </row>
    <row r="434">
      <c r="E434" s="136"/>
      <c r="F434" s="136"/>
      <c r="G434" s="136"/>
      <c r="H434" s="137" t="str">
        <f t="shared" si="1"/>
        <v/>
      </c>
      <c r="I434" s="136"/>
      <c r="J434" s="136"/>
      <c r="K434" s="136"/>
      <c r="L434" s="136"/>
      <c r="M434" s="136"/>
      <c r="N434" s="136"/>
      <c r="O434" s="142" t="str">
        <f t="shared" si="2"/>
        <v/>
      </c>
      <c r="P434" s="140" t="str">
        <f t="shared" si="3"/>
        <v/>
      </c>
      <c r="Q434" s="139" t="str">
        <f t="shared" si="4"/>
        <v/>
      </c>
      <c r="R434" s="139" t="str">
        <f t="shared" si="5"/>
        <v/>
      </c>
      <c r="S434" s="139" t="str">
        <f t="shared" si="6"/>
        <v/>
      </c>
      <c r="T434" s="140" t="str">
        <f t="shared" si="7"/>
        <v/>
      </c>
      <c r="U434" s="136"/>
      <c r="V434" s="136"/>
      <c r="W434" s="136"/>
      <c r="X434" s="136"/>
      <c r="Y434" s="145"/>
      <c r="Z434" s="145"/>
    </row>
    <row r="435">
      <c r="E435" s="136"/>
      <c r="F435" s="136"/>
      <c r="G435" s="136"/>
      <c r="H435" s="137" t="str">
        <f t="shared" si="1"/>
        <v/>
      </c>
      <c r="I435" s="136"/>
      <c r="J435" s="136"/>
      <c r="K435" s="136"/>
      <c r="L435" s="136"/>
      <c r="M435" s="136"/>
      <c r="N435" s="136"/>
      <c r="O435" s="142" t="str">
        <f t="shared" si="2"/>
        <v/>
      </c>
      <c r="P435" s="140" t="str">
        <f t="shared" si="3"/>
        <v/>
      </c>
      <c r="Q435" s="139" t="str">
        <f t="shared" si="4"/>
        <v/>
      </c>
      <c r="R435" s="139" t="str">
        <f t="shared" si="5"/>
        <v/>
      </c>
      <c r="S435" s="139" t="str">
        <f t="shared" si="6"/>
        <v/>
      </c>
      <c r="T435" s="140" t="str">
        <f t="shared" si="7"/>
        <v/>
      </c>
      <c r="U435" s="136"/>
      <c r="V435" s="136"/>
      <c r="W435" s="136"/>
      <c r="X435" s="136"/>
      <c r="Y435" s="145"/>
      <c r="Z435" s="145"/>
    </row>
    <row r="436">
      <c r="E436" s="136"/>
      <c r="F436" s="136"/>
      <c r="G436" s="136"/>
      <c r="H436" s="137" t="str">
        <f t="shared" si="1"/>
        <v/>
      </c>
      <c r="I436" s="136"/>
      <c r="J436" s="136"/>
      <c r="K436" s="136"/>
      <c r="L436" s="136"/>
      <c r="M436" s="136"/>
      <c r="N436" s="136"/>
      <c r="O436" s="142" t="str">
        <f t="shared" si="2"/>
        <v/>
      </c>
      <c r="P436" s="140" t="str">
        <f t="shared" si="3"/>
        <v/>
      </c>
      <c r="Q436" s="139" t="str">
        <f t="shared" si="4"/>
        <v/>
      </c>
      <c r="R436" s="139" t="str">
        <f t="shared" si="5"/>
        <v/>
      </c>
      <c r="S436" s="139" t="str">
        <f t="shared" si="6"/>
        <v/>
      </c>
      <c r="T436" s="140" t="str">
        <f t="shared" si="7"/>
        <v/>
      </c>
      <c r="U436" s="136"/>
      <c r="V436" s="136"/>
      <c r="W436" s="136"/>
      <c r="X436" s="136"/>
      <c r="Y436" s="145"/>
      <c r="Z436" s="145"/>
    </row>
    <row r="437">
      <c r="E437" s="136"/>
      <c r="F437" s="136"/>
      <c r="G437" s="136"/>
      <c r="H437" s="137" t="str">
        <f t="shared" si="1"/>
        <v/>
      </c>
      <c r="I437" s="136"/>
      <c r="J437" s="136"/>
      <c r="K437" s="136"/>
      <c r="L437" s="136"/>
      <c r="M437" s="136"/>
      <c r="N437" s="136"/>
      <c r="O437" s="142" t="str">
        <f t="shared" si="2"/>
        <v/>
      </c>
      <c r="P437" s="140" t="str">
        <f t="shared" si="3"/>
        <v/>
      </c>
      <c r="Q437" s="139" t="str">
        <f t="shared" si="4"/>
        <v/>
      </c>
      <c r="R437" s="139" t="str">
        <f t="shared" si="5"/>
        <v/>
      </c>
      <c r="S437" s="139" t="str">
        <f t="shared" si="6"/>
        <v/>
      </c>
      <c r="T437" s="140" t="str">
        <f t="shared" si="7"/>
        <v/>
      </c>
      <c r="U437" s="136"/>
      <c r="V437" s="136"/>
      <c r="W437" s="136"/>
      <c r="X437" s="136"/>
      <c r="Y437" s="145"/>
      <c r="Z437" s="145"/>
    </row>
    <row r="438">
      <c r="E438" s="136"/>
      <c r="F438" s="136"/>
      <c r="G438" s="136"/>
      <c r="H438" s="137" t="str">
        <f t="shared" si="1"/>
        <v/>
      </c>
      <c r="I438" s="136"/>
      <c r="J438" s="136"/>
      <c r="K438" s="136"/>
      <c r="L438" s="136"/>
      <c r="M438" s="136"/>
      <c r="N438" s="136"/>
      <c r="O438" s="142" t="str">
        <f t="shared" si="2"/>
        <v/>
      </c>
      <c r="P438" s="140" t="str">
        <f t="shared" si="3"/>
        <v/>
      </c>
      <c r="Q438" s="139" t="str">
        <f t="shared" si="4"/>
        <v/>
      </c>
      <c r="R438" s="139" t="str">
        <f t="shared" si="5"/>
        <v/>
      </c>
      <c r="S438" s="139" t="str">
        <f t="shared" si="6"/>
        <v/>
      </c>
      <c r="T438" s="140" t="str">
        <f t="shared" si="7"/>
        <v/>
      </c>
      <c r="U438" s="136"/>
      <c r="V438" s="136"/>
      <c r="W438" s="136"/>
      <c r="X438" s="136"/>
      <c r="Y438" s="145"/>
      <c r="Z438" s="145"/>
    </row>
    <row r="439">
      <c r="E439" s="136"/>
      <c r="F439" s="136"/>
      <c r="G439" s="136"/>
      <c r="H439" s="137" t="str">
        <f t="shared" si="1"/>
        <v/>
      </c>
      <c r="I439" s="136"/>
      <c r="J439" s="136"/>
      <c r="K439" s="136"/>
      <c r="L439" s="136"/>
      <c r="M439" s="136"/>
      <c r="N439" s="136"/>
      <c r="O439" s="142" t="str">
        <f t="shared" si="2"/>
        <v/>
      </c>
      <c r="P439" s="140" t="str">
        <f t="shared" si="3"/>
        <v/>
      </c>
      <c r="Q439" s="139" t="str">
        <f t="shared" si="4"/>
        <v/>
      </c>
      <c r="R439" s="139" t="str">
        <f t="shared" si="5"/>
        <v/>
      </c>
      <c r="S439" s="139" t="str">
        <f t="shared" si="6"/>
        <v/>
      </c>
      <c r="T439" s="140" t="str">
        <f t="shared" si="7"/>
        <v/>
      </c>
      <c r="U439" s="136"/>
      <c r="V439" s="136"/>
      <c r="W439" s="136"/>
      <c r="X439" s="136"/>
      <c r="Y439" s="145"/>
      <c r="Z439" s="145"/>
    </row>
    <row r="440">
      <c r="E440" s="136"/>
      <c r="F440" s="136"/>
      <c r="G440" s="136"/>
      <c r="H440" s="137" t="str">
        <f t="shared" si="1"/>
        <v/>
      </c>
      <c r="I440" s="136"/>
      <c r="J440" s="136"/>
      <c r="K440" s="136"/>
      <c r="L440" s="136"/>
      <c r="M440" s="136"/>
      <c r="N440" s="136"/>
      <c r="O440" s="142" t="str">
        <f t="shared" si="2"/>
        <v/>
      </c>
      <c r="P440" s="140" t="str">
        <f t="shared" si="3"/>
        <v/>
      </c>
      <c r="Q440" s="139" t="str">
        <f t="shared" si="4"/>
        <v/>
      </c>
      <c r="R440" s="139" t="str">
        <f t="shared" si="5"/>
        <v/>
      </c>
      <c r="S440" s="139" t="str">
        <f t="shared" si="6"/>
        <v/>
      </c>
      <c r="T440" s="140" t="str">
        <f t="shared" si="7"/>
        <v/>
      </c>
      <c r="U440" s="136"/>
      <c r="V440" s="136"/>
      <c r="W440" s="136"/>
      <c r="X440" s="136"/>
      <c r="Y440" s="145"/>
      <c r="Z440" s="145"/>
    </row>
    <row r="441">
      <c r="E441" s="136"/>
      <c r="F441" s="136"/>
      <c r="G441" s="136"/>
      <c r="H441" s="137" t="str">
        <f t="shared" si="1"/>
        <v/>
      </c>
      <c r="I441" s="136"/>
      <c r="J441" s="136"/>
      <c r="K441" s="136"/>
      <c r="L441" s="136"/>
      <c r="M441" s="136"/>
      <c r="N441" s="136"/>
      <c r="O441" s="142" t="str">
        <f t="shared" si="2"/>
        <v/>
      </c>
      <c r="P441" s="140" t="str">
        <f t="shared" si="3"/>
        <v/>
      </c>
      <c r="Q441" s="139" t="str">
        <f t="shared" si="4"/>
        <v/>
      </c>
      <c r="R441" s="139" t="str">
        <f t="shared" si="5"/>
        <v/>
      </c>
      <c r="S441" s="139" t="str">
        <f t="shared" si="6"/>
        <v/>
      </c>
      <c r="T441" s="140" t="str">
        <f t="shared" si="7"/>
        <v/>
      </c>
      <c r="U441" s="136"/>
      <c r="V441" s="136"/>
      <c r="W441" s="136"/>
      <c r="X441" s="136"/>
      <c r="Y441" s="145"/>
      <c r="Z441" s="145"/>
    </row>
    <row r="442">
      <c r="E442" s="136"/>
      <c r="F442" s="136"/>
      <c r="G442" s="136"/>
      <c r="H442" s="137" t="str">
        <f t="shared" si="1"/>
        <v/>
      </c>
      <c r="I442" s="136"/>
      <c r="J442" s="136"/>
      <c r="K442" s="136"/>
      <c r="L442" s="136"/>
      <c r="M442" s="136"/>
      <c r="N442" s="136"/>
      <c r="O442" s="142" t="str">
        <f t="shared" si="2"/>
        <v/>
      </c>
      <c r="P442" s="140" t="str">
        <f t="shared" si="3"/>
        <v/>
      </c>
      <c r="Q442" s="139" t="str">
        <f t="shared" si="4"/>
        <v/>
      </c>
      <c r="R442" s="139" t="str">
        <f t="shared" si="5"/>
        <v/>
      </c>
      <c r="S442" s="139" t="str">
        <f t="shared" si="6"/>
        <v/>
      </c>
      <c r="T442" s="140" t="str">
        <f t="shared" si="7"/>
        <v/>
      </c>
      <c r="U442" s="136"/>
      <c r="V442" s="136"/>
      <c r="W442" s="136"/>
      <c r="X442" s="136"/>
      <c r="Y442" s="145"/>
      <c r="Z442" s="145"/>
    </row>
    <row r="443">
      <c r="E443" s="136"/>
      <c r="F443" s="136"/>
      <c r="G443" s="136"/>
      <c r="H443" s="137" t="str">
        <f t="shared" si="1"/>
        <v/>
      </c>
      <c r="I443" s="136"/>
      <c r="J443" s="136"/>
      <c r="K443" s="136"/>
      <c r="L443" s="136"/>
      <c r="M443" s="136"/>
      <c r="N443" s="136"/>
      <c r="O443" s="142" t="str">
        <f t="shared" si="2"/>
        <v/>
      </c>
      <c r="P443" s="140" t="str">
        <f t="shared" si="3"/>
        <v/>
      </c>
      <c r="Q443" s="139" t="str">
        <f t="shared" si="4"/>
        <v/>
      </c>
      <c r="R443" s="139" t="str">
        <f t="shared" si="5"/>
        <v/>
      </c>
      <c r="S443" s="139" t="str">
        <f t="shared" si="6"/>
        <v/>
      </c>
      <c r="T443" s="140" t="str">
        <f t="shared" si="7"/>
        <v/>
      </c>
      <c r="U443" s="136"/>
      <c r="V443" s="136"/>
      <c r="W443" s="136"/>
      <c r="X443" s="136"/>
      <c r="Y443" s="145"/>
      <c r="Z443" s="145"/>
    </row>
    <row r="444">
      <c r="E444" s="136"/>
      <c r="F444" s="136"/>
      <c r="G444" s="136"/>
      <c r="H444" s="137" t="str">
        <f t="shared" si="1"/>
        <v/>
      </c>
      <c r="I444" s="136"/>
      <c r="J444" s="136"/>
      <c r="K444" s="136"/>
      <c r="L444" s="136"/>
      <c r="M444" s="136"/>
      <c r="N444" s="136"/>
      <c r="O444" s="142" t="str">
        <f t="shared" si="2"/>
        <v/>
      </c>
      <c r="P444" s="140" t="str">
        <f t="shared" si="3"/>
        <v/>
      </c>
      <c r="Q444" s="139" t="str">
        <f t="shared" si="4"/>
        <v/>
      </c>
      <c r="R444" s="139" t="str">
        <f t="shared" si="5"/>
        <v/>
      </c>
      <c r="S444" s="139" t="str">
        <f t="shared" si="6"/>
        <v/>
      </c>
      <c r="T444" s="140" t="str">
        <f t="shared" si="7"/>
        <v/>
      </c>
      <c r="U444" s="136"/>
      <c r="V444" s="136"/>
      <c r="W444" s="136"/>
      <c r="X444" s="136"/>
      <c r="Y444" s="145"/>
      <c r="Z444" s="145"/>
    </row>
    <row r="445">
      <c r="E445" s="136"/>
      <c r="F445" s="136"/>
      <c r="G445" s="136"/>
      <c r="H445" s="137" t="str">
        <f t="shared" si="1"/>
        <v/>
      </c>
      <c r="I445" s="136"/>
      <c r="J445" s="136"/>
      <c r="K445" s="136"/>
      <c r="L445" s="136"/>
      <c r="M445" s="136"/>
      <c r="N445" s="136"/>
      <c r="O445" s="142" t="str">
        <f t="shared" si="2"/>
        <v/>
      </c>
      <c r="P445" s="140" t="str">
        <f t="shared" si="3"/>
        <v/>
      </c>
      <c r="Q445" s="139" t="str">
        <f t="shared" si="4"/>
        <v/>
      </c>
      <c r="R445" s="139" t="str">
        <f t="shared" si="5"/>
        <v/>
      </c>
      <c r="S445" s="139" t="str">
        <f t="shared" si="6"/>
        <v/>
      </c>
      <c r="T445" s="140" t="str">
        <f t="shared" si="7"/>
        <v/>
      </c>
      <c r="U445" s="136"/>
      <c r="V445" s="136"/>
      <c r="W445" s="136"/>
      <c r="X445" s="136"/>
      <c r="Y445" s="145"/>
      <c r="Z445" s="145"/>
    </row>
    <row r="446">
      <c r="E446" s="136"/>
      <c r="F446" s="136"/>
      <c r="G446" s="136"/>
      <c r="H446" s="137" t="str">
        <f t="shared" si="1"/>
        <v/>
      </c>
      <c r="I446" s="136"/>
      <c r="J446" s="136"/>
      <c r="K446" s="136"/>
      <c r="L446" s="136"/>
      <c r="M446" s="136"/>
      <c r="N446" s="136"/>
      <c r="O446" s="142" t="str">
        <f t="shared" si="2"/>
        <v/>
      </c>
      <c r="P446" s="140" t="str">
        <f t="shared" si="3"/>
        <v/>
      </c>
      <c r="Q446" s="139" t="str">
        <f t="shared" si="4"/>
        <v/>
      </c>
      <c r="R446" s="139" t="str">
        <f t="shared" si="5"/>
        <v/>
      </c>
      <c r="S446" s="139" t="str">
        <f t="shared" si="6"/>
        <v/>
      </c>
      <c r="T446" s="140" t="str">
        <f t="shared" si="7"/>
        <v/>
      </c>
      <c r="U446" s="136"/>
      <c r="V446" s="136"/>
      <c r="W446" s="136"/>
      <c r="X446" s="136"/>
      <c r="Y446" s="145"/>
      <c r="Z446" s="145"/>
    </row>
    <row r="447">
      <c r="E447" s="136"/>
      <c r="F447" s="136"/>
      <c r="G447" s="136"/>
      <c r="H447" s="137" t="str">
        <f t="shared" si="1"/>
        <v/>
      </c>
      <c r="I447" s="136"/>
      <c r="J447" s="136"/>
      <c r="K447" s="136"/>
      <c r="L447" s="136"/>
      <c r="M447" s="136"/>
      <c r="N447" s="136"/>
      <c r="O447" s="142" t="str">
        <f t="shared" si="2"/>
        <v/>
      </c>
      <c r="P447" s="140" t="str">
        <f t="shared" si="3"/>
        <v/>
      </c>
      <c r="Q447" s="139" t="str">
        <f t="shared" si="4"/>
        <v/>
      </c>
      <c r="R447" s="139" t="str">
        <f t="shared" si="5"/>
        <v/>
      </c>
      <c r="S447" s="139" t="str">
        <f t="shared" si="6"/>
        <v/>
      </c>
      <c r="T447" s="140" t="str">
        <f t="shared" si="7"/>
        <v/>
      </c>
      <c r="U447" s="136"/>
      <c r="V447" s="136"/>
      <c r="W447" s="136"/>
      <c r="X447" s="136"/>
      <c r="Y447" s="145"/>
      <c r="Z447" s="145"/>
    </row>
    <row r="448">
      <c r="E448" s="136"/>
      <c r="F448" s="136"/>
      <c r="G448" s="136"/>
      <c r="H448" s="137" t="str">
        <f t="shared" si="1"/>
        <v/>
      </c>
      <c r="I448" s="136"/>
      <c r="J448" s="136"/>
      <c r="K448" s="136"/>
      <c r="L448" s="136"/>
      <c r="M448" s="136"/>
      <c r="N448" s="136"/>
      <c r="O448" s="142" t="str">
        <f t="shared" si="2"/>
        <v/>
      </c>
      <c r="P448" s="140" t="str">
        <f t="shared" si="3"/>
        <v/>
      </c>
      <c r="Q448" s="139" t="str">
        <f t="shared" si="4"/>
        <v/>
      </c>
      <c r="R448" s="139" t="str">
        <f t="shared" si="5"/>
        <v/>
      </c>
      <c r="S448" s="139" t="str">
        <f t="shared" si="6"/>
        <v/>
      </c>
      <c r="T448" s="140" t="str">
        <f t="shared" si="7"/>
        <v/>
      </c>
      <c r="U448" s="136"/>
      <c r="V448" s="136"/>
      <c r="W448" s="136"/>
      <c r="X448" s="136"/>
      <c r="Y448" s="145"/>
      <c r="Z448" s="145"/>
    </row>
    <row r="449">
      <c r="E449" s="136"/>
      <c r="F449" s="136"/>
      <c r="G449" s="136"/>
      <c r="H449" s="137" t="str">
        <f t="shared" si="1"/>
        <v/>
      </c>
      <c r="I449" s="136"/>
      <c r="J449" s="136"/>
      <c r="K449" s="136"/>
      <c r="L449" s="136"/>
      <c r="M449" s="136"/>
      <c r="N449" s="136"/>
      <c r="O449" s="142" t="str">
        <f t="shared" si="2"/>
        <v/>
      </c>
      <c r="P449" s="140" t="str">
        <f t="shared" si="3"/>
        <v/>
      </c>
      <c r="Q449" s="139" t="str">
        <f t="shared" si="4"/>
        <v/>
      </c>
      <c r="R449" s="139" t="str">
        <f t="shared" si="5"/>
        <v/>
      </c>
      <c r="S449" s="139" t="str">
        <f t="shared" si="6"/>
        <v/>
      </c>
      <c r="T449" s="140" t="str">
        <f t="shared" si="7"/>
        <v/>
      </c>
      <c r="U449" s="136"/>
      <c r="V449" s="136"/>
      <c r="W449" s="136"/>
      <c r="X449" s="136"/>
      <c r="Y449" s="145"/>
      <c r="Z449" s="145"/>
    </row>
    <row r="450">
      <c r="E450" s="136"/>
      <c r="F450" s="136"/>
      <c r="G450" s="136"/>
      <c r="H450" s="137" t="str">
        <f t="shared" si="1"/>
        <v/>
      </c>
      <c r="I450" s="136"/>
      <c r="J450" s="136"/>
      <c r="K450" s="136"/>
      <c r="L450" s="136"/>
      <c r="M450" s="136"/>
      <c r="N450" s="136"/>
      <c r="O450" s="142" t="str">
        <f t="shared" si="2"/>
        <v/>
      </c>
      <c r="P450" s="140" t="str">
        <f t="shared" si="3"/>
        <v/>
      </c>
      <c r="Q450" s="139" t="str">
        <f t="shared" si="4"/>
        <v/>
      </c>
      <c r="R450" s="139" t="str">
        <f t="shared" si="5"/>
        <v/>
      </c>
      <c r="S450" s="139" t="str">
        <f t="shared" si="6"/>
        <v/>
      </c>
      <c r="T450" s="140" t="str">
        <f t="shared" si="7"/>
        <v/>
      </c>
      <c r="U450" s="136"/>
      <c r="V450" s="136"/>
      <c r="W450" s="136"/>
      <c r="X450" s="136"/>
      <c r="Y450" s="145"/>
      <c r="Z450" s="145"/>
    </row>
    <row r="451">
      <c r="E451" s="136"/>
      <c r="F451" s="136"/>
      <c r="G451" s="136"/>
      <c r="H451" s="137" t="str">
        <f t="shared" si="1"/>
        <v/>
      </c>
      <c r="I451" s="136"/>
      <c r="J451" s="136"/>
      <c r="K451" s="136"/>
      <c r="L451" s="136"/>
      <c r="M451" s="136"/>
      <c r="N451" s="136"/>
      <c r="O451" s="142" t="str">
        <f t="shared" si="2"/>
        <v/>
      </c>
      <c r="P451" s="140" t="str">
        <f t="shared" si="3"/>
        <v/>
      </c>
      <c r="Q451" s="139" t="str">
        <f t="shared" si="4"/>
        <v/>
      </c>
      <c r="R451" s="139" t="str">
        <f t="shared" si="5"/>
        <v/>
      </c>
      <c r="S451" s="139" t="str">
        <f t="shared" si="6"/>
        <v/>
      </c>
      <c r="T451" s="140" t="str">
        <f t="shared" si="7"/>
        <v/>
      </c>
      <c r="U451" s="136"/>
      <c r="V451" s="136"/>
      <c r="W451" s="136"/>
      <c r="X451" s="136"/>
      <c r="Y451" s="145"/>
      <c r="Z451" s="145"/>
    </row>
    <row r="452">
      <c r="E452" s="136"/>
      <c r="F452" s="136"/>
      <c r="G452" s="136"/>
      <c r="H452" s="137" t="str">
        <f t="shared" si="1"/>
        <v/>
      </c>
      <c r="I452" s="136"/>
      <c r="J452" s="136"/>
      <c r="K452" s="136"/>
      <c r="L452" s="136"/>
      <c r="M452" s="136"/>
      <c r="N452" s="136"/>
      <c r="O452" s="142" t="str">
        <f t="shared" si="2"/>
        <v/>
      </c>
      <c r="P452" s="140" t="str">
        <f t="shared" si="3"/>
        <v/>
      </c>
      <c r="Q452" s="139" t="str">
        <f t="shared" si="4"/>
        <v/>
      </c>
      <c r="R452" s="139" t="str">
        <f t="shared" si="5"/>
        <v/>
      </c>
      <c r="S452" s="139" t="str">
        <f t="shared" si="6"/>
        <v/>
      </c>
      <c r="T452" s="140" t="str">
        <f t="shared" si="7"/>
        <v/>
      </c>
      <c r="U452" s="136"/>
      <c r="V452" s="136"/>
      <c r="W452" s="136"/>
      <c r="X452" s="136"/>
      <c r="Y452" s="145"/>
      <c r="Z452" s="145"/>
    </row>
    <row r="453">
      <c r="E453" s="136"/>
      <c r="F453" s="136"/>
      <c r="G453" s="136"/>
      <c r="H453" s="137" t="str">
        <f t="shared" si="1"/>
        <v/>
      </c>
      <c r="I453" s="136"/>
      <c r="J453" s="136"/>
      <c r="K453" s="136"/>
      <c r="L453" s="136"/>
      <c r="M453" s="136"/>
      <c r="N453" s="136"/>
      <c r="O453" s="142" t="str">
        <f t="shared" si="2"/>
        <v/>
      </c>
      <c r="P453" s="140" t="str">
        <f t="shared" si="3"/>
        <v/>
      </c>
      <c r="Q453" s="139" t="str">
        <f t="shared" si="4"/>
        <v/>
      </c>
      <c r="R453" s="139" t="str">
        <f t="shared" si="5"/>
        <v/>
      </c>
      <c r="S453" s="139" t="str">
        <f t="shared" si="6"/>
        <v/>
      </c>
      <c r="T453" s="140" t="str">
        <f t="shared" si="7"/>
        <v/>
      </c>
      <c r="U453" s="136"/>
      <c r="V453" s="136"/>
      <c r="W453" s="136"/>
      <c r="X453" s="136"/>
      <c r="Y453" s="145"/>
      <c r="Z453" s="145"/>
    </row>
    <row r="454">
      <c r="E454" s="136"/>
      <c r="F454" s="136"/>
      <c r="G454" s="136"/>
      <c r="H454" s="137" t="str">
        <f t="shared" si="1"/>
        <v/>
      </c>
      <c r="I454" s="136"/>
      <c r="J454" s="136"/>
      <c r="K454" s="136"/>
      <c r="L454" s="136"/>
      <c r="M454" s="136"/>
      <c r="N454" s="136"/>
      <c r="O454" s="142" t="str">
        <f t="shared" si="2"/>
        <v/>
      </c>
      <c r="P454" s="140" t="str">
        <f t="shared" si="3"/>
        <v/>
      </c>
      <c r="Q454" s="139" t="str">
        <f t="shared" si="4"/>
        <v/>
      </c>
      <c r="R454" s="139" t="str">
        <f t="shared" si="5"/>
        <v/>
      </c>
      <c r="S454" s="139" t="str">
        <f t="shared" si="6"/>
        <v/>
      </c>
      <c r="T454" s="140" t="str">
        <f t="shared" si="7"/>
        <v/>
      </c>
      <c r="U454" s="136"/>
      <c r="V454" s="136"/>
      <c r="W454" s="136"/>
      <c r="X454" s="136"/>
      <c r="Y454" s="145"/>
      <c r="Z454" s="145"/>
    </row>
    <row r="455">
      <c r="E455" s="136"/>
      <c r="F455" s="136"/>
      <c r="G455" s="136"/>
      <c r="H455" s="137" t="str">
        <f t="shared" si="1"/>
        <v/>
      </c>
      <c r="I455" s="136"/>
      <c r="J455" s="136"/>
      <c r="K455" s="136"/>
      <c r="L455" s="136"/>
      <c r="M455" s="136"/>
      <c r="N455" s="136"/>
      <c r="O455" s="142" t="str">
        <f t="shared" si="2"/>
        <v/>
      </c>
      <c r="P455" s="140" t="str">
        <f t="shared" si="3"/>
        <v/>
      </c>
      <c r="Q455" s="139" t="str">
        <f t="shared" si="4"/>
        <v/>
      </c>
      <c r="R455" s="139" t="str">
        <f t="shared" si="5"/>
        <v/>
      </c>
      <c r="S455" s="139" t="str">
        <f t="shared" si="6"/>
        <v/>
      </c>
      <c r="T455" s="140" t="str">
        <f t="shared" si="7"/>
        <v/>
      </c>
      <c r="U455" s="136"/>
      <c r="V455" s="136"/>
      <c r="W455" s="136"/>
      <c r="X455" s="136"/>
      <c r="Y455" s="145"/>
      <c r="Z455" s="145"/>
    </row>
    <row r="456">
      <c r="E456" s="136"/>
      <c r="F456" s="136"/>
      <c r="G456" s="136"/>
      <c r="H456" s="137" t="str">
        <f t="shared" si="1"/>
        <v/>
      </c>
      <c r="I456" s="136"/>
      <c r="J456" s="136"/>
      <c r="K456" s="136"/>
      <c r="L456" s="136"/>
      <c r="M456" s="136"/>
      <c r="N456" s="136"/>
      <c r="O456" s="142" t="str">
        <f t="shared" si="2"/>
        <v/>
      </c>
      <c r="P456" s="140" t="str">
        <f t="shared" si="3"/>
        <v/>
      </c>
      <c r="Q456" s="139" t="str">
        <f t="shared" si="4"/>
        <v/>
      </c>
      <c r="R456" s="139" t="str">
        <f t="shared" si="5"/>
        <v/>
      </c>
      <c r="S456" s="139" t="str">
        <f t="shared" si="6"/>
        <v/>
      </c>
      <c r="T456" s="140" t="str">
        <f t="shared" si="7"/>
        <v/>
      </c>
      <c r="U456" s="136"/>
      <c r="V456" s="136"/>
      <c r="W456" s="136"/>
      <c r="X456" s="136"/>
      <c r="Y456" s="145"/>
      <c r="Z456" s="145"/>
    </row>
    <row r="457">
      <c r="E457" s="136"/>
      <c r="F457" s="136"/>
      <c r="G457" s="136"/>
      <c r="H457" s="137" t="str">
        <f t="shared" si="1"/>
        <v/>
      </c>
      <c r="I457" s="136"/>
      <c r="J457" s="136"/>
      <c r="K457" s="136"/>
      <c r="L457" s="136"/>
      <c r="M457" s="136"/>
      <c r="N457" s="136"/>
      <c r="O457" s="142" t="str">
        <f t="shared" si="2"/>
        <v/>
      </c>
      <c r="P457" s="140" t="str">
        <f t="shared" si="3"/>
        <v/>
      </c>
      <c r="Q457" s="139" t="str">
        <f t="shared" si="4"/>
        <v/>
      </c>
      <c r="R457" s="139" t="str">
        <f t="shared" si="5"/>
        <v/>
      </c>
      <c r="S457" s="139" t="str">
        <f t="shared" si="6"/>
        <v/>
      </c>
      <c r="T457" s="140" t="str">
        <f t="shared" si="7"/>
        <v/>
      </c>
      <c r="U457" s="136"/>
      <c r="V457" s="136"/>
      <c r="W457" s="136"/>
      <c r="X457" s="136"/>
      <c r="Y457" s="145"/>
      <c r="Z457" s="145"/>
    </row>
    <row r="458">
      <c r="E458" s="136"/>
      <c r="F458" s="136"/>
      <c r="G458" s="136"/>
      <c r="H458" s="137" t="str">
        <f t="shared" si="1"/>
        <v/>
      </c>
      <c r="I458" s="136"/>
      <c r="J458" s="136"/>
      <c r="K458" s="136"/>
      <c r="L458" s="136"/>
      <c r="M458" s="136"/>
      <c r="N458" s="136"/>
      <c r="O458" s="142" t="str">
        <f t="shared" si="2"/>
        <v/>
      </c>
      <c r="P458" s="140" t="str">
        <f t="shared" si="3"/>
        <v/>
      </c>
      <c r="Q458" s="139" t="str">
        <f t="shared" si="4"/>
        <v/>
      </c>
      <c r="R458" s="139" t="str">
        <f t="shared" si="5"/>
        <v/>
      </c>
      <c r="S458" s="139" t="str">
        <f t="shared" si="6"/>
        <v/>
      </c>
      <c r="T458" s="140" t="str">
        <f t="shared" si="7"/>
        <v/>
      </c>
      <c r="U458" s="136"/>
      <c r="V458" s="136"/>
      <c r="W458" s="136"/>
      <c r="X458" s="136"/>
      <c r="Y458" s="145"/>
      <c r="Z458" s="145"/>
    </row>
    <row r="459">
      <c r="E459" s="136"/>
      <c r="F459" s="136"/>
      <c r="G459" s="136"/>
      <c r="H459" s="137" t="str">
        <f t="shared" si="1"/>
        <v/>
      </c>
      <c r="I459" s="136"/>
      <c r="J459" s="136"/>
      <c r="K459" s="136"/>
      <c r="L459" s="136"/>
      <c r="M459" s="136"/>
      <c r="N459" s="136"/>
      <c r="O459" s="142" t="str">
        <f t="shared" si="2"/>
        <v/>
      </c>
      <c r="P459" s="140" t="str">
        <f t="shared" si="3"/>
        <v/>
      </c>
      <c r="Q459" s="139" t="str">
        <f t="shared" si="4"/>
        <v/>
      </c>
      <c r="R459" s="139" t="str">
        <f t="shared" si="5"/>
        <v/>
      </c>
      <c r="S459" s="139" t="str">
        <f t="shared" si="6"/>
        <v/>
      </c>
      <c r="T459" s="140" t="str">
        <f t="shared" si="7"/>
        <v/>
      </c>
      <c r="U459" s="136"/>
      <c r="V459" s="136"/>
      <c r="W459" s="136"/>
      <c r="X459" s="136"/>
      <c r="Y459" s="145"/>
      <c r="Z459" s="145"/>
    </row>
    <row r="460">
      <c r="E460" s="136"/>
      <c r="F460" s="136"/>
      <c r="G460" s="136"/>
      <c r="H460" s="137" t="str">
        <f t="shared" si="1"/>
        <v/>
      </c>
      <c r="I460" s="136"/>
      <c r="J460" s="136"/>
      <c r="K460" s="136"/>
      <c r="L460" s="136"/>
      <c r="M460" s="136"/>
      <c r="N460" s="136"/>
      <c r="O460" s="142" t="str">
        <f t="shared" si="2"/>
        <v/>
      </c>
      <c r="P460" s="140" t="str">
        <f t="shared" si="3"/>
        <v/>
      </c>
      <c r="Q460" s="139" t="str">
        <f t="shared" si="4"/>
        <v/>
      </c>
      <c r="R460" s="139" t="str">
        <f t="shared" si="5"/>
        <v/>
      </c>
      <c r="S460" s="139" t="str">
        <f t="shared" si="6"/>
        <v/>
      </c>
      <c r="T460" s="140" t="str">
        <f t="shared" si="7"/>
        <v/>
      </c>
      <c r="U460" s="136"/>
      <c r="V460" s="136"/>
      <c r="W460" s="136"/>
      <c r="X460" s="136"/>
      <c r="Y460" s="145"/>
      <c r="Z460" s="145"/>
    </row>
    <row r="461">
      <c r="E461" s="136"/>
      <c r="F461" s="136"/>
      <c r="G461" s="136"/>
      <c r="H461" s="137" t="str">
        <f t="shared" si="1"/>
        <v/>
      </c>
      <c r="I461" s="136"/>
      <c r="J461" s="136"/>
      <c r="K461" s="136"/>
      <c r="L461" s="136"/>
      <c r="M461" s="136"/>
      <c r="N461" s="136"/>
      <c r="O461" s="142" t="str">
        <f t="shared" si="2"/>
        <v/>
      </c>
      <c r="P461" s="140" t="str">
        <f t="shared" si="3"/>
        <v/>
      </c>
      <c r="Q461" s="139" t="str">
        <f t="shared" si="4"/>
        <v/>
      </c>
      <c r="R461" s="139" t="str">
        <f t="shared" si="5"/>
        <v/>
      </c>
      <c r="S461" s="139" t="str">
        <f t="shared" si="6"/>
        <v/>
      </c>
      <c r="T461" s="140" t="str">
        <f t="shared" si="7"/>
        <v/>
      </c>
      <c r="U461" s="136"/>
      <c r="V461" s="136"/>
      <c r="W461" s="136"/>
      <c r="X461" s="136"/>
      <c r="Y461" s="145"/>
      <c r="Z461" s="145"/>
    </row>
    <row r="462">
      <c r="E462" s="136"/>
      <c r="F462" s="136"/>
      <c r="G462" s="136"/>
      <c r="H462" s="137" t="str">
        <f t="shared" si="1"/>
        <v/>
      </c>
      <c r="I462" s="136"/>
      <c r="J462" s="136"/>
      <c r="K462" s="136"/>
      <c r="L462" s="136"/>
      <c r="M462" s="136"/>
      <c r="N462" s="136"/>
      <c r="O462" s="142" t="str">
        <f t="shared" si="2"/>
        <v/>
      </c>
      <c r="P462" s="140" t="str">
        <f t="shared" si="3"/>
        <v/>
      </c>
      <c r="Q462" s="139" t="str">
        <f t="shared" si="4"/>
        <v/>
      </c>
      <c r="R462" s="139" t="str">
        <f t="shared" si="5"/>
        <v/>
      </c>
      <c r="S462" s="139" t="str">
        <f t="shared" si="6"/>
        <v/>
      </c>
      <c r="T462" s="140" t="str">
        <f t="shared" si="7"/>
        <v/>
      </c>
      <c r="U462" s="136"/>
      <c r="V462" s="136"/>
      <c r="W462" s="136"/>
      <c r="X462" s="136"/>
      <c r="Y462" s="145"/>
      <c r="Z462" s="145"/>
    </row>
    <row r="463">
      <c r="E463" s="136"/>
      <c r="F463" s="136"/>
      <c r="G463" s="136"/>
      <c r="H463" s="137" t="str">
        <f t="shared" si="1"/>
        <v/>
      </c>
      <c r="I463" s="136"/>
      <c r="J463" s="136"/>
      <c r="K463" s="136"/>
      <c r="L463" s="136"/>
      <c r="M463" s="136"/>
      <c r="N463" s="136"/>
      <c r="O463" s="142" t="str">
        <f t="shared" si="2"/>
        <v/>
      </c>
      <c r="P463" s="140" t="str">
        <f t="shared" si="3"/>
        <v/>
      </c>
      <c r="Q463" s="139" t="str">
        <f t="shared" si="4"/>
        <v/>
      </c>
      <c r="R463" s="139" t="str">
        <f t="shared" si="5"/>
        <v/>
      </c>
      <c r="S463" s="139" t="str">
        <f t="shared" si="6"/>
        <v/>
      </c>
      <c r="T463" s="140" t="str">
        <f t="shared" si="7"/>
        <v/>
      </c>
      <c r="U463" s="136"/>
      <c r="V463" s="136"/>
      <c r="W463" s="136"/>
      <c r="X463" s="136"/>
      <c r="Y463" s="145"/>
      <c r="Z463" s="145"/>
    </row>
    <row r="464">
      <c r="E464" s="136"/>
      <c r="F464" s="136"/>
      <c r="G464" s="136"/>
      <c r="H464" s="137" t="str">
        <f t="shared" si="1"/>
        <v/>
      </c>
      <c r="I464" s="136"/>
      <c r="J464" s="136"/>
      <c r="K464" s="136"/>
      <c r="L464" s="136"/>
      <c r="M464" s="136"/>
      <c r="N464" s="136"/>
      <c r="O464" s="142" t="str">
        <f t="shared" si="2"/>
        <v/>
      </c>
      <c r="P464" s="140" t="str">
        <f t="shared" si="3"/>
        <v/>
      </c>
      <c r="Q464" s="139" t="str">
        <f t="shared" si="4"/>
        <v/>
      </c>
      <c r="R464" s="139" t="str">
        <f t="shared" si="5"/>
        <v/>
      </c>
      <c r="S464" s="139" t="str">
        <f t="shared" si="6"/>
        <v/>
      </c>
      <c r="T464" s="140" t="str">
        <f t="shared" si="7"/>
        <v/>
      </c>
      <c r="U464" s="136"/>
      <c r="V464" s="136"/>
      <c r="W464" s="136"/>
      <c r="X464" s="136"/>
      <c r="Y464" s="145"/>
      <c r="Z464" s="145"/>
    </row>
    <row r="465">
      <c r="E465" s="136"/>
      <c r="F465" s="136"/>
      <c r="G465" s="136"/>
      <c r="H465" s="137" t="str">
        <f t="shared" si="1"/>
        <v/>
      </c>
      <c r="I465" s="136"/>
      <c r="J465" s="136"/>
      <c r="K465" s="136"/>
      <c r="L465" s="136"/>
      <c r="M465" s="136"/>
      <c r="N465" s="136"/>
      <c r="O465" s="142" t="str">
        <f t="shared" si="2"/>
        <v/>
      </c>
      <c r="P465" s="140" t="str">
        <f t="shared" si="3"/>
        <v/>
      </c>
      <c r="Q465" s="139" t="str">
        <f t="shared" si="4"/>
        <v/>
      </c>
      <c r="R465" s="139" t="str">
        <f t="shared" si="5"/>
        <v/>
      </c>
      <c r="S465" s="139" t="str">
        <f t="shared" si="6"/>
        <v/>
      </c>
      <c r="T465" s="140" t="str">
        <f t="shared" si="7"/>
        <v/>
      </c>
      <c r="U465" s="136"/>
      <c r="V465" s="136"/>
      <c r="W465" s="136"/>
      <c r="X465" s="136"/>
      <c r="Y465" s="145"/>
      <c r="Z465" s="145"/>
    </row>
    <row r="466">
      <c r="E466" s="136"/>
      <c r="F466" s="136"/>
      <c r="G466" s="136"/>
      <c r="H466" s="137" t="str">
        <f t="shared" si="1"/>
        <v/>
      </c>
      <c r="I466" s="136"/>
      <c r="J466" s="136"/>
      <c r="K466" s="136"/>
      <c r="L466" s="136"/>
      <c r="M466" s="136"/>
      <c r="N466" s="136"/>
      <c r="O466" s="142" t="str">
        <f t="shared" si="2"/>
        <v/>
      </c>
      <c r="P466" s="140" t="str">
        <f t="shared" si="3"/>
        <v/>
      </c>
      <c r="Q466" s="139" t="str">
        <f t="shared" si="4"/>
        <v/>
      </c>
      <c r="R466" s="139" t="str">
        <f t="shared" si="5"/>
        <v/>
      </c>
      <c r="S466" s="139" t="str">
        <f t="shared" si="6"/>
        <v/>
      </c>
      <c r="T466" s="140" t="str">
        <f t="shared" si="7"/>
        <v/>
      </c>
      <c r="U466" s="136"/>
      <c r="V466" s="136"/>
      <c r="W466" s="136"/>
      <c r="X466" s="136"/>
      <c r="Y466" s="145"/>
      <c r="Z466" s="145"/>
    </row>
    <row r="467">
      <c r="E467" s="136"/>
      <c r="F467" s="136"/>
      <c r="G467" s="136"/>
      <c r="H467" s="137" t="str">
        <f t="shared" si="1"/>
        <v/>
      </c>
      <c r="I467" s="136"/>
      <c r="J467" s="136"/>
      <c r="K467" s="136"/>
      <c r="L467" s="136"/>
      <c r="M467" s="136"/>
      <c r="N467" s="136"/>
      <c r="O467" s="142" t="str">
        <f t="shared" si="2"/>
        <v/>
      </c>
      <c r="P467" s="140" t="str">
        <f t="shared" si="3"/>
        <v/>
      </c>
      <c r="Q467" s="139" t="str">
        <f t="shared" si="4"/>
        <v/>
      </c>
      <c r="R467" s="139" t="str">
        <f t="shared" si="5"/>
        <v/>
      </c>
      <c r="S467" s="139" t="str">
        <f t="shared" si="6"/>
        <v/>
      </c>
      <c r="T467" s="140" t="str">
        <f t="shared" si="7"/>
        <v/>
      </c>
      <c r="U467" s="136"/>
      <c r="V467" s="136"/>
      <c r="W467" s="136"/>
      <c r="X467" s="136"/>
      <c r="Y467" s="145"/>
      <c r="Z467" s="145"/>
    </row>
    <row r="468">
      <c r="E468" s="136"/>
      <c r="F468" s="136"/>
      <c r="G468" s="136"/>
      <c r="H468" s="137" t="str">
        <f t="shared" si="1"/>
        <v/>
      </c>
      <c r="I468" s="136"/>
      <c r="J468" s="136"/>
      <c r="K468" s="136"/>
      <c r="L468" s="136"/>
      <c r="M468" s="136"/>
      <c r="N468" s="136"/>
      <c r="O468" s="142" t="str">
        <f t="shared" si="2"/>
        <v/>
      </c>
      <c r="P468" s="140" t="str">
        <f t="shared" si="3"/>
        <v/>
      </c>
      <c r="Q468" s="139" t="str">
        <f t="shared" si="4"/>
        <v/>
      </c>
      <c r="R468" s="139" t="str">
        <f t="shared" si="5"/>
        <v/>
      </c>
      <c r="S468" s="139" t="str">
        <f t="shared" si="6"/>
        <v/>
      </c>
      <c r="T468" s="140" t="str">
        <f t="shared" si="7"/>
        <v/>
      </c>
      <c r="U468" s="136"/>
      <c r="V468" s="136"/>
      <c r="W468" s="136"/>
      <c r="X468" s="136"/>
      <c r="Y468" s="145"/>
      <c r="Z468" s="145"/>
    </row>
    <row r="469">
      <c r="E469" s="136"/>
      <c r="F469" s="136"/>
      <c r="G469" s="136"/>
      <c r="H469" s="137" t="str">
        <f t="shared" si="1"/>
        <v/>
      </c>
      <c r="I469" s="136"/>
      <c r="J469" s="136"/>
      <c r="K469" s="136"/>
      <c r="L469" s="136"/>
      <c r="M469" s="136"/>
      <c r="N469" s="136"/>
      <c r="O469" s="142" t="str">
        <f t="shared" si="2"/>
        <v/>
      </c>
      <c r="P469" s="140" t="str">
        <f t="shared" si="3"/>
        <v/>
      </c>
      <c r="Q469" s="139" t="str">
        <f t="shared" si="4"/>
        <v/>
      </c>
      <c r="R469" s="139" t="str">
        <f t="shared" si="5"/>
        <v/>
      </c>
      <c r="S469" s="139" t="str">
        <f t="shared" si="6"/>
        <v/>
      </c>
      <c r="T469" s="140" t="str">
        <f t="shared" si="7"/>
        <v/>
      </c>
      <c r="U469" s="136"/>
      <c r="V469" s="136"/>
      <c r="W469" s="136"/>
      <c r="X469" s="136"/>
      <c r="Y469" s="145"/>
      <c r="Z469" s="145"/>
    </row>
    <row r="470">
      <c r="E470" s="136"/>
      <c r="F470" s="136"/>
      <c r="G470" s="136"/>
      <c r="H470" s="137" t="str">
        <f t="shared" si="1"/>
        <v/>
      </c>
      <c r="I470" s="136"/>
      <c r="J470" s="136"/>
      <c r="K470" s="136"/>
      <c r="L470" s="136"/>
      <c r="M470" s="136"/>
      <c r="N470" s="136"/>
      <c r="O470" s="142" t="str">
        <f t="shared" si="2"/>
        <v/>
      </c>
      <c r="P470" s="140" t="str">
        <f t="shared" si="3"/>
        <v/>
      </c>
      <c r="Q470" s="139" t="str">
        <f t="shared" si="4"/>
        <v/>
      </c>
      <c r="R470" s="139" t="str">
        <f t="shared" si="5"/>
        <v/>
      </c>
      <c r="S470" s="139" t="str">
        <f t="shared" si="6"/>
        <v/>
      </c>
      <c r="T470" s="140" t="str">
        <f t="shared" si="7"/>
        <v/>
      </c>
      <c r="U470" s="136"/>
      <c r="V470" s="136"/>
      <c r="W470" s="136"/>
      <c r="X470" s="136"/>
      <c r="Y470" s="145"/>
      <c r="Z470" s="145"/>
    </row>
    <row r="471">
      <c r="E471" s="136"/>
      <c r="F471" s="136"/>
      <c r="G471" s="136"/>
      <c r="H471" s="137" t="str">
        <f t="shared" si="1"/>
        <v/>
      </c>
      <c r="I471" s="136"/>
      <c r="J471" s="136"/>
      <c r="K471" s="136"/>
      <c r="L471" s="136"/>
      <c r="M471" s="136"/>
      <c r="N471" s="136"/>
      <c r="O471" s="142" t="str">
        <f t="shared" si="2"/>
        <v/>
      </c>
      <c r="P471" s="140" t="str">
        <f t="shared" si="3"/>
        <v/>
      </c>
      <c r="Q471" s="139" t="str">
        <f t="shared" si="4"/>
        <v/>
      </c>
      <c r="R471" s="139" t="str">
        <f t="shared" si="5"/>
        <v/>
      </c>
      <c r="S471" s="139" t="str">
        <f t="shared" si="6"/>
        <v/>
      </c>
      <c r="T471" s="140" t="str">
        <f t="shared" si="7"/>
        <v/>
      </c>
      <c r="U471" s="136"/>
      <c r="V471" s="136"/>
      <c r="W471" s="136"/>
      <c r="X471" s="136"/>
      <c r="Y471" s="145"/>
      <c r="Z471" s="145"/>
    </row>
    <row r="472">
      <c r="E472" s="136"/>
      <c r="F472" s="136"/>
      <c r="G472" s="136"/>
      <c r="H472" s="137" t="str">
        <f t="shared" si="1"/>
        <v/>
      </c>
      <c r="I472" s="136"/>
      <c r="J472" s="136"/>
      <c r="K472" s="136"/>
      <c r="L472" s="136"/>
      <c r="M472" s="136"/>
      <c r="N472" s="136"/>
      <c r="O472" s="142" t="str">
        <f t="shared" si="2"/>
        <v/>
      </c>
      <c r="P472" s="140" t="str">
        <f t="shared" si="3"/>
        <v/>
      </c>
      <c r="Q472" s="139" t="str">
        <f t="shared" si="4"/>
        <v/>
      </c>
      <c r="R472" s="139" t="str">
        <f t="shared" si="5"/>
        <v/>
      </c>
      <c r="S472" s="139" t="str">
        <f t="shared" si="6"/>
        <v/>
      </c>
      <c r="T472" s="140" t="str">
        <f t="shared" si="7"/>
        <v/>
      </c>
      <c r="U472" s="136"/>
      <c r="V472" s="136"/>
      <c r="W472" s="136"/>
      <c r="X472" s="136"/>
      <c r="Y472" s="145"/>
      <c r="Z472" s="145"/>
    </row>
    <row r="473">
      <c r="E473" s="136"/>
      <c r="F473" s="136"/>
      <c r="G473" s="136"/>
      <c r="H473" s="137" t="str">
        <f t="shared" si="1"/>
        <v/>
      </c>
      <c r="I473" s="136"/>
      <c r="J473" s="136"/>
      <c r="K473" s="136"/>
      <c r="L473" s="136"/>
      <c r="M473" s="136"/>
      <c r="N473" s="136"/>
      <c r="O473" s="142" t="str">
        <f t="shared" si="2"/>
        <v/>
      </c>
      <c r="P473" s="140" t="str">
        <f t="shared" si="3"/>
        <v/>
      </c>
      <c r="Q473" s="139" t="str">
        <f t="shared" si="4"/>
        <v/>
      </c>
      <c r="R473" s="139" t="str">
        <f t="shared" si="5"/>
        <v/>
      </c>
      <c r="S473" s="139" t="str">
        <f t="shared" si="6"/>
        <v/>
      </c>
      <c r="T473" s="140" t="str">
        <f t="shared" si="7"/>
        <v/>
      </c>
      <c r="U473" s="136"/>
      <c r="V473" s="136"/>
      <c r="W473" s="136"/>
      <c r="X473" s="136"/>
      <c r="Y473" s="145"/>
      <c r="Z473" s="145"/>
    </row>
    <row r="474">
      <c r="E474" s="136"/>
      <c r="F474" s="136"/>
      <c r="G474" s="136"/>
      <c r="H474" s="137" t="str">
        <f t="shared" si="1"/>
        <v/>
      </c>
      <c r="I474" s="136"/>
      <c r="J474" s="136"/>
      <c r="K474" s="136"/>
      <c r="L474" s="136"/>
      <c r="M474" s="136"/>
      <c r="N474" s="136"/>
      <c r="O474" s="142" t="str">
        <f t="shared" si="2"/>
        <v/>
      </c>
      <c r="P474" s="140" t="str">
        <f t="shared" si="3"/>
        <v/>
      </c>
      <c r="Q474" s="139" t="str">
        <f t="shared" si="4"/>
        <v/>
      </c>
      <c r="R474" s="139" t="str">
        <f t="shared" si="5"/>
        <v/>
      </c>
      <c r="S474" s="139" t="str">
        <f t="shared" si="6"/>
        <v/>
      </c>
      <c r="T474" s="140" t="str">
        <f t="shared" si="7"/>
        <v/>
      </c>
      <c r="U474" s="136"/>
      <c r="V474" s="136"/>
      <c r="W474" s="136"/>
      <c r="X474" s="136"/>
      <c r="Y474" s="145"/>
      <c r="Z474" s="145"/>
    </row>
    <row r="475">
      <c r="E475" s="136"/>
      <c r="F475" s="136"/>
      <c r="G475" s="136"/>
      <c r="H475" s="137" t="str">
        <f t="shared" si="1"/>
        <v/>
      </c>
      <c r="I475" s="136"/>
      <c r="J475" s="136"/>
      <c r="K475" s="136"/>
      <c r="L475" s="136"/>
      <c r="M475" s="136"/>
      <c r="N475" s="136"/>
      <c r="O475" s="142" t="str">
        <f t="shared" si="2"/>
        <v/>
      </c>
      <c r="P475" s="140" t="str">
        <f t="shared" si="3"/>
        <v/>
      </c>
      <c r="Q475" s="139" t="str">
        <f t="shared" si="4"/>
        <v/>
      </c>
      <c r="R475" s="139" t="str">
        <f t="shared" si="5"/>
        <v/>
      </c>
      <c r="S475" s="139" t="str">
        <f t="shared" si="6"/>
        <v/>
      </c>
      <c r="T475" s="140" t="str">
        <f t="shared" si="7"/>
        <v/>
      </c>
      <c r="U475" s="136"/>
      <c r="V475" s="136"/>
      <c r="W475" s="136"/>
      <c r="X475" s="136"/>
      <c r="Y475" s="145"/>
      <c r="Z475" s="145"/>
    </row>
    <row r="476">
      <c r="E476" s="136"/>
      <c r="F476" s="136"/>
      <c r="G476" s="136"/>
      <c r="H476" s="137" t="str">
        <f t="shared" si="1"/>
        <v/>
      </c>
      <c r="I476" s="136"/>
      <c r="J476" s="136"/>
      <c r="K476" s="136"/>
      <c r="L476" s="136"/>
      <c r="M476" s="136"/>
      <c r="N476" s="136"/>
      <c r="O476" s="142" t="str">
        <f t="shared" si="2"/>
        <v/>
      </c>
      <c r="P476" s="140" t="str">
        <f t="shared" si="3"/>
        <v/>
      </c>
      <c r="Q476" s="139" t="str">
        <f t="shared" si="4"/>
        <v/>
      </c>
      <c r="R476" s="139" t="str">
        <f t="shared" si="5"/>
        <v/>
      </c>
      <c r="S476" s="139" t="str">
        <f t="shared" si="6"/>
        <v/>
      </c>
      <c r="T476" s="140" t="str">
        <f t="shared" si="7"/>
        <v/>
      </c>
      <c r="U476" s="136"/>
      <c r="V476" s="136"/>
      <c r="W476" s="136"/>
      <c r="X476" s="136"/>
      <c r="Y476" s="145"/>
      <c r="Z476" s="145"/>
    </row>
    <row r="477">
      <c r="E477" s="136"/>
      <c r="F477" s="136"/>
      <c r="G477" s="136"/>
      <c r="H477" s="137" t="str">
        <f t="shared" si="1"/>
        <v/>
      </c>
      <c r="I477" s="136"/>
      <c r="J477" s="136"/>
      <c r="K477" s="136"/>
      <c r="L477" s="136"/>
      <c r="M477" s="136"/>
      <c r="N477" s="136"/>
      <c r="O477" s="142" t="str">
        <f t="shared" si="2"/>
        <v/>
      </c>
      <c r="P477" s="140" t="str">
        <f t="shared" si="3"/>
        <v/>
      </c>
      <c r="Q477" s="139" t="str">
        <f t="shared" si="4"/>
        <v/>
      </c>
      <c r="R477" s="139" t="str">
        <f t="shared" si="5"/>
        <v/>
      </c>
      <c r="S477" s="139" t="str">
        <f t="shared" si="6"/>
        <v/>
      </c>
      <c r="T477" s="140" t="str">
        <f t="shared" si="7"/>
        <v/>
      </c>
      <c r="U477" s="136"/>
      <c r="V477" s="136"/>
      <c r="W477" s="136"/>
      <c r="X477" s="136"/>
      <c r="Y477" s="145"/>
      <c r="Z477" s="145"/>
    </row>
    <row r="478">
      <c r="E478" s="136"/>
      <c r="F478" s="136"/>
      <c r="G478" s="136"/>
      <c r="H478" s="137" t="str">
        <f t="shared" si="1"/>
        <v/>
      </c>
      <c r="I478" s="136"/>
      <c r="J478" s="136"/>
      <c r="K478" s="136"/>
      <c r="L478" s="136"/>
      <c r="M478" s="136"/>
      <c r="N478" s="136"/>
      <c r="O478" s="142" t="str">
        <f t="shared" si="2"/>
        <v/>
      </c>
      <c r="P478" s="140" t="str">
        <f t="shared" si="3"/>
        <v/>
      </c>
      <c r="Q478" s="139" t="str">
        <f t="shared" si="4"/>
        <v/>
      </c>
      <c r="R478" s="139" t="str">
        <f t="shared" si="5"/>
        <v/>
      </c>
      <c r="S478" s="139" t="str">
        <f t="shared" si="6"/>
        <v/>
      </c>
      <c r="T478" s="140" t="str">
        <f t="shared" si="7"/>
        <v/>
      </c>
      <c r="U478" s="136"/>
      <c r="V478" s="136"/>
      <c r="W478" s="136"/>
      <c r="X478" s="136"/>
      <c r="Y478" s="145"/>
      <c r="Z478" s="145"/>
    </row>
    <row r="479">
      <c r="E479" s="136"/>
      <c r="F479" s="136"/>
      <c r="G479" s="136"/>
      <c r="H479" s="137" t="str">
        <f t="shared" si="1"/>
        <v/>
      </c>
      <c r="I479" s="136"/>
      <c r="J479" s="136"/>
      <c r="K479" s="136"/>
      <c r="L479" s="136"/>
      <c r="M479" s="136"/>
      <c r="N479" s="136"/>
      <c r="O479" s="142" t="str">
        <f t="shared" si="2"/>
        <v/>
      </c>
      <c r="P479" s="140" t="str">
        <f t="shared" si="3"/>
        <v/>
      </c>
      <c r="Q479" s="139" t="str">
        <f t="shared" si="4"/>
        <v/>
      </c>
      <c r="R479" s="139" t="str">
        <f t="shared" si="5"/>
        <v/>
      </c>
      <c r="S479" s="139" t="str">
        <f t="shared" si="6"/>
        <v/>
      </c>
      <c r="T479" s="140" t="str">
        <f t="shared" si="7"/>
        <v/>
      </c>
      <c r="U479" s="136"/>
      <c r="V479" s="136"/>
      <c r="W479" s="136"/>
      <c r="X479" s="136"/>
      <c r="Y479" s="145"/>
      <c r="Z479" s="145"/>
    </row>
    <row r="480">
      <c r="E480" s="136"/>
      <c r="F480" s="136"/>
      <c r="G480" s="136"/>
      <c r="H480" s="137" t="str">
        <f t="shared" si="1"/>
        <v/>
      </c>
      <c r="I480" s="136"/>
      <c r="J480" s="136"/>
      <c r="K480" s="136"/>
      <c r="L480" s="136"/>
      <c r="M480" s="136"/>
      <c r="N480" s="136"/>
      <c r="O480" s="142" t="str">
        <f t="shared" si="2"/>
        <v/>
      </c>
      <c r="P480" s="140" t="str">
        <f t="shared" si="3"/>
        <v/>
      </c>
      <c r="Q480" s="139" t="str">
        <f t="shared" si="4"/>
        <v/>
      </c>
      <c r="R480" s="139" t="str">
        <f t="shared" si="5"/>
        <v/>
      </c>
      <c r="S480" s="139" t="str">
        <f t="shared" si="6"/>
        <v/>
      </c>
      <c r="T480" s="140" t="str">
        <f t="shared" si="7"/>
        <v/>
      </c>
      <c r="U480" s="136"/>
      <c r="V480" s="136"/>
      <c r="W480" s="136"/>
      <c r="X480" s="136"/>
      <c r="Y480" s="145"/>
      <c r="Z480" s="145"/>
    </row>
    <row r="481">
      <c r="E481" s="136"/>
      <c r="F481" s="136"/>
      <c r="G481" s="136"/>
      <c r="H481" s="137" t="str">
        <f t="shared" si="1"/>
        <v/>
      </c>
      <c r="I481" s="136"/>
      <c r="J481" s="136"/>
      <c r="K481" s="136"/>
      <c r="L481" s="136"/>
      <c r="M481" s="136"/>
      <c r="N481" s="136"/>
      <c r="O481" s="142" t="str">
        <f t="shared" si="2"/>
        <v/>
      </c>
      <c r="P481" s="140" t="str">
        <f t="shared" si="3"/>
        <v/>
      </c>
      <c r="Q481" s="139" t="str">
        <f t="shared" si="4"/>
        <v/>
      </c>
      <c r="R481" s="139" t="str">
        <f t="shared" si="5"/>
        <v/>
      </c>
      <c r="S481" s="139" t="str">
        <f t="shared" si="6"/>
        <v/>
      </c>
      <c r="T481" s="140" t="str">
        <f t="shared" si="7"/>
        <v/>
      </c>
      <c r="U481" s="136"/>
      <c r="V481" s="136"/>
      <c r="W481" s="136"/>
      <c r="X481" s="136"/>
      <c r="Y481" s="145"/>
      <c r="Z481" s="145"/>
    </row>
    <row r="482">
      <c r="E482" s="136"/>
      <c r="F482" s="136"/>
      <c r="G482" s="136"/>
      <c r="H482" s="137" t="str">
        <f t="shared" si="1"/>
        <v/>
      </c>
      <c r="I482" s="136"/>
      <c r="J482" s="136"/>
      <c r="K482" s="136"/>
      <c r="L482" s="136"/>
      <c r="M482" s="136"/>
      <c r="N482" s="136"/>
      <c r="O482" s="142" t="str">
        <f t="shared" si="2"/>
        <v/>
      </c>
      <c r="P482" s="140" t="str">
        <f t="shared" si="3"/>
        <v/>
      </c>
      <c r="Q482" s="139" t="str">
        <f t="shared" si="4"/>
        <v/>
      </c>
      <c r="R482" s="139" t="str">
        <f t="shared" si="5"/>
        <v/>
      </c>
      <c r="S482" s="139" t="str">
        <f t="shared" si="6"/>
        <v/>
      </c>
      <c r="T482" s="140" t="str">
        <f t="shared" si="7"/>
        <v/>
      </c>
      <c r="U482" s="136"/>
      <c r="V482" s="136"/>
      <c r="W482" s="136"/>
      <c r="X482" s="136"/>
      <c r="Y482" s="145"/>
      <c r="Z482" s="145"/>
    </row>
    <row r="483">
      <c r="E483" s="136"/>
      <c r="F483" s="136"/>
      <c r="G483" s="136"/>
      <c r="H483" s="137" t="str">
        <f t="shared" si="1"/>
        <v/>
      </c>
      <c r="I483" s="136"/>
      <c r="J483" s="136"/>
      <c r="K483" s="136"/>
      <c r="L483" s="136"/>
      <c r="M483" s="136"/>
      <c r="N483" s="136"/>
      <c r="O483" s="142" t="str">
        <f t="shared" si="2"/>
        <v/>
      </c>
      <c r="P483" s="140" t="str">
        <f t="shared" si="3"/>
        <v/>
      </c>
      <c r="Q483" s="139" t="str">
        <f t="shared" si="4"/>
        <v/>
      </c>
      <c r="R483" s="139" t="str">
        <f t="shared" si="5"/>
        <v/>
      </c>
      <c r="S483" s="139" t="str">
        <f t="shared" si="6"/>
        <v/>
      </c>
      <c r="T483" s="140" t="str">
        <f t="shared" si="7"/>
        <v/>
      </c>
      <c r="U483" s="136"/>
      <c r="V483" s="136"/>
      <c r="W483" s="136"/>
      <c r="X483" s="136"/>
      <c r="Y483" s="145"/>
      <c r="Z483" s="145"/>
    </row>
    <row r="484">
      <c r="E484" s="136"/>
      <c r="F484" s="136"/>
      <c r="G484" s="136"/>
      <c r="H484" s="137" t="str">
        <f t="shared" si="1"/>
        <v/>
      </c>
      <c r="I484" s="136"/>
      <c r="J484" s="136"/>
      <c r="K484" s="136"/>
      <c r="L484" s="136"/>
      <c r="M484" s="136"/>
      <c r="N484" s="136"/>
      <c r="O484" s="142" t="str">
        <f t="shared" si="2"/>
        <v/>
      </c>
      <c r="P484" s="140" t="str">
        <f t="shared" si="3"/>
        <v/>
      </c>
      <c r="Q484" s="139" t="str">
        <f t="shared" si="4"/>
        <v/>
      </c>
      <c r="R484" s="139" t="str">
        <f t="shared" si="5"/>
        <v/>
      </c>
      <c r="S484" s="139" t="str">
        <f t="shared" si="6"/>
        <v/>
      </c>
      <c r="T484" s="140" t="str">
        <f t="shared" si="7"/>
        <v/>
      </c>
      <c r="U484" s="136"/>
      <c r="V484" s="136"/>
      <c r="W484" s="136"/>
      <c r="X484" s="136"/>
      <c r="Y484" s="145"/>
      <c r="Z484" s="145"/>
    </row>
    <row r="485">
      <c r="E485" s="136"/>
      <c r="F485" s="136"/>
      <c r="G485" s="136"/>
      <c r="H485" s="137" t="str">
        <f t="shared" si="1"/>
        <v/>
      </c>
      <c r="I485" s="136"/>
      <c r="J485" s="136"/>
      <c r="K485" s="136"/>
      <c r="L485" s="136"/>
      <c r="M485" s="136"/>
      <c r="N485" s="136"/>
      <c r="O485" s="142" t="str">
        <f t="shared" si="2"/>
        <v/>
      </c>
      <c r="P485" s="140" t="str">
        <f t="shared" si="3"/>
        <v/>
      </c>
      <c r="Q485" s="139" t="str">
        <f t="shared" si="4"/>
        <v/>
      </c>
      <c r="R485" s="139" t="str">
        <f t="shared" si="5"/>
        <v/>
      </c>
      <c r="S485" s="139" t="str">
        <f t="shared" si="6"/>
        <v/>
      </c>
      <c r="T485" s="140" t="str">
        <f t="shared" si="7"/>
        <v/>
      </c>
      <c r="U485" s="136"/>
      <c r="V485" s="136"/>
      <c r="W485" s="136"/>
      <c r="X485" s="136"/>
      <c r="Y485" s="145"/>
      <c r="Z485" s="145"/>
    </row>
    <row r="486">
      <c r="E486" s="136"/>
      <c r="F486" s="136"/>
      <c r="G486" s="136"/>
      <c r="H486" s="137" t="str">
        <f t="shared" si="1"/>
        <v/>
      </c>
      <c r="I486" s="136"/>
      <c r="J486" s="136"/>
      <c r="K486" s="136"/>
      <c r="L486" s="136"/>
      <c r="M486" s="136"/>
      <c r="N486" s="136"/>
      <c r="O486" s="142" t="str">
        <f t="shared" si="2"/>
        <v/>
      </c>
      <c r="P486" s="140" t="str">
        <f t="shared" si="3"/>
        <v/>
      </c>
      <c r="Q486" s="139" t="str">
        <f t="shared" si="4"/>
        <v/>
      </c>
      <c r="R486" s="139" t="str">
        <f t="shared" si="5"/>
        <v/>
      </c>
      <c r="S486" s="139" t="str">
        <f t="shared" si="6"/>
        <v/>
      </c>
      <c r="T486" s="140" t="str">
        <f t="shared" si="7"/>
        <v/>
      </c>
      <c r="U486" s="136"/>
      <c r="V486" s="136"/>
      <c r="W486" s="136"/>
      <c r="X486" s="136"/>
      <c r="Y486" s="145"/>
      <c r="Z486" s="145"/>
    </row>
    <row r="487">
      <c r="E487" s="136"/>
      <c r="F487" s="136"/>
      <c r="G487" s="136"/>
      <c r="H487" s="137" t="str">
        <f t="shared" si="1"/>
        <v/>
      </c>
      <c r="I487" s="136"/>
      <c r="J487" s="136"/>
      <c r="K487" s="136"/>
      <c r="L487" s="136"/>
      <c r="M487" s="136"/>
      <c r="N487" s="136"/>
      <c r="O487" s="142" t="str">
        <f t="shared" si="2"/>
        <v/>
      </c>
      <c r="P487" s="140" t="str">
        <f t="shared" si="3"/>
        <v/>
      </c>
      <c r="Q487" s="139" t="str">
        <f t="shared" si="4"/>
        <v/>
      </c>
      <c r="R487" s="139" t="str">
        <f t="shared" si="5"/>
        <v/>
      </c>
      <c r="S487" s="139" t="str">
        <f t="shared" si="6"/>
        <v/>
      </c>
      <c r="T487" s="140" t="str">
        <f t="shared" si="7"/>
        <v/>
      </c>
      <c r="U487" s="136"/>
      <c r="V487" s="136"/>
      <c r="W487" s="136"/>
      <c r="X487" s="136"/>
      <c r="Y487" s="145"/>
      <c r="Z487" s="145"/>
    </row>
    <row r="488">
      <c r="E488" s="136"/>
      <c r="F488" s="136"/>
      <c r="G488" s="136"/>
      <c r="H488" s="137" t="str">
        <f t="shared" si="1"/>
        <v/>
      </c>
      <c r="I488" s="136"/>
      <c r="J488" s="136"/>
      <c r="K488" s="136"/>
      <c r="L488" s="136"/>
      <c r="M488" s="136"/>
      <c r="N488" s="136"/>
      <c r="O488" s="142" t="str">
        <f t="shared" si="2"/>
        <v/>
      </c>
      <c r="P488" s="140" t="str">
        <f t="shared" si="3"/>
        <v/>
      </c>
      <c r="Q488" s="139" t="str">
        <f t="shared" si="4"/>
        <v/>
      </c>
      <c r="R488" s="139" t="str">
        <f t="shared" si="5"/>
        <v/>
      </c>
      <c r="S488" s="139" t="str">
        <f t="shared" si="6"/>
        <v/>
      </c>
      <c r="T488" s="140" t="str">
        <f t="shared" si="7"/>
        <v/>
      </c>
      <c r="U488" s="136"/>
      <c r="V488" s="136"/>
      <c r="W488" s="136"/>
      <c r="X488" s="136"/>
      <c r="Y488" s="145"/>
      <c r="Z488" s="145"/>
    </row>
    <row r="489">
      <c r="E489" s="136"/>
      <c r="F489" s="136"/>
      <c r="G489" s="136"/>
      <c r="H489" s="137" t="str">
        <f t="shared" si="1"/>
        <v/>
      </c>
      <c r="I489" s="136"/>
      <c r="J489" s="136"/>
      <c r="K489" s="136"/>
      <c r="L489" s="136"/>
      <c r="M489" s="136"/>
      <c r="N489" s="136"/>
      <c r="O489" s="142" t="str">
        <f t="shared" si="2"/>
        <v/>
      </c>
      <c r="P489" s="140" t="str">
        <f t="shared" si="3"/>
        <v/>
      </c>
      <c r="Q489" s="139" t="str">
        <f t="shared" si="4"/>
        <v/>
      </c>
      <c r="R489" s="139" t="str">
        <f t="shared" si="5"/>
        <v/>
      </c>
      <c r="S489" s="139" t="str">
        <f t="shared" si="6"/>
        <v/>
      </c>
      <c r="T489" s="140" t="str">
        <f t="shared" si="7"/>
        <v/>
      </c>
      <c r="U489" s="136"/>
      <c r="V489" s="136"/>
      <c r="W489" s="136"/>
      <c r="X489" s="136"/>
      <c r="Y489" s="145"/>
      <c r="Z489" s="145"/>
    </row>
    <row r="490">
      <c r="E490" s="136"/>
      <c r="F490" s="136"/>
      <c r="G490" s="136"/>
      <c r="H490" s="137" t="str">
        <f t="shared" si="1"/>
        <v/>
      </c>
      <c r="I490" s="136"/>
      <c r="J490" s="136"/>
      <c r="K490" s="136"/>
      <c r="L490" s="136"/>
      <c r="M490" s="136"/>
      <c r="N490" s="136"/>
      <c r="O490" s="142" t="str">
        <f t="shared" si="2"/>
        <v/>
      </c>
      <c r="P490" s="140" t="str">
        <f t="shared" si="3"/>
        <v/>
      </c>
      <c r="Q490" s="139" t="str">
        <f t="shared" si="4"/>
        <v/>
      </c>
      <c r="R490" s="139" t="str">
        <f t="shared" si="5"/>
        <v/>
      </c>
      <c r="S490" s="139" t="str">
        <f t="shared" si="6"/>
        <v/>
      </c>
      <c r="T490" s="140" t="str">
        <f t="shared" si="7"/>
        <v/>
      </c>
      <c r="U490" s="136"/>
      <c r="V490" s="136"/>
      <c r="W490" s="136"/>
      <c r="X490" s="136"/>
      <c r="Y490" s="145"/>
      <c r="Z490" s="145"/>
    </row>
    <row r="491">
      <c r="E491" s="136"/>
      <c r="F491" s="136"/>
      <c r="G491" s="136"/>
      <c r="H491" s="137" t="str">
        <f t="shared" si="1"/>
        <v/>
      </c>
      <c r="I491" s="136"/>
      <c r="J491" s="136"/>
      <c r="K491" s="136"/>
      <c r="L491" s="136"/>
      <c r="M491" s="136"/>
      <c r="N491" s="136"/>
      <c r="O491" s="142" t="str">
        <f t="shared" si="2"/>
        <v/>
      </c>
      <c r="P491" s="140" t="str">
        <f t="shared" si="3"/>
        <v/>
      </c>
      <c r="Q491" s="139" t="str">
        <f t="shared" si="4"/>
        <v/>
      </c>
      <c r="R491" s="139" t="str">
        <f t="shared" si="5"/>
        <v/>
      </c>
      <c r="S491" s="139" t="str">
        <f t="shared" si="6"/>
        <v/>
      </c>
      <c r="T491" s="140" t="str">
        <f t="shared" si="7"/>
        <v/>
      </c>
      <c r="U491" s="136"/>
      <c r="V491" s="136"/>
      <c r="W491" s="136"/>
      <c r="X491" s="136"/>
      <c r="Y491" s="145"/>
      <c r="Z491" s="145"/>
    </row>
    <row r="492">
      <c r="E492" s="136"/>
      <c r="F492" s="136"/>
      <c r="G492" s="136"/>
      <c r="H492" s="137" t="str">
        <f t="shared" si="1"/>
        <v/>
      </c>
      <c r="I492" s="136"/>
      <c r="J492" s="136"/>
      <c r="K492" s="136"/>
      <c r="L492" s="136"/>
      <c r="M492" s="136"/>
      <c r="N492" s="136"/>
      <c r="O492" s="142" t="str">
        <f t="shared" si="2"/>
        <v/>
      </c>
      <c r="P492" s="140" t="str">
        <f t="shared" si="3"/>
        <v/>
      </c>
      <c r="Q492" s="139" t="str">
        <f t="shared" si="4"/>
        <v/>
      </c>
      <c r="R492" s="139" t="str">
        <f t="shared" si="5"/>
        <v/>
      </c>
      <c r="S492" s="139" t="str">
        <f t="shared" si="6"/>
        <v/>
      </c>
      <c r="T492" s="140" t="str">
        <f t="shared" si="7"/>
        <v/>
      </c>
      <c r="U492" s="136"/>
      <c r="V492" s="136"/>
      <c r="W492" s="136"/>
      <c r="X492" s="136"/>
      <c r="Y492" s="145"/>
      <c r="Z492" s="145"/>
    </row>
    <row r="493">
      <c r="E493" s="136"/>
      <c r="F493" s="136"/>
      <c r="G493" s="136"/>
      <c r="H493" s="137" t="str">
        <f t="shared" si="1"/>
        <v/>
      </c>
      <c r="I493" s="136"/>
      <c r="J493" s="136"/>
      <c r="K493" s="136"/>
      <c r="L493" s="136"/>
      <c r="M493" s="136"/>
      <c r="N493" s="136"/>
      <c r="O493" s="142" t="str">
        <f t="shared" si="2"/>
        <v/>
      </c>
      <c r="P493" s="140" t="str">
        <f t="shared" si="3"/>
        <v/>
      </c>
      <c r="Q493" s="139" t="str">
        <f t="shared" si="4"/>
        <v/>
      </c>
      <c r="R493" s="139" t="str">
        <f t="shared" si="5"/>
        <v/>
      </c>
      <c r="S493" s="139" t="str">
        <f t="shared" si="6"/>
        <v/>
      </c>
      <c r="T493" s="140" t="str">
        <f t="shared" si="7"/>
        <v/>
      </c>
      <c r="U493" s="136"/>
      <c r="V493" s="136"/>
      <c r="W493" s="136"/>
      <c r="X493" s="136"/>
      <c r="Y493" s="145"/>
      <c r="Z493" s="145"/>
    </row>
    <row r="494">
      <c r="E494" s="136"/>
      <c r="F494" s="136"/>
      <c r="G494" s="136"/>
      <c r="H494" s="137" t="str">
        <f t="shared" si="1"/>
        <v/>
      </c>
      <c r="I494" s="136"/>
      <c r="J494" s="136"/>
      <c r="K494" s="136"/>
      <c r="L494" s="136"/>
      <c r="M494" s="136"/>
      <c r="N494" s="136"/>
      <c r="O494" s="142" t="str">
        <f t="shared" si="2"/>
        <v/>
      </c>
      <c r="P494" s="140" t="str">
        <f t="shared" si="3"/>
        <v/>
      </c>
      <c r="Q494" s="139" t="str">
        <f t="shared" si="4"/>
        <v/>
      </c>
      <c r="R494" s="139" t="str">
        <f t="shared" si="5"/>
        <v/>
      </c>
      <c r="S494" s="139" t="str">
        <f t="shared" si="6"/>
        <v/>
      </c>
      <c r="T494" s="140" t="str">
        <f t="shared" si="7"/>
        <v/>
      </c>
      <c r="U494" s="136"/>
      <c r="V494" s="136"/>
      <c r="W494" s="136"/>
      <c r="X494" s="136"/>
      <c r="Y494" s="145"/>
      <c r="Z494" s="145"/>
    </row>
    <row r="495">
      <c r="E495" s="136"/>
      <c r="F495" s="136"/>
      <c r="G495" s="136"/>
      <c r="H495" s="137" t="str">
        <f t="shared" si="1"/>
        <v/>
      </c>
      <c r="I495" s="136"/>
      <c r="J495" s="136"/>
      <c r="K495" s="136"/>
      <c r="L495" s="136"/>
      <c r="M495" s="136"/>
      <c r="N495" s="136"/>
      <c r="O495" s="142" t="str">
        <f t="shared" si="2"/>
        <v/>
      </c>
      <c r="P495" s="140" t="str">
        <f t="shared" si="3"/>
        <v/>
      </c>
      <c r="Q495" s="139" t="str">
        <f t="shared" si="4"/>
        <v/>
      </c>
      <c r="R495" s="139" t="str">
        <f t="shared" si="5"/>
        <v/>
      </c>
      <c r="S495" s="139" t="str">
        <f t="shared" si="6"/>
        <v/>
      </c>
      <c r="T495" s="140" t="str">
        <f t="shared" si="7"/>
        <v/>
      </c>
      <c r="U495" s="136"/>
      <c r="V495" s="136"/>
      <c r="W495" s="136"/>
      <c r="X495" s="136"/>
      <c r="Y495" s="145"/>
      <c r="Z495" s="145"/>
    </row>
    <row r="496">
      <c r="E496" s="136"/>
      <c r="F496" s="136"/>
      <c r="G496" s="136"/>
      <c r="H496" s="137" t="str">
        <f t="shared" si="1"/>
        <v/>
      </c>
      <c r="I496" s="136"/>
      <c r="J496" s="136"/>
      <c r="K496" s="136"/>
      <c r="L496" s="136"/>
      <c r="M496" s="136"/>
      <c r="N496" s="136"/>
      <c r="O496" s="142" t="str">
        <f t="shared" si="2"/>
        <v/>
      </c>
      <c r="P496" s="140" t="str">
        <f t="shared" si="3"/>
        <v/>
      </c>
      <c r="Q496" s="139" t="str">
        <f t="shared" si="4"/>
        <v/>
      </c>
      <c r="R496" s="139" t="str">
        <f t="shared" si="5"/>
        <v/>
      </c>
      <c r="S496" s="139" t="str">
        <f t="shared" si="6"/>
        <v/>
      </c>
      <c r="T496" s="140" t="str">
        <f t="shared" si="7"/>
        <v/>
      </c>
      <c r="U496" s="136"/>
      <c r="V496" s="136"/>
      <c r="W496" s="136"/>
      <c r="X496" s="136"/>
      <c r="Y496" s="145"/>
      <c r="Z496" s="145"/>
    </row>
    <row r="497">
      <c r="E497" s="136"/>
      <c r="F497" s="136"/>
      <c r="G497" s="136"/>
      <c r="H497" s="137" t="str">
        <f t="shared" si="1"/>
        <v/>
      </c>
      <c r="I497" s="136"/>
      <c r="J497" s="136"/>
      <c r="K497" s="136"/>
      <c r="L497" s="136"/>
      <c r="M497" s="136"/>
      <c r="N497" s="136"/>
      <c r="O497" s="142" t="str">
        <f t="shared" si="2"/>
        <v/>
      </c>
      <c r="P497" s="140" t="str">
        <f t="shared" si="3"/>
        <v/>
      </c>
      <c r="Q497" s="139" t="str">
        <f t="shared" si="4"/>
        <v/>
      </c>
      <c r="R497" s="139" t="str">
        <f t="shared" si="5"/>
        <v/>
      </c>
      <c r="S497" s="139" t="str">
        <f t="shared" si="6"/>
        <v/>
      </c>
      <c r="T497" s="140" t="str">
        <f t="shared" si="7"/>
        <v/>
      </c>
      <c r="U497" s="136"/>
      <c r="V497" s="136"/>
      <c r="W497" s="136"/>
      <c r="X497" s="136"/>
      <c r="Y497" s="145"/>
      <c r="Z497" s="145"/>
    </row>
    <row r="498">
      <c r="E498" s="136"/>
      <c r="F498" s="136"/>
      <c r="G498" s="136"/>
      <c r="H498" s="137" t="str">
        <f t="shared" si="1"/>
        <v/>
      </c>
      <c r="I498" s="136"/>
      <c r="J498" s="136"/>
      <c r="K498" s="136"/>
      <c r="L498" s="136"/>
      <c r="M498" s="136"/>
      <c r="N498" s="136"/>
      <c r="O498" s="142" t="str">
        <f t="shared" si="2"/>
        <v/>
      </c>
      <c r="P498" s="140" t="str">
        <f t="shared" si="3"/>
        <v/>
      </c>
      <c r="Q498" s="139" t="str">
        <f t="shared" si="4"/>
        <v/>
      </c>
      <c r="R498" s="139" t="str">
        <f t="shared" si="5"/>
        <v/>
      </c>
      <c r="S498" s="139" t="str">
        <f t="shared" si="6"/>
        <v/>
      </c>
      <c r="T498" s="140" t="str">
        <f t="shared" si="7"/>
        <v/>
      </c>
      <c r="U498" s="136"/>
      <c r="V498" s="136"/>
      <c r="W498" s="136"/>
      <c r="X498" s="136"/>
      <c r="Y498" s="145"/>
      <c r="Z498" s="145"/>
    </row>
    <row r="499">
      <c r="E499" s="136"/>
      <c r="F499" s="136"/>
      <c r="G499" s="136"/>
      <c r="H499" s="137" t="str">
        <f t="shared" si="1"/>
        <v/>
      </c>
      <c r="I499" s="136"/>
      <c r="J499" s="136"/>
      <c r="K499" s="136"/>
      <c r="L499" s="136"/>
      <c r="M499" s="136"/>
      <c r="N499" s="136"/>
      <c r="O499" s="142" t="str">
        <f t="shared" si="2"/>
        <v/>
      </c>
      <c r="P499" s="140" t="str">
        <f t="shared" si="3"/>
        <v/>
      </c>
      <c r="Q499" s="139" t="str">
        <f t="shared" si="4"/>
        <v/>
      </c>
      <c r="R499" s="139" t="str">
        <f t="shared" si="5"/>
        <v/>
      </c>
      <c r="S499" s="139" t="str">
        <f t="shared" si="6"/>
        <v/>
      </c>
      <c r="T499" s="140" t="str">
        <f t="shared" si="7"/>
        <v/>
      </c>
      <c r="U499" s="136"/>
      <c r="V499" s="136"/>
      <c r="W499" s="136"/>
      <c r="X499" s="136"/>
      <c r="Y499" s="145"/>
      <c r="Z499" s="145"/>
    </row>
    <row r="500">
      <c r="E500" s="136"/>
      <c r="F500" s="136"/>
      <c r="G500" s="136"/>
      <c r="H500" s="137" t="str">
        <f t="shared" si="1"/>
        <v/>
      </c>
      <c r="I500" s="136"/>
      <c r="J500" s="136"/>
      <c r="K500" s="136"/>
      <c r="L500" s="136"/>
      <c r="M500" s="136"/>
      <c r="N500" s="136"/>
      <c r="O500" s="142" t="str">
        <f t="shared" si="2"/>
        <v/>
      </c>
      <c r="P500" s="140" t="str">
        <f t="shared" si="3"/>
        <v/>
      </c>
      <c r="Q500" s="139" t="str">
        <f t="shared" si="4"/>
        <v/>
      </c>
      <c r="R500" s="139" t="str">
        <f t="shared" si="5"/>
        <v/>
      </c>
      <c r="S500" s="139" t="str">
        <f t="shared" si="6"/>
        <v/>
      </c>
      <c r="T500" s="140" t="str">
        <f t="shared" si="7"/>
        <v/>
      </c>
      <c r="U500" s="136"/>
      <c r="V500" s="136"/>
      <c r="W500" s="136"/>
      <c r="X500" s="136"/>
      <c r="Y500" s="145"/>
      <c r="Z500" s="145"/>
    </row>
    <row r="501">
      <c r="E501" s="136"/>
      <c r="F501" s="136"/>
      <c r="G501" s="136"/>
      <c r="H501" s="137" t="str">
        <f t="shared" si="1"/>
        <v/>
      </c>
      <c r="I501" s="136"/>
      <c r="J501" s="136"/>
      <c r="K501" s="136"/>
      <c r="L501" s="136"/>
      <c r="M501" s="136"/>
      <c r="N501" s="136"/>
      <c r="O501" s="142" t="str">
        <f t="shared" si="2"/>
        <v/>
      </c>
      <c r="P501" s="140" t="str">
        <f t="shared" si="3"/>
        <v/>
      </c>
      <c r="Q501" s="139" t="str">
        <f t="shared" si="4"/>
        <v/>
      </c>
      <c r="R501" s="139" t="str">
        <f t="shared" si="5"/>
        <v/>
      </c>
      <c r="S501" s="139" t="str">
        <f t="shared" si="6"/>
        <v/>
      </c>
      <c r="T501" s="140" t="str">
        <f t="shared" si="7"/>
        <v/>
      </c>
      <c r="U501" s="136"/>
      <c r="V501" s="136"/>
      <c r="W501" s="136"/>
      <c r="X501" s="136"/>
      <c r="Y501" s="145"/>
      <c r="Z501" s="145"/>
    </row>
    <row r="502">
      <c r="E502" s="136"/>
      <c r="F502" s="136"/>
      <c r="G502" s="136"/>
      <c r="H502" s="137" t="str">
        <f t="shared" si="1"/>
        <v/>
      </c>
      <c r="I502" s="136"/>
      <c r="J502" s="136"/>
      <c r="K502" s="136"/>
      <c r="L502" s="136"/>
      <c r="M502" s="136"/>
      <c r="N502" s="136"/>
      <c r="O502" s="142" t="str">
        <f t="shared" si="2"/>
        <v/>
      </c>
      <c r="P502" s="140" t="str">
        <f t="shared" si="3"/>
        <v/>
      </c>
      <c r="Q502" s="139" t="str">
        <f t="shared" si="4"/>
        <v/>
      </c>
      <c r="R502" s="139" t="str">
        <f t="shared" si="5"/>
        <v/>
      </c>
      <c r="S502" s="139" t="str">
        <f t="shared" si="6"/>
        <v/>
      </c>
      <c r="T502" s="140" t="str">
        <f t="shared" si="7"/>
        <v/>
      </c>
      <c r="U502" s="136"/>
      <c r="V502" s="136"/>
      <c r="W502" s="136"/>
      <c r="X502" s="136"/>
      <c r="Y502" s="145"/>
      <c r="Z502" s="145"/>
    </row>
    <row r="503">
      <c r="E503" s="136"/>
      <c r="F503" s="136"/>
      <c r="G503" s="136"/>
      <c r="H503" s="137" t="str">
        <f t="shared" si="1"/>
        <v/>
      </c>
      <c r="I503" s="136"/>
      <c r="J503" s="136"/>
      <c r="K503" s="136"/>
      <c r="L503" s="136"/>
      <c r="M503" s="136"/>
      <c r="N503" s="136"/>
      <c r="O503" s="142" t="str">
        <f t="shared" si="2"/>
        <v/>
      </c>
      <c r="P503" s="140" t="str">
        <f t="shared" si="3"/>
        <v/>
      </c>
      <c r="Q503" s="139" t="str">
        <f t="shared" si="4"/>
        <v/>
      </c>
      <c r="R503" s="139" t="str">
        <f t="shared" si="5"/>
        <v/>
      </c>
      <c r="S503" s="139" t="str">
        <f t="shared" si="6"/>
        <v/>
      </c>
      <c r="T503" s="140" t="str">
        <f t="shared" si="7"/>
        <v/>
      </c>
      <c r="U503" s="136"/>
      <c r="V503" s="136"/>
      <c r="W503" s="136"/>
      <c r="X503" s="136"/>
      <c r="Y503" s="145"/>
      <c r="Z503" s="145"/>
    </row>
    <row r="504">
      <c r="E504" s="136"/>
      <c r="F504" s="136"/>
      <c r="G504" s="136"/>
      <c r="H504" s="137" t="str">
        <f t="shared" si="1"/>
        <v/>
      </c>
      <c r="I504" s="136"/>
      <c r="J504" s="136"/>
      <c r="K504" s="136"/>
      <c r="L504" s="136"/>
      <c r="M504" s="136"/>
      <c r="N504" s="136"/>
      <c r="O504" s="142" t="str">
        <f t="shared" si="2"/>
        <v/>
      </c>
      <c r="P504" s="140" t="str">
        <f t="shared" si="3"/>
        <v/>
      </c>
      <c r="Q504" s="139" t="str">
        <f t="shared" si="4"/>
        <v/>
      </c>
      <c r="R504" s="139" t="str">
        <f t="shared" si="5"/>
        <v/>
      </c>
      <c r="S504" s="139" t="str">
        <f t="shared" si="6"/>
        <v/>
      </c>
      <c r="T504" s="140" t="str">
        <f t="shared" si="7"/>
        <v/>
      </c>
      <c r="U504" s="136"/>
      <c r="V504" s="136"/>
      <c r="W504" s="136"/>
      <c r="X504" s="136"/>
      <c r="Y504" s="145"/>
      <c r="Z504" s="145"/>
    </row>
    <row r="505">
      <c r="E505" s="136"/>
      <c r="F505" s="136"/>
      <c r="G505" s="136"/>
      <c r="H505" s="137" t="str">
        <f t="shared" si="1"/>
        <v/>
      </c>
      <c r="I505" s="136"/>
      <c r="J505" s="136"/>
      <c r="K505" s="136"/>
      <c r="L505" s="136"/>
      <c r="M505" s="136"/>
      <c r="N505" s="136"/>
      <c r="O505" s="142" t="str">
        <f t="shared" si="2"/>
        <v/>
      </c>
      <c r="P505" s="140" t="str">
        <f t="shared" si="3"/>
        <v/>
      </c>
      <c r="Q505" s="139" t="str">
        <f t="shared" si="4"/>
        <v/>
      </c>
      <c r="R505" s="139" t="str">
        <f t="shared" si="5"/>
        <v/>
      </c>
      <c r="S505" s="139" t="str">
        <f t="shared" si="6"/>
        <v/>
      </c>
      <c r="T505" s="140" t="str">
        <f t="shared" si="7"/>
        <v/>
      </c>
      <c r="U505" s="136"/>
      <c r="V505" s="136"/>
      <c r="W505" s="136"/>
      <c r="X505" s="136"/>
      <c r="Y505" s="145"/>
      <c r="Z505" s="145"/>
    </row>
    <row r="506">
      <c r="E506" s="136"/>
      <c r="F506" s="136"/>
      <c r="G506" s="136"/>
      <c r="H506" s="137" t="str">
        <f t="shared" si="1"/>
        <v/>
      </c>
      <c r="I506" s="136"/>
      <c r="J506" s="136"/>
      <c r="K506" s="136"/>
      <c r="L506" s="136"/>
      <c r="M506" s="136"/>
      <c r="N506" s="136"/>
      <c r="O506" s="142" t="str">
        <f t="shared" si="2"/>
        <v/>
      </c>
      <c r="P506" s="140" t="str">
        <f t="shared" si="3"/>
        <v/>
      </c>
      <c r="Q506" s="139" t="str">
        <f t="shared" si="4"/>
        <v/>
      </c>
      <c r="R506" s="139" t="str">
        <f t="shared" si="5"/>
        <v/>
      </c>
      <c r="S506" s="139" t="str">
        <f t="shared" si="6"/>
        <v/>
      </c>
      <c r="T506" s="140" t="str">
        <f t="shared" si="7"/>
        <v/>
      </c>
      <c r="U506" s="136"/>
      <c r="V506" s="136"/>
      <c r="W506" s="136"/>
      <c r="X506" s="136"/>
      <c r="Y506" s="145"/>
      <c r="Z506" s="145"/>
    </row>
    <row r="507">
      <c r="E507" s="136"/>
      <c r="F507" s="136"/>
      <c r="G507" s="136"/>
      <c r="H507" s="137" t="str">
        <f t="shared" si="1"/>
        <v/>
      </c>
      <c r="I507" s="136"/>
      <c r="J507" s="136"/>
      <c r="K507" s="136"/>
      <c r="L507" s="136"/>
      <c r="M507" s="136"/>
      <c r="N507" s="136"/>
      <c r="O507" s="142" t="str">
        <f t="shared" si="2"/>
        <v/>
      </c>
      <c r="P507" s="140" t="str">
        <f t="shared" si="3"/>
        <v/>
      </c>
      <c r="Q507" s="139" t="str">
        <f t="shared" si="4"/>
        <v/>
      </c>
      <c r="R507" s="139" t="str">
        <f t="shared" si="5"/>
        <v/>
      </c>
      <c r="S507" s="139" t="str">
        <f t="shared" si="6"/>
        <v/>
      </c>
      <c r="T507" s="140" t="str">
        <f t="shared" si="7"/>
        <v/>
      </c>
      <c r="U507" s="136"/>
      <c r="V507" s="136"/>
      <c r="W507" s="136"/>
      <c r="X507" s="136"/>
      <c r="Y507" s="145"/>
      <c r="Z507" s="145"/>
    </row>
    <row r="508">
      <c r="E508" s="136"/>
      <c r="F508" s="136"/>
      <c r="G508" s="136"/>
      <c r="H508" s="137" t="str">
        <f t="shared" si="1"/>
        <v/>
      </c>
      <c r="I508" s="136"/>
      <c r="J508" s="136"/>
      <c r="K508" s="136"/>
      <c r="L508" s="136"/>
      <c r="M508" s="136"/>
      <c r="N508" s="136"/>
      <c r="O508" s="142" t="str">
        <f t="shared" si="2"/>
        <v/>
      </c>
      <c r="P508" s="140" t="str">
        <f t="shared" si="3"/>
        <v/>
      </c>
      <c r="Q508" s="139" t="str">
        <f t="shared" si="4"/>
        <v/>
      </c>
      <c r="R508" s="139" t="str">
        <f t="shared" si="5"/>
        <v/>
      </c>
      <c r="S508" s="139" t="str">
        <f t="shared" si="6"/>
        <v/>
      </c>
      <c r="T508" s="140" t="str">
        <f t="shared" si="7"/>
        <v/>
      </c>
      <c r="U508" s="136"/>
      <c r="V508" s="136"/>
      <c r="W508" s="136"/>
      <c r="X508" s="136"/>
      <c r="Y508" s="145"/>
      <c r="Z508" s="145"/>
    </row>
    <row r="509">
      <c r="E509" s="136"/>
      <c r="F509" s="136"/>
      <c r="G509" s="136"/>
      <c r="H509" s="137" t="str">
        <f t="shared" si="1"/>
        <v/>
      </c>
      <c r="I509" s="136"/>
      <c r="J509" s="136"/>
      <c r="K509" s="136"/>
      <c r="L509" s="136"/>
      <c r="M509" s="136"/>
      <c r="N509" s="136"/>
      <c r="O509" s="142" t="str">
        <f t="shared" si="2"/>
        <v/>
      </c>
      <c r="P509" s="140" t="str">
        <f t="shared" si="3"/>
        <v/>
      </c>
      <c r="Q509" s="139" t="str">
        <f t="shared" si="4"/>
        <v/>
      </c>
      <c r="R509" s="139" t="str">
        <f t="shared" si="5"/>
        <v/>
      </c>
      <c r="S509" s="139" t="str">
        <f t="shared" si="6"/>
        <v/>
      </c>
      <c r="T509" s="140" t="str">
        <f t="shared" si="7"/>
        <v/>
      </c>
      <c r="U509" s="136"/>
      <c r="V509" s="136"/>
      <c r="W509" s="136"/>
      <c r="X509" s="136"/>
      <c r="Y509" s="145"/>
      <c r="Z509" s="145"/>
    </row>
    <row r="510">
      <c r="E510" s="136"/>
      <c r="F510" s="136"/>
      <c r="G510" s="136"/>
      <c r="H510" s="137" t="str">
        <f t="shared" si="1"/>
        <v/>
      </c>
      <c r="I510" s="136"/>
      <c r="J510" s="136"/>
      <c r="K510" s="136"/>
      <c r="L510" s="136"/>
      <c r="M510" s="136"/>
      <c r="N510" s="136"/>
      <c r="O510" s="142" t="str">
        <f t="shared" si="2"/>
        <v/>
      </c>
      <c r="P510" s="140" t="str">
        <f t="shared" si="3"/>
        <v/>
      </c>
      <c r="Q510" s="139" t="str">
        <f t="shared" si="4"/>
        <v/>
      </c>
      <c r="R510" s="139" t="str">
        <f t="shared" si="5"/>
        <v/>
      </c>
      <c r="S510" s="139" t="str">
        <f t="shared" si="6"/>
        <v/>
      </c>
      <c r="T510" s="140" t="str">
        <f t="shared" si="7"/>
        <v/>
      </c>
      <c r="U510" s="136"/>
      <c r="V510" s="136"/>
      <c r="W510" s="136"/>
      <c r="X510" s="136"/>
      <c r="Y510" s="145"/>
      <c r="Z510" s="145"/>
    </row>
    <row r="511">
      <c r="E511" s="136"/>
      <c r="F511" s="136"/>
      <c r="G511" s="136"/>
      <c r="H511" s="137" t="str">
        <f t="shared" si="1"/>
        <v/>
      </c>
      <c r="I511" s="136"/>
      <c r="J511" s="136"/>
      <c r="K511" s="136"/>
      <c r="L511" s="136"/>
      <c r="M511" s="136"/>
      <c r="N511" s="136"/>
      <c r="O511" s="142" t="str">
        <f t="shared" si="2"/>
        <v/>
      </c>
      <c r="P511" s="140" t="str">
        <f t="shared" si="3"/>
        <v/>
      </c>
      <c r="Q511" s="139" t="str">
        <f t="shared" si="4"/>
        <v/>
      </c>
      <c r="R511" s="139" t="str">
        <f t="shared" si="5"/>
        <v/>
      </c>
      <c r="S511" s="139" t="str">
        <f t="shared" si="6"/>
        <v/>
      </c>
      <c r="T511" s="140" t="str">
        <f t="shared" si="7"/>
        <v/>
      </c>
      <c r="U511" s="136"/>
      <c r="V511" s="136"/>
      <c r="W511" s="136"/>
      <c r="X511" s="136"/>
      <c r="Y511" s="145"/>
      <c r="Z511" s="145"/>
    </row>
    <row r="512">
      <c r="E512" s="136"/>
      <c r="F512" s="136"/>
      <c r="G512" s="136"/>
      <c r="H512" s="137" t="str">
        <f t="shared" si="1"/>
        <v/>
      </c>
      <c r="I512" s="136"/>
      <c r="J512" s="136"/>
      <c r="K512" s="136"/>
      <c r="L512" s="136"/>
      <c r="M512" s="136"/>
      <c r="N512" s="136"/>
      <c r="O512" s="142" t="str">
        <f t="shared" si="2"/>
        <v/>
      </c>
      <c r="P512" s="140" t="str">
        <f t="shared" si="3"/>
        <v/>
      </c>
      <c r="Q512" s="139" t="str">
        <f t="shared" si="4"/>
        <v/>
      </c>
      <c r="R512" s="139" t="str">
        <f t="shared" si="5"/>
        <v/>
      </c>
      <c r="S512" s="139" t="str">
        <f t="shared" si="6"/>
        <v/>
      </c>
      <c r="T512" s="140" t="str">
        <f t="shared" si="7"/>
        <v/>
      </c>
      <c r="U512" s="136"/>
      <c r="V512" s="136"/>
      <c r="W512" s="136"/>
      <c r="X512" s="136"/>
      <c r="Y512" s="145"/>
      <c r="Z512" s="145"/>
    </row>
    <row r="513">
      <c r="E513" s="136"/>
      <c r="F513" s="136"/>
      <c r="G513" s="136"/>
      <c r="H513" s="137" t="str">
        <f t="shared" si="1"/>
        <v/>
      </c>
      <c r="I513" s="136"/>
      <c r="J513" s="136"/>
      <c r="K513" s="136"/>
      <c r="L513" s="136"/>
      <c r="M513" s="136"/>
      <c r="N513" s="136"/>
      <c r="O513" s="142" t="str">
        <f t="shared" si="2"/>
        <v/>
      </c>
      <c r="P513" s="140" t="str">
        <f t="shared" si="3"/>
        <v/>
      </c>
      <c r="Q513" s="139" t="str">
        <f t="shared" si="4"/>
        <v/>
      </c>
      <c r="R513" s="139" t="str">
        <f t="shared" si="5"/>
        <v/>
      </c>
      <c r="S513" s="139" t="str">
        <f t="shared" si="6"/>
        <v/>
      </c>
      <c r="T513" s="140" t="str">
        <f t="shared" si="7"/>
        <v/>
      </c>
      <c r="U513" s="136"/>
      <c r="V513" s="136"/>
      <c r="W513" s="136"/>
      <c r="X513" s="136"/>
      <c r="Y513" s="145"/>
      <c r="Z513" s="145"/>
    </row>
    <row r="514">
      <c r="E514" s="136"/>
      <c r="F514" s="136"/>
      <c r="G514" s="136"/>
      <c r="H514" s="137" t="str">
        <f t="shared" si="1"/>
        <v/>
      </c>
      <c r="I514" s="136"/>
      <c r="J514" s="136"/>
      <c r="K514" s="136"/>
      <c r="L514" s="136"/>
      <c r="M514" s="136"/>
      <c r="N514" s="136"/>
      <c r="O514" s="142" t="str">
        <f t="shared" si="2"/>
        <v/>
      </c>
      <c r="P514" s="140" t="str">
        <f t="shared" si="3"/>
        <v/>
      </c>
      <c r="Q514" s="139" t="str">
        <f t="shared" si="4"/>
        <v/>
      </c>
      <c r="R514" s="139" t="str">
        <f t="shared" si="5"/>
        <v/>
      </c>
      <c r="S514" s="139" t="str">
        <f t="shared" si="6"/>
        <v/>
      </c>
      <c r="T514" s="140" t="str">
        <f t="shared" si="7"/>
        <v/>
      </c>
      <c r="U514" s="136"/>
      <c r="V514" s="136"/>
      <c r="W514" s="136"/>
      <c r="X514" s="136"/>
      <c r="Y514" s="145"/>
      <c r="Z514" s="145"/>
    </row>
    <row r="515">
      <c r="E515" s="136"/>
      <c r="F515" s="136"/>
      <c r="G515" s="136"/>
      <c r="H515" s="137" t="str">
        <f t="shared" si="1"/>
        <v/>
      </c>
      <c r="I515" s="136"/>
      <c r="J515" s="136"/>
      <c r="K515" s="136"/>
      <c r="L515" s="136"/>
      <c r="M515" s="136"/>
      <c r="N515" s="136"/>
      <c r="O515" s="142" t="str">
        <f t="shared" si="2"/>
        <v/>
      </c>
      <c r="P515" s="140" t="str">
        <f t="shared" si="3"/>
        <v/>
      </c>
      <c r="Q515" s="139" t="str">
        <f t="shared" si="4"/>
        <v/>
      </c>
      <c r="R515" s="139" t="str">
        <f t="shared" si="5"/>
        <v/>
      </c>
      <c r="S515" s="139" t="str">
        <f t="shared" si="6"/>
        <v/>
      </c>
      <c r="T515" s="140" t="str">
        <f t="shared" si="7"/>
        <v/>
      </c>
      <c r="U515" s="136"/>
      <c r="V515" s="136"/>
      <c r="W515" s="136"/>
      <c r="X515" s="136"/>
      <c r="Y515" s="145"/>
      <c r="Z515" s="145"/>
    </row>
    <row r="516">
      <c r="E516" s="136"/>
      <c r="F516" s="136"/>
      <c r="G516" s="136"/>
      <c r="H516" s="137" t="str">
        <f t="shared" si="1"/>
        <v/>
      </c>
      <c r="I516" s="136"/>
      <c r="J516" s="136"/>
      <c r="K516" s="136"/>
      <c r="L516" s="136"/>
      <c r="M516" s="136"/>
      <c r="N516" s="136"/>
      <c r="O516" s="142" t="str">
        <f t="shared" si="2"/>
        <v/>
      </c>
      <c r="P516" s="140" t="str">
        <f t="shared" si="3"/>
        <v/>
      </c>
      <c r="Q516" s="139" t="str">
        <f t="shared" si="4"/>
        <v/>
      </c>
      <c r="R516" s="139" t="str">
        <f t="shared" si="5"/>
        <v/>
      </c>
      <c r="S516" s="139" t="str">
        <f t="shared" si="6"/>
        <v/>
      </c>
      <c r="T516" s="140" t="str">
        <f t="shared" si="7"/>
        <v/>
      </c>
      <c r="U516" s="136"/>
      <c r="V516" s="136"/>
      <c r="W516" s="136"/>
      <c r="X516" s="136"/>
      <c r="Y516" s="145"/>
      <c r="Z516" s="145"/>
    </row>
    <row r="517">
      <c r="E517" s="136"/>
      <c r="F517" s="136"/>
      <c r="G517" s="136"/>
      <c r="H517" s="137" t="str">
        <f t="shared" si="1"/>
        <v/>
      </c>
      <c r="I517" s="136"/>
      <c r="J517" s="136"/>
      <c r="K517" s="136"/>
      <c r="L517" s="136"/>
      <c r="M517" s="136"/>
      <c r="N517" s="136"/>
      <c r="O517" s="142" t="str">
        <f t="shared" si="2"/>
        <v/>
      </c>
      <c r="P517" s="140" t="str">
        <f t="shared" si="3"/>
        <v/>
      </c>
      <c r="Q517" s="139" t="str">
        <f t="shared" si="4"/>
        <v/>
      </c>
      <c r="R517" s="139" t="str">
        <f t="shared" si="5"/>
        <v/>
      </c>
      <c r="S517" s="139" t="str">
        <f t="shared" si="6"/>
        <v/>
      </c>
      <c r="T517" s="140" t="str">
        <f t="shared" si="7"/>
        <v/>
      </c>
      <c r="U517" s="136"/>
      <c r="V517" s="136"/>
      <c r="W517" s="136"/>
      <c r="X517" s="136"/>
      <c r="Y517" s="145"/>
      <c r="Z517" s="145"/>
    </row>
    <row r="518">
      <c r="E518" s="136"/>
      <c r="F518" s="136"/>
      <c r="G518" s="136"/>
      <c r="H518" s="137" t="str">
        <f t="shared" si="1"/>
        <v/>
      </c>
      <c r="I518" s="136"/>
      <c r="J518" s="136"/>
      <c r="K518" s="136"/>
      <c r="L518" s="136"/>
      <c r="M518" s="136"/>
      <c r="N518" s="136"/>
      <c r="O518" s="142" t="str">
        <f t="shared" si="2"/>
        <v/>
      </c>
      <c r="P518" s="140" t="str">
        <f t="shared" si="3"/>
        <v/>
      </c>
      <c r="Q518" s="139" t="str">
        <f t="shared" si="4"/>
        <v/>
      </c>
      <c r="R518" s="139" t="str">
        <f t="shared" si="5"/>
        <v/>
      </c>
      <c r="S518" s="139" t="str">
        <f t="shared" si="6"/>
        <v/>
      </c>
      <c r="T518" s="140" t="str">
        <f t="shared" si="7"/>
        <v/>
      </c>
      <c r="U518" s="136"/>
      <c r="V518" s="136"/>
      <c r="W518" s="136"/>
      <c r="X518" s="136"/>
      <c r="Y518" s="145"/>
      <c r="Z518" s="145"/>
    </row>
    <row r="519">
      <c r="E519" s="136"/>
      <c r="F519" s="136"/>
      <c r="G519" s="136"/>
      <c r="H519" s="137" t="str">
        <f t="shared" si="1"/>
        <v/>
      </c>
      <c r="I519" s="136"/>
      <c r="J519" s="136"/>
      <c r="K519" s="136"/>
      <c r="L519" s="136"/>
      <c r="M519" s="136"/>
      <c r="N519" s="136"/>
      <c r="O519" s="142" t="str">
        <f t="shared" si="2"/>
        <v/>
      </c>
      <c r="P519" s="140" t="str">
        <f t="shared" si="3"/>
        <v/>
      </c>
      <c r="Q519" s="139" t="str">
        <f t="shared" si="4"/>
        <v/>
      </c>
      <c r="R519" s="139" t="str">
        <f t="shared" si="5"/>
        <v/>
      </c>
      <c r="S519" s="139" t="str">
        <f t="shared" si="6"/>
        <v/>
      </c>
      <c r="T519" s="140" t="str">
        <f t="shared" si="7"/>
        <v/>
      </c>
      <c r="U519" s="136"/>
      <c r="V519" s="136"/>
      <c r="W519" s="136"/>
      <c r="X519" s="136"/>
      <c r="Y519" s="145"/>
      <c r="Z519" s="145"/>
    </row>
    <row r="520">
      <c r="E520" s="136"/>
      <c r="F520" s="136"/>
      <c r="G520" s="136"/>
      <c r="H520" s="137" t="str">
        <f t="shared" si="1"/>
        <v/>
      </c>
      <c r="I520" s="136"/>
      <c r="J520" s="136"/>
      <c r="K520" s="136"/>
      <c r="L520" s="136"/>
      <c r="M520" s="136"/>
      <c r="N520" s="136"/>
      <c r="O520" s="142" t="str">
        <f t="shared" si="2"/>
        <v/>
      </c>
      <c r="P520" s="140" t="str">
        <f t="shared" si="3"/>
        <v/>
      </c>
      <c r="Q520" s="139" t="str">
        <f t="shared" si="4"/>
        <v/>
      </c>
      <c r="R520" s="139" t="str">
        <f t="shared" si="5"/>
        <v/>
      </c>
      <c r="S520" s="139" t="str">
        <f t="shared" si="6"/>
        <v/>
      </c>
      <c r="T520" s="140" t="str">
        <f t="shared" si="7"/>
        <v/>
      </c>
      <c r="U520" s="136"/>
      <c r="V520" s="136"/>
      <c r="W520" s="136"/>
      <c r="X520" s="136"/>
      <c r="Y520" s="145"/>
      <c r="Z520" s="145"/>
    </row>
    <row r="521">
      <c r="E521" s="136"/>
      <c r="F521" s="136"/>
      <c r="G521" s="136"/>
      <c r="H521" s="137" t="str">
        <f t="shared" si="1"/>
        <v/>
      </c>
      <c r="I521" s="136"/>
      <c r="J521" s="136"/>
      <c r="K521" s="136"/>
      <c r="L521" s="136"/>
      <c r="M521" s="136"/>
      <c r="N521" s="136"/>
      <c r="O521" s="142" t="str">
        <f t="shared" si="2"/>
        <v/>
      </c>
      <c r="P521" s="140" t="str">
        <f t="shared" si="3"/>
        <v/>
      </c>
      <c r="Q521" s="139" t="str">
        <f t="shared" si="4"/>
        <v/>
      </c>
      <c r="R521" s="139" t="str">
        <f t="shared" si="5"/>
        <v/>
      </c>
      <c r="S521" s="139" t="str">
        <f t="shared" si="6"/>
        <v/>
      </c>
      <c r="T521" s="140" t="str">
        <f t="shared" si="7"/>
        <v/>
      </c>
      <c r="U521" s="136"/>
      <c r="V521" s="136"/>
      <c r="W521" s="136"/>
      <c r="X521" s="136"/>
      <c r="Y521" s="145"/>
      <c r="Z521" s="145"/>
    </row>
    <row r="522">
      <c r="E522" s="136"/>
      <c r="F522" s="136"/>
      <c r="G522" s="136"/>
      <c r="H522" s="137" t="str">
        <f t="shared" si="1"/>
        <v/>
      </c>
      <c r="I522" s="136"/>
      <c r="J522" s="136"/>
      <c r="K522" s="136"/>
      <c r="L522" s="136"/>
      <c r="M522" s="136"/>
      <c r="N522" s="136"/>
      <c r="O522" s="142" t="str">
        <f t="shared" si="2"/>
        <v/>
      </c>
      <c r="P522" s="140" t="str">
        <f t="shared" si="3"/>
        <v/>
      </c>
      <c r="Q522" s="139" t="str">
        <f t="shared" si="4"/>
        <v/>
      </c>
      <c r="R522" s="139" t="str">
        <f t="shared" si="5"/>
        <v/>
      </c>
      <c r="S522" s="139" t="str">
        <f t="shared" si="6"/>
        <v/>
      </c>
      <c r="T522" s="140" t="str">
        <f t="shared" si="7"/>
        <v/>
      </c>
      <c r="U522" s="136"/>
      <c r="V522" s="136"/>
      <c r="W522" s="136"/>
      <c r="X522" s="136"/>
      <c r="Y522" s="145"/>
      <c r="Z522" s="145"/>
    </row>
    <row r="523">
      <c r="E523" s="136"/>
      <c r="F523" s="136"/>
      <c r="G523" s="136"/>
      <c r="H523" s="137" t="str">
        <f t="shared" si="1"/>
        <v/>
      </c>
      <c r="I523" s="136"/>
      <c r="J523" s="136"/>
      <c r="K523" s="136"/>
      <c r="L523" s="136"/>
      <c r="M523" s="136"/>
      <c r="N523" s="136"/>
      <c r="O523" s="142" t="str">
        <f t="shared" si="2"/>
        <v/>
      </c>
      <c r="P523" s="140" t="str">
        <f t="shared" si="3"/>
        <v/>
      </c>
      <c r="Q523" s="139" t="str">
        <f t="shared" si="4"/>
        <v/>
      </c>
      <c r="R523" s="139" t="str">
        <f t="shared" si="5"/>
        <v/>
      </c>
      <c r="S523" s="139" t="str">
        <f t="shared" si="6"/>
        <v/>
      </c>
      <c r="T523" s="140" t="str">
        <f t="shared" si="7"/>
        <v/>
      </c>
      <c r="U523" s="136"/>
      <c r="V523" s="136"/>
      <c r="W523" s="136"/>
      <c r="X523" s="136"/>
      <c r="Y523" s="145"/>
      <c r="Z523" s="145"/>
    </row>
    <row r="524">
      <c r="E524" s="136"/>
      <c r="F524" s="136"/>
      <c r="G524" s="136"/>
      <c r="H524" s="137" t="str">
        <f t="shared" si="1"/>
        <v/>
      </c>
      <c r="I524" s="136"/>
      <c r="J524" s="136"/>
      <c r="K524" s="136"/>
      <c r="L524" s="136"/>
      <c r="M524" s="136"/>
      <c r="N524" s="136"/>
      <c r="O524" s="142" t="str">
        <f t="shared" si="2"/>
        <v/>
      </c>
      <c r="P524" s="140" t="str">
        <f t="shared" si="3"/>
        <v/>
      </c>
      <c r="Q524" s="139" t="str">
        <f t="shared" si="4"/>
        <v/>
      </c>
      <c r="R524" s="139" t="str">
        <f t="shared" si="5"/>
        <v/>
      </c>
      <c r="S524" s="139" t="str">
        <f t="shared" si="6"/>
        <v/>
      </c>
      <c r="T524" s="140" t="str">
        <f t="shared" si="7"/>
        <v/>
      </c>
      <c r="U524" s="136"/>
      <c r="V524" s="136"/>
      <c r="W524" s="136"/>
      <c r="X524" s="136"/>
      <c r="Y524" s="145"/>
      <c r="Z524" s="145"/>
    </row>
    <row r="525">
      <c r="E525" s="136"/>
      <c r="F525" s="136"/>
      <c r="G525" s="136"/>
      <c r="H525" s="137" t="str">
        <f t="shared" si="1"/>
        <v/>
      </c>
      <c r="I525" s="136"/>
      <c r="J525" s="136"/>
      <c r="K525" s="136"/>
      <c r="L525" s="136"/>
      <c r="M525" s="136"/>
      <c r="N525" s="136"/>
      <c r="O525" s="142" t="str">
        <f t="shared" si="2"/>
        <v/>
      </c>
      <c r="P525" s="140" t="str">
        <f t="shared" si="3"/>
        <v/>
      </c>
      <c r="Q525" s="139" t="str">
        <f t="shared" si="4"/>
        <v/>
      </c>
      <c r="R525" s="139" t="str">
        <f t="shared" si="5"/>
        <v/>
      </c>
      <c r="S525" s="139" t="str">
        <f t="shared" si="6"/>
        <v/>
      </c>
      <c r="T525" s="140" t="str">
        <f t="shared" si="7"/>
        <v/>
      </c>
      <c r="U525" s="136"/>
      <c r="V525" s="136"/>
      <c r="W525" s="136"/>
      <c r="X525" s="136"/>
      <c r="Y525" s="145"/>
      <c r="Z525" s="145"/>
    </row>
    <row r="526">
      <c r="E526" s="136"/>
      <c r="F526" s="136"/>
      <c r="G526" s="136"/>
      <c r="H526" s="137" t="str">
        <f t="shared" si="1"/>
        <v/>
      </c>
      <c r="I526" s="136"/>
      <c r="J526" s="136"/>
      <c r="K526" s="136"/>
      <c r="L526" s="136"/>
      <c r="M526" s="136"/>
      <c r="N526" s="136"/>
      <c r="O526" s="142" t="str">
        <f t="shared" si="2"/>
        <v/>
      </c>
      <c r="P526" s="140" t="str">
        <f t="shared" si="3"/>
        <v/>
      </c>
      <c r="Q526" s="139" t="str">
        <f t="shared" si="4"/>
        <v/>
      </c>
      <c r="R526" s="139" t="str">
        <f t="shared" si="5"/>
        <v/>
      </c>
      <c r="S526" s="139" t="str">
        <f t="shared" si="6"/>
        <v/>
      </c>
      <c r="T526" s="140" t="str">
        <f t="shared" si="7"/>
        <v/>
      </c>
      <c r="U526" s="136"/>
      <c r="V526" s="136"/>
      <c r="W526" s="136"/>
      <c r="X526" s="136"/>
      <c r="Y526" s="145"/>
      <c r="Z526" s="145"/>
    </row>
    <row r="527">
      <c r="E527" s="136"/>
      <c r="F527" s="136"/>
      <c r="G527" s="136"/>
      <c r="H527" s="137" t="str">
        <f t="shared" si="1"/>
        <v/>
      </c>
      <c r="I527" s="136"/>
      <c r="J527" s="136"/>
      <c r="K527" s="136"/>
      <c r="L527" s="136"/>
      <c r="M527" s="136"/>
      <c r="N527" s="136"/>
      <c r="O527" s="142" t="str">
        <f t="shared" si="2"/>
        <v/>
      </c>
      <c r="P527" s="140" t="str">
        <f t="shared" si="3"/>
        <v/>
      </c>
      <c r="Q527" s="139" t="str">
        <f t="shared" si="4"/>
        <v/>
      </c>
      <c r="R527" s="139" t="str">
        <f t="shared" si="5"/>
        <v/>
      </c>
      <c r="S527" s="139" t="str">
        <f t="shared" si="6"/>
        <v/>
      </c>
      <c r="T527" s="140" t="str">
        <f t="shared" si="7"/>
        <v/>
      </c>
      <c r="U527" s="136"/>
      <c r="V527" s="136"/>
      <c r="W527" s="136"/>
      <c r="X527" s="136"/>
      <c r="Y527" s="145"/>
      <c r="Z527" s="145"/>
    </row>
    <row r="528">
      <c r="E528" s="136"/>
      <c r="F528" s="136"/>
      <c r="G528" s="136"/>
      <c r="H528" s="137" t="str">
        <f t="shared" si="1"/>
        <v/>
      </c>
      <c r="I528" s="136"/>
      <c r="J528" s="136"/>
      <c r="K528" s="136"/>
      <c r="L528" s="136"/>
      <c r="M528" s="136"/>
      <c r="N528" s="136"/>
      <c r="O528" s="142" t="str">
        <f t="shared" si="2"/>
        <v/>
      </c>
      <c r="P528" s="140" t="str">
        <f t="shared" si="3"/>
        <v/>
      </c>
      <c r="Q528" s="139" t="str">
        <f t="shared" si="4"/>
        <v/>
      </c>
      <c r="R528" s="139" t="str">
        <f t="shared" si="5"/>
        <v/>
      </c>
      <c r="S528" s="139" t="str">
        <f t="shared" si="6"/>
        <v/>
      </c>
      <c r="T528" s="140" t="str">
        <f t="shared" si="7"/>
        <v/>
      </c>
      <c r="U528" s="136"/>
      <c r="V528" s="136"/>
      <c r="W528" s="136"/>
      <c r="X528" s="136"/>
      <c r="Y528" s="145"/>
      <c r="Z528" s="145"/>
    </row>
    <row r="529">
      <c r="E529" s="136"/>
      <c r="F529" s="136"/>
      <c r="G529" s="136"/>
      <c r="H529" s="137" t="str">
        <f t="shared" si="1"/>
        <v/>
      </c>
      <c r="I529" s="136"/>
      <c r="J529" s="136"/>
      <c r="K529" s="136"/>
      <c r="L529" s="136"/>
      <c r="M529" s="136"/>
      <c r="N529" s="136"/>
      <c r="O529" s="142" t="str">
        <f t="shared" si="2"/>
        <v/>
      </c>
      <c r="P529" s="140" t="str">
        <f t="shared" si="3"/>
        <v/>
      </c>
      <c r="Q529" s="139" t="str">
        <f t="shared" si="4"/>
        <v/>
      </c>
      <c r="R529" s="139" t="str">
        <f t="shared" si="5"/>
        <v/>
      </c>
      <c r="S529" s="139" t="str">
        <f t="shared" si="6"/>
        <v/>
      </c>
      <c r="T529" s="140" t="str">
        <f t="shared" si="7"/>
        <v/>
      </c>
      <c r="U529" s="136"/>
      <c r="V529" s="136"/>
      <c r="W529" s="136"/>
      <c r="X529" s="136"/>
      <c r="Y529" s="145"/>
      <c r="Z529" s="145"/>
    </row>
    <row r="530">
      <c r="E530" s="136"/>
      <c r="F530" s="136"/>
      <c r="G530" s="136"/>
      <c r="H530" s="137" t="str">
        <f t="shared" si="1"/>
        <v/>
      </c>
      <c r="I530" s="136"/>
      <c r="J530" s="136"/>
      <c r="K530" s="136"/>
      <c r="L530" s="136"/>
      <c r="M530" s="136"/>
      <c r="N530" s="136"/>
      <c r="O530" s="142" t="str">
        <f t="shared" si="2"/>
        <v/>
      </c>
      <c r="P530" s="140" t="str">
        <f t="shared" si="3"/>
        <v/>
      </c>
      <c r="Q530" s="139" t="str">
        <f t="shared" si="4"/>
        <v/>
      </c>
      <c r="R530" s="139" t="str">
        <f t="shared" si="5"/>
        <v/>
      </c>
      <c r="S530" s="139" t="str">
        <f t="shared" si="6"/>
        <v/>
      </c>
      <c r="T530" s="140" t="str">
        <f t="shared" si="7"/>
        <v/>
      </c>
      <c r="U530" s="136"/>
      <c r="V530" s="136"/>
      <c r="W530" s="136"/>
      <c r="X530" s="136"/>
      <c r="Y530" s="145"/>
      <c r="Z530" s="145"/>
    </row>
    <row r="531">
      <c r="E531" s="136"/>
      <c r="F531" s="136"/>
      <c r="G531" s="136"/>
      <c r="H531" s="137" t="str">
        <f t="shared" si="1"/>
        <v/>
      </c>
      <c r="I531" s="136"/>
      <c r="J531" s="136"/>
      <c r="K531" s="136"/>
      <c r="L531" s="136"/>
      <c r="M531" s="136"/>
      <c r="N531" s="136"/>
      <c r="O531" s="142" t="str">
        <f t="shared" si="2"/>
        <v/>
      </c>
      <c r="P531" s="140" t="str">
        <f t="shared" si="3"/>
        <v/>
      </c>
      <c r="Q531" s="139" t="str">
        <f t="shared" si="4"/>
        <v/>
      </c>
      <c r="R531" s="139" t="str">
        <f t="shared" si="5"/>
        <v/>
      </c>
      <c r="S531" s="139" t="str">
        <f t="shared" si="6"/>
        <v/>
      </c>
      <c r="T531" s="140" t="str">
        <f t="shared" si="7"/>
        <v/>
      </c>
      <c r="U531" s="136"/>
      <c r="V531" s="136"/>
      <c r="W531" s="136"/>
      <c r="X531" s="136"/>
      <c r="Y531" s="145"/>
      <c r="Z531" s="145"/>
    </row>
    <row r="532">
      <c r="E532" s="136"/>
      <c r="F532" s="136"/>
      <c r="G532" s="136"/>
      <c r="H532" s="137" t="str">
        <f t="shared" si="1"/>
        <v/>
      </c>
      <c r="I532" s="136"/>
      <c r="J532" s="136"/>
      <c r="K532" s="136"/>
      <c r="L532" s="136"/>
      <c r="M532" s="136"/>
      <c r="N532" s="136"/>
      <c r="O532" s="142" t="str">
        <f t="shared" si="2"/>
        <v/>
      </c>
      <c r="P532" s="140" t="str">
        <f t="shared" si="3"/>
        <v/>
      </c>
      <c r="Q532" s="139" t="str">
        <f t="shared" si="4"/>
        <v/>
      </c>
      <c r="R532" s="139" t="str">
        <f t="shared" si="5"/>
        <v/>
      </c>
      <c r="S532" s="139" t="str">
        <f t="shared" si="6"/>
        <v/>
      </c>
      <c r="T532" s="140" t="str">
        <f t="shared" si="7"/>
        <v/>
      </c>
      <c r="U532" s="136"/>
      <c r="V532" s="136"/>
      <c r="W532" s="136"/>
      <c r="X532" s="136"/>
      <c r="Y532" s="145"/>
      <c r="Z532" s="145"/>
    </row>
    <row r="533">
      <c r="E533" s="136"/>
      <c r="F533" s="136"/>
      <c r="G533" s="136"/>
      <c r="H533" s="137" t="str">
        <f t="shared" si="1"/>
        <v/>
      </c>
      <c r="I533" s="136"/>
      <c r="J533" s="136"/>
      <c r="K533" s="136"/>
      <c r="L533" s="136"/>
      <c r="M533" s="136"/>
      <c r="N533" s="136"/>
      <c r="O533" s="142" t="str">
        <f t="shared" si="2"/>
        <v/>
      </c>
      <c r="P533" s="140" t="str">
        <f t="shared" si="3"/>
        <v/>
      </c>
      <c r="Q533" s="139" t="str">
        <f t="shared" si="4"/>
        <v/>
      </c>
      <c r="R533" s="139" t="str">
        <f t="shared" si="5"/>
        <v/>
      </c>
      <c r="S533" s="139" t="str">
        <f t="shared" si="6"/>
        <v/>
      </c>
      <c r="T533" s="140" t="str">
        <f t="shared" si="7"/>
        <v/>
      </c>
      <c r="U533" s="136"/>
      <c r="V533" s="136"/>
      <c r="W533" s="136"/>
      <c r="X533" s="136"/>
      <c r="Y533" s="145"/>
      <c r="Z533" s="145"/>
    </row>
    <row r="534">
      <c r="E534" s="136"/>
      <c r="F534" s="136"/>
      <c r="G534" s="136"/>
      <c r="H534" s="137" t="str">
        <f t="shared" si="1"/>
        <v/>
      </c>
      <c r="I534" s="136"/>
      <c r="J534" s="136"/>
      <c r="K534" s="136"/>
      <c r="L534" s="136"/>
      <c r="M534" s="136"/>
      <c r="N534" s="136"/>
      <c r="O534" s="142" t="str">
        <f t="shared" si="2"/>
        <v/>
      </c>
      <c r="P534" s="140" t="str">
        <f t="shared" si="3"/>
        <v/>
      </c>
      <c r="Q534" s="139" t="str">
        <f t="shared" si="4"/>
        <v/>
      </c>
      <c r="R534" s="139" t="str">
        <f t="shared" si="5"/>
        <v/>
      </c>
      <c r="S534" s="139" t="str">
        <f t="shared" si="6"/>
        <v/>
      </c>
      <c r="T534" s="140" t="str">
        <f t="shared" si="7"/>
        <v/>
      </c>
      <c r="U534" s="136"/>
      <c r="V534" s="136"/>
      <c r="W534" s="136"/>
      <c r="X534" s="136"/>
      <c r="Y534" s="145"/>
      <c r="Z534" s="145"/>
    </row>
    <row r="535">
      <c r="E535" s="136"/>
      <c r="F535" s="136"/>
      <c r="G535" s="136"/>
      <c r="H535" s="137" t="str">
        <f t="shared" si="1"/>
        <v/>
      </c>
      <c r="I535" s="136"/>
      <c r="J535" s="136"/>
      <c r="K535" s="136"/>
      <c r="L535" s="136"/>
      <c r="M535" s="136"/>
      <c r="N535" s="136"/>
      <c r="O535" s="142" t="str">
        <f t="shared" si="2"/>
        <v/>
      </c>
      <c r="P535" s="140" t="str">
        <f t="shared" si="3"/>
        <v/>
      </c>
      <c r="Q535" s="139" t="str">
        <f t="shared" si="4"/>
        <v/>
      </c>
      <c r="R535" s="139" t="str">
        <f t="shared" si="5"/>
        <v/>
      </c>
      <c r="S535" s="139" t="str">
        <f t="shared" si="6"/>
        <v/>
      </c>
      <c r="T535" s="140" t="str">
        <f t="shared" si="7"/>
        <v/>
      </c>
      <c r="U535" s="136"/>
      <c r="V535" s="136"/>
      <c r="W535" s="136"/>
      <c r="X535" s="136"/>
      <c r="Y535" s="145"/>
      <c r="Z535" s="145"/>
    </row>
    <row r="536">
      <c r="E536" s="136"/>
      <c r="F536" s="136"/>
      <c r="G536" s="136"/>
      <c r="H536" s="137" t="str">
        <f t="shared" si="1"/>
        <v/>
      </c>
      <c r="I536" s="136"/>
      <c r="J536" s="136"/>
      <c r="K536" s="136"/>
      <c r="L536" s="136"/>
      <c r="M536" s="136"/>
      <c r="N536" s="136"/>
      <c r="O536" s="142" t="str">
        <f t="shared" si="2"/>
        <v/>
      </c>
      <c r="P536" s="140" t="str">
        <f t="shared" si="3"/>
        <v/>
      </c>
      <c r="Q536" s="139" t="str">
        <f t="shared" si="4"/>
        <v/>
      </c>
      <c r="R536" s="139" t="str">
        <f t="shared" si="5"/>
        <v/>
      </c>
      <c r="S536" s="139" t="str">
        <f t="shared" si="6"/>
        <v/>
      </c>
      <c r="T536" s="140" t="str">
        <f t="shared" si="7"/>
        <v/>
      </c>
      <c r="U536" s="136"/>
      <c r="V536" s="136"/>
      <c r="W536" s="136"/>
      <c r="X536" s="136"/>
      <c r="Y536" s="145"/>
      <c r="Z536" s="145"/>
    </row>
    <row r="537">
      <c r="E537" s="136"/>
      <c r="F537" s="136"/>
      <c r="G537" s="136"/>
      <c r="H537" s="137" t="str">
        <f t="shared" si="1"/>
        <v/>
      </c>
      <c r="I537" s="136"/>
      <c r="J537" s="136"/>
      <c r="K537" s="136"/>
      <c r="L537" s="136"/>
      <c r="M537" s="136"/>
      <c r="N537" s="136"/>
      <c r="O537" s="142" t="str">
        <f t="shared" si="2"/>
        <v/>
      </c>
      <c r="P537" s="140" t="str">
        <f t="shared" si="3"/>
        <v/>
      </c>
      <c r="Q537" s="139" t="str">
        <f t="shared" si="4"/>
        <v/>
      </c>
      <c r="R537" s="139" t="str">
        <f t="shared" si="5"/>
        <v/>
      </c>
      <c r="S537" s="139" t="str">
        <f t="shared" si="6"/>
        <v/>
      </c>
      <c r="T537" s="140" t="str">
        <f t="shared" si="7"/>
        <v/>
      </c>
      <c r="U537" s="136"/>
      <c r="V537" s="136"/>
      <c r="W537" s="136"/>
      <c r="X537" s="136"/>
      <c r="Y537" s="145"/>
      <c r="Z537" s="145"/>
    </row>
    <row r="538">
      <c r="E538" s="136"/>
      <c r="F538" s="136"/>
      <c r="G538" s="136"/>
      <c r="H538" s="137" t="str">
        <f t="shared" si="1"/>
        <v/>
      </c>
      <c r="I538" s="136"/>
      <c r="J538" s="136"/>
      <c r="K538" s="136"/>
      <c r="L538" s="136"/>
      <c r="M538" s="136"/>
      <c r="N538" s="136"/>
      <c r="O538" s="142" t="str">
        <f t="shared" si="2"/>
        <v/>
      </c>
      <c r="P538" s="140" t="str">
        <f t="shared" si="3"/>
        <v/>
      </c>
      <c r="Q538" s="139" t="str">
        <f t="shared" si="4"/>
        <v/>
      </c>
      <c r="R538" s="139" t="str">
        <f t="shared" si="5"/>
        <v/>
      </c>
      <c r="S538" s="139" t="str">
        <f t="shared" si="6"/>
        <v/>
      </c>
      <c r="T538" s="140" t="str">
        <f t="shared" si="7"/>
        <v/>
      </c>
      <c r="U538" s="136"/>
      <c r="V538" s="136"/>
      <c r="W538" s="136"/>
      <c r="X538" s="136"/>
      <c r="Y538" s="145"/>
      <c r="Z538" s="145"/>
    </row>
    <row r="539">
      <c r="E539" s="136"/>
      <c r="F539" s="136"/>
      <c r="G539" s="136"/>
      <c r="H539" s="137" t="str">
        <f t="shared" si="1"/>
        <v/>
      </c>
      <c r="I539" s="136"/>
      <c r="J539" s="136"/>
      <c r="K539" s="136"/>
      <c r="L539" s="136"/>
      <c r="M539" s="136"/>
      <c r="N539" s="136"/>
      <c r="O539" s="142" t="str">
        <f t="shared" si="2"/>
        <v/>
      </c>
      <c r="P539" s="140" t="str">
        <f t="shared" si="3"/>
        <v/>
      </c>
      <c r="Q539" s="139" t="str">
        <f t="shared" si="4"/>
        <v/>
      </c>
      <c r="R539" s="139" t="str">
        <f t="shared" si="5"/>
        <v/>
      </c>
      <c r="S539" s="139" t="str">
        <f t="shared" si="6"/>
        <v/>
      </c>
      <c r="T539" s="140" t="str">
        <f t="shared" si="7"/>
        <v/>
      </c>
      <c r="U539" s="136"/>
      <c r="V539" s="136"/>
      <c r="W539" s="136"/>
      <c r="X539" s="136"/>
      <c r="Y539" s="145"/>
      <c r="Z539" s="145"/>
    </row>
    <row r="540">
      <c r="E540" s="136"/>
      <c r="F540" s="136"/>
      <c r="G540" s="136"/>
      <c r="H540" s="137" t="str">
        <f t="shared" si="1"/>
        <v/>
      </c>
      <c r="I540" s="136"/>
      <c r="J540" s="136"/>
      <c r="K540" s="136"/>
      <c r="L540" s="136"/>
      <c r="M540" s="136"/>
      <c r="N540" s="136"/>
      <c r="O540" s="142" t="str">
        <f t="shared" si="2"/>
        <v/>
      </c>
      <c r="P540" s="140" t="str">
        <f t="shared" si="3"/>
        <v/>
      </c>
      <c r="Q540" s="139" t="str">
        <f t="shared" si="4"/>
        <v/>
      </c>
      <c r="R540" s="139" t="str">
        <f t="shared" si="5"/>
        <v/>
      </c>
      <c r="S540" s="139" t="str">
        <f t="shared" si="6"/>
        <v/>
      </c>
      <c r="T540" s="140" t="str">
        <f t="shared" si="7"/>
        <v/>
      </c>
      <c r="U540" s="136"/>
      <c r="V540" s="136"/>
      <c r="W540" s="136"/>
      <c r="X540" s="136"/>
      <c r="Y540" s="145"/>
      <c r="Z540" s="145"/>
    </row>
    <row r="541">
      <c r="E541" s="136"/>
      <c r="F541" s="136"/>
      <c r="G541" s="136"/>
      <c r="H541" s="137" t="str">
        <f t="shared" si="1"/>
        <v/>
      </c>
      <c r="I541" s="136"/>
      <c r="J541" s="136"/>
      <c r="K541" s="136"/>
      <c r="L541" s="136"/>
      <c r="M541" s="136"/>
      <c r="N541" s="136"/>
      <c r="O541" s="142" t="str">
        <f t="shared" si="2"/>
        <v/>
      </c>
      <c r="P541" s="140" t="str">
        <f t="shared" si="3"/>
        <v/>
      </c>
      <c r="Q541" s="139" t="str">
        <f t="shared" si="4"/>
        <v/>
      </c>
      <c r="R541" s="139" t="str">
        <f t="shared" si="5"/>
        <v/>
      </c>
      <c r="S541" s="139" t="str">
        <f t="shared" si="6"/>
        <v/>
      </c>
      <c r="T541" s="140" t="str">
        <f t="shared" si="7"/>
        <v/>
      </c>
      <c r="U541" s="136"/>
      <c r="V541" s="136"/>
      <c r="W541" s="136"/>
      <c r="X541" s="136"/>
      <c r="Y541" s="145"/>
      <c r="Z541" s="145"/>
    </row>
    <row r="542">
      <c r="E542" s="136"/>
      <c r="F542" s="136"/>
      <c r="G542" s="136"/>
      <c r="H542" s="137" t="str">
        <f t="shared" si="1"/>
        <v/>
      </c>
      <c r="I542" s="136"/>
      <c r="J542" s="136"/>
      <c r="K542" s="136"/>
      <c r="L542" s="136"/>
      <c r="M542" s="136"/>
      <c r="N542" s="136"/>
      <c r="O542" s="142" t="str">
        <f t="shared" si="2"/>
        <v/>
      </c>
      <c r="P542" s="140" t="str">
        <f t="shared" si="3"/>
        <v/>
      </c>
      <c r="Q542" s="139" t="str">
        <f t="shared" si="4"/>
        <v/>
      </c>
      <c r="R542" s="139" t="str">
        <f t="shared" si="5"/>
        <v/>
      </c>
      <c r="S542" s="139" t="str">
        <f t="shared" si="6"/>
        <v/>
      </c>
      <c r="T542" s="140" t="str">
        <f t="shared" si="7"/>
        <v/>
      </c>
      <c r="U542" s="136"/>
      <c r="V542" s="136"/>
      <c r="W542" s="136"/>
      <c r="X542" s="136"/>
      <c r="Y542" s="145"/>
      <c r="Z542" s="145"/>
    </row>
    <row r="543">
      <c r="E543" s="136"/>
      <c r="F543" s="136"/>
      <c r="G543" s="136"/>
      <c r="H543" s="137" t="str">
        <f t="shared" si="1"/>
        <v/>
      </c>
      <c r="I543" s="136"/>
      <c r="J543" s="136"/>
      <c r="K543" s="136"/>
      <c r="L543" s="136"/>
      <c r="M543" s="136"/>
      <c r="N543" s="136"/>
      <c r="O543" s="142" t="str">
        <f t="shared" si="2"/>
        <v/>
      </c>
      <c r="P543" s="140" t="str">
        <f t="shared" si="3"/>
        <v/>
      </c>
      <c r="Q543" s="139" t="str">
        <f t="shared" si="4"/>
        <v/>
      </c>
      <c r="R543" s="139" t="str">
        <f t="shared" si="5"/>
        <v/>
      </c>
      <c r="S543" s="139" t="str">
        <f t="shared" si="6"/>
        <v/>
      </c>
      <c r="T543" s="140" t="str">
        <f t="shared" si="7"/>
        <v/>
      </c>
      <c r="U543" s="136"/>
      <c r="V543" s="136"/>
      <c r="W543" s="136"/>
      <c r="X543" s="136"/>
      <c r="Y543" s="145"/>
      <c r="Z543" s="145"/>
    </row>
    <row r="544">
      <c r="E544" s="136"/>
      <c r="F544" s="136"/>
      <c r="G544" s="136"/>
      <c r="H544" s="137" t="str">
        <f t="shared" si="1"/>
        <v/>
      </c>
      <c r="I544" s="136"/>
      <c r="J544" s="136"/>
      <c r="K544" s="136"/>
      <c r="L544" s="136"/>
      <c r="M544" s="136"/>
      <c r="N544" s="136"/>
      <c r="O544" s="142" t="str">
        <f t="shared" si="2"/>
        <v/>
      </c>
      <c r="P544" s="140" t="str">
        <f t="shared" si="3"/>
        <v/>
      </c>
      <c r="Q544" s="139" t="str">
        <f t="shared" si="4"/>
        <v/>
      </c>
      <c r="R544" s="139" t="str">
        <f t="shared" si="5"/>
        <v/>
      </c>
      <c r="S544" s="139" t="str">
        <f t="shared" si="6"/>
        <v/>
      </c>
      <c r="T544" s="140" t="str">
        <f t="shared" si="7"/>
        <v/>
      </c>
      <c r="U544" s="136"/>
      <c r="V544" s="136"/>
      <c r="W544" s="136"/>
      <c r="X544" s="136"/>
      <c r="Y544" s="145"/>
      <c r="Z544" s="145"/>
    </row>
    <row r="545">
      <c r="E545" s="136"/>
      <c r="F545" s="136"/>
      <c r="G545" s="136"/>
      <c r="H545" s="137" t="str">
        <f t="shared" si="1"/>
        <v/>
      </c>
      <c r="I545" s="136"/>
      <c r="J545" s="136"/>
      <c r="K545" s="136"/>
      <c r="L545" s="136"/>
      <c r="M545" s="136"/>
      <c r="N545" s="136"/>
      <c r="O545" s="142" t="str">
        <f t="shared" si="2"/>
        <v/>
      </c>
      <c r="P545" s="140" t="str">
        <f t="shared" si="3"/>
        <v/>
      </c>
      <c r="Q545" s="139" t="str">
        <f t="shared" si="4"/>
        <v/>
      </c>
      <c r="R545" s="139" t="str">
        <f t="shared" si="5"/>
        <v/>
      </c>
      <c r="S545" s="139" t="str">
        <f t="shared" si="6"/>
        <v/>
      </c>
      <c r="T545" s="140" t="str">
        <f t="shared" si="7"/>
        <v/>
      </c>
      <c r="U545" s="136"/>
      <c r="V545" s="136"/>
      <c r="W545" s="136"/>
      <c r="X545" s="136"/>
      <c r="Y545" s="145"/>
      <c r="Z545" s="145"/>
    </row>
    <row r="546">
      <c r="E546" s="136"/>
      <c r="F546" s="136"/>
      <c r="G546" s="136"/>
      <c r="H546" s="137" t="str">
        <f t="shared" si="1"/>
        <v/>
      </c>
      <c r="I546" s="136"/>
      <c r="J546" s="136"/>
      <c r="K546" s="136"/>
      <c r="L546" s="136"/>
      <c r="M546" s="136"/>
      <c r="N546" s="136"/>
      <c r="O546" s="142" t="str">
        <f t="shared" si="2"/>
        <v/>
      </c>
      <c r="P546" s="140" t="str">
        <f t="shared" si="3"/>
        <v/>
      </c>
      <c r="Q546" s="139" t="str">
        <f t="shared" si="4"/>
        <v/>
      </c>
      <c r="R546" s="139" t="str">
        <f t="shared" si="5"/>
        <v/>
      </c>
      <c r="S546" s="139" t="str">
        <f t="shared" si="6"/>
        <v/>
      </c>
      <c r="T546" s="140" t="str">
        <f t="shared" si="7"/>
        <v/>
      </c>
      <c r="U546" s="136"/>
      <c r="V546" s="136"/>
      <c r="W546" s="136"/>
      <c r="X546" s="136"/>
      <c r="Y546" s="145"/>
      <c r="Z546" s="145"/>
    </row>
    <row r="547">
      <c r="E547" s="136"/>
      <c r="F547" s="136"/>
      <c r="G547" s="136"/>
      <c r="H547" s="137" t="str">
        <f t="shared" si="1"/>
        <v/>
      </c>
      <c r="I547" s="136"/>
      <c r="J547" s="136"/>
      <c r="K547" s="136"/>
      <c r="L547" s="136"/>
      <c r="M547" s="136"/>
      <c r="N547" s="136"/>
      <c r="O547" s="142" t="str">
        <f t="shared" si="2"/>
        <v/>
      </c>
      <c r="P547" s="140" t="str">
        <f t="shared" si="3"/>
        <v/>
      </c>
      <c r="Q547" s="139" t="str">
        <f t="shared" si="4"/>
        <v/>
      </c>
      <c r="R547" s="139" t="str">
        <f t="shared" si="5"/>
        <v/>
      </c>
      <c r="S547" s="139" t="str">
        <f t="shared" si="6"/>
        <v/>
      </c>
      <c r="T547" s="140" t="str">
        <f t="shared" si="7"/>
        <v/>
      </c>
      <c r="U547" s="136"/>
      <c r="V547" s="136"/>
      <c r="W547" s="136"/>
      <c r="X547" s="136"/>
      <c r="Y547" s="145"/>
      <c r="Z547" s="145"/>
    </row>
    <row r="548">
      <c r="E548" s="136"/>
      <c r="F548" s="136"/>
      <c r="G548" s="136"/>
      <c r="H548" s="137" t="str">
        <f t="shared" si="1"/>
        <v/>
      </c>
      <c r="I548" s="136"/>
      <c r="J548" s="136"/>
      <c r="K548" s="136"/>
      <c r="L548" s="136"/>
      <c r="M548" s="136"/>
      <c r="N548" s="136"/>
      <c r="O548" s="142" t="str">
        <f t="shared" si="2"/>
        <v/>
      </c>
      <c r="P548" s="140" t="str">
        <f t="shared" si="3"/>
        <v/>
      </c>
      <c r="Q548" s="139" t="str">
        <f t="shared" si="4"/>
        <v/>
      </c>
      <c r="R548" s="139" t="str">
        <f t="shared" si="5"/>
        <v/>
      </c>
      <c r="S548" s="139" t="str">
        <f t="shared" si="6"/>
        <v/>
      </c>
      <c r="T548" s="140" t="str">
        <f t="shared" si="7"/>
        <v/>
      </c>
      <c r="U548" s="136"/>
      <c r="V548" s="136"/>
      <c r="W548" s="136"/>
      <c r="X548" s="136"/>
      <c r="Y548" s="145"/>
      <c r="Z548" s="145"/>
    </row>
    <row r="549">
      <c r="E549" s="136"/>
      <c r="F549" s="136"/>
      <c r="G549" s="136"/>
      <c r="H549" s="137" t="str">
        <f t="shared" si="1"/>
        <v/>
      </c>
      <c r="I549" s="136"/>
      <c r="J549" s="136"/>
      <c r="K549" s="136"/>
      <c r="L549" s="136"/>
      <c r="M549" s="136"/>
      <c r="N549" s="136"/>
      <c r="O549" s="142" t="str">
        <f t="shared" si="2"/>
        <v/>
      </c>
      <c r="P549" s="140" t="str">
        <f t="shared" si="3"/>
        <v/>
      </c>
      <c r="Q549" s="139" t="str">
        <f t="shared" si="4"/>
        <v/>
      </c>
      <c r="R549" s="139" t="str">
        <f t="shared" si="5"/>
        <v/>
      </c>
      <c r="S549" s="139" t="str">
        <f t="shared" si="6"/>
        <v/>
      </c>
      <c r="T549" s="140" t="str">
        <f t="shared" si="7"/>
        <v/>
      </c>
      <c r="U549" s="136"/>
      <c r="V549" s="136"/>
      <c r="W549" s="136"/>
      <c r="X549" s="136"/>
      <c r="Y549" s="145"/>
      <c r="Z549" s="145"/>
    </row>
    <row r="550">
      <c r="E550" s="136"/>
      <c r="F550" s="136"/>
      <c r="G550" s="136"/>
      <c r="H550" s="137" t="str">
        <f t="shared" si="1"/>
        <v/>
      </c>
      <c r="I550" s="136"/>
      <c r="J550" s="136"/>
      <c r="K550" s="136"/>
      <c r="L550" s="136"/>
      <c r="M550" s="136"/>
      <c r="N550" s="136"/>
      <c r="O550" s="142" t="str">
        <f t="shared" si="2"/>
        <v/>
      </c>
      <c r="P550" s="140" t="str">
        <f t="shared" si="3"/>
        <v/>
      </c>
      <c r="Q550" s="139" t="str">
        <f t="shared" si="4"/>
        <v/>
      </c>
      <c r="R550" s="139" t="str">
        <f t="shared" si="5"/>
        <v/>
      </c>
      <c r="S550" s="139" t="str">
        <f t="shared" si="6"/>
        <v/>
      </c>
      <c r="T550" s="140" t="str">
        <f t="shared" si="7"/>
        <v/>
      </c>
      <c r="U550" s="136"/>
      <c r="V550" s="136"/>
      <c r="W550" s="136"/>
      <c r="X550" s="136"/>
      <c r="Y550" s="145"/>
      <c r="Z550" s="145"/>
    </row>
    <row r="551">
      <c r="E551" s="136"/>
      <c r="F551" s="136"/>
      <c r="G551" s="136"/>
      <c r="H551" s="137" t="str">
        <f t="shared" si="1"/>
        <v/>
      </c>
      <c r="I551" s="136"/>
      <c r="J551" s="136"/>
      <c r="K551" s="136"/>
      <c r="L551" s="136"/>
      <c r="M551" s="136"/>
      <c r="N551" s="136"/>
      <c r="O551" s="142" t="str">
        <f t="shared" si="2"/>
        <v/>
      </c>
      <c r="P551" s="140" t="str">
        <f t="shared" si="3"/>
        <v/>
      </c>
      <c r="Q551" s="139" t="str">
        <f t="shared" si="4"/>
        <v/>
      </c>
      <c r="R551" s="139" t="str">
        <f t="shared" si="5"/>
        <v/>
      </c>
      <c r="S551" s="139" t="str">
        <f t="shared" si="6"/>
        <v/>
      </c>
      <c r="T551" s="140" t="str">
        <f t="shared" si="7"/>
        <v/>
      </c>
      <c r="U551" s="136"/>
      <c r="V551" s="136"/>
      <c r="W551" s="136"/>
      <c r="X551" s="136"/>
      <c r="Y551" s="145"/>
      <c r="Z551" s="145"/>
    </row>
    <row r="552">
      <c r="E552" s="136"/>
      <c r="F552" s="136"/>
      <c r="G552" s="136"/>
      <c r="H552" s="137" t="str">
        <f t="shared" si="1"/>
        <v/>
      </c>
      <c r="I552" s="136"/>
      <c r="J552" s="136"/>
      <c r="K552" s="136"/>
      <c r="L552" s="136"/>
      <c r="M552" s="136"/>
      <c r="N552" s="136"/>
      <c r="O552" s="142" t="str">
        <f t="shared" si="2"/>
        <v/>
      </c>
      <c r="P552" s="140" t="str">
        <f t="shared" si="3"/>
        <v/>
      </c>
      <c r="Q552" s="139" t="str">
        <f t="shared" si="4"/>
        <v/>
      </c>
      <c r="R552" s="139" t="str">
        <f t="shared" si="5"/>
        <v/>
      </c>
      <c r="S552" s="139" t="str">
        <f t="shared" si="6"/>
        <v/>
      </c>
      <c r="T552" s="140" t="str">
        <f t="shared" si="7"/>
        <v/>
      </c>
      <c r="U552" s="136"/>
      <c r="V552" s="136"/>
      <c r="W552" s="136"/>
      <c r="X552" s="136"/>
      <c r="Y552" s="145"/>
      <c r="Z552" s="145"/>
    </row>
    <row r="553">
      <c r="E553" s="136"/>
      <c r="F553" s="136"/>
      <c r="G553" s="136"/>
      <c r="H553" s="137" t="str">
        <f t="shared" si="1"/>
        <v/>
      </c>
      <c r="I553" s="136"/>
      <c r="J553" s="136"/>
      <c r="K553" s="136"/>
      <c r="L553" s="136"/>
      <c r="M553" s="136"/>
      <c r="N553" s="136"/>
      <c r="O553" s="142" t="str">
        <f t="shared" si="2"/>
        <v/>
      </c>
      <c r="P553" s="140" t="str">
        <f t="shared" si="3"/>
        <v/>
      </c>
      <c r="Q553" s="139" t="str">
        <f t="shared" si="4"/>
        <v/>
      </c>
      <c r="R553" s="139" t="str">
        <f t="shared" si="5"/>
        <v/>
      </c>
      <c r="S553" s="139" t="str">
        <f t="shared" si="6"/>
        <v/>
      </c>
      <c r="T553" s="140" t="str">
        <f t="shared" si="7"/>
        <v/>
      </c>
      <c r="U553" s="136"/>
      <c r="V553" s="136"/>
      <c r="W553" s="136"/>
      <c r="X553" s="136"/>
      <c r="Y553" s="145"/>
      <c r="Z553" s="145"/>
    </row>
    <row r="554">
      <c r="E554" s="136"/>
      <c r="F554" s="136"/>
      <c r="G554" s="136"/>
      <c r="H554" s="137" t="str">
        <f t="shared" si="1"/>
        <v/>
      </c>
      <c r="I554" s="136"/>
      <c r="J554" s="136"/>
      <c r="K554" s="136"/>
      <c r="L554" s="136"/>
      <c r="M554" s="136"/>
      <c r="N554" s="136"/>
      <c r="O554" s="142" t="str">
        <f t="shared" si="2"/>
        <v/>
      </c>
      <c r="P554" s="140" t="str">
        <f t="shared" si="3"/>
        <v/>
      </c>
      <c r="Q554" s="139" t="str">
        <f t="shared" si="4"/>
        <v/>
      </c>
      <c r="R554" s="139" t="str">
        <f t="shared" si="5"/>
        <v/>
      </c>
      <c r="S554" s="139" t="str">
        <f t="shared" si="6"/>
        <v/>
      </c>
      <c r="T554" s="140" t="str">
        <f t="shared" si="7"/>
        <v/>
      </c>
      <c r="U554" s="136"/>
      <c r="V554" s="136"/>
      <c r="W554" s="136"/>
      <c r="X554" s="136"/>
      <c r="Y554" s="145"/>
      <c r="Z554" s="145"/>
    </row>
    <row r="555">
      <c r="E555" s="136"/>
      <c r="F555" s="136"/>
      <c r="G555" s="136"/>
      <c r="H555" s="137" t="str">
        <f t="shared" si="1"/>
        <v/>
      </c>
      <c r="I555" s="136"/>
      <c r="J555" s="136"/>
      <c r="K555" s="136"/>
      <c r="L555" s="136"/>
      <c r="M555" s="136"/>
      <c r="N555" s="136"/>
      <c r="O555" s="142" t="str">
        <f t="shared" si="2"/>
        <v/>
      </c>
      <c r="P555" s="140" t="str">
        <f t="shared" si="3"/>
        <v/>
      </c>
      <c r="Q555" s="139" t="str">
        <f t="shared" si="4"/>
        <v/>
      </c>
      <c r="R555" s="139" t="str">
        <f t="shared" si="5"/>
        <v/>
      </c>
      <c r="S555" s="139" t="str">
        <f t="shared" si="6"/>
        <v/>
      </c>
      <c r="T555" s="140" t="str">
        <f t="shared" si="7"/>
        <v/>
      </c>
      <c r="U555" s="136"/>
      <c r="V555" s="136"/>
      <c r="W555" s="136"/>
      <c r="X555" s="136"/>
      <c r="Y555" s="145"/>
      <c r="Z555" s="145"/>
    </row>
    <row r="556">
      <c r="E556" s="136"/>
      <c r="F556" s="136"/>
      <c r="G556" s="136"/>
      <c r="H556" s="137" t="str">
        <f t="shared" si="1"/>
        <v/>
      </c>
      <c r="I556" s="136"/>
      <c r="J556" s="136"/>
      <c r="K556" s="136"/>
      <c r="L556" s="136"/>
      <c r="M556" s="136"/>
      <c r="N556" s="136"/>
      <c r="O556" s="142" t="str">
        <f t="shared" si="2"/>
        <v/>
      </c>
      <c r="P556" s="140" t="str">
        <f t="shared" si="3"/>
        <v/>
      </c>
      <c r="Q556" s="139" t="str">
        <f t="shared" si="4"/>
        <v/>
      </c>
      <c r="R556" s="139" t="str">
        <f t="shared" si="5"/>
        <v/>
      </c>
      <c r="S556" s="139" t="str">
        <f t="shared" si="6"/>
        <v/>
      </c>
      <c r="T556" s="140" t="str">
        <f t="shared" si="7"/>
        <v/>
      </c>
      <c r="U556" s="136"/>
      <c r="V556" s="136"/>
      <c r="W556" s="136"/>
      <c r="X556" s="136"/>
      <c r="Y556" s="145"/>
      <c r="Z556" s="145"/>
    </row>
    <row r="557">
      <c r="E557" s="136"/>
      <c r="F557" s="136"/>
      <c r="G557" s="136"/>
      <c r="H557" s="137" t="str">
        <f t="shared" si="1"/>
        <v/>
      </c>
      <c r="I557" s="136"/>
      <c r="J557" s="136"/>
      <c r="K557" s="136"/>
      <c r="L557" s="136"/>
      <c r="M557" s="136"/>
      <c r="N557" s="136"/>
      <c r="O557" s="142" t="str">
        <f t="shared" si="2"/>
        <v/>
      </c>
      <c r="P557" s="140" t="str">
        <f t="shared" si="3"/>
        <v/>
      </c>
      <c r="Q557" s="139" t="str">
        <f t="shared" si="4"/>
        <v/>
      </c>
      <c r="R557" s="139" t="str">
        <f t="shared" si="5"/>
        <v/>
      </c>
      <c r="S557" s="139" t="str">
        <f t="shared" si="6"/>
        <v/>
      </c>
      <c r="T557" s="140" t="str">
        <f t="shared" si="7"/>
        <v/>
      </c>
      <c r="U557" s="136"/>
      <c r="V557" s="136"/>
      <c r="W557" s="136"/>
      <c r="X557" s="136"/>
      <c r="Y557" s="145"/>
      <c r="Z557" s="145"/>
    </row>
    <row r="558">
      <c r="E558" s="136"/>
      <c r="F558" s="136"/>
      <c r="G558" s="136"/>
      <c r="H558" s="137" t="str">
        <f t="shared" si="1"/>
        <v/>
      </c>
      <c r="I558" s="136"/>
      <c r="J558" s="136"/>
      <c r="K558" s="136"/>
      <c r="L558" s="136"/>
      <c r="M558" s="136"/>
      <c r="N558" s="136"/>
      <c r="O558" s="142" t="str">
        <f t="shared" si="2"/>
        <v/>
      </c>
      <c r="P558" s="140" t="str">
        <f t="shared" si="3"/>
        <v/>
      </c>
      <c r="Q558" s="139" t="str">
        <f t="shared" si="4"/>
        <v/>
      </c>
      <c r="R558" s="139" t="str">
        <f t="shared" si="5"/>
        <v/>
      </c>
      <c r="S558" s="139" t="str">
        <f t="shared" si="6"/>
        <v/>
      </c>
      <c r="T558" s="140" t="str">
        <f t="shared" si="7"/>
        <v/>
      </c>
      <c r="U558" s="136"/>
      <c r="V558" s="136"/>
      <c r="W558" s="136"/>
      <c r="X558" s="136"/>
      <c r="Y558" s="145"/>
      <c r="Z558" s="145"/>
    </row>
    <row r="559">
      <c r="E559" s="136"/>
      <c r="F559" s="136"/>
      <c r="G559" s="136"/>
      <c r="H559" s="137" t="str">
        <f t="shared" si="1"/>
        <v/>
      </c>
      <c r="I559" s="136"/>
      <c r="J559" s="136"/>
      <c r="K559" s="136"/>
      <c r="L559" s="136"/>
      <c r="M559" s="136"/>
      <c r="N559" s="136"/>
      <c r="O559" s="142" t="str">
        <f t="shared" si="2"/>
        <v/>
      </c>
      <c r="P559" s="140" t="str">
        <f t="shared" si="3"/>
        <v/>
      </c>
      <c r="Q559" s="139" t="str">
        <f t="shared" si="4"/>
        <v/>
      </c>
      <c r="R559" s="139" t="str">
        <f t="shared" si="5"/>
        <v/>
      </c>
      <c r="S559" s="139" t="str">
        <f t="shared" si="6"/>
        <v/>
      </c>
      <c r="T559" s="140" t="str">
        <f t="shared" si="7"/>
        <v/>
      </c>
      <c r="U559" s="136"/>
      <c r="V559" s="136"/>
      <c r="W559" s="136"/>
      <c r="X559" s="136"/>
      <c r="Y559" s="145"/>
      <c r="Z559" s="145"/>
    </row>
    <row r="560">
      <c r="E560" s="136"/>
      <c r="F560" s="136"/>
      <c r="G560" s="136"/>
      <c r="H560" s="137" t="str">
        <f t="shared" si="1"/>
        <v/>
      </c>
      <c r="I560" s="136"/>
      <c r="J560" s="136"/>
      <c r="K560" s="136"/>
      <c r="L560" s="136"/>
      <c r="M560" s="136"/>
      <c r="N560" s="136"/>
      <c r="O560" s="142" t="str">
        <f t="shared" si="2"/>
        <v/>
      </c>
      <c r="P560" s="140" t="str">
        <f t="shared" si="3"/>
        <v/>
      </c>
      <c r="Q560" s="139" t="str">
        <f t="shared" si="4"/>
        <v/>
      </c>
      <c r="R560" s="139" t="str">
        <f t="shared" si="5"/>
        <v/>
      </c>
      <c r="S560" s="139" t="str">
        <f t="shared" si="6"/>
        <v/>
      </c>
      <c r="T560" s="140" t="str">
        <f t="shared" si="7"/>
        <v/>
      </c>
      <c r="U560" s="136"/>
      <c r="V560" s="136"/>
      <c r="W560" s="136"/>
      <c r="X560" s="136"/>
      <c r="Y560" s="145"/>
      <c r="Z560" s="145"/>
    </row>
    <row r="561">
      <c r="E561" s="136"/>
      <c r="F561" s="136"/>
      <c r="G561" s="136"/>
      <c r="H561" s="137" t="str">
        <f t="shared" si="1"/>
        <v/>
      </c>
      <c r="I561" s="136"/>
      <c r="J561" s="136"/>
      <c r="K561" s="136"/>
      <c r="L561" s="136"/>
      <c r="M561" s="136"/>
      <c r="N561" s="136"/>
      <c r="O561" s="142" t="str">
        <f t="shared" si="2"/>
        <v/>
      </c>
      <c r="P561" s="140" t="str">
        <f t="shared" si="3"/>
        <v/>
      </c>
      <c r="Q561" s="139" t="str">
        <f t="shared" si="4"/>
        <v/>
      </c>
      <c r="R561" s="139" t="str">
        <f t="shared" si="5"/>
        <v/>
      </c>
      <c r="S561" s="139" t="str">
        <f t="shared" si="6"/>
        <v/>
      </c>
      <c r="T561" s="140" t="str">
        <f t="shared" si="7"/>
        <v/>
      </c>
      <c r="U561" s="136"/>
      <c r="V561" s="136"/>
      <c r="W561" s="136"/>
      <c r="X561" s="136"/>
      <c r="Y561" s="145"/>
      <c r="Z561" s="145"/>
    </row>
    <row r="562">
      <c r="E562" s="136"/>
      <c r="F562" s="136"/>
      <c r="G562" s="136"/>
      <c r="H562" s="137" t="str">
        <f t="shared" si="1"/>
        <v/>
      </c>
      <c r="I562" s="136"/>
      <c r="J562" s="136"/>
      <c r="K562" s="136"/>
      <c r="L562" s="136"/>
      <c r="M562" s="136"/>
      <c r="N562" s="136"/>
      <c r="O562" s="142" t="str">
        <f t="shared" si="2"/>
        <v/>
      </c>
      <c r="P562" s="140" t="str">
        <f t="shared" si="3"/>
        <v/>
      </c>
      <c r="Q562" s="139" t="str">
        <f t="shared" si="4"/>
        <v/>
      </c>
      <c r="R562" s="139" t="str">
        <f t="shared" si="5"/>
        <v/>
      </c>
      <c r="S562" s="139" t="str">
        <f t="shared" si="6"/>
        <v/>
      </c>
      <c r="T562" s="140" t="str">
        <f t="shared" si="7"/>
        <v/>
      </c>
      <c r="U562" s="136"/>
      <c r="V562" s="136"/>
      <c r="W562" s="136"/>
      <c r="X562" s="136"/>
      <c r="Y562" s="145"/>
      <c r="Z562" s="145"/>
    </row>
    <row r="563">
      <c r="E563" s="136"/>
      <c r="F563" s="136"/>
      <c r="G563" s="136"/>
      <c r="H563" s="137" t="str">
        <f t="shared" si="1"/>
        <v/>
      </c>
      <c r="I563" s="136"/>
      <c r="J563" s="136"/>
      <c r="K563" s="136"/>
      <c r="L563" s="136"/>
      <c r="M563" s="136"/>
      <c r="N563" s="136"/>
      <c r="O563" s="142" t="str">
        <f t="shared" si="2"/>
        <v/>
      </c>
      <c r="P563" s="140" t="str">
        <f t="shared" si="3"/>
        <v/>
      </c>
      <c r="Q563" s="139" t="str">
        <f t="shared" si="4"/>
        <v/>
      </c>
      <c r="R563" s="139" t="str">
        <f t="shared" si="5"/>
        <v/>
      </c>
      <c r="S563" s="139" t="str">
        <f t="shared" si="6"/>
        <v/>
      </c>
      <c r="T563" s="140" t="str">
        <f t="shared" si="7"/>
        <v/>
      </c>
      <c r="U563" s="136"/>
      <c r="V563" s="136"/>
      <c r="W563" s="136"/>
      <c r="X563" s="136"/>
      <c r="Y563" s="145"/>
      <c r="Z563" s="145"/>
    </row>
    <row r="564">
      <c r="E564" s="136"/>
      <c r="F564" s="136"/>
      <c r="G564" s="136"/>
      <c r="H564" s="137" t="str">
        <f t="shared" si="1"/>
        <v/>
      </c>
      <c r="I564" s="136"/>
      <c r="J564" s="136"/>
      <c r="K564" s="136"/>
      <c r="L564" s="136"/>
      <c r="M564" s="136"/>
      <c r="N564" s="136"/>
      <c r="O564" s="142" t="str">
        <f t="shared" si="2"/>
        <v/>
      </c>
      <c r="P564" s="140" t="str">
        <f t="shared" si="3"/>
        <v/>
      </c>
      <c r="Q564" s="139" t="str">
        <f t="shared" si="4"/>
        <v/>
      </c>
      <c r="R564" s="139" t="str">
        <f t="shared" si="5"/>
        <v/>
      </c>
      <c r="S564" s="139" t="str">
        <f t="shared" si="6"/>
        <v/>
      </c>
      <c r="T564" s="140" t="str">
        <f t="shared" si="7"/>
        <v/>
      </c>
      <c r="U564" s="136"/>
      <c r="V564" s="136"/>
      <c r="W564" s="136"/>
      <c r="X564" s="136"/>
      <c r="Y564" s="145"/>
      <c r="Z564" s="145"/>
    </row>
    <row r="565">
      <c r="E565" s="136"/>
      <c r="F565" s="136"/>
      <c r="G565" s="136"/>
      <c r="H565" s="137" t="str">
        <f t="shared" si="1"/>
        <v/>
      </c>
      <c r="I565" s="136"/>
      <c r="J565" s="136"/>
      <c r="K565" s="136"/>
      <c r="L565" s="136"/>
      <c r="M565" s="136"/>
      <c r="N565" s="136"/>
      <c r="O565" s="142" t="str">
        <f t="shared" si="2"/>
        <v/>
      </c>
      <c r="P565" s="140" t="str">
        <f t="shared" si="3"/>
        <v/>
      </c>
      <c r="Q565" s="139" t="str">
        <f t="shared" si="4"/>
        <v/>
      </c>
      <c r="R565" s="139" t="str">
        <f t="shared" si="5"/>
        <v/>
      </c>
      <c r="S565" s="139" t="str">
        <f t="shared" si="6"/>
        <v/>
      </c>
      <c r="T565" s="140" t="str">
        <f t="shared" si="7"/>
        <v/>
      </c>
      <c r="U565" s="136"/>
      <c r="V565" s="136"/>
      <c r="W565" s="136"/>
      <c r="X565" s="136"/>
      <c r="Y565" s="145"/>
      <c r="Z565" s="145"/>
    </row>
    <row r="566">
      <c r="E566" s="136"/>
      <c r="F566" s="136"/>
      <c r="G566" s="136"/>
      <c r="H566" s="137" t="str">
        <f t="shared" si="1"/>
        <v/>
      </c>
      <c r="I566" s="136"/>
      <c r="J566" s="136"/>
      <c r="K566" s="136"/>
      <c r="L566" s="136"/>
      <c r="M566" s="136"/>
      <c r="N566" s="136"/>
      <c r="O566" s="142" t="str">
        <f t="shared" si="2"/>
        <v/>
      </c>
      <c r="P566" s="140" t="str">
        <f t="shared" si="3"/>
        <v/>
      </c>
      <c r="Q566" s="139" t="str">
        <f t="shared" si="4"/>
        <v/>
      </c>
      <c r="R566" s="139" t="str">
        <f t="shared" si="5"/>
        <v/>
      </c>
      <c r="S566" s="139" t="str">
        <f t="shared" si="6"/>
        <v/>
      </c>
      <c r="T566" s="140" t="str">
        <f t="shared" si="7"/>
        <v/>
      </c>
      <c r="U566" s="136"/>
      <c r="V566" s="136"/>
      <c r="W566" s="136"/>
      <c r="X566" s="136"/>
      <c r="Y566" s="145"/>
      <c r="Z566" s="145"/>
    </row>
    <row r="567">
      <c r="E567" s="136"/>
      <c r="F567" s="136"/>
      <c r="G567" s="136"/>
      <c r="H567" s="137" t="str">
        <f t="shared" si="1"/>
        <v/>
      </c>
      <c r="I567" s="136"/>
      <c r="J567" s="136"/>
      <c r="K567" s="136"/>
      <c r="L567" s="136"/>
      <c r="M567" s="136"/>
      <c r="N567" s="136"/>
      <c r="O567" s="142" t="str">
        <f t="shared" si="2"/>
        <v/>
      </c>
      <c r="P567" s="140" t="str">
        <f t="shared" si="3"/>
        <v/>
      </c>
      <c r="Q567" s="139" t="str">
        <f t="shared" si="4"/>
        <v/>
      </c>
      <c r="R567" s="139" t="str">
        <f t="shared" si="5"/>
        <v/>
      </c>
      <c r="S567" s="139" t="str">
        <f t="shared" si="6"/>
        <v/>
      </c>
      <c r="T567" s="140" t="str">
        <f t="shared" si="7"/>
        <v/>
      </c>
      <c r="U567" s="136"/>
      <c r="V567" s="136"/>
      <c r="W567" s="136"/>
      <c r="X567" s="136"/>
      <c r="Y567" s="145"/>
      <c r="Z567" s="145"/>
    </row>
    <row r="568">
      <c r="E568" s="136"/>
      <c r="F568" s="136"/>
      <c r="G568" s="136"/>
      <c r="H568" s="137" t="str">
        <f t="shared" si="1"/>
        <v/>
      </c>
      <c r="I568" s="136"/>
      <c r="J568" s="136"/>
      <c r="K568" s="136"/>
      <c r="L568" s="136"/>
      <c r="M568" s="136"/>
      <c r="N568" s="136"/>
      <c r="O568" s="142" t="str">
        <f t="shared" si="2"/>
        <v/>
      </c>
      <c r="P568" s="140" t="str">
        <f t="shared" si="3"/>
        <v/>
      </c>
      <c r="Q568" s="139" t="str">
        <f t="shared" si="4"/>
        <v/>
      </c>
      <c r="R568" s="139" t="str">
        <f t="shared" si="5"/>
        <v/>
      </c>
      <c r="S568" s="139" t="str">
        <f t="shared" si="6"/>
        <v/>
      </c>
      <c r="T568" s="140" t="str">
        <f t="shared" si="7"/>
        <v/>
      </c>
      <c r="U568" s="136"/>
      <c r="V568" s="136"/>
      <c r="W568" s="136"/>
      <c r="X568" s="136"/>
      <c r="Y568" s="145"/>
      <c r="Z568" s="145"/>
    </row>
    <row r="569">
      <c r="E569" s="136"/>
      <c r="F569" s="136"/>
      <c r="G569" s="136"/>
      <c r="H569" s="137" t="str">
        <f t="shared" si="1"/>
        <v/>
      </c>
      <c r="I569" s="136"/>
      <c r="J569" s="136"/>
      <c r="K569" s="136"/>
      <c r="L569" s="136"/>
      <c r="M569" s="136"/>
      <c r="N569" s="136"/>
      <c r="O569" s="142" t="str">
        <f t="shared" si="2"/>
        <v/>
      </c>
      <c r="P569" s="140" t="str">
        <f t="shared" si="3"/>
        <v/>
      </c>
      <c r="Q569" s="139" t="str">
        <f t="shared" si="4"/>
        <v/>
      </c>
      <c r="R569" s="139" t="str">
        <f t="shared" si="5"/>
        <v/>
      </c>
      <c r="S569" s="139" t="str">
        <f t="shared" si="6"/>
        <v/>
      </c>
      <c r="T569" s="140" t="str">
        <f t="shared" si="7"/>
        <v/>
      </c>
      <c r="U569" s="136"/>
      <c r="V569" s="136"/>
      <c r="W569" s="136"/>
      <c r="X569" s="136"/>
      <c r="Y569" s="145"/>
      <c r="Z569" s="145"/>
    </row>
    <row r="570">
      <c r="E570" s="136"/>
      <c r="F570" s="136"/>
      <c r="G570" s="136"/>
      <c r="H570" s="137" t="str">
        <f t="shared" si="1"/>
        <v/>
      </c>
      <c r="I570" s="136"/>
      <c r="J570" s="136"/>
      <c r="K570" s="136"/>
      <c r="L570" s="136"/>
      <c r="M570" s="136"/>
      <c r="N570" s="136"/>
      <c r="O570" s="142" t="str">
        <f t="shared" si="2"/>
        <v/>
      </c>
      <c r="P570" s="140" t="str">
        <f t="shared" si="3"/>
        <v/>
      </c>
      <c r="Q570" s="139" t="str">
        <f t="shared" si="4"/>
        <v/>
      </c>
      <c r="R570" s="139" t="str">
        <f t="shared" si="5"/>
        <v/>
      </c>
      <c r="S570" s="139" t="str">
        <f t="shared" si="6"/>
        <v/>
      </c>
      <c r="T570" s="140" t="str">
        <f t="shared" si="7"/>
        <v/>
      </c>
      <c r="U570" s="136"/>
      <c r="V570" s="136"/>
      <c r="W570" s="136"/>
      <c r="X570" s="136"/>
      <c r="Y570" s="145"/>
      <c r="Z570" s="145"/>
    </row>
    <row r="571">
      <c r="E571" s="136"/>
      <c r="F571" s="136"/>
      <c r="G571" s="136"/>
      <c r="H571" s="137" t="str">
        <f t="shared" si="1"/>
        <v/>
      </c>
      <c r="I571" s="136"/>
      <c r="J571" s="136"/>
      <c r="K571" s="136"/>
      <c r="L571" s="136"/>
      <c r="M571" s="136"/>
      <c r="N571" s="136"/>
      <c r="O571" s="142" t="str">
        <f t="shared" si="2"/>
        <v/>
      </c>
      <c r="P571" s="140" t="str">
        <f t="shared" si="3"/>
        <v/>
      </c>
      <c r="Q571" s="139" t="str">
        <f t="shared" si="4"/>
        <v/>
      </c>
      <c r="R571" s="139" t="str">
        <f t="shared" si="5"/>
        <v/>
      </c>
      <c r="S571" s="139" t="str">
        <f t="shared" si="6"/>
        <v/>
      </c>
      <c r="T571" s="140" t="str">
        <f t="shared" si="7"/>
        <v/>
      </c>
      <c r="U571" s="136"/>
      <c r="V571" s="136"/>
      <c r="W571" s="136"/>
      <c r="X571" s="136"/>
      <c r="Y571" s="145"/>
      <c r="Z571" s="145"/>
    </row>
    <row r="572">
      <c r="E572" s="136"/>
      <c r="F572" s="136"/>
      <c r="G572" s="136"/>
      <c r="H572" s="137" t="str">
        <f t="shared" si="1"/>
        <v/>
      </c>
      <c r="I572" s="136"/>
      <c r="J572" s="136"/>
      <c r="K572" s="136"/>
      <c r="L572" s="136"/>
      <c r="M572" s="136"/>
      <c r="N572" s="136"/>
      <c r="O572" s="142" t="str">
        <f t="shared" si="2"/>
        <v/>
      </c>
      <c r="P572" s="140" t="str">
        <f t="shared" si="3"/>
        <v/>
      </c>
      <c r="Q572" s="139" t="str">
        <f t="shared" si="4"/>
        <v/>
      </c>
      <c r="R572" s="139" t="str">
        <f t="shared" si="5"/>
        <v/>
      </c>
      <c r="S572" s="139" t="str">
        <f t="shared" si="6"/>
        <v/>
      </c>
      <c r="T572" s="140" t="str">
        <f t="shared" si="7"/>
        <v/>
      </c>
      <c r="U572" s="136"/>
      <c r="V572" s="136"/>
      <c r="W572" s="136"/>
      <c r="X572" s="136"/>
      <c r="Y572" s="145"/>
      <c r="Z572" s="145"/>
    </row>
    <row r="573">
      <c r="E573" s="136"/>
      <c r="F573" s="136"/>
      <c r="G573" s="136"/>
      <c r="H573" s="137" t="str">
        <f t="shared" si="1"/>
        <v/>
      </c>
      <c r="I573" s="136"/>
      <c r="J573" s="136"/>
      <c r="K573" s="136"/>
      <c r="L573" s="136"/>
      <c r="M573" s="136"/>
      <c r="N573" s="136"/>
      <c r="O573" s="142" t="str">
        <f t="shared" si="2"/>
        <v/>
      </c>
      <c r="P573" s="140" t="str">
        <f t="shared" si="3"/>
        <v/>
      </c>
      <c r="Q573" s="139" t="str">
        <f t="shared" si="4"/>
        <v/>
      </c>
      <c r="R573" s="139" t="str">
        <f t="shared" si="5"/>
        <v/>
      </c>
      <c r="S573" s="139" t="str">
        <f t="shared" si="6"/>
        <v/>
      </c>
      <c r="T573" s="140" t="str">
        <f t="shared" si="7"/>
        <v/>
      </c>
      <c r="U573" s="136"/>
      <c r="V573" s="136"/>
      <c r="W573" s="136"/>
      <c r="X573" s="136"/>
      <c r="Y573" s="145"/>
      <c r="Z573" s="145"/>
    </row>
    <row r="574">
      <c r="E574" s="136"/>
      <c r="F574" s="136"/>
      <c r="G574" s="136"/>
      <c r="H574" s="137" t="str">
        <f t="shared" si="1"/>
        <v/>
      </c>
      <c r="I574" s="136"/>
      <c r="J574" s="136"/>
      <c r="K574" s="136"/>
      <c r="L574" s="136"/>
      <c r="M574" s="136"/>
      <c r="N574" s="136"/>
      <c r="O574" s="142" t="str">
        <f t="shared" si="2"/>
        <v/>
      </c>
      <c r="P574" s="140" t="str">
        <f t="shared" si="3"/>
        <v/>
      </c>
      <c r="Q574" s="139" t="str">
        <f t="shared" si="4"/>
        <v/>
      </c>
      <c r="R574" s="139" t="str">
        <f t="shared" si="5"/>
        <v/>
      </c>
      <c r="S574" s="139" t="str">
        <f t="shared" si="6"/>
        <v/>
      </c>
      <c r="T574" s="140" t="str">
        <f t="shared" si="7"/>
        <v/>
      </c>
      <c r="U574" s="136"/>
      <c r="V574" s="136"/>
      <c r="W574" s="136"/>
      <c r="X574" s="136"/>
      <c r="Y574" s="145"/>
      <c r="Z574" s="145"/>
    </row>
    <row r="575">
      <c r="E575" s="136"/>
      <c r="F575" s="136"/>
      <c r="G575" s="136"/>
      <c r="H575" s="137" t="str">
        <f t="shared" si="1"/>
        <v/>
      </c>
      <c r="I575" s="136"/>
      <c r="J575" s="136"/>
      <c r="K575" s="136"/>
      <c r="L575" s="136"/>
      <c r="M575" s="136"/>
      <c r="N575" s="136"/>
      <c r="O575" s="142" t="str">
        <f t="shared" si="2"/>
        <v/>
      </c>
      <c r="P575" s="140" t="str">
        <f t="shared" si="3"/>
        <v/>
      </c>
      <c r="Q575" s="139" t="str">
        <f t="shared" si="4"/>
        <v/>
      </c>
      <c r="R575" s="139" t="str">
        <f t="shared" si="5"/>
        <v/>
      </c>
      <c r="S575" s="139" t="str">
        <f t="shared" si="6"/>
        <v/>
      </c>
      <c r="T575" s="140" t="str">
        <f t="shared" si="7"/>
        <v/>
      </c>
      <c r="U575" s="136"/>
      <c r="V575" s="136"/>
      <c r="W575" s="136"/>
      <c r="X575" s="136"/>
      <c r="Y575" s="145"/>
      <c r="Z575" s="145"/>
    </row>
    <row r="576">
      <c r="E576" s="136"/>
      <c r="F576" s="136"/>
      <c r="G576" s="136"/>
      <c r="H576" s="137" t="str">
        <f t="shared" si="1"/>
        <v/>
      </c>
      <c r="I576" s="136"/>
      <c r="J576" s="136"/>
      <c r="K576" s="136"/>
      <c r="L576" s="136"/>
      <c r="M576" s="136"/>
      <c r="N576" s="136"/>
      <c r="O576" s="142" t="str">
        <f t="shared" si="2"/>
        <v/>
      </c>
      <c r="P576" s="140" t="str">
        <f t="shared" si="3"/>
        <v/>
      </c>
      <c r="Q576" s="139" t="str">
        <f t="shared" si="4"/>
        <v/>
      </c>
      <c r="R576" s="139" t="str">
        <f t="shared" si="5"/>
        <v/>
      </c>
      <c r="S576" s="139" t="str">
        <f t="shared" si="6"/>
        <v/>
      </c>
      <c r="T576" s="140" t="str">
        <f t="shared" si="7"/>
        <v/>
      </c>
      <c r="U576" s="136"/>
      <c r="V576" s="136"/>
      <c r="W576" s="136"/>
      <c r="X576" s="136"/>
      <c r="Y576" s="145"/>
      <c r="Z576" s="145"/>
    </row>
    <row r="577">
      <c r="E577" s="136"/>
      <c r="F577" s="136"/>
      <c r="G577" s="136"/>
      <c r="H577" s="137" t="str">
        <f t="shared" si="1"/>
        <v/>
      </c>
      <c r="I577" s="136"/>
      <c r="J577" s="136"/>
      <c r="K577" s="136"/>
      <c r="L577" s="136"/>
      <c r="M577" s="136"/>
      <c r="N577" s="136"/>
      <c r="O577" s="142" t="str">
        <f t="shared" si="2"/>
        <v/>
      </c>
      <c r="P577" s="140" t="str">
        <f t="shared" si="3"/>
        <v/>
      </c>
      <c r="Q577" s="139" t="str">
        <f t="shared" si="4"/>
        <v/>
      </c>
      <c r="R577" s="139" t="str">
        <f t="shared" si="5"/>
        <v/>
      </c>
      <c r="S577" s="139" t="str">
        <f t="shared" si="6"/>
        <v/>
      </c>
      <c r="T577" s="140" t="str">
        <f t="shared" si="7"/>
        <v/>
      </c>
      <c r="U577" s="136"/>
      <c r="V577" s="136"/>
      <c r="W577" s="136"/>
      <c r="X577" s="136"/>
      <c r="Y577" s="145"/>
      <c r="Z577" s="145"/>
    </row>
    <row r="578">
      <c r="E578" s="136"/>
      <c r="F578" s="136"/>
      <c r="G578" s="136"/>
      <c r="H578" s="137" t="str">
        <f t="shared" si="1"/>
        <v/>
      </c>
      <c r="I578" s="136"/>
      <c r="J578" s="136"/>
      <c r="K578" s="136"/>
      <c r="L578" s="136"/>
      <c r="M578" s="136"/>
      <c r="N578" s="136"/>
      <c r="O578" s="142" t="str">
        <f t="shared" si="2"/>
        <v/>
      </c>
      <c r="P578" s="140" t="str">
        <f t="shared" si="3"/>
        <v/>
      </c>
      <c r="Q578" s="139" t="str">
        <f t="shared" si="4"/>
        <v/>
      </c>
      <c r="R578" s="139" t="str">
        <f t="shared" si="5"/>
        <v/>
      </c>
      <c r="S578" s="139" t="str">
        <f t="shared" si="6"/>
        <v/>
      </c>
      <c r="T578" s="140" t="str">
        <f t="shared" si="7"/>
        <v/>
      </c>
      <c r="U578" s="136"/>
      <c r="V578" s="136"/>
      <c r="W578" s="136"/>
      <c r="X578" s="136"/>
      <c r="Y578" s="145"/>
      <c r="Z578" s="145"/>
    </row>
    <row r="579">
      <c r="E579" s="136"/>
      <c r="F579" s="136"/>
      <c r="G579" s="136"/>
      <c r="H579" s="137" t="str">
        <f t="shared" si="1"/>
        <v/>
      </c>
      <c r="I579" s="136"/>
      <c r="J579" s="136"/>
      <c r="K579" s="136"/>
      <c r="L579" s="136"/>
      <c r="M579" s="136"/>
      <c r="N579" s="136"/>
      <c r="O579" s="142" t="str">
        <f t="shared" si="2"/>
        <v/>
      </c>
      <c r="P579" s="140" t="str">
        <f t="shared" si="3"/>
        <v/>
      </c>
      <c r="Q579" s="139" t="str">
        <f t="shared" si="4"/>
        <v/>
      </c>
      <c r="R579" s="139" t="str">
        <f t="shared" si="5"/>
        <v/>
      </c>
      <c r="S579" s="139" t="str">
        <f t="shared" si="6"/>
        <v/>
      </c>
      <c r="T579" s="140" t="str">
        <f t="shared" si="7"/>
        <v/>
      </c>
      <c r="U579" s="136"/>
      <c r="V579" s="136"/>
      <c r="W579" s="136"/>
      <c r="X579" s="136"/>
      <c r="Y579" s="145"/>
      <c r="Z579" s="145"/>
    </row>
    <row r="580">
      <c r="E580" s="136"/>
      <c r="F580" s="136"/>
      <c r="G580" s="136"/>
      <c r="H580" s="137" t="str">
        <f t="shared" si="1"/>
        <v/>
      </c>
      <c r="I580" s="136"/>
      <c r="J580" s="136"/>
      <c r="K580" s="136"/>
      <c r="L580" s="136"/>
      <c r="M580" s="136"/>
      <c r="N580" s="136"/>
      <c r="O580" s="142" t="str">
        <f t="shared" si="2"/>
        <v/>
      </c>
      <c r="P580" s="140" t="str">
        <f t="shared" si="3"/>
        <v/>
      </c>
      <c r="Q580" s="139" t="str">
        <f t="shared" si="4"/>
        <v/>
      </c>
      <c r="R580" s="139" t="str">
        <f t="shared" si="5"/>
        <v/>
      </c>
      <c r="S580" s="139" t="str">
        <f t="shared" si="6"/>
        <v/>
      </c>
      <c r="T580" s="140" t="str">
        <f t="shared" si="7"/>
        <v/>
      </c>
      <c r="U580" s="136"/>
      <c r="V580" s="136"/>
      <c r="W580" s="136"/>
      <c r="X580" s="136"/>
      <c r="Y580" s="145"/>
      <c r="Z580" s="145"/>
    </row>
    <row r="581">
      <c r="E581" s="136"/>
      <c r="F581" s="136"/>
      <c r="G581" s="136"/>
      <c r="H581" s="137" t="str">
        <f t="shared" si="1"/>
        <v/>
      </c>
      <c r="I581" s="136"/>
      <c r="J581" s="136"/>
      <c r="K581" s="136"/>
      <c r="L581" s="136"/>
      <c r="M581" s="136"/>
      <c r="N581" s="136"/>
      <c r="O581" s="142" t="str">
        <f t="shared" si="2"/>
        <v/>
      </c>
      <c r="P581" s="140" t="str">
        <f t="shared" si="3"/>
        <v/>
      </c>
      <c r="Q581" s="139" t="str">
        <f t="shared" si="4"/>
        <v/>
      </c>
      <c r="R581" s="139" t="str">
        <f t="shared" si="5"/>
        <v/>
      </c>
      <c r="S581" s="139" t="str">
        <f t="shared" si="6"/>
        <v/>
      </c>
      <c r="T581" s="140" t="str">
        <f t="shared" si="7"/>
        <v/>
      </c>
      <c r="U581" s="136"/>
      <c r="V581" s="136"/>
      <c r="W581" s="136"/>
      <c r="X581" s="136"/>
      <c r="Y581" s="145"/>
      <c r="Z581" s="145"/>
    </row>
    <row r="582">
      <c r="E582" s="136"/>
      <c r="F582" s="136"/>
      <c r="G582" s="136"/>
      <c r="H582" s="137" t="str">
        <f t="shared" si="1"/>
        <v/>
      </c>
      <c r="I582" s="136"/>
      <c r="J582" s="136"/>
      <c r="K582" s="136"/>
      <c r="L582" s="136"/>
      <c r="M582" s="136"/>
      <c r="N582" s="136"/>
      <c r="O582" s="142" t="str">
        <f t="shared" si="2"/>
        <v/>
      </c>
      <c r="P582" s="140" t="str">
        <f t="shared" si="3"/>
        <v/>
      </c>
      <c r="Q582" s="139" t="str">
        <f t="shared" si="4"/>
        <v/>
      </c>
      <c r="R582" s="139" t="str">
        <f t="shared" si="5"/>
        <v/>
      </c>
      <c r="S582" s="139" t="str">
        <f t="shared" si="6"/>
        <v/>
      </c>
      <c r="T582" s="140" t="str">
        <f t="shared" si="7"/>
        <v/>
      </c>
      <c r="U582" s="136"/>
      <c r="V582" s="136"/>
      <c r="W582" s="136"/>
      <c r="X582" s="136"/>
      <c r="Y582" s="145"/>
      <c r="Z582" s="145"/>
    </row>
    <row r="583">
      <c r="E583" s="136"/>
      <c r="F583" s="136"/>
      <c r="G583" s="136"/>
      <c r="H583" s="137" t="str">
        <f t="shared" si="1"/>
        <v/>
      </c>
      <c r="I583" s="136"/>
      <c r="J583" s="136"/>
      <c r="K583" s="136"/>
      <c r="L583" s="136"/>
      <c r="M583" s="136"/>
      <c r="N583" s="136"/>
      <c r="O583" s="142" t="str">
        <f t="shared" si="2"/>
        <v/>
      </c>
      <c r="P583" s="140" t="str">
        <f t="shared" si="3"/>
        <v/>
      </c>
      <c r="Q583" s="139" t="str">
        <f t="shared" si="4"/>
        <v/>
      </c>
      <c r="R583" s="139" t="str">
        <f t="shared" si="5"/>
        <v/>
      </c>
      <c r="S583" s="139" t="str">
        <f t="shared" si="6"/>
        <v/>
      </c>
      <c r="T583" s="140" t="str">
        <f t="shared" si="7"/>
        <v/>
      </c>
      <c r="U583" s="136"/>
      <c r="V583" s="136"/>
      <c r="W583" s="136"/>
      <c r="X583" s="136"/>
      <c r="Y583" s="145"/>
      <c r="Z583" s="145"/>
    </row>
    <row r="584">
      <c r="E584" s="136"/>
      <c r="F584" s="136"/>
      <c r="G584" s="136"/>
      <c r="H584" s="137" t="str">
        <f t="shared" si="1"/>
        <v/>
      </c>
      <c r="I584" s="136"/>
      <c r="J584" s="136"/>
      <c r="K584" s="136"/>
      <c r="L584" s="136"/>
      <c r="M584" s="136"/>
      <c r="N584" s="136"/>
      <c r="O584" s="142" t="str">
        <f t="shared" si="2"/>
        <v/>
      </c>
      <c r="P584" s="140" t="str">
        <f t="shared" si="3"/>
        <v/>
      </c>
      <c r="Q584" s="139" t="str">
        <f t="shared" si="4"/>
        <v/>
      </c>
      <c r="R584" s="139" t="str">
        <f t="shared" si="5"/>
        <v/>
      </c>
      <c r="S584" s="139" t="str">
        <f t="shared" si="6"/>
        <v/>
      </c>
      <c r="T584" s="140" t="str">
        <f t="shared" si="7"/>
        <v/>
      </c>
      <c r="U584" s="136"/>
      <c r="V584" s="136"/>
      <c r="W584" s="136"/>
      <c r="X584" s="136"/>
      <c r="Y584" s="145"/>
      <c r="Z584" s="145"/>
    </row>
    <row r="585">
      <c r="E585" s="136"/>
      <c r="F585" s="136"/>
      <c r="G585" s="136"/>
      <c r="H585" s="137" t="str">
        <f t="shared" si="1"/>
        <v/>
      </c>
      <c r="I585" s="136"/>
      <c r="J585" s="136"/>
      <c r="K585" s="136"/>
      <c r="L585" s="136"/>
      <c r="M585" s="136"/>
      <c r="N585" s="136"/>
      <c r="O585" s="142" t="str">
        <f t="shared" si="2"/>
        <v/>
      </c>
      <c r="P585" s="140" t="str">
        <f t="shared" si="3"/>
        <v/>
      </c>
      <c r="Q585" s="139" t="str">
        <f t="shared" si="4"/>
        <v/>
      </c>
      <c r="R585" s="139" t="str">
        <f t="shared" si="5"/>
        <v/>
      </c>
      <c r="S585" s="139" t="str">
        <f t="shared" si="6"/>
        <v/>
      </c>
      <c r="T585" s="140" t="str">
        <f t="shared" si="7"/>
        <v/>
      </c>
      <c r="U585" s="136"/>
      <c r="V585" s="136"/>
      <c r="W585" s="136"/>
      <c r="X585" s="136"/>
      <c r="Y585" s="145"/>
      <c r="Z585" s="145"/>
    </row>
    <row r="586">
      <c r="E586" s="136"/>
      <c r="F586" s="136"/>
      <c r="G586" s="136"/>
      <c r="H586" s="137" t="str">
        <f t="shared" si="1"/>
        <v/>
      </c>
      <c r="I586" s="136"/>
      <c r="J586" s="136"/>
      <c r="K586" s="136"/>
      <c r="L586" s="136"/>
      <c r="M586" s="136"/>
      <c r="N586" s="136"/>
      <c r="O586" s="142" t="str">
        <f t="shared" si="2"/>
        <v/>
      </c>
      <c r="P586" s="140" t="str">
        <f t="shared" si="3"/>
        <v/>
      </c>
      <c r="Q586" s="139" t="str">
        <f t="shared" si="4"/>
        <v/>
      </c>
      <c r="R586" s="139" t="str">
        <f t="shared" si="5"/>
        <v/>
      </c>
      <c r="S586" s="139" t="str">
        <f t="shared" si="6"/>
        <v/>
      </c>
      <c r="T586" s="140" t="str">
        <f t="shared" si="7"/>
        <v/>
      </c>
      <c r="U586" s="136"/>
      <c r="V586" s="136"/>
      <c r="W586" s="136"/>
      <c r="X586" s="136"/>
      <c r="Y586" s="145"/>
      <c r="Z586" s="145"/>
    </row>
    <row r="587">
      <c r="E587" s="136"/>
      <c r="F587" s="136"/>
      <c r="G587" s="136"/>
      <c r="H587" s="137" t="str">
        <f t="shared" si="1"/>
        <v/>
      </c>
      <c r="I587" s="136"/>
      <c r="J587" s="136"/>
      <c r="K587" s="136"/>
      <c r="L587" s="136"/>
      <c r="M587" s="136"/>
      <c r="N587" s="136"/>
      <c r="O587" s="142" t="str">
        <f t="shared" si="2"/>
        <v/>
      </c>
      <c r="P587" s="140" t="str">
        <f t="shared" si="3"/>
        <v/>
      </c>
      <c r="Q587" s="139" t="str">
        <f t="shared" si="4"/>
        <v/>
      </c>
      <c r="R587" s="139" t="str">
        <f t="shared" si="5"/>
        <v/>
      </c>
      <c r="S587" s="139" t="str">
        <f t="shared" si="6"/>
        <v/>
      </c>
      <c r="T587" s="140" t="str">
        <f t="shared" si="7"/>
        <v/>
      </c>
      <c r="U587" s="136"/>
      <c r="V587" s="136"/>
      <c r="W587" s="136"/>
      <c r="X587" s="136"/>
      <c r="Y587" s="145"/>
      <c r="Z587" s="145"/>
    </row>
    <row r="588">
      <c r="E588" s="136"/>
      <c r="F588" s="136"/>
      <c r="G588" s="136"/>
      <c r="H588" s="137" t="str">
        <f t="shared" si="1"/>
        <v/>
      </c>
      <c r="I588" s="136"/>
      <c r="J588" s="136"/>
      <c r="K588" s="136"/>
      <c r="L588" s="136"/>
      <c r="M588" s="136"/>
      <c r="N588" s="136"/>
      <c r="O588" s="142" t="str">
        <f t="shared" si="2"/>
        <v/>
      </c>
      <c r="P588" s="140" t="str">
        <f t="shared" si="3"/>
        <v/>
      </c>
      <c r="Q588" s="139" t="str">
        <f t="shared" si="4"/>
        <v/>
      </c>
      <c r="R588" s="139" t="str">
        <f t="shared" si="5"/>
        <v/>
      </c>
      <c r="S588" s="139" t="str">
        <f t="shared" si="6"/>
        <v/>
      </c>
      <c r="T588" s="140" t="str">
        <f t="shared" si="7"/>
        <v/>
      </c>
      <c r="U588" s="136"/>
      <c r="V588" s="136"/>
      <c r="W588" s="136"/>
      <c r="X588" s="136"/>
      <c r="Y588" s="145"/>
      <c r="Z588" s="145"/>
    </row>
    <row r="589">
      <c r="E589" s="136"/>
      <c r="F589" s="136"/>
      <c r="G589" s="136"/>
      <c r="H589" s="137" t="str">
        <f t="shared" si="1"/>
        <v/>
      </c>
      <c r="I589" s="136"/>
      <c r="J589" s="136"/>
      <c r="K589" s="136"/>
      <c r="L589" s="136"/>
      <c r="M589" s="136"/>
      <c r="N589" s="136"/>
      <c r="O589" s="142" t="str">
        <f t="shared" si="2"/>
        <v/>
      </c>
      <c r="P589" s="140" t="str">
        <f t="shared" si="3"/>
        <v/>
      </c>
      <c r="Q589" s="139" t="str">
        <f t="shared" si="4"/>
        <v/>
      </c>
      <c r="R589" s="139" t="str">
        <f t="shared" si="5"/>
        <v/>
      </c>
      <c r="S589" s="139" t="str">
        <f t="shared" si="6"/>
        <v/>
      </c>
      <c r="T589" s="140" t="str">
        <f t="shared" si="7"/>
        <v/>
      </c>
      <c r="U589" s="136"/>
      <c r="V589" s="136"/>
      <c r="W589" s="136"/>
      <c r="X589" s="136"/>
      <c r="Y589" s="145"/>
      <c r="Z589" s="145"/>
    </row>
    <row r="590">
      <c r="E590" s="136"/>
      <c r="F590" s="136"/>
      <c r="G590" s="136"/>
      <c r="H590" s="137" t="str">
        <f t="shared" si="1"/>
        <v/>
      </c>
      <c r="I590" s="136"/>
      <c r="J590" s="136"/>
      <c r="K590" s="136"/>
      <c r="L590" s="136"/>
      <c r="M590" s="136"/>
      <c r="N590" s="136"/>
      <c r="O590" s="142" t="str">
        <f t="shared" si="2"/>
        <v/>
      </c>
      <c r="P590" s="140" t="str">
        <f t="shared" si="3"/>
        <v/>
      </c>
      <c r="Q590" s="139" t="str">
        <f t="shared" si="4"/>
        <v/>
      </c>
      <c r="R590" s="139" t="str">
        <f t="shared" si="5"/>
        <v/>
      </c>
      <c r="S590" s="139" t="str">
        <f t="shared" si="6"/>
        <v/>
      </c>
      <c r="T590" s="140" t="str">
        <f t="shared" si="7"/>
        <v/>
      </c>
      <c r="U590" s="136"/>
      <c r="V590" s="136"/>
      <c r="W590" s="136"/>
      <c r="X590" s="136"/>
      <c r="Y590" s="145"/>
      <c r="Z590" s="145"/>
    </row>
    <row r="591">
      <c r="E591" s="136"/>
      <c r="F591" s="136"/>
      <c r="G591" s="136"/>
      <c r="H591" s="137" t="str">
        <f t="shared" si="1"/>
        <v/>
      </c>
      <c r="I591" s="136"/>
      <c r="J591" s="136"/>
      <c r="K591" s="136"/>
      <c r="L591" s="136"/>
      <c r="M591" s="136"/>
      <c r="N591" s="136"/>
      <c r="O591" s="142" t="str">
        <f t="shared" si="2"/>
        <v/>
      </c>
      <c r="P591" s="140" t="str">
        <f t="shared" si="3"/>
        <v/>
      </c>
      <c r="Q591" s="139" t="str">
        <f t="shared" si="4"/>
        <v/>
      </c>
      <c r="R591" s="139" t="str">
        <f t="shared" si="5"/>
        <v/>
      </c>
      <c r="S591" s="139" t="str">
        <f t="shared" si="6"/>
        <v/>
      </c>
      <c r="T591" s="140" t="str">
        <f t="shared" si="7"/>
        <v/>
      </c>
      <c r="U591" s="136"/>
      <c r="V591" s="136"/>
      <c r="W591" s="136"/>
      <c r="X591" s="136"/>
      <c r="Y591" s="145"/>
      <c r="Z591" s="145"/>
    </row>
    <row r="592">
      <c r="E592" s="136"/>
      <c r="F592" s="136"/>
      <c r="G592" s="136"/>
      <c r="H592" s="137" t="str">
        <f t="shared" si="1"/>
        <v/>
      </c>
      <c r="I592" s="136"/>
      <c r="J592" s="136"/>
      <c r="K592" s="136"/>
      <c r="L592" s="136"/>
      <c r="M592" s="136"/>
      <c r="N592" s="136"/>
      <c r="O592" s="142" t="str">
        <f t="shared" si="2"/>
        <v/>
      </c>
      <c r="P592" s="140" t="str">
        <f t="shared" si="3"/>
        <v/>
      </c>
      <c r="Q592" s="139" t="str">
        <f t="shared" si="4"/>
        <v/>
      </c>
      <c r="R592" s="139" t="str">
        <f t="shared" si="5"/>
        <v/>
      </c>
      <c r="S592" s="139" t="str">
        <f t="shared" si="6"/>
        <v/>
      </c>
      <c r="T592" s="140" t="str">
        <f t="shared" si="7"/>
        <v/>
      </c>
      <c r="U592" s="136"/>
      <c r="V592" s="136"/>
      <c r="W592" s="136"/>
      <c r="X592" s="136"/>
      <c r="Y592" s="145"/>
      <c r="Z592" s="145"/>
    </row>
    <row r="593">
      <c r="E593" s="136"/>
      <c r="F593" s="136"/>
      <c r="G593" s="136"/>
      <c r="H593" s="137" t="str">
        <f t="shared" si="1"/>
        <v/>
      </c>
      <c r="I593" s="136"/>
      <c r="J593" s="136"/>
      <c r="K593" s="136"/>
      <c r="L593" s="136"/>
      <c r="M593" s="136"/>
      <c r="N593" s="136"/>
      <c r="O593" s="142" t="str">
        <f t="shared" si="2"/>
        <v/>
      </c>
      <c r="P593" s="140" t="str">
        <f t="shared" si="3"/>
        <v/>
      </c>
      <c r="Q593" s="139" t="str">
        <f t="shared" si="4"/>
        <v/>
      </c>
      <c r="R593" s="139" t="str">
        <f t="shared" si="5"/>
        <v/>
      </c>
      <c r="S593" s="139" t="str">
        <f t="shared" si="6"/>
        <v/>
      </c>
      <c r="T593" s="140" t="str">
        <f t="shared" si="7"/>
        <v/>
      </c>
      <c r="U593" s="136"/>
      <c r="V593" s="136"/>
      <c r="W593" s="136"/>
      <c r="X593" s="136"/>
      <c r="Y593" s="145"/>
      <c r="Z593" s="145"/>
    </row>
    <row r="594">
      <c r="E594" s="136"/>
      <c r="F594" s="136"/>
      <c r="G594" s="136"/>
      <c r="H594" s="137" t="str">
        <f t="shared" si="1"/>
        <v/>
      </c>
      <c r="I594" s="136"/>
      <c r="J594" s="136"/>
      <c r="K594" s="136"/>
      <c r="L594" s="136"/>
      <c r="M594" s="136"/>
      <c r="N594" s="136"/>
      <c r="O594" s="142" t="str">
        <f t="shared" si="2"/>
        <v/>
      </c>
      <c r="P594" s="140" t="str">
        <f t="shared" si="3"/>
        <v/>
      </c>
      <c r="Q594" s="139" t="str">
        <f t="shared" si="4"/>
        <v/>
      </c>
      <c r="R594" s="139" t="str">
        <f t="shared" si="5"/>
        <v/>
      </c>
      <c r="S594" s="139" t="str">
        <f t="shared" si="6"/>
        <v/>
      </c>
      <c r="T594" s="140" t="str">
        <f t="shared" si="7"/>
        <v/>
      </c>
      <c r="U594" s="136"/>
      <c r="V594" s="136"/>
      <c r="W594" s="136"/>
      <c r="X594" s="136"/>
      <c r="Y594" s="145"/>
      <c r="Z594" s="145"/>
    </row>
    <row r="595">
      <c r="E595" s="136"/>
      <c r="F595" s="136"/>
      <c r="G595" s="136"/>
      <c r="H595" s="137" t="str">
        <f t="shared" si="1"/>
        <v/>
      </c>
      <c r="I595" s="136"/>
      <c r="J595" s="136"/>
      <c r="K595" s="136"/>
      <c r="L595" s="136"/>
      <c r="M595" s="136"/>
      <c r="N595" s="136"/>
      <c r="O595" s="142" t="str">
        <f t="shared" si="2"/>
        <v/>
      </c>
      <c r="P595" s="140" t="str">
        <f t="shared" si="3"/>
        <v/>
      </c>
      <c r="Q595" s="139" t="str">
        <f t="shared" si="4"/>
        <v/>
      </c>
      <c r="R595" s="139" t="str">
        <f t="shared" si="5"/>
        <v/>
      </c>
      <c r="S595" s="139" t="str">
        <f t="shared" si="6"/>
        <v/>
      </c>
      <c r="T595" s="140" t="str">
        <f t="shared" si="7"/>
        <v/>
      </c>
      <c r="U595" s="136"/>
      <c r="V595" s="136"/>
      <c r="W595" s="136"/>
      <c r="X595" s="136"/>
      <c r="Y595" s="145"/>
      <c r="Z595" s="145"/>
    </row>
    <row r="596">
      <c r="E596" s="136"/>
      <c r="F596" s="136"/>
      <c r="G596" s="136"/>
      <c r="H596" s="137" t="str">
        <f t="shared" si="1"/>
        <v/>
      </c>
      <c r="I596" s="136"/>
      <c r="J596" s="136"/>
      <c r="K596" s="136"/>
      <c r="L596" s="136"/>
      <c r="M596" s="136"/>
      <c r="N596" s="136"/>
      <c r="O596" s="142" t="str">
        <f t="shared" si="2"/>
        <v/>
      </c>
      <c r="P596" s="140" t="str">
        <f t="shared" si="3"/>
        <v/>
      </c>
      <c r="Q596" s="139" t="str">
        <f t="shared" si="4"/>
        <v/>
      </c>
      <c r="R596" s="139" t="str">
        <f t="shared" si="5"/>
        <v/>
      </c>
      <c r="S596" s="139" t="str">
        <f t="shared" si="6"/>
        <v/>
      </c>
      <c r="T596" s="140" t="str">
        <f t="shared" si="7"/>
        <v/>
      </c>
      <c r="U596" s="136"/>
      <c r="V596" s="136"/>
      <c r="W596" s="136"/>
      <c r="X596" s="136"/>
      <c r="Y596" s="145"/>
      <c r="Z596" s="145"/>
    </row>
    <row r="597">
      <c r="E597" s="136"/>
      <c r="F597" s="136"/>
      <c r="G597" s="136"/>
      <c r="H597" s="137" t="str">
        <f t="shared" si="1"/>
        <v/>
      </c>
      <c r="I597" s="136"/>
      <c r="J597" s="136"/>
      <c r="K597" s="136"/>
      <c r="L597" s="136"/>
      <c r="M597" s="136"/>
      <c r="N597" s="136"/>
      <c r="O597" s="142" t="str">
        <f t="shared" si="2"/>
        <v/>
      </c>
      <c r="P597" s="140" t="str">
        <f t="shared" si="3"/>
        <v/>
      </c>
      <c r="Q597" s="139" t="str">
        <f t="shared" si="4"/>
        <v/>
      </c>
      <c r="R597" s="139" t="str">
        <f t="shared" si="5"/>
        <v/>
      </c>
      <c r="S597" s="139" t="str">
        <f t="shared" si="6"/>
        <v/>
      </c>
      <c r="T597" s="140" t="str">
        <f t="shared" si="7"/>
        <v/>
      </c>
      <c r="U597" s="136"/>
      <c r="V597" s="136"/>
      <c r="W597" s="136"/>
      <c r="X597" s="136"/>
      <c r="Y597" s="145"/>
      <c r="Z597" s="145"/>
    </row>
    <row r="598">
      <c r="E598" s="136"/>
      <c r="F598" s="136"/>
      <c r="G598" s="136"/>
      <c r="H598" s="137" t="str">
        <f t="shared" si="1"/>
        <v/>
      </c>
      <c r="I598" s="136"/>
      <c r="J598" s="136"/>
      <c r="K598" s="136"/>
      <c r="L598" s="136"/>
      <c r="M598" s="136"/>
      <c r="N598" s="136"/>
      <c r="O598" s="142" t="str">
        <f t="shared" si="2"/>
        <v/>
      </c>
      <c r="P598" s="140" t="str">
        <f t="shared" si="3"/>
        <v/>
      </c>
      <c r="Q598" s="139" t="str">
        <f t="shared" si="4"/>
        <v/>
      </c>
      <c r="R598" s="139" t="str">
        <f t="shared" si="5"/>
        <v/>
      </c>
      <c r="S598" s="139" t="str">
        <f t="shared" si="6"/>
        <v/>
      </c>
      <c r="T598" s="140" t="str">
        <f t="shared" si="7"/>
        <v/>
      </c>
      <c r="U598" s="136"/>
      <c r="V598" s="136"/>
      <c r="W598" s="136"/>
      <c r="X598" s="136"/>
      <c r="Y598" s="145"/>
      <c r="Z598" s="145"/>
    </row>
    <row r="599">
      <c r="E599" s="136"/>
      <c r="F599" s="136"/>
      <c r="G599" s="136"/>
      <c r="H599" s="137" t="str">
        <f t="shared" si="1"/>
        <v/>
      </c>
      <c r="I599" s="136"/>
      <c r="J599" s="136"/>
      <c r="K599" s="136"/>
      <c r="L599" s="136"/>
      <c r="M599" s="136"/>
      <c r="N599" s="136"/>
      <c r="O599" s="142" t="str">
        <f t="shared" si="2"/>
        <v/>
      </c>
      <c r="P599" s="140" t="str">
        <f t="shared" si="3"/>
        <v/>
      </c>
      <c r="Q599" s="139" t="str">
        <f t="shared" si="4"/>
        <v/>
      </c>
      <c r="R599" s="139" t="str">
        <f t="shared" si="5"/>
        <v/>
      </c>
      <c r="S599" s="139" t="str">
        <f t="shared" si="6"/>
        <v/>
      </c>
      <c r="T599" s="140" t="str">
        <f t="shared" si="7"/>
        <v/>
      </c>
      <c r="U599" s="136"/>
      <c r="V599" s="136"/>
      <c r="W599" s="136"/>
      <c r="X599" s="136"/>
      <c r="Y599" s="145"/>
      <c r="Z599" s="145"/>
    </row>
    <row r="600">
      <c r="E600" s="136"/>
      <c r="F600" s="136"/>
      <c r="G600" s="136"/>
      <c r="H600" s="137" t="str">
        <f t="shared" si="1"/>
        <v/>
      </c>
      <c r="I600" s="136"/>
      <c r="J600" s="136"/>
      <c r="K600" s="136"/>
      <c r="L600" s="136"/>
      <c r="M600" s="136"/>
      <c r="N600" s="136"/>
      <c r="O600" s="142" t="str">
        <f t="shared" si="2"/>
        <v/>
      </c>
      <c r="P600" s="140" t="str">
        <f t="shared" si="3"/>
        <v/>
      </c>
      <c r="Q600" s="139" t="str">
        <f t="shared" si="4"/>
        <v/>
      </c>
      <c r="R600" s="139" t="str">
        <f t="shared" si="5"/>
        <v/>
      </c>
      <c r="S600" s="139" t="str">
        <f t="shared" si="6"/>
        <v/>
      </c>
      <c r="T600" s="140" t="str">
        <f t="shared" si="7"/>
        <v/>
      </c>
      <c r="U600" s="136"/>
      <c r="V600" s="136"/>
      <c r="W600" s="136"/>
      <c r="X600" s="136"/>
      <c r="Y600" s="145"/>
      <c r="Z600" s="145"/>
    </row>
    <row r="601">
      <c r="E601" s="136"/>
      <c r="F601" s="136"/>
      <c r="G601" s="136"/>
      <c r="H601" s="137" t="str">
        <f t="shared" si="1"/>
        <v/>
      </c>
      <c r="I601" s="136"/>
      <c r="J601" s="136"/>
      <c r="K601" s="136"/>
      <c r="L601" s="136"/>
      <c r="M601" s="136"/>
      <c r="N601" s="136"/>
      <c r="O601" s="142" t="str">
        <f t="shared" si="2"/>
        <v/>
      </c>
      <c r="P601" s="140" t="str">
        <f t="shared" si="3"/>
        <v/>
      </c>
      <c r="Q601" s="139" t="str">
        <f t="shared" si="4"/>
        <v/>
      </c>
      <c r="R601" s="139" t="str">
        <f t="shared" si="5"/>
        <v/>
      </c>
      <c r="S601" s="139" t="str">
        <f t="shared" si="6"/>
        <v/>
      </c>
      <c r="T601" s="140" t="str">
        <f t="shared" si="7"/>
        <v/>
      </c>
      <c r="U601" s="136"/>
      <c r="V601" s="136"/>
      <c r="W601" s="136"/>
      <c r="X601" s="136"/>
      <c r="Y601" s="145"/>
      <c r="Z601" s="145"/>
    </row>
    <row r="602">
      <c r="E602" s="136"/>
      <c r="F602" s="136"/>
      <c r="G602" s="136"/>
      <c r="H602" s="137" t="str">
        <f t="shared" si="1"/>
        <v/>
      </c>
      <c r="I602" s="136"/>
      <c r="J602" s="136"/>
      <c r="K602" s="136"/>
      <c r="L602" s="136"/>
      <c r="M602" s="136"/>
      <c r="N602" s="136"/>
      <c r="O602" s="142" t="str">
        <f t="shared" si="2"/>
        <v/>
      </c>
      <c r="P602" s="140" t="str">
        <f t="shared" si="3"/>
        <v/>
      </c>
      <c r="Q602" s="139" t="str">
        <f t="shared" si="4"/>
        <v/>
      </c>
      <c r="R602" s="139" t="str">
        <f t="shared" si="5"/>
        <v/>
      </c>
      <c r="S602" s="139" t="str">
        <f t="shared" si="6"/>
        <v/>
      </c>
      <c r="T602" s="140" t="str">
        <f t="shared" si="7"/>
        <v/>
      </c>
      <c r="U602" s="136"/>
      <c r="V602" s="136"/>
      <c r="W602" s="136"/>
      <c r="X602" s="136"/>
      <c r="Y602" s="145"/>
      <c r="Z602" s="145"/>
    </row>
    <row r="603">
      <c r="E603" s="136"/>
      <c r="F603" s="136"/>
      <c r="G603" s="136"/>
      <c r="H603" s="137" t="str">
        <f t="shared" si="1"/>
        <v/>
      </c>
      <c r="I603" s="136"/>
      <c r="J603" s="136"/>
      <c r="K603" s="136"/>
      <c r="L603" s="136"/>
      <c r="M603" s="136"/>
      <c r="N603" s="136"/>
      <c r="O603" s="142" t="str">
        <f t="shared" si="2"/>
        <v/>
      </c>
      <c r="P603" s="140" t="str">
        <f t="shared" si="3"/>
        <v/>
      </c>
      <c r="Q603" s="139" t="str">
        <f t="shared" si="4"/>
        <v/>
      </c>
      <c r="R603" s="139" t="str">
        <f t="shared" si="5"/>
        <v/>
      </c>
      <c r="S603" s="139" t="str">
        <f t="shared" si="6"/>
        <v/>
      </c>
      <c r="T603" s="140" t="str">
        <f t="shared" si="7"/>
        <v/>
      </c>
      <c r="U603" s="136"/>
      <c r="V603" s="136"/>
      <c r="W603" s="136"/>
      <c r="X603" s="136"/>
      <c r="Y603" s="145"/>
      <c r="Z603" s="145"/>
    </row>
    <row r="604">
      <c r="E604" s="136"/>
      <c r="F604" s="136"/>
      <c r="G604" s="136"/>
      <c r="H604" s="137" t="str">
        <f t="shared" si="1"/>
        <v/>
      </c>
      <c r="I604" s="136"/>
      <c r="J604" s="136"/>
      <c r="K604" s="136"/>
      <c r="L604" s="136"/>
      <c r="M604" s="136"/>
      <c r="N604" s="136"/>
      <c r="O604" s="142" t="str">
        <f t="shared" si="2"/>
        <v/>
      </c>
      <c r="P604" s="140" t="str">
        <f t="shared" si="3"/>
        <v/>
      </c>
      <c r="Q604" s="139" t="str">
        <f t="shared" si="4"/>
        <v/>
      </c>
      <c r="R604" s="139" t="str">
        <f t="shared" si="5"/>
        <v/>
      </c>
      <c r="S604" s="139" t="str">
        <f t="shared" si="6"/>
        <v/>
      </c>
      <c r="T604" s="140" t="str">
        <f t="shared" si="7"/>
        <v/>
      </c>
      <c r="U604" s="136"/>
      <c r="V604" s="136"/>
      <c r="W604" s="136"/>
      <c r="X604" s="136"/>
      <c r="Y604" s="145"/>
      <c r="Z604" s="145"/>
    </row>
    <row r="605">
      <c r="E605" s="136"/>
      <c r="F605" s="136"/>
      <c r="G605" s="136"/>
      <c r="H605" s="137" t="str">
        <f t="shared" si="1"/>
        <v/>
      </c>
      <c r="I605" s="136"/>
      <c r="J605" s="136"/>
      <c r="K605" s="136"/>
      <c r="L605" s="136"/>
      <c r="M605" s="136"/>
      <c r="N605" s="136"/>
      <c r="O605" s="142" t="str">
        <f t="shared" si="2"/>
        <v/>
      </c>
      <c r="P605" s="140" t="str">
        <f t="shared" si="3"/>
        <v/>
      </c>
      <c r="Q605" s="139" t="str">
        <f t="shared" si="4"/>
        <v/>
      </c>
      <c r="R605" s="139" t="str">
        <f t="shared" si="5"/>
        <v/>
      </c>
      <c r="S605" s="139" t="str">
        <f t="shared" si="6"/>
        <v/>
      </c>
      <c r="T605" s="140" t="str">
        <f t="shared" si="7"/>
        <v/>
      </c>
      <c r="U605" s="136"/>
      <c r="V605" s="136"/>
      <c r="W605" s="136"/>
      <c r="X605" s="136"/>
      <c r="Y605" s="145"/>
      <c r="Z605" s="145"/>
    </row>
    <row r="606">
      <c r="E606" s="136"/>
      <c r="F606" s="136"/>
      <c r="G606" s="136"/>
      <c r="H606" s="137" t="str">
        <f t="shared" si="1"/>
        <v/>
      </c>
      <c r="I606" s="136"/>
      <c r="J606" s="136"/>
      <c r="K606" s="136"/>
      <c r="L606" s="136"/>
      <c r="M606" s="136"/>
      <c r="N606" s="136"/>
      <c r="O606" s="142" t="str">
        <f t="shared" si="2"/>
        <v/>
      </c>
      <c r="P606" s="140" t="str">
        <f t="shared" si="3"/>
        <v/>
      </c>
      <c r="Q606" s="139" t="str">
        <f t="shared" si="4"/>
        <v/>
      </c>
      <c r="R606" s="139" t="str">
        <f t="shared" si="5"/>
        <v/>
      </c>
      <c r="S606" s="139" t="str">
        <f t="shared" si="6"/>
        <v/>
      </c>
      <c r="T606" s="140" t="str">
        <f t="shared" si="7"/>
        <v/>
      </c>
      <c r="U606" s="136"/>
      <c r="V606" s="136"/>
      <c r="W606" s="136"/>
      <c r="X606" s="136"/>
      <c r="Y606" s="145"/>
      <c r="Z606" s="145"/>
    </row>
    <row r="607">
      <c r="E607" s="136"/>
      <c r="F607" s="136"/>
      <c r="G607" s="136"/>
      <c r="H607" s="137" t="str">
        <f t="shared" si="1"/>
        <v/>
      </c>
      <c r="I607" s="136"/>
      <c r="J607" s="136"/>
      <c r="K607" s="136"/>
      <c r="L607" s="136"/>
      <c r="M607" s="136"/>
      <c r="N607" s="136"/>
      <c r="O607" s="142" t="str">
        <f t="shared" si="2"/>
        <v/>
      </c>
      <c r="P607" s="140" t="str">
        <f t="shared" si="3"/>
        <v/>
      </c>
      <c r="Q607" s="139" t="str">
        <f t="shared" si="4"/>
        <v/>
      </c>
      <c r="R607" s="139" t="str">
        <f t="shared" si="5"/>
        <v/>
      </c>
      <c r="S607" s="139" t="str">
        <f t="shared" si="6"/>
        <v/>
      </c>
      <c r="T607" s="140" t="str">
        <f t="shared" si="7"/>
        <v/>
      </c>
      <c r="U607" s="136"/>
      <c r="V607" s="136"/>
      <c r="W607" s="136"/>
      <c r="X607" s="136"/>
      <c r="Y607" s="145"/>
      <c r="Z607" s="145"/>
    </row>
    <row r="608">
      <c r="E608" s="136"/>
      <c r="F608" s="136"/>
      <c r="G608" s="136"/>
      <c r="H608" s="137" t="str">
        <f t="shared" si="1"/>
        <v/>
      </c>
      <c r="I608" s="136"/>
      <c r="J608" s="136"/>
      <c r="K608" s="136"/>
      <c r="L608" s="136"/>
      <c r="M608" s="136"/>
      <c r="N608" s="136"/>
      <c r="O608" s="142" t="str">
        <f t="shared" si="2"/>
        <v/>
      </c>
      <c r="P608" s="140" t="str">
        <f t="shared" si="3"/>
        <v/>
      </c>
      <c r="Q608" s="139" t="str">
        <f t="shared" si="4"/>
        <v/>
      </c>
      <c r="R608" s="139" t="str">
        <f t="shared" si="5"/>
        <v/>
      </c>
      <c r="S608" s="139" t="str">
        <f t="shared" si="6"/>
        <v/>
      </c>
      <c r="T608" s="140" t="str">
        <f t="shared" si="7"/>
        <v/>
      </c>
      <c r="U608" s="136"/>
      <c r="V608" s="136"/>
      <c r="W608" s="136"/>
      <c r="X608" s="136"/>
      <c r="Y608" s="145"/>
      <c r="Z608" s="145"/>
    </row>
    <row r="609">
      <c r="E609" s="136"/>
      <c r="F609" s="136"/>
      <c r="G609" s="136"/>
      <c r="H609" s="137" t="str">
        <f t="shared" si="1"/>
        <v/>
      </c>
      <c r="I609" s="136"/>
      <c r="J609" s="136"/>
      <c r="K609" s="136"/>
      <c r="L609" s="136"/>
      <c r="M609" s="136"/>
      <c r="N609" s="136"/>
      <c r="O609" s="142" t="str">
        <f t="shared" si="2"/>
        <v/>
      </c>
      <c r="P609" s="140" t="str">
        <f t="shared" si="3"/>
        <v/>
      </c>
      <c r="Q609" s="139" t="str">
        <f t="shared" si="4"/>
        <v/>
      </c>
      <c r="R609" s="139" t="str">
        <f t="shared" si="5"/>
        <v/>
      </c>
      <c r="S609" s="139" t="str">
        <f t="shared" si="6"/>
        <v/>
      </c>
      <c r="T609" s="140" t="str">
        <f t="shared" si="7"/>
        <v/>
      </c>
      <c r="U609" s="136"/>
      <c r="V609" s="136"/>
      <c r="W609" s="136"/>
      <c r="X609" s="136"/>
      <c r="Y609" s="145"/>
      <c r="Z609" s="145"/>
    </row>
    <row r="610">
      <c r="E610" s="136"/>
      <c r="F610" s="136"/>
      <c r="G610" s="136"/>
      <c r="H610" s="137" t="str">
        <f t="shared" si="1"/>
        <v/>
      </c>
      <c r="I610" s="136"/>
      <c r="J610" s="136"/>
      <c r="K610" s="136"/>
      <c r="L610" s="136"/>
      <c r="M610" s="136"/>
      <c r="N610" s="136"/>
      <c r="O610" s="142" t="str">
        <f t="shared" si="2"/>
        <v/>
      </c>
      <c r="P610" s="140" t="str">
        <f t="shared" si="3"/>
        <v/>
      </c>
      <c r="Q610" s="139" t="str">
        <f t="shared" si="4"/>
        <v/>
      </c>
      <c r="R610" s="139" t="str">
        <f t="shared" si="5"/>
        <v/>
      </c>
      <c r="S610" s="139" t="str">
        <f t="shared" si="6"/>
        <v/>
      </c>
      <c r="T610" s="140" t="str">
        <f t="shared" si="7"/>
        <v/>
      </c>
      <c r="U610" s="136"/>
      <c r="V610" s="136"/>
      <c r="W610" s="136"/>
      <c r="X610" s="136"/>
      <c r="Y610" s="145"/>
      <c r="Z610" s="145"/>
    </row>
    <row r="611">
      <c r="E611" s="136"/>
      <c r="F611" s="136"/>
      <c r="G611" s="136"/>
      <c r="H611" s="137" t="str">
        <f t="shared" si="1"/>
        <v/>
      </c>
      <c r="I611" s="136"/>
      <c r="J611" s="136"/>
      <c r="K611" s="136"/>
      <c r="L611" s="136"/>
      <c r="M611" s="136"/>
      <c r="N611" s="136"/>
      <c r="O611" s="142" t="str">
        <f t="shared" si="2"/>
        <v/>
      </c>
      <c r="P611" s="140" t="str">
        <f t="shared" si="3"/>
        <v/>
      </c>
      <c r="Q611" s="139" t="str">
        <f t="shared" si="4"/>
        <v/>
      </c>
      <c r="R611" s="139" t="str">
        <f t="shared" si="5"/>
        <v/>
      </c>
      <c r="S611" s="139" t="str">
        <f t="shared" si="6"/>
        <v/>
      </c>
      <c r="T611" s="140" t="str">
        <f t="shared" si="7"/>
        <v/>
      </c>
      <c r="U611" s="136"/>
      <c r="V611" s="136"/>
      <c r="W611" s="136"/>
      <c r="X611" s="136"/>
      <c r="Y611" s="145"/>
      <c r="Z611" s="145"/>
    </row>
    <row r="612">
      <c r="E612" s="136"/>
      <c r="F612" s="136"/>
      <c r="G612" s="136"/>
      <c r="H612" s="137" t="str">
        <f t="shared" si="1"/>
        <v/>
      </c>
      <c r="I612" s="136"/>
      <c r="J612" s="136"/>
      <c r="K612" s="136"/>
      <c r="L612" s="136"/>
      <c r="M612" s="136"/>
      <c r="N612" s="136"/>
      <c r="O612" s="142" t="str">
        <f t="shared" si="2"/>
        <v/>
      </c>
      <c r="P612" s="140" t="str">
        <f t="shared" si="3"/>
        <v/>
      </c>
      <c r="Q612" s="139" t="str">
        <f t="shared" si="4"/>
        <v/>
      </c>
      <c r="R612" s="139" t="str">
        <f t="shared" si="5"/>
        <v/>
      </c>
      <c r="S612" s="139" t="str">
        <f t="shared" si="6"/>
        <v/>
      </c>
      <c r="T612" s="140" t="str">
        <f t="shared" si="7"/>
        <v/>
      </c>
      <c r="U612" s="136"/>
      <c r="V612" s="136"/>
      <c r="W612" s="136"/>
      <c r="X612" s="136"/>
      <c r="Y612" s="145"/>
      <c r="Z612" s="145"/>
    </row>
    <row r="613">
      <c r="E613" s="136"/>
      <c r="F613" s="136"/>
      <c r="G613" s="136"/>
      <c r="H613" s="137" t="str">
        <f t="shared" si="1"/>
        <v/>
      </c>
      <c r="I613" s="136"/>
      <c r="J613" s="136"/>
      <c r="K613" s="136"/>
      <c r="L613" s="136"/>
      <c r="M613" s="136"/>
      <c r="N613" s="136"/>
      <c r="O613" s="142" t="str">
        <f t="shared" si="2"/>
        <v/>
      </c>
      <c r="P613" s="140" t="str">
        <f t="shared" si="3"/>
        <v/>
      </c>
      <c r="Q613" s="139" t="str">
        <f t="shared" si="4"/>
        <v/>
      </c>
      <c r="R613" s="139" t="str">
        <f t="shared" si="5"/>
        <v/>
      </c>
      <c r="S613" s="139" t="str">
        <f t="shared" si="6"/>
        <v/>
      </c>
      <c r="T613" s="140" t="str">
        <f t="shared" si="7"/>
        <v/>
      </c>
      <c r="U613" s="136"/>
      <c r="V613" s="136"/>
      <c r="W613" s="136"/>
      <c r="X613" s="136"/>
      <c r="Y613" s="145"/>
      <c r="Z613" s="145"/>
    </row>
    <row r="614">
      <c r="E614" s="136"/>
      <c r="F614" s="136"/>
      <c r="G614" s="136"/>
      <c r="H614" s="137" t="str">
        <f t="shared" si="1"/>
        <v/>
      </c>
      <c r="I614" s="136"/>
      <c r="J614" s="136"/>
      <c r="K614" s="136"/>
      <c r="L614" s="136"/>
      <c r="M614" s="136"/>
      <c r="N614" s="136"/>
      <c r="O614" s="142" t="str">
        <f t="shared" si="2"/>
        <v/>
      </c>
      <c r="P614" s="140" t="str">
        <f t="shared" si="3"/>
        <v/>
      </c>
      <c r="Q614" s="139" t="str">
        <f t="shared" si="4"/>
        <v/>
      </c>
      <c r="R614" s="139" t="str">
        <f t="shared" si="5"/>
        <v/>
      </c>
      <c r="S614" s="139" t="str">
        <f t="shared" si="6"/>
        <v/>
      </c>
      <c r="T614" s="140" t="str">
        <f t="shared" si="7"/>
        <v/>
      </c>
      <c r="U614" s="136"/>
      <c r="V614" s="136"/>
      <c r="W614" s="136"/>
      <c r="X614" s="136"/>
      <c r="Y614" s="145"/>
      <c r="Z614" s="145"/>
    </row>
    <row r="615">
      <c r="E615" s="136"/>
      <c r="F615" s="136"/>
      <c r="G615" s="136"/>
      <c r="H615" s="137" t="str">
        <f t="shared" si="1"/>
        <v/>
      </c>
      <c r="I615" s="136"/>
      <c r="J615" s="136"/>
      <c r="K615" s="136"/>
      <c r="L615" s="136"/>
      <c r="M615" s="136"/>
      <c r="N615" s="136"/>
      <c r="O615" s="142" t="str">
        <f t="shared" si="2"/>
        <v/>
      </c>
      <c r="P615" s="140" t="str">
        <f t="shared" si="3"/>
        <v/>
      </c>
      <c r="Q615" s="139" t="str">
        <f t="shared" si="4"/>
        <v/>
      </c>
      <c r="R615" s="139" t="str">
        <f t="shared" si="5"/>
        <v/>
      </c>
      <c r="S615" s="139" t="str">
        <f t="shared" si="6"/>
        <v/>
      </c>
      <c r="T615" s="140" t="str">
        <f t="shared" si="7"/>
        <v/>
      </c>
      <c r="U615" s="136"/>
      <c r="V615" s="136"/>
      <c r="W615" s="136"/>
      <c r="X615" s="136"/>
      <c r="Y615" s="145"/>
      <c r="Z615" s="145"/>
    </row>
    <row r="616">
      <c r="E616" s="136"/>
      <c r="F616" s="136"/>
      <c r="G616" s="136"/>
      <c r="H616" s="137" t="str">
        <f t="shared" si="1"/>
        <v/>
      </c>
      <c r="I616" s="136"/>
      <c r="J616" s="136"/>
      <c r="K616" s="136"/>
      <c r="L616" s="136"/>
      <c r="M616" s="136"/>
      <c r="N616" s="136"/>
      <c r="O616" s="142" t="str">
        <f t="shared" si="2"/>
        <v/>
      </c>
      <c r="P616" s="140" t="str">
        <f t="shared" si="3"/>
        <v/>
      </c>
      <c r="Q616" s="139" t="str">
        <f t="shared" si="4"/>
        <v/>
      </c>
      <c r="R616" s="139" t="str">
        <f t="shared" si="5"/>
        <v/>
      </c>
      <c r="S616" s="139" t="str">
        <f t="shared" si="6"/>
        <v/>
      </c>
      <c r="T616" s="140" t="str">
        <f t="shared" si="7"/>
        <v/>
      </c>
      <c r="U616" s="136"/>
      <c r="V616" s="136"/>
      <c r="W616" s="136"/>
      <c r="X616" s="136"/>
      <c r="Y616" s="145"/>
      <c r="Z616" s="145"/>
    </row>
    <row r="617">
      <c r="E617" s="136"/>
      <c r="F617" s="136"/>
      <c r="G617" s="136"/>
      <c r="H617" s="137" t="str">
        <f t="shared" si="1"/>
        <v/>
      </c>
      <c r="I617" s="136"/>
      <c r="J617" s="136"/>
      <c r="K617" s="136"/>
      <c r="L617" s="136"/>
      <c r="M617" s="136"/>
      <c r="N617" s="136"/>
      <c r="O617" s="142" t="str">
        <f t="shared" si="2"/>
        <v/>
      </c>
      <c r="P617" s="140" t="str">
        <f t="shared" si="3"/>
        <v/>
      </c>
      <c r="Q617" s="139" t="str">
        <f t="shared" si="4"/>
        <v/>
      </c>
      <c r="R617" s="139" t="str">
        <f t="shared" si="5"/>
        <v/>
      </c>
      <c r="S617" s="139" t="str">
        <f t="shared" si="6"/>
        <v/>
      </c>
      <c r="T617" s="140" t="str">
        <f t="shared" si="7"/>
        <v/>
      </c>
      <c r="U617" s="136"/>
      <c r="V617" s="136"/>
      <c r="W617" s="136"/>
      <c r="X617" s="136"/>
      <c r="Y617" s="145"/>
      <c r="Z617" s="145"/>
    </row>
    <row r="618">
      <c r="E618" s="136"/>
      <c r="F618" s="136"/>
      <c r="G618" s="136"/>
      <c r="H618" s="137" t="str">
        <f t="shared" si="1"/>
        <v/>
      </c>
      <c r="I618" s="136"/>
      <c r="J618" s="136"/>
      <c r="K618" s="136"/>
      <c r="L618" s="136"/>
      <c r="M618" s="136"/>
      <c r="N618" s="136"/>
      <c r="O618" s="142" t="str">
        <f t="shared" si="2"/>
        <v/>
      </c>
      <c r="P618" s="140" t="str">
        <f t="shared" si="3"/>
        <v/>
      </c>
      <c r="Q618" s="139" t="str">
        <f t="shared" si="4"/>
        <v/>
      </c>
      <c r="R618" s="139" t="str">
        <f t="shared" si="5"/>
        <v/>
      </c>
      <c r="S618" s="139" t="str">
        <f t="shared" si="6"/>
        <v/>
      </c>
      <c r="T618" s="140" t="str">
        <f t="shared" si="7"/>
        <v/>
      </c>
      <c r="U618" s="136"/>
      <c r="V618" s="136"/>
      <c r="W618" s="136"/>
      <c r="X618" s="136"/>
      <c r="Y618" s="145"/>
      <c r="Z618" s="145"/>
    </row>
    <row r="619">
      <c r="E619" s="136"/>
      <c r="F619" s="136"/>
      <c r="G619" s="136"/>
      <c r="H619" s="137" t="str">
        <f t="shared" si="1"/>
        <v/>
      </c>
      <c r="I619" s="136"/>
      <c r="J619" s="136"/>
      <c r="K619" s="136"/>
      <c r="L619" s="136"/>
      <c r="M619" s="136"/>
      <c r="N619" s="136"/>
      <c r="O619" s="142" t="str">
        <f t="shared" si="2"/>
        <v/>
      </c>
      <c r="P619" s="140" t="str">
        <f t="shared" si="3"/>
        <v/>
      </c>
      <c r="Q619" s="139" t="str">
        <f t="shared" si="4"/>
        <v/>
      </c>
      <c r="R619" s="139" t="str">
        <f t="shared" si="5"/>
        <v/>
      </c>
      <c r="S619" s="139" t="str">
        <f t="shared" si="6"/>
        <v/>
      </c>
      <c r="T619" s="140" t="str">
        <f t="shared" si="7"/>
        <v/>
      </c>
      <c r="U619" s="136"/>
      <c r="V619" s="136"/>
      <c r="W619" s="136"/>
      <c r="X619" s="136"/>
      <c r="Y619" s="145"/>
      <c r="Z619" s="145"/>
    </row>
    <row r="620">
      <c r="E620" s="136"/>
      <c r="F620" s="136"/>
      <c r="G620" s="136"/>
      <c r="H620" s="137" t="str">
        <f t="shared" si="1"/>
        <v/>
      </c>
      <c r="I620" s="136"/>
      <c r="J620" s="136"/>
      <c r="K620" s="136"/>
      <c r="L620" s="136"/>
      <c r="M620" s="136"/>
      <c r="N620" s="136"/>
      <c r="O620" s="142" t="str">
        <f t="shared" si="2"/>
        <v/>
      </c>
      <c r="P620" s="140" t="str">
        <f t="shared" si="3"/>
        <v/>
      </c>
      <c r="Q620" s="139" t="str">
        <f t="shared" si="4"/>
        <v/>
      </c>
      <c r="R620" s="139" t="str">
        <f t="shared" si="5"/>
        <v/>
      </c>
      <c r="S620" s="139" t="str">
        <f t="shared" si="6"/>
        <v/>
      </c>
      <c r="T620" s="140" t="str">
        <f t="shared" si="7"/>
        <v/>
      </c>
      <c r="U620" s="136"/>
      <c r="V620" s="136"/>
      <c r="W620" s="136"/>
      <c r="X620" s="136"/>
      <c r="Y620" s="145"/>
      <c r="Z620" s="145"/>
    </row>
    <row r="621">
      <c r="E621" s="136"/>
      <c r="F621" s="136"/>
      <c r="G621" s="136"/>
      <c r="H621" s="137" t="str">
        <f t="shared" si="1"/>
        <v/>
      </c>
      <c r="I621" s="136"/>
      <c r="J621" s="136"/>
      <c r="K621" s="136"/>
      <c r="L621" s="136"/>
      <c r="M621" s="136"/>
      <c r="N621" s="136"/>
      <c r="O621" s="142" t="str">
        <f t="shared" si="2"/>
        <v/>
      </c>
      <c r="P621" s="140" t="str">
        <f t="shared" si="3"/>
        <v/>
      </c>
      <c r="Q621" s="139" t="str">
        <f t="shared" si="4"/>
        <v/>
      </c>
      <c r="R621" s="139" t="str">
        <f t="shared" si="5"/>
        <v/>
      </c>
      <c r="S621" s="139" t="str">
        <f t="shared" si="6"/>
        <v/>
      </c>
      <c r="T621" s="140" t="str">
        <f t="shared" si="7"/>
        <v/>
      </c>
      <c r="U621" s="136"/>
      <c r="V621" s="136"/>
      <c r="W621" s="136"/>
      <c r="X621" s="136"/>
      <c r="Y621" s="145"/>
      <c r="Z621" s="145"/>
    </row>
    <row r="622">
      <c r="E622" s="136"/>
      <c r="F622" s="136"/>
      <c r="G622" s="136"/>
      <c r="H622" s="137" t="str">
        <f t="shared" si="1"/>
        <v/>
      </c>
      <c r="I622" s="136"/>
      <c r="J622" s="136"/>
      <c r="K622" s="136"/>
      <c r="L622" s="136"/>
      <c r="M622" s="136"/>
      <c r="N622" s="136"/>
      <c r="O622" s="142" t="str">
        <f t="shared" si="2"/>
        <v/>
      </c>
      <c r="P622" s="140" t="str">
        <f t="shared" si="3"/>
        <v/>
      </c>
      <c r="Q622" s="139" t="str">
        <f t="shared" si="4"/>
        <v/>
      </c>
      <c r="R622" s="139" t="str">
        <f t="shared" si="5"/>
        <v/>
      </c>
      <c r="S622" s="139" t="str">
        <f t="shared" si="6"/>
        <v/>
      </c>
      <c r="T622" s="140" t="str">
        <f t="shared" si="7"/>
        <v/>
      </c>
      <c r="U622" s="136"/>
      <c r="V622" s="136"/>
      <c r="W622" s="136"/>
      <c r="X622" s="136"/>
      <c r="Y622" s="145"/>
      <c r="Z622" s="145"/>
    </row>
    <row r="623">
      <c r="E623" s="136"/>
      <c r="F623" s="136"/>
      <c r="G623" s="136"/>
      <c r="H623" s="137" t="str">
        <f t="shared" si="1"/>
        <v/>
      </c>
      <c r="I623" s="136"/>
      <c r="J623" s="136"/>
      <c r="K623" s="136"/>
      <c r="L623" s="136"/>
      <c r="M623" s="136"/>
      <c r="N623" s="136"/>
      <c r="O623" s="142" t="str">
        <f t="shared" si="2"/>
        <v/>
      </c>
      <c r="P623" s="140" t="str">
        <f t="shared" si="3"/>
        <v/>
      </c>
      <c r="Q623" s="139" t="str">
        <f t="shared" si="4"/>
        <v/>
      </c>
      <c r="R623" s="139" t="str">
        <f t="shared" si="5"/>
        <v/>
      </c>
      <c r="S623" s="139" t="str">
        <f t="shared" si="6"/>
        <v/>
      </c>
      <c r="T623" s="140" t="str">
        <f t="shared" si="7"/>
        <v/>
      </c>
      <c r="U623" s="136"/>
      <c r="V623" s="136"/>
      <c r="W623" s="136"/>
      <c r="X623" s="136"/>
      <c r="Y623" s="145"/>
      <c r="Z623" s="145"/>
    </row>
    <row r="624">
      <c r="E624" s="136"/>
      <c r="F624" s="136"/>
      <c r="G624" s="136"/>
      <c r="H624" s="137" t="str">
        <f t="shared" si="1"/>
        <v/>
      </c>
      <c r="I624" s="136"/>
      <c r="J624" s="136"/>
      <c r="K624" s="136"/>
      <c r="L624" s="136"/>
      <c r="M624" s="136"/>
      <c r="N624" s="136"/>
      <c r="O624" s="142" t="str">
        <f t="shared" si="2"/>
        <v/>
      </c>
      <c r="P624" s="140" t="str">
        <f t="shared" si="3"/>
        <v/>
      </c>
      <c r="Q624" s="139" t="str">
        <f t="shared" si="4"/>
        <v/>
      </c>
      <c r="R624" s="139" t="str">
        <f t="shared" si="5"/>
        <v/>
      </c>
      <c r="S624" s="139" t="str">
        <f t="shared" si="6"/>
        <v/>
      </c>
      <c r="T624" s="140" t="str">
        <f t="shared" si="7"/>
        <v/>
      </c>
      <c r="U624" s="136"/>
      <c r="V624" s="136"/>
      <c r="W624" s="136"/>
      <c r="X624" s="136"/>
      <c r="Y624" s="145"/>
      <c r="Z624" s="145"/>
    </row>
    <row r="625">
      <c r="E625" s="136"/>
      <c r="F625" s="136"/>
      <c r="G625" s="136"/>
      <c r="H625" s="137" t="str">
        <f t="shared" si="1"/>
        <v/>
      </c>
      <c r="I625" s="136"/>
      <c r="J625" s="136"/>
      <c r="K625" s="136"/>
      <c r="L625" s="136"/>
      <c r="M625" s="136"/>
      <c r="N625" s="136"/>
      <c r="O625" s="142" t="str">
        <f t="shared" si="2"/>
        <v/>
      </c>
      <c r="P625" s="140" t="str">
        <f t="shared" si="3"/>
        <v/>
      </c>
      <c r="Q625" s="139" t="str">
        <f t="shared" si="4"/>
        <v/>
      </c>
      <c r="R625" s="139" t="str">
        <f t="shared" si="5"/>
        <v/>
      </c>
      <c r="S625" s="139" t="str">
        <f t="shared" si="6"/>
        <v/>
      </c>
      <c r="T625" s="140" t="str">
        <f t="shared" si="7"/>
        <v/>
      </c>
      <c r="U625" s="136"/>
      <c r="V625" s="136"/>
      <c r="W625" s="136"/>
      <c r="X625" s="136"/>
      <c r="Y625" s="145"/>
      <c r="Z625" s="145"/>
    </row>
    <row r="626">
      <c r="E626" s="136"/>
      <c r="F626" s="136"/>
      <c r="G626" s="136"/>
      <c r="H626" s="137" t="str">
        <f t="shared" si="1"/>
        <v/>
      </c>
      <c r="I626" s="136"/>
      <c r="J626" s="136"/>
      <c r="K626" s="136"/>
      <c r="L626" s="136"/>
      <c r="M626" s="136"/>
      <c r="N626" s="136"/>
      <c r="O626" s="142" t="str">
        <f t="shared" si="2"/>
        <v/>
      </c>
      <c r="P626" s="140" t="str">
        <f t="shared" si="3"/>
        <v/>
      </c>
      <c r="Q626" s="139" t="str">
        <f t="shared" si="4"/>
        <v/>
      </c>
      <c r="R626" s="139" t="str">
        <f t="shared" si="5"/>
        <v/>
      </c>
      <c r="S626" s="139" t="str">
        <f t="shared" si="6"/>
        <v/>
      </c>
      <c r="T626" s="140" t="str">
        <f t="shared" si="7"/>
        <v/>
      </c>
      <c r="U626" s="136"/>
      <c r="V626" s="136"/>
      <c r="W626" s="136"/>
      <c r="X626" s="136"/>
      <c r="Y626" s="145"/>
      <c r="Z626" s="145"/>
    </row>
    <row r="627">
      <c r="E627" s="136"/>
      <c r="F627" s="136"/>
      <c r="G627" s="136"/>
      <c r="H627" s="137" t="str">
        <f t="shared" si="1"/>
        <v/>
      </c>
      <c r="I627" s="136"/>
      <c r="J627" s="136"/>
      <c r="K627" s="136"/>
      <c r="L627" s="136"/>
      <c r="M627" s="136"/>
      <c r="N627" s="136"/>
      <c r="O627" s="142" t="str">
        <f t="shared" si="2"/>
        <v/>
      </c>
      <c r="P627" s="140" t="str">
        <f t="shared" si="3"/>
        <v/>
      </c>
      <c r="Q627" s="139" t="str">
        <f t="shared" si="4"/>
        <v/>
      </c>
      <c r="R627" s="139" t="str">
        <f t="shared" si="5"/>
        <v/>
      </c>
      <c r="S627" s="139" t="str">
        <f t="shared" si="6"/>
        <v/>
      </c>
      <c r="T627" s="140" t="str">
        <f t="shared" si="7"/>
        <v/>
      </c>
      <c r="U627" s="136"/>
      <c r="V627" s="136"/>
      <c r="W627" s="136"/>
      <c r="X627" s="136"/>
      <c r="Y627" s="145"/>
      <c r="Z627" s="145"/>
    </row>
    <row r="628">
      <c r="E628" s="136"/>
      <c r="F628" s="136"/>
      <c r="G628" s="136"/>
      <c r="H628" s="137" t="str">
        <f t="shared" si="1"/>
        <v/>
      </c>
      <c r="I628" s="136"/>
      <c r="J628" s="136"/>
      <c r="K628" s="136"/>
      <c r="L628" s="136"/>
      <c r="M628" s="136"/>
      <c r="N628" s="136"/>
      <c r="O628" s="142" t="str">
        <f t="shared" si="2"/>
        <v/>
      </c>
      <c r="P628" s="140" t="str">
        <f t="shared" si="3"/>
        <v/>
      </c>
      <c r="Q628" s="139" t="str">
        <f t="shared" si="4"/>
        <v/>
      </c>
      <c r="R628" s="139" t="str">
        <f t="shared" si="5"/>
        <v/>
      </c>
      <c r="S628" s="139" t="str">
        <f t="shared" si="6"/>
        <v/>
      </c>
      <c r="T628" s="140" t="str">
        <f t="shared" si="7"/>
        <v/>
      </c>
      <c r="U628" s="136"/>
      <c r="V628" s="136"/>
      <c r="W628" s="136"/>
      <c r="X628" s="136"/>
      <c r="Y628" s="145"/>
      <c r="Z628" s="145"/>
    </row>
    <row r="629">
      <c r="E629" s="136"/>
      <c r="F629" s="136"/>
      <c r="G629" s="136"/>
      <c r="H629" s="137" t="str">
        <f t="shared" si="1"/>
        <v/>
      </c>
      <c r="I629" s="136"/>
      <c r="J629" s="136"/>
      <c r="K629" s="136"/>
      <c r="L629" s="136"/>
      <c r="M629" s="136"/>
      <c r="N629" s="136"/>
      <c r="O629" s="142" t="str">
        <f t="shared" si="2"/>
        <v/>
      </c>
      <c r="P629" s="140" t="str">
        <f t="shared" si="3"/>
        <v/>
      </c>
      <c r="Q629" s="139" t="str">
        <f t="shared" si="4"/>
        <v/>
      </c>
      <c r="R629" s="139" t="str">
        <f t="shared" si="5"/>
        <v/>
      </c>
      <c r="S629" s="139" t="str">
        <f t="shared" si="6"/>
        <v/>
      </c>
      <c r="T629" s="140" t="str">
        <f t="shared" si="7"/>
        <v/>
      </c>
      <c r="U629" s="136"/>
      <c r="V629" s="136"/>
      <c r="W629" s="136"/>
      <c r="X629" s="136"/>
      <c r="Y629" s="145"/>
      <c r="Z629" s="145"/>
    </row>
    <row r="630">
      <c r="E630" s="136"/>
      <c r="F630" s="136"/>
      <c r="G630" s="136"/>
      <c r="H630" s="137" t="str">
        <f t="shared" si="1"/>
        <v/>
      </c>
      <c r="I630" s="136"/>
      <c r="J630" s="136"/>
      <c r="K630" s="136"/>
      <c r="L630" s="136"/>
      <c r="M630" s="136"/>
      <c r="N630" s="136"/>
      <c r="O630" s="142" t="str">
        <f t="shared" si="2"/>
        <v/>
      </c>
      <c r="P630" s="140" t="str">
        <f t="shared" si="3"/>
        <v/>
      </c>
      <c r="Q630" s="139" t="str">
        <f t="shared" si="4"/>
        <v/>
      </c>
      <c r="R630" s="139" t="str">
        <f t="shared" si="5"/>
        <v/>
      </c>
      <c r="S630" s="139" t="str">
        <f t="shared" si="6"/>
        <v/>
      </c>
      <c r="T630" s="140" t="str">
        <f t="shared" si="7"/>
        <v/>
      </c>
      <c r="U630" s="136"/>
      <c r="V630" s="136"/>
      <c r="W630" s="136"/>
      <c r="X630" s="136"/>
      <c r="Y630" s="145"/>
      <c r="Z630" s="145"/>
    </row>
    <row r="631">
      <c r="E631" s="136"/>
      <c r="F631" s="136"/>
      <c r="G631" s="136"/>
      <c r="H631" s="137" t="str">
        <f t="shared" si="1"/>
        <v/>
      </c>
      <c r="I631" s="136"/>
      <c r="J631" s="136"/>
      <c r="K631" s="136"/>
      <c r="L631" s="136"/>
      <c r="M631" s="136"/>
      <c r="N631" s="136"/>
      <c r="O631" s="142" t="str">
        <f t="shared" si="2"/>
        <v/>
      </c>
      <c r="P631" s="140" t="str">
        <f t="shared" si="3"/>
        <v/>
      </c>
      <c r="Q631" s="139" t="str">
        <f t="shared" si="4"/>
        <v/>
      </c>
      <c r="R631" s="139" t="str">
        <f t="shared" si="5"/>
        <v/>
      </c>
      <c r="S631" s="139" t="str">
        <f t="shared" si="6"/>
        <v/>
      </c>
      <c r="T631" s="140" t="str">
        <f t="shared" si="7"/>
        <v/>
      </c>
      <c r="U631" s="136"/>
      <c r="V631" s="136"/>
      <c r="W631" s="136"/>
      <c r="X631" s="136"/>
      <c r="Y631" s="145"/>
      <c r="Z631" s="145"/>
    </row>
    <row r="632">
      <c r="E632" s="136"/>
      <c r="F632" s="136"/>
      <c r="G632" s="136"/>
      <c r="H632" s="137" t="str">
        <f t="shared" si="1"/>
        <v/>
      </c>
      <c r="I632" s="136"/>
      <c r="J632" s="136"/>
      <c r="K632" s="136"/>
      <c r="L632" s="136"/>
      <c r="M632" s="136"/>
      <c r="N632" s="136"/>
      <c r="O632" s="142" t="str">
        <f t="shared" si="2"/>
        <v/>
      </c>
      <c r="P632" s="140" t="str">
        <f t="shared" si="3"/>
        <v/>
      </c>
      <c r="Q632" s="139" t="str">
        <f t="shared" si="4"/>
        <v/>
      </c>
      <c r="R632" s="139" t="str">
        <f t="shared" si="5"/>
        <v/>
      </c>
      <c r="S632" s="139" t="str">
        <f t="shared" si="6"/>
        <v/>
      </c>
      <c r="T632" s="140" t="str">
        <f t="shared" si="7"/>
        <v/>
      </c>
      <c r="U632" s="136"/>
      <c r="V632" s="136"/>
      <c r="W632" s="136"/>
      <c r="X632" s="136"/>
      <c r="Y632" s="145"/>
      <c r="Z632" s="145"/>
    </row>
    <row r="633">
      <c r="E633" s="136"/>
      <c r="F633" s="136"/>
      <c r="G633" s="136"/>
      <c r="H633" s="137" t="str">
        <f t="shared" si="1"/>
        <v/>
      </c>
      <c r="I633" s="136"/>
      <c r="J633" s="136"/>
      <c r="K633" s="136"/>
      <c r="L633" s="136"/>
      <c r="M633" s="136"/>
      <c r="N633" s="136"/>
      <c r="O633" s="142" t="str">
        <f t="shared" si="2"/>
        <v/>
      </c>
      <c r="P633" s="140" t="str">
        <f t="shared" si="3"/>
        <v/>
      </c>
      <c r="Q633" s="139" t="str">
        <f t="shared" si="4"/>
        <v/>
      </c>
      <c r="R633" s="139" t="str">
        <f t="shared" si="5"/>
        <v/>
      </c>
      <c r="S633" s="139" t="str">
        <f t="shared" si="6"/>
        <v/>
      </c>
      <c r="T633" s="140" t="str">
        <f t="shared" si="7"/>
        <v/>
      </c>
      <c r="U633" s="136"/>
      <c r="V633" s="136"/>
      <c r="W633" s="136"/>
      <c r="X633" s="136"/>
      <c r="Y633" s="145"/>
      <c r="Z633" s="145"/>
    </row>
    <row r="634">
      <c r="E634" s="136"/>
      <c r="F634" s="136"/>
      <c r="G634" s="136"/>
      <c r="H634" s="137" t="str">
        <f t="shared" si="1"/>
        <v/>
      </c>
      <c r="I634" s="136"/>
      <c r="J634" s="136"/>
      <c r="K634" s="136"/>
      <c r="L634" s="136"/>
      <c r="M634" s="136"/>
      <c r="N634" s="136"/>
      <c r="O634" s="142" t="str">
        <f t="shared" si="2"/>
        <v/>
      </c>
      <c r="P634" s="140" t="str">
        <f t="shared" si="3"/>
        <v/>
      </c>
      <c r="Q634" s="139" t="str">
        <f t="shared" si="4"/>
        <v/>
      </c>
      <c r="R634" s="139" t="str">
        <f t="shared" si="5"/>
        <v/>
      </c>
      <c r="S634" s="139" t="str">
        <f t="shared" si="6"/>
        <v/>
      </c>
      <c r="T634" s="140" t="str">
        <f t="shared" si="7"/>
        <v/>
      </c>
      <c r="U634" s="136"/>
      <c r="V634" s="136"/>
      <c r="W634" s="136"/>
      <c r="X634" s="136"/>
      <c r="Y634" s="145"/>
      <c r="Z634" s="145"/>
    </row>
    <row r="635">
      <c r="E635" s="136"/>
      <c r="F635" s="136"/>
      <c r="G635" s="136"/>
      <c r="H635" s="137" t="str">
        <f t="shared" si="1"/>
        <v/>
      </c>
      <c r="I635" s="136"/>
      <c r="J635" s="136"/>
      <c r="K635" s="136"/>
      <c r="L635" s="136"/>
      <c r="M635" s="136"/>
      <c r="N635" s="136"/>
      <c r="O635" s="142" t="str">
        <f t="shared" si="2"/>
        <v/>
      </c>
      <c r="P635" s="140" t="str">
        <f t="shared" si="3"/>
        <v/>
      </c>
      <c r="Q635" s="139" t="str">
        <f t="shared" si="4"/>
        <v/>
      </c>
      <c r="R635" s="139" t="str">
        <f t="shared" si="5"/>
        <v/>
      </c>
      <c r="S635" s="139" t="str">
        <f t="shared" si="6"/>
        <v/>
      </c>
      <c r="T635" s="140" t="str">
        <f t="shared" si="7"/>
        <v/>
      </c>
      <c r="U635" s="136"/>
      <c r="V635" s="136"/>
      <c r="W635" s="136"/>
      <c r="X635" s="136"/>
      <c r="Y635" s="145"/>
      <c r="Z635" s="145"/>
    </row>
    <row r="636">
      <c r="E636" s="136"/>
      <c r="F636" s="136"/>
      <c r="G636" s="136"/>
      <c r="H636" s="137" t="str">
        <f t="shared" si="1"/>
        <v/>
      </c>
      <c r="I636" s="136"/>
      <c r="J636" s="136"/>
      <c r="K636" s="136"/>
      <c r="L636" s="136"/>
      <c r="M636" s="136"/>
      <c r="N636" s="136"/>
      <c r="O636" s="142" t="str">
        <f t="shared" si="2"/>
        <v/>
      </c>
      <c r="P636" s="140" t="str">
        <f t="shared" si="3"/>
        <v/>
      </c>
      <c r="Q636" s="139" t="str">
        <f t="shared" si="4"/>
        <v/>
      </c>
      <c r="R636" s="139" t="str">
        <f t="shared" si="5"/>
        <v/>
      </c>
      <c r="S636" s="139" t="str">
        <f t="shared" si="6"/>
        <v/>
      </c>
      <c r="T636" s="140" t="str">
        <f t="shared" si="7"/>
        <v/>
      </c>
      <c r="U636" s="136"/>
      <c r="V636" s="136"/>
      <c r="W636" s="136"/>
      <c r="X636" s="136"/>
      <c r="Y636" s="145"/>
      <c r="Z636" s="145"/>
    </row>
    <row r="637">
      <c r="E637" s="136"/>
      <c r="F637" s="136"/>
      <c r="G637" s="136"/>
      <c r="H637" s="137" t="str">
        <f t="shared" si="1"/>
        <v/>
      </c>
      <c r="I637" s="136"/>
      <c r="J637" s="136"/>
      <c r="K637" s="136"/>
      <c r="L637" s="136"/>
      <c r="M637" s="136"/>
      <c r="N637" s="136"/>
      <c r="O637" s="142" t="str">
        <f t="shared" si="2"/>
        <v/>
      </c>
      <c r="P637" s="140" t="str">
        <f t="shared" si="3"/>
        <v/>
      </c>
      <c r="Q637" s="139" t="str">
        <f t="shared" si="4"/>
        <v/>
      </c>
      <c r="R637" s="139" t="str">
        <f t="shared" si="5"/>
        <v/>
      </c>
      <c r="S637" s="139" t="str">
        <f t="shared" si="6"/>
        <v/>
      </c>
      <c r="T637" s="140" t="str">
        <f t="shared" si="7"/>
        <v/>
      </c>
      <c r="U637" s="136"/>
      <c r="V637" s="136"/>
      <c r="W637" s="136"/>
      <c r="X637" s="136"/>
      <c r="Y637" s="145"/>
      <c r="Z637" s="145"/>
    </row>
    <row r="638">
      <c r="E638" s="136"/>
      <c r="F638" s="136"/>
      <c r="G638" s="136"/>
      <c r="H638" s="137" t="str">
        <f t="shared" si="1"/>
        <v/>
      </c>
      <c r="I638" s="136"/>
      <c r="J638" s="136"/>
      <c r="K638" s="136"/>
      <c r="L638" s="136"/>
      <c r="M638" s="136"/>
      <c r="N638" s="136"/>
      <c r="O638" s="142" t="str">
        <f t="shared" si="2"/>
        <v/>
      </c>
      <c r="P638" s="140" t="str">
        <f t="shared" si="3"/>
        <v/>
      </c>
      <c r="Q638" s="139" t="str">
        <f t="shared" si="4"/>
        <v/>
      </c>
      <c r="R638" s="139" t="str">
        <f t="shared" si="5"/>
        <v/>
      </c>
      <c r="S638" s="139" t="str">
        <f t="shared" si="6"/>
        <v/>
      </c>
      <c r="T638" s="140" t="str">
        <f t="shared" si="7"/>
        <v/>
      </c>
      <c r="U638" s="136"/>
      <c r="V638" s="136"/>
      <c r="W638" s="136"/>
      <c r="X638" s="136"/>
      <c r="Y638" s="145"/>
      <c r="Z638" s="145"/>
    </row>
    <row r="639">
      <c r="E639" s="136"/>
      <c r="F639" s="136"/>
      <c r="G639" s="136"/>
      <c r="H639" s="137" t="str">
        <f t="shared" si="1"/>
        <v/>
      </c>
      <c r="I639" s="136"/>
      <c r="J639" s="136"/>
      <c r="K639" s="136"/>
      <c r="L639" s="136"/>
      <c r="M639" s="136"/>
      <c r="N639" s="136"/>
      <c r="O639" s="142" t="str">
        <f t="shared" si="2"/>
        <v/>
      </c>
      <c r="P639" s="140" t="str">
        <f t="shared" si="3"/>
        <v/>
      </c>
      <c r="Q639" s="139" t="str">
        <f t="shared" si="4"/>
        <v/>
      </c>
      <c r="R639" s="139" t="str">
        <f t="shared" si="5"/>
        <v/>
      </c>
      <c r="S639" s="139" t="str">
        <f t="shared" si="6"/>
        <v/>
      </c>
      <c r="T639" s="140" t="str">
        <f t="shared" si="7"/>
        <v/>
      </c>
      <c r="U639" s="136"/>
      <c r="V639" s="136"/>
      <c r="W639" s="136"/>
      <c r="X639" s="136"/>
      <c r="Y639" s="145"/>
      <c r="Z639" s="145"/>
    </row>
    <row r="640">
      <c r="E640" s="136"/>
      <c r="F640" s="136"/>
      <c r="G640" s="136"/>
      <c r="H640" s="137" t="str">
        <f t="shared" si="1"/>
        <v/>
      </c>
      <c r="I640" s="136"/>
      <c r="J640" s="136"/>
      <c r="K640" s="136"/>
      <c r="L640" s="136"/>
      <c r="M640" s="136"/>
      <c r="N640" s="136"/>
      <c r="O640" s="142" t="str">
        <f t="shared" si="2"/>
        <v/>
      </c>
      <c r="P640" s="140" t="str">
        <f t="shared" si="3"/>
        <v/>
      </c>
      <c r="Q640" s="139" t="str">
        <f t="shared" si="4"/>
        <v/>
      </c>
      <c r="R640" s="139" t="str">
        <f t="shared" si="5"/>
        <v/>
      </c>
      <c r="S640" s="139" t="str">
        <f t="shared" si="6"/>
        <v/>
      </c>
      <c r="T640" s="140" t="str">
        <f t="shared" si="7"/>
        <v/>
      </c>
      <c r="U640" s="136"/>
      <c r="V640" s="136"/>
      <c r="W640" s="136"/>
      <c r="X640" s="136"/>
      <c r="Y640" s="145"/>
      <c r="Z640" s="145"/>
    </row>
    <row r="641">
      <c r="E641" s="136"/>
      <c r="F641" s="136"/>
      <c r="G641" s="136"/>
      <c r="H641" s="137" t="str">
        <f t="shared" si="1"/>
        <v/>
      </c>
      <c r="I641" s="136"/>
      <c r="J641" s="136"/>
      <c r="K641" s="136"/>
      <c r="L641" s="136"/>
      <c r="M641" s="136"/>
      <c r="N641" s="136"/>
      <c r="O641" s="142" t="str">
        <f t="shared" si="2"/>
        <v/>
      </c>
      <c r="P641" s="140" t="str">
        <f t="shared" si="3"/>
        <v/>
      </c>
      <c r="Q641" s="139" t="str">
        <f t="shared" si="4"/>
        <v/>
      </c>
      <c r="R641" s="139" t="str">
        <f t="shared" si="5"/>
        <v/>
      </c>
      <c r="S641" s="139" t="str">
        <f t="shared" si="6"/>
        <v/>
      </c>
      <c r="T641" s="140" t="str">
        <f t="shared" si="7"/>
        <v/>
      </c>
      <c r="U641" s="136"/>
      <c r="V641" s="136"/>
      <c r="W641" s="136"/>
      <c r="X641" s="136"/>
      <c r="Y641" s="145"/>
      <c r="Z641" s="145"/>
    </row>
    <row r="642">
      <c r="E642" s="136"/>
      <c r="F642" s="136"/>
      <c r="G642" s="136"/>
      <c r="H642" s="137" t="str">
        <f t="shared" si="1"/>
        <v/>
      </c>
      <c r="I642" s="136"/>
      <c r="J642" s="136"/>
      <c r="K642" s="136"/>
      <c r="L642" s="136"/>
      <c r="M642" s="136"/>
      <c r="N642" s="136"/>
      <c r="O642" s="142" t="str">
        <f t="shared" si="2"/>
        <v/>
      </c>
      <c r="P642" s="140" t="str">
        <f t="shared" si="3"/>
        <v/>
      </c>
      <c r="Q642" s="139" t="str">
        <f t="shared" si="4"/>
        <v/>
      </c>
      <c r="R642" s="139" t="str">
        <f t="shared" si="5"/>
        <v/>
      </c>
      <c r="S642" s="139" t="str">
        <f t="shared" si="6"/>
        <v/>
      </c>
      <c r="T642" s="140" t="str">
        <f t="shared" si="7"/>
        <v/>
      </c>
      <c r="U642" s="136"/>
      <c r="V642" s="136"/>
      <c r="W642" s="136"/>
      <c r="X642" s="136"/>
      <c r="Y642" s="145"/>
      <c r="Z642" s="145"/>
    </row>
    <row r="643">
      <c r="E643" s="136"/>
      <c r="F643" s="136"/>
      <c r="G643" s="136"/>
      <c r="H643" s="137" t="str">
        <f t="shared" si="1"/>
        <v/>
      </c>
      <c r="I643" s="136"/>
      <c r="J643" s="136"/>
      <c r="K643" s="136"/>
      <c r="L643" s="136"/>
      <c r="M643" s="136"/>
      <c r="N643" s="136"/>
      <c r="O643" s="142" t="str">
        <f t="shared" si="2"/>
        <v/>
      </c>
      <c r="P643" s="140" t="str">
        <f t="shared" si="3"/>
        <v/>
      </c>
      <c r="Q643" s="139" t="str">
        <f t="shared" si="4"/>
        <v/>
      </c>
      <c r="R643" s="139" t="str">
        <f t="shared" si="5"/>
        <v/>
      </c>
      <c r="S643" s="139" t="str">
        <f t="shared" si="6"/>
        <v/>
      </c>
      <c r="T643" s="140" t="str">
        <f t="shared" si="7"/>
        <v/>
      </c>
      <c r="U643" s="136"/>
      <c r="V643" s="136"/>
      <c r="W643" s="136"/>
      <c r="X643" s="136"/>
      <c r="Y643" s="145"/>
      <c r="Z643" s="145"/>
    </row>
    <row r="644">
      <c r="E644" s="136"/>
      <c r="F644" s="136"/>
      <c r="G644" s="136"/>
      <c r="H644" s="137" t="str">
        <f t="shared" si="1"/>
        <v/>
      </c>
      <c r="I644" s="136"/>
      <c r="J644" s="136"/>
      <c r="K644" s="136"/>
      <c r="L644" s="136"/>
      <c r="M644" s="136"/>
      <c r="N644" s="136"/>
      <c r="O644" s="142" t="str">
        <f t="shared" si="2"/>
        <v/>
      </c>
      <c r="P644" s="140" t="str">
        <f t="shared" si="3"/>
        <v/>
      </c>
      <c r="Q644" s="139" t="str">
        <f t="shared" si="4"/>
        <v/>
      </c>
      <c r="R644" s="139" t="str">
        <f t="shared" si="5"/>
        <v/>
      </c>
      <c r="S644" s="139" t="str">
        <f t="shared" si="6"/>
        <v/>
      </c>
      <c r="T644" s="140" t="str">
        <f t="shared" si="7"/>
        <v/>
      </c>
      <c r="U644" s="136"/>
      <c r="V644" s="136"/>
      <c r="W644" s="136"/>
      <c r="X644" s="136"/>
      <c r="Y644" s="145"/>
      <c r="Z644" s="145"/>
    </row>
    <row r="645">
      <c r="E645" s="136"/>
      <c r="F645" s="136"/>
      <c r="G645" s="136"/>
      <c r="H645" s="137" t="str">
        <f t="shared" si="1"/>
        <v/>
      </c>
      <c r="I645" s="136"/>
      <c r="J645" s="136"/>
      <c r="K645" s="136"/>
      <c r="L645" s="136"/>
      <c r="M645" s="136"/>
      <c r="N645" s="136"/>
      <c r="O645" s="142" t="str">
        <f t="shared" si="2"/>
        <v/>
      </c>
      <c r="P645" s="140" t="str">
        <f t="shared" si="3"/>
        <v/>
      </c>
      <c r="Q645" s="139" t="str">
        <f t="shared" si="4"/>
        <v/>
      </c>
      <c r="R645" s="139" t="str">
        <f t="shared" si="5"/>
        <v/>
      </c>
      <c r="S645" s="139" t="str">
        <f t="shared" si="6"/>
        <v/>
      </c>
      <c r="T645" s="140" t="str">
        <f t="shared" si="7"/>
        <v/>
      </c>
      <c r="U645" s="136"/>
      <c r="V645" s="136"/>
      <c r="W645" s="136"/>
      <c r="X645" s="136"/>
      <c r="Y645" s="145"/>
      <c r="Z645" s="145"/>
    </row>
    <row r="646">
      <c r="E646" s="136"/>
      <c r="F646" s="136"/>
      <c r="G646" s="136"/>
      <c r="H646" s="137" t="str">
        <f t="shared" si="1"/>
        <v/>
      </c>
      <c r="I646" s="136"/>
      <c r="J646" s="136"/>
      <c r="K646" s="136"/>
      <c r="L646" s="136"/>
      <c r="M646" s="136"/>
      <c r="N646" s="136"/>
      <c r="O646" s="142" t="str">
        <f t="shared" si="2"/>
        <v/>
      </c>
      <c r="P646" s="140" t="str">
        <f t="shared" si="3"/>
        <v/>
      </c>
      <c r="Q646" s="139" t="str">
        <f t="shared" si="4"/>
        <v/>
      </c>
      <c r="R646" s="139" t="str">
        <f t="shared" si="5"/>
        <v/>
      </c>
      <c r="S646" s="139" t="str">
        <f t="shared" si="6"/>
        <v/>
      </c>
      <c r="T646" s="140" t="str">
        <f t="shared" si="7"/>
        <v/>
      </c>
      <c r="U646" s="136"/>
      <c r="V646" s="136"/>
      <c r="W646" s="136"/>
      <c r="X646" s="136"/>
      <c r="Y646" s="145"/>
      <c r="Z646" s="145"/>
    </row>
    <row r="647">
      <c r="E647" s="136"/>
      <c r="F647" s="136"/>
      <c r="G647" s="136"/>
      <c r="H647" s="137" t="str">
        <f t="shared" si="1"/>
        <v/>
      </c>
      <c r="I647" s="136"/>
      <c r="J647" s="136"/>
      <c r="K647" s="136"/>
      <c r="L647" s="136"/>
      <c r="M647" s="136"/>
      <c r="N647" s="136"/>
      <c r="O647" s="142" t="str">
        <f t="shared" si="2"/>
        <v/>
      </c>
      <c r="P647" s="140" t="str">
        <f t="shared" si="3"/>
        <v/>
      </c>
      <c r="Q647" s="139" t="str">
        <f t="shared" si="4"/>
        <v/>
      </c>
      <c r="R647" s="139" t="str">
        <f t="shared" si="5"/>
        <v/>
      </c>
      <c r="S647" s="139" t="str">
        <f t="shared" si="6"/>
        <v/>
      </c>
      <c r="T647" s="140" t="str">
        <f t="shared" si="7"/>
        <v/>
      </c>
      <c r="U647" s="136"/>
      <c r="V647" s="136"/>
      <c r="W647" s="136"/>
      <c r="X647" s="136"/>
      <c r="Y647" s="145"/>
      <c r="Z647" s="145"/>
    </row>
    <row r="648">
      <c r="E648" s="136"/>
      <c r="F648" s="136"/>
      <c r="G648" s="136"/>
      <c r="H648" s="137" t="str">
        <f t="shared" si="1"/>
        <v/>
      </c>
      <c r="I648" s="136"/>
      <c r="J648" s="136"/>
      <c r="K648" s="136"/>
      <c r="L648" s="136"/>
      <c r="M648" s="136"/>
      <c r="N648" s="136"/>
      <c r="O648" s="142" t="str">
        <f t="shared" si="2"/>
        <v/>
      </c>
      <c r="P648" s="140" t="str">
        <f t="shared" si="3"/>
        <v/>
      </c>
      <c r="Q648" s="139" t="str">
        <f t="shared" si="4"/>
        <v/>
      </c>
      <c r="R648" s="139" t="str">
        <f t="shared" si="5"/>
        <v/>
      </c>
      <c r="S648" s="139" t="str">
        <f t="shared" si="6"/>
        <v/>
      </c>
      <c r="T648" s="140" t="str">
        <f t="shared" si="7"/>
        <v/>
      </c>
      <c r="U648" s="136"/>
      <c r="V648" s="136"/>
      <c r="W648" s="136"/>
      <c r="X648" s="136"/>
      <c r="Y648" s="145"/>
      <c r="Z648" s="145"/>
    </row>
    <row r="649">
      <c r="E649" s="136"/>
      <c r="F649" s="136"/>
      <c r="G649" s="136"/>
      <c r="H649" s="137" t="str">
        <f t="shared" si="1"/>
        <v/>
      </c>
      <c r="I649" s="136"/>
      <c r="J649" s="136"/>
      <c r="K649" s="136"/>
      <c r="L649" s="136"/>
      <c r="M649" s="136"/>
      <c r="N649" s="136"/>
      <c r="O649" s="142" t="str">
        <f t="shared" si="2"/>
        <v/>
      </c>
      <c r="P649" s="140" t="str">
        <f t="shared" si="3"/>
        <v/>
      </c>
      <c r="Q649" s="139" t="str">
        <f t="shared" si="4"/>
        <v/>
      </c>
      <c r="R649" s="139" t="str">
        <f t="shared" si="5"/>
        <v/>
      </c>
      <c r="S649" s="139" t="str">
        <f t="shared" si="6"/>
        <v/>
      </c>
      <c r="T649" s="140" t="str">
        <f t="shared" si="7"/>
        <v/>
      </c>
      <c r="U649" s="136"/>
      <c r="V649" s="136"/>
      <c r="W649" s="136"/>
      <c r="X649" s="136"/>
      <c r="Y649" s="145"/>
      <c r="Z649" s="145"/>
    </row>
    <row r="650">
      <c r="E650" s="136"/>
      <c r="F650" s="136"/>
      <c r="G650" s="136"/>
      <c r="H650" s="137" t="str">
        <f t="shared" si="1"/>
        <v/>
      </c>
      <c r="I650" s="136"/>
      <c r="J650" s="136"/>
      <c r="K650" s="136"/>
      <c r="L650" s="136"/>
      <c r="M650" s="136"/>
      <c r="N650" s="136"/>
      <c r="O650" s="142" t="str">
        <f t="shared" si="2"/>
        <v/>
      </c>
      <c r="P650" s="140" t="str">
        <f t="shared" si="3"/>
        <v/>
      </c>
      <c r="Q650" s="139" t="str">
        <f t="shared" si="4"/>
        <v/>
      </c>
      <c r="R650" s="139" t="str">
        <f t="shared" si="5"/>
        <v/>
      </c>
      <c r="S650" s="139" t="str">
        <f t="shared" si="6"/>
        <v/>
      </c>
      <c r="T650" s="140" t="str">
        <f t="shared" si="7"/>
        <v/>
      </c>
      <c r="U650" s="136"/>
      <c r="V650" s="136"/>
      <c r="W650" s="136"/>
      <c r="X650" s="136"/>
      <c r="Y650" s="145"/>
      <c r="Z650" s="145"/>
    </row>
    <row r="651">
      <c r="E651" s="136"/>
      <c r="F651" s="136"/>
      <c r="G651" s="136"/>
      <c r="H651" s="137" t="str">
        <f t="shared" si="1"/>
        <v/>
      </c>
      <c r="I651" s="136"/>
      <c r="J651" s="136"/>
      <c r="K651" s="136"/>
      <c r="L651" s="136"/>
      <c r="M651" s="136"/>
      <c r="N651" s="136"/>
      <c r="O651" s="142" t="str">
        <f t="shared" si="2"/>
        <v/>
      </c>
      <c r="P651" s="140" t="str">
        <f t="shared" si="3"/>
        <v/>
      </c>
      <c r="Q651" s="139" t="str">
        <f t="shared" si="4"/>
        <v/>
      </c>
      <c r="R651" s="139" t="str">
        <f t="shared" si="5"/>
        <v/>
      </c>
      <c r="S651" s="139" t="str">
        <f t="shared" si="6"/>
        <v/>
      </c>
      <c r="T651" s="140" t="str">
        <f t="shared" si="7"/>
        <v/>
      </c>
      <c r="U651" s="136"/>
      <c r="V651" s="136"/>
      <c r="W651" s="136"/>
      <c r="X651" s="136"/>
      <c r="Y651" s="145"/>
      <c r="Z651" s="145"/>
    </row>
    <row r="652">
      <c r="E652" s="136"/>
      <c r="F652" s="136"/>
      <c r="G652" s="136"/>
      <c r="H652" s="137" t="str">
        <f t="shared" si="1"/>
        <v/>
      </c>
      <c r="I652" s="136"/>
      <c r="J652" s="136"/>
      <c r="K652" s="136"/>
      <c r="L652" s="136"/>
      <c r="M652" s="136"/>
      <c r="N652" s="136"/>
      <c r="O652" s="142" t="str">
        <f t="shared" si="2"/>
        <v/>
      </c>
      <c r="P652" s="140" t="str">
        <f t="shared" si="3"/>
        <v/>
      </c>
      <c r="Q652" s="139" t="str">
        <f t="shared" si="4"/>
        <v/>
      </c>
      <c r="R652" s="139" t="str">
        <f t="shared" si="5"/>
        <v/>
      </c>
      <c r="S652" s="139" t="str">
        <f t="shared" si="6"/>
        <v/>
      </c>
      <c r="T652" s="140" t="str">
        <f t="shared" si="7"/>
        <v/>
      </c>
      <c r="U652" s="136"/>
      <c r="V652" s="136"/>
      <c r="W652" s="136"/>
      <c r="X652" s="136"/>
      <c r="Y652" s="145"/>
      <c r="Z652" s="145"/>
    </row>
    <row r="653">
      <c r="E653" s="136"/>
      <c r="F653" s="136"/>
      <c r="G653" s="136"/>
      <c r="H653" s="137" t="str">
        <f t="shared" si="1"/>
        <v/>
      </c>
      <c r="I653" s="136"/>
      <c r="J653" s="136"/>
      <c r="K653" s="136"/>
      <c r="L653" s="136"/>
      <c r="M653" s="136"/>
      <c r="N653" s="136"/>
      <c r="O653" s="142" t="str">
        <f t="shared" si="2"/>
        <v/>
      </c>
      <c r="P653" s="140" t="str">
        <f t="shared" si="3"/>
        <v/>
      </c>
      <c r="Q653" s="139" t="str">
        <f t="shared" si="4"/>
        <v/>
      </c>
      <c r="R653" s="139" t="str">
        <f t="shared" si="5"/>
        <v/>
      </c>
      <c r="S653" s="139" t="str">
        <f t="shared" si="6"/>
        <v/>
      </c>
      <c r="T653" s="140" t="str">
        <f t="shared" si="7"/>
        <v/>
      </c>
      <c r="U653" s="136"/>
      <c r="V653" s="136"/>
      <c r="W653" s="136"/>
      <c r="X653" s="136"/>
      <c r="Y653" s="145"/>
      <c r="Z653" s="145"/>
    </row>
    <row r="654">
      <c r="E654" s="136"/>
      <c r="F654" s="136"/>
      <c r="G654" s="136"/>
      <c r="H654" s="137" t="str">
        <f t="shared" si="1"/>
        <v/>
      </c>
      <c r="I654" s="136"/>
      <c r="J654" s="136"/>
      <c r="K654" s="136"/>
      <c r="L654" s="136"/>
      <c r="M654" s="136"/>
      <c r="N654" s="136"/>
      <c r="O654" s="142" t="str">
        <f t="shared" si="2"/>
        <v/>
      </c>
      <c r="P654" s="140" t="str">
        <f t="shared" si="3"/>
        <v/>
      </c>
      <c r="Q654" s="139" t="str">
        <f t="shared" si="4"/>
        <v/>
      </c>
      <c r="R654" s="139" t="str">
        <f t="shared" si="5"/>
        <v/>
      </c>
      <c r="S654" s="139" t="str">
        <f t="shared" si="6"/>
        <v/>
      </c>
      <c r="T654" s="140" t="str">
        <f t="shared" si="7"/>
        <v/>
      </c>
      <c r="U654" s="136"/>
      <c r="V654" s="136"/>
      <c r="W654" s="136"/>
      <c r="X654" s="136"/>
      <c r="Y654" s="145"/>
      <c r="Z654" s="145"/>
    </row>
    <row r="655">
      <c r="E655" s="136"/>
      <c r="F655" s="136"/>
      <c r="G655" s="136"/>
      <c r="H655" s="137" t="str">
        <f t="shared" si="1"/>
        <v/>
      </c>
      <c r="I655" s="136"/>
      <c r="J655" s="136"/>
      <c r="K655" s="136"/>
      <c r="L655" s="136"/>
      <c r="M655" s="136"/>
      <c r="N655" s="136"/>
      <c r="O655" s="142" t="str">
        <f t="shared" si="2"/>
        <v/>
      </c>
      <c r="P655" s="140" t="str">
        <f t="shared" si="3"/>
        <v/>
      </c>
      <c r="Q655" s="139" t="str">
        <f t="shared" si="4"/>
        <v/>
      </c>
      <c r="R655" s="139" t="str">
        <f t="shared" si="5"/>
        <v/>
      </c>
      <c r="S655" s="139" t="str">
        <f t="shared" si="6"/>
        <v/>
      </c>
      <c r="T655" s="140" t="str">
        <f t="shared" si="7"/>
        <v/>
      </c>
      <c r="U655" s="136"/>
      <c r="V655" s="136"/>
      <c r="W655" s="136"/>
      <c r="X655" s="136"/>
      <c r="Y655" s="145"/>
      <c r="Z655" s="145"/>
    </row>
    <row r="656">
      <c r="E656" s="136"/>
      <c r="F656" s="136"/>
      <c r="G656" s="136"/>
      <c r="H656" s="137" t="str">
        <f t="shared" si="1"/>
        <v/>
      </c>
      <c r="I656" s="136"/>
      <c r="J656" s="136"/>
      <c r="K656" s="136"/>
      <c r="L656" s="136"/>
      <c r="M656" s="136"/>
      <c r="N656" s="136"/>
      <c r="O656" s="142" t="str">
        <f t="shared" si="2"/>
        <v/>
      </c>
      <c r="P656" s="140" t="str">
        <f t="shared" si="3"/>
        <v/>
      </c>
      <c r="Q656" s="139" t="str">
        <f t="shared" si="4"/>
        <v/>
      </c>
      <c r="R656" s="139" t="str">
        <f t="shared" si="5"/>
        <v/>
      </c>
      <c r="S656" s="139" t="str">
        <f t="shared" si="6"/>
        <v/>
      </c>
      <c r="T656" s="140" t="str">
        <f t="shared" si="7"/>
        <v/>
      </c>
      <c r="U656" s="136"/>
      <c r="V656" s="136"/>
      <c r="W656" s="136"/>
      <c r="X656" s="136"/>
      <c r="Y656" s="145"/>
      <c r="Z656" s="145"/>
    </row>
    <row r="657">
      <c r="E657" s="136"/>
      <c r="F657" s="136"/>
      <c r="G657" s="136"/>
      <c r="H657" s="137" t="str">
        <f t="shared" si="1"/>
        <v/>
      </c>
      <c r="I657" s="136"/>
      <c r="J657" s="136"/>
      <c r="K657" s="136"/>
      <c r="L657" s="136"/>
      <c r="M657" s="136"/>
      <c r="N657" s="136"/>
      <c r="O657" s="142" t="str">
        <f t="shared" si="2"/>
        <v/>
      </c>
      <c r="P657" s="140" t="str">
        <f t="shared" si="3"/>
        <v/>
      </c>
      <c r="Q657" s="139" t="str">
        <f t="shared" si="4"/>
        <v/>
      </c>
      <c r="R657" s="139" t="str">
        <f t="shared" si="5"/>
        <v/>
      </c>
      <c r="S657" s="139" t="str">
        <f t="shared" si="6"/>
        <v/>
      </c>
      <c r="T657" s="140" t="str">
        <f t="shared" si="7"/>
        <v/>
      </c>
      <c r="U657" s="136"/>
      <c r="V657" s="136"/>
      <c r="W657" s="136"/>
      <c r="X657" s="136"/>
      <c r="Y657" s="145"/>
      <c r="Z657" s="145"/>
    </row>
    <row r="658">
      <c r="E658" s="136"/>
      <c r="F658" s="136"/>
      <c r="G658" s="136"/>
      <c r="H658" s="137" t="str">
        <f t="shared" si="1"/>
        <v/>
      </c>
      <c r="I658" s="136"/>
      <c r="J658" s="136"/>
      <c r="K658" s="136"/>
      <c r="L658" s="136"/>
      <c r="M658" s="136"/>
      <c r="N658" s="136"/>
      <c r="O658" s="142" t="str">
        <f t="shared" si="2"/>
        <v/>
      </c>
      <c r="P658" s="140" t="str">
        <f t="shared" si="3"/>
        <v/>
      </c>
      <c r="Q658" s="139" t="str">
        <f t="shared" si="4"/>
        <v/>
      </c>
      <c r="R658" s="139" t="str">
        <f t="shared" si="5"/>
        <v/>
      </c>
      <c r="S658" s="139" t="str">
        <f t="shared" si="6"/>
        <v/>
      </c>
      <c r="T658" s="140" t="str">
        <f t="shared" si="7"/>
        <v/>
      </c>
      <c r="U658" s="136"/>
      <c r="V658" s="136"/>
      <c r="W658" s="136"/>
      <c r="X658" s="136"/>
      <c r="Y658" s="145"/>
      <c r="Z658" s="145"/>
    </row>
    <row r="659">
      <c r="E659" s="136"/>
      <c r="F659" s="136"/>
      <c r="G659" s="136"/>
      <c r="H659" s="137" t="str">
        <f t="shared" si="1"/>
        <v/>
      </c>
      <c r="I659" s="136"/>
      <c r="J659" s="136"/>
      <c r="K659" s="136"/>
      <c r="L659" s="136"/>
      <c r="M659" s="136"/>
      <c r="N659" s="136"/>
      <c r="O659" s="142" t="str">
        <f t="shared" si="2"/>
        <v/>
      </c>
      <c r="P659" s="140" t="str">
        <f t="shared" si="3"/>
        <v/>
      </c>
      <c r="Q659" s="139" t="str">
        <f t="shared" si="4"/>
        <v/>
      </c>
      <c r="R659" s="139" t="str">
        <f t="shared" si="5"/>
        <v/>
      </c>
      <c r="S659" s="139" t="str">
        <f t="shared" si="6"/>
        <v/>
      </c>
      <c r="T659" s="140" t="str">
        <f t="shared" si="7"/>
        <v/>
      </c>
      <c r="U659" s="136"/>
      <c r="V659" s="136"/>
      <c r="W659" s="136"/>
      <c r="X659" s="136"/>
      <c r="Y659" s="145"/>
      <c r="Z659" s="145"/>
    </row>
    <row r="660">
      <c r="E660" s="136"/>
      <c r="F660" s="136"/>
      <c r="G660" s="136"/>
      <c r="H660" s="137" t="str">
        <f t="shared" si="1"/>
        <v/>
      </c>
      <c r="I660" s="136"/>
      <c r="J660" s="136"/>
      <c r="K660" s="136"/>
      <c r="L660" s="136"/>
      <c r="M660" s="136"/>
      <c r="N660" s="136"/>
      <c r="O660" s="142" t="str">
        <f t="shared" si="2"/>
        <v/>
      </c>
      <c r="P660" s="140" t="str">
        <f t="shared" si="3"/>
        <v/>
      </c>
      <c r="Q660" s="139" t="str">
        <f t="shared" si="4"/>
        <v/>
      </c>
      <c r="R660" s="139" t="str">
        <f t="shared" si="5"/>
        <v/>
      </c>
      <c r="S660" s="139" t="str">
        <f t="shared" si="6"/>
        <v/>
      </c>
      <c r="T660" s="140" t="str">
        <f t="shared" si="7"/>
        <v/>
      </c>
      <c r="U660" s="136"/>
      <c r="V660" s="136"/>
      <c r="W660" s="136"/>
      <c r="X660" s="136"/>
      <c r="Y660" s="145"/>
      <c r="Z660" s="145"/>
    </row>
    <row r="661">
      <c r="E661" s="136"/>
      <c r="F661" s="136"/>
      <c r="G661" s="136"/>
      <c r="H661" s="137" t="str">
        <f t="shared" si="1"/>
        <v/>
      </c>
      <c r="I661" s="136"/>
      <c r="J661" s="136"/>
      <c r="K661" s="136"/>
      <c r="L661" s="136"/>
      <c r="M661" s="136"/>
      <c r="N661" s="136"/>
      <c r="O661" s="142" t="str">
        <f t="shared" si="2"/>
        <v/>
      </c>
      <c r="P661" s="140" t="str">
        <f t="shared" si="3"/>
        <v/>
      </c>
      <c r="Q661" s="139" t="str">
        <f t="shared" si="4"/>
        <v/>
      </c>
      <c r="R661" s="139" t="str">
        <f t="shared" si="5"/>
        <v/>
      </c>
      <c r="S661" s="139" t="str">
        <f t="shared" si="6"/>
        <v/>
      </c>
      <c r="T661" s="140" t="str">
        <f t="shared" si="7"/>
        <v/>
      </c>
      <c r="U661" s="136"/>
      <c r="V661" s="136"/>
      <c r="W661" s="136"/>
      <c r="X661" s="136"/>
      <c r="Y661" s="145"/>
      <c r="Z661" s="145"/>
    </row>
    <row r="662">
      <c r="E662" s="136"/>
      <c r="F662" s="136"/>
      <c r="G662" s="136"/>
      <c r="H662" s="137" t="str">
        <f t="shared" si="1"/>
        <v/>
      </c>
      <c r="I662" s="136"/>
      <c r="J662" s="136"/>
      <c r="K662" s="136"/>
      <c r="L662" s="136"/>
      <c r="M662" s="136"/>
      <c r="N662" s="136"/>
      <c r="O662" s="142" t="str">
        <f t="shared" si="2"/>
        <v/>
      </c>
      <c r="P662" s="140" t="str">
        <f t="shared" si="3"/>
        <v/>
      </c>
      <c r="Q662" s="139" t="str">
        <f t="shared" si="4"/>
        <v/>
      </c>
      <c r="R662" s="139" t="str">
        <f t="shared" si="5"/>
        <v/>
      </c>
      <c r="S662" s="139" t="str">
        <f t="shared" si="6"/>
        <v/>
      </c>
      <c r="T662" s="140" t="str">
        <f t="shared" si="7"/>
        <v/>
      </c>
      <c r="U662" s="136"/>
      <c r="V662" s="136"/>
      <c r="W662" s="136"/>
      <c r="X662" s="136"/>
      <c r="Y662" s="145"/>
      <c r="Z662" s="145"/>
    </row>
    <row r="663">
      <c r="E663" s="136"/>
      <c r="F663" s="136"/>
      <c r="G663" s="136"/>
      <c r="H663" s="137" t="str">
        <f t="shared" si="1"/>
        <v/>
      </c>
      <c r="I663" s="136"/>
      <c r="J663" s="136"/>
      <c r="K663" s="136"/>
      <c r="L663" s="136"/>
      <c r="M663" s="136"/>
      <c r="N663" s="136"/>
      <c r="O663" s="142" t="str">
        <f t="shared" si="2"/>
        <v/>
      </c>
      <c r="P663" s="140" t="str">
        <f t="shared" si="3"/>
        <v/>
      </c>
      <c r="Q663" s="139" t="str">
        <f t="shared" si="4"/>
        <v/>
      </c>
      <c r="R663" s="139" t="str">
        <f t="shared" si="5"/>
        <v/>
      </c>
      <c r="S663" s="139" t="str">
        <f t="shared" si="6"/>
        <v/>
      </c>
      <c r="T663" s="140" t="str">
        <f t="shared" si="7"/>
        <v/>
      </c>
      <c r="U663" s="136"/>
      <c r="V663" s="136"/>
      <c r="W663" s="136"/>
      <c r="X663" s="136"/>
      <c r="Y663" s="145"/>
      <c r="Z663" s="145"/>
    </row>
    <row r="664">
      <c r="E664" s="136"/>
      <c r="F664" s="136"/>
      <c r="G664" s="136"/>
      <c r="H664" s="137" t="str">
        <f t="shared" si="1"/>
        <v/>
      </c>
      <c r="I664" s="136"/>
      <c r="J664" s="136"/>
      <c r="K664" s="136"/>
      <c r="L664" s="136"/>
      <c r="M664" s="136"/>
      <c r="N664" s="136"/>
      <c r="O664" s="142" t="str">
        <f t="shared" si="2"/>
        <v/>
      </c>
      <c r="P664" s="140" t="str">
        <f t="shared" si="3"/>
        <v/>
      </c>
      <c r="Q664" s="139" t="str">
        <f t="shared" si="4"/>
        <v/>
      </c>
      <c r="R664" s="139" t="str">
        <f t="shared" si="5"/>
        <v/>
      </c>
      <c r="S664" s="139" t="str">
        <f t="shared" si="6"/>
        <v/>
      </c>
      <c r="T664" s="140" t="str">
        <f t="shared" si="7"/>
        <v/>
      </c>
      <c r="U664" s="136"/>
      <c r="V664" s="136"/>
      <c r="W664" s="136"/>
      <c r="X664" s="136"/>
      <c r="Y664" s="145"/>
      <c r="Z664" s="145"/>
    </row>
    <row r="665">
      <c r="E665" s="136"/>
      <c r="F665" s="136"/>
      <c r="G665" s="136"/>
      <c r="H665" s="137" t="str">
        <f t="shared" si="1"/>
        <v/>
      </c>
      <c r="I665" s="136"/>
      <c r="J665" s="136"/>
      <c r="K665" s="136"/>
      <c r="L665" s="136"/>
      <c r="M665" s="136"/>
      <c r="N665" s="136"/>
      <c r="O665" s="142" t="str">
        <f t="shared" si="2"/>
        <v/>
      </c>
      <c r="P665" s="140" t="str">
        <f t="shared" si="3"/>
        <v/>
      </c>
      <c r="Q665" s="139" t="str">
        <f t="shared" si="4"/>
        <v/>
      </c>
      <c r="R665" s="139" t="str">
        <f t="shared" si="5"/>
        <v/>
      </c>
      <c r="S665" s="139" t="str">
        <f t="shared" si="6"/>
        <v/>
      </c>
      <c r="T665" s="140" t="str">
        <f t="shared" si="7"/>
        <v/>
      </c>
      <c r="U665" s="136"/>
      <c r="V665" s="136"/>
      <c r="W665" s="136"/>
      <c r="X665" s="136"/>
      <c r="Y665" s="145"/>
      <c r="Z665" s="145"/>
    </row>
    <row r="666">
      <c r="E666" s="136"/>
      <c r="F666" s="136"/>
      <c r="G666" s="136"/>
      <c r="H666" s="137" t="str">
        <f t="shared" si="1"/>
        <v/>
      </c>
      <c r="I666" s="136"/>
      <c r="J666" s="136"/>
      <c r="K666" s="136"/>
      <c r="L666" s="136"/>
      <c r="M666" s="136"/>
      <c r="N666" s="136"/>
      <c r="O666" s="142" t="str">
        <f t="shared" si="2"/>
        <v/>
      </c>
      <c r="P666" s="140" t="str">
        <f t="shared" si="3"/>
        <v/>
      </c>
      <c r="Q666" s="139" t="str">
        <f t="shared" si="4"/>
        <v/>
      </c>
      <c r="R666" s="139" t="str">
        <f t="shared" si="5"/>
        <v/>
      </c>
      <c r="S666" s="139" t="str">
        <f t="shared" si="6"/>
        <v/>
      </c>
      <c r="T666" s="140" t="str">
        <f t="shared" si="7"/>
        <v/>
      </c>
      <c r="U666" s="136"/>
      <c r="V666" s="136"/>
      <c r="W666" s="136"/>
      <c r="X666" s="136"/>
      <c r="Y666" s="145"/>
      <c r="Z666" s="145"/>
    </row>
    <row r="667">
      <c r="E667" s="136"/>
      <c r="F667" s="136"/>
      <c r="G667" s="136"/>
      <c r="H667" s="137" t="str">
        <f t="shared" si="1"/>
        <v/>
      </c>
      <c r="I667" s="136"/>
      <c r="J667" s="136"/>
      <c r="K667" s="136"/>
      <c r="L667" s="136"/>
      <c r="M667" s="136"/>
      <c r="N667" s="136"/>
      <c r="O667" s="142" t="str">
        <f t="shared" si="2"/>
        <v/>
      </c>
      <c r="P667" s="140" t="str">
        <f t="shared" si="3"/>
        <v/>
      </c>
      <c r="Q667" s="139" t="str">
        <f t="shared" si="4"/>
        <v/>
      </c>
      <c r="R667" s="139" t="str">
        <f t="shared" si="5"/>
        <v/>
      </c>
      <c r="S667" s="139" t="str">
        <f t="shared" si="6"/>
        <v/>
      </c>
      <c r="T667" s="140" t="str">
        <f t="shared" si="7"/>
        <v/>
      </c>
      <c r="U667" s="136"/>
      <c r="V667" s="136"/>
      <c r="W667" s="136"/>
      <c r="X667" s="136"/>
      <c r="Y667" s="145"/>
      <c r="Z667" s="145"/>
    </row>
    <row r="668">
      <c r="E668" s="136"/>
      <c r="F668" s="136"/>
      <c r="G668" s="136"/>
      <c r="H668" s="137" t="str">
        <f t="shared" si="1"/>
        <v/>
      </c>
      <c r="I668" s="136"/>
      <c r="J668" s="136"/>
      <c r="K668" s="136"/>
      <c r="L668" s="136"/>
      <c r="M668" s="136"/>
      <c r="N668" s="136"/>
      <c r="O668" s="142" t="str">
        <f t="shared" si="2"/>
        <v/>
      </c>
      <c r="P668" s="140" t="str">
        <f t="shared" si="3"/>
        <v/>
      </c>
      <c r="Q668" s="139" t="str">
        <f t="shared" si="4"/>
        <v/>
      </c>
      <c r="R668" s="139" t="str">
        <f t="shared" si="5"/>
        <v/>
      </c>
      <c r="S668" s="139" t="str">
        <f t="shared" si="6"/>
        <v/>
      </c>
      <c r="T668" s="140" t="str">
        <f t="shared" si="7"/>
        <v/>
      </c>
      <c r="U668" s="136"/>
      <c r="V668" s="136"/>
      <c r="W668" s="136"/>
      <c r="X668" s="136"/>
      <c r="Y668" s="145"/>
      <c r="Z668" s="145"/>
    </row>
    <row r="669">
      <c r="E669" s="136"/>
      <c r="F669" s="136"/>
      <c r="G669" s="136"/>
      <c r="H669" s="137" t="str">
        <f t="shared" si="1"/>
        <v/>
      </c>
      <c r="I669" s="136"/>
      <c r="J669" s="136"/>
      <c r="K669" s="136"/>
      <c r="L669" s="136"/>
      <c r="M669" s="136"/>
      <c r="N669" s="136"/>
      <c r="O669" s="142" t="str">
        <f t="shared" si="2"/>
        <v/>
      </c>
      <c r="P669" s="140" t="str">
        <f t="shared" si="3"/>
        <v/>
      </c>
      <c r="Q669" s="139" t="str">
        <f t="shared" si="4"/>
        <v/>
      </c>
      <c r="R669" s="139" t="str">
        <f t="shared" si="5"/>
        <v/>
      </c>
      <c r="S669" s="139" t="str">
        <f t="shared" si="6"/>
        <v/>
      </c>
      <c r="T669" s="140" t="str">
        <f t="shared" si="7"/>
        <v/>
      </c>
      <c r="U669" s="136"/>
      <c r="V669" s="136"/>
      <c r="W669" s="136"/>
      <c r="X669" s="136"/>
      <c r="Y669" s="145"/>
      <c r="Z669" s="145"/>
    </row>
    <row r="670">
      <c r="E670" s="136"/>
      <c r="F670" s="136"/>
      <c r="G670" s="136"/>
      <c r="H670" s="137" t="str">
        <f t="shared" si="1"/>
        <v/>
      </c>
      <c r="I670" s="136"/>
      <c r="J670" s="136"/>
      <c r="K670" s="136"/>
      <c r="L670" s="136"/>
      <c r="M670" s="136"/>
      <c r="N670" s="136"/>
      <c r="O670" s="142" t="str">
        <f t="shared" si="2"/>
        <v/>
      </c>
      <c r="P670" s="140" t="str">
        <f t="shared" si="3"/>
        <v/>
      </c>
      <c r="Q670" s="139" t="str">
        <f t="shared" si="4"/>
        <v/>
      </c>
      <c r="R670" s="139" t="str">
        <f t="shared" si="5"/>
        <v/>
      </c>
      <c r="S670" s="139" t="str">
        <f t="shared" si="6"/>
        <v/>
      </c>
      <c r="T670" s="140" t="str">
        <f t="shared" si="7"/>
        <v/>
      </c>
      <c r="U670" s="136"/>
      <c r="V670" s="136"/>
      <c r="W670" s="136"/>
      <c r="X670" s="136"/>
      <c r="Y670" s="145"/>
      <c r="Z670" s="145"/>
    </row>
    <row r="671">
      <c r="E671" s="136"/>
      <c r="F671" s="136"/>
      <c r="G671" s="136"/>
      <c r="H671" s="137" t="str">
        <f t="shared" si="1"/>
        <v/>
      </c>
      <c r="I671" s="136"/>
      <c r="J671" s="136"/>
      <c r="K671" s="136"/>
      <c r="L671" s="136"/>
      <c r="M671" s="136"/>
      <c r="N671" s="136"/>
      <c r="O671" s="142" t="str">
        <f t="shared" si="2"/>
        <v/>
      </c>
      <c r="P671" s="140" t="str">
        <f t="shared" si="3"/>
        <v/>
      </c>
      <c r="Q671" s="139" t="str">
        <f t="shared" si="4"/>
        <v/>
      </c>
      <c r="R671" s="139" t="str">
        <f t="shared" si="5"/>
        <v/>
      </c>
      <c r="S671" s="139" t="str">
        <f t="shared" si="6"/>
        <v/>
      </c>
      <c r="T671" s="140" t="str">
        <f t="shared" si="7"/>
        <v/>
      </c>
      <c r="U671" s="136"/>
      <c r="V671" s="136"/>
      <c r="W671" s="136"/>
      <c r="X671" s="136"/>
      <c r="Y671" s="145"/>
      <c r="Z671" s="145"/>
    </row>
    <row r="672">
      <c r="E672" s="136"/>
      <c r="F672" s="136"/>
      <c r="G672" s="136"/>
      <c r="H672" s="137" t="str">
        <f t="shared" si="1"/>
        <v/>
      </c>
      <c r="I672" s="136"/>
      <c r="J672" s="136"/>
      <c r="K672" s="136"/>
      <c r="L672" s="136"/>
      <c r="M672" s="136"/>
      <c r="N672" s="136"/>
      <c r="O672" s="142" t="str">
        <f t="shared" si="2"/>
        <v/>
      </c>
      <c r="P672" s="140" t="str">
        <f t="shared" si="3"/>
        <v/>
      </c>
      <c r="Q672" s="139" t="str">
        <f t="shared" si="4"/>
        <v/>
      </c>
      <c r="R672" s="139" t="str">
        <f t="shared" si="5"/>
        <v/>
      </c>
      <c r="S672" s="139" t="str">
        <f t="shared" si="6"/>
        <v/>
      </c>
      <c r="T672" s="140" t="str">
        <f t="shared" si="7"/>
        <v/>
      </c>
      <c r="U672" s="136"/>
      <c r="V672" s="136"/>
      <c r="W672" s="136"/>
      <c r="X672" s="136"/>
      <c r="Y672" s="145"/>
      <c r="Z672" s="145"/>
    </row>
    <row r="673">
      <c r="E673" s="136"/>
      <c r="F673" s="136"/>
      <c r="G673" s="136"/>
      <c r="H673" s="137" t="str">
        <f t="shared" si="1"/>
        <v/>
      </c>
      <c r="I673" s="136"/>
      <c r="J673" s="136"/>
      <c r="K673" s="136"/>
      <c r="L673" s="136"/>
      <c r="M673" s="136"/>
      <c r="N673" s="136"/>
      <c r="O673" s="142" t="str">
        <f t="shared" si="2"/>
        <v/>
      </c>
      <c r="P673" s="140" t="str">
        <f t="shared" si="3"/>
        <v/>
      </c>
      <c r="Q673" s="139" t="str">
        <f t="shared" si="4"/>
        <v/>
      </c>
      <c r="R673" s="139" t="str">
        <f t="shared" si="5"/>
        <v/>
      </c>
      <c r="S673" s="139" t="str">
        <f t="shared" si="6"/>
        <v/>
      </c>
      <c r="T673" s="140" t="str">
        <f t="shared" si="7"/>
        <v/>
      </c>
      <c r="U673" s="136"/>
      <c r="V673" s="136"/>
      <c r="W673" s="136"/>
      <c r="X673" s="136"/>
      <c r="Y673" s="145"/>
      <c r="Z673" s="145"/>
    </row>
    <row r="674">
      <c r="E674" s="136"/>
      <c r="F674" s="136"/>
      <c r="G674" s="136"/>
      <c r="H674" s="137" t="str">
        <f t="shared" si="1"/>
        <v/>
      </c>
      <c r="I674" s="136"/>
      <c r="J674" s="136"/>
      <c r="K674" s="136"/>
      <c r="L674" s="136"/>
      <c r="M674" s="136"/>
      <c r="N674" s="136"/>
      <c r="O674" s="142" t="str">
        <f t="shared" si="2"/>
        <v/>
      </c>
      <c r="P674" s="140" t="str">
        <f t="shared" si="3"/>
        <v/>
      </c>
      <c r="Q674" s="139" t="str">
        <f t="shared" si="4"/>
        <v/>
      </c>
      <c r="R674" s="139" t="str">
        <f t="shared" si="5"/>
        <v/>
      </c>
      <c r="S674" s="139" t="str">
        <f t="shared" si="6"/>
        <v/>
      </c>
      <c r="T674" s="140" t="str">
        <f t="shared" si="7"/>
        <v/>
      </c>
      <c r="U674" s="136"/>
      <c r="V674" s="136"/>
      <c r="W674" s="136"/>
      <c r="X674" s="136"/>
      <c r="Y674" s="145"/>
      <c r="Z674" s="145"/>
    </row>
    <row r="675">
      <c r="E675" s="136"/>
      <c r="F675" s="136"/>
      <c r="G675" s="136"/>
      <c r="H675" s="137" t="str">
        <f t="shared" si="1"/>
        <v/>
      </c>
      <c r="I675" s="136"/>
      <c r="J675" s="136"/>
      <c r="K675" s="136"/>
      <c r="L675" s="136"/>
      <c r="M675" s="136"/>
      <c r="N675" s="136"/>
      <c r="O675" s="142" t="str">
        <f t="shared" si="2"/>
        <v/>
      </c>
      <c r="P675" s="140" t="str">
        <f t="shared" si="3"/>
        <v/>
      </c>
      <c r="Q675" s="139" t="str">
        <f t="shared" si="4"/>
        <v/>
      </c>
      <c r="R675" s="139" t="str">
        <f t="shared" si="5"/>
        <v/>
      </c>
      <c r="S675" s="139" t="str">
        <f t="shared" si="6"/>
        <v/>
      </c>
      <c r="T675" s="140" t="str">
        <f t="shared" si="7"/>
        <v/>
      </c>
      <c r="U675" s="136"/>
      <c r="V675" s="136"/>
      <c r="W675" s="136"/>
      <c r="X675" s="136"/>
      <c r="Y675" s="145"/>
      <c r="Z675" s="145"/>
    </row>
    <row r="676">
      <c r="E676" s="136"/>
      <c r="F676" s="136"/>
      <c r="G676" s="136"/>
      <c r="H676" s="137" t="str">
        <f t="shared" si="1"/>
        <v/>
      </c>
      <c r="I676" s="136"/>
      <c r="J676" s="136"/>
      <c r="K676" s="136"/>
      <c r="L676" s="136"/>
      <c r="M676" s="136"/>
      <c r="N676" s="136"/>
      <c r="O676" s="142" t="str">
        <f t="shared" si="2"/>
        <v/>
      </c>
      <c r="P676" s="140" t="str">
        <f t="shared" si="3"/>
        <v/>
      </c>
      <c r="Q676" s="139" t="str">
        <f t="shared" si="4"/>
        <v/>
      </c>
      <c r="R676" s="139" t="str">
        <f t="shared" si="5"/>
        <v/>
      </c>
      <c r="S676" s="139" t="str">
        <f t="shared" si="6"/>
        <v/>
      </c>
      <c r="T676" s="140" t="str">
        <f t="shared" si="7"/>
        <v/>
      </c>
      <c r="U676" s="136"/>
      <c r="V676" s="136"/>
      <c r="W676" s="136"/>
      <c r="X676" s="136"/>
      <c r="Y676" s="145"/>
      <c r="Z676" s="145"/>
    </row>
    <row r="677">
      <c r="E677" s="136"/>
      <c r="F677" s="136"/>
      <c r="G677" s="136"/>
      <c r="H677" s="137" t="str">
        <f t="shared" si="1"/>
        <v/>
      </c>
      <c r="I677" s="136"/>
      <c r="J677" s="136"/>
      <c r="K677" s="136"/>
      <c r="L677" s="136"/>
      <c r="M677" s="136"/>
      <c r="N677" s="136"/>
      <c r="O677" s="142" t="str">
        <f t="shared" si="2"/>
        <v/>
      </c>
      <c r="P677" s="140" t="str">
        <f t="shared" si="3"/>
        <v/>
      </c>
      <c r="Q677" s="139" t="str">
        <f t="shared" si="4"/>
        <v/>
      </c>
      <c r="R677" s="139" t="str">
        <f t="shared" si="5"/>
        <v/>
      </c>
      <c r="S677" s="139" t="str">
        <f t="shared" si="6"/>
        <v/>
      </c>
      <c r="T677" s="140" t="str">
        <f t="shared" si="7"/>
        <v/>
      </c>
      <c r="U677" s="136"/>
      <c r="V677" s="136"/>
      <c r="W677" s="136"/>
      <c r="X677" s="136"/>
      <c r="Y677" s="145"/>
      <c r="Z677" s="145"/>
    </row>
    <row r="678">
      <c r="E678" s="136"/>
      <c r="F678" s="136"/>
      <c r="G678" s="136"/>
      <c r="H678" s="137" t="str">
        <f t="shared" si="1"/>
        <v/>
      </c>
      <c r="I678" s="136"/>
      <c r="J678" s="136"/>
      <c r="K678" s="136"/>
      <c r="L678" s="136"/>
      <c r="M678" s="136"/>
      <c r="N678" s="136"/>
      <c r="O678" s="142" t="str">
        <f t="shared" si="2"/>
        <v/>
      </c>
      <c r="P678" s="140" t="str">
        <f t="shared" si="3"/>
        <v/>
      </c>
      <c r="Q678" s="139" t="str">
        <f t="shared" si="4"/>
        <v/>
      </c>
      <c r="R678" s="139" t="str">
        <f t="shared" si="5"/>
        <v/>
      </c>
      <c r="S678" s="139" t="str">
        <f t="shared" si="6"/>
        <v/>
      </c>
      <c r="T678" s="140" t="str">
        <f t="shared" si="7"/>
        <v/>
      </c>
      <c r="U678" s="136"/>
      <c r="V678" s="136"/>
      <c r="W678" s="136"/>
      <c r="X678" s="136"/>
      <c r="Y678" s="145"/>
      <c r="Z678" s="145"/>
    </row>
    <row r="679">
      <c r="E679" s="136"/>
      <c r="F679" s="136"/>
      <c r="G679" s="136"/>
      <c r="H679" s="137" t="str">
        <f t="shared" si="1"/>
        <v/>
      </c>
      <c r="I679" s="136"/>
      <c r="J679" s="136"/>
      <c r="K679" s="136"/>
      <c r="L679" s="136"/>
      <c r="M679" s="136"/>
      <c r="N679" s="136"/>
      <c r="O679" s="142" t="str">
        <f t="shared" si="2"/>
        <v/>
      </c>
      <c r="P679" s="140" t="str">
        <f t="shared" si="3"/>
        <v/>
      </c>
      <c r="Q679" s="139" t="str">
        <f t="shared" si="4"/>
        <v/>
      </c>
      <c r="R679" s="139" t="str">
        <f t="shared" si="5"/>
        <v/>
      </c>
      <c r="S679" s="139" t="str">
        <f t="shared" si="6"/>
        <v/>
      </c>
      <c r="T679" s="140" t="str">
        <f t="shared" si="7"/>
        <v/>
      </c>
      <c r="U679" s="136"/>
      <c r="V679" s="136"/>
      <c r="W679" s="136"/>
      <c r="X679" s="136"/>
      <c r="Y679" s="145"/>
      <c r="Z679" s="145"/>
    </row>
    <row r="680">
      <c r="E680" s="136"/>
      <c r="F680" s="136"/>
      <c r="G680" s="136"/>
      <c r="H680" s="137" t="str">
        <f t="shared" si="1"/>
        <v/>
      </c>
      <c r="I680" s="136"/>
      <c r="J680" s="136"/>
      <c r="K680" s="136"/>
      <c r="L680" s="136"/>
      <c r="M680" s="136"/>
      <c r="N680" s="136"/>
      <c r="O680" s="142" t="str">
        <f t="shared" si="2"/>
        <v/>
      </c>
      <c r="P680" s="140" t="str">
        <f t="shared" si="3"/>
        <v/>
      </c>
      <c r="Q680" s="139" t="str">
        <f t="shared" si="4"/>
        <v/>
      </c>
      <c r="R680" s="139" t="str">
        <f t="shared" si="5"/>
        <v/>
      </c>
      <c r="S680" s="139" t="str">
        <f t="shared" si="6"/>
        <v/>
      </c>
      <c r="T680" s="140" t="str">
        <f t="shared" si="7"/>
        <v/>
      </c>
      <c r="U680" s="136"/>
      <c r="V680" s="136"/>
      <c r="W680" s="136"/>
      <c r="X680" s="136"/>
      <c r="Y680" s="145"/>
      <c r="Z680" s="145"/>
    </row>
    <row r="681">
      <c r="E681" s="136"/>
      <c r="F681" s="136"/>
      <c r="G681" s="136"/>
      <c r="H681" s="137" t="str">
        <f t="shared" si="1"/>
        <v/>
      </c>
      <c r="I681" s="136"/>
      <c r="J681" s="136"/>
      <c r="K681" s="136"/>
      <c r="L681" s="136"/>
      <c r="M681" s="136"/>
      <c r="N681" s="136"/>
      <c r="O681" s="142" t="str">
        <f t="shared" si="2"/>
        <v/>
      </c>
      <c r="P681" s="140" t="str">
        <f t="shared" si="3"/>
        <v/>
      </c>
      <c r="Q681" s="139" t="str">
        <f t="shared" si="4"/>
        <v/>
      </c>
      <c r="R681" s="139" t="str">
        <f t="shared" si="5"/>
        <v/>
      </c>
      <c r="S681" s="139" t="str">
        <f t="shared" si="6"/>
        <v/>
      </c>
      <c r="T681" s="140" t="str">
        <f t="shared" si="7"/>
        <v/>
      </c>
      <c r="U681" s="136"/>
      <c r="V681" s="136"/>
      <c r="W681" s="136"/>
      <c r="X681" s="136"/>
      <c r="Y681" s="145"/>
      <c r="Z681" s="145"/>
    </row>
    <row r="682">
      <c r="E682" s="136"/>
      <c r="F682" s="136"/>
      <c r="G682" s="136"/>
      <c r="H682" s="137" t="str">
        <f t="shared" si="1"/>
        <v/>
      </c>
      <c r="I682" s="136"/>
      <c r="J682" s="136"/>
      <c r="K682" s="136"/>
      <c r="L682" s="136"/>
      <c r="M682" s="136"/>
      <c r="N682" s="136"/>
      <c r="O682" s="142" t="str">
        <f t="shared" si="2"/>
        <v/>
      </c>
      <c r="P682" s="140" t="str">
        <f t="shared" si="3"/>
        <v/>
      </c>
      <c r="Q682" s="139" t="str">
        <f t="shared" si="4"/>
        <v/>
      </c>
      <c r="R682" s="139" t="str">
        <f t="shared" si="5"/>
        <v/>
      </c>
      <c r="S682" s="139" t="str">
        <f t="shared" si="6"/>
        <v/>
      </c>
      <c r="T682" s="140" t="str">
        <f t="shared" si="7"/>
        <v/>
      </c>
      <c r="U682" s="136"/>
      <c r="V682" s="136"/>
      <c r="W682" s="136"/>
      <c r="X682" s="136"/>
      <c r="Y682" s="145"/>
      <c r="Z682" s="145"/>
    </row>
    <row r="683">
      <c r="E683" s="136"/>
      <c r="F683" s="136"/>
      <c r="G683" s="136"/>
      <c r="H683" s="137" t="str">
        <f t="shared" si="1"/>
        <v/>
      </c>
      <c r="I683" s="136"/>
      <c r="J683" s="136"/>
      <c r="K683" s="136"/>
      <c r="L683" s="136"/>
      <c r="M683" s="136"/>
      <c r="N683" s="136"/>
      <c r="O683" s="142" t="str">
        <f t="shared" si="2"/>
        <v/>
      </c>
      <c r="P683" s="140" t="str">
        <f t="shared" si="3"/>
        <v/>
      </c>
      <c r="Q683" s="139" t="str">
        <f t="shared" si="4"/>
        <v/>
      </c>
      <c r="R683" s="139" t="str">
        <f t="shared" si="5"/>
        <v/>
      </c>
      <c r="S683" s="139" t="str">
        <f t="shared" si="6"/>
        <v/>
      </c>
      <c r="T683" s="140" t="str">
        <f t="shared" si="7"/>
        <v/>
      </c>
      <c r="U683" s="136"/>
      <c r="V683" s="136"/>
      <c r="W683" s="136"/>
      <c r="X683" s="136"/>
      <c r="Y683" s="145"/>
      <c r="Z683" s="145"/>
    </row>
    <row r="684">
      <c r="E684" s="136"/>
      <c r="F684" s="136"/>
      <c r="G684" s="136"/>
      <c r="H684" s="137" t="str">
        <f t="shared" si="1"/>
        <v/>
      </c>
      <c r="I684" s="136"/>
      <c r="J684" s="136"/>
      <c r="K684" s="136"/>
      <c r="L684" s="136"/>
      <c r="M684" s="136"/>
      <c r="N684" s="136"/>
      <c r="O684" s="142" t="str">
        <f t="shared" si="2"/>
        <v/>
      </c>
      <c r="P684" s="140" t="str">
        <f t="shared" si="3"/>
        <v/>
      </c>
      <c r="Q684" s="139" t="str">
        <f t="shared" si="4"/>
        <v/>
      </c>
      <c r="R684" s="139" t="str">
        <f t="shared" si="5"/>
        <v/>
      </c>
      <c r="S684" s="139" t="str">
        <f t="shared" si="6"/>
        <v/>
      </c>
      <c r="T684" s="140" t="str">
        <f t="shared" si="7"/>
        <v/>
      </c>
      <c r="U684" s="136"/>
      <c r="V684" s="136"/>
      <c r="W684" s="136"/>
      <c r="X684" s="136"/>
      <c r="Y684" s="145"/>
      <c r="Z684" s="145"/>
    </row>
    <row r="685">
      <c r="E685" s="136"/>
      <c r="F685" s="136"/>
      <c r="G685" s="136"/>
      <c r="H685" s="137" t="str">
        <f t="shared" si="1"/>
        <v/>
      </c>
      <c r="I685" s="136"/>
      <c r="J685" s="136"/>
      <c r="K685" s="136"/>
      <c r="L685" s="136"/>
      <c r="M685" s="136"/>
      <c r="N685" s="136"/>
      <c r="O685" s="142" t="str">
        <f t="shared" si="2"/>
        <v/>
      </c>
      <c r="P685" s="140" t="str">
        <f t="shared" si="3"/>
        <v/>
      </c>
      <c r="Q685" s="139" t="str">
        <f t="shared" si="4"/>
        <v/>
      </c>
      <c r="R685" s="139" t="str">
        <f t="shared" si="5"/>
        <v/>
      </c>
      <c r="S685" s="139" t="str">
        <f t="shared" si="6"/>
        <v/>
      </c>
      <c r="T685" s="140" t="str">
        <f t="shared" si="7"/>
        <v/>
      </c>
      <c r="U685" s="136"/>
      <c r="V685" s="136"/>
      <c r="W685" s="136"/>
      <c r="X685" s="136"/>
      <c r="Y685" s="145"/>
      <c r="Z685" s="145"/>
    </row>
    <row r="686">
      <c r="E686" s="136"/>
      <c r="F686" s="136"/>
      <c r="G686" s="136"/>
      <c r="H686" s="137" t="str">
        <f t="shared" si="1"/>
        <v/>
      </c>
      <c r="I686" s="136"/>
      <c r="J686" s="136"/>
      <c r="K686" s="136"/>
      <c r="L686" s="136"/>
      <c r="M686" s="136"/>
      <c r="N686" s="136"/>
      <c r="O686" s="142" t="str">
        <f t="shared" si="2"/>
        <v/>
      </c>
      <c r="P686" s="140" t="str">
        <f t="shared" si="3"/>
        <v/>
      </c>
      <c r="Q686" s="139" t="str">
        <f t="shared" si="4"/>
        <v/>
      </c>
      <c r="R686" s="139" t="str">
        <f t="shared" si="5"/>
        <v/>
      </c>
      <c r="S686" s="139" t="str">
        <f t="shared" si="6"/>
        <v/>
      </c>
      <c r="T686" s="140" t="str">
        <f t="shared" si="7"/>
        <v/>
      </c>
      <c r="U686" s="136"/>
      <c r="V686" s="136"/>
      <c r="W686" s="136"/>
      <c r="X686" s="136"/>
      <c r="Y686" s="145"/>
      <c r="Z686" s="145"/>
    </row>
    <row r="687">
      <c r="E687" s="136"/>
      <c r="F687" s="136"/>
      <c r="G687" s="136"/>
      <c r="H687" s="137" t="str">
        <f t="shared" si="1"/>
        <v/>
      </c>
      <c r="I687" s="136"/>
      <c r="J687" s="136"/>
      <c r="K687" s="136"/>
      <c r="L687" s="136"/>
      <c r="M687" s="136"/>
      <c r="N687" s="136"/>
      <c r="O687" s="142" t="str">
        <f t="shared" si="2"/>
        <v/>
      </c>
      <c r="P687" s="140" t="str">
        <f t="shared" si="3"/>
        <v/>
      </c>
      <c r="Q687" s="139" t="str">
        <f t="shared" si="4"/>
        <v/>
      </c>
      <c r="R687" s="139" t="str">
        <f t="shared" si="5"/>
        <v/>
      </c>
      <c r="S687" s="139" t="str">
        <f t="shared" si="6"/>
        <v/>
      </c>
      <c r="T687" s="140" t="str">
        <f t="shared" si="7"/>
        <v/>
      </c>
      <c r="U687" s="136"/>
      <c r="V687" s="136"/>
      <c r="W687" s="136"/>
      <c r="X687" s="136"/>
      <c r="Y687" s="145"/>
      <c r="Z687" s="145"/>
    </row>
    <row r="688">
      <c r="E688" s="136"/>
      <c r="F688" s="136"/>
      <c r="G688" s="136"/>
      <c r="H688" s="137" t="str">
        <f t="shared" si="1"/>
        <v/>
      </c>
      <c r="I688" s="136"/>
      <c r="J688" s="136"/>
      <c r="K688" s="136"/>
      <c r="L688" s="136"/>
      <c r="M688" s="136"/>
      <c r="N688" s="136"/>
      <c r="O688" s="142" t="str">
        <f t="shared" si="2"/>
        <v/>
      </c>
      <c r="P688" s="140" t="str">
        <f t="shared" si="3"/>
        <v/>
      </c>
      <c r="Q688" s="139" t="str">
        <f t="shared" si="4"/>
        <v/>
      </c>
      <c r="R688" s="139" t="str">
        <f t="shared" si="5"/>
        <v/>
      </c>
      <c r="S688" s="139" t="str">
        <f t="shared" si="6"/>
        <v/>
      </c>
      <c r="T688" s="140" t="str">
        <f t="shared" si="7"/>
        <v/>
      </c>
      <c r="U688" s="136"/>
      <c r="V688" s="136"/>
      <c r="W688" s="136"/>
      <c r="X688" s="136"/>
      <c r="Y688" s="145"/>
      <c r="Z688" s="145"/>
    </row>
    <row r="689">
      <c r="E689" s="136"/>
      <c r="F689" s="136"/>
      <c r="G689" s="136"/>
      <c r="H689" s="137" t="str">
        <f t="shared" si="1"/>
        <v/>
      </c>
      <c r="I689" s="136"/>
      <c r="J689" s="136"/>
      <c r="K689" s="136"/>
      <c r="L689" s="136"/>
      <c r="M689" s="136"/>
      <c r="N689" s="136"/>
      <c r="O689" s="142" t="str">
        <f t="shared" si="2"/>
        <v/>
      </c>
      <c r="P689" s="140" t="str">
        <f t="shared" si="3"/>
        <v/>
      </c>
      <c r="Q689" s="139" t="str">
        <f t="shared" si="4"/>
        <v/>
      </c>
      <c r="R689" s="139" t="str">
        <f t="shared" si="5"/>
        <v/>
      </c>
      <c r="S689" s="139" t="str">
        <f t="shared" si="6"/>
        <v/>
      </c>
      <c r="T689" s="140" t="str">
        <f t="shared" si="7"/>
        <v/>
      </c>
      <c r="U689" s="136"/>
      <c r="V689" s="136"/>
      <c r="W689" s="136"/>
      <c r="X689" s="136"/>
      <c r="Y689" s="145"/>
      <c r="Z689" s="145"/>
    </row>
    <row r="690">
      <c r="E690" s="136"/>
      <c r="F690" s="136"/>
      <c r="G690" s="136"/>
      <c r="H690" s="137" t="str">
        <f t="shared" si="1"/>
        <v/>
      </c>
      <c r="I690" s="136"/>
      <c r="J690" s="136"/>
      <c r="K690" s="136"/>
      <c r="L690" s="136"/>
      <c r="M690" s="136"/>
      <c r="N690" s="136"/>
      <c r="O690" s="142" t="str">
        <f t="shared" si="2"/>
        <v/>
      </c>
      <c r="P690" s="140" t="str">
        <f t="shared" si="3"/>
        <v/>
      </c>
      <c r="Q690" s="139" t="str">
        <f t="shared" si="4"/>
        <v/>
      </c>
      <c r="R690" s="139" t="str">
        <f t="shared" si="5"/>
        <v/>
      </c>
      <c r="S690" s="139" t="str">
        <f t="shared" si="6"/>
        <v/>
      </c>
      <c r="T690" s="140" t="str">
        <f t="shared" si="7"/>
        <v/>
      </c>
      <c r="U690" s="136"/>
      <c r="V690" s="136"/>
      <c r="W690" s="136"/>
      <c r="X690" s="136"/>
      <c r="Y690" s="145"/>
      <c r="Z690" s="145"/>
    </row>
    <row r="691">
      <c r="E691" s="136"/>
      <c r="F691" s="136"/>
      <c r="G691" s="136"/>
      <c r="H691" s="137" t="str">
        <f t="shared" si="1"/>
        <v/>
      </c>
      <c r="I691" s="136"/>
      <c r="J691" s="136"/>
      <c r="K691" s="136"/>
      <c r="L691" s="136"/>
      <c r="M691" s="136"/>
      <c r="N691" s="136"/>
      <c r="O691" s="142" t="str">
        <f t="shared" si="2"/>
        <v/>
      </c>
      <c r="P691" s="140" t="str">
        <f t="shared" si="3"/>
        <v/>
      </c>
      <c r="Q691" s="139" t="str">
        <f t="shared" si="4"/>
        <v/>
      </c>
      <c r="R691" s="139" t="str">
        <f t="shared" si="5"/>
        <v/>
      </c>
      <c r="S691" s="139" t="str">
        <f t="shared" si="6"/>
        <v/>
      </c>
      <c r="T691" s="140" t="str">
        <f t="shared" si="7"/>
        <v/>
      </c>
      <c r="U691" s="136"/>
      <c r="V691" s="136"/>
      <c r="W691" s="136"/>
      <c r="X691" s="136"/>
      <c r="Y691" s="145"/>
      <c r="Z691" s="145"/>
    </row>
    <row r="692">
      <c r="E692" s="136"/>
      <c r="F692" s="136"/>
      <c r="G692" s="136"/>
      <c r="H692" s="137" t="str">
        <f t="shared" si="1"/>
        <v/>
      </c>
      <c r="I692" s="136"/>
      <c r="J692" s="136"/>
      <c r="K692" s="136"/>
      <c r="L692" s="136"/>
      <c r="M692" s="136"/>
      <c r="N692" s="136"/>
      <c r="O692" s="142" t="str">
        <f t="shared" si="2"/>
        <v/>
      </c>
      <c r="P692" s="140" t="str">
        <f t="shared" si="3"/>
        <v/>
      </c>
      <c r="Q692" s="139" t="str">
        <f t="shared" si="4"/>
        <v/>
      </c>
      <c r="R692" s="139" t="str">
        <f t="shared" si="5"/>
        <v/>
      </c>
      <c r="S692" s="139" t="str">
        <f t="shared" si="6"/>
        <v/>
      </c>
      <c r="T692" s="140" t="str">
        <f t="shared" si="7"/>
        <v/>
      </c>
      <c r="U692" s="136"/>
      <c r="V692" s="136"/>
      <c r="W692" s="136"/>
      <c r="X692" s="136"/>
      <c r="Y692" s="145"/>
      <c r="Z692" s="145"/>
    </row>
    <row r="693">
      <c r="E693" s="136"/>
      <c r="F693" s="136"/>
      <c r="G693" s="136"/>
      <c r="H693" s="137" t="str">
        <f t="shared" si="1"/>
        <v/>
      </c>
      <c r="I693" s="136"/>
      <c r="J693" s="136"/>
      <c r="K693" s="136"/>
      <c r="L693" s="136"/>
      <c r="M693" s="136"/>
      <c r="N693" s="136"/>
      <c r="O693" s="142" t="str">
        <f t="shared" si="2"/>
        <v/>
      </c>
      <c r="P693" s="140" t="str">
        <f t="shared" si="3"/>
        <v/>
      </c>
      <c r="Q693" s="139" t="str">
        <f t="shared" si="4"/>
        <v/>
      </c>
      <c r="R693" s="139" t="str">
        <f t="shared" si="5"/>
        <v/>
      </c>
      <c r="S693" s="139" t="str">
        <f t="shared" si="6"/>
        <v/>
      </c>
      <c r="T693" s="140" t="str">
        <f t="shared" si="7"/>
        <v/>
      </c>
      <c r="U693" s="136"/>
      <c r="V693" s="136"/>
      <c r="W693" s="136"/>
      <c r="X693" s="136"/>
      <c r="Y693" s="145"/>
      <c r="Z693" s="145"/>
    </row>
    <row r="694">
      <c r="E694" s="136"/>
      <c r="F694" s="136"/>
      <c r="G694" s="136"/>
      <c r="H694" s="137" t="str">
        <f t="shared" si="1"/>
        <v/>
      </c>
      <c r="I694" s="136"/>
      <c r="J694" s="136"/>
      <c r="K694" s="136"/>
      <c r="L694" s="136"/>
      <c r="M694" s="136"/>
      <c r="N694" s="136"/>
      <c r="O694" s="142" t="str">
        <f t="shared" si="2"/>
        <v/>
      </c>
      <c r="P694" s="140" t="str">
        <f t="shared" si="3"/>
        <v/>
      </c>
      <c r="Q694" s="139" t="str">
        <f t="shared" si="4"/>
        <v/>
      </c>
      <c r="R694" s="139" t="str">
        <f t="shared" si="5"/>
        <v/>
      </c>
      <c r="S694" s="139" t="str">
        <f t="shared" si="6"/>
        <v/>
      </c>
      <c r="T694" s="140" t="str">
        <f t="shared" si="7"/>
        <v/>
      </c>
      <c r="U694" s="136"/>
      <c r="V694" s="136"/>
      <c r="W694" s="136"/>
      <c r="X694" s="136"/>
      <c r="Y694" s="145"/>
      <c r="Z694" s="145"/>
    </row>
    <row r="695">
      <c r="E695" s="136"/>
      <c r="F695" s="136"/>
      <c r="G695" s="136"/>
      <c r="H695" s="137" t="str">
        <f t="shared" si="1"/>
        <v/>
      </c>
      <c r="I695" s="136"/>
      <c r="J695" s="136"/>
      <c r="K695" s="136"/>
      <c r="L695" s="136"/>
      <c r="M695" s="136"/>
      <c r="N695" s="136"/>
      <c r="O695" s="142" t="str">
        <f t="shared" si="2"/>
        <v/>
      </c>
      <c r="P695" s="140" t="str">
        <f t="shared" si="3"/>
        <v/>
      </c>
      <c r="Q695" s="139" t="str">
        <f t="shared" si="4"/>
        <v/>
      </c>
      <c r="R695" s="139" t="str">
        <f t="shared" si="5"/>
        <v/>
      </c>
      <c r="S695" s="139" t="str">
        <f t="shared" si="6"/>
        <v/>
      </c>
      <c r="T695" s="140" t="str">
        <f t="shared" si="7"/>
        <v/>
      </c>
      <c r="U695" s="136"/>
      <c r="V695" s="136"/>
      <c r="W695" s="136"/>
      <c r="X695" s="136"/>
      <c r="Y695" s="145"/>
      <c r="Z695" s="145"/>
    </row>
    <row r="696">
      <c r="E696" s="136"/>
      <c r="F696" s="136"/>
      <c r="G696" s="136"/>
      <c r="H696" s="137" t="str">
        <f t="shared" si="1"/>
        <v/>
      </c>
      <c r="I696" s="136"/>
      <c r="J696" s="136"/>
      <c r="K696" s="136"/>
      <c r="L696" s="136"/>
      <c r="M696" s="136"/>
      <c r="N696" s="136"/>
      <c r="O696" s="142" t="str">
        <f t="shared" si="2"/>
        <v/>
      </c>
      <c r="P696" s="140" t="str">
        <f t="shared" si="3"/>
        <v/>
      </c>
      <c r="Q696" s="139" t="str">
        <f t="shared" si="4"/>
        <v/>
      </c>
      <c r="R696" s="139" t="str">
        <f t="shared" si="5"/>
        <v/>
      </c>
      <c r="S696" s="139" t="str">
        <f t="shared" si="6"/>
        <v/>
      </c>
      <c r="T696" s="140" t="str">
        <f t="shared" si="7"/>
        <v/>
      </c>
      <c r="U696" s="136"/>
      <c r="V696" s="136"/>
      <c r="W696" s="136"/>
      <c r="X696" s="136"/>
      <c r="Y696" s="145"/>
      <c r="Z696" s="145"/>
    </row>
    <row r="697">
      <c r="E697" s="136"/>
      <c r="F697" s="136"/>
      <c r="G697" s="136"/>
      <c r="H697" s="137" t="str">
        <f t="shared" si="1"/>
        <v/>
      </c>
      <c r="I697" s="136"/>
      <c r="J697" s="136"/>
      <c r="K697" s="136"/>
      <c r="L697" s="136"/>
      <c r="M697" s="136"/>
      <c r="N697" s="136"/>
      <c r="O697" s="142" t="str">
        <f t="shared" si="2"/>
        <v/>
      </c>
      <c r="P697" s="140" t="str">
        <f t="shared" si="3"/>
        <v/>
      </c>
      <c r="Q697" s="139" t="str">
        <f t="shared" si="4"/>
        <v/>
      </c>
      <c r="R697" s="139" t="str">
        <f t="shared" si="5"/>
        <v/>
      </c>
      <c r="S697" s="139" t="str">
        <f t="shared" si="6"/>
        <v/>
      </c>
      <c r="T697" s="140" t="str">
        <f t="shared" si="7"/>
        <v/>
      </c>
      <c r="U697" s="136"/>
      <c r="V697" s="136"/>
      <c r="W697" s="136"/>
      <c r="X697" s="136"/>
      <c r="Y697" s="145"/>
      <c r="Z697" s="145"/>
    </row>
    <row r="698">
      <c r="E698" s="136"/>
      <c r="F698" s="136"/>
      <c r="G698" s="136"/>
      <c r="H698" s="137" t="str">
        <f t="shared" si="1"/>
        <v/>
      </c>
      <c r="I698" s="136"/>
      <c r="J698" s="136"/>
      <c r="K698" s="136"/>
      <c r="L698" s="136"/>
      <c r="M698" s="136"/>
      <c r="N698" s="136"/>
      <c r="O698" s="142" t="str">
        <f t="shared" si="2"/>
        <v/>
      </c>
      <c r="P698" s="140" t="str">
        <f t="shared" si="3"/>
        <v/>
      </c>
      <c r="Q698" s="139" t="str">
        <f t="shared" si="4"/>
        <v/>
      </c>
      <c r="R698" s="139" t="str">
        <f t="shared" si="5"/>
        <v/>
      </c>
      <c r="S698" s="139" t="str">
        <f t="shared" si="6"/>
        <v/>
      </c>
      <c r="T698" s="140" t="str">
        <f t="shared" si="7"/>
        <v/>
      </c>
      <c r="U698" s="136"/>
      <c r="V698" s="136"/>
      <c r="W698" s="136"/>
      <c r="X698" s="136"/>
      <c r="Y698" s="145"/>
      <c r="Z698" s="145"/>
    </row>
    <row r="699">
      <c r="E699" s="136"/>
      <c r="F699" s="136"/>
      <c r="G699" s="136"/>
      <c r="H699" s="137" t="str">
        <f t="shared" si="1"/>
        <v/>
      </c>
      <c r="I699" s="136"/>
      <c r="J699" s="136"/>
      <c r="K699" s="136"/>
      <c r="L699" s="136"/>
      <c r="M699" s="136"/>
      <c r="N699" s="136"/>
      <c r="O699" s="142" t="str">
        <f t="shared" si="2"/>
        <v/>
      </c>
      <c r="P699" s="140" t="str">
        <f t="shared" si="3"/>
        <v/>
      </c>
      <c r="Q699" s="139" t="str">
        <f t="shared" si="4"/>
        <v/>
      </c>
      <c r="R699" s="139" t="str">
        <f t="shared" si="5"/>
        <v/>
      </c>
      <c r="S699" s="139" t="str">
        <f t="shared" si="6"/>
        <v/>
      </c>
      <c r="T699" s="140" t="str">
        <f t="shared" si="7"/>
        <v/>
      </c>
      <c r="U699" s="136"/>
      <c r="V699" s="136"/>
      <c r="W699" s="136"/>
      <c r="X699" s="136"/>
      <c r="Y699" s="145"/>
      <c r="Z699" s="145"/>
    </row>
    <row r="700">
      <c r="E700" s="136"/>
      <c r="F700" s="136"/>
      <c r="G700" s="136"/>
      <c r="H700" s="137" t="str">
        <f t="shared" si="1"/>
        <v/>
      </c>
      <c r="I700" s="136"/>
      <c r="J700" s="136"/>
      <c r="K700" s="136"/>
      <c r="L700" s="136"/>
      <c r="M700" s="136"/>
      <c r="N700" s="136"/>
      <c r="O700" s="142" t="str">
        <f t="shared" si="2"/>
        <v/>
      </c>
      <c r="P700" s="140" t="str">
        <f t="shared" si="3"/>
        <v/>
      </c>
      <c r="Q700" s="139" t="str">
        <f t="shared" si="4"/>
        <v/>
      </c>
      <c r="R700" s="139" t="str">
        <f t="shared" si="5"/>
        <v/>
      </c>
      <c r="S700" s="139" t="str">
        <f t="shared" si="6"/>
        <v/>
      </c>
      <c r="T700" s="140" t="str">
        <f t="shared" si="7"/>
        <v/>
      </c>
      <c r="U700" s="136"/>
      <c r="V700" s="136"/>
      <c r="W700" s="136"/>
      <c r="X700" s="136"/>
      <c r="Y700" s="145"/>
      <c r="Z700" s="145"/>
    </row>
    <row r="701">
      <c r="E701" s="136"/>
      <c r="F701" s="136"/>
      <c r="G701" s="136"/>
      <c r="H701" s="137" t="str">
        <f t="shared" si="1"/>
        <v/>
      </c>
      <c r="I701" s="136"/>
      <c r="J701" s="136"/>
      <c r="K701" s="136"/>
      <c r="L701" s="136"/>
      <c r="M701" s="136"/>
      <c r="N701" s="136"/>
      <c r="O701" s="142" t="str">
        <f t="shared" si="2"/>
        <v/>
      </c>
      <c r="P701" s="140" t="str">
        <f t="shared" si="3"/>
        <v/>
      </c>
      <c r="Q701" s="139" t="str">
        <f t="shared" si="4"/>
        <v/>
      </c>
      <c r="R701" s="139" t="str">
        <f t="shared" si="5"/>
        <v/>
      </c>
      <c r="S701" s="139" t="str">
        <f t="shared" si="6"/>
        <v/>
      </c>
      <c r="T701" s="140" t="str">
        <f t="shared" si="7"/>
        <v/>
      </c>
      <c r="U701" s="136"/>
      <c r="V701" s="136"/>
      <c r="W701" s="136"/>
      <c r="X701" s="136"/>
      <c r="Y701" s="145"/>
      <c r="Z701" s="145"/>
    </row>
    <row r="702">
      <c r="E702" s="136"/>
      <c r="F702" s="136"/>
      <c r="G702" s="136"/>
      <c r="H702" s="137" t="str">
        <f t="shared" si="1"/>
        <v/>
      </c>
      <c r="I702" s="136"/>
      <c r="J702" s="136"/>
      <c r="K702" s="136"/>
      <c r="L702" s="136"/>
      <c r="M702" s="136"/>
      <c r="N702" s="136"/>
      <c r="O702" s="142" t="str">
        <f t="shared" si="2"/>
        <v/>
      </c>
      <c r="P702" s="140" t="str">
        <f t="shared" si="3"/>
        <v/>
      </c>
      <c r="Q702" s="139" t="str">
        <f t="shared" si="4"/>
        <v/>
      </c>
      <c r="R702" s="139" t="str">
        <f t="shared" si="5"/>
        <v/>
      </c>
      <c r="S702" s="139" t="str">
        <f t="shared" si="6"/>
        <v/>
      </c>
      <c r="T702" s="140" t="str">
        <f t="shared" si="7"/>
        <v/>
      </c>
      <c r="U702" s="136"/>
      <c r="V702" s="136"/>
      <c r="W702" s="136"/>
      <c r="X702" s="136"/>
      <c r="Y702" s="145"/>
      <c r="Z702" s="145"/>
    </row>
    <row r="703">
      <c r="E703" s="136"/>
      <c r="F703" s="136"/>
      <c r="G703" s="136"/>
      <c r="H703" s="137" t="str">
        <f t="shared" si="1"/>
        <v/>
      </c>
      <c r="I703" s="136"/>
      <c r="J703" s="136"/>
      <c r="K703" s="136"/>
      <c r="L703" s="136"/>
      <c r="M703" s="136"/>
      <c r="N703" s="136"/>
      <c r="O703" s="142" t="str">
        <f t="shared" si="2"/>
        <v/>
      </c>
      <c r="P703" s="140" t="str">
        <f t="shared" si="3"/>
        <v/>
      </c>
      <c r="Q703" s="139" t="str">
        <f t="shared" si="4"/>
        <v/>
      </c>
      <c r="R703" s="139" t="str">
        <f t="shared" si="5"/>
        <v/>
      </c>
      <c r="S703" s="139" t="str">
        <f t="shared" si="6"/>
        <v/>
      </c>
      <c r="T703" s="140" t="str">
        <f t="shared" si="7"/>
        <v/>
      </c>
      <c r="U703" s="136"/>
      <c r="V703" s="136"/>
      <c r="W703" s="136"/>
      <c r="X703" s="136"/>
      <c r="Y703" s="145"/>
      <c r="Z703" s="145"/>
    </row>
    <row r="704">
      <c r="E704" s="136"/>
      <c r="F704" s="136"/>
      <c r="G704" s="136"/>
      <c r="H704" s="137" t="str">
        <f t="shared" si="1"/>
        <v/>
      </c>
      <c r="I704" s="136"/>
      <c r="J704" s="136"/>
      <c r="K704" s="136"/>
      <c r="L704" s="136"/>
      <c r="M704" s="136"/>
      <c r="N704" s="136"/>
      <c r="O704" s="142" t="str">
        <f t="shared" si="2"/>
        <v/>
      </c>
      <c r="P704" s="140" t="str">
        <f t="shared" si="3"/>
        <v/>
      </c>
      <c r="Q704" s="139" t="str">
        <f t="shared" si="4"/>
        <v/>
      </c>
      <c r="R704" s="139" t="str">
        <f t="shared" si="5"/>
        <v/>
      </c>
      <c r="S704" s="139" t="str">
        <f t="shared" si="6"/>
        <v/>
      </c>
      <c r="T704" s="140" t="str">
        <f t="shared" si="7"/>
        <v/>
      </c>
      <c r="U704" s="136"/>
      <c r="V704" s="136"/>
      <c r="W704" s="136"/>
      <c r="X704" s="136"/>
      <c r="Y704" s="145"/>
      <c r="Z704" s="145"/>
    </row>
    <row r="705">
      <c r="E705" s="136"/>
      <c r="F705" s="136"/>
      <c r="G705" s="136"/>
      <c r="H705" s="137" t="str">
        <f t="shared" si="1"/>
        <v/>
      </c>
      <c r="I705" s="136"/>
      <c r="J705" s="136"/>
      <c r="K705" s="136"/>
      <c r="L705" s="136"/>
      <c r="M705" s="136"/>
      <c r="N705" s="136"/>
      <c r="O705" s="142" t="str">
        <f t="shared" si="2"/>
        <v/>
      </c>
      <c r="P705" s="140" t="str">
        <f t="shared" si="3"/>
        <v/>
      </c>
      <c r="Q705" s="139" t="str">
        <f t="shared" si="4"/>
        <v/>
      </c>
      <c r="R705" s="139" t="str">
        <f t="shared" si="5"/>
        <v/>
      </c>
      <c r="S705" s="139" t="str">
        <f t="shared" si="6"/>
        <v/>
      </c>
      <c r="T705" s="140" t="str">
        <f t="shared" si="7"/>
        <v/>
      </c>
      <c r="U705" s="136"/>
      <c r="V705" s="136"/>
      <c r="W705" s="136"/>
      <c r="X705" s="136"/>
      <c r="Y705" s="145"/>
      <c r="Z705" s="145"/>
    </row>
    <row r="706">
      <c r="E706" s="136"/>
      <c r="F706" s="136"/>
      <c r="G706" s="136"/>
      <c r="H706" s="137" t="str">
        <f t="shared" si="1"/>
        <v/>
      </c>
      <c r="I706" s="136"/>
      <c r="J706" s="136"/>
      <c r="K706" s="136"/>
      <c r="L706" s="136"/>
      <c r="M706" s="136"/>
      <c r="N706" s="136"/>
      <c r="O706" s="142" t="str">
        <f t="shared" si="2"/>
        <v/>
      </c>
      <c r="P706" s="140" t="str">
        <f t="shared" si="3"/>
        <v/>
      </c>
      <c r="Q706" s="139" t="str">
        <f t="shared" si="4"/>
        <v/>
      </c>
      <c r="R706" s="139" t="str">
        <f t="shared" si="5"/>
        <v/>
      </c>
      <c r="S706" s="139" t="str">
        <f t="shared" si="6"/>
        <v/>
      </c>
      <c r="T706" s="140" t="str">
        <f t="shared" si="7"/>
        <v/>
      </c>
      <c r="U706" s="136"/>
      <c r="V706" s="136"/>
      <c r="W706" s="136"/>
      <c r="X706" s="136"/>
      <c r="Y706" s="145"/>
      <c r="Z706" s="145"/>
    </row>
    <row r="707">
      <c r="E707" s="136"/>
      <c r="F707" s="136"/>
      <c r="G707" s="136"/>
      <c r="H707" s="137" t="str">
        <f t="shared" si="1"/>
        <v/>
      </c>
      <c r="I707" s="136"/>
      <c r="J707" s="136"/>
      <c r="K707" s="136"/>
      <c r="L707" s="136"/>
      <c r="M707" s="136"/>
      <c r="N707" s="136"/>
      <c r="O707" s="142" t="str">
        <f t="shared" si="2"/>
        <v/>
      </c>
      <c r="P707" s="140" t="str">
        <f t="shared" si="3"/>
        <v/>
      </c>
      <c r="Q707" s="139" t="str">
        <f t="shared" si="4"/>
        <v/>
      </c>
      <c r="R707" s="139" t="str">
        <f t="shared" si="5"/>
        <v/>
      </c>
      <c r="S707" s="139" t="str">
        <f t="shared" si="6"/>
        <v/>
      </c>
      <c r="T707" s="140" t="str">
        <f t="shared" si="7"/>
        <v/>
      </c>
      <c r="U707" s="136"/>
      <c r="V707" s="136"/>
      <c r="W707" s="136"/>
      <c r="X707" s="136"/>
      <c r="Y707" s="145"/>
      <c r="Z707" s="145"/>
    </row>
    <row r="708">
      <c r="E708" s="136"/>
      <c r="F708" s="136"/>
      <c r="G708" s="136"/>
      <c r="H708" s="137" t="str">
        <f t="shared" si="1"/>
        <v/>
      </c>
      <c r="I708" s="136"/>
      <c r="J708" s="136"/>
      <c r="K708" s="136"/>
      <c r="L708" s="136"/>
      <c r="M708" s="136"/>
      <c r="N708" s="136"/>
      <c r="O708" s="142" t="str">
        <f t="shared" si="2"/>
        <v/>
      </c>
      <c r="P708" s="140" t="str">
        <f t="shared" si="3"/>
        <v/>
      </c>
      <c r="Q708" s="139" t="str">
        <f t="shared" si="4"/>
        <v/>
      </c>
      <c r="R708" s="139" t="str">
        <f t="shared" si="5"/>
        <v/>
      </c>
      <c r="S708" s="139" t="str">
        <f t="shared" si="6"/>
        <v/>
      </c>
      <c r="T708" s="140" t="str">
        <f t="shared" si="7"/>
        <v/>
      </c>
      <c r="U708" s="136"/>
      <c r="V708" s="136"/>
      <c r="W708" s="136"/>
      <c r="X708" s="136"/>
      <c r="Y708" s="145"/>
      <c r="Z708" s="145"/>
    </row>
    <row r="709">
      <c r="E709" s="136"/>
      <c r="F709" s="136"/>
      <c r="G709" s="136"/>
      <c r="H709" s="137" t="str">
        <f t="shared" si="1"/>
        <v/>
      </c>
      <c r="I709" s="136"/>
      <c r="J709" s="136"/>
      <c r="K709" s="136"/>
      <c r="L709" s="136"/>
      <c r="M709" s="136"/>
      <c r="N709" s="136"/>
      <c r="O709" s="142" t="str">
        <f t="shared" si="2"/>
        <v/>
      </c>
      <c r="P709" s="140" t="str">
        <f t="shared" si="3"/>
        <v/>
      </c>
      <c r="Q709" s="139" t="str">
        <f t="shared" si="4"/>
        <v/>
      </c>
      <c r="R709" s="139" t="str">
        <f t="shared" si="5"/>
        <v/>
      </c>
      <c r="S709" s="139" t="str">
        <f t="shared" si="6"/>
        <v/>
      </c>
      <c r="T709" s="140" t="str">
        <f t="shared" si="7"/>
        <v/>
      </c>
      <c r="U709" s="136"/>
      <c r="V709" s="136"/>
      <c r="W709" s="136"/>
      <c r="X709" s="136"/>
      <c r="Y709" s="145"/>
      <c r="Z709" s="145"/>
    </row>
    <row r="710">
      <c r="E710" s="136"/>
      <c r="F710" s="136"/>
      <c r="G710" s="136"/>
      <c r="H710" s="137" t="str">
        <f t="shared" si="1"/>
        <v/>
      </c>
      <c r="I710" s="136"/>
      <c r="J710" s="136"/>
      <c r="K710" s="136"/>
      <c r="L710" s="136"/>
      <c r="M710" s="136"/>
      <c r="N710" s="136"/>
      <c r="O710" s="142" t="str">
        <f t="shared" si="2"/>
        <v/>
      </c>
      <c r="P710" s="140" t="str">
        <f t="shared" si="3"/>
        <v/>
      </c>
      <c r="Q710" s="139" t="str">
        <f t="shared" si="4"/>
        <v/>
      </c>
      <c r="R710" s="139" t="str">
        <f t="shared" si="5"/>
        <v/>
      </c>
      <c r="S710" s="139" t="str">
        <f t="shared" si="6"/>
        <v/>
      </c>
      <c r="T710" s="140" t="str">
        <f t="shared" si="7"/>
        <v/>
      </c>
      <c r="U710" s="136"/>
      <c r="V710" s="136"/>
      <c r="W710" s="136"/>
      <c r="X710" s="136"/>
      <c r="Y710" s="145"/>
      <c r="Z710" s="145"/>
    </row>
    <row r="711">
      <c r="E711" s="136"/>
      <c r="F711" s="136"/>
      <c r="G711" s="136"/>
      <c r="H711" s="137" t="str">
        <f t="shared" si="1"/>
        <v/>
      </c>
      <c r="I711" s="136"/>
      <c r="J711" s="136"/>
      <c r="K711" s="136"/>
      <c r="L711" s="136"/>
      <c r="M711" s="136"/>
      <c r="N711" s="136"/>
      <c r="O711" s="142" t="str">
        <f t="shared" si="2"/>
        <v/>
      </c>
      <c r="P711" s="140" t="str">
        <f t="shared" si="3"/>
        <v/>
      </c>
      <c r="Q711" s="139" t="str">
        <f t="shared" si="4"/>
        <v/>
      </c>
      <c r="R711" s="139" t="str">
        <f t="shared" si="5"/>
        <v/>
      </c>
      <c r="S711" s="139" t="str">
        <f t="shared" si="6"/>
        <v/>
      </c>
      <c r="T711" s="140" t="str">
        <f t="shared" si="7"/>
        <v/>
      </c>
      <c r="U711" s="136"/>
      <c r="V711" s="136"/>
      <c r="W711" s="136"/>
      <c r="X711" s="136"/>
      <c r="Y711" s="145"/>
      <c r="Z711" s="145"/>
    </row>
    <row r="712">
      <c r="E712" s="136"/>
      <c r="F712" s="136"/>
      <c r="G712" s="136"/>
      <c r="H712" s="137" t="str">
        <f t="shared" si="1"/>
        <v/>
      </c>
      <c r="I712" s="136"/>
      <c r="J712" s="136"/>
      <c r="K712" s="136"/>
      <c r="L712" s="136"/>
      <c r="M712" s="136"/>
      <c r="N712" s="136"/>
      <c r="O712" s="142" t="str">
        <f t="shared" si="2"/>
        <v/>
      </c>
      <c r="P712" s="140" t="str">
        <f t="shared" si="3"/>
        <v/>
      </c>
      <c r="Q712" s="139" t="str">
        <f t="shared" si="4"/>
        <v/>
      </c>
      <c r="R712" s="139" t="str">
        <f t="shared" si="5"/>
        <v/>
      </c>
      <c r="S712" s="139" t="str">
        <f t="shared" si="6"/>
        <v/>
      </c>
      <c r="T712" s="140" t="str">
        <f t="shared" si="7"/>
        <v/>
      </c>
      <c r="U712" s="136"/>
      <c r="V712" s="136"/>
      <c r="W712" s="136"/>
      <c r="X712" s="136"/>
      <c r="Y712" s="145"/>
      <c r="Z712" s="145"/>
    </row>
    <row r="713">
      <c r="E713" s="136"/>
      <c r="F713" s="136"/>
      <c r="G713" s="136"/>
      <c r="H713" s="137" t="str">
        <f t="shared" si="1"/>
        <v/>
      </c>
      <c r="I713" s="136"/>
      <c r="J713" s="136"/>
      <c r="K713" s="136"/>
      <c r="L713" s="136"/>
      <c r="M713" s="136"/>
      <c r="N713" s="136"/>
      <c r="O713" s="142" t="str">
        <f t="shared" si="2"/>
        <v/>
      </c>
      <c r="P713" s="140" t="str">
        <f t="shared" si="3"/>
        <v/>
      </c>
      <c r="Q713" s="139" t="str">
        <f t="shared" si="4"/>
        <v/>
      </c>
      <c r="R713" s="139" t="str">
        <f t="shared" si="5"/>
        <v/>
      </c>
      <c r="S713" s="139" t="str">
        <f t="shared" si="6"/>
        <v/>
      </c>
      <c r="T713" s="140" t="str">
        <f t="shared" si="7"/>
        <v/>
      </c>
      <c r="U713" s="136"/>
      <c r="V713" s="136"/>
      <c r="W713" s="136"/>
      <c r="X713" s="136"/>
      <c r="Y713" s="145"/>
      <c r="Z713" s="145"/>
    </row>
    <row r="714">
      <c r="E714" s="136"/>
      <c r="F714" s="136"/>
      <c r="G714" s="136"/>
      <c r="H714" s="137" t="str">
        <f t="shared" si="1"/>
        <v/>
      </c>
      <c r="I714" s="136"/>
      <c r="J714" s="136"/>
      <c r="K714" s="136"/>
      <c r="L714" s="136"/>
      <c r="M714" s="136"/>
      <c r="N714" s="136"/>
      <c r="O714" s="142" t="str">
        <f t="shared" si="2"/>
        <v/>
      </c>
      <c r="P714" s="140" t="str">
        <f t="shared" si="3"/>
        <v/>
      </c>
      <c r="Q714" s="139" t="str">
        <f t="shared" si="4"/>
        <v/>
      </c>
      <c r="R714" s="139" t="str">
        <f t="shared" si="5"/>
        <v/>
      </c>
      <c r="S714" s="139" t="str">
        <f t="shared" si="6"/>
        <v/>
      </c>
      <c r="T714" s="140" t="str">
        <f t="shared" si="7"/>
        <v/>
      </c>
      <c r="U714" s="136"/>
      <c r="V714" s="136"/>
      <c r="W714" s="136"/>
      <c r="X714" s="136"/>
      <c r="Y714" s="145"/>
      <c r="Z714" s="145"/>
    </row>
    <row r="715">
      <c r="E715" s="136"/>
      <c r="F715" s="136"/>
      <c r="G715" s="136"/>
      <c r="H715" s="137" t="str">
        <f t="shared" si="1"/>
        <v/>
      </c>
      <c r="I715" s="136"/>
      <c r="J715" s="136"/>
      <c r="K715" s="136"/>
      <c r="L715" s="136"/>
      <c r="M715" s="136"/>
      <c r="N715" s="136"/>
      <c r="O715" s="142" t="str">
        <f t="shared" si="2"/>
        <v/>
      </c>
      <c r="P715" s="140" t="str">
        <f t="shared" si="3"/>
        <v/>
      </c>
      <c r="Q715" s="139" t="str">
        <f t="shared" si="4"/>
        <v/>
      </c>
      <c r="R715" s="139" t="str">
        <f t="shared" si="5"/>
        <v/>
      </c>
      <c r="S715" s="139" t="str">
        <f t="shared" si="6"/>
        <v/>
      </c>
      <c r="T715" s="140" t="str">
        <f t="shared" si="7"/>
        <v/>
      </c>
      <c r="U715" s="136"/>
      <c r="V715" s="136"/>
      <c r="W715" s="136"/>
      <c r="X715" s="136"/>
      <c r="Y715" s="145"/>
      <c r="Z715" s="145"/>
    </row>
    <row r="716">
      <c r="E716" s="136"/>
      <c r="F716" s="136"/>
      <c r="G716" s="136"/>
      <c r="H716" s="137" t="str">
        <f t="shared" si="1"/>
        <v/>
      </c>
      <c r="I716" s="136"/>
      <c r="J716" s="136"/>
      <c r="K716" s="136"/>
      <c r="L716" s="136"/>
      <c r="M716" s="136"/>
      <c r="N716" s="136"/>
      <c r="O716" s="142" t="str">
        <f t="shared" si="2"/>
        <v/>
      </c>
      <c r="P716" s="140" t="str">
        <f t="shared" si="3"/>
        <v/>
      </c>
      <c r="Q716" s="139" t="str">
        <f t="shared" si="4"/>
        <v/>
      </c>
      <c r="R716" s="139" t="str">
        <f t="shared" si="5"/>
        <v/>
      </c>
      <c r="S716" s="139" t="str">
        <f t="shared" si="6"/>
        <v/>
      </c>
      <c r="T716" s="140" t="str">
        <f t="shared" si="7"/>
        <v/>
      </c>
      <c r="U716" s="136"/>
      <c r="V716" s="136"/>
      <c r="W716" s="136"/>
      <c r="X716" s="136"/>
      <c r="Y716" s="145"/>
      <c r="Z716" s="145"/>
    </row>
    <row r="717">
      <c r="E717" s="136"/>
      <c r="F717" s="136"/>
      <c r="G717" s="136"/>
      <c r="H717" s="137" t="str">
        <f t="shared" si="1"/>
        <v/>
      </c>
      <c r="I717" s="136"/>
      <c r="J717" s="136"/>
      <c r="K717" s="136"/>
      <c r="L717" s="136"/>
      <c r="M717" s="136"/>
      <c r="N717" s="136"/>
      <c r="O717" s="142" t="str">
        <f t="shared" si="2"/>
        <v/>
      </c>
      <c r="P717" s="140" t="str">
        <f t="shared" si="3"/>
        <v/>
      </c>
      <c r="Q717" s="139" t="str">
        <f t="shared" si="4"/>
        <v/>
      </c>
      <c r="R717" s="139" t="str">
        <f t="shared" si="5"/>
        <v/>
      </c>
      <c r="S717" s="139" t="str">
        <f t="shared" si="6"/>
        <v/>
      </c>
      <c r="T717" s="140" t="str">
        <f t="shared" si="7"/>
        <v/>
      </c>
      <c r="U717" s="136"/>
      <c r="V717" s="136"/>
      <c r="W717" s="136"/>
      <c r="X717" s="136"/>
      <c r="Y717" s="145"/>
      <c r="Z717" s="145"/>
    </row>
    <row r="718">
      <c r="E718" s="136"/>
      <c r="F718" s="136"/>
      <c r="G718" s="136"/>
      <c r="H718" s="137" t="str">
        <f t="shared" si="1"/>
        <v/>
      </c>
      <c r="I718" s="136"/>
      <c r="J718" s="136"/>
      <c r="K718" s="136"/>
      <c r="L718" s="136"/>
      <c r="M718" s="136"/>
      <c r="N718" s="136"/>
      <c r="O718" s="142" t="str">
        <f t="shared" si="2"/>
        <v/>
      </c>
      <c r="P718" s="140" t="str">
        <f t="shared" si="3"/>
        <v/>
      </c>
      <c r="Q718" s="139" t="str">
        <f t="shared" si="4"/>
        <v/>
      </c>
      <c r="R718" s="139" t="str">
        <f t="shared" si="5"/>
        <v/>
      </c>
      <c r="S718" s="139" t="str">
        <f t="shared" si="6"/>
        <v/>
      </c>
      <c r="T718" s="140" t="str">
        <f t="shared" si="7"/>
        <v/>
      </c>
      <c r="U718" s="136"/>
      <c r="V718" s="136"/>
      <c r="W718" s="136"/>
      <c r="X718" s="136"/>
      <c r="Y718" s="145"/>
      <c r="Z718" s="145"/>
    </row>
    <row r="719">
      <c r="E719" s="136"/>
      <c r="F719" s="136"/>
      <c r="G719" s="136"/>
      <c r="H719" s="137" t="str">
        <f t="shared" si="1"/>
        <v/>
      </c>
      <c r="I719" s="136"/>
      <c r="J719" s="136"/>
      <c r="K719" s="136"/>
      <c r="L719" s="136"/>
      <c r="M719" s="136"/>
      <c r="N719" s="136"/>
      <c r="O719" s="142" t="str">
        <f t="shared" si="2"/>
        <v/>
      </c>
      <c r="P719" s="140" t="str">
        <f t="shared" si="3"/>
        <v/>
      </c>
      <c r="Q719" s="139" t="str">
        <f t="shared" si="4"/>
        <v/>
      </c>
      <c r="R719" s="139" t="str">
        <f t="shared" si="5"/>
        <v/>
      </c>
      <c r="S719" s="139" t="str">
        <f t="shared" si="6"/>
        <v/>
      </c>
      <c r="T719" s="140" t="str">
        <f t="shared" si="7"/>
        <v/>
      </c>
      <c r="U719" s="136"/>
      <c r="V719" s="136"/>
      <c r="W719" s="136"/>
      <c r="X719" s="136"/>
      <c r="Y719" s="145"/>
      <c r="Z719" s="145"/>
    </row>
    <row r="720">
      <c r="E720" s="136"/>
      <c r="F720" s="136"/>
      <c r="G720" s="136"/>
      <c r="H720" s="137" t="str">
        <f t="shared" si="1"/>
        <v/>
      </c>
      <c r="I720" s="136"/>
      <c r="J720" s="136"/>
      <c r="K720" s="136"/>
      <c r="L720" s="136"/>
      <c r="M720" s="136"/>
      <c r="N720" s="136"/>
      <c r="O720" s="142" t="str">
        <f t="shared" si="2"/>
        <v/>
      </c>
      <c r="P720" s="140" t="str">
        <f t="shared" si="3"/>
        <v/>
      </c>
      <c r="Q720" s="139" t="str">
        <f t="shared" si="4"/>
        <v/>
      </c>
      <c r="R720" s="139" t="str">
        <f t="shared" si="5"/>
        <v/>
      </c>
      <c r="S720" s="139" t="str">
        <f t="shared" si="6"/>
        <v/>
      </c>
      <c r="T720" s="140" t="str">
        <f t="shared" si="7"/>
        <v/>
      </c>
      <c r="U720" s="136"/>
      <c r="V720" s="136"/>
      <c r="W720" s="136"/>
      <c r="X720" s="136"/>
      <c r="Y720" s="145"/>
      <c r="Z720" s="145"/>
    </row>
    <row r="721">
      <c r="E721" s="136"/>
      <c r="F721" s="136"/>
      <c r="G721" s="136"/>
      <c r="H721" s="137" t="str">
        <f t="shared" si="1"/>
        <v/>
      </c>
      <c r="I721" s="136"/>
      <c r="J721" s="136"/>
      <c r="K721" s="136"/>
      <c r="L721" s="136"/>
      <c r="M721" s="136"/>
      <c r="N721" s="136"/>
      <c r="O721" s="142" t="str">
        <f t="shared" si="2"/>
        <v/>
      </c>
      <c r="P721" s="140" t="str">
        <f t="shared" si="3"/>
        <v/>
      </c>
      <c r="Q721" s="139" t="str">
        <f t="shared" si="4"/>
        <v/>
      </c>
      <c r="R721" s="139" t="str">
        <f t="shared" si="5"/>
        <v/>
      </c>
      <c r="S721" s="139" t="str">
        <f t="shared" si="6"/>
        <v/>
      </c>
      <c r="T721" s="140" t="str">
        <f t="shared" si="7"/>
        <v/>
      </c>
      <c r="U721" s="136"/>
      <c r="V721" s="136"/>
      <c r="W721" s="136"/>
      <c r="X721" s="136"/>
      <c r="Y721" s="145"/>
      <c r="Z721" s="145"/>
    </row>
    <row r="722">
      <c r="E722" s="136"/>
      <c r="F722" s="136"/>
      <c r="G722" s="136"/>
      <c r="H722" s="137" t="str">
        <f t="shared" si="1"/>
        <v/>
      </c>
      <c r="I722" s="136"/>
      <c r="J722" s="136"/>
      <c r="K722" s="136"/>
      <c r="L722" s="136"/>
      <c r="M722" s="136"/>
      <c r="N722" s="136"/>
      <c r="O722" s="142" t="str">
        <f t="shared" si="2"/>
        <v/>
      </c>
      <c r="P722" s="140" t="str">
        <f t="shared" si="3"/>
        <v/>
      </c>
      <c r="Q722" s="139" t="str">
        <f t="shared" si="4"/>
        <v/>
      </c>
      <c r="R722" s="139" t="str">
        <f t="shared" si="5"/>
        <v/>
      </c>
      <c r="S722" s="139" t="str">
        <f t="shared" si="6"/>
        <v/>
      </c>
      <c r="T722" s="140" t="str">
        <f t="shared" si="7"/>
        <v/>
      </c>
      <c r="U722" s="136"/>
      <c r="V722" s="136"/>
      <c r="W722" s="136"/>
      <c r="X722" s="136"/>
      <c r="Y722" s="145"/>
      <c r="Z722" s="145"/>
    </row>
    <row r="723">
      <c r="E723" s="136"/>
      <c r="F723" s="136"/>
      <c r="G723" s="136"/>
      <c r="H723" s="137" t="str">
        <f t="shared" si="1"/>
        <v/>
      </c>
      <c r="I723" s="136"/>
      <c r="J723" s="136"/>
      <c r="K723" s="136"/>
      <c r="L723" s="136"/>
      <c r="M723" s="136"/>
      <c r="N723" s="136"/>
      <c r="O723" s="142" t="str">
        <f t="shared" si="2"/>
        <v/>
      </c>
      <c r="P723" s="140" t="str">
        <f t="shared" si="3"/>
        <v/>
      </c>
      <c r="Q723" s="139" t="str">
        <f t="shared" si="4"/>
        <v/>
      </c>
      <c r="R723" s="139" t="str">
        <f t="shared" si="5"/>
        <v/>
      </c>
      <c r="S723" s="139" t="str">
        <f t="shared" si="6"/>
        <v/>
      </c>
      <c r="T723" s="140" t="str">
        <f t="shared" si="7"/>
        <v/>
      </c>
      <c r="U723" s="136"/>
      <c r="V723" s="136"/>
      <c r="W723" s="136"/>
      <c r="X723" s="136"/>
      <c r="Y723" s="145"/>
      <c r="Z723" s="145"/>
    </row>
    <row r="724">
      <c r="E724" s="136"/>
      <c r="F724" s="136"/>
      <c r="G724" s="136"/>
      <c r="H724" s="137" t="str">
        <f t="shared" si="1"/>
        <v/>
      </c>
      <c r="I724" s="136"/>
      <c r="J724" s="136"/>
      <c r="K724" s="136"/>
      <c r="L724" s="136"/>
      <c r="M724" s="136"/>
      <c r="N724" s="136"/>
      <c r="O724" s="142" t="str">
        <f t="shared" si="2"/>
        <v/>
      </c>
      <c r="P724" s="140" t="str">
        <f t="shared" si="3"/>
        <v/>
      </c>
      <c r="Q724" s="139" t="str">
        <f t="shared" si="4"/>
        <v/>
      </c>
      <c r="R724" s="139" t="str">
        <f t="shared" si="5"/>
        <v/>
      </c>
      <c r="S724" s="139" t="str">
        <f t="shared" si="6"/>
        <v/>
      </c>
      <c r="T724" s="140" t="str">
        <f t="shared" si="7"/>
        <v/>
      </c>
      <c r="U724" s="136"/>
      <c r="V724" s="136"/>
      <c r="W724" s="136"/>
      <c r="X724" s="136"/>
      <c r="Y724" s="145"/>
      <c r="Z724" s="145"/>
    </row>
    <row r="725">
      <c r="E725" s="136"/>
      <c r="F725" s="136"/>
      <c r="G725" s="136"/>
      <c r="H725" s="137" t="str">
        <f t="shared" si="1"/>
        <v/>
      </c>
      <c r="I725" s="136"/>
      <c r="J725" s="136"/>
      <c r="K725" s="136"/>
      <c r="L725" s="136"/>
      <c r="M725" s="136"/>
      <c r="N725" s="136"/>
      <c r="O725" s="142" t="str">
        <f t="shared" si="2"/>
        <v/>
      </c>
      <c r="P725" s="140" t="str">
        <f t="shared" si="3"/>
        <v/>
      </c>
      <c r="Q725" s="139" t="str">
        <f t="shared" si="4"/>
        <v/>
      </c>
      <c r="R725" s="139" t="str">
        <f t="shared" si="5"/>
        <v/>
      </c>
      <c r="S725" s="139" t="str">
        <f t="shared" si="6"/>
        <v/>
      </c>
      <c r="T725" s="140" t="str">
        <f t="shared" si="7"/>
        <v/>
      </c>
      <c r="U725" s="136"/>
      <c r="V725" s="136"/>
      <c r="W725" s="136"/>
      <c r="X725" s="136"/>
      <c r="Y725" s="145"/>
      <c r="Z725" s="145"/>
    </row>
    <row r="726">
      <c r="E726" s="136"/>
      <c r="F726" s="136"/>
      <c r="G726" s="136"/>
      <c r="H726" s="137" t="str">
        <f t="shared" si="1"/>
        <v/>
      </c>
      <c r="I726" s="136"/>
      <c r="J726" s="136"/>
      <c r="K726" s="136"/>
      <c r="L726" s="136"/>
      <c r="M726" s="136"/>
      <c r="N726" s="136"/>
      <c r="O726" s="142" t="str">
        <f t="shared" si="2"/>
        <v/>
      </c>
      <c r="P726" s="140" t="str">
        <f t="shared" si="3"/>
        <v/>
      </c>
      <c r="Q726" s="139" t="str">
        <f t="shared" si="4"/>
        <v/>
      </c>
      <c r="R726" s="139" t="str">
        <f t="shared" si="5"/>
        <v/>
      </c>
      <c r="S726" s="139" t="str">
        <f t="shared" si="6"/>
        <v/>
      </c>
      <c r="T726" s="140" t="str">
        <f t="shared" si="7"/>
        <v/>
      </c>
      <c r="U726" s="136"/>
      <c r="V726" s="136"/>
      <c r="W726" s="136"/>
      <c r="X726" s="136"/>
      <c r="Y726" s="145"/>
      <c r="Z726" s="145"/>
    </row>
    <row r="727">
      <c r="E727" s="136"/>
      <c r="F727" s="136"/>
      <c r="G727" s="136"/>
      <c r="H727" s="137" t="str">
        <f t="shared" si="1"/>
        <v/>
      </c>
      <c r="I727" s="136"/>
      <c r="J727" s="136"/>
      <c r="K727" s="136"/>
      <c r="L727" s="136"/>
      <c r="M727" s="136"/>
      <c r="N727" s="136"/>
      <c r="O727" s="142" t="str">
        <f t="shared" si="2"/>
        <v/>
      </c>
      <c r="P727" s="140" t="str">
        <f t="shared" si="3"/>
        <v/>
      </c>
      <c r="Q727" s="139" t="str">
        <f t="shared" si="4"/>
        <v/>
      </c>
      <c r="R727" s="139" t="str">
        <f t="shared" si="5"/>
        <v/>
      </c>
      <c r="S727" s="139" t="str">
        <f t="shared" si="6"/>
        <v/>
      </c>
      <c r="T727" s="140" t="str">
        <f t="shared" si="7"/>
        <v/>
      </c>
      <c r="U727" s="136"/>
      <c r="V727" s="136"/>
      <c r="W727" s="136"/>
      <c r="X727" s="136"/>
      <c r="Y727" s="145"/>
      <c r="Z727" s="145"/>
    </row>
    <row r="728">
      <c r="E728" s="136"/>
      <c r="F728" s="136"/>
      <c r="G728" s="136"/>
      <c r="H728" s="137" t="str">
        <f t="shared" si="1"/>
        <v/>
      </c>
      <c r="I728" s="136"/>
      <c r="J728" s="136"/>
      <c r="K728" s="136"/>
      <c r="L728" s="136"/>
      <c r="M728" s="136"/>
      <c r="N728" s="136"/>
      <c r="O728" s="142" t="str">
        <f t="shared" si="2"/>
        <v/>
      </c>
      <c r="P728" s="140" t="str">
        <f t="shared" si="3"/>
        <v/>
      </c>
      <c r="Q728" s="139" t="str">
        <f t="shared" si="4"/>
        <v/>
      </c>
      <c r="R728" s="139" t="str">
        <f t="shared" si="5"/>
        <v/>
      </c>
      <c r="S728" s="139" t="str">
        <f t="shared" si="6"/>
        <v/>
      </c>
      <c r="T728" s="140" t="str">
        <f t="shared" si="7"/>
        <v/>
      </c>
      <c r="U728" s="136"/>
      <c r="V728" s="136"/>
      <c r="W728" s="136"/>
      <c r="X728" s="136"/>
      <c r="Y728" s="145"/>
      <c r="Z728" s="145"/>
    </row>
    <row r="729">
      <c r="E729" s="136"/>
      <c r="F729" s="136"/>
      <c r="G729" s="136"/>
      <c r="H729" s="137" t="str">
        <f t="shared" si="1"/>
        <v/>
      </c>
      <c r="I729" s="136"/>
      <c r="J729" s="136"/>
      <c r="K729" s="136"/>
      <c r="L729" s="136"/>
      <c r="M729" s="136"/>
      <c r="N729" s="136"/>
      <c r="O729" s="142" t="str">
        <f t="shared" si="2"/>
        <v/>
      </c>
      <c r="P729" s="140" t="str">
        <f t="shared" si="3"/>
        <v/>
      </c>
      <c r="Q729" s="139" t="str">
        <f t="shared" si="4"/>
        <v/>
      </c>
      <c r="R729" s="139" t="str">
        <f t="shared" si="5"/>
        <v/>
      </c>
      <c r="S729" s="139" t="str">
        <f t="shared" si="6"/>
        <v/>
      </c>
      <c r="T729" s="140" t="str">
        <f t="shared" si="7"/>
        <v/>
      </c>
      <c r="U729" s="136"/>
      <c r="V729" s="136"/>
      <c r="W729" s="136"/>
      <c r="X729" s="136"/>
      <c r="Y729" s="145"/>
      <c r="Z729" s="145"/>
    </row>
    <row r="730">
      <c r="E730" s="136"/>
      <c r="F730" s="136"/>
      <c r="G730" s="136"/>
      <c r="H730" s="137" t="str">
        <f t="shared" si="1"/>
        <v/>
      </c>
      <c r="I730" s="136"/>
      <c r="J730" s="136"/>
      <c r="K730" s="136"/>
      <c r="L730" s="136"/>
      <c r="M730" s="136"/>
      <c r="N730" s="136"/>
      <c r="O730" s="142" t="str">
        <f t="shared" si="2"/>
        <v/>
      </c>
      <c r="P730" s="140" t="str">
        <f t="shared" si="3"/>
        <v/>
      </c>
      <c r="Q730" s="139" t="str">
        <f t="shared" si="4"/>
        <v/>
      </c>
      <c r="R730" s="139" t="str">
        <f t="shared" si="5"/>
        <v/>
      </c>
      <c r="S730" s="139" t="str">
        <f t="shared" si="6"/>
        <v/>
      </c>
      <c r="T730" s="140" t="str">
        <f t="shared" si="7"/>
        <v/>
      </c>
      <c r="U730" s="136"/>
      <c r="V730" s="136"/>
      <c r="W730" s="136"/>
      <c r="X730" s="136"/>
      <c r="Y730" s="145"/>
      <c r="Z730" s="145"/>
    </row>
    <row r="731">
      <c r="E731" s="136"/>
      <c r="F731" s="136"/>
      <c r="G731" s="136"/>
      <c r="H731" s="137" t="str">
        <f t="shared" si="1"/>
        <v/>
      </c>
      <c r="I731" s="136"/>
      <c r="J731" s="136"/>
      <c r="K731" s="136"/>
      <c r="L731" s="136"/>
      <c r="M731" s="136"/>
      <c r="N731" s="136"/>
      <c r="O731" s="142" t="str">
        <f t="shared" si="2"/>
        <v/>
      </c>
      <c r="P731" s="140" t="str">
        <f t="shared" si="3"/>
        <v/>
      </c>
      <c r="Q731" s="139" t="str">
        <f t="shared" si="4"/>
        <v/>
      </c>
      <c r="R731" s="139" t="str">
        <f t="shared" si="5"/>
        <v/>
      </c>
      <c r="S731" s="139" t="str">
        <f t="shared" si="6"/>
        <v/>
      </c>
      <c r="T731" s="140" t="str">
        <f t="shared" si="7"/>
        <v/>
      </c>
      <c r="U731" s="136"/>
      <c r="V731" s="136"/>
      <c r="W731" s="136"/>
      <c r="X731" s="136"/>
      <c r="Y731" s="145"/>
      <c r="Z731" s="145"/>
    </row>
    <row r="732">
      <c r="E732" s="136"/>
      <c r="F732" s="136"/>
      <c r="G732" s="136"/>
      <c r="H732" s="137" t="str">
        <f t="shared" si="1"/>
        <v/>
      </c>
      <c r="I732" s="136"/>
      <c r="J732" s="136"/>
      <c r="K732" s="136"/>
      <c r="L732" s="136"/>
      <c r="M732" s="136"/>
      <c r="N732" s="136"/>
      <c r="O732" s="142" t="str">
        <f t="shared" si="2"/>
        <v/>
      </c>
      <c r="P732" s="140" t="str">
        <f t="shared" si="3"/>
        <v/>
      </c>
      <c r="Q732" s="139" t="str">
        <f t="shared" si="4"/>
        <v/>
      </c>
      <c r="R732" s="139" t="str">
        <f t="shared" si="5"/>
        <v/>
      </c>
      <c r="S732" s="139" t="str">
        <f t="shared" si="6"/>
        <v/>
      </c>
      <c r="T732" s="140" t="str">
        <f t="shared" si="7"/>
        <v/>
      </c>
      <c r="U732" s="136"/>
      <c r="V732" s="136"/>
      <c r="W732" s="136"/>
      <c r="X732" s="136"/>
      <c r="Y732" s="145"/>
      <c r="Z732" s="145"/>
    </row>
    <row r="733">
      <c r="E733" s="136"/>
      <c r="F733" s="136"/>
      <c r="G733" s="136"/>
      <c r="H733" s="137" t="str">
        <f t="shared" si="1"/>
        <v/>
      </c>
      <c r="I733" s="136"/>
      <c r="J733" s="136"/>
      <c r="K733" s="136"/>
      <c r="L733" s="136"/>
      <c r="M733" s="136"/>
      <c r="N733" s="136"/>
      <c r="O733" s="142" t="str">
        <f t="shared" si="2"/>
        <v/>
      </c>
      <c r="P733" s="140" t="str">
        <f t="shared" si="3"/>
        <v/>
      </c>
      <c r="Q733" s="139" t="str">
        <f t="shared" si="4"/>
        <v/>
      </c>
      <c r="R733" s="139" t="str">
        <f t="shared" si="5"/>
        <v/>
      </c>
      <c r="S733" s="139" t="str">
        <f t="shared" si="6"/>
        <v/>
      </c>
      <c r="T733" s="140" t="str">
        <f t="shared" si="7"/>
        <v/>
      </c>
      <c r="U733" s="136"/>
      <c r="V733" s="136"/>
      <c r="W733" s="136"/>
      <c r="X733" s="136"/>
      <c r="Y733" s="145"/>
      <c r="Z733" s="145"/>
    </row>
    <row r="734">
      <c r="E734" s="136"/>
      <c r="F734" s="136"/>
      <c r="G734" s="136"/>
      <c r="H734" s="137" t="str">
        <f t="shared" si="1"/>
        <v/>
      </c>
      <c r="I734" s="136"/>
      <c r="J734" s="136"/>
      <c r="K734" s="136"/>
      <c r="L734" s="136"/>
      <c r="M734" s="136"/>
      <c r="N734" s="136"/>
      <c r="O734" s="142" t="str">
        <f t="shared" si="2"/>
        <v/>
      </c>
      <c r="P734" s="140" t="str">
        <f t="shared" si="3"/>
        <v/>
      </c>
      <c r="Q734" s="139" t="str">
        <f t="shared" si="4"/>
        <v/>
      </c>
      <c r="R734" s="139" t="str">
        <f t="shared" si="5"/>
        <v/>
      </c>
      <c r="S734" s="139" t="str">
        <f t="shared" si="6"/>
        <v/>
      </c>
      <c r="T734" s="140" t="str">
        <f t="shared" si="7"/>
        <v/>
      </c>
      <c r="U734" s="136"/>
      <c r="V734" s="136"/>
      <c r="W734" s="136"/>
      <c r="X734" s="136"/>
      <c r="Y734" s="145"/>
      <c r="Z734" s="145"/>
    </row>
    <row r="735">
      <c r="E735" s="136"/>
      <c r="F735" s="136"/>
      <c r="G735" s="136"/>
      <c r="H735" s="137" t="str">
        <f t="shared" si="1"/>
        <v/>
      </c>
      <c r="I735" s="136"/>
      <c r="J735" s="136"/>
      <c r="K735" s="136"/>
      <c r="L735" s="136"/>
      <c r="M735" s="136"/>
      <c r="N735" s="136"/>
      <c r="O735" s="142" t="str">
        <f t="shared" si="2"/>
        <v/>
      </c>
      <c r="P735" s="140" t="str">
        <f t="shared" si="3"/>
        <v/>
      </c>
      <c r="Q735" s="139" t="str">
        <f t="shared" si="4"/>
        <v/>
      </c>
      <c r="R735" s="139" t="str">
        <f t="shared" si="5"/>
        <v/>
      </c>
      <c r="S735" s="139" t="str">
        <f t="shared" si="6"/>
        <v/>
      </c>
      <c r="T735" s="140" t="str">
        <f t="shared" si="7"/>
        <v/>
      </c>
      <c r="U735" s="136"/>
      <c r="V735" s="136"/>
      <c r="W735" s="136"/>
      <c r="X735" s="136"/>
      <c r="Y735" s="145"/>
      <c r="Z735" s="145"/>
    </row>
    <row r="736">
      <c r="E736" s="136"/>
      <c r="F736" s="136"/>
      <c r="G736" s="136"/>
      <c r="H736" s="137" t="str">
        <f t="shared" si="1"/>
        <v/>
      </c>
      <c r="I736" s="136"/>
      <c r="J736" s="136"/>
      <c r="K736" s="136"/>
      <c r="L736" s="136"/>
      <c r="M736" s="136"/>
      <c r="N736" s="136"/>
      <c r="O736" s="142" t="str">
        <f t="shared" si="2"/>
        <v/>
      </c>
      <c r="P736" s="140" t="str">
        <f t="shared" si="3"/>
        <v/>
      </c>
      <c r="Q736" s="139" t="str">
        <f t="shared" si="4"/>
        <v/>
      </c>
      <c r="R736" s="139" t="str">
        <f t="shared" si="5"/>
        <v/>
      </c>
      <c r="S736" s="139" t="str">
        <f t="shared" si="6"/>
        <v/>
      </c>
      <c r="T736" s="140" t="str">
        <f t="shared" si="7"/>
        <v/>
      </c>
      <c r="U736" s="136"/>
      <c r="V736" s="136"/>
      <c r="W736" s="136"/>
      <c r="X736" s="136"/>
      <c r="Y736" s="145"/>
      <c r="Z736" s="145"/>
    </row>
    <row r="737">
      <c r="E737" s="136"/>
      <c r="F737" s="136"/>
      <c r="G737" s="136"/>
      <c r="H737" s="137" t="str">
        <f t="shared" si="1"/>
        <v/>
      </c>
      <c r="I737" s="136"/>
      <c r="J737" s="136"/>
      <c r="K737" s="136"/>
      <c r="L737" s="136"/>
      <c r="M737" s="136"/>
      <c r="N737" s="136"/>
      <c r="O737" s="142" t="str">
        <f t="shared" si="2"/>
        <v/>
      </c>
      <c r="P737" s="140" t="str">
        <f t="shared" si="3"/>
        <v/>
      </c>
      <c r="Q737" s="139" t="str">
        <f t="shared" si="4"/>
        <v/>
      </c>
      <c r="R737" s="139" t="str">
        <f t="shared" si="5"/>
        <v/>
      </c>
      <c r="S737" s="139" t="str">
        <f t="shared" si="6"/>
        <v/>
      </c>
      <c r="T737" s="140" t="str">
        <f t="shared" si="7"/>
        <v/>
      </c>
      <c r="U737" s="136"/>
      <c r="V737" s="136"/>
      <c r="W737" s="136"/>
      <c r="X737" s="136"/>
      <c r="Y737" s="145"/>
      <c r="Z737" s="145"/>
    </row>
    <row r="738">
      <c r="E738" s="136"/>
      <c r="F738" s="136"/>
      <c r="G738" s="136"/>
      <c r="H738" s="137" t="str">
        <f t="shared" si="1"/>
        <v/>
      </c>
      <c r="I738" s="136"/>
      <c r="J738" s="136"/>
      <c r="K738" s="136"/>
      <c r="L738" s="136"/>
      <c r="M738" s="136"/>
      <c r="N738" s="136"/>
      <c r="O738" s="142" t="str">
        <f t="shared" si="2"/>
        <v/>
      </c>
      <c r="P738" s="140" t="str">
        <f t="shared" si="3"/>
        <v/>
      </c>
      <c r="Q738" s="139" t="str">
        <f t="shared" si="4"/>
        <v/>
      </c>
      <c r="R738" s="139" t="str">
        <f t="shared" si="5"/>
        <v/>
      </c>
      <c r="S738" s="139" t="str">
        <f t="shared" si="6"/>
        <v/>
      </c>
      <c r="T738" s="140" t="str">
        <f t="shared" si="7"/>
        <v/>
      </c>
      <c r="U738" s="136"/>
      <c r="V738" s="136"/>
      <c r="W738" s="136"/>
      <c r="X738" s="136"/>
      <c r="Y738" s="145"/>
      <c r="Z738" s="145"/>
    </row>
    <row r="739">
      <c r="E739" s="136"/>
      <c r="F739" s="136"/>
      <c r="G739" s="136"/>
      <c r="H739" s="137" t="str">
        <f t="shared" si="1"/>
        <v/>
      </c>
      <c r="I739" s="136"/>
      <c r="J739" s="136"/>
      <c r="K739" s="136"/>
      <c r="L739" s="136"/>
      <c r="M739" s="136"/>
      <c r="N739" s="136"/>
      <c r="O739" s="142" t="str">
        <f t="shared" si="2"/>
        <v/>
      </c>
      <c r="P739" s="140" t="str">
        <f t="shared" si="3"/>
        <v/>
      </c>
      <c r="Q739" s="139" t="str">
        <f t="shared" si="4"/>
        <v/>
      </c>
      <c r="R739" s="139" t="str">
        <f t="shared" si="5"/>
        <v/>
      </c>
      <c r="S739" s="139" t="str">
        <f t="shared" si="6"/>
        <v/>
      </c>
      <c r="T739" s="140" t="str">
        <f t="shared" si="7"/>
        <v/>
      </c>
      <c r="U739" s="136"/>
      <c r="V739" s="136"/>
      <c r="W739" s="136"/>
      <c r="X739" s="136"/>
      <c r="Y739" s="145"/>
      <c r="Z739" s="145"/>
    </row>
    <row r="740">
      <c r="E740" s="136"/>
      <c r="F740" s="136"/>
      <c r="G740" s="136"/>
      <c r="H740" s="137" t="str">
        <f t="shared" si="1"/>
        <v/>
      </c>
      <c r="I740" s="136"/>
      <c r="J740" s="136"/>
      <c r="K740" s="136"/>
      <c r="L740" s="136"/>
      <c r="M740" s="136"/>
      <c r="N740" s="136"/>
      <c r="O740" s="142" t="str">
        <f t="shared" si="2"/>
        <v/>
      </c>
      <c r="P740" s="140" t="str">
        <f t="shared" si="3"/>
        <v/>
      </c>
      <c r="Q740" s="139" t="str">
        <f t="shared" si="4"/>
        <v/>
      </c>
      <c r="R740" s="139" t="str">
        <f t="shared" si="5"/>
        <v/>
      </c>
      <c r="S740" s="139" t="str">
        <f t="shared" si="6"/>
        <v/>
      </c>
      <c r="T740" s="140" t="str">
        <f t="shared" si="7"/>
        <v/>
      </c>
      <c r="U740" s="136"/>
      <c r="V740" s="136"/>
      <c r="W740" s="136"/>
      <c r="X740" s="136"/>
      <c r="Y740" s="145"/>
      <c r="Z740" s="145"/>
    </row>
    <row r="741">
      <c r="E741" s="136"/>
      <c r="F741" s="136"/>
      <c r="G741" s="136"/>
      <c r="H741" s="137" t="str">
        <f t="shared" si="1"/>
        <v/>
      </c>
      <c r="I741" s="136"/>
      <c r="J741" s="136"/>
      <c r="K741" s="136"/>
      <c r="L741" s="136"/>
      <c r="M741" s="136"/>
      <c r="N741" s="136"/>
      <c r="O741" s="142" t="str">
        <f t="shared" si="2"/>
        <v/>
      </c>
      <c r="P741" s="140" t="str">
        <f t="shared" si="3"/>
        <v/>
      </c>
      <c r="Q741" s="139" t="str">
        <f t="shared" si="4"/>
        <v/>
      </c>
      <c r="R741" s="139" t="str">
        <f t="shared" si="5"/>
        <v/>
      </c>
      <c r="S741" s="139" t="str">
        <f t="shared" si="6"/>
        <v/>
      </c>
      <c r="T741" s="140" t="str">
        <f t="shared" si="7"/>
        <v/>
      </c>
      <c r="U741" s="136"/>
      <c r="V741" s="136"/>
      <c r="W741" s="136"/>
      <c r="X741" s="136"/>
      <c r="Y741" s="145"/>
      <c r="Z741" s="145"/>
    </row>
    <row r="742">
      <c r="E742" s="136"/>
      <c r="F742" s="136"/>
      <c r="G742" s="136"/>
      <c r="H742" s="137" t="str">
        <f t="shared" si="1"/>
        <v/>
      </c>
      <c r="I742" s="136"/>
      <c r="J742" s="136"/>
      <c r="K742" s="136"/>
      <c r="L742" s="136"/>
      <c r="M742" s="136"/>
      <c r="N742" s="136"/>
      <c r="O742" s="142" t="str">
        <f t="shared" si="2"/>
        <v/>
      </c>
      <c r="P742" s="140" t="str">
        <f t="shared" si="3"/>
        <v/>
      </c>
      <c r="Q742" s="139" t="str">
        <f t="shared" si="4"/>
        <v/>
      </c>
      <c r="R742" s="139" t="str">
        <f t="shared" si="5"/>
        <v/>
      </c>
      <c r="S742" s="139" t="str">
        <f t="shared" si="6"/>
        <v/>
      </c>
      <c r="T742" s="140" t="str">
        <f t="shared" si="7"/>
        <v/>
      </c>
      <c r="U742" s="136"/>
      <c r="V742" s="136"/>
      <c r="W742" s="136"/>
      <c r="X742" s="136"/>
      <c r="Y742" s="145"/>
      <c r="Z742" s="145"/>
    </row>
    <row r="743">
      <c r="E743" s="136"/>
      <c r="F743" s="136"/>
      <c r="G743" s="136"/>
      <c r="H743" s="137" t="str">
        <f t="shared" si="1"/>
        <v/>
      </c>
      <c r="I743" s="136"/>
      <c r="J743" s="136"/>
      <c r="K743" s="136"/>
      <c r="L743" s="136"/>
      <c r="M743" s="136"/>
      <c r="N743" s="136"/>
      <c r="O743" s="142" t="str">
        <f t="shared" si="2"/>
        <v/>
      </c>
      <c r="P743" s="140" t="str">
        <f t="shared" si="3"/>
        <v/>
      </c>
      <c r="Q743" s="139" t="str">
        <f t="shared" si="4"/>
        <v/>
      </c>
      <c r="R743" s="139" t="str">
        <f t="shared" si="5"/>
        <v/>
      </c>
      <c r="S743" s="139" t="str">
        <f t="shared" si="6"/>
        <v/>
      </c>
      <c r="T743" s="140" t="str">
        <f t="shared" si="7"/>
        <v/>
      </c>
      <c r="U743" s="136"/>
      <c r="V743" s="136"/>
      <c r="W743" s="136"/>
      <c r="X743" s="136"/>
      <c r="Y743" s="145"/>
      <c r="Z743" s="145"/>
    </row>
    <row r="744">
      <c r="E744" s="136"/>
      <c r="F744" s="136"/>
      <c r="G744" s="136"/>
      <c r="H744" s="137" t="str">
        <f t="shared" si="1"/>
        <v/>
      </c>
      <c r="I744" s="136"/>
      <c r="J744" s="136"/>
      <c r="K744" s="136"/>
      <c r="L744" s="136"/>
      <c r="M744" s="136"/>
      <c r="N744" s="136"/>
      <c r="O744" s="142" t="str">
        <f t="shared" si="2"/>
        <v/>
      </c>
      <c r="P744" s="140" t="str">
        <f t="shared" si="3"/>
        <v/>
      </c>
      <c r="Q744" s="139" t="str">
        <f t="shared" si="4"/>
        <v/>
      </c>
      <c r="R744" s="139" t="str">
        <f t="shared" si="5"/>
        <v/>
      </c>
      <c r="S744" s="139" t="str">
        <f t="shared" si="6"/>
        <v/>
      </c>
      <c r="T744" s="140" t="str">
        <f t="shared" si="7"/>
        <v/>
      </c>
      <c r="U744" s="136"/>
      <c r="V744" s="136"/>
      <c r="W744" s="136"/>
      <c r="X744" s="136"/>
      <c r="Y744" s="145"/>
      <c r="Z744" s="145"/>
    </row>
    <row r="745">
      <c r="E745" s="136"/>
      <c r="F745" s="136"/>
      <c r="G745" s="136"/>
      <c r="H745" s="137" t="str">
        <f t="shared" si="1"/>
        <v/>
      </c>
      <c r="I745" s="136"/>
      <c r="J745" s="136"/>
      <c r="K745" s="136"/>
      <c r="L745" s="136"/>
      <c r="M745" s="136"/>
      <c r="N745" s="136"/>
      <c r="O745" s="142" t="str">
        <f t="shared" si="2"/>
        <v/>
      </c>
      <c r="P745" s="140" t="str">
        <f t="shared" si="3"/>
        <v/>
      </c>
      <c r="Q745" s="139" t="str">
        <f t="shared" si="4"/>
        <v/>
      </c>
      <c r="R745" s="139" t="str">
        <f t="shared" si="5"/>
        <v/>
      </c>
      <c r="S745" s="139" t="str">
        <f t="shared" si="6"/>
        <v/>
      </c>
      <c r="T745" s="140" t="str">
        <f t="shared" si="7"/>
        <v/>
      </c>
      <c r="U745" s="136"/>
      <c r="V745" s="136"/>
      <c r="W745" s="136"/>
      <c r="X745" s="136"/>
      <c r="Y745" s="145"/>
      <c r="Z745" s="145"/>
    </row>
    <row r="746">
      <c r="E746" s="136"/>
      <c r="F746" s="136"/>
      <c r="G746" s="136"/>
      <c r="H746" s="137" t="str">
        <f t="shared" si="1"/>
        <v/>
      </c>
      <c r="I746" s="136"/>
      <c r="J746" s="136"/>
      <c r="K746" s="136"/>
      <c r="L746" s="136"/>
      <c r="M746" s="136"/>
      <c r="N746" s="136"/>
      <c r="O746" s="142" t="str">
        <f t="shared" si="2"/>
        <v/>
      </c>
      <c r="P746" s="140" t="str">
        <f t="shared" si="3"/>
        <v/>
      </c>
      <c r="Q746" s="139" t="str">
        <f t="shared" si="4"/>
        <v/>
      </c>
      <c r="R746" s="139" t="str">
        <f t="shared" si="5"/>
        <v/>
      </c>
      <c r="S746" s="139" t="str">
        <f t="shared" si="6"/>
        <v/>
      </c>
      <c r="T746" s="140" t="str">
        <f t="shared" si="7"/>
        <v/>
      </c>
      <c r="U746" s="136"/>
      <c r="V746" s="136"/>
      <c r="W746" s="136"/>
      <c r="X746" s="136"/>
      <c r="Y746" s="145"/>
      <c r="Z746" s="145"/>
    </row>
    <row r="747">
      <c r="E747" s="136"/>
      <c r="F747" s="136"/>
      <c r="G747" s="136"/>
      <c r="H747" s="137" t="str">
        <f t="shared" si="1"/>
        <v/>
      </c>
      <c r="I747" s="136"/>
      <c r="J747" s="136"/>
      <c r="K747" s="136"/>
      <c r="L747" s="136"/>
      <c r="M747" s="136"/>
      <c r="N747" s="136"/>
      <c r="O747" s="142" t="str">
        <f t="shared" si="2"/>
        <v/>
      </c>
      <c r="P747" s="140" t="str">
        <f t="shared" si="3"/>
        <v/>
      </c>
      <c r="Q747" s="139" t="str">
        <f t="shared" si="4"/>
        <v/>
      </c>
      <c r="R747" s="139" t="str">
        <f t="shared" si="5"/>
        <v/>
      </c>
      <c r="S747" s="139" t="str">
        <f t="shared" si="6"/>
        <v/>
      </c>
      <c r="T747" s="140" t="str">
        <f t="shared" si="7"/>
        <v/>
      </c>
      <c r="U747" s="136"/>
      <c r="V747" s="136"/>
      <c r="W747" s="136"/>
      <c r="X747" s="136"/>
      <c r="Y747" s="145"/>
      <c r="Z747" s="145"/>
    </row>
    <row r="748">
      <c r="E748" s="136"/>
      <c r="F748" s="136"/>
      <c r="G748" s="136"/>
      <c r="H748" s="137" t="str">
        <f t="shared" si="1"/>
        <v/>
      </c>
      <c r="I748" s="136"/>
      <c r="J748" s="136"/>
      <c r="K748" s="136"/>
      <c r="L748" s="136"/>
      <c r="M748" s="136"/>
      <c r="N748" s="136"/>
      <c r="O748" s="142" t="str">
        <f t="shared" si="2"/>
        <v/>
      </c>
      <c r="P748" s="140" t="str">
        <f t="shared" si="3"/>
        <v/>
      </c>
      <c r="Q748" s="139" t="str">
        <f t="shared" si="4"/>
        <v/>
      </c>
      <c r="R748" s="139" t="str">
        <f t="shared" si="5"/>
        <v/>
      </c>
      <c r="S748" s="139" t="str">
        <f t="shared" si="6"/>
        <v/>
      </c>
      <c r="T748" s="140" t="str">
        <f t="shared" si="7"/>
        <v/>
      </c>
      <c r="U748" s="136"/>
      <c r="V748" s="136"/>
      <c r="W748" s="136"/>
      <c r="X748" s="136"/>
      <c r="Y748" s="145"/>
      <c r="Z748" s="145"/>
    </row>
    <row r="749">
      <c r="E749" s="136"/>
      <c r="F749" s="136"/>
      <c r="G749" s="136"/>
      <c r="H749" s="137" t="str">
        <f t="shared" si="1"/>
        <v/>
      </c>
      <c r="I749" s="136"/>
      <c r="J749" s="136"/>
      <c r="K749" s="136"/>
      <c r="L749" s="136"/>
      <c r="M749" s="136"/>
      <c r="N749" s="136"/>
      <c r="O749" s="142" t="str">
        <f t="shared" si="2"/>
        <v/>
      </c>
      <c r="P749" s="140" t="str">
        <f t="shared" si="3"/>
        <v/>
      </c>
      <c r="Q749" s="139" t="str">
        <f t="shared" si="4"/>
        <v/>
      </c>
      <c r="R749" s="139" t="str">
        <f t="shared" si="5"/>
        <v/>
      </c>
      <c r="S749" s="139" t="str">
        <f t="shared" si="6"/>
        <v/>
      </c>
      <c r="T749" s="140" t="str">
        <f t="shared" si="7"/>
        <v/>
      </c>
      <c r="U749" s="136"/>
      <c r="V749" s="136"/>
      <c r="W749" s="136"/>
      <c r="X749" s="136"/>
      <c r="Y749" s="145"/>
      <c r="Z749" s="145"/>
    </row>
    <row r="750">
      <c r="E750" s="136"/>
      <c r="F750" s="136"/>
      <c r="G750" s="136"/>
      <c r="H750" s="137" t="str">
        <f t="shared" si="1"/>
        <v/>
      </c>
      <c r="I750" s="136"/>
      <c r="J750" s="136"/>
      <c r="K750" s="136"/>
      <c r="L750" s="136"/>
      <c r="M750" s="136"/>
      <c r="N750" s="136"/>
      <c r="O750" s="142" t="str">
        <f t="shared" si="2"/>
        <v/>
      </c>
      <c r="P750" s="140" t="str">
        <f t="shared" si="3"/>
        <v/>
      </c>
      <c r="Q750" s="139" t="str">
        <f t="shared" si="4"/>
        <v/>
      </c>
      <c r="R750" s="139" t="str">
        <f t="shared" si="5"/>
        <v/>
      </c>
      <c r="S750" s="139" t="str">
        <f t="shared" si="6"/>
        <v/>
      </c>
      <c r="T750" s="140" t="str">
        <f t="shared" si="7"/>
        <v/>
      </c>
      <c r="U750" s="136"/>
      <c r="V750" s="136"/>
      <c r="W750" s="136"/>
      <c r="X750" s="136"/>
      <c r="Y750" s="145"/>
      <c r="Z750" s="145"/>
    </row>
    <row r="751">
      <c r="E751" s="136"/>
      <c r="F751" s="136"/>
      <c r="G751" s="136"/>
      <c r="H751" s="137" t="str">
        <f t="shared" si="1"/>
        <v/>
      </c>
      <c r="I751" s="136"/>
      <c r="J751" s="136"/>
      <c r="K751" s="136"/>
      <c r="L751" s="136"/>
      <c r="M751" s="136"/>
      <c r="N751" s="136"/>
      <c r="O751" s="142" t="str">
        <f t="shared" si="2"/>
        <v/>
      </c>
      <c r="P751" s="140" t="str">
        <f t="shared" si="3"/>
        <v/>
      </c>
      <c r="Q751" s="139" t="str">
        <f t="shared" si="4"/>
        <v/>
      </c>
      <c r="R751" s="139" t="str">
        <f t="shared" si="5"/>
        <v/>
      </c>
      <c r="S751" s="139" t="str">
        <f t="shared" si="6"/>
        <v/>
      </c>
      <c r="T751" s="140" t="str">
        <f t="shared" si="7"/>
        <v/>
      </c>
      <c r="U751" s="136"/>
      <c r="V751" s="136"/>
      <c r="W751" s="136"/>
      <c r="X751" s="136"/>
      <c r="Y751" s="145"/>
      <c r="Z751" s="145"/>
    </row>
    <row r="752">
      <c r="E752" s="136"/>
      <c r="F752" s="136"/>
      <c r="G752" s="136"/>
      <c r="H752" s="137" t="str">
        <f t="shared" si="1"/>
        <v/>
      </c>
      <c r="I752" s="136"/>
      <c r="J752" s="136"/>
      <c r="K752" s="136"/>
      <c r="L752" s="136"/>
      <c r="M752" s="136"/>
      <c r="N752" s="136"/>
      <c r="O752" s="142" t="str">
        <f t="shared" si="2"/>
        <v/>
      </c>
      <c r="P752" s="140" t="str">
        <f t="shared" si="3"/>
        <v/>
      </c>
      <c r="Q752" s="139" t="str">
        <f t="shared" si="4"/>
        <v/>
      </c>
      <c r="R752" s="139" t="str">
        <f t="shared" si="5"/>
        <v/>
      </c>
      <c r="S752" s="139" t="str">
        <f t="shared" si="6"/>
        <v/>
      </c>
      <c r="T752" s="140" t="str">
        <f t="shared" si="7"/>
        <v/>
      </c>
      <c r="U752" s="136"/>
      <c r="V752" s="136"/>
      <c r="W752" s="136"/>
      <c r="X752" s="136"/>
      <c r="Y752" s="145"/>
      <c r="Z752" s="145"/>
    </row>
    <row r="753">
      <c r="E753" s="136"/>
      <c r="F753" s="136"/>
      <c r="G753" s="136"/>
      <c r="H753" s="137" t="str">
        <f t="shared" si="1"/>
        <v/>
      </c>
      <c r="I753" s="136"/>
      <c r="J753" s="136"/>
      <c r="K753" s="136"/>
      <c r="L753" s="136"/>
      <c r="M753" s="136"/>
      <c r="N753" s="136"/>
      <c r="O753" s="142" t="str">
        <f t="shared" si="2"/>
        <v/>
      </c>
      <c r="P753" s="140" t="str">
        <f t="shared" si="3"/>
        <v/>
      </c>
      <c r="Q753" s="139" t="str">
        <f t="shared" si="4"/>
        <v/>
      </c>
      <c r="R753" s="139" t="str">
        <f t="shared" si="5"/>
        <v/>
      </c>
      <c r="S753" s="139" t="str">
        <f t="shared" si="6"/>
        <v/>
      </c>
      <c r="T753" s="140" t="str">
        <f t="shared" si="7"/>
        <v/>
      </c>
      <c r="U753" s="136"/>
      <c r="V753" s="136"/>
      <c r="W753" s="136"/>
      <c r="X753" s="136"/>
      <c r="Y753" s="145"/>
      <c r="Z753" s="145"/>
    </row>
    <row r="754">
      <c r="E754" s="136"/>
      <c r="F754" s="136"/>
      <c r="G754" s="136"/>
      <c r="H754" s="137" t="str">
        <f t="shared" si="1"/>
        <v/>
      </c>
      <c r="I754" s="136"/>
      <c r="J754" s="136"/>
      <c r="K754" s="136"/>
      <c r="L754" s="136"/>
      <c r="M754" s="136"/>
      <c r="N754" s="136"/>
      <c r="O754" s="142" t="str">
        <f t="shared" si="2"/>
        <v/>
      </c>
      <c r="P754" s="140" t="str">
        <f t="shared" si="3"/>
        <v/>
      </c>
      <c r="Q754" s="139" t="str">
        <f t="shared" si="4"/>
        <v/>
      </c>
      <c r="R754" s="139" t="str">
        <f t="shared" si="5"/>
        <v/>
      </c>
      <c r="S754" s="139" t="str">
        <f t="shared" si="6"/>
        <v/>
      </c>
      <c r="T754" s="140" t="str">
        <f t="shared" si="7"/>
        <v/>
      </c>
      <c r="U754" s="136"/>
      <c r="V754" s="136"/>
      <c r="W754" s="136"/>
      <c r="X754" s="136"/>
      <c r="Y754" s="145"/>
      <c r="Z754" s="145"/>
    </row>
    <row r="755">
      <c r="E755" s="136"/>
      <c r="F755" s="136"/>
      <c r="G755" s="136"/>
      <c r="H755" s="137" t="str">
        <f t="shared" si="1"/>
        <v/>
      </c>
      <c r="I755" s="136"/>
      <c r="J755" s="136"/>
      <c r="K755" s="136"/>
      <c r="L755" s="136"/>
      <c r="M755" s="136"/>
      <c r="N755" s="136"/>
      <c r="O755" s="142" t="str">
        <f t="shared" si="2"/>
        <v/>
      </c>
      <c r="P755" s="140" t="str">
        <f t="shared" si="3"/>
        <v/>
      </c>
      <c r="Q755" s="139" t="str">
        <f t="shared" si="4"/>
        <v/>
      </c>
      <c r="R755" s="139" t="str">
        <f t="shared" si="5"/>
        <v/>
      </c>
      <c r="S755" s="139" t="str">
        <f t="shared" si="6"/>
        <v/>
      </c>
      <c r="T755" s="140" t="str">
        <f t="shared" si="7"/>
        <v/>
      </c>
      <c r="U755" s="136"/>
      <c r="V755" s="136"/>
      <c r="W755" s="136"/>
      <c r="X755" s="136"/>
      <c r="Y755" s="145"/>
      <c r="Z755" s="145"/>
    </row>
    <row r="756">
      <c r="E756" s="136"/>
      <c r="F756" s="136"/>
      <c r="G756" s="136"/>
      <c r="H756" s="137" t="str">
        <f t="shared" si="1"/>
        <v/>
      </c>
      <c r="I756" s="136"/>
      <c r="J756" s="136"/>
      <c r="K756" s="136"/>
      <c r="L756" s="136"/>
      <c r="M756" s="136"/>
      <c r="N756" s="136"/>
      <c r="O756" s="142" t="str">
        <f t="shared" si="2"/>
        <v/>
      </c>
      <c r="P756" s="140" t="str">
        <f t="shared" si="3"/>
        <v/>
      </c>
      <c r="Q756" s="139" t="str">
        <f t="shared" si="4"/>
        <v/>
      </c>
      <c r="R756" s="139" t="str">
        <f t="shared" si="5"/>
        <v/>
      </c>
      <c r="S756" s="139" t="str">
        <f t="shared" si="6"/>
        <v/>
      </c>
      <c r="T756" s="140" t="str">
        <f t="shared" si="7"/>
        <v/>
      </c>
      <c r="U756" s="136"/>
      <c r="V756" s="136"/>
      <c r="W756" s="136"/>
      <c r="X756" s="136"/>
      <c r="Y756" s="145"/>
      <c r="Z756" s="145"/>
    </row>
    <row r="757">
      <c r="E757" s="136"/>
      <c r="F757" s="136"/>
      <c r="G757" s="136"/>
      <c r="H757" s="137" t="str">
        <f t="shared" si="1"/>
        <v/>
      </c>
      <c r="I757" s="136"/>
      <c r="J757" s="136"/>
      <c r="K757" s="136"/>
      <c r="L757" s="136"/>
      <c r="M757" s="136"/>
      <c r="N757" s="136"/>
      <c r="O757" s="142" t="str">
        <f t="shared" si="2"/>
        <v/>
      </c>
      <c r="P757" s="140" t="str">
        <f t="shared" si="3"/>
        <v/>
      </c>
      <c r="Q757" s="139" t="str">
        <f t="shared" si="4"/>
        <v/>
      </c>
      <c r="R757" s="139" t="str">
        <f t="shared" si="5"/>
        <v/>
      </c>
      <c r="S757" s="139" t="str">
        <f t="shared" si="6"/>
        <v/>
      </c>
      <c r="T757" s="140" t="str">
        <f t="shared" si="7"/>
        <v/>
      </c>
      <c r="U757" s="136"/>
      <c r="V757" s="136"/>
      <c r="W757" s="136"/>
      <c r="X757" s="136"/>
      <c r="Y757" s="145"/>
      <c r="Z757" s="145"/>
    </row>
    <row r="758">
      <c r="E758" s="136"/>
      <c r="F758" s="136"/>
      <c r="G758" s="136"/>
      <c r="H758" s="137" t="str">
        <f t="shared" si="1"/>
        <v/>
      </c>
      <c r="I758" s="136"/>
      <c r="J758" s="136"/>
      <c r="K758" s="136"/>
      <c r="L758" s="136"/>
      <c r="M758" s="136"/>
      <c r="N758" s="136"/>
      <c r="O758" s="142" t="str">
        <f t="shared" si="2"/>
        <v/>
      </c>
      <c r="P758" s="140" t="str">
        <f t="shared" si="3"/>
        <v/>
      </c>
      <c r="Q758" s="139" t="str">
        <f t="shared" si="4"/>
        <v/>
      </c>
      <c r="R758" s="139" t="str">
        <f t="shared" si="5"/>
        <v/>
      </c>
      <c r="S758" s="139" t="str">
        <f t="shared" si="6"/>
        <v/>
      </c>
      <c r="T758" s="140" t="str">
        <f t="shared" si="7"/>
        <v/>
      </c>
      <c r="U758" s="136"/>
      <c r="V758" s="136"/>
      <c r="W758" s="136"/>
      <c r="X758" s="136"/>
      <c r="Y758" s="145"/>
      <c r="Z758" s="145"/>
    </row>
    <row r="759">
      <c r="E759" s="136"/>
      <c r="F759" s="136"/>
      <c r="G759" s="136"/>
      <c r="H759" s="137" t="str">
        <f t="shared" si="1"/>
        <v/>
      </c>
      <c r="I759" s="136"/>
      <c r="J759" s="136"/>
      <c r="K759" s="136"/>
      <c r="L759" s="136"/>
      <c r="M759" s="136"/>
      <c r="N759" s="136"/>
      <c r="O759" s="142" t="str">
        <f t="shared" si="2"/>
        <v/>
      </c>
      <c r="P759" s="140" t="str">
        <f t="shared" si="3"/>
        <v/>
      </c>
      <c r="Q759" s="139" t="str">
        <f t="shared" si="4"/>
        <v/>
      </c>
      <c r="R759" s="139" t="str">
        <f t="shared" si="5"/>
        <v/>
      </c>
      <c r="S759" s="139" t="str">
        <f t="shared" si="6"/>
        <v/>
      </c>
      <c r="T759" s="140" t="str">
        <f t="shared" si="7"/>
        <v/>
      </c>
      <c r="U759" s="136"/>
      <c r="V759" s="136"/>
      <c r="W759" s="136"/>
      <c r="X759" s="136"/>
      <c r="Y759" s="145"/>
      <c r="Z759" s="145"/>
    </row>
    <row r="760">
      <c r="E760" s="136"/>
      <c r="F760" s="136"/>
      <c r="G760" s="136"/>
      <c r="H760" s="137" t="str">
        <f t="shared" si="1"/>
        <v/>
      </c>
      <c r="I760" s="136"/>
      <c r="J760" s="136"/>
      <c r="K760" s="136"/>
      <c r="L760" s="136"/>
      <c r="M760" s="136"/>
      <c r="N760" s="136"/>
      <c r="O760" s="142" t="str">
        <f t="shared" si="2"/>
        <v/>
      </c>
      <c r="P760" s="140" t="str">
        <f t="shared" si="3"/>
        <v/>
      </c>
      <c r="Q760" s="139" t="str">
        <f t="shared" si="4"/>
        <v/>
      </c>
      <c r="R760" s="139" t="str">
        <f t="shared" si="5"/>
        <v/>
      </c>
      <c r="S760" s="139" t="str">
        <f t="shared" si="6"/>
        <v/>
      </c>
      <c r="T760" s="140" t="str">
        <f t="shared" si="7"/>
        <v/>
      </c>
      <c r="U760" s="136"/>
      <c r="V760" s="136"/>
      <c r="W760" s="136"/>
      <c r="X760" s="136"/>
      <c r="Y760" s="145"/>
      <c r="Z760" s="145"/>
    </row>
    <row r="761">
      <c r="E761" s="136"/>
      <c r="F761" s="136"/>
      <c r="G761" s="136"/>
      <c r="H761" s="137" t="str">
        <f t="shared" si="1"/>
        <v/>
      </c>
      <c r="I761" s="136"/>
      <c r="J761" s="136"/>
      <c r="K761" s="136"/>
      <c r="L761" s="136"/>
      <c r="M761" s="136"/>
      <c r="N761" s="136"/>
      <c r="O761" s="142" t="str">
        <f t="shared" si="2"/>
        <v/>
      </c>
      <c r="P761" s="140" t="str">
        <f t="shared" si="3"/>
        <v/>
      </c>
      <c r="Q761" s="139" t="str">
        <f t="shared" si="4"/>
        <v/>
      </c>
      <c r="R761" s="139" t="str">
        <f t="shared" si="5"/>
        <v/>
      </c>
      <c r="S761" s="139" t="str">
        <f t="shared" si="6"/>
        <v/>
      </c>
      <c r="T761" s="140" t="str">
        <f t="shared" si="7"/>
        <v/>
      </c>
      <c r="U761" s="136"/>
      <c r="V761" s="136"/>
      <c r="W761" s="136"/>
      <c r="X761" s="136"/>
      <c r="Y761" s="145"/>
      <c r="Z761" s="145"/>
    </row>
    <row r="762">
      <c r="E762" s="136"/>
      <c r="F762" s="136"/>
      <c r="G762" s="136"/>
      <c r="H762" s="137" t="str">
        <f t="shared" si="1"/>
        <v/>
      </c>
      <c r="I762" s="136"/>
      <c r="J762" s="136"/>
      <c r="K762" s="136"/>
      <c r="L762" s="136"/>
      <c r="M762" s="136"/>
      <c r="N762" s="136"/>
      <c r="O762" s="142" t="str">
        <f t="shared" si="2"/>
        <v/>
      </c>
      <c r="P762" s="140" t="str">
        <f t="shared" si="3"/>
        <v/>
      </c>
      <c r="Q762" s="139" t="str">
        <f t="shared" si="4"/>
        <v/>
      </c>
      <c r="R762" s="139" t="str">
        <f t="shared" si="5"/>
        <v/>
      </c>
      <c r="S762" s="139" t="str">
        <f t="shared" si="6"/>
        <v/>
      </c>
      <c r="T762" s="140" t="str">
        <f t="shared" si="7"/>
        <v/>
      </c>
      <c r="U762" s="136"/>
      <c r="V762" s="136"/>
      <c r="W762" s="136"/>
      <c r="X762" s="136"/>
      <c r="Y762" s="145"/>
      <c r="Z762" s="145"/>
    </row>
    <row r="763">
      <c r="E763" s="136"/>
      <c r="F763" s="136"/>
      <c r="G763" s="136"/>
      <c r="H763" s="137" t="str">
        <f t="shared" si="1"/>
        <v/>
      </c>
      <c r="I763" s="136"/>
      <c r="J763" s="136"/>
      <c r="K763" s="136"/>
      <c r="L763" s="136"/>
      <c r="M763" s="136"/>
      <c r="N763" s="136"/>
      <c r="O763" s="142" t="str">
        <f t="shared" si="2"/>
        <v/>
      </c>
      <c r="P763" s="140" t="str">
        <f t="shared" si="3"/>
        <v/>
      </c>
      <c r="Q763" s="139" t="str">
        <f t="shared" si="4"/>
        <v/>
      </c>
      <c r="R763" s="139" t="str">
        <f t="shared" si="5"/>
        <v/>
      </c>
      <c r="S763" s="139" t="str">
        <f t="shared" si="6"/>
        <v/>
      </c>
      <c r="T763" s="140" t="str">
        <f t="shared" si="7"/>
        <v/>
      </c>
      <c r="U763" s="136"/>
      <c r="V763" s="136"/>
      <c r="W763" s="136"/>
      <c r="X763" s="136"/>
      <c r="Y763" s="145"/>
      <c r="Z763" s="145"/>
    </row>
    <row r="764">
      <c r="E764" s="136"/>
      <c r="F764" s="136"/>
      <c r="G764" s="136"/>
      <c r="H764" s="137" t="str">
        <f t="shared" si="1"/>
        <v/>
      </c>
      <c r="I764" s="136"/>
      <c r="J764" s="136"/>
      <c r="K764" s="136"/>
      <c r="L764" s="136"/>
      <c r="M764" s="136"/>
      <c r="N764" s="136"/>
      <c r="O764" s="142" t="str">
        <f t="shared" si="2"/>
        <v/>
      </c>
      <c r="P764" s="140" t="str">
        <f t="shared" si="3"/>
        <v/>
      </c>
      <c r="Q764" s="139" t="str">
        <f t="shared" si="4"/>
        <v/>
      </c>
      <c r="R764" s="139" t="str">
        <f t="shared" si="5"/>
        <v/>
      </c>
      <c r="S764" s="139" t="str">
        <f t="shared" si="6"/>
        <v/>
      </c>
      <c r="T764" s="140" t="str">
        <f t="shared" si="7"/>
        <v/>
      </c>
      <c r="U764" s="136"/>
      <c r="V764" s="136"/>
      <c r="W764" s="136"/>
      <c r="X764" s="136"/>
      <c r="Y764" s="145"/>
      <c r="Z764" s="145"/>
    </row>
    <row r="765">
      <c r="E765" s="136"/>
      <c r="F765" s="136"/>
      <c r="G765" s="136"/>
      <c r="H765" s="137" t="str">
        <f t="shared" si="1"/>
        <v/>
      </c>
      <c r="I765" s="136"/>
      <c r="J765" s="136"/>
      <c r="K765" s="136"/>
      <c r="L765" s="136"/>
      <c r="M765" s="136"/>
      <c r="N765" s="136"/>
      <c r="O765" s="142" t="str">
        <f t="shared" si="2"/>
        <v/>
      </c>
      <c r="P765" s="140" t="str">
        <f t="shared" si="3"/>
        <v/>
      </c>
      <c r="Q765" s="139" t="str">
        <f t="shared" si="4"/>
        <v/>
      </c>
      <c r="R765" s="139" t="str">
        <f t="shared" si="5"/>
        <v/>
      </c>
      <c r="S765" s="139" t="str">
        <f t="shared" si="6"/>
        <v/>
      </c>
      <c r="T765" s="140" t="str">
        <f t="shared" si="7"/>
        <v/>
      </c>
      <c r="U765" s="136"/>
      <c r="V765" s="136"/>
      <c r="W765" s="136"/>
      <c r="X765" s="136"/>
      <c r="Y765" s="145"/>
      <c r="Z765" s="145"/>
    </row>
    <row r="766">
      <c r="E766" s="136"/>
      <c r="F766" s="136"/>
      <c r="G766" s="136"/>
      <c r="H766" s="137" t="str">
        <f t="shared" si="1"/>
        <v/>
      </c>
      <c r="I766" s="136"/>
      <c r="J766" s="136"/>
      <c r="K766" s="136"/>
      <c r="L766" s="136"/>
      <c r="M766" s="136"/>
      <c r="N766" s="136"/>
      <c r="O766" s="142" t="str">
        <f t="shared" si="2"/>
        <v/>
      </c>
      <c r="P766" s="140" t="str">
        <f t="shared" si="3"/>
        <v/>
      </c>
      <c r="Q766" s="139" t="str">
        <f t="shared" si="4"/>
        <v/>
      </c>
      <c r="R766" s="139" t="str">
        <f t="shared" si="5"/>
        <v/>
      </c>
      <c r="S766" s="139" t="str">
        <f t="shared" si="6"/>
        <v/>
      </c>
      <c r="T766" s="140" t="str">
        <f t="shared" si="7"/>
        <v/>
      </c>
      <c r="U766" s="136"/>
      <c r="V766" s="136"/>
      <c r="W766" s="136"/>
      <c r="X766" s="136"/>
      <c r="Y766" s="145"/>
      <c r="Z766" s="145"/>
    </row>
    <row r="767">
      <c r="E767" s="136"/>
      <c r="F767" s="136"/>
      <c r="G767" s="136"/>
      <c r="H767" s="137" t="str">
        <f t="shared" si="1"/>
        <v/>
      </c>
      <c r="I767" s="136"/>
      <c r="J767" s="136"/>
      <c r="K767" s="136"/>
      <c r="L767" s="136"/>
      <c r="M767" s="136"/>
      <c r="N767" s="136"/>
      <c r="O767" s="142" t="str">
        <f t="shared" si="2"/>
        <v/>
      </c>
      <c r="P767" s="140" t="str">
        <f t="shared" si="3"/>
        <v/>
      </c>
      <c r="Q767" s="139" t="str">
        <f t="shared" si="4"/>
        <v/>
      </c>
      <c r="R767" s="139" t="str">
        <f t="shared" si="5"/>
        <v/>
      </c>
      <c r="S767" s="139" t="str">
        <f t="shared" si="6"/>
        <v/>
      </c>
      <c r="T767" s="140" t="str">
        <f t="shared" si="7"/>
        <v/>
      </c>
      <c r="U767" s="136"/>
      <c r="V767" s="136"/>
      <c r="W767" s="136"/>
      <c r="X767" s="136"/>
      <c r="Y767" s="145"/>
      <c r="Z767" s="145"/>
    </row>
    <row r="768">
      <c r="E768" s="136"/>
      <c r="F768" s="136"/>
      <c r="G768" s="136"/>
      <c r="H768" s="137" t="str">
        <f t="shared" si="1"/>
        <v/>
      </c>
      <c r="I768" s="136"/>
      <c r="J768" s="136"/>
      <c r="K768" s="136"/>
      <c r="L768" s="136"/>
      <c r="M768" s="136"/>
      <c r="N768" s="136"/>
      <c r="O768" s="142" t="str">
        <f t="shared" si="2"/>
        <v/>
      </c>
      <c r="P768" s="140" t="str">
        <f t="shared" si="3"/>
        <v/>
      </c>
      <c r="Q768" s="139" t="str">
        <f t="shared" si="4"/>
        <v/>
      </c>
      <c r="R768" s="139" t="str">
        <f t="shared" si="5"/>
        <v/>
      </c>
      <c r="S768" s="139" t="str">
        <f t="shared" si="6"/>
        <v/>
      </c>
      <c r="T768" s="140" t="str">
        <f t="shared" si="7"/>
        <v/>
      </c>
      <c r="U768" s="136"/>
      <c r="V768" s="136"/>
      <c r="W768" s="136"/>
      <c r="X768" s="136"/>
      <c r="Y768" s="145"/>
      <c r="Z768" s="145"/>
    </row>
    <row r="769">
      <c r="E769" s="136"/>
      <c r="F769" s="136"/>
      <c r="G769" s="136"/>
      <c r="H769" s="137" t="str">
        <f t="shared" si="1"/>
        <v/>
      </c>
      <c r="I769" s="136"/>
      <c r="J769" s="136"/>
      <c r="K769" s="136"/>
      <c r="L769" s="136"/>
      <c r="M769" s="136"/>
      <c r="N769" s="136"/>
      <c r="O769" s="142" t="str">
        <f t="shared" si="2"/>
        <v/>
      </c>
      <c r="P769" s="140" t="str">
        <f t="shared" si="3"/>
        <v/>
      </c>
      <c r="Q769" s="139" t="str">
        <f t="shared" si="4"/>
        <v/>
      </c>
      <c r="R769" s="139" t="str">
        <f t="shared" si="5"/>
        <v/>
      </c>
      <c r="S769" s="139" t="str">
        <f t="shared" si="6"/>
        <v/>
      </c>
      <c r="T769" s="140" t="str">
        <f t="shared" si="7"/>
        <v/>
      </c>
      <c r="U769" s="136"/>
      <c r="V769" s="136"/>
      <c r="W769" s="136"/>
      <c r="X769" s="136"/>
      <c r="Y769" s="145"/>
      <c r="Z769" s="145"/>
    </row>
    <row r="770">
      <c r="E770" s="136"/>
      <c r="F770" s="136"/>
      <c r="G770" s="136"/>
      <c r="H770" s="137" t="str">
        <f t="shared" si="1"/>
        <v/>
      </c>
      <c r="I770" s="136"/>
      <c r="J770" s="136"/>
      <c r="K770" s="136"/>
      <c r="L770" s="136"/>
      <c r="M770" s="136"/>
      <c r="N770" s="136"/>
      <c r="O770" s="142" t="str">
        <f t="shared" si="2"/>
        <v/>
      </c>
      <c r="P770" s="140" t="str">
        <f t="shared" si="3"/>
        <v/>
      </c>
      <c r="Q770" s="139" t="str">
        <f t="shared" si="4"/>
        <v/>
      </c>
      <c r="R770" s="139" t="str">
        <f t="shared" si="5"/>
        <v/>
      </c>
      <c r="S770" s="139" t="str">
        <f t="shared" si="6"/>
        <v/>
      </c>
      <c r="T770" s="140" t="str">
        <f t="shared" si="7"/>
        <v/>
      </c>
      <c r="U770" s="136"/>
      <c r="V770" s="136"/>
      <c r="W770" s="136"/>
      <c r="X770" s="136"/>
      <c r="Y770" s="145"/>
      <c r="Z770" s="145"/>
    </row>
    <row r="771">
      <c r="E771" s="136"/>
      <c r="F771" s="136"/>
      <c r="G771" s="136"/>
      <c r="H771" s="137" t="str">
        <f t="shared" si="1"/>
        <v/>
      </c>
      <c r="I771" s="136"/>
      <c r="J771" s="136"/>
      <c r="K771" s="136"/>
      <c r="L771" s="136"/>
      <c r="M771" s="136"/>
      <c r="N771" s="136"/>
      <c r="O771" s="142" t="str">
        <f t="shared" si="2"/>
        <v/>
      </c>
      <c r="P771" s="140" t="str">
        <f t="shared" si="3"/>
        <v/>
      </c>
      <c r="Q771" s="139" t="str">
        <f t="shared" si="4"/>
        <v/>
      </c>
      <c r="R771" s="139" t="str">
        <f t="shared" si="5"/>
        <v/>
      </c>
      <c r="S771" s="139" t="str">
        <f t="shared" si="6"/>
        <v/>
      </c>
      <c r="T771" s="140" t="str">
        <f t="shared" si="7"/>
        <v/>
      </c>
      <c r="U771" s="136"/>
      <c r="V771" s="136"/>
      <c r="W771" s="136"/>
      <c r="X771" s="136"/>
      <c r="Y771" s="145"/>
      <c r="Z771" s="145"/>
    </row>
    <row r="772">
      <c r="E772" s="136"/>
      <c r="F772" s="136"/>
      <c r="G772" s="136"/>
      <c r="H772" s="137" t="str">
        <f t="shared" si="1"/>
        <v/>
      </c>
      <c r="I772" s="136"/>
      <c r="J772" s="136"/>
      <c r="K772" s="136"/>
      <c r="L772" s="136"/>
      <c r="M772" s="136"/>
      <c r="N772" s="136"/>
      <c r="O772" s="142" t="str">
        <f t="shared" si="2"/>
        <v/>
      </c>
      <c r="P772" s="140" t="str">
        <f t="shared" si="3"/>
        <v/>
      </c>
      <c r="Q772" s="139" t="str">
        <f t="shared" si="4"/>
        <v/>
      </c>
      <c r="R772" s="139" t="str">
        <f t="shared" si="5"/>
        <v/>
      </c>
      <c r="S772" s="139" t="str">
        <f t="shared" si="6"/>
        <v/>
      </c>
      <c r="T772" s="140" t="str">
        <f t="shared" si="7"/>
        <v/>
      </c>
      <c r="U772" s="136"/>
      <c r="V772" s="136"/>
      <c r="W772" s="136"/>
      <c r="X772" s="136"/>
      <c r="Y772" s="145"/>
      <c r="Z772" s="145"/>
    </row>
    <row r="773">
      <c r="E773" s="136"/>
      <c r="F773" s="136"/>
      <c r="G773" s="136"/>
      <c r="H773" s="137" t="str">
        <f t="shared" si="1"/>
        <v/>
      </c>
      <c r="I773" s="136"/>
      <c r="J773" s="136"/>
      <c r="K773" s="136"/>
      <c r="L773" s="136"/>
      <c r="M773" s="136"/>
      <c r="N773" s="136"/>
      <c r="O773" s="142" t="str">
        <f t="shared" si="2"/>
        <v/>
      </c>
      <c r="P773" s="140" t="str">
        <f t="shared" si="3"/>
        <v/>
      </c>
      <c r="Q773" s="139" t="str">
        <f t="shared" si="4"/>
        <v/>
      </c>
      <c r="R773" s="139" t="str">
        <f t="shared" si="5"/>
        <v/>
      </c>
      <c r="S773" s="139" t="str">
        <f t="shared" si="6"/>
        <v/>
      </c>
      <c r="T773" s="140" t="str">
        <f t="shared" si="7"/>
        <v/>
      </c>
      <c r="U773" s="136"/>
      <c r="V773" s="136"/>
      <c r="W773" s="136"/>
      <c r="X773" s="136"/>
      <c r="Y773" s="145"/>
      <c r="Z773" s="145"/>
    </row>
    <row r="774">
      <c r="E774" s="136"/>
      <c r="F774" s="136"/>
      <c r="G774" s="136"/>
      <c r="H774" s="137" t="str">
        <f t="shared" si="1"/>
        <v/>
      </c>
      <c r="I774" s="136"/>
      <c r="J774" s="136"/>
      <c r="K774" s="136"/>
      <c r="L774" s="136"/>
      <c r="M774" s="136"/>
      <c r="N774" s="136"/>
      <c r="O774" s="142" t="str">
        <f t="shared" si="2"/>
        <v/>
      </c>
      <c r="P774" s="140" t="str">
        <f t="shared" si="3"/>
        <v/>
      </c>
      <c r="Q774" s="139" t="str">
        <f t="shared" si="4"/>
        <v/>
      </c>
      <c r="R774" s="139" t="str">
        <f t="shared" si="5"/>
        <v/>
      </c>
      <c r="S774" s="139" t="str">
        <f t="shared" si="6"/>
        <v/>
      </c>
      <c r="T774" s="140" t="str">
        <f t="shared" si="7"/>
        <v/>
      </c>
      <c r="U774" s="136"/>
      <c r="V774" s="136"/>
      <c r="W774" s="136"/>
      <c r="X774" s="136"/>
      <c r="Y774" s="145"/>
      <c r="Z774" s="145"/>
    </row>
    <row r="775">
      <c r="E775" s="136"/>
      <c r="F775" s="136"/>
      <c r="G775" s="136"/>
      <c r="H775" s="137" t="str">
        <f t="shared" si="1"/>
        <v/>
      </c>
      <c r="I775" s="136"/>
      <c r="J775" s="136"/>
      <c r="K775" s="136"/>
      <c r="L775" s="136"/>
      <c r="M775" s="136"/>
      <c r="N775" s="136"/>
      <c r="O775" s="142" t="str">
        <f t="shared" si="2"/>
        <v/>
      </c>
      <c r="P775" s="140" t="str">
        <f t="shared" si="3"/>
        <v/>
      </c>
      <c r="Q775" s="139" t="str">
        <f t="shared" si="4"/>
        <v/>
      </c>
      <c r="R775" s="139" t="str">
        <f t="shared" si="5"/>
        <v/>
      </c>
      <c r="S775" s="139" t="str">
        <f t="shared" si="6"/>
        <v/>
      </c>
      <c r="T775" s="140" t="str">
        <f t="shared" si="7"/>
        <v/>
      </c>
      <c r="U775" s="136"/>
      <c r="V775" s="136"/>
      <c r="W775" s="136"/>
      <c r="X775" s="136"/>
      <c r="Y775" s="145"/>
      <c r="Z775" s="145"/>
    </row>
    <row r="776">
      <c r="E776" s="136"/>
      <c r="F776" s="136"/>
      <c r="G776" s="136"/>
      <c r="H776" s="137" t="str">
        <f t="shared" si="1"/>
        <v/>
      </c>
      <c r="I776" s="136"/>
      <c r="J776" s="136"/>
      <c r="K776" s="136"/>
      <c r="L776" s="136"/>
      <c r="M776" s="136"/>
      <c r="N776" s="136"/>
      <c r="O776" s="142" t="str">
        <f t="shared" si="2"/>
        <v/>
      </c>
      <c r="P776" s="140" t="str">
        <f t="shared" si="3"/>
        <v/>
      </c>
      <c r="Q776" s="139" t="str">
        <f t="shared" si="4"/>
        <v/>
      </c>
      <c r="R776" s="139" t="str">
        <f t="shared" si="5"/>
        <v/>
      </c>
      <c r="S776" s="139" t="str">
        <f t="shared" si="6"/>
        <v/>
      </c>
      <c r="T776" s="140" t="str">
        <f t="shared" si="7"/>
        <v/>
      </c>
      <c r="U776" s="136"/>
      <c r="V776" s="136"/>
      <c r="W776" s="136"/>
      <c r="X776" s="136"/>
      <c r="Y776" s="145"/>
      <c r="Z776" s="145"/>
    </row>
    <row r="777">
      <c r="E777" s="136"/>
      <c r="F777" s="136"/>
      <c r="G777" s="136"/>
      <c r="H777" s="137" t="str">
        <f t="shared" si="1"/>
        <v/>
      </c>
      <c r="I777" s="136"/>
      <c r="J777" s="136"/>
      <c r="K777" s="136"/>
      <c r="L777" s="136"/>
      <c r="M777" s="136"/>
      <c r="N777" s="136"/>
      <c r="O777" s="142" t="str">
        <f t="shared" si="2"/>
        <v/>
      </c>
      <c r="P777" s="140" t="str">
        <f t="shared" si="3"/>
        <v/>
      </c>
      <c r="Q777" s="139" t="str">
        <f t="shared" si="4"/>
        <v/>
      </c>
      <c r="R777" s="139" t="str">
        <f t="shared" si="5"/>
        <v/>
      </c>
      <c r="S777" s="139" t="str">
        <f t="shared" si="6"/>
        <v/>
      </c>
      <c r="T777" s="140" t="str">
        <f t="shared" si="7"/>
        <v/>
      </c>
      <c r="U777" s="136"/>
      <c r="V777" s="136"/>
      <c r="W777" s="136"/>
      <c r="X777" s="136"/>
      <c r="Y777" s="145"/>
      <c r="Z777" s="145"/>
    </row>
    <row r="778">
      <c r="E778" s="136"/>
      <c r="F778" s="136"/>
      <c r="G778" s="136"/>
      <c r="H778" s="137" t="str">
        <f t="shared" si="1"/>
        <v/>
      </c>
      <c r="I778" s="136"/>
      <c r="J778" s="136"/>
      <c r="K778" s="136"/>
      <c r="L778" s="136"/>
      <c r="M778" s="136"/>
      <c r="N778" s="136"/>
      <c r="O778" s="142" t="str">
        <f t="shared" si="2"/>
        <v/>
      </c>
      <c r="P778" s="140" t="str">
        <f t="shared" si="3"/>
        <v/>
      </c>
      <c r="Q778" s="139" t="str">
        <f t="shared" si="4"/>
        <v/>
      </c>
      <c r="R778" s="139" t="str">
        <f t="shared" si="5"/>
        <v/>
      </c>
      <c r="S778" s="139" t="str">
        <f t="shared" si="6"/>
        <v/>
      </c>
      <c r="T778" s="140" t="str">
        <f t="shared" si="7"/>
        <v/>
      </c>
      <c r="U778" s="136"/>
      <c r="V778" s="136"/>
      <c r="W778" s="136"/>
      <c r="X778" s="136"/>
      <c r="Y778" s="145"/>
      <c r="Z778" s="145"/>
    </row>
    <row r="779">
      <c r="E779" s="136"/>
      <c r="F779" s="136"/>
      <c r="G779" s="136"/>
      <c r="H779" s="137" t="str">
        <f t="shared" si="1"/>
        <v/>
      </c>
      <c r="I779" s="136"/>
      <c r="J779" s="136"/>
      <c r="K779" s="136"/>
      <c r="L779" s="136"/>
      <c r="M779" s="136"/>
      <c r="N779" s="136"/>
      <c r="O779" s="142" t="str">
        <f t="shared" si="2"/>
        <v/>
      </c>
      <c r="P779" s="140" t="str">
        <f t="shared" si="3"/>
        <v/>
      </c>
      <c r="Q779" s="139" t="str">
        <f t="shared" si="4"/>
        <v/>
      </c>
      <c r="R779" s="139" t="str">
        <f t="shared" si="5"/>
        <v/>
      </c>
      <c r="S779" s="139" t="str">
        <f t="shared" si="6"/>
        <v/>
      </c>
      <c r="T779" s="140" t="str">
        <f t="shared" si="7"/>
        <v/>
      </c>
      <c r="U779" s="136"/>
      <c r="V779" s="136"/>
      <c r="W779" s="136"/>
      <c r="X779" s="136"/>
      <c r="Y779" s="145"/>
      <c r="Z779" s="145"/>
    </row>
    <row r="780">
      <c r="E780" s="136"/>
      <c r="F780" s="136"/>
      <c r="G780" s="136"/>
      <c r="H780" s="137" t="str">
        <f t="shared" si="1"/>
        <v/>
      </c>
      <c r="I780" s="136"/>
      <c r="J780" s="136"/>
      <c r="K780" s="136"/>
      <c r="L780" s="136"/>
      <c r="M780" s="136"/>
      <c r="N780" s="136"/>
      <c r="O780" s="142" t="str">
        <f t="shared" si="2"/>
        <v/>
      </c>
      <c r="P780" s="140" t="str">
        <f t="shared" si="3"/>
        <v/>
      </c>
      <c r="Q780" s="139" t="str">
        <f t="shared" si="4"/>
        <v/>
      </c>
      <c r="R780" s="139" t="str">
        <f t="shared" si="5"/>
        <v/>
      </c>
      <c r="S780" s="139" t="str">
        <f t="shared" si="6"/>
        <v/>
      </c>
      <c r="T780" s="140" t="str">
        <f t="shared" si="7"/>
        <v/>
      </c>
      <c r="U780" s="136"/>
      <c r="V780" s="136"/>
      <c r="W780" s="136"/>
      <c r="X780" s="136"/>
      <c r="Y780" s="145"/>
      <c r="Z780" s="145"/>
    </row>
    <row r="781">
      <c r="E781" s="136"/>
      <c r="F781" s="136"/>
      <c r="G781" s="136"/>
      <c r="H781" s="137" t="str">
        <f t="shared" si="1"/>
        <v/>
      </c>
      <c r="I781" s="136"/>
      <c r="J781" s="136"/>
      <c r="K781" s="136"/>
      <c r="L781" s="136"/>
      <c r="M781" s="136"/>
      <c r="N781" s="136"/>
      <c r="O781" s="142" t="str">
        <f t="shared" si="2"/>
        <v/>
      </c>
      <c r="P781" s="140" t="str">
        <f t="shared" si="3"/>
        <v/>
      </c>
      <c r="Q781" s="139" t="str">
        <f t="shared" si="4"/>
        <v/>
      </c>
      <c r="R781" s="139" t="str">
        <f t="shared" si="5"/>
        <v/>
      </c>
      <c r="S781" s="139" t="str">
        <f t="shared" si="6"/>
        <v/>
      </c>
      <c r="T781" s="140" t="str">
        <f t="shared" si="7"/>
        <v/>
      </c>
      <c r="U781" s="136"/>
      <c r="V781" s="136"/>
      <c r="W781" s="136"/>
      <c r="X781" s="136"/>
      <c r="Y781" s="145"/>
      <c r="Z781" s="145"/>
    </row>
    <row r="782">
      <c r="E782" s="136"/>
      <c r="F782" s="136"/>
      <c r="G782" s="136"/>
      <c r="H782" s="137" t="str">
        <f t="shared" si="1"/>
        <v/>
      </c>
      <c r="I782" s="136"/>
      <c r="J782" s="136"/>
      <c r="K782" s="136"/>
      <c r="L782" s="136"/>
      <c r="M782" s="136"/>
      <c r="N782" s="136"/>
      <c r="O782" s="142" t="str">
        <f t="shared" si="2"/>
        <v/>
      </c>
      <c r="P782" s="140" t="str">
        <f t="shared" si="3"/>
        <v/>
      </c>
      <c r="Q782" s="139" t="str">
        <f t="shared" si="4"/>
        <v/>
      </c>
      <c r="R782" s="139" t="str">
        <f t="shared" si="5"/>
        <v/>
      </c>
      <c r="S782" s="139" t="str">
        <f t="shared" si="6"/>
        <v/>
      </c>
      <c r="T782" s="140" t="str">
        <f t="shared" si="7"/>
        <v/>
      </c>
      <c r="U782" s="136"/>
      <c r="V782" s="136"/>
      <c r="W782" s="136"/>
      <c r="X782" s="136"/>
      <c r="Y782" s="145"/>
      <c r="Z782" s="145"/>
    </row>
    <row r="783">
      <c r="E783" s="136"/>
      <c r="F783" s="136"/>
      <c r="G783" s="136"/>
      <c r="H783" s="137" t="str">
        <f t="shared" si="1"/>
        <v/>
      </c>
      <c r="I783" s="136"/>
      <c r="J783" s="136"/>
      <c r="K783" s="136"/>
      <c r="L783" s="136"/>
      <c r="M783" s="136"/>
      <c r="N783" s="136"/>
      <c r="O783" s="142" t="str">
        <f t="shared" si="2"/>
        <v/>
      </c>
      <c r="P783" s="140" t="str">
        <f t="shared" si="3"/>
        <v/>
      </c>
      <c r="Q783" s="139" t="str">
        <f t="shared" si="4"/>
        <v/>
      </c>
      <c r="R783" s="139" t="str">
        <f t="shared" si="5"/>
        <v/>
      </c>
      <c r="S783" s="139" t="str">
        <f t="shared" si="6"/>
        <v/>
      </c>
      <c r="T783" s="140" t="str">
        <f t="shared" si="7"/>
        <v/>
      </c>
      <c r="U783" s="136"/>
      <c r="V783" s="136"/>
      <c r="W783" s="136"/>
      <c r="X783" s="136"/>
      <c r="Y783" s="145"/>
      <c r="Z783" s="145"/>
    </row>
    <row r="784">
      <c r="E784" s="136"/>
      <c r="F784" s="136"/>
      <c r="G784" s="136"/>
      <c r="H784" s="137" t="str">
        <f t="shared" si="1"/>
        <v/>
      </c>
      <c r="I784" s="136"/>
      <c r="J784" s="136"/>
      <c r="K784" s="136"/>
      <c r="L784" s="136"/>
      <c r="M784" s="136"/>
      <c r="N784" s="136"/>
      <c r="O784" s="142" t="str">
        <f t="shared" si="2"/>
        <v/>
      </c>
      <c r="P784" s="140" t="str">
        <f t="shared" si="3"/>
        <v/>
      </c>
      <c r="Q784" s="139" t="str">
        <f t="shared" si="4"/>
        <v/>
      </c>
      <c r="R784" s="139" t="str">
        <f t="shared" si="5"/>
        <v/>
      </c>
      <c r="S784" s="139" t="str">
        <f t="shared" si="6"/>
        <v/>
      </c>
      <c r="T784" s="140" t="str">
        <f t="shared" si="7"/>
        <v/>
      </c>
      <c r="U784" s="136"/>
      <c r="V784" s="136"/>
      <c r="W784" s="136"/>
      <c r="X784" s="136"/>
      <c r="Y784" s="145"/>
      <c r="Z784" s="145"/>
    </row>
    <row r="785">
      <c r="E785" s="136"/>
      <c r="F785" s="136"/>
      <c r="G785" s="136"/>
      <c r="H785" s="137" t="str">
        <f t="shared" si="1"/>
        <v/>
      </c>
      <c r="I785" s="136"/>
      <c r="J785" s="136"/>
      <c r="K785" s="136"/>
      <c r="L785" s="136"/>
      <c r="M785" s="136"/>
      <c r="N785" s="136"/>
      <c r="O785" s="142" t="str">
        <f t="shared" si="2"/>
        <v/>
      </c>
      <c r="P785" s="140" t="str">
        <f t="shared" si="3"/>
        <v/>
      </c>
      <c r="Q785" s="139" t="str">
        <f t="shared" si="4"/>
        <v/>
      </c>
      <c r="R785" s="139" t="str">
        <f t="shared" si="5"/>
        <v/>
      </c>
      <c r="S785" s="139" t="str">
        <f t="shared" si="6"/>
        <v/>
      </c>
      <c r="T785" s="140" t="str">
        <f t="shared" si="7"/>
        <v/>
      </c>
      <c r="U785" s="136"/>
      <c r="V785" s="136"/>
      <c r="W785" s="136"/>
      <c r="X785" s="136"/>
      <c r="Y785" s="145"/>
      <c r="Z785" s="145"/>
    </row>
    <row r="786">
      <c r="E786" s="136"/>
      <c r="F786" s="136"/>
      <c r="G786" s="136"/>
      <c r="H786" s="137" t="str">
        <f t="shared" si="1"/>
        <v/>
      </c>
      <c r="I786" s="136"/>
      <c r="J786" s="136"/>
      <c r="K786" s="136"/>
      <c r="L786" s="136"/>
      <c r="M786" s="136"/>
      <c r="N786" s="136"/>
      <c r="O786" s="142" t="str">
        <f t="shared" si="2"/>
        <v/>
      </c>
      <c r="P786" s="140" t="str">
        <f t="shared" si="3"/>
        <v/>
      </c>
      <c r="Q786" s="139" t="str">
        <f t="shared" si="4"/>
        <v/>
      </c>
      <c r="R786" s="139" t="str">
        <f t="shared" si="5"/>
        <v/>
      </c>
      <c r="S786" s="139" t="str">
        <f t="shared" si="6"/>
        <v/>
      </c>
      <c r="T786" s="140" t="str">
        <f t="shared" si="7"/>
        <v/>
      </c>
      <c r="U786" s="136"/>
      <c r="V786" s="136"/>
      <c r="W786" s="136"/>
      <c r="X786" s="136"/>
      <c r="Y786" s="145"/>
      <c r="Z786" s="145"/>
    </row>
    <row r="787">
      <c r="E787" s="136"/>
      <c r="F787" s="136"/>
      <c r="G787" s="136"/>
      <c r="H787" s="137" t="str">
        <f t="shared" si="1"/>
        <v/>
      </c>
      <c r="I787" s="136"/>
      <c r="J787" s="136"/>
      <c r="K787" s="136"/>
      <c r="L787" s="136"/>
      <c r="M787" s="136"/>
      <c r="N787" s="136"/>
      <c r="O787" s="142" t="str">
        <f t="shared" si="2"/>
        <v/>
      </c>
      <c r="P787" s="140" t="str">
        <f t="shared" si="3"/>
        <v/>
      </c>
      <c r="Q787" s="139" t="str">
        <f t="shared" si="4"/>
        <v/>
      </c>
      <c r="R787" s="139" t="str">
        <f t="shared" si="5"/>
        <v/>
      </c>
      <c r="S787" s="139" t="str">
        <f t="shared" si="6"/>
        <v/>
      </c>
      <c r="T787" s="140" t="str">
        <f t="shared" si="7"/>
        <v/>
      </c>
      <c r="U787" s="136"/>
      <c r="V787" s="136"/>
      <c r="W787" s="136"/>
      <c r="X787" s="136"/>
      <c r="Y787" s="145"/>
      <c r="Z787" s="145"/>
    </row>
    <row r="788">
      <c r="E788" s="136"/>
      <c r="F788" s="136"/>
      <c r="G788" s="136"/>
      <c r="H788" s="137" t="str">
        <f t="shared" si="1"/>
        <v/>
      </c>
      <c r="I788" s="136"/>
      <c r="J788" s="136"/>
      <c r="K788" s="136"/>
      <c r="L788" s="136"/>
      <c r="M788" s="136"/>
      <c r="N788" s="136"/>
      <c r="O788" s="142" t="str">
        <f t="shared" si="2"/>
        <v/>
      </c>
      <c r="P788" s="140" t="str">
        <f t="shared" si="3"/>
        <v/>
      </c>
      <c r="Q788" s="139" t="str">
        <f t="shared" si="4"/>
        <v/>
      </c>
      <c r="R788" s="139" t="str">
        <f t="shared" si="5"/>
        <v/>
      </c>
      <c r="S788" s="139" t="str">
        <f t="shared" si="6"/>
        <v/>
      </c>
      <c r="T788" s="140" t="str">
        <f t="shared" si="7"/>
        <v/>
      </c>
      <c r="U788" s="136"/>
      <c r="V788" s="136"/>
      <c r="W788" s="136"/>
      <c r="X788" s="136"/>
      <c r="Y788" s="145"/>
      <c r="Z788" s="145"/>
    </row>
    <row r="789">
      <c r="E789" s="136"/>
      <c r="F789" s="136"/>
      <c r="G789" s="136"/>
      <c r="H789" s="137" t="str">
        <f t="shared" si="1"/>
        <v/>
      </c>
      <c r="I789" s="136"/>
      <c r="J789" s="136"/>
      <c r="K789" s="136"/>
      <c r="L789" s="136"/>
      <c r="M789" s="136"/>
      <c r="N789" s="136"/>
      <c r="O789" s="142" t="str">
        <f t="shared" si="2"/>
        <v/>
      </c>
      <c r="P789" s="140" t="str">
        <f t="shared" si="3"/>
        <v/>
      </c>
      <c r="Q789" s="139" t="str">
        <f t="shared" si="4"/>
        <v/>
      </c>
      <c r="R789" s="139" t="str">
        <f t="shared" si="5"/>
        <v/>
      </c>
      <c r="S789" s="139" t="str">
        <f t="shared" si="6"/>
        <v/>
      </c>
      <c r="T789" s="140" t="str">
        <f t="shared" si="7"/>
        <v/>
      </c>
      <c r="U789" s="136"/>
      <c r="V789" s="136"/>
      <c r="W789" s="136"/>
      <c r="X789" s="136"/>
      <c r="Y789" s="145"/>
      <c r="Z789" s="145"/>
    </row>
    <row r="790">
      <c r="E790" s="136"/>
      <c r="F790" s="136"/>
      <c r="G790" s="136"/>
      <c r="H790" s="137" t="str">
        <f t="shared" si="1"/>
        <v/>
      </c>
      <c r="I790" s="136"/>
      <c r="J790" s="136"/>
      <c r="K790" s="136"/>
      <c r="L790" s="136"/>
      <c r="M790" s="136"/>
      <c r="N790" s="136"/>
      <c r="O790" s="142" t="str">
        <f t="shared" si="2"/>
        <v/>
      </c>
      <c r="P790" s="140" t="str">
        <f t="shared" si="3"/>
        <v/>
      </c>
      <c r="Q790" s="139" t="str">
        <f t="shared" si="4"/>
        <v/>
      </c>
      <c r="R790" s="139" t="str">
        <f t="shared" si="5"/>
        <v/>
      </c>
      <c r="S790" s="139" t="str">
        <f t="shared" si="6"/>
        <v/>
      </c>
      <c r="T790" s="140" t="str">
        <f t="shared" si="7"/>
        <v/>
      </c>
      <c r="U790" s="136"/>
      <c r="V790" s="136"/>
      <c r="W790" s="136"/>
      <c r="X790" s="136"/>
      <c r="Y790" s="145"/>
      <c r="Z790" s="145"/>
    </row>
    <row r="791">
      <c r="E791" s="136"/>
      <c r="F791" s="136"/>
      <c r="G791" s="136"/>
      <c r="H791" s="137" t="str">
        <f t="shared" si="1"/>
        <v/>
      </c>
      <c r="I791" s="136"/>
      <c r="J791" s="136"/>
      <c r="K791" s="136"/>
      <c r="L791" s="136"/>
      <c r="M791" s="136"/>
      <c r="N791" s="136"/>
      <c r="O791" s="142" t="str">
        <f t="shared" si="2"/>
        <v/>
      </c>
      <c r="P791" s="140" t="str">
        <f t="shared" si="3"/>
        <v/>
      </c>
      <c r="Q791" s="139" t="str">
        <f t="shared" si="4"/>
        <v/>
      </c>
      <c r="R791" s="139" t="str">
        <f t="shared" si="5"/>
        <v/>
      </c>
      <c r="S791" s="139" t="str">
        <f t="shared" si="6"/>
        <v/>
      </c>
      <c r="T791" s="140" t="str">
        <f t="shared" si="7"/>
        <v/>
      </c>
      <c r="U791" s="136"/>
      <c r="V791" s="136"/>
      <c r="W791" s="136"/>
      <c r="X791" s="136"/>
      <c r="Y791" s="145"/>
      <c r="Z791" s="145"/>
    </row>
    <row r="792">
      <c r="E792" s="136"/>
      <c r="F792" s="136"/>
      <c r="G792" s="136"/>
      <c r="H792" s="137" t="str">
        <f t="shared" si="1"/>
        <v/>
      </c>
      <c r="I792" s="136"/>
      <c r="J792" s="136"/>
      <c r="K792" s="136"/>
      <c r="L792" s="136"/>
      <c r="M792" s="136"/>
      <c r="N792" s="136"/>
      <c r="O792" s="142" t="str">
        <f t="shared" si="2"/>
        <v/>
      </c>
      <c r="P792" s="140" t="str">
        <f t="shared" si="3"/>
        <v/>
      </c>
      <c r="Q792" s="139" t="str">
        <f t="shared" si="4"/>
        <v/>
      </c>
      <c r="R792" s="139" t="str">
        <f t="shared" si="5"/>
        <v/>
      </c>
      <c r="S792" s="139" t="str">
        <f t="shared" si="6"/>
        <v/>
      </c>
      <c r="T792" s="140" t="str">
        <f t="shared" si="7"/>
        <v/>
      </c>
      <c r="U792" s="136"/>
      <c r="V792" s="136"/>
      <c r="W792" s="136"/>
      <c r="X792" s="136"/>
      <c r="Y792" s="145"/>
      <c r="Z792" s="145"/>
    </row>
    <row r="793">
      <c r="E793" s="136"/>
      <c r="F793" s="136"/>
      <c r="G793" s="136"/>
      <c r="H793" s="137" t="str">
        <f t="shared" si="1"/>
        <v/>
      </c>
      <c r="I793" s="136"/>
      <c r="J793" s="136"/>
      <c r="K793" s="136"/>
      <c r="L793" s="136"/>
      <c r="M793" s="136"/>
      <c r="N793" s="136"/>
      <c r="O793" s="142" t="str">
        <f t="shared" si="2"/>
        <v/>
      </c>
      <c r="P793" s="140" t="str">
        <f t="shared" si="3"/>
        <v/>
      </c>
      <c r="Q793" s="139" t="str">
        <f t="shared" si="4"/>
        <v/>
      </c>
      <c r="R793" s="139" t="str">
        <f t="shared" si="5"/>
        <v/>
      </c>
      <c r="S793" s="139" t="str">
        <f t="shared" si="6"/>
        <v/>
      </c>
      <c r="T793" s="140" t="str">
        <f t="shared" si="7"/>
        <v/>
      </c>
      <c r="U793" s="136"/>
      <c r="V793" s="136"/>
      <c r="W793" s="136"/>
      <c r="X793" s="136"/>
      <c r="Y793" s="145"/>
      <c r="Z793" s="145"/>
    </row>
    <row r="794">
      <c r="E794" s="136"/>
      <c r="F794" s="136"/>
      <c r="G794" s="136"/>
      <c r="H794" s="137" t="str">
        <f t="shared" si="1"/>
        <v/>
      </c>
      <c r="I794" s="136"/>
      <c r="J794" s="136"/>
      <c r="K794" s="136"/>
      <c r="L794" s="136"/>
      <c r="M794" s="136"/>
      <c r="N794" s="136"/>
      <c r="O794" s="142" t="str">
        <f t="shared" si="2"/>
        <v/>
      </c>
      <c r="P794" s="140" t="str">
        <f t="shared" si="3"/>
        <v/>
      </c>
      <c r="Q794" s="139" t="str">
        <f t="shared" si="4"/>
        <v/>
      </c>
      <c r="R794" s="139" t="str">
        <f t="shared" si="5"/>
        <v/>
      </c>
      <c r="S794" s="139" t="str">
        <f t="shared" si="6"/>
        <v/>
      </c>
      <c r="T794" s="140" t="str">
        <f t="shared" si="7"/>
        <v/>
      </c>
      <c r="U794" s="136"/>
      <c r="V794" s="136"/>
      <c r="W794" s="136"/>
      <c r="X794" s="136"/>
      <c r="Y794" s="145"/>
      <c r="Z794" s="145"/>
    </row>
    <row r="795">
      <c r="E795" s="136"/>
      <c r="F795" s="136"/>
      <c r="G795" s="136"/>
      <c r="H795" s="137" t="str">
        <f t="shared" si="1"/>
        <v/>
      </c>
      <c r="I795" s="136"/>
      <c r="J795" s="136"/>
      <c r="K795" s="136"/>
      <c r="L795" s="136"/>
      <c r="M795" s="136"/>
      <c r="N795" s="136"/>
      <c r="O795" s="142" t="str">
        <f t="shared" si="2"/>
        <v/>
      </c>
      <c r="P795" s="140" t="str">
        <f t="shared" si="3"/>
        <v/>
      </c>
      <c r="Q795" s="139" t="str">
        <f t="shared" si="4"/>
        <v/>
      </c>
      <c r="R795" s="139" t="str">
        <f t="shared" si="5"/>
        <v/>
      </c>
      <c r="S795" s="139" t="str">
        <f t="shared" si="6"/>
        <v/>
      </c>
      <c r="T795" s="140" t="str">
        <f t="shared" si="7"/>
        <v/>
      </c>
      <c r="U795" s="136"/>
      <c r="V795" s="136"/>
      <c r="W795" s="136"/>
      <c r="X795" s="136"/>
      <c r="Y795" s="145"/>
      <c r="Z795" s="145"/>
    </row>
    <row r="796">
      <c r="E796" s="136"/>
      <c r="F796" s="136"/>
      <c r="G796" s="136"/>
      <c r="H796" s="137" t="str">
        <f t="shared" si="1"/>
        <v/>
      </c>
      <c r="I796" s="136"/>
      <c r="J796" s="136"/>
      <c r="K796" s="136"/>
      <c r="L796" s="136"/>
      <c r="M796" s="136"/>
      <c r="N796" s="136"/>
      <c r="O796" s="142" t="str">
        <f t="shared" si="2"/>
        <v/>
      </c>
      <c r="P796" s="140" t="str">
        <f t="shared" si="3"/>
        <v/>
      </c>
      <c r="Q796" s="139" t="str">
        <f t="shared" si="4"/>
        <v/>
      </c>
      <c r="R796" s="139" t="str">
        <f t="shared" si="5"/>
        <v/>
      </c>
      <c r="S796" s="139" t="str">
        <f t="shared" si="6"/>
        <v/>
      </c>
      <c r="T796" s="140" t="str">
        <f t="shared" si="7"/>
        <v/>
      </c>
      <c r="U796" s="136"/>
      <c r="V796" s="136"/>
      <c r="W796" s="136"/>
      <c r="X796" s="136"/>
      <c r="Y796" s="145"/>
      <c r="Z796" s="145"/>
    </row>
    <row r="797">
      <c r="E797" s="136"/>
      <c r="F797" s="136"/>
      <c r="G797" s="136"/>
      <c r="H797" s="137" t="str">
        <f t="shared" si="1"/>
        <v/>
      </c>
      <c r="I797" s="136"/>
      <c r="J797" s="136"/>
      <c r="K797" s="136"/>
      <c r="L797" s="136"/>
      <c r="M797" s="136"/>
      <c r="N797" s="136"/>
      <c r="O797" s="142" t="str">
        <f t="shared" si="2"/>
        <v/>
      </c>
      <c r="P797" s="140" t="str">
        <f t="shared" si="3"/>
        <v/>
      </c>
      <c r="Q797" s="139" t="str">
        <f t="shared" si="4"/>
        <v/>
      </c>
      <c r="R797" s="139" t="str">
        <f t="shared" si="5"/>
        <v/>
      </c>
      <c r="S797" s="139" t="str">
        <f t="shared" si="6"/>
        <v/>
      </c>
      <c r="T797" s="140" t="str">
        <f t="shared" si="7"/>
        <v/>
      </c>
      <c r="U797" s="136"/>
      <c r="V797" s="136"/>
      <c r="W797" s="136"/>
      <c r="X797" s="136"/>
      <c r="Y797" s="145"/>
      <c r="Z797" s="145"/>
    </row>
    <row r="798">
      <c r="E798" s="136"/>
      <c r="F798" s="136"/>
      <c r="G798" s="136"/>
      <c r="H798" s="137" t="str">
        <f t="shared" si="1"/>
        <v/>
      </c>
      <c r="I798" s="136"/>
      <c r="J798" s="136"/>
      <c r="K798" s="136"/>
      <c r="L798" s="136"/>
      <c r="M798" s="136"/>
      <c r="N798" s="136"/>
      <c r="O798" s="142" t="str">
        <f t="shared" si="2"/>
        <v/>
      </c>
      <c r="P798" s="140" t="str">
        <f t="shared" si="3"/>
        <v/>
      </c>
      <c r="Q798" s="139" t="str">
        <f t="shared" si="4"/>
        <v/>
      </c>
      <c r="R798" s="139" t="str">
        <f t="shared" si="5"/>
        <v/>
      </c>
      <c r="S798" s="139" t="str">
        <f t="shared" si="6"/>
        <v/>
      </c>
      <c r="T798" s="140" t="str">
        <f t="shared" si="7"/>
        <v/>
      </c>
      <c r="U798" s="136"/>
      <c r="V798" s="136"/>
      <c r="W798" s="136"/>
      <c r="X798" s="136"/>
      <c r="Y798" s="145"/>
      <c r="Z798" s="145"/>
    </row>
    <row r="799">
      <c r="E799" s="136"/>
      <c r="F799" s="136"/>
      <c r="G799" s="136"/>
      <c r="H799" s="137" t="str">
        <f t="shared" si="1"/>
        <v/>
      </c>
      <c r="I799" s="136"/>
      <c r="J799" s="136"/>
      <c r="K799" s="136"/>
      <c r="L799" s="136"/>
      <c r="M799" s="136"/>
      <c r="N799" s="136"/>
      <c r="O799" s="142" t="str">
        <f t="shared" si="2"/>
        <v/>
      </c>
      <c r="P799" s="140" t="str">
        <f t="shared" si="3"/>
        <v/>
      </c>
      <c r="Q799" s="139" t="str">
        <f t="shared" si="4"/>
        <v/>
      </c>
      <c r="R799" s="139" t="str">
        <f t="shared" si="5"/>
        <v/>
      </c>
      <c r="S799" s="139" t="str">
        <f t="shared" si="6"/>
        <v/>
      </c>
      <c r="T799" s="140" t="str">
        <f t="shared" si="7"/>
        <v/>
      </c>
      <c r="U799" s="136"/>
      <c r="V799" s="136"/>
      <c r="W799" s="136"/>
      <c r="X799" s="136"/>
      <c r="Y799" s="145"/>
      <c r="Z799" s="145"/>
    </row>
    <row r="800">
      <c r="E800" s="136"/>
      <c r="F800" s="136"/>
      <c r="G800" s="136"/>
      <c r="H800" s="137" t="str">
        <f t="shared" si="1"/>
        <v/>
      </c>
      <c r="I800" s="136"/>
      <c r="J800" s="136"/>
      <c r="K800" s="136"/>
      <c r="L800" s="136"/>
      <c r="M800" s="136"/>
      <c r="N800" s="136"/>
      <c r="O800" s="142" t="str">
        <f t="shared" si="2"/>
        <v/>
      </c>
      <c r="P800" s="140" t="str">
        <f t="shared" si="3"/>
        <v/>
      </c>
      <c r="Q800" s="139" t="str">
        <f t="shared" si="4"/>
        <v/>
      </c>
      <c r="R800" s="139" t="str">
        <f t="shared" si="5"/>
        <v/>
      </c>
      <c r="S800" s="139" t="str">
        <f t="shared" si="6"/>
        <v/>
      </c>
      <c r="T800" s="140" t="str">
        <f t="shared" si="7"/>
        <v/>
      </c>
      <c r="U800" s="136"/>
      <c r="V800" s="136"/>
      <c r="W800" s="136"/>
      <c r="X800" s="136"/>
      <c r="Y800" s="145"/>
      <c r="Z800" s="145"/>
    </row>
    <row r="801">
      <c r="E801" s="136"/>
      <c r="F801" s="136"/>
      <c r="G801" s="136"/>
      <c r="H801" s="137" t="str">
        <f t="shared" si="1"/>
        <v/>
      </c>
      <c r="I801" s="136"/>
      <c r="J801" s="136"/>
      <c r="K801" s="136"/>
      <c r="L801" s="136"/>
      <c r="M801" s="136"/>
      <c r="N801" s="136"/>
      <c r="O801" s="142" t="str">
        <f t="shared" si="2"/>
        <v/>
      </c>
      <c r="P801" s="140" t="str">
        <f t="shared" si="3"/>
        <v/>
      </c>
      <c r="Q801" s="139" t="str">
        <f t="shared" si="4"/>
        <v/>
      </c>
      <c r="R801" s="139" t="str">
        <f t="shared" si="5"/>
        <v/>
      </c>
      <c r="S801" s="139" t="str">
        <f t="shared" si="6"/>
        <v/>
      </c>
      <c r="T801" s="140" t="str">
        <f t="shared" si="7"/>
        <v/>
      </c>
      <c r="U801" s="136"/>
      <c r="V801" s="136"/>
      <c r="W801" s="136"/>
      <c r="X801" s="136"/>
      <c r="Y801" s="145"/>
      <c r="Z801" s="145"/>
    </row>
    <row r="802">
      <c r="E802" s="136"/>
      <c r="F802" s="136"/>
      <c r="G802" s="136"/>
      <c r="H802" s="137" t="str">
        <f t="shared" si="1"/>
        <v/>
      </c>
      <c r="I802" s="136"/>
      <c r="J802" s="136"/>
      <c r="K802" s="136"/>
      <c r="L802" s="136"/>
      <c r="M802" s="136"/>
      <c r="N802" s="136"/>
      <c r="O802" s="142" t="str">
        <f t="shared" si="2"/>
        <v/>
      </c>
      <c r="P802" s="140" t="str">
        <f t="shared" si="3"/>
        <v/>
      </c>
      <c r="Q802" s="139" t="str">
        <f t="shared" si="4"/>
        <v/>
      </c>
      <c r="R802" s="139" t="str">
        <f t="shared" si="5"/>
        <v/>
      </c>
      <c r="S802" s="139" t="str">
        <f t="shared" si="6"/>
        <v/>
      </c>
      <c r="T802" s="140" t="str">
        <f t="shared" si="7"/>
        <v/>
      </c>
      <c r="U802" s="136"/>
      <c r="V802" s="136"/>
      <c r="W802" s="136"/>
      <c r="X802" s="136"/>
      <c r="Y802" s="145"/>
      <c r="Z802" s="145"/>
    </row>
    <row r="803">
      <c r="E803" s="136"/>
      <c r="F803" s="136"/>
      <c r="G803" s="136"/>
      <c r="H803" s="137" t="str">
        <f t="shared" si="1"/>
        <v/>
      </c>
      <c r="I803" s="136"/>
      <c r="J803" s="136"/>
      <c r="K803" s="136"/>
      <c r="L803" s="136"/>
      <c r="M803" s="136"/>
      <c r="N803" s="136"/>
      <c r="O803" s="142" t="str">
        <f t="shared" si="2"/>
        <v/>
      </c>
      <c r="P803" s="140" t="str">
        <f t="shared" si="3"/>
        <v/>
      </c>
      <c r="Q803" s="139" t="str">
        <f t="shared" si="4"/>
        <v/>
      </c>
      <c r="R803" s="139" t="str">
        <f t="shared" si="5"/>
        <v/>
      </c>
      <c r="S803" s="139" t="str">
        <f t="shared" si="6"/>
        <v/>
      </c>
      <c r="T803" s="140" t="str">
        <f t="shared" si="7"/>
        <v/>
      </c>
      <c r="U803" s="136"/>
      <c r="V803" s="136"/>
      <c r="W803" s="136"/>
      <c r="X803" s="136"/>
      <c r="Y803" s="145"/>
      <c r="Z803" s="145"/>
    </row>
    <row r="804">
      <c r="E804" s="136"/>
      <c r="F804" s="136"/>
      <c r="G804" s="136"/>
      <c r="H804" s="137" t="str">
        <f t="shared" si="1"/>
        <v/>
      </c>
      <c r="I804" s="136"/>
      <c r="J804" s="136"/>
      <c r="K804" s="136"/>
      <c r="L804" s="136"/>
      <c r="M804" s="136"/>
      <c r="N804" s="136"/>
      <c r="O804" s="142" t="str">
        <f t="shared" si="2"/>
        <v/>
      </c>
      <c r="P804" s="140" t="str">
        <f t="shared" si="3"/>
        <v/>
      </c>
      <c r="Q804" s="139" t="str">
        <f t="shared" si="4"/>
        <v/>
      </c>
      <c r="R804" s="139" t="str">
        <f t="shared" si="5"/>
        <v/>
      </c>
      <c r="S804" s="139" t="str">
        <f t="shared" si="6"/>
        <v/>
      </c>
      <c r="T804" s="140" t="str">
        <f t="shared" si="7"/>
        <v/>
      </c>
      <c r="U804" s="136"/>
      <c r="V804" s="136"/>
      <c r="W804" s="136"/>
      <c r="X804" s="136"/>
      <c r="Y804" s="145"/>
      <c r="Z804" s="145"/>
    </row>
    <row r="805">
      <c r="E805" s="136"/>
      <c r="F805" s="136"/>
      <c r="G805" s="136"/>
      <c r="H805" s="137" t="str">
        <f t="shared" si="1"/>
        <v/>
      </c>
      <c r="I805" s="136"/>
      <c r="J805" s="136"/>
      <c r="K805" s="136"/>
      <c r="L805" s="136"/>
      <c r="M805" s="136"/>
      <c r="N805" s="136"/>
      <c r="O805" s="142" t="str">
        <f t="shared" si="2"/>
        <v/>
      </c>
      <c r="P805" s="140" t="str">
        <f t="shared" si="3"/>
        <v/>
      </c>
      <c r="Q805" s="139" t="str">
        <f t="shared" si="4"/>
        <v/>
      </c>
      <c r="R805" s="139" t="str">
        <f t="shared" si="5"/>
        <v/>
      </c>
      <c r="S805" s="139" t="str">
        <f t="shared" si="6"/>
        <v/>
      </c>
      <c r="T805" s="140" t="str">
        <f t="shared" si="7"/>
        <v/>
      </c>
      <c r="U805" s="136"/>
      <c r="V805" s="136"/>
      <c r="W805" s="136"/>
      <c r="X805" s="136"/>
      <c r="Y805" s="145"/>
      <c r="Z805" s="145"/>
    </row>
    <row r="806">
      <c r="E806" s="136"/>
      <c r="F806" s="136"/>
      <c r="G806" s="136"/>
      <c r="H806" s="137" t="str">
        <f t="shared" si="1"/>
        <v/>
      </c>
      <c r="I806" s="136"/>
      <c r="J806" s="136"/>
      <c r="K806" s="136"/>
      <c r="L806" s="136"/>
      <c r="M806" s="136"/>
      <c r="N806" s="136"/>
      <c r="O806" s="142" t="str">
        <f t="shared" si="2"/>
        <v/>
      </c>
      <c r="P806" s="140" t="str">
        <f t="shared" si="3"/>
        <v/>
      </c>
      <c r="Q806" s="139" t="str">
        <f t="shared" si="4"/>
        <v/>
      </c>
      <c r="R806" s="139" t="str">
        <f t="shared" si="5"/>
        <v/>
      </c>
      <c r="S806" s="139" t="str">
        <f t="shared" si="6"/>
        <v/>
      </c>
      <c r="T806" s="140" t="str">
        <f t="shared" si="7"/>
        <v/>
      </c>
      <c r="U806" s="136"/>
      <c r="V806" s="136"/>
      <c r="W806" s="136"/>
      <c r="X806" s="136"/>
      <c r="Y806" s="145"/>
      <c r="Z806" s="145"/>
    </row>
    <row r="807">
      <c r="E807" s="136"/>
      <c r="F807" s="136"/>
      <c r="G807" s="136"/>
      <c r="H807" s="137" t="str">
        <f t="shared" si="1"/>
        <v/>
      </c>
      <c r="I807" s="136"/>
      <c r="J807" s="136"/>
      <c r="K807" s="136"/>
      <c r="L807" s="136"/>
      <c r="M807" s="136"/>
      <c r="N807" s="136"/>
      <c r="O807" s="142" t="str">
        <f t="shared" si="2"/>
        <v/>
      </c>
      <c r="P807" s="140" t="str">
        <f t="shared" si="3"/>
        <v/>
      </c>
      <c r="Q807" s="139" t="str">
        <f t="shared" si="4"/>
        <v/>
      </c>
      <c r="R807" s="139" t="str">
        <f t="shared" si="5"/>
        <v/>
      </c>
      <c r="S807" s="139" t="str">
        <f t="shared" si="6"/>
        <v/>
      </c>
      <c r="T807" s="140" t="str">
        <f t="shared" si="7"/>
        <v/>
      </c>
      <c r="U807" s="136"/>
      <c r="V807" s="136"/>
      <c r="W807" s="136"/>
      <c r="X807" s="136"/>
      <c r="Y807" s="145"/>
      <c r="Z807" s="145"/>
    </row>
    <row r="808">
      <c r="E808" s="136"/>
      <c r="F808" s="136"/>
      <c r="G808" s="136"/>
      <c r="H808" s="137" t="str">
        <f t="shared" si="1"/>
        <v/>
      </c>
      <c r="I808" s="136"/>
      <c r="J808" s="136"/>
      <c r="K808" s="136"/>
      <c r="L808" s="136"/>
      <c r="M808" s="136"/>
      <c r="N808" s="136"/>
      <c r="O808" s="142" t="str">
        <f t="shared" si="2"/>
        <v/>
      </c>
      <c r="P808" s="140" t="str">
        <f t="shared" si="3"/>
        <v/>
      </c>
      <c r="Q808" s="139" t="str">
        <f t="shared" si="4"/>
        <v/>
      </c>
      <c r="R808" s="139" t="str">
        <f t="shared" si="5"/>
        <v/>
      </c>
      <c r="S808" s="139" t="str">
        <f t="shared" si="6"/>
        <v/>
      </c>
      <c r="T808" s="140" t="str">
        <f t="shared" si="7"/>
        <v/>
      </c>
      <c r="U808" s="136"/>
      <c r="V808" s="136"/>
      <c r="W808" s="136"/>
      <c r="X808" s="136"/>
      <c r="Y808" s="145"/>
      <c r="Z808" s="145"/>
    </row>
    <row r="809">
      <c r="E809" s="136"/>
      <c r="F809" s="136"/>
      <c r="G809" s="136"/>
      <c r="H809" s="137" t="str">
        <f t="shared" si="1"/>
        <v/>
      </c>
      <c r="I809" s="136"/>
      <c r="J809" s="136"/>
      <c r="K809" s="136"/>
      <c r="L809" s="136"/>
      <c r="M809" s="136"/>
      <c r="N809" s="136"/>
      <c r="O809" s="142" t="str">
        <f t="shared" si="2"/>
        <v/>
      </c>
      <c r="P809" s="140" t="str">
        <f t="shared" si="3"/>
        <v/>
      </c>
      <c r="Q809" s="139" t="str">
        <f t="shared" si="4"/>
        <v/>
      </c>
      <c r="R809" s="139" t="str">
        <f t="shared" si="5"/>
        <v/>
      </c>
      <c r="S809" s="139" t="str">
        <f t="shared" si="6"/>
        <v/>
      </c>
      <c r="T809" s="140" t="str">
        <f t="shared" si="7"/>
        <v/>
      </c>
      <c r="U809" s="136"/>
      <c r="V809" s="136"/>
      <c r="W809" s="136"/>
      <c r="X809" s="136"/>
      <c r="Y809" s="145"/>
      <c r="Z809" s="145"/>
    </row>
    <row r="810">
      <c r="E810" s="136"/>
      <c r="F810" s="136"/>
      <c r="G810" s="136"/>
      <c r="H810" s="137" t="str">
        <f t="shared" si="1"/>
        <v/>
      </c>
      <c r="I810" s="136"/>
      <c r="J810" s="136"/>
      <c r="K810" s="136"/>
      <c r="L810" s="136"/>
      <c r="M810" s="136"/>
      <c r="N810" s="136"/>
      <c r="O810" s="142" t="str">
        <f t="shared" si="2"/>
        <v/>
      </c>
      <c r="P810" s="140" t="str">
        <f t="shared" si="3"/>
        <v/>
      </c>
      <c r="Q810" s="139" t="str">
        <f t="shared" si="4"/>
        <v/>
      </c>
      <c r="R810" s="139" t="str">
        <f t="shared" si="5"/>
        <v/>
      </c>
      <c r="S810" s="139" t="str">
        <f t="shared" si="6"/>
        <v/>
      </c>
      <c r="T810" s="140" t="str">
        <f t="shared" si="7"/>
        <v/>
      </c>
      <c r="U810" s="136"/>
      <c r="V810" s="136"/>
      <c r="W810" s="136"/>
      <c r="X810" s="136"/>
      <c r="Y810" s="145"/>
      <c r="Z810" s="145"/>
    </row>
    <row r="811">
      <c r="E811" s="136"/>
      <c r="F811" s="136"/>
      <c r="G811" s="136"/>
      <c r="H811" s="137" t="str">
        <f t="shared" si="1"/>
        <v/>
      </c>
      <c r="I811" s="136"/>
      <c r="J811" s="136"/>
      <c r="K811" s="136"/>
      <c r="L811" s="136"/>
      <c r="M811" s="136"/>
      <c r="N811" s="136"/>
      <c r="O811" s="142" t="str">
        <f t="shared" si="2"/>
        <v/>
      </c>
      <c r="P811" s="140" t="str">
        <f t="shared" si="3"/>
        <v/>
      </c>
      <c r="Q811" s="139" t="str">
        <f t="shared" si="4"/>
        <v/>
      </c>
      <c r="R811" s="139" t="str">
        <f t="shared" si="5"/>
        <v/>
      </c>
      <c r="S811" s="139" t="str">
        <f t="shared" si="6"/>
        <v/>
      </c>
      <c r="T811" s="140" t="str">
        <f t="shared" si="7"/>
        <v/>
      </c>
      <c r="U811" s="136"/>
      <c r="V811" s="136"/>
      <c r="W811" s="136"/>
      <c r="X811" s="136"/>
      <c r="Y811" s="145"/>
      <c r="Z811" s="145"/>
    </row>
    <row r="812">
      <c r="E812" s="136"/>
      <c r="F812" s="136"/>
      <c r="G812" s="136"/>
      <c r="H812" s="137" t="str">
        <f t="shared" si="1"/>
        <v/>
      </c>
      <c r="I812" s="136"/>
      <c r="J812" s="136"/>
      <c r="K812" s="136"/>
      <c r="L812" s="136"/>
      <c r="M812" s="136"/>
      <c r="N812" s="136"/>
      <c r="O812" s="142" t="str">
        <f t="shared" si="2"/>
        <v/>
      </c>
      <c r="P812" s="140" t="str">
        <f t="shared" si="3"/>
        <v/>
      </c>
      <c r="Q812" s="139" t="str">
        <f t="shared" si="4"/>
        <v/>
      </c>
      <c r="R812" s="139" t="str">
        <f t="shared" si="5"/>
        <v/>
      </c>
      <c r="S812" s="139" t="str">
        <f t="shared" si="6"/>
        <v/>
      </c>
      <c r="T812" s="140" t="str">
        <f t="shared" si="7"/>
        <v/>
      </c>
      <c r="U812" s="136"/>
      <c r="V812" s="136"/>
      <c r="W812" s="136"/>
      <c r="X812" s="136"/>
      <c r="Y812" s="145"/>
      <c r="Z812" s="145"/>
    </row>
    <row r="813">
      <c r="E813" s="136"/>
      <c r="F813" s="136"/>
      <c r="G813" s="136"/>
      <c r="H813" s="137" t="str">
        <f t="shared" si="1"/>
        <v/>
      </c>
      <c r="I813" s="136"/>
      <c r="J813" s="136"/>
      <c r="K813" s="136"/>
      <c r="L813" s="136"/>
      <c r="M813" s="136"/>
      <c r="N813" s="136"/>
      <c r="O813" s="142" t="str">
        <f t="shared" si="2"/>
        <v/>
      </c>
      <c r="P813" s="140" t="str">
        <f t="shared" si="3"/>
        <v/>
      </c>
      <c r="Q813" s="139" t="str">
        <f t="shared" si="4"/>
        <v/>
      </c>
      <c r="R813" s="139" t="str">
        <f t="shared" si="5"/>
        <v/>
      </c>
      <c r="S813" s="139" t="str">
        <f t="shared" si="6"/>
        <v/>
      </c>
      <c r="T813" s="140" t="str">
        <f t="shared" si="7"/>
        <v/>
      </c>
      <c r="U813" s="136"/>
      <c r="V813" s="136"/>
      <c r="W813" s="136"/>
      <c r="X813" s="136"/>
      <c r="Y813" s="145"/>
      <c r="Z813" s="145"/>
    </row>
    <row r="814">
      <c r="E814" s="136"/>
      <c r="F814" s="136"/>
      <c r="G814" s="136"/>
      <c r="H814" s="137" t="str">
        <f t="shared" si="1"/>
        <v/>
      </c>
      <c r="I814" s="136"/>
      <c r="J814" s="136"/>
      <c r="K814" s="136"/>
      <c r="L814" s="136"/>
      <c r="M814" s="136"/>
      <c r="N814" s="136"/>
      <c r="O814" s="142" t="str">
        <f t="shared" si="2"/>
        <v/>
      </c>
      <c r="P814" s="140" t="str">
        <f t="shared" si="3"/>
        <v/>
      </c>
      <c r="Q814" s="139" t="str">
        <f t="shared" si="4"/>
        <v/>
      </c>
      <c r="R814" s="139" t="str">
        <f t="shared" si="5"/>
        <v/>
      </c>
      <c r="S814" s="139" t="str">
        <f t="shared" si="6"/>
        <v/>
      </c>
      <c r="T814" s="140" t="str">
        <f t="shared" si="7"/>
        <v/>
      </c>
      <c r="U814" s="136"/>
      <c r="V814" s="136"/>
      <c r="W814" s="136"/>
      <c r="X814" s="136"/>
      <c r="Y814" s="145"/>
      <c r="Z814" s="145"/>
    </row>
    <row r="815">
      <c r="E815" s="136"/>
      <c r="F815" s="136"/>
      <c r="G815" s="136"/>
      <c r="H815" s="137" t="str">
        <f t="shared" si="1"/>
        <v/>
      </c>
      <c r="I815" s="136"/>
      <c r="J815" s="136"/>
      <c r="K815" s="136"/>
      <c r="L815" s="136"/>
      <c r="M815" s="136"/>
      <c r="N815" s="136"/>
      <c r="O815" s="142" t="str">
        <f t="shared" si="2"/>
        <v/>
      </c>
      <c r="P815" s="140" t="str">
        <f t="shared" si="3"/>
        <v/>
      </c>
      <c r="Q815" s="139" t="str">
        <f t="shared" si="4"/>
        <v/>
      </c>
      <c r="R815" s="139" t="str">
        <f t="shared" si="5"/>
        <v/>
      </c>
      <c r="S815" s="139" t="str">
        <f t="shared" si="6"/>
        <v/>
      </c>
      <c r="T815" s="140" t="str">
        <f t="shared" si="7"/>
        <v/>
      </c>
      <c r="U815" s="136"/>
      <c r="V815" s="136"/>
      <c r="W815" s="136"/>
      <c r="X815" s="136"/>
      <c r="Y815" s="145"/>
      <c r="Z815" s="145"/>
    </row>
    <row r="816">
      <c r="E816" s="136"/>
      <c r="F816" s="136"/>
      <c r="G816" s="136"/>
      <c r="H816" s="137" t="str">
        <f t="shared" si="1"/>
        <v/>
      </c>
      <c r="I816" s="136"/>
      <c r="J816" s="136"/>
      <c r="K816" s="136"/>
      <c r="L816" s="136"/>
      <c r="M816" s="136"/>
      <c r="N816" s="136"/>
      <c r="O816" s="142" t="str">
        <f t="shared" si="2"/>
        <v/>
      </c>
      <c r="P816" s="140" t="str">
        <f t="shared" si="3"/>
        <v/>
      </c>
      <c r="Q816" s="139" t="str">
        <f t="shared" si="4"/>
        <v/>
      </c>
      <c r="R816" s="139" t="str">
        <f t="shared" si="5"/>
        <v/>
      </c>
      <c r="S816" s="139" t="str">
        <f t="shared" si="6"/>
        <v/>
      </c>
      <c r="T816" s="140" t="str">
        <f t="shared" si="7"/>
        <v/>
      </c>
      <c r="U816" s="136"/>
      <c r="V816" s="136"/>
      <c r="W816" s="136"/>
      <c r="X816" s="136"/>
      <c r="Y816" s="145"/>
      <c r="Z816" s="145"/>
    </row>
    <row r="817">
      <c r="E817" s="136"/>
      <c r="F817" s="136"/>
      <c r="G817" s="136"/>
      <c r="H817" s="137" t="str">
        <f t="shared" si="1"/>
        <v/>
      </c>
      <c r="I817" s="136"/>
      <c r="J817" s="136"/>
      <c r="K817" s="136"/>
      <c r="L817" s="136"/>
      <c r="M817" s="136"/>
      <c r="N817" s="136"/>
      <c r="O817" s="142" t="str">
        <f t="shared" si="2"/>
        <v/>
      </c>
      <c r="P817" s="140" t="str">
        <f t="shared" si="3"/>
        <v/>
      </c>
      <c r="Q817" s="139" t="str">
        <f t="shared" si="4"/>
        <v/>
      </c>
      <c r="R817" s="139" t="str">
        <f t="shared" si="5"/>
        <v/>
      </c>
      <c r="S817" s="139" t="str">
        <f t="shared" si="6"/>
        <v/>
      </c>
      <c r="T817" s="140" t="str">
        <f t="shared" si="7"/>
        <v/>
      </c>
      <c r="U817" s="136"/>
      <c r="V817" s="136"/>
      <c r="W817" s="136"/>
      <c r="X817" s="136"/>
      <c r="Y817" s="145"/>
      <c r="Z817" s="145"/>
    </row>
    <row r="818">
      <c r="E818" s="136"/>
      <c r="F818" s="136"/>
      <c r="G818" s="136"/>
      <c r="H818" s="137" t="str">
        <f t="shared" si="1"/>
        <v/>
      </c>
      <c r="I818" s="136"/>
      <c r="J818" s="136"/>
      <c r="K818" s="136"/>
      <c r="L818" s="136"/>
      <c r="M818" s="136"/>
      <c r="N818" s="136"/>
      <c r="O818" s="142" t="str">
        <f t="shared" si="2"/>
        <v/>
      </c>
      <c r="P818" s="140" t="str">
        <f t="shared" si="3"/>
        <v/>
      </c>
      <c r="Q818" s="139" t="str">
        <f t="shared" si="4"/>
        <v/>
      </c>
      <c r="R818" s="139" t="str">
        <f t="shared" si="5"/>
        <v/>
      </c>
      <c r="S818" s="139" t="str">
        <f t="shared" si="6"/>
        <v/>
      </c>
      <c r="T818" s="140" t="str">
        <f t="shared" si="7"/>
        <v/>
      </c>
      <c r="U818" s="136"/>
      <c r="V818" s="136"/>
      <c r="W818" s="136"/>
      <c r="X818" s="136"/>
      <c r="Y818" s="145"/>
      <c r="Z818" s="145"/>
    </row>
    <row r="819">
      <c r="E819" s="136"/>
      <c r="F819" s="136"/>
      <c r="G819" s="136"/>
      <c r="H819" s="137" t="str">
        <f t="shared" si="1"/>
        <v/>
      </c>
      <c r="I819" s="136"/>
      <c r="J819" s="136"/>
      <c r="K819" s="136"/>
      <c r="L819" s="136"/>
      <c r="M819" s="136"/>
      <c r="N819" s="136"/>
      <c r="O819" s="142" t="str">
        <f t="shared" si="2"/>
        <v/>
      </c>
      <c r="P819" s="140" t="str">
        <f t="shared" si="3"/>
        <v/>
      </c>
      <c r="Q819" s="139" t="str">
        <f t="shared" si="4"/>
        <v/>
      </c>
      <c r="R819" s="139" t="str">
        <f t="shared" si="5"/>
        <v/>
      </c>
      <c r="S819" s="139" t="str">
        <f t="shared" si="6"/>
        <v/>
      </c>
      <c r="T819" s="140" t="str">
        <f t="shared" si="7"/>
        <v/>
      </c>
      <c r="U819" s="136"/>
      <c r="V819" s="136"/>
      <c r="W819" s="136"/>
      <c r="X819" s="136"/>
      <c r="Y819" s="145"/>
      <c r="Z819" s="145"/>
    </row>
    <row r="820">
      <c r="E820" s="136"/>
      <c r="F820" s="136"/>
      <c r="G820" s="136"/>
      <c r="H820" s="137" t="str">
        <f t="shared" si="1"/>
        <v/>
      </c>
      <c r="I820" s="136"/>
      <c r="J820" s="136"/>
      <c r="K820" s="136"/>
      <c r="L820" s="136"/>
      <c r="M820" s="136"/>
      <c r="N820" s="136"/>
      <c r="O820" s="142" t="str">
        <f t="shared" si="2"/>
        <v/>
      </c>
      <c r="P820" s="140" t="str">
        <f t="shared" si="3"/>
        <v/>
      </c>
      <c r="Q820" s="139" t="str">
        <f t="shared" si="4"/>
        <v/>
      </c>
      <c r="R820" s="139" t="str">
        <f t="shared" si="5"/>
        <v/>
      </c>
      <c r="S820" s="139" t="str">
        <f t="shared" si="6"/>
        <v/>
      </c>
      <c r="T820" s="140" t="str">
        <f t="shared" si="7"/>
        <v/>
      </c>
      <c r="U820" s="136"/>
      <c r="V820" s="136"/>
      <c r="W820" s="136"/>
      <c r="X820" s="136"/>
      <c r="Y820" s="145"/>
      <c r="Z820" s="145"/>
    </row>
    <row r="821">
      <c r="E821" s="136"/>
      <c r="F821" s="136"/>
      <c r="G821" s="136"/>
      <c r="H821" s="137" t="str">
        <f t="shared" si="1"/>
        <v/>
      </c>
      <c r="I821" s="136"/>
      <c r="J821" s="136"/>
      <c r="K821" s="136"/>
      <c r="L821" s="136"/>
      <c r="M821" s="136"/>
      <c r="N821" s="136"/>
      <c r="O821" s="142" t="str">
        <f t="shared" si="2"/>
        <v/>
      </c>
      <c r="P821" s="140" t="str">
        <f t="shared" si="3"/>
        <v/>
      </c>
      <c r="Q821" s="139" t="str">
        <f t="shared" si="4"/>
        <v/>
      </c>
      <c r="R821" s="139" t="str">
        <f t="shared" si="5"/>
        <v/>
      </c>
      <c r="S821" s="139" t="str">
        <f t="shared" si="6"/>
        <v/>
      </c>
      <c r="T821" s="140" t="str">
        <f t="shared" si="7"/>
        <v/>
      </c>
      <c r="U821" s="136"/>
      <c r="V821" s="136"/>
      <c r="W821" s="136"/>
      <c r="X821" s="136"/>
      <c r="Y821" s="145"/>
      <c r="Z821" s="145"/>
    </row>
    <row r="822">
      <c r="E822" s="136"/>
      <c r="F822" s="136"/>
      <c r="G822" s="136"/>
      <c r="H822" s="137" t="str">
        <f t="shared" si="1"/>
        <v/>
      </c>
      <c r="I822" s="136"/>
      <c r="J822" s="136"/>
      <c r="K822" s="136"/>
      <c r="L822" s="136"/>
      <c r="M822" s="136"/>
      <c r="N822" s="136"/>
      <c r="O822" s="142" t="str">
        <f t="shared" si="2"/>
        <v/>
      </c>
      <c r="P822" s="140" t="str">
        <f t="shared" si="3"/>
        <v/>
      </c>
      <c r="Q822" s="139" t="str">
        <f t="shared" si="4"/>
        <v/>
      </c>
      <c r="R822" s="139" t="str">
        <f t="shared" si="5"/>
        <v/>
      </c>
      <c r="S822" s="139" t="str">
        <f t="shared" si="6"/>
        <v/>
      </c>
      <c r="T822" s="140" t="str">
        <f t="shared" si="7"/>
        <v/>
      </c>
      <c r="U822" s="136"/>
      <c r="V822" s="136"/>
      <c r="W822" s="136"/>
      <c r="X822" s="136"/>
      <c r="Y822" s="145"/>
      <c r="Z822" s="145"/>
    </row>
    <row r="823">
      <c r="E823" s="136"/>
      <c r="F823" s="136"/>
      <c r="G823" s="136"/>
      <c r="H823" s="137" t="str">
        <f t="shared" si="1"/>
        <v/>
      </c>
      <c r="I823" s="136"/>
      <c r="J823" s="136"/>
      <c r="K823" s="136"/>
      <c r="L823" s="136"/>
      <c r="M823" s="136"/>
      <c r="N823" s="136"/>
      <c r="O823" s="142" t="str">
        <f t="shared" si="2"/>
        <v/>
      </c>
      <c r="P823" s="140" t="str">
        <f t="shared" si="3"/>
        <v/>
      </c>
      <c r="Q823" s="139" t="str">
        <f t="shared" si="4"/>
        <v/>
      </c>
      <c r="R823" s="139" t="str">
        <f t="shared" si="5"/>
        <v/>
      </c>
      <c r="S823" s="139" t="str">
        <f t="shared" si="6"/>
        <v/>
      </c>
      <c r="T823" s="140" t="str">
        <f t="shared" si="7"/>
        <v/>
      </c>
      <c r="U823" s="136"/>
      <c r="V823" s="136"/>
      <c r="W823" s="136"/>
      <c r="X823" s="136"/>
      <c r="Y823" s="145"/>
      <c r="Z823" s="145"/>
    </row>
    <row r="824">
      <c r="E824" s="136"/>
      <c r="F824" s="136"/>
      <c r="G824" s="136"/>
      <c r="H824" s="137" t="str">
        <f t="shared" si="1"/>
        <v/>
      </c>
      <c r="I824" s="136"/>
      <c r="J824" s="136"/>
      <c r="K824" s="136"/>
      <c r="L824" s="136"/>
      <c r="M824" s="136"/>
      <c r="N824" s="136"/>
      <c r="O824" s="142" t="str">
        <f t="shared" si="2"/>
        <v/>
      </c>
      <c r="P824" s="140" t="str">
        <f t="shared" si="3"/>
        <v/>
      </c>
      <c r="Q824" s="139" t="str">
        <f t="shared" si="4"/>
        <v/>
      </c>
      <c r="R824" s="139" t="str">
        <f t="shared" si="5"/>
        <v/>
      </c>
      <c r="S824" s="139" t="str">
        <f t="shared" si="6"/>
        <v/>
      </c>
      <c r="T824" s="140" t="str">
        <f t="shared" si="7"/>
        <v/>
      </c>
      <c r="U824" s="136"/>
      <c r="V824" s="136"/>
      <c r="W824" s="136"/>
      <c r="X824" s="136"/>
      <c r="Y824" s="145"/>
      <c r="Z824" s="145"/>
    </row>
    <row r="825">
      <c r="E825" s="136"/>
      <c r="F825" s="136"/>
      <c r="G825" s="136"/>
      <c r="H825" s="137" t="str">
        <f t="shared" si="1"/>
        <v/>
      </c>
      <c r="I825" s="136"/>
      <c r="J825" s="136"/>
      <c r="K825" s="136"/>
      <c r="L825" s="136"/>
      <c r="M825" s="136"/>
      <c r="N825" s="136"/>
      <c r="O825" s="142" t="str">
        <f t="shared" si="2"/>
        <v/>
      </c>
      <c r="P825" s="140" t="str">
        <f t="shared" si="3"/>
        <v/>
      </c>
      <c r="Q825" s="139" t="str">
        <f t="shared" si="4"/>
        <v/>
      </c>
      <c r="R825" s="139" t="str">
        <f t="shared" si="5"/>
        <v/>
      </c>
      <c r="S825" s="139" t="str">
        <f t="shared" si="6"/>
        <v/>
      </c>
      <c r="T825" s="140" t="str">
        <f t="shared" si="7"/>
        <v/>
      </c>
      <c r="U825" s="136"/>
      <c r="V825" s="136"/>
      <c r="W825" s="136"/>
      <c r="X825" s="136"/>
      <c r="Y825" s="145"/>
      <c r="Z825" s="145"/>
    </row>
    <row r="826">
      <c r="E826" s="136"/>
      <c r="F826" s="136"/>
      <c r="G826" s="136"/>
      <c r="H826" s="137" t="str">
        <f t="shared" si="1"/>
        <v/>
      </c>
      <c r="I826" s="136"/>
      <c r="J826" s="136"/>
      <c r="K826" s="136"/>
      <c r="L826" s="136"/>
      <c r="M826" s="136"/>
      <c r="N826" s="136"/>
      <c r="O826" s="142" t="str">
        <f t="shared" si="2"/>
        <v/>
      </c>
      <c r="P826" s="140" t="str">
        <f t="shared" si="3"/>
        <v/>
      </c>
      <c r="Q826" s="139" t="str">
        <f t="shared" si="4"/>
        <v/>
      </c>
      <c r="R826" s="139" t="str">
        <f t="shared" si="5"/>
        <v/>
      </c>
      <c r="S826" s="139" t="str">
        <f t="shared" si="6"/>
        <v/>
      </c>
      <c r="T826" s="140" t="str">
        <f t="shared" si="7"/>
        <v/>
      </c>
      <c r="U826" s="136"/>
      <c r="V826" s="136"/>
      <c r="W826" s="136"/>
      <c r="X826" s="136"/>
      <c r="Y826" s="145"/>
      <c r="Z826" s="145"/>
    </row>
    <row r="827">
      <c r="E827" s="136"/>
      <c r="F827" s="136"/>
      <c r="G827" s="136"/>
      <c r="H827" s="137" t="str">
        <f t="shared" si="1"/>
        <v/>
      </c>
      <c r="I827" s="136"/>
      <c r="J827" s="136"/>
      <c r="K827" s="136"/>
      <c r="L827" s="136"/>
      <c r="M827" s="136"/>
      <c r="N827" s="136"/>
      <c r="O827" s="142" t="str">
        <f t="shared" si="2"/>
        <v/>
      </c>
      <c r="P827" s="140" t="str">
        <f t="shared" si="3"/>
        <v/>
      </c>
      <c r="Q827" s="139" t="str">
        <f t="shared" si="4"/>
        <v/>
      </c>
      <c r="R827" s="139" t="str">
        <f t="shared" si="5"/>
        <v/>
      </c>
      <c r="S827" s="139" t="str">
        <f t="shared" si="6"/>
        <v/>
      </c>
      <c r="T827" s="140" t="str">
        <f t="shared" si="7"/>
        <v/>
      </c>
      <c r="U827" s="136"/>
      <c r="V827" s="136"/>
      <c r="W827" s="136"/>
      <c r="X827" s="136"/>
      <c r="Y827" s="145"/>
      <c r="Z827" s="145"/>
    </row>
    <row r="828">
      <c r="E828" s="136"/>
      <c r="F828" s="136"/>
      <c r="G828" s="136"/>
      <c r="H828" s="137" t="str">
        <f t="shared" si="1"/>
        <v/>
      </c>
      <c r="I828" s="136"/>
      <c r="J828" s="136"/>
      <c r="K828" s="136"/>
      <c r="L828" s="136"/>
      <c r="M828" s="136"/>
      <c r="N828" s="136"/>
      <c r="O828" s="142" t="str">
        <f t="shared" si="2"/>
        <v/>
      </c>
      <c r="P828" s="140" t="str">
        <f t="shared" si="3"/>
        <v/>
      </c>
      <c r="Q828" s="139" t="str">
        <f t="shared" si="4"/>
        <v/>
      </c>
      <c r="R828" s="139" t="str">
        <f t="shared" si="5"/>
        <v/>
      </c>
      <c r="S828" s="139" t="str">
        <f t="shared" si="6"/>
        <v/>
      </c>
      <c r="T828" s="140" t="str">
        <f t="shared" si="7"/>
        <v/>
      </c>
      <c r="U828" s="136"/>
      <c r="V828" s="136"/>
      <c r="W828" s="136"/>
      <c r="X828" s="136"/>
      <c r="Y828" s="145"/>
      <c r="Z828" s="145"/>
    </row>
    <row r="829">
      <c r="E829" s="136"/>
      <c r="F829" s="136"/>
      <c r="G829" s="136"/>
      <c r="H829" s="137" t="str">
        <f t="shared" si="1"/>
        <v/>
      </c>
      <c r="I829" s="136"/>
      <c r="J829" s="136"/>
      <c r="K829" s="136"/>
      <c r="L829" s="136"/>
      <c r="M829" s="136"/>
      <c r="N829" s="136"/>
      <c r="O829" s="142" t="str">
        <f t="shared" si="2"/>
        <v/>
      </c>
      <c r="P829" s="140" t="str">
        <f t="shared" si="3"/>
        <v/>
      </c>
      <c r="Q829" s="139" t="str">
        <f t="shared" si="4"/>
        <v/>
      </c>
      <c r="R829" s="139" t="str">
        <f t="shared" si="5"/>
        <v/>
      </c>
      <c r="S829" s="139" t="str">
        <f t="shared" si="6"/>
        <v/>
      </c>
      <c r="T829" s="140" t="str">
        <f t="shared" si="7"/>
        <v/>
      </c>
      <c r="U829" s="136"/>
      <c r="V829" s="136"/>
      <c r="W829" s="136"/>
      <c r="X829" s="136"/>
      <c r="Y829" s="145"/>
      <c r="Z829" s="145"/>
    </row>
    <row r="830">
      <c r="E830" s="136"/>
      <c r="F830" s="136"/>
      <c r="G830" s="136"/>
      <c r="H830" s="137" t="str">
        <f t="shared" si="1"/>
        <v/>
      </c>
      <c r="I830" s="136"/>
      <c r="J830" s="136"/>
      <c r="K830" s="136"/>
      <c r="L830" s="136"/>
      <c r="M830" s="136"/>
      <c r="N830" s="136"/>
      <c r="O830" s="142" t="str">
        <f t="shared" si="2"/>
        <v/>
      </c>
      <c r="P830" s="140" t="str">
        <f t="shared" si="3"/>
        <v/>
      </c>
      <c r="Q830" s="139" t="str">
        <f t="shared" si="4"/>
        <v/>
      </c>
      <c r="R830" s="139" t="str">
        <f t="shared" si="5"/>
        <v/>
      </c>
      <c r="S830" s="139" t="str">
        <f t="shared" si="6"/>
        <v/>
      </c>
      <c r="T830" s="140" t="str">
        <f t="shared" si="7"/>
        <v/>
      </c>
      <c r="U830" s="136"/>
      <c r="V830" s="136"/>
      <c r="W830" s="136"/>
      <c r="X830" s="136"/>
      <c r="Y830" s="145"/>
      <c r="Z830" s="145"/>
    </row>
    <row r="831">
      <c r="E831" s="136"/>
      <c r="F831" s="136"/>
      <c r="G831" s="136"/>
      <c r="H831" s="137" t="str">
        <f t="shared" si="1"/>
        <v/>
      </c>
      <c r="I831" s="136"/>
      <c r="J831" s="136"/>
      <c r="K831" s="136"/>
      <c r="L831" s="136"/>
      <c r="M831" s="136"/>
      <c r="N831" s="136"/>
      <c r="O831" s="142" t="str">
        <f t="shared" si="2"/>
        <v/>
      </c>
      <c r="P831" s="140" t="str">
        <f t="shared" si="3"/>
        <v/>
      </c>
      <c r="Q831" s="139" t="str">
        <f t="shared" si="4"/>
        <v/>
      </c>
      <c r="R831" s="139" t="str">
        <f t="shared" si="5"/>
        <v/>
      </c>
      <c r="S831" s="139" t="str">
        <f t="shared" si="6"/>
        <v/>
      </c>
      <c r="T831" s="140" t="str">
        <f t="shared" si="7"/>
        <v/>
      </c>
      <c r="U831" s="136"/>
      <c r="V831" s="136"/>
      <c r="W831" s="136"/>
      <c r="X831" s="136"/>
      <c r="Y831" s="145"/>
      <c r="Z831" s="145"/>
    </row>
    <row r="832">
      <c r="E832" s="136"/>
      <c r="F832" s="136"/>
      <c r="G832" s="136"/>
      <c r="H832" s="137" t="str">
        <f t="shared" si="1"/>
        <v/>
      </c>
      <c r="I832" s="136"/>
      <c r="J832" s="136"/>
      <c r="K832" s="136"/>
      <c r="L832" s="136"/>
      <c r="M832" s="136"/>
      <c r="N832" s="136"/>
      <c r="O832" s="142" t="str">
        <f t="shared" si="2"/>
        <v/>
      </c>
      <c r="P832" s="140" t="str">
        <f t="shared" si="3"/>
        <v/>
      </c>
      <c r="Q832" s="139" t="str">
        <f t="shared" si="4"/>
        <v/>
      </c>
      <c r="R832" s="139" t="str">
        <f t="shared" si="5"/>
        <v/>
      </c>
      <c r="S832" s="139" t="str">
        <f t="shared" si="6"/>
        <v/>
      </c>
      <c r="T832" s="140" t="str">
        <f t="shared" si="7"/>
        <v/>
      </c>
      <c r="U832" s="136"/>
      <c r="V832" s="136"/>
      <c r="W832" s="136"/>
      <c r="X832" s="136"/>
      <c r="Y832" s="145"/>
      <c r="Z832" s="145"/>
    </row>
    <row r="833">
      <c r="E833" s="136"/>
      <c r="F833" s="136"/>
      <c r="G833" s="136"/>
      <c r="H833" s="137" t="str">
        <f t="shared" si="1"/>
        <v/>
      </c>
      <c r="I833" s="136"/>
      <c r="J833" s="136"/>
      <c r="K833" s="136"/>
      <c r="L833" s="136"/>
      <c r="M833" s="136"/>
      <c r="N833" s="136"/>
      <c r="O833" s="142" t="str">
        <f t="shared" si="2"/>
        <v/>
      </c>
      <c r="P833" s="140" t="str">
        <f t="shared" si="3"/>
        <v/>
      </c>
      <c r="Q833" s="139" t="str">
        <f t="shared" si="4"/>
        <v/>
      </c>
      <c r="R833" s="139" t="str">
        <f t="shared" si="5"/>
        <v/>
      </c>
      <c r="S833" s="139" t="str">
        <f t="shared" si="6"/>
        <v/>
      </c>
      <c r="T833" s="140" t="str">
        <f t="shared" si="7"/>
        <v/>
      </c>
      <c r="U833" s="136"/>
      <c r="V833" s="136"/>
      <c r="W833" s="136"/>
      <c r="X833" s="136"/>
      <c r="Y833" s="145"/>
      <c r="Z833" s="145"/>
    </row>
    <row r="834">
      <c r="E834" s="136"/>
      <c r="F834" s="136"/>
      <c r="G834" s="136"/>
      <c r="H834" s="137" t="str">
        <f t="shared" si="1"/>
        <v/>
      </c>
      <c r="I834" s="136"/>
      <c r="J834" s="136"/>
      <c r="K834" s="136"/>
      <c r="L834" s="136"/>
      <c r="M834" s="136"/>
      <c r="N834" s="136"/>
      <c r="O834" s="142" t="str">
        <f t="shared" si="2"/>
        <v/>
      </c>
      <c r="P834" s="140" t="str">
        <f t="shared" si="3"/>
        <v/>
      </c>
      <c r="Q834" s="139" t="str">
        <f t="shared" si="4"/>
        <v/>
      </c>
      <c r="R834" s="139" t="str">
        <f t="shared" si="5"/>
        <v/>
      </c>
      <c r="S834" s="139" t="str">
        <f t="shared" si="6"/>
        <v/>
      </c>
      <c r="T834" s="140" t="str">
        <f t="shared" si="7"/>
        <v/>
      </c>
      <c r="U834" s="136"/>
      <c r="V834" s="136"/>
      <c r="W834" s="136"/>
      <c r="X834" s="136"/>
      <c r="Y834" s="145"/>
      <c r="Z834" s="145"/>
    </row>
    <row r="835">
      <c r="E835" s="136"/>
      <c r="F835" s="136"/>
      <c r="G835" s="136"/>
      <c r="H835" s="137" t="str">
        <f t="shared" si="1"/>
        <v/>
      </c>
      <c r="I835" s="136"/>
      <c r="J835" s="136"/>
      <c r="K835" s="136"/>
      <c r="L835" s="136"/>
      <c r="M835" s="136"/>
      <c r="N835" s="136"/>
      <c r="O835" s="142" t="str">
        <f t="shared" si="2"/>
        <v/>
      </c>
      <c r="P835" s="140" t="str">
        <f t="shared" si="3"/>
        <v/>
      </c>
      <c r="Q835" s="139" t="str">
        <f t="shared" si="4"/>
        <v/>
      </c>
      <c r="R835" s="139" t="str">
        <f t="shared" si="5"/>
        <v/>
      </c>
      <c r="S835" s="139" t="str">
        <f t="shared" si="6"/>
        <v/>
      </c>
      <c r="T835" s="140" t="str">
        <f t="shared" si="7"/>
        <v/>
      </c>
      <c r="U835" s="136"/>
      <c r="V835" s="136"/>
      <c r="W835" s="136"/>
      <c r="X835" s="136"/>
      <c r="Y835" s="145"/>
      <c r="Z835" s="145"/>
    </row>
    <row r="836">
      <c r="E836" s="136"/>
      <c r="F836" s="136"/>
      <c r="G836" s="136"/>
      <c r="H836" s="137" t="str">
        <f t="shared" si="1"/>
        <v/>
      </c>
      <c r="I836" s="136"/>
      <c r="J836" s="136"/>
      <c r="K836" s="136"/>
      <c r="L836" s="136"/>
      <c r="M836" s="136"/>
      <c r="N836" s="136"/>
      <c r="O836" s="142" t="str">
        <f t="shared" si="2"/>
        <v/>
      </c>
      <c r="P836" s="140" t="str">
        <f t="shared" si="3"/>
        <v/>
      </c>
      <c r="Q836" s="139" t="str">
        <f t="shared" si="4"/>
        <v/>
      </c>
      <c r="R836" s="139" t="str">
        <f t="shared" si="5"/>
        <v/>
      </c>
      <c r="S836" s="139" t="str">
        <f t="shared" si="6"/>
        <v/>
      </c>
      <c r="T836" s="140" t="str">
        <f t="shared" si="7"/>
        <v/>
      </c>
      <c r="U836" s="136"/>
      <c r="V836" s="136"/>
      <c r="W836" s="136"/>
      <c r="X836" s="136"/>
      <c r="Y836" s="145"/>
      <c r="Z836" s="145"/>
    </row>
    <row r="837">
      <c r="E837" s="136"/>
      <c r="F837" s="136"/>
      <c r="G837" s="136"/>
      <c r="H837" s="137" t="str">
        <f t="shared" si="1"/>
        <v/>
      </c>
      <c r="I837" s="136"/>
      <c r="J837" s="136"/>
      <c r="K837" s="136"/>
      <c r="L837" s="136"/>
      <c r="M837" s="136"/>
      <c r="N837" s="136"/>
      <c r="O837" s="142" t="str">
        <f t="shared" si="2"/>
        <v/>
      </c>
      <c r="P837" s="140" t="str">
        <f t="shared" si="3"/>
        <v/>
      </c>
      <c r="Q837" s="139" t="str">
        <f t="shared" si="4"/>
        <v/>
      </c>
      <c r="R837" s="139" t="str">
        <f t="shared" si="5"/>
        <v/>
      </c>
      <c r="S837" s="139" t="str">
        <f t="shared" si="6"/>
        <v/>
      </c>
      <c r="T837" s="140" t="str">
        <f t="shared" si="7"/>
        <v/>
      </c>
      <c r="U837" s="136"/>
      <c r="V837" s="136"/>
      <c r="W837" s="136"/>
      <c r="X837" s="136"/>
      <c r="Y837" s="145"/>
      <c r="Z837" s="145"/>
    </row>
    <row r="838">
      <c r="E838" s="136"/>
      <c r="F838" s="136"/>
      <c r="G838" s="136"/>
      <c r="H838" s="137" t="str">
        <f t="shared" si="1"/>
        <v/>
      </c>
      <c r="I838" s="136"/>
      <c r="J838" s="136"/>
      <c r="K838" s="136"/>
      <c r="L838" s="136"/>
      <c r="M838" s="136"/>
      <c r="N838" s="136"/>
      <c r="O838" s="142" t="str">
        <f t="shared" si="2"/>
        <v/>
      </c>
      <c r="P838" s="140" t="str">
        <f t="shared" si="3"/>
        <v/>
      </c>
      <c r="Q838" s="139" t="str">
        <f t="shared" si="4"/>
        <v/>
      </c>
      <c r="R838" s="139" t="str">
        <f t="shared" si="5"/>
        <v/>
      </c>
      <c r="S838" s="139" t="str">
        <f t="shared" si="6"/>
        <v/>
      </c>
      <c r="T838" s="140" t="str">
        <f t="shared" si="7"/>
        <v/>
      </c>
      <c r="U838" s="136"/>
      <c r="V838" s="136"/>
      <c r="W838" s="136"/>
      <c r="X838" s="136"/>
      <c r="Y838" s="145"/>
      <c r="Z838" s="145"/>
    </row>
    <row r="839">
      <c r="E839" s="136"/>
      <c r="F839" s="136"/>
      <c r="G839" s="136"/>
      <c r="H839" s="137" t="str">
        <f t="shared" si="1"/>
        <v/>
      </c>
      <c r="I839" s="136"/>
      <c r="J839" s="136"/>
      <c r="K839" s="136"/>
      <c r="L839" s="136"/>
      <c r="M839" s="136"/>
      <c r="N839" s="136"/>
      <c r="O839" s="142" t="str">
        <f t="shared" si="2"/>
        <v/>
      </c>
      <c r="P839" s="140" t="str">
        <f t="shared" si="3"/>
        <v/>
      </c>
      <c r="Q839" s="139" t="str">
        <f t="shared" si="4"/>
        <v/>
      </c>
      <c r="R839" s="139" t="str">
        <f t="shared" si="5"/>
        <v/>
      </c>
      <c r="S839" s="139" t="str">
        <f t="shared" si="6"/>
        <v/>
      </c>
      <c r="T839" s="140" t="str">
        <f t="shared" si="7"/>
        <v/>
      </c>
      <c r="U839" s="136"/>
      <c r="V839" s="136"/>
      <c r="W839" s="136"/>
      <c r="X839" s="136"/>
      <c r="Y839" s="145"/>
      <c r="Z839" s="145"/>
    </row>
    <row r="840">
      <c r="E840" s="136"/>
      <c r="F840" s="136"/>
      <c r="G840" s="136"/>
      <c r="H840" s="137" t="str">
        <f t="shared" si="1"/>
        <v/>
      </c>
      <c r="I840" s="136"/>
      <c r="J840" s="136"/>
      <c r="K840" s="136"/>
      <c r="L840" s="136"/>
      <c r="M840" s="136"/>
      <c r="N840" s="136"/>
      <c r="O840" s="142" t="str">
        <f t="shared" si="2"/>
        <v/>
      </c>
      <c r="P840" s="140" t="str">
        <f t="shared" si="3"/>
        <v/>
      </c>
      <c r="Q840" s="139" t="str">
        <f t="shared" si="4"/>
        <v/>
      </c>
      <c r="R840" s="139" t="str">
        <f t="shared" si="5"/>
        <v/>
      </c>
      <c r="S840" s="139" t="str">
        <f t="shared" si="6"/>
        <v/>
      </c>
      <c r="T840" s="140" t="str">
        <f t="shared" si="7"/>
        <v/>
      </c>
      <c r="U840" s="136"/>
      <c r="V840" s="136"/>
      <c r="W840" s="136"/>
      <c r="X840" s="136"/>
      <c r="Y840" s="145"/>
      <c r="Z840" s="145"/>
    </row>
    <row r="841">
      <c r="E841" s="136"/>
      <c r="F841" s="136"/>
      <c r="G841" s="136"/>
      <c r="H841" s="137" t="str">
        <f t="shared" si="1"/>
        <v/>
      </c>
      <c r="I841" s="136"/>
      <c r="J841" s="136"/>
      <c r="K841" s="136"/>
      <c r="L841" s="136"/>
      <c r="M841" s="136"/>
      <c r="N841" s="136"/>
      <c r="O841" s="142" t="str">
        <f t="shared" si="2"/>
        <v/>
      </c>
      <c r="P841" s="140" t="str">
        <f t="shared" si="3"/>
        <v/>
      </c>
      <c r="Q841" s="139" t="str">
        <f t="shared" si="4"/>
        <v/>
      </c>
      <c r="R841" s="139" t="str">
        <f t="shared" si="5"/>
        <v/>
      </c>
      <c r="S841" s="139" t="str">
        <f t="shared" si="6"/>
        <v/>
      </c>
      <c r="T841" s="140" t="str">
        <f t="shared" si="7"/>
        <v/>
      </c>
      <c r="U841" s="136"/>
      <c r="V841" s="136"/>
      <c r="W841" s="136"/>
      <c r="X841" s="136"/>
      <c r="Y841" s="145"/>
      <c r="Z841" s="145"/>
    </row>
    <row r="842">
      <c r="E842" s="136"/>
      <c r="F842" s="136"/>
      <c r="G842" s="136"/>
      <c r="H842" s="137" t="str">
        <f t="shared" si="1"/>
        <v/>
      </c>
      <c r="I842" s="136"/>
      <c r="J842" s="136"/>
      <c r="K842" s="136"/>
      <c r="L842" s="136"/>
      <c r="M842" s="136"/>
      <c r="N842" s="136"/>
      <c r="O842" s="142" t="str">
        <f t="shared" si="2"/>
        <v/>
      </c>
      <c r="P842" s="140" t="str">
        <f t="shared" si="3"/>
        <v/>
      </c>
      <c r="Q842" s="139" t="str">
        <f t="shared" si="4"/>
        <v/>
      </c>
      <c r="R842" s="139" t="str">
        <f t="shared" si="5"/>
        <v/>
      </c>
      <c r="S842" s="139" t="str">
        <f t="shared" si="6"/>
        <v/>
      </c>
      <c r="T842" s="140" t="str">
        <f t="shared" si="7"/>
        <v/>
      </c>
      <c r="U842" s="136"/>
      <c r="V842" s="136"/>
      <c r="W842" s="136"/>
      <c r="X842" s="136"/>
      <c r="Y842" s="145"/>
      <c r="Z842" s="145"/>
    </row>
    <row r="843">
      <c r="E843" s="136"/>
      <c r="F843" s="136"/>
      <c r="G843" s="136"/>
      <c r="H843" s="137" t="str">
        <f t="shared" si="1"/>
        <v/>
      </c>
      <c r="I843" s="136"/>
      <c r="J843" s="136"/>
      <c r="K843" s="136"/>
      <c r="L843" s="136"/>
      <c r="M843" s="136"/>
      <c r="N843" s="136"/>
      <c r="O843" s="142" t="str">
        <f t="shared" si="2"/>
        <v/>
      </c>
      <c r="P843" s="140" t="str">
        <f t="shared" si="3"/>
        <v/>
      </c>
      <c r="Q843" s="139" t="str">
        <f t="shared" si="4"/>
        <v/>
      </c>
      <c r="R843" s="139" t="str">
        <f t="shared" si="5"/>
        <v/>
      </c>
      <c r="S843" s="139" t="str">
        <f t="shared" si="6"/>
        <v/>
      </c>
      <c r="T843" s="140" t="str">
        <f t="shared" si="7"/>
        <v/>
      </c>
      <c r="U843" s="136"/>
      <c r="V843" s="136"/>
      <c r="W843" s="136"/>
      <c r="X843" s="136"/>
      <c r="Y843" s="145"/>
      <c r="Z843" s="145"/>
    </row>
    <row r="844">
      <c r="E844" s="136"/>
      <c r="F844" s="136"/>
      <c r="G844" s="136"/>
      <c r="H844" s="137" t="str">
        <f t="shared" si="1"/>
        <v/>
      </c>
      <c r="I844" s="136"/>
      <c r="J844" s="136"/>
      <c r="K844" s="136"/>
      <c r="L844" s="136"/>
      <c r="M844" s="136"/>
      <c r="N844" s="136"/>
      <c r="O844" s="142" t="str">
        <f t="shared" si="2"/>
        <v/>
      </c>
      <c r="P844" s="140" t="str">
        <f t="shared" si="3"/>
        <v/>
      </c>
      <c r="Q844" s="139" t="str">
        <f t="shared" si="4"/>
        <v/>
      </c>
      <c r="R844" s="139" t="str">
        <f t="shared" si="5"/>
        <v/>
      </c>
      <c r="S844" s="139" t="str">
        <f t="shared" si="6"/>
        <v/>
      </c>
      <c r="T844" s="140" t="str">
        <f t="shared" si="7"/>
        <v/>
      </c>
      <c r="U844" s="136"/>
      <c r="V844" s="136"/>
      <c r="W844" s="136"/>
      <c r="X844" s="136"/>
      <c r="Y844" s="145"/>
      <c r="Z844" s="145"/>
    </row>
    <row r="845">
      <c r="E845" s="136"/>
      <c r="F845" s="136"/>
      <c r="G845" s="136"/>
      <c r="H845" s="137" t="str">
        <f t="shared" si="1"/>
        <v/>
      </c>
      <c r="I845" s="136"/>
      <c r="J845" s="136"/>
      <c r="K845" s="136"/>
      <c r="L845" s="136"/>
      <c r="M845" s="136"/>
      <c r="N845" s="136"/>
      <c r="O845" s="142" t="str">
        <f t="shared" si="2"/>
        <v/>
      </c>
      <c r="P845" s="140" t="str">
        <f t="shared" si="3"/>
        <v/>
      </c>
      <c r="Q845" s="139" t="str">
        <f t="shared" si="4"/>
        <v/>
      </c>
      <c r="R845" s="139" t="str">
        <f t="shared" si="5"/>
        <v/>
      </c>
      <c r="S845" s="139" t="str">
        <f t="shared" si="6"/>
        <v/>
      </c>
      <c r="T845" s="140" t="str">
        <f t="shared" si="7"/>
        <v/>
      </c>
      <c r="U845" s="136"/>
      <c r="V845" s="136"/>
      <c r="W845" s="136"/>
      <c r="X845" s="136"/>
      <c r="Y845" s="145"/>
      <c r="Z845" s="145"/>
    </row>
    <row r="846">
      <c r="E846" s="136"/>
      <c r="F846" s="136"/>
      <c r="G846" s="136"/>
      <c r="H846" s="137" t="str">
        <f t="shared" si="1"/>
        <v/>
      </c>
      <c r="I846" s="136"/>
      <c r="J846" s="136"/>
      <c r="K846" s="136"/>
      <c r="L846" s="136"/>
      <c r="M846" s="136"/>
      <c r="N846" s="136"/>
      <c r="O846" s="142" t="str">
        <f t="shared" si="2"/>
        <v/>
      </c>
      <c r="P846" s="140" t="str">
        <f t="shared" si="3"/>
        <v/>
      </c>
      <c r="Q846" s="139" t="str">
        <f t="shared" si="4"/>
        <v/>
      </c>
      <c r="R846" s="139" t="str">
        <f t="shared" si="5"/>
        <v/>
      </c>
      <c r="S846" s="139" t="str">
        <f t="shared" si="6"/>
        <v/>
      </c>
      <c r="T846" s="140" t="str">
        <f t="shared" si="7"/>
        <v/>
      </c>
      <c r="U846" s="136"/>
      <c r="V846" s="136"/>
      <c r="W846" s="136"/>
      <c r="X846" s="136"/>
      <c r="Y846" s="145"/>
      <c r="Z846" s="145"/>
    </row>
    <row r="847">
      <c r="E847" s="136"/>
      <c r="F847" s="136"/>
      <c r="G847" s="136"/>
      <c r="H847" s="137" t="str">
        <f t="shared" si="1"/>
        <v/>
      </c>
      <c r="I847" s="136"/>
      <c r="J847" s="136"/>
      <c r="K847" s="136"/>
      <c r="L847" s="136"/>
      <c r="M847" s="136"/>
      <c r="N847" s="136"/>
      <c r="O847" s="142" t="str">
        <f t="shared" si="2"/>
        <v/>
      </c>
      <c r="P847" s="140" t="str">
        <f t="shared" si="3"/>
        <v/>
      </c>
      <c r="Q847" s="139" t="str">
        <f t="shared" si="4"/>
        <v/>
      </c>
      <c r="R847" s="139" t="str">
        <f t="shared" si="5"/>
        <v/>
      </c>
      <c r="S847" s="139" t="str">
        <f t="shared" si="6"/>
        <v/>
      </c>
      <c r="T847" s="140" t="str">
        <f t="shared" si="7"/>
        <v/>
      </c>
      <c r="U847" s="136"/>
      <c r="V847" s="136"/>
      <c r="W847" s="136"/>
      <c r="X847" s="136"/>
      <c r="Y847" s="145"/>
      <c r="Z847" s="145"/>
    </row>
    <row r="848">
      <c r="E848" s="136"/>
      <c r="F848" s="136"/>
      <c r="G848" s="136"/>
      <c r="H848" s="137" t="str">
        <f t="shared" si="1"/>
        <v/>
      </c>
      <c r="I848" s="136"/>
      <c r="J848" s="136"/>
      <c r="K848" s="136"/>
      <c r="L848" s="136"/>
      <c r="M848" s="136"/>
      <c r="N848" s="136"/>
      <c r="O848" s="142" t="str">
        <f t="shared" si="2"/>
        <v/>
      </c>
      <c r="P848" s="140" t="str">
        <f t="shared" si="3"/>
        <v/>
      </c>
      <c r="Q848" s="139" t="str">
        <f t="shared" si="4"/>
        <v/>
      </c>
      <c r="R848" s="139" t="str">
        <f t="shared" si="5"/>
        <v/>
      </c>
      <c r="S848" s="139" t="str">
        <f t="shared" si="6"/>
        <v/>
      </c>
      <c r="T848" s="140" t="str">
        <f t="shared" si="7"/>
        <v/>
      </c>
      <c r="U848" s="136"/>
      <c r="V848" s="136"/>
      <c r="W848" s="136"/>
      <c r="X848" s="136"/>
      <c r="Y848" s="145"/>
      <c r="Z848" s="145"/>
    </row>
    <row r="849">
      <c r="E849" s="136"/>
      <c r="F849" s="136"/>
      <c r="G849" s="136"/>
      <c r="H849" s="137" t="str">
        <f t="shared" si="1"/>
        <v/>
      </c>
      <c r="I849" s="136"/>
      <c r="J849" s="136"/>
      <c r="K849" s="136"/>
      <c r="L849" s="136"/>
      <c r="M849" s="136"/>
      <c r="N849" s="136"/>
      <c r="O849" s="142" t="str">
        <f t="shared" si="2"/>
        <v/>
      </c>
      <c r="P849" s="140" t="str">
        <f t="shared" si="3"/>
        <v/>
      </c>
      <c r="Q849" s="139" t="str">
        <f t="shared" si="4"/>
        <v/>
      </c>
      <c r="R849" s="139" t="str">
        <f t="shared" si="5"/>
        <v/>
      </c>
      <c r="S849" s="139" t="str">
        <f t="shared" si="6"/>
        <v/>
      </c>
      <c r="T849" s="140" t="str">
        <f t="shared" si="7"/>
        <v/>
      </c>
      <c r="U849" s="136"/>
      <c r="V849" s="136"/>
      <c r="W849" s="136"/>
      <c r="X849" s="136"/>
      <c r="Y849" s="145"/>
      <c r="Z849" s="145"/>
    </row>
    <row r="850">
      <c r="E850" s="136"/>
      <c r="F850" s="136"/>
      <c r="G850" s="136"/>
      <c r="H850" s="137" t="str">
        <f t="shared" si="1"/>
        <v/>
      </c>
      <c r="I850" s="136"/>
      <c r="J850" s="136"/>
      <c r="K850" s="136"/>
      <c r="L850" s="136"/>
      <c r="M850" s="136"/>
      <c r="N850" s="136"/>
      <c r="O850" s="142" t="str">
        <f t="shared" si="2"/>
        <v/>
      </c>
      <c r="P850" s="140" t="str">
        <f t="shared" si="3"/>
        <v/>
      </c>
      <c r="Q850" s="139" t="str">
        <f t="shared" si="4"/>
        <v/>
      </c>
      <c r="R850" s="139" t="str">
        <f t="shared" si="5"/>
        <v/>
      </c>
      <c r="S850" s="139" t="str">
        <f t="shared" si="6"/>
        <v/>
      </c>
      <c r="T850" s="140" t="str">
        <f t="shared" si="7"/>
        <v/>
      </c>
      <c r="U850" s="136"/>
      <c r="V850" s="136"/>
      <c r="W850" s="136"/>
      <c r="X850" s="136"/>
      <c r="Y850" s="145"/>
      <c r="Z850" s="145"/>
    </row>
    <row r="851">
      <c r="E851" s="136"/>
      <c r="F851" s="136"/>
      <c r="G851" s="136"/>
      <c r="H851" s="137" t="str">
        <f t="shared" si="1"/>
        <v/>
      </c>
      <c r="I851" s="136"/>
      <c r="J851" s="136"/>
      <c r="K851" s="136"/>
      <c r="L851" s="136"/>
      <c r="M851" s="136"/>
      <c r="N851" s="136"/>
      <c r="O851" s="142" t="str">
        <f t="shared" si="2"/>
        <v/>
      </c>
      <c r="P851" s="140" t="str">
        <f t="shared" si="3"/>
        <v/>
      </c>
      <c r="Q851" s="139" t="str">
        <f t="shared" si="4"/>
        <v/>
      </c>
      <c r="R851" s="139" t="str">
        <f t="shared" si="5"/>
        <v/>
      </c>
      <c r="S851" s="139" t="str">
        <f t="shared" si="6"/>
        <v/>
      </c>
      <c r="T851" s="140" t="str">
        <f t="shared" si="7"/>
        <v/>
      </c>
      <c r="U851" s="136"/>
      <c r="V851" s="136"/>
      <c r="W851" s="136"/>
      <c r="X851" s="136"/>
      <c r="Y851" s="145"/>
      <c r="Z851" s="145"/>
    </row>
    <row r="852">
      <c r="E852" s="136"/>
      <c r="F852" s="136"/>
      <c r="G852" s="136"/>
      <c r="H852" s="137" t="str">
        <f t="shared" si="1"/>
        <v/>
      </c>
      <c r="I852" s="136"/>
      <c r="J852" s="136"/>
      <c r="K852" s="136"/>
      <c r="L852" s="136"/>
      <c r="M852" s="136"/>
      <c r="N852" s="136"/>
      <c r="O852" s="142" t="str">
        <f t="shared" si="2"/>
        <v/>
      </c>
      <c r="P852" s="140" t="str">
        <f t="shared" si="3"/>
        <v/>
      </c>
      <c r="Q852" s="139" t="str">
        <f t="shared" si="4"/>
        <v/>
      </c>
      <c r="R852" s="139" t="str">
        <f t="shared" si="5"/>
        <v/>
      </c>
      <c r="S852" s="139" t="str">
        <f t="shared" si="6"/>
        <v/>
      </c>
      <c r="T852" s="140" t="str">
        <f t="shared" si="7"/>
        <v/>
      </c>
      <c r="U852" s="136"/>
      <c r="V852" s="136"/>
      <c r="W852" s="136"/>
      <c r="X852" s="136"/>
      <c r="Y852" s="145"/>
      <c r="Z852" s="145"/>
    </row>
    <row r="853">
      <c r="E853" s="136"/>
      <c r="F853" s="136"/>
      <c r="G853" s="136"/>
      <c r="H853" s="137" t="str">
        <f t="shared" si="1"/>
        <v/>
      </c>
      <c r="I853" s="136"/>
      <c r="J853" s="136"/>
      <c r="K853" s="136"/>
      <c r="L853" s="136"/>
      <c r="M853" s="136"/>
      <c r="N853" s="136"/>
      <c r="O853" s="142" t="str">
        <f t="shared" si="2"/>
        <v/>
      </c>
      <c r="P853" s="140" t="str">
        <f t="shared" si="3"/>
        <v/>
      </c>
      <c r="Q853" s="139" t="str">
        <f t="shared" si="4"/>
        <v/>
      </c>
      <c r="R853" s="139" t="str">
        <f t="shared" si="5"/>
        <v/>
      </c>
      <c r="S853" s="139" t="str">
        <f t="shared" si="6"/>
        <v/>
      </c>
      <c r="T853" s="140" t="str">
        <f t="shared" si="7"/>
        <v/>
      </c>
      <c r="U853" s="136"/>
      <c r="V853" s="136"/>
      <c r="W853" s="136"/>
      <c r="X853" s="136"/>
      <c r="Y853" s="145"/>
      <c r="Z853" s="145"/>
    </row>
    <row r="854">
      <c r="E854" s="136"/>
      <c r="F854" s="136"/>
      <c r="G854" s="136"/>
      <c r="H854" s="137" t="str">
        <f t="shared" si="1"/>
        <v/>
      </c>
      <c r="I854" s="136"/>
      <c r="J854" s="136"/>
      <c r="K854" s="136"/>
      <c r="L854" s="136"/>
      <c r="M854" s="136"/>
      <c r="N854" s="136"/>
      <c r="O854" s="142" t="str">
        <f t="shared" si="2"/>
        <v/>
      </c>
      <c r="P854" s="140" t="str">
        <f t="shared" si="3"/>
        <v/>
      </c>
      <c r="Q854" s="139" t="str">
        <f t="shared" si="4"/>
        <v/>
      </c>
      <c r="R854" s="139" t="str">
        <f t="shared" si="5"/>
        <v/>
      </c>
      <c r="S854" s="139" t="str">
        <f t="shared" si="6"/>
        <v/>
      </c>
      <c r="T854" s="140" t="str">
        <f t="shared" si="7"/>
        <v/>
      </c>
      <c r="U854" s="136"/>
      <c r="V854" s="136"/>
      <c r="W854" s="136"/>
      <c r="X854" s="136"/>
      <c r="Y854" s="145"/>
      <c r="Z854" s="145"/>
    </row>
    <row r="855">
      <c r="E855" s="136"/>
      <c r="F855" s="136"/>
      <c r="G855" s="136"/>
      <c r="H855" s="137" t="str">
        <f t="shared" si="1"/>
        <v/>
      </c>
      <c r="I855" s="136"/>
      <c r="J855" s="136"/>
      <c r="K855" s="136"/>
      <c r="L855" s="136"/>
      <c r="M855" s="136"/>
      <c r="N855" s="136"/>
      <c r="O855" s="142" t="str">
        <f t="shared" si="2"/>
        <v/>
      </c>
      <c r="P855" s="140" t="str">
        <f t="shared" si="3"/>
        <v/>
      </c>
      <c r="Q855" s="139" t="str">
        <f t="shared" si="4"/>
        <v/>
      </c>
      <c r="R855" s="139" t="str">
        <f t="shared" si="5"/>
        <v/>
      </c>
      <c r="S855" s="139" t="str">
        <f t="shared" si="6"/>
        <v/>
      </c>
      <c r="T855" s="140" t="str">
        <f t="shared" si="7"/>
        <v/>
      </c>
      <c r="U855" s="136"/>
      <c r="V855" s="136"/>
      <c r="W855" s="136"/>
      <c r="X855" s="136"/>
      <c r="Y855" s="145"/>
      <c r="Z855" s="145"/>
    </row>
    <row r="856">
      <c r="E856" s="136"/>
      <c r="F856" s="136"/>
      <c r="G856" s="136"/>
      <c r="H856" s="137" t="str">
        <f t="shared" si="1"/>
        <v/>
      </c>
      <c r="I856" s="136"/>
      <c r="J856" s="136"/>
      <c r="K856" s="136"/>
      <c r="L856" s="136"/>
      <c r="M856" s="136"/>
      <c r="N856" s="136"/>
      <c r="O856" s="142" t="str">
        <f t="shared" si="2"/>
        <v/>
      </c>
      <c r="P856" s="140" t="str">
        <f t="shared" si="3"/>
        <v/>
      </c>
      <c r="Q856" s="139" t="str">
        <f t="shared" si="4"/>
        <v/>
      </c>
      <c r="R856" s="139" t="str">
        <f t="shared" si="5"/>
        <v/>
      </c>
      <c r="S856" s="139" t="str">
        <f t="shared" si="6"/>
        <v/>
      </c>
      <c r="T856" s="140" t="str">
        <f t="shared" si="7"/>
        <v/>
      </c>
      <c r="U856" s="136"/>
      <c r="V856" s="136"/>
      <c r="W856" s="136"/>
      <c r="X856" s="136"/>
      <c r="Y856" s="145"/>
      <c r="Z856" s="145"/>
    </row>
    <row r="857">
      <c r="E857" s="136"/>
      <c r="F857" s="136"/>
      <c r="G857" s="136"/>
      <c r="H857" s="137" t="str">
        <f t="shared" si="1"/>
        <v/>
      </c>
      <c r="I857" s="136"/>
      <c r="J857" s="136"/>
      <c r="K857" s="136"/>
      <c r="L857" s="136"/>
      <c r="M857" s="136"/>
      <c r="N857" s="136"/>
      <c r="O857" s="142" t="str">
        <f t="shared" si="2"/>
        <v/>
      </c>
      <c r="P857" s="140" t="str">
        <f t="shared" si="3"/>
        <v/>
      </c>
      <c r="Q857" s="139" t="str">
        <f t="shared" si="4"/>
        <v/>
      </c>
      <c r="R857" s="139" t="str">
        <f t="shared" si="5"/>
        <v/>
      </c>
      <c r="S857" s="139" t="str">
        <f t="shared" si="6"/>
        <v/>
      </c>
      <c r="T857" s="140" t="str">
        <f t="shared" si="7"/>
        <v/>
      </c>
      <c r="U857" s="136"/>
      <c r="V857" s="136"/>
      <c r="W857" s="136"/>
      <c r="X857" s="136"/>
      <c r="Y857" s="145"/>
      <c r="Z857" s="145"/>
    </row>
    <row r="858">
      <c r="E858" s="136"/>
      <c r="F858" s="136"/>
      <c r="G858" s="136"/>
      <c r="H858" s="137" t="str">
        <f t="shared" si="1"/>
        <v/>
      </c>
      <c r="I858" s="136"/>
      <c r="J858" s="136"/>
      <c r="K858" s="136"/>
      <c r="L858" s="136"/>
      <c r="M858" s="136"/>
      <c r="N858" s="136"/>
      <c r="O858" s="142" t="str">
        <f t="shared" si="2"/>
        <v/>
      </c>
      <c r="P858" s="140" t="str">
        <f t="shared" si="3"/>
        <v/>
      </c>
      <c r="Q858" s="139" t="str">
        <f t="shared" si="4"/>
        <v/>
      </c>
      <c r="R858" s="139" t="str">
        <f t="shared" si="5"/>
        <v/>
      </c>
      <c r="S858" s="139" t="str">
        <f t="shared" si="6"/>
        <v/>
      </c>
      <c r="T858" s="140" t="str">
        <f t="shared" si="7"/>
        <v/>
      </c>
      <c r="U858" s="136"/>
      <c r="V858" s="136"/>
      <c r="W858" s="136"/>
      <c r="X858" s="136"/>
      <c r="Y858" s="145"/>
      <c r="Z858" s="145"/>
    </row>
    <row r="859">
      <c r="E859" s="136"/>
      <c r="F859" s="136"/>
      <c r="G859" s="136"/>
      <c r="H859" s="137" t="str">
        <f t="shared" si="1"/>
        <v/>
      </c>
      <c r="I859" s="136"/>
      <c r="J859" s="136"/>
      <c r="K859" s="136"/>
      <c r="L859" s="136"/>
      <c r="M859" s="136"/>
      <c r="N859" s="136"/>
      <c r="O859" s="142" t="str">
        <f t="shared" si="2"/>
        <v/>
      </c>
      <c r="P859" s="140" t="str">
        <f t="shared" si="3"/>
        <v/>
      </c>
      <c r="Q859" s="139" t="str">
        <f t="shared" si="4"/>
        <v/>
      </c>
      <c r="R859" s="139" t="str">
        <f t="shared" si="5"/>
        <v/>
      </c>
      <c r="S859" s="139" t="str">
        <f t="shared" si="6"/>
        <v/>
      </c>
      <c r="T859" s="140" t="str">
        <f t="shared" si="7"/>
        <v/>
      </c>
      <c r="U859" s="136"/>
      <c r="V859" s="136"/>
      <c r="W859" s="136"/>
      <c r="X859" s="136"/>
      <c r="Y859" s="145"/>
      <c r="Z859" s="145"/>
    </row>
    <row r="860">
      <c r="E860" s="136"/>
      <c r="F860" s="136"/>
      <c r="G860" s="136"/>
      <c r="H860" s="137" t="str">
        <f t="shared" si="1"/>
        <v/>
      </c>
      <c r="I860" s="136"/>
      <c r="J860" s="136"/>
      <c r="K860" s="136"/>
      <c r="L860" s="136"/>
      <c r="M860" s="136"/>
      <c r="N860" s="136"/>
      <c r="O860" s="142" t="str">
        <f t="shared" si="2"/>
        <v/>
      </c>
      <c r="P860" s="140" t="str">
        <f t="shared" si="3"/>
        <v/>
      </c>
      <c r="Q860" s="139" t="str">
        <f t="shared" si="4"/>
        <v/>
      </c>
      <c r="R860" s="139" t="str">
        <f t="shared" si="5"/>
        <v/>
      </c>
      <c r="S860" s="139" t="str">
        <f t="shared" si="6"/>
        <v/>
      </c>
      <c r="T860" s="140" t="str">
        <f t="shared" si="7"/>
        <v/>
      </c>
      <c r="U860" s="136"/>
      <c r="V860" s="136"/>
      <c r="W860" s="136"/>
      <c r="X860" s="136"/>
      <c r="Y860" s="145"/>
      <c r="Z860" s="145"/>
    </row>
    <row r="861">
      <c r="E861" s="136"/>
      <c r="F861" s="136"/>
      <c r="G861" s="136"/>
      <c r="H861" s="137" t="str">
        <f t="shared" si="1"/>
        <v/>
      </c>
      <c r="I861" s="136"/>
      <c r="J861" s="136"/>
      <c r="K861" s="136"/>
      <c r="L861" s="136"/>
      <c r="M861" s="136"/>
      <c r="N861" s="136"/>
      <c r="O861" s="142" t="str">
        <f t="shared" si="2"/>
        <v/>
      </c>
      <c r="P861" s="140" t="str">
        <f t="shared" si="3"/>
        <v/>
      </c>
      <c r="Q861" s="139" t="str">
        <f t="shared" si="4"/>
        <v/>
      </c>
      <c r="R861" s="139" t="str">
        <f t="shared" si="5"/>
        <v/>
      </c>
      <c r="S861" s="139" t="str">
        <f t="shared" si="6"/>
        <v/>
      </c>
      <c r="T861" s="140" t="str">
        <f t="shared" si="7"/>
        <v/>
      </c>
      <c r="U861" s="136"/>
      <c r="V861" s="136"/>
      <c r="W861" s="136"/>
      <c r="X861" s="136"/>
      <c r="Y861" s="145"/>
      <c r="Z861" s="145"/>
    </row>
    <row r="862">
      <c r="E862" s="136"/>
      <c r="F862" s="136"/>
      <c r="G862" s="136"/>
      <c r="H862" s="137" t="str">
        <f t="shared" si="1"/>
        <v/>
      </c>
      <c r="I862" s="136"/>
      <c r="J862" s="136"/>
      <c r="K862" s="136"/>
      <c r="L862" s="136"/>
      <c r="M862" s="136"/>
      <c r="N862" s="136"/>
      <c r="O862" s="142" t="str">
        <f t="shared" si="2"/>
        <v/>
      </c>
      <c r="P862" s="140" t="str">
        <f t="shared" si="3"/>
        <v/>
      </c>
      <c r="Q862" s="139" t="str">
        <f t="shared" si="4"/>
        <v/>
      </c>
      <c r="R862" s="139" t="str">
        <f t="shared" si="5"/>
        <v/>
      </c>
      <c r="S862" s="139" t="str">
        <f t="shared" si="6"/>
        <v/>
      </c>
      <c r="T862" s="140" t="str">
        <f t="shared" si="7"/>
        <v/>
      </c>
      <c r="U862" s="136"/>
      <c r="V862" s="136"/>
      <c r="W862" s="136"/>
      <c r="X862" s="136"/>
      <c r="Y862" s="145"/>
      <c r="Z862" s="145"/>
    </row>
    <row r="863">
      <c r="E863" s="136"/>
      <c r="F863" s="136"/>
      <c r="G863" s="136"/>
      <c r="H863" s="137" t="str">
        <f t="shared" si="1"/>
        <v/>
      </c>
      <c r="I863" s="136"/>
      <c r="J863" s="136"/>
      <c r="K863" s="136"/>
      <c r="L863" s="136"/>
      <c r="M863" s="136"/>
      <c r="N863" s="136"/>
      <c r="O863" s="142" t="str">
        <f t="shared" si="2"/>
        <v/>
      </c>
      <c r="P863" s="140" t="str">
        <f t="shared" si="3"/>
        <v/>
      </c>
      <c r="Q863" s="139" t="str">
        <f t="shared" si="4"/>
        <v/>
      </c>
      <c r="R863" s="139" t="str">
        <f t="shared" si="5"/>
        <v/>
      </c>
      <c r="S863" s="139" t="str">
        <f t="shared" si="6"/>
        <v/>
      </c>
      <c r="T863" s="140" t="str">
        <f t="shared" si="7"/>
        <v/>
      </c>
      <c r="U863" s="136"/>
      <c r="V863" s="136"/>
      <c r="W863" s="136"/>
      <c r="X863" s="136"/>
      <c r="Y863" s="145"/>
      <c r="Z863" s="145"/>
    </row>
    <row r="864">
      <c r="E864" s="136"/>
      <c r="F864" s="136"/>
      <c r="G864" s="136"/>
      <c r="H864" s="137" t="str">
        <f t="shared" si="1"/>
        <v/>
      </c>
      <c r="I864" s="136"/>
      <c r="J864" s="136"/>
      <c r="K864" s="136"/>
      <c r="L864" s="136"/>
      <c r="M864" s="136"/>
      <c r="N864" s="136"/>
      <c r="O864" s="142" t="str">
        <f t="shared" si="2"/>
        <v/>
      </c>
      <c r="P864" s="140" t="str">
        <f t="shared" si="3"/>
        <v/>
      </c>
      <c r="Q864" s="139" t="str">
        <f t="shared" si="4"/>
        <v/>
      </c>
      <c r="R864" s="139" t="str">
        <f t="shared" si="5"/>
        <v/>
      </c>
      <c r="S864" s="139" t="str">
        <f t="shared" si="6"/>
        <v/>
      </c>
      <c r="T864" s="140" t="str">
        <f t="shared" si="7"/>
        <v/>
      </c>
      <c r="U864" s="136"/>
      <c r="V864" s="136"/>
      <c r="W864" s="136"/>
      <c r="X864" s="136"/>
      <c r="Y864" s="145"/>
      <c r="Z864" s="145"/>
    </row>
    <row r="865">
      <c r="E865" s="136"/>
      <c r="F865" s="136"/>
      <c r="G865" s="136"/>
      <c r="H865" s="137" t="str">
        <f t="shared" si="1"/>
        <v/>
      </c>
      <c r="I865" s="136"/>
      <c r="J865" s="136"/>
      <c r="K865" s="136"/>
      <c r="L865" s="136"/>
      <c r="M865" s="136"/>
      <c r="N865" s="136"/>
      <c r="O865" s="142" t="str">
        <f t="shared" si="2"/>
        <v/>
      </c>
      <c r="P865" s="140" t="str">
        <f t="shared" si="3"/>
        <v/>
      </c>
      <c r="Q865" s="139" t="str">
        <f t="shared" si="4"/>
        <v/>
      </c>
      <c r="R865" s="139" t="str">
        <f t="shared" si="5"/>
        <v/>
      </c>
      <c r="S865" s="139" t="str">
        <f t="shared" si="6"/>
        <v/>
      </c>
      <c r="T865" s="140" t="str">
        <f t="shared" si="7"/>
        <v/>
      </c>
      <c r="U865" s="136"/>
      <c r="V865" s="136"/>
      <c r="W865" s="136"/>
      <c r="X865" s="136"/>
      <c r="Y865" s="145"/>
      <c r="Z865" s="145"/>
    </row>
    <row r="866">
      <c r="E866" s="136"/>
      <c r="F866" s="136"/>
      <c r="G866" s="136"/>
      <c r="H866" s="137" t="str">
        <f t="shared" si="1"/>
        <v/>
      </c>
      <c r="I866" s="136"/>
      <c r="J866" s="136"/>
      <c r="K866" s="136"/>
      <c r="L866" s="136"/>
      <c r="M866" s="136"/>
      <c r="N866" s="136"/>
      <c r="O866" s="142" t="str">
        <f t="shared" si="2"/>
        <v/>
      </c>
      <c r="P866" s="140" t="str">
        <f t="shared" si="3"/>
        <v/>
      </c>
      <c r="Q866" s="139" t="str">
        <f t="shared" si="4"/>
        <v/>
      </c>
      <c r="R866" s="139" t="str">
        <f t="shared" si="5"/>
        <v/>
      </c>
      <c r="S866" s="139" t="str">
        <f t="shared" si="6"/>
        <v/>
      </c>
      <c r="T866" s="140" t="str">
        <f t="shared" si="7"/>
        <v/>
      </c>
      <c r="U866" s="136"/>
      <c r="V866" s="136"/>
      <c r="W866" s="136"/>
      <c r="X866" s="136"/>
      <c r="Y866" s="145"/>
      <c r="Z866" s="145"/>
    </row>
    <row r="867">
      <c r="E867" s="136"/>
      <c r="F867" s="136"/>
      <c r="G867" s="136"/>
      <c r="H867" s="137" t="str">
        <f t="shared" si="1"/>
        <v/>
      </c>
      <c r="I867" s="136"/>
      <c r="J867" s="136"/>
      <c r="K867" s="136"/>
      <c r="L867" s="136"/>
      <c r="M867" s="136"/>
      <c r="N867" s="136"/>
      <c r="O867" s="142" t="str">
        <f t="shared" si="2"/>
        <v/>
      </c>
      <c r="P867" s="140" t="str">
        <f t="shared" si="3"/>
        <v/>
      </c>
      <c r="Q867" s="139" t="str">
        <f t="shared" si="4"/>
        <v/>
      </c>
      <c r="R867" s="139" t="str">
        <f t="shared" si="5"/>
        <v/>
      </c>
      <c r="S867" s="139" t="str">
        <f t="shared" si="6"/>
        <v/>
      </c>
      <c r="T867" s="140" t="str">
        <f t="shared" si="7"/>
        <v/>
      </c>
      <c r="U867" s="136"/>
      <c r="V867" s="136"/>
      <c r="W867" s="136"/>
      <c r="X867" s="136"/>
      <c r="Y867" s="145"/>
      <c r="Z867" s="145"/>
    </row>
    <row r="868">
      <c r="E868" s="136"/>
      <c r="F868" s="136"/>
      <c r="G868" s="136"/>
      <c r="H868" s="137" t="str">
        <f t="shared" si="1"/>
        <v/>
      </c>
      <c r="I868" s="136"/>
      <c r="J868" s="136"/>
      <c r="K868" s="136"/>
      <c r="L868" s="136"/>
      <c r="M868" s="136"/>
      <c r="N868" s="136"/>
      <c r="O868" s="142" t="str">
        <f t="shared" si="2"/>
        <v/>
      </c>
      <c r="P868" s="140" t="str">
        <f t="shared" si="3"/>
        <v/>
      </c>
      <c r="Q868" s="139" t="str">
        <f t="shared" si="4"/>
        <v/>
      </c>
      <c r="R868" s="139" t="str">
        <f t="shared" si="5"/>
        <v/>
      </c>
      <c r="S868" s="139" t="str">
        <f t="shared" si="6"/>
        <v/>
      </c>
      <c r="T868" s="140" t="str">
        <f t="shared" si="7"/>
        <v/>
      </c>
      <c r="U868" s="136"/>
      <c r="V868" s="136"/>
      <c r="W868" s="136"/>
      <c r="X868" s="136"/>
      <c r="Y868" s="145"/>
      <c r="Z868" s="145"/>
    </row>
    <row r="869">
      <c r="E869" s="136"/>
      <c r="F869" s="136"/>
      <c r="G869" s="136"/>
      <c r="H869" s="137" t="str">
        <f t="shared" si="1"/>
        <v/>
      </c>
      <c r="I869" s="136"/>
      <c r="J869" s="136"/>
      <c r="K869" s="136"/>
      <c r="L869" s="136"/>
      <c r="M869" s="136"/>
      <c r="N869" s="136"/>
      <c r="O869" s="142" t="str">
        <f t="shared" si="2"/>
        <v/>
      </c>
      <c r="P869" s="140" t="str">
        <f t="shared" si="3"/>
        <v/>
      </c>
      <c r="Q869" s="139" t="str">
        <f t="shared" si="4"/>
        <v/>
      </c>
      <c r="R869" s="139" t="str">
        <f t="shared" si="5"/>
        <v/>
      </c>
      <c r="S869" s="139" t="str">
        <f t="shared" si="6"/>
        <v/>
      </c>
      <c r="T869" s="140" t="str">
        <f t="shared" si="7"/>
        <v/>
      </c>
      <c r="U869" s="136"/>
      <c r="V869" s="136"/>
      <c r="W869" s="136"/>
      <c r="X869" s="136"/>
      <c r="Y869" s="145"/>
      <c r="Z869" s="145"/>
    </row>
    <row r="870">
      <c r="E870" s="136"/>
      <c r="F870" s="136"/>
      <c r="G870" s="136"/>
      <c r="H870" s="137" t="str">
        <f t="shared" si="1"/>
        <v/>
      </c>
      <c r="I870" s="136"/>
      <c r="J870" s="136"/>
      <c r="K870" s="136"/>
      <c r="L870" s="136"/>
      <c r="M870" s="136"/>
      <c r="N870" s="136"/>
      <c r="O870" s="142" t="str">
        <f t="shared" si="2"/>
        <v/>
      </c>
      <c r="P870" s="140" t="str">
        <f t="shared" si="3"/>
        <v/>
      </c>
      <c r="Q870" s="139" t="str">
        <f t="shared" si="4"/>
        <v/>
      </c>
      <c r="R870" s="139" t="str">
        <f t="shared" si="5"/>
        <v/>
      </c>
      <c r="S870" s="139" t="str">
        <f t="shared" si="6"/>
        <v/>
      </c>
      <c r="T870" s="140" t="str">
        <f t="shared" si="7"/>
        <v/>
      </c>
      <c r="U870" s="136"/>
      <c r="V870" s="136"/>
      <c r="W870" s="136"/>
      <c r="X870" s="136"/>
      <c r="Y870" s="145"/>
      <c r="Z870" s="145"/>
    </row>
    <row r="871">
      <c r="E871" s="136"/>
      <c r="F871" s="136"/>
      <c r="G871" s="136"/>
      <c r="H871" s="137" t="str">
        <f t="shared" si="1"/>
        <v/>
      </c>
      <c r="I871" s="136"/>
      <c r="J871" s="136"/>
      <c r="K871" s="136"/>
      <c r="L871" s="136"/>
      <c r="M871" s="136"/>
      <c r="N871" s="136"/>
      <c r="O871" s="142" t="str">
        <f t="shared" si="2"/>
        <v/>
      </c>
      <c r="P871" s="140" t="str">
        <f t="shared" si="3"/>
        <v/>
      </c>
      <c r="Q871" s="139" t="str">
        <f t="shared" si="4"/>
        <v/>
      </c>
      <c r="R871" s="139" t="str">
        <f t="shared" si="5"/>
        <v/>
      </c>
      <c r="S871" s="139" t="str">
        <f t="shared" si="6"/>
        <v/>
      </c>
      <c r="T871" s="140" t="str">
        <f t="shared" si="7"/>
        <v/>
      </c>
      <c r="U871" s="136"/>
      <c r="V871" s="136"/>
      <c r="W871" s="136"/>
      <c r="X871" s="136"/>
      <c r="Y871" s="145"/>
      <c r="Z871" s="145"/>
    </row>
    <row r="872">
      <c r="E872" s="136"/>
      <c r="F872" s="136"/>
      <c r="G872" s="136"/>
      <c r="H872" s="137" t="str">
        <f t="shared" si="1"/>
        <v/>
      </c>
      <c r="I872" s="136"/>
      <c r="J872" s="136"/>
      <c r="K872" s="136"/>
      <c r="L872" s="136"/>
      <c r="M872" s="136"/>
      <c r="N872" s="136"/>
      <c r="O872" s="142" t="str">
        <f t="shared" si="2"/>
        <v/>
      </c>
      <c r="P872" s="140" t="str">
        <f t="shared" si="3"/>
        <v/>
      </c>
      <c r="Q872" s="139" t="str">
        <f t="shared" si="4"/>
        <v/>
      </c>
      <c r="R872" s="139" t="str">
        <f t="shared" si="5"/>
        <v/>
      </c>
      <c r="S872" s="139" t="str">
        <f t="shared" si="6"/>
        <v/>
      </c>
      <c r="T872" s="140" t="str">
        <f t="shared" si="7"/>
        <v/>
      </c>
      <c r="U872" s="136"/>
      <c r="V872" s="136"/>
      <c r="W872" s="136"/>
      <c r="X872" s="136"/>
      <c r="Y872" s="145"/>
      <c r="Z872" s="145"/>
    </row>
    <row r="873">
      <c r="E873" s="136"/>
      <c r="F873" s="136"/>
      <c r="G873" s="136"/>
      <c r="H873" s="137" t="str">
        <f t="shared" si="1"/>
        <v/>
      </c>
      <c r="I873" s="136"/>
      <c r="J873" s="136"/>
      <c r="K873" s="136"/>
      <c r="L873" s="136"/>
      <c r="M873" s="136"/>
      <c r="N873" s="136"/>
      <c r="O873" s="142" t="str">
        <f t="shared" si="2"/>
        <v/>
      </c>
      <c r="P873" s="140" t="str">
        <f t="shared" si="3"/>
        <v/>
      </c>
      <c r="Q873" s="139" t="str">
        <f t="shared" si="4"/>
        <v/>
      </c>
      <c r="R873" s="139" t="str">
        <f t="shared" si="5"/>
        <v/>
      </c>
      <c r="S873" s="139" t="str">
        <f t="shared" si="6"/>
        <v/>
      </c>
      <c r="T873" s="140" t="str">
        <f t="shared" si="7"/>
        <v/>
      </c>
      <c r="U873" s="136"/>
      <c r="V873" s="136"/>
      <c r="W873" s="136"/>
      <c r="X873" s="136"/>
      <c r="Y873" s="145"/>
      <c r="Z873" s="145"/>
    </row>
    <row r="874">
      <c r="E874" s="136"/>
      <c r="F874" s="136"/>
      <c r="G874" s="136"/>
      <c r="H874" s="137" t="str">
        <f t="shared" si="1"/>
        <v/>
      </c>
      <c r="I874" s="136"/>
      <c r="J874" s="136"/>
      <c r="K874" s="136"/>
      <c r="L874" s="136"/>
      <c r="M874" s="136"/>
      <c r="N874" s="136"/>
      <c r="O874" s="142" t="str">
        <f t="shared" si="2"/>
        <v/>
      </c>
      <c r="P874" s="140" t="str">
        <f t="shared" si="3"/>
        <v/>
      </c>
      <c r="Q874" s="139" t="str">
        <f t="shared" si="4"/>
        <v/>
      </c>
      <c r="R874" s="139" t="str">
        <f t="shared" si="5"/>
        <v/>
      </c>
      <c r="S874" s="139" t="str">
        <f t="shared" si="6"/>
        <v/>
      </c>
      <c r="T874" s="140" t="str">
        <f t="shared" si="7"/>
        <v/>
      </c>
      <c r="U874" s="136"/>
      <c r="V874" s="136"/>
      <c r="W874" s="136"/>
      <c r="X874" s="136"/>
      <c r="Y874" s="145"/>
      <c r="Z874" s="145"/>
    </row>
    <row r="875">
      <c r="E875" s="136"/>
      <c r="F875" s="136"/>
      <c r="G875" s="136"/>
      <c r="H875" s="137" t="str">
        <f t="shared" si="1"/>
        <v/>
      </c>
      <c r="I875" s="136"/>
      <c r="J875" s="136"/>
      <c r="K875" s="136"/>
      <c r="L875" s="136"/>
      <c r="M875" s="136"/>
      <c r="N875" s="136"/>
      <c r="O875" s="142" t="str">
        <f t="shared" si="2"/>
        <v/>
      </c>
      <c r="P875" s="140" t="str">
        <f t="shared" si="3"/>
        <v/>
      </c>
      <c r="Q875" s="139" t="str">
        <f t="shared" si="4"/>
        <v/>
      </c>
      <c r="R875" s="139" t="str">
        <f t="shared" si="5"/>
        <v/>
      </c>
      <c r="S875" s="139" t="str">
        <f t="shared" si="6"/>
        <v/>
      </c>
      <c r="T875" s="140" t="str">
        <f t="shared" si="7"/>
        <v/>
      </c>
      <c r="U875" s="136"/>
      <c r="V875" s="136"/>
      <c r="W875" s="136"/>
      <c r="X875" s="136"/>
      <c r="Y875" s="145"/>
      <c r="Z875" s="145"/>
    </row>
    <row r="876">
      <c r="E876" s="136"/>
      <c r="F876" s="136"/>
      <c r="G876" s="136"/>
      <c r="H876" s="137" t="str">
        <f t="shared" si="1"/>
        <v/>
      </c>
      <c r="I876" s="136"/>
      <c r="J876" s="136"/>
      <c r="K876" s="136"/>
      <c r="L876" s="136"/>
      <c r="M876" s="136"/>
      <c r="N876" s="136"/>
      <c r="O876" s="142" t="str">
        <f t="shared" si="2"/>
        <v/>
      </c>
      <c r="P876" s="140" t="str">
        <f t="shared" si="3"/>
        <v/>
      </c>
      <c r="Q876" s="139" t="str">
        <f t="shared" si="4"/>
        <v/>
      </c>
      <c r="R876" s="139" t="str">
        <f t="shared" si="5"/>
        <v/>
      </c>
      <c r="S876" s="139" t="str">
        <f t="shared" si="6"/>
        <v/>
      </c>
      <c r="T876" s="140" t="str">
        <f t="shared" si="7"/>
        <v/>
      </c>
      <c r="U876" s="136"/>
      <c r="V876" s="136"/>
      <c r="W876" s="136"/>
      <c r="X876" s="136"/>
      <c r="Y876" s="145"/>
      <c r="Z876" s="145"/>
    </row>
    <row r="877">
      <c r="E877" s="136"/>
      <c r="F877" s="136"/>
      <c r="G877" s="136"/>
      <c r="H877" s="137" t="str">
        <f t="shared" si="1"/>
        <v/>
      </c>
      <c r="I877" s="136"/>
      <c r="J877" s="136"/>
      <c r="K877" s="136"/>
      <c r="L877" s="136"/>
      <c r="M877" s="136"/>
      <c r="N877" s="136"/>
      <c r="O877" s="142" t="str">
        <f t="shared" si="2"/>
        <v/>
      </c>
      <c r="P877" s="140" t="str">
        <f t="shared" si="3"/>
        <v/>
      </c>
      <c r="Q877" s="139" t="str">
        <f t="shared" si="4"/>
        <v/>
      </c>
      <c r="R877" s="139" t="str">
        <f t="shared" si="5"/>
        <v/>
      </c>
      <c r="S877" s="139" t="str">
        <f t="shared" si="6"/>
        <v/>
      </c>
      <c r="T877" s="140" t="str">
        <f t="shared" si="7"/>
        <v/>
      </c>
      <c r="U877" s="136"/>
      <c r="V877" s="136"/>
      <c r="W877" s="136"/>
      <c r="X877" s="136"/>
      <c r="Y877" s="145"/>
      <c r="Z877" s="145"/>
    </row>
    <row r="878">
      <c r="E878" s="136"/>
      <c r="F878" s="136"/>
      <c r="G878" s="136"/>
      <c r="H878" s="137" t="str">
        <f t="shared" si="1"/>
        <v/>
      </c>
      <c r="I878" s="136"/>
      <c r="J878" s="136"/>
      <c r="K878" s="136"/>
      <c r="L878" s="136"/>
      <c r="M878" s="136"/>
      <c r="N878" s="136"/>
      <c r="O878" s="142" t="str">
        <f t="shared" si="2"/>
        <v/>
      </c>
      <c r="P878" s="140" t="str">
        <f t="shared" si="3"/>
        <v/>
      </c>
      <c r="Q878" s="139" t="str">
        <f t="shared" si="4"/>
        <v/>
      </c>
      <c r="R878" s="139" t="str">
        <f t="shared" si="5"/>
        <v/>
      </c>
      <c r="S878" s="139" t="str">
        <f t="shared" si="6"/>
        <v/>
      </c>
      <c r="T878" s="140" t="str">
        <f t="shared" si="7"/>
        <v/>
      </c>
      <c r="U878" s="136"/>
      <c r="V878" s="136"/>
      <c r="W878" s="136"/>
      <c r="X878" s="136"/>
      <c r="Y878" s="145"/>
      <c r="Z878" s="145"/>
    </row>
    <row r="879">
      <c r="E879" s="136"/>
      <c r="F879" s="136"/>
      <c r="G879" s="136"/>
      <c r="H879" s="137" t="str">
        <f t="shared" si="1"/>
        <v/>
      </c>
      <c r="I879" s="136"/>
      <c r="J879" s="136"/>
      <c r="K879" s="136"/>
      <c r="L879" s="136"/>
      <c r="M879" s="136"/>
      <c r="N879" s="136"/>
      <c r="O879" s="142" t="str">
        <f t="shared" si="2"/>
        <v/>
      </c>
      <c r="P879" s="140" t="str">
        <f t="shared" si="3"/>
        <v/>
      </c>
      <c r="Q879" s="139" t="str">
        <f t="shared" si="4"/>
        <v/>
      </c>
      <c r="R879" s="139" t="str">
        <f t="shared" si="5"/>
        <v/>
      </c>
      <c r="S879" s="139" t="str">
        <f t="shared" si="6"/>
        <v/>
      </c>
      <c r="T879" s="140" t="str">
        <f t="shared" si="7"/>
        <v/>
      </c>
      <c r="U879" s="136"/>
      <c r="V879" s="136"/>
      <c r="W879" s="136"/>
      <c r="X879" s="136"/>
      <c r="Y879" s="145"/>
      <c r="Z879" s="145"/>
    </row>
    <row r="880">
      <c r="E880" s="136"/>
      <c r="F880" s="136"/>
      <c r="G880" s="136"/>
      <c r="H880" s="137" t="str">
        <f t="shared" si="1"/>
        <v/>
      </c>
      <c r="I880" s="136"/>
      <c r="J880" s="136"/>
      <c r="K880" s="136"/>
      <c r="L880" s="136"/>
      <c r="M880" s="136"/>
      <c r="N880" s="136"/>
      <c r="O880" s="142" t="str">
        <f t="shared" si="2"/>
        <v/>
      </c>
      <c r="P880" s="140" t="str">
        <f t="shared" si="3"/>
        <v/>
      </c>
      <c r="Q880" s="139" t="str">
        <f t="shared" si="4"/>
        <v/>
      </c>
      <c r="R880" s="139" t="str">
        <f t="shared" si="5"/>
        <v/>
      </c>
      <c r="S880" s="139" t="str">
        <f t="shared" si="6"/>
        <v/>
      </c>
      <c r="T880" s="140" t="str">
        <f t="shared" si="7"/>
        <v/>
      </c>
      <c r="U880" s="136"/>
      <c r="V880" s="136"/>
      <c r="W880" s="136"/>
      <c r="X880" s="136"/>
      <c r="Y880" s="145"/>
      <c r="Z880" s="145"/>
    </row>
    <row r="881">
      <c r="E881" s="136"/>
      <c r="F881" s="136"/>
      <c r="G881" s="136"/>
      <c r="H881" s="137" t="str">
        <f t="shared" si="1"/>
        <v/>
      </c>
      <c r="I881" s="136"/>
      <c r="J881" s="136"/>
      <c r="K881" s="136"/>
      <c r="L881" s="136"/>
      <c r="M881" s="136"/>
      <c r="N881" s="136"/>
      <c r="O881" s="142" t="str">
        <f t="shared" si="2"/>
        <v/>
      </c>
      <c r="P881" s="140" t="str">
        <f t="shared" si="3"/>
        <v/>
      </c>
      <c r="Q881" s="139" t="str">
        <f t="shared" si="4"/>
        <v/>
      </c>
      <c r="R881" s="139" t="str">
        <f t="shared" si="5"/>
        <v/>
      </c>
      <c r="S881" s="139" t="str">
        <f t="shared" si="6"/>
        <v/>
      </c>
      <c r="T881" s="140" t="str">
        <f t="shared" si="7"/>
        <v/>
      </c>
      <c r="U881" s="136"/>
      <c r="V881" s="136"/>
      <c r="W881" s="136"/>
      <c r="X881" s="136"/>
      <c r="Y881" s="145"/>
      <c r="Z881" s="145"/>
    </row>
    <row r="882">
      <c r="E882" s="136"/>
      <c r="F882" s="136"/>
      <c r="G882" s="136"/>
      <c r="H882" s="137" t="str">
        <f t="shared" si="1"/>
        <v/>
      </c>
      <c r="I882" s="136"/>
      <c r="J882" s="136"/>
      <c r="K882" s="136"/>
      <c r="L882" s="136"/>
      <c r="M882" s="136"/>
      <c r="N882" s="136"/>
      <c r="O882" s="142" t="str">
        <f t="shared" si="2"/>
        <v/>
      </c>
      <c r="P882" s="140" t="str">
        <f t="shared" si="3"/>
        <v/>
      </c>
      <c r="Q882" s="139" t="str">
        <f t="shared" si="4"/>
        <v/>
      </c>
      <c r="R882" s="139" t="str">
        <f t="shared" si="5"/>
        <v/>
      </c>
      <c r="S882" s="139" t="str">
        <f t="shared" si="6"/>
        <v/>
      </c>
      <c r="T882" s="140" t="str">
        <f t="shared" si="7"/>
        <v/>
      </c>
      <c r="U882" s="136"/>
      <c r="V882" s="136"/>
      <c r="W882" s="136"/>
      <c r="X882" s="136"/>
      <c r="Y882" s="145"/>
      <c r="Z882" s="145"/>
    </row>
    <row r="883">
      <c r="E883" s="136"/>
      <c r="F883" s="136"/>
      <c r="G883" s="136"/>
      <c r="H883" s="137" t="str">
        <f t="shared" si="1"/>
        <v/>
      </c>
      <c r="I883" s="136"/>
      <c r="J883" s="136"/>
      <c r="K883" s="136"/>
      <c r="L883" s="136"/>
      <c r="M883" s="136"/>
      <c r="N883" s="136"/>
      <c r="O883" s="142" t="str">
        <f t="shared" si="2"/>
        <v/>
      </c>
      <c r="P883" s="140" t="str">
        <f t="shared" si="3"/>
        <v/>
      </c>
      <c r="Q883" s="139" t="str">
        <f t="shared" si="4"/>
        <v/>
      </c>
      <c r="R883" s="139" t="str">
        <f t="shared" si="5"/>
        <v/>
      </c>
      <c r="S883" s="139" t="str">
        <f t="shared" si="6"/>
        <v/>
      </c>
      <c r="T883" s="140" t="str">
        <f t="shared" si="7"/>
        <v/>
      </c>
      <c r="U883" s="136"/>
      <c r="V883" s="136"/>
      <c r="W883" s="136"/>
      <c r="X883" s="136"/>
      <c r="Y883" s="145"/>
      <c r="Z883" s="145"/>
    </row>
    <row r="884">
      <c r="E884" s="136"/>
      <c r="F884" s="136"/>
      <c r="G884" s="136"/>
      <c r="H884" s="137" t="str">
        <f t="shared" si="1"/>
        <v/>
      </c>
      <c r="I884" s="136"/>
      <c r="J884" s="136"/>
      <c r="K884" s="136"/>
      <c r="L884" s="136"/>
      <c r="M884" s="136"/>
      <c r="N884" s="136"/>
      <c r="O884" s="142" t="str">
        <f t="shared" si="2"/>
        <v/>
      </c>
      <c r="P884" s="140" t="str">
        <f t="shared" si="3"/>
        <v/>
      </c>
      <c r="Q884" s="139" t="str">
        <f t="shared" si="4"/>
        <v/>
      </c>
      <c r="R884" s="139" t="str">
        <f t="shared" si="5"/>
        <v/>
      </c>
      <c r="S884" s="139" t="str">
        <f t="shared" si="6"/>
        <v/>
      </c>
      <c r="T884" s="140" t="str">
        <f t="shared" si="7"/>
        <v/>
      </c>
      <c r="U884" s="136"/>
      <c r="V884" s="136"/>
      <c r="W884" s="136"/>
      <c r="X884" s="136"/>
      <c r="Y884" s="145"/>
      <c r="Z884" s="145"/>
    </row>
    <row r="885">
      <c r="E885" s="136"/>
      <c r="F885" s="136"/>
      <c r="G885" s="136"/>
      <c r="H885" s="137" t="str">
        <f t="shared" si="1"/>
        <v/>
      </c>
      <c r="I885" s="136"/>
      <c r="J885" s="136"/>
      <c r="K885" s="136"/>
      <c r="L885" s="136"/>
      <c r="M885" s="136"/>
      <c r="N885" s="136"/>
      <c r="O885" s="142" t="str">
        <f t="shared" si="2"/>
        <v/>
      </c>
      <c r="P885" s="140" t="str">
        <f t="shared" si="3"/>
        <v/>
      </c>
      <c r="Q885" s="139" t="str">
        <f t="shared" si="4"/>
        <v/>
      </c>
      <c r="R885" s="139" t="str">
        <f t="shared" si="5"/>
        <v/>
      </c>
      <c r="S885" s="139" t="str">
        <f t="shared" si="6"/>
        <v/>
      </c>
      <c r="T885" s="140" t="str">
        <f t="shared" si="7"/>
        <v/>
      </c>
      <c r="U885" s="136"/>
      <c r="V885" s="136"/>
      <c r="W885" s="136"/>
      <c r="X885" s="136"/>
      <c r="Y885" s="145"/>
      <c r="Z885" s="145"/>
    </row>
    <row r="886">
      <c r="E886" s="136"/>
      <c r="F886" s="136"/>
      <c r="G886" s="136"/>
      <c r="H886" s="137" t="str">
        <f t="shared" si="1"/>
        <v/>
      </c>
      <c r="I886" s="136"/>
      <c r="J886" s="136"/>
      <c r="K886" s="136"/>
      <c r="L886" s="136"/>
      <c r="M886" s="136"/>
      <c r="N886" s="136"/>
      <c r="O886" s="142" t="str">
        <f t="shared" si="2"/>
        <v/>
      </c>
      <c r="P886" s="140" t="str">
        <f t="shared" si="3"/>
        <v/>
      </c>
      <c r="Q886" s="139" t="str">
        <f t="shared" si="4"/>
        <v/>
      </c>
      <c r="R886" s="139" t="str">
        <f t="shared" si="5"/>
        <v/>
      </c>
      <c r="S886" s="139" t="str">
        <f t="shared" si="6"/>
        <v/>
      </c>
      <c r="T886" s="140" t="str">
        <f t="shared" si="7"/>
        <v/>
      </c>
      <c r="U886" s="136"/>
      <c r="V886" s="136"/>
      <c r="W886" s="136"/>
      <c r="X886" s="136"/>
      <c r="Y886" s="145"/>
      <c r="Z886" s="145"/>
    </row>
    <row r="887">
      <c r="E887" s="136"/>
      <c r="F887" s="136"/>
      <c r="G887" s="136"/>
      <c r="H887" s="137" t="str">
        <f t="shared" si="1"/>
        <v/>
      </c>
      <c r="I887" s="136"/>
      <c r="J887" s="136"/>
      <c r="K887" s="136"/>
      <c r="L887" s="136"/>
      <c r="M887" s="136"/>
      <c r="N887" s="136"/>
      <c r="O887" s="142" t="str">
        <f t="shared" si="2"/>
        <v/>
      </c>
      <c r="P887" s="140" t="str">
        <f t="shared" si="3"/>
        <v/>
      </c>
      <c r="Q887" s="139" t="str">
        <f t="shared" si="4"/>
        <v/>
      </c>
      <c r="R887" s="139" t="str">
        <f t="shared" si="5"/>
        <v/>
      </c>
      <c r="S887" s="139" t="str">
        <f t="shared" si="6"/>
        <v/>
      </c>
      <c r="T887" s="140" t="str">
        <f t="shared" si="7"/>
        <v/>
      </c>
      <c r="U887" s="136"/>
      <c r="V887" s="136"/>
      <c r="W887" s="136"/>
      <c r="X887" s="136"/>
      <c r="Y887" s="145"/>
      <c r="Z887" s="145"/>
    </row>
    <row r="888">
      <c r="E888" s="136"/>
      <c r="F888" s="136"/>
      <c r="G888" s="136"/>
      <c r="H888" s="137" t="str">
        <f t="shared" si="1"/>
        <v/>
      </c>
      <c r="I888" s="136"/>
      <c r="J888" s="136"/>
      <c r="K888" s="136"/>
      <c r="L888" s="136"/>
      <c r="M888" s="136"/>
      <c r="N888" s="136"/>
      <c r="O888" s="142" t="str">
        <f t="shared" si="2"/>
        <v/>
      </c>
      <c r="P888" s="140" t="str">
        <f t="shared" si="3"/>
        <v/>
      </c>
      <c r="Q888" s="139" t="str">
        <f t="shared" si="4"/>
        <v/>
      </c>
      <c r="R888" s="139" t="str">
        <f t="shared" si="5"/>
        <v/>
      </c>
      <c r="S888" s="139" t="str">
        <f t="shared" si="6"/>
        <v/>
      </c>
      <c r="T888" s="140" t="str">
        <f t="shared" si="7"/>
        <v/>
      </c>
      <c r="U888" s="136"/>
      <c r="V888" s="136"/>
      <c r="W888" s="136"/>
      <c r="X888" s="136"/>
      <c r="Y888" s="145"/>
      <c r="Z888" s="145"/>
    </row>
    <row r="889">
      <c r="E889" s="136"/>
      <c r="F889" s="136"/>
      <c r="G889" s="136"/>
      <c r="H889" s="137" t="str">
        <f t="shared" si="1"/>
        <v/>
      </c>
      <c r="I889" s="136"/>
      <c r="J889" s="136"/>
      <c r="K889" s="136"/>
      <c r="L889" s="136"/>
      <c r="M889" s="136"/>
      <c r="N889" s="136"/>
      <c r="O889" s="142" t="str">
        <f t="shared" si="2"/>
        <v/>
      </c>
      <c r="P889" s="140" t="str">
        <f t="shared" si="3"/>
        <v/>
      </c>
      <c r="Q889" s="139" t="str">
        <f t="shared" si="4"/>
        <v/>
      </c>
      <c r="R889" s="139" t="str">
        <f t="shared" si="5"/>
        <v/>
      </c>
      <c r="S889" s="139" t="str">
        <f t="shared" si="6"/>
        <v/>
      </c>
      <c r="T889" s="140" t="str">
        <f t="shared" si="7"/>
        <v/>
      </c>
      <c r="U889" s="136"/>
      <c r="V889" s="136"/>
      <c r="W889" s="136"/>
      <c r="X889" s="136"/>
      <c r="Y889" s="145"/>
      <c r="Z889" s="145"/>
    </row>
    <row r="890">
      <c r="E890" s="136"/>
      <c r="F890" s="136"/>
      <c r="G890" s="136"/>
      <c r="H890" s="137" t="str">
        <f t="shared" si="1"/>
        <v/>
      </c>
      <c r="I890" s="136"/>
      <c r="J890" s="136"/>
      <c r="K890" s="136"/>
      <c r="L890" s="136"/>
      <c r="M890" s="136"/>
      <c r="N890" s="136"/>
      <c r="O890" s="142" t="str">
        <f t="shared" si="2"/>
        <v/>
      </c>
      <c r="P890" s="140" t="str">
        <f t="shared" si="3"/>
        <v/>
      </c>
      <c r="Q890" s="139" t="str">
        <f t="shared" si="4"/>
        <v/>
      </c>
      <c r="R890" s="139" t="str">
        <f t="shared" si="5"/>
        <v/>
      </c>
      <c r="S890" s="139" t="str">
        <f t="shared" si="6"/>
        <v/>
      </c>
      <c r="T890" s="140" t="str">
        <f t="shared" si="7"/>
        <v/>
      </c>
      <c r="U890" s="136"/>
      <c r="V890" s="136"/>
      <c r="W890" s="136"/>
      <c r="X890" s="136"/>
      <c r="Y890" s="145"/>
      <c r="Z890" s="145"/>
    </row>
    <row r="891">
      <c r="E891" s="136"/>
      <c r="F891" s="136"/>
      <c r="G891" s="136"/>
      <c r="H891" s="137" t="str">
        <f t="shared" si="1"/>
        <v/>
      </c>
      <c r="I891" s="136"/>
      <c r="J891" s="136"/>
      <c r="K891" s="136"/>
      <c r="L891" s="136"/>
      <c r="M891" s="136"/>
      <c r="N891" s="136"/>
      <c r="O891" s="142" t="str">
        <f t="shared" si="2"/>
        <v/>
      </c>
      <c r="P891" s="140" t="str">
        <f t="shared" si="3"/>
        <v/>
      </c>
      <c r="Q891" s="139" t="str">
        <f t="shared" si="4"/>
        <v/>
      </c>
      <c r="R891" s="139" t="str">
        <f t="shared" si="5"/>
        <v/>
      </c>
      <c r="S891" s="139" t="str">
        <f t="shared" si="6"/>
        <v/>
      </c>
      <c r="T891" s="140" t="str">
        <f t="shared" si="7"/>
        <v/>
      </c>
      <c r="U891" s="136"/>
      <c r="V891" s="136"/>
      <c r="W891" s="136"/>
      <c r="X891" s="136"/>
      <c r="Y891" s="145"/>
      <c r="Z891" s="145"/>
    </row>
    <row r="892">
      <c r="E892" s="136"/>
      <c r="F892" s="136"/>
      <c r="G892" s="136"/>
      <c r="H892" s="137" t="str">
        <f t="shared" si="1"/>
        <v/>
      </c>
      <c r="I892" s="136"/>
      <c r="J892" s="136"/>
      <c r="K892" s="136"/>
      <c r="L892" s="136"/>
      <c r="M892" s="136"/>
      <c r="N892" s="136"/>
      <c r="O892" s="142" t="str">
        <f t="shared" si="2"/>
        <v/>
      </c>
      <c r="P892" s="140" t="str">
        <f t="shared" si="3"/>
        <v/>
      </c>
      <c r="Q892" s="139" t="str">
        <f t="shared" si="4"/>
        <v/>
      </c>
      <c r="R892" s="139" t="str">
        <f t="shared" si="5"/>
        <v/>
      </c>
      <c r="S892" s="139" t="str">
        <f t="shared" si="6"/>
        <v/>
      </c>
      <c r="T892" s="140" t="str">
        <f t="shared" si="7"/>
        <v/>
      </c>
      <c r="U892" s="136"/>
      <c r="V892" s="136"/>
      <c r="W892" s="136"/>
      <c r="X892" s="136"/>
      <c r="Y892" s="145"/>
      <c r="Z892" s="145"/>
    </row>
    <row r="893">
      <c r="E893" s="136"/>
      <c r="F893" s="136"/>
      <c r="G893" s="136"/>
      <c r="H893" s="137" t="str">
        <f t="shared" si="1"/>
        <v/>
      </c>
      <c r="I893" s="136"/>
      <c r="J893" s="136"/>
      <c r="K893" s="136"/>
      <c r="L893" s="136"/>
      <c r="M893" s="136"/>
      <c r="N893" s="136"/>
      <c r="O893" s="142" t="str">
        <f t="shared" si="2"/>
        <v/>
      </c>
      <c r="P893" s="140" t="str">
        <f t="shared" si="3"/>
        <v/>
      </c>
      <c r="Q893" s="139" t="str">
        <f t="shared" si="4"/>
        <v/>
      </c>
      <c r="R893" s="139" t="str">
        <f t="shared" si="5"/>
        <v/>
      </c>
      <c r="S893" s="139" t="str">
        <f t="shared" si="6"/>
        <v/>
      </c>
      <c r="T893" s="140" t="str">
        <f t="shared" si="7"/>
        <v/>
      </c>
      <c r="U893" s="136"/>
      <c r="V893" s="136"/>
      <c r="W893" s="136"/>
      <c r="X893" s="136"/>
      <c r="Y893" s="145"/>
      <c r="Z893" s="145"/>
    </row>
    <row r="894">
      <c r="E894" s="136"/>
      <c r="F894" s="136"/>
      <c r="G894" s="136"/>
      <c r="H894" s="137" t="str">
        <f t="shared" si="1"/>
        <v/>
      </c>
      <c r="I894" s="136"/>
      <c r="J894" s="136"/>
      <c r="K894" s="136"/>
      <c r="L894" s="136"/>
      <c r="M894" s="136"/>
      <c r="N894" s="136"/>
      <c r="O894" s="142" t="str">
        <f t="shared" si="2"/>
        <v/>
      </c>
      <c r="P894" s="140" t="str">
        <f t="shared" si="3"/>
        <v/>
      </c>
      <c r="Q894" s="139" t="str">
        <f t="shared" si="4"/>
        <v/>
      </c>
      <c r="R894" s="139" t="str">
        <f t="shared" si="5"/>
        <v/>
      </c>
      <c r="S894" s="139" t="str">
        <f t="shared" si="6"/>
        <v/>
      </c>
      <c r="T894" s="140" t="str">
        <f t="shared" si="7"/>
        <v/>
      </c>
      <c r="U894" s="136"/>
      <c r="V894" s="136"/>
      <c r="W894" s="136"/>
      <c r="X894" s="136"/>
      <c r="Y894" s="145"/>
      <c r="Z894" s="145"/>
    </row>
    <row r="895">
      <c r="E895" s="136"/>
      <c r="F895" s="136"/>
      <c r="G895" s="136"/>
      <c r="H895" s="137" t="str">
        <f t="shared" si="1"/>
        <v/>
      </c>
      <c r="I895" s="136"/>
      <c r="J895" s="136"/>
      <c r="K895" s="136"/>
      <c r="L895" s="136"/>
      <c r="M895" s="136"/>
      <c r="N895" s="136"/>
      <c r="O895" s="142" t="str">
        <f t="shared" si="2"/>
        <v/>
      </c>
      <c r="P895" s="140" t="str">
        <f t="shared" si="3"/>
        <v/>
      </c>
      <c r="Q895" s="139" t="str">
        <f t="shared" si="4"/>
        <v/>
      </c>
      <c r="R895" s="139" t="str">
        <f t="shared" si="5"/>
        <v/>
      </c>
      <c r="S895" s="139" t="str">
        <f t="shared" si="6"/>
        <v/>
      </c>
      <c r="T895" s="140" t="str">
        <f t="shared" si="7"/>
        <v/>
      </c>
      <c r="U895" s="136"/>
      <c r="V895" s="136"/>
      <c r="W895" s="136"/>
      <c r="X895" s="136"/>
      <c r="Y895" s="145"/>
      <c r="Z895" s="145"/>
    </row>
    <row r="896">
      <c r="E896" s="136"/>
      <c r="F896" s="136"/>
      <c r="G896" s="136"/>
      <c r="H896" s="137" t="str">
        <f t="shared" si="1"/>
        <v/>
      </c>
      <c r="I896" s="136"/>
      <c r="J896" s="136"/>
      <c r="K896" s="136"/>
      <c r="L896" s="136"/>
      <c r="M896" s="136"/>
      <c r="N896" s="136"/>
      <c r="O896" s="142" t="str">
        <f t="shared" si="2"/>
        <v/>
      </c>
      <c r="P896" s="140" t="str">
        <f t="shared" si="3"/>
        <v/>
      </c>
      <c r="Q896" s="139" t="str">
        <f t="shared" si="4"/>
        <v/>
      </c>
      <c r="R896" s="139" t="str">
        <f t="shared" si="5"/>
        <v/>
      </c>
      <c r="S896" s="139" t="str">
        <f t="shared" si="6"/>
        <v/>
      </c>
      <c r="T896" s="140" t="str">
        <f t="shared" si="7"/>
        <v/>
      </c>
      <c r="U896" s="136"/>
      <c r="V896" s="136"/>
      <c r="W896" s="136"/>
      <c r="X896" s="136"/>
      <c r="Y896" s="145"/>
      <c r="Z896" s="145"/>
    </row>
    <row r="897">
      <c r="E897" s="136"/>
      <c r="F897" s="136"/>
      <c r="G897" s="136"/>
      <c r="H897" s="137" t="str">
        <f t="shared" si="1"/>
        <v/>
      </c>
      <c r="I897" s="136"/>
      <c r="J897" s="136"/>
      <c r="K897" s="136"/>
      <c r="L897" s="136"/>
      <c r="M897" s="136"/>
      <c r="N897" s="136"/>
      <c r="O897" s="142" t="str">
        <f t="shared" si="2"/>
        <v/>
      </c>
      <c r="P897" s="140" t="str">
        <f t="shared" si="3"/>
        <v/>
      </c>
      <c r="Q897" s="139" t="str">
        <f t="shared" si="4"/>
        <v/>
      </c>
      <c r="R897" s="139" t="str">
        <f t="shared" si="5"/>
        <v/>
      </c>
      <c r="S897" s="139" t="str">
        <f t="shared" si="6"/>
        <v/>
      </c>
      <c r="T897" s="140" t="str">
        <f t="shared" si="7"/>
        <v/>
      </c>
      <c r="U897" s="136"/>
      <c r="V897" s="136"/>
      <c r="W897" s="136"/>
      <c r="X897" s="136"/>
      <c r="Y897" s="145"/>
      <c r="Z897" s="145"/>
    </row>
    <row r="898">
      <c r="E898" s="136"/>
      <c r="F898" s="136"/>
      <c r="G898" s="136"/>
      <c r="H898" s="137" t="str">
        <f t="shared" si="1"/>
        <v/>
      </c>
      <c r="I898" s="136"/>
      <c r="J898" s="136"/>
      <c r="K898" s="136"/>
      <c r="L898" s="136"/>
      <c r="M898" s="136"/>
      <c r="N898" s="136"/>
      <c r="O898" s="142" t="str">
        <f t="shared" si="2"/>
        <v/>
      </c>
      <c r="P898" s="140" t="str">
        <f t="shared" si="3"/>
        <v/>
      </c>
      <c r="Q898" s="139" t="str">
        <f t="shared" si="4"/>
        <v/>
      </c>
      <c r="R898" s="139" t="str">
        <f t="shared" si="5"/>
        <v/>
      </c>
      <c r="S898" s="139" t="str">
        <f t="shared" si="6"/>
        <v/>
      </c>
      <c r="T898" s="140" t="str">
        <f t="shared" si="7"/>
        <v/>
      </c>
      <c r="U898" s="136"/>
      <c r="V898" s="136"/>
      <c r="W898" s="136"/>
      <c r="X898" s="136"/>
      <c r="Y898" s="145"/>
      <c r="Z898" s="145"/>
    </row>
    <row r="899">
      <c r="E899" s="136"/>
      <c r="F899" s="136"/>
      <c r="G899" s="136"/>
      <c r="H899" s="137" t="str">
        <f t="shared" si="1"/>
        <v/>
      </c>
      <c r="I899" s="136"/>
      <c r="J899" s="136"/>
      <c r="K899" s="136"/>
      <c r="L899" s="136"/>
      <c r="M899" s="136"/>
      <c r="N899" s="136"/>
      <c r="O899" s="142" t="str">
        <f t="shared" si="2"/>
        <v/>
      </c>
      <c r="P899" s="140" t="str">
        <f t="shared" si="3"/>
        <v/>
      </c>
      <c r="Q899" s="139" t="str">
        <f t="shared" si="4"/>
        <v/>
      </c>
      <c r="R899" s="139" t="str">
        <f t="shared" si="5"/>
        <v/>
      </c>
      <c r="S899" s="139" t="str">
        <f t="shared" si="6"/>
        <v/>
      </c>
      <c r="T899" s="140" t="str">
        <f t="shared" si="7"/>
        <v/>
      </c>
      <c r="U899" s="136"/>
      <c r="V899" s="136"/>
      <c r="W899" s="136"/>
      <c r="X899" s="136"/>
      <c r="Y899" s="145"/>
      <c r="Z899" s="145"/>
    </row>
    <row r="900">
      <c r="E900" s="136"/>
      <c r="F900" s="136"/>
      <c r="G900" s="136"/>
      <c r="H900" s="137" t="str">
        <f t="shared" si="1"/>
        <v/>
      </c>
      <c r="I900" s="136"/>
      <c r="J900" s="136"/>
      <c r="K900" s="136"/>
      <c r="L900" s="136"/>
      <c r="M900" s="136"/>
      <c r="N900" s="136"/>
      <c r="O900" s="142" t="str">
        <f t="shared" si="2"/>
        <v/>
      </c>
      <c r="P900" s="140" t="str">
        <f t="shared" si="3"/>
        <v/>
      </c>
      <c r="Q900" s="139" t="str">
        <f t="shared" si="4"/>
        <v/>
      </c>
      <c r="R900" s="139" t="str">
        <f t="shared" si="5"/>
        <v/>
      </c>
      <c r="S900" s="139" t="str">
        <f t="shared" si="6"/>
        <v/>
      </c>
      <c r="T900" s="140" t="str">
        <f t="shared" si="7"/>
        <v/>
      </c>
      <c r="U900" s="136"/>
      <c r="V900" s="136"/>
      <c r="W900" s="136"/>
      <c r="X900" s="136"/>
      <c r="Y900" s="145"/>
      <c r="Z900" s="145"/>
    </row>
    <row r="901">
      <c r="E901" s="136"/>
      <c r="F901" s="136"/>
      <c r="G901" s="136"/>
      <c r="H901" s="137" t="str">
        <f t="shared" si="1"/>
        <v/>
      </c>
      <c r="I901" s="136"/>
      <c r="J901" s="136"/>
      <c r="K901" s="136"/>
      <c r="L901" s="136"/>
      <c r="M901" s="136"/>
      <c r="N901" s="136"/>
      <c r="O901" s="142" t="str">
        <f t="shared" si="2"/>
        <v/>
      </c>
      <c r="P901" s="140" t="str">
        <f t="shared" si="3"/>
        <v/>
      </c>
      <c r="Q901" s="139" t="str">
        <f t="shared" si="4"/>
        <v/>
      </c>
      <c r="R901" s="139" t="str">
        <f t="shared" si="5"/>
        <v/>
      </c>
      <c r="S901" s="139" t="str">
        <f t="shared" si="6"/>
        <v/>
      </c>
      <c r="T901" s="140" t="str">
        <f t="shared" si="7"/>
        <v/>
      </c>
      <c r="U901" s="136"/>
      <c r="V901" s="136"/>
      <c r="W901" s="136"/>
      <c r="X901" s="136"/>
      <c r="Y901" s="145"/>
      <c r="Z901" s="145"/>
    </row>
    <row r="902">
      <c r="E902" s="136"/>
      <c r="F902" s="136"/>
      <c r="G902" s="136"/>
      <c r="H902" s="137" t="str">
        <f t="shared" si="1"/>
        <v/>
      </c>
      <c r="I902" s="136"/>
      <c r="J902" s="136"/>
      <c r="K902" s="136"/>
      <c r="L902" s="136"/>
      <c r="M902" s="136"/>
      <c r="N902" s="136"/>
      <c r="O902" s="142" t="str">
        <f t="shared" si="2"/>
        <v/>
      </c>
      <c r="P902" s="140" t="str">
        <f t="shared" si="3"/>
        <v/>
      </c>
      <c r="Q902" s="139" t="str">
        <f t="shared" si="4"/>
        <v/>
      </c>
      <c r="R902" s="139" t="str">
        <f t="shared" si="5"/>
        <v/>
      </c>
      <c r="S902" s="139" t="str">
        <f t="shared" si="6"/>
        <v/>
      </c>
      <c r="T902" s="140" t="str">
        <f t="shared" si="7"/>
        <v/>
      </c>
      <c r="U902" s="136"/>
      <c r="V902" s="136"/>
      <c r="W902" s="136"/>
      <c r="X902" s="136"/>
      <c r="Y902" s="145"/>
      <c r="Z902" s="145"/>
    </row>
    <row r="903">
      <c r="E903" s="136"/>
      <c r="F903" s="136"/>
      <c r="G903" s="136"/>
      <c r="H903" s="137" t="str">
        <f t="shared" si="1"/>
        <v/>
      </c>
      <c r="I903" s="136"/>
      <c r="J903" s="136"/>
      <c r="K903" s="136"/>
      <c r="L903" s="136"/>
      <c r="M903" s="136"/>
      <c r="N903" s="136"/>
      <c r="O903" s="142" t="str">
        <f t="shared" si="2"/>
        <v/>
      </c>
      <c r="P903" s="140" t="str">
        <f t="shared" si="3"/>
        <v/>
      </c>
      <c r="Q903" s="139" t="str">
        <f t="shared" si="4"/>
        <v/>
      </c>
      <c r="R903" s="139" t="str">
        <f t="shared" si="5"/>
        <v/>
      </c>
      <c r="S903" s="139" t="str">
        <f t="shared" si="6"/>
        <v/>
      </c>
      <c r="T903" s="140" t="str">
        <f t="shared" si="7"/>
        <v/>
      </c>
      <c r="U903" s="136"/>
      <c r="V903" s="136"/>
      <c r="W903" s="136"/>
      <c r="X903" s="136"/>
      <c r="Y903" s="145"/>
      <c r="Z903" s="145"/>
    </row>
    <row r="904">
      <c r="E904" s="136"/>
      <c r="F904" s="136"/>
      <c r="G904" s="136"/>
      <c r="H904" s="137" t="str">
        <f t="shared" si="1"/>
        <v/>
      </c>
      <c r="I904" s="136"/>
      <c r="J904" s="136"/>
      <c r="K904" s="136"/>
      <c r="L904" s="136"/>
      <c r="M904" s="136"/>
      <c r="N904" s="136"/>
      <c r="O904" s="142" t="str">
        <f t="shared" si="2"/>
        <v/>
      </c>
      <c r="P904" s="140" t="str">
        <f t="shared" si="3"/>
        <v/>
      </c>
      <c r="Q904" s="139" t="str">
        <f t="shared" si="4"/>
        <v/>
      </c>
      <c r="R904" s="139" t="str">
        <f t="shared" si="5"/>
        <v/>
      </c>
      <c r="S904" s="139" t="str">
        <f t="shared" si="6"/>
        <v/>
      </c>
      <c r="T904" s="140" t="str">
        <f t="shared" si="7"/>
        <v/>
      </c>
      <c r="U904" s="136"/>
      <c r="V904" s="136"/>
      <c r="W904" s="136"/>
      <c r="X904" s="136"/>
      <c r="Y904" s="145"/>
      <c r="Z904" s="145"/>
    </row>
    <row r="905">
      <c r="E905" s="136"/>
      <c r="F905" s="136"/>
      <c r="G905" s="136"/>
      <c r="H905" s="137" t="str">
        <f t="shared" si="1"/>
        <v/>
      </c>
      <c r="I905" s="136"/>
      <c r="J905" s="136"/>
      <c r="K905" s="136"/>
      <c r="L905" s="136"/>
      <c r="M905" s="136"/>
      <c r="N905" s="136"/>
      <c r="O905" s="142" t="str">
        <f t="shared" si="2"/>
        <v/>
      </c>
      <c r="P905" s="140" t="str">
        <f t="shared" si="3"/>
        <v/>
      </c>
      <c r="Q905" s="139" t="str">
        <f t="shared" si="4"/>
        <v/>
      </c>
      <c r="R905" s="139" t="str">
        <f t="shared" si="5"/>
        <v/>
      </c>
      <c r="S905" s="139" t="str">
        <f t="shared" si="6"/>
        <v/>
      </c>
      <c r="T905" s="140" t="str">
        <f t="shared" si="7"/>
        <v/>
      </c>
      <c r="U905" s="136"/>
      <c r="V905" s="136"/>
      <c r="W905" s="136"/>
      <c r="X905" s="136"/>
      <c r="Y905" s="145"/>
      <c r="Z905" s="145"/>
    </row>
    <row r="906">
      <c r="E906" s="136"/>
      <c r="F906" s="136"/>
      <c r="G906" s="136"/>
      <c r="H906" s="137" t="str">
        <f t="shared" si="1"/>
        <v/>
      </c>
      <c r="I906" s="136"/>
      <c r="J906" s="136"/>
      <c r="K906" s="136"/>
      <c r="L906" s="136"/>
      <c r="M906" s="136"/>
      <c r="N906" s="136"/>
      <c r="O906" s="142" t="str">
        <f t="shared" si="2"/>
        <v/>
      </c>
      <c r="P906" s="140" t="str">
        <f t="shared" si="3"/>
        <v/>
      </c>
      <c r="Q906" s="139" t="str">
        <f t="shared" si="4"/>
        <v/>
      </c>
      <c r="R906" s="139" t="str">
        <f t="shared" si="5"/>
        <v/>
      </c>
      <c r="S906" s="139" t="str">
        <f t="shared" si="6"/>
        <v/>
      </c>
      <c r="T906" s="140" t="str">
        <f t="shared" si="7"/>
        <v/>
      </c>
      <c r="U906" s="136"/>
      <c r="V906" s="136"/>
      <c r="W906" s="136"/>
      <c r="X906" s="136"/>
      <c r="Y906" s="145"/>
      <c r="Z906" s="145"/>
    </row>
    <row r="907">
      <c r="E907" s="136"/>
      <c r="F907" s="136"/>
      <c r="G907" s="136"/>
      <c r="H907" s="137" t="str">
        <f t="shared" si="1"/>
        <v/>
      </c>
      <c r="I907" s="136"/>
      <c r="J907" s="136"/>
      <c r="K907" s="136"/>
      <c r="L907" s="136"/>
      <c r="M907" s="136"/>
      <c r="N907" s="136"/>
      <c r="O907" s="142" t="str">
        <f t="shared" si="2"/>
        <v/>
      </c>
      <c r="P907" s="140" t="str">
        <f t="shared" si="3"/>
        <v/>
      </c>
      <c r="Q907" s="139" t="str">
        <f t="shared" si="4"/>
        <v/>
      </c>
      <c r="R907" s="139" t="str">
        <f t="shared" si="5"/>
        <v/>
      </c>
      <c r="S907" s="139" t="str">
        <f t="shared" si="6"/>
        <v/>
      </c>
      <c r="T907" s="140" t="str">
        <f t="shared" si="7"/>
        <v/>
      </c>
      <c r="U907" s="136"/>
      <c r="V907" s="136"/>
      <c r="W907" s="136"/>
      <c r="X907" s="136"/>
      <c r="Y907" s="145"/>
      <c r="Z907" s="145"/>
    </row>
    <row r="908">
      <c r="E908" s="136"/>
      <c r="F908" s="136"/>
      <c r="G908" s="136"/>
      <c r="H908" s="137" t="str">
        <f t="shared" si="1"/>
        <v/>
      </c>
      <c r="I908" s="136"/>
      <c r="J908" s="136"/>
      <c r="K908" s="136"/>
      <c r="L908" s="136"/>
      <c r="M908" s="136"/>
      <c r="N908" s="136"/>
      <c r="O908" s="142" t="str">
        <f t="shared" si="2"/>
        <v/>
      </c>
      <c r="P908" s="140" t="str">
        <f t="shared" si="3"/>
        <v/>
      </c>
      <c r="Q908" s="139" t="str">
        <f t="shared" si="4"/>
        <v/>
      </c>
      <c r="R908" s="139" t="str">
        <f t="shared" si="5"/>
        <v/>
      </c>
      <c r="S908" s="139" t="str">
        <f t="shared" si="6"/>
        <v/>
      </c>
      <c r="T908" s="140" t="str">
        <f t="shared" si="7"/>
        <v/>
      </c>
      <c r="U908" s="136"/>
      <c r="V908" s="136"/>
      <c r="W908" s="136"/>
      <c r="X908" s="136"/>
      <c r="Y908" s="145"/>
      <c r="Z908" s="145"/>
    </row>
    <row r="909">
      <c r="E909" s="136"/>
      <c r="F909" s="136"/>
      <c r="G909" s="136"/>
      <c r="H909" s="137" t="str">
        <f t="shared" si="1"/>
        <v/>
      </c>
      <c r="I909" s="136"/>
      <c r="J909" s="136"/>
      <c r="K909" s="136"/>
      <c r="L909" s="136"/>
      <c r="M909" s="136"/>
      <c r="N909" s="136"/>
      <c r="O909" s="142" t="str">
        <f t="shared" si="2"/>
        <v/>
      </c>
      <c r="P909" s="140" t="str">
        <f t="shared" si="3"/>
        <v/>
      </c>
      <c r="Q909" s="139" t="str">
        <f t="shared" si="4"/>
        <v/>
      </c>
      <c r="R909" s="139" t="str">
        <f t="shared" si="5"/>
        <v/>
      </c>
      <c r="S909" s="139" t="str">
        <f t="shared" si="6"/>
        <v/>
      </c>
      <c r="T909" s="140" t="str">
        <f t="shared" si="7"/>
        <v/>
      </c>
      <c r="U909" s="136"/>
      <c r="V909" s="136"/>
      <c r="W909" s="136"/>
      <c r="X909" s="136"/>
      <c r="Y909" s="145"/>
      <c r="Z909" s="145"/>
    </row>
    <row r="910">
      <c r="E910" s="136"/>
      <c r="F910" s="136"/>
      <c r="G910" s="136"/>
      <c r="H910" s="137" t="str">
        <f t="shared" si="1"/>
        <v/>
      </c>
      <c r="I910" s="136"/>
      <c r="J910" s="136"/>
      <c r="K910" s="136"/>
      <c r="L910" s="136"/>
      <c r="M910" s="136"/>
      <c r="N910" s="136"/>
      <c r="O910" s="142" t="str">
        <f t="shared" si="2"/>
        <v/>
      </c>
      <c r="P910" s="140" t="str">
        <f t="shared" si="3"/>
        <v/>
      </c>
      <c r="Q910" s="139" t="str">
        <f t="shared" si="4"/>
        <v/>
      </c>
      <c r="R910" s="139" t="str">
        <f t="shared" si="5"/>
        <v/>
      </c>
      <c r="S910" s="139" t="str">
        <f t="shared" si="6"/>
        <v/>
      </c>
      <c r="T910" s="140" t="str">
        <f t="shared" si="7"/>
        <v/>
      </c>
      <c r="U910" s="136"/>
      <c r="V910" s="136"/>
      <c r="W910" s="136"/>
      <c r="X910" s="136"/>
      <c r="Y910" s="145"/>
      <c r="Z910" s="145"/>
    </row>
    <row r="911">
      <c r="E911" s="136"/>
      <c r="F911" s="136"/>
      <c r="G911" s="136"/>
      <c r="H911" s="137" t="str">
        <f t="shared" si="1"/>
        <v/>
      </c>
      <c r="I911" s="136"/>
      <c r="J911" s="136"/>
      <c r="K911" s="136"/>
      <c r="L911" s="136"/>
      <c r="M911" s="136"/>
      <c r="N911" s="136"/>
      <c r="O911" s="142" t="str">
        <f t="shared" si="2"/>
        <v/>
      </c>
      <c r="P911" s="140" t="str">
        <f t="shared" si="3"/>
        <v/>
      </c>
      <c r="Q911" s="139" t="str">
        <f t="shared" si="4"/>
        <v/>
      </c>
      <c r="R911" s="139" t="str">
        <f t="shared" si="5"/>
        <v/>
      </c>
      <c r="S911" s="139" t="str">
        <f t="shared" si="6"/>
        <v/>
      </c>
      <c r="T911" s="140" t="str">
        <f t="shared" si="7"/>
        <v/>
      </c>
      <c r="U911" s="136"/>
      <c r="V911" s="136"/>
      <c r="W911" s="136"/>
      <c r="X911" s="136"/>
      <c r="Y911" s="145"/>
      <c r="Z911" s="145"/>
    </row>
    <row r="912">
      <c r="E912" s="136"/>
      <c r="F912" s="136"/>
      <c r="G912" s="136"/>
      <c r="H912" s="137" t="str">
        <f t="shared" si="1"/>
        <v/>
      </c>
      <c r="I912" s="136"/>
      <c r="J912" s="136"/>
      <c r="K912" s="136"/>
      <c r="L912" s="136"/>
      <c r="M912" s="136"/>
      <c r="N912" s="136"/>
      <c r="O912" s="142" t="str">
        <f t="shared" si="2"/>
        <v/>
      </c>
      <c r="P912" s="140" t="str">
        <f t="shared" si="3"/>
        <v/>
      </c>
      <c r="Q912" s="139" t="str">
        <f t="shared" si="4"/>
        <v/>
      </c>
      <c r="R912" s="139" t="str">
        <f t="shared" si="5"/>
        <v/>
      </c>
      <c r="S912" s="139" t="str">
        <f t="shared" si="6"/>
        <v/>
      </c>
      <c r="T912" s="140" t="str">
        <f t="shared" si="7"/>
        <v/>
      </c>
      <c r="U912" s="136"/>
      <c r="V912" s="136"/>
      <c r="W912" s="136"/>
      <c r="X912" s="136"/>
      <c r="Y912" s="145"/>
      <c r="Z912" s="145"/>
    </row>
    <row r="913">
      <c r="E913" s="136"/>
      <c r="F913" s="136"/>
      <c r="G913" s="136"/>
      <c r="H913" s="137" t="str">
        <f t="shared" si="1"/>
        <v/>
      </c>
      <c r="I913" s="136"/>
      <c r="J913" s="136"/>
      <c r="K913" s="136"/>
      <c r="L913" s="136"/>
      <c r="M913" s="136"/>
      <c r="N913" s="136"/>
      <c r="O913" s="142" t="str">
        <f t="shared" si="2"/>
        <v/>
      </c>
      <c r="P913" s="140" t="str">
        <f t="shared" si="3"/>
        <v/>
      </c>
      <c r="Q913" s="139" t="str">
        <f t="shared" si="4"/>
        <v/>
      </c>
      <c r="R913" s="139" t="str">
        <f t="shared" si="5"/>
        <v/>
      </c>
      <c r="S913" s="139" t="str">
        <f t="shared" si="6"/>
        <v/>
      </c>
      <c r="T913" s="140" t="str">
        <f t="shared" si="7"/>
        <v/>
      </c>
      <c r="U913" s="136"/>
      <c r="V913" s="136"/>
      <c r="W913" s="136"/>
      <c r="X913" s="136"/>
      <c r="Y913" s="145"/>
      <c r="Z913" s="145"/>
    </row>
    <row r="914">
      <c r="E914" s="136"/>
      <c r="F914" s="136"/>
      <c r="G914" s="136"/>
      <c r="H914" s="137" t="str">
        <f t="shared" si="1"/>
        <v/>
      </c>
      <c r="I914" s="136"/>
      <c r="J914" s="136"/>
      <c r="K914" s="136"/>
      <c r="L914" s="136"/>
      <c r="M914" s="136"/>
      <c r="N914" s="136"/>
      <c r="O914" s="142" t="str">
        <f t="shared" si="2"/>
        <v/>
      </c>
      <c r="P914" s="140" t="str">
        <f t="shared" si="3"/>
        <v/>
      </c>
      <c r="Q914" s="139" t="str">
        <f t="shared" si="4"/>
        <v/>
      </c>
      <c r="R914" s="139" t="str">
        <f t="shared" si="5"/>
        <v/>
      </c>
      <c r="S914" s="139" t="str">
        <f t="shared" si="6"/>
        <v/>
      </c>
      <c r="T914" s="140" t="str">
        <f t="shared" si="7"/>
        <v/>
      </c>
      <c r="U914" s="136"/>
      <c r="V914" s="136"/>
      <c r="W914" s="136"/>
      <c r="X914" s="136"/>
      <c r="Y914" s="145"/>
      <c r="Z914" s="145"/>
    </row>
    <row r="915">
      <c r="E915" s="136"/>
      <c r="F915" s="136"/>
      <c r="G915" s="136"/>
      <c r="H915" s="137" t="str">
        <f t="shared" si="1"/>
        <v/>
      </c>
      <c r="I915" s="136"/>
      <c r="J915" s="136"/>
      <c r="K915" s="136"/>
      <c r="L915" s="136"/>
      <c r="M915" s="136"/>
      <c r="N915" s="136"/>
      <c r="O915" s="142" t="str">
        <f t="shared" si="2"/>
        <v/>
      </c>
      <c r="P915" s="140" t="str">
        <f t="shared" si="3"/>
        <v/>
      </c>
      <c r="Q915" s="139" t="str">
        <f t="shared" si="4"/>
        <v/>
      </c>
      <c r="R915" s="139" t="str">
        <f t="shared" si="5"/>
        <v/>
      </c>
      <c r="S915" s="139" t="str">
        <f t="shared" si="6"/>
        <v/>
      </c>
      <c r="T915" s="140" t="str">
        <f t="shared" si="7"/>
        <v/>
      </c>
      <c r="U915" s="136"/>
      <c r="V915" s="136"/>
      <c r="W915" s="136"/>
      <c r="X915" s="136"/>
      <c r="Y915" s="145"/>
      <c r="Z915" s="145"/>
    </row>
    <row r="916">
      <c r="E916" s="136"/>
      <c r="F916" s="136"/>
      <c r="G916" s="136"/>
      <c r="H916" s="137" t="str">
        <f t="shared" si="1"/>
        <v/>
      </c>
      <c r="I916" s="136"/>
      <c r="J916" s="136"/>
      <c r="K916" s="136"/>
      <c r="L916" s="136"/>
      <c r="M916" s="136"/>
      <c r="N916" s="136"/>
      <c r="O916" s="142" t="str">
        <f t="shared" si="2"/>
        <v/>
      </c>
      <c r="P916" s="140" t="str">
        <f t="shared" si="3"/>
        <v/>
      </c>
      <c r="Q916" s="139" t="str">
        <f t="shared" si="4"/>
        <v/>
      </c>
      <c r="R916" s="139" t="str">
        <f t="shared" si="5"/>
        <v/>
      </c>
      <c r="S916" s="139" t="str">
        <f t="shared" si="6"/>
        <v/>
      </c>
      <c r="T916" s="140" t="str">
        <f t="shared" si="7"/>
        <v/>
      </c>
      <c r="U916" s="136"/>
      <c r="V916" s="136"/>
      <c r="W916" s="136"/>
      <c r="X916" s="136"/>
      <c r="Y916" s="145"/>
      <c r="Z916" s="145"/>
    </row>
    <row r="917">
      <c r="E917" s="136"/>
      <c r="F917" s="136"/>
      <c r="G917" s="136"/>
      <c r="H917" s="137" t="str">
        <f t="shared" si="1"/>
        <v/>
      </c>
      <c r="I917" s="136"/>
      <c r="J917" s="136"/>
      <c r="K917" s="136"/>
      <c r="L917" s="136"/>
      <c r="M917" s="136"/>
      <c r="N917" s="136"/>
      <c r="O917" s="142" t="str">
        <f t="shared" si="2"/>
        <v/>
      </c>
      <c r="P917" s="140" t="str">
        <f t="shared" si="3"/>
        <v/>
      </c>
      <c r="Q917" s="139" t="str">
        <f t="shared" si="4"/>
        <v/>
      </c>
      <c r="R917" s="139" t="str">
        <f t="shared" si="5"/>
        <v/>
      </c>
      <c r="S917" s="139" t="str">
        <f t="shared" si="6"/>
        <v/>
      </c>
      <c r="T917" s="140" t="str">
        <f t="shared" si="7"/>
        <v/>
      </c>
      <c r="U917" s="136"/>
      <c r="V917" s="136"/>
      <c r="W917" s="136"/>
      <c r="X917" s="136"/>
      <c r="Y917" s="145"/>
      <c r="Z917" s="145"/>
    </row>
    <row r="918">
      <c r="E918" s="136"/>
      <c r="F918" s="136"/>
      <c r="G918" s="136"/>
      <c r="H918" s="137" t="str">
        <f t="shared" si="1"/>
        <v/>
      </c>
      <c r="I918" s="136"/>
      <c r="J918" s="136"/>
      <c r="K918" s="136"/>
      <c r="L918" s="136"/>
      <c r="M918" s="136"/>
      <c r="N918" s="136"/>
      <c r="O918" s="142" t="str">
        <f t="shared" si="2"/>
        <v/>
      </c>
      <c r="P918" s="140" t="str">
        <f t="shared" si="3"/>
        <v/>
      </c>
      <c r="Q918" s="139" t="str">
        <f t="shared" si="4"/>
        <v/>
      </c>
      <c r="R918" s="139" t="str">
        <f t="shared" si="5"/>
        <v/>
      </c>
      <c r="S918" s="139" t="str">
        <f t="shared" si="6"/>
        <v/>
      </c>
      <c r="T918" s="140" t="str">
        <f t="shared" si="7"/>
        <v/>
      </c>
      <c r="U918" s="136"/>
      <c r="V918" s="136"/>
      <c r="W918" s="136"/>
      <c r="X918" s="136"/>
      <c r="Y918" s="145"/>
      <c r="Z918" s="145"/>
    </row>
    <row r="919">
      <c r="E919" s="136"/>
      <c r="F919" s="136"/>
      <c r="G919" s="136"/>
      <c r="H919" s="137" t="str">
        <f t="shared" si="1"/>
        <v/>
      </c>
      <c r="I919" s="136"/>
      <c r="J919" s="136"/>
      <c r="K919" s="136"/>
      <c r="L919" s="136"/>
      <c r="M919" s="136"/>
      <c r="N919" s="136"/>
      <c r="O919" s="142" t="str">
        <f t="shared" si="2"/>
        <v/>
      </c>
      <c r="P919" s="140" t="str">
        <f t="shared" si="3"/>
        <v/>
      </c>
      <c r="Q919" s="139" t="str">
        <f t="shared" si="4"/>
        <v/>
      </c>
      <c r="R919" s="139" t="str">
        <f t="shared" si="5"/>
        <v/>
      </c>
      <c r="S919" s="139" t="str">
        <f t="shared" si="6"/>
        <v/>
      </c>
      <c r="T919" s="140" t="str">
        <f t="shared" si="7"/>
        <v/>
      </c>
      <c r="U919" s="136"/>
      <c r="V919" s="136"/>
      <c r="W919" s="136"/>
      <c r="X919" s="136"/>
      <c r="Y919" s="145"/>
      <c r="Z919" s="145"/>
    </row>
    <row r="920">
      <c r="E920" s="136"/>
      <c r="F920" s="136"/>
      <c r="G920" s="136"/>
      <c r="H920" s="137" t="str">
        <f t="shared" si="1"/>
        <v/>
      </c>
      <c r="I920" s="136"/>
      <c r="J920" s="136"/>
      <c r="K920" s="136"/>
      <c r="L920" s="136"/>
      <c r="M920" s="136"/>
      <c r="N920" s="136"/>
      <c r="O920" s="142" t="str">
        <f t="shared" si="2"/>
        <v/>
      </c>
      <c r="P920" s="140" t="str">
        <f t="shared" si="3"/>
        <v/>
      </c>
      <c r="Q920" s="139" t="str">
        <f t="shared" si="4"/>
        <v/>
      </c>
      <c r="R920" s="139" t="str">
        <f t="shared" si="5"/>
        <v/>
      </c>
      <c r="S920" s="139" t="str">
        <f t="shared" si="6"/>
        <v/>
      </c>
      <c r="T920" s="140" t="str">
        <f t="shared" si="7"/>
        <v/>
      </c>
      <c r="U920" s="136"/>
      <c r="V920" s="136"/>
      <c r="W920" s="136"/>
      <c r="X920" s="136"/>
      <c r="Y920" s="145"/>
      <c r="Z920" s="145"/>
    </row>
    <row r="921">
      <c r="E921" s="136"/>
      <c r="F921" s="136"/>
      <c r="G921" s="136"/>
      <c r="H921" s="137" t="str">
        <f t="shared" si="1"/>
        <v/>
      </c>
      <c r="I921" s="136"/>
      <c r="J921" s="136"/>
      <c r="K921" s="136"/>
      <c r="L921" s="136"/>
      <c r="M921" s="136"/>
      <c r="N921" s="136"/>
      <c r="O921" s="142" t="str">
        <f t="shared" si="2"/>
        <v/>
      </c>
      <c r="P921" s="140" t="str">
        <f t="shared" si="3"/>
        <v/>
      </c>
      <c r="Q921" s="139" t="str">
        <f t="shared" si="4"/>
        <v/>
      </c>
      <c r="R921" s="139" t="str">
        <f t="shared" si="5"/>
        <v/>
      </c>
      <c r="S921" s="139" t="str">
        <f t="shared" si="6"/>
        <v/>
      </c>
      <c r="T921" s="140" t="str">
        <f t="shared" si="7"/>
        <v/>
      </c>
      <c r="U921" s="136"/>
      <c r="V921" s="136"/>
      <c r="W921" s="136"/>
      <c r="X921" s="136"/>
      <c r="Y921" s="145"/>
      <c r="Z921" s="145"/>
    </row>
    <row r="922">
      <c r="E922" s="136"/>
      <c r="F922" s="136"/>
      <c r="G922" s="136"/>
      <c r="H922" s="137" t="str">
        <f t="shared" si="1"/>
        <v/>
      </c>
      <c r="I922" s="136"/>
      <c r="J922" s="136"/>
      <c r="K922" s="136"/>
      <c r="L922" s="136"/>
      <c r="M922" s="136"/>
      <c r="N922" s="136"/>
      <c r="O922" s="142" t="str">
        <f t="shared" si="2"/>
        <v/>
      </c>
      <c r="P922" s="140" t="str">
        <f t="shared" si="3"/>
        <v/>
      </c>
      <c r="Q922" s="139" t="str">
        <f t="shared" si="4"/>
        <v/>
      </c>
      <c r="R922" s="139" t="str">
        <f t="shared" si="5"/>
        <v/>
      </c>
      <c r="S922" s="139" t="str">
        <f t="shared" si="6"/>
        <v/>
      </c>
      <c r="T922" s="140" t="str">
        <f t="shared" si="7"/>
        <v/>
      </c>
      <c r="U922" s="136"/>
      <c r="V922" s="136"/>
      <c r="W922" s="136"/>
      <c r="X922" s="136"/>
      <c r="Y922" s="145"/>
      <c r="Z922" s="145"/>
    </row>
    <row r="923">
      <c r="E923" s="136"/>
      <c r="F923" s="136"/>
      <c r="G923" s="136"/>
      <c r="H923" s="137" t="str">
        <f t="shared" si="1"/>
        <v/>
      </c>
      <c r="I923" s="136"/>
      <c r="J923" s="136"/>
      <c r="K923" s="136"/>
      <c r="L923" s="136"/>
      <c r="M923" s="136"/>
      <c r="N923" s="136"/>
      <c r="O923" s="142" t="str">
        <f t="shared" si="2"/>
        <v/>
      </c>
      <c r="P923" s="140" t="str">
        <f t="shared" si="3"/>
        <v/>
      </c>
      <c r="Q923" s="139" t="str">
        <f t="shared" si="4"/>
        <v/>
      </c>
      <c r="R923" s="139" t="str">
        <f t="shared" si="5"/>
        <v/>
      </c>
      <c r="S923" s="139" t="str">
        <f t="shared" si="6"/>
        <v/>
      </c>
      <c r="T923" s="140" t="str">
        <f t="shared" si="7"/>
        <v/>
      </c>
      <c r="U923" s="136"/>
      <c r="V923" s="136"/>
      <c r="W923" s="136"/>
      <c r="X923" s="136"/>
      <c r="Y923" s="145"/>
      <c r="Z923" s="145"/>
    </row>
    <row r="924">
      <c r="E924" s="136"/>
      <c r="F924" s="136"/>
      <c r="G924" s="136"/>
      <c r="H924" s="137" t="str">
        <f t="shared" si="1"/>
        <v/>
      </c>
      <c r="I924" s="136"/>
      <c r="J924" s="136"/>
      <c r="K924" s="136"/>
      <c r="L924" s="136"/>
      <c r="M924" s="136"/>
      <c r="N924" s="136"/>
      <c r="O924" s="142" t="str">
        <f t="shared" si="2"/>
        <v/>
      </c>
      <c r="P924" s="140" t="str">
        <f t="shared" si="3"/>
        <v/>
      </c>
      <c r="Q924" s="139" t="str">
        <f t="shared" si="4"/>
        <v/>
      </c>
      <c r="R924" s="139" t="str">
        <f t="shared" si="5"/>
        <v/>
      </c>
      <c r="S924" s="139" t="str">
        <f t="shared" si="6"/>
        <v/>
      </c>
      <c r="T924" s="140" t="str">
        <f t="shared" si="7"/>
        <v/>
      </c>
      <c r="U924" s="136"/>
      <c r="V924" s="136"/>
      <c r="W924" s="136"/>
      <c r="X924" s="136"/>
      <c r="Y924" s="145"/>
      <c r="Z924" s="145"/>
    </row>
    <row r="925">
      <c r="E925" s="136"/>
      <c r="F925" s="136"/>
      <c r="G925" s="136"/>
      <c r="H925" s="137" t="str">
        <f t="shared" si="1"/>
        <v/>
      </c>
      <c r="I925" s="136"/>
      <c r="J925" s="136"/>
      <c r="K925" s="136"/>
      <c r="L925" s="136"/>
      <c r="M925" s="136"/>
      <c r="N925" s="136"/>
      <c r="O925" s="142" t="str">
        <f t="shared" si="2"/>
        <v/>
      </c>
      <c r="P925" s="140" t="str">
        <f t="shared" si="3"/>
        <v/>
      </c>
      <c r="Q925" s="139" t="str">
        <f t="shared" si="4"/>
        <v/>
      </c>
      <c r="R925" s="139" t="str">
        <f t="shared" si="5"/>
        <v/>
      </c>
      <c r="S925" s="139" t="str">
        <f t="shared" si="6"/>
        <v/>
      </c>
      <c r="T925" s="140" t="str">
        <f t="shared" si="7"/>
        <v/>
      </c>
      <c r="U925" s="136"/>
      <c r="V925" s="136"/>
      <c r="W925" s="136"/>
      <c r="X925" s="136"/>
      <c r="Y925" s="145"/>
      <c r="Z925" s="145"/>
    </row>
    <row r="926">
      <c r="E926" s="136"/>
      <c r="F926" s="136"/>
      <c r="G926" s="136"/>
      <c r="H926" s="137" t="str">
        <f t="shared" si="1"/>
        <v/>
      </c>
      <c r="I926" s="136"/>
      <c r="J926" s="136"/>
      <c r="K926" s="136"/>
      <c r="L926" s="136"/>
      <c r="M926" s="136"/>
      <c r="N926" s="136"/>
      <c r="O926" s="142" t="str">
        <f t="shared" si="2"/>
        <v/>
      </c>
      <c r="P926" s="140" t="str">
        <f t="shared" si="3"/>
        <v/>
      </c>
      <c r="Q926" s="139" t="str">
        <f t="shared" si="4"/>
        <v/>
      </c>
      <c r="R926" s="139" t="str">
        <f t="shared" si="5"/>
        <v/>
      </c>
      <c r="S926" s="139" t="str">
        <f t="shared" si="6"/>
        <v/>
      </c>
      <c r="T926" s="140" t="str">
        <f t="shared" si="7"/>
        <v/>
      </c>
      <c r="U926" s="136"/>
      <c r="V926" s="136"/>
      <c r="W926" s="136"/>
      <c r="X926" s="136"/>
      <c r="Y926" s="145"/>
      <c r="Z926" s="145"/>
    </row>
    <row r="927">
      <c r="E927" s="136"/>
      <c r="F927" s="136"/>
      <c r="G927" s="136"/>
      <c r="H927" s="137" t="str">
        <f t="shared" si="1"/>
        <v/>
      </c>
      <c r="I927" s="136"/>
      <c r="J927" s="136"/>
      <c r="K927" s="136"/>
      <c r="L927" s="136"/>
      <c r="M927" s="136"/>
      <c r="N927" s="136"/>
      <c r="O927" s="142" t="str">
        <f t="shared" si="2"/>
        <v/>
      </c>
      <c r="P927" s="140" t="str">
        <f t="shared" si="3"/>
        <v/>
      </c>
      <c r="Q927" s="139" t="str">
        <f t="shared" si="4"/>
        <v/>
      </c>
      <c r="R927" s="139" t="str">
        <f t="shared" si="5"/>
        <v/>
      </c>
      <c r="S927" s="139" t="str">
        <f t="shared" si="6"/>
        <v/>
      </c>
      <c r="T927" s="140" t="str">
        <f t="shared" si="7"/>
        <v/>
      </c>
      <c r="U927" s="136"/>
      <c r="V927" s="136"/>
      <c r="W927" s="136"/>
      <c r="X927" s="136"/>
      <c r="Y927" s="145"/>
      <c r="Z927" s="145"/>
    </row>
    <row r="928">
      <c r="E928" s="136"/>
      <c r="F928" s="136"/>
      <c r="G928" s="136"/>
      <c r="H928" s="137" t="str">
        <f t="shared" si="1"/>
        <v/>
      </c>
      <c r="I928" s="136"/>
      <c r="J928" s="136"/>
      <c r="K928" s="136"/>
      <c r="L928" s="136"/>
      <c r="M928" s="136"/>
      <c r="N928" s="136"/>
      <c r="O928" s="142" t="str">
        <f t="shared" si="2"/>
        <v/>
      </c>
      <c r="P928" s="140" t="str">
        <f t="shared" si="3"/>
        <v/>
      </c>
      <c r="Q928" s="139" t="str">
        <f t="shared" si="4"/>
        <v/>
      </c>
      <c r="R928" s="139" t="str">
        <f t="shared" si="5"/>
        <v/>
      </c>
      <c r="S928" s="139" t="str">
        <f t="shared" si="6"/>
        <v/>
      </c>
      <c r="T928" s="140" t="str">
        <f t="shared" si="7"/>
        <v/>
      </c>
      <c r="U928" s="136"/>
      <c r="V928" s="136"/>
      <c r="W928" s="136"/>
      <c r="X928" s="136"/>
      <c r="Y928" s="145"/>
      <c r="Z928" s="145"/>
    </row>
    <row r="929">
      <c r="E929" s="136"/>
      <c r="F929" s="136"/>
      <c r="G929" s="136"/>
      <c r="H929" s="137" t="str">
        <f t="shared" si="1"/>
        <v/>
      </c>
      <c r="I929" s="136"/>
      <c r="J929" s="136"/>
      <c r="K929" s="136"/>
      <c r="L929" s="136"/>
      <c r="M929" s="136"/>
      <c r="N929" s="136"/>
      <c r="O929" s="142" t="str">
        <f t="shared" si="2"/>
        <v/>
      </c>
      <c r="P929" s="140" t="str">
        <f t="shared" si="3"/>
        <v/>
      </c>
      <c r="Q929" s="139" t="str">
        <f t="shared" si="4"/>
        <v/>
      </c>
      <c r="R929" s="139" t="str">
        <f t="shared" si="5"/>
        <v/>
      </c>
      <c r="S929" s="139" t="str">
        <f t="shared" si="6"/>
        <v/>
      </c>
      <c r="T929" s="140" t="str">
        <f t="shared" si="7"/>
        <v/>
      </c>
      <c r="U929" s="136"/>
      <c r="V929" s="136"/>
      <c r="W929" s="136"/>
      <c r="X929" s="136"/>
      <c r="Y929" s="145"/>
      <c r="Z929" s="145"/>
    </row>
    <row r="930">
      <c r="E930" s="136"/>
      <c r="F930" s="136"/>
      <c r="G930" s="136"/>
      <c r="H930" s="137" t="str">
        <f t="shared" si="1"/>
        <v/>
      </c>
      <c r="I930" s="136"/>
      <c r="J930" s="136"/>
      <c r="K930" s="136"/>
      <c r="L930" s="136"/>
      <c r="M930" s="136"/>
      <c r="N930" s="136"/>
      <c r="O930" s="142" t="str">
        <f t="shared" si="2"/>
        <v/>
      </c>
      <c r="P930" s="140" t="str">
        <f t="shared" si="3"/>
        <v/>
      </c>
      <c r="Q930" s="139" t="str">
        <f t="shared" si="4"/>
        <v/>
      </c>
      <c r="R930" s="139" t="str">
        <f t="shared" si="5"/>
        <v/>
      </c>
      <c r="S930" s="139" t="str">
        <f t="shared" si="6"/>
        <v/>
      </c>
      <c r="T930" s="140" t="str">
        <f t="shared" si="7"/>
        <v/>
      </c>
      <c r="U930" s="136"/>
      <c r="V930" s="136"/>
      <c r="W930" s="136"/>
      <c r="X930" s="136"/>
      <c r="Y930" s="145"/>
      <c r="Z930" s="145"/>
    </row>
    <row r="931">
      <c r="E931" s="136"/>
      <c r="F931" s="136"/>
      <c r="G931" s="136"/>
      <c r="H931" s="137" t="str">
        <f t="shared" si="1"/>
        <v/>
      </c>
      <c r="I931" s="136"/>
      <c r="J931" s="136"/>
      <c r="K931" s="136"/>
      <c r="L931" s="136"/>
      <c r="M931" s="136"/>
      <c r="N931" s="136"/>
      <c r="O931" s="142" t="str">
        <f t="shared" si="2"/>
        <v/>
      </c>
      <c r="P931" s="140" t="str">
        <f t="shared" si="3"/>
        <v/>
      </c>
      <c r="Q931" s="139" t="str">
        <f t="shared" si="4"/>
        <v/>
      </c>
      <c r="R931" s="139" t="str">
        <f t="shared" si="5"/>
        <v/>
      </c>
      <c r="S931" s="139" t="str">
        <f t="shared" si="6"/>
        <v/>
      </c>
      <c r="T931" s="140" t="str">
        <f t="shared" si="7"/>
        <v/>
      </c>
      <c r="U931" s="136"/>
      <c r="V931" s="136"/>
      <c r="W931" s="136"/>
      <c r="X931" s="136"/>
      <c r="Y931" s="145"/>
      <c r="Z931" s="145"/>
    </row>
    <row r="932">
      <c r="E932" s="136"/>
      <c r="F932" s="136"/>
      <c r="G932" s="136"/>
      <c r="H932" s="137" t="str">
        <f t="shared" si="1"/>
        <v/>
      </c>
      <c r="I932" s="136"/>
      <c r="J932" s="136"/>
      <c r="K932" s="136"/>
      <c r="L932" s="136"/>
      <c r="M932" s="136"/>
      <c r="N932" s="136"/>
      <c r="O932" s="142" t="str">
        <f t="shared" si="2"/>
        <v/>
      </c>
      <c r="P932" s="140" t="str">
        <f t="shared" si="3"/>
        <v/>
      </c>
      <c r="Q932" s="139" t="str">
        <f t="shared" si="4"/>
        <v/>
      </c>
      <c r="R932" s="139" t="str">
        <f t="shared" si="5"/>
        <v/>
      </c>
      <c r="S932" s="139" t="str">
        <f t="shared" si="6"/>
        <v/>
      </c>
      <c r="T932" s="140" t="str">
        <f t="shared" si="7"/>
        <v/>
      </c>
      <c r="U932" s="136"/>
      <c r="V932" s="136"/>
      <c r="W932" s="136"/>
      <c r="X932" s="136"/>
      <c r="Y932" s="145"/>
      <c r="Z932" s="145"/>
    </row>
    <row r="933">
      <c r="E933" s="136"/>
      <c r="F933" s="136"/>
      <c r="G933" s="136"/>
      <c r="H933" s="137" t="str">
        <f t="shared" si="1"/>
        <v/>
      </c>
      <c r="I933" s="136"/>
      <c r="J933" s="136"/>
      <c r="K933" s="136"/>
      <c r="L933" s="136"/>
      <c r="M933" s="136"/>
      <c r="N933" s="136"/>
      <c r="O933" s="142" t="str">
        <f t="shared" si="2"/>
        <v/>
      </c>
      <c r="P933" s="140" t="str">
        <f t="shared" si="3"/>
        <v/>
      </c>
      <c r="Q933" s="139" t="str">
        <f t="shared" si="4"/>
        <v/>
      </c>
      <c r="R933" s="139" t="str">
        <f t="shared" si="5"/>
        <v/>
      </c>
      <c r="S933" s="139" t="str">
        <f t="shared" si="6"/>
        <v/>
      </c>
      <c r="T933" s="140" t="str">
        <f t="shared" si="7"/>
        <v/>
      </c>
      <c r="U933" s="136"/>
      <c r="V933" s="136"/>
      <c r="W933" s="136"/>
      <c r="X933" s="136"/>
      <c r="Y933" s="145"/>
      <c r="Z933" s="145"/>
    </row>
    <row r="934">
      <c r="E934" s="136"/>
      <c r="F934" s="136"/>
      <c r="G934" s="136"/>
      <c r="H934" s="137" t="str">
        <f t="shared" si="1"/>
        <v/>
      </c>
      <c r="I934" s="136"/>
      <c r="J934" s="136"/>
      <c r="K934" s="136"/>
      <c r="L934" s="136"/>
      <c r="M934" s="136"/>
      <c r="N934" s="136"/>
      <c r="O934" s="142" t="str">
        <f t="shared" si="2"/>
        <v/>
      </c>
      <c r="P934" s="140" t="str">
        <f t="shared" si="3"/>
        <v/>
      </c>
      <c r="Q934" s="139" t="str">
        <f t="shared" si="4"/>
        <v/>
      </c>
      <c r="R934" s="139" t="str">
        <f t="shared" si="5"/>
        <v/>
      </c>
      <c r="S934" s="139" t="str">
        <f t="shared" si="6"/>
        <v/>
      </c>
      <c r="T934" s="140" t="str">
        <f t="shared" si="7"/>
        <v/>
      </c>
      <c r="U934" s="136"/>
      <c r="V934" s="136"/>
      <c r="W934" s="136"/>
      <c r="X934" s="136"/>
      <c r="Y934" s="145"/>
      <c r="Z934" s="145"/>
    </row>
    <row r="935">
      <c r="E935" s="136"/>
      <c r="F935" s="136"/>
      <c r="G935" s="136"/>
      <c r="H935" s="137" t="str">
        <f t="shared" si="1"/>
        <v/>
      </c>
      <c r="I935" s="136"/>
      <c r="J935" s="136"/>
      <c r="K935" s="136"/>
      <c r="L935" s="136"/>
      <c r="M935" s="136"/>
      <c r="N935" s="136"/>
      <c r="O935" s="142" t="str">
        <f t="shared" si="2"/>
        <v/>
      </c>
      <c r="P935" s="140" t="str">
        <f t="shared" si="3"/>
        <v/>
      </c>
      <c r="Q935" s="139" t="str">
        <f t="shared" si="4"/>
        <v/>
      </c>
      <c r="R935" s="139" t="str">
        <f t="shared" si="5"/>
        <v/>
      </c>
      <c r="S935" s="139" t="str">
        <f t="shared" si="6"/>
        <v/>
      </c>
      <c r="T935" s="140" t="str">
        <f t="shared" si="7"/>
        <v/>
      </c>
      <c r="U935" s="136"/>
      <c r="V935" s="136"/>
      <c r="W935" s="136"/>
      <c r="X935" s="136"/>
      <c r="Y935" s="145"/>
      <c r="Z935" s="145"/>
    </row>
    <row r="936">
      <c r="E936" s="136"/>
      <c r="F936" s="136"/>
      <c r="G936" s="136"/>
      <c r="H936" s="137" t="str">
        <f t="shared" si="1"/>
        <v/>
      </c>
      <c r="I936" s="136"/>
      <c r="J936" s="136"/>
      <c r="K936" s="136"/>
      <c r="L936" s="136"/>
      <c r="M936" s="136"/>
      <c r="N936" s="136"/>
      <c r="O936" s="142" t="str">
        <f t="shared" si="2"/>
        <v/>
      </c>
      <c r="P936" s="140" t="str">
        <f t="shared" si="3"/>
        <v/>
      </c>
      <c r="Q936" s="139" t="str">
        <f t="shared" si="4"/>
        <v/>
      </c>
      <c r="R936" s="139" t="str">
        <f t="shared" si="5"/>
        <v/>
      </c>
      <c r="S936" s="139" t="str">
        <f t="shared" si="6"/>
        <v/>
      </c>
      <c r="T936" s="140" t="str">
        <f t="shared" si="7"/>
        <v/>
      </c>
      <c r="U936" s="136"/>
      <c r="V936" s="136"/>
      <c r="W936" s="136"/>
      <c r="X936" s="136"/>
      <c r="Y936" s="145"/>
      <c r="Z936" s="145"/>
    </row>
    <row r="937">
      <c r="E937" s="136"/>
      <c r="F937" s="136"/>
      <c r="G937" s="136"/>
      <c r="H937" s="137" t="str">
        <f t="shared" si="1"/>
        <v/>
      </c>
      <c r="I937" s="136"/>
      <c r="J937" s="136"/>
      <c r="K937" s="136"/>
      <c r="L937" s="136"/>
      <c r="M937" s="136"/>
      <c r="N937" s="136"/>
      <c r="O937" s="142" t="str">
        <f t="shared" si="2"/>
        <v/>
      </c>
      <c r="P937" s="140" t="str">
        <f t="shared" si="3"/>
        <v/>
      </c>
      <c r="Q937" s="139" t="str">
        <f t="shared" si="4"/>
        <v/>
      </c>
      <c r="R937" s="139" t="str">
        <f t="shared" si="5"/>
        <v/>
      </c>
      <c r="S937" s="139" t="str">
        <f t="shared" si="6"/>
        <v/>
      </c>
      <c r="T937" s="140" t="str">
        <f t="shared" si="7"/>
        <v/>
      </c>
      <c r="U937" s="136"/>
      <c r="V937" s="136"/>
      <c r="W937" s="136"/>
      <c r="X937" s="136"/>
      <c r="Y937" s="145"/>
      <c r="Z937" s="145"/>
    </row>
    <row r="938">
      <c r="E938" s="136"/>
      <c r="F938" s="136"/>
      <c r="G938" s="136"/>
      <c r="H938" s="137" t="str">
        <f t="shared" si="1"/>
        <v/>
      </c>
      <c r="I938" s="136"/>
      <c r="J938" s="136"/>
      <c r="K938" s="136"/>
      <c r="L938" s="136"/>
      <c r="M938" s="136"/>
      <c r="N938" s="136"/>
      <c r="O938" s="142" t="str">
        <f t="shared" si="2"/>
        <v/>
      </c>
      <c r="P938" s="140" t="str">
        <f t="shared" si="3"/>
        <v/>
      </c>
      <c r="Q938" s="139" t="str">
        <f t="shared" si="4"/>
        <v/>
      </c>
      <c r="R938" s="139" t="str">
        <f t="shared" si="5"/>
        <v/>
      </c>
      <c r="S938" s="139" t="str">
        <f t="shared" si="6"/>
        <v/>
      </c>
      <c r="T938" s="140" t="str">
        <f t="shared" si="7"/>
        <v/>
      </c>
      <c r="U938" s="136"/>
      <c r="V938" s="136"/>
      <c r="W938" s="136"/>
      <c r="X938" s="136"/>
      <c r="Y938" s="145"/>
      <c r="Z938" s="145"/>
    </row>
    <row r="939">
      <c r="E939" s="136"/>
      <c r="F939" s="136"/>
      <c r="G939" s="136"/>
      <c r="H939" s="137" t="str">
        <f t="shared" si="1"/>
        <v/>
      </c>
      <c r="I939" s="136"/>
      <c r="J939" s="136"/>
      <c r="K939" s="136"/>
      <c r="L939" s="136"/>
      <c r="M939" s="136"/>
      <c r="N939" s="136"/>
      <c r="O939" s="142" t="str">
        <f t="shared" si="2"/>
        <v/>
      </c>
      <c r="P939" s="140" t="str">
        <f t="shared" si="3"/>
        <v/>
      </c>
      <c r="Q939" s="139" t="str">
        <f t="shared" si="4"/>
        <v/>
      </c>
      <c r="R939" s="139" t="str">
        <f t="shared" si="5"/>
        <v/>
      </c>
      <c r="S939" s="139" t="str">
        <f t="shared" si="6"/>
        <v/>
      </c>
      <c r="T939" s="140" t="str">
        <f t="shared" si="7"/>
        <v/>
      </c>
      <c r="U939" s="136"/>
      <c r="V939" s="136"/>
      <c r="W939" s="136"/>
      <c r="X939" s="136"/>
      <c r="Y939" s="145"/>
      <c r="Z939" s="145"/>
    </row>
    <row r="940">
      <c r="E940" s="136"/>
      <c r="F940" s="136"/>
      <c r="G940" s="136"/>
      <c r="H940" s="137" t="str">
        <f t="shared" si="1"/>
        <v/>
      </c>
      <c r="I940" s="136"/>
      <c r="J940" s="136"/>
      <c r="K940" s="136"/>
      <c r="L940" s="136"/>
      <c r="M940" s="136"/>
      <c r="N940" s="136"/>
      <c r="O940" s="142" t="str">
        <f t="shared" si="2"/>
        <v/>
      </c>
      <c r="P940" s="140" t="str">
        <f t="shared" si="3"/>
        <v/>
      </c>
      <c r="Q940" s="139" t="str">
        <f t="shared" si="4"/>
        <v/>
      </c>
      <c r="R940" s="139" t="str">
        <f t="shared" si="5"/>
        <v/>
      </c>
      <c r="S940" s="139" t="str">
        <f t="shared" si="6"/>
        <v/>
      </c>
      <c r="T940" s="140" t="str">
        <f t="shared" si="7"/>
        <v/>
      </c>
      <c r="U940" s="136"/>
      <c r="V940" s="136"/>
      <c r="W940" s="136"/>
      <c r="X940" s="136"/>
      <c r="Y940" s="145"/>
      <c r="Z940" s="145"/>
    </row>
    <row r="941">
      <c r="E941" s="136"/>
      <c r="F941" s="136"/>
      <c r="G941" s="136"/>
      <c r="H941" s="137" t="str">
        <f t="shared" si="1"/>
        <v/>
      </c>
      <c r="I941" s="136"/>
      <c r="J941" s="136"/>
      <c r="K941" s="136"/>
      <c r="L941" s="136"/>
      <c r="M941" s="136"/>
      <c r="N941" s="136"/>
      <c r="O941" s="142" t="str">
        <f t="shared" si="2"/>
        <v/>
      </c>
      <c r="P941" s="140" t="str">
        <f t="shared" si="3"/>
        <v/>
      </c>
      <c r="Q941" s="139" t="str">
        <f t="shared" si="4"/>
        <v/>
      </c>
      <c r="R941" s="139" t="str">
        <f t="shared" si="5"/>
        <v/>
      </c>
      <c r="S941" s="139" t="str">
        <f t="shared" si="6"/>
        <v/>
      </c>
      <c r="T941" s="140" t="str">
        <f t="shared" si="7"/>
        <v/>
      </c>
      <c r="U941" s="136"/>
      <c r="V941" s="136"/>
      <c r="W941" s="136"/>
      <c r="X941" s="136"/>
      <c r="Y941" s="145"/>
      <c r="Z941" s="145"/>
    </row>
    <row r="942">
      <c r="E942" s="136"/>
      <c r="F942" s="136"/>
      <c r="G942" s="136"/>
      <c r="H942" s="137" t="str">
        <f t="shared" si="1"/>
        <v/>
      </c>
      <c r="I942" s="136"/>
      <c r="J942" s="136"/>
      <c r="K942" s="136"/>
      <c r="L942" s="136"/>
      <c r="M942" s="136"/>
      <c r="N942" s="136"/>
      <c r="O942" s="142" t="str">
        <f t="shared" si="2"/>
        <v/>
      </c>
      <c r="P942" s="140" t="str">
        <f t="shared" si="3"/>
        <v/>
      </c>
      <c r="Q942" s="139" t="str">
        <f t="shared" si="4"/>
        <v/>
      </c>
      <c r="R942" s="139" t="str">
        <f t="shared" si="5"/>
        <v/>
      </c>
      <c r="S942" s="139" t="str">
        <f t="shared" si="6"/>
        <v/>
      </c>
      <c r="T942" s="140" t="str">
        <f t="shared" si="7"/>
        <v/>
      </c>
      <c r="U942" s="136"/>
      <c r="V942" s="136"/>
      <c r="W942" s="136"/>
      <c r="X942" s="136"/>
      <c r="Y942" s="145"/>
      <c r="Z942" s="145"/>
    </row>
    <row r="943">
      <c r="E943" s="136"/>
      <c r="F943" s="136"/>
      <c r="G943" s="136"/>
      <c r="H943" s="137" t="str">
        <f t="shared" si="1"/>
        <v/>
      </c>
      <c r="I943" s="136"/>
      <c r="J943" s="136"/>
      <c r="K943" s="136"/>
      <c r="L943" s="136"/>
      <c r="M943" s="136"/>
      <c r="N943" s="136"/>
      <c r="O943" s="142" t="str">
        <f t="shared" si="2"/>
        <v/>
      </c>
      <c r="P943" s="140" t="str">
        <f t="shared" si="3"/>
        <v/>
      </c>
      <c r="Q943" s="139" t="str">
        <f t="shared" si="4"/>
        <v/>
      </c>
      <c r="R943" s="139" t="str">
        <f t="shared" si="5"/>
        <v/>
      </c>
      <c r="S943" s="139" t="str">
        <f t="shared" si="6"/>
        <v/>
      </c>
      <c r="T943" s="140" t="str">
        <f t="shared" si="7"/>
        <v/>
      </c>
      <c r="U943" s="136"/>
      <c r="V943" s="136"/>
      <c r="W943" s="136"/>
      <c r="X943" s="136"/>
      <c r="Y943" s="145"/>
      <c r="Z943" s="145"/>
    </row>
    <row r="944">
      <c r="E944" s="136"/>
      <c r="F944" s="136"/>
      <c r="G944" s="136"/>
      <c r="H944" s="137" t="str">
        <f t="shared" si="1"/>
        <v/>
      </c>
      <c r="I944" s="136"/>
      <c r="J944" s="136"/>
      <c r="K944" s="136"/>
      <c r="L944" s="136"/>
      <c r="M944" s="136"/>
      <c r="N944" s="136"/>
      <c r="O944" s="142" t="str">
        <f t="shared" si="2"/>
        <v/>
      </c>
      <c r="P944" s="140" t="str">
        <f t="shared" si="3"/>
        <v/>
      </c>
      <c r="Q944" s="139" t="str">
        <f t="shared" si="4"/>
        <v/>
      </c>
      <c r="R944" s="139" t="str">
        <f t="shared" si="5"/>
        <v/>
      </c>
      <c r="S944" s="139" t="str">
        <f t="shared" si="6"/>
        <v/>
      </c>
      <c r="T944" s="140" t="str">
        <f t="shared" si="7"/>
        <v/>
      </c>
      <c r="U944" s="136"/>
      <c r="V944" s="136"/>
      <c r="W944" s="136"/>
      <c r="X944" s="136"/>
      <c r="Y944" s="145"/>
      <c r="Z944" s="145"/>
    </row>
    <row r="945">
      <c r="E945" s="136"/>
      <c r="F945" s="136"/>
      <c r="G945" s="136"/>
      <c r="H945" s="137" t="str">
        <f t="shared" si="1"/>
        <v/>
      </c>
      <c r="I945" s="136"/>
      <c r="J945" s="136"/>
      <c r="K945" s="136"/>
      <c r="L945" s="136"/>
      <c r="M945" s="136"/>
      <c r="N945" s="136"/>
      <c r="O945" s="142" t="str">
        <f t="shared" si="2"/>
        <v/>
      </c>
      <c r="P945" s="140" t="str">
        <f t="shared" si="3"/>
        <v/>
      </c>
      <c r="Q945" s="139" t="str">
        <f t="shared" si="4"/>
        <v/>
      </c>
      <c r="R945" s="139" t="str">
        <f t="shared" si="5"/>
        <v/>
      </c>
      <c r="S945" s="139" t="str">
        <f t="shared" si="6"/>
        <v/>
      </c>
      <c r="T945" s="140" t="str">
        <f t="shared" si="7"/>
        <v/>
      </c>
      <c r="U945" s="136"/>
      <c r="V945" s="136"/>
      <c r="W945" s="136"/>
      <c r="X945" s="136"/>
      <c r="Y945" s="145"/>
      <c r="Z945" s="145"/>
    </row>
    <row r="946">
      <c r="E946" s="136"/>
      <c r="F946" s="136"/>
      <c r="G946" s="136"/>
      <c r="H946" s="137" t="str">
        <f t="shared" si="1"/>
        <v/>
      </c>
      <c r="I946" s="136"/>
      <c r="J946" s="136"/>
      <c r="K946" s="136"/>
      <c r="L946" s="136"/>
      <c r="M946" s="136"/>
      <c r="N946" s="136"/>
      <c r="O946" s="142" t="str">
        <f t="shared" si="2"/>
        <v/>
      </c>
      <c r="P946" s="140" t="str">
        <f t="shared" si="3"/>
        <v/>
      </c>
      <c r="Q946" s="139" t="str">
        <f t="shared" si="4"/>
        <v/>
      </c>
      <c r="R946" s="139" t="str">
        <f t="shared" si="5"/>
        <v/>
      </c>
      <c r="S946" s="139" t="str">
        <f t="shared" si="6"/>
        <v/>
      </c>
      <c r="T946" s="140" t="str">
        <f t="shared" si="7"/>
        <v/>
      </c>
      <c r="U946" s="136"/>
      <c r="V946" s="136"/>
      <c r="W946" s="136"/>
      <c r="X946" s="136"/>
      <c r="Y946" s="145"/>
      <c r="Z946" s="145"/>
    </row>
    <row r="947">
      <c r="E947" s="136"/>
      <c r="F947" s="136"/>
      <c r="G947" s="136"/>
      <c r="H947" s="137" t="str">
        <f t="shared" si="1"/>
        <v/>
      </c>
      <c r="I947" s="136"/>
      <c r="J947" s="136"/>
      <c r="K947" s="136"/>
      <c r="L947" s="136"/>
      <c r="M947" s="136"/>
      <c r="N947" s="136"/>
      <c r="O947" s="142" t="str">
        <f t="shared" si="2"/>
        <v/>
      </c>
      <c r="P947" s="140" t="str">
        <f t="shared" si="3"/>
        <v/>
      </c>
      <c r="Q947" s="139" t="str">
        <f t="shared" si="4"/>
        <v/>
      </c>
      <c r="R947" s="139" t="str">
        <f t="shared" si="5"/>
        <v/>
      </c>
      <c r="S947" s="139" t="str">
        <f t="shared" si="6"/>
        <v/>
      </c>
      <c r="T947" s="140" t="str">
        <f t="shared" si="7"/>
        <v/>
      </c>
      <c r="U947" s="136"/>
      <c r="V947" s="136"/>
      <c r="W947" s="136"/>
      <c r="X947" s="136"/>
      <c r="Y947" s="145"/>
      <c r="Z947" s="145"/>
    </row>
    <row r="948">
      <c r="E948" s="136"/>
      <c r="F948" s="136"/>
      <c r="G948" s="136"/>
      <c r="H948" s="137" t="str">
        <f t="shared" si="1"/>
        <v/>
      </c>
      <c r="I948" s="136"/>
      <c r="J948" s="136"/>
      <c r="K948" s="136"/>
      <c r="L948" s="136"/>
      <c r="M948" s="136"/>
      <c r="N948" s="136"/>
      <c r="O948" s="142" t="str">
        <f t="shared" si="2"/>
        <v/>
      </c>
      <c r="P948" s="140" t="str">
        <f t="shared" si="3"/>
        <v/>
      </c>
      <c r="Q948" s="139" t="str">
        <f t="shared" si="4"/>
        <v/>
      </c>
      <c r="R948" s="139" t="str">
        <f t="shared" si="5"/>
        <v/>
      </c>
      <c r="S948" s="139" t="str">
        <f t="shared" si="6"/>
        <v/>
      </c>
      <c r="T948" s="140" t="str">
        <f t="shared" si="7"/>
        <v/>
      </c>
      <c r="U948" s="136"/>
      <c r="V948" s="136"/>
      <c r="W948" s="136"/>
      <c r="X948" s="136"/>
      <c r="Y948" s="145"/>
      <c r="Z948" s="145"/>
    </row>
    <row r="949">
      <c r="E949" s="136"/>
      <c r="F949" s="136"/>
      <c r="G949" s="136"/>
      <c r="H949" s="137"/>
      <c r="I949" s="136"/>
      <c r="J949" s="136"/>
      <c r="K949" s="136"/>
      <c r="L949" s="136"/>
      <c r="M949" s="136"/>
      <c r="N949" s="136"/>
      <c r="O949" s="142" t="str">
        <f t="shared" si="2"/>
        <v/>
      </c>
      <c r="P949" s="140" t="str">
        <f t="shared" si="3"/>
        <v/>
      </c>
      <c r="Q949" s="139" t="str">
        <f t="shared" si="4"/>
        <v/>
      </c>
      <c r="R949" s="139" t="str">
        <f t="shared" si="5"/>
        <v/>
      </c>
      <c r="S949" s="139" t="str">
        <f t="shared" si="6"/>
        <v/>
      </c>
      <c r="T949" s="140" t="str">
        <f t="shared" si="7"/>
        <v/>
      </c>
      <c r="U949" s="136"/>
      <c r="V949" s="136"/>
      <c r="W949" s="136"/>
      <c r="X949" s="136"/>
      <c r="Y949" s="145"/>
      <c r="Z949" s="145"/>
    </row>
    <row r="950">
      <c r="E950" s="136"/>
      <c r="F950" s="136"/>
      <c r="G950" s="136"/>
      <c r="H950" s="137"/>
      <c r="I950" s="136"/>
      <c r="J950" s="136"/>
      <c r="K950" s="136"/>
      <c r="L950" s="136"/>
      <c r="M950" s="136"/>
      <c r="N950" s="136"/>
      <c r="O950" s="142" t="str">
        <f t="shared" si="2"/>
        <v/>
      </c>
      <c r="P950" s="140" t="str">
        <f t="shared" si="3"/>
        <v/>
      </c>
      <c r="Q950" s="139" t="str">
        <f t="shared" si="4"/>
        <v/>
      </c>
      <c r="R950" s="139" t="str">
        <f t="shared" si="5"/>
        <v/>
      </c>
      <c r="S950" s="139" t="str">
        <f t="shared" si="6"/>
        <v/>
      </c>
      <c r="T950" s="140" t="str">
        <f t="shared" si="7"/>
        <v/>
      </c>
      <c r="U950" s="136"/>
      <c r="V950" s="136"/>
      <c r="W950" s="136"/>
      <c r="X950" s="136"/>
      <c r="Y950" s="145"/>
      <c r="Z950" s="145"/>
    </row>
    <row r="951">
      <c r="E951" s="136"/>
      <c r="F951" s="136"/>
      <c r="G951" s="136"/>
      <c r="H951" s="137"/>
      <c r="I951" s="136"/>
      <c r="J951" s="136"/>
      <c r="K951" s="136"/>
      <c r="L951" s="136"/>
      <c r="M951" s="136"/>
      <c r="N951" s="136"/>
      <c r="O951" s="142" t="str">
        <f t="shared" si="2"/>
        <v/>
      </c>
      <c r="P951" s="140" t="str">
        <f t="shared" si="3"/>
        <v/>
      </c>
      <c r="Q951" s="139" t="str">
        <f t="shared" si="4"/>
        <v/>
      </c>
      <c r="R951" s="139" t="str">
        <f t="shared" si="5"/>
        <v/>
      </c>
      <c r="S951" s="139" t="str">
        <f t="shared" si="6"/>
        <v/>
      </c>
      <c r="T951" s="140" t="str">
        <f t="shared" si="7"/>
        <v/>
      </c>
      <c r="U951" s="136"/>
      <c r="V951" s="136"/>
      <c r="W951" s="136"/>
      <c r="X951" s="136"/>
      <c r="Y951" s="145"/>
      <c r="Z951" s="145"/>
    </row>
    <row r="952">
      <c r="E952" s="136"/>
      <c r="F952" s="136"/>
      <c r="G952" s="136"/>
      <c r="H952" s="137"/>
      <c r="I952" s="136"/>
      <c r="J952" s="136"/>
      <c r="K952" s="136"/>
      <c r="L952" s="136"/>
      <c r="M952" s="136"/>
      <c r="N952" s="136"/>
      <c r="O952" s="142" t="str">
        <f t="shared" si="2"/>
        <v/>
      </c>
      <c r="P952" s="140" t="str">
        <f t="shared" si="3"/>
        <v/>
      </c>
      <c r="Q952" s="139" t="str">
        <f t="shared" si="4"/>
        <v/>
      </c>
      <c r="R952" s="139" t="str">
        <f t="shared" si="5"/>
        <v/>
      </c>
      <c r="S952" s="139" t="str">
        <f t="shared" si="6"/>
        <v/>
      </c>
      <c r="T952" s="140" t="str">
        <f t="shared" si="7"/>
        <v/>
      </c>
      <c r="U952" s="136"/>
      <c r="V952" s="136"/>
      <c r="W952" s="136"/>
      <c r="X952" s="136"/>
      <c r="Y952" s="145"/>
      <c r="Z952" s="145"/>
    </row>
    <row r="953">
      <c r="E953" s="136"/>
      <c r="F953" s="136"/>
      <c r="G953" s="136"/>
      <c r="H953" s="137"/>
      <c r="I953" s="136"/>
      <c r="J953" s="136"/>
      <c r="K953" s="136"/>
      <c r="L953" s="136"/>
      <c r="M953" s="136"/>
      <c r="N953" s="136"/>
      <c r="O953" s="142" t="str">
        <f t="shared" si="2"/>
        <v/>
      </c>
      <c r="P953" s="140" t="str">
        <f t="shared" si="3"/>
        <v/>
      </c>
      <c r="Q953" s="139" t="str">
        <f t="shared" si="4"/>
        <v/>
      </c>
      <c r="R953" s="139" t="str">
        <f t="shared" si="5"/>
        <v/>
      </c>
      <c r="S953" s="139" t="str">
        <f t="shared" si="6"/>
        <v/>
      </c>
      <c r="T953" s="140" t="str">
        <f t="shared" si="7"/>
        <v/>
      </c>
      <c r="U953" s="136"/>
      <c r="V953" s="136"/>
      <c r="W953" s="136"/>
      <c r="X953" s="136"/>
      <c r="Y953" s="145"/>
      <c r="Z953" s="145"/>
    </row>
    <row r="954">
      <c r="E954" s="136"/>
      <c r="F954" s="136"/>
      <c r="G954" s="136"/>
      <c r="H954" s="137"/>
      <c r="I954" s="136"/>
      <c r="J954" s="136"/>
      <c r="K954" s="136"/>
      <c r="L954" s="136"/>
      <c r="M954" s="136"/>
      <c r="N954" s="136"/>
      <c r="O954" s="142" t="str">
        <f t="shared" si="2"/>
        <v/>
      </c>
      <c r="P954" s="140" t="str">
        <f t="shared" si="3"/>
        <v/>
      </c>
      <c r="Q954" s="139" t="str">
        <f t="shared" si="4"/>
        <v/>
      </c>
      <c r="R954" s="139" t="str">
        <f t="shared" si="5"/>
        <v/>
      </c>
      <c r="S954" s="139" t="str">
        <f t="shared" si="6"/>
        <v/>
      </c>
      <c r="T954" s="140" t="str">
        <f t="shared" si="7"/>
        <v/>
      </c>
      <c r="U954" s="136"/>
      <c r="V954" s="136"/>
      <c r="W954" s="136"/>
      <c r="X954" s="136"/>
      <c r="Y954" s="145"/>
      <c r="Z954" s="145"/>
    </row>
    <row r="955">
      <c r="E955" s="136"/>
      <c r="F955" s="136"/>
      <c r="G955" s="136"/>
      <c r="H955" s="137"/>
      <c r="I955" s="136"/>
      <c r="J955" s="136"/>
      <c r="K955" s="136"/>
      <c r="L955" s="136"/>
      <c r="M955" s="136"/>
      <c r="N955" s="136"/>
      <c r="O955" s="142" t="str">
        <f t="shared" si="2"/>
        <v/>
      </c>
      <c r="P955" s="140" t="str">
        <f t="shared" si="3"/>
        <v/>
      </c>
      <c r="Q955" s="139" t="str">
        <f t="shared" si="4"/>
        <v/>
      </c>
      <c r="R955" s="139" t="str">
        <f t="shared" si="5"/>
        <v/>
      </c>
      <c r="S955" s="139" t="str">
        <f t="shared" si="6"/>
        <v/>
      </c>
      <c r="T955" s="140" t="str">
        <f t="shared" si="7"/>
        <v/>
      </c>
      <c r="U955" s="136"/>
      <c r="V955" s="136"/>
      <c r="W955" s="136"/>
      <c r="X955" s="136"/>
      <c r="Y955" s="145"/>
      <c r="Z955" s="145"/>
    </row>
    <row r="956">
      <c r="E956" s="136"/>
      <c r="F956" s="136"/>
      <c r="G956" s="136"/>
      <c r="H956" s="137"/>
      <c r="I956" s="136"/>
      <c r="J956" s="136"/>
      <c r="K956" s="136"/>
      <c r="L956" s="136"/>
      <c r="M956" s="136"/>
      <c r="N956" s="136"/>
      <c r="O956" s="142" t="str">
        <f t="shared" si="2"/>
        <v/>
      </c>
      <c r="P956" s="140" t="str">
        <f t="shared" si="3"/>
        <v/>
      </c>
      <c r="Q956" s="139" t="str">
        <f t="shared" si="4"/>
        <v/>
      </c>
      <c r="R956" s="139" t="str">
        <f t="shared" si="5"/>
        <v/>
      </c>
      <c r="S956" s="139" t="str">
        <f t="shared" si="6"/>
        <v/>
      </c>
      <c r="T956" s="140" t="str">
        <f t="shared" si="7"/>
        <v/>
      </c>
      <c r="U956" s="136"/>
      <c r="V956" s="136"/>
      <c r="W956" s="136"/>
      <c r="X956" s="136"/>
      <c r="Y956" s="145"/>
      <c r="Z956" s="145"/>
    </row>
    <row r="957">
      <c r="E957" s="136"/>
      <c r="F957" s="136"/>
      <c r="G957" s="136"/>
      <c r="H957" s="137"/>
      <c r="I957" s="136"/>
      <c r="J957" s="136"/>
      <c r="K957" s="136"/>
      <c r="L957" s="136"/>
      <c r="M957" s="136"/>
      <c r="N957" s="136"/>
      <c r="O957" s="142" t="str">
        <f t="shared" si="2"/>
        <v/>
      </c>
      <c r="P957" s="140" t="str">
        <f t="shared" si="3"/>
        <v/>
      </c>
      <c r="Q957" s="139" t="str">
        <f t="shared" si="4"/>
        <v/>
      </c>
      <c r="R957" s="139" t="str">
        <f t="shared" si="5"/>
        <v/>
      </c>
      <c r="S957" s="139" t="str">
        <f t="shared" si="6"/>
        <v/>
      </c>
      <c r="T957" s="140" t="str">
        <f t="shared" si="7"/>
        <v/>
      </c>
      <c r="U957" s="136"/>
      <c r="V957" s="136"/>
      <c r="W957" s="136"/>
      <c r="X957" s="136"/>
      <c r="Y957" s="145"/>
      <c r="Z957" s="145"/>
    </row>
    <row r="958">
      <c r="E958" s="136"/>
      <c r="F958" s="136"/>
      <c r="G958" s="136"/>
      <c r="H958" s="137"/>
      <c r="I958" s="136"/>
      <c r="J958" s="136"/>
      <c r="K958" s="136"/>
      <c r="L958" s="136"/>
      <c r="M958" s="136"/>
      <c r="N958" s="136"/>
      <c r="O958" s="142" t="str">
        <f t="shared" si="2"/>
        <v/>
      </c>
      <c r="P958" s="140" t="str">
        <f t="shared" si="3"/>
        <v/>
      </c>
      <c r="Q958" s="139" t="str">
        <f t="shared" si="4"/>
        <v/>
      </c>
      <c r="R958" s="139" t="str">
        <f t="shared" si="5"/>
        <v/>
      </c>
      <c r="S958" s="139" t="str">
        <f t="shared" si="6"/>
        <v/>
      </c>
      <c r="T958" s="140" t="str">
        <f t="shared" si="7"/>
        <v/>
      </c>
      <c r="U958" s="136"/>
      <c r="V958" s="136"/>
      <c r="W958" s="136"/>
      <c r="X958" s="136"/>
      <c r="Y958" s="145"/>
      <c r="Z958" s="145"/>
    </row>
    <row r="959">
      <c r="E959" s="136"/>
      <c r="F959" s="136"/>
      <c r="G959" s="136"/>
      <c r="H959" s="137"/>
      <c r="I959" s="136"/>
      <c r="J959" s="136"/>
      <c r="K959" s="136"/>
      <c r="L959" s="136"/>
      <c r="M959" s="136"/>
      <c r="N959" s="136"/>
      <c r="O959" s="142" t="str">
        <f t="shared" si="2"/>
        <v/>
      </c>
      <c r="P959" s="140" t="str">
        <f t="shared" si="3"/>
        <v/>
      </c>
      <c r="Q959" s="139" t="str">
        <f t="shared" si="4"/>
        <v/>
      </c>
      <c r="R959" s="139" t="str">
        <f t="shared" si="5"/>
        <v/>
      </c>
      <c r="S959" s="139" t="str">
        <f t="shared" si="6"/>
        <v/>
      </c>
      <c r="T959" s="140" t="str">
        <f t="shared" si="7"/>
        <v/>
      </c>
      <c r="U959" s="136"/>
      <c r="V959" s="136"/>
      <c r="W959" s="136"/>
      <c r="X959" s="136"/>
      <c r="Y959" s="145"/>
      <c r="Z959" s="145"/>
    </row>
    <row r="960">
      <c r="E960" s="136"/>
      <c r="F960" s="136"/>
      <c r="G960" s="136"/>
      <c r="H960" s="137"/>
      <c r="I960" s="136"/>
      <c r="J960" s="136"/>
      <c r="K960" s="136"/>
      <c r="L960" s="136"/>
      <c r="M960" s="136"/>
      <c r="N960" s="136"/>
      <c r="O960" s="142" t="str">
        <f t="shared" si="2"/>
        <v/>
      </c>
      <c r="P960" s="140" t="str">
        <f t="shared" si="3"/>
        <v/>
      </c>
      <c r="Q960" s="139" t="str">
        <f t="shared" si="4"/>
        <v/>
      </c>
      <c r="R960" s="139" t="str">
        <f t="shared" si="5"/>
        <v/>
      </c>
      <c r="S960" s="139" t="str">
        <f t="shared" si="6"/>
        <v/>
      </c>
      <c r="T960" s="140" t="str">
        <f t="shared" si="7"/>
        <v/>
      </c>
      <c r="U960" s="136"/>
      <c r="V960" s="136"/>
      <c r="W960" s="136"/>
      <c r="X960" s="136"/>
      <c r="Y960" s="145"/>
      <c r="Z960" s="145"/>
    </row>
    <row r="961">
      <c r="E961" s="136"/>
      <c r="F961" s="136"/>
      <c r="G961" s="136"/>
      <c r="H961" s="137"/>
      <c r="I961" s="136"/>
      <c r="J961" s="136"/>
      <c r="K961" s="136"/>
      <c r="L961" s="136"/>
      <c r="M961" s="136"/>
      <c r="N961" s="136"/>
      <c r="O961" s="142" t="str">
        <f t="shared" si="2"/>
        <v/>
      </c>
      <c r="P961" s="140" t="str">
        <f t="shared" si="3"/>
        <v/>
      </c>
      <c r="Q961" s="139" t="str">
        <f t="shared" si="4"/>
        <v/>
      </c>
      <c r="R961" s="139" t="str">
        <f t="shared" si="5"/>
        <v/>
      </c>
      <c r="S961" s="139" t="str">
        <f t="shared" si="6"/>
        <v/>
      </c>
      <c r="T961" s="140" t="str">
        <f t="shared" si="7"/>
        <v/>
      </c>
      <c r="U961" s="136"/>
      <c r="V961" s="136"/>
      <c r="W961" s="136"/>
      <c r="X961" s="136"/>
      <c r="Y961" s="145"/>
      <c r="Z961" s="145"/>
    </row>
    <row r="962">
      <c r="E962" s="136"/>
      <c r="F962" s="136"/>
      <c r="G962" s="136"/>
      <c r="H962" s="137"/>
      <c r="I962" s="136"/>
      <c r="J962" s="136"/>
      <c r="K962" s="136"/>
      <c r="L962" s="136"/>
      <c r="M962" s="136"/>
      <c r="N962" s="136"/>
      <c r="O962" s="142" t="str">
        <f t="shared" si="2"/>
        <v/>
      </c>
      <c r="P962" s="140" t="str">
        <f t="shared" si="3"/>
        <v/>
      </c>
      <c r="Q962" s="139" t="str">
        <f t="shared" si="4"/>
        <v/>
      </c>
      <c r="R962" s="139" t="str">
        <f t="shared" si="5"/>
        <v/>
      </c>
      <c r="S962" s="139" t="str">
        <f t="shared" si="6"/>
        <v/>
      </c>
      <c r="T962" s="140" t="str">
        <f t="shared" si="7"/>
        <v/>
      </c>
      <c r="U962" s="136"/>
      <c r="V962" s="136"/>
      <c r="W962" s="136"/>
      <c r="X962" s="136"/>
      <c r="Y962" s="145"/>
      <c r="Z962" s="145"/>
    </row>
    <row r="963">
      <c r="E963" s="136"/>
      <c r="F963" s="136"/>
      <c r="G963" s="136"/>
      <c r="H963" s="137"/>
      <c r="I963" s="136"/>
      <c r="J963" s="136"/>
      <c r="K963" s="136"/>
      <c r="L963" s="136"/>
      <c r="M963" s="136"/>
      <c r="N963" s="136"/>
      <c r="O963" s="142" t="str">
        <f t="shared" si="2"/>
        <v/>
      </c>
      <c r="P963" s="140" t="str">
        <f t="shared" si="3"/>
        <v/>
      </c>
      <c r="Q963" s="139" t="str">
        <f t="shared" si="4"/>
        <v/>
      </c>
      <c r="R963" s="139" t="str">
        <f t="shared" si="5"/>
        <v/>
      </c>
      <c r="S963" s="139" t="str">
        <f t="shared" si="6"/>
        <v/>
      </c>
      <c r="T963" s="140" t="str">
        <f t="shared" si="7"/>
        <v/>
      </c>
      <c r="U963" s="136"/>
      <c r="V963" s="136"/>
      <c r="W963" s="136"/>
      <c r="X963" s="136"/>
      <c r="Y963" s="145"/>
      <c r="Z963" s="145"/>
    </row>
    <row r="964">
      <c r="E964" s="136"/>
      <c r="F964" s="136"/>
      <c r="G964" s="136"/>
      <c r="H964" s="137"/>
      <c r="I964" s="136"/>
      <c r="J964" s="136"/>
      <c r="K964" s="136"/>
      <c r="L964" s="136"/>
      <c r="M964" s="136"/>
      <c r="N964" s="136"/>
      <c r="O964" s="142" t="str">
        <f t="shared" si="2"/>
        <v/>
      </c>
      <c r="P964" s="140" t="str">
        <f t="shared" si="3"/>
        <v/>
      </c>
      <c r="Q964" s="139" t="str">
        <f t="shared" si="4"/>
        <v/>
      </c>
      <c r="R964" s="139" t="str">
        <f t="shared" si="5"/>
        <v/>
      </c>
      <c r="S964" s="139" t="str">
        <f t="shared" si="6"/>
        <v/>
      </c>
      <c r="T964" s="140" t="str">
        <f t="shared" si="7"/>
        <v/>
      </c>
      <c r="U964" s="136"/>
      <c r="V964" s="136"/>
      <c r="W964" s="136"/>
      <c r="X964" s="136"/>
      <c r="Y964" s="145"/>
      <c r="Z964" s="145"/>
    </row>
    <row r="965">
      <c r="E965" s="136"/>
      <c r="F965" s="136"/>
      <c r="G965" s="136"/>
      <c r="H965" s="137"/>
      <c r="I965" s="136"/>
      <c r="J965" s="136"/>
      <c r="K965" s="136"/>
      <c r="L965" s="136"/>
      <c r="M965" s="136"/>
      <c r="N965" s="136"/>
      <c r="O965" s="142" t="str">
        <f t="shared" si="2"/>
        <v/>
      </c>
      <c r="P965" s="140" t="str">
        <f t="shared" si="3"/>
        <v/>
      </c>
      <c r="Q965" s="139" t="str">
        <f t="shared" si="4"/>
        <v/>
      </c>
      <c r="R965" s="139" t="str">
        <f t="shared" si="5"/>
        <v/>
      </c>
      <c r="S965" s="139" t="str">
        <f t="shared" si="6"/>
        <v/>
      </c>
      <c r="T965" s="140" t="str">
        <f t="shared" si="7"/>
        <v/>
      </c>
      <c r="U965" s="136"/>
      <c r="V965" s="136"/>
      <c r="W965" s="136"/>
      <c r="X965" s="136"/>
      <c r="Y965" s="145"/>
      <c r="Z965" s="145"/>
    </row>
    <row r="966">
      <c r="E966" s="136"/>
      <c r="F966" s="136"/>
      <c r="G966" s="136"/>
      <c r="H966" s="137"/>
      <c r="I966" s="136"/>
      <c r="J966" s="136"/>
      <c r="K966" s="136"/>
      <c r="L966" s="136"/>
      <c r="M966" s="136"/>
      <c r="N966" s="136"/>
      <c r="O966" s="142" t="str">
        <f t="shared" si="2"/>
        <v/>
      </c>
      <c r="P966" s="140" t="str">
        <f t="shared" si="3"/>
        <v/>
      </c>
      <c r="Q966" s="139" t="str">
        <f t="shared" si="4"/>
        <v/>
      </c>
      <c r="R966" s="139" t="str">
        <f t="shared" si="5"/>
        <v/>
      </c>
      <c r="S966" s="139" t="str">
        <f t="shared" si="6"/>
        <v/>
      </c>
      <c r="T966" s="140" t="str">
        <f t="shared" si="7"/>
        <v/>
      </c>
      <c r="U966" s="136"/>
      <c r="V966" s="136"/>
      <c r="W966" s="136"/>
      <c r="X966" s="136"/>
      <c r="Y966" s="145"/>
      <c r="Z966" s="145"/>
    </row>
    <row r="967">
      <c r="E967" s="136"/>
      <c r="F967" s="136"/>
      <c r="G967" s="136"/>
      <c r="H967" s="137"/>
      <c r="I967" s="136"/>
      <c r="J967" s="136"/>
      <c r="K967" s="136"/>
      <c r="L967" s="136"/>
      <c r="M967" s="136"/>
      <c r="N967" s="136"/>
      <c r="O967" s="142" t="str">
        <f t="shared" si="2"/>
        <v/>
      </c>
      <c r="P967" s="140" t="str">
        <f t="shared" si="3"/>
        <v/>
      </c>
      <c r="Q967" s="139" t="str">
        <f t="shared" si="4"/>
        <v/>
      </c>
      <c r="R967" s="139" t="str">
        <f t="shared" si="5"/>
        <v/>
      </c>
      <c r="S967" s="139" t="str">
        <f t="shared" si="6"/>
        <v/>
      </c>
      <c r="T967" s="140" t="str">
        <f t="shared" si="7"/>
        <v/>
      </c>
      <c r="U967" s="136"/>
      <c r="V967" s="136"/>
      <c r="W967" s="136"/>
      <c r="X967" s="136"/>
      <c r="Y967" s="145"/>
      <c r="Z967" s="145"/>
    </row>
    <row r="968">
      <c r="E968" s="136"/>
      <c r="F968" s="136"/>
      <c r="G968" s="136"/>
      <c r="H968" s="137"/>
      <c r="I968" s="136"/>
      <c r="J968" s="136"/>
      <c r="K968" s="136"/>
      <c r="L968" s="136"/>
      <c r="M968" s="136"/>
      <c r="N968" s="136"/>
      <c r="O968" s="142" t="str">
        <f t="shared" si="2"/>
        <v/>
      </c>
      <c r="P968" s="140" t="str">
        <f t="shared" si="3"/>
        <v/>
      </c>
      <c r="Q968" s="139" t="str">
        <f t="shared" si="4"/>
        <v/>
      </c>
      <c r="R968" s="139" t="str">
        <f t="shared" si="5"/>
        <v/>
      </c>
      <c r="S968" s="139" t="str">
        <f t="shared" si="6"/>
        <v/>
      </c>
      <c r="T968" s="140" t="str">
        <f t="shared" si="7"/>
        <v/>
      </c>
      <c r="U968" s="136"/>
      <c r="V968" s="136"/>
      <c r="W968" s="136"/>
      <c r="X968" s="136"/>
      <c r="Y968" s="145"/>
      <c r="Z968" s="145"/>
    </row>
    <row r="969">
      <c r="E969" s="136"/>
      <c r="F969" s="136"/>
      <c r="G969" s="136"/>
      <c r="H969" s="137"/>
      <c r="I969" s="136"/>
      <c r="J969" s="136"/>
      <c r="K969" s="136"/>
      <c r="L969" s="136"/>
      <c r="M969" s="136"/>
      <c r="N969" s="136"/>
      <c r="O969" s="142" t="str">
        <f t="shared" si="2"/>
        <v/>
      </c>
      <c r="P969" s="140" t="str">
        <f t="shared" si="3"/>
        <v/>
      </c>
      <c r="Q969" s="139" t="str">
        <f t="shared" si="4"/>
        <v/>
      </c>
      <c r="R969" s="139" t="str">
        <f t="shared" si="5"/>
        <v/>
      </c>
      <c r="S969" s="139" t="str">
        <f t="shared" si="6"/>
        <v/>
      </c>
      <c r="T969" s="140" t="str">
        <f t="shared" si="7"/>
        <v/>
      </c>
      <c r="U969" s="136"/>
      <c r="V969" s="136"/>
      <c r="W969" s="136"/>
      <c r="X969" s="136"/>
      <c r="Y969" s="145"/>
      <c r="Z969" s="145"/>
    </row>
    <row r="970">
      <c r="E970" s="136"/>
      <c r="F970" s="136"/>
      <c r="G970" s="136"/>
      <c r="H970" s="137"/>
      <c r="I970" s="136"/>
      <c r="J970" s="136"/>
      <c r="K970" s="136"/>
      <c r="L970" s="136"/>
      <c r="M970" s="136"/>
      <c r="N970" s="136"/>
      <c r="O970" s="142" t="str">
        <f t="shared" si="2"/>
        <v/>
      </c>
      <c r="P970" s="140" t="str">
        <f t="shared" si="3"/>
        <v/>
      </c>
      <c r="Q970" s="139" t="str">
        <f t="shared" si="4"/>
        <v/>
      </c>
      <c r="R970" s="139" t="str">
        <f t="shared" si="5"/>
        <v/>
      </c>
      <c r="S970" s="139" t="str">
        <f t="shared" si="6"/>
        <v/>
      </c>
      <c r="T970" s="140" t="str">
        <f t="shared" si="7"/>
        <v/>
      </c>
      <c r="U970" s="136"/>
      <c r="V970" s="136"/>
      <c r="W970" s="136"/>
      <c r="X970" s="136"/>
      <c r="Y970" s="145"/>
      <c r="Z970" s="145"/>
    </row>
    <row r="971">
      <c r="E971" s="136"/>
      <c r="F971" s="136"/>
      <c r="G971" s="136"/>
      <c r="H971" s="137"/>
      <c r="I971" s="136"/>
      <c r="J971" s="136"/>
      <c r="K971" s="136"/>
      <c r="L971" s="136"/>
      <c r="M971" s="136"/>
      <c r="N971" s="136"/>
      <c r="O971" s="142" t="str">
        <f t="shared" si="2"/>
        <v/>
      </c>
      <c r="P971" s="140" t="str">
        <f t="shared" si="3"/>
        <v/>
      </c>
      <c r="Q971" s="139" t="str">
        <f t="shared" si="4"/>
        <v/>
      </c>
      <c r="R971" s="139" t="str">
        <f t="shared" si="5"/>
        <v/>
      </c>
      <c r="S971" s="139" t="str">
        <f t="shared" si="6"/>
        <v/>
      </c>
      <c r="T971" s="140" t="str">
        <f t="shared" si="7"/>
        <v/>
      </c>
      <c r="U971" s="136"/>
      <c r="V971" s="136"/>
      <c r="W971" s="136"/>
      <c r="X971" s="136"/>
      <c r="Y971" s="145"/>
      <c r="Z971" s="145"/>
    </row>
    <row r="972">
      <c r="E972" s="136"/>
      <c r="F972" s="136"/>
      <c r="G972" s="136"/>
      <c r="H972" s="137"/>
      <c r="I972" s="136"/>
      <c r="J972" s="136"/>
      <c r="K972" s="136"/>
      <c r="L972" s="136"/>
      <c r="M972" s="136"/>
      <c r="N972" s="136"/>
      <c r="O972" s="142" t="str">
        <f t="shared" si="2"/>
        <v/>
      </c>
      <c r="P972" s="140" t="str">
        <f t="shared" si="3"/>
        <v/>
      </c>
      <c r="Q972" s="139" t="str">
        <f t="shared" si="4"/>
        <v/>
      </c>
      <c r="R972" s="139" t="str">
        <f t="shared" si="5"/>
        <v/>
      </c>
      <c r="S972" s="139" t="str">
        <f t="shared" si="6"/>
        <v/>
      </c>
      <c r="T972" s="140" t="str">
        <f t="shared" si="7"/>
        <v/>
      </c>
      <c r="U972" s="136"/>
      <c r="V972" s="136"/>
      <c r="W972" s="136"/>
      <c r="X972" s="136"/>
      <c r="Y972" s="145"/>
      <c r="Z972" s="145"/>
    </row>
    <row r="973">
      <c r="E973" s="136"/>
      <c r="F973" s="136"/>
      <c r="G973" s="136"/>
      <c r="H973" s="137"/>
      <c r="I973" s="136"/>
      <c r="J973" s="136"/>
      <c r="K973" s="136"/>
      <c r="L973" s="136"/>
      <c r="M973" s="136"/>
      <c r="N973" s="136"/>
      <c r="O973" s="142" t="str">
        <f t="shared" si="2"/>
        <v/>
      </c>
      <c r="P973" s="140" t="str">
        <f t="shared" si="3"/>
        <v/>
      </c>
      <c r="Q973" s="139" t="str">
        <f t="shared" si="4"/>
        <v/>
      </c>
      <c r="R973" s="139" t="str">
        <f t="shared" si="5"/>
        <v/>
      </c>
      <c r="S973" s="139" t="str">
        <f t="shared" si="6"/>
        <v/>
      </c>
      <c r="T973" s="140" t="str">
        <f t="shared" si="7"/>
        <v/>
      </c>
      <c r="U973" s="136"/>
      <c r="V973" s="136"/>
      <c r="W973" s="136"/>
      <c r="X973" s="136"/>
      <c r="Y973" s="145"/>
      <c r="Z973" s="145"/>
    </row>
    <row r="974">
      <c r="E974" s="136"/>
      <c r="F974" s="136"/>
      <c r="G974" s="136"/>
      <c r="H974" s="137"/>
      <c r="I974" s="136"/>
      <c r="J974" s="136"/>
      <c r="K974" s="136"/>
      <c r="L974" s="136"/>
      <c r="M974" s="136"/>
      <c r="N974" s="136"/>
      <c r="O974" s="142" t="str">
        <f t="shared" si="2"/>
        <v/>
      </c>
      <c r="P974" s="140" t="str">
        <f t="shared" si="3"/>
        <v/>
      </c>
      <c r="Q974" s="139" t="str">
        <f t="shared" si="4"/>
        <v/>
      </c>
      <c r="R974" s="139" t="str">
        <f t="shared" si="5"/>
        <v/>
      </c>
      <c r="S974" s="139" t="str">
        <f t="shared" si="6"/>
        <v/>
      </c>
      <c r="T974" s="140" t="str">
        <f t="shared" si="7"/>
        <v/>
      </c>
      <c r="U974" s="136"/>
      <c r="V974" s="136"/>
      <c r="W974" s="136"/>
      <c r="X974" s="136"/>
      <c r="Y974" s="145"/>
      <c r="Z974" s="145"/>
    </row>
    <row r="975">
      <c r="E975" s="136"/>
      <c r="F975" s="136"/>
      <c r="G975" s="136"/>
      <c r="H975" s="137"/>
      <c r="I975" s="136"/>
      <c r="J975" s="136"/>
      <c r="K975" s="136"/>
      <c r="L975" s="136"/>
      <c r="M975" s="136"/>
      <c r="N975" s="136"/>
      <c r="O975" s="142" t="str">
        <f t="shared" si="2"/>
        <v/>
      </c>
      <c r="P975" s="140" t="str">
        <f t="shared" si="3"/>
        <v/>
      </c>
      <c r="Q975" s="139" t="str">
        <f t="shared" si="4"/>
        <v/>
      </c>
      <c r="R975" s="139" t="str">
        <f t="shared" si="5"/>
        <v/>
      </c>
      <c r="S975" s="139" t="str">
        <f t="shared" si="6"/>
        <v/>
      </c>
      <c r="T975" s="140" t="str">
        <f t="shared" si="7"/>
        <v/>
      </c>
      <c r="U975" s="136"/>
      <c r="V975" s="136"/>
      <c r="W975" s="136"/>
      <c r="X975" s="136"/>
      <c r="Y975" s="145"/>
      <c r="Z975" s="145"/>
    </row>
    <row r="976">
      <c r="E976" s="136"/>
      <c r="F976" s="136"/>
      <c r="G976" s="136"/>
      <c r="H976" s="137"/>
      <c r="I976" s="136"/>
      <c r="J976" s="136"/>
      <c r="K976" s="136"/>
      <c r="L976" s="136"/>
      <c r="M976" s="136"/>
      <c r="N976" s="136"/>
      <c r="O976" s="142" t="str">
        <f t="shared" si="2"/>
        <v/>
      </c>
      <c r="P976" s="140" t="str">
        <f t="shared" si="3"/>
        <v/>
      </c>
      <c r="Q976" s="139" t="str">
        <f t="shared" si="4"/>
        <v/>
      </c>
      <c r="R976" s="139" t="str">
        <f t="shared" si="5"/>
        <v/>
      </c>
      <c r="S976" s="139" t="str">
        <f t="shared" si="6"/>
        <v/>
      </c>
      <c r="T976" s="140" t="str">
        <f t="shared" si="7"/>
        <v/>
      </c>
      <c r="U976" s="136"/>
      <c r="V976" s="136"/>
      <c r="W976" s="136"/>
      <c r="X976" s="136"/>
      <c r="Y976" s="145"/>
      <c r="Z976" s="145"/>
    </row>
    <row r="977">
      <c r="E977" s="136"/>
      <c r="F977" s="136"/>
      <c r="G977" s="136"/>
      <c r="H977" s="137"/>
      <c r="I977" s="136"/>
      <c r="J977" s="136"/>
      <c r="K977" s="136"/>
      <c r="L977" s="136"/>
      <c r="M977" s="136"/>
      <c r="N977" s="136"/>
      <c r="O977" s="142" t="str">
        <f t="shared" si="2"/>
        <v/>
      </c>
      <c r="P977" s="140" t="str">
        <f t="shared" si="3"/>
        <v/>
      </c>
      <c r="Q977" s="139" t="str">
        <f t="shared" si="4"/>
        <v/>
      </c>
      <c r="R977" s="139" t="str">
        <f t="shared" si="5"/>
        <v/>
      </c>
      <c r="S977" s="139" t="str">
        <f t="shared" si="6"/>
        <v/>
      </c>
      <c r="T977" s="140" t="str">
        <f t="shared" si="7"/>
        <v/>
      </c>
      <c r="U977" s="136"/>
      <c r="V977" s="136"/>
      <c r="W977" s="136"/>
      <c r="X977" s="136"/>
      <c r="Y977" s="145"/>
      <c r="Z977" s="145"/>
    </row>
    <row r="978">
      <c r="E978" s="136"/>
      <c r="F978" s="136"/>
      <c r="G978" s="136"/>
      <c r="H978" s="137"/>
      <c r="I978" s="136"/>
      <c r="J978" s="136"/>
      <c r="K978" s="136"/>
      <c r="L978" s="136"/>
      <c r="M978" s="136"/>
      <c r="N978" s="136"/>
      <c r="O978" s="142" t="str">
        <f t="shared" si="2"/>
        <v/>
      </c>
      <c r="P978" s="140" t="str">
        <f t="shared" si="3"/>
        <v/>
      </c>
      <c r="Q978" s="139" t="str">
        <f t="shared" si="4"/>
        <v/>
      </c>
      <c r="R978" s="139" t="str">
        <f t="shared" si="5"/>
        <v/>
      </c>
      <c r="S978" s="139" t="str">
        <f t="shared" si="6"/>
        <v/>
      </c>
      <c r="T978" s="140" t="str">
        <f t="shared" si="7"/>
        <v/>
      </c>
      <c r="U978" s="136"/>
      <c r="V978" s="136"/>
      <c r="W978" s="136"/>
      <c r="X978" s="136"/>
      <c r="Y978" s="145"/>
      <c r="Z978" s="145"/>
    </row>
    <row r="979">
      <c r="E979" s="136"/>
      <c r="F979" s="136"/>
      <c r="G979" s="136"/>
      <c r="H979" s="137"/>
      <c r="I979" s="136"/>
      <c r="J979" s="136"/>
      <c r="K979" s="136"/>
      <c r="L979" s="136"/>
      <c r="M979" s="136"/>
      <c r="N979" s="136"/>
      <c r="O979" s="142" t="str">
        <f t="shared" si="2"/>
        <v/>
      </c>
      <c r="P979" s="140" t="str">
        <f t="shared" si="3"/>
        <v/>
      </c>
      <c r="Q979" s="139" t="str">
        <f t="shared" si="4"/>
        <v/>
      </c>
      <c r="R979" s="139" t="str">
        <f t="shared" si="5"/>
        <v/>
      </c>
      <c r="S979" s="139" t="str">
        <f t="shared" si="6"/>
        <v/>
      </c>
      <c r="T979" s="140" t="str">
        <f t="shared" si="7"/>
        <v/>
      </c>
      <c r="U979" s="136"/>
      <c r="V979" s="136"/>
      <c r="W979" s="136"/>
      <c r="X979" s="136"/>
      <c r="Y979" s="145"/>
      <c r="Z979" s="145"/>
    </row>
    <row r="980">
      <c r="E980" s="136"/>
      <c r="F980" s="136"/>
      <c r="G980" s="136"/>
      <c r="H980" s="137"/>
      <c r="I980" s="136"/>
      <c r="J980" s="136"/>
      <c r="K980" s="136"/>
      <c r="L980" s="136"/>
      <c r="M980" s="136"/>
      <c r="N980" s="136"/>
      <c r="O980" s="142" t="str">
        <f t="shared" si="2"/>
        <v/>
      </c>
      <c r="P980" s="140" t="str">
        <f t="shared" si="3"/>
        <v/>
      </c>
      <c r="Q980" s="139" t="str">
        <f t="shared" si="4"/>
        <v/>
      </c>
      <c r="R980" s="139" t="str">
        <f t="shared" si="5"/>
        <v/>
      </c>
      <c r="S980" s="139" t="str">
        <f t="shared" si="6"/>
        <v/>
      </c>
      <c r="T980" s="140" t="str">
        <f t="shared" si="7"/>
        <v/>
      </c>
      <c r="U980" s="136"/>
      <c r="V980" s="136"/>
      <c r="W980" s="136"/>
      <c r="X980" s="136"/>
      <c r="Y980" s="145"/>
      <c r="Z980" s="145"/>
    </row>
    <row r="981">
      <c r="E981" s="136"/>
      <c r="F981" s="136"/>
      <c r="G981" s="136"/>
      <c r="H981" s="137"/>
      <c r="I981" s="136"/>
      <c r="J981" s="136"/>
      <c r="K981" s="136"/>
      <c r="L981" s="136"/>
      <c r="M981" s="136"/>
      <c r="N981" s="136"/>
      <c r="O981" s="142" t="str">
        <f t="shared" si="2"/>
        <v/>
      </c>
      <c r="P981" s="140" t="str">
        <f t="shared" si="3"/>
        <v/>
      </c>
      <c r="Q981" s="139" t="str">
        <f t="shared" si="4"/>
        <v/>
      </c>
      <c r="R981" s="139" t="str">
        <f t="shared" si="5"/>
        <v/>
      </c>
      <c r="S981" s="139" t="str">
        <f t="shared" si="6"/>
        <v/>
      </c>
      <c r="T981" s="140" t="str">
        <f t="shared" si="7"/>
        <v/>
      </c>
      <c r="U981" s="136"/>
      <c r="V981" s="136"/>
      <c r="W981" s="136"/>
      <c r="X981" s="136"/>
      <c r="Y981" s="145"/>
      <c r="Z981" s="145"/>
    </row>
    <row r="982">
      <c r="E982" s="136"/>
      <c r="F982" s="136"/>
      <c r="G982" s="136"/>
      <c r="H982" s="137"/>
      <c r="I982" s="136"/>
      <c r="J982" s="136"/>
      <c r="K982" s="136"/>
      <c r="L982" s="136"/>
      <c r="M982" s="136"/>
      <c r="N982" s="136"/>
      <c r="O982" s="142" t="str">
        <f t="shared" si="2"/>
        <v/>
      </c>
      <c r="P982" s="140" t="str">
        <f t="shared" si="3"/>
        <v/>
      </c>
      <c r="Q982" s="139" t="str">
        <f t="shared" si="4"/>
        <v/>
      </c>
      <c r="R982" s="139" t="str">
        <f t="shared" si="5"/>
        <v/>
      </c>
      <c r="S982" s="139" t="str">
        <f t="shared" si="6"/>
        <v/>
      </c>
      <c r="T982" s="140" t="str">
        <f t="shared" si="7"/>
        <v/>
      </c>
      <c r="U982" s="136"/>
      <c r="V982" s="136"/>
      <c r="W982" s="136"/>
      <c r="X982" s="136"/>
      <c r="Y982" s="145"/>
      <c r="Z982" s="145"/>
    </row>
    <row r="983">
      <c r="E983" s="136"/>
      <c r="F983" s="136"/>
      <c r="G983" s="136"/>
      <c r="H983" s="137"/>
      <c r="I983" s="136"/>
      <c r="J983" s="136"/>
      <c r="K983" s="136"/>
      <c r="L983" s="136"/>
      <c r="M983" s="136"/>
      <c r="N983" s="136"/>
      <c r="O983" s="142" t="str">
        <f t="shared" si="2"/>
        <v/>
      </c>
      <c r="P983" s="140" t="str">
        <f t="shared" si="3"/>
        <v/>
      </c>
      <c r="Q983" s="139" t="str">
        <f t="shared" si="4"/>
        <v/>
      </c>
      <c r="R983" s="139" t="str">
        <f t="shared" si="5"/>
        <v/>
      </c>
      <c r="S983" s="139" t="str">
        <f t="shared" si="6"/>
        <v/>
      </c>
      <c r="T983" s="140" t="str">
        <f t="shared" si="7"/>
        <v/>
      </c>
      <c r="U983" s="136"/>
      <c r="V983" s="136"/>
      <c r="W983" s="136"/>
      <c r="X983" s="136"/>
      <c r="Y983" s="145"/>
      <c r="Z983" s="145"/>
    </row>
    <row r="984">
      <c r="E984" s="136"/>
      <c r="F984" s="136"/>
      <c r="G984" s="136"/>
      <c r="H984" s="137"/>
      <c r="I984" s="136"/>
      <c r="J984" s="136"/>
      <c r="K984" s="136"/>
      <c r="L984" s="136"/>
      <c r="M984" s="136"/>
      <c r="N984" s="136"/>
      <c r="O984" s="142" t="str">
        <f t="shared" si="2"/>
        <v/>
      </c>
      <c r="P984" s="140" t="str">
        <f t="shared" si="3"/>
        <v/>
      </c>
      <c r="Q984" s="139" t="str">
        <f t="shared" si="4"/>
        <v/>
      </c>
      <c r="R984" s="139" t="str">
        <f t="shared" si="5"/>
        <v/>
      </c>
      <c r="S984" s="139" t="str">
        <f t="shared" si="6"/>
        <v/>
      </c>
      <c r="T984" s="140" t="str">
        <f t="shared" si="7"/>
        <v/>
      </c>
      <c r="U984" s="136"/>
      <c r="V984" s="136"/>
      <c r="W984" s="136"/>
      <c r="X984" s="136"/>
      <c r="Y984" s="145"/>
      <c r="Z984" s="145"/>
    </row>
    <row r="985">
      <c r="E985" s="136"/>
      <c r="F985" s="136"/>
      <c r="G985" s="136"/>
      <c r="H985" s="137"/>
      <c r="I985" s="136"/>
      <c r="J985" s="136"/>
      <c r="K985" s="136"/>
      <c r="L985" s="136"/>
      <c r="M985" s="136"/>
      <c r="N985" s="136"/>
      <c r="O985" s="142" t="str">
        <f t="shared" si="2"/>
        <v/>
      </c>
      <c r="P985" s="140" t="str">
        <f t="shared" si="3"/>
        <v/>
      </c>
      <c r="Q985" s="139" t="str">
        <f t="shared" si="4"/>
        <v/>
      </c>
      <c r="R985" s="139" t="str">
        <f t="shared" si="5"/>
        <v/>
      </c>
      <c r="S985" s="139" t="str">
        <f t="shared" si="6"/>
        <v/>
      </c>
      <c r="T985" s="140" t="str">
        <f t="shared" si="7"/>
        <v/>
      </c>
      <c r="U985" s="136"/>
      <c r="V985" s="136"/>
      <c r="W985" s="136"/>
      <c r="X985" s="136"/>
      <c r="Y985" s="145"/>
      <c r="Z985" s="145"/>
    </row>
    <row r="986">
      <c r="E986" s="136"/>
      <c r="F986" s="136"/>
      <c r="G986" s="136"/>
      <c r="H986" s="137"/>
      <c r="I986" s="136"/>
      <c r="J986" s="136"/>
      <c r="K986" s="136"/>
      <c r="L986" s="136"/>
      <c r="M986" s="136"/>
      <c r="N986" s="136"/>
      <c r="O986" s="142" t="str">
        <f t="shared" si="2"/>
        <v/>
      </c>
      <c r="P986" s="140" t="str">
        <f t="shared" si="3"/>
        <v/>
      </c>
      <c r="Q986" s="139" t="str">
        <f t="shared" si="4"/>
        <v/>
      </c>
      <c r="R986" s="139" t="str">
        <f t="shared" si="5"/>
        <v/>
      </c>
      <c r="S986" s="139" t="str">
        <f t="shared" si="6"/>
        <v/>
      </c>
      <c r="T986" s="140" t="str">
        <f t="shared" si="7"/>
        <v/>
      </c>
      <c r="U986" s="136"/>
      <c r="V986" s="136"/>
      <c r="W986" s="136"/>
      <c r="X986" s="136"/>
      <c r="Y986" s="145"/>
      <c r="Z986" s="145"/>
    </row>
    <row r="987">
      <c r="E987" s="136"/>
      <c r="F987" s="136"/>
      <c r="G987" s="136"/>
      <c r="H987" s="137"/>
      <c r="I987" s="136"/>
      <c r="J987" s="136"/>
      <c r="K987" s="136"/>
      <c r="L987" s="136"/>
      <c r="M987" s="136"/>
      <c r="N987" s="136"/>
      <c r="O987" s="142" t="str">
        <f t="shared" si="2"/>
        <v/>
      </c>
      <c r="P987" s="140" t="str">
        <f t="shared" si="3"/>
        <v/>
      </c>
      <c r="Q987" s="139" t="str">
        <f t="shared" si="4"/>
        <v/>
      </c>
      <c r="R987" s="139" t="str">
        <f t="shared" si="5"/>
        <v/>
      </c>
      <c r="S987" s="139" t="str">
        <f t="shared" si="6"/>
        <v/>
      </c>
      <c r="T987" s="140" t="str">
        <f t="shared" si="7"/>
        <v/>
      </c>
      <c r="U987" s="136"/>
      <c r="V987" s="136"/>
      <c r="W987" s="136"/>
      <c r="X987" s="136"/>
      <c r="Y987" s="145"/>
      <c r="Z987" s="145"/>
    </row>
    <row r="988">
      <c r="E988" s="136"/>
      <c r="F988" s="136"/>
      <c r="G988" s="136"/>
      <c r="H988" s="137"/>
      <c r="I988" s="136"/>
      <c r="J988" s="136"/>
      <c r="K988" s="136"/>
      <c r="L988" s="136"/>
      <c r="M988" s="136"/>
      <c r="N988" s="136"/>
      <c r="O988" s="142" t="str">
        <f t="shared" si="2"/>
        <v/>
      </c>
      <c r="P988" s="140" t="str">
        <f t="shared" si="3"/>
        <v/>
      </c>
      <c r="Q988" s="139" t="str">
        <f t="shared" si="4"/>
        <v/>
      </c>
      <c r="R988" s="139" t="str">
        <f t="shared" si="5"/>
        <v/>
      </c>
      <c r="S988" s="139" t="str">
        <f t="shared" si="6"/>
        <v/>
      </c>
      <c r="T988" s="140" t="str">
        <f t="shared" si="7"/>
        <v/>
      </c>
      <c r="U988" s="136"/>
      <c r="V988" s="136"/>
      <c r="W988" s="136"/>
      <c r="X988" s="136"/>
      <c r="Y988" s="145"/>
      <c r="Z988" s="145"/>
    </row>
    <row r="989">
      <c r="E989" s="136"/>
      <c r="F989" s="136"/>
      <c r="G989" s="136"/>
      <c r="H989" s="137"/>
      <c r="I989" s="136"/>
      <c r="J989" s="136"/>
      <c r="K989" s="136"/>
      <c r="L989" s="136"/>
      <c r="M989" s="136"/>
      <c r="N989" s="136"/>
      <c r="O989" s="142" t="str">
        <f t="shared" si="2"/>
        <v/>
      </c>
      <c r="P989" s="140" t="str">
        <f t="shared" si="3"/>
        <v/>
      </c>
      <c r="Q989" s="139" t="str">
        <f t="shared" si="4"/>
        <v/>
      </c>
      <c r="R989" s="139" t="str">
        <f t="shared" si="5"/>
        <v/>
      </c>
      <c r="S989" s="139" t="str">
        <f t="shared" si="6"/>
        <v/>
      </c>
      <c r="T989" s="140" t="str">
        <f t="shared" si="7"/>
        <v/>
      </c>
      <c r="U989" s="136"/>
      <c r="V989" s="136"/>
      <c r="W989" s="136"/>
      <c r="X989" s="136"/>
      <c r="Y989" s="145"/>
      <c r="Z989" s="145"/>
    </row>
    <row r="990">
      <c r="E990" s="136"/>
      <c r="F990" s="136"/>
      <c r="G990" s="136"/>
      <c r="H990" s="137"/>
      <c r="I990" s="136"/>
      <c r="J990" s="136"/>
      <c r="K990" s="136"/>
      <c r="L990" s="136"/>
      <c r="M990" s="136"/>
      <c r="N990" s="136"/>
      <c r="O990" s="142" t="str">
        <f t="shared" si="2"/>
        <v/>
      </c>
      <c r="P990" s="140" t="str">
        <f t="shared" si="3"/>
        <v/>
      </c>
      <c r="Q990" s="139" t="str">
        <f t="shared" si="4"/>
        <v/>
      </c>
      <c r="R990" s="139" t="str">
        <f t="shared" si="5"/>
        <v/>
      </c>
      <c r="S990" s="139" t="str">
        <f t="shared" si="6"/>
        <v/>
      </c>
      <c r="T990" s="140" t="str">
        <f t="shared" si="7"/>
        <v/>
      </c>
      <c r="U990" s="136"/>
      <c r="V990" s="136"/>
      <c r="W990" s="136"/>
      <c r="X990" s="136"/>
      <c r="Y990" s="145"/>
      <c r="Z990" s="145"/>
    </row>
    <row r="991">
      <c r="E991" s="136"/>
      <c r="F991" s="136"/>
      <c r="G991" s="136"/>
      <c r="H991" s="137"/>
      <c r="I991" s="136"/>
      <c r="J991" s="136"/>
      <c r="K991" s="136"/>
      <c r="L991" s="136"/>
      <c r="M991" s="136"/>
      <c r="N991" s="136"/>
      <c r="O991" s="142" t="str">
        <f t="shared" si="2"/>
        <v/>
      </c>
      <c r="P991" s="140" t="str">
        <f t="shared" si="3"/>
        <v/>
      </c>
      <c r="Q991" s="139" t="str">
        <f t="shared" si="4"/>
        <v/>
      </c>
      <c r="R991" s="139" t="str">
        <f t="shared" si="5"/>
        <v/>
      </c>
      <c r="S991" s="139" t="str">
        <f t="shared" si="6"/>
        <v/>
      </c>
      <c r="T991" s="140" t="str">
        <f t="shared" si="7"/>
        <v/>
      </c>
      <c r="U991" s="136"/>
      <c r="V991" s="136"/>
      <c r="W991" s="136"/>
      <c r="X991" s="136"/>
      <c r="Y991" s="145"/>
      <c r="Z991" s="145"/>
    </row>
    <row r="992">
      <c r="E992" s="136"/>
      <c r="F992" s="136"/>
      <c r="G992" s="136"/>
      <c r="H992" s="137"/>
      <c r="I992" s="136"/>
      <c r="J992" s="136"/>
      <c r="K992" s="136"/>
      <c r="L992" s="136"/>
      <c r="M992" s="136"/>
      <c r="N992" s="136"/>
      <c r="O992" s="142" t="str">
        <f t="shared" si="2"/>
        <v/>
      </c>
      <c r="P992" s="140" t="str">
        <f t="shared" si="3"/>
        <v/>
      </c>
      <c r="Q992" s="139" t="str">
        <f t="shared" si="4"/>
        <v/>
      </c>
      <c r="R992" s="139" t="str">
        <f t="shared" si="5"/>
        <v/>
      </c>
      <c r="S992" s="139" t="str">
        <f t="shared" si="6"/>
        <v/>
      </c>
      <c r="T992" s="140" t="str">
        <f t="shared" si="7"/>
        <v/>
      </c>
      <c r="U992" s="136"/>
      <c r="V992" s="136"/>
      <c r="W992" s="136"/>
      <c r="X992" s="136"/>
      <c r="Y992" s="145"/>
      <c r="Z992" s="145"/>
    </row>
    <row r="993">
      <c r="E993" s="136"/>
      <c r="F993" s="136"/>
      <c r="G993" s="136"/>
      <c r="H993" s="137"/>
      <c r="I993" s="136"/>
      <c r="J993" s="136"/>
      <c r="K993" s="136"/>
      <c r="L993" s="136"/>
      <c r="M993" s="136"/>
      <c r="N993" s="136"/>
      <c r="O993" s="142" t="str">
        <f t="shared" si="2"/>
        <v/>
      </c>
      <c r="P993" s="140" t="str">
        <f t="shared" si="3"/>
        <v/>
      </c>
      <c r="Q993" s="139" t="str">
        <f t="shared" si="4"/>
        <v/>
      </c>
      <c r="R993" s="139" t="str">
        <f t="shared" si="5"/>
        <v/>
      </c>
      <c r="S993" s="139" t="str">
        <f t="shared" si="6"/>
        <v/>
      </c>
      <c r="T993" s="140" t="str">
        <f t="shared" si="7"/>
        <v/>
      </c>
      <c r="U993" s="136"/>
      <c r="V993" s="136"/>
      <c r="W993" s="136"/>
      <c r="X993" s="136"/>
      <c r="Y993" s="145"/>
      <c r="Z993" s="145"/>
    </row>
    <row r="994">
      <c r="E994" s="136"/>
      <c r="F994" s="136"/>
      <c r="G994" s="136"/>
      <c r="H994" s="137"/>
      <c r="I994" s="136"/>
      <c r="J994" s="136"/>
      <c r="K994" s="136"/>
      <c r="L994" s="136"/>
      <c r="M994" s="136"/>
      <c r="N994" s="136"/>
      <c r="O994" s="142" t="str">
        <f t="shared" si="2"/>
        <v/>
      </c>
      <c r="P994" s="140" t="str">
        <f t="shared" si="3"/>
        <v/>
      </c>
      <c r="Q994" s="139" t="str">
        <f t="shared" si="4"/>
        <v/>
      </c>
      <c r="R994" s="139" t="str">
        <f t="shared" si="5"/>
        <v/>
      </c>
      <c r="S994" s="139" t="str">
        <f t="shared" si="6"/>
        <v/>
      </c>
      <c r="T994" s="140" t="str">
        <f t="shared" si="7"/>
        <v/>
      </c>
      <c r="U994" s="136"/>
      <c r="V994" s="136"/>
      <c r="W994" s="136"/>
      <c r="X994" s="136"/>
      <c r="Y994" s="145"/>
      <c r="Z994" s="145"/>
    </row>
    <row r="995">
      <c r="E995" s="136"/>
      <c r="F995" s="136"/>
      <c r="G995" s="136"/>
      <c r="H995" s="137"/>
      <c r="I995" s="136"/>
      <c r="J995" s="136"/>
      <c r="K995" s="136"/>
      <c r="L995" s="136"/>
      <c r="M995" s="136"/>
      <c r="N995" s="136"/>
      <c r="O995" s="142" t="str">
        <f t="shared" si="2"/>
        <v/>
      </c>
      <c r="P995" s="140" t="str">
        <f t="shared" si="3"/>
        <v/>
      </c>
      <c r="Q995" s="139" t="str">
        <f t="shared" si="4"/>
        <v/>
      </c>
      <c r="R995" s="139" t="str">
        <f t="shared" si="5"/>
        <v/>
      </c>
      <c r="S995" s="139" t="str">
        <f t="shared" si="6"/>
        <v/>
      </c>
      <c r="T995" s="140" t="str">
        <f t="shared" si="7"/>
        <v/>
      </c>
      <c r="U995" s="136"/>
      <c r="V995" s="136"/>
      <c r="W995" s="136"/>
      <c r="X995" s="136"/>
      <c r="Y995" s="145"/>
      <c r="Z995" s="145"/>
    </row>
    <row r="996">
      <c r="E996" s="136"/>
      <c r="F996" s="136"/>
      <c r="G996" s="136"/>
      <c r="H996" s="137"/>
      <c r="I996" s="136"/>
      <c r="J996" s="136"/>
      <c r="K996" s="136"/>
      <c r="L996" s="136"/>
      <c r="M996" s="136"/>
      <c r="N996" s="136"/>
      <c r="O996" s="142" t="str">
        <f t="shared" si="2"/>
        <v/>
      </c>
      <c r="P996" s="140" t="str">
        <f t="shared" si="3"/>
        <v/>
      </c>
      <c r="Q996" s="139" t="str">
        <f t="shared" si="4"/>
        <v/>
      </c>
      <c r="R996" s="139" t="str">
        <f t="shared" si="5"/>
        <v/>
      </c>
      <c r="S996" s="139" t="str">
        <f t="shared" si="6"/>
        <v/>
      </c>
      <c r="T996" s="140" t="str">
        <f t="shared" si="7"/>
        <v/>
      </c>
      <c r="U996" s="136"/>
      <c r="V996" s="136"/>
      <c r="W996" s="136"/>
      <c r="X996" s="136"/>
      <c r="Y996" s="145"/>
      <c r="Z996" s="145"/>
    </row>
    <row r="997">
      <c r="E997" s="136"/>
      <c r="F997" s="136"/>
      <c r="G997" s="136"/>
      <c r="H997" s="137"/>
      <c r="I997" s="136"/>
      <c r="J997" s="136"/>
      <c r="K997" s="136"/>
      <c r="L997" s="136"/>
      <c r="M997" s="136"/>
      <c r="N997" s="136"/>
      <c r="O997" s="142" t="str">
        <f t="shared" si="2"/>
        <v/>
      </c>
      <c r="P997" s="140" t="str">
        <f t="shared" si="3"/>
        <v/>
      </c>
      <c r="Q997" s="139" t="str">
        <f t="shared" si="4"/>
        <v/>
      </c>
      <c r="R997" s="139" t="str">
        <f t="shared" si="5"/>
        <v/>
      </c>
      <c r="S997" s="139" t="str">
        <f t="shared" si="6"/>
        <v/>
      </c>
      <c r="T997" s="140" t="str">
        <f t="shared" si="7"/>
        <v/>
      </c>
      <c r="U997" s="136"/>
      <c r="V997" s="136"/>
      <c r="W997" s="136"/>
      <c r="X997" s="136"/>
      <c r="Y997" s="145"/>
      <c r="Z997" s="145"/>
    </row>
    <row r="998">
      <c r="E998" s="136"/>
      <c r="F998" s="136"/>
      <c r="G998" s="136"/>
      <c r="H998" s="137"/>
      <c r="I998" s="136"/>
      <c r="J998" s="136"/>
      <c r="K998" s="136"/>
      <c r="L998" s="136"/>
      <c r="M998" s="136"/>
      <c r="N998" s="136"/>
      <c r="O998" s="142" t="str">
        <f t="shared" si="2"/>
        <v/>
      </c>
      <c r="P998" s="140" t="str">
        <f t="shared" si="3"/>
        <v/>
      </c>
      <c r="Q998" s="139" t="str">
        <f t="shared" si="4"/>
        <v/>
      </c>
      <c r="R998" s="139" t="str">
        <f t="shared" si="5"/>
        <v/>
      </c>
      <c r="S998" s="139" t="str">
        <f t="shared" si="6"/>
        <v/>
      </c>
      <c r="T998" s="140" t="str">
        <f t="shared" si="7"/>
        <v/>
      </c>
      <c r="U998" s="136"/>
      <c r="V998" s="136"/>
      <c r="W998" s="136"/>
      <c r="X998" s="136"/>
      <c r="Y998" s="145"/>
      <c r="Z998" s="145"/>
    </row>
    <row r="999">
      <c r="E999" s="136"/>
      <c r="F999" s="136"/>
      <c r="G999" s="136"/>
      <c r="H999" s="137"/>
      <c r="I999" s="136"/>
      <c r="J999" s="136"/>
      <c r="K999" s="136"/>
      <c r="L999" s="136"/>
      <c r="M999" s="136"/>
      <c r="N999" s="136"/>
      <c r="O999" s="142" t="str">
        <f t="shared" si="2"/>
        <v/>
      </c>
      <c r="P999" s="140" t="str">
        <f t="shared" si="3"/>
        <v/>
      </c>
      <c r="Q999" s="139" t="str">
        <f t="shared" si="4"/>
        <v/>
      </c>
      <c r="R999" s="139" t="str">
        <f t="shared" si="5"/>
        <v/>
      </c>
      <c r="S999" s="139" t="str">
        <f t="shared" si="6"/>
        <v/>
      </c>
      <c r="T999" s="140" t="str">
        <f t="shared" si="7"/>
        <v/>
      </c>
      <c r="U999" s="136"/>
      <c r="V999" s="136"/>
      <c r="W999" s="136"/>
      <c r="X999" s="136"/>
      <c r="Y999" s="145"/>
      <c r="Z999" s="145"/>
    </row>
    <row r="1000">
      <c r="E1000" s="136"/>
      <c r="F1000" s="136"/>
      <c r="G1000" s="136"/>
      <c r="H1000" s="137"/>
      <c r="I1000" s="136"/>
      <c r="J1000" s="136"/>
      <c r="K1000" s="136"/>
      <c r="L1000" s="136"/>
      <c r="M1000" s="136"/>
      <c r="N1000" s="136"/>
      <c r="O1000" s="142" t="str">
        <f t="shared" si="2"/>
        <v/>
      </c>
      <c r="P1000" s="140" t="str">
        <f t="shared" si="3"/>
        <v/>
      </c>
      <c r="Q1000" s="139" t="str">
        <f t="shared" si="4"/>
        <v/>
      </c>
      <c r="R1000" s="139" t="str">
        <f t="shared" si="5"/>
        <v/>
      </c>
      <c r="S1000" s="139" t="str">
        <f t="shared" si="6"/>
        <v/>
      </c>
      <c r="T1000" s="140" t="str">
        <f t="shared" si="7"/>
        <v/>
      </c>
      <c r="U1000" s="136"/>
      <c r="V1000" s="136"/>
      <c r="W1000" s="136"/>
      <c r="X1000" s="136"/>
      <c r="Y1000" s="145"/>
      <c r="Z1000" s="145"/>
    </row>
    <row r="1001">
      <c r="E1001" s="136"/>
      <c r="F1001" s="136"/>
      <c r="G1001" s="136"/>
      <c r="H1001" s="137"/>
      <c r="I1001" s="136"/>
      <c r="J1001" s="136"/>
      <c r="K1001" s="136"/>
      <c r="L1001" s="136"/>
      <c r="M1001" s="136"/>
      <c r="N1001" s="136"/>
      <c r="O1001" s="142" t="str">
        <f t="shared" si="2"/>
        <v/>
      </c>
      <c r="P1001" s="140" t="str">
        <f t="shared" si="3"/>
        <v/>
      </c>
      <c r="Q1001" s="139" t="str">
        <f t="shared" si="4"/>
        <v/>
      </c>
      <c r="R1001" s="139" t="str">
        <f t="shared" si="5"/>
        <v/>
      </c>
      <c r="S1001" s="139" t="str">
        <f t="shared" si="6"/>
        <v/>
      </c>
      <c r="T1001" s="140" t="str">
        <f t="shared" si="7"/>
        <v/>
      </c>
      <c r="U1001" s="136"/>
      <c r="V1001" s="136"/>
      <c r="W1001" s="136"/>
      <c r="X1001" s="136"/>
      <c r="Y1001" s="145"/>
      <c r="Z1001" s="145"/>
    </row>
    <row r="1002">
      <c r="E1002" s="136"/>
      <c r="F1002" s="136"/>
      <c r="G1002" s="136"/>
      <c r="H1002" s="137"/>
      <c r="I1002" s="136"/>
      <c r="J1002" s="136"/>
      <c r="K1002" s="136"/>
      <c r="L1002" s="136"/>
      <c r="M1002" s="136"/>
      <c r="N1002" s="136"/>
      <c r="O1002" s="142"/>
      <c r="P1002" s="140"/>
      <c r="Q1002" s="139"/>
      <c r="R1002" s="139"/>
      <c r="S1002" s="139"/>
      <c r="T1002" s="140" t="str">
        <f t="shared" si="7"/>
        <v/>
      </c>
      <c r="U1002" s="136"/>
      <c r="V1002" s="136"/>
      <c r="W1002" s="136"/>
      <c r="X1002" s="136"/>
      <c r="Y1002" s="145"/>
      <c r="Z1002" s="145"/>
    </row>
    <row r="1003">
      <c r="E1003" s="136"/>
      <c r="F1003" s="136"/>
      <c r="G1003" s="136"/>
      <c r="H1003" s="137"/>
      <c r="I1003" s="136"/>
      <c r="J1003" s="136"/>
      <c r="K1003" s="136"/>
      <c r="L1003" s="136"/>
      <c r="M1003" s="136"/>
      <c r="N1003" s="136"/>
      <c r="O1003" s="142"/>
      <c r="P1003" s="140"/>
      <c r="Q1003" s="139"/>
      <c r="R1003" s="139"/>
      <c r="S1003" s="139"/>
      <c r="T1003" s="140" t="str">
        <f t="shared" si="7"/>
        <v/>
      </c>
      <c r="U1003" s="136"/>
      <c r="V1003" s="136"/>
      <c r="W1003" s="136"/>
      <c r="X1003" s="136"/>
      <c r="Y1003" s="145"/>
      <c r="Z1003" s="145"/>
    </row>
    <row r="1004">
      <c r="E1004" s="136"/>
      <c r="F1004" s="136"/>
      <c r="G1004" s="136"/>
      <c r="H1004" s="137"/>
      <c r="I1004" s="136"/>
      <c r="J1004" s="136"/>
      <c r="K1004" s="136"/>
      <c r="L1004" s="136"/>
      <c r="M1004" s="136"/>
      <c r="N1004" s="136"/>
      <c r="O1004" s="142"/>
      <c r="P1004" s="140"/>
      <c r="Q1004" s="139"/>
      <c r="R1004" s="139"/>
      <c r="S1004" s="139"/>
      <c r="T1004" s="140" t="str">
        <f t="shared" si="7"/>
        <v/>
      </c>
      <c r="U1004" s="136"/>
      <c r="V1004" s="136"/>
      <c r="W1004" s="136"/>
      <c r="X1004" s="136"/>
      <c r="Y1004" s="145"/>
      <c r="Z1004" s="145"/>
    </row>
    <row r="1005">
      <c r="E1005" s="136"/>
      <c r="F1005" s="136"/>
      <c r="G1005" s="136"/>
      <c r="H1005" s="137"/>
      <c r="I1005" s="136"/>
      <c r="J1005" s="136"/>
      <c r="K1005" s="136"/>
      <c r="L1005" s="136"/>
      <c r="M1005" s="136"/>
      <c r="N1005" s="136"/>
      <c r="O1005" s="142"/>
      <c r="P1005" s="140"/>
      <c r="Q1005" s="139"/>
      <c r="R1005" s="139"/>
      <c r="S1005" s="139"/>
      <c r="T1005" s="140" t="str">
        <f t="shared" si="7"/>
        <v/>
      </c>
      <c r="U1005" s="136"/>
      <c r="V1005" s="136"/>
      <c r="W1005" s="136"/>
      <c r="X1005" s="136"/>
      <c r="Y1005" s="145"/>
      <c r="Z1005" s="145"/>
    </row>
    <row r="1006">
      <c r="E1006" s="136"/>
      <c r="F1006" s="136"/>
      <c r="G1006" s="136"/>
      <c r="H1006" s="137"/>
      <c r="I1006" s="136"/>
      <c r="J1006" s="136"/>
      <c r="K1006" s="136"/>
      <c r="L1006" s="136"/>
      <c r="M1006" s="136"/>
      <c r="N1006" s="136"/>
      <c r="O1006" s="142"/>
      <c r="P1006" s="140"/>
      <c r="Q1006" s="139"/>
      <c r="R1006" s="139"/>
      <c r="S1006" s="139"/>
      <c r="T1006" s="140" t="str">
        <f t="shared" si="7"/>
        <v/>
      </c>
      <c r="U1006" s="136"/>
      <c r="V1006" s="136"/>
      <c r="W1006" s="136"/>
      <c r="X1006" s="136"/>
      <c r="Y1006" s="145"/>
      <c r="Z1006" s="145"/>
    </row>
    <row r="1007">
      <c r="E1007" s="136"/>
      <c r="F1007" s="136"/>
      <c r="G1007" s="136"/>
      <c r="H1007" s="137"/>
      <c r="I1007" s="136"/>
      <c r="J1007" s="136"/>
      <c r="K1007" s="136"/>
      <c r="L1007" s="136"/>
      <c r="M1007" s="136"/>
      <c r="N1007" s="136"/>
      <c r="O1007" s="142"/>
      <c r="P1007" s="140"/>
      <c r="Q1007" s="139"/>
      <c r="R1007" s="139"/>
      <c r="S1007" s="139"/>
      <c r="T1007" s="140" t="str">
        <f t="shared" si="7"/>
        <v/>
      </c>
      <c r="U1007" s="136"/>
      <c r="V1007" s="136"/>
      <c r="W1007" s="136"/>
      <c r="X1007" s="136"/>
      <c r="Y1007" s="145"/>
      <c r="Z1007" s="145"/>
    </row>
    <row r="1008">
      <c r="E1008" s="136"/>
      <c r="F1008" s="136"/>
      <c r="G1008" s="136"/>
      <c r="H1008" s="137"/>
      <c r="I1008" s="136"/>
      <c r="J1008" s="136"/>
      <c r="K1008" s="136"/>
      <c r="L1008" s="136"/>
      <c r="M1008" s="136"/>
      <c r="N1008" s="136"/>
      <c r="O1008" s="142"/>
      <c r="P1008" s="140"/>
      <c r="Q1008" s="139"/>
      <c r="R1008" s="139"/>
      <c r="S1008" s="139"/>
      <c r="T1008" s="140" t="str">
        <f t="shared" si="7"/>
        <v/>
      </c>
      <c r="U1008" s="136"/>
      <c r="V1008" s="136"/>
      <c r="W1008" s="136"/>
      <c r="X1008" s="136"/>
      <c r="Y1008" s="145"/>
      <c r="Z1008" s="145"/>
    </row>
    <row r="1009">
      <c r="E1009" s="136"/>
      <c r="F1009" s="136"/>
      <c r="G1009" s="136"/>
      <c r="H1009" s="137"/>
      <c r="I1009" s="136"/>
      <c r="J1009" s="136"/>
      <c r="K1009" s="136"/>
      <c r="L1009" s="136"/>
      <c r="M1009" s="136"/>
      <c r="N1009" s="136"/>
      <c r="O1009" s="142"/>
      <c r="P1009" s="140"/>
      <c r="Q1009" s="139"/>
      <c r="R1009" s="139"/>
      <c r="S1009" s="139"/>
      <c r="T1009" s="140" t="str">
        <f t="shared" si="7"/>
        <v/>
      </c>
      <c r="U1009" s="136"/>
      <c r="V1009" s="136"/>
      <c r="W1009" s="136"/>
      <c r="X1009" s="136"/>
      <c r="Y1009" s="145"/>
      <c r="Z1009" s="145"/>
    </row>
    <row r="1010">
      <c r="E1010" s="136"/>
      <c r="F1010" s="136"/>
      <c r="G1010" s="136"/>
      <c r="H1010" s="137"/>
      <c r="I1010" s="136"/>
      <c r="J1010" s="136"/>
      <c r="K1010" s="136"/>
      <c r="L1010" s="136"/>
      <c r="M1010" s="136"/>
      <c r="N1010" s="136"/>
      <c r="O1010" s="142"/>
      <c r="P1010" s="140"/>
      <c r="Q1010" s="139"/>
      <c r="R1010" s="139"/>
      <c r="S1010" s="139"/>
      <c r="T1010" s="140" t="str">
        <f t="shared" si="7"/>
        <v/>
      </c>
      <c r="U1010" s="136"/>
      <c r="V1010" s="136"/>
      <c r="W1010" s="136"/>
      <c r="X1010" s="136"/>
      <c r="Y1010" s="145"/>
      <c r="Z1010" s="145"/>
    </row>
    <row r="1011">
      <c r="E1011" s="136"/>
      <c r="F1011" s="136"/>
      <c r="G1011" s="136"/>
      <c r="H1011" s="137"/>
      <c r="I1011" s="136"/>
      <c r="J1011" s="136"/>
      <c r="K1011" s="136"/>
      <c r="L1011" s="136"/>
      <c r="M1011" s="136"/>
      <c r="N1011" s="136"/>
      <c r="O1011" s="142"/>
      <c r="P1011" s="140"/>
      <c r="Q1011" s="139"/>
      <c r="R1011" s="139"/>
      <c r="S1011" s="139"/>
      <c r="T1011" s="140" t="str">
        <f t="shared" si="7"/>
        <v/>
      </c>
      <c r="U1011" s="136"/>
      <c r="V1011" s="136"/>
      <c r="W1011" s="136"/>
      <c r="X1011" s="136"/>
      <c r="Y1011" s="145"/>
      <c r="Z1011" s="145"/>
    </row>
    <row r="1012">
      <c r="E1012" s="136"/>
      <c r="F1012" s="136"/>
      <c r="G1012" s="136"/>
      <c r="H1012" s="137"/>
      <c r="I1012" s="136"/>
      <c r="J1012" s="136"/>
      <c r="K1012" s="136"/>
      <c r="L1012" s="136"/>
      <c r="M1012" s="136"/>
      <c r="N1012" s="136"/>
      <c r="O1012" s="142"/>
      <c r="P1012" s="140"/>
      <c r="Q1012" s="139"/>
      <c r="R1012" s="139"/>
      <c r="S1012" s="139"/>
      <c r="T1012" s="140" t="str">
        <f t="shared" si="7"/>
        <v/>
      </c>
      <c r="U1012" s="136"/>
      <c r="V1012" s="136"/>
      <c r="W1012" s="136"/>
      <c r="X1012" s="136"/>
      <c r="Y1012" s="145"/>
      <c r="Z1012" s="145"/>
    </row>
    <row r="1013">
      <c r="E1013" s="136"/>
      <c r="F1013" s="136"/>
      <c r="G1013" s="136"/>
      <c r="H1013" s="137"/>
      <c r="I1013" s="136"/>
      <c r="J1013" s="136"/>
      <c r="K1013" s="136"/>
      <c r="L1013" s="136"/>
      <c r="M1013" s="136"/>
      <c r="N1013" s="136"/>
      <c r="O1013" s="142"/>
      <c r="P1013" s="140"/>
      <c r="Q1013" s="139"/>
      <c r="R1013" s="139"/>
      <c r="S1013" s="139"/>
      <c r="T1013" s="140" t="str">
        <f t="shared" si="7"/>
        <v/>
      </c>
      <c r="U1013" s="136"/>
      <c r="V1013" s="136"/>
      <c r="W1013" s="136"/>
      <c r="X1013" s="136"/>
      <c r="Y1013" s="145"/>
      <c r="Z1013" s="145"/>
    </row>
    <row r="1014">
      <c r="E1014" s="136"/>
      <c r="F1014" s="136"/>
      <c r="G1014" s="136"/>
      <c r="H1014" s="137"/>
      <c r="I1014" s="136"/>
      <c r="J1014" s="136"/>
      <c r="K1014" s="136"/>
      <c r="L1014" s="136"/>
      <c r="M1014" s="136"/>
      <c r="N1014" s="136"/>
      <c r="O1014" s="142"/>
      <c r="P1014" s="140"/>
      <c r="Q1014" s="139"/>
      <c r="R1014" s="139"/>
      <c r="S1014" s="139"/>
      <c r="T1014" s="140" t="str">
        <f t="shared" si="7"/>
        <v/>
      </c>
      <c r="U1014" s="136"/>
      <c r="V1014" s="136"/>
      <c r="W1014" s="136"/>
      <c r="X1014" s="136"/>
      <c r="Y1014" s="145"/>
      <c r="Z1014" s="145"/>
    </row>
    <row r="1015">
      <c r="E1015" s="136"/>
      <c r="F1015" s="136"/>
      <c r="G1015" s="136"/>
      <c r="H1015" s="137"/>
      <c r="I1015" s="136"/>
      <c r="J1015" s="136"/>
      <c r="K1015" s="136"/>
      <c r="L1015" s="136"/>
      <c r="M1015" s="136"/>
      <c r="N1015" s="136"/>
      <c r="O1015" s="142"/>
      <c r="P1015" s="140"/>
      <c r="Q1015" s="139"/>
      <c r="R1015" s="139"/>
      <c r="S1015" s="139"/>
      <c r="T1015" s="140" t="str">
        <f t="shared" si="7"/>
        <v/>
      </c>
      <c r="U1015" s="136"/>
      <c r="V1015" s="136"/>
      <c r="W1015" s="136"/>
      <c r="X1015" s="136"/>
      <c r="Y1015" s="145"/>
      <c r="Z1015" s="145"/>
    </row>
    <row r="1016">
      <c r="E1016" s="136"/>
      <c r="F1016" s="136"/>
      <c r="G1016" s="136"/>
      <c r="H1016" s="137"/>
      <c r="I1016" s="136"/>
      <c r="J1016" s="136"/>
      <c r="K1016" s="136"/>
      <c r="L1016" s="136"/>
      <c r="M1016" s="136"/>
      <c r="N1016" s="136"/>
      <c r="O1016" s="142"/>
      <c r="P1016" s="140"/>
      <c r="Q1016" s="139"/>
      <c r="R1016" s="139"/>
      <c r="S1016" s="139"/>
      <c r="T1016" s="140" t="str">
        <f t="shared" si="7"/>
        <v/>
      </c>
      <c r="U1016" s="136"/>
      <c r="V1016" s="136"/>
      <c r="W1016" s="136"/>
      <c r="X1016" s="136"/>
      <c r="Y1016" s="145"/>
      <c r="Z1016" s="145"/>
    </row>
    <row r="1017">
      <c r="E1017" s="136"/>
      <c r="F1017" s="136"/>
      <c r="G1017" s="136"/>
      <c r="H1017" s="137"/>
      <c r="I1017" s="136"/>
      <c r="J1017" s="136"/>
      <c r="K1017" s="136"/>
      <c r="L1017" s="136"/>
      <c r="M1017" s="136"/>
      <c r="N1017" s="136"/>
      <c r="O1017" s="142"/>
      <c r="P1017" s="140"/>
      <c r="Q1017" s="139"/>
      <c r="R1017" s="139"/>
      <c r="S1017" s="139"/>
      <c r="T1017" s="140" t="str">
        <f t="shared" si="7"/>
        <v/>
      </c>
      <c r="U1017" s="136"/>
      <c r="V1017" s="136"/>
      <c r="W1017" s="136"/>
      <c r="X1017" s="136"/>
      <c r="Y1017" s="145"/>
      <c r="Z1017" s="145"/>
    </row>
    <row r="1018">
      <c r="E1018" s="136"/>
      <c r="F1018" s="136"/>
      <c r="G1018" s="136"/>
      <c r="H1018" s="137"/>
      <c r="I1018" s="136"/>
      <c r="J1018" s="136"/>
      <c r="K1018" s="136"/>
      <c r="L1018" s="136"/>
      <c r="M1018" s="136"/>
      <c r="N1018" s="136"/>
      <c r="O1018" s="142"/>
      <c r="P1018" s="140"/>
      <c r="Q1018" s="139"/>
      <c r="R1018" s="139"/>
      <c r="S1018" s="139"/>
      <c r="T1018" s="140" t="str">
        <f t="shared" si="7"/>
        <v/>
      </c>
      <c r="U1018" s="136"/>
      <c r="V1018" s="136"/>
      <c r="W1018" s="136"/>
      <c r="X1018" s="136"/>
      <c r="Y1018" s="145"/>
      <c r="Z1018" s="145"/>
    </row>
    <row r="1019">
      <c r="E1019" s="136"/>
      <c r="F1019" s="136"/>
      <c r="G1019" s="136"/>
      <c r="H1019" s="137"/>
      <c r="I1019" s="136"/>
      <c r="J1019" s="136"/>
      <c r="K1019" s="136"/>
      <c r="L1019" s="136"/>
      <c r="M1019" s="136"/>
      <c r="N1019" s="136"/>
      <c r="O1019" s="142"/>
      <c r="P1019" s="140"/>
      <c r="Q1019" s="139"/>
      <c r="R1019" s="139"/>
      <c r="S1019" s="139"/>
      <c r="T1019" s="140" t="str">
        <f t="shared" si="7"/>
        <v/>
      </c>
      <c r="U1019" s="136"/>
      <c r="V1019" s="136"/>
      <c r="W1019" s="136"/>
      <c r="X1019" s="136"/>
      <c r="Y1019" s="145"/>
      <c r="Z1019" s="145"/>
    </row>
    <row r="1020">
      <c r="E1020" s="136"/>
      <c r="F1020" s="136"/>
      <c r="G1020" s="136"/>
      <c r="H1020" s="137"/>
      <c r="I1020" s="136"/>
      <c r="J1020" s="136"/>
      <c r="K1020" s="136"/>
      <c r="L1020" s="136"/>
      <c r="M1020" s="136"/>
      <c r="N1020" s="136"/>
      <c r="O1020" s="142"/>
      <c r="P1020" s="140"/>
      <c r="Q1020" s="139"/>
      <c r="R1020" s="139"/>
      <c r="S1020" s="139"/>
      <c r="T1020" s="140" t="str">
        <f t="shared" si="7"/>
        <v/>
      </c>
      <c r="U1020" s="136"/>
      <c r="V1020" s="136"/>
      <c r="W1020" s="136"/>
      <c r="X1020" s="136"/>
      <c r="Y1020" s="145"/>
      <c r="Z1020" s="145"/>
    </row>
    <row r="1021">
      <c r="E1021" s="136"/>
      <c r="F1021" s="136"/>
      <c r="G1021" s="136"/>
      <c r="H1021" s="137"/>
      <c r="I1021" s="136"/>
      <c r="J1021" s="136"/>
      <c r="K1021" s="136"/>
      <c r="L1021" s="136"/>
      <c r="M1021" s="136"/>
      <c r="N1021" s="136"/>
      <c r="O1021" s="142"/>
      <c r="P1021" s="140"/>
      <c r="Q1021" s="139"/>
      <c r="R1021" s="139"/>
      <c r="S1021" s="139"/>
      <c r="T1021" s="140" t="str">
        <f t="shared" si="7"/>
        <v/>
      </c>
      <c r="U1021" s="136"/>
      <c r="V1021" s="136"/>
      <c r="W1021" s="136"/>
      <c r="X1021" s="136"/>
      <c r="Y1021" s="145"/>
      <c r="Z1021" s="145"/>
    </row>
    <row r="1022">
      <c r="E1022" s="136"/>
      <c r="F1022" s="136"/>
      <c r="G1022" s="136"/>
      <c r="H1022" s="137"/>
      <c r="I1022" s="136"/>
      <c r="J1022" s="136"/>
      <c r="K1022" s="136"/>
      <c r="L1022" s="136"/>
      <c r="M1022" s="136"/>
      <c r="N1022" s="136"/>
      <c r="O1022" s="142"/>
      <c r="P1022" s="140"/>
      <c r="Q1022" s="139"/>
      <c r="R1022" s="139"/>
      <c r="S1022" s="139"/>
      <c r="T1022" s="140" t="str">
        <f t="shared" si="7"/>
        <v/>
      </c>
      <c r="U1022" s="136"/>
      <c r="V1022" s="136"/>
      <c r="W1022" s="136"/>
      <c r="X1022" s="136"/>
      <c r="Y1022" s="145"/>
      <c r="Z1022" s="145"/>
    </row>
    <row r="1023">
      <c r="E1023" s="136"/>
      <c r="F1023" s="136"/>
      <c r="G1023" s="136"/>
      <c r="H1023" s="137"/>
      <c r="I1023" s="136"/>
      <c r="J1023" s="136"/>
      <c r="K1023" s="136"/>
      <c r="L1023" s="136"/>
      <c r="M1023" s="136"/>
      <c r="N1023" s="136"/>
      <c r="O1023" s="142"/>
      <c r="P1023" s="140"/>
      <c r="Q1023" s="139"/>
      <c r="R1023" s="139"/>
      <c r="S1023" s="139"/>
      <c r="T1023" s="140" t="str">
        <f t="shared" si="7"/>
        <v/>
      </c>
      <c r="U1023" s="136"/>
      <c r="V1023" s="136"/>
      <c r="W1023" s="136"/>
      <c r="X1023" s="136"/>
      <c r="Y1023" s="145"/>
      <c r="Z1023" s="145"/>
    </row>
    <row r="1024">
      <c r="E1024" s="136"/>
      <c r="F1024" s="136"/>
      <c r="G1024" s="136"/>
      <c r="H1024" s="137"/>
      <c r="I1024" s="136"/>
      <c r="J1024" s="136"/>
      <c r="K1024" s="136"/>
      <c r="L1024" s="136"/>
      <c r="M1024" s="136"/>
      <c r="N1024" s="136"/>
      <c r="O1024" s="142"/>
      <c r="P1024" s="140"/>
      <c r="Q1024" s="139"/>
      <c r="R1024" s="139"/>
      <c r="S1024" s="139"/>
      <c r="T1024" s="140" t="str">
        <f t="shared" si="7"/>
        <v/>
      </c>
      <c r="U1024" s="136"/>
      <c r="V1024" s="136"/>
      <c r="W1024" s="136"/>
      <c r="X1024" s="136"/>
      <c r="Y1024" s="145"/>
      <c r="Z1024" s="145"/>
    </row>
    <row r="1025">
      <c r="E1025" s="136"/>
      <c r="F1025" s="136"/>
      <c r="G1025" s="136"/>
      <c r="H1025" s="137"/>
      <c r="I1025" s="136"/>
      <c r="J1025" s="136"/>
      <c r="K1025" s="136"/>
      <c r="L1025" s="136"/>
      <c r="M1025" s="136"/>
      <c r="N1025" s="136"/>
      <c r="O1025" s="142"/>
      <c r="P1025" s="140"/>
      <c r="Q1025" s="139"/>
      <c r="R1025" s="139"/>
      <c r="S1025" s="139"/>
      <c r="T1025" s="140" t="str">
        <f t="shared" si="7"/>
        <v/>
      </c>
      <c r="U1025" s="136"/>
      <c r="V1025" s="136"/>
      <c r="W1025" s="136"/>
      <c r="X1025" s="136"/>
      <c r="Y1025" s="145"/>
      <c r="Z1025" s="145"/>
    </row>
    <row r="1026">
      <c r="E1026" s="136"/>
      <c r="F1026" s="136"/>
      <c r="G1026" s="136"/>
      <c r="H1026" s="137"/>
      <c r="I1026" s="136"/>
      <c r="J1026" s="136"/>
      <c r="K1026" s="136"/>
      <c r="L1026" s="136"/>
      <c r="M1026" s="136"/>
      <c r="N1026" s="136"/>
      <c r="O1026" s="142"/>
      <c r="P1026" s="140"/>
      <c r="Q1026" s="139"/>
      <c r="R1026" s="139"/>
      <c r="S1026" s="139"/>
      <c r="T1026" s="140" t="str">
        <f t="shared" si="7"/>
        <v/>
      </c>
      <c r="U1026" s="136"/>
      <c r="V1026" s="136"/>
      <c r="W1026" s="136"/>
      <c r="X1026" s="136"/>
      <c r="Y1026" s="145"/>
      <c r="Z1026" s="145"/>
    </row>
    <row r="1027">
      <c r="E1027" s="136"/>
      <c r="F1027" s="136"/>
      <c r="G1027" s="136"/>
      <c r="H1027" s="137"/>
      <c r="I1027" s="136"/>
      <c r="J1027" s="136"/>
      <c r="K1027" s="136"/>
      <c r="L1027" s="136"/>
      <c r="M1027" s="136"/>
      <c r="N1027" s="136"/>
      <c r="O1027" s="142"/>
      <c r="P1027" s="140"/>
      <c r="Q1027" s="139"/>
      <c r="R1027" s="139"/>
      <c r="S1027" s="139"/>
      <c r="T1027" s="140" t="str">
        <f t="shared" si="7"/>
        <v/>
      </c>
      <c r="U1027" s="136"/>
      <c r="V1027" s="136"/>
      <c r="W1027" s="136"/>
      <c r="X1027" s="136"/>
      <c r="Y1027" s="145"/>
      <c r="Z1027" s="145"/>
    </row>
    <row r="1028">
      <c r="E1028" s="136"/>
      <c r="F1028" s="136"/>
      <c r="G1028" s="136"/>
      <c r="H1028" s="137"/>
      <c r="I1028" s="136"/>
      <c r="J1028" s="136"/>
      <c r="K1028" s="136"/>
      <c r="L1028" s="136"/>
      <c r="M1028" s="136"/>
      <c r="N1028" s="136"/>
      <c r="O1028" s="142"/>
      <c r="P1028" s="140"/>
      <c r="Q1028" s="139"/>
      <c r="R1028" s="139"/>
      <c r="S1028" s="139"/>
      <c r="T1028" s="140" t="str">
        <f t="shared" si="7"/>
        <v/>
      </c>
      <c r="U1028" s="136"/>
      <c r="V1028" s="136"/>
      <c r="W1028" s="136"/>
      <c r="X1028" s="136"/>
      <c r="Y1028" s="145"/>
      <c r="Z1028" s="145"/>
    </row>
    <row r="1029">
      <c r="E1029" s="136"/>
      <c r="F1029" s="136"/>
      <c r="G1029" s="136"/>
      <c r="H1029" s="137"/>
      <c r="I1029" s="136"/>
      <c r="J1029" s="136"/>
      <c r="K1029" s="136"/>
      <c r="L1029" s="136"/>
      <c r="M1029" s="136"/>
      <c r="N1029" s="136"/>
      <c r="O1029" s="142"/>
      <c r="P1029" s="140"/>
      <c r="Q1029" s="139"/>
      <c r="R1029" s="139"/>
      <c r="S1029" s="139"/>
      <c r="T1029" s="140" t="str">
        <f t="shared" si="7"/>
        <v/>
      </c>
      <c r="U1029" s="136"/>
      <c r="V1029" s="136"/>
      <c r="W1029" s="136"/>
      <c r="X1029" s="136"/>
      <c r="Y1029" s="145"/>
      <c r="Z1029" s="145"/>
    </row>
    <row r="1030">
      <c r="E1030" s="136"/>
      <c r="F1030" s="136"/>
      <c r="G1030" s="136"/>
      <c r="H1030" s="137"/>
      <c r="I1030" s="136"/>
      <c r="J1030" s="136"/>
      <c r="K1030" s="136"/>
      <c r="L1030" s="136"/>
      <c r="M1030" s="136"/>
      <c r="N1030" s="136"/>
      <c r="O1030" s="142"/>
      <c r="P1030" s="140"/>
      <c r="Q1030" s="139"/>
      <c r="R1030" s="139"/>
      <c r="S1030" s="139"/>
      <c r="T1030" s="140" t="str">
        <f t="shared" si="7"/>
        <v/>
      </c>
      <c r="U1030" s="136"/>
      <c r="V1030" s="136"/>
      <c r="W1030" s="136"/>
      <c r="X1030" s="136"/>
      <c r="Y1030" s="145"/>
      <c r="Z1030" s="145"/>
    </row>
    <row r="1031">
      <c r="E1031" s="136"/>
      <c r="F1031" s="136"/>
      <c r="G1031" s="136"/>
      <c r="H1031" s="137"/>
      <c r="I1031" s="136"/>
      <c r="J1031" s="136"/>
      <c r="K1031" s="136"/>
      <c r="L1031" s="136"/>
      <c r="M1031" s="136"/>
      <c r="N1031" s="136"/>
      <c r="O1031" s="142"/>
      <c r="P1031" s="140"/>
      <c r="Q1031" s="139"/>
      <c r="R1031" s="139"/>
      <c r="S1031" s="139"/>
      <c r="T1031" s="140" t="str">
        <f t="shared" si="7"/>
        <v/>
      </c>
      <c r="U1031" s="136"/>
      <c r="V1031" s="136"/>
      <c r="W1031" s="136"/>
      <c r="X1031" s="136"/>
      <c r="Y1031" s="145"/>
      <c r="Z1031" s="145"/>
    </row>
    <row r="1032">
      <c r="E1032" s="136"/>
      <c r="F1032" s="136"/>
      <c r="G1032" s="136"/>
      <c r="H1032" s="137"/>
      <c r="I1032" s="136"/>
      <c r="J1032" s="136"/>
      <c r="K1032" s="136"/>
      <c r="L1032" s="136"/>
      <c r="M1032" s="136"/>
      <c r="N1032" s="136"/>
      <c r="O1032" s="142"/>
      <c r="P1032" s="140"/>
      <c r="Q1032" s="139"/>
      <c r="R1032" s="139"/>
      <c r="S1032" s="139"/>
      <c r="T1032" s="140" t="str">
        <f t="shared" si="7"/>
        <v/>
      </c>
      <c r="U1032" s="136"/>
      <c r="V1032" s="136"/>
      <c r="W1032" s="136"/>
      <c r="X1032" s="136"/>
      <c r="Y1032" s="145"/>
      <c r="Z1032" s="145"/>
    </row>
    <row r="1033">
      <c r="E1033" s="136"/>
      <c r="F1033" s="136"/>
      <c r="G1033" s="136"/>
      <c r="H1033" s="137"/>
      <c r="I1033" s="136"/>
      <c r="J1033" s="136"/>
      <c r="K1033" s="136"/>
      <c r="L1033" s="136"/>
      <c r="M1033" s="136"/>
      <c r="N1033" s="136"/>
      <c r="O1033" s="142"/>
      <c r="P1033" s="140"/>
      <c r="Q1033" s="139"/>
      <c r="R1033" s="139"/>
      <c r="S1033" s="139"/>
      <c r="T1033" s="140" t="str">
        <f t="shared" si="7"/>
        <v/>
      </c>
      <c r="U1033" s="136"/>
      <c r="V1033" s="136"/>
      <c r="W1033" s="136"/>
      <c r="X1033" s="136"/>
      <c r="Y1033" s="145"/>
      <c r="Z1033" s="145"/>
    </row>
    <row r="1034">
      <c r="E1034" s="136"/>
      <c r="F1034" s="136"/>
      <c r="G1034" s="136"/>
      <c r="H1034" s="137"/>
      <c r="I1034" s="136"/>
      <c r="J1034" s="136"/>
      <c r="K1034" s="136"/>
      <c r="L1034" s="136"/>
      <c r="M1034" s="136"/>
      <c r="N1034" s="136"/>
      <c r="O1034" s="142"/>
      <c r="P1034" s="140"/>
      <c r="Q1034" s="139"/>
      <c r="R1034" s="139"/>
      <c r="S1034" s="139"/>
      <c r="T1034" s="140" t="str">
        <f t="shared" si="7"/>
        <v/>
      </c>
      <c r="U1034" s="136"/>
      <c r="V1034" s="136"/>
      <c r="W1034" s="136"/>
      <c r="X1034" s="136"/>
      <c r="Y1034" s="145"/>
      <c r="Z1034" s="145"/>
    </row>
    <row r="1035">
      <c r="E1035" s="136"/>
      <c r="F1035" s="136"/>
      <c r="G1035" s="136"/>
      <c r="H1035" s="137"/>
      <c r="I1035" s="136"/>
      <c r="J1035" s="136"/>
      <c r="K1035" s="136"/>
      <c r="L1035" s="136"/>
      <c r="M1035" s="136"/>
      <c r="N1035" s="136"/>
      <c r="O1035" s="142"/>
      <c r="P1035" s="140"/>
      <c r="Q1035" s="139"/>
      <c r="R1035" s="139"/>
      <c r="S1035" s="139"/>
      <c r="T1035" s="140" t="str">
        <f t="shared" si="7"/>
        <v/>
      </c>
      <c r="U1035" s="136"/>
      <c r="V1035" s="136"/>
      <c r="W1035" s="136"/>
      <c r="X1035" s="136"/>
      <c r="Y1035" s="145"/>
      <c r="Z1035" s="145"/>
    </row>
    <row r="1036">
      <c r="E1036" s="136"/>
      <c r="F1036" s="136"/>
      <c r="G1036" s="136"/>
      <c r="H1036" s="137"/>
      <c r="I1036" s="136"/>
      <c r="J1036" s="136"/>
      <c r="K1036" s="136"/>
      <c r="L1036" s="136"/>
      <c r="M1036" s="136"/>
      <c r="N1036" s="136"/>
      <c r="O1036" s="142"/>
      <c r="P1036" s="140"/>
      <c r="Q1036" s="139"/>
      <c r="R1036" s="139"/>
      <c r="S1036" s="139"/>
      <c r="T1036" s="140" t="str">
        <f t="shared" si="7"/>
        <v/>
      </c>
      <c r="U1036" s="136"/>
      <c r="V1036" s="136"/>
      <c r="W1036" s="136"/>
      <c r="X1036" s="136"/>
      <c r="Y1036" s="145"/>
      <c r="Z1036" s="145"/>
    </row>
    <row r="1037">
      <c r="E1037" s="136"/>
      <c r="F1037" s="136"/>
      <c r="G1037" s="136"/>
      <c r="H1037" s="137"/>
      <c r="I1037" s="136"/>
      <c r="J1037" s="136"/>
      <c r="K1037" s="136"/>
      <c r="L1037" s="136"/>
      <c r="M1037" s="136"/>
      <c r="N1037" s="136"/>
      <c r="O1037" s="142"/>
      <c r="P1037" s="140"/>
      <c r="Q1037" s="139"/>
      <c r="R1037" s="139"/>
      <c r="S1037" s="139"/>
      <c r="T1037" s="140" t="str">
        <f t="shared" si="7"/>
        <v/>
      </c>
      <c r="U1037" s="136"/>
      <c r="V1037" s="136"/>
      <c r="W1037" s="136"/>
      <c r="X1037" s="136"/>
      <c r="Y1037" s="145"/>
      <c r="Z1037" s="145"/>
    </row>
    <row r="1038">
      <c r="E1038" s="136"/>
      <c r="F1038" s="136"/>
      <c r="G1038" s="136"/>
      <c r="H1038" s="137"/>
      <c r="I1038" s="136"/>
      <c r="J1038" s="136"/>
      <c r="K1038" s="136"/>
      <c r="L1038" s="136"/>
      <c r="M1038" s="136"/>
      <c r="N1038" s="136"/>
      <c r="O1038" s="142"/>
      <c r="P1038" s="140"/>
      <c r="Q1038" s="139"/>
      <c r="R1038" s="139"/>
      <c r="S1038" s="139"/>
      <c r="T1038" s="140" t="str">
        <f t="shared" si="7"/>
        <v/>
      </c>
      <c r="U1038" s="136"/>
      <c r="V1038" s="136"/>
      <c r="W1038" s="136"/>
      <c r="X1038" s="136"/>
      <c r="Y1038" s="145"/>
      <c r="Z1038" s="145"/>
    </row>
    <row r="1039">
      <c r="E1039" s="136"/>
      <c r="F1039" s="136"/>
      <c r="G1039" s="136"/>
      <c r="H1039" s="137"/>
      <c r="I1039" s="136"/>
      <c r="J1039" s="136"/>
      <c r="K1039" s="136"/>
      <c r="L1039" s="136"/>
      <c r="M1039" s="136"/>
      <c r="N1039" s="136"/>
      <c r="O1039" s="142"/>
      <c r="P1039" s="140"/>
      <c r="Q1039" s="139"/>
      <c r="R1039" s="139"/>
      <c r="S1039" s="139"/>
      <c r="T1039" s="140" t="str">
        <f t="shared" si="7"/>
        <v/>
      </c>
      <c r="U1039" s="136"/>
      <c r="V1039" s="136"/>
      <c r="W1039" s="136"/>
      <c r="X1039" s="136"/>
      <c r="Y1039" s="145"/>
      <c r="Z1039" s="145"/>
    </row>
    <row r="1040">
      <c r="E1040" s="136"/>
      <c r="F1040" s="136"/>
      <c r="G1040" s="136"/>
      <c r="H1040" s="137"/>
      <c r="I1040" s="136"/>
      <c r="J1040" s="136"/>
      <c r="K1040" s="136"/>
      <c r="L1040" s="136"/>
      <c r="M1040" s="136"/>
      <c r="N1040" s="136"/>
      <c r="O1040" s="142"/>
      <c r="P1040" s="140"/>
      <c r="Q1040" s="139"/>
      <c r="R1040" s="139"/>
      <c r="S1040" s="139"/>
      <c r="T1040" s="140" t="str">
        <f t="shared" si="7"/>
        <v/>
      </c>
      <c r="U1040" s="136"/>
      <c r="V1040" s="136"/>
      <c r="W1040" s="136"/>
      <c r="X1040" s="136"/>
      <c r="Y1040" s="145"/>
      <c r="Z1040" s="145"/>
    </row>
    <row r="1041">
      <c r="E1041" s="136"/>
      <c r="F1041" s="136"/>
      <c r="G1041" s="136"/>
      <c r="H1041" s="137"/>
      <c r="I1041" s="136"/>
      <c r="J1041" s="136"/>
      <c r="K1041" s="136"/>
      <c r="L1041" s="136"/>
      <c r="M1041" s="136"/>
      <c r="N1041" s="136"/>
      <c r="O1041" s="142"/>
      <c r="P1041" s="140"/>
      <c r="Q1041" s="139"/>
      <c r="R1041" s="139"/>
      <c r="S1041" s="139"/>
      <c r="T1041" s="140" t="str">
        <f t="shared" si="7"/>
        <v/>
      </c>
      <c r="U1041" s="136"/>
      <c r="V1041" s="136"/>
      <c r="W1041" s="136"/>
      <c r="X1041" s="136"/>
      <c r="Y1041" s="145"/>
      <c r="Z1041" s="145"/>
    </row>
    <row r="1042">
      <c r="E1042" s="136"/>
      <c r="F1042" s="136"/>
      <c r="G1042" s="136"/>
      <c r="H1042" s="137"/>
      <c r="I1042" s="136"/>
      <c r="J1042" s="136"/>
      <c r="K1042" s="136"/>
      <c r="L1042" s="136"/>
      <c r="M1042" s="136"/>
      <c r="N1042" s="136"/>
      <c r="O1042" s="142"/>
      <c r="P1042" s="140"/>
      <c r="Q1042" s="139"/>
      <c r="R1042" s="139"/>
      <c r="S1042" s="139"/>
      <c r="T1042" s="140" t="str">
        <f t="shared" si="7"/>
        <v/>
      </c>
      <c r="U1042" s="136"/>
      <c r="V1042" s="136"/>
      <c r="W1042" s="136"/>
      <c r="X1042" s="136"/>
      <c r="Y1042" s="145"/>
      <c r="Z1042" s="145"/>
    </row>
    <row r="1043">
      <c r="E1043" s="136"/>
      <c r="F1043" s="136"/>
      <c r="G1043" s="136"/>
      <c r="H1043" s="137"/>
      <c r="I1043" s="136"/>
      <c r="J1043" s="136"/>
      <c r="K1043" s="136"/>
      <c r="L1043" s="136"/>
      <c r="M1043" s="136"/>
      <c r="N1043" s="136"/>
      <c r="O1043" s="142"/>
      <c r="P1043" s="140"/>
      <c r="Q1043" s="139"/>
      <c r="R1043" s="139"/>
      <c r="S1043" s="139"/>
      <c r="T1043" s="140" t="str">
        <f t="shared" si="7"/>
        <v/>
      </c>
      <c r="U1043" s="136"/>
      <c r="V1043" s="136"/>
      <c r="W1043" s="136"/>
      <c r="X1043" s="136"/>
      <c r="Y1043" s="145"/>
      <c r="Z1043" s="145"/>
    </row>
    <row r="1044">
      <c r="E1044" s="136"/>
      <c r="F1044" s="136"/>
      <c r="G1044" s="136"/>
      <c r="H1044" s="137"/>
      <c r="I1044" s="136"/>
      <c r="J1044" s="136"/>
      <c r="K1044" s="136"/>
      <c r="L1044" s="136"/>
      <c r="M1044" s="136"/>
      <c r="N1044" s="136"/>
      <c r="O1044" s="142"/>
      <c r="P1044" s="140"/>
      <c r="Q1044" s="139"/>
      <c r="R1044" s="139"/>
      <c r="S1044" s="139"/>
      <c r="T1044" s="140" t="str">
        <f t="shared" si="7"/>
        <v/>
      </c>
      <c r="U1044" s="136"/>
      <c r="V1044" s="136"/>
      <c r="W1044" s="136"/>
      <c r="X1044" s="136"/>
      <c r="Y1044" s="145"/>
      <c r="Z1044" s="145"/>
    </row>
    <row r="1045">
      <c r="E1045" s="136"/>
      <c r="F1045" s="136"/>
      <c r="G1045" s="136"/>
      <c r="H1045" s="137"/>
      <c r="I1045" s="136"/>
      <c r="J1045" s="136"/>
      <c r="K1045" s="136"/>
      <c r="L1045" s="136"/>
      <c r="M1045" s="136"/>
      <c r="N1045" s="136"/>
      <c r="O1045" s="142"/>
      <c r="P1045" s="140"/>
      <c r="Q1045" s="139"/>
      <c r="R1045" s="139"/>
      <c r="S1045" s="139"/>
      <c r="T1045" s="140" t="str">
        <f t="shared" si="7"/>
        <v/>
      </c>
      <c r="U1045" s="136"/>
      <c r="V1045" s="136"/>
      <c r="W1045" s="136"/>
      <c r="X1045" s="136"/>
      <c r="Y1045" s="145"/>
      <c r="Z1045" s="145"/>
    </row>
    <row r="1046">
      <c r="E1046" s="136"/>
      <c r="F1046" s="136"/>
      <c r="G1046" s="136"/>
      <c r="H1046" s="137"/>
      <c r="I1046" s="136"/>
      <c r="J1046" s="136"/>
      <c r="K1046" s="136"/>
      <c r="L1046" s="136"/>
      <c r="M1046" s="136"/>
      <c r="N1046" s="136"/>
      <c r="O1046" s="142"/>
      <c r="P1046" s="140"/>
      <c r="Q1046" s="139"/>
      <c r="R1046" s="139"/>
      <c r="S1046" s="139"/>
      <c r="T1046" s="140" t="str">
        <f t="shared" si="7"/>
        <v/>
      </c>
      <c r="U1046" s="136"/>
      <c r="V1046" s="136"/>
      <c r="W1046" s="136"/>
      <c r="X1046" s="136"/>
      <c r="Y1046" s="145"/>
      <c r="Z1046" s="145"/>
    </row>
    <row r="1047">
      <c r="E1047" s="136"/>
      <c r="F1047" s="136"/>
      <c r="G1047" s="136"/>
      <c r="H1047" s="137"/>
      <c r="I1047" s="136"/>
      <c r="J1047" s="136"/>
      <c r="K1047" s="136"/>
      <c r="L1047" s="136"/>
      <c r="M1047" s="136"/>
      <c r="N1047" s="136"/>
      <c r="O1047" s="142"/>
      <c r="P1047" s="140"/>
      <c r="Q1047" s="139"/>
      <c r="R1047" s="139"/>
      <c r="S1047" s="139"/>
      <c r="T1047" s="140" t="str">
        <f t="shared" si="7"/>
        <v/>
      </c>
      <c r="U1047" s="136"/>
      <c r="V1047" s="136"/>
      <c r="W1047" s="136"/>
      <c r="X1047" s="136"/>
      <c r="Y1047" s="145"/>
      <c r="Z1047" s="145"/>
    </row>
    <row r="1048">
      <c r="E1048" s="136"/>
      <c r="F1048" s="136"/>
      <c r="G1048" s="136"/>
      <c r="H1048" s="137"/>
      <c r="I1048" s="136"/>
      <c r="J1048" s="136"/>
      <c r="K1048" s="136"/>
      <c r="L1048" s="136"/>
      <c r="M1048" s="136"/>
      <c r="N1048" s="136"/>
      <c r="O1048" s="142"/>
      <c r="P1048" s="140"/>
      <c r="Q1048" s="139"/>
      <c r="R1048" s="139"/>
      <c r="S1048" s="139"/>
      <c r="T1048" s="140" t="str">
        <f t="shared" si="7"/>
        <v/>
      </c>
      <c r="U1048" s="136"/>
      <c r="V1048" s="136"/>
      <c r="W1048" s="136"/>
      <c r="X1048" s="136"/>
      <c r="Y1048" s="145"/>
      <c r="Z1048" s="145"/>
    </row>
    <row r="1049">
      <c r="E1049" s="136"/>
      <c r="F1049" s="136"/>
      <c r="G1049" s="136"/>
      <c r="H1049" s="137"/>
      <c r="I1049" s="136"/>
      <c r="J1049" s="136"/>
      <c r="K1049" s="136"/>
      <c r="L1049" s="136"/>
      <c r="M1049" s="136"/>
      <c r="N1049" s="136"/>
      <c r="O1049" s="142"/>
      <c r="P1049" s="140"/>
      <c r="Q1049" s="139"/>
      <c r="R1049" s="139"/>
      <c r="S1049" s="139"/>
      <c r="T1049" s="140" t="str">
        <f t="shared" si="7"/>
        <v/>
      </c>
      <c r="U1049" s="136"/>
      <c r="V1049" s="136"/>
      <c r="W1049" s="136"/>
      <c r="X1049" s="136"/>
      <c r="Y1049" s="145"/>
      <c r="Z1049" s="145"/>
    </row>
    <row r="1050">
      <c r="E1050" s="136"/>
      <c r="F1050" s="136"/>
      <c r="G1050" s="136"/>
      <c r="H1050" s="137"/>
      <c r="I1050" s="136"/>
      <c r="J1050" s="136"/>
      <c r="K1050" s="136"/>
      <c r="L1050" s="136"/>
      <c r="M1050" s="136"/>
      <c r="N1050" s="136"/>
      <c r="O1050" s="142"/>
      <c r="P1050" s="140"/>
      <c r="Q1050" s="139"/>
      <c r="R1050" s="139"/>
      <c r="S1050" s="139"/>
      <c r="T1050" s="140" t="str">
        <f t="shared" si="7"/>
        <v/>
      </c>
      <c r="U1050" s="136"/>
      <c r="V1050" s="136"/>
      <c r="W1050" s="136"/>
      <c r="X1050" s="136"/>
      <c r="Y1050" s="145"/>
      <c r="Z1050" s="145"/>
    </row>
    <row r="1051">
      <c r="E1051" s="136"/>
      <c r="F1051" s="136"/>
      <c r="G1051" s="136"/>
      <c r="H1051" s="137"/>
      <c r="I1051" s="136"/>
      <c r="J1051" s="136"/>
      <c r="K1051" s="136"/>
      <c r="L1051" s="136"/>
      <c r="M1051" s="136"/>
      <c r="N1051" s="136"/>
      <c r="O1051" s="142"/>
      <c r="P1051" s="140"/>
      <c r="Q1051" s="139"/>
      <c r="R1051" s="139"/>
      <c r="S1051" s="139"/>
      <c r="T1051" s="140" t="str">
        <f t="shared" si="7"/>
        <v/>
      </c>
      <c r="U1051" s="136"/>
      <c r="V1051" s="136"/>
      <c r="W1051" s="136"/>
      <c r="X1051" s="136"/>
      <c r="Y1051" s="145"/>
      <c r="Z1051" s="145"/>
    </row>
    <row r="1052">
      <c r="E1052" s="136"/>
      <c r="F1052" s="136"/>
      <c r="G1052" s="136"/>
      <c r="H1052" s="137"/>
      <c r="I1052" s="136"/>
      <c r="J1052" s="136"/>
      <c r="K1052" s="136"/>
      <c r="L1052" s="136"/>
      <c r="M1052" s="136"/>
      <c r="N1052" s="136"/>
      <c r="O1052" s="142"/>
      <c r="P1052" s="140"/>
      <c r="Q1052" s="139"/>
      <c r="R1052" s="139"/>
      <c r="S1052" s="139"/>
      <c r="T1052" s="140" t="str">
        <f t="shared" si="7"/>
        <v/>
      </c>
      <c r="U1052" s="136"/>
      <c r="V1052" s="136"/>
      <c r="W1052" s="136"/>
      <c r="X1052" s="136"/>
      <c r="Y1052" s="145"/>
      <c r="Z1052" s="145"/>
    </row>
    <row r="1053">
      <c r="E1053" s="136"/>
      <c r="F1053" s="136"/>
      <c r="G1053" s="136"/>
      <c r="H1053" s="137"/>
      <c r="I1053" s="136"/>
      <c r="J1053" s="136"/>
      <c r="K1053" s="136"/>
      <c r="L1053" s="136"/>
      <c r="M1053" s="136"/>
      <c r="N1053" s="136"/>
      <c r="O1053" s="142"/>
      <c r="P1053" s="140"/>
      <c r="Q1053" s="139"/>
      <c r="R1053" s="139"/>
      <c r="S1053" s="139"/>
      <c r="T1053" s="140" t="str">
        <f t="shared" si="7"/>
        <v/>
      </c>
      <c r="U1053" s="136"/>
      <c r="V1053" s="136"/>
      <c r="W1053" s="136"/>
      <c r="X1053" s="136"/>
      <c r="Y1053" s="145"/>
      <c r="Z1053" s="145"/>
    </row>
    <row r="1054">
      <c r="E1054" s="136"/>
      <c r="F1054" s="136"/>
      <c r="G1054" s="136"/>
      <c r="H1054" s="137"/>
      <c r="I1054" s="136"/>
      <c r="J1054" s="136"/>
      <c r="K1054" s="136"/>
      <c r="L1054" s="136"/>
      <c r="M1054" s="136"/>
      <c r="N1054" s="136"/>
      <c r="O1054" s="142"/>
      <c r="P1054" s="140"/>
      <c r="Q1054" s="139"/>
      <c r="R1054" s="139"/>
      <c r="S1054" s="139"/>
      <c r="T1054" s="140" t="str">
        <f t="shared" si="7"/>
        <v/>
      </c>
      <c r="U1054" s="136"/>
      <c r="V1054" s="136"/>
      <c r="W1054" s="136"/>
      <c r="X1054" s="136"/>
      <c r="Y1054" s="145"/>
      <c r="Z1054" s="145"/>
    </row>
    <row r="1055">
      <c r="E1055" s="136"/>
      <c r="F1055" s="136"/>
      <c r="G1055" s="136"/>
      <c r="H1055" s="137"/>
      <c r="I1055" s="136"/>
      <c r="J1055" s="136"/>
      <c r="K1055" s="136"/>
      <c r="L1055" s="136"/>
      <c r="M1055" s="136"/>
      <c r="N1055" s="136"/>
      <c r="O1055" s="142"/>
      <c r="P1055" s="140"/>
      <c r="Q1055" s="139"/>
      <c r="R1055" s="139"/>
      <c r="S1055" s="139"/>
      <c r="T1055" s="140" t="str">
        <f t="shared" si="7"/>
        <v/>
      </c>
      <c r="U1055" s="136"/>
      <c r="V1055" s="136"/>
      <c r="W1055" s="136"/>
      <c r="X1055" s="136"/>
      <c r="Y1055" s="145"/>
      <c r="Z1055" s="145"/>
    </row>
    <row r="1056">
      <c r="E1056" s="136"/>
      <c r="F1056" s="136"/>
      <c r="G1056" s="136"/>
      <c r="H1056" s="137"/>
      <c r="I1056" s="136"/>
      <c r="J1056" s="136"/>
      <c r="K1056" s="136"/>
      <c r="L1056" s="136"/>
      <c r="M1056" s="136"/>
      <c r="N1056" s="136"/>
      <c r="O1056" s="142"/>
      <c r="P1056" s="140"/>
      <c r="Q1056" s="139"/>
      <c r="R1056" s="139"/>
      <c r="S1056" s="139"/>
      <c r="T1056" s="140" t="str">
        <f t="shared" si="7"/>
        <v/>
      </c>
      <c r="U1056" s="136"/>
      <c r="V1056" s="136"/>
      <c r="W1056" s="136"/>
      <c r="X1056" s="136"/>
      <c r="Y1056" s="145"/>
      <c r="Z1056" s="145"/>
    </row>
    <row r="1057">
      <c r="E1057" s="136"/>
      <c r="F1057" s="136"/>
      <c r="G1057" s="136"/>
      <c r="H1057" s="137"/>
      <c r="I1057" s="136"/>
      <c r="J1057" s="136"/>
      <c r="K1057" s="136"/>
      <c r="L1057" s="136"/>
      <c r="M1057" s="136"/>
      <c r="N1057" s="136"/>
      <c r="O1057" s="142"/>
      <c r="P1057" s="140"/>
      <c r="Q1057" s="139"/>
      <c r="R1057" s="139"/>
      <c r="S1057" s="139"/>
      <c r="T1057" s="140" t="str">
        <f t="shared" si="7"/>
        <v/>
      </c>
      <c r="U1057" s="136"/>
      <c r="V1057" s="136"/>
      <c r="W1057" s="136"/>
      <c r="X1057" s="136"/>
      <c r="Y1057" s="145"/>
      <c r="Z1057" s="145"/>
    </row>
    <row r="1058">
      <c r="E1058" s="136"/>
      <c r="F1058" s="136"/>
      <c r="G1058" s="136"/>
      <c r="H1058" s="137"/>
      <c r="I1058" s="136"/>
      <c r="J1058" s="136"/>
      <c r="K1058" s="136"/>
      <c r="L1058" s="136"/>
      <c r="M1058" s="136"/>
      <c r="N1058" s="136"/>
      <c r="O1058" s="142"/>
      <c r="P1058" s="140"/>
      <c r="Q1058" s="139"/>
      <c r="R1058" s="139"/>
      <c r="S1058" s="139"/>
      <c r="T1058" s="140" t="str">
        <f t="shared" si="7"/>
        <v/>
      </c>
      <c r="U1058" s="136"/>
      <c r="V1058" s="136"/>
      <c r="W1058" s="136"/>
      <c r="X1058" s="136"/>
      <c r="Y1058" s="145"/>
      <c r="Z1058" s="145"/>
    </row>
    <row r="1059">
      <c r="E1059" s="136"/>
      <c r="F1059" s="136"/>
      <c r="G1059" s="136"/>
      <c r="H1059" s="137"/>
      <c r="I1059" s="136"/>
      <c r="J1059" s="136"/>
      <c r="K1059" s="136"/>
      <c r="L1059" s="136"/>
      <c r="M1059" s="136"/>
      <c r="N1059" s="136"/>
      <c r="O1059" s="142"/>
      <c r="P1059" s="140"/>
      <c r="Q1059" s="139"/>
      <c r="R1059" s="139"/>
      <c r="S1059" s="139"/>
      <c r="T1059" s="140" t="str">
        <f t="shared" si="7"/>
        <v/>
      </c>
      <c r="U1059" s="136"/>
      <c r="V1059" s="136"/>
      <c r="W1059" s="136"/>
      <c r="X1059" s="136"/>
      <c r="Y1059" s="145"/>
      <c r="Z1059" s="145"/>
    </row>
    <row r="1060">
      <c r="E1060" s="136"/>
      <c r="F1060" s="136"/>
      <c r="G1060" s="136"/>
      <c r="H1060" s="137"/>
      <c r="I1060" s="136"/>
      <c r="J1060" s="136"/>
      <c r="K1060" s="136"/>
      <c r="L1060" s="136"/>
      <c r="M1060" s="136"/>
      <c r="N1060" s="136"/>
      <c r="O1060" s="142"/>
      <c r="P1060" s="140"/>
      <c r="Q1060" s="139"/>
      <c r="R1060" s="139"/>
      <c r="S1060" s="139"/>
      <c r="T1060" s="140" t="str">
        <f t="shared" si="7"/>
        <v/>
      </c>
      <c r="U1060" s="136"/>
      <c r="V1060" s="136"/>
      <c r="W1060" s="136"/>
      <c r="X1060" s="136"/>
      <c r="Y1060" s="145"/>
      <c r="Z1060" s="145"/>
    </row>
    <row r="1061">
      <c r="E1061" s="136"/>
      <c r="F1061" s="136"/>
      <c r="G1061" s="136"/>
      <c r="H1061" s="137"/>
      <c r="I1061" s="136"/>
      <c r="J1061" s="136"/>
      <c r="K1061" s="136"/>
      <c r="L1061" s="136"/>
      <c r="M1061" s="136"/>
      <c r="N1061" s="136"/>
      <c r="O1061" s="142"/>
      <c r="P1061" s="140"/>
      <c r="Q1061" s="139"/>
      <c r="R1061" s="139"/>
      <c r="S1061" s="139"/>
      <c r="T1061" s="140" t="str">
        <f t="shared" si="7"/>
        <v/>
      </c>
      <c r="U1061" s="136"/>
      <c r="V1061" s="136"/>
      <c r="W1061" s="136"/>
      <c r="X1061" s="136"/>
      <c r="Y1061" s="145"/>
      <c r="Z1061" s="145"/>
    </row>
    <row r="1062">
      <c r="E1062" s="136"/>
      <c r="F1062" s="136"/>
      <c r="G1062" s="136"/>
      <c r="H1062" s="137"/>
      <c r="I1062" s="136"/>
      <c r="J1062" s="136"/>
      <c r="K1062" s="136"/>
      <c r="L1062" s="136"/>
      <c r="M1062" s="136"/>
      <c r="N1062" s="136"/>
      <c r="O1062" s="142"/>
      <c r="P1062" s="140"/>
      <c r="Q1062" s="139"/>
      <c r="R1062" s="139"/>
      <c r="S1062" s="139"/>
      <c r="T1062" s="140" t="str">
        <f t="shared" si="7"/>
        <v/>
      </c>
      <c r="U1062" s="136"/>
      <c r="V1062" s="136"/>
      <c r="W1062" s="136"/>
      <c r="X1062" s="136"/>
      <c r="Y1062" s="145"/>
      <c r="Z1062" s="145"/>
    </row>
    <row r="1063">
      <c r="E1063" s="136"/>
      <c r="F1063" s="136"/>
      <c r="G1063" s="136"/>
      <c r="H1063" s="137"/>
      <c r="I1063" s="136"/>
      <c r="J1063" s="136"/>
      <c r="K1063" s="136"/>
      <c r="L1063" s="136"/>
      <c r="M1063" s="136"/>
      <c r="N1063" s="136"/>
      <c r="O1063" s="142"/>
      <c r="P1063" s="140"/>
      <c r="Q1063" s="139"/>
      <c r="R1063" s="139"/>
      <c r="S1063" s="139"/>
      <c r="T1063" s="140" t="str">
        <f t="shared" si="7"/>
        <v/>
      </c>
      <c r="U1063" s="136"/>
      <c r="V1063" s="136"/>
      <c r="W1063" s="136"/>
      <c r="X1063" s="136"/>
      <c r="Y1063" s="145"/>
      <c r="Z1063" s="145"/>
    </row>
    <row r="1064">
      <c r="E1064" s="136"/>
      <c r="F1064" s="136"/>
      <c r="G1064" s="136"/>
      <c r="H1064" s="137"/>
      <c r="I1064" s="136"/>
      <c r="J1064" s="136"/>
      <c r="K1064" s="136"/>
      <c r="L1064" s="136"/>
      <c r="M1064" s="136"/>
      <c r="N1064" s="136"/>
      <c r="O1064" s="142"/>
      <c r="P1064" s="140"/>
      <c r="Q1064" s="139"/>
      <c r="R1064" s="139"/>
      <c r="S1064" s="139"/>
      <c r="T1064" s="140" t="str">
        <f t="shared" si="7"/>
        <v/>
      </c>
      <c r="U1064" s="136"/>
      <c r="V1064" s="136"/>
      <c r="W1064" s="136"/>
      <c r="X1064" s="136"/>
      <c r="Y1064" s="145"/>
      <c r="Z1064" s="145"/>
    </row>
    <row r="1065">
      <c r="E1065" s="136"/>
      <c r="F1065" s="136"/>
      <c r="G1065" s="136"/>
      <c r="H1065" s="137"/>
      <c r="I1065" s="136"/>
      <c r="J1065" s="136"/>
      <c r="K1065" s="136"/>
      <c r="L1065" s="136"/>
      <c r="M1065" s="136"/>
      <c r="N1065" s="136"/>
      <c r="O1065" s="142"/>
      <c r="P1065" s="140"/>
      <c r="Q1065" s="139"/>
      <c r="R1065" s="139"/>
      <c r="S1065" s="139"/>
      <c r="T1065" s="140" t="str">
        <f t="shared" si="7"/>
        <v/>
      </c>
      <c r="U1065" s="136"/>
      <c r="V1065" s="136"/>
      <c r="W1065" s="136"/>
      <c r="X1065" s="136"/>
      <c r="Y1065" s="145"/>
      <c r="Z1065" s="145"/>
    </row>
    <row r="1066">
      <c r="E1066" s="136"/>
      <c r="F1066" s="136"/>
      <c r="G1066" s="136"/>
      <c r="H1066" s="137"/>
      <c r="I1066" s="136"/>
      <c r="J1066" s="136"/>
      <c r="K1066" s="136"/>
      <c r="L1066" s="136"/>
      <c r="M1066" s="136"/>
      <c r="N1066" s="136"/>
      <c r="O1066" s="142"/>
      <c r="P1066" s="140"/>
      <c r="Q1066" s="139"/>
      <c r="R1066" s="139"/>
      <c r="S1066" s="139"/>
      <c r="T1066" s="140" t="str">
        <f t="shared" si="7"/>
        <v/>
      </c>
      <c r="U1066" s="136"/>
      <c r="V1066" s="136"/>
      <c r="W1066" s="136"/>
      <c r="X1066" s="136"/>
      <c r="Y1066" s="145"/>
      <c r="Z1066" s="145"/>
    </row>
    <row r="1067">
      <c r="E1067" s="136"/>
      <c r="F1067" s="136"/>
      <c r="G1067" s="136"/>
      <c r="H1067" s="137"/>
      <c r="I1067" s="136"/>
      <c r="J1067" s="136"/>
      <c r="K1067" s="136"/>
      <c r="L1067" s="136"/>
      <c r="M1067" s="136"/>
      <c r="N1067" s="136"/>
      <c r="O1067" s="142"/>
      <c r="P1067" s="140"/>
      <c r="Q1067" s="139"/>
      <c r="R1067" s="139"/>
      <c r="S1067" s="139"/>
      <c r="T1067" s="140" t="str">
        <f t="shared" si="7"/>
        <v/>
      </c>
      <c r="U1067" s="136"/>
      <c r="V1067" s="136"/>
      <c r="W1067" s="136"/>
      <c r="X1067" s="136"/>
      <c r="Y1067" s="145"/>
      <c r="Z1067" s="145"/>
    </row>
    <row r="1068">
      <c r="E1068" s="136"/>
      <c r="F1068" s="136"/>
      <c r="G1068" s="136"/>
      <c r="H1068" s="137"/>
      <c r="I1068" s="136"/>
      <c r="J1068" s="136"/>
      <c r="K1068" s="136"/>
      <c r="L1068" s="136"/>
      <c r="M1068" s="136"/>
      <c r="N1068" s="136"/>
      <c r="O1068" s="142"/>
      <c r="P1068" s="140"/>
      <c r="Q1068" s="139"/>
      <c r="R1068" s="139"/>
      <c r="S1068" s="139"/>
      <c r="T1068" s="140" t="str">
        <f t="shared" si="7"/>
        <v/>
      </c>
      <c r="U1068" s="136"/>
      <c r="V1068" s="136"/>
      <c r="W1068" s="136"/>
      <c r="X1068" s="136"/>
      <c r="Y1068" s="145"/>
      <c r="Z1068" s="145"/>
    </row>
    <row r="1069">
      <c r="E1069" s="136"/>
      <c r="F1069" s="136"/>
      <c r="G1069" s="136"/>
      <c r="H1069" s="137"/>
      <c r="I1069" s="136"/>
      <c r="J1069" s="136"/>
      <c r="K1069" s="136"/>
      <c r="L1069" s="136"/>
      <c r="M1069" s="136"/>
      <c r="N1069" s="136"/>
      <c r="O1069" s="142"/>
      <c r="P1069" s="140"/>
      <c r="Q1069" s="139"/>
      <c r="R1069" s="139"/>
      <c r="S1069" s="139"/>
      <c r="T1069" s="140" t="str">
        <f t="shared" si="7"/>
        <v/>
      </c>
      <c r="U1069" s="136"/>
      <c r="V1069" s="136"/>
      <c r="W1069" s="136"/>
      <c r="X1069" s="136"/>
      <c r="Y1069" s="145"/>
      <c r="Z1069" s="145"/>
    </row>
    <row r="1070">
      <c r="E1070" s="136"/>
      <c r="F1070" s="136"/>
      <c r="G1070" s="136"/>
      <c r="H1070" s="137"/>
      <c r="I1070" s="136"/>
      <c r="J1070" s="136"/>
      <c r="K1070" s="136"/>
      <c r="L1070" s="136"/>
      <c r="M1070" s="136"/>
      <c r="N1070" s="136"/>
      <c r="O1070" s="142"/>
      <c r="P1070" s="140"/>
      <c r="Q1070" s="139"/>
      <c r="R1070" s="139"/>
      <c r="S1070" s="139"/>
      <c r="T1070" s="140" t="str">
        <f t="shared" si="7"/>
        <v/>
      </c>
      <c r="U1070" s="136"/>
      <c r="V1070" s="136"/>
      <c r="W1070" s="136"/>
      <c r="X1070" s="136"/>
      <c r="Y1070" s="145"/>
      <c r="Z1070" s="145"/>
    </row>
    <row r="1071">
      <c r="E1071" s="136"/>
      <c r="F1071" s="136"/>
      <c r="G1071" s="136"/>
      <c r="H1071" s="137"/>
      <c r="I1071" s="136"/>
      <c r="J1071" s="136"/>
      <c r="K1071" s="136"/>
      <c r="L1071" s="136"/>
      <c r="M1071" s="136"/>
      <c r="N1071" s="136"/>
      <c r="O1071" s="142"/>
      <c r="P1071" s="140"/>
      <c r="Q1071" s="139"/>
      <c r="R1071" s="139"/>
      <c r="S1071" s="139"/>
      <c r="T1071" s="140" t="str">
        <f t="shared" si="7"/>
        <v/>
      </c>
      <c r="U1071" s="136"/>
      <c r="V1071" s="136"/>
      <c r="W1071" s="136"/>
      <c r="X1071" s="136"/>
      <c r="Y1071" s="145"/>
      <c r="Z1071" s="145"/>
    </row>
    <row r="1072">
      <c r="E1072" s="136"/>
      <c r="F1072" s="136"/>
      <c r="G1072" s="136"/>
      <c r="H1072" s="137"/>
      <c r="I1072" s="136"/>
      <c r="J1072" s="136"/>
      <c r="K1072" s="136"/>
      <c r="L1072" s="136"/>
      <c r="M1072" s="136"/>
      <c r="N1072" s="136"/>
      <c r="O1072" s="142"/>
      <c r="P1072" s="140"/>
      <c r="Q1072" s="139"/>
      <c r="R1072" s="139"/>
      <c r="S1072" s="139"/>
      <c r="T1072" s="140" t="str">
        <f t="shared" si="7"/>
        <v/>
      </c>
      <c r="U1072" s="136"/>
      <c r="V1072" s="136"/>
      <c r="W1072" s="136"/>
      <c r="X1072" s="136"/>
      <c r="Y1072" s="145"/>
      <c r="Z1072" s="145"/>
    </row>
    <row r="1073">
      <c r="E1073" s="136"/>
      <c r="F1073" s="136"/>
      <c r="G1073" s="136"/>
      <c r="H1073" s="137"/>
      <c r="I1073" s="136"/>
      <c r="J1073" s="136"/>
      <c r="K1073" s="136"/>
      <c r="L1073" s="136"/>
      <c r="M1073" s="136"/>
      <c r="N1073" s="136"/>
      <c r="O1073" s="142"/>
      <c r="P1073" s="140"/>
      <c r="Q1073" s="139"/>
      <c r="R1073" s="139"/>
      <c r="S1073" s="139"/>
      <c r="T1073" s="140" t="str">
        <f t="shared" si="7"/>
        <v/>
      </c>
      <c r="U1073" s="136"/>
      <c r="V1073" s="136"/>
      <c r="W1073" s="136"/>
      <c r="X1073" s="136"/>
      <c r="Y1073" s="145"/>
      <c r="Z1073" s="145"/>
    </row>
    <row r="1074">
      <c r="E1074" s="136"/>
      <c r="F1074" s="136"/>
      <c r="G1074" s="136"/>
      <c r="H1074" s="137"/>
      <c r="I1074" s="136"/>
      <c r="J1074" s="136"/>
      <c r="K1074" s="136"/>
      <c r="L1074" s="136"/>
      <c r="M1074" s="136"/>
      <c r="N1074" s="136"/>
      <c r="O1074" s="142"/>
      <c r="P1074" s="140"/>
      <c r="Q1074" s="139"/>
      <c r="R1074" s="139"/>
      <c r="S1074" s="139"/>
      <c r="T1074" s="140" t="str">
        <f t="shared" si="7"/>
        <v/>
      </c>
      <c r="U1074" s="136"/>
      <c r="V1074" s="136"/>
      <c r="W1074" s="136"/>
      <c r="X1074" s="136"/>
      <c r="Y1074" s="145"/>
      <c r="Z1074" s="145"/>
    </row>
    <row r="1075">
      <c r="E1075" s="136"/>
      <c r="F1075" s="136"/>
      <c r="G1075" s="136"/>
      <c r="H1075" s="137"/>
      <c r="I1075" s="136"/>
      <c r="J1075" s="136"/>
      <c r="K1075" s="136"/>
      <c r="L1075" s="136"/>
      <c r="M1075" s="136"/>
      <c r="N1075" s="136"/>
      <c r="O1075" s="142"/>
      <c r="P1075" s="140"/>
      <c r="Q1075" s="139"/>
      <c r="R1075" s="139"/>
      <c r="S1075" s="139"/>
      <c r="T1075" s="140" t="str">
        <f t="shared" si="7"/>
        <v/>
      </c>
      <c r="U1075" s="136"/>
      <c r="V1075" s="136"/>
      <c r="W1075" s="136"/>
      <c r="X1075" s="136"/>
      <c r="Y1075" s="145"/>
      <c r="Z1075" s="145"/>
    </row>
    <row r="1076">
      <c r="E1076" s="136"/>
      <c r="F1076" s="136"/>
      <c r="G1076" s="136"/>
      <c r="H1076" s="137"/>
      <c r="I1076" s="136"/>
      <c r="J1076" s="136"/>
      <c r="K1076" s="136"/>
      <c r="L1076" s="136"/>
      <c r="M1076" s="136"/>
      <c r="N1076" s="136"/>
      <c r="O1076" s="142"/>
      <c r="P1076" s="140"/>
      <c r="Q1076" s="139"/>
      <c r="R1076" s="139"/>
      <c r="S1076" s="139"/>
      <c r="T1076" s="140" t="str">
        <f t="shared" si="7"/>
        <v/>
      </c>
      <c r="U1076" s="136"/>
      <c r="V1076" s="136"/>
      <c r="W1076" s="136"/>
      <c r="X1076" s="136"/>
      <c r="Y1076" s="145"/>
      <c r="Z1076" s="145"/>
    </row>
    <row r="1077">
      <c r="E1077" s="136"/>
      <c r="F1077" s="136"/>
      <c r="G1077" s="136"/>
      <c r="H1077" s="137"/>
      <c r="I1077" s="136"/>
      <c r="J1077" s="136"/>
      <c r="K1077" s="136"/>
      <c r="L1077" s="136"/>
      <c r="M1077" s="136"/>
      <c r="N1077" s="136"/>
      <c r="O1077" s="142"/>
      <c r="P1077" s="140"/>
      <c r="Q1077" s="139"/>
      <c r="R1077" s="139"/>
      <c r="S1077" s="139"/>
      <c r="T1077" s="140" t="str">
        <f t="shared" si="7"/>
        <v/>
      </c>
      <c r="U1077" s="136"/>
      <c r="V1077" s="136"/>
      <c r="W1077" s="136"/>
      <c r="X1077" s="136"/>
      <c r="Y1077" s="145"/>
      <c r="Z1077" s="145"/>
    </row>
    <row r="1078">
      <c r="E1078" s="136"/>
      <c r="F1078" s="136"/>
      <c r="G1078" s="136"/>
      <c r="H1078" s="137"/>
      <c r="I1078" s="136"/>
      <c r="J1078" s="136"/>
      <c r="K1078" s="136"/>
      <c r="L1078" s="136"/>
      <c r="M1078" s="136"/>
      <c r="N1078" s="136"/>
      <c r="O1078" s="142"/>
      <c r="P1078" s="140"/>
      <c r="Q1078" s="139"/>
      <c r="R1078" s="139"/>
      <c r="S1078" s="139"/>
      <c r="T1078" s="140" t="str">
        <f t="shared" si="7"/>
        <v/>
      </c>
      <c r="U1078" s="136"/>
      <c r="V1078" s="136"/>
      <c r="W1078" s="136"/>
      <c r="X1078" s="136"/>
      <c r="Y1078" s="145"/>
      <c r="Z1078" s="145"/>
    </row>
    <row r="1079">
      <c r="E1079" s="136"/>
      <c r="F1079" s="136"/>
      <c r="G1079" s="136"/>
      <c r="H1079" s="137"/>
      <c r="I1079" s="136"/>
      <c r="J1079" s="136"/>
      <c r="K1079" s="136"/>
      <c r="L1079" s="136"/>
      <c r="M1079" s="136"/>
      <c r="N1079" s="136"/>
      <c r="O1079" s="142"/>
      <c r="P1079" s="140"/>
      <c r="Q1079" s="139"/>
      <c r="R1079" s="139"/>
      <c r="S1079" s="139"/>
      <c r="T1079" s="140" t="str">
        <f t="shared" si="7"/>
        <v/>
      </c>
      <c r="U1079" s="136"/>
      <c r="V1079" s="136"/>
      <c r="W1079" s="136"/>
      <c r="X1079" s="136"/>
      <c r="Y1079" s="145"/>
      <c r="Z1079" s="145"/>
    </row>
    <row r="1080">
      <c r="E1080" s="136"/>
      <c r="F1080" s="136"/>
      <c r="G1080" s="136"/>
      <c r="H1080" s="137"/>
      <c r="I1080" s="136"/>
      <c r="J1080" s="136"/>
      <c r="K1080" s="136"/>
      <c r="L1080" s="136"/>
      <c r="M1080" s="136"/>
      <c r="N1080" s="136"/>
      <c r="O1080" s="142"/>
      <c r="P1080" s="140"/>
      <c r="Q1080" s="139"/>
      <c r="R1080" s="139"/>
      <c r="S1080" s="139"/>
      <c r="T1080" s="140" t="str">
        <f t="shared" si="7"/>
        <v/>
      </c>
      <c r="U1080" s="136"/>
      <c r="V1080" s="136"/>
      <c r="W1080" s="136"/>
      <c r="X1080" s="136"/>
      <c r="Y1080" s="145"/>
      <c r="Z1080" s="145"/>
    </row>
    <row r="1081">
      <c r="E1081" s="136"/>
      <c r="F1081" s="136"/>
      <c r="G1081" s="136"/>
      <c r="H1081" s="137"/>
      <c r="I1081" s="136"/>
      <c r="J1081" s="136"/>
      <c r="K1081" s="136"/>
      <c r="L1081" s="136"/>
      <c r="M1081" s="136"/>
      <c r="N1081" s="136"/>
      <c r="O1081" s="142"/>
      <c r="P1081" s="140"/>
      <c r="Q1081" s="139"/>
      <c r="R1081" s="139"/>
      <c r="S1081" s="139"/>
      <c r="T1081" s="140" t="str">
        <f t="shared" si="7"/>
        <v/>
      </c>
      <c r="U1081" s="136"/>
      <c r="V1081" s="136"/>
      <c r="W1081" s="136"/>
      <c r="X1081" s="136"/>
      <c r="Y1081" s="145"/>
      <c r="Z1081" s="145"/>
    </row>
    <row r="1082">
      <c r="E1082" s="136"/>
      <c r="F1082" s="136"/>
      <c r="G1082" s="136"/>
      <c r="H1082" s="137"/>
      <c r="I1082" s="136"/>
      <c r="J1082" s="136"/>
      <c r="K1082" s="136"/>
      <c r="L1082" s="136"/>
      <c r="M1082" s="136"/>
      <c r="N1082" s="136"/>
      <c r="O1082" s="142"/>
      <c r="P1082" s="140"/>
      <c r="Q1082" s="139"/>
      <c r="R1082" s="139"/>
      <c r="S1082" s="139"/>
      <c r="T1082" s="140" t="str">
        <f t="shared" si="7"/>
        <v/>
      </c>
      <c r="U1082" s="136"/>
      <c r="V1082" s="136"/>
      <c r="W1082" s="136"/>
      <c r="X1082" s="136"/>
      <c r="Y1082" s="145"/>
      <c r="Z1082" s="145"/>
    </row>
    <row r="1083">
      <c r="E1083" s="136"/>
      <c r="F1083" s="136"/>
      <c r="G1083" s="136"/>
      <c r="H1083" s="137"/>
      <c r="I1083" s="136"/>
      <c r="J1083" s="136"/>
      <c r="K1083" s="136"/>
      <c r="L1083" s="136"/>
      <c r="M1083" s="136"/>
      <c r="N1083" s="136"/>
      <c r="O1083" s="142"/>
      <c r="P1083" s="140"/>
      <c r="Q1083" s="139"/>
      <c r="R1083" s="139"/>
      <c r="S1083" s="139"/>
      <c r="T1083" s="140" t="str">
        <f t="shared" si="7"/>
        <v/>
      </c>
      <c r="U1083" s="136"/>
      <c r="V1083" s="136"/>
      <c r="W1083" s="136"/>
      <c r="X1083" s="136"/>
      <c r="Y1083" s="145"/>
      <c r="Z1083" s="145"/>
    </row>
    <row r="1084">
      <c r="E1084" s="136"/>
      <c r="F1084" s="136"/>
      <c r="G1084" s="136"/>
      <c r="H1084" s="137"/>
      <c r="I1084" s="136"/>
      <c r="J1084" s="136"/>
      <c r="K1084" s="136"/>
      <c r="L1084" s="136"/>
      <c r="M1084" s="136"/>
      <c r="N1084" s="136"/>
      <c r="O1084" s="142"/>
      <c r="P1084" s="140"/>
      <c r="Q1084" s="139"/>
      <c r="R1084" s="139"/>
      <c r="S1084" s="139"/>
      <c r="T1084" s="140" t="str">
        <f t="shared" si="7"/>
        <v/>
      </c>
      <c r="U1084" s="136"/>
      <c r="V1084" s="136"/>
      <c r="W1084" s="136"/>
      <c r="X1084" s="136"/>
      <c r="Y1084" s="145"/>
      <c r="Z1084" s="145"/>
    </row>
    <row r="1085">
      <c r="E1085" s="136"/>
      <c r="F1085" s="136"/>
      <c r="G1085" s="136"/>
      <c r="H1085" s="137"/>
      <c r="I1085" s="136"/>
      <c r="J1085" s="136"/>
      <c r="K1085" s="136"/>
      <c r="L1085" s="136"/>
      <c r="M1085" s="136"/>
      <c r="N1085" s="136"/>
      <c r="O1085" s="142"/>
      <c r="P1085" s="140"/>
      <c r="Q1085" s="139"/>
      <c r="R1085" s="139"/>
      <c r="S1085" s="139"/>
      <c r="T1085" s="140" t="str">
        <f t="shared" si="7"/>
        <v/>
      </c>
      <c r="U1085" s="136"/>
      <c r="V1085" s="136"/>
      <c r="W1085" s="136"/>
      <c r="X1085" s="136"/>
      <c r="Y1085" s="145"/>
      <c r="Z1085" s="145"/>
    </row>
    <row r="1086">
      <c r="E1086" s="136"/>
      <c r="F1086" s="136"/>
      <c r="G1086" s="136"/>
      <c r="H1086" s="137"/>
      <c r="I1086" s="136"/>
      <c r="J1086" s="136"/>
      <c r="K1086" s="136"/>
      <c r="L1086" s="136"/>
      <c r="M1086" s="136"/>
      <c r="N1086" s="136"/>
      <c r="O1086" s="142"/>
      <c r="P1086" s="140"/>
      <c r="Q1086" s="139"/>
      <c r="R1086" s="139"/>
      <c r="S1086" s="139"/>
      <c r="T1086" s="140" t="str">
        <f t="shared" si="7"/>
        <v/>
      </c>
      <c r="U1086" s="136"/>
      <c r="V1086" s="136"/>
      <c r="W1086" s="136"/>
      <c r="X1086" s="136"/>
      <c r="Y1086" s="145"/>
      <c r="Z1086" s="145"/>
    </row>
    <row r="1087">
      <c r="E1087" s="136"/>
      <c r="F1087" s="136"/>
      <c r="G1087" s="136"/>
      <c r="H1087" s="137"/>
      <c r="I1087" s="136"/>
      <c r="J1087" s="136"/>
      <c r="K1087" s="136"/>
      <c r="L1087" s="136"/>
      <c r="M1087" s="136"/>
      <c r="N1087" s="136"/>
      <c r="O1087" s="142"/>
      <c r="P1087" s="140"/>
      <c r="Q1087" s="139"/>
      <c r="R1087" s="139"/>
      <c r="S1087" s="139"/>
      <c r="T1087" s="140" t="str">
        <f t="shared" si="7"/>
        <v/>
      </c>
      <c r="U1087" s="136"/>
      <c r="V1087" s="136"/>
      <c r="W1087" s="136"/>
      <c r="X1087" s="136"/>
      <c r="Y1087" s="145"/>
      <c r="Z1087" s="145"/>
    </row>
    <row r="1088">
      <c r="E1088" s="136"/>
      <c r="F1088" s="136"/>
      <c r="G1088" s="136"/>
      <c r="H1088" s="137"/>
      <c r="I1088" s="136"/>
      <c r="J1088" s="136"/>
      <c r="K1088" s="136"/>
      <c r="L1088" s="136"/>
      <c r="M1088" s="136"/>
      <c r="N1088" s="136"/>
      <c r="O1088" s="142"/>
      <c r="P1088" s="140"/>
      <c r="Q1088" s="139"/>
      <c r="R1088" s="139"/>
      <c r="S1088" s="139"/>
      <c r="T1088" s="140" t="str">
        <f t="shared" si="7"/>
        <v/>
      </c>
      <c r="U1088" s="136"/>
      <c r="V1088" s="136"/>
      <c r="W1088" s="136"/>
      <c r="X1088" s="136"/>
      <c r="Y1088" s="145"/>
      <c r="Z1088" s="145"/>
    </row>
    <row r="1089">
      <c r="E1089" s="136"/>
      <c r="F1089" s="136"/>
      <c r="G1089" s="136"/>
      <c r="H1089" s="137"/>
      <c r="I1089" s="136"/>
      <c r="J1089" s="136"/>
      <c r="K1089" s="136"/>
      <c r="L1089" s="136"/>
      <c r="M1089" s="136"/>
      <c r="N1089" s="136"/>
      <c r="O1089" s="142"/>
      <c r="P1089" s="140"/>
      <c r="Q1089" s="139"/>
      <c r="R1089" s="139"/>
      <c r="S1089" s="139"/>
      <c r="T1089" s="140" t="str">
        <f t="shared" si="7"/>
        <v/>
      </c>
      <c r="U1089" s="136"/>
      <c r="V1089" s="136"/>
      <c r="W1089" s="136"/>
      <c r="X1089" s="136"/>
      <c r="Y1089" s="145"/>
      <c r="Z1089" s="145"/>
    </row>
    <row r="1090">
      <c r="E1090" s="136"/>
      <c r="F1090" s="136"/>
      <c r="G1090" s="136"/>
      <c r="H1090" s="137"/>
      <c r="I1090" s="136"/>
      <c r="J1090" s="136"/>
      <c r="K1090" s="136"/>
      <c r="L1090" s="136"/>
      <c r="M1090" s="136"/>
      <c r="N1090" s="136"/>
      <c r="O1090" s="142"/>
      <c r="P1090" s="140"/>
      <c r="Q1090" s="139"/>
      <c r="R1090" s="139"/>
      <c r="S1090" s="139"/>
      <c r="T1090" s="140" t="str">
        <f t="shared" si="7"/>
        <v/>
      </c>
      <c r="U1090" s="136"/>
      <c r="V1090" s="136"/>
      <c r="W1090" s="136"/>
      <c r="X1090" s="136"/>
      <c r="Y1090" s="145"/>
      <c r="Z1090" s="145"/>
    </row>
    <row r="1091">
      <c r="E1091" s="136"/>
      <c r="F1091" s="136"/>
      <c r="G1091" s="136"/>
      <c r="H1091" s="137"/>
      <c r="I1091" s="136"/>
      <c r="J1091" s="136"/>
      <c r="K1091" s="136"/>
      <c r="L1091" s="136"/>
      <c r="M1091" s="136"/>
      <c r="N1091" s="136"/>
      <c r="O1091" s="142"/>
      <c r="P1091" s="140"/>
      <c r="Q1091" s="139"/>
      <c r="R1091" s="139"/>
      <c r="S1091" s="139"/>
      <c r="T1091" s="140" t="str">
        <f t="shared" si="7"/>
        <v/>
      </c>
      <c r="U1091" s="136"/>
      <c r="V1091" s="136"/>
      <c r="W1091" s="136"/>
      <c r="X1091" s="136"/>
      <c r="Y1091" s="145"/>
      <c r="Z1091" s="145"/>
    </row>
    <row r="1092">
      <c r="E1092" s="136"/>
      <c r="F1092" s="136"/>
      <c r="G1092" s="136"/>
      <c r="H1092" s="137"/>
      <c r="I1092" s="136"/>
      <c r="J1092" s="136"/>
      <c r="K1092" s="136"/>
      <c r="L1092" s="136"/>
      <c r="M1092" s="136"/>
      <c r="N1092" s="136"/>
      <c r="O1092" s="142"/>
      <c r="P1092" s="140"/>
      <c r="Q1092" s="139"/>
      <c r="R1092" s="139"/>
      <c r="S1092" s="139"/>
      <c r="T1092" s="140" t="str">
        <f t="shared" si="7"/>
        <v/>
      </c>
      <c r="U1092" s="136"/>
      <c r="V1092" s="136"/>
      <c r="W1092" s="136"/>
      <c r="X1092" s="136"/>
      <c r="Y1092" s="145"/>
      <c r="Z1092" s="145"/>
    </row>
    <row r="1093">
      <c r="E1093" s="136"/>
      <c r="F1093" s="136"/>
      <c r="G1093" s="136"/>
      <c r="H1093" s="137"/>
      <c r="I1093" s="136"/>
      <c r="J1093" s="136"/>
      <c r="K1093" s="136"/>
      <c r="L1093" s="136"/>
      <c r="M1093" s="136"/>
      <c r="N1093" s="136"/>
      <c r="O1093" s="142"/>
      <c r="P1093" s="140"/>
      <c r="Q1093" s="139"/>
      <c r="R1093" s="139"/>
      <c r="S1093" s="139"/>
      <c r="T1093" s="140" t="str">
        <f t="shared" si="7"/>
        <v/>
      </c>
      <c r="U1093" s="136"/>
      <c r="V1093" s="136"/>
      <c r="W1093" s="136"/>
      <c r="X1093" s="136"/>
      <c r="Y1093" s="145"/>
      <c r="Z1093" s="145"/>
    </row>
    <row r="1094">
      <c r="E1094" s="136"/>
      <c r="F1094" s="136"/>
      <c r="G1094" s="136"/>
      <c r="H1094" s="137"/>
      <c r="I1094" s="136"/>
      <c r="J1094" s="136"/>
      <c r="K1094" s="136"/>
      <c r="L1094" s="136"/>
      <c r="M1094" s="136"/>
      <c r="N1094" s="136"/>
      <c r="O1094" s="142"/>
      <c r="P1094" s="140"/>
      <c r="Q1094" s="139"/>
      <c r="R1094" s="139"/>
      <c r="S1094" s="139"/>
      <c r="T1094" s="140" t="str">
        <f t="shared" si="7"/>
        <v/>
      </c>
      <c r="U1094" s="136"/>
      <c r="V1094" s="136"/>
      <c r="W1094" s="136"/>
      <c r="X1094" s="136"/>
      <c r="Y1094" s="145"/>
      <c r="Z1094" s="145"/>
    </row>
    <row r="1095">
      <c r="E1095" s="136"/>
      <c r="F1095" s="136"/>
      <c r="G1095" s="136"/>
      <c r="H1095" s="137"/>
      <c r="I1095" s="136"/>
      <c r="J1095" s="136"/>
      <c r="K1095" s="136"/>
      <c r="L1095" s="136"/>
      <c r="M1095" s="136"/>
      <c r="N1095" s="136"/>
      <c r="O1095" s="142"/>
      <c r="P1095" s="140"/>
      <c r="Q1095" s="139"/>
      <c r="R1095" s="139"/>
      <c r="S1095" s="139"/>
      <c r="T1095" s="140" t="str">
        <f t="shared" si="7"/>
        <v/>
      </c>
      <c r="U1095" s="136"/>
      <c r="V1095" s="136"/>
      <c r="W1095" s="136"/>
      <c r="X1095" s="136"/>
      <c r="Y1095" s="145"/>
      <c r="Z1095" s="145"/>
    </row>
    <row r="1096">
      <c r="E1096" s="136"/>
      <c r="F1096" s="136"/>
      <c r="G1096" s="136"/>
      <c r="H1096" s="137"/>
      <c r="I1096" s="136"/>
      <c r="J1096" s="136"/>
      <c r="K1096" s="136"/>
      <c r="L1096" s="136"/>
      <c r="M1096" s="136"/>
      <c r="N1096" s="136"/>
      <c r="O1096" s="142"/>
      <c r="P1096" s="140"/>
      <c r="Q1096" s="139"/>
      <c r="R1096" s="139"/>
      <c r="S1096" s="139"/>
      <c r="T1096" s="140" t="str">
        <f t="shared" si="7"/>
        <v/>
      </c>
      <c r="U1096" s="136"/>
      <c r="V1096" s="136"/>
      <c r="W1096" s="136"/>
      <c r="X1096" s="136"/>
      <c r="Y1096" s="145"/>
      <c r="Z1096" s="145"/>
    </row>
    <row r="1097">
      <c r="E1097" s="136"/>
      <c r="F1097" s="136"/>
      <c r="G1097" s="136"/>
      <c r="H1097" s="137"/>
      <c r="I1097" s="136"/>
      <c r="J1097" s="136"/>
      <c r="K1097" s="136"/>
      <c r="L1097" s="136"/>
      <c r="M1097" s="136"/>
      <c r="N1097" s="136"/>
      <c r="O1097" s="142"/>
      <c r="P1097" s="140"/>
      <c r="Q1097" s="139"/>
      <c r="R1097" s="139"/>
      <c r="S1097" s="139"/>
      <c r="T1097" s="140" t="str">
        <f t="shared" si="7"/>
        <v/>
      </c>
      <c r="U1097" s="136"/>
      <c r="V1097" s="136"/>
      <c r="W1097" s="136"/>
      <c r="X1097" s="136"/>
      <c r="Y1097" s="145"/>
      <c r="Z1097" s="145"/>
    </row>
    <row r="1098">
      <c r="E1098" s="136"/>
      <c r="F1098" s="136"/>
      <c r="G1098" s="136"/>
      <c r="H1098" s="137"/>
      <c r="I1098" s="136"/>
      <c r="J1098" s="136"/>
      <c r="K1098" s="136"/>
      <c r="L1098" s="136"/>
      <c r="M1098" s="136"/>
      <c r="N1098" s="136"/>
      <c r="O1098" s="142"/>
      <c r="P1098" s="140"/>
      <c r="Q1098" s="139"/>
      <c r="R1098" s="139"/>
      <c r="S1098" s="139"/>
      <c r="T1098" s="140" t="str">
        <f t="shared" si="7"/>
        <v/>
      </c>
      <c r="U1098" s="136"/>
      <c r="V1098" s="136"/>
      <c r="W1098" s="136"/>
      <c r="X1098" s="136"/>
      <c r="Y1098" s="145"/>
      <c r="Z1098" s="145"/>
    </row>
    <row r="1099">
      <c r="E1099" s="136"/>
      <c r="F1099" s="136"/>
      <c r="G1099" s="136"/>
      <c r="H1099" s="137"/>
      <c r="I1099" s="136"/>
      <c r="J1099" s="136"/>
      <c r="K1099" s="136"/>
      <c r="L1099" s="136"/>
      <c r="M1099" s="136"/>
      <c r="N1099" s="136"/>
      <c r="O1099" s="142"/>
      <c r="P1099" s="140"/>
      <c r="Q1099" s="139"/>
      <c r="R1099" s="139"/>
      <c r="S1099" s="139"/>
      <c r="T1099" s="140" t="str">
        <f t="shared" si="7"/>
        <v/>
      </c>
      <c r="U1099" s="136"/>
      <c r="V1099" s="136"/>
      <c r="W1099" s="136"/>
      <c r="X1099" s="136"/>
      <c r="Y1099" s="145"/>
      <c r="Z1099" s="145"/>
    </row>
    <row r="1100">
      <c r="E1100" s="136"/>
      <c r="F1100" s="136"/>
      <c r="G1100" s="136"/>
      <c r="H1100" s="137"/>
      <c r="I1100" s="136"/>
      <c r="J1100" s="136"/>
      <c r="K1100" s="136"/>
      <c r="L1100" s="136"/>
      <c r="M1100" s="136"/>
      <c r="N1100" s="136"/>
      <c r="O1100" s="142"/>
      <c r="P1100" s="140"/>
      <c r="Q1100" s="139"/>
      <c r="R1100" s="139"/>
      <c r="S1100" s="139"/>
      <c r="T1100" s="140" t="str">
        <f t="shared" si="7"/>
        <v/>
      </c>
      <c r="U1100" s="136"/>
      <c r="V1100" s="136"/>
      <c r="W1100" s="136"/>
      <c r="X1100" s="136"/>
      <c r="Y1100" s="145"/>
      <c r="Z1100" s="145"/>
    </row>
    <row r="1101">
      <c r="E1101" s="136"/>
      <c r="F1101" s="136"/>
      <c r="G1101" s="136"/>
      <c r="H1101" s="137"/>
      <c r="I1101" s="136"/>
      <c r="J1101" s="136"/>
      <c r="K1101" s="136"/>
      <c r="L1101" s="136"/>
      <c r="M1101" s="136"/>
      <c r="N1101" s="136"/>
      <c r="O1101" s="142"/>
      <c r="P1101" s="140"/>
      <c r="Q1101" s="139"/>
      <c r="R1101" s="139"/>
      <c r="S1101" s="139"/>
      <c r="T1101" s="140" t="str">
        <f t="shared" si="7"/>
        <v/>
      </c>
      <c r="U1101" s="136"/>
      <c r="V1101" s="136"/>
      <c r="W1101" s="136"/>
      <c r="X1101" s="136"/>
      <c r="Y1101" s="145"/>
      <c r="Z1101" s="145"/>
    </row>
    <row r="1102">
      <c r="E1102" s="136"/>
      <c r="F1102" s="136"/>
      <c r="G1102" s="136"/>
      <c r="H1102" s="137"/>
      <c r="I1102" s="136"/>
      <c r="J1102" s="136"/>
      <c r="K1102" s="136"/>
      <c r="L1102" s="136"/>
      <c r="M1102" s="136"/>
      <c r="N1102" s="136"/>
      <c r="O1102" s="142"/>
      <c r="P1102" s="140"/>
      <c r="Q1102" s="139"/>
      <c r="R1102" s="139"/>
      <c r="S1102" s="139"/>
      <c r="T1102" s="140" t="str">
        <f t="shared" si="7"/>
        <v/>
      </c>
      <c r="U1102" s="136"/>
      <c r="V1102" s="136"/>
      <c r="W1102" s="136"/>
      <c r="X1102" s="136"/>
      <c r="Y1102" s="145"/>
      <c r="Z1102" s="145"/>
    </row>
    <row r="1103">
      <c r="E1103" s="136"/>
      <c r="F1103" s="136"/>
      <c r="G1103" s="136"/>
      <c r="H1103" s="137"/>
      <c r="I1103" s="136"/>
      <c r="J1103" s="136"/>
      <c r="K1103" s="136"/>
      <c r="L1103" s="136"/>
      <c r="M1103" s="136"/>
      <c r="N1103" s="136"/>
      <c r="O1103" s="142"/>
      <c r="P1103" s="140"/>
      <c r="Q1103" s="139"/>
      <c r="R1103" s="139"/>
      <c r="S1103" s="139"/>
      <c r="T1103" s="140" t="str">
        <f t="shared" si="7"/>
        <v/>
      </c>
      <c r="U1103" s="136"/>
      <c r="V1103" s="136"/>
      <c r="W1103" s="136"/>
      <c r="X1103" s="136"/>
      <c r="Y1103" s="145"/>
      <c r="Z1103" s="145"/>
    </row>
    <row r="1104">
      <c r="E1104" s="136"/>
      <c r="F1104" s="136"/>
      <c r="G1104" s="136"/>
      <c r="H1104" s="137"/>
      <c r="I1104" s="136"/>
      <c r="J1104" s="136"/>
      <c r="K1104" s="136"/>
      <c r="L1104" s="136"/>
      <c r="M1104" s="136"/>
      <c r="N1104" s="136"/>
      <c r="O1104" s="142"/>
      <c r="P1104" s="140"/>
      <c r="Q1104" s="139"/>
      <c r="R1104" s="139"/>
      <c r="S1104" s="139"/>
      <c r="T1104" s="140" t="str">
        <f t="shared" si="7"/>
        <v/>
      </c>
      <c r="U1104" s="136"/>
      <c r="V1104" s="136"/>
      <c r="W1104" s="136"/>
      <c r="X1104" s="136"/>
      <c r="Y1104" s="145"/>
      <c r="Z1104" s="145"/>
    </row>
    <row r="1105">
      <c r="E1105" s="136"/>
      <c r="F1105" s="136"/>
      <c r="G1105" s="136"/>
      <c r="H1105" s="137"/>
      <c r="I1105" s="136"/>
      <c r="J1105" s="136"/>
      <c r="K1105" s="136"/>
      <c r="L1105" s="136"/>
      <c r="M1105" s="136"/>
      <c r="N1105" s="136"/>
      <c r="O1105" s="142"/>
      <c r="P1105" s="140"/>
      <c r="Q1105" s="139"/>
      <c r="R1105" s="139"/>
      <c r="S1105" s="139"/>
      <c r="T1105" s="140" t="str">
        <f t="shared" si="7"/>
        <v/>
      </c>
      <c r="U1105" s="136"/>
      <c r="V1105" s="136"/>
      <c r="W1105" s="136"/>
      <c r="X1105" s="136"/>
      <c r="Y1105" s="145"/>
      <c r="Z1105" s="145"/>
    </row>
    <row r="1106">
      <c r="E1106" s="136"/>
      <c r="F1106" s="136"/>
      <c r="G1106" s="136"/>
      <c r="H1106" s="137"/>
      <c r="I1106" s="136"/>
      <c r="J1106" s="136"/>
      <c r="K1106" s="136"/>
      <c r="L1106" s="136"/>
      <c r="M1106" s="136"/>
      <c r="N1106" s="136"/>
      <c r="O1106" s="142"/>
      <c r="P1106" s="140"/>
      <c r="Q1106" s="139"/>
      <c r="R1106" s="139"/>
      <c r="S1106" s="139"/>
      <c r="T1106" s="140" t="str">
        <f t="shared" si="7"/>
        <v/>
      </c>
      <c r="U1106" s="136"/>
      <c r="V1106" s="136"/>
      <c r="W1106" s="136"/>
      <c r="X1106" s="136"/>
      <c r="Y1106" s="145"/>
      <c r="Z1106" s="145"/>
    </row>
    <row r="1107">
      <c r="E1107" s="136"/>
      <c r="F1107" s="136"/>
      <c r="G1107" s="136"/>
      <c r="H1107" s="137"/>
      <c r="I1107" s="136"/>
      <c r="J1107" s="136"/>
      <c r="K1107" s="136"/>
      <c r="L1107" s="136"/>
      <c r="M1107" s="136"/>
      <c r="N1107" s="136"/>
      <c r="O1107" s="142"/>
      <c r="P1107" s="140"/>
      <c r="Q1107" s="139"/>
      <c r="R1107" s="139"/>
      <c r="S1107" s="139"/>
      <c r="T1107" s="140" t="str">
        <f t="shared" si="7"/>
        <v/>
      </c>
      <c r="U1107" s="136"/>
      <c r="V1107" s="136"/>
      <c r="W1107" s="136"/>
      <c r="X1107" s="136"/>
      <c r="Y1107" s="145"/>
      <c r="Z1107" s="145"/>
    </row>
    <row r="1108">
      <c r="E1108" s="136"/>
      <c r="F1108" s="136"/>
      <c r="G1108" s="136"/>
      <c r="H1108" s="137"/>
      <c r="I1108" s="136"/>
      <c r="J1108" s="136"/>
      <c r="K1108" s="136"/>
      <c r="L1108" s="136"/>
      <c r="M1108" s="136"/>
      <c r="N1108" s="136"/>
      <c r="O1108" s="142"/>
      <c r="P1108" s="140"/>
      <c r="Q1108" s="139"/>
      <c r="R1108" s="139"/>
      <c r="S1108" s="139"/>
      <c r="T1108" s="140" t="str">
        <f t="shared" si="7"/>
        <v/>
      </c>
      <c r="U1108" s="136"/>
      <c r="V1108" s="136"/>
      <c r="W1108" s="136"/>
      <c r="X1108" s="136"/>
      <c r="Y1108" s="145"/>
      <c r="Z1108" s="145"/>
    </row>
    <row r="1109">
      <c r="E1109" s="136"/>
      <c r="F1109" s="136"/>
      <c r="G1109" s="136"/>
      <c r="H1109" s="137"/>
      <c r="I1109" s="136"/>
      <c r="J1109" s="136"/>
      <c r="K1109" s="136"/>
      <c r="L1109" s="136"/>
      <c r="M1109" s="136"/>
      <c r="N1109" s="136"/>
      <c r="O1109" s="142"/>
      <c r="P1109" s="140"/>
      <c r="Q1109" s="139"/>
      <c r="R1109" s="139"/>
      <c r="S1109" s="139"/>
      <c r="T1109" s="140" t="str">
        <f t="shared" si="7"/>
        <v/>
      </c>
      <c r="U1109" s="136"/>
      <c r="V1109" s="136"/>
      <c r="W1109" s="136"/>
      <c r="X1109" s="136"/>
      <c r="Y1109" s="145"/>
      <c r="Z1109" s="145"/>
    </row>
    <row r="1110">
      <c r="E1110" s="136"/>
      <c r="F1110" s="136"/>
      <c r="G1110" s="136"/>
      <c r="H1110" s="137"/>
      <c r="I1110" s="136"/>
      <c r="J1110" s="136"/>
      <c r="K1110" s="136"/>
      <c r="L1110" s="136"/>
      <c r="M1110" s="136"/>
      <c r="N1110" s="136"/>
      <c r="O1110" s="142"/>
      <c r="P1110" s="140"/>
      <c r="Q1110" s="139"/>
      <c r="R1110" s="139"/>
      <c r="S1110" s="139"/>
      <c r="T1110" s="140" t="str">
        <f t="shared" si="7"/>
        <v/>
      </c>
      <c r="U1110" s="136"/>
      <c r="V1110" s="136"/>
      <c r="W1110" s="136"/>
      <c r="X1110" s="136"/>
      <c r="Y1110" s="145"/>
      <c r="Z1110" s="145"/>
    </row>
    <row r="1111">
      <c r="E1111" s="136"/>
      <c r="F1111" s="136"/>
      <c r="G1111" s="136"/>
      <c r="H1111" s="137"/>
      <c r="I1111" s="136"/>
      <c r="J1111" s="136"/>
      <c r="K1111" s="136"/>
      <c r="L1111" s="136"/>
      <c r="M1111" s="136"/>
      <c r="N1111" s="136"/>
      <c r="O1111" s="142"/>
      <c r="P1111" s="140"/>
      <c r="Q1111" s="139"/>
      <c r="R1111" s="139"/>
      <c r="S1111" s="139"/>
      <c r="T1111" s="140" t="str">
        <f t="shared" si="7"/>
        <v/>
      </c>
      <c r="U1111" s="136"/>
      <c r="V1111" s="136"/>
      <c r="W1111" s="136"/>
      <c r="X1111" s="136"/>
      <c r="Y1111" s="145"/>
      <c r="Z1111" s="145"/>
    </row>
    <row r="1112">
      <c r="E1112" s="136"/>
      <c r="F1112" s="136"/>
      <c r="G1112" s="136"/>
      <c r="H1112" s="137"/>
      <c r="I1112" s="136"/>
      <c r="J1112" s="136"/>
      <c r="K1112" s="136"/>
      <c r="L1112" s="136"/>
      <c r="M1112" s="136"/>
      <c r="N1112" s="136"/>
      <c r="O1112" s="142"/>
      <c r="P1112" s="140"/>
      <c r="Q1112" s="139"/>
      <c r="R1112" s="139"/>
      <c r="S1112" s="139"/>
      <c r="T1112" s="140" t="str">
        <f t="shared" si="7"/>
        <v/>
      </c>
      <c r="U1112" s="136"/>
      <c r="V1112" s="136"/>
      <c r="W1112" s="136"/>
      <c r="X1112" s="136"/>
      <c r="Y1112" s="145"/>
      <c r="Z1112" s="145"/>
    </row>
    <row r="1113">
      <c r="E1113" s="136"/>
      <c r="F1113" s="136"/>
      <c r="G1113" s="136"/>
      <c r="H1113" s="137"/>
      <c r="I1113" s="136"/>
      <c r="J1113" s="136"/>
      <c r="K1113" s="136"/>
      <c r="L1113" s="136"/>
      <c r="M1113" s="136"/>
      <c r="N1113" s="136"/>
      <c r="O1113" s="142"/>
      <c r="P1113" s="140"/>
      <c r="Q1113" s="139"/>
      <c r="R1113" s="139"/>
      <c r="S1113" s="139"/>
      <c r="T1113" s="140" t="str">
        <f t="shared" si="7"/>
        <v/>
      </c>
      <c r="U1113" s="136"/>
      <c r="V1113" s="136"/>
      <c r="W1113" s="136"/>
      <c r="X1113" s="136"/>
      <c r="Y1113" s="145"/>
      <c r="Z1113" s="145"/>
    </row>
    <row r="1114">
      <c r="E1114" s="136"/>
      <c r="F1114" s="136"/>
      <c r="G1114" s="136"/>
      <c r="H1114" s="137"/>
      <c r="I1114" s="136"/>
      <c r="J1114" s="136"/>
      <c r="K1114" s="136"/>
      <c r="L1114" s="136"/>
      <c r="M1114" s="136"/>
      <c r="N1114" s="136"/>
      <c r="O1114" s="142"/>
      <c r="P1114" s="140"/>
      <c r="Q1114" s="139"/>
      <c r="R1114" s="139"/>
      <c r="S1114" s="139"/>
      <c r="T1114" s="140" t="str">
        <f t="shared" si="7"/>
        <v/>
      </c>
      <c r="U1114" s="136"/>
      <c r="V1114" s="136"/>
      <c r="W1114" s="136"/>
      <c r="X1114" s="136"/>
      <c r="Y1114" s="145"/>
      <c r="Z1114" s="145"/>
    </row>
    <row r="1115">
      <c r="E1115" s="136"/>
      <c r="F1115" s="136"/>
      <c r="G1115" s="136"/>
      <c r="H1115" s="137"/>
      <c r="I1115" s="136"/>
      <c r="J1115" s="136"/>
      <c r="K1115" s="136"/>
      <c r="L1115" s="136"/>
      <c r="M1115" s="136"/>
      <c r="N1115" s="136"/>
      <c r="O1115" s="142"/>
      <c r="P1115" s="140"/>
      <c r="Q1115" s="139"/>
      <c r="R1115" s="139"/>
      <c r="S1115" s="139"/>
      <c r="T1115" s="140" t="str">
        <f t="shared" si="7"/>
        <v/>
      </c>
      <c r="U1115" s="136"/>
      <c r="V1115" s="136"/>
      <c r="W1115" s="136"/>
      <c r="X1115" s="136"/>
      <c r="Y1115" s="145"/>
      <c r="Z1115" s="145"/>
    </row>
    <row r="1116">
      <c r="E1116" s="136"/>
      <c r="F1116" s="136"/>
      <c r="G1116" s="136"/>
      <c r="H1116" s="137"/>
      <c r="I1116" s="136"/>
      <c r="J1116" s="136"/>
      <c r="K1116" s="136"/>
      <c r="L1116" s="136"/>
      <c r="M1116" s="136"/>
      <c r="N1116" s="136"/>
      <c r="O1116" s="142"/>
      <c r="P1116" s="140"/>
      <c r="Q1116" s="139"/>
      <c r="R1116" s="139"/>
      <c r="S1116" s="139"/>
      <c r="T1116" s="140" t="str">
        <f t="shared" si="7"/>
        <v/>
      </c>
      <c r="U1116" s="136"/>
      <c r="V1116" s="136"/>
      <c r="W1116" s="136"/>
      <c r="X1116" s="136"/>
      <c r="Y1116" s="145"/>
      <c r="Z1116" s="145"/>
    </row>
    <row r="1117">
      <c r="E1117" s="136"/>
      <c r="F1117" s="136"/>
      <c r="G1117" s="136"/>
      <c r="H1117" s="137"/>
      <c r="I1117" s="136"/>
      <c r="J1117" s="136"/>
      <c r="K1117" s="136"/>
      <c r="L1117" s="136"/>
      <c r="M1117" s="136"/>
      <c r="N1117" s="136"/>
      <c r="O1117" s="142"/>
      <c r="P1117" s="140"/>
      <c r="Q1117" s="139"/>
      <c r="R1117" s="139"/>
      <c r="S1117" s="139"/>
      <c r="T1117" s="140" t="str">
        <f t="shared" si="7"/>
        <v/>
      </c>
      <c r="U1117" s="136"/>
      <c r="V1117" s="136"/>
      <c r="W1117" s="136"/>
      <c r="X1117" s="136"/>
      <c r="Y1117" s="145"/>
      <c r="Z1117" s="145"/>
    </row>
    <row r="1118">
      <c r="E1118" s="136"/>
      <c r="F1118" s="136"/>
      <c r="G1118" s="136"/>
      <c r="H1118" s="137"/>
      <c r="I1118" s="136"/>
      <c r="J1118" s="136"/>
      <c r="K1118" s="136"/>
      <c r="L1118" s="136"/>
      <c r="M1118" s="136"/>
      <c r="N1118" s="136"/>
      <c r="O1118" s="142"/>
      <c r="P1118" s="140"/>
      <c r="Q1118" s="139"/>
      <c r="R1118" s="139"/>
      <c r="S1118" s="139"/>
      <c r="T1118" s="140" t="str">
        <f t="shared" si="7"/>
        <v/>
      </c>
      <c r="U1118" s="136"/>
      <c r="V1118" s="136"/>
      <c r="W1118" s="136"/>
      <c r="X1118" s="136"/>
      <c r="Y1118" s="145"/>
      <c r="Z1118" s="145"/>
    </row>
    <row r="1119">
      <c r="E1119" s="136"/>
      <c r="F1119" s="136"/>
      <c r="G1119" s="136"/>
      <c r="H1119" s="137"/>
      <c r="I1119" s="136"/>
      <c r="J1119" s="136"/>
      <c r="K1119" s="136"/>
      <c r="L1119" s="136"/>
      <c r="M1119" s="136"/>
      <c r="N1119" s="136"/>
      <c r="O1119" s="142"/>
      <c r="P1119" s="140"/>
      <c r="Q1119" s="139"/>
      <c r="R1119" s="139"/>
      <c r="S1119" s="139"/>
      <c r="T1119" s="140" t="str">
        <f t="shared" si="7"/>
        <v/>
      </c>
      <c r="U1119" s="136"/>
      <c r="V1119" s="136"/>
      <c r="W1119" s="136"/>
      <c r="X1119" s="136"/>
      <c r="Y1119" s="145"/>
      <c r="Z1119" s="145"/>
    </row>
    <row r="1120">
      <c r="E1120" s="136"/>
      <c r="F1120" s="136"/>
      <c r="G1120" s="136"/>
      <c r="H1120" s="137"/>
      <c r="I1120" s="136"/>
      <c r="J1120" s="136"/>
      <c r="K1120" s="136"/>
      <c r="L1120" s="136"/>
      <c r="M1120" s="136"/>
      <c r="N1120" s="136"/>
      <c r="O1120" s="142"/>
      <c r="P1120" s="140"/>
      <c r="Q1120" s="139"/>
      <c r="R1120" s="139"/>
      <c r="S1120" s="139"/>
      <c r="T1120" s="140" t="str">
        <f t="shared" si="7"/>
        <v/>
      </c>
      <c r="U1120" s="136"/>
      <c r="V1120" s="136"/>
      <c r="W1120" s="136"/>
      <c r="X1120" s="136"/>
      <c r="Y1120" s="145"/>
      <c r="Z1120" s="145"/>
    </row>
    <row r="1121">
      <c r="E1121" s="136"/>
      <c r="F1121" s="136"/>
      <c r="G1121" s="136"/>
      <c r="H1121" s="137"/>
      <c r="I1121" s="136"/>
      <c r="J1121" s="136"/>
      <c r="K1121" s="136"/>
      <c r="L1121" s="136"/>
      <c r="M1121" s="136"/>
      <c r="N1121" s="136"/>
      <c r="O1121" s="142"/>
      <c r="P1121" s="140"/>
      <c r="Q1121" s="139"/>
      <c r="R1121" s="139"/>
      <c r="S1121" s="139"/>
      <c r="T1121" s="140" t="str">
        <f t="shared" si="7"/>
        <v/>
      </c>
      <c r="U1121" s="136"/>
      <c r="V1121" s="136"/>
      <c r="W1121" s="136"/>
      <c r="X1121" s="136"/>
      <c r="Y1121" s="145"/>
      <c r="Z1121" s="145"/>
    </row>
    <row r="1122">
      <c r="E1122" s="136"/>
      <c r="F1122" s="136"/>
      <c r="G1122" s="136"/>
      <c r="H1122" s="137"/>
      <c r="I1122" s="136"/>
      <c r="J1122" s="136"/>
      <c r="K1122" s="136"/>
      <c r="L1122" s="136"/>
      <c r="M1122" s="136"/>
      <c r="N1122" s="136"/>
      <c r="O1122" s="142"/>
      <c r="P1122" s="140"/>
      <c r="Q1122" s="139"/>
      <c r="R1122" s="139"/>
      <c r="S1122" s="139"/>
      <c r="T1122" s="140" t="str">
        <f t="shared" si="7"/>
        <v/>
      </c>
      <c r="U1122" s="136"/>
      <c r="V1122" s="136"/>
      <c r="W1122" s="136"/>
      <c r="X1122" s="136"/>
      <c r="Y1122" s="145"/>
      <c r="Z1122" s="145"/>
    </row>
    <row r="1123">
      <c r="E1123" s="136"/>
      <c r="F1123" s="136"/>
      <c r="G1123" s="136"/>
      <c r="H1123" s="137"/>
      <c r="I1123" s="136"/>
      <c r="J1123" s="136"/>
      <c r="K1123" s="136"/>
      <c r="L1123" s="136"/>
      <c r="M1123" s="136"/>
      <c r="N1123" s="136"/>
      <c r="O1123" s="142"/>
      <c r="P1123" s="140"/>
      <c r="Q1123" s="139"/>
      <c r="R1123" s="139"/>
      <c r="S1123" s="139"/>
      <c r="T1123" s="140" t="str">
        <f t="shared" si="7"/>
        <v/>
      </c>
      <c r="U1123" s="136"/>
      <c r="V1123" s="136"/>
      <c r="W1123" s="136"/>
      <c r="X1123" s="136"/>
      <c r="Y1123" s="145"/>
      <c r="Z1123" s="145"/>
    </row>
    <row r="1124">
      <c r="E1124" s="136"/>
      <c r="F1124" s="136"/>
      <c r="G1124" s="136"/>
      <c r="H1124" s="137"/>
      <c r="I1124" s="136"/>
      <c r="J1124" s="136"/>
      <c r="K1124" s="136"/>
      <c r="L1124" s="136"/>
      <c r="M1124" s="136"/>
      <c r="N1124" s="136"/>
      <c r="O1124" s="142"/>
      <c r="P1124" s="140"/>
      <c r="Q1124" s="139"/>
      <c r="R1124" s="139"/>
      <c r="S1124" s="139"/>
      <c r="T1124" s="140" t="str">
        <f t="shared" si="7"/>
        <v/>
      </c>
      <c r="U1124" s="136"/>
      <c r="V1124" s="136"/>
      <c r="W1124" s="136"/>
      <c r="X1124" s="136"/>
      <c r="Y1124" s="145"/>
      <c r="Z1124" s="145"/>
    </row>
    <row r="1125">
      <c r="E1125" s="136"/>
      <c r="F1125" s="136"/>
      <c r="G1125" s="136"/>
      <c r="H1125" s="137"/>
      <c r="I1125" s="136"/>
      <c r="J1125" s="136"/>
      <c r="K1125" s="136"/>
      <c r="L1125" s="136"/>
      <c r="M1125" s="136"/>
      <c r="N1125" s="136"/>
      <c r="O1125" s="142"/>
      <c r="P1125" s="140"/>
      <c r="Q1125" s="139"/>
      <c r="R1125" s="139"/>
      <c r="S1125" s="139"/>
      <c r="T1125" s="140" t="str">
        <f t="shared" si="7"/>
        <v/>
      </c>
      <c r="U1125" s="136"/>
      <c r="V1125" s="136"/>
      <c r="W1125" s="136"/>
      <c r="X1125" s="136"/>
      <c r="Y1125" s="145"/>
      <c r="Z1125" s="145"/>
    </row>
    <row r="1126">
      <c r="E1126" s="136"/>
      <c r="F1126" s="136"/>
      <c r="G1126" s="136"/>
      <c r="H1126" s="137"/>
      <c r="I1126" s="136"/>
      <c r="J1126" s="136"/>
      <c r="K1126" s="136"/>
      <c r="L1126" s="136"/>
      <c r="M1126" s="136"/>
      <c r="N1126" s="136"/>
      <c r="O1126" s="142"/>
      <c r="P1126" s="140"/>
      <c r="Q1126" s="139"/>
      <c r="R1126" s="139"/>
      <c r="S1126" s="139"/>
      <c r="T1126" s="140" t="str">
        <f t="shared" si="7"/>
        <v/>
      </c>
      <c r="U1126" s="136"/>
      <c r="V1126" s="136"/>
      <c r="W1126" s="136"/>
      <c r="X1126" s="136"/>
      <c r="Y1126" s="145"/>
      <c r="Z1126" s="145"/>
    </row>
    <row r="1127">
      <c r="E1127" s="136"/>
      <c r="F1127" s="136"/>
      <c r="G1127" s="136"/>
      <c r="H1127" s="137"/>
      <c r="I1127" s="136"/>
      <c r="J1127" s="136"/>
      <c r="K1127" s="136"/>
      <c r="L1127" s="136"/>
      <c r="M1127" s="136"/>
      <c r="N1127" s="136"/>
      <c r="O1127" s="142"/>
      <c r="P1127" s="140"/>
      <c r="Q1127" s="139"/>
      <c r="R1127" s="139"/>
      <c r="S1127" s="139"/>
      <c r="T1127" s="140" t="str">
        <f t="shared" si="7"/>
        <v/>
      </c>
      <c r="U1127" s="136"/>
      <c r="V1127" s="136"/>
      <c r="W1127" s="136"/>
      <c r="X1127" s="136"/>
      <c r="Y1127" s="145"/>
      <c r="Z1127" s="145"/>
    </row>
    <row r="1128">
      <c r="E1128" s="136"/>
      <c r="F1128" s="136"/>
      <c r="G1128" s="136"/>
      <c r="H1128" s="137"/>
      <c r="I1128" s="136"/>
      <c r="J1128" s="136"/>
      <c r="K1128" s="136"/>
      <c r="L1128" s="136"/>
      <c r="M1128" s="136"/>
      <c r="N1128" s="136"/>
      <c r="O1128" s="142"/>
      <c r="P1128" s="140"/>
      <c r="Q1128" s="139"/>
      <c r="R1128" s="139"/>
      <c r="S1128" s="139"/>
      <c r="T1128" s="140" t="str">
        <f t="shared" si="7"/>
        <v/>
      </c>
      <c r="U1128" s="136"/>
      <c r="V1128" s="136"/>
      <c r="W1128" s="136"/>
      <c r="X1128" s="136"/>
      <c r="Y1128" s="145"/>
      <c r="Z1128" s="145"/>
    </row>
    <row r="1129">
      <c r="E1129" s="136"/>
      <c r="F1129" s="136"/>
      <c r="G1129" s="136"/>
      <c r="H1129" s="137"/>
      <c r="I1129" s="136"/>
      <c r="J1129" s="136"/>
      <c r="K1129" s="136"/>
      <c r="L1129" s="136"/>
      <c r="M1129" s="136"/>
      <c r="N1129" s="136"/>
      <c r="O1129" s="142"/>
      <c r="P1129" s="140"/>
      <c r="Q1129" s="139"/>
      <c r="R1129" s="139"/>
      <c r="S1129" s="139"/>
      <c r="T1129" s="140" t="str">
        <f t="shared" si="7"/>
        <v/>
      </c>
      <c r="U1129" s="136"/>
      <c r="V1129" s="136"/>
      <c r="W1129" s="136"/>
      <c r="X1129" s="136"/>
      <c r="Y1129" s="145"/>
      <c r="Z1129" s="145"/>
    </row>
    <row r="1130">
      <c r="E1130" s="136"/>
      <c r="F1130" s="136"/>
      <c r="G1130" s="136"/>
      <c r="H1130" s="137"/>
      <c r="I1130" s="136"/>
      <c r="J1130" s="136"/>
      <c r="K1130" s="136"/>
      <c r="L1130" s="136"/>
      <c r="M1130" s="136"/>
      <c r="N1130" s="136"/>
      <c r="O1130" s="142"/>
      <c r="P1130" s="140"/>
      <c r="Q1130" s="139"/>
      <c r="R1130" s="139"/>
      <c r="S1130" s="139"/>
      <c r="T1130" s="140" t="str">
        <f t="shared" si="7"/>
        <v/>
      </c>
      <c r="U1130" s="136"/>
      <c r="V1130" s="136"/>
      <c r="W1130" s="136"/>
      <c r="X1130" s="136"/>
      <c r="Y1130" s="145"/>
      <c r="Z1130" s="145"/>
    </row>
    <row r="1131">
      <c r="E1131" s="136"/>
      <c r="F1131" s="136"/>
      <c r="G1131" s="136"/>
      <c r="H1131" s="137"/>
      <c r="I1131" s="136"/>
      <c r="J1131" s="136"/>
      <c r="K1131" s="136"/>
      <c r="L1131" s="136"/>
      <c r="M1131" s="136"/>
      <c r="N1131" s="136"/>
      <c r="O1131" s="142"/>
      <c r="P1131" s="140"/>
      <c r="Q1131" s="139"/>
      <c r="R1131" s="139"/>
      <c r="S1131" s="139"/>
      <c r="T1131" s="140" t="str">
        <f t="shared" si="7"/>
        <v/>
      </c>
      <c r="U1131" s="136"/>
      <c r="V1131" s="136"/>
      <c r="W1131" s="136"/>
      <c r="X1131" s="136"/>
      <c r="Y1131" s="145"/>
      <c r="Z1131" s="145"/>
    </row>
    <row r="1132">
      <c r="E1132" s="136"/>
      <c r="F1132" s="136"/>
      <c r="G1132" s="136"/>
      <c r="H1132" s="137"/>
      <c r="I1132" s="136"/>
      <c r="J1132" s="136"/>
      <c r="K1132" s="136"/>
      <c r="L1132" s="136"/>
      <c r="M1132" s="136"/>
      <c r="N1132" s="136"/>
      <c r="O1132" s="142"/>
      <c r="P1132" s="140"/>
      <c r="Q1132" s="139"/>
      <c r="R1132" s="139"/>
      <c r="S1132" s="139"/>
      <c r="T1132" s="140" t="str">
        <f t="shared" si="7"/>
        <v/>
      </c>
      <c r="U1132" s="136"/>
      <c r="V1132" s="136"/>
      <c r="W1132" s="136"/>
      <c r="X1132" s="136"/>
      <c r="Y1132" s="145"/>
      <c r="Z1132" s="145"/>
    </row>
    <row r="1133">
      <c r="E1133" s="136"/>
      <c r="F1133" s="136"/>
      <c r="G1133" s="136"/>
      <c r="H1133" s="137"/>
      <c r="I1133" s="136"/>
      <c r="J1133" s="136"/>
      <c r="K1133" s="136"/>
      <c r="L1133" s="136"/>
      <c r="M1133" s="136"/>
      <c r="N1133" s="136"/>
      <c r="O1133" s="142"/>
      <c r="P1133" s="140"/>
      <c r="Q1133" s="139"/>
      <c r="R1133" s="139"/>
      <c r="S1133" s="139"/>
      <c r="T1133" s="140" t="str">
        <f t="shared" si="7"/>
        <v/>
      </c>
      <c r="U1133" s="136"/>
      <c r="V1133" s="136"/>
      <c r="W1133" s="136"/>
      <c r="X1133" s="136"/>
      <c r="Y1133" s="145"/>
      <c r="Z1133" s="145"/>
    </row>
    <row r="1134">
      <c r="E1134" s="136"/>
      <c r="F1134" s="136"/>
      <c r="G1134" s="136"/>
      <c r="H1134" s="137"/>
      <c r="I1134" s="136"/>
      <c r="J1134" s="136"/>
      <c r="K1134" s="136"/>
      <c r="L1134" s="136"/>
      <c r="M1134" s="136"/>
      <c r="N1134" s="136"/>
      <c r="O1134" s="142"/>
      <c r="P1134" s="140"/>
      <c r="Q1134" s="139"/>
      <c r="R1134" s="139"/>
      <c r="S1134" s="139"/>
      <c r="T1134" s="140" t="str">
        <f t="shared" si="7"/>
        <v/>
      </c>
      <c r="U1134" s="136"/>
      <c r="V1134" s="136"/>
      <c r="W1134" s="136"/>
      <c r="X1134" s="136"/>
      <c r="Y1134" s="145"/>
      <c r="Z1134" s="145"/>
    </row>
    <row r="1135">
      <c r="E1135" s="136"/>
      <c r="F1135" s="136"/>
      <c r="G1135" s="136"/>
      <c r="H1135" s="137"/>
      <c r="I1135" s="136"/>
      <c r="J1135" s="136"/>
      <c r="K1135" s="136"/>
      <c r="L1135" s="136"/>
      <c r="M1135" s="136"/>
      <c r="N1135" s="136"/>
      <c r="O1135" s="142"/>
      <c r="P1135" s="140"/>
      <c r="Q1135" s="139"/>
      <c r="R1135" s="139"/>
      <c r="S1135" s="139"/>
      <c r="T1135" s="140" t="str">
        <f t="shared" si="7"/>
        <v/>
      </c>
      <c r="U1135" s="136"/>
      <c r="V1135" s="136"/>
      <c r="W1135" s="136"/>
      <c r="X1135" s="136"/>
      <c r="Y1135" s="145"/>
      <c r="Z1135" s="145"/>
    </row>
    <row r="1136">
      <c r="E1136" s="136"/>
      <c r="F1136" s="136"/>
      <c r="G1136" s="136"/>
      <c r="H1136" s="137"/>
      <c r="I1136" s="136"/>
      <c r="J1136" s="136"/>
      <c r="K1136" s="136"/>
      <c r="L1136" s="136"/>
      <c r="M1136" s="136"/>
      <c r="N1136" s="136"/>
      <c r="O1136" s="142"/>
      <c r="P1136" s="140"/>
      <c r="Q1136" s="139"/>
      <c r="R1136" s="139"/>
      <c r="S1136" s="139"/>
      <c r="T1136" s="140" t="str">
        <f t="shared" si="7"/>
        <v/>
      </c>
      <c r="U1136" s="136"/>
      <c r="V1136" s="136"/>
      <c r="W1136" s="136"/>
      <c r="X1136" s="136"/>
      <c r="Y1136" s="145"/>
      <c r="Z1136" s="145"/>
    </row>
    <row r="1137">
      <c r="E1137" s="136"/>
      <c r="F1137" s="136"/>
      <c r="G1137" s="136"/>
      <c r="H1137" s="137"/>
      <c r="I1137" s="136"/>
      <c r="J1137" s="136"/>
      <c r="K1137" s="136"/>
      <c r="L1137" s="136"/>
      <c r="M1137" s="136"/>
      <c r="N1137" s="136"/>
      <c r="O1137" s="142"/>
      <c r="P1137" s="140"/>
      <c r="Q1137" s="139"/>
      <c r="R1137" s="139"/>
      <c r="S1137" s="139"/>
      <c r="T1137" s="140" t="str">
        <f t="shared" si="7"/>
        <v/>
      </c>
      <c r="U1137" s="136"/>
      <c r="V1137" s="136"/>
      <c r="W1137" s="136"/>
      <c r="X1137" s="136"/>
      <c r="Y1137" s="145"/>
      <c r="Z1137" s="145"/>
    </row>
    <row r="1138">
      <c r="E1138" s="136"/>
      <c r="F1138" s="136"/>
      <c r="G1138" s="136"/>
      <c r="H1138" s="137"/>
      <c r="I1138" s="136"/>
      <c r="J1138" s="136"/>
      <c r="K1138" s="136"/>
      <c r="L1138" s="136"/>
      <c r="M1138" s="136"/>
      <c r="N1138" s="136"/>
      <c r="O1138" s="142"/>
      <c r="P1138" s="140"/>
      <c r="Q1138" s="139"/>
      <c r="R1138" s="139"/>
      <c r="S1138" s="139"/>
      <c r="T1138" s="140" t="str">
        <f t="shared" si="7"/>
        <v/>
      </c>
      <c r="U1138" s="136"/>
      <c r="V1138" s="136"/>
      <c r="W1138" s="136"/>
      <c r="X1138" s="136"/>
      <c r="Y1138" s="145"/>
      <c r="Z1138" s="145"/>
    </row>
    <row r="1139">
      <c r="E1139" s="136"/>
      <c r="F1139" s="136"/>
      <c r="G1139" s="136"/>
      <c r="H1139" s="137"/>
      <c r="I1139" s="136"/>
      <c r="J1139" s="136"/>
      <c r="K1139" s="136"/>
      <c r="L1139" s="136"/>
      <c r="M1139" s="136"/>
      <c r="N1139" s="136"/>
      <c r="O1139" s="142"/>
      <c r="P1139" s="140"/>
      <c r="Q1139" s="139"/>
      <c r="R1139" s="139"/>
      <c r="S1139" s="139"/>
      <c r="T1139" s="140" t="str">
        <f t="shared" si="7"/>
        <v/>
      </c>
      <c r="U1139" s="136"/>
      <c r="V1139" s="136"/>
      <c r="W1139" s="136"/>
      <c r="X1139" s="136"/>
      <c r="Y1139" s="145"/>
      <c r="Z1139" s="145"/>
    </row>
    <row r="1140">
      <c r="E1140" s="136"/>
      <c r="F1140" s="136"/>
      <c r="G1140" s="136"/>
      <c r="H1140" s="137"/>
      <c r="I1140" s="136"/>
      <c r="J1140" s="136"/>
      <c r="K1140" s="136"/>
      <c r="L1140" s="136"/>
      <c r="M1140" s="136"/>
      <c r="N1140" s="136"/>
      <c r="O1140" s="142"/>
      <c r="P1140" s="140"/>
      <c r="Q1140" s="139"/>
      <c r="R1140" s="139"/>
      <c r="S1140" s="139"/>
      <c r="T1140" s="140" t="str">
        <f t="shared" si="7"/>
        <v/>
      </c>
      <c r="U1140" s="136"/>
      <c r="V1140" s="136"/>
      <c r="W1140" s="136"/>
      <c r="X1140" s="136"/>
      <c r="Y1140" s="145"/>
      <c r="Z1140" s="145"/>
    </row>
    <row r="1141">
      <c r="E1141" s="136"/>
      <c r="F1141" s="136"/>
      <c r="G1141" s="136"/>
      <c r="H1141" s="137"/>
      <c r="I1141" s="136"/>
      <c r="J1141" s="136"/>
      <c r="K1141" s="136"/>
      <c r="L1141" s="136"/>
      <c r="M1141" s="136"/>
      <c r="N1141" s="136"/>
      <c r="O1141" s="142"/>
      <c r="P1141" s="140"/>
      <c r="Q1141" s="139"/>
      <c r="R1141" s="139"/>
      <c r="S1141" s="139"/>
      <c r="T1141" s="140" t="str">
        <f t="shared" si="7"/>
        <v/>
      </c>
      <c r="U1141" s="136"/>
      <c r="V1141" s="136"/>
      <c r="W1141" s="136"/>
      <c r="X1141" s="136"/>
      <c r="Y1141" s="145"/>
      <c r="Z1141" s="145"/>
    </row>
    <row r="1142">
      <c r="E1142" s="136"/>
      <c r="F1142" s="136"/>
      <c r="G1142" s="136"/>
      <c r="H1142" s="137"/>
      <c r="I1142" s="136"/>
      <c r="J1142" s="136"/>
      <c r="K1142" s="136"/>
      <c r="L1142" s="136"/>
      <c r="M1142" s="136"/>
      <c r="N1142" s="136"/>
      <c r="O1142" s="142"/>
      <c r="P1142" s="140"/>
      <c r="Q1142" s="139"/>
      <c r="R1142" s="139"/>
      <c r="S1142" s="139"/>
      <c r="T1142" s="140" t="str">
        <f t="shared" si="7"/>
        <v/>
      </c>
      <c r="U1142" s="136"/>
      <c r="V1142" s="136"/>
      <c r="W1142" s="136"/>
      <c r="X1142" s="136"/>
      <c r="Y1142" s="145"/>
      <c r="Z1142" s="145"/>
    </row>
    <row r="1143">
      <c r="E1143" s="136"/>
      <c r="F1143" s="136"/>
      <c r="G1143" s="136"/>
      <c r="H1143" s="137"/>
      <c r="I1143" s="136"/>
      <c r="J1143" s="136"/>
      <c r="K1143" s="136"/>
      <c r="L1143" s="136"/>
      <c r="M1143" s="136"/>
      <c r="N1143" s="136"/>
      <c r="O1143" s="142"/>
      <c r="P1143" s="140"/>
      <c r="Q1143" s="139"/>
      <c r="R1143" s="139"/>
      <c r="S1143" s="139"/>
      <c r="T1143" s="140" t="str">
        <f t="shared" si="7"/>
        <v/>
      </c>
      <c r="U1143" s="136"/>
      <c r="V1143" s="136"/>
      <c r="W1143" s="136"/>
      <c r="X1143" s="136"/>
      <c r="Y1143" s="145"/>
      <c r="Z1143" s="145"/>
    </row>
    <row r="1144">
      <c r="E1144" s="136"/>
      <c r="F1144" s="136"/>
      <c r="G1144" s="136"/>
      <c r="H1144" s="137"/>
      <c r="I1144" s="136"/>
      <c r="J1144" s="136"/>
      <c r="K1144" s="136"/>
      <c r="L1144" s="136"/>
      <c r="M1144" s="136"/>
      <c r="N1144" s="136"/>
      <c r="O1144" s="142"/>
      <c r="P1144" s="140"/>
      <c r="Q1144" s="139"/>
      <c r="R1144" s="139"/>
      <c r="S1144" s="139"/>
      <c r="T1144" s="140" t="str">
        <f t="shared" si="7"/>
        <v/>
      </c>
      <c r="U1144" s="136"/>
      <c r="V1144" s="136"/>
      <c r="W1144" s="136"/>
      <c r="X1144" s="136"/>
      <c r="Y1144" s="145"/>
      <c r="Z1144" s="145"/>
    </row>
    <row r="1145">
      <c r="E1145" s="136"/>
      <c r="F1145" s="136"/>
      <c r="G1145" s="136"/>
      <c r="H1145" s="137"/>
      <c r="I1145" s="136"/>
      <c r="J1145" s="136"/>
      <c r="K1145" s="136"/>
      <c r="L1145" s="136"/>
      <c r="M1145" s="136"/>
      <c r="N1145" s="136"/>
      <c r="O1145" s="142"/>
      <c r="P1145" s="140"/>
      <c r="Q1145" s="139"/>
      <c r="R1145" s="139"/>
      <c r="S1145" s="139"/>
      <c r="T1145" s="140" t="str">
        <f t="shared" si="7"/>
        <v/>
      </c>
      <c r="U1145" s="136"/>
      <c r="V1145" s="136"/>
      <c r="W1145" s="136"/>
      <c r="X1145" s="136"/>
      <c r="Y1145" s="145"/>
      <c r="Z1145" s="145"/>
    </row>
    <row r="1146">
      <c r="E1146" s="136"/>
      <c r="F1146" s="136"/>
      <c r="G1146" s="136"/>
      <c r="H1146" s="137"/>
      <c r="I1146" s="136"/>
      <c r="J1146" s="136"/>
      <c r="K1146" s="136"/>
      <c r="L1146" s="136"/>
      <c r="M1146" s="136"/>
      <c r="N1146" s="136"/>
      <c r="O1146" s="142"/>
      <c r="P1146" s="140"/>
      <c r="Q1146" s="139"/>
      <c r="R1146" s="139"/>
      <c r="S1146" s="139"/>
      <c r="T1146" s="140" t="str">
        <f t="shared" si="7"/>
        <v/>
      </c>
      <c r="U1146" s="136"/>
      <c r="V1146" s="136"/>
      <c r="W1146" s="136"/>
      <c r="X1146" s="136"/>
      <c r="Y1146" s="145"/>
      <c r="Z1146" s="145"/>
    </row>
    <row r="1147">
      <c r="E1147" s="136"/>
      <c r="F1147" s="136"/>
      <c r="G1147" s="136"/>
      <c r="H1147" s="137"/>
      <c r="I1147" s="136"/>
      <c r="J1147" s="136"/>
      <c r="K1147" s="136"/>
      <c r="L1147" s="136"/>
      <c r="M1147" s="136"/>
      <c r="N1147" s="136"/>
      <c r="O1147" s="142"/>
      <c r="P1147" s="140"/>
      <c r="Q1147" s="139"/>
      <c r="R1147" s="139"/>
      <c r="S1147" s="139"/>
      <c r="T1147" s="140" t="str">
        <f t="shared" si="7"/>
        <v/>
      </c>
      <c r="U1147" s="136"/>
      <c r="V1147" s="136"/>
      <c r="W1147" s="136"/>
      <c r="X1147" s="136"/>
      <c r="Y1147" s="145"/>
      <c r="Z1147" s="145"/>
    </row>
    <row r="1148">
      <c r="E1148" s="136"/>
      <c r="F1148" s="136"/>
      <c r="G1148" s="136"/>
      <c r="H1148" s="137"/>
      <c r="I1148" s="136"/>
      <c r="J1148" s="136"/>
      <c r="K1148" s="136"/>
      <c r="L1148" s="136"/>
      <c r="M1148" s="136"/>
      <c r="N1148" s="136"/>
      <c r="O1148" s="142"/>
      <c r="P1148" s="140"/>
      <c r="Q1148" s="139"/>
      <c r="R1148" s="139"/>
      <c r="S1148" s="139"/>
      <c r="T1148" s="140" t="str">
        <f t="shared" si="7"/>
        <v/>
      </c>
      <c r="U1148" s="136"/>
      <c r="V1148" s="136"/>
      <c r="W1148" s="136"/>
      <c r="X1148" s="136"/>
      <c r="Y1148" s="145"/>
      <c r="Z1148" s="145"/>
    </row>
    <row r="1149">
      <c r="E1149" s="136"/>
      <c r="F1149" s="136"/>
      <c r="G1149" s="136"/>
      <c r="H1149" s="137"/>
      <c r="I1149" s="136"/>
      <c r="J1149" s="136"/>
      <c r="K1149" s="136"/>
      <c r="L1149" s="136"/>
      <c r="M1149" s="136"/>
      <c r="N1149" s="136"/>
      <c r="O1149" s="142"/>
      <c r="P1149" s="140"/>
      <c r="Q1149" s="139"/>
      <c r="R1149" s="139"/>
      <c r="S1149" s="139"/>
      <c r="T1149" s="140" t="str">
        <f t="shared" si="7"/>
        <v/>
      </c>
      <c r="U1149" s="136"/>
      <c r="V1149" s="136"/>
      <c r="W1149" s="136"/>
      <c r="X1149" s="136"/>
      <c r="Y1149" s="145"/>
      <c r="Z1149" s="145"/>
    </row>
    <row r="1150">
      <c r="E1150" s="136"/>
      <c r="F1150" s="136"/>
      <c r="G1150" s="136"/>
      <c r="H1150" s="137"/>
      <c r="I1150" s="136"/>
      <c r="J1150" s="136"/>
      <c r="K1150" s="136"/>
      <c r="L1150" s="136"/>
      <c r="M1150" s="136"/>
      <c r="N1150" s="136"/>
      <c r="O1150" s="142"/>
      <c r="P1150" s="140"/>
      <c r="Q1150" s="139"/>
      <c r="R1150" s="139"/>
      <c r="S1150" s="139"/>
      <c r="T1150" s="140" t="str">
        <f t="shared" si="7"/>
        <v/>
      </c>
      <c r="U1150" s="136"/>
      <c r="V1150" s="136"/>
      <c r="W1150" s="136"/>
      <c r="X1150" s="136"/>
      <c r="Y1150" s="145"/>
      <c r="Z1150" s="145"/>
    </row>
    <row r="1151">
      <c r="E1151" s="136"/>
      <c r="F1151" s="136"/>
      <c r="G1151" s="136"/>
      <c r="H1151" s="137"/>
      <c r="I1151" s="136"/>
      <c r="J1151" s="136"/>
      <c r="K1151" s="136"/>
      <c r="L1151" s="136"/>
      <c r="M1151" s="136"/>
      <c r="N1151" s="136"/>
      <c r="O1151" s="142"/>
      <c r="P1151" s="140"/>
      <c r="Q1151" s="139"/>
      <c r="R1151" s="139"/>
      <c r="S1151" s="139"/>
      <c r="T1151" s="140" t="str">
        <f t="shared" si="7"/>
        <v/>
      </c>
      <c r="U1151" s="136"/>
      <c r="V1151" s="136"/>
      <c r="W1151" s="136"/>
      <c r="X1151" s="136"/>
      <c r="Y1151" s="145"/>
      <c r="Z1151" s="145"/>
    </row>
    <row r="1152">
      <c r="E1152" s="136"/>
      <c r="F1152" s="136"/>
      <c r="G1152" s="136"/>
      <c r="H1152" s="137"/>
      <c r="I1152" s="136"/>
      <c r="J1152" s="136"/>
      <c r="K1152" s="136"/>
      <c r="L1152" s="136"/>
      <c r="M1152" s="136"/>
      <c r="N1152" s="136"/>
      <c r="O1152" s="142"/>
      <c r="P1152" s="140"/>
      <c r="Q1152" s="139"/>
      <c r="R1152" s="139"/>
      <c r="S1152" s="139"/>
      <c r="T1152" s="140" t="str">
        <f t="shared" si="7"/>
        <v/>
      </c>
      <c r="U1152" s="136"/>
      <c r="V1152" s="136"/>
      <c r="W1152" s="136"/>
      <c r="X1152" s="136"/>
      <c r="Y1152" s="145"/>
      <c r="Z1152" s="145"/>
    </row>
    <row r="1153">
      <c r="E1153" s="136"/>
      <c r="F1153" s="136"/>
      <c r="G1153" s="136"/>
      <c r="H1153" s="137"/>
      <c r="I1153" s="136"/>
      <c r="J1153" s="136"/>
      <c r="K1153" s="136"/>
      <c r="L1153" s="136"/>
      <c r="M1153" s="136"/>
      <c r="N1153" s="136"/>
      <c r="O1153" s="142"/>
      <c r="P1153" s="140"/>
      <c r="Q1153" s="139"/>
      <c r="R1153" s="139"/>
      <c r="S1153" s="139"/>
      <c r="T1153" s="140" t="str">
        <f t="shared" si="7"/>
        <v/>
      </c>
      <c r="U1153" s="136"/>
      <c r="V1153" s="136"/>
      <c r="W1153" s="136"/>
      <c r="X1153" s="136"/>
      <c r="Y1153" s="145"/>
      <c r="Z1153" s="145"/>
    </row>
    <row r="1154">
      <c r="E1154" s="136"/>
      <c r="F1154" s="136"/>
      <c r="G1154" s="136"/>
      <c r="H1154" s="137"/>
      <c r="I1154" s="136"/>
      <c r="J1154" s="136"/>
      <c r="K1154" s="136"/>
      <c r="L1154" s="136"/>
      <c r="M1154" s="136"/>
      <c r="N1154" s="136"/>
      <c r="O1154" s="142"/>
      <c r="P1154" s="140"/>
      <c r="Q1154" s="139"/>
      <c r="R1154" s="139"/>
      <c r="S1154" s="139"/>
      <c r="T1154" s="140" t="str">
        <f t="shared" si="7"/>
        <v/>
      </c>
      <c r="U1154" s="136"/>
      <c r="V1154" s="136"/>
      <c r="W1154" s="136"/>
      <c r="X1154" s="136"/>
      <c r="Y1154" s="145"/>
      <c r="Z1154" s="145"/>
    </row>
    <row r="1155">
      <c r="E1155" s="136"/>
      <c r="F1155" s="136"/>
      <c r="G1155" s="136"/>
      <c r="H1155" s="137"/>
      <c r="I1155" s="136"/>
      <c r="J1155" s="136"/>
      <c r="K1155" s="136"/>
      <c r="L1155" s="136"/>
      <c r="M1155" s="136"/>
      <c r="N1155" s="136"/>
      <c r="O1155" s="142"/>
      <c r="P1155" s="140"/>
      <c r="Q1155" s="139"/>
      <c r="R1155" s="139"/>
      <c r="S1155" s="139"/>
      <c r="T1155" s="140" t="str">
        <f t="shared" si="7"/>
        <v/>
      </c>
      <c r="U1155" s="136"/>
      <c r="V1155" s="136"/>
      <c r="W1155" s="136"/>
      <c r="X1155" s="136"/>
      <c r="Y1155" s="145"/>
      <c r="Z1155" s="145"/>
    </row>
    <row r="1156">
      <c r="E1156" s="136"/>
      <c r="F1156" s="136"/>
      <c r="G1156" s="136"/>
      <c r="H1156" s="137"/>
      <c r="I1156" s="136"/>
      <c r="J1156" s="136"/>
      <c r="K1156" s="136"/>
      <c r="L1156" s="136"/>
      <c r="M1156" s="136"/>
      <c r="N1156" s="136"/>
      <c r="O1156" s="142"/>
      <c r="P1156" s="140"/>
      <c r="Q1156" s="139"/>
      <c r="R1156" s="139"/>
      <c r="S1156" s="139"/>
      <c r="T1156" s="140" t="str">
        <f t="shared" si="7"/>
        <v/>
      </c>
      <c r="U1156" s="136"/>
      <c r="V1156" s="136"/>
      <c r="W1156" s="136"/>
      <c r="X1156" s="136"/>
      <c r="Y1156" s="145"/>
      <c r="Z1156" s="145"/>
    </row>
    <row r="1157">
      <c r="E1157" s="136"/>
      <c r="F1157" s="136"/>
      <c r="G1157" s="136"/>
      <c r="H1157" s="137"/>
      <c r="I1157" s="136"/>
      <c r="J1157" s="136"/>
      <c r="K1157" s="136"/>
      <c r="L1157" s="136"/>
      <c r="M1157" s="136"/>
      <c r="N1157" s="136"/>
      <c r="O1157" s="142"/>
      <c r="P1157" s="140"/>
      <c r="Q1157" s="139"/>
      <c r="R1157" s="139"/>
      <c r="S1157" s="139"/>
      <c r="T1157" s="140" t="str">
        <f t="shared" si="7"/>
        <v/>
      </c>
      <c r="U1157" s="136"/>
      <c r="V1157" s="136"/>
      <c r="W1157" s="136"/>
      <c r="X1157" s="136"/>
      <c r="Y1157" s="145"/>
      <c r="Z1157" s="145"/>
    </row>
    <row r="1158">
      <c r="E1158" s="136"/>
      <c r="F1158" s="136"/>
      <c r="G1158" s="136"/>
      <c r="H1158" s="137"/>
      <c r="I1158" s="136"/>
      <c r="J1158" s="136"/>
      <c r="K1158" s="136"/>
      <c r="L1158" s="136"/>
      <c r="M1158" s="136"/>
      <c r="N1158" s="136"/>
      <c r="O1158" s="142"/>
      <c r="P1158" s="140"/>
      <c r="Q1158" s="139"/>
      <c r="R1158" s="139"/>
      <c r="S1158" s="139"/>
      <c r="T1158" s="140" t="str">
        <f t="shared" si="7"/>
        <v/>
      </c>
      <c r="U1158" s="136"/>
      <c r="V1158" s="136"/>
      <c r="W1158" s="136"/>
      <c r="X1158" s="136"/>
      <c r="Y1158" s="145"/>
      <c r="Z1158" s="145"/>
    </row>
    <row r="1159">
      <c r="E1159" s="136"/>
      <c r="F1159" s="136"/>
      <c r="G1159" s="136"/>
      <c r="H1159" s="137"/>
      <c r="I1159" s="136"/>
      <c r="J1159" s="136"/>
      <c r="K1159" s="136"/>
      <c r="L1159" s="136"/>
      <c r="M1159" s="136"/>
      <c r="N1159" s="136"/>
      <c r="O1159" s="142"/>
      <c r="P1159" s="140"/>
      <c r="Q1159" s="139"/>
      <c r="R1159" s="139"/>
      <c r="S1159" s="139"/>
      <c r="T1159" s="140" t="str">
        <f t="shared" si="7"/>
        <v/>
      </c>
      <c r="U1159" s="136"/>
      <c r="V1159" s="136"/>
      <c r="W1159" s="136"/>
      <c r="X1159" s="136"/>
      <c r="Y1159" s="145"/>
      <c r="Z1159" s="145"/>
    </row>
    <row r="1160">
      <c r="E1160" s="136"/>
      <c r="F1160" s="136"/>
      <c r="G1160" s="136"/>
      <c r="H1160" s="137"/>
      <c r="I1160" s="136"/>
      <c r="J1160" s="136"/>
      <c r="K1160" s="136"/>
      <c r="L1160" s="136"/>
      <c r="M1160" s="136"/>
      <c r="N1160" s="136"/>
      <c r="O1160" s="142"/>
      <c r="P1160" s="140"/>
      <c r="Q1160" s="139"/>
      <c r="R1160" s="139"/>
      <c r="S1160" s="139"/>
      <c r="T1160" s="140" t="str">
        <f t="shared" si="7"/>
        <v/>
      </c>
      <c r="U1160" s="136"/>
      <c r="V1160" s="136"/>
      <c r="W1160" s="136"/>
      <c r="X1160" s="136"/>
      <c r="Y1160" s="145"/>
      <c r="Z1160" s="145"/>
    </row>
    <row r="1161">
      <c r="E1161" s="136"/>
      <c r="F1161" s="136"/>
      <c r="G1161" s="136"/>
      <c r="H1161" s="137"/>
      <c r="I1161" s="136"/>
      <c r="J1161" s="136"/>
      <c r="K1161" s="136"/>
      <c r="L1161" s="136"/>
      <c r="M1161" s="136"/>
      <c r="N1161" s="136"/>
      <c r="O1161" s="142"/>
      <c r="P1161" s="140"/>
      <c r="Q1161" s="139"/>
      <c r="R1161" s="139"/>
      <c r="S1161" s="139"/>
      <c r="T1161" s="140" t="str">
        <f t="shared" si="7"/>
        <v/>
      </c>
      <c r="U1161" s="136"/>
      <c r="V1161" s="136"/>
      <c r="W1161" s="136"/>
      <c r="X1161" s="136"/>
      <c r="Y1161" s="145"/>
      <c r="Z1161" s="145"/>
    </row>
    <row r="1162">
      <c r="E1162" s="136"/>
      <c r="F1162" s="136"/>
      <c r="G1162" s="136"/>
      <c r="H1162" s="137"/>
      <c r="I1162" s="136"/>
      <c r="J1162" s="136"/>
      <c r="K1162" s="136"/>
      <c r="L1162" s="136"/>
      <c r="M1162" s="136"/>
      <c r="N1162" s="136"/>
      <c r="O1162" s="142"/>
      <c r="P1162" s="140"/>
      <c r="Q1162" s="139"/>
      <c r="R1162" s="139"/>
      <c r="S1162" s="139"/>
      <c r="T1162" s="140" t="str">
        <f t="shared" si="7"/>
        <v/>
      </c>
      <c r="U1162" s="136"/>
      <c r="V1162" s="136"/>
      <c r="W1162" s="136"/>
      <c r="X1162" s="136"/>
      <c r="Y1162" s="145"/>
      <c r="Z1162" s="145"/>
    </row>
    <row r="1163">
      <c r="E1163" s="136"/>
      <c r="F1163" s="136"/>
      <c r="G1163" s="136"/>
      <c r="H1163" s="137"/>
      <c r="I1163" s="136"/>
      <c r="J1163" s="136"/>
      <c r="K1163" s="136"/>
      <c r="L1163" s="136"/>
      <c r="M1163" s="136"/>
      <c r="N1163" s="136"/>
      <c r="O1163" s="142"/>
      <c r="P1163" s="140"/>
      <c r="Q1163" s="139"/>
      <c r="R1163" s="139"/>
      <c r="S1163" s="139"/>
      <c r="T1163" s="140" t="str">
        <f t="shared" si="7"/>
        <v/>
      </c>
      <c r="U1163" s="136"/>
      <c r="V1163" s="136"/>
      <c r="W1163" s="136"/>
      <c r="X1163" s="136"/>
      <c r="Y1163" s="145"/>
      <c r="Z1163" s="145"/>
    </row>
    <row r="1164">
      <c r="E1164" s="136"/>
      <c r="F1164" s="136"/>
      <c r="G1164" s="136"/>
      <c r="H1164" s="137"/>
      <c r="I1164" s="136"/>
      <c r="J1164" s="136"/>
      <c r="K1164" s="136"/>
      <c r="L1164" s="136"/>
      <c r="M1164" s="136"/>
      <c r="N1164" s="136"/>
      <c r="O1164" s="142"/>
      <c r="P1164" s="140"/>
      <c r="Q1164" s="139"/>
      <c r="R1164" s="139"/>
      <c r="S1164" s="139"/>
      <c r="T1164" s="140" t="str">
        <f t="shared" si="7"/>
        <v/>
      </c>
      <c r="U1164" s="136"/>
      <c r="V1164" s="136"/>
      <c r="W1164" s="136"/>
      <c r="X1164" s="136"/>
      <c r="Y1164" s="145"/>
      <c r="Z1164" s="145"/>
    </row>
    <row r="1165">
      <c r="E1165" s="136"/>
      <c r="F1165" s="136"/>
      <c r="G1165" s="136"/>
      <c r="H1165" s="137"/>
      <c r="I1165" s="136"/>
      <c r="J1165" s="136"/>
      <c r="K1165" s="136"/>
      <c r="L1165" s="136"/>
      <c r="M1165" s="136"/>
      <c r="N1165" s="136"/>
      <c r="O1165" s="142"/>
      <c r="P1165" s="140"/>
      <c r="Q1165" s="139"/>
      <c r="R1165" s="139"/>
      <c r="S1165" s="139"/>
      <c r="T1165" s="140" t="str">
        <f t="shared" si="7"/>
        <v/>
      </c>
      <c r="U1165" s="136"/>
      <c r="V1165" s="136"/>
      <c r="W1165" s="136"/>
      <c r="X1165" s="136"/>
      <c r="Y1165" s="145"/>
      <c r="Z1165" s="145"/>
    </row>
    <row r="1166">
      <c r="E1166" s="136"/>
      <c r="F1166" s="136"/>
      <c r="G1166" s="136"/>
      <c r="H1166" s="137"/>
      <c r="I1166" s="136"/>
      <c r="J1166" s="136"/>
      <c r="K1166" s="136"/>
      <c r="L1166" s="136"/>
      <c r="M1166" s="136"/>
      <c r="N1166" s="136"/>
      <c r="O1166" s="142"/>
      <c r="P1166" s="140"/>
      <c r="Q1166" s="139"/>
      <c r="R1166" s="139"/>
      <c r="S1166" s="139"/>
      <c r="T1166" s="140" t="str">
        <f t="shared" si="7"/>
        <v/>
      </c>
      <c r="U1166" s="136"/>
      <c r="V1166" s="136"/>
      <c r="W1166" s="136"/>
      <c r="X1166" s="136"/>
      <c r="Y1166" s="145"/>
      <c r="Z1166" s="145"/>
    </row>
    <row r="1167">
      <c r="E1167" s="136"/>
      <c r="F1167" s="136"/>
      <c r="G1167" s="136"/>
      <c r="H1167" s="137"/>
      <c r="I1167" s="136"/>
      <c r="J1167" s="136"/>
      <c r="K1167" s="136"/>
      <c r="L1167" s="136"/>
      <c r="M1167" s="136"/>
      <c r="N1167" s="136"/>
      <c r="O1167" s="142"/>
      <c r="P1167" s="140"/>
      <c r="Q1167" s="139"/>
      <c r="R1167" s="139"/>
      <c r="S1167" s="139"/>
      <c r="T1167" s="140" t="str">
        <f t="shared" si="7"/>
        <v/>
      </c>
      <c r="U1167" s="136"/>
      <c r="V1167" s="136"/>
      <c r="W1167" s="136"/>
      <c r="X1167" s="136"/>
      <c r="Y1167" s="145"/>
      <c r="Z1167" s="145"/>
    </row>
    <row r="1168">
      <c r="E1168" s="136"/>
      <c r="F1168" s="136"/>
      <c r="G1168" s="136"/>
      <c r="H1168" s="137"/>
      <c r="I1168" s="136"/>
      <c r="J1168" s="136"/>
      <c r="K1168" s="136"/>
      <c r="L1168" s="136"/>
      <c r="M1168" s="136"/>
      <c r="N1168" s="136"/>
      <c r="O1168" s="142"/>
      <c r="P1168" s="140"/>
      <c r="Q1168" s="139"/>
      <c r="R1168" s="139"/>
      <c r="S1168" s="139"/>
      <c r="T1168" s="140" t="str">
        <f t="shared" si="7"/>
        <v/>
      </c>
      <c r="U1168" s="136"/>
      <c r="V1168" s="136"/>
      <c r="W1168" s="136"/>
      <c r="X1168" s="136"/>
      <c r="Y1168" s="145"/>
      <c r="Z1168" s="145"/>
    </row>
    <row r="1169">
      <c r="E1169" s="136"/>
      <c r="F1169" s="136"/>
      <c r="G1169" s="136"/>
      <c r="H1169" s="137"/>
      <c r="I1169" s="136"/>
      <c r="J1169" s="136"/>
      <c r="K1169" s="136"/>
      <c r="L1169" s="136"/>
      <c r="M1169" s="136"/>
      <c r="N1169" s="136"/>
      <c r="O1169" s="142"/>
      <c r="P1169" s="140"/>
      <c r="Q1169" s="139"/>
      <c r="R1169" s="139"/>
      <c r="S1169" s="139"/>
      <c r="T1169" s="140" t="str">
        <f t="shared" si="7"/>
        <v/>
      </c>
      <c r="U1169" s="136"/>
      <c r="V1169" s="136"/>
      <c r="W1169" s="136"/>
      <c r="X1169" s="136"/>
      <c r="Y1169" s="145"/>
      <c r="Z1169" s="145"/>
    </row>
    <row r="1170">
      <c r="E1170" s="136"/>
      <c r="F1170" s="136"/>
      <c r="G1170" s="136"/>
      <c r="H1170" s="137"/>
      <c r="I1170" s="136"/>
      <c r="J1170" s="136"/>
      <c r="K1170" s="136"/>
      <c r="L1170" s="136"/>
      <c r="M1170" s="136"/>
      <c r="N1170" s="136"/>
      <c r="O1170" s="142"/>
      <c r="P1170" s="140"/>
      <c r="Q1170" s="139"/>
      <c r="R1170" s="139"/>
      <c r="S1170" s="139"/>
      <c r="T1170" s="140" t="str">
        <f t="shared" si="7"/>
        <v/>
      </c>
      <c r="U1170" s="136"/>
      <c r="V1170" s="136"/>
      <c r="W1170" s="136"/>
      <c r="X1170" s="136"/>
      <c r="Y1170" s="145"/>
      <c r="Z1170" s="145"/>
    </row>
    <row r="1171">
      <c r="E1171" s="136"/>
      <c r="F1171" s="136"/>
      <c r="G1171" s="136"/>
      <c r="H1171" s="137"/>
      <c r="I1171" s="136"/>
      <c r="J1171" s="136"/>
      <c r="K1171" s="136"/>
      <c r="L1171" s="136"/>
      <c r="M1171" s="136"/>
      <c r="N1171" s="136"/>
      <c r="O1171" s="142"/>
      <c r="P1171" s="140"/>
      <c r="Q1171" s="139"/>
      <c r="R1171" s="139"/>
      <c r="S1171" s="139"/>
      <c r="T1171" s="140" t="str">
        <f t="shared" si="7"/>
        <v/>
      </c>
      <c r="U1171" s="136"/>
      <c r="V1171" s="136"/>
      <c r="W1171" s="136"/>
      <c r="X1171" s="136"/>
      <c r="Y1171" s="145"/>
      <c r="Z1171" s="145"/>
    </row>
    <row r="1172">
      <c r="E1172" s="136"/>
      <c r="F1172" s="136"/>
      <c r="G1172" s="136"/>
      <c r="H1172" s="137"/>
      <c r="I1172" s="136"/>
      <c r="J1172" s="136"/>
      <c r="K1172" s="136"/>
      <c r="L1172" s="136"/>
      <c r="M1172" s="136"/>
      <c r="N1172" s="136"/>
      <c r="O1172" s="142"/>
      <c r="P1172" s="140"/>
      <c r="Q1172" s="139"/>
      <c r="R1172" s="139"/>
      <c r="S1172" s="139"/>
      <c r="T1172" s="140" t="str">
        <f t="shared" si="7"/>
        <v/>
      </c>
      <c r="U1172" s="136"/>
      <c r="V1172" s="136"/>
      <c r="W1172" s="136"/>
      <c r="X1172" s="136"/>
      <c r="Y1172" s="145"/>
      <c r="Z1172" s="145"/>
    </row>
    <row r="1173">
      <c r="E1173" s="136"/>
      <c r="F1173" s="136"/>
      <c r="G1173" s="136"/>
      <c r="H1173" s="137"/>
      <c r="I1173" s="136"/>
      <c r="J1173" s="136"/>
      <c r="K1173" s="136"/>
      <c r="L1173" s="136"/>
      <c r="M1173" s="136"/>
      <c r="N1173" s="136"/>
      <c r="O1173" s="142"/>
      <c r="P1173" s="140"/>
      <c r="Q1173" s="139"/>
      <c r="R1173" s="139"/>
      <c r="S1173" s="139"/>
      <c r="T1173" s="140" t="str">
        <f t="shared" si="7"/>
        <v/>
      </c>
      <c r="U1173" s="136"/>
      <c r="V1173" s="136"/>
      <c r="W1173" s="136"/>
      <c r="X1173" s="136"/>
      <c r="Y1173" s="145"/>
      <c r="Z1173" s="145"/>
    </row>
    <row r="1174">
      <c r="E1174" s="136"/>
      <c r="F1174" s="136"/>
      <c r="G1174" s="136"/>
      <c r="H1174" s="137"/>
      <c r="I1174" s="136"/>
      <c r="J1174" s="136"/>
      <c r="K1174" s="136"/>
      <c r="L1174" s="136"/>
      <c r="M1174" s="136"/>
      <c r="N1174" s="136"/>
      <c r="O1174" s="142"/>
      <c r="P1174" s="140"/>
      <c r="Q1174" s="139"/>
      <c r="R1174" s="139"/>
      <c r="S1174" s="139"/>
      <c r="T1174" s="140" t="str">
        <f t="shared" si="7"/>
        <v/>
      </c>
      <c r="U1174" s="136"/>
      <c r="V1174" s="136"/>
      <c r="W1174" s="136"/>
      <c r="X1174" s="136"/>
      <c r="Y1174" s="145"/>
      <c r="Z1174" s="145"/>
    </row>
    <row r="1175">
      <c r="E1175" s="136"/>
      <c r="F1175" s="136"/>
      <c r="G1175" s="136"/>
      <c r="H1175" s="137"/>
      <c r="I1175" s="136"/>
      <c r="J1175" s="136"/>
      <c r="K1175" s="136"/>
      <c r="L1175" s="136"/>
      <c r="M1175" s="136"/>
      <c r="N1175" s="136"/>
      <c r="O1175" s="142"/>
      <c r="P1175" s="140"/>
      <c r="Q1175" s="139"/>
      <c r="R1175" s="139"/>
      <c r="S1175" s="139"/>
      <c r="T1175" s="140" t="str">
        <f t="shared" si="7"/>
        <v/>
      </c>
      <c r="U1175" s="136"/>
      <c r="V1175" s="136"/>
      <c r="W1175" s="136"/>
      <c r="X1175" s="136"/>
      <c r="Y1175" s="145"/>
      <c r="Z1175" s="145"/>
    </row>
    <row r="1176">
      <c r="E1176" s="136"/>
      <c r="F1176" s="136"/>
      <c r="G1176" s="136"/>
      <c r="H1176" s="137"/>
      <c r="I1176" s="136"/>
      <c r="J1176" s="136"/>
      <c r="K1176" s="136"/>
      <c r="L1176" s="136"/>
      <c r="M1176" s="136"/>
      <c r="N1176" s="136"/>
      <c r="O1176" s="142"/>
      <c r="P1176" s="140"/>
      <c r="Q1176" s="139"/>
      <c r="R1176" s="139"/>
      <c r="S1176" s="139"/>
      <c r="T1176" s="140" t="str">
        <f t="shared" si="7"/>
        <v/>
      </c>
      <c r="U1176" s="136"/>
      <c r="V1176" s="136"/>
      <c r="W1176" s="136"/>
      <c r="X1176" s="136"/>
      <c r="Y1176" s="145"/>
      <c r="Z1176" s="145"/>
    </row>
    <row r="1177">
      <c r="E1177" s="136"/>
      <c r="F1177" s="136"/>
      <c r="G1177" s="136"/>
      <c r="H1177" s="137"/>
      <c r="I1177" s="136"/>
      <c r="J1177" s="136"/>
      <c r="K1177" s="136"/>
      <c r="L1177" s="136"/>
      <c r="M1177" s="136"/>
      <c r="N1177" s="136"/>
      <c r="O1177" s="142"/>
      <c r="P1177" s="140"/>
      <c r="Q1177" s="139"/>
      <c r="R1177" s="139"/>
      <c r="S1177" s="139"/>
      <c r="T1177" s="140" t="str">
        <f t="shared" si="7"/>
        <v/>
      </c>
      <c r="U1177" s="136"/>
      <c r="V1177" s="136"/>
      <c r="W1177" s="136"/>
      <c r="X1177" s="136"/>
      <c r="Y1177" s="145"/>
      <c r="Z1177" s="145"/>
    </row>
    <row r="1178">
      <c r="E1178" s="136"/>
      <c r="F1178" s="136"/>
      <c r="G1178" s="136"/>
      <c r="H1178" s="137"/>
      <c r="I1178" s="136"/>
      <c r="J1178" s="136"/>
      <c r="K1178" s="136"/>
      <c r="L1178" s="136"/>
      <c r="M1178" s="136"/>
      <c r="N1178" s="136"/>
      <c r="O1178" s="142"/>
      <c r="P1178" s="140"/>
      <c r="Q1178" s="139"/>
      <c r="R1178" s="139"/>
      <c r="S1178" s="139"/>
      <c r="T1178" s="140" t="str">
        <f t="shared" si="7"/>
        <v/>
      </c>
      <c r="U1178" s="136"/>
      <c r="V1178" s="136"/>
      <c r="W1178" s="136"/>
      <c r="X1178" s="136"/>
      <c r="Y1178" s="145"/>
      <c r="Z1178" s="145"/>
    </row>
    <row r="1179">
      <c r="E1179" s="136"/>
      <c r="F1179" s="136"/>
      <c r="G1179" s="136"/>
      <c r="H1179" s="137"/>
      <c r="I1179" s="136"/>
      <c r="J1179" s="136"/>
      <c r="K1179" s="136"/>
      <c r="L1179" s="136"/>
      <c r="M1179" s="136"/>
      <c r="N1179" s="136"/>
      <c r="O1179" s="142"/>
      <c r="P1179" s="140"/>
      <c r="Q1179" s="139"/>
      <c r="R1179" s="139"/>
      <c r="S1179" s="139"/>
      <c r="T1179" s="140" t="str">
        <f t="shared" si="7"/>
        <v/>
      </c>
      <c r="U1179" s="136"/>
      <c r="V1179" s="136"/>
      <c r="W1179" s="136"/>
      <c r="X1179" s="136"/>
      <c r="Y1179" s="145"/>
      <c r="Z1179" s="145"/>
    </row>
    <row r="1180">
      <c r="E1180" s="136"/>
      <c r="F1180" s="136"/>
      <c r="G1180" s="136"/>
      <c r="H1180" s="137"/>
      <c r="I1180" s="136"/>
      <c r="J1180" s="136"/>
      <c r="K1180" s="136"/>
      <c r="L1180" s="136"/>
      <c r="M1180" s="136"/>
      <c r="N1180" s="136"/>
      <c r="O1180" s="142"/>
      <c r="P1180" s="140"/>
      <c r="Q1180" s="139"/>
      <c r="R1180" s="139"/>
      <c r="S1180" s="139"/>
      <c r="T1180" s="140" t="str">
        <f t="shared" si="7"/>
        <v/>
      </c>
      <c r="U1180" s="136"/>
      <c r="V1180" s="136"/>
      <c r="W1180" s="136"/>
      <c r="X1180" s="136"/>
      <c r="Y1180" s="145"/>
      <c r="Z1180" s="145"/>
    </row>
    <row r="1181">
      <c r="E1181" s="136"/>
      <c r="F1181" s="136"/>
      <c r="G1181" s="136"/>
      <c r="H1181" s="137"/>
      <c r="I1181" s="136"/>
      <c r="J1181" s="136"/>
      <c r="K1181" s="136"/>
      <c r="L1181" s="136"/>
      <c r="M1181" s="136"/>
      <c r="N1181" s="136"/>
      <c r="O1181" s="142"/>
      <c r="P1181" s="140"/>
      <c r="Q1181" s="139"/>
      <c r="R1181" s="139"/>
      <c r="S1181" s="139"/>
      <c r="T1181" s="140" t="str">
        <f t="shared" si="7"/>
        <v/>
      </c>
      <c r="U1181" s="136"/>
      <c r="V1181" s="136"/>
      <c r="W1181" s="136"/>
      <c r="X1181" s="136"/>
      <c r="Y1181" s="145"/>
      <c r="Z1181" s="145"/>
    </row>
    <row r="1182">
      <c r="E1182" s="136"/>
      <c r="F1182" s="136"/>
      <c r="G1182" s="136"/>
      <c r="H1182" s="137"/>
      <c r="I1182" s="136"/>
      <c r="J1182" s="136"/>
      <c r="K1182" s="136"/>
      <c r="L1182" s="136"/>
      <c r="M1182" s="136"/>
      <c r="N1182" s="136"/>
      <c r="O1182" s="142"/>
      <c r="P1182" s="140"/>
      <c r="Q1182" s="139"/>
      <c r="R1182" s="139"/>
      <c r="S1182" s="139"/>
      <c r="T1182" s="140" t="str">
        <f t="shared" si="7"/>
        <v/>
      </c>
      <c r="U1182" s="136"/>
      <c r="V1182" s="136"/>
      <c r="W1182" s="136"/>
      <c r="X1182" s="136"/>
      <c r="Y1182" s="145"/>
      <c r="Z1182" s="145"/>
    </row>
    <row r="1183">
      <c r="E1183" s="136"/>
      <c r="F1183" s="136"/>
      <c r="G1183" s="136"/>
      <c r="H1183" s="137"/>
      <c r="I1183" s="136"/>
      <c r="J1183" s="136"/>
      <c r="K1183" s="136"/>
      <c r="L1183" s="136"/>
      <c r="M1183" s="136"/>
      <c r="N1183" s="136"/>
      <c r="O1183" s="142"/>
      <c r="P1183" s="140"/>
      <c r="Q1183" s="139"/>
      <c r="R1183" s="139"/>
      <c r="S1183" s="139"/>
      <c r="T1183" s="140" t="str">
        <f t="shared" si="7"/>
        <v/>
      </c>
      <c r="U1183" s="136"/>
      <c r="V1183" s="136"/>
      <c r="W1183" s="136"/>
      <c r="X1183" s="136"/>
      <c r="Y1183" s="145"/>
      <c r="Z1183" s="145"/>
    </row>
    <row r="1184">
      <c r="E1184" s="136"/>
      <c r="F1184" s="136"/>
      <c r="G1184" s="136"/>
      <c r="H1184" s="137"/>
      <c r="I1184" s="136"/>
      <c r="J1184" s="136"/>
      <c r="K1184" s="136"/>
      <c r="L1184" s="136"/>
      <c r="M1184" s="136"/>
      <c r="N1184" s="136"/>
      <c r="O1184" s="142"/>
      <c r="P1184" s="140"/>
      <c r="Q1184" s="139"/>
      <c r="R1184" s="139"/>
      <c r="S1184" s="139"/>
      <c r="T1184" s="140" t="str">
        <f t="shared" si="7"/>
        <v/>
      </c>
      <c r="U1184" s="136"/>
      <c r="V1184" s="136"/>
      <c r="W1184" s="136"/>
      <c r="X1184" s="136"/>
      <c r="Y1184" s="145"/>
      <c r="Z1184" s="145"/>
    </row>
    <row r="1185">
      <c r="E1185" s="136"/>
      <c r="F1185" s="136"/>
      <c r="G1185" s="136"/>
      <c r="H1185" s="137"/>
      <c r="I1185" s="136"/>
      <c r="J1185" s="136"/>
      <c r="K1185" s="136"/>
      <c r="L1185" s="136"/>
      <c r="M1185" s="136"/>
      <c r="N1185" s="136"/>
      <c r="O1185" s="142"/>
      <c r="P1185" s="140"/>
      <c r="Q1185" s="139"/>
      <c r="R1185" s="139"/>
      <c r="S1185" s="139"/>
      <c r="T1185" s="140" t="str">
        <f t="shared" si="7"/>
        <v/>
      </c>
      <c r="U1185" s="136"/>
      <c r="V1185" s="136"/>
      <c r="W1185" s="136"/>
      <c r="X1185" s="136"/>
      <c r="Y1185" s="145"/>
      <c r="Z1185" s="145"/>
    </row>
    <row r="1186">
      <c r="E1186" s="136"/>
      <c r="F1186" s="136"/>
      <c r="G1186" s="136"/>
      <c r="H1186" s="137"/>
      <c r="I1186" s="136"/>
      <c r="J1186" s="136"/>
      <c r="K1186" s="136"/>
      <c r="L1186" s="136"/>
      <c r="M1186" s="136"/>
      <c r="N1186" s="136"/>
      <c r="O1186" s="142"/>
      <c r="P1186" s="140"/>
      <c r="Q1186" s="139"/>
      <c r="R1186" s="139"/>
      <c r="S1186" s="139"/>
      <c r="T1186" s="140" t="str">
        <f t="shared" si="7"/>
        <v/>
      </c>
      <c r="U1186" s="136"/>
      <c r="V1186" s="136"/>
      <c r="W1186" s="136"/>
      <c r="X1186" s="136"/>
      <c r="Y1186" s="145"/>
      <c r="Z1186" s="145"/>
    </row>
    <row r="1187">
      <c r="E1187" s="136"/>
      <c r="F1187" s="136"/>
      <c r="G1187" s="136"/>
      <c r="H1187" s="137"/>
      <c r="I1187" s="136"/>
      <c r="J1187" s="136"/>
      <c r="K1187" s="136"/>
      <c r="L1187" s="136"/>
      <c r="M1187" s="136"/>
      <c r="N1187" s="136"/>
      <c r="O1187" s="142"/>
      <c r="P1187" s="140"/>
      <c r="Q1187" s="139"/>
      <c r="R1187" s="139"/>
      <c r="S1187" s="139"/>
      <c r="T1187" s="140" t="str">
        <f t="shared" si="7"/>
        <v/>
      </c>
      <c r="U1187" s="136"/>
      <c r="V1187" s="136"/>
      <c r="W1187" s="136"/>
      <c r="X1187" s="136"/>
      <c r="Y1187" s="145"/>
      <c r="Z1187" s="145"/>
    </row>
    <row r="1188">
      <c r="E1188" s="136"/>
      <c r="F1188" s="136"/>
      <c r="G1188" s="136"/>
      <c r="H1188" s="137"/>
      <c r="I1188" s="136"/>
      <c r="J1188" s="136"/>
      <c r="K1188" s="136"/>
      <c r="L1188" s="136"/>
      <c r="M1188" s="136"/>
      <c r="N1188" s="136"/>
      <c r="O1188" s="142"/>
      <c r="P1188" s="140"/>
      <c r="Q1188" s="139"/>
      <c r="R1188" s="139"/>
      <c r="S1188" s="139"/>
      <c r="T1188" s="140" t="str">
        <f t="shared" si="7"/>
        <v/>
      </c>
      <c r="U1188" s="136"/>
      <c r="V1188" s="136"/>
      <c r="W1188" s="136"/>
      <c r="X1188" s="136"/>
      <c r="Y1188" s="145"/>
      <c r="Z1188" s="145"/>
    </row>
    <row r="1189">
      <c r="E1189" s="136"/>
      <c r="F1189" s="136"/>
      <c r="G1189" s="136"/>
      <c r="H1189" s="137"/>
      <c r="I1189" s="136"/>
      <c r="J1189" s="136"/>
      <c r="K1189" s="136"/>
      <c r="L1189" s="136"/>
      <c r="M1189" s="136"/>
      <c r="N1189" s="136"/>
      <c r="O1189" s="142"/>
      <c r="P1189" s="140"/>
      <c r="Q1189" s="139"/>
      <c r="R1189" s="139"/>
      <c r="S1189" s="139"/>
      <c r="T1189" s="140" t="str">
        <f t="shared" si="7"/>
        <v/>
      </c>
      <c r="U1189" s="136"/>
      <c r="V1189" s="136"/>
      <c r="W1189" s="136"/>
      <c r="X1189" s="136"/>
      <c r="Y1189" s="145"/>
      <c r="Z1189" s="145"/>
    </row>
    <row r="1190">
      <c r="E1190" s="136"/>
      <c r="F1190" s="136"/>
      <c r="G1190" s="136"/>
      <c r="H1190" s="137"/>
      <c r="I1190" s="136"/>
      <c r="J1190" s="136"/>
      <c r="K1190" s="136"/>
      <c r="L1190" s="136"/>
      <c r="M1190" s="136"/>
      <c r="N1190" s="136"/>
      <c r="O1190" s="142"/>
      <c r="P1190" s="140"/>
      <c r="Q1190" s="139"/>
      <c r="R1190" s="139"/>
      <c r="S1190" s="139"/>
      <c r="T1190" s="140" t="str">
        <f t="shared" si="7"/>
        <v/>
      </c>
      <c r="U1190" s="136"/>
      <c r="V1190" s="136"/>
      <c r="W1190" s="136"/>
      <c r="X1190" s="136"/>
      <c r="Y1190" s="145"/>
      <c r="Z1190" s="145"/>
    </row>
    <row r="1191">
      <c r="E1191" s="136"/>
      <c r="F1191" s="136"/>
      <c r="G1191" s="136"/>
      <c r="H1191" s="137"/>
      <c r="I1191" s="136"/>
      <c r="J1191" s="136"/>
      <c r="K1191" s="136"/>
      <c r="L1191" s="136"/>
      <c r="M1191" s="136"/>
      <c r="N1191" s="136"/>
      <c r="O1191" s="142"/>
      <c r="P1191" s="140"/>
      <c r="Q1191" s="139"/>
      <c r="R1191" s="139"/>
      <c r="S1191" s="139"/>
      <c r="T1191" s="140" t="str">
        <f t="shared" si="7"/>
        <v/>
      </c>
      <c r="U1191" s="136"/>
      <c r="V1191" s="136"/>
      <c r="W1191" s="136"/>
      <c r="X1191" s="136"/>
      <c r="Y1191" s="145"/>
      <c r="Z1191" s="145"/>
    </row>
    <row r="1192">
      <c r="E1192" s="136"/>
      <c r="F1192" s="136"/>
      <c r="G1192" s="136"/>
      <c r="H1192" s="137"/>
      <c r="I1192" s="136"/>
      <c r="J1192" s="136"/>
      <c r="K1192" s="136"/>
      <c r="L1192" s="136"/>
      <c r="M1192" s="136"/>
      <c r="N1192" s="136"/>
      <c r="O1192" s="142"/>
      <c r="P1192" s="140"/>
      <c r="Q1192" s="139"/>
      <c r="R1192" s="139"/>
      <c r="S1192" s="139"/>
      <c r="T1192" s="140" t="str">
        <f t="shared" si="7"/>
        <v/>
      </c>
      <c r="U1192" s="136"/>
      <c r="V1192" s="136"/>
      <c r="W1192" s="136"/>
      <c r="X1192" s="136"/>
      <c r="Y1192" s="145"/>
      <c r="Z1192" s="145"/>
    </row>
    <row r="1193">
      <c r="E1193" s="136"/>
      <c r="F1193" s="136"/>
      <c r="G1193" s="136"/>
      <c r="H1193" s="137"/>
      <c r="I1193" s="136"/>
      <c r="J1193" s="136"/>
      <c r="K1193" s="136"/>
      <c r="L1193" s="136"/>
      <c r="M1193" s="136"/>
      <c r="N1193" s="136"/>
      <c r="O1193" s="142"/>
      <c r="P1193" s="140"/>
      <c r="Q1193" s="139"/>
      <c r="R1193" s="139"/>
      <c r="S1193" s="139"/>
      <c r="T1193" s="140" t="str">
        <f t="shared" si="7"/>
        <v/>
      </c>
      <c r="U1193" s="136"/>
      <c r="V1193" s="136"/>
      <c r="W1193" s="136"/>
      <c r="X1193" s="136"/>
      <c r="Y1193" s="145"/>
      <c r="Z1193" s="145"/>
    </row>
    <row r="1194">
      <c r="E1194" s="136"/>
      <c r="F1194" s="136"/>
      <c r="G1194" s="136"/>
      <c r="H1194" s="137"/>
      <c r="I1194" s="136"/>
      <c r="J1194" s="136"/>
      <c r="K1194" s="136"/>
      <c r="L1194" s="136"/>
      <c r="M1194" s="136"/>
      <c r="N1194" s="136"/>
      <c r="O1194" s="142"/>
      <c r="P1194" s="140"/>
      <c r="Q1194" s="139"/>
      <c r="R1194" s="139"/>
      <c r="S1194" s="139"/>
      <c r="T1194" s="140" t="str">
        <f t="shared" si="7"/>
        <v/>
      </c>
      <c r="U1194" s="136"/>
      <c r="V1194" s="136"/>
      <c r="W1194" s="136"/>
      <c r="X1194" s="136"/>
      <c r="Y1194" s="145"/>
      <c r="Z1194" s="145"/>
    </row>
    <row r="1195">
      <c r="E1195" s="136"/>
      <c r="F1195" s="136"/>
      <c r="G1195" s="136"/>
      <c r="H1195" s="137"/>
      <c r="I1195" s="136"/>
      <c r="J1195" s="136"/>
      <c r="K1195" s="136"/>
      <c r="L1195" s="136"/>
      <c r="M1195" s="136"/>
      <c r="N1195" s="136"/>
      <c r="O1195" s="142"/>
      <c r="P1195" s="140"/>
      <c r="Q1195" s="139"/>
      <c r="R1195" s="139"/>
      <c r="S1195" s="139"/>
      <c r="T1195" s="140" t="str">
        <f t="shared" si="7"/>
        <v/>
      </c>
      <c r="U1195" s="136"/>
      <c r="V1195" s="136"/>
      <c r="W1195" s="136"/>
      <c r="X1195" s="136"/>
      <c r="Y1195" s="145"/>
      <c r="Z1195" s="145"/>
    </row>
    <row r="1196">
      <c r="E1196" s="136"/>
      <c r="F1196" s="136"/>
      <c r="G1196" s="136"/>
      <c r="H1196" s="137"/>
      <c r="I1196" s="136"/>
      <c r="J1196" s="136"/>
      <c r="K1196" s="136"/>
      <c r="L1196" s="136"/>
      <c r="M1196" s="136"/>
      <c r="N1196" s="136"/>
      <c r="O1196" s="142"/>
      <c r="P1196" s="140"/>
      <c r="Q1196" s="139"/>
      <c r="R1196" s="139"/>
      <c r="S1196" s="139"/>
      <c r="T1196" s="140" t="str">
        <f t="shared" si="7"/>
        <v/>
      </c>
      <c r="U1196" s="136"/>
      <c r="V1196" s="136"/>
      <c r="W1196" s="136"/>
      <c r="X1196" s="136"/>
      <c r="Y1196" s="145"/>
      <c r="Z1196" s="145"/>
    </row>
    <row r="1197">
      <c r="E1197" s="136"/>
      <c r="F1197" s="136"/>
      <c r="G1197" s="136"/>
      <c r="H1197" s="137"/>
      <c r="I1197" s="136"/>
      <c r="J1197" s="136"/>
      <c r="K1197" s="136"/>
      <c r="L1197" s="136"/>
      <c r="M1197" s="136"/>
      <c r="N1197" s="136"/>
      <c r="O1197" s="142"/>
      <c r="P1197" s="140"/>
      <c r="Q1197" s="139"/>
      <c r="R1197" s="139"/>
      <c r="S1197" s="139"/>
      <c r="T1197" s="140" t="str">
        <f t="shared" si="7"/>
        <v/>
      </c>
      <c r="U1197" s="136"/>
      <c r="V1197" s="136"/>
      <c r="W1197" s="136"/>
      <c r="X1197" s="136"/>
      <c r="Y1197" s="145"/>
      <c r="Z1197" s="145"/>
    </row>
    <row r="1198">
      <c r="E1198" s="136"/>
      <c r="F1198" s="136"/>
      <c r="G1198" s="136"/>
      <c r="H1198" s="137"/>
      <c r="I1198" s="136"/>
      <c r="J1198" s="136"/>
      <c r="K1198" s="136"/>
      <c r="L1198" s="136"/>
      <c r="M1198" s="136"/>
      <c r="N1198" s="136"/>
      <c r="O1198" s="142"/>
      <c r="P1198" s="140"/>
      <c r="Q1198" s="139"/>
      <c r="R1198" s="139"/>
      <c r="S1198" s="139"/>
      <c r="T1198" s="140" t="str">
        <f t="shared" si="7"/>
        <v/>
      </c>
      <c r="U1198" s="136"/>
      <c r="V1198" s="136"/>
      <c r="W1198" s="136"/>
      <c r="X1198" s="136"/>
      <c r="Y1198" s="145"/>
      <c r="Z1198" s="145"/>
    </row>
    <row r="1199">
      <c r="E1199" s="136"/>
      <c r="F1199" s="136"/>
      <c r="G1199" s="136"/>
      <c r="H1199" s="137"/>
      <c r="I1199" s="136"/>
      <c r="J1199" s="136"/>
      <c r="K1199" s="136"/>
      <c r="L1199" s="136"/>
      <c r="M1199" s="136"/>
      <c r="N1199" s="136"/>
      <c r="O1199" s="142"/>
      <c r="P1199" s="140"/>
      <c r="Q1199" s="139"/>
      <c r="R1199" s="139"/>
      <c r="S1199" s="139"/>
      <c r="T1199" s="140" t="str">
        <f t="shared" si="7"/>
        <v/>
      </c>
      <c r="U1199" s="136"/>
      <c r="V1199" s="136"/>
      <c r="W1199" s="136"/>
      <c r="X1199" s="136"/>
      <c r="Y1199" s="145"/>
      <c r="Z1199" s="145"/>
    </row>
    <row r="1200">
      <c r="E1200" s="136"/>
      <c r="F1200" s="136"/>
      <c r="G1200" s="136"/>
      <c r="H1200" s="137"/>
      <c r="I1200" s="136"/>
      <c r="J1200" s="136"/>
      <c r="K1200" s="136"/>
      <c r="L1200" s="136"/>
      <c r="M1200" s="136"/>
      <c r="N1200" s="136"/>
      <c r="O1200" s="142"/>
      <c r="P1200" s="140"/>
      <c r="Q1200" s="139"/>
      <c r="R1200" s="139"/>
      <c r="S1200" s="139"/>
      <c r="T1200" s="140" t="str">
        <f t="shared" si="7"/>
        <v/>
      </c>
      <c r="U1200" s="136"/>
      <c r="V1200" s="136"/>
      <c r="W1200" s="136"/>
      <c r="X1200" s="136"/>
      <c r="Y1200" s="145"/>
      <c r="Z1200" s="145"/>
    </row>
    <row r="1201">
      <c r="E1201" s="136"/>
      <c r="F1201" s="136"/>
      <c r="G1201" s="136"/>
      <c r="H1201" s="137"/>
      <c r="I1201" s="136"/>
      <c r="J1201" s="136"/>
      <c r="K1201" s="136"/>
      <c r="L1201" s="136"/>
      <c r="M1201" s="136"/>
      <c r="N1201" s="136"/>
      <c r="O1201" s="142"/>
      <c r="P1201" s="140"/>
      <c r="Q1201" s="139"/>
      <c r="R1201" s="139"/>
      <c r="S1201" s="139"/>
      <c r="T1201" s="140" t="str">
        <f t="shared" si="7"/>
        <v/>
      </c>
      <c r="U1201" s="136"/>
      <c r="V1201" s="136"/>
      <c r="W1201" s="136"/>
      <c r="X1201" s="136"/>
      <c r="Y1201" s="145"/>
      <c r="Z1201" s="145"/>
    </row>
    <row r="1202">
      <c r="E1202" s="136"/>
      <c r="F1202" s="136"/>
      <c r="G1202" s="136"/>
      <c r="H1202" s="137"/>
      <c r="I1202" s="136"/>
      <c r="J1202" s="136"/>
      <c r="K1202" s="136"/>
      <c r="L1202" s="136"/>
      <c r="M1202" s="136"/>
      <c r="N1202" s="136"/>
      <c r="O1202" s="142"/>
      <c r="P1202" s="140"/>
      <c r="Q1202" s="139"/>
      <c r="R1202" s="139"/>
      <c r="S1202" s="139"/>
      <c r="T1202" s="140" t="str">
        <f t="shared" si="7"/>
        <v/>
      </c>
      <c r="U1202" s="136"/>
      <c r="V1202" s="136"/>
      <c r="W1202" s="136"/>
      <c r="X1202" s="136"/>
      <c r="Y1202" s="145"/>
      <c r="Z1202" s="145"/>
    </row>
    <row r="1203">
      <c r="E1203" s="136"/>
      <c r="F1203" s="136"/>
      <c r="G1203" s="136"/>
      <c r="H1203" s="137"/>
      <c r="I1203" s="136"/>
      <c r="J1203" s="136"/>
      <c r="K1203" s="136"/>
      <c r="L1203" s="136"/>
      <c r="M1203" s="136"/>
      <c r="N1203" s="136"/>
      <c r="O1203" s="142"/>
      <c r="P1203" s="140"/>
      <c r="Q1203" s="139"/>
      <c r="R1203" s="139"/>
      <c r="S1203" s="139"/>
      <c r="T1203" s="140" t="str">
        <f t="shared" si="7"/>
        <v/>
      </c>
      <c r="U1203" s="136"/>
      <c r="V1203" s="136"/>
      <c r="W1203" s="136"/>
      <c r="X1203" s="136"/>
      <c r="Y1203" s="145"/>
      <c r="Z1203" s="145"/>
    </row>
    <row r="1204">
      <c r="E1204" s="136"/>
      <c r="F1204" s="136"/>
      <c r="G1204" s="136"/>
      <c r="H1204" s="137"/>
      <c r="I1204" s="136"/>
      <c r="J1204" s="136"/>
      <c r="K1204" s="136"/>
      <c r="L1204" s="136"/>
      <c r="M1204" s="136"/>
      <c r="N1204" s="136"/>
      <c r="O1204" s="142"/>
      <c r="P1204" s="140"/>
      <c r="Q1204" s="139"/>
      <c r="R1204" s="139"/>
      <c r="S1204" s="139"/>
      <c r="T1204" s="140" t="str">
        <f t="shared" si="7"/>
        <v/>
      </c>
      <c r="U1204" s="136"/>
      <c r="V1204" s="136"/>
      <c r="W1204" s="136"/>
      <c r="X1204" s="136"/>
      <c r="Y1204" s="145"/>
      <c r="Z1204" s="145"/>
    </row>
    <row r="1205">
      <c r="E1205" s="136"/>
      <c r="F1205" s="136"/>
      <c r="G1205" s="136"/>
      <c r="H1205" s="137"/>
      <c r="I1205" s="136"/>
      <c r="J1205" s="136"/>
      <c r="K1205" s="136"/>
      <c r="L1205" s="136"/>
      <c r="M1205" s="136"/>
      <c r="N1205" s="136"/>
      <c r="O1205" s="142"/>
      <c r="P1205" s="140"/>
      <c r="Q1205" s="139"/>
      <c r="R1205" s="139"/>
      <c r="S1205" s="139"/>
      <c r="T1205" s="140" t="str">
        <f t="shared" si="7"/>
        <v/>
      </c>
      <c r="U1205" s="136"/>
      <c r="V1205" s="136"/>
      <c r="W1205" s="136"/>
      <c r="X1205" s="136"/>
      <c r="Y1205" s="145"/>
      <c r="Z1205" s="145"/>
    </row>
    <row r="1206">
      <c r="E1206" s="136"/>
      <c r="F1206" s="136"/>
      <c r="G1206" s="136"/>
      <c r="H1206" s="137"/>
      <c r="I1206" s="136"/>
      <c r="J1206" s="136"/>
      <c r="K1206" s="136"/>
      <c r="L1206" s="136"/>
      <c r="M1206" s="136"/>
      <c r="N1206" s="136"/>
      <c r="O1206" s="142"/>
      <c r="P1206" s="140"/>
      <c r="Q1206" s="139"/>
      <c r="R1206" s="139"/>
      <c r="S1206" s="139"/>
      <c r="T1206" s="140" t="str">
        <f t="shared" si="7"/>
        <v/>
      </c>
      <c r="U1206" s="136"/>
      <c r="V1206" s="136"/>
      <c r="W1206" s="136"/>
      <c r="X1206" s="136"/>
      <c r="Y1206" s="145"/>
      <c r="Z1206" s="145"/>
    </row>
    <row r="1207">
      <c r="E1207" s="136"/>
      <c r="F1207" s="136"/>
      <c r="G1207" s="136"/>
      <c r="H1207" s="137"/>
      <c r="I1207" s="136"/>
      <c r="J1207" s="136"/>
      <c r="K1207" s="136"/>
      <c r="L1207" s="136"/>
      <c r="M1207" s="136"/>
      <c r="N1207" s="136"/>
      <c r="O1207" s="142"/>
      <c r="P1207" s="140"/>
      <c r="Q1207" s="139"/>
      <c r="R1207" s="139"/>
      <c r="S1207" s="139"/>
      <c r="T1207" s="140" t="str">
        <f t="shared" si="7"/>
        <v/>
      </c>
      <c r="U1207" s="136"/>
      <c r="V1207" s="136"/>
      <c r="W1207" s="136"/>
      <c r="X1207" s="136"/>
      <c r="Y1207" s="145"/>
      <c r="Z1207" s="145"/>
    </row>
    <row r="1208">
      <c r="E1208" s="136"/>
      <c r="F1208" s="136"/>
      <c r="G1208" s="136"/>
      <c r="H1208" s="137"/>
      <c r="I1208" s="136"/>
      <c r="J1208" s="136"/>
      <c r="K1208" s="136"/>
      <c r="L1208" s="136"/>
      <c r="M1208" s="136"/>
      <c r="N1208" s="136"/>
      <c r="O1208" s="142"/>
      <c r="P1208" s="140"/>
      <c r="Q1208" s="139"/>
      <c r="R1208" s="139"/>
      <c r="S1208" s="139"/>
      <c r="T1208" s="140" t="str">
        <f t="shared" si="7"/>
        <v/>
      </c>
      <c r="U1208" s="136"/>
      <c r="V1208" s="136"/>
      <c r="W1208" s="136"/>
      <c r="X1208" s="136"/>
      <c r="Y1208" s="145"/>
      <c r="Z1208" s="145"/>
    </row>
    <row r="1209">
      <c r="E1209" s="136"/>
      <c r="F1209" s="136"/>
      <c r="G1209" s="136"/>
      <c r="H1209" s="137"/>
      <c r="I1209" s="136"/>
      <c r="J1209" s="136"/>
      <c r="K1209" s="136"/>
      <c r="L1209" s="136"/>
      <c r="M1209" s="136"/>
      <c r="N1209" s="136"/>
      <c r="O1209" s="142"/>
      <c r="P1209" s="140"/>
      <c r="Q1209" s="139"/>
      <c r="R1209" s="139"/>
      <c r="S1209" s="139"/>
      <c r="T1209" s="140" t="str">
        <f t="shared" si="7"/>
        <v/>
      </c>
      <c r="U1209" s="136"/>
      <c r="V1209" s="136"/>
      <c r="W1209" s="136"/>
      <c r="X1209" s="136"/>
      <c r="Y1209" s="145"/>
      <c r="Z1209" s="145"/>
    </row>
    <row r="1210">
      <c r="E1210" s="136"/>
      <c r="F1210" s="136"/>
      <c r="G1210" s="136"/>
      <c r="H1210" s="137"/>
      <c r="I1210" s="136"/>
      <c r="J1210" s="136"/>
      <c r="K1210" s="136"/>
      <c r="L1210" s="136"/>
      <c r="M1210" s="136"/>
      <c r="N1210" s="136"/>
      <c r="O1210" s="142"/>
      <c r="P1210" s="140"/>
      <c r="Q1210" s="139"/>
      <c r="R1210" s="139"/>
      <c r="S1210" s="139"/>
      <c r="T1210" s="140" t="str">
        <f t="shared" si="7"/>
        <v/>
      </c>
      <c r="U1210" s="136"/>
      <c r="V1210" s="136"/>
      <c r="W1210" s="136"/>
      <c r="X1210" s="136"/>
      <c r="Y1210" s="145"/>
      <c r="Z1210" s="145"/>
    </row>
    <row r="1211">
      <c r="E1211" s="136"/>
      <c r="F1211" s="136"/>
      <c r="G1211" s="136"/>
      <c r="H1211" s="137"/>
      <c r="I1211" s="136"/>
      <c r="J1211" s="136"/>
      <c r="K1211" s="136"/>
      <c r="L1211" s="136"/>
      <c r="M1211" s="136"/>
      <c r="N1211" s="136"/>
      <c r="O1211" s="142"/>
      <c r="P1211" s="140"/>
      <c r="Q1211" s="139"/>
      <c r="R1211" s="139"/>
      <c r="S1211" s="139"/>
      <c r="T1211" s="140" t="str">
        <f t="shared" si="7"/>
        <v/>
      </c>
      <c r="U1211" s="136"/>
      <c r="V1211" s="136"/>
      <c r="W1211" s="136"/>
      <c r="X1211" s="136"/>
      <c r="Y1211" s="145"/>
      <c r="Z1211" s="145"/>
    </row>
    <row r="1212">
      <c r="E1212" s="136"/>
      <c r="F1212" s="136"/>
      <c r="G1212" s="136"/>
      <c r="H1212" s="137"/>
      <c r="I1212" s="136"/>
      <c r="J1212" s="136"/>
      <c r="K1212" s="136"/>
      <c r="L1212" s="136"/>
      <c r="M1212" s="136"/>
      <c r="N1212" s="136"/>
      <c r="O1212" s="142"/>
      <c r="P1212" s="140"/>
      <c r="Q1212" s="139"/>
      <c r="R1212" s="139"/>
      <c r="S1212" s="139"/>
      <c r="T1212" s="140" t="str">
        <f t="shared" si="7"/>
        <v/>
      </c>
      <c r="U1212" s="136"/>
      <c r="V1212" s="136"/>
      <c r="W1212" s="136"/>
      <c r="X1212" s="136"/>
      <c r="Y1212" s="145"/>
      <c r="Z1212" s="145"/>
    </row>
    <row r="1213">
      <c r="E1213" s="136"/>
      <c r="F1213" s="136"/>
      <c r="G1213" s="136"/>
      <c r="H1213" s="137"/>
      <c r="I1213" s="136"/>
      <c r="J1213" s="136"/>
      <c r="K1213" s="136"/>
      <c r="L1213" s="136"/>
      <c r="M1213" s="136"/>
      <c r="N1213" s="136"/>
      <c r="O1213" s="142"/>
      <c r="P1213" s="140"/>
      <c r="Q1213" s="139"/>
      <c r="R1213" s="139"/>
      <c r="S1213" s="139"/>
      <c r="T1213" s="140" t="str">
        <f t="shared" si="7"/>
        <v/>
      </c>
      <c r="U1213" s="136"/>
      <c r="V1213" s="136"/>
      <c r="W1213" s="136"/>
      <c r="X1213" s="136"/>
      <c r="Y1213" s="145"/>
      <c r="Z1213" s="145"/>
    </row>
    <row r="1214">
      <c r="E1214" s="136"/>
      <c r="F1214" s="136"/>
      <c r="G1214" s="136"/>
      <c r="H1214" s="137"/>
      <c r="I1214" s="136"/>
      <c r="J1214" s="136"/>
      <c r="K1214" s="136"/>
      <c r="L1214" s="136"/>
      <c r="M1214" s="136"/>
      <c r="N1214" s="136"/>
      <c r="O1214" s="142"/>
      <c r="P1214" s="140"/>
      <c r="Q1214" s="139"/>
      <c r="R1214" s="139"/>
      <c r="S1214" s="139"/>
      <c r="T1214" s="140" t="str">
        <f t="shared" si="7"/>
        <v/>
      </c>
      <c r="U1214" s="136"/>
      <c r="V1214" s="136"/>
      <c r="W1214" s="136"/>
      <c r="X1214" s="136"/>
      <c r="Y1214" s="145"/>
      <c r="Z1214" s="145"/>
    </row>
    <row r="1215">
      <c r="E1215" s="136"/>
      <c r="F1215" s="136"/>
      <c r="G1215" s="136"/>
      <c r="H1215" s="137"/>
      <c r="I1215" s="136"/>
      <c r="J1215" s="136"/>
      <c r="K1215" s="136"/>
      <c r="L1215" s="136"/>
      <c r="M1215" s="136"/>
      <c r="N1215" s="136"/>
      <c r="O1215" s="142"/>
      <c r="P1215" s="140"/>
      <c r="Q1215" s="139"/>
      <c r="R1215" s="139"/>
      <c r="S1215" s="139"/>
      <c r="T1215" s="140" t="str">
        <f t="shared" si="7"/>
        <v/>
      </c>
      <c r="U1215" s="136"/>
      <c r="V1215" s="136"/>
      <c r="W1215" s="136"/>
      <c r="X1215" s="136"/>
      <c r="Y1215" s="145"/>
      <c r="Z1215" s="145"/>
    </row>
    <row r="1216">
      <c r="E1216" s="136"/>
      <c r="F1216" s="136"/>
      <c r="G1216" s="136"/>
      <c r="H1216" s="137"/>
      <c r="I1216" s="136"/>
      <c r="J1216" s="136"/>
      <c r="K1216" s="136"/>
      <c r="L1216" s="136"/>
      <c r="M1216" s="136"/>
      <c r="N1216" s="136"/>
      <c r="O1216" s="142"/>
      <c r="P1216" s="140"/>
      <c r="Q1216" s="139"/>
      <c r="R1216" s="139"/>
      <c r="S1216" s="139"/>
      <c r="T1216" s="140" t="str">
        <f t="shared" si="7"/>
        <v/>
      </c>
      <c r="U1216" s="136"/>
      <c r="V1216" s="136"/>
      <c r="W1216" s="136"/>
      <c r="X1216" s="136"/>
      <c r="Y1216" s="145"/>
      <c r="Z1216" s="145"/>
    </row>
    <row r="1217">
      <c r="E1217" s="136"/>
      <c r="F1217" s="136"/>
      <c r="G1217" s="136"/>
      <c r="H1217" s="137"/>
      <c r="I1217" s="136"/>
      <c r="J1217" s="136"/>
      <c r="K1217" s="136"/>
      <c r="L1217" s="136"/>
      <c r="M1217" s="136"/>
      <c r="N1217" s="136"/>
      <c r="O1217" s="142"/>
      <c r="P1217" s="140"/>
      <c r="Q1217" s="139"/>
      <c r="R1217" s="139"/>
      <c r="S1217" s="139"/>
      <c r="T1217" s="140" t="str">
        <f t="shared" si="7"/>
        <v/>
      </c>
      <c r="U1217" s="136"/>
      <c r="V1217" s="136"/>
      <c r="W1217" s="136"/>
      <c r="X1217" s="136"/>
      <c r="Y1217" s="145"/>
      <c r="Z1217" s="145"/>
    </row>
    <row r="1218">
      <c r="E1218" s="136"/>
      <c r="F1218" s="136"/>
      <c r="G1218" s="136"/>
      <c r="H1218" s="137"/>
      <c r="I1218" s="136"/>
      <c r="J1218" s="136"/>
      <c r="K1218" s="136"/>
      <c r="L1218" s="136"/>
      <c r="M1218" s="136"/>
      <c r="N1218" s="136"/>
      <c r="O1218" s="142"/>
      <c r="P1218" s="140"/>
      <c r="Q1218" s="139"/>
      <c r="R1218" s="139"/>
      <c r="S1218" s="139"/>
      <c r="T1218" s="140" t="str">
        <f t="shared" si="7"/>
        <v/>
      </c>
      <c r="U1218" s="136"/>
      <c r="V1218" s="136"/>
      <c r="W1218" s="136"/>
      <c r="X1218" s="136"/>
      <c r="Y1218" s="145"/>
      <c r="Z1218" s="145"/>
    </row>
    <row r="1219">
      <c r="E1219" s="136"/>
      <c r="F1219" s="136"/>
      <c r="G1219" s="136"/>
      <c r="H1219" s="137"/>
      <c r="I1219" s="136"/>
      <c r="J1219" s="136"/>
      <c r="K1219" s="136"/>
      <c r="L1219" s="136"/>
      <c r="M1219" s="136"/>
      <c r="N1219" s="136"/>
      <c r="O1219" s="142"/>
      <c r="P1219" s="140"/>
      <c r="Q1219" s="139"/>
      <c r="R1219" s="139"/>
      <c r="S1219" s="139"/>
      <c r="T1219" s="140" t="str">
        <f t="shared" si="7"/>
        <v/>
      </c>
      <c r="U1219" s="136"/>
      <c r="V1219" s="136"/>
      <c r="W1219" s="136"/>
      <c r="X1219" s="136"/>
      <c r="Y1219" s="145"/>
      <c r="Z1219" s="145"/>
    </row>
    <row r="1220">
      <c r="E1220" s="136"/>
      <c r="F1220" s="136"/>
      <c r="G1220" s="136"/>
      <c r="H1220" s="137"/>
      <c r="I1220" s="136"/>
      <c r="J1220" s="136"/>
      <c r="K1220" s="136"/>
      <c r="L1220" s="136"/>
      <c r="M1220" s="136"/>
      <c r="N1220" s="136"/>
      <c r="O1220" s="142"/>
      <c r="P1220" s="140"/>
      <c r="Q1220" s="139"/>
      <c r="R1220" s="139"/>
      <c r="S1220" s="139"/>
      <c r="T1220" s="140" t="str">
        <f t="shared" si="7"/>
        <v/>
      </c>
      <c r="U1220" s="136"/>
      <c r="V1220" s="136"/>
      <c r="W1220" s="136"/>
      <c r="X1220" s="136"/>
      <c r="Y1220" s="145"/>
      <c r="Z1220" s="145"/>
    </row>
    <row r="1221">
      <c r="E1221" s="136"/>
      <c r="F1221" s="136"/>
      <c r="G1221" s="136"/>
      <c r="H1221" s="137"/>
      <c r="I1221" s="136"/>
      <c r="J1221" s="136"/>
      <c r="K1221" s="136"/>
      <c r="L1221" s="136"/>
      <c r="M1221" s="136"/>
      <c r="N1221" s="136"/>
      <c r="O1221" s="142"/>
      <c r="P1221" s="140"/>
      <c r="Q1221" s="139"/>
      <c r="R1221" s="139"/>
      <c r="S1221" s="139"/>
      <c r="T1221" s="140" t="str">
        <f t="shared" si="7"/>
        <v/>
      </c>
      <c r="U1221" s="136"/>
      <c r="V1221" s="136"/>
      <c r="W1221" s="136"/>
      <c r="X1221" s="136"/>
      <c r="Y1221" s="145"/>
      <c r="Z1221" s="145"/>
    </row>
    <row r="1222">
      <c r="E1222" s="136"/>
      <c r="F1222" s="136"/>
      <c r="G1222" s="136"/>
      <c r="H1222" s="137"/>
      <c r="I1222" s="136"/>
      <c r="J1222" s="136"/>
      <c r="K1222" s="136"/>
      <c r="L1222" s="136"/>
      <c r="M1222" s="136"/>
      <c r="N1222" s="136"/>
      <c r="O1222" s="142"/>
      <c r="P1222" s="140"/>
      <c r="Q1222" s="139"/>
      <c r="R1222" s="139"/>
      <c r="S1222" s="139"/>
      <c r="T1222" s="140" t="str">
        <f t="shared" si="7"/>
        <v/>
      </c>
      <c r="U1222" s="136"/>
      <c r="V1222" s="136"/>
      <c r="W1222" s="136"/>
      <c r="X1222" s="136"/>
      <c r="Y1222" s="145"/>
      <c r="Z1222" s="145"/>
    </row>
    <row r="1223">
      <c r="E1223" s="136"/>
      <c r="F1223" s="136"/>
      <c r="G1223" s="136"/>
      <c r="H1223" s="137"/>
      <c r="I1223" s="136"/>
      <c r="J1223" s="136"/>
      <c r="K1223" s="136"/>
      <c r="L1223" s="136"/>
      <c r="M1223" s="136"/>
      <c r="N1223" s="136"/>
      <c r="O1223" s="142"/>
      <c r="P1223" s="140"/>
      <c r="Q1223" s="139"/>
      <c r="R1223" s="139"/>
      <c r="S1223" s="139"/>
      <c r="T1223" s="140" t="str">
        <f t="shared" si="7"/>
        <v/>
      </c>
      <c r="U1223" s="136"/>
      <c r="V1223" s="136"/>
      <c r="W1223" s="136"/>
      <c r="X1223" s="136"/>
      <c r="Y1223" s="145"/>
      <c r="Z1223" s="145"/>
    </row>
    <row r="1224">
      <c r="E1224" s="136"/>
      <c r="F1224" s="136"/>
      <c r="G1224" s="136"/>
      <c r="H1224" s="137"/>
      <c r="I1224" s="136"/>
      <c r="J1224" s="136"/>
      <c r="K1224" s="136"/>
      <c r="L1224" s="136"/>
      <c r="M1224" s="136"/>
      <c r="N1224" s="136"/>
      <c r="O1224" s="142"/>
      <c r="P1224" s="140"/>
      <c r="Q1224" s="139"/>
      <c r="R1224" s="139"/>
      <c r="S1224" s="139"/>
      <c r="T1224" s="140" t="str">
        <f t="shared" si="7"/>
        <v/>
      </c>
      <c r="U1224" s="136"/>
      <c r="V1224" s="136"/>
      <c r="W1224" s="136"/>
      <c r="X1224" s="136"/>
      <c r="Y1224" s="145"/>
      <c r="Z1224" s="145"/>
    </row>
    <row r="1225">
      <c r="E1225" s="136"/>
      <c r="F1225" s="136"/>
      <c r="G1225" s="136"/>
      <c r="H1225" s="137"/>
      <c r="I1225" s="136"/>
      <c r="J1225" s="136"/>
      <c r="K1225" s="136"/>
      <c r="L1225" s="136"/>
      <c r="M1225" s="136"/>
      <c r="N1225" s="136"/>
      <c r="O1225" s="142"/>
      <c r="P1225" s="140"/>
      <c r="Q1225" s="139"/>
      <c r="R1225" s="139"/>
      <c r="S1225" s="139"/>
      <c r="T1225" s="140" t="str">
        <f t="shared" si="7"/>
        <v/>
      </c>
      <c r="U1225" s="136"/>
      <c r="V1225" s="136"/>
      <c r="W1225" s="136"/>
      <c r="X1225" s="136"/>
      <c r="Y1225" s="145"/>
      <c r="Z1225" s="145"/>
    </row>
    <row r="1226">
      <c r="E1226" s="136"/>
      <c r="F1226" s="136"/>
      <c r="G1226" s="136"/>
      <c r="H1226" s="137"/>
      <c r="I1226" s="136"/>
      <c r="J1226" s="136"/>
      <c r="K1226" s="136"/>
      <c r="L1226" s="136"/>
      <c r="M1226" s="136"/>
      <c r="N1226" s="136"/>
      <c r="O1226" s="142"/>
      <c r="P1226" s="140"/>
      <c r="Q1226" s="139"/>
      <c r="R1226" s="139"/>
      <c r="S1226" s="139"/>
      <c r="T1226" s="140" t="str">
        <f t="shared" si="7"/>
        <v/>
      </c>
      <c r="U1226" s="136"/>
      <c r="V1226" s="136"/>
      <c r="W1226" s="136"/>
      <c r="X1226" s="136"/>
      <c r="Y1226" s="145"/>
      <c r="Z1226" s="145"/>
    </row>
    <row r="1227">
      <c r="E1227" s="136"/>
      <c r="F1227" s="136"/>
      <c r="G1227" s="136"/>
      <c r="H1227" s="137"/>
      <c r="I1227" s="136"/>
      <c r="J1227" s="136"/>
      <c r="K1227" s="136"/>
      <c r="L1227" s="136"/>
      <c r="M1227" s="136"/>
      <c r="N1227" s="136"/>
      <c r="O1227" s="142"/>
      <c r="P1227" s="140"/>
      <c r="Q1227" s="139"/>
      <c r="R1227" s="139"/>
      <c r="S1227" s="139"/>
      <c r="T1227" s="140" t="str">
        <f t="shared" si="7"/>
        <v/>
      </c>
      <c r="U1227" s="136"/>
      <c r="V1227" s="136"/>
      <c r="W1227" s="136"/>
      <c r="X1227" s="136"/>
      <c r="Y1227" s="145"/>
      <c r="Z1227" s="145"/>
    </row>
    <row r="1228">
      <c r="E1228" s="136"/>
      <c r="F1228" s="136"/>
      <c r="G1228" s="136"/>
      <c r="H1228" s="137"/>
      <c r="I1228" s="136"/>
      <c r="J1228" s="136"/>
      <c r="K1228" s="136"/>
      <c r="L1228" s="136"/>
      <c r="M1228" s="136"/>
      <c r="N1228" s="136"/>
      <c r="O1228" s="142"/>
      <c r="P1228" s="140"/>
      <c r="Q1228" s="139"/>
      <c r="R1228" s="139"/>
      <c r="S1228" s="139"/>
      <c r="T1228" s="140" t="str">
        <f t="shared" si="7"/>
        <v/>
      </c>
      <c r="U1228" s="136"/>
      <c r="V1228" s="136"/>
      <c r="W1228" s="136"/>
      <c r="X1228" s="136"/>
      <c r="Y1228" s="145"/>
      <c r="Z1228" s="145"/>
    </row>
    <row r="1229">
      <c r="E1229" s="136"/>
      <c r="F1229" s="136"/>
      <c r="G1229" s="136"/>
      <c r="H1229" s="137"/>
      <c r="I1229" s="136"/>
      <c r="J1229" s="136"/>
      <c r="K1229" s="136"/>
      <c r="L1229" s="136"/>
      <c r="M1229" s="136"/>
      <c r="N1229" s="136"/>
      <c r="O1229" s="142"/>
      <c r="P1229" s="140"/>
      <c r="Q1229" s="139"/>
      <c r="R1229" s="139"/>
      <c r="S1229" s="139"/>
      <c r="T1229" s="140" t="str">
        <f t="shared" si="7"/>
        <v/>
      </c>
      <c r="U1229" s="136"/>
      <c r="V1229" s="136"/>
      <c r="W1229" s="136"/>
      <c r="X1229" s="136"/>
      <c r="Y1229" s="145"/>
      <c r="Z1229" s="145"/>
    </row>
    <row r="1230">
      <c r="E1230" s="136"/>
      <c r="F1230" s="136"/>
      <c r="G1230" s="136"/>
      <c r="H1230" s="137"/>
      <c r="I1230" s="136"/>
      <c r="J1230" s="136"/>
      <c r="K1230" s="136"/>
      <c r="L1230" s="136"/>
      <c r="M1230" s="136"/>
      <c r="N1230" s="136"/>
      <c r="O1230" s="142"/>
      <c r="P1230" s="140"/>
      <c r="Q1230" s="139"/>
      <c r="R1230" s="139"/>
      <c r="S1230" s="139"/>
      <c r="T1230" s="140" t="str">
        <f t="shared" si="7"/>
        <v/>
      </c>
      <c r="U1230" s="136"/>
      <c r="V1230" s="136"/>
      <c r="W1230" s="136"/>
      <c r="X1230" s="136"/>
      <c r="Y1230" s="145"/>
      <c r="Z1230" s="145"/>
    </row>
    <row r="1231">
      <c r="E1231" s="136"/>
      <c r="F1231" s="136"/>
      <c r="G1231" s="136"/>
      <c r="H1231" s="137"/>
      <c r="I1231" s="136"/>
      <c r="J1231" s="136"/>
      <c r="K1231" s="136"/>
      <c r="L1231" s="136"/>
      <c r="M1231" s="136"/>
      <c r="N1231" s="136"/>
      <c r="O1231" s="142"/>
      <c r="P1231" s="140"/>
      <c r="Q1231" s="139"/>
      <c r="R1231" s="139"/>
      <c r="S1231" s="139"/>
      <c r="T1231" s="140" t="str">
        <f t="shared" si="7"/>
        <v/>
      </c>
      <c r="U1231" s="136"/>
      <c r="V1231" s="136"/>
      <c r="W1231" s="136"/>
      <c r="X1231" s="136"/>
      <c r="Y1231" s="145"/>
      <c r="Z1231" s="145"/>
    </row>
    <row r="1232">
      <c r="E1232" s="136"/>
      <c r="F1232" s="136"/>
      <c r="G1232" s="136"/>
      <c r="H1232" s="137"/>
      <c r="I1232" s="136"/>
      <c r="J1232" s="136"/>
      <c r="K1232" s="136"/>
      <c r="L1232" s="136"/>
      <c r="M1232" s="136"/>
      <c r="N1232" s="136"/>
      <c r="O1232" s="142"/>
      <c r="P1232" s="140"/>
      <c r="Q1232" s="139"/>
      <c r="R1232" s="139"/>
      <c r="S1232" s="139"/>
      <c r="T1232" s="140" t="str">
        <f t="shared" si="7"/>
        <v/>
      </c>
      <c r="U1232" s="136"/>
      <c r="V1232" s="136"/>
      <c r="W1232" s="136"/>
      <c r="X1232" s="136"/>
      <c r="Y1232" s="145"/>
      <c r="Z1232" s="145"/>
    </row>
    <row r="1233">
      <c r="E1233" s="136"/>
      <c r="F1233" s="136"/>
      <c r="G1233" s="136"/>
      <c r="H1233" s="137"/>
      <c r="I1233" s="136"/>
      <c r="J1233" s="136"/>
      <c r="K1233" s="136"/>
      <c r="L1233" s="136"/>
      <c r="M1233" s="136"/>
      <c r="N1233" s="136"/>
      <c r="O1233" s="142"/>
      <c r="P1233" s="140"/>
      <c r="Q1233" s="139"/>
      <c r="R1233" s="139"/>
      <c r="S1233" s="139"/>
      <c r="T1233" s="140" t="str">
        <f t="shared" si="7"/>
        <v/>
      </c>
      <c r="U1233" s="136"/>
      <c r="V1233" s="136"/>
      <c r="W1233" s="136"/>
      <c r="X1233" s="136"/>
      <c r="Y1233" s="145"/>
      <c r="Z1233" s="145"/>
    </row>
    <row r="1234">
      <c r="E1234" s="136"/>
      <c r="F1234" s="136"/>
      <c r="G1234" s="136"/>
      <c r="H1234" s="137"/>
      <c r="I1234" s="136"/>
      <c r="J1234" s="136"/>
      <c r="K1234" s="136"/>
      <c r="L1234" s="136"/>
      <c r="M1234" s="136"/>
      <c r="N1234" s="136"/>
      <c r="O1234" s="142"/>
      <c r="P1234" s="140"/>
      <c r="Q1234" s="139"/>
      <c r="R1234" s="139"/>
      <c r="S1234" s="139"/>
      <c r="T1234" s="140" t="str">
        <f t="shared" si="7"/>
        <v/>
      </c>
      <c r="U1234" s="136"/>
      <c r="V1234" s="136"/>
      <c r="W1234" s="136"/>
      <c r="X1234" s="136"/>
      <c r="Y1234" s="145"/>
      <c r="Z1234" s="145"/>
    </row>
    <row r="1235">
      <c r="E1235" s="136"/>
      <c r="F1235" s="136"/>
      <c r="G1235" s="136"/>
      <c r="H1235" s="137"/>
      <c r="I1235" s="136"/>
      <c r="J1235" s="136"/>
      <c r="K1235" s="136"/>
      <c r="L1235" s="136"/>
      <c r="M1235" s="136"/>
      <c r="N1235" s="136"/>
      <c r="O1235" s="142"/>
      <c r="P1235" s="140"/>
      <c r="Q1235" s="139"/>
      <c r="R1235" s="139"/>
      <c r="S1235" s="139"/>
      <c r="T1235" s="140" t="str">
        <f t="shared" si="7"/>
        <v/>
      </c>
      <c r="U1235" s="136"/>
      <c r="V1235" s="136"/>
      <c r="W1235" s="136"/>
      <c r="X1235" s="136"/>
      <c r="Y1235" s="145"/>
      <c r="Z1235" s="145"/>
    </row>
    <row r="1236">
      <c r="E1236" s="136"/>
      <c r="F1236" s="136"/>
      <c r="G1236" s="136"/>
      <c r="H1236" s="137"/>
      <c r="I1236" s="136"/>
      <c r="J1236" s="136"/>
      <c r="K1236" s="136"/>
      <c r="L1236" s="136"/>
      <c r="M1236" s="136"/>
      <c r="N1236" s="136"/>
      <c r="O1236" s="142"/>
      <c r="P1236" s="140"/>
      <c r="Q1236" s="139"/>
      <c r="R1236" s="139"/>
      <c r="S1236" s="139"/>
      <c r="T1236" s="140" t="str">
        <f t="shared" si="7"/>
        <v/>
      </c>
      <c r="U1236" s="136"/>
      <c r="V1236" s="136"/>
      <c r="W1236" s="136"/>
      <c r="X1236" s="136"/>
      <c r="Y1236" s="145"/>
      <c r="Z1236" s="145"/>
    </row>
    <row r="1237">
      <c r="E1237" s="136"/>
      <c r="F1237" s="136"/>
      <c r="G1237" s="136"/>
      <c r="H1237" s="137"/>
      <c r="I1237" s="136"/>
      <c r="J1237" s="136"/>
      <c r="K1237" s="136"/>
      <c r="L1237" s="136"/>
      <c r="M1237" s="136"/>
      <c r="N1237" s="136"/>
      <c r="O1237" s="142"/>
      <c r="P1237" s="140"/>
      <c r="Q1237" s="139"/>
      <c r="R1237" s="139"/>
      <c r="S1237" s="139"/>
      <c r="T1237" s="140" t="str">
        <f t="shared" si="7"/>
        <v/>
      </c>
      <c r="U1237" s="136"/>
      <c r="V1237" s="136"/>
      <c r="W1237" s="136"/>
      <c r="X1237" s="136"/>
      <c r="Y1237" s="145"/>
      <c r="Z1237" s="145"/>
    </row>
    <row r="1238">
      <c r="E1238" s="136"/>
      <c r="F1238" s="136"/>
      <c r="G1238" s="136"/>
      <c r="H1238" s="137"/>
      <c r="I1238" s="136"/>
      <c r="J1238" s="136"/>
      <c r="K1238" s="136"/>
      <c r="L1238" s="136"/>
      <c r="M1238" s="136"/>
      <c r="N1238" s="136"/>
      <c r="O1238" s="142"/>
      <c r="P1238" s="140"/>
      <c r="Q1238" s="139"/>
      <c r="R1238" s="139"/>
      <c r="S1238" s="139"/>
      <c r="T1238" s="140" t="str">
        <f t="shared" si="7"/>
        <v/>
      </c>
      <c r="U1238" s="136"/>
      <c r="V1238" s="136"/>
      <c r="W1238" s="136"/>
      <c r="X1238" s="136"/>
      <c r="Y1238" s="145"/>
      <c r="Z1238" s="145"/>
    </row>
    <row r="1239">
      <c r="E1239" s="136"/>
      <c r="F1239" s="136"/>
      <c r="G1239" s="136"/>
      <c r="H1239" s="137"/>
      <c r="I1239" s="136"/>
      <c r="J1239" s="136"/>
      <c r="K1239" s="136"/>
      <c r="L1239" s="136"/>
      <c r="M1239" s="136"/>
      <c r="N1239" s="136"/>
      <c r="O1239" s="142"/>
      <c r="P1239" s="140"/>
      <c r="Q1239" s="139"/>
      <c r="R1239" s="139"/>
      <c r="S1239" s="139"/>
      <c r="T1239" s="140" t="str">
        <f t="shared" si="7"/>
        <v/>
      </c>
      <c r="U1239" s="136"/>
      <c r="V1239" s="136"/>
      <c r="W1239" s="136"/>
      <c r="X1239" s="136"/>
      <c r="Y1239" s="145"/>
      <c r="Z1239" s="145"/>
    </row>
    <row r="1240">
      <c r="E1240" s="136"/>
      <c r="F1240" s="136"/>
      <c r="G1240" s="136"/>
      <c r="H1240" s="137"/>
      <c r="I1240" s="136"/>
      <c r="J1240" s="136"/>
      <c r="K1240" s="136"/>
      <c r="L1240" s="136"/>
      <c r="M1240" s="136"/>
      <c r="N1240" s="136"/>
      <c r="O1240" s="142"/>
      <c r="P1240" s="140"/>
      <c r="Q1240" s="139"/>
      <c r="R1240" s="139"/>
      <c r="S1240" s="139"/>
      <c r="T1240" s="140" t="str">
        <f t="shared" si="7"/>
        <v/>
      </c>
      <c r="U1240" s="136"/>
      <c r="V1240" s="136"/>
      <c r="W1240" s="136"/>
      <c r="X1240" s="136"/>
      <c r="Y1240" s="145"/>
      <c r="Z1240" s="145"/>
    </row>
    <row r="1241">
      <c r="E1241" s="136"/>
      <c r="F1241" s="136"/>
      <c r="G1241" s="136"/>
      <c r="H1241" s="137"/>
      <c r="I1241" s="136"/>
      <c r="J1241" s="136"/>
      <c r="K1241" s="136"/>
      <c r="L1241" s="136"/>
      <c r="M1241" s="136"/>
      <c r="N1241" s="136"/>
      <c r="O1241" s="142"/>
      <c r="P1241" s="140"/>
      <c r="Q1241" s="139"/>
      <c r="R1241" s="139"/>
      <c r="S1241" s="139"/>
      <c r="T1241" s="140" t="str">
        <f t="shared" si="7"/>
        <v/>
      </c>
      <c r="U1241" s="136"/>
      <c r="V1241" s="136"/>
      <c r="W1241" s="136"/>
      <c r="X1241" s="136"/>
      <c r="Y1241" s="145"/>
      <c r="Z1241" s="145"/>
    </row>
    <row r="1242">
      <c r="E1242" s="136"/>
      <c r="F1242" s="136"/>
      <c r="G1242" s="136"/>
      <c r="H1242" s="137"/>
      <c r="I1242" s="136"/>
      <c r="J1242" s="136"/>
      <c r="K1242" s="136"/>
      <c r="L1242" s="136"/>
      <c r="M1242" s="136"/>
      <c r="N1242" s="136"/>
      <c r="O1242" s="142"/>
      <c r="P1242" s="140"/>
      <c r="Q1242" s="139"/>
      <c r="R1242" s="139"/>
      <c r="S1242" s="139"/>
      <c r="T1242" s="140" t="str">
        <f t="shared" si="7"/>
        <v/>
      </c>
      <c r="U1242" s="136"/>
      <c r="V1242" s="136"/>
      <c r="W1242" s="136"/>
      <c r="X1242" s="136"/>
      <c r="Y1242" s="145"/>
      <c r="Z1242" s="145"/>
    </row>
    <row r="1243">
      <c r="E1243" s="136"/>
      <c r="F1243" s="136"/>
      <c r="G1243" s="136"/>
      <c r="H1243" s="137"/>
      <c r="I1243" s="136"/>
      <c r="J1243" s="136"/>
      <c r="K1243" s="136"/>
      <c r="L1243" s="136"/>
      <c r="M1243" s="136"/>
      <c r="N1243" s="136"/>
      <c r="O1243" s="142"/>
      <c r="P1243" s="140"/>
      <c r="Q1243" s="139"/>
      <c r="R1243" s="139"/>
      <c r="S1243" s="139"/>
      <c r="T1243" s="140" t="str">
        <f t="shared" si="7"/>
        <v/>
      </c>
      <c r="U1243" s="136"/>
      <c r="V1243" s="136"/>
      <c r="W1243" s="136"/>
      <c r="X1243" s="136"/>
      <c r="Y1243" s="145"/>
      <c r="Z1243" s="145"/>
    </row>
    <row r="1244">
      <c r="E1244" s="136"/>
      <c r="F1244" s="136"/>
      <c r="G1244" s="136"/>
      <c r="H1244" s="137"/>
      <c r="I1244" s="136"/>
      <c r="J1244" s="136"/>
      <c r="K1244" s="136"/>
      <c r="L1244" s="136"/>
      <c r="M1244" s="136"/>
      <c r="N1244" s="136"/>
      <c r="O1244" s="142"/>
      <c r="P1244" s="140"/>
      <c r="Q1244" s="139"/>
      <c r="R1244" s="139"/>
      <c r="S1244" s="139"/>
      <c r="T1244" s="140" t="str">
        <f t="shared" si="7"/>
        <v/>
      </c>
      <c r="U1244" s="136"/>
      <c r="V1244" s="136"/>
      <c r="W1244" s="136"/>
      <c r="X1244" s="136"/>
      <c r="Y1244" s="145"/>
      <c r="Z1244" s="145"/>
    </row>
    <row r="1245">
      <c r="E1245" s="136"/>
      <c r="F1245" s="136"/>
      <c r="G1245" s="136"/>
      <c r="H1245" s="137"/>
      <c r="I1245" s="136"/>
      <c r="J1245" s="136"/>
      <c r="K1245" s="136"/>
      <c r="L1245" s="136"/>
      <c r="M1245" s="136"/>
      <c r="N1245" s="136"/>
      <c r="O1245" s="142"/>
      <c r="P1245" s="140"/>
      <c r="Q1245" s="139"/>
      <c r="R1245" s="139"/>
      <c r="S1245" s="139"/>
      <c r="T1245" s="140" t="str">
        <f t="shared" si="7"/>
        <v/>
      </c>
      <c r="U1245" s="136"/>
      <c r="V1245" s="136"/>
      <c r="W1245" s="136"/>
      <c r="X1245" s="136"/>
      <c r="Y1245" s="145"/>
      <c r="Z1245" s="145"/>
    </row>
    <row r="1246">
      <c r="E1246" s="136"/>
      <c r="F1246" s="136"/>
      <c r="G1246" s="136"/>
      <c r="H1246" s="137"/>
      <c r="I1246" s="136"/>
      <c r="J1246" s="136"/>
      <c r="K1246" s="136"/>
      <c r="L1246" s="136"/>
      <c r="M1246" s="136"/>
      <c r="N1246" s="136"/>
      <c r="O1246" s="142"/>
      <c r="P1246" s="140"/>
      <c r="Q1246" s="139"/>
      <c r="R1246" s="139"/>
      <c r="S1246" s="139"/>
      <c r="T1246" s="140" t="str">
        <f t="shared" si="7"/>
        <v/>
      </c>
      <c r="U1246" s="136"/>
      <c r="V1246" s="136"/>
      <c r="W1246" s="136"/>
      <c r="X1246" s="136"/>
      <c r="Y1246" s="145"/>
      <c r="Z1246" s="145"/>
    </row>
    <row r="1247">
      <c r="E1247" s="136"/>
      <c r="F1247" s="136"/>
      <c r="G1247" s="136"/>
      <c r="H1247" s="137"/>
      <c r="I1247" s="136"/>
      <c r="J1247" s="136"/>
      <c r="K1247" s="136"/>
      <c r="L1247" s="136"/>
      <c r="M1247" s="136"/>
      <c r="N1247" s="136"/>
      <c r="O1247" s="142"/>
      <c r="P1247" s="140"/>
      <c r="Q1247" s="139"/>
      <c r="R1247" s="139"/>
      <c r="S1247" s="139"/>
      <c r="T1247" s="140" t="str">
        <f t="shared" si="7"/>
        <v/>
      </c>
      <c r="U1247" s="136"/>
      <c r="V1247" s="136"/>
      <c r="W1247" s="136"/>
      <c r="X1247" s="136"/>
      <c r="Y1247" s="145"/>
      <c r="Z1247" s="145"/>
    </row>
    <row r="1248">
      <c r="E1248" s="136"/>
      <c r="F1248" s="136"/>
      <c r="G1248" s="136"/>
      <c r="H1248" s="137"/>
      <c r="I1248" s="136"/>
      <c r="J1248" s="136"/>
      <c r="K1248" s="136"/>
      <c r="L1248" s="136"/>
      <c r="M1248" s="136"/>
      <c r="N1248" s="136"/>
      <c r="O1248" s="142"/>
      <c r="P1248" s="140"/>
      <c r="Q1248" s="139"/>
      <c r="R1248" s="139"/>
      <c r="S1248" s="139"/>
      <c r="T1248" s="140" t="str">
        <f t="shared" si="7"/>
        <v/>
      </c>
      <c r="U1248" s="136"/>
      <c r="V1248" s="136"/>
      <c r="W1248" s="136"/>
      <c r="X1248" s="136"/>
      <c r="Y1248" s="145"/>
      <c r="Z1248" s="145"/>
    </row>
    <row r="1249">
      <c r="E1249" s="136"/>
      <c r="F1249" s="136"/>
      <c r="G1249" s="136"/>
      <c r="H1249" s="137"/>
      <c r="I1249" s="136"/>
      <c r="J1249" s="136"/>
      <c r="K1249" s="136"/>
      <c r="L1249" s="136"/>
      <c r="M1249" s="136"/>
      <c r="N1249" s="136"/>
      <c r="O1249" s="142"/>
      <c r="P1249" s="140"/>
      <c r="Q1249" s="139"/>
      <c r="R1249" s="139"/>
      <c r="S1249" s="139"/>
      <c r="T1249" s="140" t="str">
        <f t="shared" si="7"/>
        <v/>
      </c>
      <c r="U1249" s="136"/>
      <c r="V1249" s="136"/>
      <c r="W1249" s="136"/>
      <c r="X1249" s="136"/>
      <c r="Y1249" s="145"/>
      <c r="Z1249" s="145"/>
    </row>
    <row r="1250">
      <c r="E1250" s="136"/>
      <c r="F1250" s="136"/>
      <c r="G1250" s="136"/>
      <c r="H1250" s="137"/>
      <c r="I1250" s="136"/>
      <c r="J1250" s="136"/>
      <c r="K1250" s="136"/>
      <c r="L1250" s="136"/>
      <c r="M1250" s="136"/>
      <c r="N1250" s="136"/>
      <c r="O1250" s="142"/>
      <c r="P1250" s="140"/>
      <c r="Q1250" s="139"/>
      <c r="R1250" s="139"/>
      <c r="S1250" s="139"/>
      <c r="T1250" s="140" t="str">
        <f t="shared" si="7"/>
        <v/>
      </c>
      <c r="U1250" s="136"/>
      <c r="V1250" s="136"/>
      <c r="W1250" s="136"/>
      <c r="X1250" s="136"/>
      <c r="Y1250" s="145"/>
      <c r="Z1250" s="145"/>
    </row>
    <row r="1251">
      <c r="E1251" s="136"/>
      <c r="F1251" s="136"/>
      <c r="G1251" s="136"/>
      <c r="H1251" s="137"/>
      <c r="I1251" s="136"/>
      <c r="J1251" s="136"/>
      <c r="K1251" s="136"/>
      <c r="L1251" s="136"/>
      <c r="M1251" s="136"/>
      <c r="N1251" s="136"/>
      <c r="O1251" s="142"/>
      <c r="P1251" s="140"/>
      <c r="Q1251" s="139"/>
      <c r="R1251" s="139"/>
      <c r="S1251" s="139"/>
      <c r="T1251" s="140" t="str">
        <f t="shared" si="7"/>
        <v/>
      </c>
      <c r="U1251" s="136"/>
      <c r="V1251" s="136"/>
      <c r="W1251" s="136"/>
      <c r="X1251" s="136"/>
      <c r="Y1251" s="145"/>
      <c r="Z1251" s="145"/>
    </row>
    <row r="1252">
      <c r="E1252" s="136"/>
      <c r="F1252" s="136"/>
      <c r="G1252" s="136"/>
      <c r="H1252" s="137"/>
      <c r="I1252" s="136"/>
      <c r="J1252" s="136"/>
      <c r="K1252" s="136"/>
      <c r="L1252" s="136"/>
      <c r="M1252" s="136"/>
      <c r="N1252" s="136"/>
      <c r="O1252" s="142"/>
      <c r="P1252" s="140"/>
      <c r="Q1252" s="139"/>
      <c r="R1252" s="139"/>
      <c r="S1252" s="139"/>
      <c r="T1252" s="140" t="str">
        <f t="shared" si="7"/>
        <v/>
      </c>
      <c r="U1252" s="136"/>
      <c r="V1252" s="136"/>
      <c r="W1252" s="136"/>
      <c r="X1252" s="136"/>
      <c r="Y1252" s="145"/>
      <c r="Z1252" s="145"/>
    </row>
    <row r="1253">
      <c r="E1253" s="136"/>
      <c r="F1253" s="136"/>
      <c r="G1253" s="136"/>
      <c r="H1253" s="137"/>
      <c r="I1253" s="136"/>
      <c r="J1253" s="136"/>
      <c r="K1253" s="136"/>
      <c r="L1253" s="136"/>
      <c r="M1253" s="136"/>
      <c r="N1253" s="136"/>
      <c r="O1253" s="142"/>
      <c r="P1253" s="140"/>
      <c r="Q1253" s="139"/>
      <c r="R1253" s="139"/>
      <c r="S1253" s="139"/>
      <c r="T1253" s="140" t="str">
        <f t="shared" si="7"/>
        <v/>
      </c>
      <c r="U1253" s="136"/>
      <c r="V1253" s="136"/>
      <c r="W1253" s="136"/>
      <c r="X1253" s="136"/>
      <c r="Y1253" s="145"/>
      <c r="Z1253" s="145"/>
    </row>
    <row r="1254">
      <c r="E1254" s="136"/>
      <c r="F1254" s="136"/>
      <c r="G1254" s="136"/>
      <c r="H1254" s="137"/>
      <c r="I1254" s="136"/>
      <c r="J1254" s="136"/>
      <c r="K1254" s="136"/>
      <c r="L1254" s="136"/>
      <c r="M1254" s="136"/>
      <c r="N1254" s="136"/>
      <c r="O1254" s="142"/>
      <c r="P1254" s="140"/>
      <c r="Q1254" s="139"/>
      <c r="R1254" s="139"/>
      <c r="S1254" s="139"/>
      <c r="T1254" s="140" t="str">
        <f t="shared" si="7"/>
        <v/>
      </c>
      <c r="U1254" s="136"/>
      <c r="V1254" s="136"/>
      <c r="W1254" s="136"/>
      <c r="X1254" s="136"/>
      <c r="Y1254" s="145"/>
      <c r="Z1254" s="145"/>
    </row>
    <row r="1255">
      <c r="E1255" s="136"/>
      <c r="F1255" s="136"/>
      <c r="G1255" s="136"/>
      <c r="H1255" s="137"/>
      <c r="I1255" s="136"/>
      <c r="J1255" s="136"/>
      <c r="K1255" s="136"/>
      <c r="L1255" s="136"/>
      <c r="M1255" s="136"/>
      <c r="N1255" s="136"/>
      <c r="O1255" s="142"/>
      <c r="P1255" s="140"/>
      <c r="Q1255" s="139"/>
      <c r="R1255" s="139"/>
      <c r="S1255" s="139"/>
      <c r="T1255" s="140" t="str">
        <f t="shared" si="7"/>
        <v/>
      </c>
      <c r="U1255" s="136"/>
      <c r="V1255" s="136"/>
      <c r="W1255" s="136"/>
      <c r="X1255" s="136"/>
      <c r="Y1255" s="145"/>
      <c r="Z1255" s="145"/>
    </row>
    <row r="1256">
      <c r="E1256" s="136"/>
      <c r="F1256" s="136"/>
      <c r="G1256" s="136"/>
      <c r="H1256" s="137"/>
      <c r="I1256" s="136"/>
      <c r="J1256" s="136"/>
      <c r="K1256" s="136"/>
      <c r="L1256" s="136"/>
      <c r="M1256" s="136"/>
      <c r="N1256" s="136"/>
      <c r="O1256" s="142"/>
      <c r="P1256" s="140"/>
      <c r="Q1256" s="139"/>
      <c r="R1256" s="139"/>
      <c r="S1256" s="139"/>
      <c r="T1256" s="140" t="str">
        <f t="shared" si="7"/>
        <v/>
      </c>
      <c r="U1256" s="136"/>
      <c r="V1256" s="136"/>
      <c r="W1256" s="136"/>
      <c r="X1256" s="136"/>
      <c r="Y1256" s="145"/>
      <c r="Z1256" s="145"/>
    </row>
    <row r="1257">
      <c r="E1257" s="136"/>
      <c r="F1257" s="136"/>
      <c r="G1257" s="136"/>
      <c r="H1257" s="137"/>
      <c r="I1257" s="136"/>
      <c r="J1257" s="136"/>
      <c r="K1257" s="136"/>
      <c r="L1257" s="136"/>
      <c r="M1257" s="136"/>
      <c r="N1257" s="136"/>
      <c r="O1257" s="142"/>
      <c r="P1257" s="140"/>
      <c r="Q1257" s="139"/>
      <c r="R1257" s="139"/>
      <c r="S1257" s="139"/>
      <c r="T1257" s="140" t="str">
        <f t="shared" si="7"/>
        <v/>
      </c>
      <c r="U1257" s="136"/>
      <c r="V1257" s="136"/>
      <c r="W1257" s="136"/>
      <c r="X1257" s="136"/>
      <c r="Y1257" s="145"/>
      <c r="Z1257" s="145"/>
    </row>
    <row r="1258">
      <c r="E1258" s="136"/>
      <c r="F1258" s="136"/>
      <c r="G1258" s="136"/>
      <c r="H1258" s="137"/>
      <c r="I1258" s="136"/>
      <c r="J1258" s="136"/>
      <c r="K1258" s="136"/>
      <c r="L1258" s="136"/>
      <c r="M1258" s="136"/>
      <c r="N1258" s="136"/>
      <c r="O1258" s="142"/>
      <c r="P1258" s="140"/>
      <c r="Q1258" s="139"/>
      <c r="R1258" s="139"/>
      <c r="S1258" s="139"/>
      <c r="T1258" s="140" t="str">
        <f t="shared" si="7"/>
        <v/>
      </c>
      <c r="U1258" s="136"/>
      <c r="V1258" s="136"/>
      <c r="W1258" s="136"/>
      <c r="X1258" s="136"/>
      <c r="Y1258" s="145"/>
      <c r="Z1258" s="145"/>
    </row>
    <row r="1259">
      <c r="E1259" s="136"/>
      <c r="F1259" s="136"/>
      <c r="G1259" s="136"/>
      <c r="H1259" s="137"/>
      <c r="I1259" s="136"/>
      <c r="J1259" s="136"/>
      <c r="K1259" s="136"/>
      <c r="L1259" s="136"/>
      <c r="M1259" s="136"/>
      <c r="N1259" s="136"/>
      <c r="O1259" s="142"/>
      <c r="P1259" s="140"/>
      <c r="Q1259" s="139"/>
      <c r="R1259" s="139"/>
      <c r="S1259" s="139"/>
      <c r="T1259" s="140" t="str">
        <f t="shared" si="7"/>
        <v/>
      </c>
      <c r="U1259" s="136"/>
      <c r="V1259" s="136"/>
      <c r="W1259" s="136"/>
      <c r="X1259" s="136"/>
      <c r="Y1259" s="145"/>
      <c r="Z1259" s="145"/>
    </row>
    <row r="1260">
      <c r="E1260" s="136"/>
      <c r="F1260" s="136"/>
      <c r="G1260" s="136"/>
      <c r="H1260" s="137"/>
      <c r="I1260" s="136"/>
      <c r="J1260" s="136"/>
      <c r="K1260" s="136"/>
      <c r="L1260" s="136"/>
      <c r="M1260" s="136"/>
      <c r="N1260" s="136"/>
      <c r="O1260" s="142"/>
      <c r="P1260" s="140"/>
      <c r="Q1260" s="139"/>
      <c r="R1260" s="139"/>
      <c r="S1260" s="139"/>
      <c r="T1260" s="140" t="str">
        <f t="shared" si="7"/>
        <v/>
      </c>
      <c r="U1260" s="136"/>
      <c r="V1260" s="136"/>
      <c r="W1260" s="136"/>
      <c r="X1260" s="136"/>
      <c r="Y1260" s="145"/>
      <c r="Z1260" s="145"/>
    </row>
    <row r="1261">
      <c r="E1261" s="136"/>
      <c r="F1261" s="136"/>
      <c r="G1261" s="136"/>
      <c r="H1261" s="137"/>
      <c r="I1261" s="136"/>
      <c r="J1261" s="136"/>
      <c r="K1261" s="136"/>
      <c r="L1261" s="136"/>
      <c r="M1261" s="136"/>
      <c r="N1261" s="136"/>
      <c r="O1261" s="142"/>
      <c r="P1261" s="140"/>
      <c r="Q1261" s="139"/>
      <c r="R1261" s="139"/>
      <c r="S1261" s="139"/>
      <c r="T1261" s="140" t="str">
        <f t="shared" si="7"/>
        <v/>
      </c>
      <c r="U1261" s="136"/>
      <c r="V1261" s="136"/>
      <c r="W1261" s="136"/>
      <c r="X1261" s="136"/>
      <c r="Y1261" s="145"/>
      <c r="Z1261" s="145"/>
    </row>
    <row r="1262">
      <c r="E1262" s="136"/>
      <c r="F1262" s="136"/>
      <c r="G1262" s="136"/>
      <c r="H1262" s="137"/>
      <c r="I1262" s="136"/>
      <c r="J1262" s="136"/>
      <c r="K1262" s="136"/>
      <c r="L1262" s="136"/>
      <c r="M1262" s="136"/>
      <c r="N1262" s="136"/>
      <c r="O1262" s="142"/>
      <c r="P1262" s="140"/>
      <c r="Q1262" s="139"/>
      <c r="R1262" s="139"/>
      <c r="S1262" s="139"/>
      <c r="T1262" s="140" t="str">
        <f t="shared" si="7"/>
        <v/>
      </c>
      <c r="U1262" s="136"/>
      <c r="V1262" s="136"/>
      <c r="W1262" s="136"/>
      <c r="X1262" s="136"/>
      <c r="Y1262" s="145"/>
      <c r="Z1262" s="145"/>
    </row>
    <row r="1263">
      <c r="E1263" s="136"/>
      <c r="F1263" s="136"/>
      <c r="G1263" s="136"/>
      <c r="H1263" s="137"/>
      <c r="I1263" s="136"/>
      <c r="J1263" s="136"/>
      <c r="K1263" s="136"/>
      <c r="L1263" s="136"/>
      <c r="M1263" s="136"/>
      <c r="N1263" s="136"/>
      <c r="O1263" s="142"/>
      <c r="P1263" s="140"/>
      <c r="Q1263" s="139"/>
      <c r="R1263" s="139"/>
      <c r="S1263" s="139"/>
      <c r="T1263" s="140" t="str">
        <f t="shared" si="7"/>
        <v/>
      </c>
      <c r="U1263" s="136"/>
      <c r="V1263" s="136"/>
      <c r="W1263" s="136"/>
      <c r="X1263" s="136"/>
      <c r="Y1263" s="145"/>
      <c r="Z1263" s="145"/>
    </row>
    <row r="1264">
      <c r="E1264" s="136"/>
      <c r="F1264" s="136"/>
      <c r="G1264" s="136"/>
      <c r="H1264" s="137"/>
      <c r="I1264" s="136"/>
      <c r="J1264" s="136"/>
      <c r="K1264" s="136"/>
      <c r="L1264" s="136"/>
      <c r="M1264" s="136"/>
      <c r="N1264" s="136"/>
      <c r="O1264" s="142"/>
      <c r="P1264" s="140"/>
      <c r="Q1264" s="139"/>
      <c r="R1264" s="139"/>
      <c r="S1264" s="139"/>
      <c r="T1264" s="140" t="str">
        <f t="shared" si="7"/>
        <v/>
      </c>
      <c r="U1264" s="136"/>
      <c r="V1264" s="136"/>
      <c r="W1264" s="136"/>
      <c r="X1264" s="136"/>
      <c r="Y1264" s="145"/>
      <c r="Z1264" s="145"/>
    </row>
    <row r="1265">
      <c r="E1265" s="136"/>
      <c r="F1265" s="136"/>
      <c r="G1265" s="136"/>
      <c r="H1265" s="137"/>
      <c r="I1265" s="136"/>
      <c r="J1265" s="136"/>
      <c r="K1265" s="136"/>
      <c r="L1265" s="136"/>
      <c r="M1265" s="136"/>
      <c r="N1265" s="136"/>
      <c r="O1265" s="142"/>
      <c r="P1265" s="140"/>
      <c r="Q1265" s="139"/>
      <c r="R1265" s="139"/>
      <c r="S1265" s="139"/>
      <c r="T1265" s="140" t="str">
        <f t="shared" si="7"/>
        <v/>
      </c>
      <c r="U1265" s="136"/>
      <c r="V1265" s="136"/>
      <c r="W1265" s="136"/>
      <c r="X1265" s="136"/>
      <c r="Y1265" s="145"/>
      <c r="Z1265" s="145"/>
    </row>
    <row r="1266">
      <c r="E1266" s="136"/>
      <c r="F1266" s="136"/>
      <c r="G1266" s="136"/>
      <c r="H1266" s="137"/>
      <c r="I1266" s="136"/>
      <c r="J1266" s="136"/>
      <c r="K1266" s="136"/>
      <c r="L1266" s="136"/>
      <c r="M1266" s="136"/>
      <c r="N1266" s="136"/>
      <c r="O1266" s="142"/>
      <c r="P1266" s="140"/>
      <c r="Q1266" s="139"/>
      <c r="R1266" s="139"/>
      <c r="S1266" s="139"/>
      <c r="T1266" s="140" t="str">
        <f t="shared" si="7"/>
        <v/>
      </c>
      <c r="U1266" s="136"/>
      <c r="V1266" s="136"/>
      <c r="W1266" s="136"/>
      <c r="X1266" s="136"/>
      <c r="Y1266" s="145"/>
      <c r="Z1266" s="145"/>
    </row>
    <row r="1267">
      <c r="E1267" s="136"/>
      <c r="F1267" s="136"/>
      <c r="G1267" s="136"/>
      <c r="H1267" s="137"/>
      <c r="I1267" s="136"/>
      <c r="J1267" s="136"/>
      <c r="K1267" s="136"/>
      <c r="L1267" s="136"/>
      <c r="M1267" s="136"/>
      <c r="N1267" s="136"/>
      <c r="O1267" s="142"/>
      <c r="P1267" s="140"/>
      <c r="Q1267" s="139"/>
      <c r="R1267" s="139"/>
      <c r="S1267" s="139"/>
      <c r="T1267" s="140" t="str">
        <f t="shared" si="7"/>
        <v/>
      </c>
      <c r="U1267" s="136"/>
      <c r="V1267" s="136"/>
      <c r="W1267" s="136"/>
      <c r="X1267" s="136"/>
      <c r="Y1267" s="145"/>
      <c r="Z1267" s="145"/>
    </row>
    <row r="1268">
      <c r="E1268" s="136"/>
      <c r="F1268" s="136"/>
      <c r="G1268" s="136"/>
      <c r="H1268" s="137"/>
      <c r="I1268" s="136"/>
      <c r="J1268" s="136"/>
      <c r="K1268" s="136"/>
      <c r="L1268" s="136"/>
      <c r="M1268" s="136"/>
      <c r="N1268" s="136"/>
      <c r="O1268" s="142"/>
      <c r="P1268" s="140"/>
      <c r="Q1268" s="139"/>
      <c r="R1268" s="139"/>
      <c r="S1268" s="139"/>
      <c r="T1268" s="140" t="str">
        <f t="shared" si="7"/>
        <v/>
      </c>
      <c r="U1268" s="136"/>
      <c r="V1268" s="136"/>
      <c r="W1268" s="136"/>
      <c r="X1268" s="136"/>
      <c r="Y1268" s="145"/>
      <c r="Z1268" s="145"/>
    </row>
    <row r="1269">
      <c r="E1269" s="136"/>
      <c r="F1269" s="136"/>
      <c r="G1269" s="136"/>
      <c r="H1269" s="137"/>
      <c r="I1269" s="136"/>
      <c r="J1269" s="136"/>
      <c r="K1269" s="136"/>
      <c r="L1269" s="136"/>
      <c r="M1269" s="136"/>
      <c r="N1269" s="136"/>
      <c r="O1269" s="142"/>
      <c r="P1269" s="140"/>
      <c r="Q1269" s="139"/>
      <c r="R1269" s="139"/>
      <c r="S1269" s="139"/>
      <c r="T1269" s="140" t="str">
        <f t="shared" si="7"/>
        <v/>
      </c>
      <c r="U1269" s="136"/>
      <c r="V1269" s="136"/>
      <c r="W1269" s="136"/>
      <c r="X1269" s="136"/>
      <c r="Y1269" s="145"/>
      <c r="Z1269" s="145"/>
    </row>
    <row r="1270">
      <c r="E1270" s="136"/>
      <c r="F1270" s="136"/>
      <c r="G1270" s="136"/>
      <c r="H1270" s="137"/>
      <c r="I1270" s="136"/>
      <c r="J1270" s="136"/>
      <c r="K1270" s="136"/>
      <c r="L1270" s="136"/>
      <c r="M1270" s="136"/>
      <c r="N1270" s="136"/>
      <c r="O1270" s="142"/>
      <c r="P1270" s="140"/>
      <c r="Q1270" s="139"/>
      <c r="R1270" s="139"/>
      <c r="S1270" s="139"/>
      <c r="T1270" s="140" t="str">
        <f t="shared" si="7"/>
        <v/>
      </c>
      <c r="U1270" s="136"/>
      <c r="V1270" s="136"/>
      <c r="W1270" s="136"/>
      <c r="X1270" s="136"/>
      <c r="Y1270" s="145"/>
      <c r="Z1270" s="145"/>
    </row>
    <row r="1271">
      <c r="E1271" s="136"/>
      <c r="F1271" s="136"/>
      <c r="G1271" s="136"/>
      <c r="H1271" s="137"/>
      <c r="I1271" s="136"/>
      <c r="J1271" s="136"/>
      <c r="K1271" s="136"/>
      <c r="L1271" s="136"/>
      <c r="M1271" s="136"/>
      <c r="N1271" s="136"/>
      <c r="O1271" s="142"/>
      <c r="P1271" s="140"/>
      <c r="Q1271" s="139"/>
      <c r="R1271" s="139"/>
      <c r="S1271" s="139"/>
      <c r="T1271" s="140" t="str">
        <f t="shared" si="7"/>
        <v/>
      </c>
      <c r="U1271" s="136"/>
      <c r="V1271" s="136"/>
      <c r="W1271" s="136"/>
      <c r="X1271" s="136"/>
      <c r="Y1271" s="145"/>
      <c r="Z1271" s="145"/>
    </row>
    <row r="1272">
      <c r="E1272" s="136"/>
      <c r="F1272" s="136"/>
      <c r="G1272" s="136"/>
      <c r="H1272" s="137"/>
      <c r="I1272" s="136"/>
      <c r="J1272" s="136"/>
      <c r="K1272" s="136"/>
      <c r="L1272" s="136"/>
      <c r="M1272" s="136"/>
      <c r="N1272" s="136"/>
      <c r="O1272" s="142"/>
      <c r="P1272" s="140"/>
      <c r="Q1272" s="139"/>
      <c r="R1272" s="139"/>
      <c r="S1272" s="139"/>
      <c r="T1272" s="140" t="str">
        <f t="shared" si="7"/>
        <v/>
      </c>
      <c r="U1272" s="136"/>
      <c r="V1272" s="136"/>
      <c r="W1272" s="136"/>
      <c r="X1272" s="136"/>
      <c r="Y1272" s="145"/>
      <c r="Z1272" s="145"/>
    </row>
    <row r="1273">
      <c r="E1273" s="136"/>
      <c r="F1273" s="136"/>
      <c r="G1273" s="136"/>
      <c r="H1273" s="137"/>
      <c r="I1273" s="136"/>
      <c r="J1273" s="136"/>
      <c r="K1273" s="136"/>
      <c r="L1273" s="136"/>
      <c r="M1273" s="136"/>
      <c r="N1273" s="136"/>
      <c r="O1273" s="142"/>
      <c r="P1273" s="140"/>
      <c r="Q1273" s="139"/>
      <c r="R1273" s="139"/>
      <c r="S1273" s="139"/>
      <c r="T1273" s="140" t="str">
        <f t="shared" si="7"/>
        <v/>
      </c>
      <c r="U1273" s="136"/>
      <c r="V1273" s="136"/>
      <c r="W1273" s="136"/>
      <c r="X1273" s="136"/>
      <c r="Y1273" s="145"/>
      <c r="Z1273" s="145"/>
    </row>
    <row r="1274">
      <c r="E1274" s="136"/>
      <c r="F1274" s="136"/>
      <c r="G1274" s="136"/>
      <c r="H1274" s="137"/>
      <c r="I1274" s="136"/>
      <c r="J1274" s="136"/>
      <c r="K1274" s="136"/>
      <c r="L1274" s="136"/>
      <c r="M1274" s="136"/>
      <c r="N1274" s="136"/>
      <c r="O1274" s="142"/>
      <c r="P1274" s="140"/>
      <c r="Q1274" s="139"/>
      <c r="R1274" s="139"/>
      <c r="S1274" s="139"/>
      <c r="T1274" s="140" t="str">
        <f t="shared" si="7"/>
        <v/>
      </c>
      <c r="U1274" s="136"/>
      <c r="V1274" s="136"/>
      <c r="W1274" s="136"/>
      <c r="X1274" s="136"/>
      <c r="Y1274" s="145"/>
      <c r="Z1274" s="145"/>
    </row>
    <row r="1275">
      <c r="E1275" s="136"/>
      <c r="F1275" s="136"/>
      <c r="G1275" s="136"/>
      <c r="H1275" s="137"/>
      <c r="I1275" s="136"/>
      <c r="J1275" s="136"/>
      <c r="K1275" s="136"/>
      <c r="L1275" s="136"/>
      <c r="M1275" s="136"/>
      <c r="N1275" s="136"/>
      <c r="O1275" s="142"/>
      <c r="P1275" s="140"/>
      <c r="Q1275" s="139"/>
      <c r="R1275" s="139"/>
      <c r="S1275" s="139"/>
      <c r="T1275" s="140" t="str">
        <f t="shared" si="7"/>
        <v/>
      </c>
      <c r="U1275" s="136"/>
      <c r="V1275" s="136"/>
      <c r="W1275" s="136"/>
      <c r="X1275" s="136"/>
      <c r="Y1275" s="145"/>
      <c r="Z1275" s="145"/>
    </row>
    <row r="1276">
      <c r="E1276" s="136"/>
      <c r="F1276" s="136"/>
      <c r="G1276" s="136"/>
      <c r="H1276" s="137"/>
      <c r="I1276" s="136"/>
      <c r="J1276" s="136"/>
      <c r="K1276" s="136"/>
      <c r="L1276" s="136"/>
      <c r="M1276" s="136"/>
      <c r="N1276" s="136"/>
      <c r="O1276" s="142"/>
      <c r="P1276" s="140"/>
      <c r="Q1276" s="139"/>
      <c r="R1276" s="139"/>
      <c r="S1276" s="139"/>
      <c r="T1276" s="140" t="str">
        <f t="shared" si="7"/>
        <v/>
      </c>
      <c r="U1276" s="136"/>
      <c r="V1276" s="136"/>
      <c r="W1276" s="136"/>
      <c r="X1276" s="136"/>
      <c r="Y1276" s="145"/>
      <c r="Z1276" s="145"/>
    </row>
    <row r="1277">
      <c r="E1277" s="136"/>
      <c r="F1277" s="136"/>
      <c r="G1277" s="136"/>
      <c r="H1277" s="137"/>
      <c r="I1277" s="136"/>
      <c r="J1277" s="136"/>
      <c r="K1277" s="136"/>
      <c r="L1277" s="136"/>
      <c r="M1277" s="136"/>
      <c r="N1277" s="136"/>
      <c r="O1277" s="142"/>
      <c r="P1277" s="140"/>
      <c r="Q1277" s="139"/>
      <c r="R1277" s="139"/>
      <c r="S1277" s="139"/>
      <c r="T1277" s="140" t="str">
        <f t="shared" si="7"/>
        <v/>
      </c>
      <c r="U1277" s="136"/>
      <c r="V1277" s="136"/>
      <c r="W1277" s="136"/>
      <c r="X1277" s="136"/>
      <c r="Y1277" s="145"/>
      <c r="Z1277" s="145"/>
    </row>
    <row r="1278">
      <c r="E1278" s="136"/>
      <c r="F1278" s="136"/>
      <c r="G1278" s="136"/>
      <c r="H1278" s="137"/>
      <c r="I1278" s="136"/>
      <c r="J1278" s="136"/>
      <c r="K1278" s="136"/>
      <c r="L1278" s="136"/>
      <c r="M1278" s="136"/>
      <c r="N1278" s="136"/>
      <c r="O1278" s="142"/>
      <c r="P1278" s="140"/>
      <c r="Q1278" s="139"/>
      <c r="R1278" s="139"/>
      <c r="S1278" s="139"/>
      <c r="T1278" s="140" t="str">
        <f t="shared" si="7"/>
        <v/>
      </c>
      <c r="U1278" s="136"/>
      <c r="V1278" s="136"/>
      <c r="W1278" s="136"/>
      <c r="X1278" s="136"/>
      <c r="Y1278" s="145"/>
      <c r="Z1278" s="145"/>
    </row>
    <row r="1279">
      <c r="E1279" s="136"/>
      <c r="F1279" s="136"/>
      <c r="G1279" s="136"/>
      <c r="H1279" s="137"/>
      <c r="I1279" s="136"/>
      <c r="J1279" s="136"/>
      <c r="K1279" s="136"/>
      <c r="L1279" s="136"/>
      <c r="M1279" s="136"/>
      <c r="N1279" s="136"/>
      <c r="O1279" s="142"/>
      <c r="P1279" s="140"/>
      <c r="Q1279" s="139"/>
      <c r="R1279" s="139"/>
      <c r="S1279" s="139"/>
      <c r="T1279" s="140" t="str">
        <f t="shared" si="7"/>
        <v/>
      </c>
      <c r="U1279" s="136"/>
      <c r="V1279" s="136"/>
      <c r="W1279" s="136"/>
      <c r="X1279" s="136"/>
      <c r="Y1279" s="145"/>
      <c r="Z1279" s="145"/>
    </row>
    <row r="1280">
      <c r="E1280" s="136"/>
      <c r="F1280" s="136"/>
      <c r="G1280" s="136"/>
      <c r="H1280" s="137"/>
      <c r="I1280" s="136"/>
      <c r="J1280" s="136"/>
      <c r="K1280" s="136"/>
      <c r="L1280" s="136"/>
      <c r="M1280" s="136"/>
      <c r="N1280" s="136"/>
      <c r="O1280" s="142"/>
      <c r="P1280" s="140"/>
      <c r="Q1280" s="139"/>
      <c r="R1280" s="139"/>
      <c r="S1280" s="139"/>
      <c r="T1280" s="140" t="str">
        <f t="shared" si="7"/>
        <v/>
      </c>
      <c r="U1280" s="136"/>
      <c r="V1280" s="136"/>
      <c r="W1280" s="136"/>
      <c r="X1280" s="136"/>
      <c r="Y1280" s="145"/>
      <c r="Z1280" s="145"/>
    </row>
    <row r="1281">
      <c r="E1281" s="136"/>
      <c r="F1281" s="136"/>
      <c r="G1281" s="136"/>
      <c r="H1281" s="137"/>
      <c r="I1281" s="136"/>
      <c r="J1281" s="136"/>
      <c r="K1281" s="136"/>
      <c r="L1281" s="136"/>
      <c r="M1281" s="136"/>
      <c r="N1281" s="136"/>
      <c r="O1281" s="142"/>
      <c r="P1281" s="140"/>
      <c r="Q1281" s="139"/>
      <c r="R1281" s="139"/>
      <c r="S1281" s="139"/>
      <c r="T1281" s="140" t="str">
        <f t="shared" si="7"/>
        <v/>
      </c>
      <c r="U1281" s="136"/>
      <c r="V1281" s="136"/>
      <c r="W1281" s="136"/>
      <c r="X1281" s="136"/>
      <c r="Y1281" s="145"/>
      <c r="Z1281" s="145"/>
    </row>
    <row r="1282">
      <c r="E1282" s="136"/>
      <c r="F1282" s="136"/>
      <c r="G1282" s="136"/>
      <c r="H1282" s="137"/>
      <c r="I1282" s="136"/>
      <c r="J1282" s="136"/>
      <c r="K1282" s="136"/>
      <c r="L1282" s="136"/>
      <c r="M1282" s="136"/>
      <c r="N1282" s="136"/>
      <c r="O1282" s="142"/>
      <c r="P1282" s="140"/>
      <c r="Q1282" s="139"/>
      <c r="R1282" s="139"/>
      <c r="S1282" s="139"/>
      <c r="T1282" s="140" t="str">
        <f t="shared" si="7"/>
        <v/>
      </c>
      <c r="U1282" s="136"/>
      <c r="V1282" s="136"/>
      <c r="W1282" s="136"/>
      <c r="X1282" s="136"/>
      <c r="Y1282" s="145"/>
      <c r="Z1282" s="145"/>
    </row>
    <row r="1283">
      <c r="E1283" s="136"/>
      <c r="F1283" s="136"/>
      <c r="G1283" s="136"/>
      <c r="H1283" s="137"/>
      <c r="I1283" s="136"/>
      <c r="J1283" s="136"/>
      <c r="K1283" s="136"/>
      <c r="L1283" s="136"/>
      <c r="M1283" s="136"/>
      <c r="N1283" s="136"/>
      <c r="O1283" s="142"/>
      <c r="P1283" s="140"/>
      <c r="Q1283" s="139"/>
      <c r="R1283" s="139"/>
      <c r="S1283" s="139"/>
      <c r="T1283" s="140" t="str">
        <f t="shared" si="7"/>
        <v/>
      </c>
      <c r="U1283" s="136"/>
      <c r="V1283" s="136"/>
      <c r="W1283" s="136"/>
      <c r="X1283" s="136"/>
      <c r="Y1283" s="145"/>
      <c r="Z1283" s="145"/>
    </row>
    <row r="1284">
      <c r="E1284" s="136"/>
      <c r="F1284" s="136"/>
      <c r="G1284" s="136"/>
      <c r="H1284" s="137"/>
      <c r="I1284" s="136"/>
      <c r="J1284" s="136"/>
      <c r="K1284" s="136"/>
      <c r="L1284" s="136"/>
      <c r="M1284" s="136"/>
      <c r="N1284" s="136"/>
      <c r="O1284" s="142"/>
      <c r="P1284" s="140"/>
      <c r="Q1284" s="139"/>
      <c r="R1284" s="139"/>
      <c r="S1284" s="139"/>
      <c r="T1284" s="140" t="str">
        <f t="shared" si="7"/>
        <v/>
      </c>
      <c r="U1284" s="136"/>
      <c r="V1284" s="136"/>
      <c r="W1284" s="136"/>
      <c r="X1284" s="136"/>
      <c r="Y1284" s="145"/>
      <c r="Z1284" s="145"/>
    </row>
    <row r="1285">
      <c r="E1285" s="136"/>
      <c r="F1285" s="136"/>
      <c r="G1285" s="136"/>
      <c r="H1285" s="137"/>
      <c r="I1285" s="136"/>
      <c r="J1285" s="136"/>
      <c r="K1285" s="136"/>
      <c r="L1285" s="136"/>
      <c r="M1285" s="136"/>
      <c r="N1285" s="136"/>
      <c r="O1285" s="142"/>
      <c r="P1285" s="140"/>
      <c r="Q1285" s="139"/>
      <c r="R1285" s="139"/>
      <c r="S1285" s="139"/>
      <c r="T1285" s="140" t="str">
        <f t="shared" si="7"/>
        <v/>
      </c>
      <c r="U1285" s="136"/>
      <c r="V1285" s="136"/>
      <c r="W1285" s="136"/>
      <c r="X1285" s="136"/>
      <c r="Y1285" s="145"/>
      <c r="Z1285" s="145"/>
    </row>
    <row r="1286">
      <c r="E1286" s="136"/>
      <c r="F1286" s="136"/>
      <c r="G1286" s="136"/>
      <c r="H1286" s="137"/>
      <c r="I1286" s="136"/>
      <c r="J1286" s="136"/>
      <c r="K1286" s="136"/>
      <c r="L1286" s="136"/>
      <c r="M1286" s="136"/>
      <c r="N1286" s="136"/>
      <c r="O1286" s="142"/>
      <c r="P1286" s="140"/>
      <c r="Q1286" s="139"/>
      <c r="R1286" s="139"/>
      <c r="S1286" s="139"/>
      <c r="T1286" s="140" t="str">
        <f t="shared" si="7"/>
        <v/>
      </c>
      <c r="U1286" s="136"/>
      <c r="V1286" s="136"/>
      <c r="W1286" s="136"/>
      <c r="X1286" s="136"/>
      <c r="Y1286" s="145"/>
      <c r="Z1286" s="145"/>
    </row>
    <row r="1287">
      <c r="E1287" s="136"/>
      <c r="F1287" s="136"/>
      <c r="G1287" s="136"/>
      <c r="H1287" s="137"/>
      <c r="I1287" s="136"/>
      <c r="J1287" s="136"/>
      <c r="K1287" s="136"/>
      <c r="L1287" s="136"/>
      <c r="M1287" s="136"/>
      <c r="N1287" s="136"/>
      <c r="O1287" s="142"/>
      <c r="P1287" s="140"/>
      <c r="Q1287" s="139"/>
      <c r="R1287" s="139"/>
      <c r="S1287" s="139"/>
      <c r="T1287" s="140" t="str">
        <f t="shared" si="7"/>
        <v/>
      </c>
      <c r="U1287" s="136"/>
      <c r="V1287" s="136"/>
      <c r="W1287" s="136"/>
      <c r="X1287" s="136"/>
      <c r="Y1287" s="145"/>
      <c r="Z1287" s="145"/>
    </row>
    <row r="1288">
      <c r="E1288" s="136"/>
      <c r="F1288" s="136"/>
      <c r="G1288" s="136"/>
      <c r="H1288" s="137"/>
      <c r="I1288" s="136"/>
      <c r="J1288" s="136"/>
      <c r="K1288" s="136"/>
      <c r="L1288" s="136"/>
      <c r="M1288" s="136"/>
      <c r="N1288" s="136"/>
      <c r="O1288" s="142"/>
      <c r="P1288" s="140"/>
      <c r="Q1288" s="139"/>
      <c r="R1288" s="139"/>
      <c r="S1288" s="139"/>
      <c r="T1288" s="140" t="str">
        <f t="shared" si="7"/>
        <v/>
      </c>
      <c r="U1288" s="136"/>
      <c r="V1288" s="136"/>
      <c r="W1288" s="136"/>
      <c r="X1288" s="136"/>
      <c r="Y1288" s="145"/>
      <c r="Z1288" s="145"/>
    </row>
    <row r="1289">
      <c r="E1289" s="136"/>
      <c r="F1289" s="136"/>
      <c r="G1289" s="136"/>
      <c r="H1289" s="137"/>
      <c r="I1289" s="136"/>
      <c r="J1289" s="136"/>
      <c r="K1289" s="136"/>
      <c r="L1289" s="136"/>
      <c r="M1289" s="136"/>
      <c r="N1289" s="136"/>
      <c r="O1289" s="142"/>
      <c r="P1289" s="140"/>
      <c r="Q1289" s="139"/>
      <c r="R1289" s="139"/>
      <c r="S1289" s="139"/>
      <c r="T1289" s="140" t="str">
        <f t="shared" si="7"/>
        <v/>
      </c>
      <c r="U1289" s="136"/>
      <c r="V1289" s="136"/>
      <c r="W1289" s="136"/>
      <c r="X1289" s="136"/>
      <c r="Y1289" s="145"/>
      <c r="Z1289" s="145"/>
    </row>
    <row r="1290">
      <c r="E1290" s="136"/>
      <c r="F1290" s="136"/>
      <c r="G1290" s="136"/>
      <c r="H1290" s="137"/>
      <c r="I1290" s="136"/>
      <c r="J1290" s="136"/>
      <c r="K1290" s="136"/>
      <c r="L1290" s="136"/>
      <c r="M1290" s="136"/>
      <c r="N1290" s="136"/>
      <c r="O1290" s="142"/>
      <c r="P1290" s="140"/>
      <c r="Q1290" s="139"/>
      <c r="R1290" s="139"/>
      <c r="S1290" s="139"/>
      <c r="T1290" s="140" t="str">
        <f t="shared" si="7"/>
        <v/>
      </c>
      <c r="U1290" s="136"/>
      <c r="V1290" s="136"/>
      <c r="W1290" s="136"/>
      <c r="X1290" s="136"/>
      <c r="Y1290" s="145"/>
      <c r="Z1290" s="145"/>
    </row>
    <row r="1291">
      <c r="E1291" s="136"/>
      <c r="F1291" s="136"/>
      <c r="G1291" s="136"/>
      <c r="H1291" s="137"/>
      <c r="I1291" s="136"/>
      <c r="J1291" s="136"/>
      <c r="K1291" s="136"/>
      <c r="L1291" s="136"/>
      <c r="M1291" s="136"/>
      <c r="N1291" s="136"/>
      <c r="O1291" s="142"/>
      <c r="P1291" s="140"/>
      <c r="Q1291" s="139"/>
      <c r="R1291" s="139"/>
      <c r="S1291" s="139"/>
      <c r="T1291" s="140" t="str">
        <f t="shared" si="7"/>
        <v/>
      </c>
      <c r="U1291" s="136"/>
      <c r="V1291" s="136"/>
      <c r="W1291" s="136"/>
      <c r="X1291" s="136"/>
      <c r="Y1291" s="145"/>
      <c r="Z1291" s="145"/>
    </row>
    <row r="1292">
      <c r="E1292" s="136"/>
      <c r="F1292" s="136"/>
      <c r="G1292" s="136"/>
      <c r="H1292" s="137"/>
      <c r="I1292" s="136"/>
      <c r="J1292" s="136"/>
      <c r="K1292" s="136"/>
      <c r="L1292" s="136"/>
      <c r="M1292" s="136"/>
      <c r="N1292" s="136"/>
      <c r="O1292" s="142"/>
      <c r="P1292" s="140"/>
      <c r="Q1292" s="139"/>
      <c r="R1292" s="139"/>
      <c r="S1292" s="139"/>
      <c r="T1292" s="140" t="str">
        <f t="shared" si="7"/>
        <v/>
      </c>
      <c r="U1292" s="136"/>
      <c r="V1292" s="136"/>
      <c r="W1292" s="136"/>
      <c r="X1292" s="136"/>
      <c r="Y1292" s="145"/>
      <c r="Z1292" s="145"/>
    </row>
    <row r="1293">
      <c r="E1293" s="136"/>
      <c r="F1293" s="136"/>
      <c r="G1293" s="136"/>
      <c r="H1293" s="137"/>
      <c r="I1293" s="136"/>
      <c r="J1293" s="136"/>
      <c r="K1293" s="136"/>
      <c r="L1293" s="136"/>
      <c r="M1293" s="136"/>
      <c r="N1293" s="136"/>
      <c r="O1293" s="142"/>
      <c r="P1293" s="140"/>
      <c r="Q1293" s="139"/>
      <c r="R1293" s="139"/>
      <c r="S1293" s="139"/>
      <c r="T1293" s="140" t="str">
        <f t="shared" si="7"/>
        <v/>
      </c>
      <c r="U1293" s="136"/>
      <c r="V1293" s="136"/>
      <c r="W1293" s="136"/>
      <c r="X1293" s="136"/>
      <c r="Y1293" s="145"/>
      <c r="Z1293" s="145"/>
    </row>
    <row r="1294">
      <c r="E1294" s="136"/>
      <c r="F1294" s="136"/>
      <c r="G1294" s="136"/>
      <c r="H1294" s="137"/>
      <c r="I1294" s="136"/>
      <c r="J1294" s="136"/>
      <c r="K1294" s="136"/>
      <c r="L1294" s="136"/>
      <c r="M1294" s="136"/>
      <c r="N1294" s="136"/>
      <c r="O1294" s="142"/>
      <c r="P1294" s="140"/>
      <c r="Q1294" s="139"/>
      <c r="R1294" s="139"/>
      <c r="S1294" s="139"/>
      <c r="T1294" s="140" t="str">
        <f t="shared" si="7"/>
        <v/>
      </c>
      <c r="U1294" s="136"/>
      <c r="V1294" s="136"/>
      <c r="W1294" s="136"/>
      <c r="X1294" s="136"/>
      <c r="Y1294" s="145"/>
      <c r="Z1294" s="145"/>
    </row>
    <row r="1295">
      <c r="E1295" s="136"/>
      <c r="F1295" s="136"/>
      <c r="G1295" s="136"/>
      <c r="H1295" s="137"/>
      <c r="I1295" s="136"/>
      <c r="J1295" s="136"/>
      <c r="K1295" s="136"/>
      <c r="L1295" s="136"/>
      <c r="M1295" s="136"/>
      <c r="N1295" s="136"/>
      <c r="O1295" s="142"/>
      <c r="P1295" s="140"/>
      <c r="Q1295" s="139"/>
      <c r="R1295" s="139"/>
      <c r="S1295" s="139"/>
      <c r="T1295" s="140" t="str">
        <f t="shared" si="7"/>
        <v/>
      </c>
      <c r="U1295" s="136"/>
      <c r="V1295" s="136"/>
      <c r="W1295" s="136"/>
      <c r="X1295" s="136"/>
      <c r="Y1295" s="145"/>
      <c r="Z1295" s="145"/>
    </row>
    <row r="1296">
      <c r="E1296" s="136"/>
      <c r="F1296" s="136"/>
      <c r="G1296" s="136"/>
      <c r="H1296" s="137"/>
      <c r="I1296" s="136"/>
      <c r="J1296" s="136"/>
      <c r="K1296" s="136"/>
      <c r="L1296" s="136"/>
      <c r="M1296" s="136"/>
      <c r="N1296" s="136"/>
      <c r="O1296" s="142"/>
      <c r="P1296" s="140"/>
      <c r="Q1296" s="139"/>
      <c r="R1296" s="139"/>
      <c r="S1296" s="139"/>
      <c r="T1296" s="140" t="str">
        <f t="shared" si="7"/>
        <v/>
      </c>
      <c r="U1296" s="136"/>
      <c r="V1296" s="136"/>
      <c r="W1296" s="136"/>
      <c r="X1296" s="136"/>
      <c r="Y1296" s="145"/>
      <c r="Z1296" s="145"/>
    </row>
    <row r="1297">
      <c r="E1297" s="136"/>
      <c r="F1297" s="136"/>
      <c r="G1297" s="136"/>
      <c r="H1297" s="137"/>
      <c r="I1297" s="136"/>
      <c r="J1297" s="136"/>
      <c r="K1297" s="136"/>
      <c r="L1297" s="136"/>
      <c r="M1297" s="136"/>
      <c r="N1297" s="136"/>
      <c r="O1297" s="142"/>
      <c r="P1297" s="140"/>
      <c r="Q1297" s="139"/>
      <c r="R1297" s="139"/>
      <c r="S1297" s="139"/>
      <c r="T1297" s="140" t="str">
        <f t="shared" si="7"/>
        <v/>
      </c>
      <c r="U1297" s="136"/>
      <c r="V1297" s="136"/>
      <c r="W1297" s="136"/>
      <c r="X1297" s="136"/>
      <c r="Y1297" s="145"/>
      <c r="Z1297" s="145"/>
    </row>
    <row r="1298">
      <c r="E1298" s="136"/>
      <c r="F1298" s="136"/>
      <c r="G1298" s="136"/>
      <c r="H1298" s="137"/>
      <c r="I1298" s="136"/>
      <c r="J1298" s="136"/>
      <c r="K1298" s="136"/>
      <c r="L1298" s="136"/>
      <c r="M1298" s="136"/>
      <c r="N1298" s="136"/>
      <c r="O1298" s="142"/>
      <c r="P1298" s="140"/>
      <c r="Q1298" s="139"/>
      <c r="R1298" s="139"/>
      <c r="S1298" s="139"/>
      <c r="T1298" s="140" t="str">
        <f t="shared" si="7"/>
        <v/>
      </c>
      <c r="U1298" s="136"/>
      <c r="V1298" s="136"/>
      <c r="W1298" s="136"/>
      <c r="X1298" s="136"/>
      <c r="Y1298" s="145"/>
      <c r="Z1298" s="145"/>
    </row>
    <row r="1299">
      <c r="E1299" s="136"/>
      <c r="F1299" s="136"/>
      <c r="G1299" s="136"/>
      <c r="H1299" s="137"/>
      <c r="I1299" s="136"/>
      <c r="J1299" s="136"/>
      <c r="K1299" s="136"/>
      <c r="L1299" s="136"/>
      <c r="M1299" s="136"/>
      <c r="N1299" s="136"/>
      <c r="O1299" s="142"/>
      <c r="P1299" s="140"/>
      <c r="Q1299" s="139"/>
      <c r="R1299" s="139"/>
      <c r="S1299" s="139"/>
      <c r="T1299" s="140" t="str">
        <f t="shared" si="7"/>
        <v/>
      </c>
      <c r="U1299" s="136"/>
      <c r="V1299" s="136"/>
      <c r="W1299" s="136"/>
      <c r="X1299" s="136"/>
      <c r="Y1299" s="145"/>
      <c r="Z1299" s="145"/>
    </row>
    <row r="1300">
      <c r="E1300" s="136"/>
      <c r="F1300" s="136"/>
      <c r="G1300" s="136"/>
      <c r="H1300" s="137"/>
      <c r="I1300" s="136"/>
      <c r="J1300" s="136"/>
      <c r="K1300" s="136"/>
      <c r="L1300" s="136"/>
      <c r="M1300" s="136"/>
      <c r="N1300" s="136"/>
      <c r="O1300" s="142"/>
      <c r="P1300" s="140"/>
      <c r="Q1300" s="139"/>
      <c r="R1300" s="139"/>
      <c r="S1300" s="139"/>
      <c r="T1300" s="140" t="str">
        <f t="shared" si="7"/>
        <v/>
      </c>
      <c r="U1300" s="136"/>
      <c r="V1300" s="136"/>
      <c r="W1300" s="136"/>
      <c r="X1300" s="136"/>
      <c r="Y1300" s="145"/>
      <c r="Z1300" s="145"/>
    </row>
    <row r="1301">
      <c r="E1301" s="136"/>
      <c r="F1301" s="136"/>
      <c r="G1301" s="136"/>
      <c r="H1301" s="137"/>
      <c r="I1301" s="136"/>
      <c r="J1301" s="136"/>
      <c r="K1301" s="136"/>
      <c r="L1301" s="136"/>
      <c r="M1301" s="136"/>
      <c r="N1301" s="136"/>
      <c r="O1301" s="142"/>
      <c r="P1301" s="140"/>
      <c r="Q1301" s="139"/>
      <c r="R1301" s="139"/>
      <c r="S1301" s="139"/>
      <c r="T1301" s="140" t="str">
        <f t="shared" si="7"/>
        <v/>
      </c>
      <c r="U1301" s="136"/>
      <c r="V1301" s="136"/>
      <c r="W1301" s="136"/>
      <c r="X1301" s="136"/>
      <c r="Y1301" s="145"/>
      <c r="Z1301" s="145"/>
    </row>
    <row r="1302">
      <c r="E1302" s="136"/>
      <c r="F1302" s="136"/>
      <c r="G1302" s="136"/>
      <c r="H1302" s="137"/>
      <c r="I1302" s="136"/>
      <c r="J1302" s="136"/>
      <c r="K1302" s="136"/>
      <c r="L1302" s="136"/>
      <c r="M1302" s="136"/>
      <c r="N1302" s="136"/>
      <c r="O1302" s="142"/>
      <c r="P1302" s="140"/>
      <c r="Q1302" s="139"/>
      <c r="R1302" s="139"/>
      <c r="S1302" s="139"/>
      <c r="T1302" s="140" t="str">
        <f t="shared" si="7"/>
        <v/>
      </c>
      <c r="U1302" s="136"/>
      <c r="V1302" s="136"/>
      <c r="W1302" s="136"/>
      <c r="X1302" s="136"/>
      <c r="Y1302" s="145"/>
      <c r="Z1302" s="145"/>
    </row>
    <row r="1303">
      <c r="E1303" s="136"/>
      <c r="F1303" s="136"/>
      <c r="G1303" s="136"/>
      <c r="H1303" s="137"/>
      <c r="I1303" s="136"/>
      <c r="J1303" s="136"/>
      <c r="K1303" s="136"/>
      <c r="L1303" s="136"/>
      <c r="M1303" s="136"/>
      <c r="N1303" s="136"/>
      <c r="O1303" s="142"/>
      <c r="P1303" s="140"/>
      <c r="Q1303" s="139"/>
      <c r="R1303" s="139"/>
      <c r="S1303" s="139"/>
      <c r="T1303" s="140" t="str">
        <f t="shared" si="7"/>
        <v/>
      </c>
      <c r="U1303" s="136"/>
      <c r="V1303" s="136"/>
      <c r="W1303" s="136"/>
      <c r="X1303" s="136"/>
      <c r="Y1303" s="145"/>
      <c r="Z1303" s="145"/>
    </row>
    <row r="1304">
      <c r="E1304" s="136"/>
      <c r="F1304" s="136"/>
      <c r="G1304" s="136"/>
      <c r="H1304" s="137"/>
      <c r="I1304" s="136"/>
      <c r="J1304" s="136"/>
      <c r="K1304" s="136"/>
      <c r="L1304" s="136"/>
      <c r="M1304" s="136"/>
      <c r="N1304" s="136"/>
      <c r="O1304" s="142"/>
      <c r="P1304" s="140"/>
      <c r="Q1304" s="139"/>
      <c r="R1304" s="139"/>
      <c r="S1304" s="139"/>
      <c r="T1304" s="140" t="str">
        <f t="shared" si="7"/>
        <v/>
      </c>
      <c r="U1304" s="136"/>
      <c r="V1304" s="136"/>
      <c r="W1304" s="136"/>
      <c r="X1304" s="136"/>
      <c r="Y1304" s="145"/>
      <c r="Z1304" s="145"/>
    </row>
    <row r="1305">
      <c r="E1305" s="136"/>
      <c r="F1305" s="136"/>
      <c r="G1305" s="136"/>
      <c r="H1305" s="137"/>
      <c r="I1305" s="136"/>
      <c r="J1305" s="136"/>
      <c r="K1305" s="136"/>
      <c r="L1305" s="136"/>
      <c r="M1305" s="136"/>
      <c r="N1305" s="136"/>
      <c r="O1305" s="142"/>
      <c r="P1305" s="140"/>
      <c r="Q1305" s="139"/>
      <c r="R1305" s="139"/>
      <c r="S1305" s="139"/>
      <c r="T1305" s="140" t="str">
        <f t="shared" si="7"/>
        <v/>
      </c>
      <c r="U1305" s="136"/>
      <c r="V1305" s="136"/>
      <c r="W1305" s="136"/>
      <c r="X1305" s="136"/>
      <c r="Y1305" s="145"/>
      <c r="Z1305" s="145"/>
    </row>
    <row r="1306">
      <c r="E1306" s="136"/>
      <c r="F1306" s="136"/>
      <c r="G1306" s="136"/>
      <c r="H1306" s="137"/>
      <c r="I1306" s="136"/>
      <c r="J1306" s="136"/>
      <c r="K1306" s="136"/>
      <c r="L1306" s="136"/>
      <c r="M1306" s="136"/>
      <c r="N1306" s="136"/>
      <c r="O1306" s="142"/>
      <c r="P1306" s="140"/>
      <c r="Q1306" s="139"/>
      <c r="R1306" s="139"/>
      <c r="S1306" s="139"/>
      <c r="T1306" s="140" t="str">
        <f t="shared" si="7"/>
        <v/>
      </c>
      <c r="U1306" s="136"/>
      <c r="V1306" s="136"/>
      <c r="W1306" s="136"/>
      <c r="X1306" s="136"/>
      <c r="Y1306" s="145"/>
      <c r="Z1306" s="145"/>
    </row>
    <row r="1307">
      <c r="E1307" s="136"/>
      <c r="F1307" s="136"/>
      <c r="G1307" s="136"/>
      <c r="H1307" s="137"/>
      <c r="I1307" s="136"/>
      <c r="J1307" s="136"/>
      <c r="K1307" s="136"/>
      <c r="L1307" s="136"/>
      <c r="M1307" s="136"/>
      <c r="N1307" s="136"/>
      <c r="O1307" s="142"/>
      <c r="P1307" s="140"/>
      <c r="Q1307" s="139"/>
      <c r="R1307" s="139"/>
      <c r="S1307" s="139"/>
      <c r="T1307" s="140" t="str">
        <f t="shared" si="7"/>
        <v/>
      </c>
      <c r="U1307" s="136"/>
      <c r="V1307" s="136"/>
      <c r="W1307" s="136"/>
      <c r="X1307" s="136"/>
      <c r="Y1307" s="145"/>
      <c r="Z1307" s="145"/>
    </row>
    <row r="1308">
      <c r="E1308" s="136"/>
      <c r="F1308" s="136"/>
      <c r="G1308" s="136"/>
      <c r="H1308" s="137"/>
      <c r="I1308" s="136"/>
      <c r="J1308" s="136"/>
      <c r="K1308" s="136"/>
      <c r="L1308" s="136"/>
      <c r="M1308" s="136"/>
      <c r="N1308" s="136"/>
      <c r="O1308" s="142"/>
      <c r="P1308" s="140"/>
      <c r="Q1308" s="139"/>
      <c r="R1308" s="139"/>
      <c r="S1308" s="139"/>
      <c r="T1308" s="140" t="str">
        <f t="shared" si="7"/>
        <v/>
      </c>
      <c r="U1308" s="136"/>
      <c r="V1308" s="136"/>
      <c r="W1308" s="136"/>
      <c r="X1308" s="136"/>
      <c r="Y1308" s="145"/>
      <c r="Z1308" s="145"/>
    </row>
    <row r="1309">
      <c r="E1309" s="136"/>
      <c r="F1309" s="136"/>
      <c r="G1309" s="136"/>
      <c r="H1309" s="137"/>
      <c r="I1309" s="136"/>
      <c r="J1309" s="136"/>
      <c r="K1309" s="136"/>
      <c r="L1309" s="136"/>
      <c r="M1309" s="136"/>
      <c r="N1309" s="136"/>
      <c r="O1309" s="142"/>
      <c r="P1309" s="140"/>
      <c r="Q1309" s="139"/>
      <c r="R1309" s="139"/>
      <c r="S1309" s="139"/>
      <c r="T1309" s="140" t="str">
        <f t="shared" si="7"/>
        <v/>
      </c>
      <c r="U1309" s="136"/>
      <c r="V1309" s="136"/>
      <c r="W1309" s="136"/>
      <c r="X1309" s="136"/>
      <c r="Y1309" s="145"/>
      <c r="Z1309" s="145"/>
    </row>
    <row r="1310">
      <c r="E1310" s="136"/>
      <c r="F1310" s="136"/>
      <c r="G1310" s="136"/>
      <c r="H1310" s="137"/>
      <c r="I1310" s="136"/>
      <c r="J1310" s="136"/>
      <c r="K1310" s="136"/>
      <c r="L1310" s="136"/>
      <c r="M1310" s="136"/>
      <c r="N1310" s="136"/>
      <c r="O1310" s="142"/>
      <c r="P1310" s="140"/>
      <c r="Q1310" s="139"/>
      <c r="R1310" s="139"/>
      <c r="S1310" s="139"/>
      <c r="T1310" s="140" t="str">
        <f t="shared" si="7"/>
        <v/>
      </c>
      <c r="U1310" s="136"/>
      <c r="V1310" s="136"/>
      <c r="W1310" s="136"/>
      <c r="X1310" s="136"/>
      <c r="Y1310" s="145"/>
      <c r="Z1310" s="145"/>
    </row>
    <row r="1311">
      <c r="E1311" s="136"/>
      <c r="F1311" s="136"/>
      <c r="G1311" s="136"/>
      <c r="H1311" s="137"/>
      <c r="I1311" s="136"/>
      <c r="J1311" s="136"/>
      <c r="K1311" s="136"/>
      <c r="L1311" s="136"/>
      <c r="M1311" s="136"/>
      <c r="N1311" s="136"/>
      <c r="O1311" s="142"/>
      <c r="P1311" s="140"/>
      <c r="Q1311" s="139"/>
      <c r="R1311" s="139"/>
      <c r="S1311" s="139"/>
      <c r="T1311" s="140" t="str">
        <f t="shared" si="7"/>
        <v/>
      </c>
      <c r="U1311" s="136"/>
      <c r="V1311" s="136"/>
      <c r="W1311" s="136"/>
      <c r="X1311" s="136"/>
      <c r="Y1311" s="145"/>
      <c r="Z1311" s="145"/>
    </row>
    <row r="1312">
      <c r="E1312" s="136"/>
      <c r="F1312" s="136"/>
      <c r="G1312" s="136"/>
      <c r="H1312" s="137"/>
      <c r="I1312" s="136"/>
      <c r="J1312" s="136"/>
      <c r="K1312" s="136"/>
      <c r="L1312" s="136"/>
      <c r="M1312" s="136"/>
      <c r="N1312" s="136"/>
      <c r="O1312" s="142"/>
      <c r="P1312" s="140"/>
      <c r="Q1312" s="139"/>
      <c r="R1312" s="139"/>
      <c r="S1312" s="139"/>
      <c r="T1312" s="140" t="str">
        <f t="shared" si="7"/>
        <v/>
      </c>
      <c r="U1312" s="136"/>
      <c r="V1312" s="136"/>
      <c r="W1312" s="136"/>
      <c r="X1312" s="136"/>
      <c r="Y1312" s="145"/>
      <c r="Z1312" s="145"/>
    </row>
    <row r="1313">
      <c r="E1313" s="136"/>
      <c r="F1313" s="136"/>
      <c r="G1313" s="136"/>
      <c r="H1313" s="137"/>
      <c r="I1313" s="136"/>
      <c r="J1313" s="136"/>
      <c r="K1313" s="136"/>
      <c r="L1313" s="136"/>
      <c r="M1313" s="136"/>
      <c r="N1313" s="136"/>
      <c r="O1313" s="142"/>
      <c r="P1313" s="140"/>
      <c r="Q1313" s="139"/>
      <c r="R1313" s="139"/>
      <c r="S1313" s="139"/>
      <c r="T1313" s="140" t="str">
        <f t="shared" si="7"/>
        <v/>
      </c>
      <c r="U1313" s="136"/>
      <c r="V1313" s="136"/>
      <c r="W1313" s="136"/>
      <c r="X1313" s="136"/>
      <c r="Y1313" s="145"/>
      <c r="Z1313" s="145"/>
    </row>
    <row r="1314">
      <c r="E1314" s="136"/>
      <c r="F1314" s="136"/>
      <c r="G1314" s="136"/>
      <c r="H1314" s="137"/>
      <c r="I1314" s="136"/>
      <c r="J1314" s="136"/>
      <c r="K1314" s="136"/>
      <c r="L1314" s="136"/>
      <c r="M1314" s="136"/>
      <c r="N1314" s="136"/>
      <c r="O1314" s="142"/>
      <c r="P1314" s="140"/>
      <c r="Q1314" s="139"/>
      <c r="R1314" s="139"/>
      <c r="S1314" s="139"/>
      <c r="T1314" s="140" t="str">
        <f t="shared" si="7"/>
        <v/>
      </c>
      <c r="U1314" s="136"/>
      <c r="V1314" s="136"/>
      <c r="W1314" s="136"/>
      <c r="X1314" s="136"/>
      <c r="Y1314" s="145"/>
      <c r="Z1314" s="145"/>
    </row>
    <row r="1315">
      <c r="E1315" s="136"/>
      <c r="F1315" s="136"/>
      <c r="G1315" s="136"/>
      <c r="H1315" s="137"/>
      <c r="I1315" s="136"/>
      <c r="J1315" s="136"/>
      <c r="K1315" s="136"/>
      <c r="L1315" s="136"/>
      <c r="M1315" s="136"/>
      <c r="N1315" s="136"/>
      <c r="O1315" s="142"/>
      <c r="P1315" s="140"/>
      <c r="Q1315" s="139"/>
      <c r="R1315" s="139"/>
      <c r="S1315" s="139"/>
      <c r="T1315" s="140" t="str">
        <f t="shared" si="7"/>
        <v/>
      </c>
      <c r="U1315" s="136"/>
      <c r="V1315" s="136"/>
      <c r="W1315" s="136"/>
      <c r="X1315" s="136"/>
      <c r="Y1315" s="145"/>
      <c r="Z1315" s="145"/>
    </row>
    <row r="1316">
      <c r="E1316" s="136"/>
      <c r="F1316" s="136"/>
      <c r="G1316" s="136"/>
      <c r="H1316" s="137"/>
      <c r="I1316" s="136"/>
      <c r="J1316" s="136"/>
      <c r="K1316" s="136"/>
      <c r="L1316" s="136"/>
      <c r="M1316" s="136"/>
      <c r="N1316" s="136"/>
      <c r="O1316" s="142"/>
      <c r="P1316" s="140"/>
      <c r="Q1316" s="139"/>
      <c r="R1316" s="139"/>
      <c r="S1316" s="139"/>
      <c r="T1316" s="140" t="str">
        <f t="shared" si="7"/>
        <v/>
      </c>
      <c r="U1316" s="136"/>
      <c r="V1316" s="136"/>
      <c r="W1316" s="136"/>
      <c r="X1316" s="136"/>
      <c r="Y1316" s="145"/>
      <c r="Z1316" s="145"/>
    </row>
    <row r="1317">
      <c r="E1317" s="136"/>
      <c r="F1317" s="136"/>
      <c r="G1317" s="136"/>
      <c r="H1317" s="137"/>
      <c r="I1317" s="136"/>
      <c r="J1317" s="136"/>
      <c r="K1317" s="136"/>
      <c r="L1317" s="136"/>
      <c r="M1317" s="136"/>
      <c r="N1317" s="136"/>
      <c r="O1317" s="142"/>
      <c r="P1317" s="140"/>
      <c r="Q1317" s="139"/>
      <c r="R1317" s="139"/>
      <c r="S1317" s="139"/>
      <c r="T1317" s="140" t="str">
        <f t="shared" si="7"/>
        <v/>
      </c>
      <c r="U1317" s="136"/>
      <c r="V1317" s="136"/>
      <c r="W1317" s="136"/>
      <c r="X1317" s="136"/>
      <c r="Y1317" s="145"/>
      <c r="Z1317" s="145"/>
    </row>
    <row r="1318">
      <c r="E1318" s="136"/>
      <c r="F1318" s="136"/>
      <c r="G1318" s="136"/>
      <c r="H1318" s="137"/>
      <c r="I1318" s="136"/>
      <c r="J1318" s="136"/>
      <c r="K1318" s="136"/>
      <c r="L1318" s="136"/>
      <c r="M1318" s="136"/>
      <c r="N1318" s="136"/>
      <c r="O1318" s="142"/>
      <c r="P1318" s="140"/>
      <c r="Q1318" s="139"/>
      <c r="R1318" s="139"/>
      <c r="S1318" s="139"/>
      <c r="T1318" s="140" t="str">
        <f t="shared" si="7"/>
        <v/>
      </c>
      <c r="U1318" s="136"/>
      <c r="V1318" s="136"/>
      <c r="W1318" s="136"/>
      <c r="X1318" s="136"/>
      <c r="Y1318" s="145"/>
      <c r="Z1318" s="145"/>
    </row>
    <row r="1319">
      <c r="E1319" s="136"/>
      <c r="F1319" s="136"/>
      <c r="G1319" s="136"/>
      <c r="H1319" s="137"/>
      <c r="I1319" s="136"/>
      <c r="J1319" s="136"/>
      <c r="K1319" s="136"/>
      <c r="L1319" s="136"/>
      <c r="M1319" s="136"/>
      <c r="N1319" s="136"/>
      <c r="O1319" s="142"/>
      <c r="P1319" s="140"/>
      <c r="Q1319" s="139"/>
      <c r="R1319" s="139"/>
      <c r="S1319" s="139"/>
      <c r="T1319" s="140" t="str">
        <f t="shared" si="7"/>
        <v/>
      </c>
      <c r="U1319" s="136"/>
      <c r="V1319" s="136"/>
      <c r="W1319" s="136"/>
      <c r="X1319" s="136"/>
      <c r="Y1319" s="145"/>
      <c r="Z1319" s="145"/>
    </row>
    <row r="1320">
      <c r="E1320" s="136"/>
      <c r="F1320" s="136"/>
      <c r="G1320" s="136"/>
      <c r="H1320" s="137"/>
      <c r="I1320" s="136"/>
      <c r="J1320" s="136"/>
      <c r="K1320" s="136"/>
      <c r="L1320" s="136"/>
      <c r="M1320" s="136"/>
      <c r="N1320" s="136"/>
      <c r="O1320" s="142"/>
      <c r="P1320" s="140"/>
      <c r="Q1320" s="139"/>
      <c r="R1320" s="139"/>
      <c r="S1320" s="139"/>
      <c r="T1320" s="140" t="str">
        <f t="shared" si="7"/>
        <v/>
      </c>
      <c r="U1320" s="136"/>
      <c r="V1320" s="136"/>
      <c r="W1320" s="136"/>
      <c r="X1320" s="136"/>
      <c r="Y1320" s="145"/>
      <c r="Z1320" s="145"/>
    </row>
    <row r="1321">
      <c r="E1321" s="136"/>
      <c r="F1321" s="136"/>
      <c r="G1321" s="136"/>
      <c r="H1321" s="137"/>
      <c r="I1321" s="136"/>
      <c r="J1321" s="136"/>
      <c r="K1321" s="136"/>
      <c r="L1321" s="136"/>
      <c r="M1321" s="136"/>
      <c r="N1321" s="136"/>
      <c r="O1321" s="142"/>
      <c r="P1321" s="140"/>
      <c r="Q1321" s="139"/>
      <c r="R1321" s="139"/>
      <c r="S1321" s="139"/>
      <c r="T1321" s="140" t="str">
        <f t="shared" si="7"/>
        <v/>
      </c>
      <c r="U1321" s="136"/>
      <c r="V1321" s="136"/>
      <c r="W1321" s="136"/>
      <c r="X1321" s="136"/>
      <c r="Y1321" s="145"/>
      <c r="Z1321" s="145"/>
    </row>
    <row r="1322">
      <c r="E1322" s="136"/>
      <c r="F1322" s="136"/>
      <c r="G1322" s="136"/>
      <c r="H1322" s="137"/>
      <c r="I1322" s="136"/>
      <c r="J1322" s="136"/>
      <c r="K1322" s="136"/>
      <c r="L1322" s="136"/>
      <c r="M1322" s="136"/>
      <c r="N1322" s="136"/>
      <c r="O1322" s="142"/>
      <c r="P1322" s="140"/>
      <c r="Q1322" s="139"/>
      <c r="R1322" s="139"/>
      <c r="S1322" s="139"/>
      <c r="T1322" s="140" t="str">
        <f t="shared" si="7"/>
        <v/>
      </c>
      <c r="U1322" s="136"/>
      <c r="V1322" s="136"/>
      <c r="W1322" s="136"/>
      <c r="X1322" s="136"/>
      <c r="Y1322" s="145"/>
      <c r="Z1322" s="145"/>
    </row>
    <row r="1323">
      <c r="E1323" s="136"/>
      <c r="F1323" s="136"/>
      <c r="G1323" s="136"/>
      <c r="H1323" s="137"/>
      <c r="I1323" s="136"/>
      <c r="J1323" s="136"/>
      <c r="K1323" s="136"/>
      <c r="L1323" s="136"/>
      <c r="M1323" s="136"/>
      <c r="N1323" s="136"/>
      <c r="O1323" s="142"/>
      <c r="P1323" s="140"/>
      <c r="Q1323" s="139"/>
      <c r="R1323" s="139"/>
      <c r="S1323" s="139"/>
      <c r="T1323" s="140" t="str">
        <f t="shared" si="7"/>
        <v/>
      </c>
      <c r="U1323" s="136"/>
      <c r="V1323" s="136"/>
      <c r="W1323" s="136"/>
      <c r="X1323" s="136"/>
      <c r="Y1323" s="145"/>
      <c r="Z1323" s="145"/>
    </row>
    <row r="1324">
      <c r="E1324" s="136"/>
      <c r="F1324" s="136"/>
      <c r="G1324" s="136"/>
      <c r="H1324" s="137"/>
      <c r="I1324" s="136"/>
      <c r="J1324" s="136"/>
      <c r="K1324" s="136"/>
      <c r="L1324" s="136"/>
      <c r="M1324" s="136"/>
      <c r="N1324" s="136"/>
      <c r="O1324" s="142"/>
      <c r="P1324" s="140"/>
      <c r="Q1324" s="139"/>
      <c r="R1324" s="139"/>
      <c r="S1324" s="139"/>
      <c r="T1324" s="140" t="str">
        <f t="shared" si="7"/>
        <v/>
      </c>
      <c r="U1324" s="136"/>
      <c r="V1324" s="136"/>
      <c r="W1324" s="136"/>
      <c r="X1324" s="136"/>
      <c r="Y1324" s="145"/>
      <c r="Z1324" s="145"/>
    </row>
    <row r="1325">
      <c r="E1325" s="136"/>
      <c r="F1325" s="136"/>
      <c r="G1325" s="136"/>
      <c r="H1325" s="137"/>
      <c r="I1325" s="136"/>
      <c r="J1325" s="136"/>
      <c r="K1325" s="136"/>
      <c r="L1325" s="136"/>
      <c r="M1325" s="136"/>
      <c r="N1325" s="136"/>
      <c r="O1325" s="142"/>
      <c r="P1325" s="140"/>
      <c r="Q1325" s="139"/>
      <c r="R1325" s="139"/>
      <c r="S1325" s="139"/>
      <c r="T1325" s="140" t="str">
        <f t="shared" si="7"/>
        <v/>
      </c>
      <c r="U1325" s="136"/>
      <c r="V1325" s="136"/>
      <c r="W1325" s="136"/>
      <c r="X1325" s="136"/>
      <c r="Y1325" s="145"/>
      <c r="Z1325" s="145"/>
    </row>
    <row r="1326">
      <c r="E1326" s="136"/>
      <c r="F1326" s="136"/>
      <c r="G1326" s="136"/>
      <c r="H1326" s="137"/>
      <c r="I1326" s="136"/>
      <c r="J1326" s="136"/>
      <c r="K1326" s="136"/>
      <c r="L1326" s="136"/>
      <c r="M1326" s="136"/>
      <c r="N1326" s="136"/>
      <c r="O1326" s="142"/>
      <c r="P1326" s="140"/>
      <c r="Q1326" s="139"/>
      <c r="R1326" s="139"/>
      <c r="S1326" s="139"/>
      <c r="T1326" s="140" t="str">
        <f t="shared" si="7"/>
        <v/>
      </c>
      <c r="U1326" s="136"/>
      <c r="V1326" s="136"/>
      <c r="W1326" s="136"/>
      <c r="X1326" s="136"/>
      <c r="Y1326" s="145"/>
      <c r="Z1326" s="145"/>
    </row>
    <row r="1327">
      <c r="E1327" s="136"/>
      <c r="F1327" s="136"/>
      <c r="G1327" s="136"/>
      <c r="H1327" s="137"/>
      <c r="I1327" s="136"/>
      <c r="J1327" s="136"/>
      <c r="K1327" s="136"/>
      <c r="L1327" s="136"/>
      <c r="M1327" s="136"/>
      <c r="N1327" s="136"/>
      <c r="O1327" s="142"/>
      <c r="P1327" s="140"/>
      <c r="Q1327" s="139"/>
      <c r="R1327" s="139"/>
      <c r="S1327" s="139"/>
      <c r="T1327" s="140" t="str">
        <f t="shared" si="7"/>
        <v/>
      </c>
      <c r="U1327" s="136"/>
      <c r="V1327" s="136"/>
      <c r="W1327" s="136"/>
      <c r="X1327" s="136"/>
      <c r="Y1327" s="145"/>
      <c r="Z1327" s="145"/>
    </row>
    <row r="1328">
      <c r="E1328" s="136"/>
      <c r="F1328" s="136"/>
      <c r="G1328" s="136"/>
      <c r="H1328" s="137"/>
      <c r="I1328" s="136"/>
      <c r="J1328" s="136"/>
      <c r="K1328" s="136"/>
      <c r="L1328" s="136"/>
      <c r="M1328" s="136"/>
      <c r="N1328" s="136"/>
      <c r="O1328" s="142"/>
      <c r="P1328" s="140"/>
      <c r="Q1328" s="139"/>
      <c r="R1328" s="139"/>
      <c r="S1328" s="139"/>
      <c r="T1328" s="140" t="str">
        <f t="shared" si="7"/>
        <v/>
      </c>
      <c r="U1328" s="136"/>
      <c r="V1328" s="136"/>
      <c r="W1328" s="136"/>
      <c r="X1328" s="136"/>
      <c r="Y1328" s="145"/>
      <c r="Z1328" s="145"/>
    </row>
    <row r="1329">
      <c r="E1329" s="136"/>
      <c r="F1329" s="136"/>
      <c r="G1329" s="136"/>
      <c r="H1329" s="137"/>
      <c r="I1329" s="136"/>
      <c r="J1329" s="136"/>
      <c r="K1329" s="136"/>
      <c r="L1329" s="136"/>
      <c r="M1329" s="136"/>
      <c r="N1329" s="136"/>
      <c r="O1329" s="142"/>
      <c r="P1329" s="140"/>
      <c r="Q1329" s="139"/>
      <c r="R1329" s="139"/>
      <c r="S1329" s="139"/>
      <c r="T1329" s="140" t="str">
        <f t="shared" si="7"/>
        <v/>
      </c>
      <c r="U1329" s="136"/>
      <c r="V1329" s="136"/>
      <c r="W1329" s="136"/>
      <c r="X1329" s="136"/>
      <c r="Y1329" s="145"/>
      <c r="Z1329" s="145"/>
    </row>
    <row r="1330">
      <c r="E1330" s="136"/>
      <c r="F1330" s="136"/>
      <c r="G1330" s="136"/>
      <c r="H1330" s="137"/>
      <c r="I1330" s="136"/>
      <c r="J1330" s="136"/>
      <c r="K1330" s="136"/>
      <c r="L1330" s="136"/>
      <c r="M1330" s="136"/>
      <c r="N1330" s="136"/>
      <c r="O1330" s="142"/>
      <c r="P1330" s="140"/>
      <c r="Q1330" s="139"/>
      <c r="R1330" s="139"/>
      <c r="S1330" s="139"/>
      <c r="T1330" s="140" t="str">
        <f t="shared" si="7"/>
        <v/>
      </c>
      <c r="U1330" s="136"/>
      <c r="V1330" s="136"/>
      <c r="W1330" s="136"/>
      <c r="X1330" s="136"/>
      <c r="Y1330" s="145"/>
      <c r="Z1330" s="145"/>
    </row>
    <row r="1331">
      <c r="E1331" s="136"/>
      <c r="F1331" s="136"/>
      <c r="G1331" s="136"/>
      <c r="H1331" s="137"/>
      <c r="I1331" s="136"/>
      <c r="J1331" s="136"/>
      <c r="K1331" s="136"/>
      <c r="L1331" s="136"/>
      <c r="M1331" s="136"/>
      <c r="N1331" s="136"/>
      <c r="O1331" s="142"/>
      <c r="P1331" s="140"/>
      <c r="Q1331" s="139"/>
      <c r="R1331" s="139"/>
      <c r="S1331" s="139"/>
      <c r="T1331" s="140" t="str">
        <f t="shared" si="7"/>
        <v/>
      </c>
      <c r="U1331" s="136"/>
      <c r="V1331" s="136"/>
      <c r="W1331" s="136"/>
      <c r="X1331" s="136"/>
      <c r="Y1331" s="145"/>
      <c r="Z1331" s="145"/>
    </row>
    <row r="1332">
      <c r="E1332" s="136"/>
      <c r="F1332" s="136"/>
      <c r="G1332" s="136"/>
      <c r="H1332" s="137"/>
      <c r="I1332" s="136"/>
      <c r="J1332" s="136"/>
      <c r="K1332" s="136"/>
      <c r="L1332" s="136"/>
      <c r="M1332" s="136"/>
      <c r="N1332" s="136"/>
      <c r="O1332" s="142"/>
      <c r="P1332" s="140"/>
      <c r="Q1332" s="139"/>
      <c r="R1332" s="139"/>
      <c r="S1332" s="139"/>
      <c r="T1332" s="140" t="str">
        <f t="shared" si="7"/>
        <v/>
      </c>
      <c r="U1332" s="136"/>
      <c r="V1332" s="136"/>
      <c r="W1332" s="136"/>
      <c r="X1332" s="136"/>
      <c r="Y1332" s="145"/>
      <c r="Z1332" s="145"/>
    </row>
    <row r="1333">
      <c r="E1333" s="136"/>
      <c r="F1333" s="136"/>
      <c r="G1333" s="136"/>
      <c r="H1333" s="137"/>
      <c r="I1333" s="136"/>
      <c r="J1333" s="136"/>
      <c r="K1333" s="136"/>
      <c r="L1333" s="136"/>
      <c r="M1333" s="136"/>
      <c r="N1333" s="136"/>
      <c r="O1333" s="142"/>
      <c r="P1333" s="140"/>
      <c r="Q1333" s="139"/>
      <c r="R1333" s="139"/>
      <c r="S1333" s="139"/>
      <c r="T1333" s="140" t="str">
        <f t="shared" si="7"/>
        <v/>
      </c>
      <c r="U1333" s="136"/>
      <c r="V1333" s="136"/>
      <c r="W1333" s="136"/>
      <c r="X1333" s="136"/>
      <c r="Y1333" s="145"/>
      <c r="Z1333" s="145"/>
    </row>
    <row r="1334">
      <c r="E1334" s="136"/>
      <c r="F1334" s="136"/>
      <c r="G1334" s="136"/>
      <c r="H1334" s="137"/>
      <c r="I1334" s="136"/>
      <c r="J1334" s="136"/>
      <c r="K1334" s="136"/>
      <c r="L1334" s="136"/>
      <c r="M1334" s="136"/>
      <c r="N1334" s="136"/>
      <c r="O1334" s="142"/>
      <c r="P1334" s="140"/>
      <c r="Q1334" s="139"/>
      <c r="R1334" s="139"/>
      <c r="S1334" s="139"/>
      <c r="T1334" s="140" t="str">
        <f t="shared" si="7"/>
        <v/>
      </c>
      <c r="U1334" s="136"/>
      <c r="V1334" s="136"/>
      <c r="W1334" s="136"/>
      <c r="X1334" s="136"/>
      <c r="Y1334" s="145"/>
      <c r="Z1334" s="145"/>
    </row>
    <row r="1335">
      <c r="E1335" s="136"/>
      <c r="F1335" s="136"/>
      <c r="G1335" s="136"/>
      <c r="H1335" s="137"/>
      <c r="I1335" s="136"/>
      <c r="J1335" s="136"/>
      <c r="K1335" s="136"/>
      <c r="L1335" s="136"/>
      <c r="M1335" s="136"/>
      <c r="N1335" s="136"/>
      <c r="O1335" s="142"/>
      <c r="P1335" s="140"/>
      <c r="Q1335" s="139"/>
      <c r="R1335" s="139"/>
      <c r="S1335" s="139"/>
      <c r="T1335" s="140" t="str">
        <f t="shared" si="7"/>
        <v/>
      </c>
      <c r="U1335" s="136"/>
      <c r="V1335" s="136"/>
      <c r="W1335" s="136"/>
      <c r="X1335" s="136"/>
      <c r="Y1335" s="145"/>
      <c r="Z1335" s="145"/>
    </row>
    <row r="1336">
      <c r="E1336" s="136"/>
      <c r="F1336" s="136"/>
      <c r="G1336" s="136"/>
      <c r="H1336" s="137"/>
      <c r="I1336" s="136"/>
      <c r="J1336" s="136"/>
      <c r="K1336" s="136"/>
      <c r="L1336" s="136"/>
      <c r="M1336" s="136"/>
      <c r="N1336" s="136"/>
      <c r="O1336" s="142"/>
      <c r="P1336" s="140"/>
      <c r="Q1336" s="139"/>
      <c r="R1336" s="139"/>
      <c r="S1336" s="139"/>
      <c r="T1336" s="140" t="str">
        <f t="shared" si="7"/>
        <v/>
      </c>
      <c r="U1336" s="136"/>
      <c r="V1336" s="136"/>
      <c r="W1336" s="136"/>
      <c r="X1336" s="136"/>
      <c r="Y1336" s="145"/>
      <c r="Z1336" s="145"/>
    </row>
    <row r="1337">
      <c r="E1337" s="136"/>
      <c r="F1337" s="136"/>
      <c r="G1337" s="136"/>
      <c r="H1337" s="137"/>
      <c r="I1337" s="136"/>
      <c r="J1337" s="136"/>
      <c r="K1337" s="136"/>
      <c r="L1337" s="136"/>
      <c r="M1337" s="136"/>
      <c r="N1337" s="136"/>
      <c r="O1337" s="142"/>
      <c r="P1337" s="140"/>
      <c r="Q1337" s="139"/>
      <c r="R1337" s="139"/>
      <c r="S1337" s="139"/>
      <c r="T1337" s="140" t="str">
        <f t="shared" si="7"/>
        <v/>
      </c>
      <c r="U1337" s="136"/>
      <c r="V1337" s="136"/>
      <c r="W1337" s="136"/>
      <c r="X1337" s="136"/>
      <c r="Y1337" s="145"/>
      <c r="Z1337" s="145"/>
    </row>
    <row r="1338">
      <c r="E1338" s="136"/>
      <c r="F1338" s="136"/>
      <c r="G1338" s="136"/>
      <c r="H1338" s="137"/>
      <c r="I1338" s="136"/>
      <c r="J1338" s="136"/>
      <c r="K1338" s="136"/>
      <c r="L1338" s="136"/>
      <c r="M1338" s="136"/>
      <c r="N1338" s="136"/>
      <c r="O1338" s="142"/>
      <c r="P1338" s="140"/>
      <c r="Q1338" s="139"/>
      <c r="R1338" s="139"/>
      <c r="S1338" s="139"/>
      <c r="T1338" s="140" t="str">
        <f t="shared" si="7"/>
        <v/>
      </c>
      <c r="U1338" s="136"/>
      <c r="V1338" s="136"/>
      <c r="W1338" s="136"/>
      <c r="X1338" s="136"/>
      <c r="Y1338" s="145"/>
      <c r="Z1338" s="145"/>
    </row>
    <row r="1339">
      <c r="E1339" s="136"/>
      <c r="F1339" s="136"/>
      <c r="G1339" s="136"/>
      <c r="H1339" s="137"/>
      <c r="I1339" s="136"/>
      <c r="J1339" s="136"/>
      <c r="K1339" s="136"/>
      <c r="L1339" s="136"/>
      <c r="M1339" s="136"/>
      <c r="N1339" s="136"/>
      <c r="O1339" s="142"/>
      <c r="P1339" s="140"/>
      <c r="Q1339" s="139"/>
      <c r="R1339" s="139"/>
      <c r="S1339" s="139"/>
      <c r="T1339" s="140" t="str">
        <f t="shared" si="7"/>
        <v/>
      </c>
      <c r="U1339" s="136"/>
      <c r="V1339" s="136"/>
      <c r="W1339" s="136"/>
      <c r="X1339" s="136"/>
      <c r="Y1339" s="145"/>
      <c r="Z1339" s="145"/>
    </row>
    <row r="1340">
      <c r="E1340" s="136"/>
      <c r="F1340" s="136"/>
      <c r="G1340" s="136"/>
      <c r="H1340" s="137"/>
      <c r="I1340" s="136"/>
      <c r="J1340" s="136"/>
      <c r="K1340" s="136"/>
      <c r="L1340" s="136"/>
      <c r="M1340" s="136"/>
      <c r="N1340" s="136"/>
      <c r="O1340" s="142"/>
      <c r="P1340" s="140"/>
      <c r="Q1340" s="139"/>
      <c r="R1340" s="139"/>
      <c r="S1340" s="139"/>
      <c r="T1340" s="140" t="str">
        <f t="shared" si="7"/>
        <v/>
      </c>
      <c r="U1340" s="136"/>
      <c r="V1340" s="136"/>
      <c r="W1340" s="136"/>
      <c r="X1340" s="136"/>
      <c r="Y1340" s="145"/>
      <c r="Z1340" s="145"/>
    </row>
    <row r="1341">
      <c r="E1341" s="136"/>
      <c r="F1341" s="136"/>
      <c r="G1341" s="136"/>
      <c r="H1341" s="137"/>
      <c r="I1341" s="136"/>
      <c r="J1341" s="136"/>
      <c r="K1341" s="136"/>
      <c r="L1341" s="136"/>
      <c r="M1341" s="136"/>
      <c r="N1341" s="136"/>
      <c r="O1341" s="142"/>
      <c r="P1341" s="140"/>
      <c r="Q1341" s="139"/>
      <c r="R1341" s="139"/>
      <c r="S1341" s="139"/>
      <c r="T1341" s="140" t="str">
        <f t="shared" si="7"/>
        <v/>
      </c>
      <c r="U1341" s="136"/>
      <c r="V1341" s="136"/>
      <c r="W1341" s="136"/>
      <c r="X1341" s="136"/>
      <c r="Y1341" s="145"/>
      <c r="Z1341" s="145"/>
    </row>
    <row r="1342">
      <c r="E1342" s="136"/>
      <c r="F1342" s="136"/>
      <c r="G1342" s="136"/>
      <c r="H1342" s="137"/>
      <c r="I1342" s="136"/>
      <c r="J1342" s="136"/>
      <c r="K1342" s="136"/>
      <c r="L1342" s="136"/>
      <c r="M1342" s="136"/>
      <c r="N1342" s="136"/>
      <c r="O1342" s="142"/>
      <c r="P1342" s="140"/>
      <c r="Q1342" s="139"/>
      <c r="R1342" s="139"/>
      <c r="S1342" s="139"/>
      <c r="T1342" s="140" t="str">
        <f t="shared" si="7"/>
        <v/>
      </c>
      <c r="U1342" s="136"/>
      <c r="V1342" s="136"/>
      <c r="W1342" s="136"/>
      <c r="X1342" s="136"/>
      <c r="Y1342" s="145"/>
      <c r="Z1342" s="145"/>
    </row>
    <row r="1343">
      <c r="E1343" s="136"/>
      <c r="F1343" s="136"/>
      <c r="G1343" s="136"/>
      <c r="H1343" s="137"/>
      <c r="I1343" s="136"/>
      <c r="J1343" s="136"/>
      <c r="K1343" s="136"/>
      <c r="L1343" s="136"/>
      <c r="M1343" s="136"/>
      <c r="N1343" s="136"/>
      <c r="O1343" s="142"/>
      <c r="P1343" s="140"/>
      <c r="Q1343" s="139"/>
      <c r="R1343" s="139"/>
      <c r="S1343" s="139"/>
      <c r="T1343" s="140" t="str">
        <f t="shared" si="7"/>
        <v/>
      </c>
      <c r="U1343" s="136"/>
      <c r="V1343" s="136"/>
      <c r="W1343" s="136"/>
      <c r="X1343" s="136"/>
      <c r="Y1343" s="145"/>
      <c r="Z1343" s="145"/>
    </row>
    <row r="1344">
      <c r="E1344" s="136"/>
      <c r="F1344" s="136"/>
      <c r="G1344" s="136"/>
      <c r="H1344" s="137"/>
      <c r="I1344" s="136"/>
      <c r="J1344" s="136"/>
      <c r="K1344" s="136"/>
      <c r="L1344" s="136"/>
      <c r="M1344" s="136"/>
      <c r="N1344" s="136"/>
      <c r="O1344" s="142"/>
      <c r="P1344" s="140"/>
      <c r="Q1344" s="139"/>
      <c r="R1344" s="139"/>
      <c r="S1344" s="139"/>
      <c r="T1344" s="140" t="str">
        <f t="shared" si="7"/>
        <v/>
      </c>
      <c r="U1344" s="136"/>
      <c r="V1344" s="136"/>
      <c r="W1344" s="136"/>
      <c r="X1344" s="136"/>
      <c r="Y1344" s="145"/>
      <c r="Z1344" s="145"/>
    </row>
    <row r="1345">
      <c r="E1345" s="136"/>
      <c r="F1345" s="136"/>
      <c r="G1345" s="136"/>
      <c r="H1345" s="137"/>
      <c r="I1345" s="136"/>
      <c r="J1345" s="136"/>
      <c r="K1345" s="136"/>
      <c r="L1345" s="136"/>
      <c r="M1345" s="136"/>
      <c r="N1345" s="136"/>
      <c r="O1345" s="142"/>
      <c r="P1345" s="140"/>
      <c r="Q1345" s="139"/>
      <c r="R1345" s="139"/>
      <c r="S1345" s="139"/>
      <c r="T1345" s="140" t="str">
        <f t="shared" si="7"/>
        <v/>
      </c>
      <c r="U1345" s="136"/>
      <c r="V1345" s="136"/>
      <c r="W1345" s="136"/>
      <c r="X1345" s="136"/>
      <c r="Y1345" s="145"/>
      <c r="Z1345" s="145"/>
    </row>
    <row r="1346">
      <c r="E1346" s="136"/>
      <c r="F1346" s="136"/>
      <c r="G1346" s="136"/>
      <c r="H1346" s="137"/>
      <c r="I1346" s="136"/>
      <c r="J1346" s="136"/>
      <c r="K1346" s="136"/>
      <c r="L1346" s="136"/>
      <c r="M1346" s="136"/>
      <c r="N1346" s="136"/>
      <c r="O1346" s="142"/>
      <c r="P1346" s="140"/>
      <c r="Q1346" s="139"/>
      <c r="R1346" s="139"/>
      <c r="S1346" s="139"/>
      <c r="T1346" s="140" t="str">
        <f t="shared" si="7"/>
        <v/>
      </c>
      <c r="U1346" s="136"/>
      <c r="V1346" s="136"/>
      <c r="W1346" s="136"/>
      <c r="X1346" s="136"/>
      <c r="Y1346" s="145"/>
      <c r="Z1346" s="145"/>
    </row>
    <row r="1347">
      <c r="E1347" s="136"/>
      <c r="F1347" s="136"/>
      <c r="G1347" s="136"/>
      <c r="H1347" s="137"/>
      <c r="I1347" s="136"/>
      <c r="J1347" s="136"/>
      <c r="K1347" s="136"/>
      <c r="L1347" s="136"/>
      <c r="M1347" s="136"/>
      <c r="N1347" s="136"/>
      <c r="O1347" s="142"/>
      <c r="P1347" s="140"/>
      <c r="Q1347" s="139"/>
      <c r="R1347" s="139"/>
      <c r="S1347" s="139"/>
      <c r="T1347" s="140" t="str">
        <f t="shared" si="7"/>
        <v/>
      </c>
      <c r="U1347" s="136"/>
      <c r="V1347" s="136"/>
      <c r="W1347" s="136"/>
      <c r="X1347" s="136"/>
      <c r="Y1347" s="145"/>
      <c r="Z1347" s="145"/>
    </row>
    <row r="1348">
      <c r="E1348" s="136"/>
      <c r="F1348" s="136"/>
      <c r="G1348" s="136"/>
      <c r="H1348" s="137"/>
      <c r="I1348" s="136"/>
      <c r="J1348" s="136"/>
      <c r="K1348" s="136"/>
      <c r="L1348" s="136"/>
      <c r="M1348" s="136"/>
      <c r="N1348" s="136"/>
      <c r="O1348" s="142"/>
      <c r="P1348" s="140"/>
      <c r="Q1348" s="139"/>
      <c r="R1348" s="139"/>
      <c r="S1348" s="139"/>
      <c r="T1348" s="140" t="str">
        <f t="shared" si="7"/>
        <v/>
      </c>
      <c r="U1348" s="136"/>
      <c r="V1348" s="136"/>
      <c r="W1348" s="136"/>
      <c r="X1348" s="136"/>
      <c r="Y1348" s="145"/>
      <c r="Z1348" s="145"/>
    </row>
    <row r="1349">
      <c r="E1349" s="136"/>
      <c r="F1349" s="136"/>
      <c r="G1349" s="136"/>
      <c r="H1349" s="137"/>
      <c r="I1349" s="136"/>
      <c r="J1349" s="136"/>
      <c r="K1349" s="136"/>
      <c r="L1349" s="136"/>
      <c r="M1349" s="136"/>
      <c r="N1349" s="136"/>
      <c r="O1349" s="142"/>
      <c r="P1349" s="140"/>
      <c r="Q1349" s="139"/>
      <c r="R1349" s="139"/>
      <c r="S1349" s="139"/>
      <c r="T1349" s="140" t="str">
        <f t="shared" si="7"/>
        <v/>
      </c>
      <c r="U1349" s="136"/>
      <c r="V1349" s="136"/>
      <c r="W1349" s="136"/>
      <c r="X1349" s="136"/>
      <c r="Y1349" s="145"/>
      <c r="Z1349" s="145"/>
    </row>
    <row r="1350">
      <c r="E1350" s="136"/>
      <c r="F1350" s="136"/>
      <c r="G1350" s="136"/>
      <c r="H1350" s="137"/>
      <c r="I1350" s="136"/>
      <c r="J1350" s="136"/>
      <c r="K1350" s="136"/>
      <c r="L1350" s="136"/>
      <c r="M1350" s="136"/>
      <c r="N1350" s="136"/>
      <c r="O1350" s="142"/>
      <c r="P1350" s="140"/>
      <c r="Q1350" s="139"/>
      <c r="R1350" s="139"/>
      <c r="S1350" s="139"/>
      <c r="T1350" s="140" t="str">
        <f t="shared" si="7"/>
        <v/>
      </c>
      <c r="U1350" s="136"/>
      <c r="V1350" s="136"/>
      <c r="W1350" s="136"/>
      <c r="X1350" s="136"/>
      <c r="Y1350" s="145"/>
      <c r="Z1350" s="145"/>
    </row>
    <row r="1351">
      <c r="E1351" s="136"/>
      <c r="F1351" s="136"/>
      <c r="G1351" s="136"/>
      <c r="H1351" s="137"/>
      <c r="I1351" s="136"/>
      <c r="J1351" s="136"/>
      <c r="K1351" s="136"/>
      <c r="L1351" s="136"/>
      <c r="M1351" s="136"/>
      <c r="N1351" s="136"/>
      <c r="O1351" s="142"/>
      <c r="P1351" s="140"/>
      <c r="Q1351" s="139"/>
      <c r="R1351" s="139"/>
      <c r="S1351" s="139"/>
      <c r="T1351" s="140" t="str">
        <f t="shared" si="7"/>
        <v/>
      </c>
      <c r="U1351" s="136"/>
      <c r="V1351" s="136"/>
      <c r="W1351" s="136"/>
      <c r="X1351" s="136"/>
      <c r="Y1351" s="145"/>
      <c r="Z1351" s="145"/>
    </row>
    <row r="1352">
      <c r="E1352" s="136"/>
      <c r="F1352" s="136"/>
      <c r="G1352" s="136"/>
      <c r="H1352" s="137"/>
      <c r="I1352" s="136"/>
      <c r="J1352" s="136"/>
      <c r="K1352" s="136"/>
      <c r="L1352" s="136"/>
      <c r="M1352" s="136"/>
      <c r="N1352" s="136"/>
      <c r="O1352" s="142"/>
      <c r="P1352" s="140"/>
      <c r="Q1352" s="139"/>
      <c r="R1352" s="139"/>
      <c r="S1352" s="139"/>
      <c r="T1352" s="140" t="str">
        <f t="shared" si="7"/>
        <v/>
      </c>
      <c r="U1352" s="136"/>
      <c r="V1352" s="136"/>
      <c r="W1352" s="136"/>
      <c r="X1352" s="136"/>
      <c r="Y1352" s="145"/>
      <c r="Z1352" s="145"/>
    </row>
    <row r="1353">
      <c r="E1353" s="136"/>
      <c r="F1353" s="136"/>
      <c r="G1353" s="136"/>
      <c r="H1353" s="137"/>
      <c r="I1353" s="136"/>
      <c r="J1353" s="136"/>
      <c r="K1353" s="136"/>
      <c r="L1353" s="136"/>
      <c r="M1353" s="136"/>
      <c r="N1353" s="136"/>
      <c r="O1353" s="142"/>
      <c r="P1353" s="140"/>
      <c r="Q1353" s="139"/>
      <c r="R1353" s="139"/>
      <c r="S1353" s="139"/>
      <c r="T1353" s="140" t="str">
        <f t="shared" si="7"/>
        <v/>
      </c>
      <c r="U1353" s="136"/>
      <c r="V1353" s="136"/>
      <c r="W1353" s="136"/>
      <c r="X1353" s="136"/>
      <c r="Y1353" s="145"/>
      <c r="Z1353" s="145"/>
    </row>
    <row r="1354">
      <c r="E1354" s="136"/>
      <c r="F1354" s="136"/>
      <c r="G1354" s="136"/>
      <c r="H1354" s="137"/>
      <c r="I1354" s="136"/>
      <c r="J1354" s="136"/>
      <c r="K1354" s="136"/>
      <c r="L1354" s="136"/>
      <c r="M1354" s="136"/>
      <c r="N1354" s="136"/>
      <c r="O1354" s="142"/>
      <c r="P1354" s="140"/>
      <c r="Q1354" s="139"/>
      <c r="R1354" s="139"/>
      <c r="S1354" s="139"/>
      <c r="T1354" s="140" t="str">
        <f t="shared" si="7"/>
        <v/>
      </c>
      <c r="U1354" s="136"/>
      <c r="V1354" s="136"/>
      <c r="W1354" s="136"/>
      <c r="X1354" s="136"/>
      <c r="Y1354" s="145"/>
      <c r="Z1354" s="145"/>
    </row>
    <row r="1355">
      <c r="E1355" s="136"/>
      <c r="F1355" s="136"/>
      <c r="G1355" s="136"/>
      <c r="H1355" s="137"/>
      <c r="I1355" s="136"/>
      <c r="J1355" s="136"/>
      <c r="K1355" s="136"/>
      <c r="L1355" s="136"/>
      <c r="M1355" s="136"/>
      <c r="N1355" s="136"/>
      <c r="O1355" s="142"/>
      <c r="P1355" s="140"/>
      <c r="Q1355" s="139"/>
      <c r="R1355" s="139"/>
      <c r="S1355" s="139"/>
      <c r="T1355" s="140" t="str">
        <f t="shared" si="7"/>
        <v/>
      </c>
      <c r="U1355" s="136"/>
      <c r="V1355" s="136"/>
      <c r="W1355" s="136"/>
      <c r="X1355" s="136"/>
      <c r="Y1355" s="145"/>
      <c r="Z1355" s="145"/>
    </row>
    <row r="1356">
      <c r="E1356" s="136"/>
      <c r="F1356" s="136"/>
      <c r="G1356" s="136"/>
      <c r="H1356" s="137"/>
      <c r="I1356" s="136"/>
      <c r="J1356" s="136"/>
      <c r="K1356" s="136"/>
      <c r="L1356" s="136"/>
      <c r="M1356" s="136"/>
      <c r="N1356" s="136"/>
      <c r="O1356" s="142"/>
      <c r="P1356" s="140"/>
      <c r="Q1356" s="139"/>
      <c r="R1356" s="139"/>
      <c r="S1356" s="139"/>
      <c r="T1356" s="140" t="str">
        <f t="shared" si="7"/>
        <v/>
      </c>
      <c r="U1356" s="136"/>
      <c r="V1356" s="136"/>
      <c r="W1356" s="136"/>
      <c r="X1356" s="136"/>
      <c r="Y1356" s="145"/>
      <c r="Z1356" s="145"/>
    </row>
    <row r="1357">
      <c r="E1357" s="136"/>
      <c r="F1357" s="136"/>
      <c r="G1357" s="136"/>
      <c r="H1357" s="137"/>
      <c r="I1357" s="136"/>
      <c r="J1357" s="136"/>
      <c r="K1357" s="136"/>
      <c r="L1357" s="136"/>
      <c r="M1357" s="136"/>
      <c r="N1357" s="136"/>
      <c r="O1357" s="142"/>
      <c r="P1357" s="140"/>
      <c r="Q1357" s="139"/>
      <c r="R1357" s="139"/>
      <c r="S1357" s="139"/>
      <c r="T1357" s="140" t="str">
        <f t="shared" si="7"/>
        <v/>
      </c>
      <c r="U1357" s="136"/>
      <c r="V1357" s="136"/>
      <c r="W1357" s="136"/>
      <c r="X1357" s="136"/>
      <c r="Y1357" s="145"/>
      <c r="Z1357" s="145"/>
    </row>
    <row r="1358">
      <c r="E1358" s="136"/>
      <c r="F1358" s="136"/>
      <c r="G1358" s="136"/>
      <c r="H1358" s="137"/>
      <c r="I1358" s="136"/>
      <c r="J1358" s="136"/>
      <c r="K1358" s="136"/>
      <c r="L1358" s="136"/>
      <c r="M1358" s="136"/>
      <c r="N1358" s="136"/>
      <c r="O1358" s="142"/>
      <c r="P1358" s="140"/>
      <c r="Q1358" s="139"/>
      <c r="R1358" s="139"/>
      <c r="S1358" s="139"/>
      <c r="T1358" s="140" t="str">
        <f t="shared" si="7"/>
        <v/>
      </c>
      <c r="U1358" s="136"/>
      <c r="V1358" s="136"/>
      <c r="W1358" s="136"/>
      <c r="X1358" s="136"/>
      <c r="Y1358" s="145"/>
      <c r="Z1358" s="145"/>
    </row>
    <row r="1359">
      <c r="E1359" s="136"/>
      <c r="F1359" s="136"/>
      <c r="G1359" s="136"/>
      <c r="H1359" s="137"/>
      <c r="I1359" s="136"/>
      <c r="J1359" s="136"/>
      <c r="K1359" s="136"/>
      <c r="L1359" s="136"/>
      <c r="M1359" s="136"/>
      <c r="N1359" s="136"/>
      <c r="O1359" s="142"/>
      <c r="P1359" s="140"/>
      <c r="Q1359" s="139"/>
      <c r="R1359" s="139"/>
      <c r="S1359" s="139"/>
      <c r="T1359" s="140" t="str">
        <f t="shared" si="7"/>
        <v/>
      </c>
      <c r="U1359" s="136"/>
      <c r="V1359" s="136"/>
      <c r="W1359" s="136"/>
      <c r="X1359" s="136"/>
      <c r="Y1359" s="145"/>
      <c r="Z1359" s="145"/>
    </row>
    <row r="1360">
      <c r="E1360" s="136"/>
      <c r="F1360" s="136"/>
      <c r="G1360" s="136"/>
      <c r="H1360" s="137"/>
      <c r="I1360" s="136"/>
      <c r="J1360" s="136"/>
      <c r="K1360" s="136"/>
      <c r="L1360" s="136"/>
      <c r="M1360" s="136"/>
      <c r="N1360" s="136"/>
      <c r="O1360" s="142"/>
      <c r="P1360" s="140"/>
      <c r="Q1360" s="139"/>
      <c r="R1360" s="139"/>
      <c r="S1360" s="139"/>
      <c r="T1360" s="140" t="str">
        <f t="shared" si="7"/>
        <v/>
      </c>
      <c r="U1360" s="136"/>
      <c r="V1360" s="136"/>
      <c r="W1360" s="136"/>
      <c r="X1360" s="136"/>
      <c r="Y1360" s="145"/>
      <c r="Z1360" s="145"/>
    </row>
    <row r="1361">
      <c r="E1361" s="136"/>
      <c r="F1361" s="136"/>
      <c r="G1361" s="136"/>
      <c r="H1361" s="137"/>
      <c r="I1361" s="136"/>
      <c r="J1361" s="136"/>
      <c r="K1361" s="136"/>
      <c r="L1361" s="136"/>
      <c r="M1361" s="136"/>
      <c r="N1361" s="136"/>
      <c r="O1361" s="142"/>
      <c r="P1361" s="140"/>
      <c r="Q1361" s="139"/>
      <c r="R1361" s="139"/>
      <c r="S1361" s="139"/>
      <c r="T1361" s="140" t="str">
        <f t="shared" si="7"/>
        <v/>
      </c>
      <c r="U1361" s="136"/>
      <c r="V1361" s="136"/>
      <c r="W1361" s="136"/>
      <c r="X1361" s="136"/>
      <c r="Y1361" s="145"/>
      <c r="Z1361" s="145"/>
    </row>
    <row r="1362">
      <c r="E1362" s="136"/>
      <c r="F1362" s="136"/>
      <c r="G1362" s="136"/>
      <c r="H1362" s="137"/>
      <c r="I1362" s="136"/>
      <c r="J1362" s="136"/>
      <c r="K1362" s="136"/>
      <c r="L1362" s="136"/>
      <c r="M1362" s="136"/>
      <c r="N1362" s="136"/>
      <c r="O1362" s="142"/>
      <c r="P1362" s="140"/>
      <c r="Q1362" s="139"/>
      <c r="R1362" s="139"/>
      <c r="S1362" s="139"/>
      <c r="T1362" s="140" t="str">
        <f t="shared" si="7"/>
        <v/>
      </c>
      <c r="U1362" s="136"/>
      <c r="V1362" s="136"/>
      <c r="W1362" s="136"/>
      <c r="X1362" s="136"/>
      <c r="Y1362" s="145"/>
      <c r="Z1362" s="145"/>
    </row>
    <row r="1363">
      <c r="E1363" s="136"/>
      <c r="F1363" s="136"/>
      <c r="G1363" s="136"/>
      <c r="H1363" s="137"/>
      <c r="I1363" s="136"/>
      <c r="J1363" s="136"/>
      <c r="K1363" s="136"/>
      <c r="L1363" s="136"/>
      <c r="M1363" s="136"/>
      <c r="N1363" s="136"/>
      <c r="O1363" s="142"/>
      <c r="P1363" s="140"/>
      <c r="Q1363" s="139"/>
      <c r="R1363" s="139"/>
      <c r="S1363" s="139"/>
      <c r="T1363" s="140" t="str">
        <f t="shared" si="7"/>
        <v/>
      </c>
      <c r="U1363" s="136"/>
      <c r="V1363" s="136"/>
      <c r="W1363" s="136"/>
      <c r="X1363" s="136"/>
      <c r="Y1363" s="145"/>
      <c r="Z1363" s="145"/>
    </row>
    <row r="1364">
      <c r="E1364" s="136"/>
      <c r="F1364" s="136"/>
      <c r="G1364" s="136"/>
      <c r="H1364" s="137"/>
      <c r="I1364" s="136"/>
      <c r="J1364" s="136"/>
      <c r="K1364" s="136"/>
      <c r="L1364" s="136"/>
      <c r="M1364" s="136"/>
      <c r="N1364" s="136"/>
      <c r="O1364" s="142"/>
      <c r="P1364" s="140"/>
      <c r="Q1364" s="139"/>
      <c r="R1364" s="139"/>
      <c r="S1364" s="139"/>
      <c r="T1364" s="140" t="str">
        <f t="shared" si="7"/>
        <v/>
      </c>
      <c r="U1364" s="136"/>
      <c r="V1364" s="136"/>
      <c r="W1364" s="136"/>
      <c r="X1364" s="136"/>
      <c r="Y1364" s="145"/>
      <c r="Z1364" s="145"/>
    </row>
    <row r="1365">
      <c r="E1365" s="136"/>
      <c r="F1365" s="136"/>
      <c r="G1365" s="136"/>
      <c r="H1365" s="137"/>
      <c r="I1365" s="136"/>
      <c r="J1365" s="136"/>
      <c r="K1365" s="136"/>
      <c r="L1365" s="136"/>
      <c r="M1365" s="136"/>
      <c r="N1365" s="136"/>
      <c r="O1365" s="142"/>
      <c r="P1365" s="140"/>
      <c r="Q1365" s="139"/>
      <c r="R1365" s="139"/>
      <c r="S1365" s="139"/>
      <c r="T1365" s="140" t="str">
        <f t="shared" si="7"/>
        <v/>
      </c>
      <c r="U1365" s="136"/>
      <c r="V1365" s="136"/>
      <c r="W1365" s="136"/>
      <c r="X1365" s="136"/>
      <c r="Y1365" s="145"/>
      <c r="Z1365" s="145"/>
    </row>
    <row r="1366">
      <c r="E1366" s="136"/>
      <c r="F1366" s="136"/>
      <c r="G1366" s="136"/>
      <c r="H1366" s="137"/>
      <c r="I1366" s="136"/>
      <c r="J1366" s="136"/>
      <c r="K1366" s="136"/>
      <c r="L1366" s="136"/>
      <c r="M1366" s="136"/>
      <c r="N1366" s="136"/>
      <c r="O1366" s="142"/>
      <c r="P1366" s="140"/>
      <c r="Q1366" s="139"/>
      <c r="R1366" s="139"/>
      <c r="S1366" s="139"/>
      <c r="T1366" s="140" t="str">
        <f t="shared" si="7"/>
        <v/>
      </c>
      <c r="U1366" s="136"/>
      <c r="V1366" s="136"/>
      <c r="W1366" s="136"/>
      <c r="X1366" s="136"/>
      <c r="Y1366" s="145"/>
      <c r="Z1366" s="145"/>
    </row>
    <row r="1367">
      <c r="E1367" s="136"/>
      <c r="F1367" s="136"/>
      <c r="G1367" s="136"/>
      <c r="H1367" s="137"/>
      <c r="I1367" s="136"/>
      <c r="J1367" s="136"/>
      <c r="K1367" s="136"/>
      <c r="L1367" s="136"/>
      <c r="M1367" s="136"/>
      <c r="N1367" s="136"/>
      <c r="O1367" s="142"/>
      <c r="P1367" s="140"/>
      <c r="Q1367" s="139"/>
      <c r="R1367" s="139"/>
      <c r="S1367" s="139"/>
      <c r="T1367" s="140" t="str">
        <f t="shared" si="7"/>
        <v/>
      </c>
      <c r="U1367" s="136"/>
      <c r="V1367" s="136"/>
      <c r="W1367" s="136"/>
      <c r="X1367" s="136"/>
      <c r="Y1367" s="145"/>
      <c r="Z1367" s="145"/>
    </row>
    <row r="1368">
      <c r="E1368" s="136"/>
      <c r="F1368" s="136"/>
      <c r="G1368" s="136"/>
      <c r="H1368" s="137"/>
      <c r="I1368" s="136"/>
      <c r="J1368" s="136"/>
      <c r="K1368" s="136"/>
      <c r="L1368" s="136"/>
      <c r="M1368" s="136"/>
      <c r="N1368" s="136"/>
      <c r="O1368" s="142"/>
      <c r="P1368" s="140"/>
      <c r="Q1368" s="139"/>
      <c r="R1368" s="139"/>
      <c r="S1368" s="139"/>
      <c r="T1368" s="140" t="str">
        <f t="shared" si="7"/>
        <v/>
      </c>
      <c r="U1368" s="136"/>
      <c r="V1368" s="136"/>
      <c r="W1368" s="136"/>
      <c r="X1368" s="136"/>
      <c r="Y1368" s="145"/>
      <c r="Z1368" s="145"/>
    </row>
    <row r="1369">
      <c r="E1369" s="136"/>
      <c r="F1369" s="136"/>
      <c r="G1369" s="136"/>
      <c r="H1369" s="137"/>
      <c r="I1369" s="136"/>
      <c r="J1369" s="136"/>
      <c r="K1369" s="136"/>
      <c r="L1369" s="136"/>
      <c r="M1369" s="136"/>
      <c r="N1369" s="136"/>
      <c r="O1369" s="142"/>
      <c r="P1369" s="140"/>
      <c r="Q1369" s="139"/>
      <c r="R1369" s="139"/>
      <c r="S1369" s="139"/>
      <c r="T1369" s="140" t="str">
        <f t="shared" si="7"/>
        <v/>
      </c>
      <c r="U1369" s="136"/>
      <c r="V1369" s="136"/>
      <c r="W1369" s="136"/>
      <c r="X1369" s="136"/>
      <c r="Y1369" s="145"/>
      <c r="Z1369" s="145"/>
    </row>
    <row r="1370">
      <c r="E1370" s="136"/>
      <c r="F1370" s="136"/>
      <c r="G1370" s="136"/>
      <c r="H1370" s="137"/>
      <c r="I1370" s="136"/>
      <c r="J1370" s="136"/>
      <c r="K1370" s="136"/>
      <c r="L1370" s="136"/>
      <c r="M1370" s="136"/>
      <c r="N1370" s="136"/>
      <c r="O1370" s="142"/>
      <c r="P1370" s="140"/>
      <c r="Q1370" s="139"/>
      <c r="R1370" s="139"/>
      <c r="S1370" s="139"/>
      <c r="T1370" s="140" t="str">
        <f t="shared" si="7"/>
        <v/>
      </c>
      <c r="U1370" s="136"/>
      <c r="V1370" s="136"/>
      <c r="W1370" s="136"/>
      <c r="X1370" s="136"/>
      <c r="Y1370" s="145"/>
      <c r="Z1370" s="145"/>
    </row>
    <row r="1371">
      <c r="E1371" s="136"/>
      <c r="F1371" s="136"/>
      <c r="G1371" s="136"/>
      <c r="H1371" s="137"/>
      <c r="I1371" s="136"/>
      <c r="J1371" s="136"/>
      <c r="K1371" s="136"/>
      <c r="L1371" s="136"/>
      <c r="M1371" s="136"/>
      <c r="N1371" s="136"/>
      <c r="O1371" s="142"/>
      <c r="P1371" s="140"/>
      <c r="Q1371" s="139"/>
      <c r="R1371" s="139"/>
      <c r="S1371" s="139"/>
      <c r="T1371" s="140" t="str">
        <f t="shared" si="7"/>
        <v/>
      </c>
      <c r="U1371" s="136"/>
      <c r="V1371" s="136"/>
      <c r="W1371" s="136"/>
      <c r="X1371" s="136"/>
      <c r="Y1371" s="145"/>
      <c r="Z1371" s="145"/>
    </row>
    <row r="1372">
      <c r="E1372" s="136"/>
      <c r="F1372" s="136"/>
      <c r="G1372" s="136"/>
      <c r="H1372" s="137"/>
      <c r="I1372" s="136"/>
      <c r="J1372" s="136"/>
      <c r="K1372" s="136"/>
      <c r="L1372" s="136"/>
      <c r="M1372" s="136"/>
      <c r="N1372" s="136"/>
      <c r="O1372" s="142"/>
      <c r="P1372" s="140"/>
      <c r="Q1372" s="139"/>
      <c r="R1372" s="139"/>
      <c r="S1372" s="139"/>
      <c r="T1372" s="140" t="str">
        <f t="shared" si="7"/>
        <v/>
      </c>
      <c r="U1372" s="136"/>
      <c r="V1372" s="136"/>
      <c r="W1372" s="136"/>
      <c r="X1372" s="136"/>
      <c r="Y1372" s="145"/>
      <c r="Z1372" s="145"/>
    </row>
    <row r="1373">
      <c r="E1373" s="136"/>
      <c r="F1373" s="136"/>
      <c r="G1373" s="136"/>
      <c r="H1373" s="137"/>
      <c r="I1373" s="136"/>
      <c r="J1373" s="136"/>
      <c r="K1373" s="136"/>
      <c r="L1373" s="136"/>
      <c r="M1373" s="136"/>
      <c r="N1373" s="136"/>
      <c r="O1373" s="142"/>
      <c r="P1373" s="140"/>
      <c r="Q1373" s="139"/>
      <c r="R1373" s="139"/>
      <c r="S1373" s="139"/>
      <c r="T1373" s="140" t="str">
        <f t="shared" si="7"/>
        <v/>
      </c>
      <c r="U1373" s="136"/>
      <c r="V1373" s="136"/>
      <c r="W1373" s="136"/>
      <c r="X1373" s="136"/>
      <c r="Y1373" s="145"/>
      <c r="Z1373" s="145"/>
    </row>
    <row r="1374">
      <c r="E1374" s="136"/>
      <c r="F1374" s="136"/>
      <c r="G1374" s="136"/>
      <c r="H1374" s="137"/>
      <c r="I1374" s="136"/>
      <c r="J1374" s="136"/>
      <c r="K1374" s="136"/>
      <c r="L1374" s="136"/>
      <c r="M1374" s="136"/>
      <c r="N1374" s="136"/>
      <c r="O1374" s="142"/>
      <c r="P1374" s="140"/>
      <c r="Q1374" s="139"/>
      <c r="R1374" s="139"/>
      <c r="S1374" s="139"/>
      <c r="T1374" s="140" t="str">
        <f t="shared" si="7"/>
        <v/>
      </c>
      <c r="U1374" s="136"/>
      <c r="V1374" s="136"/>
      <c r="W1374" s="136"/>
      <c r="X1374" s="136"/>
      <c r="Y1374" s="145"/>
      <c r="Z1374" s="145"/>
    </row>
    <row r="1375">
      <c r="E1375" s="136"/>
      <c r="F1375" s="136"/>
      <c r="G1375" s="136"/>
      <c r="H1375" s="137"/>
      <c r="I1375" s="136"/>
      <c r="J1375" s="136"/>
      <c r="K1375" s="136"/>
      <c r="L1375" s="136"/>
      <c r="M1375" s="136"/>
      <c r="N1375" s="136"/>
      <c r="O1375" s="142"/>
      <c r="P1375" s="140"/>
      <c r="Q1375" s="139"/>
      <c r="R1375" s="139"/>
      <c r="S1375" s="139"/>
      <c r="T1375" s="140" t="str">
        <f t="shared" si="7"/>
        <v/>
      </c>
      <c r="U1375" s="136"/>
      <c r="V1375" s="136"/>
      <c r="W1375" s="136"/>
      <c r="X1375" s="136"/>
      <c r="Y1375" s="145"/>
      <c r="Z1375" s="145"/>
    </row>
    <row r="1376">
      <c r="E1376" s="136"/>
      <c r="F1376" s="136"/>
      <c r="G1376" s="136"/>
      <c r="H1376" s="137"/>
      <c r="I1376" s="136"/>
      <c r="J1376" s="136"/>
      <c r="K1376" s="136"/>
      <c r="L1376" s="136"/>
      <c r="M1376" s="136"/>
      <c r="N1376" s="136"/>
      <c r="O1376" s="142"/>
      <c r="P1376" s="140"/>
      <c r="Q1376" s="139"/>
      <c r="R1376" s="139"/>
      <c r="S1376" s="139"/>
      <c r="T1376" s="140" t="str">
        <f t="shared" si="7"/>
        <v/>
      </c>
      <c r="U1376" s="136"/>
      <c r="V1376" s="136"/>
      <c r="W1376" s="136"/>
      <c r="X1376" s="136"/>
      <c r="Y1376" s="145"/>
      <c r="Z1376" s="145"/>
    </row>
    <row r="1377">
      <c r="E1377" s="136"/>
      <c r="F1377" s="136"/>
      <c r="G1377" s="136"/>
      <c r="H1377" s="137"/>
      <c r="I1377" s="136"/>
      <c r="J1377" s="136"/>
      <c r="K1377" s="136"/>
      <c r="L1377" s="136"/>
      <c r="M1377" s="136"/>
      <c r="N1377" s="136"/>
      <c r="O1377" s="142"/>
      <c r="P1377" s="140"/>
      <c r="Q1377" s="139"/>
      <c r="R1377" s="139"/>
      <c r="S1377" s="139"/>
      <c r="T1377" s="140" t="str">
        <f t="shared" si="7"/>
        <v/>
      </c>
      <c r="U1377" s="136"/>
      <c r="V1377" s="136"/>
      <c r="W1377" s="136"/>
      <c r="X1377" s="136"/>
      <c r="Y1377" s="145"/>
      <c r="Z1377" s="145"/>
    </row>
    <row r="1378">
      <c r="E1378" s="136"/>
      <c r="F1378" s="136"/>
      <c r="G1378" s="136"/>
      <c r="H1378" s="137"/>
      <c r="I1378" s="136"/>
      <c r="J1378" s="136"/>
      <c r="K1378" s="136"/>
      <c r="L1378" s="136"/>
      <c r="M1378" s="136"/>
      <c r="N1378" s="136"/>
      <c r="O1378" s="142"/>
      <c r="P1378" s="140"/>
      <c r="Q1378" s="139"/>
      <c r="R1378" s="139"/>
      <c r="S1378" s="139"/>
      <c r="T1378" s="140" t="str">
        <f t="shared" si="7"/>
        <v/>
      </c>
      <c r="U1378" s="136"/>
      <c r="V1378" s="136"/>
      <c r="W1378" s="136"/>
      <c r="X1378" s="136"/>
      <c r="Y1378" s="145"/>
      <c r="Z1378" s="145"/>
    </row>
    <row r="1379">
      <c r="E1379" s="136"/>
      <c r="F1379" s="136"/>
      <c r="G1379" s="136"/>
      <c r="H1379" s="137"/>
      <c r="I1379" s="136"/>
      <c r="J1379" s="136"/>
      <c r="K1379" s="136"/>
      <c r="L1379" s="136"/>
      <c r="M1379" s="136"/>
      <c r="N1379" s="136"/>
      <c r="O1379" s="142"/>
      <c r="P1379" s="140"/>
      <c r="Q1379" s="139"/>
      <c r="R1379" s="139"/>
      <c r="S1379" s="139"/>
      <c r="T1379" s="140" t="str">
        <f t="shared" si="7"/>
        <v/>
      </c>
      <c r="U1379" s="136"/>
      <c r="V1379" s="136"/>
      <c r="W1379" s="136"/>
      <c r="X1379" s="136"/>
      <c r="Y1379" s="145"/>
      <c r="Z1379" s="145"/>
    </row>
    <row r="1380">
      <c r="E1380" s="136"/>
      <c r="F1380" s="136"/>
      <c r="G1380" s="136"/>
      <c r="H1380" s="137"/>
      <c r="I1380" s="136"/>
      <c r="J1380" s="136"/>
      <c r="K1380" s="136"/>
      <c r="L1380" s="136"/>
      <c r="M1380" s="136"/>
      <c r="N1380" s="136"/>
      <c r="O1380" s="142"/>
      <c r="P1380" s="140"/>
      <c r="Q1380" s="139"/>
      <c r="R1380" s="139"/>
      <c r="S1380" s="139"/>
      <c r="T1380" s="140" t="str">
        <f t="shared" si="7"/>
        <v/>
      </c>
      <c r="U1380" s="136"/>
      <c r="V1380" s="136"/>
      <c r="W1380" s="136"/>
      <c r="X1380" s="136"/>
      <c r="Y1380" s="145"/>
      <c r="Z1380" s="145"/>
    </row>
    <row r="1381">
      <c r="E1381" s="136"/>
      <c r="F1381" s="136"/>
      <c r="G1381" s="136"/>
      <c r="H1381" s="137"/>
      <c r="I1381" s="136"/>
      <c r="J1381" s="136"/>
      <c r="K1381" s="136"/>
      <c r="L1381" s="136"/>
      <c r="M1381" s="136"/>
      <c r="N1381" s="136"/>
      <c r="O1381" s="142"/>
      <c r="P1381" s="140"/>
      <c r="Q1381" s="139"/>
      <c r="R1381" s="139"/>
      <c r="S1381" s="139"/>
      <c r="T1381" s="140" t="str">
        <f t="shared" si="7"/>
        <v/>
      </c>
      <c r="U1381" s="136"/>
      <c r="V1381" s="136"/>
      <c r="W1381" s="136"/>
      <c r="X1381" s="136"/>
      <c r="Y1381" s="145"/>
      <c r="Z1381" s="145"/>
    </row>
    <row r="1382">
      <c r="E1382" s="136"/>
      <c r="F1382" s="136"/>
      <c r="G1382" s="136"/>
      <c r="H1382" s="137"/>
      <c r="I1382" s="136"/>
      <c r="J1382" s="136"/>
      <c r="K1382" s="136"/>
      <c r="L1382" s="136"/>
      <c r="M1382" s="136"/>
      <c r="N1382" s="136"/>
      <c r="O1382" s="142"/>
      <c r="P1382" s="140"/>
      <c r="Q1382" s="139"/>
      <c r="R1382" s="139"/>
      <c r="S1382" s="139"/>
      <c r="T1382" s="140" t="str">
        <f t="shared" si="7"/>
        <v/>
      </c>
      <c r="U1382" s="136"/>
      <c r="V1382" s="136"/>
      <c r="W1382" s="136"/>
      <c r="X1382" s="136"/>
      <c r="Y1382" s="145"/>
      <c r="Z1382" s="145"/>
    </row>
    <row r="1383">
      <c r="E1383" s="136"/>
      <c r="F1383" s="136"/>
      <c r="G1383" s="136"/>
      <c r="H1383" s="137"/>
      <c r="I1383" s="136"/>
      <c r="J1383" s="136"/>
      <c r="K1383" s="136"/>
      <c r="L1383" s="136"/>
      <c r="M1383" s="136"/>
      <c r="N1383" s="136"/>
      <c r="O1383" s="142"/>
      <c r="P1383" s="140"/>
      <c r="Q1383" s="139"/>
      <c r="R1383" s="139"/>
      <c r="S1383" s="139"/>
      <c r="T1383" s="140" t="str">
        <f t="shared" si="7"/>
        <v/>
      </c>
      <c r="U1383" s="136"/>
      <c r="V1383" s="136"/>
      <c r="W1383" s="136"/>
      <c r="X1383" s="136"/>
      <c r="Y1383" s="145"/>
      <c r="Z1383" s="145"/>
    </row>
    <row r="1384">
      <c r="E1384" s="136"/>
      <c r="F1384" s="136"/>
      <c r="G1384" s="136"/>
      <c r="H1384" s="137"/>
      <c r="I1384" s="136"/>
      <c r="J1384" s="136"/>
      <c r="K1384" s="136"/>
      <c r="L1384" s="136"/>
      <c r="M1384" s="136"/>
      <c r="N1384" s="136"/>
      <c r="O1384" s="142"/>
      <c r="P1384" s="140"/>
      <c r="Q1384" s="139"/>
      <c r="R1384" s="139"/>
      <c r="S1384" s="139"/>
      <c r="T1384" s="140" t="str">
        <f t="shared" si="7"/>
        <v/>
      </c>
      <c r="U1384" s="136"/>
      <c r="V1384" s="136"/>
      <c r="W1384" s="136"/>
      <c r="X1384" s="136"/>
      <c r="Y1384" s="145"/>
      <c r="Z1384" s="145"/>
    </row>
    <row r="1385">
      <c r="E1385" s="136"/>
      <c r="F1385" s="136"/>
      <c r="G1385" s="136"/>
      <c r="H1385" s="137"/>
      <c r="I1385" s="136"/>
      <c r="J1385" s="136"/>
      <c r="K1385" s="136"/>
      <c r="L1385" s="136"/>
      <c r="M1385" s="136"/>
      <c r="N1385" s="136"/>
      <c r="O1385" s="142"/>
      <c r="P1385" s="140"/>
      <c r="Q1385" s="139"/>
      <c r="R1385" s="139"/>
      <c r="S1385" s="139"/>
      <c r="T1385" s="140" t="str">
        <f t="shared" si="7"/>
        <v/>
      </c>
      <c r="U1385" s="136"/>
      <c r="V1385" s="136"/>
      <c r="W1385" s="136"/>
      <c r="X1385" s="136"/>
      <c r="Y1385" s="145"/>
      <c r="Z1385" s="145"/>
    </row>
    <row r="1386">
      <c r="E1386" s="136"/>
      <c r="F1386" s="136"/>
      <c r="G1386" s="136"/>
      <c r="H1386" s="137"/>
      <c r="I1386" s="136"/>
      <c r="J1386" s="136"/>
      <c r="K1386" s="136"/>
      <c r="L1386" s="136"/>
      <c r="M1386" s="136"/>
      <c r="N1386" s="136"/>
      <c r="O1386" s="142"/>
      <c r="P1386" s="140"/>
      <c r="Q1386" s="139"/>
      <c r="R1386" s="139"/>
      <c r="S1386" s="139"/>
      <c r="T1386" s="140" t="str">
        <f t="shared" si="7"/>
        <v/>
      </c>
      <c r="U1386" s="136"/>
      <c r="V1386" s="136"/>
      <c r="W1386" s="136"/>
      <c r="X1386" s="136"/>
      <c r="Y1386" s="145"/>
      <c r="Z1386" s="145"/>
    </row>
    <row r="1387">
      <c r="E1387" s="136"/>
      <c r="F1387" s="136"/>
      <c r="G1387" s="136"/>
      <c r="H1387" s="137"/>
      <c r="I1387" s="136"/>
      <c r="J1387" s="136"/>
      <c r="K1387" s="136"/>
      <c r="L1387" s="136"/>
      <c r="M1387" s="136"/>
      <c r="N1387" s="136"/>
      <c r="O1387" s="142"/>
      <c r="P1387" s="140"/>
      <c r="Q1387" s="139"/>
      <c r="R1387" s="139"/>
      <c r="S1387" s="139"/>
      <c r="T1387" s="140" t="str">
        <f t="shared" si="7"/>
        <v/>
      </c>
      <c r="U1387" s="136"/>
      <c r="V1387" s="136"/>
      <c r="W1387" s="136"/>
      <c r="X1387" s="136"/>
      <c r="Y1387" s="145"/>
      <c r="Z1387" s="145"/>
    </row>
    <row r="1388">
      <c r="E1388" s="136"/>
      <c r="F1388" s="136"/>
      <c r="G1388" s="136"/>
      <c r="H1388" s="137"/>
      <c r="I1388" s="136"/>
      <c r="J1388" s="136"/>
      <c r="K1388" s="136"/>
      <c r="L1388" s="136"/>
      <c r="M1388" s="136"/>
      <c r="N1388" s="136"/>
      <c r="O1388" s="142"/>
      <c r="P1388" s="140"/>
      <c r="Q1388" s="139"/>
      <c r="R1388" s="139"/>
      <c r="S1388" s="139"/>
      <c r="T1388" s="140" t="str">
        <f t="shared" si="7"/>
        <v/>
      </c>
      <c r="U1388" s="136"/>
      <c r="V1388" s="136"/>
      <c r="W1388" s="136"/>
      <c r="X1388" s="136"/>
      <c r="Y1388" s="145"/>
      <c r="Z1388" s="145"/>
    </row>
    <row r="1389">
      <c r="E1389" s="136"/>
      <c r="F1389" s="136"/>
      <c r="G1389" s="136"/>
      <c r="H1389" s="137"/>
      <c r="I1389" s="136"/>
      <c r="J1389" s="136"/>
      <c r="K1389" s="136"/>
      <c r="L1389" s="136"/>
      <c r="M1389" s="136"/>
      <c r="N1389" s="136"/>
      <c r="O1389" s="142"/>
      <c r="P1389" s="140"/>
      <c r="Q1389" s="139"/>
      <c r="R1389" s="139"/>
      <c r="S1389" s="139"/>
      <c r="T1389" s="140" t="str">
        <f t="shared" si="7"/>
        <v/>
      </c>
      <c r="U1389" s="136"/>
      <c r="V1389" s="136"/>
      <c r="W1389" s="136"/>
      <c r="X1389" s="136"/>
      <c r="Y1389" s="145"/>
      <c r="Z1389" s="145"/>
    </row>
    <row r="1390">
      <c r="E1390" s="136"/>
      <c r="F1390" s="136"/>
      <c r="G1390" s="136"/>
      <c r="H1390" s="137"/>
      <c r="I1390" s="136"/>
      <c r="J1390" s="136"/>
      <c r="K1390" s="136"/>
      <c r="L1390" s="136"/>
      <c r="M1390" s="136"/>
      <c r="N1390" s="136"/>
      <c r="O1390" s="142"/>
      <c r="P1390" s="140"/>
      <c r="Q1390" s="139"/>
      <c r="R1390" s="139"/>
      <c r="S1390" s="139"/>
      <c r="T1390" s="140" t="str">
        <f t="shared" si="7"/>
        <v/>
      </c>
      <c r="U1390" s="136"/>
      <c r="V1390" s="136"/>
      <c r="W1390" s="136"/>
      <c r="X1390" s="136"/>
      <c r="Y1390" s="145"/>
      <c r="Z1390" s="145"/>
    </row>
    <row r="1391">
      <c r="E1391" s="136"/>
      <c r="F1391" s="136"/>
      <c r="G1391" s="136"/>
      <c r="H1391" s="137"/>
      <c r="I1391" s="136"/>
      <c r="J1391" s="136"/>
      <c r="K1391" s="136"/>
      <c r="L1391" s="136"/>
      <c r="M1391" s="136"/>
      <c r="N1391" s="136"/>
      <c r="O1391" s="142"/>
      <c r="P1391" s="140"/>
      <c r="Q1391" s="139"/>
      <c r="R1391" s="139"/>
      <c r="S1391" s="139"/>
      <c r="T1391" s="140" t="str">
        <f t="shared" si="7"/>
        <v/>
      </c>
      <c r="U1391" s="136"/>
      <c r="V1391" s="136"/>
      <c r="W1391" s="136"/>
      <c r="X1391" s="136"/>
      <c r="Y1391" s="145"/>
      <c r="Z1391" s="145"/>
    </row>
    <row r="1392">
      <c r="E1392" s="136"/>
      <c r="F1392" s="136"/>
      <c r="G1392" s="136"/>
      <c r="H1392" s="137"/>
      <c r="I1392" s="136"/>
      <c r="J1392" s="136"/>
      <c r="K1392" s="136"/>
      <c r="L1392" s="136"/>
      <c r="M1392" s="136"/>
      <c r="N1392" s="136"/>
      <c r="O1392" s="142"/>
      <c r="P1392" s="140"/>
      <c r="Q1392" s="139"/>
      <c r="R1392" s="139"/>
      <c r="S1392" s="139"/>
      <c r="T1392" s="140" t="str">
        <f t="shared" si="7"/>
        <v/>
      </c>
      <c r="U1392" s="136"/>
      <c r="V1392" s="136"/>
      <c r="W1392" s="136"/>
      <c r="X1392" s="136"/>
      <c r="Y1392" s="145"/>
      <c r="Z1392" s="145"/>
    </row>
    <row r="1393">
      <c r="E1393" s="136"/>
      <c r="F1393" s="136"/>
      <c r="G1393" s="136"/>
      <c r="H1393" s="137"/>
      <c r="I1393" s="136"/>
      <c r="J1393" s="136"/>
      <c r="K1393" s="136"/>
      <c r="L1393" s="136"/>
      <c r="M1393" s="136"/>
      <c r="N1393" s="136"/>
      <c r="O1393" s="142"/>
      <c r="P1393" s="140"/>
      <c r="Q1393" s="139"/>
      <c r="R1393" s="139"/>
      <c r="S1393" s="139"/>
      <c r="T1393" s="140" t="str">
        <f t="shared" si="7"/>
        <v/>
      </c>
      <c r="U1393" s="136"/>
      <c r="V1393" s="136"/>
      <c r="W1393" s="136"/>
      <c r="X1393" s="136"/>
      <c r="Y1393" s="145"/>
      <c r="Z1393" s="145"/>
    </row>
    <row r="1394">
      <c r="E1394" s="136"/>
      <c r="F1394" s="136"/>
      <c r="G1394" s="136"/>
      <c r="H1394" s="137"/>
      <c r="I1394" s="136"/>
      <c r="J1394" s="136"/>
      <c r="K1394" s="136"/>
      <c r="L1394" s="136"/>
      <c r="M1394" s="136"/>
      <c r="N1394" s="136"/>
      <c r="O1394" s="142"/>
      <c r="P1394" s="140"/>
      <c r="Q1394" s="139"/>
      <c r="R1394" s="139"/>
      <c r="S1394" s="139"/>
      <c r="T1394" s="140" t="str">
        <f t="shared" si="7"/>
        <v/>
      </c>
      <c r="U1394" s="136"/>
      <c r="V1394" s="136"/>
      <c r="W1394" s="136"/>
      <c r="X1394" s="136"/>
      <c r="Y1394" s="145"/>
      <c r="Z1394" s="145"/>
    </row>
    <row r="1395">
      <c r="E1395" s="136"/>
      <c r="F1395" s="136"/>
      <c r="G1395" s="136"/>
      <c r="H1395" s="137"/>
      <c r="I1395" s="136"/>
      <c r="J1395" s="136"/>
      <c r="K1395" s="136"/>
      <c r="L1395" s="136"/>
      <c r="M1395" s="136"/>
      <c r="N1395" s="136"/>
      <c r="O1395" s="142"/>
      <c r="P1395" s="140"/>
      <c r="Q1395" s="139"/>
      <c r="R1395" s="139"/>
      <c r="S1395" s="139"/>
      <c r="T1395" s="140" t="str">
        <f t="shared" si="7"/>
        <v/>
      </c>
      <c r="U1395" s="136"/>
      <c r="V1395" s="136"/>
      <c r="W1395" s="136"/>
      <c r="X1395" s="136"/>
      <c r="Y1395" s="145"/>
      <c r="Z1395" s="145"/>
    </row>
    <row r="1396">
      <c r="E1396" s="136"/>
      <c r="F1396" s="136"/>
      <c r="G1396" s="136"/>
      <c r="H1396" s="137"/>
      <c r="I1396" s="136"/>
      <c r="J1396" s="136"/>
      <c r="K1396" s="136"/>
      <c r="L1396" s="136"/>
      <c r="M1396" s="136"/>
      <c r="N1396" s="136"/>
      <c r="O1396" s="142"/>
      <c r="P1396" s="140"/>
      <c r="Q1396" s="139"/>
      <c r="R1396" s="139"/>
      <c r="S1396" s="139"/>
      <c r="T1396" s="140" t="str">
        <f t="shared" si="7"/>
        <v/>
      </c>
      <c r="U1396" s="136"/>
      <c r="V1396" s="136"/>
      <c r="W1396" s="136"/>
      <c r="X1396" s="136"/>
      <c r="Y1396" s="145"/>
      <c r="Z1396" s="145"/>
    </row>
    <row r="1397">
      <c r="E1397" s="136"/>
      <c r="F1397" s="136"/>
      <c r="G1397" s="136"/>
      <c r="H1397" s="137"/>
      <c r="I1397" s="136"/>
      <c r="J1397" s="136"/>
      <c r="K1397" s="136"/>
      <c r="L1397" s="136"/>
      <c r="M1397" s="136"/>
      <c r="N1397" s="136"/>
      <c r="O1397" s="142"/>
      <c r="P1397" s="140"/>
      <c r="Q1397" s="139"/>
      <c r="R1397" s="139"/>
      <c r="S1397" s="139"/>
      <c r="T1397" s="140" t="str">
        <f t="shared" si="7"/>
        <v/>
      </c>
      <c r="U1397" s="136"/>
      <c r="V1397" s="136"/>
      <c r="W1397" s="136"/>
      <c r="X1397" s="136"/>
      <c r="Y1397" s="145"/>
      <c r="Z1397" s="145"/>
    </row>
    <row r="1398">
      <c r="E1398" s="136"/>
      <c r="F1398" s="136"/>
      <c r="G1398" s="136"/>
      <c r="H1398" s="137"/>
      <c r="I1398" s="136"/>
      <c r="J1398" s="136"/>
      <c r="K1398" s="136"/>
      <c r="L1398" s="136"/>
      <c r="M1398" s="136"/>
      <c r="N1398" s="136"/>
      <c r="O1398" s="142"/>
      <c r="P1398" s="140"/>
      <c r="Q1398" s="139"/>
      <c r="R1398" s="139"/>
      <c r="S1398" s="139"/>
      <c r="T1398" s="140" t="str">
        <f t="shared" si="7"/>
        <v/>
      </c>
      <c r="U1398" s="136"/>
      <c r="V1398" s="136"/>
      <c r="W1398" s="136"/>
      <c r="X1398" s="136"/>
      <c r="Y1398" s="145"/>
      <c r="Z1398" s="145"/>
    </row>
    <row r="1399">
      <c r="E1399" s="136"/>
      <c r="F1399" s="136"/>
      <c r="G1399" s="136"/>
      <c r="H1399" s="137"/>
      <c r="I1399" s="136"/>
      <c r="J1399" s="136"/>
      <c r="K1399" s="136"/>
      <c r="L1399" s="136"/>
      <c r="M1399" s="136"/>
      <c r="N1399" s="136"/>
      <c r="O1399" s="142"/>
      <c r="P1399" s="140"/>
      <c r="Q1399" s="139"/>
      <c r="R1399" s="139"/>
      <c r="S1399" s="139"/>
      <c r="T1399" s="140" t="str">
        <f t="shared" si="7"/>
        <v/>
      </c>
      <c r="U1399" s="136"/>
      <c r="V1399" s="136"/>
      <c r="W1399" s="136"/>
      <c r="X1399" s="136"/>
      <c r="Y1399" s="145"/>
      <c r="Z1399" s="145"/>
    </row>
    <row r="1400">
      <c r="E1400" s="136"/>
      <c r="F1400" s="136"/>
      <c r="G1400" s="136"/>
      <c r="H1400" s="137"/>
      <c r="I1400" s="136"/>
      <c r="J1400" s="136"/>
      <c r="K1400" s="136"/>
      <c r="L1400" s="136"/>
      <c r="M1400" s="136"/>
      <c r="N1400" s="136"/>
      <c r="O1400" s="142"/>
      <c r="P1400" s="140"/>
      <c r="Q1400" s="139"/>
      <c r="R1400" s="139"/>
      <c r="S1400" s="139"/>
      <c r="T1400" s="140" t="str">
        <f t="shared" si="7"/>
        <v/>
      </c>
      <c r="U1400" s="136"/>
      <c r="V1400" s="136"/>
      <c r="W1400" s="136"/>
      <c r="X1400" s="136"/>
      <c r="Y1400" s="145"/>
      <c r="Z1400" s="145"/>
    </row>
    <row r="1401">
      <c r="E1401" s="136"/>
      <c r="F1401" s="136"/>
      <c r="G1401" s="136"/>
      <c r="H1401" s="137"/>
      <c r="I1401" s="136"/>
      <c r="J1401" s="136"/>
      <c r="K1401" s="136"/>
      <c r="L1401" s="136"/>
      <c r="M1401" s="136"/>
      <c r="N1401" s="136"/>
      <c r="O1401" s="142"/>
      <c r="P1401" s="140"/>
      <c r="Q1401" s="139"/>
      <c r="R1401" s="139"/>
      <c r="S1401" s="139"/>
      <c r="T1401" s="140" t="str">
        <f t="shared" si="7"/>
        <v/>
      </c>
      <c r="U1401" s="136"/>
      <c r="V1401" s="136"/>
      <c r="W1401" s="136"/>
      <c r="X1401" s="136"/>
      <c r="Y1401" s="145"/>
      <c r="Z1401" s="145"/>
    </row>
    <row r="1402">
      <c r="E1402" s="136"/>
      <c r="F1402" s="136"/>
      <c r="G1402" s="136"/>
      <c r="H1402" s="137"/>
      <c r="I1402" s="136"/>
      <c r="J1402" s="136"/>
      <c r="K1402" s="136"/>
      <c r="L1402" s="136"/>
      <c r="M1402" s="136"/>
      <c r="N1402" s="136"/>
      <c r="O1402" s="142"/>
      <c r="P1402" s="140"/>
      <c r="Q1402" s="139"/>
      <c r="R1402" s="139"/>
      <c r="S1402" s="139"/>
      <c r="T1402" s="140" t="str">
        <f t="shared" si="7"/>
        <v/>
      </c>
      <c r="U1402" s="136"/>
      <c r="V1402" s="136"/>
      <c r="W1402" s="136"/>
      <c r="X1402" s="136"/>
      <c r="Y1402" s="145"/>
      <c r="Z1402" s="145"/>
    </row>
    <row r="1403">
      <c r="E1403" s="136"/>
      <c r="F1403" s="136"/>
      <c r="G1403" s="136"/>
      <c r="H1403" s="137"/>
      <c r="I1403" s="136"/>
      <c r="J1403" s="136"/>
      <c r="K1403" s="136"/>
      <c r="L1403" s="136"/>
      <c r="M1403" s="136"/>
      <c r="N1403" s="136"/>
      <c r="O1403" s="142"/>
      <c r="P1403" s="140"/>
      <c r="Q1403" s="139"/>
      <c r="R1403" s="139"/>
      <c r="S1403" s="139"/>
      <c r="T1403" s="140" t="str">
        <f t="shared" si="7"/>
        <v/>
      </c>
      <c r="U1403" s="136"/>
      <c r="V1403" s="136"/>
      <c r="W1403" s="136"/>
      <c r="X1403" s="136"/>
      <c r="Y1403" s="145"/>
      <c r="Z1403" s="145"/>
    </row>
    <row r="1404">
      <c r="E1404" s="136"/>
      <c r="F1404" s="136"/>
      <c r="G1404" s="136"/>
      <c r="H1404" s="137"/>
      <c r="I1404" s="136"/>
      <c r="J1404" s="136"/>
      <c r="K1404" s="136"/>
      <c r="L1404" s="136"/>
      <c r="M1404" s="136"/>
      <c r="N1404" s="136"/>
      <c r="O1404" s="142"/>
      <c r="P1404" s="140"/>
      <c r="Q1404" s="139"/>
      <c r="R1404" s="139"/>
      <c r="S1404" s="139"/>
      <c r="T1404" s="140" t="str">
        <f t="shared" si="7"/>
        <v/>
      </c>
      <c r="U1404" s="136"/>
      <c r="V1404" s="136"/>
      <c r="W1404" s="136"/>
      <c r="X1404" s="136"/>
      <c r="Y1404" s="145"/>
      <c r="Z1404" s="145"/>
    </row>
    <row r="1405">
      <c r="E1405" s="136"/>
      <c r="F1405" s="136"/>
      <c r="G1405" s="136"/>
      <c r="H1405" s="137"/>
      <c r="I1405" s="136"/>
      <c r="J1405" s="136"/>
      <c r="K1405" s="136"/>
      <c r="L1405" s="136"/>
      <c r="M1405" s="136"/>
      <c r="N1405" s="136"/>
      <c r="O1405" s="142"/>
      <c r="P1405" s="140"/>
      <c r="Q1405" s="139"/>
      <c r="R1405" s="139"/>
      <c r="S1405" s="139"/>
      <c r="T1405" s="140" t="str">
        <f t="shared" si="7"/>
        <v/>
      </c>
      <c r="U1405" s="136"/>
      <c r="V1405" s="136"/>
      <c r="W1405" s="136"/>
      <c r="X1405" s="136"/>
      <c r="Y1405" s="145"/>
      <c r="Z1405" s="145"/>
    </row>
    <row r="1406">
      <c r="E1406" s="136"/>
      <c r="F1406" s="136"/>
      <c r="G1406" s="136"/>
      <c r="H1406" s="137"/>
      <c r="I1406" s="136"/>
      <c r="J1406" s="136"/>
      <c r="K1406" s="136"/>
      <c r="L1406" s="136"/>
      <c r="M1406" s="136"/>
      <c r="N1406" s="136"/>
      <c r="O1406" s="142"/>
      <c r="P1406" s="140"/>
      <c r="Q1406" s="139"/>
      <c r="R1406" s="139"/>
      <c r="S1406" s="139"/>
      <c r="T1406" s="140" t="str">
        <f t="shared" si="7"/>
        <v/>
      </c>
      <c r="U1406" s="136"/>
      <c r="V1406" s="136"/>
      <c r="W1406" s="136"/>
      <c r="X1406" s="136"/>
      <c r="Y1406" s="145"/>
      <c r="Z1406" s="145"/>
    </row>
    <row r="1407">
      <c r="E1407" s="136"/>
      <c r="F1407" s="136"/>
      <c r="G1407" s="136"/>
      <c r="H1407" s="137"/>
      <c r="I1407" s="136"/>
      <c r="J1407" s="136"/>
      <c r="K1407" s="136"/>
      <c r="L1407" s="136"/>
      <c r="M1407" s="136"/>
      <c r="N1407" s="136"/>
      <c r="O1407" s="142"/>
      <c r="P1407" s="140"/>
      <c r="Q1407" s="139"/>
      <c r="R1407" s="139"/>
      <c r="S1407" s="139"/>
      <c r="T1407" s="140" t="str">
        <f t="shared" si="7"/>
        <v/>
      </c>
      <c r="U1407" s="136"/>
      <c r="V1407" s="136"/>
      <c r="W1407" s="136"/>
      <c r="X1407" s="136"/>
      <c r="Y1407" s="145"/>
      <c r="Z1407" s="145"/>
    </row>
    <row r="1408">
      <c r="E1408" s="136"/>
      <c r="F1408" s="136"/>
      <c r="G1408" s="136"/>
      <c r="H1408" s="137"/>
      <c r="I1408" s="136"/>
      <c r="J1408" s="136"/>
      <c r="K1408" s="136"/>
      <c r="L1408" s="136"/>
      <c r="M1408" s="136"/>
      <c r="N1408" s="136"/>
      <c r="O1408" s="142"/>
      <c r="P1408" s="140"/>
      <c r="Q1408" s="139"/>
      <c r="R1408" s="139"/>
      <c r="S1408" s="139"/>
      <c r="T1408" s="140" t="str">
        <f t="shared" si="7"/>
        <v/>
      </c>
      <c r="U1408" s="136"/>
      <c r="V1408" s="136"/>
      <c r="W1408" s="136"/>
      <c r="X1408" s="136"/>
      <c r="Y1408" s="145"/>
      <c r="Z1408" s="145"/>
    </row>
    <row r="1409">
      <c r="E1409" s="136"/>
      <c r="F1409" s="136"/>
      <c r="G1409" s="136"/>
      <c r="H1409" s="137"/>
      <c r="I1409" s="136"/>
      <c r="J1409" s="136"/>
      <c r="K1409" s="136"/>
      <c r="L1409" s="136"/>
      <c r="M1409" s="136"/>
      <c r="N1409" s="136"/>
      <c r="O1409" s="142"/>
      <c r="P1409" s="140"/>
      <c r="Q1409" s="139"/>
      <c r="R1409" s="139"/>
      <c r="S1409" s="139"/>
      <c r="T1409" s="140" t="str">
        <f t="shared" si="7"/>
        <v/>
      </c>
      <c r="U1409" s="136"/>
      <c r="V1409" s="136"/>
      <c r="W1409" s="136"/>
      <c r="X1409" s="136"/>
      <c r="Y1409" s="145"/>
      <c r="Z1409" s="145"/>
    </row>
    <row r="1410">
      <c r="E1410" s="136"/>
      <c r="F1410" s="136"/>
      <c r="G1410" s="136"/>
      <c r="H1410" s="137"/>
      <c r="I1410" s="136"/>
      <c r="J1410" s="136"/>
      <c r="K1410" s="136"/>
      <c r="L1410" s="136"/>
      <c r="M1410" s="136"/>
      <c r="N1410" s="136"/>
      <c r="O1410" s="142"/>
      <c r="P1410" s="140"/>
      <c r="Q1410" s="139"/>
      <c r="R1410" s="139"/>
      <c r="S1410" s="139"/>
      <c r="T1410" s="140" t="str">
        <f t="shared" si="7"/>
        <v/>
      </c>
      <c r="U1410" s="136"/>
      <c r="V1410" s="136"/>
      <c r="W1410" s="136"/>
      <c r="X1410" s="136"/>
      <c r="Y1410" s="145"/>
      <c r="Z1410" s="145"/>
    </row>
    <row r="1411">
      <c r="E1411" s="136"/>
      <c r="F1411" s="136"/>
      <c r="G1411" s="136"/>
      <c r="H1411" s="137"/>
      <c r="I1411" s="136"/>
      <c r="J1411" s="136"/>
      <c r="K1411" s="136"/>
      <c r="L1411" s="136"/>
      <c r="M1411" s="136"/>
      <c r="N1411" s="136"/>
      <c r="O1411" s="142"/>
      <c r="P1411" s="140"/>
      <c r="Q1411" s="139"/>
      <c r="R1411" s="139"/>
      <c r="S1411" s="139"/>
      <c r="T1411" s="140" t="str">
        <f t="shared" si="7"/>
        <v/>
      </c>
      <c r="U1411" s="136"/>
      <c r="V1411" s="136"/>
      <c r="W1411" s="136"/>
      <c r="X1411" s="136"/>
      <c r="Y1411" s="145"/>
      <c r="Z1411" s="145"/>
    </row>
    <row r="1412">
      <c r="E1412" s="136"/>
      <c r="F1412" s="136"/>
      <c r="G1412" s="136"/>
      <c r="H1412" s="137"/>
      <c r="I1412" s="136"/>
      <c r="J1412" s="136"/>
      <c r="K1412" s="136"/>
      <c r="L1412" s="136"/>
      <c r="M1412" s="136"/>
      <c r="N1412" s="136"/>
      <c r="O1412" s="142"/>
      <c r="P1412" s="140"/>
      <c r="Q1412" s="139"/>
      <c r="R1412" s="139"/>
      <c r="S1412" s="139"/>
      <c r="T1412" s="140" t="str">
        <f t="shared" si="7"/>
        <v/>
      </c>
      <c r="U1412" s="136"/>
      <c r="V1412" s="136"/>
      <c r="W1412" s="136"/>
      <c r="X1412" s="136"/>
      <c r="Y1412" s="145"/>
      <c r="Z1412" s="145"/>
    </row>
    <row r="1413">
      <c r="E1413" s="136"/>
      <c r="F1413" s="136"/>
      <c r="G1413" s="136"/>
      <c r="H1413" s="137"/>
      <c r="I1413" s="136"/>
      <c r="J1413" s="136"/>
      <c r="K1413" s="136"/>
      <c r="L1413" s="136"/>
      <c r="M1413" s="136"/>
      <c r="N1413" s="136"/>
      <c r="O1413" s="142"/>
      <c r="P1413" s="140"/>
      <c r="Q1413" s="139"/>
      <c r="R1413" s="139"/>
      <c r="S1413" s="139"/>
      <c r="T1413" s="140" t="str">
        <f t="shared" si="7"/>
        <v/>
      </c>
      <c r="U1413" s="136"/>
      <c r="V1413" s="136"/>
      <c r="W1413" s="136"/>
      <c r="X1413" s="136"/>
      <c r="Y1413" s="145"/>
      <c r="Z1413" s="145"/>
    </row>
    <row r="1414">
      <c r="E1414" s="136"/>
      <c r="F1414" s="136"/>
      <c r="G1414" s="136"/>
      <c r="H1414" s="137"/>
      <c r="I1414" s="136"/>
      <c r="J1414" s="136"/>
      <c r="K1414" s="136"/>
      <c r="L1414" s="136"/>
      <c r="M1414" s="136"/>
      <c r="N1414" s="136"/>
      <c r="O1414" s="142"/>
      <c r="P1414" s="140"/>
      <c r="Q1414" s="139"/>
      <c r="R1414" s="139"/>
      <c r="S1414" s="139"/>
      <c r="T1414" s="140" t="str">
        <f t="shared" si="7"/>
        <v/>
      </c>
      <c r="U1414" s="136"/>
      <c r="V1414" s="136"/>
      <c r="W1414" s="136"/>
      <c r="X1414" s="136"/>
      <c r="Y1414" s="145"/>
      <c r="Z1414" s="145"/>
    </row>
    <row r="1415">
      <c r="E1415" s="136"/>
      <c r="F1415" s="136"/>
      <c r="G1415" s="136"/>
      <c r="H1415" s="137"/>
      <c r="I1415" s="136"/>
      <c r="J1415" s="136"/>
      <c r="K1415" s="136"/>
      <c r="L1415" s="136"/>
      <c r="M1415" s="136"/>
      <c r="N1415" s="136"/>
      <c r="O1415" s="142"/>
      <c r="P1415" s="140"/>
      <c r="Q1415" s="139"/>
      <c r="R1415" s="139"/>
      <c r="S1415" s="139"/>
      <c r="T1415" s="140" t="str">
        <f t="shared" si="7"/>
        <v/>
      </c>
      <c r="U1415" s="136"/>
      <c r="V1415" s="136"/>
      <c r="W1415" s="136"/>
      <c r="X1415" s="136"/>
      <c r="Y1415" s="145"/>
      <c r="Z1415" s="145"/>
    </row>
    <row r="1416">
      <c r="E1416" s="136"/>
      <c r="F1416" s="136"/>
      <c r="G1416" s="136"/>
      <c r="H1416" s="137"/>
      <c r="I1416" s="136"/>
      <c r="J1416" s="136"/>
      <c r="K1416" s="136"/>
      <c r="L1416" s="136"/>
      <c r="M1416" s="136"/>
      <c r="N1416" s="136"/>
      <c r="O1416" s="142"/>
      <c r="P1416" s="140"/>
      <c r="Q1416" s="139"/>
      <c r="R1416" s="139"/>
      <c r="S1416" s="139"/>
      <c r="T1416" s="140" t="str">
        <f t="shared" si="7"/>
        <v/>
      </c>
      <c r="U1416" s="136"/>
      <c r="V1416" s="136"/>
      <c r="W1416" s="136"/>
      <c r="X1416" s="136"/>
      <c r="Y1416" s="145"/>
      <c r="Z1416" s="145"/>
    </row>
    <row r="1417">
      <c r="E1417" s="136"/>
      <c r="F1417" s="136"/>
      <c r="G1417" s="136"/>
      <c r="H1417" s="137"/>
      <c r="I1417" s="136"/>
      <c r="J1417" s="136"/>
      <c r="K1417" s="136"/>
      <c r="L1417" s="136"/>
      <c r="M1417" s="136"/>
      <c r="N1417" s="136"/>
      <c r="O1417" s="142"/>
      <c r="P1417" s="140"/>
      <c r="Q1417" s="139"/>
      <c r="R1417" s="139"/>
      <c r="S1417" s="139"/>
      <c r="T1417" s="140" t="str">
        <f t="shared" si="7"/>
        <v/>
      </c>
      <c r="U1417" s="136"/>
      <c r="V1417" s="136"/>
      <c r="W1417" s="136"/>
      <c r="X1417" s="136"/>
      <c r="Y1417" s="145"/>
      <c r="Z1417" s="145"/>
    </row>
    <row r="1418">
      <c r="E1418" s="136"/>
      <c r="F1418" s="136"/>
      <c r="G1418" s="136"/>
      <c r="H1418" s="137"/>
      <c r="I1418" s="136"/>
      <c r="J1418" s="136"/>
      <c r="K1418" s="136"/>
      <c r="L1418" s="136"/>
      <c r="M1418" s="136"/>
      <c r="N1418" s="136"/>
      <c r="O1418" s="142"/>
      <c r="P1418" s="140"/>
      <c r="Q1418" s="139"/>
      <c r="R1418" s="139"/>
      <c r="S1418" s="139"/>
      <c r="T1418" s="140" t="str">
        <f t="shared" si="7"/>
        <v/>
      </c>
      <c r="U1418" s="136"/>
      <c r="V1418" s="136"/>
      <c r="W1418" s="136"/>
      <c r="X1418" s="136"/>
      <c r="Y1418" s="145"/>
      <c r="Z1418" s="145"/>
    </row>
    <row r="1419">
      <c r="E1419" s="136"/>
      <c r="F1419" s="136"/>
      <c r="G1419" s="136"/>
      <c r="H1419" s="137"/>
      <c r="I1419" s="136"/>
      <c r="J1419" s="136"/>
      <c r="K1419" s="136"/>
      <c r="L1419" s="136"/>
      <c r="M1419" s="136"/>
      <c r="N1419" s="136"/>
      <c r="O1419" s="142"/>
      <c r="P1419" s="140"/>
      <c r="Q1419" s="139"/>
      <c r="R1419" s="139"/>
      <c r="S1419" s="139"/>
      <c r="T1419" s="140" t="str">
        <f t="shared" si="7"/>
        <v/>
      </c>
      <c r="U1419" s="136"/>
      <c r="V1419" s="136"/>
      <c r="W1419" s="136"/>
      <c r="X1419" s="136"/>
      <c r="Y1419" s="145"/>
      <c r="Z1419" s="145"/>
    </row>
    <row r="1420">
      <c r="E1420" s="136"/>
      <c r="F1420" s="136"/>
      <c r="G1420" s="136"/>
      <c r="H1420" s="137"/>
      <c r="I1420" s="136"/>
      <c r="J1420" s="136"/>
      <c r="K1420" s="136"/>
      <c r="L1420" s="136"/>
      <c r="M1420" s="136"/>
      <c r="N1420" s="136"/>
      <c r="O1420" s="142"/>
      <c r="P1420" s="140"/>
      <c r="Q1420" s="139"/>
      <c r="R1420" s="139"/>
      <c r="S1420" s="139"/>
      <c r="T1420" s="140" t="str">
        <f t="shared" si="7"/>
        <v/>
      </c>
      <c r="U1420" s="136"/>
      <c r="V1420" s="136"/>
      <c r="W1420" s="136"/>
      <c r="X1420" s="136"/>
      <c r="Y1420" s="145"/>
      <c r="Z1420" s="145"/>
    </row>
    <row r="1421">
      <c r="E1421" s="136"/>
      <c r="F1421" s="136"/>
      <c r="G1421" s="136"/>
      <c r="H1421" s="137"/>
      <c r="I1421" s="136"/>
      <c r="J1421" s="136"/>
      <c r="K1421" s="136"/>
      <c r="L1421" s="136"/>
      <c r="M1421" s="136"/>
      <c r="N1421" s="136"/>
      <c r="O1421" s="142"/>
      <c r="P1421" s="140"/>
      <c r="Q1421" s="139"/>
      <c r="R1421" s="139"/>
      <c r="S1421" s="139"/>
      <c r="T1421" s="140" t="str">
        <f t="shared" si="7"/>
        <v/>
      </c>
      <c r="U1421" s="136"/>
      <c r="V1421" s="136"/>
      <c r="W1421" s="136"/>
      <c r="X1421" s="136"/>
      <c r="Y1421" s="145"/>
      <c r="Z1421" s="145"/>
    </row>
    <row r="1422">
      <c r="E1422" s="136"/>
      <c r="F1422" s="136"/>
      <c r="G1422" s="136"/>
      <c r="H1422" s="137"/>
      <c r="I1422" s="136"/>
      <c r="J1422" s="136"/>
      <c r="K1422" s="136"/>
      <c r="L1422" s="136"/>
      <c r="M1422" s="136"/>
      <c r="N1422" s="136"/>
      <c r="O1422" s="142"/>
      <c r="P1422" s="140"/>
      <c r="Q1422" s="139"/>
      <c r="R1422" s="139"/>
      <c r="S1422" s="139"/>
      <c r="T1422" s="140" t="str">
        <f t="shared" si="7"/>
        <v/>
      </c>
      <c r="U1422" s="136"/>
      <c r="V1422" s="136"/>
      <c r="W1422" s="136"/>
      <c r="X1422" s="136"/>
      <c r="Y1422" s="145"/>
      <c r="Z1422" s="145"/>
    </row>
    <row r="1423">
      <c r="E1423" s="136"/>
      <c r="F1423" s="136"/>
      <c r="G1423" s="136"/>
      <c r="H1423" s="137"/>
      <c r="I1423" s="136"/>
      <c r="J1423" s="136"/>
      <c r="K1423" s="136"/>
      <c r="L1423" s="136"/>
      <c r="M1423" s="136"/>
      <c r="N1423" s="136"/>
      <c r="O1423" s="142"/>
      <c r="P1423" s="140"/>
      <c r="Q1423" s="139"/>
      <c r="R1423" s="139"/>
      <c r="S1423" s="139"/>
      <c r="T1423" s="140" t="str">
        <f t="shared" si="7"/>
        <v/>
      </c>
      <c r="U1423" s="136"/>
      <c r="V1423" s="136"/>
      <c r="W1423" s="136"/>
      <c r="X1423" s="136"/>
      <c r="Y1423" s="145"/>
      <c r="Z1423" s="145"/>
    </row>
    <row r="1424">
      <c r="E1424" s="136"/>
      <c r="F1424" s="136"/>
      <c r="G1424" s="136"/>
      <c r="H1424" s="137"/>
      <c r="I1424" s="136"/>
      <c r="J1424" s="136"/>
      <c r="K1424" s="136"/>
      <c r="L1424" s="136"/>
      <c r="M1424" s="136"/>
      <c r="N1424" s="136"/>
      <c r="O1424" s="142"/>
      <c r="P1424" s="140"/>
      <c r="Q1424" s="139"/>
      <c r="R1424" s="139"/>
      <c r="S1424" s="139"/>
      <c r="T1424" s="140" t="str">
        <f t="shared" si="7"/>
        <v/>
      </c>
      <c r="U1424" s="136"/>
      <c r="V1424" s="136"/>
      <c r="W1424" s="136"/>
      <c r="X1424" s="136"/>
      <c r="Y1424" s="145"/>
      <c r="Z1424" s="145"/>
    </row>
    <row r="1425">
      <c r="E1425" s="136"/>
      <c r="F1425" s="136"/>
      <c r="G1425" s="136"/>
      <c r="H1425" s="137"/>
      <c r="I1425" s="136"/>
      <c r="J1425" s="136"/>
      <c r="K1425" s="136"/>
      <c r="L1425" s="136"/>
      <c r="M1425" s="136"/>
      <c r="N1425" s="136"/>
      <c r="O1425" s="142"/>
      <c r="P1425" s="140"/>
      <c r="Q1425" s="139"/>
      <c r="R1425" s="139"/>
      <c r="S1425" s="139"/>
      <c r="T1425" s="140" t="str">
        <f t="shared" si="7"/>
        <v/>
      </c>
      <c r="U1425" s="136"/>
      <c r="V1425" s="136"/>
      <c r="W1425" s="136"/>
      <c r="X1425" s="136"/>
      <c r="Y1425" s="145"/>
      <c r="Z1425" s="145"/>
    </row>
    <row r="1426">
      <c r="E1426" s="136"/>
      <c r="F1426" s="136"/>
      <c r="G1426" s="136"/>
      <c r="H1426" s="137"/>
      <c r="I1426" s="136"/>
      <c r="J1426" s="136"/>
      <c r="K1426" s="136"/>
      <c r="L1426" s="136"/>
      <c r="M1426" s="136"/>
      <c r="N1426" s="136"/>
      <c r="O1426" s="142"/>
      <c r="P1426" s="140"/>
      <c r="Q1426" s="139"/>
      <c r="R1426" s="139"/>
      <c r="S1426" s="139"/>
      <c r="T1426" s="140" t="str">
        <f t="shared" si="7"/>
        <v/>
      </c>
      <c r="U1426" s="136"/>
      <c r="V1426" s="136"/>
      <c r="W1426" s="136"/>
      <c r="X1426" s="136"/>
      <c r="Y1426" s="145"/>
      <c r="Z1426" s="145"/>
    </row>
    <row r="1427">
      <c r="E1427" s="136"/>
      <c r="F1427" s="136"/>
      <c r="G1427" s="136"/>
      <c r="H1427" s="137"/>
      <c r="I1427" s="136"/>
      <c r="J1427" s="136"/>
      <c r="K1427" s="136"/>
      <c r="L1427" s="136"/>
      <c r="M1427" s="136"/>
      <c r="N1427" s="136"/>
      <c r="O1427" s="142"/>
      <c r="P1427" s="140"/>
      <c r="Q1427" s="139"/>
      <c r="R1427" s="139"/>
      <c r="S1427" s="139"/>
      <c r="T1427" s="140" t="str">
        <f t="shared" si="7"/>
        <v/>
      </c>
      <c r="U1427" s="136"/>
      <c r="V1427" s="136"/>
      <c r="W1427" s="136"/>
      <c r="X1427" s="136"/>
      <c r="Y1427" s="145"/>
      <c r="Z1427" s="145"/>
    </row>
    <row r="1428">
      <c r="E1428" s="136"/>
      <c r="F1428" s="136"/>
      <c r="G1428" s="136"/>
      <c r="H1428" s="137"/>
      <c r="I1428" s="136"/>
      <c r="J1428" s="136"/>
      <c r="K1428" s="136"/>
      <c r="L1428" s="136"/>
      <c r="M1428" s="136"/>
      <c r="N1428" s="136"/>
      <c r="O1428" s="142"/>
      <c r="P1428" s="140"/>
      <c r="Q1428" s="139"/>
      <c r="R1428" s="139"/>
      <c r="S1428" s="139"/>
      <c r="T1428" s="140" t="str">
        <f t="shared" si="7"/>
        <v/>
      </c>
      <c r="U1428" s="136"/>
      <c r="V1428" s="136"/>
      <c r="W1428" s="136"/>
      <c r="X1428" s="136"/>
      <c r="Y1428" s="145"/>
      <c r="Z1428" s="145"/>
    </row>
    <row r="1429">
      <c r="E1429" s="136"/>
      <c r="F1429" s="136"/>
      <c r="G1429" s="136"/>
      <c r="H1429" s="137"/>
      <c r="I1429" s="136"/>
      <c r="J1429" s="136"/>
      <c r="K1429" s="136"/>
      <c r="L1429" s="136"/>
      <c r="M1429" s="136"/>
      <c r="N1429" s="136"/>
      <c r="O1429" s="142"/>
      <c r="P1429" s="140"/>
      <c r="Q1429" s="139"/>
      <c r="R1429" s="139"/>
      <c r="S1429" s="139"/>
      <c r="T1429" s="140" t="str">
        <f t="shared" si="7"/>
        <v/>
      </c>
      <c r="U1429" s="136"/>
      <c r="V1429" s="136"/>
      <c r="W1429" s="136"/>
      <c r="X1429" s="136"/>
      <c r="Y1429" s="145"/>
      <c r="Z1429" s="145"/>
    </row>
    <row r="1430">
      <c r="E1430" s="136"/>
      <c r="F1430" s="136"/>
      <c r="G1430" s="136"/>
      <c r="H1430" s="137"/>
      <c r="I1430" s="136"/>
      <c r="J1430" s="136"/>
      <c r="K1430" s="136"/>
      <c r="L1430" s="136"/>
      <c r="M1430" s="136"/>
      <c r="N1430" s="136"/>
      <c r="O1430" s="142"/>
      <c r="P1430" s="140"/>
      <c r="Q1430" s="139"/>
      <c r="R1430" s="139"/>
      <c r="S1430" s="139"/>
      <c r="T1430" s="140" t="str">
        <f t="shared" si="7"/>
        <v/>
      </c>
      <c r="U1430" s="136"/>
      <c r="V1430" s="136"/>
      <c r="W1430" s="136"/>
      <c r="X1430" s="136"/>
      <c r="Y1430" s="145"/>
      <c r="Z1430" s="145"/>
    </row>
    <row r="1431">
      <c r="E1431" s="136"/>
      <c r="F1431" s="136"/>
      <c r="G1431" s="136"/>
      <c r="H1431" s="137"/>
      <c r="I1431" s="136"/>
      <c r="J1431" s="136"/>
      <c r="K1431" s="136"/>
      <c r="L1431" s="136"/>
      <c r="M1431" s="136"/>
      <c r="N1431" s="136"/>
      <c r="O1431" s="142"/>
      <c r="P1431" s="140"/>
      <c r="Q1431" s="139"/>
      <c r="R1431" s="139"/>
      <c r="S1431" s="139"/>
      <c r="T1431" s="140" t="str">
        <f t="shared" si="7"/>
        <v/>
      </c>
      <c r="U1431" s="136"/>
      <c r="V1431" s="136"/>
      <c r="W1431" s="136"/>
      <c r="X1431" s="136"/>
      <c r="Y1431" s="145"/>
      <c r="Z1431" s="145"/>
    </row>
    <row r="1432">
      <c r="E1432" s="136"/>
      <c r="F1432" s="136"/>
      <c r="G1432" s="136"/>
      <c r="H1432" s="137"/>
      <c r="I1432" s="136"/>
      <c r="J1432" s="136"/>
      <c r="K1432" s="136"/>
      <c r="L1432" s="136"/>
      <c r="M1432" s="136"/>
      <c r="N1432" s="136"/>
      <c r="O1432" s="142"/>
      <c r="P1432" s="140"/>
      <c r="Q1432" s="139"/>
      <c r="R1432" s="139"/>
      <c r="S1432" s="139"/>
      <c r="T1432" s="140" t="str">
        <f t="shared" si="7"/>
        <v/>
      </c>
      <c r="U1432" s="136"/>
      <c r="V1432" s="136"/>
      <c r="W1432" s="136"/>
      <c r="X1432" s="136"/>
      <c r="Y1432" s="145"/>
      <c r="Z1432" s="145"/>
    </row>
    <row r="1433">
      <c r="E1433" s="136"/>
      <c r="F1433" s="136"/>
      <c r="G1433" s="136"/>
      <c r="H1433" s="137"/>
      <c r="I1433" s="136"/>
      <c r="J1433" s="136"/>
      <c r="K1433" s="136"/>
      <c r="L1433" s="136"/>
      <c r="M1433" s="136"/>
      <c r="N1433" s="136"/>
      <c r="O1433" s="142"/>
      <c r="P1433" s="140"/>
      <c r="Q1433" s="139"/>
      <c r="R1433" s="139"/>
      <c r="S1433" s="139"/>
      <c r="T1433" s="140" t="str">
        <f t="shared" si="7"/>
        <v/>
      </c>
      <c r="U1433" s="136"/>
      <c r="V1433" s="136"/>
      <c r="W1433" s="136"/>
      <c r="X1433" s="136"/>
      <c r="Y1433" s="145"/>
      <c r="Z1433" s="145"/>
    </row>
    <row r="1434">
      <c r="E1434" s="136"/>
      <c r="F1434" s="136"/>
      <c r="G1434" s="136"/>
      <c r="H1434" s="137"/>
      <c r="I1434" s="136"/>
      <c r="J1434" s="136"/>
      <c r="K1434" s="136"/>
      <c r="L1434" s="136"/>
      <c r="M1434" s="136"/>
      <c r="N1434" s="136"/>
      <c r="O1434" s="142"/>
      <c r="P1434" s="140"/>
      <c r="Q1434" s="139"/>
      <c r="R1434" s="139"/>
      <c r="S1434" s="139"/>
      <c r="T1434" s="140" t="str">
        <f t="shared" si="7"/>
        <v/>
      </c>
      <c r="U1434" s="136"/>
      <c r="V1434" s="136"/>
      <c r="W1434" s="136"/>
      <c r="X1434" s="136"/>
      <c r="Y1434" s="145"/>
      <c r="Z1434" s="145"/>
    </row>
    <row r="1435">
      <c r="E1435" s="136"/>
      <c r="F1435" s="136"/>
      <c r="G1435" s="136"/>
      <c r="H1435" s="137"/>
      <c r="I1435" s="136"/>
      <c r="J1435" s="136"/>
      <c r="K1435" s="136"/>
      <c r="L1435" s="136"/>
      <c r="M1435" s="136"/>
      <c r="N1435" s="136"/>
      <c r="O1435" s="142"/>
      <c r="P1435" s="140"/>
      <c r="Q1435" s="139"/>
      <c r="R1435" s="139"/>
      <c r="S1435" s="139"/>
      <c r="T1435" s="140" t="str">
        <f t="shared" si="7"/>
        <v/>
      </c>
      <c r="U1435" s="136"/>
      <c r="V1435" s="136"/>
      <c r="W1435" s="136"/>
      <c r="X1435" s="136"/>
      <c r="Y1435" s="145"/>
      <c r="Z1435" s="145"/>
    </row>
    <row r="1436">
      <c r="E1436" s="136"/>
      <c r="F1436" s="136"/>
      <c r="G1436" s="136"/>
      <c r="H1436" s="137"/>
      <c r="I1436" s="136"/>
      <c r="J1436" s="136"/>
      <c r="K1436" s="136"/>
      <c r="L1436" s="136"/>
      <c r="M1436" s="136"/>
      <c r="N1436" s="136"/>
      <c r="O1436" s="142"/>
      <c r="P1436" s="140"/>
      <c r="Q1436" s="139"/>
      <c r="R1436" s="139"/>
      <c r="S1436" s="139"/>
      <c r="T1436" s="140" t="str">
        <f t="shared" si="7"/>
        <v/>
      </c>
      <c r="U1436" s="136"/>
      <c r="V1436" s="136"/>
      <c r="W1436" s="136"/>
      <c r="X1436" s="136"/>
      <c r="Y1436" s="145"/>
      <c r="Z1436" s="145"/>
    </row>
    <row r="1437">
      <c r="E1437" s="136"/>
      <c r="F1437" s="136"/>
      <c r="G1437" s="136"/>
      <c r="H1437" s="137"/>
      <c r="I1437" s="136"/>
      <c r="J1437" s="136"/>
      <c r="K1437" s="136"/>
      <c r="L1437" s="136"/>
      <c r="M1437" s="136"/>
      <c r="N1437" s="136"/>
      <c r="O1437" s="142"/>
      <c r="P1437" s="140"/>
      <c r="Q1437" s="139"/>
      <c r="R1437" s="139"/>
      <c r="S1437" s="139"/>
      <c r="T1437" s="140" t="str">
        <f t="shared" si="7"/>
        <v/>
      </c>
      <c r="U1437" s="136"/>
      <c r="V1437" s="136"/>
      <c r="W1437" s="136"/>
      <c r="X1437" s="136"/>
      <c r="Y1437" s="145"/>
      <c r="Z1437" s="145"/>
    </row>
    <row r="1438">
      <c r="E1438" s="136"/>
      <c r="F1438" s="136"/>
      <c r="G1438" s="136"/>
      <c r="H1438" s="137"/>
      <c r="I1438" s="136"/>
      <c r="J1438" s="136"/>
      <c r="K1438" s="136"/>
      <c r="L1438" s="136"/>
      <c r="M1438" s="136"/>
      <c r="N1438" s="136"/>
      <c r="O1438" s="142"/>
      <c r="P1438" s="140"/>
      <c r="Q1438" s="139"/>
      <c r="R1438" s="139"/>
      <c r="S1438" s="139"/>
      <c r="T1438" s="140" t="str">
        <f t="shared" si="7"/>
        <v/>
      </c>
      <c r="U1438" s="136"/>
      <c r="V1438" s="136"/>
      <c r="W1438" s="136"/>
      <c r="X1438" s="136"/>
      <c r="Y1438" s="145"/>
      <c r="Z1438" s="145"/>
    </row>
    <row r="1439">
      <c r="E1439" s="136"/>
      <c r="F1439" s="136"/>
      <c r="G1439" s="136"/>
      <c r="H1439" s="137"/>
      <c r="I1439" s="136"/>
      <c r="J1439" s="136"/>
      <c r="K1439" s="136"/>
      <c r="L1439" s="136"/>
      <c r="M1439" s="136"/>
      <c r="N1439" s="136"/>
      <c r="O1439" s="142"/>
      <c r="P1439" s="140"/>
      <c r="Q1439" s="139"/>
      <c r="R1439" s="139"/>
      <c r="S1439" s="139"/>
      <c r="T1439" s="140" t="str">
        <f t="shared" si="7"/>
        <v/>
      </c>
      <c r="U1439" s="136"/>
      <c r="V1439" s="136"/>
      <c r="W1439" s="136"/>
      <c r="X1439" s="136"/>
      <c r="Y1439" s="145"/>
      <c r="Z1439" s="145"/>
    </row>
    <row r="1440">
      <c r="E1440" s="136"/>
      <c r="F1440" s="136"/>
      <c r="G1440" s="136"/>
      <c r="H1440" s="137"/>
      <c r="I1440" s="136"/>
      <c r="J1440" s="136"/>
      <c r="K1440" s="136"/>
      <c r="L1440" s="136"/>
      <c r="M1440" s="136"/>
      <c r="N1440" s="136"/>
      <c r="O1440" s="142"/>
      <c r="P1440" s="140"/>
      <c r="Q1440" s="139"/>
      <c r="R1440" s="139"/>
      <c r="S1440" s="139"/>
      <c r="T1440" s="140" t="str">
        <f t="shared" si="7"/>
        <v/>
      </c>
      <c r="U1440" s="136"/>
      <c r="V1440" s="136"/>
      <c r="W1440" s="136"/>
      <c r="X1440" s="136"/>
      <c r="Y1440" s="145"/>
      <c r="Z1440" s="145"/>
    </row>
    <row r="1441">
      <c r="E1441" s="136"/>
      <c r="F1441" s="136"/>
      <c r="G1441" s="136"/>
      <c r="H1441" s="137"/>
      <c r="I1441" s="136"/>
      <c r="J1441" s="136"/>
      <c r="K1441" s="136"/>
      <c r="L1441" s="136"/>
      <c r="M1441" s="136"/>
      <c r="N1441" s="136"/>
      <c r="O1441" s="142"/>
      <c r="P1441" s="140"/>
      <c r="Q1441" s="139"/>
      <c r="R1441" s="139"/>
      <c r="S1441" s="139"/>
      <c r="T1441" s="140" t="str">
        <f t="shared" si="7"/>
        <v/>
      </c>
      <c r="U1441" s="136"/>
      <c r="V1441" s="136"/>
      <c r="W1441" s="136"/>
      <c r="X1441" s="136"/>
      <c r="Y1441" s="145"/>
      <c r="Z1441" s="145"/>
    </row>
    <row r="1442">
      <c r="E1442" s="136"/>
      <c r="F1442" s="136"/>
      <c r="G1442" s="136"/>
      <c r="H1442" s="137"/>
      <c r="I1442" s="136"/>
      <c r="J1442" s="136"/>
      <c r="K1442" s="136"/>
      <c r="L1442" s="136"/>
      <c r="M1442" s="136"/>
      <c r="N1442" s="136"/>
      <c r="O1442" s="142"/>
      <c r="P1442" s="140"/>
      <c r="Q1442" s="139"/>
      <c r="R1442" s="139"/>
      <c r="S1442" s="139"/>
      <c r="T1442" s="140" t="str">
        <f t="shared" si="7"/>
        <v/>
      </c>
      <c r="U1442" s="136"/>
      <c r="V1442" s="136"/>
      <c r="W1442" s="136"/>
      <c r="X1442" s="136"/>
      <c r="Y1442" s="145"/>
      <c r="Z1442" s="145"/>
    </row>
    <row r="1443">
      <c r="E1443" s="136"/>
      <c r="F1443" s="136"/>
      <c r="G1443" s="136"/>
      <c r="H1443" s="137"/>
      <c r="I1443" s="136"/>
      <c r="J1443" s="136"/>
      <c r="K1443" s="136"/>
      <c r="L1443" s="136"/>
      <c r="M1443" s="136"/>
      <c r="N1443" s="136"/>
      <c r="O1443" s="142"/>
      <c r="P1443" s="140"/>
      <c r="Q1443" s="139"/>
      <c r="R1443" s="139"/>
      <c r="S1443" s="139"/>
      <c r="T1443" s="140" t="str">
        <f t="shared" si="7"/>
        <v/>
      </c>
      <c r="U1443" s="136"/>
      <c r="V1443" s="136"/>
      <c r="W1443" s="136"/>
      <c r="X1443" s="136"/>
      <c r="Y1443" s="145"/>
      <c r="Z1443" s="145"/>
    </row>
    <row r="1444">
      <c r="E1444" s="136"/>
      <c r="F1444" s="136"/>
      <c r="G1444" s="136"/>
      <c r="H1444" s="137"/>
      <c r="I1444" s="136"/>
      <c r="J1444" s="136"/>
      <c r="K1444" s="136"/>
      <c r="L1444" s="136"/>
      <c r="M1444" s="136"/>
      <c r="N1444" s="136"/>
      <c r="O1444" s="142"/>
      <c r="P1444" s="140"/>
      <c r="Q1444" s="139"/>
      <c r="R1444" s="139"/>
      <c r="S1444" s="139"/>
      <c r="T1444" s="140" t="str">
        <f t="shared" si="7"/>
        <v/>
      </c>
      <c r="U1444" s="136"/>
      <c r="V1444" s="136"/>
      <c r="W1444" s="136"/>
      <c r="X1444" s="136"/>
      <c r="Y1444" s="145"/>
      <c r="Z1444" s="145"/>
    </row>
    <row r="1445">
      <c r="E1445" s="136"/>
      <c r="F1445" s="136"/>
      <c r="G1445" s="136"/>
      <c r="H1445" s="137"/>
      <c r="I1445" s="136"/>
      <c r="J1445" s="136"/>
      <c r="K1445" s="136"/>
      <c r="L1445" s="136"/>
      <c r="M1445" s="136"/>
      <c r="N1445" s="136"/>
      <c r="O1445" s="142"/>
      <c r="P1445" s="140"/>
      <c r="Q1445" s="139"/>
      <c r="R1445" s="139"/>
      <c r="S1445" s="139"/>
      <c r="T1445" s="140" t="str">
        <f t="shared" si="7"/>
        <v/>
      </c>
      <c r="U1445" s="136"/>
      <c r="V1445" s="136"/>
      <c r="W1445" s="136"/>
      <c r="X1445" s="136"/>
      <c r="Y1445" s="145"/>
      <c r="Z1445" s="145"/>
    </row>
    <row r="1446">
      <c r="E1446" s="136"/>
      <c r="F1446" s="136"/>
      <c r="G1446" s="136"/>
      <c r="H1446" s="137"/>
      <c r="I1446" s="136"/>
      <c r="J1446" s="136"/>
      <c r="K1446" s="136"/>
      <c r="L1446" s="136"/>
      <c r="M1446" s="136"/>
      <c r="N1446" s="136"/>
      <c r="O1446" s="142"/>
      <c r="P1446" s="140"/>
      <c r="Q1446" s="139"/>
      <c r="R1446" s="139"/>
      <c r="S1446" s="139"/>
      <c r="T1446" s="140" t="str">
        <f t="shared" si="7"/>
        <v/>
      </c>
      <c r="U1446" s="136"/>
      <c r="V1446" s="136"/>
      <c r="W1446" s="136"/>
      <c r="X1446" s="136"/>
      <c r="Y1446" s="145"/>
      <c r="Z1446" s="145"/>
    </row>
    <row r="1447">
      <c r="E1447" s="136"/>
      <c r="F1447" s="136"/>
      <c r="G1447" s="136"/>
      <c r="H1447" s="137"/>
      <c r="I1447" s="136"/>
      <c r="J1447" s="136"/>
      <c r="K1447" s="136"/>
      <c r="L1447" s="136"/>
      <c r="M1447" s="136"/>
      <c r="N1447" s="136"/>
      <c r="O1447" s="142"/>
      <c r="P1447" s="140"/>
      <c r="Q1447" s="139"/>
      <c r="R1447" s="139"/>
      <c r="S1447" s="139"/>
      <c r="T1447" s="140" t="str">
        <f t="shared" si="7"/>
        <v/>
      </c>
      <c r="U1447" s="136"/>
      <c r="V1447" s="136"/>
      <c r="W1447" s="136"/>
      <c r="X1447" s="136"/>
      <c r="Y1447" s="145"/>
      <c r="Z1447" s="145"/>
    </row>
    <row r="1448">
      <c r="E1448" s="136"/>
      <c r="F1448" s="136"/>
      <c r="G1448" s="136"/>
      <c r="H1448" s="137"/>
      <c r="I1448" s="136"/>
      <c r="J1448" s="136"/>
      <c r="K1448" s="136"/>
      <c r="L1448" s="136"/>
      <c r="M1448" s="136"/>
      <c r="N1448" s="136"/>
      <c r="O1448" s="142"/>
      <c r="P1448" s="140"/>
      <c r="Q1448" s="139"/>
      <c r="R1448" s="139"/>
      <c r="S1448" s="139"/>
      <c r="T1448" s="140" t="str">
        <f t="shared" si="7"/>
        <v/>
      </c>
      <c r="U1448" s="136"/>
      <c r="V1448" s="136"/>
      <c r="W1448" s="136"/>
      <c r="X1448" s="136"/>
      <c r="Y1448" s="145"/>
      <c r="Z1448" s="145"/>
    </row>
    <row r="1449">
      <c r="E1449" s="136"/>
      <c r="F1449" s="136"/>
      <c r="G1449" s="136"/>
      <c r="H1449" s="137"/>
      <c r="I1449" s="136"/>
      <c r="J1449" s="136"/>
      <c r="K1449" s="136"/>
      <c r="L1449" s="136"/>
      <c r="M1449" s="136"/>
      <c r="N1449" s="136"/>
      <c r="O1449" s="142"/>
      <c r="P1449" s="140"/>
      <c r="Q1449" s="139"/>
      <c r="R1449" s="139"/>
      <c r="S1449" s="139"/>
      <c r="T1449" s="140" t="str">
        <f t="shared" si="7"/>
        <v/>
      </c>
      <c r="U1449" s="136"/>
      <c r="V1449" s="136"/>
      <c r="W1449" s="136"/>
      <c r="X1449" s="136"/>
      <c r="Y1449" s="145"/>
      <c r="Z1449" s="145"/>
    </row>
    <row r="1450">
      <c r="E1450" s="136"/>
      <c r="F1450" s="136"/>
      <c r="G1450" s="136"/>
      <c r="H1450" s="137"/>
      <c r="I1450" s="136"/>
      <c r="J1450" s="136"/>
      <c r="K1450" s="136"/>
      <c r="L1450" s="136"/>
      <c r="M1450" s="136"/>
      <c r="N1450" s="136"/>
      <c r="O1450" s="142"/>
      <c r="P1450" s="140"/>
      <c r="Q1450" s="139"/>
      <c r="R1450" s="139"/>
      <c r="S1450" s="139"/>
      <c r="T1450" s="140" t="str">
        <f t="shared" si="7"/>
        <v/>
      </c>
      <c r="U1450" s="136"/>
      <c r="V1450" s="136"/>
      <c r="W1450" s="136"/>
      <c r="X1450" s="136"/>
      <c r="Y1450" s="145"/>
      <c r="Z1450" s="145"/>
    </row>
    <row r="1451">
      <c r="E1451" s="136"/>
      <c r="F1451" s="136"/>
      <c r="G1451" s="136"/>
      <c r="H1451" s="137"/>
      <c r="I1451" s="136"/>
      <c r="J1451" s="136"/>
      <c r="K1451" s="136"/>
      <c r="L1451" s="136"/>
      <c r="M1451" s="136"/>
      <c r="N1451" s="136"/>
      <c r="O1451" s="142"/>
      <c r="P1451" s="140"/>
      <c r="Q1451" s="139"/>
      <c r="R1451" s="139"/>
      <c r="S1451" s="139"/>
      <c r="T1451" s="140" t="str">
        <f t="shared" si="7"/>
        <v/>
      </c>
      <c r="U1451" s="136"/>
      <c r="V1451" s="136"/>
      <c r="W1451" s="136"/>
      <c r="X1451" s="136"/>
      <c r="Y1451" s="145"/>
      <c r="Z1451" s="145"/>
    </row>
    <row r="1452">
      <c r="E1452" s="136"/>
      <c r="F1452" s="136"/>
      <c r="G1452" s="136"/>
      <c r="H1452" s="137"/>
      <c r="I1452" s="136"/>
      <c r="J1452" s="136"/>
      <c r="K1452" s="136"/>
      <c r="L1452" s="136"/>
      <c r="M1452" s="136"/>
      <c r="N1452" s="136"/>
      <c r="O1452" s="142"/>
      <c r="P1452" s="140"/>
      <c r="Q1452" s="139"/>
      <c r="R1452" s="139"/>
      <c r="S1452" s="139"/>
      <c r="T1452" s="140" t="str">
        <f t="shared" si="7"/>
        <v/>
      </c>
      <c r="U1452" s="136"/>
      <c r="V1452" s="136"/>
      <c r="W1452" s="136"/>
      <c r="X1452" s="136"/>
      <c r="Y1452" s="145"/>
      <c r="Z1452" s="145"/>
    </row>
    <row r="1453">
      <c r="E1453" s="136"/>
      <c r="F1453" s="136"/>
      <c r="G1453" s="136"/>
      <c r="H1453" s="137"/>
      <c r="I1453" s="136"/>
      <c r="J1453" s="136"/>
      <c r="K1453" s="136"/>
      <c r="L1453" s="136"/>
      <c r="M1453" s="136"/>
      <c r="N1453" s="136"/>
      <c r="O1453" s="142"/>
      <c r="P1453" s="140"/>
      <c r="Q1453" s="139"/>
      <c r="R1453" s="139"/>
      <c r="S1453" s="139"/>
      <c r="T1453" s="140" t="str">
        <f t="shared" si="7"/>
        <v/>
      </c>
      <c r="U1453" s="136"/>
      <c r="V1453" s="136"/>
      <c r="W1453" s="136"/>
      <c r="X1453" s="136"/>
      <c r="Y1453" s="145"/>
      <c r="Z1453" s="145"/>
    </row>
    <row r="1454">
      <c r="E1454" s="136"/>
      <c r="F1454" s="136"/>
      <c r="G1454" s="136"/>
      <c r="H1454" s="137"/>
      <c r="I1454" s="136"/>
      <c r="J1454" s="136"/>
      <c r="K1454" s="136"/>
      <c r="L1454" s="136"/>
      <c r="M1454" s="136"/>
      <c r="N1454" s="136"/>
      <c r="O1454" s="142"/>
      <c r="P1454" s="140"/>
      <c r="Q1454" s="139"/>
      <c r="R1454" s="139"/>
      <c r="S1454" s="139"/>
      <c r="T1454" s="140" t="str">
        <f t="shared" si="7"/>
        <v/>
      </c>
      <c r="U1454" s="136"/>
      <c r="V1454" s="136"/>
      <c r="W1454" s="136"/>
      <c r="X1454" s="136"/>
      <c r="Y1454" s="145"/>
      <c r="Z1454" s="145"/>
    </row>
    <row r="1455">
      <c r="E1455" s="136"/>
      <c r="F1455" s="136"/>
      <c r="G1455" s="136"/>
      <c r="H1455" s="137"/>
      <c r="I1455" s="136"/>
      <c r="J1455" s="136"/>
      <c r="K1455" s="136"/>
      <c r="L1455" s="136"/>
      <c r="M1455" s="136"/>
      <c r="N1455" s="136"/>
      <c r="O1455" s="142"/>
      <c r="P1455" s="140"/>
      <c r="Q1455" s="139"/>
      <c r="R1455" s="139"/>
      <c r="S1455" s="139"/>
      <c r="T1455" s="140" t="str">
        <f t="shared" si="7"/>
        <v/>
      </c>
      <c r="U1455" s="136"/>
      <c r="V1455" s="136"/>
      <c r="W1455" s="136"/>
      <c r="X1455" s="136"/>
      <c r="Y1455" s="145"/>
      <c r="Z1455" s="145"/>
    </row>
    <row r="1456">
      <c r="E1456" s="136"/>
      <c r="F1456" s="136"/>
      <c r="G1456" s="136"/>
      <c r="H1456" s="137"/>
      <c r="I1456" s="136"/>
      <c r="J1456" s="136"/>
      <c r="K1456" s="136"/>
      <c r="L1456" s="136"/>
      <c r="M1456" s="136"/>
      <c r="N1456" s="136"/>
      <c r="O1456" s="142"/>
      <c r="P1456" s="140"/>
      <c r="Q1456" s="139"/>
      <c r="R1456" s="139"/>
      <c r="S1456" s="139"/>
      <c r="T1456" s="140" t="str">
        <f t="shared" si="7"/>
        <v/>
      </c>
      <c r="U1456" s="136"/>
      <c r="V1456" s="136"/>
      <c r="W1456" s="136"/>
      <c r="X1456" s="136"/>
      <c r="Y1456" s="145"/>
      <c r="Z1456" s="145"/>
    </row>
    <row r="1457">
      <c r="E1457" s="136"/>
      <c r="F1457" s="136"/>
      <c r="G1457" s="136"/>
      <c r="H1457" s="137"/>
      <c r="I1457" s="136"/>
      <c r="J1457" s="136"/>
      <c r="K1457" s="136"/>
      <c r="L1457" s="136"/>
      <c r="M1457" s="136"/>
      <c r="N1457" s="136"/>
      <c r="O1457" s="142"/>
      <c r="P1457" s="140"/>
      <c r="Q1457" s="139"/>
      <c r="R1457" s="139"/>
      <c r="S1457" s="139"/>
      <c r="T1457" s="140" t="str">
        <f t="shared" si="7"/>
        <v/>
      </c>
      <c r="U1457" s="136"/>
      <c r="V1457" s="136"/>
      <c r="W1457" s="136"/>
      <c r="X1457" s="136"/>
      <c r="Y1457" s="145"/>
      <c r="Z1457" s="145"/>
    </row>
    <row r="1458">
      <c r="E1458" s="136"/>
      <c r="F1458" s="136"/>
      <c r="G1458" s="136"/>
      <c r="H1458" s="137"/>
      <c r="I1458" s="136"/>
      <c r="J1458" s="136"/>
      <c r="K1458" s="136"/>
      <c r="L1458" s="136"/>
      <c r="M1458" s="136"/>
      <c r="N1458" s="136"/>
      <c r="O1458" s="142"/>
      <c r="P1458" s="140"/>
      <c r="Q1458" s="139"/>
      <c r="R1458" s="139"/>
      <c r="S1458" s="139"/>
      <c r="T1458" s="140" t="str">
        <f t="shared" si="7"/>
        <v/>
      </c>
      <c r="U1458" s="136"/>
      <c r="V1458" s="136"/>
      <c r="W1458" s="136"/>
      <c r="X1458" s="136"/>
      <c r="Y1458" s="145"/>
      <c r="Z1458" s="145"/>
    </row>
    <row r="1459">
      <c r="E1459" s="136"/>
      <c r="F1459" s="136"/>
      <c r="G1459" s="136"/>
      <c r="H1459" s="137"/>
      <c r="I1459" s="136"/>
      <c r="J1459" s="136"/>
      <c r="K1459" s="136"/>
      <c r="L1459" s="136"/>
      <c r="M1459" s="136"/>
      <c r="N1459" s="136"/>
      <c r="O1459" s="142"/>
      <c r="P1459" s="140"/>
      <c r="Q1459" s="139"/>
      <c r="R1459" s="139"/>
      <c r="S1459" s="139"/>
      <c r="T1459" s="140" t="str">
        <f t="shared" si="7"/>
        <v/>
      </c>
      <c r="U1459" s="136"/>
      <c r="V1459" s="136"/>
      <c r="W1459" s="136"/>
      <c r="X1459" s="136"/>
      <c r="Y1459" s="145"/>
      <c r="Z1459" s="145"/>
    </row>
    <row r="1460">
      <c r="E1460" s="136"/>
      <c r="F1460" s="136"/>
      <c r="G1460" s="136"/>
      <c r="H1460" s="137"/>
      <c r="I1460" s="136"/>
      <c r="J1460" s="136"/>
      <c r="K1460" s="136"/>
      <c r="L1460" s="136"/>
      <c r="M1460" s="136"/>
      <c r="N1460" s="136"/>
      <c r="O1460" s="142"/>
      <c r="P1460" s="140"/>
      <c r="Q1460" s="139"/>
      <c r="R1460" s="139"/>
      <c r="S1460" s="139"/>
      <c r="T1460" s="140" t="str">
        <f t="shared" si="7"/>
        <v/>
      </c>
      <c r="U1460" s="136"/>
      <c r="V1460" s="136"/>
      <c r="W1460" s="136"/>
      <c r="X1460" s="136"/>
      <c r="Y1460" s="145"/>
      <c r="Z1460" s="145"/>
    </row>
    <row r="1461">
      <c r="E1461" s="136"/>
      <c r="F1461" s="136"/>
      <c r="G1461" s="136"/>
      <c r="H1461" s="137"/>
      <c r="I1461" s="136"/>
      <c r="J1461" s="136"/>
      <c r="K1461" s="136"/>
      <c r="L1461" s="136"/>
      <c r="M1461" s="136"/>
      <c r="N1461" s="136"/>
      <c r="O1461" s="142"/>
      <c r="P1461" s="140"/>
      <c r="Q1461" s="139"/>
      <c r="R1461" s="139"/>
      <c r="S1461" s="139"/>
      <c r="T1461" s="140" t="str">
        <f t="shared" si="7"/>
        <v/>
      </c>
      <c r="U1461" s="136"/>
      <c r="V1461" s="136"/>
      <c r="W1461" s="136"/>
      <c r="X1461" s="136"/>
      <c r="Y1461" s="145"/>
      <c r="Z1461" s="145"/>
    </row>
    <row r="1462">
      <c r="E1462" s="136"/>
      <c r="F1462" s="136"/>
      <c r="G1462" s="136"/>
      <c r="H1462" s="137"/>
      <c r="I1462" s="136"/>
      <c r="J1462" s="136"/>
      <c r="K1462" s="136"/>
      <c r="L1462" s="136"/>
      <c r="M1462" s="136"/>
      <c r="N1462" s="136"/>
      <c r="O1462" s="142"/>
      <c r="P1462" s="140"/>
      <c r="Q1462" s="139"/>
      <c r="R1462" s="139"/>
      <c r="S1462" s="139"/>
      <c r="T1462" s="140" t="str">
        <f t="shared" si="7"/>
        <v/>
      </c>
      <c r="U1462" s="136"/>
      <c r="V1462" s="136"/>
      <c r="W1462" s="136"/>
      <c r="X1462" s="136"/>
      <c r="Y1462" s="145"/>
      <c r="Z1462" s="145"/>
    </row>
    <row r="1463">
      <c r="E1463" s="136"/>
      <c r="F1463" s="136"/>
      <c r="G1463" s="136"/>
      <c r="H1463" s="137"/>
      <c r="I1463" s="136"/>
      <c r="J1463" s="136"/>
      <c r="K1463" s="136"/>
      <c r="L1463" s="136"/>
      <c r="M1463" s="136"/>
      <c r="N1463" s="136"/>
      <c r="O1463" s="142"/>
      <c r="P1463" s="140"/>
      <c r="Q1463" s="139"/>
      <c r="R1463" s="139"/>
      <c r="S1463" s="139"/>
      <c r="T1463" s="140" t="str">
        <f t="shared" si="7"/>
        <v/>
      </c>
      <c r="U1463" s="136"/>
      <c r="V1463" s="136"/>
      <c r="W1463" s="136"/>
      <c r="X1463" s="136"/>
      <c r="Y1463" s="145"/>
      <c r="Z1463" s="145"/>
    </row>
    <row r="1464">
      <c r="E1464" s="136"/>
      <c r="F1464" s="136"/>
      <c r="G1464" s="136"/>
      <c r="H1464" s="137"/>
      <c r="I1464" s="136"/>
      <c r="J1464" s="136"/>
      <c r="K1464" s="136"/>
      <c r="L1464" s="136"/>
      <c r="M1464" s="136"/>
      <c r="N1464" s="136"/>
      <c r="O1464" s="142"/>
      <c r="P1464" s="140"/>
      <c r="Q1464" s="139"/>
      <c r="R1464" s="139"/>
      <c r="S1464" s="139"/>
      <c r="T1464" s="140" t="str">
        <f t="shared" si="7"/>
        <v/>
      </c>
      <c r="U1464" s="136"/>
      <c r="V1464" s="136"/>
      <c r="W1464" s="136"/>
      <c r="X1464" s="136"/>
      <c r="Y1464" s="145"/>
      <c r="Z1464" s="145"/>
    </row>
    <row r="1465">
      <c r="E1465" s="136"/>
      <c r="F1465" s="136"/>
      <c r="G1465" s="136"/>
      <c r="H1465" s="137"/>
      <c r="I1465" s="136"/>
      <c r="J1465" s="136"/>
      <c r="K1465" s="136"/>
      <c r="L1465" s="136"/>
      <c r="M1465" s="136"/>
      <c r="N1465" s="136"/>
      <c r="O1465" s="142"/>
      <c r="P1465" s="140"/>
      <c r="Q1465" s="139"/>
      <c r="R1465" s="139"/>
      <c r="S1465" s="139"/>
      <c r="T1465" s="140" t="str">
        <f t="shared" si="7"/>
        <v/>
      </c>
      <c r="U1465" s="136"/>
      <c r="V1465" s="136"/>
      <c r="W1465" s="136"/>
      <c r="X1465" s="136"/>
      <c r="Y1465" s="145"/>
      <c r="Z1465" s="145"/>
    </row>
    <row r="1466">
      <c r="E1466" s="136"/>
      <c r="F1466" s="136"/>
      <c r="G1466" s="136"/>
      <c r="H1466" s="137"/>
      <c r="I1466" s="136"/>
      <c r="J1466" s="136"/>
      <c r="K1466" s="136"/>
      <c r="L1466" s="136"/>
      <c r="M1466" s="136"/>
      <c r="N1466" s="136"/>
      <c r="O1466" s="142"/>
      <c r="P1466" s="140"/>
      <c r="Q1466" s="139"/>
      <c r="R1466" s="139"/>
      <c r="S1466" s="139"/>
      <c r="T1466" s="140" t="str">
        <f t="shared" si="7"/>
        <v/>
      </c>
      <c r="U1466" s="136"/>
      <c r="V1466" s="136"/>
      <c r="W1466" s="136"/>
      <c r="X1466" s="136"/>
      <c r="Y1466" s="145"/>
      <c r="Z1466" s="145"/>
    </row>
    <row r="1467">
      <c r="E1467" s="136"/>
      <c r="F1467" s="136"/>
      <c r="G1467" s="136"/>
      <c r="H1467" s="137"/>
      <c r="I1467" s="136"/>
      <c r="J1467" s="136"/>
      <c r="K1467" s="136"/>
      <c r="L1467" s="136"/>
      <c r="M1467" s="136"/>
      <c r="N1467" s="136"/>
      <c r="O1467" s="142"/>
      <c r="P1467" s="140"/>
      <c r="Q1467" s="139"/>
      <c r="R1467" s="139"/>
      <c r="S1467" s="139"/>
      <c r="T1467" s="140" t="str">
        <f t="shared" si="7"/>
        <v/>
      </c>
      <c r="U1467" s="136"/>
      <c r="V1467" s="136"/>
      <c r="W1467" s="136"/>
      <c r="X1467" s="136"/>
      <c r="Y1467" s="145"/>
      <c r="Z1467" s="145"/>
    </row>
    <row r="1468">
      <c r="E1468" s="136"/>
      <c r="F1468" s="136"/>
      <c r="G1468" s="136"/>
      <c r="H1468" s="137"/>
      <c r="I1468" s="136"/>
      <c r="J1468" s="136"/>
      <c r="K1468" s="136"/>
      <c r="L1468" s="136"/>
      <c r="M1468" s="136"/>
      <c r="N1468" s="136"/>
      <c r="O1468" s="142"/>
      <c r="P1468" s="140"/>
      <c r="Q1468" s="139"/>
      <c r="R1468" s="139"/>
      <c r="S1468" s="139"/>
      <c r="T1468" s="140" t="str">
        <f t="shared" si="7"/>
        <v/>
      </c>
      <c r="U1468" s="136"/>
      <c r="V1468" s="136"/>
      <c r="W1468" s="136"/>
      <c r="X1468" s="136"/>
      <c r="Y1468" s="145"/>
      <c r="Z1468" s="145"/>
    </row>
    <row r="1469">
      <c r="E1469" s="136"/>
      <c r="F1469" s="136"/>
      <c r="G1469" s="136"/>
      <c r="H1469" s="137"/>
      <c r="I1469" s="136"/>
      <c r="J1469" s="136"/>
      <c r="K1469" s="136"/>
      <c r="L1469" s="136"/>
      <c r="M1469" s="136"/>
      <c r="N1469" s="136"/>
      <c r="O1469" s="142"/>
      <c r="P1469" s="140"/>
      <c r="Q1469" s="139"/>
      <c r="R1469" s="139"/>
      <c r="S1469" s="139"/>
      <c r="T1469" s="140" t="str">
        <f t="shared" si="7"/>
        <v/>
      </c>
      <c r="U1469" s="136"/>
      <c r="V1469" s="136"/>
      <c r="W1469" s="136"/>
      <c r="X1469" s="136"/>
      <c r="Y1469" s="145"/>
      <c r="Z1469" s="145"/>
    </row>
    <row r="1470">
      <c r="E1470" s="136"/>
      <c r="F1470" s="136"/>
      <c r="G1470" s="136"/>
      <c r="H1470" s="137"/>
      <c r="I1470" s="136"/>
      <c r="J1470" s="136"/>
      <c r="K1470" s="136"/>
      <c r="L1470" s="136"/>
      <c r="M1470" s="136"/>
      <c r="N1470" s="136"/>
      <c r="O1470" s="142"/>
      <c r="P1470" s="140"/>
      <c r="Q1470" s="139"/>
      <c r="R1470" s="139"/>
      <c r="S1470" s="139"/>
      <c r="T1470" s="140" t="str">
        <f t="shared" si="7"/>
        <v/>
      </c>
      <c r="U1470" s="136"/>
      <c r="V1470" s="136"/>
      <c r="W1470" s="136"/>
      <c r="X1470" s="136"/>
      <c r="Y1470" s="145"/>
      <c r="Z1470" s="145"/>
    </row>
    <row r="1471">
      <c r="E1471" s="136"/>
      <c r="F1471" s="136"/>
      <c r="G1471" s="136"/>
      <c r="H1471" s="137"/>
      <c r="I1471" s="136"/>
      <c r="J1471" s="136"/>
      <c r="K1471" s="136"/>
      <c r="L1471" s="136"/>
      <c r="M1471" s="136"/>
      <c r="N1471" s="136"/>
      <c r="O1471" s="142"/>
      <c r="P1471" s="140"/>
      <c r="Q1471" s="139"/>
      <c r="R1471" s="139"/>
      <c r="S1471" s="139"/>
      <c r="T1471" s="140" t="str">
        <f t="shared" si="7"/>
        <v/>
      </c>
      <c r="U1471" s="136"/>
      <c r="V1471" s="136"/>
      <c r="W1471" s="136"/>
      <c r="X1471" s="136"/>
      <c r="Y1471" s="145"/>
      <c r="Z1471" s="145"/>
    </row>
    <row r="1472">
      <c r="E1472" s="136"/>
      <c r="F1472" s="136"/>
      <c r="G1472" s="136"/>
      <c r="H1472" s="137"/>
      <c r="I1472" s="136"/>
      <c r="J1472" s="136"/>
      <c r="K1472" s="136"/>
      <c r="L1472" s="136"/>
      <c r="M1472" s="136"/>
      <c r="N1472" s="136"/>
      <c r="O1472" s="142"/>
      <c r="P1472" s="140"/>
      <c r="Q1472" s="139"/>
      <c r="R1472" s="139"/>
      <c r="S1472" s="139"/>
      <c r="T1472" s="140" t="str">
        <f t="shared" si="7"/>
        <v/>
      </c>
      <c r="U1472" s="136"/>
      <c r="V1472" s="136"/>
      <c r="W1472" s="136"/>
      <c r="X1472" s="136"/>
      <c r="Y1472" s="145"/>
      <c r="Z1472" s="145"/>
    </row>
    <row r="1473">
      <c r="E1473" s="136"/>
      <c r="F1473" s="136"/>
      <c r="G1473" s="136"/>
      <c r="H1473" s="137"/>
      <c r="I1473" s="136"/>
      <c r="J1473" s="136"/>
      <c r="K1473" s="136"/>
      <c r="L1473" s="136"/>
      <c r="M1473" s="136"/>
      <c r="N1473" s="136"/>
      <c r="O1473" s="142"/>
      <c r="P1473" s="140"/>
      <c r="Q1473" s="139"/>
      <c r="R1473" s="139"/>
      <c r="S1473" s="139"/>
      <c r="T1473" s="140" t="str">
        <f t="shared" si="7"/>
        <v/>
      </c>
      <c r="U1473" s="136"/>
      <c r="V1473" s="136"/>
      <c r="W1473" s="136"/>
      <c r="X1473" s="136"/>
      <c r="Y1473" s="145"/>
      <c r="Z1473" s="145"/>
    </row>
    <row r="1474">
      <c r="E1474" s="136"/>
      <c r="F1474" s="136"/>
      <c r="G1474" s="136"/>
      <c r="H1474" s="137"/>
      <c r="I1474" s="136"/>
      <c r="J1474" s="136"/>
      <c r="K1474" s="136"/>
      <c r="L1474" s="136"/>
      <c r="M1474" s="136"/>
      <c r="N1474" s="136"/>
      <c r="O1474" s="142"/>
      <c r="P1474" s="140"/>
      <c r="Q1474" s="139"/>
      <c r="R1474" s="139"/>
      <c r="S1474" s="139"/>
      <c r="T1474" s="140" t="str">
        <f t="shared" si="7"/>
        <v/>
      </c>
      <c r="U1474" s="136"/>
      <c r="V1474" s="136"/>
      <c r="W1474" s="136"/>
      <c r="X1474" s="136"/>
      <c r="Y1474" s="145"/>
      <c r="Z1474" s="145"/>
    </row>
    <row r="1475">
      <c r="E1475" s="136"/>
      <c r="F1475" s="136"/>
      <c r="G1475" s="136"/>
      <c r="H1475" s="137"/>
      <c r="I1475" s="136"/>
      <c r="J1475" s="136"/>
      <c r="K1475" s="136"/>
      <c r="L1475" s="136"/>
      <c r="M1475" s="136"/>
      <c r="N1475" s="136"/>
      <c r="O1475" s="142"/>
      <c r="P1475" s="140"/>
      <c r="Q1475" s="139"/>
      <c r="R1475" s="139"/>
      <c r="S1475" s="139"/>
      <c r="T1475" s="140" t="str">
        <f t="shared" si="7"/>
        <v/>
      </c>
      <c r="U1475" s="136"/>
      <c r="V1475" s="136"/>
      <c r="W1475" s="136"/>
      <c r="X1475" s="136"/>
      <c r="Y1475" s="145"/>
      <c r="Z1475" s="145"/>
    </row>
    <row r="1476">
      <c r="E1476" s="136"/>
      <c r="F1476" s="136"/>
      <c r="G1476" s="136"/>
      <c r="H1476" s="137"/>
      <c r="I1476" s="136"/>
      <c r="J1476" s="136"/>
      <c r="K1476" s="136"/>
      <c r="L1476" s="136"/>
      <c r="M1476" s="136"/>
      <c r="N1476" s="136"/>
      <c r="O1476" s="142"/>
      <c r="P1476" s="140"/>
      <c r="Q1476" s="139"/>
      <c r="R1476" s="139"/>
      <c r="S1476" s="139"/>
      <c r="T1476" s="140" t="str">
        <f t="shared" si="7"/>
        <v/>
      </c>
      <c r="U1476" s="136"/>
      <c r="V1476" s="136"/>
      <c r="W1476" s="136"/>
      <c r="X1476" s="136"/>
      <c r="Y1476" s="145"/>
      <c r="Z1476" s="145"/>
    </row>
    <row r="1477">
      <c r="E1477" s="136"/>
      <c r="F1477" s="136"/>
      <c r="G1477" s="136"/>
      <c r="H1477" s="137"/>
      <c r="I1477" s="136"/>
      <c r="J1477" s="136"/>
      <c r="K1477" s="136"/>
      <c r="L1477" s="136"/>
      <c r="M1477" s="136"/>
      <c r="N1477" s="136"/>
      <c r="O1477" s="142"/>
      <c r="P1477" s="140"/>
      <c r="Q1477" s="139"/>
      <c r="R1477" s="139"/>
      <c r="S1477" s="139"/>
      <c r="T1477" s="140" t="str">
        <f t="shared" si="7"/>
        <v/>
      </c>
      <c r="U1477" s="136"/>
      <c r="V1477" s="136"/>
      <c r="W1477" s="136"/>
      <c r="X1477" s="136"/>
      <c r="Y1477" s="145"/>
      <c r="Z1477" s="145"/>
    </row>
    <row r="1478">
      <c r="E1478" s="136"/>
      <c r="F1478" s="136"/>
      <c r="G1478" s="136"/>
      <c r="H1478" s="137"/>
      <c r="I1478" s="136"/>
      <c r="J1478" s="136"/>
      <c r="K1478" s="136"/>
      <c r="L1478" s="136"/>
      <c r="M1478" s="136"/>
      <c r="N1478" s="136"/>
      <c r="O1478" s="142"/>
      <c r="P1478" s="140"/>
      <c r="Q1478" s="139"/>
      <c r="R1478" s="139"/>
      <c r="S1478" s="139"/>
      <c r="T1478" s="140" t="str">
        <f t="shared" si="7"/>
        <v/>
      </c>
      <c r="U1478" s="136"/>
      <c r="V1478" s="136"/>
      <c r="W1478" s="136"/>
      <c r="X1478" s="136"/>
      <c r="Y1478" s="145"/>
      <c r="Z1478" s="145"/>
    </row>
    <row r="1479">
      <c r="E1479" s="136"/>
      <c r="F1479" s="136"/>
      <c r="G1479" s="136"/>
      <c r="H1479" s="137"/>
      <c r="I1479" s="136"/>
      <c r="J1479" s="136"/>
      <c r="K1479" s="136"/>
      <c r="L1479" s="136"/>
      <c r="M1479" s="136"/>
      <c r="N1479" s="136"/>
      <c r="O1479" s="142"/>
      <c r="P1479" s="140"/>
      <c r="Q1479" s="139"/>
      <c r="R1479" s="139"/>
      <c r="S1479" s="139"/>
      <c r="T1479" s="140" t="str">
        <f t="shared" si="7"/>
        <v/>
      </c>
      <c r="U1479" s="136"/>
      <c r="V1479" s="136"/>
      <c r="W1479" s="136"/>
      <c r="X1479" s="136"/>
      <c r="Y1479" s="145"/>
      <c r="Z1479" s="145"/>
    </row>
    <row r="1480">
      <c r="E1480" s="136"/>
      <c r="F1480" s="136"/>
      <c r="G1480" s="136"/>
      <c r="H1480" s="137"/>
      <c r="I1480" s="136"/>
      <c r="J1480" s="136"/>
      <c r="K1480" s="136"/>
      <c r="L1480" s="136"/>
      <c r="M1480" s="136"/>
      <c r="N1480" s="136"/>
      <c r="O1480" s="142"/>
      <c r="P1480" s="140"/>
      <c r="Q1480" s="139"/>
      <c r="R1480" s="139"/>
      <c r="S1480" s="139"/>
      <c r="T1480" s="140" t="str">
        <f t="shared" si="7"/>
        <v/>
      </c>
      <c r="U1480" s="136"/>
      <c r="V1480" s="136"/>
      <c r="W1480" s="136"/>
      <c r="X1480" s="136"/>
      <c r="Y1480" s="145"/>
      <c r="Z1480" s="145"/>
    </row>
    <row r="1481">
      <c r="E1481" s="136"/>
      <c r="F1481" s="136"/>
      <c r="G1481" s="136"/>
      <c r="H1481" s="137"/>
      <c r="I1481" s="136"/>
      <c r="J1481" s="136"/>
      <c r="K1481" s="136"/>
      <c r="L1481" s="136"/>
      <c r="M1481" s="136"/>
      <c r="N1481" s="136"/>
      <c r="O1481" s="142"/>
      <c r="P1481" s="140"/>
      <c r="Q1481" s="139"/>
      <c r="R1481" s="139"/>
      <c r="S1481" s="139"/>
      <c r="T1481" s="140" t="str">
        <f t="shared" si="7"/>
        <v/>
      </c>
      <c r="U1481" s="136"/>
      <c r="V1481" s="136"/>
      <c r="W1481" s="136"/>
      <c r="X1481" s="136"/>
      <c r="Y1481" s="145"/>
      <c r="Z1481" s="145"/>
    </row>
    <row r="1482">
      <c r="E1482" s="136"/>
      <c r="F1482" s="136"/>
      <c r="G1482" s="136"/>
      <c r="H1482" s="137"/>
      <c r="I1482" s="136"/>
      <c r="J1482" s="136"/>
      <c r="K1482" s="136"/>
      <c r="L1482" s="136"/>
      <c r="M1482" s="136"/>
      <c r="N1482" s="136"/>
      <c r="O1482" s="142"/>
      <c r="P1482" s="140"/>
      <c r="Q1482" s="139"/>
      <c r="R1482" s="139"/>
      <c r="S1482" s="139"/>
      <c r="T1482" s="140" t="str">
        <f t="shared" si="7"/>
        <v/>
      </c>
      <c r="U1482" s="136"/>
      <c r="V1482" s="136"/>
      <c r="W1482" s="136"/>
      <c r="X1482" s="136"/>
      <c r="Y1482" s="145"/>
      <c r="Z1482" s="145"/>
    </row>
    <row r="1483">
      <c r="E1483" s="136"/>
      <c r="F1483" s="136"/>
      <c r="G1483" s="136"/>
      <c r="H1483" s="137"/>
      <c r="I1483" s="136"/>
      <c r="J1483" s="136"/>
      <c r="K1483" s="136"/>
      <c r="L1483" s="136"/>
      <c r="M1483" s="136"/>
      <c r="N1483" s="136"/>
      <c r="O1483" s="142"/>
      <c r="P1483" s="140"/>
      <c r="Q1483" s="139"/>
      <c r="R1483" s="139"/>
      <c r="S1483" s="139"/>
      <c r="T1483" s="140" t="str">
        <f t="shared" si="7"/>
        <v/>
      </c>
      <c r="U1483" s="136"/>
      <c r="V1483" s="136"/>
      <c r="W1483" s="136"/>
      <c r="X1483" s="136"/>
      <c r="Y1483" s="145"/>
      <c r="Z1483" s="145"/>
    </row>
    <row r="1484">
      <c r="E1484" s="136"/>
      <c r="F1484" s="136"/>
      <c r="G1484" s="136"/>
      <c r="H1484" s="137"/>
      <c r="I1484" s="136"/>
      <c r="J1484" s="136"/>
      <c r="K1484" s="136"/>
      <c r="L1484" s="136"/>
      <c r="M1484" s="136"/>
      <c r="N1484" s="136"/>
      <c r="O1484" s="142"/>
      <c r="P1484" s="140"/>
      <c r="Q1484" s="139"/>
      <c r="R1484" s="139"/>
      <c r="S1484" s="139"/>
      <c r="T1484" s="140" t="str">
        <f t="shared" si="7"/>
        <v/>
      </c>
      <c r="U1484" s="136"/>
      <c r="V1484" s="136"/>
      <c r="W1484" s="136"/>
      <c r="X1484" s="136"/>
      <c r="Y1484" s="145"/>
      <c r="Z1484" s="145"/>
    </row>
    <row r="1485">
      <c r="E1485" s="136"/>
      <c r="F1485" s="136"/>
      <c r="G1485" s="136"/>
      <c r="H1485" s="137"/>
      <c r="I1485" s="136"/>
      <c r="J1485" s="136"/>
      <c r="K1485" s="136"/>
      <c r="L1485" s="136"/>
      <c r="M1485" s="136"/>
      <c r="N1485" s="136"/>
      <c r="O1485" s="142"/>
      <c r="P1485" s="140"/>
      <c r="Q1485" s="139"/>
      <c r="R1485" s="139"/>
      <c r="S1485" s="139"/>
      <c r="T1485" s="140" t="str">
        <f t="shared" si="7"/>
        <v/>
      </c>
      <c r="U1485" s="136"/>
      <c r="V1485" s="136"/>
      <c r="W1485" s="136"/>
      <c r="X1485" s="136"/>
      <c r="Y1485" s="145"/>
      <c r="Z1485" s="145"/>
    </row>
    <row r="1486">
      <c r="E1486" s="136"/>
      <c r="F1486" s="136"/>
      <c r="G1486" s="136"/>
      <c r="H1486" s="137"/>
      <c r="I1486" s="136"/>
      <c r="J1486" s="136"/>
      <c r="K1486" s="136"/>
      <c r="L1486" s="136"/>
      <c r="M1486" s="136"/>
      <c r="N1486" s="136"/>
      <c r="O1486" s="142"/>
      <c r="P1486" s="140"/>
      <c r="Q1486" s="139"/>
      <c r="R1486" s="139"/>
      <c r="S1486" s="139"/>
      <c r="T1486" s="140" t="str">
        <f t="shared" si="7"/>
        <v/>
      </c>
      <c r="U1486" s="136"/>
      <c r="V1486" s="136"/>
      <c r="W1486" s="136"/>
      <c r="X1486" s="136"/>
      <c r="Y1486" s="145"/>
      <c r="Z1486" s="145"/>
    </row>
    <row r="1487">
      <c r="E1487" s="136"/>
      <c r="F1487" s="136"/>
      <c r="G1487" s="136"/>
      <c r="H1487" s="137"/>
      <c r="I1487" s="136"/>
      <c r="J1487" s="136"/>
      <c r="K1487" s="136"/>
      <c r="L1487" s="136"/>
      <c r="M1487" s="136"/>
      <c r="N1487" s="136"/>
      <c r="O1487" s="142"/>
      <c r="P1487" s="140"/>
      <c r="Q1487" s="139"/>
      <c r="R1487" s="139"/>
      <c r="S1487" s="139"/>
      <c r="T1487" s="140" t="str">
        <f t="shared" si="7"/>
        <v/>
      </c>
      <c r="U1487" s="136"/>
      <c r="V1487" s="136"/>
      <c r="W1487" s="136"/>
      <c r="X1487" s="136"/>
      <c r="Y1487" s="145"/>
      <c r="Z1487" s="145"/>
    </row>
    <row r="1488">
      <c r="E1488" s="136"/>
      <c r="F1488" s="136"/>
      <c r="G1488" s="136"/>
      <c r="H1488" s="137"/>
      <c r="I1488" s="136"/>
      <c r="J1488" s="136"/>
      <c r="K1488" s="136"/>
      <c r="L1488" s="136"/>
      <c r="M1488" s="136"/>
      <c r="N1488" s="136"/>
      <c r="O1488" s="142"/>
      <c r="P1488" s="140"/>
      <c r="Q1488" s="139"/>
      <c r="R1488" s="139"/>
      <c r="S1488" s="139"/>
      <c r="T1488" s="140" t="str">
        <f t="shared" si="7"/>
        <v/>
      </c>
      <c r="U1488" s="136"/>
      <c r="V1488" s="136"/>
      <c r="W1488" s="136"/>
      <c r="X1488" s="136"/>
      <c r="Y1488" s="145"/>
      <c r="Z1488" s="145"/>
    </row>
    <row r="1489">
      <c r="E1489" s="136"/>
      <c r="F1489" s="136"/>
      <c r="G1489" s="136"/>
      <c r="H1489" s="137"/>
      <c r="I1489" s="136"/>
      <c r="J1489" s="136"/>
      <c r="K1489" s="136"/>
      <c r="L1489" s="136"/>
      <c r="M1489" s="136"/>
      <c r="N1489" s="136"/>
      <c r="O1489" s="142"/>
      <c r="P1489" s="140"/>
      <c r="Q1489" s="139"/>
      <c r="R1489" s="139"/>
      <c r="S1489" s="139"/>
      <c r="T1489" s="140" t="str">
        <f t="shared" si="7"/>
        <v/>
      </c>
      <c r="U1489" s="136"/>
      <c r="V1489" s="136"/>
      <c r="W1489" s="136"/>
      <c r="X1489" s="136"/>
      <c r="Y1489" s="145"/>
      <c r="Z1489" s="145"/>
    </row>
    <row r="1490">
      <c r="E1490" s="136"/>
      <c r="F1490" s="136"/>
      <c r="G1490" s="136"/>
      <c r="H1490" s="137"/>
      <c r="I1490" s="136"/>
      <c r="J1490" s="136"/>
      <c r="K1490" s="136"/>
      <c r="L1490" s="136"/>
      <c r="M1490" s="136"/>
      <c r="N1490" s="136"/>
      <c r="O1490" s="142"/>
      <c r="P1490" s="140"/>
      <c r="Q1490" s="139"/>
      <c r="R1490" s="139"/>
      <c r="S1490" s="139"/>
      <c r="T1490" s="140" t="str">
        <f t="shared" si="7"/>
        <v/>
      </c>
      <c r="U1490" s="136"/>
      <c r="V1490" s="136"/>
      <c r="W1490" s="136"/>
      <c r="X1490" s="136"/>
      <c r="Y1490" s="145"/>
      <c r="Z1490" s="145"/>
    </row>
    <row r="1491">
      <c r="E1491" s="136"/>
      <c r="F1491" s="136"/>
      <c r="G1491" s="136"/>
      <c r="H1491" s="137"/>
      <c r="I1491" s="136"/>
      <c r="J1491" s="136"/>
      <c r="K1491" s="136"/>
      <c r="L1491" s="136"/>
      <c r="M1491" s="136"/>
      <c r="N1491" s="136"/>
      <c r="O1491" s="142"/>
      <c r="P1491" s="140"/>
      <c r="Q1491" s="139"/>
      <c r="R1491" s="139"/>
      <c r="S1491" s="139"/>
      <c r="T1491" s="140" t="str">
        <f t="shared" si="7"/>
        <v/>
      </c>
      <c r="U1491" s="136"/>
      <c r="V1491" s="136"/>
      <c r="W1491" s="136"/>
      <c r="X1491" s="136"/>
      <c r="Y1491" s="145"/>
      <c r="Z1491" s="145"/>
    </row>
    <row r="1492">
      <c r="E1492" s="136"/>
      <c r="F1492" s="136"/>
      <c r="G1492" s="136"/>
      <c r="H1492" s="137"/>
      <c r="I1492" s="136"/>
      <c r="J1492" s="136"/>
      <c r="K1492" s="136"/>
      <c r="L1492" s="136"/>
      <c r="M1492" s="136"/>
      <c r="N1492" s="136"/>
      <c r="O1492" s="142"/>
      <c r="P1492" s="140"/>
      <c r="Q1492" s="139"/>
      <c r="R1492" s="139"/>
      <c r="S1492" s="139"/>
      <c r="T1492" s="140" t="str">
        <f t="shared" si="7"/>
        <v/>
      </c>
      <c r="U1492" s="136"/>
      <c r="V1492" s="136"/>
      <c r="W1492" s="136"/>
      <c r="X1492" s="136"/>
      <c r="Y1492" s="145"/>
      <c r="Z1492" s="145"/>
    </row>
    <row r="1493">
      <c r="E1493" s="136"/>
      <c r="F1493" s="136"/>
      <c r="G1493" s="136"/>
      <c r="H1493" s="137"/>
      <c r="I1493" s="136"/>
      <c r="J1493" s="136"/>
      <c r="K1493" s="136"/>
      <c r="L1493" s="136"/>
      <c r="M1493" s="136"/>
      <c r="N1493" s="136"/>
      <c r="O1493" s="142"/>
      <c r="P1493" s="140"/>
      <c r="Q1493" s="139"/>
      <c r="R1493" s="139"/>
      <c r="S1493" s="139"/>
      <c r="T1493" s="140" t="str">
        <f t="shared" si="7"/>
        <v/>
      </c>
      <c r="U1493" s="136"/>
      <c r="V1493" s="136"/>
      <c r="W1493" s="136"/>
      <c r="X1493" s="136"/>
      <c r="Y1493" s="145"/>
      <c r="Z1493" s="145"/>
    </row>
    <row r="1494">
      <c r="E1494" s="136"/>
      <c r="F1494" s="136"/>
      <c r="G1494" s="136"/>
      <c r="H1494" s="137"/>
      <c r="I1494" s="136"/>
      <c r="J1494" s="136"/>
      <c r="K1494" s="136"/>
      <c r="L1494" s="136"/>
      <c r="M1494" s="136"/>
      <c r="N1494" s="136"/>
      <c r="O1494" s="142"/>
      <c r="P1494" s="140"/>
      <c r="Q1494" s="139"/>
      <c r="R1494" s="139"/>
      <c r="S1494" s="139"/>
      <c r="T1494" s="140" t="str">
        <f t="shared" si="7"/>
        <v/>
      </c>
      <c r="U1494" s="136"/>
      <c r="V1494" s="136"/>
      <c r="W1494" s="136"/>
      <c r="X1494" s="136"/>
      <c r="Y1494" s="145"/>
      <c r="Z1494" s="145"/>
    </row>
    <row r="1495">
      <c r="E1495" s="136"/>
      <c r="F1495" s="136"/>
      <c r="G1495" s="136"/>
      <c r="H1495" s="137"/>
      <c r="I1495" s="136"/>
      <c r="J1495" s="136"/>
      <c r="K1495" s="136"/>
      <c r="L1495" s="136"/>
      <c r="M1495" s="136"/>
      <c r="N1495" s="136"/>
      <c r="O1495" s="142"/>
      <c r="P1495" s="140"/>
      <c r="Q1495" s="139"/>
      <c r="R1495" s="139"/>
      <c r="S1495" s="139"/>
      <c r="T1495" s="140" t="str">
        <f t="shared" si="7"/>
        <v/>
      </c>
      <c r="U1495" s="136"/>
      <c r="V1495" s="136"/>
      <c r="W1495" s="136"/>
      <c r="X1495" s="136"/>
      <c r="Y1495" s="145"/>
      <c r="Z1495" s="145"/>
    </row>
    <row r="1496">
      <c r="E1496" s="136"/>
      <c r="F1496" s="136"/>
      <c r="G1496" s="136"/>
      <c r="H1496" s="137"/>
      <c r="I1496" s="136"/>
      <c r="J1496" s="136"/>
      <c r="K1496" s="136"/>
      <c r="L1496" s="136"/>
      <c r="M1496" s="136"/>
      <c r="N1496" s="136"/>
      <c r="O1496" s="142"/>
      <c r="P1496" s="140"/>
      <c r="Q1496" s="139"/>
      <c r="R1496" s="139"/>
      <c r="S1496" s="139"/>
      <c r="T1496" s="140" t="str">
        <f t="shared" si="7"/>
        <v/>
      </c>
      <c r="U1496" s="136"/>
      <c r="V1496" s="136"/>
      <c r="W1496" s="136"/>
      <c r="X1496" s="136"/>
      <c r="Y1496" s="145"/>
      <c r="Z1496" s="145"/>
    </row>
    <row r="1497">
      <c r="E1497" s="136"/>
      <c r="F1497" s="136"/>
      <c r="G1497" s="136"/>
      <c r="H1497" s="137"/>
      <c r="I1497" s="136"/>
      <c r="J1497" s="136"/>
      <c r="K1497" s="136"/>
      <c r="L1497" s="136"/>
      <c r="M1497" s="136"/>
      <c r="N1497" s="136"/>
      <c r="O1497" s="142"/>
      <c r="P1497" s="140"/>
      <c r="Q1497" s="139"/>
      <c r="R1497" s="139"/>
      <c r="S1497" s="139"/>
      <c r="T1497" s="140" t="str">
        <f t="shared" si="7"/>
        <v/>
      </c>
      <c r="U1497" s="136"/>
      <c r="V1497" s="136"/>
      <c r="W1497" s="136"/>
      <c r="X1497" s="136"/>
      <c r="Y1497" s="145"/>
      <c r="Z1497" s="145"/>
    </row>
    <row r="1498">
      <c r="E1498" s="136"/>
      <c r="F1498" s="136"/>
      <c r="G1498" s="136"/>
      <c r="H1498" s="137"/>
      <c r="I1498" s="136"/>
      <c r="J1498" s="136"/>
      <c r="K1498" s="136"/>
      <c r="L1498" s="136"/>
      <c r="M1498" s="136"/>
      <c r="N1498" s="136"/>
      <c r="O1498" s="142"/>
      <c r="P1498" s="140"/>
      <c r="Q1498" s="139"/>
      <c r="R1498" s="139"/>
      <c r="S1498" s="139"/>
      <c r="T1498" s="140" t="str">
        <f t="shared" si="7"/>
        <v/>
      </c>
      <c r="U1498" s="136"/>
      <c r="V1498" s="136"/>
      <c r="W1498" s="136"/>
      <c r="X1498" s="136"/>
      <c r="Y1498" s="145"/>
      <c r="Z1498" s="145"/>
    </row>
    <row r="1499">
      <c r="E1499" s="136"/>
      <c r="F1499" s="136"/>
      <c r="G1499" s="136"/>
      <c r="H1499" s="137"/>
      <c r="I1499" s="136"/>
      <c r="J1499" s="136"/>
      <c r="K1499" s="136"/>
      <c r="L1499" s="136"/>
      <c r="M1499" s="136"/>
      <c r="N1499" s="136"/>
      <c r="O1499" s="142"/>
      <c r="P1499" s="140"/>
      <c r="Q1499" s="139"/>
      <c r="R1499" s="139"/>
      <c r="S1499" s="139"/>
      <c r="T1499" s="140" t="str">
        <f t="shared" si="7"/>
        <v/>
      </c>
      <c r="U1499" s="136"/>
      <c r="V1499" s="136"/>
      <c r="W1499" s="136"/>
      <c r="X1499" s="136"/>
      <c r="Y1499" s="145"/>
      <c r="Z1499" s="145"/>
    </row>
    <row r="1500">
      <c r="E1500" s="136"/>
      <c r="F1500" s="136"/>
      <c r="G1500" s="136"/>
      <c r="H1500" s="137"/>
      <c r="I1500" s="136"/>
      <c r="J1500" s="136"/>
      <c r="K1500" s="136"/>
      <c r="L1500" s="136"/>
      <c r="M1500" s="136"/>
      <c r="N1500" s="136"/>
      <c r="O1500" s="142"/>
      <c r="P1500" s="140"/>
      <c r="Q1500" s="139"/>
      <c r="R1500" s="139"/>
      <c r="S1500" s="139"/>
      <c r="T1500" s="140" t="str">
        <f t="shared" si="7"/>
        <v/>
      </c>
      <c r="U1500" s="136"/>
      <c r="V1500" s="136"/>
      <c r="W1500" s="136"/>
      <c r="X1500" s="136"/>
      <c r="Y1500" s="145"/>
      <c r="Z1500" s="145"/>
    </row>
    <row r="1501">
      <c r="E1501" s="136"/>
      <c r="F1501" s="136"/>
      <c r="G1501" s="136"/>
      <c r="H1501" s="137"/>
      <c r="I1501" s="136"/>
      <c r="J1501" s="136"/>
      <c r="K1501" s="136"/>
      <c r="L1501" s="136"/>
      <c r="M1501" s="136"/>
      <c r="N1501" s="136"/>
      <c r="O1501" s="142"/>
      <c r="P1501" s="140"/>
      <c r="Q1501" s="139"/>
      <c r="R1501" s="139"/>
      <c r="S1501" s="139"/>
      <c r="T1501" s="140" t="str">
        <f t="shared" si="7"/>
        <v/>
      </c>
      <c r="U1501" s="136"/>
      <c r="V1501" s="136"/>
      <c r="W1501" s="136"/>
      <c r="X1501" s="136"/>
      <c r="Y1501" s="145"/>
      <c r="Z1501" s="145"/>
    </row>
    <row r="1502">
      <c r="E1502" s="136"/>
      <c r="F1502" s="136"/>
      <c r="G1502" s="136"/>
      <c r="H1502" s="137"/>
      <c r="I1502" s="136"/>
      <c r="J1502" s="136"/>
      <c r="K1502" s="136"/>
      <c r="L1502" s="136"/>
      <c r="M1502" s="136"/>
      <c r="N1502" s="136"/>
      <c r="O1502" s="142"/>
      <c r="P1502" s="140"/>
      <c r="Q1502" s="139"/>
      <c r="R1502" s="139"/>
      <c r="S1502" s="139"/>
      <c r="T1502" s="140" t="str">
        <f t="shared" si="7"/>
        <v/>
      </c>
      <c r="U1502" s="136"/>
      <c r="V1502" s="136"/>
      <c r="W1502" s="136"/>
      <c r="X1502" s="136"/>
      <c r="Y1502" s="145"/>
      <c r="Z1502" s="145"/>
    </row>
    <row r="1503">
      <c r="E1503" s="136"/>
      <c r="F1503" s="136"/>
      <c r="G1503" s="136"/>
      <c r="H1503" s="137"/>
      <c r="I1503" s="136"/>
      <c r="J1503" s="136"/>
      <c r="K1503" s="136"/>
      <c r="L1503" s="136"/>
      <c r="M1503" s="136"/>
      <c r="N1503" s="136"/>
      <c r="O1503" s="142"/>
      <c r="P1503" s="140"/>
      <c r="Q1503" s="139"/>
      <c r="R1503" s="139"/>
      <c r="S1503" s="139"/>
      <c r="T1503" s="140" t="str">
        <f t="shared" si="7"/>
        <v/>
      </c>
      <c r="U1503" s="136"/>
      <c r="V1503" s="136"/>
      <c r="W1503" s="136"/>
      <c r="X1503" s="136"/>
      <c r="Y1503" s="145"/>
      <c r="Z1503" s="14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6" t="str">
        <f>IFERROR(__xludf.DUMMYFUNCTION("QUERY(IMPORTRANGE(Variables!B6, ""Master Contracts!A:K""), ""select Col1, Col2, Col3, Col5, Col9, Col7"")"),"Active")</f>
        <v>Active</v>
      </c>
      <c r="B1" s="146" t="str">
        <f>IFERROR(__xludf.DUMMYFUNCTION("""COMPUTED_VALUE"""),"RSC ID")</f>
        <v>RSC ID</v>
      </c>
      <c r="C1" s="146" t="str">
        <f>IFERROR(__xludf.DUMMYFUNCTION("""COMPUTED_VALUE"""),"Player Name")</f>
        <v>Player Name</v>
      </c>
      <c r="D1" s="146" t="str">
        <f>IFERROR(__xludf.DUMMYFUNCTION("""COMPUTED_VALUE"""),"Team")</f>
        <v>Team</v>
      </c>
      <c r="E1" s="146" t="str">
        <f>IFERROR(__xludf.DUMMYFUNCTION("""COMPUTED_VALUE"""),"Contract Length")</f>
        <v>Contract Length</v>
      </c>
      <c r="F1" s="146" t="str">
        <f>IFERROR(__xludf.DUMMYFUNCTION("""COMPUTED_VALUE"""),"Current MMR")</f>
        <v>Current MMR</v>
      </c>
    </row>
    <row r="2">
      <c r="A2" s="41" t="b">
        <f>IFERROR(__xludf.DUMMYFUNCTION("""COMPUTED_VALUE"""),TRUE)</f>
        <v>1</v>
      </c>
      <c r="B2" s="41" t="str">
        <f>IFERROR(__xludf.DUMMYFUNCTION("""COMPUTED_VALUE"""),"RSC000014")</f>
        <v>RSC000014</v>
      </c>
      <c r="C2" s="41" t="str">
        <f>IFERROR(__xludf.DUMMYFUNCTION("""COMPUTED_VALUE"""),"Queue")</f>
        <v>Queue</v>
      </c>
      <c r="D2" s="41" t="str">
        <f>IFERROR(__xludf.DUMMYFUNCTION("""COMPUTED_VALUE"""),"Manticore")</f>
        <v>Manticore</v>
      </c>
      <c r="E2" s="41">
        <f>IFERROR(__xludf.DUMMYFUNCTION("""COMPUTED_VALUE"""),2.0)</f>
        <v>2</v>
      </c>
      <c r="F2" s="41">
        <f>IFERROR(__xludf.DUMMYFUNCTION("""COMPUTED_VALUE"""),1165.0)</f>
        <v>1165</v>
      </c>
    </row>
    <row r="3">
      <c r="A3" s="41" t="b">
        <f>IFERROR(__xludf.DUMMYFUNCTION("""COMPUTED_VALUE"""),TRUE)</f>
        <v>1</v>
      </c>
      <c r="B3" s="41" t="str">
        <f>IFERROR(__xludf.DUMMYFUNCTION("""COMPUTED_VALUE"""),"RSC007911")</f>
        <v>RSC007911</v>
      </c>
      <c r="C3" s="41" t="str">
        <f>IFERROR(__xludf.DUMMYFUNCTION("""COMPUTED_VALUE"""),"Redhood913011")</f>
        <v>Redhood913011</v>
      </c>
      <c r="D3" s="41" t="str">
        <f>IFERROR(__xludf.DUMMYFUNCTION("""COMPUTED_VALUE"""),"Sirens")</f>
        <v>Sirens</v>
      </c>
      <c r="E3" s="41">
        <f>IFERROR(__xludf.DUMMYFUNCTION("""COMPUTED_VALUE"""),2.0)</f>
        <v>2</v>
      </c>
      <c r="F3" s="41">
        <f>IFERROR(__xludf.DUMMYFUNCTION("""COMPUTED_VALUE"""),1220.0)</f>
        <v>1220</v>
      </c>
    </row>
    <row r="4">
      <c r="A4" s="41" t="b">
        <f>IFERROR(__xludf.DUMMYFUNCTION("""COMPUTED_VALUE"""),TRUE)</f>
        <v>1</v>
      </c>
      <c r="B4" s="41" t="str">
        <f>IFERROR(__xludf.DUMMYFUNCTION("""COMPUTED_VALUE"""),"RSC000182")</f>
        <v>RSC000182</v>
      </c>
      <c r="C4" s="41" t="str">
        <f>IFERROR(__xludf.DUMMYFUNCTION("""COMPUTED_VALUE"""),"Goose")</f>
        <v>Goose</v>
      </c>
      <c r="D4" s="41" t="str">
        <f>IFERROR(__xludf.DUMMYFUNCTION("""COMPUTED_VALUE"""),"Banshees")</f>
        <v>Banshees</v>
      </c>
      <c r="E4" s="41">
        <f>IFERROR(__xludf.DUMMYFUNCTION("""COMPUTED_VALUE"""),2.0)</f>
        <v>2</v>
      </c>
      <c r="F4" s="41">
        <f>IFERROR(__xludf.DUMMYFUNCTION("""COMPUTED_VALUE"""),1410.0)</f>
        <v>1410</v>
      </c>
    </row>
    <row r="5">
      <c r="A5" s="41" t="b">
        <f>IFERROR(__xludf.DUMMYFUNCTION("""COMPUTED_VALUE"""),TRUE)</f>
        <v>1</v>
      </c>
      <c r="B5" s="41" t="str">
        <f>IFERROR(__xludf.DUMMYFUNCTION("""COMPUTED_VALUE"""),"RSC000233")</f>
        <v>RSC000233</v>
      </c>
      <c r="C5" s="41" t="str">
        <f>IFERROR(__xludf.DUMMYFUNCTION("""COMPUTED_VALUE"""),"LilPrsnWithAnger")</f>
        <v>LilPrsnWithAnger</v>
      </c>
      <c r="D5" s="41" t="str">
        <f>IFERROR(__xludf.DUMMYFUNCTION("""COMPUTED_VALUE"""),"Corals")</f>
        <v>Corals</v>
      </c>
      <c r="E5" s="41">
        <f>IFERROR(__xludf.DUMMYFUNCTION("""COMPUTED_VALUE"""),2.0)</f>
        <v>2</v>
      </c>
      <c r="F5" s="41">
        <f>IFERROR(__xludf.DUMMYFUNCTION("""COMPUTED_VALUE"""),1180.0)</f>
        <v>1180</v>
      </c>
    </row>
    <row r="6">
      <c r="A6" s="41" t="b">
        <f>IFERROR(__xludf.DUMMYFUNCTION("""COMPUTED_VALUE"""),FALSE)</f>
        <v>0</v>
      </c>
      <c r="B6" s="41" t="str">
        <f>IFERROR(__xludf.DUMMYFUNCTION("""COMPUTED_VALUE"""),"RSC007351")</f>
        <v>RSC007351</v>
      </c>
      <c r="C6" s="41" t="str">
        <f>IFERROR(__xludf.DUMMYFUNCTION("""COMPUTED_VALUE"""),"Justchilldude111")</f>
        <v>Justchilldude111</v>
      </c>
      <c r="D6" s="41"/>
      <c r="E6" s="41">
        <f>IFERROR(__xludf.DUMMYFUNCTION("""COMPUTED_VALUE"""),0.0)</f>
        <v>0</v>
      </c>
      <c r="F6" s="41">
        <f>IFERROR(__xludf.DUMMYFUNCTION("""COMPUTED_VALUE"""),1045.0)</f>
        <v>1045</v>
      </c>
    </row>
    <row r="7">
      <c r="A7" s="41" t="b">
        <f>IFERROR(__xludf.DUMMYFUNCTION("""COMPUTED_VALUE"""),TRUE)</f>
        <v>1</v>
      </c>
      <c r="B7" s="41" t="str">
        <f>IFERROR(__xludf.DUMMYFUNCTION("""COMPUTED_VALUE"""),"RSC000314")</f>
        <v>RSC000314</v>
      </c>
      <c r="C7" s="41" t="str">
        <f>IFERROR(__xludf.DUMMYFUNCTION("""COMPUTED_VALUE"""),"Yoza")</f>
        <v>Yoza</v>
      </c>
      <c r="D7" s="41" t="str">
        <f>IFERROR(__xludf.DUMMYFUNCTION("""COMPUTED_VALUE"""),"Gouda Gangsters")</f>
        <v>Gouda Gangsters</v>
      </c>
      <c r="E7" s="41">
        <f>IFERROR(__xludf.DUMMYFUNCTION("""COMPUTED_VALUE"""),2.0)</f>
        <v>2</v>
      </c>
      <c r="F7" s="41">
        <f>IFERROR(__xludf.DUMMYFUNCTION("""COMPUTED_VALUE"""),1455.0)</f>
        <v>1455</v>
      </c>
    </row>
    <row r="8">
      <c r="A8" s="41" t="b">
        <f>IFERROR(__xludf.DUMMYFUNCTION("""COMPUTED_VALUE"""),TRUE)</f>
        <v>1</v>
      </c>
      <c r="B8" s="41" t="str">
        <f>IFERROR(__xludf.DUMMYFUNCTION("""COMPUTED_VALUE"""),"RSC000323")</f>
        <v>RSC000323</v>
      </c>
      <c r="C8" s="41" t="str">
        <f>IFERROR(__xludf.DUMMYFUNCTION("""COMPUTED_VALUE"""),"Styk75")</f>
        <v>Styk75</v>
      </c>
      <c r="D8" s="41" t="str">
        <f>IFERROR(__xludf.DUMMYFUNCTION("""COMPUTED_VALUE"""),"Legionaries")</f>
        <v>Legionaries</v>
      </c>
      <c r="E8" s="41">
        <f>IFERROR(__xludf.DUMMYFUNCTION("""COMPUTED_VALUE"""),2.0)</f>
        <v>2</v>
      </c>
      <c r="F8" s="41">
        <f>IFERROR(__xludf.DUMMYFUNCTION("""COMPUTED_VALUE"""),880.0)</f>
        <v>880</v>
      </c>
    </row>
    <row r="9">
      <c r="A9" s="41" t="b">
        <f>IFERROR(__xludf.DUMMYFUNCTION("""COMPUTED_VALUE"""),TRUE)</f>
        <v>1</v>
      </c>
      <c r="B9" s="41" t="str">
        <f>IFERROR(__xludf.DUMMYFUNCTION("""COMPUTED_VALUE"""),"RSC000351")</f>
        <v>RSC000351</v>
      </c>
      <c r="C9" s="41" t="str">
        <f>IFERROR(__xludf.DUMMYFUNCTION("""COMPUTED_VALUE"""),"Mitzi")</f>
        <v>Mitzi</v>
      </c>
      <c r="D9" s="41" t="str">
        <f>IFERROR(__xludf.DUMMYFUNCTION("""COMPUTED_VALUE"""),"Porch Pirates")</f>
        <v>Porch Pirates</v>
      </c>
      <c r="E9" s="41">
        <f>IFERROR(__xludf.DUMMYFUNCTION("""COMPUTED_VALUE"""),2.0)</f>
        <v>2</v>
      </c>
      <c r="F9" s="41">
        <f>IFERROR(__xludf.DUMMYFUNCTION("""COMPUTED_VALUE"""),1090.0)</f>
        <v>1090</v>
      </c>
    </row>
    <row r="10">
      <c r="A10" s="41" t="b">
        <f>IFERROR(__xludf.DUMMYFUNCTION("""COMPUTED_VALUE"""),TRUE)</f>
        <v>1</v>
      </c>
      <c r="B10" s="41" t="str">
        <f>IFERROR(__xludf.DUMMYFUNCTION("""COMPUTED_VALUE"""),"RSC000335")</f>
        <v>RSC000335</v>
      </c>
      <c r="C10" s="41" t="str">
        <f>IFERROR(__xludf.DUMMYFUNCTION("""COMPUTED_VALUE"""),"PostMstrGeneral")</f>
        <v>PostMstrGeneral</v>
      </c>
      <c r="D10" s="41"/>
      <c r="E10" s="41">
        <f>IFERROR(__xludf.DUMMYFUNCTION("""COMPUTED_VALUE"""),0.0)</f>
        <v>0</v>
      </c>
      <c r="F10" s="41">
        <f>IFERROR(__xludf.DUMMYFUNCTION("""COMPUTED_VALUE"""),1295.0)</f>
        <v>1295</v>
      </c>
    </row>
    <row r="11">
      <c r="A11" s="41" t="b">
        <f>IFERROR(__xludf.DUMMYFUNCTION("""COMPUTED_VALUE"""),TRUE)</f>
        <v>1</v>
      </c>
      <c r="B11" s="41" t="str">
        <f>IFERROR(__xludf.DUMMYFUNCTION("""COMPUTED_VALUE"""),"RSC000499")</f>
        <v>RSC000499</v>
      </c>
      <c r="C11" s="41" t="str">
        <f>IFERROR(__xludf.DUMMYFUNCTION("""COMPUTED_VALUE"""),"johkev")</f>
        <v>johkev</v>
      </c>
      <c r="D11" s="41" t="str">
        <f>IFERROR(__xludf.DUMMYFUNCTION("""COMPUTED_VALUE"""),"Decuriones")</f>
        <v>Decuriones</v>
      </c>
      <c r="E11" s="41">
        <f>IFERROR(__xludf.DUMMYFUNCTION("""COMPUTED_VALUE"""),2.0)</f>
        <v>2</v>
      </c>
      <c r="F11" s="41">
        <f>IFERROR(__xludf.DUMMYFUNCTION("""COMPUTED_VALUE"""),1230.0)</f>
        <v>1230</v>
      </c>
    </row>
    <row r="12">
      <c r="A12" s="41" t="b">
        <f>IFERROR(__xludf.DUMMYFUNCTION("""COMPUTED_VALUE"""),TRUE)</f>
        <v>1</v>
      </c>
      <c r="B12" s="41" t="str">
        <f>IFERROR(__xludf.DUMMYFUNCTION("""COMPUTED_VALUE"""),"RSC000519")</f>
        <v>RSC000519</v>
      </c>
      <c r="C12" s="41" t="str">
        <f>IFERROR(__xludf.DUMMYFUNCTION("""COMPUTED_VALUE"""),"bovi")</f>
        <v>bovi</v>
      </c>
      <c r="D12" s="41" t="str">
        <f>IFERROR(__xludf.DUMMYFUNCTION("""COMPUTED_VALUE"""),"Dracos")</f>
        <v>Dracos</v>
      </c>
      <c r="E12" s="41">
        <f>IFERROR(__xludf.DUMMYFUNCTION("""COMPUTED_VALUE"""),2.0)</f>
        <v>2</v>
      </c>
      <c r="F12" s="41">
        <f>IFERROR(__xludf.DUMMYFUNCTION("""COMPUTED_VALUE"""),1370.0)</f>
        <v>1370</v>
      </c>
    </row>
    <row r="13">
      <c r="A13" s="41" t="b">
        <f>IFERROR(__xludf.DUMMYFUNCTION("""COMPUTED_VALUE"""),TRUE)</f>
        <v>1</v>
      </c>
      <c r="B13" s="41" t="str">
        <f>IFERROR(__xludf.DUMMYFUNCTION("""COMPUTED_VALUE"""),"RSC000464")</f>
        <v>RSC000464</v>
      </c>
      <c r="C13" s="41" t="str">
        <f>IFERROR(__xludf.DUMMYFUNCTION("""COMPUTED_VALUE"""),"OstinWASD")</f>
        <v>OstinWASD</v>
      </c>
      <c r="D13" s="41"/>
      <c r="E13" s="41">
        <f>IFERROR(__xludf.DUMMYFUNCTION("""COMPUTED_VALUE"""),0.0)</f>
        <v>0</v>
      </c>
      <c r="F13" s="41">
        <f>IFERROR(__xludf.DUMMYFUNCTION("""COMPUTED_VALUE"""),600.0)</f>
        <v>600</v>
      </c>
    </row>
    <row r="14">
      <c r="A14" s="41" t="b">
        <f>IFERROR(__xludf.DUMMYFUNCTION("""COMPUTED_VALUE"""),TRUE)</f>
        <v>1</v>
      </c>
      <c r="B14" s="41" t="str">
        <f>IFERROR(__xludf.DUMMYFUNCTION("""COMPUTED_VALUE"""),"RSC000550")</f>
        <v>RSC000550</v>
      </c>
      <c r="C14" s="41" t="str">
        <f>IFERROR(__xludf.DUMMYFUNCTION("""COMPUTED_VALUE"""),"ARJ")</f>
        <v>ARJ</v>
      </c>
      <c r="D14" s="41" t="str">
        <f>IFERROR(__xludf.DUMMYFUNCTION("""COMPUTED_VALUE"""),"Giraffes")</f>
        <v>Giraffes</v>
      </c>
      <c r="E14" s="41">
        <f>IFERROR(__xludf.DUMMYFUNCTION("""COMPUTED_VALUE"""),1.0)</f>
        <v>1</v>
      </c>
      <c r="F14" s="41">
        <f>IFERROR(__xludf.DUMMYFUNCTION("""COMPUTED_VALUE"""),1485.0)</f>
        <v>1485</v>
      </c>
    </row>
    <row r="15">
      <c r="A15" s="41" t="b">
        <f>IFERROR(__xludf.DUMMYFUNCTION("""COMPUTED_VALUE"""),TRUE)</f>
        <v>1</v>
      </c>
      <c r="B15" s="41" t="str">
        <f>IFERROR(__xludf.DUMMYFUNCTION("""COMPUTED_VALUE"""),"RSC000657")</f>
        <v>RSC000657</v>
      </c>
      <c r="C15" s="41" t="str">
        <f>IFERROR(__xludf.DUMMYFUNCTION("""COMPUTED_VALUE"""),"Saucey")</f>
        <v>Saucey</v>
      </c>
      <c r="D15" s="41" t="str">
        <f>IFERROR(__xludf.DUMMYFUNCTION("""COMPUTED_VALUE"""),"Fromunda Frauds")</f>
        <v>Fromunda Frauds</v>
      </c>
      <c r="E15" s="41">
        <f>IFERROR(__xludf.DUMMYFUNCTION("""COMPUTED_VALUE"""),1.0)</f>
        <v>1</v>
      </c>
      <c r="F15" s="41">
        <f>IFERROR(__xludf.DUMMYFUNCTION("""COMPUTED_VALUE"""),1775.0)</f>
        <v>1775</v>
      </c>
    </row>
    <row r="16">
      <c r="A16" s="41" t="b">
        <f>IFERROR(__xludf.DUMMYFUNCTION("""COMPUTED_VALUE"""),TRUE)</f>
        <v>1</v>
      </c>
      <c r="B16" s="41" t="str">
        <f>IFERROR(__xludf.DUMMYFUNCTION("""COMPUTED_VALUE"""),"RSC000649")</f>
        <v>RSC000649</v>
      </c>
      <c r="C16" s="41" t="str">
        <f>IFERROR(__xludf.DUMMYFUNCTION("""COMPUTED_VALUE"""),"JeiWoo")</f>
        <v>JeiWoo</v>
      </c>
      <c r="D16" s="41"/>
      <c r="E16" s="41">
        <f>IFERROR(__xludf.DUMMYFUNCTION("""COMPUTED_VALUE"""),0.0)</f>
        <v>0</v>
      </c>
      <c r="F16" s="41">
        <f>IFERROR(__xludf.DUMMYFUNCTION("""COMPUTED_VALUE"""),1545.0)</f>
        <v>1545</v>
      </c>
    </row>
    <row r="17">
      <c r="A17" s="41" t="b">
        <f>IFERROR(__xludf.DUMMYFUNCTION("""COMPUTED_VALUE"""),TRUE)</f>
        <v>1</v>
      </c>
      <c r="B17" s="41" t="str">
        <f>IFERROR(__xludf.DUMMYFUNCTION("""COMPUTED_VALUE"""),"RSC000686")</f>
        <v>RSC000686</v>
      </c>
      <c r="C17" s="41" t="str">
        <f>IFERROR(__xludf.DUMMYFUNCTION("""COMPUTED_VALUE"""),"mom jeans xl")</f>
        <v>mom jeans xl</v>
      </c>
      <c r="D17" s="41" t="str">
        <f>IFERROR(__xludf.DUMMYFUNCTION("""COMPUTED_VALUE"""),"Blacktips")</f>
        <v>Blacktips</v>
      </c>
      <c r="E17" s="41">
        <f>IFERROR(__xludf.DUMMYFUNCTION("""COMPUTED_VALUE"""),2.0)</f>
        <v>2</v>
      </c>
      <c r="F17" s="41">
        <f>IFERROR(__xludf.DUMMYFUNCTION("""COMPUTED_VALUE"""),1070.0)</f>
        <v>1070</v>
      </c>
    </row>
    <row r="18">
      <c r="A18" s="41" t="b">
        <f>IFERROR(__xludf.DUMMYFUNCTION("""COMPUTED_VALUE"""),TRUE)</f>
        <v>1</v>
      </c>
      <c r="B18" s="41" t="str">
        <f>IFERROR(__xludf.DUMMYFUNCTION("""COMPUTED_VALUE"""),"RSC007487")</f>
        <v>RSC007487</v>
      </c>
      <c r="C18" s="41" t="str">
        <f>IFERROR(__xludf.DUMMYFUNCTION("""COMPUTED_VALUE"""),"YoloOnTinder")</f>
        <v>YoloOnTinder</v>
      </c>
      <c r="D18" s="41"/>
      <c r="E18" s="41">
        <f>IFERROR(__xludf.DUMMYFUNCTION("""COMPUTED_VALUE"""),0.0)</f>
        <v>0</v>
      </c>
      <c r="F18" s="41">
        <f>IFERROR(__xludf.DUMMYFUNCTION("""COMPUTED_VALUE"""),1265.0)</f>
        <v>1265</v>
      </c>
    </row>
    <row r="19">
      <c r="A19" s="41" t="b">
        <f>IFERROR(__xludf.DUMMYFUNCTION("""COMPUTED_VALUE"""),TRUE)</f>
        <v>1</v>
      </c>
      <c r="B19" s="41" t="str">
        <f>IFERROR(__xludf.DUMMYFUNCTION("""COMPUTED_VALUE"""),"RSC000731")</f>
        <v>RSC000731</v>
      </c>
      <c r="C19" s="41" t="str">
        <f>IFERROR(__xludf.DUMMYFUNCTION("""COMPUTED_VALUE"""),"mm2")</f>
        <v>mm2</v>
      </c>
      <c r="D19" s="41" t="str">
        <f>IFERROR(__xludf.DUMMYFUNCTION("""COMPUTED_VALUE"""),"Navigators")</f>
        <v>Navigators</v>
      </c>
      <c r="E19" s="41">
        <f>IFERROR(__xludf.DUMMYFUNCTION("""COMPUTED_VALUE"""),2.0)</f>
        <v>2</v>
      </c>
      <c r="F19" s="41">
        <f>IFERROR(__xludf.DUMMYFUNCTION("""COMPUTED_VALUE"""),1435.0)</f>
        <v>1435</v>
      </c>
    </row>
    <row r="20">
      <c r="A20" s="41" t="b">
        <f>IFERROR(__xludf.DUMMYFUNCTION("""COMPUTED_VALUE"""),TRUE)</f>
        <v>1</v>
      </c>
      <c r="B20" s="41" t="str">
        <f>IFERROR(__xludf.DUMMYFUNCTION("""COMPUTED_VALUE"""),"RSC006903")</f>
        <v>RSC006903</v>
      </c>
      <c r="C20" s="41" t="str">
        <f>IFERROR(__xludf.DUMMYFUNCTION("""COMPUTED_VALUE"""),"BobbyWitDatT00L")</f>
        <v>BobbyWitDatT00L</v>
      </c>
      <c r="D20" s="41" t="str">
        <f>IFERROR(__xludf.DUMMYFUNCTION("""COMPUTED_VALUE"""),"Heinous Henchmen")</f>
        <v>Heinous Henchmen</v>
      </c>
      <c r="E20" s="41">
        <f>IFERROR(__xludf.DUMMYFUNCTION("""COMPUTED_VALUE"""),2.0)</f>
        <v>2</v>
      </c>
      <c r="F20" s="41">
        <f>IFERROR(__xludf.DUMMYFUNCTION("""COMPUTED_VALUE"""),1725.0)</f>
        <v>1725</v>
      </c>
    </row>
    <row r="21">
      <c r="A21" s="41" t="b">
        <f>IFERROR(__xludf.DUMMYFUNCTION("""COMPUTED_VALUE"""),FALSE)</f>
        <v>0</v>
      </c>
      <c r="B21" s="41" t="str">
        <f>IFERROR(__xludf.DUMMYFUNCTION("""COMPUTED_VALUE"""),"RSC008272")</f>
        <v>RSC008272</v>
      </c>
      <c r="C21" s="41" t="str">
        <f>IFERROR(__xludf.DUMMYFUNCTION("""COMPUTED_VALUE"""),"WarBean")</f>
        <v>WarBean</v>
      </c>
      <c r="D21" s="41"/>
      <c r="E21" s="41">
        <f>IFERROR(__xludf.DUMMYFUNCTION("""COMPUTED_VALUE"""),0.0)</f>
        <v>0</v>
      </c>
      <c r="F21" s="41">
        <f>IFERROR(__xludf.DUMMYFUNCTION("""COMPUTED_VALUE"""),600.0)</f>
        <v>600</v>
      </c>
    </row>
    <row r="22">
      <c r="A22" s="41" t="b">
        <f>IFERROR(__xludf.DUMMYFUNCTION("""COMPUTED_VALUE"""),TRUE)</f>
        <v>1</v>
      </c>
      <c r="B22" s="41" t="str">
        <f>IFERROR(__xludf.DUMMYFUNCTION("""COMPUTED_VALUE"""),"RSC000922")</f>
        <v>RSC000922</v>
      </c>
      <c r="C22" s="41" t="str">
        <f>IFERROR(__xludf.DUMMYFUNCTION("""COMPUTED_VALUE"""),"D_e_r_k")</f>
        <v>D_e_r_k</v>
      </c>
      <c r="D22" s="41" t="str">
        <f>IFERROR(__xludf.DUMMYFUNCTION("""COMPUTED_VALUE"""),"Shade")</f>
        <v>Shade</v>
      </c>
      <c r="E22" s="41">
        <f>IFERROR(__xludf.DUMMYFUNCTION("""COMPUTED_VALUE"""),2.0)</f>
        <v>2</v>
      </c>
      <c r="F22" s="41">
        <f>IFERROR(__xludf.DUMMYFUNCTION("""COMPUTED_VALUE"""),1190.0)</f>
        <v>1190</v>
      </c>
    </row>
    <row r="23">
      <c r="A23" s="41" t="b">
        <f>IFERROR(__xludf.DUMMYFUNCTION("""COMPUTED_VALUE"""),TRUE)</f>
        <v>1</v>
      </c>
      <c r="B23" s="41" t="str">
        <f>IFERROR(__xludf.DUMMYFUNCTION("""COMPUTED_VALUE"""),"RSC007354")</f>
        <v>RSC007354</v>
      </c>
      <c r="C23" s="41" t="str">
        <f>IFERROR(__xludf.DUMMYFUNCTION("""COMPUTED_VALUE"""),"Fanatic")</f>
        <v>Fanatic</v>
      </c>
      <c r="D23" s="41" t="str">
        <f>IFERROR(__xludf.DUMMYFUNCTION("""COMPUTED_VALUE"""),"Hellhounds")</f>
        <v>Hellhounds</v>
      </c>
      <c r="E23" s="41">
        <f>IFERROR(__xludf.DUMMYFUNCTION("""COMPUTED_VALUE"""),2.0)</f>
        <v>2</v>
      </c>
      <c r="F23" s="41">
        <f>IFERROR(__xludf.DUMMYFUNCTION("""COMPUTED_VALUE"""),1645.0)</f>
        <v>1645</v>
      </c>
    </row>
    <row r="24">
      <c r="A24" s="41" t="b">
        <f>IFERROR(__xludf.DUMMYFUNCTION("""COMPUTED_VALUE"""),TRUE)</f>
        <v>1</v>
      </c>
      <c r="B24" s="41" t="str">
        <f>IFERROR(__xludf.DUMMYFUNCTION("""COMPUTED_VALUE"""),"RSC000799")</f>
        <v>RSC000799</v>
      </c>
      <c r="C24" s="41" t="str">
        <f>IFERROR(__xludf.DUMMYFUNCTION("""COMPUTED_VALUE"""),"Foam")</f>
        <v>Foam</v>
      </c>
      <c r="D24" s="41" t="str">
        <f>IFERROR(__xludf.DUMMYFUNCTION("""COMPUTED_VALUE"""),"Reapers")</f>
        <v>Reapers</v>
      </c>
      <c r="E24" s="41">
        <f>IFERROR(__xludf.DUMMYFUNCTION("""COMPUTED_VALUE"""),2.0)</f>
        <v>2</v>
      </c>
      <c r="F24" s="41">
        <f>IFERROR(__xludf.DUMMYFUNCTION("""COMPUTED_VALUE"""),1705.0)</f>
        <v>1705</v>
      </c>
    </row>
    <row r="25">
      <c r="A25" s="41" t="b">
        <f>IFERROR(__xludf.DUMMYFUNCTION("""COMPUTED_VALUE"""),TRUE)</f>
        <v>1</v>
      </c>
      <c r="B25" s="41" t="str">
        <f>IFERROR(__xludf.DUMMYFUNCTION("""COMPUTED_VALUE"""),"RSC000989")</f>
        <v>RSC000989</v>
      </c>
      <c r="C25" s="41" t="str">
        <f>IFERROR(__xludf.DUMMYFUNCTION("""COMPUTED_VALUE"""),"Piky Life88")</f>
        <v>Piky Life88</v>
      </c>
      <c r="D25" s="41"/>
      <c r="E25" s="41">
        <f>IFERROR(__xludf.DUMMYFUNCTION("""COMPUTED_VALUE"""),0.0)</f>
        <v>0</v>
      </c>
      <c r="F25" s="41">
        <f>IFERROR(__xludf.DUMMYFUNCTION("""COMPUTED_VALUE"""),1040.0)</f>
        <v>1040</v>
      </c>
    </row>
    <row r="26">
      <c r="A26" s="41" t="b">
        <f>IFERROR(__xludf.DUMMYFUNCTION("""COMPUTED_VALUE"""),TRUE)</f>
        <v>1</v>
      </c>
      <c r="B26" s="41" t="str">
        <f>IFERROR(__xludf.DUMMYFUNCTION("""COMPUTED_VALUE"""),"RSC001055")</f>
        <v>RSC001055</v>
      </c>
      <c r="C26" s="41" t="str">
        <f>IFERROR(__xludf.DUMMYFUNCTION("""COMPUTED_VALUE"""),"Scotti")</f>
        <v>Scotti</v>
      </c>
      <c r="D26" s="41" t="str">
        <f>IFERROR(__xludf.DUMMYFUNCTION("""COMPUTED_VALUE"""),"Battle Masters")</f>
        <v>Battle Masters</v>
      </c>
      <c r="E26" s="41">
        <f>IFERROR(__xludf.DUMMYFUNCTION("""COMPUTED_VALUE"""),2.0)</f>
        <v>2</v>
      </c>
      <c r="F26" s="41">
        <f>IFERROR(__xludf.DUMMYFUNCTION("""COMPUTED_VALUE"""),1705.0)</f>
        <v>1705</v>
      </c>
    </row>
    <row r="27">
      <c r="A27" s="41" t="b">
        <f>IFERROR(__xludf.DUMMYFUNCTION("""COMPUTED_VALUE"""),TRUE)</f>
        <v>1</v>
      </c>
      <c r="B27" s="41" t="str">
        <f>IFERROR(__xludf.DUMMYFUNCTION("""COMPUTED_VALUE"""),"RSC001091")</f>
        <v>RSC001091</v>
      </c>
      <c r="C27" s="41" t="str">
        <f>IFERROR(__xludf.DUMMYFUNCTION("""COMPUTED_VALUE"""),"stealthman777")</f>
        <v>stealthman777</v>
      </c>
      <c r="D27" s="41" t="str">
        <f>IFERROR(__xludf.DUMMYFUNCTION("""COMPUTED_VALUE"""),"Kirin")</f>
        <v>Kirin</v>
      </c>
      <c r="E27" s="41">
        <f>IFERROR(__xludf.DUMMYFUNCTION("""COMPUTED_VALUE"""),1.0)</f>
        <v>1</v>
      </c>
      <c r="F27" s="41">
        <f>IFERROR(__xludf.DUMMYFUNCTION("""COMPUTED_VALUE"""),1410.0)</f>
        <v>1410</v>
      </c>
    </row>
    <row r="28">
      <c r="A28" s="41" t="b">
        <f>IFERROR(__xludf.DUMMYFUNCTION("""COMPUTED_VALUE"""),FALSE)</f>
        <v>0</v>
      </c>
      <c r="B28" s="41" t="str">
        <f>IFERROR(__xludf.DUMMYFUNCTION("""COMPUTED_VALUE"""),"RSC008235")</f>
        <v>RSC008235</v>
      </c>
      <c r="C28" s="41" t="str">
        <f>IFERROR(__xludf.DUMMYFUNCTION("""COMPUTED_VALUE"""),"Sgt Blump")</f>
        <v>Sgt Blump</v>
      </c>
      <c r="D28" s="41"/>
      <c r="E28" s="41">
        <f>IFERROR(__xludf.DUMMYFUNCTION("""COMPUTED_VALUE"""),0.0)</f>
        <v>0</v>
      </c>
      <c r="F28" s="41">
        <f>IFERROR(__xludf.DUMMYFUNCTION("""COMPUTED_VALUE"""),1620.0)</f>
        <v>1620</v>
      </c>
    </row>
    <row r="29">
      <c r="A29" s="41" t="b">
        <f>IFERROR(__xludf.DUMMYFUNCTION("""COMPUTED_VALUE"""),TRUE)</f>
        <v>1</v>
      </c>
      <c r="B29" s="41" t="str">
        <f>IFERROR(__xludf.DUMMYFUNCTION("""COMPUTED_VALUE"""),"RSC001098")</f>
        <v>RSC001098</v>
      </c>
      <c r="C29" s="41" t="str">
        <f>IFERROR(__xludf.DUMMYFUNCTION("""COMPUTED_VALUE"""),"Wafe")</f>
        <v>Wafe</v>
      </c>
      <c r="D29" s="41" t="str">
        <f>IFERROR(__xludf.DUMMYFUNCTION("""COMPUTED_VALUE"""),"Hellhounds")</f>
        <v>Hellhounds</v>
      </c>
      <c r="E29" s="41">
        <f>IFERROR(__xludf.DUMMYFUNCTION("""COMPUTED_VALUE"""),2.0)</f>
        <v>2</v>
      </c>
      <c r="F29" s="41">
        <f>IFERROR(__xludf.DUMMYFUNCTION("""COMPUTED_VALUE"""),1635.0)</f>
        <v>1635</v>
      </c>
    </row>
    <row r="30">
      <c r="A30" s="41" t="b">
        <f>IFERROR(__xludf.DUMMYFUNCTION("""COMPUTED_VALUE"""),FALSE)</f>
        <v>0</v>
      </c>
      <c r="B30" s="41" t="str">
        <f>IFERROR(__xludf.DUMMYFUNCTION("""COMPUTED_VALUE"""),"RSC001202")</f>
        <v>RSC001202</v>
      </c>
      <c r="C30" s="41" t="str">
        <f>IFERROR(__xludf.DUMMYFUNCTION("""COMPUTED_VALUE"""),"Clown Sandwich")</f>
        <v>Clown Sandwich</v>
      </c>
      <c r="D30" s="41"/>
      <c r="E30" s="41">
        <f>IFERROR(__xludf.DUMMYFUNCTION("""COMPUTED_VALUE"""),0.0)</f>
        <v>0</v>
      </c>
      <c r="F30" s="41">
        <f>IFERROR(__xludf.DUMMYFUNCTION("""COMPUTED_VALUE"""),1310.0)</f>
        <v>1310</v>
      </c>
    </row>
    <row r="31">
      <c r="A31" s="41" t="b">
        <f>IFERROR(__xludf.DUMMYFUNCTION("""COMPUTED_VALUE"""),TRUE)</f>
        <v>1</v>
      </c>
      <c r="B31" s="41" t="str">
        <f>IFERROR(__xludf.DUMMYFUNCTION("""COMPUTED_VALUE"""),"RSC001199")</f>
        <v>RSC001199</v>
      </c>
      <c r="C31" s="41" t="str">
        <f>IFERROR(__xludf.DUMMYFUNCTION("""COMPUTED_VALUE"""),"Classy")</f>
        <v>Classy</v>
      </c>
      <c r="D31" s="41" t="str">
        <f>IFERROR(__xludf.DUMMYFUNCTION("""COMPUTED_VALUE"""),"Water")</f>
        <v>Water</v>
      </c>
      <c r="E31" s="41">
        <f>IFERROR(__xludf.DUMMYFUNCTION("""COMPUTED_VALUE"""),1.0)</f>
        <v>1</v>
      </c>
      <c r="F31" s="41">
        <f>IFERROR(__xludf.DUMMYFUNCTION("""COMPUTED_VALUE"""),1500.0)</f>
        <v>1500</v>
      </c>
    </row>
    <row r="32">
      <c r="A32" s="41" t="b">
        <f>IFERROR(__xludf.DUMMYFUNCTION("""COMPUTED_VALUE"""),TRUE)</f>
        <v>1</v>
      </c>
      <c r="B32" s="41" t="str">
        <f>IFERROR(__xludf.DUMMYFUNCTION("""COMPUTED_VALUE"""),"RSC001292")</f>
        <v>RSC001292</v>
      </c>
      <c r="C32" s="41" t="str">
        <f>IFERROR(__xludf.DUMMYFUNCTION("""COMPUTED_VALUE"""),"flamethrowr")</f>
        <v>flamethrowr</v>
      </c>
      <c r="D32" s="41" t="str">
        <f>IFERROR(__xludf.DUMMYFUNCTION("""COMPUTED_VALUE"""),"Menthol")</f>
        <v>Menthol</v>
      </c>
      <c r="E32" s="41">
        <f>IFERROR(__xludf.DUMMYFUNCTION("""COMPUTED_VALUE"""),2.0)</f>
        <v>2</v>
      </c>
      <c r="F32" s="41">
        <f>IFERROR(__xludf.DUMMYFUNCTION("""COMPUTED_VALUE"""),1565.0)</f>
        <v>1565</v>
      </c>
    </row>
    <row r="33">
      <c r="A33" s="41" t="b">
        <f>IFERROR(__xludf.DUMMYFUNCTION("""COMPUTED_VALUE"""),FALSE)</f>
        <v>0</v>
      </c>
      <c r="B33" s="41" t="str">
        <f>IFERROR(__xludf.DUMMYFUNCTION("""COMPUTED_VALUE"""),"RSC007224")</f>
        <v>RSC007224</v>
      </c>
      <c r="C33" s="41" t="str">
        <f>IFERROR(__xludf.DUMMYFUNCTION("""COMPUTED_VALUE"""),"CaptnFlufflepuff")</f>
        <v>CaptnFlufflepuff</v>
      </c>
      <c r="D33" s="41"/>
      <c r="E33" s="41">
        <f>IFERROR(__xludf.DUMMYFUNCTION("""COMPUTED_VALUE"""),0.0)</f>
        <v>0</v>
      </c>
      <c r="F33" s="41">
        <f>IFERROR(__xludf.DUMMYFUNCTION("""COMPUTED_VALUE"""),600.0)</f>
        <v>600</v>
      </c>
    </row>
    <row r="34">
      <c r="A34" s="41" t="b">
        <f>IFERROR(__xludf.DUMMYFUNCTION("""COMPUTED_VALUE"""),TRUE)</f>
        <v>1</v>
      </c>
      <c r="B34" s="41" t="str">
        <f>IFERROR(__xludf.DUMMYFUNCTION("""COMPUTED_VALUE"""),"RSC001262")</f>
        <v>RSC001262</v>
      </c>
      <c r="C34" s="41" t="str">
        <f>IFERROR(__xludf.DUMMYFUNCTION("""COMPUTED_VALUE"""),"droogin01")</f>
        <v>droogin01</v>
      </c>
      <c r="D34" s="41"/>
      <c r="E34" s="41">
        <f>IFERROR(__xludf.DUMMYFUNCTION("""COMPUTED_VALUE"""),0.0)</f>
        <v>0</v>
      </c>
      <c r="F34" s="41">
        <f>IFERROR(__xludf.DUMMYFUNCTION("""COMPUTED_VALUE"""),1060.0)</f>
        <v>1060</v>
      </c>
    </row>
    <row r="35">
      <c r="A35" s="41" t="b">
        <f>IFERROR(__xludf.DUMMYFUNCTION("""COMPUTED_VALUE"""),TRUE)</f>
        <v>1</v>
      </c>
      <c r="B35" s="41" t="str">
        <f>IFERROR(__xludf.DUMMYFUNCTION("""COMPUTED_VALUE"""),"RSC001330")</f>
        <v>RSC001330</v>
      </c>
      <c r="C35" s="41" t="str">
        <f>IFERROR(__xludf.DUMMYFUNCTION("""COMPUTED_VALUE"""),"Blissful Beluga")</f>
        <v>Blissful Beluga</v>
      </c>
      <c r="D35" s="41" t="str">
        <f>IFERROR(__xludf.DUMMYFUNCTION("""COMPUTED_VALUE"""),"Howlers")</f>
        <v>Howlers</v>
      </c>
      <c r="E35" s="41">
        <f>IFERROR(__xludf.DUMMYFUNCTION("""COMPUTED_VALUE"""),1.0)</f>
        <v>1</v>
      </c>
      <c r="F35" s="41">
        <f>IFERROR(__xludf.DUMMYFUNCTION("""COMPUTED_VALUE"""),1275.0)</f>
        <v>1275</v>
      </c>
    </row>
    <row r="36">
      <c r="A36" s="41" t="b">
        <f>IFERROR(__xludf.DUMMYFUNCTION("""COMPUTED_VALUE"""),TRUE)</f>
        <v>1</v>
      </c>
      <c r="B36" s="41" t="str">
        <f>IFERROR(__xludf.DUMMYFUNCTION("""COMPUTED_VALUE"""),"RSC001358")</f>
        <v>RSC001358</v>
      </c>
      <c r="C36" s="41" t="str">
        <f>IFERROR(__xludf.DUMMYFUNCTION("""COMPUTED_VALUE"""),"Cob")</f>
        <v>Cob</v>
      </c>
      <c r="D36" s="41" t="str">
        <f>IFERROR(__xludf.DUMMYFUNCTION("""COMPUTED_VALUE"""),"Dracos")</f>
        <v>Dracos</v>
      </c>
      <c r="E36" s="41">
        <f>IFERROR(__xludf.DUMMYFUNCTION("""COMPUTED_VALUE"""),2.0)</f>
        <v>2</v>
      </c>
      <c r="F36" s="41">
        <f>IFERROR(__xludf.DUMMYFUNCTION("""COMPUTED_VALUE"""),1325.0)</f>
        <v>1325</v>
      </c>
    </row>
    <row r="37">
      <c r="A37" s="41" t="b">
        <f>IFERROR(__xludf.DUMMYFUNCTION("""COMPUTED_VALUE"""),FALSE)</f>
        <v>0</v>
      </c>
      <c r="B37" s="41" t="str">
        <f>IFERROR(__xludf.DUMMYFUNCTION("""COMPUTED_VALUE"""),"RSC001457")</f>
        <v>RSC001457</v>
      </c>
      <c r="C37" s="41" t="str">
        <f>IFERROR(__xludf.DUMMYFUNCTION("""COMPUTED_VALUE"""),"Roman.")</f>
        <v>Roman.</v>
      </c>
      <c r="D37" s="41"/>
      <c r="E37" s="41">
        <f>IFERROR(__xludf.DUMMYFUNCTION("""COMPUTED_VALUE"""),0.0)</f>
        <v>0</v>
      </c>
      <c r="F37" s="41">
        <f>IFERROR(__xludf.DUMMYFUNCTION("""COMPUTED_VALUE"""),600.0)</f>
        <v>600</v>
      </c>
    </row>
    <row r="38">
      <c r="A38" s="41" t="b">
        <f>IFERROR(__xludf.DUMMYFUNCTION("""COMPUTED_VALUE"""),TRUE)</f>
        <v>1</v>
      </c>
      <c r="B38" s="41" t="str">
        <f>IFERROR(__xludf.DUMMYFUNCTION("""COMPUTED_VALUE"""),"RSC001558")</f>
        <v>RSC001558</v>
      </c>
      <c r="C38" s="41" t="str">
        <f>IFERROR(__xludf.DUMMYFUNCTION("""COMPUTED_VALUE"""),"Not so Speedy Petey")</f>
        <v>Not so Speedy Petey</v>
      </c>
      <c r="D38" s="41"/>
      <c r="E38" s="41">
        <f>IFERROR(__xludf.DUMMYFUNCTION("""COMPUTED_VALUE"""),0.0)</f>
        <v>0</v>
      </c>
      <c r="F38" s="41">
        <f>IFERROR(__xludf.DUMMYFUNCTION("""COMPUTED_VALUE"""),1400.0)</f>
        <v>1400</v>
      </c>
    </row>
    <row r="39">
      <c r="A39" s="41" t="b">
        <f>IFERROR(__xludf.DUMMYFUNCTION("""COMPUTED_VALUE"""),TRUE)</f>
        <v>1</v>
      </c>
      <c r="B39" s="41" t="str">
        <f>IFERROR(__xludf.DUMMYFUNCTION("""COMPUTED_VALUE"""),"RSC001720")</f>
        <v>RSC001720</v>
      </c>
      <c r="C39" s="41" t="str">
        <f>IFERROR(__xludf.DUMMYFUNCTION("""COMPUTED_VALUE"""),"SUPERDUPERBAM")</f>
        <v>SUPERDUPERBAM</v>
      </c>
      <c r="D39" s="41" t="str">
        <f>IFERROR(__xludf.DUMMYFUNCTION("""COMPUTED_VALUE"""),"Tax Evaders")</f>
        <v>Tax Evaders</v>
      </c>
      <c r="E39" s="41">
        <f>IFERROR(__xludf.DUMMYFUNCTION("""COMPUTED_VALUE"""),0.0)</f>
        <v>0</v>
      </c>
      <c r="F39" s="41">
        <f>IFERROR(__xludf.DUMMYFUNCTION("""COMPUTED_VALUE"""),1370.0)</f>
        <v>1370</v>
      </c>
    </row>
    <row r="40">
      <c r="A40" s="41" t="b">
        <f>IFERROR(__xludf.DUMMYFUNCTION("""COMPUTED_VALUE"""),TRUE)</f>
        <v>1</v>
      </c>
      <c r="B40" s="41" t="str">
        <f>IFERROR(__xludf.DUMMYFUNCTION("""COMPUTED_VALUE"""),"RSC007062")</f>
        <v>RSC007062</v>
      </c>
      <c r="C40" s="41" t="str">
        <f>IFERROR(__xludf.DUMMYFUNCTION("""COMPUTED_VALUE"""),"Ice Phoenix")</f>
        <v>Ice Phoenix</v>
      </c>
      <c r="D40" s="41" t="str">
        <f>IFERROR(__xludf.DUMMYFUNCTION("""COMPUTED_VALUE"""),"Street Rats")</f>
        <v>Street Rats</v>
      </c>
      <c r="E40" s="41">
        <f>IFERROR(__xludf.DUMMYFUNCTION("""COMPUTED_VALUE"""),1.0)</f>
        <v>1</v>
      </c>
      <c r="F40" s="41">
        <f>IFERROR(__xludf.DUMMYFUNCTION("""COMPUTED_VALUE"""),1485.0)</f>
        <v>1485</v>
      </c>
    </row>
    <row r="41">
      <c r="A41" s="41" t="b">
        <f>IFERROR(__xludf.DUMMYFUNCTION("""COMPUTED_VALUE"""),TRUE)</f>
        <v>1</v>
      </c>
      <c r="B41" s="41" t="str">
        <f>IFERROR(__xludf.DUMMYFUNCTION("""COMPUTED_VALUE"""),"RSC001935")</f>
        <v>RSC001935</v>
      </c>
      <c r="C41" s="41" t="str">
        <f>IFERROR(__xludf.DUMMYFUNCTION("""COMPUTED_VALUE"""),"Kenobs")</f>
        <v>Kenobs</v>
      </c>
      <c r="D41" s="41" t="str">
        <f>IFERROR(__xludf.DUMMYFUNCTION("""COMPUTED_VALUE"""),"Lemurs")</f>
        <v>Lemurs</v>
      </c>
      <c r="E41" s="41">
        <f>IFERROR(__xludf.DUMMYFUNCTION("""COMPUTED_VALUE"""),2.0)</f>
        <v>2</v>
      </c>
      <c r="F41" s="41">
        <f>IFERROR(__xludf.DUMMYFUNCTION("""COMPUTED_VALUE"""),1760.0)</f>
        <v>1760</v>
      </c>
    </row>
    <row r="42">
      <c r="A42" s="41" t="b">
        <f>IFERROR(__xludf.DUMMYFUNCTION("""COMPUTED_VALUE"""),TRUE)</f>
        <v>1</v>
      </c>
      <c r="B42" s="41" t="str">
        <f>IFERROR(__xludf.DUMMYFUNCTION("""COMPUTED_VALUE"""),"RSC002040")</f>
        <v>RSC002040</v>
      </c>
      <c r="C42" s="41" t="str">
        <f>IFERROR(__xludf.DUMMYFUNCTION("""COMPUTED_VALUE"""),"Scomps")</f>
        <v>Scomps</v>
      </c>
      <c r="D42" s="41" t="str">
        <f>IFERROR(__xludf.DUMMYFUNCTION("""COMPUTED_VALUE"""),"Decuriones")</f>
        <v>Decuriones</v>
      </c>
      <c r="E42" s="41">
        <f>IFERROR(__xludf.DUMMYFUNCTION("""COMPUTED_VALUE"""),2.0)</f>
        <v>2</v>
      </c>
      <c r="F42" s="41">
        <f>IFERROR(__xludf.DUMMYFUNCTION("""COMPUTED_VALUE"""),1215.0)</f>
        <v>1215</v>
      </c>
    </row>
    <row r="43">
      <c r="A43" s="41" t="b">
        <f>IFERROR(__xludf.DUMMYFUNCTION("""COMPUTED_VALUE"""),FALSE)</f>
        <v>0</v>
      </c>
      <c r="B43" s="41" t="str">
        <f>IFERROR(__xludf.DUMMYFUNCTION("""COMPUTED_VALUE"""),"RSC002110")</f>
        <v>RSC002110</v>
      </c>
      <c r="C43" s="41" t="str">
        <f>IFERROR(__xludf.DUMMYFUNCTION("""COMPUTED_VALUE"""),";DYPGG")</f>
        <v>;DYPGG</v>
      </c>
      <c r="D43" s="41"/>
      <c r="E43" s="41">
        <f>IFERROR(__xludf.DUMMYFUNCTION("""COMPUTED_VALUE"""),0.0)</f>
        <v>0</v>
      </c>
      <c r="F43" s="41">
        <f>IFERROR(__xludf.DUMMYFUNCTION("""COMPUTED_VALUE"""),2000.0)</f>
        <v>2000</v>
      </c>
    </row>
    <row r="44">
      <c r="A44" s="41" t="b">
        <f>IFERROR(__xludf.DUMMYFUNCTION("""COMPUTED_VALUE"""),TRUE)</f>
        <v>1</v>
      </c>
      <c r="B44" s="41" t="str">
        <f>IFERROR(__xludf.DUMMYFUNCTION("""COMPUTED_VALUE"""),"RSC002164")</f>
        <v>RSC002164</v>
      </c>
      <c r="C44" s="41" t="str">
        <f>IFERROR(__xludf.DUMMYFUNCTION("""COMPUTED_VALUE"""),"Dosia")</f>
        <v>Dosia</v>
      </c>
      <c r="D44" s="41" t="str">
        <f>IFERROR(__xludf.DUMMYFUNCTION("""COMPUTED_VALUE"""),"Hellhounds")</f>
        <v>Hellhounds</v>
      </c>
      <c r="E44" s="41">
        <f>IFERROR(__xludf.DUMMYFUNCTION("""COMPUTED_VALUE"""),2.0)</f>
        <v>2</v>
      </c>
      <c r="F44" s="41">
        <f>IFERROR(__xludf.DUMMYFUNCTION("""COMPUTED_VALUE"""),1585.0)</f>
        <v>1585</v>
      </c>
    </row>
    <row r="45">
      <c r="A45" s="41" t="b">
        <f>IFERROR(__xludf.DUMMYFUNCTION("""COMPUTED_VALUE"""),TRUE)</f>
        <v>1</v>
      </c>
      <c r="B45" s="41" t="str">
        <f>IFERROR(__xludf.DUMMYFUNCTION("""COMPUTED_VALUE"""),"RSC002209")</f>
        <v>RSC002209</v>
      </c>
      <c r="C45" s="41" t="str">
        <f>IFERROR(__xludf.DUMMYFUNCTION("""COMPUTED_VALUE"""),"Panick")</f>
        <v>Panick</v>
      </c>
      <c r="D45" s="41" t="str">
        <f>IFERROR(__xludf.DUMMYFUNCTION("""COMPUTED_VALUE"""),"Makos")</f>
        <v>Makos</v>
      </c>
      <c r="E45" s="41">
        <f>IFERROR(__xludf.DUMMYFUNCTION("""COMPUTED_VALUE"""),2.0)</f>
        <v>2</v>
      </c>
      <c r="F45" s="41">
        <f>IFERROR(__xludf.DUMMYFUNCTION("""COMPUTED_VALUE"""),1500.0)</f>
        <v>1500</v>
      </c>
    </row>
    <row r="46">
      <c r="A46" s="41" t="b">
        <f>IFERROR(__xludf.DUMMYFUNCTION("""COMPUTED_VALUE"""),TRUE)</f>
        <v>1</v>
      </c>
      <c r="B46" s="41" t="str">
        <f>IFERROR(__xludf.DUMMYFUNCTION("""COMPUTED_VALUE"""),"RSC002246")</f>
        <v>RSC002246</v>
      </c>
      <c r="C46" s="41" t="str">
        <f>IFERROR(__xludf.DUMMYFUNCTION("""COMPUTED_VALUE"""),"Dread")</f>
        <v>Dread</v>
      </c>
      <c r="D46" s="41" t="str">
        <f>IFERROR(__xludf.DUMMYFUNCTION("""COMPUTED_VALUE"""),"Gelato")</f>
        <v>Gelato</v>
      </c>
      <c r="E46" s="41">
        <f>IFERROR(__xludf.DUMMYFUNCTION("""COMPUTED_VALUE"""),2.0)</f>
        <v>2</v>
      </c>
      <c r="F46" s="41">
        <f>IFERROR(__xludf.DUMMYFUNCTION("""COMPUTED_VALUE"""),1585.0)</f>
        <v>1585</v>
      </c>
    </row>
    <row r="47">
      <c r="A47" s="41" t="b">
        <f>IFERROR(__xludf.DUMMYFUNCTION("""COMPUTED_VALUE"""),TRUE)</f>
        <v>1</v>
      </c>
      <c r="B47" s="41" t="str">
        <f>IFERROR(__xludf.DUMMYFUNCTION("""COMPUTED_VALUE"""),"RSC002267")</f>
        <v>RSC002267</v>
      </c>
      <c r="C47" s="41" t="str">
        <f>IFERROR(__xludf.DUMMYFUNCTION("""COMPUTED_VALUE"""),"Dooqal")</f>
        <v>Dooqal</v>
      </c>
      <c r="D47" s="41" t="str">
        <f>IFERROR(__xludf.DUMMYFUNCTION("""COMPUTED_VALUE"""),"Heavy Metal")</f>
        <v>Heavy Metal</v>
      </c>
      <c r="E47" s="41">
        <f>IFERROR(__xludf.DUMMYFUNCTION("""COMPUTED_VALUE"""),1.0)</f>
        <v>1</v>
      </c>
      <c r="F47" s="41">
        <f>IFERROR(__xludf.DUMMYFUNCTION("""COMPUTED_VALUE"""),1330.0)</f>
        <v>1330</v>
      </c>
    </row>
    <row r="48">
      <c r="A48" s="41" t="b">
        <f>IFERROR(__xludf.DUMMYFUNCTION("""COMPUTED_VALUE"""),TRUE)</f>
        <v>1</v>
      </c>
      <c r="B48" s="41" t="str">
        <f>IFERROR(__xludf.DUMMYFUNCTION("""COMPUTED_VALUE"""),"RSC002307")</f>
        <v>RSC002307</v>
      </c>
      <c r="C48" s="41" t="str">
        <f>IFERROR(__xludf.DUMMYFUNCTION("""COMPUTED_VALUE"""),"ehsanul")</f>
        <v>ehsanul</v>
      </c>
      <c r="D48" s="41"/>
      <c r="E48" s="41">
        <f>IFERROR(__xludf.DUMMYFUNCTION("""COMPUTED_VALUE"""),0.0)</f>
        <v>0</v>
      </c>
      <c r="F48" s="41">
        <f>IFERROR(__xludf.DUMMYFUNCTION("""COMPUTED_VALUE"""),1435.0)</f>
        <v>1435</v>
      </c>
    </row>
    <row r="49">
      <c r="A49" s="41" t="b">
        <f>IFERROR(__xludf.DUMMYFUNCTION("""COMPUTED_VALUE"""),FALSE)</f>
        <v>0</v>
      </c>
      <c r="B49" s="41" t="str">
        <f>IFERROR(__xludf.DUMMYFUNCTION("""COMPUTED_VALUE"""),"RSC002404")</f>
        <v>RSC002404</v>
      </c>
      <c r="C49" s="41" t="str">
        <f>IFERROR(__xludf.DUMMYFUNCTION("""COMPUTED_VALUE"""),"Meddler")</f>
        <v>Meddler</v>
      </c>
      <c r="D49" s="41"/>
      <c r="E49" s="41">
        <f>IFERROR(__xludf.DUMMYFUNCTION("""COMPUTED_VALUE"""),0.0)</f>
        <v>0</v>
      </c>
      <c r="F49" s="41">
        <f>IFERROR(__xludf.DUMMYFUNCTION("""COMPUTED_VALUE"""),1240.0)</f>
        <v>1240</v>
      </c>
    </row>
    <row r="50">
      <c r="A50" s="41" t="b">
        <f>IFERROR(__xludf.DUMMYFUNCTION("""COMPUTED_VALUE"""),TRUE)</f>
        <v>1</v>
      </c>
      <c r="B50" s="41" t="str">
        <f>IFERROR(__xludf.DUMMYFUNCTION("""COMPUTED_VALUE"""),"RSC002408")</f>
        <v>RSC002408</v>
      </c>
      <c r="C50" s="41" t="str">
        <f>IFERROR(__xludf.DUMMYFUNCTION("""COMPUTED_VALUE"""),"Gmoney")</f>
        <v>Gmoney</v>
      </c>
      <c r="D50" s="41" t="str">
        <f>IFERROR(__xludf.DUMMYFUNCTION("""COMPUTED_VALUE"""),"Tic Tacs")</f>
        <v>Tic Tacs</v>
      </c>
      <c r="E50" s="41">
        <f>IFERROR(__xludf.DUMMYFUNCTION("""COMPUTED_VALUE"""),2.0)</f>
        <v>2</v>
      </c>
      <c r="F50" s="41">
        <f>IFERROR(__xludf.DUMMYFUNCTION("""COMPUTED_VALUE"""),1030.0)</f>
        <v>1030</v>
      </c>
    </row>
    <row r="51">
      <c r="A51" s="41" t="b">
        <f>IFERROR(__xludf.DUMMYFUNCTION("""COMPUTED_VALUE"""),TRUE)</f>
        <v>1</v>
      </c>
      <c r="B51" s="41" t="str">
        <f>IFERROR(__xludf.DUMMYFUNCTION("""COMPUTED_VALUE"""),"RSC008573")</f>
        <v>RSC008573</v>
      </c>
      <c r="C51" s="41" t="str">
        <f>IFERROR(__xludf.DUMMYFUNCTION("""COMPUTED_VALUE"""),"Speacial")</f>
        <v>Speacial</v>
      </c>
      <c r="D51" s="41"/>
      <c r="E51" s="41">
        <f>IFERROR(__xludf.DUMMYFUNCTION("""COMPUTED_VALUE"""),0.0)</f>
        <v>0</v>
      </c>
      <c r="F51" s="41">
        <f>IFERROR(__xludf.DUMMYFUNCTION("""COMPUTED_VALUE"""),1580.0)</f>
        <v>1580</v>
      </c>
    </row>
    <row r="52">
      <c r="A52" s="41" t="b">
        <f>IFERROR(__xludf.DUMMYFUNCTION("""COMPUTED_VALUE"""),TRUE)</f>
        <v>1</v>
      </c>
      <c r="B52" s="41" t="str">
        <f>IFERROR(__xludf.DUMMYFUNCTION("""COMPUTED_VALUE"""),"RSC002542")</f>
        <v>RSC002542</v>
      </c>
      <c r="C52" s="41" t="str">
        <f>IFERROR(__xludf.DUMMYFUNCTION("""COMPUTED_VALUE"""),"wicked.")</f>
        <v>wicked.</v>
      </c>
      <c r="D52" s="41" t="str">
        <f>IFERROR(__xludf.DUMMYFUNCTION("""COMPUTED_VALUE"""),"Interstellar")</f>
        <v>Interstellar</v>
      </c>
      <c r="E52" s="41">
        <f>IFERROR(__xludf.DUMMYFUNCTION("""COMPUTED_VALUE"""),2.0)</f>
        <v>2</v>
      </c>
      <c r="F52" s="41">
        <f>IFERROR(__xludf.DUMMYFUNCTION("""COMPUTED_VALUE"""),1850.0)</f>
        <v>1850</v>
      </c>
    </row>
    <row r="53">
      <c r="A53" s="41" t="b">
        <f>IFERROR(__xludf.DUMMYFUNCTION("""COMPUTED_VALUE"""),TRUE)</f>
        <v>1</v>
      </c>
      <c r="B53" s="41" t="str">
        <f>IFERROR(__xludf.DUMMYFUNCTION("""COMPUTED_VALUE"""),"RSC002544")</f>
        <v>RSC002544</v>
      </c>
      <c r="C53" s="41" t="str">
        <f>IFERROR(__xludf.DUMMYFUNCTION("""COMPUTED_VALUE"""),"ItsJusstJ.")</f>
        <v>ItsJusstJ.</v>
      </c>
      <c r="D53" s="41"/>
      <c r="E53" s="41">
        <f>IFERROR(__xludf.DUMMYFUNCTION("""COMPUTED_VALUE"""),0.0)</f>
        <v>0</v>
      </c>
      <c r="F53" s="41">
        <f>IFERROR(__xludf.DUMMYFUNCTION("""COMPUTED_VALUE"""),1530.0)</f>
        <v>1530</v>
      </c>
    </row>
    <row r="54">
      <c r="A54" s="41" t="b">
        <f>IFERROR(__xludf.DUMMYFUNCTION("""COMPUTED_VALUE"""),TRUE)</f>
        <v>1</v>
      </c>
      <c r="B54" s="41" t="str">
        <f>IFERROR(__xludf.DUMMYFUNCTION("""COMPUTED_VALUE"""),"RSC007918")</f>
        <v>RSC007918</v>
      </c>
      <c r="C54" s="41" t="str">
        <f>IFERROR(__xludf.DUMMYFUNCTION("""COMPUTED_VALUE"""),"TheBLKBoy")</f>
        <v>TheBLKBoy</v>
      </c>
      <c r="D54" s="41" t="str">
        <f>IFERROR(__xludf.DUMMYFUNCTION("""COMPUTED_VALUE"""),"Skeletons")</f>
        <v>Skeletons</v>
      </c>
      <c r="E54" s="41">
        <f>IFERROR(__xludf.DUMMYFUNCTION("""COMPUTED_VALUE"""),2.0)</f>
        <v>2</v>
      </c>
      <c r="F54" s="41">
        <f>IFERROR(__xludf.DUMMYFUNCTION("""COMPUTED_VALUE"""),975.0)</f>
        <v>975</v>
      </c>
    </row>
    <row r="55">
      <c r="A55" s="41" t="b">
        <f>IFERROR(__xludf.DUMMYFUNCTION("""COMPUTED_VALUE"""),FALSE)</f>
        <v>0</v>
      </c>
      <c r="B55" s="41" t="str">
        <f>IFERROR(__xludf.DUMMYFUNCTION("""COMPUTED_VALUE"""),"RSC007098")</f>
        <v>RSC007098</v>
      </c>
      <c r="C55" s="41" t="str">
        <f>IFERROR(__xludf.DUMMYFUNCTION("""COMPUTED_VALUE"""),"reis mcguire")</f>
        <v>reis mcguire</v>
      </c>
      <c r="D55" s="41"/>
      <c r="E55" s="41">
        <f>IFERROR(__xludf.DUMMYFUNCTION("""COMPUTED_VALUE"""),0.0)</f>
        <v>0</v>
      </c>
      <c r="F55" s="41">
        <f>IFERROR(__xludf.DUMMYFUNCTION("""COMPUTED_VALUE"""),1695.0)</f>
        <v>1695</v>
      </c>
    </row>
    <row r="56">
      <c r="A56" s="41" t="b">
        <f>IFERROR(__xludf.DUMMYFUNCTION("""COMPUTED_VALUE"""),TRUE)</f>
        <v>1</v>
      </c>
      <c r="B56" s="41" t="str">
        <f>IFERROR(__xludf.DUMMYFUNCTION("""COMPUTED_VALUE"""),"RSC002657")</f>
        <v>RSC002657</v>
      </c>
      <c r="C56" s="41" t="str">
        <f>IFERROR(__xludf.DUMMYFUNCTION("""COMPUTED_VALUE"""),"Savage")</f>
        <v>Savage</v>
      </c>
      <c r="D56" s="41"/>
      <c r="E56" s="41">
        <f>IFERROR(__xludf.DUMMYFUNCTION("""COMPUTED_VALUE"""),0.0)</f>
        <v>0</v>
      </c>
      <c r="F56" s="41">
        <f>IFERROR(__xludf.DUMMYFUNCTION("""COMPUTED_VALUE"""),1715.0)</f>
        <v>1715</v>
      </c>
    </row>
    <row r="57">
      <c r="A57" s="41" t="b">
        <f>IFERROR(__xludf.DUMMYFUNCTION("""COMPUTED_VALUE"""),TRUE)</f>
        <v>1</v>
      </c>
      <c r="B57" s="41" t="str">
        <f>IFERROR(__xludf.DUMMYFUNCTION("""COMPUTED_VALUE"""),"RSC002668")</f>
        <v>RSC002668</v>
      </c>
      <c r="C57" s="41" t="str">
        <f>IFERROR(__xludf.DUMMYFUNCTION("""COMPUTED_VALUE"""),"Azorh &lt;3")</f>
        <v>Azorh &lt;3</v>
      </c>
      <c r="D57" s="41" t="str">
        <f>IFERROR(__xludf.DUMMYFUNCTION("""COMPUTED_VALUE"""),"Fer-de-Lance")</f>
        <v>Fer-de-Lance</v>
      </c>
      <c r="E57" s="41">
        <f>IFERROR(__xludf.DUMMYFUNCTION("""COMPUTED_VALUE"""),1.0)</f>
        <v>1</v>
      </c>
      <c r="F57" s="41">
        <f>IFERROR(__xludf.DUMMYFUNCTION("""COMPUTED_VALUE"""),1480.0)</f>
        <v>1480</v>
      </c>
    </row>
    <row r="58">
      <c r="A58" s="41" t="b">
        <f>IFERROR(__xludf.DUMMYFUNCTION("""COMPUTED_VALUE"""),TRUE)</f>
        <v>1</v>
      </c>
      <c r="B58" s="41" t="str">
        <f>IFERROR(__xludf.DUMMYFUNCTION("""COMPUTED_VALUE"""),"RSC002713")</f>
        <v>RSC002713</v>
      </c>
      <c r="C58" s="41" t="str">
        <f>IFERROR(__xludf.DUMMYFUNCTION("""COMPUTED_VALUE"""),"TimmyIU20")</f>
        <v>TimmyIU20</v>
      </c>
      <c r="D58" s="41" t="str">
        <f>IFERROR(__xludf.DUMMYFUNCTION("""COMPUTED_VALUE"""),"Electric Eels")</f>
        <v>Electric Eels</v>
      </c>
      <c r="E58" s="41">
        <f>IFERROR(__xludf.DUMMYFUNCTION("""COMPUTED_VALUE"""),2.0)</f>
        <v>2</v>
      </c>
      <c r="F58" s="41">
        <f>IFERROR(__xludf.DUMMYFUNCTION("""COMPUTED_VALUE"""),905.0)</f>
        <v>905</v>
      </c>
    </row>
    <row r="59">
      <c r="A59" s="41" t="b">
        <f>IFERROR(__xludf.DUMMYFUNCTION("""COMPUTED_VALUE"""),FALSE)</f>
        <v>0</v>
      </c>
      <c r="B59" s="41" t="str">
        <f>IFERROR(__xludf.DUMMYFUNCTION("""COMPUTED_VALUE"""),"RSC002704")</f>
        <v>RSC002704</v>
      </c>
      <c r="C59" s="41" t="str">
        <f>IFERROR(__xludf.DUMMYFUNCTION("""COMPUTED_VALUE"""),"Ψmind")</f>
        <v>Ψmind</v>
      </c>
      <c r="D59" s="41"/>
      <c r="E59" s="41">
        <f>IFERROR(__xludf.DUMMYFUNCTION("""COMPUTED_VALUE"""),0.0)</f>
        <v>0</v>
      </c>
      <c r="F59" s="41">
        <f>IFERROR(__xludf.DUMMYFUNCTION("""COMPUTED_VALUE"""),1365.0)</f>
        <v>1365</v>
      </c>
    </row>
    <row r="60">
      <c r="A60" s="41" t="b">
        <f>IFERROR(__xludf.DUMMYFUNCTION("""COMPUTED_VALUE"""),TRUE)</f>
        <v>1</v>
      </c>
      <c r="B60" s="41" t="str">
        <f>IFERROR(__xludf.DUMMYFUNCTION("""COMPUTED_VALUE"""),"RSC007307")</f>
        <v>RSC007307</v>
      </c>
      <c r="C60" s="41" t="str">
        <f>IFERROR(__xludf.DUMMYFUNCTION("""COMPUTED_VALUE"""),"Jmh187-")</f>
        <v>Jmh187-</v>
      </c>
      <c r="D60" s="41" t="str">
        <f>IFERROR(__xludf.DUMMYFUNCTION("""COMPUTED_VALUE"""),"Nightfall")</f>
        <v>Nightfall</v>
      </c>
      <c r="E60" s="41">
        <f>IFERROR(__xludf.DUMMYFUNCTION("""COMPUTED_VALUE"""),2.0)</f>
        <v>2</v>
      </c>
      <c r="F60" s="41">
        <f>IFERROR(__xludf.DUMMYFUNCTION("""COMPUTED_VALUE"""),1285.0)</f>
        <v>1285</v>
      </c>
    </row>
    <row r="61">
      <c r="A61" s="41" t="b">
        <f>IFERROR(__xludf.DUMMYFUNCTION("""COMPUTED_VALUE"""),TRUE)</f>
        <v>1</v>
      </c>
      <c r="B61" s="41" t="str">
        <f>IFERROR(__xludf.DUMMYFUNCTION("""COMPUTED_VALUE"""),"RSC002764")</f>
        <v>RSC002764</v>
      </c>
      <c r="C61" s="41" t="str">
        <f>IFERROR(__xludf.DUMMYFUNCTION("""COMPUTED_VALUE"""),"Delicien")</f>
        <v>Delicien</v>
      </c>
      <c r="D61" s="41"/>
      <c r="E61" s="41">
        <f>IFERROR(__xludf.DUMMYFUNCTION("""COMPUTED_VALUE"""),0.0)</f>
        <v>0</v>
      </c>
      <c r="F61" s="41">
        <f>IFERROR(__xludf.DUMMYFUNCTION("""COMPUTED_VALUE"""),1310.0)</f>
        <v>1310</v>
      </c>
    </row>
    <row r="62">
      <c r="A62" s="41" t="b">
        <f>IFERROR(__xludf.DUMMYFUNCTION("""COMPUTED_VALUE"""),TRUE)</f>
        <v>1</v>
      </c>
      <c r="B62" s="41" t="str">
        <f>IFERROR(__xludf.DUMMYFUNCTION("""COMPUTED_VALUE"""),"RSC002846")</f>
        <v>RSC002846</v>
      </c>
      <c r="C62" s="41" t="str">
        <f>IFERROR(__xludf.DUMMYFUNCTION("""COMPUTED_VALUE"""),"SchroDog")</f>
        <v>SchroDog</v>
      </c>
      <c r="D62" s="41"/>
      <c r="E62" s="41">
        <f>IFERROR(__xludf.DUMMYFUNCTION("""COMPUTED_VALUE"""),0.0)</f>
        <v>0</v>
      </c>
      <c r="F62" s="41">
        <f>IFERROR(__xludf.DUMMYFUNCTION("""COMPUTED_VALUE"""),1180.0)</f>
        <v>1180</v>
      </c>
    </row>
    <row r="63">
      <c r="A63" s="41" t="b">
        <f>IFERROR(__xludf.DUMMYFUNCTION("""COMPUTED_VALUE"""),TRUE)</f>
        <v>1</v>
      </c>
      <c r="B63" s="41" t="str">
        <f>IFERROR(__xludf.DUMMYFUNCTION("""COMPUTED_VALUE"""),"RSC002823")</f>
        <v>RSC002823</v>
      </c>
      <c r="C63" s="41" t="str">
        <f>IFERROR(__xludf.DUMMYFUNCTION("""COMPUTED_VALUE"""),"Sussurance")</f>
        <v>Sussurance</v>
      </c>
      <c r="D63" s="41"/>
      <c r="E63" s="41">
        <f>IFERROR(__xludf.DUMMYFUNCTION("""COMPUTED_VALUE"""),0.0)</f>
        <v>0</v>
      </c>
      <c r="F63" s="41">
        <f>IFERROR(__xludf.DUMMYFUNCTION("""COMPUTED_VALUE"""),1205.0)</f>
        <v>1205</v>
      </c>
    </row>
    <row r="64">
      <c r="A64" s="41" t="b">
        <f>IFERROR(__xludf.DUMMYFUNCTION("""COMPUTED_VALUE"""),TRUE)</f>
        <v>1</v>
      </c>
      <c r="B64" s="41" t="str">
        <f>IFERROR(__xludf.DUMMYFUNCTION("""COMPUTED_VALUE"""),"RSC002902")</f>
        <v>RSC002902</v>
      </c>
      <c r="C64" s="41" t="str">
        <f>IFERROR(__xludf.DUMMYFUNCTION("""COMPUTED_VALUE"""),"Stone-Dog Millionaire")</f>
        <v>Stone-Dog Millionaire</v>
      </c>
      <c r="D64" s="41" t="str">
        <f>IFERROR(__xludf.DUMMYFUNCTION("""COMPUTED_VALUE"""),"Legati")</f>
        <v>Legati</v>
      </c>
      <c r="E64" s="41">
        <f>IFERROR(__xludf.DUMMYFUNCTION("""COMPUTED_VALUE"""),1.0)</f>
        <v>1</v>
      </c>
      <c r="F64" s="41">
        <f>IFERROR(__xludf.DUMMYFUNCTION("""COMPUTED_VALUE"""),1390.0)</f>
        <v>1390</v>
      </c>
    </row>
    <row r="65">
      <c r="A65" s="41" t="b">
        <f>IFERROR(__xludf.DUMMYFUNCTION("""COMPUTED_VALUE"""),TRUE)</f>
        <v>1</v>
      </c>
      <c r="B65" s="41" t="str">
        <f>IFERROR(__xludf.DUMMYFUNCTION("""COMPUTED_VALUE"""),"RSC002888")</f>
        <v>RSC002888</v>
      </c>
      <c r="C65" s="41" t="str">
        <f>IFERROR(__xludf.DUMMYFUNCTION("""COMPUTED_VALUE"""),"kri0s")</f>
        <v>kri0s</v>
      </c>
      <c r="D65" s="41" t="str">
        <f>IFERROR(__xludf.DUMMYFUNCTION("""COMPUTED_VALUE"""),"Heinous Henchmen")</f>
        <v>Heinous Henchmen</v>
      </c>
      <c r="E65" s="41">
        <f>IFERROR(__xludf.DUMMYFUNCTION("""COMPUTED_VALUE"""),2.0)</f>
        <v>2</v>
      </c>
      <c r="F65" s="41">
        <f>IFERROR(__xludf.DUMMYFUNCTION("""COMPUTED_VALUE"""),1690.0)</f>
        <v>1690</v>
      </c>
    </row>
    <row r="66">
      <c r="A66" s="41" t="b">
        <f>IFERROR(__xludf.DUMMYFUNCTION("""COMPUTED_VALUE"""),FALSE)</f>
        <v>0</v>
      </c>
      <c r="B66" s="41" t="str">
        <f>IFERROR(__xludf.DUMMYFUNCTION("""COMPUTED_VALUE"""),"RSC002914")</f>
        <v>RSC002914</v>
      </c>
      <c r="C66" s="41" t="str">
        <f>IFERROR(__xludf.DUMMYFUNCTION("""COMPUTED_VALUE"""),"MtnDrewskie")</f>
        <v>MtnDrewskie</v>
      </c>
      <c r="D66" s="41"/>
      <c r="E66" s="41">
        <f>IFERROR(__xludf.DUMMYFUNCTION("""COMPUTED_VALUE"""),0.0)</f>
        <v>0</v>
      </c>
      <c r="F66" s="41">
        <f>IFERROR(__xludf.DUMMYFUNCTION("""COMPUTED_VALUE"""),1260.0)</f>
        <v>1260</v>
      </c>
    </row>
    <row r="67">
      <c r="A67" s="41" t="b">
        <f>IFERROR(__xludf.DUMMYFUNCTION("""COMPUTED_VALUE"""),TRUE)</f>
        <v>1</v>
      </c>
      <c r="B67" s="41" t="str">
        <f>IFERROR(__xludf.DUMMYFUNCTION("""COMPUTED_VALUE"""),"RSC002982")</f>
        <v>RSC002982</v>
      </c>
      <c r="C67" s="41" t="str">
        <f>IFERROR(__xludf.DUMMYFUNCTION("""COMPUTED_VALUE"""),"AyoChil1")</f>
        <v>AyoChil1</v>
      </c>
      <c r="D67" s="41" t="str">
        <f>IFERROR(__xludf.DUMMYFUNCTION("""COMPUTED_VALUE"""),"Barracudas")</f>
        <v>Barracudas</v>
      </c>
      <c r="E67" s="41">
        <f>IFERROR(__xludf.DUMMYFUNCTION("""COMPUTED_VALUE"""),2.0)</f>
        <v>2</v>
      </c>
      <c r="F67" s="41">
        <f>IFERROR(__xludf.DUMMYFUNCTION("""COMPUTED_VALUE"""),1275.0)</f>
        <v>1275</v>
      </c>
    </row>
    <row r="68">
      <c r="A68" s="41" t="b">
        <f>IFERROR(__xludf.DUMMYFUNCTION("""COMPUTED_VALUE"""),TRUE)</f>
        <v>1</v>
      </c>
      <c r="B68" s="41" t="str">
        <f>IFERROR(__xludf.DUMMYFUNCTION("""COMPUTED_VALUE"""),"RSC003017")</f>
        <v>RSC003017</v>
      </c>
      <c r="C68" s="41" t="str">
        <f>IFERROR(__xludf.DUMMYFUNCTION("""COMPUTED_VALUE"""),"AlanShoreEsq")</f>
        <v>AlanShoreEsq</v>
      </c>
      <c r="D68" s="41"/>
      <c r="E68" s="41">
        <f>IFERROR(__xludf.DUMMYFUNCTION("""COMPUTED_VALUE"""),0.0)</f>
        <v>0</v>
      </c>
      <c r="F68" s="41">
        <f>IFERROR(__xludf.DUMMYFUNCTION("""COMPUTED_VALUE"""),1310.0)</f>
        <v>1310</v>
      </c>
    </row>
    <row r="69">
      <c r="A69" s="41" t="b">
        <f>IFERROR(__xludf.DUMMYFUNCTION("""COMPUTED_VALUE"""),TRUE)</f>
        <v>1</v>
      </c>
      <c r="B69" s="41" t="str">
        <f>IFERROR(__xludf.DUMMYFUNCTION("""COMPUTED_VALUE"""),"RSC007299")</f>
        <v>RSC007299</v>
      </c>
      <c r="C69" s="41" t="str">
        <f>IFERROR(__xludf.DUMMYFUNCTION("""COMPUTED_VALUE"""),"SvG_kenzo")</f>
        <v>SvG_kenzo</v>
      </c>
      <c r="D69" s="41"/>
      <c r="E69" s="41">
        <f>IFERROR(__xludf.DUMMYFUNCTION("""COMPUTED_VALUE"""),0.0)</f>
        <v>0</v>
      </c>
      <c r="F69" s="41">
        <f>IFERROR(__xludf.DUMMYFUNCTION("""COMPUTED_VALUE"""),1155.0)</f>
        <v>1155</v>
      </c>
    </row>
    <row r="70">
      <c r="A70" s="41" t="b">
        <f>IFERROR(__xludf.DUMMYFUNCTION("""COMPUTED_VALUE"""),FALSE)</f>
        <v>0</v>
      </c>
      <c r="B70" s="41" t="str">
        <f>IFERROR(__xludf.DUMMYFUNCTION("""COMPUTED_VALUE"""),"RSC003117")</f>
        <v>RSC003117</v>
      </c>
      <c r="C70" s="41" t="str">
        <f>IFERROR(__xludf.DUMMYFUNCTION("""COMPUTED_VALUE"""),"Duckii")</f>
        <v>Duckii</v>
      </c>
      <c r="D70" s="41"/>
      <c r="E70" s="41">
        <f>IFERROR(__xludf.DUMMYFUNCTION("""COMPUTED_VALUE"""),0.0)</f>
        <v>0</v>
      </c>
      <c r="F70" s="41">
        <f>IFERROR(__xludf.DUMMYFUNCTION("""COMPUTED_VALUE"""),1255.0)</f>
        <v>1255</v>
      </c>
    </row>
    <row r="71">
      <c r="A71" s="41" t="b">
        <f>IFERROR(__xludf.DUMMYFUNCTION("""COMPUTED_VALUE"""),FALSE)</f>
        <v>0</v>
      </c>
      <c r="B71" s="41" t="str">
        <f>IFERROR(__xludf.DUMMYFUNCTION("""COMPUTED_VALUE"""),"RSC003153")</f>
        <v>RSC003153</v>
      </c>
      <c r="C71" s="41" t="str">
        <f>IFERROR(__xludf.DUMMYFUNCTION("""COMPUTED_VALUE"""),"Theman")</f>
        <v>Theman</v>
      </c>
      <c r="D71" s="41"/>
      <c r="E71" s="41">
        <f>IFERROR(__xludf.DUMMYFUNCTION("""COMPUTED_VALUE"""),0.0)</f>
        <v>0</v>
      </c>
      <c r="F71" s="41">
        <f>IFERROR(__xludf.DUMMYFUNCTION("""COMPUTED_VALUE"""),1050.0)</f>
        <v>1050</v>
      </c>
    </row>
    <row r="72">
      <c r="A72" s="41" t="b">
        <f>IFERROR(__xludf.DUMMYFUNCTION("""COMPUTED_VALUE"""),FALSE)</f>
        <v>0</v>
      </c>
      <c r="B72" s="41" t="str">
        <f>IFERROR(__xludf.DUMMYFUNCTION("""COMPUTED_VALUE"""),"RSC007538")</f>
        <v>RSC007538</v>
      </c>
      <c r="C72" s="41" t="str">
        <f>IFERROR(__xludf.DUMMYFUNCTION("""COMPUTED_VALUE"""),"FattyMcChef04")</f>
        <v>FattyMcChef04</v>
      </c>
      <c r="D72" s="41"/>
      <c r="E72" s="41">
        <f>IFERROR(__xludf.DUMMYFUNCTION("""COMPUTED_VALUE"""),0.0)</f>
        <v>0</v>
      </c>
      <c r="F72" s="41">
        <f>IFERROR(__xludf.DUMMYFUNCTION("""COMPUTED_VALUE"""),1010.0)</f>
        <v>1010</v>
      </c>
    </row>
    <row r="73">
      <c r="A73" s="41" t="b">
        <f>IFERROR(__xludf.DUMMYFUNCTION("""COMPUTED_VALUE"""),FALSE)</f>
        <v>0</v>
      </c>
      <c r="B73" s="41" t="str">
        <f>IFERROR(__xludf.DUMMYFUNCTION("""COMPUTED_VALUE"""),"RSC007920")</f>
        <v>RSC007920</v>
      </c>
      <c r="C73" s="41" t="str">
        <f>IFERROR(__xludf.DUMMYFUNCTION("""COMPUTED_VALUE"""),"Ocular8")</f>
        <v>Ocular8</v>
      </c>
      <c r="D73" s="41"/>
      <c r="E73" s="41">
        <f>IFERROR(__xludf.DUMMYFUNCTION("""COMPUTED_VALUE"""),0.0)</f>
        <v>0</v>
      </c>
      <c r="F73" s="41">
        <f>IFERROR(__xludf.DUMMYFUNCTION("""COMPUTED_VALUE"""),1535.0)</f>
        <v>1535</v>
      </c>
    </row>
    <row r="74">
      <c r="A74" s="41" t="b">
        <f>IFERROR(__xludf.DUMMYFUNCTION("""COMPUTED_VALUE"""),TRUE)</f>
        <v>1</v>
      </c>
      <c r="B74" s="41" t="str">
        <f>IFERROR(__xludf.DUMMYFUNCTION("""COMPUTED_VALUE"""),"RSC003119")</f>
        <v>RSC003119</v>
      </c>
      <c r="C74" s="41" t="str">
        <f>IFERROR(__xludf.DUMMYFUNCTION("""COMPUTED_VALUE"""),"Vencill")</f>
        <v>Vencill</v>
      </c>
      <c r="D74" s="41"/>
      <c r="E74" s="41">
        <f>IFERROR(__xludf.DUMMYFUNCTION("""COMPUTED_VALUE"""),0.0)</f>
        <v>0</v>
      </c>
      <c r="F74" s="41">
        <f>IFERROR(__xludf.DUMMYFUNCTION("""COMPUTED_VALUE"""),1585.0)</f>
        <v>1585</v>
      </c>
    </row>
    <row r="75">
      <c r="A75" s="41" t="b">
        <f>IFERROR(__xludf.DUMMYFUNCTION("""COMPUTED_VALUE"""),TRUE)</f>
        <v>1</v>
      </c>
      <c r="B75" s="41" t="str">
        <f>IFERROR(__xludf.DUMMYFUNCTION("""COMPUTED_VALUE"""),"RSC003113")</f>
        <v>RSC003113</v>
      </c>
      <c r="C75" s="41" t="str">
        <f>IFERROR(__xludf.DUMMYFUNCTION("""COMPUTED_VALUE"""),"Nebulade")</f>
        <v>Nebulade</v>
      </c>
      <c r="D75" s="41" t="str">
        <f>IFERROR(__xludf.DUMMYFUNCTION("""COMPUTED_VALUE"""),"Berserkers")</f>
        <v>Berserkers</v>
      </c>
      <c r="E75" s="41">
        <f>IFERROR(__xludf.DUMMYFUNCTION("""COMPUTED_VALUE"""),2.0)</f>
        <v>2</v>
      </c>
      <c r="F75" s="41">
        <f>IFERROR(__xludf.DUMMYFUNCTION("""COMPUTED_VALUE"""),1515.0)</f>
        <v>1515</v>
      </c>
    </row>
    <row r="76">
      <c r="A76" s="41" t="b">
        <f>IFERROR(__xludf.DUMMYFUNCTION("""COMPUTED_VALUE"""),TRUE)</f>
        <v>1</v>
      </c>
      <c r="B76" s="41" t="str">
        <f>IFERROR(__xludf.DUMMYFUNCTION("""COMPUTED_VALUE"""),"RSC007629")</f>
        <v>RSC007629</v>
      </c>
      <c r="C76" s="41" t="str">
        <f>IFERROR(__xludf.DUMMYFUNCTION("""COMPUTED_VALUE"""),"Mochi")</f>
        <v>Mochi</v>
      </c>
      <c r="D76" s="41" t="str">
        <f>IFERROR(__xludf.DUMMYFUNCTION("""COMPUTED_VALUE"""),"Krakens")</f>
        <v>Krakens</v>
      </c>
      <c r="E76" s="41">
        <f>IFERROR(__xludf.DUMMYFUNCTION("""COMPUTED_VALUE"""),2.0)</f>
        <v>2</v>
      </c>
      <c r="F76" s="41">
        <f>IFERROR(__xludf.DUMMYFUNCTION("""COMPUTED_VALUE"""),1525.0)</f>
        <v>1525</v>
      </c>
    </row>
    <row r="77">
      <c r="A77" s="41" t="b">
        <f>IFERROR(__xludf.DUMMYFUNCTION("""COMPUTED_VALUE"""),TRUE)</f>
        <v>1</v>
      </c>
      <c r="B77" s="41" t="str">
        <f>IFERROR(__xludf.DUMMYFUNCTION("""COMPUTED_VALUE"""),"RSC003193")</f>
        <v>RSC003193</v>
      </c>
      <c r="C77" s="41" t="str">
        <f>IFERROR(__xludf.DUMMYFUNCTION("""COMPUTED_VALUE"""),"ShiftDrink")</f>
        <v>ShiftDrink</v>
      </c>
      <c r="D77" s="41" t="str">
        <f>IFERROR(__xludf.DUMMYFUNCTION("""COMPUTED_VALUE"""),"Porch Pirates")</f>
        <v>Porch Pirates</v>
      </c>
      <c r="E77" s="41">
        <f>IFERROR(__xludf.DUMMYFUNCTION("""COMPUTED_VALUE"""),1.0)</f>
        <v>1</v>
      </c>
      <c r="F77" s="41">
        <f>IFERROR(__xludf.DUMMYFUNCTION("""COMPUTED_VALUE"""),1150.0)</f>
        <v>1150</v>
      </c>
    </row>
    <row r="78">
      <c r="A78" s="41" t="b">
        <f>IFERROR(__xludf.DUMMYFUNCTION("""COMPUTED_VALUE"""),TRUE)</f>
        <v>1</v>
      </c>
      <c r="B78" s="41" t="str">
        <f>IFERROR(__xludf.DUMMYFUNCTION("""COMPUTED_VALUE"""),"RSC003272")</f>
        <v>RSC003272</v>
      </c>
      <c r="C78" s="41" t="str">
        <f>IFERROR(__xludf.DUMMYFUNCTION("""COMPUTED_VALUE"""),"jknop2")</f>
        <v>jknop2</v>
      </c>
      <c r="D78" s="41" t="str">
        <f>IFERROR(__xludf.DUMMYFUNCTION("""COMPUTED_VALUE"""),"Desolation")</f>
        <v>Desolation</v>
      </c>
      <c r="E78" s="41">
        <f>IFERROR(__xludf.DUMMYFUNCTION("""COMPUTED_VALUE"""),1.0)</f>
        <v>1</v>
      </c>
      <c r="F78" s="41">
        <f>IFERROR(__xludf.DUMMYFUNCTION("""COMPUTED_VALUE"""),1540.0)</f>
        <v>1540</v>
      </c>
    </row>
    <row r="79">
      <c r="A79" s="41" t="b">
        <f>IFERROR(__xludf.DUMMYFUNCTION("""COMPUTED_VALUE"""),FALSE)</f>
        <v>0</v>
      </c>
      <c r="B79" s="41" t="str">
        <f>IFERROR(__xludf.DUMMYFUNCTION("""COMPUTED_VALUE"""),"RSC003308")</f>
        <v>RSC003308</v>
      </c>
      <c r="C79" s="41" t="str">
        <f>IFERROR(__xludf.DUMMYFUNCTION("""COMPUTED_VALUE"""),"Tman")</f>
        <v>Tman</v>
      </c>
      <c r="D79" s="41"/>
      <c r="E79" s="41">
        <f>IFERROR(__xludf.DUMMYFUNCTION("""COMPUTED_VALUE"""),0.0)</f>
        <v>0</v>
      </c>
      <c r="F79" s="41">
        <f>IFERROR(__xludf.DUMMYFUNCTION("""COMPUTED_VALUE"""),1830.0)</f>
        <v>1830</v>
      </c>
    </row>
    <row r="80">
      <c r="A80" s="41" t="b">
        <f>IFERROR(__xludf.DUMMYFUNCTION("""COMPUTED_VALUE"""),FALSE)</f>
        <v>0</v>
      </c>
      <c r="B80" s="41" t="str">
        <f>IFERROR(__xludf.DUMMYFUNCTION("""COMPUTED_VALUE"""),"RSC007395")</f>
        <v>RSC007395</v>
      </c>
      <c r="C80" s="41" t="str">
        <f>IFERROR(__xludf.DUMMYFUNCTION("""COMPUTED_VALUE"""),"Sіnja")</f>
        <v>Sіnja</v>
      </c>
      <c r="D80" s="41"/>
      <c r="E80" s="41">
        <f>IFERROR(__xludf.DUMMYFUNCTION("""COMPUTED_VALUE"""),0.0)</f>
        <v>0</v>
      </c>
      <c r="F80" s="41">
        <f>IFERROR(__xludf.DUMMYFUNCTION("""COMPUTED_VALUE"""),1250.0)</f>
        <v>1250</v>
      </c>
    </row>
    <row r="81">
      <c r="A81" s="41" t="b">
        <f>IFERROR(__xludf.DUMMYFUNCTION("""COMPUTED_VALUE"""),TRUE)</f>
        <v>1</v>
      </c>
      <c r="B81" s="41" t="str">
        <f>IFERROR(__xludf.DUMMYFUNCTION("""COMPUTED_VALUE"""),"RSC003331")</f>
        <v>RSC003331</v>
      </c>
      <c r="C81" s="41" t="str">
        <f>IFERROR(__xludf.DUMMYFUNCTION("""COMPUTED_VALUE"""),"Frostii")</f>
        <v>Frostii</v>
      </c>
      <c r="D81" s="41" t="str">
        <f>IFERROR(__xludf.DUMMYFUNCTION("""COMPUTED_VALUE"""),"Chromatic Chaos")</f>
        <v>Chromatic Chaos</v>
      </c>
      <c r="E81" s="41">
        <f>IFERROR(__xludf.DUMMYFUNCTION("""COMPUTED_VALUE"""),2.0)</f>
        <v>2</v>
      </c>
      <c r="F81" s="41">
        <f>IFERROR(__xludf.DUMMYFUNCTION("""COMPUTED_VALUE"""),1235.0)</f>
        <v>1235</v>
      </c>
    </row>
    <row r="82">
      <c r="A82" s="41" t="b">
        <f>IFERROR(__xludf.DUMMYFUNCTION("""COMPUTED_VALUE"""),TRUE)</f>
        <v>1</v>
      </c>
      <c r="B82" s="41" t="str">
        <f>IFERROR(__xludf.DUMMYFUNCTION("""COMPUTED_VALUE"""),"RSC002930")</f>
        <v>RSC002930</v>
      </c>
      <c r="C82" s="41" t="str">
        <f>IFERROR(__xludf.DUMMYFUNCTION("""COMPUTED_VALUE"""),"voakes")</f>
        <v>voakes</v>
      </c>
      <c r="D82" s="41" t="str">
        <f>IFERROR(__xludf.DUMMYFUNCTION("""COMPUTED_VALUE"""),"Avalanche")</f>
        <v>Avalanche</v>
      </c>
      <c r="E82" s="41">
        <f>IFERROR(__xludf.DUMMYFUNCTION("""COMPUTED_VALUE"""),2.0)</f>
        <v>2</v>
      </c>
      <c r="F82" s="41">
        <f>IFERROR(__xludf.DUMMYFUNCTION("""COMPUTED_VALUE"""),1395.0)</f>
        <v>1395</v>
      </c>
    </row>
    <row r="83">
      <c r="A83" s="41" t="b">
        <f>IFERROR(__xludf.DUMMYFUNCTION("""COMPUTED_VALUE"""),TRUE)</f>
        <v>1</v>
      </c>
      <c r="B83" s="41" t="str">
        <f>IFERROR(__xludf.DUMMYFUNCTION("""COMPUTED_VALUE"""),"RSC007262")</f>
        <v>RSC007262</v>
      </c>
      <c r="C83" s="41" t="str">
        <f>IFERROR(__xludf.DUMMYFUNCTION("""COMPUTED_VALUE"""),"Vvreze")</f>
        <v>Vvreze</v>
      </c>
      <c r="D83" s="41" t="str">
        <f>IFERROR(__xludf.DUMMYFUNCTION("""COMPUTED_VALUE"""),"Thunder Pups")</f>
        <v>Thunder Pups</v>
      </c>
      <c r="E83" s="41">
        <f>IFERROR(__xludf.DUMMYFUNCTION("""COMPUTED_VALUE"""),2.0)</f>
        <v>2</v>
      </c>
      <c r="F83" s="41">
        <f>IFERROR(__xludf.DUMMYFUNCTION("""COMPUTED_VALUE"""),1110.0)</f>
        <v>1110</v>
      </c>
    </row>
    <row r="84">
      <c r="A84" s="41" t="b">
        <f>IFERROR(__xludf.DUMMYFUNCTION("""COMPUTED_VALUE"""),TRUE)</f>
        <v>1</v>
      </c>
      <c r="B84" s="41" t="str">
        <f>IFERROR(__xludf.DUMMYFUNCTION("""COMPUTED_VALUE"""),"RSC003360")</f>
        <v>RSC003360</v>
      </c>
      <c r="C84" s="41" t="str">
        <f>IFERROR(__xludf.DUMMYFUNCTION("""COMPUTED_VALUE"""),"flossy")</f>
        <v>flossy</v>
      </c>
      <c r="D84" s="41" t="str">
        <f>IFERROR(__xludf.DUMMYFUNCTION("""COMPUTED_VALUE"""),"Dragon")</f>
        <v>Dragon</v>
      </c>
      <c r="E84" s="41">
        <f>IFERROR(__xludf.DUMMYFUNCTION("""COMPUTED_VALUE"""),2.0)</f>
        <v>2</v>
      </c>
      <c r="F84" s="41">
        <f>IFERROR(__xludf.DUMMYFUNCTION("""COMPUTED_VALUE"""),1635.0)</f>
        <v>1635</v>
      </c>
    </row>
    <row r="85">
      <c r="A85" s="41" t="b">
        <f>IFERROR(__xludf.DUMMYFUNCTION("""COMPUTED_VALUE"""),TRUE)</f>
        <v>1</v>
      </c>
      <c r="B85" s="41" t="str">
        <f>IFERROR(__xludf.DUMMYFUNCTION("""COMPUTED_VALUE"""),"RSC003445")</f>
        <v>RSC003445</v>
      </c>
      <c r="C85" s="41" t="str">
        <f>IFERROR(__xludf.DUMMYFUNCTION("""COMPUTED_VALUE"""),"bosco")</f>
        <v>bosco</v>
      </c>
      <c r="D85" s="41"/>
      <c r="E85" s="41">
        <f>IFERROR(__xludf.DUMMYFUNCTION("""COMPUTED_VALUE"""),0.0)</f>
        <v>0</v>
      </c>
      <c r="F85" s="41">
        <f>IFERROR(__xludf.DUMMYFUNCTION("""COMPUTED_VALUE"""),1685.0)</f>
        <v>1685</v>
      </c>
    </row>
    <row r="86">
      <c r="A86" s="41" t="b">
        <f>IFERROR(__xludf.DUMMYFUNCTION("""COMPUTED_VALUE"""),TRUE)</f>
        <v>1</v>
      </c>
      <c r="B86" s="41" t="str">
        <f>IFERROR(__xludf.DUMMYFUNCTION("""COMPUTED_VALUE"""),"RSC003418")</f>
        <v>RSC003418</v>
      </c>
      <c r="C86" s="41" t="str">
        <f>IFERROR(__xludf.DUMMYFUNCTION("""COMPUTED_VALUE"""),"fern")</f>
        <v>fern</v>
      </c>
      <c r="D86" s="41"/>
      <c r="E86" s="41">
        <f>IFERROR(__xludf.DUMMYFUNCTION("""COMPUTED_VALUE"""),0.0)</f>
        <v>0</v>
      </c>
      <c r="F86" s="41">
        <f>IFERROR(__xludf.DUMMYFUNCTION("""COMPUTED_VALUE"""),1530.0)</f>
        <v>1530</v>
      </c>
    </row>
    <row r="87">
      <c r="A87" s="41" t="b">
        <f>IFERROR(__xludf.DUMMYFUNCTION("""COMPUTED_VALUE"""),TRUE)</f>
        <v>1</v>
      </c>
      <c r="B87" s="41" t="str">
        <f>IFERROR(__xludf.DUMMYFUNCTION("""COMPUTED_VALUE"""),"RSC003411")</f>
        <v>RSC003411</v>
      </c>
      <c r="C87" s="41" t="str">
        <f>IFERROR(__xludf.DUMMYFUNCTION("""COMPUTED_VALUE"""),"levibullrush")</f>
        <v>levibullrush</v>
      </c>
      <c r="D87" s="41"/>
      <c r="E87" s="41">
        <f>IFERROR(__xludf.DUMMYFUNCTION("""COMPUTED_VALUE"""),0.0)</f>
        <v>0</v>
      </c>
      <c r="F87" s="41">
        <f>IFERROR(__xludf.DUMMYFUNCTION("""COMPUTED_VALUE"""),1330.0)</f>
        <v>1330</v>
      </c>
    </row>
    <row r="88">
      <c r="A88" s="41" t="b">
        <f>IFERROR(__xludf.DUMMYFUNCTION("""COMPUTED_VALUE"""),TRUE)</f>
        <v>1</v>
      </c>
      <c r="B88" s="41" t="str">
        <f>IFERROR(__xludf.DUMMYFUNCTION("""COMPUTED_VALUE"""),"RSC003429")</f>
        <v>RSC003429</v>
      </c>
      <c r="C88" s="41" t="str">
        <f>IFERROR(__xludf.DUMMYFUNCTION("""COMPUTED_VALUE"""),"Gambit")</f>
        <v>Gambit</v>
      </c>
      <c r="D88" s="41" t="str">
        <f>IFERROR(__xludf.DUMMYFUNCTION("""COMPUTED_VALUE"""),"Tanuki")</f>
        <v>Tanuki</v>
      </c>
      <c r="E88" s="41">
        <f>IFERROR(__xludf.DUMMYFUNCTION("""COMPUTED_VALUE"""),2.0)</f>
        <v>2</v>
      </c>
      <c r="F88" s="41">
        <f>IFERROR(__xludf.DUMMYFUNCTION("""COMPUTED_VALUE"""),980.0)</f>
        <v>980</v>
      </c>
    </row>
    <row r="89">
      <c r="A89" s="41" t="b">
        <f>IFERROR(__xludf.DUMMYFUNCTION("""COMPUTED_VALUE"""),TRUE)</f>
        <v>1</v>
      </c>
      <c r="B89" s="41" t="str">
        <f>IFERROR(__xludf.DUMMYFUNCTION("""COMPUTED_VALUE"""),"RSC003412")</f>
        <v>RSC003412</v>
      </c>
      <c r="C89" s="41" t="str">
        <f>IFERROR(__xludf.DUMMYFUNCTION("""COMPUTED_VALUE"""),"Python")</f>
        <v>Python</v>
      </c>
      <c r="D89" s="41" t="str">
        <f>IFERROR(__xludf.DUMMYFUNCTION("""COMPUTED_VALUE"""),"Forge Defenders")</f>
        <v>Forge Defenders</v>
      </c>
      <c r="E89" s="41">
        <f>IFERROR(__xludf.DUMMYFUNCTION("""COMPUTED_VALUE"""),2.0)</f>
        <v>2</v>
      </c>
      <c r="F89" s="41">
        <f>IFERROR(__xludf.DUMMYFUNCTION("""COMPUTED_VALUE"""),1590.0)</f>
        <v>1590</v>
      </c>
    </row>
    <row r="90">
      <c r="A90" s="41" t="b">
        <f>IFERROR(__xludf.DUMMYFUNCTION("""COMPUTED_VALUE"""),TRUE)</f>
        <v>1</v>
      </c>
      <c r="B90" s="41" t="str">
        <f>IFERROR(__xludf.DUMMYFUNCTION("""COMPUTED_VALUE"""),"RSC003456")</f>
        <v>RSC003456</v>
      </c>
      <c r="C90" s="41" t="str">
        <f>IFERROR(__xludf.DUMMYFUNCTION("""COMPUTED_VALUE"""),"Brainman_18")</f>
        <v>Brainman_18</v>
      </c>
      <c r="D90" s="41"/>
      <c r="E90" s="41">
        <f>IFERROR(__xludf.DUMMYFUNCTION("""COMPUTED_VALUE"""),0.0)</f>
        <v>0</v>
      </c>
      <c r="F90" s="41">
        <f>IFERROR(__xludf.DUMMYFUNCTION("""COMPUTED_VALUE"""),1495.0)</f>
        <v>1495</v>
      </c>
    </row>
    <row r="91">
      <c r="A91" s="41" t="b">
        <f>IFERROR(__xludf.DUMMYFUNCTION("""COMPUTED_VALUE"""),TRUE)</f>
        <v>1</v>
      </c>
      <c r="B91" s="41" t="str">
        <f>IFERROR(__xludf.DUMMYFUNCTION("""COMPUTED_VALUE"""),"RSC003536")</f>
        <v>RSC003536</v>
      </c>
      <c r="C91" s="41" t="str">
        <f>IFERROR(__xludf.DUMMYFUNCTION("""COMPUTED_VALUE"""),"Charlemagne")</f>
        <v>Charlemagne</v>
      </c>
      <c r="D91" s="41" t="str">
        <f>IFERROR(__xludf.DUMMYFUNCTION("""COMPUTED_VALUE"""),"Tax Evaders")</f>
        <v>Tax Evaders</v>
      </c>
      <c r="E91" s="41">
        <f>IFERROR(__xludf.DUMMYFUNCTION("""COMPUTED_VALUE"""),2.0)</f>
        <v>2</v>
      </c>
      <c r="F91" s="41">
        <f>IFERROR(__xludf.DUMMYFUNCTION("""COMPUTED_VALUE"""),1285.0)</f>
        <v>1285</v>
      </c>
    </row>
    <row r="92">
      <c r="A92" s="41" t="b">
        <f>IFERROR(__xludf.DUMMYFUNCTION("""COMPUTED_VALUE"""),TRUE)</f>
        <v>1</v>
      </c>
      <c r="B92" s="41" t="str">
        <f>IFERROR(__xludf.DUMMYFUNCTION("""COMPUTED_VALUE"""),"RSC003498")</f>
        <v>RSC003498</v>
      </c>
      <c r="C92" s="41" t="str">
        <f>IFERROR(__xludf.DUMMYFUNCTION("""COMPUTED_VALUE"""),"Merioch")</f>
        <v>Merioch</v>
      </c>
      <c r="D92" s="41" t="str">
        <f>IFERROR(__xludf.DUMMYFUNCTION("""COMPUTED_VALUE"""),"Insider Traders")</f>
        <v>Insider Traders</v>
      </c>
      <c r="E92" s="41">
        <f>IFERROR(__xludf.DUMMYFUNCTION("""COMPUTED_VALUE"""),2.0)</f>
        <v>2</v>
      </c>
      <c r="F92" s="41">
        <f>IFERROR(__xludf.DUMMYFUNCTION("""COMPUTED_VALUE"""),1230.0)</f>
        <v>1230</v>
      </c>
    </row>
    <row r="93">
      <c r="A93" s="41" t="b">
        <f>IFERROR(__xludf.DUMMYFUNCTION("""COMPUTED_VALUE"""),TRUE)</f>
        <v>1</v>
      </c>
      <c r="B93" s="41" t="str">
        <f>IFERROR(__xludf.DUMMYFUNCTION("""COMPUTED_VALUE"""),"RSC000654")</f>
        <v>RSC000654</v>
      </c>
      <c r="C93" s="41" t="str">
        <f>IFERROR(__xludf.DUMMYFUNCTION("""COMPUTED_VALUE"""),"Rocci")</f>
        <v>Rocci</v>
      </c>
      <c r="D93" s="41"/>
      <c r="E93" s="41">
        <f>IFERROR(__xludf.DUMMYFUNCTION("""COMPUTED_VALUE"""),0.0)</f>
        <v>0</v>
      </c>
      <c r="F93" s="41">
        <f>IFERROR(__xludf.DUMMYFUNCTION("""COMPUTED_VALUE"""),810.0)</f>
        <v>810</v>
      </c>
    </row>
    <row r="94">
      <c r="A94" s="41" t="b">
        <f>IFERROR(__xludf.DUMMYFUNCTION("""COMPUTED_VALUE"""),TRUE)</f>
        <v>1</v>
      </c>
      <c r="B94" s="41" t="str">
        <f>IFERROR(__xludf.DUMMYFUNCTION("""COMPUTED_VALUE"""),"RSC003694")</f>
        <v>RSC003694</v>
      </c>
      <c r="C94" s="41" t="str">
        <f>IFERROR(__xludf.DUMMYFUNCTION("""COMPUTED_VALUE"""),"TheCroctopus")</f>
        <v>TheCroctopus</v>
      </c>
      <c r="D94" s="41" t="str">
        <f>IFERROR(__xludf.DUMMYFUNCTION("""COMPUTED_VALUE"""),"Jinyiwei")</f>
        <v>Jinyiwei</v>
      </c>
      <c r="E94" s="41">
        <f>IFERROR(__xludf.DUMMYFUNCTION("""COMPUTED_VALUE"""),2.0)</f>
        <v>2</v>
      </c>
      <c r="F94" s="41">
        <f>IFERROR(__xludf.DUMMYFUNCTION("""COMPUTED_VALUE"""),1220.0)</f>
        <v>1220</v>
      </c>
    </row>
    <row r="95">
      <c r="A95" s="41" t="b">
        <f>IFERROR(__xludf.DUMMYFUNCTION("""COMPUTED_VALUE"""),FALSE)</f>
        <v>0</v>
      </c>
      <c r="B95" s="41" t="str">
        <f>IFERROR(__xludf.DUMMYFUNCTION("""COMPUTED_VALUE"""),"RSC003728")</f>
        <v>RSC003728</v>
      </c>
      <c r="C95" s="41" t="str">
        <f>IFERROR(__xludf.DUMMYFUNCTION("""COMPUTED_VALUE"""),"yillow")</f>
        <v>yillow</v>
      </c>
      <c r="D95" s="41"/>
      <c r="E95" s="41">
        <f>IFERROR(__xludf.DUMMYFUNCTION("""COMPUTED_VALUE"""),2.0)</f>
        <v>2</v>
      </c>
      <c r="F95" s="41">
        <f>IFERROR(__xludf.DUMMYFUNCTION("""COMPUTED_VALUE"""),1725.0)</f>
        <v>1725</v>
      </c>
    </row>
    <row r="96">
      <c r="A96" s="41" t="b">
        <f>IFERROR(__xludf.DUMMYFUNCTION("""COMPUTED_VALUE"""),TRUE)</f>
        <v>1</v>
      </c>
      <c r="B96" s="41" t="str">
        <f>IFERROR(__xludf.DUMMYFUNCTION("""COMPUTED_VALUE"""),"RSC003780")</f>
        <v>RSC003780</v>
      </c>
      <c r="C96" s="41" t="str">
        <f>IFERROR(__xludf.DUMMYFUNCTION("""COMPUTED_VALUE"""),"Fayzan ibn Balish")</f>
        <v>Fayzan ibn Balish</v>
      </c>
      <c r="D96" s="41" t="str">
        <f>IFERROR(__xludf.DUMMYFUNCTION("""COMPUTED_VALUE"""),"Punks")</f>
        <v>Punks</v>
      </c>
      <c r="E96" s="41">
        <f>IFERROR(__xludf.DUMMYFUNCTION("""COMPUTED_VALUE"""),2.0)</f>
        <v>2</v>
      </c>
      <c r="F96" s="41">
        <f>IFERROR(__xludf.DUMMYFUNCTION("""COMPUTED_VALUE"""),1910.0)</f>
        <v>1910</v>
      </c>
    </row>
    <row r="97">
      <c r="A97" s="41" t="b">
        <f>IFERROR(__xludf.DUMMYFUNCTION("""COMPUTED_VALUE"""),TRUE)</f>
        <v>1</v>
      </c>
      <c r="B97" s="41" t="str">
        <f>IFERROR(__xludf.DUMMYFUNCTION("""COMPUTED_VALUE"""),"RSC003784")</f>
        <v>RSC003784</v>
      </c>
      <c r="C97" s="41" t="str">
        <f>IFERROR(__xludf.DUMMYFUNCTION("""COMPUTED_VALUE"""),"RollsRoyceOwner")</f>
        <v>RollsRoyceOwner</v>
      </c>
      <c r="D97" s="41"/>
      <c r="E97" s="41">
        <f>IFERROR(__xludf.DUMMYFUNCTION("""COMPUTED_VALUE"""),0.0)</f>
        <v>0</v>
      </c>
      <c r="F97" s="41">
        <f>IFERROR(__xludf.DUMMYFUNCTION("""COMPUTED_VALUE"""),1535.0)</f>
        <v>1535</v>
      </c>
    </row>
    <row r="98">
      <c r="A98" s="41" t="b">
        <f>IFERROR(__xludf.DUMMYFUNCTION("""COMPUTED_VALUE"""),TRUE)</f>
        <v>1</v>
      </c>
      <c r="B98" s="41" t="str">
        <f>IFERROR(__xludf.DUMMYFUNCTION("""COMPUTED_VALUE"""),"RSC000441")</f>
        <v>RSC000441</v>
      </c>
      <c r="C98" s="41" t="str">
        <f>IFERROR(__xludf.DUMMYFUNCTION("""COMPUTED_VALUE"""),"Wolfocus")</f>
        <v>Wolfocus</v>
      </c>
      <c r="D98" s="41"/>
      <c r="E98" s="41">
        <f>IFERROR(__xludf.DUMMYFUNCTION("""COMPUTED_VALUE"""),0.0)</f>
        <v>0</v>
      </c>
      <c r="F98" s="41">
        <f>IFERROR(__xludf.DUMMYFUNCTION("""COMPUTED_VALUE"""),1275.0)</f>
        <v>1275</v>
      </c>
    </row>
    <row r="99">
      <c r="A99" s="41" t="b">
        <f>IFERROR(__xludf.DUMMYFUNCTION("""COMPUTED_VALUE"""),TRUE)</f>
        <v>1</v>
      </c>
      <c r="B99" s="41" t="str">
        <f>IFERROR(__xludf.DUMMYFUNCTION("""COMPUTED_VALUE"""),"RSC003797")</f>
        <v>RSC003797</v>
      </c>
      <c r="C99" s="41" t="str">
        <f>IFERROR(__xludf.DUMMYFUNCTION("""COMPUTED_VALUE"""),"FunkMaΣter")</f>
        <v>FunkMaΣter</v>
      </c>
      <c r="D99" s="41"/>
      <c r="E99" s="41">
        <f>IFERROR(__xludf.DUMMYFUNCTION("""COMPUTED_VALUE"""),0.0)</f>
        <v>0</v>
      </c>
      <c r="F99" s="41">
        <f>IFERROR(__xludf.DUMMYFUNCTION("""COMPUTED_VALUE"""),1525.0)</f>
        <v>1525</v>
      </c>
    </row>
    <row r="100">
      <c r="A100" s="41" t="b">
        <f>IFERROR(__xludf.DUMMYFUNCTION("""COMPUTED_VALUE"""),FALSE)</f>
        <v>0</v>
      </c>
      <c r="B100" s="41" t="str">
        <f>IFERROR(__xludf.DUMMYFUNCTION("""COMPUTED_VALUE"""),"RSC003792")</f>
        <v>RSC003792</v>
      </c>
      <c r="C100" s="41" t="str">
        <f>IFERROR(__xludf.DUMMYFUNCTION("""COMPUTED_VALUE"""),"Calcifiree")</f>
        <v>Calcifiree</v>
      </c>
      <c r="D100" s="41"/>
      <c r="E100" s="41">
        <f>IFERROR(__xludf.DUMMYFUNCTION("""COMPUTED_VALUE"""),0.0)</f>
        <v>0</v>
      </c>
      <c r="F100" s="41">
        <f>IFERROR(__xludf.DUMMYFUNCTION("""COMPUTED_VALUE"""),1720.0)</f>
        <v>1720</v>
      </c>
    </row>
    <row r="101">
      <c r="A101" s="41" t="b">
        <f>IFERROR(__xludf.DUMMYFUNCTION("""COMPUTED_VALUE"""),TRUE)</f>
        <v>1</v>
      </c>
      <c r="B101" s="41" t="str">
        <f>IFERROR(__xludf.DUMMYFUNCTION("""COMPUTED_VALUE"""),"RSC003912")</f>
        <v>RSC003912</v>
      </c>
      <c r="C101" s="41" t="str">
        <f>IFERROR(__xludf.DUMMYFUNCTION("""COMPUTED_VALUE"""),"ItsJustSticky.")</f>
        <v>ItsJustSticky.</v>
      </c>
      <c r="D101" s="41"/>
      <c r="E101" s="41">
        <f>IFERROR(__xludf.DUMMYFUNCTION("""COMPUTED_VALUE"""),0.0)</f>
        <v>0</v>
      </c>
      <c r="F101" s="41">
        <f>IFERROR(__xludf.DUMMYFUNCTION("""COMPUTED_VALUE"""),1200.0)</f>
        <v>1200</v>
      </c>
    </row>
    <row r="102">
      <c r="A102" s="41" t="b">
        <f>IFERROR(__xludf.DUMMYFUNCTION("""COMPUTED_VALUE"""),TRUE)</f>
        <v>1</v>
      </c>
      <c r="B102" s="41" t="str">
        <f>IFERROR(__xludf.DUMMYFUNCTION("""COMPUTED_VALUE"""),"RSC007231")</f>
        <v>RSC007231</v>
      </c>
      <c r="C102" s="41" t="str">
        <f>IFERROR(__xludf.DUMMYFUNCTION("""COMPUTED_VALUE"""),"BlitzzyG")</f>
        <v>BlitzzyG</v>
      </c>
      <c r="D102" s="41" t="str">
        <f>IFERROR(__xludf.DUMMYFUNCTION("""COMPUTED_VALUE"""),"Navigators")</f>
        <v>Navigators</v>
      </c>
      <c r="E102" s="41">
        <f>IFERROR(__xludf.DUMMYFUNCTION("""COMPUTED_VALUE"""),2.0)</f>
        <v>2</v>
      </c>
      <c r="F102" s="41">
        <f>IFERROR(__xludf.DUMMYFUNCTION("""COMPUTED_VALUE"""),1510.0)</f>
        <v>1510</v>
      </c>
    </row>
    <row r="103">
      <c r="A103" s="41" t="b">
        <f>IFERROR(__xludf.DUMMYFUNCTION("""COMPUTED_VALUE"""),TRUE)</f>
        <v>1</v>
      </c>
      <c r="B103" s="41" t="str">
        <f>IFERROR(__xludf.DUMMYFUNCTION("""COMPUTED_VALUE"""),"RSC003945")</f>
        <v>RSC003945</v>
      </c>
      <c r="C103" s="41" t="str">
        <f>IFERROR(__xludf.DUMMYFUNCTION("""COMPUTED_VALUE"""),"Gaw1f3d")</f>
        <v>Gaw1f3d</v>
      </c>
      <c r="D103" s="41" t="str">
        <f>IFERROR(__xludf.DUMMYFUNCTION("""COMPUTED_VALUE"""),"Navigators")</f>
        <v>Navigators</v>
      </c>
      <c r="E103" s="41">
        <f>IFERROR(__xludf.DUMMYFUNCTION("""COMPUTED_VALUE"""),1.0)</f>
        <v>1</v>
      </c>
      <c r="F103" s="41">
        <f>IFERROR(__xludf.DUMMYFUNCTION("""COMPUTED_VALUE"""),1440.0)</f>
        <v>1440</v>
      </c>
    </row>
    <row r="104">
      <c r="A104" s="41" t="b">
        <f>IFERROR(__xludf.DUMMYFUNCTION("""COMPUTED_VALUE"""),TRUE)</f>
        <v>1</v>
      </c>
      <c r="B104" s="41" t="str">
        <f>IFERROR(__xludf.DUMMYFUNCTION("""COMPUTED_VALUE"""),"RSC004012")</f>
        <v>RSC004012</v>
      </c>
      <c r="C104" s="41" t="str">
        <f>IFERROR(__xludf.DUMMYFUNCTION("""COMPUTED_VALUE"""),"kgfan3")</f>
        <v>kgfan3</v>
      </c>
      <c r="D104" s="41" t="str">
        <f>IFERROR(__xludf.DUMMYFUNCTION("""COMPUTED_VALUE"""),"Griffin")</f>
        <v>Griffin</v>
      </c>
      <c r="E104" s="41">
        <f>IFERROR(__xludf.DUMMYFUNCTION("""COMPUTED_VALUE"""),1.0)</f>
        <v>1</v>
      </c>
      <c r="F104" s="41">
        <f>IFERROR(__xludf.DUMMYFUNCTION("""COMPUTED_VALUE"""),1070.0)</f>
        <v>1070</v>
      </c>
    </row>
    <row r="105">
      <c r="A105" s="41" t="b">
        <f>IFERROR(__xludf.DUMMYFUNCTION("""COMPUTED_VALUE"""),TRUE)</f>
        <v>1</v>
      </c>
      <c r="B105" s="41" t="str">
        <f>IFERROR(__xludf.DUMMYFUNCTION("""COMPUTED_VALUE"""),"RSC007924")</f>
        <v>RSC007924</v>
      </c>
      <c r="C105" s="41" t="str">
        <f>IFERROR(__xludf.DUMMYFUNCTION("""COMPUTED_VALUE"""),"Kaorix")</f>
        <v>Kaorix</v>
      </c>
      <c r="D105" s="41" t="str">
        <f>IFERROR(__xludf.DUMMYFUNCTION("""COMPUTED_VALUE"""),"Interstellar")</f>
        <v>Interstellar</v>
      </c>
      <c r="E105" s="41">
        <f>IFERROR(__xludf.DUMMYFUNCTION("""COMPUTED_VALUE"""),1.0)</f>
        <v>1</v>
      </c>
      <c r="F105" s="41">
        <f>IFERROR(__xludf.DUMMYFUNCTION("""COMPUTED_VALUE"""),1800.0)</f>
        <v>1800</v>
      </c>
    </row>
    <row r="106">
      <c r="A106" s="41" t="b">
        <f>IFERROR(__xludf.DUMMYFUNCTION("""COMPUTED_VALUE"""),TRUE)</f>
        <v>1</v>
      </c>
      <c r="B106" s="41" t="str">
        <f>IFERROR(__xludf.DUMMYFUNCTION("""COMPUTED_VALUE"""),"RSC004035")</f>
        <v>RSC004035</v>
      </c>
      <c r="C106" s="41" t="str">
        <f>IFERROR(__xludf.DUMMYFUNCTION("""COMPUTED_VALUE"""),"Timmy_-_")</f>
        <v>Timmy_-_</v>
      </c>
      <c r="D106" s="41" t="str">
        <f>IFERROR(__xludf.DUMMYFUNCTION("""COMPUTED_VALUE"""),"Dogfight")</f>
        <v>Dogfight</v>
      </c>
      <c r="E106" s="41">
        <f>IFERROR(__xludf.DUMMYFUNCTION("""COMPUTED_VALUE"""),2.0)</f>
        <v>2</v>
      </c>
      <c r="F106" s="41">
        <f>IFERROR(__xludf.DUMMYFUNCTION("""COMPUTED_VALUE"""),1410.0)</f>
        <v>1410</v>
      </c>
    </row>
    <row r="107">
      <c r="A107" s="41" t="b">
        <f>IFERROR(__xludf.DUMMYFUNCTION("""COMPUTED_VALUE"""),TRUE)</f>
        <v>1</v>
      </c>
      <c r="B107" s="41" t="str">
        <f>IFERROR(__xludf.DUMMYFUNCTION("""COMPUTED_VALUE"""),"RSC004107")</f>
        <v>RSC004107</v>
      </c>
      <c r="C107" s="41" t="str">
        <f>IFERROR(__xludf.DUMMYFUNCTION("""COMPUTED_VALUE"""),"FlyFyre.")</f>
        <v>FlyFyre.</v>
      </c>
      <c r="D107" s="41"/>
      <c r="E107" s="41">
        <f>IFERROR(__xludf.DUMMYFUNCTION("""COMPUTED_VALUE"""),0.0)</f>
        <v>0</v>
      </c>
      <c r="F107" s="41">
        <f>IFERROR(__xludf.DUMMYFUNCTION("""COMPUTED_VALUE"""),1590.0)</f>
        <v>1590</v>
      </c>
    </row>
    <row r="108">
      <c r="A108" s="41" t="b">
        <f>IFERROR(__xludf.DUMMYFUNCTION("""COMPUTED_VALUE"""),FALSE)</f>
        <v>0</v>
      </c>
      <c r="B108" s="41" t="str">
        <f>IFERROR(__xludf.DUMMYFUNCTION("""COMPUTED_VALUE"""),"RSC004141")</f>
        <v>RSC004141</v>
      </c>
      <c r="C108" s="41" t="str">
        <f>IFERROR(__xludf.DUMMYFUNCTION("""COMPUTED_VALUE"""),"Sgt. Cuervo")</f>
        <v>Sgt. Cuervo</v>
      </c>
      <c r="D108" s="41"/>
      <c r="E108" s="41">
        <f>IFERROR(__xludf.DUMMYFUNCTION("""COMPUTED_VALUE"""),0.0)</f>
        <v>0</v>
      </c>
      <c r="F108" s="41">
        <f>IFERROR(__xludf.DUMMYFUNCTION("""COMPUTED_VALUE"""),1345.0)</f>
        <v>1345</v>
      </c>
    </row>
    <row r="109">
      <c r="A109" s="41" t="b">
        <f>IFERROR(__xludf.DUMMYFUNCTION("""COMPUTED_VALUE"""),TRUE)</f>
        <v>1</v>
      </c>
      <c r="B109" s="41" t="str">
        <f>IFERROR(__xludf.DUMMYFUNCTION("""COMPUTED_VALUE"""),"RSC004177")</f>
        <v>RSC004177</v>
      </c>
      <c r="C109" s="41" t="str">
        <f>IFERROR(__xludf.DUMMYFUNCTION("""COMPUTED_VALUE"""),"Abeillonnaise")</f>
        <v>Abeillonnaise</v>
      </c>
      <c r="D109" s="41" t="str">
        <f>IFERROR(__xludf.DUMMYFUNCTION("""COMPUTED_VALUE"""),"Dracos")</f>
        <v>Dracos</v>
      </c>
      <c r="E109" s="41">
        <f>IFERROR(__xludf.DUMMYFUNCTION("""COMPUTED_VALUE"""),2.0)</f>
        <v>2</v>
      </c>
      <c r="F109" s="41">
        <f>IFERROR(__xludf.DUMMYFUNCTION("""COMPUTED_VALUE"""),1260.0)</f>
        <v>1260</v>
      </c>
    </row>
    <row r="110">
      <c r="A110" s="41" t="b">
        <f>IFERROR(__xludf.DUMMYFUNCTION("""COMPUTED_VALUE"""),TRUE)</f>
        <v>1</v>
      </c>
      <c r="B110" s="41" t="str">
        <f>IFERROR(__xludf.DUMMYFUNCTION("""COMPUTED_VALUE"""),"RSC004149")</f>
        <v>RSC004149</v>
      </c>
      <c r="C110" s="41" t="str">
        <f>IFERROR(__xludf.DUMMYFUNCTION("""COMPUTED_VALUE"""),"insanity")</f>
        <v>insanity</v>
      </c>
      <c r="D110" s="41" t="str">
        <f>IFERROR(__xludf.DUMMYFUNCTION("""COMPUTED_VALUE"""),"Super Clusters")</f>
        <v>Super Clusters</v>
      </c>
      <c r="E110" s="41">
        <f>IFERROR(__xludf.DUMMYFUNCTION("""COMPUTED_VALUE"""),2.0)</f>
        <v>2</v>
      </c>
      <c r="F110" s="41">
        <f>IFERROR(__xludf.DUMMYFUNCTION("""COMPUTED_VALUE"""),1880.0)</f>
        <v>1880</v>
      </c>
    </row>
    <row r="111">
      <c r="A111" s="41" t="b">
        <f>IFERROR(__xludf.DUMMYFUNCTION("""COMPUTED_VALUE"""),TRUE)</f>
        <v>1</v>
      </c>
      <c r="B111" s="41" t="str">
        <f>IFERROR(__xludf.DUMMYFUNCTION("""COMPUTED_VALUE"""),"RSC008508")</f>
        <v>RSC008508</v>
      </c>
      <c r="C111" s="41" t="str">
        <f>IFERROR(__xludf.DUMMYFUNCTION("""COMPUTED_VALUE"""),"Flame_RL10")</f>
        <v>Flame_RL10</v>
      </c>
      <c r="D111" s="41" t="str">
        <f>IFERROR(__xludf.DUMMYFUNCTION("""COMPUTED_VALUE"""),"Peppermint")</f>
        <v>Peppermint</v>
      </c>
      <c r="E111" s="41">
        <f>IFERROR(__xludf.DUMMYFUNCTION("""COMPUTED_VALUE"""),0.0)</f>
        <v>0</v>
      </c>
      <c r="F111" s="41">
        <f>IFERROR(__xludf.DUMMYFUNCTION("""COMPUTED_VALUE"""),1455.0)</f>
        <v>1455</v>
      </c>
    </row>
    <row r="112">
      <c r="A112" s="41" t="b">
        <f>IFERROR(__xludf.DUMMYFUNCTION("""COMPUTED_VALUE"""),TRUE)</f>
        <v>1</v>
      </c>
      <c r="B112" s="41" t="str">
        <f>IFERROR(__xludf.DUMMYFUNCTION("""COMPUTED_VALUE"""),"RSC007317")</f>
        <v>RSC007317</v>
      </c>
      <c r="C112" s="41" t="str">
        <f>IFERROR(__xludf.DUMMYFUNCTION("""COMPUTED_VALUE"""),"TheDarkHero77")</f>
        <v>TheDarkHero77</v>
      </c>
      <c r="D112" s="41" t="str">
        <f>IFERROR(__xludf.DUMMYFUNCTION("""COMPUTED_VALUE"""),"Asiago Arsonists")</f>
        <v>Asiago Arsonists</v>
      </c>
      <c r="E112" s="41">
        <f>IFERROR(__xludf.DUMMYFUNCTION("""COMPUTED_VALUE"""),2.0)</f>
        <v>2</v>
      </c>
      <c r="F112" s="41">
        <f>IFERROR(__xludf.DUMMYFUNCTION("""COMPUTED_VALUE"""),1370.0)</f>
        <v>1370</v>
      </c>
    </row>
    <row r="113">
      <c r="A113" s="41" t="b">
        <f>IFERROR(__xludf.DUMMYFUNCTION("""COMPUTED_VALUE"""),TRUE)</f>
        <v>1</v>
      </c>
      <c r="B113" s="41" t="str">
        <f>IFERROR(__xludf.DUMMYFUNCTION("""COMPUTED_VALUE"""),"RSC004385")</f>
        <v>RSC004385</v>
      </c>
      <c r="C113" s="41" t="str">
        <f>IFERROR(__xludf.DUMMYFUNCTION("""COMPUTED_VALUE"""),"Braybaum02")</f>
        <v>Braybaum02</v>
      </c>
      <c r="D113" s="41"/>
      <c r="E113" s="41">
        <f>IFERROR(__xludf.DUMMYFUNCTION("""COMPUTED_VALUE"""),1.0)</f>
        <v>1</v>
      </c>
      <c r="F113" s="41">
        <f>IFERROR(__xludf.DUMMYFUNCTION("""COMPUTED_VALUE"""),1490.0)</f>
        <v>1490</v>
      </c>
    </row>
    <row r="114">
      <c r="A114" s="41" t="b">
        <f>IFERROR(__xludf.DUMMYFUNCTION("""COMPUTED_VALUE"""),TRUE)</f>
        <v>1</v>
      </c>
      <c r="B114" s="41" t="str">
        <f>IFERROR(__xludf.DUMMYFUNCTION("""COMPUTED_VALUE"""),"RSC004367")</f>
        <v>RSC004367</v>
      </c>
      <c r="C114" s="41" t="str">
        <f>IFERROR(__xludf.DUMMYFUNCTION("""COMPUTED_VALUE"""),"pr.c")</f>
        <v>pr.c</v>
      </c>
      <c r="D114" s="41" t="str">
        <f>IFERROR(__xludf.DUMMYFUNCTION("""COMPUTED_VALUE"""),"White Collars")</f>
        <v>White Collars</v>
      </c>
      <c r="E114" s="41">
        <f>IFERROR(__xludf.DUMMYFUNCTION("""COMPUTED_VALUE"""),2.0)</f>
        <v>2</v>
      </c>
      <c r="F114" s="41">
        <f>IFERROR(__xludf.DUMMYFUNCTION("""COMPUTED_VALUE"""),1455.0)</f>
        <v>1455</v>
      </c>
    </row>
    <row r="115">
      <c r="A115" s="41" t="b">
        <f>IFERROR(__xludf.DUMMYFUNCTION("""COMPUTED_VALUE"""),TRUE)</f>
        <v>1</v>
      </c>
      <c r="B115" s="41" t="str">
        <f>IFERROR(__xludf.DUMMYFUNCTION("""COMPUTED_VALUE"""),"RSC004374")</f>
        <v>RSC004374</v>
      </c>
      <c r="C115" s="41" t="str">
        <f>IFERROR(__xludf.DUMMYFUNCTION("""COMPUTED_VALUE"""),"dullah.rl")</f>
        <v>dullah.rl</v>
      </c>
      <c r="D115" s="41"/>
      <c r="E115" s="41">
        <f>IFERROR(__xludf.DUMMYFUNCTION("""COMPUTED_VALUE"""),0.0)</f>
        <v>0</v>
      </c>
      <c r="F115" s="41">
        <f>IFERROR(__xludf.DUMMYFUNCTION("""COMPUTED_VALUE"""),1550.0)</f>
        <v>1550</v>
      </c>
    </row>
    <row r="116">
      <c r="A116" s="41" t="b">
        <f>IFERROR(__xludf.DUMMYFUNCTION("""COMPUTED_VALUE"""),TRUE)</f>
        <v>1</v>
      </c>
      <c r="B116" s="41" t="str">
        <f>IFERROR(__xludf.DUMMYFUNCTION("""COMPUTED_VALUE"""),"RSC007270")</f>
        <v>RSC007270</v>
      </c>
      <c r="C116" s="41" t="str">
        <f>IFERROR(__xludf.DUMMYFUNCTION("""COMPUTED_VALUE"""),"D0pey killer")</f>
        <v>D0pey killer</v>
      </c>
      <c r="D116" s="41" t="str">
        <f>IFERROR(__xludf.DUMMYFUNCTION("""COMPUTED_VALUE"""),"Electric Eels")</f>
        <v>Electric Eels</v>
      </c>
      <c r="E116" s="41">
        <f>IFERROR(__xludf.DUMMYFUNCTION("""COMPUTED_VALUE"""),1.0)</f>
        <v>1</v>
      </c>
      <c r="F116" s="41">
        <f>IFERROR(__xludf.DUMMYFUNCTION("""COMPUTED_VALUE"""),910.0)</f>
        <v>910</v>
      </c>
    </row>
    <row r="117">
      <c r="A117" s="41" t="b">
        <f>IFERROR(__xludf.DUMMYFUNCTION("""COMPUTED_VALUE"""),TRUE)</f>
        <v>1</v>
      </c>
      <c r="B117" s="41" t="str">
        <f>IFERROR(__xludf.DUMMYFUNCTION("""COMPUTED_VALUE"""),"RSC004452")</f>
        <v>RSC004452</v>
      </c>
      <c r="C117" s="41" t="str">
        <f>IFERROR(__xludf.DUMMYFUNCTION("""COMPUTED_VALUE"""),"sleepzey")</f>
        <v>sleepzey</v>
      </c>
      <c r="D117" s="41" t="str">
        <f>IFERROR(__xludf.DUMMYFUNCTION("""COMPUTED_VALUE"""),"Black Ice")</f>
        <v>Black Ice</v>
      </c>
      <c r="E117" s="41">
        <f>IFERROR(__xludf.DUMMYFUNCTION("""COMPUTED_VALUE"""),2.0)</f>
        <v>2</v>
      </c>
      <c r="F117" s="41">
        <f>IFERROR(__xludf.DUMMYFUNCTION("""COMPUTED_VALUE"""),1335.0)</f>
        <v>1335</v>
      </c>
    </row>
    <row r="118">
      <c r="A118" s="41" t="b">
        <f>IFERROR(__xludf.DUMMYFUNCTION("""COMPUTED_VALUE"""),FALSE)</f>
        <v>0</v>
      </c>
      <c r="B118" s="41" t="str">
        <f>IFERROR(__xludf.DUMMYFUNCTION("""COMPUTED_VALUE"""),"RSC007272")</f>
        <v>RSC007272</v>
      </c>
      <c r="C118" s="41" t="str">
        <f>IFERROR(__xludf.DUMMYFUNCTION("""COMPUTED_VALUE"""),"HAPPYDOOMZDAY")</f>
        <v>HAPPYDOOMZDAY</v>
      </c>
      <c r="D118" s="41"/>
      <c r="E118" s="41">
        <f>IFERROR(__xludf.DUMMYFUNCTION("""COMPUTED_VALUE"""),0.0)</f>
        <v>0</v>
      </c>
      <c r="F118" s="41">
        <f>IFERROR(__xludf.DUMMYFUNCTION("""COMPUTED_VALUE"""),600.0)</f>
        <v>600</v>
      </c>
    </row>
    <row r="119">
      <c r="A119" s="41" t="b">
        <f>IFERROR(__xludf.DUMMYFUNCTION("""COMPUTED_VALUE"""),TRUE)</f>
        <v>1</v>
      </c>
      <c r="B119" s="41" t="str">
        <f>IFERROR(__xludf.DUMMYFUNCTION("""COMPUTED_VALUE"""),"RSC004509")</f>
        <v>RSC004509</v>
      </c>
      <c r="C119" s="41" t="str">
        <f>IFERROR(__xludf.DUMMYFUNCTION("""COMPUTED_VALUE"""),"tazlien")</f>
        <v>tazlien</v>
      </c>
      <c r="D119" s="41"/>
      <c r="E119" s="41">
        <f>IFERROR(__xludf.DUMMYFUNCTION("""COMPUTED_VALUE"""),0.0)</f>
        <v>0</v>
      </c>
      <c r="F119" s="41">
        <f>IFERROR(__xludf.DUMMYFUNCTION("""COMPUTED_VALUE"""),1065.0)</f>
        <v>1065</v>
      </c>
    </row>
    <row r="120">
      <c r="A120" s="41" t="b">
        <f>IFERROR(__xludf.DUMMYFUNCTION("""COMPUTED_VALUE"""),TRUE)</f>
        <v>1</v>
      </c>
      <c r="B120" s="41" t="str">
        <f>IFERROR(__xludf.DUMMYFUNCTION("""COMPUTED_VALUE"""),"RSC004536")</f>
        <v>RSC004536</v>
      </c>
      <c r="C120" s="41" t="str">
        <f>IFERROR(__xludf.DUMMYFUNCTION("""COMPUTED_VALUE"""),"Grim")</f>
        <v>Grim</v>
      </c>
      <c r="D120" s="41" t="str">
        <f>IFERROR(__xludf.DUMMYFUNCTION("""COMPUTED_VALUE"""),"Centuriones")</f>
        <v>Centuriones</v>
      </c>
      <c r="E120" s="41">
        <f>IFERROR(__xludf.DUMMYFUNCTION("""COMPUTED_VALUE"""),2.0)</f>
        <v>2</v>
      </c>
      <c r="F120" s="41">
        <f>IFERROR(__xludf.DUMMYFUNCTION("""COMPUTED_VALUE"""),1315.0)</f>
        <v>1315</v>
      </c>
    </row>
    <row r="121">
      <c r="A121" s="41" t="b">
        <f>IFERROR(__xludf.DUMMYFUNCTION("""COMPUTED_VALUE"""),FALSE)</f>
        <v>0</v>
      </c>
      <c r="B121" s="41" t="str">
        <f>IFERROR(__xludf.DUMMYFUNCTION("""COMPUTED_VALUE"""),"RSC004557")</f>
        <v>RSC004557</v>
      </c>
      <c r="C121" s="41" t="str">
        <f>IFERROR(__xludf.DUMMYFUNCTION("""COMPUTED_VALUE"""),"Hamm.")</f>
        <v>Hamm.</v>
      </c>
      <c r="D121" s="41"/>
      <c r="E121" s="41">
        <f>IFERROR(__xludf.DUMMYFUNCTION("""COMPUTED_VALUE"""),2.0)</f>
        <v>2</v>
      </c>
      <c r="F121" s="41">
        <f>IFERROR(__xludf.DUMMYFUNCTION("""COMPUTED_VALUE"""),1265.0)</f>
        <v>1265</v>
      </c>
    </row>
    <row r="122">
      <c r="A122" s="41" t="b">
        <f>IFERROR(__xludf.DUMMYFUNCTION("""COMPUTED_VALUE"""),TRUE)</f>
        <v>1</v>
      </c>
      <c r="B122" s="41" t="str">
        <f>IFERROR(__xludf.DUMMYFUNCTION("""COMPUTED_VALUE"""),"RSC004580")</f>
        <v>RSC004580</v>
      </c>
      <c r="C122" s="41" t="str">
        <f>IFERROR(__xludf.DUMMYFUNCTION("""COMPUTED_VALUE"""),"Static")</f>
        <v>Static</v>
      </c>
      <c r="D122" s="41" t="str">
        <f>IFERROR(__xludf.DUMMYFUNCTION("""COMPUTED_VALUE"""),"Spectres")</f>
        <v>Spectres</v>
      </c>
      <c r="E122" s="41">
        <f>IFERROR(__xludf.DUMMYFUNCTION("""COMPUTED_VALUE"""),2.0)</f>
        <v>2</v>
      </c>
      <c r="F122" s="41">
        <f>IFERROR(__xludf.DUMMYFUNCTION("""COMPUTED_VALUE"""),1780.0)</f>
        <v>1780</v>
      </c>
    </row>
    <row r="123">
      <c r="A123" s="41" t="b">
        <f>IFERROR(__xludf.DUMMYFUNCTION("""COMPUTED_VALUE"""),FALSE)</f>
        <v>0</v>
      </c>
      <c r="B123" s="41" t="str">
        <f>IFERROR(__xludf.DUMMYFUNCTION("""COMPUTED_VALUE"""),"RSC004586")</f>
        <v>RSC004586</v>
      </c>
      <c r="C123" s="41" t="str">
        <f>IFERROR(__xludf.DUMMYFUNCTION("""COMPUTED_VALUE"""),"Jaybeauh")</f>
        <v>Jaybeauh</v>
      </c>
      <c r="D123" s="41"/>
      <c r="E123" s="41">
        <f>IFERROR(__xludf.DUMMYFUNCTION("""COMPUTED_VALUE"""),0.0)</f>
        <v>0</v>
      </c>
      <c r="F123" s="41">
        <f>IFERROR(__xludf.DUMMYFUNCTION("""COMPUTED_VALUE"""),1525.0)</f>
        <v>1525</v>
      </c>
    </row>
    <row r="124">
      <c r="A124" s="41" t="b">
        <f>IFERROR(__xludf.DUMMYFUNCTION("""COMPUTED_VALUE"""),TRUE)</f>
        <v>1</v>
      </c>
      <c r="B124" s="41" t="str">
        <f>IFERROR(__xludf.DUMMYFUNCTION("""COMPUTED_VALUE"""),"RSC004665")</f>
        <v>RSC004665</v>
      </c>
      <c r="C124" s="41" t="str">
        <f>IFERROR(__xludf.DUMMYFUNCTION("""COMPUTED_VALUE"""),"xPrism")</f>
        <v>xPrism</v>
      </c>
      <c r="D124" s="41" t="str">
        <f>IFERROR(__xludf.DUMMYFUNCTION("""COMPUTED_VALUE"""),"Hot Wings")</f>
        <v>Hot Wings</v>
      </c>
      <c r="E124" s="41">
        <f>IFERROR(__xludf.DUMMYFUNCTION("""COMPUTED_VALUE"""),2.0)</f>
        <v>2</v>
      </c>
      <c r="F124" s="41">
        <f>IFERROR(__xludf.DUMMYFUNCTION("""COMPUTED_VALUE"""),1300.0)</f>
        <v>1300</v>
      </c>
    </row>
    <row r="125">
      <c r="A125" s="41" t="b">
        <f>IFERROR(__xludf.DUMMYFUNCTION("""COMPUTED_VALUE"""),FALSE)</f>
        <v>0</v>
      </c>
      <c r="B125" s="41" t="str">
        <f>IFERROR(__xludf.DUMMYFUNCTION("""COMPUTED_VALUE"""),"RSC004662")</f>
        <v>RSC004662</v>
      </c>
      <c r="C125" s="41" t="str">
        <f>IFERROR(__xludf.DUMMYFUNCTION("""COMPUTED_VALUE"""),"dmxtt.")</f>
        <v>dmxtt.</v>
      </c>
      <c r="D125" s="41"/>
      <c r="E125" s="41">
        <f>IFERROR(__xludf.DUMMYFUNCTION("""COMPUTED_VALUE"""),0.0)</f>
        <v>0</v>
      </c>
      <c r="F125" s="41">
        <f>IFERROR(__xludf.DUMMYFUNCTION("""COMPUTED_VALUE"""),1700.0)</f>
        <v>1700</v>
      </c>
    </row>
    <row r="126">
      <c r="A126" s="41" t="b">
        <f>IFERROR(__xludf.DUMMYFUNCTION("""COMPUTED_VALUE"""),TRUE)</f>
        <v>1</v>
      </c>
      <c r="B126" s="41" t="str">
        <f>IFERROR(__xludf.DUMMYFUNCTION("""COMPUTED_VALUE"""),"RSC007513")</f>
        <v>RSC007513</v>
      </c>
      <c r="C126" s="41" t="str">
        <f>IFERROR(__xludf.DUMMYFUNCTION("""COMPUTED_VALUE"""),"Russ")</f>
        <v>Russ</v>
      </c>
      <c r="D126" s="41" t="str">
        <f>IFERROR(__xludf.DUMMYFUNCTION("""COMPUTED_VALUE"""),"Earth")</f>
        <v>Earth</v>
      </c>
      <c r="E126" s="41">
        <f>IFERROR(__xludf.DUMMYFUNCTION("""COMPUTED_VALUE"""),2.0)</f>
        <v>2</v>
      </c>
      <c r="F126" s="41">
        <f>IFERROR(__xludf.DUMMYFUNCTION("""COMPUTED_VALUE"""),975.0)</f>
        <v>975</v>
      </c>
    </row>
    <row r="127">
      <c r="A127" s="41" t="b">
        <f>IFERROR(__xludf.DUMMYFUNCTION("""COMPUTED_VALUE"""),FALSE)</f>
        <v>0</v>
      </c>
      <c r="B127" s="41" t="str">
        <f>IFERROR(__xludf.DUMMYFUNCTION("""COMPUTED_VALUE"""),"RSC004846")</f>
        <v>RSC004846</v>
      </c>
      <c r="C127" s="41" t="str">
        <f>IFERROR(__xludf.DUMMYFUNCTION("""COMPUTED_VALUE"""),"swsa")</f>
        <v>swsa</v>
      </c>
      <c r="D127" s="41"/>
      <c r="E127" s="41">
        <f>IFERROR(__xludf.DUMMYFUNCTION("""COMPUTED_VALUE"""),0.0)</f>
        <v>0</v>
      </c>
      <c r="F127" s="41">
        <f>IFERROR(__xludf.DUMMYFUNCTION("""COMPUTED_VALUE"""),600.0)</f>
        <v>600</v>
      </c>
    </row>
    <row r="128">
      <c r="A128" s="41" t="b">
        <f>IFERROR(__xludf.DUMMYFUNCTION("""COMPUTED_VALUE"""),FALSE)</f>
        <v>0</v>
      </c>
      <c r="B128" s="41" t="str">
        <f>IFERROR(__xludf.DUMMYFUNCTION("""COMPUTED_VALUE"""),"RSC004840")</f>
        <v>RSC004840</v>
      </c>
      <c r="C128" s="41" t="str">
        <f>IFERROR(__xludf.DUMMYFUNCTION("""COMPUTED_VALUE"""),"obay jack6185")</f>
        <v>obay jack6185</v>
      </c>
      <c r="D128" s="41"/>
      <c r="E128" s="41">
        <f>IFERROR(__xludf.DUMMYFUNCTION("""COMPUTED_VALUE"""),0.0)</f>
        <v>0</v>
      </c>
      <c r="F128" s="41">
        <f>IFERROR(__xludf.DUMMYFUNCTION("""COMPUTED_VALUE"""),1320.0)</f>
        <v>1320</v>
      </c>
    </row>
    <row r="129">
      <c r="A129" s="41" t="b">
        <f>IFERROR(__xludf.DUMMYFUNCTION("""COMPUTED_VALUE"""),TRUE)</f>
        <v>1</v>
      </c>
      <c r="B129" s="41" t="str">
        <f>IFERROR(__xludf.DUMMYFUNCTION("""COMPUTED_VALUE"""),"RSC008094")</f>
        <v>RSC008094</v>
      </c>
      <c r="C129" s="41" t="str">
        <f>IFERROR(__xludf.DUMMYFUNCTION("""COMPUTED_VALUE"""),"JoshuaNaoki")</f>
        <v>JoshuaNaoki</v>
      </c>
      <c r="D129" s="41" t="str">
        <f>IFERROR(__xludf.DUMMYFUNCTION("""COMPUTED_VALUE"""),"Gummy Bears")</f>
        <v>Gummy Bears</v>
      </c>
      <c r="E129" s="41">
        <f>IFERROR(__xludf.DUMMYFUNCTION("""COMPUTED_VALUE"""),2.0)</f>
        <v>2</v>
      </c>
      <c r="F129" s="41">
        <f>IFERROR(__xludf.DUMMYFUNCTION("""COMPUTED_VALUE"""),1815.0)</f>
        <v>1815</v>
      </c>
    </row>
    <row r="130">
      <c r="A130" s="41" t="b">
        <f>IFERROR(__xludf.DUMMYFUNCTION("""COMPUTED_VALUE"""),TRUE)</f>
        <v>1</v>
      </c>
      <c r="B130" s="41" t="str">
        <f>IFERROR(__xludf.DUMMYFUNCTION("""COMPUTED_VALUE"""),"RSC004872")</f>
        <v>RSC004872</v>
      </c>
      <c r="C130" s="41" t="str">
        <f>IFERROR(__xludf.DUMMYFUNCTION("""COMPUTED_VALUE"""),"JustLaben")</f>
        <v>JustLaben</v>
      </c>
      <c r="D130" s="41" t="str">
        <f>IFERROR(__xludf.DUMMYFUNCTION("""COMPUTED_VALUE"""),"Cannoli")</f>
        <v>Cannoli</v>
      </c>
      <c r="E130" s="41">
        <f>IFERROR(__xludf.DUMMYFUNCTION("""COMPUTED_VALUE"""),1.0)</f>
        <v>1</v>
      </c>
      <c r="F130" s="41">
        <f>IFERROR(__xludf.DUMMYFUNCTION("""COMPUTED_VALUE"""),1500.0)</f>
        <v>1500</v>
      </c>
    </row>
    <row r="131">
      <c r="A131" s="41" t="b">
        <f>IFERROR(__xludf.DUMMYFUNCTION("""COMPUTED_VALUE"""),TRUE)</f>
        <v>1</v>
      </c>
      <c r="B131" s="41" t="str">
        <f>IFERROR(__xludf.DUMMYFUNCTION("""COMPUTED_VALUE"""),"RSC008158")</f>
        <v>RSC008158</v>
      </c>
      <c r="C131" s="41" t="str">
        <f>IFERROR(__xludf.DUMMYFUNCTION("""COMPUTED_VALUE"""),"Twixxle_")</f>
        <v>Twixxle_</v>
      </c>
      <c r="D131" s="41" t="str">
        <f>IFERROR(__xludf.DUMMYFUNCTION("""COMPUTED_VALUE"""),"Shade")</f>
        <v>Shade</v>
      </c>
      <c r="E131" s="41">
        <f>IFERROR(__xludf.DUMMYFUNCTION("""COMPUTED_VALUE"""),1.0)</f>
        <v>1</v>
      </c>
      <c r="F131" s="41">
        <f>IFERROR(__xludf.DUMMYFUNCTION("""COMPUTED_VALUE"""),1205.0)</f>
        <v>1205</v>
      </c>
    </row>
    <row r="132">
      <c r="A132" s="41" t="b">
        <f>IFERROR(__xludf.DUMMYFUNCTION("""COMPUTED_VALUE"""),FALSE)</f>
        <v>0</v>
      </c>
      <c r="B132" s="41" t="str">
        <f>IFERROR(__xludf.DUMMYFUNCTION("""COMPUTED_VALUE"""),"RSC008378")</f>
        <v>RSC008378</v>
      </c>
      <c r="C132" s="41" t="str">
        <f>IFERROR(__xludf.DUMMYFUNCTION("""COMPUTED_VALUE"""),"Ravage Botco")</f>
        <v>Ravage Botco</v>
      </c>
      <c r="D132" s="41"/>
      <c r="E132" s="41">
        <f>IFERROR(__xludf.DUMMYFUNCTION("""COMPUTED_VALUE"""),0.0)</f>
        <v>0</v>
      </c>
      <c r="F132" s="41">
        <f>IFERROR(__xludf.DUMMYFUNCTION("""COMPUTED_VALUE"""),1440.0)</f>
        <v>1440</v>
      </c>
    </row>
    <row r="133">
      <c r="A133" s="41" t="b">
        <f>IFERROR(__xludf.DUMMYFUNCTION("""COMPUTED_VALUE"""),TRUE)</f>
        <v>1</v>
      </c>
      <c r="B133" s="41" t="str">
        <f>IFERROR(__xludf.DUMMYFUNCTION("""COMPUTED_VALUE"""),"RSC004918")</f>
        <v>RSC004918</v>
      </c>
      <c r="C133" s="41" t="str">
        <f>IFERROR(__xludf.DUMMYFUNCTION("""COMPUTED_VALUE"""),"Nezitic †")</f>
        <v>Nezitic †</v>
      </c>
      <c r="D133" s="41"/>
      <c r="E133" s="41">
        <f>IFERROR(__xludf.DUMMYFUNCTION("""COMPUTED_VALUE"""),0.0)</f>
        <v>0</v>
      </c>
      <c r="F133" s="41">
        <f>IFERROR(__xludf.DUMMYFUNCTION("""COMPUTED_VALUE"""),600.0)</f>
        <v>600</v>
      </c>
    </row>
    <row r="134">
      <c r="A134" s="41" t="b">
        <f>IFERROR(__xludf.DUMMYFUNCTION("""COMPUTED_VALUE"""),FALSE)</f>
        <v>0</v>
      </c>
      <c r="B134" s="41" t="str">
        <f>IFERROR(__xludf.DUMMYFUNCTION("""COMPUTED_VALUE"""),"RSC004927")</f>
        <v>RSC004927</v>
      </c>
      <c r="C134" s="41" t="str">
        <f>IFERROR(__xludf.DUMMYFUNCTION("""COMPUTED_VALUE"""),"bobbiinn")</f>
        <v>bobbiinn</v>
      </c>
      <c r="D134" s="41"/>
      <c r="E134" s="41">
        <f>IFERROR(__xludf.DUMMYFUNCTION("""COMPUTED_VALUE"""),0.0)</f>
        <v>0</v>
      </c>
      <c r="F134" s="41">
        <f>IFERROR(__xludf.DUMMYFUNCTION("""COMPUTED_VALUE"""),600.0)</f>
        <v>600</v>
      </c>
    </row>
    <row r="135">
      <c r="A135" s="41" t="b">
        <f>IFERROR(__xludf.DUMMYFUNCTION("""COMPUTED_VALUE"""),TRUE)</f>
        <v>1</v>
      </c>
      <c r="B135" s="41" t="str">
        <f>IFERROR(__xludf.DUMMYFUNCTION("""COMPUTED_VALUE"""),"RSC004997")</f>
        <v>RSC004997</v>
      </c>
      <c r="C135" s="41" t="str">
        <f>IFERROR(__xludf.DUMMYFUNCTION("""COMPUTED_VALUE"""),"Evelynnx")</f>
        <v>Evelynnx</v>
      </c>
      <c r="D135" s="41"/>
      <c r="E135" s="41">
        <f>IFERROR(__xludf.DUMMYFUNCTION("""COMPUTED_VALUE"""),0.0)</f>
        <v>0</v>
      </c>
      <c r="F135" s="41">
        <f>IFERROR(__xludf.DUMMYFUNCTION("""COMPUTED_VALUE"""),1455.0)</f>
        <v>1455</v>
      </c>
    </row>
    <row r="136">
      <c r="A136" s="41" t="b">
        <f>IFERROR(__xludf.DUMMYFUNCTION("""COMPUTED_VALUE"""),TRUE)</f>
        <v>1</v>
      </c>
      <c r="B136" s="41" t="str">
        <f>IFERROR(__xludf.DUMMYFUNCTION("""COMPUTED_VALUE"""),"RSC004970")</f>
        <v>RSC004970</v>
      </c>
      <c r="C136" s="41" t="str">
        <f>IFERROR(__xludf.DUMMYFUNCTION("""COMPUTED_VALUE"""),"Tgunn05")</f>
        <v>Tgunn05</v>
      </c>
      <c r="D136" s="41" t="str">
        <f>IFERROR(__xludf.DUMMYFUNCTION("""COMPUTED_VALUE"""),"Peppermint")</f>
        <v>Peppermint</v>
      </c>
      <c r="E136" s="41">
        <f>IFERROR(__xludf.DUMMYFUNCTION("""COMPUTED_VALUE"""),2.0)</f>
        <v>2</v>
      </c>
      <c r="F136" s="41">
        <f>IFERROR(__xludf.DUMMYFUNCTION("""COMPUTED_VALUE"""),1400.0)</f>
        <v>1400</v>
      </c>
    </row>
    <row r="137">
      <c r="A137" s="41" t="b">
        <f>IFERROR(__xludf.DUMMYFUNCTION("""COMPUTED_VALUE"""),TRUE)</f>
        <v>1</v>
      </c>
      <c r="B137" s="41" t="str">
        <f>IFERROR(__xludf.DUMMYFUNCTION("""COMPUTED_VALUE"""),"RSC007954")</f>
        <v>RSC007954</v>
      </c>
      <c r="C137" s="41" t="str">
        <f>IFERROR(__xludf.DUMMYFUNCTION("""COMPUTED_VALUE"""),"Killer")</f>
        <v>Killer</v>
      </c>
      <c r="D137" s="41" t="str">
        <f>IFERROR(__xludf.DUMMYFUNCTION("""COMPUTED_VALUE"""),"Gelato")</f>
        <v>Gelato</v>
      </c>
      <c r="E137" s="41">
        <f>IFERROR(__xludf.DUMMYFUNCTION("""COMPUTED_VALUE"""),2.0)</f>
        <v>2</v>
      </c>
      <c r="F137" s="41">
        <f>IFERROR(__xludf.DUMMYFUNCTION("""COMPUTED_VALUE"""),1605.0)</f>
        <v>1605</v>
      </c>
    </row>
    <row r="138">
      <c r="A138" s="41" t="b">
        <f>IFERROR(__xludf.DUMMYFUNCTION("""COMPUTED_VALUE"""),TRUE)</f>
        <v>1</v>
      </c>
      <c r="B138" s="41" t="str">
        <f>IFERROR(__xludf.DUMMYFUNCTION("""COMPUTED_VALUE"""),"RSC007927")</f>
        <v>RSC007927</v>
      </c>
      <c r="C138" s="41" t="str">
        <f>IFERROR(__xludf.DUMMYFUNCTION("""COMPUTED_VALUE"""),"shwg.")</f>
        <v>shwg.</v>
      </c>
      <c r="D138" s="41"/>
      <c r="E138" s="41">
        <f>IFERROR(__xludf.DUMMYFUNCTION("""COMPUTED_VALUE"""),0.0)</f>
        <v>0</v>
      </c>
      <c r="F138" s="41">
        <f>IFERROR(__xludf.DUMMYFUNCTION("""COMPUTED_VALUE"""),1820.0)</f>
        <v>1820</v>
      </c>
    </row>
    <row r="139">
      <c r="A139" s="41" t="b">
        <f>IFERROR(__xludf.DUMMYFUNCTION("""COMPUTED_VALUE"""),TRUE)</f>
        <v>1</v>
      </c>
      <c r="B139" s="41" t="str">
        <f>IFERROR(__xludf.DUMMYFUNCTION("""COMPUTED_VALUE"""),"RSC005099")</f>
        <v>RSC005099</v>
      </c>
      <c r="C139" s="41" t="str">
        <f>IFERROR(__xludf.DUMMYFUNCTION("""COMPUTED_VALUE"""),"NeitherNick")</f>
        <v>NeitherNick</v>
      </c>
      <c r="D139" s="41"/>
      <c r="E139" s="41">
        <f>IFERROR(__xludf.DUMMYFUNCTION("""COMPUTED_VALUE"""),0.0)</f>
        <v>0</v>
      </c>
      <c r="F139" s="41">
        <f>IFERROR(__xludf.DUMMYFUNCTION("""COMPUTED_VALUE"""),1315.0)</f>
        <v>1315</v>
      </c>
    </row>
    <row r="140">
      <c r="A140" s="41" t="b">
        <f>IFERROR(__xludf.DUMMYFUNCTION("""COMPUTED_VALUE"""),FALSE)</f>
        <v>0</v>
      </c>
      <c r="B140" s="41" t="str">
        <f>IFERROR(__xludf.DUMMYFUNCTION("""COMPUTED_VALUE"""),"RSC005184")</f>
        <v>RSC005184</v>
      </c>
      <c r="C140" s="41" t="str">
        <f>IFERROR(__xludf.DUMMYFUNCTION("""COMPUTED_VALUE"""),"xisle")</f>
        <v>xisle</v>
      </c>
      <c r="D140" s="41"/>
      <c r="E140" s="41">
        <f>IFERROR(__xludf.DUMMYFUNCTION("""COMPUTED_VALUE"""),0.0)</f>
        <v>0</v>
      </c>
      <c r="F140" s="41">
        <f>IFERROR(__xludf.DUMMYFUNCTION("""COMPUTED_VALUE"""),1245.0)</f>
        <v>1245</v>
      </c>
    </row>
    <row r="141">
      <c r="A141" s="41" t="b">
        <f>IFERROR(__xludf.DUMMYFUNCTION("""COMPUTED_VALUE"""),TRUE)</f>
        <v>1</v>
      </c>
      <c r="B141" s="41" t="str">
        <f>IFERROR(__xludf.DUMMYFUNCTION("""COMPUTED_VALUE"""),"RSC005274")</f>
        <v>RSC005274</v>
      </c>
      <c r="C141" s="41" t="str">
        <f>IFERROR(__xludf.DUMMYFUNCTION("""COMPUTED_VALUE"""),"KING.")</f>
        <v>KING.</v>
      </c>
      <c r="D141" s="41" t="str">
        <f>IFERROR(__xludf.DUMMYFUNCTION("""COMPUTED_VALUE"""),"Pixel Picassos")</f>
        <v>Pixel Picassos</v>
      </c>
      <c r="E141" s="41">
        <f>IFERROR(__xludf.DUMMYFUNCTION("""COMPUTED_VALUE"""),2.0)</f>
        <v>2</v>
      </c>
      <c r="F141" s="41">
        <f>IFERROR(__xludf.DUMMYFUNCTION("""COMPUTED_VALUE"""),1665.0)</f>
        <v>1665</v>
      </c>
    </row>
    <row r="142">
      <c r="A142" s="41" t="b">
        <f>IFERROR(__xludf.DUMMYFUNCTION("""COMPUTED_VALUE"""),TRUE)</f>
        <v>1</v>
      </c>
      <c r="B142" s="41" t="str">
        <f>IFERROR(__xludf.DUMMYFUNCTION("""COMPUTED_VALUE"""),"RSC005289")</f>
        <v>RSC005289</v>
      </c>
      <c r="C142" s="41" t="str">
        <f>IFERROR(__xludf.DUMMYFUNCTION("""COMPUTED_VALUE"""),"Gilly-_")</f>
        <v>Gilly-_</v>
      </c>
      <c r="D142" s="41" t="str">
        <f>IFERROR(__xludf.DUMMYFUNCTION("""COMPUTED_VALUE"""),"Black Ice")</f>
        <v>Black Ice</v>
      </c>
      <c r="E142" s="41">
        <f>IFERROR(__xludf.DUMMYFUNCTION("""COMPUTED_VALUE"""),2.0)</f>
        <v>2</v>
      </c>
      <c r="F142" s="41">
        <f>IFERROR(__xludf.DUMMYFUNCTION("""COMPUTED_VALUE"""),1295.0)</f>
        <v>1295</v>
      </c>
    </row>
    <row r="143">
      <c r="A143" s="41" t="b">
        <f>IFERROR(__xludf.DUMMYFUNCTION("""COMPUTED_VALUE"""),TRUE)</f>
        <v>1</v>
      </c>
      <c r="B143" s="41" t="str">
        <f>IFERROR(__xludf.DUMMYFUNCTION("""COMPUTED_VALUE"""),"RSC008176")</f>
        <v>RSC008176</v>
      </c>
      <c r="C143" s="41" t="str">
        <f>IFERROR(__xludf.DUMMYFUNCTION("""COMPUTED_VALUE"""),"xLunarWolfx")</f>
        <v>xLunarWolfx</v>
      </c>
      <c r="D143" s="41" t="str">
        <f>IFERROR(__xludf.DUMMYFUNCTION("""COMPUTED_VALUE"""),"Toucans")</f>
        <v>Toucans</v>
      </c>
      <c r="E143" s="41">
        <f>IFERROR(__xludf.DUMMYFUNCTION("""COMPUTED_VALUE"""),2.0)</f>
        <v>2</v>
      </c>
      <c r="F143" s="41">
        <f>IFERROR(__xludf.DUMMYFUNCTION("""COMPUTED_VALUE"""),1085.0)</f>
        <v>1085</v>
      </c>
    </row>
    <row r="144">
      <c r="A144" s="41" t="b">
        <f>IFERROR(__xludf.DUMMYFUNCTION("""COMPUTED_VALUE"""),FALSE)</f>
        <v>0</v>
      </c>
      <c r="B144" s="41" t="str">
        <f>IFERROR(__xludf.DUMMYFUNCTION("""COMPUTED_VALUE"""),"RSC007851")</f>
        <v>RSC007851</v>
      </c>
      <c r="C144" s="41" t="str">
        <f>IFERROR(__xludf.DUMMYFUNCTION("""COMPUTED_VALUE"""),"Carridripdrip")</f>
        <v>Carridripdrip</v>
      </c>
      <c r="D144" s="41"/>
      <c r="E144" s="41">
        <f>IFERROR(__xludf.DUMMYFUNCTION("""COMPUTED_VALUE"""),0.0)</f>
        <v>0</v>
      </c>
      <c r="F144" s="41">
        <f>IFERROR(__xludf.DUMMYFUNCTION("""COMPUTED_VALUE"""),1095.0)</f>
        <v>1095</v>
      </c>
    </row>
    <row r="145">
      <c r="A145" s="41" t="b">
        <f>IFERROR(__xludf.DUMMYFUNCTION("""COMPUTED_VALUE"""),TRUE)</f>
        <v>1</v>
      </c>
      <c r="B145" s="41" t="str">
        <f>IFERROR(__xludf.DUMMYFUNCTION("""COMPUTED_VALUE"""),"RSC005287")</f>
        <v>RSC005287</v>
      </c>
      <c r="C145" s="41" t="str">
        <f>IFERROR(__xludf.DUMMYFUNCTION("""COMPUTED_VALUE"""),"Sakuta")</f>
        <v>Sakuta</v>
      </c>
      <c r="D145" s="41" t="str">
        <f>IFERROR(__xludf.DUMMYFUNCTION("""COMPUTED_VALUE"""),"Forge Defenders")</f>
        <v>Forge Defenders</v>
      </c>
      <c r="E145" s="41">
        <f>IFERROR(__xludf.DUMMYFUNCTION("""COMPUTED_VALUE"""),2.0)</f>
        <v>2</v>
      </c>
      <c r="F145" s="41">
        <f>IFERROR(__xludf.DUMMYFUNCTION("""COMPUTED_VALUE"""),1580.0)</f>
        <v>1580</v>
      </c>
    </row>
    <row r="146">
      <c r="A146" s="41" t="b">
        <f>IFERROR(__xludf.DUMMYFUNCTION("""COMPUTED_VALUE"""),TRUE)</f>
        <v>1</v>
      </c>
      <c r="B146" s="41" t="str">
        <f>IFERROR(__xludf.DUMMYFUNCTION("""COMPUTED_VALUE"""),"RSC007865")</f>
        <v>RSC007865</v>
      </c>
      <c r="C146" s="41" t="str">
        <f>IFERROR(__xludf.DUMMYFUNCTION("""COMPUTED_VALUE"""),"StoveMessiah")</f>
        <v>StoveMessiah</v>
      </c>
      <c r="D146" s="41" t="str">
        <f>IFERROR(__xludf.DUMMYFUNCTION("""COMPUTED_VALUE"""),"Stingrays")</f>
        <v>Stingrays</v>
      </c>
      <c r="E146" s="41">
        <f>IFERROR(__xludf.DUMMYFUNCTION("""COMPUTED_VALUE"""),1.0)</f>
        <v>1</v>
      </c>
      <c r="F146" s="41">
        <f>IFERROR(__xludf.DUMMYFUNCTION("""COMPUTED_VALUE"""),1175.0)</f>
        <v>1175</v>
      </c>
    </row>
    <row r="147">
      <c r="A147" s="41" t="b">
        <f>IFERROR(__xludf.DUMMYFUNCTION("""COMPUTED_VALUE"""),TRUE)</f>
        <v>1</v>
      </c>
      <c r="B147" s="41" t="str">
        <f>IFERROR(__xludf.DUMMYFUNCTION("""COMPUTED_VALUE"""),"RSC005335")</f>
        <v>RSC005335</v>
      </c>
      <c r="C147" s="41" t="str">
        <f>IFERROR(__xludf.DUMMYFUNCTION("""COMPUTED_VALUE"""),"R4p")</f>
        <v>R4p</v>
      </c>
      <c r="D147" s="41"/>
      <c r="E147" s="41">
        <f>IFERROR(__xludf.DUMMYFUNCTION("""COMPUTED_VALUE"""),0.0)</f>
        <v>0</v>
      </c>
      <c r="F147" s="41">
        <f>IFERROR(__xludf.DUMMYFUNCTION("""COMPUTED_VALUE"""),1015.0)</f>
        <v>1015</v>
      </c>
    </row>
    <row r="148">
      <c r="A148" s="41" t="b">
        <f>IFERROR(__xludf.DUMMYFUNCTION("""COMPUTED_VALUE"""),TRUE)</f>
        <v>1</v>
      </c>
      <c r="B148" s="41" t="str">
        <f>IFERROR(__xludf.DUMMYFUNCTION("""COMPUTED_VALUE"""),"RSC005340")</f>
        <v>RSC005340</v>
      </c>
      <c r="C148" s="41" t="str">
        <f>IFERROR(__xludf.DUMMYFUNCTION("""COMPUTED_VALUE"""),"Mystikal")</f>
        <v>Mystikal</v>
      </c>
      <c r="D148" s="41" t="str">
        <f>IFERROR(__xludf.DUMMYFUNCTION("""COMPUTED_VALUE"""),"Gummy Bears")</f>
        <v>Gummy Bears</v>
      </c>
      <c r="E148" s="41">
        <f>IFERROR(__xludf.DUMMYFUNCTION("""COMPUTED_VALUE"""),1.0)</f>
        <v>1</v>
      </c>
      <c r="F148" s="41">
        <f>IFERROR(__xludf.DUMMYFUNCTION("""COMPUTED_VALUE"""),1835.0)</f>
        <v>1835</v>
      </c>
    </row>
    <row r="149">
      <c r="A149" s="41" t="b">
        <f>IFERROR(__xludf.DUMMYFUNCTION("""COMPUTED_VALUE"""),TRUE)</f>
        <v>1</v>
      </c>
      <c r="B149" s="41" t="str">
        <f>IFERROR(__xludf.DUMMYFUNCTION("""COMPUTED_VALUE"""),"RSC005355")</f>
        <v>RSC005355</v>
      </c>
      <c r="C149" s="41" t="str">
        <f>IFERROR(__xludf.DUMMYFUNCTION("""COMPUTED_VALUE"""),"Armando")</f>
        <v>Armando</v>
      </c>
      <c r="D149" s="41" t="str">
        <f>IFERROR(__xludf.DUMMYFUNCTION("""COMPUTED_VALUE"""),"Gorillas")</f>
        <v>Gorillas</v>
      </c>
      <c r="E149" s="41">
        <f>IFERROR(__xludf.DUMMYFUNCTION("""COMPUTED_VALUE"""),1.0)</f>
        <v>1</v>
      </c>
      <c r="F149" s="41">
        <f>IFERROR(__xludf.DUMMYFUNCTION("""COMPUTED_VALUE"""),1470.0)</f>
        <v>1470</v>
      </c>
    </row>
    <row r="150">
      <c r="A150" s="41" t="b">
        <f>IFERROR(__xludf.DUMMYFUNCTION("""COMPUTED_VALUE"""),TRUE)</f>
        <v>1</v>
      </c>
      <c r="B150" s="41" t="str">
        <f>IFERROR(__xludf.DUMMYFUNCTION("""COMPUTED_VALUE"""),"RSC005438")</f>
        <v>RSC005438</v>
      </c>
      <c r="C150" s="41" t="str">
        <f>IFERROR(__xludf.DUMMYFUNCTION("""COMPUTED_VALUE"""),"ForestmanChubs")</f>
        <v>ForestmanChubs</v>
      </c>
      <c r="D150" s="41" t="str">
        <f>IFERROR(__xludf.DUMMYFUNCTION("""COMPUTED_VALUE"""),"Avalanche")</f>
        <v>Avalanche</v>
      </c>
      <c r="E150" s="41">
        <f>IFERROR(__xludf.DUMMYFUNCTION("""COMPUTED_VALUE"""),2.0)</f>
        <v>2</v>
      </c>
      <c r="F150" s="41">
        <f>IFERROR(__xludf.DUMMYFUNCTION("""COMPUTED_VALUE"""),1480.0)</f>
        <v>1480</v>
      </c>
    </row>
    <row r="151">
      <c r="A151" s="41" t="b">
        <f>IFERROR(__xludf.DUMMYFUNCTION("""COMPUTED_VALUE"""),TRUE)</f>
        <v>1</v>
      </c>
      <c r="B151" s="41" t="str">
        <f>IFERROR(__xludf.DUMMYFUNCTION("""COMPUTED_VALUE"""),"RSC005386")</f>
        <v>RSC005386</v>
      </c>
      <c r="C151" s="41" t="str">
        <f>IFERROR(__xludf.DUMMYFUNCTION("""COMPUTED_VALUE"""),"Danub")</f>
        <v>Danub</v>
      </c>
      <c r="D151" s="41" t="str">
        <f>IFERROR(__xludf.DUMMYFUNCTION("""COMPUTED_VALUE"""),"Phantoms")</f>
        <v>Phantoms</v>
      </c>
      <c r="E151" s="41">
        <f>IFERROR(__xludf.DUMMYFUNCTION("""COMPUTED_VALUE"""),1.0)</f>
        <v>1</v>
      </c>
      <c r="F151" s="41">
        <f>IFERROR(__xludf.DUMMYFUNCTION("""COMPUTED_VALUE"""),1330.0)</f>
        <v>1330</v>
      </c>
    </row>
    <row r="152">
      <c r="A152" s="41" t="b">
        <f>IFERROR(__xludf.DUMMYFUNCTION("""COMPUTED_VALUE"""),FALSE)</f>
        <v>0</v>
      </c>
      <c r="B152" s="41" t="str">
        <f>IFERROR(__xludf.DUMMYFUNCTION("""COMPUTED_VALUE"""),"RSC007473")</f>
        <v>RSC007473</v>
      </c>
      <c r="C152" s="41" t="str">
        <f>IFERROR(__xludf.DUMMYFUNCTION("""COMPUTED_VALUE"""),"Herobear_gaymer88")</f>
        <v>Herobear_gaymer88</v>
      </c>
      <c r="D152" s="41"/>
      <c r="E152" s="41">
        <f>IFERROR(__xludf.DUMMYFUNCTION("""COMPUTED_VALUE"""),0.0)</f>
        <v>0</v>
      </c>
      <c r="F152" s="41">
        <f>IFERROR(__xludf.DUMMYFUNCTION("""COMPUTED_VALUE"""),970.0)</f>
        <v>970</v>
      </c>
    </row>
    <row r="153">
      <c r="A153" s="41" t="b">
        <f>IFERROR(__xludf.DUMMYFUNCTION("""COMPUTED_VALUE"""),TRUE)</f>
        <v>1</v>
      </c>
      <c r="B153" s="41" t="str">
        <f>IFERROR(__xludf.DUMMYFUNCTION("""COMPUTED_VALUE"""),"RSC005464")</f>
        <v>RSC005464</v>
      </c>
      <c r="C153" s="41" t="str">
        <f>IFERROR(__xludf.DUMMYFUNCTION("""COMPUTED_VALUE"""),"taz.rm")</f>
        <v>taz.rm</v>
      </c>
      <c r="D153" s="41" t="str">
        <f>IFERROR(__xludf.DUMMYFUNCTION("""COMPUTED_VALUE"""),"Desolation")</f>
        <v>Desolation</v>
      </c>
      <c r="E153" s="41">
        <f>IFERROR(__xludf.DUMMYFUNCTION("""COMPUTED_VALUE"""),2.0)</f>
        <v>2</v>
      </c>
      <c r="F153" s="41">
        <f>IFERROR(__xludf.DUMMYFUNCTION("""COMPUTED_VALUE"""),1640.0)</f>
        <v>1640</v>
      </c>
    </row>
    <row r="154">
      <c r="A154" s="41" t="b">
        <f>IFERROR(__xludf.DUMMYFUNCTION("""COMPUTED_VALUE"""),TRUE)</f>
        <v>1</v>
      </c>
      <c r="B154" s="41" t="str">
        <f>IFERROR(__xludf.DUMMYFUNCTION("""COMPUTED_VALUE"""),"RSC005472")</f>
        <v>RSC005472</v>
      </c>
      <c r="C154" s="41" t="str">
        <f>IFERROR(__xludf.DUMMYFUNCTION("""COMPUTED_VALUE"""),"EngynGameOver")</f>
        <v>EngynGameOver</v>
      </c>
      <c r="D154" s="41" t="str">
        <f>IFERROR(__xludf.DUMMYFUNCTION("""COMPUTED_VALUE"""),"Legionaries")</f>
        <v>Legionaries</v>
      </c>
      <c r="E154" s="41">
        <f>IFERROR(__xludf.DUMMYFUNCTION("""COMPUTED_VALUE"""),2.0)</f>
        <v>2</v>
      </c>
      <c r="F154" s="41">
        <f>IFERROR(__xludf.DUMMYFUNCTION("""COMPUTED_VALUE"""),840.0)</f>
        <v>840</v>
      </c>
    </row>
    <row r="155">
      <c r="A155" s="41" t="b">
        <f>IFERROR(__xludf.DUMMYFUNCTION("""COMPUTED_VALUE"""),TRUE)</f>
        <v>1</v>
      </c>
      <c r="B155" s="41" t="str">
        <f>IFERROR(__xludf.DUMMYFUNCTION("""COMPUTED_VALUE"""),"RSC005482")</f>
        <v>RSC005482</v>
      </c>
      <c r="C155" s="41" t="str">
        <f>IFERROR(__xludf.DUMMYFUNCTION("""COMPUTED_VALUE"""),"Benny!")</f>
        <v>Benny!</v>
      </c>
      <c r="D155" s="41" t="str">
        <f>IFERROR(__xludf.DUMMYFUNCTION("""COMPUTED_VALUE"""),"Gorillas")</f>
        <v>Gorillas</v>
      </c>
      <c r="E155" s="41">
        <f>IFERROR(__xludf.DUMMYFUNCTION("""COMPUTED_VALUE"""),1.0)</f>
        <v>1</v>
      </c>
      <c r="F155" s="41">
        <f>IFERROR(__xludf.DUMMYFUNCTION("""COMPUTED_VALUE"""),1495.0)</f>
        <v>1495</v>
      </c>
    </row>
    <row r="156">
      <c r="A156" s="41" t="b">
        <f>IFERROR(__xludf.DUMMYFUNCTION("""COMPUTED_VALUE"""),TRUE)</f>
        <v>1</v>
      </c>
      <c r="B156" s="41" t="str">
        <f>IFERROR(__xludf.DUMMYFUNCTION("""COMPUTED_VALUE"""),"RSC007955")</f>
        <v>RSC007955</v>
      </c>
      <c r="C156" s="41" t="str">
        <f>IFERROR(__xludf.DUMMYFUNCTION("""COMPUTED_VALUE"""),"JonathanVanDyk")</f>
        <v>JonathanVanDyk</v>
      </c>
      <c r="D156" s="41" t="str">
        <f>IFERROR(__xludf.DUMMYFUNCTION("""COMPUTED_VALUE"""),"Threshers")</f>
        <v>Threshers</v>
      </c>
      <c r="E156" s="41">
        <f>IFERROR(__xludf.DUMMYFUNCTION("""COMPUTED_VALUE"""),2.0)</f>
        <v>2</v>
      </c>
      <c r="F156" s="41">
        <f>IFERROR(__xludf.DUMMYFUNCTION("""COMPUTED_VALUE"""),1115.0)</f>
        <v>1115</v>
      </c>
    </row>
    <row r="157">
      <c r="A157" s="41" t="b">
        <f>IFERROR(__xludf.DUMMYFUNCTION("""COMPUTED_VALUE"""),TRUE)</f>
        <v>1</v>
      </c>
      <c r="B157" s="41" t="str">
        <f>IFERROR(__xludf.DUMMYFUNCTION("""COMPUTED_VALUE"""),"RSC005457")</f>
        <v>RSC005457</v>
      </c>
      <c r="C157" s="41" t="str">
        <f>IFERROR(__xludf.DUMMYFUNCTION("""COMPUTED_VALUE"""),"Twopercent3554")</f>
        <v>Twopercent3554</v>
      </c>
      <c r="D157" s="41"/>
      <c r="E157" s="41">
        <f>IFERROR(__xludf.DUMMYFUNCTION("""COMPUTED_VALUE"""),0.0)</f>
        <v>0</v>
      </c>
      <c r="F157" s="41">
        <f>IFERROR(__xludf.DUMMYFUNCTION("""COMPUTED_VALUE"""),1305.0)</f>
        <v>1305</v>
      </c>
    </row>
    <row r="158">
      <c r="A158" s="41" t="b">
        <f>IFERROR(__xludf.DUMMYFUNCTION("""COMPUTED_VALUE"""),FALSE)</f>
        <v>0</v>
      </c>
      <c r="B158" s="41" t="str">
        <f>IFERROR(__xludf.DUMMYFUNCTION("""COMPUTED_VALUE"""),"RSC007318")</f>
        <v>RSC007318</v>
      </c>
      <c r="C158" s="41" t="str">
        <f>IFERROR(__xludf.DUMMYFUNCTION("""COMPUTED_VALUE"""),"xd Dylan591")</f>
        <v>xd Dylan591</v>
      </c>
      <c r="D158" s="41"/>
      <c r="E158" s="41">
        <f>IFERROR(__xludf.DUMMYFUNCTION("""COMPUTED_VALUE"""),0.0)</f>
        <v>0</v>
      </c>
      <c r="F158" s="41">
        <f>IFERROR(__xludf.DUMMYFUNCTION("""COMPUTED_VALUE"""),1255.0)</f>
        <v>1255</v>
      </c>
    </row>
    <row r="159">
      <c r="A159" s="41" t="b">
        <f>IFERROR(__xludf.DUMMYFUNCTION("""COMPUTED_VALUE"""),FALSE)</f>
        <v>0</v>
      </c>
      <c r="B159" s="41" t="str">
        <f>IFERROR(__xludf.DUMMYFUNCTION("""COMPUTED_VALUE"""),"RSC005544")</f>
        <v>RSC005544</v>
      </c>
      <c r="C159" s="41" t="str">
        <f>IFERROR(__xludf.DUMMYFUNCTION("""COMPUTED_VALUE"""),"Egoistleague")</f>
        <v>Egoistleague</v>
      </c>
      <c r="D159" s="41"/>
      <c r="E159" s="41">
        <f>IFERROR(__xludf.DUMMYFUNCTION("""COMPUTED_VALUE"""),0.0)</f>
        <v>0</v>
      </c>
      <c r="F159" s="41">
        <f>IFERROR(__xludf.DUMMYFUNCTION("""COMPUTED_VALUE"""),1285.0)</f>
        <v>1285</v>
      </c>
    </row>
    <row r="160">
      <c r="A160" s="41" t="b">
        <f>IFERROR(__xludf.DUMMYFUNCTION("""COMPUTED_VALUE"""),TRUE)</f>
        <v>1</v>
      </c>
      <c r="B160" s="41" t="str">
        <f>IFERROR(__xludf.DUMMYFUNCTION("""COMPUTED_VALUE"""),"RSC005603")</f>
        <v>RSC005603</v>
      </c>
      <c r="C160" s="41" t="str">
        <f>IFERROR(__xludf.DUMMYFUNCTION("""COMPUTED_VALUE"""),"Meta.Rl-")</f>
        <v>Meta.Rl-</v>
      </c>
      <c r="D160" s="41" t="str">
        <f>IFERROR(__xludf.DUMMYFUNCTION("""COMPUTED_VALUE"""),"Jinyiwei")</f>
        <v>Jinyiwei</v>
      </c>
      <c r="E160" s="41">
        <f>IFERROR(__xludf.DUMMYFUNCTION("""COMPUTED_VALUE"""),1.0)</f>
        <v>1</v>
      </c>
      <c r="F160" s="41">
        <f>IFERROR(__xludf.DUMMYFUNCTION("""COMPUTED_VALUE"""),1205.0)</f>
        <v>1205</v>
      </c>
    </row>
    <row r="161">
      <c r="A161" s="41" t="b">
        <f>IFERROR(__xludf.DUMMYFUNCTION("""COMPUTED_VALUE"""),TRUE)</f>
        <v>1</v>
      </c>
      <c r="B161" s="41" t="str">
        <f>IFERROR(__xludf.DUMMYFUNCTION("""COMPUTED_VALUE"""),"RSC007280")</f>
        <v>RSC007280</v>
      </c>
      <c r="C161" s="41" t="str">
        <f>IFERROR(__xludf.DUMMYFUNCTION("""COMPUTED_VALUE"""),"BallChasinq")</f>
        <v>BallChasinq</v>
      </c>
      <c r="D161" s="41" t="str">
        <f>IFERROR(__xludf.DUMMYFUNCTION("""COMPUTED_VALUE"""),"Dik-diks")</f>
        <v>Dik-diks</v>
      </c>
      <c r="E161" s="41">
        <f>IFERROR(__xludf.DUMMYFUNCTION("""COMPUTED_VALUE"""),2.0)</f>
        <v>2</v>
      </c>
      <c r="F161" s="41">
        <f>IFERROR(__xludf.DUMMYFUNCTION("""COMPUTED_VALUE"""),1610.0)</f>
        <v>1610</v>
      </c>
    </row>
    <row r="162">
      <c r="A162" s="41" t="b">
        <f>IFERROR(__xludf.DUMMYFUNCTION("""COMPUTED_VALUE"""),TRUE)</f>
        <v>1</v>
      </c>
      <c r="B162" s="41" t="str">
        <f>IFERROR(__xludf.DUMMYFUNCTION("""COMPUTED_VALUE"""),"RSC007582")</f>
        <v>RSC007582</v>
      </c>
      <c r="C162" s="41" t="str">
        <f>IFERROR(__xludf.DUMMYFUNCTION("""COMPUTED_VALUE"""),"Wavy")</f>
        <v>Wavy</v>
      </c>
      <c r="D162" s="41" t="str">
        <f>IFERROR(__xludf.DUMMYFUNCTION("""COMPUTED_VALUE"""),"Lycans")</f>
        <v>Lycans</v>
      </c>
      <c r="E162" s="41">
        <f>IFERROR(__xludf.DUMMYFUNCTION("""COMPUTED_VALUE"""),2.0)</f>
        <v>2</v>
      </c>
      <c r="F162" s="41">
        <f>IFERROR(__xludf.DUMMYFUNCTION("""COMPUTED_VALUE"""),1405.0)</f>
        <v>1405</v>
      </c>
    </row>
    <row r="163">
      <c r="A163" s="41" t="b">
        <f>IFERROR(__xludf.DUMMYFUNCTION("""COMPUTED_VALUE"""),FALSE)</f>
        <v>0</v>
      </c>
      <c r="B163" s="41" t="str">
        <f>IFERROR(__xludf.DUMMYFUNCTION("""COMPUTED_VALUE"""),"RSC005653")</f>
        <v>RSC005653</v>
      </c>
      <c r="C163" s="41" t="str">
        <f>IFERROR(__xludf.DUMMYFUNCTION("""COMPUTED_VALUE"""),"xim")</f>
        <v>xim</v>
      </c>
      <c r="D163" s="41"/>
      <c r="E163" s="41">
        <f>IFERROR(__xludf.DUMMYFUNCTION("""COMPUTED_VALUE"""),0.0)</f>
        <v>0</v>
      </c>
      <c r="F163" s="41">
        <f>IFERROR(__xludf.DUMMYFUNCTION("""COMPUTED_VALUE"""),1770.0)</f>
        <v>1770</v>
      </c>
    </row>
    <row r="164">
      <c r="A164" s="41" t="b">
        <f>IFERROR(__xludf.DUMMYFUNCTION("""COMPUTED_VALUE"""),TRUE)</f>
        <v>1</v>
      </c>
      <c r="B164" s="41" t="str">
        <f>IFERROR(__xludf.DUMMYFUNCTION("""COMPUTED_VALUE"""),"RSC005682")</f>
        <v>RSC005682</v>
      </c>
      <c r="C164" s="41" t="str">
        <f>IFERROR(__xludf.DUMMYFUNCTION("""COMPUTED_VALUE"""),"S_ckz")</f>
        <v>S_ckz</v>
      </c>
      <c r="D164" s="41" t="str">
        <f>IFERROR(__xludf.DUMMYFUNCTION("""COMPUTED_VALUE"""),"Giraffes")</f>
        <v>Giraffes</v>
      </c>
      <c r="E164" s="41">
        <f>IFERROR(__xludf.DUMMYFUNCTION("""COMPUTED_VALUE"""),2.0)</f>
        <v>2</v>
      </c>
      <c r="F164" s="41">
        <f>IFERROR(__xludf.DUMMYFUNCTION("""COMPUTED_VALUE"""),1485.0)</f>
        <v>1485</v>
      </c>
    </row>
    <row r="165">
      <c r="A165" s="41" t="b">
        <f>IFERROR(__xludf.DUMMYFUNCTION("""COMPUTED_VALUE"""),FALSE)</f>
        <v>0</v>
      </c>
      <c r="B165" s="41" t="str">
        <f>IFERROR(__xludf.DUMMYFUNCTION("""COMPUTED_VALUE"""),"RSC007239")</f>
        <v>RSC007239</v>
      </c>
      <c r="C165" s="41" t="str">
        <f>IFERROR(__xludf.DUMMYFUNCTION("""COMPUTED_VALUE"""),"Terminatorjef999")</f>
        <v>Terminatorjef999</v>
      </c>
      <c r="D165" s="41"/>
      <c r="E165" s="41">
        <f>IFERROR(__xludf.DUMMYFUNCTION("""COMPUTED_VALUE"""),0.0)</f>
        <v>0</v>
      </c>
      <c r="F165" s="41">
        <f>IFERROR(__xludf.DUMMYFUNCTION("""COMPUTED_VALUE"""),600.0)</f>
        <v>600</v>
      </c>
    </row>
    <row r="166">
      <c r="A166" s="41" t="b">
        <f>IFERROR(__xludf.DUMMYFUNCTION("""COMPUTED_VALUE"""),TRUE)</f>
        <v>1</v>
      </c>
      <c r="B166" s="41" t="str">
        <f>IFERROR(__xludf.DUMMYFUNCTION("""COMPUTED_VALUE"""),"RSC007464")</f>
        <v>RSC007464</v>
      </c>
      <c r="C166" s="41" t="str">
        <f>IFERROR(__xludf.DUMMYFUNCTION("""COMPUTED_VALUE"""),"MoonKnight2")</f>
        <v>MoonKnight2</v>
      </c>
      <c r="D166" s="41" t="str">
        <f>IFERROR(__xludf.DUMMYFUNCTION("""COMPUTED_VALUE"""),"Honey Badgers")</f>
        <v>Honey Badgers</v>
      </c>
      <c r="E166" s="41">
        <f>IFERROR(__xludf.DUMMYFUNCTION("""COMPUTED_VALUE"""),1.0)</f>
        <v>1</v>
      </c>
      <c r="F166" s="41">
        <f>IFERROR(__xludf.DUMMYFUNCTION("""COMPUTED_VALUE"""),1030.0)</f>
        <v>1030</v>
      </c>
    </row>
    <row r="167">
      <c r="A167" s="41" t="b">
        <f>IFERROR(__xludf.DUMMYFUNCTION("""COMPUTED_VALUE"""),TRUE)</f>
        <v>1</v>
      </c>
      <c r="B167" s="41" t="str">
        <f>IFERROR(__xludf.DUMMYFUNCTION("""COMPUTED_VALUE"""),"RSC008592")</f>
        <v>RSC008592</v>
      </c>
      <c r="C167" s="41" t="str">
        <f>IFERROR(__xludf.DUMMYFUNCTION("""COMPUTED_VALUE"""),"Rezcoh")</f>
        <v>Rezcoh</v>
      </c>
      <c r="D167" s="41"/>
      <c r="E167" s="41">
        <f>IFERROR(__xludf.DUMMYFUNCTION("""COMPUTED_VALUE"""),0.0)</f>
        <v>0</v>
      </c>
      <c r="F167" s="41">
        <f>IFERROR(__xludf.DUMMYFUNCTION("""COMPUTED_VALUE"""),1435.0)</f>
        <v>1435</v>
      </c>
    </row>
    <row r="168">
      <c r="A168" s="41" t="b">
        <f>IFERROR(__xludf.DUMMYFUNCTION("""COMPUTED_VALUE"""),TRUE)</f>
        <v>1</v>
      </c>
      <c r="B168" s="41" t="str">
        <f>IFERROR(__xludf.DUMMYFUNCTION("""COMPUTED_VALUE"""),"RSC005743")</f>
        <v>RSC005743</v>
      </c>
      <c r="C168" s="41" t="str">
        <f>IFERROR(__xludf.DUMMYFUNCTION("""COMPUTED_VALUE"""),"girds.")</f>
        <v>girds.</v>
      </c>
      <c r="D168" s="41"/>
      <c r="E168" s="41">
        <f>IFERROR(__xludf.DUMMYFUNCTION("""COMPUTED_VALUE"""),0.0)</f>
        <v>0</v>
      </c>
      <c r="F168" s="41">
        <f>IFERROR(__xludf.DUMMYFUNCTION("""COMPUTED_VALUE"""),1640.0)</f>
        <v>1640</v>
      </c>
    </row>
    <row r="169">
      <c r="A169" s="41" t="b">
        <f>IFERROR(__xludf.DUMMYFUNCTION("""COMPUTED_VALUE"""),TRUE)</f>
        <v>1</v>
      </c>
      <c r="B169" s="41" t="str">
        <f>IFERROR(__xludf.DUMMYFUNCTION("""COMPUTED_VALUE"""),"RSC005722")</f>
        <v>RSC005722</v>
      </c>
      <c r="C169" s="41" t="str">
        <f>IFERROR(__xludf.DUMMYFUNCTION("""COMPUTED_VALUE"""),"Rhyme")</f>
        <v>Rhyme</v>
      </c>
      <c r="D169" s="41"/>
      <c r="E169" s="41">
        <f>IFERROR(__xludf.DUMMYFUNCTION("""COMPUTED_VALUE"""),0.0)</f>
        <v>0</v>
      </c>
      <c r="F169" s="41">
        <f>IFERROR(__xludf.DUMMYFUNCTION("""COMPUTED_VALUE"""),600.0)</f>
        <v>600</v>
      </c>
    </row>
    <row r="170">
      <c r="A170" s="41" t="b">
        <f>IFERROR(__xludf.DUMMYFUNCTION("""COMPUTED_VALUE"""),TRUE)</f>
        <v>1</v>
      </c>
      <c r="B170" s="41" t="str">
        <f>IFERROR(__xludf.DUMMYFUNCTION("""COMPUTED_VALUE"""),"RSC005759")</f>
        <v>RSC005759</v>
      </c>
      <c r="C170" s="41" t="str">
        <f>IFERROR(__xludf.DUMMYFUNCTION("""COMPUTED_VALUE"""),"XerNaut")</f>
        <v>XerNaut</v>
      </c>
      <c r="D170" s="41"/>
      <c r="E170" s="41">
        <f>IFERROR(__xludf.DUMMYFUNCTION("""COMPUTED_VALUE"""),0.0)</f>
        <v>0</v>
      </c>
      <c r="F170" s="41">
        <f>IFERROR(__xludf.DUMMYFUNCTION("""COMPUTED_VALUE"""),1130.0)</f>
        <v>1130</v>
      </c>
    </row>
    <row r="171">
      <c r="A171" s="41" t="b">
        <f>IFERROR(__xludf.DUMMYFUNCTION("""COMPUTED_VALUE"""),TRUE)</f>
        <v>1</v>
      </c>
      <c r="B171" s="41" t="str">
        <f>IFERROR(__xludf.DUMMYFUNCTION("""COMPUTED_VALUE"""),"RSC005754")</f>
        <v>RSC005754</v>
      </c>
      <c r="C171" s="41" t="str">
        <f>IFERROR(__xludf.DUMMYFUNCTION("""COMPUTED_VALUE"""),"Monty.")</f>
        <v>Monty.</v>
      </c>
      <c r="D171" s="41"/>
      <c r="E171" s="41">
        <f>IFERROR(__xludf.DUMMYFUNCTION("""COMPUTED_VALUE"""),0.0)</f>
        <v>0</v>
      </c>
      <c r="F171" s="41">
        <f>IFERROR(__xludf.DUMMYFUNCTION("""COMPUTED_VALUE"""),1605.0)</f>
        <v>1605</v>
      </c>
    </row>
    <row r="172">
      <c r="A172" s="41" t="b">
        <f>IFERROR(__xludf.DUMMYFUNCTION("""COMPUTED_VALUE"""),TRUE)</f>
        <v>1</v>
      </c>
      <c r="B172" s="41" t="str">
        <f>IFERROR(__xludf.DUMMYFUNCTION("""COMPUTED_VALUE"""),"RSC005795")</f>
        <v>RSC005795</v>
      </c>
      <c r="C172" s="41" t="str">
        <f>IFERROR(__xludf.DUMMYFUNCTION("""COMPUTED_VALUE"""),"Ripptyde")</f>
        <v>Ripptyde</v>
      </c>
      <c r="D172" s="41"/>
      <c r="E172" s="41">
        <f>IFERROR(__xludf.DUMMYFUNCTION("""COMPUTED_VALUE"""),0.0)</f>
        <v>0</v>
      </c>
      <c r="F172" s="41">
        <f>IFERROR(__xludf.DUMMYFUNCTION("""COMPUTED_VALUE"""),600.0)</f>
        <v>600</v>
      </c>
    </row>
    <row r="173">
      <c r="A173" s="41" t="b">
        <f>IFERROR(__xludf.DUMMYFUNCTION("""COMPUTED_VALUE"""),TRUE)</f>
        <v>1</v>
      </c>
      <c r="B173" s="41" t="str">
        <f>IFERROR(__xludf.DUMMYFUNCTION("""COMPUTED_VALUE"""),"RSC005824")</f>
        <v>RSC005824</v>
      </c>
      <c r="C173" s="41" t="str">
        <f>IFERROR(__xludf.DUMMYFUNCTION("""COMPUTED_VALUE"""),"Bolts")</f>
        <v>Bolts</v>
      </c>
      <c r="D173" s="41"/>
      <c r="E173" s="41">
        <f>IFERROR(__xludf.DUMMYFUNCTION("""COMPUTED_VALUE"""),0.0)</f>
        <v>0</v>
      </c>
      <c r="F173" s="41">
        <f>IFERROR(__xludf.DUMMYFUNCTION("""COMPUTED_VALUE"""),1585.0)</f>
        <v>1585</v>
      </c>
    </row>
    <row r="174">
      <c r="A174" s="41" t="b">
        <f>IFERROR(__xludf.DUMMYFUNCTION("""COMPUTED_VALUE"""),FALSE)</f>
        <v>0</v>
      </c>
      <c r="B174" s="41" t="str">
        <f>IFERROR(__xludf.DUMMYFUNCTION("""COMPUTED_VALUE"""),"RSC007345")</f>
        <v>RSC007345</v>
      </c>
      <c r="C174" s="41" t="str">
        <f>IFERROR(__xludf.DUMMYFUNCTION("""COMPUTED_VALUE"""),"HungiChungi031")</f>
        <v>HungiChungi031</v>
      </c>
      <c r="D174" s="41"/>
      <c r="E174" s="41">
        <f>IFERROR(__xludf.DUMMYFUNCTION("""COMPUTED_VALUE"""),0.0)</f>
        <v>0</v>
      </c>
      <c r="F174" s="41">
        <f>IFERROR(__xludf.DUMMYFUNCTION("""COMPUTED_VALUE"""),1190.0)</f>
        <v>1190</v>
      </c>
    </row>
    <row r="175">
      <c r="A175" s="41" t="b">
        <f>IFERROR(__xludf.DUMMYFUNCTION("""COMPUTED_VALUE"""),TRUE)</f>
        <v>1</v>
      </c>
      <c r="B175" s="41" t="str">
        <f>IFERROR(__xludf.DUMMYFUNCTION("""COMPUTED_VALUE"""),"RSC007930")</f>
        <v>RSC007930</v>
      </c>
      <c r="C175" s="41" t="str">
        <f>IFERROR(__xludf.DUMMYFUNCTION("""COMPUTED_VALUE"""),"Ziffy")</f>
        <v>Ziffy</v>
      </c>
      <c r="D175" s="41" t="str">
        <f>IFERROR(__xludf.DUMMYFUNCTION("""COMPUTED_VALUE"""),"Thrashers")</f>
        <v>Thrashers</v>
      </c>
      <c r="E175" s="41">
        <f>IFERROR(__xludf.DUMMYFUNCTION("""COMPUTED_VALUE"""),1.0)</f>
        <v>1</v>
      </c>
      <c r="F175" s="41">
        <f>IFERROR(__xludf.DUMMYFUNCTION("""COMPUTED_VALUE"""),1520.0)</f>
        <v>1520</v>
      </c>
    </row>
    <row r="176">
      <c r="A176" s="41" t="b">
        <f>IFERROR(__xludf.DUMMYFUNCTION("""COMPUTED_VALUE"""),TRUE)</f>
        <v>1</v>
      </c>
      <c r="B176" s="41" t="str">
        <f>IFERROR(__xludf.DUMMYFUNCTION("""COMPUTED_VALUE"""),"RSC005834")</f>
        <v>RSC005834</v>
      </c>
      <c r="C176" s="41" t="str">
        <f>IFERROR(__xludf.DUMMYFUNCTION("""COMPUTED_VALUE"""),"IIIYummyIII")</f>
        <v>IIIYummyIII</v>
      </c>
      <c r="D176" s="41" t="str">
        <f>IFERROR(__xludf.DUMMYFUNCTION("""COMPUTED_VALUE"""),"Hot Wings")</f>
        <v>Hot Wings</v>
      </c>
      <c r="E176" s="41">
        <f>IFERROR(__xludf.DUMMYFUNCTION("""COMPUTED_VALUE"""),2.0)</f>
        <v>2</v>
      </c>
      <c r="F176" s="41">
        <f>IFERROR(__xludf.DUMMYFUNCTION("""COMPUTED_VALUE"""),1360.0)</f>
        <v>1360</v>
      </c>
    </row>
    <row r="177">
      <c r="A177" s="41" t="b">
        <f>IFERROR(__xludf.DUMMYFUNCTION("""COMPUTED_VALUE"""),FALSE)</f>
        <v>0</v>
      </c>
      <c r="B177" s="41" t="str">
        <f>IFERROR(__xludf.DUMMYFUNCTION("""COMPUTED_VALUE"""),"RSC005911")</f>
        <v>RSC005911</v>
      </c>
      <c r="C177" s="41" t="str">
        <f>IFERROR(__xludf.DUMMYFUNCTION("""COMPUTED_VALUE"""),"Vaxei")</f>
        <v>Vaxei</v>
      </c>
      <c r="D177" s="41"/>
      <c r="E177" s="41">
        <f>IFERROR(__xludf.DUMMYFUNCTION("""COMPUTED_VALUE"""),0.0)</f>
        <v>0</v>
      </c>
      <c r="F177" s="41">
        <f>IFERROR(__xludf.DUMMYFUNCTION("""COMPUTED_VALUE"""),1885.0)</f>
        <v>1885</v>
      </c>
    </row>
    <row r="178">
      <c r="A178" s="41" t="b">
        <f>IFERROR(__xludf.DUMMYFUNCTION("""COMPUTED_VALUE"""),TRUE)</f>
        <v>1</v>
      </c>
      <c r="B178" s="41" t="str">
        <f>IFERROR(__xludf.DUMMYFUNCTION("""COMPUTED_VALUE"""),"RSC005954")</f>
        <v>RSC005954</v>
      </c>
      <c r="C178" s="41" t="str">
        <f>IFERROR(__xludf.DUMMYFUNCTION("""COMPUTED_VALUE"""),"MapleSyrup爱")</f>
        <v>MapleSyrup爱</v>
      </c>
      <c r="D178" s="41"/>
      <c r="E178" s="41">
        <f>IFERROR(__xludf.DUMMYFUNCTION("""COMPUTED_VALUE"""),0.0)</f>
        <v>0</v>
      </c>
      <c r="F178" s="41">
        <f>IFERROR(__xludf.DUMMYFUNCTION("""COMPUTED_VALUE"""),600.0)</f>
        <v>600</v>
      </c>
    </row>
    <row r="179">
      <c r="A179" s="41" t="b">
        <f>IFERROR(__xludf.DUMMYFUNCTION("""COMPUTED_VALUE"""),FALSE)</f>
        <v>0</v>
      </c>
      <c r="B179" s="41" t="str">
        <f>IFERROR(__xludf.DUMMYFUNCTION("""COMPUTED_VALUE"""),"RSC005971")</f>
        <v>RSC005971</v>
      </c>
      <c r="C179" s="41" t="str">
        <f>IFERROR(__xludf.DUMMYFUNCTION("""COMPUTED_VALUE"""),"Bahula")</f>
        <v>Bahula</v>
      </c>
      <c r="D179" s="41"/>
      <c r="E179" s="41">
        <f>IFERROR(__xludf.DUMMYFUNCTION("""COMPUTED_VALUE"""),0.0)</f>
        <v>0</v>
      </c>
      <c r="F179" s="41">
        <f>IFERROR(__xludf.DUMMYFUNCTION("""COMPUTED_VALUE"""),600.0)</f>
        <v>600</v>
      </c>
    </row>
    <row r="180">
      <c r="A180" s="41" t="b">
        <f>IFERROR(__xludf.DUMMYFUNCTION("""COMPUTED_VALUE"""),FALSE)</f>
        <v>0</v>
      </c>
      <c r="B180" s="41" t="str">
        <f>IFERROR(__xludf.DUMMYFUNCTION("""COMPUTED_VALUE"""),"RSC006016")</f>
        <v>RSC006016</v>
      </c>
      <c r="C180" s="41" t="str">
        <f>IFERROR(__xludf.DUMMYFUNCTION("""COMPUTED_VALUE"""),"pacman")</f>
        <v>pacman</v>
      </c>
      <c r="D180" s="41"/>
      <c r="E180" s="41">
        <f>IFERROR(__xludf.DUMMYFUNCTION("""COMPUTED_VALUE"""),0.0)</f>
        <v>0</v>
      </c>
      <c r="F180" s="41">
        <f>IFERROR(__xludf.DUMMYFUNCTION("""COMPUTED_VALUE"""),1135.0)</f>
        <v>1135</v>
      </c>
    </row>
    <row r="181">
      <c r="A181" s="41" t="b">
        <f>IFERROR(__xludf.DUMMYFUNCTION("""COMPUTED_VALUE"""),TRUE)</f>
        <v>1</v>
      </c>
      <c r="B181" s="41" t="str">
        <f>IFERROR(__xludf.DUMMYFUNCTION("""COMPUTED_VALUE"""),"RSC006000")</f>
        <v>RSC006000</v>
      </c>
      <c r="C181" s="41" t="str">
        <f>IFERROR(__xludf.DUMMYFUNCTION("""COMPUTED_VALUE"""),"janixity.")</f>
        <v>janixity.</v>
      </c>
      <c r="D181" s="41" t="str">
        <f>IFERROR(__xludf.DUMMYFUNCTION("""COMPUTED_VALUE"""),"Singularity")</f>
        <v>Singularity</v>
      </c>
      <c r="E181" s="41">
        <f>IFERROR(__xludf.DUMMYFUNCTION("""COMPUTED_VALUE"""),2.0)</f>
        <v>2</v>
      </c>
      <c r="F181" s="41">
        <f>IFERROR(__xludf.DUMMYFUNCTION("""COMPUTED_VALUE"""),1460.0)</f>
        <v>1460</v>
      </c>
    </row>
    <row r="182">
      <c r="A182" s="41" t="b">
        <f>IFERROR(__xludf.DUMMYFUNCTION("""COMPUTED_VALUE"""),FALSE)</f>
        <v>0</v>
      </c>
      <c r="B182" s="41" t="str">
        <f>IFERROR(__xludf.DUMMYFUNCTION("""COMPUTED_VALUE"""),"RSC005994")</f>
        <v>RSC005994</v>
      </c>
      <c r="C182" s="41" t="str">
        <f>IFERROR(__xludf.DUMMYFUNCTION("""COMPUTED_VALUE"""),"NinnaHatake")</f>
        <v>NinnaHatake</v>
      </c>
      <c r="D182" s="41"/>
      <c r="E182" s="41">
        <f>IFERROR(__xludf.DUMMYFUNCTION("""COMPUTED_VALUE"""),2.0)</f>
        <v>2</v>
      </c>
      <c r="F182" s="41">
        <f>IFERROR(__xludf.DUMMYFUNCTION("""COMPUTED_VALUE"""),960.0)</f>
        <v>960</v>
      </c>
    </row>
    <row r="183">
      <c r="A183" s="41" t="b">
        <f>IFERROR(__xludf.DUMMYFUNCTION("""COMPUTED_VALUE"""),TRUE)</f>
        <v>1</v>
      </c>
      <c r="B183" s="41" t="str">
        <f>IFERROR(__xludf.DUMMYFUNCTION("""COMPUTED_VALUE"""),"RSC007406")</f>
        <v>RSC007406</v>
      </c>
      <c r="C183" s="41" t="str">
        <f>IFERROR(__xludf.DUMMYFUNCTION("""COMPUTED_VALUE"""),"junior1000gsxr")</f>
        <v>junior1000gsxr</v>
      </c>
      <c r="D183" s="41" t="str">
        <f>IFERROR(__xludf.DUMMYFUNCTION("""COMPUTED_VALUE"""),"Quasars")</f>
        <v>Quasars</v>
      </c>
      <c r="E183" s="41">
        <f>IFERROR(__xludf.DUMMYFUNCTION("""COMPUTED_VALUE"""),2.0)</f>
        <v>2</v>
      </c>
      <c r="F183" s="41">
        <f>IFERROR(__xludf.DUMMYFUNCTION("""COMPUTED_VALUE"""),1270.0)</f>
        <v>1270</v>
      </c>
    </row>
    <row r="184">
      <c r="A184" s="41" t="b">
        <f>IFERROR(__xludf.DUMMYFUNCTION("""COMPUTED_VALUE"""),FALSE)</f>
        <v>0</v>
      </c>
      <c r="B184" s="41" t="str">
        <f>IFERROR(__xludf.DUMMYFUNCTION("""COMPUTED_VALUE"""),"RSC007617")</f>
        <v>RSC007617</v>
      </c>
      <c r="C184" s="41" t="str">
        <f>IFERROR(__xludf.DUMMYFUNCTION("""COMPUTED_VALUE"""),"lahfi")</f>
        <v>lahfi</v>
      </c>
      <c r="D184" s="41"/>
      <c r="E184" s="41">
        <f>IFERROR(__xludf.DUMMYFUNCTION("""COMPUTED_VALUE"""),0.0)</f>
        <v>0</v>
      </c>
      <c r="F184" s="41">
        <f>IFERROR(__xludf.DUMMYFUNCTION("""COMPUTED_VALUE"""),600.0)</f>
        <v>600</v>
      </c>
    </row>
    <row r="185">
      <c r="A185" s="41" t="b">
        <f>IFERROR(__xludf.DUMMYFUNCTION("""COMPUTED_VALUE"""),TRUE)</f>
        <v>1</v>
      </c>
      <c r="B185" s="41" t="str">
        <f>IFERROR(__xludf.DUMMYFUNCTION("""COMPUTED_VALUE"""),"RSC006169")</f>
        <v>RSC006169</v>
      </c>
      <c r="C185" s="41" t="str">
        <f>IFERROR(__xludf.DUMMYFUNCTION("""COMPUTED_VALUE"""),"ExyRL.")</f>
        <v>ExyRL.</v>
      </c>
      <c r="D185" s="41" t="str">
        <f>IFERROR(__xludf.DUMMYFUNCTION("""COMPUTED_VALUE"""),"Krakens")</f>
        <v>Krakens</v>
      </c>
      <c r="E185" s="41">
        <f>IFERROR(__xludf.DUMMYFUNCTION("""COMPUTED_VALUE"""),2.0)</f>
        <v>2</v>
      </c>
      <c r="F185" s="41">
        <f>IFERROR(__xludf.DUMMYFUNCTION("""COMPUTED_VALUE"""),1630.0)</f>
        <v>1630</v>
      </c>
    </row>
    <row r="186">
      <c r="A186" s="41" t="b">
        <f>IFERROR(__xludf.DUMMYFUNCTION("""COMPUTED_VALUE"""),TRUE)</f>
        <v>1</v>
      </c>
      <c r="B186" s="41" t="str">
        <f>IFERROR(__xludf.DUMMYFUNCTION("""COMPUTED_VALUE"""),"RSC006137")</f>
        <v>RSC006137</v>
      </c>
      <c r="C186" s="41" t="str">
        <f>IFERROR(__xludf.DUMMYFUNCTION("""COMPUTED_VALUE"""),"FULLBL00DN8V")</f>
        <v>FULLBL00DN8V</v>
      </c>
      <c r="D186" s="41"/>
      <c r="E186" s="41">
        <f>IFERROR(__xludf.DUMMYFUNCTION("""COMPUTED_VALUE"""),0.0)</f>
        <v>0</v>
      </c>
      <c r="F186" s="41">
        <f>IFERROR(__xludf.DUMMYFUNCTION("""COMPUTED_VALUE"""),900.0)</f>
        <v>900</v>
      </c>
    </row>
    <row r="187">
      <c r="A187" s="41" t="b">
        <f>IFERROR(__xludf.DUMMYFUNCTION("""COMPUTED_VALUE"""),TRUE)</f>
        <v>1</v>
      </c>
      <c r="B187" s="41" t="str">
        <f>IFERROR(__xludf.DUMMYFUNCTION("""COMPUTED_VALUE"""),"RSC006160")</f>
        <v>RSC006160</v>
      </c>
      <c r="C187" s="41" t="str">
        <f>IFERROR(__xludf.DUMMYFUNCTION("""COMPUTED_VALUE"""),"Bubs")</f>
        <v>Bubs</v>
      </c>
      <c r="D187" s="41"/>
      <c r="E187" s="41">
        <f>IFERROR(__xludf.DUMMYFUNCTION("""COMPUTED_VALUE"""),0.0)</f>
        <v>0</v>
      </c>
      <c r="F187" s="41">
        <f>IFERROR(__xludf.DUMMYFUNCTION("""COMPUTED_VALUE"""),1615.0)</f>
        <v>1615</v>
      </c>
    </row>
    <row r="188">
      <c r="A188" s="41" t="b">
        <f>IFERROR(__xludf.DUMMYFUNCTION("""COMPUTED_VALUE"""),TRUE)</f>
        <v>1</v>
      </c>
      <c r="B188" s="41" t="str">
        <f>IFERROR(__xludf.DUMMYFUNCTION("""COMPUTED_VALUE"""),"RSC001243")</f>
        <v>RSC001243</v>
      </c>
      <c r="C188" s="41" t="str">
        <f>IFERROR(__xludf.DUMMYFUNCTION("""COMPUTED_VALUE"""),"Destin")</f>
        <v>Destin</v>
      </c>
      <c r="D188" s="41" t="str">
        <f>IFERROR(__xludf.DUMMYFUNCTION("""COMPUTED_VALUE"""),"Lemurs")</f>
        <v>Lemurs</v>
      </c>
      <c r="E188" s="41">
        <f>IFERROR(__xludf.DUMMYFUNCTION("""COMPUTED_VALUE"""),2.0)</f>
        <v>2</v>
      </c>
      <c r="F188" s="41">
        <f>IFERROR(__xludf.DUMMYFUNCTION("""COMPUTED_VALUE"""),1730.0)</f>
        <v>1730</v>
      </c>
    </row>
    <row r="189">
      <c r="A189" s="41" t="b">
        <f>IFERROR(__xludf.DUMMYFUNCTION("""COMPUTED_VALUE"""),TRUE)</f>
        <v>1</v>
      </c>
      <c r="B189" s="41" t="str">
        <f>IFERROR(__xludf.DUMMYFUNCTION("""COMPUTED_VALUE"""),"RSC006209")</f>
        <v>RSC006209</v>
      </c>
      <c r="C189" s="41" t="str">
        <f>IFERROR(__xludf.DUMMYFUNCTION("""COMPUTED_VALUE"""),"Celiscy")</f>
        <v>Celiscy</v>
      </c>
      <c r="D189" s="41" t="str">
        <f>IFERROR(__xludf.DUMMYFUNCTION("""COMPUTED_VALUE"""),"Nightfall")</f>
        <v>Nightfall</v>
      </c>
      <c r="E189" s="41">
        <f>IFERROR(__xludf.DUMMYFUNCTION("""COMPUTED_VALUE"""),1.0)</f>
        <v>1</v>
      </c>
      <c r="F189" s="41">
        <f>IFERROR(__xludf.DUMMYFUNCTION("""COMPUTED_VALUE"""),1380.0)</f>
        <v>1380</v>
      </c>
    </row>
    <row r="190">
      <c r="A190" s="41" t="b">
        <f>IFERROR(__xludf.DUMMYFUNCTION("""COMPUTED_VALUE"""),TRUE)</f>
        <v>1</v>
      </c>
      <c r="B190" s="41" t="str">
        <f>IFERROR(__xludf.DUMMYFUNCTION("""COMPUTED_VALUE"""),"RSC007423")</f>
        <v>RSC007423</v>
      </c>
      <c r="C190" s="41" t="str">
        <f>IFERROR(__xludf.DUMMYFUNCTION("""COMPUTED_VALUE"""),"Valuedsquash465")</f>
        <v>Valuedsquash465</v>
      </c>
      <c r="D190" s="41"/>
      <c r="E190" s="41">
        <f>IFERROR(__xludf.DUMMYFUNCTION("""COMPUTED_VALUE"""),0.0)</f>
        <v>0</v>
      </c>
      <c r="F190" s="41">
        <f>IFERROR(__xludf.DUMMYFUNCTION("""COMPUTED_VALUE"""),1125.0)</f>
        <v>1125</v>
      </c>
    </row>
    <row r="191">
      <c r="A191" s="41" t="b">
        <f>IFERROR(__xludf.DUMMYFUNCTION("""COMPUTED_VALUE"""),FALSE)</f>
        <v>0</v>
      </c>
      <c r="B191" s="41" t="str">
        <f>IFERROR(__xludf.DUMMYFUNCTION("""COMPUTED_VALUE"""),"RSC007220")</f>
        <v>RSC007220</v>
      </c>
      <c r="C191" s="41" t="str">
        <f>IFERROR(__xludf.DUMMYFUNCTION("""COMPUTED_VALUE"""),"maxf")</f>
        <v>maxf</v>
      </c>
      <c r="D191" s="41"/>
      <c r="E191" s="41">
        <f>IFERROR(__xludf.DUMMYFUNCTION("""COMPUTED_VALUE"""),0.0)</f>
        <v>0</v>
      </c>
      <c r="F191" s="41">
        <f>IFERROR(__xludf.DUMMYFUNCTION("""COMPUTED_VALUE"""),875.0)</f>
        <v>875</v>
      </c>
    </row>
    <row r="192">
      <c r="A192" s="41" t="b">
        <f>IFERROR(__xludf.DUMMYFUNCTION("""COMPUTED_VALUE"""),TRUE)</f>
        <v>1</v>
      </c>
      <c r="B192" s="41" t="str">
        <f>IFERROR(__xludf.DUMMYFUNCTION("""COMPUTED_VALUE"""),"RSC007958")</f>
        <v>RSC007958</v>
      </c>
      <c r="C192" s="41" t="str">
        <f>IFERROR(__xludf.DUMMYFUNCTION("""COMPUTED_VALUE"""),"SE AT WORK")</f>
        <v>SE AT WORK</v>
      </c>
      <c r="D192" s="41" t="str">
        <f>IFERROR(__xludf.DUMMYFUNCTION("""COMPUTED_VALUE"""),"Tic Tacs")</f>
        <v>Tic Tacs</v>
      </c>
      <c r="E192" s="41">
        <f>IFERROR(__xludf.DUMMYFUNCTION("""COMPUTED_VALUE"""),2.0)</f>
        <v>2</v>
      </c>
      <c r="F192" s="41">
        <f>IFERROR(__xludf.DUMMYFUNCTION("""COMPUTED_VALUE"""),1045.0)</f>
        <v>1045</v>
      </c>
    </row>
    <row r="193">
      <c r="A193" s="41" t="b">
        <f>IFERROR(__xludf.DUMMYFUNCTION("""COMPUTED_VALUE"""),TRUE)</f>
        <v>1</v>
      </c>
      <c r="B193" s="41" t="str">
        <f>IFERROR(__xludf.DUMMYFUNCTION("""COMPUTED_VALUE"""),"RSC006346")</f>
        <v>RSC006346</v>
      </c>
      <c r="C193" s="41" t="str">
        <f>IFERROR(__xludf.DUMMYFUNCTION("""COMPUTED_VALUE"""),"MobBossCitrus")</f>
        <v>MobBossCitrus</v>
      </c>
      <c r="D193" s="41" t="str">
        <f>IFERROR(__xludf.DUMMYFUNCTION("""COMPUTED_VALUE"""),"Apple Associates")</f>
        <v>Apple Associates</v>
      </c>
      <c r="E193" s="41">
        <f>IFERROR(__xludf.DUMMYFUNCTION("""COMPUTED_VALUE"""),2.0)</f>
        <v>2</v>
      </c>
      <c r="F193" s="41">
        <f>IFERROR(__xludf.DUMMYFUNCTION("""COMPUTED_VALUE"""),1160.0)</f>
        <v>1160</v>
      </c>
    </row>
    <row r="194">
      <c r="A194" s="41" t="b">
        <f>IFERROR(__xludf.DUMMYFUNCTION("""COMPUTED_VALUE"""),TRUE)</f>
        <v>1</v>
      </c>
      <c r="B194" s="41" t="str">
        <f>IFERROR(__xludf.DUMMYFUNCTION("""COMPUTED_VALUE"""),"RSC006487")</f>
        <v>RSC006487</v>
      </c>
      <c r="C194" s="41" t="str">
        <f>IFERROR(__xludf.DUMMYFUNCTION("""COMPUTED_VALUE"""),"KorusRay")</f>
        <v>KorusRay</v>
      </c>
      <c r="D194" s="41"/>
      <c r="E194" s="41">
        <f>IFERROR(__xludf.DUMMYFUNCTION("""COMPUTED_VALUE"""),0.0)</f>
        <v>0</v>
      </c>
      <c r="F194" s="41">
        <f>IFERROR(__xludf.DUMMYFUNCTION("""COMPUTED_VALUE"""),1015.0)</f>
        <v>1015</v>
      </c>
    </row>
    <row r="195">
      <c r="A195" s="41" t="b">
        <f>IFERROR(__xludf.DUMMYFUNCTION("""COMPUTED_VALUE"""),TRUE)</f>
        <v>1</v>
      </c>
      <c r="B195" s="41" t="str">
        <f>IFERROR(__xludf.DUMMYFUNCTION("""COMPUTED_VALUE"""),"RSC007370")</f>
        <v>RSC007370</v>
      </c>
      <c r="C195" s="41" t="str">
        <f>IFERROR(__xludf.DUMMYFUNCTION("""COMPUTED_VALUE"""),"Jarrod81535")</f>
        <v>Jarrod81535</v>
      </c>
      <c r="D195" s="41" t="str">
        <f>IFERROR(__xludf.DUMMYFUNCTION("""COMPUTED_VALUE"""),"Happy B-day Jess")</f>
        <v>Happy B-day Jess</v>
      </c>
      <c r="E195" s="41">
        <f>IFERROR(__xludf.DUMMYFUNCTION("""COMPUTED_VALUE"""),1.0)</f>
        <v>1</v>
      </c>
      <c r="F195" s="41">
        <f>IFERROR(__xludf.DUMMYFUNCTION("""COMPUTED_VALUE"""),1235.0)</f>
        <v>1235</v>
      </c>
    </row>
    <row r="196">
      <c r="A196" s="41" t="b">
        <f>IFERROR(__xludf.DUMMYFUNCTION("""COMPUTED_VALUE"""),TRUE)</f>
        <v>1</v>
      </c>
      <c r="B196" s="41" t="str">
        <f>IFERROR(__xludf.DUMMYFUNCTION("""COMPUTED_VALUE"""),"RSC006344")</f>
        <v>RSC006344</v>
      </c>
      <c r="C196" s="41" t="str">
        <f>IFERROR(__xludf.DUMMYFUNCTION("""COMPUTED_VALUE"""),"FerrisCrueller")</f>
        <v>FerrisCrueller</v>
      </c>
      <c r="D196" s="41" t="str">
        <f>IFERROR(__xludf.DUMMYFUNCTION("""COMPUTED_VALUE"""),"Insider Traders")</f>
        <v>Insider Traders</v>
      </c>
      <c r="E196" s="41">
        <f>IFERROR(__xludf.DUMMYFUNCTION("""COMPUTED_VALUE"""),1.0)</f>
        <v>1</v>
      </c>
      <c r="F196" s="41">
        <f>IFERROR(__xludf.DUMMYFUNCTION("""COMPUTED_VALUE"""),1085.0)</f>
        <v>1085</v>
      </c>
    </row>
    <row r="197">
      <c r="A197" s="41" t="b">
        <f>IFERROR(__xludf.DUMMYFUNCTION("""COMPUTED_VALUE"""),TRUE)</f>
        <v>1</v>
      </c>
      <c r="B197" s="41" t="str">
        <f>IFERROR(__xludf.DUMMYFUNCTION("""COMPUTED_VALUE"""),"RSC003986")</f>
        <v>RSC003986</v>
      </c>
      <c r="C197" s="41" t="str">
        <f>IFERROR(__xludf.DUMMYFUNCTION("""COMPUTED_VALUE"""),"✪ Reprise")</f>
        <v>✪ Reprise</v>
      </c>
      <c r="D197" s="41"/>
      <c r="E197" s="41">
        <f>IFERROR(__xludf.DUMMYFUNCTION("""COMPUTED_VALUE"""),0.0)</f>
        <v>0</v>
      </c>
      <c r="F197" s="41">
        <f>IFERROR(__xludf.DUMMYFUNCTION("""COMPUTED_VALUE"""),1695.0)</f>
        <v>1695</v>
      </c>
    </row>
    <row r="198">
      <c r="A198" s="41" t="b">
        <f>IFERROR(__xludf.DUMMYFUNCTION("""COMPUTED_VALUE"""),TRUE)</f>
        <v>1</v>
      </c>
      <c r="B198" s="41" t="str">
        <f>IFERROR(__xludf.DUMMYFUNCTION("""COMPUTED_VALUE"""),"RSC007284")</f>
        <v>RSC007284</v>
      </c>
      <c r="C198" s="41" t="str">
        <f>IFERROR(__xludf.DUMMYFUNCTION("""COMPUTED_VALUE"""),"7aco104")</f>
        <v>7aco104</v>
      </c>
      <c r="D198" s="41" t="str">
        <f>IFERROR(__xludf.DUMMYFUNCTION("""COMPUTED_VALUE"""),"Meat Lovers")</f>
        <v>Meat Lovers</v>
      </c>
      <c r="E198" s="41">
        <f>IFERROR(__xludf.DUMMYFUNCTION("""COMPUTED_VALUE"""),2.0)</f>
        <v>2</v>
      </c>
      <c r="F198" s="41">
        <f>IFERROR(__xludf.DUMMYFUNCTION("""COMPUTED_VALUE"""),1155.0)</f>
        <v>1155</v>
      </c>
    </row>
    <row r="199">
      <c r="A199" s="41" t="b">
        <f>IFERROR(__xludf.DUMMYFUNCTION("""COMPUTED_VALUE"""),TRUE)</f>
        <v>1</v>
      </c>
      <c r="B199" s="41" t="str">
        <f>IFERROR(__xludf.DUMMYFUNCTION("""COMPUTED_VALUE"""),"RSC006364")</f>
        <v>RSC006364</v>
      </c>
      <c r="C199" s="41" t="str">
        <f>IFERROR(__xludf.DUMMYFUNCTION("""COMPUTED_VALUE"""),"YT_rocketbrah")</f>
        <v>YT_rocketbrah</v>
      </c>
      <c r="D199" s="41"/>
      <c r="E199" s="41">
        <f>IFERROR(__xludf.DUMMYFUNCTION("""COMPUTED_VALUE"""),0.0)</f>
        <v>0</v>
      </c>
      <c r="F199" s="41">
        <f>IFERROR(__xludf.DUMMYFUNCTION("""COMPUTED_VALUE"""),835.0)</f>
        <v>835</v>
      </c>
    </row>
    <row r="200">
      <c r="A200" s="41" t="b">
        <f>IFERROR(__xludf.DUMMYFUNCTION("""COMPUTED_VALUE"""),FALSE)</f>
        <v>0</v>
      </c>
      <c r="B200" s="41" t="str">
        <f>IFERROR(__xludf.DUMMYFUNCTION("""COMPUTED_VALUE"""),"RSC006462")</f>
        <v>RSC006462</v>
      </c>
      <c r="C200" s="41" t="str">
        <f>IFERROR(__xludf.DUMMYFUNCTION("""COMPUTED_VALUE"""),"ous")</f>
        <v>ous</v>
      </c>
      <c r="D200" s="41"/>
      <c r="E200" s="41">
        <f>IFERROR(__xludf.DUMMYFUNCTION("""COMPUTED_VALUE"""),0.0)</f>
        <v>0</v>
      </c>
      <c r="F200" s="41">
        <f>IFERROR(__xludf.DUMMYFUNCTION("""COMPUTED_VALUE"""),885.0)</f>
        <v>885</v>
      </c>
    </row>
    <row r="201">
      <c r="A201" s="41" t="b">
        <f>IFERROR(__xludf.DUMMYFUNCTION("""COMPUTED_VALUE"""),TRUE)</f>
        <v>1</v>
      </c>
      <c r="B201" s="41" t="str">
        <f>IFERROR(__xludf.DUMMYFUNCTION("""COMPUTED_VALUE"""),"RSC006424")</f>
        <v>RSC006424</v>
      </c>
      <c r="C201" s="41" t="str">
        <f>IFERROR(__xludf.DUMMYFUNCTION("""COMPUTED_VALUE"""),"RSC Raven")</f>
        <v>RSC Raven</v>
      </c>
      <c r="D201" s="41" t="str">
        <f>IFERROR(__xludf.DUMMYFUNCTION("""COMPUTED_VALUE"""),"Peerless Scarred")</f>
        <v>Peerless Scarred</v>
      </c>
      <c r="E201" s="41">
        <f>IFERROR(__xludf.DUMMYFUNCTION("""COMPUTED_VALUE"""),1.0)</f>
        <v>1</v>
      </c>
      <c r="F201" s="41">
        <f>IFERROR(__xludf.DUMMYFUNCTION("""COMPUTED_VALUE"""),1645.0)</f>
        <v>1645</v>
      </c>
    </row>
    <row r="202">
      <c r="A202" s="41" t="b">
        <f>IFERROR(__xludf.DUMMYFUNCTION("""COMPUTED_VALUE"""),TRUE)</f>
        <v>1</v>
      </c>
      <c r="B202" s="41" t="str">
        <f>IFERROR(__xludf.DUMMYFUNCTION("""COMPUTED_VALUE"""),"RSC005608")</f>
        <v>RSC005608</v>
      </c>
      <c r="C202" s="41" t="str">
        <f>IFERROR(__xludf.DUMMYFUNCTION("""COMPUTED_VALUE"""),"wolverine36535")</f>
        <v>wolverine36535</v>
      </c>
      <c r="D202" s="41" t="str">
        <f>IFERROR(__xludf.DUMMYFUNCTION("""COMPUTED_VALUE"""),"Cooks")</f>
        <v>Cooks</v>
      </c>
      <c r="E202" s="41">
        <f>IFERROR(__xludf.DUMMYFUNCTION("""COMPUTED_VALUE"""),2.0)</f>
        <v>2</v>
      </c>
      <c r="F202" s="41">
        <f>IFERROR(__xludf.DUMMYFUNCTION("""COMPUTED_VALUE"""),1075.0)</f>
        <v>1075</v>
      </c>
    </row>
    <row r="203">
      <c r="A203" s="41" t="b">
        <f>IFERROR(__xludf.DUMMYFUNCTION("""COMPUTED_VALUE"""),TRUE)</f>
        <v>1</v>
      </c>
      <c r="B203" s="41" t="str">
        <f>IFERROR(__xludf.DUMMYFUNCTION("""COMPUTED_VALUE"""),"RSC006417")</f>
        <v>RSC006417</v>
      </c>
      <c r="C203" s="41" t="str">
        <f>IFERROR(__xludf.DUMMYFUNCTION("""COMPUTED_VALUE"""),"TangentOgive")</f>
        <v>TangentOgive</v>
      </c>
      <c r="D203" s="41" t="str">
        <f>IFERROR(__xludf.DUMMYFUNCTION("""COMPUTED_VALUE"""),"Gelato")</f>
        <v>Gelato</v>
      </c>
      <c r="E203" s="41">
        <f>IFERROR(__xludf.DUMMYFUNCTION("""COMPUTED_VALUE"""),1.0)</f>
        <v>1</v>
      </c>
      <c r="F203" s="41">
        <f>IFERROR(__xludf.DUMMYFUNCTION("""COMPUTED_VALUE"""),1550.0)</f>
        <v>1550</v>
      </c>
    </row>
    <row r="204">
      <c r="A204" s="41" t="b">
        <f>IFERROR(__xludf.DUMMYFUNCTION("""COMPUTED_VALUE"""),TRUE)</f>
        <v>1</v>
      </c>
      <c r="B204" s="41" t="str">
        <f>IFERROR(__xludf.DUMMYFUNCTION("""COMPUTED_VALUE"""),"RSC006416")</f>
        <v>RSC006416</v>
      </c>
      <c r="C204" s="41" t="str">
        <f>IFERROR(__xludf.DUMMYFUNCTION("""COMPUTED_VALUE"""),"StaRazor")</f>
        <v>StaRazor</v>
      </c>
      <c r="D204" s="41" t="str">
        <f>IFERROR(__xludf.DUMMYFUNCTION("""COMPUTED_VALUE"""),"Warthogs")</f>
        <v>Warthogs</v>
      </c>
      <c r="E204" s="41">
        <f>IFERROR(__xludf.DUMMYFUNCTION("""COMPUTED_VALUE"""),2.0)</f>
        <v>2</v>
      </c>
      <c r="F204" s="41">
        <f>IFERROR(__xludf.DUMMYFUNCTION("""COMPUTED_VALUE"""),1115.0)</f>
        <v>1115</v>
      </c>
    </row>
    <row r="205">
      <c r="A205" s="41" t="b">
        <f>IFERROR(__xludf.DUMMYFUNCTION("""COMPUTED_VALUE"""),TRUE)</f>
        <v>1</v>
      </c>
      <c r="B205" s="41" t="str">
        <f>IFERROR(__xludf.DUMMYFUNCTION("""COMPUTED_VALUE"""),"RSC006477")</f>
        <v>RSC006477</v>
      </c>
      <c r="C205" s="41" t="str">
        <f>IFERROR(__xludf.DUMMYFUNCTION("""COMPUTED_VALUE"""),"XtraCrispyRL")</f>
        <v>XtraCrispyRL</v>
      </c>
      <c r="D205" s="41" t="str">
        <f>IFERROR(__xludf.DUMMYFUNCTION("""COMPUTED_VALUE"""),"Void")</f>
        <v>Void</v>
      </c>
      <c r="E205" s="41">
        <f>IFERROR(__xludf.DUMMYFUNCTION("""COMPUTED_VALUE"""),2.0)</f>
        <v>2</v>
      </c>
      <c r="F205" s="41">
        <f>IFERROR(__xludf.DUMMYFUNCTION("""COMPUTED_VALUE"""),1225.0)</f>
        <v>1225</v>
      </c>
    </row>
    <row r="206">
      <c r="A206" s="41" t="b">
        <f>IFERROR(__xludf.DUMMYFUNCTION("""COMPUTED_VALUE"""),TRUE)</f>
        <v>1</v>
      </c>
      <c r="B206" s="41" t="str">
        <f>IFERROR(__xludf.DUMMYFUNCTION("""COMPUTED_VALUE"""),"RSC006489")</f>
        <v>RSC006489</v>
      </c>
      <c r="C206" s="41" t="str">
        <f>IFERROR(__xludf.DUMMYFUNCTION("""COMPUTED_VALUE"""),"bayylock")</f>
        <v>bayylock</v>
      </c>
      <c r="D206" s="41" t="str">
        <f>IFERROR(__xludf.DUMMYFUNCTION("""COMPUTED_VALUE"""),"Hot Wings")</f>
        <v>Hot Wings</v>
      </c>
      <c r="E206" s="41">
        <f>IFERROR(__xludf.DUMMYFUNCTION("""COMPUTED_VALUE"""),2.0)</f>
        <v>2</v>
      </c>
      <c r="F206" s="41">
        <f>IFERROR(__xludf.DUMMYFUNCTION("""COMPUTED_VALUE"""),1365.0)</f>
        <v>1365</v>
      </c>
    </row>
    <row r="207">
      <c r="A207" s="41" t="b">
        <f>IFERROR(__xludf.DUMMYFUNCTION("""COMPUTED_VALUE"""),TRUE)</f>
        <v>1</v>
      </c>
      <c r="B207" s="41" t="str">
        <f>IFERROR(__xludf.DUMMYFUNCTION("""COMPUTED_VALUE"""),"RSC003223")</f>
        <v>RSC003223</v>
      </c>
      <c r="C207" s="41" t="str">
        <f>IFERROR(__xludf.DUMMYFUNCTION("""COMPUTED_VALUE"""),"AZoroARK")</f>
        <v>AZoroARK</v>
      </c>
      <c r="D207" s="41" t="str">
        <f>IFERROR(__xludf.DUMMYFUNCTION("""COMPUTED_VALUE"""),"Meat Lovers")</f>
        <v>Meat Lovers</v>
      </c>
      <c r="E207" s="41">
        <f>IFERROR(__xludf.DUMMYFUNCTION("""COMPUTED_VALUE"""),1.0)</f>
        <v>1</v>
      </c>
      <c r="F207" s="41">
        <f>IFERROR(__xludf.DUMMYFUNCTION("""COMPUTED_VALUE"""),1110.0)</f>
        <v>1110</v>
      </c>
    </row>
    <row r="208">
      <c r="A208" s="41" t="b">
        <f>IFERROR(__xludf.DUMMYFUNCTION("""COMPUTED_VALUE"""),TRUE)</f>
        <v>1</v>
      </c>
      <c r="B208" s="41" t="str">
        <f>IFERROR(__xludf.DUMMYFUNCTION("""COMPUTED_VALUE"""),"RSC006543")</f>
        <v>RSC006543</v>
      </c>
      <c r="C208" s="41" t="str">
        <f>IFERROR(__xludf.DUMMYFUNCTION("""COMPUTED_VALUE"""),"MasonJar")</f>
        <v>MasonJar</v>
      </c>
      <c r="D208" s="41"/>
      <c r="E208" s="41">
        <f>IFERROR(__xludf.DUMMYFUNCTION("""COMPUTED_VALUE"""),0.0)</f>
        <v>0</v>
      </c>
      <c r="F208" s="41">
        <f>IFERROR(__xludf.DUMMYFUNCTION("""COMPUTED_VALUE"""),1320.0)</f>
        <v>1320</v>
      </c>
    </row>
    <row r="209">
      <c r="A209" s="41" t="b">
        <f>IFERROR(__xludf.DUMMYFUNCTION("""COMPUTED_VALUE"""),TRUE)</f>
        <v>1</v>
      </c>
      <c r="B209" s="41" t="str">
        <f>IFERROR(__xludf.DUMMYFUNCTION("""COMPUTED_VALUE"""),"RSC006569")</f>
        <v>RSC006569</v>
      </c>
      <c r="C209" s="41" t="str">
        <f>IFERROR(__xludf.DUMMYFUNCTION("""COMPUTED_VALUE"""),"mulliganisoup")</f>
        <v>mulliganisoup</v>
      </c>
      <c r="D209" s="41" t="str">
        <f>IFERROR(__xludf.DUMMYFUNCTION("""COMPUTED_VALUE"""),"Tax Evaders")</f>
        <v>Tax Evaders</v>
      </c>
      <c r="E209" s="41">
        <f>IFERROR(__xludf.DUMMYFUNCTION("""COMPUTED_VALUE"""),2.0)</f>
        <v>2</v>
      </c>
      <c r="F209" s="41">
        <f>IFERROR(__xludf.DUMMYFUNCTION("""COMPUTED_VALUE"""),1265.0)</f>
        <v>1265</v>
      </c>
    </row>
    <row r="210">
      <c r="A210" s="41" t="b">
        <f>IFERROR(__xludf.DUMMYFUNCTION("""COMPUTED_VALUE"""),TRUE)</f>
        <v>1</v>
      </c>
      <c r="B210" s="41" t="str">
        <f>IFERROR(__xludf.DUMMYFUNCTION("""COMPUTED_VALUE"""),"RSC006639")</f>
        <v>RSC006639</v>
      </c>
      <c r="C210" s="41" t="str">
        <f>IFERROR(__xludf.DUMMYFUNCTION("""COMPUTED_VALUE"""),"Zxphyr")</f>
        <v>Zxphyr</v>
      </c>
      <c r="D210" s="41" t="str">
        <f>IFERROR(__xludf.DUMMYFUNCTION("""COMPUTED_VALUE"""),"Makos")</f>
        <v>Makos</v>
      </c>
      <c r="E210" s="41">
        <f>IFERROR(__xludf.DUMMYFUNCTION("""COMPUTED_VALUE"""),2.0)</f>
        <v>2</v>
      </c>
      <c r="F210" s="41">
        <f>IFERROR(__xludf.DUMMYFUNCTION("""COMPUTED_VALUE"""),1405.0)</f>
        <v>1405</v>
      </c>
    </row>
    <row r="211">
      <c r="A211" s="41" t="b">
        <f>IFERROR(__xludf.DUMMYFUNCTION("""COMPUTED_VALUE"""),FALSE)</f>
        <v>0</v>
      </c>
      <c r="B211" s="41" t="str">
        <f>IFERROR(__xludf.DUMMYFUNCTION("""COMPUTED_VALUE"""),"RSC006635")</f>
        <v>RSC006635</v>
      </c>
      <c r="C211" s="41" t="str">
        <f>IFERROR(__xludf.DUMMYFUNCTION("""COMPUTED_VALUE"""),"SlenderSolder")</f>
        <v>SlenderSolder</v>
      </c>
      <c r="D211" s="41"/>
      <c r="E211" s="41">
        <f>IFERROR(__xludf.DUMMYFUNCTION("""COMPUTED_VALUE"""),0.0)</f>
        <v>0</v>
      </c>
      <c r="F211" s="41">
        <f>IFERROR(__xludf.DUMMYFUNCTION("""COMPUTED_VALUE"""),985.0)</f>
        <v>985</v>
      </c>
    </row>
    <row r="212">
      <c r="A212" s="41" t="b">
        <f>IFERROR(__xludf.DUMMYFUNCTION("""COMPUTED_VALUE"""),TRUE)</f>
        <v>1</v>
      </c>
      <c r="B212" s="41" t="str">
        <f>IFERROR(__xludf.DUMMYFUNCTION("""COMPUTED_VALUE"""),"RSC006422")</f>
        <v>RSC006422</v>
      </c>
      <c r="C212" s="41" t="str">
        <f>IFERROR(__xludf.DUMMYFUNCTION("""COMPUTED_VALUE"""),"HuggingThor")</f>
        <v>HuggingThor</v>
      </c>
      <c r="D212" s="41" t="str">
        <f>IFERROR(__xludf.DUMMYFUNCTION("""COMPUTED_VALUE"""),"Tic Tacs")</f>
        <v>Tic Tacs</v>
      </c>
      <c r="E212" s="41">
        <f>IFERROR(__xludf.DUMMYFUNCTION("""COMPUTED_VALUE"""),2.0)</f>
        <v>2</v>
      </c>
      <c r="F212" s="41">
        <f>IFERROR(__xludf.DUMMYFUNCTION("""COMPUTED_VALUE"""),990.0)</f>
        <v>990</v>
      </c>
    </row>
    <row r="213">
      <c r="A213" s="41" t="b">
        <f>IFERROR(__xludf.DUMMYFUNCTION("""COMPUTED_VALUE"""),TRUE)</f>
        <v>1</v>
      </c>
      <c r="B213" s="41" t="str">
        <f>IFERROR(__xludf.DUMMYFUNCTION("""COMPUTED_VALUE"""),"RSC007442")</f>
        <v>RSC007442</v>
      </c>
      <c r="C213" s="41" t="str">
        <f>IFERROR(__xludf.DUMMYFUNCTION("""COMPUTED_VALUE"""),"willbong")</f>
        <v>willbong</v>
      </c>
      <c r="D213" s="41" t="str">
        <f>IFERROR(__xludf.DUMMYFUNCTION("""COMPUTED_VALUE"""),"Toucans")</f>
        <v>Toucans</v>
      </c>
      <c r="E213" s="41">
        <f>IFERROR(__xludf.DUMMYFUNCTION("""COMPUTED_VALUE"""),2.0)</f>
        <v>2</v>
      </c>
      <c r="F213" s="41">
        <f>IFERROR(__xludf.DUMMYFUNCTION("""COMPUTED_VALUE"""),1195.0)</f>
        <v>1195</v>
      </c>
    </row>
    <row r="214">
      <c r="A214" s="41" t="b">
        <f>IFERROR(__xludf.DUMMYFUNCTION("""COMPUTED_VALUE"""),TRUE)</f>
        <v>1</v>
      </c>
      <c r="B214" s="41" t="str">
        <f>IFERROR(__xludf.DUMMYFUNCTION("""COMPUTED_VALUE"""),"RSC004966")</f>
        <v>RSC004966</v>
      </c>
      <c r="C214" s="41" t="str">
        <f>IFERROR(__xludf.DUMMYFUNCTION("""COMPUTED_VALUE"""),"Buck")</f>
        <v>Buck</v>
      </c>
      <c r="D214" s="41" t="str">
        <f>IFERROR(__xludf.DUMMYFUNCTION("""COMPUTED_VALUE"""),"Embezzlers")</f>
        <v>Embezzlers</v>
      </c>
      <c r="E214" s="41">
        <f>IFERROR(__xludf.DUMMYFUNCTION("""COMPUTED_VALUE"""),2.0)</f>
        <v>2</v>
      </c>
      <c r="F214" s="41">
        <f>IFERROR(__xludf.DUMMYFUNCTION("""COMPUTED_VALUE"""),1600.0)</f>
        <v>1600</v>
      </c>
    </row>
    <row r="215">
      <c r="A215" s="41" t="b">
        <f>IFERROR(__xludf.DUMMYFUNCTION("""COMPUTED_VALUE"""),TRUE)</f>
        <v>1</v>
      </c>
      <c r="B215" s="41" t="str">
        <f>IFERROR(__xludf.DUMMYFUNCTION("""COMPUTED_VALUE"""),"RSC006748")</f>
        <v>RSC006748</v>
      </c>
      <c r="C215" s="41" t="str">
        <f>IFERROR(__xludf.DUMMYFUNCTION("""COMPUTED_VALUE"""),"Llamaboy101")</f>
        <v>Llamaboy101</v>
      </c>
      <c r="D215" s="41" t="str">
        <f>IFERROR(__xludf.DUMMYFUNCTION("""COMPUTED_VALUE"""),"Guards")</f>
        <v>Guards</v>
      </c>
      <c r="E215" s="41">
        <f>IFERROR(__xludf.DUMMYFUNCTION("""COMPUTED_VALUE"""),2.0)</f>
        <v>2</v>
      </c>
      <c r="F215" s="41">
        <f>IFERROR(__xludf.DUMMYFUNCTION("""COMPUTED_VALUE"""),1260.0)</f>
        <v>1260</v>
      </c>
    </row>
    <row r="216">
      <c r="A216" s="41" t="b">
        <f>IFERROR(__xludf.DUMMYFUNCTION("""COMPUTED_VALUE"""),TRUE)</f>
        <v>1</v>
      </c>
      <c r="B216" s="41" t="str">
        <f>IFERROR(__xludf.DUMMYFUNCTION("""COMPUTED_VALUE"""),"RSC007893")</f>
        <v>RSC007893</v>
      </c>
      <c r="C216" s="41" t="str">
        <f>IFERROR(__xludf.DUMMYFUNCTION("""COMPUTED_VALUE"""),"solar722")</f>
        <v>solar722</v>
      </c>
      <c r="D216" s="41" t="str">
        <f>IFERROR(__xludf.DUMMYFUNCTION("""COMPUTED_VALUE"""),"Reapers")</f>
        <v>Reapers</v>
      </c>
      <c r="E216" s="41">
        <f>IFERROR(__xludf.DUMMYFUNCTION("""COMPUTED_VALUE"""),2.0)</f>
        <v>2</v>
      </c>
      <c r="F216" s="41">
        <f>IFERROR(__xludf.DUMMYFUNCTION("""COMPUTED_VALUE"""),1765.0)</f>
        <v>1765</v>
      </c>
    </row>
    <row r="217">
      <c r="A217" s="41" t="b">
        <f>IFERROR(__xludf.DUMMYFUNCTION("""COMPUTED_VALUE"""),TRUE)</f>
        <v>1</v>
      </c>
      <c r="B217" s="41" t="str">
        <f>IFERROR(__xludf.DUMMYFUNCTION("""COMPUTED_VALUE"""),"RSC007412")</f>
        <v>RSC007412</v>
      </c>
      <c r="C217" s="41" t="str">
        <f>IFERROR(__xludf.DUMMYFUNCTION("""COMPUTED_VALUE"""),"spuf.")</f>
        <v>spuf.</v>
      </c>
      <c r="D217" s="41" t="str">
        <f>IFERROR(__xludf.DUMMYFUNCTION("""COMPUTED_VALUE"""),"Care Bears")</f>
        <v>Care Bears</v>
      </c>
      <c r="E217" s="41">
        <f>IFERROR(__xludf.DUMMYFUNCTION("""COMPUTED_VALUE"""),1.0)</f>
        <v>1</v>
      </c>
      <c r="F217" s="41">
        <f>IFERROR(__xludf.DUMMYFUNCTION("""COMPUTED_VALUE"""),1735.0)</f>
        <v>1735</v>
      </c>
    </row>
    <row r="218">
      <c r="A218" s="41" t="b">
        <f>IFERROR(__xludf.DUMMYFUNCTION("""COMPUTED_VALUE"""),TRUE)</f>
        <v>1</v>
      </c>
      <c r="B218" s="41" t="str">
        <f>IFERROR(__xludf.DUMMYFUNCTION("""COMPUTED_VALUE"""),"RSC007295")</f>
        <v>RSC007295</v>
      </c>
      <c r="C218" s="41" t="str">
        <f>IFERROR(__xludf.DUMMYFUNCTION("""COMPUTED_VALUE"""),"TheLegendaryChance")</f>
        <v>TheLegendaryChance</v>
      </c>
      <c r="D218" s="41" t="str">
        <f>IFERROR(__xludf.DUMMYFUNCTION("""COMPUTED_VALUE"""),"Battle Masters")</f>
        <v>Battle Masters</v>
      </c>
      <c r="E218" s="41">
        <f>IFERROR(__xludf.DUMMYFUNCTION("""COMPUTED_VALUE"""),2.0)</f>
        <v>2</v>
      </c>
      <c r="F218" s="41">
        <f>IFERROR(__xludf.DUMMYFUNCTION("""COMPUTED_VALUE"""),1720.0)</f>
        <v>1720</v>
      </c>
    </row>
    <row r="219">
      <c r="A219" s="41" t="b">
        <f>IFERROR(__xludf.DUMMYFUNCTION("""COMPUTED_VALUE"""),TRUE)</f>
        <v>1</v>
      </c>
      <c r="B219" s="41" t="str">
        <f>IFERROR(__xludf.DUMMYFUNCTION("""COMPUTED_VALUE"""),"RSC006713")</f>
        <v>RSC006713</v>
      </c>
      <c r="C219" s="41" t="str">
        <f>IFERROR(__xludf.DUMMYFUNCTION("""COMPUTED_VALUE"""),"SGE Nemesis")</f>
        <v>SGE Nemesis</v>
      </c>
      <c r="D219" s="41" t="str">
        <f>IFERROR(__xludf.DUMMYFUNCTION("""COMPUTED_VALUE"""),"Peerless Scarred")</f>
        <v>Peerless Scarred</v>
      </c>
      <c r="E219" s="41">
        <f>IFERROR(__xludf.DUMMYFUNCTION("""COMPUTED_VALUE"""),1.0)</f>
        <v>1</v>
      </c>
      <c r="F219" s="41">
        <f>IFERROR(__xludf.DUMMYFUNCTION("""COMPUTED_VALUE"""),1600.0)</f>
        <v>1600</v>
      </c>
    </row>
    <row r="220">
      <c r="A220" s="41" t="b">
        <f>IFERROR(__xludf.DUMMYFUNCTION("""COMPUTED_VALUE"""),FALSE)</f>
        <v>0</v>
      </c>
      <c r="B220" s="41" t="str">
        <f>IFERROR(__xludf.DUMMYFUNCTION("""COMPUTED_VALUE"""),"RSC005547")</f>
        <v>RSC005547</v>
      </c>
      <c r="C220" s="41" t="str">
        <f>IFERROR(__xludf.DUMMYFUNCTION("""COMPUTED_VALUE"""),"iLLuZioN420")</f>
        <v>iLLuZioN420</v>
      </c>
      <c r="D220" s="41"/>
      <c r="E220" s="41">
        <f>IFERROR(__xludf.DUMMYFUNCTION("""COMPUTED_VALUE"""),0.0)</f>
        <v>0</v>
      </c>
      <c r="F220" s="41">
        <f>IFERROR(__xludf.DUMMYFUNCTION("""COMPUTED_VALUE"""),1485.0)</f>
        <v>1485</v>
      </c>
    </row>
    <row r="221">
      <c r="A221" s="41" t="b">
        <f>IFERROR(__xludf.DUMMYFUNCTION("""COMPUTED_VALUE"""),TRUE)</f>
        <v>1</v>
      </c>
      <c r="B221" s="41" t="str">
        <f>IFERROR(__xludf.DUMMYFUNCTION("""COMPUTED_VALUE"""),"RSC006794")</f>
        <v>RSC006794</v>
      </c>
      <c r="C221" s="41" t="str">
        <f>IFERROR(__xludf.DUMMYFUNCTION("""COMPUTED_VALUE"""),"HI7MAN305")</f>
        <v>HI7MAN305</v>
      </c>
      <c r="D221" s="41" t="str">
        <f>IFERROR(__xludf.DUMMYFUNCTION("""COMPUTED_VALUE"""),"Fer-de-Lance")</f>
        <v>Fer-de-Lance</v>
      </c>
      <c r="E221" s="41">
        <f>IFERROR(__xludf.DUMMYFUNCTION("""COMPUTED_VALUE"""),2.0)</f>
        <v>2</v>
      </c>
      <c r="F221" s="41">
        <f>IFERROR(__xludf.DUMMYFUNCTION("""COMPUTED_VALUE"""),1400.0)</f>
        <v>1400</v>
      </c>
    </row>
    <row r="222">
      <c r="A222" s="41" t="b">
        <f>IFERROR(__xludf.DUMMYFUNCTION("""COMPUTED_VALUE"""),TRUE)</f>
        <v>1</v>
      </c>
      <c r="B222" s="41" t="str">
        <f>IFERROR(__xludf.DUMMYFUNCTION("""COMPUTED_VALUE"""),"RSC002730")</f>
        <v>RSC002730</v>
      </c>
      <c r="C222" s="41" t="str">
        <f>IFERROR(__xludf.DUMMYFUNCTION("""COMPUTED_VALUE"""),"Aquap")</f>
        <v>Aquap</v>
      </c>
      <c r="D222" s="41" t="str">
        <f>IFERROR(__xludf.DUMMYFUNCTION("""COMPUTED_VALUE"""),"Navigators")</f>
        <v>Navigators</v>
      </c>
      <c r="E222" s="41">
        <f>IFERROR(__xludf.DUMMYFUNCTION("""COMPUTED_VALUE"""),2.0)</f>
        <v>2</v>
      </c>
      <c r="F222" s="41">
        <f>IFERROR(__xludf.DUMMYFUNCTION("""COMPUTED_VALUE"""),1430.0)</f>
        <v>1430</v>
      </c>
    </row>
    <row r="223">
      <c r="A223" s="41" t="b">
        <f>IFERROR(__xludf.DUMMYFUNCTION("""COMPUTED_VALUE"""),TRUE)</f>
        <v>1</v>
      </c>
      <c r="B223" s="41" t="str">
        <f>IFERROR(__xludf.DUMMYFUNCTION("""COMPUTED_VALUE"""),"RSC007346")</f>
        <v>RSC007346</v>
      </c>
      <c r="C223" s="41" t="str">
        <f>IFERROR(__xludf.DUMMYFUNCTION("""COMPUTED_VALUE"""),"OhMAIdripdrip")</f>
        <v>OhMAIdripdrip</v>
      </c>
      <c r="D223" s="41" t="str">
        <f>IFERROR(__xludf.DUMMYFUNCTION("""COMPUTED_VALUE"""),"Hellhounds")</f>
        <v>Hellhounds</v>
      </c>
      <c r="E223" s="41">
        <f>IFERROR(__xludf.DUMMYFUNCTION("""COMPUTED_VALUE"""),2.0)</f>
        <v>2</v>
      </c>
      <c r="F223" s="41">
        <f>IFERROR(__xludf.DUMMYFUNCTION("""COMPUTED_VALUE"""),1595.0)</f>
        <v>1595</v>
      </c>
    </row>
    <row r="224">
      <c r="A224" s="41" t="b">
        <f>IFERROR(__xludf.DUMMYFUNCTION("""COMPUTED_VALUE"""),FALSE)</f>
        <v>0</v>
      </c>
      <c r="B224" s="41" t="str">
        <f>IFERROR(__xludf.DUMMYFUNCTION("""COMPUTED_VALUE"""),"RSC006820")</f>
        <v>RSC006820</v>
      </c>
      <c r="C224" s="41" t="str">
        <f>IFERROR(__xludf.DUMMYFUNCTION("""COMPUTED_VALUE"""),"Just Zainnox")</f>
        <v>Just Zainnox</v>
      </c>
      <c r="D224" s="41"/>
      <c r="E224" s="41">
        <f>IFERROR(__xludf.DUMMYFUNCTION("""COMPUTED_VALUE"""),0.0)</f>
        <v>0</v>
      </c>
      <c r="F224" s="41">
        <f>IFERROR(__xludf.DUMMYFUNCTION("""COMPUTED_VALUE"""),1190.0)</f>
        <v>1190</v>
      </c>
    </row>
    <row r="225">
      <c r="A225" s="41" t="b">
        <f>IFERROR(__xludf.DUMMYFUNCTION("""COMPUTED_VALUE"""),TRUE)</f>
        <v>1</v>
      </c>
      <c r="B225" s="41" t="str">
        <f>IFERROR(__xludf.DUMMYFUNCTION("""COMPUTED_VALUE"""),"RSC001927")</f>
        <v>RSC001927</v>
      </c>
      <c r="C225" s="41" t="str">
        <f>IFERROR(__xludf.DUMMYFUNCTION("""COMPUTED_VALUE"""),"Ghxst")</f>
        <v>Ghxst</v>
      </c>
      <c r="D225" s="41" t="str">
        <f>IFERROR(__xludf.DUMMYFUNCTION("""COMPUTED_VALUE"""),"Permafrost")</f>
        <v>Permafrost</v>
      </c>
      <c r="E225" s="41">
        <f>IFERROR(__xludf.DUMMYFUNCTION("""COMPUTED_VALUE"""),1.0)</f>
        <v>1</v>
      </c>
      <c r="F225" s="41">
        <f>IFERROR(__xludf.DUMMYFUNCTION("""COMPUTED_VALUE"""),1750.0)</f>
        <v>1750</v>
      </c>
    </row>
    <row r="226">
      <c r="A226" s="41" t="b">
        <f>IFERROR(__xludf.DUMMYFUNCTION("""COMPUTED_VALUE"""),FALSE)</f>
        <v>0</v>
      </c>
      <c r="B226" s="41" t="str">
        <f>IFERROR(__xludf.DUMMYFUNCTION("""COMPUTED_VALUE"""),"RSC006860")</f>
        <v>RSC006860</v>
      </c>
      <c r="C226" s="41" t="str">
        <f>IFERROR(__xludf.DUMMYFUNCTION("""COMPUTED_VALUE"""),"RyAndGav")</f>
        <v>RyAndGav</v>
      </c>
      <c r="D226" s="41"/>
      <c r="E226" s="41">
        <f>IFERROR(__xludf.DUMMYFUNCTION("""COMPUTED_VALUE"""),0.0)</f>
        <v>0</v>
      </c>
      <c r="F226" s="41">
        <f>IFERROR(__xludf.DUMMYFUNCTION("""COMPUTED_VALUE"""),1605.0)</f>
        <v>1605</v>
      </c>
    </row>
    <row r="227">
      <c r="A227" s="41" t="b">
        <f>IFERROR(__xludf.DUMMYFUNCTION("""COMPUTED_VALUE"""),TRUE)</f>
        <v>1</v>
      </c>
      <c r="B227" s="41" t="str">
        <f>IFERROR(__xludf.DUMMYFUNCTION("""COMPUTED_VALUE"""),"RSC006898")</f>
        <v>RSC006898</v>
      </c>
      <c r="C227" s="41" t="str">
        <f>IFERROR(__xludf.DUMMYFUNCTION("""COMPUTED_VALUE"""),"xihir0")</f>
        <v>xihir0</v>
      </c>
      <c r="D227" s="41"/>
      <c r="E227" s="41">
        <f>IFERROR(__xludf.DUMMYFUNCTION("""COMPUTED_VALUE"""),0.0)</f>
        <v>0</v>
      </c>
      <c r="F227" s="41">
        <f>IFERROR(__xludf.DUMMYFUNCTION("""COMPUTED_VALUE"""),1190.0)</f>
        <v>1190</v>
      </c>
    </row>
    <row r="228">
      <c r="A228" s="41" t="b">
        <f>IFERROR(__xludf.DUMMYFUNCTION("""COMPUTED_VALUE"""),TRUE)</f>
        <v>1</v>
      </c>
      <c r="B228" s="41" t="str">
        <f>IFERROR(__xludf.DUMMYFUNCTION("""COMPUTED_VALUE"""),"RSC006928")</f>
        <v>RSC006928</v>
      </c>
      <c r="C228" s="41" t="str">
        <f>IFERROR(__xludf.DUMMYFUNCTION("""COMPUTED_VALUE"""),"Thunderbolt")</f>
        <v>Thunderbolt</v>
      </c>
      <c r="D228" s="41" t="str">
        <f>IFERROR(__xludf.DUMMYFUNCTION("""COMPUTED_VALUE"""),"Asiago Arsonists")</f>
        <v>Asiago Arsonists</v>
      </c>
      <c r="E228" s="41">
        <f>IFERROR(__xludf.DUMMYFUNCTION("""COMPUTED_VALUE"""),1.0)</f>
        <v>1</v>
      </c>
      <c r="F228" s="41">
        <f>IFERROR(__xludf.DUMMYFUNCTION("""COMPUTED_VALUE"""),1310.0)</f>
        <v>1310</v>
      </c>
    </row>
    <row r="229">
      <c r="A229" s="41" t="b">
        <f>IFERROR(__xludf.DUMMYFUNCTION("""COMPUTED_VALUE"""),TRUE)</f>
        <v>1</v>
      </c>
      <c r="B229" s="41" t="str">
        <f>IFERROR(__xludf.DUMMYFUNCTION("""COMPUTED_VALUE"""),"RSC006982")</f>
        <v>RSC006982</v>
      </c>
      <c r="C229" s="41" t="str">
        <f>IFERROR(__xludf.DUMMYFUNCTION("""COMPUTED_VALUE"""),"SmithRL.")</f>
        <v>SmithRL.</v>
      </c>
      <c r="D229" s="41"/>
      <c r="E229" s="41">
        <f>IFERROR(__xludf.DUMMYFUNCTION("""COMPUTED_VALUE"""),0.0)</f>
        <v>0</v>
      </c>
      <c r="F229" s="41">
        <f>IFERROR(__xludf.DUMMYFUNCTION("""COMPUTED_VALUE"""),600.0)</f>
        <v>600</v>
      </c>
    </row>
    <row r="230">
      <c r="A230" s="41" t="b">
        <f>IFERROR(__xludf.DUMMYFUNCTION("""COMPUTED_VALUE"""),TRUE)</f>
        <v>1</v>
      </c>
      <c r="B230" s="41" t="str">
        <f>IFERROR(__xludf.DUMMYFUNCTION("""COMPUTED_VALUE"""),"RSC007331")</f>
        <v>RSC007331</v>
      </c>
      <c r="C230" s="41" t="str">
        <f>IFERROR(__xludf.DUMMYFUNCTION("""COMPUTED_VALUE"""),"Ikigai")</f>
        <v>Ikigai</v>
      </c>
      <c r="D230" s="41" t="str">
        <f>IFERROR(__xludf.DUMMYFUNCTION("""COMPUTED_VALUE"""),"Banshees")</f>
        <v>Banshees</v>
      </c>
      <c r="E230" s="41">
        <f>IFERROR(__xludf.DUMMYFUNCTION("""COMPUTED_VALUE"""),2.0)</f>
        <v>2</v>
      </c>
      <c r="F230" s="41">
        <f>IFERROR(__xludf.DUMMYFUNCTION("""COMPUTED_VALUE"""),1430.0)</f>
        <v>1430</v>
      </c>
    </row>
    <row r="231">
      <c r="A231" s="41" t="b">
        <f>IFERROR(__xludf.DUMMYFUNCTION("""COMPUTED_VALUE"""),TRUE)</f>
        <v>1</v>
      </c>
      <c r="B231" s="41" t="str">
        <f>IFERROR(__xludf.DUMMYFUNCTION("""COMPUTED_VALUE"""),"RSC006933")</f>
        <v>RSC006933</v>
      </c>
      <c r="C231" s="41" t="str">
        <f>IFERROR(__xludf.DUMMYFUNCTION("""COMPUTED_VALUE"""),"Gamma")</f>
        <v>Gamma</v>
      </c>
      <c r="D231" s="41"/>
      <c r="E231" s="41">
        <f>IFERROR(__xludf.DUMMYFUNCTION("""COMPUTED_VALUE"""),0.0)</f>
        <v>0</v>
      </c>
      <c r="F231" s="41">
        <f>IFERROR(__xludf.DUMMYFUNCTION("""COMPUTED_VALUE"""),1575.0)</f>
        <v>1575</v>
      </c>
    </row>
    <row r="232">
      <c r="A232" s="41" t="b">
        <f>IFERROR(__xludf.DUMMYFUNCTION("""COMPUTED_VALUE"""),TRUE)</f>
        <v>1</v>
      </c>
      <c r="B232" s="41" t="str">
        <f>IFERROR(__xludf.DUMMYFUNCTION("""COMPUTED_VALUE"""),"RSC006832")</f>
        <v>RSC006832</v>
      </c>
      <c r="C232" s="41" t="str">
        <f>IFERROR(__xludf.DUMMYFUNCTION("""COMPUTED_VALUE"""),"Pandaliciously")</f>
        <v>Pandaliciously</v>
      </c>
      <c r="D232" s="41" t="str">
        <f>IFERROR(__xludf.DUMMYFUNCTION("""COMPUTED_VALUE"""),"Phoenix")</f>
        <v>Phoenix</v>
      </c>
      <c r="E232" s="41">
        <f>IFERROR(__xludf.DUMMYFUNCTION("""COMPUTED_VALUE"""),1.0)</f>
        <v>1</v>
      </c>
      <c r="F232" s="41">
        <f>IFERROR(__xludf.DUMMYFUNCTION("""COMPUTED_VALUE"""),1355.0)</f>
        <v>1355</v>
      </c>
    </row>
    <row r="233">
      <c r="A233" s="41" t="b">
        <f>IFERROR(__xludf.DUMMYFUNCTION("""COMPUTED_VALUE"""),TRUE)</f>
        <v>1</v>
      </c>
      <c r="B233" s="41" t="str">
        <f>IFERROR(__xludf.DUMMYFUNCTION("""COMPUTED_VALUE"""),"RSC007431")</f>
        <v>RSC007431</v>
      </c>
      <c r="C233" s="41" t="str">
        <f>IFERROR(__xludf.DUMMYFUNCTION("""COMPUTED_VALUE"""),"xPotatodactylx")</f>
        <v>xPotatodactylx</v>
      </c>
      <c r="D233" s="41" t="str">
        <f>IFERROR(__xludf.DUMMYFUNCTION("""COMPUTED_VALUE"""),"Ryujin")</f>
        <v>Ryujin</v>
      </c>
      <c r="E233" s="41">
        <f>IFERROR(__xludf.DUMMYFUNCTION("""COMPUTED_VALUE"""),1.0)</f>
        <v>1</v>
      </c>
      <c r="F233" s="41">
        <f>IFERROR(__xludf.DUMMYFUNCTION("""COMPUTED_VALUE"""),1155.0)</f>
        <v>1155</v>
      </c>
    </row>
    <row r="234">
      <c r="A234" s="41" t="b">
        <f>IFERROR(__xludf.DUMMYFUNCTION("""COMPUTED_VALUE"""),TRUE)</f>
        <v>1</v>
      </c>
      <c r="B234" s="41" t="str">
        <f>IFERROR(__xludf.DUMMYFUNCTION("""COMPUTED_VALUE"""),"RSC002330")</f>
        <v>RSC002330</v>
      </c>
      <c r="C234" s="41" t="str">
        <f>IFERROR(__xludf.DUMMYFUNCTION("""COMPUTED_VALUE"""),"JesterGG")</f>
        <v>JesterGG</v>
      </c>
      <c r="D234" s="41" t="str">
        <f>IFERROR(__xludf.DUMMYFUNCTION("""COMPUTED_VALUE"""),"Grizzly Bears")</f>
        <v>Grizzly Bears</v>
      </c>
      <c r="E234" s="41">
        <f>IFERROR(__xludf.DUMMYFUNCTION("""COMPUTED_VALUE"""),1.0)</f>
        <v>1</v>
      </c>
      <c r="F234" s="41">
        <f>IFERROR(__xludf.DUMMYFUNCTION("""COMPUTED_VALUE"""),1430.0)</f>
        <v>1430</v>
      </c>
    </row>
    <row r="235">
      <c r="A235" s="41" t="b">
        <f>IFERROR(__xludf.DUMMYFUNCTION("""COMPUTED_VALUE"""),TRUE)</f>
        <v>1</v>
      </c>
      <c r="B235" s="41" t="str">
        <f>IFERROR(__xludf.DUMMYFUNCTION("""COMPUTED_VALUE"""),"RSC007468")</f>
        <v>RSC007468</v>
      </c>
      <c r="C235" s="41" t="str">
        <f>IFERROR(__xludf.DUMMYFUNCTION("""COMPUTED_VALUE"""),"im_link42")</f>
        <v>im_link42</v>
      </c>
      <c r="D235" s="41" t="str">
        <f>IFERROR(__xludf.DUMMYFUNCTION("""COMPUTED_VALUE"""),"Kappa")</f>
        <v>Kappa</v>
      </c>
      <c r="E235" s="41">
        <f>IFERROR(__xludf.DUMMYFUNCTION("""COMPUTED_VALUE"""),2.0)</f>
        <v>2</v>
      </c>
      <c r="F235" s="41">
        <f>IFERROR(__xludf.DUMMYFUNCTION("""COMPUTED_VALUE"""),905.0)</f>
        <v>905</v>
      </c>
    </row>
    <row r="236">
      <c r="A236" s="41" t="b">
        <f>IFERROR(__xludf.DUMMYFUNCTION("""COMPUTED_VALUE"""),FALSE)</f>
        <v>0</v>
      </c>
      <c r="B236" s="41" t="str">
        <f>IFERROR(__xludf.DUMMYFUNCTION("""COMPUTED_VALUE"""),"RSC007466")</f>
        <v>RSC007466</v>
      </c>
      <c r="C236" s="41" t="str">
        <f>IFERROR(__xludf.DUMMYFUNCTION("""COMPUTED_VALUE"""),"Viiper")</f>
        <v>Viiper</v>
      </c>
      <c r="D236" s="41"/>
      <c r="E236" s="41">
        <f>IFERROR(__xludf.DUMMYFUNCTION("""COMPUTED_VALUE"""),0.0)</f>
        <v>0</v>
      </c>
      <c r="F236" s="41">
        <f>IFERROR(__xludf.DUMMYFUNCTION("""COMPUTED_VALUE"""),1770.0)</f>
        <v>1770</v>
      </c>
    </row>
    <row r="237">
      <c r="A237" s="41" t="b">
        <f>IFERROR(__xludf.DUMMYFUNCTION("""COMPUTED_VALUE"""),TRUE)</f>
        <v>1</v>
      </c>
      <c r="B237" s="41" t="str">
        <f>IFERROR(__xludf.DUMMYFUNCTION("""COMPUTED_VALUE"""),"RSC007386")</f>
        <v>RSC007386</v>
      </c>
      <c r="C237" s="41" t="str">
        <f>IFERROR(__xludf.DUMMYFUNCTION("""COMPUTED_VALUE"""),"oddtrip")</f>
        <v>oddtrip</v>
      </c>
      <c r="D237" s="41" t="str">
        <f>IFERROR(__xludf.DUMMYFUNCTION("""COMPUTED_VALUE"""),"Despair")</f>
        <v>Despair</v>
      </c>
      <c r="E237" s="41">
        <f>IFERROR(__xludf.DUMMYFUNCTION("""COMPUTED_VALUE"""),2.0)</f>
        <v>2</v>
      </c>
      <c r="F237" s="41">
        <f>IFERROR(__xludf.DUMMYFUNCTION("""COMPUTED_VALUE"""),1580.0)</f>
        <v>1580</v>
      </c>
    </row>
    <row r="238">
      <c r="A238" s="41" t="b">
        <f>IFERROR(__xludf.DUMMYFUNCTION("""COMPUTED_VALUE"""),TRUE)</f>
        <v>1</v>
      </c>
      <c r="B238" s="41" t="str">
        <f>IFERROR(__xludf.DUMMYFUNCTION("""COMPUTED_VALUE"""),"RSC007462")</f>
        <v>RSC007462</v>
      </c>
      <c r="C238" s="41" t="str">
        <f>IFERROR(__xludf.DUMMYFUNCTION("""COMPUTED_VALUE"""),"Lil DizNick")</f>
        <v>Lil DizNick</v>
      </c>
      <c r="D238" s="41"/>
      <c r="E238" s="41">
        <f>IFERROR(__xludf.DUMMYFUNCTION("""COMPUTED_VALUE"""),0.0)</f>
        <v>0</v>
      </c>
      <c r="F238" s="41">
        <f>IFERROR(__xludf.DUMMYFUNCTION("""COMPUTED_VALUE"""),930.0)</f>
        <v>930</v>
      </c>
    </row>
    <row r="239">
      <c r="A239" s="41" t="b">
        <f>IFERROR(__xludf.DUMMYFUNCTION("""COMPUTED_VALUE"""),TRUE)</f>
        <v>1</v>
      </c>
      <c r="B239" s="41" t="str">
        <f>IFERROR(__xludf.DUMMYFUNCTION("""COMPUTED_VALUE"""),"RSC007655")</f>
        <v>RSC007655</v>
      </c>
      <c r="C239" s="41" t="str">
        <f>IFERROR(__xludf.DUMMYFUNCTION("""COMPUTED_VALUE"""),"Geo")</f>
        <v>Geo</v>
      </c>
      <c r="D239" s="41" t="str">
        <f>IFERROR(__xludf.DUMMYFUNCTION("""COMPUTED_VALUE"""),"Orochi")</f>
        <v>Orochi</v>
      </c>
      <c r="E239" s="41">
        <f>IFERROR(__xludf.DUMMYFUNCTION("""COMPUTED_VALUE"""),2.0)</f>
        <v>2</v>
      </c>
      <c r="F239" s="41">
        <f>IFERROR(__xludf.DUMMYFUNCTION("""COMPUTED_VALUE"""),1570.0)</f>
        <v>1570</v>
      </c>
    </row>
    <row r="240">
      <c r="A240" s="41" t="b">
        <f>IFERROR(__xludf.DUMMYFUNCTION("""COMPUTED_VALUE"""),TRUE)</f>
        <v>1</v>
      </c>
      <c r="B240" s="41" t="str">
        <f>IFERROR(__xludf.DUMMYFUNCTION("""COMPUTED_VALUE"""),"RSC007330")</f>
        <v>RSC007330</v>
      </c>
      <c r="C240" s="41" t="str">
        <f>IFERROR(__xludf.DUMMYFUNCTION("""COMPUTED_VALUE"""),"Spooky")</f>
        <v>Spooky</v>
      </c>
      <c r="D240" s="41" t="str">
        <f>IFERROR(__xludf.DUMMYFUNCTION("""COMPUTED_VALUE"""),"Capybaras")</f>
        <v>Capybaras</v>
      </c>
      <c r="E240" s="41">
        <f>IFERROR(__xludf.DUMMYFUNCTION("""COMPUTED_VALUE"""),1.0)</f>
        <v>1</v>
      </c>
      <c r="F240" s="41">
        <f>IFERROR(__xludf.DUMMYFUNCTION("""COMPUTED_VALUE"""),1825.0)</f>
        <v>1825</v>
      </c>
    </row>
    <row r="241">
      <c r="A241" s="41" t="b">
        <f>IFERROR(__xludf.DUMMYFUNCTION("""COMPUTED_VALUE"""),TRUE)</f>
        <v>1</v>
      </c>
      <c r="B241" s="41" t="str">
        <f>IFERROR(__xludf.DUMMYFUNCTION("""COMPUTED_VALUE"""),"RSC007093")</f>
        <v>RSC007093</v>
      </c>
      <c r="C241" s="41" t="str">
        <f>IFERROR(__xludf.DUMMYFUNCTION("""COMPUTED_VALUE"""),"Mangy")</f>
        <v>Mangy</v>
      </c>
      <c r="D241" s="41"/>
      <c r="E241" s="41">
        <f>IFERROR(__xludf.DUMMYFUNCTION("""COMPUTED_VALUE"""),0.0)</f>
        <v>0</v>
      </c>
      <c r="F241" s="41">
        <f>IFERROR(__xludf.DUMMYFUNCTION("""COMPUTED_VALUE"""),1315.0)</f>
        <v>1315</v>
      </c>
    </row>
    <row r="242">
      <c r="A242" s="41" t="b">
        <f>IFERROR(__xludf.DUMMYFUNCTION("""COMPUTED_VALUE"""),TRUE)</f>
        <v>1</v>
      </c>
      <c r="B242" s="41" t="str">
        <f>IFERROR(__xludf.DUMMYFUNCTION("""COMPUTED_VALUE"""),"RSC004698")</f>
        <v>RSC004698</v>
      </c>
      <c r="C242" s="41" t="str">
        <f>IFERROR(__xludf.DUMMYFUNCTION("""COMPUTED_VALUE"""),"Slvr.")</f>
        <v>Slvr.</v>
      </c>
      <c r="D242" s="41" t="str">
        <f>IFERROR(__xludf.DUMMYFUNCTION("""COMPUTED_VALUE"""),"Oblivion")</f>
        <v>Oblivion</v>
      </c>
      <c r="E242" s="41">
        <f>IFERROR(__xludf.DUMMYFUNCTION("""COMPUTED_VALUE"""),1.0)</f>
        <v>1</v>
      </c>
      <c r="F242" s="41">
        <f>IFERROR(__xludf.DUMMYFUNCTION("""COMPUTED_VALUE"""),1740.0)</f>
        <v>1740</v>
      </c>
    </row>
    <row r="243">
      <c r="A243" s="41" t="b">
        <f>IFERROR(__xludf.DUMMYFUNCTION("""COMPUTED_VALUE"""),TRUE)</f>
        <v>1</v>
      </c>
      <c r="B243" s="41" t="str">
        <f>IFERROR(__xludf.DUMMYFUNCTION("""COMPUTED_VALUE"""),"RSC007482")</f>
        <v>RSC007482</v>
      </c>
      <c r="C243" s="41" t="str">
        <f>IFERROR(__xludf.DUMMYFUNCTION("""COMPUTED_VALUE"""),"MyTyranosaur")</f>
        <v>MyTyranosaur</v>
      </c>
      <c r="D243" s="41" t="str">
        <f>IFERROR(__xludf.DUMMYFUNCTION("""COMPUTED_VALUE"""),"Fer-de-Lance")</f>
        <v>Fer-de-Lance</v>
      </c>
      <c r="E243" s="41">
        <f>IFERROR(__xludf.DUMMYFUNCTION("""COMPUTED_VALUE"""),2.0)</f>
        <v>2</v>
      </c>
      <c r="F243" s="41">
        <f>IFERROR(__xludf.DUMMYFUNCTION("""COMPUTED_VALUE"""),1485.0)</f>
        <v>1485</v>
      </c>
    </row>
    <row r="244">
      <c r="A244" s="41" t="b">
        <f>IFERROR(__xludf.DUMMYFUNCTION("""COMPUTED_VALUE"""),TRUE)</f>
        <v>1</v>
      </c>
      <c r="B244" s="41" t="str">
        <f>IFERROR(__xludf.DUMMYFUNCTION("""COMPUTED_VALUE"""),"RSC003830")</f>
        <v>RSC003830</v>
      </c>
      <c r="C244" s="41" t="str">
        <f>IFERROR(__xludf.DUMMYFUNCTION("""COMPUTED_VALUE"""),"bradyK-")</f>
        <v>bradyK-</v>
      </c>
      <c r="D244" s="41" t="str">
        <f>IFERROR(__xludf.DUMMYFUNCTION("""COMPUTED_VALUE"""),"Great Whites")</f>
        <v>Great Whites</v>
      </c>
      <c r="E244" s="41">
        <f>IFERROR(__xludf.DUMMYFUNCTION("""COMPUTED_VALUE"""),1.0)</f>
        <v>1</v>
      </c>
      <c r="F244" s="41">
        <f>IFERROR(__xludf.DUMMYFUNCTION("""COMPUTED_VALUE"""),1540.0)</f>
        <v>1540</v>
      </c>
    </row>
    <row r="245">
      <c r="A245" s="41" t="b">
        <f>IFERROR(__xludf.DUMMYFUNCTION("""COMPUTED_VALUE"""),TRUE)</f>
        <v>1</v>
      </c>
      <c r="B245" s="41" t="str">
        <f>IFERROR(__xludf.DUMMYFUNCTION("""COMPUTED_VALUE"""),"RSC007327")</f>
        <v>RSC007327</v>
      </c>
      <c r="C245" s="41" t="str">
        <f>IFERROR(__xludf.DUMMYFUNCTION("""COMPUTED_VALUE"""),"User-0ca0854f3f")</f>
        <v>User-0ca0854f3f</v>
      </c>
      <c r="D245" s="41"/>
      <c r="E245" s="41">
        <f>IFERROR(__xludf.DUMMYFUNCTION("""COMPUTED_VALUE"""),0.0)</f>
        <v>0</v>
      </c>
      <c r="F245" s="41">
        <f>IFERROR(__xludf.DUMMYFUNCTION("""COMPUTED_VALUE"""),1540.0)</f>
        <v>1540</v>
      </c>
    </row>
    <row r="246">
      <c r="A246" s="41" t="b">
        <f>IFERROR(__xludf.DUMMYFUNCTION("""COMPUTED_VALUE"""),FALSE)</f>
        <v>0</v>
      </c>
      <c r="B246" s="41" t="str">
        <f>IFERROR(__xludf.DUMMYFUNCTION("""COMPUTED_VALUE"""),"RSC002988")</f>
        <v>RSC002988</v>
      </c>
      <c r="C246" s="41" t="str">
        <f>IFERROR(__xludf.DUMMYFUNCTION("""COMPUTED_VALUE"""),"pwapp")</f>
        <v>pwapp</v>
      </c>
      <c r="D246" s="41"/>
      <c r="E246" s="41">
        <f>IFERROR(__xludf.DUMMYFUNCTION("""COMPUTED_VALUE"""),0.0)</f>
        <v>0</v>
      </c>
      <c r="F246" s="41">
        <f>IFERROR(__xludf.DUMMYFUNCTION("""COMPUTED_VALUE"""),1645.0)</f>
        <v>1645</v>
      </c>
    </row>
    <row r="247">
      <c r="A247" s="41" t="b">
        <f>IFERROR(__xludf.DUMMYFUNCTION("""COMPUTED_VALUE"""),TRUE)</f>
        <v>1</v>
      </c>
      <c r="B247" s="41" t="str">
        <f>IFERROR(__xludf.DUMMYFUNCTION("""COMPUTED_VALUE"""),"RSC002494")</f>
        <v>RSC002494</v>
      </c>
      <c r="C247" s="41" t="str">
        <f>IFERROR(__xludf.DUMMYFUNCTION("""COMPUTED_VALUE"""),"lone wolf")</f>
        <v>lone wolf</v>
      </c>
      <c r="D247" s="41" t="str">
        <f>IFERROR(__xludf.DUMMYFUNCTION("""COMPUTED_VALUE"""),"Hawaiian Pizza")</f>
        <v>Hawaiian Pizza</v>
      </c>
      <c r="E247" s="41">
        <f>IFERROR(__xludf.DUMMYFUNCTION("""COMPUTED_VALUE"""),2.0)</f>
        <v>2</v>
      </c>
      <c r="F247" s="41">
        <f>IFERROR(__xludf.DUMMYFUNCTION("""COMPUTED_VALUE"""),970.0)</f>
        <v>970</v>
      </c>
    </row>
    <row r="248">
      <c r="A248" s="41" t="b">
        <f>IFERROR(__xludf.DUMMYFUNCTION("""COMPUTED_VALUE"""),TRUE)</f>
        <v>1</v>
      </c>
      <c r="B248" s="41" t="str">
        <f>IFERROR(__xludf.DUMMYFUNCTION("""COMPUTED_VALUE"""),"RSC002511")</f>
        <v>RSC002511</v>
      </c>
      <c r="C248" s="41" t="str">
        <f>IFERROR(__xludf.DUMMYFUNCTION("""COMPUTED_VALUE"""),"Moist_Games")</f>
        <v>Moist_Games</v>
      </c>
      <c r="D248" s="41" t="str">
        <f>IFERROR(__xludf.DUMMYFUNCTION("""COMPUTED_VALUE"""),"Gold Hoarders")</f>
        <v>Gold Hoarders</v>
      </c>
      <c r="E248" s="41">
        <f>IFERROR(__xludf.DUMMYFUNCTION("""COMPUTED_VALUE"""),2.0)</f>
        <v>2</v>
      </c>
      <c r="F248" s="41">
        <f>IFERROR(__xludf.DUMMYFUNCTION("""COMPUTED_VALUE"""),1210.0)</f>
        <v>1210</v>
      </c>
    </row>
    <row r="249">
      <c r="A249" s="41" t="b">
        <f>IFERROR(__xludf.DUMMYFUNCTION("""COMPUTED_VALUE"""),TRUE)</f>
        <v>1</v>
      </c>
      <c r="B249" s="41" t="str">
        <f>IFERROR(__xludf.DUMMYFUNCTION("""COMPUTED_VALUE"""),"RSC001357")</f>
        <v>RSC001357</v>
      </c>
      <c r="C249" s="41" t="str">
        <f>IFERROR(__xludf.DUMMYFUNCTION("""COMPUTED_VALUE"""),"bubblebuddy47")</f>
        <v>bubblebuddy47</v>
      </c>
      <c r="D249" s="41" t="str">
        <f>IFERROR(__xludf.DUMMYFUNCTION("""COMPUTED_VALUE"""),"Permafrost")</f>
        <v>Permafrost</v>
      </c>
      <c r="E249" s="41">
        <f>IFERROR(__xludf.DUMMYFUNCTION("""COMPUTED_VALUE"""),2.0)</f>
        <v>2</v>
      </c>
      <c r="F249" s="41">
        <f>IFERROR(__xludf.DUMMYFUNCTION("""COMPUTED_VALUE"""),1720.0)</f>
        <v>1720</v>
      </c>
    </row>
    <row r="250">
      <c r="A250" s="41" t="b">
        <f>IFERROR(__xludf.DUMMYFUNCTION("""COMPUTED_VALUE"""),TRUE)</f>
        <v>1</v>
      </c>
      <c r="B250" s="41" t="str">
        <f>IFERROR(__xludf.DUMMYFUNCTION("""COMPUTED_VALUE"""),"RSC003897")</f>
        <v>RSC003897</v>
      </c>
      <c r="C250" s="41" t="str">
        <f>IFERROR(__xludf.DUMMYFUNCTION("""COMPUTED_VALUE"""),"HalfieHour")</f>
        <v>HalfieHour</v>
      </c>
      <c r="D250" s="41" t="str">
        <f>IFERROR(__xludf.DUMMYFUNCTION("""COMPUTED_VALUE"""),"Insider Traders")</f>
        <v>Insider Traders</v>
      </c>
      <c r="E250" s="41">
        <f>IFERROR(__xludf.DUMMYFUNCTION("""COMPUTED_VALUE"""),2.0)</f>
        <v>2</v>
      </c>
      <c r="F250" s="41">
        <f>IFERROR(__xludf.DUMMYFUNCTION("""COMPUTED_VALUE"""),1230.0)</f>
        <v>1230</v>
      </c>
    </row>
    <row r="251">
      <c r="A251" s="41" t="b">
        <f>IFERROR(__xludf.DUMMYFUNCTION("""COMPUTED_VALUE"""),TRUE)</f>
        <v>1</v>
      </c>
      <c r="B251" s="41" t="str">
        <f>IFERROR(__xludf.DUMMYFUNCTION("""COMPUTED_VALUE"""),"RSC004215")</f>
        <v>RSC004215</v>
      </c>
      <c r="C251" s="41" t="str">
        <f>IFERROR(__xludf.DUMMYFUNCTION("""COMPUTED_VALUE"""),"Tsheg")</f>
        <v>Tsheg</v>
      </c>
      <c r="D251" s="41" t="str">
        <f>IFERROR(__xludf.DUMMYFUNCTION("""COMPUTED_VALUE"""),"Capybaras")</f>
        <v>Capybaras</v>
      </c>
      <c r="E251" s="41">
        <f>IFERROR(__xludf.DUMMYFUNCTION("""COMPUTED_VALUE"""),2.0)</f>
        <v>2</v>
      </c>
      <c r="F251" s="41">
        <f>IFERROR(__xludf.DUMMYFUNCTION("""COMPUTED_VALUE"""),1810.0)</f>
        <v>1810</v>
      </c>
    </row>
    <row r="252">
      <c r="A252" s="41" t="b">
        <f>IFERROR(__xludf.DUMMYFUNCTION("""COMPUTED_VALUE"""),TRUE)</f>
        <v>1</v>
      </c>
      <c r="B252" s="41" t="str">
        <f>IFERROR(__xludf.DUMMYFUNCTION("""COMPUTED_VALUE"""),"RSC004498")</f>
        <v>RSC004498</v>
      </c>
      <c r="C252" s="41" t="str">
        <f>IFERROR(__xludf.DUMMYFUNCTION("""COMPUTED_VALUE"""),"S1r Duck")</f>
        <v>S1r Duck</v>
      </c>
      <c r="D252" s="41"/>
      <c r="E252" s="41">
        <f>IFERROR(__xludf.DUMMYFUNCTION("""COMPUTED_VALUE"""),0.0)</f>
        <v>0</v>
      </c>
      <c r="F252" s="41">
        <f>IFERROR(__xludf.DUMMYFUNCTION("""COMPUTED_VALUE"""),1145.0)</f>
        <v>1145</v>
      </c>
    </row>
    <row r="253">
      <c r="A253" s="41" t="b">
        <f>IFERROR(__xludf.DUMMYFUNCTION("""COMPUTED_VALUE"""),TRUE)</f>
        <v>1</v>
      </c>
      <c r="B253" s="41" t="str">
        <f>IFERROR(__xludf.DUMMYFUNCTION("""COMPUTED_VALUE"""),"RSC007856")</f>
        <v>RSC007856</v>
      </c>
      <c r="C253" s="41" t="str">
        <f>IFERROR(__xludf.DUMMYFUNCTION("""COMPUTED_VALUE"""),"Captain Daddy")</f>
        <v>Captain Daddy</v>
      </c>
      <c r="D253" s="41" t="str">
        <f>IFERROR(__xludf.DUMMYFUNCTION("""COMPUTED_VALUE"""),"Lycans")</f>
        <v>Lycans</v>
      </c>
      <c r="E253" s="41">
        <f>IFERROR(__xludf.DUMMYFUNCTION("""COMPUTED_VALUE"""),1.0)</f>
        <v>1</v>
      </c>
      <c r="F253" s="41">
        <f>IFERROR(__xludf.DUMMYFUNCTION("""COMPUTED_VALUE"""),1510.0)</f>
        <v>1510</v>
      </c>
    </row>
    <row r="254">
      <c r="A254" s="41" t="b">
        <f>IFERROR(__xludf.DUMMYFUNCTION("""COMPUTED_VALUE"""),TRUE)</f>
        <v>1</v>
      </c>
      <c r="B254" s="41" t="str">
        <f>IFERROR(__xludf.DUMMYFUNCTION("""COMPUTED_VALUE"""),"RSC007294")</f>
        <v>RSC007294</v>
      </c>
      <c r="C254" s="41" t="str">
        <f>IFERROR(__xludf.DUMMYFUNCTION("""COMPUTED_VALUE"""),"CF0UR_")</f>
        <v>CF0UR_</v>
      </c>
      <c r="D254" s="41" t="str">
        <f>IFERROR(__xludf.DUMMYFUNCTION("""COMPUTED_VALUE"""),"Dracos")</f>
        <v>Dracos</v>
      </c>
      <c r="E254" s="41">
        <f>IFERROR(__xludf.DUMMYFUNCTION("""COMPUTED_VALUE"""),1.0)</f>
        <v>1</v>
      </c>
      <c r="F254" s="41">
        <f>IFERROR(__xludf.DUMMYFUNCTION("""COMPUTED_VALUE"""),1340.0)</f>
        <v>1340</v>
      </c>
    </row>
    <row r="255">
      <c r="A255" s="41" t="b">
        <f>IFERROR(__xludf.DUMMYFUNCTION("""COMPUTED_VALUE"""),TRUE)</f>
        <v>1</v>
      </c>
      <c r="B255" s="41" t="str">
        <f>IFERROR(__xludf.DUMMYFUNCTION("""COMPUTED_VALUE"""),"RSC007581")</f>
        <v>RSC007581</v>
      </c>
      <c r="C255" s="41" t="str">
        <f>IFERROR(__xludf.DUMMYFUNCTION("""COMPUTED_VALUE"""),"Wrecklessjay02")</f>
        <v>Wrecklessjay02</v>
      </c>
      <c r="D255" s="41" t="str">
        <f>IFERROR(__xludf.DUMMYFUNCTION("""COMPUTED_VALUE"""),"Bombers")</f>
        <v>Bombers</v>
      </c>
      <c r="E255" s="41">
        <f>IFERROR(__xludf.DUMMYFUNCTION("""COMPUTED_VALUE"""),2.0)</f>
        <v>2</v>
      </c>
      <c r="F255" s="41">
        <f>IFERROR(__xludf.DUMMYFUNCTION("""COMPUTED_VALUE"""),855.0)</f>
        <v>855</v>
      </c>
    </row>
    <row r="256">
      <c r="A256" s="41" t="b">
        <f>IFERROR(__xludf.DUMMYFUNCTION("""COMPUTED_VALUE"""),TRUE)</f>
        <v>1</v>
      </c>
      <c r="B256" s="41" t="str">
        <f>IFERROR(__xludf.DUMMYFUNCTION("""COMPUTED_VALUE"""),"RSC006625")</f>
        <v>RSC006625</v>
      </c>
      <c r="C256" s="41" t="str">
        <f>IFERROR(__xludf.DUMMYFUNCTION("""COMPUTED_VALUE"""),"FrogDrivesCar")</f>
        <v>FrogDrivesCar</v>
      </c>
      <c r="D256" s="41" t="str">
        <f>IFERROR(__xludf.DUMMYFUNCTION("""COMPUTED_VALUE"""),"Mining Legion")</f>
        <v>Mining Legion</v>
      </c>
      <c r="E256" s="41">
        <f>IFERROR(__xludf.DUMMYFUNCTION("""COMPUTED_VALUE"""),2.0)</f>
        <v>2</v>
      </c>
      <c r="F256" s="41">
        <f>IFERROR(__xludf.DUMMYFUNCTION("""COMPUTED_VALUE"""),1300.0)</f>
        <v>1300</v>
      </c>
    </row>
    <row r="257">
      <c r="A257" s="41" t="b">
        <f>IFERROR(__xludf.DUMMYFUNCTION("""COMPUTED_VALUE"""),FALSE)</f>
        <v>0</v>
      </c>
      <c r="B257" s="41" t="str">
        <f>IFERROR(__xludf.DUMMYFUNCTION("""COMPUTED_VALUE"""),"RSC007288")</f>
        <v>RSC007288</v>
      </c>
      <c r="C257" s="41" t="str">
        <f>IFERROR(__xludf.DUMMYFUNCTION("""COMPUTED_VALUE"""),"vTheTankMan")</f>
        <v>vTheTankMan</v>
      </c>
      <c r="D257" s="41"/>
      <c r="E257" s="41">
        <f>IFERROR(__xludf.DUMMYFUNCTION("""COMPUTED_VALUE"""),0.0)</f>
        <v>0</v>
      </c>
      <c r="F257" s="41">
        <f>IFERROR(__xludf.DUMMYFUNCTION("""COMPUTED_VALUE"""),1575.0)</f>
        <v>1575</v>
      </c>
    </row>
    <row r="258">
      <c r="A258" s="41" t="b">
        <f>IFERROR(__xludf.DUMMYFUNCTION("""COMPUTED_VALUE"""),TRUE)</f>
        <v>1</v>
      </c>
      <c r="B258" s="41" t="str">
        <f>IFERROR(__xludf.DUMMYFUNCTION("""COMPUTED_VALUE"""),"RSC002633")</f>
        <v>RSC002633</v>
      </c>
      <c r="C258" s="41" t="str">
        <f>IFERROR(__xludf.DUMMYFUNCTION("""COMPUTED_VALUE"""),"Gaboon")</f>
        <v>Gaboon</v>
      </c>
      <c r="D258" s="41" t="str">
        <f>IFERROR(__xludf.DUMMYFUNCTION("""COMPUTED_VALUE"""),"Manticore")</f>
        <v>Manticore</v>
      </c>
      <c r="E258" s="41">
        <f>IFERROR(__xludf.DUMMYFUNCTION("""COMPUTED_VALUE"""),2.0)</f>
        <v>2</v>
      </c>
      <c r="F258" s="41">
        <f>IFERROR(__xludf.DUMMYFUNCTION("""COMPUTED_VALUE"""),1095.0)</f>
        <v>1095</v>
      </c>
    </row>
    <row r="259">
      <c r="A259" s="41" t="b">
        <f>IFERROR(__xludf.DUMMYFUNCTION("""COMPUTED_VALUE"""),TRUE)</f>
        <v>1</v>
      </c>
      <c r="B259" s="41" t="str">
        <f>IFERROR(__xludf.DUMMYFUNCTION("""COMPUTED_VALUE"""),"RSC008136")</f>
        <v>RSC008136</v>
      </c>
      <c r="C259" s="41" t="str">
        <f>IFERROR(__xludf.DUMMYFUNCTION("""COMPUTED_VALUE"""),"GeneralLeigh91")</f>
        <v>GeneralLeigh91</v>
      </c>
      <c r="D259" s="41" t="str">
        <f>IFERROR(__xludf.DUMMYFUNCTION("""COMPUTED_VALUE"""),"Chimera")</f>
        <v>Chimera</v>
      </c>
      <c r="E259" s="41">
        <f>IFERROR(__xludf.DUMMYFUNCTION("""COMPUTED_VALUE"""),2.0)</f>
        <v>2</v>
      </c>
      <c r="F259" s="41">
        <f>IFERROR(__xludf.DUMMYFUNCTION("""COMPUTED_VALUE"""),855.0)</f>
        <v>855</v>
      </c>
    </row>
    <row r="260">
      <c r="A260" s="41" t="b">
        <f>IFERROR(__xludf.DUMMYFUNCTION("""COMPUTED_VALUE"""),TRUE)</f>
        <v>1</v>
      </c>
      <c r="B260" s="41" t="str">
        <f>IFERROR(__xludf.DUMMYFUNCTION("""COMPUTED_VALUE"""),"RSC000253")</f>
        <v>RSC000253</v>
      </c>
      <c r="C260" s="41" t="str">
        <f>IFERROR(__xludf.DUMMYFUNCTION("""COMPUTED_VALUE"""),"musah")</f>
        <v>musah</v>
      </c>
      <c r="D260" s="41"/>
      <c r="E260" s="41">
        <f>IFERROR(__xludf.DUMMYFUNCTION("""COMPUTED_VALUE"""),0.0)</f>
        <v>0</v>
      </c>
      <c r="F260" s="41">
        <f>IFERROR(__xludf.DUMMYFUNCTION("""COMPUTED_VALUE"""),1110.0)</f>
        <v>1110</v>
      </c>
    </row>
    <row r="261">
      <c r="A261" s="41" t="b">
        <f>IFERROR(__xludf.DUMMYFUNCTION("""COMPUTED_VALUE"""),TRUE)</f>
        <v>1</v>
      </c>
      <c r="B261" s="41" t="str">
        <f>IFERROR(__xludf.DUMMYFUNCTION("""COMPUTED_VALUE"""),"RSC007293")</f>
        <v>RSC007293</v>
      </c>
      <c r="C261" s="41" t="str">
        <f>IFERROR(__xludf.DUMMYFUNCTION("""COMPUTED_VALUE"""),"YtExplixiit")</f>
        <v>YtExplixiit</v>
      </c>
      <c r="D261" s="41" t="str">
        <f>IFERROR(__xludf.DUMMYFUNCTION("""COMPUTED_VALUE"""),"Berserkers")</f>
        <v>Berserkers</v>
      </c>
      <c r="E261" s="41">
        <f>IFERROR(__xludf.DUMMYFUNCTION("""COMPUTED_VALUE"""),2.0)</f>
        <v>2</v>
      </c>
      <c r="F261" s="41">
        <f>IFERROR(__xludf.DUMMYFUNCTION("""COMPUTED_VALUE"""),1390.0)</f>
        <v>1390</v>
      </c>
    </row>
    <row r="262">
      <c r="A262" s="41" t="b">
        <f>IFERROR(__xludf.DUMMYFUNCTION("""COMPUTED_VALUE"""),FALSE)</f>
        <v>0</v>
      </c>
      <c r="B262" s="41" t="str">
        <f>IFERROR(__xludf.DUMMYFUNCTION("""COMPUTED_VALUE"""),"RSC002177")</f>
        <v>RSC002177</v>
      </c>
      <c r="C262" s="41" t="str">
        <f>IFERROR(__xludf.DUMMYFUNCTION("""COMPUTED_VALUE"""),"Slygo21")</f>
        <v>Slygo21</v>
      </c>
      <c r="D262" s="41"/>
      <c r="E262" s="41">
        <f>IFERROR(__xludf.DUMMYFUNCTION("""COMPUTED_VALUE"""),1.0)</f>
        <v>1</v>
      </c>
      <c r="F262" s="41">
        <f>IFERROR(__xludf.DUMMYFUNCTION("""COMPUTED_VALUE"""),1365.0)</f>
        <v>1365</v>
      </c>
    </row>
    <row r="263">
      <c r="A263" s="41" t="b">
        <f>IFERROR(__xludf.DUMMYFUNCTION("""COMPUTED_VALUE"""),TRUE)</f>
        <v>1</v>
      </c>
      <c r="B263" s="41" t="str">
        <f>IFERROR(__xludf.DUMMYFUNCTION("""COMPUTED_VALUE"""),"RSC005314")</f>
        <v>RSC005314</v>
      </c>
      <c r="C263" s="41" t="str">
        <f>IFERROR(__xludf.DUMMYFUNCTION("""COMPUTED_VALUE"""),"daggumbigfeet")</f>
        <v>daggumbigfeet</v>
      </c>
      <c r="D263" s="41" t="str">
        <f>IFERROR(__xludf.DUMMYFUNCTION("""COMPUTED_VALUE"""),"Mosaic Maestros")</f>
        <v>Mosaic Maestros</v>
      </c>
      <c r="E263" s="41">
        <f>IFERROR(__xludf.DUMMYFUNCTION("""COMPUTED_VALUE"""),2.0)</f>
        <v>2</v>
      </c>
      <c r="F263" s="41">
        <f>IFERROR(__xludf.DUMMYFUNCTION("""COMPUTED_VALUE"""),1385.0)</f>
        <v>1385</v>
      </c>
    </row>
    <row r="264">
      <c r="A264" s="41" t="b">
        <f>IFERROR(__xludf.DUMMYFUNCTION("""COMPUTED_VALUE"""),TRUE)</f>
        <v>1</v>
      </c>
      <c r="B264" s="41" t="str">
        <f>IFERROR(__xludf.DUMMYFUNCTION("""COMPUTED_VALUE"""),"RSC005899")</f>
        <v>RSC005899</v>
      </c>
      <c r="C264" s="41" t="str">
        <f>IFERROR(__xludf.DUMMYFUNCTION("""COMPUTED_VALUE"""),"DJDancingDuckGif")</f>
        <v>DJDancingDuckGif</v>
      </c>
      <c r="D264" s="41" t="str">
        <f>IFERROR(__xludf.DUMMYFUNCTION("""COMPUTED_VALUE"""),"Kawaii")</f>
        <v>Kawaii</v>
      </c>
      <c r="E264" s="41">
        <f>IFERROR(__xludf.DUMMYFUNCTION("""COMPUTED_VALUE"""),2.0)</f>
        <v>2</v>
      </c>
      <c r="F264" s="41">
        <f>IFERROR(__xludf.DUMMYFUNCTION("""COMPUTED_VALUE"""),1700.0)</f>
        <v>1700</v>
      </c>
    </row>
    <row r="265">
      <c r="A265" s="41" t="b">
        <f>IFERROR(__xludf.DUMMYFUNCTION("""COMPUTED_VALUE"""),TRUE)</f>
        <v>1</v>
      </c>
      <c r="B265" s="41" t="str">
        <f>IFERROR(__xludf.DUMMYFUNCTION("""COMPUTED_VALUE"""),"RSC005523")</f>
        <v>RSC005523</v>
      </c>
      <c r="C265" s="41" t="str">
        <f>IFERROR(__xludf.DUMMYFUNCTION("""COMPUTED_VALUE"""),"Laguna")</f>
        <v>Laguna</v>
      </c>
      <c r="D265" s="41" t="str">
        <f>IFERROR(__xludf.DUMMYFUNCTION("""COMPUTED_VALUE"""),"Hippos")</f>
        <v>Hippos</v>
      </c>
      <c r="E265" s="41">
        <f>IFERROR(__xludf.DUMMYFUNCTION("""COMPUTED_VALUE"""),2.0)</f>
        <v>2</v>
      </c>
      <c r="F265" s="41">
        <f>IFERROR(__xludf.DUMMYFUNCTION("""COMPUTED_VALUE"""),1330.0)</f>
        <v>1330</v>
      </c>
    </row>
    <row r="266">
      <c r="A266" s="41" t="b">
        <f>IFERROR(__xludf.DUMMYFUNCTION("""COMPUTED_VALUE"""),TRUE)</f>
        <v>1</v>
      </c>
      <c r="B266" s="41" t="str">
        <f>IFERROR(__xludf.DUMMYFUNCTION("""COMPUTED_VALUE"""),"RSC000330")</f>
        <v>RSC000330</v>
      </c>
      <c r="C266" s="41" t="str">
        <f>IFERROR(__xludf.DUMMYFUNCTION("""COMPUTED_VALUE"""),"Infinite")</f>
        <v>Infinite</v>
      </c>
      <c r="D266" s="41" t="str">
        <f>IFERROR(__xludf.DUMMYFUNCTION("""COMPUTED_VALUE"""),"Oblivion")</f>
        <v>Oblivion</v>
      </c>
      <c r="E266" s="41">
        <f>IFERROR(__xludf.DUMMYFUNCTION("""COMPUTED_VALUE"""),1.0)</f>
        <v>1</v>
      </c>
      <c r="F266" s="41">
        <f>IFERROR(__xludf.DUMMYFUNCTION("""COMPUTED_VALUE"""),1760.0)</f>
        <v>1760</v>
      </c>
    </row>
    <row r="267">
      <c r="A267" s="41" t="b">
        <f>IFERROR(__xludf.DUMMYFUNCTION("""COMPUTED_VALUE"""),TRUE)</f>
        <v>1</v>
      </c>
      <c r="B267" s="41" t="str">
        <f>IFERROR(__xludf.DUMMYFUNCTION("""COMPUTED_VALUE"""),"RSC007904")</f>
        <v>RSC007904</v>
      </c>
      <c r="C267" s="41" t="str">
        <f>IFERROR(__xludf.DUMMYFUNCTION("""COMPUTED_VALUE"""),"branthedan")</f>
        <v>branthedan</v>
      </c>
      <c r="D267" s="41" t="str">
        <f>IFERROR(__xludf.DUMMYFUNCTION("""COMPUTED_VALUE"""),"Purrgatory")</f>
        <v>Purrgatory</v>
      </c>
      <c r="E267" s="41">
        <f>IFERROR(__xludf.DUMMYFUNCTION("""COMPUTED_VALUE"""),1.0)</f>
        <v>1</v>
      </c>
      <c r="F267" s="41">
        <f>IFERROR(__xludf.DUMMYFUNCTION("""COMPUTED_VALUE"""),1335.0)</f>
        <v>1335</v>
      </c>
    </row>
    <row r="268">
      <c r="A268" s="41" t="b">
        <f>IFERROR(__xludf.DUMMYFUNCTION("""COMPUTED_VALUE"""),TRUE)</f>
        <v>1</v>
      </c>
      <c r="B268" s="41" t="str">
        <f>IFERROR(__xludf.DUMMYFUNCTION("""COMPUTED_VALUE"""),"RSC005024")</f>
        <v>RSC005024</v>
      </c>
      <c r="C268" s="41" t="str">
        <f>IFERROR(__xludf.DUMMYFUNCTION("""COMPUTED_VALUE"""),"SSpekky")</f>
        <v>SSpekky</v>
      </c>
      <c r="D268" s="41" t="str">
        <f>IFERROR(__xludf.DUMMYFUNCTION("""COMPUTED_VALUE"""),"Reapers")</f>
        <v>Reapers</v>
      </c>
      <c r="E268" s="41">
        <f>IFERROR(__xludf.DUMMYFUNCTION("""COMPUTED_VALUE"""),2.0)</f>
        <v>2</v>
      </c>
      <c r="F268" s="41">
        <f>IFERROR(__xludf.DUMMYFUNCTION("""COMPUTED_VALUE"""),1695.0)</f>
        <v>1695</v>
      </c>
    </row>
    <row r="269">
      <c r="A269" s="41" t="b">
        <f>IFERROR(__xludf.DUMMYFUNCTION("""COMPUTED_VALUE"""),TRUE)</f>
        <v>1</v>
      </c>
      <c r="B269" s="41" t="str">
        <f>IFERROR(__xludf.DUMMYFUNCTION("""COMPUTED_VALUE"""),"RSC007256")</f>
        <v>RSC007256</v>
      </c>
      <c r="C269" s="41" t="str">
        <f>IFERROR(__xludf.DUMMYFUNCTION("""COMPUTED_VALUE"""),"Destined Odst666")</f>
        <v>Destined Odst666</v>
      </c>
      <c r="D269" s="41" t="str">
        <f>IFERROR(__xludf.DUMMYFUNCTION("""COMPUTED_VALUE"""),"Lacuna")</f>
        <v>Lacuna</v>
      </c>
      <c r="E269" s="41">
        <f>IFERROR(__xludf.DUMMYFUNCTION("""COMPUTED_VALUE"""),2.0)</f>
        <v>2</v>
      </c>
      <c r="F269" s="41">
        <f>IFERROR(__xludf.DUMMYFUNCTION("""COMPUTED_VALUE"""),1360.0)</f>
        <v>1360</v>
      </c>
    </row>
    <row r="270">
      <c r="A270" s="41" t="b">
        <f>IFERROR(__xludf.DUMMYFUNCTION("""COMPUTED_VALUE"""),TRUE)</f>
        <v>1</v>
      </c>
      <c r="B270" s="41" t="str">
        <f>IFERROR(__xludf.DUMMYFUNCTION("""COMPUTED_VALUE"""),"RSC000626")</f>
        <v>RSC000626</v>
      </c>
      <c r="C270" s="41" t="str">
        <f>IFERROR(__xludf.DUMMYFUNCTION("""COMPUTED_VALUE"""),"Canadian Things")</f>
        <v>Canadian Things</v>
      </c>
      <c r="D270" s="41"/>
      <c r="E270" s="41">
        <f>IFERROR(__xludf.DUMMYFUNCTION("""COMPUTED_VALUE"""),0.0)</f>
        <v>0</v>
      </c>
      <c r="F270" s="41">
        <f>IFERROR(__xludf.DUMMYFUNCTION("""COMPUTED_VALUE"""),1620.0)</f>
        <v>1620</v>
      </c>
    </row>
    <row r="271">
      <c r="A271" s="41" t="b">
        <f>IFERROR(__xludf.DUMMYFUNCTION("""COMPUTED_VALUE"""),FALSE)</f>
        <v>0</v>
      </c>
      <c r="B271" s="41" t="str">
        <f>IFERROR(__xludf.DUMMYFUNCTION("""COMPUTED_VALUE"""),"RSC007291")</f>
        <v>RSC007291</v>
      </c>
      <c r="C271" s="41" t="str">
        <f>IFERROR(__xludf.DUMMYFUNCTION("""COMPUTED_VALUE"""),"brdtrd999")</f>
        <v>brdtrd999</v>
      </c>
      <c r="D271" s="41"/>
      <c r="E271" s="41">
        <f>IFERROR(__xludf.DUMMYFUNCTION("""COMPUTED_VALUE"""),0.0)</f>
        <v>0</v>
      </c>
      <c r="F271" s="41">
        <f>IFERROR(__xludf.DUMMYFUNCTION("""COMPUTED_VALUE"""),1095.0)</f>
        <v>1095</v>
      </c>
    </row>
    <row r="272">
      <c r="A272" s="41" t="b">
        <f>IFERROR(__xludf.DUMMYFUNCTION("""COMPUTED_VALUE"""),TRUE)</f>
        <v>1</v>
      </c>
      <c r="B272" s="41" t="str">
        <f>IFERROR(__xludf.DUMMYFUNCTION("""COMPUTED_VALUE"""),"RSC007178")</f>
        <v>RSC007178</v>
      </c>
      <c r="C272" s="41" t="str">
        <f>IFERROR(__xludf.DUMMYFUNCTION("""COMPUTED_VALUE"""),"littygriddy65")</f>
        <v>littygriddy65</v>
      </c>
      <c r="D272" s="41" t="str">
        <f>IFERROR(__xludf.DUMMYFUNCTION("""COMPUTED_VALUE"""),"Blitzars")</f>
        <v>Blitzars</v>
      </c>
      <c r="E272" s="41">
        <f>IFERROR(__xludf.DUMMYFUNCTION("""COMPUTED_VALUE"""),2.0)</f>
        <v>2</v>
      </c>
      <c r="F272" s="41">
        <f>IFERROR(__xludf.DUMMYFUNCTION("""COMPUTED_VALUE"""),1150.0)</f>
        <v>1150</v>
      </c>
    </row>
    <row r="273">
      <c r="A273" s="41" t="b">
        <f>IFERROR(__xludf.DUMMYFUNCTION("""COMPUTED_VALUE"""),TRUE)</f>
        <v>1</v>
      </c>
      <c r="B273" s="41" t="str">
        <f>IFERROR(__xludf.DUMMYFUNCTION("""COMPUTED_VALUE"""),"RSC003109")</f>
        <v>RSC003109</v>
      </c>
      <c r="C273" s="41" t="str">
        <f>IFERROR(__xludf.DUMMYFUNCTION("""COMPUTED_VALUE"""),"Kflip11")</f>
        <v>Kflip11</v>
      </c>
      <c r="D273" s="41" t="str">
        <f>IFERROR(__xludf.DUMMYFUNCTION("""COMPUTED_VALUE"""),"Stingrays")</f>
        <v>Stingrays</v>
      </c>
      <c r="E273" s="41">
        <f>IFERROR(__xludf.DUMMYFUNCTION("""COMPUTED_VALUE"""),1.0)</f>
        <v>1</v>
      </c>
      <c r="F273" s="41">
        <f>IFERROR(__xludf.DUMMYFUNCTION("""COMPUTED_VALUE"""),1165.0)</f>
        <v>1165</v>
      </c>
    </row>
    <row r="274">
      <c r="A274" s="41" t="b">
        <f>IFERROR(__xludf.DUMMYFUNCTION("""COMPUTED_VALUE"""),TRUE)</f>
        <v>1</v>
      </c>
      <c r="B274" s="41" t="str">
        <f>IFERROR(__xludf.DUMMYFUNCTION("""COMPUTED_VALUE"""),"RSC004569")</f>
        <v>RSC004569</v>
      </c>
      <c r="C274" s="41" t="str">
        <f>IFERROR(__xludf.DUMMYFUNCTION("""COMPUTED_VALUE"""),"Mikee GFuelcom")</f>
        <v>Mikee GFuelcom</v>
      </c>
      <c r="D274" s="41"/>
      <c r="E274" s="41">
        <f>IFERROR(__xludf.DUMMYFUNCTION("""COMPUTED_VALUE"""),0.0)</f>
        <v>0</v>
      </c>
      <c r="F274" s="41">
        <f>IFERROR(__xludf.DUMMYFUNCTION("""COMPUTED_VALUE"""),1355.0)</f>
        <v>1355</v>
      </c>
    </row>
    <row r="275">
      <c r="A275" s="41" t="b">
        <f>IFERROR(__xludf.DUMMYFUNCTION("""COMPUTED_VALUE"""),TRUE)</f>
        <v>1</v>
      </c>
      <c r="B275" s="41" t="str">
        <f>IFERROR(__xludf.DUMMYFUNCTION("""COMPUTED_VALUE"""),"RSC007297")</f>
        <v>RSC007297</v>
      </c>
      <c r="C275" s="41" t="str">
        <f>IFERROR(__xludf.DUMMYFUNCTION("""COMPUTED_VALUE"""),"St-_-Marc")</f>
        <v>St-_-Marc</v>
      </c>
      <c r="D275" s="41" t="str">
        <f>IFERROR(__xludf.DUMMYFUNCTION("""COMPUTED_VALUE"""),"Warthogs")</f>
        <v>Warthogs</v>
      </c>
      <c r="E275" s="41">
        <f>IFERROR(__xludf.DUMMYFUNCTION("""COMPUTED_VALUE"""),2.0)</f>
        <v>2</v>
      </c>
      <c r="F275" s="41">
        <f>IFERROR(__xludf.DUMMYFUNCTION("""COMPUTED_VALUE"""),1225.0)</f>
        <v>1225</v>
      </c>
    </row>
    <row r="276">
      <c r="A276" s="41" t="b">
        <f>IFERROR(__xludf.DUMMYFUNCTION("""COMPUTED_VALUE"""),TRUE)</f>
        <v>1</v>
      </c>
      <c r="B276" s="41" t="str">
        <f>IFERROR(__xludf.DUMMYFUNCTION("""COMPUTED_VALUE"""),"RSC007460")</f>
        <v>RSC007460</v>
      </c>
      <c r="C276" s="41" t="str">
        <f>IFERROR(__xludf.DUMMYFUNCTION("""COMPUTED_VALUE"""),"mogiiuh")</f>
        <v>mogiiuh</v>
      </c>
      <c r="D276" s="41"/>
      <c r="E276" s="41">
        <f>IFERROR(__xludf.DUMMYFUNCTION("""COMPUTED_VALUE"""),0.0)</f>
        <v>0</v>
      </c>
      <c r="F276" s="41">
        <f>IFERROR(__xludf.DUMMYFUNCTION("""COMPUTED_VALUE"""),1970.0)</f>
        <v>1970</v>
      </c>
    </row>
    <row r="277">
      <c r="A277" s="41" t="b">
        <f>IFERROR(__xludf.DUMMYFUNCTION("""COMPUTED_VALUE"""),TRUE)</f>
        <v>1</v>
      </c>
      <c r="B277" s="41" t="str">
        <f>IFERROR(__xludf.DUMMYFUNCTION("""COMPUTED_VALUE"""),"RSC007936")</f>
        <v>RSC007936</v>
      </c>
      <c r="C277" s="41" t="str">
        <f>IFERROR(__xludf.DUMMYFUNCTION("""COMPUTED_VALUE"""),"Crazics")</f>
        <v>Crazics</v>
      </c>
      <c r="D277" s="41" t="str">
        <f>IFERROR(__xludf.DUMMYFUNCTION("""COMPUTED_VALUE"""),"Cotija Cartel")</f>
        <v>Cotija Cartel</v>
      </c>
      <c r="E277" s="41">
        <f>IFERROR(__xludf.DUMMYFUNCTION("""COMPUTED_VALUE"""),2.0)</f>
        <v>2</v>
      </c>
      <c r="F277" s="41">
        <f>IFERROR(__xludf.DUMMYFUNCTION("""COMPUTED_VALUE"""),1570.0)</f>
        <v>1570</v>
      </c>
    </row>
    <row r="278">
      <c r="A278" s="41" t="b">
        <f>IFERROR(__xludf.DUMMYFUNCTION("""COMPUTED_VALUE"""),FALSE)</f>
        <v>0</v>
      </c>
      <c r="B278" s="41" t="str">
        <f>IFERROR(__xludf.DUMMYFUNCTION("""COMPUTED_VALUE"""),"RSC007388")</f>
        <v>RSC007388</v>
      </c>
      <c r="C278" s="41" t="str">
        <f>IFERROR(__xludf.DUMMYFUNCTION("""COMPUTED_VALUE"""),"Skyy o_o")</f>
        <v>Skyy o_o</v>
      </c>
      <c r="D278" s="41"/>
      <c r="E278" s="41">
        <f>IFERROR(__xludf.DUMMYFUNCTION("""COMPUTED_VALUE"""),0.0)</f>
        <v>0</v>
      </c>
      <c r="F278" s="41">
        <f>IFERROR(__xludf.DUMMYFUNCTION("""COMPUTED_VALUE"""),600.0)</f>
        <v>600</v>
      </c>
    </row>
    <row r="279">
      <c r="A279" s="41" t="b">
        <f>IFERROR(__xludf.DUMMYFUNCTION("""COMPUTED_VALUE"""),TRUE)</f>
        <v>1</v>
      </c>
      <c r="B279" s="41" t="str">
        <f>IFERROR(__xludf.DUMMYFUNCTION("""COMPUTED_VALUE"""),"RSC000232")</f>
        <v>RSC000232</v>
      </c>
      <c r="C279" s="41" t="str">
        <f>IFERROR(__xludf.DUMMYFUNCTION("""COMPUTED_VALUE"""),"Unexpected")</f>
        <v>Unexpected</v>
      </c>
      <c r="D279" s="41"/>
      <c r="E279" s="41">
        <f>IFERROR(__xludf.DUMMYFUNCTION("""COMPUTED_VALUE"""),1.0)</f>
        <v>1</v>
      </c>
      <c r="F279" s="41">
        <f>IFERROR(__xludf.DUMMYFUNCTION("""COMPUTED_VALUE"""),1705.0)</f>
        <v>1705</v>
      </c>
    </row>
    <row r="280">
      <c r="A280" s="41" t="b">
        <f>IFERROR(__xludf.DUMMYFUNCTION("""COMPUTED_VALUE"""),TRUE)</f>
        <v>1</v>
      </c>
      <c r="B280" s="41" t="str">
        <f>IFERROR(__xludf.DUMMYFUNCTION("""COMPUTED_VALUE"""),"RSC000183")</f>
        <v>RSC000183</v>
      </c>
      <c r="C280" s="41" t="str">
        <f>IFERROR(__xludf.DUMMYFUNCTION("""COMPUTED_VALUE"""),"Rex")</f>
        <v>Rex</v>
      </c>
      <c r="D280" s="41" t="str">
        <f>IFERROR(__xludf.DUMMYFUNCTION("""COMPUTED_VALUE"""),"Demons")</f>
        <v>Demons</v>
      </c>
      <c r="E280" s="41">
        <f>IFERROR(__xludf.DUMMYFUNCTION("""COMPUTED_VALUE"""),2.0)</f>
        <v>2</v>
      </c>
      <c r="F280" s="41">
        <f>IFERROR(__xludf.DUMMYFUNCTION("""COMPUTED_VALUE"""),1525.0)</f>
        <v>1525</v>
      </c>
    </row>
    <row r="281">
      <c r="A281" s="41" t="b">
        <f>IFERROR(__xludf.DUMMYFUNCTION("""COMPUTED_VALUE"""),TRUE)</f>
        <v>1</v>
      </c>
      <c r="B281" s="41" t="str">
        <f>IFERROR(__xludf.DUMMYFUNCTION("""COMPUTED_VALUE"""),"RSC000344")</f>
        <v>RSC000344</v>
      </c>
      <c r="C281" s="41" t="str">
        <f>IFERROR(__xludf.DUMMYFUNCTION("""COMPUTED_VALUE"""),"Mezmer")</f>
        <v>Mezmer</v>
      </c>
      <c r="D281" s="41" t="str">
        <f>IFERROR(__xludf.DUMMYFUNCTION("""COMPUTED_VALUE"""),"Menthol")</f>
        <v>Menthol</v>
      </c>
      <c r="E281" s="41">
        <f>IFERROR(__xludf.DUMMYFUNCTION("""COMPUTED_VALUE"""),2.0)</f>
        <v>2</v>
      </c>
      <c r="F281" s="41">
        <f>IFERROR(__xludf.DUMMYFUNCTION("""COMPUTED_VALUE"""),1555.0)</f>
        <v>1555</v>
      </c>
    </row>
    <row r="282">
      <c r="A282" s="41" t="b">
        <f>IFERROR(__xludf.DUMMYFUNCTION("""COMPUTED_VALUE"""),TRUE)</f>
        <v>1</v>
      </c>
      <c r="B282" s="41" t="str">
        <f>IFERROR(__xludf.DUMMYFUNCTION("""COMPUTED_VALUE"""),"RSC000374")</f>
        <v>RSC000374</v>
      </c>
      <c r="C282" s="41" t="str">
        <f>IFERROR(__xludf.DUMMYFUNCTION("""COMPUTED_VALUE"""),"Pletheros")</f>
        <v>Pletheros</v>
      </c>
      <c r="D282" s="41"/>
      <c r="E282" s="41">
        <f>IFERROR(__xludf.DUMMYFUNCTION("""COMPUTED_VALUE"""),0.0)</f>
        <v>0</v>
      </c>
      <c r="F282" s="41">
        <f>IFERROR(__xludf.DUMMYFUNCTION("""COMPUTED_VALUE"""),1685.0)</f>
        <v>1685</v>
      </c>
    </row>
    <row r="283">
      <c r="A283" s="41" t="b">
        <f>IFERROR(__xludf.DUMMYFUNCTION("""COMPUTED_VALUE"""),TRUE)</f>
        <v>1</v>
      </c>
      <c r="B283" s="41" t="str">
        <f>IFERROR(__xludf.DUMMYFUNCTION("""COMPUTED_VALUE"""),"RSC000426")</f>
        <v>RSC000426</v>
      </c>
      <c r="C283" s="41" t="str">
        <f>IFERROR(__xludf.DUMMYFUNCTION("""COMPUTED_VALUE"""),"struttrl")</f>
        <v>struttrl</v>
      </c>
      <c r="D283" s="41" t="str">
        <f>IFERROR(__xludf.DUMMYFUNCTION("""COMPUTED_VALUE"""),"Warthogs")</f>
        <v>Warthogs</v>
      </c>
      <c r="E283" s="41">
        <f>IFERROR(__xludf.DUMMYFUNCTION("""COMPUTED_VALUE"""),2.0)</f>
        <v>2</v>
      </c>
      <c r="F283" s="41">
        <f>IFERROR(__xludf.DUMMYFUNCTION("""COMPUTED_VALUE"""),1150.0)</f>
        <v>1150</v>
      </c>
    </row>
    <row r="284">
      <c r="A284" s="41" t="b">
        <f>IFERROR(__xludf.DUMMYFUNCTION("""COMPUTED_VALUE"""),FALSE)</f>
        <v>0</v>
      </c>
      <c r="B284" s="41" t="str">
        <f>IFERROR(__xludf.DUMMYFUNCTION("""COMPUTED_VALUE"""),"RSC000200")</f>
        <v>RSC000200</v>
      </c>
      <c r="C284" s="41" t="str">
        <f>IFERROR(__xludf.DUMMYFUNCTION("""COMPUTED_VALUE"""),"Jonezy")</f>
        <v>Jonezy</v>
      </c>
      <c r="D284" s="41"/>
      <c r="E284" s="41">
        <f>IFERROR(__xludf.DUMMYFUNCTION("""COMPUTED_VALUE"""),2.0)</f>
        <v>2</v>
      </c>
      <c r="F284" s="41">
        <f>IFERROR(__xludf.DUMMYFUNCTION("""COMPUTED_VALUE"""),1470.0)</f>
        <v>1470</v>
      </c>
    </row>
    <row r="285">
      <c r="A285" s="41" t="b">
        <f>IFERROR(__xludf.DUMMYFUNCTION("""COMPUTED_VALUE"""),TRUE)</f>
        <v>1</v>
      </c>
      <c r="B285" s="41" t="str">
        <f>IFERROR(__xludf.DUMMYFUNCTION("""COMPUTED_VALUE"""),"RSC000347")</f>
        <v>RSC000347</v>
      </c>
      <c r="C285" s="41" t="str">
        <f>IFERROR(__xludf.DUMMYFUNCTION("""COMPUTED_VALUE"""),"Chris.")</f>
        <v>Chris.</v>
      </c>
      <c r="D285" s="41" t="str">
        <f>IFERROR(__xludf.DUMMYFUNCTION("""COMPUTED_VALUE"""),"Mining Legion")</f>
        <v>Mining Legion</v>
      </c>
      <c r="E285" s="41">
        <f>IFERROR(__xludf.DUMMYFUNCTION("""COMPUTED_VALUE"""),2.0)</f>
        <v>2</v>
      </c>
      <c r="F285" s="41">
        <f>IFERROR(__xludf.DUMMYFUNCTION("""COMPUTED_VALUE"""),1265.0)</f>
        <v>1265</v>
      </c>
    </row>
    <row r="286">
      <c r="A286" s="41" t="b">
        <f>IFERROR(__xludf.DUMMYFUNCTION("""COMPUTED_VALUE"""),TRUE)</f>
        <v>1</v>
      </c>
      <c r="B286" s="41" t="str">
        <f>IFERROR(__xludf.DUMMYFUNCTION("""COMPUTED_VALUE"""),"RSC000021")</f>
        <v>RSC000021</v>
      </c>
      <c r="C286" s="41" t="str">
        <f>IFERROR(__xludf.DUMMYFUNCTION("""COMPUTED_VALUE"""),"TyTy")</f>
        <v>TyTy</v>
      </c>
      <c r="D286" s="41" t="str">
        <f>IFERROR(__xludf.DUMMYFUNCTION("""COMPUTED_VALUE"""),"Commanders")</f>
        <v>Commanders</v>
      </c>
      <c r="E286" s="41">
        <f>IFERROR(__xludf.DUMMYFUNCTION("""COMPUTED_VALUE"""),2.0)</f>
        <v>2</v>
      </c>
      <c r="F286" s="41">
        <f>IFERROR(__xludf.DUMMYFUNCTION("""COMPUTED_VALUE"""),1620.0)</f>
        <v>1620</v>
      </c>
    </row>
    <row r="287">
      <c r="A287" s="41" t="b">
        <f>IFERROR(__xludf.DUMMYFUNCTION("""COMPUTED_VALUE"""),TRUE)</f>
        <v>1</v>
      </c>
      <c r="B287" s="41" t="str">
        <f>IFERROR(__xludf.DUMMYFUNCTION("""COMPUTED_VALUE"""),"RSC000156")</f>
        <v>RSC000156</v>
      </c>
      <c r="C287" s="41" t="str">
        <f>IFERROR(__xludf.DUMMYFUNCTION("""COMPUTED_VALUE"""),"Drupenson")</f>
        <v>Drupenson</v>
      </c>
      <c r="D287" s="41" t="str">
        <f>IFERROR(__xludf.DUMMYFUNCTION("""COMPUTED_VALUE"""),"Hue Heroes")</f>
        <v>Hue Heroes</v>
      </c>
      <c r="E287" s="41">
        <f>IFERROR(__xludf.DUMMYFUNCTION("""COMPUTED_VALUE"""),1.0)</f>
        <v>1</v>
      </c>
      <c r="F287" s="41">
        <f>IFERROR(__xludf.DUMMYFUNCTION("""COMPUTED_VALUE"""),1340.0)</f>
        <v>1340</v>
      </c>
    </row>
    <row r="288">
      <c r="A288" s="41" t="b">
        <f>IFERROR(__xludf.DUMMYFUNCTION("""COMPUTED_VALUE"""),TRUE)</f>
        <v>1</v>
      </c>
      <c r="B288" s="41" t="str">
        <f>IFERROR(__xludf.DUMMYFUNCTION("""COMPUTED_VALUE"""),"RSC000331")</f>
        <v>RSC000331</v>
      </c>
      <c r="C288" s="41" t="str">
        <f>IFERROR(__xludf.DUMMYFUNCTION("""COMPUTED_VALUE"""),"Turtle_Supreme")</f>
        <v>Turtle_Supreme</v>
      </c>
      <c r="D288" s="41" t="str">
        <f>IFERROR(__xludf.DUMMYFUNCTION("""COMPUTED_VALUE"""),"Gaboons")</f>
        <v>Gaboons</v>
      </c>
      <c r="E288" s="41">
        <f>IFERROR(__xludf.DUMMYFUNCTION("""COMPUTED_VALUE"""),2.0)</f>
        <v>2</v>
      </c>
      <c r="F288" s="41">
        <f>IFERROR(__xludf.DUMMYFUNCTION("""COMPUTED_VALUE"""),1315.0)</f>
        <v>1315</v>
      </c>
    </row>
    <row r="289">
      <c r="A289" s="41" t="b">
        <f>IFERROR(__xludf.DUMMYFUNCTION("""COMPUTED_VALUE"""),TRUE)</f>
        <v>1</v>
      </c>
      <c r="B289" s="41" t="str">
        <f>IFERROR(__xludf.DUMMYFUNCTION("""COMPUTED_VALUE"""),"RSC000291")</f>
        <v>RSC000291</v>
      </c>
      <c r="C289" s="41" t="str">
        <f>IFERROR(__xludf.DUMMYFUNCTION("""COMPUTED_VALUE"""),"Suckiest Sucker")</f>
        <v>Suckiest Sucker</v>
      </c>
      <c r="D289" s="41"/>
      <c r="E289" s="41">
        <f>IFERROR(__xludf.DUMMYFUNCTION("""COMPUTED_VALUE"""),2.0)</f>
        <v>2</v>
      </c>
      <c r="F289" s="41">
        <f>IFERROR(__xludf.DUMMYFUNCTION("""COMPUTED_VALUE"""),1290.0)</f>
        <v>1290</v>
      </c>
    </row>
    <row r="290">
      <c r="A290" s="41" t="b">
        <f>IFERROR(__xludf.DUMMYFUNCTION("""COMPUTED_VALUE"""),TRUE)</f>
        <v>1</v>
      </c>
      <c r="B290" s="41" t="str">
        <f>IFERROR(__xludf.DUMMYFUNCTION("""COMPUTED_VALUE"""),"RSC007222")</f>
        <v>RSC007222</v>
      </c>
      <c r="C290" s="41" t="str">
        <f>IFERROR(__xludf.DUMMYFUNCTION("""COMPUTED_VALUE"""),"S3EZ")</f>
        <v>S3EZ</v>
      </c>
      <c r="D290" s="41" t="str">
        <f>IFERROR(__xludf.DUMMYFUNCTION("""COMPUTED_VALUE"""),"Hue Heroes")</f>
        <v>Hue Heroes</v>
      </c>
      <c r="E290" s="41">
        <f>IFERROR(__xludf.DUMMYFUNCTION("""COMPUTED_VALUE"""),2.0)</f>
        <v>2</v>
      </c>
      <c r="F290" s="41">
        <f>IFERROR(__xludf.DUMMYFUNCTION("""COMPUTED_VALUE"""),1260.0)</f>
        <v>1260</v>
      </c>
    </row>
    <row r="291">
      <c r="A291" s="41" t="b">
        <f>IFERROR(__xludf.DUMMYFUNCTION("""COMPUTED_VALUE"""),TRUE)</f>
        <v>1</v>
      </c>
      <c r="B291" s="41" t="str">
        <f>IFERROR(__xludf.DUMMYFUNCTION("""COMPUTED_VALUE"""),"RSC000357")</f>
        <v>RSC000357</v>
      </c>
      <c r="C291" s="41" t="str">
        <f>IFERROR(__xludf.DUMMYFUNCTION("""COMPUTED_VALUE"""),"Primed")</f>
        <v>Primed</v>
      </c>
      <c r="D291" s="41" t="str">
        <f>IFERROR(__xludf.DUMMYFUNCTION("""COMPUTED_VALUE"""),"Decuriones")</f>
        <v>Decuriones</v>
      </c>
      <c r="E291" s="41">
        <f>IFERROR(__xludf.DUMMYFUNCTION("""COMPUTED_VALUE"""),2.0)</f>
        <v>2</v>
      </c>
      <c r="F291" s="41">
        <f>IFERROR(__xludf.DUMMYFUNCTION("""COMPUTED_VALUE"""),1105.0)</f>
        <v>1105</v>
      </c>
    </row>
    <row r="292">
      <c r="A292" s="41" t="b">
        <f>IFERROR(__xludf.DUMMYFUNCTION("""COMPUTED_VALUE"""),TRUE)</f>
        <v>1</v>
      </c>
      <c r="B292" s="41" t="str">
        <f>IFERROR(__xludf.DUMMYFUNCTION("""COMPUTED_VALUE"""),"RSC000009")</f>
        <v>RSC000009</v>
      </c>
      <c r="C292" s="41" t="str">
        <f>IFERROR(__xludf.DUMMYFUNCTION("""COMPUTED_VALUE"""),"Timbo")</f>
        <v>Timbo</v>
      </c>
      <c r="D292" s="41" t="str">
        <f>IFERROR(__xludf.DUMMYFUNCTION("""COMPUTED_VALUE"""),"Menthol")</f>
        <v>Menthol</v>
      </c>
      <c r="E292" s="41">
        <f>IFERROR(__xludf.DUMMYFUNCTION("""COMPUTED_VALUE"""),1.0)</f>
        <v>1</v>
      </c>
      <c r="F292" s="41">
        <f>IFERROR(__xludf.DUMMYFUNCTION("""COMPUTED_VALUE"""),1655.0)</f>
        <v>1655</v>
      </c>
    </row>
    <row r="293">
      <c r="A293" s="41" t="b">
        <f>IFERROR(__xludf.DUMMYFUNCTION("""COMPUTED_VALUE"""),TRUE)</f>
        <v>1</v>
      </c>
      <c r="B293" s="41" t="str">
        <f>IFERROR(__xludf.DUMMYFUNCTION("""COMPUTED_VALUE"""),"RSC000016")</f>
        <v>RSC000016</v>
      </c>
      <c r="C293" s="41" t="str">
        <f>IFERROR(__xludf.DUMMYFUNCTION("""COMPUTED_VALUE"""),"Beans")</f>
        <v>Beans</v>
      </c>
      <c r="D293" s="41" t="str">
        <f>IFERROR(__xludf.DUMMYFUNCTION("""COMPUTED_VALUE"""),"Embezzlers")</f>
        <v>Embezzlers</v>
      </c>
      <c r="E293" s="41">
        <f>IFERROR(__xludf.DUMMYFUNCTION("""COMPUTED_VALUE"""),2.0)</f>
        <v>2</v>
      </c>
      <c r="F293" s="41">
        <f>IFERROR(__xludf.DUMMYFUNCTION("""COMPUTED_VALUE"""),1580.0)</f>
        <v>1580</v>
      </c>
    </row>
    <row r="294">
      <c r="A294" s="41" t="b">
        <f>IFERROR(__xludf.DUMMYFUNCTION("""COMPUTED_VALUE"""),TRUE)</f>
        <v>1</v>
      </c>
      <c r="B294" s="41" t="str">
        <f>IFERROR(__xludf.DUMMYFUNCTION("""COMPUTED_VALUE"""),"RSC000367")</f>
        <v>RSC000367</v>
      </c>
      <c r="C294" s="41" t="str">
        <f>IFERROR(__xludf.DUMMYFUNCTION("""COMPUTED_VALUE"""),"Pana")</f>
        <v>Pana</v>
      </c>
      <c r="D294" s="41" t="str">
        <f>IFERROR(__xludf.DUMMYFUNCTION("""COMPUTED_VALUE"""),"Scramjets")</f>
        <v>Scramjets</v>
      </c>
      <c r="E294" s="41">
        <f>IFERROR(__xludf.DUMMYFUNCTION("""COMPUTED_VALUE"""),2.0)</f>
        <v>2</v>
      </c>
      <c r="F294" s="41">
        <f>IFERROR(__xludf.DUMMYFUNCTION("""COMPUTED_VALUE"""),1380.0)</f>
        <v>1380</v>
      </c>
    </row>
    <row r="295">
      <c r="A295" s="41" t="b">
        <f>IFERROR(__xludf.DUMMYFUNCTION("""COMPUTED_VALUE"""),TRUE)</f>
        <v>1</v>
      </c>
      <c r="B295" s="41" t="str">
        <f>IFERROR(__xludf.DUMMYFUNCTION("""COMPUTED_VALUE"""),"RSC000053")</f>
        <v>RSC000053</v>
      </c>
      <c r="C295" s="41" t="str">
        <f>IFERROR(__xludf.DUMMYFUNCTION("""COMPUTED_VALUE"""),"its_lost")</f>
        <v>its_lost</v>
      </c>
      <c r="D295" s="41" t="str">
        <f>IFERROR(__xludf.DUMMYFUNCTION("""COMPUTED_VALUE"""),"Meat Lovers")</f>
        <v>Meat Lovers</v>
      </c>
      <c r="E295" s="41">
        <f>IFERROR(__xludf.DUMMYFUNCTION("""COMPUTED_VALUE"""),2.0)</f>
        <v>2</v>
      </c>
      <c r="F295" s="41">
        <f>IFERROR(__xludf.DUMMYFUNCTION("""COMPUTED_VALUE"""),1185.0)</f>
        <v>1185</v>
      </c>
    </row>
    <row r="296">
      <c r="A296" s="41" t="b">
        <f>IFERROR(__xludf.DUMMYFUNCTION("""COMPUTED_VALUE"""),TRUE)</f>
        <v>1</v>
      </c>
      <c r="B296" s="41" t="str">
        <f>IFERROR(__xludf.DUMMYFUNCTION("""COMPUTED_VALUE"""),"RSC000025")</f>
        <v>RSC000025</v>
      </c>
      <c r="C296" s="41" t="str">
        <f>IFERROR(__xludf.DUMMYFUNCTION("""COMPUTED_VALUE"""),"Slayerof666")</f>
        <v>Slayerof666</v>
      </c>
      <c r="D296" s="41" t="str">
        <f>IFERROR(__xludf.DUMMYFUNCTION("""COMPUTED_VALUE"""),"Purrgatory")</f>
        <v>Purrgatory</v>
      </c>
      <c r="E296" s="41">
        <f>IFERROR(__xludf.DUMMYFUNCTION("""COMPUTED_VALUE"""),2.0)</f>
        <v>2</v>
      </c>
      <c r="F296" s="41">
        <f>IFERROR(__xludf.DUMMYFUNCTION("""COMPUTED_VALUE"""),1260.0)</f>
        <v>1260</v>
      </c>
    </row>
    <row r="297">
      <c r="A297" s="41" t="b">
        <f>IFERROR(__xludf.DUMMYFUNCTION("""COMPUTED_VALUE"""),TRUE)</f>
        <v>1</v>
      </c>
      <c r="B297" s="41" t="str">
        <f>IFERROR(__xludf.DUMMYFUNCTION("""COMPUTED_VALUE"""),"RSC000136")</f>
        <v>RSC000136</v>
      </c>
      <c r="C297" s="41" t="str">
        <f>IFERROR(__xludf.DUMMYFUNCTION("""COMPUTED_VALUE"""),"Blun")</f>
        <v>Blun</v>
      </c>
      <c r="D297" s="41" t="str">
        <f>IFERROR(__xludf.DUMMYFUNCTION("""COMPUTED_VALUE"""),"Hue Heroes")</f>
        <v>Hue Heroes</v>
      </c>
      <c r="E297" s="41">
        <f>IFERROR(__xludf.DUMMYFUNCTION("""COMPUTED_VALUE"""),1.0)</f>
        <v>1</v>
      </c>
      <c r="F297" s="41">
        <f>IFERROR(__xludf.DUMMYFUNCTION("""COMPUTED_VALUE"""),1320.0)</f>
        <v>1320</v>
      </c>
    </row>
    <row r="298">
      <c r="A298" s="41" t="b">
        <f>IFERROR(__xludf.DUMMYFUNCTION("""COMPUTED_VALUE"""),FALSE)</f>
        <v>0</v>
      </c>
      <c r="B298" s="41" t="str">
        <f>IFERROR(__xludf.DUMMYFUNCTION("""COMPUTED_VALUE"""),"RSC000363")</f>
        <v>RSC000363</v>
      </c>
      <c r="C298" s="41" t="str">
        <f>IFERROR(__xludf.DUMMYFUNCTION("""COMPUTED_VALUE"""),"relax")</f>
        <v>relax</v>
      </c>
      <c r="D298" s="41"/>
      <c r="E298" s="41">
        <f>IFERROR(__xludf.DUMMYFUNCTION("""COMPUTED_VALUE"""),0.0)</f>
        <v>0</v>
      </c>
      <c r="F298" s="41">
        <f>IFERROR(__xludf.DUMMYFUNCTION("""COMPUTED_VALUE"""),1615.0)</f>
        <v>1615</v>
      </c>
    </row>
    <row r="299">
      <c r="A299" s="41" t="b">
        <f>IFERROR(__xludf.DUMMYFUNCTION("""COMPUTED_VALUE"""),TRUE)</f>
        <v>1</v>
      </c>
      <c r="B299" s="41" t="str">
        <f>IFERROR(__xludf.DUMMYFUNCTION("""COMPUTED_VALUE"""),"RSC000851")</f>
        <v>RSC000851</v>
      </c>
      <c r="C299" s="41" t="str">
        <f>IFERROR(__xludf.DUMMYFUNCTION("""COMPUTED_VALUE"""),"JoeZ")</f>
        <v>JoeZ</v>
      </c>
      <c r="D299" s="41" t="str">
        <f>IFERROR(__xludf.DUMMYFUNCTION("""COMPUTED_VALUE"""),"Street Rats")</f>
        <v>Street Rats</v>
      </c>
      <c r="E299" s="41">
        <f>IFERROR(__xludf.DUMMYFUNCTION("""COMPUTED_VALUE"""),2.0)</f>
        <v>2</v>
      </c>
      <c r="F299" s="41">
        <f>IFERROR(__xludf.DUMMYFUNCTION("""COMPUTED_VALUE"""),1400.0)</f>
        <v>1400</v>
      </c>
    </row>
    <row r="300">
      <c r="A300" s="41" t="b">
        <f>IFERROR(__xludf.DUMMYFUNCTION("""COMPUTED_VALUE"""),TRUE)</f>
        <v>1</v>
      </c>
      <c r="B300" s="41" t="str">
        <f>IFERROR(__xludf.DUMMYFUNCTION("""COMPUTED_VALUE"""),"RSC000828")</f>
        <v>RSC000828</v>
      </c>
      <c r="C300" s="41" t="str">
        <f>IFERROR(__xludf.DUMMYFUNCTION("""COMPUTED_VALUE"""),"MattViaAirwaves")</f>
        <v>MattViaAirwaves</v>
      </c>
      <c r="D300" s="41" t="str">
        <f>IFERROR(__xludf.DUMMYFUNCTION("""COMPUTED_VALUE"""),"Polar Ice")</f>
        <v>Polar Ice</v>
      </c>
      <c r="E300" s="41">
        <f>IFERROR(__xludf.DUMMYFUNCTION("""COMPUTED_VALUE"""),1.0)</f>
        <v>1</v>
      </c>
      <c r="F300" s="41">
        <f>IFERROR(__xludf.DUMMYFUNCTION("""COMPUTED_VALUE"""),1365.0)</f>
        <v>1365</v>
      </c>
    </row>
    <row r="301">
      <c r="A301" s="41" t="b">
        <f>IFERROR(__xludf.DUMMYFUNCTION("""COMPUTED_VALUE"""),TRUE)</f>
        <v>1</v>
      </c>
      <c r="B301" s="41" t="str">
        <f>IFERROR(__xludf.DUMMYFUNCTION("""COMPUTED_VALUE"""),"RSC001893")</f>
        <v>RSC001893</v>
      </c>
      <c r="C301" s="41" t="str">
        <f>IFERROR(__xludf.DUMMYFUNCTION("""COMPUTED_VALUE"""),"cjax")</f>
        <v>cjax</v>
      </c>
      <c r="D301" s="41" t="str">
        <f>IFERROR(__xludf.DUMMYFUNCTION("""COMPUTED_VALUE"""),"Samurai")</f>
        <v>Samurai</v>
      </c>
      <c r="E301" s="41">
        <f>IFERROR(__xludf.DUMMYFUNCTION("""COMPUTED_VALUE"""),2.0)</f>
        <v>2</v>
      </c>
      <c r="F301" s="41">
        <f>IFERROR(__xludf.DUMMYFUNCTION("""COMPUTED_VALUE"""),1325.0)</f>
        <v>1325</v>
      </c>
    </row>
    <row r="302">
      <c r="A302" s="41" t="b">
        <f>IFERROR(__xludf.DUMMYFUNCTION("""COMPUTED_VALUE"""),TRUE)</f>
        <v>1</v>
      </c>
      <c r="B302" s="41" t="str">
        <f>IFERROR(__xludf.DUMMYFUNCTION("""COMPUTED_VALUE"""),"RSC000714")</f>
        <v>RSC000714</v>
      </c>
      <c r="C302" s="41" t="str">
        <f>IFERROR(__xludf.DUMMYFUNCTION("""COMPUTED_VALUE"""),"duffy")</f>
        <v>duffy</v>
      </c>
      <c r="D302" s="41" t="str">
        <f>IFERROR(__xludf.DUMMYFUNCTION("""COMPUTED_VALUE"""),"Kawaii")</f>
        <v>Kawaii</v>
      </c>
      <c r="E302" s="41">
        <f>IFERROR(__xludf.DUMMYFUNCTION("""COMPUTED_VALUE"""),1.0)</f>
        <v>1</v>
      </c>
      <c r="F302" s="41">
        <f>IFERROR(__xludf.DUMMYFUNCTION("""COMPUTED_VALUE"""),1710.0)</f>
        <v>1710</v>
      </c>
    </row>
    <row r="303">
      <c r="A303" s="41" t="b">
        <f>IFERROR(__xludf.DUMMYFUNCTION("""COMPUTED_VALUE"""),TRUE)</f>
        <v>1</v>
      </c>
      <c r="B303" s="41" t="str">
        <f>IFERROR(__xludf.DUMMYFUNCTION("""COMPUTED_VALUE"""),"RSC001724")</f>
        <v>RSC001724</v>
      </c>
      <c r="C303" s="41" t="str">
        <f>IFERROR(__xludf.DUMMYFUNCTION("""COMPUTED_VALUE"""),"sweetnlow120")</f>
        <v>sweetnlow120</v>
      </c>
      <c r="D303" s="41"/>
      <c r="E303" s="41">
        <f>IFERROR(__xludf.DUMMYFUNCTION("""COMPUTED_VALUE"""),0.0)</f>
        <v>0</v>
      </c>
      <c r="F303" s="41">
        <f>IFERROR(__xludf.DUMMYFUNCTION("""COMPUTED_VALUE"""),1285.0)</f>
        <v>1285</v>
      </c>
    </row>
    <row r="304">
      <c r="A304" s="41" t="b">
        <f>IFERROR(__xludf.DUMMYFUNCTION("""COMPUTED_VALUE"""),TRUE)</f>
        <v>1</v>
      </c>
      <c r="B304" s="41" t="str">
        <f>IFERROR(__xludf.DUMMYFUNCTION("""COMPUTED_VALUE"""),"RSC000724")</f>
        <v>RSC000724</v>
      </c>
      <c r="C304" s="41" t="str">
        <f>IFERROR(__xludf.DUMMYFUNCTION("""COMPUTED_VALUE"""),"dunnie14")</f>
        <v>dunnie14</v>
      </c>
      <c r="D304" s="41" t="str">
        <f>IFERROR(__xludf.DUMMYFUNCTION("""COMPUTED_VALUE"""),"Folks")</f>
        <v>Folks</v>
      </c>
      <c r="E304" s="41">
        <f>IFERROR(__xludf.DUMMYFUNCTION("""COMPUTED_VALUE"""),2.0)</f>
        <v>2</v>
      </c>
      <c r="F304" s="41">
        <f>IFERROR(__xludf.DUMMYFUNCTION("""COMPUTED_VALUE"""),1445.0)</f>
        <v>1445</v>
      </c>
    </row>
    <row r="305">
      <c r="A305" s="41" t="b">
        <f>IFERROR(__xludf.DUMMYFUNCTION("""COMPUTED_VALUE"""),TRUE)</f>
        <v>1</v>
      </c>
      <c r="B305" s="41" t="str">
        <f>IFERROR(__xludf.DUMMYFUNCTION("""COMPUTED_VALUE"""),"RSC000774")</f>
        <v>RSC000774</v>
      </c>
      <c r="C305" s="41" t="str">
        <f>IFERROR(__xludf.DUMMYFUNCTION("""COMPUTED_VALUE"""),"Earth")</f>
        <v>Earth</v>
      </c>
      <c r="D305" s="41" t="str">
        <f>IFERROR(__xludf.DUMMYFUNCTION("""COMPUTED_VALUE"""),"Merciless Mob")</f>
        <v>Merciless Mob</v>
      </c>
      <c r="E305" s="41">
        <f>IFERROR(__xludf.DUMMYFUNCTION("""COMPUTED_VALUE"""),2.0)</f>
        <v>2</v>
      </c>
      <c r="F305" s="41">
        <f>IFERROR(__xludf.DUMMYFUNCTION("""COMPUTED_VALUE"""),1500.0)</f>
        <v>1500</v>
      </c>
    </row>
    <row r="306">
      <c r="A306" s="41" t="b">
        <f>IFERROR(__xludf.DUMMYFUNCTION("""COMPUTED_VALUE"""),TRUE)</f>
        <v>1</v>
      </c>
      <c r="B306" s="41" t="str">
        <f>IFERROR(__xludf.DUMMYFUNCTION("""COMPUTED_VALUE"""),"RSC000618")</f>
        <v>RSC000618</v>
      </c>
      <c r="C306" s="41" t="str">
        <f>IFERROR(__xludf.DUMMYFUNCTION("""COMPUTED_VALUE"""),"Taelo")</f>
        <v>Taelo</v>
      </c>
      <c r="D306" s="41" t="str">
        <f>IFERROR(__xludf.DUMMYFUNCTION("""COMPUTED_VALUE"""),"Super Clusters")</f>
        <v>Super Clusters</v>
      </c>
      <c r="E306" s="41">
        <f>IFERROR(__xludf.DUMMYFUNCTION("""COMPUTED_VALUE"""),2.0)</f>
        <v>2</v>
      </c>
      <c r="F306" s="41">
        <f>IFERROR(__xludf.DUMMYFUNCTION("""COMPUTED_VALUE"""),1845.0)</f>
        <v>1845</v>
      </c>
    </row>
    <row r="307">
      <c r="A307" s="41" t="b">
        <f>IFERROR(__xludf.DUMMYFUNCTION("""COMPUTED_VALUE"""),TRUE)</f>
        <v>1</v>
      </c>
      <c r="B307" s="41" t="str">
        <f>IFERROR(__xludf.DUMMYFUNCTION("""COMPUTED_VALUE"""),"RSC001889")</f>
        <v>RSC001889</v>
      </c>
      <c r="C307" s="41" t="str">
        <f>IFERROR(__xludf.DUMMYFUNCTION("""COMPUTED_VALUE"""),"Phelpsy")</f>
        <v>Phelpsy</v>
      </c>
      <c r="D307" s="41" t="str">
        <f>IFERROR(__xludf.DUMMYFUNCTION("""COMPUTED_VALUE"""),"Teddy Bears")</f>
        <v>Teddy Bears</v>
      </c>
      <c r="E307" s="41">
        <f>IFERROR(__xludf.DUMMYFUNCTION("""COMPUTED_VALUE"""),1.0)</f>
        <v>1</v>
      </c>
      <c r="F307" s="41">
        <f>IFERROR(__xludf.DUMMYFUNCTION("""COMPUTED_VALUE"""),1590.0)</f>
        <v>1590</v>
      </c>
    </row>
    <row r="308">
      <c r="A308" s="41" t="b">
        <f>IFERROR(__xludf.DUMMYFUNCTION("""COMPUTED_VALUE"""),TRUE)</f>
        <v>1</v>
      </c>
      <c r="B308" s="41" t="str">
        <f>IFERROR(__xludf.DUMMYFUNCTION("""COMPUTED_VALUE"""),"RSC001820")</f>
        <v>RSC001820</v>
      </c>
      <c r="C308" s="41" t="str">
        <f>IFERROR(__xludf.DUMMYFUNCTION("""COMPUTED_VALUE"""),"YourEvilTwin")</f>
        <v>YourEvilTwin</v>
      </c>
      <c r="D308" s="41" t="str">
        <f>IFERROR(__xludf.DUMMYFUNCTION("""COMPUTED_VALUE"""),"Spearmint")</f>
        <v>Spearmint</v>
      </c>
      <c r="E308" s="41">
        <f>IFERROR(__xludf.DUMMYFUNCTION("""COMPUTED_VALUE"""),1.0)</f>
        <v>1</v>
      </c>
      <c r="F308" s="41">
        <f>IFERROR(__xludf.DUMMYFUNCTION("""COMPUTED_VALUE"""),1080.0)</f>
        <v>1080</v>
      </c>
    </row>
    <row r="309">
      <c r="A309" s="41" t="b">
        <f>IFERROR(__xludf.DUMMYFUNCTION("""COMPUTED_VALUE"""),TRUE)</f>
        <v>1</v>
      </c>
      <c r="B309" s="41" t="str">
        <f>IFERROR(__xludf.DUMMYFUNCTION("""COMPUTED_VALUE"""),"RSC000796")</f>
        <v>RSC000796</v>
      </c>
      <c r="C309" s="41" t="str">
        <f>IFERROR(__xludf.DUMMYFUNCTION("""COMPUTED_VALUE"""),"hoyci")</f>
        <v>hoyci</v>
      </c>
      <c r="D309" s="41" t="str">
        <f>IFERROR(__xludf.DUMMYFUNCTION("""COMPUTED_VALUE"""),"Nightfall")</f>
        <v>Nightfall</v>
      </c>
      <c r="E309" s="41">
        <f>IFERROR(__xludf.DUMMYFUNCTION("""COMPUTED_VALUE"""),2.0)</f>
        <v>2</v>
      </c>
      <c r="F309" s="41">
        <f>IFERROR(__xludf.DUMMYFUNCTION("""COMPUTED_VALUE"""),1295.0)</f>
        <v>1295</v>
      </c>
    </row>
    <row r="310">
      <c r="A310" s="41" t="b">
        <f>IFERROR(__xludf.DUMMYFUNCTION("""COMPUTED_VALUE"""),TRUE)</f>
        <v>1</v>
      </c>
      <c r="B310" s="41" t="str">
        <f>IFERROR(__xludf.DUMMYFUNCTION("""COMPUTED_VALUE"""),"RSC000767")</f>
        <v>RSC000767</v>
      </c>
      <c r="C310" s="41" t="str">
        <f>IFERROR(__xludf.DUMMYFUNCTION("""COMPUTED_VALUE"""),"Tragic")</f>
        <v>Tragic</v>
      </c>
      <c r="D310" s="41" t="str">
        <f>IFERROR(__xludf.DUMMYFUNCTION("""COMPUTED_VALUE"""),"Cotija Cartel")</f>
        <v>Cotija Cartel</v>
      </c>
      <c r="E310" s="41">
        <f>IFERROR(__xludf.DUMMYFUNCTION("""COMPUTED_VALUE"""),1.0)</f>
        <v>1</v>
      </c>
      <c r="F310" s="41">
        <f>IFERROR(__xludf.DUMMYFUNCTION("""COMPUTED_VALUE"""),1580.0)</f>
        <v>1580</v>
      </c>
    </row>
    <row r="311">
      <c r="A311" s="41" t="b">
        <f>IFERROR(__xludf.DUMMYFUNCTION("""COMPUTED_VALUE"""),TRUE)</f>
        <v>1</v>
      </c>
      <c r="B311" s="41" t="str">
        <f>IFERROR(__xludf.DUMMYFUNCTION("""COMPUTED_VALUE"""),"RSC000666")</f>
        <v>RSC000666</v>
      </c>
      <c r="C311" s="41" t="str">
        <f>IFERROR(__xludf.DUMMYFUNCTION("""COMPUTED_VALUE"""),"AEB311")</f>
        <v>AEB311</v>
      </c>
      <c r="D311" s="41" t="str">
        <f>IFERROR(__xludf.DUMMYFUNCTION("""COMPUTED_VALUE"""),"Despair")</f>
        <v>Despair</v>
      </c>
      <c r="E311" s="41">
        <f>IFERROR(__xludf.DUMMYFUNCTION("""COMPUTED_VALUE"""),2.0)</f>
        <v>2</v>
      </c>
      <c r="F311" s="41">
        <f>IFERROR(__xludf.DUMMYFUNCTION("""COMPUTED_VALUE"""),1645.0)</f>
        <v>1645</v>
      </c>
    </row>
    <row r="312">
      <c r="A312" s="41" t="b">
        <f>IFERROR(__xludf.DUMMYFUNCTION("""COMPUTED_VALUE"""),TRUE)</f>
        <v>1</v>
      </c>
      <c r="B312" s="41" t="str">
        <f>IFERROR(__xludf.DUMMYFUNCTION("""COMPUTED_VALUE"""),"RSC000579")</f>
        <v>RSC000579</v>
      </c>
      <c r="C312" s="41" t="str">
        <f>IFERROR(__xludf.DUMMYFUNCTION("""COMPUTED_VALUE"""),"Cryptt.")</f>
        <v>Cryptt.</v>
      </c>
      <c r="D312" s="41" t="str">
        <f>IFERROR(__xludf.DUMMYFUNCTION("""COMPUTED_VALUE"""),"Capybaras")</f>
        <v>Capybaras</v>
      </c>
      <c r="E312" s="41">
        <f>IFERROR(__xludf.DUMMYFUNCTION("""COMPUTED_VALUE"""),2.0)</f>
        <v>2</v>
      </c>
      <c r="F312" s="41">
        <f>IFERROR(__xludf.DUMMYFUNCTION("""COMPUTED_VALUE"""),1800.0)</f>
        <v>1800</v>
      </c>
    </row>
    <row r="313">
      <c r="A313" s="41" t="b">
        <f>IFERROR(__xludf.DUMMYFUNCTION("""COMPUTED_VALUE"""),TRUE)</f>
        <v>1</v>
      </c>
      <c r="B313" s="41" t="str">
        <f>IFERROR(__xludf.DUMMYFUNCTION("""COMPUTED_VALUE"""),"RSC000963")</f>
        <v>RSC000963</v>
      </c>
      <c r="C313" s="41" t="str">
        <f>IFERROR(__xludf.DUMMYFUNCTION("""COMPUTED_VALUE"""),"Sup3rm4n")</f>
        <v>Sup3rm4n</v>
      </c>
      <c r="D313" s="41" t="str">
        <f>IFERROR(__xludf.DUMMYFUNCTION("""COMPUTED_VALUE"""),"Bombers")</f>
        <v>Bombers</v>
      </c>
      <c r="E313" s="41">
        <f>IFERROR(__xludf.DUMMYFUNCTION("""COMPUTED_VALUE"""),2.0)</f>
        <v>2</v>
      </c>
      <c r="F313" s="41">
        <f>IFERROR(__xludf.DUMMYFUNCTION("""COMPUTED_VALUE"""),945.0)</f>
        <v>945</v>
      </c>
    </row>
    <row r="314">
      <c r="A314" s="41" t="b">
        <f>IFERROR(__xludf.DUMMYFUNCTION("""COMPUTED_VALUE"""),TRUE)</f>
        <v>1</v>
      </c>
      <c r="B314" s="41" t="str">
        <f>IFERROR(__xludf.DUMMYFUNCTION("""COMPUTED_VALUE"""),"RSC000926")</f>
        <v>RSC000926</v>
      </c>
      <c r="C314" s="41" t="str">
        <f>IFERROR(__xludf.DUMMYFUNCTION("""COMPUTED_VALUE"""),"SlmRnchr")</f>
        <v>SlmRnchr</v>
      </c>
      <c r="D314" s="41" t="str">
        <f>IFERROR(__xludf.DUMMYFUNCTION("""COMPUTED_VALUE"""),"Banshees")</f>
        <v>Banshees</v>
      </c>
      <c r="E314" s="41">
        <f>IFERROR(__xludf.DUMMYFUNCTION("""COMPUTED_VALUE"""),2.0)</f>
        <v>2</v>
      </c>
      <c r="F314" s="41">
        <f>IFERROR(__xludf.DUMMYFUNCTION("""COMPUTED_VALUE"""),1420.0)</f>
        <v>1420</v>
      </c>
    </row>
    <row r="315">
      <c r="A315" s="41" t="b">
        <f>IFERROR(__xludf.DUMMYFUNCTION("""COMPUTED_VALUE"""),TRUE)</f>
        <v>1</v>
      </c>
      <c r="B315" s="41" t="str">
        <f>IFERROR(__xludf.DUMMYFUNCTION("""COMPUTED_VALUE"""),"RSC000623")</f>
        <v>RSC000623</v>
      </c>
      <c r="C315" s="41" t="str">
        <f>IFERROR(__xludf.DUMMYFUNCTION("""COMPUTED_VALUE"""),"wall2wall3")</f>
        <v>wall2wall3</v>
      </c>
      <c r="D315" s="41" t="str">
        <f>IFERROR(__xludf.DUMMYFUNCTION("""COMPUTED_VALUE"""),"Great Whites")</f>
        <v>Great Whites</v>
      </c>
      <c r="E315" s="41">
        <f>IFERROR(__xludf.DUMMYFUNCTION("""COMPUTED_VALUE"""),2.0)</f>
        <v>2</v>
      </c>
      <c r="F315" s="41">
        <f>IFERROR(__xludf.DUMMYFUNCTION("""COMPUTED_VALUE"""),1585.0)</f>
        <v>1585</v>
      </c>
    </row>
    <row r="316">
      <c r="A316" s="41" t="b">
        <f>IFERROR(__xludf.DUMMYFUNCTION("""COMPUTED_VALUE"""),TRUE)</f>
        <v>1</v>
      </c>
      <c r="B316" s="41" t="str">
        <f>IFERROR(__xludf.DUMMYFUNCTION("""COMPUTED_VALUE"""),"RSC001977")</f>
        <v>RSC001977</v>
      </c>
      <c r="C316" s="41" t="str">
        <f>IFERROR(__xludf.DUMMYFUNCTION("""COMPUTED_VALUE"""),"T.")</f>
        <v>T.</v>
      </c>
      <c r="D316" s="41" t="str">
        <f>IFERROR(__xludf.DUMMYFUNCTION("""COMPUTED_VALUE"""),"Feta Forgers")</f>
        <v>Feta Forgers</v>
      </c>
      <c r="E316" s="41">
        <f>IFERROR(__xludf.DUMMYFUNCTION("""COMPUTED_VALUE"""),2.0)</f>
        <v>2</v>
      </c>
      <c r="F316" s="41">
        <f>IFERROR(__xludf.DUMMYFUNCTION("""COMPUTED_VALUE"""),1860.0)</f>
        <v>1860</v>
      </c>
    </row>
    <row r="317">
      <c r="A317" s="41" t="b">
        <f>IFERROR(__xludf.DUMMYFUNCTION("""COMPUTED_VALUE"""),TRUE)</f>
        <v>1</v>
      </c>
      <c r="B317" s="41" t="str">
        <f>IFERROR(__xludf.DUMMYFUNCTION("""COMPUTED_VALUE"""),"RSC000739")</f>
        <v>RSC000739</v>
      </c>
      <c r="C317" s="41" t="str">
        <f>IFERROR(__xludf.DUMMYFUNCTION("""COMPUTED_VALUE"""),"Salty")</f>
        <v>Salty</v>
      </c>
      <c r="D317" s="41" t="str">
        <f>IFERROR(__xludf.DUMMYFUNCTION("""COMPUTED_VALUE"""),"Lemurs")</f>
        <v>Lemurs</v>
      </c>
      <c r="E317" s="41">
        <f>IFERROR(__xludf.DUMMYFUNCTION("""COMPUTED_VALUE"""),2.0)</f>
        <v>2</v>
      </c>
      <c r="F317" s="41">
        <f>IFERROR(__xludf.DUMMYFUNCTION("""COMPUTED_VALUE"""),1730.0)</f>
        <v>1730</v>
      </c>
    </row>
    <row r="318">
      <c r="A318" s="41" t="b">
        <f>IFERROR(__xludf.DUMMYFUNCTION("""COMPUTED_VALUE"""),TRUE)</f>
        <v>1</v>
      </c>
      <c r="B318" s="41" t="str">
        <f>IFERROR(__xludf.DUMMYFUNCTION("""COMPUTED_VALUE"""),"RSC001986")</f>
        <v>RSC001986</v>
      </c>
      <c r="C318" s="41" t="str">
        <f>IFERROR(__xludf.DUMMYFUNCTION("""COMPUTED_VALUE"""),"Colinn")</f>
        <v>Colinn</v>
      </c>
      <c r="D318" s="41" t="str">
        <f>IFERROR(__xludf.DUMMYFUNCTION("""COMPUTED_VALUE"""),"Dik-diks")</f>
        <v>Dik-diks</v>
      </c>
      <c r="E318" s="41">
        <f>IFERROR(__xludf.DUMMYFUNCTION("""COMPUTED_VALUE"""),1.0)</f>
        <v>1</v>
      </c>
      <c r="F318" s="41">
        <f>IFERROR(__xludf.DUMMYFUNCTION("""COMPUTED_VALUE"""),1645.0)</f>
        <v>1645</v>
      </c>
    </row>
    <row r="319">
      <c r="A319" s="41" t="b">
        <f>IFERROR(__xludf.DUMMYFUNCTION("""COMPUTED_VALUE"""),TRUE)</f>
        <v>1</v>
      </c>
      <c r="B319" s="41" t="str">
        <f>IFERROR(__xludf.DUMMYFUNCTION("""COMPUTED_VALUE"""),"RSC000848")</f>
        <v>RSC000848</v>
      </c>
      <c r="C319" s="41" t="str">
        <f>IFERROR(__xludf.DUMMYFUNCTION("""COMPUTED_VALUE"""),"WittingHalo64")</f>
        <v>WittingHalo64</v>
      </c>
      <c r="D319" s="41" t="str">
        <f>IFERROR(__xludf.DUMMYFUNCTION("""COMPUTED_VALUE"""),"Water")</f>
        <v>Water</v>
      </c>
      <c r="E319" s="41">
        <f>IFERROR(__xludf.DUMMYFUNCTION("""COMPUTED_VALUE"""),2.0)</f>
        <v>2</v>
      </c>
      <c r="F319" s="41">
        <f>IFERROR(__xludf.DUMMYFUNCTION("""COMPUTED_VALUE"""),1385.0)</f>
        <v>1385</v>
      </c>
    </row>
    <row r="320">
      <c r="A320" s="41" t="b">
        <f>IFERROR(__xludf.DUMMYFUNCTION("""COMPUTED_VALUE"""),TRUE)</f>
        <v>1</v>
      </c>
      <c r="B320" s="41" t="str">
        <f>IFERROR(__xludf.DUMMYFUNCTION("""COMPUTED_VALUE"""),"RSC000812")</f>
        <v>RSC000812</v>
      </c>
      <c r="C320" s="41" t="str">
        <f>IFERROR(__xludf.DUMMYFUNCTION("""COMPUTED_VALUE"""),"LustLizard")</f>
        <v>LustLizard</v>
      </c>
      <c r="D320" s="41" t="str">
        <f>IFERROR(__xludf.DUMMYFUNCTION("""COMPUTED_VALUE"""),"Chromatic Chaos")</f>
        <v>Chromatic Chaos</v>
      </c>
      <c r="E320" s="41">
        <f>IFERROR(__xludf.DUMMYFUNCTION("""COMPUTED_VALUE"""),2.0)</f>
        <v>2</v>
      </c>
      <c r="F320" s="41">
        <f>IFERROR(__xludf.DUMMYFUNCTION("""COMPUTED_VALUE"""),1145.0)</f>
        <v>1145</v>
      </c>
    </row>
    <row r="321">
      <c r="A321" s="41" t="b">
        <f>IFERROR(__xludf.DUMMYFUNCTION("""COMPUTED_VALUE"""),TRUE)</f>
        <v>1</v>
      </c>
      <c r="B321" s="41" t="str">
        <f>IFERROR(__xludf.DUMMYFUNCTION("""COMPUTED_VALUE"""),"RSC001114")</f>
        <v>RSC001114</v>
      </c>
      <c r="C321" s="41" t="str">
        <f>IFERROR(__xludf.DUMMYFUNCTION("""COMPUTED_VALUE"""),"ASHES.")</f>
        <v>ASHES.</v>
      </c>
      <c r="D321" s="41" t="str">
        <f>IFERROR(__xludf.DUMMYFUNCTION("""COMPUTED_VALUE"""),"Interstellar")</f>
        <v>Interstellar</v>
      </c>
      <c r="E321" s="41">
        <f>IFERROR(__xludf.DUMMYFUNCTION("""COMPUTED_VALUE"""),2.0)</f>
        <v>2</v>
      </c>
      <c r="F321" s="41">
        <f>IFERROR(__xludf.DUMMYFUNCTION("""COMPUTED_VALUE"""),1870.0)</f>
        <v>1870</v>
      </c>
    </row>
    <row r="322">
      <c r="A322" s="41" t="b">
        <f>IFERROR(__xludf.DUMMYFUNCTION("""COMPUTED_VALUE"""),TRUE)</f>
        <v>1</v>
      </c>
      <c r="B322" s="41" t="str">
        <f>IFERROR(__xludf.DUMMYFUNCTION("""COMPUTED_VALUE"""),"RSC001903")</f>
        <v>RSC001903</v>
      </c>
      <c r="C322" s="41" t="str">
        <f>IFERROR(__xludf.DUMMYFUNCTION("""COMPUTED_VALUE"""),"Plasma")</f>
        <v>Plasma</v>
      </c>
      <c r="D322" s="41" t="str">
        <f>IFERROR(__xludf.DUMMYFUNCTION("""COMPUTED_VALUE"""),"Crooked Capos")</f>
        <v>Crooked Capos</v>
      </c>
      <c r="E322" s="41">
        <f>IFERROR(__xludf.DUMMYFUNCTION("""COMPUTED_VALUE"""),1.0)</f>
        <v>1</v>
      </c>
      <c r="F322" s="41">
        <f>IFERROR(__xludf.DUMMYFUNCTION("""COMPUTED_VALUE"""),1830.0)</f>
        <v>1830</v>
      </c>
    </row>
    <row r="323">
      <c r="A323" s="41" t="b">
        <f>IFERROR(__xludf.DUMMYFUNCTION("""COMPUTED_VALUE"""),FALSE)</f>
        <v>0</v>
      </c>
      <c r="B323" s="41" t="str">
        <f>IFERROR(__xludf.DUMMYFUNCTION("""COMPUTED_VALUE"""),"RSC000923")</f>
        <v>RSC000923</v>
      </c>
      <c r="C323" s="41" t="str">
        <f>IFERROR(__xludf.DUMMYFUNCTION("""COMPUTED_VALUE"""),"Stemantics")</f>
        <v>Stemantics</v>
      </c>
      <c r="D323" s="41"/>
      <c r="E323" s="41">
        <f>IFERROR(__xludf.DUMMYFUNCTION("""COMPUTED_VALUE"""),0.0)</f>
        <v>0</v>
      </c>
      <c r="F323" s="41">
        <f>IFERROR(__xludf.DUMMYFUNCTION("""COMPUTED_VALUE"""),1540.0)</f>
        <v>1540</v>
      </c>
    </row>
    <row r="324">
      <c r="A324" s="41" t="b">
        <f>IFERROR(__xludf.DUMMYFUNCTION("""COMPUTED_VALUE"""),TRUE)</f>
        <v>1</v>
      </c>
      <c r="B324" s="41" t="str">
        <f>IFERROR(__xludf.DUMMYFUNCTION("""COMPUTED_VALUE"""),"RSC000787")</f>
        <v>RSC000787</v>
      </c>
      <c r="C324" s="41" t="str">
        <f>IFERROR(__xludf.DUMMYFUNCTION("""COMPUTED_VALUE"""),"buckle")</f>
        <v>buckle</v>
      </c>
      <c r="D324" s="41" t="str">
        <f>IFERROR(__xludf.DUMMYFUNCTION("""COMPUTED_VALUE"""),"Fire")</f>
        <v>Fire</v>
      </c>
      <c r="E324" s="41">
        <f>IFERROR(__xludf.DUMMYFUNCTION("""COMPUTED_VALUE"""),2.0)</f>
        <v>2</v>
      </c>
      <c r="F324" s="41">
        <f>IFERROR(__xludf.DUMMYFUNCTION("""COMPUTED_VALUE"""),1620.0)</f>
        <v>1620</v>
      </c>
    </row>
    <row r="325">
      <c r="A325" s="41" t="b">
        <f>IFERROR(__xludf.DUMMYFUNCTION("""COMPUTED_VALUE"""),FALSE)</f>
        <v>0</v>
      </c>
      <c r="B325" s="41" t="str">
        <f>IFERROR(__xludf.DUMMYFUNCTION("""COMPUTED_VALUE"""),"RSC000813")</f>
        <v>RSC000813</v>
      </c>
      <c r="C325" s="41" t="str">
        <f>IFERROR(__xludf.DUMMYFUNCTION("""COMPUTED_VALUE"""),"Ziggy.")</f>
        <v>Ziggy.</v>
      </c>
      <c r="D325" s="41"/>
      <c r="E325" s="41">
        <f>IFERROR(__xludf.DUMMYFUNCTION("""COMPUTED_VALUE"""),0.0)</f>
        <v>0</v>
      </c>
      <c r="F325" s="41">
        <f>IFERROR(__xludf.DUMMYFUNCTION("""COMPUTED_VALUE"""),1250.0)</f>
        <v>1250</v>
      </c>
    </row>
    <row r="326">
      <c r="A326" s="41" t="b">
        <f>IFERROR(__xludf.DUMMYFUNCTION("""COMPUTED_VALUE"""),TRUE)</f>
        <v>1</v>
      </c>
      <c r="B326" s="41" t="str">
        <f>IFERROR(__xludf.DUMMYFUNCTION("""COMPUTED_VALUE"""),"RSC002937")</f>
        <v>RSC002937</v>
      </c>
      <c r="C326" s="41" t="str">
        <f>IFERROR(__xludf.DUMMYFUNCTION("""COMPUTED_VALUE"""),"SirTommyNoble")</f>
        <v>SirTommyNoble</v>
      </c>
      <c r="D326" s="41" t="str">
        <f>IFERROR(__xludf.DUMMYFUNCTION("""COMPUTED_VALUE"""),"Shadow Tails")</f>
        <v>Shadow Tails</v>
      </c>
      <c r="E326" s="41">
        <f>IFERROR(__xludf.DUMMYFUNCTION("""COMPUTED_VALUE"""),2.0)</f>
        <v>2</v>
      </c>
      <c r="F326" s="41">
        <f>IFERROR(__xludf.DUMMYFUNCTION("""COMPUTED_VALUE"""),1515.0)</f>
        <v>1515</v>
      </c>
    </row>
    <row r="327">
      <c r="A327" s="41" t="b">
        <f>IFERROR(__xludf.DUMMYFUNCTION("""COMPUTED_VALUE"""),TRUE)</f>
        <v>1</v>
      </c>
      <c r="B327" s="41" t="str">
        <f>IFERROR(__xludf.DUMMYFUNCTION("""COMPUTED_VALUE"""),"RSC002413")</f>
        <v>RSC002413</v>
      </c>
      <c r="C327" s="41" t="str">
        <f>IFERROR(__xludf.DUMMYFUNCTION("""COMPUTED_VALUE"""),"dafiya711")</f>
        <v>dafiya711</v>
      </c>
      <c r="D327" s="41" t="str">
        <f>IFERROR(__xludf.DUMMYFUNCTION("""COMPUTED_VALUE"""),"Ocelots")</f>
        <v>Ocelots</v>
      </c>
      <c r="E327" s="41">
        <f>IFERROR(__xludf.DUMMYFUNCTION("""COMPUTED_VALUE"""),2.0)</f>
        <v>2</v>
      </c>
      <c r="F327" s="41">
        <f>IFERROR(__xludf.DUMMYFUNCTION("""COMPUTED_VALUE"""),1355.0)</f>
        <v>1355</v>
      </c>
    </row>
    <row r="328">
      <c r="A328" s="41" t="b">
        <f>IFERROR(__xludf.DUMMYFUNCTION("""COMPUTED_VALUE"""),TRUE)</f>
        <v>1</v>
      </c>
      <c r="B328" s="41" t="str">
        <f>IFERROR(__xludf.DUMMYFUNCTION("""COMPUTED_VALUE"""),"RSC002729")</f>
        <v>RSC002729</v>
      </c>
      <c r="C328" s="41" t="str">
        <f>IFERROR(__xludf.DUMMYFUNCTION("""COMPUTED_VALUE"""),"snugcore")</f>
        <v>snugcore</v>
      </c>
      <c r="D328" s="41" t="str">
        <f>IFERROR(__xludf.DUMMYFUNCTION("""COMPUTED_VALUE"""),"Thrashers")</f>
        <v>Thrashers</v>
      </c>
      <c r="E328" s="41">
        <f>IFERROR(__xludf.DUMMYFUNCTION("""COMPUTED_VALUE"""),2.0)</f>
        <v>2</v>
      </c>
      <c r="F328" s="41">
        <f>IFERROR(__xludf.DUMMYFUNCTION("""COMPUTED_VALUE"""),1660.0)</f>
        <v>1660</v>
      </c>
    </row>
    <row r="329">
      <c r="A329" s="41" t="b">
        <f>IFERROR(__xludf.DUMMYFUNCTION("""COMPUTED_VALUE"""),TRUE)</f>
        <v>1</v>
      </c>
      <c r="B329" s="41" t="str">
        <f>IFERROR(__xludf.DUMMYFUNCTION("""COMPUTED_VALUE"""),"RSC002295")</f>
        <v>RSC002295</v>
      </c>
      <c r="C329" s="41" t="str">
        <f>IFERROR(__xludf.DUMMYFUNCTION("""COMPUTED_VALUE"""),"DEMOralize")</f>
        <v>DEMOralize</v>
      </c>
      <c r="D329" s="41" t="str">
        <f>IFERROR(__xludf.DUMMYFUNCTION("""COMPUTED_VALUE"""),"Legati")</f>
        <v>Legati</v>
      </c>
      <c r="E329" s="41">
        <f>IFERROR(__xludf.DUMMYFUNCTION("""COMPUTED_VALUE"""),1.0)</f>
        <v>1</v>
      </c>
      <c r="F329" s="41">
        <f>IFERROR(__xludf.DUMMYFUNCTION("""COMPUTED_VALUE"""),1475.0)</f>
        <v>1475</v>
      </c>
    </row>
    <row r="330">
      <c r="A330" s="41" t="b">
        <f>IFERROR(__xludf.DUMMYFUNCTION("""COMPUTED_VALUE"""),TRUE)</f>
        <v>1</v>
      </c>
      <c r="B330" s="41" t="str">
        <f>IFERROR(__xludf.DUMMYFUNCTION("""COMPUTED_VALUE"""),"RSC002415")</f>
        <v>RSC002415</v>
      </c>
      <c r="C330" s="41" t="str">
        <f>IFERROR(__xludf.DUMMYFUNCTION("""COMPUTED_VALUE"""),"Goum")</f>
        <v>Goum</v>
      </c>
      <c r="D330" s="41" t="str">
        <f>IFERROR(__xludf.DUMMYFUNCTION("""COMPUTED_VALUE"""),"Gaboons")</f>
        <v>Gaboons</v>
      </c>
      <c r="E330" s="41">
        <f>IFERROR(__xludf.DUMMYFUNCTION("""COMPUTED_VALUE"""),2.0)</f>
        <v>2</v>
      </c>
      <c r="F330" s="41">
        <f>IFERROR(__xludf.DUMMYFUNCTION("""COMPUTED_VALUE"""),1255.0)</f>
        <v>1255</v>
      </c>
    </row>
    <row r="331">
      <c r="A331" s="41" t="b">
        <f>IFERROR(__xludf.DUMMYFUNCTION("""COMPUTED_VALUE"""),TRUE)</f>
        <v>1</v>
      </c>
      <c r="B331" s="41" t="str">
        <f>IFERROR(__xludf.DUMMYFUNCTION("""COMPUTED_VALUE"""),"RSC003125")</f>
        <v>RSC003125</v>
      </c>
      <c r="C331" s="41" t="str">
        <f>IFERROR(__xludf.DUMMYFUNCTION("""COMPUTED_VALUE"""),"GrandPlat")</f>
        <v>GrandPlat</v>
      </c>
      <c r="D331" s="41" t="str">
        <f>IFERROR(__xludf.DUMMYFUNCTION("""COMPUTED_VALUE"""),"Andromeda")</f>
        <v>Andromeda</v>
      </c>
      <c r="E331" s="41">
        <f>IFERROR(__xludf.DUMMYFUNCTION("""COMPUTED_VALUE"""),2.0)</f>
        <v>2</v>
      </c>
      <c r="F331" s="41">
        <f>IFERROR(__xludf.DUMMYFUNCTION("""COMPUTED_VALUE"""),1685.0)</f>
        <v>1685</v>
      </c>
    </row>
    <row r="332">
      <c r="A332" s="41" t="b">
        <f>IFERROR(__xludf.DUMMYFUNCTION("""COMPUTED_VALUE"""),TRUE)</f>
        <v>1</v>
      </c>
      <c r="B332" s="41" t="str">
        <f>IFERROR(__xludf.DUMMYFUNCTION("""COMPUTED_VALUE"""),"RSC002427")</f>
        <v>RSC002427</v>
      </c>
      <c r="C332" s="41" t="str">
        <f>IFERROR(__xludf.DUMMYFUNCTION("""COMPUTED_VALUE"""),"Free.")</f>
        <v>Free.</v>
      </c>
      <c r="D332" s="41" t="str">
        <f>IFERROR(__xludf.DUMMYFUNCTION("""COMPUTED_VALUE"""),"Hammerheads")</f>
        <v>Hammerheads</v>
      </c>
      <c r="E332" s="41">
        <f>IFERROR(__xludf.DUMMYFUNCTION("""COMPUTED_VALUE"""),1.0)</f>
        <v>1</v>
      </c>
      <c r="F332" s="41">
        <f>IFERROR(__xludf.DUMMYFUNCTION("""COMPUTED_VALUE"""),1340.0)</f>
        <v>1340</v>
      </c>
    </row>
    <row r="333">
      <c r="A333" s="41" t="b">
        <f>IFERROR(__xludf.DUMMYFUNCTION("""COMPUTED_VALUE"""),TRUE)</f>
        <v>1</v>
      </c>
      <c r="B333" s="41" t="str">
        <f>IFERROR(__xludf.DUMMYFUNCTION("""COMPUTED_VALUE"""),"RSC003143")</f>
        <v>RSC003143</v>
      </c>
      <c r="C333" s="41" t="str">
        <f>IFERROR(__xludf.DUMMYFUNCTION("""COMPUTED_VALUE"""),"Dank._.")</f>
        <v>Dank._.</v>
      </c>
      <c r="D333" s="41" t="str">
        <f>IFERROR(__xludf.DUMMYFUNCTION("""COMPUTED_VALUE"""),"Drive-by")</f>
        <v>Drive-by</v>
      </c>
      <c r="E333" s="41">
        <f>IFERROR(__xludf.DUMMYFUNCTION("""COMPUTED_VALUE"""),2.0)</f>
        <v>2</v>
      </c>
      <c r="F333" s="41">
        <f>IFERROR(__xludf.DUMMYFUNCTION("""COMPUTED_VALUE"""),1590.0)</f>
        <v>1590</v>
      </c>
    </row>
    <row r="334">
      <c r="A334" s="41" t="b">
        <f>IFERROR(__xludf.DUMMYFUNCTION("""COMPUTED_VALUE"""),FALSE)</f>
        <v>0</v>
      </c>
      <c r="B334" s="41" t="str">
        <f>IFERROR(__xludf.DUMMYFUNCTION("""COMPUTED_VALUE"""),"RSC003027")</f>
        <v>RSC003027</v>
      </c>
      <c r="C334" s="41" t="str">
        <f>IFERROR(__xludf.DUMMYFUNCTION("""COMPUTED_VALUE"""),"Defiance")</f>
        <v>Defiance</v>
      </c>
      <c r="D334" s="41"/>
      <c r="E334" s="41">
        <f>IFERROR(__xludf.DUMMYFUNCTION("""COMPUTED_VALUE"""),0.0)</f>
        <v>0</v>
      </c>
      <c r="F334" s="41">
        <f>IFERROR(__xludf.DUMMYFUNCTION("""COMPUTED_VALUE"""),1470.0)</f>
        <v>1470</v>
      </c>
    </row>
    <row r="335">
      <c r="A335" s="41" t="b">
        <f>IFERROR(__xludf.DUMMYFUNCTION("""COMPUTED_VALUE"""),TRUE)</f>
        <v>1</v>
      </c>
      <c r="B335" s="41" t="str">
        <f>IFERROR(__xludf.DUMMYFUNCTION("""COMPUTED_VALUE"""),"RSC002498")</f>
        <v>RSC002498</v>
      </c>
      <c r="C335" s="41" t="str">
        <f>IFERROR(__xludf.DUMMYFUNCTION("""COMPUTED_VALUE"""),"Justin")</f>
        <v>Justin</v>
      </c>
      <c r="D335" s="41" t="str">
        <f>IFERROR(__xludf.DUMMYFUNCTION("""COMPUTED_VALUE"""),"Gelato")</f>
        <v>Gelato</v>
      </c>
      <c r="E335" s="41">
        <f>IFERROR(__xludf.DUMMYFUNCTION("""COMPUTED_VALUE"""),2.0)</f>
        <v>2</v>
      </c>
      <c r="F335" s="41">
        <f>IFERROR(__xludf.DUMMYFUNCTION("""COMPUTED_VALUE"""),1640.0)</f>
        <v>1640</v>
      </c>
    </row>
    <row r="336">
      <c r="A336" s="41" t="b">
        <f>IFERROR(__xludf.DUMMYFUNCTION("""COMPUTED_VALUE"""),TRUE)</f>
        <v>1</v>
      </c>
      <c r="B336" s="41" t="str">
        <f>IFERROR(__xludf.DUMMYFUNCTION("""COMPUTED_VALUE"""),"RSC002809")</f>
        <v>RSC002809</v>
      </c>
      <c r="C336" s="41" t="str">
        <f>IFERROR(__xludf.DUMMYFUNCTION("""COMPUTED_VALUE"""),"bubles")</f>
        <v>bubles</v>
      </c>
      <c r="D336" s="41" t="str">
        <f>IFERROR(__xludf.DUMMYFUNCTION("""COMPUTED_VALUE"""),"Liars")</f>
        <v>Liars</v>
      </c>
      <c r="E336" s="41">
        <f>IFERROR(__xludf.DUMMYFUNCTION("""COMPUTED_VALUE"""),2.0)</f>
        <v>2</v>
      </c>
      <c r="F336" s="41">
        <f>IFERROR(__xludf.DUMMYFUNCTION("""COMPUTED_VALUE"""),1255.0)</f>
        <v>1255</v>
      </c>
    </row>
    <row r="337">
      <c r="A337" s="41" t="b">
        <f>IFERROR(__xludf.DUMMYFUNCTION("""COMPUTED_VALUE"""),TRUE)</f>
        <v>1</v>
      </c>
      <c r="B337" s="41" t="str">
        <f>IFERROR(__xludf.DUMMYFUNCTION("""COMPUTED_VALUE"""),"RSC003082")</f>
        <v>RSC003082</v>
      </c>
      <c r="C337" s="41" t="str">
        <f>IFERROR(__xludf.DUMMYFUNCTION("""COMPUTED_VALUE"""),"Skulzy9")</f>
        <v>Skulzy9</v>
      </c>
      <c r="D337" s="41" t="str">
        <f>IFERROR(__xludf.DUMMYFUNCTION("""COMPUTED_VALUE"""),"Demons")</f>
        <v>Demons</v>
      </c>
      <c r="E337" s="41">
        <f>IFERROR(__xludf.DUMMYFUNCTION("""COMPUTED_VALUE"""),2.0)</f>
        <v>2</v>
      </c>
      <c r="F337" s="41">
        <f>IFERROR(__xludf.DUMMYFUNCTION("""COMPUTED_VALUE"""),1625.0)</f>
        <v>1625</v>
      </c>
    </row>
    <row r="338">
      <c r="A338" s="41" t="b">
        <f>IFERROR(__xludf.DUMMYFUNCTION("""COMPUTED_VALUE"""),FALSE)</f>
        <v>0</v>
      </c>
      <c r="B338" s="41" t="str">
        <f>IFERROR(__xludf.DUMMYFUNCTION("""COMPUTED_VALUE"""),"RSC002733")</f>
        <v>RSC002733</v>
      </c>
      <c r="C338" s="41" t="str">
        <f>IFERROR(__xludf.DUMMYFUNCTION("""COMPUTED_VALUE"""),"THOG")</f>
        <v>THOG</v>
      </c>
      <c r="D338" s="41"/>
      <c r="E338" s="41">
        <f>IFERROR(__xludf.DUMMYFUNCTION("""COMPUTED_VALUE"""),0.0)</f>
        <v>0</v>
      </c>
      <c r="F338" s="41">
        <f>IFERROR(__xludf.DUMMYFUNCTION("""COMPUTED_VALUE"""),1195.0)</f>
        <v>1195</v>
      </c>
    </row>
    <row r="339">
      <c r="A339" s="41" t="b">
        <f>IFERROR(__xludf.DUMMYFUNCTION("""COMPUTED_VALUE"""),TRUE)</f>
        <v>1</v>
      </c>
      <c r="B339" s="41" t="str">
        <f>IFERROR(__xludf.DUMMYFUNCTION("""COMPUTED_VALUE"""),"RSC002476")</f>
        <v>RSC002476</v>
      </c>
      <c r="C339" s="41" t="str">
        <f>IFERROR(__xludf.DUMMYFUNCTION("""COMPUTED_VALUE"""),"Argnor")</f>
        <v>Argnor</v>
      </c>
      <c r="D339" s="41" t="str">
        <f>IFERROR(__xludf.DUMMYFUNCTION("""COMPUTED_VALUE"""),"Helicoprions")</f>
        <v>Helicoprions</v>
      </c>
      <c r="E339" s="41">
        <f>IFERROR(__xludf.DUMMYFUNCTION("""COMPUTED_VALUE"""),1.0)</f>
        <v>1</v>
      </c>
      <c r="F339" s="41">
        <f>IFERROR(__xludf.DUMMYFUNCTION("""COMPUTED_VALUE"""),1755.0)</f>
        <v>1755</v>
      </c>
    </row>
    <row r="340">
      <c r="A340" s="41" t="b">
        <f>IFERROR(__xludf.DUMMYFUNCTION("""COMPUTED_VALUE"""),TRUE)</f>
        <v>1</v>
      </c>
      <c r="B340" s="41" t="str">
        <f>IFERROR(__xludf.DUMMYFUNCTION("""COMPUTED_VALUE"""),"RSC002714")</f>
        <v>RSC002714</v>
      </c>
      <c r="C340" s="41" t="str">
        <f>IFERROR(__xludf.DUMMYFUNCTION("""COMPUTED_VALUE"""),"Andy")</f>
        <v>Andy</v>
      </c>
      <c r="D340" s="41" t="str">
        <f>IFERROR(__xludf.DUMMYFUNCTION("""COMPUTED_VALUE"""),"Crooked Capos")</f>
        <v>Crooked Capos</v>
      </c>
      <c r="E340" s="41">
        <f>IFERROR(__xludf.DUMMYFUNCTION("""COMPUTED_VALUE"""),1.0)</f>
        <v>1</v>
      </c>
      <c r="F340" s="41">
        <f>IFERROR(__xludf.DUMMYFUNCTION("""COMPUTED_VALUE"""),1885.0)</f>
        <v>1885</v>
      </c>
    </row>
    <row r="341">
      <c r="A341" s="41" t="b">
        <f>IFERROR(__xludf.DUMMYFUNCTION("""COMPUTED_VALUE"""),FALSE)</f>
        <v>0</v>
      </c>
      <c r="B341" s="41" t="str">
        <f>IFERROR(__xludf.DUMMYFUNCTION("""COMPUTED_VALUE"""),"RSC002467")</f>
        <v>RSC002467</v>
      </c>
      <c r="C341" s="41" t="str">
        <f>IFERROR(__xludf.DUMMYFUNCTION("""COMPUTED_VALUE"""),"reccoonn")</f>
        <v>reccoonn</v>
      </c>
      <c r="D341" s="41"/>
      <c r="E341" s="41">
        <f>IFERROR(__xludf.DUMMYFUNCTION("""COMPUTED_VALUE"""),1.0)</f>
        <v>1</v>
      </c>
      <c r="F341" s="41">
        <f>IFERROR(__xludf.DUMMYFUNCTION("""COMPUTED_VALUE"""),1475.0)</f>
        <v>1475</v>
      </c>
    </row>
    <row r="342">
      <c r="A342" s="41" t="b">
        <f>IFERROR(__xludf.DUMMYFUNCTION("""COMPUTED_VALUE"""),TRUE)</f>
        <v>1</v>
      </c>
      <c r="B342" s="41" t="str">
        <f>IFERROR(__xludf.DUMMYFUNCTION("""COMPUTED_VALUE"""),"RSC002050")</f>
        <v>RSC002050</v>
      </c>
      <c r="C342" s="41" t="str">
        <f>IFERROR(__xludf.DUMMYFUNCTION("""COMPUTED_VALUE"""),"Goobz")</f>
        <v>Goobz</v>
      </c>
      <c r="D342" s="41"/>
      <c r="E342" s="41">
        <f>IFERROR(__xludf.DUMMYFUNCTION("""COMPUTED_VALUE"""),0.0)</f>
        <v>0</v>
      </c>
      <c r="F342" s="41">
        <f>IFERROR(__xludf.DUMMYFUNCTION("""COMPUTED_VALUE"""),1800.0)</f>
        <v>1800</v>
      </c>
    </row>
    <row r="343">
      <c r="A343" s="41" t="b">
        <f>IFERROR(__xludf.DUMMYFUNCTION("""COMPUTED_VALUE"""),TRUE)</f>
        <v>1</v>
      </c>
      <c r="B343" s="41" t="str">
        <f>IFERROR(__xludf.DUMMYFUNCTION("""COMPUTED_VALUE"""),"RSC003055")</f>
        <v>RSC003055</v>
      </c>
      <c r="C343" s="41" t="str">
        <f>IFERROR(__xludf.DUMMYFUNCTION("""COMPUTED_VALUE"""),"Lad")</f>
        <v>Lad</v>
      </c>
      <c r="D343" s="41" t="str">
        <f>IFERROR(__xludf.DUMMYFUNCTION("""COMPUTED_VALUE"""),"Immortals")</f>
        <v>Immortals</v>
      </c>
      <c r="E343" s="41">
        <f>IFERROR(__xludf.DUMMYFUNCTION("""COMPUTED_VALUE"""),2.0)</f>
        <v>2</v>
      </c>
      <c r="F343" s="41">
        <f>IFERROR(__xludf.DUMMYFUNCTION("""COMPUTED_VALUE"""),1545.0)</f>
        <v>1545</v>
      </c>
    </row>
    <row r="344">
      <c r="A344" s="41" t="b">
        <f>IFERROR(__xludf.DUMMYFUNCTION("""COMPUTED_VALUE"""),TRUE)</f>
        <v>1</v>
      </c>
      <c r="B344" s="41" t="str">
        <f>IFERROR(__xludf.DUMMYFUNCTION("""COMPUTED_VALUE"""),"RSC002453")</f>
        <v>RSC002453</v>
      </c>
      <c r="C344" s="41" t="str">
        <f>IFERROR(__xludf.DUMMYFUNCTION("""COMPUTED_VALUE"""),"Ghostie")</f>
        <v>Ghostie</v>
      </c>
      <c r="D344" s="41"/>
      <c r="E344" s="41">
        <f>IFERROR(__xludf.DUMMYFUNCTION("""COMPUTED_VALUE"""),0.0)</f>
        <v>0</v>
      </c>
      <c r="F344" s="41">
        <f>IFERROR(__xludf.DUMMYFUNCTION("""COMPUTED_VALUE"""),1400.0)</f>
        <v>1400</v>
      </c>
    </row>
    <row r="345">
      <c r="A345" s="41" t="b">
        <f>IFERROR(__xludf.DUMMYFUNCTION("""COMPUTED_VALUE"""),TRUE)</f>
        <v>1</v>
      </c>
      <c r="B345" s="41" t="str">
        <f>IFERROR(__xludf.DUMMYFUNCTION("""COMPUTED_VALUE"""),"RSC002490")</f>
        <v>RSC002490</v>
      </c>
      <c r="C345" s="41" t="str">
        <f>IFERROR(__xludf.DUMMYFUNCTION("""COMPUTED_VALUE"""),"6-7!")</f>
        <v>6-7!</v>
      </c>
      <c r="D345" s="41" t="str">
        <f>IFERROR(__xludf.DUMMYFUNCTION("""COMPUTED_VALUE"""),"Permafrost")</f>
        <v>Permafrost</v>
      </c>
      <c r="E345" s="41">
        <f>IFERROR(__xludf.DUMMYFUNCTION("""COMPUTED_VALUE"""),1.0)</f>
        <v>1</v>
      </c>
      <c r="F345" s="41">
        <f>IFERROR(__xludf.DUMMYFUNCTION("""COMPUTED_VALUE"""),1710.0)</f>
        <v>1710</v>
      </c>
    </row>
    <row r="346">
      <c r="A346" s="41" t="b">
        <f>IFERROR(__xludf.DUMMYFUNCTION("""COMPUTED_VALUE"""),FALSE)</f>
        <v>0</v>
      </c>
      <c r="B346" s="41" t="str">
        <f>IFERROR(__xludf.DUMMYFUNCTION("""COMPUTED_VALUE"""),"RSC002425")</f>
        <v>RSC002425</v>
      </c>
      <c r="C346" s="41" t="str">
        <f>IFERROR(__xludf.DUMMYFUNCTION("""COMPUTED_VALUE"""),"Kourses")</f>
        <v>Kourses</v>
      </c>
      <c r="D346" s="41"/>
      <c r="E346" s="41">
        <f>IFERROR(__xludf.DUMMYFUNCTION("""COMPUTED_VALUE"""),0.0)</f>
        <v>0</v>
      </c>
      <c r="F346" s="41">
        <f>IFERROR(__xludf.DUMMYFUNCTION("""COMPUTED_VALUE"""),1560.0)</f>
        <v>1560</v>
      </c>
    </row>
    <row r="347">
      <c r="A347" s="41" t="b">
        <f>IFERROR(__xludf.DUMMYFUNCTION("""COMPUTED_VALUE"""),TRUE)</f>
        <v>1</v>
      </c>
      <c r="B347" s="41" t="str">
        <f>IFERROR(__xludf.DUMMYFUNCTION("""COMPUTED_VALUE"""),"RSC002931")</f>
        <v>RSC002931</v>
      </c>
      <c r="C347" s="41" t="str">
        <f>IFERROR(__xludf.DUMMYFUNCTION("""COMPUTED_VALUE"""),"Reeky")</f>
        <v>Reeky</v>
      </c>
      <c r="D347" s="41" t="str">
        <f>IFERROR(__xludf.DUMMYFUNCTION("""COMPUTED_VALUE"""),"Tax Evaders")</f>
        <v>Tax Evaders</v>
      </c>
      <c r="E347" s="41">
        <f>IFERROR(__xludf.DUMMYFUNCTION("""COMPUTED_VALUE"""),2.0)</f>
        <v>2</v>
      </c>
      <c r="F347" s="41">
        <f>IFERROR(__xludf.DUMMYFUNCTION("""COMPUTED_VALUE"""),1240.0)</f>
        <v>1240</v>
      </c>
    </row>
    <row r="348">
      <c r="A348" s="41" t="b">
        <f>IFERROR(__xludf.DUMMYFUNCTION("""COMPUTED_VALUE"""),TRUE)</f>
        <v>1</v>
      </c>
      <c r="B348" s="41" t="str">
        <f>IFERROR(__xludf.DUMMYFUNCTION("""COMPUTED_VALUE"""),"RSC002862")</f>
        <v>RSC002862</v>
      </c>
      <c r="C348" s="41" t="str">
        <f>IFERROR(__xludf.DUMMYFUNCTION("""COMPUTED_VALUE"""),"Doodle!")</f>
        <v>Doodle!</v>
      </c>
      <c r="D348" s="41"/>
      <c r="E348" s="41">
        <f>IFERROR(__xludf.DUMMYFUNCTION("""COMPUTED_VALUE"""),0.0)</f>
        <v>0</v>
      </c>
      <c r="F348" s="41">
        <f>IFERROR(__xludf.DUMMYFUNCTION("""COMPUTED_VALUE"""),1660.0)</f>
        <v>1660</v>
      </c>
    </row>
    <row r="349">
      <c r="A349" s="41" t="b">
        <f>IFERROR(__xludf.DUMMYFUNCTION("""COMPUTED_VALUE"""),TRUE)</f>
        <v>1</v>
      </c>
      <c r="B349" s="41" t="str">
        <f>IFERROR(__xludf.DUMMYFUNCTION("""COMPUTED_VALUE"""),"RSC003122")</f>
        <v>RSC003122</v>
      </c>
      <c r="C349" s="41" t="str">
        <f>IFERROR(__xludf.DUMMYFUNCTION("""COMPUTED_VALUE"""),"Kovalchuk")</f>
        <v>Kovalchuk</v>
      </c>
      <c r="D349" s="41"/>
      <c r="E349" s="41">
        <f>IFERROR(__xludf.DUMMYFUNCTION("""COMPUTED_VALUE"""),0.0)</f>
        <v>0</v>
      </c>
      <c r="F349" s="41">
        <f>IFERROR(__xludf.DUMMYFUNCTION("""COMPUTED_VALUE"""),1475.0)</f>
        <v>1475</v>
      </c>
    </row>
    <row r="350">
      <c r="A350" s="41" t="b">
        <f>IFERROR(__xludf.DUMMYFUNCTION("""COMPUTED_VALUE"""),TRUE)</f>
        <v>1</v>
      </c>
      <c r="B350" s="41" t="str">
        <f>IFERROR(__xludf.DUMMYFUNCTION("""COMPUTED_VALUE"""),"RSC002780")</f>
        <v>RSC002780</v>
      </c>
      <c r="C350" s="41" t="str">
        <f>IFERROR(__xludf.DUMMYFUNCTION("""COMPUTED_VALUE"""),"Lickadoss77")</f>
        <v>Lickadoss77</v>
      </c>
      <c r="D350" s="41" t="str">
        <f>IFERROR(__xludf.DUMMYFUNCTION("""COMPUTED_VALUE"""),"Water")</f>
        <v>Water</v>
      </c>
      <c r="E350" s="41">
        <f>IFERROR(__xludf.DUMMYFUNCTION("""COMPUTED_VALUE"""),2.0)</f>
        <v>2</v>
      </c>
      <c r="F350" s="41">
        <f>IFERROR(__xludf.DUMMYFUNCTION("""COMPUTED_VALUE"""),1505.0)</f>
        <v>1505</v>
      </c>
    </row>
    <row r="351">
      <c r="A351" s="41" t="b">
        <f>IFERROR(__xludf.DUMMYFUNCTION("""COMPUTED_VALUE"""),FALSE)</f>
        <v>0</v>
      </c>
      <c r="B351" s="41" t="str">
        <f>IFERROR(__xludf.DUMMYFUNCTION("""COMPUTED_VALUE"""),"RSC002944")</f>
        <v>RSC002944</v>
      </c>
      <c r="C351" s="41" t="str">
        <f>IFERROR(__xludf.DUMMYFUNCTION("""COMPUTED_VALUE"""),"PayloSoul")</f>
        <v>PayloSoul</v>
      </c>
      <c r="D351" s="41"/>
      <c r="E351" s="41">
        <f>IFERROR(__xludf.DUMMYFUNCTION("""COMPUTED_VALUE"""),0.0)</f>
        <v>0</v>
      </c>
      <c r="F351" s="41">
        <f>IFERROR(__xludf.DUMMYFUNCTION("""COMPUTED_VALUE"""),1685.0)</f>
        <v>1685</v>
      </c>
    </row>
    <row r="352">
      <c r="A352" s="41" t="b">
        <f>IFERROR(__xludf.DUMMYFUNCTION("""COMPUTED_VALUE"""),FALSE)</f>
        <v>0</v>
      </c>
      <c r="B352" s="41" t="str">
        <f>IFERROR(__xludf.DUMMYFUNCTION("""COMPUTED_VALUE"""),"RSC002877")</f>
        <v>RSC002877</v>
      </c>
      <c r="C352" s="41" t="str">
        <f>IFERROR(__xludf.DUMMYFUNCTION("""COMPUTED_VALUE"""),"robophant")</f>
        <v>robophant</v>
      </c>
      <c r="D352" s="41"/>
      <c r="E352" s="41">
        <f>IFERROR(__xludf.DUMMYFUNCTION("""COMPUTED_VALUE"""),0.0)</f>
        <v>0</v>
      </c>
      <c r="F352" s="41">
        <f>IFERROR(__xludf.DUMMYFUNCTION("""COMPUTED_VALUE"""),1180.0)</f>
        <v>1180</v>
      </c>
    </row>
    <row r="353">
      <c r="A353" s="41" t="b">
        <f>IFERROR(__xludf.DUMMYFUNCTION("""COMPUTED_VALUE"""),FALSE)</f>
        <v>0</v>
      </c>
      <c r="B353" s="41" t="str">
        <f>IFERROR(__xludf.DUMMYFUNCTION("""COMPUTED_VALUE"""),"RSC004131")</f>
        <v>RSC004131</v>
      </c>
      <c r="C353" s="41" t="str">
        <f>IFERROR(__xludf.DUMMYFUNCTION("""COMPUTED_VALUE"""),"Poptart Pounder")</f>
        <v>Poptart Pounder</v>
      </c>
      <c r="D353" s="41"/>
      <c r="E353" s="41">
        <f>IFERROR(__xludf.DUMMYFUNCTION("""COMPUTED_VALUE"""),0.0)</f>
        <v>0</v>
      </c>
      <c r="F353" s="41">
        <f>IFERROR(__xludf.DUMMYFUNCTION("""COMPUTED_VALUE"""),1665.0)</f>
        <v>1665</v>
      </c>
    </row>
    <row r="354">
      <c r="A354" s="41" t="b">
        <f>IFERROR(__xludf.DUMMYFUNCTION("""COMPUTED_VALUE"""),FALSE)</f>
        <v>0</v>
      </c>
      <c r="B354" s="41" t="str">
        <f>IFERROR(__xludf.DUMMYFUNCTION("""COMPUTED_VALUE"""),"RSC003358")</f>
        <v>RSC003358</v>
      </c>
      <c r="C354" s="41" t="str">
        <f>IFERROR(__xludf.DUMMYFUNCTION("""COMPUTED_VALUE"""),"galacticcccc")</f>
        <v>galacticcccc</v>
      </c>
      <c r="D354" s="41"/>
      <c r="E354" s="41">
        <f>IFERROR(__xludf.DUMMYFUNCTION("""COMPUTED_VALUE"""),0.0)</f>
        <v>0</v>
      </c>
      <c r="F354" s="41">
        <f>IFERROR(__xludf.DUMMYFUNCTION("""COMPUTED_VALUE"""),1445.0)</f>
        <v>1445</v>
      </c>
    </row>
    <row r="355">
      <c r="A355" s="41" t="b">
        <f>IFERROR(__xludf.DUMMYFUNCTION("""COMPUTED_VALUE"""),TRUE)</f>
        <v>1</v>
      </c>
      <c r="B355" s="41" t="str">
        <f>IFERROR(__xludf.DUMMYFUNCTION("""COMPUTED_VALUE"""),"RSC003815")</f>
        <v>RSC003815</v>
      </c>
      <c r="C355" s="41" t="str">
        <f>IFERROR(__xludf.DUMMYFUNCTION("""COMPUTED_VALUE"""),"WashedDonk")</f>
        <v>WashedDonk</v>
      </c>
      <c r="D355" s="41" t="str">
        <f>IFERROR(__xludf.DUMMYFUNCTION("""COMPUTED_VALUE"""),"Nighthawks")</f>
        <v>Nighthawks</v>
      </c>
      <c r="E355" s="41">
        <f>IFERROR(__xludf.DUMMYFUNCTION("""COMPUTED_VALUE"""),2.0)</f>
        <v>2</v>
      </c>
      <c r="F355" s="41">
        <f>IFERROR(__xludf.DUMMYFUNCTION("""COMPUTED_VALUE"""),1480.0)</f>
        <v>1480</v>
      </c>
    </row>
    <row r="356">
      <c r="A356" s="41" t="b">
        <f>IFERROR(__xludf.DUMMYFUNCTION("""COMPUTED_VALUE"""),TRUE)</f>
        <v>1</v>
      </c>
      <c r="B356" s="41" t="str">
        <f>IFERROR(__xludf.DUMMYFUNCTION("""COMPUTED_VALUE"""),"RSC004165")</f>
        <v>RSC004165</v>
      </c>
      <c r="C356" s="41" t="str">
        <f>IFERROR(__xludf.DUMMYFUNCTION("""COMPUTED_VALUE"""),"Absolutely TOR")</f>
        <v>Absolutely TOR</v>
      </c>
      <c r="D356" s="41" t="str">
        <f>IFERROR(__xludf.DUMMYFUNCTION("""COMPUTED_VALUE"""),"Cannoli")</f>
        <v>Cannoli</v>
      </c>
      <c r="E356" s="41">
        <f>IFERROR(__xludf.DUMMYFUNCTION("""COMPUTED_VALUE"""),1.0)</f>
        <v>1</v>
      </c>
      <c r="F356" s="41">
        <f>IFERROR(__xludf.DUMMYFUNCTION("""COMPUTED_VALUE"""),1505.0)</f>
        <v>1505</v>
      </c>
    </row>
    <row r="357">
      <c r="A357" s="41" t="b">
        <f>IFERROR(__xludf.DUMMYFUNCTION("""COMPUTED_VALUE"""),TRUE)</f>
        <v>1</v>
      </c>
      <c r="B357" s="41" t="str">
        <f>IFERROR(__xludf.DUMMYFUNCTION("""COMPUTED_VALUE"""),"RSC003904")</f>
        <v>RSC003904</v>
      </c>
      <c r="C357" s="41" t="str">
        <f>IFERROR(__xludf.DUMMYFUNCTION("""COMPUTED_VALUE"""),"Tyyphoon454")</f>
        <v>Tyyphoon454</v>
      </c>
      <c r="D357" s="41" t="str">
        <f>IFERROR(__xludf.DUMMYFUNCTION("""COMPUTED_VALUE"""),"Dogfight")</f>
        <v>Dogfight</v>
      </c>
      <c r="E357" s="41">
        <f>IFERROR(__xludf.DUMMYFUNCTION("""COMPUTED_VALUE"""),1.0)</f>
        <v>1</v>
      </c>
      <c r="F357" s="41">
        <f>IFERROR(__xludf.DUMMYFUNCTION("""COMPUTED_VALUE"""),1485.0)</f>
        <v>1485</v>
      </c>
    </row>
    <row r="358">
      <c r="A358" s="41" t="b">
        <f>IFERROR(__xludf.DUMMYFUNCTION("""COMPUTED_VALUE"""),TRUE)</f>
        <v>1</v>
      </c>
      <c r="B358" s="41" t="str">
        <f>IFERROR(__xludf.DUMMYFUNCTION("""COMPUTED_VALUE"""),"RSC003900")</f>
        <v>RSC003900</v>
      </c>
      <c r="C358" s="41" t="str">
        <f>IFERROR(__xludf.DUMMYFUNCTION("""COMPUTED_VALUE"""),"Tryhard goblin")</f>
        <v>Tryhard goblin</v>
      </c>
      <c r="D358" s="41" t="str">
        <f>IFERROR(__xludf.DUMMYFUNCTION("""COMPUTED_VALUE"""),"Porch Pirates")</f>
        <v>Porch Pirates</v>
      </c>
      <c r="E358" s="41">
        <f>IFERROR(__xludf.DUMMYFUNCTION("""COMPUTED_VALUE"""),2.0)</f>
        <v>2</v>
      </c>
      <c r="F358" s="41">
        <f>IFERROR(__xludf.DUMMYFUNCTION("""COMPUTED_VALUE"""),1225.0)</f>
        <v>1225</v>
      </c>
    </row>
    <row r="359">
      <c r="A359" s="41" t="b">
        <f>IFERROR(__xludf.DUMMYFUNCTION("""COMPUTED_VALUE"""),TRUE)</f>
        <v>1</v>
      </c>
      <c r="B359" s="41" t="str">
        <f>IFERROR(__xludf.DUMMYFUNCTION("""COMPUTED_VALUE"""),"RSC003387")</f>
        <v>RSC003387</v>
      </c>
      <c r="C359" s="41" t="str">
        <f>IFERROR(__xludf.DUMMYFUNCTION("""COMPUTED_VALUE"""),"Redline")</f>
        <v>Redline</v>
      </c>
      <c r="D359" s="41"/>
      <c r="E359" s="41">
        <f>IFERROR(__xludf.DUMMYFUNCTION("""COMPUTED_VALUE"""),0.0)</f>
        <v>0</v>
      </c>
      <c r="F359" s="41">
        <f>IFERROR(__xludf.DUMMYFUNCTION("""COMPUTED_VALUE"""),1210.0)</f>
        <v>1210</v>
      </c>
    </row>
    <row r="360">
      <c r="A360" s="41" t="b">
        <f>IFERROR(__xludf.DUMMYFUNCTION("""COMPUTED_VALUE"""),TRUE)</f>
        <v>1</v>
      </c>
      <c r="B360" s="41" t="str">
        <f>IFERROR(__xludf.DUMMYFUNCTION("""COMPUTED_VALUE"""),"RSC003323")</f>
        <v>RSC003323</v>
      </c>
      <c r="C360" s="41" t="str">
        <f>IFERROR(__xludf.DUMMYFUNCTION("""COMPUTED_VALUE"""),"Boog McCroog")</f>
        <v>Boog McCroog</v>
      </c>
      <c r="D360" s="41" t="str">
        <f>IFERROR(__xludf.DUMMYFUNCTION("""COMPUTED_VALUE"""),"Spectres")</f>
        <v>Spectres</v>
      </c>
      <c r="E360" s="41">
        <f>IFERROR(__xludf.DUMMYFUNCTION("""COMPUTED_VALUE"""),2.0)</f>
        <v>2</v>
      </c>
      <c r="F360" s="41">
        <f>IFERROR(__xludf.DUMMYFUNCTION("""COMPUTED_VALUE"""),1695.0)</f>
        <v>1695</v>
      </c>
    </row>
    <row r="361">
      <c r="A361" s="41" t="b">
        <f>IFERROR(__xludf.DUMMYFUNCTION("""COMPUTED_VALUE"""),TRUE)</f>
        <v>1</v>
      </c>
      <c r="B361" s="41" t="str">
        <f>IFERROR(__xludf.DUMMYFUNCTION("""COMPUTED_VALUE"""),"RSC003831")</f>
        <v>RSC003831</v>
      </c>
      <c r="C361" s="41" t="str">
        <f>IFERROR(__xludf.DUMMYFUNCTION("""COMPUTED_VALUE"""),"Aki")</f>
        <v>Aki</v>
      </c>
      <c r="D361" s="41" t="str">
        <f>IFERROR(__xludf.DUMMYFUNCTION("""COMPUTED_VALUE"""),"Ghastly Goombahs")</f>
        <v>Ghastly Goombahs</v>
      </c>
      <c r="E361" s="41">
        <f>IFERROR(__xludf.DUMMYFUNCTION("""COMPUTED_VALUE"""),2.0)</f>
        <v>2</v>
      </c>
      <c r="F361" s="41">
        <f>IFERROR(__xludf.DUMMYFUNCTION("""COMPUTED_VALUE"""),1575.0)</f>
        <v>1575</v>
      </c>
    </row>
    <row r="362">
      <c r="A362" s="41" t="b">
        <f>IFERROR(__xludf.DUMMYFUNCTION("""COMPUTED_VALUE"""),TRUE)</f>
        <v>1</v>
      </c>
      <c r="B362" s="41" t="str">
        <f>IFERROR(__xludf.DUMMYFUNCTION("""COMPUTED_VALUE"""),"RSC003104")</f>
        <v>RSC003104</v>
      </c>
      <c r="C362" s="41" t="str">
        <f>IFERROR(__xludf.DUMMYFUNCTION("""COMPUTED_VALUE"""),"nizz")</f>
        <v>nizz</v>
      </c>
      <c r="D362" s="41" t="str">
        <f>IFERROR(__xludf.DUMMYFUNCTION("""COMPUTED_VALUE"""),"Folks")</f>
        <v>Folks</v>
      </c>
      <c r="E362" s="41">
        <f>IFERROR(__xludf.DUMMYFUNCTION("""COMPUTED_VALUE"""),1.0)</f>
        <v>1</v>
      </c>
      <c r="F362" s="41">
        <f>IFERROR(__xludf.DUMMYFUNCTION("""COMPUTED_VALUE"""),1405.0)</f>
        <v>1405</v>
      </c>
    </row>
    <row r="363">
      <c r="A363" s="41" t="b">
        <f>IFERROR(__xludf.DUMMYFUNCTION("""COMPUTED_VALUE"""),TRUE)</f>
        <v>1</v>
      </c>
      <c r="B363" s="41" t="str">
        <f>IFERROR(__xludf.DUMMYFUNCTION("""COMPUTED_VALUE"""),"RSC004220")</f>
        <v>RSC004220</v>
      </c>
      <c r="C363" s="41" t="str">
        <f>IFERROR(__xludf.DUMMYFUNCTION("""COMPUTED_VALUE"""),"Logixaal")</f>
        <v>Logixaal</v>
      </c>
      <c r="D363" s="41" t="str">
        <f>IFERROR(__xludf.DUMMYFUNCTION("""COMPUTED_VALUE"""),"Makos")</f>
        <v>Makos</v>
      </c>
      <c r="E363" s="41">
        <f>IFERROR(__xludf.DUMMYFUNCTION("""COMPUTED_VALUE"""),2.0)</f>
        <v>2</v>
      </c>
      <c r="F363" s="41">
        <f>IFERROR(__xludf.DUMMYFUNCTION("""COMPUTED_VALUE"""),1470.0)</f>
        <v>1470</v>
      </c>
    </row>
    <row r="364">
      <c r="A364" s="41" t="b">
        <f>IFERROR(__xludf.DUMMYFUNCTION("""COMPUTED_VALUE"""),TRUE)</f>
        <v>1</v>
      </c>
      <c r="B364" s="41" t="str">
        <f>IFERROR(__xludf.DUMMYFUNCTION("""COMPUTED_VALUE"""),"RSC004132")</f>
        <v>RSC004132</v>
      </c>
      <c r="C364" s="41" t="str">
        <f>IFERROR(__xludf.DUMMYFUNCTION("""COMPUTED_VALUE"""),"RobFromCSA")</f>
        <v>RobFromCSA</v>
      </c>
      <c r="D364" s="41" t="str">
        <f>IFERROR(__xludf.DUMMYFUNCTION("""COMPUTED_VALUE"""),"Andromeda")</f>
        <v>Andromeda</v>
      </c>
      <c r="E364" s="41">
        <f>IFERROR(__xludf.DUMMYFUNCTION("""COMPUTED_VALUE"""),2.0)</f>
        <v>2</v>
      </c>
      <c r="F364" s="41">
        <f>IFERROR(__xludf.DUMMYFUNCTION("""COMPUTED_VALUE"""),1750.0)</f>
        <v>1750</v>
      </c>
    </row>
    <row r="365">
      <c r="A365" s="41" t="b">
        <f>IFERROR(__xludf.DUMMYFUNCTION("""COMPUTED_VALUE"""),TRUE)</f>
        <v>1</v>
      </c>
      <c r="B365" s="41" t="str">
        <f>IFERROR(__xludf.DUMMYFUNCTION("""COMPUTED_VALUE"""),"RSC003749")</f>
        <v>RSC003749</v>
      </c>
      <c r="C365" s="41" t="str">
        <f>IFERROR(__xludf.DUMMYFUNCTION("""COMPUTED_VALUE"""),"Rule")</f>
        <v>Rule</v>
      </c>
      <c r="D365" s="41" t="str">
        <f>IFERROR(__xludf.DUMMYFUNCTION("""COMPUTED_VALUE"""),"Crooked Capos")</f>
        <v>Crooked Capos</v>
      </c>
      <c r="E365" s="41">
        <f>IFERROR(__xludf.DUMMYFUNCTION("""COMPUTED_VALUE"""),2.0)</f>
        <v>2</v>
      </c>
      <c r="F365" s="41">
        <f>IFERROR(__xludf.DUMMYFUNCTION("""COMPUTED_VALUE"""),1845.0)</f>
        <v>1845</v>
      </c>
    </row>
    <row r="366">
      <c r="A366" s="41" t="b">
        <f>IFERROR(__xludf.DUMMYFUNCTION("""COMPUTED_VALUE"""),TRUE)</f>
        <v>1</v>
      </c>
      <c r="B366" s="41" t="str">
        <f>IFERROR(__xludf.DUMMYFUNCTION("""COMPUTED_VALUE"""),"RSC003836")</f>
        <v>RSC003836</v>
      </c>
      <c r="C366" s="41" t="str">
        <f>IFERROR(__xludf.DUMMYFUNCTION("""COMPUTED_VALUE"""),"Chronicle")</f>
        <v>Chronicle</v>
      </c>
      <c r="D366" s="41" t="str">
        <f>IFERROR(__xludf.DUMMYFUNCTION("""COMPUTED_VALUE"""),"Toucans")</f>
        <v>Toucans</v>
      </c>
      <c r="E366" s="41">
        <f>IFERROR(__xludf.DUMMYFUNCTION("""COMPUTED_VALUE"""),2.0)</f>
        <v>2</v>
      </c>
      <c r="F366" s="41">
        <f>IFERROR(__xludf.DUMMYFUNCTION("""COMPUTED_VALUE"""),1210.0)</f>
        <v>1210</v>
      </c>
    </row>
    <row r="367">
      <c r="A367" s="41" t="b">
        <f>IFERROR(__xludf.DUMMYFUNCTION("""COMPUTED_VALUE"""),TRUE)</f>
        <v>1</v>
      </c>
      <c r="B367" s="41" t="str">
        <f>IFERROR(__xludf.DUMMYFUNCTION("""COMPUTED_VALUE"""),"RSC003450")</f>
        <v>RSC003450</v>
      </c>
      <c r="C367" s="41" t="str">
        <f>IFERROR(__xludf.DUMMYFUNCTION("""COMPUTED_VALUE"""),"ChronoElevated")</f>
        <v>ChronoElevated</v>
      </c>
      <c r="D367" s="41"/>
      <c r="E367" s="41">
        <f>IFERROR(__xludf.DUMMYFUNCTION("""COMPUTED_VALUE"""),0.0)</f>
        <v>0</v>
      </c>
      <c r="F367" s="41">
        <f>IFERROR(__xludf.DUMMYFUNCTION("""COMPUTED_VALUE"""),1195.0)</f>
        <v>1195</v>
      </c>
    </row>
    <row r="368">
      <c r="A368" s="41" t="b">
        <f>IFERROR(__xludf.DUMMYFUNCTION("""COMPUTED_VALUE"""),TRUE)</f>
        <v>1</v>
      </c>
      <c r="B368" s="41" t="str">
        <f>IFERROR(__xludf.DUMMYFUNCTION("""COMPUTED_VALUE"""),"RSC003697")</f>
        <v>RSC003697</v>
      </c>
      <c r="C368" s="41" t="str">
        <f>IFERROR(__xludf.DUMMYFUNCTION("""COMPUTED_VALUE"""),"IBRN_Death")</f>
        <v>IBRN_Death</v>
      </c>
      <c r="D368" s="41"/>
      <c r="E368" s="41">
        <f>IFERROR(__xludf.DUMMYFUNCTION("""COMPUTED_VALUE"""),0.0)</f>
        <v>0</v>
      </c>
      <c r="F368" s="41">
        <f>IFERROR(__xludf.DUMMYFUNCTION("""COMPUTED_VALUE"""),1115.0)</f>
        <v>1115</v>
      </c>
    </row>
    <row r="369">
      <c r="A369" s="41" t="b">
        <f>IFERROR(__xludf.DUMMYFUNCTION("""COMPUTED_VALUE"""),TRUE)</f>
        <v>1</v>
      </c>
      <c r="B369" s="41" t="str">
        <f>IFERROR(__xludf.DUMMYFUNCTION("""COMPUTED_VALUE"""),"RSC004190")</f>
        <v>RSC004190</v>
      </c>
      <c r="C369" s="41" t="str">
        <f>IFERROR(__xludf.DUMMYFUNCTION("""COMPUTED_VALUE"""),"Demonikgoat4061")</f>
        <v>Demonikgoat4061</v>
      </c>
      <c r="D369" s="41"/>
      <c r="E369" s="41">
        <f>IFERROR(__xludf.DUMMYFUNCTION("""COMPUTED_VALUE"""),0.0)</f>
        <v>0</v>
      </c>
      <c r="F369" s="41">
        <f>IFERROR(__xludf.DUMMYFUNCTION("""COMPUTED_VALUE"""),840.0)</f>
        <v>840</v>
      </c>
    </row>
    <row r="370">
      <c r="A370" s="41" t="b">
        <f>IFERROR(__xludf.DUMMYFUNCTION("""COMPUTED_VALUE"""),TRUE)</f>
        <v>1</v>
      </c>
      <c r="B370" s="41" t="str">
        <f>IFERROR(__xludf.DUMMYFUNCTION("""COMPUTED_VALUE"""),"RSC003335")</f>
        <v>RSC003335</v>
      </c>
      <c r="C370" s="41" t="str">
        <f>IFERROR(__xludf.DUMMYFUNCTION("""COMPUTED_VALUE"""),"xEaglex20x")</f>
        <v>xEaglex20x</v>
      </c>
      <c r="D370" s="41"/>
      <c r="E370" s="41">
        <f>IFERROR(__xludf.DUMMYFUNCTION("""COMPUTED_VALUE"""),0.0)</f>
        <v>0</v>
      </c>
      <c r="F370" s="41">
        <f>IFERROR(__xludf.DUMMYFUNCTION("""COMPUTED_VALUE"""),1115.0)</f>
        <v>1115</v>
      </c>
    </row>
    <row r="371">
      <c r="A371" s="41" t="b">
        <f>IFERROR(__xludf.DUMMYFUNCTION("""COMPUTED_VALUE"""),TRUE)</f>
        <v>1</v>
      </c>
      <c r="B371" s="41" t="str">
        <f>IFERROR(__xludf.DUMMYFUNCTION("""COMPUTED_VALUE"""),"RSC004090")</f>
        <v>RSC004090</v>
      </c>
      <c r="C371" s="41" t="str">
        <f>IFERROR(__xludf.DUMMYFUNCTION("""COMPUTED_VALUE"""),"LikeWisse")</f>
        <v>LikeWisse</v>
      </c>
      <c r="D371" s="41" t="str">
        <f>IFERROR(__xludf.DUMMYFUNCTION("""COMPUTED_VALUE"""),"Super Clusters")</f>
        <v>Super Clusters</v>
      </c>
      <c r="E371" s="41">
        <f>IFERROR(__xludf.DUMMYFUNCTION("""COMPUTED_VALUE"""),1.0)</f>
        <v>1</v>
      </c>
      <c r="F371" s="41">
        <f>IFERROR(__xludf.DUMMYFUNCTION("""COMPUTED_VALUE"""),1860.0)</f>
        <v>1860</v>
      </c>
    </row>
    <row r="372">
      <c r="A372" s="41" t="b">
        <f>IFERROR(__xludf.DUMMYFUNCTION("""COMPUTED_VALUE"""),TRUE)</f>
        <v>1</v>
      </c>
      <c r="B372" s="41" t="str">
        <f>IFERROR(__xludf.DUMMYFUNCTION("""COMPUTED_VALUE"""),"RSC003238")</f>
        <v>RSC003238</v>
      </c>
      <c r="C372" s="41" t="str">
        <f>IFERROR(__xludf.DUMMYFUNCTION("""COMPUTED_VALUE"""),"Kanye_West_ 2028")</f>
        <v>Kanye_West_ 2028</v>
      </c>
      <c r="D372" s="41" t="str">
        <f>IFERROR(__xludf.DUMMYFUNCTION("""COMPUTED_VALUE"""),"Supernova")</f>
        <v>Supernova</v>
      </c>
      <c r="E372" s="41">
        <f>IFERROR(__xludf.DUMMYFUNCTION("""COMPUTED_VALUE"""),1.0)</f>
        <v>1</v>
      </c>
      <c r="F372" s="41">
        <f>IFERROR(__xludf.DUMMYFUNCTION("""COMPUTED_VALUE"""),1465.0)</f>
        <v>1465</v>
      </c>
    </row>
    <row r="373">
      <c r="A373" s="41" t="b">
        <f>IFERROR(__xludf.DUMMYFUNCTION("""COMPUTED_VALUE"""),TRUE)</f>
        <v>1</v>
      </c>
      <c r="B373" s="41" t="str">
        <f>IFERROR(__xludf.DUMMYFUNCTION("""COMPUTED_VALUE"""),"RSC003804")</f>
        <v>RSC003804</v>
      </c>
      <c r="C373" s="41" t="str">
        <f>IFERROR(__xludf.DUMMYFUNCTION("""COMPUTED_VALUE"""),"ayylo")</f>
        <v>ayylo</v>
      </c>
      <c r="D373" s="41"/>
      <c r="E373" s="41">
        <f>IFERROR(__xludf.DUMMYFUNCTION("""COMPUTED_VALUE"""),0.0)</f>
        <v>0</v>
      </c>
      <c r="F373" s="41">
        <f>IFERROR(__xludf.DUMMYFUNCTION("""COMPUTED_VALUE"""),1800.0)</f>
        <v>1800</v>
      </c>
    </row>
    <row r="374">
      <c r="A374" s="41" t="b">
        <f>IFERROR(__xludf.DUMMYFUNCTION("""COMPUTED_VALUE"""),TRUE)</f>
        <v>1</v>
      </c>
      <c r="B374" s="41" t="str">
        <f>IFERROR(__xludf.DUMMYFUNCTION("""COMPUTED_VALUE"""),"RSC004565")</f>
        <v>RSC004565</v>
      </c>
      <c r="C374" s="41" t="str">
        <f>IFERROR(__xludf.DUMMYFUNCTION("""COMPUTED_VALUE"""),"Ole.Mr.Bison.")</f>
        <v>Ole.Mr.Bison.</v>
      </c>
      <c r="D374" s="41" t="str">
        <f>IFERROR(__xludf.DUMMYFUNCTION("""COMPUTED_VALUE"""),"Panda Bears")</f>
        <v>Panda Bears</v>
      </c>
      <c r="E374" s="41">
        <f>IFERROR(__xludf.DUMMYFUNCTION("""COMPUTED_VALUE"""),1.0)</f>
        <v>1</v>
      </c>
      <c r="F374" s="41">
        <f>IFERROR(__xludf.DUMMYFUNCTION("""COMPUTED_VALUE"""),1140.0)</f>
        <v>1140</v>
      </c>
    </row>
    <row r="375">
      <c r="A375" s="41" t="b">
        <f>IFERROR(__xludf.DUMMYFUNCTION("""COMPUTED_VALUE"""),TRUE)</f>
        <v>1</v>
      </c>
      <c r="B375" s="41" t="str">
        <f>IFERROR(__xludf.DUMMYFUNCTION("""COMPUTED_VALUE"""),"RSC004394")</f>
        <v>RSC004394</v>
      </c>
      <c r="C375" s="41" t="str">
        <f>IFERROR(__xludf.DUMMYFUNCTION("""COMPUTED_VALUE"""),"chis")</f>
        <v>chis</v>
      </c>
      <c r="D375" s="41" t="str">
        <f>IFERROR(__xludf.DUMMYFUNCTION("""COMPUTED_VALUE"""),"Gouda Gangsters")</f>
        <v>Gouda Gangsters</v>
      </c>
      <c r="E375" s="41">
        <f>IFERROR(__xludf.DUMMYFUNCTION("""COMPUTED_VALUE"""),2.0)</f>
        <v>2</v>
      </c>
      <c r="F375" s="41">
        <f>IFERROR(__xludf.DUMMYFUNCTION("""COMPUTED_VALUE"""),1495.0)</f>
        <v>1495</v>
      </c>
    </row>
    <row r="376">
      <c r="A376" s="41" t="b">
        <f>IFERROR(__xludf.DUMMYFUNCTION("""COMPUTED_VALUE"""),TRUE)</f>
        <v>1</v>
      </c>
      <c r="B376" s="41" t="str">
        <f>IFERROR(__xludf.DUMMYFUNCTION("""COMPUTED_VALUE"""),"RSC004889")</f>
        <v>RSC004889</v>
      </c>
      <c r="C376" s="41" t="str">
        <f>IFERROR(__xludf.DUMMYFUNCTION("""COMPUTED_VALUE"""),"Steeltoehammer")</f>
        <v>Steeltoehammer</v>
      </c>
      <c r="D376" s="41" t="str">
        <f>IFERROR(__xludf.DUMMYFUNCTION("""COMPUTED_VALUE"""),"Commanders")</f>
        <v>Commanders</v>
      </c>
      <c r="E376" s="41">
        <f>IFERROR(__xludf.DUMMYFUNCTION("""COMPUTED_VALUE"""),2.0)</f>
        <v>2</v>
      </c>
      <c r="F376" s="41">
        <f>IFERROR(__xludf.DUMMYFUNCTION("""COMPUTED_VALUE"""),1530.0)</f>
        <v>1530</v>
      </c>
    </row>
    <row r="377">
      <c r="A377" s="41" t="b">
        <f>IFERROR(__xludf.DUMMYFUNCTION("""COMPUTED_VALUE"""),TRUE)</f>
        <v>1</v>
      </c>
      <c r="B377" s="41" t="str">
        <f>IFERROR(__xludf.DUMMYFUNCTION("""COMPUTED_VALUE"""),"RSC004863")</f>
        <v>RSC004863</v>
      </c>
      <c r="C377" s="41" t="str">
        <f>IFERROR(__xludf.DUMMYFUNCTION("""COMPUTED_VALUE"""),"wicked")</f>
        <v>wicked</v>
      </c>
      <c r="D377" s="41" t="str">
        <f>IFERROR(__xludf.DUMMYFUNCTION("""COMPUTED_VALUE"""),"Despair")</f>
        <v>Despair</v>
      </c>
      <c r="E377" s="41">
        <f>IFERROR(__xludf.DUMMYFUNCTION("""COMPUTED_VALUE"""),1.0)</f>
        <v>1</v>
      </c>
      <c r="F377" s="41">
        <f>IFERROR(__xludf.DUMMYFUNCTION("""COMPUTED_VALUE"""),1595.0)</f>
        <v>1595</v>
      </c>
    </row>
    <row r="378">
      <c r="A378" s="41" t="b">
        <f>IFERROR(__xludf.DUMMYFUNCTION("""COMPUTED_VALUE"""),TRUE)</f>
        <v>1</v>
      </c>
      <c r="B378" s="41" t="str">
        <f>IFERROR(__xludf.DUMMYFUNCTION("""COMPUTED_VALUE"""),"RSC004214")</f>
        <v>RSC004214</v>
      </c>
      <c r="C378" s="41" t="str">
        <f>IFERROR(__xludf.DUMMYFUNCTION("""COMPUTED_VALUE"""),"Miserable")</f>
        <v>Miserable</v>
      </c>
      <c r="D378" s="41" t="str">
        <f>IFERROR(__xludf.DUMMYFUNCTION("""COMPUTED_VALUE"""),"Demons")</f>
        <v>Demons</v>
      </c>
      <c r="E378" s="41">
        <f>IFERROR(__xludf.DUMMYFUNCTION("""COMPUTED_VALUE"""),2.0)</f>
        <v>2</v>
      </c>
      <c r="F378" s="41">
        <f>IFERROR(__xludf.DUMMYFUNCTION("""COMPUTED_VALUE"""),1640.0)</f>
        <v>1640</v>
      </c>
    </row>
    <row r="379">
      <c r="A379" s="41" t="b">
        <f>IFERROR(__xludf.DUMMYFUNCTION("""COMPUTED_VALUE"""),TRUE)</f>
        <v>1</v>
      </c>
      <c r="B379" s="41" t="str">
        <f>IFERROR(__xludf.DUMMYFUNCTION("""COMPUTED_VALUE"""),"RSC004303")</f>
        <v>RSC004303</v>
      </c>
      <c r="C379" s="41" t="str">
        <f>IFERROR(__xludf.DUMMYFUNCTION("""COMPUTED_VALUE"""),"Shogun")</f>
        <v>Shogun</v>
      </c>
      <c r="D379" s="41" t="str">
        <f>IFERROR(__xludf.DUMMYFUNCTION("""COMPUTED_VALUE"""),"Happy B-day Jess")</f>
        <v>Happy B-day Jess</v>
      </c>
      <c r="E379" s="41">
        <f>IFERROR(__xludf.DUMMYFUNCTION("""COMPUTED_VALUE"""),1.0)</f>
        <v>1</v>
      </c>
      <c r="F379" s="41">
        <f>IFERROR(__xludf.DUMMYFUNCTION("""COMPUTED_VALUE"""),1170.0)</f>
        <v>1170</v>
      </c>
    </row>
    <row r="380">
      <c r="A380" s="41" t="b">
        <f>IFERROR(__xludf.DUMMYFUNCTION("""COMPUTED_VALUE"""),FALSE)</f>
        <v>0</v>
      </c>
      <c r="B380" s="41" t="str">
        <f>IFERROR(__xludf.DUMMYFUNCTION("""COMPUTED_VALUE"""),"RSC004763")</f>
        <v>RSC004763</v>
      </c>
      <c r="C380" s="41" t="str">
        <f>IFERROR(__xludf.DUMMYFUNCTION("""COMPUTED_VALUE"""),"Rmuru-")</f>
        <v>Rmuru-</v>
      </c>
      <c r="D380" s="41"/>
      <c r="E380" s="41">
        <f>IFERROR(__xludf.DUMMYFUNCTION("""COMPUTED_VALUE"""),0.0)</f>
        <v>0</v>
      </c>
      <c r="F380" s="41">
        <f>IFERROR(__xludf.DUMMYFUNCTION("""COMPUTED_VALUE"""),1275.0)</f>
        <v>1275</v>
      </c>
    </row>
    <row r="381">
      <c r="A381" s="41" t="b">
        <f>IFERROR(__xludf.DUMMYFUNCTION("""COMPUTED_VALUE"""),TRUE)</f>
        <v>1</v>
      </c>
      <c r="B381" s="41" t="str">
        <f>IFERROR(__xludf.DUMMYFUNCTION("""COMPUTED_VALUE"""),"RSC004844")</f>
        <v>RSC004844</v>
      </c>
      <c r="C381" s="41" t="str">
        <f>IFERROR(__xludf.DUMMYFUNCTION("""COMPUTED_VALUE"""),"Calicat01")</f>
        <v>Calicat01</v>
      </c>
      <c r="D381" s="41" t="str">
        <f>IFERROR(__xludf.DUMMYFUNCTION("""COMPUTED_VALUE"""),"Centuriones")</f>
        <v>Centuriones</v>
      </c>
      <c r="E381" s="41">
        <f>IFERROR(__xludf.DUMMYFUNCTION("""COMPUTED_VALUE"""),1.0)</f>
        <v>1</v>
      </c>
      <c r="F381" s="41">
        <f>IFERROR(__xludf.DUMMYFUNCTION("""COMPUTED_VALUE"""),1250.0)</f>
        <v>1250</v>
      </c>
    </row>
    <row r="382">
      <c r="A382" s="41" t="b">
        <f>IFERROR(__xludf.DUMMYFUNCTION("""COMPUTED_VALUE"""),TRUE)</f>
        <v>1</v>
      </c>
      <c r="B382" s="41" t="str">
        <f>IFERROR(__xludf.DUMMYFUNCTION("""COMPUTED_VALUE"""),"RSC004208")</f>
        <v>RSC004208</v>
      </c>
      <c r="C382" s="41" t="str">
        <f>IFERROR(__xludf.DUMMYFUNCTION("""COMPUTED_VALUE"""),"Super")</f>
        <v>Super</v>
      </c>
      <c r="D382" s="41" t="str">
        <f>IFERROR(__xludf.DUMMYFUNCTION("""COMPUTED_VALUE"""),"Care Bears")</f>
        <v>Care Bears</v>
      </c>
      <c r="E382" s="41">
        <f>IFERROR(__xludf.DUMMYFUNCTION("""COMPUTED_VALUE"""),2.0)</f>
        <v>2</v>
      </c>
      <c r="F382" s="41">
        <f>IFERROR(__xludf.DUMMYFUNCTION("""COMPUTED_VALUE"""),1725.0)</f>
        <v>1725</v>
      </c>
    </row>
    <row r="383">
      <c r="A383" s="41" t="b">
        <f>IFERROR(__xludf.DUMMYFUNCTION("""COMPUTED_VALUE"""),TRUE)</f>
        <v>1</v>
      </c>
      <c r="B383" s="41" t="str">
        <f>IFERROR(__xludf.DUMMYFUNCTION("""COMPUTED_VALUE"""),"RSC004670")</f>
        <v>RSC004670</v>
      </c>
      <c r="C383" s="41" t="str">
        <f>IFERROR(__xludf.DUMMYFUNCTION("""COMPUTED_VALUE"""),"CarnageWolfBite")</f>
        <v>CarnageWolfBite</v>
      </c>
      <c r="D383" s="41" t="str">
        <f>IFERROR(__xludf.DUMMYFUNCTION("""COMPUTED_VALUE"""),"Samurai")</f>
        <v>Samurai</v>
      </c>
      <c r="E383" s="41">
        <f>IFERROR(__xludf.DUMMYFUNCTION("""COMPUTED_VALUE"""),1.0)</f>
        <v>1</v>
      </c>
      <c r="F383" s="41">
        <f>IFERROR(__xludf.DUMMYFUNCTION("""COMPUTED_VALUE"""),1310.0)</f>
        <v>1310</v>
      </c>
    </row>
    <row r="384">
      <c r="A384" s="41" t="b">
        <f>IFERROR(__xludf.DUMMYFUNCTION("""COMPUTED_VALUE"""),TRUE)</f>
        <v>1</v>
      </c>
      <c r="B384" s="41" t="str">
        <f>IFERROR(__xludf.DUMMYFUNCTION("""COMPUTED_VALUE"""),"RSC004462")</f>
        <v>RSC004462</v>
      </c>
      <c r="C384" s="41" t="str">
        <f>IFERROR(__xludf.DUMMYFUNCTION("""COMPUTED_VALUE"""),"Bbcomedian")</f>
        <v>Bbcomedian</v>
      </c>
      <c r="D384" s="41" t="str">
        <f>IFERROR(__xludf.DUMMYFUNCTION("""COMPUTED_VALUE"""),"Kappa")</f>
        <v>Kappa</v>
      </c>
      <c r="E384" s="41">
        <f>IFERROR(__xludf.DUMMYFUNCTION("""COMPUTED_VALUE"""),2.0)</f>
        <v>2</v>
      </c>
      <c r="F384" s="41">
        <f>IFERROR(__xludf.DUMMYFUNCTION("""COMPUTED_VALUE"""),895.0)</f>
        <v>895</v>
      </c>
    </row>
    <row r="385">
      <c r="A385" s="41" t="b">
        <f>IFERROR(__xludf.DUMMYFUNCTION("""COMPUTED_VALUE"""),TRUE)</f>
        <v>1</v>
      </c>
      <c r="B385" s="41" t="str">
        <f>IFERROR(__xludf.DUMMYFUNCTION("""COMPUTED_VALUE"""),"RSC004888")</f>
        <v>RSC004888</v>
      </c>
      <c r="C385" s="41" t="str">
        <f>IFERROR(__xludf.DUMMYFUNCTION("""COMPUTED_VALUE"""),"AgentAnime07")</f>
        <v>AgentAnime07</v>
      </c>
      <c r="D385" s="41" t="str">
        <f>IFERROR(__xludf.DUMMYFUNCTION("""COMPUTED_VALUE"""),"Polar Bears")</f>
        <v>Polar Bears</v>
      </c>
      <c r="E385" s="41">
        <f>IFERROR(__xludf.DUMMYFUNCTION("""COMPUTED_VALUE"""),2.0)</f>
        <v>2</v>
      </c>
      <c r="F385" s="41">
        <f>IFERROR(__xludf.DUMMYFUNCTION("""COMPUTED_VALUE"""),1270.0)</f>
        <v>1270</v>
      </c>
    </row>
    <row r="386">
      <c r="A386" s="41" t="b">
        <f>IFERROR(__xludf.DUMMYFUNCTION("""COMPUTED_VALUE"""),TRUE)</f>
        <v>1</v>
      </c>
      <c r="B386" s="41" t="str">
        <f>IFERROR(__xludf.DUMMYFUNCTION("""COMPUTED_VALUE"""),"RSC004767")</f>
        <v>RSC004767</v>
      </c>
      <c r="C386" s="41" t="str">
        <f>IFERROR(__xludf.DUMMYFUNCTION("""COMPUTED_VALUE"""),"NFURY8")</f>
        <v>NFURY8</v>
      </c>
      <c r="D386" s="41"/>
      <c r="E386" s="41">
        <f>IFERROR(__xludf.DUMMYFUNCTION("""COMPUTED_VALUE"""),0.0)</f>
        <v>0</v>
      </c>
      <c r="F386" s="41">
        <f>IFERROR(__xludf.DUMMYFUNCTION("""COMPUTED_VALUE"""),1545.0)</f>
        <v>1545</v>
      </c>
    </row>
    <row r="387">
      <c r="A387" s="41" t="b">
        <f>IFERROR(__xludf.DUMMYFUNCTION("""COMPUTED_VALUE"""),FALSE)</f>
        <v>0</v>
      </c>
      <c r="B387" s="41" t="str">
        <f>IFERROR(__xludf.DUMMYFUNCTION("""COMPUTED_VALUE"""),"RSC005088")</f>
        <v>RSC005088</v>
      </c>
      <c r="C387" s="41" t="str">
        <f>IFERROR(__xludf.DUMMYFUNCTION("""COMPUTED_VALUE"""),"13")</f>
        <v>13</v>
      </c>
      <c r="D387" s="41"/>
      <c r="E387" s="41">
        <f>IFERROR(__xludf.DUMMYFUNCTION("""COMPUTED_VALUE"""),0.0)</f>
        <v>0</v>
      </c>
      <c r="F387" s="41">
        <f>IFERROR(__xludf.DUMMYFUNCTION("""COMPUTED_VALUE"""),1510.0)</f>
        <v>1510</v>
      </c>
    </row>
    <row r="388">
      <c r="A388" s="41" t="b">
        <f>IFERROR(__xludf.DUMMYFUNCTION("""COMPUTED_VALUE"""),TRUE)</f>
        <v>1</v>
      </c>
      <c r="B388" s="41" t="str">
        <f>IFERROR(__xludf.DUMMYFUNCTION("""COMPUTED_VALUE"""),"RSC005475")</f>
        <v>RSC005475</v>
      </c>
      <c r="C388" s="41" t="str">
        <f>IFERROR(__xludf.DUMMYFUNCTION("""COMPUTED_VALUE"""),"Envy")</f>
        <v>Envy</v>
      </c>
      <c r="D388" s="41" t="str">
        <f>IFERROR(__xludf.DUMMYFUNCTION("""COMPUTED_VALUE"""),"Liars")</f>
        <v>Liars</v>
      </c>
      <c r="E388" s="41">
        <f>IFERROR(__xludf.DUMMYFUNCTION("""COMPUTED_VALUE"""),1.0)</f>
        <v>1</v>
      </c>
      <c r="F388" s="41">
        <f>IFERROR(__xludf.DUMMYFUNCTION("""COMPUTED_VALUE"""),1240.0)</f>
        <v>1240</v>
      </c>
    </row>
    <row r="389">
      <c r="A389" s="41" t="b">
        <f>IFERROR(__xludf.DUMMYFUNCTION("""COMPUTED_VALUE"""),TRUE)</f>
        <v>1</v>
      </c>
      <c r="B389" s="41" t="str">
        <f>IFERROR(__xludf.DUMMYFUNCTION("""COMPUTED_VALUE"""),"RSC005507")</f>
        <v>RSC005507</v>
      </c>
      <c r="C389" s="41" t="str">
        <f>IFERROR(__xludf.DUMMYFUNCTION("""COMPUTED_VALUE"""),"T Sant")</f>
        <v>T Sant</v>
      </c>
      <c r="D389" s="41" t="str">
        <f>IFERROR(__xludf.DUMMYFUNCTION("""COMPUTED_VALUE"""),"Primo")</f>
        <v>Primo</v>
      </c>
      <c r="E389" s="41">
        <f>IFERROR(__xludf.DUMMYFUNCTION("""COMPUTED_VALUE"""),2.0)</f>
        <v>2</v>
      </c>
      <c r="F389" s="41">
        <f>IFERROR(__xludf.DUMMYFUNCTION("""COMPUTED_VALUE"""),1360.0)</f>
        <v>1360</v>
      </c>
    </row>
    <row r="390">
      <c r="A390" s="41" t="b">
        <f>IFERROR(__xludf.DUMMYFUNCTION("""COMPUTED_VALUE"""),FALSE)</f>
        <v>0</v>
      </c>
      <c r="B390" s="41" t="str">
        <f>IFERROR(__xludf.DUMMYFUNCTION("""COMPUTED_VALUE"""),"RSC005375")</f>
        <v>RSC005375</v>
      </c>
      <c r="C390" s="41" t="str">
        <f>IFERROR(__xludf.DUMMYFUNCTION("""COMPUTED_VALUE"""),"Ay G.")</f>
        <v>Ay G.</v>
      </c>
      <c r="D390" s="41"/>
      <c r="E390" s="41">
        <f>IFERROR(__xludf.DUMMYFUNCTION("""COMPUTED_VALUE"""),0.0)</f>
        <v>0</v>
      </c>
      <c r="F390" s="41">
        <f>IFERROR(__xludf.DUMMYFUNCTION("""COMPUTED_VALUE"""),1620.0)</f>
        <v>1620</v>
      </c>
    </row>
    <row r="391">
      <c r="A391" s="41" t="b">
        <f>IFERROR(__xludf.DUMMYFUNCTION("""COMPUTED_VALUE"""),TRUE)</f>
        <v>1</v>
      </c>
      <c r="B391" s="41" t="str">
        <f>IFERROR(__xludf.DUMMYFUNCTION("""COMPUTED_VALUE"""),"RSC005018")</f>
        <v>RSC005018</v>
      </c>
      <c r="C391" s="41" t="str">
        <f>IFERROR(__xludf.DUMMYFUNCTION("""COMPUTED_VALUE"""),"Smitty")</f>
        <v>Smitty</v>
      </c>
      <c r="D391" s="41" t="str">
        <f>IFERROR(__xludf.DUMMYFUNCTION("""COMPUTED_VALUE"""),"Chromatic Chaos")</f>
        <v>Chromatic Chaos</v>
      </c>
      <c r="E391" s="41">
        <f>IFERROR(__xludf.DUMMYFUNCTION("""COMPUTED_VALUE"""),2.0)</f>
        <v>2</v>
      </c>
      <c r="F391" s="41">
        <f>IFERROR(__xludf.DUMMYFUNCTION("""COMPUTED_VALUE"""),1105.0)</f>
        <v>1105</v>
      </c>
    </row>
    <row r="392">
      <c r="A392" s="41" t="b">
        <f>IFERROR(__xludf.DUMMYFUNCTION("""COMPUTED_VALUE"""),TRUE)</f>
        <v>1</v>
      </c>
      <c r="B392" s="41" t="str">
        <f>IFERROR(__xludf.DUMMYFUNCTION("""COMPUTED_VALUE"""),"RSC005154")</f>
        <v>RSC005154</v>
      </c>
      <c r="C392" s="41" t="str">
        <f>IFERROR(__xludf.DUMMYFUNCTION("""COMPUTED_VALUE"""),"TacoBae")</f>
        <v>TacoBae</v>
      </c>
      <c r="D392" s="41" t="str">
        <f>IFERROR(__xludf.DUMMYFUNCTION("""COMPUTED_VALUE"""),"Guards")</f>
        <v>Guards</v>
      </c>
      <c r="E392" s="41">
        <f>IFERROR(__xludf.DUMMYFUNCTION("""COMPUTED_VALUE"""),2.0)</f>
        <v>2</v>
      </c>
      <c r="F392" s="41">
        <f>IFERROR(__xludf.DUMMYFUNCTION("""COMPUTED_VALUE"""),1280.0)</f>
        <v>1280</v>
      </c>
    </row>
    <row r="393">
      <c r="A393" s="41" t="b">
        <f>IFERROR(__xludf.DUMMYFUNCTION("""COMPUTED_VALUE"""),TRUE)</f>
        <v>1</v>
      </c>
      <c r="B393" s="41" t="str">
        <f>IFERROR(__xludf.DUMMYFUNCTION("""COMPUTED_VALUE"""),"RSC005139")</f>
        <v>RSC005139</v>
      </c>
      <c r="C393" s="41" t="str">
        <f>IFERROR(__xludf.DUMMYFUNCTION("""COMPUTED_VALUE"""),"brillo_padd")</f>
        <v>brillo_padd</v>
      </c>
      <c r="D393" s="41" t="str">
        <f>IFERROR(__xludf.DUMMYFUNCTION("""COMPUTED_VALUE"""),"Thunder Pups")</f>
        <v>Thunder Pups</v>
      </c>
      <c r="E393" s="41">
        <f>IFERROR(__xludf.DUMMYFUNCTION("""COMPUTED_VALUE"""),2.0)</f>
        <v>2</v>
      </c>
      <c r="F393" s="41">
        <f>IFERROR(__xludf.DUMMYFUNCTION("""COMPUTED_VALUE"""),1155.0)</f>
        <v>1155</v>
      </c>
    </row>
    <row r="394">
      <c r="A394" s="41" t="b">
        <f>IFERROR(__xludf.DUMMYFUNCTION("""COMPUTED_VALUE"""),TRUE)</f>
        <v>1</v>
      </c>
      <c r="B394" s="41" t="str">
        <f>IFERROR(__xludf.DUMMYFUNCTION("""COMPUTED_VALUE"""),"RSC005508")</f>
        <v>RSC005508</v>
      </c>
      <c r="C394" s="41" t="str">
        <f>IFERROR(__xludf.DUMMYFUNCTION("""COMPUTED_VALUE"""),"Lil Windex")</f>
        <v>Lil Windex</v>
      </c>
      <c r="D394" s="41" t="str">
        <f>IFERROR(__xludf.DUMMYFUNCTION("""COMPUTED_VALUE"""),"Pixel Picassos")</f>
        <v>Pixel Picassos</v>
      </c>
      <c r="E394" s="41">
        <f>IFERROR(__xludf.DUMMYFUNCTION("""COMPUTED_VALUE"""),2.0)</f>
        <v>2</v>
      </c>
      <c r="F394" s="41">
        <f>IFERROR(__xludf.DUMMYFUNCTION("""COMPUTED_VALUE"""),1665.0)</f>
        <v>1665</v>
      </c>
    </row>
    <row r="395">
      <c r="A395" s="41" t="b">
        <f>IFERROR(__xludf.DUMMYFUNCTION("""COMPUTED_VALUE"""),TRUE)</f>
        <v>1</v>
      </c>
      <c r="B395" s="41" t="str">
        <f>IFERROR(__xludf.DUMMYFUNCTION("""COMPUTED_VALUE"""),"RSC005265")</f>
        <v>RSC005265</v>
      </c>
      <c r="C395" s="41" t="str">
        <f>IFERROR(__xludf.DUMMYFUNCTION("""COMPUTED_VALUE"""),"doctorprofessor_")</f>
        <v>doctorprofessor_</v>
      </c>
      <c r="D395" s="41" t="str">
        <f>IFERROR(__xludf.DUMMYFUNCTION("""COMPUTED_VALUE"""),"Centuriones")</f>
        <v>Centuriones</v>
      </c>
      <c r="E395" s="41">
        <f>IFERROR(__xludf.DUMMYFUNCTION("""COMPUTED_VALUE"""),1.0)</f>
        <v>1</v>
      </c>
      <c r="F395" s="41">
        <f>IFERROR(__xludf.DUMMYFUNCTION("""COMPUTED_VALUE"""),1375.0)</f>
        <v>1375</v>
      </c>
    </row>
    <row r="396">
      <c r="A396" s="41" t="b">
        <f>IFERROR(__xludf.DUMMYFUNCTION("""COMPUTED_VALUE"""),TRUE)</f>
        <v>1</v>
      </c>
      <c r="B396" s="41" t="str">
        <f>IFERROR(__xludf.DUMMYFUNCTION("""COMPUTED_VALUE"""),"RSC005257")</f>
        <v>RSC005257</v>
      </c>
      <c r="C396" s="41" t="str">
        <f>IFERROR(__xludf.DUMMYFUNCTION("""COMPUTED_VALUE"""),"P0pfgf")</f>
        <v>P0pfgf</v>
      </c>
      <c r="D396" s="41" t="str">
        <f>IFERROR(__xludf.DUMMYFUNCTION("""COMPUTED_VALUE"""),"Sons of Ares")</f>
        <v>Sons of Ares</v>
      </c>
      <c r="E396" s="41">
        <f>IFERROR(__xludf.DUMMYFUNCTION("""COMPUTED_VALUE"""),2.0)</f>
        <v>2</v>
      </c>
      <c r="F396" s="41">
        <f>IFERROR(__xludf.DUMMYFUNCTION("""COMPUTED_VALUE"""),1495.0)</f>
        <v>1495</v>
      </c>
    </row>
    <row r="397">
      <c r="A397" s="41" t="b">
        <f>IFERROR(__xludf.DUMMYFUNCTION("""COMPUTED_VALUE"""),TRUE)</f>
        <v>1</v>
      </c>
      <c r="B397" s="41" t="str">
        <f>IFERROR(__xludf.DUMMYFUNCTION("""COMPUTED_VALUE"""),"RSC005373")</f>
        <v>RSC005373</v>
      </c>
      <c r="C397" s="41" t="str">
        <f>IFERROR(__xludf.DUMMYFUNCTION("""COMPUTED_VALUE"""),"dvorl.ttv")</f>
        <v>dvorl.ttv</v>
      </c>
      <c r="D397" s="41" t="str">
        <f>IFERROR(__xludf.DUMMYFUNCTION("""COMPUTED_VALUE"""),"Despair")</f>
        <v>Despair</v>
      </c>
      <c r="E397" s="41">
        <f>IFERROR(__xludf.DUMMYFUNCTION("""COMPUTED_VALUE"""),1.0)</f>
        <v>1</v>
      </c>
      <c r="F397" s="41">
        <f>IFERROR(__xludf.DUMMYFUNCTION("""COMPUTED_VALUE"""),1575.0)</f>
        <v>1575</v>
      </c>
    </row>
    <row r="398">
      <c r="A398" s="41" t="b">
        <f>IFERROR(__xludf.DUMMYFUNCTION("""COMPUTED_VALUE"""),TRUE)</f>
        <v>1</v>
      </c>
      <c r="B398" s="41" t="str">
        <f>IFERROR(__xludf.DUMMYFUNCTION("""COMPUTED_VALUE"""),"RSC005236")</f>
        <v>RSC005236</v>
      </c>
      <c r="C398" s="41" t="str">
        <f>IFERROR(__xludf.DUMMYFUNCTION("""COMPUTED_VALUE"""),"Rozi-")</f>
        <v>Rozi-</v>
      </c>
      <c r="D398" s="41" t="str">
        <f>IFERROR(__xludf.DUMMYFUNCTION("""COMPUTED_VALUE"""),"Forest Cobra")</f>
        <v>Forest Cobra</v>
      </c>
      <c r="E398" s="41">
        <f>IFERROR(__xludf.DUMMYFUNCTION("""COMPUTED_VALUE"""),1.0)</f>
        <v>1</v>
      </c>
      <c r="F398" s="41">
        <f>IFERROR(__xludf.DUMMYFUNCTION("""COMPUTED_VALUE"""),1595.0)</f>
        <v>1595</v>
      </c>
    </row>
    <row r="399">
      <c r="A399" s="41" t="b">
        <f>IFERROR(__xludf.DUMMYFUNCTION("""COMPUTED_VALUE"""),TRUE)</f>
        <v>1</v>
      </c>
      <c r="B399" s="41" t="str">
        <f>IFERROR(__xludf.DUMMYFUNCTION("""COMPUTED_VALUE"""),"RSC006877")</f>
        <v>RSC006877</v>
      </c>
      <c r="C399" s="41" t="str">
        <f>IFERROR(__xludf.DUMMYFUNCTION("""COMPUTED_VALUE"""),"Jolt")</f>
        <v>Jolt</v>
      </c>
      <c r="D399" s="41" t="str">
        <f>IFERROR(__xludf.DUMMYFUNCTION("""COMPUTED_VALUE"""),"Thrashers")</f>
        <v>Thrashers</v>
      </c>
      <c r="E399" s="41">
        <f>IFERROR(__xludf.DUMMYFUNCTION("""COMPUTED_VALUE"""),1.0)</f>
        <v>1</v>
      </c>
      <c r="F399" s="41">
        <f>IFERROR(__xludf.DUMMYFUNCTION("""COMPUTED_VALUE"""),1650.0)</f>
        <v>1650</v>
      </c>
    </row>
    <row r="400">
      <c r="A400" s="41" t="b">
        <f>IFERROR(__xludf.DUMMYFUNCTION("""COMPUTED_VALUE"""),TRUE)</f>
        <v>1</v>
      </c>
      <c r="B400" s="41" t="str">
        <f>IFERROR(__xludf.DUMMYFUNCTION("""COMPUTED_VALUE"""),"RSC005290")</f>
        <v>RSC005290</v>
      </c>
      <c r="C400" s="41" t="str">
        <f>IFERROR(__xludf.DUMMYFUNCTION("""COMPUTED_VALUE"""),"IMOLDGREG67")</f>
        <v>IMOLDGREG67</v>
      </c>
      <c r="D400" s="41" t="str">
        <f>IFERROR(__xludf.DUMMYFUNCTION("""COMPUTED_VALUE"""),"Kawaii")</f>
        <v>Kawaii</v>
      </c>
      <c r="E400" s="41">
        <f>IFERROR(__xludf.DUMMYFUNCTION("""COMPUTED_VALUE"""),2.0)</f>
        <v>2</v>
      </c>
      <c r="F400" s="41">
        <f>IFERROR(__xludf.DUMMYFUNCTION("""COMPUTED_VALUE"""),1700.0)</f>
        <v>1700</v>
      </c>
    </row>
    <row r="401">
      <c r="A401" s="41" t="b">
        <f>IFERROR(__xludf.DUMMYFUNCTION("""COMPUTED_VALUE"""),TRUE)</f>
        <v>1</v>
      </c>
      <c r="B401" s="41" t="str">
        <f>IFERROR(__xludf.DUMMYFUNCTION("""COMPUTED_VALUE"""),"RSC005298")</f>
        <v>RSC005298</v>
      </c>
      <c r="C401" s="41" t="str">
        <f>IFERROR(__xludf.DUMMYFUNCTION("""COMPUTED_VALUE"""),"Kaisaroh")</f>
        <v>Kaisaroh</v>
      </c>
      <c r="D401" s="41" t="str">
        <f>IFERROR(__xludf.DUMMYFUNCTION("""COMPUTED_VALUE"""),"Care Bears")</f>
        <v>Care Bears</v>
      </c>
      <c r="E401" s="41">
        <f>IFERROR(__xludf.DUMMYFUNCTION("""COMPUTED_VALUE"""),2.0)</f>
        <v>2</v>
      </c>
      <c r="F401" s="41">
        <f>IFERROR(__xludf.DUMMYFUNCTION("""COMPUTED_VALUE"""),1700.0)</f>
        <v>1700</v>
      </c>
    </row>
    <row r="402">
      <c r="A402" s="41" t="b">
        <f>IFERROR(__xludf.DUMMYFUNCTION("""COMPUTED_VALUE"""),TRUE)</f>
        <v>1</v>
      </c>
      <c r="B402" s="41" t="str">
        <f>IFERROR(__xludf.DUMMYFUNCTION("""COMPUTED_VALUE"""),"RSC005252")</f>
        <v>RSC005252</v>
      </c>
      <c r="C402" s="41" t="str">
        <f>IFERROR(__xludf.DUMMYFUNCTION("""COMPUTED_VALUE"""),"MysticMax07")</f>
        <v>MysticMax07</v>
      </c>
      <c r="D402" s="41" t="str">
        <f>IFERROR(__xludf.DUMMYFUNCTION("""COMPUTED_VALUE"""),"Earth")</f>
        <v>Earth</v>
      </c>
      <c r="E402" s="41">
        <f>IFERROR(__xludf.DUMMYFUNCTION("""COMPUTED_VALUE"""),2.0)</f>
        <v>2</v>
      </c>
      <c r="F402" s="41">
        <f>IFERROR(__xludf.DUMMYFUNCTION("""COMPUTED_VALUE"""),1025.0)</f>
        <v>1025</v>
      </c>
    </row>
    <row r="403">
      <c r="A403" s="41" t="b">
        <f>IFERROR(__xludf.DUMMYFUNCTION("""COMPUTED_VALUE"""),TRUE)</f>
        <v>1</v>
      </c>
      <c r="B403" s="41" t="str">
        <f>IFERROR(__xludf.DUMMYFUNCTION("""COMPUTED_VALUE"""),"RSC005220")</f>
        <v>RSC005220</v>
      </c>
      <c r="C403" s="41" t="str">
        <f>IFERROR(__xludf.DUMMYFUNCTION("""COMPUTED_VALUE"""),"Swax")</f>
        <v>Swax</v>
      </c>
      <c r="D403" s="41" t="str">
        <f>IFERROR(__xludf.DUMMYFUNCTION("""COMPUTED_VALUE"""),"Spectres")</f>
        <v>Spectres</v>
      </c>
      <c r="E403" s="41">
        <f>IFERROR(__xludf.DUMMYFUNCTION("""COMPUTED_VALUE"""),1.0)</f>
        <v>1</v>
      </c>
      <c r="F403" s="41">
        <f>IFERROR(__xludf.DUMMYFUNCTION("""COMPUTED_VALUE"""),1705.0)</f>
        <v>1705</v>
      </c>
    </row>
    <row r="404">
      <c r="A404" s="41" t="b">
        <f>IFERROR(__xludf.DUMMYFUNCTION("""COMPUTED_VALUE"""),TRUE)</f>
        <v>1</v>
      </c>
      <c r="B404" s="41" t="str">
        <f>IFERROR(__xludf.DUMMYFUNCTION("""COMPUTED_VALUE"""),"RSC005234")</f>
        <v>RSC005234</v>
      </c>
      <c r="C404" s="41" t="str">
        <f>IFERROR(__xludf.DUMMYFUNCTION("""COMPUTED_VALUE"""),"Hirsch")</f>
        <v>Hirsch</v>
      </c>
      <c r="D404" s="41" t="str">
        <f>IFERROR(__xludf.DUMMYFUNCTION("""COMPUTED_VALUE"""),"Oblivion")</f>
        <v>Oblivion</v>
      </c>
      <c r="E404" s="41">
        <f>IFERROR(__xludf.DUMMYFUNCTION("""COMPUTED_VALUE"""),2.0)</f>
        <v>2</v>
      </c>
      <c r="F404" s="41">
        <f>IFERROR(__xludf.DUMMYFUNCTION("""COMPUTED_VALUE"""),1705.0)</f>
        <v>1705</v>
      </c>
    </row>
    <row r="405">
      <c r="A405" s="41" t="b">
        <f>IFERROR(__xludf.DUMMYFUNCTION("""COMPUTED_VALUE"""),TRUE)</f>
        <v>1</v>
      </c>
      <c r="B405" s="41" t="str">
        <f>IFERROR(__xludf.DUMMYFUNCTION("""COMPUTED_VALUE"""),"RSC005253")</f>
        <v>RSC005253</v>
      </c>
      <c r="C405" s="41" t="str">
        <f>IFERROR(__xludf.DUMMYFUNCTION("""COMPUTED_VALUE"""),"dinnindu")</f>
        <v>dinnindu</v>
      </c>
      <c r="D405" s="41" t="str">
        <f>IFERROR(__xludf.DUMMYFUNCTION("""COMPUTED_VALUE"""),"Wind")</f>
        <v>Wind</v>
      </c>
      <c r="E405" s="41">
        <f>IFERROR(__xludf.DUMMYFUNCTION("""COMPUTED_VALUE"""),2.0)</f>
        <v>2</v>
      </c>
      <c r="F405" s="41">
        <f>IFERROR(__xludf.DUMMYFUNCTION("""COMPUTED_VALUE"""),1285.0)</f>
        <v>1285</v>
      </c>
    </row>
    <row r="406">
      <c r="A406" s="41" t="b">
        <f>IFERROR(__xludf.DUMMYFUNCTION("""COMPUTED_VALUE"""),TRUE)</f>
        <v>1</v>
      </c>
      <c r="B406" s="41" t="str">
        <f>IFERROR(__xludf.DUMMYFUNCTION("""COMPUTED_VALUE"""),"RSC005570")</f>
        <v>RSC005570</v>
      </c>
      <c r="C406" s="41" t="str">
        <f>IFERROR(__xludf.DUMMYFUNCTION("""COMPUTED_VALUE"""),"Lupo")</f>
        <v>Lupo</v>
      </c>
      <c r="D406" s="41"/>
      <c r="E406" s="41">
        <f>IFERROR(__xludf.DUMMYFUNCTION("""COMPUTED_VALUE"""),2.0)</f>
        <v>2</v>
      </c>
      <c r="F406" s="41">
        <f>IFERROR(__xludf.DUMMYFUNCTION("""COMPUTED_VALUE"""),1075.0)</f>
        <v>1075</v>
      </c>
    </row>
    <row r="407">
      <c r="A407" s="41" t="b">
        <f>IFERROR(__xludf.DUMMYFUNCTION("""COMPUTED_VALUE"""),TRUE)</f>
        <v>1</v>
      </c>
      <c r="B407" s="41" t="str">
        <f>IFERROR(__xludf.DUMMYFUNCTION("""COMPUTED_VALUE"""),"RSC005294")</f>
        <v>RSC005294</v>
      </c>
      <c r="C407" s="41" t="str">
        <f>IFERROR(__xludf.DUMMYFUNCTION("""COMPUTED_VALUE"""),"mogulmaniac5480")</f>
        <v>mogulmaniac5480</v>
      </c>
      <c r="D407" s="41" t="str">
        <f>IFERROR(__xludf.DUMMYFUNCTION("""COMPUTED_VALUE"""),"Gorillas")</f>
        <v>Gorillas</v>
      </c>
      <c r="E407" s="41">
        <f>IFERROR(__xludf.DUMMYFUNCTION("""COMPUTED_VALUE"""),1.0)</f>
        <v>1</v>
      </c>
      <c r="F407" s="41">
        <f>IFERROR(__xludf.DUMMYFUNCTION("""COMPUTED_VALUE"""),1410.0)</f>
        <v>1410</v>
      </c>
    </row>
    <row r="408">
      <c r="A408" s="41" t="b">
        <f>IFERROR(__xludf.DUMMYFUNCTION("""COMPUTED_VALUE"""),TRUE)</f>
        <v>1</v>
      </c>
      <c r="B408" s="41" t="str">
        <f>IFERROR(__xludf.DUMMYFUNCTION("""COMPUTED_VALUE"""),"RSC005219")</f>
        <v>RSC005219</v>
      </c>
      <c r="C408" s="41" t="str">
        <f>IFERROR(__xludf.DUMMYFUNCTION("""COMPUTED_VALUE"""),"iargue")</f>
        <v>iargue</v>
      </c>
      <c r="D408" s="41" t="str">
        <f>IFERROR(__xludf.DUMMYFUNCTION("""COMPUTED_VALUE"""),"Shade")</f>
        <v>Shade</v>
      </c>
      <c r="E408" s="41">
        <f>IFERROR(__xludf.DUMMYFUNCTION("""COMPUTED_VALUE"""),1.0)</f>
        <v>1</v>
      </c>
      <c r="F408" s="41">
        <f>IFERROR(__xludf.DUMMYFUNCTION("""COMPUTED_VALUE"""),1155.0)</f>
        <v>1155</v>
      </c>
    </row>
    <row r="409">
      <c r="A409" s="41" t="b">
        <f>IFERROR(__xludf.DUMMYFUNCTION("""COMPUTED_VALUE"""),TRUE)</f>
        <v>1</v>
      </c>
      <c r="B409" s="41" t="str">
        <f>IFERROR(__xludf.DUMMYFUNCTION("""COMPUTED_VALUE"""),"RSC005308")</f>
        <v>RSC005308</v>
      </c>
      <c r="C409" s="41" t="str">
        <f>IFERROR(__xludf.DUMMYFUNCTION("""COMPUTED_VALUE"""),"6 lbs of Yeet")</f>
        <v>6 lbs of Yeet</v>
      </c>
      <c r="D409" s="41" t="str">
        <f>IFERROR(__xludf.DUMMYFUNCTION("""COMPUTED_VALUE"""),"Pixel Picassos")</f>
        <v>Pixel Picassos</v>
      </c>
      <c r="E409" s="41">
        <f>IFERROR(__xludf.DUMMYFUNCTION("""COMPUTED_VALUE"""),1.0)</f>
        <v>1</v>
      </c>
      <c r="F409" s="41">
        <f>IFERROR(__xludf.DUMMYFUNCTION("""COMPUTED_VALUE"""),1520.0)</f>
        <v>1520</v>
      </c>
    </row>
    <row r="410">
      <c r="A410" s="41" t="b">
        <f>IFERROR(__xludf.DUMMYFUNCTION("""COMPUTED_VALUE"""),TRUE)</f>
        <v>1</v>
      </c>
      <c r="B410" s="41" t="str">
        <f>IFERROR(__xludf.DUMMYFUNCTION("""COMPUTED_VALUE"""),"RSC005170")</f>
        <v>RSC005170</v>
      </c>
      <c r="C410" s="41" t="str">
        <f>IFERROR(__xludf.DUMMYFUNCTION("""COMPUTED_VALUE"""),"FrenchyNF")</f>
        <v>FrenchyNF</v>
      </c>
      <c r="D410" s="41" t="str">
        <f>IFERROR(__xludf.DUMMYFUNCTION("""COMPUTED_VALUE"""),"Feta Forgers")</f>
        <v>Feta Forgers</v>
      </c>
      <c r="E410" s="41">
        <f>IFERROR(__xludf.DUMMYFUNCTION("""COMPUTED_VALUE"""),2.0)</f>
        <v>2</v>
      </c>
      <c r="F410" s="41">
        <f>IFERROR(__xludf.DUMMYFUNCTION("""COMPUTED_VALUE"""),1915.0)</f>
        <v>1915</v>
      </c>
    </row>
    <row r="411">
      <c r="A411" s="41" t="b">
        <f>IFERROR(__xludf.DUMMYFUNCTION("""COMPUTED_VALUE"""),TRUE)</f>
        <v>1</v>
      </c>
      <c r="B411" s="41" t="str">
        <f>IFERROR(__xludf.DUMMYFUNCTION("""COMPUTED_VALUE"""),"RSC006018")</f>
        <v>RSC006018</v>
      </c>
      <c r="C411" s="41" t="str">
        <f>IFERROR(__xludf.DUMMYFUNCTION("""COMPUTED_VALUE"""),"Braamse")</f>
        <v>Braamse</v>
      </c>
      <c r="D411" s="41" t="str">
        <f>IFERROR(__xludf.DUMMYFUNCTION("""COMPUTED_VALUE"""),"Banshees")</f>
        <v>Banshees</v>
      </c>
      <c r="E411" s="41">
        <f>IFERROR(__xludf.DUMMYFUNCTION("""COMPUTED_VALUE"""),2.0)</f>
        <v>2</v>
      </c>
      <c r="F411" s="41">
        <f>IFERROR(__xludf.DUMMYFUNCTION("""COMPUTED_VALUE"""),1450.0)</f>
        <v>1450</v>
      </c>
    </row>
    <row r="412">
      <c r="A412" s="41" t="b">
        <f>IFERROR(__xludf.DUMMYFUNCTION("""COMPUTED_VALUE"""),TRUE)</f>
        <v>1</v>
      </c>
      <c r="B412" s="41" t="str">
        <f>IFERROR(__xludf.DUMMYFUNCTION("""COMPUTED_VALUE"""),"RSC005934")</f>
        <v>RSC005934</v>
      </c>
      <c r="C412" s="41" t="str">
        <f>IFERROR(__xludf.DUMMYFUNCTION("""COMPUTED_VALUE"""),"TheodoreThe2")</f>
        <v>TheodoreThe2</v>
      </c>
      <c r="D412" s="41" t="str">
        <f>IFERROR(__xludf.DUMMYFUNCTION("""COMPUTED_VALUE"""),"White Collars")</f>
        <v>White Collars</v>
      </c>
      <c r="E412" s="41">
        <f>IFERROR(__xludf.DUMMYFUNCTION("""COMPUTED_VALUE"""),2.0)</f>
        <v>2</v>
      </c>
      <c r="F412" s="41">
        <f>IFERROR(__xludf.DUMMYFUNCTION("""COMPUTED_VALUE"""),1385.0)</f>
        <v>1385</v>
      </c>
    </row>
    <row r="413">
      <c r="A413" s="41" t="b">
        <f>IFERROR(__xludf.DUMMYFUNCTION("""COMPUTED_VALUE"""),TRUE)</f>
        <v>1</v>
      </c>
      <c r="B413" s="41" t="str">
        <f>IFERROR(__xludf.DUMMYFUNCTION("""COMPUTED_VALUE"""),"RSC005689")</f>
        <v>RSC005689</v>
      </c>
      <c r="C413" s="41" t="str">
        <f>IFERROR(__xludf.DUMMYFUNCTION("""COMPUTED_VALUE"""),"Wntr")</f>
        <v>Wntr</v>
      </c>
      <c r="D413" s="41"/>
      <c r="E413" s="41">
        <f>IFERROR(__xludf.DUMMYFUNCTION("""COMPUTED_VALUE"""),0.0)</f>
        <v>0</v>
      </c>
      <c r="F413" s="41">
        <f>IFERROR(__xludf.DUMMYFUNCTION("""COMPUTED_VALUE"""),1440.0)</f>
        <v>1440</v>
      </c>
    </row>
    <row r="414">
      <c r="A414" s="41" t="b">
        <f>IFERROR(__xludf.DUMMYFUNCTION("""COMPUTED_VALUE"""),TRUE)</f>
        <v>1</v>
      </c>
      <c r="B414" s="41" t="str">
        <f>IFERROR(__xludf.DUMMYFUNCTION("""COMPUTED_VALUE"""),"RSC005909")</f>
        <v>RSC005909</v>
      </c>
      <c r="C414" s="41" t="str">
        <f>IFERROR(__xludf.DUMMYFUNCTION("""COMPUTED_VALUE"""),"YadiCraft")</f>
        <v>YadiCraft</v>
      </c>
      <c r="D414" s="41" t="str">
        <f>IFERROR(__xludf.DUMMYFUNCTION("""COMPUTED_VALUE"""),"Olympic Knights")</f>
        <v>Olympic Knights</v>
      </c>
      <c r="E414" s="41">
        <f>IFERROR(__xludf.DUMMYFUNCTION("""COMPUTED_VALUE"""),2.0)</f>
        <v>2</v>
      </c>
      <c r="F414" s="41">
        <f>IFERROR(__xludf.DUMMYFUNCTION("""COMPUTED_VALUE"""),1080.0)</f>
        <v>1080</v>
      </c>
    </row>
    <row r="415">
      <c r="A415" s="41" t="b">
        <f>IFERROR(__xludf.DUMMYFUNCTION("""COMPUTED_VALUE"""),TRUE)</f>
        <v>1</v>
      </c>
      <c r="B415" s="41" t="str">
        <f>IFERROR(__xludf.DUMMYFUNCTION("""COMPUTED_VALUE"""),"RSC005859")</f>
        <v>RSC005859</v>
      </c>
      <c r="C415" s="41" t="str">
        <f>IFERROR(__xludf.DUMMYFUNCTION("""COMPUTED_VALUE"""),"LedTasso")</f>
        <v>LedTasso</v>
      </c>
      <c r="D415" s="41" t="str">
        <f>IFERROR(__xludf.DUMMYFUNCTION("""COMPUTED_VALUE"""),"Apple Associates")</f>
        <v>Apple Associates</v>
      </c>
      <c r="E415" s="41">
        <f>IFERROR(__xludf.DUMMYFUNCTION("""COMPUTED_VALUE"""),2.0)</f>
        <v>2</v>
      </c>
      <c r="F415" s="41">
        <f>IFERROR(__xludf.DUMMYFUNCTION("""COMPUTED_VALUE"""),1210.0)</f>
        <v>1210</v>
      </c>
    </row>
    <row r="416">
      <c r="A416" s="41" t="b">
        <f>IFERROR(__xludf.DUMMYFUNCTION("""COMPUTED_VALUE"""),TRUE)</f>
        <v>1</v>
      </c>
      <c r="B416" s="41" t="str">
        <f>IFERROR(__xludf.DUMMYFUNCTION("""COMPUTED_VALUE"""),"RSC005714")</f>
        <v>RSC005714</v>
      </c>
      <c r="C416" s="41" t="str">
        <f>IFERROR(__xludf.DUMMYFUNCTION("""COMPUTED_VALUE"""),"T_i_m_o_g")</f>
        <v>T_i_m_o_g</v>
      </c>
      <c r="D416" s="41" t="str">
        <f>IFERROR(__xludf.DUMMYFUNCTION("""COMPUTED_VALUE"""),"Principales")</f>
        <v>Principales</v>
      </c>
      <c r="E416" s="41">
        <f>IFERROR(__xludf.DUMMYFUNCTION("""COMPUTED_VALUE"""),1.0)</f>
        <v>1</v>
      </c>
      <c r="F416" s="41">
        <f>IFERROR(__xludf.DUMMYFUNCTION("""COMPUTED_VALUE"""),1045.0)</f>
        <v>1045</v>
      </c>
    </row>
    <row r="417">
      <c r="A417" s="41" t="b">
        <f>IFERROR(__xludf.DUMMYFUNCTION("""COMPUTED_VALUE"""),TRUE)</f>
        <v>1</v>
      </c>
      <c r="B417" s="41" t="str">
        <f>IFERROR(__xludf.DUMMYFUNCTION("""COMPUTED_VALUE"""),"RSC005705")</f>
        <v>RSC005705</v>
      </c>
      <c r="C417" s="41" t="str">
        <f>IFERROR(__xludf.DUMMYFUNCTION("""COMPUTED_VALUE"""),"Rapidz (Goofy and Silly)")</f>
        <v>Rapidz (Goofy and Silly)</v>
      </c>
      <c r="D417" s="41" t="str">
        <f>IFERROR(__xludf.DUMMYFUNCTION("""COMPUTED_VALUE"""),"Andromeda")</f>
        <v>Andromeda</v>
      </c>
      <c r="E417" s="41">
        <f>IFERROR(__xludf.DUMMYFUNCTION("""COMPUTED_VALUE"""),2.0)</f>
        <v>2</v>
      </c>
      <c r="F417" s="41">
        <f>IFERROR(__xludf.DUMMYFUNCTION("""COMPUTED_VALUE"""),1710.0)</f>
        <v>1710</v>
      </c>
    </row>
    <row r="418">
      <c r="A418" s="41" t="b">
        <f>IFERROR(__xludf.DUMMYFUNCTION("""COMPUTED_VALUE"""),FALSE)</f>
        <v>0</v>
      </c>
      <c r="B418" s="41" t="str">
        <f>IFERROR(__xludf.DUMMYFUNCTION("""COMPUTED_VALUE"""),"RSC005819")</f>
        <v>RSC005819</v>
      </c>
      <c r="C418" s="41" t="str">
        <f>IFERROR(__xludf.DUMMYFUNCTION("""COMPUTED_VALUE"""),"hxnk-")</f>
        <v>hxnk-</v>
      </c>
      <c r="D418" s="41"/>
      <c r="E418" s="41">
        <f>IFERROR(__xludf.DUMMYFUNCTION("""COMPUTED_VALUE"""),0.0)</f>
        <v>0</v>
      </c>
      <c r="F418" s="41">
        <f>IFERROR(__xludf.DUMMYFUNCTION("""COMPUTED_VALUE"""),1395.0)</f>
        <v>1395</v>
      </c>
    </row>
    <row r="419">
      <c r="A419" s="41" t="b">
        <f>IFERROR(__xludf.DUMMYFUNCTION("""COMPUTED_VALUE"""),TRUE)</f>
        <v>1</v>
      </c>
      <c r="B419" s="41" t="str">
        <f>IFERROR(__xludf.DUMMYFUNCTION("""COMPUTED_VALUE"""),"RSC005655")</f>
        <v>RSC005655</v>
      </c>
      <c r="C419" s="41" t="str">
        <f>IFERROR(__xludf.DUMMYFUNCTION("""COMPUTED_VALUE"""),"Oneplayamaker")</f>
        <v>Oneplayamaker</v>
      </c>
      <c r="D419" s="41" t="str">
        <f>IFERROR(__xludf.DUMMYFUNCTION("""COMPUTED_VALUE"""),"Gargoyle")</f>
        <v>Gargoyle</v>
      </c>
      <c r="E419" s="41">
        <f>IFERROR(__xludf.DUMMYFUNCTION("""COMPUTED_VALUE"""),1.0)</f>
        <v>1</v>
      </c>
      <c r="F419" s="41">
        <f>IFERROR(__xludf.DUMMYFUNCTION("""COMPUTED_VALUE"""),1475.0)</f>
        <v>1475</v>
      </c>
    </row>
    <row r="420">
      <c r="A420" s="41" t="b">
        <f>IFERROR(__xludf.DUMMYFUNCTION("""COMPUTED_VALUE"""),TRUE)</f>
        <v>1</v>
      </c>
      <c r="B420" s="41" t="str">
        <f>IFERROR(__xludf.DUMMYFUNCTION("""COMPUTED_VALUE"""),"RSC006022")</f>
        <v>RSC006022</v>
      </c>
      <c r="C420" s="41" t="str">
        <f>IFERROR(__xludf.DUMMYFUNCTION("""COMPUTED_VALUE"""),"N0MrThomasMn")</f>
        <v>N0MrThomasMn</v>
      </c>
      <c r="D420" s="41"/>
      <c r="E420" s="41">
        <f>IFERROR(__xludf.DUMMYFUNCTION("""COMPUTED_VALUE"""),0.0)</f>
        <v>0</v>
      </c>
      <c r="F420" s="41">
        <f>IFERROR(__xludf.DUMMYFUNCTION("""COMPUTED_VALUE"""),860.0)</f>
        <v>860</v>
      </c>
    </row>
    <row r="421">
      <c r="A421" s="41" t="b">
        <f>IFERROR(__xludf.DUMMYFUNCTION("""COMPUTED_VALUE"""),TRUE)</f>
        <v>1</v>
      </c>
      <c r="B421" s="41" t="str">
        <f>IFERROR(__xludf.DUMMYFUNCTION("""COMPUTED_VALUE"""),"RSC005959")</f>
        <v>RSC005959</v>
      </c>
      <c r="C421" s="41" t="str">
        <f>IFERROR(__xludf.DUMMYFUNCTION("""COMPUTED_VALUE"""),"Yurrbo?")</f>
        <v>Yurrbo?</v>
      </c>
      <c r="D421" s="41" t="str">
        <f>IFERROR(__xludf.DUMMYFUNCTION("""COMPUTED_VALUE"""),"Frostbite")</f>
        <v>Frostbite</v>
      </c>
      <c r="E421" s="41">
        <f>IFERROR(__xludf.DUMMYFUNCTION("""COMPUTED_VALUE"""),2.0)</f>
        <v>2</v>
      </c>
      <c r="F421" s="41">
        <f>IFERROR(__xludf.DUMMYFUNCTION("""COMPUTED_VALUE"""),1520.0)</f>
        <v>1520</v>
      </c>
    </row>
    <row r="422">
      <c r="A422" s="41" t="b">
        <f>IFERROR(__xludf.DUMMYFUNCTION("""COMPUTED_VALUE"""),TRUE)</f>
        <v>1</v>
      </c>
      <c r="B422" s="41" t="str">
        <f>IFERROR(__xludf.DUMMYFUNCTION("""COMPUTED_VALUE"""),"RSC005703")</f>
        <v>RSC005703</v>
      </c>
      <c r="C422" s="41" t="str">
        <f>IFERROR(__xludf.DUMMYFUNCTION("""COMPUTED_VALUE"""),"ShoddyWolfman")</f>
        <v>ShoddyWolfman</v>
      </c>
      <c r="D422" s="41" t="str">
        <f>IFERROR(__xludf.DUMMYFUNCTION("""COMPUTED_VALUE"""),"Scramjets")</f>
        <v>Scramjets</v>
      </c>
      <c r="E422" s="41">
        <f>IFERROR(__xludf.DUMMYFUNCTION("""COMPUTED_VALUE"""),1.0)</f>
        <v>1</v>
      </c>
      <c r="F422" s="41">
        <f>IFERROR(__xludf.DUMMYFUNCTION("""COMPUTED_VALUE"""),1330.0)</f>
        <v>1330</v>
      </c>
    </row>
    <row r="423">
      <c r="A423" s="41" t="b">
        <f>IFERROR(__xludf.DUMMYFUNCTION("""COMPUTED_VALUE"""),FALSE)</f>
        <v>0</v>
      </c>
      <c r="B423" s="41" t="str">
        <f>IFERROR(__xludf.DUMMYFUNCTION("""COMPUTED_VALUE"""),"RSC005827")</f>
        <v>RSC005827</v>
      </c>
      <c r="C423" s="41" t="str">
        <f>IFERROR(__xludf.DUMMYFUNCTION("""COMPUTED_VALUE"""),"Machi")</f>
        <v>Machi</v>
      </c>
      <c r="D423" s="41"/>
      <c r="E423" s="41">
        <f>IFERROR(__xludf.DUMMYFUNCTION("""COMPUTED_VALUE"""),0.0)</f>
        <v>0</v>
      </c>
      <c r="F423" s="41">
        <f>IFERROR(__xludf.DUMMYFUNCTION("""COMPUTED_VALUE"""),1330.0)</f>
        <v>1330</v>
      </c>
    </row>
    <row r="424">
      <c r="A424" s="41" t="b">
        <f>IFERROR(__xludf.DUMMYFUNCTION("""COMPUTED_VALUE"""),FALSE)</f>
        <v>0</v>
      </c>
      <c r="B424" s="41" t="str">
        <f>IFERROR(__xludf.DUMMYFUNCTION("""COMPUTED_VALUE"""),"RSC005734")</f>
        <v>RSC005734</v>
      </c>
      <c r="C424" s="41" t="str">
        <f>IFERROR(__xludf.DUMMYFUNCTION("""COMPUTED_VALUE"""),"BasRadala")</f>
        <v>BasRadala</v>
      </c>
      <c r="D424" s="41"/>
      <c r="E424" s="41">
        <f>IFERROR(__xludf.DUMMYFUNCTION("""COMPUTED_VALUE"""),0.0)</f>
        <v>0</v>
      </c>
      <c r="F424" s="41">
        <f>IFERROR(__xludf.DUMMYFUNCTION("""COMPUTED_VALUE"""),600.0)</f>
        <v>600</v>
      </c>
    </row>
    <row r="425">
      <c r="A425" s="41" t="b">
        <f>IFERROR(__xludf.DUMMYFUNCTION("""COMPUTED_VALUE"""),TRUE)</f>
        <v>1</v>
      </c>
      <c r="B425" s="41" t="str">
        <f>IFERROR(__xludf.DUMMYFUNCTION("""COMPUTED_VALUE"""),"RSC005872")</f>
        <v>RSC005872</v>
      </c>
      <c r="C425" s="41" t="str">
        <f>IFERROR(__xludf.DUMMYFUNCTION("""COMPUTED_VALUE"""),"Ditto")</f>
        <v>Ditto</v>
      </c>
      <c r="D425" s="41" t="str">
        <f>IFERROR(__xludf.DUMMYFUNCTION("""COMPUTED_VALUE"""),"Dik-diks")</f>
        <v>Dik-diks</v>
      </c>
      <c r="E425" s="41">
        <f>IFERROR(__xludf.DUMMYFUNCTION("""COMPUTED_VALUE"""),2.0)</f>
        <v>2</v>
      </c>
      <c r="F425" s="41">
        <f>IFERROR(__xludf.DUMMYFUNCTION("""COMPUTED_VALUE"""),1585.0)</f>
        <v>1585</v>
      </c>
    </row>
    <row r="426">
      <c r="A426" s="41" t="b">
        <f>IFERROR(__xludf.DUMMYFUNCTION("""COMPUTED_VALUE"""),TRUE)</f>
        <v>1</v>
      </c>
      <c r="B426" s="41" t="str">
        <f>IFERROR(__xludf.DUMMYFUNCTION("""COMPUTED_VALUE"""),"RSC005920")</f>
        <v>RSC005920</v>
      </c>
      <c r="C426" s="41" t="str">
        <f>IFERROR(__xludf.DUMMYFUNCTION("""COMPUTED_VALUE"""),"Roxy")</f>
        <v>Roxy</v>
      </c>
      <c r="D426" s="41" t="str">
        <f>IFERROR(__xludf.DUMMYFUNCTION("""COMPUTED_VALUE"""),"Super Clusters")</f>
        <v>Super Clusters</v>
      </c>
      <c r="E426" s="41">
        <f>IFERROR(__xludf.DUMMYFUNCTION("""COMPUTED_VALUE"""),2.0)</f>
        <v>2</v>
      </c>
      <c r="F426" s="41">
        <f>IFERROR(__xludf.DUMMYFUNCTION("""COMPUTED_VALUE"""),1880.0)</f>
        <v>1880</v>
      </c>
    </row>
    <row r="427">
      <c r="A427" s="41" t="b">
        <f>IFERROR(__xludf.DUMMYFUNCTION("""COMPUTED_VALUE"""),TRUE)</f>
        <v>1</v>
      </c>
      <c r="B427" s="41" t="str">
        <f>IFERROR(__xludf.DUMMYFUNCTION("""COMPUTED_VALUE"""),"RSC005663")</f>
        <v>RSC005663</v>
      </c>
      <c r="C427" s="41" t="str">
        <f>IFERROR(__xludf.DUMMYFUNCTION("""COMPUTED_VALUE"""),"Pure_Pusher")</f>
        <v>Pure_Pusher</v>
      </c>
      <c r="D427" s="41" t="str">
        <f>IFERROR(__xludf.DUMMYFUNCTION("""COMPUTED_VALUE"""),"Cooks")</f>
        <v>Cooks</v>
      </c>
      <c r="E427" s="41">
        <f>IFERROR(__xludf.DUMMYFUNCTION("""COMPUTED_VALUE"""),2.0)</f>
        <v>2</v>
      </c>
      <c r="F427" s="41">
        <f>IFERROR(__xludf.DUMMYFUNCTION("""COMPUTED_VALUE"""),1195.0)</f>
        <v>1195</v>
      </c>
    </row>
    <row r="428">
      <c r="A428" s="41" t="b">
        <f>IFERROR(__xludf.DUMMYFUNCTION("""COMPUTED_VALUE"""),TRUE)</f>
        <v>1</v>
      </c>
      <c r="B428" s="41" t="str">
        <f>IFERROR(__xludf.DUMMYFUNCTION("""COMPUTED_VALUE"""),"RSC005577")</f>
        <v>RSC005577</v>
      </c>
      <c r="C428" s="41" t="str">
        <f>IFERROR(__xludf.DUMMYFUNCTION("""COMPUTED_VALUE"""),"Ryan.")</f>
        <v>Ryan.</v>
      </c>
      <c r="D428" s="41" t="str">
        <f>IFERROR(__xludf.DUMMYFUNCTION("""COMPUTED_VALUE"""),"Lycans")</f>
        <v>Lycans</v>
      </c>
      <c r="E428" s="41">
        <f>IFERROR(__xludf.DUMMYFUNCTION("""COMPUTED_VALUE"""),2.0)</f>
        <v>2</v>
      </c>
      <c r="F428" s="41">
        <f>IFERROR(__xludf.DUMMYFUNCTION("""COMPUTED_VALUE"""),1510.0)</f>
        <v>1510</v>
      </c>
    </row>
    <row r="429">
      <c r="A429" s="41" t="b">
        <f>IFERROR(__xludf.DUMMYFUNCTION("""COMPUTED_VALUE"""),TRUE)</f>
        <v>1</v>
      </c>
      <c r="B429" s="41" t="str">
        <f>IFERROR(__xludf.DUMMYFUNCTION("""COMPUTED_VALUE"""),"RSC005709")</f>
        <v>RSC005709</v>
      </c>
      <c r="C429" s="41" t="str">
        <f>IFERROR(__xludf.DUMMYFUNCTION("""COMPUTED_VALUE"""),"ZavaRL")</f>
        <v>ZavaRL</v>
      </c>
      <c r="D429" s="41"/>
      <c r="E429" s="41">
        <f>IFERROR(__xludf.DUMMYFUNCTION("""COMPUTED_VALUE"""),0.0)</f>
        <v>0</v>
      </c>
      <c r="F429" s="41">
        <f>IFERROR(__xludf.DUMMYFUNCTION("""COMPUTED_VALUE"""),1650.0)</f>
        <v>1650</v>
      </c>
    </row>
    <row r="430">
      <c r="A430" s="41" t="b">
        <f>IFERROR(__xludf.DUMMYFUNCTION("""COMPUTED_VALUE"""),TRUE)</f>
        <v>1</v>
      </c>
      <c r="B430" s="41" t="str">
        <f>IFERROR(__xludf.DUMMYFUNCTION("""COMPUTED_VALUE"""),"RSC005690")</f>
        <v>RSC005690</v>
      </c>
      <c r="C430" s="41" t="str">
        <f>IFERROR(__xludf.DUMMYFUNCTION("""COMPUTED_VALUE"""),"DQ.")</f>
        <v>DQ.</v>
      </c>
      <c r="D430" s="41" t="str">
        <f>IFERROR(__xludf.DUMMYFUNCTION("""COMPUTED_VALUE"""),"Oblivion")</f>
        <v>Oblivion</v>
      </c>
      <c r="E430" s="41">
        <f>IFERROR(__xludf.DUMMYFUNCTION("""COMPUTED_VALUE"""),2.0)</f>
        <v>2</v>
      </c>
      <c r="F430" s="41">
        <f>IFERROR(__xludf.DUMMYFUNCTION("""COMPUTED_VALUE"""),1725.0)</f>
        <v>1725</v>
      </c>
    </row>
    <row r="431">
      <c r="A431" s="41" t="b">
        <f>IFERROR(__xludf.DUMMYFUNCTION("""COMPUTED_VALUE"""),FALSE)</f>
        <v>0</v>
      </c>
      <c r="B431" s="41" t="str">
        <f>IFERROR(__xludf.DUMMYFUNCTION("""COMPUTED_VALUE"""),"RSC005725")</f>
        <v>RSC005725</v>
      </c>
      <c r="C431" s="41" t="str">
        <f>IFERROR(__xludf.DUMMYFUNCTION("""COMPUTED_VALUE"""),"rwalls516r")</f>
        <v>rwalls516r</v>
      </c>
      <c r="D431" s="41"/>
      <c r="E431" s="41">
        <f>IFERROR(__xludf.DUMMYFUNCTION("""COMPUTED_VALUE"""),0.0)</f>
        <v>0</v>
      </c>
      <c r="F431" s="41">
        <f>IFERROR(__xludf.DUMMYFUNCTION("""COMPUTED_VALUE"""),1245.0)</f>
        <v>1245</v>
      </c>
    </row>
    <row r="432">
      <c r="A432" s="41" t="b">
        <f>IFERROR(__xludf.DUMMYFUNCTION("""COMPUTED_VALUE"""),TRUE)</f>
        <v>1</v>
      </c>
      <c r="B432" s="41" t="str">
        <f>IFERROR(__xludf.DUMMYFUNCTION("""COMPUTED_VALUE"""),"RSC006017")</f>
        <v>RSC006017</v>
      </c>
      <c r="C432" s="41" t="str">
        <f>IFERROR(__xludf.DUMMYFUNCTION("""COMPUTED_VALUE"""),"Dondo RF")</f>
        <v>Dondo RF</v>
      </c>
      <c r="D432" s="41" t="str">
        <f>IFERROR(__xludf.DUMMYFUNCTION("""COMPUTED_VALUE"""),"Kitsune")</f>
        <v>Kitsune</v>
      </c>
      <c r="E432" s="41">
        <f>IFERROR(__xludf.DUMMYFUNCTION("""COMPUTED_VALUE"""),1.0)</f>
        <v>1</v>
      </c>
      <c r="F432" s="41">
        <f>IFERROR(__xludf.DUMMYFUNCTION("""COMPUTED_VALUE"""),1340.0)</f>
        <v>1340</v>
      </c>
    </row>
    <row r="433">
      <c r="A433" s="41" t="b">
        <f>IFERROR(__xludf.DUMMYFUNCTION("""COMPUTED_VALUE"""),FALSE)</f>
        <v>0</v>
      </c>
      <c r="B433" s="41" t="str">
        <f>IFERROR(__xludf.DUMMYFUNCTION("""COMPUTED_VALUE"""),"RSC005625")</f>
        <v>RSC005625</v>
      </c>
      <c r="C433" s="41" t="str">
        <f>IFERROR(__xludf.DUMMYFUNCTION("""COMPUTED_VALUE"""),"Aspect oF Nope")</f>
        <v>Aspect oF Nope</v>
      </c>
      <c r="D433" s="41"/>
      <c r="E433" s="41">
        <f>IFERROR(__xludf.DUMMYFUNCTION("""COMPUTED_VALUE"""),0.0)</f>
        <v>0</v>
      </c>
      <c r="F433" s="41">
        <f>IFERROR(__xludf.DUMMYFUNCTION("""COMPUTED_VALUE"""),600.0)</f>
        <v>600</v>
      </c>
    </row>
    <row r="434">
      <c r="A434" s="41" t="b">
        <f>IFERROR(__xludf.DUMMYFUNCTION("""COMPUTED_VALUE"""),TRUE)</f>
        <v>1</v>
      </c>
      <c r="B434" s="41" t="str">
        <f>IFERROR(__xludf.DUMMYFUNCTION("""COMPUTED_VALUE"""),"RSC005885")</f>
        <v>RSC005885</v>
      </c>
      <c r="C434" s="41" t="str">
        <f>IFERROR(__xludf.DUMMYFUNCTION("""COMPUTED_VALUE"""),"noot")</f>
        <v>noot</v>
      </c>
      <c r="D434" s="41" t="str">
        <f>IFERROR(__xludf.DUMMYFUNCTION("""COMPUTED_VALUE"""),"Quasars")</f>
        <v>Quasars</v>
      </c>
      <c r="E434" s="41">
        <f>IFERROR(__xludf.DUMMYFUNCTION("""COMPUTED_VALUE"""),2.0)</f>
        <v>2</v>
      </c>
      <c r="F434" s="41">
        <f>IFERROR(__xludf.DUMMYFUNCTION("""COMPUTED_VALUE"""),1380.0)</f>
        <v>1380</v>
      </c>
    </row>
    <row r="435">
      <c r="A435" s="41" t="b">
        <f>IFERROR(__xludf.DUMMYFUNCTION("""COMPUTED_VALUE"""),TRUE)</f>
        <v>1</v>
      </c>
      <c r="B435" s="41" t="str">
        <f>IFERROR(__xludf.DUMMYFUNCTION("""COMPUTED_VALUE"""),"RSC005836")</f>
        <v>RSC005836</v>
      </c>
      <c r="C435" s="41" t="str">
        <f>IFERROR(__xludf.DUMMYFUNCTION("""COMPUTED_VALUE"""),"Fomay")</f>
        <v>Fomay</v>
      </c>
      <c r="D435" s="41"/>
      <c r="E435" s="41">
        <f>IFERROR(__xludf.DUMMYFUNCTION("""COMPUTED_VALUE"""),0.0)</f>
        <v>0</v>
      </c>
      <c r="F435" s="41">
        <f>IFERROR(__xludf.DUMMYFUNCTION("""COMPUTED_VALUE"""),1540.0)</f>
        <v>1540</v>
      </c>
    </row>
    <row r="436">
      <c r="A436" s="41" t="b">
        <f>IFERROR(__xludf.DUMMYFUNCTION("""COMPUTED_VALUE"""),TRUE)</f>
        <v>1</v>
      </c>
      <c r="B436" s="41" t="str">
        <f>IFERROR(__xludf.DUMMYFUNCTION("""COMPUTED_VALUE"""),"RSC005595")</f>
        <v>RSC005595</v>
      </c>
      <c r="C436" s="41" t="str">
        <f>IFERROR(__xludf.DUMMYFUNCTION("""COMPUTED_VALUE"""),"Maisie")</f>
        <v>Maisie</v>
      </c>
      <c r="D436" s="41"/>
      <c r="E436" s="41">
        <f>IFERROR(__xludf.DUMMYFUNCTION("""COMPUTED_VALUE"""),0.0)</f>
        <v>0</v>
      </c>
      <c r="F436" s="41">
        <f>IFERROR(__xludf.DUMMYFUNCTION("""COMPUTED_VALUE"""),1730.0)</f>
        <v>1730</v>
      </c>
    </row>
    <row r="437">
      <c r="A437" s="41" t="b">
        <f>IFERROR(__xludf.DUMMYFUNCTION("""COMPUTED_VALUE"""),TRUE)</f>
        <v>1</v>
      </c>
      <c r="B437" s="41" t="str">
        <f>IFERROR(__xludf.DUMMYFUNCTION("""COMPUTED_VALUE"""),"RSC005752")</f>
        <v>RSC005752</v>
      </c>
      <c r="C437" s="41" t="str">
        <f>IFERROR(__xludf.DUMMYFUNCTION("""COMPUTED_VALUE"""),"Surge85")</f>
        <v>Surge85</v>
      </c>
      <c r="D437" s="41" t="str">
        <f>IFERROR(__xludf.DUMMYFUNCTION("""COMPUTED_VALUE"""),"Barracudas")</f>
        <v>Barracudas</v>
      </c>
      <c r="E437" s="41">
        <f>IFERROR(__xludf.DUMMYFUNCTION("""COMPUTED_VALUE"""),2.0)</f>
        <v>2</v>
      </c>
      <c r="F437" s="41">
        <f>IFERROR(__xludf.DUMMYFUNCTION("""COMPUTED_VALUE"""),1375.0)</f>
        <v>1375</v>
      </c>
    </row>
    <row r="438">
      <c r="A438" s="41" t="b">
        <f>IFERROR(__xludf.DUMMYFUNCTION("""COMPUTED_VALUE"""),FALSE)</f>
        <v>0</v>
      </c>
      <c r="B438" s="41" t="str">
        <f>IFERROR(__xludf.DUMMYFUNCTION("""COMPUTED_VALUE"""),"RSC005960")</f>
        <v>RSC005960</v>
      </c>
      <c r="C438" s="41" t="str">
        <f>IFERROR(__xludf.DUMMYFUNCTION("""COMPUTED_VALUE"""),"Hyper")</f>
        <v>Hyper</v>
      </c>
      <c r="D438" s="41"/>
      <c r="E438" s="41">
        <f>IFERROR(__xludf.DUMMYFUNCTION("""COMPUTED_VALUE"""),0.0)</f>
        <v>0</v>
      </c>
      <c r="F438" s="41">
        <f>IFERROR(__xludf.DUMMYFUNCTION("""COMPUTED_VALUE"""),1390.0)</f>
        <v>1390</v>
      </c>
    </row>
    <row r="439">
      <c r="A439" s="41" t="b">
        <f>IFERROR(__xludf.DUMMYFUNCTION("""COMPUTED_VALUE"""),TRUE)</f>
        <v>1</v>
      </c>
      <c r="B439" s="41" t="str">
        <f>IFERROR(__xludf.DUMMYFUNCTION("""COMPUTED_VALUE"""),"RSC005778")</f>
        <v>RSC005778</v>
      </c>
      <c r="C439" s="41" t="str">
        <f>IFERROR(__xludf.DUMMYFUNCTION("""COMPUTED_VALUE"""),"Kwispay")</f>
        <v>Kwispay</v>
      </c>
      <c r="D439" s="41"/>
      <c r="E439" s="41">
        <f>IFERROR(__xludf.DUMMYFUNCTION("""COMPUTED_VALUE"""),0.0)</f>
        <v>0</v>
      </c>
      <c r="F439" s="41">
        <f>IFERROR(__xludf.DUMMYFUNCTION("""COMPUTED_VALUE"""),1715.0)</f>
        <v>1715</v>
      </c>
    </row>
    <row r="440">
      <c r="A440" s="41" t="b">
        <f>IFERROR(__xludf.DUMMYFUNCTION("""COMPUTED_VALUE"""),TRUE)</f>
        <v>1</v>
      </c>
      <c r="B440" s="41" t="str">
        <f>IFERROR(__xludf.DUMMYFUNCTION("""COMPUTED_VALUE"""),"RSC006319")</f>
        <v>RSC006319</v>
      </c>
      <c r="C440" s="41" t="str">
        <f>IFERROR(__xludf.DUMMYFUNCTION("""COMPUTED_VALUE"""),"wntr!")</f>
        <v>wntr!</v>
      </c>
      <c r="D440" s="41"/>
      <c r="E440" s="41">
        <f>IFERROR(__xludf.DUMMYFUNCTION("""COMPUTED_VALUE"""),0.0)</f>
        <v>0</v>
      </c>
      <c r="F440" s="41">
        <f>IFERROR(__xludf.DUMMYFUNCTION("""COMPUTED_VALUE"""),1545.0)</f>
        <v>1545</v>
      </c>
    </row>
    <row r="441">
      <c r="A441" s="41" t="b">
        <f>IFERROR(__xludf.DUMMYFUNCTION("""COMPUTED_VALUE"""),TRUE)</f>
        <v>1</v>
      </c>
      <c r="B441" s="41" t="str">
        <f>IFERROR(__xludf.DUMMYFUNCTION("""COMPUTED_VALUE"""),"RSC006251")</f>
        <v>RSC006251</v>
      </c>
      <c r="C441" s="41" t="str">
        <f>IFERROR(__xludf.DUMMYFUNCTION("""COMPUTED_VALUE"""),"MiniTechniks")</f>
        <v>MiniTechniks</v>
      </c>
      <c r="D441" s="41" t="str">
        <f>IFERROR(__xludf.DUMMYFUNCTION("""COMPUTED_VALUE"""),"Hawaiian Pizza")</f>
        <v>Hawaiian Pizza</v>
      </c>
      <c r="E441" s="41">
        <f>IFERROR(__xludf.DUMMYFUNCTION("""COMPUTED_VALUE"""),2.0)</f>
        <v>2</v>
      </c>
      <c r="F441" s="41">
        <f>IFERROR(__xludf.DUMMYFUNCTION("""COMPUTED_VALUE"""),995.0)</f>
        <v>995</v>
      </c>
    </row>
    <row r="442">
      <c r="A442" s="41" t="b">
        <f>IFERROR(__xludf.DUMMYFUNCTION("""COMPUTED_VALUE"""),TRUE)</f>
        <v>1</v>
      </c>
      <c r="B442" s="41" t="str">
        <f>IFERROR(__xludf.DUMMYFUNCTION("""COMPUTED_VALUE"""),"RSC006381")</f>
        <v>RSC006381</v>
      </c>
      <c r="C442" s="41" t="str">
        <f>IFERROR(__xludf.DUMMYFUNCTION("""COMPUTED_VALUE"""),"YERP_YERP02")</f>
        <v>YERP_YERP02</v>
      </c>
      <c r="D442" s="41" t="str">
        <f>IFERROR(__xludf.DUMMYFUNCTION("""COMPUTED_VALUE"""),"Honey Badgers")</f>
        <v>Honey Badgers</v>
      </c>
      <c r="E442" s="41">
        <f>IFERROR(__xludf.DUMMYFUNCTION("""COMPUTED_VALUE"""),2.0)</f>
        <v>2</v>
      </c>
      <c r="F442" s="41">
        <f>IFERROR(__xludf.DUMMYFUNCTION("""COMPUTED_VALUE"""),1055.0)</f>
        <v>1055</v>
      </c>
    </row>
    <row r="443">
      <c r="A443" s="41" t="b">
        <f>IFERROR(__xludf.DUMMYFUNCTION("""COMPUTED_VALUE"""),TRUE)</f>
        <v>1</v>
      </c>
      <c r="B443" s="41" t="str">
        <f>IFERROR(__xludf.DUMMYFUNCTION("""COMPUTED_VALUE"""),"RSC006177")</f>
        <v>RSC006177</v>
      </c>
      <c r="C443" s="41" t="str">
        <f>IFERROR(__xludf.DUMMYFUNCTION("""COMPUTED_VALUE"""),"Flyerrr85")</f>
        <v>Flyerrr85</v>
      </c>
      <c r="D443" s="41" t="str">
        <f>IFERROR(__xludf.DUMMYFUNCTION("""COMPUTED_VALUE"""),"Warbirds")</f>
        <v>Warbirds</v>
      </c>
      <c r="E443" s="41">
        <f>IFERROR(__xludf.DUMMYFUNCTION("""COMPUTED_VALUE"""),1.0)</f>
        <v>1</v>
      </c>
      <c r="F443" s="41">
        <f>IFERROR(__xludf.DUMMYFUNCTION("""COMPUTED_VALUE"""),1235.0)</f>
        <v>1235</v>
      </c>
    </row>
    <row r="444">
      <c r="A444" s="41" t="b">
        <f>IFERROR(__xludf.DUMMYFUNCTION("""COMPUTED_VALUE"""),TRUE)</f>
        <v>1</v>
      </c>
      <c r="B444" s="41" t="str">
        <f>IFERROR(__xludf.DUMMYFUNCTION("""COMPUTED_VALUE"""),"RSC006278")</f>
        <v>RSC006278</v>
      </c>
      <c r="C444" s="41" t="str">
        <f>IFERROR(__xludf.DUMMYFUNCTION("""COMPUTED_VALUE"""),"DribblingPenguin")</f>
        <v>DribblingPenguin</v>
      </c>
      <c r="D444" s="41" t="str">
        <f>IFERROR(__xludf.DUMMYFUNCTION("""COMPUTED_VALUE"""),"Afterburners")</f>
        <v>Afterburners</v>
      </c>
      <c r="E444" s="41">
        <f>IFERROR(__xludf.DUMMYFUNCTION("""COMPUTED_VALUE"""),2.0)</f>
        <v>2</v>
      </c>
      <c r="F444" s="41">
        <f>IFERROR(__xludf.DUMMYFUNCTION("""COMPUTED_VALUE"""),1640.0)</f>
        <v>1640</v>
      </c>
    </row>
    <row r="445">
      <c r="A445" s="41" t="b">
        <f>IFERROR(__xludf.DUMMYFUNCTION("""COMPUTED_VALUE"""),TRUE)</f>
        <v>1</v>
      </c>
      <c r="B445" s="41" t="str">
        <f>IFERROR(__xludf.DUMMYFUNCTION("""COMPUTED_VALUE"""),"RSC006378")</f>
        <v>RSC006378</v>
      </c>
      <c r="C445" s="41" t="str">
        <f>IFERROR(__xludf.DUMMYFUNCTION("""COMPUTED_VALUE"""),"depressed vibez")</f>
        <v>depressed vibez</v>
      </c>
      <c r="D445" s="41" t="str">
        <f>IFERROR(__xludf.DUMMYFUNCTION("""COMPUTED_VALUE"""),"Drive-by")</f>
        <v>Drive-by</v>
      </c>
      <c r="E445" s="41">
        <f>IFERROR(__xludf.DUMMYFUNCTION("""COMPUTED_VALUE"""),2.0)</f>
        <v>2</v>
      </c>
      <c r="F445" s="41">
        <f>IFERROR(__xludf.DUMMYFUNCTION("""COMPUTED_VALUE"""),1540.0)</f>
        <v>1540</v>
      </c>
    </row>
    <row r="446">
      <c r="A446" s="41" t="b">
        <f>IFERROR(__xludf.DUMMYFUNCTION("""COMPUTED_VALUE"""),TRUE)</f>
        <v>1</v>
      </c>
      <c r="B446" s="41" t="str">
        <f>IFERROR(__xludf.DUMMYFUNCTION("""COMPUTED_VALUE"""),"RSC006262")</f>
        <v>RSC006262</v>
      </c>
      <c r="C446" s="41" t="str">
        <f>IFERROR(__xludf.DUMMYFUNCTION("""COMPUTED_VALUE"""),"Illusionchaos")</f>
        <v>Illusionchaos</v>
      </c>
      <c r="D446" s="41" t="str">
        <f>IFERROR(__xludf.DUMMYFUNCTION("""COMPUTED_VALUE"""),"Glams")</f>
        <v>Glams</v>
      </c>
      <c r="E446" s="41">
        <f>IFERROR(__xludf.DUMMYFUNCTION("""COMPUTED_VALUE"""),2.0)</f>
        <v>2</v>
      </c>
      <c r="F446" s="41">
        <f>IFERROR(__xludf.DUMMYFUNCTION("""COMPUTED_VALUE"""),1120.0)</f>
        <v>1120</v>
      </c>
    </row>
    <row r="447">
      <c r="A447" s="41" t="b">
        <f>IFERROR(__xludf.DUMMYFUNCTION("""COMPUTED_VALUE"""),TRUE)</f>
        <v>1</v>
      </c>
      <c r="B447" s="41" t="str">
        <f>IFERROR(__xludf.DUMMYFUNCTION("""COMPUTED_VALUE"""),"RSC006218")</f>
        <v>RSC006218</v>
      </c>
      <c r="C447" s="41" t="str">
        <f>IFERROR(__xludf.DUMMYFUNCTION("""COMPUTED_VALUE"""),"Stingray")</f>
        <v>Stingray</v>
      </c>
      <c r="D447" s="41" t="str">
        <f>IFERROR(__xludf.DUMMYFUNCTION("""COMPUTED_VALUE"""),"Praetorian Guard")</f>
        <v>Praetorian Guard</v>
      </c>
      <c r="E447" s="41">
        <f>IFERROR(__xludf.DUMMYFUNCTION("""COMPUTED_VALUE"""),2.0)</f>
        <v>2</v>
      </c>
      <c r="F447" s="41">
        <f>IFERROR(__xludf.DUMMYFUNCTION("""COMPUTED_VALUE"""),1630.0)</f>
        <v>1630</v>
      </c>
    </row>
    <row r="448">
      <c r="A448" s="41" t="b">
        <f>IFERROR(__xludf.DUMMYFUNCTION("""COMPUTED_VALUE"""),TRUE)</f>
        <v>1</v>
      </c>
      <c r="B448" s="41" t="str">
        <f>IFERROR(__xludf.DUMMYFUNCTION("""COMPUTED_VALUE"""),"RSC006312")</f>
        <v>RSC006312</v>
      </c>
      <c r="C448" s="41" t="str">
        <f>IFERROR(__xludf.DUMMYFUNCTION("""COMPUTED_VALUE"""),"Cognitixn")</f>
        <v>Cognitixn</v>
      </c>
      <c r="D448" s="41" t="str">
        <f>IFERROR(__xludf.DUMMYFUNCTION("""COMPUTED_VALUE"""),"White Collars")</f>
        <v>White Collars</v>
      </c>
      <c r="E448" s="41">
        <f>IFERROR(__xludf.DUMMYFUNCTION("""COMPUTED_VALUE"""),1.0)</f>
        <v>1</v>
      </c>
      <c r="F448" s="41">
        <f>IFERROR(__xludf.DUMMYFUNCTION("""COMPUTED_VALUE"""),1430.0)</f>
        <v>1430</v>
      </c>
    </row>
    <row r="449">
      <c r="A449" s="41" t="b">
        <f>IFERROR(__xludf.DUMMYFUNCTION("""COMPUTED_VALUE"""),TRUE)</f>
        <v>1</v>
      </c>
      <c r="B449" s="41" t="str">
        <f>IFERROR(__xludf.DUMMYFUNCTION("""COMPUTED_VALUE"""),"RSC006314")</f>
        <v>RSC006314</v>
      </c>
      <c r="C449" s="41" t="str">
        <f>IFERROR(__xludf.DUMMYFUNCTION("""COMPUTED_VALUE"""),"Mimetic")</f>
        <v>Mimetic</v>
      </c>
      <c r="D449" s="41" t="str">
        <f>IFERROR(__xludf.DUMMYFUNCTION("""COMPUTED_VALUE"""),"Peppermint")</f>
        <v>Peppermint</v>
      </c>
      <c r="E449" s="41">
        <f>IFERROR(__xludf.DUMMYFUNCTION("""COMPUTED_VALUE"""),2.0)</f>
        <v>2</v>
      </c>
      <c r="F449" s="41">
        <f>IFERROR(__xludf.DUMMYFUNCTION("""COMPUTED_VALUE"""),1450.0)</f>
        <v>1450</v>
      </c>
    </row>
    <row r="450">
      <c r="A450" s="41" t="b">
        <f>IFERROR(__xludf.DUMMYFUNCTION("""COMPUTED_VALUE"""),TRUE)</f>
        <v>1</v>
      </c>
      <c r="B450" s="41" t="str">
        <f>IFERROR(__xludf.DUMMYFUNCTION("""COMPUTED_VALUE"""),"RSC006212")</f>
        <v>RSC006212</v>
      </c>
      <c r="C450" s="41" t="str">
        <f>IFERROR(__xludf.DUMMYFUNCTION("""COMPUTED_VALUE"""),"Kingtutt97")</f>
        <v>Kingtutt97</v>
      </c>
      <c r="D450" s="41" t="str">
        <f>IFERROR(__xludf.DUMMYFUNCTION("""COMPUTED_VALUE"""),"Polar Bears")</f>
        <v>Polar Bears</v>
      </c>
      <c r="E450" s="41">
        <f>IFERROR(__xludf.DUMMYFUNCTION("""COMPUTED_VALUE"""),2.0)</f>
        <v>2</v>
      </c>
      <c r="F450" s="41">
        <f>IFERROR(__xludf.DUMMYFUNCTION("""COMPUTED_VALUE"""),1305.0)</f>
        <v>1305</v>
      </c>
    </row>
    <row r="451">
      <c r="A451" s="41" t="b">
        <f>IFERROR(__xludf.DUMMYFUNCTION("""COMPUTED_VALUE"""),TRUE)</f>
        <v>1</v>
      </c>
      <c r="B451" s="41" t="str">
        <f>IFERROR(__xludf.DUMMYFUNCTION("""COMPUTED_VALUE"""),"RSC006290")</f>
        <v>RSC006290</v>
      </c>
      <c r="C451" s="41" t="str">
        <f>IFERROR(__xludf.DUMMYFUNCTION("""COMPUTED_VALUE"""),"Dirt D Dan")</f>
        <v>Dirt D Dan</v>
      </c>
      <c r="D451" s="41" t="str">
        <f>IFERROR(__xludf.DUMMYFUNCTION("""COMPUTED_VALUE"""),"Giant Squids")</f>
        <v>Giant Squids</v>
      </c>
      <c r="E451" s="41">
        <f>IFERROR(__xludf.DUMMYFUNCTION("""COMPUTED_VALUE"""),1.0)</f>
        <v>1</v>
      </c>
      <c r="F451" s="41">
        <f>IFERROR(__xludf.DUMMYFUNCTION("""COMPUTED_VALUE"""),1440.0)</f>
        <v>1440</v>
      </c>
    </row>
    <row r="452">
      <c r="A452" s="41" t="b">
        <f>IFERROR(__xludf.DUMMYFUNCTION("""COMPUTED_VALUE"""),TRUE)</f>
        <v>1</v>
      </c>
      <c r="B452" s="41" t="str">
        <f>IFERROR(__xludf.DUMMYFUNCTION("""COMPUTED_VALUE"""),"RSC006060")</f>
        <v>RSC006060</v>
      </c>
      <c r="C452" s="41" t="str">
        <f>IFERROR(__xludf.DUMMYFUNCTION("""COMPUTED_VALUE"""),"WP_Merciless")</f>
        <v>WP_Merciless</v>
      </c>
      <c r="D452" s="41" t="str">
        <f>IFERROR(__xludf.DUMMYFUNCTION("""COMPUTED_VALUE"""),"Lycans")</f>
        <v>Lycans</v>
      </c>
      <c r="E452" s="41">
        <f>IFERROR(__xludf.DUMMYFUNCTION("""COMPUTED_VALUE"""),1.0)</f>
        <v>1</v>
      </c>
      <c r="F452" s="41">
        <f>IFERROR(__xludf.DUMMYFUNCTION("""COMPUTED_VALUE"""),1495.0)</f>
        <v>1495</v>
      </c>
    </row>
    <row r="453">
      <c r="A453" s="41" t="b">
        <f>IFERROR(__xludf.DUMMYFUNCTION("""COMPUTED_VALUE"""),TRUE)</f>
        <v>1</v>
      </c>
      <c r="B453" s="41" t="str">
        <f>IFERROR(__xludf.DUMMYFUNCTION("""COMPUTED_VALUE"""),"RSC006369")</f>
        <v>RSC006369</v>
      </c>
      <c r="C453" s="41" t="str">
        <f>IFERROR(__xludf.DUMMYFUNCTION("""COMPUTED_VALUE"""),"nate")</f>
        <v>nate</v>
      </c>
      <c r="D453" s="41" t="str">
        <f>IFERROR(__xludf.DUMMYFUNCTION("""COMPUTED_VALUE"""),"Stingrays")</f>
        <v>Stingrays</v>
      </c>
      <c r="E453" s="41">
        <f>IFERROR(__xludf.DUMMYFUNCTION("""COMPUTED_VALUE"""),2.0)</f>
        <v>2</v>
      </c>
      <c r="F453" s="41">
        <f>IFERROR(__xludf.DUMMYFUNCTION("""COMPUTED_VALUE"""),1150.0)</f>
        <v>1150</v>
      </c>
    </row>
    <row r="454">
      <c r="A454" s="41" t="b">
        <f>IFERROR(__xludf.DUMMYFUNCTION("""COMPUTED_VALUE"""),TRUE)</f>
        <v>1</v>
      </c>
      <c r="B454" s="41" t="str">
        <f>IFERROR(__xludf.DUMMYFUNCTION("""COMPUTED_VALUE"""),"RSC006320")</f>
        <v>RSC006320</v>
      </c>
      <c r="C454" s="41" t="str">
        <f>IFERROR(__xludf.DUMMYFUNCTION("""COMPUTED_VALUE"""),"Escape_Plan1")</f>
        <v>Escape_Plan1</v>
      </c>
      <c r="D454" s="41" t="str">
        <f>IFERROR(__xludf.DUMMYFUNCTION("""COMPUTED_VALUE"""),"Kirin")</f>
        <v>Kirin</v>
      </c>
      <c r="E454" s="41">
        <f>IFERROR(__xludf.DUMMYFUNCTION("""COMPUTED_VALUE"""),1.0)</f>
        <v>1</v>
      </c>
      <c r="F454" s="41">
        <f>IFERROR(__xludf.DUMMYFUNCTION("""COMPUTED_VALUE"""),1490.0)</f>
        <v>1490</v>
      </c>
    </row>
    <row r="455">
      <c r="A455" s="41" t="b">
        <f>IFERROR(__xludf.DUMMYFUNCTION("""COMPUTED_VALUE"""),TRUE)</f>
        <v>1</v>
      </c>
      <c r="B455" s="41" t="str">
        <f>IFERROR(__xludf.DUMMYFUNCTION("""COMPUTED_VALUE"""),"RSC008320")</f>
        <v>RSC008320</v>
      </c>
      <c r="C455" s="41" t="str">
        <f>IFERROR(__xludf.DUMMYFUNCTION("""COMPUTED_VALUE"""),"Jhammy.")</f>
        <v>Jhammy.</v>
      </c>
      <c r="D455" s="41" t="str">
        <f>IFERROR(__xludf.DUMMYFUNCTION("""COMPUTED_VALUE"""),"Street Rats")</f>
        <v>Street Rats</v>
      </c>
      <c r="E455" s="41">
        <f>IFERROR(__xludf.DUMMYFUNCTION("""COMPUTED_VALUE"""),2.0)</f>
        <v>2</v>
      </c>
      <c r="F455" s="41">
        <f>IFERROR(__xludf.DUMMYFUNCTION("""COMPUTED_VALUE"""),1450.0)</f>
        <v>1450</v>
      </c>
    </row>
    <row r="456">
      <c r="A456" s="41" t="b">
        <f>IFERROR(__xludf.DUMMYFUNCTION("""COMPUTED_VALUE"""),TRUE)</f>
        <v>1</v>
      </c>
      <c r="B456" s="41" t="str">
        <f>IFERROR(__xludf.DUMMYFUNCTION("""COMPUTED_VALUE"""),"RSC006072")</f>
        <v>RSC006072</v>
      </c>
      <c r="C456" s="41" t="str">
        <f>IFERROR(__xludf.DUMMYFUNCTION("""COMPUTED_VALUE"""),"AveX InceptionZ")</f>
        <v>AveX InceptionZ</v>
      </c>
      <c r="D456" s="41" t="str">
        <f>IFERROR(__xludf.DUMMYFUNCTION("""COMPUTED_VALUE"""),"Kitsune")</f>
        <v>Kitsune</v>
      </c>
      <c r="E456" s="41">
        <f>IFERROR(__xludf.DUMMYFUNCTION("""COMPUTED_VALUE"""),1.0)</f>
        <v>1</v>
      </c>
      <c r="F456" s="41">
        <f>IFERROR(__xludf.DUMMYFUNCTION("""COMPUTED_VALUE"""),1265.0)</f>
        <v>1265</v>
      </c>
    </row>
    <row r="457">
      <c r="A457" s="41" t="b">
        <f>IFERROR(__xludf.DUMMYFUNCTION("""COMPUTED_VALUE"""),TRUE)</f>
        <v>1</v>
      </c>
      <c r="B457" s="41" t="str">
        <f>IFERROR(__xludf.DUMMYFUNCTION("""COMPUTED_VALUE"""),"RSC006140")</f>
        <v>RSC006140</v>
      </c>
      <c r="C457" s="41" t="str">
        <f>IFERROR(__xludf.DUMMYFUNCTION("""COMPUTED_VALUE"""),"Jay_Kay99")</f>
        <v>Jay_Kay99</v>
      </c>
      <c r="D457" s="41" t="str">
        <f>IFERROR(__xludf.DUMMYFUNCTION("""COMPUTED_VALUE"""),"Blacksmiths")</f>
        <v>Blacksmiths</v>
      </c>
      <c r="E457" s="41">
        <f>IFERROR(__xludf.DUMMYFUNCTION("""COMPUTED_VALUE"""),1.0)</f>
        <v>1</v>
      </c>
      <c r="F457" s="41">
        <f>IFERROR(__xludf.DUMMYFUNCTION("""COMPUTED_VALUE"""),1455.0)</f>
        <v>1455</v>
      </c>
    </row>
    <row r="458">
      <c r="A458" s="41" t="b">
        <f>IFERROR(__xludf.DUMMYFUNCTION("""COMPUTED_VALUE"""),TRUE)</f>
        <v>1</v>
      </c>
      <c r="B458" s="41" t="str">
        <f>IFERROR(__xludf.DUMMYFUNCTION("""COMPUTED_VALUE"""),"RSC006273")</f>
        <v>RSC006273</v>
      </c>
      <c r="C458" s="41" t="str">
        <f>IFERROR(__xludf.DUMMYFUNCTION("""COMPUTED_VALUE"""),"chawes.")</f>
        <v>chawes.</v>
      </c>
      <c r="D458" s="41" t="str">
        <f>IFERROR(__xludf.DUMMYFUNCTION("""COMPUTED_VALUE"""),"Peerless Scarred")</f>
        <v>Peerless Scarred</v>
      </c>
      <c r="E458" s="41">
        <f>IFERROR(__xludf.DUMMYFUNCTION("""COMPUTED_VALUE"""),2.0)</f>
        <v>2</v>
      </c>
      <c r="F458" s="41">
        <f>IFERROR(__xludf.DUMMYFUNCTION("""COMPUTED_VALUE"""),1520.0)</f>
        <v>1520</v>
      </c>
    </row>
    <row r="459">
      <c r="A459" s="41" t="b">
        <f>IFERROR(__xludf.DUMMYFUNCTION("""COMPUTED_VALUE"""),TRUE)</f>
        <v>1</v>
      </c>
      <c r="B459" s="41" t="str">
        <f>IFERROR(__xludf.DUMMYFUNCTION("""COMPUTED_VALUE"""),"RSC006089")</f>
        <v>RSC006089</v>
      </c>
      <c r="C459" s="41" t="str">
        <f>IFERROR(__xludf.DUMMYFUNCTION("""COMPUTED_VALUE"""),"ZeroPop11")</f>
        <v>ZeroPop11</v>
      </c>
      <c r="D459" s="41" t="str">
        <f>IFERROR(__xludf.DUMMYFUNCTION("""COMPUTED_VALUE"""),"Street Rats")</f>
        <v>Street Rats</v>
      </c>
      <c r="E459" s="41">
        <f>IFERROR(__xludf.DUMMYFUNCTION("""COMPUTED_VALUE"""),2.0)</f>
        <v>2</v>
      </c>
      <c r="F459" s="41">
        <f>IFERROR(__xludf.DUMMYFUNCTION("""COMPUTED_VALUE"""),1450.0)</f>
        <v>1450</v>
      </c>
    </row>
    <row r="460">
      <c r="A460" s="41" t="b">
        <f>IFERROR(__xludf.DUMMYFUNCTION("""COMPUTED_VALUE"""),TRUE)</f>
        <v>1</v>
      </c>
      <c r="B460" s="41" t="str">
        <f>IFERROR(__xludf.DUMMYFUNCTION("""COMPUTED_VALUE"""),"RSC006256")</f>
        <v>RSC006256</v>
      </c>
      <c r="C460" s="41" t="str">
        <f>IFERROR(__xludf.DUMMYFUNCTION("""COMPUTED_VALUE"""),"Casca .")</f>
        <v>Casca .</v>
      </c>
      <c r="D460" s="41" t="str">
        <f>IFERROR(__xludf.DUMMYFUNCTION("""COMPUTED_VALUE"""),"Griffin")</f>
        <v>Griffin</v>
      </c>
      <c r="E460" s="41">
        <f>IFERROR(__xludf.DUMMYFUNCTION("""COMPUTED_VALUE"""),1.0)</f>
        <v>1</v>
      </c>
      <c r="F460" s="41">
        <f>IFERROR(__xludf.DUMMYFUNCTION("""COMPUTED_VALUE"""),1010.0)</f>
        <v>1010</v>
      </c>
    </row>
    <row r="461">
      <c r="A461" s="41" t="b">
        <f>IFERROR(__xludf.DUMMYFUNCTION("""COMPUTED_VALUE"""),TRUE)</f>
        <v>1</v>
      </c>
      <c r="B461" s="41" t="str">
        <f>IFERROR(__xludf.DUMMYFUNCTION("""COMPUTED_VALUE"""),"RSC006087")</f>
        <v>RSC006087</v>
      </c>
      <c r="C461" s="41" t="str">
        <f>IFERROR(__xludf.DUMMYFUNCTION("""COMPUTED_VALUE"""),"DoorTK")</f>
        <v>DoorTK</v>
      </c>
      <c r="D461" s="41" t="str">
        <f>IFERROR(__xludf.DUMMYFUNCTION("""COMPUTED_VALUE"""),"Lemurs")</f>
        <v>Lemurs</v>
      </c>
      <c r="E461" s="41">
        <f>IFERROR(__xludf.DUMMYFUNCTION("""COMPUTED_VALUE"""),1.0)</f>
        <v>1</v>
      </c>
      <c r="F461" s="41">
        <f>IFERROR(__xludf.DUMMYFUNCTION("""COMPUTED_VALUE"""),1685.0)</f>
        <v>1685</v>
      </c>
    </row>
    <row r="462">
      <c r="A462" s="41" t="b">
        <f>IFERROR(__xludf.DUMMYFUNCTION("""COMPUTED_VALUE"""),TRUE)</f>
        <v>1</v>
      </c>
      <c r="B462" s="41" t="str">
        <f>IFERROR(__xludf.DUMMYFUNCTION("""COMPUTED_VALUE"""),"RSC006372")</f>
        <v>RSC006372</v>
      </c>
      <c r="C462" s="41" t="str">
        <f>IFERROR(__xludf.DUMMYFUNCTION("""COMPUTED_VALUE"""),"x ARC Fives x")</f>
        <v>x ARC Fives x</v>
      </c>
      <c r="D462" s="41"/>
      <c r="E462" s="41">
        <f>IFERROR(__xludf.DUMMYFUNCTION("""COMPUTED_VALUE"""),0.0)</f>
        <v>0</v>
      </c>
      <c r="F462" s="41">
        <f>IFERROR(__xludf.DUMMYFUNCTION("""COMPUTED_VALUE"""),1305.0)</f>
        <v>1305</v>
      </c>
    </row>
    <row r="463">
      <c r="A463" s="41" t="b">
        <f>IFERROR(__xludf.DUMMYFUNCTION("""COMPUTED_VALUE"""),TRUE)</f>
        <v>1</v>
      </c>
      <c r="B463" s="41" t="str">
        <f>IFERROR(__xludf.DUMMYFUNCTION("""COMPUTED_VALUE"""),"RSC005974")</f>
        <v>RSC005974</v>
      </c>
      <c r="C463" s="41" t="str">
        <f>IFERROR(__xludf.DUMMYFUNCTION("""COMPUTED_VALUE"""),"Angry-Hermit")</f>
        <v>Angry-Hermit</v>
      </c>
      <c r="D463" s="41" t="str">
        <f>IFERROR(__xludf.DUMMYFUNCTION("""COMPUTED_VALUE"""),"Turbulence")</f>
        <v>Turbulence</v>
      </c>
      <c r="E463" s="41">
        <f>IFERROR(__xludf.DUMMYFUNCTION("""COMPUTED_VALUE"""),1.0)</f>
        <v>1</v>
      </c>
      <c r="F463" s="41">
        <f>IFERROR(__xludf.DUMMYFUNCTION("""COMPUTED_VALUE"""),1000.0)</f>
        <v>1000</v>
      </c>
    </row>
    <row r="464">
      <c r="A464" s="41" t="b">
        <f>IFERROR(__xludf.DUMMYFUNCTION("""COMPUTED_VALUE"""),TRUE)</f>
        <v>1</v>
      </c>
      <c r="B464" s="41" t="str">
        <f>IFERROR(__xludf.DUMMYFUNCTION("""COMPUTED_VALUE"""),"RSC006307")</f>
        <v>RSC006307</v>
      </c>
      <c r="C464" s="41" t="str">
        <f>IFERROR(__xludf.DUMMYFUNCTION("""COMPUTED_VALUE"""),"Niico Biico")</f>
        <v>Niico Biico</v>
      </c>
      <c r="D464" s="41"/>
      <c r="E464" s="41">
        <f>IFERROR(__xludf.DUMMYFUNCTION("""COMPUTED_VALUE"""),0.0)</f>
        <v>0</v>
      </c>
      <c r="F464" s="41">
        <f>IFERROR(__xludf.DUMMYFUNCTION("""COMPUTED_VALUE"""),1135.0)</f>
        <v>1135</v>
      </c>
    </row>
    <row r="465">
      <c r="A465" s="41" t="b">
        <f>IFERROR(__xludf.DUMMYFUNCTION("""COMPUTED_VALUE"""),FALSE)</f>
        <v>0</v>
      </c>
      <c r="B465" s="41" t="str">
        <f>IFERROR(__xludf.DUMMYFUNCTION("""COMPUTED_VALUE"""),"RSC006299")</f>
        <v>RSC006299</v>
      </c>
      <c r="C465" s="41" t="str">
        <f>IFERROR(__xludf.DUMMYFUNCTION("""COMPUTED_VALUE"""),"dr_zachattack")</f>
        <v>dr_zachattack</v>
      </c>
      <c r="D465" s="41"/>
      <c r="E465" s="41">
        <f>IFERROR(__xludf.DUMMYFUNCTION("""COMPUTED_VALUE"""),0.0)</f>
        <v>0</v>
      </c>
      <c r="F465" s="41">
        <f>IFERROR(__xludf.DUMMYFUNCTION("""COMPUTED_VALUE"""),1415.0)</f>
        <v>1415</v>
      </c>
    </row>
    <row r="466">
      <c r="A466" s="41" t="b">
        <f>IFERROR(__xludf.DUMMYFUNCTION("""COMPUTED_VALUE"""),TRUE)</f>
        <v>1</v>
      </c>
      <c r="B466" s="41" t="str">
        <f>IFERROR(__xludf.DUMMYFUNCTION("""COMPUTED_VALUE"""),"RSC006067")</f>
        <v>RSC006067</v>
      </c>
      <c r="C466" s="41" t="str">
        <f>IFERROR(__xludf.DUMMYFUNCTION("""COMPUTED_VALUE"""),"ShinxX403")</f>
        <v>ShinxX403</v>
      </c>
      <c r="D466" s="41" t="str">
        <f>IFERROR(__xludf.DUMMYFUNCTION("""COMPUTED_VALUE"""),"Panda Bears")</f>
        <v>Panda Bears</v>
      </c>
      <c r="E466" s="41">
        <f>IFERROR(__xludf.DUMMYFUNCTION("""COMPUTED_VALUE"""),1.0)</f>
        <v>1</v>
      </c>
      <c r="F466" s="41">
        <f>IFERROR(__xludf.DUMMYFUNCTION("""COMPUTED_VALUE"""),1225.0)</f>
        <v>1225</v>
      </c>
    </row>
    <row r="467">
      <c r="A467" s="41" t="b">
        <f>IFERROR(__xludf.DUMMYFUNCTION("""COMPUTED_VALUE"""),TRUE)</f>
        <v>1</v>
      </c>
      <c r="B467" s="41" t="str">
        <f>IFERROR(__xludf.DUMMYFUNCTION("""COMPUTED_VALUE"""),"RSC006225")</f>
        <v>RSC006225</v>
      </c>
      <c r="C467" s="41" t="str">
        <f>IFERROR(__xludf.DUMMYFUNCTION("""COMPUTED_VALUE"""),"renightly")</f>
        <v>renightly</v>
      </c>
      <c r="D467" s="41" t="str">
        <f>IFERROR(__xludf.DUMMYFUNCTION("""COMPUTED_VALUE"""),"Polar Bears")</f>
        <v>Polar Bears</v>
      </c>
      <c r="E467" s="41">
        <f>IFERROR(__xludf.DUMMYFUNCTION("""COMPUTED_VALUE"""),1.0)</f>
        <v>1</v>
      </c>
      <c r="F467" s="41">
        <f>IFERROR(__xludf.DUMMYFUNCTION("""COMPUTED_VALUE"""),1325.0)</f>
        <v>1325</v>
      </c>
    </row>
    <row r="468">
      <c r="A468" s="41" t="b">
        <f>IFERROR(__xludf.DUMMYFUNCTION("""COMPUTED_VALUE"""),TRUE)</f>
        <v>1</v>
      </c>
      <c r="B468" s="41" t="str">
        <f>IFERROR(__xludf.DUMMYFUNCTION("""COMPUTED_VALUE"""),"RSC006174")</f>
        <v>RSC006174</v>
      </c>
      <c r="C468" s="41" t="str">
        <f>IFERROR(__xludf.DUMMYFUNCTION("""COMPUTED_VALUE"""),"I like bananas")</f>
        <v>I like bananas</v>
      </c>
      <c r="D468" s="41" t="str">
        <f>IFERROR(__xludf.DUMMYFUNCTION("""COMPUTED_VALUE"""),"Legati")</f>
        <v>Legati</v>
      </c>
      <c r="E468" s="41">
        <f>IFERROR(__xludf.DUMMYFUNCTION("""COMPUTED_VALUE"""),2.0)</f>
        <v>2</v>
      </c>
      <c r="F468" s="41">
        <f>IFERROR(__xludf.DUMMYFUNCTION("""COMPUTED_VALUE"""),1415.0)</f>
        <v>1415</v>
      </c>
    </row>
    <row r="469">
      <c r="A469" s="41" t="b">
        <f>IFERROR(__xludf.DUMMYFUNCTION("""COMPUTED_VALUE"""),TRUE)</f>
        <v>1</v>
      </c>
      <c r="B469" s="41" t="str">
        <f>IFERROR(__xludf.DUMMYFUNCTION("""COMPUTED_VALUE"""),"RSC006193")</f>
        <v>RSC006193</v>
      </c>
      <c r="C469" s="41" t="str">
        <f>IFERROR(__xludf.DUMMYFUNCTION("""COMPUTED_VALUE"""),"Saucy Rexy")</f>
        <v>Saucy Rexy</v>
      </c>
      <c r="D469" s="41" t="str">
        <f>IFERROR(__xludf.DUMMYFUNCTION("""COMPUTED_VALUE"""),"Forest Cobra")</f>
        <v>Forest Cobra</v>
      </c>
      <c r="E469" s="41">
        <f>IFERROR(__xludf.DUMMYFUNCTION("""COMPUTED_VALUE"""),1.0)</f>
        <v>1</v>
      </c>
      <c r="F469" s="41">
        <f>IFERROR(__xludf.DUMMYFUNCTION("""COMPUTED_VALUE"""),1615.0)</f>
        <v>1615</v>
      </c>
    </row>
    <row r="470">
      <c r="A470" s="41" t="b">
        <f>IFERROR(__xludf.DUMMYFUNCTION("""COMPUTED_VALUE"""),TRUE)</f>
        <v>1</v>
      </c>
      <c r="B470" s="41" t="str">
        <f>IFERROR(__xludf.DUMMYFUNCTION("""COMPUTED_VALUE"""),"RSC006092")</f>
        <v>RSC006092</v>
      </c>
      <c r="C470" s="41" t="str">
        <f>IFERROR(__xludf.DUMMYFUNCTION("""COMPUTED_VALUE"""),"Mick")</f>
        <v>Mick</v>
      </c>
      <c r="D470" s="41" t="str">
        <f>IFERROR(__xludf.DUMMYFUNCTION("""COMPUTED_VALUE"""),"Cooks")</f>
        <v>Cooks</v>
      </c>
      <c r="E470" s="41">
        <f>IFERROR(__xludf.DUMMYFUNCTION("""COMPUTED_VALUE"""),1.0)</f>
        <v>1</v>
      </c>
      <c r="F470" s="41">
        <f>IFERROR(__xludf.DUMMYFUNCTION("""COMPUTED_VALUE"""),1205.0)</f>
        <v>1205</v>
      </c>
    </row>
    <row r="471">
      <c r="A471" s="41" t="b">
        <f>IFERROR(__xludf.DUMMYFUNCTION("""COMPUTED_VALUE"""),TRUE)</f>
        <v>1</v>
      </c>
      <c r="B471" s="41" t="str">
        <f>IFERROR(__xludf.DUMMYFUNCTION("""COMPUTED_VALUE"""),"RSC006240")</f>
        <v>RSC006240</v>
      </c>
      <c r="C471" s="41" t="str">
        <f>IFERROR(__xludf.DUMMYFUNCTION("""COMPUTED_VALUE"""),"Canadian Gamer")</f>
        <v>Canadian Gamer</v>
      </c>
      <c r="D471" s="41" t="str">
        <f>IFERROR(__xludf.DUMMYFUNCTION("""COMPUTED_VALUE"""),"Manticore")</f>
        <v>Manticore</v>
      </c>
      <c r="E471" s="41">
        <f>IFERROR(__xludf.DUMMYFUNCTION("""COMPUTED_VALUE"""),2.0)</f>
        <v>2</v>
      </c>
      <c r="F471" s="41">
        <f>IFERROR(__xludf.DUMMYFUNCTION("""COMPUTED_VALUE"""),1185.0)</f>
        <v>1185</v>
      </c>
    </row>
    <row r="472">
      <c r="A472" s="41" t="b">
        <f>IFERROR(__xludf.DUMMYFUNCTION("""COMPUTED_VALUE"""),FALSE)</f>
        <v>0</v>
      </c>
      <c r="B472" s="41" t="str">
        <f>IFERROR(__xludf.DUMMYFUNCTION("""COMPUTED_VALUE"""),"RSC006086")</f>
        <v>RSC006086</v>
      </c>
      <c r="C472" s="41" t="str">
        <f>IFERROR(__xludf.DUMMYFUNCTION("""COMPUTED_VALUE"""),"13o0k")</f>
        <v>13o0k</v>
      </c>
      <c r="D472" s="41"/>
      <c r="E472" s="41">
        <f>IFERROR(__xludf.DUMMYFUNCTION("""COMPUTED_VALUE"""),0.0)</f>
        <v>0</v>
      </c>
      <c r="F472" s="41">
        <f>IFERROR(__xludf.DUMMYFUNCTION("""COMPUTED_VALUE"""),1440.0)</f>
        <v>1440</v>
      </c>
    </row>
    <row r="473">
      <c r="A473" s="41" t="b">
        <f>IFERROR(__xludf.DUMMYFUNCTION("""COMPUTED_VALUE"""),FALSE)</f>
        <v>0</v>
      </c>
      <c r="B473" s="41" t="str">
        <f>IFERROR(__xludf.DUMMYFUNCTION("""COMPUTED_VALUE"""),"RSC006328")</f>
        <v>RSC006328</v>
      </c>
      <c r="C473" s="41" t="str">
        <f>IFERROR(__xludf.DUMMYFUNCTION("""COMPUTED_VALUE"""),"Danwad")</f>
        <v>Danwad</v>
      </c>
      <c r="D473" s="41"/>
      <c r="E473" s="41">
        <f>IFERROR(__xludf.DUMMYFUNCTION("""COMPUTED_VALUE"""),0.0)</f>
        <v>0</v>
      </c>
      <c r="F473" s="41">
        <f>IFERROR(__xludf.DUMMYFUNCTION("""COMPUTED_VALUE"""),1855.0)</f>
        <v>1855</v>
      </c>
    </row>
    <row r="474">
      <c r="A474" s="41" t="b">
        <f>IFERROR(__xludf.DUMMYFUNCTION("""COMPUTED_VALUE"""),TRUE)</f>
        <v>1</v>
      </c>
      <c r="B474" s="41" t="str">
        <f>IFERROR(__xludf.DUMMYFUNCTION("""COMPUTED_VALUE"""),"RSC006167")</f>
        <v>RSC006167</v>
      </c>
      <c r="C474" s="41" t="str">
        <f>IFERROR(__xludf.DUMMYFUNCTION("""COMPUTED_VALUE"""),"MagesticEagle1")</f>
        <v>MagesticEagle1</v>
      </c>
      <c r="D474" s="41"/>
      <c r="E474" s="41">
        <f>IFERROR(__xludf.DUMMYFUNCTION("""COMPUTED_VALUE"""),0.0)</f>
        <v>0</v>
      </c>
      <c r="F474" s="41">
        <f>IFERROR(__xludf.DUMMYFUNCTION("""COMPUTED_VALUE"""),1435.0)</f>
        <v>1435</v>
      </c>
    </row>
    <row r="475">
      <c r="A475" s="41" t="b">
        <f>IFERROR(__xludf.DUMMYFUNCTION("""COMPUTED_VALUE"""),TRUE)</f>
        <v>1</v>
      </c>
      <c r="B475" s="41" t="str">
        <f>IFERROR(__xludf.DUMMYFUNCTION("""COMPUTED_VALUE"""),"RSC006288")</f>
        <v>RSC006288</v>
      </c>
      <c r="C475" s="41" t="str">
        <f>IFERROR(__xludf.DUMMYFUNCTION("""COMPUTED_VALUE"""),"Z")</f>
        <v>Z</v>
      </c>
      <c r="D475" s="41"/>
      <c r="E475" s="41">
        <f>IFERROR(__xludf.DUMMYFUNCTION("""COMPUTED_VALUE"""),0.0)</f>
        <v>0</v>
      </c>
      <c r="F475" s="41">
        <f>IFERROR(__xludf.DUMMYFUNCTION("""COMPUTED_VALUE"""),1380.0)</f>
        <v>1380</v>
      </c>
    </row>
    <row r="476">
      <c r="A476" s="41" t="b">
        <f>IFERROR(__xludf.DUMMYFUNCTION("""COMPUTED_VALUE"""),TRUE)</f>
        <v>1</v>
      </c>
      <c r="B476" s="41" t="str">
        <f>IFERROR(__xludf.DUMMYFUNCTION("""COMPUTED_VALUE"""),"RSC006439")</f>
        <v>RSC006439</v>
      </c>
      <c r="C476" s="41" t="str">
        <f>IFERROR(__xludf.DUMMYFUNCTION("""COMPUTED_VALUE"""),"S E L.")</f>
        <v>S E L.</v>
      </c>
      <c r="D476" s="41" t="str">
        <f>IFERROR(__xludf.DUMMYFUNCTION("""COMPUTED_VALUE"""),"Hawaiian Pizza")</f>
        <v>Hawaiian Pizza</v>
      </c>
      <c r="E476" s="41">
        <f>IFERROR(__xludf.DUMMYFUNCTION("""COMPUTED_VALUE"""),1.0)</f>
        <v>1</v>
      </c>
      <c r="F476" s="41">
        <f>IFERROR(__xludf.DUMMYFUNCTION("""COMPUTED_VALUE"""),1035.0)</f>
        <v>1035</v>
      </c>
    </row>
    <row r="477">
      <c r="A477" s="41" t="b">
        <f>IFERROR(__xludf.DUMMYFUNCTION("""COMPUTED_VALUE"""),TRUE)</f>
        <v>1</v>
      </c>
      <c r="B477" s="41" t="str">
        <f>IFERROR(__xludf.DUMMYFUNCTION("""COMPUTED_VALUE"""),"RSC006464")</f>
        <v>RSC006464</v>
      </c>
      <c r="C477" s="41" t="str">
        <f>IFERROR(__xludf.DUMMYFUNCTION("""COMPUTED_VALUE"""),"vAirwick")</f>
        <v>vAirwick</v>
      </c>
      <c r="D477" s="41" t="str">
        <f>IFERROR(__xludf.DUMMYFUNCTION("""COMPUTED_VALUE"""),"Hammerheads")</f>
        <v>Hammerheads</v>
      </c>
      <c r="E477" s="41">
        <f>IFERROR(__xludf.DUMMYFUNCTION("""COMPUTED_VALUE"""),2.0)</f>
        <v>2</v>
      </c>
      <c r="F477" s="41">
        <f>IFERROR(__xludf.DUMMYFUNCTION("""COMPUTED_VALUE"""),1340.0)</f>
        <v>1340</v>
      </c>
    </row>
    <row r="478">
      <c r="A478" s="41" t="b">
        <f>IFERROR(__xludf.DUMMYFUNCTION("""COMPUTED_VALUE"""),TRUE)</f>
        <v>1</v>
      </c>
      <c r="B478" s="41" t="str">
        <f>IFERROR(__xludf.DUMMYFUNCTION("""COMPUTED_VALUE"""),"RSC006669")</f>
        <v>RSC006669</v>
      </c>
      <c r="C478" s="41" t="str">
        <f>IFERROR(__xludf.DUMMYFUNCTION("""COMPUTED_VALUE"""),"xypheron")</f>
        <v>xypheron</v>
      </c>
      <c r="D478" s="41" t="str">
        <f>IFERROR(__xludf.DUMMYFUNCTION("""COMPUTED_VALUE"""),"Meat Lovers")</f>
        <v>Meat Lovers</v>
      </c>
      <c r="E478" s="41">
        <f>IFERROR(__xludf.DUMMYFUNCTION("""COMPUTED_VALUE"""),2.0)</f>
        <v>2</v>
      </c>
      <c r="F478" s="41">
        <f>IFERROR(__xludf.DUMMYFUNCTION("""COMPUTED_VALUE"""),1085.0)</f>
        <v>1085</v>
      </c>
    </row>
    <row r="479">
      <c r="A479" s="41" t="b">
        <f>IFERROR(__xludf.DUMMYFUNCTION("""COMPUTED_VALUE"""),TRUE)</f>
        <v>1</v>
      </c>
      <c r="B479" s="41" t="str">
        <f>IFERROR(__xludf.DUMMYFUNCTION("""COMPUTED_VALUE"""),"RSC006401")</f>
        <v>RSC006401</v>
      </c>
      <c r="C479" s="41" t="str">
        <f>IFERROR(__xludf.DUMMYFUNCTION("""COMPUTED_VALUE"""),"SHAdohwj_")</f>
        <v>SHAdohwj_</v>
      </c>
      <c r="D479" s="41" t="str">
        <f>IFERROR(__xludf.DUMMYFUNCTION("""COMPUTED_VALUE"""),"Dread")</f>
        <v>Dread</v>
      </c>
      <c r="E479" s="41">
        <f>IFERROR(__xludf.DUMMYFUNCTION("""COMPUTED_VALUE"""),2.0)</f>
        <v>2</v>
      </c>
      <c r="F479" s="41">
        <f>IFERROR(__xludf.DUMMYFUNCTION("""COMPUTED_VALUE"""),1400.0)</f>
        <v>1400</v>
      </c>
    </row>
    <row r="480">
      <c r="A480" s="41" t="b">
        <f>IFERROR(__xludf.DUMMYFUNCTION("""COMPUTED_VALUE"""),TRUE)</f>
        <v>1</v>
      </c>
      <c r="B480" s="41" t="str">
        <f>IFERROR(__xludf.DUMMYFUNCTION("""COMPUTED_VALUE"""),"RSC006643")</f>
        <v>RSC006643</v>
      </c>
      <c r="C480" s="41" t="str">
        <f>IFERROR(__xludf.DUMMYFUNCTION("""COMPUTED_VALUE"""),"Napkhan")</f>
        <v>Napkhan</v>
      </c>
      <c r="D480" s="41" t="str">
        <f>IFERROR(__xludf.DUMMYFUNCTION("""COMPUTED_VALUE"""),"Ruthless Racket")</f>
        <v>Ruthless Racket</v>
      </c>
      <c r="E480" s="41">
        <f>IFERROR(__xludf.DUMMYFUNCTION("""COMPUTED_VALUE"""),2.0)</f>
        <v>2</v>
      </c>
      <c r="F480" s="41">
        <f>IFERROR(__xludf.DUMMYFUNCTION("""COMPUTED_VALUE"""),1300.0)</f>
        <v>1300</v>
      </c>
    </row>
    <row r="481">
      <c r="A481" s="41" t="b">
        <f>IFERROR(__xludf.DUMMYFUNCTION("""COMPUTED_VALUE"""),TRUE)</f>
        <v>1</v>
      </c>
      <c r="B481" s="41" t="str">
        <f>IFERROR(__xludf.DUMMYFUNCTION("""COMPUTED_VALUE"""),"RSC006534")</f>
        <v>RSC006534</v>
      </c>
      <c r="C481" s="41" t="str">
        <f>IFERROR(__xludf.DUMMYFUNCTION("""COMPUTED_VALUE"""),"FIN0oo")</f>
        <v>FIN0oo</v>
      </c>
      <c r="D481" s="41" t="str">
        <f>IFERROR(__xludf.DUMMYFUNCTION("""COMPUTED_VALUE"""),"Kawaii")</f>
        <v>Kawaii</v>
      </c>
      <c r="E481" s="41">
        <f>IFERROR(__xludf.DUMMYFUNCTION("""COMPUTED_VALUE"""),2.0)</f>
        <v>2</v>
      </c>
      <c r="F481" s="41">
        <f>IFERROR(__xludf.DUMMYFUNCTION("""COMPUTED_VALUE"""),1785.0)</f>
        <v>1785</v>
      </c>
    </row>
    <row r="482">
      <c r="A482" s="41" t="b">
        <f>IFERROR(__xludf.DUMMYFUNCTION("""COMPUTED_VALUE"""),TRUE)</f>
        <v>1</v>
      </c>
      <c r="B482" s="41" t="str">
        <f>IFERROR(__xludf.DUMMYFUNCTION("""COMPUTED_VALUE"""),"RSC006659")</f>
        <v>RSC006659</v>
      </c>
      <c r="C482" s="41" t="str">
        <f>IFERROR(__xludf.DUMMYFUNCTION("""COMPUTED_VALUE"""),"ImZalama")</f>
        <v>ImZalama</v>
      </c>
      <c r="D482" s="41" t="str">
        <f>IFERROR(__xludf.DUMMYFUNCTION("""COMPUTED_VALUE"""),"Metal")</f>
        <v>Metal</v>
      </c>
      <c r="E482" s="41">
        <f>IFERROR(__xludf.DUMMYFUNCTION("""COMPUTED_VALUE"""),1.0)</f>
        <v>1</v>
      </c>
      <c r="F482" s="41">
        <f>IFERROR(__xludf.DUMMYFUNCTION("""COMPUTED_VALUE"""),1185.0)</f>
        <v>1185</v>
      </c>
    </row>
    <row r="483">
      <c r="A483" s="41" t="b">
        <f>IFERROR(__xludf.DUMMYFUNCTION("""COMPUTED_VALUE"""),TRUE)</f>
        <v>1</v>
      </c>
      <c r="B483" s="41" t="str">
        <f>IFERROR(__xludf.DUMMYFUNCTION("""COMPUTED_VALUE"""),"RSC006664")</f>
        <v>RSC006664</v>
      </c>
      <c r="C483" s="41" t="str">
        <f>IFERROR(__xludf.DUMMYFUNCTION("""COMPUTED_VALUE"""),"Godless")</f>
        <v>Godless</v>
      </c>
      <c r="D483" s="41"/>
      <c r="E483" s="41">
        <f>IFERROR(__xludf.DUMMYFUNCTION("""COMPUTED_VALUE"""),0.0)</f>
        <v>0</v>
      </c>
      <c r="F483" s="41">
        <f>IFERROR(__xludf.DUMMYFUNCTION("""COMPUTED_VALUE"""),1390.0)</f>
        <v>1390</v>
      </c>
    </row>
    <row r="484">
      <c r="A484" s="41" t="b">
        <f>IFERROR(__xludf.DUMMYFUNCTION("""COMPUTED_VALUE"""),TRUE)</f>
        <v>1</v>
      </c>
      <c r="B484" s="41" t="str">
        <f>IFERROR(__xludf.DUMMYFUNCTION("""COMPUTED_VALUE"""),"RSC006448")</f>
        <v>RSC006448</v>
      </c>
      <c r="C484" s="41" t="str">
        <f>IFERROR(__xludf.DUMMYFUNCTION("""COMPUTED_VALUE"""),"M1TNS")</f>
        <v>M1TNS</v>
      </c>
      <c r="D484" s="41" t="str">
        <f>IFERROR(__xludf.DUMMYFUNCTION("""COMPUTED_VALUE"""),"Forge Defenders")</f>
        <v>Forge Defenders</v>
      </c>
      <c r="E484" s="41">
        <f>IFERROR(__xludf.DUMMYFUNCTION("""COMPUTED_VALUE"""),2.0)</f>
        <v>2</v>
      </c>
      <c r="F484" s="41">
        <f>IFERROR(__xludf.DUMMYFUNCTION("""COMPUTED_VALUE"""),1520.0)</f>
        <v>1520</v>
      </c>
    </row>
    <row r="485">
      <c r="A485" s="41" t="b">
        <f>IFERROR(__xludf.DUMMYFUNCTION("""COMPUTED_VALUE"""),TRUE)</f>
        <v>1</v>
      </c>
      <c r="B485" s="41" t="str">
        <f>IFERROR(__xludf.DUMMYFUNCTION("""COMPUTED_VALUE"""),"RSC006409")</f>
        <v>RSC006409</v>
      </c>
      <c r="C485" s="41" t="str">
        <f>IFERROR(__xludf.DUMMYFUNCTION("""COMPUTED_VALUE"""),"Reported.")</f>
        <v>Reported.</v>
      </c>
      <c r="D485" s="41" t="str">
        <f>IFERROR(__xludf.DUMMYFUNCTION("""COMPUTED_VALUE"""),"Great Whites")</f>
        <v>Great Whites</v>
      </c>
      <c r="E485" s="41">
        <f>IFERROR(__xludf.DUMMYFUNCTION("""COMPUTED_VALUE"""),1.0)</f>
        <v>1</v>
      </c>
      <c r="F485" s="41">
        <f>IFERROR(__xludf.DUMMYFUNCTION("""COMPUTED_VALUE"""),1670.0)</f>
        <v>1670</v>
      </c>
    </row>
    <row r="486">
      <c r="A486" s="41" t="b">
        <f>IFERROR(__xludf.DUMMYFUNCTION("""COMPUTED_VALUE"""),TRUE)</f>
        <v>1</v>
      </c>
      <c r="B486" s="41" t="str">
        <f>IFERROR(__xludf.DUMMYFUNCTION("""COMPUTED_VALUE"""),"RSC006404")</f>
        <v>RSC006404</v>
      </c>
      <c r="C486" s="41" t="str">
        <f>IFERROR(__xludf.DUMMYFUNCTION("""COMPUTED_VALUE"""),"Protocol")</f>
        <v>Protocol</v>
      </c>
      <c r="D486" s="41"/>
      <c r="E486" s="41">
        <f>IFERROR(__xludf.DUMMYFUNCTION("""COMPUTED_VALUE"""),0.0)</f>
        <v>0</v>
      </c>
      <c r="F486" s="41">
        <f>IFERROR(__xludf.DUMMYFUNCTION("""COMPUTED_VALUE"""),1045.0)</f>
        <v>1045</v>
      </c>
    </row>
    <row r="487">
      <c r="A487" s="41" t="b">
        <f>IFERROR(__xludf.DUMMYFUNCTION("""COMPUTED_VALUE"""),TRUE)</f>
        <v>1</v>
      </c>
      <c r="B487" s="41" t="str">
        <f>IFERROR(__xludf.DUMMYFUNCTION("""COMPUTED_VALUE"""),"RSC006668")</f>
        <v>RSC006668</v>
      </c>
      <c r="C487" s="41" t="str">
        <f>IFERROR(__xludf.DUMMYFUNCTION("""COMPUTED_VALUE"""),"kamui")</f>
        <v>kamui</v>
      </c>
      <c r="D487" s="41" t="str">
        <f>IFERROR(__xludf.DUMMYFUNCTION("""COMPUTED_VALUE"""),"Teddy Bears")</f>
        <v>Teddy Bears</v>
      </c>
      <c r="E487" s="41">
        <f>IFERROR(__xludf.DUMMYFUNCTION("""COMPUTED_VALUE"""),2.0)</f>
        <v>2</v>
      </c>
      <c r="F487" s="41">
        <f>IFERROR(__xludf.DUMMYFUNCTION("""COMPUTED_VALUE"""),1580.0)</f>
        <v>1580</v>
      </c>
    </row>
    <row r="488">
      <c r="A488" s="41" t="b">
        <f>IFERROR(__xludf.DUMMYFUNCTION("""COMPUTED_VALUE"""),TRUE)</f>
        <v>1</v>
      </c>
      <c r="B488" s="41" t="str">
        <f>IFERROR(__xludf.DUMMYFUNCTION("""COMPUTED_VALUE"""),"RSC006667")</f>
        <v>RSC006667</v>
      </c>
      <c r="C488" s="41" t="str">
        <f>IFERROR(__xludf.DUMMYFUNCTION("""COMPUTED_VALUE"""),"GET2DACHOPPA5")</f>
        <v>GET2DACHOPPA5</v>
      </c>
      <c r="D488" s="41" t="str">
        <f>IFERROR(__xludf.DUMMYFUNCTION("""COMPUTED_VALUE"""),"Porch Pirates")</f>
        <v>Porch Pirates</v>
      </c>
      <c r="E488" s="41">
        <f>IFERROR(__xludf.DUMMYFUNCTION("""COMPUTED_VALUE"""),2.0)</f>
        <v>2</v>
      </c>
      <c r="F488" s="41">
        <f>IFERROR(__xludf.DUMMYFUNCTION("""COMPUTED_VALUE"""),1145.0)</f>
        <v>1145</v>
      </c>
    </row>
    <row r="489">
      <c r="A489" s="41" t="b">
        <f>IFERROR(__xludf.DUMMYFUNCTION("""COMPUTED_VALUE"""),TRUE)</f>
        <v>1</v>
      </c>
      <c r="B489" s="41" t="str">
        <f>IFERROR(__xludf.DUMMYFUNCTION("""COMPUTED_VALUE"""),"RSC006642")</f>
        <v>RSC006642</v>
      </c>
      <c r="C489" s="41" t="str">
        <f>IFERROR(__xludf.DUMMYFUNCTION("""COMPUTED_VALUE"""),"Zone Killa")</f>
        <v>Zone Killa</v>
      </c>
      <c r="D489" s="41" t="str">
        <f>IFERROR(__xludf.DUMMYFUNCTION("""COMPUTED_VALUE"""),"Apple Associates")</f>
        <v>Apple Associates</v>
      </c>
      <c r="E489" s="41">
        <f>IFERROR(__xludf.DUMMYFUNCTION("""COMPUTED_VALUE"""),2.0)</f>
        <v>2</v>
      </c>
      <c r="F489" s="41">
        <f>IFERROR(__xludf.DUMMYFUNCTION("""COMPUTED_VALUE"""),1160.0)</f>
        <v>1160</v>
      </c>
    </row>
    <row r="490">
      <c r="A490" s="41" t="b">
        <f>IFERROR(__xludf.DUMMYFUNCTION("""COMPUTED_VALUE"""),TRUE)</f>
        <v>1</v>
      </c>
      <c r="B490" s="41" t="str">
        <f>IFERROR(__xludf.DUMMYFUNCTION("""COMPUTED_VALUE"""),"RSC006581")</f>
        <v>RSC006581</v>
      </c>
      <c r="C490" s="41" t="str">
        <f>IFERROR(__xludf.DUMMYFUNCTION("""COMPUTED_VALUE"""),"Light_Wigglebean")</f>
        <v>Light_Wigglebean</v>
      </c>
      <c r="D490" s="41" t="str">
        <f>IFERROR(__xludf.DUMMYFUNCTION("""COMPUTED_VALUE"""),"Black-Holes")</f>
        <v>Black-Holes</v>
      </c>
      <c r="E490" s="41">
        <f>IFERROR(__xludf.DUMMYFUNCTION("""COMPUTED_VALUE"""),2.0)</f>
        <v>2</v>
      </c>
      <c r="F490" s="41">
        <f>IFERROR(__xludf.DUMMYFUNCTION("""COMPUTED_VALUE"""),1520.0)</f>
        <v>1520</v>
      </c>
    </row>
    <row r="491">
      <c r="A491" s="41" t="b">
        <f>IFERROR(__xludf.DUMMYFUNCTION("""COMPUTED_VALUE"""),TRUE)</f>
        <v>1</v>
      </c>
      <c r="B491" s="41" t="str">
        <f>IFERROR(__xludf.DUMMYFUNCTION("""COMPUTED_VALUE"""),"RSC006428")</f>
        <v>RSC006428</v>
      </c>
      <c r="C491" s="41" t="str">
        <f>IFERROR(__xludf.DUMMYFUNCTION("""COMPUTED_VALUE"""),"SniperWarrior007")</f>
        <v>SniperWarrior007</v>
      </c>
      <c r="D491" s="41"/>
      <c r="E491" s="41">
        <f>IFERROR(__xludf.DUMMYFUNCTION("""COMPUTED_VALUE"""),0.0)</f>
        <v>0</v>
      </c>
      <c r="F491" s="41">
        <f>IFERROR(__xludf.DUMMYFUNCTION("""COMPUTED_VALUE"""),1400.0)</f>
        <v>1400</v>
      </c>
    </row>
    <row r="492">
      <c r="A492" s="41" t="b">
        <f>IFERROR(__xludf.DUMMYFUNCTION("""COMPUTED_VALUE"""),TRUE)</f>
        <v>1</v>
      </c>
      <c r="B492" s="41" t="str">
        <f>IFERROR(__xludf.DUMMYFUNCTION("""COMPUTED_VALUE"""),"RSC000023")</f>
        <v>RSC000023</v>
      </c>
      <c r="C492" s="41" t="str">
        <f>IFERROR(__xludf.DUMMYFUNCTION("""COMPUTED_VALUE"""),"n0maa")</f>
        <v>n0maa</v>
      </c>
      <c r="D492" s="41"/>
      <c r="E492" s="41">
        <f>IFERROR(__xludf.DUMMYFUNCTION("""COMPUTED_VALUE"""),0.0)</f>
        <v>0</v>
      </c>
      <c r="F492" s="41">
        <f>IFERROR(__xludf.DUMMYFUNCTION("""COMPUTED_VALUE"""),1540.0)</f>
        <v>1540</v>
      </c>
    </row>
    <row r="493">
      <c r="A493" s="41" t="b">
        <f>IFERROR(__xludf.DUMMYFUNCTION("""COMPUTED_VALUE"""),TRUE)</f>
        <v>1</v>
      </c>
      <c r="B493" s="41" t="str">
        <f>IFERROR(__xludf.DUMMYFUNCTION("""COMPUTED_VALUE"""),"RSC006613")</f>
        <v>RSC006613</v>
      </c>
      <c r="C493" s="41" t="str">
        <f>IFERROR(__xludf.DUMMYFUNCTION("""COMPUTED_VALUE"""),"cartman_-_")</f>
        <v>cartman_-_</v>
      </c>
      <c r="D493" s="41" t="str">
        <f>IFERROR(__xludf.DUMMYFUNCTION("""COMPUTED_VALUE"""),"Dogfight")</f>
        <v>Dogfight</v>
      </c>
      <c r="E493" s="41">
        <f>IFERROR(__xludf.DUMMYFUNCTION("""COMPUTED_VALUE"""),1.0)</f>
        <v>1</v>
      </c>
      <c r="F493" s="41">
        <f>IFERROR(__xludf.DUMMYFUNCTION("""COMPUTED_VALUE"""),1470.0)</f>
        <v>1470</v>
      </c>
    </row>
    <row r="494">
      <c r="A494" s="41" t="b">
        <f>IFERROR(__xludf.DUMMYFUNCTION("""COMPUTED_VALUE"""),FALSE)</f>
        <v>0</v>
      </c>
      <c r="B494" s="41" t="str">
        <f>IFERROR(__xludf.DUMMYFUNCTION("""COMPUTED_VALUE"""),"RSC006649")</f>
        <v>RSC006649</v>
      </c>
      <c r="C494" s="41" t="str">
        <f>IFERROR(__xludf.DUMMYFUNCTION("""COMPUTED_VALUE"""),"morgan")</f>
        <v>morgan</v>
      </c>
      <c r="D494" s="41"/>
      <c r="E494" s="41">
        <f>IFERROR(__xludf.DUMMYFUNCTION("""COMPUTED_VALUE"""),0.0)</f>
        <v>0</v>
      </c>
      <c r="F494" s="41">
        <f>IFERROR(__xludf.DUMMYFUNCTION("""COMPUTED_VALUE"""),1635.0)</f>
        <v>1635</v>
      </c>
    </row>
    <row r="495">
      <c r="A495" s="41" t="b">
        <f>IFERROR(__xludf.DUMMYFUNCTION("""COMPUTED_VALUE"""),TRUE)</f>
        <v>1</v>
      </c>
      <c r="B495" s="41" t="str">
        <f>IFERROR(__xludf.DUMMYFUNCTION("""COMPUTED_VALUE"""),"RSC006822")</f>
        <v>RSC006822</v>
      </c>
      <c r="C495" s="41" t="str">
        <f>IFERROR(__xludf.DUMMYFUNCTION("""COMPUTED_VALUE"""),"itsu_desu")</f>
        <v>itsu_desu</v>
      </c>
      <c r="D495" s="41" t="str">
        <f>IFERROR(__xludf.DUMMYFUNCTION("""COMPUTED_VALUE"""),"Void")</f>
        <v>Void</v>
      </c>
      <c r="E495" s="41">
        <f>IFERROR(__xludf.DUMMYFUNCTION("""COMPUTED_VALUE"""),2.0)</f>
        <v>2</v>
      </c>
      <c r="F495" s="41">
        <f>IFERROR(__xludf.DUMMYFUNCTION("""COMPUTED_VALUE"""),1075.0)</f>
        <v>1075</v>
      </c>
    </row>
    <row r="496">
      <c r="A496" s="41" t="b">
        <f>IFERROR(__xludf.DUMMYFUNCTION("""COMPUTED_VALUE"""),TRUE)</f>
        <v>1</v>
      </c>
      <c r="B496" s="41" t="str">
        <f>IFERROR(__xludf.DUMMYFUNCTION("""COMPUTED_VALUE"""),"RSC006881")</f>
        <v>RSC006881</v>
      </c>
      <c r="C496" s="41" t="str">
        <f>IFERROR(__xludf.DUMMYFUNCTION("""COMPUTED_VALUE"""),"Cyroic")</f>
        <v>Cyroic</v>
      </c>
      <c r="D496" s="41"/>
      <c r="E496" s="41">
        <f>IFERROR(__xludf.DUMMYFUNCTION("""COMPUTED_VALUE"""),0.0)</f>
        <v>0</v>
      </c>
      <c r="F496" s="41">
        <f>IFERROR(__xludf.DUMMYFUNCTION("""COMPUTED_VALUE"""),1400.0)</f>
        <v>1400</v>
      </c>
    </row>
    <row r="497">
      <c r="A497" s="41" t="b">
        <f>IFERROR(__xludf.DUMMYFUNCTION("""COMPUTED_VALUE"""),TRUE)</f>
        <v>1</v>
      </c>
      <c r="B497" s="41" t="str">
        <f>IFERROR(__xludf.DUMMYFUNCTION("""COMPUTED_VALUE"""),"RSC006723")</f>
        <v>RSC006723</v>
      </c>
      <c r="C497" s="41" t="str">
        <f>IFERROR(__xludf.DUMMYFUNCTION("""COMPUTED_VALUE"""),"ROCK_Sause")</f>
        <v>ROCK_Sause</v>
      </c>
      <c r="D497" s="41" t="str">
        <f>IFERROR(__xludf.DUMMYFUNCTION("""COMPUTED_VALUE"""),"Immortals")</f>
        <v>Immortals</v>
      </c>
      <c r="E497" s="41">
        <f>IFERROR(__xludf.DUMMYFUNCTION("""COMPUTED_VALUE"""),2.0)</f>
        <v>2</v>
      </c>
      <c r="F497" s="41">
        <f>IFERROR(__xludf.DUMMYFUNCTION("""COMPUTED_VALUE"""),1555.0)</f>
        <v>1555</v>
      </c>
    </row>
    <row r="498">
      <c r="A498" s="41" t="b">
        <f>IFERROR(__xludf.DUMMYFUNCTION("""COMPUTED_VALUE"""),TRUE)</f>
        <v>1</v>
      </c>
      <c r="B498" s="41" t="str">
        <f>IFERROR(__xludf.DUMMYFUNCTION("""COMPUTED_VALUE"""),"RSC006758")</f>
        <v>RSC006758</v>
      </c>
      <c r="C498" s="41" t="str">
        <f>IFERROR(__xludf.DUMMYFUNCTION("""COMPUTED_VALUE"""),"El Booger Sugar")</f>
        <v>El Booger Sugar</v>
      </c>
      <c r="D498" s="41" t="str">
        <f>IFERROR(__xludf.DUMMYFUNCTION("""COMPUTED_VALUE"""),"Decuriones")</f>
        <v>Decuriones</v>
      </c>
      <c r="E498" s="41">
        <f>IFERROR(__xludf.DUMMYFUNCTION("""COMPUTED_VALUE"""),2.0)</f>
        <v>2</v>
      </c>
      <c r="F498" s="41">
        <f>IFERROR(__xludf.DUMMYFUNCTION("""COMPUTED_VALUE"""),1135.0)</f>
        <v>1135</v>
      </c>
    </row>
    <row r="499">
      <c r="A499" s="41" t="b">
        <f>IFERROR(__xludf.DUMMYFUNCTION("""COMPUTED_VALUE"""),TRUE)</f>
        <v>1</v>
      </c>
      <c r="B499" s="41" t="str">
        <f>IFERROR(__xludf.DUMMYFUNCTION("""COMPUTED_VALUE"""),"RSC006733")</f>
        <v>RSC006733</v>
      </c>
      <c r="C499" s="41" t="str">
        <f>IFERROR(__xludf.DUMMYFUNCTION("""COMPUTED_VALUE"""),"RL Rust")</f>
        <v>RL Rust</v>
      </c>
      <c r="D499" s="41" t="str">
        <f>IFERROR(__xludf.DUMMYFUNCTION("""COMPUTED_VALUE"""),"Primo")</f>
        <v>Primo</v>
      </c>
      <c r="E499" s="41">
        <f>IFERROR(__xludf.DUMMYFUNCTION("""COMPUTED_VALUE"""),2.0)</f>
        <v>2</v>
      </c>
      <c r="F499" s="41">
        <f>IFERROR(__xludf.DUMMYFUNCTION("""COMPUTED_VALUE"""),1315.0)</f>
        <v>1315</v>
      </c>
    </row>
    <row r="500">
      <c r="A500" s="41" t="b">
        <f>IFERROR(__xludf.DUMMYFUNCTION("""COMPUTED_VALUE"""),TRUE)</f>
        <v>1</v>
      </c>
      <c r="B500" s="41" t="str">
        <f>IFERROR(__xludf.DUMMYFUNCTION("""COMPUTED_VALUE"""),"RSC006869")</f>
        <v>RSC006869</v>
      </c>
      <c r="C500" s="41" t="str">
        <f>IFERROR(__xludf.DUMMYFUNCTION("""COMPUTED_VALUE"""),"Flurry ^-^")</f>
        <v>Flurry ^-^</v>
      </c>
      <c r="D500" s="41" t="str">
        <f>IFERROR(__xludf.DUMMYFUNCTION("""COMPUTED_VALUE"""),"Dik-diks")</f>
        <v>Dik-diks</v>
      </c>
      <c r="E500" s="41">
        <f>IFERROR(__xludf.DUMMYFUNCTION("""COMPUTED_VALUE"""),1.0)</f>
        <v>1</v>
      </c>
      <c r="F500" s="41">
        <f>IFERROR(__xludf.DUMMYFUNCTION("""COMPUTED_VALUE"""),1530.0)</f>
        <v>1530</v>
      </c>
    </row>
    <row r="501">
      <c r="A501" s="41" t="b">
        <f>IFERROR(__xludf.DUMMYFUNCTION("""COMPUTED_VALUE"""),TRUE)</f>
        <v>1</v>
      </c>
      <c r="B501" s="41" t="str">
        <f>IFERROR(__xludf.DUMMYFUNCTION("""COMPUTED_VALUE"""),"RSC006700")</f>
        <v>RSC006700</v>
      </c>
      <c r="C501" s="41" t="str">
        <f>IFERROR(__xludf.DUMMYFUNCTION("""COMPUTED_VALUE"""),"Terx")</f>
        <v>Terx</v>
      </c>
      <c r="D501" s="41" t="str">
        <f>IFERROR(__xludf.DUMMYFUNCTION("""COMPUTED_VALUE"""),"Krakens")</f>
        <v>Krakens</v>
      </c>
      <c r="E501" s="41">
        <f>IFERROR(__xludf.DUMMYFUNCTION("""COMPUTED_VALUE"""),1.0)</f>
        <v>1</v>
      </c>
      <c r="F501" s="41">
        <f>IFERROR(__xludf.DUMMYFUNCTION("""COMPUTED_VALUE"""),1535.0)</f>
        <v>1535</v>
      </c>
    </row>
    <row r="502">
      <c r="A502" s="41" t="b">
        <f>IFERROR(__xludf.DUMMYFUNCTION("""COMPUTED_VALUE"""),TRUE)</f>
        <v>1</v>
      </c>
      <c r="B502" s="41" t="str">
        <f>IFERROR(__xludf.DUMMYFUNCTION("""COMPUTED_VALUE"""),"RSC006784")</f>
        <v>RSC006784</v>
      </c>
      <c r="C502" s="41" t="str">
        <f>IFERROR(__xludf.DUMMYFUNCTION("""COMPUTED_VALUE"""),"KittyMeowMeow360")</f>
        <v>KittyMeowMeow360</v>
      </c>
      <c r="D502" s="41" t="str">
        <f>IFERROR(__xludf.DUMMYFUNCTION("""COMPUTED_VALUE"""),"Blitzars")</f>
        <v>Blitzars</v>
      </c>
      <c r="E502" s="41">
        <f>IFERROR(__xludf.DUMMYFUNCTION("""COMPUTED_VALUE"""),2.0)</f>
        <v>2</v>
      </c>
      <c r="F502" s="41">
        <f>IFERROR(__xludf.DUMMYFUNCTION("""COMPUTED_VALUE"""),1105.0)</f>
        <v>1105</v>
      </c>
    </row>
    <row r="503">
      <c r="A503" s="41" t="b">
        <f>IFERROR(__xludf.DUMMYFUNCTION("""COMPUTED_VALUE"""),TRUE)</f>
        <v>1</v>
      </c>
      <c r="B503" s="41" t="str">
        <f>IFERROR(__xludf.DUMMYFUNCTION("""COMPUTED_VALUE"""),"RSC006774")</f>
        <v>RSC006774</v>
      </c>
      <c r="C503" s="41" t="str">
        <f>IFERROR(__xludf.DUMMYFUNCTION("""COMPUTED_VALUE"""),"JazzMagic.")</f>
        <v>JazzMagic.</v>
      </c>
      <c r="D503" s="41" t="str">
        <f>IFERROR(__xludf.DUMMYFUNCTION("""COMPUTED_VALUE"""),"Ruthless Racket")</f>
        <v>Ruthless Racket</v>
      </c>
      <c r="E503" s="41">
        <f>IFERROR(__xludf.DUMMYFUNCTION("""COMPUTED_VALUE"""),2.0)</f>
        <v>2</v>
      </c>
      <c r="F503" s="41">
        <f>IFERROR(__xludf.DUMMYFUNCTION("""COMPUTED_VALUE"""),1380.0)</f>
        <v>1380</v>
      </c>
    </row>
    <row r="504">
      <c r="A504" s="41" t="b">
        <f>IFERROR(__xludf.DUMMYFUNCTION("""COMPUTED_VALUE"""),TRUE)</f>
        <v>1</v>
      </c>
      <c r="B504" s="41" t="str">
        <f>IFERROR(__xludf.DUMMYFUNCTION("""COMPUTED_VALUE"""),"RSC006889")</f>
        <v>RSC006889</v>
      </c>
      <c r="C504" s="41" t="str">
        <f>IFERROR(__xludf.DUMMYFUNCTION("""COMPUTED_VALUE"""),"Jay")</f>
        <v>Jay</v>
      </c>
      <c r="D504" s="41" t="str">
        <f>IFERROR(__xludf.DUMMYFUNCTION("""COMPUTED_VALUE"""),"Leviathans")</f>
        <v>Leviathans</v>
      </c>
      <c r="E504" s="41">
        <f>IFERROR(__xludf.DUMMYFUNCTION("""COMPUTED_VALUE"""),1.0)</f>
        <v>1</v>
      </c>
      <c r="F504" s="41">
        <f>IFERROR(__xludf.DUMMYFUNCTION("""COMPUTED_VALUE"""),1850.0)</f>
        <v>1850</v>
      </c>
    </row>
    <row r="505">
      <c r="A505" s="41" t="b">
        <f>IFERROR(__xludf.DUMMYFUNCTION("""COMPUTED_VALUE"""),TRUE)</f>
        <v>1</v>
      </c>
      <c r="B505" s="41" t="str">
        <f>IFERROR(__xludf.DUMMYFUNCTION("""COMPUTED_VALUE"""),"RSC006910")</f>
        <v>RSC006910</v>
      </c>
      <c r="C505" s="41" t="str">
        <f>IFERROR(__xludf.DUMMYFUNCTION("""COMPUTED_VALUE"""),"Swanny2.0")</f>
        <v>Swanny2.0</v>
      </c>
      <c r="D505" s="41" t="str">
        <f>IFERROR(__xludf.DUMMYFUNCTION("""COMPUTED_VALUE"""),"Liars")</f>
        <v>Liars</v>
      </c>
      <c r="E505" s="41">
        <f>IFERROR(__xludf.DUMMYFUNCTION("""COMPUTED_VALUE"""),2.0)</f>
        <v>2</v>
      </c>
      <c r="F505" s="41">
        <f>IFERROR(__xludf.DUMMYFUNCTION("""COMPUTED_VALUE"""),1375.0)</f>
        <v>1375</v>
      </c>
    </row>
    <row r="506">
      <c r="A506" s="41" t="b">
        <f>IFERROR(__xludf.DUMMYFUNCTION("""COMPUTED_VALUE"""),TRUE)</f>
        <v>1</v>
      </c>
      <c r="B506" s="41" t="str">
        <f>IFERROR(__xludf.DUMMYFUNCTION("""COMPUTED_VALUE"""),"RSC006747")</f>
        <v>RSC006747</v>
      </c>
      <c r="C506" s="41" t="str">
        <f>IFERROR(__xludf.DUMMYFUNCTION("""COMPUTED_VALUE"""),"Panda")</f>
        <v>Panda</v>
      </c>
      <c r="D506" s="41" t="str">
        <f>IFERROR(__xludf.DUMMYFUNCTION("""COMPUTED_VALUE"""),"Ocelots")</f>
        <v>Ocelots</v>
      </c>
      <c r="E506" s="41">
        <f>IFERROR(__xludf.DUMMYFUNCTION("""COMPUTED_VALUE"""),2.0)</f>
        <v>2</v>
      </c>
      <c r="F506" s="41">
        <f>IFERROR(__xludf.DUMMYFUNCTION("""COMPUTED_VALUE"""),1255.0)</f>
        <v>1255</v>
      </c>
    </row>
    <row r="507">
      <c r="A507" s="41" t="b">
        <f>IFERROR(__xludf.DUMMYFUNCTION("""COMPUTED_VALUE"""),TRUE)</f>
        <v>1</v>
      </c>
      <c r="B507" s="41" t="str">
        <f>IFERROR(__xludf.DUMMYFUNCTION("""COMPUTED_VALUE"""),"RSC006769")</f>
        <v>RSC006769</v>
      </c>
      <c r="C507" s="41" t="str">
        <f>IFERROR(__xludf.DUMMYFUNCTION("""COMPUTED_VALUE"""),"baltostorm")</f>
        <v>baltostorm</v>
      </c>
      <c r="D507" s="41" t="str">
        <f>IFERROR(__xludf.DUMMYFUNCTION("""COMPUTED_VALUE"""),"Zombies")</f>
        <v>Zombies</v>
      </c>
      <c r="E507" s="41">
        <f>IFERROR(__xludf.DUMMYFUNCTION("""COMPUTED_VALUE"""),2.0)</f>
        <v>2</v>
      </c>
      <c r="F507" s="41">
        <f>IFERROR(__xludf.DUMMYFUNCTION("""COMPUTED_VALUE"""),1205.0)</f>
        <v>1205</v>
      </c>
    </row>
    <row r="508">
      <c r="A508" s="41" t="b">
        <f>IFERROR(__xludf.DUMMYFUNCTION("""COMPUTED_VALUE"""),TRUE)</f>
        <v>1</v>
      </c>
      <c r="B508" s="41" t="str">
        <f>IFERROR(__xludf.DUMMYFUNCTION("""COMPUTED_VALUE"""),"RSC006783")</f>
        <v>RSC006783</v>
      </c>
      <c r="C508" s="41" t="str">
        <f>IFERROR(__xludf.DUMMYFUNCTION("""COMPUTED_VALUE"""),"ImSouperGreat")</f>
        <v>ImSouperGreat</v>
      </c>
      <c r="D508" s="41" t="str">
        <f>IFERROR(__xludf.DUMMYFUNCTION("""COMPUTED_VALUE"""),"Great Whites")</f>
        <v>Great Whites</v>
      </c>
      <c r="E508" s="41">
        <f>IFERROR(__xludf.DUMMYFUNCTION("""COMPUTED_VALUE"""),2.0)</f>
        <v>2</v>
      </c>
      <c r="F508" s="41">
        <f>IFERROR(__xludf.DUMMYFUNCTION("""COMPUTED_VALUE"""),1605.0)</f>
        <v>1605</v>
      </c>
    </row>
    <row r="509">
      <c r="A509" s="41" t="b">
        <f>IFERROR(__xludf.DUMMYFUNCTION("""COMPUTED_VALUE"""),TRUE)</f>
        <v>1</v>
      </c>
      <c r="B509" s="41" t="str">
        <f>IFERROR(__xludf.DUMMYFUNCTION("""COMPUTED_VALUE"""),"RSC006880")</f>
        <v>RSC006880</v>
      </c>
      <c r="C509" s="41" t="str">
        <f>IFERROR(__xludf.DUMMYFUNCTION("""COMPUTED_VALUE"""),"Kenjicat17")</f>
        <v>Kenjicat17</v>
      </c>
      <c r="D509" s="41" t="str">
        <f>IFERROR(__xludf.DUMMYFUNCTION("""COMPUTED_VALUE"""),"Principales")</f>
        <v>Principales</v>
      </c>
      <c r="E509" s="41">
        <f>IFERROR(__xludf.DUMMYFUNCTION("""COMPUTED_VALUE"""),2.0)</f>
        <v>2</v>
      </c>
      <c r="F509" s="41">
        <f>IFERROR(__xludf.DUMMYFUNCTION("""COMPUTED_VALUE"""),980.0)</f>
        <v>980</v>
      </c>
    </row>
    <row r="510">
      <c r="A510" s="41" t="b">
        <f>IFERROR(__xludf.DUMMYFUNCTION("""COMPUTED_VALUE"""),TRUE)</f>
        <v>1</v>
      </c>
      <c r="B510" s="41" t="str">
        <f>IFERROR(__xludf.DUMMYFUNCTION("""COMPUTED_VALUE"""),"RSC006883")</f>
        <v>RSC006883</v>
      </c>
      <c r="C510" s="41" t="str">
        <f>IFERROR(__xludf.DUMMYFUNCTION("""COMPUTED_VALUE"""),"Kit")</f>
        <v>Kit</v>
      </c>
      <c r="D510" s="41" t="str">
        <f>IFERROR(__xludf.DUMMYFUNCTION("""COMPUTED_VALUE"""),"Liars")</f>
        <v>Liars</v>
      </c>
      <c r="E510" s="41">
        <f>IFERROR(__xludf.DUMMYFUNCTION("""COMPUTED_VALUE"""),2.0)</f>
        <v>2</v>
      </c>
      <c r="F510" s="41">
        <f>IFERROR(__xludf.DUMMYFUNCTION("""COMPUTED_VALUE"""),1265.0)</f>
        <v>1265</v>
      </c>
    </row>
    <row r="511">
      <c r="A511" s="41" t="b">
        <f>IFERROR(__xludf.DUMMYFUNCTION("""COMPUTED_VALUE"""),TRUE)</f>
        <v>1</v>
      </c>
      <c r="B511" s="41" t="str">
        <f>IFERROR(__xludf.DUMMYFUNCTION("""COMPUTED_VALUE"""),"RSC006780")</f>
        <v>RSC006780</v>
      </c>
      <c r="C511" s="41" t="str">
        <f>IFERROR(__xludf.DUMMYFUNCTION("""COMPUTED_VALUE"""),"Dark_Angels.")</f>
        <v>Dark_Angels.</v>
      </c>
      <c r="D511" s="41"/>
      <c r="E511" s="41">
        <f>IFERROR(__xludf.DUMMYFUNCTION("""COMPUTED_VALUE"""),0.0)</f>
        <v>0</v>
      </c>
      <c r="F511" s="41">
        <f>IFERROR(__xludf.DUMMYFUNCTION("""COMPUTED_VALUE"""),1205.0)</f>
        <v>1205</v>
      </c>
    </row>
    <row r="512">
      <c r="A512" s="41" t="b">
        <f>IFERROR(__xludf.DUMMYFUNCTION("""COMPUTED_VALUE"""),FALSE)</f>
        <v>0</v>
      </c>
      <c r="B512" s="41" t="str">
        <f>IFERROR(__xludf.DUMMYFUNCTION("""COMPUTED_VALUE"""),"RSC006823")</f>
        <v>RSC006823</v>
      </c>
      <c r="C512" s="41" t="str">
        <f>IFERROR(__xludf.DUMMYFUNCTION("""COMPUTED_VALUE"""),"Onirltv")</f>
        <v>Onirltv</v>
      </c>
      <c r="D512" s="41"/>
      <c r="E512" s="41">
        <f>IFERROR(__xludf.DUMMYFUNCTION("""COMPUTED_VALUE"""),2.0)</f>
        <v>2</v>
      </c>
      <c r="F512" s="41">
        <f>IFERROR(__xludf.DUMMYFUNCTION("""COMPUTED_VALUE"""),1425.0)</f>
        <v>1425</v>
      </c>
    </row>
    <row r="513">
      <c r="A513" s="41" t="b">
        <f>IFERROR(__xludf.DUMMYFUNCTION("""COMPUTED_VALUE"""),TRUE)</f>
        <v>1</v>
      </c>
      <c r="B513" s="41" t="str">
        <f>IFERROR(__xludf.DUMMYFUNCTION("""COMPUTED_VALUE"""),"RSC006985")</f>
        <v>RSC006985</v>
      </c>
      <c r="C513" s="41" t="str">
        <f>IFERROR(__xludf.DUMMYFUNCTION("""COMPUTED_VALUE"""),"not so jucy skep")</f>
        <v>not so jucy skep</v>
      </c>
      <c r="D513" s="41" t="str">
        <f>IFERROR(__xludf.DUMMYFUNCTION("""COMPUTED_VALUE"""),"Dragon")</f>
        <v>Dragon</v>
      </c>
      <c r="E513" s="41">
        <f>IFERROR(__xludf.DUMMYFUNCTION("""COMPUTED_VALUE"""),1.0)</f>
        <v>1</v>
      </c>
      <c r="F513" s="41">
        <f>IFERROR(__xludf.DUMMYFUNCTION("""COMPUTED_VALUE"""),1675.0)</f>
        <v>1675</v>
      </c>
    </row>
    <row r="514">
      <c r="A514" s="41" t="b">
        <f>IFERROR(__xludf.DUMMYFUNCTION("""COMPUTED_VALUE"""),FALSE)</f>
        <v>0</v>
      </c>
      <c r="B514" s="41" t="str">
        <f>IFERROR(__xludf.DUMMYFUNCTION("""COMPUTED_VALUE"""),"RSC006949")</f>
        <v>RSC006949</v>
      </c>
      <c r="C514" s="41" t="str">
        <f>IFERROR(__xludf.DUMMYFUNCTION("""COMPUTED_VALUE"""),"oiNio")</f>
        <v>oiNio</v>
      </c>
      <c r="D514" s="41"/>
      <c r="E514" s="41">
        <f>IFERROR(__xludf.DUMMYFUNCTION("""COMPUTED_VALUE"""),0.0)</f>
        <v>0</v>
      </c>
      <c r="F514" s="41">
        <f>IFERROR(__xludf.DUMMYFUNCTION("""COMPUTED_VALUE"""),1445.0)</f>
        <v>1445</v>
      </c>
    </row>
    <row r="515">
      <c r="A515" s="41" t="b">
        <f>IFERROR(__xludf.DUMMYFUNCTION("""COMPUTED_VALUE"""),TRUE)</f>
        <v>1</v>
      </c>
      <c r="B515" s="41" t="str">
        <f>IFERROR(__xludf.DUMMYFUNCTION("""COMPUTED_VALUE"""),"RSC007045")</f>
        <v>RSC007045</v>
      </c>
      <c r="C515" s="41" t="str">
        <f>IFERROR(__xludf.DUMMYFUNCTION("""COMPUTED_VALUE"""),"fetty_steve98")</f>
        <v>fetty_steve98</v>
      </c>
      <c r="D515" s="41" t="str">
        <f>IFERROR(__xludf.DUMMYFUNCTION("""COMPUTED_VALUE"""),"Threshers")</f>
        <v>Threshers</v>
      </c>
      <c r="E515" s="41">
        <f>IFERROR(__xludf.DUMMYFUNCTION("""COMPUTED_VALUE"""),1.0)</f>
        <v>1</v>
      </c>
      <c r="F515" s="41">
        <f>IFERROR(__xludf.DUMMYFUNCTION("""COMPUTED_VALUE"""),1170.0)</f>
        <v>1170</v>
      </c>
    </row>
    <row r="516">
      <c r="A516" s="41" t="b">
        <f>IFERROR(__xludf.DUMMYFUNCTION("""COMPUTED_VALUE"""),TRUE)</f>
        <v>1</v>
      </c>
      <c r="B516" s="41" t="str">
        <f>IFERROR(__xludf.DUMMYFUNCTION("""COMPUTED_VALUE"""),"RSC006938")</f>
        <v>RSC006938</v>
      </c>
      <c r="C516" s="41" t="str">
        <f>IFERROR(__xludf.DUMMYFUNCTION("""COMPUTED_VALUE"""),"Soda. .")</f>
        <v>Soda. .</v>
      </c>
      <c r="D516" s="41" t="str">
        <f>IFERROR(__xludf.DUMMYFUNCTION("""COMPUTED_VALUE"""),"Navigators")</f>
        <v>Navigators</v>
      </c>
      <c r="E516" s="41">
        <f>IFERROR(__xludf.DUMMYFUNCTION("""COMPUTED_VALUE"""),2.0)</f>
        <v>2</v>
      </c>
      <c r="F516" s="41">
        <f>IFERROR(__xludf.DUMMYFUNCTION("""COMPUTED_VALUE"""),1390.0)</f>
        <v>1390</v>
      </c>
    </row>
    <row r="517">
      <c r="A517" s="41" t="b">
        <f>IFERROR(__xludf.DUMMYFUNCTION("""COMPUTED_VALUE"""),TRUE)</f>
        <v>1</v>
      </c>
      <c r="B517" s="41" t="str">
        <f>IFERROR(__xludf.DUMMYFUNCTION("""COMPUTED_VALUE"""),"RSC006923")</f>
        <v>RSC006923</v>
      </c>
      <c r="C517" s="41" t="str">
        <f>IFERROR(__xludf.DUMMYFUNCTION("""COMPUTED_VALUE"""),"LostZealous")</f>
        <v>LostZealous</v>
      </c>
      <c r="D517" s="41" t="str">
        <f>IFERROR(__xludf.DUMMYFUNCTION("""COMPUTED_VALUE"""),"Zombies")</f>
        <v>Zombies</v>
      </c>
      <c r="E517" s="41">
        <f>IFERROR(__xludf.DUMMYFUNCTION("""COMPUTED_VALUE"""),1.0)</f>
        <v>1</v>
      </c>
      <c r="F517" s="41">
        <f>IFERROR(__xludf.DUMMYFUNCTION("""COMPUTED_VALUE"""),1235.0)</f>
        <v>1235</v>
      </c>
    </row>
    <row r="518">
      <c r="A518" s="41" t="b">
        <f>IFERROR(__xludf.DUMMYFUNCTION("""COMPUTED_VALUE"""),TRUE)</f>
        <v>1</v>
      </c>
      <c r="B518" s="41" t="str">
        <f>IFERROR(__xludf.DUMMYFUNCTION("""COMPUTED_VALUE"""),"RSC006945")</f>
        <v>RSC006945</v>
      </c>
      <c r="C518" s="41" t="str">
        <f>IFERROR(__xludf.DUMMYFUNCTION("""COMPUTED_VALUE"""),"nuummite")</f>
        <v>nuummite</v>
      </c>
      <c r="D518" s="41" t="str">
        <f>IFERROR(__xludf.DUMMYFUNCTION("""COMPUTED_VALUE"""),"Gargoyle")</f>
        <v>Gargoyle</v>
      </c>
      <c r="E518" s="41">
        <f>IFERROR(__xludf.DUMMYFUNCTION("""COMPUTED_VALUE"""),1.0)</f>
        <v>1</v>
      </c>
      <c r="F518" s="41">
        <f>IFERROR(__xludf.DUMMYFUNCTION("""COMPUTED_VALUE"""),1500.0)</f>
        <v>1500</v>
      </c>
    </row>
    <row r="519">
      <c r="A519" s="41" t="b">
        <f>IFERROR(__xludf.DUMMYFUNCTION("""COMPUTED_VALUE"""),FALSE)</f>
        <v>0</v>
      </c>
      <c r="B519" s="41" t="str">
        <f>IFERROR(__xludf.DUMMYFUNCTION("""COMPUTED_VALUE"""),"RSC006944")</f>
        <v>RSC006944</v>
      </c>
      <c r="C519" s="41" t="str">
        <f>IFERROR(__xludf.DUMMYFUNCTION("""COMPUTED_VALUE"""),"Pr9xk")</f>
        <v>Pr9xk</v>
      </c>
      <c r="D519" s="41"/>
      <c r="E519" s="41">
        <f>IFERROR(__xludf.DUMMYFUNCTION("""COMPUTED_VALUE"""),0.0)</f>
        <v>0</v>
      </c>
      <c r="F519" s="41">
        <f>IFERROR(__xludf.DUMMYFUNCTION("""COMPUTED_VALUE"""),1415.0)</f>
        <v>1415</v>
      </c>
    </row>
    <row r="520">
      <c r="A520" s="41" t="b">
        <f>IFERROR(__xludf.DUMMYFUNCTION("""COMPUTED_VALUE"""),FALSE)</f>
        <v>0</v>
      </c>
      <c r="B520" s="41" t="str">
        <f>IFERROR(__xludf.DUMMYFUNCTION("""COMPUTED_VALUE"""),"RSC006992")</f>
        <v>RSC006992</v>
      </c>
      <c r="C520" s="41" t="str">
        <f>IFERROR(__xludf.DUMMYFUNCTION("""COMPUTED_VALUE"""),"Deso")</f>
        <v>Deso</v>
      </c>
      <c r="D520" s="41"/>
      <c r="E520" s="41">
        <f>IFERROR(__xludf.DUMMYFUNCTION("""COMPUTED_VALUE"""),0.0)</f>
        <v>0</v>
      </c>
      <c r="F520" s="41">
        <f>IFERROR(__xludf.DUMMYFUNCTION("""COMPUTED_VALUE"""),1605.0)</f>
        <v>1605</v>
      </c>
    </row>
    <row r="521">
      <c r="A521" s="41" t="b">
        <f>IFERROR(__xludf.DUMMYFUNCTION("""COMPUTED_VALUE"""),TRUE)</f>
        <v>1</v>
      </c>
      <c r="B521" s="41" t="str">
        <f>IFERROR(__xludf.DUMMYFUNCTION("""COMPUTED_VALUE"""),"RSC006919")</f>
        <v>RSC006919</v>
      </c>
      <c r="C521" s="41" t="str">
        <f>IFERROR(__xludf.DUMMYFUNCTION("""COMPUTED_VALUE"""),"rinny_b0y")</f>
        <v>rinny_b0y</v>
      </c>
      <c r="D521" s="41" t="str">
        <f>IFERROR(__xludf.DUMMYFUNCTION("""COMPUTED_VALUE"""),"Hostile Takeover")</f>
        <v>Hostile Takeover</v>
      </c>
      <c r="E521" s="41">
        <f>IFERROR(__xludf.DUMMYFUNCTION("""COMPUTED_VALUE"""),1.0)</f>
        <v>1</v>
      </c>
      <c r="F521" s="41">
        <f>IFERROR(__xludf.DUMMYFUNCTION("""COMPUTED_VALUE"""),990.0)</f>
        <v>990</v>
      </c>
    </row>
    <row r="522">
      <c r="A522" s="41" t="b">
        <f>IFERROR(__xludf.DUMMYFUNCTION("""COMPUTED_VALUE"""),TRUE)</f>
        <v>1</v>
      </c>
      <c r="B522" s="41" t="str">
        <f>IFERROR(__xludf.DUMMYFUNCTION("""COMPUTED_VALUE"""),"RSC006947")</f>
        <v>RSC006947</v>
      </c>
      <c r="C522" s="41" t="str">
        <f>IFERROR(__xludf.DUMMYFUNCTION("""COMPUTED_VALUE"""),"HaZard")</f>
        <v>HaZard</v>
      </c>
      <c r="D522" s="41" t="str">
        <f>IFERROR(__xludf.DUMMYFUNCTION("""COMPUTED_VALUE"""),"Commanders")</f>
        <v>Commanders</v>
      </c>
      <c r="E522" s="41">
        <f>IFERROR(__xludf.DUMMYFUNCTION("""COMPUTED_VALUE"""),2.0)</f>
        <v>2</v>
      </c>
      <c r="F522" s="41">
        <f>IFERROR(__xludf.DUMMYFUNCTION("""COMPUTED_VALUE"""),1560.0)</f>
        <v>1560</v>
      </c>
    </row>
    <row r="523">
      <c r="A523" s="41" t="b">
        <f>IFERROR(__xludf.DUMMYFUNCTION("""COMPUTED_VALUE"""),TRUE)</f>
        <v>1</v>
      </c>
      <c r="B523" s="41" t="str">
        <f>IFERROR(__xludf.DUMMYFUNCTION("""COMPUTED_VALUE"""),"RSC006966")</f>
        <v>RSC006966</v>
      </c>
      <c r="C523" s="41" t="str">
        <f>IFERROR(__xludf.DUMMYFUNCTION("""COMPUTED_VALUE"""),"Pivot97")</f>
        <v>Pivot97</v>
      </c>
      <c r="D523" s="41"/>
      <c r="E523" s="41">
        <f>IFERROR(__xludf.DUMMYFUNCTION("""COMPUTED_VALUE"""),0.0)</f>
        <v>0</v>
      </c>
      <c r="F523" s="41">
        <f>IFERROR(__xludf.DUMMYFUNCTION("""COMPUTED_VALUE"""),1120.0)</f>
        <v>1120</v>
      </c>
    </row>
    <row r="524">
      <c r="A524" s="41" t="b">
        <f>IFERROR(__xludf.DUMMYFUNCTION("""COMPUTED_VALUE"""),TRUE)</f>
        <v>1</v>
      </c>
      <c r="B524" s="41" t="str">
        <f>IFERROR(__xludf.DUMMYFUNCTION("""COMPUTED_VALUE"""),"RSC006925")</f>
        <v>RSC006925</v>
      </c>
      <c r="C524" s="41" t="str">
        <f>IFERROR(__xludf.DUMMYFUNCTION("""COMPUTED_VALUE"""),"woah_kalebb")</f>
        <v>woah_kalebb</v>
      </c>
      <c r="D524" s="41"/>
      <c r="E524" s="41">
        <f>IFERROR(__xludf.DUMMYFUNCTION("""COMPUTED_VALUE"""),0.0)</f>
        <v>0</v>
      </c>
      <c r="F524" s="41">
        <f>IFERROR(__xludf.DUMMYFUNCTION("""COMPUTED_VALUE"""),1475.0)</f>
        <v>1475</v>
      </c>
    </row>
    <row r="525">
      <c r="A525" s="41" t="b">
        <f>IFERROR(__xludf.DUMMYFUNCTION("""COMPUTED_VALUE"""),TRUE)</f>
        <v>1</v>
      </c>
      <c r="B525" s="41" t="str">
        <f>IFERROR(__xludf.DUMMYFUNCTION("""COMPUTED_VALUE"""),"RSC000381")</f>
        <v>RSC000381</v>
      </c>
      <c r="C525" s="41" t="str">
        <f>IFERROR(__xludf.DUMMYFUNCTION("""COMPUTED_VALUE"""),"Noriko")</f>
        <v>Noriko</v>
      </c>
      <c r="D525" s="41" t="str">
        <f>IFERROR(__xludf.DUMMYFUNCTION("""COMPUTED_VALUE"""),"Gummy Bears")</f>
        <v>Gummy Bears</v>
      </c>
      <c r="E525" s="41">
        <f>IFERROR(__xludf.DUMMYFUNCTION("""COMPUTED_VALUE"""),2.0)</f>
        <v>2</v>
      </c>
      <c r="F525" s="41">
        <f>IFERROR(__xludf.DUMMYFUNCTION("""COMPUTED_VALUE"""),1825.0)</f>
        <v>1825</v>
      </c>
    </row>
    <row r="526">
      <c r="A526" s="41" t="b">
        <f>IFERROR(__xludf.DUMMYFUNCTION("""COMPUTED_VALUE"""),TRUE)</f>
        <v>1</v>
      </c>
      <c r="B526" s="41" t="str">
        <f>IFERROR(__xludf.DUMMYFUNCTION("""COMPUTED_VALUE"""),"RSC007126")</f>
        <v>RSC007126</v>
      </c>
      <c r="C526" s="41" t="str">
        <f>IFERROR(__xludf.DUMMYFUNCTION("""COMPUTED_VALUE"""),"crimson7558")</f>
        <v>crimson7558</v>
      </c>
      <c r="D526" s="41"/>
      <c r="E526" s="41">
        <f>IFERROR(__xludf.DUMMYFUNCTION("""COMPUTED_VALUE"""),0.0)</f>
        <v>0</v>
      </c>
      <c r="F526" s="41">
        <f>IFERROR(__xludf.DUMMYFUNCTION("""COMPUTED_VALUE"""),1580.0)</f>
        <v>1580</v>
      </c>
    </row>
    <row r="527">
      <c r="A527" s="41" t="b">
        <f>IFERROR(__xludf.DUMMYFUNCTION("""COMPUTED_VALUE"""),TRUE)</f>
        <v>1</v>
      </c>
      <c r="B527" s="41" t="str">
        <f>IFERROR(__xludf.DUMMYFUNCTION("""COMPUTED_VALUE"""),"RSC007070")</f>
        <v>RSC007070</v>
      </c>
      <c r="C527" s="41" t="str">
        <f>IFERROR(__xludf.DUMMYFUNCTION("""COMPUTED_VALUE"""),"demha.")</f>
        <v>demha.</v>
      </c>
      <c r="D527" s="41"/>
      <c r="E527" s="41">
        <f>IFERROR(__xludf.DUMMYFUNCTION("""COMPUTED_VALUE"""),0.0)</f>
        <v>0</v>
      </c>
      <c r="F527" s="41">
        <f>IFERROR(__xludf.DUMMYFUNCTION("""COMPUTED_VALUE"""),1440.0)</f>
        <v>1440</v>
      </c>
    </row>
    <row r="528">
      <c r="A528" s="41" t="b">
        <f>IFERROR(__xludf.DUMMYFUNCTION("""COMPUTED_VALUE"""),TRUE)</f>
        <v>1</v>
      </c>
      <c r="B528" s="41" t="str">
        <f>IFERROR(__xludf.DUMMYFUNCTION("""COMPUTED_VALUE"""),"RSC007065")</f>
        <v>RSC007065</v>
      </c>
      <c r="C528" s="41" t="str">
        <f>IFERROR(__xludf.DUMMYFUNCTION("""COMPUTED_VALUE"""),"Rampage")</f>
        <v>Rampage</v>
      </c>
      <c r="D528" s="41" t="str">
        <f>IFERROR(__xludf.DUMMYFUNCTION("""COMPUTED_VALUE"""),"Hot Wings")</f>
        <v>Hot Wings</v>
      </c>
      <c r="E528" s="41">
        <f>IFERROR(__xludf.DUMMYFUNCTION("""COMPUTED_VALUE"""),2.0)</f>
        <v>2</v>
      </c>
      <c r="F528" s="41">
        <f>IFERROR(__xludf.DUMMYFUNCTION("""COMPUTED_VALUE"""),1255.0)</f>
        <v>1255</v>
      </c>
    </row>
    <row r="529">
      <c r="A529" s="41" t="b">
        <f>IFERROR(__xludf.DUMMYFUNCTION("""COMPUTED_VALUE"""),TRUE)</f>
        <v>1</v>
      </c>
      <c r="B529" s="41" t="str">
        <f>IFERROR(__xludf.DUMMYFUNCTION("""COMPUTED_VALUE"""),"RSC007132")</f>
        <v>RSC007132</v>
      </c>
      <c r="C529" s="41" t="str">
        <f>IFERROR(__xludf.DUMMYFUNCTION("""COMPUTED_VALUE"""),"Yoyo")</f>
        <v>Yoyo</v>
      </c>
      <c r="D529" s="41"/>
      <c r="E529" s="41">
        <f>IFERROR(__xludf.DUMMYFUNCTION("""COMPUTED_VALUE"""),0.0)</f>
        <v>0</v>
      </c>
      <c r="F529" s="41">
        <f>IFERROR(__xludf.DUMMYFUNCTION("""COMPUTED_VALUE"""),1435.0)</f>
        <v>1435</v>
      </c>
    </row>
    <row r="530">
      <c r="A530" s="41" t="b">
        <f>IFERROR(__xludf.DUMMYFUNCTION("""COMPUTED_VALUE"""),TRUE)</f>
        <v>1</v>
      </c>
      <c r="B530" s="41" t="str">
        <f>IFERROR(__xludf.DUMMYFUNCTION("""COMPUTED_VALUE"""),"RSC007092")</f>
        <v>RSC007092</v>
      </c>
      <c r="C530" s="41" t="str">
        <f>IFERROR(__xludf.DUMMYFUNCTION("""COMPUTED_VALUE"""),"Minjaaa")</f>
        <v>Minjaaa</v>
      </c>
      <c r="D530" s="41" t="str">
        <f>IFERROR(__xludf.DUMMYFUNCTION("""COMPUTED_VALUE"""),"Ryujin")</f>
        <v>Ryujin</v>
      </c>
      <c r="E530" s="41">
        <f>IFERROR(__xludf.DUMMYFUNCTION("""COMPUTED_VALUE"""),1.0)</f>
        <v>1</v>
      </c>
      <c r="F530" s="41">
        <f>IFERROR(__xludf.DUMMYFUNCTION("""COMPUTED_VALUE"""),1215.0)</f>
        <v>1215</v>
      </c>
    </row>
    <row r="531">
      <c r="A531" s="41" t="b">
        <f>IFERROR(__xludf.DUMMYFUNCTION("""COMPUTED_VALUE"""),TRUE)</f>
        <v>1</v>
      </c>
      <c r="B531" s="41" t="str">
        <f>IFERROR(__xludf.DUMMYFUNCTION("""COMPUTED_VALUE"""),"RSC007161")</f>
        <v>RSC007161</v>
      </c>
      <c r="C531" s="41" t="str">
        <f>IFERROR(__xludf.DUMMYFUNCTION("""COMPUTED_VALUE"""),"MrAnderpants")</f>
        <v>MrAnderpants</v>
      </c>
      <c r="D531" s="41"/>
      <c r="E531" s="41">
        <f>IFERROR(__xludf.DUMMYFUNCTION("""COMPUTED_VALUE"""),0.0)</f>
        <v>0</v>
      </c>
      <c r="F531" s="41">
        <f>IFERROR(__xludf.DUMMYFUNCTION("""COMPUTED_VALUE"""),905.0)</f>
        <v>905</v>
      </c>
    </row>
    <row r="532">
      <c r="A532" s="41" t="b">
        <f>IFERROR(__xludf.DUMMYFUNCTION("""COMPUTED_VALUE"""),TRUE)</f>
        <v>1</v>
      </c>
      <c r="B532" s="41" t="str">
        <f>IFERROR(__xludf.DUMMYFUNCTION("""COMPUTED_VALUE"""),"RSC007131")</f>
        <v>RSC007131</v>
      </c>
      <c r="C532" s="41" t="str">
        <f>IFERROR(__xludf.DUMMYFUNCTION("""COMPUTED_VALUE"""),"BankShark")</f>
        <v>BankShark</v>
      </c>
      <c r="D532" s="41" t="str">
        <f>IFERROR(__xludf.DUMMYFUNCTION("""COMPUTED_VALUE"""),"Makos")</f>
        <v>Makos</v>
      </c>
      <c r="E532" s="41">
        <f>IFERROR(__xludf.DUMMYFUNCTION("""COMPUTED_VALUE"""),1.0)</f>
        <v>1</v>
      </c>
      <c r="F532" s="41">
        <f>IFERROR(__xludf.DUMMYFUNCTION("""COMPUTED_VALUE"""),1440.0)</f>
        <v>1440</v>
      </c>
    </row>
    <row r="533">
      <c r="A533" s="41" t="b">
        <f>IFERROR(__xludf.DUMMYFUNCTION("""COMPUTED_VALUE"""),TRUE)</f>
        <v>1</v>
      </c>
      <c r="B533" s="41" t="str">
        <f>IFERROR(__xludf.DUMMYFUNCTION("""COMPUTED_VALUE"""),"RSC007143")</f>
        <v>RSC007143</v>
      </c>
      <c r="C533" s="41" t="str">
        <f>IFERROR(__xludf.DUMMYFUNCTION("""COMPUTED_VALUE"""),"OmniMurders")</f>
        <v>OmniMurders</v>
      </c>
      <c r="D533" s="41" t="str">
        <f>IFERROR(__xludf.DUMMYFUNCTION("""COMPUTED_VALUE"""),"Peppermint")</f>
        <v>Peppermint</v>
      </c>
      <c r="E533" s="41">
        <f>IFERROR(__xludf.DUMMYFUNCTION("""COMPUTED_VALUE"""),2.0)</f>
        <v>2</v>
      </c>
      <c r="F533" s="41">
        <f>IFERROR(__xludf.DUMMYFUNCTION("""COMPUTED_VALUE"""),1490.0)</f>
        <v>1490</v>
      </c>
    </row>
    <row r="534">
      <c r="A534" s="41" t="b">
        <f>IFERROR(__xludf.DUMMYFUNCTION("""COMPUTED_VALUE"""),TRUE)</f>
        <v>1</v>
      </c>
      <c r="B534" s="41" t="str">
        <f>IFERROR(__xludf.DUMMYFUNCTION("""COMPUTED_VALUE"""),"RSC007129")</f>
        <v>RSC007129</v>
      </c>
      <c r="C534" s="41" t="str">
        <f>IFERROR(__xludf.DUMMYFUNCTION("""COMPUTED_VALUE"""),"EKA Luminous")</f>
        <v>EKA Luminous</v>
      </c>
      <c r="D534" s="41" t="str">
        <f>IFERROR(__xludf.DUMMYFUNCTION("""COMPUTED_VALUE"""),"Forge Defenders")</f>
        <v>Forge Defenders</v>
      </c>
      <c r="E534" s="41">
        <f>IFERROR(__xludf.DUMMYFUNCTION("""COMPUTED_VALUE"""),2.0)</f>
        <v>2</v>
      </c>
      <c r="F534" s="41">
        <f>IFERROR(__xludf.DUMMYFUNCTION("""COMPUTED_VALUE"""),1540.0)</f>
        <v>1540</v>
      </c>
    </row>
    <row r="535">
      <c r="A535" s="41" t="b">
        <f>IFERROR(__xludf.DUMMYFUNCTION("""COMPUTED_VALUE"""),FALSE)</f>
        <v>0</v>
      </c>
      <c r="B535" s="41" t="str">
        <f>IFERROR(__xludf.DUMMYFUNCTION("""COMPUTED_VALUE"""),"RSC007071")</f>
        <v>RSC007071</v>
      </c>
      <c r="C535" s="41" t="str">
        <f>IFERROR(__xludf.DUMMYFUNCTION("""COMPUTED_VALUE"""),"Ankur")</f>
        <v>Ankur</v>
      </c>
      <c r="D535" s="41"/>
      <c r="E535" s="41">
        <f>IFERROR(__xludf.DUMMYFUNCTION("""COMPUTED_VALUE"""),0.0)</f>
        <v>0</v>
      </c>
      <c r="F535" s="41">
        <f>IFERROR(__xludf.DUMMYFUNCTION("""COMPUTED_VALUE"""),1895.0)</f>
        <v>1895</v>
      </c>
    </row>
    <row r="536">
      <c r="A536" s="41" t="b">
        <f>IFERROR(__xludf.DUMMYFUNCTION("""COMPUTED_VALUE"""),TRUE)</f>
        <v>1</v>
      </c>
      <c r="B536" s="41" t="str">
        <f>IFERROR(__xludf.DUMMYFUNCTION("""COMPUTED_VALUE"""),"RSC007153")</f>
        <v>RSC007153</v>
      </c>
      <c r="C536" s="41" t="str">
        <f>IFERROR(__xludf.DUMMYFUNCTION("""COMPUTED_VALUE"""),"Washyymann")</f>
        <v>Washyymann</v>
      </c>
      <c r="D536" s="41" t="str">
        <f>IFERROR(__xludf.DUMMYFUNCTION("""COMPUTED_VALUE"""),"Apple Associates")</f>
        <v>Apple Associates</v>
      </c>
      <c r="E536" s="41">
        <f>IFERROR(__xludf.DUMMYFUNCTION("""COMPUTED_VALUE"""),2.0)</f>
        <v>2</v>
      </c>
      <c r="F536" s="41">
        <f>IFERROR(__xludf.DUMMYFUNCTION("""COMPUTED_VALUE"""),1120.0)</f>
        <v>1120</v>
      </c>
    </row>
    <row r="537">
      <c r="A537" s="41" t="b">
        <f>IFERROR(__xludf.DUMMYFUNCTION("""COMPUTED_VALUE"""),TRUE)</f>
        <v>1</v>
      </c>
      <c r="B537" s="41" t="str">
        <f>IFERROR(__xludf.DUMMYFUNCTION("""COMPUTED_VALUE"""),"RSC002412")</f>
        <v>RSC002412</v>
      </c>
      <c r="C537" s="41" t="str">
        <f>IFERROR(__xludf.DUMMYFUNCTION("""COMPUTED_VALUE"""),"Rosefanatic3615")</f>
        <v>Rosefanatic3615</v>
      </c>
      <c r="D537" s="41" t="str">
        <f>IFERROR(__xludf.DUMMYFUNCTION("""COMPUTED_VALUE"""),"Manticore")</f>
        <v>Manticore</v>
      </c>
      <c r="E537" s="41">
        <f>IFERROR(__xludf.DUMMYFUNCTION("""COMPUTED_VALUE"""),1.0)</f>
        <v>1</v>
      </c>
      <c r="F537" s="41">
        <f>IFERROR(__xludf.DUMMYFUNCTION("""COMPUTED_VALUE"""),1210.0)</f>
        <v>1210</v>
      </c>
    </row>
    <row r="538">
      <c r="A538" s="41" t="b">
        <f>IFERROR(__xludf.DUMMYFUNCTION("""COMPUTED_VALUE"""),TRUE)</f>
        <v>1</v>
      </c>
      <c r="B538" s="41" t="str">
        <f>IFERROR(__xludf.DUMMYFUNCTION("""COMPUTED_VALUE"""),"RSC006586")</f>
        <v>RSC006586</v>
      </c>
      <c r="C538" s="41" t="str">
        <f>IFERROR(__xludf.DUMMYFUNCTION("""COMPUTED_VALUE"""),"dino_chick3n")</f>
        <v>dino_chick3n</v>
      </c>
      <c r="D538" s="41" t="str">
        <f>IFERROR(__xludf.DUMMYFUNCTION("""COMPUTED_VALUE"""),"Glams")</f>
        <v>Glams</v>
      </c>
      <c r="E538" s="41">
        <f>IFERROR(__xludf.DUMMYFUNCTION("""COMPUTED_VALUE"""),1.0)</f>
        <v>1</v>
      </c>
      <c r="F538" s="41">
        <f>IFERROR(__xludf.DUMMYFUNCTION("""COMPUTED_VALUE"""),1200.0)</f>
        <v>1200</v>
      </c>
    </row>
    <row r="539">
      <c r="A539" s="41" t="b">
        <f>IFERROR(__xludf.DUMMYFUNCTION("""COMPUTED_VALUE"""),TRUE)</f>
        <v>1</v>
      </c>
      <c r="B539" s="41" t="str">
        <f>IFERROR(__xludf.DUMMYFUNCTION("""COMPUTED_VALUE"""),"RSC003250")</f>
        <v>RSC003250</v>
      </c>
      <c r="C539" s="41" t="str">
        <f>IFERROR(__xludf.DUMMYFUNCTION("""COMPUTED_VALUE"""),"Chefty")</f>
        <v>Chefty</v>
      </c>
      <c r="D539" s="41"/>
      <c r="E539" s="41">
        <f>IFERROR(__xludf.DUMMYFUNCTION("""COMPUTED_VALUE"""),0.0)</f>
        <v>0</v>
      </c>
      <c r="F539" s="41">
        <f>IFERROR(__xludf.DUMMYFUNCTION("""COMPUTED_VALUE"""),1545.0)</f>
        <v>1545</v>
      </c>
    </row>
    <row r="540">
      <c r="A540" s="41" t="b">
        <f>IFERROR(__xludf.DUMMYFUNCTION("""COMPUTED_VALUE"""),TRUE)</f>
        <v>1</v>
      </c>
      <c r="B540" s="41" t="str">
        <f>IFERROR(__xludf.DUMMYFUNCTION("""COMPUTED_VALUE"""),"RSC007166")</f>
        <v>RSC007166</v>
      </c>
      <c r="C540" s="41" t="str">
        <f>IFERROR(__xludf.DUMMYFUNCTION("""COMPUTED_VALUE"""),"nelz")</f>
        <v>nelz</v>
      </c>
      <c r="D540" s="41" t="str">
        <f>IFERROR(__xludf.DUMMYFUNCTION("""COMPUTED_VALUE"""),"Helicoprions")</f>
        <v>Helicoprions</v>
      </c>
      <c r="E540" s="41">
        <f>IFERROR(__xludf.DUMMYFUNCTION("""COMPUTED_VALUE"""),2.0)</f>
        <v>2</v>
      </c>
      <c r="F540" s="41">
        <f>IFERROR(__xludf.DUMMYFUNCTION("""COMPUTED_VALUE"""),1690.0)</f>
        <v>1690</v>
      </c>
    </row>
    <row r="541">
      <c r="A541" s="41" t="b">
        <f>IFERROR(__xludf.DUMMYFUNCTION("""COMPUTED_VALUE"""),TRUE)</f>
        <v>1</v>
      </c>
      <c r="B541" s="41" t="str">
        <f>IFERROR(__xludf.DUMMYFUNCTION("""COMPUTED_VALUE"""),"RSC006908")</f>
        <v>RSC006908</v>
      </c>
      <c r="C541" s="41" t="str">
        <f>IFERROR(__xludf.DUMMYFUNCTION("""COMPUTED_VALUE"""),"OvrSizedFrog")</f>
        <v>OvrSizedFrog</v>
      </c>
      <c r="D541" s="41" t="str">
        <f>IFERROR(__xludf.DUMMYFUNCTION("""COMPUTED_VALUE"""),"Ryujin")</f>
        <v>Ryujin</v>
      </c>
      <c r="E541" s="41">
        <f>IFERROR(__xludf.DUMMYFUNCTION("""COMPUTED_VALUE"""),2.0)</f>
        <v>2</v>
      </c>
      <c r="F541" s="41">
        <f>IFERROR(__xludf.DUMMYFUNCTION("""COMPUTED_VALUE"""),1220.0)</f>
        <v>1220</v>
      </c>
    </row>
    <row r="542">
      <c r="A542" s="41" t="b">
        <f>IFERROR(__xludf.DUMMYFUNCTION("""COMPUTED_VALUE"""),TRUE)</f>
        <v>1</v>
      </c>
      <c r="B542" s="41" t="str">
        <f>IFERROR(__xludf.DUMMYFUNCTION("""COMPUTED_VALUE"""),"RSC007173")</f>
        <v>RSC007173</v>
      </c>
      <c r="C542" s="41" t="str">
        <f>IFERROR(__xludf.DUMMYFUNCTION("""COMPUTED_VALUE"""),"mr_marino_")</f>
        <v>mr_marino_</v>
      </c>
      <c r="D542" s="41" t="str">
        <f>IFERROR(__xludf.DUMMYFUNCTION("""COMPUTED_VALUE"""),"Fer-de-Lance")</f>
        <v>Fer-de-Lance</v>
      </c>
      <c r="E542" s="41">
        <f>IFERROR(__xludf.DUMMYFUNCTION("""COMPUTED_VALUE"""),1.0)</f>
        <v>1</v>
      </c>
      <c r="F542" s="41">
        <f>IFERROR(__xludf.DUMMYFUNCTION("""COMPUTED_VALUE"""),1450.0)</f>
        <v>1450</v>
      </c>
    </row>
    <row r="543">
      <c r="A543" s="41" t="b">
        <f>IFERROR(__xludf.DUMMYFUNCTION("""COMPUTED_VALUE"""),TRUE)</f>
        <v>1</v>
      </c>
      <c r="B543" s="41" t="str">
        <f>IFERROR(__xludf.DUMMYFUNCTION("""COMPUTED_VALUE"""),"RSC003118")</f>
        <v>RSC003118</v>
      </c>
      <c r="C543" s="41" t="str">
        <f>IFERROR(__xludf.DUMMYFUNCTION("""COMPUTED_VALUE"""),"Mysty")</f>
        <v>Mysty</v>
      </c>
      <c r="D543" s="41" t="str">
        <f>IFERROR(__xludf.DUMMYFUNCTION("""COMPUTED_VALUE"""),"Wind")</f>
        <v>Wind</v>
      </c>
      <c r="E543" s="41">
        <f>IFERROR(__xludf.DUMMYFUNCTION("""COMPUTED_VALUE"""),2.0)</f>
        <v>2</v>
      </c>
      <c r="F543" s="41">
        <f>IFERROR(__xludf.DUMMYFUNCTION("""COMPUTED_VALUE"""),1275.0)</f>
        <v>1275</v>
      </c>
    </row>
    <row r="544">
      <c r="A544" s="41" t="b">
        <f>IFERROR(__xludf.DUMMYFUNCTION("""COMPUTED_VALUE"""),TRUE)</f>
        <v>1</v>
      </c>
      <c r="B544" s="41" t="str">
        <f>IFERROR(__xludf.DUMMYFUNCTION("""COMPUTED_VALUE"""),"RSC005505")</f>
        <v>RSC005505</v>
      </c>
      <c r="C544" s="41" t="str">
        <f>IFERROR(__xludf.DUMMYFUNCTION("""COMPUTED_VALUE"""),"The_Wheelman_95")</f>
        <v>The_Wheelman_95</v>
      </c>
      <c r="D544" s="41" t="str">
        <f>IFERROR(__xludf.DUMMYFUNCTION("""COMPUTED_VALUE"""),"Merciless Mob")</f>
        <v>Merciless Mob</v>
      </c>
      <c r="E544" s="41">
        <f>IFERROR(__xludf.DUMMYFUNCTION("""COMPUTED_VALUE"""),1.0)</f>
        <v>1</v>
      </c>
      <c r="F544" s="41">
        <f>IFERROR(__xludf.DUMMYFUNCTION("""COMPUTED_VALUE"""),1405.0)</f>
        <v>1405</v>
      </c>
    </row>
    <row r="545">
      <c r="A545" s="41" t="b">
        <f>IFERROR(__xludf.DUMMYFUNCTION("""COMPUTED_VALUE"""),TRUE)</f>
        <v>1</v>
      </c>
      <c r="B545" s="41" t="str">
        <f>IFERROR(__xludf.DUMMYFUNCTION("""COMPUTED_VALUE"""),"RSC004879")</f>
        <v>RSC004879</v>
      </c>
      <c r="C545" s="41" t="str">
        <f>IFERROR(__xludf.DUMMYFUNCTION("""COMPUTED_VALUE"""),"DefNotMongo.")</f>
        <v>DefNotMongo.</v>
      </c>
      <c r="D545" s="41" t="str">
        <f>IFERROR(__xludf.DUMMYFUNCTION("""COMPUTED_VALUE"""),"Skeletons")</f>
        <v>Skeletons</v>
      </c>
      <c r="E545" s="41">
        <f>IFERROR(__xludf.DUMMYFUNCTION("""COMPUTED_VALUE"""),2.0)</f>
        <v>2</v>
      </c>
      <c r="F545" s="41">
        <f>IFERROR(__xludf.DUMMYFUNCTION("""COMPUTED_VALUE"""),1040.0)</f>
        <v>1040</v>
      </c>
    </row>
    <row r="546">
      <c r="A546" s="41" t="b">
        <f>IFERROR(__xludf.DUMMYFUNCTION("""COMPUTED_VALUE"""),TRUE)</f>
        <v>1</v>
      </c>
      <c r="B546" s="41" t="str">
        <f>IFERROR(__xludf.DUMMYFUNCTION("""COMPUTED_VALUE"""),"RSC000320")</f>
        <v>RSC000320</v>
      </c>
      <c r="C546" s="41" t="str">
        <f>IFERROR(__xludf.DUMMYFUNCTION("""COMPUTED_VALUE"""),"ryanawesome_")</f>
        <v>ryanawesome_</v>
      </c>
      <c r="D546" s="41" t="str">
        <f>IFERROR(__xludf.DUMMYFUNCTION("""COMPUTED_VALUE"""),"Nighthawks")</f>
        <v>Nighthawks</v>
      </c>
      <c r="E546" s="41">
        <f>IFERROR(__xludf.DUMMYFUNCTION("""COMPUTED_VALUE"""),1.0)</f>
        <v>1</v>
      </c>
      <c r="F546" s="41">
        <f>IFERROR(__xludf.DUMMYFUNCTION("""COMPUTED_VALUE"""),1425.0)</f>
        <v>1425</v>
      </c>
    </row>
    <row r="547">
      <c r="A547" s="41" t="b">
        <f>IFERROR(__xludf.DUMMYFUNCTION("""COMPUTED_VALUE"""),TRUE)</f>
        <v>1</v>
      </c>
      <c r="B547" s="41" t="str">
        <f>IFERROR(__xludf.DUMMYFUNCTION("""COMPUTED_VALUE"""),"RSC003255")</f>
        <v>RSC003255</v>
      </c>
      <c r="C547" s="41" t="str">
        <f>IFERROR(__xludf.DUMMYFUNCTION("""COMPUTED_VALUE"""),"cozyboy")</f>
        <v>cozyboy</v>
      </c>
      <c r="D547" s="41" t="str">
        <f>IFERROR(__xludf.DUMMYFUNCTION("""COMPUTED_VALUE"""),"Supernova")</f>
        <v>Supernova</v>
      </c>
      <c r="E547" s="41">
        <f>IFERROR(__xludf.DUMMYFUNCTION("""COMPUTED_VALUE"""),1.0)</f>
        <v>1</v>
      </c>
      <c r="F547" s="41">
        <f>IFERROR(__xludf.DUMMYFUNCTION("""COMPUTED_VALUE"""),1400.0)</f>
        <v>1400</v>
      </c>
    </row>
    <row r="548">
      <c r="A548" s="41" t="b">
        <f>IFERROR(__xludf.DUMMYFUNCTION("""COMPUTED_VALUE"""),TRUE)</f>
        <v>1</v>
      </c>
      <c r="B548" s="41" t="str">
        <f>IFERROR(__xludf.DUMMYFUNCTION("""COMPUTED_VALUE"""),"RSC006461")</f>
        <v>RSC006461</v>
      </c>
      <c r="C548" s="41" t="str">
        <f>IFERROR(__xludf.DUMMYFUNCTION("""COMPUTED_VALUE"""),"Cynical89")</f>
        <v>Cynical89</v>
      </c>
      <c r="D548" s="41" t="str">
        <f>IFERROR(__xludf.DUMMYFUNCTION("""COMPUTED_VALUE"""),"Tanuki")</f>
        <v>Tanuki</v>
      </c>
      <c r="E548" s="41">
        <f>IFERROR(__xludf.DUMMYFUNCTION("""COMPUTED_VALUE"""),2.0)</f>
        <v>2</v>
      </c>
      <c r="F548" s="41">
        <f>IFERROR(__xludf.DUMMYFUNCTION("""COMPUTED_VALUE"""),1070.0)</f>
        <v>1070</v>
      </c>
    </row>
    <row r="549">
      <c r="A549" s="41" t="b">
        <f>IFERROR(__xludf.DUMMYFUNCTION("""COMPUTED_VALUE"""),TRUE)</f>
        <v>1</v>
      </c>
      <c r="B549" s="41" t="str">
        <f>IFERROR(__xludf.DUMMYFUNCTION("""COMPUTED_VALUE"""),"RSC006935")</f>
        <v>RSC006935</v>
      </c>
      <c r="C549" s="41" t="str">
        <f>IFERROR(__xludf.DUMMYFUNCTION("""COMPUTED_VALUE"""),"Bazzinga")</f>
        <v>Bazzinga</v>
      </c>
      <c r="D549" s="41" t="str">
        <f>IFERROR(__xludf.DUMMYFUNCTION("""COMPUTED_VALUE"""),"Lacuna")</f>
        <v>Lacuna</v>
      </c>
      <c r="E549" s="41">
        <f>IFERROR(__xludf.DUMMYFUNCTION("""COMPUTED_VALUE"""),1.0)</f>
        <v>1</v>
      </c>
      <c r="F549" s="41">
        <f>IFERROR(__xludf.DUMMYFUNCTION("""COMPUTED_VALUE"""),1340.0)</f>
        <v>1340</v>
      </c>
    </row>
    <row r="550">
      <c r="A550" s="41" t="b">
        <f>IFERROR(__xludf.DUMMYFUNCTION("""COMPUTED_VALUE"""),TRUE)</f>
        <v>1</v>
      </c>
      <c r="B550" s="41" t="str">
        <f>IFERROR(__xludf.DUMMYFUNCTION("""COMPUTED_VALUE"""),"RSC007165")</f>
        <v>RSC007165</v>
      </c>
      <c r="C550" s="41" t="str">
        <f>IFERROR(__xludf.DUMMYFUNCTION("""COMPUTED_VALUE"""),"BRG")</f>
        <v>BRG</v>
      </c>
      <c r="D550" s="41" t="str">
        <f>IFERROR(__xludf.DUMMYFUNCTION("""COMPUTED_VALUE"""),"Havarti Hustlers")</f>
        <v>Havarti Hustlers</v>
      </c>
      <c r="E550" s="41">
        <f>IFERROR(__xludf.DUMMYFUNCTION("""COMPUTED_VALUE"""),2.0)</f>
        <v>2</v>
      </c>
      <c r="F550" s="41">
        <f>IFERROR(__xludf.DUMMYFUNCTION("""COMPUTED_VALUE"""),1165.0)</f>
        <v>1165</v>
      </c>
    </row>
    <row r="551">
      <c r="A551" s="41" t="b">
        <f>IFERROR(__xludf.DUMMYFUNCTION("""COMPUTED_VALUE"""),TRUE)</f>
        <v>1</v>
      </c>
      <c r="B551" s="41" t="str">
        <f>IFERROR(__xludf.DUMMYFUNCTION("""COMPUTED_VALUE"""),"RSC005469")</f>
        <v>RSC005469</v>
      </c>
      <c r="C551" s="41" t="str">
        <f>IFERROR(__xludf.DUMMYFUNCTION("""COMPUTED_VALUE"""),"Axlos (Goofy and Silly)")</f>
        <v>Axlos (Goofy and Silly)</v>
      </c>
      <c r="D551" s="41" t="str">
        <f>IFERROR(__xludf.DUMMYFUNCTION("""COMPUTED_VALUE"""),"Frostbite")</f>
        <v>Frostbite</v>
      </c>
      <c r="E551" s="41">
        <f>IFERROR(__xludf.DUMMYFUNCTION("""COMPUTED_VALUE"""),2.0)</f>
        <v>2</v>
      </c>
      <c r="F551" s="41">
        <f>IFERROR(__xludf.DUMMYFUNCTION("""COMPUTED_VALUE"""),1625.0)</f>
        <v>1625</v>
      </c>
    </row>
    <row r="552">
      <c r="A552" s="41" t="b">
        <f>IFERROR(__xludf.DUMMYFUNCTION("""COMPUTED_VALUE"""),TRUE)</f>
        <v>1</v>
      </c>
      <c r="B552" s="41" t="str">
        <f>IFERROR(__xludf.DUMMYFUNCTION("""COMPUTED_VALUE"""),"RSC007141")</f>
        <v>RSC007141</v>
      </c>
      <c r="C552" s="41" t="str">
        <f>IFERROR(__xludf.DUMMYFUNCTION("""COMPUTED_VALUE"""),"Cuddlingus")</f>
        <v>Cuddlingus</v>
      </c>
      <c r="D552" s="41" t="str">
        <f>IFERROR(__xludf.DUMMYFUNCTION("""COMPUTED_VALUE"""),"Zombies")</f>
        <v>Zombies</v>
      </c>
      <c r="E552" s="41">
        <f>IFERROR(__xludf.DUMMYFUNCTION("""COMPUTED_VALUE"""),1.0)</f>
        <v>1</v>
      </c>
      <c r="F552" s="41">
        <f>IFERROR(__xludf.DUMMYFUNCTION("""COMPUTED_VALUE"""),1160.0)</f>
        <v>1160</v>
      </c>
    </row>
    <row r="553">
      <c r="A553" s="41" t="b">
        <f>IFERROR(__xludf.DUMMYFUNCTION("""COMPUTED_VALUE"""),FALSE)</f>
        <v>0</v>
      </c>
      <c r="B553" s="41" t="str">
        <f>IFERROR(__xludf.DUMMYFUNCTION("""COMPUTED_VALUE"""),"RSC007145")</f>
        <v>RSC007145</v>
      </c>
      <c r="C553" s="41" t="str">
        <f>IFERROR(__xludf.DUMMYFUNCTION("""COMPUTED_VALUE"""),"AMZNG_RL")</f>
        <v>AMZNG_RL</v>
      </c>
      <c r="D553" s="41"/>
      <c r="E553" s="41">
        <f>IFERROR(__xludf.DUMMYFUNCTION("""COMPUTED_VALUE"""),0.0)</f>
        <v>0</v>
      </c>
      <c r="F553" s="41">
        <f>IFERROR(__xludf.DUMMYFUNCTION("""COMPUTED_VALUE"""),1005.0)</f>
        <v>1005</v>
      </c>
    </row>
    <row r="554">
      <c r="A554" s="41" t="b">
        <f>IFERROR(__xludf.DUMMYFUNCTION("""COMPUTED_VALUE"""),TRUE)</f>
        <v>1</v>
      </c>
      <c r="B554" s="41" t="str">
        <f>IFERROR(__xludf.DUMMYFUNCTION("""COMPUTED_VALUE"""),"RSC005524")</f>
        <v>RSC005524</v>
      </c>
      <c r="C554" s="41" t="str">
        <f>IFERROR(__xludf.DUMMYFUNCTION("""COMPUTED_VALUE"""),"RaunchyRomanian")</f>
        <v>RaunchyRomanian</v>
      </c>
      <c r="D554" s="41" t="str">
        <f>IFERROR(__xludf.DUMMYFUNCTION("""COMPUTED_VALUE"""),"Hydras")</f>
        <v>Hydras</v>
      </c>
      <c r="E554" s="41">
        <f>IFERROR(__xludf.DUMMYFUNCTION("""COMPUTED_VALUE"""),1.0)</f>
        <v>1</v>
      </c>
      <c r="F554" s="41">
        <f>IFERROR(__xludf.DUMMYFUNCTION("""COMPUTED_VALUE"""),1670.0)</f>
        <v>1670</v>
      </c>
    </row>
    <row r="555">
      <c r="A555" s="41" t="b">
        <f>IFERROR(__xludf.DUMMYFUNCTION("""COMPUTED_VALUE"""),TRUE)</f>
        <v>1</v>
      </c>
      <c r="B555" s="41" t="str">
        <f>IFERROR(__xludf.DUMMYFUNCTION("""COMPUTED_VALUE"""),"RSC006315")</f>
        <v>RSC006315</v>
      </c>
      <c r="C555" s="41" t="str">
        <f>IFERROR(__xludf.DUMMYFUNCTION("""COMPUTED_VALUE"""),"BIGbadBULLMAN13")</f>
        <v>BIGbadBULLMAN13</v>
      </c>
      <c r="D555" s="41" t="str">
        <f>IFERROR(__xludf.DUMMYFUNCTION("""COMPUTED_VALUE"""),"Kirin")</f>
        <v>Kirin</v>
      </c>
      <c r="E555" s="41">
        <f>IFERROR(__xludf.DUMMYFUNCTION("""COMPUTED_VALUE"""),2.0)</f>
        <v>2</v>
      </c>
      <c r="F555" s="41">
        <f>IFERROR(__xludf.DUMMYFUNCTION("""COMPUTED_VALUE"""),1425.0)</f>
        <v>1425</v>
      </c>
    </row>
    <row r="556">
      <c r="A556" s="41" t="b">
        <f>IFERROR(__xludf.DUMMYFUNCTION("""COMPUTED_VALUE"""),TRUE)</f>
        <v>1</v>
      </c>
      <c r="B556" s="41" t="str">
        <f>IFERROR(__xludf.DUMMYFUNCTION("""COMPUTED_VALUE"""),"RSC005870")</f>
        <v>RSC005870</v>
      </c>
      <c r="C556" s="41" t="str">
        <f>IFERROR(__xludf.DUMMYFUNCTION("""COMPUTED_VALUE"""),"Evil twin")</f>
        <v>Evil twin</v>
      </c>
      <c r="D556" s="41" t="str">
        <f>IFERROR(__xludf.DUMMYFUNCTION("""COMPUTED_VALUE"""),"Tanuki")</f>
        <v>Tanuki</v>
      </c>
      <c r="E556" s="41">
        <f>IFERROR(__xludf.DUMMYFUNCTION("""COMPUTED_VALUE"""),1.0)</f>
        <v>1</v>
      </c>
      <c r="F556" s="41">
        <f>IFERROR(__xludf.DUMMYFUNCTION("""COMPUTED_VALUE"""),1040.0)</f>
        <v>1040</v>
      </c>
    </row>
    <row r="557">
      <c r="A557" s="41" t="b">
        <f>IFERROR(__xludf.DUMMYFUNCTION("""COMPUTED_VALUE"""),TRUE)</f>
        <v>1</v>
      </c>
      <c r="B557" s="41" t="str">
        <f>IFERROR(__xludf.DUMMYFUNCTION("""COMPUTED_VALUE"""),"RSC007144")</f>
        <v>RSC007144</v>
      </c>
      <c r="C557" s="41" t="str">
        <f>IFERROR(__xludf.DUMMYFUNCTION("""COMPUTED_VALUE"""),"The_Killerwon")</f>
        <v>The_Killerwon</v>
      </c>
      <c r="D557" s="41" t="str">
        <f>IFERROR(__xludf.DUMMYFUNCTION("""COMPUTED_VALUE"""),"Gaboons")</f>
        <v>Gaboons</v>
      </c>
      <c r="E557" s="41">
        <f>IFERROR(__xludf.DUMMYFUNCTION("""COMPUTED_VALUE"""),2.0)</f>
        <v>2</v>
      </c>
      <c r="F557" s="41">
        <f>IFERROR(__xludf.DUMMYFUNCTION("""COMPUTED_VALUE"""),1370.0)</f>
        <v>1370</v>
      </c>
    </row>
    <row r="558">
      <c r="A558" s="41" t="b">
        <f>IFERROR(__xludf.DUMMYFUNCTION("""COMPUTED_VALUE"""),TRUE)</f>
        <v>1</v>
      </c>
      <c r="B558" s="41" t="str">
        <f>IFERROR(__xludf.DUMMYFUNCTION("""COMPUTED_VALUE"""),"RSC006187")</f>
        <v>RSC006187</v>
      </c>
      <c r="C558" s="41" t="str">
        <f>IFERROR(__xludf.DUMMYFUNCTION("""COMPUTED_VALUE"""),"1999 Toyota Camry")</f>
        <v>1999 Toyota Camry</v>
      </c>
      <c r="D558" s="41" t="str">
        <f>IFERROR(__xludf.DUMMYFUNCTION("""COMPUTED_VALUE"""),"Gaboons")</f>
        <v>Gaboons</v>
      </c>
      <c r="E558" s="41">
        <f>IFERROR(__xludf.DUMMYFUNCTION("""COMPUTED_VALUE"""),1.0)</f>
        <v>1</v>
      </c>
      <c r="F558" s="41">
        <f>IFERROR(__xludf.DUMMYFUNCTION("""COMPUTED_VALUE"""),1265.0)</f>
        <v>1265</v>
      </c>
    </row>
    <row r="559">
      <c r="A559" s="41" t="b">
        <f>IFERROR(__xludf.DUMMYFUNCTION("""COMPUTED_VALUE"""),TRUE)</f>
        <v>1</v>
      </c>
      <c r="B559" s="41" t="str">
        <f>IFERROR(__xludf.DUMMYFUNCTION("""COMPUTED_VALUE"""),"RSC004535")</f>
        <v>RSC004535</v>
      </c>
      <c r="C559" s="41" t="str">
        <f>IFERROR(__xludf.DUMMYFUNCTION("""COMPUTED_VALUE"""),"RayCrusher")</f>
        <v>RayCrusher</v>
      </c>
      <c r="D559" s="41"/>
      <c r="E559" s="41">
        <f>IFERROR(__xludf.DUMMYFUNCTION("""COMPUTED_VALUE"""),0.0)</f>
        <v>0</v>
      </c>
      <c r="F559" s="41">
        <f>IFERROR(__xludf.DUMMYFUNCTION("""COMPUTED_VALUE"""),1745.0)</f>
        <v>1745</v>
      </c>
    </row>
    <row r="560">
      <c r="A560" s="41" t="b">
        <f>IFERROR(__xludf.DUMMYFUNCTION("""COMPUTED_VALUE"""),TRUE)</f>
        <v>1</v>
      </c>
      <c r="B560" s="41" t="str">
        <f>IFERROR(__xludf.DUMMYFUNCTION("""COMPUTED_VALUE"""),"RSC007174")</f>
        <v>RSC007174</v>
      </c>
      <c r="C560" s="41" t="str">
        <f>IFERROR(__xludf.DUMMYFUNCTION("""COMPUTED_VALUE"""),"LMNS")</f>
        <v>LMNS</v>
      </c>
      <c r="D560" s="41" t="str">
        <f>IFERROR(__xludf.DUMMYFUNCTION("""COMPUTED_VALUE"""),"Super Clusters")</f>
        <v>Super Clusters</v>
      </c>
      <c r="E560" s="41">
        <f>IFERROR(__xludf.DUMMYFUNCTION("""COMPUTED_VALUE"""),2.0)</f>
        <v>2</v>
      </c>
      <c r="F560" s="41">
        <f>IFERROR(__xludf.DUMMYFUNCTION("""COMPUTED_VALUE"""),1820.0)</f>
        <v>1820</v>
      </c>
    </row>
    <row r="561">
      <c r="A561" s="41" t="b">
        <f>IFERROR(__xludf.DUMMYFUNCTION("""COMPUTED_VALUE"""),TRUE)</f>
        <v>1</v>
      </c>
      <c r="B561" s="41" t="str">
        <f>IFERROR(__xludf.DUMMYFUNCTION("""COMPUTED_VALUE"""),"RSC004717")</f>
        <v>RSC004717</v>
      </c>
      <c r="C561" s="41" t="str">
        <f>IFERROR(__xludf.DUMMYFUNCTION("""COMPUTED_VALUE"""),"grip reaper")</f>
        <v>grip reaper</v>
      </c>
      <c r="D561" s="41" t="str">
        <f>IFERROR(__xludf.DUMMYFUNCTION("""COMPUTED_VALUE"""),"Heinous Henchmen")</f>
        <v>Heinous Henchmen</v>
      </c>
      <c r="E561" s="41">
        <f>IFERROR(__xludf.DUMMYFUNCTION("""COMPUTED_VALUE"""),1.0)</f>
        <v>1</v>
      </c>
      <c r="F561" s="41">
        <f>IFERROR(__xludf.DUMMYFUNCTION("""COMPUTED_VALUE"""),1790.0)</f>
        <v>1790</v>
      </c>
    </row>
    <row r="562">
      <c r="A562" s="41" t="b">
        <f>IFERROR(__xludf.DUMMYFUNCTION("""COMPUTED_VALUE"""),TRUE)</f>
        <v>1</v>
      </c>
      <c r="B562" s="41" t="str">
        <f>IFERROR(__xludf.DUMMYFUNCTION("""COMPUTED_VALUE"""),"RSC005397")</f>
        <v>RSC005397</v>
      </c>
      <c r="C562" s="41" t="str">
        <f>IFERROR(__xludf.DUMMYFUNCTION("""COMPUTED_VALUE"""),"PridedBird3406")</f>
        <v>PridedBird3406</v>
      </c>
      <c r="D562" s="41" t="str">
        <f>IFERROR(__xludf.DUMMYFUNCTION("""COMPUTED_VALUE"""),"Glams")</f>
        <v>Glams</v>
      </c>
      <c r="E562" s="41">
        <f>IFERROR(__xludf.DUMMYFUNCTION("""COMPUTED_VALUE"""),2.0)</f>
        <v>2</v>
      </c>
      <c r="F562" s="41">
        <f>IFERROR(__xludf.DUMMYFUNCTION("""COMPUTED_VALUE"""),1110.0)</f>
        <v>1110</v>
      </c>
    </row>
    <row r="563">
      <c r="A563" s="41" t="b">
        <f>IFERROR(__xludf.DUMMYFUNCTION("""COMPUTED_VALUE"""),TRUE)</f>
        <v>1</v>
      </c>
      <c r="B563" s="41" t="str">
        <f>IFERROR(__xludf.DUMMYFUNCTION("""COMPUTED_VALUE"""),"RSC005873")</f>
        <v>RSC005873</v>
      </c>
      <c r="C563" s="41" t="str">
        <f>IFERROR(__xludf.DUMMYFUNCTION("""COMPUTED_VALUE"""),"Gama The Dwarf")</f>
        <v>Gama The Dwarf</v>
      </c>
      <c r="D563" s="41" t="str">
        <f>IFERROR(__xludf.DUMMYFUNCTION("""COMPUTED_VALUE"""),"Mining Legion")</f>
        <v>Mining Legion</v>
      </c>
      <c r="E563" s="41">
        <f>IFERROR(__xludf.DUMMYFUNCTION("""COMPUTED_VALUE"""),2.0)</f>
        <v>2</v>
      </c>
      <c r="F563" s="41">
        <f>IFERROR(__xludf.DUMMYFUNCTION("""COMPUTED_VALUE"""),1345.0)</f>
        <v>1345</v>
      </c>
    </row>
    <row r="564">
      <c r="A564" s="41" t="b">
        <f>IFERROR(__xludf.DUMMYFUNCTION("""COMPUTED_VALUE"""),TRUE)</f>
        <v>1</v>
      </c>
      <c r="B564" s="41" t="str">
        <f>IFERROR(__xludf.DUMMYFUNCTION("""COMPUTED_VALUE"""),"RSC007186")</f>
        <v>RSC007186</v>
      </c>
      <c r="C564" s="41" t="str">
        <f>IFERROR(__xludf.DUMMYFUNCTION("""COMPUTED_VALUE"""),"Bushier Brow")</f>
        <v>Bushier Brow</v>
      </c>
      <c r="D564" s="41" t="str">
        <f>IFERROR(__xludf.DUMMYFUNCTION("""COMPUTED_VALUE"""),"Singularity")</f>
        <v>Singularity</v>
      </c>
      <c r="E564" s="41">
        <f>IFERROR(__xludf.DUMMYFUNCTION("""COMPUTED_VALUE"""),2.0)</f>
        <v>2</v>
      </c>
      <c r="F564" s="41">
        <f>IFERROR(__xludf.DUMMYFUNCTION("""COMPUTED_VALUE"""),1430.0)</f>
        <v>1430</v>
      </c>
    </row>
    <row r="565">
      <c r="A565" s="41" t="b">
        <f>IFERROR(__xludf.DUMMYFUNCTION("""COMPUTED_VALUE"""),TRUE)</f>
        <v>1</v>
      </c>
      <c r="B565" s="41" t="str">
        <f>IFERROR(__xludf.DUMMYFUNCTION("""COMPUTED_VALUE"""),"RSC007187")</f>
        <v>RSC007187</v>
      </c>
      <c r="C565" s="41" t="str">
        <f>IFERROR(__xludf.DUMMYFUNCTION("""COMPUTED_VALUE"""),"Evil Gooby")</f>
        <v>Evil Gooby</v>
      </c>
      <c r="D565" s="41" t="str">
        <f>IFERROR(__xludf.DUMMYFUNCTION("""COMPUTED_VALUE"""),"Swordsman")</f>
        <v>Swordsman</v>
      </c>
      <c r="E565" s="41">
        <f>IFERROR(__xludf.DUMMYFUNCTION("""COMPUTED_VALUE"""),1.0)</f>
        <v>1</v>
      </c>
      <c r="F565" s="41">
        <f>IFERROR(__xludf.DUMMYFUNCTION("""COMPUTED_VALUE"""),1630.0)</f>
        <v>1630</v>
      </c>
    </row>
    <row r="566">
      <c r="A566" s="41" t="b">
        <f>IFERROR(__xludf.DUMMYFUNCTION("""COMPUTED_VALUE"""),TRUE)</f>
        <v>1</v>
      </c>
      <c r="B566" s="41" t="str">
        <f>IFERROR(__xludf.DUMMYFUNCTION("""COMPUTED_VALUE"""),"RSC007190")</f>
        <v>RSC007190</v>
      </c>
      <c r="C566" s="41" t="str">
        <f>IFERROR(__xludf.DUMMYFUNCTION("""COMPUTED_VALUE"""),"Cagiestsafe6")</f>
        <v>Cagiestsafe6</v>
      </c>
      <c r="D566" s="41" t="str">
        <f>IFERROR(__xludf.DUMMYFUNCTION("""COMPUTED_VALUE"""),"Thunder Pups")</f>
        <v>Thunder Pups</v>
      </c>
      <c r="E566" s="41">
        <f>IFERROR(__xludf.DUMMYFUNCTION("""COMPUTED_VALUE"""),2.0)</f>
        <v>2</v>
      </c>
      <c r="F566" s="41">
        <f>IFERROR(__xludf.DUMMYFUNCTION("""COMPUTED_VALUE"""),1210.0)</f>
        <v>1210</v>
      </c>
    </row>
    <row r="567">
      <c r="A567" s="41" t="b">
        <f>IFERROR(__xludf.DUMMYFUNCTION("""COMPUTED_VALUE"""),TRUE)</f>
        <v>1</v>
      </c>
      <c r="B567" s="41" t="str">
        <f>IFERROR(__xludf.DUMMYFUNCTION("""COMPUTED_VALUE"""),"RSC001612")</f>
        <v>RSC001612</v>
      </c>
      <c r="C567" s="41" t="str">
        <f>IFERROR(__xludf.DUMMYFUNCTION("""COMPUTED_VALUE"""),"Reverse Fridge")</f>
        <v>Reverse Fridge</v>
      </c>
      <c r="D567" s="41"/>
      <c r="E567" s="41">
        <f>IFERROR(__xludf.DUMMYFUNCTION("""COMPUTED_VALUE"""),0.0)</f>
        <v>0</v>
      </c>
      <c r="F567" s="41">
        <f>IFERROR(__xludf.DUMMYFUNCTION("""COMPUTED_VALUE"""),1540.0)</f>
        <v>1540</v>
      </c>
    </row>
    <row r="568">
      <c r="A568" s="41" t="b">
        <f>IFERROR(__xludf.DUMMYFUNCTION("""COMPUTED_VALUE"""),TRUE)</f>
        <v>1</v>
      </c>
      <c r="B568" s="41" t="str">
        <f>IFERROR(__xludf.DUMMYFUNCTION("""COMPUTED_VALUE"""),"RSC007202")</f>
        <v>RSC007202</v>
      </c>
      <c r="C568" s="41" t="str">
        <f>IFERROR(__xludf.DUMMYFUNCTION("""COMPUTED_VALUE"""),"GreatHonda")</f>
        <v>GreatHonda</v>
      </c>
      <c r="D568" s="41" t="str">
        <f>IFERROR(__xludf.DUMMYFUNCTION("""COMPUTED_VALUE"""),"Gargoyle")</f>
        <v>Gargoyle</v>
      </c>
      <c r="E568" s="41">
        <f>IFERROR(__xludf.DUMMYFUNCTION("""COMPUTED_VALUE"""),1.0)</f>
        <v>1</v>
      </c>
      <c r="F568" s="41">
        <f>IFERROR(__xludf.DUMMYFUNCTION("""COMPUTED_VALUE"""),1420.0)</f>
        <v>1420</v>
      </c>
    </row>
    <row r="569">
      <c r="A569" s="41" t="b">
        <f>IFERROR(__xludf.DUMMYFUNCTION("""COMPUTED_VALUE"""),FALSE)</f>
        <v>0</v>
      </c>
      <c r="B569" s="41" t="str">
        <f>IFERROR(__xludf.DUMMYFUNCTION("""COMPUTED_VALUE"""),"RSC007203")</f>
        <v>RSC007203</v>
      </c>
      <c r="C569" s="41" t="str">
        <f>IFERROR(__xludf.DUMMYFUNCTION("""COMPUTED_VALUE"""),"CoachJimmy_TECT")</f>
        <v>CoachJimmy_TECT</v>
      </c>
      <c r="D569" s="41"/>
      <c r="E569" s="41">
        <f>IFERROR(__xludf.DUMMYFUNCTION("""COMPUTED_VALUE"""),0.0)</f>
        <v>0</v>
      </c>
      <c r="F569" s="41">
        <f>IFERROR(__xludf.DUMMYFUNCTION("""COMPUTED_VALUE"""),1190.0)</f>
        <v>1190</v>
      </c>
    </row>
    <row r="570">
      <c r="A570" s="41" t="b">
        <f>IFERROR(__xludf.DUMMYFUNCTION("""COMPUTED_VALUE"""),TRUE)</f>
        <v>1</v>
      </c>
      <c r="B570" s="41" t="str">
        <f>IFERROR(__xludf.DUMMYFUNCTION("""COMPUTED_VALUE"""),"RSC006308")</f>
        <v>RSC006308</v>
      </c>
      <c r="C570" s="41" t="str">
        <f>IFERROR(__xludf.DUMMYFUNCTION("""COMPUTED_VALUE"""),"SqueezySponge.")</f>
        <v>SqueezySponge.</v>
      </c>
      <c r="D570" s="41" t="str">
        <f>IFERROR(__xludf.DUMMYFUNCTION("""COMPUTED_VALUE"""),"Spearmint")</f>
        <v>Spearmint</v>
      </c>
      <c r="E570" s="41">
        <f>IFERROR(__xludf.DUMMYFUNCTION("""COMPUTED_VALUE"""),2.0)</f>
        <v>2</v>
      </c>
      <c r="F570" s="41">
        <f>IFERROR(__xludf.DUMMYFUNCTION("""COMPUTED_VALUE"""),1145.0)</f>
        <v>1145</v>
      </c>
    </row>
    <row r="571">
      <c r="A571" s="41" t="b">
        <f>IFERROR(__xludf.DUMMYFUNCTION("""COMPUTED_VALUE"""),TRUE)</f>
        <v>1</v>
      </c>
      <c r="B571" s="41" t="str">
        <f>IFERROR(__xludf.DUMMYFUNCTION("""COMPUTED_VALUE"""),"RSC006069")</f>
        <v>RSC006069</v>
      </c>
      <c r="C571" s="41" t="str">
        <f>IFERROR(__xludf.DUMMYFUNCTION("""COMPUTED_VALUE"""),"PoupSoup")</f>
        <v>PoupSoup</v>
      </c>
      <c r="D571" s="41" t="str">
        <f>IFERROR(__xludf.DUMMYFUNCTION("""COMPUTED_VALUE"""),"Howlers")</f>
        <v>Howlers</v>
      </c>
      <c r="E571" s="41">
        <f>IFERROR(__xludf.DUMMYFUNCTION("""COMPUTED_VALUE"""),2.0)</f>
        <v>2</v>
      </c>
      <c r="F571" s="41">
        <f>IFERROR(__xludf.DUMMYFUNCTION("""COMPUTED_VALUE"""),1310.0)</f>
        <v>1310</v>
      </c>
    </row>
    <row r="572">
      <c r="A572" s="41" t="b">
        <f>IFERROR(__xludf.DUMMYFUNCTION("""COMPUTED_VALUE"""),FALSE)</f>
        <v>0</v>
      </c>
      <c r="B572" s="41" t="str">
        <f>IFERROR(__xludf.DUMMYFUNCTION("""COMPUTED_VALUE"""),"RSC007197")</f>
        <v>RSC007197</v>
      </c>
      <c r="C572" s="41" t="str">
        <f>IFERROR(__xludf.DUMMYFUNCTION("""COMPUTED_VALUE"""),"xMaster P")</f>
        <v>xMaster P</v>
      </c>
      <c r="D572" s="41"/>
      <c r="E572" s="41">
        <f>IFERROR(__xludf.DUMMYFUNCTION("""COMPUTED_VALUE"""),0.0)</f>
        <v>0</v>
      </c>
      <c r="F572" s="41">
        <f>IFERROR(__xludf.DUMMYFUNCTION("""COMPUTED_VALUE"""),1265.0)</f>
        <v>1265</v>
      </c>
    </row>
    <row r="573">
      <c r="A573" s="41" t="b">
        <f>IFERROR(__xludf.DUMMYFUNCTION("""COMPUTED_VALUE"""),TRUE)</f>
        <v>1</v>
      </c>
      <c r="B573" s="41" t="str">
        <f>IFERROR(__xludf.DUMMYFUNCTION("""COMPUTED_VALUE"""),"RSC007213")</f>
        <v>RSC007213</v>
      </c>
      <c r="C573" s="41" t="str">
        <f>IFERROR(__xludf.DUMMYFUNCTION("""COMPUTED_VALUE"""),"Pythronex")</f>
        <v>Pythronex</v>
      </c>
      <c r="D573" s="41" t="str">
        <f>IFERROR(__xludf.DUMMYFUNCTION("""COMPUTED_VALUE"""),"Shadow Tails")</f>
        <v>Shadow Tails</v>
      </c>
      <c r="E573" s="41">
        <f>IFERROR(__xludf.DUMMYFUNCTION("""COMPUTED_VALUE"""),2.0)</f>
        <v>2</v>
      </c>
      <c r="F573" s="41">
        <f>IFERROR(__xludf.DUMMYFUNCTION("""COMPUTED_VALUE"""),1435.0)</f>
        <v>1435</v>
      </c>
    </row>
    <row r="574">
      <c r="A574" s="41" t="b">
        <f>IFERROR(__xludf.DUMMYFUNCTION("""COMPUTED_VALUE"""),TRUE)</f>
        <v>1</v>
      </c>
      <c r="B574" s="41" t="str">
        <f>IFERROR(__xludf.DUMMYFUNCTION("""COMPUTED_VALUE"""),"RSC007216")</f>
        <v>RSC007216</v>
      </c>
      <c r="C574" s="41" t="str">
        <f>IFERROR(__xludf.DUMMYFUNCTION("""COMPUTED_VALUE"""),"ASAPxLEG")</f>
        <v>ASAPxLEG</v>
      </c>
      <c r="D574" s="41" t="str">
        <f>IFERROR(__xludf.DUMMYFUNCTION("""COMPUTED_VALUE"""),"Kappa")</f>
        <v>Kappa</v>
      </c>
      <c r="E574" s="41">
        <f>IFERROR(__xludf.DUMMYFUNCTION("""COMPUTED_VALUE"""),2.0)</f>
        <v>2</v>
      </c>
      <c r="F574" s="41">
        <f>IFERROR(__xludf.DUMMYFUNCTION("""COMPUTED_VALUE"""),845.0)</f>
        <v>845</v>
      </c>
    </row>
    <row r="575">
      <c r="A575" s="41" t="b">
        <f>IFERROR(__xludf.DUMMYFUNCTION("""COMPUTED_VALUE"""),TRUE)</f>
        <v>1</v>
      </c>
      <c r="B575" s="41" t="str">
        <f>IFERROR(__xludf.DUMMYFUNCTION("""COMPUTED_VALUE"""),"RSC002960")</f>
        <v>RSC002960</v>
      </c>
      <c r="C575" s="41" t="str">
        <f>IFERROR(__xludf.DUMMYFUNCTION("""COMPUTED_VALUE"""),"Shrek Is The Best Anime")</f>
        <v>Shrek Is The Best Anime</v>
      </c>
      <c r="D575" s="41" t="str">
        <f>IFERROR(__xludf.DUMMYFUNCTION("""COMPUTED_VALUE"""),"Centuriones")</f>
        <v>Centuriones</v>
      </c>
      <c r="E575" s="41">
        <f>IFERROR(__xludf.DUMMYFUNCTION("""COMPUTED_VALUE"""),2.0)</f>
        <v>2</v>
      </c>
      <c r="F575" s="41">
        <f>IFERROR(__xludf.DUMMYFUNCTION("""COMPUTED_VALUE"""),1295.0)</f>
        <v>1295</v>
      </c>
    </row>
    <row r="576">
      <c r="A576" s="41" t="b">
        <f>IFERROR(__xludf.DUMMYFUNCTION("""COMPUTED_VALUE"""),TRUE)</f>
        <v>1</v>
      </c>
      <c r="B576" s="41" t="str">
        <f>IFERROR(__xludf.DUMMYFUNCTION("""COMPUTED_VALUE"""),"RSC000203")</f>
        <v>RSC000203</v>
      </c>
      <c r="C576" s="41" t="str">
        <f>IFERROR(__xludf.DUMMYFUNCTION("""COMPUTED_VALUE"""),"FrostyBrew")</f>
        <v>FrostyBrew</v>
      </c>
      <c r="D576" s="41" t="str">
        <f>IFERROR(__xludf.DUMMYFUNCTION("""COMPUTED_VALUE"""),"Demons")</f>
        <v>Demons</v>
      </c>
      <c r="E576" s="41">
        <f>IFERROR(__xludf.DUMMYFUNCTION("""COMPUTED_VALUE"""),2.0)</f>
        <v>2</v>
      </c>
      <c r="F576" s="41">
        <f>IFERROR(__xludf.DUMMYFUNCTION("""COMPUTED_VALUE"""),1585.0)</f>
        <v>1585</v>
      </c>
    </row>
    <row r="577">
      <c r="A577" s="41" t="b">
        <f>IFERROR(__xludf.DUMMYFUNCTION("""COMPUTED_VALUE"""),TRUE)</f>
        <v>1</v>
      </c>
      <c r="B577" s="41" t="str">
        <f>IFERROR(__xludf.DUMMYFUNCTION("""COMPUTED_VALUE"""),"RSC003978")</f>
        <v>RSC003978</v>
      </c>
      <c r="C577" s="41" t="str">
        <f>IFERROR(__xludf.DUMMYFUNCTION("""COMPUTED_VALUE"""),"Thenio")</f>
        <v>Thenio</v>
      </c>
      <c r="D577" s="41"/>
      <c r="E577" s="41">
        <f>IFERROR(__xludf.DUMMYFUNCTION("""COMPUTED_VALUE"""),0.0)</f>
        <v>0</v>
      </c>
      <c r="F577" s="41">
        <f>IFERROR(__xludf.DUMMYFUNCTION("""COMPUTED_VALUE"""),1325.0)</f>
        <v>1325</v>
      </c>
    </row>
    <row r="578">
      <c r="A578" s="41" t="b">
        <f>IFERROR(__xludf.DUMMYFUNCTION("""COMPUTED_VALUE"""),TRUE)</f>
        <v>1</v>
      </c>
      <c r="B578" s="41" t="str">
        <f>IFERROR(__xludf.DUMMYFUNCTION("""COMPUTED_VALUE"""),"RSC001082")</f>
        <v>RSC001082</v>
      </c>
      <c r="C578" s="41" t="str">
        <f>IFERROR(__xludf.DUMMYFUNCTION("""COMPUTED_VALUE"""),"Tuxedo Marx")</f>
        <v>Tuxedo Marx</v>
      </c>
      <c r="D578" s="41" t="str">
        <f>IFERROR(__xludf.DUMMYFUNCTION("""COMPUTED_VALUE"""),"Asiago Arsonists")</f>
        <v>Asiago Arsonists</v>
      </c>
      <c r="E578" s="41">
        <f>IFERROR(__xludf.DUMMYFUNCTION("""COMPUTED_VALUE"""),1.0)</f>
        <v>1</v>
      </c>
      <c r="F578" s="41">
        <f>IFERROR(__xludf.DUMMYFUNCTION("""COMPUTED_VALUE"""),1290.0)</f>
        <v>1290</v>
      </c>
    </row>
    <row r="579">
      <c r="A579" s="41" t="b">
        <f>IFERROR(__xludf.DUMMYFUNCTION("""COMPUTED_VALUE"""),TRUE)</f>
        <v>1</v>
      </c>
      <c r="B579" s="41" t="str">
        <f>IFERROR(__xludf.DUMMYFUNCTION("""COMPUTED_VALUE"""),"RSC007201")</f>
        <v>RSC007201</v>
      </c>
      <c r="C579" s="41" t="str">
        <f>IFERROR(__xludf.DUMMYFUNCTION("""COMPUTED_VALUE"""),"FallenAngel")</f>
        <v>FallenAngel</v>
      </c>
      <c r="D579" s="41" t="str">
        <f>IFERROR(__xludf.DUMMYFUNCTION("""COMPUTED_VALUE"""),"Heavy Metal")</f>
        <v>Heavy Metal</v>
      </c>
      <c r="E579" s="41">
        <f>IFERROR(__xludf.DUMMYFUNCTION("""COMPUTED_VALUE"""),2.0)</f>
        <v>2</v>
      </c>
      <c r="F579" s="41">
        <f>IFERROR(__xludf.DUMMYFUNCTION("""COMPUTED_VALUE"""),1370.0)</f>
        <v>1370</v>
      </c>
    </row>
    <row r="580">
      <c r="A580" s="41" t="b">
        <f>IFERROR(__xludf.DUMMYFUNCTION("""COMPUTED_VALUE"""),TRUE)</f>
        <v>1</v>
      </c>
      <c r="B580" s="41" t="str">
        <f>IFERROR(__xludf.DUMMYFUNCTION("""COMPUTED_VALUE"""),"RSC004188")</f>
        <v>RSC004188</v>
      </c>
      <c r="C580" s="41" t="str">
        <f>IFERROR(__xludf.DUMMYFUNCTION("""COMPUTED_VALUE"""),"wntr/x")</f>
        <v>wntr/x</v>
      </c>
      <c r="D580" s="41" t="str">
        <f>IFERROR(__xludf.DUMMYFUNCTION("""COMPUTED_VALUE"""),"Tax Evaders")</f>
        <v>Tax Evaders</v>
      </c>
      <c r="E580" s="41">
        <f>IFERROR(__xludf.DUMMYFUNCTION("""COMPUTED_VALUE"""),1.0)</f>
        <v>1</v>
      </c>
      <c r="F580" s="41">
        <f>IFERROR(__xludf.DUMMYFUNCTION("""COMPUTED_VALUE"""),1375.0)</f>
        <v>1375</v>
      </c>
    </row>
    <row r="581">
      <c r="A581" s="41" t="b">
        <f>IFERROR(__xludf.DUMMYFUNCTION("""COMPUTED_VALUE"""),TRUE)</f>
        <v>1</v>
      </c>
      <c r="B581" s="41" t="str">
        <f>IFERROR(__xludf.DUMMYFUNCTION("""COMPUTED_VALUE"""),"RSC008000")</f>
        <v>RSC008000</v>
      </c>
      <c r="C581" s="41" t="str">
        <f>IFERROR(__xludf.DUMMYFUNCTION("""COMPUTED_VALUE"""),"ChefHoffy")</f>
        <v>ChefHoffy</v>
      </c>
      <c r="D581" s="41" t="str">
        <f>IFERROR(__xludf.DUMMYFUNCTION("""COMPUTED_VALUE"""),"Kitsune")</f>
        <v>Kitsune</v>
      </c>
      <c r="E581" s="41">
        <f>IFERROR(__xludf.DUMMYFUNCTION("""COMPUTED_VALUE"""),1.0)</f>
        <v>1</v>
      </c>
      <c r="F581" s="41">
        <f>IFERROR(__xludf.DUMMYFUNCTION("""COMPUTED_VALUE"""),1350.0)</f>
        <v>1350</v>
      </c>
    </row>
    <row r="582">
      <c r="A582" s="41" t="b">
        <f>IFERROR(__xludf.DUMMYFUNCTION("""COMPUTED_VALUE"""),TRUE)</f>
        <v>1</v>
      </c>
      <c r="B582" s="41" t="str">
        <f>IFERROR(__xludf.DUMMYFUNCTION("""COMPUTED_VALUE"""),"RSC006678")</f>
        <v>RSC006678</v>
      </c>
      <c r="C582" s="41" t="str">
        <f>IFERROR(__xludf.DUMMYFUNCTION("""COMPUTED_VALUE"""),"EyeSucka")</f>
        <v>EyeSucka</v>
      </c>
      <c r="D582" s="41" t="str">
        <f>IFERROR(__xludf.DUMMYFUNCTION("""COMPUTED_VALUE"""),"Mining Legion")</f>
        <v>Mining Legion</v>
      </c>
      <c r="E582" s="41">
        <f>IFERROR(__xludf.DUMMYFUNCTION("""COMPUTED_VALUE"""),1.0)</f>
        <v>1</v>
      </c>
      <c r="F582" s="41">
        <f>IFERROR(__xludf.DUMMYFUNCTION("""COMPUTED_VALUE"""),1360.0)</f>
        <v>1360</v>
      </c>
    </row>
    <row r="583">
      <c r="A583" s="41" t="b">
        <f>IFERROR(__xludf.DUMMYFUNCTION("""COMPUTED_VALUE"""),TRUE)</f>
        <v>1</v>
      </c>
      <c r="B583" s="41" t="str">
        <f>IFERROR(__xludf.DUMMYFUNCTION("""COMPUTED_VALUE"""),"RSC006755")</f>
        <v>RSC006755</v>
      </c>
      <c r="C583" s="41" t="str">
        <f>IFERROR(__xludf.DUMMYFUNCTION("""COMPUTED_VALUE"""),"Fox_gt_400")</f>
        <v>Fox_gt_400</v>
      </c>
      <c r="D583" s="41"/>
      <c r="E583" s="41">
        <f>IFERROR(__xludf.DUMMYFUNCTION("""COMPUTED_VALUE"""),0.0)</f>
        <v>0</v>
      </c>
      <c r="F583" s="41">
        <f>IFERROR(__xludf.DUMMYFUNCTION("""COMPUTED_VALUE"""),1200.0)</f>
        <v>1200</v>
      </c>
    </row>
    <row r="584">
      <c r="A584" s="41" t="b">
        <f>IFERROR(__xludf.DUMMYFUNCTION("""COMPUTED_VALUE"""),TRUE)</f>
        <v>1</v>
      </c>
      <c r="B584" s="41" t="str">
        <f>IFERROR(__xludf.DUMMYFUNCTION("""COMPUTED_VALUE"""),"RSC006159")</f>
        <v>RSC006159</v>
      </c>
      <c r="C584" s="41" t="str">
        <f>IFERROR(__xludf.DUMMYFUNCTION("""COMPUTED_VALUE"""),"courtesan")</f>
        <v>courtesan</v>
      </c>
      <c r="D584" s="41" t="str">
        <f>IFERROR(__xludf.DUMMYFUNCTION("""COMPUTED_VALUE"""),"Heavy Metal")</f>
        <v>Heavy Metal</v>
      </c>
      <c r="E584" s="41">
        <f>IFERROR(__xludf.DUMMYFUNCTION("""COMPUTED_VALUE"""),2.0)</f>
        <v>2</v>
      </c>
      <c r="F584" s="41">
        <f>IFERROR(__xludf.DUMMYFUNCTION("""COMPUTED_VALUE"""),1255.0)</f>
        <v>1255</v>
      </c>
    </row>
    <row r="585">
      <c r="A585" s="41" t="b">
        <f>IFERROR(__xludf.DUMMYFUNCTION("""COMPUTED_VALUE"""),TRUE)</f>
        <v>1</v>
      </c>
      <c r="B585" s="41" t="str">
        <f>IFERROR(__xludf.DUMMYFUNCTION("""COMPUTED_VALUE"""),"RSC007941")</f>
        <v>RSC007941</v>
      </c>
      <c r="C585" s="41" t="str">
        <f>IFERROR(__xludf.DUMMYFUNCTION("""COMPUTED_VALUE"""),"Shepherd")</f>
        <v>Shepherd</v>
      </c>
      <c r="D585" s="41" t="str">
        <f>IFERROR(__xludf.DUMMYFUNCTION("""COMPUTED_VALUE"""),"Spectres")</f>
        <v>Spectres</v>
      </c>
      <c r="E585" s="41">
        <f>IFERROR(__xludf.DUMMYFUNCTION("""COMPUTED_VALUE"""),1.0)</f>
        <v>1</v>
      </c>
      <c r="F585" s="41">
        <f>IFERROR(__xludf.DUMMYFUNCTION("""COMPUTED_VALUE"""),1715.0)</f>
        <v>1715</v>
      </c>
    </row>
    <row r="586">
      <c r="A586" s="41" t="b">
        <f>IFERROR(__xludf.DUMMYFUNCTION("""COMPUTED_VALUE"""),TRUE)</f>
        <v>1</v>
      </c>
      <c r="B586" s="41" t="str">
        <f>IFERROR(__xludf.DUMMYFUNCTION("""COMPUTED_VALUE"""),"RSC004109")</f>
        <v>RSC004109</v>
      </c>
      <c r="C586" s="41" t="str">
        <f>IFERROR(__xludf.DUMMYFUNCTION("""COMPUTED_VALUE"""),"Hawkish")</f>
        <v>Hawkish</v>
      </c>
      <c r="D586" s="41" t="str">
        <f>IFERROR(__xludf.DUMMYFUNCTION("""COMPUTED_VALUE"""),"Hydras")</f>
        <v>Hydras</v>
      </c>
      <c r="E586" s="41">
        <f>IFERROR(__xludf.DUMMYFUNCTION("""COMPUTED_VALUE"""),1.0)</f>
        <v>1</v>
      </c>
      <c r="F586" s="41">
        <f>IFERROR(__xludf.DUMMYFUNCTION("""COMPUTED_VALUE"""),1545.0)</f>
        <v>1545</v>
      </c>
    </row>
    <row r="587">
      <c r="A587" s="41" t="b">
        <f>IFERROR(__xludf.DUMMYFUNCTION("""COMPUTED_VALUE"""),FALSE)</f>
        <v>0</v>
      </c>
      <c r="B587" s="41" t="str">
        <f>IFERROR(__xludf.DUMMYFUNCTION("""COMPUTED_VALUE"""),"RSC007999")</f>
        <v>RSC007999</v>
      </c>
      <c r="C587" s="41" t="str">
        <f>IFERROR(__xludf.DUMMYFUNCTION("""COMPUTED_VALUE"""),"MerzR")</f>
        <v>MerzR</v>
      </c>
      <c r="D587" s="41"/>
      <c r="E587" s="41">
        <f>IFERROR(__xludf.DUMMYFUNCTION("""COMPUTED_VALUE"""),0.0)</f>
        <v>0</v>
      </c>
      <c r="F587" s="41">
        <f>IFERROR(__xludf.DUMMYFUNCTION("""COMPUTED_VALUE"""),600.0)</f>
        <v>600</v>
      </c>
    </row>
    <row r="588">
      <c r="A588" s="41" t="b">
        <f>IFERROR(__xludf.DUMMYFUNCTION("""COMPUTED_VALUE"""),TRUE)</f>
        <v>1</v>
      </c>
      <c r="B588" s="41" t="str">
        <f>IFERROR(__xludf.DUMMYFUNCTION("""COMPUTED_VALUE"""),"RSC008010")</f>
        <v>RSC008010</v>
      </c>
      <c r="C588" s="41" t="str">
        <f>IFERROR(__xludf.DUMMYFUNCTION("""COMPUTED_VALUE"""),"WamBamTYMan-")</f>
        <v>WamBamTYMan-</v>
      </c>
      <c r="D588" s="41" t="str">
        <f>IFERROR(__xludf.DUMMYFUNCTION("""COMPUTED_VALUE"""),"Warbirds")</f>
        <v>Warbirds</v>
      </c>
      <c r="E588" s="41">
        <f>IFERROR(__xludf.DUMMYFUNCTION("""COMPUTED_VALUE"""),1.0)</f>
        <v>1</v>
      </c>
      <c r="F588" s="41">
        <f>IFERROR(__xludf.DUMMYFUNCTION("""COMPUTED_VALUE"""),1220.0)</f>
        <v>1220</v>
      </c>
    </row>
    <row r="589">
      <c r="A589" s="41" t="b">
        <f>IFERROR(__xludf.DUMMYFUNCTION("""COMPUTED_VALUE"""),TRUE)</f>
        <v>1</v>
      </c>
      <c r="B589" s="41" t="str">
        <f>IFERROR(__xludf.DUMMYFUNCTION("""COMPUTED_VALUE"""),"RSC005884")</f>
        <v>RSC005884</v>
      </c>
      <c r="C589" s="41" t="str">
        <f>IFERROR(__xludf.DUMMYFUNCTION("""COMPUTED_VALUE"""),"Zachthebull36")</f>
        <v>Zachthebull36</v>
      </c>
      <c r="D589" s="41" t="str">
        <f>IFERROR(__xludf.DUMMYFUNCTION("""COMPUTED_VALUE"""),"Scribes")</f>
        <v>Scribes</v>
      </c>
      <c r="E589" s="41">
        <f>IFERROR(__xludf.DUMMYFUNCTION("""COMPUTED_VALUE"""),2.0)</f>
        <v>2</v>
      </c>
      <c r="F589" s="41">
        <f>IFERROR(__xludf.DUMMYFUNCTION("""COMPUTED_VALUE"""),1085.0)</f>
        <v>1085</v>
      </c>
    </row>
    <row r="590">
      <c r="A590" s="41" t="b">
        <f>IFERROR(__xludf.DUMMYFUNCTION("""COMPUTED_VALUE"""),TRUE)</f>
        <v>1</v>
      </c>
      <c r="B590" s="41" t="str">
        <f>IFERROR(__xludf.DUMMYFUNCTION("""COMPUTED_VALUE"""),"RSC008170")</f>
        <v>RSC008170</v>
      </c>
      <c r="C590" s="41" t="str">
        <f>IFERROR(__xludf.DUMMYFUNCTION("""COMPUTED_VALUE"""),"Hypernova")</f>
        <v>Hypernova</v>
      </c>
      <c r="D590" s="41" t="str">
        <f>IFERROR(__xludf.DUMMYFUNCTION("""COMPUTED_VALUE"""),"Nighthawks")</f>
        <v>Nighthawks</v>
      </c>
      <c r="E590" s="41">
        <f>IFERROR(__xludf.DUMMYFUNCTION("""COMPUTED_VALUE"""),1.0)</f>
        <v>1</v>
      </c>
      <c r="F590" s="41">
        <f>IFERROR(__xludf.DUMMYFUNCTION("""COMPUTED_VALUE"""),1390.0)</f>
        <v>1390</v>
      </c>
    </row>
    <row r="591">
      <c r="A591" s="41" t="b">
        <f>IFERROR(__xludf.DUMMYFUNCTION("""COMPUTED_VALUE"""),TRUE)</f>
        <v>1</v>
      </c>
      <c r="B591" s="41" t="str">
        <f>IFERROR(__xludf.DUMMYFUNCTION("""COMPUTED_VALUE"""),"RSC006484")</f>
        <v>RSC006484</v>
      </c>
      <c r="C591" s="41" t="str">
        <f>IFERROR(__xludf.DUMMYFUNCTION("""COMPUTED_VALUE"""),"AhmedSa-")</f>
        <v>AhmedSa-</v>
      </c>
      <c r="D591" s="41" t="str">
        <f>IFERROR(__xludf.DUMMYFUNCTION("""COMPUTED_VALUE"""),"Immortals")</f>
        <v>Immortals</v>
      </c>
      <c r="E591" s="41">
        <f>IFERROR(__xludf.DUMMYFUNCTION("""COMPUTED_VALUE"""),2.0)</f>
        <v>2</v>
      </c>
      <c r="F591" s="41">
        <f>IFERROR(__xludf.DUMMYFUNCTION("""COMPUTED_VALUE"""),1660.0)</f>
        <v>1660</v>
      </c>
    </row>
    <row r="592">
      <c r="A592" s="41" t="b">
        <f>IFERROR(__xludf.DUMMYFUNCTION("""COMPUTED_VALUE"""),TRUE)</f>
        <v>1</v>
      </c>
      <c r="B592" s="41" t="str">
        <f>IFERROR(__xludf.DUMMYFUNCTION("""COMPUTED_VALUE"""),"RSC005978")</f>
        <v>RSC005978</v>
      </c>
      <c r="C592" s="41" t="str">
        <f>IFERROR(__xludf.DUMMYFUNCTION("""COMPUTED_VALUE"""),"Xdraco0")</f>
        <v>Xdraco0</v>
      </c>
      <c r="D592" s="41" t="str">
        <f>IFERROR(__xludf.DUMMYFUNCTION("""COMPUTED_VALUE"""),"Purrgatory")</f>
        <v>Purrgatory</v>
      </c>
      <c r="E592" s="41">
        <f>IFERROR(__xludf.DUMMYFUNCTION("""COMPUTED_VALUE"""),2.0)</f>
        <v>2</v>
      </c>
      <c r="F592" s="41">
        <f>IFERROR(__xludf.DUMMYFUNCTION("""COMPUTED_VALUE"""),1350.0)</f>
        <v>1350</v>
      </c>
    </row>
    <row r="593">
      <c r="A593" s="41" t="b">
        <f>IFERROR(__xludf.DUMMYFUNCTION("""COMPUTED_VALUE"""),TRUE)</f>
        <v>1</v>
      </c>
      <c r="B593" s="41" t="str">
        <f>IFERROR(__xludf.DUMMYFUNCTION("""COMPUTED_VALUE"""),"RSC007453")</f>
        <v>RSC007453</v>
      </c>
      <c r="C593" s="41" t="str">
        <f>IFERROR(__xludf.DUMMYFUNCTION("""COMPUTED_VALUE"""),"TheDoy420")</f>
        <v>TheDoy420</v>
      </c>
      <c r="D593" s="41" t="str">
        <f>IFERROR(__xludf.DUMMYFUNCTION("""COMPUTED_VALUE"""),"Polar Ice")</f>
        <v>Polar Ice</v>
      </c>
      <c r="E593" s="41">
        <f>IFERROR(__xludf.DUMMYFUNCTION("""COMPUTED_VALUE"""),2.0)</f>
        <v>2</v>
      </c>
      <c r="F593" s="41">
        <f>IFERROR(__xludf.DUMMYFUNCTION("""COMPUTED_VALUE"""),1265.0)</f>
        <v>1265</v>
      </c>
    </row>
    <row r="594">
      <c r="A594" s="41" t="b">
        <f>IFERROR(__xludf.DUMMYFUNCTION("""COMPUTED_VALUE"""),FALSE)</f>
        <v>0</v>
      </c>
      <c r="B594" s="41" t="str">
        <f>IFERROR(__xludf.DUMMYFUNCTION("""COMPUTED_VALUE"""),"RSC007973")</f>
        <v>RSC007973</v>
      </c>
      <c r="C594" s="41" t="str">
        <f>IFERROR(__xludf.DUMMYFUNCTION("""COMPUTED_VALUE"""),"stuttterd")</f>
        <v>stuttterd</v>
      </c>
      <c r="D594" s="41"/>
      <c r="E594" s="41">
        <f>IFERROR(__xludf.DUMMYFUNCTION("""COMPUTED_VALUE"""),0.0)</f>
        <v>0</v>
      </c>
      <c r="F594" s="41">
        <f>IFERROR(__xludf.DUMMYFUNCTION("""COMPUTED_VALUE"""),1400.0)</f>
        <v>1400</v>
      </c>
    </row>
    <row r="595">
      <c r="A595" s="41" t="b">
        <f>IFERROR(__xludf.DUMMYFUNCTION("""COMPUTED_VALUE"""),TRUE)</f>
        <v>1</v>
      </c>
      <c r="B595" s="41" t="str">
        <f>IFERROR(__xludf.DUMMYFUNCTION("""COMPUTED_VALUE"""),"RSC005550")</f>
        <v>RSC005550</v>
      </c>
      <c r="C595" s="41" t="str">
        <f>IFERROR(__xludf.DUMMYFUNCTION("""COMPUTED_VALUE"""),"Shraggaholic")</f>
        <v>Shraggaholic</v>
      </c>
      <c r="D595" s="41" t="str">
        <f>IFERROR(__xludf.DUMMYFUNCTION("""COMPUTED_VALUE"""),"Earth")</f>
        <v>Earth</v>
      </c>
      <c r="E595" s="41">
        <f>IFERROR(__xludf.DUMMYFUNCTION("""COMPUTED_VALUE"""),2.0)</f>
        <v>2</v>
      </c>
      <c r="F595" s="41">
        <f>IFERROR(__xludf.DUMMYFUNCTION("""COMPUTED_VALUE"""),1070.0)</f>
        <v>1070</v>
      </c>
    </row>
    <row r="596">
      <c r="A596" s="41" t="b">
        <f>IFERROR(__xludf.DUMMYFUNCTION("""COMPUTED_VALUE"""),TRUE)</f>
        <v>1</v>
      </c>
      <c r="B596" s="41" t="str">
        <f>IFERROR(__xludf.DUMMYFUNCTION("""COMPUTED_VALUE"""),"RSC005521")</f>
        <v>RSC005521</v>
      </c>
      <c r="C596" s="41" t="str">
        <f>IFERROR(__xludf.DUMMYFUNCTION("""COMPUTED_VALUE"""),"Mr. MeOnDisplay")</f>
        <v>Mr. MeOnDisplay</v>
      </c>
      <c r="D596" s="41" t="str">
        <f>IFERROR(__xludf.DUMMYFUNCTION("""COMPUTED_VALUE"""),"Dracos")</f>
        <v>Dracos</v>
      </c>
      <c r="E596" s="41">
        <f>IFERROR(__xludf.DUMMYFUNCTION("""COMPUTED_VALUE"""),2.0)</f>
        <v>2</v>
      </c>
      <c r="F596" s="41">
        <f>IFERROR(__xludf.DUMMYFUNCTION("""COMPUTED_VALUE"""),1270.0)</f>
        <v>1270</v>
      </c>
    </row>
    <row r="597">
      <c r="A597" s="41" t="b">
        <f>IFERROR(__xludf.DUMMYFUNCTION("""COMPUTED_VALUE"""),TRUE)</f>
        <v>1</v>
      </c>
      <c r="B597" s="41" t="str">
        <f>IFERROR(__xludf.DUMMYFUNCTION("""COMPUTED_VALUE"""),"RSC007494")</f>
        <v>RSC007494</v>
      </c>
      <c r="C597" s="41" t="str">
        <f>IFERROR(__xludf.DUMMYFUNCTION("""COMPUTED_VALUE"""),"C-Loupe")</f>
        <v>C-Loupe</v>
      </c>
      <c r="D597" s="41" t="str">
        <f>IFERROR(__xludf.DUMMYFUNCTION("""COMPUTED_VALUE"""),"Helicoprions")</f>
        <v>Helicoprions</v>
      </c>
      <c r="E597" s="41">
        <f>IFERROR(__xludf.DUMMYFUNCTION("""COMPUTED_VALUE"""),2.0)</f>
        <v>2</v>
      </c>
      <c r="F597" s="41">
        <f>IFERROR(__xludf.DUMMYFUNCTION("""COMPUTED_VALUE"""),1700.0)</f>
        <v>1700</v>
      </c>
    </row>
    <row r="598">
      <c r="A598" s="41" t="b">
        <f>IFERROR(__xludf.DUMMYFUNCTION("""COMPUTED_VALUE"""),TRUE)</f>
        <v>1</v>
      </c>
      <c r="B598" s="41" t="str">
        <f>IFERROR(__xludf.DUMMYFUNCTION("""COMPUTED_VALUE"""),"RSC006259")</f>
        <v>RSC006259</v>
      </c>
      <c r="C598" s="41" t="str">
        <f>IFERROR(__xludf.DUMMYFUNCTION("""COMPUTED_VALUE"""),"mojomo (Goofy and Silly)")</f>
        <v>mojomo (Goofy and Silly)</v>
      </c>
      <c r="D598" s="41" t="str">
        <f>IFERROR(__xludf.DUMMYFUNCTION("""COMPUTED_VALUE"""),"Frostbite")</f>
        <v>Frostbite</v>
      </c>
      <c r="E598" s="41">
        <f>IFERROR(__xludf.DUMMYFUNCTION("""COMPUTED_VALUE"""),2.0)</f>
        <v>2</v>
      </c>
      <c r="F598" s="41">
        <f>IFERROR(__xludf.DUMMYFUNCTION("""COMPUTED_VALUE"""),1650.0)</f>
        <v>1650</v>
      </c>
    </row>
    <row r="599">
      <c r="A599" s="41" t="b">
        <f>IFERROR(__xludf.DUMMYFUNCTION("""COMPUTED_VALUE"""),TRUE)</f>
        <v>1</v>
      </c>
      <c r="B599" s="41" t="str">
        <f>IFERROR(__xludf.DUMMYFUNCTION("""COMPUTED_VALUE"""),"RSC000967")</f>
        <v>RSC000967</v>
      </c>
      <c r="C599" s="41" t="str">
        <f>IFERROR(__xludf.DUMMYFUNCTION("""COMPUTED_VALUE"""),"birds aren't real")</f>
        <v>birds aren't real</v>
      </c>
      <c r="D599" s="41"/>
      <c r="E599" s="41">
        <f>IFERROR(__xludf.DUMMYFUNCTION("""COMPUTED_VALUE"""),0.0)</f>
        <v>0</v>
      </c>
      <c r="F599" s="41">
        <f>IFERROR(__xludf.DUMMYFUNCTION("""COMPUTED_VALUE"""),1190.0)</f>
        <v>1190</v>
      </c>
    </row>
    <row r="600">
      <c r="A600" s="41" t="b">
        <f>IFERROR(__xludf.DUMMYFUNCTION("""COMPUTED_VALUE"""),TRUE)</f>
        <v>1</v>
      </c>
      <c r="B600" s="41" t="str">
        <f>IFERROR(__xludf.DUMMYFUNCTION("""COMPUTED_VALUE"""),"RSC003416")</f>
        <v>RSC003416</v>
      </c>
      <c r="C600" s="41" t="str">
        <f>IFERROR(__xludf.DUMMYFUNCTION("""COMPUTED_VALUE"""),"DrSkimMilk")</f>
        <v>DrSkimMilk</v>
      </c>
      <c r="D600" s="41" t="str">
        <f>IFERROR(__xludf.DUMMYFUNCTION("""COMPUTED_VALUE"""),"Merciless Mob")</f>
        <v>Merciless Mob</v>
      </c>
      <c r="E600" s="41">
        <f>IFERROR(__xludf.DUMMYFUNCTION("""COMPUTED_VALUE"""),1.0)</f>
        <v>1</v>
      </c>
      <c r="F600" s="41">
        <f>IFERROR(__xludf.DUMMYFUNCTION("""COMPUTED_VALUE"""),1445.0)</f>
        <v>1445</v>
      </c>
    </row>
    <row r="601">
      <c r="A601" s="41" t="b">
        <f>IFERROR(__xludf.DUMMYFUNCTION("""COMPUTED_VALUE"""),TRUE)</f>
        <v>1</v>
      </c>
      <c r="B601" s="41" t="str">
        <f>IFERROR(__xludf.DUMMYFUNCTION("""COMPUTED_VALUE"""),"RSC006677")</f>
        <v>RSC006677</v>
      </c>
      <c r="C601" s="41" t="str">
        <f>IFERROR(__xludf.DUMMYFUNCTION("""COMPUTED_VALUE"""),"Luigi")</f>
        <v>Luigi</v>
      </c>
      <c r="D601" s="41" t="str">
        <f>IFERROR(__xludf.DUMMYFUNCTION("""COMPUTED_VALUE"""),"Interstellar")</f>
        <v>Interstellar</v>
      </c>
      <c r="E601" s="41">
        <f>IFERROR(__xludf.DUMMYFUNCTION("""COMPUTED_VALUE"""),2.0)</f>
        <v>2</v>
      </c>
      <c r="F601" s="41">
        <f>IFERROR(__xludf.DUMMYFUNCTION("""COMPUTED_VALUE"""),1920.0)</f>
        <v>1920</v>
      </c>
    </row>
    <row r="602">
      <c r="A602" s="41" t="b">
        <f>IFERROR(__xludf.DUMMYFUNCTION("""COMPUTED_VALUE"""),TRUE)</f>
        <v>1</v>
      </c>
      <c r="B602" s="41" t="str">
        <f>IFERROR(__xludf.DUMMYFUNCTION("""COMPUTED_VALUE"""),"RSC007179")</f>
        <v>RSC007179</v>
      </c>
      <c r="C602" s="41" t="str">
        <f>IFERROR(__xludf.DUMMYFUNCTION("""COMPUTED_VALUE"""),"B0A._.")</f>
        <v>B0A._.</v>
      </c>
      <c r="D602" s="41" t="str">
        <f>IFERROR(__xludf.DUMMYFUNCTION("""COMPUTED_VALUE"""),"Jinyiwei")</f>
        <v>Jinyiwei</v>
      </c>
      <c r="E602" s="41">
        <f>IFERROR(__xludf.DUMMYFUNCTION("""COMPUTED_VALUE"""),2.0)</f>
        <v>2</v>
      </c>
      <c r="F602" s="41">
        <f>IFERROR(__xludf.DUMMYFUNCTION("""COMPUTED_VALUE"""),1075.0)</f>
        <v>1075</v>
      </c>
    </row>
    <row r="603">
      <c r="A603" s="41" t="b">
        <f>IFERROR(__xludf.DUMMYFUNCTION("""COMPUTED_VALUE"""),TRUE)</f>
        <v>1</v>
      </c>
      <c r="B603" s="41" t="str">
        <f>IFERROR(__xludf.DUMMYFUNCTION("""COMPUTED_VALUE"""),"RSC004630")</f>
        <v>RSC004630</v>
      </c>
      <c r="C603" s="41" t="str">
        <f>IFERROR(__xludf.DUMMYFUNCTION("""COMPUTED_VALUE"""),"Supe")</f>
        <v>Supe</v>
      </c>
      <c r="D603" s="41"/>
      <c r="E603" s="41">
        <f>IFERROR(__xludf.DUMMYFUNCTION("""COMPUTED_VALUE"""),0.0)</f>
        <v>0</v>
      </c>
      <c r="F603" s="41">
        <f>IFERROR(__xludf.DUMMYFUNCTION("""COMPUTED_VALUE"""),1620.0)</f>
        <v>1620</v>
      </c>
    </row>
    <row r="604">
      <c r="A604" s="41" t="b">
        <f>IFERROR(__xludf.DUMMYFUNCTION("""COMPUTED_VALUE"""),TRUE)</f>
        <v>1</v>
      </c>
      <c r="B604" s="41" t="str">
        <f>IFERROR(__xludf.DUMMYFUNCTION("""COMPUTED_VALUE"""),"RSC007486")</f>
        <v>RSC007486</v>
      </c>
      <c r="C604" s="41" t="str">
        <f>IFERROR(__xludf.DUMMYFUNCTION("""COMPUTED_VALUE"""),"kj")</f>
        <v>kj</v>
      </c>
      <c r="D604" s="41"/>
      <c r="E604" s="41">
        <f>IFERROR(__xludf.DUMMYFUNCTION("""COMPUTED_VALUE"""),0.0)</f>
        <v>0</v>
      </c>
      <c r="F604" s="41">
        <f>IFERROR(__xludf.DUMMYFUNCTION("""COMPUTED_VALUE"""),1540.0)</f>
        <v>1540</v>
      </c>
    </row>
    <row r="605">
      <c r="A605" s="41" t="b">
        <f>IFERROR(__xludf.DUMMYFUNCTION("""COMPUTED_VALUE"""),TRUE)</f>
        <v>1</v>
      </c>
      <c r="B605" s="41" t="str">
        <f>IFERROR(__xludf.DUMMYFUNCTION("""COMPUTED_VALUE"""),"RSC006441")</f>
        <v>RSC006441</v>
      </c>
      <c r="C605" s="41" t="str">
        <f>IFERROR(__xludf.DUMMYFUNCTION("""COMPUTED_VALUE"""),"Itchyramrod420TV")</f>
        <v>Itchyramrod420TV</v>
      </c>
      <c r="D605" s="41"/>
      <c r="E605" s="41">
        <f>IFERROR(__xludf.DUMMYFUNCTION("""COMPUTED_VALUE"""),0.0)</f>
        <v>0</v>
      </c>
      <c r="F605" s="41">
        <f>IFERROR(__xludf.DUMMYFUNCTION("""COMPUTED_VALUE"""),915.0)</f>
        <v>915</v>
      </c>
    </row>
    <row r="606">
      <c r="A606" s="41" t="b">
        <f>IFERROR(__xludf.DUMMYFUNCTION("""COMPUTED_VALUE"""),TRUE)</f>
        <v>1</v>
      </c>
      <c r="B606" s="41" t="str">
        <f>IFERROR(__xludf.DUMMYFUNCTION("""COMPUTED_VALUE"""),"RSC003008")</f>
        <v>RSC003008</v>
      </c>
      <c r="C606" s="41" t="str">
        <f>IFERROR(__xludf.DUMMYFUNCTION("""COMPUTED_VALUE"""),"GeneralZippy")</f>
        <v>GeneralZippy</v>
      </c>
      <c r="D606" s="41" t="str">
        <f>IFERROR(__xludf.DUMMYFUNCTION("""COMPUTED_VALUE"""),"Andromeda")</f>
        <v>Andromeda</v>
      </c>
      <c r="E606" s="41">
        <f>IFERROR(__xludf.DUMMYFUNCTION("""COMPUTED_VALUE"""),2.0)</f>
        <v>2</v>
      </c>
      <c r="F606" s="41">
        <f>IFERROR(__xludf.DUMMYFUNCTION("""COMPUTED_VALUE"""),1785.0)</f>
        <v>1785</v>
      </c>
    </row>
    <row r="607">
      <c r="A607" s="41" t="b">
        <f>IFERROR(__xludf.DUMMYFUNCTION("""COMPUTED_VALUE"""),TRUE)</f>
        <v>1</v>
      </c>
      <c r="B607" s="41" t="str">
        <f>IFERROR(__xludf.DUMMYFUNCTION("""COMPUTED_VALUE"""),"RSC007271")</f>
        <v>RSC007271</v>
      </c>
      <c r="C607" s="41" t="str">
        <f>IFERROR(__xludf.DUMMYFUNCTION("""COMPUTED_VALUE"""),"Unc Darth")</f>
        <v>Unc Darth</v>
      </c>
      <c r="D607" s="41" t="str">
        <f>IFERROR(__xludf.DUMMYFUNCTION("""COMPUTED_VALUE"""),"Gold Hoarders")</f>
        <v>Gold Hoarders</v>
      </c>
      <c r="E607" s="41">
        <f>IFERROR(__xludf.DUMMYFUNCTION("""COMPUTED_VALUE"""),2.0)</f>
        <v>2</v>
      </c>
      <c r="F607" s="41">
        <f>IFERROR(__xludf.DUMMYFUNCTION("""COMPUTED_VALUE"""),1080.0)</f>
        <v>1080</v>
      </c>
    </row>
    <row r="608">
      <c r="A608" s="41" t="b">
        <f>IFERROR(__xludf.DUMMYFUNCTION("""COMPUTED_VALUE"""),TRUE)</f>
        <v>1</v>
      </c>
      <c r="B608" s="41" t="str">
        <f>IFERROR(__xludf.DUMMYFUNCTION("""COMPUTED_VALUE"""),"RSC007520")</f>
        <v>RSC007520</v>
      </c>
      <c r="C608" s="41" t="str">
        <f>IFERROR(__xludf.DUMMYFUNCTION("""COMPUTED_VALUE"""),"Blitzzzzz.")</f>
        <v>Blitzzzzz.</v>
      </c>
      <c r="D608" s="41" t="str">
        <f>IFERROR(__xludf.DUMMYFUNCTION("""COMPUTED_VALUE"""),"Hostile Takeover")</f>
        <v>Hostile Takeover</v>
      </c>
      <c r="E608" s="41">
        <f>IFERROR(__xludf.DUMMYFUNCTION("""COMPUTED_VALUE"""),2.0)</f>
        <v>2</v>
      </c>
      <c r="F608" s="41">
        <f>IFERROR(__xludf.DUMMYFUNCTION("""COMPUTED_VALUE"""),1060.0)</f>
        <v>1060</v>
      </c>
    </row>
    <row r="609">
      <c r="A609" s="41" t="b">
        <f>IFERROR(__xludf.DUMMYFUNCTION("""COMPUTED_VALUE"""),TRUE)</f>
        <v>1</v>
      </c>
      <c r="B609" s="41" t="str">
        <f>IFERROR(__xludf.DUMMYFUNCTION("""COMPUTED_VALUE"""),"RSC007518")</f>
        <v>RSC007518</v>
      </c>
      <c r="C609" s="41" t="str">
        <f>IFERROR(__xludf.DUMMYFUNCTION("""COMPUTED_VALUE"""),"LoneDrifter.")</f>
        <v>LoneDrifter.</v>
      </c>
      <c r="D609" s="41" t="str">
        <f>IFERROR(__xludf.DUMMYFUNCTION("""COMPUTED_VALUE"""),"Scribes")</f>
        <v>Scribes</v>
      </c>
      <c r="E609" s="41">
        <f>IFERROR(__xludf.DUMMYFUNCTION("""COMPUTED_VALUE"""),1.0)</f>
        <v>1</v>
      </c>
      <c r="F609" s="41">
        <f>IFERROR(__xludf.DUMMYFUNCTION("""COMPUTED_VALUE"""),1215.0)</f>
        <v>1215</v>
      </c>
    </row>
    <row r="610">
      <c r="A610" s="41" t="b">
        <f>IFERROR(__xludf.DUMMYFUNCTION("""COMPUTED_VALUE"""),TRUE)</f>
        <v>1</v>
      </c>
      <c r="B610" s="41" t="str">
        <f>IFERROR(__xludf.DUMMYFUNCTION("""COMPUTED_VALUE"""),"RSC007514")</f>
        <v>RSC007514</v>
      </c>
      <c r="C610" s="41" t="str">
        <f>IFERROR(__xludf.DUMMYFUNCTION("""COMPUTED_VALUE"""),"Sauce_Boss_36")</f>
        <v>Sauce_Boss_36</v>
      </c>
      <c r="D610" s="41" t="str">
        <f>IFERROR(__xludf.DUMMYFUNCTION("""COMPUTED_VALUE"""),"Dragon")</f>
        <v>Dragon</v>
      </c>
      <c r="E610" s="41">
        <f>IFERROR(__xludf.DUMMYFUNCTION("""COMPUTED_VALUE"""),1.0)</f>
        <v>1</v>
      </c>
      <c r="F610" s="41">
        <f>IFERROR(__xludf.DUMMYFUNCTION("""COMPUTED_VALUE"""),1535.0)</f>
        <v>1535</v>
      </c>
    </row>
    <row r="611">
      <c r="A611" s="41" t="b">
        <f>IFERROR(__xludf.DUMMYFUNCTION("""COMPUTED_VALUE"""),TRUE)</f>
        <v>1</v>
      </c>
      <c r="B611" s="41" t="str">
        <f>IFERROR(__xludf.DUMMYFUNCTION("""COMPUTED_VALUE"""),"RSC005300")</f>
        <v>RSC005300</v>
      </c>
      <c r="C611" s="41" t="str">
        <f>IFERROR(__xludf.DUMMYFUNCTION("""COMPUTED_VALUE"""),"Riko")</f>
        <v>Riko</v>
      </c>
      <c r="D611" s="41" t="str">
        <f>IFERROR(__xludf.DUMMYFUNCTION("""COMPUTED_VALUE"""),"Barracudas")</f>
        <v>Barracudas</v>
      </c>
      <c r="E611" s="41">
        <f>IFERROR(__xludf.DUMMYFUNCTION("""COMPUTED_VALUE"""),2.0)</f>
        <v>2</v>
      </c>
      <c r="F611" s="41">
        <f>IFERROR(__xludf.DUMMYFUNCTION("""COMPUTED_VALUE"""),1365.0)</f>
        <v>1365</v>
      </c>
    </row>
    <row r="612">
      <c r="A612" s="41" t="b">
        <f>IFERROR(__xludf.DUMMYFUNCTION("""COMPUTED_VALUE"""),TRUE)</f>
        <v>1</v>
      </c>
      <c r="B612" s="41" t="str">
        <f>IFERROR(__xludf.DUMMYFUNCTION("""COMPUTED_VALUE"""),"RSC007501")</f>
        <v>RSC007501</v>
      </c>
      <c r="C612" s="41" t="str">
        <f>IFERROR(__xludf.DUMMYFUNCTION("""COMPUTED_VALUE"""),"RAW MUSHROOMS")</f>
        <v>RAW MUSHROOMS</v>
      </c>
      <c r="D612" s="41"/>
      <c r="E612" s="41">
        <f>IFERROR(__xludf.DUMMYFUNCTION("""COMPUTED_VALUE"""),0.0)</f>
        <v>0</v>
      </c>
      <c r="F612" s="41">
        <f>IFERROR(__xludf.DUMMYFUNCTION("""COMPUTED_VALUE"""),1455.0)</f>
        <v>1455</v>
      </c>
    </row>
    <row r="613">
      <c r="A613" s="41" t="b">
        <f>IFERROR(__xludf.DUMMYFUNCTION("""COMPUTED_VALUE"""),TRUE)</f>
        <v>1</v>
      </c>
      <c r="B613" s="41" t="str">
        <f>IFERROR(__xludf.DUMMYFUNCTION("""COMPUTED_VALUE"""),"RSC007515")</f>
        <v>RSC007515</v>
      </c>
      <c r="C613" s="41" t="str">
        <f>IFERROR(__xludf.DUMMYFUNCTION("""COMPUTED_VALUE"""),"superstrikzz")</f>
        <v>superstrikzz</v>
      </c>
      <c r="D613" s="41" t="str">
        <f>IFERROR(__xludf.DUMMYFUNCTION("""COMPUTED_VALUE"""),"Principales")</f>
        <v>Principales</v>
      </c>
      <c r="E613" s="41">
        <f>IFERROR(__xludf.DUMMYFUNCTION("""COMPUTED_VALUE"""),1.0)</f>
        <v>1</v>
      </c>
      <c r="F613" s="41">
        <f>IFERROR(__xludf.DUMMYFUNCTION("""COMPUTED_VALUE"""),1070.0)</f>
        <v>1070</v>
      </c>
    </row>
    <row r="614">
      <c r="A614" s="41" t="b">
        <f>IFERROR(__xludf.DUMMYFUNCTION("""COMPUTED_VALUE"""),TRUE)</f>
        <v>1</v>
      </c>
      <c r="B614" s="41" t="str">
        <f>IFERROR(__xludf.DUMMYFUNCTION("""COMPUTED_VALUE"""),"RSC007502")</f>
        <v>RSC007502</v>
      </c>
      <c r="C614" s="41" t="str">
        <f>IFERROR(__xludf.DUMMYFUNCTION("""COMPUTED_VALUE"""),"Cr1m5on_RL")</f>
        <v>Cr1m5on_RL</v>
      </c>
      <c r="D614" s="41" t="str">
        <f>IFERROR(__xludf.DUMMYFUNCTION("""COMPUTED_VALUE"""),"Metal")</f>
        <v>Metal</v>
      </c>
      <c r="E614" s="41">
        <f>IFERROR(__xludf.DUMMYFUNCTION("""COMPUTED_VALUE"""),2.0)</f>
        <v>2</v>
      </c>
      <c r="F614" s="41">
        <f>IFERROR(__xludf.DUMMYFUNCTION("""COMPUTED_VALUE"""),1175.0)</f>
        <v>1175</v>
      </c>
    </row>
    <row r="615">
      <c r="A615" s="41" t="b">
        <f>IFERROR(__xludf.DUMMYFUNCTION("""COMPUTED_VALUE"""),TRUE)</f>
        <v>1</v>
      </c>
      <c r="B615" s="41" t="str">
        <f>IFERROR(__xludf.DUMMYFUNCTION("""COMPUTED_VALUE"""),"RSC007512")</f>
        <v>RSC007512</v>
      </c>
      <c r="C615" s="41" t="str">
        <f>IFERROR(__xludf.DUMMYFUNCTION("""COMPUTED_VALUE"""),"BigGreenRL")</f>
        <v>BigGreenRL</v>
      </c>
      <c r="D615" s="41" t="str">
        <f>IFERROR(__xludf.DUMMYFUNCTION("""COMPUTED_VALUE"""),"Mosaic Maestros")</f>
        <v>Mosaic Maestros</v>
      </c>
      <c r="E615" s="41">
        <f>IFERROR(__xludf.DUMMYFUNCTION("""COMPUTED_VALUE"""),2.0)</f>
        <v>2</v>
      </c>
      <c r="F615" s="41">
        <f>IFERROR(__xludf.DUMMYFUNCTION("""COMPUTED_VALUE"""),1465.0)</f>
        <v>1465</v>
      </c>
    </row>
    <row r="616">
      <c r="A616" s="41" t="b">
        <f>IFERROR(__xludf.DUMMYFUNCTION("""COMPUTED_VALUE"""),TRUE)</f>
        <v>1</v>
      </c>
      <c r="B616" s="41" t="str">
        <f>IFERROR(__xludf.DUMMYFUNCTION("""COMPUTED_VALUE"""),"RSC003561")</f>
        <v>RSC003561</v>
      </c>
      <c r="C616" s="41" t="str">
        <f>IFERROR(__xludf.DUMMYFUNCTION("""COMPUTED_VALUE"""),"Dooober")</f>
        <v>Dooober</v>
      </c>
      <c r="D616" s="41" t="str">
        <f>IFERROR(__xludf.DUMMYFUNCTION("""COMPUTED_VALUE"""),"Raptors")</f>
        <v>Raptors</v>
      </c>
      <c r="E616" s="41">
        <f>IFERROR(__xludf.DUMMYFUNCTION("""COMPUTED_VALUE"""),2.0)</f>
        <v>2</v>
      </c>
      <c r="F616" s="41">
        <f>IFERROR(__xludf.DUMMYFUNCTION("""COMPUTED_VALUE"""),1605.0)</f>
        <v>1605</v>
      </c>
    </row>
    <row r="617">
      <c r="A617" s="41" t="b">
        <f>IFERROR(__xludf.DUMMYFUNCTION("""COMPUTED_VALUE"""),TRUE)</f>
        <v>1</v>
      </c>
      <c r="B617" s="41" t="str">
        <f>IFERROR(__xludf.DUMMYFUNCTION("""COMPUTED_VALUE"""),"RSC007549")</f>
        <v>RSC007549</v>
      </c>
      <c r="C617" s="41" t="str">
        <f>IFERROR(__xludf.DUMMYFUNCTION("""COMPUTED_VALUE"""),"Whiffy_RL")</f>
        <v>Whiffy_RL</v>
      </c>
      <c r="D617" s="41" t="str">
        <f>IFERROR(__xludf.DUMMYFUNCTION("""COMPUTED_VALUE"""),"Scramjets")</f>
        <v>Scramjets</v>
      </c>
      <c r="E617" s="41">
        <f>IFERROR(__xludf.DUMMYFUNCTION("""COMPUTED_VALUE"""),2.0)</f>
        <v>2</v>
      </c>
      <c r="F617" s="41">
        <f>IFERROR(__xludf.DUMMYFUNCTION("""COMPUTED_VALUE"""),1240.0)</f>
        <v>1240</v>
      </c>
    </row>
    <row r="618">
      <c r="A618" s="41" t="b">
        <f>IFERROR(__xludf.DUMMYFUNCTION("""COMPUTED_VALUE"""),TRUE)</f>
        <v>1</v>
      </c>
      <c r="B618" s="41" t="str">
        <f>IFERROR(__xludf.DUMMYFUNCTION("""COMPUTED_VALUE"""),"RSC007590")</f>
        <v>RSC007590</v>
      </c>
      <c r="C618" s="41" t="str">
        <f>IFERROR(__xludf.DUMMYFUNCTION("""COMPUTED_VALUE"""),"DonkeyPancakes2")</f>
        <v>DonkeyPancakes2</v>
      </c>
      <c r="D618" s="41" t="str">
        <f>IFERROR(__xludf.DUMMYFUNCTION("""COMPUTED_VALUE"""),"Hippos")</f>
        <v>Hippos</v>
      </c>
      <c r="E618" s="41">
        <f>IFERROR(__xludf.DUMMYFUNCTION("""COMPUTED_VALUE"""),1.0)</f>
        <v>1</v>
      </c>
      <c r="F618" s="41">
        <f>IFERROR(__xludf.DUMMYFUNCTION("""COMPUTED_VALUE"""),1265.0)</f>
        <v>1265</v>
      </c>
    </row>
    <row r="619">
      <c r="A619" s="41" t="b">
        <f>IFERROR(__xludf.DUMMYFUNCTION("""COMPUTED_VALUE"""),TRUE)</f>
        <v>1</v>
      </c>
      <c r="B619" s="41" t="str">
        <f>IFERROR(__xludf.DUMMYFUNCTION("""COMPUTED_VALUE"""),"RSC006753")</f>
        <v>RSC006753</v>
      </c>
      <c r="C619" s="41" t="str">
        <f>IFERROR(__xludf.DUMMYFUNCTION("""COMPUTED_VALUE"""),"wakinguptomoney.")</f>
        <v>wakinguptomoney.</v>
      </c>
      <c r="D619" s="41"/>
      <c r="E619" s="41">
        <f>IFERROR(__xludf.DUMMYFUNCTION("""COMPUTED_VALUE"""),0.0)</f>
        <v>0</v>
      </c>
      <c r="F619" s="41">
        <f>IFERROR(__xludf.DUMMYFUNCTION("""COMPUTED_VALUE"""),1340.0)</f>
        <v>1340</v>
      </c>
    </row>
    <row r="620">
      <c r="A620" s="41" t="b">
        <f>IFERROR(__xludf.DUMMYFUNCTION("""COMPUTED_VALUE"""),TRUE)</f>
        <v>1</v>
      </c>
      <c r="B620" s="41" t="str">
        <f>IFERROR(__xludf.DUMMYFUNCTION("""COMPUTED_VALUE"""),"RSC002620")</f>
        <v>RSC002620</v>
      </c>
      <c r="C620" s="41" t="str">
        <f>IFERROR(__xludf.DUMMYFUNCTION("""COMPUTED_VALUE"""),"Instnt")</f>
        <v>Instnt</v>
      </c>
      <c r="D620" s="41"/>
      <c r="E620" s="41">
        <f>IFERROR(__xludf.DUMMYFUNCTION("""COMPUTED_VALUE"""),0.0)</f>
        <v>0</v>
      </c>
      <c r="F620" s="41">
        <f>IFERROR(__xludf.DUMMYFUNCTION("""COMPUTED_VALUE"""),1700.0)</f>
        <v>1700</v>
      </c>
    </row>
    <row r="621">
      <c r="A621" s="41" t="b">
        <f>IFERROR(__xludf.DUMMYFUNCTION("""COMPUTED_VALUE"""),TRUE)</f>
        <v>1</v>
      </c>
      <c r="B621" s="41" t="str">
        <f>IFERROR(__xludf.DUMMYFUNCTION("""COMPUTED_VALUE"""),"RSC006375")</f>
        <v>RSC006375</v>
      </c>
      <c r="C621" s="41" t="str">
        <f>IFERROR(__xludf.DUMMYFUNCTION("""COMPUTED_VALUE"""),"Rich-Rollin6060")</f>
        <v>Rich-Rollin6060</v>
      </c>
      <c r="D621" s="41" t="str">
        <f>IFERROR(__xludf.DUMMYFUNCTION("""COMPUTED_VALUE"""),"Garlic Knots")</f>
        <v>Garlic Knots</v>
      </c>
      <c r="E621" s="41">
        <f>IFERROR(__xludf.DUMMYFUNCTION("""COMPUTED_VALUE"""),2.0)</f>
        <v>2</v>
      </c>
      <c r="F621" s="41">
        <f>IFERROR(__xludf.DUMMYFUNCTION("""COMPUTED_VALUE"""),870.0)</f>
        <v>870</v>
      </c>
    </row>
    <row r="622">
      <c r="A622" s="41" t="b">
        <f>IFERROR(__xludf.DUMMYFUNCTION("""COMPUTED_VALUE"""),TRUE)</f>
        <v>1</v>
      </c>
      <c r="B622" s="41" t="str">
        <f>IFERROR(__xludf.DUMMYFUNCTION("""COMPUTED_VALUE"""),"RSC005515")</f>
        <v>RSC005515</v>
      </c>
      <c r="C622" s="41" t="str">
        <f>IFERROR(__xludf.DUMMYFUNCTION("""COMPUTED_VALUE"""),"BaronTac0")</f>
        <v>BaronTac0</v>
      </c>
      <c r="D622" s="41" t="str">
        <f>IFERROR(__xludf.DUMMYFUNCTION("""COMPUTED_VALUE"""),"Embezzlers")</f>
        <v>Embezzlers</v>
      </c>
      <c r="E622" s="41">
        <f>IFERROR(__xludf.DUMMYFUNCTION("""COMPUTED_VALUE"""),2.0)</f>
        <v>2</v>
      </c>
      <c r="F622" s="41">
        <f>IFERROR(__xludf.DUMMYFUNCTION("""COMPUTED_VALUE"""),1650.0)</f>
        <v>1650</v>
      </c>
    </row>
    <row r="623">
      <c r="A623" s="41" t="b">
        <f>IFERROR(__xludf.DUMMYFUNCTION("""COMPUTED_VALUE"""),TRUE)</f>
        <v>1</v>
      </c>
      <c r="B623" s="41" t="str">
        <f>IFERROR(__xludf.DUMMYFUNCTION("""COMPUTED_VALUE"""),"RSC007537")</f>
        <v>RSC007537</v>
      </c>
      <c r="C623" s="41" t="str">
        <f>IFERROR(__xludf.DUMMYFUNCTION("""COMPUTED_VALUE"""),"yoshawatt")</f>
        <v>yoshawatt</v>
      </c>
      <c r="D623" s="41" t="str">
        <f>IFERROR(__xludf.DUMMYFUNCTION("""COMPUTED_VALUE"""),"Metal")</f>
        <v>Metal</v>
      </c>
      <c r="E623" s="41">
        <f>IFERROR(__xludf.DUMMYFUNCTION("""COMPUTED_VALUE"""),2.0)</f>
        <v>2</v>
      </c>
      <c r="F623" s="41">
        <f>IFERROR(__xludf.DUMMYFUNCTION("""COMPUTED_VALUE"""),1100.0)</f>
        <v>1100</v>
      </c>
    </row>
    <row r="624">
      <c r="A624" s="41" t="b">
        <f>IFERROR(__xludf.DUMMYFUNCTION("""COMPUTED_VALUE"""),TRUE)</f>
        <v>1</v>
      </c>
      <c r="B624" s="41" t="str">
        <f>IFERROR(__xludf.DUMMYFUNCTION("""COMPUTED_VALUE"""),"RSC007555")</f>
        <v>RSC007555</v>
      </c>
      <c r="C624" s="41" t="str">
        <f>IFERROR(__xludf.DUMMYFUNCTION("""COMPUTED_VALUE"""),"cjastr0-")</f>
        <v>cjastr0-</v>
      </c>
      <c r="D624" s="41" t="str">
        <f>IFERROR(__xludf.DUMMYFUNCTION("""COMPUTED_VALUE"""),"Gouda Gangsters")</f>
        <v>Gouda Gangsters</v>
      </c>
      <c r="E624" s="41">
        <f>IFERROR(__xludf.DUMMYFUNCTION("""COMPUTED_VALUE"""),1.0)</f>
        <v>1</v>
      </c>
      <c r="F624" s="41">
        <f>IFERROR(__xludf.DUMMYFUNCTION("""COMPUTED_VALUE"""),1385.0)</f>
        <v>1385</v>
      </c>
    </row>
    <row r="625">
      <c r="A625" s="41" t="b">
        <f>IFERROR(__xludf.DUMMYFUNCTION("""COMPUTED_VALUE"""),TRUE)</f>
        <v>1</v>
      </c>
      <c r="B625" s="41" t="str">
        <f>IFERROR(__xludf.DUMMYFUNCTION("""COMPUTED_VALUE"""),"RSC007525")</f>
        <v>RSC007525</v>
      </c>
      <c r="C625" s="41" t="str">
        <f>IFERROR(__xludf.DUMMYFUNCTION("""COMPUTED_VALUE"""),"BulletNote")</f>
        <v>BulletNote</v>
      </c>
      <c r="D625" s="41" t="str">
        <f>IFERROR(__xludf.DUMMYFUNCTION("""COMPUTED_VALUE"""),"Thunder Pups")</f>
        <v>Thunder Pups</v>
      </c>
      <c r="E625" s="41">
        <f>IFERROR(__xludf.DUMMYFUNCTION("""COMPUTED_VALUE"""),2.0)</f>
        <v>2</v>
      </c>
      <c r="F625" s="41">
        <f>IFERROR(__xludf.DUMMYFUNCTION("""COMPUTED_VALUE"""),1185.0)</f>
        <v>1185</v>
      </c>
    </row>
    <row r="626">
      <c r="A626" s="41" t="b">
        <f>IFERROR(__xludf.DUMMYFUNCTION("""COMPUTED_VALUE"""),TRUE)</f>
        <v>1</v>
      </c>
      <c r="B626" s="41" t="str">
        <f>IFERROR(__xludf.DUMMYFUNCTION("""COMPUTED_VALUE"""),"RSC005246")</f>
        <v>RSC005246</v>
      </c>
      <c r="C626" s="41" t="str">
        <f>IFERROR(__xludf.DUMMYFUNCTION("""COMPUTED_VALUE"""),"Irishhhh")</f>
        <v>Irishhhh</v>
      </c>
      <c r="D626" s="41" t="str">
        <f>IFERROR(__xludf.DUMMYFUNCTION("""COMPUTED_VALUE"""),"Mosaic Maestros")</f>
        <v>Mosaic Maestros</v>
      </c>
      <c r="E626" s="41">
        <f>IFERROR(__xludf.DUMMYFUNCTION("""COMPUTED_VALUE"""),1.0)</f>
        <v>1</v>
      </c>
      <c r="F626" s="41">
        <f>IFERROR(__xludf.DUMMYFUNCTION("""COMPUTED_VALUE"""),1495.0)</f>
        <v>1495</v>
      </c>
    </row>
    <row r="627">
      <c r="A627" s="41" t="b">
        <f>IFERROR(__xludf.DUMMYFUNCTION("""COMPUTED_VALUE"""),FALSE)</f>
        <v>0</v>
      </c>
      <c r="B627" s="41" t="str">
        <f>IFERROR(__xludf.DUMMYFUNCTION("""COMPUTED_VALUE"""),"RSC007545")</f>
        <v>RSC007545</v>
      </c>
      <c r="C627" s="41" t="str">
        <f>IFERROR(__xludf.DUMMYFUNCTION("""COMPUTED_VALUE"""),"the big yak")</f>
        <v>the big yak</v>
      </c>
      <c r="D627" s="41"/>
      <c r="E627" s="41">
        <f>IFERROR(__xludf.DUMMYFUNCTION("""COMPUTED_VALUE"""),0.0)</f>
        <v>0</v>
      </c>
      <c r="F627" s="41">
        <f>IFERROR(__xludf.DUMMYFUNCTION("""COMPUTED_VALUE"""),1555.0)</f>
        <v>1555</v>
      </c>
    </row>
    <row r="628">
      <c r="A628" s="41" t="b">
        <f>IFERROR(__xludf.DUMMYFUNCTION("""COMPUTED_VALUE"""),TRUE)</f>
        <v>1</v>
      </c>
      <c r="B628" s="41" t="str">
        <f>IFERROR(__xludf.DUMMYFUNCTION("""COMPUTED_VALUE"""),"RSC007560")</f>
        <v>RSC007560</v>
      </c>
      <c r="C628" s="41" t="str">
        <f>IFERROR(__xludf.DUMMYFUNCTION("""COMPUTED_VALUE"""),"ObiWan_Can_O_Bee")</f>
        <v>ObiWan_Can_O_Bee</v>
      </c>
      <c r="D628" s="41" t="str">
        <f>IFERROR(__xludf.DUMMYFUNCTION("""COMPUTED_VALUE"""),"Nightfall")</f>
        <v>Nightfall</v>
      </c>
      <c r="E628" s="41">
        <f>IFERROR(__xludf.DUMMYFUNCTION("""COMPUTED_VALUE"""),1.0)</f>
        <v>1</v>
      </c>
      <c r="F628" s="41">
        <f>IFERROR(__xludf.DUMMYFUNCTION("""COMPUTED_VALUE"""),1250.0)</f>
        <v>1250</v>
      </c>
    </row>
    <row r="629">
      <c r="A629" s="41" t="b">
        <f>IFERROR(__xludf.DUMMYFUNCTION("""COMPUTED_VALUE"""),TRUE)</f>
        <v>1</v>
      </c>
      <c r="B629" s="41" t="str">
        <f>IFERROR(__xludf.DUMMYFUNCTION("""COMPUTED_VALUE"""),"RSC007576")</f>
        <v>RSC007576</v>
      </c>
      <c r="C629" s="41" t="str">
        <f>IFERROR(__xludf.DUMMYFUNCTION("""COMPUTED_VALUE"""),"CxldHeartedJess")</f>
        <v>CxldHeartedJess</v>
      </c>
      <c r="D629" s="41" t="str">
        <f>IFERROR(__xludf.DUMMYFUNCTION("""COMPUTED_VALUE"""),"Dread")</f>
        <v>Dread</v>
      </c>
      <c r="E629" s="41">
        <f>IFERROR(__xludf.DUMMYFUNCTION("""COMPUTED_VALUE"""),0.0)</f>
        <v>0</v>
      </c>
      <c r="F629" s="41">
        <f>IFERROR(__xludf.DUMMYFUNCTION("""COMPUTED_VALUE"""),1415.0)</f>
        <v>1415</v>
      </c>
    </row>
    <row r="630">
      <c r="A630" s="41" t="b">
        <f>IFERROR(__xludf.DUMMYFUNCTION("""COMPUTED_VALUE"""),TRUE)</f>
        <v>1</v>
      </c>
      <c r="B630" s="41" t="str">
        <f>IFERROR(__xludf.DUMMYFUNCTION("""COMPUTED_VALUE"""),"RSC007587")</f>
        <v>RSC007587</v>
      </c>
      <c r="C630" s="41" t="str">
        <f>IFERROR(__xludf.DUMMYFUNCTION("""COMPUTED_VALUE"""),"ShortyoShire")</f>
        <v>ShortyoShire</v>
      </c>
      <c r="D630" s="41"/>
      <c r="E630" s="41">
        <f>IFERROR(__xludf.DUMMYFUNCTION("""COMPUTED_VALUE"""),0.0)</f>
        <v>0</v>
      </c>
      <c r="F630" s="41">
        <f>IFERROR(__xludf.DUMMYFUNCTION("""COMPUTED_VALUE"""),750.0)</f>
        <v>750</v>
      </c>
    </row>
    <row r="631">
      <c r="A631" s="41" t="b">
        <f>IFERROR(__xludf.DUMMYFUNCTION("""COMPUTED_VALUE"""),TRUE)</f>
        <v>1</v>
      </c>
      <c r="B631" s="41" t="str">
        <f>IFERROR(__xludf.DUMMYFUNCTION("""COMPUTED_VALUE"""),"RSC007558")</f>
        <v>RSC007558</v>
      </c>
      <c r="C631" s="41" t="str">
        <f>IFERROR(__xludf.DUMMYFUNCTION("""COMPUTED_VALUE"""),"Frijole")</f>
        <v>Frijole</v>
      </c>
      <c r="D631" s="41" t="str">
        <f>IFERROR(__xludf.DUMMYFUNCTION("""COMPUTED_VALUE"""),"Fromunda Frauds")</f>
        <v>Fromunda Frauds</v>
      </c>
      <c r="E631" s="41">
        <f>IFERROR(__xludf.DUMMYFUNCTION("""COMPUTED_VALUE"""),2.0)</f>
        <v>2</v>
      </c>
      <c r="F631" s="41">
        <f>IFERROR(__xludf.DUMMYFUNCTION("""COMPUTED_VALUE"""),1755.0)</f>
        <v>1755</v>
      </c>
    </row>
    <row r="632">
      <c r="A632" s="41" t="b">
        <f>IFERROR(__xludf.DUMMYFUNCTION("""COMPUTED_VALUE"""),TRUE)</f>
        <v>1</v>
      </c>
      <c r="B632" s="41" t="str">
        <f>IFERROR(__xludf.DUMMYFUNCTION("""COMPUTED_VALUE"""),"RSC007568")</f>
        <v>RSC007568</v>
      </c>
      <c r="C632" s="41" t="str">
        <f>IFERROR(__xludf.DUMMYFUNCTION("""COMPUTED_VALUE"""),"Chills1912")</f>
        <v>Chills1912</v>
      </c>
      <c r="D632" s="41" t="str">
        <f>IFERROR(__xludf.DUMMYFUNCTION("""COMPUTED_VALUE"""),"Void")</f>
        <v>Void</v>
      </c>
      <c r="E632" s="41">
        <f>IFERROR(__xludf.DUMMYFUNCTION("""COMPUTED_VALUE"""),2.0)</f>
        <v>2</v>
      </c>
      <c r="F632" s="41">
        <f>IFERROR(__xludf.DUMMYFUNCTION("""COMPUTED_VALUE"""),1170.0)</f>
        <v>1170</v>
      </c>
    </row>
    <row r="633">
      <c r="A633" s="41" t="b">
        <f>IFERROR(__xludf.DUMMYFUNCTION("""COMPUTED_VALUE"""),TRUE)</f>
        <v>1</v>
      </c>
      <c r="B633" s="41" t="str">
        <f>IFERROR(__xludf.DUMMYFUNCTION("""COMPUTED_VALUE"""),"RSC007571")</f>
        <v>RSC007571</v>
      </c>
      <c r="C633" s="41" t="str">
        <f>IFERROR(__xludf.DUMMYFUNCTION("""COMPUTED_VALUE"""),"StephM2_")</f>
        <v>StephM2_</v>
      </c>
      <c r="D633" s="41" t="str">
        <f>IFERROR(__xludf.DUMMYFUNCTION("""COMPUTED_VALUE"""),"Garlic Knots")</f>
        <v>Garlic Knots</v>
      </c>
      <c r="E633" s="41">
        <f>IFERROR(__xludf.DUMMYFUNCTION("""COMPUTED_VALUE"""),1.0)</f>
        <v>1</v>
      </c>
      <c r="F633" s="41">
        <f>IFERROR(__xludf.DUMMYFUNCTION("""COMPUTED_VALUE"""),955.0)</f>
        <v>955</v>
      </c>
    </row>
    <row r="634">
      <c r="A634" s="41" t="b">
        <f>IFERROR(__xludf.DUMMYFUNCTION("""COMPUTED_VALUE"""),FALSE)</f>
        <v>0</v>
      </c>
      <c r="B634" s="41" t="str">
        <f>IFERROR(__xludf.DUMMYFUNCTION("""COMPUTED_VALUE"""),"RSC007559")</f>
        <v>RSC007559</v>
      </c>
      <c r="C634" s="41" t="str">
        <f>IFERROR(__xludf.DUMMYFUNCTION("""COMPUTED_VALUE"""),"sean k.")</f>
        <v>sean k.</v>
      </c>
      <c r="D634" s="41"/>
      <c r="E634" s="41">
        <f>IFERROR(__xludf.DUMMYFUNCTION("""COMPUTED_VALUE"""),1.0)</f>
        <v>1</v>
      </c>
      <c r="F634" s="41">
        <f>IFERROR(__xludf.DUMMYFUNCTION("""COMPUTED_VALUE"""),1800.0)</f>
        <v>1800</v>
      </c>
    </row>
    <row r="635">
      <c r="A635" s="41" t="b">
        <f>IFERROR(__xludf.DUMMYFUNCTION("""COMPUTED_VALUE"""),TRUE)</f>
        <v>1</v>
      </c>
      <c r="B635" s="41" t="str">
        <f>IFERROR(__xludf.DUMMYFUNCTION("""COMPUTED_VALUE"""),"RSC007573")</f>
        <v>RSC007573</v>
      </c>
      <c r="C635" s="41" t="str">
        <f>IFERROR(__xludf.DUMMYFUNCTION("""COMPUTED_VALUE"""),"zag_42")</f>
        <v>zag_42</v>
      </c>
      <c r="D635" s="41" t="str">
        <f>IFERROR(__xludf.DUMMYFUNCTION("""COMPUTED_VALUE"""),"Garlic Knots")</f>
        <v>Garlic Knots</v>
      </c>
      <c r="E635" s="41">
        <f>IFERROR(__xludf.DUMMYFUNCTION("""COMPUTED_VALUE"""),1.0)</f>
        <v>1</v>
      </c>
      <c r="F635" s="41">
        <f>IFERROR(__xludf.DUMMYFUNCTION("""COMPUTED_VALUE"""),820.0)</f>
        <v>820</v>
      </c>
    </row>
    <row r="636">
      <c r="A636" s="41" t="b">
        <f>IFERROR(__xludf.DUMMYFUNCTION("""COMPUTED_VALUE"""),TRUE)</f>
        <v>1</v>
      </c>
      <c r="B636" s="41" t="str">
        <f>IFERROR(__xludf.DUMMYFUNCTION("""COMPUTED_VALUE"""),"RSC007594")</f>
        <v>RSC007594</v>
      </c>
      <c r="C636" s="41" t="str">
        <f>IFERROR(__xludf.DUMMYFUNCTION("""COMPUTED_VALUE"""),"Notbeanrl")</f>
        <v>Notbeanrl</v>
      </c>
      <c r="D636" s="41" t="str">
        <f>IFERROR(__xludf.DUMMYFUNCTION("""COMPUTED_VALUE"""),"Blacksmiths")</f>
        <v>Blacksmiths</v>
      </c>
      <c r="E636" s="41">
        <f>IFERROR(__xludf.DUMMYFUNCTION("""COMPUTED_VALUE"""),1.0)</f>
        <v>1</v>
      </c>
      <c r="F636" s="41">
        <f>IFERROR(__xludf.DUMMYFUNCTION("""COMPUTED_VALUE"""),1505.0)</f>
        <v>1505</v>
      </c>
    </row>
    <row r="637">
      <c r="A637" s="41" t="b">
        <f>IFERROR(__xludf.DUMMYFUNCTION("""COMPUTED_VALUE"""),FALSE)</f>
        <v>0</v>
      </c>
      <c r="B637" s="41" t="str">
        <f>IFERROR(__xludf.DUMMYFUNCTION("""COMPUTED_VALUE"""),"RSC008407")</f>
        <v>RSC008407</v>
      </c>
      <c r="C637" s="41" t="str">
        <f>IFERROR(__xludf.DUMMYFUNCTION("""COMPUTED_VALUE"""),"Gold 2 maybe 3")</f>
        <v>Gold 2 maybe 3</v>
      </c>
      <c r="D637" s="41"/>
      <c r="E637" s="41">
        <f>IFERROR(__xludf.DUMMYFUNCTION("""COMPUTED_VALUE"""),0.0)</f>
        <v>0</v>
      </c>
      <c r="F637" s="41">
        <f>IFERROR(__xludf.DUMMYFUNCTION("""COMPUTED_VALUE"""),600.0)</f>
        <v>600</v>
      </c>
    </row>
    <row r="638">
      <c r="A638" s="41" t="b">
        <f>IFERROR(__xludf.DUMMYFUNCTION("""COMPUTED_VALUE"""),TRUE)</f>
        <v>1</v>
      </c>
      <c r="B638" s="41" t="str">
        <f>IFERROR(__xludf.DUMMYFUNCTION("""COMPUTED_VALUE"""),"RSC007562")</f>
        <v>RSC007562</v>
      </c>
      <c r="C638" s="41" t="str">
        <f>IFERROR(__xludf.DUMMYFUNCTION("""COMPUTED_VALUE"""),"th3lofty")</f>
        <v>th3lofty</v>
      </c>
      <c r="D638" s="41"/>
      <c r="E638" s="41">
        <f>IFERROR(__xludf.DUMMYFUNCTION("""COMPUTED_VALUE"""),0.0)</f>
        <v>0</v>
      </c>
      <c r="F638" s="41">
        <f>IFERROR(__xludf.DUMMYFUNCTION("""COMPUTED_VALUE"""),1045.0)</f>
        <v>1045</v>
      </c>
    </row>
    <row r="639">
      <c r="A639" s="41" t="b">
        <f>IFERROR(__xludf.DUMMYFUNCTION("""COMPUTED_VALUE"""),FALSE)</f>
        <v>0</v>
      </c>
      <c r="B639" s="41" t="str">
        <f>IFERROR(__xludf.DUMMYFUNCTION("""COMPUTED_VALUE"""),"RSC007981")</f>
        <v>RSC007981</v>
      </c>
      <c r="C639" s="41" t="str">
        <f>IFERROR(__xludf.DUMMYFUNCTION("""COMPUTED_VALUE"""),"DoVa_GG")</f>
        <v>DoVa_GG</v>
      </c>
      <c r="D639" s="41"/>
      <c r="E639" s="41">
        <f>IFERROR(__xludf.DUMMYFUNCTION("""COMPUTED_VALUE"""),0.0)</f>
        <v>0</v>
      </c>
      <c r="F639" s="41">
        <f>IFERROR(__xludf.DUMMYFUNCTION("""COMPUTED_VALUE"""),600.0)</f>
        <v>600</v>
      </c>
    </row>
    <row r="640">
      <c r="A640" s="41" t="b">
        <f>IFERROR(__xludf.DUMMYFUNCTION("""COMPUTED_VALUE"""),TRUE)</f>
        <v>1</v>
      </c>
      <c r="B640" s="41" t="str">
        <f>IFERROR(__xludf.DUMMYFUNCTION("""COMPUTED_VALUE"""),"RSC003721")</f>
        <v>RSC003721</v>
      </c>
      <c r="C640" s="41" t="str">
        <f>IFERROR(__xludf.DUMMYFUNCTION("""COMPUTED_VALUE"""),"Kyurmex.")</f>
        <v>Kyurmex.</v>
      </c>
      <c r="D640" s="41"/>
      <c r="E640" s="41">
        <f>IFERROR(__xludf.DUMMYFUNCTION("""COMPUTED_VALUE"""),0.0)</f>
        <v>0</v>
      </c>
      <c r="F640" s="41">
        <f>IFERROR(__xludf.DUMMYFUNCTION("""COMPUTED_VALUE"""),1865.0)</f>
        <v>1865</v>
      </c>
    </row>
    <row r="641">
      <c r="A641" s="41" t="b">
        <f>IFERROR(__xludf.DUMMYFUNCTION("""COMPUTED_VALUE"""),TRUE)</f>
        <v>1</v>
      </c>
      <c r="B641" s="41" t="str">
        <f>IFERROR(__xludf.DUMMYFUNCTION("""COMPUTED_VALUE"""),"RSC007604")</f>
        <v>RSC007604</v>
      </c>
      <c r="C641" s="41" t="str">
        <f>IFERROR(__xludf.DUMMYFUNCTION("""COMPUTED_VALUE"""),"RiisenJT")</f>
        <v>RiisenJT</v>
      </c>
      <c r="D641" s="41"/>
      <c r="E641" s="41">
        <f>IFERROR(__xludf.DUMMYFUNCTION("""COMPUTED_VALUE"""),0.0)</f>
        <v>0</v>
      </c>
      <c r="F641" s="41">
        <f>IFERROR(__xludf.DUMMYFUNCTION("""COMPUTED_VALUE"""),1280.0)</f>
        <v>1280</v>
      </c>
    </row>
    <row r="642">
      <c r="A642" s="41" t="b">
        <f>IFERROR(__xludf.DUMMYFUNCTION("""COMPUTED_VALUE"""),TRUE)</f>
        <v>1</v>
      </c>
      <c r="B642" s="41" t="str">
        <f>IFERROR(__xludf.DUMMYFUNCTION("""COMPUTED_VALUE"""),"RSC007624")</f>
        <v>RSC007624</v>
      </c>
      <c r="C642" s="41" t="str">
        <f>IFERROR(__xludf.DUMMYFUNCTION("""COMPUTED_VALUE"""),"Extended")</f>
        <v>Extended</v>
      </c>
      <c r="D642" s="41" t="str">
        <f>IFERROR(__xludf.DUMMYFUNCTION("""COMPUTED_VALUE"""),"Primo")</f>
        <v>Primo</v>
      </c>
      <c r="E642" s="41">
        <f>IFERROR(__xludf.DUMMYFUNCTION("""COMPUTED_VALUE"""),2.0)</f>
        <v>2</v>
      </c>
      <c r="F642" s="41">
        <f>IFERROR(__xludf.DUMMYFUNCTION("""COMPUTED_VALUE"""),1305.0)</f>
        <v>1305</v>
      </c>
    </row>
    <row r="643">
      <c r="A643" s="41" t="b">
        <f>IFERROR(__xludf.DUMMYFUNCTION("""COMPUTED_VALUE"""),TRUE)</f>
        <v>1</v>
      </c>
      <c r="B643" s="41" t="str">
        <f>IFERROR(__xludf.DUMMYFUNCTION("""COMPUTED_VALUE"""),"RSC007618")</f>
        <v>RSC007618</v>
      </c>
      <c r="C643" s="41" t="str">
        <f>IFERROR(__xludf.DUMMYFUNCTION("""COMPUTED_VALUE"""),"Robbie")</f>
        <v>Robbie</v>
      </c>
      <c r="D643" s="41" t="str">
        <f>IFERROR(__xludf.DUMMYFUNCTION("""COMPUTED_VALUE"""),"Blacksmiths")</f>
        <v>Blacksmiths</v>
      </c>
      <c r="E643" s="41">
        <f>IFERROR(__xludf.DUMMYFUNCTION("""COMPUTED_VALUE"""),1.0)</f>
        <v>1</v>
      </c>
      <c r="F643" s="41">
        <f>IFERROR(__xludf.DUMMYFUNCTION("""COMPUTED_VALUE"""),1490.0)</f>
        <v>1490</v>
      </c>
    </row>
    <row r="644">
      <c r="A644" s="41" t="b">
        <f>IFERROR(__xludf.DUMMYFUNCTION("""COMPUTED_VALUE"""),TRUE)</f>
        <v>1</v>
      </c>
      <c r="B644" s="41" t="str">
        <f>IFERROR(__xludf.DUMMYFUNCTION("""COMPUTED_VALUE"""),"RSC007625")</f>
        <v>RSC007625</v>
      </c>
      <c r="C644" s="41" t="str">
        <f>IFERROR(__xludf.DUMMYFUNCTION("""COMPUTED_VALUE"""),"assassin_funny.")</f>
        <v>assassin_funny.</v>
      </c>
      <c r="D644" s="41" t="str">
        <f>IFERROR(__xludf.DUMMYFUNCTION("""COMPUTED_VALUE"""),"Wind")</f>
        <v>Wind</v>
      </c>
      <c r="E644" s="41">
        <f>IFERROR(__xludf.DUMMYFUNCTION("""COMPUTED_VALUE"""),2.0)</f>
        <v>2</v>
      </c>
      <c r="F644" s="41">
        <f>IFERROR(__xludf.DUMMYFUNCTION("""COMPUTED_VALUE"""),1380.0)</f>
        <v>1380</v>
      </c>
    </row>
    <row r="645">
      <c r="A645" s="41" t="b">
        <f>IFERROR(__xludf.DUMMYFUNCTION("""COMPUTED_VALUE"""),TRUE)</f>
        <v>1</v>
      </c>
      <c r="B645" s="41" t="str">
        <f>IFERROR(__xludf.DUMMYFUNCTION("""COMPUTED_VALUE"""),"RSC007630")</f>
        <v>RSC007630</v>
      </c>
      <c r="C645" s="41" t="str">
        <f>IFERROR(__xludf.DUMMYFUNCTION("""COMPUTED_VALUE"""),"Grey")</f>
        <v>Grey</v>
      </c>
      <c r="D645" s="41"/>
      <c r="E645" s="41">
        <f>IFERROR(__xludf.DUMMYFUNCTION("""COMPUTED_VALUE"""),0.0)</f>
        <v>0</v>
      </c>
      <c r="F645" s="41">
        <f>IFERROR(__xludf.DUMMYFUNCTION("""COMPUTED_VALUE"""),1010.0)</f>
        <v>1010</v>
      </c>
    </row>
    <row r="646">
      <c r="A646" s="41" t="b">
        <f>IFERROR(__xludf.DUMMYFUNCTION("""COMPUTED_VALUE"""),TRUE)</f>
        <v>1</v>
      </c>
      <c r="B646" s="41" t="str">
        <f>IFERROR(__xludf.DUMMYFUNCTION("""COMPUTED_VALUE"""),"RSC007613")</f>
        <v>RSC007613</v>
      </c>
      <c r="C646" s="41" t="str">
        <f>IFERROR(__xludf.DUMMYFUNCTION("""COMPUTED_VALUE"""),"Squatch70")</f>
        <v>Squatch70</v>
      </c>
      <c r="D646" s="41" t="str">
        <f>IFERROR(__xludf.DUMMYFUNCTION("""COMPUTED_VALUE"""),"Howlers")</f>
        <v>Howlers</v>
      </c>
      <c r="E646" s="41">
        <f>IFERROR(__xludf.DUMMYFUNCTION("""COMPUTED_VALUE"""),1.0)</f>
        <v>1</v>
      </c>
      <c r="F646" s="41">
        <f>IFERROR(__xludf.DUMMYFUNCTION("""COMPUTED_VALUE"""),1365.0)</f>
        <v>1365</v>
      </c>
    </row>
    <row r="647">
      <c r="A647" s="41" t="b">
        <f>IFERROR(__xludf.DUMMYFUNCTION("""COMPUTED_VALUE"""),TRUE)</f>
        <v>1</v>
      </c>
      <c r="B647" s="41" t="str">
        <f>IFERROR(__xludf.DUMMYFUNCTION("""COMPUTED_VALUE"""),"RSC000181")</f>
        <v>RSC000181</v>
      </c>
      <c r="C647" s="41" t="str">
        <f>IFERROR(__xludf.DUMMYFUNCTION("""COMPUTED_VALUE"""),"Eclipse")</f>
        <v>Eclipse</v>
      </c>
      <c r="D647" s="41" t="str">
        <f>IFERROR(__xludf.DUMMYFUNCTION("""COMPUTED_VALUE"""),"Gummy Bears")</f>
        <v>Gummy Bears</v>
      </c>
      <c r="E647" s="41">
        <f>IFERROR(__xludf.DUMMYFUNCTION("""COMPUTED_VALUE"""),1.0)</f>
        <v>1</v>
      </c>
      <c r="F647" s="41">
        <f>IFERROR(__xludf.DUMMYFUNCTION("""COMPUTED_VALUE"""),1875.0)</f>
        <v>1875</v>
      </c>
    </row>
    <row r="648">
      <c r="A648" s="41" t="b">
        <f>IFERROR(__xludf.DUMMYFUNCTION("""COMPUTED_VALUE"""),TRUE)</f>
        <v>1</v>
      </c>
      <c r="B648" s="41" t="str">
        <f>IFERROR(__xludf.DUMMYFUNCTION("""COMPUTED_VALUE"""),"RSC007600")</f>
        <v>RSC007600</v>
      </c>
      <c r="C648" s="41" t="str">
        <f>IFERROR(__xludf.DUMMYFUNCTION("""COMPUTED_VALUE"""),"CN Tyson")</f>
        <v>CN Tyson</v>
      </c>
      <c r="D648" s="41" t="str">
        <f>IFERROR(__xludf.DUMMYFUNCTION("""COMPUTED_VALUE"""),"Howlers")</f>
        <v>Howlers</v>
      </c>
      <c r="E648" s="41">
        <f>IFERROR(__xludf.DUMMYFUNCTION("""COMPUTED_VALUE"""),2.0)</f>
        <v>2</v>
      </c>
      <c r="F648" s="41">
        <f>IFERROR(__xludf.DUMMYFUNCTION("""COMPUTED_VALUE"""),1270.0)</f>
        <v>1270</v>
      </c>
    </row>
    <row r="649">
      <c r="A649" s="41" t="b">
        <f>IFERROR(__xludf.DUMMYFUNCTION("""COMPUTED_VALUE"""),TRUE)</f>
        <v>1</v>
      </c>
      <c r="B649" s="41" t="str">
        <f>IFERROR(__xludf.DUMMYFUNCTION("""COMPUTED_VALUE"""),"RSC007607")</f>
        <v>RSC007607</v>
      </c>
      <c r="C649" s="41" t="str">
        <f>IFERROR(__xludf.DUMMYFUNCTION("""COMPUTED_VALUE"""),"GameGang")</f>
        <v>GameGang</v>
      </c>
      <c r="D649" s="41" t="str">
        <f>IFERROR(__xludf.DUMMYFUNCTION("""COMPUTED_VALUE"""),"Raptors")</f>
        <v>Raptors</v>
      </c>
      <c r="E649" s="41">
        <f>IFERROR(__xludf.DUMMYFUNCTION("""COMPUTED_VALUE"""),2.0)</f>
        <v>2</v>
      </c>
      <c r="F649" s="41">
        <f>IFERROR(__xludf.DUMMYFUNCTION("""COMPUTED_VALUE"""),1535.0)</f>
        <v>1535</v>
      </c>
    </row>
    <row r="650">
      <c r="A650" s="41" t="b">
        <f>IFERROR(__xludf.DUMMYFUNCTION("""COMPUTED_VALUE"""),TRUE)</f>
        <v>1</v>
      </c>
      <c r="B650" s="41" t="str">
        <f>IFERROR(__xludf.DUMMYFUNCTION("""COMPUTED_VALUE"""),"RSC007610")</f>
        <v>RSC007610</v>
      </c>
      <c r="C650" s="41" t="str">
        <f>IFERROR(__xludf.DUMMYFUNCTION("""COMPUTED_VALUE"""),"Halibut907")</f>
        <v>Halibut907</v>
      </c>
      <c r="D650" s="41" t="str">
        <f>IFERROR(__xludf.DUMMYFUNCTION("""COMPUTED_VALUE"""),"Ghastly Goombahs")</f>
        <v>Ghastly Goombahs</v>
      </c>
      <c r="E650" s="41">
        <f>IFERROR(__xludf.DUMMYFUNCTION("""COMPUTED_VALUE"""),2.0)</f>
        <v>2</v>
      </c>
      <c r="F650" s="41">
        <f>IFERROR(__xludf.DUMMYFUNCTION("""COMPUTED_VALUE"""),1535.0)</f>
        <v>1535</v>
      </c>
    </row>
    <row r="651">
      <c r="A651" s="41" t="b">
        <f>IFERROR(__xludf.DUMMYFUNCTION("""COMPUTED_VALUE"""),TRUE)</f>
        <v>1</v>
      </c>
      <c r="B651" s="41" t="str">
        <f>IFERROR(__xludf.DUMMYFUNCTION("""COMPUTED_VALUE"""),"RSC007035")</f>
        <v>RSC007035</v>
      </c>
      <c r="C651" s="41" t="str">
        <f>IFERROR(__xludf.DUMMYFUNCTION("""COMPUTED_VALUE"""),"swah-")</f>
        <v>swah-</v>
      </c>
      <c r="D651" s="41" t="str">
        <f>IFERROR(__xludf.DUMMYFUNCTION("""COMPUTED_VALUE"""),"Phoenix")</f>
        <v>Phoenix</v>
      </c>
      <c r="E651" s="41">
        <f>IFERROR(__xludf.DUMMYFUNCTION("""COMPUTED_VALUE"""),2.0)</f>
        <v>2</v>
      </c>
      <c r="F651" s="41">
        <f>IFERROR(__xludf.DUMMYFUNCTION("""COMPUTED_VALUE"""),1300.0)</f>
        <v>1300</v>
      </c>
    </row>
    <row r="652">
      <c r="A652" s="41" t="b">
        <f>IFERROR(__xludf.DUMMYFUNCTION("""COMPUTED_VALUE"""),TRUE)</f>
        <v>1</v>
      </c>
      <c r="B652" s="41" t="str">
        <f>IFERROR(__xludf.DUMMYFUNCTION("""COMPUTED_VALUE"""),"RSC007961")</f>
        <v>RSC007961</v>
      </c>
      <c r="C652" s="41" t="str">
        <f>IFERROR(__xludf.DUMMYFUNCTION("""COMPUTED_VALUE"""),"Skrilpp")</f>
        <v>Skrilpp</v>
      </c>
      <c r="D652" s="41"/>
      <c r="E652" s="41">
        <f>IFERROR(__xludf.DUMMYFUNCTION("""COMPUTED_VALUE"""),0.0)</f>
        <v>0</v>
      </c>
      <c r="F652" s="41">
        <f>IFERROR(__xludf.DUMMYFUNCTION("""COMPUTED_VALUE"""),1315.0)</f>
        <v>1315</v>
      </c>
    </row>
    <row r="653">
      <c r="A653" s="41" t="b">
        <f>IFERROR(__xludf.DUMMYFUNCTION("""COMPUTED_VALUE"""),TRUE)</f>
        <v>1</v>
      </c>
      <c r="B653" s="41" t="str">
        <f>IFERROR(__xludf.DUMMYFUNCTION("""COMPUTED_VALUE"""),"RSC007660")</f>
        <v>RSC007660</v>
      </c>
      <c r="C653" s="41" t="str">
        <f>IFERROR(__xludf.DUMMYFUNCTION("""COMPUTED_VALUE"""),"Shraxl")</f>
        <v>Shraxl</v>
      </c>
      <c r="D653" s="41"/>
      <c r="E653" s="41">
        <f>IFERROR(__xludf.DUMMYFUNCTION("""COMPUTED_VALUE"""),0.0)</f>
        <v>0</v>
      </c>
      <c r="F653" s="41">
        <f>IFERROR(__xludf.DUMMYFUNCTION("""COMPUTED_VALUE"""),1510.0)</f>
        <v>1510</v>
      </c>
    </row>
    <row r="654">
      <c r="A654" s="41" t="b">
        <f>IFERROR(__xludf.DUMMYFUNCTION("""COMPUTED_VALUE"""),TRUE)</f>
        <v>1</v>
      </c>
      <c r="B654" s="41" t="str">
        <f>IFERROR(__xludf.DUMMYFUNCTION("""COMPUTED_VALUE"""),"RSC005491")</f>
        <v>RSC005491</v>
      </c>
      <c r="C654" s="41" t="str">
        <f>IFERROR(__xludf.DUMMYFUNCTION("""COMPUTED_VALUE"""),"Jackowanou")</f>
        <v>Jackowanou</v>
      </c>
      <c r="D654" s="41" t="str">
        <f>IFERROR(__xludf.DUMMYFUNCTION("""COMPUTED_VALUE"""),"Teddy Bears")</f>
        <v>Teddy Bears</v>
      </c>
      <c r="E654" s="41">
        <f>IFERROR(__xludf.DUMMYFUNCTION("""COMPUTED_VALUE"""),1.0)</f>
        <v>1</v>
      </c>
      <c r="F654" s="41">
        <f>IFERROR(__xludf.DUMMYFUNCTION("""COMPUTED_VALUE"""),1600.0)</f>
        <v>1600</v>
      </c>
    </row>
    <row r="655">
      <c r="A655" s="41" t="b">
        <f>IFERROR(__xludf.DUMMYFUNCTION("""COMPUTED_VALUE"""),TRUE)</f>
        <v>1</v>
      </c>
      <c r="B655" s="41" t="str">
        <f>IFERROR(__xludf.DUMMYFUNCTION("""COMPUTED_VALUE"""),"RSC007475")</f>
        <v>RSC007475</v>
      </c>
      <c r="C655" s="41" t="str">
        <f>IFERROR(__xludf.DUMMYFUNCTION("""COMPUTED_VALUE"""),"spposse")</f>
        <v>spposse</v>
      </c>
      <c r="D655" s="41" t="str">
        <f>IFERROR(__xludf.DUMMYFUNCTION("""COMPUTED_VALUE"""),"Dread")</f>
        <v>Dread</v>
      </c>
      <c r="E655" s="41">
        <f>IFERROR(__xludf.DUMMYFUNCTION("""COMPUTED_VALUE"""),2.0)</f>
        <v>2</v>
      </c>
      <c r="F655" s="41">
        <f>IFERROR(__xludf.DUMMYFUNCTION("""COMPUTED_VALUE"""),1490.0)</f>
        <v>1490</v>
      </c>
    </row>
    <row r="656">
      <c r="A656" s="41" t="b">
        <f>IFERROR(__xludf.DUMMYFUNCTION("""COMPUTED_VALUE"""),TRUE)</f>
        <v>1</v>
      </c>
      <c r="B656" s="41" t="str">
        <f>IFERROR(__xludf.DUMMYFUNCTION("""COMPUTED_VALUE"""),"RSC008485")</f>
        <v>RSC008485</v>
      </c>
      <c r="C656" s="41" t="str">
        <f>IFERROR(__xludf.DUMMYFUNCTION("""COMPUTED_VALUE"""),"MechanicWizard")</f>
        <v>MechanicWizard</v>
      </c>
      <c r="D656" s="41"/>
      <c r="E656" s="41">
        <f>IFERROR(__xludf.DUMMYFUNCTION("""COMPUTED_VALUE"""),0.0)</f>
        <v>0</v>
      </c>
      <c r="F656" s="41">
        <f>IFERROR(__xludf.DUMMYFUNCTION("""COMPUTED_VALUE"""),1615.0)</f>
        <v>1615</v>
      </c>
    </row>
    <row r="657">
      <c r="A657" s="41" t="b">
        <f>IFERROR(__xludf.DUMMYFUNCTION("""COMPUTED_VALUE"""),TRUE)</f>
        <v>1</v>
      </c>
      <c r="B657" s="41" t="str">
        <f>IFERROR(__xludf.DUMMYFUNCTION("""COMPUTED_VALUE"""),"RSC008562")</f>
        <v>RSC008562</v>
      </c>
      <c r="C657" s="41" t="str">
        <f>IFERROR(__xludf.DUMMYFUNCTION("""COMPUTED_VALUE"""),"lul za za")</f>
        <v>lul za za</v>
      </c>
      <c r="D657" s="41"/>
      <c r="E657" s="41">
        <f>IFERROR(__xludf.DUMMYFUNCTION("""COMPUTED_VALUE"""),0.0)</f>
        <v>0</v>
      </c>
      <c r="F657" s="41">
        <f>IFERROR(__xludf.DUMMYFUNCTION("""COMPUTED_VALUE"""),1480.0)</f>
        <v>1480</v>
      </c>
    </row>
    <row r="658">
      <c r="A658" s="41" t="b">
        <f>IFERROR(__xludf.DUMMYFUNCTION("""COMPUTED_VALUE"""),TRUE)</f>
        <v>1</v>
      </c>
      <c r="B658" s="41" t="str">
        <f>IFERROR(__xludf.DUMMYFUNCTION("""COMPUTED_VALUE"""),"RSC001487")</f>
        <v>RSC001487</v>
      </c>
      <c r="C658" s="41" t="str">
        <f>IFERROR(__xludf.DUMMYFUNCTION("""COMPUTED_VALUE"""),"M1ke1sMy1ke")</f>
        <v>M1ke1sMy1ke</v>
      </c>
      <c r="D658" s="41" t="str">
        <f>IFERROR(__xludf.DUMMYFUNCTION("""COMPUTED_VALUE"""),"Nighthawks")</f>
        <v>Nighthawks</v>
      </c>
      <c r="E658" s="41">
        <f>IFERROR(__xludf.DUMMYFUNCTION("""COMPUTED_VALUE"""),1.0)</f>
        <v>1</v>
      </c>
      <c r="F658" s="41">
        <f>IFERROR(__xludf.DUMMYFUNCTION("""COMPUTED_VALUE"""),1480.0)</f>
        <v>1480</v>
      </c>
    </row>
    <row r="659">
      <c r="A659" s="41" t="b">
        <f>IFERROR(__xludf.DUMMYFUNCTION("""COMPUTED_VALUE"""),TRUE)</f>
        <v>1</v>
      </c>
      <c r="B659" s="41" t="str">
        <f>IFERROR(__xludf.DUMMYFUNCTION("""COMPUTED_VALUE"""),"RSC005499")</f>
        <v>RSC005499</v>
      </c>
      <c r="C659" s="41" t="str">
        <f>IFERROR(__xludf.DUMMYFUNCTION("""COMPUTED_VALUE"""),"The Red R0cket")</f>
        <v>The Red R0cket</v>
      </c>
      <c r="D659" s="41" t="str">
        <f>IFERROR(__xludf.DUMMYFUNCTION("""COMPUTED_VALUE"""),"Heinous Henchmen")</f>
        <v>Heinous Henchmen</v>
      </c>
      <c r="E659" s="41">
        <f>IFERROR(__xludf.DUMMYFUNCTION("""COMPUTED_VALUE"""),2.0)</f>
        <v>2</v>
      </c>
      <c r="F659" s="41">
        <f>IFERROR(__xludf.DUMMYFUNCTION("""COMPUTED_VALUE"""),1720.0)</f>
        <v>1720</v>
      </c>
    </row>
    <row r="660">
      <c r="A660" s="41" t="b">
        <f>IFERROR(__xludf.DUMMYFUNCTION("""COMPUTED_VALUE"""),FALSE)</f>
        <v>0</v>
      </c>
      <c r="B660" s="41" t="str">
        <f>IFERROR(__xludf.DUMMYFUNCTION("""COMPUTED_VALUE"""),"RSC008002")</f>
        <v>RSC008002</v>
      </c>
      <c r="C660" s="41" t="str">
        <f>IFERROR(__xludf.DUMMYFUNCTION("""COMPUTED_VALUE"""),"minipilots")</f>
        <v>minipilots</v>
      </c>
      <c r="D660" s="41"/>
      <c r="E660" s="41">
        <f>IFERROR(__xludf.DUMMYFUNCTION("""COMPUTED_VALUE"""),0.0)</f>
        <v>0</v>
      </c>
      <c r="F660" s="41">
        <f>IFERROR(__xludf.DUMMYFUNCTION("""COMPUTED_VALUE"""),880.0)</f>
        <v>880</v>
      </c>
    </row>
    <row r="661">
      <c r="A661" s="41" t="b">
        <f>IFERROR(__xludf.DUMMYFUNCTION("""COMPUTED_VALUE"""),TRUE)</f>
        <v>1</v>
      </c>
      <c r="B661" s="41" t="str">
        <f>IFERROR(__xludf.DUMMYFUNCTION("""COMPUTED_VALUE"""),"RSC008014")</f>
        <v>RSC008014</v>
      </c>
      <c r="C661" s="41" t="str">
        <f>IFERROR(__xludf.DUMMYFUNCTION("""COMPUTED_VALUE"""),"TweakingOut")</f>
        <v>TweakingOut</v>
      </c>
      <c r="D661" s="41" t="str">
        <f>IFERROR(__xludf.DUMMYFUNCTION("""COMPUTED_VALUE"""),"Havarti Hustlers")</f>
        <v>Havarti Hustlers</v>
      </c>
      <c r="E661" s="41">
        <f>IFERROR(__xludf.DUMMYFUNCTION("""COMPUTED_VALUE"""),2.0)</f>
        <v>2</v>
      </c>
      <c r="F661" s="41">
        <f>IFERROR(__xludf.DUMMYFUNCTION("""COMPUTED_VALUE"""),1215.0)</f>
        <v>1215</v>
      </c>
    </row>
    <row r="662">
      <c r="A662" s="41" t="b">
        <f>IFERROR(__xludf.DUMMYFUNCTION("""COMPUTED_VALUE"""),FALSE)</f>
        <v>0</v>
      </c>
      <c r="B662" s="41" t="str">
        <f>IFERROR(__xludf.DUMMYFUNCTION("""COMPUTED_VALUE"""),"RSC008006")</f>
        <v>RSC008006</v>
      </c>
      <c r="C662" s="41" t="str">
        <f>IFERROR(__xludf.DUMMYFUNCTION("""COMPUTED_VALUE"""),"RXCKOMODE")</f>
        <v>RXCKOMODE</v>
      </c>
      <c r="D662" s="41"/>
      <c r="E662" s="41">
        <f>IFERROR(__xludf.DUMMYFUNCTION("""COMPUTED_VALUE"""),0.0)</f>
        <v>0</v>
      </c>
      <c r="F662" s="41">
        <f>IFERROR(__xludf.DUMMYFUNCTION("""COMPUTED_VALUE"""),1540.0)</f>
        <v>1540</v>
      </c>
    </row>
    <row r="663">
      <c r="A663" s="41" t="b">
        <f>IFERROR(__xludf.DUMMYFUNCTION("""COMPUTED_VALUE"""),TRUE)</f>
        <v>1</v>
      </c>
      <c r="B663" s="41" t="str">
        <f>IFERROR(__xludf.DUMMYFUNCTION("""COMPUTED_VALUE"""),"RSC006024")</f>
        <v>RSC006024</v>
      </c>
      <c r="C663" s="41" t="str">
        <f>IFERROR(__xludf.DUMMYFUNCTION("""COMPUTED_VALUE"""),"DrizzyDaDizzy")</f>
        <v>DrizzyDaDizzy</v>
      </c>
      <c r="D663" s="41" t="str">
        <f>IFERROR(__xludf.DUMMYFUNCTION("""COMPUTED_VALUE"""),"Griffin")</f>
        <v>Griffin</v>
      </c>
      <c r="E663" s="41">
        <f>IFERROR(__xludf.DUMMYFUNCTION("""COMPUTED_VALUE"""),2.0)</f>
        <v>2</v>
      </c>
      <c r="F663" s="41">
        <f>IFERROR(__xludf.DUMMYFUNCTION("""COMPUTED_VALUE"""),965.0)</f>
        <v>965</v>
      </c>
    </row>
    <row r="664">
      <c r="A664" s="41" t="b">
        <f>IFERROR(__xludf.DUMMYFUNCTION("""COMPUTED_VALUE"""),TRUE)</f>
        <v>1</v>
      </c>
      <c r="B664" s="41" t="str">
        <f>IFERROR(__xludf.DUMMYFUNCTION("""COMPUTED_VALUE"""),"RSC006353")</f>
        <v>RSC006353</v>
      </c>
      <c r="C664" s="41" t="str">
        <f>IFERROR(__xludf.DUMMYFUNCTION("""COMPUTED_VALUE"""),"Novarchite")</f>
        <v>Novarchite</v>
      </c>
      <c r="D664" s="41" t="str">
        <f>IFERROR(__xludf.DUMMYFUNCTION("""COMPUTED_VALUE"""),"Toucans")</f>
        <v>Toucans</v>
      </c>
      <c r="E664" s="41">
        <f>IFERROR(__xludf.DUMMYFUNCTION("""COMPUTED_VALUE"""),1.0)</f>
        <v>1</v>
      </c>
      <c r="F664" s="41">
        <f>IFERROR(__xludf.DUMMYFUNCTION("""COMPUTED_VALUE"""),1200.0)</f>
        <v>1200</v>
      </c>
    </row>
    <row r="665">
      <c r="A665" s="41" t="b">
        <f>IFERROR(__xludf.DUMMYFUNCTION("""COMPUTED_VALUE"""),TRUE)</f>
        <v>1</v>
      </c>
      <c r="B665" s="41" t="str">
        <f>IFERROR(__xludf.DUMMYFUNCTION("""COMPUTED_VALUE"""),"RSC004239")</f>
        <v>RSC004239</v>
      </c>
      <c r="C665" s="41" t="str">
        <f>IFERROR(__xludf.DUMMYFUNCTION("""COMPUTED_VALUE"""),"Nitro")</f>
        <v>Nitro</v>
      </c>
      <c r="D665" s="41" t="str">
        <f>IFERROR(__xludf.DUMMYFUNCTION("""COMPUTED_VALUE"""),"Kirin")</f>
        <v>Kirin</v>
      </c>
      <c r="E665" s="41">
        <f>IFERROR(__xludf.DUMMYFUNCTION("""COMPUTED_VALUE"""),2.0)</f>
        <v>2</v>
      </c>
      <c r="F665" s="41">
        <f>IFERROR(__xludf.DUMMYFUNCTION("""COMPUTED_VALUE"""),1435.0)</f>
        <v>1435</v>
      </c>
    </row>
    <row r="666">
      <c r="A666" s="41" t="b">
        <f>IFERROR(__xludf.DUMMYFUNCTION("""COMPUTED_VALUE"""),FALSE)</f>
        <v>0</v>
      </c>
      <c r="B666" s="41" t="str">
        <f>IFERROR(__xludf.DUMMYFUNCTION("""COMPUTED_VALUE"""),"RSC008009")</f>
        <v>RSC008009</v>
      </c>
      <c r="C666" s="41" t="str">
        <f>IFERROR(__xludf.DUMMYFUNCTION("""COMPUTED_VALUE"""),"Drizd.")</f>
        <v>Drizd.</v>
      </c>
      <c r="D666" s="41"/>
      <c r="E666" s="41">
        <f>IFERROR(__xludf.DUMMYFUNCTION("""COMPUTED_VALUE"""),0.0)</f>
        <v>0</v>
      </c>
      <c r="F666" s="41">
        <f>IFERROR(__xludf.DUMMYFUNCTION("""COMPUTED_VALUE"""),1275.0)</f>
        <v>1275</v>
      </c>
    </row>
    <row r="667">
      <c r="A667" s="41" t="b">
        <f>IFERROR(__xludf.DUMMYFUNCTION("""COMPUTED_VALUE"""),TRUE)</f>
        <v>1</v>
      </c>
      <c r="B667" s="41" t="str">
        <f>IFERROR(__xludf.DUMMYFUNCTION("""COMPUTED_VALUE"""),"RSC007621")</f>
        <v>RSC007621</v>
      </c>
      <c r="C667" s="41" t="str">
        <f>IFERROR(__xludf.DUMMYFUNCTION("""COMPUTED_VALUE"""),"Classy-God57")</f>
        <v>Classy-God57</v>
      </c>
      <c r="D667" s="41" t="str">
        <f>IFERROR(__xludf.DUMMYFUNCTION("""COMPUTED_VALUE"""),"Winter Fresh")</f>
        <v>Winter Fresh</v>
      </c>
      <c r="E667" s="41">
        <f>IFERROR(__xludf.DUMMYFUNCTION("""COMPUTED_VALUE"""),2.0)</f>
        <v>2</v>
      </c>
      <c r="F667" s="41">
        <f>IFERROR(__xludf.DUMMYFUNCTION("""COMPUTED_VALUE"""),885.0)</f>
        <v>885</v>
      </c>
    </row>
    <row r="668">
      <c r="A668" s="41" t="b">
        <f>IFERROR(__xludf.DUMMYFUNCTION("""COMPUTED_VALUE"""),TRUE)</f>
        <v>1</v>
      </c>
      <c r="B668" s="41" t="str">
        <f>IFERROR(__xludf.DUMMYFUNCTION("""COMPUTED_VALUE"""),"RSC007688")</f>
        <v>RSC007688</v>
      </c>
      <c r="C668" s="41" t="str">
        <f>IFERROR(__xludf.DUMMYFUNCTION("""COMPUTED_VALUE"""),"Yami ^^")</f>
        <v>Yami ^^</v>
      </c>
      <c r="D668" s="41" t="str">
        <f>IFERROR(__xludf.DUMMYFUNCTION("""COMPUTED_VALUE"""),"Gelato")</f>
        <v>Gelato</v>
      </c>
      <c r="E668" s="41">
        <f>IFERROR(__xludf.DUMMYFUNCTION("""COMPUTED_VALUE"""),2.0)</f>
        <v>2</v>
      </c>
      <c r="F668" s="41">
        <f>IFERROR(__xludf.DUMMYFUNCTION("""COMPUTED_VALUE"""),1560.0)</f>
        <v>1560</v>
      </c>
    </row>
    <row r="669">
      <c r="A669" s="41" t="b">
        <f>IFERROR(__xludf.DUMMYFUNCTION("""COMPUTED_VALUE"""),TRUE)</f>
        <v>1</v>
      </c>
      <c r="B669" s="41" t="str">
        <f>IFERROR(__xludf.DUMMYFUNCTION("""COMPUTED_VALUE"""),"RSC006128")</f>
        <v>RSC006128</v>
      </c>
      <c r="C669" s="41" t="str">
        <f>IFERROR(__xludf.DUMMYFUNCTION("""COMPUTED_VALUE"""),"anth0")</f>
        <v>anth0</v>
      </c>
      <c r="D669" s="41"/>
      <c r="E669" s="41">
        <f>IFERROR(__xludf.DUMMYFUNCTION("""COMPUTED_VALUE"""),0.0)</f>
        <v>0</v>
      </c>
      <c r="F669" s="41">
        <f>IFERROR(__xludf.DUMMYFUNCTION("""COMPUTED_VALUE"""),1500.0)</f>
        <v>1500</v>
      </c>
    </row>
    <row r="670">
      <c r="A670" s="41" t="b">
        <f>IFERROR(__xludf.DUMMYFUNCTION("""COMPUTED_VALUE"""),TRUE)</f>
        <v>1</v>
      </c>
      <c r="B670" s="41" t="str">
        <f>IFERROR(__xludf.DUMMYFUNCTION("""COMPUTED_VALUE"""),"RSC008026")</f>
        <v>RSC008026</v>
      </c>
      <c r="C670" s="41" t="str">
        <f>IFERROR(__xludf.DUMMYFUNCTION("""COMPUTED_VALUE"""),"Kanashìmi")</f>
        <v>Kanashìmi</v>
      </c>
      <c r="D670" s="41" t="str">
        <f>IFERROR(__xludf.DUMMYFUNCTION("""COMPUTED_VALUE"""),"Havarti Hustlers")</f>
        <v>Havarti Hustlers</v>
      </c>
      <c r="E670" s="41">
        <f>IFERROR(__xludf.DUMMYFUNCTION("""COMPUTED_VALUE"""),2.0)</f>
        <v>2</v>
      </c>
      <c r="F670" s="41">
        <f>IFERROR(__xludf.DUMMYFUNCTION("""COMPUTED_VALUE"""),1115.0)</f>
        <v>1115</v>
      </c>
    </row>
    <row r="671">
      <c r="A671" s="41" t="b">
        <f>IFERROR(__xludf.DUMMYFUNCTION("""COMPUTED_VALUE"""),TRUE)</f>
        <v>1</v>
      </c>
      <c r="B671" s="41" t="str">
        <f>IFERROR(__xludf.DUMMYFUNCTION("""COMPUTED_VALUE"""),"RSC007678")</f>
        <v>RSC007678</v>
      </c>
      <c r="C671" s="41" t="str">
        <f>IFERROR(__xludf.DUMMYFUNCTION("""COMPUTED_VALUE"""),"SavedHawk")</f>
        <v>SavedHawk</v>
      </c>
      <c r="D671" s="41" t="str">
        <f>IFERROR(__xludf.DUMMYFUNCTION("""COMPUTED_VALUE"""),"Winter Fresh")</f>
        <v>Winter Fresh</v>
      </c>
      <c r="E671" s="41">
        <f>IFERROR(__xludf.DUMMYFUNCTION("""COMPUTED_VALUE"""),1.0)</f>
        <v>1</v>
      </c>
      <c r="F671" s="41">
        <f>IFERROR(__xludf.DUMMYFUNCTION("""COMPUTED_VALUE"""),750.0)</f>
        <v>750</v>
      </c>
    </row>
    <row r="672">
      <c r="A672" s="41" t="b">
        <f>IFERROR(__xludf.DUMMYFUNCTION("""COMPUTED_VALUE"""),TRUE)</f>
        <v>1</v>
      </c>
      <c r="B672" s="41" t="str">
        <f>IFERROR(__xludf.DUMMYFUNCTION("""COMPUTED_VALUE"""),"RSC007867")</f>
        <v>RSC007867</v>
      </c>
      <c r="C672" s="41" t="str">
        <f>IFERROR(__xludf.DUMMYFUNCTION("""COMPUTED_VALUE"""),"Inertia D.")</f>
        <v>Inertia D.</v>
      </c>
      <c r="D672" s="41"/>
      <c r="E672" s="41">
        <f>IFERROR(__xludf.DUMMYFUNCTION("""COMPUTED_VALUE"""),0.0)</f>
        <v>0</v>
      </c>
      <c r="F672" s="41">
        <f>IFERROR(__xludf.DUMMYFUNCTION("""COMPUTED_VALUE"""),1725.0)</f>
        <v>1725</v>
      </c>
    </row>
    <row r="673">
      <c r="A673" s="41" t="b">
        <f>IFERROR(__xludf.DUMMYFUNCTION("""COMPUTED_VALUE"""),TRUE)</f>
        <v>1</v>
      </c>
      <c r="B673" s="41" t="str">
        <f>IFERROR(__xludf.DUMMYFUNCTION("""COMPUTED_VALUE"""),"RSC007692")</f>
        <v>RSC007692</v>
      </c>
      <c r="C673" s="41" t="str">
        <f>IFERROR(__xludf.DUMMYFUNCTION("""COMPUTED_VALUE"""),"Unc_DyLon")</f>
        <v>Unc_DyLon</v>
      </c>
      <c r="D673" s="41" t="str">
        <f>IFERROR(__xludf.DUMMYFUNCTION("""COMPUTED_VALUE"""),"Meat Lovers")</f>
        <v>Meat Lovers</v>
      </c>
      <c r="E673" s="41">
        <f>IFERROR(__xludf.DUMMYFUNCTION("""COMPUTED_VALUE"""),1.0)</f>
        <v>1</v>
      </c>
      <c r="F673" s="41">
        <f>IFERROR(__xludf.DUMMYFUNCTION("""COMPUTED_VALUE"""),1195.0)</f>
        <v>1195</v>
      </c>
    </row>
    <row r="674">
      <c r="A674" s="41" t="b">
        <f>IFERROR(__xludf.DUMMYFUNCTION("""COMPUTED_VALUE"""),TRUE)</f>
        <v>1</v>
      </c>
      <c r="B674" s="41" t="str">
        <f>IFERROR(__xludf.DUMMYFUNCTION("""COMPUTED_VALUE"""),"RSC008642")</f>
        <v>RSC008642</v>
      </c>
      <c r="C674" s="41" t="str">
        <f>IFERROR(__xludf.DUMMYFUNCTION("""COMPUTED_VALUE"""),"Cletis45")</f>
        <v>Cletis45</v>
      </c>
      <c r="D674" s="41"/>
      <c r="E674" s="41">
        <f>IFERROR(__xludf.DUMMYFUNCTION("""COMPUTED_VALUE"""),0.0)</f>
        <v>0</v>
      </c>
      <c r="F674" s="41">
        <f>IFERROR(__xludf.DUMMYFUNCTION("""COMPUTED_VALUE"""),600.0)</f>
        <v>600</v>
      </c>
    </row>
    <row r="675">
      <c r="A675" s="41" t="b">
        <f>IFERROR(__xludf.DUMMYFUNCTION("""COMPUTED_VALUE"""),FALSE)</f>
        <v>0</v>
      </c>
      <c r="B675" s="41" t="str">
        <f>IFERROR(__xludf.DUMMYFUNCTION("""COMPUTED_VALUE"""),"RSC007969")</f>
        <v>RSC007969</v>
      </c>
      <c r="C675" s="41" t="str">
        <f>IFERROR(__xludf.DUMMYFUNCTION("""COMPUTED_VALUE"""),"EcHo.rll")</f>
        <v>EcHo.rll</v>
      </c>
      <c r="D675" s="41"/>
      <c r="E675" s="41">
        <f>IFERROR(__xludf.DUMMYFUNCTION("""COMPUTED_VALUE"""),2.0)</f>
        <v>2</v>
      </c>
      <c r="F675" s="41">
        <f>IFERROR(__xludf.DUMMYFUNCTION("""COMPUTED_VALUE"""),1210.0)</f>
        <v>1210</v>
      </c>
    </row>
    <row r="676">
      <c r="A676" s="41" t="b">
        <f>IFERROR(__xludf.DUMMYFUNCTION("""COMPUTED_VALUE"""),TRUE)</f>
        <v>1</v>
      </c>
      <c r="B676" s="41" t="str">
        <f>IFERROR(__xludf.DUMMYFUNCTION("""COMPUTED_VALUE"""),"RSC007718")</f>
        <v>RSC007718</v>
      </c>
      <c r="C676" s="41" t="str">
        <f>IFERROR(__xludf.DUMMYFUNCTION("""COMPUTED_VALUE"""),"dxge")</f>
        <v>dxge</v>
      </c>
      <c r="D676" s="41"/>
      <c r="E676" s="41">
        <f>IFERROR(__xludf.DUMMYFUNCTION("""COMPUTED_VALUE"""),0.0)</f>
        <v>0</v>
      </c>
      <c r="F676" s="41">
        <f>IFERROR(__xludf.DUMMYFUNCTION("""COMPUTED_VALUE"""),1890.0)</f>
        <v>1890</v>
      </c>
    </row>
    <row r="677">
      <c r="A677" s="41" t="b">
        <f>IFERROR(__xludf.DUMMYFUNCTION("""COMPUTED_VALUE"""),FALSE)</f>
        <v>0</v>
      </c>
      <c r="B677" s="41" t="str">
        <f>IFERROR(__xludf.DUMMYFUNCTION("""COMPUTED_VALUE"""),"RSC007721")</f>
        <v>RSC007721</v>
      </c>
      <c r="C677" s="41" t="str">
        <f>IFERROR(__xludf.DUMMYFUNCTION("""COMPUTED_VALUE"""),"Ace!")</f>
        <v>Ace!</v>
      </c>
      <c r="D677" s="41"/>
      <c r="E677" s="41">
        <f>IFERROR(__xludf.DUMMYFUNCTION("""COMPUTED_VALUE"""),0.0)</f>
        <v>0</v>
      </c>
      <c r="F677" s="41">
        <f>IFERROR(__xludf.DUMMYFUNCTION("""COMPUTED_VALUE"""),1945.0)</f>
        <v>1945</v>
      </c>
    </row>
    <row r="678">
      <c r="A678" s="41" t="b">
        <f>IFERROR(__xludf.DUMMYFUNCTION("""COMPUTED_VALUE"""),TRUE)</f>
        <v>1</v>
      </c>
      <c r="B678" s="41" t="str">
        <f>IFERROR(__xludf.DUMMYFUNCTION("""COMPUTED_VALUE"""),"RSC007907")</f>
        <v>RSC007907</v>
      </c>
      <c r="C678" s="41" t="str">
        <f>IFERROR(__xludf.DUMMYFUNCTION("""COMPUTED_VALUE"""),"chazie.")</f>
        <v>chazie.</v>
      </c>
      <c r="D678" s="41" t="str">
        <f>IFERROR(__xludf.DUMMYFUNCTION("""COMPUTED_VALUE"""),"Praetorian Guard")</f>
        <v>Praetorian Guard</v>
      </c>
      <c r="E678" s="41">
        <f>IFERROR(__xludf.DUMMYFUNCTION("""COMPUTED_VALUE"""),2.0)</f>
        <v>2</v>
      </c>
      <c r="F678" s="41">
        <f>IFERROR(__xludf.DUMMYFUNCTION("""COMPUTED_VALUE"""),1585.0)</f>
        <v>1585</v>
      </c>
    </row>
    <row r="679">
      <c r="A679" s="41" t="b">
        <f>IFERROR(__xludf.DUMMYFUNCTION("""COMPUTED_VALUE"""),TRUE)</f>
        <v>1</v>
      </c>
      <c r="B679" s="41" t="str">
        <f>IFERROR(__xludf.DUMMYFUNCTION("""COMPUTED_VALUE"""),"RSC007720")</f>
        <v>RSC007720</v>
      </c>
      <c r="C679" s="41" t="str">
        <f>IFERROR(__xludf.DUMMYFUNCTION("""COMPUTED_VALUE"""),"trock")</f>
        <v>trock</v>
      </c>
      <c r="D679" s="41" t="str">
        <f>IFERROR(__xludf.DUMMYFUNCTION("""COMPUTED_VALUE"""),"Dread")</f>
        <v>Dread</v>
      </c>
      <c r="E679" s="41">
        <f>IFERROR(__xludf.DUMMYFUNCTION("""COMPUTED_VALUE"""),2.0)</f>
        <v>2</v>
      </c>
      <c r="F679" s="41">
        <f>IFERROR(__xludf.DUMMYFUNCTION("""COMPUTED_VALUE"""),1460.0)</f>
        <v>1460</v>
      </c>
    </row>
    <row r="680">
      <c r="A680" s="41" t="b">
        <f>IFERROR(__xludf.DUMMYFUNCTION("""COMPUTED_VALUE"""),TRUE)</f>
        <v>1</v>
      </c>
      <c r="B680" s="41" t="str">
        <f>IFERROR(__xludf.DUMMYFUNCTION("""COMPUTED_VALUE"""),"RSC007855")</f>
        <v>RSC007855</v>
      </c>
      <c r="C680" s="41" t="str">
        <f>IFERROR(__xludf.DUMMYFUNCTION("""COMPUTED_VALUE"""),"Dub_Dill")</f>
        <v>Dub_Dill</v>
      </c>
      <c r="D680" s="41" t="str">
        <f>IFERROR(__xludf.DUMMYFUNCTION("""COMPUTED_VALUE"""),"Afterburners")</f>
        <v>Afterburners</v>
      </c>
      <c r="E680" s="41">
        <f>IFERROR(__xludf.DUMMYFUNCTION("""COMPUTED_VALUE"""),2.0)</f>
        <v>2</v>
      </c>
      <c r="F680" s="41">
        <f>IFERROR(__xludf.DUMMYFUNCTION("""COMPUTED_VALUE"""),1570.0)</f>
        <v>1570</v>
      </c>
    </row>
    <row r="681">
      <c r="A681" s="41" t="b">
        <f>IFERROR(__xludf.DUMMYFUNCTION("""COMPUTED_VALUE"""),TRUE)</f>
        <v>1</v>
      </c>
      <c r="B681" s="41" t="str">
        <f>IFERROR(__xludf.DUMMYFUNCTION("""COMPUTED_VALUE"""),"RSC007846")</f>
        <v>RSC007846</v>
      </c>
      <c r="C681" s="41" t="str">
        <f>IFERROR(__xludf.DUMMYFUNCTION("""COMPUTED_VALUE"""),"Lovegreyhounds")</f>
        <v>Lovegreyhounds</v>
      </c>
      <c r="D681" s="41" t="str">
        <f>IFERROR(__xludf.DUMMYFUNCTION("""COMPUTED_VALUE"""),"Black-Holes")</f>
        <v>Black-Holes</v>
      </c>
      <c r="E681" s="41">
        <f>IFERROR(__xludf.DUMMYFUNCTION("""COMPUTED_VALUE"""),2.0)</f>
        <v>2</v>
      </c>
      <c r="F681" s="41">
        <f>IFERROR(__xludf.DUMMYFUNCTION("""COMPUTED_VALUE"""),1575.0)</f>
        <v>1575</v>
      </c>
    </row>
    <row r="682">
      <c r="A682" s="41" t="b">
        <f>IFERROR(__xludf.DUMMYFUNCTION("""COMPUTED_VALUE"""),TRUE)</f>
        <v>1</v>
      </c>
      <c r="B682" s="41" t="str">
        <f>IFERROR(__xludf.DUMMYFUNCTION("""COMPUTED_VALUE"""),"RSC001066")</f>
        <v>RSC001066</v>
      </c>
      <c r="C682" s="41" t="str">
        <f>IFERROR(__xludf.DUMMYFUNCTION("""COMPUTED_VALUE"""),"risu")</f>
        <v>risu</v>
      </c>
      <c r="D682" s="41" t="str">
        <f>IFERROR(__xludf.DUMMYFUNCTION("""COMPUTED_VALUE"""),"Corals")</f>
        <v>Corals</v>
      </c>
      <c r="E682" s="41">
        <f>IFERROR(__xludf.DUMMYFUNCTION("""COMPUTED_VALUE"""),2.0)</f>
        <v>2</v>
      </c>
      <c r="F682" s="41">
        <f>IFERROR(__xludf.DUMMYFUNCTION("""COMPUTED_VALUE"""),1215.0)</f>
        <v>1215</v>
      </c>
    </row>
    <row r="683">
      <c r="A683" s="41" t="b">
        <f>IFERROR(__xludf.DUMMYFUNCTION("""COMPUTED_VALUE"""),TRUE)</f>
        <v>1</v>
      </c>
      <c r="B683" s="41" t="str">
        <f>IFERROR(__xludf.DUMMYFUNCTION("""COMPUTED_VALUE"""),"RSC007756")</f>
        <v>RSC007756</v>
      </c>
      <c r="C683" s="41" t="str">
        <f>IFERROR(__xludf.DUMMYFUNCTION("""COMPUTED_VALUE"""),"Taunt")</f>
        <v>Taunt</v>
      </c>
      <c r="D683" s="41" t="str">
        <f>IFERROR(__xludf.DUMMYFUNCTION("""COMPUTED_VALUE"""),"Berserkers")</f>
        <v>Berserkers</v>
      </c>
      <c r="E683" s="41">
        <f>IFERROR(__xludf.DUMMYFUNCTION("""COMPUTED_VALUE"""),2.0)</f>
        <v>2</v>
      </c>
      <c r="F683" s="41">
        <f>IFERROR(__xludf.DUMMYFUNCTION("""COMPUTED_VALUE"""),1515.0)</f>
        <v>1515</v>
      </c>
    </row>
    <row r="684">
      <c r="A684" s="41" t="b">
        <f>IFERROR(__xludf.DUMMYFUNCTION("""COMPUTED_VALUE"""),FALSE)</f>
        <v>0</v>
      </c>
      <c r="B684" s="41" t="str">
        <f>IFERROR(__xludf.DUMMYFUNCTION("""COMPUTED_VALUE"""),"RSC007753")</f>
        <v>RSC007753</v>
      </c>
      <c r="C684" s="41" t="str">
        <f>IFERROR(__xludf.DUMMYFUNCTION("""COMPUTED_VALUE"""),"Chromebook")</f>
        <v>Chromebook</v>
      </c>
      <c r="D684" s="41"/>
      <c r="E684" s="41">
        <f>IFERROR(__xludf.DUMMYFUNCTION("""COMPUTED_VALUE"""),2.0)</f>
        <v>2</v>
      </c>
      <c r="F684" s="41">
        <f>IFERROR(__xludf.DUMMYFUNCTION("""COMPUTED_VALUE"""),1365.0)</f>
        <v>1365</v>
      </c>
    </row>
    <row r="685">
      <c r="A685" s="41" t="b">
        <f>IFERROR(__xludf.DUMMYFUNCTION("""COMPUTED_VALUE"""),TRUE)</f>
        <v>1</v>
      </c>
      <c r="B685" s="41" t="str">
        <f>IFERROR(__xludf.DUMMYFUNCTION("""COMPUTED_VALUE"""),"RSC008376")</f>
        <v>RSC008376</v>
      </c>
      <c r="C685" s="41" t="str">
        <f>IFERROR(__xludf.DUMMYFUNCTION("""COMPUTED_VALUE"""),"Storytime")</f>
        <v>Storytime</v>
      </c>
      <c r="D685" s="41" t="str">
        <f>IFERROR(__xludf.DUMMYFUNCTION("""COMPUTED_VALUE"""),"Berserkers")</f>
        <v>Berserkers</v>
      </c>
      <c r="E685" s="41">
        <f>IFERROR(__xludf.DUMMYFUNCTION("""COMPUTED_VALUE"""),2.0)</f>
        <v>2</v>
      </c>
      <c r="F685" s="41">
        <f>IFERROR(__xludf.DUMMYFUNCTION("""COMPUTED_VALUE"""),1395.0)</f>
        <v>1395</v>
      </c>
    </row>
    <row r="686">
      <c r="A686" s="41" t="b">
        <f>IFERROR(__xludf.DUMMYFUNCTION("""COMPUTED_VALUE"""),TRUE)</f>
        <v>1</v>
      </c>
      <c r="B686" s="41" t="str">
        <f>IFERROR(__xludf.DUMMYFUNCTION("""COMPUTED_VALUE"""),"RSC007761")</f>
        <v>RSC007761</v>
      </c>
      <c r="C686" s="41" t="str">
        <f>IFERROR(__xludf.DUMMYFUNCTION("""COMPUTED_VALUE"""),"kyal-")</f>
        <v>kyal-</v>
      </c>
      <c r="D686" s="41"/>
      <c r="E686" s="41">
        <f>IFERROR(__xludf.DUMMYFUNCTION("""COMPUTED_VALUE"""),0.0)</f>
        <v>0</v>
      </c>
      <c r="F686" s="41">
        <f>IFERROR(__xludf.DUMMYFUNCTION("""COMPUTED_VALUE"""),600.0)</f>
        <v>600</v>
      </c>
    </row>
    <row r="687">
      <c r="A687" s="41" t="b">
        <f>IFERROR(__xludf.DUMMYFUNCTION("""COMPUTED_VALUE"""),FALSE)</f>
        <v>0</v>
      </c>
      <c r="B687" s="41" t="str">
        <f>IFERROR(__xludf.DUMMYFUNCTION("""COMPUTED_VALUE"""),"RSC007393")</f>
        <v>RSC007393</v>
      </c>
      <c r="C687" s="41" t="str">
        <f>IFERROR(__xludf.DUMMYFUNCTION("""COMPUTED_VALUE"""),"Ubfghki9442")</f>
        <v>Ubfghki9442</v>
      </c>
      <c r="D687" s="41"/>
      <c r="E687" s="41">
        <f>IFERROR(__xludf.DUMMYFUNCTION("""COMPUTED_VALUE"""),0.0)</f>
        <v>0</v>
      </c>
      <c r="F687" s="41">
        <f>IFERROR(__xludf.DUMMYFUNCTION("""COMPUTED_VALUE"""),845.0)</f>
        <v>845</v>
      </c>
    </row>
    <row r="688">
      <c r="A688" s="41" t="b">
        <f>IFERROR(__xludf.DUMMYFUNCTION("""COMPUTED_VALUE"""),FALSE)</f>
        <v>0</v>
      </c>
      <c r="B688" s="41" t="str">
        <f>IFERROR(__xludf.DUMMYFUNCTION("""COMPUTED_VALUE"""),"RSC008401")</f>
        <v>RSC008401</v>
      </c>
      <c r="C688" s="41" t="str">
        <f>IFERROR(__xludf.DUMMYFUNCTION("""COMPUTED_VALUE"""),"Hot Sauce")</f>
        <v>Hot Sauce</v>
      </c>
      <c r="D688" s="41"/>
      <c r="E688" s="41">
        <f>IFERROR(__xludf.DUMMYFUNCTION("""COMPUTED_VALUE"""),2.0)</f>
        <v>2</v>
      </c>
      <c r="F688" s="41">
        <f>IFERROR(__xludf.DUMMYFUNCTION("""COMPUTED_VALUE"""),1740.0)</f>
        <v>1740</v>
      </c>
    </row>
    <row r="689">
      <c r="A689" s="41" t="b">
        <f>IFERROR(__xludf.DUMMYFUNCTION("""COMPUTED_VALUE"""),FALSE)</f>
        <v>0</v>
      </c>
      <c r="B689" s="41" t="str">
        <f>IFERROR(__xludf.DUMMYFUNCTION("""COMPUTED_VALUE"""),"RSC008425")</f>
        <v>RSC008425</v>
      </c>
      <c r="C689" s="41" t="str">
        <f>IFERROR(__xludf.DUMMYFUNCTION("""COMPUTED_VALUE"""),"Siem")</f>
        <v>Siem</v>
      </c>
      <c r="D689" s="41"/>
      <c r="E689" s="41">
        <f>IFERROR(__xludf.DUMMYFUNCTION("""COMPUTED_VALUE"""),0.0)</f>
        <v>0</v>
      </c>
      <c r="F689" s="41">
        <f>IFERROR(__xludf.DUMMYFUNCTION("""COMPUTED_VALUE"""),1565.0)</f>
        <v>1565</v>
      </c>
    </row>
    <row r="690">
      <c r="A690" s="41" t="b">
        <f>IFERROR(__xludf.DUMMYFUNCTION("""COMPUTED_VALUE"""),TRUE)</f>
        <v>1</v>
      </c>
      <c r="B690" s="41" t="str">
        <f>IFERROR(__xludf.DUMMYFUNCTION("""COMPUTED_VALUE"""),"RSC008484")</f>
        <v>RSC008484</v>
      </c>
      <c r="C690" s="41" t="str">
        <f>IFERROR(__xludf.DUMMYFUNCTION("""COMPUTED_VALUE"""),"PshycoNot")</f>
        <v>PshycoNot</v>
      </c>
      <c r="D690" s="41" t="str">
        <f>IFERROR(__xludf.DUMMYFUNCTION("""COMPUTED_VALUE"""),"Lacuna")</f>
        <v>Lacuna</v>
      </c>
      <c r="E690" s="41">
        <f>IFERROR(__xludf.DUMMYFUNCTION("""COMPUTED_VALUE"""),2.0)</f>
        <v>2</v>
      </c>
      <c r="F690" s="41">
        <f>IFERROR(__xludf.DUMMYFUNCTION("""COMPUTED_VALUE"""),1280.0)</f>
        <v>1280</v>
      </c>
    </row>
    <row r="691">
      <c r="A691" s="41" t="b">
        <f>IFERROR(__xludf.DUMMYFUNCTION("""COMPUTED_VALUE"""),FALSE)</f>
        <v>0</v>
      </c>
      <c r="B691" s="41" t="str">
        <f>IFERROR(__xludf.DUMMYFUNCTION("""COMPUTED_VALUE"""),"RSC007817")</f>
        <v>RSC007817</v>
      </c>
      <c r="C691" s="41" t="str">
        <f>IFERROR(__xludf.DUMMYFUNCTION("""COMPUTED_VALUE"""),"Hichew.RL")</f>
        <v>Hichew.RL</v>
      </c>
      <c r="D691" s="41"/>
      <c r="E691" s="41">
        <f>IFERROR(__xludf.DUMMYFUNCTION("""COMPUTED_VALUE"""),2.0)</f>
        <v>2</v>
      </c>
      <c r="F691" s="41">
        <f>IFERROR(__xludf.DUMMYFUNCTION("""COMPUTED_VALUE"""),1530.0)</f>
        <v>1530</v>
      </c>
    </row>
    <row r="692">
      <c r="A692" s="41" t="b">
        <f>IFERROR(__xludf.DUMMYFUNCTION("""COMPUTED_VALUE"""),TRUE)</f>
        <v>1</v>
      </c>
      <c r="B692" s="41" t="str">
        <f>IFERROR(__xludf.DUMMYFUNCTION("""COMPUTED_VALUE"""),"RSC007811")</f>
        <v>RSC007811</v>
      </c>
      <c r="C692" s="41" t="str">
        <f>IFERROR(__xludf.DUMMYFUNCTION("""COMPUTED_VALUE"""),"Gray")</f>
        <v>Gray</v>
      </c>
      <c r="D692" s="41" t="str">
        <f>IFERROR(__xludf.DUMMYFUNCTION("""COMPUTED_VALUE"""),"Cotija Cartel")</f>
        <v>Cotija Cartel</v>
      </c>
      <c r="E692" s="41">
        <f>IFERROR(__xludf.DUMMYFUNCTION("""COMPUTED_VALUE"""),1.0)</f>
        <v>1</v>
      </c>
      <c r="F692" s="41">
        <f>IFERROR(__xludf.DUMMYFUNCTION("""COMPUTED_VALUE"""),1600.0)</f>
        <v>1600</v>
      </c>
    </row>
    <row r="693">
      <c r="A693" s="41" t="b">
        <f>IFERROR(__xludf.DUMMYFUNCTION("""COMPUTED_VALUE"""),FALSE)</f>
        <v>0</v>
      </c>
      <c r="B693" s="41" t="str">
        <f>IFERROR(__xludf.DUMMYFUNCTION("""COMPUTED_VALUE"""),"RSC007799")</f>
        <v>RSC007799</v>
      </c>
      <c r="C693" s="41" t="str">
        <f>IFERROR(__xludf.DUMMYFUNCTION("""COMPUTED_VALUE"""),"DJstriker211")</f>
        <v>DJstriker211</v>
      </c>
      <c r="D693" s="41"/>
      <c r="E693" s="41">
        <f>IFERROR(__xludf.DUMMYFUNCTION("""COMPUTED_VALUE"""),0.0)</f>
        <v>0</v>
      </c>
      <c r="F693" s="41">
        <f>IFERROR(__xludf.DUMMYFUNCTION("""COMPUTED_VALUE"""),1390.0)</f>
        <v>1390</v>
      </c>
    </row>
    <row r="694">
      <c r="A694" s="41" t="b">
        <f>IFERROR(__xludf.DUMMYFUNCTION("""COMPUTED_VALUE"""),FALSE)</f>
        <v>0</v>
      </c>
      <c r="B694" s="41" t="str">
        <f>IFERROR(__xludf.DUMMYFUNCTION("""COMPUTED_VALUE"""),"RSC008412")</f>
        <v>RSC008412</v>
      </c>
      <c r="C694" s="41" t="str">
        <f>IFERROR(__xludf.DUMMYFUNCTION("""COMPUTED_VALUE"""),"Envy!")</f>
        <v>Envy!</v>
      </c>
      <c r="D694" s="41"/>
      <c r="E694" s="41">
        <f>IFERROR(__xludf.DUMMYFUNCTION("""COMPUTED_VALUE"""),0.0)</f>
        <v>0</v>
      </c>
      <c r="F694" s="41">
        <f>IFERROR(__xludf.DUMMYFUNCTION("""COMPUTED_VALUE"""),1960.0)</f>
        <v>1960</v>
      </c>
    </row>
    <row r="695">
      <c r="A695" s="41" t="b">
        <f>IFERROR(__xludf.DUMMYFUNCTION("""COMPUTED_VALUE"""),TRUE)</f>
        <v>1</v>
      </c>
      <c r="B695" s="41" t="str">
        <f>IFERROR(__xludf.DUMMYFUNCTION("""COMPUTED_VALUE"""),"RSC008191")</f>
        <v>RSC008191</v>
      </c>
      <c r="C695" s="41" t="str">
        <f>IFERROR(__xludf.DUMMYFUNCTION("""COMPUTED_VALUE"""),"Crowbar7570")</f>
        <v>Crowbar7570</v>
      </c>
      <c r="D695" s="41" t="str">
        <f>IFERROR(__xludf.DUMMYFUNCTION("""COMPUTED_VALUE"""),"Guards")</f>
        <v>Guards</v>
      </c>
      <c r="E695" s="41">
        <f>IFERROR(__xludf.DUMMYFUNCTION("""COMPUTED_VALUE"""),2.0)</f>
        <v>2</v>
      </c>
      <c r="F695" s="41">
        <f>IFERROR(__xludf.DUMMYFUNCTION("""COMPUTED_VALUE"""),1380.0)</f>
        <v>1380</v>
      </c>
    </row>
    <row r="696">
      <c r="A696" s="41" t="b">
        <f>IFERROR(__xludf.DUMMYFUNCTION("""COMPUTED_VALUE"""),TRUE)</f>
        <v>1</v>
      </c>
      <c r="B696" s="41" t="str">
        <f>IFERROR(__xludf.DUMMYFUNCTION("""COMPUTED_VALUE"""),"RSC007816")</f>
        <v>RSC007816</v>
      </c>
      <c r="C696" s="41" t="str">
        <f>IFERROR(__xludf.DUMMYFUNCTION("""COMPUTED_VALUE"""),"Auty RL")</f>
        <v>Auty RL</v>
      </c>
      <c r="D696" s="41" t="str">
        <f>IFERROR(__xludf.DUMMYFUNCTION("""COMPUTED_VALUE"""),"Threshers")</f>
        <v>Threshers</v>
      </c>
      <c r="E696" s="41">
        <f>IFERROR(__xludf.DUMMYFUNCTION("""COMPUTED_VALUE"""),1.0)</f>
        <v>1</v>
      </c>
      <c r="F696" s="41">
        <f>IFERROR(__xludf.DUMMYFUNCTION("""COMPUTED_VALUE"""),1175.0)</f>
        <v>1175</v>
      </c>
    </row>
    <row r="697">
      <c r="A697" s="41" t="b">
        <f>IFERROR(__xludf.DUMMYFUNCTION("""COMPUTED_VALUE"""),TRUE)</f>
        <v>1</v>
      </c>
      <c r="B697" s="41" t="str">
        <f>IFERROR(__xludf.DUMMYFUNCTION("""COMPUTED_VALUE"""),"RSC007960")</f>
        <v>RSC007960</v>
      </c>
      <c r="C697" s="41" t="str">
        <f>IFERROR(__xludf.DUMMYFUNCTION("""COMPUTED_VALUE"""),"Kayo")</f>
        <v>Kayo</v>
      </c>
      <c r="D697" s="41" t="str">
        <f>IFERROR(__xludf.DUMMYFUNCTION("""COMPUTED_VALUE"""),"Scramjets")</f>
        <v>Scramjets</v>
      </c>
      <c r="E697" s="41">
        <f>IFERROR(__xludf.DUMMYFUNCTION("""COMPUTED_VALUE"""),2.0)</f>
        <v>2</v>
      </c>
      <c r="F697" s="41">
        <f>IFERROR(__xludf.DUMMYFUNCTION("""COMPUTED_VALUE"""),1300.0)</f>
        <v>1300</v>
      </c>
    </row>
    <row r="698">
      <c r="A698" s="41" t="b">
        <f>IFERROR(__xludf.DUMMYFUNCTION("""COMPUTED_VALUE"""),TRUE)</f>
        <v>1</v>
      </c>
      <c r="B698" s="41" t="str">
        <f>IFERROR(__xludf.DUMMYFUNCTION("""COMPUTED_VALUE"""),"RSC007861")</f>
        <v>RSC007861</v>
      </c>
      <c r="C698" s="41" t="str">
        <f>IFERROR(__xludf.DUMMYFUNCTION("""COMPUTED_VALUE"""),"xmanyaknow")</f>
        <v>xmanyaknow</v>
      </c>
      <c r="D698" s="41" t="str">
        <f>IFERROR(__xludf.DUMMYFUNCTION("""COMPUTED_VALUE"""),"Sons of Ares")</f>
        <v>Sons of Ares</v>
      </c>
      <c r="E698" s="41">
        <f>IFERROR(__xludf.DUMMYFUNCTION("""COMPUTED_VALUE"""),1.0)</f>
        <v>1</v>
      </c>
      <c r="F698" s="41">
        <f>IFERROR(__xludf.DUMMYFUNCTION("""COMPUTED_VALUE"""),1400.0)</f>
        <v>1400</v>
      </c>
    </row>
    <row r="699">
      <c r="A699" s="41" t="b">
        <f>IFERROR(__xludf.DUMMYFUNCTION("""COMPUTED_VALUE"""),TRUE)</f>
        <v>1</v>
      </c>
      <c r="B699" s="41" t="str">
        <f>IFERROR(__xludf.DUMMYFUNCTION("""COMPUTED_VALUE"""),"RSC007831")</f>
        <v>RSC007831</v>
      </c>
      <c r="C699" s="41" t="str">
        <f>IFERROR(__xludf.DUMMYFUNCTION("""COMPUTED_VALUE"""),"Havox.RL")</f>
        <v>Havox.RL</v>
      </c>
      <c r="D699" s="41" t="str">
        <f>IFERROR(__xludf.DUMMYFUNCTION("""COMPUTED_VALUE"""),"Hue Heroes")</f>
        <v>Hue Heroes</v>
      </c>
      <c r="E699" s="41">
        <f>IFERROR(__xludf.DUMMYFUNCTION("""COMPUTED_VALUE"""),1.0)</f>
        <v>1</v>
      </c>
      <c r="F699" s="41">
        <f>IFERROR(__xludf.DUMMYFUNCTION("""COMPUTED_VALUE"""),1350.0)</f>
        <v>1350</v>
      </c>
    </row>
    <row r="700">
      <c r="A700" s="41" t="b">
        <f>IFERROR(__xludf.DUMMYFUNCTION("""COMPUTED_VALUE"""),TRUE)</f>
        <v>1</v>
      </c>
      <c r="B700" s="41" t="str">
        <f>IFERROR(__xludf.DUMMYFUNCTION("""COMPUTED_VALUE"""),"RSC007824")</f>
        <v>RSC007824</v>
      </c>
      <c r="C700" s="41" t="str">
        <f>IFERROR(__xludf.DUMMYFUNCTION("""COMPUTED_VALUE"""),"Akki402")</f>
        <v>Akki402</v>
      </c>
      <c r="D700" s="41" t="str">
        <f>IFERROR(__xludf.DUMMYFUNCTION("""COMPUTED_VALUE"""),"Phoenix")</f>
        <v>Phoenix</v>
      </c>
      <c r="E700" s="41">
        <f>IFERROR(__xludf.DUMMYFUNCTION("""COMPUTED_VALUE"""),2.0)</f>
        <v>2</v>
      </c>
      <c r="F700" s="41">
        <f>IFERROR(__xludf.DUMMYFUNCTION("""COMPUTED_VALUE"""),1290.0)</f>
        <v>1290</v>
      </c>
    </row>
    <row r="701">
      <c r="A701" s="41" t="b">
        <f>IFERROR(__xludf.DUMMYFUNCTION("""COMPUTED_VALUE"""),TRUE)</f>
        <v>1</v>
      </c>
      <c r="B701" s="41" t="str">
        <f>IFERROR(__xludf.DUMMYFUNCTION("""COMPUTED_VALUE"""),"RSC008227")</f>
        <v>RSC008227</v>
      </c>
      <c r="C701" s="41" t="str">
        <f>IFERROR(__xludf.DUMMYFUNCTION("""COMPUTED_VALUE"""),"batman")</f>
        <v>batman</v>
      </c>
      <c r="D701" s="41" t="str">
        <f>IFERROR(__xludf.DUMMYFUNCTION("""COMPUTED_VALUE"""),"Electric Eels")</f>
        <v>Electric Eels</v>
      </c>
      <c r="E701" s="41">
        <f>IFERROR(__xludf.DUMMYFUNCTION("""COMPUTED_VALUE"""),2.0)</f>
        <v>2</v>
      </c>
      <c r="F701" s="41">
        <f>IFERROR(__xludf.DUMMYFUNCTION("""COMPUTED_VALUE"""),920.0)</f>
        <v>920</v>
      </c>
    </row>
    <row r="702">
      <c r="A702" s="41" t="b">
        <f>IFERROR(__xludf.DUMMYFUNCTION("""COMPUTED_VALUE"""),FALSE)</f>
        <v>0</v>
      </c>
      <c r="B702" s="41" t="str">
        <f>IFERROR(__xludf.DUMMYFUNCTION("""COMPUTED_VALUE"""),"RSC008345")</f>
        <v>RSC008345</v>
      </c>
      <c r="C702" s="41" t="str">
        <f>IFERROR(__xludf.DUMMYFUNCTION("""COMPUTED_VALUE"""),"okay Eggy")</f>
        <v>okay Eggy</v>
      </c>
      <c r="D702" s="41"/>
      <c r="E702" s="41">
        <f>IFERROR(__xludf.DUMMYFUNCTION("""COMPUTED_VALUE"""),0.0)</f>
        <v>0</v>
      </c>
      <c r="F702" s="41">
        <f>IFERROR(__xludf.DUMMYFUNCTION("""COMPUTED_VALUE"""),1395.0)</f>
        <v>1395</v>
      </c>
    </row>
    <row r="703">
      <c r="A703" s="41" t="b">
        <f>IFERROR(__xludf.DUMMYFUNCTION("""COMPUTED_VALUE"""),TRUE)</f>
        <v>1</v>
      </c>
      <c r="B703" s="41" t="str">
        <f>IFERROR(__xludf.DUMMYFUNCTION("""COMPUTED_VALUE"""),"RSC007850")</f>
        <v>RSC007850</v>
      </c>
      <c r="C703" s="41" t="str">
        <f>IFERROR(__xludf.DUMMYFUNCTION("""COMPUTED_VALUE"""),"harp NO boost")</f>
        <v>harp NO boost</v>
      </c>
      <c r="D703" s="41" t="str">
        <f>IFERROR(__xludf.DUMMYFUNCTION("""COMPUTED_VALUE"""),"Cannoli")</f>
        <v>Cannoli</v>
      </c>
      <c r="E703" s="41">
        <f>IFERROR(__xludf.DUMMYFUNCTION("""COMPUTED_VALUE"""),2.0)</f>
        <v>2</v>
      </c>
      <c r="F703" s="41">
        <f>IFERROR(__xludf.DUMMYFUNCTION("""COMPUTED_VALUE"""),1420.0)</f>
        <v>1420</v>
      </c>
    </row>
    <row r="704">
      <c r="A704" s="41" t="b">
        <f>IFERROR(__xludf.DUMMYFUNCTION("""COMPUTED_VALUE"""),TRUE)</f>
        <v>1</v>
      </c>
      <c r="B704" s="41" t="str">
        <f>IFERROR(__xludf.DUMMYFUNCTION("""COMPUTED_VALUE"""),"RSC007868")</f>
        <v>RSC007868</v>
      </c>
      <c r="C704" s="41" t="str">
        <f>IFERROR(__xludf.DUMMYFUNCTION("""COMPUTED_VALUE"""),"(Jay)")</f>
        <v>(Jay)</v>
      </c>
      <c r="D704" s="41" t="str">
        <f>IFERROR(__xludf.DUMMYFUNCTION("""COMPUTED_VALUE"""),"Battle Masters")</f>
        <v>Battle Masters</v>
      </c>
      <c r="E704" s="41">
        <f>IFERROR(__xludf.DUMMYFUNCTION("""COMPUTED_VALUE"""),2.0)</f>
        <v>2</v>
      </c>
      <c r="F704" s="41">
        <f>IFERROR(__xludf.DUMMYFUNCTION("""COMPUTED_VALUE"""),1715.0)</f>
        <v>1715</v>
      </c>
    </row>
    <row r="705">
      <c r="A705" s="41" t="b">
        <f>IFERROR(__xludf.DUMMYFUNCTION("""COMPUTED_VALUE"""),TRUE)</f>
        <v>1</v>
      </c>
      <c r="B705" s="41" t="str">
        <f>IFERROR(__xludf.DUMMYFUNCTION("""COMPUTED_VALUE"""),"RSC008260")</f>
        <v>RSC008260</v>
      </c>
      <c r="C705" s="41" t="str">
        <f>IFERROR(__xludf.DUMMYFUNCTION("""COMPUTED_VALUE"""),"Crucified6856")</f>
        <v>Crucified6856</v>
      </c>
      <c r="D705" s="41" t="str">
        <f>IFERROR(__xludf.DUMMYFUNCTION("""COMPUTED_VALUE"""),"Glaciers")</f>
        <v>Glaciers</v>
      </c>
      <c r="E705" s="41">
        <f>IFERROR(__xludf.DUMMYFUNCTION("""COMPUTED_VALUE"""),2.0)</f>
        <v>2</v>
      </c>
      <c r="F705" s="41">
        <f>IFERROR(__xludf.DUMMYFUNCTION("""COMPUTED_VALUE"""),1190.0)</f>
        <v>1190</v>
      </c>
    </row>
    <row r="706">
      <c r="A706" s="41" t="b">
        <f>IFERROR(__xludf.DUMMYFUNCTION("""COMPUTED_VALUE"""),TRUE)</f>
        <v>1</v>
      </c>
      <c r="B706" s="41" t="str">
        <f>IFERROR(__xludf.DUMMYFUNCTION("""COMPUTED_VALUE"""),"RSC007837")</f>
        <v>RSC007837</v>
      </c>
      <c r="C706" s="41" t="str">
        <f>IFERROR(__xludf.DUMMYFUNCTION("""COMPUTED_VALUE"""),"AJgotRizs")</f>
        <v>AJgotRizs</v>
      </c>
      <c r="D706" s="41"/>
      <c r="E706" s="41">
        <f>IFERROR(__xludf.DUMMYFUNCTION("""COMPUTED_VALUE"""),0.0)</f>
        <v>0</v>
      </c>
      <c r="F706" s="41">
        <f>IFERROR(__xludf.DUMMYFUNCTION("""COMPUTED_VALUE"""),1545.0)</f>
        <v>1545</v>
      </c>
    </row>
    <row r="707">
      <c r="A707" s="41" t="b">
        <f>IFERROR(__xludf.DUMMYFUNCTION("""COMPUTED_VALUE"""),TRUE)</f>
        <v>1</v>
      </c>
      <c r="B707" s="41" t="str">
        <f>IFERROR(__xludf.DUMMYFUNCTION("""COMPUTED_VALUE"""),"RSC007852")</f>
        <v>RSC007852</v>
      </c>
      <c r="C707" s="41" t="str">
        <f>IFERROR(__xludf.DUMMYFUNCTION("""COMPUTED_VALUE"""),"Medicmac121")</f>
        <v>Medicmac121</v>
      </c>
      <c r="D707" s="41" t="str">
        <f>IFERROR(__xludf.DUMMYFUNCTION("""COMPUTED_VALUE"""),"Garlic Knots")</f>
        <v>Garlic Knots</v>
      </c>
      <c r="E707" s="41">
        <f>IFERROR(__xludf.DUMMYFUNCTION("""COMPUTED_VALUE"""),1.0)</f>
        <v>1</v>
      </c>
      <c r="F707" s="41">
        <f>IFERROR(__xludf.DUMMYFUNCTION("""COMPUTED_VALUE"""),845.0)</f>
        <v>845</v>
      </c>
    </row>
    <row r="708">
      <c r="A708" s="41" t="b">
        <f>IFERROR(__xludf.DUMMYFUNCTION("""COMPUTED_VALUE"""),TRUE)</f>
        <v>1</v>
      </c>
      <c r="B708" s="41" t="str">
        <f>IFERROR(__xludf.DUMMYFUNCTION("""COMPUTED_VALUE"""),"RSC008120")</f>
        <v>RSC008120</v>
      </c>
      <c r="C708" s="41" t="str">
        <f>IFERROR(__xludf.DUMMYFUNCTION("""COMPUTED_VALUE"""),"spul4k")</f>
        <v>spul4k</v>
      </c>
      <c r="D708" s="41" t="str">
        <f>IFERROR(__xludf.DUMMYFUNCTION("""COMPUTED_VALUE"""),"Glaciers")</f>
        <v>Glaciers</v>
      </c>
      <c r="E708" s="41">
        <f>IFERROR(__xludf.DUMMYFUNCTION("""COMPUTED_VALUE"""),2.0)</f>
        <v>2</v>
      </c>
      <c r="F708" s="41">
        <f>IFERROR(__xludf.DUMMYFUNCTION("""COMPUTED_VALUE"""),1170.0)</f>
        <v>1170</v>
      </c>
    </row>
    <row r="709">
      <c r="A709" s="41" t="b">
        <f>IFERROR(__xludf.DUMMYFUNCTION("""COMPUTED_VALUE"""),TRUE)</f>
        <v>1</v>
      </c>
      <c r="B709" s="41" t="str">
        <f>IFERROR(__xludf.DUMMYFUNCTION("""COMPUTED_VALUE"""),"RSC008165")</f>
        <v>RSC008165</v>
      </c>
      <c r="C709" s="41" t="str">
        <f>IFERROR(__xludf.DUMMYFUNCTION("""COMPUTED_VALUE"""),"JoJo-sepy")</f>
        <v>JoJo-sepy</v>
      </c>
      <c r="D709" s="41" t="str">
        <f>IFERROR(__xludf.DUMMYFUNCTION("""COMPUTED_VALUE"""),"Water")</f>
        <v>Water</v>
      </c>
      <c r="E709" s="41">
        <f>IFERROR(__xludf.DUMMYFUNCTION("""COMPUTED_VALUE"""),2.0)</f>
        <v>2</v>
      </c>
      <c r="F709" s="41">
        <f>IFERROR(__xludf.DUMMYFUNCTION("""COMPUTED_VALUE"""),1420.0)</f>
        <v>1420</v>
      </c>
    </row>
    <row r="710">
      <c r="A710" s="41" t="b">
        <f>IFERROR(__xludf.DUMMYFUNCTION("""COMPUTED_VALUE"""),TRUE)</f>
        <v>1</v>
      </c>
      <c r="B710" s="41" t="str">
        <f>IFERROR(__xludf.DUMMYFUNCTION("""COMPUTED_VALUE"""),"RSC007897")</f>
        <v>RSC007897</v>
      </c>
      <c r="C710" s="41" t="str">
        <f>IFERROR(__xludf.DUMMYFUNCTION("""COMPUTED_VALUE"""),"Synnicall")</f>
        <v>Synnicall</v>
      </c>
      <c r="D710" s="41" t="str">
        <f>IFERROR(__xludf.DUMMYFUNCTION("""COMPUTED_VALUE"""),"Purrgatory")</f>
        <v>Purrgatory</v>
      </c>
      <c r="E710" s="41">
        <f>IFERROR(__xludf.DUMMYFUNCTION("""COMPUTED_VALUE"""),2.0)</f>
        <v>2</v>
      </c>
      <c r="F710" s="41">
        <f>IFERROR(__xludf.DUMMYFUNCTION("""COMPUTED_VALUE"""),1335.0)</f>
        <v>1335</v>
      </c>
    </row>
    <row r="711">
      <c r="A711" s="41" t="b">
        <f>IFERROR(__xludf.DUMMYFUNCTION("""COMPUTED_VALUE"""),TRUE)</f>
        <v>1</v>
      </c>
      <c r="B711" s="41" t="str">
        <f>IFERROR(__xludf.DUMMYFUNCTION("""COMPUTED_VALUE"""),"RSC007877")</f>
        <v>RSC007877</v>
      </c>
      <c r="C711" s="41" t="str">
        <f>IFERROR(__xludf.DUMMYFUNCTION("""COMPUTED_VALUE"""),"Torro")</f>
        <v>Torro</v>
      </c>
      <c r="D711" s="41"/>
      <c r="E711" s="41">
        <f>IFERROR(__xludf.DUMMYFUNCTION("""COMPUTED_VALUE"""),0.0)</f>
        <v>0</v>
      </c>
      <c r="F711" s="41">
        <f>IFERROR(__xludf.DUMMYFUNCTION("""COMPUTED_VALUE"""),1640.0)</f>
        <v>1640</v>
      </c>
    </row>
    <row r="712">
      <c r="A712" s="41" t="b">
        <f>IFERROR(__xludf.DUMMYFUNCTION("""COMPUTED_VALUE"""),TRUE)</f>
        <v>1</v>
      </c>
      <c r="B712" s="41" t="str">
        <f>IFERROR(__xludf.DUMMYFUNCTION("""COMPUTED_VALUE"""),"RSC007565")</f>
        <v>RSC007565</v>
      </c>
      <c r="C712" s="41" t="str">
        <f>IFERROR(__xludf.DUMMYFUNCTION("""COMPUTED_VALUE"""),"AcX")</f>
        <v>AcX</v>
      </c>
      <c r="D712" s="41" t="str">
        <f>IFERROR(__xludf.DUMMYFUNCTION("""COMPUTED_VALUE"""),"Care Bears")</f>
        <v>Care Bears</v>
      </c>
      <c r="E712" s="41">
        <f>IFERROR(__xludf.DUMMYFUNCTION("""COMPUTED_VALUE"""),1.0)</f>
        <v>1</v>
      </c>
      <c r="F712" s="41">
        <f>IFERROR(__xludf.DUMMYFUNCTION("""COMPUTED_VALUE"""),1775.0)</f>
        <v>1775</v>
      </c>
    </row>
    <row r="713">
      <c r="A713" s="41" t="b">
        <f>IFERROR(__xludf.DUMMYFUNCTION("""COMPUTED_VALUE"""),TRUE)</f>
        <v>1</v>
      </c>
      <c r="B713" s="41" t="str">
        <f>IFERROR(__xludf.DUMMYFUNCTION("""COMPUTED_VALUE"""),"RSC008119")</f>
        <v>RSC008119</v>
      </c>
      <c r="C713" s="41" t="str">
        <f>IFERROR(__xludf.DUMMYFUNCTION("""COMPUTED_VALUE"""),"SlimmySlimReaper")</f>
        <v>SlimmySlimReaper</v>
      </c>
      <c r="D713" s="41"/>
      <c r="E713" s="41">
        <f>IFERROR(__xludf.DUMMYFUNCTION("""COMPUTED_VALUE"""),0.0)</f>
        <v>0</v>
      </c>
      <c r="F713" s="41">
        <f>IFERROR(__xludf.DUMMYFUNCTION("""COMPUTED_VALUE"""),1365.0)</f>
        <v>1365</v>
      </c>
    </row>
    <row r="714">
      <c r="A714" s="41" t="b">
        <f>IFERROR(__xludf.DUMMYFUNCTION("""COMPUTED_VALUE"""),TRUE)</f>
        <v>1</v>
      </c>
      <c r="B714" s="41" t="str">
        <f>IFERROR(__xludf.DUMMYFUNCTION("""COMPUTED_VALUE"""),"RSC007866")</f>
        <v>RSC007866</v>
      </c>
      <c r="C714" s="41" t="str">
        <f>IFERROR(__xludf.DUMMYFUNCTION("""COMPUTED_VALUE"""),"Swzyy GN")</f>
        <v>Swzyy GN</v>
      </c>
      <c r="D714" s="41" t="str">
        <f>IFERROR(__xludf.DUMMYFUNCTION("""COMPUTED_VALUE"""),"Metal")</f>
        <v>Metal</v>
      </c>
      <c r="E714" s="41">
        <f>IFERROR(__xludf.DUMMYFUNCTION("""COMPUTED_VALUE"""),1.0)</f>
        <v>1</v>
      </c>
      <c r="F714" s="41">
        <f>IFERROR(__xludf.DUMMYFUNCTION("""COMPUTED_VALUE"""),1215.0)</f>
        <v>1215</v>
      </c>
    </row>
    <row r="715">
      <c r="A715" s="41" t="b">
        <f>IFERROR(__xludf.DUMMYFUNCTION("""COMPUTED_VALUE"""),TRUE)</f>
        <v>1</v>
      </c>
      <c r="B715" s="41" t="str">
        <f>IFERROR(__xludf.DUMMYFUNCTION("""COMPUTED_VALUE"""),"RSC008585")</f>
        <v>RSC008585</v>
      </c>
      <c r="C715" s="41" t="str">
        <f>IFERROR(__xludf.DUMMYFUNCTION("""COMPUTED_VALUE"""),"Steezer")</f>
        <v>Steezer</v>
      </c>
      <c r="D715" s="41"/>
      <c r="E715" s="41">
        <f>IFERROR(__xludf.DUMMYFUNCTION("""COMPUTED_VALUE"""),0.0)</f>
        <v>0</v>
      </c>
      <c r="F715" s="41">
        <f>IFERROR(__xludf.DUMMYFUNCTION("""COMPUTED_VALUE"""),1315.0)</f>
        <v>1315</v>
      </c>
    </row>
    <row r="716">
      <c r="A716" s="41" t="b">
        <f>IFERROR(__xludf.DUMMYFUNCTION("""COMPUTED_VALUE"""),TRUE)</f>
        <v>1</v>
      </c>
      <c r="B716" s="41" t="str">
        <f>IFERROR(__xludf.DUMMYFUNCTION("""COMPUTED_VALUE"""),"RSC000140")</f>
        <v>RSC000140</v>
      </c>
      <c r="C716" s="41" t="str">
        <f>IFERROR(__xludf.DUMMYFUNCTION("""COMPUTED_VALUE"""),"Kaeso Clarus")</f>
        <v>Kaeso Clarus</v>
      </c>
      <c r="D716" s="41"/>
      <c r="E716" s="41">
        <f>IFERROR(__xludf.DUMMYFUNCTION("""COMPUTED_VALUE"""),0.0)</f>
        <v>0</v>
      </c>
      <c r="F716" s="41">
        <f>IFERROR(__xludf.DUMMYFUNCTION("""COMPUTED_VALUE"""),1370.0)</f>
        <v>1370</v>
      </c>
    </row>
    <row r="717">
      <c r="A717" s="41" t="b">
        <f>IFERROR(__xludf.DUMMYFUNCTION("""COMPUTED_VALUE"""),FALSE)</f>
        <v>0</v>
      </c>
      <c r="B717" s="41" t="str">
        <f>IFERROR(__xludf.DUMMYFUNCTION("""COMPUTED_VALUE"""),"RSC008067")</f>
        <v>RSC008067</v>
      </c>
      <c r="C717" s="41" t="str">
        <f>IFERROR(__xludf.DUMMYFUNCTION("""COMPUTED_VALUE"""),"PH4NT0M_RL")</f>
        <v>PH4NT0M_RL</v>
      </c>
      <c r="D717" s="41"/>
      <c r="E717" s="41">
        <f>IFERROR(__xludf.DUMMYFUNCTION("""COMPUTED_VALUE"""),0.0)</f>
        <v>0</v>
      </c>
      <c r="F717" s="41">
        <f>IFERROR(__xludf.DUMMYFUNCTION("""COMPUTED_VALUE"""),600.0)</f>
        <v>600</v>
      </c>
    </row>
    <row r="718">
      <c r="A718" s="41" t="b">
        <f>IFERROR(__xludf.DUMMYFUNCTION("""COMPUTED_VALUE"""),TRUE)</f>
        <v>1</v>
      </c>
      <c r="B718" s="41" t="str">
        <f>IFERROR(__xludf.DUMMYFUNCTION("""COMPUTED_VALUE"""),"RSC002897")</f>
        <v>RSC002897</v>
      </c>
      <c r="C718" s="41" t="str">
        <f>IFERROR(__xludf.DUMMYFUNCTION("""COMPUTED_VALUE"""),"VickyViksta")</f>
        <v>VickyViksta</v>
      </c>
      <c r="D718" s="41" t="str">
        <f>IFERROR(__xludf.DUMMYFUNCTION("""COMPUTED_VALUE"""),"Panda Bears")</f>
        <v>Panda Bears</v>
      </c>
      <c r="E718" s="41">
        <f>IFERROR(__xludf.DUMMYFUNCTION("""COMPUTED_VALUE"""),1.0)</f>
        <v>1</v>
      </c>
      <c r="F718" s="41">
        <f>IFERROR(__xludf.DUMMYFUNCTION("""COMPUTED_VALUE"""),1180.0)</f>
        <v>1180</v>
      </c>
    </row>
    <row r="719">
      <c r="A719" s="41" t="b">
        <f>IFERROR(__xludf.DUMMYFUNCTION("""COMPUTED_VALUE"""),TRUE)</f>
        <v>1</v>
      </c>
      <c r="B719" s="41" t="str">
        <f>IFERROR(__xludf.DUMMYFUNCTION("""COMPUTED_VALUE"""),"RSC007341")</f>
        <v>RSC007341</v>
      </c>
      <c r="C719" s="41" t="str">
        <f>IFERROR(__xludf.DUMMYFUNCTION("""COMPUTED_VALUE"""),"Squashy")</f>
        <v>Squashy</v>
      </c>
      <c r="D719" s="41" t="str">
        <f>IFERROR(__xludf.DUMMYFUNCTION("""COMPUTED_VALUE"""),"Raptors")</f>
        <v>Raptors</v>
      </c>
      <c r="E719" s="41">
        <f>IFERROR(__xludf.DUMMYFUNCTION("""COMPUTED_VALUE"""),1.0)</f>
        <v>1</v>
      </c>
      <c r="F719" s="41">
        <f>IFERROR(__xludf.DUMMYFUNCTION("""COMPUTED_VALUE"""),1530.0)</f>
        <v>1530</v>
      </c>
    </row>
    <row r="720">
      <c r="A720" s="41" t="b">
        <f>IFERROR(__xludf.DUMMYFUNCTION("""COMPUTED_VALUE"""),TRUE)</f>
        <v>1</v>
      </c>
      <c r="B720" s="41" t="str">
        <f>IFERROR(__xludf.DUMMYFUNCTION("""COMPUTED_VALUE"""),"RSC007876")</f>
        <v>RSC007876</v>
      </c>
      <c r="C720" s="41" t="str">
        <f>IFERROR(__xludf.DUMMYFUNCTION("""COMPUTED_VALUE"""),"dwsn.")</f>
        <v>dwsn.</v>
      </c>
      <c r="D720" s="41" t="str">
        <f>IFERROR(__xludf.DUMMYFUNCTION("""COMPUTED_VALUE"""),"Helicoprions")</f>
        <v>Helicoprions</v>
      </c>
      <c r="E720" s="41">
        <f>IFERROR(__xludf.DUMMYFUNCTION("""COMPUTED_VALUE"""),1.0)</f>
        <v>1</v>
      </c>
      <c r="F720" s="41">
        <f>IFERROR(__xludf.DUMMYFUNCTION("""COMPUTED_VALUE"""),1765.0)</f>
        <v>1765</v>
      </c>
    </row>
    <row r="721">
      <c r="A721" s="41" t="b">
        <f>IFERROR(__xludf.DUMMYFUNCTION("""COMPUTED_VALUE"""),TRUE)</f>
        <v>1</v>
      </c>
      <c r="B721" s="41" t="str">
        <f>IFERROR(__xludf.DUMMYFUNCTION("""COMPUTED_VALUE"""),"RSC007908")</f>
        <v>RSC007908</v>
      </c>
      <c r="C721" s="41" t="str">
        <f>IFERROR(__xludf.DUMMYFUNCTION("""COMPUTED_VALUE"""),"C01E01")</f>
        <v>C01E01</v>
      </c>
      <c r="D721" s="41" t="str">
        <f>IFERROR(__xludf.DUMMYFUNCTION("""COMPUTED_VALUE"""),"Hydras")</f>
        <v>Hydras</v>
      </c>
      <c r="E721" s="41">
        <f>IFERROR(__xludf.DUMMYFUNCTION("""COMPUTED_VALUE"""),2.0)</f>
        <v>2</v>
      </c>
      <c r="F721" s="41">
        <f>IFERROR(__xludf.DUMMYFUNCTION("""COMPUTED_VALUE"""),1625.0)</f>
        <v>1625</v>
      </c>
    </row>
    <row r="722">
      <c r="A722" s="41" t="b">
        <f>IFERROR(__xludf.DUMMYFUNCTION("""COMPUTED_VALUE"""),TRUE)</f>
        <v>1</v>
      </c>
      <c r="B722" s="41" t="str">
        <f>IFERROR(__xludf.DUMMYFUNCTION("""COMPUTED_VALUE"""),"RSC007875")</f>
        <v>RSC007875</v>
      </c>
      <c r="C722" s="41" t="str">
        <f>IFERROR(__xludf.DUMMYFUNCTION("""COMPUTED_VALUE"""),"Flying__ferret")</f>
        <v>Flying__ferret</v>
      </c>
      <c r="D722" s="41"/>
      <c r="E722" s="41">
        <f>IFERROR(__xludf.DUMMYFUNCTION("""COMPUTED_VALUE"""),0.0)</f>
        <v>0</v>
      </c>
      <c r="F722" s="41">
        <f>IFERROR(__xludf.DUMMYFUNCTION("""COMPUTED_VALUE"""),880.0)</f>
        <v>880</v>
      </c>
    </row>
    <row r="723">
      <c r="A723" s="41" t="b">
        <f>IFERROR(__xludf.DUMMYFUNCTION("""COMPUTED_VALUE"""),TRUE)</f>
        <v>1</v>
      </c>
      <c r="B723" s="41" t="str">
        <f>IFERROR(__xludf.DUMMYFUNCTION("""COMPUTED_VALUE"""),"RSC004618")</f>
        <v>RSC004618</v>
      </c>
      <c r="C723" s="41" t="str">
        <f>IFERROR(__xludf.DUMMYFUNCTION("""COMPUTED_VALUE"""),"Squirrel")</f>
        <v>Squirrel</v>
      </c>
      <c r="D723" s="41" t="str">
        <f>IFERROR(__xludf.DUMMYFUNCTION("""COMPUTED_VALUE"""),"Spearmint")</f>
        <v>Spearmint</v>
      </c>
      <c r="E723" s="41">
        <f>IFERROR(__xludf.DUMMYFUNCTION("""COMPUTED_VALUE"""),2.0)</f>
        <v>2</v>
      </c>
      <c r="F723" s="41">
        <f>IFERROR(__xludf.DUMMYFUNCTION("""COMPUTED_VALUE"""),1230.0)</f>
        <v>1230</v>
      </c>
    </row>
    <row r="724">
      <c r="A724" s="41" t="b">
        <f>IFERROR(__xludf.DUMMYFUNCTION("""COMPUTED_VALUE"""),TRUE)</f>
        <v>1</v>
      </c>
      <c r="B724" s="41" t="str">
        <f>IFERROR(__xludf.DUMMYFUNCTION("""COMPUTED_VALUE"""),"RSC008529")</f>
        <v>RSC008529</v>
      </c>
      <c r="C724" s="41" t="str">
        <f>IFERROR(__xludf.DUMMYFUNCTION("""COMPUTED_VALUE"""),"chr1stian s")</f>
        <v>chr1stian s</v>
      </c>
      <c r="D724" s="41"/>
      <c r="E724" s="41">
        <f>IFERROR(__xludf.DUMMYFUNCTION("""COMPUTED_VALUE"""),0.0)</f>
        <v>0</v>
      </c>
      <c r="F724" s="41">
        <f>IFERROR(__xludf.DUMMYFUNCTION("""COMPUTED_VALUE"""),1330.0)</f>
        <v>1330</v>
      </c>
    </row>
    <row r="725">
      <c r="A725" s="41" t="b">
        <f>IFERROR(__xludf.DUMMYFUNCTION("""COMPUTED_VALUE"""),TRUE)</f>
        <v>1</v>
      </c>
      <c r="B725" s="41" t="str">
        <f>IFERROR(__xludf.DUMMYFUNCTION("""COMPUTED_VALUE"""),"RSC007874")</f>
        <v>RSC007874</v>
      </c>
      <c r="C725" s="41" t="str">
        <f>IFERROR(__xludf.DUMMYFUNCTION("""COMPUTED_VALUE"""),"Salty Num Num")</f>
        <v>Salty Num Num</v>
      </c>
      <c r="D725" s="41"/>
      <c r="E725" s="41">
        <f>IFERROR(__xludf.DUMMYFUNCTION("""COMPUTED_VALUE"""),0.0)</f>
        <v>0</v>
      </c>
      <c r="F725" s="41">
        <f>IFERROR(__xludf.DUMMYFUNCTION("""COMPUTED_VALUE"""),1065.0)</f>
        <v>1065</v>
      </c>
    </row>
    <row r="726">
      <c r="A726" s="41" t="b">
        <f>IFERROR(__xludf.DUMMYFUNCTION("""COMPUTED_VALUE"""),FALSE)</f>
        <v>0</v>
      </c>
      <c r="B726" s="41" t="str">
        <f>IFERROR(__xludf.DUMMYFUNCTION("""COMPUTED_VALUE"""),"RSC008632")</f>
        <v>RSC008632</v>
      </c>
      <c r="C726" s="41" t="str">
        <f>IFERROR(__xludf.DUMMYFUNCTION("""COMPUTED_VALUE"""),"crisis")</f>
        <v>crisis</v>
      </c>
      <c r="D726" s="41"/>
      <c r="E726" s="41">
        <f>IFERROR(__xludf.DUMMYFUNCTION("""COMPUTED_VALUE"""),0.0)</f>
        <v>0</v>
      </c>
      <c r="F726" s="41">
        <f>IFERROR(__xludf.DUMMYFUNCTION("""COMPUTED_VALUE"""),600.0)</f>
        <v>600</v>
      </c>
    </row>
    <row r="727">
      <c r="A727" s="41" t="b">
        <f>IFERROR(__xludf.DUMMYFUNCTION("""COMPUTED_VALUE"""),TRUE)</f>
        <v>1</v>
      </c>
      <c r="B727" s="41" t="str">
        <f>IFERROR(__xludf.DUMMYFUNCTION("""COMPUTED_VALUE"""),"RSC005136")</f>
        <v>RSC005136</v>
      </c>
      <c r="C727" s="41" t="str">
        <f>IFERROR(__xludf.DUMMYFUNCTION("""COMPUTED_VALUE"""),"tdogplayz")</f>
        <v>tdogplayz</v>
      </c>
      <c r="D727" s="41" t="str">
        <f>IFERROR(__xludf.DUMMYFUNCTION("""COMPUTED_VALUE"""),"Glams")</f>
        <v>Glams</v>
      </c>
      <c r="E727" s="41">
        <f>IFERROR(__xludf.DUMMYFUNCTION("""COMPUTED_VALUE"""),1.0)</f>
        <v>1</v>
      </c>
      <c r="F727" s="41">
        <f>IFERROR(__xludf.DUMMYFUNCTION("""COMPUTED_VALUE"""),1200.0)</f>
        <v>1200</v>
      </c>
    </row>
    <row r="728">
      <c r="A728" s="41" t="b">
        <f>IFERROR(__xludf.DUMMYFUNCTION("""COMPUTED_VALUE"""),TRUE)</f>
        <v>1</v>
      </c>
      <c r="B728" s="41" t="str">
        <f>IFERROR(__xludf.DUMMYFUNCTION("""COMPUTED_VALUE"""),"RSC007885")</f>
        <v>RSC007885</v>
      </c>
      <c r="C728" s="41" t="str">
        <f>IFERROR(__xludf.DUMMYFUNCTION("""COMPUTED_VALUE"""),"Larkspur")</f>
        <v>Larkspur</v>
      </c>
      <c r="D728" s="41" t="str">
        <f>IFERROR(__xludf.DUMMYFUNCTION("""COMPUTED_VALUE"""),"Stingrays")</f>
        <v>Stingrays</v>
      </c>
      <c r="E728" s="41">
        <f>IFERROR(__xludf.DUMMYFUNCTION("""COMPUTED_VALUE"""),1.0)</f>
        <v>1</v>
      </c>
      <c r="F728" s="41">
        <f>IFERROR(__xludf.DUMMYFUNCTION("""COMPUTED_VALUE"""),1165.0)</f>
        <v>1165</v>
      </c>
    </row>
    <row r="729">
      <c r="A729" s="41" t="b">
        <f>IFERROR(__xludf.DUMMYFUNCTION("""COMPUTED_VALUE"""),TRUE)</f>
        <v>1</v>
      </c>
      <c r="B729" s="41" t="str">
        <f>IFERROR(__xludf.DUMMYFUNCTION("""COMPUTED_VALUE"""),"RSC007906")</f>
        <v>RSC007906</v>
      </c>
      <c r="C729" s="41" t="str">
        <f>IFERROR(__xludf.DUMMYFUNCTION("""COMPUTED_VALUE"""),"Vaz1fy.")</f>
        <v>Vaz1fy.</v>
      </c>
      <c r="D729" s="41" t="str">
        <f>IFERROR(__xludf.DUMMYFUNCTION("""COMPUTED_VALUE"""),"Supernova")</f>
        <v>Supernova</v>
      </c>
      <c r="E729" s="41">
        <f>IFERROR(__xludf.DUMMYFUNCTION("""COMPUTED_VALUE"""),1.0)</f>
        <v>1</v>
      </c>
      <c r="F729" s="41">
        <f>IFERROR(__xludf.DUMMYFUNCTION("""COMPUTED_VALUE"""),1410.0)</f>
        <v>1410</v>
      </c>
    </row>
    <row r="730">
      <c r="A730" s="41" t="b">
        <f>IFERROR(__xludf.DUMMYFUNCTION("""COMPUTED_VALUE"""),TRUE)</f>
        <v>1</v>
      </c>
      <c r="B730" s="41" t="str">
        <f>IFERROR(__xludf.DUMMYFUNCTION("""COMPUTED_VALUE"""),"RSC003737")</f>
        <v>RSC003737</v>
      </c>
      <c r="C730" s="41" t="str">
        <f>IFERROR(__xludf.DUMMYFUNCTION("""COMPUTED_VALUE"""),"MeOnDisplay")</f>
        <v>MeOnDisplay</v>
      </c>
      <c r="D730" s="41" t="str">
        <f>IFERROR(__xludf.DUMMYFUNCTION("""COMPUTED_VALUE"""),"Happy B-day Jess")</f>
        <v>Happy B-day Jess</v>
      </c>
      <c r="E730" s="41">
        <f>IFERROR(__xludf.DUMMYFUNCTION("""COMPUTED_VALUE"""),2.0)</f>
        <v>2</v>
      </c>
      <c r="F730" s="41">
        <f>IFERROR(__xludf.DUMMYFUNCTION("""COMPUTED_VALUE"""),1085.0)</f>
        <v>1085</v>
      </c>
    </row>
    <row r="731">
      <c r="A731" s="41" t="b">
        <f>IFERROR(__xludf.DUMMYFUNCTION("""COMPUTED_VALUE"""),TRUE)</f>
        <v>1</v>
      </c>
      <c r="B731" s="41" t="str">
        <f>IFERROR(__xludf.DUMMYFUNCTION("""COMPUTED_VALUE"""),"RSC008332")</f>
        <v>RSC008332</v>
      </c>
      <c r="C731" s="41" t="str">
        <f>IFERROR(__xludf.DUMMYFUNCTION("""COMPUTED_VALUE"""),"QuaviusProd")</f>
        <v>QuaviusProd</v>
      </c>
      <c r="D731" s="41"/>
      <c r="E731" s="41">
        <f>IFERROR(__xludf.DUMMYFUNCTION("""COMPUTED_VALUE"""),0.0)</f>
        <v>0</v>
      </c>
      <c r="F731" s="41">
        <f>IFERROR(__xludf.DUMMYFUNCTION("""COMPUTED_VALUE"""),1110.0)</f>
        <v>1110</v>
      </c>
    </row>
    <row r="732">
      <c r="A732" s="41" t="b">
        <f>IFERROR(__xludf.DUMMYFUNCTION("""COMPUTED_VALUE"""),TRUE)</f>
        <v>1</v>
      </c>
      <c r="B732" s="41" t="str">
        <f>IFERROR(__xludf.DUMMYFUNCTION("""COMPUTED_VALUE"""),"RSC007886")</f>
        <v>RSC007886</v>
      </c>
      <c r="C732" s="41" t="str">
        <f>IFERROR(__xludf.DUMMYFUNCTION("""COMPUTED_VALUE"""),"Dino incarnate")</f>
        <v>Dino incarnate</v>
      </c>
      <c r="D732" s="41" t="str">
        <f>IFERROR(__xludf.DUMMYFUNCTION("""COMPUTED_VALUE"""),"Skeletons")</f>
        <v>Skeletons</v>
      </c>
      <c r="E732" s="41">
        <f>IFERROR(__xludf.DUMMYFUNCTION("""COMPUTED_VALUE"""),2.0)</f>
        <v>2</v>
      </c>
      <c r="F732" s="41">
        <f>IFERROR(__xludf.DUMMYFUNCTION("""COMPUTED_VALUE"""),1060.0)</f>
        <v>1060</v>
      </c>
    </row>
    <row r="733">
      <c r="A733" s="41" t="b">
        <f>IFERROR(__xludf.DUMMYFUNCTION("""COMPUTED_VALUE"""),TRUE)</f>
        <v>1</v>
      </c>
      <c r="B733" s="41" t="str">
        <f>IFERROR(__xludf.DUMMYFUNCTION("""COMPUTED_VALUE"""),"RSC005349")</f>
        <v>RSC005349</v>
      </c>
      <c r="C733" s="41" t="str">
        <f>IFERROR(__xludf.DUMMYFUNCTION("""COMPUTED_VALUE"""),"Rzemb1e")</f>
        <v>Rzemb1e</v>
      </c>
      <c r="D733" s="41"/>
      <c r="E733" s="41">
        <f>IFERROR(__xludf.DUMMYFUNCTION("""COMPUTED_VALUE"""),0.0)</f>
        <v>0</v>
      </c>
      <c r="F733" s="41">
        <f>IFERROR(__xludf.DUMMYFUNCTION("""COMPUTED_VALUE"""),1750.0)</f>
        <v>1750</v>
      </c>
    </row>
    <row r="734">
      <c r="A734" s="41" t="b">
        <f>IFERROR(__xludf.DUMMYFUNCTION("""COMPUTED_VALUE"""),TRUE)</f>
        <v>1</v>
      </c>
      <c r="B734" s="41" t="str">
        <f>IFERROR(__xludf.DUMMYFUNCTION("""COMPUTED_VALUE"""),"RSC008012")</f>
        <v>RSC008012</v>
      </c>
      <c r="C734" s="41" t="str">
        <f>IFERROR(__xludf.DUMMYFUNCTION("""COMPUTED_VALUE"""),"mushxie")</f>
        <v>mushxie</v>
      </c>
      <c r="D734" s="41"/>
      <c r="E734" s="41">
        <f>IFERROR(__xludf.DUMMYFUNCTION("""COMPUTED_VALUE"""),0.0)</f>
        <v>0</v>
      </c>
      <c r="F734" s="41">
        <f>IFERROR(__xludf.DUMMYFUNCTION("""COMPUTED_VALUE"""),1070.0)</f>
        <v>1070</v>
      </c>
    </row>
    <row r="735">
      <c r="A735" s="41" t="b">
        <f>IFERROR(__xludf.DUMMYFUNCTION("""COMPUTED_VALUE"""),TRUE)</f>
        <v>1</v>
      </c>
      <c r="B735" s="41" t="str">
        <f>IFERROR(__xludf.DUMMYFUNCTION("""COMPUTED_VALUE"""),"RSC002911")</f>
        <v>RSC002911</v>
      </c>
      <c r="C735" s="41" t="str">
        <f>IFERROR(__xludf.DUMMYFUNCTION("""COMPUTED_VALUE"""),"Alextross")</f>
        <v>Alextross</v>
      </c>
      <c r="D735" s="41"/>
      <c r="E735" s="41">
        <f>IFERROR(__xludf.DUMMYFUNCTION("""COMPUTED_VALUE"""),0.0)</f>
        <v>0</v>
      </c>
      <c r="F735" s="41">
        <f>IFERROR(__xludf.DUMMYFUNCTION("""COMPUTED_VALUE"""),1140.0)</f>
        <v>1140</v>
      </c>
    </row>
    <row r="736">
      <c r="A736" s="41" t="b">
        <f>IFERROR(__xludf.DUMMYFUNCTION("""COMPUTED_VALUE"""),TRUE)</f>
        <v>1</v>
      </c>
      <c r="B736" s="41" t="str">
        <f>IFERROR(__xludf.DUMMYFUNCTION("""COMPUTED_VALUE"""),"RSC008217")</f>
        <v>RSC008217</v>
      </c>
      <c r="C736" s="41" t="str">
        <f>IFERROR(__xludf.DUMMYFUNCTION("""COMPUTED_VALUE"""),"Legitmrmouse")</f>
        <v>Legitmrmouse</v>
      </c>
      <c r="D736" s="41" t="str">
        <f>IFERROR(__xludf.DUMMYFUNCTION("""COMPUTED_VALUE"""),"Polar Bears")</f>
        <v>Polar Bears</v>
      </c>
      <c r="E736" s="41">
        <f>IFERROR(__xludf.DUMMYFUNCTION("""COMPUTED_VALUE"""),1.0)</f>
        <v>1</v>
      </c>
      <c r="F736" s="41">
        <f>IFERROR(__xludf.DUMMYFUNCTION("""COMPUTED_VALUE"""),1320.0)</f>
        <v>1320</v>
      </c>
    </row>
    <row r="737">
      <c r="A737" s="41" t="b">
        <f>IFERROR(__xludf.DUMMYFUNCTION("""COMPUTED_VALUE"""),TRUE)</f>
        <v>1</v>
      </c>
      <c r="B737" s="41" t="str">
        <f>IFERROR(__xludf.DUMMYFUNCTION("""COMPUTED_VALUE"""),"RSC008031")</f>
        <v>RSC008031</v>
      </c>
      <c r="C737" s="41" t="str">
        <f>IFERROR(__xludf.DUMMYFUNCTION("""COMPUTED_VALUE"""),"timthebigone")</f>
        <v>timthebigone</v>
      </c>
      <c r="D737" s="41"/>
      <c r="E737" s="41">
        <f>IFERROR(__xludf.DUMMYFUNCTION("""COMPUTED_VALUE"""),0.0)</f>
        <v>0</v>
      </c>
      <c r="F737" s="41">
        <f>IFERROR(__xludf.DUMMYFUNCTION("""COMPUTED_VALUE"""),1090.0)</f>
        <v>1090</v>
      </c>
    </row>
    <row r="738">
      <c r="A738" s="41" t="b">
        <f>IFERROR(__xludf.DUMMYFUNCTION("""COMPUTED_VALUE"""),FALSE)</f>
        <v>0</v>
      </c>
      <c r="B738" s="41" t="str">
        <f>IFERROR(__xludf.DUMMYFUNCTION("""COMPUTED_VALUE"""),"RSC008334")</f>
        <v>RSC008334</v>
      </c>
      <c r="C738" s="41" t="str">
        <f>IFERROR(__xludf.DUMMYFUNCTION("""COMPUTED_VALUE"""),"Nullµµ")</f>
        <v>Nullµµ</v>
      </c>
      <c r="D738" s="41"/>
      <c r="E738" s="41">
        <f>IFERROR(__xludf.DUMMYFUNCTION("""COMPUTED_VALUE"""),0.0)</f>
        <v>0</v>
      </c>
      <c r="F738" s="41">
        <f>IFERROR(__xludf.DUMMYFUNCTION("""COMPUTED_VALUE"""),1650.0)</f>
        <v>1650</v>
      </c>
    </row>
    <row r="739">
      <c r="A739" s="41" t="b">
        <f>IFERROR(__xludf.DUMMYFUNCTION("""COMPUTED_VALUE"""),TRUE)</f>
        <v>1</v>
      </c>
      <c r="B739" s="41" t="str">
        <f>IFERROR(__xludf.DUMMYFUNCTION("""COMPUTED_VALUE"""),"RSC007099")</f>
        <v>RSC007099</v>
      </c>
      <c r="C739" s="41" t="str">
        <f>IFERROR(__xludf.DUMMYFUNCTION("""COMPUTED_VALUE"""),"clankerh8er49")</f>
        <v>clankerh8er49</v>
      </c>
      <c r="D739" s="41"/>
      <c r="E739" s="41">
        <f>IFERROR(__xludf.DUMMYFUNCTION("""COMPUTED_VALUE"""),0.0)</f>
        <v>0</v>
      </c>
      <c r="F739" s="41">
        <f>IFERROR(__xludf.DUMMYFUNCTION("""COMPUTED_VALUE"""),1720.0)</f>
        <v>1720</v>
      </c>
    </row>
    <row r="740">
      <c r="A740" s="41" t="b">
        <f>IFERROR(__xludf.DUMMYFUNCTION("""COMPUTED_VALUE"""),FALSE)</f>
        <v>0</v>
      </c>
      <c r="B740" s="41" t="str">
        <f>IFERROR(__xludf.DUMMYFUNCTION("""COMPUTED_VALUE"""),"RSC008024")</f>
        <v>RSC008024</v>
      </c>
      <c r="C740" s="41" t="str">
        <f>IFERROR(__xludf.DUMMYFUNCTION("""COMPUTED_VALUE"""),"Grandejuevos45")</f>
        <v>Grandejuevos45</v>
      </c>
      <c r="D740" s="41"/>
      <c r="E740" s="41">
        <f>IFERROR(__xludf.DUMMYFUNCTION("""COMPUTED_VALUE"""),1.0)</f>
        <v>1</v>
      </c>
      <c r="F740" s="41">
        <f>IFERROR(__xludf.DUMMYFUNCTION("""COMPUTED_VALUE"""),1435.0)</f>
        <v>1435</v>
      </c>
    </row>
    <row r="741">
      <c r="A741" s="41" t="b">
        <f>IFERROR(__xludf.DUMMYFUNCTION("""COMPUTED_VALUE"""),FALSE)</f>
        <v>0</v>
      </c>
      <c r="B741" s="41" t="str">
        <f>IFERROR(__xludf.DUMMYFUNCTION("""COMPUTED_VALUE"""),"RSC007376")</f>
        <v>RSC007376</v>
      </c>
      <c r="C741" s="41" t="str">
        <f>IFERROR(__xludf.DUMMYFUNCTION("""COMPUTED_VALUE"""),"Xcalibur9659")</f>
        <v>Xcalibur9659</v>
      </c>
      <c r="D741" s="41"/>
      <c r="E741" s="41">
        <f>IFERROR(__xludf.DUMMYFUNCTION("""COMPUTED_VALUE"""),0.0)</f>
        <v>0</v>
      </c>
      <c r="F741" s="41">
        <f>IFERROR(__xludf.DUMMYFUNCTION("""COMPUTED_VALUE"""),1145.0)</f>
        <v>1145</v>
      </c>
    </row>
    <row r="742">
      <c r="A742" s="41" t="b">
        <f>IFERROR(__xludf.DUMMYFUNCTION("""COMPUTED_VALUE"""),TRUE)</f>
        <v>1</v>
      </c>
      <c r="B742" s="41" t="str">
        <f>IFERROR(__xludf.DUMMYFUNCTION("""COMPUTED_VALUE"""),"RSC002706")</f>
        <v>RSC002706</v>
      </c>
      <c r="C742" s="41" t="str">
        <f>IFERROR(__xludf.DUMMYFUNCTION("""COMPUTED_VALUE"""),"Zarthon77")</f>
        <v>Zarthon77</v>
      </c>
      <c r="D742" s="41" t="str">
        <f>IFERROR(__xludf.DUMMYFUNCTION("""COMPUTED_VALUE"""),"Sons of Ares")</f>
        <v>Sons of Ares</v>
      </c>
      <c r="E742" s="41">
        <f>IFERROR(__xludf.DUMMYFUNCTION("""COMPUTED_VALUE"""),1.0)</f>
        <v>1</v>
      </c>
      <c r="F742" s="41">
        <f>IFERROR(__xludf.DUMMYFUNCTION("""COMPUTED_VALUE"""),1440.0)</f>
        <v>1440</v>
      </c>
    </row>
    <row r="743">
      <c r="A743" s="41" t="b">
        <f>IFERROR(__xludf.DUMMYFUNCTION("""COMPUTED_VALUE"""),TRUE)</f>
        <v>1</v>
      </c>
      <c r="B743" s="41" t="str">
        <f>IFERROR(__xludf.DUMMYFUNCTION("""COMPUTED_VALUE"""),"RSC000996")</f>
        <v>RSC000996</v>
      </c>
      <c r="C743" s="41" t="str">
        <f>IFERROR(__xludf.DUMMYFUNCTION("""COMPUTED_VALUE"""),"GreenSleeves")</f>
        <v>GreenSleeves</v>
      </c>
      <c r="D743" s="41"/>
      <c r="E743" s="41">
        <f>IFERROR(__xludf.DUMMYFUNCTION("""COMPUTED_VALUE"""),0.0)</f>
        <v>0</v>
      </c>
      <c r="F743" s="41">
        <f>IFERROR(__xludf.DUMMYFUNCTION("""COMPUTED_VALUE"""),1865.0)</f>
        <v>1865</v>
      </c>
    </row>
    <row r="744">
      <c r="A744" s="41" t="b">
        <f>IFERROR(__xludf.DUMMYFUNCTION("""COMPUTED_VALUE"""),FALSE)</f>
        <v>0</v>
      </c>
      <c r="B744" s="41" t="str">
        <f>IFERROR(__xludf.DUMMYFUNCTION("""COMPUTED_VALUE"""),"RSC007997")</f>
        <v>RSC007997</v>
      </c>
      <c r="C744" s="41" t="str">
        <f>IFERROR(__xludf.DUMMYFUNCTION("""COMPUTED_VALUE"""),"dreamyrll")</f>
        <v>dreamyrll</v>
      </c>
      <c r="D744" s="41"/>
      <c r="E744" s="41">
        <f>IFERROR(__xludf.DUMMYFUNCTION("""COMPUTED_VALUE"""),1.0)</f>
        <v>1</v>
      </c>
      <c r="F744" s="41">
        <f>IFERROR(__xludf.DUMMYFUNCTION("""COMPUTED_VALUE"""),1720.0)</f>
        <v>1720</v>
      </c>
    </row>
    <row r="745">
      <c r="A745" s="41" t="b">
        <f>IFERROR(__xludf.DUMMYFUNCTION("""COMPUTED_VALUE"""),FALSE)</f>
        <v>0</v>
      </c>
      <c r="B745" s="41" t="str">
        <f>IFERROR(__xludf.DUMMYFUNCTION("""COMPUTED_VALUE"""),"RSC008042")</f>
        <v>RSC008042</v>
      </c>
      <c r="C745" s="41" t="str">
        <f>IFERROR(__xludf.DUMMYFUNCTION("""COMPUTED_VALUE"""),"SunSetta")</f>
        <v>SunSetta</v>
      </c>
      <c r="D745" s="41"/>
      <c r="E745" s="41">
        <f>IFERROR(__xludf.DUMMYFUNCTION("""COMPUTED_VALUE"""),0.0)</f>
        <v>0</v>
      </c>
      <c r="F745" s="41">
        <f>IFERROR(__xludf.DUMMYFUNCTION("""COMPUTED_VALUE"""),1215.0)</f>
        <v>1215</v>
      </c>
    </row>
    <row r="746">
      <c r="A746" s="41" t="b">
        <f>IFERROR(__xludf.DUMMYFUNCTION("""COMPUTED_VALUE"""),FALSE)</f>
        <v>0</v>
      </c>
      <c r="B746" s="41" t="str">
        <f>IFERROR(__xludf.DUMMYFUNCTION("""COMPUTED_VALUE"""),"RSC008036")</f>
        <v>RSC008036</v>
      </c>
      <c r="C746" s="41" t="str">
        <f>IFERROR(__xludf.DUMMYFUNCTION("""COMPUTED_VALUE"""),"ERNxdd &lt;3")</f>
        <v>ERNxdd &lt;3</v>
      </c>
      <c r="D746" s="41"/>
      <c r="E746" s="41">
        <f>IFERROR(__xludf.DUMMYFUNCTION("""COMPUTED_VALUE"""),1.0)</f>
        <v>1</v>
      </c>
      <c r="F746" s="41">
        <f>IFERROR(__xludf.DUMMYFUNCTION("""COMPUTED_VALUE"""),1180.0)</f>
        <v>1180</v>
      </c>
    </row>
    <row r="747">
      <c r="A747" s="41" t="b">
        <f>IFERROR(__xludf.DUMMYFUNCTION("""COMPUTED_VALUE"""),TRUE)</f>
        <v>1</v>
      </c>
      <c r="B747" s="41" t="str">
        <f>IFERROR(__xludf.DUMMYFUNCTION("""COMPUTED_VALUE"""),"RSC008288")</f>
        <v>RSC008288</v>
      </c>
      <c r="C747" s="41" t="str">
        <f>IFERROR(__xludf.DUMMYFUNCTION("""COMPUTED_VALUE"""),"WifiWFB")</f>
        <v>WifiWFB</v>
      </c>
      <c r="D747" s="41" t="str">
        <f>IFERROR(__xludf.DUMMYFUNCTION("""COMPUTED_VALUE"""),"Blitzars")</f>
        <v>Blitzars</v>
      </c>
      <c r="E747" s="41">
        <f>IFERROR(__xludf.DUMMYFUNCTION("""COMPUTED_VALUE"""),2.0)</f>
        <v>2</v>
      </c>
      <c r="F747" s="41">
        <f>IFERROR(__xludf.DUMMYFUNCTION("""COMPUTED_VALUE"""),1190.0)</f>
        <v>1190</v>
      </c>
    </row>
    <row r="748">
      <c r="A748" s="41" t="b">
        <f>IFERROR(__xludf.DUMMYFUNCTION("""COMPUTED_VALUE"""),TRUE)</f>
        <v>1</v>
      </c>
      <c r="B748" s="41" t="str">
        <f>IFERROR(__xludf.DUMMYFUNCTION("""COMPUTED_VALUE"""),"RSC005187")</f>
        <v>RSC005187</v>
      </c>
      <c r="C748" s="41" t="str">
        <f>IFERROR(__xludf.DUMMYFUNCTION("""COMPUTED_VALUE"""),"Karistafir al-nadim")</f>
        <v>Karistafir al-nadim</v>
      </c>
      <c r="D748" s="41" t="str">
        <f>IFERROR(__xludf.DUMMYFUNCTION("""COMPUTED_VALUE"""),"Punks")</f>
        <v>Punks</v>
      </c>
      <c r="E748" s="41">
        <f>IFERROR(__xludf.DUMMYFUNCTION("""COMPUTED_VALUE"""),2.0)</f>
        <v>2</v>
      </c>
      <c r="F748" s="41">
        <f>IFERROR(__xludf.DUMMYFUNCTION("""COMPUTED_VALUE"""),1800.0)</f>
        <v>1800</v>
      </c>
    </row>
    <row r="749">
      <c r="A749" s="41" t="b">
        <f>IFERROR(__xludf.DUMMYFUNCTION("""COMPUTED_VALUE"""),TRUE)</f>
        <v>1</v>
      </c>
      <c r="B749" s="41" t="str">
        <f>IFERROR(__xludf.DUMMYFUNCTION("""COMPUTED_VALUE"""),"RSC008052")</f>
        <v>RSC008052</v>
      </c>
      <c r="C749" s="41" t="str">
        <f>IFERROR(__xludf.DUMMYFUNCTION("""COMPUTED_VALUE"""),"CrypticTide.")</f>
        <v>CrypticTide.</v>
      </c>
      <c r="D749" s="41"/>
      <c r="E749" s="41">
        <f>IFERROR(__xludf.DUMMYFUNCTION("""COMPUTED_VALUE"""),0.0)</f>
        <v>0</v>
      </c>
      <c r="F749" s="41">
        <f>IFERROR(__xludf.DUMMYFUNCTION("""COMPUTED_VALUE"""),1485.0)</f>
        <v>1485</v>
      </c>
    </row>
    <row r="750">
      <c r="A750" s="41" t="b">
        <f>IFERROR(__xludf.DUMMYFUNCTION("""COMPUTED_VALUE"""),TRUE)</f>
        <v>1</v>
      </c>
      <c r="B750" s="41" t="str">
        <f>IFERROR(__xludf.DUMMYFUNCTION("""COMPUTED_VALUE"""),"RSC000111")</f>
        <v>RSC000111</v>
      </c>
      <c r="C750" s="41" t="str">
        <f>IFERROR(__xludf.DUMMYFUNCTION("""COMPUTED_VALUE"""),"Wheelchair {LFLegs}")</f>
        <v>Wheelchair {LFLegs}</v>
      </c>
      <c r="D750" s="41" t="str">
        <f>IFERROR(__xludf.DUMMYFUNCTION("""COMPUTED_VALUE"""),"Liars")</f>
        <v>Liars</v>
      </c>
      <c r="E750" s="41">
        <f>IFERROR(__xludf.DUMMYFUNCTION("""COMPUTED_VALUE"""),0.0)</f>
        <v>0</v>
      </c>
      <c r="F750" s="41">
        <f>IFERROR(__xludf.DUMMYFUNCTION("""COMPUTED_VALUE"""),1350.0)</f>
        <v>1350</v>
      </c>
    </row>
    <row r="751">
      <c r="A751" s="41" t="b">
        <f>IFERROR(__xludf.DUMMYFUNCTION("""COMPUTED_VALUE"""),FALSE)</f>
        <v>0</v>
      </c>
      <c r="B751" s="41" t="str">
        <f>IFERROR(__xludf.DUMMYFUNCTION("""COMPUTED_VALUE"""),"RSC003333")</f>
        <v>RSC003333</v>
      </c>
      <c r="C751" s="41" t="str">
        <f>IFERROR(__xludf.DUMMYFUNCTION("""COMPUTED_VALUE"""),"Mike The Ox")</f>
        <v>Mike The Ox</v>
      </c>
      <c r="D751" s="41"/>
      <c r="E751" s="41">
        <f>IFERROR(__xludf.DUMMYFUNCTION("""COMPUTED_VALUE"""),0.0)</f>
        <v>0</v>
      </c>
      <c r="F751" s="41">
        <f>IFERROR(__xludf.DUMMYFUNCTION("""COMPUTED_VALUE"""),1420.0)</f>
        <v>1420</v>
      </c>
    </row>
    <row r="752">
      <c r="A752" s="41" t="b">
        <f>IFERROR(__xludf.DUMMYFUNCTION("""COMPUTED_VALUE"""),TRUE)</f>
        <v>1</v>
      </c>
      <c r="B752" s="41" t="str">
        <f>IFERROR(__xludf.DUMMYFUNCTION("""COMPUTED_VALUE"""),"RSC007921")</f>
        <v>RSC007921</v>
      </c>
      <c r="C752" s="41" t="str">
        <f>IFERROR(__xludf.DUMMYFUNCTION("""COMPUTED_VALUE"""),"sXCyBeast")</f>
        <v>sXCyBeast</v>
      </c>
      <c r="D752" s="41" t="str">
        <f>IFERROR(__xludf.DUMMYFUNCTION("""COMPUTED_VALUE"""),"HR Violation")</f>
        <v>HR Violation</v>
      </c>
      <c r="E752" s="41">
        <f>IFERROR(__xludf.DUMMYFUNCTION("""COMPUTED_VALUE"""),2.0)</f>
        <v>2</v>
      </c>
      <c r="F752" s="41">
        <f>IFERROR(__xludf.DUMMYFUNCTION("""COMPUTED_VALUE"""),835.0)</f>
        <v>835</v>
      </c>
    </row>
    <row r="753">
      <c r="A753" s="41" t="b">
        <f>IFERROR(__xludf.DUMMYFUNCTION("""COMPUTED_VALUE"""),TRUE)</f>
        <v>1</v>
      </c>
      <c r="B753" s="41" t="str">
        <f>IFERROR(__xludf.DUMMYFUNCTION("""COMPUTED_VALUE"""),"RSC008126")</f>
        <v>RSC008126</v>
      </c>
      <c r="C753" s="41" t="str">
        <f>IFERROR(__xludf.DUMMYFUNCTION("""COMPUTED_VALUE"""),"Zuuhan")</f>
        <v>Zuuhan</v>
      </c>
      <c r="D753" s="41" t="str">
        <f>IFERROR(__xludf.DUMMYFUNCTION("""COMPUTED_VALUE"""),"Blacktips")</f>
        <v>Blacktips</v>
      </c>
      <c r="E753" s="41">
        <f>IFERROR(__xludf.DUMMYFUNCTION("""COMPUTED_VALUE"""),2.0)</f>
        <v>2</v>
      </c>
      <c r="F753" s="41">
        <f>IFERROR(__xludf.DUMMYFUNCTION("""COMPUTED_VALUE"""),965.0)</f>
        <v>965</v>
      </c>
    </row>
    <row r="754">
      <c r="A754" s="41" t="b">
        <f>IFERROR(__xludf.DUMMYFUNCTION("""COMPUTED_VALUE"""),TRUE)</f>
        <v>1</v>
      </c>
      <c r="B754" s="41" t="str">
        <f>IFERROR(__xludf.DUMMYFUNCTION("""COMPUTED_VALUE"""),"RSC008045")</f>
        <v>RSC008045</v>
      </c>
      <c r="C754" s="41" t="str">
        <f>IFERROR(__xludf.DUMMYFUNCTION("""COMPUTED_VALUE"""),"Uncaringfool230")</f>
        <v>Uncaringfool230</v>
      </c>
      <c r="D754" s="41"/>
      <c r="E754" s="41">
        <f>IFERROR(__xludf.DUMMYFUNCTION("""COMPUTED_VALUE"""),0.0)</f>
        <v>0</v>
      </c>
      <c r="F754" s="41">
        <f>IFERROR(__xludf.DUMMYFUNCTION("""COMPUTED_VALUE"""),1375.0)</f>
        <v>1375</v>
      </c>
    </row>
    <row r="755">
      <c r="A755" s="41" t="b">
        <f>IFERROR(__xludf.DUMMYFUNCTION("""COMPUTED_VALUE"""),TRUE)</f>
        <v>1</v>
      </c>
      <c r="B755" s="41" t="str">
        <f>IFERROR(__xludf.DUMMYFUNCTION("""COMPUTED_VALUE"""),"RSC008044")</f>
        <v>RSC008044</v>
      </c>
      <c r="C755" s="41" t="str">
        <f>IFERROR(__xludf.DUMMYFUNCTION("""COMPUTED_VALUE"""),"fender_bender2")</f>
        <v>fender_bender2</v>
      </c>
      <c r="D755" s="41" t="str">
        <f>IFERROR(__xludf.DUMMYFUNCTION("""COMPUTED_VALUE"""),"Olympic Knights")</f>
        <v>Olympic Knights</v>
      </c>
      <c r="E755" s="41">
        <f>IFERROR(__xludf.DUMMYFUNCTION("""COMPUTED_VALUE"""),1.0)</f>
        <v>1</v>
      </c>
      <c r="F755" s="41">
        <f>IFERROR(__xludf.DUMMYFUNCTION("""COMPUTED_VALUE"""),1160.0)</f>
        <v>1160</v>
      </c>
    </row>
    <row r="756">
      <c r="A756" s="41" t="b">
        <f>IFERROR(__xludf.DUMMYFUNCTION("""COMPUTED_VALUE"""),TRUE)</f>
        <v>1</v>
      </c>
      <c r="B756" s="41" t="str">
        <f>IFERROR(__xludf.DUMMYFUNCTION("""COMPUTED_VALUE"""),"RSC008360")</f>
        <v>RSC008360</v>
      </c>
      <c r="C756" s="41" t="str">
        <f>IFERROR(__xludf.DUMMYFUNCTION("""COMPUTED_VALUE"""),"Merk890")</f>
        <v>Merk890</v>
      </c>
      <c r="D756" s="41" t="str">
        <f>IFERROR(__xludf.DUMMYFUNCTION("""COMPUTED_VALUE"""),"Lightning")</f>
        <v>Lightning</v>
      </c>
      <c r="E756" s="41">
        <f>IFERROR(__xludf.DUMMYFUNCTION("""COMPUTED_VALUE"""),2.0)</f>
        <v>2</v>
      </c>
      <c r="F756" s="41">
        <f>IFERROR(__xludf.DUMMYFUNCTION("""COMPUTED_VALUE"""),1310.0)</f>
        <v>1310</v>
      </c>
    </row>
    <row r="757">
      <c r="A757" s="41" t="b">
        <f>IFERROR(__xludf.DUMMYFUNCTION("""COMPUTED_VALUE"""),TRUE)</f>
        <v>1</v>
      </c>
      <c r="B757" s="41" t="str">
        <f>IFERROR(__xludf.DUMMYFUNCTION("""COMPUTED_VALUE"""),"RSC006640")</f>
        <v>RSC006640</v>
      </c>
      <c r="C757" s="41" t="str">
        <f>IFERROR(__xludf.DUMMYFUNCTION("""COMPUTED_VALUE"""),"VeryBadKittyCat")</f>
        <v>VeryBadKittyCat</v>
      </c>
      <c r="D757" s="41" t="str">
        <f>IFERROR(__xludf.DUMMYFUNCTION("""COMPUTED_VALUE"""),"Scribes")</f>
        <v>Scribes</v>
      </c>
      <c r="E757" s="41">
        <f>IFERROR(__xludf.DUMMYFUNCTION("""COMPUTED_VALUE"""),1.0)</f>
        <v>1</v>
      </c>
      <c r="F757" s="41">
        <f>IFERROR(__xludf.DUMMYFUNCTION("""COMPUTED_VALUE"""),1170.0)</f>
        <v>1170</v>
      </c>
    </row>
    <row r="758">
      <c r="A758" s="41" t="b">
        <f>IFERROR(__xludf.DUMMYFUNCTION("""COMPUTED_VALUE"""),TRUE)</f>
        <v>1</v>
      </c>
      <c r="B758" s="41" t="str">
        <f>IFERROR(__xludf.DUMMYFUNCTION("""COMPUTED_VALUE"""),"RSC006654")</f>
        <v>RSC006654</v>
      </c>
      <c r="C758" s="41" t="str">
        <f>IFERROR(__xludf.DUMMYFUNCTION("""COMPUTED_VALUE"""),"Chicken")</f>
        <v>Chicken</v>
      </c>
      <c r="D758" s="41" t="str">
        <f>IFERROR(__xludf.DUMMYFUNCTION("""COMPUTED_VALUE"""),"Gorillas")</f>
        <v>Gorillas</v>
      </c>
      <c r="E758" s="41">
        <f>IFERROR(__xludf.DUMMYFUNCTION("""COMPUTED_VALUE"""),1.0)</f>
        <v>1</v>
      </c>
      <c r="F758" s="41">
        <f>IFERROR(__xludf.DUMMYFUNCTION("""COMPUTED_VALUE"""),1455.0)</f>
        <v>1455</v>
      </c>
    </row>
    <row r="759">
      <c r="A759" s="41" t="b">
        <f>IFERROR(__xludf.DUMMYFUNCTION("""COMPUTED_VALUE"""),FALSE)</f>
        <v>0</v>
      </c>
      <c r="B759" s="41" t="str">
        <f>IFERROR(__xludf.DUMMYFUNCTION("""COMPUTED_VALUE"""),"RSC008058")</f>
        <v>RSC008058</v>
      </c>
      <c r="C759" s="41" t="str">
        <f>IFERROR(__xludf.DUMMYFUNCTION("""COMPUTED_VALUE"""),"frankthebarber90")</f>
        <v>frankthebarber90</v>
      </c>
      <c r="D759" s="41"/>
      <c r="E759" s="41">
        <f>IFERROR(__xludf.DUMMYFUNCTION("""COMPUTED_VALUE"""),0.0)</f>
        <v>0</v>
      </c>
      <c r="F759" s="41">
        <f>IFERROR(__xludf.DUMMYFUNCTION("""COMPUTED_VALUE"""),1310.0)</f>
        <v>1310</v>
      </c>
    </row>
    <row r="760">
      <c r="A760" s="41" t="b">
        <f>IFERROR(__xludf.DUMMYFUNCTION("""COMPUTED_VALUE"""),TRUE)</f>
        <v>1</v>
      </c>
      <c r="B760" s="41" t="str">
        <f>IFERROR(__xludf.DUMMYFUNCTION("""COMPUTED_VALUE"""),"RSC008411")</f>
        <v>RSC008411</v>
      </c>
      <c r="C760" s="41" t="str">
        <f>IFERROR(__xludf.DUMMYFUNCTION("""COMPUTED_VALUE"""),"cosmo6430")</f>
        <v>cosmo6430</v>
      </c>
      <c r="D760" s="41" t="str">
        <f>IFERROR(__xludf.DUMMYFUNCTION("""COMPUTED_VALUE"""),"Mages")</f>
        <v>Mages</v>
      </c>
      <c r="E760" s="41">
        <f>IFERROR(__xludf.DUMMYFUNCTION("""COMPUTED_VALUE"""),2.0)</f>
        <v>2</v>
      </c>
      <c r="F760" s="41">
        <f>IFERROR(__xludf.DUMMYFUNCTION("""COMPUTED_VALUE"""),1395.0)</f>
        <v>1395</v>
      </c>
    </row>
    <row r="761">
      <c r="A761" s="41" t="b">
        <f>IFERROR(__xludf.DUMMYFUNCTION("""COMPUTED_VALUE"""),TRUE)</f>
        <v>1</v>
      </c>
      <c r="B761" s="41" t="str">
        <f>IFERROR(__xludf.DUMMYFUNCTION("""COMPUTED_VALUE"""),"RSC008131")</f>
        <v>RSC008131</v>
      </c>
      <c r="C761" s="41" t="str">
        <f>IFERROR(__xludf.DUMMYFUNCTION("""COMPUTED_VALUE"""),"chrisofspades")</f>
        <v>chrisofspades</v>
      </c>
      <c r="D761" s="41"/>
      <c r="E761" s="41">
        <f>IFERROR(__xludf.DUMMYFUNCTION("""COMPUTED_VALUE"""),0.0)</f>
        <v>0</v>
      </c>
      <c r="F761" s="41">
        <f>IFERROR(__xludf.DUMMYFUNCTION("""COMPUTED_VALUE"""),905.0)</f>
        <v>905</v>
      </c>
    </row>
    <row r="762">
      <c r="A762" s="41" t="b">
        <f>IFERROR(__xludf.DUMMYFUNCTION("""COMPUTED_VALUE"""),TRUE)</f>
        <v>1</v>
      </c>
      <c r="B762" s="41" t="str">
        <f>IFERROR(__xludf.DUMMYFUNCTION("""COMPUTED_VALUE"""),"RSC008078")</f>
        <v>RSC008078</v>
      </c>
      <c r="C762" s="41" t="str">
        <f>IFERROR(__xludf.DUMMYFUNCTION("""COMPUTED_VALUE"""),"ADV3RSE.")</f>
        <v>ADV3RSE.</v>
      </c>
      <c r="D762" s="41" t="str">
        <f>IFERROR(__xludf.DUMMYFUNCTION("""COMPUTED_VALUE"""),"Cooks")</f>
        <v>Cooks</v>
      </c>
      <c r="E762" s="41">
        <f>IFERROR(__xludf.DUMMYFUNCTION("""COMPUTED_VALUE"""),1.0)</f>
        <v>1</v>
      </c>
      <c r="F762" s="41">
        <f>IFERROR(__xludf.DUMMYFUNCTION("""COMPUTED_VALUE"""),1215.0)</f>
        <v>1215</v>
      </c>
    </row>
    <row r="763">
      <c r="A763" s="41" t="b">
        <f>IFERROR(__xludf.DUMMYFUNCTION("""COMPUTED_VALUE"""),TRUE)</f>
        <v>1</v>
      </c>
      <c r="B763" s="41" t="str">
        <f>IFERROR(__xludf.DUMMYFUNCTION("""COMPUTED_VALUE"""),"RSC004591")</f>
        <v>RSC004591</v>
      </c>
      <c r="C763" s="41" t="str">
        <f>IFERROR(__xludf.DUMMYFUNCTION("""COMPUTED_VALUE"""),"Noah Gragg")</f>
        <v>Noah Gragg</v>
      </c>
      <c r="D763" s="41"/>
      <c r="E763" s="41">
        <f>IFERROR(__xludf.DUMMYFUNCTION("""COMPUTED_VALUE"""),0.0)</f>
        <v>0</v>
      </c>
      <c r="F763" s="41">
        <f>IFERROR(__xludf.DUMMYFUNCTION("""COMPUTED_VALUE"""),1565.0)</f>
        <v>1565</v>
      </c>
    </row>
    <row r="764">
      <c r="A764" s="41" t="b">
        <f>IFERROR(__xludf.DUMMYFUNCTION("""COMPUTED_VALUE"""),TRUE)</f>
        <v>1</v>
      </c>
      <c r="B764" s="41" t="str">
        <f>IFERROR(__xludf.DUMMYFUNCTION("""COMPUTED_VALUE"""),"RSC008173")</f>
        <v>RSC008173</v>
      </c>
      <c r="C764" s="41" t="str">
        <f>IFERROR(__xludf.DUMMYFUNCTION("""COMPUTED_VALUE"""),"Wild Thing")</f>
        <v>Wild Thing</v>
      </c>
      <c r="D764" s="41" t="str">
        <f>IFERROR(__xludf.DUMMYFUNCTION("""COMPUTED_VALUE"""),"Primo")</f>
        <v>Primo</v>
      </c>
      <c r="E764" s="41">
        <f>IFERROR(__xludf.DUMMYFUNCTION("""COMPUTED_VALUE"""),1.0)</f>
        <v>1</v>
      </c>
      <c r="F764" s="41">
        <f>IFERROR(__xludf.DUMMYFUNCTION("""COMPUTED_VALUE"""),1255.0)</f>
        <v>1255</v>
      </c>
    </row>
    <row r="765">
      <c r="A765" s="41" t="b">
        <f>IFERROR(__xludf.DUMMYFUNCTION("""COMPUTED_VALUE"""),TRUE)</f>
        <v>1</v>
      </c>
      <c r="B765" s="41" t="str">
        <f>IFERROR(__xludf.DUMMYFUNCTION("""COMPUTED_VALUE"""),"RSC007642")</f>
        <v>RSC007642</v>
      </c>
      <c r="C765" s="41" t="str">
        <f>IFERROR(__xludf.DUMMYFUNCTION("""COMPUTED_VALUE"""),"Luminati7")</f>
        <v>Luminati7</v>
      </c>
      <c r="D765" s="41" t="str">
        <f>IFERROR(__xludf.DUMMYFUNCTION("""COMPUTED_VALUE"""),"Forest Cobra")</f>
        <v>Forest Cobra</v>
      </c>
      <c r="E765" s="41">
        <f>IFERROR(__xludf.DUMMYFUNCTION("""COMPUTED_VALUE"""),2.0)</f>
        <v>2</v>
      </c>
      <c r="F765" s="41">
        <f>IFERROR(__xludf.DUMMYFUNCTION("""COMPUTED_VALUE"""),1655.0)</f>
        <v>1655</v>
      </c>
    </row>
    <row r="766">
      <c r="A766" s="41" t="b">
        <f>IFERROR(__xludf.DUMMYFUNCTION("""COMPUTED_VALUE"""),FALSE)</f>
        <v>0</v>
      </c>
      <c r="B766" s="41" t="str">
        <f>IFERROR(__xludf.DUMMYFUNCTION("""COMPUTED_VALUE"""),"RSC008156")</f>
        <v>RSC008156</v>
      </c>
      <c r="C766" s="41" t="str">
        <f>IFERROR(__xludf.DUMMYFUNCTION("""COMPUTED_VALUE"""),"Machnetic")</f>
        <v>Machnetic</v>
      </c>
      <c r="D766" s="41"/>
      <c r="E766" s="41">
        <f>IFERROR(__xludf.DUMMYFUNCTION("""COMPUTED_VALUE"""),0.0)</f>
        <v>0</v>
      </c>
      <c r="F766" s="41">
        <f>IFERROR(__xludf.DUMMYFUNCTION("""COMPUTED_VALUE"""),1465.0)</f>
        <v>1465</v>
      </c>
    </row>
    <row r="767">
      <c r="A767" s="41" t="b">
        <f>IFERROR(__xludf.DUMMYFUNCTION("""COMPUTED_VALUE"""),TRUE)</f>
        <v>1</v>
      </c>
      <c r="B767" s="41" t="str">
        <f>IFERROR(__xludf.DUMMYFUNCTION("""COMPUTED_VALUE"""),"RSC008083")</f>
        <v>RSC008083</v>
      </c>
      <c r="C767" s="41" t="str">
        <f>IFERROR(__xludf.DUMMYFUNCTION("""COMPUTED_VALUE"""),"Rocketgirl_32")</f>
        <v>Rocketgirl_32</v>
      </c>
      <c r="D767" s="41" t="str">
        <f>IFERROR(__xludf.DUMMYFUNCTION("""COMPUTED_VALUE"""),"Legionaries")</f>
        <v>Legionaries</v>
      </c>
      <c r="E767" s="41">
        <f>IFERROR(__xludf.DUMMYFUNCTION("""COMPUTED_VALUE"""),1.0)</f>
        <v>1</v>
      </c>
      <c r="F767" s="41">
        <f>IFERROR(__xludf.DUMMYFUNCTION("""COMPUTED_VALUE"""),900.0)</f>
        <v>900</v>
      </c>
    </row>
    <row r="768">
      <c r="A768" s="41" t="b">
        <f>IFERROR(__xludf.DUMMYFUNCTION("""COMPUTED_VALUE"""),FALSE)</f>
        <v>0</v>
      </c>
      <c r="B768" s="41" t="str">
        <f>IFERROR(__xludf.DUMMYFUNCTION("""COMPUTED_VALUE"""),"RSC008372")</f>
        <v>RSC008372</v>
      </c>
      <c r="C768" s="41" t="str">
        <f>IFERROR(__xludf.DUMMYFUNCTION("""COMPUTED_VALUE"""),"BlueAngel0713")</f>
        <v>BlueAngel0713</v>
      </c>
      <c r="D768" s="41"/>
      <c r="E768" s="41">
        <f>IFERROR(__xludf.DUMMYFUNCTION("""COMPUTED_VALUE"""),0.0)</f>
        <v>0</v>
      </c>
      <c r="F768" s="41">
        <f>IFERROR(__xludf.DUMMYFUNCTION("""COMPUTED_VALUE"""),1155.0)</f>
        <v>1155</v>
      </c>
    </row>
    <row r="769">
      <c r="A769" s="41" t="b">
        <f>IFERROR(__xludf.DUMMYFUNCTION("""COMPUTED_VALUE"""),TRUE)</f>
        <v>1</v>
      </c>
      <c r="B769" s="41" t="str">
        <f>IFERROR(__xludf.DUMMYFUNCTION("""COMPUTED_VALUE"""),"RSC008419")</f>
        <v>RSC008419</v>
      </c>
      <c r="C769" s="41" t="str">
        <f>IFERROR(__xludf.DUMMYFUNCTION("""COMPUTED_VALUE"""),"iSilently")</f>
        <v>iSilently</v>
      </c>
      <c r="D769" s="41" t="str">
        <f>IFERROR(__xludf.DUMMYFUNCTION("""COMPUTED_VALUE"""),"Chimera")</f>
        <v>Chimera</v>
      </c>
      <c r="E769" s="41">
        <f>IFERROR(__xludf.DUMMYFUNCTION("""COMPUTED_VALUE"""),2.0)</f>
        <v>2</v>
      </c>
      <c r="F769" s="41">
        <f>IFERROR(__xludf.DUMMYFUNCTION("""COMPUTED_VALUE"""),855.0)</f>
        <v>855</v>
      </c>
    </row>
    <row r="770">
      <c r="A770" s="41" t="b">
        <f>IFERROR(__xludf.DUMMYFUNCTION("""COMPUTED_VALUE"""),TRUE)</f>
        <v>1</v>
      </c>
      <c r="B770" s="41" t="str">
        <f>IFERROR(__xludf.DUMMYFUNCTION("""COMPUTED_VALUE"""),"RSC008089")</f>
        <v>RSC008089</v>
      </c>
      <c r="C770" s="41" t="str">
        <f>IFERROR(__xludf.DUMMYFUNCTION("""COMPUTED_VALUE"""),"SyrupBloodz")</f>
        <v>SyrupBloodz</v>
      </c>
      <c r="D770" s="41" t="str">
        <f>IFERROR(__xludf.DUMMYFUNCTION("""COMPUTED_VALUE"""),"Fire")</f>
        <v>Fire</v>
      </c>
      <c r="E770" s="41">
        <f>IFERROR(__xludf.DUMMYFUNCTION("""COMPUTED_VALUE"""),2.0)</f>
        <v>2</v>
      </c>
      <c r="F770" s="41">
        <f>IFERROR(__xludf.DUMMYFUNCTION("""COMPUTED_VALUE"""),1550.0)</f>
        <v>1550</v>
      </c>
    </row>
    <row r="771">
      <c r="A771" s="41" t="b">
        <f>IFERROR(__xludf.DUMMYFUNCTION("""COMPUTED_VALUE"""),TRUE)</f>
        <v>1</v>
      </c>
      <c r="B771" s="41" t="str">
        <f>IFERROR(__xludf.DUMMYFUNCTION("""COMPUTED_VALUE"""),"RSC008636")</f>
        <v>RSC008636</v>
      </c>
      <c r="C771" s="41" t="str">
        <f>IFERROR(__xludf.DUMMYFUNCTION("""COMPUTED_VALUE"""),"St3wyッ")</f>
        <v>St3wyッ</v>
      </c>
      <c r="D771" s="41"/>
      <c r="E771" s="41">
        <f>IFERROR(__xludf.DUMMYFUNCTION("""COMPUTED_VALUE"""),0.0)</f>
        <v>0</v>
      </c>
      <c r="F771" s="41">
        <f>IFERROR(__xludf.DUMMYFUNCTION("""COMPUTED_VALUE"""),600.0)</f>
        <v>600</v>
      </c>
    </row>
    <row r="772">
      <c r="A772" s="41" t="b">
        <f>IFERROR(__xludf.DUMMYFUNCTION("""COMPUTED_VALUE"""),TRUE)</f>
        <v>1</v>
      </c>
      <c r="B772" s="41" t="str">
        <f>IFERROR(__xludf.DUMMYFUNCTION("""COMPUTED_VALUE"""),"RSC006770")</f>
        <v>RSC006770</v>
      </c>
      <c r="C772" s="41" t="str">
        <f>IFERROR(__xludf.DUMMYFUNCTION("""COMPUTED_VALUE"""),"ExecutivePowers")</f>
        <v>ExecutivePowers</v>
      </c>
      <c r="D772" s="41" t="str">
        <f>IFERROR(__xludf.DUMMYFUNCTION("""COMPUTED_VALUE"""),"Guards")</f>
        <v>Guards</v>
      </c>
      <c r="E772" s="41">
        <f>IFERROR(__xludf.DUMMYFUNCTION("""COMPUTED_VALUE"""),2.0)</f>
        <v>2</v>
      </c>
      <c r="F772" s="41">
        <f>IFERROR(__xludf.DUMMYFUNCTION("""COMPUTED_VALUE"""),1350.0)</f>
        <v>1350</v>
      </c>
    </row>
    <row r="773">
      <c r="A773" s="41" t="b">
        <f>IFERROR(__xludf.DUMMYFUNCTION("""COMPUTED_VALUE"""),FALSE)</f>
        <v>0</v>
      </c>
      <c r="B773" s="41" t="str">
        <f>IFERROR(__xludf.DUMMYFUNCTION("""COMPUTED_VALUE"""),"RSC008150")</f>
        <v>RSC008150</v>
      </c>
      <c r="C773" s="41" t="str">
        <f>IFERROR(__xludf.DUMMYFUNCTION("""COMPUTED_VALUE"""),"Bean.lot")</f>
        <v>Bean.lot</v>
      </c>
      <c r="D773" s="41"/>
      <c r="E773" s="41">
        <f>IFERROR(__xludf.DUMMYFUNCTION("""COMPUTED_VALUE"""),0.0)</f>
        <v>0</v>
      </c>
      <c r="F773" s="41">
        <f>IFERROR(__xludf.DUMMYFUNCTION("""COMPUTED_VALUE"""),1395.0)</f>
        <v>1395</v>
      </c>
    </row>
    <row r="774">
      <c r="A774" s="41" t="b">
        <f>IFERROR(__xludf.DUMMYFUNCTION("""COMPUTED_VALUE"""),FALSE)</f>
        <v>0</v>
      </c>
      <c r="B774" s="41" t="str">
        <f>IFERROR(__xludf.DUMMYFUNCTION("""COMPUTED_VALUE"""),"RSC005035")</f>
        <v>RSC005035</v>
      </c>
      <c r="C774" s="41" t="str">
        <f>IFERROR(__xludf.DUMMYFUNCTION("""COMPUTED_VALUE"""),"Broskijazz")</f>
        <v>Broskijazz</v>
      </c>
      <c r="D774" s="41"/>
      <c r="E774" s="41">
        <f>IFERROR(__xludf.DUMMYFUNCTION("""COMPUTED_VALUE"""),0.0)</f>
        <v>0</v>
      </c>
      <c r="F774" s="41">
        <f>IFERROR(__xludf.DUMMYFUNCTION("""COMPUTED_VALUE"""),1380.0)</f>
        <v>1380</v>
      </c>
    </row>
    <row r="775">
      <c r="A775" s="41" t="b">
        <f>IFERROR(__xludf.DUMMYFUNCTION("""COMPUTED_VALUE"""),TRUE)</f>
        <v>1</v>
      </c>
      <c r="B775" s="41" t="str">
        <f>IFERROR(__xludf.DUMMYFUNCTION("""COMPUTED_VALUE"""),"RSC002906")</f>
        <v>RSC002906</v>
      </c>
      <c r="C775" s="41" t="str">
        <f>IFERROR(__xludf.DUMMYFUNCTION("""COMPUTED_VALUE"""),"PackRL")</f>
        <v>PackRL</v>
      </c>
      <c r="D775" s="41" t="str">
        <f>IFERROR(__xludf.DUMMYFUNCTION("""COMPUTED_VALUE"""),"Avalanche")</f>
        <v>Avalanche</v>
      </c>
      <c r="E775" s="41">
        <f>IFERROR(__xludf.DUMMYFUNCTION("""COMPUTED_VALUE"""),1.0)</f>
        <v>1</v>
      </c>
      <c r="F775" s="41">
        <f>IFERROR(__xludf.DUMMYFUNCTION("""COMPUTED_VALUE"""),1510.0)</f>
        <v>1510</v>
      </c>
    </row>
    <row r="776">
      <c r="A776" s="41" t="b">
        <f>IFERROR(__xludf.DUMMYFUNCTION("""COMPUTED_VALUE"""),TRUE)</f>
        <v>1</v>
      </c>
      <c r="B776" s="41" t="str">
        <f>IFERROR(__xludf.DUMMYFUNCTION("""COMPUTED_VALUE"""),"RSC008102")</f>
        <v>RSC008102</v>
      </c>
      <c r="C776" s="41" t="str">
        <f>IFERROR(__xludf.DUMMYFUNCTION("""COMPUTED_VALUE"""),"Talent?")</f>
        <v>Talent?</v>
      </c>
      <c r="D776" s="41" t="str">
        <f>IFERROR(__xludf.DUMMYFUNCTION("""COMPUTED_VALUE"""),"Cotija Cartel")</f>
        <v>Cotija Cartel</v>
      </c>
      <c r="E776" s="41">
        <f>IFERROR(__xludf.DUMMYFUNCTION("""COMPUTED_VALUE"""),1.0)</f>
        <v>1</v>
      </c>
      <c r="F776" s="41">
        <f>IFERROR(__xludf.DUMMYFUNCTION("""COMPUTED_VALUE"""),1585.0)</f>
        <v>1585</v>
      </c>
    </row>
    <row r="777">
      <c r="A777" s="41" t="b">
        <f>IFERROR(__xludf.DUMMYFUNCTION("""COMPUTED_VALUE"""),TRUE)</f>
        <v>1</v>
      </c>
      <c r="B777" s="41" t="str">
        <f>IFERROR(__xludf.DUMMYFUNCTION("""COMPUTED_VALUE"""),"RSC006691")</f>
        <v>RSC006691</v>
      </c>
      <c r="C777" s="41" t="str">
        <f>IFERROR(__xludf.DUMMYFUNCTION("""COMPUTED_VALUE"""),"Jixer")</f>
        <v>Jixer</v>
      </c>
      <c r="D777" s="41"/>
      <c r="E777" s="41">
        <f>IFERROR(__xludf.DUMMYFUNCTION("""COMPUTED_VALUE"""),0.0)</f>
        <v>0</v>
      </c>
      <c r="F777" s="41">
        <f>IFERROR(__xludf.DUMMYFUNCTION("""COMPUTED_VALUE"""),1245.0)</f>
        <v>1245</v>
      </c>
    </row>
    <row r="778">
      <c r="A778" s="41" t="b">
        <f>IFERROR(__xludf.DUMMYFUNCTION("""COMPUTED_VALUE"""),TRUE)</f>
        <v>1</v>
      </c>
      <c r="B778" s="41" t="str">
        <f>IFERROR(__xludf.DUMMYFUNCTION("""COMPUTED_VALUE"""),"RSC008128")</f>
        <v>RSC008128</v>
      </c>
      <c r="C778" s="41" t="str">
        <f>IFERROR(__xludf.DUMMYFUNCTION("""COMPUTED_VALUE"""),"ThruStyler")</f>
        <v>ThruStyler</v>
      </c>
      <c r="D778" s="41" t="str">
        <f>IFERROR(__xludf.DUMMYFUNCTION("""COMPUTED_VALUE"""),"Orochi")</f>
        <v>Orochi</v>
      </c>
      <c r="E778" s="41">
        <f>IFERROR(__xludf.DUMMYFUNCTION("""COMPUTED_VALUE"""),1.0)</f>
        <v>1</v>
      </c>
      <c r="F778" s="41">
        <f>IFERROR(__xludf.DUMMYFUNCTION("""COMPUTED_VALUE"""),1605.0)</f>
        <v>1605</v>
      </c>
    </row>
    <row r="779">
      <c r="A779" s="41" t="b">
        <f>IFERROR(__xludf.DUMMYFUNCTION("""COMPUTED_VALUE"""),TRUE)</f>
        <v>1</v>
      </c>
      <c r="B779" s="41" t="str">
        <f>IFERROR(__xludf.DUMMYFUNCTION("""COMPUTED_VALUE"""),"RSC006495")</f>
        <v>RSC006495</v>
      </c>
      <c r="C779" s="41" t="str">
        <f>IFERROR(__xludf.DUMMYFUNCTION("""COMPUTED_VALUE"""),"Hype.56")</f>
        <v>Hype.56</v>
      </c>
      <c r="D779" s="41" t="str">
        <f>IFERROR(__xludf.DUMMYFUNCTION("""COMPUTED_VALUE"""),"Gold Hoarders")</f>
        <v>Gold Hoarders</v>
      </c>
      <c r="E779" s="41">
        <f>IFERROR(__xludf.DUMMYFUNCTION("""COMPUTED_VALUE"""),2.0)</f>
        <v>2</v>
      </c>
      <c r="F779" s="41">
        <f>IFERROR(__xludf.DUMMYFUNCTION("""COMPUTED_VALUE"""),1200.0)</f>
        <v>1200</v>
      </c>
    </row>
    <row r="780">
      <c r="A780" s="41" t="b">
        <f>IFERROR(__xludf.DUMMYFUNCTION("""COMPUTED_VALUE"""),TRUE)</f>
        <v>1</v>
      </c>
      <c r="B780" s="41" t="str">
        <f>IFERROR(__xludf.DUMMYFUNCTION("""COMPUTED_VALUE"""),"RSC008092")</f>
        <v>RSC008092</v>
      </c>
      <c r="C780" s="41" t="str">
        <f>IFERROR(__xludf.DUMMYFUNCTION("""COMPUTED_VALUE"""),"ImPodz")</f>
        <v>ImPodz</v>
      </c>
      <c r="D780" s="41"/>
      <c r="E780" s="41">
        <f>IFERROR(__xludf.DUMMYFUNCTION("""COMPUTED_VALUE"""),0.0)</f>
        <v>0</v>
      </c>
      <c r="F780" s="41">
        <f>IFERROR(__xludf.DUMMYFUNCTION("""COMPUTED_VALUE"""),905.0)</f>
        <v>905</v>
      </c>
    </row>
    <row r="781">
      <c r="A781" s="41" t="b">
        <f>IFERROR(__xludf.DUMMYFUNCTION("""COMPUTED_VALUE"""),FALSE)</f>
        <v>0</v>
      </c>
      <c r="B781" s="41" t="str">
        <f>IFERROR(__xludf.DUMMYFUNCTION("""COMPUTED_VALUE"""),"RSC008088")</f>
        <v>RSC008088</v>
      </c>
      <c r="C781" s="41" t="str">
        <f>IFERROR(__xludf.DUMMYFUNCTION("""COMPUTED_VALUE"""),"s1ri_rl")</f>
        <v>s1ri_rl</v>
      </c>
      <c r="D781" s="41"/>
      <c r="E781" s="41">
        <f>IFERROR(__xludf.DUMMYFUNCTION("""COMPUTED_VALUE"""),0.0)</f>
        <v>0</v>
      </c>
      <c r="F781" s="41">
        <f>IFERROR(__xludf.DUMMYFUNCTION("""COMPUTED_VALUE"""),1830.0)</f>
        <v>1830</v>
      </c>
    </row>
    <row r="782">
      <c r="A782" s="41" t="b">
        <f>IFERROR(__xludf.DUMMYFUNCTION("""COMPUTED_VALUE"""),TRUE)</f>
        <v>1</v>
      </c>
      <c r="B782" s="41" t="str">
        <f>IFERROR(__xludf.DUMMYFUNCTION("""COMPUTED_VALUE"""),"RSC008104")</f>
        <v>RSC008104</v>
      </c>
      <c r="C782" s="41" t="str">
        <f>IFERROR(__xludf.DUMMYFUNCTION("""COMPUTED_VALUE"""),"M0NKEE .")</f>
        <v>M0NKEE .</v>
      </c>
      <c r="D782" s="41" t="str">
        <f>IFERROR(__xludf.DUMMYFUNCTION("""COMPUTED_VALUE"""),"Sons of Ares")</f>
        <v>Sons of Ares</v>
      </c>
      <c r="E782" s="41">
        <f>IFERROR(__xludf.DUMMYFUNCTION("""COMPUTED_VALUE"""),1.0)</f>
        <v>1</v>
      </c>
      <c r="F782" s="41">
        <f>IFERROR(__xludf.DUMMYFUNCTION("""COMPUTED_VALUE"""),1460.0)</f>
        <v>1460</v>
      </c>
    </row>
    <row r="783">
      <c r="A783" s="41" t="b">
        <f>IFERROR(__xludf.DUMMYFUNCTION("""COMPUTED_VALUE"""),TRUE)</f>
        <v>1</v>
      </c>
      <c r="B783" s="41" t="str">
        <f>IFERROR(__xludf.DUMMYFUNCTION("""COMPUTED_VALUE"""),"RSC000587")</f>
        <v>RSC000587</v>
      </c>
      <c r="C783" s="41" t="str">
        <f>IFERROR(__xludf.DUMMYFUNCTION("""COMPUTED_VALUE"""),"shadowstorm")</f>
        <v>shadowstorm</v>
      </c>
      <c r="D783" s="41"/>
      <c r="E783" s="41">
        <f>IFERROR(__xludf.DUMMYFUNCTION("""COMPUTED_VALUE"""),0.0)</f>
        <v>0</v>
      </c>
      <c r="F783" s="41">
        <f>IFERROR(__xludf.DUMMYFUNCTION("""COMPUTED_VALUE"""),1310.0)</f>
        <v>1310</v>
      </c>
    </row>
    <row r="784">
      <c r="A784" s="41" t="b">
        <f>IFERROR(__xludf.DUMMYFUNCTION("""COMPUTED_VALUE"""),FALSE)</f>
        <v>0</v>
      </c>
      <c r="B784" s="41" t="str">
        <f>IFERROR(__xludf.DUMMYFUNCTION("""COMPUTED_VALUE"""),"RSC008333")</f>
        <v>RSC008333</v>
      </c>
      <c r="C784" s="41" t="str">
        <f>IFERROR(__xludf.DUMMYFUNCTION("""COMPUTED_VALUE"""),"LykanFox")</f>
        <v>LykanFox</v>
      </c>
      <c r="D784" s="41"/>
      <c r="E784" s="41">
        <f>IFERROR(__xludf.DUMMYFUNCTION("""COMPUTED_VALUE"""),0.0)</f>
        <v>0</v>
      </c>
      <c r="F784" s="41">
        <f>IFERROR(__xludf.DUMMYFUNCTION("""COMPUTED_VALUE"""),1545.0)</f>
        <v>1545</v>
      </c>
    </row>
    <row r="785">
      <c r="A785" s="41" t="b">
        <f>IFERROR(__xludf.DUMMYFUNCTION("""COMPUTED_VALUE"""),TRUE)</f>
        <v>1</v>
      </c>
      <c r="B785" s="41" t="str">
        <f>IFERROR(__xludf.DUMMYFUNCTION("""COMPUTED_VALUE"""),"RSC005374")</f>
        <v>RSC005374</v>
      </c>
      <c r="C785" s="41" t="str">
        <f>IFERROR(__xludf.DUMMYFUNCTION("""COMPUTED_VALUE"""),"A Yapping Panda")</f>
        <v>A Yapping Panda</v>
      </c>
      <c r="D785" s="41" t="str">
        <f>IFERROR(__xludf.DUMMYFUNCTION("""COMPUTED_VALUE"""),"Orochi")</f>
        <v>Orochi</v>
      </c>
      <c r="E785" s="41">
        <f>IFERROR(__xludf.DUMMYFUNCTION("""COMPUTED_VALUE"""),1.0)</f>
        <v>1</v>
      </c>
      <c r="F785" s="41">
        <f>IFERROR(__xludf.DUMMYFUNCTION("""COMPUTED_VALUE"""),1595.0)</f>
        <v>1595</v>
      </c>
    </row>
    <row r="786">
      <c r="A786" s="41" t="b">
        <f>IFERROR(__xludf.DUMMYFUNCTION("""COMPUTED_VALUE"""),TRUE)</f>
        <v>1</v>
      </c>
      <c r="B786" s="41" t="str">
        <f>IFERROR(__xludf.DUMMYFUNCTION("""COMPUTED_VALUE"""),"RSC007899")</f>
        <v>RSC007899</v>
      </c>
      <c r="C786" s="41" t="str">
        <f>IFERROR(__xludf.DUMMYFUNCTION("""COMPUTED_VALUE"""),"SeaSpay182009")</f>
        <v>SeaSpay182009</v>
      </c>
      <c r="D786" s="41" t="str">
        <f>IFERROR(__xludf.DUMMYFUNCTION("""COMPUTED_VALUE"""),"Turbulence")</f>
        <v>Turbulence</v>
      </c>
      <c r="E786" s="41">
        <f>IFERROR(__xludf.DUMMYFUNCTION("""COMPUTED_VALUE"""),2.0)</f>
        <v>2</v>
      </c>
      <c r="F786" s="41">
        <f>IFERROR(__xludf.DUMMYFUNCTION("""COMPUTED_VALUE"""),980.0)</f>
        <v>980</v>
      </c>
    </row>
    <row r="787">
      <c r="A787" s="41" t="b">
        <f>IFERROR(__xludf.DUMMYFUNCTION("""COMPUTED_VALUE"""),TRUE)</f>
        <v>1</v>
      </c>
      <c r="B787" s="41" t="str">
        <f>IFERROR(__xludf.DUMMYFUNCTION("""COMPUTED_VALUE"""),"RSC008103")</f>
        <v>RSC008103</v>
      </c>
      <c r="C787" s="41" t="str">
        <f>IFERROR(__xludf.DUMMYFUNCTION("""COMPUTED_VALUE"""),"AkTION")</f>
        <v>AkTION</v>
      </c>
      <c r="D787" s="41" t="str">
        <f>IFERROR(__xludf.DUMMYFUNCTION("""COMPUTED_VALUE"""),"Chromatic Chaos")</f>
        <v>Chromatic Chaos</v>
      </c>
      <c r="E787" s="41">
        <f>IFERROR(__xludf.DUMMYFUNCTION("""COMPUTED_VALUE"""),1.0)</f>
        <v>1</v>
      </c>
      <c r="F787" s="41">
        <f>IFERROR(__xludf.DUMMYFUNCTION("""COMPUTED_VALUE"""),1200.0)</f>
        <v>1200</v>
      </c>
    </row>
    <row r="788">
      <c r="A788" s="41" t="b">
        <f>IFERROR(__xludf.DUMMYFUNCTION("""COMPUTED_VALUE"""),FALSE)</f>
        <v>0</v>
      </c>
      <c r="B788" s="41" t="str">
        <f>IFERROR(__xludf.DUMMYFUNCTION("""COMPUTED_VALUE"""),"RSC008109")</f>
        <v>RSC008109</v>
      </c>
      <c r="C788" s="41" t="str">
        <f>IFERROR(__xludf.DUMMYFUNCTION("""COMPUTED_VALUE"""),"Tbrock")</f>
        <v>Tbrock</v>
      </c>
      <c r="D788" s="41"/>
      <c r="E788" s="41">
        <f>IFERROR(__xludf.DUMMYFUNCTION("""COMPUTED_VALUE"""),0.0)</f>
        <v>0</v>
      </c>
      <c r="F788" s="41">
        <f>IFERROR(__xludf.DUMMYFUNCTION("""COMPUTED_VALUE"""),1670.0)</f>
        <v>1670</v>
      </c>
    </row>
    <row r="789">
      <c r="A789" s="41" t="b">
        <f>IFERROR(__xludf.DUMMYFUNCTION("""COMPUTED_VALUE"""),TRUE)</f>
        <v>1</v>
      </c>
      <c r="B789" s="41" t="str">
        <f>IFERROR(__xludf.DUMMYFUNCTION("""COMPUTED_VALUE"""),"RSC008130")</f>
        <v>RSC008130</v>
      </c>
      <c r="C789" s="41" t="str">
        <f>IFERROR(__xludf.DUMMYFUNCTION("""COMPUTED_VALUE"""),"BeardedFrodo1")</f>
        <v>BeardedFrodo1</v>
      </c>
      <c r="D789" s="41" t="str">
        <f>IFERROR(__xludf.DUMMYFUNCTION("""COMPUTED_VALUE"""),"Bombers")</f>
        <v>Bombers</v>
      </c>
      <c r="E789" s="41">
        <f>IFERROR(__xludf.DUMMYFUNCTION("""COMPUTED_VALUE"""),1.0)</f>
        <v>1</v>
      </c>
      <c r="F789" s="41">
        <f>IFERROR(__xludf.DUMMYFUNCTION("""COMPUTED_VALUE"""),920.0)</f>
        <v>920</v>
      </c>
    </row>
    <row r="790">
      <c r="A790" s="41" t="b">
        <f>IFERROR(__xludf.DUMMYFUNCTION("""COMPUTED_VALUE"""),TRUE)</f>
        <v>1</v>
      </c>
      <c r="B790" s="41" t="str">
        <f>IFERROR(__xludf.DUMMYFUNCTION("""COMPUTED_VALUE"""),"RSC008112")</f>
        <v>RSC008112</v>
      </c>
      <c r="C790" s="41" t="str">
        <f>IFERROR(__xludf.DUMMYFUNCTION("""COMPUTED_VALUE"""),"AKINZ.")</f>
        <v>AKINZ.</v>
      </c>
      <c r="D790" s="41"/>
      <c r="E790" s="41">
        <f>IFERROR(__xludf.DUMMYFUNCTION("""COMPUTED_VALUE"""),0.0)</f>
        <v>0</v>
      </c>
      <c r="F790" s="41">
        <f>IFERROR(__xludf.DUMMYFUNCTION("""COMPUTED_VALUE"""),1730.0)</f>
        <v>1730</v>
      </c>
    </row>
    <row r="791">
      <c r="A791" s="41" t="b">
        <f>IFERROR(__xludf.DUMMYFUNCTION("""COMPUTED_VALUE"""),TRUE)</f>
        <v>1</v>
      </c>
      <c r="B791" s="41" t="str">
        <f>IFERROR(__xludf.DUMMYFUNCTION("""COMPUTED_VALUE"""),"RSC008115")</f>
        <v>RSC008115</v>
      </c>
      <c r="C791" s="41" t="str">
        <f>IFERROR(__xludf.DUMMYFUNCTION("""COMPUTED_VALUE"""),"Glint")</f>
        <v>Glint</v>
      </c>
      <c r="D791" s="41" t="str">
        <f>IFERROR(__xludf.DUMMYFUNCTION("""COMPUTED_VALUE"""),"Mages")</f>
        <v>Mages</v>
      </c>
      <c r="E791" s="41">
        <f>IFERROR(__xludf.DUMMYFUNCTION("""COMPUTED_VALUE"""),2.0)</f>
        <v>2</v>
      </c>
      <c r="F791" s="41">
        <f>IFERROR(__xludf.DUMMYFUNCTION("""COMPUTED_VALUE"""),1510.0)</f>
        <v>1510</v>
      </c>
    </row>
    <row r="792">
      <c r="A792" s="41" t="b">
        <f>IFERROR(__xludf.DUMMYFUNCTION("""COMPUTED_VALUE"""),TRUE)</f>
        <v>1</v>
      </c>
      <c r="B792" s="41" t="str">
        <f>IFERROR(__xludf.DUMMYFUNCTION("""COMPUTED_VALUE"""),"RSC008111")</f>
        <v>RSC008111</v>
      </c>
      <c r="C792" s="41" t="str">
        <f>IFERROR(__xludf.DUMMYFUNCTION("""COMPUTED_VALUE"""),"Shadow_11Bravo")</f>
        <v>Shadow_11Bravo</v>
      </c>
      <c r="D792" s="41" t="str">
        <f>IFERROR(__xludf.DUMMYFUNCTION("""COMPUTED_VALUE"""),"Happy B-day Jess")</f>
        <v>Happy B-day Jess</v>
      </c>
      <c r="E792" s="41">
        <f>IFERROR(__xludf.DUMMYFUNCTION("""COMPUTED_VALUE"""),2.0)</f>
        <v>2</v>
      </c>
      <c r="F792" s="41">
        <f>IFERROR(__xludf.DUMMYFUNCTION("""COMPUTED_VALUE"""),1075.0)</f>
        <v>1075</v>
      </c>
    </row>
    <row r="793">
      <c r="A793" s="41" t="b">
        <f>IFERROR(__xludf.DUMMYFUNCTION("""COMPUTED_VALUE"""),TRUE)</f>
        <v>1</v>
      </c>
      <c r="B793" s="41" t="str">
        <f>IFERROR(__xludf.DUMMYFUNCTION("""COMPUTED_VALUE"""),"RSC008106")</f>
        <v>RSC008106</v>
      </c>
      <c r="C793" s="41" t="str">
        <f>IFERROR(__xludf.DUMMYFUNCTION("""COMPUTED_VALUE"""),"M0USE_1")</f>
        <v>M0USE_1</v>
      </c>
      <c r="D793" s="41" t="str">
        <f>IFERROR(__xludf.DUMMYFUNCTION("""COMPUTED_VALUE"""),"Blacktips")</f>
        <v>Blacktips</v>
      </c>
      <c r="E793" s="41">
        <f>IFERROR(__xludf.DUMMYFUNCTION("""COMPUTED_VALUE"""),2.0)</f>
        <v>2</v>
      </c>
      <c r="F793" s="41">
        <f>IFERROR(__xludf.DUMMYFUNCTION("""COMPUTED_VALUE"""),1050.0)</f>
        <v>1050</v>
      </c>
    </row>
    <row r="794">
      <c r="A794" s="41" t="b">
        <f>IFERROR(__xludf.DUMMYFUNCTION("""COMPUTED_VALUE"""),TRUE)</f>
        <v>1</v>
      </c>
      <c r="B794" s="41" t="str">
        <f>IFERROR(__xludf.DUMMYFUNCTION("""COMPUTED_VALUE"""),"RSC008110")</f>
        <v>RSC008110</v>
      </c>
      <c r="C794" s="41" t="str">
        <f>IFERROR(__xludf.DUMMYFUNCTION("""COMPUTED_VALUE"""),"IrishHawk27")</f>
        <v>IrishHawk27</v>
      </c>
      <c r="D794" s="41" t="str">
        <f>IFERROR(__xludf.DUMMYFUNCTION("""COMPUTED_VALUE"""),"Honey Badgers")</f>
        <v>Honey Badgers</v>
      </c>
      <c r="E794" s="41">
        <f>IFERROR(__xludf.DUMMYFUNCTION("""COMPUTED_VALUE"""),2.0)</f>
        <v>2</v>
      </c>
      <c r="F794" s="41">
        <f>IFERROR(__xludf.DUMMYFUNCTION("""COMPUTED_VALUE"""),1070.0)</f>
        <v>1070</v>
      </c>
    </row>
    <row r="795">
      <c r="A795" s="41" t="b">
        <f>IFERROR(__xludf.DUMMYFUNCTION("""COMPUTED_VALUE"""),TRUE)</f>
        <v>1</v>
      </c>
      <c r="B795" s="41" t="str">
        <f>IFERROR(__xludf.DUMMYFUNCTION("""COMPUTED_VALUE"""),"RSC008193")</f>
        <v>RSC008193</v>
      </c>
      <c r="C795" s="41" t="str">
        <f>IFERROR(__xludf.DUMMYFUNCTION("""COMPUTED_VALUE"""),"RL Camaro")</f>
        <v>RL Camaro</v>
      </c>
      <c r="D795" s="41" t="str">
        <f>IFERROR(__xludf.DUMMYFUNCTION("""COMPUTED_VALUE"""),"Chimera")</f>
        <v>Chimera</v>
      </c>
      <c r="E795" s="41">
        <f>IFERROR(__xludf.DUMMYFUNCTION("""COMPUTED_VALUE"""),1.0)</f>
        <v>1</v>
      </c>
      <c r="F795" s="41">
        <f>IFERROR(__xludf.DUMMYFUNCTION("""COMPUTED_VALUE"""),895.0)</f>
        <v>895</v>
      </c>
    </row>
    <row r="796">
      <c r="A796" s="41" t="b">
        <f>IFERROR(__xludf.DUMMYFUNCTION("""COMPUTED_VALUE"""),FALSE)</f>
        <v>0</v>
      </c>
      <c r="B796" s="41" t="str">
        <f>IFERROR(__xludf.DUMMYFUNCTION("""COMPUTED_VALUE"""),"RSC008147")</f>
        <v>RSC008147</v>
      </c>
      <c r="C796" s="41" t="str">
        <f>IFERROR(__xludf.DUMMYFUNCTION("""COMPUTED_VALUE"""),"CrucialUrchin")</f>
        <v>CrucialUrchin</v>
      </c>
      <c r="D796" s="41"/>
      <c r="E796" s="41">
        <f>IFERROR(__xludf.DUMMYFUNCTION("""COMPUTED_VALUE"""),0.0)</f>
        <v>0</v>
      </c>
      <c r="F796" s="41">
        <f>IFERROR(__xludf.DUMMYFUNCTION("""COMPUTED_VALUE"""),1040.0)</f>
        <v>1040</v>
      </c>
    </row>
    <row r="797">
      <c r="A797" s="41" t="b">
        <f>IFERROR(__xludf.DUMMYFUNCTION("""COMPUTED_VALUE"""),TRUE)</f>
        <v>1</v>
      </c>
      <c r="B797" s="41" t="str">
        <f>IFERROR(__xludf.DUMMYFUNCTION("""COMPUTED_VALUE"""),"RSC008504")</f>
        <v>RSC008504</v>
      </c>
      <c r="C797" s="41" t="str">
        <f>IFERROR(__xludf.DUMMYFUNCTION("""COMPUTED_VALUE"""),"Mozarv.")</f>
        <v>Mozarv.</v>
      </c>
      <c r="D797" s="41"/>
      <c r="E797" s="41">
        <f>IFERROR(__xludf.DUMMYFUNCTION("""COMPUTED_VALUE"""),0.0)</f>
        <v>0</v>
      </c>
      <c r="F797" s="41">
        <f>IFERROR(__xludf.DUMMYFUNCTION("""COMPUTED_VALUE"""),1060.0)</f>
        <v>1060</v>
      </c>
    </row>
    <row r="798">
      <c r="A798" s="41" t="b">
        <f>IFERROR(__xludf.DUMMYFUNCTION("""COMPUTED_VALUE"""),FALSE)</f>
        <v>0</v>
      </c>
      <c r="B798" s="41" t="str">
        <f>IFERROR(__xludf.DUMMYFUNCTION("""COMPUTED_VALUE"""),"RSC008132")</f>
        <v>RSC008132</v>
      </c>
      <c r="C798" s="41" t="str">
        <f>IFERROR(__xludf.DUMMYFUNCTION("""COMPUTED_VALUE"""),"Paz")</f>
        <v>Paz</v>
      </c>
      <c r="D798" s="41"/>
      <c r="E798" s="41">
        <f>IFERROR(__xludf.DUMMYFUNCTION("""COMPUTED_VALUE"""),0.0)</f>
        <v>0</v>
      </c>
      <c r="F798" s="41">
        <f>IFERROR(__xludf.DUMMYFUNCTION("""COMPUTED_VALUE"""),1525.0)</f>
        <v>1525</v>
      </c>
    </row>
    <row r="799">
      <c r="A799" s="41" t="b">
        <f>IFERROR(__xludf.DUMMYFUNCTION("""COMPUTED_VALUE"""),TRUE)</f>
        <v>1</v>
      </c>
      <c r="B799" s="41" t="str">
        <f>IFERROR(__xludf.DUMMYFUNCTION("""COMPUTED_VALUE"""),"RSC008116")</f>
        <v>RSC008116</v>
      </c>
      <c r="C799" s="41" t="str">
        <f>IFERROR(__xludf.DUMMYFUNCTION("""COMPUTED_VALUE"""),"Jake")</f>
        <v>Jake</v>
      </c>
      <c r="D799" s="41" t="str">
        <f>IFERROR(__xludf.DUMMYFUNCTION("""COMPUTED_VALUE"""),"Merciless Mob")</f>
        <v>Merciless Mob</v>
      </c>
      <c r="E799" s="41">
        <f>IFERROR(__xludf.DUMMYFUNCTION("""COMPUTED_VALUE"""),1.0)</f>
        <v>1</v>
      </c>
      <c r="F799" s="41">
        <f>IFERROR(__xludf.DUMMYFUNCTION("""COMPUTED_VALUE"""),1450.0)</f>
        <v>1450</v>
      </c>
    </row>
    <row r="800">
      <c r="A800" s="41" t="b">
        <f>IFERROR(__xludf.DUMMYFUNCTION("""COMPUTED_VALUE"""),TRUE)</f>
        <v>1</v>
      </c>
      <c r="B800" s="41" t="str">
        <f>IFERROR(__xludf.DUMMYFUNCTION("""COMPUTED_VALUE"""),"RSC007470")</f>
        <v>RSC007470</v>
      </c>
      <c r="C800" s="41" t="str">
        <f>IFERROR(__xludf.DUMMYFUNCTION("""COMPUTED_VALUE"""),"Fused Gavin")</f>
        <v>Fused Gavin</v>
      </c>
      <c r="D800" s="41" t="str">
        <f>IFERROR(__xludf.DUMMYFUNCTION("""COMPUTED_VALUE"""),"Swordsman")</f>
        <v>Swordsman</v>
      </c>
      <c r="E800" s="41">
        <f>IFERROR(__xludf.DUMMYFUNCTION("""COMPUTED_VALUE"""),2.0)</f>
        <v>2</v>
      </c>
      <c r="F800" s="41">
        <f>IFERROR(__xludf.DUMMYFUNCTION("""COMPUTED_VALUE"""),1520.0)</f>
        <v>1520</v>
      </c>
    </row>
    <row r="801">
      <c r="A801" s="41" t="b">
        <f>IFERROR(__xludf.DUMMYFUNCTION("""COMPUTED_VALUE"""),TRUE)</f>
        <v>1</v>
      </c>
      <c r="B801" s="41" t="str">
        <f>IFERROR(__xludf.DUMMYFUNCTION("""COMPUTED_VALUE"""),"RSC008138")</f>
        <v>RSC008138</v>
      </c>
      <c r="C801" s="41" t="str">
        <f>IFERROR(__xludf.DUMMYFUNCTION("""COMPUTED_VALUE"""),"Skillz Issue")</f>
        <v>Skillz Issue</v>
      </c>
      <c r="D801" s="41" t="str">
        <f>IFERROR(__xludf.DUMMYFUNCTION("""COMPUTED_VALUE"""),"Quasars")</f>
        <v>Quasars</v>
      </c>
      <c r="E801" s="41">
        <f>IFERROR(__xludf.DUMMYFUNCTION("""COMPUTED_VALUE"""),2.0)</f>
        <v>2</v>
      </c>
      <c r="F801" s="41">
        <f>IFERROR(__xludf.DUMMYFUNCTION("""COMPUTED_VALUE"""),1305.0)</f>
        <v>1305</v>
      </c>
    </row>
    <row r="802">
      <c r="A802" s="41" t="b">
        <f>IFERROR(__xludf.DUMMYFUNCTION("""COMPUTED_VALUE"""),TRUE)</f>
        <v>1</v>
      </c>
      <c r="B802" s="41" t="str">
        <f>IFERROR(__xludf.DUMMYFUNCTION("""COMPUTED_VALUE"""),"RSC007358")</f>
        <v>RSC007358</v>
      </c>
      <c r="C802" s="41" t="str">
        <f>IFERROR(__xludf.DUMMYFUNCTION("""COMPUTED_VALUE"""),"Tropicalshortsba")</f>
        <v>Tropicalshortsba</v>
      </c>
      <c r="D802" s="41" t="str">
        <f>IFERROR(__xludf.DUMMYFUNCTION("""COMPUTED_VALUE"""),"Giant Squids")</f>
        <v>Giant Squids</v>
      </c>
      <c r="E802" s="41">
        <f>IFERROR(__xludf.DUMMYFUNCTION("""COMPUTED_VALUE"""),1.0)</f>
        <v>1</v>
      </c>
      <c r="F802" s="41">
        <f>IFERROR(__xludf.DUMMYFUNCTION("""COMPUTED_VALUE"""),1445.0)</f>
        <v>1445</v>
      </c>
    </row>
    <row r="803">
      <c r="A803" s="41" t="b">
        <f>IFERROR(__xludf.DUMMYFUNCTION("""COMPUTED_VALUE"""),TRUE)</f>
        <v>1</v>
      </c>
      <c r="B803" s="41" t="str">
        <f>IFERROR(__xludf.DUMMYFUNCTION("""COMPUTED_VALUE"""),"RSC008171")</f>
        <v>RSC008171</v>
      </c>
      <c r="C803" s="41" t="str">
        <f>IFERROR(__xludf.DUMMYFUNCTION("""COMPUTED_VALUE"""),"Shxde")</f>
        <v>Shxde</v>
      </c>
      <c r="D803" s="41" t="str">
        <f>IFERROR(__xludf.DUMMYFUNCTION("""COMPUTED_VALUE"""),"Fromunda Frauds")</f>
        <v>Fromunda Frauds</v>
      </c>
      <c r="E803" s="41">
        <f>IFERROR(__xludf.DUMMYFUNCTION("""COMPUTED_VALUE"""),2.0)</f>
        <v>2</v>
      </c>
      <c r="F803" s="41">
        <f>IFERROR(__xludf.DUMMYFUNCTION("""COMPUTED_VALUE"""),1715.0)</f>
        <v>1715</v>
      </c>
    </row>
    <row r="804">
      <c r="A804" s="41" t="b">
        <f>IFERROR(__xludf.DUMMYFUNCTION("""COMPUTED_VALUE"""),TRUE)</f>
        <v>1</v>
      </c>
      <c r="B804" s="41" t="str">
        <f>IFERROR(__xludf.DUMMYFUNCTION("""COMPUTED_VALUE"""),"RSC008178")</f>
        <v>RSC008178</v>
      </c>
      <c r="C804" s="41" t="str">
        <f>IFERROR(__xludf.DUMMYFUNCTION("""COMPUTED_VALUE"""),"Bigwigglystylezz")</f>
        <v>Bigwigglystylezz</v>
      </c>
      <c r="D804" s="41" t="str">
        <f>IFERROR(__xludf.DUMMYFUNCTION("""COMPUTED_VALUE"""),"Winter Fresh")</f>
        <v>Winter Fresh</v>
      </c>
      <c r="E804" s="41">
        <f>IFERROR(__xludf.DUMMYFUNCTION("""COMPUTED_VALUE"""),2.0)</f>
        <v>2</v>
      </c>
      <c r="F804" s="41">
        <f>IFERROR(__xludf.DUMMYFUNCTION("""COMPUTED_VALUE"""),910.0)</f>
        <v>910</v>
      </c>
    </row>
    <row r="805">
      <c r="A805" s="41" t="b">
        <f>IFERROR(__xludf.DUMMYFUNCTION("""COMPUTED_VALUE"""),FALSE)</f>
        <v>0</v>
      </c>
      <c r="B805" s="41" t="str">
        <f>IFERROR(__xludf.DUMMYFUNCTION("""COMPUTED_VALUE"""),"RSC008167")</f>
        <v>RSC008167</v>
      </c>
      <c r="C805" s="41" t="str">
        <f>IFERROR(__xludf.DUMMYFUNCTION("""COMPUTED_VALUE"""),"SleasyRat")</f>
        <v>SleasyRat</v>
      </c>
      <c r="D805" s="41"/>
      <c r="E805" s="41">
        <f>IFERROR(__xludf.DUMMYFUNCTION("""COMPUTED_VALUE"""),0.0)</f>
        <v>0</v>
      </c>
      <c r="F805" s="41">
        <f>IFERROR(__xludf.DUMMYFUNCTION("""COMPUTED_VALUE"""),1545.0)</f>
        <v>1545</v>
      </c>
    </row>
    <row r="806">
      <c r="A806" s="41" t="b">
        <f>IFERROR(__xludf.DUMMYFUNCTION("""COMPUTED_VALUE"""),TRUE)</f>
        <v>1</v>
      </c>
      <c r="B806" s="41" t="str">
        <f>IFERROR(__xludf.DUMMYFUNCTION("""COMPUTED_VALUE"""),"RSC000086")</f>
        <v>RSC000086</v>
      </c>
      <c r="C806" s="41" t="str">
        <f>IFERROR(__xludf.DUMMYFUNCTION("""COMPUTED_VALUE"""),"Stale Popcorn")</f>
        <v>Stale Popcorn</v>
      </c>
      <c r="D806" s="41" t="str">
        <f>IFERROR(__xludf.DUMMYFUNCTION("""COMPUTED_VALUE"""),"HR Violation")</f>
        <v>HR Violation</v>
      </c>
      <c r="E806" s="41">
        <f>IFERROR(__xludf.DUMMYFUNCTION("""COMPUTED_VALUE"""),2.0)</f>
        <v>2</v>
      </c>
      <c r="F806" s="41">
        <f>IFERROR(__xludf.DUMMYFUNCTION("""COMPUTED_VALUE"""),930.0)</f>
        <v>930</v>
      </c>
    </row>
    <row r="807">
      <c r="A807" s="41" t="b">
        <f>IFERROR(__xludf.DUMMYFUNCTION("""COMPUTED_VALUE"""),TRUE)</f>
        <v>1</v>
      </c>
      <c r="B807" s="41" t="str">
        <f>IFERROR(__xludf.DUMMYFUNCTION("""COMPUTED_VALUE"""),"RSC000690")</f>
        <v>RSC000690</v>
      </c>
      <c r="C807" s="41" t="str">
        <f>IFERROR(__xludf.DUMMYFUNCTION("""COMPUTED_VALUE"""),"paco")</f>
        <v>paco</v>
      </c>
      <c r="D807" s="41"/>
      <c r="E807" s="41">
        <f>IFERROR(__xludf.DUMMYFUNCTION("""COMPUTED_VALUE"""),0.0)</f>
        <v>0</v>
      </c>
      <c r="F807" s="41">
        <f>IFERROR(__xludf.DUMMYFUNCTION("""COMPUTED_VALUE"""),1520.0)</f>
        <v>1520</v>
      </c>
    </row>
    <row r="808">
      <c r="A808" s="41" t="b">
        <f>IFERROR(__xludf.DUMMYFUNCTION("""COMPUTED_VALUE"""),TRUE)</f>
        <v>1</v>
      </c>
      <c r="B808" s="41" t="str">
        <f>IFERROR(__xludf.DUMMYFUNCTION("""COMPUTED_VALUE"""),"RSC002796")</f>
        <v>RSC002796</v>
      </c>
      <c r="C808" s="41" t="str">
        <f>IFERROR(__xludf.DUMMYFUNCTION("""COMPUTED_VALUE"""),"Carno")</f>
        <v>Carno</v>
      </c>
      <c r="D808" s="41" t="str">
        <f>IFERROR(__xludf.DUMMYFUNCTION("""COMPUTED_VALUE"""),"Zombies")</f>
        <v>Zombies</v>
      </c>
      <c r="E808" s="41">
        <f>IFERROR(__xludf.DUMMYFUNCTION("""COMPUTED_VALUE"""),1.0)</f>
        <v>1</v>
      </c>
      <c r="F808" s="41">
        <f>IFERROR(__xludf.DUMMYFUNCTION("""COMPUTED_VALUE"""),1080.0)</f>
        <v>1080</v>
      </c>
    </row>
    <row r="809">
      <c r="A809" s="41" t="b">
        <f>IFERROR(__xludf.DUMMYFUNCTION("""COMPUTED_VALUE"""),TRUE)</f>
        <v>1</v>
      </c>
      <c r="B809" s="41" t="str">
        <f>IFERROR(__xludf.DUMMYFUNCTION("""COMPUTED_VALUE"""),"RSC005527")</f>
        <v>RSC005527</v>
      </c>
      <c r="C809" s="41" t="str">
        <f>IFERROR(__xludf.DUMMYFUNCTION("""COMPUTED_VALUE"""),"Colossus4203316")</f>
        <v>Colossus4203316</v>
      </c>
      <c r="D809" s="41"/>
      <c r="E809" s="41">
        <f>IFERROR(__xludf.DUMMYFUNCTION("""COMPUTED_VALUE"""),0.0)</f>
        <v>0</v>
      </c>
      <c r="F809" s="41">
        <f>IFERROR(__xludf.DUMMYFUNCTION("""COMPUTED_VALUE"""),1015.0)</f>
        <v>1015</v>
      </c>
    </row>
    <row r="810">
      <c r="A810" s="41" t="b">
        <f>IFERROR(__xludf.DUMMYFUNCTION("""COMPUTED_VALUE"""),TRUE)</f>
        <v>1</v>
      </c>
      <c r="B810" s="41" t="str">
        <f>IFERROR(__xludf.DUMMYFUNCTION("""COMPUTED_VALUE"""),"RSC002841")</f>
        <v>RSC002841</v>
      </c>
      <c r="C810" s="41" t="str">
        <f>IFERROR(__xludf.DUMMYFUNCTION("""COMPUTED_VALUE"""),"dyl")</f>
        <v>dyl</v>
      </c>
      <c r="D810" s="41" t="str">
        <f>IFERROR(__xludf.DUMMYFUNCTION("""COMPUTED_VALUE"""),"Barracudas")</f>
        <v>Barracudas</v>
      </c>
      <c r="E810" s="41">
        <f>IFERROR(__xludf.DUMMYFUNCTION("""COMPUTED_VALUE"""),1.0)</f>
        <v>1</v>
      </c>
      <c r="F810" s="41">
        <f>IFERROR(__xludf.DUMMYFUNCTION("""COMPUTED_VALUE"""),1265.0)</f>
        <v>1265</v>
      </c>
    </row>
    <row r="811">
      <c r="A811" s="41" t="b">
        <f>IFERROR(__xludf.DUMMYFUNCTION("""COMPUTED_VALUE"""),TRUE)</f>
        <v>1</v>
      </c>
      <c r="B811" s="41" t="str">
        <f>IFERROR(__xludf.DUMMYFUNCTION("""COMPUTED_VALUE"""),"RSC003953")</f>
        <v>RSC003953</v>
      </c>
      <c r="C811" s="41" t="str">
        <f>IFERROR(__xludf.DUMMYFUNCTION("""COMPUTED_VALUE"""),"JustHere4SalCap")</f>
        <v>JustHere4SalCap</v>
      </c>
      <c r="D811" s="41" t="str">
        <f>IFERROR(__xludf.DUMMYFUNCTION("""COMPUTED_VALUE"""),"Hellhounds")</f>
        <v>Hellhounds</v>
      </c>
      <c r="E811" s="41">
        <f>IFERROR(__xludf.DUMMYFUNCTION("""COMPUTED_VALUE"""),2.0)</f>
        <v>2</v>
      </c>
      <c r="F811" s="41">
        <f>IFERROR(__xludf.DUMMYFUNCTION("""COMPUTED_VALUE"""),1530.0)</f>
        <v>1530</v>
      </c>
    </row>
    <row r="812">
      <c r="A812" s="41" t="b">
        <f>IFERROR(__xludf.DUMMYFUNCTION("""COMPUTED_VALUE"""),TRUE)</f>
        <v>1</v>
      </c>
      <c r="B812" s="41" t="str">
        <f>IFERROR(__xludf.DUMMYFUNCTION("""COMPUTED_VALUE"""),"RSC005526")</f>
        <v>RSC005526</v>
      </c>
      <c r="C812" s="41" t="str">
        <f>IFERROR(__xludf.DUMMYFUNCTION("""COMPUTED_VALUE"""),"Vortex3524")</f>
        <v>Vortex3524</v>
      </c>
      <c r="D812" s="41" t="str">
        <f>IFERROR(__xludf.DUMMYFUNCTION("""COMPUTED_VALUE"""),"Phantoms")</f>
        <v>Phantoms</v>
      </c>
      <c r="E812" s="41">
        <f>IFERROR(__xludf.DUMMYFUNCTION("""COMPUTED_VALUE"""),1.0)</f>
        <v>1</v>
      </c>
      <c r="F812" s="41">
        <f>IFERROR(__xludf.DUMMYFUNCTION("""COMPUTED_VALUE"""),1365.0)</f>
        <v>1365</v>
      </c>
    </row>
    <row r="813">
      <c r="A813" s="41" t="b">
        <f>IFERROR(__xludf.DUMMYFUNCTION("""COMPUTED_VALUE"""),TRUE)</f>
        <v>1</v>
      </c>
      <c r="B813" s="41" t="str">
        <f>IFERROR(__xludf.DUMMYFUNCTION("""COMPUTED_VALUE"""),"RSC005320")</f>
        <v>RSC005320</v>
      </c>
      <c r="C813" s="41" t="str">
        <f>IFERROR(__xludf.DUMMYFUNCTION("""COMPUTED_VALUE"""),"MaggieZerua")</f>
        <v>MaggieZerua</v>
      </c>
      <c r="D813" s="41" t="str">
        <f>IFERROR(__xludf.DUMMYFUNCTION("""COMPUTED_VALUE"""),"Leviathans")</f>
        <v>Leviathans</v>
      </c>
      <c r="E813" s="41">
        <f>IFERROR(__xludf.DUMMYFUNCTION("""COMPUTED_VALUE"""),1.0)</f>
        <v>1</v>
      </c>
      <c r="F813" s="41">
        <f>IFERROR(__xludf.DUMMYFUNCTION("""COMPUTED_VALUE"""),1800.0)</f>
        <v>1800</v>
      </c>
    </row>
    <row r="814">
      <c r="A814" s="41" t="b">
        <f>IFERROR(__xludf.DUMMYFUNCTION("""COMPUTED_VALUE"""),TRUE)</f>
        <v>1</v>
      </c>
      <c r="B814" s="41" t="str">
        <f>IFERROR(__xludf.DUMMYFUNCTION("""COMPUTED_VALUE"""),"RSC000278")</f>
        <v>RSC000278</v>
      </c>
      <c r="C814" s="41" t="str">
        <f>IFERROR(__xludf.DUMMYFUNCTION("""COMPUTED_VALUE"""),"Tinsel")</f>
        <v>Tinsel</v>
      </c>
      <c r="D814" s="41" t="str">
        <f>IFERROR(__xludf.DUMMYFUNCTION("""COMPUTED_VALUE"""),"Menthol")</f>
        <v>Menthol</v>
      </c>
      <c r="E814" s="41">
        <f>IFERROR(__xludf.DUMMYFUNCTION("""COMPUTED_VALUE"""),1.0)</f>
        <v>1</v>
      </c>
      <c r="F814" s="41">
        <f>IFERROR(__xludf.DUMMYFUNCTION("""COMPUTED_VALUE"""),1535.0)</f>
        <v>1535</v>
      </c>
    </row>
    <row r="815">
      <c r="A815" s="41" t="b">
        <f>IFERROR(__xludf.DUMMYFUNCTION("""COMPUTED_VALUE"""),TRUE)</f>
        <v>1</v>
      </c>
      <c r="B815" s="41" t="str">
        <f>IFERROR(__xludf.DUMMYFUNCTION("""COMPUTED_VALUE"""),"RSC005165")</f>
        <v>RSC005165</v>
      </c>
      <c r="C815" s="41" t="str">
        <f>IFERROR(__xludf.DUMMYFUNCTION("""COMPUTED_VALUE"""),"Lucas")</f>
        <v>Lucas</v>
      </c>
      <c r="D815" s="41" t="str">
        <f>IFERROR(__xludf.DUMMYFUNCTION("""COMPUTED_VALUE"""),"Avalanche")</f>
        <v>Avalanche</v>
      </c>
      <c r="E815" s="41">
        <f>IFERROR(__xludf.DUMMYFUNCTION("""COMPUTED_VALUE"""),1.0)</f>
        <v>1</v>
      </c>
      <c r="F815" s="41">
        <f>IFERROR(__xludf.DUMMYFUNCTION("""COMPUTED_VALUE"""),1420.0)</f>
        <v>1420</v>
      </c>
    </row>
    <row r="816">
      <c r="A816" s="41" t="b">
        <f>IFERROR(__xludf.DUMMYFUNCTION("""COMPUTED_VALUE"""),FALSE)</f>
        <v>0</v>
      </c>
      <c r="B816" s="41" t="str">
        <f>IFERROR(__xludf.DUMMYFUNCTION("""COMPUTED_VALUE"""),"RSC008133")</f>
        <v>RSC008133</v>
      </c>
      <c r="C816" s="41" t="str">
        <f>IFERROR(__xludf.DUMMYFUNCTION("""COMPUTED_VALUE"""),"Lyle")</f>
        <v>Lyle</v>
      </c>
      <c r="D816" s="41"/>
      <c r="E816" s="41">
        <f>IFERROR(__xludf.DUMMYFUNCTION("""COMPUTED_VALUE"""),1.0)</f>
        <v>1</v>
      </c>
      <c r="F816" s="41">
        <f>IFERROR(__xludf.DUMMYFUNCTION("""COMPUTED_VALUE"""),1670.0)</f>
        <v>1670</v>
      </c>
    </row>
    <row r="817">
      <c r="A817" s="41" t="b">
        <f>IFERROR(__xludf.DUMMYFUNCTION("""COMPUTED_VALUE"""),FALSE)</f>
        <v>0</v>
      </c>
      <c r="B817" s="41" t="str">
        <f>IFERROR(__xludf.DUMMYFUNCTION("""COMPUTED_VALUE"""),"RSC008249")</f>
        <v>RSC008249</v>
      </c>
      <c r="C817" s="41" t="str">
        <f>IFERROR(__xludf.DUMMYFUNCTION("""COMPUTED_VALUE"""),"imtobad00")</f>
        <v>imtobad00</v>
      </c>
      <c r="D817" s="41"/>
      <c r="E817" s="41">
        <f>IFERROR(__xludf.DUMMYFUNCTION("""COMPUTED_VALUE"""),0.0)</f>
        <v>0</v>
      </c>
      <c r="F817" s="41">
        <f>IFERROR(__xludf.DUMMYFUNCTION("""COMPUTED_VALUE"""),1260.0)</f>
        <v>1260</v>
      </c>
    </row>
    <row r="818">
      <c r="A818" s="41" t="b">
        <f>IFERROR(__xludf.DUMMYFUNCTION("""COMPUTED_VALUE"""),TRUE)</f>
        <v>1</v>
      </c>
      <c r="B818" s="41" t="str">
        <f>IFERROR(__xludf.DUMMYFUNCTION("""COMPUTED_VALUE"""),"RSC002892")</f>
        <v>RSC002892</v>
      </c>
      <c r="C818" s="41" t="str">
        <f>IFERROR(__xludf.DUMMYFUNCTION("""COMPUTED_VALUE"""),"nickm")</f>
        <v>nickm</v>
      </c>
      <c r="D818" s="41" t="str">
        <f>IFERROR(__xludf.DUMMYFUNCTION("""COMPUTED_VALUE"""),"Pixel Picassos")</f>
        <v>Pixel Picassos</v>
      </c>
      <c r="E818" s="41">
        <f>IFERROR(__xludf.DUMMYFUNCTION("""COMPUTED_VALUE"""),1.0)</f>
        <v>1</v>
      </c>
      <c r="F818" s="41">
        <f>IFERROR(__xludf.DUMMYFUNCTION("""COMPUTED_VALUE"""),1530.0)</f>
        <v>1530</v>
      </c>
    </row>
    <row r="819">
      <c r="A819" s="41" t="b">
        <f>IFERROR(__xludf.DUMMYFUNCTION("""COMPUTED_VALUE"""),TRUE)</f>
        <v>1</v>
      </c>
      <c r="B819" s="41" t="str">
        <f>IFERROR(__xludf.DUMMYFUNCTION("""COMPUTED_VALUE"""),"RSC000221")</f>
        <v>RSC000221</v>
      </c>
      <c r="C819" s="41" t="str">
        <f>IFERROR(__xludf.DUMMYFUNCTION("""COMPUTED_VALUE"""),"Treefrog")</f>
        <v>Treefrog</v>
      </c>
      <c r="D819" s="41" t="str">
        <f>IFERROR(__xludf.DUMMYFUNCTION("""COMPUTED_VALUE"""),"Scribes")</f>
        <v>Scribes</v>
      </c>
      <c r="E819" s="41">
        <f>IFERROR(__xludf.DUMMYFUNCTION("""COMPUTED_VALUE"""),1.0)</f>
        <v>1</v>
      </c>
      <c r="F819" s="41">
        <f>IFERROR(__xludf.DUMMYFUNCTION("""COMPUTED_VALUE"""),1210.0)</f>
        <v>1210</v>
      </c>
    </row>
    <row r="820">
      <c r="A820" s="41" t="b">
        <f>IFERROR(__xludf.DUMMYFUNCTION("""COMPUTED_VALUE"""),TRUE)</f>
        <v>1</v>
      </c>
      <c r="B820" s="41" t="str">
        <f>IFERROR(__xludf.DUMMYFUNCTION("""COMPUTED_VALUE"""),"RSC006490")</f>
        <v>RSC006490</v>
      </c>
      <c r="C820" s="41" t="str">
        <f>IFERROR(__xludf.DUMMYFUNCTION("""COMPUTED_VALUE"""),"Dayz")</f>
        <v>Dayz</v>
      </c>
      <c r="D820" s="41" t="str">
        <f>IFERROR(__xludf.DUMMYFUNCTION("""COMPUTED_VALUE"""),"Shadow Tails")</f>
        <v>Shadow Tails</v>
      </c>
      <c r="E820" s="41">
        <f>IFERROR(__xludf.DUMMYFUNCTION("""COMPUTED_VALUE"""),1.0)</f>
        <v>1</v>
      </c>
      <c r="F820" s="41">
        <f>IFERROR(__xludf.DUMMYFUNCTION("""COMPUTED_VALUE"""),1450.0)</f>
        <v>1450</v>
      </c>
    </row>
    <row r="821">
      <c r="A821" s="41" t="b">
        <f>IFERROR(__xludf.DUMMYFUNCTION("""COMPUTED_VALUE"""),TRUE)</f>
        <v>1</v>
      </c>
      <c r="B821" s="41" t="str">
        <f>IFERROR(__xludf.DUMMYFUNCTION("""COMPUTED_VALUE"""),"RSC008121")</f>
        <v>RSC008121</v>
      </c>
      <c r="C821" s="41" t="str">
        <f>IFERROR(__xludf.DUMMYFUNCTION("""COMPUTED_VALUE"""),"FlyDRCar")</f>
        <v>FlyDRCar</v>
      </c>
      <c r="D821" s="41" t="str">
        <f>IFERROR(__xludf.DUMMYFUNCTION("""COMPUTED_VALUE"""),"Corals")</f>
        <v>Corals</v>
      </c>
      <c r="E821" s="41">
        <f>IFERROR(__xludf.DUMMYFUNCTION("""COMPUTED_VALUE"""),2.0)</f>
        <v>2</v>
      </c>
      <c r="F821" s="41">
        <f>IFERROR(__xludf.DUMMYFUNCTION("""COMPUTED_VALUE"""),1205.0)</f>
        <v>1205</v>
      </c>
    </row>
    <row r="822">
      <c r="A822" s="41" t="b">
        <f>IFERROR(__xludf.DUMMYFUNCTION("""COMPUTED_VALUE"""),TRUE)</f>
        <v>1</v>
      </c>
      <c r="B822" s="41" t="str">
        <f>IFERROR(__xludf.DUMMYFUNCTION("""COMPUTED_VALUE"""),"RSC003427")</f>
        <v>RSC003427</v>
      </c>
      <c r="C822" s="41" t="str">
        <f>IFERROR(__xludf.DUMMYFUNCTION("""COMPUTED_VALUE"""),"(P|F)ineapple")</f>
        <v>(P|F)ineapple</v>
      </c>
      <c r="D822" s="41" t="str">
        <f>IFERROR(__xludf.DUMMYFUNCTION("""COMPUTED_VALUE"""),"Orochi")</f>
        <v>Orochi</v>
      </c>
      <c r="E822" s="41">
        <f>IFERROR(__xludf.DUMMYFUNCTION("""COMPUTED_VALUE"""),1.0)</f>
        <v>1</v>
      </c>
      <c r="F822" s="41">
        <f>IFERROR(__xludf.DUMMYFUNCTION("""COMPUTED_VALUE"""),1605.0)</f>
        <v>1605</v>
      </c>
    </row>
    <row r="823">
      <c r="A823" s="41" t="b">
        <f>IFERROR(__xludf.DUMMYFUNCTION("""COMPUTED_VALUE"""),TRUE)</f>
        <v>1</v>
      </c>
      <c r="B823" s="41" t="str">
        <f>IFERROR(__xludf.DUMMYFUNCTION("""COMPUTED_VALUE"""),"RSC004313")</f>
        <v>RSC004313</v>
      </c>
      <c r="C823" s="41" t="str">
        <f>IFERROR(__xludf.DUMMYFUNCTION("""COMPUTED_VALUE"""),"Causing .")</f>
        <v>Causing .</v>
      </c>
      <c r="D823" s="41"/>
      <c r="E823" s="41">
        <f>IFERROR(__xludf.DUMMYFUNCTION("""COMPUTED_VALUE"""),0.0)</f>
        <v>0</v>
      </c>
      <c r="F823" s="41">
        <f>IFERROR(__xludf.DUMMYFUNCTION("""COMPUTED_VALUE"""),1515.0)</f>
        <v>1515</v>
      </c>
    </row>
    <row r="824">
      <c r="A824" s="41" t="b">
        <f>IFERROR(__xludf.DUMMYFUNCTION("""COMPUTED_VALUE"""),TRUE)</f>
        <v>1</v>
      </c>
      <c r="B824" s="41" t="str">
        <f>IFERROR(__xludf.DUMMYFUNCTION("""COMPUTED_VALUE"""),"RSC006777")</f>
        <v>RSC006777</v>
      </c>
      <c r="C824" s="41" t="str">
        <f>IFERROR(__xludf.DUMMYFUNCTION("""COMPUTED_VALUE"""),"AlteredSp4rky")</f>
        <v>AlteredSp4rky</v>
      </c>
      <c r="D824" s="41" t="str">
        <f>IFERROR(__xludf.DUMMYFUNCTION("""COMPUTED_VALUE"""),"Ruthless Racket")</f>
        <v>Ruthless Racket</v>
      </c>
      <c r="E824" s="41">
        <f>IFERROR(__xludf.DUMMYFUNCTION("""COMPUTED_VALUE"""),1.0)</f>
        <v>1</v>
      </c>
      <c r="F824" s="41">
        <f>IFERROR(__xludf.DUMMYFUNCTION("""COMPUTED_VALUE"""),1290.0)</f>
        <v>1290</v>
      </c>
    </row>
    <row r="825">
      <c r="A825" s="41" t="b">
        <f>IFERROR(__xludf.DUMMYFUNCTION("""COMPUTED_VALUE"""),TRUE)</f>
        <v>1</v>
      </c>
      <c r="B825" s="41" t="str">
        <f>IFERROR(__xludf.DUMMYFUNCTION("""COMPUTED_VALUE"""),"RSC008153")</f>
        <v>RSC008153</v>
      </c>
      <c r="C825" s="41" t="str">
        <f>IFERROR(__xludf.DUMMYFUNCTION("""COMPUTED_VALUE"""),"Tyson_WA")</f>
        <v>Tyson_WA</v>
      </c>
      <c r="D825" s="41" t="str">
        <f>IFERROR(__xludf.DUMMYFUNCTION("""COMPUTED_VALUE"""),"Earth")</f>
        <v>Earth</v>
      </c>
      <c r="E825" s="41">
        <f>IFERROR(__xludf.DUMMYFUNCTION("""COMPUTED_VALUE"""),2.0)</f>
        <v>2</v>
      </c>
      <c r="F825" s="41">
        <f>IFERROR(__xludf.DUMMYFUNCTION("""COMPUTED_VALUE"""),1005.0)</f>
        <v>1005</v>
      </c>
    </row>
    <row r="826">
      <c r="A826" s="41" t="b">
        <f>IFERROR(__xludf.DUMMYFUNCTION("""COMPUTED_VALUE"""),TRUE)</f>
        <v>1</v>
      </c>
      <c r="B826" s="41" t="str">
        <f>IFERROR(__xludf.DUMMYFUNCTION("""COMPUTED_VALUE"""),"RSC008135")</f>
        <v>RSC008135</v>
      </c>
      <c r="C826" s="41" t="str">
        <f>IFERROR(__xludf.DUMMYFUNCTION("""COMPUTED_VALUE"""),"Ezio_256")</f>
        <v>Ezio_256</v>
      </c>
      <c r="D826" s="41" t="str">
        <f>IFERROR(__xludf.DUMMYFUNCTION("""COMPUTED_VALUE"""),"Phantoms")</f>
        <v>Phantoms</v>
      </c>
      <c r="E826" s="41">
        <f>IFERROR(__xludf.DUMMYFUNCTION("""COMPUTED_VALUE"""),1.0)</f>
        <v>1</v>
      </c>
      <c r="F826" s="41">
        <f>IFERROR(__xludf.DUMMYFUNCTION("""COMPUTED_VALUE"""),1295.0)</f>
        <v>1295</v>
      </c>
    </row>
    <row r="827">
      <c r="A827" s="41" t="b">
        <f>IFERROR(__xludf.DUMMYFUNCTION("""COMPUTED_VALUE"""),TRUE)</f>
        <v>1</v>
      </c>
      <c r="B827" s="41" t="str">
        <f>IFERROR(__xludf.DUMMYFUNCTION("""COMPUTED_VALUE"""),"RSC008151")</f>
        <v>RSC008151</v>
      </c>
      <c r="C827" s="41" t="str">
        <f>IFERROR(__xludf.DUMMYFUNCTION("""COMPUTED_VALUE"""),"Extrakrispybecky")</f>
        <v>Extrakrispybecky</v>
      </c>
      <c r="D827" s="41" t="str">
        <f>IFERROR(__xludf.DUMMYFUNCTION("""COMPUTED_VALUE"""),"Kappa")</f>
        <v>Kappa</v>
      </c>
      <c r="E827" s="41">
        <f>IFERROR(__xludf.DUMMYFUNCTION("""COMPUTED_VALUE"""),2.0)</f>
        <v>2</v>
      </c>
      <c r="F827" s="41">
        <f>IFERROR(__xludf.DUMMYFUNCTION("""COMPUTED_VALUE"""),750.0)</f>
        <v>750</v>
      </c>
    </row>
    <row r="828">
      <c r="A828" s="41" t="b">
        <f>IFERROR(__xludf.DUMMYFUNCTION("""COMPUTED_VALUE"""),TRUE)</f>
        <v>1</v>
      </c>
      <c r="B828" s="41" t="str">
        <f>IFERROR(__xludf.DUMMYFUNCTION("""COMPUTED_VALUE"""),"RSC008226")</f>
        <v>RSC008226</v>
      </c>
      <c r="C828" s="41" t="str">
        <f>IFERROR(__xludf.DUMMYFUNCTION("""COMPUTED_VALUE"""),"OurStevie")</f>
        <v>OurStevie</v>
      </c>
      <c r="D828" s="41"/>
      <c r="E828" s="41">
        <f>IFERROR(__xludf.DUMMYFUNCTION("""COMPUTED_VALUE"""),0.0)</f>
        <v>0</v>
      </c>
      <c r="F828" s="41">
        <f>IFERROR(__xludf.DUMMYFUNCTION("""COMPUTED_VALUE"""),1295.0)</f>
        <v>1295</v>
      </c>
    </row>
    <row r="829">
      <c r="A829" s="41" t="b">
        <f>IFERROR(__xludf.DUMMYFUNCTION("""COMPUTED_VALUE"""),TRUE)</f>
        <v>1</v>
      </c>
      <c r="B829" s="41" t="str">
        <f>IFERROR(__xludf.DUMMYFUNCTION("""COMPUTED_VALUE"""),"RSC007282")</f>
        <v>RSC007282</v>
      </c>
      <c r="C829" s="41" t="str">
        <f>IFERROR(__xludf.DUMMYFUNCTION("""COMPUTED_VALUE"""),"kRs^^")</f>
        <v>kRs^^</v>
      </c>
      <c r="D829" s="41" t="str">
        <f>IFERROR(__xludf.DUMMYFUNCTION("""COMPUTED_VALUE"""),"Helicoprions")</f>
        <v>Helicoprions</v>
      </c>
      <c r="E829" s="41">
        <f>IFERROR(__xludf.DUMMYFUNCTION("""COMPUTED_VALUE"""),1.0)</f>
        <v>1</v>
      </c>
      <c r="F829" s="41">
        <f>IFERROR(__xludf.DUMMYFUNCTION("""COMPUTED_VALUE"""),1770.0)</f>
        <v>1770</v>
      </c>
    </row>
    <row r="830">
      <c r="A830" s="41" t="b">
        <f>IFERROR(__xludf.DUMMYFUNCTION("""COMPUTED_VALUE"""),TRUE)</f>
        <v>1</v>
      </c>
      <c r="B830" s="41" t="str">
        <f>IFERROR(__xludf.DUMMYFUNCTION("""COMPUTED_VALUE"""),"RSC008155")</f>
        <v>RSC008155</v>
      </c>
      <c r="C830" s="41" t="str">
        <f>IFERROR(__xludf.DUMMYFUNCTION("""COMPUTED_VALUE"""),"WinterMajorChamp")</f>
        <v>WinterMajorChamp</v>
      </c>
      <c r="D830" s="41" t="str">
        <f>IFERROR(__xludf.DUMMYFUNCTION("""COMPUTED_VALUE"""),"Sloths")</f>
        <v>Sloths</v>
      </c>
      <c r="E830" s="41">
        <f>IFERROR(__xludf.DUMMYFUNCTION("""COMPUTED_VALUE"""),1.0)</f>
        <v>1</v>
      </c>
      <c r="F830" s="41">
        <f>IFERROR(__xludf.DUMMYFUNCTION("""COMPUTED_VALUE"""),1660.0)</f>
        <v>1660</v>
      </c>
    </row>
    <row r="831">
      <c r="A831" s="41" t="b">
        <f>IFERROR(__xludf.DUMMYFUNCTION("""COMPUTED_VALUE"""),FALSE)</f>
        <v>0</v>
      </c>
      <c r="B831" s="41" t="str">
        <f>IFERROR(__xludf.DUMMYFUNCTION("""COMPUTED_VALUE"""),"RSC000938")</f>
        <v>RSC000938</v>
      </c>
      <c r="C831" s="41" t="str">
        <f>IFERROR(__xludf.DUMMYFUNCTION("""COMPUTED_VALUE"""),"Nukem_IV")</f>
        <v>Nukem_IV</v>
      </c>
      <c r="D831" s="41"/>
      <c r="E831" s="41">
        <f>IFERROR(__xludf.DUMMYFUNCTION("""COMPUTED_VALUE"""),0.0)</f>
        <v>0</v>
      </c>
      <c r="F831" s="41">
        <f>IFERROR(__xludf.DUMMYFUNCTION("""COMPUTED_VALUE"""),1305.0)</f>
        <v>1305</v>
      </c>
    </row>
    <row r="832">
      <c r="A832" s="41" t="b">
        <f>IFERROR(__xludf.DUMMYFUNCTION("""COMPUTED_VALUE"""),FALSE)</f>
        <v>0</v>
      </c>
      <c r="B832" s="41" t="str">
        <f>IFERROR(__xludf.DUMMYFUNCTION("""COMPUTED_VALUE"""),"RSC005422")</f>
        <v>RSC005422</v>
      </c>
      <c r="C832" s="41" t="str">
        <f>IFERROR(__xludf.DUMMYFUNCTION("""COMPUTED_VALUE"""),"BUCKRING")</f>
        <v>BUCKRING</v>
      </c>
      <c r="D832" s="41"/>
      <c r="E832" s="41">
        <f>IFERROR(__xludf.DUMMYFUNCTION("""COMPUTED_VALUE"""),0.0)</f>
        <v>0</v>
      </c>
      <c r="F832" s="41">
        <f>IFERROR(__xludf.DUMMYFUNCTION("""COMPUTED_VALUE"""),1110.0)</f>
        <v>1110</v>
      </c>
    </row>
    <row r="833">
      <c r="A833" s="41" t="b">
        <f>IFERROR(__xludf.DUMMYFUNCTION("""COMPUTED_VALUE"""),TRUE)</f>
        <v>1</v>
      </c>
      <c r="B833" s="41" t="str">
        <f>IFERROR(__xludf.DUMMYFUNCTION("""COMPUTED_VALUE"""),"RSC002320")</f>
        <v>RSC002320</v>
      </c>
      <c r="C833" s="41" t="str">
        <f>IFERROR(__xludf.DUMMYFUNCTION("""COMPUTED_VALUE"""),"JoeExotic")</f>
        <v>JoeExotic</v>
      </c>
      <c r="D833" s="41" t="str">
        <f>IFERROR(__xludf.DUMMYFUNCTION("""COMPUTED_VALUE"""),"Polar Ice")</f>
        <v>Polar Ice</v>
      </c>
      <c r="E833" s="41">
        <f>IFERROR(__xludf.DUMMYFUNCTION("""COMPUTED_VALUE"""),1.0)</f>
        <v>1</v>
      </c>
      <c r="F833" s="41">
        <f>IFERROR(__xludf.DUMMYFUNCTION("""COMPUTED_VALUE"""),1370.0)</f>
        <v>1370</v>
      </c>
    </row>
    <row r="834">
      <c r="A834" s="41" t="b">
        <f>IFERROR(__xludf.DUMMYFUNCTION("""COMPUTED_VALUE"""),TRUE)</f>
        <v>1</v>
      </c>
      <c r="B834" s="41" t="str">
        <f>IFERROR(__xludf.DUMMYFUNCTION("""COMPUTED_VALUE"""),"RSC008139")</f>
        <v>RSC008139</v>
      </c>
      <c r="C834" s="41" t="str">
        <f>IFERROR(__xludf.DUMMYFUNCTION("""COMPUTED_VALUE"""),"Oibu")</f>
        <v>Oibu</v>
      </c>
      <c r="D834" s="41" t="str">
        <f>IFERROR(__xludf.DUMMYFUNCTION("""COMPUTED_VALUE"""),"Feta Forgers")</f>
        <v>Feta Forgers</v>
      </c>
      <c r="E834" s="41">
        <f>IFERROR(__xludf.DUMMYFUNCTION("""COMPUTED_VALUE"""),2.0)</f>
        <v>2</v>
      </c>
      <c r="F834" s="41">
        <f>IFERROR(__xludf.DUMMYFUNCTION("""COMPUTED_VALUE"""),1815.0)</f>
        <v>1815</v>
      </c>
    </row>
    <row r="835">
      <c r="A835" s="41" t="b">
        <f>IFERROR(__xludf.DUMMYFUNCTION("""COMPUTED_VALUE"""),TRUE)</f>
        <v>1</v>
      </c>
      <c r="B835" s="41" t="str">
        <f>IFERROR(__xludf.DUMMYFUNCTION("""COMPUTED_VALUE"""),"RSC006322")</f>
        <v>RSC006322</v>
      </c>
      <c r="C835" s="41" t="str">
        <f>IFERROR(__xludf.DUMMYFUNCTION("""COMPUTED_VALUE"""),"Lorak")</f>
        <v>Lorak</v>
      </c>
      <c r="D835" s="41" t="str">
        <f>IFERROR(__xludf.DUMMYFUNCTION("""COMPUTED_VALUE"""),"Spearmint")</f>
        <v>Spearmint</v>
      </c>
      <c r="E835" s="41">
        <f>IFERROR(__xludf.DUMMYFUNCTION("""COMPUTED_VALUE"""),2.0)</f>
        <v>2</v>
      </c>
      <c r="F835" s="41">
        <f>IFERROR(__xludf.DUMMYFUNCTION("""COMPUTED_VALUE"""),1210.0)</f>
        <v>1210</v>
      </c>
    </row>
    <row r="836">
      <c r="A836" s="41" t="b">
        <f>IFERROR(__xludf.DUMMYFUNCTION("""COMPUTED_VALUE"""),TRUE)</f>
        <v>1</v>
      </c>
      <c r="B836" s="41" t="str">
        <f>IFERROR(__xludf.DUMMYFUNCTION("""COMPUTED_VALUE"""),"RSC008160")</f>
        <v>RSC008160</v>
      </c>
      <c r="C836" s="41" t="str">
        <f>IFERROR(__xludf.DUMMYFUNCTION("""COMPUTED_VALUE"""),"Mystik.19")</f>
        <v>Mystik.19</v>
      </c>
      <c r="D836" s="41"/>
      <c r="E836" s="41">
        <f>IFERROR(__xludf.DUMMYFUNCTION("""COMPUTED_VALUE"""),0.0)</f>
        <v>0</v>
      </c>
      <c r="F836" s="41">
        <f>IFERROR(__xludf.DUMMYFUNCTION("""COMPUTED_VALUE"""),1450.0)</f>
        <v>1450</v>
      </c>
    </row>
    <row r="837">
      <c r="A837" s="41" t="b">
        <f>IFERROR(__xludf.DUMMYFUNCTION("""COMPUTED_VALUE"""),TRUE)</f>
        <v>1</v>
      </c>
      <c r="B837" s="41" t="str">
        <f>IFERROR(__xludf.DUMMYFUNCTION("""COMPUTED_VALUE"""),"RSC007546")</f>
        <v>RSC007546</v>
      </c>
      <c r="C837" s="41" t="str">
        <f>IFERROR(__xludf.DUMMYFUNCTION("""COMPUTED_VALUE"""),"N0TTopmarx")</f>
        <v>N0TTopmarx</v>
      </c>
      <c r="D837" s="41" t="str">
        <f>IFERROR(__xludf.DUMMYFUNCTION("""COMPUTED_VALUE"""),"Black Ice")</f>
        <v>Black Ice</v>
      </c>
      <c r="E837" s="41">
        <f>IFERROR(__xludf.DUMMYFUNCTION("""COMPUTED_VALUE"""),2.0)</f>
        <v>2</v>
      </c>
      <c r="F837" s="41">
        <f>IFERROR(__xludf.DUMMYFUNCTION("""COMPUTED_VALUE"""),1280.0)</f>
        <v>1280</v>
      </c>
    </row>
    <row r="838">
      <c r="A838" s="41" t="b">
        <f>IFERROR(__xludf.DUMMYFUNCTION("""COMPUTED_VALUE"""),TRUE)</f>
        <v>1</v>
      </c>
      <c r="B838" s="41" t="str">
        <f>IFERROR(__xludf.DUMMYFUNCTION("""COMPUTED_VALUE"""),"RSC008154")</f>
        <v>RSC008154</v>
      </c>
      <c r="C838" s="41" t="str">
        <f>IFERROR(__xludf.DUMMYFUNCTION("""COMPUTED_VALUE"""),"Blurrryy.")</f>
        <v>Blurrryy.</v>
      </c>
      <c r="D838" s="41" t="str">
        <f>IFERROR(__xludf.DUMMYFUNCTION("""COMPUTED_VALUE"""),"Phantoms")</f>
        <v>Phantoms</v>
      </c>
      <c r="E838" s="41">
        <f>IFERROR(__xludf.DUMMYFUNCTION("""COMPUTED_VALUE"""),1.0)</f>
        <v>1</v>
      </c>
      <c r="F838" s="41">
        <f>IFERROR(__xludf.DUMMYFUNCTION("""COMPUTED_VALUE"""),1285.0)</f>
        <v>1285</v>
      </c>
    </row>
    <row r="839">
      <c r="A839" s="41" t="b">
        <f>IFERROR(__xludf.DUMMYFUNCTION("""COMPUTED_VALUE"""),TRUE)</f>
        <v>1</v>
      </c>
      <c r="B839" s="41" t="str">
        <f>IFERROR(__xludf.DUMMYFUNCTION("""COMPUTED_VALUE"""),"RSC008644")</f>
        <v>RSC008644</v>
      </c>
      <c r="C839" s="41" t="str">
        <f>IFERROR(__xludf.DUMMYFUNCTION("""COMPUTED_VALUE"""),"bigbodybenss")</f>
        <v>bigbodybenss</v>
      </c>
      <c r="D839" s="41"/>
      <c r="E839" s="41">
        <f>IFERROR(__xludf.DUMMYFUNCTION("""COMPUTED_VALUE"""),0.0)</f>
        <v>0</v>
      </c>
      <c r="F839" s="41">
        <f>IFERROR(__xludf.DUMMYFUNCTION("""COMPUTED_VALUE"""),600.0)</f>
        <v>600</v>
      </c>
    </row>
    <row r="840">
      <c r="A840" s="41" t="b">
        <f>IFERROR(__xludf.DUMMYFUNCTION("""COMPUTED_VALUE"""),TRUE)</f>
        <v>1</v>
      </c>
      <c r="B840" s="41" t="str">
        <f>IFERROR(__xludf.DUMMYFUNCTION("""COMPUTED_VALUE"""),"RSC008162")</f>
        <v>RSC008162</v>
      </c>
      <c r="C840" s="41" t="str">
        <f>IFERROR(__xludf.DUMMYFUNCTION("""COMPUTED_VALUE"""),"ThatHomieGageTTV")</f>
        <v>ThatHomieGageTTV</v>
      </c>
      <c r="D840" s="41" t="str">
        <f>IFERROR(__xludf.DUMMYFUNCTION("""COMPUTED_VALUE"""),"Polar Ice")</f>
        <v>Polar Ice</v>
      </c>
      <c r="E840" s="41">
        <f>IFERROR(__xludf.DUMMYFUNCTION("""COMPUTED_VALUE"""),2.0)</f>
        <v>2</v>
      </c>
      <c r="F840" s="41">
        <f>IFERROR(__xludf.DUMMYFUNCTION("""COMPUTED_VALUE"""),1265.0)</f>
        <v>1265</v>
      </c>
    </row>
    <row r="841">
      <c r="A841" s="41" t="b">
        <f>IFERROR(__xludf.DUMMYFUNCTION("""COMPUTED_VALUE"""),TRUE)</f>
        <v>1</v>
      </c>
      <c r="B841" s="41" t="str">
        <f>IFERROR(__xludf.DUMMYFUNCTION("""COMPUTED_VALUE"""),"RSC001619")</f>
        <v>RSC001619</v>
      </c>
      <c r="C841" s="41" t="str">
        <f>IFERROR(__xludf.DUMMYFUNCTION("""COMPUTED_VALUE"""),"Rob")</f>
        <v>Rob</v>
      </c>
      <c r="D841" s="41" t="str">
        <f>IFERROR(__xludf.DUMMYFUNCTION("""COMPUTED_VALUE"""),"Griffin")</f>
        <v>Griffin</v>
      </c>
      <c r="E841" s="41">
        <f>IFERROR(__xludf.DUMMYFUNCTION("""COMPUTED_VALUE"""),2.0)</f>
        <v>2</v>
      </c>
      <c r="F841" s="41">
        <f>IFERROR(__xludf.DUMMYFUNCTION("""COMPUTED_VALUE"""),1055.0)</f>
        <v>1055</v>
      </c>
    </row>
    <row r="842">
      <c r="A842" s="41" t="b">
        <f>IFERROR(__xludf.DUMMYFUNCTION("""COMPUTED_VALUE"""),TRUE)</f>
        <v>1</v>
      </c>
      <c r="B842" s="41" t="str">
        <f>IFERROR(__xludf.DUMMYFUNCTION("""COMPUTED_VALUE"""),"RSC006976")</f>
        <v>RSC006976</v>
      </c>
      <c r="C842" s="41" t="str">
        <f>IFERROR(__xludf.DUMMYFUNCTION("""COMPUTED_VALUE"""),"Slendda")</f>
        <v>Slendda</v>
      </c>
      <c r="D842" s="41" t="str">
        <f>IFERROR(__xludf.DUMMYFUNCTION("""COMPUTED_VALUE"""),"Cannoli")</f>
        <v>Cannoli</v>
      </c>
      <c r="E842" s="41">
        <f>IFERROR(__xludf.DUMMYFUNCTION("""COMPUTED_VALUE"""),1.0)</f>
        <v>1</v>
      </c>
      <c r="F842" s="41">
        <f>IFERROR(__xludf.DUMMYFUNCTION("""COMPUTED_VALUE"""),1405.0)</f>
        <v>1405</v>
      </c>
    </row>
    <row r="843">
      <c r="A843" s="41" t="b">
        <f>IFERROR(__xludf.DUMMYFUNCTION("""COMPUTED_VALUE"""),TRUE)</f>
        <v>1</v>
      </c>
      <c r="B843" s="41" t="str">
        <f>IFERROR(__xludf.DUMMYFUNCTION("""COMPUTED_VALUE"""),"RSC005150")</f>
        <v>RSC005150</v>
      </c>
      <c r="C843" s="41" t="str">
        <f>IFERROR(__xludf.DUMMYFUNCTION("""COMPUTED_VALUE"""),"Galatiq")</f>
        <v>Galatiq</v>
      </c>
      <c r="D843" s="41" t="str">
        <f>IFERROR(__xludf.DUMMYFUNCTION("""COMPUTED_VALUE"""),"Samurai")</f>
        <v>Samurai</v>
      </c>
      <c r="E843" s="41">
        <f>IFERROR(__xludf.DUMMYFUNCTION("""COMPUTED_VALUE"""),2.0)</f>
        <v>2</v>
      </c>
      <c r="F843" s="41">
        <f>IFERROR(__xludf.DUMMYFUNCTION("""COMPUTED_VALUE"""),1250.0)</f>
        <v>1250</v>
      </c>
    </row>
    <row r="844">
      <c r="A844" s="41" t="b">
        <f>IFERROR(__xludf.DUMMYFUNCTION("""COMPUTED_VALUE"""),TRUE)</f>
        <v>1</v>
      </c>
      <c r="B844" s="41" t="str">
        <f>IFERROR(__xludf.DUMMYFUNCTION("""COMPUTED_VALUE"""),"RSC005210")</f>
        <v>RSC005210</v>
      </c>
      <c r="C844" s="41" t="str">
        <f>IFERROR(__xludf.DUMMYFUNCTION("""COMPUTED_VALUE"""),"baldmanstreamer")</f>
        <v>baldmanstreamer</v>
      </c>
      <c r="D844" s="41" t="str">
        <f>IFERROR(__xludf.DUMMYFUNCTION("""COMPUTED_VALUE"""),"Legati")</f>
        <v>Legati</v>
      </c>
      <c r="E844" s="41">
        <f>IFERROR(__xludf.DUMMYFUNCTION("""COMPUTED_VALUE"""),2.0)</f>
        <v>2</v>
      </c>
      <c r="F844" s="41">
        <f>IFERROR(__xludf.DUMMYFUNCTION("""COMPUTED_VALUE"""),1460.0)</f>
        <v>1460</v>
      </c>
    </row>
    <row r="845">
      <c r="A845" s="41" t="b">
        <f>IFERROR(__xludf.DUMMYFUNCTION("""COMPUTED_VALUE"""),TRUE)</f>
        <v>1</v>
      </c>
      <c r="B845" s="41" t="str">
        <f>IFERROR(__xludf.DUMMYFUNCTION("""COMPUTED_VALUE"""),"RSC008196")</f>
        <v>RSC008196</v>
      </c>
      <c r="C845" s="41" t="str">
        <f>IFERROR(__xludf.DUMMYFUNCTION("""COMPUTED_VALUE"""),"SHLDrip")</f>
        <v>SHLDrip</v>
      </c>
      <c r="D845" s="41"/>
      <c r="E845" s="41">
        <f>IFERROR(__xludf.DUMMYFUNCTION("""COMPUTED_VALUE"""),0.0)</f>
        <v>0</v>
      </c>
      <c r="F845" s="41">
        <f>IFERROR(__xludf.DUMMYFUNCTION("""COMPUTED_VALUE"""),1170.0)</f>
        <v>1170</v>
      </c>
    </row>
    <row r="846">
      <c r="A846" s="41" t="b">
        <f>IFERROR(__xludf.DUMMYFUNCTION("""COMPUTED_VALUE"""),TRUE)</f>
        <v>1</v>
      </c>
      <c r="B846" s="41" t="str">
        <f>IFERROR(__xludf.DUMMYFUNCTION("""COMPUTED_VALUE"""),"RSC008172")</f>
        <v>RSC008172</v>
      </c>
      <c r="C846" s="41" t="str">
        <f>IFERROR(__xludf.DUMMYFUNCTION("""COMPUTED_VALUE"""),"Vera")</f>
        <v>Vera</v>
      </c>
      <c r="D846" s="41" t="str">
        <f>IFERROR(__xludf.DUMMYFUNCTION("""COMPUTED_VALUE"""),"Lycans")</f>
        <v>Lycans</v>
      </c>
      <c r="E846" s="41">
        <f>IFERROR(__xludf.DUMMYFUNCTION("""COMPUTED_VALUE"""),1.0)</f>
        <v>1</v>
      </c>
      <c r="F846" s="41">
        <f>IFERROR(__xludf.DUMMYFUNCTION("""COMPUTED_VALUE"""),1400.0)</f>
        <v>1400</v>
      </c>
    </row>
    <row r="847">
      <c r="A847" s="41" t="b">
        <f>IFERROR(__xludf.DUMMYFUNCTION("""COMPUTED_VALUE"""),TRUE)</f>
        <v>1</v>
      </c>
      <c r="B847" s="41" t="str">
        <f>IFERROR(__xludf.DUMMYFUNCTION("""COMPUTED_VALUE"""),"RSC007115")</f>
        <v>RSC007115</v>
      </c>
      <c r="C847" s="41" t="str">
        <f>IFERROR(__xludf.DUMMYFUNCTION("""COMPUTED_VALUE"""),"Zoomin")</f>
        <v>Zoomin</v>
      </c>
      <c r="D847" s="41" t="str">
        <f>IFERROR(__xludf.DUMMYFUNCTION("""COMPUTED_VALUE"""),"Raptors")</f>
        <v>Raptors</v>
      </c>
      <c r="E847" s="41">
        <f>IFERROR(__xludf.DUMMYFUNCTION("""COMPUTED_VALUE"""),2.0)</f>
        <v>2</v>
      </c>
      <c r="F847" s="41">
        <f>IFERROR(__xludf.DUMMYFUNCTION("""COMPUTED_VALUE"""),1585.0)</f>
        <v>1585</v>
      </c>
    </row>
    <row r="848">
      <c r="A848" s="41" t="b">
        <f>IFERROR(__xludf.DUMMYFUNCTION("""COMPUTED_VALUE"""),TRUE)</f>
        <v>1</v>
      </c>
      <c r="B848" s="41" t="str">
        <f>IFERROR(__xludf.DUMMYFUNCTION("""COMPUTED_VALUE"""),"RSC008432")</f>
        <v>RSC008432</v>
      </c>
      <c r="C848" s="41" t="str">
        <f>IFERROR(__xludf.DUMMYFUNCTION("""COMPUTED_VALUE"""),"Doinkers.")</f>
        <v>Doinkers.</v>
      </c>
      <c r="D848" s="41" t="str">
        <f>IFERROR(__xludf.DUMMYFUNCTION("""COMPUTED_VALUE"""),"Giraffes")</f>
        <v>Giraffes</v>
      </c>
      <c r="E848" s="41">
        <f>IFERROR(__xludf.DUMMYFUNCTION("""COMPUTED_VALUE"""),2.0)</f>
        <v>2</v>
      </c>
      <c r="F848" s="41">
        <f>IFERROR(__xludf.DUMMYFUNCTION("""COMPUTED_VALUE"""),1420.0)</f>
        <v>1420</v>
      </c>
    </row>
    <row r="849">
      <c r="A849" s="41" t="b">
        <f>IFERROR(__xludf.DUMMYFUNCTION("""COMPUTED_VALUE"""),FALSE)</f>
        <v>0</v>
      </c>
      <c r="B849" s="41" t="str">
        <f>IFERROR(__xludf.DUMMYFUNCTION("""COMPUTED_VALUE"""),"RSC005001")</f>
        <v>RSC005001</v>
      </c>
      <c r="C849" s="41" t="str">
        <f>IFERROR(__xludf.DUMMYFUNCTION("""COMPUTED_VALUE"""),"Marked Knight")</f>
        <v>Marked Knight</v>
      </c>
      <c r="D849" s="41"/>
      <c r="E849" s="41">
        <f>IFERROR(__xludf.DUMMYFUNCTION("""COMPUTED_VALUE"""),1.0)</f>
        <v>1</v>
      </c>
      <c r="F849" s="41">
        <f>IFERROR(__xludf.DUMMYFUNCTION("""COMPUTED_VALUE"""),750.0)</f>
        <v>750</v>
      </c>
    </row>
    <row r="850">
      <c r="A850" s="41" t="b">
        <f>IFERROR(__xludf.DUMMYFUNCTION("""COMPUTED_VALUE"""),TRUE)</f>
        <v>1</v>
      </c>
      <c r="B850" s="41" t="str">
        <f>IFERROR(__xludf.DUMMYFUNCTION("""COMPUTED_VALUE"""),"RSC004106")</f>
        <v>RSC004106</v>
      </c>
      <c r="C850" s="41" t="str">
        <f>IFERROR(__xludf.DUMMYFUNCTION("""COMPUTED_VALUE"""),"K.Doughboy")</f>
        <v>K.Doughboy</v>
      </c>
      <c r="D850" s="41"/>
      <c r="E850" s="41">
        <f>IFERROR(__xludf.DUMMYFUNCTION("""COMPUTED_VALUE"""),0.0)</f>
        <v>0</v>
      </c>
      <c r="F850" s="41">
        <f>IFERROR(__xludf.DUMMYFUNCTION("""COMPUTED_VALUE"""),1205.0)</f>
        <v>1205</v>
      </c>
    </row>
    <row r="851">
      <c r="A851" s="41" t="b">
        <f>IFERROR(__xludf.DUMMYFUNCTION("""COMPUTED_VALUE"""),TRUE)</f>
        <v>1</v>
      </c>
      <c r="B851" s="41" t="str">
        <f>IFERROR(__xludf.DUMMYFUNCTION("""COMPUTED_VALUE"""),"RSC008169")</f>
        <v>RSC008169</v>
      </c>
      <c r="C851" s="41" t="str">
        <f>IFERROR(__xludf.DUMMYFUNCTION("""COMPUTED_VALUE"""),"Trickter02")</f>
        <v>Trickter02</v>
      </c>
      <c r="D851" s="41" t="str">
        <f>IFERROR(__xludf.DUMMYFUNCTION("""COMPUTED_VALUE"""),"Swordsman")</f>
        <v>Swordsman</v>
      </c>
      <c r="E851" s="41">
        <f>IFERROR(__xludf.DUMMYFUNCTION("""COMPUTED_VALUE"""),1.0)</f>
        <v>1</v>
      </c>
      <c r="F851" s="41">
        <f>IFERROR(__xludf.DUMMYFUNCTION("""COMPUTED_VALUE"""),1610.0)</f>
        <v>1610</v>
      </c>
    </row>
    <row r="852">
      <c r="A852" s="41" t="b">
        <f>IFERROR(__xludf.DUMMYFUNCTION("""COMPUTED_VALUE"""),TRUE)</f>
        <v>1</v>
      </c>
      <c r="B852" s="41" t="str">
        <f>IFERROR(__xludf.DUMMYFUNCTION("""COMPUTED_VALUE"""),"RSC008195")</f>
        <v>RSC008195</v>
      </c>
      <c r="C852" s="41" t="str">
        <f>IFERROR(__xludf.DUMMYFUNCTION("""COMPUTED_VALUE"""),"Preaux.")</f>
        <v>Preaux.</v>
      </c>
      <c r="D852" s="41" t="str">
        <f>IFERROR(__xludf.DUMMYFUNCTION("""COMPUTED_VALUE"""),"Sirens")</f>
        <v>Sirens</v>
      </c>
      <c r="E852" s="41">
        <f>IFERROR(__xludf.DUMMYFUNCTION("""COMPUTED_VALUE"""),1.0)</f>
        <v>1</v>
      </c>
      <c r="F852" s="41">
        <f>IFERROR(__xludf.DUMMYFUNCTION("""COMPUTED_VALUE"""),1220.0)</f>
        <v>1220</v>
      </c>
    </row>
    <row r="853">
      <c r="A853" s="41" t="b">
        <f>IFERROR(__xludf.DUMMYFUNCTION("""COMPUTED_VALUE"""),TRUE)</f>
        <v>1</v>
      </c>
      <c r="B853" s="41" t="str">
        <f>IFERROR(__xludf.DUMMYFUNCTION("""COMPUTED_VALUE"""),"RSC008188")</f>
        <v>RSC008188</v>
      </c>
      <c r="C853" s="41" t="str">
        <f>IFERROR(__xludf.DUMMYFUNCTION("""COMPUTED_VALUE"""),"SludgeMixFuzz")</f>
        <v>SludgeMixFuzz</v>
      </c>
      <c r="D853" s="41" t="str">
        <f>IFERROR(__xludf.DUMMYFUNCTION("""COMPUTED_VALUE"""),"Sirens")</f>
        <v>Sirens</v>
      </c>
      <c r="E853" s="41">
        <f>IFERROR(__xludf.DUMMYFUNCTION("""COMPUTED_VALUE"""),2.0)</f>
        <v>2</v>
      </c>
      <c r="F853" s="41">
        <f>IFERROR(__xludf.DUMMYFUNCTION("""COMPUTED_VALUE"""),1115.0)</f>
        <v>1115</v>
      </c>
    </row>
    <row r="854">
      <c r="A854" s="41" t="b">
        <f>IFERROR(__xludf.DUMMYFUNCTION("""COMPUTED_VALUE"""),TRUE)</f>
        <v>1</v>
      </c>
      <c r="B854" s="41" t="str">
        <f>IFERROR(__xludf.DUMMYFUNCTION("""COMPUTED_VALUE"""),"RSC008198")</f>
        <v>RSC008198</v>
      </c>
      <c r="C854" s="41" t="str">
        <f>IFERROR(__xludf.DUMMYFUNCTION("""COMPUTED_VALUE"""),"Taiyo")</f>
        <v>Taiyo</v>
      </c>
      <c r="D854" s="41" t="str">
        <f>IFERROR(__xludf.DUMMYFUNCTION("""COMPUTED_VALUE"""),"Fire")</f>
        <v>Fire</v>
      </c>
      <c r="E854" s="41">
        <f>IFERROR(__xludf.DUMMYFUNCTION("""COMPUTED_VALUE"""),1.0)</f>
        <v>1</v>
      </c>
      <c r="F854" s="41">
        <f>IFERROR(__xludf.DUMMYFUNCTION("""COMPUTED_VALUE"""),1675.0)</f>
        <v>1675</v>
      </c>
    </row>
    <row r="855">
      <c r="A855" s="41" t="b">
        <f>IFERROR(__xludf.DUMMYFUNCTION("""COMPUTED_VALUE"""),FALSE)</f>
        <v>0</v>
      </c>
      <c r="B855" s="41" t="str">
        <f>IFERROR(__xludf.DUMMYFUNCTION("""COMPUTED_VALUE"""),"RSC007605")</f>
        <v>RSC007605</v>
      </c>
      <c r="C855" s="41" t="str">
        <f>IFERROR(__xludf.DUMMYFUNCTION("""COMPUTED_VALUE"""),"Afterburner3375")</f>
        <v>Afterburner3375</v>
      </c>
      <c r="D855" s="41"/>
      <c r="E855" s="41">
        <f>IFERROR(__xludf.DUMMYFUNCTION("""COMPUTED_VALUE"""),0.0)</f>
        <v>0</v>
      </c>
      <c r="F855" s="41">
        <f>IFERROR(__xludf.DUMMYFUNCTION("""COMPUTED_VALUE"""),1825.0)</f>
        <v>1825</v>
      </c>
    </row>
    <row r="856">
      <c r="A856" s="41" t="b">
        <f>IFERROR(__xludf.DUMMYFUNCTION("""COMPUTED_VALUE"""),TRUE)</f>
        <v>1</v>
      </c>
      <c r="B856" s="41" t="str">
        <f>IFERROR(__xludf.DUMMYFUNCTION("""COMPUTED_VALUE"""),"RSC008222")</f>
        <v>RSC008222</v>
      </c>
      <c r="C856" s="41" t="str">
        <f>IFERROR(__xludf.DUMMYFUNCTION("""COMPUTED_VALUE"""),"Alfredo")</f>
        <v>Alfredo</v>
      </c>
      <c r="D856" s="41" t="str">
        <f>IFERROR(__xludf.DUMMYFUNCTION("""COMPUTED_VALUE"""),"Jinyiwei")</f>
        <v>Jinyiwei</v>
      </c>
      <c r="E856" s="41">
        <f>IFERROR(__xludf.DUMMYFUNCTION("""COMPUTED_VALUE"""),2.0)</f>
        <v>2</v>
      </c>
      <c r="F856" s="41">
        <f>IFERROR(__xludf.DUMMYFUNCTION("""COMPUTED_VALUE"""),1145.0)</f>
        <v>1145</v>
      </c>
    </row>
    <row r="857">
      <c r="A857" s="41" t="b">
        <f>IFERROR(__xludf.DUMMYFUNCTION("""COMPUTED_VALUE"""),TRUE)</f>
        <v>1</v>
      </c>
      <c r="B857" s="41" t="str">
        <f>IFERROR(__xludf.DUMMYFUNCTION("""COMPUTED_VALUE"""),"RSC002128")</f>
        <v>RSC002128</v>
      </c>
      <c r="C857" s="41" t="str">
        <f>IFERROR(__xludf.DUMMYFUNCTION("""COMPUTED_VALUE"""),"Velo")</f>
        <v>Velo</v>
      </c>
      <c r="D857" s="41" t="str">
        <f>IFERROR(__xludf.DUMMYFUNCTION("""COMPUTED_VALUE"""),"Lightning")</f>
        <v>Lightning</v>
      </c>
      <c r="E857" s="41">
        <f>IFERROR(__xludf.DUMMYFUNCTION("""COMPUTED_VALUE"""),1.0)</f>
        <v>1</v>
      </c>
      <c r="F857" s="41">
        <f>IFERROR(__xludf.DUMMYFUNCTION("""COMPUTED_VALUE"""),1290.0)</f>
        <v>1290</v>
      </c>
    </row>
    <row r="858">
      <c r="A858" s="41" t="b">
        <f>IFERROR(__xludf.DUMMYFUNCTION("""COMPUTED_VALUE"""),TRUE)</f>
        <v>1</v>
      </c>
      <c r="B858" s="41" t="str">
        <f>IFERROR(__xludf.DUMMYFUNCTION("""COMPUTED_VALUE"""),"RSC007373")</f>
        <v>RSC007373</v>
      </c>
      <c r="C858" s="41" t="str">
        <f>IFERROR(__xludf.DUMMYFUNCTION("""COMPUTED_VALUE"""),"pug")</f>
        <v>pug</v>
      </c>
      <c r="D858" s="41" t="str">
        <f>IFERROR(__xludf.DUMMYFUNCTION("""COMPUTED_VALUE"""),"Gargoyle")</f>
        <v>Gargoyle</v>
      </c>
      <c r="E858" s="41">
        <f>IFERROR(__xludf.DUMMYFUNCTION("""COMPUTED_VALUE"""),2.0)</f>
        <v>2</v>
      </c>
      <c r="F858" s="41">
        <f>IFERROR(__xludf.DUMMYFUNCTION("""COMPUTED_VALUE"""),1425.0)</f>
        <v>1425</v>
      </c>
    </row>
    <row r="859">
      <c r="A859" s="41" t="b">
        <f>IFERROR(__xludf.DUMMYFUNCTION("""COMPUTED_VALUE"""),TRUE)</f>
        <v>1</v>
      </c>
      <c r="B859" s="41" t="str">
        <f>IFERROR(__xludf.DUMMYFUNCTION("""COMPUTED_VALUE"""),"RSC003709")</f>
        <v>RSC003709</v>
      </c>
      <c r="C859" s="41" t="str">
        <f>IFERROR(__xludf.DUMMYFUNCTION("""COMPUTED_VALUE"""),"donald.")</f>
        <v>donald.</v>
      </c>
      <c r="D859" s="41" t="str">
        <f>IFERROR(__xludf.DUMMYFUNCTION("""COMPUTED_VALUE"""),"Sloths")</f>
        <v>Sloths</v>
      </c>
      <c r="E859" s="41">
        <f>IFERROR(__xludf.DUMMYFUNCTION("""COMPUTED_VALUE"""),2.0)</f>
        <v>2</v>
      </c>
      <c r="F859" s="41">
        <f>IFERROR(__xludf.DUMMYFUNCTION("""COMPUTED_VALUE"""),1600.0)</f>
        <v>1600</v>
      </c>
    </row>
    <row r="860">
      <c r="A860" s="41" t="b">
        <f>IFERROR(__xludf.DUMMYFUNCTION("""COMPUTED_VALUE"""),TRUE)</f>
        <v>1</v>
      </c>
      <c r="B860" s="41" t="str">
        <f>IFERROR(__xludf.DUMMYFUNCTION("""COMPUTED_VALUE"""),"RSC008200")</f>
        <v>RSC008200</v>
      </c>
      <c r="C860" s="41" t="str">
        <f>IFERROR(__xludf.DUMMYFUNCTION("""COMPUTED_VALUE"""),"Cloudburst")</f>
        <v>Cloudburst</v>
      </c>
      <c r="D860" s="41" t="str">
        <f>IFERROR(__xludf.DUMMYFUNCTION("""COMPUTED_VALUE"""),"Krakens")</f>
        <v>Krakens</v>
      </c>
      <c r="E860" s="41">
        <f>IFERROR(__xludf.DUMMYFUNCTION("""COMPUTED_VALUE"""),1.0)</f>
        <v>1</v>
      </c>
      <c r="F860" s="41">
        <f>IFERROR(__xludf.DUMMYFUNCTION("""COMPUTED_VALUE"""),1655.0)</f>
        <v>1655</v>
      </c>
    </row>
    <row r="861">
      <c r="A861" s="41" t="b">
        <f>IFERROR(__xludf.DUMMYFUNCTION("""COMPUTED_VALUE"""),TRUE)</f>
        <v>1</v>
      </c>
      <c r="B861" s="41" t="str">
        <f>IFERROR(__xludf.DUMMYFUNCTION("""COMPUTED_VALUE"""),"RSC008234")</f>
        <v>RSC008234</v>
      </c>
      <c r="C861" s="41" t="str">
        <f>IFERROR(__xludf.DUMMYFUNCTION("""COMPUTED_VALUE"""),"Its_Bran")</f>
        <v>Its_Bran</v>
      </c>
      <c r="D861" s="41" t="str">
        <f>IFERROR(__xludf.DUMMYFUNCTION("""COMPUTED_VALUE"""),"Asiago Arsonists")</f>
        <v>Asiago Arsonists</v>
      </c>
      <c r="E861" s="41">
        <f>IFERROR(__xludf.DUMMYFUNCTION("""COMPUTED_VALUE"""),1.0)</f>
        <v>1</v>
      </c>
      <c r="F861" s="41">
        <f>IFERROR(__xludf.DUMMYFUNCTION("""COMPUTED_VALUE"""),1255.0)</f>
        <v>1255</v>
      </c>
    </row>
    <row r="862">
      <c r="A862" s="41" t="b">
        <f>IFERROR(__xludf.DUMMYFUNCTION("""COMPUTED_VALUE"""),TRUE)</f>
        <v>1</v>
      </c>
      <c r="B862" s="41" t="str">
        <f>IFERROR(__xludf.DUMMYFUNCTION("""COMPUTED_VALUE"""),"RSC008192")</f>
        <v>RSC008192</v>
      </c>
      <c r="C862" s="41" t="str">
        <f>IFERROR(__xludf.DUMMYFUNCTION("""COMPUTED_VALUE"""),"Alpha Dingo")</f>
        <v>Alpha Dingo</v>
      </c>
      <c r="D862" s="41" t="str">
        <f>IFERROR(__xludf.DUMMYFUNCTION("""COMPUTED_VALUE"""),"Hammerheads")</f>
        <v>Hammerheads</v>
      </c>
      <c r="E862" s="41">
        <f>IFERROR(__xludf.DUMMYFUNCTION("""COMPUTED_VALUE"""),1.0)</f>
        <v>1</v>
      </c>
      <c r="F862" s="41">
        <f>IFERROR(__xludf.DUMMYFUNCTION("""COMPUTED_VALUE"""),1245.0)</f>
        <v>1245</v>
      </c>
    </row>
    <row r="863">
      <c r="A863" s="41" t="b">
        <f>IFERROR(__xludf.DUMMYFUNCTION("""COMPUTED_VALUE"""),TRUE)</f>
        <v>1</v>
      </c>
      <c r="B863" s="41" t="str">
        <f>IFERROR(__xludf.DUMMYFUNCTION("""COMPUTED_VALUE"""),"RSC008218")</f>
        <v>RSC008218</v>
      </c>
      <c r="C863" s="41" t="str">
        <f>IFERROR(__xludf.DUMMYFUNCTION("""COMPUTED_VALUE"""),"Korrello")</f>
        <v>Korrello</v>
      </c>
      <c r="D863" s="41"/>
      <c r="E863" s="41">
        <f>IFERROR(__xludf.DUMMYFUNCTION("""COMPUTED_VALUE"""),0.0)</f>
        <v>0</v>
      </c>
      <c r="F863" s="41">
        <f>IFERROR(__xludf.DUMMYFUNCTION("""COMPUTED_VALUE"""),1095.0)</f>
        <v>1095</v>
      </c>
    </row>
    <row r="864">
      <c r="A864" s="41" t="b">
        <f>IFERROR(__xludf.DUMMYFUNCTION("""COMPUTED_VALUE"""),FALSE)</f>
        <v>0</v>
      </c>
      <c r="B864" s="41" t="str">
        <f>IFERROR(__xludf.DUMMYFUNCTION("""COMPUTED_VALUE"""),"RSC008189")</f>
        <v>RSC008189</v>
      </c>
      <c r="C864" s="41" t="str">
        <f>IFERROR(__xludf.DUMMYFUNCTION("""COMPUTED_VALUE"""),"Irish")</f>
        <v>Irish</v>
      </c>
      <c r="D864" s="41"/>
      <c r="E864" s="41">
        <f>IFERROR(__xludf.DUMMYFUNCTION("""COMPUTED_VALUE"""),0.0)</f>
        <v>0</v>
      </c>
      <c r="F864" s="41">
        <f>IFERROR(__xludf.DUMMYFUNCTION("""COMPUTED_VALUE"""),1235.0)</f>
        <v>1235</v>
      </c>
    </row>
    <row r="865">
      <c r="A865" s="41" t="b">
        <f>IFERROR(__xludf.DUMMYFUNCTION("""COMPUTED_VALUE"""),TRUE)</f>
        <v>1</v>
      </c>
      <c r="B865" s="41" t="str">
        <f>IFERROR(__xludf.DUMMYFUNCTION("""COMPUTED_VALUE"""),"RSC008187")</f>
        <v>RSC008187</v>
      </c>
      <c r="C865" s="41" t="str">
        <f>IFERROR(__xludf.DUMMYFUNCTION("""COMPUTED_VALUE"""),"Tonini08")</f>
        <v>Tonini08</v>
      </c>
      <c r="D865" s="41" t="str">
        <f>IFERROR(__xludf.DUMMYFUNCTION("""COMPUTED_VALUE"""),"Blacktips")</f>
        <v>Blacktips</v>
      </c>
      <c r="E865" s="41">
        <f>IFERROR(__xludf.DUMMYFUNCTION("""COMPUTED_VALUE"""),2.0)</f>
        <v>2</v>
      </c>
      <c r="F865" s="41">
        <f>IFERROR(__xludf.DUMMYFUNCTION("""COMPUTED_VALUE"""),1040.0)</f>
        <v>1040</v>
      </c>
    </row>
    <row r="866">
      <c r="A866" s="41" t="b">
        <f>IFERROR(__xludf.DUMMYFUNCTION("""COMPUTED_VALUE"""),FALSE)</f>
        <v>0</v>
      </c>
      <c r="B866" s="41" t="str">
        <f>IFERROR(__xludf.DUMMYFUNCTION("""COMPUTED_VALUE"""),"RSC008201")</f>
        <v>RSC008201</v>
      </c>
      <c r="C866" s="41" t="str">
        <f>IFERROR(__xludf.DUMMYFUNCTION("""COMPUTED_VALUE"""),"CatalystNEMO")</f>
        <v>CatalystNEMO</v>
      </c>
      <c r="D866" s="41"/>
      <c r="E866" s="41">
        <f>IFERROR(__xludf.DUMMYFUNCTION("""COMPUTED_VALUE"""),0.0)</f>
        <v>0</v>
      </c>
      <c r="F866" s="41">
        <f>IFERROR(__xludf.DUMMYFUNCTION("""COMPUTED_VALUE"""),865.0)</f>
        <v>865</v>
      </c>
    </row>
    <row r="867">
      <c r="A867" s="41" t="b">
        <f>IFERROR(__xludf.DUMMYFUNCTION("""COMPUTED_VALUE"""),TRUE)</f>
        <v>1</v>
      </c>
      <c r="B867" s="41" t="str">
        <f>IFERROR(__xludf.DUMMYFUNCTION("""COMPUTED_VALUE"""),"RSC002579")</f>
        <v>RSC002579</v>
      </c>
      <c r="C867" s="41" t="str">
        <f>IFERROR(__xludf.DUMMYFUNCTION("""COMPUTED_VALUE"""),"saltybikini")</f>
        <v>saltybikini</v>
      </c>
      <c r="D867" s="41" t="str">
        <f>IFERROR(__xludf.DUMMYFUNCTION("""COMPUTED_VALUE"""),"Afterburners")</f>
        <v>Afterburners</v>
      </c>
      <c r="E867" s="41">
        <f>IFERROR(__xludf.DUMMYFUNCTION("""COMPUTED_VALUE"""),2.0)</f>
        <v>2</v>
      </c>
      <c r="F867" s="41">
        <f>IFERROR(__xludf.DUMMYFUNCTION("""COMPUTED_VALUE"""),1580.0)</f>
        <v>1580</v>
      </c>
    </row>
    <row r="868">
      <c r="A868" s="41" t="b">
        <f>IFERROR(__xludf.DUMMYFUNCTION("""COMPUTED_VALUE"""),TRUE)</f>
        <v>1</v>
      </c>
      <c r="B868" s="41" t="str">
        <f>IFERROR(__xludf.DUMMYFUNCTION("""COMPUTED_VALUE"""),"RSC008221")</f>
        <v>RSC008221</v>
      </c>
      <c r="C868" s="41" t="str">
        <f>IFERROR(__xludf.DUMMYFUNCTION("""COMPUTED_VALUE"""),"KamdenRL")</f>
        <v>KamdenRL</v>
      </c>
      <c r="D868" s="41" t="str">
        <f>IFERROR(__xludf.DUMMYFUNCTION("""COMPUTED_VALUE"""),"Forest Cobra")</f>
        <v>Forest Cobra</v>
      </c>
      <c r="E868" s="41">
        <f>IFERROR(__xludf.DUMMYFUNCTION("""COMPUTED_VALUE"""),2.0)</f>
        <v>2</v>
      </c>
      <c r="F868" s="41">
        <f>IFERROR(__xludf.DUMMYFUNCTION("""COMPUTED_VALUE"""),1535.0)</f>
        <v>1535</v>
      </c>
    </row>
    <row r="869">
      <c r="A869" s="41" t="b">
        <f>IFERROR(__xludf.DUMMYFUNCTION("""COMPUTED_VALUE"""),FALSE)</f>
        <v>0</v>
      </c>
      <c r="B869" s="41" t="str">
        <f>IFERROR(__xludf.DUMMYFUNCTION("""COMPUTED_VALUE"""),"RSC008239")</f>
        <v>RSC008239</v>
      </c>
      <c r="C869" s="41" t="str">
        <f>IFERROR(__xludf.DUMMYFUNCTION("""COMPUTED_VALUE"""),"Duke_DanieIs")</f>
        <v>Duke_DanieIs</v>
      </c>
      <c r="D869" s="41"/>
      <c r="E869" s="41">
        <f>IFERROR(__xludf.DUMMYFUNCTION("""COMPUTED_VALUE"""),0.0)</f>
        <v>0</v>
      </c>
      <c r="F869" s="41">
        <f>IFERROR(__xludf.DUMMYFUNCTION("""COMPUTED_VALUE"""),875.0)</f>
        <v>875</v>
      </c>
    </row>
    <row r="870">
      <c r="A870" s="41" t="b">
        <f>IFERROR(__xludf.DUMMYFUNCTION("""COMPUTED_VALUE"""),FALSE)</f>
        <v>0</v>
      </c>
      <c r="B870" s="41" t="str">
        <f>IFERROR(__xludf.DUMMYFUNCTION("""COMPUTED_VALUE"""),"RSC008276")</f>
        <v>RSC008276</v>
      </c>
      <c r="C870" s="41" t="str">
        <f>IFERROR(__xludf.DUMMYFUNCTION("""COMPUTED_VALUE"""),"Katsuhito__")</f>
        <v>Katsuhito__</v>
      </c>
      <c r="D870" s="41"/>
      <c r="E870" s="41">
        <f>IFERROR(__xludf.DUMMYFUNCTION("""COMPUTED_VALUE"""),0.0)</f>
        <v>0</v>
      </c>
      <c r="F870" s="41">
        <f>IFERROR(__xludf.DUMMYFUNCTION("""COMPUTED_VALUE"""),1100.0)</f>
        <v>1100</v>
      </c>
    </row>
    <row r="871">
      <c r="A871" s="41" t="b">
        <f>IFERROR(__xludf.DUMMYFUNCTION("""COMPUTED_VALUE"""),TRUE)</f>
        <v>1</v>
      </c>
      <c r="B871" s="41" t="str">
        <f>IFERROR(__xludf.DUMMYFUNCTION("""COMPUTED_VALUE"""),"RSC008231")</f>
        <v>RSC008231</v>
      </c>
      <c r="C871" s="41" t="str">
        <f>IFERROR(__xludf.DUMMYFUNCTION("""COMPUTED_VALUE"""),"Afino")</f>
        <v>Afino</v>
      </c>
      <c r="D871" s="41" t="str">
        <f>IFERROR(__xludf.DUMMYFUNCTION("""COMPUTED_VALUE"""),"Grizzly Bears")</f>
        <v>Grizzly Bears</v>
      </c>
      <c r="E871" s="41">
        <f>IFERROR(__xludf.DUMMYFUNCTION("""COMPUTED_VALUE"""),2.0)</f>
        <v>2</v>
      </c>
      <c r="F871" s="41">
        <f>IFERROR(__xludf.DUMMYFUNCTION("""COMPUTED_VALUE"""),1435.0)</f>
        <v>1435</v>
      </c>
    </row>
    <row r="872">
      <c r="A872" s="41" t="b">
        <f>IFERROR(__xludf.DUMMYFUNCTION("""COMPUTED_VALUE"""),FALSE)</f>
        <v>0</v>
      </c>
      <c r="B872" s="41" t="str">
        <f>IFERROR(__xludf.DUMMYFUNCTION("""COMPUTED_VALUE"""),"RSC008280")</f>
        <v>RSC008280</v>
      </c>
      <c r="C872" s="41" t="str">
        <f>IFERROR(__xludf.DUMMYFUNCTION("""COMPUTED_VALUE"""),"MightyMayonayz")</f>
        <v>MightyMayonayz</v>
      </c>
      <c r="D872" s="41"/>
      <c r="E872" s="41">
        <f>IFERROR(__xludf.DUMMYFUNCTION("""COMPUTED_VALUE"""),0.0)</f>
        <v>0</v>
      </c>
      <c r="F872" s="41">
        <f>IFERROR(__xludf.DUMMYFUNCTION("""COMPUTED_VALUE"""),805.0)</f>
        <v>805</v>
      </c>
    </row>
    <row r="873">
      <c r="A873" s="41" t="b">
        <f>IFERROR(__xludf.DUMMYFUNCTION("""COMPUTED_VALUE"""),TRUE)</f>
        <v>1</v>
      </c>
      <c r="B873" s="41" t="str">
        <f>IFERROR(__xludf.DUMMYFUNCTION("""COMPUTED_VALUE"""),"RSC008213")</f>
        <v>RSC008213</v>
      </c>
      <c r="C873" s="41" t="str">
        <f>IFERROR(__xludf.DUMMYFUNCTION("""COMPUTED_VALUE"""),"SeargD")</f>
        <v>SeargD</v>
      </c>
      <c r="D873" s="41" t="str">
        <f>IFERROR(__xludf.DUMMYFUNCTION("""COMPUTED_VALUE"""),"Legionaries")</f>
        <v>Legionaries</v>
      </c>
      <c r="E873" s="41">
        <f>IFERROR(__xludf.DUMMYFUNCTION("""COMPUTED_VALUE"""),1.0)</f>
        <v>1</v>
      </c>
      <c r="F873" s="41">
        <f>IFERROR(__xludf.DUMMYFUNCTION("""COMPUTED_VALUE"""),825.0)</f>
        <v>825</v>
      </c>
    </row>
    <row r="874">
      <c r="A874" s="41" t="b">
        <f>IFERROR(__xludf.DUMMYFUNCTION("""COMPUTED_VALUE"""),FALSE)</f>
        <v>0</v>
      </c>
      <c r="B874" s="41" t="str">
        <f>IFERROR(__xludf.DUMMYFUNCTION("""COMPUTED_VALUE"""),"RSC008241")</f>
        <v>RSC008241</v>
      </c>
      <c r="C874" s="41" t="str">
        <f>IFERROR(__xludf.DUMMYFUNCTION("""COMPUTED_VALUE"""),"soulless")</f>
        <v>soulless</v>
      </c>
      <c r="D874" s="41"/>
      <c r="E874" s="41">
        <f>IFERROR(__xludf.DUMMYFUNCTION("""COMPUTED_VALUE"""),1.0)</f>
        <v>1</v>
      </c>
      <c r="F874" s="41">
        <f>IFERROR(__xludf.DUMMYFUNCTION("""COMPUTED_VALUE"""),1735.0)</f>
        <v>1735</v>
      </c>
    </row>
    <row r="875">
      <c r="A875" s="41" t="b">
        <f>IFERROR(__xludf.DUMMYFUNCTION("""COMPUTED_VALUE"""),TRUE)</f>
        <v>1</v>
      </c>
      <c r="B875" s="41" t="str">
        <f>IFERROR(__xludf.DUMMYFUNCTION("""COMPUTED_VALUE"""),"RSC008216")</f>
        <v>RSC008216</v>
      </c>
      <c r="C875" s="41" t="str">
        <f>IFERROR(__xludf.DUMMYFUNCTION("""COMPUTED_VALUE"""),"oBlueyRL")</f>
        <v>oBlueyRL</v>
      </c>
      <c r="D875" s="41" t="str">
        <f>IFERROR(__xludf.DUMMYFUNCTION("""COMPUTED_VALUE"""),"Warbirds")</f>
        <v>Warbirds</v>
      </c>
      <c r="E875" s="41">
        <f>IFERROR(__xludf.DUMMYFUNCTION("""COMPUTED_VALUE"""),1.0)</f>
        <v>1</v>
      </c>
      <c r="F875" s="41">
        <f>IFERROR(__xludf.DUMMYFUNCTION("""COMPUTED_VALUE"""),1075.0)</f>
        <v>1075</v>
      </c>
    </row>
    <row r="876">
      <c r="A876" s="41" t="b">
        <f>IFERROR(__xludf.DUMMYFUNCTION("""COMPUTED_VALUE"""),TRUE)</f>
        <v>1</v>
      </c>
      <c r="B876" s="41" t="str">
        <f>IFERROR(__xludf.DUMMYFUNCTION("""COMPUTED_VALUE"""),"RSC008237")</f>
        <v>RSC008237</v>
      </c>
      <c r="C876" s="41" t="str">
        <f>IFERROR(__xludf.DUMMYFUNCTION("""COMPUTED_VALUE"""),"SardonicOx")</f>
        <v>SardonicOx</v>
      </c>
      <c r="D876" s="41" t="str">
        <f>IFERROR(__xludf.DUMMYFUNCTION("""COMPUTED_VALUE"""),"Insider Traders")</f>
        <v>Insider Traders</v>
      </c>
      <c r="E876" s="41">
        <f>IFERROR(__xludf.DUMMYFUNCTION("""COMPUTED_VALUE"""),1.0)</f>
        <v>1</v>
      </c>
      <c r="F876" s="41">
        <f>IFERROR(__xludf.DUMMYFUNCTION("""COMPUTED_VALUE"""),1105.0)</f>
        <v>1105</v>
      </c>
    </row>
    <row r="877">
      <c r="A877" s="41" t="b">
        <f>IFERROR(__xludf.DUMMYFUNCTION("""COMPUTED_VALUE"""),FALSE)</f>
        <v>0</v>
      </c>
      <c r="B877" s="41" t="str">
        <f>IFERROR(__xludf.DUMMYFUNCTION("""COMPUTED_VALUE"""),"RSC008430")</f>
        <v>RSC008430</v>
      </c>
      <c r="C877" s="41" t="str">
        <f>IFERROR(__xludf.DUMMYFUNCTION("""COMPUTED_VALUE"""),"Mochii")</f>
        <v>Mochii</v>
      </c>
      <c r="D877" s="41"/>
      <c r="E877" s="41">
        <f>IFERROR(__xludf.DUMMYFUNCTION("""COMPUTED_VALUE"""),2.0)</f>
        <v>2</v>
      </c>
      <c r="F877" s="41">
        <f>IFERROR(__xludf.DUMMYFUNCTION("""COMPUTED_VALUE"""),1480.0)</f>
        <v>1480</v>
      </c>
    </row>
    <row r="878">
      <c r="A878" s="41" t="b">
        <f>IFERROR(__xludf.DUMMYFUNCTION("""COMPUTED_VALUE"""),FALSE)</f>
        <v>0</v>
      </c>
      <c r="B878" s="41" t="str">
        <f>IFERROR(__xludf.DUMMYFUNCTION("""COMPUTED_VALUE"""),"RSC008220")</f>
        <v>RSC008220</v>
      </c>
      <c r="C878" s="41" t="str">
        <f>IFERROR(__xludf.DUMMYFUNCTION("""COMPUTED_VALUE"""),"paul")</f>
        <v>paul</v>
      </c>
      <c r="D878" s="41"/>
      <c r="E878" s="41">
        <f>IFERROR(__xludf.DUMMYFUNCTION("""COMPUTED_VALUE"""),0.0)</f>
        <v>0</v>
      </c>
      <c r="F878" s="41">
        <f>IFERROR(__xludf.DUMMYFUNCTION("""COMPUTED_VALUE"""),1320.0)</f>
        <v>1320</v>
      </c>
    </row>
    <row r="879">
      <c r="A879" s="41" t="b">
        <f>IFERROR(__xludf.DUMMYFUNCTION("""COMPUTED_VALUE"""),FALSE)</f>
        <v>0</v>
      </c>
      <c r="B879" s="41" t="str">
        <f>IFERROR(__xludf.DUMMYFUNCTION("""COMPUTED_VALUE"""),"RSC008211")</f>
        <v>RSC008211</v>
      </c>
      <c r="C879" s="41" t="str">
        <f>IFERROR(__xludf.DUMMYFUNCTION("""COMPUTED_VALUE"""),"Astro-HxIIFire")</f>
        <v>Astro-HxIIFire</v>
      </c>
      <c r="D879" s="41"/>
      <c r="E879" s="41">
        <f>IFERROR(__xludf.DUMMYFUNCTION("""COMPUTED_VALUE"""),1.0)</f>
        <v>1</v>
      </c>
      <c r="F879" s="41">
        <f>IFERROR(__xludf.DUMMYFUNCTION("""COMPUTED_VALUE"""),1490.0)</f>
        <v>1490</v>
      </c>
    </row>
    <row r="880">
      <c r="A880" s="41" t="b">
        <f>IFERROR(__xludf.DUMMYFUNCTION("""COMPUTED_VALUE"""),TRUE)</f>
        <v>1</v>
      </c>
      <c r="B880" s="41" t="str">
        <f>IFERROR(__xludf.DUMMYFUNCTION("""COMPUTED_VALUE"""),"RSC008278")</f>
        <v>RSC008278</v>
      </c>
      <c r="C880" s="41" t="str">
        <f>IFERROR(__xludf.DUMMYFUNCTION("""COMPUTED_VALUE"""),"tacosbruh1299")</f>
        <v>tacosbruh1299</v>
      </c>
      <c r="D880" s="41" t="str">
        <f>IFERROR(__xludf.DUMMYFUNCTION("""COMPUTED_VALUE"""),"Tanuki")</f>
        <v>Tanuki</v>
      </c>
      <c r="E880" s="41">
        <f>IFERROR(__xludf.DUMMYFUNCTION("""COMPUTED_VALUE"""),2.0)</f>
        <v>2</v>
      </c>
      <c r="F880" s="41">
        <f>IFERROR(__xludf.DUMMYFUNCTION("""COMPUTED_VALUE"""),1015.0)</f>
        <v>1015</v>
      </c>
    </row>
    <row r="881">
      <c r="A881" s="41" t="b">
        <f>IFERROR(__xludf.DUMMYFUNCTION("""COMPUTED_VALUE"""),TRUE)</f>
        <v>1</v>
      </c>
      <c r="B881" s="41" t="str">
        <f>IFERROR(__xludf.DUMMYFUNCTION("""COMPUTED_VALUE"""),"RSC008251")</f>
        <v>RSC008251</v>
      </c>
      <c r="C881" s="41" t="str">
        <f>IFERROR(__xludf.DUMMYFUNCTION("""COMPUTED_VALUE"""),"Honey x Badger3")</f>
        <v>Honey x Badger3</v>
      </c>
      <c r="D881" s="41" t="str">
        <f>IFERROR(__xludf.DUMMYFUNCTION("""COMPUTED_VALUE"""),"Corals")</f>
        <v>Corals</v>
      </c>
      <c r="E881" s="41">
        <f>IFERROR(__xludf.DUMMYFUNCTION("""COMPUTED_VALUE"""),2.0)</f>
        <v>2</v>
      </c>
      <c r="F881" s="41">
        <f>IFERROR(__xludf.DUMMYFUNCTION("""COMPUTED_VALUE"""),1090.0)</f>
        <v>1090</v>
      </c>
    </row>
    <row r="882">
      <c r="A882" s="41" t="b">
        <f>IFERROR(__xludf.DUMMYFUNCTION("""COMPUTED_VALUE"""),TRUE)</f>
        <v>1</v>
      </c>
      <c r="B882" s="41" t="str">
        <f>IFERROR(__xludf.DUMMYFUNCTION("""COMPUTED_VALUE"""),"RSC008329")</f>
        <v>RSC008329</v>
      </c>
      <c r="C882" s="41" t="str">
        <f>IFERROR(__xludf.DUMMYFUNCTION("""COMPUTED_VALUE"""),"Flaniks")</f>
        <v>Flaniks</v>
      </c>
      <c r="D882" s="41"/>
      <c r="E882" s="41">
        <f>IFERROR(__xludf.DUMMYFUNCTION("""COMPUTED_VALUE"""),0.0)</f>
        <v>0</v>
      </c>
      <c r="F882" s="41">
        <f>IFERROR(__xludf.DUMMYFUNCTION("""COMPUTED_VALUE"""),750.0)</f>
        <v>750</v>
      </c>
    </row>
    <row r="883">
      <c r="A883" s="41" t="b">
        <f>IFERROR(__xludf.DUMMYFUNCTION("""COMPUTED_VALUE"""),TRUE)</f>
        <v>1</v>
      </c>
      <c r="B883" s="41" t="str">
        <f>IFERROR(__xludf.DUMMYFUNCTION("""COMPUTED_VALUE"""),"RSC008255")</f>
        <v>RSC008255</v>
      </c>
      <c r="C883" s="41" t="str">
        <f>IFERROR(__xludf.DUMMYFUNCTION("""COMPUTED_VALUE"""),"Knabit")</f>
        <v>Knabit</v>
      </c>
      <c r="D883" s="41" t="str">
        <f>IFERROR(__xludf.DUMMYFUNCTION("""COMPUTED_VALUE"""),"Embezzlers")</f>
        <v>Embezzlers</v>
      </c>
      <c r="E883" s="41">
        <f>IFERROR(__xludf.DUMMYFUNCTION("""COMPUTED_VALUE"""),2.0)</f>
        <v>2</v>
      </c>
      <c r="F883" s="41">
        <f>IFERROR(__xludf.DUMMYFUNCTION("""COMPUTED_VALUE"""),1560.0)</f>
        <v>1560</v>
      </c>
    </row>
    <row r="884">
      <c r="A884" s="41" t="b">
        <f>IFERROR(__xludf.DUMMYFUNCTION("""COMPUTED_VALUE"""),FALSE)</f>
        <v>0</v>
      </c>
      <c r="B884" s="41" t="str">
        <f>IFERROR(__xludf.DUMMYFUNCTION("""COMPUTED_VALUE"""),"RSC008356")</f>
        <v>RSC008356</v>
      </c>
      <c r="C884" s="41" t="str">
        <f>IFERROR(__xludf.DUMMYFUNCTION("""COMPUTED_VALUE"""),"2Jar")</f>
        <v>2Jar</v>
      </c>
      <c r="D884" s="41"/>
      <c r="E884" s="41">
        <f>IFERROR(__xludf.DUMMYFUNCTION("""COMPUTED_VALUE"""),0.0)</f>
        <v>0</v>
      </c>
      <c r="F884" s="41">
        <f>IFERROR(__xludf.DUMMYFUNCTION("""COMPUTED_VALUE"""),1530.0)</f>
        <v>1530</v>
      </c>
    </row>
    <row r="885">
      <c r="A885" s="41" t="b">
        <f>IFERROR(__xludf.DUMMYFUNCTION("""COMPUTED_VALUE"""),TRUE)</f>
        <v>1</v>
      </c>
      <c r="B885" s="41" t="str">
        <f>IFERROR(__xludf.DUMMYFUNCTION("""COMPUTED_VALUE"""),"RSC008357")</f>
        <v>RSC008357</v>
      </c>
      <c r="C885" s="41" t="str">
        <f>IFERROR(__xludf.DUMMYFUNCTION("""COMPUTED_VALUE"""),"tiagosan _")</f>
        <v>tiagosan _</v>
      </c>
      <c r="D885" s="41" t="str">
        <f>IFERROR(__xludf.DUMMYFUNCTION("""COMPUTED_VALUE"""),"Shade")</f>
        <v>Shade</v>
      </c>
      <c r="E885" s="41">
        <f>IFERROR(__xludf.DUMMYFUNCTION("""COMPUTED_VALUE"""),2.0)</f>
        <v>2</v>
      </c>
      <c r="F885" s="41">
        <f>IFERROR(__xludf.DUMMYFUNCTION("""COMPUTED_VALUE"""),1120.0)</f>
        <v>1120</v>
      </c>
    </row>
    <row r="886">
      <c r="A886" s="41" t="b">
        <f>IFERROR(__xludf.DUMMYFUNCTION("""COMPUTED_VALUE"""),TRUE)</f>
        <v>1</v>
      </c>
      <c r="B886" s="41" t="str">
        <f>IFERROR(__xludf.DUMMYFUNCTION("""COMPUTED_VALUE"""),"RSC006587")</f>
        <v>RSC006587</v>
      </c>
      <c r="C886" s="41" t="str">
        <f>IFERROR(__xludf.DUMMYFUNCTION("""COMPUTED_VALUE"""),"Enterprise15")</f>
        <v>Enterprise15</v>
      </c>
      <c r="D886" s="41" t="str">
        <f>IFERROR(__xludf.DUMMYFUNCTION("""COMPUTED_VALUE"""),"Warthogs")</f>
        <v>Warthogs</v>
      </c>
      <c r="E886" s="41">
        <f>IFERROR(__xludf.DUMMYFUNCTION("""COMPUTED_VALUE"""),2.0)</f>
        <v>2</v>
      </c>
      <c r="F886" s="41">
        <f>IFERROR(__xludf.DUMMYFUNCTION("""COMPUTED_VALUE"""),1180.0)</f>
        <v>1180</v>
      </c>
    </row>
    <row r="887">
      <c r="A887" s="41" t="b">
        <f>IFERROR(__xludf.DUMMYFUNCTION("""COMPUTED_VALUE"""),TRUE)</f>
        <v>1</v>
      </c>
      <c r="B887" s="41" t="str">
        <f>IFERROR(__xludf.DUMMYFUNCTION("""COMPUTED_VALUE"""),"RSC008242")</f>
        <v>RSC008242</v>
      </c>
      <c r="C887" s="41" t="str">
        <f>IFERROR(__xludf.DUMMYFUNCTION("""COMPUTED_VALUE"""),"Snipes")</f>
        <v>Snipes</v>
      </c>
      <c r="D887" s="41" t="str">
        <f>IFERROR(__xludf.DUMMYFUNCTION("""COMPUTED_VALUE"""),"Reapers")</f>
        <v>Reapers</v>
      </c>
      <c r="E887" s="41">
        <f>IFERROR(__xludf.DUMMYFUNCTION("""COMPUTED_VALUE"""),2.0)</f>
        <v>2</v>
      </c>
      <c r="F887" s="41">
        <f>IFERROR(__xludf.DUMMYFUNCTION("""COMPUTED_VALUE"""),1765.0)</f>
        <v>1765</v>
      </c>
    </row>
    <row r="888">
      <c r="A888" s="41" t="b">
        <f>IFERROR(__xludf.DUMMYFUNCTION("""COMPUTED_VALUE"""),TRUE)</f>
        <v>1</v>
      </c>
      <c r="B888" s="41" t="str">
        <f>IFERROR(__xludf.DUMMYFUNCTION("""COMPUTED_VALUE"""),"RSC008245")</f>
        <v>RSC008245</v>
      </c>
      <c r="C888" s="41" t="str">
        <f>IFERROR(__xludf.DUMMYFUNCTION("""COMPUTED_VALUE"""),"j_durv")</f>
        <v>j_durv</v>
      </c>
      <c r="D888" s="41" t="str">
        <f>IFERROR(__xludf.DUMMYFUNCTION("""COMPUTED_VALUE"""),"Hawaiian Pizza")</f>
        <v>Hawaiian Pizza</v>
      </c>
      <c r="E888" s="41">
        <f>IFERROR(__xludf.DUMMYFUNCTION("""COMPUTED_VALUE"""),2.0)</f>
        <v>2</v>
      </c>
      <c r="F888" s="41">
        <f>IFERROR(__xludf.DUMMYFUNCTION("""COMPUTED_VALUE"""),1005.0)</f>
        <v>1005</v>
      </c>
    </row>
    <row r="889">
      <c r="A889" s="41" t="b">
        <f>IFERROR(__xludf.DUMMYFUNCTION("""COMPUTED_VALUE"""),TRUE)</f>
        <v>1</v>
      </c>
      <c r="B889" s="41" t="str">
        <f>IFERROR(__xludf.DUMMYFUNCTION("""COMPUTED_VALUE"""),"RSC008448")</f>
        <v>RSC008448</v>
      </c>
      <c r="C889" s="41" t="str">
        <f>IFERROR(__xludf.DUMMYFUNCTION("""COMPUTED_VALUE"""),"haz")</f>
        <v>haz</v>
      </c>
      <c r="D889" s="41" t="str">
        <f>IFERROR(__xludf.DUMMYFUNCTION("""COMPUTED_VALUE"""),"Black-Holes")</f>
        <v>Black-Holes</v>
      </c>
      <c r="E889" s="41">
        <f>IFERROR(__xludf.DUMMYFUNCTION("""COMPUTED_VALUE"""),2.0)</f>
        <v>2</v>
      </c>
      <c r="F889" s="41">
        <f>IFERROR(__xludf.DUMMYFUNCTION("""COMPUTED_VALUE"""),1635.0)</f>
        <v>1635</v>
      </c>
    </row>
    <row r="890">
      <c r="A890" s="41" t="b">
        <f>IFERROR(__xludf.DUMMYFUNCTION("""COMPUTED_VALUE"""),TRUE)</f>
        <v>1</v>
      </c>
      <c r="B890" s="41" t="str">
        <f>IFERROR(__xludf.DUMMYFUNCTION("""COMPUTED_VALUE"""),"RSC008523")</f>
        <v>RSC008523</v>
      </c>
      <c r="C890" s="41" t="str">
        <f>IFERROR(__xludf.DUMMYFUNCTION("""COMPUTED_VALUE"""),"badpeak")</f>
        <v>badpeak</v>
      </c>
      <c r="D890" s="41"/>
      <c r="E890" s="41">
        <f>IFERROR(__xludf.DUMMYFUNCTION("""COMPUTED_VALUE"""),0.0)</f>
        <v>0</v>
      </c>
      <c r="F890" s="41">
        <f>IFERROR(__xludf.DUMMYFUNCTION("""COMPUTED_VALUE"""),755.0)</f>
        <v>755</v>
      </c>
    </row>
    <row r="891">
      <c r="A891" s="41" t="b">
        <f>IFERROR(__xludf.DUMMYFUNCTION("""COMPUTED_VALUE"""),TRUE)</f>
        <v>1</v>
      </c>
      <c r="B891" s="41" t="str">
        <f>IFERROR(__xludf.DUMMYFUNCTION("""COMPUTED_VALUE"""),"RSC008244")</f>
        <v>RSC008244</v>
      </c>
      <c r="C891" s="41" t="str">
        <f>IFERROR(__xludf.DUMMYFUNCTION("""COMPUTED_VALUE"""),"Oghma")</f>
        <v>Oghma</v>
      </c>
      <c r="D891" s="41" t="str">
        <f>IFERROR(__xludf.DUMMYFUNCTION("""COMPUTED_VALUE"""),"Crooked Capos")</f>
        <v>Crooked Capos</v>
      </c>
      <c r="E891" s="41">
        <f>IFERROR(__xludf.DUMMYFUNCTION("""COMPUTED_VALUE"""),2.0)</f>
        <v>2</v>
      </c>
      <c r="F891" s="41">
        <f>IFERROR(__xludf.DUMMYFUNCTION("""COMPUTED_VALUE"""),1815.0)</f>
        <v>1815</v>
      </c>
    </row>
    <row r="892">
      <c r="A892" s="41" t="b">
        <f>IFERROR(__xludf.DUMMYFUNCTION("""COMPUTED_VALUE"""),TRUE)</f>
        <v>1</v>
      </c>
      <c r="B892" s="41" t="str">
        <f>IFERROR(__xludf.DUMMYFUNCTION("""COMPUTED_VALUE"""),"RSC008302")</f>
        <v>RSC008302</v>
      </c>
      <c r="C892" s="41" t="str">
        <f>IFERROR(__xludf.DUMMYFUNCTION("""COMPUTED_VALUE"""),"fdwz_")</f>
        <v>fdwz_</v>
      </c>
      <c r="D892" s="41" t="str">
        <f>IFERROR(__xludf.DUMMYFUNCTION("""COMPUTED_VALUE"""),"HR Violation")</f>
        <v>HR Violation</v>
      </c>
      <c r="E892" s="41">
        <f>IFERROR(__xludf.DUMMYFUNCTION("""COMPUTED_VALUE"""),2.0)</f>
        <v>2</v>
      </c>
      <c r="F892" s="41">
        <f>IFERROR(__xludf.DUMMYFUNCTION("""COMPUTED_VALUE"""),765.0)</f>
        <v>765</v>
      </c>
    </row>
    <row r="893">
      <c r="A893" s="41" t="b">
        <f>IFERROR(__xludf.DUMMYFUNCTION("""COMPUTED_VALUE"""),TRUE)</f>
        <v>1</v>
      </c>
      <c r="B893" s="41" t="str">
        <f>IFERROR(__xludf.DUMMYFUNCTION("""COMPUTED_VALUE"""),"RSC008257")</f>
        <v>RSC008257</v>
      </c>
      <c r="C893" s="41" t="str">
        <f>IFERROR(__xludf.DUMMYFUNCTION("""COMPUTED_VALUE"""),"Arana6059")</f>
        <v>Arana6059</v>
      </c>
      <c r="D893" s="41" t="str">
        <f>IFERROR(__xludf.DUMMYFUNCTION("""COMPUTED_VALUE"""),"Turbulence")</f>
        <v>Turbulence</v>
      </c>
      <c r="E893" s="41">
        <f>IFERROR(__xludf.DUMMYFUNCTION("""COMPUTED_VALUE"""),2.0)</f>
        <v>2</v>
      </c>
      <c r="F893" s="41">
        <f>IFERROR(__xludf.DUMMYFUNCTION("""COMPUTED_VALUE"""),1055.0)</f>
        <v>1055</v>
      </c>
    </row>
    <row r="894">
      <c r="A894" s="41" t="b">
        <f>IFERROR(__xludf.DUMMYFUNCTION("""COMPUTED_VALUE"""),TRUE)</f>
        <v>1</v>
      </c>
      <c r="B894" s="41" t="str">
        <f>IFERROR(__xludf.DUMMYFUNCTION("""COMPUTED_VALUE"""),"RSC008351")</f>
        <v>RSC008351</v>
      </c>
      <c r="C894" s="41" t="str">
        <f>IFERROR(__xludf.DUMMYFUNCTION("""COMPUTED_VALUE"""),"trendy &lt;3")</f>
        <v>trendy &lt;3</v>
      </c>
      <c r="D894" s="41" t="str">
        <f>IFERROR(__xludf.DUMMYFUNCTION("""COMPUTED_VALUE"""),"White Collars")</f>
        <v>White Collars</v>
      </c>
      <c r="E894" s="41">
        <f>IFERROR(__xludf.DUMMYFUNCTION("""COMPUTED_VALUE"""),2.0)</f>
        <v>2</v>
      </c>
      <c r="F894" s="41">
        <f>IFERROR(__xludf.DUMMYFUNCTION("""COMPUTED_VALUE"""),1515.0)</f>
        <v>1515</v>
      </c>
    </row>
    <row r="895">
      <c r="A895" s="41" t="b">
        <f>IFERROR(__xludf.DUMMYFUNCTION("""COMPUTED_VALUE"""),TRUE)</f>
        <v>1</v>
      </c>
      <c r="B895" s="41" t="str">
        <f>IFERROR(__xludf.DUMMYFUNCTION("""COMPUTED_VALUE"""),"RSC002559")</f>
        <v>RSC002559</v>
      </c>
      <c r="C895" s="41" t="str">
        <f>IFERROR(__xludf.DUMMYFUNCTION("""COMPUTED_VALUE"""),"CommanderBoy")</f>
        <v>CommanderBoy</v>
      </c>
      <c r="D895" s="41" t="str">
        <f>IFERROR(__xludf.DUMMYFUNCTION("""COMPUTED_VALUE"""),"Thrashers")</f>
        <v>Thrashers</v>
      </c>
      <c r="E895" s="41">
        <f>IFERROR(__xludf.DUMMYFUNCTION("""COMPUTED_VALUE"""),2.0)</f>
        <v>2</v>
      </c>
      <c r="F895" s="41">
        <f>IFERROR(__xludf.DUMMYFUNCTION("""COMPUTED_VALUE"""),1570.0)</f>
        <v>1570</v>
      </c>
    </row>
    <row r="896">
      <c r="A896" s="41" t="b">
        <f>IFERROR(__xludf.DUMMYFUNCTION("""COMPUTED_VALUE"""),TRUE)</f>
        <v>1</v>
      </c>
      <c r="B896" s="41" t="str">
        <f>IFERROR(__xludf.DUMMYFUNCTION("""COMPUTED_VALUE"""),"RSC008259")</f>
        <v>RSC008259</v>
      </c>
      <c r="C896" s="41" t="str">
        <f>IFERROR(__xludf.DUMMYFUNCTION("""COMPUTED_VALUE"""),"Puma")</f>
        <v>Puma</v>
      </c>
      <c r="D896" s="41" t="str">
        <f>IFERROR(__xludf.DUMMYFUNCTION("""COMPUTED_VALUE"""),"Samurai")</f>
        <v>Samurai</v>
      </c>
      <c r="E896" s="41">
        <f>IFERROR(__xludf.DUMMYFUNCTION("""COMPUTED_VALUE"""),2.0)</f>
        <v>2</v>
      </c>
      <c r="F896" s="41">
        <f>IFERROR(__xludf.DUMMYFUNCTION("""COMPUTED_VALUE"""),1300.0)</f>
        <v>1300</v>
      </c>
    </row>
    <row r="897">
      <c r="A897" s="41" t="b">
        <f>IFERROR(__xludf.DUMMYFUNCTION("""COMPUTED_VALUE"""),FALSE)</f>
        <v>0</v>
      </c>
      <c r="B897" s="41" t="str">
        <f>IFERROR(__xludf.DUMMYFUNCTION("""COMPUTED_VALUE"""),"RSC008439")</f>
        <v>RSC008439</v>
      </c>
      <c r="C897" s="41" t="str">
        <f>IFERROR(__xludf.DUMMYFUNCTION("""COMPUTED_VALUE"""),"stund_mullet")</f>
        <v>stund_mullet</v>
      </c>
      <c r="D897" s="41"/>
      <c r="E897" s="41">
        <f>IFERROR(__xludf.DUMMYFUNCTION("""COMPUTED_VALUE"""),0.0)</f>
        <v>0</v>
      </c>
      <c r="F897" s="41">
        <f>IFERROR(__xludf.DUMMYFUNCTION("""COMPUTED_VALUE"""),995.0)</f>
        <v>995</v>
      </c>
    </row>
    <row r="898">
      <c r="A898" s="41" t="b">
        <f>IFERROR(__xludf.DUMMYFUNCTION("""COMPUTED_VALUE"""),TRUE)</f>
        <v>1</v>
      </c>
      <c r="B898" s="41" t="str">
        <f>IFERROR(__xludf.DUMMYFUNCTION("""COMPUTED_VALUE"""),"RSC008285")</f>
        <v>RSC008285</v>
      </c>
      <c r="C898" s="41" t="str">
        <f>IFERROR(__xludf.DUMMYFUNCTION("""COMPUTED_VALUE"""),"ChiRho_-")</f>
        <v>ChiRho_-</v>
      </c>
      <c r="D898" s="41" t="str">
        <f>IFERROR(__xludf.DUMMYFUNCTION("""COMPUTED_VALUE"""),"Reapers")</f>
        <v>Reapers</v>
      </c>
      <c r="E898" s="41">
        <f>IFERROR(__xludf.DUMMYFUNCTION("""COMPUTED_VALUE"""),2.0)</f>
        <v>2</v>
      </c>
      <c r="F898" s="41">
        <f>IFERROR(__xludf.DUMMYFUNCTION("""COMPUTED_VALUE"""),1695.0)</f>
        <v>1695</v>
      </c>
    </row>
    <row r="899">
      <c r="A899" s="41" t="b">
        <f>IFERROR(__xludf.DUMMYFUNCTION("""COMPUTED_VALUE"""),FALSE)</f>
        <v>0</v>
      </c>
      <c r="B899" s="41" t="str">
        <f>IFERROR(__xludf.DUMMYFUNCTION("""COMPUTED_VALUE"""),"RSC008271")</f>
        <v>RSC008271</v>
      </c>
      <c r="C899" s="41" t="str">
        <f>IFERROR(__xludf.DUMMYFUNCTION("""COMPUTED_VALUE"""),"Zenitramx-_-")</f>
        <v>Zenitramx-_-</v>
      </c>
      <c r="D899" s="41"/>
      <c r="E899" s="41">
        <f>IFERROR(__xludf.DUMMYFUNCTION("""COMPUTED_VALUE"""),0.0)</f>
        <v>0</v>
      </c>
      <c r="F899" s="41">
        <f>IFERROR(__xludf.DUMMYFUNCTION("""COMPUTED_VALUE"""),1180.0)</f>
        <v>1180</v>
      </c>
    </row>
    <row r="900">
      <c r="A900" s="41" t="b">
        <f>IFERROR(__xludf.DUMMYFUNCTION("""COMPUTED_VALUE"""),TRUE)</f>
        <v>1</v>
      </c>
      <c r="B900" s="41" t="str">
        <f>IFERROR(__xludf.DUMMYFUNCTION("""COMPUTED_VALUE"""),"RSC008274")</f>
        <v>RSC008274</v>
      </c>
      <c r="C900" s="41" t="str">
        <f>IFERROR(__xludf.DUMMYFUNCTION("""COMPUTED_VALUE"""),"MrKankleMeat")</f>
        <v>MrKankleMeat</v>
      </c>
      <c r="D900" s="41"/>
      <c r="E900" s="41">
        <f>IFERROR(__xludf.DUMMYFUNCTION("""COMPUTED_VALUE"""),0.0)</f>
        <v>0</v>
      </c>
      <c r="F900" s="41">
        <f>IFERROR(__xludf.DUMMYFUNCTION("""COMPUTED_VALUE"""),1180.0)</f>
        <v>1180</v>
      </c>
    </row>
    <row r="901">
      <c r="A901" s="41" t="b">
        <f>IFERROR(__xludf.DUMMYFUNCTION("""COMPUTED_VALUE"""),FALSE)</f>
        <v>0</v>
      </c>
      <c r="B901" s="41" t="str">
        <f>IFERROR(__xludf.DUMMYFUNCTION("""COMPUTED_VALUE"""),"RSC008486")</f>
        <v>RSC008486</v>
      </c>
      <c r="C901" s="41" t="str">
        <f>IFERROR(__xludf.DUMMYFUNCTION("""COMPUTED_VALUE"""),"big_marv409")</f>
        <v>big_marv409</v>
      </c>
      <c r="D901" s="41"/>
      <c r="E901" s="41">
        <f>IFERROR(__xludf.DUMMYFUNCTION("""COMPUTED_VALUE"""),0.0)</f>
        <v>0</v>
      </c>
      <c r="F901" s="41">
        <f>IFERROR(__xludf.DUMMYFUNCTION("""COMPUTED_VALUE"""),1200.0)</f>
        <v>1200</v>
      </c>
    </row>
    <row r="902">
      <c r="A902" s="41" t="b">
        <f>IFERROR(__xludf.DUMMYFUNCTION("""COMPUTED_VALUE"""),TRUE)</f>
        <v>1</v>
      </c>
      <c r="B902" s="41" t="str">
        <f>IFERROR(__xludf.DUMMYFUNCTION("""COMPUTED_VALUE"""),"RSC008293")</f>
        <v>RSC008293</v>
      </c>
      <c r="C902" s="41" t="str">
        <f>IFERROR(__xludf.DUMMYFUNCTION("""COMPUTED_VALUE"""),"Tall_28")</f>
        <v>Tall_28</v>
      </c>
      <c r="D902" s="41" t="str">
        <f>IFERROR(__xludf.DUMMYFUNCTION("""COMPUTED_VALUE"""),"Lacuna")</f>
        <v>Lacuna</v>
      </c>
      <c r="E902" s="41">
        <f>IFERROR(__xludf.DUMMYFUNCTION("""COMPUTED_VALUE"""),2.0)</f>
        <v>2</v>
      </c>
      <c r="F902" s="41">
        <f>IFERROR(__xludf.DUMMYFUNCTION("""COMPUTED_VALUE"""),1300.0)</f>
        <v>1300</v>
      </c>
    </row>
    <row r="903">
      <c r="A903" s="41" t="b">
        <f>IFERROR(__xludf.DUMMYFUNCTION("""COMPUTED_VALUE"""),TRUE)</f>
        <v>1</v>
      </c>
      <c r="B903" s="41" t="str">
        <f>IFERROR(__xludf.DUMMYFUNCTION("""COMPUTED_VALUE"""),"RSC008355")</f>
        <v>RSC008355</v>
      </c>
      <c r="C903" s="41" t="str">
        <f>IFERROR(__xludf.DUMMYFUNCTION("""COMPUTED_VALUE"""),"SmyrnaRL")</f>
        <v>SmyrnaRL</v>
      </c>
      <c r="D903" s="41"/>
      <c r="E903" s="41">
        <f>IFERROR(__xludf.DUMMYFUNCTION("""COMPUTED_VALUE"""),0.0)</f>
        <v>0</v>
      </c>
      <c r="F903" s="41">
        <f>IFERROR(__xludf.DUMMYFUNCTION("""COMPUTED_VALUE"""),1585.0)</f>
        <v>1585</v>
      </c>
    </row>
    <row r="904">
      <c r="A904" s="41" t="b">
        <f>IFERROR(__xludf.DUMMYFUNCTION("""COMPUTED_VALUE"""),TRUE)</f>
        <v>1</v>
      </c>
      <c r="B904" s="41" t="str">
        <f>IFERROR(__xludf.DUMMYFUNCTION("""COMPUTED_VALUE"""),"RSC008290")</f>
        <v>RSC008290</v>
      </c>
      <c r="C904" s="41" t="str">
        <f>IFERROR(__xludf.DUMMYFUNCTION("""COMPUTED_VALUE"""),"KrsOneTwoThree1")</f>
        <v>KrsOneTwoThree1</v>
      </c>
      <c r="D904" s="41" t="str">
        <f>IFERROR(__xludf.DUMMYFUNCTION("""COMPUTED_VALUE"""),"Lightning")</f>
        <v>Lightning</v>
      </c>
      <c r="E904" s="41">
        <f>IFERROR(__xludf.DUMMYFUNCTION("""COMPUTED_VALUE"""),2.0)</f>
        <v>2</v>
      </c>
      <c r="F904" s="41">
        <f>IFERROR(__xludf.DUMMYFUNCTION("""COMPUTED_VALUE"""),1310.0)</f>
        <v>1310</v>
      </c>
    </row>
    <row r="905">
      <c r="A905" s="41" t="b">
        <f>IFERROR(__xludf.DUMMYFUNCTION("""COMPUTED_VALUE"""),FALSE)</f>
        <v>0</v>
      </c>
      <c r="B905" s="41" t="str">
        <f>IFERROR(__xludf.DUMMYFUNCTION("""COMPUTED_VALUE"""),"RSC008295")</f>
        <v>RSC008295</v>
      </c>
      <c r="C905" s="41" t="str">
        <f>IFERROR(__xludf.DUMMYFUNCTION("""COMPUTED_VALUE"""),"Toastiest Waffle")</f>
        <v>Toastiest Waffle</v>
      </c>
      <c r="D905" s="41"/>
      <c r="E905" s="41">
        <f>IFERROR(__xludf.DUMMYFUNCTION("""COMPUTED_VALUE"""),0.0)</f>
        <v>0</v>
      </c>
      <c r="F905" s="41">
        <f>IFERROR(__xludf.DUMMYFUNCTION("""COMPUTED_VALUE"""),1070.0)</f>
        <v>1070</v>
      </c>
    </row>
    <row r="906">
      <c r="A906" s="41" t="b">
        <f>IFERROR(__xludf.DUMMYFUNCTION("""COMPUTED_VALUE"""),FALSE)</f>
        <v>0</v>
      </c>
      <c r="B906" s="41" t="str">
        <f>IFERROR(__xludf.DUMMYFUNCTION("""COMPUTED_VALUE"""),"RSC008310")</f>
        <v>RSC008310</v>
      </c>
      <c r="C906" s="41" t="str">
        <f>IFERROR(__xludf.DUMMYFUNCTION("""COMPUTED_VALUE"""),"evn")</f>
        <v>evn</v>
      </c>
      <c r="D906" s="41"/>
      <c r="E906" s="41">
        <f>IFERROR(__xludf.DUMMYFUNCTION("""COMPUTED_VALUE"""),0.0)</f>
        <v>0</v>
      </c>
      <c r="F906" s="41">
        <f>IFERROR(__xludf.DUMMYFUNCTION("""COMPUTED_VALUE"""),1660.0)</f>
        <v>1660</v>
      </c>
    </row>
    <row r="907">
      <c r="A907" s="41" t="b">
        <f>IFERROR(__xludf.DUMMYFUNCTION("""COMPUTED_VALUE"""),FALSE)</f>
        <v>0</v>
      </c>
      <c r="B907" s="41" t="str">
        <f>IFERROR(__xludf.DUMMYFUNCTION("""COMPUTED_VALUE"""),"RSC008287")</f>
        <v>RSC008287</v>
      </c>
      <c r="C907" s="41" t="str">
        <f>IFERROR(__xludf.DUMMYFUNCTION("""COMPUTED_VALUE"""),"phyzixs.")</f>
        <v>phyzixs.</v>
      </c>
      <c r="D907" s="41"/>
      <c r="E907" s="41">
        <f>IFERROR(__xludf.DUMMYFUNCTION("""COMPUTED_VALUE"""),0.0)</f>
        <v>0</v>
      </c>
      <c r="F907" s="41">
        <f>IFERROR(__xludf.DUMMYFUNCTION("""COMPUTED_VALUE"""),600.0)</f>
        <v>600</v>
      </c>
    </row>
    <row r="908">
      <c r="A908" s="41" t="b">
        <f>IFERROR(__xludf.DUMMYFUNCTION("""COMPUTED_VALUE"""),FALSE)</f>
        <v>0</v>
      </c>
      <c r="B908" s="41" t="str">
        <f>IFERROR(__xludf.DUMMYFUNCTION("""COMPUTED_VALUE"""),"RSC008283")</f>
        <v>RSC008283</v>
      </c>
      <c r="C908" s="41" t="str">
        <f>IFERROR(__xludf.DUMMYFUNCTION("""COMPUTED_VALUE"""),"COFFEEKlNG")</f>
        <v>COFFEEKlNG</v>
      </c>
      <c r="D908" s="41"/>
      <c r="E908" s="41">
        <f>IFERROR(__xludf.DUMMYFUNCTION("""COMPUTED_VALUE"""),0.0)</f>
        <v>0</v>
      </c>
      <c r="F908" s="41">
        <f>IFERROR(__xludf.DUMMYFUNCTION("""COMPUTED_VALUE"""),1075.0)</f>
        <v>1075</v>
      </c>
    </row>
    <row r="909">
      <c r="A909" s="41" t="b">
        <f>IFERROR(__xludf.DUMMYFUNCTION("""COMPUTED_VALUE"""),TRUE)</f>
        <v>1</v>
      </c>
      <c r="B909" s="41" t="str">
        <f>IFERROR(__xludf.DUMMYFUNCTION("""COMPUTED_VALUE"""),"RSC008391")</f>
        <v>RSC008391</v>
      </c>
      <c r="C909" s="41" t="str">
        <f>IFERROR(__xludf.DUMMYFUNCTION("""COMPUTED_VALUE"""),"SirPeakzIV")</f>
        <v>SirPeakzIV</v>
      </c>
      <c r="D909" s="41" t="str">
        <f>IFERROR(__xludf.DUMMYFUNCTION("""COMPUTED_VALUE"""),"Immortals")</f>
        <v>Immortals</v>
      </c>
      <c r="E909" s="41">
        <f>IFERROR(__xludf.DUMMYFUNCTION("""COMPUTED_VALUE"""),2.0)</f>
        <v>2</v>
      </c>
      <c r="F909" s="41">
        <f>IFERROR(__xludf.DUMMYFUNCTION("""COMPUTED_VALUE"""),1605.0)</f>
        <v>1605</v>
      </c>
    </row>
    <row r="910">
      <c r="A910" s="41" t="b">
        <f>IFERROR(__xludf.DUMMYFUNCTION("""COMPUTED_VALUE"""),TRUE)</f>
        <v>1</v>
      </c>
      <c r="B910" s="41" t="str">
        <f>IFERROR(__xludf.DUMMYFUNCTION("""COMPUTED_VALUE"""),"RSC008306")</f>
        <v>RSC008306</v>
      </c>
      <c r="C910" s="41" t="str">
        <f>IFERROR(__xludf.DUMMYFUNCTION("""COMPUTED_VALUE"""),"lDeLiiTe")</f>
        <v>lDeLiiTe</v>
      </c>
      <c r="D910" s="41"/>
      <c r="E910" s="41">
        <f>IFERROR(__xludf.DUMMYFUNCTION("""COMPUTED_VALUE"""),0.0)</f>
        <v>0</v>
      </c>
      <c r="F910" s="41">
        <f>IFERROR(__xludf.DUMMYFUNCTION("""COMPUTED_VALUE"""),1565.0)</f>
        <v>1565</v>
      </c>
    </row>
    <row r="911">
      <c r="A911" s="41" t="b">
        <f>IFERROR(__xludf.DUMMYFUNCTION("""COMPUTED_VALUE"""),FALSE)</f>
        <v>0</v>
      </c>
      <c r="B911" s="41" t="str">
        <f>IFERROR(__xludf.DUMMYFUNCTION("""COMPUTED_VALUE"""),"RSC008305")</f>
        <v>RSC008305</v>
      </c>
      <c r="C911" s="41" t="str">
        <f>IFERROR(__xludf.DUMMYFUNCTION("""COMPUTED_VALUE"""),"goldie-olu")</f>
        <v>goldie-olu</v>
      </c>
      <c r="D911" s="41"/>
      <c r="E911" s="41">
        <f>IFERROR(__xludf.DUMMYFUNCTION("""COMPUTED_VALUE"""),0.0)</f>
        <v>0</v>
      </c>
      <c r="F911" s="41">
        <f>IFERROR(__xludf.DUMMYFUNCTION("""COMPUTED_VALUE"""),945.0)</f>
        <v>945</v>
      </c>
    </row>
    <row r="912">
      <c r="A912" s="41" t="b">
        <f>IFERROR(__xludf.DUMMYFUNCTION("""COMPUTED_VALUE"""),TRUE)</f>
        <v>1</v>
      </c>
      <c r="B912" s="41" t="str">
        <f>IFERROR(__xludf.DUMMYFUNCTION("""COMPUTED_VALUE"""),"RSC008609")</f>
        <v>RSC008609</v>
      </c>
      <c r="C912" s="41" t="str">
        <f>IFERROR(__xludf.DUMMYFUNCTION("""COMPUTED_VALUE"""),"Studog43")</f>
        <v>Studog43</v>
      </c>
      <c r="D912" s="41"/>
      <c r="E912" s="41">
        <f>IFERROR(__xludf.DUMMYFUNCTION("""COMPUTED_VALUE"""),0.0)</f>
        <v>0</v>
      </c>
      <c r="F912" s="41">
        <f>IFERROR(__xludf.DUMMYFUNCTION("""COMPUTED_VALUE"""),870.0)</f>
        <v>870</v>
      </c>
    </row>
    <row r="913">
      <c r="A913" s="41" t="b">
        <f>IFERROR(__xludf.DUMMYFUNCTION("""COMPUTED_VALUE"""),FALSE)</f>
        <v>0</v>
      </c>
      <c r="B913" s="41" t="str">
        <f>IFERROR(__xludf.DUMMYFUNCTION("""COMPUTED_VALUE"""),"RSC008335")</f>
        <v>RSC008335</v>
      </c>
      <c r="C913" s="41" t="str">
        <f>IFERROR(__xludf.DUMMYFUNCTION("""COMPUTED_VALUE"""),"DLG_ToxicRatTrap")</f>
        <v>DLG_ToxicRatTrap</v>
      </c>
      <c r="D913" s="41"/>
      <c r="E913" s="41">
        <f>IFERROR(__xludf.DUMMYFUNCTION("""COMPUTED_VALUE"""),0.0)</f>
        <v>0</v>
      </c>
      <c r="F913" s="41">
        <f>IFERROR(__xludf.DUMMYFUNCTION("""COMPUTED_VALUE"""),1235.0)</f>
        <v>1235</v>
      </c>
    </row>
    <row r="914">
      <c r="A914" s="41" t="b">
        <f>IFERROR(__xludf.DUMMYFUNCTION("""COMPUTED_VALUE"""),FALSE)</f>
        <v>0</v>
      </c>
      <c r="B914" s="41" t="str">
        <f>IFERROR(__xludf.DUMMYFUNCTION("""COMPUTED_VALUE"""),"RSC008309")</f>
        <v>RSC008309</v>
      </c>
      <c r="C914" s="41" t="str">
        <f>IFERROR(__xludf.DUMMYFUNCTION("""COMPUTED_VALUE"""),"ksemaj")</f>
        <v>ksemaj</v>
      </c>
      <c r="D914" s="41"/>
      <c r="E914" s="41">
        <f>IFERROR(__xludf.DUMMYFUNCTION("""COMPUTED_VALUE"""),0.0)</f>
        <v>0</v>
      </c>
      <c r="F914" s="41">
        <f>IFERROR(__xludf.DUMMYFUNCTION("""COMPUTED_VALUE"""),1420.0)</f>
        <v>1420</v>
      </c>
    </row>
    <row r="915">
      <c r="A915" s="41" t="b">
        <f>IFERROR(__xludf.DUMMYFUNCTION("""COMPUTED_VALUE"""),FALSE)</f>
        <v>0</v>
      </c>
      <c r="B915" s="41" t="str">
        <f>IFERROR(__xludf.DUMMYFUNCTION("""COMPUTED_VALUE"""),"RSC007361")</f>
        <v>RSC007361</v>
      </c>
      <c r="C915" s="41" t="str">
        <f>IFERROR(__xludf.DUMMYFUNCTION("""COMPUTED_VALUE"""),"Polashjl")</f>
        <v>Polashjl</v>
      </c>
      <c r="D915" s="41"/>
      <c r="E915" s="41">
        <f>IFERROR(__xludf.DUMMYFUNCTION("""COMPUTED_VALUE"""),0.0)</f>
        <v>0</v>
      </c>
      <c r="F915" s="41">
        <f>IFERROR(__xludf.DUMMYFUNCTION("""COMPUTED_VALUE"""),1645.0)</f>
        <v>1645</v>
      </c>
    </row>
    <row r="916">
      <c r="A916" s="41" t="b">
        <f>IFERROR(__xludf.DUMMYFUNCTION("""COMPUTED_VALUE"""),TRUE)</f>
        <v>1</v>
      </c>
      <c r="B916" s="41" t="str">
        <f>IFERROR(__xludf.DUMMYFUNCTION("""COMPUTED_VALUE"""),"RSC008532")</f>
        <v>RSC008532</v>
      </c>
      <c r="C916" s="41" t="str">
        <f>IFERROR(__xludf.DUMMYFUNCTION("""COMPUTED_VALUE"""),"Gimpyboy19946")</f>
        <v>Gimpyboy19946</v>
      </c>
      <c r="D916" s="41"/>
      <c r="E916" s="41">
        <f>IFERROR(__xludf.DUMMYFUNCTION("""COMPUTED_VALUE"""),0.0)</f>
        <v>0</v>
      </c>
      <c r="F916" s="41">
        <f>IFERROR(__xludf.DUMMYFUNCTION("""COMPUTED_VALUE"""),750.0)</f>
        <v>750</v>
      </c>
    </row>
    <row r="917">
      <c r="A917" s="41" t="b">
        <f>IFERROR(__xludf.DUMMYFUNCTION("""COMPUTED_VALUE"""),FALSE)</f>
        <v>0</v>
      </c>
      <c r="B917" s="41" t="str">
        <f>IFERROR(__xludf.DUMMYFUNCTION("""COMPUTED_VALUE"""),"RSC008311")</f>
        <v>RSC008311</v>
      </c>
      <c r="C917" s="41" t="str">
        <f>IFERROR(__xludf.DUMMYFUNCTION("""COMPUTED_VALUE"""),"qTezo")</f>
        <v>qTezo</v>
      </c>
      <c r="D917" s="41"/>
      <c r="E917" s="41">
        <f>IFERROR(__xludf.DUMMYFUNCTION("""COMPUTED_VALUE"""),0.0)</f>
        <v>0</v>
      </c>
      <c r="F917" s="41">
        <f>IFERROR(__xludf.DUMMYFUNCTION("""COMPUTED_VALUE"""),1515.0)</f>
        <v>1515</v>
      </c>
    </row>
    <row r="918">
      <c r="A918" s="41" t="b">
        <f>IFERROR(__xludf.DUMMYFUNCTION("""COMPUTED_VALUE"""),FALSE)</f>
        <v>0</v>
      </c>
      <c r="B918" s="41" t="str">
        <f>IFERROR(__xludf.DUMMYFUNCTION("""COMPUTED_VALUE"""),"RSC008322")</f>
        <v>RSC008322</v>
      </c>
      <c r="C918" s="41" t="str">
        <f>IFERROR(__xludf.DUMMYFUNCTION("""COMPUTED_VALUE"""),"BU Weako")</f>
        <v>BU Weako</v>
      </c>
      <c r="D918" s="41"/>
      <c r="E918" s="41">
        <f>IFERROR(__xludf.DUMMYFUNCTION("""COMPUTED_VALUE"""),0.0)</f>
        <v>0</v>
      </c>
      <c r="F918" s="41">
        <f>IFERROR(__xludf.DUMMYFUNCTION("""COMPUTED_VALUE"""),1580.0)</f>
        <v>1580</v>
      </c>
    </row>
    <row r="919">
      <c r="A919" s="41" t="b">
        <f>IFERROR(__xludf.DUMMYFUNCTION("""COMPUTED_VALUE"""),FALSE)</f>
        <v>0</v>
      </c>
      <c r="B919" s="41" t="str">
        <f>IFERROR(__xludf.DUMMYFUNCTION("""COMPUTED_VALUE"""),"RSC008350")</f>
        <v>RSC008350</v>
      </c>
      <c r="C919" s="41" t="str">
        <f>IFERROR(__xludf.DUMMYFUNCTION("""COMPUTED_VALUE"""),"Himothy")</f>
        <v>Himothy</v>
      </c>
      <c r="D919" s="41"/>
      <c r="E919" s="41">
        <f>IFERROR(__xludf.DUMMYFUNCTION("""COMPUTED_VALUE"""),2.0)</f>
        <v>2</v>
      </c>
      <c r="F919" s="41">
        <f>IFERROR(__xludf.DUMMYFUNCTION("""COMPUTED_VALUE"""),1615.0)</f>
        <v>1615</v>
      </c>
    </row>
    <row r="920">
      <c r="A920" s="41" t="b">
        <f>IFERROR(__xludf.DUMMYFUNCTION("""COMPUTED_VALUE"""),FALSE)</f>
        <v>0</v>
      </c>
      <c r="B920" s="41" t="str">
        <f>IFERROR(__xludf.DUMMYFUNCTION("""COMPUTED_VALUE"""),"RSC008318")</f>
        <v>RSC008318</v>
      </c>
      <c r="C920" s="41" t="str">
        <f>IFERROR(__xludf.DUMMYFUNCTION("""COMPUTED_VALUE"""),"Saffyyy")</f>
        <v>Saffyyy</v>
      </c>
      <c r="D920" s="41"/>
      <c r="E920" s="41">
        <f>IFERROR(__xludf.DUMMYFUNCTION("""COMPUTED_VALUE"""),0.0)</f>
        <v>0</v>
      </c>
      <c r="F920" s="41">
        <f>IFERROR(__xludf.DUMMYFUNCTION("""COMPUTED_VALUE"""),1195.0)</f>
        <v>1195</v>
      </c>
    </row>
    <row r="921">
      <c r="A921" s="41" t="b">
        <f>IFERROR(__xludf.DUMMYFUNCTION("""COMPUTED_VALUE"""),TRUE)</f>
        <v>1</v>
      </c>
      <c r="B921" s="41" t="str">
        <f>IFERROR(__xludf.DUMMYFUNCTION("""COMPUTED_VALUE"""),"RSC000379")</f>
        <v>RSC000379</v>
      </c>
      <c r="C921" s="41" t="str">
        <f>IFERROR(__xludf.DUMMYFUNCTION("""COMPUTED_VALUE"""),"DrizzyJ")</f>
        <v>DrizzyJ</v>
      </c>
      <c r="D921" s="41" t="str">
        <f>IFERROR(__xludf.DUMMYFUNCTION("""COMPUTED_VALUE"""),"Hostile Takeover")</f>
        <v>Hostile Takeover</v>
      </c>
      <c r="E921" s="41">
        <f>IFERROR(__xludf.DUMMYFUNCTION("""COMPUTED_VALUE"""),2.0)</f>
        <v>2</v>
      </c>
      <c r="F921" s="41">
        <f>IFERROR(__xludf.DUMMYFUNCTION("""COMPUTED_VALUE"""),1070.0)</f>
        <v>1070</v>
      </c>
    </row>
    <row r="922">
      <c r="A922" s="41" t="b">
        <f>IFERROR(__xludf.DUMMYFUNCTION("""COMPUTED_VALUE"""),TRUE)</f>
        <v>1</v>
      </c>
      <c r="B922" s="41" t="str">
        <f>IFERROR(__xludf.DUMMYFUNCTION("""COMPUTED_VALUE"""),"RSC008330")</f>
        <v>RSC008330</v>
      </c>
      <c r="C922" s="41" t="str">
        <f>IFERROR(__xludf.DUMMYFUNCTION("""COMPUTED_VALUE"""),"Jammin")</f>
        <v>Jammin</v>
      </c>
      <c r="D922" s="41" t="str">
        <f>IFERROR(__xludf.DUMMYFUNCTION("""COMPUTED_VALUE"""),"Kawaii")</f>
        <v>Kawaii</v>
      </c>
      <c r="E922" s="41">
        <f>IFERROR(__xludf.DUMMYFUNCTION("""COMPUTED_VALUE"""),2.0)</f>
        <v>2</v>
      </c>
      <c r="F922" s="41">
        <f>IFERROR(__xludf.DUMMYFUNCTION("""COMPUTED_VALUE"""),1730.0)</f>
        <v>1730</v>
      </c>
    </row>
    <row r="923">
      <c r="A923" s="41" t="b">
        <f>IFERROR(__xludf.DUMMYFUNCTION("""COMPUTED_VALUE"""),FALSE)</f>
        <v>0</v>
      </c>
      <c r="B923" s="41" t="str">
        <f>IFERROR(__xludf.DUMMYFUNCTION("""COMPUTED_VALUE"""),"RSC008358")</f>
        <v>RSC008358</v>
      </c>
      <c r="C923" s="41" t="str">
        <f>IFERROR(__xludf.DUMMYFUNCTION("""COMPUTED_VALUE"""),"OvAudi")</f>
        <v>OvAudi</v>
      </c>
      <c r="D923" s="41"/>
      <c r="E923" s="41">
        <f>IFERROR(__xludf.DUMMYFUNCTION("""COMPUTED_VALUE"""),0.0)</f>
        <v>0</v>
      </c>
      <c r="F923" s="41">
        <f>IFERROR(__xludf.DUMMYFUNCTION("""COMPUTED_VALUE"""),600.0)</f>
        <v>600</v>
      </c>
    </row>
    <row r="924">
      <c r="A924" s="41" t="b">
        <f>IFERROR(__xludf.DUMMYFUNCTION("""COMPUTED_VALUE"""),TRUE)</f>
        <v>1</v>
      </c>
      <c r="B924" s="41" t="str">
        <f>IFERROR(__xludf.DUMMYFUNCTION("""COMPUTED_VALUE"""),"RSC008413")</f>
        <v>RSC008413</v>
      </c>
      <c r="C924" s="41" t="str">
        <f>IFERROR(__xludf.DUMMYFUNCTION("""COMPUTED_VALUE"""),"Duck")</f>
        <v>Duck</v>
      </c>
      <c r="D924" s="41" t="str">
        <f>IFERROR(__xludf.DUMMYFUNCTION("""COMPUTED_VALUE"""),"Leviathans")</f>
        <v>Leviathans</v>
      </c>
      <c r="E924" s="41">
        <f>IFERROR(__xludf.DUMMYFUNCTION("""COMPUTED_VALUE"""),2.0)</f>
        <v>2</v>
      </c>
      <c r="F924" s="41">
        <f>IFERROR(__xludf.DUMMYFUNCTION("""COMPUTED_VALUE"""),1885.0)</f>
        <v>1885</v>
      </c>
    </row>
    <row r="925">
      <c r="A925" s="41" t="b">
        <f>IFERROR(__xludf.DUMMYFUNCTION("""COMPUTED_VALUE"""),FALSE)</f>
        <v>0</v>
      </c>
      <c r="B925" s="41" t="str">
        <f>IFERROR(__xludf.DUMMYFUNCTION("""COMPUTED_VALUE"""),"RSC008361")</f>
        <v>RSC008361</v>
      </c>
      <c r="C925" s="41" t="str">
        <f>IFERROR(__xludf.DUMMYFUNCTION("""COMPUTED_VALUE"""),"YouGotDougDimmaDomed")</f>
        <v>YouGotDougDimmaDomed</v>
      </c>
      <c r="D925" s="41"/>
      <c r="E925" s="41">
        <f>IFERROR(__xludf.DUMMYFUNCTION("""COMPUTED_VALUE"""),0.0)</f>
        <v>0</v>
      </c>
      <c r="F925" s="41">
        <f>IFERROR(__xludf.DUMMYFUNCTION("""COMPUTED_VALUE"""),1060.0)</f>
        <v>1060</v>
      </c>
    </row>
    <row r="926">
      <c r="A926" s="41" t="b">
        <f>IFERROR(__xludf.DUMMYFUNCTION("""COMPUTED_VALUE"""),FALSE)</f>
        <v>0</v>
      </c>
      <c r="B926" s="41" t="str">
        <f>IFERROR(__xludf.DUMMYFUNCTION("""COMPUTED_VALUE"""),"RSC008410")</f>
        <v>RSC008410</v>
      </c>
      <c r="C926" s="41" t="str">
        <f>IFERROR(__xludf.DUMMYFUNCTION("""COMPUTED_VALUE"""),"Mintymerc")</f>
        <v>Mintymerc</v>
      </c>
      <c r="D926" s="41"/>
      <c r="E926" s="41">
        <f>IFERROR(__xludf.DUMMYFUNCTION("""COMPUTED_VALUE"""),0.0)</f>
        <v>0</v>
      </c>
      <c r="F926" s="41">
        <f>IFERROR(__xludf.DUMMYFUNCTION("""COMPUTED_VALUE"""),600.0)</f>
        <v>600</v>
      </c>
    </row>
    <row r="927">
      <c r="A927" s="41" t="b">
        <f>IFERROR(__xludf.DUMMYFUNCTION("""COMPUTED_VALUE"""),TRUE)</f>
        <v>1</v>
      </c>
      <c r="B927" s="41" t="str">
        <f>IFERROR(__xludf.DUMMYFUNCTION("""COMPUTED_VALUE"""),"RSC008323")</f>
        <v>RSC008323</v>
      </c>
      <c r="C927" s="41" t="str">
        <f>IFERROR(__xludf.DUMMYFUNCTION("""COMPUTED_VALUE"""),"Fireburner.")</f>
        <v>Fireburner.</v>
      </c>
      <c r="D927" s="41" t="str">
        <f>IFERROR(__xludf.DUMMYFUNCTION("""COMPUTED_VALUE"""),"Piranhas")</f>
        <v>Piranhas</v>
      </c>
      <c r="E927" s="41">
        <f>IFERROR(__xludf.DUMMYFUNCTION("""COMPUTED_VALUE"""),2.0)</f>
        <v>2</v>
      </c>
      <c r="F927" s="41">
        <f>IFERROR(__xludf.DUMMYFUNCTION("""COMPUTED_VALUE"""),1020.0)</f>
        <v>1020</v>
      </c>
    </row>
    <row r="928">
      <c r="A928" s="41" t="b">
        <f>IFERROR(__xludf.DUMMYFUNCTION("""COMPUTED_VALUE"""),FALSE)</f>
        <v>0</v>
      </c>
      <c r="B928" s="41" t="str">
        <f>IFERROR(__xludf.DUMMYFUNCTION("""COMPUTED_VALUE"""),"RSC008325")</f>
        <v>RSC008325</v>
      </c>
      <c r="C928" s="41" t="str">
        <f>IFERROR(__xludf.DUMMYFUNCTION("""COMPUTED_VALUE"""),"Jxc1zz")</f>
        <v>Jxc1zz</v>
      </c>
      <c r="D928" s="41"/>
      <c r="E928" s="41">
        <f>IFERROR(__xludf.DUMMYFUNCTION("""COMPUTED_VALUE"""),0.0)</f>
        <v>0</v>
      </c>
      <c r="F928" s="41">
        <f>IFERROR(__xludf.DUMMYFUNCTION("""COMPUTED_VALUE"""),1480.0)</f>
        <v>1480</v>
      </c>
    </row>
    <row r="929">
      <c r="A929" s="41" t="b">
        <f>IFERROR(__xludf.DUMMYFUNCTION("""COMPUTED_VALUE"""),TRUE)</f>
        <v>1</v>
      </c>
      <c r="B929" s="41" t="str">
        <f>IFERROR(__xludf.DUMMYFUNCTION("""COMPUTED_VALUE"""),"RSC008331")</f>
        <v>RSC008331</v>
      </c>
      <c r="C929" s="41" t="str">
        <f>IFERROR(__xludf.DUMMYFUNCTION("""COMPUTED_VALUE"""),"Hanz Simmer")</f>
        <v>Hanz Simmer</v>
      </c>
      <c r="D929" s="41" t="str">
        <f>IFERROR(__xludf.DUMMYFUNCTION("""COMPUTED_VALUE"""),"Quasars")</f>
        <v>Quasars</v>
      </c>
      <c r="E929" s="41">
        <f>IFERROR(__xludf.DUMMYFUNCTION("""COMPUTED_VALUE"""),2.0)</f>
        <v>2</v>
      </c>
      <c r="F929" s="41">
        <f>IFERROR(__xludf.DUMMYFUNCTION("""COMPUTED_VALUE"""),1250.0)</f>
        <v>1250</v>
      </c>
    </row>
    <row r="930">
      <c r="A930" s="41" t="b">
        <f>IFERROR(__xludf.DUMMYFUNCTION("""COMPUTED_VALUE"""),TRUE)</f>
        <v>1</v>
      </c>
      <c r="B930" s="41" t="str">
        <f>IFERROR(__xludf.DUMMYFUNCTION("""COMPUTED_VALUE"""),"RSC008341")</f>
        <v>RSC008341</v>
      </c>
      <c r="C930" s="41" t="str">
        <f>IFERROR(__xludf.DUMMYFUNCTION("""COMPUTED_VALUE"""),"haileyset")</f>
        <v>haileyset</v>
      </c>
      <c r="D930" s="41" t="str">
        <f>IFERROR(__xludf.DUMMYFUNCTION("""COMPUTED_VALUE"""),"Hammerheads")</f>
        <v>Hammerheads</v>
      </c>
      <c r="E930" s="41">
        <f>IFERROR(__xludf.DUMMYFUNCTION("""COMPUTED_VALUE"""),2.0)</f>
        <v>2</v>
      </c>
      <c r="F930" s="41">
        <f>IFERROR(__xludf.DUMMYFUNCTION("""COMPUTED_VALUE"""),1260.0)</f>
        <v>1260</v>
      </c>
    </row>
    <row r="931">
      <c r="A931" s="41" t="b">
        <f>IFERROR(__xludf.DUMMYFUNCTION("""COMPUTED_VALUE"""),FALSE)</f>
        <v>0</v>
      </c>
      <c r="B931" s="41" t="str">
        <f>IFERROR(__xludf.DUMMYFUNCTION("""COMPUTED_VALUE"""),"RSC006003")</f>
        <v>RSC006003</v>
      </c>
      <c r="C931" s="41" t="str">
        <f>IFERROR(__xludf.DUMMYFUNCTION("""COMPUTED_VALUE"""),"dephin3d")</f>
        <v>dephin3d</v>
      </c>
      <c r="D931" s="41"/>
      <c r="E931" s="41">
        <f>IFERROR(__xludf.DUMMYFUNCTION("""COMPUTED_VALUE"""),2.0)</f>
        <v>2</v>
      </c>
      <c r="F931" s="41">
        <f>IFERROR(__xludf.DUMMYFUNCTION("""COMPUTED_VALUE"""),1425.0)</f>
        <v>1425</v>
      </c>
    </row>
    <row r="932">
      <c r="A932" s="41" t="b">
        <f>IFERROR(__xludf.DUMMYFUNCTION("""COMPUTED_VALUE"""),FALSE)</f>
        <v>0</v>
      </c>
      <c r="B932" s="41" t="str">
        <f>IFERROR(__xludf.DUMMYFUNCTION("""COMPUTED_VALUE"""),"RSC008342")</f>
        <v>RSC008342</v>
      </c>
      <c r="C932" s="41" t="str">
        <f>IFERROR(__xludf.DUMMYFUNCTION("""COMPUTED_VALUE"""),"Joe")</f>
        <v>Joe</v>
      </c>
      <c r="D932" s="41"/>
      <c r="E932" s="41">
        <f>IFERROR(__xludf.DUMMYFUNCTION("""COMPUTED_VALUE"""),0.0)</f>
        <v>0</v>
      </c>
      <c r="F932" s="41">
        <f>IFERROR(__xludf.DUMMYFUNCTION("""COMPUTED_VALUE"""),600.0)</f>
        <v>600</v>
      </c>
    </row>
    <row r="933">
      <c r="A933" s="41" t="b">
        <f>IFERROR(__xludf.DUMMYFUNCTION("""COMPUTED_VALUE"""),TRUE)</f>
        <v>1</v>
      </c>
      <c r="B933" s="41" t="str">
        <f>IFERROR(__xludf.DUMMYFUNCTION("""COMPUTED_VALUE"""),"RSC008337")</f>
        <v>RSC008337</v>
      </c>
      <c r="C933" s="41" t="str">
        <f>IFERROR(__xludf.DUMMYFUNCTION("""COMPUTED_VALUE"""),"Bblaazee.")</f>
        <v>Bblaazee.</v>
      </c>
      <c r="D933" s="41" t="str">
        <f>IFERROR(__xludf.DUMMYFUNCTION("""COMPUTED_VALUE"""),"Piranhas")</f>
        <v>Piranhas</v>
      </c>
      <c r="E933" s="41">
        <f>IFERROR(__xludf.DUMMYFUNCTION("""COMPUTED_VALUE"""),2.0)</f>
        <v>2</v>
      </c>
      <c r="F933" s="41">
        <f>IFERROR(__xludf.DUMMYFUNCTION("""COMPUTED_VALUE"""),995.0)</f>
        <v>995</v>
      </c>
    </row>
    <row r="934">
      <c r="A934" s="41" t="b">
        <f>IFERROR(__xludf.DUMMYFUNCTION("""COMPUTED_VALUE"""),FALSE)</f>
        <v>0</v>
      </c>
      <c r="B934" s="41" t="str">
        <f>IFERROR(__xludf.DUMMYFUNCTION("""COMPUTED_VALUE"""),"RSC008377")</f>
        <v>RSC008377</v>
      </c>
      <c r="C934" s="41" t="str">
        <f>IFERROR(__xludf.DUMMYFUNCTION("""COMPUTED_VALUE"""),"swityuh (:")</f>
        <v>swityuh (:</v>
      </c>
      <c r="D934" s="41"/>
      <c r="E934" s="41">
        <f>IFERROR(__xludf.DUMMYFUNCTION("""COMPUTED_VALUE"""),0.0)</f>
        <v>0</v>
      </c>
      <c r="F934" s="41">
        <f>IFERROR(__xludf.DUMMYFUNCTION("""COMPUTED_VALUE"""),1530.0)</f>
        <v>1530</v>
      </c>
    </row>
    <row r="935">
      <c r="A935" s="41" t="b">
        <f>IFERROR(__xludf.DUMMYFUNCTION("""COMPUTED_VALUE"""),FALSE)</f>
        <v>0</v>
      </c>
      <c r="B935" s="41" t="str">
        <f>IFERROR(__xludf.DUMMYFUNCTION("""COMPUTED_VALUE"""),"RSC008349")</f>
        <v>RSC008349</v>
      </c>
      <c r="C935" s="41" t="str">
        <f>IFERROR(__xludf.DUMMYFUNCTION("""COMPUTED_VALUE"""),"ZimVended")</f>
        <v>ZimVended</v>
      </c>
      <c r="D935" s="41"/>
      <c r="E935" s="41">
        <f>IFERROR(__xludf.DUMMYFUNCTION("""COMPUTED_VALUE"""),0.0)</f>
        <v>0</v>
      </c>
      <c r="F935" s="41">
        <f>IFERROR(__xludf.DUMMYFUNCTION("""COMPUTED_VALUE"""),1145.0)</f>
        <v>1145</v>
      </c>
    </row>
    <row r="936">
      <c r="A936" s="41" t="b">
        <f>IFERROR(__xludf.DUMMYFUNCTION("""COMPUTED_VALUE"""),TRUE)</f>
        <v>1</v>
      </c>
      <c r="B936" s="41" t="str">
        <f>IFERROR(__xludf.DUMMYFUNCTION("""COMPUTED_VALUE"""),"RSC008348")</f>
        <v>RSC008348</v>
      </c>
      <c r="C936" s="41" t="str">
        <f>IFERROR(__xludf.DUMMYFUNCTION("""COMPUTED_VALUE"""),"Shadows_ss")</f>
        <v>Shadows_ss</v>
      </c>
      <c r="D936" s="41" t="str">
        <f>IFERROR(__xludf.DUMMYFUNCTION("""COMPUTED_VALUE"""),"Sirens")</f>
        <v>Sirens</v>
      </c>
      <c r="E936" s="41">
        <f>IFERROR(__xludf.DUMMYFUNCTION("""COMPUTED_VALUE"""),2.0)</f>
        <v>2</v>
      </c>
      <c r="F936" s="41">
        <f>IFERROR(__xludf.DUMMYFUNCTION("""COMPUTED_VALUE"""),1085.0)</f>
        <v>1085</v>
      </c>
    </row>
    <row r="937">
      <c r="A937" s="41" t="b">
        <f>IFERROR(__xludf.DUMMYFUNCTION("""COMPUTED_VALUE"""),TRUE)</f>
        <v>1</v>
      </c>
      <c r="B937" s="41" t="str">
        <f>IFERROR(__xludf.DUMMYFUNCTION("""COMPUTED_VALUE"""),"RSC008344")</f>
        <v>RSC008344</v>
      </c>
      <c r="C937" s="41" t="str">
        <f>IFERROR(__xludf.DUMMYFUNCTION("""COMPUTED_VALUE"""),"RealRoice_IsGetz")</f>
        <v>RealRoice_IsGetz</v>
      </c>
      <c r="D937" s="41" t="str">
        <f>IFERROR(__xludf.DUMMYFUNCTION("""COMPUTED_VALUE"""),"Singularity")</f>
        <v>Singularity</v>
      </c>
      <c r="E937" s="41">
        <f>IFERROR(__xludf.DUMMYFUNCTION("""COMPUTED_VALUE"""),2.0)</f>
        <v>2</v>
      </c>
      <c r="F937" s="41">
        <f>IFERROR(__xludf.DUMMYFUNCTION("""COMPUTED_VALUE"""),1430.0)</f>
        <v>1430</v>
      </c>
    </row>
    <row r="938">
      <c r="A938" s="41" t="b">
        <f>IFERROR(__xludf.DUMMYFUNCTION("""COMPUTED_VALUE"""),TRUE)</f>
        <v>1</v>
      </c>
      <c r="B938" s="41" t="str">
        <f>IFERROR(__xludf.DUMMYFUNCTION("""COMPUTED_VALUE"""),"RSC008364")</f>
        <v>RSC008364</v>
      </c>
      <c r="C938" s="41" t="str">
        <f>IFERROR(__xludf.DUMMYFUNCTION("""COMPUTED_VALUE"""),"Ken Whiffey Jr.")</f>
        <v>Ken Whiffey Jr.</v>
      </c>
      <c r="D938" s="41" t="str">
        <f>IFERROR(__xludf.DUMMYFUNCTION("""COMPUTED_VALUE"""),"Giraffes")</f>
        <v>Giraffes</v>
      </c>
      <c r="E938" s="41">
        <f>IFERROR(__xludf.DUMMYFUNCTION("""COMPUTED_VALUE"""),2.0)</f>
        <v>2</v>
      </c>
      <c r="F938" s="41">
        <f>IFERROR(__xludf.DUMMYFUNCTION("""COMPUTED_VALUE"""),1430.0)</f>
        <v>1430</v>
      </c>
    </row>
    <row r="939">
      <c r="A939" s="41" t="b">
        <f>IFERROR(__xludf.DUMMYFUNCTION("""COMPUTED_VALUE"""),FALSE)</f>
        <v>0</v>
      </c>
      <c r="B939" s="41" t="str">
        <f>IFERROR(__xludf.DUMMYFUNCTION("""COMPUTED_VALUE"""),"RSC008347")</f>
        <v>RSC008347</v>
      </c>
      <c r="C939" s="41" t="str">
        <f>IFERROR(__xludf.DUMMYFUNCTION("""COMPUTED_VALUE"""),"kor")</f>
        <v>kor</v>
      </c>
      <c r="D939" s="41"/>
      <c r="E939" s="41">
        <f>IFERROR(__xludf.DUMMYFUNCTION("""COMPUTED_VALUE"""),2.0)</f>
        <v>2</v>
      </c>
      <c r="F939" s="41">
        <f>IFERROR(__xludf.DUMMYFUNCTION("""COMPUTED_VALUE"""),1960.0)</f>
        <v>1960</v>
      </c>
    </row>
    <row r="940">
      <c r="A940" s="41" t="b">
        <f>IFERROR(__xludf.DUMMYFUNCTION("""COMPUTED_VALUE"""),FALSE)</f>
        <v>0</v>
      </c>
      <c r="B940" s="41" t="str">
        <f>IFERROR(__xludf.DUMMYFUNCTION("""COMPUTED_VALUE"""),"RSC008346")</f>
        <v>RSC008346</v>
      </c>
      <c r="C940" s="41" t="str">
        <f>IFERROR(__xludf.DUMMYFUNCTION("""COMPUTED_VALUE"""),"Fish33314")</f>
        <v>Fish33314</v>
      </c>
      <c r="D940" s="41"/>
      <c r="E940" s="41">
        <f>IFERROR(__xludf.DUMMYFUNCTION("""COMPUTED_VALUE"""),0.0)</f>
        <v>0</v>
      </c>
      <c r="F940" s="41">
        <f>IFERROR(__xludf.DUMMYFUNCTION("""COMPUTED_VALUE"""),600.0)</f>
        <v>600</v>
      </c>
    </row>
    <row r="941">
      <c r="A941" s="41" t="b">
        <f>IFERROR(__xludf.DUMMYFUNCTION("""COMPUTED_VALUE"""),TRUE)</f>
        <v>1</v>
      </c>
      <c r="B941" s="41" t="str">
        <f>IFERROR(__xludf.DUMMYFUNCTION("""COMPUTED_VALUE"""),"RSC008365")</f>
        <v>RSC008365</v>
      </c>
      <c r="C941" s="41" t="str">
        <f>IFERROR(__xludf.DUMMYFUNCTION("""COMPUTED_VALUE"""),"ZonaHOMI")</f>
        <v>ZonaHOMI</v>
      </c>
      <c r="D941" s="41"/>
      <c r="E941" s="41">
        <f>IFERROR(__xludf.DUMMYFUNCTION("""COMPUTED_VALUE"""),0.0)</f>
        <v>0</v>
      </c>
      <c r="F941" s="41">
        <f>IFERROR(__xludf.DUMMYFUNCTION("""COMPUTED_VALUE"""),1205.0)</f>
        <v>1205</v>
      </c>
    </row>
    <row r="942">
      <c r="A942" s="41" t="b">
        <f>IFERROR(__xludf.DUMMYFUNCTION("""COMPUTED_VALUE"""),TRUE)</f>
        <v>1</v>
      </c>
      <c r="B942" s="41" t="str">
        <f>IFERROR(__xludf.DUMMYFUNCTION("""COMPUTED_VALUE"""),"RSC008343")</f>
        <v>RSC008343</v>
      </c>
      <c r="C942" s="41" t="str">
        <f>IFERROR(__xludf.DUMMYFUNCTION("""COMPUTED_VALUE"""),"surreal")</f>
        <v>surreal</v>
      </c>
      <c r="D942" s="41" t="str">
        <f>IFERROR(__xludf.DUMMYFUNCTION("""COMPUTED_VALUE"""),"Capybaras")</f>
        <v>Capybaras</v>
      </c>
      <c r="E942" s="41">
        <f>IFERROR(__xludf.DUMMYFUNCTION("""COMPUTED_VALUE"""),2.0)</f>
        <v>2</v>
      </c>
      <c r="F942" s="41">
        <f>IFERROR(__xludf.DUMMYFUNCTION("""COMPUTED_VALUE"""),2000.0)</f>
        <v>2000</v>
      </c>
    </row>
    <row r="943">
      <c r="A943" s="41" t="b">
        <f>IFERROR(__xludf.DUMMYFUNCTION("""COMPUTED_VALUE"""),TRUE)</f>
        <v>1</v>
      </c>
      <c r="B943" s="41" t="str">
        <f>IFERROR(__xludf.DUMMYFUNCTION("""COMPUTED_VALUE"""),"RSC008340")</f>
        <v>RSC008340</v>
      </c>
      <c r="C943" s="41" t="str">
        <f>IFERROR(__xludf.DUMMYFUNCTION("""COMPUTED_VALUE"""),"Slowsociety")</f>
        <v>Slowsociety</v>
      </c>
      <c r="D943" s="41" t="str">
        <f>IFERROR(__xludf.DUMMYFUNCTION("""COMPUTED_VALUE"""),"Void")</f>
        <v>Void</v>
      </c>
      <c r="E943" s="41">
        <f>IFERROR(__xludf.DUMMYFUNCTION("""COMPUTED_VALUE"""),2.0)</f>
        <v>2</v>
      </c>
      <c r="F943" s="41">
        <f>IFERROR(__xludf.DUMMYFUNCTION("""COMPUTED_VALUE"""),1210.0)</f>
        <v>1210</v>
      </c>
    </row>
    <row r="944">
      <c r="A944" s="41" t="b">
        <f>IFERROR(__xludf.DUMMYFUNCTION("""COMPUTED_VALUE"""),TRUE)</f>
        <v>1</v>
      </c>
      <c r="B944" s="41" t="str">
        <f>IFERROR(__xludf.DUMMYFUNCTION("""COMPUTED_VALUE"""),"RSC008353")</f>
        <v>RSC008353</v>
      </c>
      <c r="C944" s="41" t="str">
        <f>IFERROR(__xludf.DUMMYFUNCTION("""COMPUTED_VALUE"""),"IcyWrenTTV")</f>
        <v>IcyWrenTTV</v>
      </c>
      <c r="D944" s="41" t="str">
        <f>IFERROR(__xludf.DUMMYFUNCTION("""COMPUTED_VALUE"""),"Drive-by")</f>
        <v>Drive-by</v>
      </c>
      <c r="E944" s="41">
        <f>IFERROR(__xludf.DUMMYFUNCTION("""COMPUTED_VALUE"""),2.0)</f>
        <v>2</v>
      </c>
      <c r="F944" s="41">
        <f>IFERROR(__xludf.DUMMYFUNCTION("""COMPUTED_VALUE"""),1520.0)</f>
        <v>1520</v>
      </c>
    </row>
    <row r="945">
      <c r="A945" s="41" t="b">
        <f>IFERROR(__xludf.DUMMYFUNCTION("""COMPUTED_VALUE"""),FALSE)</f>
        <v>0</v>
      </c>
      <c r="B945" s="41" t="str">
        <f>IFERROR(__xludf.DUMMYFUNCTION("""COMPUTED_VALUE"""),"RSC008366")</f>
        <v>RSC008366</v>
      </c>
      <c r="C945" s="41" t="str">
        <f>IFERROR(__xludf.DUMMYFUNCTION("""COMPUTED_VALUE"""),"Mystican_RL")</f>
        <v>Mystican_RL</v>
      </c>
      <c r="D945" s="41"/>
      <c r="E945" s="41">
        <f>IFERROR(__xludf.DUMMYFUNCTION("""COMPUTED_VALUE"""),0.0)</f>
        <v>0</v>
      </c>
      <c r="F945" s="41">
        <f>IFERROR(__xludf.DUMMYFUNCTION("""COMPUTED_VALUE"""),600.0)</f>
        <v>600</v>
      </c>
    </row>
    <row r="946">
      <c r="A946" s="41" t="b">
        <f>IFERROR(__xludf.DUMMYFUNCTION("""COMPUTED_VALUE"""),TRUE)</f>
        <v>1</v>
      </c>
      <c r="B946" s="41" t="str">
        <f>IFERROR(__xludf.DUMMYFUNCTION("""COMPUTED_VALUE"""),"RSC005580")</f>
        <v>RSC005580</v>
      </c>
      <c r="C946" s="41" t="str">
        <f>IFERROR(__xludf.DUMMYFUNCTION("""COMPUTED_VALUE"""),"Element (Ele! on steam)")</f>
        <v>Element (Ele! on steam)</v>
      </c>
      <c r="D946" s="41"/>
      <c r="E946" s="41">
        <f>IFERROR(__xludf.DUMMYFUNCTION("""COMPUTED_VALUE"""),0.0)</f>
        <v>0</v>
      </c>
      <c r="F946" s="41">
        <f>IFERROR(__xludf.DUMMYFUNCTION("""COMPUTED_VALUE"""),1510.0)</f>
        <v>1510</v>
      </c>
    </row>
    <row r="947">
      <c r="A947" s="41" t="b">
        <f>IFERROR(__xludf.DUMMYFUNCTION("""COMPUTED_VALUE"""),FALSE)</f>
        <v>0</v>
      </c>
      <c r="B947" s="41" t="str">
        <f>IFERROR(__xludf.DUMMYFUNCTION("""COMPUTED_VALUE"""),"RSC001792")</f>
        <v>RSC001792</v>
      </c>
      <c r="C947" s="41" t="str">
        <f>IFERROR(__xludf.DUMMYFUNCTION("""COMPUTED_VALUE"""),"Vroko")</f>
        <v>Vroko</v>
      </c>
      <c r="D947" s="41"/>
      <c r="E947" s="41">
        <f>IFERROR(__xludf.DUMMYFUNCTION("""COMPUTED_VALUE"""),0.0)</f>
        <v>0</v>
      </c>
      <c r="F947" s="41">
        <f>IFERROR(__xludf.DUMMYFUNCTION("""COMPUTED_VALUE"""),1710.0)</f>
        <v>1710</v>
      </c>
    </row>
    <row r="948">
      <c r="A948" s="41" t="b">
        <f>IFERROR(__xludf.DUMMYFUNCTION("""COMPUTED_VALUE"""),TRUE)</f>
        <v>1</v>
      </c>
      <c r="B948" s="41" t="str">
        <f>IFERROR(__xludf.DUMMYFUNCTION("""COMPUTED_VALUE"""),"RSC008362")</f>
        <v>RSC008362</v>
      </c>
      <c r="C948" s="41" t="str">
        <f>IFERROR(__xludf.DUMMYFUNCTION("""COMPUTED_VALUE"""),"flash!")</f>
        <v>flash!</v>
      </c>
      <c r="D948" s="41" t="str">
        <f>IFERROR(__xludf.DUMMYFUNCTION("""COMPUTED_VALUE"""),"Sloths")</f>
        <v>Sloths</v>
      </c>
      <c r="E948" s="41">
        <f>IFERROR(__xludf.DUMMYFUNCTION("""COMPUTED_VALUE"""),2.0)</f>
        <v>2</v>
      </c>
      <c r="F948" s="41">
        <f>IFERROR(__xludf.DUMMYFUNCTION("""COMPUTED_VALUE"""),1620.0)</f>
        <v>1620</v>
      </c>
    </row>
    <row r="949">
      <c r="A949" s="41" t="b">
        <f>IFERROR(__xludf.DUMMYFUNCTION("""COMPUTED_VALUE"""),TRUE)</f>
        <v>1</v>
      </c>
      <c r="B949" s="41" t="str">
        <f>IFERROR(__xludf.DUMMYFUNCTION("""COMPUTED_VALUE"""),"RSC008363")</f>
        <v>RSC008363</v>
      </c>
      <c r="C949" s="41" t="str">
        <f>IFERROR(__xludf.DUMMYFUNCTION("""COMPUTED_VALUE"""),"Jarrtsu")</f>
        <v>Jarrtsu</v>
      </c>
      <c r="D949" s="41" t="str">
        <f>IFERROR(__xludf.DUMMYFUNCTION("""COMPUTED_VALUE"""),"Krakens")</f>
        <v>Krakens</v>
      </c>
      <c r="E949" s="41">
        <f>IFERROR(__xludf.DUMMYFUNCTION("""COMPUTED_VALUE"""),2.0)</f>
        <v>2</v>
      </c>
      <c r="F949" s="41">
        <f>IFERROR(__xludf.DUMMYFUNCTION("""COMPUTED_VALUE"""),1575.0)</f>
        <v>1575</v>
      </c>
    </row>
    <row r="950">
      <c r="A950" s="41" t="b">
        <f>IFERROR(__xludf.DUMMYFUNCTION("""COMPUTED_VALUE"""),FALSE)</f>
        <v>0</v>
      </c>
      <c r="B950" s="41" t="str">
        <f>IFERROR(__xludf.DUMMYFUNCTION("""COMPUTED_VALUE"""),"RSC008367")</f>
        <v>RSC008367</v>
      </c>
      <c r="C950" s="41" t="str">
        <f>IFERROR(__xludf.DUMMYFUNCTION("""COMPUTED_VALUE"""),"minecrafplayer69")</f>
        <v>minecrafplayer69</v>
      </c>
      <c r="D950" s="41"/>
      <c r="E950" s="41">
        <f>IFERROR(__xludf.DUMMYFUNCTION("""COMPUTED_VALUE"""),0.0)</f>
        <v>0</v>
      </c>
      <c r="F950" s="41">
        <f>IFERROR(__xludf.DUMMYFUNCTION("""COMPUTED_VALUE"""),600.0)</f>
        <v>600</v>
      </c>
    </row>
    <row r="951">
      <c r="A951" s="41" t="b">
        <f>IFERROR(__xludf.DUMMYFUNCTION("""COMPUTED_VALUE"""),TRUE)</f>
        <v>1</v>
      </c>
      <c r="B951" s="41" t="str">
        <f>IFERROR(__xludf.DUMMYFUNCTION("""COMPUTED_VALUE"""),"RSC008368")</f>
        <v>RSC008368</v>
      </c>
      <c r="C951" s="41" t="str">
        <f>IFERROR(__xludf.DUMMYFUNCTION("""COMPUTED_VALUE"""),"taLz.")</f>
        <v>taLz.</v>
      </c>
      <c r="D951" s="41" t="str">
        <f>IFERROR(__xludf.DUMMYFUNCTION("""COMPUTED_VALUE"""),"Fromunda Frauds")</f>
        <v>Fromunda Frauds</v>
      </c>
      <c r="E951" s="41">
        <f>IFERROR(__xludf.DUMMYFUNCTION("""COMPUTED_VALUE"""),2.0)</f>
        <v>2</v>
      </c>
      <c r="F951" s="41">
        <f>IFERROR(__xludf.DUMMYFUNCTION("""COMPUTED_VALUE"""),1690.0)</f>
        <v>1690</v>
      </c>
    </row>
    <row r="952">
      <c r="A952" s="41" t="b">
        <f>IFERROR(__xludf.DUMMYFUNCTION("""COMPUTED_VALUE"""),FALSE)</f>
        <v>0</v>
      </c>
      <c r="B952" s="41" t="str">
        <f>IFERROR(__xludf.DUMMYFUNCTION("""COMPUTED_VALUE"""),"RSC008359")</f>
        <v>RSC008359</v>
      </c>
      <c r="C952" s="41" t="str">
        <f>IFERROR(__xludf.DUMMYFUNCTION("""COMPUTED_VALUE"""),"Red1rect")</f>
        <v>Red1rect</v>
      </c>
      <c r="D952" s="41"/>
      <c r="E952" s="41">
        <f>IFERROR(__xludf.DUMMYFUNCTION("""COMPUTED_VALUE"""),0.0)</f>
        <v>0</v>
      </c>
      <c r="F952" s="41">
        <f>IFERROR(__xludf.DUMMYFUNCTION("""COMPUTED_VALUE"""),1190.0)</f>
        <v>1190</v>
      </c>
    </row>
    <row r="953">
      <c r="A953" s="41" t="b">
        <f>IFERROR(__xludf.DUMMYFUNCTION("""COMPUTED_VALUE"""),FALSE)</f>
        <v>0</v>
      </c>
      <c r="B953" s="41" t="str">
        <f>IFERROR(__xludf.DUMMYFUNCTION("""COMPUTED_VALUE"""),"RSC008352")</f>
        <v>RSC008352</v>
      </c>
      <c r="C953" s="41" t="str">
        <f>IFERROR(__xludf.DUMMYFUNCTION("""COMPUTED_VALUE"""),"Fresh rl")</f>
        <v>Fresh rl</v>
      </c>
      <c r="D953" s="41"/>
      <c r="E953" s="41">
        <f>IFERROR(__xludf.DUMMYFUNCTION("""COMPUTED_VALUE"""),0.0)</f>
        <v>0</v>
      </c>
      <c r="F953" s="41">
        <f>IFERROR(__xludf.DUMMYFUNCTION("""COMPUTED_VALUE"""),600.0)</f>
        <v>600</v>
      </c>
    </row>
    <row r="954">
      <c r="A954" s="41" t="b">
        <f>IFERROR(__xludf.DUMMYFUNCTION("""COMPUTED_VALUE"""),TRUE)</f>
        <v>1</v>
      </c>
      <c r="B954" s="41" t="str">
        <f>IFERROR(__xludf.DUMMYFUNCTION("""COMPUTED_VALUE"""),"RSC000981")</f>
        <v>RSC000981</v>
      </c>
      <c r="C954" s="41" t="str">
        <f>IFERROR(__xludf.DUMMYFUNCTION("""COMPUTED_VALUE"""),"Crimson")</f>
        <v>Crimson</v>
      </c>
      <c r="D954" s="41" t="str">
        <f>IFERROR(__xludf.DUMMYFUNCTION("""COMPUTED_VALUE"""),"Folks")</f>
        <v>Folks</v>
      </c>
      <c r="E954" s="41">
        <f>IFERROR(__xludf.DUMMYFUNCTION("""COMPUTED_VALUE"""),2.0)</f>
        <v>2</v>
      </c>
      <c r="F954" s="41">
        <f>IFERROR(__xludf.DUMMYFUNCTION("""COMPUTED_VALUE"""),1450.0)</f>
        <v>1450</v>
      </c>
    </row>
    <row r="955">
      <c r="A955" s="41" t="b">
        <f>IFERROR(__xludf.DUMMYFUNCTION("""COMPUTED_VALUE"""),TRUE)</f>
        <v>1</v>
      </c>
      <c r="B955" s="41" t="str">
        <f>IFERROR(__xludf.DUMMYFUNCTION("""COMPUTED_VALUE"""),"RSC008500")</f>
        <v>RSC008500</v>
      </c>
      <c r="C955" s="41" t="str">
        <f>IFERROR(__xludf.DUMMYFUNCTION("""COMPUTED_VALUE"""),"Alejandro55")</f>
        <v>Alejandro55</v>
      </c>
      <c r="D955" s="41" t="str">
        <f>IFERROR(__xludf.DUMMYFUNCTION("""COMPUTED_VALUE"""),"Battle Masters")</f>
        <v>Battle Masters</v>
      </c>
      <c r="E955" s="41">
        <f>IFERROR(__xludf.DUMMYFUNCTION("""COMPUTED_VALUE"""),2.0)</f>
        <v>2</v>
      </c>
      <c r="F955" s="41">
        <f>IFERROR(__xludf.DUMMYFUNCTION("""COMPUTED_VALUE"""),1710.0)</f>
        <v>1710</v>
      </c>
    </row>
    <row r="956">
      <c r="A956" s="41" t="b">
        <f>IFERROR(__xludf.DUMMYFUNCTION("""COMPUTED_VALUE"""),TRUE)</f>
        <v>1</v>
      </c>
      <c r="B956" s="41" t="str">
        <f>IFERROR(__xludf.DUMMYFUNCTION("""COMPUTED_VALUE"""),"RSC007372")</f>
        <v>RSC007372</v>
      </c>
      <c r="C956" s="41" t="str">
        <f>IFERROR(__xludf.DUMMYFUNCTION("""COMPUTED_VALUE"""),"Zirr_Grzzlr_onTT")</f>
        <v>Zirr_Grzzlr_onTT</v>
      </c>
      <c r="D956" s="41" t="str">
        <f>IFERROR(__xludf.DUMMYFUNCTION("""COMPUTED_VALUE"""),"Piranhas")</f>
        <v>Piranhas</v>
      </c>
      <c r="E956" s="41">
        <f>IFERROR(__xludf.DUMMYFUNCTION("""COMPUTED_VALUE"""),2.0)</f>
        <v>2</v>
      </c>
      <c r="F956" s="41">
        <f>IFERROR(__xludf.DUMMYFUNCTION("""COMPUTED_VALUE"""),1050.0)</f>
        <v>1050</v>
      </c>
    </row>
    <row r="957">
      <c r="A957" s="41" t="b">
        <f>IFERROR(__xludf.DUMMYFUNCTION("""COMPUTED_VALUE"""),TRUE)</f>
        <v>1</v>
      </c>
      <c r="B957" s="41" t="str">
        <f>IFERROR(__xludf.DUMMYFUNCTION("""COMPUTED_VALUE"""),"RSC005059")</f>
        <v>RSC005059</v>
      </c>
      <c r="C957" s="41" t="str">
        <f>IFERROR(__xludf.DUMMYFUNCTION("""COMPUTED_VALUE"""),"t4")</f>
        <v>t4</v>
      </c>
      <c r="D957" s="41" t="str">
        <f>IFERROR(__xludf.DUMMYFUNCTION("""COMPUTED_VALUE"""),"Hippos")</f>
        <v>Hippos</v>
      </c>
      <c r="E957" s="41">
        <f>IFERROR(__xludf.DUMMYFUNCTION("""COMPUTED_VALUE"""),1.0)</f>
        <v>1</v>
      </c>
      <c r="F957" s="41">
        <f>IFERROR(__xludf.DUMMYFUNCTION("""COMPUTED_VALUE"""),1285.0)</f>
        <v>1285</v>
      </c>
    </row>
    <row r="958">
      <c r="A958" s="41" t="b">
        <f>IFERROR(__xludf.DUMMYFUNCTION("""COMPUTED_VALUE"""),TRUE)</f>
        <v>1</v>
      </c>
      <c r="B958" s="41" t="str">
        <f>IFERROR(__xludf.DUMMYFUNCTION("""COMPUTED_VALUE"""),"RSC008369")</f>
        <v>RSC008369</v>
      </c>
      <c r="C958" s="41" t="str">
        <f>IFERROR(__xludf.DUMMYFUNCTION("""COMPUTED_VALUE"""),"EternalJinx")</f>
        <v>EternalJinx</v>
      </c>
      <c r="D958" s="41" t="str">
        <f>IFERROR(__xludf.DUMMYFUNCTION("""COMPUTED_VALUE"""),"Dogfight")</f>
        <v>Dogfight</v>
      </c>
      <c r="E958" s="41">
        <f>IFERROR(__xludf.DUMMYFUNCTION("""COMPUTED_VALUE"""),2.0)</f>
        <v>2</v>
      </c>
      <c r="F958" s="41">
        <f>IFERROR(__xludf.DUMMYFUNCTION("""COMPUTED_VALUE"""),1465.0)</f>
        <v>1465</v>
      </c>
    </row>
    <row r="959">
      <c r="A959" s="41" t="b">
        <f>IFERROR(__xludf.DUMMYFUNCTION("""COMPUTED_VALUE"""),TRUE)</f>
        <v>1</v>
      </c>
      <c r="B959" s="41" t="str">
        <f>IFERROR(__xludf.DUMMYFUNCTION("""COMPUTED_VALUE"""),"RSC008373")</f>
        <v>RSC008373</v>
      </c>
      <c r="C959" s="41" t="str">
        <f>IFERROR(__xludf.DUMMYFUNCTION("""COMPUTED_VALUE"""),"jhonko")</f>
        <v>jhonko</v>
      </c>
      <c r="D959" s="41" t="str">
        <f>IFERROR(__xludf.DUMMYFUNCTION("""COMPUTED_VALUE"""),"Blacksmiths")</f>
        <v>Blacksmiths</v>
      </c>
      <c r="E959" s="41">
        <f>IFERROR(__xludf.DUMMYFUNCTION("""COMPUTED_VALUE"""),2.0)</f>
        <v>2</v>
      </c>
      <c r="F959" s="41">
        <f>IFERROR(__xludf.DUMMYFUNCTION("""COMPUTED_VALUE"""),1385.0)</f>
        <v>1385</v>
      </c>
    </row>
    <row r="960">
      <c r="A960" s="41" t="b">
        <f>IFERROR(__xludf.DUMMYFUNCTION("""COMPUTED_VALUE"""),FALSE)</f>
        <v>0</v>
      </c>
      <c r="B960" s="41" t="str">
        <f>IFERROR(__xludf.DUMMYFUNCTION("""COMPUTED_VALUE"""),"RSC008381")</f>
        <v>RSC008381</v>
      </c>
      <c r="C960" s="41" t="str">
        <f>IFERROR(__xludf.DUMMYFUNCTION("""COMPUTED_VALUE"""),"OriginalKaipo")</f>
        <v>OriginalKaipo</v>
      </c>
      <c r="D960" s="41"/>
      <c r="E960" s="41">
        <f>IFERROR(__xludf.DUMMYFUNCTION("""COMPUTED_VALUE"""),0.0)</f>
        <v>0</v>
      </c>
      <c r="F960" s="41">
        <f>IFERROR(__xludf.DUMMYFUNCTION("""COMPUTED_VALUE"""),600.0)</f>
        <v>600</v>
      </c>
    </row>
    <row r="961">
      <c r="A961" s="41" t="b">
        <f>IFERROR(__xludf.DUMMYFUNCTION("""COMPUTED_VALUE"""),TRUE)</f>
        <v>1</v>
      </c>
      <c r="B961" s="41" t="str">
        <f>IFERROR(__xludf.DUMMYFUNCTION("""COMPUTED_VALUE"""),"RSC004138")</f>
        <v>RSC004138</v>
      </c>
      <c r="C961" s="41" t="str">
        <f>IFERROR(__xludf.DUMMYFUNCTION("""COMPUTED_VALUE"""),"ghoosstyyyyyyy")</f>
        <v>ghoosstyyyyyyy</v>
      </c>
      <c r="D961" s="41" t="str">
        <f>IFERROR(__xludf.DUMMYFUNCTION("""COMPUTED_VALUE"""),"Feta Forgers")</f>
        <v>Feta Forgers</v>
      </c>
      <c r="E961" s="41">
        <f>IFERROR(__xludf.DUMMYFUNCTION("""COMPUTED_VALUE"""),2.0)</f>
        <v>2</v>
      </c>
      <c r="F961" s="41">
        <f>IFERROR(__xludf.DUMMYFUNCTION("""COMPUTED_VALUE"""),1840.0)</f>
        <v>1840</v>
      </c>
    </row>
    <row r="962">
      <c r="A962" s="41" t="b">
        <f>IFERROR(__xludf.DUMMYFUNCTION("""COMPUTED_VALUE"""),TRUE)</f>
        <v>1</v>
      </c>
      <c r="B962" s="41" t="str">
        <f>IFERROR(__xludf.DUMMYFUNCTION("""COMPUTED_VALUE"""),"RSC008379")</f>
        <v>RSC008379</v>
      </c>
      <c r="C962" s="41" t="str">
        <f>IFERROR(__xludf.DUMMYFUNCTION("""COMPUTED_VALUE"""),"Caiman")</f>
        <v>Caiman</v>
      </c>
      <c r="D962" s="41" t="str">
        <f>IFERROR(__xludf.DUMMYFUNCTION("""COMPUTED_VALUE"""),"Piranhas")</f>
        <v>Piranhas</v>
      </c>
      <c r="E962" s="41">
        <f>IFERROR(__xludf.DUMMYFUNCTION("""COMPUTED_VALUE"""),2.0)</f>
        <v>2</v>
      </c>
      <c r="F962" s="41">
        <f>IFERROR(__xludf.DUMMYFUNCTION("""COMPUTED_VALUE"""),1050.0)</f>
        <v>1050</v>
      </c>
    </row>
    <row r="963">
      <c r="A963" s="41" t="b">
        <f>IFERROR(__xludf.DUMMYFUNCTION("""COMPUTED_VALUE"""),FALSE)</f>
        <v>0</v>
      </c>
      <c r="B963" s="41" t="str">
        <f>IFERROR(__xludf.DUMMYFUNCTION("""COMPUTED_VALUE"""),"RSC008389")</f>
        <v>RSC008389</v>
      </c>
      <c r="C963" s="41" t="str">
        <f>IFERROR(__xludf.DUMMYFUNCTION("""COMPUTED_VALUE"""),"EDDY_der_TEDDY")</f>
        <v>EDDY_der_TEDDY</v>
      </c>
      <c r="D963" s="41"/>
      <c r="E963" s="41">
        <f>IFERROR(__xludf.DUMMYFUNCTION("""COMPUTED_VALUE"""),0.0)</f>
        <v>0</v>
      </c>
      <c r="F963" s="41">
        <f>IFERROR(__xludf.DUMMYFUNCTION("""COMPUTED_VALUE"""),600.0)</f>
        <v>600</v>
      </c>
    </row>
    <row r="964">
      <c r="A964" s="41" t="b">
        <f>IFERROR(__xludf.DUMMYFUNCTION("""COMPUTED_VALUE"""),FALSE)</f>
        <v>0</v>
      </c>
      <c r="B964" s="41" t="str">
        <f>IFERROR(__xludf.DUMMYFUNCTION("""COMPUTED_VALUE"""),"RSC008423")</f>
        <v>RSC008423</v>
      </c>
      <c r="C964" s="41" t="str">
        <f>IFERROR(__xludf.DUMMYFUNCTION("""COMPUTED_VALUE"""),"Yqcko")</f>
        <v>Yqcko</v>
      </c>
      <c r="D964" s="41"/>
      <c r="E964" s="41">
        <f>IFERROR(__xludf.DUMMYFUNCTION("""COMPUTED_VALUE"""),0.0)</f>
        <v>0</v>
      </c>
      <c r="F964" s="41">
        <f>IFERROR(__xludf.DUMMYFUNCTION("""COMPUTED_VALUE"""),1405.0)</f>
        <v>1405</v>
      </c>
    </row>
    <row r="965">
      <c r="A965" s="41" t="b">
        <f>IFERROR(__xludf.DUMMYFUNCTION("""COMPUTED_VALUE"""),TRUE)</f>
        <v>1</v>
      </c>
      <c r="B965" s="41" t="str">
        <f>IFERROR(__xludf.DUMMYFUNCTION("""COMPUTED_VALUE"""),"RSC008382")</f>
        <v>RSC008382</v>
      </c>
      <c r="C965" s="41" t="str">
        <f>IFERROR(__xludf.DUMMYFUNCTION("""COMPUTED_VALUE"""),"KiLo")</f>
        <v>KiLo</v>
      </c>
      <c r="D965" s="41" t="str">
        <f>IFERROR(__xludf.DUMMYFUNCTION("""COMPUTED_VALUE"""),"Dragon")</f>
        <v>Dragon</v>
      </c>
      <c r="E965" s="41">
        <f>IFERROR(__xludf.DUMMYFUNCTION("""COMPUTED_VALUE"""),2.0)</f>
        <v>2</v>
      </c>
      <c r="F965" s="41">
        <f>IFERROR(__xludf.DUMMYFUNCTION("""COMPUTED_VALUE"""),1550.0)</f>
        <v>1550</v>
      </c>
    </row>
    <row r="966">
      <c r="A966" s="41" t="b">
        <f>IFERROR(__xludf.DUMMYFUNCTION("""COMPUTED_VALUE"""),FALSE)</f>
        <v>0</v>
      </c>
      <c r="B966" s="41" t="str">
        <f>IFERROR(__xludf.DUMMYFUNCTION("""COMPUTED_VALUE"""),"RSC008383")</f>
        <v>RSC008383</v>
      </c>
      <c r="C966" s="41" t="str">
        <f>IFERROR(__xludf.DUMMYFUNCTION("""COMPUTED_VALUE"""),"mechsᴳ")</f>
        <v>mechsᴳ</v>
      </c>
      <c r="D966" s="41"/>
      <c r="E966" s="41">
        <f>IFERROR(__xludf.DUMMYFUNCTION("""COMPUTED_VALUE"""),0.0)</f>
        <v>0</v>
      </c>
      <c r="F966" s="41">
        <f>IFERROR(__xludf.DUMMYFUNCTION("""COMPUTED_VALUE"""),600.0)</f>
        <v>600</v>
      </c>
    </row>
    <row r="967">
      <c r="A967" s="41" t="b">
        <f>IFERROR(__xludf.DUMMYFUNCTION("""COMPUTED_VALUE"""),TRUE)</f>
        <v>1</v>
      </c>
      <c r="B967" s="41" t="str">
        <f>IFERROR(__xludf.DUMMYFUNCTION("""COMPUTED_VALUE"""),"RSC008435")</f>
        <v>RSC008435</v>
      </c>
      <c r="C967" s="41" t="str">
        <f>IFERROR(__xludf.DUMMYFUNCTION("""COMPUTED_VALUE"""),"ReformedMike")</f>
        <v>ReformedMike</v>
      </c>
      <c r="D967" s="41" t="str">
        <f>IFERROR(__xludf.DUMMYFUNCTION("""COMPUTED_VALUE"""),"Skeletons")</f>
        <v>Skeletons</v>
      </c>
      <c r="E967" s="41">
        <f>IFERROR(__xludf.DUMMYFUNCTION("""COMPUTED_VALUE"""),2.0)</f>
        <v>2</v>
      </c>
      <c r="F967" s="41">
        <f>IFERROR(__xludf.DUMMYFUNCTION("""COMPUTED_VALUE"""),1045.0)</f>
        <v>1045</v>
      </c>
    </row>
    <row r="968">
      <c r="A968" s="41" t="b">
        <f>IFERROR(__xludf.DUMMYFUNCTION("""COMPUTED_VALUE"""),FALSE)</f>
        <v>0</v>
      </c>
      <c r="B968" s="41" t="str">
        <f>IFERROR(__xludf.DUMMYFUNCTION("""COMPUTED_VALUE"""),"RSC008354")</f>
        <v>RSC008354</v>
      </c>
      <c r="C968" s="41" t="str">
        <f>IFERROR(__xludf.DUMMYFUNCTION("""COMPUTED_VALUE"""),"S3 TEK")</f>
        <v>S3 TEK</v>
      </c>
      <c r="D968" s="41"/>
      <c r="E968" s="41">
        <f>IFERROR(__xludf.DUMMYFUNCTION("""COMPUTED_VALUE"""),0.0)</f>
        <v>0</v>
      </c>
      <c r="F968" s="41">
        <f>IFERROR(__xludf.DUMMYFUNCTION("""COMPUTED_VALUE"""),1550.0)</f>
        <v>1550</v>
      </c>
    </row>
    <row r="969">
      <c r="A969" s="41" t="b">
        <f>IFERROR(__xludf.DUMMYFUNCTION("""COMPUTED_VALUE"""),FALSE)</f>
        <v>0</v>
      </c>
      <c r="B969" s="41" t="str">
        <f>IFERROR(__xludf.DUMMYFUNCTION("""COMPUTED_VALUE"""),"RSC008387")</f>
        <v>RSC008387</v>
      </c>
      <c r="C969" s="41" t="str">
        <f>IFERROR(__xludf.DUMMYFUNCTION("""COMPUTED_VALUE"""),"Sir stizzington")</f>
        <v>Sir stizzington</v>
      </c>
      <c r="D969" s="41"/>
      <c r="E969" s="41">
        <f>IFERROR(__xludf.DUMMYFUNCTION("""COMPUTED_VALUE"""),0.0)</f>
        <v>0</v>
      </c>
      <c r="F969" s="41">
        <f>IFERROR(__xludf.DUMMYFUNCTION("""COMPUTED_VALUE"""),600.0)</f>
        <v>600</v>
      </c>
    </row>
    <row r="970">
      <c r="A970" s="41" t="b">
        <f>IFERROR(__xludf.DUMMYFUNCTION("""COMPUTED_VALUE"""),TRUE)</f>
        <v>1</v>
      </c>
      <c r="B970" s="41" t="str">
        <f>IFERROR(__xludf.DUMMYFUNCTION("""COMPUTED_VALUE"""),"RSC008390")</f>
        <v>RSC008390</v>
      </c>
      <c r="C970" s="41" t="str">
        <f>IFERROR(__xludf.DUMMYFUNCTION("""COMPUTED_VALUE"""),"Cully")</f>
        <v>Cully</v>
      </c>
      <c r="D970" s="41" t="str">
        <f>IFERROR(__xludf.DUMMYFUNCTION("""COMPUTED_VALUE"""),"Olympic Knights")</f>
        <v>Olympic Knights</v>
      </c>
      <c r="E970" s="41">
        <f>IFERROR(__xludf.DUMMYFUNCTION("""COMPUTED_VALUE"""),2.0)</f>
        <v>2</v>
      </c>
      <c r="F970" s="41">
        <f>IFERROR(__xludf.DUMMYFUNCTION("""COMPUTED_VALUE"""),1175.0)</f>
        <v>1175</v>
      </c>
    </row>
    <row r="971">
      <c r="A971" s="41" t="b">
        <f>IFERROR(__xludf.DUMMYFUNCTION("""COMPUTED_VALUE"""),FALSE)</f>
        <v>0</v>
      </c>
      <c r="B971" s="41" t="str">
        <f>IFERROR(__xludf.DUMMYFUNCTION("""COMPUTED_VALUE"""),"RSC008394")</f>
        <v>RSC008394</v>
      </c>
      <c r="C971" s="41" t="str">
        <f>IFERROR(__xludf.DUMMYFUNCTION("""COMPUTED_VALUE"""),"ShakenNutria990")</f>
        <v>ShakenNutria990</v>
      </c>
      <c r="D971" s="41"/>
      <c r="E971" s="41">
        <f>IFERROR(__xludf.DUMMYFUNCTION("""COMPUTED_VALUE"""),0.0)</f>
        <v>0</v>
      </c>
      <c r="F971" s="41">
        <f>IFERROR(__xludf.DUMMYFUNCTION("""COMPUTED_VALUE"""),600.0)</f>
        <v>600</v>
      </c>
    </row>
    <row r="972">
      <c r="A972" s="41" t="b">
        <f>IFERROR(__xludf.DUMMYFUNCTION("""COMPUTED_VALUE"""),TRUE)</f>
        <v>1</v>
      </c>
      <c r="B972" s="41" t="str">
        <f>IFERROR(__xludf.DUMMYFUNCTION("""COMPUTED_VALUE"""),"RSC008393")</f>
        <v>RSC008393</v>
      </c>
      <c r="C972" s="41" t="str">
        <f>IFERROR(__xludf.DUMMYFUNCTION("""COMPUTED_VALUE"""),"zerajule")</f>
        <v>zerajule</v>
      </c>
      <c r="D972" s="41" t="str">
        <f>IFERROR(__xludf.DUMMYFUNCTION("""COMPUTED_VALUE"""),"Olympic Knights")</f>
        <v>Olympic Knights</v>
      </c>
      <c r="E972" s="41">
        <f>IFERROR(__xludf.DUMMYFUNCTION("""COMPUTED_VALUE"""),2.0)</f>
        <v>2</v>
      </c>
      <c r="F972" s="41">
        <f>IFERROR(__xludf.DUMMYFUNCTION("""COMPUTED_VALUE"""),1215.0)</f>
        <v>1215</v>
      </c>
    </row>
    <row r="973">
      <c r="A973" s="41" t="b">
        <f>IFERROR(__xludf.DUMMYFUNCTION("""COMPUTED_VALUE"""),FALSE)</f>
        <v>0</v>
      </c>
      <c r="B973" s="41" t="str">
        <f>IFERROR(__xludf.DUMMYFUNCTION("""COMPUTED_VALUE"""),"RSC008388")</f>
        <v>RSC008388</v>
      </c>
      <c r="C973" s="41" t="str">
        <f>IFERROR(__xludf.DUMMYFUNCTION("""COMPUTED_VALUE"""),"Matt McConaughey")</f>
        <v>Matt McConaughey</v>
      </c>
      <c r="D973" s="41"/>
      <c r="E973" s="41">
        <f>IFERROR(__xludf.DUMMYFUNCTION("""COMPUTED_VALUE"""),0.0)</f>
        <v>0</v>
      </c>
      <c r="F973" s="41">
        <f>IFERROR(__xludf.DUMMYFUNCTION("""COMPUTED_VALUE"""),1285.0)</f>
        <v>1285</v>
      </c>
    </row>
    <row r="974">
      <c r="A974" s="41" t="b">
        <f>IFERROR(__xludf.DUMMYFUNCTION("""COMPUTED_VALUE"""),TRUE)</f>
        <v>1</v>
      </c>
      <c r="B974" s="41" t="str">
        <f>IFERROR(__xludf.DUMMYFUNCTION("""COMPUTED_VALUE"""),"RSC008403")</f>
        <v>RSC008403</v>
      </c>
      <c r="C974" s="41" t="str">
        <f>IFERROR(__xludf.DUMMYFUNCTION("""COMPUTED_VALUE"""),"mightie31")</f>
        <v>mightie31</v>
      </c>
      <c r="D974" s="41" t="str">
        <f>IFERROR(__xludf.DUMMYFUNCTION("""COMPUTED_VALUE"""),"Hydras")</f>
        <v>Hydras</v>
      </c>
      <c r="E974" s="41">
        <f>IFERROR(__xludf.DUMMYFUNCTION("""COMPUTED_VALUE"""),2.0)</f>
        <v>2</v>
      </c>
      <c r="F974" s="41">
        <f>IFERROR(__xludf.DUMMYFUNCTION("""COMPUTED_VALUE"""),1525.0)</f>
        <v>1525</v>
      </c>
    </row>
    <row r="975">
      <c r="A975" s="41" t="b">
        <f>IFERROR(__xludf.DUMMYFUNCTION("""COMPUTED_VALUE"""),FALSE)</f>
        <v>0</v>
      </c>
      <c r="B975" s="41" t="str">
        <f>IFERROR(__xludf.DUMMYFUNCTION("""COMPUTED_VALUE"""),"RSC008375")</f>
        <v>RSC008375</v>
      </c>
      <c r="C975" s="41" t="str">
        <f>IFERROR(__xludf.DUMMYFUNCTION("""COMPUTED_VALUE"""),"Waffleジ")</f>
        <v>Waffleジ</v>
      </c>
      <c r="D975" s="41"/>
      <c r="E975" s="41">
        <f>IFERROR(__xludf.DUMMYFUNCTION("""COMPUTED_VALUE"""),0.0)</f>
        <v>0</v>
      </c>
      <c r="F975" s="41">
        <f>IFERROR(__xludf.DUMMYFUNCTION("""COMPUTED_VALUE"""),600.0)</f>
        <v>600</v>
      </c>
    </row>
    <row r="976">
      <c r="A976" s="41" t="b">
        <f>IFERROR(__xludf.DUMMYFUNCTION("""COMPUTED_VALUE"""),FALSE)</f>
        <v>0</v>
      </c>
      <c r="B976" s="41" t="str">
        <f>IFERROR(__xludf.DUMMYFUNCTION("""COMPUTED_VALUE"""),"RSC008386")</f>
        <v>RSC008386</v>
      </c>
      <c r="C976" s="41" t="str">
        <f>IFERROR(__xludf.DUMMYFUNCTION("""COMPUTED_VALUE"""),"Chaddy")</f>
        <v>Chaddy</v>
      </c>
      <c r="D976" s="41"/>
      <c r="E976" s="41">
        <f>IFERROR(__xludf.DUMMYFUNCTION("""COMPUTED_VALUE"""),0.0)</f>
        <v>0</v>
      </c>
      <c r="F976" s="41">
        <f>IFERROR(__xludf.DUMMYFUNCTION("""COMPUTED_VALUE"""),1435.0)</f>
        <v>1435</v>
      </c>
    </row>
    <row r="977">
      <c r="A977" s="41" t="b">
        <f>IFERROR(__xludf.DUMMYFUNCTION("""COMPUTED_VALUE"""),TRUE)</f>
        <v>1</v>
      </c>
      <c r="B977" s="41" t="str">
        <f>IFERROR(__xludf.DUMMYFUNCTION("""COMPUTED_VALUE"""),"RSC008384")</f>
        <v>RSC008384</v>
      </c>
      <c r="C977" s="41" t="str">
        <f>IFERROR(__xludf.DUMMYFUNCTION("""COMPUTED_VALUE"""),"NotLuke9")</f>
        <v>NotLuke9</v>
      </c>
      <c r="D977" s="41" t="str">
        <f>IFERROR(__xludf.DUMMYFUNCTION("""COMPUTED_VALUE"""),"Mages")</f>
        <v>Mages</v>
      </c>
      <c r="E977" s="41">
        <f>IFERROR(__xludf.DUMMYFUNCTION("""COMPUTED_VALUE"""),2.0)</f>
        <v>2</v>
      </c>
      <c r="F977" s="41">
        <f>IFERROR(__xludf.DUMMYFUNCTION("""COMPUTED_VALUE"""),1410.0)</f>
        <v>1410</v>
      </c>
    </row>
    <row r="978">
      <c r="A978" s="41" t="b">
        <f>IFERROR(__xludf.DUMMYFUNCTION("""COMPUTED_VALUE"""),TRUE)</f>
        <v>1</v>
      </c>
      <c r="B978" s="41" t="str">
        <f>IFERROR(__xludf.DUMMYFUNCTION("""COMPUTED_VALUE"""),"RSC008447")</f>
        <v>RSC008447</v>
      </c>
      <c r="C978" s="41" t="str">
        <f>IFERROR(__xludf.DUMMYFUNCTION("""COMPUTED_VALUE"""),"jim2jam")</f>
        <v>jim2jam</v>
      </c>
      <c r="D978" s="41"/>
      <c r="E978" s="41">
        <f>IFERROR(__xludf.DUMMYFUNCTION("""COMPUTED_VALUE"""),0.0)</f>
        <v>0</v>
      </c>
      <c r="F978" s="41">
        <f>IFERROR(__xludf.DUMMYFUNCTION("""COMPUTED_VALUE"""),1055.0)</f>
        <v>1055</v>
      </c>
    </row>
    <row r="979">
      <c r="A979" s="41" t="b">
        <f>IFERROR(__xludf.DUMMYFUNCTION("""COMPUTED_VALUE"""),TRUE)</f>
        <v>1</v>
      </c>
      <c r="B979" s="41" t="str">
        <f>IFERROR(__xludf.DUMMYFUNCTION("""COMPUTED_VALUE"""),"RSC008452")</f>
        <v>RSC008452</v>
      </c>
      <c r="C979" s="41" t="str">
        <f>IFERROR(__xludf.DUMMYFUNCTION("""COMPUTED_VALUE"""),"pxiruu")</f>
        <v>pxiruu</v>
      </c>
      <c r="D979" s="41" t="str">
        <f>IFERROR(__xludf.DUMMYFUNCTION("""COMPUTED_VALUE"""),"Giant Squids")</f>
        <v>Giant Squids</v>
      </c>
      <c r="E979" s="41">
        <f>IFERROR(__xludf.DUMMYFUNCTION("""COMPUTED_VALUE"""),2.0)</f>
        <v>2</v>
      </c>
      <c r="F979" s="41">
        <f>IFERROR(__xludf.DUMMYFUNCTION("""COMPUTED_VALUE"""),1515.0)</f>
        <v>1515</v>
      </c>
    </row>
    <row r="980">
      <c r="A980" s="41" t="b">
        <f>IFERROR(__xludf.DUMMYFUNCTION("""COMPUTED_VALUE"""),TRUE)</f>
        <v>1</v>
      </c>
      <c r="B980" s="41" t="str">
        <f>IFERROR(__xludf.DUMMYFUNCTION("""COMPUTED_VALUE"""),"RSC008465")</f>
        <v>RSC008465</v>
      </c>
      <c r="C980" s="41" t="str">
        <f>IFERROR(__xludf.DUMMYFUNCTION("""COMPUTED_VALUE"""),"IncorrectTerror")</f>
        <v>IncorrectTerror</v>
      </c>
      <c r="D980" s="41" t="str">
        <f>IFERROR(__xludf.DUMMYFUNCTION("""COMPUTED_VALUE"""),"Wind")</f>
        <v>Wind</v>
      </c>
      <c r="E980" s="41">
        <f>IFERROR(__xludf.DUMMYFUNCTION("""COMPUTED_VALUE"""),2.0)</f>
        <v>2</v>
      </c>
      <c r="F980" s="41">
        <f>IFERROR(__xludf.DUMMYFUNCTION("""COMPUTED_VALUE"""),1310.0)</f>
        <v>1310</v>
      </c>
    </row>
    <row r="981">
      <c r="A981" s="41" t="b">
        <f>IFERROR(__xludf.DUMMYFUNCTION("""COMPUTED_VALUE"""),FALSE)</f>
        <v>0</v>
      </c>
      <c r="B981" s="41" t="str">
        <f>IFERROR(__xludf.DUMMYFUNCTION("""COMPUTED_VALUE"""),"RSC008392")</f>
        <v>RSC008392</v>
      </c>
      <c r="C981" s="41" t="str">
        <f>IFERROR(__xludf.DUMMYFUNCTION("""COMPUTED_VALUE"""),"SSL")</f>
        <v>SSL</v>
      </c>
      <c r="D981" s="41"/>
      <c r="E981" s="41">
        <f>IFERROR(__xludf.DUMMYFUNCTION("""COMPUTED_VALUE"""),0.0)</f>
        <v>0</v>
      </c>
      <c r="F981" s="41">
        <f>IFERROR(__xludf.DUMMYFUNCTION("""COMPUTED_VALUE"""),600.0)</f>
        <v>600</v>
      </c>
    </row>
    <row r="982">
      <c r="A982" s="41" t="b">
        <f>IFERROR(__xludf.DUMMYFUNCTION("""COMPUTED_VALUE"""),FALSE)</f>
        <v>0</v>
      </c>
      <c r="B982" s="41" t="str">
        <f>IFERROR(__xludf.DUMMYFUNCTION("""COMPUTED_VALUE"""),"RSC008380")</f>
        <v>RSC008380</v>
      </c>
      <c r="C982" s="41" t="str">
        <f>IFERROR(__xludf.DUMMYFUNCTION("""COMPUTED_VALUE"""),"full hype zkeen")</f>
        <v>full hype zkeen</v>
      </c>
      <c r="D982" s="41"/>
      <c r="E982" s="41">
        <f>IFERROR(__xludf.DUMMYFUNCTION("""COMPUTED_VALUE"""),0.0)</f>
        <v>0</v>
      </c>
      <c r="F982" s="41">
        <f>IFERROR(__xludf.DUMMYFUNCTION("""COMPUTED_VALUE"""),1445.0)</f>
        <v>1445</v>
      </c>
    </row>
    <row r="983">
      <c r="A983" s="41" t="b">
        <f>IFERROR(__xludf.DUMMYFUNCTION("""COMPUTED_VALUE"""),FALSE)</f>
        <v>0</v>
      </c>
      <c r="B983" s="41" t="str">
        <f>IFERROR(__xludf.DUMMYFUNCTION("""COMPUTED_VALUE"""),"RSC008395")</f>
        <v>RSC008395</v>
      </c>
      <c r="C983" s="41" t="str">
        <f>IFERROR(__xludf.DUMMYFUNCTION("""COMPUTED_VALUE"""),"Ago Nyze")</f>
        <v>Ago Nyze</v>
      </c>
      <c r="D983" s="41"/>
      <c r="E983" s="41">
        <f>IFERROR(__xludf.DUMMYFUNCTION("""COMPUTED_VALUE"""),0.0)</f>
        <v>0</v>
      </c>
      <c r="F983" s="41">
        <f>IFERROR(__xludf.DUMMYFUNCTION("""COMPUTED_VALUE"""),1695.0)</f>
        <v>1695</v>
      </c>
    </row>
    <row r="984">
      <c r="A984" s="41" t="b">
        <f>IFERROR(__xludf.DUMMYFUNCTION("""COMPUTED_VALUE"""),FALSE)</f>
        <v>0</v>
      </c>
      <c r="B984" s="41" t="str">
        <f>IFERROR(__xludf.DUMMYFUNCTION("""COMPUTED_VALUE"""),"RSC008385")</f>
        <v>RSC008385</v>
      </c>
      <c r="C984" s="41" t="str">
        <f>IFERROR(__xludf.DUMMYFUNCTION("""COMPUTED_VALUE"""),"boomerbaberuth")</f>
        <v>boomerbaberuth</v>
      </c>
      <c r="D984" s="41"/>
      <c r="E984" s="41">
        <f>IFERROR(__xludf.DUMMYFUNCTION("""COMPUTED_VALUE"""),0.0)</f>
        <v>0</v>
      </c>
      <c r="F984" s="41">
        <f>IFERROR(__xludf.DUMMYFUNCTION("""COMPUTED_VALUE"""),1205.0)</f>
        <v>1205</v>
      </c>
    </row>
    <row r="985">
      <c r="A985" s="41" t="b">
        <f>IFERROR(__xludf.DUMMYFUNCTION("""COMPUTED_VALUE"""),FALSE)</f>
        <v>0</v>
      </c>
      <c r="B985" s="41" t="str">
        <f>IFERROR(__xludf.DUMMYFUNCTION("""COMPUTED_VALUE"""),"RSC008397")</f>
        <v>RSC008397</v>
      </c>
      <c r="C985" s="41" t="str">
        <f>IFERROR(__xludf.DUMMYFUNCTION("""COMPUTED_VALUE"""),"Jaymootz")</f>
        <v>Jaymootz</v>
      </c>
      <c r="D985" s="41"/>
      <c r="E985" s="41">
        <f>IFERROR(__xludf.DUMMYFUNCTION("""COMPUTED_VALUE"""),0.0)</f>
        <v>0</v>
      </c>
      <c r="F985" s="41">
        <f>IFERROR(__xludf.DUMMYFUNCTION("""COMPUTED_VALUE"""),600.0)</f>
        <v>600</v>
      </c>
    </row>
    <row r="986">
      <c r="A986" s="41" t="b">
        <f>IFERROR(__xludf.DUMMYFUNCTION("""COMPUTED_VALUE"""),FALSE)</f>
        <v>0</v>
      </c>
      <c r="B986" s="41" t="str">
        <f>IFERROR(__xludf.DUMMYFUNCTION("""COMPUTED_VALUE"""),"RSC008427")</f>
        <v>RSC008427</v>
      </c>
      <c r="C986" s="41" t="str">
        <f>IFERROR(__xludf.DUMMYFUNCTION("""COMPUTED_VALUE"""),"Plinx Ballin")</f>
        <v>Plinx Ballin</v>
      </c>
      <c r="D986" s="41"/>
      <c r="E986" s="41">
        <f>IFERROR(__xludf.DUMMYFUNCTION("""COMPUTED_VALUE"""),0.0)</f>
        <v>0</v>
      </c>
      <c r="F986" s="41">
        <f>IFERROR(__xludf.DUMMYFUNCTION("""COMPUTED_VALUE"""),600.0)</f>
        <v>600</v>
      </c>
    </row>
    <row r="987">
      <c r="A987" s="41" t="b">
        <f>IFERROR(__xludf.DUMMYFUNCTION("""COMPUTED_VALUE"""),FALSE)</f>
        <v>0</v>
      </c>
      <c r="B987" s="41" t="str">
        <f>IFERROR(__xludf.DUMMYFUNCTION("""COMPUTED_VALUE"""),"RSC008406")</f>
        <v>RSC008406</v>
      </c>
      <c r="C987" s="41" t="str">
        <f>IFERROR(__xludf.DUMMYFUNCTION("""COMPUTED_VALUE"""),"Diamond M16")</f>
        <v>Diamond M16</v>
      </c>
      <c r="D987" s="41"/>
      <c r="E987" s="41">
        <f>IFERROR(__xludf.DUMMYFUNCTION("""COMPUTED_VALUE"""),2.0)</f>
        <v>2</v>
      </c>
      <c r="F987" s="41">
        <f>IFERROR(__xludf.DUMMYFUNCTION("""COMPUTED_VALUE"""),1120.0)</f>
        <v>1120</v>
      </c>
    </row>
    <row r="988">
      <c r="A988" s="41" t="b">
        <f>IFERROR(__xludf.DUMMYFUNCTION("""COMPUTED_VALUE"""),TRUE)</f>
        <v>1</v>
      </c>
      <c r="B988" s="41" t="str">
        <f>IFERROR(__xludf.DUMMYFUNCTION("""COMPUTED_VALUE"""),"RSC008399")</f>
        <v>RSC008399</v>
      </c>
      <c r="C988" s="41" t="str">
        <f>IFERROR(__xludf.DUMMYFUNCTION("""COMPUTED_VALUE"""),"Tiz Samu")</f>
        <v>Tiz Samu</v>
      </c>
      <c r="D988" s="41" t="str">
        <f>IFERROR(__xludf.DUMMYFUNCTION("""COMPUTED_VALUE"""),"Praetorian Guard")</f>
        <v>Praetorian Guard</v>
      </c>
      <c r="E988" s="41">
        <f>IFERROR(__xludf.DUMMYFUNCTION("""COMPUTED_VALUE"""),2.0)</f>
        <v>2</v>
      </c>
      <c r="F988" s="41">
        <f>IFERROR(__xludf.DUMMYFUNCTION("""COMPUTED_VALUE"""),1570.0)</f>
        <v>1570</v>
      </c>
    </row>
    <row r="989">
      <c r="A989" s="41" t="b">
        <f>IFERROR(__xludf.DUMMYFUNCTION("""COMPUTED_VALUE"""),TRUE)</f>
        <v>1</v>
      </c>
      <c r="B989" s="41" t="str">
        <f>IFERROR(__xludf.DUMMYFUNCTION("""COMPUTED_VALUE"""),"RSC008408")</f>
        <v>RSC008408</v>
      </c>
      <c r="C989" s="41" t="str">
        <f>IFERROR(__xludf.DUMMYFUNCTION("""COMPUTED_VALUE"""),"LoonaKami")</f>
        <v>LoonaKami</v>
      </c>
      <c r="D989" s="41" t="str">
        <f>IFERROR(__xludf.DUMMYFUNCTION("""COMPUTED_VALUE"""),"Peerless Scarred")</f>
        <v>Peerless Scarred</v>
      </c>
      <c r="E989" s="41">
        <f>IFERROR(__xludf.DUMMYFUNCTION("""COMPUTED_VALUE"""),2.0)</f>
        <v>2</v>
      </c>
      <c r="F989" s="41">
        <f>IFERROR(__xludf.DUMMYFUNCTION("""COMPUTED_VALUE"""),1590.0)</f>
        <v>1590</v>
      </c>
    </row>
    <row r="990">
      <c r="A990" s="41" t="b">
        <f>IFERROR(__xludf.DUMMYFUNCTION("""COMPUTED_VALUE"""),FALSE)</f>
        <v>0</v>
      </c>
      <c r="B990" s="41" t="str">
        <f>IFERROR(__xludf.DUMMYFUNCTION("""COMPUTED_VALUE"""),"RSC008438")</f>
        <v>RSC008438</v>
      </c>
      <c r="C990" s="41" t="str">
        <f>IFERROR(__xludf.DUMMYFUNCTION("""COMPUTED_VALUE"""),"Zach")</f>
        <v>Zach</v>
      </c>
      <c r="D990" s="41"/>
      <c r="E990" s="41">
        <f>IFERROR(__xludf.DUMMYFUNCTION("""COMPUTED_VALUE"""),0.0)</f>
        <v>0</v>
      </c>
      <c r="F990" s="41">
        <f>IFERROR(__xludf.DUMMYFUNCTION("""COMPUTED_VALUE"""),600.0)</f>
        <v>600</v>
      </c>
    </row>
    <row r="991">
      <c r="A991" s="41" t="b">
        <f>IFERROR(__xludf.DUMMYFUNCTION("""COMPUTED_VALUE"""),TRUE)</f>
        <v>1</v>
      </c>
      <c r="B991" s="41" t="str">
        <f>IFERROR(__xludf.DUMMYFUNCTION("""COMPUTED_VALUE"""),"RSC008405")</f>
        <v>RSC008405</v>
      </c>
      <c r="C991" s="41" t="str">
        <f>IFERROR(__xludf.DUMMYFUNCTION("""COMPUTED_VALUE"""),"gxcid")</f>
        <v>gxcid</v>
      </c>
      <c r="D991" s="41" t="str">
        <f>IFERROR(__xludf.DUMMYFUNCTION("""COMPUTED_VALUE"""),"Black Ice")</f>
        <v>Black Ice</v>
      </c>
      <c r="E991" s="41">
        <f>IFERROR(__xludf.DUMMYFUNCTION("""COMPUTED_VALUE"""),2.0)</f>
        <v>2</v>
      </c>
      <c r="F991" s="41">
        <f>IFERROR(__xludf.DUMMYFUNCTION("""COMPUTED_VALUE"""),1370.0)</f>
        <v>1370</v>
      </c>
    </row>
    <row r="992">
      <c r="A992" s="41" t="b">
        <f>IFERROR(__xludf.DUMMYFUNCTION("""COMPUTED_VALUE"""),FALSE)</f>
        <v>0</v>
      </c>
      <c r="B992" s="41" t="str">
        <f>IFERROR(__xludf.DUMMYFUNCTION("""COMPUTED_VALUE"""),"RSC008409")</f>
        <v>RSC008409</v>
      </c>
      <c r="C992" s="41" t="str">
        <f>IFERROR(__xludf.DUMMYFUNCTION("""COMPUTED_VALUE"""),"Faveredjarl45")</f>
        <v>Faveredjarl45</v>
      </c>
      <c r="D992" s="41"/>
      <c r="E992" s="41">
        <f>IFERROR(__xludf.DUMMYFUNCTION("""COMPUTED_VALUE"""),0.0)</f>
        <v>0</v>
      </c>
      <c r="F992" s="41">
        <f>IFERROR(__xludf.DUMMYFUNCTION("""COMPUTED_VALUE"""),1220.0)</f>
        <v>1220</v>
      </c>
    </row>
    <row r="993">
      <c r="A993" s="41" t="b">
        <f>IFERROR(__xludf.DUMMYFUNCTION("""COMPUTED_VALUE"""),TRUE)</f>
        <v>1</v>
      </c>
      <c r="B993" s="41" t="str">
        <f>IFERROR(__xludf.DUMMYFUNCTION("""COMPUTED_VALUE"""),"RSC008402")</f>
        <v>RSC008402</v>
      </c>
      <c r="C993" s="41" t="str">
        <f>IFERROR(__xludf.DUMMYFUNCTION("""COMPUTED_VALUE"""),"TTV/DucksNotKeys")</f>
        <v>TTV/DucksNotKeys</v>
      </c>
      <c r="D993" s="41" t="str">
        <f>IFERROR(__xludf.DUMMYFUNCTION("""COMPUTED_VALUE"""),"Chimera")</f>
        <v>Chimera</v>
      </c>
      <c r="E993" s="41">
        <f>IFERROR(__xludf.DUMMYFUNCTION("""COMPUTED_VALUE"""),2.0)</f>
        <v>2</v>
      </c>
      <c r="F993" s="41">
        <f>IFERROR(__xludf.DUMMYFUNCTION("""COMPUTED_VALUE"""),820.0)</f>
        <v>820</v>
      </c>
    </row>
    <row r="994">
      <c r="A994" s="41" t="b">
        <f>IFERROR(__xludf.DUMMYFUNCTION("""COMPUTED_VALUE"""),TRUE)</f>
        <v>1</v>
      </c>
      <c r="B994" s="41" t="str">
        <f>IFERROR(__xludf.DUMMYFUNCTION("""COMPUTED_VALUE"""),"RSC006199")</f>
        <v>RSC006199</v>
      </c>
      <c r="C994" s="41" t="str">
        <f>IFERROR(__xludf.DUMMYFUNCTION("""COMPUTED_VALUE"""),"Irozuh-")</f>
        <v>Irozuh-</v>
      </c>
      <c r="D994" s="41" t="str">
        <f>IFERROR(__xludf.DUMMYFUNCTION("""COMPUTED_VALUE"""),"Giant Squids")</f>
        <v>Giant Squids</v>
      </c>
      <c r="E994" s="41">
        <f>IFERROR(__xludf.DUMMYFUNCTION("""COMPUTED_VALUE"""),1.0)</f>
        <v>1</v>
      </c>
      <c r="F994" s="41">
        <f>IFERROR(__xludf.DUMMYFUNCTION("""COMPUTED_VALUE"""),1405.0)</f>
        <v>1405</v>
      </c>
    </row>
    <row r="995">
      <c r="A995" s="41" t="b">
        <f>IFERROR(__xludf.DUMMYFUNCTION("""COMPUTED_VALUE"""),FALSE)</f>
        <v>0</v>
      </c>
      <c r="B995" s="41" t="str">
        <f>IFERROR(__xludf.DUMMYFUNCTION("""COMPUTED_VALUE"""),"RSC008396")</f>
        <v>RSC008396</v>
      </c>
      <c r="C995" s="41" t="str">
        <f>IFERROR(__xludf.DUMMYFUNCTION("""COMPUTED_VALUE"""),"Great12345678")</f>
        <v>Great12345678</v>
      </c>
      <c r="D995" s="41"/>
      <c r="E995" s="41">
        <f>IFERROR(__xludf.DUMMYFUNCTION("""COMPUTED_VALUE"""),0.0)</f>
        <v>0</v>
      </c>
      <c r="F995" s="41">
        <f>IFERROR(__xludf.DUMMYFUNCTION("""COMPUTED_VALUE"""),1145.0)</f>
        <v>1145</v>
      </c>
    </row>
    <row r="996">
      <c r="A996" s="41" t="b">
        <f>IFERROR(__xludf.DUMMYFUNCTION("""COMPUTED_VALUE"""),TRUE)</f>
        <v>1</v>
      </c>
      <c r="B996" s="41" t="str">
        <f>IFERROR(__xludf.DUMMYFUNCTION("""COMPUTED_VALUE"""),"RSC004917")</f>
        <v>RSC004917</v>
      </c>
      <c r="C996" s="41" t="str">
        <f>IFERROR(__xludf.DUMMYFUNCTION("""COMPUTED_VALUE"""),"Nahzey")</f>
        <v>Nahzey</v>
      </c>
      <c r="D996" s="41" t="str">
        <f>IFERROR(__xludf.DUMMYFUNCTION("""COMPUTED_VALUE"""),"Afterburners")</f>
        <v>Afterburners</v>
      </c>
      <c r="E996" s="41">
        <f>IFERROR(__xludf.DUMMYFUNCTION("""COMPUTED_VALUE"""),2.0)</f>
        <v>2</v>
      </c>
      <c r="F996" s="41">
        <f>IFERROR(__xludf.DUMMYFUNCTION("""COMPUTED_VALUE"""),1590.0)</f>
        <v>1590</v>
      </c>
    </row>
    <row r="997">
      <c r="A997" s="41" t="b">
        <f>IFERROR(__xludf.DUMMYFUNCTION("""COMPUTED_VALUE"""),TRUE)</f>
        <v>1</v>
      </c>
      <c r="B997" s="41" t="str">
        <f>IFERROR(__xludf.DUMMYFUNCTION("""COMPUTED_VALUE"""),"RSC007845")</f>
        <v>RSC007845</v>
      </c>
      <c r="C997" s="41" t="str">
        <f>IFERROR(__xludf.DUMMYFUNCTION("""COMPUTED_VALUE"""),"Enchanted")</f>
        <v>Enchanted</v>
      </c>
      <c r="D997" s="41" t="str">
        <f>IFERROR(__xludf.DUMMYFUNCTION("""COMPUTED_VALUE"""),"Leviathans")</f>
        <v>Leviathans</v>
      </c>
      <c r="E997" s="41">
        <f>IFERROR(__xludf.DUMMYFUNCTION("""COMPUTED_VALUE"""),1.0)</f>
        <v>1</v>
      </c>
      <c r="F997" s="41">
        <f>IFERROR(__xludf.DUMMYFUNCTION("""COMPUTED_VALUE"""),1875.0)</f>
        <v>1875</v>
      </c>
    </row>
    <row r="998">
      <c r="A998" s="41" t="b">
        <f>IFERROR(__xludf.DUMMYFUNCTION("""COMPUTED_VALUE"""),TRUE)</f>
        <v>1</v>
      </c>
      <c r="B998" s="41" t="str">
        <f>IFERROR(__xludf.DUMMYFUNCTION("""COMPUTED_VALUE"""),"RSC008415")</f>
        <v>RSC008415</v>
      </c>
      <c r="C998" s="41" t="str">
        <f>IFERROR(__xludf.DUMMYFUNCTION("""COMPUTED_VALUE"""),"StorchBurn")</f>
        <v>StorchBurn</v>
      </c>
      <c r="D998" s="41" t="str">
        <f>IFERROR(__xludf.DUMMYFUNCTION("""COMPUTED_VALUE"""),"Threshers")</f>
        <v>Threshers</v>
      </c>
      <c r="E998" s="41">
        <f>IFERROR(__xludf.DUMMYFUNCTION("""COMPUTED_VALUE"""),2.0)</f>
        <v>2</v>
      </c>
      <c r="F998" s="41">
        <f>IFERROR(__xludf.DUMMYFUNCTION("""COMPUTED_VALUE"""),1220.0)</f>
        <v>1220</v>
      </c>
    </row>
    <row r="999">
      <c r="A999" s="41" t="b">
        <f>IFERROR(__xludf.DUMMYFUNCTION("""COMPUTED_VALUE"""),FALSE)</f>
        <v>0</v>
      </c>
      <c r="B999" s="41" t="str">
        <f>IFERROR(__xludf.DUMMYFUNCTION("""COMPUTED_VALUE"""),"RSC008434")</f>
        <v>RSC008434</v>
      </c>
      <c r="C999" s="41" t="str">
        <f>IFERROR(__xludf.DUMMYFUNCTION("""COMPUTED_VALUE"""),"jk47531")</f>
        <v>jk47531</v>
      </c>
      <c r="D999" s="41"/>
      <c r="E999" s="41">
        <f>IFERROR(__xludf.DUMMYFUNCTION("""COMPUTED_VALUE"""),0.0)</f>
        <v>0</v>
      </c>
      <c r="F999" s="41">
        <f>IFERROR(__xludf.DUMMYFUNCTION("""COMPUTED_VALUE"""),600.0)</f>
        <v>600</v>
      </c>
    </row>
    <row r="1000">
      <c r="A1000" s="41" t="b">
        <f>IFERROR(__xludf.DUMMYFUNCTION("""COMPUTED_VALUE"""),FALSE)</f>
        <v>0</v>
      </c>
      <c r="B1000" s="41" t="str">
        <f>IFERROR(__xludf.DUMMYFUNCTION("""COMPUTED_VALUE"""),"RSC008398")</f>
        <v>RSC008398</v>
      </c>
      <c r="C1000" s="41" t="str">
        <f>IFERROR(__xludf.DUMMYFUNCTION("""COMPUTED_VALUE"""),"saoirse &lt;3")</f>
        <v>saoirse &lt;3</v>
      </c>
      <c r="D1000" s="41"/>
      <c r="E1000" s="41">
        <f>IFERROR(__xludf.DUMMYFUNCTION("""COMPUTED_VALUE"""),0.0)</f>
        <v>0</v>
      </c>
      <c r="F1000" s="41">
        <f>IFERROR(__xludf.DUMMYFUNCTION("""COMPUTED_VALUE"""),600.0)</f>
        <v>600</v>
      </c>
    </row>
    <row r="1001">
      <c r="A1001" s="41" t="b">
        <f>IFERROR(__xludf.DUMMYFUNCTION("""COMPUTED_VALUE"""),FALSE)</f>
        <v>0</v>
      </c>
      <c r="B1001" s="41" t="str">
        <f>IFERROR(__xludf.DUMMYFUNCTION("""COMPUTED_VALUE"""),"RSC008416")</f>
        <v>RSC008416</v>
      </c>
      <c r="C1001" s="41" t="str">
        <f>IFERROR(__xludf.DUMMYFUNCTION("""COMPUTED_VALUE"""),"JustShmeeglyTV")</f>
        <v>JustShmeeglyTV</v>
      </c>
      <c r="D1001" s="41"/>
      <c r="E1001" s="41">
        <f>IFERROR(__xludf.DUMMYFUNCTION("""COMPUTED_VALUE"""),0.0)</f>
        <v>0</v>
      </c>
      <c r="F1001" s="41">
        <f>IFERROR(__xludf.DUMMYFUNCTION("""COMPUTED_VALUE"""),600.0)</f>
        <v>600</v>
      </c>
    </row>
    <row r="1002">
      <c r="A1002" s="41" t="b">
        <f>IFERROR(__xludf.DUMMYFUNCTION("""COMPUTED_VALUE"""),TRUE)</f>
        <v>1</v>
      </c>
      <c r="B1002" s="41" t="str">
        <f>IFERROR(__xludf.DUMMYFUNCTION("""COMPUTED_VALUE"""),"RSC008400")</f>
        <v>RSC008400</v>
      </c>
      <c r="C1002" s="41" t="str">
        <f>IFERROR(__xludf.DUMMYFUNCTION("""COMPUTED_VALUE"""),"Itzmoose")</f>
        <v>Itzmoose</v>
      </c>
      <c r="D1002" s="41" t="str">
        <f>IFERROR(__xludf.DUMMYFUNCTION("""COMPUTED_VALUE"""),"Mages")</f>
        <v>Mages</v>
      </c>
      <c r="E1002" s="41">
        <f>IFERROR(__xludf.DUMMYFUNCTION("""COMPUTED_VALUE"""),2.0)</f>
        <v>2</v>
      </c>
      <c r="F1002" s="41">
        <f>IFERROR(__xludf.DUMMYFUNCTION("""COMPUTED_VALUE"""),1505.0)</f>
        <v>1505</v>
      </c>
    </row>
    <row r="1003">
      <c r="A1003" s="41" t="b">
        <f>IFERROR(__xludf.DUMMYFUNCTION("""COMPUTED_VALUE"""),FALSE)</f>
        <v>0</v>
      </c>
      <c r="B1003" s="41" t="str">
        <f>IFERROR(__xludf.DUMMYFUNCTION("""COMPUTED_VALUE"""),"RSC008404")</f>
        <v>RSC008404</v>
      </c>
      <c r="C1003" s="41" t="str">
        <f>IFERROR(__xludf.DUMMYFUNCTION("""COMPUTED_VALUE"""),"TTVYVNGVOU")</f>
        <v>TTVYVNGVOU</v>
      </c>
      <c r="D1003" s="41"/>
      <c r="E1003" s="41">
        <f>IFERROR(__xludf.DUMMYFUNCTION("""COMPUTED_VALUE"""),0.0)</f>
        <v>0</v>
      </c>
      <c r="F1003" s="41">
        <f>IFERROR(__xludf.DUMMYFUNCTION("""COMPUTED_VALUE"""),600.0)</f>
        <v>600</v>
      </c>
    </row>
    <row r="1004">
      <c r="A1004" s="41" t="b">
        <f>IFERROR(__xludf.DUMMYFUNCTION("""COMPUTED_VALUE"""),TRUE)</f>
        <v>1</v>
      </c>
      <c r="B1004" s="41" t="str">
        <f>IFERROR(__xludf.DUMMYFUNCTION("""COMPUTED_VALUE"""),"RSC007383")</f>
        <v>RSC007383</v>
      </c>
      <c r="C1004" s="41" t="str">
        <f>IFERROR(__xludf.DUMMYFUNCTION("""COMPUTED_VALUE"""),"ttv. blestbb")</f>
        <v>ttv. blestbb</v>
      </c>
      <c r="D1004" s="41" t="str">
        <f>IFERROR(__xludf.DUMMYFUNCTION("""COMPUTED_VALUE"""),"Ghastly Goombahs")</f>
        <v>Ghastly Goombahs</v>
      </c>
      <c r="E1004" s="41">
        <f>IFERROR(__xludf.DUMMYFUNCTION("""COMPUTED_VALUE"""),2.0)</f>
        <v>2</v>
      </c>
      <c r="F1004" s="41">
        <f>IFERROR(__xludf.DUMMYFUNCTION("""COMPUTED_VALUE"""),1600.0)</f>
        <v>1600</v>
      </c>
    </row>
    <row r="1005">
      <c r="A1005" s="41" t="b">
        <f>IFERROR(__xludf.DUMMYFUNCTION("""COMPUTED_VALUE"""),TRUE)</f>
        <v>1</v>
      </c>
      <c r="B1005" s="41" t="str">
        <f>IFERROR(__xludf.DUMMYFUNCTION("""COMPUTED_VALUE"""),"RSC008417")</f>
        <v>RSC008417</v>
      </c>
      <c r="C1005" s="41" t="str">
        <f>IFERROR(__xludf.DUMMYFUNCTION("""COMPUTED_VALUE"""),"LC Spirit")</f>
        <v>LC Spirit</v>
      </c>
      <c r="D1005" s="41" t="str">
        <f>IFERROR(__xludf.DUMMYFUNCTION("""COMPUTED_VALUE"""),"Fire")</f>
        <v>Fire</v>
      </c>
      <c r="E1005" s="41">
        <f>IFERROR(__xludf.DUMMYFUNCTION("""COMPUTED_VALUE"""),2.0)</f>
        <v>2</v>
      </c>
      <c r="F1005" s="41">
        <f>IFERROR(__xludf.DUMMYFUNCTION("""COMPUTED_VALUE"""),1540.0)</f>
        <v>1540</v>
      </c>
    </row>
    <row r="1006">
      <c r="A1006" s="41" t="b">
        <f>IFERROR(__xludf.DUMMYFUNCTION("""COMPUTED_VALUE"""),FALSE)</f>
        <v>0</v>
      </c>
      <c r="B1006" s="41" t="str">
        <f>IFERROR(__xludf.DUMMYFUNCTION("""COMPUTED_VALUE"""),"RSC008429")</f>
        <v>RSC008429</v>
      </c>
      <c r="C1006" s="41" t="str">
        <f>IFERROR(__xludf.DUMMYFUNCTION("""COMPUTED_VALUE"""),"Weevil1")</f>
        <v>Weevil1</v>
      </c>
      <c r="D1006" s="41"/>
      <c r="E1006" s="41">
        <f>IFERROR(__xludf.DUMMYFUNCTION("""COMPUTED_VALUE"""),0.0)</f>
        <v>0</v>
      </c>
      <c r="F1006" s="41">
        <f>IFERROR(__xludf.DUMMYFUNCTION("""COMPUTED_VALUE"""),1450.0)</f>
        <v>1450</v>
      </c>
    </row>
    <row r="1007">
      <c r="A1007" s="41" t="b">
        <f>IFERROR(__xludf.DUMMYFUNCTION("""COMPUTED_VALUE"""),TRUE)</f>
        <v>1</v>
      </c>
      <c r="B1007" s="41" t="str">
        <f>IFERROR(__xludf.DUMMYFUNCTION("""COMPUTED_VALUE"""),"RSC008420")</f>
        <v>RSC008420</v>
      </c>
      <c r="C1007" s="41" t="str">
        <f>IFERROR(__xludf.DUMMYFUNCTION("""COMPUTED_VALUE"""),"Volkner")</f>
        <v>Volkner</v>
      </c>
      <c r="D1007" s="41" t="str">
        <f>IFERROR(__xludf.DUMMYFUNCTION("""COMPUTED_VALUE"""),"Swordsman")</f>
        <v>Swordsman</v>
      </c>
      <c r="E1007" s="41">
        <f>IFERROR(__xludf.DUMMYFUNCTION("""COMPUTED_VALUE"""),2.0)</f>
        <v>2</v>
      </c>
      <c r="F1007" s="41">
        <f>IFERROR(__xludf.DUMMYFUNCTION("""COMPUTED_VALUE"""),1635.0)</f>
        <v>1635</v>
      </c>
    </row>
    <row r="1008">
      <c r="A1008" s="41" t="b">
        <f>IFERROR(__xludf.DUMMYFUNCTION("""COMPUTED_VALUE"""),FALSE)</f>
        <v>0</v>
      </c>
      <c r="B1008" s="41" t="str">
        <f>IFERROR(__xludf.DUMMYFUNCTION("""COMPUTED_VALUE"""),"RSC007401")</f>
        <v>RSC007401</v>
      </c>
      <c r="C1008" s="41" t="str">
        <f>IFERROR(__xludf.DUMMYFUNCTION("""COMPUTED_VALUE"""),"Dorca")</f>
        <v>Dorca</v>
      </c>
      <c r="D1008" s="41"/>
      <c r="E1008" s="41">
        <f>IFERROR(__xludf.DUMMYFUNCTION("""COMPUTED_VALUE"""),0.0)</f>
        <v>0</v>
      </c>
      <c r="F1008" s="41">
        <f>IFERROR(__xludf.DUMMYFUNCTION("""COMPUTED_VALUE"""),600.0)</f>
        <v>600</v>
      </c>
    </row>
    <row r="1009">
      <c r="A1009" s="41" t="b">
        <f>IFERROR(__xludf.DUMMYFUNCTION("""COMPUTED_VALUE"""),FALSE)</f>
        <v>0</v>
      </c>
      <c r="B1009" s="41" t="str">
        <f>IFERROR(__xludf.DUMMYFUNCTION("""COMPUTED_VALUE"""),"RSC008421")</f>
        <v>RSC008421</v>
      </c>
      <c r="C1009" s="41" t="str">
        <f>IFERROR(__xludf.DUMMYFUNCTION("""COMPUTED_VALUE"""),"adderrl11")</f>
        <v>adderrl11</v>
      </c>
      <c r="D1009" s="41"/>
      <c r="E1009" s="41">
        <f>IFERROR(__xludf.DUMMYFUNCTION("""COMPUTED_VALUE"""),0.0)</f>
        <v>0</v>
      </c>
      <c r="F1009" s="41">
        <f>IFERROR(__xludf.DUMMYFUNCTION("""COMPUTED_VALUE"""),600.0)</f>
        <v>600</v>
      </c>
    </row>
    <row r="1010">
      <c r="A1010" s="41" t="b">
        <f>IFERROR(__xludf.DUMMYFUNCTION("""COMPUTED_VALUE"""),TRUE)</f>
        <v>1</v>
      </c>
      <c r="B1010" s="41" t="str">
        <f>IFERROR(__xludf.DUMMYFUNCTION("""COMPUTED_VALUE"""),"RSC008426")</f>
        <v>RSC008426</v>
      </c>
      <c r="C1010" s="41" t="str">
        <f>IFERROR(__xludf.DUMMYFUNCTION("""COMPUTED_VALUE"""),"Midnight")</f>
        <v>Midnight</v>
      </c>
      <c r="D1010" s="41" t="str">
        <f>IFERROR(__xludf.DUMMYFUNCTION("""COMPUTED_VALUE"""),"Warbirds")</f>
        <v>Warbirds</v>
      </c>
      <c r="E1010" s="41">
        <f>IFERROR(__xludf.DUMMYFUNCTION("""COMPUTED_VALUE"""),2.0)</f>
        <v>2</v>
      </c>
      <c r="F1010" s="41">
        <f>IFERROR(__xludf.DUMMYFUNCTION("""COMPUTED_VALUE"""),1155.0)</f>
        <v>1155</v>
      </c>
    </row>
    <row r="1011">
      <c r="A1011" s="41" t="b">
        <f>IFERROR(__xludf.DUMMYFUNCTION("""COMPUTED_VALUE"""),TRUE)</f>
        <v>1</v>
      </c>
      <c r="B1011" s="41" t="str">
        <f>IFERROR(__xludf.DUMMYFUNCTION("""COMPUTED_VALUE"""),"RSC008433")</f>
        <v>RSC008433</v>
      </c>
      <c r="C1011" s="41" t="str">
        <f>IFERROR(__xludf.DUMMYFUNCTION("""COMPUTED_VALUE"""),"Headshotn")</f>
        <v>Headshotn</v>
      </c>
      <c r="D1011" s="41" t="str">
        <f>IFERROR(__xludf.DUMMYFUNCTION("""COMPUTED_VALUE"""),"Dread")</f>
        <v>Dread</v>
      </c>
      <c r="E1011" s="41">
        <f>IFERROR(__xludf.DUMMYFUNCTION("""COMPUTED_VALUE"""),2.0)</f>
        <v>2</v>
      </c>
      <c r="F1011" s="41">
        <f>IFERROR(__xludf.DUMMYFUNCTION("""COMPUTED_VALUE"""),1460.0)</f>
        <v>1460</v>
      </c>
    </row>
    <row r="1012">
      <c r="A1012" s="41" t="b">
        <f>IFERROR(__xludf.DUMMYFUNCTION("""COMPUTED_VALUE"""),FALSE)</f>
        <v>0</v>
      </c>
      <c r="B1012" s="41" t="str">
        <f>IFERROR(__xludf.DUMMYFUNCTION("""COMPUTED_VALUE"""),"RSC008414")</f>
        <v>RSC008414</v>
      </c>
      <c r="C1012" s="41" t="str">
        <f>IFERROR(__xludf.DUMMYFUNCTION("""COMPUTED_VALUE"""),"TitanTyler22")</f>
        <v>TitanTyler22</v>
      </c>
      <c r="D1012" s="41"/>
      <c r="E1012" s="41">
        <f>IFERROR(__xludf.DUMMYFUNCTION("""COMPUTED_VALUE"""),0.0)</f>
        <v>0</v>
      </c>
      <c r="F1012" s="41">
        <f>IFERROR(__xludf.DUMMYFUNCTION("""COMPUTED_VALUE"""),600.0)</f>
        <v>600</v>
      </c>
    </row>
    <row r="1013">
      <c r="A1013" s="41" t="b">
        <f>IFERROR(__xludf.DUMMYFUNCTION("""COMPUTED_VALUE"""),TRUE)</f>
        <v>1</v>
      </c>
      <c r="B1013" s="41" t="str">
        <f>IFERROR(__xludf.DUMMYFUNCTION("""COMPUTED_VALUE"""),"RSC008428")</f>
        <v>RSC008428</v>
      </c>
      <c r="C1013" s="41" t="str">
        <f>IFERROR(__xludf.DUMMYFUNCTION("""COMPUTED_VALUE"""),"PG_THE3RD")</f>
        <v>PG_THE3RD</v>
      </c>
      <c r="D1013" s="41" t="str">
        <f>IFERROR(__xludf.DUMMYFUNCTION("""COMPUTED_VALUE"""),"Supernova")</f>
        <v>Supernova</v>
      </c>
      <c r="E1013" s="41">
        <f>IFERROR(__xludf.DUMMYFUNCTION("""COMPUTED_VALUE"""),2.0)</f>
        <v>2</v>
      </c>
      <c r="F1013" s="41">
        <f>IFERROR(__xludf.DUMMYFUNCTION("""COMPUTED_VALUE"""),1510.0)</f>
        <v>1510</v>
      </c>
    </row>
    <row r="1014">
      <c r="A1014" s="41" t="b">
        <f>IFERROR(__xludf.DUMMYFUNCTION("""COMPUTED_VALUE"""),TRUE)</f>
        <v>1</v>
      </c>
      <c r="B1014" s="41" t="str">
        <f>IFERROR(__xludf.DUMMYFUNCTION("""COMPUTED_VALUE"""),"RSC008431")</f>
        <v>RSC008431</v>
      </c>
      <c r="C1014" s="41" t="str">
        <f>IFERROR(__xludf.DUMMYFUNCTION("""COMPUTED_VALUE"""),"Wildragon112")</f>
        <v>Wildragon112</v>
      </c>
      <c r="D1014" s="41" t="str">
        <f>IFERROR(__xludf.DUMMYFUNCTION("""COMPUTED_VALUE"""),"Turbulence")</f>
        <v>Turbulence</v>
      </c>
      <c r="E1014" s="41">
        <f>IFERROR(__xludf.DUMMYFUNCTION("""COMPUTED_VALUE"""),2.0)</f>
        <v>2</v>
      </c>
      <c r="F1014" s="41">
        <f>IFERROR(__xludf.DUMMYFUNCTION("""COMPUTED_VALUE"""),1050.0)</f>
        <v>1050</v>
      </c>
    </row>
    <row r="1015">
      <c r="A1015" s="41" t="b">
        <f>IFERROR(__xludf.DUMMYFUNCTION("""COMPUTED_VALUE"""),FALSE)</f>
        <v>0</v>
      </c>
      <c r="B1015" s="41" t="str">
        <f>IFERROR(__xludf.DUMMYFUNCTION("""COMPUTED_VALUE"""),"RSC008444")</f>
        <v>RSC008444</v>
      </c>
      <c r="C1015" s="41" t="str">
        <f>IFERROR(__xludf.DUMMYFUNCTION("""COMPUTED_VALUE"""),"DaddysHome")</f>
        <v>DaddysHome</v>
      </c>
      <c r="D1015" s="41"/>
      <c r="E1015" s="41">
        <f>IFERROR(__xludf.DUMMYFUNCTION("""COMPUTED_VALUE"""),0.0)</f>
        <v>0</v>
      </c>
      <c r="F1015" s="41">
        <f>IFERROR(__xludf.DUMMYFUNCTION("""COMPUTED_VALUE"""),1755.0)</f>
        <v>1755</v>
      </c>
    </row>
    <row r="1016">
      <c r="A1016" s="41" t="b">
        <f>IFERROR(__xludf.DUMMYFUNCTION("""COMPUTED_VALUE"""),FALSE)</f>
        <v>0</v>
      </c>
      <c r="B1016" s="41" t="str">
        <f>IFERROR(__xludf.DUMMYFUNCTION("""COMPUTED_VALUE"""),"RSC008449")</f>
        <v>RSC008449</v>
      </c>
      <c r="C1016" s="41" t="str">
        <f>IFERROR(__xludf.DUMMYFUNCTION("""COMPUTED_VALUE"""),"swingman009")</f>
        <v>swingman009</v>
      </c>
      <c r="D1016" s="41"/>
      <c r="E1016" s="41">
        <f>IFERROR(__xludf.DUMMYFUNCTION("""COMPUTED_VALUE"""),0.0)</f>
        <v>0</v>
      </c>
      <c r="F1016" s="41">
        <f>IFERROR(__xludf.DUMMYFUNCTION("""COMPUTED_VALUE"""),600.0)</f>
        <v>600</v>
      </c>
    </row>
    <row r="1017">
      <c r="A1017" s="41" t="b">
        <f>IFERROR(__xludf.DUMMYFUNCTION("""COMPUTED_VALUE"""),TRUE)</f>
        <v>1</v>
      </c>
      <c r="B1017" s="41" t="str">
        <f>IFERROR(__xludf.DUMMYFUNCTION("""COMPUTED_VALUE"""),"RSC008327")</f>
        <v>RSC008327</v>
      </c>
      <c r="C1017" s="41" t="str">
        <f>IFERROR(__xludf.DUMMYFUNCTION("""COMPUTED_VALUE"""),"tempo_rl_ttv")</f>
        <v>tempo_rl_ttv</v>
      </c>
      <c r="D1017" s="41" t="str">
        <f>IFERROR(__xludf.DUMMYFUNCTION("""COMPUTED_VALUE"""),"Winter Fresh")</f>
        <v>Winter Fresh</v>
      </c>
      <c r="E1017" s="41">
        <f>IFERROR(__xludf.DUMMYFUNCTION("""COMPUTED_VALUE"""),2.0)</f>
        <v>2</v>
      </c>
      <c r="F1017" s="41">
        <f>IFERROR(__xludf.DUMMYFUNCTION("""COMPUTED_VALUE"""),925.0)</f>
        <v>925</v>
      </c>
    </row>
    <row r="1018">
      <c r="A1018" s="41" t="b">
        <f>IFERROR(__xludf.DUMMYFUNCTION("""COMPUTED_VALUE"""),TRUE)</f>
        <v>1</v>
      </c>
      <c r="B1018" s="41" t="str">
        <f>IFERROR(__xludf.DUMMYFUNCTION("""COMPUTED_VALUE"""),"RSC008440")</f>
        <v>RSC008440</v>
      </c>
      <c r="C1018" s="41" t="str">
        <f>IFERROR(__xludf.DUMMYFUNCTION("""COMPUTED_VALUE"""),"Keriel_Cereal")</f>
        <v>Keriel_Cereal</v>
      </c>
      <c r="D1018" s="41" t="str">
        <f>IFERROR(__xludf.DUMMYFUNCTION("""COMPUTED_VALUE"""),"Hippos")</f>
        <v>Hippos</v>
      </c>
      <c r="E1018" s="41">
        <f>IFERROR(__xludf.DUMMYFUNCTION("""COMPUTED_VALUE"""),2.0)</f>
        <v>2</v>
      </c>
      <c r="F1018" s="41">
        <f>IFERROR(__xludf.DUMMYFUNCTION("""COMPUTED_VALUE"""),1365.0)</f>
        <v>1365</v>
      </c>
    </row>
    <row r="1019">
      <c r="A1019" s="41" t="b">
        <f>IFERROR(__xludf.DUMMYFUNCTION("""COMPUTED_VALUE"""),TRUE)</f>
        <v>1</v>
      </c>
      <c r="B1019" s="41" t="str">
        <f>IFERROR(__xludf.DUMMYFUNCTION("""COMPUTED_VALUE"""),"RSC008441")</f>
        <v>RSC008441</v>
      </c>
      <c r="C1019" s="41" t="str">
        <f>IFERROR(__xludf.DUMMYFUNCTION("""COMPUTED_VALUE"""),"Izumi._._.")</f>
        <v>Izumi._._.</v>
      </c>
      <c r="D1019" s="41" t="str">
        <f>IFERROR(__xludf.DUMMYFUNCTION("""COMPUTED_VALUE"""),"HR Violation")</f>
        <v>HR Violation</v>
      </c>
      <c r="E1019" s="41">
        <f>IFERROR(__xludf.DUMMYFUNCTION("""COMPUTED_VALUE"""),2.0)</f>
        <v>2</v>
      </c>
      <c r="F1019" s="41">
        <f>IFERROR(__xludf.DUMMYFUNCTION("""COMPUTED_VALUE"""),960.0)</f>
        <v>960</v>
      </c>
    </row>
    <row r="1020">
      <c r="A1020" s="41" t="b">
        <f>IFERROR(__xludf.DUMMYFUNCTION("""COMPUTED_VALUE"""),TRUE)</f>
        <v>1</v>
      </c>
      <c r="B1020" s="41" t="str">
        <f>IFERROR(__xludf.DUMMYFUNCTION("""COMPUTED_VALUE"""),"RSC008442")</f>
        <v>RSC008442</v>
      </c>
      <c r="C1020" s="41" t="str">
        <f>IFERROR(__xludf.DUMMYFUNCTION("""COMPUTED_VALUE"""),"Billionninja")</f>
        <v>Billionninja</v>
      </c>
      <c r="D1020" s="41" t="str">
        <f>IFERROR(__xludf.DUMMYFUNCTION("""COMPUTED_VALUE"""),"Ocelots")</f>
        <v>Ocelots</v>
      </c>
      <c r="E1020" s="41">
        <f>IFERROR(__xludf.DUMMYFUNCTION("""COMPUTED_VALUE"""),2.0)</f>
        <v>2</v>
      </c>
      <c r="F1020" s="41">
        <f>IFERROR(__xludf.DUMMYFUNCTION("""COMPUTED_VALUE"""),1270.0)</f>
        <v>1270</v>
      </c>
    </row>
    <row r="1021">
      <c r="A1021" s="41" t="b">
        <f>IFERROR(__xludf.DUMMYFUNCTION("""COMPUTED_VALUE"""),TRUE)</f>
        <v>1</v>
      </c>
      <c r="B1021" s="41" t="str">
        <f>IFERROR(__xludf.DUMMYFUNCTION("""COMPUTED_VALUE"""),"RSC008443")</f>
        <v>RSC008443</v>
      </c>
      <c r="C1021" s="41" t="str">
        <f>IFERROR(__xludf.DUMMYFUNCTION("""COMPUTED_VALUE"""),"cow")</f>
        <v>cow</v>
      </c>
      <c r="D1021" s="41"/>
      <c r="E1021" s="41">
        <f>IFERROR(__xludf.DUMMYFUNCTION("""COMPUTED_VALUE"""),0.0)</f>
        <v>0</v>
      </c>
      <c r="F1021" s="41">
        <f>IFERROR(__xludf.DUMMYFUNCTION("""COMPUTED_VALUE"""),1325.0)</f>
        <v>1325</v>
      </c>
    </row>
    <row r="1022">
      <c r="A1022" s="41" t="b">
        <f>IFERROR(__xludf.DUMMYFUNCTION("""COMPUTED_VALUE"""),FALSE)</f>
        <v>0</v>
      </c>
      <c r="B1022" s="41" t="str">
        <f>IFERROR(__xludf.DUMMYFUNCTION("""COMPUTED_VALUE"""),"RSC008437")</f>
        <v>RSC008437</v>
      </c>
      <c r="C1022" s="41" t="str">
        <f>IFERROR(__xludf.DUMMYFUNCTION("""COMPUTED_VALUE"""),"Raúl227")</f>
        <v>Raúl227</v>
      </c>
      <c r="D1022" s="41"/>
      <c r="E1022" s="41">
        <f>IFERROR(__xludf.DUMMYFUNCTION("""COMPUTED_VALUE"""),0.0)</f>
        <v>0</v>
      </c>
      <c r="F1022" s="41">
        <f>IFERROR(__xludf.DUMMYFUNCTION("""COMPUTED_VALUE"""),820.0)</f>
        <v>820</v>
      </c>
    </row>
    <row r="1023">
      <c r="A1023" s="41" t="b">
        <f>IFERROR(__xludf.DUMMYFUNCTION("""COMPUTED_VALUE"""),TRUE)</f>
        <v>1</v>
      </c>
      <c r="B1023" s="41" t="str">
        <f>IFERROR(__xludf.DUMMYFUNCTION("""COMPUTED_VALUE"""),"RSC008446")</f>
        <v>RSC008446</v>
      </c>
      <c r="C1023" s="41" t="str">
        <f>IFERROR(__xludf.DUMMYFUNCTION("""COMPUTED_VALUE"""),"Rose_Havoc97")</f>
        <v>Rose_Havoc97</v>
      </c>
      <c r="D1023" s="41" t="str">
        <f>IFERROR(__xludf.DUMMYFUNCTION("""COMPUTED_VALUE"""),"Hellhounds")</f>
        <v>Hellhounds</v>
      </c>
      <c r="E1023" s="41">
        <f>IFERROR(__xludf.DUMMYFUNCTION("""COMPUTED_VALUE"""),2.0)</f>
        <v>2</v>
      </c>
      <c r="F1023" s="41">
        <f>IFERROR(__xludf.DUMMYFUNCTION("""COMPUTED_VALUE"""),1605.0)</f>
        <v>1605</v>
      </c>
    </row>
    <row r="1024">
      <c r="A1024" s="41" t="b">
        <f>IFERROR(__xludf.DUMMYFUNCTION("""COMPUTED_VALUE"""),TRUE)</f>
        <v>1</v>
      </c>
      <c r="B1024" s="41" t="str">
        <f>IFERROR(__xludf.DUMMYFUNCTION("""COMPUTED_VALUE"""),"RSC008418")</f>
        <v>RSC008418</v>
      </c>
      <c r="C1024" s="41" t="str">
        <f>IFERROR(__xludf.DUMMYFUNCTION("""COMPUTED_VALUE"""),"I _amDan")</f>
        <v>I _amDan</v>
      </c>
      <c r="D1024" s="41" t="str">
        <f>IFERROR(__xludf.DUMMYFUNCTION("""COMPUTED_VALUE"""),"Honey Badgers")</f>
        <v>Honey Badgers</v>
      </c>
      <c r="E1024" s="41">
        <f>IFERROR(__xludf.DUMMYFUNCTION("""COMPUTED_VALUE"""),2.0)</f>
        <v>2</v>
      </c>
      <c r="F1024" s="41">
        <f>IFERROR(__xludf.DUMMYFUNCTION("""COMPUTED_VALUE"""),1050.0)</f>
        <v>1050</v>
      </c>
    </row>
    <row r="1025">
      <c r="A1025" s="41" t="b">
        <f>IFERROR(__xludf.DUMMYFUNCTION("""COMPUTED_VALUE"""),FALSE)</f>
        <v>0</v>
      </c>
      <c r="B1025" s="41" t="str">
        <f>IFERROR(__xludf.DUMMYFUNCTION("""COMPUTED_VALUE"""),"RSC008436")</f>
        <v>RSC008436</v>
      </c>
      <c r="C1025" s="41" t="str">
        <f>IFERROR(__xludf.DUMMYFUNCTION("""COMPUTED_VALUE"""),"awyllie")</f>
        <v>awyllie</v>
      </c>
      <c r="D1025" s="41"/>
      <c r="E1025" s="41">
        <f>IFERROR(__xludf.DUMMYFUNCTION("""COMPUTED_VALUE"""),0.0)</f>
        <v>0</v>
      </c>
      <c r="F1025" s="41">
        <f>IFERROR(__xludf.DUMMYFUNCTION("""COMPUTED_VALUE"""),600.0)</f>
        <v>600</v>
      </c>
    </row>
    <row r="1026">
      <c r="A1026" s="41" t="b">
        <f>IFERROR(__xludf.DUMMYFUNCTION("""COMPUTED_VALUE"""),TRUE)</f>
        <v>1</v>
      </c>
      <c r="B1026" s="41" t="str">
        <f>IFERROR(__xludf.DUMMYFUNCTION("""COMPUTED_VALUE"""),"RSC008451")</f>
        <v>RSC008451</v>
      </c>
      <c r="C1026" s="41" t="str">
        <f>IFERROR(__xludf.DUMMYFUNCTION("""COMPUTED_VALUE"""),"RyGuy2flie")</f>
        <v>RyGuy2flie</v>
      </c>
      <c r="D1026" s="41" t="str">
        <f>IFERROR(__xludf.DUMMYFUNCTION("""COMPUTED_VALUE"""),"Hostile Takeover")</f>
        <v>Hostile Takeover</v>
      </c>
      <c r="E1026" s="41">
        <f>IFERROR(__xludf.DUMMYFUNCTION("""COMPUTED_VALUE"""),2.0)</f>
        <v>2</v>
      </c>
      <c r="F1026" s="41">
        <f>IFERROR(__xludf.DUMMYFUNCTION("""COMPUTED_VALUE"""),1000.0)</f>
        <v>1000</v>
      </c>
    </row>
    <row r="1027">
      <c r="A1027" s="41" t="b">
        <f>IFERROR(__xludf.DUMMYFUNCTION("""COMPUTED_VALUE"""),FALSE)</f>
        <v>0</v>
      </c>
      <c r="B1027" s="41" t="str">
        <f>IFERROR(__xludf.DUMMYFUNCTION("""COMPUTED_VALUE"""),"RSC008450")</f>
        <v>RSC008450</v>
      </c>
      <c r="C1027" s="41" t="str">
        <f>IFERROR(__xludf.DUMMYFUNCTION("""COMPUTED_VALUE"""),"Hud")</f>
        <v>Hud</v>
      </c>
      <c r="D1027" s="41"/>
      <c r="E1027" s="41">
        <f>IFERROR(__xludf.DUMMYFUNCTION("""COMPUTED_VALUE"""),0.0)</f>
        <v>0</v>
      </c>
      <c r="F1027" s="41">
        <f>IFERROR(__xludf.DUMMYFUNCTION("""COMPUTED_VALUE"""),600.0)</f>
        <v>600</v>
      </c>
    </row>
    <row r="1028">
      <c r="A1028" s="41" t="b">
        <f>IFERROR(__xludf.DUMMYFUNCTION("""COMPUTED_VALUE"""),FALSE)</f>
        <v>0</v>
      </c>
      <c r="B1028" s="41" t="str">
        <f>IFERROR(__xludf.DUMMYFUNCTION("""COMPUTED_VALUE"""),"RSC008491")</f>
        <v>RSC008491</v>
      </c>
      <c r="C1028" s="41" t="str">
        <f>IFERROR(__xludf.DUMMYFUNCTION("""COMPUTED_VALUE"""),"RSC Intent Account.")</f>
        <v>RSC Intent Account.</v>
      </c>
      <c r="D1028" s="41"/>
      <c r="E1028" s="41">
        <f>IFERROR(__xludf.DUMMYFUNCTION("""COMPUTED_VALUE"""),0.0)</f>
        <v>0</v>
      </c>
      <c r="F1028" s="41">
        <f>IFERROR(__xludf.DUMMYFUNCTION("""COMPUTED_VALUE"""),2000.0)</f>
        <v>2000</v>
      </c>
    </row>
    <row r="1029">
      <c r="A1029" s="41" t="b">
        <f>IFERROR(__xludf.DUMMYFUNCTION("""COMPUTED_VALUE"""),FALSE)</f>
        <v>0</v>
      </c>
      <c r="B1029" s="41" t="str">
        <f>IFERROR(__xludf.DUMMYFUNCTION("""COMPUTED_VALUE"""),"RSC008424")</f>
        <v>RSC008424</v>
      </c>
      <c r="C1029" s="41" t="str">
        <f>IFERROR(__xludf.DUMMYFUNCTION("""COMPUTED_VALUE"""),"Kev.")</f>
        <v>Kev.</v>
      </c>
      <c r="D1029" s="41"/>
      <c r="E1029" s="41">
        <f>IFERROR(__xludf.DUMMYFUNCTION("""COMPUTED_VALUE"""),0.0)</f>
        <v>0</v>
      </c>
      <c r="F1029" s="41">
        <f>IFERROR(__xludf.DUMMYFUNCTION("""COMPUTED_VALUE"""),1810.0)</f>
        <v>1810</v>
      </c>
    </row>
    <row r="1030">
      <c r="A1030" s="41" t="b">
        <f>IFERROR(__xludf.DUMMYFUNCTION("""COMPUTED_VALUE"""),TRUE)</f>
        <v>1</v>
      </c>
      <c r="B1030" s="41" t="str">
        <f>IFERROR(__xludf.DUMMYFUNCTION("""COMPUTED_VALUE"""),"RSC008422")</f>
        <v>RSC008422</v>
      </c>
      <c r="C1030" s="41" t="str">
        <f>IFERROR(__xludf.DUMMYFUNCTION("""COMPUTED_VALUE"""),"carszin")</f>
        <v>carszin</v>
      </c>
      <c r="D1030" s="41" t="str">
        <f>IFERROR(__xludf.DUMMYFUNCTION("""COMPUTED_VALUE"""),"Berserkers")</f>
        <v>Berserkers</v>
      </c>
      <c r="E1030" s="41">
        <f>IFERROR(__xludf.DUMMYFUNCTION("""COMPUTED_VALUE"""),2.0)</f>
        <v>2</v>
      </c>
      <c r="F1030" s="41">
        <f>IFERROR(__xludf.DUMMYFUNCTION("""COMPUTED_VALUE"""),1510.0)</f>
        <v>1510</v>
      </c>
    </row>
    <row r="1031">
      <c r="A1031" s="41" t="b">
        <f>IFERROR(__xludf.DUMMYFUNCTION("""COMPUTED_VALUE"""),FALSE)</f>
        <v>0</v>
      </c>
      <c r="B1031" s="41" t="str">
        <f>IFERROR(__xludf.DUMMYFUNCTION("""COMPUTED_VALUE"""),"RSC008475")</f>
        <v>RSC008475</v>
      </c>
      <c r="C1031" s="41" t="str">
        <f>IFERROR(__xludf.DUMMYFUNCTION("""COMPUTED_VALUE"""),"fast")</f>
        <v>fast</v>
      </c>
      <c r="D1031" s="41"/>
      <c r="E1031" s="41">
        <f>IFERROR(__xludf.DUMMYFUNCTION("""COMPUTED_VALUE"""),0.0)</f>
        <v>0</v>
      </c>
      <c r="F1031" s="41">
        <f>IFERROR(__xludf.DUMMYFUNCTION("""COMPUTED_VALUE"""),1885.0)</f>
        <v>1885</v>
      </c>
    </row>
    <row r="1032">
      <c r="A1032" s="41" t="b">
        <f>IFERROR(__xludf.DUMMYFUNCTION("""COMPUTED_VALUE"""),TRUE)</f>
        <v>1</v>
      </c>
      <c r="B1032" s="41" t="str">
        <f>IFERROR(__xludf.DUMMYFUNCTION("""COMPUTED_VALUE"""),"RSC008454")</f>
        <v>RSC008454</v>
      </c>
      <c r="C1032" s="41" t="str">
        <f>IFERROR(__xludf.DUMMYFUNCTION("""COMPUTED_VALUE"""),"Worma")</f>
        <v>Worma</v>
      </c>
      <c r="D1032" s="41" t="str">
        <f>IFERROR(__xludf.DUMMYFUNCTION("""COMPUTED_VALUE"""),"Blitzars")</f>
        <v>Blitzars</v>
      </c>
      <c r="E1032" s="41">
        <f>IFERROR(__xludf.DUMMYFUNCTION("""COMPUTED_VALUE"""),2.0)</f>
        <v>2</v>
      </c>
      <c r="F1032" s="41">
        <f>IFERROR(__xludf.DUMMYFUNCTION("""COMPUTED_VALUE"""),1230.0)</f>
        <v>1230</v>
      </c>
    </row>
    <row r="1033">
      <c r="A1033" s="41" t="b">
        <f>IFERROR(__xludf.DUMMYFUNCTION("""COMPUTED_VALUE"""),TRUE)</f>
        <v>1</v>
      </c>
      <c r="B1033" s="41" t="str">
        <f>IFERROR(__xludf.DUMMYFUNCTION("""COMPUTED_VALUE"""),"RSC008455")</f>
        <v>RSC008455</v>
      </c>
      <c r="C1033" s="41" t="str">
        <f>IFERROR(__xludf.DUMMYFUNCTION("""COMPUTED_VALUE"""),"Craque")</f>
        <v>Craque</v>
      </c>
      <c r="D1033" s="41" t="str">
        <f>IFERROR(__xludf.DUMMYFUNCTION("""COMPUTED_VALUE"""),"Grizzly Bears")</f>
        <v>Grizzly Bears</v>
      </c>
      <c r="E1033" s="41">
        <f>IFERROR(__xludf.DUMMYFUNCTION("""COMPUTED_VALUE"""),2.0)</f>
        <v>2</v>
      </c>
      <c r="F1033" s="41">
        <f>IFERROR(__xludf.DUMMYFUNCTION("""COMPUTED_VALUE"""),1450.0)</f>
        <v>1450</v>
      </c>
    </row>
    <row r="1034">
      <c r="A1034" s="41" t="b">
        <f>IFERROR(__xludf.DUMMYFUNCTION("""COMPUTED_VALUE"""),FALSE)</f>
        <v>0</v>
      </c>
      <c r="B1034" s="41" t="str">
        <f>IFERROR(__xludf.DUMMYFUNCTION("""COMPUTED_VALUE"""),"RSC008469")</f>
        <v>RSC008469</v>
      </c>
      <c r="C1034" s="41" t="str">
        <f>IFERROR(__xludf.DUMMYFUNCTION("""COMPUTED_VALUE"""),"M7THIS.")</f>
        <v>M7THIS.</v>
      </c>
      <c r="D1034" s="41"/>
      <c r="E1034" s="41">
        <f>IFERROR(__xludf.DUMMYFUNCTION("""COMPUTED_VALUE"""),0.0)</f>
        <v>0</v>
      </c>
      <c r="F1034" s="41">
        <f>IFERROR(__xludf.DUMMYFUNCTION("""COMPUTED_VALUE"""),1890.0)</f>
        <v>1890</v>
      </c>
    </row>
    <row r="1035">
      <c r="A1035" s="41" t="b">
        <f>IFERROR(__xludf.DUMMYFUNCTION("""COMPUTED_VALUE"""),FALSE)</f>
        <v>0</v>
      </c>
      <c r="B1035" s="41" t="str">
        <f>IFERROR(__xludf.DUMMYFUNCTION("""COMPUTED_VALUE"""),"RSC008480")</f>
        <v>RSC008480</v>
      </c>
      <c r="C1035" s="41" t="str">
        <f>IFERROR(__xludf.DUMMYFUNCTION("""COMPUTED_VALUE"""),"light")</f>
        <v>light</v>
      </c>
      <c r="D1035" s="41"/>
      <c r="E1035" s="41">
        <f>IFERROR(__xludf.DUMMYFUNCTION("""COMPUTED_VALUE"""),0.0)</f>
        <v>0</v>
      </c>
      <c r="F1035" s="41">
        <f>IFERROR(__xludf.DUMMYFUNCTION("""COMPUTED_VALUE"""),600.0)</f>
        <v>600</v>
      </c>
    </row>
    <row r="1036">
      <c r="A1036" s="41" t="b">
        <f>IFERROR(__xludf.DUMMYFUNCTION("""COMPUTED_VALUE"""),TRUE)</f>
        <v>1</v>
      </c>
      <c r="B1036" s="41" t="str">
        <f>IFERROR(__xludf.DUMMYFUNCTION("""COMPUTED_VALUE"""),"RSC008458")</f>
        <v>RSC008458</v>
      </c>
      <c r="C1036" s="41" t="str">
        <f>IFERROR(__xludf.DUMMYFUNCTION("""COMPUTED_VALUE"""),"seth")</f>
        <v>seth</v>
      </c>
      <c r="D1036" s="41" t="str">
        <f>IFERROR(__xludf.DUMMYFUNCTION("""COMPUTED_VALUE"""),"Electric Eels")</f>
        <v>Electric Eels</v>
      </c>
      <c r="E1036" s="41">
        <f>IFERROR(__xludf.DUMMYFUNCTION("""COMPUTED_VALUE"""),2.0)</f>
        <v>2</v>
      </c>
      <c r="F1036" s="41">
        <f>IFERROR(__xludf.DUMMYFUNCTION("""COMPUTED_VALUE"""),750.0)</f>
        <v>750</v>
      </c>
    </row>
    <row r="1037">
      <c r="A1037" s="41" t="b">
        <f>IFERROR(__xludf.DUMMYFUNCTION("""COMPUTED_VALUE"""),FALSE)</f>
        <v>0</v>
      </c>
      <c r="B1037" s="41" t="str">
        <f>IFERROR(__xludf.DUMMYFUNCTION("""COMPUTED_VALUE"""),"RSC008462")</f>
        <v>RSC008462</v>
      </c>
      <c r="C1037" s="41" t="str">
        <f>IFERROR(__xludf.DUMMYFUNCTION("""COMPUTED_VALUE"""),"Dr Scrawny")</f>
        <v>Dr Scrawny</v>
      </c>
      <c r="D1037" s="41"/>
      <c r="E1037" s="41">
        <f>IFERROR(__xludf.DUMMYFUNCTION("""COMPUTED_VALUE"""),0.0)</f>
        <v>0</v>
      </c>
      <c r="F1037" s="41">
        <f>IFERROR(__xludf.DUMMYFUNCTION("""COMPUTED_VALUE"""),600.0)</f>
        <v>600</v>
      </c>
    </row>
    <row r="1038">
      <c r="A1038" s="41" t="b">
        <f>IFERROR(__xludf.DUMMYFUNCTION("""COMPUTED_VALUE"""),FALSE)</f>
        <v>0</v>
      </c>
      <c r="B1038" s="41" t="str">
        <f>IFERROR(__xludf.DUMMYFUNCTION("""COMPUTED_VALUE"""),"RSC008453")</f>
        <v>RSC008453</v>
      </c>
      <c r="C1038" s="41" t="str">
        <f>IFERROR(__xludf.DUMMYFUNCTION("""COMPUTED_VALUE"""),"kryo!")</f>
        <v>kryo!</v>
      </c>
      <c r="D1038" s="41"/>
      <c r="E1038" s="41">
        <f>IFERROR(__xludf.DUMMYFUNCTION("""COMPUTED_VALUE"""),0.0)</f>
        <v>0</v>
      </c>
      <c r="F1038" s="41">
        <f>IFERROR(__xludf.DUMMYFUNCTION("""COMPUTED_VALUE"""),1275.0)</f>
        <v>1275</v>
      </c>
    </row>
    <row r="1039">
      <c r="A1039" s="41" t="b">
        <f>IFERROR(__xludf.DUMMYFUNCTION("""COMPUTED_VALUE"""),TRUE)</f>
        <v>1</v>
      </c>
      <c r="B1039" s="41" t="str">
        <f>IFERROR(__xludf.DUMMYFUNCTION("""COMPUTED_VALUE"""),"RSC008460")</f>
        <v>RSC008460</v>
      </c>
      <c r="C1039" s="41" t="str">
        <f>IFERROR(__xludf.DUMMYFUNCTION("""COMPUTED_VALUE"""),"Murleaux")</f>
        <v>Murleaux</v>
      </c>
      <c r="D1039" s="41" t="str">
        <f>IFERROR(__xludf.DUMMYFUNCTION("""COMPUTED_VALUE"""),"Folks")</f>
        <v>Folks</v>
      </c>
      <c r="E1039" s="41">
        <f>IFERROR(__xludf.DUMMYFUNCTION("""COMPUTED_VALUE"""),2.0)</f>
        <v>2</v>
      </c>
      <c r="F1039" s="41">
        <f>IFERROR(__xludf.DUMMYFUNCTION("""COMPUTED_VALUE"""),1515.0)</f>
        <v>1515</v>
      </c>
    </row>
    <row r="1040">
      <c r="A1040" s="41" t="b">
        <f>IFERROR(__xludf.DUMMYFUNCTION("""COMPUTED_VALUE"""),TRUE)</f>
        <v>1</v>
      </c>
      <c r="B1040" s="41" t="str">
        <f>IFERROR(__xludf.DUMMYFUNCTION("""COMPUTED_VALUE"""),"RSC008477")</f>
        <v>RSC008477</v>
      </c>
      <c r="C1040" s="41" t="str">
        <f>IFERROR(__xludf.DUMMYFUNCTION("""COMPUTED_VALUE"""),"stim")</f>
        <v>stim</v>
      </c>
      <c r="D1040" s="41"/>
      <c r="E1040" s="41">
        <f>IFERROR(__xludf.DUMMYFUNCTION("""COMPUTED_VALUE"""),0.0)</f>
        <v>0</v>
      </c>
      <c r="F1040" s="41">
        <f>IFERROR(__xludf.DUMMYFUNCTION("""COMPUTED_VALUE"""),1775.0)</f>
        <v>1775</v>
      </c>
    </row>
    <row r="1041">
      <c r="A1041" s="41" t="b">
        <f>IFERROR(__xludf.DUMMYFUNCTION("""COMPUTED_VALUE"""),TRUE)</f>
        <v>1</v>
      </c>
      <c r="B1041" s="41" t="str">
        <f>IFERROR(__xludf.DUMMYFUNCTION("""COMPUTED_VALUE"""),"RSC005131")</f>
        <v>RSC005131</v>
      </c>
      <c r="C1041" s="41" t="str">
        <f>IFERROR(__xludf.DUMMYFUNCTION("""COMPUTED_VALUE"""),"Loko Deputy")</f>
        <v>Loko Deputy</v>
      </c>
      <c r="D1041" s="41" t="str">
        <f>IFERROR(__xludf.DUMMYFUNCTION("""COMPUTED_VALUE"""),"Ryujin")</f>
        <v>Ryujin</v>
      </c>
      <c r="E1041" s="41">
        <f>IFERROR(__xludf.DUMMYFUNCTION("""COMPUTED_VALUE"""),2.0)</f>
        <v>2</v>
      </c>
      <c r="F1041" s="41">
        <f>IFERROR(__xludf.DUMMYFUNCTION("""COMPUTED_VALUE"""),1100.0)</f>
        <v>1100</v>
      </c>
    </row>
    <row r="1042">
      <c r="A1042" s="41" t="b">
        <f>IFERROR(__xludf.DUMMYFUNCTION("""COMPUTED_VALUE"""),FALSE)</f>
        <v>0</v>
      </c>
      <c r="B1042" s="41" t="str">
        <f>IFERROR(__xludf.DUMMYFUNCTION("""COMPUTED_VALUE"""),"RSC008467")</f>
        <v>RSC008467</v>
      </c>
      <c r="C1042" s="41" t="str">
        <f>IFERROR(__xludf.DUMMYFUNCTION("""COMPUTED_VALUE"""),"snipzz-.")</f>
        <v>snipzz-.</v>
      </c>
      <c r="D1042" s="41"/>
      <c r="E1042" s="41">
        <f>IFERROR(__xludf.DUMMYFUNCTION("""COMPUTED_VALUE"""),2.0)</f>
        <v>2</v>
      </c>
      <c r="F1042" s="41">
        <f>IFERROR(__xludf.DUMMYFUNCTION("""COMPUTED_VALUE"""),1145.0)</f>
        <v>1145</v>
      </c>
    </row>
    <row r="1043">
      <c r="A1043" s="41" t="b">
        <f>IFERROR(__xludf.DUMMYFUNCTION("""COMPUTED_VALUE"""),FALSE)</f>
        <v>0</v>
      </c>
      <c r="B1043" s="41" t="str">
        <f>IFERROR(__xludf.DUMMYFUNCTION("""COMPUTED_VALUE"""),"RSC008498")</f>
        <v>RSC008498</v>
      </c>
      <c r="C1043" s="41" t="str">
        <f>IFERROR(__xludf.DUMMYFUNCTION("""COMPUTED_VALUE"""),"plywood.")</f>
        <v>plywood.</v>
      </c>
      <c r="D1043" s="41"/>
      <c r="E1043" s="41">
        <f>IFERROR(__xludf.DUMMYFUNCTION("""COMPUTED_VALUE"""),0.0)</f>
        <v>0</v>
      </c>
      <c r="F1043" s="41">
        <f>IFERROR(__xludf.DUMMYFUNCTION("""COMPUTED_VALUE"""),1670.0)</f>
        <v>1670</v>
      </c>
    </row>
    <row r="1044">
      <c r="A1044" s="41" t="b">
        <f>IFERROR(__xludf.DUMMYFUNCTION("""COMPUTED_VALUE"""),FALSE)</f>
        <v>0</v>
      </c>
      <c r="B1044" s="41" t="str">
        <f>IFERROR(__xludf.DUMMYFUNCTION("""COMPUTED_VALUE"""),"RSC008476")</f>
        <v>RSC008476</v>
      </c>
      <c r="C1044" s="41" t="str">
        <f>IFERROR(__xludf.DUMMYFUNCTION("""COMPUTED_VALUE"""),"Dash")</f>
        <v>Dash</v>
      </c>
      <c r="D1044" s="41"/>
      <c r="E1044" s="41">
        <f>IFERROR(__xludf.DUMMYFUNCTION("""COMPUTED_VALUE"""),2.0)</f>
        <v>2</v>
      </c>
      <c r="F1044" s="41">
        <f>IFERROR(__xludf.DUMMYFUNCTION("""COMPUTED_VALUE"""),1735.0)</f>
        <v>1735</v>
      </c>
    </row>
    <row r="1045">
      <c r="A1045" s="41" t="b">
        <f>IFERROR(__xludf.DUMMYFUNCTION("""COMPUTED_VALUE"""),TRUE)</f>
        <v>1</v>
      </c>
      <c r="B1045" s="41" t="str">
        <f>IFERROR(__xludf.DUMMYFUNCTION("""COMPUTED_VALUE"""),"RSC008461")</f>
        <v>RSC008461</v>
      </c>
      <c r="C1045" s="41" t="str">
        <f>IFERROR(__xludf.DUMMYFUNCTION("""COMPUTED_VALUE"""),"Kos")</f>
        <v>Kos</v>
      </c>
      <c r="D1045" s="41" t="str">
        <f>IFERROR(__xludf.DUMMYFUNCTION("""COMPUTED_VALUE"""),"Desolation")</f>
        <v>Desolation</v>
      </c>
      <c r="E1045" s="41">
        <f>IFERROR(__xludf.DUMMYFUNCTION("""COMPUTED_VALUE"""),2.0)</f>
        <v>2</v>
      </c>
      <c r="F1045" s="41">
        <f>IFERROR(__xludf.DUMMYFUNCTION("""COMPUTED_VALUE"""),1545.0)</f>
        <v>1545</v>
      </c>
    </row>
    <row r="1046">
      <c r="A1046" s="41" t="b">
        <f>IFERROR(__xludf.DUMMYFUNCTION("""COMPUTED_VALUE"""),TRUE)</f>
        <v>1</v>
      </c>
      <c r="B1046" s="41" t="str">
        <f>IFERROR(__xludf.DUMMYFUNCTION("""COMPUTED_VALUE"""),"RSC008470")</f>
        <v>RSC008470</v>
      </c>
      <c r="C1046" s="41" t="str">
        <f>IFERROR(__xludf.DUMMYFUNCTION("""COMPUTED_VALUE"""),"ReaperXD97")</f>
        <v>ReaperXD97</v>
      </c>
      <c r="D1046" s="41" t="str">
        <f>IFERROR(__xludf.DUMMYFUNCTION("""COMPUTED_VALUE"""),"Honey Badgers")</f>
        <v>Honey Badgers</v>
      </c>
      <c r="E1046" s="41">
        <f>IFERROR(__xludf.DUMMYFUNCTION("""COMPUTED_VALUE"""),2.0)</f>
        <v>2</v>
      </c>
      <c r="F1046" s="41">
        <f>IFERROR(__xludf.DUMMYFUNCTION("""COMPUTED_VALUE"""),965.0)</f>
        <v>965</v>
      </c>
    </row>
    <row r="1047">
      <c r="A1047" s="41" t="b">
        <f>IFERROR(__xludf.DUMMYFUNCTION("""COMPUTED_VALUE"""),TRUE)</f>
        <v>1</v>
      </c>
      <c r="B1047" s="41" t="str">
        <f>IFERROR(__xludf.DUMMYFUNCTION("""COMPUTED_VALUE"""),"RSC008471")</f>
        <v>RSC008471</v>
      </c>
      <c r="C1047" s="41" t="str">
        <f>IFERROR(__xludf.DUMMYFUNCTION("""COMPUTED_VALUE"""),"TrytonsShadow95")</f>
        <v>TrytonsShadow95</v>
      </c>
      <c r="D1047" s="41" t="str">
        <f>IFERROR(__xludf.DUMMYFUNCTION("""COMPUTED_VALUE"""),"Principales")</f>
        <v>Principales</v>
      </c>
      <c r="E1047" s="41">
        <f>IFERROR(__xludf.DUMMYFUNCTION("""COMPUTED_VALUE"""),2.0)</f>
        <v>2</v>
      </c>
      <c r="F1047" s="41">
        <f>IFERROR(__xludf.DUMMYFUNCTION("""COMPUTED_VALUE"""),1000.0)</f>
        <v>1000</v>
      </c>
    </row>
    <row r="1048">
      <c r="A1048" s="41" t="b">
        <f>IFERROR(__xludf.DUMMYFUNCTION("""COMPUTED_VALUE"""),FALSE)</f>
        <v>0</v>
      </c>
      <c r="B1048" s="41" t="str">
        <f>IFERROR(__xludf.DUMMYFUNCTION("""COMPUTED_VALUE"""),"RSC008468")</f>
        <v>RSC008468</v>
      </c>
      <c r="C1048" s="41" t="str">
        <f>IFERROR(__xludf.DUMMYFUNCTION("""COMPUTED_VALUE"""),"AsleepRn_")</f>
        <v>AsleepRn_</v>
      </c>
      <c r="D1048" s="41"/>
      <c r="E1048" s="41">
        <f>IFERROR(__xludf.DUMMYFUNCTION("""COMPUTED_VALUE"""),0.0)</f>
        <v>0</v>
      </c>
      <c r="F1048" s="41">
        <f>IFERROR(__xludf.DUMMYFUNCTION("""COMPUTED_VALUE"""),600.0)</f>
        <v>600</v>
      </c>
    </row>
    <row r="1049">
      <c r="A1049" s="41" t="b">
        <f>IFERROR(__xludf.DUMMYFUNCTION("""COMPUTED_VALUE"""),TRUE)</f>
        <v>1</v>
      </c>
      <c r="B1049" s="41" t="str">
        <f>IFERROR(__xludf.DUMMYFUNCTION("""COMPUTED_VALUE"""),"RSC008473")</f>
        <v>RSC008473</v>
      </c>
      <c r="C1049" s="41" t="str">
        <f>IFERROR(__xludf.DUMMYFUNCTION("""COMPUTED_VALUE"""),"korndoguwu")</f>
        <v>korndoguwu</v>
      </c>
      <c r="D1049" s="41" t="str">
        <f>IFERROR(__xludf.DUMMYFUNCTION("""COMPUTED_VALUE"""),"Gold Hoarders")</f>
        <v>Gold Hoarders</v>
      </c>
      <c r="E1049" s="41">
        <f>IFERROR(__xludf.DUMMYFUNCTION("""COMPUTED_VALUE"""),2.0)</f>
        <v>2</v>
      </c>
      <c r="F1049" s="41">
        <f>IFERROR(__xludf.DUMMYFUNCTION("""COMPUTED_VALUE"""),1165.0)</f>
        <v>1165</v>
      </c>
    </row>
    <row r="1050">
      <c r="A1050" s="41" t="b">
        <f>IFERROR(__xludf.DUMMYFUNCTION("""COMPUTED_VALUE"""),FALSE)</f>
        <v>0</v>
      </c>
      <c r="B1050" s="41" t="str">
        <f>IFERROR(__xludf.DUMMYFUNCTION("""COMPUTED_VALUE"""),"RSC008466")</f>
        <v>RSC008466</v>
      </c>
      <c r="C1050" s="41" t="str">
        <f>IFERROR(__xludf.DUMMYFUNCTION("""COMPUTED_VALUE"""),"Cwuzzy")</f>
        <v>Cwuzzy</v>
      </c>
      <c r="D1050" s="41"/>
      <c r="E1050" s="41">
        <f>IFERROR(__xludf.DUMMYFUNCTION("""COMPUTED_VALUE"""),2.0)</f>
        <v>2</v>
      </c>
      <c r="F1050" s="41">
        <f>IFERROR(__xludf.DUMMYFUNCTION("""COMPUTED_VALUE"""),1170.0)</f>
        <v>1170</v>
      </c>
    </row>
    <row r="1051">
      <c r="A1051" s="41" t="b">
        <f>IFERROR(__xludf.DUMMYFUNCTION("""COMPUTED_VALUE"""),FALSE)</f>
        <v>0</v>
      </c>
      <c r="B1051" s="41" t="str">
        <f>IFERROR(__xludf.DUMMYFUNCTION("""COMPUTED_VALUE"""),"RSC008464")</f>
        <v>RSC008464</v>
      </c>
      <c r="C1051" s="41" t="str">
        <f>IFERROR(__xludf.DUMMYFUNCTION("""COMPUTED_VALUE"""),"Aceviben")</f>
        <v>Aceviben</v>
      </c>
      <c r="D1051" s="41"/>
      <c r="E1051" s="41">
        <f>IFERROR(__xludf.DUMMYFUNCTION("""COMPUTED_VALUE"""),0.0)</f>
        <v>0</v>
      </c>
      <c r="F1051" s="41">
        <f>IFERROR(__xludf.DUMMYFUNCTION("""COMPUTED_VALUE"""),750.0)</f>
        <v>750</v>
      </c>
    </row>
    <row r="1052">
      <c r="A1052" s="41" t="b">
        <f>IFERROR(__xludf.DUMMYFUNCTION("""COMPUTED_VALUE"""),FALSE)</f>
        <v>0</v>
      </c>
      <c r="B1052" s="41" t="str">
        <f>IFERROR(__xludf.DUMMYFUNCTION("""COMPUTED_VALUE"""),"RSC008456")</f>
        <v>RSC008456</v>
      </c>
      <c r="C1052" s="41" t="str">
        <f>IFERROR(__xludf.DUMMYFUNCTION("""COMPUTED_VALUE"""),"Sequoia")</f>
        <v>Sequoia</v>
      </c>
      <c r="D1052" s="41"/>
      <c r="E1052" s="41">
        <f>IFERROR(__xludf.DUMMYFUNCTION("""COMPUTED_VALUE"""),0.0)</f>
        <v>0</v>
      </c>
      <c r="F1052" s="41">
        <f>IFERROR(__xludf.DUMMYFUNCTION("""COMPUTED_VALUE"""),1125.0)</f>
        <v>1125</v>
      </c>
    </row>
    <row r="1053">
      <c r="A1053" s="41" t="b">
        <f>IFERROR(__xludf.DUMMYFUNCTION("""COMPUTED_VALUE"""),FALSE)</f>
        <v>0</v>
      </c>
      <c r="B1053" s="41" t="str">
        <f>IFERROR(__xludf.DUMMYFUNCTION("""COMPUTED_VALUE"""),"RSC008472")</f>
        <v>RSC008472</v>
      </c>
      <c r="C1053" s="41" t="str">
        <f>IFERROR(__xludf.DUMMYFUNCTION("""COMPUTED_VALUE"""),"CrispSword56")</f>
        <v>CrispSword56</v>
      </c>
      <c r="D1053" s="41"/>
      <c r="E1053" s="41">
        <f>IFERROR(__xludf.DUMMYFUNCTION("""COMPUTED_VALUE"""),0.0)</f>
        <v>0</v>
      </c>
      <c r="F1053" s="41">
        <f>IFERROR(__xludf.DUMMYFUNCTION("""COMPUTED_VALUE"""),600.0)</f>
        <v>600</v>
      </c>
    </row>
    <row r="1054">
      <c r="A1054" s="41" t="b">
        <f>IFERROR(__xludf.DUMMYFUNCTION("""COMPUTED_VALUE"""),TRUE)</f>
        <v>1</v>
      </c>
      <c r="B1054" s="41" t="str">
        <f>IFERROR(__xludf.DUMMYFUNCTION("""COMPUTED_VALUE"""),"RSC008478")</f>
        <v>RSC008478</v>
      </c>
      <c r="C1054" s="41" t="str">
        <f>IFERROR(__xludf.DUMMYFUNCTION("""COMPUTED_VALUE"""),"Inflict")</f>
        <v>Inflict</v>
      </c>
      <c r="D1054" s="41" t="str">
        <f>IFERROR(__xludf.DUMMYFUNCTION("""COMPUTED_VALUE"""),"Teddy Bears")</f>
        <v>Teddy Bears</v>
      </c>
      <c r="E1054" s="41">
        <f>IFERROR(__xludf.DUMMYFUNCTION("""COMPUTED_VALUE"""),2.0)</f>
        <v>2</v>
      </c>
      <c r="F1054" s="41">
        <f>IFERROR(__xludf.DUMMYFUNCTION("""COMPUTED_VALUE"""),1560.0)</f>
        <v>1560</v>
      </c>
    </row>
    <row r="1055">
      <c r="A1055" s="41" t="b">
        <f>IFERROR(__xludf.DUMMYFUNCTION("""COMPUTED_VALUE"""),TRUE)</f>
        <v>1</v>
      </c>
      <c r="B1055" s="41" t="str">
        <f>IFERROR(__xludf.DUMMYFUNCTION("""COMPUTED_VALUE"""),"RSC008479")</f>
        <v>RSC008479</v>
      </c>
      <c r="C1055" s="41" t="str">
        <f>IFERROR(__xludf.DUMMYFUNCTION("""COMPUTED_VALUE"""),"Yaki")</f>
        <v>Yaki</v>
      </c>
      <c r="D1055" s="41" t="str">
        <f>IFERROR(__xludf.DUMMYFUNCTION("""COMPUTED_VALUE"""),"Frostbite")</f>
        <v>Frostbite</v>
      </c>
      <c r="E1055" s="41">
        <f>IFERROR(__xludf.DUMMYFUNCTION("""COMPUTED_VALUE"""),2.0)</f>
        <v>2</v>
      </c>
      <c r="F1055" s="41">
        <f>IFERROR(__xludf.DUMMYFUNCTION("""COMPUTED_VALUE"""),1565.0)</f>
        <v>1565</v>
      </c>
    </row>
    <row r="1056">
      <c r="A1056" s="41" t="b">
        <f>IFERROR(__xludf.DUMMYFUNCTION("""COMPUTED_VALUE"""),TRUE)</f>
        <v>1</v>
      </c>
      <c r="B1056" s="41" t="str">
        <f>IFERROR(__xludf.DUMMYFUNCTION("""COMPUTED_VALUE"""),"RSC008370")</f>
        <v>RSC008370</v>
      </c>
      <c r="C1056" s="41" t="str">
        <f>IFERROR(__xludf.DUMMYFUNCTION("""COMPUTED_VALUE"""),"Precision")</f>
        <v>Precision</v>
      </c>
      <c r="D1056" s="41" t="str">
        <f>IFERROR(__xludf.DUMMYFUNCTION("""COMPUTED_VALUE"""),"Tic Tacs")</f>
        <v>Tic Tacs</v>
      </c>
      <c r="E1056" s="41">
        <f>IFERROR(__xludf.DUMMYFUNCTION("""COMPUTED_VALUE"""),2.0)</f>
        <v>2</v>
      </c>
      <c r="F1056" s="41">
        <f>IFERROR(__xludf.DUMMYFUNCTION("""COMPUTED_VALUE"""),1065.0)</f>
        <v>1065</v>
      </c>
    </row>
    <row r="1057">
      <c r="A1057" s="41" t="b">
        <f>IFERROR(__xludf.DUMMYFUNCTION("""COMPUTED_VALUE"""),FALSE)</f>
        <v>0</v>
      </c>
      <c r="B1057" s="41" t="str">
        <f>IFERROR(__xludf.DUMMYFUNCTION("""COMPUTED_VALUE"""),"RSC008457")</f>
        <v>RSC008457</v>
      </c>
      <c r="C1057" s="41" t="str">
        <f>IFERROR(__xludf.DUMMYFUNCTION("""COMPUTED_VALUE"""),"FISHT0PIA")</f>
        <v>FISHT0PIA</v>
      </c>
      <c r="D1057" s="41"/>
      <c r="E1057" s="41">
        <f>IFERROR(__xludf.DUMMYFUNCTION("""COMPUTED_VALUE"""),0.0)</f>
        <v>0</v>
      </c>
      <c r="F1057" s="41">
        <f>IFERROR(__xludf.DUMMYFUNCTION("""COMPUTED_VALUE"""),600.0)</f>
        <v>600</v>
      </c>
    </row>
    <row r="1058">
      <c r="A1058" s="41" t="b">
        <f>IFERROR(__xludf.DUMMYFUNCTION("""COMPUTED_VALUE"""),FALSE)</f>
        <v>0</v>
      </c>
      <c r="B1058" s="41" t="str">
        <f>IFERROR(__xludf.DUMMYFUNCTION("""COMPUTED_VALUE"""),"RSC008481")</f>
        <v>RSC008481</v>
      </c>
      <c r="C1058" s="41" t="str">
        <f>IFERROR(__xludf.DUMMYFUNCTION("""COMPUTED_VALUE"""),"4k_sav")</f>
        <v>4k_sav</v>
      </c>
      <c r="D1058" s="41"/>
      <c r="E1058" s="41">
        <f>IFERROR(__xludf.DUMMYFUNCTION("""COMPUTED_VALUE"""),0.0)</f>
        <v>0</v>
      </c>
      <c r="F1058" s="41">
        <f>IFERROR(__xludf.DUMMYFUNCTION("""COMPUTED_VALUE"""),1270.0)</f>
        <v>1270</v>
      </c>
    </row>
    <row r="1059">
      <c r="A1059" s="41" t="b">
        <f>IFERROR(__xludf.DUMMYFUNCTION("""COMPUTED_VALUE"""),TRUE)</f>
        <v>1</v>
      </c>
      <c r="B1059" s="41" t="str">
        <f>IFERROR(__xludf.DUMMYFUNCTION("""COMPUTED_VALUE"""),"RSC008506")</f>
        <v>RSC008506</v>
      </c>
      <c r="C1059" s="41" t="str">
        <f>IFERROR(__xludf.DUMMYFUNCTION("""COMPUTED_VALUE"""),"YLVulcan")</f>
        <v>YLVulcan</v>
      </c>
      <c r="D1059" s="41"/>
      <c r="E1059" s="41">
        <f>IFERROR(__xludf.DUMMYFUNCTION("""COMPUTED_VALUE"""),0.0)</f>
        <v>0</v>
      </c>
      <c r="F1059" s="41">
        <f>IFERROR(__xludf.DUMMYFUNCTION("""COMPUTED_VALUE"""),1335.0)</f>
        <v>1335</v>
      </c>
    </row>
    <row r="1060">
      <c r="A1060" s="41" t="b">
        <f>IFERROR(__xludf.DUMMYFUNCTION("""COMPUTED_VALUE"""),FALSE)</f>
        <v>0</v>
      </c>
      <c r="B1060" s="41" t="str">
        <f>IFERROR(__xludf.DUMMYFUNCTION("""COMPUTED_VALUE"""),"RSC008459")</f>
        <v>RSC008459</v>
      </c>
      <c r="C1060" s="41" t="str">
        <f>IFERROR(__xludf.DUMMYFUNCTION("""COMPUTED_VALUE"""),"Miko")</f>
        <v>Miko</v>
      </c>
      <c r="D1060" s="41"/>
      <c r="E1060" s="41">
        <f>IFERROR(__xludf.DUMMYFUNCTION("""COMPUTED_VALUE"""),0.0)</f>
        <v>0</v>
      </c>
      <c r="F1060" s="41">
        <f>IFERROR(__xludf.DUMMYFUNCTION("""COMPUTED_VALUE"""),600.0)</f>
        <v>600</v>
      </c>
    </row>
    <row r="1061">
      <c r="A1061" s="41" t="b">
        <f>IFERROR(__xludf.DUMMYFUNCTION("""COMPUTED_VALUE"""),TRUE)</f>
        <v>1</v>
      </c>
      <c r="B1061" s="41" t="str">
        <f>IFERROR(__xludf.DUMMYFUNCTION("""COMPUTED_VALUE"""),"RSC008463")</f>
        <v>RSC008463</v>
      </c>
      <c r="C1061" s="41" t="str">
        <f>IFERROR(__xludf.DUMMYFUNCTION("""COMPUTED_VALUE"""),"KryptWard")</f>
        <v>KryptWard</v>
      </c>
      <c r="D1061" s="41" t="str">
        <f>IFERROR(__xludf.DUMMYFUNCTION("""COMPUTED_VALUE"""),"Mosaic Maestros")</f>
        <v>Mosaic Maestros</v>
      </c>
      <c r="E1061" s="41">
        <f>IFERROR(__xludf.DUMMYFUNCTION("""COMPUTED_VALUE"""),2.0)</f>
        <v>2</v>
      </c>
      <c r="F1061" s="41">
        <f>IFERROR(__xludf.DUMMYFUNCTION("""COMPUTED_VALUE"""),1405.0)</f>
        <v>1405</v>
      </c>
    </row>
    <row r="1062">
      <c r="A1062" s="41" t="b">
        <f>IFERROR(__xludf.DUMMYFUNCTION("""COMPUTED_VALUE"""),FALSE)</f>
        <v>0</v>
      </c>
      <c r="B1062" s="41" t="str">
        <f>IFERROR(__xludf.DUMMYFUNCTION("""COMPUTED_VALUE"""),"RSC008474")</f>
        <v>RSC008474</v>
      </c>
      <c r="C1062" s="41" t="str">
        <f>IFERROR(__xludf.DUMMYFUNCTION("""COMPUTED_VALUE"""),"Drim")</f>
        <v>Drim</v>
      </c>
      <c r="D1062" s="41"/>
      <c r="E1062" s="41">
        <f>IFERROR(__xludf.DUMMYFUNCTION("""COMPUTED_VALUE"""),0.0)</f>
        <v>0</v>
      </c>
      <c r="F1062" s="41">
        <f>IFERROR(__xludf.DUMMYFUNCTION("""COMPUTED_VALUE"""),1550.0)</f>
        <v>1550</v>
      </c>
    </row>
    <row r="1063">
      <c r="A1063" s="41" t="b">
        <f>IFERROR(__xludf.DUMMYFUNCTION("""COMPUTED_VALUE"""),TRUE)</f>
        <v>1</v>
      </c>
      <c r="B1063" s="41" t="str">
        <f>IFERROR(__xludf.DUMMYFUNCTION("""COMPUTED_VALUE"""),"RSC008503")</f>
        <v>RSC008503</v>
      </c>
      <c r="C1063" s="41" t="str">
        <f>IFERROR(__xludf.DUMMYFUNCTION("""COMPUTED_VALUE"""),"Rick0810")</f>
        <v>Rick0810</v>
      </c>
      <c r="D1063" s="41" t="str">
        <f>IFERROR(__xludf.DUMMYFUNCTION("""COMPUTED_VALUE"""),"Drive-by")</f>
        <v>Drive-by</v>
      </c>
      <c r="E1063" s="41">
        <f>IFERROR(__xludf.DUMMYFUNCTION("""COMPUTED_VALUE"""),2.0)</f>
        <v>2</v>
      </c>
      <c r="F1063" s="41">
        <f>IFERROR(__xludf.DUMMYFUNCTION("""COMPUTED_VALUE"""),1570.0)</f>
        <v>1570</v>
      </c>
    </row>
    <row r="1064">
      <c r="A1064" s="41" t="b">
        <f>IFERROR(__xludf.DUMMYFUNCTION("""COMPUTED_VALUE"""),FALSE)</f>
        <v>0</v>
      </c>
      <c r="B1064" s="41" t="str">
        <f>IFERROR(__xludf.DUMMYFUNCTION("""COMPUTED_VALUE"""),"RSC008445")</f>
        <v>RSC008445</v>
      </c>
      <c r="C1064" s="41" t="str">
        <f>IFERROR(__xludf.DUMMYFUNCTION("""COMPUTED_VALUE"""),"II Ricky I")</f>
        <v>II Ricky I</v>
      </c>
      <c r="D1064" s="41"/>
      <c r="E1064" s="41">
        <f>IFERROR(__xludf.DUMMYFUNCTION("""COMPUTED_VALUE"""),0.0)</f>
        <v>0</v>
      </c>
      <c r="F1064" s="41">
        <f>IFERROR(__xludf.DUMMYFUNCTION("""COMPUTED_VALUE"""),600.0)</f>
        <v>600</v>
      </c>
    </row>
    <row r="1065">
      <c r="A1065" s="41" t="b">
        <f>IFERROR(__xludf.DUMMYFUNCTION("""COMPUTED_VALUE"""),TRUE)</f>
        <v>1</v>
      </c>
      <c r="B1065" s="41" t="str">
        <f>IFERROR(__xludf.DUMMYFUNCTION("""COMPUTED_VALUE"""),"RSC008487")</f>
        <v>RSC008487</v>
      </c>
      <c r="C1065" s="41" t="str">
        <f>IFERROR(__xludf.DUMMYFUNCTION("""COMPUTED_VALUE"""),"S3 UniQ")</f>
        <v>S3 UniQ</v>
      </c>
      <c r="D1065" s="41" t="str">
        <f>IFERROR(__xludf.DUMMYFUNCTION("""COMPUTED_VALUE"""),"Ruthless Racket")</f>
        <v>Ruthless Racket</v>
      </c>
      <c r="E1065" s="41">
        <f>IFERROR(__xludf.DUMMYFUNCTION("""COMPUTED_VALUE"""),2.0)</f>
        <v>2</v>
      </c>
      <c r="F1065" s="41">
        <f>IFERROR(__xludf.DUMMYFUNCTION("""COMPUTED_VALUE"""),1265.0)</f>
        <v>1265</v>
      </c>
    </row>
    <row r="1066">
      <c r="A1066" s="41" t="b">
        <f>IFERROR(__xludf.DUMMYFUNCTION("""COMPUTED_VALUE"""),TRUE)</f>
        <v>1</v>
      </c>
      <c r="B1066" s="41" t="str">
        <f>IFERROR(__xludf.DUMMYFUNCTION("""COMPUTED_VALUE"""),"RSC008489")</f>
        <v>RSC008489</v>
      </c>
      <c r="C1066" s="41" t="str">
        <f>IFERROR(__xludf.DUMMYFUNCTION("""COMPUTED_VALUE"""),"nacho_nachos2")</f>
        <v>nacho_nachos2</v>
      </c>
      <c r="D1066" s="41" t="str">
        <f>IFERROR(__xludf.DUMMYFUNCTION("""COMPUTED_VALUE"""),"Bombers")</f>
        <v>Bombers</v>
      </c>
      <c r="E1066" s="41">
        <f>IFERROR(__xludf.DUMMYFUNCTION("""COMPUTED_VALUE"""),2.0)</f>
        <v>2</v>
      </c>
      <c r="F1066" s="41">
        <f>IFERROR(__xludf.DUMMYFUNCTION("""COMPUTED_VALUE"""),750.0)</f>
        <v>750</v>
      </c>
    </row>
    <row r="1067">
      <c r="A1067" s="41" t="b">
        <f>IFERROR(__xludf.DUMMYFUNCTION("""COMPUTED_VALUE"""),TRUE)</f>
        <v>1</v>
      </c>
      <c r="B1067" s="41" t="str">
        <f>IFERROR(__xludf.DUMMYFUNCTION("""COMPUTED_VALUE"""),"RSC008490")</f>
        <v>RSC008490</v>
      </c>
      <c r="C1067" s="41" t="str">
        <f>IFERROR(__xludf.DUMMYFUNCTION("""COMPUTED_VALUE"""),"FrostBeard")</f>
        <v>FrostBeard</v>
      </c>
      <c r="D1067" s="41" t="str">
        <f>IFERROR(__xludf.DUMMYFUNCTION("""COMPUTED_VALUE"""),"Desolation")</f>
        <v>Desolation</v>
      </c>
      <c r="E1067" s="41">
        <f>IFERROR(__xludf.DUMMYFUNCTION("""COMPUTED_VALUE"""),2.0)</f>
        <v>2</v>
      </c>
      <c r="F1067" s="41">
        <f>IFERROR(__xludf.DUMMYFUNCTION("""COMPUTED_VALUE"""),1610.0)</f>
        <v>1610</v>
      </c>
    </row>
    <row r="1068">
      <c r="A1068" s="41" t="b">
        <f>IFERROR(__xludf.DUMMYFUNCTION("""COMPUTED_VALUE"""),TRUE)</f>
        <v>1</v>
      </c>
      <c r="B1068" s="41" t="str">
        <f>IFERROR(__xludf.DUMMYFUNCTION("""COMPUTED_VALUE"""),"RSC008493")</f>
        <v>RSC008493</v>
      </c>
      <c r="C1068" s="41" t="str">
        <f>IFERROR(__xludf.DUMMYFUNCTION("""COMPUTED_VALUE"""),"wntr.")</f>
        <v>wntr.</v>
      </c>
      <c r="D1068" s="41"/>
      <c r="E1068" s="41">
        <f>IFERROR(__xludf.DUMMYFUNCTION("""COMPUTED_VALUE"""),0.0)</f>
        <v>0</v>
      </c>
      <c r="F1068" s="41">
        <f>IFERROR(__xludf.DUMMYFUNCTION("""COMPUTED_VALUE"""),1550.0)</f>
        <v>1550</v>
      </c>
    </row>
    <row r="1069">
      <c r="A1069" s="41" t="b">
        <f>IFERROR(__xludf.DUMMYFUNCTION("""COMPUTED_VALUE"""),TRUE)</f>
        <v>1</v>
      </c>
      <c r="B1069" s="41" t="str">
        <f>IFERROR(__xludf.DUMMYFUNCTION("""COMPUTED_VALUE"""),"RSC008494")</f>
        <v>RSC008494</v>
      </c>
      <c r="C1069" s="41" t="str">
        <f>IFERROR(__xludf.DUMMYFUNCTION("""COMPUTED_VALUE"""),"//Ronx")</f>
        <v>//Ronx</v>
      </c>
      <c r="D1069" s="41" t="str">
        <f>IFERROR(__xludf.DUMMYFUNCTION("""COMPUTED_VALUE"""),"Dread")</f>
        <v>Dread</v>
      </c>
      <c r="E1069" s="41">
        <f>IFERROR(__xludf.DUMMYFUNCTION("""COMPUTED_VALUE"""),2.0)</f>
        <v>2</v>
      </c>
      <c r="F1069" s="41">
        <f>IFERROR(__xludf.DUMMYFUNCTION("""COMPUTED_VALUE"""),1475.0)</f>
        <v>1475</v>
      </c>
    </row>
    <row r="1070">
      <c r="A1070" s="41" t="b">
        <f>IFERROR(__xludf.DUMMYFUNCTION("""COMPUTED_VALUE"""),TRUE)</f>
        <v>1</v>
      </c>
      <c r="B1070" s="41" t="str">
        <f>IFERROR(__xludf.DUMMYFUNCTION("""COMPUTED_VALUE"""),"RSC008495")</f>
        <v>RSC008495</v>
      </c>
      <c r="C1070" s="41" t="str">
        <f>IFERROR(__xludf.DUMMYFUNCTION("""COMPUTED_VALUE"""),".Kao")</f>
        <v>.Kao</v>
      </c>
      <c r="D1070" s="41"/>
      <c r="E1070" s="41">
        <f>IFERROR(__xludf.DUMMYFUNCTION("""COMPUTED_VALUE"""),0.0)</f>
        <v>0</v>
      </c>
      <c r="F1070" s="41">
        <f>IFERROR(__xludf.DUMMYFUNCTION("""COMPUTED_VALUE"""),1445.0)</f>
        <v>1445</v>
      </c>
    </row>
    <row r="1071">
      <c r="A1071" s="41" t="b">
        <f>IFERROR(__xludf.DUMMYFUNCTION("""COMPUTED_VALUE"""),TRUE)</f>
        <v>1</v>
      </c>
      <c r="B1071" s="41" t="str">
        <f>IFERROR(__xludf.DUMMYFUNCTION("""COMPUTED_VALUE"""),"RSC008505")</f>
        <v>RSC008505</v>
      </c>
      <c r="C1071" s="41" t="str">
        <f>IFERROR(__xludf.DUMMYFUNCTION("""COMPUTED_VALUE"""),"SpicyShinobi")</f>
        <v>SpicyShinobi</v>
      </c>
      <c r="D1071" s="41" t="str">
        <f>IFERROR(__xludf.DUMMYFUNCTION("""COMPUTED_VALUE"""),"Grizzly Bears")</f>
        <v>Grizzly Bears</v>
      </c>
      <c r="E1071" s="41">
        <f>IFERROR(__xludf.DUMMYFUNCTION("""COMPUTED_VALUE"""),2.0)</f>
        <v>2</v>
      </c>
      <c r="F1071" s="41">
        <f>IFERROR(__xludf.DUMMYFUNCTION("""COMPUTED_VALUE"""),1445.0)</f>
        <v>1445</v>
      </c>
    </row>
    <row r="1072">
      <c r="A1072" s="41" t="b">
        <f>IFERROR(__xludf.DUMMYFUNCTION("""COMPUTED_VALUE"""),TRUE)</f>
        <v>1</v>
      </c>
      <c r="B1072" s="41" t="str">
        <f>IFERROR(__xludf.DUMMYFUNCTION("""COMPUTED_VALUE"""),"RSC008492")</f>
        <v>RSC008492</v>
      </c>
      <c r="C1072" s="41" t="str">
        <f>IFERROR(__xludf.DUMMYFUNCTION("""COMPUTED_VALUE"""),"Unc_Rez")</f>
        <v>Unc_Rez</v>
      </c>
      <c r="D1072" s="41" t="str">
        <f>IFERROR(__xludf.DUMMYFUNCTION("""COMPUTED_VALUE"""),"Panda Bears")</f>
        <v>Panda Bears</v>
      </c>
      <c r="E1072" s="41">
        <f>IFERROR(__xludf.DUMMYFUNCTION("""COMPUTED_VALUE"""),2.0)</f>
        <v>2</v>
      </c>
      <c r="F1072" s="41">
        <f>IFERROR(__xludf.DUMMYFUNCTION("""COMPUTED_VALUE"""),1095.0)</f>
        <v>1095</v>
      </c>
    </row>
    <row r="1073">
      <c r="A1073" s="41" t="b">
        <f>IFERROR(__xludf.DUMMYFUNCTION("""COMPUTED_VALUE"""),TRUE)</f>
        <v>1</v>
      </c>
      <c r="B1073" s="41" t="str">
        <f>IFERROR(__xludf.DUMMYFUNCTION("""COMPUTED_VALUE"""),"RSC008501")</f>
        <v>RSC008501</v>
      </c>
      <c r="C1073" s="41" t="str">
        <f>IFERROR(__xludf.DUMMYFUNCTION("""COMPUTED_VALUE"""),"Netoven1")</f>
        <v>Netoven1</v>
      </c>
      <c r="D1073" s="41"/>
      <c r="E1073" s="41">
        <f>IFERROR(__xludf.DUMMYFUNCTION("""COMPUTED_VALUE"""),0.0)</f>
        <v>0</v>
      </c>
      <c r="F1073" s="41">
        <f>IFERROR(__xludf.DUMMYFUNCTION("""COMPUTED_VALUE"""),600.0)</f>
        <v>600</v>
      </c>
    </row>
    <row r="1074">
      <c r="A1074" s="41" t="b">
        <f>IFERROR(__xludf.DUMMYFUNCTION("""COMPUTED_VALUE"""),FALSE)</f>
        <v>0</v>
      </c>
      <c r="B1074" s="41" t="str">
        <f>IFERROR(__xludf.DUMMYFUNCTION("""COMPUTED_VALUE"""),"RSC008497")</f>
        <v>RSC008497</v>
      </c>
      <c r="C1074" s="41" t="str">
        <f>IFERROR(__xludf.DUMMYFUNCTION("""COMPUTED_VALUE"""),"sanzo*")</f>
        <v>sanzo*</v>
      </c>
      <c r="D1074" s="41"/>
      <c r="E1074" s="41">
        <f>IFERROR(__xludf.DUMMYFUNCTION("""COMPUTED_VALUE"""),0.0)</f>
        <v>0</v>
      </c>
      <c r="F1074" s="41">
        <f>IFERROR(__xludf.DUMMYFUNCTION("""COMPUTED_VALUE"""),600.0)</f>
        <v>600</v>
      </c>
    </row>
    <row r="1075">
      <c r="A1075" s="41" t="b">
        <f>IFERROR(__xludf.DUMMYFUNCTION("""COMPUTED_VALUE"""),TRUE)</f>
        <v>1</v>
      </c>
      <c r="B1075" s="41" t="str">
        <f>IFERROR(__xludf.DUMMYFUNCTION("""COMPUTED_VALUE"""),"RSC008488")</f>
        <v>RSC008488</v>
      </c>
      <c r="C1075" s="41" t="str">
        <f>IFERROR(__xludf.DUMMYFUNCTION("""COMPUTED_VALUE"""),"J.Boosted")</f>
        <v>J.Boosted</v>
      </c>
      <c r="D1075" s="41" t="str">
        <f>IFERROR(__xludf.DUMMYFUNCTION("""COMPUTED_VALUE"""),"Black-Holes")</f>
        <v>Black-Holes</v>
      </c>
      <c r="E1075" s="41">
        <f>IFERROR(__xludf.DUMMYFUNCTION("""COMPUTED_VALUE"""),2.0)</f>
        <v>2</v>
      </c>
      <c r="F1075" s="41">
        <f>IFERROR(__xludf.DUMMYFUNCTION("""COMPUTED_VALUE"""),1635.0)</f>
        <v>1635</v>
      </c>
    </row>
    <row r="1076">
      <c r="A1076" s="41" t="b">
        <f>IFERROR(__xludf.DUMMYFUNCTION("""COMPUTED_VALUE"""),TRUE)</f>
        <v>1</v>
      </c>
      <c r="B1076" s="41" t="str">
        <f>IFERROR(__xludf.DUMMYFUNCTION("""COMPUTED_VALUE"""),"RSC008502")</f>
        <v>RSC008502</v>
      </c>
      <c r="C1076" s="41" t="str">
        <f>IFERROR(__xludf.DUMMYFUNCTION("""COMPUTED_VALUE"""),"Jetwind17")</f>
        <v>Jetwind17</v>
      </c>
      <c r="D1076" s="41" t="str">
        <f>IFERROR(__xludf.DUMMYFUNCTION("""COMPUTED_VALUE"""),"Heavy Metal")</f>
        <v>Heavy Metal</v>
      </c>
      <c r="E1076" s="41">
        <f>IFERROR(__xludf.DUMMYFUNCTION("""COMPUTED_VALUE"""),2.0)</f>
        <v>2</v>
      </c>
      <c r="F1076" s="41">
        <f>IFERROR(__xludf.DUMMYFUNCTION("""COMPUTED_VALUE"""),1300.0)</f>
        <v>1300</v>
      </c>
    </row>
    <row r="1077">
      <c r="A1077" s="41" t="b">
        <f>IFERROR(__xludf.DUMMYFUNCTION("""COMPUTED_VALUE"""),FALSE)</f>
        <v>0</v>
      </c>
      <c r="B1077" s="41" t="str">
        <f>IFERROR(__xludf.DUMMYFUNCTION("""COMPUTED_VALUE"""),"RSC008499")</f>
        <v>RSC008499</v>
      </c>
      <c r="C1077" s="41" t="str">
        <f>IFERROR(__xludf.DUMMYFUNCTION("""COMPUTED_VALUE"""),"ClipZZ is Here")</f>
        <v>ClipZZ is Here</v>
      </c>
      <c r="D1077" s="41"/>
      <c r="E1077" s="41">
        <f>IFERROR(__xludf.DUMMYFUNCTION("""COMPUTED_VALUE"""),0.0)</f>
        <v>0</v>
      </c>
      <c r="F1077" s="41">
        <f>IFERROR(__xludf.DUMMYFUNCTION("""COMPUTED_VALUE"""),1535.0)</f>
        <v>1535</v>
      </c>
    </row>
    <row r="1078">
      <c r="A1078" s="41" t="b">
        <f>IFERROR(__xludf.DUMMYFUNCTION("""COMPUTED_VALUE"""),FALSE)</f>
        <v>0</v>
      </c>
      <c r="B1078" s="41" t="str">
        <f>IFERROR(__xludf.DUMMYFUNCTION("""COMPUTED_VALUE"""),"RSC008483")</f>
        <v>RSC008483</v>
      </c>
      <c r="C1078" s="41" t="str">
        <f>IFERROR(__xludf.DUMMYFUNCTION("""COMPUTED_VALUE"""),"qwakzrl")</f>
        <v>qwakzrl</v>
      </c>
      <c r="D1078" s="41"/>
      <c r="E1078" s="41">
        <f>IFERROR(__xludf.DUMMYFUNCTION("""COMPUTED_VALUE"""),0.0)</f>
        <v>0</v>
      </c>
      <c r="F1078" s="41">
        <f>IFERROR(__xludf.DUMMYFUNCTION("""COMPUTED_VALUE"""),1375.0)</f>
        <v>1375</v>
      </c>
    </row>
    <row r="1079">
      <c r="A1079" s="41" t="b">
        <f>IFERROR(__xludf.DUMMYFUNCTION("""COMPUTED_VALUE"""),FALSE)</f>
        <v>0</v>
      </c>
      <c r="B1079" s="41" t="str">
        <f>IFERROR(__xludf.DUMMYFUNCTION("""COMPUTED_VALUE"""),"RSC008496")</f>
        <v>RSC008496</v>
      </c>
      <c r="C1079" s="41" t="str">
        <f>IFERROR(__xludf.DUMMYFUNCTION("""COMPUTED_VALUE"""),"GANGSTER.GOOSE")</f>
        <v>GANGSTER.GOOSE</v>
      </c>
      <c r="D1079" s="41"/>
      <c r="E1079" s="41">
        <f>IFERROR(__xludf.DUMMYFUNCTION("""COMPUTED_VALUE"""),0.0)</f>
        <v>0</v>
      </c>
      <c r="F1079" s="41">
        <f>IFERROR(__xludf.DUMMYFUNCTION("""COMPUTED_VALUE"""),1215.0)</f>
        <v>1215</v>
      </c>
    </row>
    <row r="1080">
      <c r="A1080" s="41" t="b">
        <f>IFERROR(__xludf.DUMMYFUNCTION("""COMPUTED_VALUE"""),FALSE)</f>
        <v>0</v>
      </c>
      <c r="B1080" s="41" t="str">
        <f>IFERROR(__xludf.DUMMYFUNCTION("""COMPUTED_VALUE"""),"RSC008514")</f>
        <v>RSC008514</v>
      </c>
      <c r="C1080" s="41" t="str">
        <f>IFERROR(__xludf.DUMMYFUNCTION("""COMPUTED_VALUE"""),"DaReal_GeeQuavo")</f>
        <v>DaReal_GeeQuavo</v>
      </c>
      <c r="D1080" s="41"/>
      <c r="E1080" s="41">
        <f>IFERROR(__xludf.DUMMYFUNCTION("""COMPUTED_VALUE"""),0.0)</f>
        <v>0</v>
      </c>
      <c r="F1080" s="41">
        <f>IFERROR(__xludf.DUMMYFUNCTION("""COMPUTED_VALUE"""),1090.0)</f>
        <v>1090</v>
      </c>
    </row>
    <row r="1081">
      <c r="A1081" s="41" t="b">
        <f>IFERROR(__xludf.DUMMYFUNCTION("""COMPUTED_VALUE"""),TRUE)</f>
        <v>1</v>
      </c>
      <c r="B1081" s="41" t="str">
        <f>IFERROR(__xludf.DUMMYFUNCTION("""COMPUTED_VALUE"""),"RSC008509")</f>
        <v>RSC008509</v>
      </c>
      <c r="C1081" s="41" t="str">
        <f>IFERROR(__xludf.DUMMYFUNCTION("""COMPUTED_VALUE"""),"Visoka")</f>
        <v>Visoka</v>
      </c>
      <c r="D1081" s="41"/>
      <c r="E1081" s="41">
        <f>IFERROR(__xludf.DUMMYFUNCTION("""COMPUTED_VALUE"""),0.0)</f>
        <v>0</v>
      </c>
      <c r="F1081" s="41">
        <f>IFERROR(__xludf.DUMMYFUNCTION("""COMPUTED_VALUE"""),1455.0)</f>
        <v>1455</v>
      </c>
    </row>
    <row r="1082">
      <c r="A1082" s="41" t="b">
        <f>IFERROR(__xludf.DUMMYFUNCTION("""COMPUTED_VALUE"""),FALSE)</f>
        <v>0</v>
      </c>
      <c r="B1082" s="41" t="str">
        <f>IFERROR(__xludf.DUMMYFUNCTION("""COMPUTED_VALUE"""),"RSC008510")</f>
        <v>RSC008510</v>
      </c>
      <c r="C1082" s="41" t="str">
        <f>IFERROR(__xludf.DUMMYFUNCTION("""COMPUTED_VALUE"""),"ninja22000099")</f>
        <v>ninja22000099</v>
      </c>
      <c r="D1082" s="41"/>
      <c r="E1082" s="41">
        <f>IFERROR(__xludf.DUMMYFUNCTION("""COMPUTED_VALUE"""),0.0)</f>
        <v>0</v>
      </c>
      <c r="F1082" s="41">
        <f>IFERROR(__xludf.DUMMYFUNCTION("""COMPUTED_VALUE"""),1280.0)</f>
        <v>1280</v>
      </c>
    </row>
    <row r="1083">
      <c r="A1083" s="41" t="b">
        <f>IFERROR(__xludf.DUMMYFUNCTION("""COMPUTED_VALUE"""),TRUE)</f>
        <v>1</v>
      </c>
      <c r="B1083" s="41" t="str">
        <f>IFERROR(__xludf.DUMMYFUNCTION("""COMPUTED_VALUE"""),"RSC008524")</f>
        <v>RSC008524</v>
      </c>
      <c r="C1083" s="41" t="str">
        <f>IFERROR(__xludf.DUMMYFUNCTION("""COMPUTED_VALUE"""),"ṽex")</f>
        <v>ṽex</v>
      </c>
      <c r="D1083" s="41" t="str">
        <f>IFERROR(__xludf.DUMMYFUNCTION("""COMPUTED_VALUE"""),"Singularity")</f>
        <v>Singularity</v>
      </c>
      <c r="E1083" s="41">
        <f>IFERROR(__xludf.DUMMYFUNCTION("""COMPUTED_VALUE"""),2.0)</f>
        <v>2</v>
      </c>
      <c r="F1083" s="41">
        <f>IFERROR(__xludf.DUMMYFUNCTION("""COMPUTED_VALUE"""),1440.0)</f>
        <v>1440</v>
      </c>
    </row>
    <row r="1084">
      <c r="A1084" s="41" t="b">
        <f>IFERROR(__xludf.DUMMYFUNCTION("""COMPUTED_VALUE"""),TRUE)</f>
        <v>1</v>
      </c>
      <c r="B1084" s="41" t="str">
        <f>IFERROR(__xludf.DUMMYFUNCTION("""COMPUTED_VALUE"""),"RSC008515")</f>
        <v>RSC008515</v>
      </c>
      <c r="C1084" s="41" t="str">
        <f>IFERROR(__xludf.DUMMYFUNCTION("""COMPUTED_VALUE"""),"Joeyloadingg")</f>
        <v>Joeyloadingg</v>
      </c>
      <c r="D1084" s="41"/>
      <c r="E1084" s="41">
        <f>IFERROR(__xludf.DUMMYFUNCTION("""COMPUTED_VALUE"""),0.0)</f>
        <v>0</v>
      </c>
      <c r="F1084" s="41">
        <f>IFERROR(__xludf.DUMMYFUNCTION("""COMPUTED_VALUE"""),1480.0)</f>
        <v>1480</v>
      </c>
    </row>
    <row r="1085">
      <c r="A1085" s="41" t="b">
        <f>IFERROR(__xludf.DUMMYFUNCTION("""COMPUTED_VALUE"""),TRUE)</f>
        <v>1</v>
      </c>
      <c r="B1085" s="41" t="str">
        <f>IFERROR(__xludf.DUMMYFUNCTION("""COMPUTED_VALUE"""),"RSC008525")</f>
        <v>RSC008525</v>
      </c>
      <c r="C1085" s="41" t="str">
        <f>IFERROR(__xludf.DUMMYFUNCTION("""COMPUTED_VALUE"""),"tjdubya21")</f>
        <v>tjdubya21</v>
      </c>
      <c r="D1085" s="41" t="str">
        <f>IFERROR(__xludf.DUMMYFUNCTION("""COMPUTED_VALUE"""),"Praetorian Guard")</f>
        <v>Praetorian Guard</v>
      </c>
      <c r="E1085" s="41">
        <f>IFERROR(__xludf.DUMMYFUNCTION("""COMPUTED_VALUE"""),2.0)</f>
        <v>2</v>
      </c>
      <c r="F1085" s="41">
        <f>IFERROR(__xludf.DUMMYFUNCTION("""COMPUTED_VALUE"""),1580.0)</f>
        <v>1580</v>
      </c>
    </row>
    <row r="1086">
      <c r="A1086" s="41" t="b">
        <f>IFERROR(__xludf.DUMMYFUNCTION("""COMPUTED_VALUE"""),FALSE)</f>
        <v>0</v>
      </c>
      <c r="B1086" s="41" t="str">
        <f>IFERROR(__xludf.DUMMYFUNCTION("""COMPUTED_VALUE"""),"RSC008511")</f>
        <v>RSC008511</v>
      </c>
      <c r="C1086" s="41" t="str">
        <f>IFERROR(__xludf.DUMMYFUNCTION("""COMPUTED_VALUE"""),"Jennie")</f>
        <v>Jennie</v>
      </c>
      <c r="D1086" s="41"/>
      <c r="E1086" s="41">
        <f>IFERROR(__xludf.DUMMYFUNCTION("""COMPUTED_VALUE"""),0.0)</f>
        <v>0</v>
      </c>
      <c r="F1086" s="41">
        <f>IFERROR(__xludf.DUMMYFUNCTION("""COMPUTED_VALUE"""),600.0)</f>
        <v>600</v>
      </c>
    </row>
    <row r="1087">
      <c r="A1087" s="41" t="b">
        <f>IFERROR(__xludf.DUMMYFUNCTION("""COMPUTED_VALUE"""),FALSE)</f>
        <v>0</v>
      </c>
      <c r="B1087" s="41" t="str">
        <f>IFERROR(__xludf.DUMMYFUNCTION("""COMPUTED_VALUE"""),"RSC008516")</f>
        <v>RSC008516</v>
      </c>
      <c r="C1087" s="41" t="str">
        <f>IFERROR(__xludf.DUMMYFUNCTION("""COMPUTED_VALUE"""),"arodjr06")</f>
        <v>arodjr06</v>
      </c>
      <c r="D1087" s="41"/>
      <c r="E1087" s="41">
        <f>IFERROR(__xludf.DUMMYFUNCTION("""COMPUTED_VALUE"""),0.0)</f>
        <v>0</v>
      </c>
      <c r="F1087" s="41">
        <f>IFERROR(__xludf.DUMMYFUNCTION("""COMPUTED_VALUE"""),1410.0)</f>
        <v>1410</v>
      </c>
    </row>
    <row r="1088">
      <c r="A1088" s="41" t="b">
        <f>IFERROR(__xludf.DUMMYFUNCTION("""COMPUTED_VALUE"""),FALSE)</f>
        <v>0</v>
      </c>
      <c r="B1088" s="41" t="str">
        <f>IFERROR(__xludf.DUMMYFUNCTION("""COMPUTED_VALUE"""),"RSC008526")</f>
        <v>RSC008526</v>
      </c>
      <c r="C1088" s="41" t="str">
        <f>IFERROR(__xludf.DUMMYFUNCTION("""COMPUTED_VALUE"""),"Benny Toes")</f>
        <v>Benny Toes</v>
      </c>
      <c r="D1088" s="41"/>
      <c r="E1088" s="41">
        <f>IFERROR(__xludf.DUMMYFUNCTION("""COMPUTED_VALUE"""),0.0)</f>
        <v>0</v>
      </c>
      <c r="F1088" s="41">
        <f>IFERROR(__xludf.DUMMYFUNCTION("""COMPUTED_VALUE"""),1280.0)</f>
        <v>1280</v>
      </c>
    </row>
    <row r="1089">
      <c r="A1089" s="41" t="b">
        <f>IFERROR(__xludf.DUMMYFUNCTION("""COMPUTED_VALUE"""),TRUE)</f>
        <v>1</v>
      </c>
      <c r="B1089" s="41" t="str">
        <f>IFERROR(__xludf.DUMMYFUNCTION("""COMPUTED_VALUE"""),"RSC008519")</f>
        <v>RSC008519</v>
      </c>
      <c r="C1089" s="41" t="str">
        <f>IFERROR(__xludf.DUMMYFUNCTION("""COMPUTED_VALUE"""),"Juice_loffi")</f>
        <v>Juice_loffi</v>
      </c>
      <c r="D1089" s="41" t="str">
        <f>IFERROR(__xludf.DUMMYFUNCTION("""COMPUTED_VALUE"""),"Teddy Bears")</f>
        <v>Teddy Bears</v>
      </c>
      <c r="E1089" s="41">
        <f>IFERROR(__xludf.DUMMYFUNCTION("""COMPUTED_VALUE"""),2.0)</f>
        <v>2</v>
      </c>
      <c r="F1089" s="41">
        <f>IFERROR(__xludf.DUMMYFUNCTION("""COMPUTED_VALUE"""),1525.0)</f>
        <v>1525</v>
      </c>
    </row>
    <row r="1090">
      <c r="A1090" s="41" t="b">
        <f>IFERROR(__xludf.DUMMYFUNCTION("""COMPUTED_VALUE"""),TRUE)</f>
        <v>1</v>
      </c>
      <c r="B1090" s="41" t="str">
        <f>IFERROR(__xludf.DUMMYFUNCTION("""COMPUTED_VALUE"""),"RSC008520")</f>
        <v>RSC008520</v>
      </c>
      <c r="C1090" s="41" t="str">
        <f>IFERROR(__xludf.DUMMYFUNCTION("""COMPUTED_VALUE"""),"GWSmith")</f>
        <v>GWSmith</v>
      </c>
      <c r="D1090" s="41"/>
      <c r="E1090" s="41">
        <f>IFERROR(__xludf.DUMMYFUNCTION("""COMPUTED_VALUE"""),0.0)</f>
        <v>0</v>
      </c>
      <c r="F1090" s="41">
        <f>IFERROR(__xludf.DUMMYFUNCTION("""COMPUTED_VALUE"""),750.0)</f>
        <v>750</v>
      </c>
    </row>
    <row r="1091">
      <c r="A1091" s="41" t="b">
        <f>IFERROR(__xludf.DUMMYFUNCTION("""COMPUTED_VALUE"""),TRUE)</f>
        <v>1</v>
      </c>
      <c r="B1091" s="41" t="str">
        <f>IFERROR(__xludf.DUMMYFUNCTION("""COMPUTED_VALUE"""),"RSC008521")</f>
        <v>RSC008521</v>
      </c>
      <c r="C1091" s="41" t="str">
        <f>IFERROR(__xludf.DUMMYFUNCTION("""COMPUTED_VALUE"""),"Shmuffinman")</f>
        <v>Shmuffinman</v>
      </c>
      <c r="D1091" s="41"/>
      <c r="E1091" s="41">
        <f>IFERROR(__xludf.DUMMYFUNCTION("""COMPUTED_VALUE"""),0.0)</f>
        <v>0</v>
      </c>
      <c r="F1091" s="41">
        <f>IFERROR(__xludf.DUMMYFUNCTION("""COMPUTED_VALUE"""),860.0)</f>
        <v>860</v>
      </c>
    </row>
    <row r="1092">
      <c r="A1092" s="41" t="b">
        <f>IFERROR(__xludf.DUMMYFUNCTION("""COMPUTED_VALUE"""),TRUE)</f>
        <v>1</v>
      </c>
      <c r="B1092" s="41" t="str">
        <f>IFERROR(__xludf.DUMMYFUNCTION("""COMPUTED_VALUE"""),"RSC008522")</f>
        <v>RSC008522</v>
      </c>
      <c r="C1092" s="41" t="str">
        <f>IFERROR(__xludf.DUMMYFUNCTION("""COMPUTED_VALUE"""),"tysonmaint")</f>
        <v>tysonmaint</v>
      </c>
      <c r="D1092" s="41"/>
      <c r="E1092" s="41">
        <f>IFERROR(__xludf.DUMMYFUNCTION("""COMPUTED_VALUE"""),0.0)</f>
        <v>0</v>
      </c>
      <c r="F1092" s="41">
        <f>IFERROR(__xludf.DUMMYFUNCTION("""COMPUTED_VALUE"""),1050.0)</f>
        <v>1050</v>
      </c>
    </row>
    <row r="1093">
      <c r="A1093" s="41" t="b">
        <f>IFERROR(__xludf.DUMMYFUNCTION("""COMPUTED_VALUE"""),FALSE)</f>
        <v>0</v>
      </c>
      <c r="B1093" s="41" t="str">
        <f>IFERROR(__xludf.DUMMYFUNCTION("""COMPUTED_VALUE"""),"RSC008512")</f>
        <v>RSC008512</v>
      </c>
      <c r="C1093" s="41" t="str">
        <f>IFERROR(__xludf.DUMMYFUNCTION("""COMPUTED_VALUE"""),"ACatLegacy")</f>
        <v>ACatLegacy</v>
      </c>
      <c r="D1093" s="41"/>
      <c r="E1093" s="41">
        <f>IFERROR(__xludf.DUMMYFUNCTION("""COMPUTED_VALUE"""),0.0)</f>
        <v>0</v>
      </c>
      <c r="F1093" s="41">
        <f>IFERROR(__xludf.DUMMYFUNCTION("""COMPUTED_VALUE"""),600.0)</f>
        <v>600</v>
      </c>
    </row>
    <row r="1094">
      <c r="A1094" s="41" t="b">
        <f>IFERROR(__xludf.DUMMYFUNCTION("""COMPUTED_VALUE"""),TRUE)</f>
        <v>1</v>
      </c>
      <c r="B1094" s="41" t="str">
        <f>IFERROR(__xludf.DUMMYFUNCTION("""COMPUTED_VALUE"""),"RSC008517")</f>
        <v>RSC008517</v>
      </c>
      <c r="C1094" s="41" t="str">
        <f>IFERROR(__xludf.DUMMYFUNCTION("""COMPUTED_VALUE"""),"MOX jori")</f>
        <v>MOX jori</v>
      </c>
      <c r="D1094" s="41" t="str">
        <f>IFERROR(__xludf.DUMMYFUNCTION("""COMPUTED_VALUE"""),"Kitsune")</f>
        <v>Kitsune</v>
      </c>
      <c r="E1094" s="41">
        <f>IFERROR(__xludf.DUMMYFUNCTION("""COMPUTED_VALUE"""),2.0)</f>
        <v>2</v>
      </c>
      <c r="F1094" s="41">
        <f>IFERROR(__xludf.DUMMYFUNCTION("""COMPUTED_VALUE"""),1325.0)</f>
        <v>1325</v>
      </c>
    </row>
    <row r="1095">
      <c r="A1095" s="41" t="b">
        <f>IFERROR(__xludf.DUMMYFUNCTION("""COMPUTED_VALUE"""),FALSE)</f>
        <v>0</v>
      </c>
      <c r="B1095" s="41" t="str">
        <f>IFERROR(__xludf.DUMMYFUNCTION("""COMPUTED_VALUE"""),"RSC008482")</f>
        <v>RSC008482</v>
      </c>
      <c r="C1095" s="41" t="str">
        <f>IFERROR(__xludf.DUMMYFUNCTION("""COMPUTED_VALUE"""),"the coolest to ever do it")</f>
        <v>the coolest to ever do it</v>
      </c>
      <c r="D1095" s="41"/>
      <c r="E1095" s="41">
        <f>IFERROR(__xludf.DUMMYFUNCTION("""COMPUTED_VALUE"""),0.0)</f>
        <v>0</v>
      </c>
      <c r="F1095" s="41">
        <f>IFERROR(__xludf.DUMMYFUNCTION("""COMPUTED_VALUE"""),600.0)</f>
        <v>600</v>
      </c>
    </row>
    <row r="1096">
      <c r="A1096" s="41" t="b">
        <f>IFERROR(__xludf.DUMMYFUNCTION("""COMPUTED_VALUE"""),TRUE)</f>
        <v>1</v>
      </c>
      <c r="B1096" s="41" t="str">
        <f>IFERROR(__xludf.DUMMYFUNCTION("""COMPUTED_VALUE"""),"RSC008507")</f>
        <v>RSC008507</v>
      </c>
      <c r="C1096" s="41" t="str">
        <f>IFERROR(__xludf.DUMMYFUNCTION("""COMPUTED_VALUE"""),"Unc Jeebs")</f>
        <v>Unc Jeebs</v>
      </c>
      <c r="D1096" s="41" t="str">
        <f>IFERROR(__xludf.DUMMYFUNCTION("""COMPUTED_VALUE"""),"Lacuna")</f>
        <v>Lacuna</v>
      </c>
      <c r="E1096" s="41">
        <f>IFERROR(__xludf.DUMMYFUNCTION("""COMPUTED_VALUE"""),2.0)</f>
        <v>2</v>
      </c>
      <c r="F1096" s="41">
        <f>IFERROR(__xludf.DUMMYFUNCTION("""COMPUTED_VALUE"""),1265.0)</f>
        <v>1265</v>
      </c>
    </row>
    <row r="1097">
      <c r="A1097" s="41" t="b">
        <f>IFERROR(__xludf.DUMMYFUNCTION("""COMPUTED_VALUE"""),TRUE)</f>
        <v>1</v>
      </c>
      <c r="B1097" s="41" t="str">
        <f>IFERROR(__xludf.DUMMYFUNCTION("""COMPUTED_VALUE"""),"RSC008596")</f>
        <v>RSC008596</v>
      </c>
      <c r="C1097" s="41" t="str">
        <f>IFERROR(__xludf.DUMMYFUNCTION("""COMPUTED_VALUE"""),"TikTokChanse")</f>
        <v>TikTokChanse</v>
      </c>
      <c r="D1097" s="41"/>
      <c r="E1097" s="41">
        <f>IFERROR(__xludf.DUMMYFUNCTION("""COMPUTED_VALUE"""),0.0)</f>
        <v>0</v>
      </c>
      <c r="F1097" s="41">
        <f>IFERROR(__xludf.DUMMYFUNCTION("""COMPUTED_VALUE"""),1585.0)</f>
        <v>1585</v>
      </c>
    </row>
    <row r="1098">
      <c r="A1098" s="41" t="b">
        <f>IFERROR(__xludf.DUMMYFUNCTION("""COMPUTED_VALUE"""),TRUE)</f>
        <v>1</v>
      </c>
      <c r="B1098" s="41" t="str">
        <f>IFERROR(__xludf.DUMMYFUNCTION("""COMPUTED_VALUE"""),"RSC008518")</f>
        <v>RSC008518</v>
      </c>
      <c r="C1098" s="41" t="str">
        <f>IFERROR(__xludf.DUMMYFUNCTION("""COMPUTED_VALUE"""),"luckyraizz")</f>
        <v>luckyraizz</v>
      </c>
      <c r="D1098" s="41"/>
      <c r="E1098" s="41">
        <f>IFERROR(__xludf.DUMMYFUNCTION("""COMPUTED_VALUE"""),0.0)</f>
        <v>0</v>
      </c>
      <c r="F1098" s="41">
        <f>IFERROR(__xludf.DUMMYFUNCTION("""COMPUTED_VALUE"""),1215.0)</f>
        <v>1215</v>
      </c>
    </row>
    <row r="1099">
      <c r="A1099" s="41" t="b">
        <f>IFERROR(__xludf.DUMMYFUNCTION("""COMPUTED_VALUE"""),TRUE)</f>
        <v>1</v>
      </c>
      <c r="B1099" s="41" t="str">
        <f>IFERROR(__xludf.DUMMYFUNCTION("""COMPUTED_VALUE"""),"RSC008651")</f>
        <v>RSC008651</v>
      </c>
      <c r="C1099" s="41" t="str">
        <f>IFERROR(__xludf.DUMMYFUNCTION("""COMPUTED_VALUE"""),"DefDigit")</f>
        <v>DefDigit</v>
      </c>
      <c r="D1099" s="41"/>
      <c r="E1099" s="41">
        <f>IFERROR(__xludf.DUMMYFUNCTION("""COMPUTED_VALUE"""),0.0)</f>
        <v>0</v>
      </c>
      <c r="F1099" s="41">
        <f>IFERROR(__xludf.DUMMYFUNCTION("""COMPUTED_VALUE"""),600.0)</f>
        <v>600</v>
      </c>
    </row>
    <row r="1100">
      <c r="A1100" s="41" t="b">
        <f>IFERROR(__xludf.DUMMYFUNCTION("""COMPUTED_VALUE"""),TRUE)</f>
        <v>1</v>
      </c>
      <c r="B1100" s="41" t="str">
        <f>IFERROR(__xludf.DUMMYFUNCTION("""COMPUTED_VALUE"""),"RSC008537")</f>
        <v>RSC008537</v>
      </c>
      <c r="C1100" s="41" t="str">
        <f>IFERROR(__xludf.DUMMYFUNCTION("""COMPUTED_VALUE"""),"SirSqwilly")</f>
        <v>SirSqwilly</v>
      </c>
      <c r="D1100" s="41" t="str">
        <f>IFERROR(__xludf.DUMMYFUNCTION("""COMPUTED_VALUE"""),"Ocelots")</f>
        <v>Ocelots</v>
      </c>
      <c r="E1100" s="41">
        <f>IFERROR(__xludf.DUMMYFUNCTION("""COMPUTED_VALUE"""),2.0)</f>
        <v>2</v>
      </c>
      <c r="F1100" s="41">
        <f>IFERROR(__xludf.DUMMYFUNCTION("""COMPUTED_VALUE"""),1370.0)</f>
        <v>1370</v>
      </c>
    </row>
    <row r="1101">
      <c r="A1101" s="41" t="b">
        <f>IFERROR(__xludf.DUMMYFUNCTION("""COMPUTED_VALUE"""),TRUE)</f>
        <v>1</v>
      </c>
      <c r="B1101" s="41" t="str">
        <f>IFERROR(__xludf.DUMMYFUNCTION("""COMPUTED_VALUE"""),"RSC008528")</f>
        <v>RSC008528</v>
      </c>
      <c r="C1101" s="41" t="str">
        <f>IFERROR(__xludf.DUMMYFUNCTION("""COMPUTED_VALUE"""),"Nonchalant Car")</f>
        <v>Nonchalant Car</v>
      </c>
      <c r="D1101" s="41"/>
      <c r="E1101" s="41">
        <f>IFERROR(__xludf.DUMMYFUNCTION("""COMPUTED_VALUE"""),0.0)</f>
        <v>0</v>
      </c>
      <c r="F1101" s="41">
        <f>IFERROR(__xludf.DUMMYFUNCTION("""COMPUTED_VALUE"""),1595.0)</f>
        <v>1595</v>
      </c>
    </row>
    <row r="1102">
      <c r="A1102" s="41" t="b">
        <f>IFERROR(__xludf.DUMMYFUNCTION("""COMPUTED_VALUE"""),TRUE)</f>
        <v>1</v>
      </c>
      <c r="B1102" s="41" t="str">
        <f>IFERROR(__xludf.DUMMYFUNCTION("""COMPUTED_VALUE"""),"RSC008549")</f>
        <v>RSC008549</v>
      </c>
      <c r="C1102" s="41" t="str">
        <f>IFERROR(__xludf.DUMMYFUNCTION("""COMPUTED_VALUE"""),"Eat Tee")</f>
        <v>Eat Tee</v>
      </c>
      <c r="D1102" s="41"/>
      <c r="E1102" s="41">
        <f>IFERROR(__xludf.DUMMYFUNCTION("""COMPUTED_VALUE"""),0.0)</f>
        <v>0</v>
      </c>
      <c r="F1102" s="41">
        <f>IFERROR(__xludf.DUMMYFUNCTION("""COMPUTED_VALUE"""),1175.0)</f>
        <v>1175</v>
      </c>
    </row>
    <row r="1103">
      <c r="A1103" s="41" t="b">
        <f>IFERROR(__xludf.DUMMYFUNCTION("""COMPUTED_VALUE"""),TRUE)</f>
        <v>1</v>
      </c>
      <c r="B1103" s="41" t="str">
        <f>IFERROR(__xludf.DUMMYFUNCTION("""COMPUTED_VALUE"""),"RSC008546")</f>
        <v>RSC008546</v>
      </c>
      <c r="C1103" s="41" t="str">
        <f>IFERROR(__xludf.DUMMYFUNCTION("""COMPUTED_VALUE"""),"ItzXoid")</f>
        <v>ItzXoid</v>
      </c>
      <c r="D1103" s="41"/>
      <c r="E1103" s="41">
        <f>IFERROR(__xludf.DUMMYFUNCTION("""COMPUTED_VALUE"""),0.0)</f>
        <v>0</v>
      </c>
      <c r="F1103" s="41">
        <f>IFERROR(__xludf.DUMMYFUNCTION("""COMPUTED_VALUE"""),1320.0)</f>
        <v>1320</v>
      </c>
    </row>
    <row r="1104">
      <c r="A1104" s="41" t="b">
        <f>IFERROR(__xludf.DUMMYFUNCTION("""COMPUTED_VALUE"""),FALSE)</f>
        <v>0</v>
      </c>
      <c r="B1104" s="41" t="str">
        <f>IFERROR(__xludf.DUMMYFUNCTION("""COMPUTED_VALUE"""),"RSC008547")</f>
        <v>RSC008547</v>
      </c>
      <c r="C1104" s="41" t="str">
        <f>IFERROR(__xludf.DUMMYFUNCTION("""COMPUTED_VALUE"""),"Hypercube4")</f>
        <v>Hypercube4</v>
      </c>
      <c r="D1104" s="41"/>
      <c r="E1104" s="41">
        <f>IFERROR(__xludf.DUMMYFUNCTION("""COMPUTED_VALUE"""),0.0)</f>
        <v>0</v>
      </c>
      <c r="F1104" s="41">
        <f>IFERROR(__xludf.DUMMYFUNCTION("""COMPUTED_VALUE"""),600.0)</f>
        <v>600</v>
      </c>
    </row>
    <row r="1105">
      <c r="A1105" s="41" t="b">
        <f>IFERROR(__xludf.DUMMYFUNCTION("""COMPUTED_VALUE"""),TRUE)</f>
        <v>1</v>
      </c>
      <c r="B1105" s="41" t="str">
        <f>IFERROR(__xludf.DUMMYFUNCTION("""COMPUTED_VALUE"""),"RSC008530")</f>
        <v>RSC008530</v>
      </c>
      <c r="C1105" s="41" t="str">
        <f>IFERROR(__xludf.DUMMYFUNCTION("""COMPUTED_VALUE"""),"Y-3 WEH")</f>
        <v>Y-3 WEH</v>
      </c>
      <c r="D1105" s="41"/>
      <c r="E1105" s="41">
        <f>IFERROR(__xludf.DUMMYFUNCTION("""COMPUTED_VALUE"""),0.0)</f>
        <v>0</v>
      </c>
      <c r="F1105" s="41">
        <f>IFERROR(__xludf.DUMMYFUNCTION("""COMPUTED_VALUE"""),1430.0)</f>
        <v>1430</v>
      </c>
    </row>
    <row r="1106">
      <c r="A1106" s="41" t="b">
        <f>IFERROR(__xludf.DUMMYFUNCTION("""COMPUTED_VALUE"""),FALSE)</f>
        <v>0</v>
      </c>
      <c r="B1106" s="41" t="str">
        <f>IFERROR(__xludf.DUMMYFUNCTION("""COMPUTED_VALUE"""),"RSC008266")</f>
        <v>RSC008266</v>
      </c>
      <c r="C1106" s="41" t="str">
        <f>IFERROR(__xludf.DUMMYFUNCTION("""COMPUTED_VALUE"""),"Beerwasmadeforme")</f>
        <v>Beerwasmadeforme</v>
      </c>
      <c r="D1106" s="41"/>
      <c r="E1106" s="41">
        <f>IFERROR(__xludf.DUMMYFUNCTION("""COMPUTED_VALUE"""),0.0)</f>
        <v>0</v>
      </c>
      <c r="F1106" s="41">
        <f>IFERROR(__xludf.DUMMYFUNCTION("""COMPUTED_VALUE"""),1230.0)</f>
        <v>1230</v>
      </c>
    </row>
    <row r="1107">
      <c r="A1107" s="41" t="b">
        <f>IFERROR(__xludf.DUMMYFUNCTION("""COMPUTED_VALUE"""),FALSE)</f>
        <v>0</v>
      </c>
      <c r="B1107" s="41" t="str">
        <f>IFERROR(__xludf.DUMMYFUNCTION("""COMPUTED_VALUE"""),"RSC008513")</f>
        <v>RSC008513</v>
      </c>
      <c r="C1107" s="41" t="str">
        <f>IFERROR(__xludf.DUMMYFUNCTION("""COMPUTED_VALUE"""),"sigms")</f>
        <v>sigms</v>
      </c>
      <c r="D1107" s="41"/>
      <c r="E1107" s="41">
        <f>IFERROR(__xludf.DUMMYFUNCTION("""COMPUTED_VALUE"""),0.0)</f>
        <v>0</v>
      </c>
      <c r="F1107" s="41">
        <f>IFERROR(__xludf.DUMMYFUNCTION("""COMPUTED_VALUE"""),1880.0)</f>
        <v>1880</v>
      </c>
    </row>
    <row r="1108">
      <c r="A1108" s="41" t="b">
        <f>IFERROR(__xludf.DUMMYFUNCTION("""COMPUTED_VALUE"""),TRUE)</f>
        <v>1</v>
      </c>
      <c r="B1108" s="41" t="str">
        <f>IFERROR(__xludf.DUMMYFUNCTION("""COMPUTED_VALUE"""),"RSC008540")</f>
        <v>RSC008540</v>
      </c>
      <c r="C1108" s="41" t="str">
        <f>IFERROR(__xludf.DUMMYFUNCTION("""COMPUTED_VALUE"""),"GG K-9")</f>
        <v>GG K-9</v>
      </c>
      <c r="D1108" s="41" t="str">
        <f>IFERROR(__xludf.DUMMYFUNCTION("""COMPUTED_VALUE"""),"Havarti Hustlers")</f>
        <v>Havarti Hustlers</v>
      </c>
      <c r="E1108" s="41">
        <f>IFERROR(__xludf.DUMMYFUNCTION("""COMPUTED_VALUE"""),2.0)</f>
        <v>2</v>
      </c>
      <c r="F1108" s="41">
        <f>IFERROR(__xludf.DUMMYFUNCTION("""COMPUTED_VALUE"""),1195.0)</f>
        <v>1195</v>
      </c>
    </row>
    <row r="1109">
      <c r="A1109" s="41" t="b">
        <f>IFERROR(__xludf.DUMMYFUNCTION("""COMPUTED_VALUE"""),TRUE)</f>
        <v>1</v>
      </c>
      <c r="B1109" s="41" t="str">
        <f>IFERROR(__xludf.DUMMYFUNCTION("""COMPUTED_VALUE"""),"RSC008527")</f>
        <v>RSC008527</v>
      </c>
      <c r="C1109" s="41" t="str">
        <f>IFERROR(__xludf.DUMMYFUNCTION("""COMPUTED_VALUE"""),"HouseHoldNugg")</f>
        <v>HouseHoldNugg</v>
      </c>
      <c r="D1109" s="41"/>
      <c r="E1109" s="41">
        <f>IFERROR(__xludf.DUMMYFUNCTION("""COMPUTED_VALUE"""),0.0)</f>
        <v>0</v>
      </c>
      <c r="F1109" s="41">
        <f>IFERROR(__xludf.DUMMYFUNCTION("""COMPUTED_VALUE"""),1445.0)</f>
        <v>1445</v>
      </c>
    </row>
    <row r="1110">
      <c r="A1110" s="41" t="b">
        <f>IFERROR(__xludf.DUMMYFUNCTION("""COMPUTED_VALUE"""),TRUE)</f>
        <v>1</v>
      </c>
      <c r="B1110" s="41" t="str">
        <f>IFERROR(__xludf.DUMMYFUNCTION("""COMPUTED_VALUE"""),"RSC008533")</f>
        <v>RSC008533</v>
      </c>
      <c r="C1110" s="41" t="str">
        <f>IFERROR(__xludf.DUMMYFUNCTION("""COMPUTED_VALUE"""),"Malik_P4")</f>
        <v>Malik_P4</v>
      </c>
      <c r="D1110" s="41" t="str">
        <f>IFERROR(__xludf.DUMMYFUNCTION("""COMPUTED_VALUE"""),"Lightning")</f>
        <v>Lightning</v>
      </c>
      <c r="E1110" s="41">
        <f>IFERROR(__xludf.DUMMYFUNCTION("""COMPUTED_VALUE"""),2.0)</f>
        <v>2</v>
      </c>
      <c r="F1110" s="41">
        <f>IFERROR(__xludf.DUMMYFUNCTION("""COMPUTED_VALUE"""),1360.0)</f>
        <v>1360</v>
      </c>
    </row>
    <row r="1111">
      <c r="A1111" s="41" t="b">
        <f>IFERROR(__xludf.DUMMYFUNCTION("""COMPUTED_VALUE"""),TRUE)</f>
        <v>1</v>
      </c>
      <c r="B1111" s="41" t="str">
        <f>IFERROR(__xludf.DUMMYFUNCTION("""COMPUTED_VALUE"""),"RSC008539")</f>
        <v>RSC008539</v>
      </c>
      <c r="C1111" s="41" t="str">
        <f>IFERROR(__xludf.DUMMYFUNCTION("""COMPUTED_VALUE"""),"Shune.")</f>
        <v>Shune.</v>
      </c>
      <c r="D1111" s="41" t="str">
        <f>IFERROR(__xludf.DUMMYFUNCTION("""COMPUTED_VALUE"""),"Battle Masters")</f>
        <v>Battle Masters</v>
      </c>
      <c r="E1111" s="41">
        <f>IFERROR(__xludf.DUMMYFUNCTION("""COMPUTED_VALUE"""),2.0)</f>
        <v>2</v>
      </c>
      <c r="F1111" s="41">
        <f>IFERROR(__xludf.DUMMYFUNCTION("""COMPUTED_VALUE"""),1745.0)</f>
        <v>1745</v>
      </c>
    </row>
    <row r="1112">
      <c r="A1112" s="41" t="b">
        <f>IFERROR(__xludf.DUMMYFUNCTION("""COMPUTED_VALUE"""),TRUE)</f>
        <v>1</v>
      </c>
      <c r="B1112" s="41" t="str">
        <f>IFERROR(__xludf.DUMMYFUNCTION("""COMPUTED_VALUE"""),"RSC008536")</f>
        <v>RSC008536</v>
      </c>
      <c r="C1112" s="41" t="str">
        <f>IFERROR(__xludf.DUMMYFUNCTION("""COMPUTED_VALUE"""),"Synbad-")</f>
        <v>Synbad-</v>
      </c>
      <c r="D1112" s="41" t="str">
        <f>IFERROR(__xludf.DUMMYFUNCTION("""COMPUTED_VALUE"""),"Peppermint")</f>
        <v>Peppermint</v>
      </c>
      <c r="E1112" s="41">
        <f>IFERROR(__xludf.DUMMYFUNCTION("""COMPUTED_VALUE"""),2.0)</f>
        <v>2</v>
      </c>
      <c r="F1112" s="41">
        <f>IFERROR(__xludf.DUMMYFUNCTION("""COMPUTED_VALUE"""),1465.0)</f>
        <v>1465</v>
      </c>
    </row>
    <row r="1113">
      <c r="A1113" s="41" t="b">
        <f>IFERROR(__xludf.DUMMYFUNCTION("""COMPUTED_VALUE"""),TRUE)</f>
        <v>1</v>
      </c>
      <c r="B1113" s="41" t="str">
        <f>IFERROR(__xludf.DUMMYFUNCTION("""COMPUTED_VALUE"""),"RSC008541")</f>
        <v>RSC008541</v>
      </c>
      <c r="C1113" s="41" t="str">
        <f>IFERROR(__xludf.DUMMYFUNCTION("""COMPUTED_VALUE"""),"Jito1017")</f>
        <v>Jito1017</v>
      </c>
      <c r="D1113" s="41"/>
      <c r="E1113" s="41">
        <f>IFERROR(__xludf.DUMMYFUNCTION("""COMPUTED_VALUE"""),0.0)</f>
        <v>0</v>
      </c>
      <c r="F1113" s="41">
        <f>IFERROR(__xludf.DUMMYFUNCTION("""COMPUTED_VALUE"""),925.0)</f>
        <v>925</v>
      </c>
    </row>
    <row r="1114">
      <c r="A1114" s="41" t="b">
        <f>IFERROR(__xludf.DUMMYFUNCTION("""COMPUTED_VALUE"""),TRUE)</f>
        <v>1</v>
      </c>
      <c r="B1114" s="41" t="str">
        <f>IFERROR(__xludf.DUMMYFUNCTION("""COMPUTED_VALUE"""),"RSC008542")</f>
        <v>RSC008542</v>
      </c>
      <c r="C1114" s="41" t="str">
        <f>IFERROR(__xludf.DUMMYFUNCTION("""COMPUTED_VALUE"""),"sourµ")</f>
        <v>sourµ</v>
      </c>
      <c r="D1114" s="41"/>
      <c r="E1114" s="41">
        <f>IFERROR(__xludf.DUMMYFUNCTION("""COMPUTED_VALUE"""),0.0)</f>
        <v>0</v>
      </c>
      <c r="F1114" s="41">
        <f>IFERROR(__xludf.DUMMYFUNCTION("""COMPUTED_VALUE"""),1060.0)</f>
        <v>1060</v>
      </c>
    </row>
    <row r="1115">
      <c r="A1115" s="41" t="b">
        <f>IFERROR(__xludf.DUMMYFUNCTION("""COMPUTED_VALUE"""),TRUE)</f>
        <v>1</v>
      </c>
      <c r="B1115" s="41" t="str">
        <f>IFERROR(__xludf.DUMMYFUNCTION("""COMPUTED_VALUE"""),"RSC008545")</f>
        <v>RSC008545</v>
      </c>
      <c r="C1115" s="41" t="str">
        <f>IFERROR(__xludf.DUMMYFUNCTION("""COMPUTED_VALUE"""),"Bubba_Lando")</f>
        <v>Bubba_Lando</v>
      </c>
      <c r="D1115" s="41"/>
      <c r="E1115" s="41">
        <f>IFERROR(__xludf.DUMMYFUNCTION("""COMPUTED_VALUE"""),0.0)</f>
        <v>0</v>
      </c>
      <c r="F1115" s="41">
        <f>IFERROR(__xludf.DUMMYFUNCTION("""COMPUTED_VALUE"""),1555.0)</f>
        <v>1555</v>
      </c>
    </row>
    <row r="1116">
      <c r="A1116" s="41" t="b">
        <f>IFERROR(__xludf.DUMMYFUNCTION("""COMPUTED_VALUE"""),TRUE)</f>
        <v>1</v>
      </c>
      <c r="B1116" s="41" t="str">
        <f>IFERROR(__xludf.DUMMYFUNCTION("""COMPUTED_VALUE"""),"RSC008548")</f>
        <v>RSC008548</v>
      </c>
      <c r="C1116" s="41" t="str">
        <f>IFERROR(__xludf.DUMMYFUNCTION("""COMPUTED_VALUE"""),"Slinkxyz")</f>
        <v>Slinkxyz</v>
      </c>
      <c r="D1116" s="41" t="str">
        <f>IFERROR(__xludf.DUMMYFUNCTION("""COMPUTED_VALUE"""),"Shadow Tails")</f>
        <v>Shadow Tails</v>
      </c>
      <c r="E1116" s="41">
        <f>IFERROR(__xludf.DUMMYFUNCTION("""COMPUTED_VALUE"""),2.0)</f>
        <v>2</v>
      </c>
      <c r="F1116" s="41">
        <f>IFERROR(__xludf.DUMMYFUNCTION("""COMPUTED_VALUE"""),1425.0)</f>
        <v>1425</v>
      </c>
    </row>
    <row r="1117">
      <c r="A1117" s="41" t="b">
        <f>IFERROR(__xludf.DUMMYFUNCTION("""COMPUTED_VALUE"""),FALSE)</f>
        <v>0</v>
      </c>
      <c r="B1117" s="41" t="str">
        <f>IFERROR(__xludf.DUMMYFUNCTION("""COMPUTED_VALUE"""),"RSC008544")</f>
        <v>RSC008544</v>
      </c>
      <c r="C1117" s="41" t="str">
        <f>IFERROR(__xludf.DUMMYFUNCTION("""COMPUTED_VALUE"""),"Ɓola")</f>
        <v>Ɓola</v>
      </c>
      <c r="D1117" s="41"/>
      <c r="E1117" s="41">
        <f>IFERROR(__xludf.DUMMYFUNCTION("""COMPUTED_VALUE"""),0.0)</f>
        <v>0</v>
      </c>
      <c r="F1117" s="41">
        <f>IFERROR(__xludf.DUMMYFUNCTION("""COMPUTED_VALUE"""),600.0)</f>
        <v>600</v>
      </c>
    </row>
    <row r="1118">
      <c r="A1118" s="41" t="b">
        <f>IFERROR(__xludf.DUMMYFUNCTION("""COMPUTED_VALUE"""),TRUE)</f>
        <v>1</v>
      </c>
      <c r="B1118" s="41" t="str">
        <f>IFERROR(__xludf.DUMMYFUNCTION("""COMPUTED_VALUE"""),"RSC008576")</f>
        <v>RSC008576</v>
      </c>
      <c r="C1118" s="41" t="str">
        <f>IFERROR(__xludf.DUMMYFUNCTION("""COMPUTED_VALUE"""),"Sangani")</f>
        <v>Sangani</v>
      </c>
      <c r="D1118" s="41"/>
      <c r="E1118" s="41">
        <f>IFERROR(__xludf.DUMMYFUNCTION("""COMPUTED_VALUE"""),0.0)</f>
        <v>0</v>
      </c>
      <c r="F1118" s="41">
        <f>IFERROR(__xludf.DUMMYFUNCTION("""COMPUTED_VALUE"""),1715.0)</f>
        <v>1715</v>
      </c>
    </row>
    <row r="1119">
      <c r="A1119" s="41" t="b">
        <f>IFERROR(__xludf.DUMMYFUNCTION("""COMPUTED_VALUE"""),TRUE)</f>
        <v>1</v>
      </c>
      <c r="B1119" s="41" t="str">
        <f>IFERROR(__xludf.DUMMYFUNCTION("""COMPUTED_VALUE"""),"RSC008543")</f>
        <v>RSC008543</v>
      </c>
      <c r="C1119" s="41" t="str">
        <f>IFERROR(__xludf.DUMMYFUNCTION("""COMPUTED_VALUE"""),"T1Ta")</f>
        <v>T1Ta</v>
      </c>
      <c r="D1119" s="41" t="str">
        <f>IFERROR(__xludf.DUMMYFUNCTION("""COMPUTED_VALUE"""),"Glaciers")</f>
        <v>Glaciers</v>
      </c>
      <c r="E1119" s="41">
        <f>IFERROR(__xludf.DUMMYFUNCTION("""COMPUTED_VALUE"""),2.0)</f>
        <v>2</v>
      </c>
      <c r="F1119" s="41">
        <f>IFERROR(__xludf.DUMMYFUNCTION("""COMPUTED_VALUE"""),1080.0)</f>
        <v>1080</v>
      </c>
    </row>
    <row r="1120">
      <c r="A1120" s="41" t="b">
        <f>IFERROR(__xludf.DUMMYFUNCTION("""COMPUTED_VALUE"""),TRUE)</f>
        <v>1</v>
      </c>
      <c r="B1120" s="41" t="str">
        <f>IFERROR(__xludf.DUMMYFUNCTION("""COMPUTED_VALUE"""),"RSC008623")</f>
        <v>RSC008623</v>
      </c>
      <c r="C1120" s="41" t="str">
        <f>IFERROR(__xludf.DUMMYFUNCTION("""COMPUTED_VALUE"""),"EaglePlaysRL")</f>
        <v>EaglePlaysRL</v>
      </c>
      <c r="D1120" s="41"/>
      <c r="E1120" s="41">
        <f>IFERROR(__xludf.DUMMYFUNCTION("""COMPUTED_VALUE"""),0.0)</f>
        <v>0</v>
      </c>
      <c r="F1120" s="41">
        <f>IFERROR(__xludf.DUMMYFUNCTION("""COMPUTED_VALUE"""),1105.0)</f>
        <v>1105</v>
      </c>
    </row>
    <row r="1121">
      <c r="A1121" s="41" t="b">
        <f>IFERROR(__xludf.DUMMYFUNCTION("""COMPUTED_VALUE"""),TRUE)</f>
        <v>1</v>
      </c>
      <c r="B1121" s="41" t="str">
        <f>IFERROR(__xludf.DUMMYFUNCTION("""COMPUTED_VALUE"""),"RSC008531")</f>
        <v>RSC008531</v>
      </c>
      <c r="C1121" s="41" t="str">
        <f>IFERROR(__xludf.DUMMYFUNCTION("""COMPUTED_VALUE"""),"drkmist")</f>
        <v>drkmist</v>
      </c>
      <c r="D1121" s="41" t="str">
        <f>IFERROR(__xludf.DUMMYFUNCTION("""COMPUTED_VALUE"""),"Sloths")</f>
        <v>Sloths</v>
      </c>
      <c r="E1121" s="41">
        <f>IFERROR(__xludf.DUMMYFUNCTION("""COMPUTED_VALUE"""),2.0)</f>
        <v>2</v>
      </c>
      <c r="F1121" s="41">
        <f>IFERROR(__xludf.DUMMYFUNCTION("""COMPUTED_VALUE"""),1520.0)</f>
        <v>1520</v>
      </c>
    </row>
    <row r="1122">
      <c r="A1122" s="41" t="b">
        <f>IFERROR(__xludf.DUMMYFUNCTION("""COMPUTED_VALUE"""),TRUE)</f>
        <v>1</v>
      </c>
      <c r="B1122" s="41" t="str">
        <f>IFERROR(__xludf.DUMMYFUNCTION("""COMPUTED_VALUE"""),"RSC008535")</f>
        <v>RSC008535</v>
      </c>
      <c r="C1122" s="41" t="str">
        <f>IFERROR(__xludf.DUMMYFUNCTION("""COMPUTED_VALUE"""),"Aspiration Aqua")</f>
        <v>Aspiration Aqua</v>
      </c>
      <c r="D1122" s="41" t="str">
        <f>IFERROR(__xludf.DUMMYFUNCTION("""COMPUTED_VALUE"""),"Gouda Gangsters")</f>
        <v>Gouda Gangsters</v>
      </c>
      <c r="E1122" s="41">
        <f>IFERROR(__xludf.DUMMYFUNCTION("""COMPUTED_VALUE"""),2.0)</f>
        <v>2</v>
      </c>
      <c r="F1122" s="41">
        <f>IFERROR(__xludf.DUMMYFUNCTION("""COMPUTED_VALUE"""),1485.0)</f>
        <v>1485</v>
      </c>
    </row>
    <row r="1123">
      <c r="A1123" s="41" t="b">
        <f>IFERROR(__xludf.DUMMYFUNCTION("""COMPUTED_VALUE"""),TRUE)</f>
        <v>1</v>
      </c>
      <c r="B1123" s="41" t="str">
        <f>IFERROR(__xludf.DUMMYFUNCTION("""COMPUTED_VALUE"""),"RSC008550")</f>
        <v>RSC008550</v>
      </c>
      <c r="C1123" s="41" t="str">
        <f>IFERROR(__xludf.DUMMYFUNCTION("""COMPUTED_VALUE"""),"ChromaToad")</f>
        <v>ChromaToad</v>
      </c>
      <c r="D1123" s="41"/>
      <c r="E1123" s="41">
        <f>IFERROR(__xludf.DUMMYFUNCTION("""COMPUTED_VALUE"""),0.0)</f>
        <v>0</v>
      </c>
      <c r="F1123" s="41">
        <f>IFERROR(__xludf.DUMMYFUNCTION("""COMPUTED_VALUE"""),1525.0)</f>
        <v>1525</v>
      </c>
    </row>
    <row r="1124">
      <c r="A1124" s="41" t="b">
        <f>IFERROR(__xludf.DUMMYFUNCTION("""COMPUTED_VALUE"""),FALSE)</f>
        <v>0</v>
      </c>
      <c r="B1124" s="41" t="str">
        <f>IFERROR(__xludf.DUMMYFUNCTION("""COMPUTED_VALUE"""),"RSC008551")</f>
        <v>RSC008551</v>
      </c>
      <c r="C1124" s="41" t="str">
        <f>IFERROR(__xludf.DUMMYFUNCTION("""COMPUTED_VALUE"""),"saber8359")</f>
        <v>saber8359</v>
      </c>
      <c r="D1124" s="41"/>
      <c r="E1124" s="41">
        <f>IFERROR(__xludf.DUMMYFUNCTION("""COMPUTED_VALUE"""),0.0)</f>
        <v>0</v>
      </c>
      <c r="F1124" s="41">
        <f>IFERROR(__xludf.DUMMYFUNCTION("""COMPUTED_VALUE"""),600.0)</f>
        <v>600</v>
      </c>
    </row>
    <row r="1125">
      <c r="A1125" s="41" t="b">
        <f>IFERROR(__xludf.DUMMYFUNCTION("""COMPUTED_VALUE"""),TRUE)</f>
        <v>1</v>
      </c>
      <c r="B1125" s="41" t="str">
        <f>IFERROR(__xludf.DUMMYFUNCTION("""COMPUTED_VALUE"""),"RSC008556")</f>
        <v>RSC008556</v>
      </c>
      <c r="C1125" s="41" t="str">
        <f>IFERROR(__xludf.DUMMYFUNCTION("""COMPUTED_VALUE"""),"jizko")</f>
        <v>jizko</v>
      </c>
      <c r="D1125" s="41" t="str">
        <f>IFERROR(__xludf.DUMMYFUNCTION("""COMPUTED_VALUE"""),"Scribes")</f>
        <v>Scribes</v>
      </c>
      <c r="E1125" s="41">
        <f>IFERROR(__xludf.DUMMYFUNCTION("""COMPUTED_VALUE"""),2.0)</f>
        <v>2</v>
      </c>
      <c r="F1125" s="41">
        <f>IFERROR(__xludf.DUMMYFUNCTION("""COMPUTED_VALUE"""),1180.0)</f>
        <v>1180</v>
      </c>
    </row>
    <row r="1126">
      <c r="A1126" s="41" t="b">
        <f>IFERROR(__xludf.DUMMYFUNCTION("""COMPUTED_VALUE"""),TRUE)</f>
        <v>1</v>
      </c>
      <c r="B1126" s="41" t="str">
        <f>IFERROR(__xludf.DUMMYFUNCTION("""COMPUTED_VALUE"""),"RSC003545")</f>
        <v>RSC003545</v>
      </c>
      <c r="C1126" s="41" t="str">
        <f>IFERROR(__xludf.DUMMYFUNCTION("""COMPUTED_VALUE"""),"Grumpy Mittens™")</f>
        <v>Grumpy Mittens™</v>
      </c>
      <c r="D1126" s="41"/>
      <c r="E1126" s="41">
        <f>IFERROR(__xludf.DUMMYFUNCTION("""COMPUTED_VALUE"""),0.0)</f>
        <v>0</v>
      </c>
      <c r="F1126" s="41">
        <f>IFERROR(__xludf.DUMMYFUNCTION("""COMPUTED_VALUE"""),935.0)</f>
        <v>935</v>
      </c>
    </row>
    <row r="1127">
      <c r="A1127" s="41" t="b">
        <f>IFERROR(__xludf.DUMMYFUNCTION("""COMPUTED_VALUE"""),TRUE)</f>
        <v>1</v>
      </c>
      <c r="B1127" s="41" t="str">
        <f>IFERROR(__xludf.DUMMYFUNCTION("""COMPUTED_VALUE"""),"RSC008554")</f>
        <v>RSC008554</v>
      </c>
      <c r="C1127" s="41" t="str">
        <f>IFERROR(__xludf.DUMMYFUNCTION("""COMPUTED_VALUE"""),"golden4789")</f>
        <v>golden4789</v>
      </c>
      <c r="D1127" s="41"/>
      <c r="E1127" s="41">
        <f>IFERROR(__xludf.DUMMYFUNCTION("""COMPUTED_VALUE"""),0.0)</f>
        <v>0</v>
      </c>
      <c r="F1127" s="41">
        <f>IFERROR(__xludf.DUMMYFUNCTION("""COMPUTED_VALUE"""),1580.0)</f>
        <v>1580</v>
      </c>
    </row>
    <row r="1128">
      <c r="A1128" s="41" t="b">
        <f>IFERROR(__xludf.DUMMYFUNCTION("""COMPUTED_VALUE"""),TRUE)</f>
        <v>1</v>
      </c>
      <c r="B1128" s="41" t="str">
        <f>IFERROR(__xludf.DUMMYFUNCTION("""COMPUTED_VALUE"""),"RSC008555")</f>
        <v>RSC008555</v>
      </c>
      <c r="C1128" s="41" t="str">
        <f>IFERROR(__xludf.DUMMYFUNCTION("""COMPUTED_VALUE"""),"ShyIsEepy")</f>
        <v>ShyIsEepy</v>
      </c>
      <c r="D1128" s="41"/>
      <c r="E1128" s="41">
        <f>IFERROR(__xludf.DUMMYFUNCTION("""COMPUTED_VALUE"""),0.0)</f>
        <v>0</v>
      </c>
      <c r="F1128" s="41">
        <f>IFERROR(__xludf.DUMMYFUNCTION("""COMPUTED_VALUE"""),1585.0)</f>
        <v>1585</v>
      </c>
    </row>
    <row r="1129">
      <c r="A1129" s="41" t="b">
        <f>IFERROR(__xludf.DUMMYFUNCTION("""COMPUTED_VALUE"""),TRUE)</f>
        <v>1</v>
      </c>
      <c r="B1129" s="41" t="str">
        <f>IFERROR(__xludf.DUMMYFUNCTION("""COMPUTED_VALUE"""),"RSC008557")</f>
        <v>RSC008557</v>
      </c>
      <c r="C1129" s="41" t="str">
        <f>IFERROR(__xludf.DUMMYFUNCTION("""COMPUTED_VALUE"""),"lurx bad at rl")</f>
        <v>lurx bad at rl</v>
      </c>
      <c r="D1129" s="41" t="str">
        <f>IFERROR(__xludf.DUMMYFUNCTION("""COMPUTED_VALUE"""),"Phoenix")</f>
        <v>Phoenix</v>
      </c>
      <c r="E1129" s="41">
        <f>IFERROR(__xludf.DUMMYFUNCTION("""COMPUTED_VALUE"""),2.0)</f>
        <v>2</v>
      </c>
      <c r="F1129" s="41">
        <f>IFERROR(__xludf.DUMMYFUNCTION("""COMPUTED_VALUE"""),1305.0)</f>
        <v>1305</v>
      </c>
    </row>
    <row r="1130">
      <c r="A1130" s="41" t="b">
        <f>IFERROR(__xludf.DUMMYFUNCTION("""COMPUTED_VALUE"""),TRUE)</f>
        <v>1</v>
      </c>
      <c r="B1130" s="41" t="str">
        <f>IFERROR(__xludf.DUMMYFUNCTION("""COMPUTED_VALUE"""),"RSC008553")</f>
        <v>RSC008553</v>
      </c>
      <c r="C1130" s="41" t="str">
        <f>IFERROR(__xludf.DUMMYFUNCTION("""COMPUTED_VALUE"""),"Choco")</f>
        <v>Choco</v>
      </c>
      <c r="D1130" s="41" t="str">
        <f>IFERROR(__xludf.DUMMYFUNCTION("""COMPUTED_VALUE"""),"Merciless Mob")</f>
        <v>Merciless Mob</v>
      </c>
      <c r="E1130" s="41">
        <f>IFERROR(__xludf.DUMMYFUNCTION("""COMPUTED_VALUE"""),2.0)</f>
        <v>2</v>
      </c>
      <c r="F1130" s="41">
        <f>IFERROR(__xludf.DUMMYFUNCTION("""COMPUTED_VALUE"""),1515.0)</f>
        <v>1515</v>
      </c>
    </row>
    <row r="1131">
      <c r="A1131" s="41" t="b">
        <f>IFERROR(__xludf.DUMMYFUNCTION("""COMPUTED_VALUE"""),TRUE)</f>
        <v>1</v>
      </c>
      <c r="B1131" s="41" t="str">
        <f>IFERROR(__xludf.DUMMYFUNCTION("""COMPUTED_VALUE"""),"RSC008558")</f>
        <v>RSC008558</v>
      </c>
      <c r="C1131" s="41" t="str">
        <f>IFERROR(__xludf.DUMMYFUNCTION("""COMPUTED_VALUE"""),"itsmestevec29")</f>
        <v>itsmestevec29</v>
      </c>
      <c r="D1131" s="41"/>
      <c r="E1131" s="41">
        <f>IFERROR(__xludf.DUMMYFUNCTION("""COMPUTED_VALUE"""),0.0)</f>
        <v>0</v>
      </c>
      <c r="F1131" s="41">
        <f>IFERROR(__xludf.DUMMYFUNCTION("""COMPUTED_VALUE"""),970.0)</f>
        <v>970</v>
      </c>
    </row>
    <row r="1132">
      <c r="A1132" s="41" t="b">
        <f>IFERROR(__xludf.DUMMYFUNCTION("""COMPUTED_VALUE"""),TRUE)</f>
        <v>1</v>
      </c>
      <c r="B1132" s="41" t="str">
        <f>IFERROR(__xludf.DUMMYFUNCTION("""COMPUTED_VALUE"""),"RSC008552")</f>
        <v>RSC008552</v>
      </c>
      <c r="C1132" s="41" t="str">
        <f>IFERROR(__xludf.DUMMYFUNCTION("""COMPUTED_VALUE"""),"S0UL09")</f>
        <v>S0UL09</v>
      </c>
      <c r="D1132" s="41" t="str">
        <f>IFERROR(__xludf.DUMMYFUNCTION("""COMPUTED_VALUE"""),"Glaciers")</f>
        <v>Glaciers</v>
      </c>
      <c r="E1132" s="41">
        <f>IFERROR(__xludf.DUMMYFUNCTION("""COMPUTED_VALUE"""),2.0)</f>
        <v>2</v>
      </c>
      <c r="F1132" s="41">
        <f>IFERROR(__xludf.DUMMYFUNCTION("""COMPUTED_VALUE"""),1225.0)</f>
        <v>1225</v>
      </c>
    </row>
    <row r="1133">
      <c r="A1133" s="41" t="b">
        <f>IFERROR(__xludf.DUMMYFUNCTION("""COMPUTED_VALUE"""),FALSE)</f>
        <v>0</v>
      </c>
      <c r="B1133" s="41" t="str">
        <f>IFERROR(__xludf.DUMMYFUNCTION("""COMPUTED_VALUE"""),"RSC008559")</f>
        <v>RSC008559</v>
      </c>
      <c r="C1133" s="41" t="str">
        <f>IFERROR(__xludf.DUMMYFUNCTION("""COMPUTED_VALUE"""),"FallenRealms")</f>
        <v>FallenRealms</v>
      </c>
      <c r="D1133" s="41"/>
      <c r="E1133" s="41">
        <f>IFERROR(__xludf.DUMMYFUNCTION("""COMPUTED_VALUE"""),0.0)</f>
        <v>0</v>
      </c>
      <c r="F1133" s="41">
        <f>IFERROR(__xludf.DUMMYFUNCTION("""COMPUTED_VALUE"""),1760.0)</f>
        <v>1760</v>
      </c>
    </row>
    <row r="1134">
      <c r="A1134" s="41" t="b">
        <f>IFERROR(__xludf.DUMMYFUNCTION("""COMPUTED_VALUE"""),TRUE)</f>
        <v>1</v>
      </c>
      <c r="B1134" s="41" t="str">
        <f>IFERROR(__xludf.DUMMYFUNCTION("""COMPUTED_VALUE"""),"RSC008561")</f>
        <v>RSC008561</v>
      </c>
      <c r="C1134" s="41" t="str">
        <f>IFERROR(__xludf.DUMMYFUNCTION("""COMPUTED_VALUE"""),"Zanjo")</f>
        <v>Zanjo</v>
      </c>
      <c r="D1134" s="41"/>
      <c r="E1134" s="41">
        <f>IFERROR(__xludf.DUMMYFUNCTION("""COMPUTED_VALUE"""),0.0)</f>
        <v>0</v>
      </c>
      <c r="F1134" s="41">
        <f>IFERROR(__xludf.DUMMYFUNCTION("""COMPUTED_VALUE"""),1435.0)</f>
        <v>1435</v>
      </c>
    </row>
    <row r="1135">
      <c r="A1135" s="41" t="b">
        <f>IFERROR(__xludf.DUMMYFUNCTION("""COMPUTED_VALUE"""),FALSE)</f>
        <v>0</v>
      </c>
      <c r="B1135" s="41" t="str">
        <f>IFERROR(__xludf.DUMMYFUNCTION("""COMPUTED_VALUE"""),"RSC008538")</f>
        <v>RSC008538</v>
      </c>
      <c r="C1135" s="41" t="str">
        <f>IFERROR(__xludf.DUMMYFUNCTION("""COMPUTED_VALUE"""),"Glitch2TUFF")</f>
        <v>Glitch2TUFF</v>
      </c>
      <c r="D1135" s="41"/>
      <c r="E1135" s="41">
        <f>IFERROR(__xludf.DUMMYFUNCTION("""COMPUTED_VALUE"""),0.0)</f>
        <v>0</v>
      </c>
      <c r="F1135" s="41">
        <f>IFERROR(__xludf.DUMMYFUNCTION("""COMPUTED_VALUE"""),790.0)</f>
        <v>790</v>
      </c>
    </row>
    <row r="1136">
      <c r="A1136" s="41" t="b">
        <f>IFERROR(__xludf.DUMMYFUNCTION("""COMPUTED_VALUE"""),TRUE)</f>
        <v>1</v>
      </c>
      <c r="B1136" s="41" t="str">
        <f>IFERROR(__xludf.DUMMYFUNCTION("""COMPUTED_VALUE"""),"RSC006952")</f>
        <v>RSC006952</v>
      </c>
      <c r="C1136" s="41" t="str">
        <f>IFERROR(__xludf.DUMMYFUNCTION("""COMPUTED_VALUE"""),"end of navegelion")</f>
        <v>end of navegelion</v>
      </c>
      <c r="D1136" s="41" t="str">
        <f>IFERROR(__xludf.DUMMYFUNCTION("""COMPUTED_VALUE"""),"Punks")</f>
        <v>Punks</v>
      </c>
      <c r="E1136" s="41">
        <f>IFERROR(__xludf.DUMMYFUNCTION("""COMPUTED_VALUE"""),1.0)</f>
        <v>1</v>
      </c>
      <c r="F1136" s="41">
        <f>IFERROR(__xludf.DUMMYFUNCTION("""COMPUTED_VALUE"""),1835.0)</f>
        <v>1835</v>
      </c>
    </row>
    <row r="1137">
      <c r="A1137" s="41" t="b">
        <f>IFERROR(__xludf.DUMMYFUNCTION("""COMPUTED_VALUE"""),TRUE)</f>
        <v>1</v>
      </c>
      <c r="B1137" s="41" t="str">
        <f>IFERROR(__xludf.DUMMYFUNCTION("""COMPUTED_VALUE"""),"RSC008563")</f>
        <v>RSC008563</v>
      </c>
      <c r="C1137" s="41" t="str">
        <f>IFERROR(__xludf.DUMMYFUNCTION("""COMPUTED_VALUE"""),"Skaumpers")</f>
        <v>Skaumpers</v>
      </c>
      <c r="D1137" s="41"/>
      <c r="E1137" s="41">
        <f>IFERROR(__xludf.DUMMYFUNCTION("""COMPUTED_VALUE"""),0.0)</f>
        <v>0</v>
      </c>
      <c r="F1137" s="41">
        <f>IFERROR(__xludf.DUMMYFUNCTION("""COMPUTED_VALUE"""),1430.0)</f>
        <v>1430</v>
      </c>
    </row>
    <row r="1138">
      <c r="A1138" s="41" t="b">
        <f>IFERROR(__xludf.DUMMYFUNCTION("""COMPUTED_VALUE"""),FALSE)</f>
        <v>0</v>
      </c>
      <c r="B1138" s="41" t="str">
        <f>IFERROR(__xludf.DUMMYFUNCTION("""COMPUTED_VALUE"""),"RSC008534")</f>
        <v>RSC008534</v>
      </c>
      <c r="C1138" s="41" t="str">
        <f>IFERROR(__xludf.DUMMYFUNCTION("""COMPUTED_VALUE"""),"antwxny")</f>
        <v>antwxny</v>
      </c>
      <c r="D1138" s="41"/>
      <c r="E1138" s="41">
        <f>IFERROR(__xludf.DUMMYFUNCTION("""COMPUTED_VALUE"""),0.0)</f>
        <v>0</v>
      </c>
      <c r="F1138" s="41">
        <f>IFERROR(__xludf.DUMMYFUNCTION("""COMPUTED_VALUE"""),1205.0)</f>
        <v>1205</v>
      </c>
    </row>
    <row r="1139">
      <c r="A1139" s="41" t="b">
        <f>IFERROR(__xludf.DUMMYFUNCTION("""COMPUTED_VALUE"""),FALSE)</f>
        <v>0</v>
      </c>
      <c r="B1139" s="41" t="str">
        <f>IFERROR(__xludf.DUMMYFUNCTION("""COMPUTED_VALUE"""),"RSC008560")</f>
        <v>RSC008560</v>
      </c>
      <c r="C1139" s="41" t="str">
        <f>IFERROR(__xludf.DUMMYFUNCTION("""COMPUTED_VALUE"""),"ReaperofSouls962")</f>
        <v>ReaperofSouls962</v>
      </c>
      <c r="D1139" s="41"/>
      <c r="E1139" s="41">
        <f>IFERROR(__xludf.DUMMYFUNCTION("""COMPUTED_VALUE"""),0.0)</f>
        <v>0</v>
      </c>
      <c r="F1139" s="41">
        <f>IFERROR(__xludf.DUMMYFUNCTION("""COMPUTED_VALUE"""),785.0)</f>
        <v>785</v>
      </c>
    </row>
    <row r="1140">
      <c r="A1140" s="41" t="b">
        <f>IFERROR(__xludf.DUMMYFUNCTION("""COMPUTED_VALUE"""),FALSE)</f>
        <v>0</v>
      </c>
      <c r="B1140" s="41" t="str">
        <f>IFERROR(__xludf.DUMMYFUNCTION("""COMPUTED_VALUE"""),"RSC008570")</f>
        <v>RSC008570</v>
      </c>
      <c r="C1140" s="41" t="str">
        <f>IFERROR(__xludf.DUMMYFUNCTION("""COMPUTED_VALUE"""),"ItzSnacc")</f>
        <v>ItzSnacc</v>
      </c>
      <c r="D1140" s="41"/>
      <c r="E1140" s="41">
        <f>IFERROR(__xludf.DUMMYFUNCTION("""COMPUTED_VALUE"""),0.0)</f>
        <v>0</v>
      </c>
      <c r="F1140" s="41">
        <f>IFERROR(__xludf.DUMMYFUNCTION("""COMPUTED_VALUE"""),600.0)</f>
        <v>600</v>
      </c>
    </row>
    <row r="1141">
      <c r="A1141" s="41" t="b">
        <f>IFERROR(__xludf.DUMMYFUNCTION("""COMPUTED_VALUE"""),TRUE)</f>
        <v>1</v>
      </c>
      <c r="B1141" s="41" t="str">
        <f>IFERROR(__xludf.DUMMYFUNCTION("""COMPUTED_VALUE"""),"RSC008565")</f>
        <v>RSC008565</v>
      </c>
      <c r="C1141" s="41" t="str">
        <f>IFERROR(__xludf.DUMMYFUNCTION("""COMPUTED_VALUE"""),"buhbel")</f>
        <v>buhbel</v>
      </c>
      <c r="D1141" s="41"/>
      <c r="E1141" s="41">
        <f>IFERROR(__xludf.DUMMYFUNCTION("""COMPUTED_VALUE"""),0.0)</f>
        <v>0</v>
      </c>
      <c r="F1141" s="41">
        <f>IFERROR(__xludf.DUMMYFUNCTION("""COMPUTED_VALUE"""),1490.0)</f>
        <v>1490</v>
      </c>
    </row>
    <row r="1142">
      <c r="A1142" s="41" t="b">
        <f>IFERROR(__xludf.DUMMYFUNCTION("""COMPUTED_VALUE"""),TRUE)</f>
        <v>1</v>
      </c>
      <c r="B1142" s="41" t="str">
        <f>IFERROR(__xludf.DUMMYFUNCTION("""COMPUTED_VALUE"""),"RSC008567")</f>
        <v>RSC008567</v>
      </c>
      <c r="C1142" s="41" t="str">
        <f>IFERROR(__xludf.DUMMYFUNCTION("""COMPUTED_VALUE"""),"heyy_17")</f>
        <v>heyy_17</v>
      </c>
      <c r="D1142" s="41"/>
      <c r="E1142" s="41">
        <f>IFERROR(__xludf.DUMMYFUNCTION("""COMPUTED_VALUE"""),0.0)</f>
        <v>0</v>
      </c>
      <c r="F1142" s="41">
        <f>IFERROR(__xludf.DUMMYFUNCTION("""COMPUTED_VALUE"""),1145.0)</f>
        <v>1145</v>
      </c>
    </row>
    <row r="1143">
      <c r="A1143" s="41" t="b">
        <f>IFERROR(__xludf.DUMMYFUNCTION("""COMPUTED_VALUE"""),TRUE)</f>
        <v>1</v>
      </c>
      <c r="B1143" s="41" t="str">
        <f>IFERROR(__xludf.DUMMYFUNCTION("""COMPUTED_VALUE"""),"RSC008569")</f>
        <v>RSC008569</v>
      </c>
      <c r="C1143" s="41" t="str">
        <f>IFERROR(__xludf.DUMMYFUNCTION("""COMPUTED_VALUE"""),"BlackHoleX")</f>
        <v>BlackHoleX</v>
      </c>
      <c r="D1143" s="41"/>
      <c r="E1143" s="41">
        <f>IFERROR(__xludf.DUMMYFUNCTION("""COMPUTED_VALUE"""),0.0)</f>
        <v>0</v>
      </c>
      <c r="F1143" s="41">
        <f>IFERROR(__xludf.DUMMYFUNCTION("""COMPUTED_VALUE"""),865.0)</f>
        <v>865</v>
      </c>
    </row>
    <row r="1144">
      <c r="A1144" s="41" t="b">
        <f>IFERROR(__xludf.DUMMYFUNCTION("""COMPUTED_VALUE"""),TRUE)</f>
        <v>1</v>
      </c>
      <c r="B1144" s="41" t="str">
        <f>IFERROR(__xludf.DUMMYFUNCTION("""COMPUTED_VALUE"""),"RSC008568")</f>
        <v>RSC008568</v>
      </c>
      <c r="C1144" s="41" t="str">
        <f>IFERROR(__xludf.DUMMYFUNCTION("""COMPUTED_VALUE"""),"Shlandynn")</f>
        <v>Shlandynn</v>
      </c>
      <c r="D1144" s="41"/>
      <c r="E1144" s="41">
        <f>IFERROR(__xludf.DUMMYFUNCTION("""COMPUTED_VALUE"""),0.0)</f>
        <v>0</v>
      </c>
      <c r="F1144" s="41">
        <f>IFERROR(__xludf.DUMMYFUNCTION("""COMPUTED_VALUE"""),1205.0)</f>
        <v>1205</v>
      </c>
    </row>
    <row r="1145">
      <c r="A1145" s="41" t="b">
        <f>IFERROR(__xludf.DUMMYFUNCTION("""COMPUTED_VALUE"""),TRUE)</f>
        <v>1</v>
      </c>
      <c r="B1145" s="41" t="str">
        <f>IFERROR(__xludf.DUMMYFUNCTION("""COMPUTED_VALUE"""),"RSC008579")</f>
        <v>RSC008579</v>
      </c>
      <c r="C1145" s="41" t="str">
        <f>IFERROR(__xludf.DUMMYFUNCTION("""COMPUTED_VALUE"""),"Giraffahuff")</f>
        <v>Giraffahuff</v>
      </c>
      <c r="D1145" s="41"/>
      <c r="E1145" s="41">
        <f>IFERROR(__xludf.DUMMYFUNCTION("""COMPUTED_VALUE"""),0.0)</f>
        <v>0</v>
      </c>
      <c r="F1145" s="41">
        <f>IFERROR(__xludf.DUMMYFUNCTION("""COMPUTED_VALUE"""),1170.0)</f>
        <v>1170</v>
      </c>
    </row>
    <row r="1146">
      <c r="A1146" s="41" t="b">
        <f>IFERROR(__xludf.DUMMYFUNCTION("""COMPUTED_VALUE"""),TRUE)</f>
        <v>1</v>
      </c>
      <c r="B1146" s="41" t="str">
        <f>IFERROR(__xludf.DUMMYFUNCTION("""COMPUTED_VALUE"""),"RSC008571")</f>
        <v>RSC008571</v>
      </c>
      <c r="C1146" s="41" t="str">
        <f>IFERROR(__xludf.DUMMYFUNCTION("""COMPUTED_VALUE"""),"Divine.")</f>
        <v>Divine.</v>
      </c>
      <c r="D1146" s="41"/>
      <c r="E1146" s="41">
        <f>IFERROR(__xludf.DUMMYFUNCTION("""COMPUTED_VALUE"""),0.0)</f>
        <v>0</v>
      </c>
      <c r="F1146" s="41">
        <f>IFERROR(__xludf.DUMMYFUNCTION("""COMPUTED_VALUE"""),1755.0)</f>
        <v>1755</v>
      </c>
    </row>
    <row r="1147">
      <c r="A1147" s="41" t="b">
        <f>IFERROR(__xludf.DUMMYFUNCTION("""COMPUTED_VALUE"""),TRUE)</f>
        <v>1</v>
      </c>
      <c r="B1147" s="41" t="str">
        <f>IFERROR(__xludf.DUMMYFUNCTION("""COMPUTED_VALUE"""),"RSC008566")</f>
        <v>RSC008566</v>
      </c>
      <c r="C1147" s="41" t="str">
        <f>IFERROR(__xludf.DUMMYFUNCTION("""COMPUTED_VALUE"""),"jmcooke3")</f>
        <v>jmcooke3</v>
      </c>
      <c r="D1147" s="41"/>
      <c r="E1147" s="41">
        <f>IFERROR(__xludf.DUMMYFUNCTION("""COMPUTED_VALUE"""),0.0)</f>
        <v>0</v>
      </c>
      <c r="F1147" s="41">
        <f>IFERROR(__xludf.DUMMYFUNCTION("""COMPUTED_VALUE"""),1100.0)</f>
        <v>1100</v>
      </c>
    </row>
    <row r="1148">
      <c r="A1148" s="41" t="b">
        <f>IFERROR(__xludf.DUMMYFUNCTION("""COMPUTED_VALUE"""),TRUE)</f>
        <v>1</v>
      </c>
      <c r="B1148" s="41" t="str">
        <f>IFERROR(__xludf.DUMMYFUNCTION("""COMPUTED_VALUE"""),"RSC008574")</f>
        <v>RSC008574</v>
      </c>
      <c r="C1148" s="41" t="str">
        <f>IFERROR(__xludf.DUMMYFUNCTION("""COMPUTED_VALUE"""),"Zay")</f>
        <v>Zay</v>
      </c>
      <c r="D1148" s="41"/>
      <c r="E1148" s="41">
        <f>IFERROR(__xludf.DUMMYFUNCTION("""COMPUTED_VALUE"""),0.0)</f>
        <v>0</v>
      </c>
      <c r="F1148" s="41">
        <f>IFERROR(__xludf.DUMMYFUNCTION("""COMPUTED_VALUE"""),1620.0)</f>
        <v>1620</v>
      </c>
    </row>
    <row r="1149">
      <c r="A1149" s="41" t="b">
        <f>IFERROR(__xludf.DUMMYFUNCTION("""COMPUTED_VALUE"""),FALSE)</f>
        <v>0</v>
      </c>
      <c r="B1149" s="41" t="str">
        <f>IFERROR(__xludf.DUMMYFUNCTION("""COMPUTED_VALUE"""),"RSC008583")</f>
        <v>RSC008583</v>
      </c>
      <c r="C1149" s="41" t="str">
        <f>IFERROR(__xludf.DUMMYFUNCTION("""COMPUTED_VALUE"""),"Kianduck.")</f>
        <v>Kianduck.</v>
      </c>
      <c r="D1149" s="41"/>
      <c r="E1149" s="41">
        <f>IFERROR(__xludf.DUMMYFUNCTION("""COMPUTED_VALUE"""),0.0)</f>
        <v>0</v>
      </c>
      <c r="F1149" s="41">
        <f>IFERROR(__xludf.DUMMYFUNCTION("""COMPUTED_VALUE"""),1570.0)</f>
        <v>1570</v>
      </c>
    </row>
    <row r="1150">
      <c r="A1150" s="41" t="b">
        <f>IFERROR(__xludf.DUMMYFUNCTION("""COMPUTED_VALUE"""),TRUE)</f>
        <v>1</v>
      </c>
      <c r="B1150" s="41" t="str">
        <f>IFERROR(__xludf.DUMMYFUNCTION("""COMPUTED_VALUE"""),"RSC008578")</f>
        <v>RSC008578</v>
      </c>
      <c r="C1150" s="41" t="str">
        <f>IFERROR(__xludf.DUMMYFUNCTION("""COMPUTED_VALUE"""),"BabyFxceLK")</f>
        <v>BabyFxceLK</v>
      </c>
      <c r="D1150" s="41"/>
      <c r="E1150" s="41">
        <f>IFERROR(__xludf.DUMMYFUNCTION("""COMPUTED_VALUE"""),0.0)</f>
        <v>0</v>
      </c>
      <c r="F1150" s="41">
        <f>IFERROR(__xludf.DUMMYFUNCTION("""COMPUTED_VALUE"""),1000.0)</f>
        <v>1000</v>
      </c>
    </row>
    <row r="1151">
      <c r="A1151" s="41" t="b">
        <f>IFERROR(__xludf.DUMMYFUNCTION("""COMPUTED_VALUE"""),TRUE)</f>
        <v>1</v>
      </c>
      <c r="B1151" s="41" t="str">
        <f>IFERROR(__xludf.DUMMYFUNCTION("""COMPUTED_VALUE"""),"RSC008580")</f>
        <v>RSC008580</v>
      </c>
      <c r="C1151" s="41" t="str">
        <f>IFERROR(__xludf.DUMMYFUNCTION("""COMPUTED_VALUE"""),"Hippie 204")</f>
        <v>Hippie 204</v>
      </c>
      <c r="D1151" s="41"/>
      <c r="E1151" s="41">
        <f>IFERROR(__xludf.DUMMYFUNCTION("""COMPUTED_VALUE"""),0.0)</f>
        <v>0</v>
      </c>
      <c r="F1151" s="41">
        <f>IFERROR(__xludf.DUMMYFUNCTION("""COMPUTED_VALUE"""),1430.0)</f>
        <v>1430</v>
      </c>
    </row>
    <row r="1152">
      <c r="A1152" s="41" t="b">
        <f>IFERROR(__xludf.DUMMYFUNCTION("""COMPUTED_VALUE"""),TRUE)</f>
        <v>1</v>
      </c>
      <c r="B1152" s="41" t="str">
        <f>IFERROR(__xludf.DUMMYFUNCTION("""COMPUTED_VALUE"""),"RSC008581")</f>
        <v>RSC008581</v>
      </c>
      <c r="C1152" s="41" t="str">
        <f>IFERROR(__xludf.DUMMYFUNCTION("""COMPUTED_VALUE"""),"duck-rl")</f>
        <v>duck-rl</v>
      </c>
      <c r="D1152" s="41"/>
      <c r="E1152" s="41">
        <f>IFERROR(__xludf.DUMMYFUNCTION("""COMPUTED_VALUE"""),0.0)</f>
        <v>0</v>
      </c>
      <c r="F1152" s="41">
        <f>IFERROR(__xludf.DUMMYFUNCTION("""COMPUTED_VALUE"""),1595.0)</f>
        <v>1595</v>
      </c>
    </row>
    <row r="1153">
      <c r="A1153" s="41" t="b">
        <f>IFERROR(__xludf.DUMMYFUNCTION("""COMPUTED_VALUE"""),FALSE)</f>
        <v>0</v>
      </c>
      <c r="B1153" s="41" t="str">
        <f>IFERROR(__xludf.DUMMYFUNCTION("""COMPUTED_VALUE"""),"RSC008577")</f>
        <v>RSC008577</v>
      </c>
      <c r="C1153" s="41" t="str">
        <f>IFERROR(__xludf.DUMMYFUNCTION("""COMPUTED_VALUE"""),"MAKK! NoMic")</f>
        <v>MAKK! NoMic</v>
      </c>
      <c r="D1153" s="41"/>
      <c r="E1153" s="41">
        <f>IFERROR(__xludf.DUMMYFUNCTION("""COMPUTED_VALUE"""),0.0)</f>
        <v>0</v>
      </c>
      <c r="F1153" s="41">
        <f>IFERROR(__xludf.DUMMYFUNCTION("""COMPUTED_VALUE"""),2000.0)</f>
        <v>2000</v>
      </c>
    </row>
    <row r="1154">
      <c r="A1154" s="41" t="b">
        <f>IFERROR(__xludf.DUMMYFUNCTION("""COMPUTED_VALUE"""),FALSE)</f>
        <v>0</v>
      </c>
      <c r="B1154" s="41" t="str">
        <f>IFERROR(__xludf.DUMMYFUNCTION("""COMPUTED_VALUE"""),"RSC008572")</f>
        <v>RSC008572</v>
      </c>
      <c r="C1154" s="41" t="str">
        <f>IFERROR(__xludf.DUMMYFUNCTION("""COMPUTED_VALUE"""),"MichaelGA10")</f>
        <v>MichaelGA10</v>
      </c>
      <c r="D1154" s="41"/>
      <c r="E1154" s="41">
        <f>IFERROR(__xludf.DUMMYFUNCTION("""COMPUTED_VALUE"""),0.0)</f>
        <v>0</v>
      </c>
      <c r="F1154" s="41">
        <f>IFERROR(__xludf.DUMMYFUNCTION("""COMPUTED_VALUE"""),1645.0)</f>
        <v>1645</v>
      </c>
    </row>
    <row r="1155">
      <c r="A1155" s="41" t="b">
        <f>IFERROR(__xludf.DUMMYFUNCTION("""COMPUTED_VALUE"""),FALSE)</f>
        <v>0</v>
      </c>
      <c r="B1155" s="41" t="str">
        <f>IFERROR(__xludf.DUMMYFUNCTION("""COMPUTED_VALUE"""),"RSC008575")</f>
        <v>RSC008575</v>
      </c>
      <c r="C1155" s="41" t="str">
        <f>IFERROR(__xludf.DUMMYFUNCTION("""COMPUTED_VALUE"""),"Snatchimal")</f>
        <v>Snatchimal</v>
      </c>
      <c r="D1155" s="41"/>
      <c r="E1155" s="41">
        <f>IFERROR(__xludf.DUMMYFUNCTION("""COMPUTED_VALUE"""),0.0)</f>
        <v>0</v>
      </c>
      <c r="F1155" s="41">
        <f>IFERROR(__xludf.DUMMYFUNCTION("""COMPUTED_VALUE"""),750.0)</f>
        <v>750</v>
      </c>
    </row>
    <row r="1156">
      <c r="A1156" s="41" t="b">
        <f>IFERROR(__xludf.DUMMYFUNCTION("""COMPUTED_VALUE"""),TRUE)</f>
        <v>1</v>
      </c>
      <c r="B1156" s="41" t="str">
        <f>IFERROR(__xludf.DUMMYFUNCTION("""COMPUTED_VALUE"""),"RSC008633")</f>
        <v>RSC008633</v>
      </c>
      <c r="C1156" s="41" t="str">
        <f>IFERROR(__xludf.DUMMYFUNCTION("""COMPUTED_VALUE"""),"Vejas.")</f>
        <v>Vejas.</v>
      </c>
      <c r="D1156" s="41"/>
      <c r="E1156" s="41">
        <f>IFERROR(__xludf.DUMMYFUNCTION("""COMPUTED_VALUE"""),0.0)</f>
        <v>0</v>
      </c>
      <c r="F1156" s="41">
        <f>IFERROR(__xludf.DUMMYFUNCTION("""COMPUTED_VALUE"""),600.0)</f>
        <v>600</v>
      </c>
    </row>
    <row r="1157">
      <c r="A1157" s="41" t="b">
        <f>IFERROR(__xludf.DUMMYFUNCTION("""COMPUTED_VALUE"""),FALSE)</f>
        <v>0</v>
      </c>
      <c r="B1157" s="41" t="str">
        <f>IFERROR(__xludf.DUMMYFUNCTION("""COMPUTED_VALUE"""),"RSC008564")</f>
        <v>RSC008564</v>
      </c>
      <c r="C1157" s="41" t="str">
        <f>IFERROR(__xludf.DUMMYFUNCTION("""COMPUTED_VALUE"""),"BIack Korver")</f>
        <v>BIack Korver</v>
      </c>
      <c r="D1157" s="41"/>
      <c r="E1157" s="41">
        <f>IFERROR(__xludf.DUMMYFUNCTION("""COMPUTED_VALUE"""),0.0)</f>
        <v>0</v>
      </c>
      <c r="F1157" s="41">
        <f>IFERROR(__xludf.DUMMYFUNCTION("""COMPUTED_VALUE"""),1185.0)</f>
        <v>1185</v>
      </c>
    </row>
    <row r="1158">
      <c r="A1158" s="41" t="b">
        <f>IFERROR(__xludf.DUMMYFUNCTION("""COMPUTED_VALUE"""),TRUE)</f>
        <v>1</v>
      </c>
      <c r="B1158" s="41" t="str">
        <f>IFERROR(__xludf.DUMMYFUNCTION("""COMPUTED_VALUE"""),"RSC008586")</f>
        <v>RSC008586</v>
      </c>
      <c r="C1158" s="41" t="str">
        <f>IFERROR(__xludf.DUMMYFUNCTION("""COMPUTED_VALUE"""),"mozzarticus")</f>
        <v>mozzarticus</v>
      </c>
      <c r="D1158" s="41"/>
      <c r="E1158" s="41">
        <f>IFERROR(__xludf.DUMMYFUNCTION("""COMPUTED_VALUE"""),0.0)</f>
        <v>0</v>
      </c>
      <c r="F1158" s="41">
        <f>IFERROR(__xludf.DUMMYFUNCTION("""COMPUTED_VALUE"""),1305.0)</f>
        <v>1305</v>
      </c>
    </row>
    <row r="1159">
      <c r="A1159" s="41" t="b">
        <f>IFERROR(__xludf.DUMMYFUNCTION("""COMPUTED_VALUE"""),TRUE)</f>
        <v>1</v>
      </c>
      <c r="B1159" s="41" t="str">
        <f>IFERROR(__xludf.DUMMYFUNCTION("""COMPUTED_VALUE"""),"RSC008587")</f>
        <v>RSC008587</v>
      </c>
      <c r="C1159" s="41" t="str">
        <f>IFERROR(__xludf.DUMMYFUNCTION("""COMPUTED_VALUE"""),"Ted_Mundy")</f>
        <v>Ted_Mundy</v>
      </c>
      <c r="D1159" s="41"/>
      <c r="E1159" s="41">
        <f>IFERROR(__xludf.DUMMYFUNCTION("""COMPUTED_VALUE"""),0.0)</f>
        <v>0</v>
      </c>
      <c r="F1159" s="41">
        <f>IFERROR(__xludf.DUMMYFUNCTION("""COMPUTED_VALUE"""),1605.0)</f>
        <v>1605</v>
      </c>
    </row>
    <row r="1160">
      <c r="A1160" s="41" t="b">
        <f>IFERROR(__xludf.DUMMYFUNCTION("""COMPUTED_VALUE"""),TRUE)</f>
        <v>1</v>
      </c>
      <c r="B1160" s="41" t="str">
        <f>IFERROR(__xludf.DUMMYFUNCTION("""COMPUTED_VALUE"""),"RSC008588")</f>
        <v>RSC008588</v>
      </c>
      <c r="C1160" s="41" t="str">
        <f>IFERROR(__xludf.DUMMYFUNCTION("""COMPUTED_VALUE"""),"Forgotten003")</f>
        <v>Forgotten003</v>
      </c>
      <c r="D1160" s="41"/>
      <c r="E1160" s="41">
        <f>IFERROR(__xludf.DUMMYFUNCTION("""COMPUTED_VALUE"""),0.0)</f>
        <v>0</v>
      </c>
      <c r="F1160" s="41">
        <f>IFERROR(__xludf.DUMMYFUNCTION("""COMPUTED_VALUE"""),1010.0)</f>
        <v>1010</v>
      </c>
    </row>
    <row r="1161">
      <c r="A1161" s="41" t="b">
        <f>IFERROR(__xludf.DUMMYFUNCTION("""COMPUTED_VALUE"""),TRUE)</f>
        <v>1</v>
      </c>
      <c r="B1161" s="41" t="str">
        <f>IFERROR(__xludf.DUMMYFUNCTION("""COMPUTED_VALUE"""),"RSC007260")</f>
        <v>RSC007260</v>
      </c>
      <c r="C1161" s="41" t="str">
        <f>IFERROR(__xludf.DUMMYFUNCTION("""COMPUTED_VALUE"""),"FlopMode.")</f>
        <v>FlopMode.</v>
      </c>
      <c r="D1161" s="41"/>
      <c r="E1161" s="41">
        <f>IFERROR(__xludf.DUMMYFUNCTION("""COMPUTED_VALUE"""),0.0)</f>
        <v>0</v>
      </c>
      <c r="F1161" s="41">
        <f>IFERROR(__xludf.DUMMYFUNCTION("""COMPUTED_VALUE"""),1590.0)</f>
        <v>1590</v>
      </c>
    </row>
    <row r="1162">
      <c r="A1162" s="41" t="b">
        <f>IFERROR(__xludf.DUMMYFUNCTION("""COMPUTED_VALUE"""),TRUE)</f>
        <v>1</v>
      </c>
      <c r="B1162" s="41" t="str">
        <f>IFERROR(__xludf.DUMMYFUNCTION("""COMPUTED_VALUE"""),"RSC008599")</f>
        <v>RSC008599</v>
      </c>
      <c r="C1162" s="41" t="str">
        <f>IFERROR(__xludf.DUMMYFUNCTION("""COMPUTED_VALUE"""),"p4rka.")</f>
        <v>p4rka.</v>
      </c>
      <c r="D1162" s="41" t="str">
        <f>IFERROR(__xludf.DUMMYFUNCTION("""COMPUTED_VALUE"""),"Dread")</f>
        <v>Dread</v>
      </c>
      <c r="E1162" s="41">
        <f>IFERROR(__xludf.DUMMYFUNCTION("""COMPUTED_VALUE"""),0.0)</f>
        <v>0</v>
      </c>
      <c r="F1162" s="41">
        <f>IFERROR(__xludf.DUMMYFUNCTION("""COMPUTED_VALUE"""),1475.0)</f>
        <v>1475</v>
      </c>
    </row>
    <row r="1163">
      <c r="A1163" s="41" t="b">
        <f>IFERROR(__xludf.DUMMYFUNCTION("""COMPUTED_VALUE"""),TRUE)</f>
        <v>1</v>
      </c>
      <c r="B1163" s="41" t="str">
        <f>IFERROR(__xludf.DUMMYFUNCTION("""COMPUTED_VALUE"""),"RSC008590")</f>
        <v>RSC008590</v>
      </c>
      <c r="C1163" s="41" t="str">
        <f>IFERROR(__xludf.DUMMYFUNCTION("""COMPUTED_VALUE"""),"Blackbear")</f>
        <v>Blackbear</v>
      </c>
      <c r="D1163" s="41"/>
      <c r="E1163" s="41">
        <f>IFERROR(__xludf.DUMMYFUNCTION("""COMPUTED_VALUE"""),0.0)</f>
        <v>0</v>
      </c>
      <c r="F1163" s="41">
        <f>IFERROR(__xludf.DUMMYFUNCTION("""COMPUTED_VALUE"""),1625.0)</f>
        <v>1625</v>
      </c>
    </row>
    <row r="1164">
      <c r="A1164" s="41" t="b">
        <f>IFERROR(__xludf.DUMMYFUNCTION("""COMPUTED_VALUE"""),TRUE)</f>
        <v>1</v>
      </c>
      <c r="B1164" s="41" t="str">
        <f>IFERROR(__xludf.DUMMYFUNCTION("""COMPUTED_VALUE"""),"RSC008591")</f>
        <v>RSC008591</v>
      </c>
      <c r="C1164" s="41" t="str">
        <f>IFERROR(__xludf.DUMMYFUNCTION("""COMPUTED_VALUE"""),"efortlessly")</f>
        <v>efortlessly</v>
      </c>
      <c r="D1164" s="41"/>
      <c r="E1164" s="41">
        <f>IFERROR(__xludf.DUMMYFUNCTION("""COMPUTED_VALUE"""),0.0)</f>
        <v>0</v>
      </c>
      <c r="F1164" s="41">
        <f>IFERROR(__xludf.DUMMYFUNCTION("""COMPUTED_VALUE"""),600.0)</f>
        <v>600</v>
      </c>
    </row>
    <row r="1165">
      <c r="A1165" s="41" t="b">
        <f>IFERROR(__xludf.DUMMYFUNCTION("""COMPUTED_VALUE"""),TRUE)</f>
        <v>1</v>
      </c>
      <c r="B1165" s="41" t="str">
        <f>IFERROR(__xludf.DUMMYFUNCTION("""COMPUTED_VALUE"""),"RSC008593")</f>
        <v>RSC008593</v>
      </c>
      <c r="C1165" s="41" t="str">
        <f>IFERROR(__xludf.DUMMYFUNCTION("""COMPUTED_VALUE"""),"Krazii -_-")</f>
        <v>Krazii -_-</v>
      </c>
      <c r="D1165" s="41"/>
      <c r="E1165" s="41">
        <f>IFERROR(__xludf.DUMMYFUNCTION("""COMPUTED_VALUE"""),0.0)</f>
        <v>0</v>
      </c>
      <c r="F1165" s="41">
        <f>IFERROR(__xludf.DUMMYFUNCTION("""COMPUTED_VALUE"""),1420.0)</f>
        <v>1420</v>
      </c>
    </row>
    <row r="1166">
      <c r="A1166" s="41" t="b">
        <f>IFERROR(__xludf.DUMMYFUNCTION("""COMPUTED_VALUE"""),TRUE)</f>
        <v>1</v>
      </c>
      <c r="B1166" s="41" t="str">
        <f>IFERROR(__xludf.DUMMYFUNCTION("""COMPUTED_VALUE"""),"RSC008594")</f>
        <v>RSC008594</v>
      </c>
      <c r="C1166" s="41" t="str">
        <f>IFERROR(__xludf.DUMMYFUNCTION("""COMPUTED_VALUE"""),"ZombZombs")</f>
        <v>ZombZombs</v>
      </c>
      <c r="D1166" s="41"/>
      <c r="E1166" s="41">
        <f>IFERROR(__xludf.DUMMYFUNCTION("""COMPUTED_VALUE"""),0.0)</f>
        <v>0</v>
      </c>
      <c r="F1166" s="41">
        <f>IFERROR(__xludf.DUMMYFUNCTION("""COMPUTED_VALUE"""),1685.0)</f>
        <v>1685</v>
      </c>
    </row>
    <row r="1167">
      <c r="A1167" s="41" t="b">
        <f>IFERROR(__xludf.DUMMYFUNCTION("""COMPUTED_VALUE"""),FALSE)</f>
        <v>0</v>
      </c>
      <c r="B1167" s="41" t="str">
        <f>IFERROR(__xludf.DUMMYFUNCTION("""COMPUTED_VALUE"""),"RSC008595")</f>
        <v>RSC008595</v>
      </c>
      <c r="C1167" s="41" t="str">
        <f>IFERROR(__xludf.DUMMYFUNCTION("""COMPUTED_VALUE"""),"Jify_2Times")</f>
        <v>Jify_2Times</v>
      </c>
      <c r="D1167" s="41"/>
      <c r="E1167" s="41">
        <f>IFERROR(__xludf.DUMMYFUNCTION("""COMPUTED_VALUE"""),0.0)</f>
        <v>0</v>
      </c>
      <c r="F1167" s="41">
        <f>IFERROR(__xludf.DUMMYFUNCTION("""COMPUTED_VALUE"""),600.0)</f>
        <v>600</v>
      </c>
    </row>
    <row r="1168">
      <c r="A1168" s="41" t="b">
        <f>IFERROR(__xludf.DUMMYFUNCTION("""COMPUTED_VALUE"""),TRUE)</f>
        <v>1</v>
      </c>
      <c r="B1168" s="41" t="str">
        <f>IFERROR(__xludf.DUMMYFUNCTION("""COMPUTED_VALUE"""),"RSC008597")</f>
        <v>RSC008597</v>
      </c>
      <c r="C1168" s="41" t="str">
        <f>IFERROR(__xludf.DUMMYFUNCTION("""COMPUTED_VALUE"""),"PVPJTARACHTAMERE")</f>
        <v>PVPJTARACHTAMERE</v>
      </c>
      <c r="D1168" s="41"/>
      <c r="E1168" s="41">
        <f>IFERROR(__xludf.DUMMYFUNCTION("""COMPUTED_VALUE"""),0.0)</f>
        <v>0</v>
      </c>
      <c r="F1168" s="41">
        <f>IFERROR(__xludf.DUMMYFUNCTION("""COMPUTED_VALUE"""),865.0)</f>
        <v>865</v>
      </c>
    </row>
    <row r="1169">
      <c r="A1169" s="41" t="b">
        <f>IFERROR(__xludf.DUMMYFUNCTION("""COMPUTED_VALUE"""),FALSE)</f>
        <v>0</v>
      </c>
      <c r="B1169" s="41" t="str">
        <f>IFERROR(__xludf.DUMMYFUNCTION("""COMPUTED_VALUE"""),"RSC008584")</f>
        <v>RSC008584</v>
      </c>
      <c r="C1169" s="41" t="str">
        <f>IFERROR(__xludf.DUMMYFUNCTION("""COMPUTED_VALUE"""),"Twizkii")</f>
        <v>Twizkii</v>
      </c>
      <c r="D1169" s="41"/>
      <c r="E1169" s="41">
        <f>IFERROR(__xludf.DUMMYFUNCTION("""COMPUTED_VALUE"""),0.0)</f>
        <v>0</v>
      </c>
      <c r="F1169" s="41">
        <f>IFERROR(__xludf.DUMMYFUNCTION("""COMPUTED_VALUE"""),1570.0)</f>
        <v>1570</v>
      </c>
    </row>
    <row r="1170">
      <c r="A1170" s="41" t="b">
        <f>IFERROR(__xludf.DUMMYFUNCTION("""COMPUTED_VALUE"""),TRUE)</f>
        <v>1</v>
      </c>
      <c r="B1170" s="41" t="str">
        <f>IFERROR(__xludf.DUMMYFUNCTION("""COMPUTED_VALUE"""),"RSC008602")</f>
        <v>RSC008602</v>
      </c>
      <c r="C1170" s="41" t="str">
        <f>IFERROR(__xludf.DUMMYFUNCTION("""COMPUTED_VALUE"""),"elcarryratboy")</f>
        <v>elcarryratboy</v>
      </c>
      <c r="D1170" s="41"/>
      <c r="E1170" s="41">
        <f>IFERROR(__xludf.DUMMYFUNCTION("""COMPUTED_VALUE"""),0.0)</f>
        <v>0</v>
      </c>
      <c r="F1170" s="41">
        <f>IFERROR(__xludf.DUMMYFUNCTION("""COMPUTED_VALUE"""),1075.0)</f>
        <v>1075</v>
      </c>
    </row>
    <row r="1171">
      <c r="A1171" s="41" t="b">
        <f>IFERROR(__xludf.DUMMYFUNCTION("""COMPUTED_VALUE"""),TRUE)</f>
        <v>1</v>
      </c>
      <c r="B1171" s="41" t="str">
        <f>IFERROR(__xludf.DUMMYFUNCTION("""COMPUTED_VALUE"""),"RSC008612")</f>
        <v>RSC008612</v>
      </c>
      <c r="C1171" s="41" t="str">
        <f>IFERROR(__xludf.DUMMYFUNCTION("""COMPUTED_VALUE"""),"scary ghsty")</f>
        <v>scary ghsty</v>
      </c>
      <c r="D1171" s="41"/>
      <c r="E1171" s="41">
        <f>IFERROR(__xludf.DUMMYFUNCTION("""COMPUTED_VALUE"""),0.0)</f>
        <v>0</v>
      </c>
      <c r="F1171" s="41">
        <f>IFERROR(__xludf.DUMMYFUNCTION("""COMPUTED_VALUE"""),1685.0)</f>
        <v>1685</v>
      </c>
    </row>
    <row r="1172">
      <c r="A1172" s="41" t="b">
        <f>IFERROR(__xludf.DUMMYFUNCTION("""COMPUTED_VALUE"""),FALSE)</f>
        <v>0</v>
      </c>
      <c r="B1172" s="41" t="str">
        <f>IFERROR(__xludf.DUMMYFUNCTION("""COMPUTED_VALUE"""),"RSC008598")</f>
        <v>RSC008598</v>
      </c>
      <c r="C1172" s="41" t="str">
        <f>IFERROR(__xludf.DUMMYFUNCTION("""COMPUTED_VALUE"""),"jimmy(G)?")</f>
        <v>jimmy(G)?</v>
      </c>
      <c r="D1172" s="41"/>
      <c r="E1172" s="41">
        <f>IFERROR(__xludf.DUMMYFUNCTION("""COMPUTED_VALUE"""),0.0)</f>
        <v>0</v>
      </c>
      <c r="F1172" s="41">
        <f>IFERROR(__xludf.DUMMYFUNCTION("""COMPUTED_VALUE"""),1595.0)</f>
        <v>1595</v>
      </c>
    </row>
    <row r="1173">
      <c r="A1173" s="41" t="b">
        <f>IFERROR(__xludf.DUMMYFUNCTION("""COMPUTED_VALUE"""),TRUE)</f>
        <v>1</v>
      </c>
      <c r="B1173" s="41" t="str">
        <f>IFERROR(__xludf.DUMMYFUNCTION("""COMPUTED_VALUE"""),"RSC008589")</f>
        <v>RSC008589</v>
      </c>
      <c r="C1173" s="41" t="str">
        <f>IFERROR(__xludf.DUMMYFUNCTION("""COMPUTED_VALUE"""),"crazymedic0630")</f>
        <v>crazymedic0630</v>
      </c>
      <c r="D1173" s="41"/>
      <c r="E1173" s="41">
        <f>IFERROR(__xludf.DUMMYFUNCTION("""COMPUTED_VALUE"""),0.0)</f>
        <v>0</v>
      </c>
      <c r="F1173" s="41">
        <f>IFERROR(__xludf.DUMMYFUNCTION("""COMPUTED_VALUE"""),775.0)</f>
        <v>775</v>
      </c>
    </row>
    <row r="1174">
      <c r="A1174" s="41" t="b">
        <f>IFERROR(__xludf.DUMMYFUNCTION("""COMPUTED_VALUE"""),TRUE)</f>
        <v>1</v>
      </c>
      <c r="B1174" s="41" t="str">
        <f>IFERROR(__xludf.DUMMYFUNCTION("""COMPUTED_VALUE"""),"RSC008600")</f>
        <v>RSC008600</v>
      </c>
      <c r="C1174" s="41" t="str">
        <f>IFERROR(__xludf.DUMMYFUNCTION("""COMPUTED_VALUE"""),"Prizzm.")</f>
        <v>Prizzm.</v>
      </c>
      <c r="D1174" s="41"/>
      <c r="E1174" s="41">
        <f>IFERROR(__xludf.DUMMYFUNCTION("""COMPUTED_VALUE"""),0.0)</f>
        <v>0</v>
      </c>
      <c r="F1174" s="41">
        <f>IFERROR(__xludf.DUMMYFUNCTION("""COMPUTED_VALUE"""),1170.0)</f>
        <v>1170</v>
      </c>
    </row>
    <row r="1175">
      <c r="A1175" s="41" t="b">
        <f>IFERROR(__xludf.DUMMYFUNCTION("""COMPUTED_VALUE"""),TRUE)</f>
        <v>1</v>
      </c>
      <c r="B1175" s="41" t="str">
        <f>IFERROR(__xludf.DUMMYFUNCTION("""COMPUTED_VALUE"""),"RSC008601")</f>
        <v>RSC008601</v>
      </c>
      <c r="C1175" s="41" t="str">
        <f>IFERROR(__xludf.DUMMYFUNCTION("""COMPUTED_VALUE"""),"Velocheerio")</f>
        <v>Velocheerio</v>
      </c>
      <c r="D1175" s="41"/>
      <c r="E1175" s="41">
        <f>IFERROR(__xludf.DUMMYFUNCTION("""COMPUTED_VALUE"""),0.0)</f>
        <v>0</v>
      </c>
      <c r="F1175" s="41">
        <f>IFERROR(__xludf.DUMMYFUNCTION("""COMPUTED_VALUE"""),1760.0)</f>
        <v>1760</v>
      </c>
    </row>
    <row r="1176">
      <c r="A1176" s="41" t="b">
        <f>IFERROR(__xludf.DUMMYFUNCTION("""COMPUTED_VALUE"""),TRUE)</f>
        <v>1</v>
      </c>
      <c r="B1176" s="41" t="str">
        <f>IFERROR(__xludf.DUMMYFUNCTION("""COMPUTED_VALUE"""),"RSC008603")</f>
        <v>RSC008603</v>
      </c>
      <c r="C1176" s="41" t="str">
        <f>IFERROR(__xludf.DUMMYFUNCTION("""COMPUTED_VALUE"""),"garrydacarry")</f>
        <v>garrydacarry</v>
      </c>
      <c r="D1176" s="41"/>
      <c r="E1176" s="41">
        <f>IFERROR(__xludf.DUMMYFUNCTION("""COMPUTED_VALUE"""),0.0)</f>
        <v>0</v>
      </c>
      <c r="F1176" s="41">
        <f>IFERROR(__xludf.DUMMYFUNCTION("""COMPUTED_VALUE"""),1285.0)</f>
        <v>1285</v>
      </c>
    </row>
    <row r="1177">
      <c r="A1177" s="41" t="b">
        <f>IFERROR(__xludf.DUMMYFUNCTION("""COMPUTED_VALUE"""),TRUE)</f>
        <v>1</v>
      </c>
      <c r="B1177" s="41" t="str">
        <f>IFERROR(__xludf.DUMMYFUNCTION("""COMPUTED_VALUE"""),"RSC008604")</f>
        <v>RSC008604</v>
      </c>
      <c r="C1177" s="41" t="str">
        <f>IFERROR(__xludf.DUMMYFUNCTION("""COMPUTED_VALUE"""),"grogǃ")</f>
        <v>grogǃ</v>
      </c>
      <c r="D1177" s="41"/>
      <c r="E1177" s="41">
        <f>IFERROR(__xludf.DUMMYFUNCTION("""COMPUTED_VALUE"""),0.0)</f>
        <v>0</v>
      </c>
      <c r="F1177" s="41">
        <f>IFERROR(__xludf.DUMMYFUNCTION("""COMPUTED_VALUE"""),1795.0)</f>
        <v>1795</v>
      </c>
    </row>
    <row r="1178">
      <c r="A1178" s="41" t="b">
        <f>IFERROR(__xludf.DUMMYFUNCTION("""COMPUTED_VALUE"""),TRUE)</f>
        <v>1</v>
      </c>
      <c r="B1178" s="41" t="str">
        <f>IFERROR(__xludf.DUMMYFUNCTION("""COMPUTED_VALUE"""),"RSC008607")</f>
        <v>RSC008607</v>
      </c>
      <c r="C1178" s="41" t="str">
        <f>IFERROR(__xludf.DUMMYFUNCTION("""COMPUTED_VALUE"""),"ANGRY FENNEC")</f>
        <v>ANGRY FENNEC</v>
      </c>
      <c r="D1178" s="41"/>
      <c r="E1178" s="41">
        <f>IFERROR(__xludf.DUMMYFUNCTION("""COMPUTED_VALUE"""),0.0)</f>
        <v>0</v>
      </c>
      <c r="F1178" s="41">
        <f>IFERROR(__xludf.DUMMYFUNCTION("""COMPUTED_VALUE"""),1535.0)</f>
        <v>1535</v>
      </c>
    </row>
    <row r="1179">
      <c r="A1179" s="41" t="b">
        <f>IFERROR(__xludf.DUMMYFUNCTION("""COMPUTED_VALUE"""),TRUE)</f>
        <v>1</v>
      </c>
      <c r="B1179" s="41" t="str">
        <f>IFERROR(__xludf.DUMMYFUNCTION("""COMPUTED_VALUE"""),"RSC008613")</f>
        <v>RSC008613</v>
      </c>
      <c r="C1179" s="41" t="str">
        <f>IFERROR(__xludf.DUMMYFUNCTION("""COMPUTED_VALUE"""),"TrippinHottiez")</f>
        <v>TrippinHottiez</v>
      </c>
      <c r="D1179" s="41"/>
      <c r="E1179" s="41">
        <f>IFERROR(__xludf.DUMMYFUNCTION("""COMPUTED_VALUE"""),0.0)</f>
        <v>0</v>
      </c>
      <c r="F1179" s="41">
        <f>IFERROR(__xludf.DUMMYFUNCTION("""COMPUTED_VALUE"""),945.0)</f>
        <v>945</v>
      </c>
    </row>
    <row r="1180">
      <c r="A1180" s="41" t="b">
        <f>IFERROR(__xludf.DUMMYFUNCTION("""COMPUTED_VALUE"""),TRUE)</f>
        <v>1</v>
      </c>
      <c r="B1180" s="41" t="str">
        <f>IFERROR(__xludf.DUMMYFUNCTION("""COMPUTED_VALUE"""),"RSC008610")</f>
        <v>RSC008610</v>
      </c>
      <c r="C1180" s="41" t="str">
        <f>IFERROR(__xludf.DUMMYFUNCTION("""COMPUTED_VALUE"""),"ogtheassassin")</f>
        <v>ogtheassassin</v>
      </c>
      <c r="D1180" s="41"/>
      <c r="E1180" s="41">
        <f>IFERROR(__xludf.DUMMYFUNCTION("""COMPUTED_VALUE"""),0.0)</f>
        <v>0</v>
      </c>
      <c r="F1180" s="41">
        <f>IFERROR(__xludf.DUMMYFUNCTION("""COMPUTED_VALUE"""),1135.0)</f>
        <v>1135</v>
      </c>
    </row>
    <row r="1181">
      <c r="A1181" s="41" t="b">
        <f>IFERROR(__xludf.DUMMYFUNCTION("""COMPUTED_VALUE"""),TRUE)</f>
        <v>1</v>
      </c>
      <c r="B1181" s="41" t="str">
        <f>IFERROR(__xludf.DUMMYFUNCTION("""COMPUTED_VALUE"""),"RSC008611")</f>
        <v>RSC008611</v>
      </c>
      <c r="C1181" s="41" t="str">
        <f>IFERROR(__xludf.DUMMYFUNCTION("""COMPUTED_VALUE"""),"gam †")</f>
        <v>gam †</v>
      </c>
      <c r="D1181" s="41"/>
      <c r="E1181" s="41">
        <f>IFERROR(__xludf.DUMMYFUNCTION("""COMPUTED_VALUE"""),0.0)</f>
        <v>0</v>
      </c>
      <c r="F1181" s="41">
        <f>IFERROR(__xludf.DUMMYFUNCTION("""COMPUTED_VALUE"""),1540.0)</f>
        <v>1540</v>
      </c>
    </row>
    <row r="1182">
      <c r="A1182" s="41" t="b">
        <f>IFERROR(__xludf.DUMMYFUNCTION("""COMPUTED_VALUE"""),FALSE)</f>
        <v>0</v>
      </c>
      <c r="B1182" s="41" t="str">
        <f>IFERROR(__xludf.DUMMYFUNCTION("""COMPUTED_VALUE"""),"RSC008619")</f>
        <v>RSC008619</v>
      </c>
      <c r="C1182" s="41" t="str">
        <f>IFERROR(__xludf.DUMMYFUNCTION("""COMPUTED_VALUE"""),"Dillboss123yt")</f>
        <v>Dillboss123yt</v>
      </c>
      <c r="D1182" s="41"/>
      <c r="E1182" s="41">
        <f>IFERROR(__xludf.DUMMYFUNCTION("""COMPUTED_VALUE"""),0.0)</f>
        <v>0</v>
      </c>
      <c r="F1182" s="41">
        <f>IFERROR(__xludf.DUMMYFUNCTION("""COMPUTED_VALUE"""),600.0)</f>
        <v>600</v>
      </c>
    </row>
    <row r="1183">
      <c r="A1183" s="41" t="b">
        <f>IFERROR(__xludf.DUMMYFUNCTION("""COMPUTED_VALUE"""),TRUE)</f>
        <v>1</v>
      </c>
      <c r="B1183" s="41" t="str">
        <f>IFERROR(__xludf.DUMMYFUNCTION("""COMPUTED_VALUE"""),"RSC008614")</f>
        <v>RSC008614</v>
      </c>
      <c r="C1183" s="41" t="str">
        <f>IFERROR(__xludf.DUMMYFUNCTION("""COMPUTED_VALUE"""),"Nabisco kid8751")</f>
        <v>Nabisco kid8751</v>
      </c>
      <c r="D1183" s="41"/>
      <c r="E1183" s="41">
        <f>IFERROR(__xludf.DUMMYFUNCTION("""COMPUTED_VALUE"""),0.0)</f>
        <v>0</v>
      </c>
      <c r="F1183" s="41">
        <f>IFERROR(__xludf.DUMMYFUNCTION("""COMPUTED_VALUE"""),750.0)</f>
        <v>750</v>
      </c>
    </row>
    <row r="1184">
      <c r="A1184" s="41" t="b">
        <f>IFERROR(__xludf.DUMMYFUNCTION("""COMPUTED_VALUE"""),TRUE)</f>
        <v>1</v>
      </c>
      <c r="B1184" s="41" t="str">
        <f>IFERROR(__xludf.DUMMYFUNCTION("""COMPUTED_VALUE"""),"RSC008615")</f>
        <v>RSC008615</v>
      </c>
      <c r="C1184" s="41" t="str">
        <f>IFERROR(__xludf.DUMMYFUNCTION("""COMPUTED_VALUE"""),"M00NL1GHT777")</f>
        <v>M00NL1GHT777</v>
      </c>
      <c r="D1184" s="41"/>
      <c r="E1184" s="41">
        <f>IFERROR(__xludf.DUMMYFUNCTION("""COMPUTED_VALUE"""),0.0)</f>
        <v>0</v>
      </c>
      <c r="F1184" s="41">
        <f>IFERROR(__xludf.DUMMYFUNCTION("""COMPUTED_VALUE"""),930.0)</f>
        <v>930</v>
      </c>
    </row>
    <row r="1185">
      <c r="A1185" s="41" t="b">
        <f>IFERROR(__xludf.DUMMYFUNCTION("""COMPUTED_VALUE"""),TRUE)</f>
        <v>1</v>
      </c>
      <c r="B1185" s="41" t="str">
        <f>IFERROR(__xludf.DUMMYFUNCTION("""COMPUTED_VALUE"""),"RSC008616")</f>
        <v>RSC008616</v>
      </c>
      <c r="C1185" s="41" t="str">
        <f>IFERROR(__xludf.DUMMYFUNCTION("""COMPUTED_VALUE"""),"mr_coogs")</f>
        <v>mr_coogs</v>
      </c>
      <c r="D1185" s="41"/>
      <c r="E1185" s="41">
        <f>IFERROR(__xludf.DUMMYFUNCTION("""COMPUTED_VALUE"""),0.0)</f>
        <v>0</v>
      </c>
      <c r="F1185" s="41">
        <f>IFERROR(__xludf.DUMMYFUNCTION("""COMPUTED_VALUE"""),600.0)</f>
        <v>600</v>
      </c>
    </row>
    <row r="1186">
      <c r="A1186" s="41" t="b">
        <f>IFERROR(__xludf.DUMMYFUNCTION("""COMPUTED_VALUE"""),TRUE)</f>
        <v>1</v>
      </c>
      <c r="B1186" s="41" t="str">
        <f>IFERROR(__xludf.DUMMYFUNCTION("""COMPUTED_VALUE"""),"RSC008618")</f>
        <v>RSC008618</v>
      </c>
      <c r="C1186" s="41" t="str">
        <f>IFERROR(__xludf.DUMMYFUNCTION("""COMPUTED_VALUE"""),"MaduIaa")</f>
        <v>MaduIaa</v>
      </c>
      <c r="D1186" s="41"/>
      <c r="E1186" s="41">
        <f>IFERROR(__xludf.DUMMYFUNCTION("""COMPUTED_VALUE"""),0.0)</f>
        <v>0</v>
      </c>
      <c r="F1186" s="41">
        <f>IFERROR(__xludf.DUMMYFUNCTION("""COMPUTED_VALUE"""),970.0)</f>
        <v>970</v>
      </c>
    </row>
    <row r="1187">
      <c r="A1187" s="41" t="b">
        <f>IFERROR(__xludf.DUMMYFUNCTION("""COMPUTED_VALUE"""),TRUE)</f>
        <v>1</v>
      </c>
      <c r="B1187" s="41" t="str">
        <f>IFERROR(__xludf.DUMMYFUNCTION("""COMPUTED_VALUE"""),"RSC008605")</f>
        <v>RSC008605</v>
      </c>
      <c r="C1187" s="41" t="str">
        <f>IFERROR(__xludf.DUMMYFUNCTION("""COMPUTED_VALUE"""),"Toon1e.")</f>
        <v>Toon1e.</v>
      </c>
      <c r="D1187" s="41"/>
      <c r="E1187" s="41">
        <f>IFERROR(__xludf.DUMMYFUNCTION("""COMPUTED_VALUE"""),0.0)</f>
        <v>0</v>
      </c>
      <c r="F1187" s="41">
        <f>IFERROR(__xludf.DUMMYFUNCTION("""COMPUTED_VALUE"""),1195.0)</f>
        <v>1195</v>
      </c>
    </row>
    <row r="1188">
      <c r="A1188" s="41" t="b">
        <f>IFERROR(__xludf.DUMMYFUNCTION("""COMPUTED_VALUE"""),FALSE)</f>
        <v>0</v>
      </c>
      <c r="B1188" s="41" t="str">
        <f>IFERROR(__xludf.DUMMYFUNCTION("""COMPUTED_VALUE"""),"RSC008606")</f>
        <v>RSC008606</v>
      </c>
      <c r="C1188" s="41" t="str">
        <f>IFERROR(__xludf.DUMMYFUNCTION("""COMPUTED_VALUE"""),"SodumbY")</f>
        <v>SodumbY</v>
      </c>
      <c r="D1188" s="41"/>
      <c r="E1188" s="41">
        <f>IFERROR(__xludf.DUMMYFUNCTION("""COMPUTED_VALUE"""),0.0)</f>
        <v>0</v>
      </c>
      <c r="F1188" s="41">
        <f>IFERROR(__xludf.DUMMYFUNCTION("""COMPUTED_VALUE"""),600.0)</f>
        <v>600</v>
      </c>
    </row>
    <row r="1189">
      <c r="A1189" s="41" t="b">
        <f>IFERROR(__xludf.DUMMYFUNCTION("""COMPUTED_VALUE"""),TRUE)</f>
        <v>1</v>
      </c>
      <c r="B1189" s="41" t="str">
        <f>IFERROR(__xludf.DUMMYFUNCTION("""COMPUTED_VALUE"""),"RSC007269")</f>
        <v>RSC007269</v>
      </c>
      <c r="C1189" s="41" t="str">
        <f>IFERROR(__xludf.DUMMYFUNCTION("""COMPUTED_VALUE"""),"Navik")</f>
        <v>Navik</v>
      </c>
      <c r="D1189" s="41" t="str">
        <f>IFERROR(__xludf.DUMMYFUNCTION("""COMPUTED_VALUE"""),"Commanders")</f>
        <v>Commanders</v>
      </c>
      <c r="E1189" s="41">
        <f>IFERROR(__xludf.DUMMYFUNCTION("""COMPUTED_VALUE"""),2.0)</f>
        <v>2</v>
      </c>
      <c r="F1189" s="41">
        <f>IFERROR(__xludf.DUMMYFUNCTION("""COMPUTED_VALUE"""),1625.0)</f>
        <v>1625</v>
      </c>
    </row>
    <row r="1190">
      <c r="A1190" s="41" t="b">
        <f>IFERROR(__xludf.DUMMYFUNCTION("""COMPUTED_VALUE"""),TRUE)</f>
        <v>1</v>
      </c>
      <c r="B1190" s="41" t="str">
        <f>IFERROR(__xludf.DUMMYFUNCTION("""COMPUTED_VALUE"""),"RSC008620")</f>
        <v>RSC008620</v>
      </c>
      <c r="C1190" s="41" t="str">
        <f>IFERROR(__xludf.DUMMYFUNCTION("""COMPUTED_VALUE"""),"RushOne")</f>
        <v>RushOne</v>
      </c>
      <c r="D1190" s="41"/>
      <c r="E1190" s="41">
        <f>IFERROR(__xludf.DUMMYFUNCTION("""COMPUTED_VALUE"""),0.0)</f>
        <v>0</v>
      </c>
      <c r="F1190" s="41">
        <f>IFERROR(__xludf.DUMMYFUNCTION("""COMPUTED_VALUE"""),600.0)</f>
        <v>600</v>
      </c>
    </row>
    <row r="1191">
      <c r="A1191" s="41" t="b">
        <f>IFERROR(__xludf.DUMMYFUNCTION("""COMPUTED_VALUE"""),TRUE)</f>
        <v>1</v>
      </c>
      <c r="B1191" s="41" t="str">
        <f>IFERROR(__xludf.DUMMYFUNCTION("""COMPUTED_VALUE"""),"RSC008621")</f>
        <v>RSC008621</v>
      </c>
      <c r="C1191" s="41" t="str">
        <f>IFERROR(__xludf.DUMMYFUNCTION("""COMPUTED_VALUE"""),"Casinokid24")</f>
        <v>Casinokid24</v>
      </c>
      <c r="D1191" s="41"/>
      <c r="E1191" s="41">
        <f>IFERROR(__xludf.DUMMYFUNCTION("""COMPUTED_VALUE"""),0.0)</f>
        <v>0</v>
      </c>
      <c r="F1191" s="41">
        <f>IFERROR(__xludf.DUMMYFUNCTION("""COMPUTED_VALUE"""),1510.0)</f>
        <v>1510</v>
      </c>
    </row>
    <row r="1192">
      <c r="A1192" s="41" t="b">
        <f>IFERROR(__xludf.DUMMYFUNCTION("""COMPUTED_VALUE"""),TRUE)</f>
        <v>1</v>
      </c>
      <c r="B1192" s="41" t="str">
        <f>IFERROR(__xludf.DUMMYFUNCTION("""COMPUTED_VALUE"""),"RSC008622")</f>
        <v>RSC008622</v>
      </c>
      <c r="C1192" s="41" t="str">
        <f>IFERROR(__xludf.DUMMYFUNCTION("""COMPUTED_VALUE"""),"Yoeky")</f>
        <v>Yoeky</v>
      </c>
      <c r="D1192" s="41"/>
      <c r="E1192" s="41">
        <f>IFERROR(__xludf.DUMMYFUNCTION("""COMPUTED_VALUE"""),0.0)</f>
        <v>0</v>
      </c>
      <c r="F1192" s="41">
        <f>IFERROR(__xludf.DUMMYFUNCTION("""COMPUTED_VALUE"""),600.0)</f>
        <v>600</v>
      </c>
    </row>
    <row r="1193">
      <c r="A1193" s="41" t="b">
        <f>IFERROR(__xludf.DUMMYFUNCTION("""COMPUTED_VALUE"""),TRUE)</f>
        <v>1</v>
      </c>
      <c r="B1193" s="41" t="str">
        <f>IFERROR(__xludf.DUMMYFUNCTION("""COMPUTED_VALUE"""),"RSC008624")</f>
        <v>RSC008624</v>
      </c>
      <c r="C1193" s="41" t="str">
        <f>IFERROR(__xludf.DUMMYFUNCTION("""COMPUTED_VALUE"""),"DARK Phantom573")</f>
        <v>DARK Phantom573</v>
      </c>
      <c r="D1193" s="41"/>
      <c r="E1193" s="41">
        <f>IFERROR(__xludf.DUMMYFUNCTION("""COMPUTED_VALUE"""),0.0)</f>
        <v>0</v>
      </c>
      <c r="F1193" s="41">
        <f>IFERROR(__xludf.DUMMYFUNCTION("""COMPUTED_VALUE"""),1215.0)</f>
        <v>1215</v>
      </c>
    </row>
    <row r="1194">
      <c r="A1194" s="41" t="b">
        <f>IFERROR(__xludf.DUMMYFUNCTION("""COMPUTED_VALUE"""),FALSE)</f>
        <v>0</v>
      </c>
      <c r="B1194" s="41" t="str">
        <f>IFERROR(__xludf.DUMMYFUNCTION("""COMPUTED_VALUE"""),"RSC007948")</f>
        <v>RSC007948</v>
      </c>
      <c r="C1194" s="41" t="str">
        <f>IFERROR(__xludf.DUMMYFUNCTION("""COMPUTED_VALUE"""),"Bwezzy._.")</f>
        <v>Bwezzy._.</v>
      </c>
      <c r="D1194" s="41"/>
      <c r="E1194" s="41">
        <f>IFERROR(__xludf.DUMMYFUNCTION("""COMPUTED_VALUE"""),0.0)</f>
        <v>0</v>
      </c>
      <c r="F1194" s="41">
        <f>IFERROR(__xludf.DUMMYFUNCTION("""COMPUTED_VALUE"""),1360.0)</f>
        <v>1360</v>
      </c>
    </row>
    <row r="1195">
      <c r="A1195" s="41" t="b">
        <f>IFERROR(__xludf.DUMMYFUNCTION("""COMPUTED_VALUE"""),FALSE)</f>
        <v>0</v>
      </c>
      <c r="B1195" s="41" t="str">
        <f>IFERROR(__xludf.DUMMYFUNCTION("""COMPUTED_VALUE"""),"RSC005516")</f>
        <v>RSC005516</v>
      </c>
      <c r="C1195" s="41" t="str">
        <f>IFERROR(__xludf.DUMMYFUNCTION("""COMPUTED_VALUE"""),"Pirate Princess Local!")</f>
        <v>Pirate Princess Local!</v>
      </c>
      <c r="D1195" s="41"/>
      <c r="E1195" s="41">
        <f>IFERROR(__xludf.DUMMYFUNCTION("""COMPUTED_VALUE"""),2.0)</f>
        <v>2</v>
      </c>
      <c r="F1195" s="41">
        <f>IFERROR(__xludf.DUMMYFUNCTION("""COMPUTED_VALUE"""),1655.0)</f>
        <v>1655</v>
      </c>
    </row>
    <row r="1196">
      <c r="A1196" s="41" t="b">
        <f>IFERROR(__xludf.DUMMYFUNCTION("""COMPUTED_VALUE"""),FALSE)</f>
        <v>0</v>
      </c>
      <c r="B1196" s="41" t="str">
        <f>IFERROR(__xludf.DUMMYFUNCTION("""COMPUTED_VALUE"""),"RSC008617")</f>
        <v>RSC008617</v>
      </c>
      <c r="C1196" s="41" t="str">
        <f>IFERROR(__xludf.DUMMYFUNCTION("""COMPUTED_VALUE"""),"n3x1 Galaxy")</f>
        <v>n3x1 Galaxy</v>
      </c>
      <c r="D1196" s="41"/>
      <c r="E1196" s="41">
        <f>IFERROR(__xludf.DUMMYFUNCTION("""COMPUTED_VALUE"""),0.0)</f>
        <v>0</v>
      </c>
      <c r="F1196" s="41">
        <f>IFERROR(__xludf.DUMMYFUNCTION("""COMPUTED_VALUE"""),1300.0)</f>
        <v>1300</v>
      </c>
    </row>
    <row r="1197">
      <c r="A1197" s="41" t="b">
        <f>IFERROR(__xludf.DUMMYFUNCTION("""COMPUTED_VALUE"""),TRUE)</f>
        <v>1</v>
      </c>
      <c r="B1197" s="41" t="str">
        <f>IFERROR(__xludf.DUMMYFUNCTION("""COMPUTED_VALUE"""),"RSC008625")</f>
        <v>RSC008625</v>
      </c>
      <c r="C1197" s="41" t="str">
        <f>IFERROR(__xludf.DUMMYFUNCTION("""COMPUTED_VALUE"""),"Beserkerfan")</f>
        <v>Beserkerfan</v>
      </c>
      <c r="D1197" s="41"/>
      <c r="E1197" s="41">
        <f>IFERROR(__xludf.DUMMYFUNCTION("""COMPUTED_VALUE"""),0.0)</f>
        <v>0</v>
      </c>
      <c r="F1197" s="41">
        <f>IFERROR(__xludf.DUMMYFUNCTION("""COMPUTED_VALUE"""),600.0)</f>
        <v>600</v>
      </c>
    </row>
    <row r="1198">
      <c r="A1198" s="41" t="b">
        <f>IFERROR(__xludf.DUMMYFUNCTION("""COMPUTED_VALUE"""),FALSE)</f>
        <v>0</v>
      </c>
      <c r="B1198" s="41" t="str">
        <f>IFERROR(__xludf.DUMMYFUNCTION("""COMPUTED_VALUE"""),"RSC008608")</f>
        <v>RSC008608</v>
      </c>
      <c r="C1198" s="41" t="str">
        <f>IFERROR(__xludf.DUMMYFUNCTION("""COMPUTED_VALUE"""),"xSquaadTL")</f>
        <v>xSquaadTL</v>
      </c>
      <c r="D1198" s="41"/>
      <c r="E1198" s="41">
        <f>IFERROR(__xludf.DUMMYFUNCTION("""COMPUTED_VALUE"""),0.0)</f>
        <v>0</v>
      </c>
      <c r="F1198" s="41">
        <f>IFERROR(__xludf.DUMMYFUNCTION("""COMPUTED_VALUE"""),1085.0)</f>
        <v>1085</v>
      </c>
    </row>
    <row r="1199">
      <c r="A1199" s="41" t="b">
        <f>IFERROR(__xludf.DUMMYFUNCTION("""COMPUTED_VALUE"""),TRUE)</f>
        <v>1</v>
      </c>
      <c r="B1199" s="41" t="str">
        <f>IFERROR(__xludf.DUMMYFUNCTION("""COMPUTED_VALUE"""),"RSC008626")</f>
        <v>RSC008626</v>
      </c>
      <c r="C1199" s="41" t="str">
        <f>IFERROR(__xludf.DUMMYFUNCTION("""COMPUTED_VALUE"""),"Live Ttv.Tevikks")</f>
        <v>Live Ttv.Tevikks</v>
      </c>
      <c r="D1199" s="41"/>
      <c r="E1199" s="41">
        <f>IFERROR(__xludf.DUMMYFUNCTION("""COMPUTED_VALUE"""),0.0)</f>
        <v>0</v>
      </c>
      <c r="F1199" s="41">
        <f>IFERROR(__xludf.DUMMYFUNCTION("""COMPUTED_VALUE"""),600.0)</f>
        <v>600</v>
      </c>
    </row>
    <row r="1200">
      <c r="A1200" s="41" t="b">
        <f>IFERROR(__xludf.DUMMYFUNCTION("""COMPUTED_VALUE"""),TRUE)</f>
        <v>1</v>
      </c>
      <c r="B1200" s="41" t="str">
        <f>IFERROR(__xludf.DUMMYFUNCTION("""COMPUTED_VALUE"""),"RSC008627")</f>
        <v>RSC008627</v>
      </c>
      <c r="C1200" s="41" t="str">
        <f>IFERROR(__xludf.DUMMYFUNCTION("""COMPUTED_VALUE"""),"tire")</f>
        <v>tire</v>
      </c>
      <c r="D1200" s="41"/>
      <c r="E1200" s="41">
        <f>IFERROR(__xludf.DUMMYFUNCTION("""COMPUTED_VALUE"""),0.0)</f>
        <v>0</v>
      </c>
      <c r="F1200" s="41">
        <f>IFERROR(__xludf.DUMMYFUNCTION("""COMPUTED_VALUE"""),600.0)</f>
        <v>600</v>
      </c>
    </row>
    <row r="1201">
      <c r="A1201" s="41" t="b">
        <f>IFERROR(__xludf.DUMMYFUNCTION("""COMPUTED_VALUE"""),TRUE)</f>
        <v>1</v>
      </c>
      <c r="B1201" s="41" t="str">
        <f>IFERROR(__xludf.DUMMYFUNCTION("""COMPUTED_VALUE"""),"RSC008628")</f>
        <v>RSC008628</v>
      </c>
      <c r="C1201" s="41" t="str">
        <f>IFERROR(__xludf.DUMMYFUNCTION("""COMPUTED_VALUE"""),"CrownOfThornsJC")</f>
        <v>CrownOfThornsJC</v>
      </c>
      <c r="D1201" s="41"/>
      <c r="E1201" s="41">
        <f>IFERROR(__xludf.DUMMYFUNCTION("""COMPUTED_VALUE"""),0.0)</f>
        <v>0</v>
      </c>
      <c r="F1201" s="41">
        <f>IFERROR(__xludf.DUMMYFUNCTION("""COMPUTED_VALUE"""),1390.0)</f>
        <v>1390</v>
      </c>
    </row>
    <row r="1202">
      <c r="A1202" s="41" t="b">
        <f>IFERROR(__xludf.DUMMYFUNCTION("""COMPUTED_VALUE"""),TRUE)</f>
        <v>1</v>
      </c>
      <c r="B1202" s="41" t="str">
        <f>IFERROR(__xludf.DUMMYFUNCTION("""COMPUTED_VALUE"""),"RSC008629")</f>
        <v>RSC008629</v>
      </c>
      <c r="C1202" s="41" t="str">
        <f>IFERROR(__xludf.DUMMYFUNCTION("""COMPUTED_VALUE"""),"KimJongGoon22")</f>
        <v>KimJongGoon22</v>
      </c>
      <c r="D1202" s="41"/>
      <c r="E1202" s="41">
        <f>IFERROR(__xludf.DUMMYFUNCTION("""COMPUTED_VALUE"""),0.0)</f>
        <v>0</v>
      </c>
      <c r="F1202" s="41">
        <f>IFERROR(__xludf.DUMMYFUNCTION("""COMPUTED_VALUE"""),600.0)</f>
        <v>600</v>
      </c>
    </row>
    <row r="1203">
      <c r="A1203" s="41" t="b">
        <f>IFERROR(__xludf.DUMMYFUNCTION("""COMPUTED_VALUE"""),TRUE)</f>
        <v>1</v>
      </c>
      <c r="B1203" s="41" t="str">
        <f>IFERROR(__xludf.DUMMYFUNCTION("""COMPUTED_VALUE"""),"RSC008630")</f>
        <v>RSC008630</v>
      </c>
      <c r="C1203" s="41" t="str">
        <f>IFERROR(__xludf.DUMMYFUNCTION("""COMPUTED_VALUE"""),"ProllyLosinMMRrn")</f>
        <v>ProllyLosinMMRrn</v>
      </c>
      <c r="D1203" s="41"/>
      <c r="E1203" s="41">
        <f>IFERROR(__xludf.DUMMYFUNCTION("""COMPUTED_VALUE"""),0.0)</f>
        <v>0</v>
      </c>
      <c r="F1203" s="41">
        <f>IFERROR(__xludf.DUMMYFUNCTION("""COMPUTED_VALUE"""),600.0)</f>
        <v>600</v>
      </c>
    </row>
    <row r="1204">
      <c r="A1204" s="41" t="b">
        <f>IFERROR(__xludf.DUMMYFUNCTION("""COMPUTED_VALUE"""),TRUE)</f>
        <v>1</v>
      </c>
      <c r="B1204" s="41" t="str">
        <f>IFERROR(__xludf.DUMMYFUNCTION("""COMPUTED_VALUE"""),"RSC008631")</f>
        <v>RSC008631</v>
      </c>
      <c r="C1204" s="41" t="str">
        <f>IFERROR(__xludf.DUMMYFUNCTION("""COMPUTED_VALUE"""),"jnthn rl")</f>
        <v>jnthn rl</v>
      </c>
      <c r="D1204" s="41"/>
      <c r="E1204" s="41">
        <f>IFERROR(__xludf.DUMMYFUNCTION("""COMPUTED_VALUE"""),0.0)</f>
        <v>0</v>
      </c>
      <c r="F1204" s="41">
        <f>IFERROR(__xludf.DUMMYFUNCTION("""COMPUTED_VALUE"""),600.0)</f>
        <v>600</v>
      </c>
    </row>
    <row r="1205">
      <c r="A1205" s="41" t="b">
        <f>IFERROR(__xludf.DUMMYFUNCTION("""COMPUTED_VALUE"""),TRUE)</f>
        <v>1</v>
      </c>
      <c r="B1205" s="41" t="str">
        <f>IFERROR(__xludf.DUMMYFUNCTION("""COMPUTED_VALUE"""),"RSC003178")</f>
        <v>RSC003178</v>
      </c>
      <c r="C1205" s="41" t="str">
        <f>IFERROR(__xludf.DUMMYFUNCTION("""COMPUTED_VALUE"""),"Snack Time!")</f>
        <v>Snack Time!</v>
      </c>
      <c r="D1205" s="41" t="str">
        <f>IFERROR(__xludf.DUMMYFUNCTION("""COMPUTED_VALUE"""),"Ghastly Goombahs")</f>
        <v>Ghastly Goombahs</v>
      </c>
      <c r="E1205" s="41">
        <f>IFERROR(__xludf.DUMMYFUNCTION("""COMPUTED_VALUE"""),2.0)</f>
        <v>2</v>
      </c>
      <c r="F1205" s="41">
        <f>IFERROR(__xludf.DUMMYFUNCTION("""COMPUTED_VALUE"""),1665.0)</f>
        <v>1665</v>
      </c>
    </row>
    <row r="1206">
      <c r="A1206" s="41" t="b">
        <f>IFERROR(__xludf.DUMMYFUNCTION("""COMPUTED_VALUE"""),TRUE)</f>
        <v>1</v>
      </c>
      <c r="B1206" s="41" t="str">
        <f>IFERROR(__xludf.DUMMYFUNCTION("""COMPUTED_VALUE"""),"RSC008635")</f>
        <v>RSC008635</v>
      </c>
      <c r="C1206" s="41" t="str">
        <f>IFERROR(__xludf.DUMMYFUNCTION("""COMPUTED_VALUE"""),"Bpxn23")</f>
        <v>Bpxn23</v>
      </c>
      <c r="D1206" s="41"/>
      <c r="E1206" s="41">
        <f>IFERROR(__xludf.DUMMYFUNCTION("""COMPUTED_VALUE"""),0.0)</f>
        <v>0</v>
      </c>
      <c r="F1206" s="41">
        <f>IFERROR(__xludf.DUMMYFUNCTION("""COMPUTED_VALUE"""),600.0)</f>
        <v>600</v>
      </c>
    </row>
    <row r="1207">
      <c r="A1207" s="41" t="b">
        <f>IFERROR(__xludf.DUMMYFUNCTION("""COMPUTED_VALUE"""),FALSE)</f>
        <v>0</v>
      </c>
      <c r="B1207" s="41" t="str">
        <f>IFERROR(__xludf.DUMMYFUNCTION("""COMPUTED_VALUE"""),"RSC008637")</f>
        <v>RSC008637</v>
      </c>
      <c r="C1207" s="41" t="str">
        <f>IFERROR(__xludf.DUMMYFUNCTION("""COMPUTED_VALUE"""),"Mintzy_")</f>
        <v>Mintzy_</v>
      </c>
      <c r="D1207" s="41"/>
      <c r="E1207" s="41">
        <f>IFERROR(__xludf.DUMMYFUNCTION("""COMPUTED_VALUE"""),0.0)</f>
        <v>0</v>
      </c>
      <c r="F1207" s="41">
        <f>IFERROR(__xludf.DUMMYFUNCTION("""COMPUTED_VALUE"""),600.0)</f>
        <v>600</v>
      </c>
    </row>
    <row r="1208">
      <c r="A1208" s="41" t="b">
        <f>IFERROR(__xludf.DUMMYFUNCTION("""COMPUTED_VALUE"""),TRUE)</f>
        <v>1</v>
      </c>
      <c r="B1208" s="41" t="str">
        <f>IFERROR(__xludf.DUMMYFUNCTION("""COMPUTED_VALUE"""),"RSC008634")</f>
        <v>RSC008634</v>
      </c>
      <c r="C1208" s="41" t="str">
        <f>IFERROR(__xludf.DUMMYFUNCTION("""COMPUTED_VALUE"""),"LEUMYY")</f>
        <v>LEUMYY</v>
      </c>
      <c r="D1208" s="41"/>
      <c r="E1208" s="41">
        <f>IFERROR(__xludf.DUMMYFUNCTION("""COMPUTED_VALUE"""),0.0)</f>
        <v>0</v>
      </c>
      <c r="F1208" s="41">
        <f>IFERROR(__xludf.DUMMYFUNCTION("""COMPUTED_VALUE"""),600.0)</f>
        <v>600</v>
      </c>
    </row>
    <row r="1209">
      <c r="A1209" s="41" t="b">
        <f>IFERROR(__xludf.DUMMYFUNCTION("""COMPUTED_VALUE"""),TRUE)</f>
        <v>1</v>
      </c>
      <c r="B1209" s="41" t="str">
        <f>IFERROR(__xludf.DUMMYFUNCTION("""COMPUTED_VALUE"""),"RSC008582")</f>
        <v>RSC008582</v>
      </c>
      <c r="C1209" s="41" t="str">
        <f>IFERROR(__xludf.DUMMYFUNCTION("""COMPUTED_VALUE"""),"ZeXeR-_-")</f>
        <v>ZeXeR-_-</v>
      </c>
      <c r="D1209" s="41" t="str">
        <f>IFERROR(__xludf.DUMMYFUNCTION("""COMPUTED_VALUE"""),"Polar Ice")</f>
        <v>Polar Ice</v>
      </c>
      <c r="E1209" s="41">
        <f>IFERROR(__xludf.DUMMYFUNCTION("""COMPUTED_VALUE"""),0.0)</f>
        <v>0</v>
      </c>
      <c r="F1209" s="41">
        <f>IFERROR(__xludf.DUMMYFUNCTION("""COMPUTED_VALUE"""),1295.0)</f>
        <v>1295</v>
      </c>
    </row>
    <row r="1210">
      <c r="A1210" s="41" t="b">
        <f>IFERROR(__xludf.DUMMYFUNCTION("""COMPUTED_VALUE"""),FALSE)</f>
        <v>0</v>
      </c>
      <c r="B1210" s="41" t="str">
        <f>IFERROR(__xludf.DUMMYFUNCTION("""COMPUTED_VALUE"""),"RSC008638")</f>
        <v>RSC008638</v>
      </c>
      <c r="C1210" s="41" t="str">
        <f>IFERROR(__xludf.DUMMYFUNCTION("""COMPUTED_VALUE"""),"precons")</f>
        <v>precons</v>
      </c>
      <c r="D1210" s="41"/>
      <c r="E1210" s="41">
        <f>IFERROR(__xludf.DUMMYFUNCTION("""COMPUTED_VALUE"""),0.0)</f>
        <v>0</v>
      </c>
      <c r="F1210" s="41">
        <f>IFERROR(__xludf.DUMMYFUNCTION("""COMPUTED_VALUE"""),600.0)</f>
        <v>600</v>
      </c>
    </row>
    <row r="1211">
      <c r="A1211" s="41" t="b">
        <f>IFERROR(__xludf.DUMMYFUNCTION("""COMPUTED_VALUE"""),TRUE)</f>
        <v>1</v>
      </c>
      <c r="B1211" s="41" t="str">
        <f>IFERROR(__xludf.DUMMYFUNCTION("""COMPUTED_VALUE"""),"RSC008650")</f>
        <v>RSC008650</v>
      </c>
      <c r="C1211" s="41" t="str">
        <f>IFERROR(__xludf.DUMMYFUNCTION("""COMPUTED_VALUE"""),"Pizza Flavored")</f>
        <v>Pizza Flavored</v>
      </c>
      <c r="D1211" s="41"/>
      <c r="E1211" s="41">
        <f>IFERROR(__xludf.DUMMYFUNCTION("""COMPUTED_VALUE"""),0.0)</f>
        <v>0</v>
      </c>
      <c r="F1211" s="41">
        <f>IFERROR(__xludf.DUMMYFUNCTION("""COMPUTED_VALUE"""),600.0)</f>
        <v>600</v>
      </c>
    </row>
    <row r="1212">
      <c r="A1212" s="41" t="b">
        <f>IFERROR(__xludf.DUMMYFUNCTION("""COMPUTED_VALUE"""),TRUE)</f>
        <v>1</v>
      </c>
      <c r="B1212" s="41" t="str">
        <f>IFERROR(__xludf.DUMMYFUNCTION("""COMPUTED_VALUE"""),"RSC002062")</f>
        <v>RSC002062</v>
      </c>
      <c r="C1212" s="41" t="str">
        <f>IFERROR(__xludf.DUMMYFUNCTION("""COMPUTED_VALUE"""),"Qundar al-Din")</f>
        <v>Qundar al-Din</v>
      </c>
      <c r="D1212" s="41" t="str">
        <f>IFERROR(__xludf.DUMMYFUNCTION("""COMPUTED_VALUE"""),"Punks")</f>
        <v>Punks</v>
      </c>
      <c r="E1212" s="41">
        <f>IFERROR(__xludf.DUMMYFUNCTION("""COMPUTED_VALUE"""),2.0)</f>
        <v>2</v>
      </c>
      <c r="F1212" s="41">
        <f>IFERROR(__xludf.DUMMYFUNCTION("""COMPUTED_VALUE"""),1860.0)</f>
        <v>1860</v>
      </c>
    </row>
    <row r="1213">
      <c r="A1213" s="41" t="b">
        <f>IFERROR(__xludf.DUMMYFUNCTION("""COMPUTED_VALUE"""),TRUE)</f>
        <v>1</v>
      </c>
      <c r="B1213" s="41" t="str">
        <f>IFERROR(__xludf.DUMMYFUNCTION("""COMPUTED_VALUE"""),"RSC008640")</f>
        <v>RSC008640</v>
      </c>
      <c r="C1213" s="41" t="str">
        <f>IFERROR(__xludf.DUMMYFUNCTION("""COMPUTED_VALUE"""),"Giltch3dd")</f>
        <v>Giltch3dd</v>
      </c>
      <c r="D1213" s="41"/>
      <c r="E1213" s="41">
        <f>IFERROR(__xludf.DUMMYFUNCTION("""COMPUTED_VALUE"""),0.0)</f>
        <v>0</v>
      </c>
      <c r="F1213" s="41">
        <f>IFERROR(__xludf.DUMMYFUNCTION("""COMPUTED_VALUE"""),600.0)</f>
        <v>600</v>
      </c>
    </row>
    <row r="1214">
      <c r="A1214" s="41" t="b">
        <f>IFERROR(__xludf.DUMMYFUNCTION("""COMPUTED_VALUE"""),TRUE)</f>
        <v>1</v>
      </c>
      <c r="B1214" s="41" t="str">
        <f>IFERROR(__xludf.DUMMYFUNCTION("""COMPUTED_VALUE"""),"RSC008641")</f>
        <v>RSC008641</v>
      </c>
      <c r="C1214" s="41" t="str">
        <f>IFERROR(__xludf.DUMMYFUNCTION("""COMPUTED_VALUE"""),"BowlerBigT")</f>
        <v>BowlerBigT</v>
      </c>
      <c r="D1214" s="41"/>
      <c r="E1214" s="41">
        <f>IFERROR(__xludf.DUMMYFUNCTION("""COMPUTED_VALUE"""),0.0)</f>
        <v>0</v>
      </c>
      <c r="F1214" s="41">
        <f>IFERROR(__xludf.DUMMYFUNCTION("""COMPUTED_VALUE"""),600.0)</f>
        <v>600</v>
      </c>
    </row>
    <row r="1215">
      <c r="A1215" s="41" t="b">
        <f>IFERROR(__xludf.DUMMYFUNCTION("""COMPUTED_VALUE"""),FALSE)</f>
        <v>0</v>
      </c>
      <c r="B1215" s="41" t="str">
        <f>IFERROR(__xludf.DUMMYFUNCTION("""COMPUTED_VALUE"""),"RSC008639")</f>
        <v>RSC008639</v>
      </c>
      <c r="C1215" s="41" t="str">
        <f>IFERROR(__xludf.DUMMYFUNCTION("""COMPUTED_VALUE"""),"Yabolicious")</f>
        <v>Yabolicious</v>
      </c>
      <c r="D1215" s="41"/>
      <c r="E1215" s="41">
        <f>IFERROR(__xludf.DUMMYFUNCTION("""COMPUTED_VALUE"""),0.0)</f>
        <v>0</v>
      </c>
      <c r="F1215" s="41">
        <f>IFERROR(__xludf.DUMMYFUNCTION("""COMPUTED_VALUE"""),600.0)</f>
        <v>600</v>
      </c>
    </row>
    <row r="1216">
      <c r="A1216" s="41" t="b">
        <f>IFERROR(__xludf.DUMMYFUNCTION("""COMPUTED_VALUE"""),TRUE)</f>
        <v>1</v>
      </c>
      <c r="B1216" s="41" t="str">
        <f>IFERROR(__xludf.DUMMYFUNCTION("""COMPUTED_VALUE"""),"RSC008643")</f>
        <v>RSC008643</v>
      </c>
      <c r="C1216" s="41" t="str">
        <f>IFERROR(__xludf.DUMMYFUNCTION("""COMPUTED_VALUE"""),"Carbon.-")</f>
        <v>Carbon.-</v>
      </c>
      <c r="D1216" s="41"/>
      <c r="E1216" s="41">
        <f>IFERROR(__xludf.DUMMYFUNCTION("""COMPUTED_VALUE"""),0.0)</f>
        <v>0</v>
      </c>
      <c r="F1216" s="41">
        <f>IFERROR(__xludf.DUMMYFUNCTION("""COMPUTED_VALUE"""),600.0)</f>
        <v>600</v>
      </c>
    </row>
    <row r="1217">
      <c r="A1217" s="41" t="b">
        <f>IFERROR(__xludf.DUMMYFUNCTION("""COMPUTED_VALUE"""),TRUE)</f>
        <v>1</v>
      </c>
      <c r="B1217" s="41" t="str">
        <f>IFERROR(__xludf.DUMMYFUNCTION("""COMPUTED_VALUE"""),"RSC008645")</f>
        <v>RSC008645</v>
      </c>
      <c r="C1217" s="41" t="str">
        <f>IFERROR(__xludf.DUMMYFUNCTION("""COMPUTED_VALUE"""),"Honey pPacket")</f>
        <v>Honey pPacket</v>
      </c>
      <c r="D1217" s="41"/>
      <c r="E1217" s="41">
        <f>IFERROR(__xludf.DUMMYFUNCTION("""COMPUTED_VALUE"""),0.0)</f>
        <v>0</v>
      </c>
      <c r="F1217" s="41">
        <f>IFERROR(__xludf.DUMMYFUNCTION("""COMPUTED_VALUE"""),600.0)</f>
        <v>600</v>
      </c>
    </row>
    <row r="1218">
      <c r="A1218" s="41" t="b">
        <f>IFERROR(__xludf.DUMMYFUNCTION("""COMPUTED_VALUE"""),TRUE)</f>
        <v>1</v>
      </c>
      <c r="B1218" s="41" t="str">
        <f>IFERROR(__xludf.DUMMYFUNCTION("""COMPUTED_VALUE"""),"RSC008646")</f>
        <v>RSC008646</v>
      </c>
      <c r="C1218" s="41" t="str">
        <f>IFERROR(__xludf.DUMMYFUNCTION("""COMPUTED_VALUE"""),"LuckyMcPanda")</f>
        <v>LuckyMcPanda</v>
      </c>
      <c r="D1218" s="41"/>
      <c r="E1218" s="41">
        <f>IFERROR(__xludf.DUMMYFUNCTION("""COMPUTED_VALUE"""),0.0)</f>
        <v>0</v>
      </c>
      <c r="F1218" s="41">
        <f>IFERROR(__xludf.DUMMYFUNCTION("""COMPUTED_VALUE"""),600.0)</f>
        <v>600</v>
      </c>
    </row>
    <row r="1219">
      <c r="A1219" s="41" t="b">
        <f>IFERROR(__xludf.DUMMYFUNCTION("""COMPUTED_VALUE"""),TRUE)</f>
        <v>1</v>
      </c>
      <c r="B1219" s="41" t="str">
        <f>IFERROR(__xludf.DUMMYFUNCTION("""COMPUTED_VALUE"""),"RSC008647")</f>
        <v>RSC008647</v>
      </c>
      <c r="C1219" s="41" t="str">
        <f>IFERROR(__xludf.DUMMYFUNCTION("""COMPUTED_VALUE"""),"BlackoutWulsey")</f>
        <v>BlackoutWulsey</v>
      </c>
      <c r="D1219" s="41"/>
      <c r="E1219" s="41">
        <f>IFERROR(__xludf.DUMMYFUNCTION("""COMPUTED_VALUE"""),0.0)</f>
        <v>0</v>
      </c>
      <c r="F1219" s="41">
        <f>IFERROR(__xludf.DUMMYFUNCTION("""COMPUTED_VALUE"""),600.0)</f>
        <v>600</v>
      </c>
    </row>
    <row r="1220">
      <c r="A1220" s="41" t="b">
        <f>IFERROR(__xludf.DUMMYFUNCTION("""COMPUTED_VALUE"""),TRUE)</f>
        <v>1</v>
      </c>
      <c r="B1220" s="41" t="str">
        <f>IFERROR(__xludf.DUMMYFUNCTION("""COMPUTED_VALUE"""),"RSC008648")</f>
        <v>RSC008648</v>
      </c>
      <c r="C1220" s="41" t="str">
        <f>IFERROR(__xludf.DUMMYFUNCTION("""COMPUTED_VALUE"""),"xcami4")</f>
        <v>xcami4</v>
      </c>
      <c r="D1220" s="41"/>
      <c r="E1220" s="41">
        <f>IFERROR(__xludf.DUMMYFUNCTION("""COMPUTED_VALUE"""),0.0)</f>
        <v>0</v>
      </c>
      <c r="F1220" s="41">
        <f>IFERROR(__xludf.DUMMYFUNCTION("""COMPUTED_VALUE"""),600.0)</f>
        <v>600</v>
      </c>
    </row>
    <row r="1221">
      <c r="A1221" s="41" t="b">
        <f>IFERROR(__xludf.DUMMYFUNCTION("""COMPUTED_VALUE"""),TRUE)</f>
        <v>1</v>
      </c>
      <c r="B1221" s="41" t="str">
        <f>IFERROR(__xludf.DUMMYFUNCTION("""COMPUTED_VALUE"""),"RSC008649")</f>
        <v>RSC008649</v>
      </c>
      <c r="C1221" s="41" t="str">
        <f>IFERROR(__xludf.DUMMYFUNCTION("""COMPUTED_VALUE"""),"Wettham0906")</f>
        <v>Wettham0906</v>
      </c>
      <c r="D1221" s="41"/>
      <c r="E1221" s="41">
        <f>IFERROR(__xludf.DUMMYFUNCTION("""COMPUTED_VALUE"""),0.0)</f>
        <v>0</v>
      </c>
      <c r="F1221" s="41">
        <f>IFERROR(__xludf.DUMMYFUNCTION("""COMPUTED_VALUE"""),600.0)</f>
        <v>600</v>
      </c>
    </row>
    <row r="1222">
      <c r="A1222" s="41" t="b">
        <f>IFERROR(__xludf.DUMMYFUNCTION("""COMPUTED_VALUE"""),TRUE)</f>
        <v>1</v>
      </c>
      <c r="B1222" s="41" t="str">
        <f>IFERROR(__xludf.DUMMYFUNCTION("""COMPUTED_VALUE"""),"RSC008653")</f>
        <v>RSC008653</v>
      </c>
      <c r="C1222" s="41" t="str">
        <f>IFERROR(__xludf.DUMMYFUNCTION("""COMPUTED_VALUE"""),"Ko.")</f>
        <v>Ko.</v>
      </c>
      <c r="D1222" s="41"/>
      <c r="E1222" s="41">
        <f>IFERROR(__xludf.DUMMYFUNCTION("""COMPUTED_VALUE"""),0.0)</f>
        <v>0</v>
      </c>
      <c r="F1222" s="41">
        <f>IFERROR(__xludf.DUMMYFUNCTION("""COMPUTED_VALUE"""),600.0)</f>
        <v>600</v>
      </c>
    </row>
    <row r="1223">
      <c r="A1223" s="41" t="b">
        <f>IFERROR(__xludf.DUMMYFUNCTION("""COMPUTED_VALUE"""),TRUE)</f>
        <v>1</v>
      </c>
      <c r="B1223" s="41" t="str">
        <f>IFERROR(__xludf.DUMMYFUNCTION("""COMPUTED_VALUE"""),"RSC008652")</f>
        <v>RSC008652</v>
      </c>
      <c r="C1223" s="41" t="str">
        <f>IFERROR(__xludf.DUMMYFUNCTION("""COMPUTED_VALUE"""),"TTv2twisteda")</f>
        <v>TTv2twisteda</v>
      </c>
      <c r="D1223" s="41"/>
      <c r="E1223" s="41">
        <f>IFERROR(__xludf.DUMMYFUNCTION("""COMPUTED_VALUE"""),0.0)</f>
        <v>0</v>
      </c>
      <c r="F1223" s="41">
        <f>IFERROR(__xludf.DUMMYFUNCTION("""COMPUTED_VALUE"""),600.0)</f>
        <v>600</v>
      </c>
    </row>
    <row r="1224">
      <c r="A1224" s="41"/>
      <c r="B1224" s="41"/>
      <c r="C1224" s="41"/>
      <c r="D1224" s="41"/>
      <c r="E1224" s="41"/>
      <c r="F1224" s="41"/>
    </row>
    <row r="1225">
      <c r="A1225" s="41"/>
      <c r="B1225" s="41"/>
      <c r="C1225" s="41"/>
      <c r="D1225" s="41"/>
      <c r="E1225" s="41"/>
      <c r="F1225" s="41"/>
    </row>
    <row r="1226">
      <c r="A1226" s="41"/>
      <c r="B1226" s="41"/>
      <c r="C1226" s="41"/>
      <c r="D1226" s="41"/>
      <c r="E1226" s="41"/>
      <c r="F1226" s="41"/>
    </row>
    <row r="1227">
      <c r="A1227" s="41"/>
      <c r="B1227" s="41"/>
      <c r="C1227" s="41"/>
      <c r="D1227" s="41"/>
      <c r="E1227" s="41"/>
      <c r="F1227" s="41"/>
    </row>
    <row r="1228">
      <c r="A1228" s="41"/>
      <c r="B1228" s="41"/>
      <c r="C1228" s="41"/>
      <c r="D1228" s="41"/>
      <c r="E1228" s="41"/>
      <c r="F1228" s="41"/>
    </row>
    <row r="1229">
      <c r="A1229" s="41"/>
      <c r="B1229" s="41"/>
      <c r="C1229" s="41"/>
      <c r="D1229" s="41"/>
      <c r="E1229" s="41"/>
      <c r="F1229" s="41"/>
    </row>
    <row r="1230">
      <c r="A1230" s="41"/>
      <c r="B1230" s="41"/>
      <c r="C1230" s="41"/>
      <c r="D1230" s="41"/>
      <c r="E1230" s="41"/>
      <c r="F1230" s="41"/>
    </row>
    <row r="1231">
      <c r="A1231" s="41"/>
      <c r="B1231" s="41"/>
      <c r="C1231" s="41"/>
      <c r="D1231" s="41"/>
      <c r="E1231" s="41"/>
      <c r="F1231" s="41"/>
    </row>
    <row r="1232">
      <c r="A1232" s="41"/>
      <c r="B1232" s="41"/>
      <c r="C1232" s="41"/>
      <c r="D1232" s="41"/>
      <c r="E1232" s="41"/>
      <c r="F1232" s="41"/>
    </row>
    <row r="1233">
      <c r="A1233" s="41"/>
      <c r="B1233" s="41"/>
      <c r="C1233" s="41"/>
      <c r="D1233" s="41"/>
      <c r="E1233" s="41"/>
      <c r="F1233" s="41"/>
    </row>
    <row r="1234">
      <c r="A1234" s="41"/>
      <c r="B1234" s="41"/>
      <c r="C1234" s="41"/>
      <c r="D1234" s="41"/>
      <c r="E1234" s="41"/>
      <c r="F1234" s="41"/>
    </row>
    <row r="1235">
      <c r="A1235" s="41"/>
      <c r="B1235" s="41"/>
      <c r="C1235" s="41"/>
      <c r="D1235" s="41"/>
      <c r="E1235" s="41"/>
      <c r="F1235" s="41"/>
    </row>
    <row r="1236">
      <c r="A1236" s="41"/>
      <c r="B1236" s="41"/>
      <c r="C1236" s="41"/>
      <c r="D1236" s="41"/>
      <c r="E1236" s="41"/>
      <c r="F1236" s="41"/>
    </row>
    <row r="1237">
      <c r="A1237" s="41"/>
      <c r="B1237" s="41"/>
      <c r="C1237" s="41"/>
      <c r="D1237" s="41"/>
      <c r="E1237" s="41"/>
      <c r="F1237" s="41"/>
    </row>
    <row r="1238">
      <c r="A1238" s="41"/>
      <c r="B1238" s="41"/>
      <c r="C1238" s="41"/>
      <c r="D1238" s="41"/>
      <c r="E1238" s="41"/>
      <c r="F1238" s="41"/>
    </row>
    <row r="1239">
      <c r="A1239" s="41"/>
      <c r="B1239" s="41"/>
      <c r="C1239" s="41"/>
      <c r="D1239" s="41"/>
      <c r="E1239" s="41"/>
      <c r="F1239" s="41"/>
    </row>
    <row r="1240">
      <c r="A1240" s="41"/>
      <c r="B1240" s="41"/>
      <c r="C1240" s="41"/>
      <c r="D1240" s="41"/>
      <c r="E1240" s="41"/>
      <c r="F1240" s="41"/>
    </row>
    <row r="1241">
      <c r="A1241" s="41"/>
      <c r="B1241" s="41"/>
      <c r="C1241" s="41"/>
      <c r="D1241" s="41"/>
      <c r="E1241" s="41"/>
      <c r="F1241" s="41"/>
    </row>
    <row r="1242">
      <c r="A1242" s="41"/>
      <c r="B1242" s="41"/>
      <c r="C1242" s="41"/>
      <c r="D1242" s="41"/>
      <c r="E1242" s="41"/>
      <c r="F1242" s="41"/>
    </row>
    <row r="1243">
      <c r="A1243" s="41"/>
      <c r="B1243" s="41"/>
      <c r="C1243" s="41"/>
      <c r="D1243" s="41"/>
      <c r="E1243" s="41"/>
      <c r="F1243" s="41"/>
    </row>
    <row r="1244">
      <c r="A1244" s="41"/>
      <c r="B1244" s="41"/>
      <c r="C1244" s="41"/>
      <c r="D1244" s="41"/>
      <c r="E1244" s="41"/>
      <c r="F1244" s="41"/>
    </row>
    <row r="1245">
      <c r="A1245" s="41"/>
      <c r="B1245" s="41"/>
      <c r="C1245" s="41"/>
      <c r="D1245" s="41"/>
      <c r="E1245" s="41"/>
      <c r="F1245" s="41"/>
    </row>
    <row r="1246">
      <c r="A1246" s="41"/>
      <c r="B1246" s="41"/>
      <c r="C1246" s="41"/>
      <c r="D1246" s="41"/>
      <c r="E1246" s="41"/>
      <c r="F1246" s="41"/>
    </row>
    <row r="1247">
      <c r="A1247" s="41"/>
      <c r="B1247" s="41"/>
      <c r="C1247" s="41"/>
      <c r="D1247" s="41"/>
      <c r="E1247" s="41"/>
      <c r="F1247" s="41"/>
    </row>
    <row r="1248">
      <c r="A1248" s="41"/>
      <c r="B1248" s="41"/>
      <c r="C1248" s="41"/>
      <c r="D1248" s="41"/>
      <c r="E1248" s="41"/>
      <c r="F1248" s="41"/>
    </row>
    <row r="1249">
      <c r="A1249" s="41"/>
      <c r="B1249" s="41"/>
      <c r="C1249" s="41"/>
      <c r="D1249" s="41"/>
      <c r="E1249" s="41"/>
      <c r="F1249" s="41"/>
    </row>
    <row r="1250">
      <c r="A1250" s="41"/>
      <c r="B1250" s="41"/>
      <c r="C1250" s="41"/>
      <c r="D1250" s="41"/>
      <c r="E1250" s="41"/>
      <c r="F1250" s="41"/>
    </row>
    <row r="1251">
      <c r="A1251" s="41"/>
      <c r="B1251" s="41"/>
      <c r="C1251" s="41"/>
      <c r="D1251" s="41"/>
      <c r="E1251" s="41"/>
      <c r="F1251" s="41"/>
    </row>
    <row r="1252">
      <c r="A1252" s="41"/>
      <c r="B1252" s="41"/>
      <c r="C1252" s="41"/>
      <c r="D1252" s="41"/>
      <c r="E1252" s="41"/>
      <c r="F1252" s="41"/>
    </row>
    <row r="1253">
      <c r="A1253" s="41"/>
      <c r="B1253" s="41"/>
      <c r="C1253" s="41"/>
      <c r="D1253" s="41"/>
      <c r="E1253" s="41"/>
      <c r="F1253" s="41"/>
    </row>
    <row r="1254">
      <c r="A1254" s="41"/>
      <c r="B1254" s="41"/>
      <c r="C1254" s="41"/>
      <c r="D1254" s="41"/>
      <c r="E1254" s="41"/>
      <c r="F1254" s="41"/>
    </row>
    <row r="1255">
      <c r="A1255" s="41"/>
      <c r="B1255" s="41"/>
      <c r="C1255" s="41"/>
      <c r="D1255" s="41"/>
      <c r="E1255" s="41"/>
      <c r="F1255" s="41"/>
    </row>
    <row r="1256">
      <c r="A1256" s="41"/>
      <c r="B1256" s="41"/>
      <c r="C1256" s="41"/>
      <c r="D1256" s="41"/>
      <c r="E1256" s="41"/>
      <c r="F1256" s="41"/>
    </row>
    <row r="1257">
      <c r="A1257" s="41"/>
      <c r="B1257" s="41"/>
      <c r="C1257" s="41"/>
      <c r="D1257" s="41"/>
      <c r="E1257" s="41"/>
      <c r="F1257" s="41"/>
    </row>
    <row r="1258">
      <c r="A1258" s="41"/>
      <c r="B1258" s="41"/>
      <c r="C1258" s="41"/>
      <c r="D1258" s="41"/>
      <c r="E1258" s="41"/>
      <c r="F1258" s="41"/>
    </row>
    <row r="1259">
      <c r="A1259" s="41"/>
      <c r="B1259" s="41"/>
      <c r="C1259" s="41"/>
      <c r="D1259" s="41"/>
      <c r="E1259" s="41"/>
      <c r="F1259" s="41"/>
    </row>
    <row r="1260">
      <c r="A1260" s="41"/>
      <c r="B1260" s="41"/>
      <c r="C1260" s="41"/>
      <c r="D1260" s="41"/>
      <c r="E1260" s="41"/>
      <c r="F1260" s="41"/>
    </row>
    <row r="1261">
      <c r="A1261" s="41"/>
      <c r="B1261" s="41"/>
      <c r="C1261" s="41"/>
      <c r="D1261" s="41"/>
      <c r="E1261" s="41"/>
      <c r="F1261" s="41"/>
    </row>
    <row r="1262">
      <c r="A1262" s="41"/>
      <c r="B1262" s="41"/>
      <c r="C1262" s="41"/>
      <c r="D1262" s="41"/>
      <c r="E1262" s="41"/>
      <c r="F1262" s="41"/>
    </row>
    <row r="1263">
      <c r="A1263" s="41"/>
      <c r="B1263" s="41"/>
      <c r="C1263" s="41"/>
      <c r="D1263" s="41"/>
      <c r="E1263" s="41"/>
      <c r="F1263" s="41"/>
    </row>
    <row r="1264">
      <c r="A1264" s="41"/>
      <c r="B1264" s="41"/>
      <c r="C1264" s="41"/>
      <c r="D1264" s="41"/>
      <c r="E1264" s="41"/>
      <c r="F1264" s="41"/>
    </row>
    <row r="1265">
      <c r="A1265" s="41"/>
      <c r="B1265" s="41"/>
      <c r="C1265" s="41"/>
      <c r="D1265" s="41"/>
      <c r="E1265" s="41"/>
      <c r="F1265" s="41"/>
    </row>
    <row r="1266">
      <c r="A1266" s="41"/>
      <c r="B1266" s="41"/>
      <c r="C1266" s="41"/>
      <c r="D1266" s="41"/>
      <c r="E1266" s="41"/>
      <c r="F1266" s="41"/>
    </row>
    <row r="1267">
      <c r="A1267" s="41"/>
      <c r="B1267" s="41"/>
      <c r="C1267" s="41"/>
      <c r="D1267" s="41"/>
      <c r="E1267" s="41"/>
      <c r="F1267" s="41"/>
    </row>
    <row r="1268">
      <c r="A1268" s="41"/>
      <c r="B1268" s="41"/>
      <c r="C1268" s="41"/>
      <c r="D1268" s="41"/>
      <c r="E1268" s="41"/>
      <c r="F1268" s="41"/>
    </row>
    <row r="1269">
      <c r="A1269" s="41"/>
      <c r="B1269" s="41"/>
      <c r="C1269" s="41"/>
      <c r="D1269" s="41"/>
      <c r="E1269" s="41"/>
      <c r="F1269" s="41"/>
    </row>
    <row r="1270">
      <c r="A1270" s="41"/>
      <c r="B1270" s="41"/>
      <c r="C1270" s="41"/>
      <c r="D1270" s="41"/>
      <c r="E1270" s="41"/>
      <c r="F1270" s="41"/>
    </row>
    <row r="1271">
      <c r="A1271" s="41"/>
      <c r="B1271" s="41"/>
      <c r="C1271" s="41"/>
      <c r="D1271" s="41"/>
      <c r="E1271" s="41"/>
      <c r="F1271" s="41"/>
    </row>
    <row r="1272">
      <c r="A1272" s="41"/>
      <c r="B1272" s="41"/>
      <c r="C1272" s="41"/>
      <c r="D1272" s="41"/>
      <c r="E1272" s="41"/>
      <c r="F1272" s="41"/>
    </row>
    <row r="1273">
      <c r="A1273" s="41"/>
      <c r="B1273" s="41"/>
      <c r="C1273" s="41"/>
      <c r="D1273" s="41"/>
      <c r="E1273" s="41"/>
      <c r="F1273" s="41"/>
    </row>
    <row r="1274">
      <c r="A1274" s="41"/>
      <c r="B1274" s="41"/>
      <c r="C1274" s="41"/>
      <c r="D1274" s="41"/>
      <c r="E1274" s="41"/>
      <c r="F1274" s="41"/>
    </row>
    <row r="1275">
      <c r="A1275" s="41"/>
      <c r="B1275" s="41"/>
      <c r="C1275" s="41"/>
      <c r="D1275" s="41"/>
      <c r="E1275" s="41"/>
      <c r="F1275" s="41"/>
    </row>
    <row r="1276">
      <c r="A1276" s="41"/>
      <c r="B1276" s="41"/>
      <c r="C1276" s="41"/>
      <c r="D1276" s="41"/>
      <c r="E1276" s="41"/>
      <c r="F1276" s="41"/>
    </row>
    <row r="1277">
      <c r="A1277" s="41"/>
      <c r="B1277" s="41"/>
      <c r="C1277" s="41"/>
      <c r="D1277" s="41"/>
      <c r="E1277" s="41"/>
      <c r="F1277" s="41"/>
    </row>
    <row r="1278">
      <c r="A1278" s="41"/>
      <c r="B1278" s="41"/>
      <c r="C1278" s="41"/>
      <c r="D1278" s="41"/>
      <c r="E1278" s="41"/>
      <c r="F1278" s="41"/>
    </row>
    <row r="1279">
      <c r="A1279" s="41"/>
      <c r="B1279" s="41"/>
      <c r="C1279" s="41"/>
      <c r="D1279" s="41"/>
      <c r="E1279" s="41"/>
      <c r="F1279" s="41"/>
    </row>
    <row r="1280">
      <c r="A1280" s="41"/>
      <c r="B1280" s="41"/>
      <c r="C1280" s="41"/>
      <c r="D1280" s="41"/>
      <c r="E1280" s="41"/>
      <c r="F1280" s="41"/>
    </row>
    <row r="1281">
      <c r="A1281" s="41"/>
      <c r="B1281" s="41"/>
      <c r="C1281" s="41"/>
      <c r="D1281" s="41"/>
      <c r="E1281" s="41"/>
      <c r="F1281" s="41"/>
    </row>
    <row r="1282">
      <c r="A1282" s="41"/>
      <c r="B1282" s="41"/>
      <c r="C1282" s="41"/>
      <c r="D1282" s="41"/>
      <c r="E1282" s="41"/>
      <c r="F1282" s="41"/>
    </row>
    <row r="1283">
      <c r="A1283" s="41"/>
      <c r="B1283" s="41"/>
      <c r="C1283" s="41"/>
      <c r="D1283" s="41"/>
      <c r="E1283" s="41"/>
      <c r="F1283" s="41"/>
    </row>
    <row r="1284">
      <c r="A1284" s="41"/>
      <c r="B1284" s="41"/>
      <c r="C1284" s="41"/>
      <c r="D1284" s="41"/>
      <c r="E1284" s="41"/>
      <c r="F1284" s="41"/>
    </row>
    <row r="1285">
      <c r="A1285" s="41"/>
      <c r="B1285" s="41"/>
      <c r="C1285" s="41"/>
      <c r="D1285" s="41"/>
      <c r="E1285" s="41"/>
      <c r="F1285" s="41"/>
    </row>
    <row r="1286">
      <c r="A1286" s="41"/>
      <c r="B1286" s="41"/>
      <c r="C1286" s="41"/>
      <c r="D1286" s="41"/>
      <c r="E1286" s="41"/>
      <c r="F1286" s="41"/>
    </row>
    <row r="1287">
      <c r="A1287" s="41"/>
      <c r="B1287" s="41"/>
      <c r="C1287" s="41"/>
      <c r="D1287" s="41"/>
      <c r="E1287" s="41"/>
      <c r="F1287" s="41"/>
    </row>
    <row r="1288">
      <c r="A1288" s="41"/>
      <c r="B1288" s="41"/>
      <c r="C1288" s="41"/>
      <c r="D1288" s="41"/>
      <c r="E1288" s="41"/>
      <c r="F1288" s="41"/>
    </row>
    <row r="1289">
      <c r="A1289" s="41"/>
      <c r="B1289" s="41"/>
      <c r="C1289" s="41"/>
      <c r="D1289" s="41"/>
      <c r="E1289" s="41"/>
      <c r="F1289" s="41"/>
    </row>
    <row r="1290">
      <c r="A1290" s="41"/>
      <c r="B1290" s="41"/>
      <c r="C1290" s="41"/>
      <c r="D1290" s="41"/>
      <c r="E1290" s="41"/>
      <c r="F1290" s="41"/>
    </row>
    <row r="1291">
      <c r="A1291" s="41"/>
      <c r="B1291" s="41"/>
      <c r="C1291" s="41"/>
      <c r="D1291" s="41"/>
      <c r="E1291" s="41"/>
      <c r="F1291" s="41"/>
    </row>
    <row r="1292">
      <c r="A1292" s="41"/>
      <c r="B1292" s="41"/>
      <c r="C1292" s="41"/>
      <c r="D1292" s="41"/>
      <c r="E1292" s="41"/>
      <c r="F1292" s="41"/>
    </row>
    <row r="1293">
      <c r="A1293" s="41"/>
      <c r="B1293" s="41"/>
      <c r="C1293" s="41"/>
      <c r="D1293" s="41"/>
      <c r="E1293" s="41"/>
      <c r="F1293" s="41"/>
    </row>
    <row r="1294">
      <c r="A1294" s="41"/>
      <c r="B1294" s="41"/>
      <c r="C1294" s="41"/>
      <c r="D1294" s="41"/>
      <c r="E1294" s="41"/>
      <c r="F1294" s="41"/>
    </row>
    <row r="1295">
      <c r="A1295" s="41"/>
      <c r="B1295" s="41"/>
      <c r="C1295" s="41"/>
      <c r="D1295" s="41"/>
      <c r="E1295" s="41"/>
      <c r="F1295" s="41"/>
    </row>
    <row r="1296">
      <c r="A1296" s="41"/>
      <c r="B1296" s="41"/>
      <c r="C1296" s="41"/>
      <c r="D1296" s="41"/>
      <c r="E1296" s="41"/>
      <c r="F1296" s="41"/>
    </row>
    <row r="1297">
      <c r="A1297" s="41"/>
      <c r="B1297" s="41"/>
      <c r="C1297" s="41"/>
      <c r="D1297" s="41"/>
      <c r="E1297" s="41"/>
      <c r="F1297" s="41"/>
    </row>
    <row r="1298">
      <c r="A1298" s="41"/>
      <c r="B1298" s="41"/>
      <c r="C1298" s="41"/>
      <c r="D1298" s="41"/>
      <c r="E1298" s="41"/>
      <c r="F1298" s="41"/>
    </row>
    <row r="1299">
      <c r="A1299" s="41"/>
      <c r="B1299" s="41"/>
      <c r="C1299" s="41"/>
      <c r="D1299" s="41"/>
      <c r="E1299" s="41"/>
      <c r="F1299" s="41"/>
    </row>
    <row r="1300">
      <c r="A1300" s="41"/>
      <c r="B1300" s="41"/>
      <c r="C1300" s="41"/>
      <c r="D1300" s="41"/>
      <c r="E1300" s="41"/>
      <c r="F1300" s="41"/>
    </row>
    <row r="1301">
      <c r="A1301" s="41"/>
      <c r="B1301" s="41"/>
      <c r="C1301" s="41"/>
      <c r="D1301" s="41"/>
      <c r="E1301" s="41"/>
      <c r="F1301" s="41"/>
    </row>
    <row r="1302">
      <c r="A1302" s="41"/>
      <c r="B1302" s="41"/>
      <c r="C1302" s="41"/>
      <c r="D1302" s="41"/>
      <c r="E1302" s="41"/>
      <c r="F1302" s="41"/>
    </row>
    <row r="1303">
      <c r="A1303" s="41"/>
      <c r="B1303" s="41"/>
      <c r="C1303" s="41"/>
      <c r="D1303" s="41"/>
      <c r="E1303" s="41"/>
      <c r="F1303" s="41"/>
    </row>
    <row r="1304">
      <c r="A1304" s="41"/>
      <c r="B1304" s="41"/>
      <c r="C1304" s="41"/>
      <c r="D1304" s="41"/>
      <c r="E1304" s="41"/>
      <c r="F1304" s="41"/>
    </row>
    <row r="1305">
      <c r="A1305" s="41"/>
      <c r="B1305" s="41"/>
      <c r="C1305" s="41"/>
      <c r="D1305" s="41"/>
      <c r="E1305" s="41"/>
      <c r="F1305" s="41"/>
    </row>
    <row r="1306">
      <c r="A1306" s="41"/>
      <c r="B1306" s="41"/>
      <c r="C1306" s="41"/>
      <c r="D1306" s="41"/>
      <c r="E1306" s="41"/>
      <c r="F1306" s="41"/>
    </row>
    <row r="1307">
      <c r="A1307" s="41"/>
      <c r="B1307" s="41"/>
      <c r="C1307" s="41"/>
      <c r="D1307" s="41"/>
      <c r="E1307" s="41"/>
      <c r="F1307" s="41"/>
    </row>
    <row r="1308">
      <c r="A1308" s="41"/>
      <c r="B1308" s="41"/>
      <c r="C1308" s="41"/>
      <c r="D1308" s="41"/>
      <c r="E1308" s="41"/>
      <c r="F1308" s="41"/>
    </row>
    <row r="1309">
      <c r="A1309" s="41"/>
      <c r="B1309" s="41"/>
      <c r="C1309" s="41"/>
      <c r="D1309" s="41"/>
      <c r="E1309" s="41"/>
      <c r="F1309" s="41"/>
    </row>
    <row r="1310">
      <c r="A1310" s="41"/>
      <c r="B1310" s="41"/>
      <c r="C1310" s="41"/>
      <c r="D1310" s="41"/>
      <c r="E1310" s="41"/>
      <c r="F1310" s="41"/>
    </row>
    <row r="1311">
      <c r="A1311" s="41"/>
      <c r="B1311" s="41"/>
      <c r="C1311" s="41"/>
      <c r="D1311" s="41"/>
      <c r="E1311" s="41"/>
      <c r="F1311" s="41"/>
    </row>
    <row r="1312">
      <c r="A1312" s="41"/>
      <c r="B1312" s="41"/>
      <c r="C1312" s="41"/>
      <c r="D1312" s="41"/>
      <c r="E1312" s="41"/>
      <c r="F1312" s="41"/>
    </row>
    <row r="1313">
      <c r="A1313" s="41"/>
      <c r="B1313" s="41"/>
      <c r="C1313" s="41"/>
      <c r="D1313" s="41"/>
      <c r="E1313" s="41"/>
      <c r="F1313" s="41"/>
    </row>
    <row r="1314">
      <c r="A1314" s="41"/>
      <c r="B1314" s="41"/>
      <c r="C1314" s="41"/>
      <c r="D1314" s="41"/>
      <c r="E1314" s="41"/>
      <c r="F1314" s="41"/>
    </row>
    <row r="1315">
      <c r="A1315" s="41"/>
      <c r="B1315" s="41"/>
      <c r="C1315" s="41"/>
      <c r="D1315" s="41"/>
      <c r="E1315" s="41"/>
      <c r="F1315" s="41"/>
    </row>
    <row r="1316">
      <c r="A1316" s="41"/>
      <c r="B1316" s="41"/>
      <c r="C1316" s="41"/>
      <c r="D1316" s="41"/>
      <c r="E1316" s="41"/>
      <c r="F1316" s="41"/>
    </row>
    <row r="1317">
      <c r="A1317" s="41"/>
      <c r="B1317" s="41"/>
      <c r="C1317" s="41"/>
      <c r="D1317" s="41"/>
      <c r="E1317" s="41"/>
      <c r="F1317" s="41"/>
    </row>
    <row r="1318">
      <c r="A1318" s="41"/>
      <c r="B1318" s="41"/>
      <c r="C1318" s="41"/>
      <c r="D1318" s="41"/>
      <c r="E1318" s="41"/>
      <c r="F1318" s="41"/>
    </row>
    <row r="1319">
      <c r="A1319" s="41"/>
      <c r="B1319" s="41"/>
      <c r="C1319" s="41"/>
      <c r="D1319" s="41"/>
      <c r="E1319" s="41"/>
      <c r="F1319" s="41"/>
    </row>
    <row r="1320">
      <c r="A1320" s="41"/>
      <c r="B1320" s="41"/>
      <c r="C1320" s="41"/>
      <c r="D1320" s="41"/>
      <c r="E1320" s="41"/>
      <c r="F1320" s="41"/>
    </row>
    <row r="1321">
      <c r="A1321" s="41"/>
      <c r="B1321" s="41"/>
      <c r="C1321" s="41"/>
      <c r="D1321" s="41"/>
      <c r="E1321" s="41"/>
      <c r="F1321" s="41"/>
    </row>
    <row r="1322">
      <c r="A1322" s="41"/>
      <c r="B1322" s="41"/>
      <c r="C1322" s="41"/>
      <c r="D1322" s="41"/>
      <c r="E1322" s="41"/>
      <c r="F1322" s="41"/>
    </row>
    <row r="1323">
      <c r="A1323" s="41"/>
      <c r="B1323" s="41"/>
      <c r="C1323" s="41"/>
      <c r="D1323" s="41"/>
      <c r="E1323" s="41"/>
      <c r="F1323" s="41"/>
    </row>
    <row r="1324">
      <c r="A1324" s="41"/>
      <c r="B1324" s="41"/>
      <c r="C1324" s="41"/>
      <c r="D1324" s="41"/>
      <c r="E1324" s="41"/>
      <c r="F1324" s="41"/>
    </row>
    <row r="1325">
      <c r="A1325" s="41"/>
      <c r="B1325" s="41"/>
      <c r="C1325" s="41"/>
      <c r="D1325" s="41"/>
      <c r="E1325" s="41"/>
      <c r="F1325" s="41"/>
    </row>
    <row r="1326">
      <c r="A1326" s="41"/>
      <c r="B1326" s="41"/>
      <c r="C1326" s="41"/>
      <c r="D1326" s="41"/>
      <c r="E1326" s="41"/>
      <c r="F1326" s="41"/>
    </row>
    <row r="1327">
      <c r="A1327" s="41"/>
      <c r="B1327" s="41"/>
      <c r="C1327" s="41"/>
      <c r="D1327" s="41"/>
      <c r="E1327" s="41"/>
      <c r="F1327" s="41"/>
    </row>
    <row r="1328">
      <c r="A1328" s="41"/>
      <c r="B1328" s="41"/>
      <c r="C1328" s="41"/>
      <c r="D1328" s="41"/>
      <c r="E1328" s="41"/>
      <c r="F1328" s="41"/>
    </row>
    <row r="1329">
      <c r="A1329" s="41"/>
      <c r="B1329" s="41"/>
      <c r="C1329" s="41"/>
      <c r="D1329" s="41"/>
      <c r="E1329" s="41"/>
      <c r="F1329" s="41"/>
    </row>
    <row r="1330">
      <c r="A1330" s="41"/>
      <c r="B1330" s="41"/>
      <c r="C1330" s="41"/>
      <c r="D1330" s="41"/>
      <c r="E1330" s="41"/>
      <c r="F1330" s="41"/>
    </row>
    <row r="1331">
      <c r="A1331" s="41"/>
      <c r="B1331" s="41"/>
      <c r="C1331" s="41"/>
      <c r="D1331" s="41"/>
      <c r="E1331" s="41"/>
      <c r="F1331" s="41"/>
    </row>
    <row r="1332">
      <c r="A1332" s="41"/>
      <c r="B1332" s="41"/>
      <c r="C1332" s="41"/>
      <c r="D1332" s="41"/>
      <c r="E1332" s="41"/>
      <c r="F1332" s="41"/>
    </row>
    <row r="1333">
      <c r="A1333" s="41"/>
      <c r="B1333" s="41"/>
      <c r="C1333" s="41"/>
      <c r="D1333" s="41"/>
      <c r="E1333" s="41"/>
      <c r="F1333" s="41"/>
    </row>
    <row r="1334">
      <c r="A1334" s="41"/>
      <c r="B1334" s="41"/>
      <c r="C1334" s="41"/>
      <c r="D1334" s="41"/>
      <c r="E1334" s="41"/>
      <c r="F1334" s="41"/>
    </row>
    <row r="1335">
      <c r="A1335" s="41"/>
      <c r="B1335" s="41"/>
      <c r="C1335" s="41"/>
      <c r="D1335" s="41"/>
      <c r="E1335" s="41"/>
      <c r="F1335" s="41"/>
    </row>
    <row r="1336">
      <c r="A1336" s="41"/>
      <c r="B1336" s="41"/>
      <c r="C1336" s="41"/>
      <c r="D1336" s="41"/>
      <c r="E1336" s="41"/>
      <c r="F1336" s="41"/>
    </row>
    <row r="1337">
      <c r="A1337" s="41"/>
      <c r="B1337" s="41"/>
      <c r="C1337" s="41"/>
      <c r="D1337" s="41"/>
      <c r="E1337" s="41"/>
      <c r="F1337" s="41"/>
    </row>
    <row r="1338">
      <c r="A1338" s="41"/>
      <c r="B1338" s="41"/>
      <c r="C1338" s="41"/>
      <c r="D1338" s="41"/>
      <c r="E1338" s="41"/>
      <c r="F1338" s="41"/>
    </row>
    <row r="1339">
      <c r="A1339" s="41"/>
      <c r="B1339" s="41"/>
      <c r="C1339" s="41"/>
      <c r="D1339" s="41"/>
      <c r="E1339" s="41"/>
      <c r="F1339" s="41"/>
    </row>
    <row r="1340">
      <c r="A1340" s="41"/>
      <c r="B1340" s="41"/>
      <c r="C1340" s="41"/>
      <c r="D1340" s="41"/>
      <c r="E1340" s="41"/>
      <c r="F1340" s="41"/>
    </row>
    <row r="1341">
      <c r="A1341" s="41"/>
      <c r="B1341" s="41"/>
      <c r="C1341" s="41"/>
      <c r="D1341" s="41"/>
      <c r="E1341" s="41"/>
      <c r="F1341" s="41"/>
    </row>
    <row r="1342">
      <c r="A1342" s="41"/>
      <c r="B1342" s="41"/>
      <c r="C1342" s="41"/>
      <c r="D1342" s="41"/>
      <c r="E1342" s="41"/>
      <c r="F1342" s="41"/>
    </row>
    <row r="1343">
      <c r="A1343" s="41"/>
      <c r="B1343" s="41"/>
      <c r="C1343" s="41"/>
      <c r="D1343" s="41"/>
      <c r="E1343" s="41"/>
      <c r="F1343" s="41"/>
    </row>
    <row r="1344">
      <c r="A1344" s="41"/>
      <c r="B1344" s="41"/>
      <c r="C1344" s="41"/>
      <c r="D1344" s="41"/>
      <c r="E1344" s="41"/>
      <c r="F1344" s="41"/>
    </row>
    <row r="1345">
      <c r="A1345" s="41"/>
      <c r="B1345" s="41"/>
      <c r="C1345" s="41"/>
      <c r="D1345" s="41"/>
      <c r="E1345" s="41"/>
      <c r="F1345" s="41"/>
    </row>
    <row r="1346">
      <c r="A1346" s="41"/>
      <c r="B1346" s="41"/>
      <c r="C1346" s="41"/>
      <c r="D1346" s="41"/>
      <c r="E1346" s="41"/>
      <c r="F1346" s="41"/>
    </row>
    <row r="1347">
      <c r="A1347" s="41"/>
      <c r="B1347" s="41"/>
      <c r="C1347" s="41"/>
      <c r="D1347" s="41"/>
      <c r="E1347" s="41"/>
      <c r="F1347" s="41"/>
    </row>
    <row r="1348">
      <c r="A1348" s="41"/>
      <c r="B1348" s="41"/>
      <c r="C1348" s="41"/>
      <c r="D1348" s="41"/>
      <c r="E1348" s="41"/>
      <c r="F1348" s="41"/>
    </row>
    <row r="1349">
      <c r="A1349" s="41"/>
      <c r="B1349" s="41"/>
      <c r="C1349" s="41"/>
      <c r="D1349" s="41"/>
      <c r="E1349" s="41"/>
      <c r="F1349" s="41"/>
    </row>
    <row r="1350">
      <c r="A1350" s="41"/>
      <c r="B1350" s="41"/>
      <c r="C1350" s="41"/>
      <c r="D1350" s="41"/>
      <c r="E1350" s="41"/>
      <c r="F1350" s="41"/>
    </row>
    <row r="1351">
      <c r="A1351" s="41"/>
      <c r="B1351" s="41"/>
      <c r="C1351" s="41"/>
      <c r="D1351" s="41"/>
      <c r="E1351" s="41"/>
      <c r="F1351" s="41"/>
    </row>
    <row r="1352">
      <c r="A1352" s="41"/>
      <c r="B1352" s="41"/>
      <c r="C1352" s="41"/>
      <c r="D1352" s="41"/>
      <c r="E1352" s="41"/>
      <c r="F1352" s="41"/>
    </row>
    <row r="1353">
      <c r="A1353" s="41"/>
      <c r="B1353" s="41"/>
      <c r="C1353" s="41"/>
      <c r="D1353" s="41"/>
      <c r="E1353" s="41"/>
      <c r="F1353" s="41"/>
    </row>
    <row r="1354">
      <c r="A1354" s="41"/>
      <c r="B1354" s="41"/>
      <c r="C1354" s="41"/>
      <c r="D1354" s="41"/>
      <c r="E1354" s="41"/>
      <c r="F1354" s="41"/>
    </row>
    <row r="1355">
      <c r="A1355" s="41"/>
      <c r="B1355" s="41"/>
      <c r="C1355" s="41"/>
      <c r="D1355" s="41"/>
      <c r="E1355" s="41"/>
      <c r="F1355" s="41"/>
    </row>
    <row r="1356">
      <c r="A1356" s="41"/>
      <c r="B1356" s="41"/>
      <c r="C1356" s="41"/>
      <c r="D1356" s="41"/>
      <c r="E1356" s="41"/>
      <c r="F1356" s="41"/>
    </row>
    <row r="1357">
      <c r="A1357" s="41"/>
      <c r="B1357" s="41"/>
      <c r="C1357" s="41"/>
      <c r="D1357" s="41"/>
      <c r="E1357" s="41"/>
      <c r="F1357" s="41"/>
    </row>
    <row r="1358">
      <c r="A1358" s="41"/>
      <c r="B1358" s="41"/>
      <c r="C1358" s="41"/>
      <c r="D1358" s="41"/>
      <c r="E1358" s="41"/>
      <c r="F1358" s="41"/>
    </row>
    <row r="1359">
      <c r="A1359" s="41"/>
      <c r="B1359" s="41"/>
      <c r="C1359" s="41"/>
      <c r="D1359" s="41"/>
      <c r="E1359" s="41"/>
      <c r="F1359" s="41"/>
    </row>
    <row r="1360">
      <c r="A1360" s="41"/>
      <c r="B1360" s="41"/>
      <c r="C1360" s="41"/>
      <c r="D1360" s="41"/>
      <c r="E1360" s="41"/>
      <c r="F1360" s="41"/>
    </row>
    <row r="1361">
      <c r="A1361" s="41"/>
      <c r="B1361" s="41"/>
      <c r="C1361" s="41"/>
      <c r="D1361" s="41"/>
      <c r="E1361" s="41"/>
      <c r="F1361" s="41"/>
    </row>
    <row r="1362">
      <c r="A1362" s="41"/>
      <c r="B1362" s="41"/>
      <c r="C1362" s="41"/>
      <c r="D1362" s="41"/>
      <c r="E1362" s="41"/>
      <c r="F1362" s="41"/>
    </row>
    <row r="1363">
      <c r="A1363" s="41"/>
      <c r="B1363" s="41"/>
      <c r="C1363" s="41"/>
      <c r="D1363" s="41"/>
      <c r="E1363" s="41"/>
      <c r="F1363" s="41"/>
    </row>
    <row r="1364">
      <c r="A1364" s="41"/>
      <c r="B1364" s="41"/>
      <c r="C1364" s="41"/>
      <c r="D1364" s="41"/>
      <c r="E1364" s="41"/>
      <c r="F1364" s="41"/>
    </row>
    <row r="1365">
      <c r="A1365" s="41"/>
      <c r="B1365" s="41"/>
      <c r="C1365" s="41"/>
      <c r="D1365" s="41"/>
      <c r="E1365" s="41"/>
      <c r="F1365" s="41"/>
    </row>
    <row r="1366">
      <c r="A1366" s="41"/>
      <c r="B1366" s="41"/>
      <c r="C1366" s="41"/>
      <c r="D1366" s="41"/>
      <c r="E1366" s="41"/>
      <c r="F1366" s="41"/>
    </row>
    <row r="1367">
      <c r="A1367" s="41"/>
      <c r="B1367" s="41"/>
      <c r="C1367" s="41"/>
      <c r="D1367" s="41"/>
      <c r="E1367" s="41"/>
      <c r="F1367" s="41"/>
    </row>
    <row r="1368">
      <c r="A1368" s="41"/>
      <c r="B1368" s="41"/>
      <c r="C1368" s="41"/>
      <c r="D1368" s="41"/>
      <c r="E1368" s="41"/>
      <c r="F1368" s="41"/>
    </row>
    <row r="1369">
      <c r="A1369" s="41"/>
      <c r="B1369" s="41"/>
      <c r="C1369" s="41"/>
      <c r="D1369" s="41"/>
      <c r="E1369" s="41"/>
      <c r="F1369" s="41"/>
    </row>
    <row r="1370">
      <c r="A1370" s="41"/>
      <c r="B1370" s="41"/>
      <c r="C1370" s="41"/>
      <c r="D1370" s="41"/>
      <c r="E1370" s="41"/>
      <c r="F1370" s="41"/>
    </row>
    <row r="1371">
      <c r="A1371" s="41"/>
      <c r="B1371" s="41"/>
      <c r="C1371" s="41"/>
      <c r="D1371" s="41"/>
      <c r="E1371" s="41"/>
      <c r="F1371" s="41"/>
    </row>
    <row r="1372">
      <c r="A1372" s="41"/>
      <c r="B1372" s="41"/>
      <c r="C1372" s="41"/>
      <c r="D1372" s="41"/>
      <c r="E1372" s="41"/>
      <c r="F1372" s="41"/>
    </row>
    <row r="1373">
      <c r="A1373" s="41"/>
      <c r="B1373" s="41"/>
      <c r="C1373" s="41"/>
      <c r="D1373" s="41"/>
      <c r="E1373" s="41"/>
      <c r="F1373" s="41"/>
    </row>
    <row r="1374">
      <c r="A1374" s="41"/>
      <c r="B1374" s="41"/>
      <c r="C1374" s="41"/>
      <c r="D1374" s="41"/>
      <c r="E1374" s="41"/>
      <c r="F1374" s="41"/>
    </row>
    <row r="1375">
      <c r="A1375" s="41"/>
      <c r="B1375" s="41"/>
      <c r="C1375" s="41"/>
      <c r="D1375" s="41"/>
      <c r="E1375" s="41"/>
      <c r="F1375" s="41"/>
    </row>
    <row r="1376">
      <c r="A1376" s="41"/>
      <c r="B1376" s="41"/>
      <c r="C1376" s="41"/>
      <c r="D1376" s="41"/>
      <c r="E1376" s="41"/>
      <c r="F1376" s="41"/>
    </row>
    <row r="1377">
      <c r="A1377" s="41"/>
      <c r="B1377" s="41"/>
      <c r="C1377" s="41"/>
      <c r="D1377" s="41"/>
      <c r="E1377" s="41"/>
      <c r="F1377" s="41"/>
    </row>
    <row r="1378">
      <c r="A1378" s="41"/>
      <c r="B1378" s="41"/>
      <c r="C1378" s="41"/>
      <c r="D1378" s="41"/>
      <c r="E1378" s="41"/>
      <c r="F1378" s="41"/>
    </row>
    <row r="1379">
      <c r="A1379" s="41"/>
      <c r="B1379" s="41"/>
      <c r="C1379" s="41"/>
      <c r="D1379" s="41"/>
      <c r="E1379" s="41"/>
      <c r="F1379" s="41"/>
    </row>
    <row r="1380">
      <c r="A1380" s="41"/>
      <c r="B1380" s="41"/>
      <c r="C1380" s="41"/>
      <c r="D1380" s="41"/>
      <c r="E1380" s="41"/>
      <c r="F1380" s="41"/>
    </row>
    <row r="1381">
      <c r="A1381" s="41"/>
      <c r="B1381" s="41"/>
      <c r="C1381" s="41"/>
      <c r="D1381" s="41"/>
      <c r="E1381" s="41"/>
      <c r="F1381" s="41"/>
    </row>
    <row r="1382">
      <c r="A1382" s="41"/>
      <c r="B1382" s="41"/>
      <c r="C1382" s="41"/>
      <c r="D1382" s="41"/>
      <c r="E1382" s="41"/>
      <c r="F1382" s="41"/>
    </row>
    <row r="1383">
      <c r="A1383" s="41"/>
      <c r="B1383" s="41"/>
      <c r="C1383" s="41"/>
      <c r="D1383" s="41"/>
      <c r="E1383" s="41"/>
      <c r="F1383" s="41"/>
    </row>
    <row r="1384">
      <c r="A1384" s="41"/>
      <c r="B1384" s="41"/>
      <c r="C1384" s="41"/>
      <c r="D1384" s="41"/>
      <c r="E1384" s="41"/>
      <c r="F1384" s="41"/>
    </row>
    <row r="1385">
      <c r="A1385" s="41"/>
      <c r="B1385" s="41"/>
      <c r="C1385" s="41"/>
      <c r="D1385" s="41"/>
      <c r="E1385" s="41"/>
      <c r="F1385" s="41"/>
    </row>
    <row r="1386">
      <c r="A1386" s="41"/>
      <c r="B1386" s="41"/>
      <c r="C1386" s="41"/>
      <c r="D1386" s="41"/>
      <c r="E1386" s="41"/>
      <c r="F1386" s="41"/>
    </row>
    <row r="1387">
      <c r="A1387" s="41"/>
      <c r="B1387" s="41"/>
      <c r="C1387" s="41"/>
      <c r="D1387" s="41"/>
      <c r="E1387" s="41"/>
      <c r="F1387" s="41"/>
    </row>
    <row r="1388">
      <c r="A1388" s="41"/>
      <c r="B1388" s="41"/>
      <c r="C1388" s="41"/>
      <c r="D1388" s="41"/>
      <c r="E1388" s="41"/>
      <c r="F1388" s="41"/>
    </row>
    <row r="1389">
      <c r="A1389" s="41"/>
      <c r="B1389" s="41"/>
      <c r="C1389" s="41"/>
      <c r="D1389" s="41"/>
      <c r="E1389" s="41"/>
      <c r="F1389" s="41"/>
    </row>
    <row r="1390">
      <c r="A1390" s="41"/>
      <c r="B1390" s="41"/>
      <c r="C1390" s="41"/>
      <c r="D1390" s="41"/>
      <c r="E1390" s="41"/>
      <c r="F1390" s="41"/>
    </row>
    <row r="1391">
      <c r="A1391" s="41"/>
      <c r="B1391" s="41"/>
      <c r="C1391" s="41"/>
      <c r="D1391" s="41"/>
      <c r="E1391" s="41"/>
      <c r="F1391" s="41"/>
    </row>
    <row r="1392">
      <c r="A1392" s="41"/>
      <c r="B1392" s="41"/>
      <c r="C1392" s="41"/>
      <c r="D1392" s="41"/>
      <c r="E1392" s="41"/>
      <c r="F1392" s="41"/>
    </row>
    <row r="1393">
      <c r="A1393" s="41"/>
      <c r="B1393" s="41"/>
      <c r="C1393" s="41"/>
      <c r="D1393" s="41"/>
      <c r="E1393" s="41"/>
      <c r="F1393" s="41"/>
    </row>
    <row r="1394">
      <c r="A1394" s="41"/>
      <c r="B1394" s="41"/>
      <c r="C1394" s="41"/>
      <c r="D1394" s="41"/>
      <c r="E1394" s="41"/>
      <c r="F1394" s="41"/>
    </row>
    <row r="1395">
      <c r="A1395" s="41"/>
      <c r="B1395" s="41"/>
      <c r="C1395" s="41"/>
      <c r="D1395" s="41"/>
      <c r="E1395" s="41"/>
      <c r="F1395" s="41"/>
    </row>
    <row r="1396">
      <c r="A1396" s="41"/>
      <c r="B1396" s="41"/>
      <c r="C1396" s="41"/>
      <c r="D1396" s="41"/>
      <c r="E1396" s="41"/>
      <c r="F1396" s="41"/>
    </row>
    <row r="1397">
      <c r="A1397" s="41"/>
      <c r="B1397" s="41"/>
      <c r="C1397" s="41"/>
      <c r="D1397" s="41"/>
      <c r="E1397" s="41"/>
      <c r="F1397" s="41"/>
    </row>
    <row r="1398">
      <c r="A1398" s="41"/>
      <c r="B1398" s="41"/>
      <c r="C1398" s="41"/>
      <c r="D1398" s="41"/>
      <c r="E1398" s="41"/>
      <c r="F1398" s="41"/>
    </row>
    <row r="1399">
      <c r="A1399" s="41"/>
      <c r="B1399" s="41"/>
      <c r="C1399" s="41"/>
      <c r="D1399" s="41"/>
      <c r="E1399" s="41"/>
      <c r="F1399" s="41"/>
    </row>
    <row r="1400">
      <c r="A1400" s="41"/>
      <c r="B1400" s="41"/>
      <c r="C1400" s="41"/>
      <c r="D1400" s="41"/>
      <c r="E1400" s="41"/>
      <c r="F1400" s="41"/>
    </row>
    <row r="1401">
      <c r="A1401" s="41"/>
      <c r="B1401" s="41"/>
      <c r="C1401" s="41"/>
      <c r="D1401" s="41"/>
      <c r="E1401" s="41"/>
      <c r="F1401" s="41"/>
    </row>
    <row r="1402">
      <c r="A1402" s="41"/>
      <c r="B1402" s="41"/>
      <c r="C1402" s="41"/>
      <c r="D1402" s="41"/>
      <c r="E1402" s="41"/>
      <c r="F1402" s="41"/>
    </row>
    <row r="1403">
      <c r="A1403" s="41"/>
      <c r="B1403" s="41"/>
      <c r="C1403" s="41"/>
      <c r="D1403" s="41"/>
      <c r="E1403" s="41"/>
      <c r="F1403" s="41"/>
    </row>
    <row r="1404">
      <c r="A1404" s="41"/>
      <c r="B1404" s="41"/>
      <c r="C1404" s="41"/>
      <c r="D1404" s="41"/>
      <c r="E1404" s="41"/>
      <c r="F1404" s="41"/>
    </row>
    <row r="1405">
      <c r="A1405" s="41"/>
      <c r="B1405" s="41"/>
      <c r="C1405" s="41"/>
      <c r="D1405" s="41"/>
      <c r="E1405" s="41"/>
      <c r="F1405" s="41"/>
    </row>
    <row r="1406">
      <c r="A1406" s="41"/>
      <c r="B1406" s="41"/>
      <c r="C1406" s="41"/>
      <c r="D1406" s="41"/>
      <c r="E1406" s="41"/>
      <c r="F1406" s="41"/>
    </row>
    <row r="1407">
      <c r="A1407" s="41"/>
      <c r="B1407" s="41"/>
      <c r="C1407" s="41"/>
      <c r="D1407" s="41"/>
      <c r="E1407" s="41"/>
      <c r="F1407" s="41"/>
    </row>
    <row r="1408">
      <c r="A1408" s="41"/>
      <c r="B1408" s="41"/>
      <c r="C1408" s="41"/>
      <c r="D1408" s="41"/>
      <c r="E1408" s="41"/>
      <c r="F1408" s="41"/>
    </row>
    <row r="1409">
      <c r="A1409" s="41"/>
      <c r="B1409" s="41"/>
      <c r="C1409" s="41"/>
      <c r="D1409" s="41"/>
      <c r="E1409" s="41"/>
      <c r="F1409" s="41"/>
    </row>
    <row r="1410">
      <c r="A1410" s="41"/>
      <c r="B1410" s="41"/>
      <c r="C1410" s="41"/>
      <c r="D1410" s="41"/>
      <c r="E1410" s="41"/>
      <c r="F1410" s="41"/>
    </row>
    <row r="1411">
      <c r="A1411" s="41"/>
      <c r="B1411" s="41"/>
      <c r="C1411" s="41"/>
      <c r="D1411" s="41"/>
      <c r="E1411" s="41"/>
      <c r="F1411" s="41"/>
    </row>
    <row r="1412">
      <c r="A1412" s="41"/>
      <c r="B1412" s="41"/>
      <c r="C1412" s="41"/>
      <c r="D1412" s="41"/>
      <c r="E1412" s="41"/>
      <c r="F1412" s="41"/>
    </row>
    <row r="1413">
      <c r="A1413" s="41"/>
      <c r="B1413" s="41"/>
      <c r="C1413" s="41"/>
      <c r="D1413" s="41"/>
      <c r="E1413" s="41"/>
      <c r="F1413" s="41"/>
    </row>
    <row r="1414">
      <c r="A1414" s="41"/>
      <c r="B1414" s="41"/>
      <c r="C1414" s="41"/>
      <c r="D1414" s="41"/>
      <c r="E1414" s="41"/>
      <c r="F1414" s="41"/>
    </row>
    <row r="1415">
      <c r="A1415" s="41"/>
      <c r="B1415" s="41"/>
      <c r="C1415" s="41"/>
      <c r="D1415" s="41"/>
      <c r="E1415" s="41"/>
      <c r="F1415" s="41"/>
    </row>
    <row r="1416">
      <c r="A1416" s="41"/>
      <c r="B1416" s="41"/>
      <c r="C1416" s="41"/>
      <c r="D1416" s="41"/>
      <c r="E1416" s="41"/>
      <c r="F1416" s="41"/>
    </row>
    <row r="1417">
      <c r="A1417" s="41"/>
      <c r="B1417" s="41"/>
      <c r="C1417" s="41"/>
      <c r="D1417" s="41"/>
      <c r="E1417" s="41"/>
      <c r="F1417" s="41"/>
    </row>
    <row r="1418">
      <c r="A1418" s="41"/>
      <c r="B1418" s="41"/>
      <c r="C1418" s="41"/>
      <c r="D1418" s="41"/>
      <c r="E1418" s="41"/>
      <c r="F1418" s="41"/>
    </row>
    <row r="1419">
      <c r="A1419" s="41"/>
      <c r="B1419" s="41"/>
      <c r="C1419" s="41"/>
      <c r="D1419" s="41"/>
      <c r="E1419" s="41"/>
      <c r="F1419" s="41"/>
    </row>
    <row r="1420">
      <c r="A1420" s="41"/>
      <c r="B1420" s="41"/>
      <c r="C1420" s="41"/>
      <c r="D1420" s="41"/>
      <c r="E1420" s="41"/>
      <c r="F1420" s="41"/>
    </row>
    <row r="1421">
      <c r="A1421" s="41"/>
      <c r="B1421" s="41"/>
      <c r="C1421" s="41"/>
      <c r="D1421" s="41"/>
      <c r="E1421" s="41"/>
      <c r="F1421" s="41"/>
    </row>
    <row r="1422">
      <c r="A1422" s="41"/>
      <c r="B1422" s="41"/>
      <c r="C1422" s="41"/>
      <c r="D1422" s="41"/>
      <c r="E1422" s="41"/>
      <c r="F1422" s="41"/>
    </row>
    <row r="1423">
      <c r="A1423" s="41"/>
      <c r="B1423" s="41"/>
      <c r="C1423" s="41"/>
      <c r="D1423" s="41"/>
      <c r="E1423" s="41"/>
      <c r="F1423" s="41"/>
    </row>
    <row r="1424">
      <c r="A1424" s="41"/>
      <c r="B1424" s="41"/>
      <c r="C1424" s="41"/>
      <c r="D1424" s="41"/>
      <c r="E1424" s="41"/>
      <c r="F1424" s="41"/>
    </row>
    <row r="1425">
      <c r="A1425" s="41"/>
      <c r="B1425" s="41"/>
      <c r="C1425" s="41"/>
      <c r="D1425" s="41"/>
      <c r="E1425" s="41"/>
      <c r="F1425" s="41"/>
    </row>
    <row r="1426">
      <c r="A1426" s="41"/>
      <c r="B1426" s="41"/>
      <c r="C1426" s="41"/>
      <c r="D1426" s="41"/>
      <c r="E1426" s="41"/>
      <c r="F1426" s="41"/>
    </row>
    <row r="1427">
      <c r="A1427" s="41"/>
      <c r="B1427" s="41"/>
      <c r="C1427" s="41"/>
      <c r="D1427" s="41"/>
      <c r="E1427" s="41"/>
      <c r="F1427" s="41"/>
    </row>
    <row r="1428">
      <c r="A1428" s="41"/>
      <c r="B1428" s="41"/>
      <c r="C1428" s="41"/>
      <c r="D1428" s="41"/>
      <c r="E1428" s="41"/>
      <c r="F1428" s="41"/>
    </row>
    <row r="1429">
      <c r="A1429" s="41"/>
      <c r="B1429" s="41"/>
      <c r="C1429" s="41"/>
      <c r="D1429" s="41"/>
      <c r="E1429" s="41"/>
      <c r="F1429" s="41"/>
    </row>
    <row r="1430">
      <c r="A1430" s="41"/>
      <c r="B1430" s="41"/>
      <c r="C1430" s="41"/>
      <c r="D1430" s="41"/>
      <c r="E1430" s="41"/>
      <c r="F1430" s="41"/>
    </row>
    <row r="1431">
      <c r="A1431" s="41"/>
      <c r="B1431" s="41"/>
      <c r="C1431" s="41"/>
      <c r="D1431" s="41"/>
      <c r="E1431" s="41"/>
      <c r="F1431" s="41"/>
    </row>
    <row r="1432">
      <c r="A1432" s="41"/>
      <c r="B1432" s="41"/>
      <c r="C1432" s="41"/>
      <c r="D1432" s="41"/>
      <c r="E1432" s="41"/>
      <c r="F1432" s="41"/>
    </row>
    <row r="1433">
      <c r="A1433" s="41"/>
      <c r="B1433" s="41"/>
      <c r="C1433" s="41"/>
      <c r="D1433" s="41"/>
      <c r="E1433" s="41"/>
      <c r="F1433" s="41"/>
    </row>
    <row r="1434">
      <c r="A1434" s="41"/>
      <c r="B1434" s="41"/>
      <c r="C1434" s="41"/>
      <c r="D1434" s="41"/>
      <c r="E1434" s="41"/>
      <c r="F1434" s="41"/>
    </row>
    <row r="1435">
      <c r="A1435" s="41"/>
      <c r="B1435" s="41"/>
      <c r="C1435" s="41"/>
      <c r="D1435" s="41"/>
      <c r="E1435" s="41"/>
      <c r="F1435" s="41"/>
    </row>
    <row r="1436">
      <c r="A1436" s="41"/>
      <c r="B1436" s="41"/>
      <c r="C1436" s="41"/>
      <c r="D1436" s="41"/>
      <c r="E1436" s="41"/>
      <c r="F1436" s="41"/>
    </row>
    <row r="1437">
      <c r="A1437" s="41"/>
      <c r="B1437" s="41"/>
      <c r="C1437" s="41"/>
      <c r="D1437" s="41"/>
      <c r="E1437" s="41"/>
      <c r="F1437" s="41"/>
    </row>
    <row r="1438">
      <c r="A1438" s="41"/>
      <c r="B1438" s="41"/>
      <c r="C1438" s="41"/>
      <c r="D1438" s="41"/>
      <c r="E1438" s="41"/>
      <c r="F1438" s="41"/>
    </row>
    <row r="1439">
      <c r="A1439" s="41"/>
      <c r="B1439" s="41"/>
      <c r="C1439" s="41"/>
      <c r="D1439" s="41"/>
      <c r="E1439" s="41"/>
      <c r="F1439" s="41"/>
    </row>
    <row r="1440">
      <c r="A1440" s="41"/>
      <c r="B1440" s="41"/>
      <c r="C1440" s="41"/>
      <c r="D1440" s="41"/>
      <c r="E1440" s="41"/>
      <c r="F1440" s="41"/>
    </row>
    <row r="1441">
      <c r="A1441" s="41"/>
      <c r="B1441" s="41"/>
      <c r="C1441" s="41"/>
      <c r="D1441" s="41"/>
      <c r="E1441" s="41"/>
      <c r="F1441" s="41"/>
    </row>
    <row r="1442">
      <c r="A1442" s="41"/>
      <c r="B1442" s="41"/>
      <c r="C1442" s="41"/>
      <c r="D1442" s="41"/>
      <c r="E1442" s="41"/>
      <c r="F1442" s="41"/>
    </row>
    <row r="1443">
      <c r="A1443" s="41"/>
      <c r="B1443" s="41"/>
      <c r="C1443" s="41"/>
      <c r="D1443" s="41"/>
      <c r="E1443" s="41"/>
      <c r="F1443" s="41"/>
    </row>
    <row r="1444">
      <c r="A1444" s="41"/>
      <c r="B1444" s="41"/>
      <c r="C1444" s="41"/>
      <c r="D1444" s="41"/>
      <c r="E1444" s="41"/>
      <c r="F1444" s="41"/>
    </row>
    <row r="1445">
      <c r="A1445" s="41"/>
      <c r="B1445" s="41"/>
      <c r="C1445" s="41"/>
      <c r="D1445" s="41"/>
      <c r="E1445" s="41"/>
      <c r="F1445" s="41"/>
    </row>
    <row r="1446">
      <c r="A1446" s="41"/>
      <c r="B1446" s="41"/>
      <c r="C1446" s="41"/>
      <c r="D1446" s="41"/>
      <c r="E1446" s="41"/>
      <c r="F1446" s="41"/>
    </row>
    <row r="1447">
      <c r="A1447" s="41"/>
      <c r="B1447" s="41"/>
      <c r="C1447" s="41"/>
      <c r="D1447" s="41"/>
      <c r="E1447" s="41"/>
      <c r="F1447" s="41"/>
    </row>
    <row r="1448">
      <c r="A1448" s="41"/>
      <c r="B1448" s="41"/>
      <c r="C1448" s="41"/>
      <c r="D1448" s="41"/>
      <c r="E1448" s="41"/>
      <c r="F1448" s="41"/>
    </row>
    <row r="1449">
      <c r="A1449" s="41"/>
      <c r="B1449" s="41"/>
      <c r="C1449" s="41"/>
      <c r="D1449" s="41"/>
      <c r="E1449" s="41"/>
      <c r="F1449" s="41"/>
    </row>
    <row r="1450">
      <c r="A1450" s="41"/>
      <c r="B1450" s="41"/>
      <c r="C1450" s="41"/>
      <c r="D1450" s="41"/>
      <c r="E1450" s="41"/>
      <c r="F1450" s="41"/>
    </row>
    <row r="1451">
      <c r="A1451" s="41"/>
      <c r="B1451" s="41"/>
      <c r="C1451" s="41"/>
      <c r="D1451" s="41"/>
      <c r="E1451" s="41"/>
      <c r="F1451" s="41"/>
    </row>
    <row r="1452">
      <c r="A1452" s="41"/>
      <c r="B1452" s="41"/>
      <c r="C1452" s="41"/>
      <c r="D1452" s="41"/>
      <c r="E1452" s="41"/>
      <c r="F1452" s="41"/>
    </row>
    <row r="1453">
      <c r="A1453" s="41"/>
      <c r="B1453" s="41"/>
      <c r="C1453" s="41"/>
      <c r="D1453" s="41"/>
      <c r="E1453" s="41"/>
      <c r="F1453" s="41"/>
    </row>
    <row r="1454">
      <c r="A1454" s="41"/>
      <c r="B1454" s="41"/>
      <c r="C1454" s="41"/>
      <c r="D1454" s="41"/>
      <c r="E1454" s="41"/>
      <c r="F1454" s="41"/>
    </row>
    <row r="1455">
      <c r="A1455" s="41"/>
      <c r="B1455" s="41"/>
      <c r="C1455" s="41"/>
      <c r="D1455" s="41"/>
      <c r="E1455" s="41"/>
      <c r="F1455" s="41"/>
    </row>
    <row r="1456">
      <c r="A1456" s="41"/>
      <c r="B1456" s="41"/>
      <c r="C1456" s="41"/>
      <c r="D1456" s="41"/>
      <c r="E1456" s="41"/>
      <c r="F1456" s="41"/>
    </row>
    <row r="1457">
      <c r="A1457" s="41"/>
      <c r="B1457" s="41"/>
      <c r="C1457" s="41"/>
      <c r="D1457" s="41"/>
      <c r="E1457" s="41"/>
      <c r="F1457" s="41"/>
    </row>
    <row r="1458">
      <c r="A1458" s="41"/>
      <c r="B1458" s="41"/>
      <c r="C1458" s="41"/>
      <c r="D1458" s="41"/>
      <c r="E1458" s="41"/>
      <c r="F1458" s="41"/>
    </row>
    <row r="1459">
      <c r="A1459" s="41"/>
      <c r="B1459" s="41"/>
      <c r="C1459" s="41"/>
      <c r="D1459" s="41"/>
      <c r="E1459" s="41"/>
      <c r="F1459" s="41"/>
    </row>
    <row r="1460">
      <c r="A1460" s="41"/>
      <c r="B1460" s="41"/>
      <c r="C1460" s="41"/>
      <c r="D1460" s="41"/>
      <c r="E1460" s="41"/>
      <c r="F1460" s="41"/>
    </row>
    <row r="1461">
      <c r="A1461" s="41"/>
      <c r="B1461" s="41"/>
      <c r="C1461" s="41"/>
      <c r="D1461" s="41"/>
      <c r="E1461" s="41"/>
      <c r="F1461" s="41"/>
    </row>
    <row r="1462">
      <c r="A1462" s="41"/>
      <c r="B1462" s="41"/>
      <c r="C1462" s="41"/>
      <c r="D1462" s="41"/>
      <c r="E1462" s="41"/>
      <c r="F1462" s="41"/>
    </row>
    <row r="1463">
      <c r="A1463" s="41"/>
      <c r="B1463" s="41"/>
      <c r="C1463" s="41"/>
      <c r="D1463" s="41"/>
      <c r="E1463" s="41"/>
      <c r="F1463" s="41"/>
    </row>
    <row r="1464">
      <c r="A1464" s="41"/>
      <c r="B1464" s="41"/>
      <c r="C1464" s="41"/>
      <c r="D1464" s="41"/>
      <c r="E1464" s="41"/>
      <c r="F1464" s="41"/>
    </row>
    <row r="1465">
      <c r="A1465" s="41"/>
      <c r="B1465" s="41"/>
      <c r="C1465" s="41"/>
      <c r="D1465" s="41"/>
      <c r="E1465" s="41"/>
      <c r="F1465" s="41"/>
    </row>
    <row r="1466">
      <c r="A1466" s="41"/>
      <c r="B1466" s="41"/>
      <c r="C1466" s="41"/>
      <c r="D1466" s="41"/>
      <c r="E1466" s="41"/>
      <c r="F1466" s="41"/>
    </row>
    <row r="1467">
      <c r="A1467" s="41"/>
      <c r="B1467" s="41"/>
      <c r="C1467" s="41"/>
      <c r="D1467" s="41"/>
      <c r="E1467" s="41"/>
      <c r="F1467" s="41"/>
    </row>
    <row r="1468">
      <c r="A1468" s="41"/>
      <c r="B1468" s="41"/>
      <c r="C1468" s="41"/>
      <c r="D1468" s="41"/>
      <c r="E1468" s="41"/>
      <c r="F1468" s="41"/>
    </row>
    <row r="1469">
      <c r="A1469" s="41"/>
      <c r="B1469" s="41"/>
      <c r="C1469" s="41"/>
      <c r="D1469" s="41"/>
      <c r="E1469" s="41"/>
      <c r="F1469" s="41"/>
    </row>
    <row r="1470">
      <c r="A1470" s="41"/>
      <c r="B1470" s="41"/>
      <c r="C1470" s="41"/>
      <c r="D1470" s="41"/>
      <c r="E1470" s="41"/>
      <c r="F1470" s="41"/>
    </row>
    <row r="1471">
      <c r="A1471" s="41"/>
      <c r="B1471" s="41"/>
      <c r="C1471" s="41"/>
      <c r="D1471" s="41"/>
      <c r="E1471" s="41"/>
      <c r="F1471" s="41"/>
    </row>
    <row r="1472">
      <c r="A1472" s="41"/>
      <c r="B1472" s="41"/>
      <c r="C1472" s="41"/>
      <c r="D1472" s="41"/>
      <c r="E1472" s="41"/>
      <c r="F1472" s="41"/>
    </row>
    <row r="1473">
      <c r="A1473" s="41"/>
      <c r="B1473" s="41"/>
      <c r="C1473" s="41"/>
      <c r="D1473" s="41"/>
      <c r="E1473" s="41"/>
      <c r="F1473" s="41"/>
    </row>
    <row r="1474">
      <c r="A1474" s="41"/>
      <c r="B1474" s="41"/>
      <c r="C1474" s="41"/>
      <c r="D1474" s="41"/>
      <c r="E1474" s="41"/>
      <c r="F1474" s="41"/>
    </row>
    <row r="1475">
      <c r="A1475" s="41"/>
      <c r="B1475" s="41"/>
      <c r="C1475" s="41"/>
      <c r="D1475" s="41"/>
      <c r="E1475" s="41"/>
      <c r="F1475" s="41"/>
    </row>
    <row r="1476">
      <c r="A1476" s="41"/>
      <c r="B1476" s="41"/>
      <c r="C1476" s="41"/>
      <c r="D1476" s="41"/>
      <c r="E1476" s="41"/>
      <c r="F1476" s="41"/>
    </row>
    <row r="1477">
      <c r="A1477" s="41"/>
      <c r="B1477" s="41"/>
      <c r="C1477" s="41"/>
      <c r="D1477" s="41"/>
      <c r="E1477" s="41"/>
      <c r="F1477" s="41"/>
    </row>
    <row r="1478">
      <c r="A1478" s="41"/>
      <c r="B1478" s="41"/>
      <c r="C1478" s="41"/>
      <c r="D1478" s="41"/>
      <c r="E1478" s="41"/>
      <c r="F1478" s="41"/>
    </row>
    <row r="1479">
      <c r="A1479" s="41"/>
      <c r="B1479" s="41"/>
      <c r="C1479" s="41"/>
      <c r="D1479" s="41"/>
      <c r="E1479" s="41"/>
      <c r="F1479" s="41"/>
    </row>
    <row r="1480">
      <c r="A1480" s="41"/>
      <c r="B1480" s="41"/>
      <c r="C1480" s="41"/>
      <c r="D1480" s="41"/>
      <c r="E1480" s="41"/>
      <c r="F1480" s="41"/>
    </row>
    <row r="1481">
      <c r="A1481" s="41"/>
      <c r="B1481" s="41"/>
      <c r="C1481" s="41"/>
      <c r="D1481" s="41"/>
      <c r="E1481" s="41"/>
      <c r="F1481" s="41"/>
    </row>
    <row r="1482">
      <c r="A1482" s="41"/>
      <c r="B1482" s="41"/>
      <c r="C1482" s="41"/>
      <c r="D1482" s="41"/>
      <c r="E1482" s="41"/>
      <c r="F1482" s="41"/>
    </row>
    <row r="1483">
      <c r="A1483" s="41"/>
      <c r="B1483" s="41"/>
      <c r="C1483" s="41"/>
      <c r="D1483" s="41"/>
      <c r="E1483" s="41"/>
      <c r="F1483" s="41"/>
    </row>
    <row r="1484">
      <c r="A1484" s="41"/>
      <c r="B1484" s="41"/>
      <c r="C1484" s="41"/>
      <c r="D1484" s="41"/>
      <c r="E1484" s="41"/>
      <c r="F1484" s="41"/>
    </row>
    <row r="1485">
      <c r="A1485" s="41"/>
      <c r="B1485" s="41"/>
      <c r="C1485" s="41"/>
      <c r="D1485" s="41"/>
      <c r="E1485" s="41"/>
      <c r="F1485" s="41"/>
    </row>
    <row r="1486">
      <c r="A1486" s="41"/>
      <c r="B1486" s="41"/>
      <c r="C1486" s="41"/>
      <c r="D1486" s="41"/>
      <c r="E1486" s="41"/>
      <c r="F1486" s="41"/>
    </row>
    <row r="1487">
      <c r="A1487" s="41"/>
      <c r="B1487" s="41"/>
      <c r="C1487" s="41"/>
      <c r="D1487" s="41"/>
      <c r="E1487" s="41"/>
      <c r="F1487" s="41"/>
    </row>
    <row r="1488">
      <c r="A1488" s="41"/>
      <c r="B1488" s="41"/>
      <c r="C1488" s="41"/>
      <c r="D1488" s="41"/>
      <c r="E1488" s="41"/>
      <c r="F1488" s="41"/>
    </row>
    <row r="1489">
      <c r="A1489" s="41"/>
      <c r="B1489" s="41"/>
      <c r="C1489" s="41"/>
      <c r="D1489" s="41"/>
      <c r="E1489" s="41"/>
      <c r="F1489" s="41"/>
    </row>
    <row r="1490">
      <c r="A1490" s="41"/>
      <c r="B1490" s="41"/>
      <c r="C1490" s="41"/>
      <c r="D1490" s="41"/>
      <c r="E1490" s="41"/>
      <c r="F1490" s="41"/>
    </row>
    <row r="1491">
      <c r="A1491" s="41"/>
      <c r="B1491" s="41"/>
      <c r="C1491" s="41"/>
      <c r="D1491" s="41"/>
      <c r="E1491" s="41"/>
      <c r="F1491" s="41"/>
    </row>
    <row r="1492">
      <c r="A1492" s="41"/>
      <c r="B1492" s="41"/>
      <c r="C1492" s="41"/>
      <c r="D1492" s="41"/>
      <c r="E1492" s="41"/>
      <c r="F1492" s="41"/>
    </row>
    <row r="1493">
      <c r="A1493" s="41"/>
      <c r="B1493" s="41"/>
      <c r="C1493" s="41"/>
      <c r="D1493" s="41"/>
      <c r="E1493" s="41"/>
      <c r="F1493" s="41"/>
    </row>
    <row r="1494">
      <c r="A1494" s="41"/>
      <c r="B1494" s="41"/>
      <c r="C1494" s="41"/>
      <c r="D1494" s="41"/>
      <c r="E1494" s="41"/>
      <c r="F1494" s="41"/>
    </row>
    <row r="1495">
      <c r="A1495" s="41"/>
      <c r="B1495" s="41"/>
      <c r="C1495" s="41"/>
      <c r="D1495" s="41"/>
      <c r="E1495" s="41"/>
      <c r="F1495" s="41"/>
    </row>
    <row r="1496">
      <c r="A1496" s="41"/>
      <c r="B1496" s="41"/>
      <c r="C1496" s="41"/>
      <c r="D1496" s="41"/>
      <c r="E1496" s="41"/>
      <c r="F1496" s="41"/>
    </row>
    <row r="1497">
      <c r="A1497" s="41"/>
      <c r="B1497" s="41"/>
      <c r="C1497" s="41"/>
      <c r="D1497" s="41"/>
      <c r="E1497" s="41"/>
      <c r="F1497" s="41"/>
    </row>
    <row r="1498">
      <c r="A1498" s="41"/>
      <c r="B1498" s="41"/>
      <c r="C1498" s="41"/>
      <c r="D1498" s="41"/>
      <c r="E1498" s="41"/>
      <c r="F1498" s="41"/>
    </row>
    <row r="1499">
      <c r="A1499" s="41"/>
      <c r="B1499" s="41"/>
      <c r="C1499" s="41"/>
      <c r="D1499" s="41"/>
      <c r="E1499" s="41"/>
      <c r="F1499" s="41"/>
    </row>
    <row r="1500">
      <c r="A1500" s="41"/>
      <c r="B1500" s="41"/>
      <c r="C1500" s="41"/>
      <c r="D1500" s="41"/>
      <c r="E1500" s="41"/>
      <c r="F1500" s="41"/>
    </row>
    <row r="1501">
      <c r="A1501" s="41"/>
      <c r="B1501" s="41"/>
      <c r="C1501" s="41"/>
      <c r="D1501" s="41"/>
      <c r="E1501" s="41"/>
      <c r="F1501" s="41"/>
    </row>
    <row r="1502">
      <c r="A1502" s="41"/>
      <c r="B1502" s="41"/>
      <c r="C1502" s="41"/>
      <c r="D1502" s="41"/>
      <c r="E1502" s="41"/>
      <c r="F1502" s="41"/>
    </row>
    <row r="1503">
      <c r="A1503" s="41"/>
      <c r="B1503" s="41"/>
      <c r="C1503" s="41"/>
      <c r="D1503" s="41"/>
      <c r="E1503" s="41"/>
      <c r="F1503" s="41"/>
    </row>
    <row r="1504">
      <c r="A1504" s="41"/>
      <c r="B1504" s="41"/>
      <c r="C1504" s="41"/>
      <c r="D1504" s="41"/>
      <c r="E1504" s="41"/>
      <c r="F1504" s="41"/>
    </row>
    <row r="1505">
      <c r="A1505" s="41"/>
      <c r="B1505" s="41"/>
      <c r="C1505" s="41"/>
      <c r="D1505" s="41"/>
      <c r="E1505" s="41"/>
      <c r="F1505" s="41"/>
    </row>
    <row r="1506">
      <c r="A1506" s="41"/>
      <c r="B1506" s="41"/>
      <c r="C1506" s="41"/>
      <c r="D1506" s="41"/>
      <c r="E1506" s="41"/>
      <c r="F1506" s="41"/>
    </row>
    <row r="1507">
      <c r="A1507" s="41"/>
      <c r="B1507" s="41"/>
      <c r="C1507" s="41"/>
      <c r="D1507" s="41"/>
      <c r="E1507" s="41"/>
      <c r="F1507" s="41"/>
    </row>
    <row r="1508">
      <c r="A1508" s="41"/>
      <c r="B1508" s="41"/>
      <c r="C1508" s="41"/>
      <c r="D1508" s="41"/>
      <c r="E1508" s="41"/>
      <c r="F1508" s="41"/>
    </row>
    <row r="1509">
      <c r="A1509" s="41"/>
      <c r="B1509" s="41"/>
      <c r="C1509" s="41"/>
      <c r="D1509" s="41"/>
      <c r="E1509" s="41"/>
      <c r="F1509" s="41"/>
    </row>
    <row r="1510">
      <c r="A1510" s="41"/>
      <c r="B1510" s="41"/>
      <c r="C1510" s="41"/>
      <c r="D1510" s="41"/>
      <c r="E1510" s="41"/>
      <c r="F1510" s="41"/>
    </row>
    <row r="1511">
      <c r="A1511" s="41"/>
      <c r="B1511" s="41"/>
      <c r="C1511" s="41"/>
      <c r="D1511" s="41"/>
      <c r="E1511" s="41"/>
      <c r="F1511" s="41"/>
    </row>
    <row r="1512">
      <c r="A1512" s="41"/>
      <c r="B1512" s="41"/>
      <c r="C1512" s="41"/>
      <c r="D1512" s="41"/>
      <c r="E1512" s="41"/>
      <c r="F1512" s="41"/>
    </row>
    <row r="1513">
      <c r="A1513" s="41"/>
      <c r="B1513" s="41"/>
      <c r="C1513" s="41"/>
      <c r="D1513" s="41"/>
      <c r="E1513" s="41"/>
      <c r="F1513" s="41"/>
    </row>
    <row r="1514">
      <c r="A1514" s="41"/>
      <c r="B1514" s="41"/>
      <c r="C1514" s="41"/>
      <c r="D1514" s="41"/>
      <c r="E1514" s="41"/>
      <c r="F1514" s="41"/>
    </row>
    <row r="1515">
      <c r="A1515" s="41"/>
      <c r="B1515" s="41"/>
      <c r="C1515" s="41"/>
      <c r="D1515" s="41"/>
      <c r="E1515" s="41"/>
      <c r="F1515" s="41"/>
    </row>
    <row r="1516">
      <c r="A1516" s="41"/>
      <c r="B1516" s="41"/>
      <c r="C1516" s="41"/>
      <c r="D1516" s="41"/>
      <c r="E1516" s="41"/>
      <c r="F1516" s="41"/>
    </row>
    <row r="1517">
      <c r="A1517" s="41"/>
      <c r="B1517" s="41"/>
      <c r="C1517" s="41"/>
      <c r="D1517" s="41"/>
      <c r="E1517" s="41"/>
      <c r="F1517" s="41"/>
    </row>
    <row r="1518">
      <c r="A1518" s="41"/>
      <c r="B1518" s="41"/>
      <c r="C1518" s="41"/>
      <c r="D1518" s="41"/>
      <c r="E1518" s="41"/>
      <c r="F1518" s="41"/>
    </row>
    <row r="1519">
      <c r="A1519" s="41"/>
      <c r="B1519" s="41"/>
      <c r="C1519" s="41"/>
      <c r="D1519" s="41"/>
      <c r="E1519" s="41"/>
      <c r="F1519" s="41"/>
    </row>
    <row r="1520">
      <c r="A1520" s="41"/>
      <c r="B1520" s="41"/>
      <c r="C1520" s="41"/>
      <c r="D1520" s="41"/>
      <c r="E1520" s="41"/>
      <c r="F1520" s="41"/>
    </row>
    <row r="1521">
      <c r="A1521" s="41"/>
      <c r="B1521" s="41"/>
      <c r="C1521" s="41"/>
      <c r="D1521" s="41"/>
      <c r="E1521" s="41"/>
      <c r="F1521" s="41"/>
    </row>
    <row r="1522">
      <c r="A1522" s="41"/>
      <c r="B1522" s="41"/>
      <c r="C1522" s="41"/>
      <c r="D1522" s="41"/>
      <c r="E1522" s="41"/>
      <c r="F1522" s="41"/>
    </row>
    <row r="1523">
      <c r="A1523" s="41"/>
      <c r="B1523" s="41"/>
      <c r="C1523" s="41"/>
      <c r="D1523" s="41"/>
      <c r="E1523" s="41"/>
      <c r="F1523" s="41"/>
    </row>
    <row r="1524">
      <c r="A1524" s="41"/>
      <c r="B1524" s="41"/>
      <c r="C1524" s="41"/>
      <c r="D1524" s="41"/>
      <c r="E1524" s="41"/>
      <c r="F1524" s="41"/>
    </row>
    <row r="1525">
      <c r="A1525" s="41"/>
      <c r="B1525" s="41"/>
      <c r="C1525" s="41"/>
      <c r="D1525" s="41"/>
      <c r="E1525" s="41"/>
      <c r="F1525" s="41"/>
    </row>
    <row r="1526">
      <c r="A1526" s="41"/>
      <c r="B1526" s="41"/>
      <c r="C1526" s="41"/>
      <c r="D1526" s="41"/>
      <c r="E1526" s="41"/>
      <c r="F1526" s="41"/>
    </row>
    <row r="1527">
      <c r="A1527" s="41"/>
      <c r="B1527" s="41"/>
      <c r="C1527" s="41"/>
      <c r="D1527" s="41"/>
      <c r="E1527" s="41"/>
      <c r="F1527" s="41"/>
    </row>
    <row r="1528">
      <c r="A1528" s="41"/>
      <c r="B1528" s="41"/>
      <c r="C1528" s="41"/>
      <c r="D1528" s="41"/>
      <c r="E1528" s="41"/>
      <c r="F1528" s="41"/>
    </row>
    <row r="1529">
      <c r="A1529" s="41"/>
      <c r="B1529" s="41"/>
      <c r="C1529" s="41"/>
      <c r="D1529" s="41"/>
      <c r="E1529" s="41"/>
      <c r="F1529" s="41"/>
    </row>
    <row r="1530">
      <c r="A1530" s="41"/>
      <c r="B1530" s="41"/>
      <c r="C1530" s="41"/>
      <c r="D1530" s="41"/>
      <c r="E1530" s="41"/>
      <c r="F1530" s="41"/>
    </row>
    <row r="1531">
      <c r="A1531" s="41"/>
      <c r="B1531" s="41"/>
      <c r="C1531" s="41"/>
      <c r="D1531" s="41"/>
      <c r="E1531" s="41"/>
      <c r="F1531" s="41"/>
    </row>
    <row r="1532">
      <c r="A1532" s="41"/>
      <c r="B1532" s="41"/>
      <c r="C1532" s="41"/>
      <c r="D1532" s="41"/>
      <c r="E1532" s="41"/>
      <c r="F1532" s="41"/>
    </row>
    <row r="1533">
      <c r="A1533" s="41"/>
      <c r="B1533" s="41"/>
      <c r="C1533" s="41"/>
      <c r="D1533" s="41"/>
      <c r="E1533" s="41"/>
      <c r="F1533" s="41"/>
    </row>
    <row r="1534">
      <c r="A1534" s="41"/>
      <c r="B1534" s="41"/>
      <c r="C1534" s="41"/>
      <c r="D1534" s="41"/>
      <c r="E1534" s="41"/>
      <c r="F1534" s="41"/>
    </row>
    <row r="1535">
      <c r="A1535" s="41"/>
      <c r="B1535" s="41"/>
      <c r="C1535" s="41"/>
      <c r="D1535" s="41"/>
      <c r="E1535" s="41"/>
      <c r="F1535" s="41"/>
    </row>
    <row r="1536">
      <c r="A1536" s="41"/>
      <c r="B1536" s="41"/>
      <c r="C1536" s="41"/>
      <c r="D1536" s="41"/>
      <c r="E1536" s="41"/>
      <c r="F1536" s="41"/>
    </row>
    <row r="1537">
      <c r="A1537" s="41"/>
      <c r="B1537" s="41"/>
      <c r="C1537" s="41"/>
      <c r="D1537" s="41"/>
      <c r="E1537" s="41"/>
      <c r="F1537" s="41"/>
    </row>
    <row r="1538">
      <c r="A1538" s="41"/>
      <c r="B1538" s="41"/>
      <c r="C1538" s="41"/>
      <c r="D1538" s="41"/>
      <c r="E1538" s="41"/>
      <c r="F1538" s="41"/>
    </row>
    <row r="1539">
      <c r="A1539" s="41"/>
      <c r="B1539" s="41"/>
      <c r="C1539" s="41"/>
      <c r="D1539" s="41"/>
      <c r="E1539" s="41"/>
      <c r="F1539" s="41"/>
    </row>
    <row r="1540">
      <c r="A1540" s="41"/>
      <c r="B1540" s="41"/>
      <c r="C1540" s="41"/>
      <c r="D1540" s="41"/>
      <c r="E1540" s="41"/>
      <c r="F1540" s="41"/>
    </row>
    <row r="1541">
      <c r="A1541" s="41"/>
      <c r="B1541" s="41"/>
      <c r="C1541" s="41"/>
      <c r="D1541" s="41"/>
      <c r="E1541" s="41"/>
      <c r="F1541" s="41"/>
    </row>
    <row r="1542">
      <c r="A1542" s="41"/>
      <c r="B1542" s="41"/>
      <c r="C1542" s="41"/>
      <c r="D1542" s="41"/>
      <c r="E1542" s="41"/>
      <c r="F1542" s="41"/>
    </row>
    <row r="1543">
      <c r="A1543" s="41"/>
      <c r="B1543" s="41"/>
      <c r="C1543" s="41"/>
      <c r="D1543" s="41"/>
      <c r="E1543" s="41"/>
      <c r="F1543" s="41"/>
    </row>
    <row r="1544">
      <c r="A1544" s="41"/>
      <c r="B1544" s="41"/>
      <c r="C1544" s="41"/>
      <c r="D1544" s="41"/>
      <c r="E1544" s="41"/>
      <c r="F1544" s="41"/>
    </row>
    <row r="1545">
      <c r="A1545" s="41"/>
      <c r="B1545" s="41"/>
      <c r="C1545" s="41"/>
      <c r="D1545" s="41"/>
      <c r="E1545" s="41"/>
      <c r="F1545" s="41"/>
    </row>
    <row r="1546">
      <c r="A1546" s="41"/>
      <c r="B1546" s="41"/>
      <c r="C1546" s="41"/>
      <c r="D1546" s="41"/>
      <c r="E1546" s="41"/>
      <c r="F1546" s="41"/>
    </row>
    <row r="1547">
      <c r="A1547" s="41"/>
      <c r="B1547" s="41"/>
      <c r="C1547" s="41"/>
      <c r="D1547" s="41"/>
      <c r="E1547" s="41"/>
      <c r="F1547" s="41"/>
    </row>
    <row r="1548">
      <c r="A1548" s="41"/>
      <c r="B1548" s="41"/>
      <c r="C1548" s="41"/>
      <c r="D1548" s="41"/>
      <c r="E1548" s="41"/>
      <c r="F1548" s="41"/>
    </row>
    <row r="1549">
      <c r="A1549" s="41"/>
      <c r="B1549" s="41"/>
      <c r="C1549" s="41"/>
      <c r="D1549" s="41"/>
      <c r="E1549" s="41"/>
      <c r="F1549" s="41"/>
    </row>
    <row r="1550">
      <c r="A1550" s="41"/>
      <c r="B1550" s="41"/>
      <c r="C1550" s="41"/>
      <c r="D1550" s="41"/>
      <c r="E1550" s="41"/>
      <c r="F1550" s="41"/>
    </row>
    <row r="1551">
      <c r="A1551" s="41"/>
      <c r="B1551" s="41"/>
      <c r="C1551" s="41"/>
      <c r="D1551" s="41"/>
      <c r="E1551" s="41"/>
      <c r="F1551" s="41"/>
    </row>
    <row r="1552">
      <c r="A1552" s="41"/>
      <c r="B1552" s="41"/>
      <c r="C1552" s="41"/>
      <c r="D1552" s="41"/>
      <c r="E1552" s="41"/>
      <c r="F1552" s="41"/>
    </row>
    <row r="1553">
      <c r="A1553" s="41"/>
      <c r="B1553" s="41"/>
      <c r="C1553" s="41"/>
      <c r="D1553" s="41"/>
      <c r="E1553" s="41"/>
      <c r="F1553" s="41"/>
    </row>
    <row r="1554">
      <c r="A1554" s="41"/>
      <c r="B1554" s="41"/>
      <c r="C1554" s="41"/>
      <c r="D1554" s="41"/>
      <c r="E1554" s="41"/>
      <c r="F1554" s="41"/>
    </row>
    <row r="1555">
      <c r="A1555" s="41"/>
      <c r="B1555" s="41"/>
      <c r="C1555" s="41"/>
      <c r="D1555" s="41"/>
      <c r="E1555" s="41"/>
      <c r="F1555" s="41"/>
    </row>
    <row r="1556">
      <c r="A1556" s="41"/>
      <c r="B1556" s="41"/>
      <c r="C1556" s="41"/>
      <c r="D1556" s="41"/>
      <c r="E1556" s="41"/>
      <c r="F1556" s="41"/>
    </row>
    <row r="1557">
      <c r="A1557" s="41"/>
      <c r="B1557" s="41"/>
      <c r="C1557" s="41"/>
      <c r="D1557" s="41"/>
      <c r="E1557" s="41"/>
      <c r="F1557" s="41"/>
    </row>
    <row r="1558">
      <c r="A1558" s="41"/>
      <c r="B1558" s="41"/>
      <c r="C1558" s="41"/>
      <c r="D1558" s="41"/>
      <c r="E1558" s="41"/>
      <c r="F1558" s="41"/>
    </row>
    <row r="1559">
      <c r="A1559" s="41"/>
      <c r="B1559" s="41"/>
      <c r="C1559" s="41"/>
      <c r="D1559" s="41"/>
      <c r="E1559" s="41"/>
      <c r="F1559" s="41"/>
    </row>
    <row r="1560">
      <c r="A1560" s="41"/>
      <c r="B1560" s="41"/>
      <c r="C1560" s="41"/>
      <c r="D1560" s="41"/>
      <c r="E1560" s="41"/>
      <c r="F1560" s="41"/>
    </row>
    <row r="1561">
      <c r="A1561" s="41"/>
      <c r="B1561" s="41"/>
      <c r="C1561" s="41"/>
      <c r="D1561" s="41"/>
      <c r="E1561" s="41"/>
      <c r="F1561" s="41"/>
    </row>
    <row r="1562">
      <c r="A1562" s="41"/>
      <c r="B1562" s="41"/>
      <c r="C1562" s="41"/>
      <c r="D1562" s="41"/>
      <c r="E1562" s="41"/>
      <c r="F1562" s="41"/>
    </row>
    <row r="1563">
      <c r="A1563" s="41"/>
      <c r="B1563" s="41"/>
      <c r="C1563" s="41"/>
      <c r="D1563" s="41"/>
      <c r="E1563" s="41"/>
      <c r="F1563" s="41"/>
    </row>
    <row r="1564">
      <c r="A1564" s="41"/>
      <c r="B1564" s="41"/>
      <c r="C1564" s="41"/>
      <c r="D1564" s="41"/>
      <c r="E1564" s="41"/>
      <c r="F1564" s="41"/>
    </row>
    <row r="1565">
      <c r="A1565" s="41"/>
      <c r="B1565" s="41"/>
      <c r="C1565" s="41"/>
      <c r="D1565" s="41"/>
      <c r="E1565" s="41"/>
      <c r="F1565" s="41"/>
    </row>
    <row r="1566">
      <c r="A1566" s="41"/>
      <c r="B1566" s="41"/>
      <c r="C1566" s="41"/>
      <c r="D1566" s="41"/>
      <c r="E1566" s="41"/>
      <c r="F1566" s="41"/>
    </row>
    <row r="1567">
      <c r="A1567" s="41"/>
      <c r="B1567" s="41"/>
      <c r="C1567" s="41"/>
      <c r="D1567" s="41"/>
      <c r="E1567" s="41"/>
      <c r="F1567" s="41"/>
    </row>
    <row r="1568">
      <c r="A1568" s="41"/>
      <c r="B1568" s="41"/>
      <c r="C1568" s="41"/>
      <c r="D1568" s="41"/>
      <c r="E1568" s="41"/>
      <c r="F1568" s="41"/>
    </row>
    <row r="1569">
      <c r="A1569" s="41"/>
      <c r="B1569" s="41"/>
      <c r="C1569" s="41"/>
      <c r="D1569" s="41"/>
      <c r="E1569" s="41"/>
      <c r="F1569" s="41"/>
    </row>
    <row r="1570">
      <c r="A1570" s="41"/>
      <c r="B1570" s="41"/>
      <c r="C1570" s="41"/>
      <c r="D1570" s="41"/>
      <c r="E1570" s="41"/>
      <c r="F1570" s="41"/>
    </row>
    <row r="1571">
      <c r="A1571" s="41"/>
      <c r="B1571" s="41"/>
      <c r="C1571" s="41"/>
      <c r="D1571" s="41"/>
      <c r="E1571" s="41"/>
      <c r="F1571" s="41"/>
    </row>
    <row r="1572">
      <c r="A1572" s="41"/>
      <c r="B1572" s="41"/>
      <c r="C1572" s="41"/>
      <c r="D1572" s="41"/>
      <c r="E1572" s="41"/>
      <c r="F1572" s="41"/>
    </row>
    <row r="1573">
      <c r="A1573" s="41"/>
      <c r="B1573" s="41"/>
      <c r="C1573" s="41"/>
      <c r="D1573" s="41"/>
      <c r="E1573" s="41"/>
      <c r="F1573" s="41"/>
    </row>
    <row r="1574">
      <c r="A1574" s="41"/>
      <c r="B1574" s="41"/>
      <c r="C1574" s="41"/>
      <c r="D1574" s="41"/>
      <c r="E1574" s="41"/>
      <c r="F1574" s="41"/>
    </row>
    <row r="1575">
      <c r="A1575" s="41"/>
      <c r="B1575" s="41"/>
      <c r="C1575" s="41"/>
      <c r="D1575" s="41"/>
      <c r="E1575" s="41"/>
      <c r="F1575" s="41"/>
    </row>
    <row r="1576">
      <c r="A1576" s="41"/>
      <c r="B1576" s="41"/>
      <c r="C1576" s="41"/>
      <c r="D1576" s="41"/>
      <c r="E1576" s="41"/>
      <c r="F1576" s="41"/>
    </row>
    <row r="1577">
      <c r="A1577" s="41"/>
      <c r="B1577" s="41"/>
      <c r="C1577" s="41"/>
      <c r="D1577" s="41"/>
      <c r="E1577" s="41"/>
      <c r="F1577" s="41"/>
    </row>
    <row r="1578">
      <c r="A1578" s="41"/>
      <c r="B1578" s="41"/>
      <c r="C1578" s="41"/>
      <c r="D1578" s="41"/>
      <c r="E1578" s="41"/>
      <c r="F1578" s="41"/>
    </row>
    <row r="1579">
      <c r="A1579" s="41"/>
      <c r="B1579" s="41"/>
      <c r="C1579" s="41"/>
      <c r="D1579" s="41"/>
      <c r="E1579" s="41"/>
      <c r="F1579" s="41"/>
    </row>
    <row r="1580">
      <c r="A1580" s="41"/>
      <c r="B1580" s="41"/>
      <c r="C1580" s="41"/>
      <c r="D1580" s="41"/>
      <c r="E1580" s="41"/>
      <c r="F1580" s="41"/>
    </row>
    <row r="1581">
      <c r="A1581" s="41"/>
      <c r="B1581" s="41"/>
      <c r="C1581" s="41"/>
      <c r="D1581" s="41"/>
      <c r="E1581" s="41"/>
      <c r="F1581" s="41"/>
    </row>
    <row r="1582">
      <c r="A1582" s="41"/>
      <c r="B1582" s="41"/>
      <c r="C1582" s="41"/>
      <c r="D1582" s="41"/>
      <c r="E1582" s="41"/>
      <c r="F1582" s="41"/>
    </row>
    <row r="1583">
      <c r="A1583" s="41"/>
      <c r="B1583" s="41"/>
      <c r="C1583" s="41"/>
      <c r="D1583" s="41"/>
      <c r="E1583" s="41"/>
      <c r="F1583" s="41"/>
    </row>
    <row r="1584">
      <c r="A1584" s="41"/>
      <c r="B1584" s="41"/>
      <c r="C1584" s="41"/>
      <c r="D1584" s="41"/>
      <c r="E1584" s="41"/>
      <c r="F1584" s="41"/>
    </row>
    <row r="1585">
      <c r="A1585" s="41"/>
      <c r="B1585" s="41"/>
      <c r="C1585" s="41"/>
      <c r="D1585" s="41"/>
      <c r="E1585" s="41"/>
      <c r="F1585" s="41"/>
    </row>
    <row r="1586">
      <c r="A1586" s="41"/>
      <c r="B1586" s="41"/>
      <c r="C1586" s="41"/>
      <c r="D1586" s="41"/>
      <c r="E1586" s="41"/>
      <c r="F1586" s="41"/>
    </row>
    <row r="1587">
      <c r="A1587" s="41"/>
      <c r="B1587" s="41"/>
      <c r="C1587" s="41"/>
      <c r="D1587" s="41"/>
      <c r="E1587" s="41"/>
      <c r="F1587" s="41"/>
    </row>
    <row r="1588">
      <c r="A1588" s="41"/>
      <c r="B1588" s="41"/>
      <c r="C1588" s="41"/>
      <c r="D1588" s="41"/>
      <c r="E1588" s="41"/>
      <c r="F1588" s="41"/>
    </row>
    <row r="1589">
      <c r="A1589" s="41"/>
      <c r="B1589" s="41"/>
      <c r="C1589" s="41"/>
      <c r="D1589" s="41"/>
      <c r="E1589" s="41"/>
      <c r="F1589" s="41"/>
    </row>
    <row r="1590">
      <c r="A1590" s="41"/>
      <c r="B1590" s="41"/>
      <c r="C1590" s="41"/>
      <c r="D1590" s="41"/>
      <c r="E1590" s="41"/>
      <c r="F1590" s="41"/>
    </row>
    <row r="1591">
      <c r="A1591" s="41"/>
      <c r="B1591" s="41"/>
      <c r="C1591" s="41"/>
      <c r="D1591" s="41"/>
      <c r="E1591" s="41"/>
      <c r="F1591" s="41"/>
    </row>
    <row r="1592">
      <c r="A1592" s="41"/>
      <c r="B1592" s="41"/>
      <c r="C1592" s="41"/>
      <c r="D1592" s="41"/>
      <c r="E1592" s="41"/>
      <c r="F1592" s="41"/>
    </row>
    <row r="1593">
      <c r="A1593" s="41"/>
      <c r="B1593" s="41"/>
      <c r="C1593" s="41"/>
      <c r="D1593" s="41"/>
      <c r="E1593" s="41"/>
      <c r="F1593" s="41"/>
    </row>
    <row r="1594">
      <c r="A1594" s="41"/>
      <c r="B1594" s="41"/>
      <c r="C1594" s="41"/>
      <c r="D1594" s="41"/>
      <c r="E1594" s="41"/>
      <c r="F1594" s="41"/>
    </row>
    <row r="1595">
      <c r="A1595" s="41"/>
      <c r="B1595" s="41"/>
      <c r="C1595" s="41"/>
      <c r="D1595" s="41"/>
      <c r="E1595" s="41"/>
      <c r="F1595" s="41"/>
    </row>
    <row r="1596">
      <c r="A1596" s="41"/>
      <c r="B1596" s="41"/>
      <c r="C1596" s="41"/>
      <c r="D1596" s="41"/>
      <c r="E1596" s="41"/>
      <c r="F1596" s="41"/>
    </row>
    <row r="1597">
      <c r="A1597" s="41"/>
      <c r="B1597" s="41"/>
      <c r="C1597" s="41"/>
      <c r="D1597" s="41"/>
      <c r="E1597" s="41"/>
      <c r="F1597" s="41"/>
    </row>
    <row r="1598">
      <c r="A1598" s="41"/>
      <c r="B1598" s="41"/>
      <c r="C1598" s="41"/>
      <c r="D1598" s="41"/>
      <c r="E1598" s="41"/>
      <c r="F1598" s="41"/>
    </row>
    <row r="1599">
      <c r="A1599" s="41"/>
      <c r="B1599" s="41"/>
      <c r="C1599" s="41"/>
      <c r="D1599" s="41"/>
      <c r="E1599" s="41"/>
      <c r="F1599" s="41"/>
    </row>
    <row r="1600">
      <c r="A1600" s="41"/>
      <c r="B1600" s="41"/>
      <c r="C1600" s="41"/>
      <c r="D1600" s="41"/>
      <c r="E1600" s="41"/>
      <c r="F1600" s="41"/>
    </row>
    <row r="1601">
      <c r="A1601" s="41"/>
      <c r="B1601" s="41"/>
      <c r="C1601" s="41"/>
      <c r="D1601" s="41"/>
      <c r="E1601" s="41"/>
      <c r="F1601" s="41"/>
    </row>
    <row r="1602">
      <c r="A1602" s="41"/>
      <c r="B1602" s="41"/>
      <c r="C1602" s="41"/>
      <c r="D1602" s="41"/>
      <c r="E1602" s="41"/>
      <c r="F1602" s="41"/>
    </row>
    <row r="1603">
      <c r="A1603" s="41"/>
      <c r="B1603" s="41"/>
      <c r="C1603" s="41"/>
      <c r="D1603" s="41"/>
      <c r="E1603" s="41"/>
      <c r="F1603" s="41"/>
    </row>
    <row r="1604">
      <c r="A1604" s="41"/>
      <c r="B1604" s="41"/>
      <c r="C1604" s="41"/>
      <c r="D1604" s="41"/>
      <c r="E1604" s="41"/>
      <c r="F1604" s="41"/>
    </row>
    <row r="1605">
      <c r="A1605" s="41"/>
      <c r="B1605" s="41"/>
      <c r="C1605" s="41"/>
      <c r="D1605" s="41"/>
      <c r="E1605" s="41"/>
      <c r="F1605" s="41"/>
    </row>
    <row r="1606">
      <c r="A1606" s="41"/>
      <c r="B1606" s="41"/>
      <c r="C1606" s="41"/>
      <c r="D1606" s="41"/>
      <c r="E1606" s="41"/>
      <c r="F1606" s="41"/>
    </row>
    <row r="1607">
      <c r="A1607" s="41"/>
      <c r="B1607" s="41"/>
      <c r="C1607" s="41"/>
      <c r="D1607" s="41"/>
      <c r="E1607" s="41"/>
      <c r="F1607" s="41"/>
    </row>
    <row r="1608">
      <c r="A1608" s="41"/>
      <c r="B1608" s="41"/>
      <c r="C1608" s="41"/>
      <c r="D1608" s="41"/>
      <c r="E1608" s="41"/>
      <c r="F1608" s="41"/>
    </row>
    <row r="1609">
      <c r="A1609" s="41"/>
      <c r="B1609" s="41"/>
      <c r="C1609" s="41"/>
      <c r="D1609" s="41"/>
      <c r="E1609" s="41"/>
      <c r="F1609" s="41"/>
    </row>
    <row r="1610">
      <c r="A1610" s="41"/>
      <c r="B1610" s="41"/>
      <c r="C1610" s="41"/>
      <c r="D1610" s="41"/>
      <c r="E1610" s="41"/>
      <c r="F1610" s="41"/>
    </row>
    <row r="1611">
      <c r="A1611" s="41"/>
      <c r="B1611" s="41"/>
      <c r="C1611" s="41"/>
      <c r="D1611" s="41"/>
      <c r="E1611" s="41"/>
      <c r="F1611" s="41"/>
    </row>
    <row r="1612">
      <c r="A1612" s="41"/>
      <c r="B1612" s="41"/>
      <c r="C1612" s="41"/>
      <c r="D1612" s="41"/>
      <c r="E1612" s="41"/>
      <c r="F1612" s="41"/>
    </row>
    <row r="1613">
      <c r="A1613" s="41"/>
      <c r="B1613" s="41"/>
      <c r="C1613" s="41"/>
      <c r="D1613" s="41"/>
      <c r="E1613" s="41"/>
      <c r="F1613" s="41"/>
    </row>
    <row r="1614">
      <c r="A1614" s="41"/>
      <c r="B1614" s="41"/>
      <c r="C1614" s="41"/>
      <c r="D1614" s="41"/>
      <c r="E1614" s="41"/>
      <c r="F1614" s="41"/>
    </row>
    <row r="1615">
      <c r="A1615" s="41"/>
      <c r="B1615" s="41"/>
      <c r="C1615" s="41"/>
      <c r="D1615" s="41"/>
      <c r="E1615" s="41"/>
      <c r="F1615" s="41"/>
    </row>
    <row r="1616">
      <c r="A1616" s="41"/>
      <c r="B1616" s="41"/>
      <c r="C1616" s="41"/>
      <c r="D1616" s="41"/>
      <c r="E1616" s="41"/>
      <c r="F1616" s="41"/>
    </row>
    <row r="1617">
      <c r="A1617" s="41"/>
      <c r="B1617" s="41"/>
      <c r="C1617" s="41"/>
      <c r="D1617" s="41"/>
      <c r="E1617" s="41"/>
      <c r="F1617" s="41"/>
    </row>
    <row r="1618">
      <c r="A1618" s="41"/>
      <c r="B1618" s="41"/>
      <c r="C1618" s="41"/>
      <c r="D1618" s="41"/>
      <c r="E1618" s="41"/>
      <c r="F1618" s="41"/>
    </row>
    <row r="1619">
      <c r="A1619" s="41"/>
      <c r="B1619" s="41"/>
      <c r="C1619" s="41"/>
      <c r="D1619" s="41"/>
      <c r="E1619" s="41"/>
      <c r="F1619" s="41"/>
    </row>
    <row r="1620">
      <c r="A1620" s="41"/>
      <c r="B1620" s="41"/>
      <c r="C1620" s="41"/>
      <c r="D1620" s="41"/>
      <c r="E1620" s="41"/>
      <c r="F1620" s="41"/>
    </row>
    <row r="1621">
      <c r="A1621" s="41"/>
      <c r="B1621" s="41"/>
      <c r="C1621" s="41"/>
      <c r="D1621" s="41"/>
      <c r="E1621" s="41"/>
      <c r="F1621" s="41"/>
    </row>
    <row r="1622">
      <c r="A1622" s="41"/>
      <c r="B1622" s="41"/>
      <c r="C1622" s="41"/>
      <c r="D1622" s="41"/>
      <c r="E1622" s="41"/>
      <c r="F1622" s="41"/>
    </row>
    <row r="1623">
      <c r="A1623" s="41"/>
      <c r="B1623" s="41"/>
      <c r="C1623" s="41"/>
      <c r="D1623" s="41"/>
      <c r="E1623" s="41"/>
      <c r="F1623" s="41"/>
    </row>
    <row r="1624">
      <c r="A1624" s="41"/>
      <c r="B1624" s="41"/>
      <c r="C1624" s="41"/>
      <c r="D1624" s="41"/>
      <c r="E1624" s="41"/>
      <c r="F1624" s="41"/>
    </row>
    <row r="1625">
      <c r="A1625" s="41"/>
      <c r="B1625" s="41"/>
      <c r="C1625" s="41"/>
      <c r="D1625" s="41"/>
      <c r="E1625" s="41"/>
      <c r="F1625" s="41"/>
    </row>
    <row r="1626">
      <c r="A1626" s="41"/>
      <c r="B1626" s="41"/>
      <c r="C1626" s="41"/>
      <c r="D1626" s="41"/>
      <c r="E1626" s="41"/>
      <c r="F1626" s="41"/>
    </row>
    <row r="1627">
      <c r="A1627" s="41"/>
      <c r="B1627" s="41"/>
      <c r="C1627" s="41"/>
      <c r="D1627" s="41"/>
      <c r="E1627" s="41"/>
      <c r="F1627" s="41"/>
    </row>
    <row r="1628">
      <c r="A1628" s="41"/>
      <c r="B1628" s="41"/>
      <c r="C1628" s="41"/>
      <c r="D1628" s="41"/>
      <c r="E1628" s="41"/>
      <c r="F1628" s="41"/>
    </row>
    <row r="1629">
      <c r="A1629" s="41"/>
      <c r="B1629" s="41"/>
      <c r="C1629" s="41"/>
      <c r="D1629" s="41"/>
      <c r="E1629" s="41"/>
      <c r="F1629" s="41"/>
    </row>
    <row r="1630">
      <c r="A1630" s="41"/>
      <c r="B1630" s="41"/>
      <c r="C1630" s="41"/>
      <c r="D1630" s="41"/>
      <c r="E1630" s="41"/>
      <c r="F1630" s="41"/>
    </row>
    <row r="1631">
      <c r="A1631" s="41"/>
      <c r="B1631" s="41"/>
      <c r="C1631" s="41"/>
      <c r="D1631" s="41"/>
      <c r="E1631" s="41"/>
      <c r="F1631" s="41"/>
    </row>
    <row r="1632">
      <c r="A1632" s="41"/>
      <c r="B1632" s="41"/>
      <c r="C1632" s="41"/>
      <c r="D1632" s="41"/>
      <c r="E1632" s="41"/>
      <c r="F1632" s="41"/>
    </row>
    <row r="1633">
      <c r="A1633" s="41"/>
      <c r="B1633" s="41"/>
      <c r="C1633" s="41"/>
      <c r="D1633" s="41"/>
      <c r="E1633" s="41"/>
      <c r="F1633" s="41"/>
    </row>
    <row r="1634">
      <c r="A1634" s="41"/>
      <c r="B1634" s="41"/>
      <c r="C1634" s="41"/>
      <c r="D1634" s="41"/>
      <c r="E1634" s="41"/>
      <c r="F1634" s="41"/>
    </row>
    <row r="1635">
      <c r="A1635" s="41"/>
      <c r="B1635" s="41"/>
      <c r="C1635" s="41"/>
      <c r="D1635" s="41"/>
      <c r="E1635" s="41"/>
      <c r="F1635" s="41"/>
    </row>
    <row r="1636">
      <c r="A1636" s="41"/>
      <c r="B1636" s="41"/>
      <c r="C1636" s="41"/>
      <c r="D1636" s="41"/>
      <c r="E1636" s="41"/>
      <c r="F1636" s="41"/>
    </row>
    <row r="1637">
      <c r="A1637" s="41"/>
      <c r="B1637" s="41"/>
      <c r="C1637" s="41"/>
      <c r="D1637" s="41"/>
      <c r="E1637" s="41"/>
      <c r="F1637" s="41"/>
    </row>
    <row r="1638">
      <c r="A1638" s="41"/>
      <c r="B1638" s="41"/>
      <c r="C1638" s="41"/>
      <c r="D1638" s="41"/>
      <c r="E1638" s="41"/>
      <c r="F1638" s="41"/>
    </row>
    <row r="1639">
      <c r="A1639" s="41"/>
      <c r="B1639" s="41"/>
      <c r="C1639" s="41"/>
      <c r="D1639" s="41"/>
      <c r="E1639" s="41"/>
      <c r="F1639" s="41"/>
    </row>
    <row r="1640">
      <c r="A1640" s="41"/>
      <c r="B1640" s="41"/>
      <c r="C1640" s="41"/>
      <c r="D1640" s="41"/>
      <c r="E1640" s="41"/>
      <c r="F1640" s="41"/>
    </row>
    <row r="1641">
      <c r="A1641" s="41"/>
      <c r="B1641" s="41"/>
      <c r="C1641" s="41"/>
      <c r="D1641" s="41"/>
      <c r="E1641" s="41"/>
      <c r="F1641" s="41"/>
    </row>
    <row r="1642">
      <c r="A1642" s="41"/>
      <c r="B1642" s="41"/>
      <c r="C1642" s="41"/>
      <c r="D1642" s="41"/>
      <c r="E1642" s="41"/>
      <c r="F1642" s="41"/>
    </row>
    <row r="1643">
      <c r="A1643" s="41"/>
      <c r="B1643" s="41"/>
      <c r="C1643" s="41"/>
      <c r="D1643" s="41"/>
      <c r="E1643" s="41"/>
      <c r="F1643" s="41"/>
    </row>
    <row r="1644">
      <c r="A1644" s="41"/>
      <c r="B1644" s="41"/>
      <c r="C1644" s="41"/>
      <c r="D1644" s="41"/>
      <c r="E1644" s="41"/>
      <c r="F1644" s="41"/>
    </row>
    <row r="1645">
      <c r="A1645" s="41"/>
      <c r="B1645" s="41"/>
      <c r="C1645" s="41"/>
      <c r="D1645" s="41"/>
      <c r="E1645" s="41"/>
      <c r="F1645" s="41"/>
    </row>
    <row r="1646">
      <c r="A1646" s="41"/>
      <c r="B1646" s="41"/>
      <c r="C1646" s="41"/>
      <c r="D1646" s="41"/>
      <c r="E1646" s="41"/>
      <c r="F1646" s="41"/>
    </row>
    <row r="1647">
      <c r="A1647" s="41"/>
      <c r="B1647" s="41"/>
      <c r="C1647" s="41"/>
      <c r="D1647" s="41"/>
      <c r="E1647" s="41"/>
      <c r="F1647" s="41"/>
    </row>
    <row r="1648">
      <c r="A1648" s="41"/>
      <c r="B1648" s="41"/>
      <c r="C1648" s="41"/>
      <c r="D1648" s="41"/>
      <c r="E1648" s="41"/>
      <c r="F1648" s="41"/>
    </row>
    <row r="1649">
      <c r="A1649" s="41"/>
      <c r="B1649" s="41"/>
      <c r="C1649" s="41"/>
      <c r="D1649" s="41"/>
      <c r="E1649" s="41"/>
      <c r="F1649" s="41"/>
    </row>
    <row r="1650">
      <c r="A1650" s="41"/>
      <c r="B1650" s="41"/>
      <c r="C1650" s="41"/>
      <c r="D1650" s="41"/>
      <c r="E1650" s="41"/>
      <c r="F1650" s="41"/>
    </row>
    <row r="1651">
      <c r="A1651" s="41"/>
      <c r="B1651" s="41"/>
      <c r="C1651" s="41"/>
      <c r="D1651" s="41"/>
      <c r="E1651" s="41"/>
      <c r="F1651" s="41"/>
    </row>
    <row r="1652">
      <c r="A1652" s="41"/>
      <c r="B1652" s="41"/>
      <c r="C1652" s="41"/>
      <c r="D1652" s="41"/>
      <c r="E1652" s="41"/>
      <c r="F1652" s="41"/>
    </row>
    <row r="1653">
      <c r="A1653" s="41"/>
      <c r="B1653" s="41"/>
      <c r="C1653" s="41"/>
      <c r="D1653" s="41"/>
      <c r="E1653" s="41"/>
      <c r="F1653" s="41"/>
    </row>
    <row r="1654">
      <c r="A1654" s="41"/>
      <c r="B1654" s="41"/>
      <c r="C1654" s="41"/>
      <c r="D1654" s="41"/>
      <c r="E1654" s="41"/>
      <c r="F1654" s="41"/>
    </row>
    <row r="1655">
      <c r="A1655" s="41"/>
      <c r="B1655" s="41"/>
      <c r="C1655" s="41"/>
      <c r="D1655" s="41"/>
      <c r="E1655" s="41"/>
      <c r="F1655" s="41"/>
    </row>
    <row r="1656">
      <c r="A1656" s="41"/>
      <c r="B1656" s="41"/>
      <c r="C1656" s="41"/>
      <c r="D1656" s="41"/>
      <c r="E1656" s="41"/>
      <c r="F1656" s="41"/>
    </row>
    <row r="1657">
      <c r="A1657" s="41"/>
      <c r="B1657" s="41"/>
      <c r="C1657" s="41"/>
      <c r="D1657" s="41"/>
      <c r="E1657" s="41"/>
      <c r="F1657" s="41"/>
    </row>
    <row r="1658">
      <c r="A1658" s="41"/>
      <c r="B1658" s="41"/>
      <c r="C1658" s="41"/>
      <c r="D1658" s="41"/>
      <c r="E1658" s="41"/>
      <c r="F1658" s="41"/>
    </row>
    <row r="1659">
      <c r="A1659" s="41"/>
      <c r="B1659" s="41"/>
      <c r="C1659" s="41"/>
      <c r="D1659" s="41"/>
      <c r="E1659" s="41"/>
      <c r="F1659" s="41"/>
    </row>
    <row r="1660">
      <c r="A1660" s="41"/>
      <c r="B1660" s="41"/>
      <c r="C1660" s="41"/>
      <c r="D1660" s="41"/>
      <c r="E1660" s="41"/>
      <c r="F1660" s="41"/>
    </row>
    <row r="1661">
      <c r="A1661" s="41"/>
      <c r="B1661" s="41"/>
      <c r="C1661" s="41"/>
      <c r="D1661" s="41"/>
      <c r="E1661" s="41"/>
      <c r="F1661" s="41"/>
    </row>
    <row r="1662">
      <c r="A1662" s="41"/>
      <c r="B1662" s="41"/>
      <c r="C1662" s="41"/>
      <c r="D1662" s="41"/>
      <c r="E1662" s="41"/>
      <c r="F1662" s="41"/>
    </row>
    <row r="1663">
      <c r="A1663" s="41"/>
      <c r="B1663" s="41"/>
      <c r="C1663" s="41"/>
      <c r="D1663" s="41"/>
      <c r="E1663" s="41"/>
      <c r="F1663" s="41"/>
    </row>
    <row r="1664">
      <c r="A1664" s="41"/>
      <c r="B1664" s="41"/>
      <c r="C1664" s="41"/>
      <c r="D1664" s="41"/>
      <c r="E1664" s="41"/>
      <c r="F1664" s="41"/>
    </row>
    <row r="1665">
      <c r="A1665" s="41"/>
      <c r="B1665" s="41"/>
      <c r="C1665" s="41"/>
      <c r="D1665" s="41"/>
      <c r="E1665" s="41"/>
      <c r="F1665" s="41"/>
    </row>
    <row r="1666">
      <c r="A1666" s="41"/>
      <c r="B1666" s="41"/>
      <c r="C1666" s="41"/>
      <c r="D1666" s="41"/>
      <c r="E1666" s="41"/>
      <c r="F1666" s="41"/>
    </row>
    <row r="1667">
      <c r="A1667" s="41"/>
      <c r="B1667" s="41"/>
      <c r="C1667" s="41"/>
      <c r="D1667" s="41"/>
      <c r="E1667" s="41"/>
      <c r="F1667" s="41"/>
    </row>
    <row r="1668">
      <c r="A1668" s="41"/>
      <c r="B1668" s="41"/>
      <c r="C1668" s="41"/>
      <c r="D1668" s="41"/>
      <c r="E1668" s="41"/>
      <c r="F1668" s="41"/>
    </row>
    <row r="1669">
      <c r="A1669" s="41"/>
      <c r="B1669" s="41"/>
      <c r="C1669" s="41"/>
      <c r="D1669" s="41"/>
      <c r="E1669" s="41"/>
      <c r="F1669" s="41"/>
    </row>
    <row r="1670">
      <c r="A1670" s="41"/>
      <c r="B1670" s="41"/>
      <c r="C1670" s="41"/>
      <c r="D1670" s="41"/>
      <c r="E1670" s="41"/>
      <c r="F1670" s="41"/>
    </row>
    <row r="1671">
      <c r="A1671" s="41"/>
      <c r="B1671" s="41"/>
      <c r="C1671" s="41"/>
      <c r="D1671" s="41"/>
      <c r="E1671" s="41"/>
      <c r="F1671" s="41"/>
    </row>
    <row r="1672">
      <c r="A1672" s="41"/>
      <c r="B1672" s="41"/>
      <c r="C1672" s="41"/>
      <c r="D1672" s="41"/>
      <c r="E1672" s="41"/>
      <c r="F1672" s="41"/>
    </row>
    <row r="1673">
      <c r="A1673" s="41"/>
      <c r="B1673" s="41"/>
      <c r="C1673" s="41"/>
      <c r="D1673" s="41"/>
      <c r="E1673" s="41"/>
      <c r="F1673" s="41"/>
    </row>
    <row r="1674">
      <c r="A1674" s="41"/>
      <c r="B1674" s="41"/>
      <c r="C1674" s="41"/>
      <c r="D1674" s="41"/>
      <c r="E1674" s="41"/>
      <c r="F1674" s="41"/>
    </row>
    <row r="1675">
      <c r="A1675" s="41"/>
      <c r="B1675" s="41"/>
      <c r="C1675" s="41"/>
      <c r="D1675" s="41"/>
      <c r="E1675" s="41"/>
      <c r="F1675" s="41"/>
    </row>
    <row r="1676">
      <c r="A1676" s="41"/>
      <c r="B1676" s="41"/>
      <c r="C1676" s="41"/>
      <c r="D1676" s="41"/>
      <c r="E1676" s="41"/>
      <c r="F1676" s="41"/>
    </row>
    <row r="1677">
      <c r="A1677" s="41"/>
      <c r="B1677" s="41"/>
      <c r="C1677" s="41"/>
      <c r="D1677" s="41"/>
      <c r="E1677" s="41"/>
      <c r="F1677" s="41"/>
    </row>
    <row r="1678">
      <c r="A1678" s="41"/>
      <c r="B1678" s="41"/>
      <c r="C1678" s="41"/>
      <c r="D1678" s="41"/>
      <c r="E1678" s="41"/>
      <c r="F1678" s="41"/>
    </row>
    <row r="1679">
      <c r="A1679" s="41"/>
      <c r="B1679" s="41"/>
      <c r="C1679" s="41"/>
      <c r="D1679" s="41"/>
      <c r="E1679" s="41"/>
      <c r="F1679" s="41"/>
    </row>
    <row r="1680">
      <c r="A1680" s="41"/>
      <c r="B1680" s="41"/>
      <c r="C1680" s="41"/>
      <c r="D1680" s="41"/>
      <c r="E1680" s="41"/>
      <c r="F1680" s="41"/>
    </row>
    <row r="1681">
      <c r="A1681" s="41"/>
      <c r="B1681" s="41"/>
      <c r="C1681" s="41"/>
      <c r="D1681" s="41"/>
      <c r="E1681" s="41"/>
      <c r="F1681" s="41"/>
    </row>
    <row r="1682">
      <c r="A1682" s="41"/>
      <c r="B1682" s="41"/>
      <c r="C1682" s="41"/>
      <c r="D1682" s="41"/>
      <c r="E1682" s="41"/>
      <c r="F1682" s="41"/>
    </row>
    <row r="1683">
      <c r="A1683" s="41"/>
      <c r="B1683" s="41"/>
      <c r="C1683" s="41"/>
      <c r="D1683" s="41"/>
      <c r="E1683" s="41"/>
      <c r="F1683" s="41"/>
    </row>
    <row r="1684">
      <c r="A1684" s="41"/>
      <c r="B1684" s="41"/>
      <c r="C1684" s="41"/>
      <c r="D1684" s="41"/>
      <c r="E1684" s="41"/>
      <c r="F1684" s="41"/>
    </row>
    <row r="1685">
      <c r="A1685" s="41"/>
      <c r="B1685" s="41"/>
      <c r="C1685" s="41"/>
      <c r="D1685" s="41"/>
      <c r="E1685" s="41"/>
      <c r="F1685" s="41"/>
    </row>
    <row r="1686">
      <c r="A1686" s="41"/>
      <c r="B1686" s="41"/>
      <c r="C1686" s="41"/>
      <c r="D1686" s="41"/>
      <c r="E1686" s="41"/>
      <c r="F1686" s="41"/>
    </row>
    <row r="1687">
      <c r="A1687" s="41"/>
      <c r="B1687" s="41"/>
      <c r="C1687" s="41"/>
      <c r="D1687" s="41"/>
      <c r="E1687" s="41"/>
      <c r="F1687" s="41"/>
    </row>
    <row r="1688">
      <c r="A1688" s="41"/>
      <c r="B1688" s="41"/>
      <c r="C1688" s="41"/>
      <c r="D1688" s="41"/>
      <c r="E1688" s="41"/>
      <c r="F1688" s="41"/>
    </row>
    <row r="1689">
      <c r="A1689" s="41"/>
      <c r="B1689" s="41"/>
      <c r="C1689" s="41"/>
      <c r="D1689" s="41"/>
      <c r="E1689" s="41"/>
      <c r="F1689" s="41"/>
    </row>
    <row r="1690">
      <c r="A1690" s="41"/>
      <c r="B1690" s="41"/>
      <c r="C1690" s="41"/>
      <c r="D1690" s="41"/>
      <c r="E1690" s="41"/>
      <c r="F1690" s="41"/>
    </row>
    <row r="1691">
      <c r="A1691" s="41"/>
      <c r="B1691" s="41"/>
      <c r="C1691" s="41"/>
      <c r="D1691" s="41"/>
      <c r="E1691" s="41"/>
      <c r="F1691" s="41"/>
    </row>
    <row r="1692">
      <c r="A1692" s="41"/>
      <c r="B1692" s="41"/>
      <c r="C1692" s="41"/>
      <c r="D1692" s="41"/>
      <c r="E1692" s="41"/>
      <c r="F1692" s="41"/>
    </row>
    <row r="1693">
      <c r="A1693" s="41"/>
      <c r="B1693" s="41"/>
      <c r="C1693" s="41"/>
      <c r="D1693" s="41"/>
      <c r="E1693" s="41"/>
      <c r="F1693" s="41"/>
    </row>
    <row r="1694">
      <c r="A1694" s="41"/>
      <c r="B1694" s="41"/>
      <c r="C1694" s="41"/>
      <c r="D1694" s="41"/>
      <c r="E1694" s="41"/>
      <c r="F1694" s="41"/>
    </row>
    <row r="1695">
      <c r="A1695" s="41"/>
      <c r="B1695" s="41"/>
      <c r="C1695" s="41"/>
      <c r="D1695" s="41"/>
      <c r="E1695" s="41"/>
      <c r="F1695" s="41"/>
    </row>
    <row r="1696">
      <c r="A1696" s="41"/>
      <c r="B1696" s="41"/>
      <c r="C1696" s="41"/>
      <c r="D1696" s="41"/>
      <c r="E1696" s="41"/>
      <c r="F1696" s="41"/>
    </row>
    <row r="1697">
      <c r="A1697" s="41"/>
      <c r="B1697" s="41"/>
      <c r="C1697" s="41"/>
      <c r="D1697" s="41"/>
      <c r="E1697" s="41"/>
      <c r="F1697" s="41"/>
    </row>
    <row r="1698">
      <c r="A1698" s="41"/>
      <c r="B1698" s="41"/>
      <c r="C1698" s="41"/>
      <c r="D1698" s="41"/>
      <c r="E1698" s="41"/>
      <c r="F1698" s="41"/>
    </row>
    <row r="1699">
      <c r="A1699" s="41"/>
      <c r="B1699" s="41"/>
      <c r="C1699" s="41"/>
      <c r="D1699" s="41"/>
      <c r="E1699" s="41"/>
      <c r="F1699" s="41"/>
    </row>
    <row r="1700">
      <c r="A1700" s="41"/>
      <c r="B1700" s="41"/>
      <c r="C1700" s="41"/>
      <c r="D1700" s="41"/>
      <c r="E1700" s="41"/>
      <c r="F1700" s="41"/>
    </row>
    <row r="1701">
      <c r="A1701" s="41"/>
      <c r="B1701" s="41"/>
      <c r="C1701" s="41"/>
      <c r="D1701" s="41"/>
      <c r="E1701" s="41"/>
      <c r="F1701" s="41"/>
    </row>
    <row r="1702">
      <c r="A1702" s="41"/>
      <c r="B1702" s="41"/>
      <c r="C1702" s="41"/>
      <c r="D1702" s="41"/>
      <c r="E1702" s="41"/>
      <c r="F1702" s="41"/>
    </row>
    <row r="1703">
      <c r="A1703" s="41"/>
      <c r="B1703" s="41"/>
      <c r="C1703" s="41"/>
      <c r="D1703" s="41"/>
      <c r="E1703" s="41"/>
      <c r="F1703" s="41"/>
    </row>
    <row r="1704">
      <c r="A1704" s="41"/>
      <c r="B1704" s="41"/>
      <c r="C1704" s="41"/>
      <c r="D1704" s="41"/>
      <c r="E1704" s="41"/>
      <c r="F1704" s="41"/>
    </row>
    <row r="1705">
      <c r="A1705" s="41"/>
      <c r="B1705" s="41"/>
      <c r="C1705" s="41"/>
      <c r="D1705" s="41"/>
      <c r="E1705" s="41"/>
      <c r="F1705" s="41"/>
    </row>
    <row r="1706">
      <c r="A1706" s="41"/>
      <c r="B1706" s="41"/>
      <c r="C1706" s="41"/>
      <c r="D1706" s="41"/>
      <c r="E1706" s="41"/>
      <c r="F1706" s="41"/>
    </row>
    <row r="1707">
      <c r="A1707" s="41"/>
      <c r="B1707" s="41"/>
      <c r="C1707" s="41"/>
      <c r="D1707" s="41"/>
      <c r="E1707" s="41"/>
      <c r="F1707" s="41"/>
    </row>
    <row r="1708">
      <c r="A1708" s="41"/>
      <c r="B1708" s="41"/>
      <c r="C1708" s="41"/>
      <c r="D1708" s="41"/>
      <c r="E1708" s="41"/>
      <c r="F1708" s="41"/>
    </row>
    <row r="1709">
      <c r="A1709" s="41"/>
      <c r="B1709" s="41"/>
      <c r="C1709" s="41"/>
      <c r="D1709" s="41"/>
      <c r="E1709" s="41"/>
      <c r="F1709" s="41"/>
    </row>
    <row r="1710">
      <c r="A1710" s="41"/>
      <c r="B1710" s="41"/>
      <c r="C1710" s="41"/>
      <c r="D1710" s="41"/>
      <c r="E1710" s="41"/>
      <c r="F1710" s="41"/>
    </row>
    <row r="1711">
      <c r="A1711" s="41"/>
      <c r="B1711" s="41"/>
      <c r="C1711" s="41"/>
      <c r="D1711" s="41"/>
      <c r="E1711" s="41"/>
      <c r="F1711" s="41"/>
    </row>
    <row r="1712">
      <c r="A1712" s="41"/>
      <c r="B1712" s="41"/>
      <c r="C1712" s="41"/>
      <c r="D1712" s="41"/>
      <c r="E1712" s="41"/>
      <c r="F1712" s="41"/>
    </row>
    <row r="1713">
      <c r="A1713" s="41"/>
      <c r="B1713" s="41"/>
      <c r="C1713" s="41"/>
      <c r="D1713" s="41"/>
      <c r="E1713" s="41"/>
      <c r="F1713" s="41"/>
    </row>
    <row r="1714">
      <c r="A1714" s="41"/>
      <c r="B1714" s="41"/>
      <c r="C1714" s="41"/>
      <c r="D1714" s="41"/>
      <c r="E1714" s="41"/>
      <c r="F1714" s="41"/>
    </row>
    <row r="1715">
      <c r="A1715" s="41"/>
      <c r="B1715" s="41"/>
      <c r="C1715" s="41"/>
      <c r="D1715" s="41"/>
      <c r="E1715" s="41"/>
      <c r="F1715" s="41"/>
    </row>
    <row r="1716">
      <c r="A1716" s="41"/>
      <c r="B1716" s="41"/>
      <c r="C1716" s="41"/>
      <c r="D1716" s="41"/>
      <c r="E1716" s="41"/>
      <c r="F1716" s="41"/>
    </row>
    <row r="1717">
      <c r="A1717" s="41"/>
      <c r="B1717" s="41"/>
      <c r="C1717" s="41"/>
      <c r="D1717" s="41"/>
      <c r="E1717" s="41"/>
      <c r="F1717" s="41"/>
    </row>
    <row r="1718">
      <c r="A1718" s="41"/>
      <c r="B1718" s="41"/>
      <c r="C1718" s="41"/>
      <c r="D1718" s="41"/>
      <c r="E1718" s="41"/>
      <c r="F1718" s="41"/>
    </row>
    <row r="1719">
      <c r="A1719" s="41"/>
      <c r="B1719" s="41"/>
      <c r="C1719" s="41"/>
      <c r="D1719" s="41"/>
      <c r="E1719" s="41"/>
      <c r="F1719" s="41"/>
    </row>
    <row r="1720">
      <c r="A1720" s="41"/>
      <c r="B1720" s="41"/>
      <c r="C1720" s="41"/>
      <c r="D1720" s="41"/>
      <c r="E1720" s="41"/>
      <c r="F1720" s="41"/>
    </row>
    <row r="1721">
      <c r="A1721" s="41"/>
      <c r="B1721" s="41"/>
      <c r="C1721" s="41"/>
      <c r="D1721" s="41"/>
      <c r="E1721" s="41"/>
      <c r="F1721" s="41"/>
    </row>
    <row r="1722">
      <c r="A1722" s="41"/>
      <c r="B1722" s="41"/>
      <c r="C1722" s="41"/>
      <c r="D1722" s="41"/>
      <c r="E1722" s="41"/>
      <c r="F1722" s="41"/>
    </row>
    <row r="1723">
      <c r="A1723" s="41"/>
      <c r="B1723" s="41"/>
      <c r="C1723" s="41"/>
      <c r="D1723" s="41"/>
      <c r="E1723" s="41"/>
      <c r="F1723" s="41"/>
    </row>
    <row r="1724">
      <c r="A1724" s="41"/>
      <c r="B1724" s="41"/>
      <c r="C1724" s="41"/>
      <c r="D1724" s="41"/>
      <c r="E1724" s="41"/>
      <c r="F1724" s="41"/>
    </row>
    <row r="1725">
      <c r="A1725" s="41"/>
      <c r="B1725" s="41"/>
      <c r="C1725" s="41"/>
      <c r="D1725" s="41"/>
      <c r="E1725" s="41"/>
      <c r="F1725" s="41"/>
    </row>
    <row r="1726">
      <c r="A1726" s="41"/>
      <c r="B1726" s="41"/>
      <c r="C1726" s="41"/>
      <c r="D1726" s="41"/>
      <c r="E1726" s="41"/>
      <c r="F1726" s="41"/>
    </row>
    <row r="1727">
      <c r="A1727" s="41"/>
      <c r="B1727" s="41"/>
      <c r="C1727" s="41"/>
      <c r="D1727" s="41"/>
      <c r="E1727" s="41"/>
      <c r="F1727" s="41"/>
    </row>
    <row r="1728">
      <c r="A1728" s="41"/>
      <c r="B1728" s="41"/>
      <c r="C1728" s="41"/>
      <c r="D1728" s="41"/>
      <c r="E1728" s="41"/>
      <c r="F1728" s="41"/>
    </row>
    <row r="1729">
      <c r="A1729" s="41"/>
      <c r="B1729" s="41"/>
      <c r="C1729" s="41"/>
      <c r="D1729" s="41"/>
      <c r="E1729" s="41"/>
      <c r="F1729" s="41"/>
    </row>
    <row r="1730">
      <c r="A1730" s="41"/>
      <c r="B1730" s="41"/>
      <c r="C1730" s="41"/>
      <c r="D1730" s="41"/>
      <c r="E1730" s="41"/>
      <c r="F1730" s="41"/>
    </row>
    <row r="1731">
      <c r="A1731" s="41"/>
      <c r="B1731" s="41"/>
      <c r="C1731" s="41"/>
      <c r="D1731" s="41"/>
      <c r="E1731" s="41"/>
      <c r="F1731" s="41"/>
    </row>
    <row r="1732">
      <c r="A1732" s="41"/>
      <c r="B1732" s="41"/>
      <c r="C1732" s="41"/>
      <c r="D1732" s="41"/>
      <c r="E1732" s="41"/>
      <c r="F1732" s="41"/>
    </row>
    <row r="1733">
      <c r="A1733" s="41"/>
      <c r="B1733" s="41"/>
      <c r="C1733" s="41"/>
      <c r="D1733" s="41"/>
      <c r="E1733" s="41"/>
      <c r="F1733" s="41"/>
    </row>
    <row r="1734">
      <c r="A1734" s="41"/>
      <c r="B1734" s="41"/>
      <c r="C1734" s="41"/>
      <c r="D1734" s="41"/>
      <c r="E1734" s="41"/>
      <c r="F1734" s="41"/>
    </row>
    <row r="1735">
      <c r="A1735" s="41"/>
      <c r="B1735" s="41"/>
      <c r="C1735" s="41"/>
      <c r="D1735" s="41"/>
      <c r="E1735" s="41"/>
      <c r="F1735" s="41"/>
    </row>
    <row r="1736">
      <c r="A1736" s="41"/>
      <c r="B1736" s="41"/>
      <c r="C1736" s="41"/>
      <c r="D1736" s="41"/>
      <c r="E1736" s="41"/>
      <c r="F1736" s="41"/>
    </row>
    <row r="1737">
      <c r="A1737" s="41"/>
      <c r="B1737" s="41"/>
      <c r="C1737" s="41"/>
      <c r="D1737" s="41"/>
      <c r="E1737" s="41"/>
      <c r="F1737" s="41"/>
    </row>
    <row r="1738">
      <c r="A1738" s="41"/>
      <c r="B1738" s="41"/>
      <c r="C1738" s="41"/>
      <c r="D1738" s="41"/>
      <c r="E1738" s="41"/>
      <c r="F1738" s="41"/>
    </row>
    <row r="1739">
      <c r="A1739" s="41"/>
      <c r="B1739" s="41"/>
      <c r="C1739" s="41"/>
      <c r="D1739" s="41"/>
      <c r="E1739" s="41"/>
      <c r="F1739" s="41"/>
    </row>
    <row r="1740">
      <c r="A1740" s="41"/>
      <c r="B1740" s="41"/>
      <c r="C1740" s="41"/>
      <c r="D1740" s="41"/>
      <c r="E1740" s="41"/>
      <c r="F1740" s="41"/>
    </row>
    <row r="1741">
      <c r="A1741" s="41"/>
      <c r="B1741" s="41"/>
      <c r="C1741" s="41"/>
      <c r="D1741" s="41"/>
      <c r="E1741" s="41"/>
      <c r="F1741" s="41"/>
    </row>
    <row r="1742">
      <c r="A1742" s="41"/>
      <c r="B1742" s="41"/>
      <c r="C1742" s="41"/>
      <c r="D1742" s="41"/>
      <c r="E1742" s="41"/>
      <c r="F1742" s="41"/>
    </row>
    <row r="1743">
      <c r="A1743" s="41"/>
      <c r="B1743" s="41"/>
      <c r="C1743" s="41"/>
      <c r="D1743" s="41"/>
      <c r="E1743" s="41"/>
      <c r="F1743" s="41"/>
    </row>
    <row r="1744">
      <c r="A1744" s="41"/>
      <c r="B1744" s="41"/>
      <c r="C1744" s="41"/>
      <c r="D1744" s="41"/>
      <c r="E1744" s="41"/>
      <c r="F1744" s="41"/>
    </row>
    <row r="1745">
      <c r="A1745" s="41"/>
      <c r="B1745" s="41"/>
      <c r="C1745" s="41"/>
      <c r="D1745" s="41"/>
      <c r="E1745" s="41"/>
      <c r="F1745" s="41"/>
    </row>
    <row r="1746">
      <c r="A1746" s="41"/>
      <c r="B1746" s="41"/>
      <c r="C1746" s="41"/>
      <c r="D1746" s="41"/>
      <c r="E1746" s="41"/>
      <c r="F1746" s="41"/>
    </row>
    <row r="1747">
      <c r="A1747" s="41"/>
      <c r="B1747" s="41"/>
      <c r="C1747" s="41"/>
      <c r="D1747" s="41"/>
      <c r="E1747" s="41"/>
      <c r="F1747" s="41"/>
    </row>
    <row r="1748">
      <c r="A1748" s="41"/>
      <c r="B1748" s="41"/>
      <c r="C1748" s="41"/>
      <c r="D1748" s="41"/>
      <c r="E1748" s="41"/>
      <c r="F1748" s="41"/>
    </row>
    <row r="1749">
      <c r="A1749" s="41"/>
      <c r="B1749" s="41"/>
      <c r="C1749" s="41"/>
      <c r="D1749" s="41"/>
      <c r="E1749" s="41"/>
      <c r="F1749" s="41"/>
    </row>
    <row r="1750">
      <c r="A1750" s="41"/>
      <c r="B1750" s="41"/>
      <c r="C1750" s="41"/>
      <c r="D1750" s="41"/>
      <c r="E1750" s="41"/>
      <c r="F1750" s="41"/>
    </row>
    <row r="1751">
      <c r="A1751" s="41"/>
      <c r="B1751" s="41"/>
      <c r="C1751" s="41"/>
      <c r="D1751" s="41"/>
      <c r="E1751" s="41"/>
      <c r="F1751" s="41"/>
    </row>
    <row r="1752">
      <c r="A1752" s="41"/>
      <c r="B1752" s="41"/>
      <c r="C1752" s="41"/>
      <c r="D1752" s="41"/>
      <c r="E1752" s="41"/>
      <c r="F1752" s="41"/>
    </row>
    <row r="1753">
      <c r="A1753" s="41"/>
      <c r="B1753" s="41"/>
      <c r="C1753" s="41"/>
      <c r="D1753" s="41"/>
      <c r="E1753" s="41"/>
      <c r="F1753" s="41"/>
    </row>
    <row r="1754">
      <c r="A1754" s="41"/>
      <c r="B1754" s="41"/>
      <c r="C1754" s="41"/>
      <c r="D1754" s="41"/>
      <c r="E1754" s="41"/>
      <c r="F1754" s="41"/>
    </row>
    <row r="1755">
      <c r="A1755" s="41"/>
      <c r="B1755" s="41"/>
      <c r="C1755" s="41"/>
      <c r="D1755" s="41"/>
      <c r="E1755" s="41"/>
      <c r="F1755" s="41"/>
    </row>
    <row r="1756">
      <c r="A1756" s="41"/>
      <c r="B1756" s="41"/>
      <c r="C1756" s="41"/>
      <c r="D1756" s="41"/>
      <c r="E1756" s="41"/>
      <c r="F1756" s="41"/>
    </row>
    <row r="1757">
      <c r="A1757" s="41"/>
      <c r="B1757" s="41"/>
      <c r="C1757" s="41"/>
      <c r="D1757" s="41"/>
      <c r="E1757" s="41"/>
      <c r="F1757" s="41"/>
    </row>
    <row r="1758">
      <c r="A1758" s="41"/>
      <c r="B1758" s="41"/>
      <c r="C1758" s="41"/>
      <c r="D1758" s="41"/>
      <c r="E1758" s="41"/>
      <c r="F1758" s="41"/>
    </row>
    <row r="1759">
      <c r="A1759" s="41"/>
      <c r="B1759" s="41"/>
      <c r="C1759" s="41"/>
      <c r="D1759" s="41"/>
      <c r="E1759" s="41"/>
      <c r="F1759" s="41"/>
    </row>
    <row r="1760">
      <c r="A1760" s="41"/>
      <c r="B1760" s="41"/>
      <c r="C1760" s="41"/>
      <c r="D1760" s="41"/>
      <c r="E1760" s="41"/>
      <c r="F1760" s="41"/>
    </row>
    <row r="1761">
      <c r="A1761" s="41"/>
      <c r="B1761" s="41"/>
      <c r="C1761" s="41"/>
      <c r="D1761" s="41"/>
      <c r="E1761" s="41"/>
      <c r="F1761" s="41"/>
    </row>
    <row r="1762">
      <c r="A1762" s="41"/>
      <c r="B1762" s="41"/>
      <c r="C1762" s="41"/>
      <c r="D1762" s="41"/>
      <c r="E1762" s="41"/>
      <c r="F1762" s="41"/>
    </row>
    <row r="1763">
      <c r="A1763" s="41"/>
      <c r="B1763" s="41"/>
      <c r="C1763" s="41"/>
      <c r="D1763" s="41"/>
      <c r="E1763" s="41"/>
      <c r="F1763" s="41"/>
    </row>
    <row r="1764">
      <c r="A1764" s="41"/>
      <c r="B1764" s="41"/>
      <c r="C1764" s="41"/>
      <c r="D1764" s="41"/>
      <c r="E1764" s="41"/>
      <c r="F1764" s="41"/>
    </row>
    <row r="1765">
      <c r="A1765" s="41"/>
      <c r="B1765" s="41"/>
      <c r="C1765" s="41"/>
      <c r="D1765" s="41"/>
      <c r="E1765" s="41"/>
      <c r="F1765" s="41"/>
    </row>
    <row r="1766">
      <c r="A1766" s="41"/>
      <c r="B1766" s="41"/>
      <c r="C1766" s="41"/>
      <c r="D1766" s="41"/>
      <c r="E1766" s="41"/>
      <c r="F1766" s="41"/>
    </row>
    <row r="1767">
      <c r="A1767" s="41"/>
      <c r="B1767" s="41"/>
      <c r="C1767" s="41"/>
      <c r="D1767" s="41"/>
      <c r="E1767" s="41"/>
      <c r="F1767" s="41"/>
    </row>
    <row r="1768">
      <c r="A1768" s="41"/>
      <c r="B1768" s="41"/>
      <c r="C1768" s="41"/>
      <c r="D1768" s="41"/>
      <c r="E1768" s="41"/>
      <c r="F1768" s="41"/>
    </row>
    <row r="1769">
      <c r="A1769" s="41"/>
      <c r="B1769" s="41"/>
      <c r="C1769" s="41"/>
      <c r="D1769" s="41"/>
      <c r="E1769" s="41"/>
      <c r="F1769" s="41"/>
    </row>
    <row r="1770">
      <c r="A1770" s="41"/>
      <c r="B1770" s="41"/>
      <c r="C1770" s="41"/>
      <c r="D1770" s="41"/>
      <c r="E1770" s="41"/>
      <c r="F1770" s="41"/>
    </row>
    <row r="1771">
      <c r="A1771" s="41"/>
      <c r="B1771" s="41"/>
      <c r="C1771" s="41"/>
      <c r="D1771" s="41"/>
      <c r="E1771" s="41"/>
      <c r="F1771" s="41"/>
    </row>
    <row r="1772">
      <c r="A1772" s="41"/>
      <c r="B1772" s="41"/>
      <c r="C1772" s="41"/>
      <c r="D1772" s="41"/>
      <c r="E1772" s="41"/>
      <c r="F1772" s="41"/>
    </row>
    <row r="1773">
      <c r="A1773" s="41"/>
      <c r="B1773" s="41"/>
      <c r="C1773" s="41"/>
      <c r="D1773" s="41"/>
      <c r="E1773" s="41"/>
      <c r="F1773" s="41"/>
    </row>
    <row r="1774">
      <c r="A1774" s="41"/>
      <c r="B1774" s="41"/>
      <c r="C1774" s="41"/>
      <c r="D1774" s="41"/>
      <c r="E1774" s="41"/>
      <c r="F1774" s="41"/>
    </row>
    <row r="1775">
      <c r="A1775" s="41"/>
      <c r="B1775" s="41"/>
      <c r="C1775" s="41"/>
      <c r="D1775" s="41"/>
      <c r="E1775" s="41"/>
      <c r="F1775" s="41"/>
    </row>
    <row r="1776">
      <c r="A1776" s="41"/>
      <c r="B1776" s="41"/>
      <c r="C1776" s="41"/>
      <c r="D1776" s="41"/>
      <c r="E1776" s="41"/>
      <c r="F1776" s="41"/>
    </row>
    <row r="1777">
      <c r="A1777" s="41"/>
      <c r="B1777" s="41"/>
      <c r="C1777" s="41"/>
      <c r="D1777" s="41"/>
      <c r="E1777" s="41"/>
      <c r="F1777" s="41"/>
    </row>
    <row r="1778">
      <c r="A1778" s="41"/>
      <c r="B1778" s="41"/>
      <c r="C1778" s="41"/>
      <c r="D1778" s="41"/>
      <c r="E1778" s="41"/>
      <c r="F1778" s="41"/>
    </row>
    <row r="1779">
      <c r="A1779" s="41"/>
      <c r="B1779" s="41"/>
      <c r="C1779" s="41"/>
      <c r="D1779" s="41"/>
      <c r="E1779" s="41"/>
      <c r="F1779" s="41"/>
    </row>
    <row r="1780">
      <c r="A1780" s="41"/>
      <c r="B1780" s="41"/>
      <c r="C1780" s="41"/>
      <c r="D1780" s="41"/>
      <c r="E1780" s="41"/>
      <c r="F1780" s="41"/>
    </row>
    <row r="1781">
      <c r="A1781" s="41"/>
      <c r="B1781" s="41"/>
      <c r="C1781" s="41"/>
      <c r="D1781" s="41"/>
      <c r="E1781" s="41"/>
      <c r="F1781" s="41"/>
    </row>
    <row r="1782">
      <c r="A1782" s="41"/>
      <c r="B1782" s="41"/>
      <c r="C1782" s="41"/>
      <c r="D1782" s="41"/>
      <c r="E1782" s="41"/>
      <c r="F1782" s="41"/>
    </row>
    <row r="1783">
      <c r="A1783" s="41"/>
      <c r="B1783" s="41"/>
      <c r="C1783" s="41"/>
      <c r="D1783" s="41"/>
      <c r="E1783" s="41"/>
      <c r="F1783" s="41"/>
    </row>
    <row r="1784">
      <c r="A1784" s="41"/>
      <c r="B1784" s="41"/>
      <c r="C1784" s="41"/>
      <c r="D1784" s="41"/>
      <c r="E1784" s="41"/>
      <c r="F1784" s="41"/>
    </row>
    <row r="1785">
      <c r="A1785" s="41"/>
      <c r="B1785" s="41"/>
      <c r="C1785" s="41"/>
      <c r="D1785" s="41"/>
      <c r="E1785" s="41"/>
      <c r="F1785" s="41"/>
    </row>
    <row r="1786">
      <c r="A1786" s="41"/>
      <c r="B1786" s="41"/>
      <c r="C1786" s="41"/>
      <c r="D1786" s="41"/>
      <c r="E1786" s="41"/>
      <c r="F1786" s="41"/>
    </row>
    <row r="1787">
      <c r="A1787" s="41"/>
      <c r="B1787" s="41"/>
      <c r="C1787" s="41"/>
      <c r="D1787" s="41"/>
      <c r="E1787" s="41"/>
      <c r="F1787" s="41"/>
    </row>
    <row r="1788">
      <c r="A1788" s="41"/>
      <c r="B1788" s="41"/>
      <c r="C1788" s="41"/>
      <c r="D1788" s="41"/>
      <c r="E1788" s="41"/>
      <c r="F1788" s="41"/>
    </row>
    <row r="1789">
      <c r="A1789" s="41"/>
      <c r="B1789" s="41"/>
      <c r="C1789" s="41"/>
      <c r="D1789" s="41"/>
      <c r="E1789" s="41"/>
      <c r="F1789" s="41"/>
    </row>
    <row r="1790">
      <c r="A1790" s="41"/>
      <c r="B1790" s="41"/>
      <c r="C1790" s="41"/>
      <c r="D1790" s="41"/>
      <c r="E1790" s="41"/>
      <c r="F1790" s="41"/>
    </row>
    <row r="1791">
      <c r="A1791" s="41"/>
      <c r="B1791" s="41"/>
      <c r="C1791" s="41"/>
      <c r="D1791" s="41"/>
      <c r="E1791" s="41"/>
      <c r="F1791" s="41"/>
    </row>
    <row r="1792">
      <c r="A1792" s="41"/>
      <c r="B1792" s="41"/>
      <c r="C1792" s="41"/>
      <c r="D1792" s="41"/>
      <c r="E1792" s="41"/>
      <c r="F1792" s="41"/>
    </row>
    <row r="1793">
      <c r="A1793" s="41"/>
      <c r="B1793" s="41"/>
      <c r="C1793" s="41"/>
      <c r="D1793" s="41"/>
      <c r="E1793" s="41"/>
      <c r="F1793" s="41"/>
    </row>
    <row r="1794">
      <c r="A1794" s="41"/>
      <c r="B1794" s="41"/>
      <c r="C1794" s="41"/>
      <c r="D1794" s="41"/>
      <c r="E1794" s="41"/>
      <c r="F1794" s="41"/>
    </row>
    <row r="1795">
      <c r="A1795" s="41"/>
      <c r="B1795" s="41"/>
      <c r="C1795" s="41"/>
      <c r="D1795" s="41"/>
      <c r="E1795" s="41"/>
      <c r="F1795" s="41"/>
    </row>
    <row r="1796">
      <c r="A1796" s="41"/>
      <c r="B1796" s="41"/>
      <c r="C1796" s="41"/>
      <c r="D1796" s="41"/>
      <c r="E1796" s="41"/>
      <c r="F1796" s="41"/>
    </row>
    <row r="1797">
      <c r="A1797" s="41"/>
      <c r="B1797" s="41"/>
      <c r="C1797" s="41"/>
      <c r="D1797" s="41"/>
      <c r="E1797" s="41"/>
      <c r="F1797" s="41"/>
    </row>
    <row r="1798">
      <c r="A1798" s="41"/>
      <c r="B1798" s="41"/>
      <c r="C1798" s="41"/>
      <c r="D1798" s="41"/>
      <c r="E1798" s="41"/>
      <c r="F1798" s="41"/>
    </row>
    <row r="1799">
      <c r="A1799" s="41"/>
      <c r="B1799" s="41"/>
      <c r="C1799" s="41"/>
      <c r="D1799" s="41"/>
      <c r="E1799" s="41"/>
      <c r="F1799" s="41"/>
    </row>
    <row r="1800">
      <c r="A1800" s="41"/>
      <c r="B1800" s="41"/>
      <c r="C1800" s="41"/>
      <c r="D1800" s="41"/>
      <c r="E1800" s="41"/>
      <c r="F1800" s="41"/>
    </row>
    <row r="1801">
      <c r="A1801" s="41"/>
      <c r="B1801" s="41"/>
      <c r="C1801" s="41"/>
      <c r="D1801" s="41"/>
      <c r="E1801" s="41"/>
      <c r="F1801" s="41"/>
    </row>
    <row r="1802">
      <c r="A1802" s="41"/>
      <c r="B1802" s="41"/>
      <c r="C1802" s="41"/>
      <c r="D1802" s="41"/>
      <c r="E1802" s="41"/>
      <c r="F1802" s="41"/>
    </row>
    <row r="1803">
      <c r="A1803" s="41"/>
      <c r="B1803" s="41"/>
      <c r="C1803" s="41"/>
      <c r="D1803" s="41"/>
      <c r="E1803" s="41"/>
      <c r="F1803" s="41"/>
    </row>
    <row r="1804">
      <c r="A1804" s="41"/>
      <c r="B1804" s="41"/>
      <c r="C1804" s="41"/>
      <c r="D1804" s="41"/>
      <c r="E1804" s="41"/>
      <c r="F1804" s="41"/>
    </row>
    <row r="1805">
      <c r="A1805" s="41"/>
      <c r="B1805" s="41"/>
      <c r="C1805" s="41"/>
      <c r="D1805" s="41"/>
      <c r="E1805" s="41"/>
      <c r="F1805" s="41"/>
    </row>
    <row r="1806">
      <c r="A1806" s="41"/>
      <c r="B1806" s="41"/>
      <c r="C1806" s="41"/>
      <c r="D1806" s="41"/>
      <c r="E1806" s="41"/>
      <c r="F1806" s="41"/>
    </row>
    <row r="1807">
      <c r="A1807" s="41"/>
      <c r="B1807" s="41"/>
      <c r="C1807" s="41"/>
      <c r="D1807" s="41"/>
      <c r="E1807" s="41"/>
      <c r="F1807" s="41"/>
    </row>
    <row r="1808">
      <c r="A1808" s="41"/>
      <c r="B1808" s="41"/>
      <c r="C1808" s="41"/>
      <c r="D1808" s="41"/>
      <c r="E1808" s="41"/>
      <c r="F1808" s="41"/>
    </row>
    <row r="1809">
      <c r="A1809" s="41"/>
      <c r="B1809" s="41"/>
      <c r="C1809" s="41"/>
      <c r="D1809" s="41"/>
      <c r="E1809" s="41"/>
      <c r="F1809" s="41"/>
    </row>
    <row r="1810">
      <c r="A1810" s="41"/>
      <c r="B1810" s="41"/>
      <c r="C1810" s="41"/>
      <c r="D1810" s="41"/>
      <c r="E1810" s="41"/>
      <c r="F1810" s="41"/>
    </row>
    <row r="1811">
      <c r="A1811" s="41"/>
      <c r="B1811" s="41"/>
      <c r="C1811" s="41"/>
      <c r="D1811" s="41"/>
      <c r="E1811" s="41"/>
      <c r="F1811" s="41"/>
    </row>
    <row r="1812">
      <c r="A1812" s="41"/>
      <c r="B1812" s="41"/>
      <c r="C1812" s="41"/>
      <c r="D1812" s="41"/>
      <c r="E1812" s="41"/>
      <c r="F1812" s="41"/>
    </row>
    <row r="1813">
      <c r="A1813" s="41"/>
      <c r="B1813" s="41"/>
      <c r="C1813" s="41"/>
      <c r="D1813" s="41"/>
      <c r="E1813" s="41"/>
      <c r="F1813" s="41"/>
    </row>
    <row r="1814">
      <c r="A1814" s="41"/>
      <c r="B1814" s="41"/>
      <c r="C1814" s="41"/>
      <c r="D1814" s="41"/>
      <c r="E1814" s="41"/>
      <c r="F1814" s="41"/>
    </row>
    <row r="1815">
      <c r="A1815" s="41"/>
      <c r="B1815" s="41"/>
      <c r="C1815" s="41"/>
      <c r="D1815" s="41"/>
      <c r="E1815" s="41"/>
      <c r="F1815" s="41"/>
    </row>
    <row r="1816">
      <c r="A1816" s="41"/>
      <c r="B1816" s="41"/>
      <c r="C1816" s="41"/>
      <c r="D1816" s="41"/>
      <c r="E1816" s="41"/>
      <c r="F1816" s="41"/>
    </row>
    <row r="1817">
      <c r="A1817" s="41"/>
      <c r="B1817" s="41"/>
      <c r="C1817" s="41"/>
      <c r="D1817" s="41"/>
      <c r="E1817" s="41"/>
      <c r="F1817" s="41"/>
    </row>
    <row r="1818">
      <c r="A1818" s="41"/>
      <c r="B1818" s="41"/>
      <c r="C1818" s="41"/>
      <c r="D1818" s="41"/>
      <c r="E1818" s="41"/>
      <c r="F1818" s="41"/>
    </row>
    <row r="1819">
      <c r="A1819" s="41"/>
      <c r="B1819" s="41"/>
      <c r="C1819" s="41"/>
      <c r="D1819" s="41"/>
      <c r="E1819" s="41"/>
      <c r="F1819" s="41"/>
    </row>
    <row r="1820">
      <c r="A1820" s="41"/>
      <c r="B1820" s="41"/>
      <c r="C1820" s="41"/>
      <c r="D1820" s="41"/>
      <c r="E1820" s="41"/>
      <c r="F1820" s="41"/>
    </row>
    <row r="1821">
      <c r="A1821" s="41"/>
      <c r="B1821" s="41"/>
      <c r="C1821" s="41"/>
      <c r="D1821" s="41"/>
      <c r="E1821" s="41"/>
      <c r="F1821" s="41"/>
    </row>
    <row r="1822">
      <c r="A1822" s="41"/>
      <c r="B1822" s="41"/>
      <c r="C1822" s="41"/>
      <c r="D1822" s="41"/>
      <c r="E1822" s="41"/>
      <c r="F1822" s="41"/>
    </row>
    <row r="1823">
      <c r="A1823" s="41"/>
      <c r="B1823" s="41"/>
      <c r="C1823" s="41"/>
      <c r="D1823" s="41"/>
      <c r="E1823" s="41"/>
      <c r="F1823" s="41"/>
    </row>
    <row r="1824">
      <c r="A1824" s="41"/>
      <c r="B1824" s="41"/>
      <c r="C1824" s="41"/>
      <c r="D1824" s="41"/>
      <c r="E1824" s="41"/>
      <c r="F1824" s="41"/>
    </row>
    <row r="1825">
      <c r="A1825" s="41"/>
      <c r="B1825" s="41"/>
      <c r="C1825" s="41"/>
      <c r="D1825" s="41"/>
      <c r="E1825" s="41"/>
      <c r="F1825" s="41"/>
    </row>
    <row r="1826">
      <c r="A1826" s="41"/>
      <c r="B1826" s="41"/>
      <c r="C1826" s="41"/>
      <c r="D1826" s="41"/>
      <c r="E1826" s="41"/>
      <c r="F1826" s="41"/>
    </row>
    <row r="1827">
      <c r="A1827" s="41"/>
      <c r="B1827" s="41"/>
      <c r="C1827" s="41"/>
      <c r="D1827" s="41"/>
      <c r="E1827" s="41"/>
      <c r="F1827" s="41"/>
    </row>
    <row r="1828">
      <c r="A1828" s="41"/>
      <c r="B1828" s="41"/>
      <c r="C1828" s="41"/>
      <c r="D1828" s="41"/>
      <c r="E1828" s="41"/>
      <c r="F1828" s="41"/>
    </row>
    <row r="1829">
      <c r="A1829" s="41"/>
      <c r="B1829" s="41"/>
      <c r="C1829" s="41"/>
      <c r="D1829" s="41"/>
      <c r="E1829" s="41"/>
      <c r="F1829" s="41"/>
    </row>
    <row r="1830">
      <c r="A1830" s="41"/>
      <c r="B1830" s="41"/>
      <c r="C1830" s="41"/>
      <c r="D1830" s="41"/>
      <c r="E1830" s="41"/>
      <c r="F1830" s="41"/>
    </row>
    <row r="1831">
      <c r="A1831" s="41"/>
      <c r="B1831" s="41"/>
      <c r="C1831" s="41"/>
      <c r="D1831" s="41"/>
      <c r="E1831" s="41"/>
      <c r="F1831" s="41"/>
    </row>
    <row r="1832">
      <c r="A1832" s="41"/>
      <c r="B1832" s="41"/>
      <c r="C1832" s="41"/>
      <c r="D1832" s="41"/>
      <c r="E1832" s="41"/>
      <c r="F1832" s="41"/>
    </row>
    <row r="1833">
      <c r="A1833" s="41"/>
      <c r="B1833" s="41"/>
      <c r="C1833" s="41"/>
      <c r="D1833" s="41"/>
      <c r="E1833" s="41"/>
      <c r="F1833" s="41"/>
    </row>
    <row r="1834">
      <c r="A1834" s="41"/>
      <c r="B1834" s="41"/>
      <c r="C1834" s="41"/>
      <c r="D1834" s="41"/>
      <c r="E1834" s="41"/>
      <c r="F1834" s="41"/>
    </row>
    <row r="1835">
      <c r="A1835" s="41"/>
      <c r="B1835" s="41"/>
      <c r="C1835" s="41"/>
      <c r="D1835" s="41"/>
      <c r="E1835" s="41"/>
      <c r="F1835" s="41"/>
    </row>
    <row r="1836">
      <c r="A1836" s="41"/>
      <c r="B1836" s="41"/>
      <c r="C1836" s="41"/>
      <c r="D1836" s="41"/>
      <c r="E1836" s="41"/>
      <c r="F1836" s="41"/>
    </row>
    <row r="1837">
      <c r="A1837" s="41"/>
      <c r="B1837" s="41"/>
      <c r="C1837" s="41"/>
      <c r="D1837" s="41"/>
      <c r="E1837" s="41"/>
      <c r="F1837" s="41"/>
    </row>
    <row r="1838">
      <c r="A1838" s="41"/>
      <c r="B1838" s="41"/>
      <c r="C1838" s="41"/>
      <c r="D1838" s="41"/>
      <c r="E1838" s="41"/>
      <c r="F1838" s="41"/>
    </row>
    <row r="1839">
      <c r="A1839" s="41"/>
      <c r="B1839" s="41"/>
      <c r="C1839" s="41"/>
      <c r="D1839" s="41"/>
      <c r="E1839" s="41"/>
      <c r="F1839" s="41"/>
    </row>
    <row r="1840">
      <c r="A1840" s="41"/>
      <c r="B1840" s="41"/>
      <c r="C1840" s="41"/>
      <c r="D1840" s="41"/>
      <c r="E1840" s="41"/>
      <c r="F1840" s="41"/>
    </row>
    <row r="1841">
      <c r="A1841" s="41"/>
      <c r="B1841" s="41"/>
      <c r="C1841" s="41"/>
      <c r="D1841" s="41"/>
      <c r="E1841" s="41"/>
      <c r="F1841" s="41"/>
    </row>
    <row r="1842">
      <c r="A1842" s="41"/>
      <c r="B1842" s="41"/>
      <c r="C1842" s="41"/>
      <c r="D1842" s="41"/>
      <c r="E1842" s="41"/>
      <c r="F1842" s="41"/>
    </row>
    <row r="1843">
      <c r="A1843" s="41"/>
      <c r="B1843" s="41"/>
      <c r="C1843" s="41"/>
      <c r="D1843" s="41"/>
      <c r="E1843" s="41"/>
      <c r="F1843" s="41"/>
    </row>
    <row r="1844">
      <c r="A1844" s="41"/>
      <c r="B1844" s="41"/>
      <c r="C1844" s="41"/>
      <c r="D1844" s="41"/>
      <c r="E1844" s="41"/>
      <c r="F1844" s="41"/>
    </row>
    <row r="1845">
      <c r="A1845" s="41"/>
      <c r="B1845" s="41"/>
      <c r="C1845" s="41"/>
      <c r="D1845" s="41"/>
      <c r="E1845" s="41"/>
      <c r="F1845" s="41"/>
    </row>
    <row r="1846">
      <c r="A1846" s="41"/>
      <c r="B1846" s="41"/>
      <c r="C1846" s="41"/>
      <c r="D1846" s="41"/>
      <c r="E1846" s="41"/>
      <c r="F1846" s="41"/>
    </row>
    <row r="1847">
      <c r="A1847" s="41"/>
      <c r="B1847" s="41"/>
      <c r="C1847" s="41"/>
      <c r="D1847" s="41"/>
      <c r="E1847" s="41"/>
      <c r="F1847" s="41"/>
    </row>
    <row r="1848">
      <c r="A1848" s="41"/>
      <c r="B1848" s="41"/>
      <c r="C1848" s="41"/>
      <c r="D1848" s="41"/>
      <c r="E1848" s="41"/>
      <c r="F1848" s="41"/>
    </row>
    <row r="1849">
      <c r="A1849" s="41"/>
      <c r="B1849" s="41"/>
      <c r="C1849" s="41"/>
      <c r="D1849" s="41"/>
      <c r="E1849" s="41"/>
      <c r="F1849" s="41"/>
    </row>
    <row r="1850">
      <c r="A1850" s="41"/>
      <c r="B1850" s="41"/>
      <c r="C1850" s="41"/>
      <c r="D1850" s="41"/>
      <c r="E1850" s="41"/>
      <c r="F1850" s="41"/>
    </row>
    <row r="1851">
      <c r="A1851" s="41"/>
      <c r="B1851" s="41"/>
      <c r="C1851" s="41"/>
      <c r="D1851" s="41"/>
      <c r="E1851" s="41"/>
      <c r="F1851" s="41"/>
    </row>
    <row r="1852">
      <c r="A1852" s="41"/>
      <c r="B1852" s="41"/>
      <c r="C1852" s="41"/>
      <c r="D1852" s="41"/>
      <c r="E1852" s="41"/>
      <c r="F1852" s="41"/>
    </row>
    <row r="1853">
      <c r="A1853" s="41"/>
      <c r="B1853" s="41"/>
      <c r="C1853" s="41"/>
      <c r="D1853" s="41"/>
      <c r="E1853" s="41"/>
      <c r="F1853" s="41"/>
    </row>
    <row r="1854">
      <c r="A1854" s="41"/>
      <c r="B1854" s="41"/>
      <c r="C1854" s="41"/>
      <c r="D1854" s="41"/>
      <c r="E1854" s="41"/>
      <c r="F1854" s="41"/>
    </row>
    <row r="1855">
      <c r="A1855" s="41"/>
      <c r="B1855" s="41"/>
      <c r="C1855" s="41"/>
      <c r="D1855" s="41"/>
      <c r="E1855" s="41"/>
      <c r="F1855" s="41"/>
    </row>
    <row r="1856">
      <c r="A1856" s="41"/>
      <c r="B1856" s="41"/>
      <c r="C1856" s="41"/>
      <c r="D1856" s="41"/>
      <c r="E1856" s="41"/>
      <c r="F1856" s="41"/>
    </row>
    <row r="1857">
      <c r="A1857" s="41"/>
      <c r="B1857" s="41"/>
      <c r="C1857" s="41"/>
      <c r="D1857" s="41"/>
      <c r="E1857" s="41"/>
      <c r="F1857" s="41"/>
    </row>
    <row r="1858">
      <c r="A1858" s="41"/>
      <c r="B1858" s="41"/>
      <c r="C1858" s="41"/>
      <c r="D1858" s="41"/>
      <c r="E1858" s="41"/>
      <c r="F1858" s="41"/>
    </row>
    <row r="1859">
      <c r="A1859" s="41"/>
      <c r="B1859" s="41"/>
      <c r="C1859" s="41"/>
      <c r="D1859" s="41"/>
      <c r="E1859" s="41"/>
      <c r="F1859" s="41"/>
    </row>
    <row r="1860">
      <c r="A1860" s="41"/>
      <c r="B1860" s="41"/>
      <c r="C1860" s="41"/>
      <c r="D1860" s="41"/>
      <c r="E1860" s="41"/>
      <c r="F1860" s="41"/>
    </row>
    <row r="1861">
      <c r="A1861" s="41"/>
      <c r="B1861" s="41"/>
      <c r="C1861" s="41"/>
      <c r="D1861" s="41"/>
      <c r="E1861" s="41"/>
      <c r="F1861" s="41"/>
    </row>
    <row r="1862">
      <c r="A1862" s="41"/>
      <c r="B1862" s="41"/>
      <c r="C1862" s="41"/>
      <c r="D1862" s="41"/>
      <c r="E1862" s="41"/>
      <c r="F1862" s="41"/>
    </row>
    <row r="1863">
      <c r="A1863" s="41"/>
      <c r="B1863" s="41"/>
      <c r="C1863" s="41"/>
      <c r="D1863" s="41"/>
      <c r="E1863" s="41"/>
      <c r="F1863" s="41"/>
    </row>
    <row r="1864">
      <c r="A1864" s="41"/>
      <c r="B1864" s="41"/>
      <c r="C1864" s="41"/>
      <c r="D1864" s="41"/>
      <c r="E1864" s="41"/>
      <c r="F1864" s="41"/>
    </row>
    <row r="1865">
      <c r="A1865" s="41"/>
      <c r="B1865" s="41"/>
      <c r="C1865" s="41"/>
      <c r="D1865" s="41"/>
      <c r="E1865" s="41"/>
      <c r="F1865" s="41"/>
    </row>
    <row r="1866">
      <c r="A1866" s="41"/>
      <c r="B1866" s="41"/>
      <c r="C1866" s="41"/>
      <c r="D1866" s="41"/>
      <c r="E1866" s="41"/>
      <c r="F1866" s="41"/>
    </row>
    <row r="1867">
      <c r="A1867" s="41"/>
      <c r="B1867" s="41"/>
      <c r="C1867" s="41"/>
      <c r="D1867" s="41"/>
      <c r="E1867" s="41"/>
      <c r="F1867" s="41"/>
    </row>
    <row r="1868">
      <c r="A1868" s="41"/>
      <c r="B1868" s="41"/>
      <c r="C1868" s="41"/>
      <c r="D1868" s="41"/>
      <c r="E1868" s="41"/>
      <c r="F1868" s="41"/>
    </row>
    <row r="1869">
      <c r="A1869" s="41"/>
      <c r="B1869" s="41"/>
      <c r="C1869" s="41"/>
      <c r="D1869" s="41"/>
      <c r="E1869" s="41"/>
      <c r="F1869" s="41"/>
    </row>
    <row r="1870">
      <c r="A1870" s="41"/>
      <c r="B1870" s="41"/>
      <c r="C1870" s="41"/>
      <c r="D1870" s="41"/>
      <c r="E1870" s="41"/>
      <c r="F1870" s="41"/>
    </row>
    <row r="1871">
      <c r="A1871" s="41"/>
      <c r="B1871" s="41"/>
      <c r="C1871" s="41"/>
      <c r="D1871" s="41"/>
      <c r="E1871" s="41"/>
      <c r="F1871" s="41"/>
    </row>
    <row r="1872">
      <c r="A1872" s="41"/>
      <c r="B1872" s="41"/>
      <c r="C1872" s="41"/>
      <c r="D1872" s="41"/>
      <c r="E1872" s="41"/>
      <c r="F1872" s="41"/>
    </row>
    <row r="1873">
      <c r="A1873" s="41"/>
      <c r="B1873" s="41"/>
      <c r="C1873" s="41"/>
      <c r="D1873" s="41"/>
      <c r="E1873" s="41"/>
      <c r="F1873" s="41"/>
    </row>
    <row r="1874">
      <c r="A1874" s="41"/>
      <c r="B1874" s="41"/>
      <c r="C1874" s="41"/>
      <c r="D1874" s="41"/>
      <c r="E1874" s="41"/>
      <c r="F1874" s="41"/>
    </row>
    <row r="1875">
      <c r="A1875" s="41"/>
      <c r="B1875" s="41"/>
      <c r="C1875" s="41"/>
      <c r="D1875" s="41"/>
      <c r="E1875" s="41"/>
      <c r="F1875" s="41"/>
    </row>
    <row r="1876">
      <c r="A1876" s="41"/>
      <c r="B1876" s="41"/>
      <c r="C1876" s="41"/>
      <c r="D1876" s="41"/>
      <c r="E1876" s="41"/>
      <c r="F1876" s="41"/>
    </row>
    <row r="1877">
      <c r="A1877" s="41"/>
      <c r="B1877" s="41"/>
      <c r="C1877" s="41"/>
      <c r="D1877" s="41"/>
      <c r="E1877" s="41"/>
      <c r="F1877" s="41"/>
    </row>
    <row r="1878">
      <c r="A1878" s="41"/>
      <c r="B1878" s="41"/>
      <c r="C1878" s="41"/>
      <c r="D1878" s="41"/>
      <c r="E1878" s="41"/>
      <c r="F1878" s="41"/>
    </row>
    <row r="1879">
      <c r="A1879" s="41"/>
      <c r="B1879" s="41"/>
      <c r="C1879" s="41"/>
      <c r="D1879" s="41"/>
      <c r="E1879" s="41"/>
      <c r="F1879" s="41"/>
    </row>
    <row r="1880">
      <c r="A1880" s="41"/>
      <c r="B1880" s="41"/>
      <c r="C1880" s="41"/>
      <c r="D1880" s="41"/>
      <c r="E1880" s="41"/>
      <c r="F1880" s="41"/>
    </row>
    <row r="1881">
      <c r="A1881" s="41"/>
      <c r="B1881" s="41"/>
      <c r="C1881" s="41"/>
      <c r="D1881" s="41"/>
      <c r="E1881" s="41"/>
      <c r="F1881" s="41"/>
    </row>
    <row r="1882">
      <c r="A1882" s="41"/>
      <c r="B1882" s="41"/>
      <c r="C1882" s="41"/>
      <c r="D1882" s="41"/>
      <c r="E1882" s="41"/>
      <c r="F1882" s="41"/>
    </row>
    <row r="1883">
      <c r="A1883" s="41"/>
      <c r="B1883" s="41"/>
      <c r="C1883" s="41"/>
      <c r="D1883" s="41"/>
      <c r="E1883" s="41"/>
      <c r="F1883" s="41"/>
    </row>
    <row r="1884">
      <c r="A1884" s="41"/>
      <c r="B1884" s="41"/>
      <c r="C1884" s="41"/>
      <c r="D1884" s="41"/>
      <c r="E1884" s="41"/>
      <c r="F1884" s="41"/>
    </row>
    <row r="1885">
      <c r="A1885" s="41"/>
      <c r="B1885" s="41"/>
      <c r="C1885" s="41"/>
      <c r="D1885" s="41"/>
      <c r="E1885" s="41"/>
      <c r="F1885" s="41"/>
    </row>
    <row r="1886">
      <c r="A1886" s="41"/>
      <c r="B1886" s="41"/>
      <c r="C1886" s="41"/>
      <c r="D1886" s="41"/>
      <c r="E1886" s="41"/>
      <c r="F1886" s="41"/>
    </row>
    <row r="1887">
      <c r="A1887" s="41"/>
      <c r="B1887" s="41"/>
      <c r="C1887" s="41"/>
      <c r="D1887" s="41"/>
      <c r="E1887" s="41"/>
      <c r="F1887" s="41"/>
    </row>
    <row r="1888">
      <c r="A1888" s="41"/>
      <c r="B1888" s="41"/>
      <c r="C1888" s="41"/>
      <c r="D1888" s="41"/>
      <c r="E1888" s="41"/>
      <c r="F1888" s="41"/>
    </row>
    <row r="1889">
      <c r="A1889" s="41"/>
      <c r="B1889" s="41"/>
      <c r="C1889" s="41"/>
      <c r="D1889" s="41"/>
      <c r="E1889" s="41"/>
      <c r="F1889" s="41"/>
    </row>
    <row r="1890">
      <c r="A1890" s="41"/>
      <c r="B1890" s="41"/>
      <c r="C1890" s="41"/>
      <c r="D1890" s="41"/>
      <c r="E1890" s="41"/>
      <c r="F1890" s="41"/>
    </row>
    <row r="1891">
      <c r="A1891" s="41"/>
      <c r="B1891" s="41"/>
      <c r="C1891" s="41"/>
      <c r="D1891" s="41"/>
      <c r="E1891" s="41"/>
      <c r="F1891" s="41"/>
    </row>
    <row r="1892">
      <c r="A1892" s="41"/>
      <c r="B1892" s="41"/>
      <c r="C1892" s="41"/>
      <c r="D1892" s="41"/>
      <c r="E1892" s="41"/>
      <c r="F1892" s="41"/>
    </row>
    <row r="1893">
      <c r="A1893" s="41"/>
      <c r="B1893" s="41"/>
      <c r="C1893" s="41"/>
      <c r="D1893" s="41"/>
      <c r="E1893" s="41"/>
      <c r="F1893" s="41"/>
    </row>
    <row r="1894">
      <c r="A1894" s="41"/>
      <c r="B1894" s="41"/>
      <c r="C1894" s="41"/>
      <c r="D1894" s="41"/>
      <c r="E1894" s="41"/>
      <c r="F1894" s="41"/>
    </row>
    <row r="1895">
      <c r="A1895" s="41"/>
      <c r="B1895" s="41"/>
      <c r="C1895" s="41"/>
      <c r="D1895" s="41"/>
      <c r="E1895" s="41"/>
      <c r="F1895" s="41"/>
    </row>
    <row r="1896">
      <c r="A1896" s="41"/>
      <c r="B1896" s="41"/>
      <c r="C1896" s="41"/>
      <c r="D1896" s="41"/>
      <c r="E1896" s="41"/>
      <c r="F1896" s="41"/>
    </row>
    <row r="1897">
      <c r="A1897" s="41"/>
      <c r="B1897" s="41"/>
      <c r="C1897" s="41"/>
      <c r="D1897" s="41"/>
      <c r="E1897" s="41"/>
      <c r="F1897" s="41"/>
    </row>
    <row r="1898">
      <c r="A1898" s="41"/>
      <c r="B1898" s="41"/>
      <c r="C1898" s="41"/>
      <c r="D1898" s="41"/>
      <c r="E1898" s="41"/>
      <c r="F1898" s="41"/>
    </row>
    <row r="1899">
      <c r="A1899" s="41"/>
      <c r="B1899" s="41"/>
      <c r="C1899" s="41"/>
      <c r="D1899" s="41"/>
      <c r="E1899" s="41"/>
      <c r="F1899" s="41"/>
    </row>
    <row r="1900">
      <c r="A1900" s="41"/>
      <c r="B1900" s="41"/>
      <c r="C1900" s="41"/>
      <c r="D1900" s="41"/>
      <c r="E1900" s="41"/>
      <c r="F1900" s="41"/>
    </row>
    <row r="1901">
      <c r="A1901" s="41"/>
      <c r="B1901" s="41"/>
      <c r="C1901" s="41"/>
      <c r="D1901" s="41"/>
      <c r="E1901" s="41"/>
      <c r="F1901" s="41"/>
    </row>
    <row r="1902">
      <c r="A1902" s="41"/>
      <c r="B1902" s="41"/>
      <c r="C1902" s="41"/>
      <c r="D1902" s="41"/>
      <c r="E1902" s="41"/>
      <c r="F1902" s="41"/>
    </row>
    <row r="1903">
      <c r="A1903" s="41"/>
      <c r="B1903" s="41"/>
      <c r="C1903" s="41"/>
      <c r="D1903" s="41"/>
      <c r="E1903" s="41"/>
      <c r="F1903" s="41"/>
    </row>
    <row r="1904">
      <c r="A1904" s="41"/>
      <c r="B1904" s="41"/>
      <c r="C1904" s="41"/>
      <c r="D1904" s="41"/>
      <c r="E1904" s="41"/>
      <c r="F1904" s="41"/>
    </row>
    <row r="1905">
      <c r="A1905" s="41"/>
      <c r="B1905" s="41"/>
      <c r="C1905" s="41"/>
      <c r="D1905" s="41"/>
      <c r="E1905" s="41"/>
      <c r="F1905" s="41"/>
    </row>
    <row r="1906">
      <c r="A1906" s="41"/>
      <c r="B1906" s="41"/>
      <c r="C1906" s="41"/>
      <c r="D1906" s="41"/>
      <c r="E1906" s="41"/>
      <c r="F1906" s="41"/>
    </row>
    <row r="1907">
      <c r="A1907" s="41"/>
      <c r="B1907" s="41"/>
      <c r="C1907" s="41"/>
      <c r="D1907" s="41"/>
      <c r="E1907" s="41"/>
      <c r="F1907" s="41"/>
    </row>
    <row r="1908">
      <c r="A1908" s="41"/>
      <c r="B1908" s="41"/>
      <c r="C1908" s="41"/>
      <c r="D1908" s="41"/>
      <c r="E1908" s="41"/>
      <c r="F1908" s="41"/>
    </row>
    <row r="1909">
      <c r="A1909" s="41"/>
      <c r="B1909" s="41"/>
      <c r="C1909" s="41"/>
      <c r="D1909" s="41"/>
      <c r="E1909" s="41"/>
      <c r="F1909" s="41"/>
    </row>
    <row r="1910">
      <c r="A1910" s="41"/>
      <c r="B1910" s="41"/>
      <c r="C1910" s="41"/>
      <c r="D1910" s="41"/>
      <c r="E1910" s="41"/>
      <c r="F1910" s="41"/>
    </row>
    <row r="1911">
      <c r="A1911" s="41"/>
      <c r="B1911" s="41"/>
      <c r="C1911" s="41"/>
      <c r="D1911" s="41"/>
      <c r="E1911" s="41"/>
      <c r="F1911" s="41"/>
    </row>
    <row r="1912">
      <c r="A1912" s="41"/>
      <c r="B1912" s="41"/>
      <c r="C1912" s="41"/>
      <c r="D1912" s="41"/>
      <c r="E1912" s="41"/>
      <c r="F1912" s="41"/>
    </row>
    <row r="1913">
      <c r="A1913" s="41"/>
      <c r="B1913" s="41"/>
      <c r="C1913" s="41"/>
      <c r="D1913" s="41"/>
      <c r="E1913" s="41"/>
      <c r="F1913" s="41"/>
    </row>
    <row r="1914">
      <c r="A1914" s="41"/>
      <c r="B1914" s="41"/>
      <c r="C1914" s="41"/>
      <c r="D1914" s="41"/>
      <c r="E1914" s="41"/>
      <c r="F1914" s="41"/>
    </row>
    <row r="1915">
      <c r="A1915" s="41"/>
      <c r="B1915" s="41"/>
      <c r="C1915" s="41"/>
      <c r="D1915" s="41"/>
      <c r="E1915" s="41"/>
      <c r="F1915" s="41"/>
    </row>
    <row r="1916">
      <c r="A1916" s="41"/>
      <c r="B1916" s="41"/>
      <c r="C1916" s="41"/>
      <c r="D1916" s="41"/>
      <c r="E1916" s="41"/>
      <c r="F1916" s="41"/>
    </row>
    <row r="1917">
      <c r="A1917" s="41"/>
      <c r="B1917" s="41"/>
      <c r="C1917" s="41"/>
      <c r="D1917" s="41"/>
      <c r="E1917" s="41"/>
      <c r="F1917" s="41"/>
    </row>
    <row r="1918">
      <c r="A1918" s="41"/>
      <c r="B1918" s="41"/>
      <c r="C1918" s="41"/>
      <c r="D1918" s="41"/>
      <c r="E1918" s="41"/>
      <c r="F1918" s="41"/>
    </row>
    <row r="1919">
      <c r="A1919" s="41"/>
      <c r="B1919" s="41"/>
      <c r="C1919" s="41"/>
      <c r="D1919" s="41"/>
      <c r="E1919" s="41"/>
      <c r="F1919" s="41"/>
    </row>
    <row r="1920">
      <c r="A1920" s="41"/>
      <c r="B1920" s="41"/>
      <c r="C1920" s="41"/>
      <c r="D1920" s="41"/>
      <c r="E1920" s="41"/>
      <c r="F1920" s="41"/>
    </row>
    <row r="1921">
      <c r="A1921" s="41"/>
      <c r="B1921" s="41"/>
      <c r="C1921" s="41"/>
      <c r="D1921" s="41"/>
      <c r="E1921" s="41"/>
      <c r="F1921" s="41"/>
    </row>
    <row r="1922">
      <c r="A1922" s="41"/>
      <c r="B1922" s="41"/>
      <c r="C1922" s="41"/>
      <c r="D1922" s="41"/>
      <c r="E1922" s="41"/>
      <c r="F1922" s="41"/>
    </row>
    <row r="1923">
      <c r="A1923" s="41"/>
      <c r="B1923" s="41"/>
      <c r="C1923" s="41"/>
      <c r="D1923" s="41"/>
      <c r="E1923" s="41"/>
      <c r="F1923" s="41"/>
    </row>
    <row r="1924">
      <c r="A1924" s="41"/>
      <c r="B1924" s="41"/>
      <c r="C1924" s="41"/>
      <c r="D1924" s="41"/>
      <c r="E1924" s="41"/>
      <c r="F1924" s="41"/>
    </row>
    <row r="1925">
      <c r="A1925" s="41"/>
      <c r="B1925" s="41"/>
      <c r="C1925" s="41"/>
      <c r="D1925" s="41"/>
      <c r="E1925" s="41"/>
      <c r="F1925" s="41"/>
    </row>
    <row r="1926">
      <c r="A1926" s="41"/>
      <c r="B1926" s="41"/>
      <c r="C1926" s="41"/>
      <c r="D1926" s="41"/>
      <c r="E1926" s="41"/>
      <c r="F1926" s="41"/>
    </row>
    <row r="1927">
      <c r="A1927" s="41"/>
      <c r="B1927" s="41"/>
      <c r="C1927" s="41"/>
      <c r="D1927" s="41"/>
      <c r="E1927" s="41"/>
      <c r="F1927" s="41"/>
    </row>
    <row r="1928">
      <c r="A1928" s="41"/>
      <c r="B1928" s="41"/>
      <c r="C1928" s="41"/>
      <c r="D1928" s="41"/>
      <c r="E1928" s="41"/>
      <c r="F1928" s="41"/>
    </row>
    <row r="1929">
      <c r="A1929" s="41"/>
      <c r="B1929" s="41"/>
      <c r="C1929" s="41"/>
      <c r="D1929" s="41"/>
      <c r="E1929" s="41"/>
      <c r="F1929" s="41"/>
    </row>
    <row r="1930">
      <c r="A1930" s="41"/>
      <c r="B1930" s="41"/>
      <c r="C1930" s="41"/>
      <c r="D1930" s="41"/>
      <c r="E1930" s="41"/>
      <c r="F1930" s="41"/>
    </row>
    <row r="1931">
      <c r="A1931" s="41"/>
      <c r="B1931" s="41"/>
      <c r="C1931" s="41"/>
      <c r="D1931" s="41"/>
      <c r="E1931" s="41"/>
      <c r="F1931" s="41"/>
    </row>
    <row r="1932">
      <c r="A1932" s="41"/>
      <c r="B1932" s="41"/>
      <c r="C1932" s="41"/>
      <c r="D1932" s="41"/>
      <c r="E1932" s="41"/>
      <c r="F1932" s="41"/>
    </row>
    <row r="1933">
      <c r="A1933" s="41"/>
      <c r="B1933" s="41"/>
      <c r="C1933" s="41"/>
      <c r="D1933" s="41"/>
      <c r="E1933" s="41"/>
      <c r="F1933" s="41"/>
    </row>
    <row r="1934">
      <c r="A1934" s="41"/>
      <c r="B1934" s="41"/>
      <c r="C1934" s="41"/>
      <c r="D1934" s="41"/>
      <c r="E1934" s="41"/>
      <c r="F1934" s="41"/>
    </row>
    <row r="1935">
      <c r="A1935" s="41"/>
      <c r="B1935" s="41"/>
      <c r="C1935" s="41"/>
      <c r="D1935" s="41"/>
      <c r="E1935" s="41"/>
      <c r="F1935" s="41"/>
    </row>
    <row r="1936">
      <c r="A1936" s="41"/>
      <c r="B1936" s="41"/>
      <c r="C1936" s="41"/>
      <c r="D1936" s="41"/>
      <c r="E1936" s="41"/>
      <c r="F1936" s="41"/>
    </row>
    <row r="1937">
      <c r="A1937" s="41"/>
      <c r="B1937" s="41"/>
      <c r="C1937" s="41"/>
      <c r="D1937" s="41"/>
      <c r="E1937" s="41"/>
      <c r="F1937" s="41"/>
    </row>
    <row r="1938">
      <c r="A1938" s="41"/>
      <c r="B1938" s="41"/>
      <c r="C1938" s="41"/>
      <c r="D1938" s="41"/>
      <c r="E1938" s="41"/>
      <c r="F1938" s="41"/>
    </row>
    <row r="1939">
      <c r="A1939" s="41"/>
      <c r="B1939" s="41"/>
      <c r="C1939" s="41"/>
      <c r="D1939" s="41"/>
      <c r="E1939" s="41"/>
      <c r="F1939" s="41"/>
    </row>
    <row r="1940">
      <c r="A1940" s="41"/>
      <c r="B1940" s="41"/>
      <c r="C1940" s="41"/>
      <c r="D1940" s="41"/>
      <c r="E1940" s="41"/>
      <c r="F1940" s="41"/>
    </row>
    <row r="1941">
      <c r="A1941" s="41"/>
      <c r="B1941" s="41"/>
      <c r="C1941" s="41"/>
      <c r="D1941" s="41"/>
      <c r="E1941" s="41"/>
      <c r="F1941" s="41"/>
    </row>
    <row r="1942">
      <c r="A1942" s="41"/>
      <c r="B1942" s="41"/>
      <c r="C1942" s="41"/>
      <c r="D1942" s="41"/>
      <c r="E1942" s="41"/>
      <c r="F1942" s="41"/>
    </row>
    <row r="1943">
      <c r="A1943" s="41"/>
      <c r="B1943" s="41"/>
      <c r="C1943" s="41"/>
      <c r="D1943" s="41"/>
      <c r="E1943" s="41"/>
      <c r="F1943" s="41"/>
    </row>
    <row r="1944">
      <c r="A1944" s="41"/>
      <c r="B1944" s="41"/>
      <c r="C1944" s="41"/>
      <c r="D1944" s="41"/>
      <c r="E1944" s="41"/>
      <c r="F1944" s="41"/>
    </row>
    <row r="1945">
      <c r="A1945" s="41"/>
      <c r="B1945" s="41"/>
      <c r="C1945" s="41"/>
      <c r="D1945" s="41"/>
      <c r="E1945" s="41"/>
      <c r="F1945" s="41"/>
    </row>
    <row r="1946">
      <c r="A1946" s="41"/>
      <c r="B1946" s="41"/>
      <c r="C1946" s="41"/>
      <c r="D1946" s="41"/>
      <c r="E1946" s="41"/>
      <c r="F1946" s="41"/>
    </row>
    <row r="1947">
      <c r="A1947" s="41"/>
      <c r="B1947" s="41"/>
      <c r="C1947" s="41"/>
      <c r="D1947" s="41"/>
      <c r="E1947" s="41"/>
      <c r="F1947" s="41"/>
    </row>
    <row r="1948">
      <c r="A1948" s="41"/>
      <c r="B1948" s="41"/>
      <c r="C1948" s="41"/>
      <c r="D1948" s="41"/>
      <c r="E1948" s="41"/>
      <c r="F1948" s="41"/>
    </row>
    <row r="1949">
      <c r="A1949" s="41"/>
      <c r="B1949" s="41"/>
      <c r="C1949" s="41"/>
      <c r="D1949" s="41"/>
      <c r="E1949" s="41"/>
      <c r="F1949" s="41"/>
    </row>
    <row r="1950">
      <c r="A1950" s="41"/>
      <c r="B1950" s="41"/>
      <c r="C1950" s="41"/>
      <c r="D1950" s="41"/>
      <c r="E1950" s="41"/>
      <c r="F1950" s="41"/>
    </row>
    <row r="1951">
      <c r="A1951" s="41"/>
      <c r="B1951" s="41"/>
      <c r="C1951" s="41"/>
      <c r="D1951" s="41"/>
      <c r="E1951" s="41"/>
      <c r="F1951" s="41"/>
    </row>
    <row r="1952">
      <c r="A1952" s="41"/>
      <c r="B1952" s="41"/>
      <c r="C1952" s="41"/>
      <c r="D1952" s="41"/>
      <c r="E1952" s="41"/>
      <c r="F1952" s="41"/>
    </row>
    <row r="1953">
      <c r="A1953" s="41"/>
      <c r="B1953" s="41"/>
      <c r="C1953" s="41"/>
      <c r="D1953" s="41"/>
      <c r="E1953" s="41"/>
      <c r="F1953" s="41"/>
    </row>
    <row r="1954">
      <c r="A1954" s="41"/>
      <c r="B1954" s="41"/>
      <c r="C1954" s="41"/>
      <c r="D1954" s="41"/>
      <c r="E1954" s="41"/>
      <c r="F1954" s="41"/>
    </row>
    <row r="1955">
      <c r="A1955" s="41"/>
      <c r="B1955" s="41"/>
      <c r="C1955" s="41"/>
      <c r="D1955" s="41"/>
      <c r="E1955" s="41"/>
      <c r="F1955" s="41"/>
    </row>
    <row r="1956">
      <c r="A1956" s="41"/>
      <c r="B1956" s="41"/>
      <c r="C1956" s="41"/>
      <c r="D1956" s="41"/>
      <c r="E1956" s="41"/>
      <c r="F1956" s="41"/>
    </row>
    <row r="1957">
      <c r="A1957" s="41"/>
      <c r="B1957" s="41"/>
      <c r="C1957" s="41"/>
      <c r="D1957" s="41"/>
      <c r="E1957" s="41"/>
      <c r="F1957" s="41"/>
    </row>
    <row r="1958">
      <c r="A1958" s="41"/>
      <c r="B1958" s="41"/>
      <c r="C1958" s="41"/>
      <c r="D1958" s="41"/>
      <c r="E1958" s="41"/>
      <c r="F1958" s="41"/>
    </row>
    <row r="1959">
      <c r="A1959" s="41"/>
      <c r="B1959" s="41"/>
      <c r="C1959" s="41"/>
      <c r="D1959" s="41"/>
      <c r="E1959" s="41"/>
      <c r="F1959" s="41"/>
    </row>
    <row r="1960">
      <c r="A1960" s="41"/>
      <c r="B1960" s="41"/>
      <c r="C1960" s="41"/>
      <c r="D1960" s="41"/>
      <c r="E1960" s="41"/>
      <c r="F1960" s="41"/>
    </row>
    <row r="1961">
      <c r="A1961" s="41"/>
      <c r="B1961" s="41"/>
      <c r="C1961" s="41"/>
      <c r="D1961" s="41"/>
      <c r="E1961" s="41"/>
      <c r="F1961" s="41"/>
    </row>
    <row r="1962">
      <c r="A1962" s="41"/>
      <c r="B1962" s="41"/>
      <c r="C1962" s="41"/>
      <c r="D1962" s="41"/>
      <c r="E1962" s="41"/>
      <c r="F1962" s="41"/>
    </row>
    <row r="1963">
      <c r="A1963" s="41"/>
      <c r="B1963" s="41"/>
      <c r="C1963" s="41"/>
      <c r="D1963" s="41"/>
      <c r="E1963" s="41"/>
      <c r="F1963" s="41"/>
    </row>
    <row r="1964">
      <c r="A1964" s="41"/>
      <c r="B1964" s="41"/>
      <c r="C1964" s="41"/>
      <c r="D1964" s="41"/>
      <c r="E1964" s="41"/>
      <c r="F1964" s="41"/>
    </row>
    <row r="1965">
      <c r="A1965" s="41"/>
      <c r="B1965" s="41"/>
      <c r="C1965" s="41"/>
      <c r="D1965" s="41"/>
      <c r="E1965" s="41"/>
      <c r="F1965" s="41"/>
    </row>
    <row r="1966">
      <c r="A1966" s="41"/>
      <c r="B1966" s="41"/>
      <c r="C1966" s="41"/>
      <c r="D1966" s="41"/>
      <c r="E1966" s="41"/>
      <c r="F1966" s="41"/>
    </row>
    <row r="1967">
      <c r="A1967" s="41"/>
      <c r="B1967" s="41"/>
      <c r="C1967" s="41"/>
      <c r="D1967" s="41"/>
      <c r="E1967" s="41"/>
      <c r="F1967" s="41"/>
    </row>
    <row r="1968">
      <c r="A1968" s="41"/>
      <c r="B1968" s="41"/>
      <c r="C1968" s="41"/>
      <c r="D1968" s="41"/>
      <c r="E1968" s="41"/>
      <c r="F1968" s="41"/>
    </row>
    <row r="1969">
      <c r="A1969" s="41"/>
      <c r="B1969" s="41"/>
      <c r="C1969" s="41"/>
      <c r="D1969" s="41"/>
      <c r="E1969" s="41"/>
      <c r="F1969" s="41"/>
    </row>
    <row r="1970">
      <c r="A1970" s="41"/>
      <c r="B1970" s="41"/>
      <c r="C1970" s="41"/>
      <c r="D1970" s="41"/>
      <c r="E1970" s="41"/>
      <c r="F1970" s="41"/>
    </row>
    <row r="1971">
      <c r="A1971" s="41"/>
      <c r="B1971" s="41"/>
      <c r="C1971" s="41"/>
      <c r="D1971" s="41"/>
      <c r="E1971" s="41"/>
      <c r="F1971" s="41"/>
    </row>
    <row r="1972">
      <c r="A1972" s="41"/>
      <c r="B1972" s="41"/>
      <c r="C1972" s="41"/>
      <c r="D1972" s="41"/>
      <c r="E1972" s="41"/>
      <c r="F1972" s="41"/>
    </row>
    <row r="1973">
      <c r="A1973" s="41"/>
      <c r="B1973" s="41"/>
      <c r="C1973" s="41"/>
      <c r="D1973" s="41"/>
      <c r="E1973" s="41"/>
      <c r="F1973" s="41"/>
    </row>
    <row r="1974">
      <c r="A1974" s="41"/>
      <c r="B1974" s="41"/>
      <c r="C1974" s="41"/>
      <c r="D1974" s="41"/>
      <c r="E1974" s="41"/>
      <c r="F1974" s="41"/>
    </row>
    <row r="1975">
      <c r="A1975" s="41"/>
      <c r="B1975" s="41"/>
      <c r="C1975" s="41"/>
      <c r="D1975" s="41"/>
      <c r="E1975" s="41"/>
      <c r="F1975" s="41"/>
    </row>
    <row r="1976">
      <c r="A1976" s="41"/>
      <c r="B1976" s="41"/>
      <c r="C1976" s="41"/>
      <c r="D1976" s="41"/>
      <c r="E1976" s="41"/>
      <c r="F1976" s="41"/>
    </row>
    <row r="1977">
      <c r="A1977" s="41"/>
      <c r="B1977" s="41"/>
      <c r="C1977" s="41"/>
      <c r="D1977" s="41"/>
      <c r="E1977" s="41"/>
      <c r="F1977" s="41"/>
    </row>
    <row r="1978">
      <c r="A1978" s="41"/>
      <c r="B1978" s="41"/>
      <c r="C1978" s="41"/>
      <c r="D1978" s="41"/>
      <c r="E1978" s="41"/>
      <c r="F1978" s="41"/>
    </row>
    <row r="1979">
      <c r="A1979" s="41"/>
      <c r="B1979" s="41"/>
      <c r="C1979" s="41"/>
      <c r="D1979" s="41"/>
      <c r="E1979" s="41"/>
      <c r="F1979" s="41"/>
    </row>
    <row r="1980">
      <c r="A1980" s="41"/>
      <c r="B1980" s="41"/>
      <c r="C1980" s="41"/>
      <c r="D1980" s="41"/>
      <c r="E1980" s="41"/>
      <c r="F1980" s="41"/>
    </row>
    <row r="1981">
      <c r="A1981" s="41"/>
      <c r="B1981" s="41"/>
      <c r="C1981" s="41"/>
      <c r="D1981" s="41"/>
      <c r="E1981" s="41"/>
      <c r="F1981" s="41"/>
    </row>
    <row r="1982">
      <c r="A1982" s="41"/>
      <c r="B1982" s="41"/>
      <c r="C1982" s="41"/>
      <c r="D1982" s="41"/>
      <c r="E1982" s="41"/>
      <c r="F1982" s="41"/>
    </row>
    <row r="1983">
      <c r="A1983" s="41"/>
      <c r="B1983" s="41"/>
      <c r="C1983" s="41"/>
      <c r="D1983" s="41"/>
      <c r="E1983" s="41"/>
      <c r="F1983" s="41"/>
    </row>
    <row r="1984">
      <c r="A1984" s="41"/>
      <c r="B1984" s="41"/>
      <c r="C1984" s="41"/>
      <c r="D1984" s="41"/>
      <c r="E1984" s="41"/>
      <c r="F1984" s="41"/>
    </row>
    <row r="1985">
      <c r="A1985" s="41"/>
      <c r="B1985" s="41"/>
      <c r="C1985" s="41"/>
      <c r="D1985" s="41"/>
      <c r="E1985" s="41"/>
      <c r="F1985" s="41"/>
    </row>
    <row r="1986">
      <c r="A1986" s="41"/>
      <c r="B1986" s="41"/>
      <c r="C1986" s="41"/>
      <c r="D1986" s="41"/>
      <c r="E1986" s="41"/>
      <c r="F1986" s="41"/>
    </row>
    <row r="1987">
      <c r="A1987" s="41"/>
      <c r="B1987" s="41"/>
      <c r="C1987" s="41"/>
      <c r="D1987" s="41"/>
      <c r="E1987" s="41"/>
      <c r="F1987" s="41"/>
    </row>
    <row r="1988">
      <c r="A1988" s="41"/>
      <c r="B1988" s="41"/>
      <c r="C1988" s="41"/>
      <c r="D1988" s="41"/>
      <c r="E1988" s="41"/>
      <c r="F1988" s="41"/>
    </row>
    <row r="1989">
      <c r="A1989" s="41"/>
      <c r="B1989" s="41"/>
      <c r="C1989" s="41"/>
      <c r="D1989" s="41"/>
      <c r="E1989" s="41"/>
      <c r="F1989" s="41"/>
    </row>
    <row r="1990">
      <c r="A1990" s="41"/>
      <c r="B1990" s="41"/>
      <c r="C1990" s="41"/>
      <c r="D1990" s="41"/>
      <c r="E1990" s="41"/>
      <c r="F1990" s="41"/>
    </row>
    <row r="1991">
      <c r="A1991" s="41"/>
      <c r="B1991" s="41"/>
      <c r="C1991" s="41"/>
      <c r="D1991" s="41"/>
      <c r="E1991" s="41"/>
      <c r="F1991" s="41"/>
    </row>
    <row r="1992">
      <c r="A1992" s="41"/>
      <c r="B1992" s="41"/>
      <c r="C1992" s="41"/>
      <c r="D1992" s="41"/>
      <c r="E1992" s="41"/>
      <c r="F1992" s="41"/>
    </row>
    <row r="1993">
      <c r="A1993" s="41"/>
      <c r="B1993" s="41"/>
      <c r="C1993" s="41"/>
      <c r="D1993" s="41"/>
      <c r="E1993" s="41"/>
      <c r="F1993" s="41"/>
    </row>
    <row r="1994">
      <c r="A1994" s="41"/>
      <c r="B1994" s="41"/>
      <c r="C1994" s="41"/>
      <c r="D1994" s="41"/>
      <c r="E1994" s="41"/>
      <c r="F1994" s="41"/>
    </row>
    <row r="1995">
      <c r="A1995" s="41"/>
      <c r="B1995" s="41"/>
      <c r="C1995" s="41"/>
      <c r="D1995" s="41"/>
      <c r="E1995" s="41"/>
      <c r="F1995" s="41"/>
    </row>
    <row r="1996">
      <c r="A1996" s="41"/>
      <c r="B1996" s="41"/>
      <c r="C1996" s="41"/>
      <c r="D1996" s="41"/>
      <c r="E1996" s="41"/>
      <c r="F1996" s="41"/>
    </row>
    <row r="1997">
      <c r="A1997" s="41"/>
      <c r="B1997" s="41"/>
      <c r="C1997" s="41"/>
      <c r="D1997" s="41"/>
      <c r="E1997" s="41"/>
      <c r="F1997" s="41"/>
    </row>
    <row r="1998">
      <c r="A1998" s="41"/>
      <c r="B1998" s="41"/>
      <c r="C1998" s="41"/>
      <c r="D1998" s="41"/>
      <c r="E1998" s="41"/>
      <c r="F1998" s="41"/>
    </row>
    <row r="1999">
      <c r="A1999" s="41"/>
      <c r="B1999" s="41"/>
      <c r="C1999" s="41"/>
      <c r="D1999" s="41"/>
      <c r="E1999" s="41"/>
      <c r="F1999" s="41"/>
    </row>
    <row r="2000">
      <c r="A2000" s="41"/>
      <c r="B2000" s="41"/>
      <c r="C2000" s="41"/>
      <c r="D2000" s="41"/>
      <c r="E2000" s="41"/>
      <c r="F2000" s="41"/>
    </row>
    <row r="2001">
      <c r="A2001" s="41"/>
      <c r="B2001" s="41"/>
      <c r="C2001" s="41"/>
      <c r="D2001" s="41"/>
      <c r="E2001" s="41"/>
      <c r="F2001" s="41"/>
    </row>
    <row r="2002">
      <c r="A2002" s="41"/>
      <c r="B2002" s="41"/>
      <c r="C2002" s="41"/>
      <c r="D2002" s="41"/>
      <c r="E2002" s="41"/>
      <c r="F2002" s="41"/>
    </row>
    <row r="2003">
      <c r="A2003" s="41"/>
      <c r="B2003" s="41"/>
      <c r="C2003" s="41"/>
      <c r="D2003" s="41"/>
      <c r="E2003" s="41"/>
      <c r="F2003" s="41"/>
    </row>
    <row r="2004">
      <c r="A2004" s="41"/>
      <c r="B2004" s="41"/>
      <c r="C2004" s="41"/>
      <c r="D2004" s="41"/>
      <c r="E2004" s="41"/>
      <c r="F2004" s="41"/>
    </row>
    <row r="2005">
      <c r="A2005" s="41"/>
      <c r="B2005" s="41"/>
      <c r="C2005" s="41"/>
      <c r="D2005" s="41"/>
      <c r="E2005" s="41"/>
      <c r="F2005" s="41"/>
    </row>
    <row r="2006">
      <c r="A2006" s="41"/>
      <c r="B2006" s="41"/>
      <c r="C2006" s="41"/>
      <c r="D2006" s="41"/>
      <c r="E2006" s="41"/>
      <c r="F2006" s="41"/>
    </row>
    <row r="2007">
      <c r="A2007" s="41"/>
      <c r="B2007" s="41"/>
      <c r="C2007" s="41"/>
      <c r="D2007" s="41"/>
      <c r="E2007" s="41"/>
      <c r="F2007" s="41"/>
    </row>
    <row r="2008">
      <c r="A2008" s="41"/>
      <c r="B2008" s="41"/>
      <c r="C2008" s="41"/>
      <c r="D2008" s="41"/>
      <c r="E2008" s="41"/>
      <c r="F2008" s="41"/>
    </row>
    <row r="2009">
      <c r="A2009" s="41"/>
      <c r="B2009" s="41"/>
      <c r="C2009" s="41"/>
      <c r="D2009" s="41"/>
      <c r="E2009" s="41"/>
      <c r="F2009" s="41"/>
    </row>
    <row r="2010">
      <c r="A2010" s="41"/>
      <c r="B2010" s="41"/>
      <c r="C2010" s="41"/>
      <c r="D2010" s="41"/>
      <c r="E2010" s="41"/>
      <c r="F2010" s="41"/>
    </row>
    <row r="2011">
      <c r="A2011" s="41"/>
      <c r="B2011" s="41"/>
      <c r="C2011" s="41"/>
      <c r="D2011" s="41"/>
      <c r="E2011" s="41"/>
      <c r="F2011" s="41"/>
    </row>
    <row r="2012">
      <c r="A2012" s="41"/>
      <c r="B2012" s="41"/>
      <c r="C2012" s="41"/>
      <c r="D2012" s="41"/>
      <c r="E2012" s="41"/>
      <c r="F2012" s="41"/>
    </row>
    <row r="2013">
      <c r="A2013" s="41"/>
      <c r="B2013" s="41"/>
      <c r="C2013" s="41"/>
      <c r="D2013" s="41"/>
      <c r="E2013" s="41"/>
      <c r="F2013" s="41"/>
    </row>
    <row r="2014">
      <c r="A2014" s="41"/>
      <c r="B2014" s="41"/>
      <c r="C2014" s="41"/>
      <c r="D2014" s="41"/>
      <c r="E2014" s="41"/>
      <c r="F2014" s="41"/>
    </row>
    <row r="2015">
      <c r="A2015" s="41"/>
      <c r="B2015" s="41"/>
      <c r="C2015" s="41"/>
      <c r="D2015" s="41"/>
      <c r="E2015" s="41"/>
      <c r="F2015" s="41"/>
    </row>
    <row r="2016">
      <c r="A2016" s="41"/>
      <c r="B2016" s="41"/>
      <c r="C2016" s="41"/>
      <c r="D2016" s="41"/>
      <c r="E2016" s="41"/>
      <c r="F2016" s="41"/>
    </row>
    <row r="2017">
      <c r="A2017" s="41"/>
      <c r="B2017" s="41"/>
      <c r="C2017" s="41"/>
      <c r="D2017" s="41"/>
      <c r="E2017" s="41"/>
      <c r="F2017" s="41"/>
    </row>
    <row r="2018">
      <c r="A2018" s="41"/>
      <c r="B2018" s="41"/>
      <c r="C2018" s="41"/>
      <c r="D2018" s="41"/>
      <c r="E2018" s="41"/>
      <c r="F2018" s="41"/>
    </row>
    <row r="2019">
      <c r="A2019" s="41"/>
      <c r="B2019" s="41"/>
      <c r="C2019" s="41"/>
      <c r="D2019" s="41"/>
      <c r="E2019" s="41"/>
      <c r="F2019" s="41"/>
    </row>
    <row r="2020">
      <c r="A2020" s="41"/>
      <c r="B2020" s="41"/>
      <c r="C2020" s="41"/>
      <c r="D2020" s="41"/>
      <c r="E2020" s="41"/>
      <c r="F2020" s="41"/>
    </row>
    <row r="2021">
      <c r="A2021" s="41"/>
      <c r="B2021" s="41"/>
      <c r="C2021" s="41"/>
      <c r="D2021" s="41"/>
      <c r="E2021" s="41"/>
      <c r="F2021" s="41"/>
    </row>
    <row r="2022">
      <c r="A2022" s="41"/>
      <c r="B2022" s="41"/>
      <c r="C2022" s="41"/>
      <c r="D2022" s="41"/>
      <c r="E2022" s="41"/>
      <c r="F2022" s="41"/>
    </row>
    <row r="2023">
      <c r="A2023" s="41"/>
      <c r="B2023" s="41"/>
      <c r="C2023" s="41"/>
      <c r="D2023" s="41"/>
      <c r="E2023" s="41"/>
      <c r="F2023" s="41"/>
    </row>
    <row r="2024">
      <c r="A2024" s="41"/>
      <c r="B2024" s="41"/>
      <c r="C2024" s="41"/>
      <c r="D2024" s="41"/>
      <c r="E2024" s="41"/>
      <c r="F2024" s="41"/>
    </row>
    <row r="2025">
      <c r="A2025" s="41"/>
      <c r="B2025" s="41"/>
      <c r="C2025" s="41"/>
      <c r="D2025" s="41"/>
      <c r="E2025" s="41"/>
      <c r="F2025" s="41"/>
    </row>
    <row r="2026">
      <c r="A2026" s="41"/>
      <c r="B2026" s="41"/>
      <c r="C2026" s="41"/>
      <c r="D2026" s="41"/>
      <c r="E2026" s="41"/>
      <c r="F2026" s="41"/>
    </row>
    <row r="2027">
      <c r="A2027" s="41"/>
      <c r="B2027" s="41"/>
      <c r="C2027" s="41"/>
      <c r="D2027" s="41"/>
      <c r="E2027" s="41"/>
      <c r="F2027" s="41"/>
    </row>
    <row r="2028">
      <c r="A2028" s="41"/>
      <c r="B2028" s="41"/>
      <c r="C2028" s="41"/>
      <c r="D2028" s="41"/>
      <c r="E2028" s="41"/>
      <c r="F2028" s="41"/>
    </row>
    <row r="2029">
      <c r="A2029" s="41"/>
      <c r="B2029" s="41"/>
      <c r="C2029" s="41"/>
      <c r="D2029" s="41"/>
      <c r="E2029" s="41"/>
      <c r="F2029" s="41"/>
    </row>
    <row r="2030">
      <c r="A2030" s="41"/>
      <c r="B2030" s="41"/>
      <c r="C2030" s="41"/>
      <c r="D2030" s="41"/>
      <c r="E2030" s="41"/>
      <c r="F2030" s="41"/>
    </row>
    <row r="2031">
      <c r="A2031" s="41"/>
      <c r="B2031" s="41"/>
      <c r="C2031" s="41"/>
      <c r="D2031" s="41"/>
      <c r="E2031" s="41"/>
      <c r="F2031" s="41"/>
    </row>
    <row r="2032">
      <c r="A2032" s="41"/>
      <c r="B2032" s="41"/>
      <c r="C2032" s="41"/>
      <c r="D2032" s="41"/>
      <c r="E2032" s="41"/>
      <c r="F2032" s="41"/>
    </row>
    <row r="2033">
      <c r="A2033" s="41"/>
      <c r="B2033" s="41"/>
      <c r="C2033" s="41"/>
      <c r="D2033" s="41"/>
      <c r="E2033" s="41"/>
      <c r="F2033" s="41"/>
    </row>
    <row r="2034">
      <c r="A2034" s="41"/>
      <c r="B2034" s="41"/>
      <c r="C2034" s="41"/>
      <c r="D2034" s="41"/>
      <c r="E2034" s="41"/>
      <c r="F2034" s="41"/>
    </row>
    <row r="2035">
      <c r="A2035" s="41"/>
      <c r="B2035" s="41"/>
      <c r="C2035" s="41"/>
      <c r="D2035" s="41"/>
      <c r="E2035" s="41"/>
      <c r="F2035" s="41"/>
    </row>
    <row r="2036">
      <c r="A2036" s="41"/>
      <c r="B2036" s="41"/>
      <c r="C2036" s="41"/>
      <c r="D2036" s="41"/>
      <c r="E2036" s="41"/>
      <c r="F2036" s="41"/>
    </row>
    <row r="2037">
      <c r="A2037" s="41"/>
      <c r="B2037" s="41"/>
      <c r="C2037" s="41"/>
      <c r="D2037" s="41"/>
      <c r="E2037" s="41"/>
      <c r="F2037" s="41"/>
    </row>
    <row r="2038">
      <c r="A2038" s="41"/>
      <c r="B2038" s="41"/>
      <c r="C2038" s="41"/>
      <c r="D2038" s="41"/>
      <c r="E2038" s="41"/>
      <c r="F2038" s="41"/>
    </row>
    <row r="2039">
      <c r="A2039" s="41"/>
      <c r="B2039" s="41"/>
      <c r="C2039" s="41"/>
      <c r="D2039" s="41"/>
      <c r="E2039" s="41"/>
      <c r="F2039" s="41"/>
    </row>
    <row r="2040">
      <c r="A2040" s="41"/>
      <c r="B2040" s="41"/>
      <c r="C2040" s="41"/>
      <c r="D2040" s="41"/>
      <c r="E2040" s="41"/>
      <c r="F2040" s="41"/>
    </row>
    <row r="2041">
      <c r="A2041" s="41"/>
      <c r="B2041" s="41"/>
      <c r="C2041" s="41"/>
      <c r="D2041" s="41"/>
      <c r="E2041" s="41"/>
      <c r="F2041" s="41"/>
    </row>
    <row r="2042">
      <c r="A2042" s="41"/>
      <c r="B2042" s="41"/>
      <c r="C2042" s="41"/>
      <c r="D2042" s="41"/>
      <c r="E2042" s="41"/>
      <c r="F2042" s="41"/>
    </row>
    <row r="2043">
      <c r="A2043" s="41"/>
      <c r="B2043" s="41"/>
      <c r="C2043" s="41"/>
      <c r="D2043" s="41"/>
      <c r="E2043" s="41"/>
      <c r="F2043" s="41"/>
    </row>
    <row r="2044">
      <c r="A2044" s="41"/>
      <c r="B2044" s="41"/>
      <c r="C2044" s="41"/>
      <c r="D2044" s="41"/>
      <c r="E2044" s="41"/>
      <c r="F2044" s="41"/>
    </row>
    <row r="2045">
      <c r="A2045" s="41"/>
      <c r="B2045" s="41"/>
      <c r="C2045" s="41"/>
      <c r="D2045" s="41"/>
      <c r="E2045" s="41"/>
      <c r="F2045" s="41"/>
    </row>
    <row r="2046">
      <c r="A2046" s="41"/>
      <c r="B2046" s="41"/>
      <c r="C2046" s="41"/>
      <c r="D2046" s="41"/>
      <c r="E2046" s="41"/>
      <c r="F2046" s="41"/>
    </row>
    <row r="2047">
      <c r="A2047" s="41"/>
      <c r="B2047" s="41"/>
      <c r="C2047" s="41"/>
      <c r="D2047" s="41"/>
      <c r="E2047" s="41"/>
      <c r="F2047" s="41"/>
    </row>
    <row r="2048">
      <c r="A2048" s="41"/>
      <c r="B2048" s="41"/>
      <c r="C2048" s="41"/>
      <c r="D2048" s="41"/>
      <c r="E2048" s="41"/>
      <c r="F2048" s="41"/>
    </row>
    <row r="2049">
      <c r="A2049" s="41"/>
      <c r="B2049" s="41"/>
      <c r="C2049" s="41"/>
      <c r="D2049" s="41"/>
      <c r="E2049" s="41"/>
      <c r="F2049" s="41"/>
    </row>
    <row r="2050">
      <c r="A2050" s="41"/>
      <c r="B2050" s="41"/>
      <c r="C2050" s="41"/>
      <c r="D2050" s="41"/>
      <c r="E2050" s="41"/>
      <c r="F2050" s="41"/>
    </row>
    <row r="2051">
      <c r="A2051" s="41"/>
      <c r="B2051" s="41"/>
      <c r="C2051" s="41"/>
      <c r="D2051" s="41"/>
      <c r="E2051" s="41"/>
      <c r="F2051" s="41"/>
    </row>
    <row r="2052">
      <c r="A2052" s="41"/>
      <c r="B2052" s="41"/>
      <c r="C2052" s="41"/>
      <c r="D2052" s="41"/>
      <c r="E2052" s="41"/>
      <c r="F2052" s="41"/>
    </row>
    <row r="2053">
      <c r="A2053" s="41"/>
      <c r="B2053" s="41"/>
      <c r="C2053" s="41"/>
      <c r="D2053" s="41"/>
      <c r="E2053" s="41"/>
      <c r="F2053" s="41"/>
    </row>
    <row r="2054">
      <c r="A2054" s="41"/>
      <c r="B2054" s="41"/>
      <c r="C2054" s="41"/>
      <c r="D2054" s="41"/>
      <c r="E2054" s="41"/>
      <c r="F2054" s="41"/>
    </row>
    <row r="2055">
      <c r="A2055" s="41"/>
      <c r="B2055" s="41"/>
      <c r="C2055" s="41"/>
      <c r="D2055" s="41"/>
      <c r="E2055" s="41"/>
      <c r="F2055" s="41"/>
    </row>
    <row r="2056">
      <c r="A2056" s="41"/>
      <c r="B2056" s="41"/>
      <c r="C2056" s="41"/>
      <c r="D2056" s="41"/>
      <c r="E2056" s="41"/>
      <c r="F2056" s="41"/>
    </row>
    <row r="2057">
      <c r="A2057" s="41"/>
      <c r="B2057" s="41"/>
      <c r="C2057" s="41"/>
      <c r="D2057" s="41"/>
      <c r="E2057" s="41"/>
      <c r="F2057" s="41"/>
    </row>
    <row r="2058">
      <c r="A2058" s="41"/>
      <c r="B2058" s="41"/>
      <c r="C2058" s="41"/>
      <c r="D2058" s="41"/>
      <c r="E2058" s="41"/>
      <c r="F2058" s="41"/>
    </row>
    <row r="2059">
      <c r="A2059" s="41"/>
      <c r="B2059" s="41"/>
      <c r="C2059" s="41"/>
      <c r="D2059" s="41"/>
      <c r="E2059" s="41"/>
      <c r="F2059" s="41"/>
    </row>
    <row r="2060">
      <c r="A2060" s="41"/>
      <c r="B2060" s="41"/>
      <c r="C2060" s="41"/>
      <c r="D2060" s="41"/>
      <c r="E2060" s="41"/>
      <c r="F2060" s="41"/>
    </row>
    <row r="2061">
      <c r="A2061" s="41"/>
      <c r="B2061" s="41"/>
      <c r="C2061" s="41"/>
      <c r="D2061" s="41"/>
      <c r="E2061" s="41"/>
      <c r="F2061" s="41"/>
    </row>
    <row r="2062">
      <c r="A2062" s="41"/>
      <c r="B2062" s="41"/>
      <c r="C2062" s="41"/>
      <c r="D2062" s="41"/>
      <c r="E2062" s="41"/>
      <c r="F2062" s="41"/>
    </row>
    <row r="2063">
      <c r="A2063" s="41"/>
      <c r="B2063" s="41"/>
      <c r="C2063" s="41"/>
      <c r="D2063" s="41"/>
      <c r="E2063" s="41"/>
      <c r="F2063" s="41"/>
    </row>
    <row r="2064">
      <c r="A2064" s="41"/>
      <c r="B2064" s="41"/>
      <c r="C2064" s="41"/>
      <c r="D2064" s="41"/>
      <c r="E2064" s="41"/>
      <c r="F2064" s="41"/>
    </row>
    <row r="2065">
      <c r="A2065" s="41"/>
      <c r="B2065" s="41"/>
      <c r="C2065" s="41"/>
      <c r="D2065" s="41"/>
      <c r="E2065" s="41"/>
      <c r="F2065" s="41"/>
    </row>
    <row r="2066">
      <c r="A2066" s="41"/>
      <c r="B2066" s="41"/>
      <c r="C2066" s="41"/>
      <c r="D2066" s="41"/>
      <c r="E2066" s="41"/>
      <c r="F2066" s="41"/>
    </row>
    <row r="2067">
      <c r="A2067" s="41"/>
      <c r="B2067" s="41"/>
      <c r="C2067" s="41"/>
      <c r="D2067" s="41"/>
      <c r="E2067" s="41"/>
      <c r="F2067" s="41"/>
    </row>
    <row r="2068">
      <c r="A2068" s="41"/>
      <c r="B2068" s="41"/>
      <c r="C2068" s="41"/>
      <c r="D2068" s="41"/>
      <c r="E2068" s="41"/>
      <c r="F2068" s="41"/>
    </row>
    <row r="2069">
      <c r="A2069" s="41"/>
      <c r="B2069" s="41"/>
      <c r="C2069" s="41"/>
      <c r="D2069" s="41"/>
      <c r="E2069" s="41"/>
      <c r="F2069" s="41"/>
    </row>
    <row r="2070">
      <c r="A2070" s="41"/>
      <c r="B2070" s="41"/>
      <c r="C2070" s="41"/>
      <c r="D2070" s="41"/>
      <c r="E2070" s="41"/>
      <c r="F2070" s="41"/>
    </row>
    <row r="2071">
      <c r="A2071" s="41"/>
      <c r="B2071" s="41"/>
      <c r="C2071" s="41"/>
      <c r="D2071" s="41"/>
      <c r="E2071" s="41"/>
      <c r="F2071" s="41"/>
    </row>
    <row r="2072">
      <c r="A2072" s="41"/>
      <c r="B2072" s="41"/>
      <c r="C2072" s="41"/>
      <c r="D2072" s="41"/>
      <c r="E2072" s="41"/>
      <c r="F2072" s="41"/>
    </row>
    <row r="2073">
      <c r="A2073" s="41"/>
      <c r="B2073" s="41"/>
      <c r="C2073" s="41"/>
      <c r="D2073" s="41"/>
      <c r="E2073" s="41"/>
      <c r="F2073" s="41"/>
    </row>
    <row r="2074">
      <c r="A2074" s="41"/>
      <c r="B2074" s="41"/>
      <c r="C2074" s="41"/>
      <c r="D2074" s="41"/>
      <c r="E2074" s="41"/>
      <c r="F2074" s="41"/>
    </row>
    <row r="2075">
      <c r="A2075" s="41"/>
      <c r="B2075" s="41"/>
      <c r="C2075" s="41"/>
      <c r="D2075" s="41"/>
      <c r="E2075" s="41"/>
      <c r="F2075" s="41"/>
    </row>
    <row r="2076">
      <c r="A2076" s="41"/>
      <c r="B2076" s="41"/>
      <c r="C2076" s="41"/>
      <c r="D2076" s="41"/>
      <c r="E2076" s="41"/>
      <c r="F2076" s="41"/>
    </row>
    <row r="2077">
      <c r="A2077" s="41"/>
      <c r="B2077" s="41"/>
      <c r="C2077" s="41"/>
      <c r="D2077" s="41"/>
      <c r="E2077" s="41"/>
      <c r="F2077" s="41"/>
    </row>
    <row r="2078">
      <c r="A2078" s="41"/>
      <c r="B2078" s="41"/>
      <c r="C2078" s="41"/>
      <c r="D2078" s="41"/>
      <c r="E2078" s="41"/>
      <c r="F2078" s="41"/>
    </row>
    <row r="2079">
      <c r="A2079" s="41"/>
      <c r="B2079" s="41"/>
      <c r="C2079" s="41"/>
      <c r="D2079" s="41"/>
      <c r="E2079" s="41"/>
      <c r="F2079" s="41"/>
    </row>
    <row r="2080">
      <c r="A2080" s="41"/>
      <c r="B2080" s="41"/>
      <c r="C2080" s="41"/>
      <c r="D2080" s="41"/>
      <c r="E2080" s="41"/>
      <c r="F2080" s="41"/>
    </row>
    <row r="2081">
      <c r="A2081" s="41"/>
      <c r="B2081" s="41"/>
      <c r="C2081" s="41"/>
      <c r="D2081" s="41"/>
      <c r="E2081" s="41"/>
      <c r="F2081" s="41"/>
    </row>
    <row r="2082">
      <c r="A2082" s="41"/>
      <c r="B2082" s="41"/>
      <c r="C2082" s="41"/>
      <c r="D2082" s="41"/>
      <c r="E2082" s="41"/>
      <c r="F2082" s="41"/>
    </row>
    <row r="2083">
      <c r="A2083" s="41"/>
      <c r="B2083" s="41"/>
      <c r="C2083" s="41"/>
      <c r="D2083" s="41"/>
      <c r="E2083" s="41"/>
      <c r="F2083" s="41"/>
    </row>
    <row r="2084">
      <c r="A2084" s="41"/>
      <c r="B2084" s="41"/>
      <c r="C2084" s="41"/>
      <c r="D2084" s="41"/>
      <c r="E2084" s="41"/>
      <c r="F2084" s="41"/>
    </row>
    <row r="2085">
      <c r="A2085" s="41"/>
      <c r="B2085" s="41"/>
      <c r="C2085" s="41"/>
      <c r="D2085" s="41"/>
      <c r="E2085" s="41"/>
      <c r="F2085" s="41"/>
    </row>
    <row r="2086">
      <c r="A2086" s="41"/>
      <c r="B2086" s="41"/>
      <c r="C2086" s="41"/>
      <c r="D2086" s="41"/>
      <c r="E2086" s="41"/>
      <c r="F2086" s="41"/>
    </row>
    <row r="2087">
      <c r="A2087" s="41"/>
      <c r="B2087" s="41"/>
      <c r="C2087" s="41"/>
      <c r="D2087" s="41"/>
      <c r="E2087" s="41"/>
      <c r="F2087" s="41"/>
    </row>
    <row r="2088">
      <c r="A2088" s="41"/>
      <c r="B2088" s="41"/>
      <c r="C2088" s="41"/>
      <c r="D2088" s="41"/>
      <c r="E2088" s="41"/>
      <c r="F2088" s="41"/>
    </row>
    <row r="2089">
      <c r="A2089" s="41"/>
      <c r="B2089" s="41"/>
      <c r="C2089" s="41"/>
      <c r="D2089" s="41"/>
      <c r="E2089" s="41"/>
      <c r="F2089" s="41"/>
    </row>
    <row r="2090">
      <c r="A2090" s="41"/>
      <c r="B2090" s="41"/>
      <c r="C2090" s="41"/>
      <c r="D2090" s="41"/>
      <c r="E2090" s="41"/>
      <c r="F2090" s="41"/>
    </row>
    <row r="2091">
      <c r="A2091" s="41"/>
      <c r="B2091" s="41"/>
      <c r="C2091" s="41"/>
      <c r="D2091" s="41"/>
      <c r="E2091" s="41"/>
      <c r="F2091" s="41"/>
    </row>
    <row r="2092">
      <c r="A2092" s="41"/>
      <c r="B2092" s="41"/>
      <c r="C2092" s="41"/>
      <c r="D2092" s="41"/>
      <c r="E2092" s="41"/>
      <c r="F2092" s="41"/>
    </row>
    <row r="2093">
      <c r="A2093" s="41"/>
      <c r="B2093" s="41"/>
      <c r="C2093" s="41"/>
      <c r="D2093" s="41"/>
      <c r="E2093" s="41"/>
      <c r="F2093" s="41"/>
    </row>
    <row r="2094">
      <c r="A2094" s="41"/>
      <c r="B2094" s="41"/>
      <c r="C2094" s="41"/>
      <c r="D2094" s="41"/>
      <c r="E2094" s="41"/>
      <c r="F2094" s="41"/>
    </row>
    <row r="2095">
      <c r="A2095" s="41"/>
      <c r="B2095" s="41"/>
      <c r="C2095" s="41"/>
      <c r="D2095" s="41"/>
      <c r="E2095" s="41"/>
      <c r="F2095" s="41"/>
    </row>
    <row r="2096">
      <c r="A2096" s="41"/>
      <c r="B2096" s="41"/>
      <c r="C2096" s="41"/>
      <c r="D2096" s="41"/>
      <c r="E2096" s="41"/>
      <c r="F2096" s="41"/>
    </row>
    <row r="2097">
      <c r="A2097" s="41"/>
      <c r="B2097" s="41"/>
      <c r="C2097" s="41"/>
      <c r="D2097" s="41"/>
      <c r="E2097" s="41"/>
      <c r="F2097" s="41"/>
    </row>
    <row r="2098">
      <c r="A2098" s="41"/>
      <c r="B2098" s="41"/>
      <c r="C2098" s="41"/>
      <c r="D2098" s="41"/>
      <c r="E2098" s="41"/>
      <c r="F2098" s="41"/>
    </row>
    <row r="2099">
      <c r="A2099" s="41"/>
      <c r="B2099" s="41"/>
      <c r="C2099" s="41"/>
      <c r="D2099" s="41"/>
      <c r="E2099" s="41"/>
      <c r="F2099" s="41"/>
    </row>
    <row r="2100">
      <c r="A2100" s="41"/>
      <c r="B2100" s="41"/>
      <c r="C2100" s="41"/>
      <c r="D2100" s="41"/>
      <c r="E2100" s="41"/>
      <c r="F2100" s="41"/>
    </row>
    <row r="2101">
      <c r="A2101" s="41"/>
      <c r="B2101" s="41"/>
      <c r="C2101" s="41"/>
      <c r="D2101" s="41"/>
      <c r="E2101" s="41"/>
      <c r="F2101" s="41"/>
    </row>
    <row r="2102">
      <c r="A2102" s="41"/>
      <c r="B2102" s="41"/>
      <c r="C2102" s="41"/>
      <c r="D2102" s="41"/>
      <c r="E2102" s="41"/>
      <c r="F2102" s="41"/>
    </row>
    <row r="2103">
      <c r="A2103" s="41"/>
      <c r="B2103" s="41"/>
      <c r="C2103" s="41"/>
      <c r="D2103" s="41"/>
      <c r="E2103" s="41"/>
      <c r="F2103" s="41"/>
    </row>
    <row r="2104">
      <c r="A2104" s="41"/>
      <c r="B2104" s="41"/>
      <c r="C2104" s="41"/>
      <c r="D2104" s="41"/>
      <c r="E2104" s="41"/>
      <c r="F2104" s="41"/>
    </row>
    <row r="2105">
      <c r="A2105" s="41"/>
      <c r="B2105" s="41"/>
      <c r="C2105" s="41"/>
      <c r="D2105" s="41"/>
      <c r="E2105" s="41"/>
      <c r="F2105" s="41"/>
    </row>
    <row r="2106">
      <c r="A2106" s="41"/>
      <c r="B2106" s="41"/>
      <c r="C2106" s="41"/>
      <c r="D2106" s="41"/>
      <c r="E2106" s="41"/>
      <c r="F2106" s="41"/>
    </row>
    <row r="2107">
      <c r="A2107" s="41"/>
      <c r="B2107" s="41"/>
      <c r="C2107" s="41"/>
      <c r="D2107" s="41"/>
      <c r="E2107" s="41"/>
      <c r="F2107" s="41"/>
    </row>
    <row r="2108">
      <c r="A2108" s="41"/>
      <c r="B2108" s="41"/>
      <c r="C2108" s="41"/>
      <c r="D2108" s="41"/>
      <c r="E2108" s="41"/>
      <c r="F2108" s="41"/>
    </row>
    <row r="2109">
      <c r="A2109" s="41"/>
      <c r="B2109" s="41"/>
      <c r="C2109" s="41"/>
      <c r="D2109" s="41"/>
      <c r="E2109" s="41"/>
      <c r="F2109" s="41"/>
    </row>
    <row r="2110">
      <c r="A2110" s="41"/>
      <c r="B2110" s="41"/>
      <c r="C2110" s="41"/>
      <c r="D2110" s="41"/>
      <c r="E2110" s="41"/>
      <c r="F2110" s="41"/>
    </row>
    <row r="2111">
      <c r="A2111" s="41"/>
      <c r="B2111" s="41"/>
      <c r="C2111" s="41"/>
      <c r="D2111" s="41"/>
      <c r="E2111" s="41"/>
      <c r="F2111" s="41"/>
    </row>
    <row r="2112">
      <c r="A2112" s="41"/>
      <c r="B2112" s="41"/>
      <c r="C2112" s="41"/>
      <c r="D2112" s="41"/>
      <c r="E2112" s="41"/>
      <c r="F2112" s="41"/>
    </row>
    <row r="2113">
      <c r="A2113" s="41"/>
      <c r="B2113" s="41"/>
      <c r="C2113" s="41"/>
      <c r="D2113" s="41"/>
      <c r="E2113" s="41"/>
      <c r="F2113" s="41"/>
    </row>
    <row r="2114">
      <c r="A2114" s="41"/>
      <c r="B2114" s="41"/>
      <c r="C2114" s="41"/>
      <c r="D2114" s="41"/>
      <c r="E2114" s="41"/>
      <c r="F2114" s="41"/>
    </row>
    <row r="2115">
      <c r="A2115" s="41"/>
      <c r="B2115" s="41"/>
      <c r="C2115" s="41"/>
      <c r="D2115" s="41"/>
      <c r="E2115" s="41"/>
      <c r="F2115" s="41"/>
    </row>
    <row r="2116">
      <c r="A2116" s="41"/>
      <c r="B2116" s="41"/>
      <c r="C2116" s="41"/>
      <c r="D2116" s="41"/>
      <c r="E2116" s="41"/>
      <c r="F2116" s="41"/>
    </row>
    <row r="2117">
      <c r="A2117" s="41"/>
      <c r="B2117" s="41"/>
      <c r="C2117" s="41"/>
      <c r="D2117" s="41"/>
      <c r="E2117" s="41"/>
      <c r="F2117" s="41"/>
    </row>
    <row r="2118">
      <c r="A2118" s="41"/>
      <c r="B2118" s="41"/>
      <c r="C2118" s="41"/>
      <c r="D2118" s="41"/>
      <c r="E2118" s="41"/>
      <c r="F2118" s="41"/>
    </row>
    <row r="2119">
      <c r="A2119" s="41"/>
      <c r="B2119" s="41"/>
      <c r="C2119" s="41"/>
      <c r="D2119" s="41"/>
      <c r="E2119" s="41"/>
      <c r="F2119" s="41"/>
    </row>
    <row r="2120">
      <c r="A2120" s="41"/>
      <c r="B2120" s="41"/>
      <c r="C2120" s="41"/>
      <c r="D2120" s="41"/>
      <c r="E2120" s="41"/>
      <c r="F2120" s="41"/>
    </row>
    <row r="2121">
      <c r="A2121" s="41"/>
      <c r="B2121" s="41"/>
      <c r="C2121" s="41"/>
      <c r="D2121" s="41"/>
      <c r="E2121" s="41"/>
      <c r="F2121" s="41"/>
    </row>
    <row r="2122">
      <c r="A2122" s="41"/>
      <c r="B2122" s="41"/>
      <c r="C2122" s="41"/>
      <c r="D2122" s="41"/>
      <c r="E2122" s="41"/>
      <c r="F2122" s="41"/>
    </row>
    <row r="2123">
      <c r="A2123" s="41"/>
      <c r="B2123" s="41"/>
      <c r="C2123" s="41"/>
      <c r="D2123" s="41"/>
      <c r="E2123" s="41"/>
      <c r="F2123" s="41"/>
    </row>
    <row r="2124">
      <c r="A2124" s="41"/>
      <c r="B2124" s="41"/>
      <c r="C2124" s="41"/>
      <c r="D2124" s="41"/>
      <c r="E2124" s="41"/>
      <c r="F2124" s="41"/>
    </row>
    <row r="2125">
      <c r="A2125" s="41"/>
      <c r="B2125" s="41"/>
      <c r="C2125" s="41"/>
      <c r="D2125" s="41"/>
      <c r="E2125" s="41"/>
      <c r="F2125" s="41"/>
    </row>
    <row r="2126">
      <c r="A2126" s="41"/>
      <c r="B2126" s="41"/>
      <c r="C2126" s="41"/>
      <c r="D2126" s="41"/>
      <c r="E2126" s="41"/>
      <c r="F2126" s="41"/>
    </row>
    <row r="2127">
      <c r="A2127" s="41"/>
      <c r="B2127" s="41"/>
      <c r="C2127" s="41"/>
      <c r="D2127" s="41"/>
      <c r="E2127" s="41"/>
      <c r="F2127" s="41"/>
    </row>
    <row r="2128">
      <c r="A2128" s="41"/>
      <c r="B2128" s="41"/>
      <c r="C2128" s="41"/>
      <c r="D2128" s="41"/>
      <c r="E2128" s="41"/>
      <c r="F2128" s="41"/>
    </row>
    <row r="2129">
      <c r="A2129" s="41"/>
      <c r="B2129" s="41"/>
      <c r="C2129" s="41"/>
      <c r="D2129" s="41"/>
      <c r="E2129" s="41"/>
      <c r="F2129" s="41"/>
    </row>
    <row r="2130">
      <c r="A2130" s="41"/>
      <c r="B2130" s="41"/>
      <c r="C2130" s="41"/>
      <c r="D2130" s="41"/>
      <c r="E2130" s="41"/>
      <c r="F2130" s="41"/>
    </row>
    <row r="2131">
      <c r="A2131" s="41"/>
      <c r="B2131" s="41"/>
      <c r="C2131" s="41"/>
      <c r="D2131" s="41"/>
      <c r="E2131" s="41"/>
      <c r="F2131" s="41"/>
    </row>
    <row r="2132">
      <c r="A2132" s="41"/>
      <c r="B2132" s="41"/>
      <c r="C2132" s="41"/>
      <c r="D2132" s="41"/>
      <c r="E2132" s="41"/>
      <c r="F2132" s="41"/>
    </row>
    <row r="2133">
      <c r="A2133" s="41"/>
      <c r="B2133" s="41"/>
      <c r="C2133" s="41"/>
      <c r="D2133" s="41"/>
      <c r="E2133" s="41"/>
      <c r="F2133" s="41"/>
    </row>
    <row r="2134">
      <c r="A2134" s="41"/>
      <c r="B2134" s="41"/>
      <c r="C2134" s="41"/>
      <c r="D2134" s="41"/>
      <c r="E2134" s="41"/>
      <c r="F2134" s="41"/>
    </row>
    <row r="2135">
      <c r="A2135" s="41"/>
      <c r="B2135" s="41"/>
      <c r="C2135" s="41"/>
      <c r="D2135" s="41"/>
      <c r="E2135" s="41"/>
      <c r="F2135" s="41"/>
    </row>
    <row r="2136">
      <c r="A2136" s="41"/>
      <c r="B2136" s="41"/>
      <c r="C2136" s="41"/>
      <c r="D2136" s="41"/>
      <c r="E2136" s="41"/>
      <c r="F2136" s="41"/>
    </row>
    <row r="2137">
      <c r="A2137" s="41"/>
      <c r="B2137" s="41"/>
      <c r="C2137" s="41"/>
      <c r="D2137" s="41"/>
      <c r="E2137" s="41"/>
      <c r="F2137" s="41"/>
    </row>
    <row r="2138">
      <c r="A2138" s="41"/>
      <c r="B2138" s="41"/>
      <c r="C2138" s="41"/>
      <c r="D2138" s="41"/>
      <c r="E2138" s="41"/>
      <c r="F2138" s="41"/>
    </row>
    <row r="2139">
      <c r="A2139" s="41"/>
      <c r="B2139" s="41"/>
      <c r="C2139" s="41"/>
      <c r="D2139" s="41"/>
      <c r="E2139" s="41"/>
      <c r="F2139" s="41"/>
    </row>
    <row r="2140">
      <c r="A2140" s="41"/>
      <c r="B2140" s="41"/>
      <c r="C2140" s="41"/>
      <c r="D2140" s="41"/>
      <c r="E2140" s="41"/>
      <c r="F2140" s="41"/>
    </row>
    <row r="2141">
      <c r="A2141" s="41"/>
      <c r="B2141" s="41"/>
      <c r="C2141" s="41"/>
      <c r="D2141" s="41"/>
      <c r="E2141" s="41"/>
      <c r="F2141" s="41"/>
    </row>
    <row r="2142">
      <c r="A2142" s="41"/>
      <c r="B2142" s="41"/>
      <c r="C2142" s="41"/>
      <c r="D2142" s="41"/>
      <c r="E2142" s="41"/>
      <c r="F2142" s="41"/>
    </row>
    <row r="2143">
      <c r="A2143" s="41"/>
      <c r="B2143" s="41"/>
      <c r="C2143" s="41"/>
      <c r="D2143" s="41"/>
      <c r="E2143" s="41"/>
      <c r="F2143" s="41"/>
    </row>
    <row r="2144">
      <c r="A2144" s="41"/>
      <c r="B2144" s="41"/>
      <c r="C2144" s="41"/>
      <c r="D2144" s="41"/>
      <c r="E2144" s="41"/>
      <c r="F2144" s="41"/>
    </row>
    <row r="2145">
      <c r="A2145" s="41"/>
      <c r="B2145" s="41"/>
      <c r="C2145" s="41"/>
      <c r="D2145" s="41"/>
      <c r="E2145" s="41"/>
      <c r="F2145" s="41"/>
    </row>
    <row r="2146">
      <c r="A2146" s="41"/>
      <c r="B2146" s="41"/>
      <c r="C2146" s="41"/>
      <c r="D2146" s="41"/>
      <c r="E2146" s="41"/>
      <c r="F2146" s="41"/>
    </row>
    <row r="2147">
      <c r="A2147" s="41"/>
      <c r="B2147" s="41"/>
      <c r="C2147" s="41"/>
      <c r="D2147" s="41"/>
      <c r="E2147" s="41"/>
      <c r="F2147" s="41"/>
    </row>
    <row r="2148">
      <c r="A2148" s="41"/>
      <c r="B2148" s="41"/>
      <c r="C2148" s="41"/>
      <c r="D2148" s="41"/>
      <c r="E2148" s="41"/>
      <c r="F2148" s="41"/>
    </row>
    <row r="2149">
      <c r="A2149" s="41"/>
      <c r="B2149" s="41"/>
      <c r="C2149" s="41"/>
      <c r="D2149" s="41"/>
      <c r="E2149" s="41"/>
      <c r="F2149" s="41"/>
    </row>
    <row r="2150">
      <c r="A2150" s="41"/>
      <c r="B2150" s="41"/>
      <c r="C2150" s="41"/>
      <c r="D2150" s="41"/>
      <c r="E2150" s="41"/>
      <c r="F2150" s="41"/>
    </row>
    <row r="2151">
      <c r="A2151" s="41"/>
      <c r="B2151" s="41"/>
      <c r="C2151" s="41"/>
      <c r="D2151" s="41"/>
      <c r="E2151" s="41"/>
      <c r="F2151" s="41"/>
    </row>
    <row r="2152">
      <c r="A2152" s="41"/>
      <c r="B2152" s="41"/>
      <c r="C2152" s="41"/>
      <c r="D2152" s="41"/>
      <c r="E2152" s="41"/>
      <c r="F2152" s="41"/>
    </row>
    <row r="2153">
      <c r="A2153" s="41"/>
      <c r="B2153" s="41"/>
      <c r="C2153" s="41"/>
      <c r="D2153" s="41"/>
      <c r="E2153" s="41"/>
      <c r="F2153" s="41"/>
    </row>
    <row r="2154">
      <c r="A2154" s="41"/>
      <c r="B2154" s="41"/>
      <c r="C2154" s="41"/>
      <c r="D2154" s="41"/>
      <c r="E2154" s="41"/>
      <c r="F2154" s="41"/>
    </row>
    <row r="2155">
      <c r="A2155" s="41"/>
      <c r="B2155" s="41"/>
      <c r="C2155" s="41"/>
      <c r="D2155" s="41"/>
      <c r="E2155" s="41"/>
      <c r="F2155" s="41"/>
    </row>
    <row r="2156">
      <c r="A2156" s="41"/>
      <c r="B2156" s="41"/>
      <c r="C2156" s="41"/>
      <c r="D2156" s="41"/>
      <c r="E2156" s="41"/>
      <c r="F2156" s="41"/>
    </row>
    <row r="2157">
      <c r="A2157" s="41"/>
      <c r="B2157" s="41"/>
      <c r="C2157" s="41"/>
      <c r="D2157" s="41"/>
      <c r="E2157" s="41"/>
      <c r="F2157" s="41"/>
    </row>
    <row r="2158">
      <c r="A2158" s="41"/>
      <c r="B2158" s="41"/>
      <c r="C2158" s="41"/>
      <c r="D2158" s="41"/>
      <c r="E2158" s="41"/>
      <c r="F2158" s="41"/>
    </row>
    <row r="2159">
      <c r="A2159" s="41"/>
      <c r="B2159" s="41"/>
      <c r="C2159" s="41"/>
      <c r="D2159" s="41"/>
      <c r="E2159" s="41"/>
      <c r="F2159" s="41"/>
    </row>
    <row r="2160">
      <c r="A2160" s="41"/>
      <c r="B2160" s="41"/>
      <c r="C2160" s="41"/>
      <c r="D2160" s="41"/>
      <c r="E2160" s="41"/>
      <c r="F2160" s="41"/>
    </row>
    <row r="2161">
      <c r="A2161" s="41"/>
      <c r="B2161" s="41"/>
      <c r="C2161" s="41"/>
      <c r="D2161" s="41"/>
      <c r="E2161" s="41"/>
      <c r="F2161" s="41"/>
    </row>
    <row r="2162">
      <c r="A2162" s="41"/>
      <c r="B2162" s="41"/>
      <c r="C2162" s="41"/>
      <c r="D2162" s="41"/>
      <c r="E2162" s="41"/>
      <c r="F2162" s="41"/>
    </row>
    <row r="2163">
      <c r="A2163" s="41"/>
      <c r="B2163" s="41"/>
      <c r="C2163" s="41"/>
      <c r="D2163" s="41"/>
      <c r="E2163" s="41"/>
      <c r="F2163" s="41"/>
    </row>
    <row r="2164">
      <c r="A2164" s="41"/>
      <c r="B2164" s="41"/>
      <c r="C2164" s="41"/>
      <c r="D2164" s="41"/>
      <c r="E2164" s="41"/>
      <c r="F2164" s="41"/>
    </row>
    <row r="2165">
      <c r="A2165" s="41"/>
      <c r="B2165" s="41"/>
      <c r="C2165" s="41"/>
      <c r="D2165" s="41"/>
      <c r="E2165" s="41"/>
      <c r="F2165" s="41"/>
    </row>
    <row r="2166">
      <c r="A2166" s="41"/>
      <c r="B2166" s="41"/>
      <c r="C2166" s="41"/>
      <c r="D2166" s="41"/>
      <c r="E2166" s="41"/>
      <c r="F2166" s="41"/>
    </row>
    <row r="2167">
      <c r="A2167" s="41"/>
      <c r="B2167" s="41"/>
      <c r="C2167" s="41"/>
      <c r="D2167" s="41"/>
      <c r="E2167" s="41"/>
      <c r="F2167" s="41"/>
    </row>
    <row r="2168">
      <c r="A2168" s="41"/>
      <c r="B2168" s="41"/>
      <c r="C2168" s="41"/>
      <c r="D2168" s="41"/>
      <c r="E2168" s="41"/>
      <c r="F2168" s="41"/>
    </row>
    <row r="2169">
      <c r="A2169" s="41"/>
      <c r="B2169" s="41"/>
      <c r="C2169" s="41"/>
      <c r="D2169" s="41"/>
      <c r="E2169" s="41"/>
      <c r="F2169" s="41"/>
    </row>
    <row r="2170">
      <c r="A2170" s="41"/>
      <c r="B2170" s="41"/>
      <c r="C2170" s="41"/>
      <c r="D2170" s="41"/>
      <c r="E2170" s="41"/>
      <c r="F2170" s="41"/>
    </row>
    <row r="2171">
      <c r="A2171" s="41"/>
      <c r="B2171" s="41"/>
      <c r="C2171" s="41"/>
      <c r="D2171" s="41"/>
      <c r="E2171" s="41"/>
      <c r="F2171" s="41"/>
    </row>
    <row r="2172">
      <c r="A2172" s="41"/>
      <c r="B2172" s="41"/>
      <c r="C2172" s="41"/>
      <c r="D2172" s="41"/>
      <c r="E2172" s="41"/>
      <c r="F2172" s="41"/>
    </row>
    <row r="2173">
      <c r="A2173" s="41"/>
      <c r="B2173" s="41"/>
      <c r="C2173" s="41"/>
      <c r="D2173" s="41"/>
      <c r="E2173" s="41"/>
      <c r="F2173" s="41"/>
    </row>
    <row r="2174">
      <c r="A2174" s="41"/>
      <c r="B2174" s="41"/>
      <c r="C2174" s="41"/>
      <c r="D2174" s="41"/>
      <c r="E2174" s="41"/>
      <c r="F2174" s="41"/>
    </row>
    <row r="2175">
      <c r="A2175" s="41"/>
      <c r="B2175" s="41"/>
      <c r="C2175" s="41"/>
      <c r="D2175" s="41"/>
      <c r="E2175" s="41"/>
      <c r="F2175" s="41"/>
    </row>
    <row r="2176">
      <c r="A2176" s="41"/>
      <c r="B2176" s="41"/>
      <c r="C2176" s="41"/>
      <c r="D2176" s="41"/>
      <c r="E2176" s="41"/>
      <c r="F2176" s="41"/>
    </row>
    <row r="2177">
      <c r="A2177" s="41"/>
      <c r="B2177" s="41"/>
      <c r="C2177" s="41"/>
      <c r="D2177" s="41"/>
      <c r="E2177" s="41"/>
      <c r="F2177" s="41"/>
    </row>
    <row r="2178">
      <c r="A2178" s="41"/>
      <c r="B2178" s="41"/>
      <c r="C2178" s="41"/>
      <c r="D2178" s="41"/>
      <c r="E2178" s="41"/>
      <c r="F2178" s="41"/>
    </row>
    <row r="2179">
      <c r="A2179" s="41"/>
      <c r="B2179" s="41"/>
      <c r="C2179" s="41"/>
      <c r="D2179" s="41"/>
      <c r="E2179" s="41"/>
      <c r="F2179" s="41"/>
    </row>
    <row r="2180">
      <c r="A2180" s="41"/>
      <c r="B2180" s="41"/>
      <c r="C2180" s="41"/>
      <c r="D2180" s="41"/>
      <c r="E2180" s="41"/>
      <c r="F2180" s="41"/>
    </row>
    <row r="2181">
      <c r="A2181" s="41"/>
      <c r="B2181" s="41"/>
      <c r="C2181" s="41"/>
      <c r="D2181" s="41"/>
      <c r="E2181" s="41"/>
      <c r="F2181" s="41"/>
    </row>
    <row r="2182">
      <c r="A2182" s="41"/>
      <c r="B2182" s="41"/>
      <c r="C2182" s="41"/>
      <c r="D2182" s="41"/>
      <c r="E2182" s="41"/>
      <c r="F2182" s="41"/>
    </row>
    <row r="2183">
      <c r="A2183" s="41"/>
      <c r="B2183" s="41"/>
      <c r="C2183" s="41"/>
      <c r="D2183" s="41"/>
      <c r="E2183" s="41"/>
      <c r="F2183" s="41"/>
    </row>
    <row r="2184">
      <c r="A2184" s="41"/>
      <c r="B2184" s="41"/>
      <c r="C2184" s="41"/>
      <c r="D2184" s="41"/>
      <c r="E2184" s="41"/>
      <c r="F2184" s="41"/>
    </row>
    <row r="2185">
      <c r="A2185" s="41"/>
      <c r="B2185" s="41"/>
      <c r="C2185" s="41"/>
      <c r="D2185" s="41"/>
      <c r="E2185" s="41"/>
      <c r="F2185" s="41"/>
    </row>
    <row r="2186">
      <c r="A2186" s="41"/>
      <c r="B2186" s="41"/>
      <c r="C2186" s="41"/>
      <c r="D2186" s="41"/>
      <c r="E2186" s="41"/>
      <c r="F2186" s="41"/>
    </row>
    <row r="2187">
      <c r="A2187" s="41"/>
      <c r="B2187" s="41"/>
      <c r="C2187" s="41"/>
      <c r="D2187" s="41"/>
      <c r="E2187" s="41"/>
      <c r="F2187" s="41"/>
    </row>
    <row r="2188">
      <c r="A2188" s="41"/>
      <c r="B2188" s="41"/>
      <c r="C2188" s="41"/>
      <c r="D2188" s="41"/>
      <c r="E2188" s="41"/>
      <c r="F2188" s="41"/>
    </row>
    <row r="2189">
      <c r="A2189" s="41"/>
      <c r="B2189" s="41"/>
      <c r="C2189" s="41"/>
      <c r="D2189" s="41"/>
      <c r="E2189" s="41"/>
      <c r="F2189" s="41"/>
    </row>
    <row r="2190">
      <c r="A2190" s="41"/>
      <c r="B2190" s="41"/>
      <c r="C2190" s="41"/>
      <c r="D2190" s="41"/>
      <c r="E2190" s="41"/>
      <c r="F2190" s="41"/>
    </row>
    <row r="2191">
      <c r="A2191" s="41"/>
      <c r="B2191" s="41"/>
      <c r="C2191" s="41"/>
      <c r="D2191" s="41"/>
      <c r="E2191" s="41"/>
      <c r="F2191" s="41"/>
    </row>
    <row r="2192">
      <c r="A2192" s="41"/>
      <c r="B2192" s="41"/>
      <c r="C2192" s="41"/>
      <c r="D2192" s="41"/>
      <c r="E2192" s="41"/>
      <c r="F2192" s="41"/>
    </row>
    <row r="2193">
      <c r="A2193" s="41"/>
      <c r="B2193" s="41"/>
      <c r="C2193" s="41"/>
      <c r="D2193" s="41"/>
      <c r="E2193" s="41"/>
      <c r="F2193" s="41"/>
    </row>
    <row r="2194">
      <c r="A2194" s="41"/>
      <c r="B2194" s="41"/>
      <c r="C2194" s="41"/>
      <c r="D2194" s="41"/>
      <c r="E2194" s="41"/>
      <c r="F2194" s="41"/>
    </row>
    <row r="2195">
      <c r="A2195" s="41"/>
      <c r="B2195" s="41"/>
      <c r="C2195" s="41"/>
      <c r="D2195" s="41"/>
      <c r="E2195" s="41"/>
      <c r="F2195" s="41"/>
    </row>
    <row r="2196">
      <c r="A2196" s="41"/>
      <c r="B2196" s="41"/>
      <c r="C2196" s="41"/>
      <c r="D2196" s="41"/>
      <c r="E2196" s="41"/>
      <c r="F2196" s="41"/>
    </row>
    <row r="2197">
      <c r="A2197" s="41"/>
      <c r="B2197" s="41"/>
      <c r="C2197" s="41"/>
      <c r="D2197" s="41"/>
      <c r="E2197" s="41"/>
      <c r="F2197" s="41"/>
    </row>
    <row r="2198">
      <c r="A2198" s="41"/>
      <c r="B2198" s="41"/>
      <c r="C2198" s="41"/>
      <c r="D2198" s="41"/>
      <c r="E2198" s="41"/>
      <c r="F2198" s="41"/>
    </row>
    <row r="2199">
      <c r="A2199" s="41"/>
      <c r="B2199" s="41"/>
      <c r="C2199" s="41"/>
      <c r="D2199" s="41"/>
      <c r="E2199" s="41"/>
      <c r="F2199" s="41"/>
    </row>
    <row r="2200">
      <c r="A2200" s="41"/>
      <c r="B2200" s="41"/>
      <c r="C2200" s="41"/>
      <c r="D2200" s="41"/>
      <c r="E2200" s="41"/>
      <c r="F2200" s="41"/>
    </row>
    <row r="2201">
      <c r="A2201" s="41"/>
      <c r="B2201" s="41"/>
      <c r="C2201" s="41"/>
      <c r="D2201" s="41"/>
      <c r="E2201" s="41"/>
      <c r="F2201" s="41"/>
    </row>
    <row r="2202">
      <c r="A2202" s="41"/>
      <c r="B2202" s="41"/>
      <c r="C2202" s="41"/>
      <c r="D2202" s="41"/>
      <c r="E2202" s="41"/>
      <c r="F2202" s="41"/>
    </row>
    <row r="2203">
      <c r="A2203" s="41"/>
      <c r="B2203" s="41"/>
      <c r="C2203" s="41"/>
      <c r="D2203" s="41"/>
      <c r="E2203" s="41"/>
      <c r="F2203" s="41"/>
    </row>
    <row r="2204">
      <c r="A2204" s="41"/>
      <c r="B2204" s="41"/>
      <c r="C2204" s="41"/>
      <c r="D2204" s="41"/>
      <c r="E2204" s="41"/>
      <c r="F2204" s="41"/>
    </row>
    <row r="2205">
      <c r="A2205" s="41"/>
      <c r="B2205" s="41"/>
      <c r="C2205" s="41"/>
      <c r="D2205" s="41"/>
      <c r="E2205" s="41"/>
      <c r="F2205" s="41"/>
    </row>
    <row r="2206">
      <c r="A2206" s="41"/>
      <c r="B2206" s="41"/>
      <c r="C2206" s="41"/>
      <c r="D2206" s="41"/>
      <c r="E2206" s="41"/>
      <c r="F2206" s="41"/>
    </row>
    <row r="2207">
      <c r="A2207" s="41"/>
      <c r="B2207" s="41"/>
      <c r="C2207" s="41"/>
      <c r="D2207" s="41"/>
      <c r="E2207" s="41"/>
      <c r="F2207" s="41"/>
    </row>
    <row r="2208">
      <c r="A2208" s="41"/>
      <c r="B2208" s="41"/>
      <c r="C2208" s="41"/>
      <c r="D2208" s="41"/>
      <c r="E2208" s="41"/>
      <c r="F2208" s="41"/>
    </row>
    <row r="2209">
      <c r="A2209" s="41"/>
      <c r="B2209" s="41"/>
      <c r="C2209" s="41"/>
      <c r="D2209" s="41"/>
      <c r="E2209" s="41"/>
      <c r="F2209" s="41"/>
    </row>
    <row r="2210">
      <c r="A2210" s="41"/>
      <c r="B2210" s="41"/>
      <c r="C2210" s="41"/>
      <c r="D2210" s="41"/>
      <c r="E2210" s="41"/>
      <c r="F2210" s="41"/>
    </row>
    <row r="2211">
      <c r="A2211" s="41"/>
      <c r="B2211" s="41"/>
      <c r="C2211" s="41"/>
      <c r="D2211" s="41"/>
      <c r="E2211" s="41"/>
      <c r="F2211" s="41"/>
    </row>
    <row r="2212">
      <c r="A2212" s="41"/>
      <c r="B2212" s="41"/>
      <c r="C2212" s="41"/>
      <c r="D2212" s="41"/>
      <c r="E2212" s="41"/>
      <c r="F2212" s="41"/>
    </row>
    <row r="2213">
      <c r="A2213" s="41"/>
      <c r="B2213" s="41"/>
      <c r="C2213" s="41"/>
      <c r="D2213" s="41"/>
      <c r="E2213" s="41"/>
      <c r="F2213" s="41"/>
    </row>
    <row r="2214">
      <c r="A2214" s="41"/>
      <c r="B2214" s="41"/>
      <c r="C2214" s="41"/>
      <c r="D2214" s="41"/>
      <c r="E2214" s="41"/>
      <c r="F2214" s="41"/>
    </row>
    <row r="2215">
      <c r="A2215" s="41"/>
      <c r="B2215" s="41"/>
      <c r="C2215" s="41"/>
      <c r="D2215" s="41"/>
      <c r="E2215" s="41"/>
      <c r="F2215" s="41"/>
    </row>
    <row r="2216">
      <c r="A2216" s="41"/>
      <c r="B2216" s="41"/>
      <c r="C2216" s="41"/>
      <c r="D2216" s="41"/>
      <c r="E2216" s="41"/>
      <c r="F2216" s="41"/>
    </row>
    <row r="2217">
      <c r="A2217" s="41"/>
      <c r="B2217" s="41"/>
      <c r="C2217" s="41"/>
      <c r="D2217" s="41"/>
      <c r="E2217" s="41"/>
      <c r="F2217" s="41"/>
    </row>
    <row r="2218">
      <c r="A2218" s="41"/>
      <c r="B2218" s="41"/>
      <c r="C2218" s="41"/>
      <c r="D2218" s="41"/>
      <c r="E2218" s="41"/>
      <c r="F2218" s="41"/>
    </row>
    <row r="2219">
      <c r="A2219" s="41"/>
      <c r="B2219" s="41"/>
      <c r="C2219" s="41"/>
      <c r="D2219" s="41"/>
      <c r="E2219" s="41"/>
      <c r="F2219" s="41"/>
    </row>
    <row r="2220">
      <c r="A2220" s="41"/>
      <c r="B2220" s="41"/>
      <c r="C2220" s="41"/>
      <c r="D2220" s="41"/>
      <c r="E2220" s="41"/>
      <c r="F2220" s="41"/>
    </row>
    <row r="2221">
      <c r="A2221" s="41"/>
      <c r="B2221" s="41"/>
      <c r="C2221" s="41"/>
      <c r="D2221" s="41"/>
      <c r="E2221" s="41"/>
      <c r="F2221" s="41"/>
    </row>
    <row r="2222">
      <c r="A2222" s="41"/>
      <c r="B2222" s="41"/>
      <c r="C2222" s="41"/>
      <c r="D2222" s="41"/>
      <c r="E2222" s="41"/>
      <c r="F2222" s="41"/>
    </row>
    <row r="2223">
      <c r="A2223" s="41"/>
      <c r="B2223" s="41"/>
      <c r="C2223" s="41"/>
      <c r="D2223" s="41"/>
      <c r="E2223" s="41"/>
      <c r="F2223" s="41"/>
    </row>
    <row r="2224">
      <c r="A2224" s="41"/>
      <c r="B2224" s="41"/>
      <c r="C2224" s="41"/>
      <c r="D2224" s="41"/>
      <c r="E2224" s="41"/>
      <c r="F2224" s="41"/>
    </row>
    <row r="2225">
      <c r="A2225" s="41"/>
      <c r="B2225" s="41"/>
      <c r="C2225" s="41"/>
      <c r="D2225" s="41"/>
      <c r="E2225" s="41"/>
      <c r="F2225" s="41"/>
    </row>
    <row r="2226">
      <c r="A2226" s="41"/>
      <c r="B2226" s="41"/>
      <c r="C2226" s="41"/>
      <c r="D2226" s="41"/>
      <c r="E2226" s="41"/>
      <c r="F2226" s="41"/>
    </row>
    <row r="2227">
      <c r="A2227" s="41"/>
      <c r="B2227" s="41"/>
      <c r="C2227" s="41"/>
      <c r="D2227" s="41"/>
      <c r="E2227" s="41"/>
      <c r="F2227" s="41"/>
    </row>
    <row r="2228">
      <c r="A2228" s="41"/>
      <c r="B2228" s="41"/>
      <c r="C2228" s="41"/>
      <c r="D2228" s="41"/>
      <c r="E2228" s="41"/>
      <c r="F2228" s="41"/>
    </row>
    <row r="2229">
      <c r="A2229" s="41"/>
      <c r="B2229" s="41"/>
      <c r="C2229" s="41"/>
      <c r="D2229" s="41"/>
      <c r="E2229" s="41"/>
      <c r="F2229" s="41"/>
    </row>
    <row r="2230">
      <c r="A2230" s="41"/>
      <c r="B2230" s="41"/>
      <c r="C2230" s="41"/>
      <c r="D2230" s="41"/>
      <c r="E2230" s="41"/>
      <c r="F2230" s="41"/>
    </row>
    <row r="2231">
      <c r="A2231" s="41"/>
      <c r="B2231" s="41"/>
      <c r="C2231" s="41"/>
      <c r="D2231" s="41"/>
      <c r="E2231" s="41"/>
      <c r="F2231" s="41"/>
    </row>
    <row r="2232">
      <c r="A2232" s="41"/>
      <c r="B2232" s="41"/>
      <c r="C2232" s="41"/>
      <c r="D2232" s="41"/>
      <c r="E2232" s="41"/>
      <c r="F2232" s="41"/>
    </row>
    <row r="2233">
      <c r="A2233" s="41"/>
      <c r="B2233" s="41"/>
      <c r="C2233" s="41"/>
      <c r="D2233" s="41"/>
      <c r="E2233" s="41"/>
      <c r="F2233" s="41"/>
    </row>
    <row r="2234">
      <c r="A2234" s="41"/>
      <c r="B2234" s="41"/>
      <c r="C2234" s="41"/>
      <c r="D2234" s="41"/>
      <c r="E2234" s="41"/>
      <c r="F2234" s="41"/>
    </row>
    <row r="2235">
      <c r="A2235" s="41"/>
      <c r="B2235" s="41"/>
      <c r="C2235" s="41"/>
      <c r="D2235" s="41"/>
      <c r="E2235" s="41"/>
      <c r="F2235" s="41"/>
    </row>
    <row r="2236">
      <c r="A2236" s="41"/>
      <c r="B2236" s="41"/>
      <c r="C2236" s="41"/>
      <c r="D2236" s="41"/>
      <c r="E2236" s="41"/>
      <c r="F2236" s="41"/>
    </row>
    <row r="2237">
      <c r="A2237" s="41"/>
      <c r="B2237" s="41"/>
      <c r="C2237" s="41"/>
      <c r="D2237" s="41"/>
      <c r="E2237" s="41"/>
      <c r="F2237" s="41"/>
    </row>
    <row r="2238">
      <c r="A2238" s="41"/>
      <c r="B2238" s="41"/>
      <c r="C2238" s="41"/>
      <c r="D2238" s="41"/>
      <c r="E2238" s="41"/>
      <c r="F2238" s="41"/>
    </row>
    <row r="2239">
      <c r="A2239" s="41"/>
      <c r="B2239" s="41"/>
      <c r="C2239" s="41"/>
      <c r="D2239" s="41"/>
      <c r="E2239" s="41"/>
      <c r="F2239" s="41"/>
    </row>
    <row r="2240">
      <c r="A2240" s="41"/>
      <c r="B2240" s="41"/>
      <c r="C2240" s="41"/>
      <c r="D2240" s="41"/>
      <c r="E2240" s="41"/>
      <c r="F2240" s="41"/>
    </row>
    <row r="2241">
      <c r="A2241" s="41"/>
      <c r="B2241" s="41"/>
      <c r="C2241" s="41"/>
      <c r="D2241" s="41"/>
      <c r="E2241" s="41"/>
      <c r="F2241" s="41"/>
    </row>
    <row r="2242">
      <c r="A2242" s="41"/>
      <c r="B2242" s="41"/>
      <c r="C2242" s="41"/>
      <c r="D2242" s="41"/>
      <c r="E2242" s="41"/>
      <c r="F2242" s="41"/>
    </row>
    <row r="2243">
      <c r="A2243" s="41"/>
      <c r="B2243" s="41"/>
      <c r="C2243" s="41"/>
      <c r="D2243" s="41"/>
      <c r="E2243" s="41"/>
      <c r="F2243" s="41"/>
    </row>
    <row r="2244">
      <c r="A2244" s="41"/>
      <c r="B2244" s="41"/>
      <c r="C2244" s="41"/>
      <c r="D2244" s="41"/>
      <c r="E2244" s="41"/>
      <c r="F2244" s="41"/>
    </row>
    <row r="2245">
      <c r="A2245" s="41"/>
      <c r="B2245" s="41"/>
      <c r="C2245" s="41"/>
      <c r="D2245" s="41"/>
      <c r="E2245" s="41"/>
      <c r="F2245" s="41"/>
    </row>
    <row r="2246">
      <c r="A2246" s="41"/>
      <c r="B2246" s="41"/>
      <c r="C2246" s="41"/>
      <c r="D2246" s="41"/>
      <c r="E2246" s="41"/>
      <c r="F2246" s="41"/>
    </row>
    <row r="2247">
      <c r="A2247" s="41"/>
      <c r="B2247" s="41"/>
      <c r="C2247" s="41"/>
      <c r="D2247" s="41"/>
      <c r="E2247" s="41"/>
      <c r="F2247" s="41"/>
    </row>
    <row r="2248">
      <c r="A2248" s="41"/>
      <c r="B2248" s="41"/>
      <c r="C2248" s="41"/>
      <c r="D2248" s="41"/>
      <c r="E2248" s="41"/>
      <c r="F2248" s="41"/>
    </row>
    <row r="2249">
      <c r="A2249" s="41"/>
      <c r="B2249" s="41"/>
      <c r="C2249" s="41"/>
      <c r="D2249" s="41"/>
      <c r="E2249" s="41"/>
      <c r="F2249" s="41"/>
    </row>
    <row r="2250">
      <c r="A2250" s="41"/>
      <c r="B2250" s="41"/>
      <c r="C2250" s="41"/>
      <c r="D2250" s="41"/>
      <c r="E2250" s="41"/>
      <c r="F2250" s="41"/>
    </row>
    <row r="2251">
      <c r="A2251" s="41"/>
      <c r="B2251" s="41"/>
      <c r="C2251" s="41"/>
      <c r="D2251" s="41"/>
      <c r="E2251" s="41"/>
      <c r="F2251" s="41"/>
    </row>
    <row r="2252">
      <c r="A2252" s="41"/>
      <c r="B2252" s="41"/>
      <c r="C2252" s="41"/>
      <c r="D2252" s="41"/>
      <c r="E2252" s="41"/>
      <c r="F2252" s="41"/>
    </row>
    <row r="2253">
      <c r="A2253" s="41"/>
      <c r="B2253" s="41"/>
      <c r="C2253" s="41"/>
      <c r="D2253" s="41"/>
      <c r="E2253" s="41"/>
      <c r="F2253" s="41"/>
    </row>
    <row r="2254">
      <c r="A2254" s="41"/>
      <c r="B2254" s="41"/>
      <c r="C2254" s="41"/>
      <c r="D2254" s="41"/>
      <c r="E2254" s="41"/>
      <c r="F2254" s="41"/>
    </row>
    <row r="2255">
      <c r="A2255" s="41"/>
      <c r="B2255" s="41"/>
      <c r="C2255" s="41"/>
      <c r="D2255" s="41"/>
      <c r="E2255" s="41"/>
      <c r="F2255" s="41"/>
    </row>
    <row r="2256">
      <c r="A2256" s="41"/>
      <c r="B2256" s="41"/>
      <c r="C2256" s="41"/>
      <c r="D2256" s="41"/>
      <c r="E2256" s="41"/>
      <c r="F2256" s="41"/>
    </row>
    <row r="2257">
      <c r="A2257" s="41"/>
      <c r="B2257" s="41"/>
      <c r="C2257" s="41"/>
      <c r="D2257" s="41"/>
      <c r="E2257" s="41"/>
      <c r="F2257" s="41"/>
    </row>
    <row r="2258">
      <c r="A2258" s="41"/>
      <c r="B2258" s="41"/>
      <c r="C2258" s="41"/>
      <c r="D2258" s="41"/>
      <c r="E2258" s="41"/>
      <c r="F2258" s="41"/>
    </row>
    <row r="2259">
      <c r="A2259" s="41"/>
      <c r="B2259" s="41"/>
      <c r="C2259" s="41"/>
      <c r="D2259" s="41"/>
      <c r="E2259" s="41"/>
      <c r="F2259" s="41"/>
    </row>
    <row r="2260">
      <c r="A2260" s="41"/>
      <c r="B2260" s="41"/>
      <c r="C2260" s="41"/>
      <c r="D2260" s="41"/>
      <c r="E2260" s="41"/>
      <c r="F2260" s="41"/>
    </row>
    <row r="2261">
      <c r="A2261" s="41"/>
      <c r="B2261" s="41"/>
      <c r="C2261" s="41"/>
      <c r="D2261" s="41"/>
      <c r="E2261" s="41"/>
      <c r="F2261" s="41"/>
    </row>
    <row r="2262">
      <c r="A2262" s="41"/>
      <c r="B2262" s="41"/>
      <c r="C2262" s="41"/>
      <c r="D2262" s="41"/>
      <c r="E2262" s="41"/>
      <c r="F2262" s="41"/>
    </row>
    <row r="2263">
      <c r="A2263" s="41"/>
      <c r="B2263" s="41"/>
      <c r="C2263" s="41"/>
      <c r="D2263" s="41"/>
      <c r="E2263" s="41"/>
      <c r="F2263" s="41"/>
    </row>
    <row r="2264">
      <c r="A2264" s="41"/>
      <c r="B2264" s="41"/>
      <c r="C2264" s="41"/>
      <c r="D2264" s="41"/>
      <c r="E2264" s="41"/>
      <c r="F2264" s="41"/>
    </row>
    <row r="2265">
      <c r="A2265" s="41"/>
      <c r="B2265" s="41"/>
      <c r="C2265" s="41"/>
      <c r="D2265" s="41"/>
      <c r="E2265" s="41"/>
      <c r="F2265" s="41"/>
    </row>
    <row r="2266">
      <c r="A2266" s="41"/>
      <c r="B2266" s="41"/>
      <c r="C2266" s="41"/>
      <c r="D2266" s="41"/>
      <c r="E2266" s="41"/>
      <c r="F2266" s="41"/>
    </row>
    <row r="2267">
      <c r="A2267" s="41"/>
      <c r="B2267" s="41"/>
      <c r="C2267" s="41"/>
      <c r="D2267" s="41"/>
      <c r="E2267" s="41"/>
      <c r="F2267" s="41"/>
    </row>
    <row r="2268">
      <c r="A2268" s="41"/>
      <c r="B2268" s="41"/>
      <c r="C2268" s="41"/>
      <c r="D2268" s="41"/>
      <c r="E2268" s="41"/>
      <c r="F2268" s="41"/>
    </row>
    <row r="2269">
      <c r="A2269" s="41"/>
      <c r="B2269" s="41"/>
      <c r="C2269" s="41"/>
      <c r="D2269" s="41"/>
      <c r="E2269" s="41"/>
      <c r="F2269" s="41"/>
    </row>
    <row r="2270">
      <c r="A2270" s="41"/>
      <c r="B2270" s="41"/>
      <c r="C2270" s="41"/>
      <c r="D2270" s="41"/>
      <c r="E2270" s="41"/>
      <c r="F2270" s="41"/>
    </row>
    <row r="2271">
      <c r="A2271" s="41"/>
      <c r="B2271" s="41"/>
      <c r="C2271" s="41"/>
      <c r="D2271" s="41"/>
      <c r="E2271" s="41"/>
      <c r="F2271" s="41"/>
    </row>
    <row r="2272">
      <c r="A2272" s="41"/>
      <c r="B2272" s="41"/>
      <c r="C2272" s="41"/>
      <c r="D2272" s="41"/>
      <c r="E2272" s="41"/>
      <c r="F2272" s="41"/>
    </row>
    <row r="2273">
      <c r="A2273" s="41"/>
      <c r="B2273" s="41"/>
      <c r="C2273" s="41"/>
      <c r="D2273" s="41"/>
      <c r="E2273" s="41"/>
      <c r="F2273" s="41"/>
    </row>
    <row r="2274">
      <c r="A2274" s="41"/>
      <c r="B2274" s="41"/>
      <c r="C2274" s="41"/>
      <c r="D2274" s="41"/>
      <c r="E2274" s="41"/>
      <c r="F2274" s="41"/>
    </row>
    <row r="2275">
      <c r="A2275" s="41"/>
      <c r="B2275" s="41"/>
      <c r="C2275" s="41"/>
      <c r="D2275" s="41"/>
      <c r="E2275" s="41"/>
      <c r="F2275" s="41"/>
    </row>
    <row r="2276">
      <c r="A2276" s="41"/>
      <c r="B2276" s="41"/>
      <c r="C2276" s="41"/>
      <c r="D2276" s="41"/>
      <c r="E2276" s="41"/>
      <c r="F2276" s="41"/>
    </row>
    <row r="2277">
      <c r="A2277" s="41"/>
      <c r="B2277" s="41"/>
      <c r="C2277" s="41"/>
      <c r="D2277" s="41"/>
      <c r="E2277" s="41"/>
      <c r="F2277" s="41"/>
    </row>
    <row r="2278">
      <c r="A2278" s="41"/>
      <c r="B2278" s="41"/>
      <c r="C2278" s="41"/>
      <c r="D2278" s="41"/>
      <c r="E2278" s="41"/>
      <c r="F2278" s="41"/>
    </row>
    <row r="2279">
      <c r="A2279" s="41"/>
      <c r="B2279" s="41"/>
      <c r="C2279" s="41"/>
      <c r="D2279" s="41"/>
      <c r="E2279" s="41"/>
      <c r="F2279" s="41"/>
    </row>
    <row r="2280">
      <c r="A2280" s="41"/>
      <c r="B2280" s="41"/>
      <c r="C2280" s="41"/>
      <c r="D2280" s="41"/>
      <c r="E2280" s="41"/>
      <c r="F2280" s="41"/>
    </row>
    <row r="2281">
      <c r="A2281" s="41"/>
      <c r="B2281" s="41"/>
      <c r="C2281" s="41"/>
      <c r="D2281" s="41"/>
      <c r="E2281" s="41"/>
      <c r="F2281" s="41"/>
    </row>
    <row r="2282">
      <c r="A2282" s="41"/>
      <c r="B2282" s="41"/>
      <c r="C2282" s="41"/>
      <c r="D2282" s="41"/>
      <c r="E2282" s="41"/>
      <c r="F2282" s="41"/>
    </row>
    <row r="2283">
      <c r="A2283" s="41"/>
      <c r="B2283" s="41"/>
      <c r="C2283" s="41"/>
      <c r="D2283" s="41"/>
      <c r="E2283" s="41"/>
      <c r="F2283" s="41"/>
    </row>
    <row r="2284">
      <c r="A2284" s="41"/>
      <c r="B2284" s="41"/>
      <c r="C2284" s="41"/>
      <c r="D2284" s="41"/>
      <c r="E2284" s="41"/>
      <c r="F2284" s="41"/>
    </row>
    <row r="2285">
      <c r="A2285" s="41"/>
      <c r="B2285" s="41"/>
      <c r="C2285" s="41"/>
      <c r="D2285" s="41"/>
      <c r="E2285" s="41"/>
      <c r="F2285" s="41"/>
    </row>
    <row r="2286">
      <c r="A2286" s="41"/>
      <c r="B2286" s="41"/>
      <c r="C2286" s="41"/>
      <c r="D2286" s="41"/>
      <c r="E2286" s="41"/>
      <c r="F2286" s="41"/>
    </row>
    <row r="2287">
      <c r="A2287" s="41"/>
      <c r="B2287" s="41"/>
      <c r="C2287" s="41"/>
      <c r="D2287" s="41"/>
      <c r="E2287" s="41"/>
      <c r="F2287" s="41"/>
    </row>
    <row r="2288">
      <c r="A2288" s="41"/>
      <c r="B2288" s="41"/>
      <c r="C2288" s="41"/>
      <c r="D2288" s="41"/>
      <c r="E2288" s="41"/>
      <c r="F2288" s="41"/>
    </row>
    <row r="2289">
      <c r="A2289" s="41"/>
      <c r="B2289" s="41"/>
      <c r="C2289" s="41"/>
      <c r="D2289" s="41"/>
      <c r="E2289" s="41"/>
      <c r="F2289" s="41"/>
    </row>
    <row r="2290">
      <c r="A2290" s="41"/>
      <c r="B2290" s="41"/>
      <c r="C2290" s="41"/>
      <c r="D2290" s="41"/>
      <c r="E2290" s="41"/>
      <c r="F2290" s="41"/>
    </row>
    <row r="2291">
      <c r="A2291" s="41"/>
      <c r="B2291" s="41"/>
      <c r="C2291" s="41"/>
      <c r="D2291" s="41"/>
      <c r="E2291" s="41"/>
      <c r="F2291" s="41"/>
    </row>
    <row r="2292">
      <c r="A2292" s="41"/>
      <c r="B2292" s="41"/>
      <c r="C2292" s="41"/>
      <c r="D2292" s="41"/>
      <c r="E2292" s="41"/>
      <c r="F2292" s="41"/>
    </row>
    <row r="2293">
      <c r="A2293" s="41"/>
      <c r="B2293" s="41"/>
      <c r="C2293" s="41"/>
      <c r="D2293" s="41"/>
      <c r="E2293" s="41"/>
      <c r="F2293" s="41"/>
    </row>
    <row r="2294">
      <c r="A2294" s="41"/>
      <c r="B2294" s="41"/>
      <c r="C2294" s="41"/>
      <c r="D2294" s="41"/>
      <c r="E2294" s="41"/>
      <c r="F2294" s="41"/>
    </row>
    <row r="2295">
      <c r="A2295" s="41"/>
      <c r="B2295" s="41"/>
      <c r="C2295" s="41"/>
      <c r="D2295" s="41"/>
      <c r="E2295" s="41"/>
      <c r="F2295" s="41"/>
    </row>
    <row r="2296">
      <c r="A2296" s="41"/>
      <c r="B2296" s="41"/>
      <c r="C2296" s="41"/>
      <c r="D2296" s="41"/>
      <c r="E2296" s="41"/>
      <c r="F2296" s="41"/>
    </row>
    <row r="2297">
      <c r="A2297" s="41"/>
      <c r="B2297" s="41"/>
      <c r="C2297" s="41"/>
      <c r="D2297" s="41"/>
      <c r="E2297" s="41"/>
      <c r="F2297" s="41"/>
    </row>
    <row r="2298">
      <c r="A2298" s="41"/>
      <c r="B2298" s="41"/>
      <c r="C2298" s="41"/>
      <c r="D2298" s="41"/>
      <c r="E2298" s="41"/>
      <c r="F2298" s="41"/>
    </row>
    <row r="2299">
      <c r="A2299" s="41"/>
      <c r="B2299" s="41"/>
      <c r="C2299" s="41"/>
      <c r="D2299" s="41"/>
      <c r="E2299" s="41"/>
      <c r="F2299" s="41"/>
    </row>
    <row r="2300">
      <c r="A2300" s="41"/>
      <c r="B2300" s="41"/>
      <c r="C2300" s="41"/>
      <c r="D2300" s="41"/>
      <c r="E2300" s="41"/>
      <c r="F2300" s="41"/>
    </row>
    <row r="2301">
      <c r="A2301" s="41"/>
      <c r="B2301" s="41"/>
      <c r="C2301" s="41"/>
      <c r="D2301" s="41"/>
      <c r="E2301" s="41"/>
      <c r="F2301" s="41"/>
    </row>
    <row r="2302">
      <c r="A2302" s="41"/>
      <c r="B2302" s="41"/>
      <c r="C2302" s="41"/>
      <c r="D2302" s="41"/>
      <c r="E2302" s="41"/>
      <c r="F2302" s="41"/>
    </row>
    <row r="2303">
      <c r="A2303" s="41"/>
      <c r="B2303" s="41"/>
      <c r="C2303" s="41"/>
      <c r="D2303" s="41"/>
      <c r="E2303" s="41"/>
      <c r="F2303" s="41"/>
    </row>
    <row r="2304">
      <c r="A2304" s="41"/>
      <c r="B2304" s="41"/>
      <c r="C2304" s="41"/>
      <c r="D2304" s="41"/>
      <c r="E2304" s="41"/>
      <c r="F2304" s="41"/>
    </row>
    <row r="2305">
      <c r="A2305" s="41"/>
      <c r="B2305" s="41"/>
      <c r="C2305" s="41"/>
      <c r="D2305" s="41"/>
      <c r="E2305" s="41"/>
      <c r="F2305" s="41"/>
    </row>
    <row r="2306">
      <c r="A2306" s="41"/>
      <c r="B2306" s="41"/>
      <c r="C2306" s="41"/>
      <c r="D2306" s="41"/>
      <c r="E2306" s="41"/>
      <c r="F2306" s="41"/>
    </row>
    <row r="2307">
      <c r="A2307" s="41"/>
      <c r="B2307" s="41"/>
      <c r="C2307" s="41"/>
      <c r="D2307" s="41"/>
      <c r="E2307" s="41"/>
      <c r="F2307" s="41"/>
    </row>
    <row r="2308">
      <c r="A2308" s="41"/>
      <c r="B2308" s="41"/>
      <c r="C2308" s="41"/>
      <c r="D2308" s="41"/>
      <c r="E2308" s="41"/>
      <c r="F2308" s="41"/>
    </row>
    <row r="2309">
      <c r="A2309" s="41"/>
      <c r="B2309" s="41"/>
      <c r="C2309" s="41"/>
      <c r="D2309" s="41"/>
      <c r="E2309" s="41"/>
      <c r="F2309" s="41"/>
    </row>
    <row r="2310">
      <c r="A2310" s="41"/>
      <c r="B2310" s="41"/>
      <c r="C2310" s="41"/>
      <c r="D2310" s="41"/>
      <c r="E2310" s="41"/>
      <c r="F2310" s="41"/>
    </row>
    <row r="2311">
      <c r="A2311" s="41"/>
      <c r="B2311" s="41"/>
      <c r="C2311" s="41"/>
      <c r="D2311" s="41"/>
      <c r="E2311" s="41"/>
      <c r="F2311" s="41"/>
    </row>
    <row r="2312">
      <c r="A2312" s="41"/>
      <c r="B2312" s="41"/>
      <c r="C2312" s="41"/>
      <c r="D2312" s="41"/>
      <c r="E2312" s="41"/>
      <c r="F2312" s="41"/>
    </row>
    <row r="2313">
      <c r="A2313" s="41"/>
      <c r="B2313" s="41"/>
      <c r="C2313" s="41"/>
      <c r="D2313" s="41"/>
      <c r="E2313" s="41"/>
      <c r="F2313" s="41"/>
    </row>
    <row r="2314">
      <c r="A2314" s="41"/>
      <c r="B2314" s="41"/>
      <c r="C2314" s="41"/>
      <c r="D2314" s="41"/>
      <c r="E2314" s="41"/>
      <c r="F2314" s="41"/>
    </row>
    <row r="2315">
      <c r="A2315" s="41"/>
      <c r="B2315" s="41"/>
      <c r="C2315" s="41"/>
      <c r="D2315" s="41"/>
      <c r="E2315" s="41"/>
      <c r="F2315" s="41"/>
    </row>
    <row r="2316">
      <c r="A2316" s="41"/>
      <c r="B2316" s="41"/>
      <c r="C2316" s="41"/>
      <c r="D2316" s="41"/>
      <c r="E2316" s="41"/>
      <c r="F2316" s="41"/>
    </row>
    <row r="2317">
      <c r="A2317" s="41"/>
      <c r="B2317" s="41"/>
      <c r="C2317" s="41"/>
      <c r="D2317" s="41"/>
      <c r="E2317" s="41"/>
      <c r="F2317" s="41"/>
    </row>
    <row r="2318">
      <c r="A2318" s="41"/>
      <c r="B2318" s="41"/>
      <c r="C2318" s="41"/>
      <c r="D2318" s="41"/>
      <c r="E2318" s="41"/>
      <c r="F2318" s="41"/>
    </row>
    <row r="2319">
      <c r="A2319" s="41"/>
      <c r="B2319" s="41"/>
      <c r="C2319" s="41"/>
      <c r="D2319" s="41"/>
      <c r="E2319" s="41"/>
      <c r="F2319" s="41"/>
    </row>
    <row r="2320">
      <c r="A2320" s="41"/>
      <c r="B2320" s="41"/>
      <c r="C2320" s="41"/>
      <c r="D2320" s="41"/>
      <c r="E2320" s="41"/>
      <c r="F2320" s="41"/>
    </row>
    <row r="2321">
      <c r="A2321" s="41"/>
      <c r="B2321" s="41"/>
      <c r="C2321" s="41"/>
      <c r="D2321" s="41"/>
      <c r="E2321" s="41"/>
      <c r="F2321" s="41"/>
    </row>
    <row r="2322">
      <c r="A2322" s="41"/>
      <c r="B2322" s="41"/>
      <c r="C2322" s="41"/>
      <c r="D2322" s="41"/>
      <c r="E2322" s="41"/>
      <c r="F2322" s="41"/>
    </row>
    <row r="2323">
      <c r="A2323" s="41"/>
      <c r="B2323" s="41"/>
      <c r="C2323" s="41"/>
      <c r="D2323" s="41"/>
      <c r="E2323" s="41"/>
      <c r="F2323" s="41"/>
    </row>
    <row r="2324">
      <c r="A2324" s="41"/>
      <c r="B2324" s="41"/>
      <c r="C2324" s="41"/>
      <c r="D2324" s="41"/>
      <c r="E2324" s="41"/>
      <c r="F2324" s="41"/>
    </row>
    <row r="2325">
      <c r="A2325" s="41"/>
      <c r="B2325" s="41"/>
      <c r="C2325" s="41"/>
      <c r="D2325" s="41"/>
      <c r="E2325" s="41"/>
      <c r="F2325" s="41"/>
    </row>
    <row r="2326">
      <c r="A2326" s="41"/>
      <c r="B2326" s="41"/>
      <c r="C2326" s="41"/>
      <c r="D2326" s="41"/>
      <c r="E2326" s="41"/>
      <c r="F2326" s="41"/>
    </row>
    <row r="2327">
      <c r="A2327" s="41"/>
      <c r="B2327" s="41"/>
      <c r="C2327" s="41"/>
      <c r="D2327" s="41"/>
      <c r="E2327" s="41"/>
      <c r="F2327" s="41"/>
    </row>
    <row r="2328">
      <c r="A2328" s="41"/>
      <c r="B2328" s="41"/>
      <c r="C2328" s="41"/>
      <c r="D2328" s="41"/>
      <c r="E2328" s="41"/>
      <c r="F2328" s="41"/>
    </row>
    <row r="2329">
      <c r="A2329" s="41"/>
      <c r="B2329" s="41"/>
      <c r="C2329" s="41"/>
      <c r="D2329" s="41"/>
      <c r="E2329" s="41"/>
      <c r="F2329" s="41"/>
    </row>
    <row r="2330">
      <c r="A2330" s="41"/>
      <c r="B2330" s="41"/>
      <c r="C2330" s="41"/>
      <c r="D2330" s="41"/>
      <c r="E2330" s="41"/>
      <c r="F2330" s="41"/>
    </row>
    <row r="2331">
      <c r="A2331" s="41"/>
      <c r="B2331" s="41"/>
      <c r="C2331" s="41"/>
      <c r="D2331" s="41"/>
      <c r="E2331" s="41"/>
      <c r="F2331" s="41"/>
    </row>
    <row r="2332">
      <c r="A2332" s="41"/>
      <c r="B2332" s="41"/>
      <c r="C2332" s="41"/>
      <c r="D2332" s="41"/>
      <c r="E2332" s="41"/>
      <c r="F2332" s="41"/>
    </row>
    <row r="2333">
      <c r="A2333" s="41"/>
      <c r="B2333" s="41"/>
      <c r="C2333" s="41"/>
      <c r="D2333" s="41"/>
      <c r="E2333" s="41"/>
      <c r="F2333" s="41"/>
    </row>
    <row r="2334">
      <c r="A2334" s="41"/>
      <c r="B2334" s="41"/>
      <c r="C2334" s="41"/>
      <c r="D2334" s="41"/>
      <c r="E2334" s="41"/>
      <c r="F2334" s="41"/>
    </row>
    <row r="2335">
      <c r="A2335" s="41"/>
      <c r="B2335" s="41"/>
      <c r="C2335" s="41"/>
      <c r="D2335" s="41"/>
      <c r="E2335" s="41"/>
      <c r="F2335" s="41"/>
    </row>
    <row r="2336">
      <c r="A2336" s="41"/>
      <c r="B2336" s="41"/>
      <c r="C2336" s="41"/>
      <c r="D2336" s="41"/>
      <c r="E2336" s="41"/>
      <c r="F2336" s="41"/>
    </row>
    <row r="2337">
      <c r="A2337" s="41"/>
      <c r="B2337" s="41"/>
      <c r="C2337" s="41"/>
      <c r="D2337" s="41"/>
      <c r="E2337" s="41"/>
      <c r="F2337" s="41"/>
    </row>
    <row r="2338">
      <c r="A2338" s="41"/>
      <c r="B2338" s="41"/>
      <c r="C2338" s="41"/>
      <c r="D2338" s="41"/>
      <c r="E2338" s="41"/>
      <c r="F2338" s="41"/>
    </row>
    <row r="2339">
      <c r="A2339" s="41"/>
      <c r="B2339" s="41"/>
      <c r="C2339" s="41"/>
      <c r="D2339" s="41"/>
      <c r="E2339" s="41"/>
      <c r="F2339" s="41"/>
    </row>
    <row r="2340">
      <c r="A2340" s="41"/>
      <c r="B2340" s="41"/>
      <c r="C2340" s="41"/>
      <c r="D2340" s="41"/>
      <c r="E2340" s="41"/>
      <c r="F2340" s="41"/>
    </row>
    <row r="2341">
      <c r="A2341" s="41"/>
      <c r="B2341" s="41"/>
      <c r="C2341" s="41"/>
      <c r="D2341" s="41"/>
      <c r="E2341" s="41"/>
      <c r="F2341" s="41"/>
    </row>
    <row r="2342">
      <c r="A2342" s="41"/>
      <c r="B2342" s="41"/>
      <c r="C2342" s="41"/>
      <c r="D2342" s="41"/>
      <c r="E2342" s="41"/>
      <c r="F2342" s="41"/>
    </row>
    <row r="2343">
      <c r="A2343" s="41"/>
      <c r="B2343" s="41"/>
      <c r="C2343" s="41"/>
      <c r="D2343" s="41"/>
      <c r="E2343" s="41"/>
      <c r="F2343" s="41"/>
    </row>
    <row r="2344">
      <c r="A2344" s="41"/>
      <c r="B2344" s="41"/>
      <c r="C2344" s="41"/>
      <c r="D2344" s="41"/>
      <c r="E2344" s="41"/>
      <c r="F2344" s="41"/>
    </row>
    <row r="2345">
      <c r="A2345" s="41"/>
      <c r="B2345" s="41"/>
      <c r="C2345" s="41"/>
      <c r="D2345" s="41"/>
      <c r="E2345" s="41"/>
      <c r="F2345" s="41"/>
    </row>
    <row r="2346">
      <c r="A2346" s="41"/>
      <c r="B2346" s="41"/>
      <c r="C2346" s="41"/>
      <c r="D2346" s="41"/>
      <c r="E2346" s="41"/>
      <c r="F2346" s="41"/>
    </row>
    <row r="2347">
      <c r="A2347" s="41"/>
      <c r="B2347" s="41"/>
      <c r="C2347" s="41"/>
      <c r="D2347" s="41"/>
      <c r="E2347" s="41"/>
      <c r="F2347" s="41"/>
    </row>
    <row r="2348">
      <c r="A2348" s="41"/>
      <c r="B2348" s="41"/>
      <c r="C2348" s="41"/>
      <c r="D2348" s="41"/>
      <c r="E2348" s="41"/>
      <c r="F2348" s="41"/>
    </row>
    <row r="2349">
      <c r="A2349" s="41"/>
      <c r="B2349" s="41"/>
      <c r="C2349" s="41"/>
      <c r="D2349" s="41"/>
      <c r="E2349" s="41"/>
      <c r="F2349" s="41"/>
    </row>
    <row r="2350">
      <c r="A2350" s="41"/>
      <c r="B2350" s="41"/>
      <c r="C2350" s="41"/>
      <c r="D2350" s="41"/>
      <c r="E2350" s="41"/>
      <c r="F2350" s="41"/>
    </row>
    <row r="2351">
      <c r="A2351" s="41"/>
      <c r="B2351" s="41"/>
      <c r="C2351" s="41"/>
      <c r="D2351" s="41"/>
      <c r="E2351" s="41"/>
      <c r="F2351" s="41"/>
    </row>
    <row r="2352">
      <c r="A2352" s="41"/>
      <c r="B2352" s="41"/>
      <c r="C2352" s="41"/>
      <c r="D2352" s="41"/>
      <c r="E2352" s="41"/>
      <c r="F2352" s="41"/>
    </row>
    <row r="2353">
      <c r="A2353" s="41"/>
      <c r="B2353" s="41"/>
      <c r="C2353" s="41"/>
      <c r="D2353" s="41"/>
      <c r="E2353" s="41"/>
      <c r="F2353" s="41"/>
    </row>
    <row r="2354">
      <c r="A2354" s="41"/>
      <c r="B2354" s="41"/>
      <c r="C2354" s="41"/>
      <c r="D2354" s="41"/>
      <c r="E2354" s="41"/>
      <c r="F2354" s="41"/>
    </row>
    <row r="2355">
      <c r="A2355" s="41"/>
      <c r="B2355" s="41"/>
      <c r="C2355" s="41"/>
      <c r="D2355" s="41"/>
      <c r="E2355" s="41"/>
      <c r="F2355" s="41"/>
    </row>
    <row r="2356">
      <c r="A2356" s="41"/>
      <c r="B2356" s="41"/>
      <c r="C2356" s="41"/>
      <c r="D2356" s="41"/>
      <c r="E2356" s="41"/>
      <c r="F2356" s="41"/>
    </row>
    <row r="2357">
      <c r="A2357" s="41"/>
      <c r="B2357" s="41"/>
      <c r="C2357" s="41"/>
      <c r="D2357" s="41"/>
      <c r="E2357" s="41"/>
      <c r="F2357" s="41"/>
    </row>
    <row r="2358">
      <c r="A2358" s="41"/>
      <c r="B2358" s="41"/>
      <c r="C2358" s="41"/>
      <c r="D2358" s="41"/>
      <c r="E2358" s="41"/>
      <c r="F2358" s="41"/>
    </row>
    <row r="2359">
      <c r="A2359" s="41"/>
      <c r="B2359" s="41"/>
      <c r="C2359" s="41"/>
      <c r="D2359" s="41"/>
      <c r="E2359" s="41"/>
      <c r="F2359" s="41"/>
    </row>
    <row r="2360">
      <c r="A2360" s="41"/>
      <c r="B2360" s="41"/>
      <c r="C2360" s="41"/>
      <c r="D2360" s="41"/>
      <c r="E2360" s="41"/>
      <c r="F2360" s="41"/>
    </row>
    <row r="2361">
      <c r="A2361" s="41"/>
      <c r="B2361" s="41"/>
      <c r="C2361" s="41"/>
      <c r="D2361" s="41"/>
      <c r="E2361" s="41"/>
      <c r="F2361" s="41"/>
    </row>
    <row r="2362">
      <c r="A2362" s="41"/>
      <c r="B2362" s="41"/>
      <c r="C2362" s="41"/>
      <c r="D2362" s="41"/>
      <c r="E2362" s="41"/>
      <c r="F2362" s="41"/>
    </row>
    <row r="2363">
      <c r="A2363" s="41"/>
      <c r="B2363" s="41"/>
      <c r="C2363" s="41"/>
      <c r="D2363" s="41"/>
      <c r="E2363" s="41"/>
      <c r="F2363" s="41"/>
    </row>
    <row r="2364">
      <c r="A2364" s="41"/>
      <c r="B2364" s="41"/>
      <c r="C2364" s="41"/>
      <c r="D2364" s="41"/>
      <c r="E2364" s="41"/>
      <c r="F2364" s="41"/>
    </row>
    <row r="2365">
      <c r="A2365" s="41"/>
      <c r="B2365" s="41"/>
      <c r="C2365" s="41"/>
      <c r="D2365" s="41"/>
      <c r="E2365" s="41"/>
      <c r="F2365" s="41"/>
    </row>
    <row r="2366">
      <c r="A2366" s="41"/>
      <c r="B2366" s="41"/>
      <c r="C2366" s="41"/>
      <c r="D2366" s="41"/>
      <c r="E2366" s="41"/>
      <c r="F2366" s="41"/>
    </row>
    <row r="2367">
      <c r="A2367" s="41"/>
      <c r="B2367" s="41"/>
      <c r="C2367" s="41"/>
      <c r="D2367" s="41"/>
      <c r="E2367" s="41"/>
      <c r="F2367" s="41"/>
    </row>
    <row r="2368">
      <c r="A2368" s="41"/>
      <c r="B2368" s="41"/>
      <c r="C2368" s="41"/>
      <c r="D2368" s="41"/>
      <c r="E2368" s="41"/>
      <c r="F2368" s="41"/>
    </row>
    <row r="2369">
      <c r="A2369" s="41"/>
      <c r="B2369" s="41"/>
      <c r="C2369" s="41"/>
      <c r="D2369" s="41"/>
      <c r="E2369" s="41"/>
      <c r="F2369" s="41"/>
    </row>
    <row r="2370">
      <c r="A2370" s="41"/>
      <c r="B2370" s="41"/>
      <c r="C2370" s="41"/>
      <c r="D2370" s="41"/>
      <c r="E2370" s="41"/>
      <c r="F2370" s="41"/>
    </row>
    <row r="2371">
      <c r="A2371" s="41"/>
      <c r="B2371" s="41"/>
      <c r="C2371" s="41"/>
      <c r="D2371" s="41"/>
      <c r="E2371" s="41"/>
      <c r="F2371" s="41"/>
    </row>
    <row r="2372">
      <c r="A2372" s="41"/>
      <c r="B2372" s="41"/>
      <c r="C2372" s="41"/>
      <c r="D2372" s="41"/>
      <c r="E2372" s="41"/>
      <c r="F2372" s="41"/>
    </row>
    <row r="2373">
      <c r="A2373" s="41"/>
      <c r="B2373" s="41"/>
      <c r="C2373" s="41"/>
      <c r="D2373" s="41"/>
      <c r="E2373" s="41"/>
      <c r="F2373" s="41"/>
    </row>
    <row r="2374">
      <c r="A2374" s="41"/>
      <c r="B2374" s="41"/>
      <c r="C2374" s="41"/>
      <c r="D2374" s="41"/>
      <c r="E2374" s="41"/>
      <c r="F2374" s="41"/>
    </row>
    <row r="2375">
      <c r="A2375" s="41"/>
      <c r="B2375" s="41"/>
      <c r="C2375" s="41"/>
      <c r="D2375" s="41"/>
      <c r="E2375" s="41"/>
      <c r="F2375" s="41"/>
    </row>
    <row r="2376">
      <c r="A2376" s="41"/>
      <c r="B2376" s="41"/>
      <c r="C2376" s="41"/>
      <c r="D2376" s="41"/>
      <c r="E2376" s="41"/>
      <c r="F2376" s="41"/>
    </row>
    <row r="2377">
      <c r="A2377" s="41"/>
      <c r="B2377" s="41"/>
      <c r="C2377" s="41"/>
      <c r="D2377" s="41"/>
      <c r="E2377" s="41"/>
      <c r="F2377" s="41"/>
    </row>
    <row r="2378">
      <c r="A2378" s="41"/>
      <c r="B2378" s="41"/>
      <c r="C2378" s="41"/>
      <c r="D2378" s="41"/>
      <c r="E2378" s="41"/>
      <c r="F2378" s="41"/>
    </row>
    <row r="2379">
      <c r="A2379" s="41"/>
      <c r="B2379" s="41"/>
      <c r="C2379" s="41"/>
      <c r="D2379" s="41"/>
      <c r="E2379" s="41"/>
      <c r="F2379" s="41"/>
    </row>
    <row r="2380">
      <c r="A2380" s="41"/>
      <c r="B2380" s="41"/>
      <c r="C2380" s="41"/>
      <c r="D2380" s="41"/>
      <c r="E2380" s="41"/>
      <c r="F2380" s="41"/>
    </row>
    <row r="2381">
      <c r="A2381" s="41"/>
      <c r="B2381" s="41"/>
      <c r="C2381" s="41"/>
      <c r="D2381" s="41"/>
      <c r="E2381" s="41"/>
      <c r="F2381" s="41"/>
    </row>
    <row r="2382">
      <c r="A2382" s="41"/>
      <c r="B2382" s="41"/>
      <c r="C2382" s="41"/>
      <c r="D2382" s="41"/>
      <c r="E2382" s="41"/>
      <c r="F2382" s="41"/>
    </row>
    <row r="2383">
      <c r="A2383" s="41"/>
      <c r="B2383" s="41"/>
      <c r="C2383" s="41"/>
      <c r="D2383" s="41"/>
      <c r="E2383" s="41"/>
      <c r="F2383" s="41"/>
    </row>
    <row r="2384">
      <c r="A2384" s="41"/>
      <c r="B2384" s="41"/>
      <c r="C2384" s="41"/>
      <c r="D2384" s="41"/>
      <c r="E2384" s="41"/>
      <c r="F2384" s="41"/>
    </row>
    <row r="2385">
      <c r="A2385" s="41"/>
      <c r="B2385" s="41"/>
      <c r="C2385" s="41"/>
      <c r="D2385" s="41"/>
      <c r="E2385" s="41"/>
      <c r="F2385" s="41"/>
    </row>
    <row r="2386">
      <c r="A2386" s="41"/>
      <c r="B2386" s="41"/>
      <c r="C2386" s="41"/>
      <c r="D2386" s="41"/>
      <c r="E2386" s="41"/>
      <c r="F2386" s="41"/>
    </row>
    <row r="2387">
      <c r="A2387" s="41"/>
      <c r="B2387" s="41"/>
      <c r="C2387" s="41"/>
      <c r="D2387" s="41"/>
      <c r="E2387" s="41"/>
      <c r="F2387" s="41"/>
    </row>
    <row r="2388">
      <c r="A2388" s="41"/>
      <c r="B2388" s="41"/>
      <c r="C2388" s="41"/>
      <c r="D2388" s="41"/>
      <c r="E2388" s="41"/>
      <c r="F2388" s="41"/>
    </row>
    <row r="2389">
      <c r="A2389" s="41"/>
      <c r="B2389" s="41"/>
      <c r="C2389" s="41"/>
      <c r="D2389" s="41"/>
      <c r="E2389" s="41"/>
      <c r="F2389" s="41"/>
    </row>
    <row r="2390">
      <c r="A2390" s="41"/>
      <c r="B2390" s="41"/>
      <c r="C2390" s="41"/>
      <c r="D2390" s="41"/>
      <c r="E2390" s="41"/>
      <c r="F2390" s="41"/>
    </row>
    <row r="2391">
      <c r="A2391" s="41"/>
      <c r="B2391" s="41"/>
      <c r="C2391" s="41"/>
      <c r="D2391" s="41"/>
      <c r="E2391" s="41"/>
      <c r="F2391" s="41"/>
    </row>
    <row r="2392">
      <c r="A2392" s="41"/>
      <c r="B2392" s="41"/>
      <c r="C2392" s="41"/>
      <c r="D2392" s="41"/>
      <c r="E2392" s="41"/>
      <c r="F2392" s="41"/>
    </row>
    <row r="2393">
      <c r="A2393" s="41"/>
      <c r="B2393" s="41"/>
      <c r="C2393" s="41"/>
      <c r="D2393" s="41"/>
      <c r="E2393" s="41"/>
      <c r="F2393" s="41"/>
    </row>
    <row r="2394">
      <c r="A2394" s="41"/>
      <c r="B2394" s="41"/>
      <c r="C2394" s="41"/>
      <c r="D2394" s="41"/>
      <c r="E2394" s="41"/>
      <c r="F2394" s="41"/>
    </row>
    <row r="2395">
      <c r="A2395" s="41"/>
      <c r="B2395" s="41"/>
      <c r="C2395" s="41"/>
      <c r="D2395" s="41"/>
      <c r="E2395" s="41"/>
      <c r="F2395" s="41"/>
    </row>
    <row r="2396">
      <c r="A2396" s="41"/>
      <c r="B2396" s="41"/>
      <c r="C2396" s="41"/>
      <c r="D2396" s="41"/>
      <c r="E2396" s="41"/>
      <c r="F2396" s="41"/>
    </row>
    <row r="2397">
      <c r="A2397" s="41"/>
      <c r="B2397" s="41"/>
      <c r="C2397" s="41"/>
      <c r="D2397" s="41"/>
      <c r="E2397" s="41"/>
      <c r="F2397" s="41"/>
    </row>
    <row r="2398">
      <c r="A2398" s="41"/>
      <c r="B2398" s="41"/>
      <c r="C2398" s="41"/>
      <c r="D2398" s="41"/>
      <c r="E2398" s="41"/>
      <c r="F2398" s="41"/>
    </row>
    <row r="2399">
      <c r="A2399" s="41"/>
      <c r="B2399" s="41"/>
      <c r="C2399" s="41"/>
      <c r="D2399" s="41"/>
      <c r="E2399" s="41"/>
      <c r="F2399" s="41"/>
    </row>
    <row r="2400">
      <c r="A2400" s="41"/>
      <c r="B2400" s="41"/>
      <c r="C2400" s="41"/>
      <c r="D2400" s="41"/>
      <c r="E2400" s="41"/>
      <c r="F2400" s="41"/>
    </row>
    <row r="2401">
      <c r="A2401" s="41"/>
      <c r="B2401" s="41"/>
      <c r="C2401" s="41"/>
      <c r="D2401" s="41"/>
      <c r="E2401" s="41"/>
      <c r="F2401" s="41"/>
    </row>
    <row r="2402">
      <c r="A2402" s="41"/>
      <c r="B2402" s="41"/>
      <c r="C2402" s="41"/>
      <c r="D2402" s="41"/>
      <c r="E2402" s="41"/>
      <c r="F2402" s="41"/>
    </row>
    <row r="2403">
      <c r="A2403" s="41"/>
      <c r="B2403" s="41"/>
      <c r="C2403" s="41"/>
      <c r="D2403" s="41"/>
      <c r="E2403" s="41"/>
      <c r="F2403" s="41"/>
    </row>
    <row r="2404">
      <c r="A2404" s="41"/>
      <c r="B2404" s="41"/>
      <c r="C2404" s="41"/>
      <c r="D2404" s="41"/>
      <c r="E2404" s="41"/>
      <c r="F2404" s="41"/>
    </row>
    <row r="2405">
      <c r="A2405" s="41"/>
      <c r="B2405" s="41"/>
      <c r="C2405" s="41"/>
      <c r="D2405" s="41"/>
      <c r="E2405" s="41"/>
      <c r="F2405" s="41"/>
    </row>
    <row r="2406">
      <c r="A2406" s="41"/>
      <c r="B2406" s="41"/>
      <c r="C2406" s="41"/>
      <c r="D2406" s="41"/>
      <c r="E2406" s="41"/>
      <c r="F2406" s="41"/>
    </row>
    <row r="2407">
      <c r="A2407" s="41"/>
      <c r="B2407" s="41"/>
      <c r="C2407" s="41"/>
      <c r="D2407" s="41"/>
      <c r="E2407" s="41"/>
      <c r="F2407" s="41"/>
    </row>
    <row r="2408">
      <c r="A2408" s="41"/>
      <c r="B2408" s="41"/>
      <c r="C2408" s="41"/>
      <c r="D2408" s="41"/>
      <c r="E2408" s="41"/>
      <c r="F2408" s="41"/>
    </row>
    <row r="2409">
      <c r="A2409" s="41"/>
      <c r="B2409" s="41"/>
      <c r="C2409" s="41"/>
      <c r="D2409" s="41"/>
      <c r="E2409" s="41"/>
      <c r="F2409" s="41"/>
    </row>
    <row r="2410">
      <c r="A2410" s="41"/>
      <c r="B2410" s="41"/>
      <c r="C2410" s="41"/>
      <c r="D2410" s="41"/>
      <c r="E2410" s="41"/>
      <c r="F2410" s="41"/>
    </row>
    <row r="2411">
      <c r="A2411" s="41"/>
      <c r="B2411" s="41"/>
      <c r="C2411" s="41"/>
      <c r="D2411" s="41"/>
      <c r="E2411" s="41"/>
      <c r="F2411" s="41"/>
    </row>
    <row r="2412">
      <c r="A2412" s="41"/>
      <c r="B2412" s="41"/>
      <c r="C2412" s="41"/>
      <c r="D2412" s="41"/>
      <c r="E2412" s="41"/>
      <c r="F2412" s="41"/>
    </row>
    <row r="2413">
      <c r="A2413" s="41"/>
      <c r="B2413" s="41"/>
      <c r="C2413" s="41"/>
      <c r="D2413" s="41"/>
      <c r="E2413" s="41"/>
      <c r="F2413" s="41"/>
    </row>
    <row r="2414">
      <c r="A2414" s="41"/>
      <c r="B2414" s="41"/>
      <c r="C2414" s="41"/>
      <c r="D2414" s="41"/>
      <c r="E2414" s="41"/>
      <c r="F2414" s="41"/>
    </row>
    <row r="2415">
      <c r="A2415" s="41"/>
      <c r="B2415" s="41"/>
      <c r="C2415" s="41"/>
      <c r="D2415" s="41"/>
      <c r="E2415" s="41"/>
      <c r="F2415" s="41"/>
    </row>
    <row r="2416">
      <c r="A2416" s="41"/>
      <c r="B2416" s="41"/>
      <c r="C2416" s="41"/>
      <c r="D2416" s="41"/>
      <c r="E2416" s="41"/>
      <c r="F2416" s="41"/>
    </row>
    <row r="2417">
      <c r="A2417" s="41"/>
      <c r="B2417" s="41"/>
      <c r="C2417" s="41"/>
      <c r="D2417" s="41"/>
      <c r="E2417" s="41"/>
      <c r="F2417" s="41"/>
    </row>
    <row r="2418">
      <c r="A2418" s="41"/>
      <c r="B2418" s="41"/>
      <c r="C2418" s="41"/>
      <c r="D2418" s="41"/>
      <c r="E2418" s="41"/>
      <c r="F2418" s="41"/>
    </row>
    <row r="2419">
      <c r="A2419" s="41"/>
      <c r="B2419" s="41"/>
      <c r="C2419" s="41"/>
      <c r="D2419" s="41"/>
      <c r="E2419" s="41"/>
      <c r="F2419" s="41"/>
    </row>
    <row r="2420">
      <c r="A2420" s="41"/>
      <c r="B2420" s="41"/>
      <c r="C2420" s="41"/>
      <c r="D2420" s="41"/>
      <c r="E2420" s="41"/>
      <c r="F2420" s="41"/>
    </row>
    <row r="2421">
      <c r="A2421" s="41"/>
      <c r="B2421" s="41"/>
      <c r="C2421" s="41"/>
      <c r="D2421" s="41"/>
      <c r="E2421" s="41"/>
      <c r="F2421" s="41"/>
    </row>
    <row r="2422">
      <c r="A2422" s="41"/>
      <c r="B2422" s="41"/>
      <c r="C2422" s="41"/>
      <c r="D2422" s="41"/>
      <c r="E2422" s="41"/>
      <c r="F2422" s="41"/>
    </row>
    <row r="2423">
      <c r="A2423" s="41"/>
      <c r="B2423" s="41"/>
      <c r="C2423" s="41"/>
      <c r="D2423" s="41"/>
      <c r="E2423" s="41"/>
      <c r="F2423" s="41"/>
    </row>
    <row r="2424">
      <c r="A2424" s="41"/>
      <c r="B2424" s="41"/>
      <c r="C2424" s="41"/>
      <c r="D2424" s="41"/>
      <c r="E2424" s="41"/>
      <c r="F2424" s="41"/>
    </row>
    <row r="2425">
      <c r="A2425" s="41"/>
      <c r="B2425" s="41"/>
      <c r="C2425" s="41"/>
      <c r="D2425" s="41"/>
      <c r="E2425" s="41"/>
      <c r="F2425" s="41"/>
    </row>
    <row r="2426">
      <c r="A2426" s="41"/>
      <c r="B2426" s="41"/>
      <c r="C2426" s="41"/>
      <c r="D2426" s="41"/>
      <c r="E2426" s="41"/>
      <c r="F2426" s="41"/>
    </row>
    <row r="2427">
      <c r="A2427" s="41"/>
      <c r="B2427" s="41"/>
      <c r="C2427" s="41"/>
      <c r="D2427" s="41"/>
      <c r="E2427" s="41"/>
      <c r="F2427" s="41"/>
    </row>
    <row r="2428">
      <c r="A2428" s="41"/>
      <c r="B2428" s="41"/>
      <c r="C2428" s="41"/>
      <c r="D2428" s="41"/>
      <c r="E2428" s="41"/>
      <c r="F2428" s="41"/>
    </row>
    <row r="2429">
      <c r="A2429" s="41"/>
      <c r="B2429" s="41"/>
      <c r="C2429" s="41"/>
      <c r="D2429" s="41"/>
      <c r="E2429" s="41"/>
      <c r="F2429" s="41"/>
    </row>
    <row r="2430">
      <c r="A2430" s="41"/>
      <c r="B2430" s="41"/>
      <c r="C2430" s="41"/>
      <c r="D2430" s="41"/>
      <c r="E2430" s="41"/>
      <c r="F2430" s="41"/>
    </row>
    <row r="2431">
      <c r="A2431" s="41"/>
      <c r="B2431" s="41"/>
      <c r="C2431" s="41"/>
      <c r="D2431" s="41"/>
      <c r="E2431" s="41"/>
      <c r="F2431" s="41"/>
    </row>
    <row r="2432">
      <c r="A2432" s="41"/>
      <c r="B2432" s="41"/>
      <c r="C2432" s="41"/>
      <c r="D2432" s="41"/>
      <c r="E2432" s="41"/>
      <c r="F2432" s="41"/>
    </row>
    <row r="2433">
      <c r="A2433" s="41"/>
      <c r="B2433" s="41"/>
      <c r="C2433" s="41"/>
      <c r="D2433" s="41"/>
      <c r="E2433" s="41"/>
      <c r="F2433" s="41"/>
    </row>
    <row r="2434">
      <c r="A2434" s="41"/>
      <c r="B2434" s="41"/>
      <c r="C2434" s="41"/>
      <c r="D2434" s="41"/>
      <c r="E2434" s="41"/>
      <c r="F2434" s="41"/>
    </row>
    <row r="2435">
      <c r="A2435" s="41"/>
      <c r="B2435" s="41"/>
      <c r="C2435" s="41"/>
      <c r="D2435" s="41"/>
      <c r="E2435" s="41"/>
      <c r="F2435" s="41"/>
    </row>
    <row r="2436">
      <c r="A2436" s="41"/>
      <c r="B2436" s="41"/>
      <c r="C2436" s="41"/>
      <c r="D2436" s="41"/>
      <c r="E2436" s="41"/>
      <c r="F2436" s="41"/>
    </row>
    <row r="2437">
      <c r="A2437" s="41"/>
      <c r="B2437" s="41"/>
      <c r="C2437" s="41"/>
      <c r="D2437" s="41"/>
      <c r="E2437" s="41"/>
      <c r="F2437" s="41"/>
    </row>
    <row r="2438">
      <c r="A2438" s="41"/>
      <c r="B2438" s="41"/>
      <c r="C2438" s="41"/>
      <c r="D2438" s="41"/>
      <c r="E2438" s="41"/>
      <c r="F2438" s="41"/>
    </row>
    <row r="2439">
      <c r="A2439" s="41"/>
      <c r="B2439" s="41"/>
      <c r="C2439" s="41"/>
      <c r="D2439" s="41"/>
      <c r="E2439" s="41"/>
      <c r="F2439" s="41"/>
    </row>
    <row r="2440">
      <c r="A2440" s="41"/>
      <c r="B2440" s="41"/>
      <c r="C2440" s="41"/>
      <c r="D2440" s="41"/>
      <c r="E2440" s="41"/>
      <c r="F2440" s="41"/>
    </row>
    <row r="2441">
      <c r="A2441" s="41"/>
      <c r="B2441" s="41"/>
      <c r="C2441" s="41"/>
      <c r="D2441" s="41"/>
      <c r="E2441" s="41"/>
      <c r="F2441" s="41"/>
    </row>
    <row r="2442">
      <c r="A2442" s="41"/>
      <c r="B2442" s="41"/>
      <c r="C2442" s="41"/>
      <c r="D2442" s="41"/>
      <c r="E2442" s="41"/>
      <c r="F2442" s="41"/>
    </row>
    <row r="2443">
      <c r="A2443" s="41"/>
      <c r="B2443" s="41"/>
      <c r="C2443" s="41"/>
      <c r="D2443" s="41"/>
      <c r="E2443" s="41"/>
      <c r="F2443" s="41"/>
    </row>
    <row r="2444">
      <c r="A2444" s="41"/>
      <c r="B2444" s="41"/>
      <c r="C2444" s="41"/>
      <c r="D2444" s="41"/>
      <c r="E2444" s="41"/>
      <c r="F2444" s="41"/>
    </row>
    <row r="2445">
      <c r="A2445" s="41"/>
      <c r="B2445" s="41"/>
      <c r="C2445" s="41"/>
      <c r="D2445" s="41"/>
      <c r="E2445" s="41"/>
      <c r="F2445" s="41"/>
    </row>
    <row r="2446">
      <c r="A2446" s="41"/>
      <c r="B2446" s="41"/>
      <c r="C2446" s="41"/>
      <c r="D2446" s="41"/>
      <c r="E2446" s="41"/>
      <c r="F2446" s="41"/>
    </row>
    <row r="2447">
      <c r="A2447" s="41"/>
      <c r="B2447" s="41"/>
      <c r="C2447" s="41"/>
      <c r="D2447" s="41"/>
      <c r="E2447" s="41"/>
      <c r="F2447" s="41"/>
    </row>
    <row r="2448">
      <c r="A2448" s="41"/>
      <c r="B2448" s="41"/>
      <c r="C2448" s="41"/>
      <c r="D2448" s="41"/>
      <c r="E2448" s="41"/>
      <c r="F2448" s="41"/>
    </row>
    <row r="2449">
      <c r="A2449" s="41"/>
      <c r="B2449" s="41"/>
      <c r="C2449" s="41"/>
      <c r="D2449" s="41"/>
      <c r="E2449" s="41"/>
      <c r="F2449" s="41"/>
    </row>
    <row r="2450">
      <c r="A2450" s="41"/>
      <c r="B2450" s="41"/>
      <c r="C2450" s="41"/>
      <c r="D2450" s="41"/>
      <c r="E2450" s="41"/>
      <c r="F2450" s="41"/>
    </row>
    <row r="2451">
      <c r="A2451" s="41"/>
      <c r="B2451" s="41"/>
      <c r="C2451" s="41"/>
      <c r="D2451" s="41"/>
      <c r="E2451" s="41"/>
      <c r="F2451" s="41"/>
    </row>
    <row r="2452">
      <c r="A2452" s="41"/>
      <c r="B2452" s="41"/>
      <c r="C2452" s="41"/>
      <c r="D2452" s="41"/>
      <c r="E2452" s="41"/>
      <c r="F2452" s="41"/>
    </row>
    <row r="2453">
      <c r="A2453" s="41"/>
      <c r="B2453" s="41"/>
      <c r="C2453" s="41"/>
      <c r="D2453" s="41"/>
      <c r="E2453" s="41"/>
      <c r="F2453" s="41"/>
    </row>
    <row r="2454">
      <c r="A2454" s="41"/>
      <c r="B2454" s="41"/>
      <c r="C2454" s="41"/>
      <c r="D2454" s="41"/>
      <c r="E2454" s="41"/>
      <c r="F2454" s="41"/>
    </row>
    <row r="2455">
      <c r="A2455" s="41"/>
      <c r="B2455" s="41"/>
      <c r="C2455" s="41"/>
      <c r="D2455" s="41"/>
      <c r="E2455" s="41"/>
      <c r="F2455" s="41"/>
    </row>
    <row r="2456">
      <c r="A2456" s="41"/>
      <c r="B2456" s="41"/>
      <c r="C2456" s="41"/>
      <c r="D2456" s="41"/>
      <c r="E2456" s="41"/>
      <c r="F2456" s="41"/>
    </row>
    <row r="2457">
      <c r="A2457" s="41"/>
      <c r="B2457" s="41"/>
      <c r="C2457" s="41"/>
      <c r="D2457" s="41"/>
      <c r="E2457" s="41"/>
      <c r="F2457" s="41"/>
    </row>
    <row r="2458">
      <c r="A2458" s="41"/>
      <c r="B2458" s="41"/>
      <c r="C2458" s="41"/>
      <c r="D2458" s="41"/>
      <c r="E2458" s="41"/>
      <c r="F2458" s="41"/>
    </row>
    <row r="2459">
      <c r="A2459" s="41"/>
      <c r="B2459" s="41"/>
      <c r="C2459" s="41"/>
      <c r="D2459" s="41"/>
      <c r="E2459" s="41"/>
      <c r="F2459" s="41"/>
    </row>
    <row r="2460">
      <c r="A2460" s="41"/>
      <c r="B2460" s="41"/>
      <c r="C2460" s="41"/>
      <c r="D2460" s="41"/>
      <c r="E2460" s="41"/>
      <c r="F2460" s="41"/>
    </row>
    <row r="2461">
      <c r="A2461" s="41"/>
      <c r="B2461" s="41"/>
      <c r="C2461" s="41"/>
      <c r="D2461" s="41"/>
      <c r="E2461" s="41"/>
      <c r="F2461" s="41"/>
    </row>
    <row r="2462">
      <c r="A2462" s="41"/>
      <c r="B2462" s="41"/>
      <c r="C2462" s="41"/>
      <c r="D2462" s="41"/>
      <c r="E2462" s="41"/>
      <c r="F2462" s="41"/>
    </row>
    <row r="2463">
      <c r="A2463" s="41"/>
      <c r="B2463" s="41"/>
      <c r="C2463" s="41"/>
      <c r="D2463" s="41"/>
      <c r="E2463" s="41"/>
      <c r="F2463" s="41"/>
    </row>
    <row r="2464">
      <c r="A2464" s="41"/>
      <c r="B2464" s="41"/>
      <c r="C2464" s="41"/>
      <c r="D2464" s="41"/>
      <c r="E2464" s="41"/>
      <c r="F2464" s="41"/>
    </row>
    <row r="2465">
      <c r="A2465" s="41"/>
      <c r="B2465" s="41"/>
      <c r="C2465" s="41"/>
      <c r="D2465" s="41"/>
      <c r="E2465" s="41"/>
      <c r="F2465" s="41"/>
    </row>
    <row r="2466">
      <c r="A2466" s="41"/>
      <c r="B2466" s="41"/>
      <c r="C2466" s="41"/>
      <c r="D2466" s="41"/>
      <c r="E2466" s="41"/>
      <c r="F2466" s="41"/>
    </row>
    <row r="2467">
      <c r="A2467" s="41"/>
      <c r="B2467" s="41"/>
      <c r="C2467" s="41"/>
      <c r="D2467" s="41"/>
      <c r="E2467" s="41"/>
      <c r="F2467" s="41"/>
    </row>
    <row r="2468">
      <c r="A2468" s="41"/>
      <c r="B2468" s="41"/>
      <c r="C2468" s="41"/>
      <c r="D2468" s="41"/>
      <c r="E2468" s="41"/>
      <c r="F2468" s="41"/>
    </row>
    <row r="2469">
      <c r="A2469" s="41"/>
      <c r="B2469" s="41"/>
      <c r="C2469" s="41"/>
      <c r="D2469" s="41"/>
      <c r="E2469" s="41"/>
      <c r="F2469" s="41"/>
    </row>
    <row r="2470">
      <c r="A2470" s="41"/>
      <c r="B2470" s="41"/>
      <c r="C2470" s="41"/>
      <c r="D2470" s="41"/>
      <c r="E2470" s="41"/>
      <c r="F2470" s="41"/>
    </row>
    <row r="2471">
      <c r="A2471" s="41"/>
      <c r="B2471" s="41"/>
      <c r="C2471" s="41"/>
      <c r="D2471" s="41"/>
      <c r="E2471" s="41"/>
      <c r="F2471" s="41"/>
    </row>
    <row r="2472">
      <c r="A2472" s="41"/>
      <c r="B2472" s="41"/>
      <c r="C2472" s="41"/>
      <c r="D2472" s="41"/>
      <c r="E2472" s="41"/>
      <c r="F2472" s="41"/>
    </row>
    <row r="2473">
      <c r="A2473" s="41"/>
      <c r="B2473" s="41"/>
      <c r="C2473" s="41"/>
      <c r="D2473" s="41"/>
      <c r="E2473" s="41"/>
      <c r="F2473" s="41"/>
    </row>
    <row r="2474">
      <c r="A2474" s="41"/>
      <c r="B2474" s="41"/>
      <c r="C2474" s="41"/>
      <c r="D2474" s="41"/>
      <c r="E2474" s="41"/>
      <c r="F2474" s="41"/>
    </row>
    <row r="2475">
      <c r="A2475" s="41"/>
      <c r="B2475" s="41"/>
      <c r="C2475" s="41"/>
      <c r="D2475" s="41"/>
      <c r="E2475" s="41"/>
      <c r="F2475" s="41"/>
    </row>
    <row r="2476">
      <c r="A2476" s="41"/>
      <c r="B2476" s="41"/>
      <c r="C2476" s="41"/>
      <c r="D2476" s="41"/>
      <c r="E2476" s="41"/>
      <c r="F2476" s="41"/>
    </row>
    <row r="2477">
      <c r="A2477" s="41"/>
      <c r="B2477" s="41"/>
      <c r="C2477" s="41"/>
      <c r="D2477" s="41"/>
      <c r="E2477" s="41"/>
      <c r="F2477" s="41"/>
    </row>
    <row r="2478">
      <c r="A2478" s="41"/>
      <c r="B2478" s="41"/>
      <c r="C2478" s="41"/>
      <c r="D2478" s="41"/>
      <c r="E2478" s="41"/>
      <c r="F2478" s="41"/>
    </row>
    <row r="2479">
      <c r="A2479" s="41"/>
      <c r="B2479" s="41"/>
      <c r="C2479" s="41"/>
      <c r="D2479" s="41"/>
      <c r="E2479" s="41"/>
      <c r="F2479" s="41"/>
    </row>
    <row r="2480">
      <c r="A2480" s="41"/>
      <c r="B2480" s="41"/>
      <c r="C2480" s="41"/>
      <c r="D2480" s="41"/>
      <c r="E2480" s="41"/>
      <c r="F2480" s="41"/>
    </row>
    <row r="2481">
      <c r="A2481" s="41"/>
      <c r="B2481" s="41"/>
      <c r="C2481" s="41"/>
      <c r="D2481" s="41"/>
      <c r="E2481" s="41"/>
      <c r="F2481" s="41"/>
    </row>
    <row r="2482">
      <c r="A2482" s="41"/>
      <c r="B2482" s="41"/>
      <c r="C2482" s="41"/>
      <c r="D2482" s="41"/>
      <c r="E2482" s="41"/>
      <c r="F2482" s="41"/>
    </row>
    <row r="2483">
      <c r="A2483" s="41"/>
      <c r="B2483" s="41"/>
      <c r="C2483" s="41"/>
      <c r="D2483" s="41"/>
      <c r="E2483" s="41"/>
      <c r="F2483" s="41"/>
    </row>
    <row r="2484">
      <c r="A2484" s="41"/>
      <c r="B2484" s="41"/>
      <c r="C2484" s="41"/>
      <c r="D2484" s="41"/>
      <c r="E2484" s="41"/>
      <c r="F2484" s="41"/>
    </row>
    <row r="2485">
      <c r="A2485" s="41"/>
      <c r="B2485" s="41"/>
      <c r="C2485" s="41"/>
      <c r="D2485" s="41"/>
      <c r="E2485" s="41"/>
      <c r="F2485" s="41"/>
    </row>
    <row r="2486">
      <c r="A2486" s="41"/>
      <c r="B2486" s="41"/>
      <c r="C2486" s="41"/>
      <c r="D2486" s="41"/>
      <c r="E2486" s="41"/>
      <c r="F2486" s="41"/>
    </row>
    <row r="2487">
      <c r="A2487" s="41"/>
      <c r="B2487" s="41"/>
      <c r="C2487" s="41"/>
      <c r="D2487" s="41"/>
      <c r="E2487" s="41"/>
      <c r="F2487" s="41"/>
    </row>
    <row r="2488">
      <c r="A2488" s="41"/>
      <c r="B2488" s="41"/>
      <c r="C2488" s="41"/>
      <c r="D2488" s="41"/>
      <c r="E2488" s="41"/>
      <c r="F2488" s="41"/>
    </row>
    <row r="2489">
      <c r="A2489" s="41"/>
      <c r="B2489" s="41"/>
      <c r="C2489" s="41"/>
      <c r="D2489" s="41"/>
      <c r="E2489" s="41"/>
      <c r="F2489" s="41"/>
    </row>
    <row r="2490">
      <c r="A2490" s="41"/>
      <c r="B2490" s="41"/>
      <c r="C2490" s="41"/>
      <c r="D2490" s="41"/>
      <c r="E2490" s="41"/>
      <c r="F2490" s="41"/>
    </row>
    <row r="2491">
      <c r="A2491" s="41"/>
      <c r="B2491" s="41"/>
      <c r="C2491" s="41"/>
      <c r="D2491" s="41"/>
      <c r="E2491" s="41"/>
      <c r="F2491" s="41"/>
    </row>
    <row r="2492">
      <c r="A2492" s="41"/>
      <c r="B2492" s="41"/>
      <c r="C2492" s="41"/>
      <c r="D2492" s="41"/>
      <c r="E2492" s="41"/>
      <c r="F2492" s="41"/>
    </row>
    <row r="2493">
      <c r="A2493" s="41"/>
      <c r="B2493" s="41"/>
      <c r="C2493" s="41"/>
      <c r="D2493" s="41"/>
      <c r="E2493" s="41"/>
      <c r="F2493" s="41"/>
    </row>
    <row r="2494">
      <c r="A2494" s="41"/>
      <c r="B2494" s="41"/>
      <c r="C2494" s="41"/>
      <c r="D2494" s="41"/>
      <c r="E2494" s="41"/>
      <c r="F2494" s="41"/>
    </row>
    <row r="2495">
      <c r="A2495" s="41"/>
      <c r="B2495" s="41"/>
      <c r="C2495" s="41"/>
      <c r="D2495" s="41"/>
      <c r="E2495" s="41"/>
      <c r="F2495" s="41"/>
    </row>
    <row r="2496">
      <c r="A2496" s="41"/>
      <c r="B2496" s="41"/>
      <c r="C2496" s="41"/>
      <c r="D2496" s="41"/>
      <c r="E2496" s="41"/>
      <c r="F2496" s="41"/>
    </row>
    <row r="2497">
      <c r="A2497" s="41"/>
      <c r="B2497" s="41"/>
      <c r="C2497" s="41"/>
      <c r="D2497" s="41"/>
      <c r="E2497" s="41"/>
      <c r="F2497" s="41"/>
    </row>
    <row r="2498">
      <c r="A2498" s="41"/>
      <c r="B2498" s="41"/>
      <c r="C2498" s="41"/>
      <c r="D2498" s="41"/>
      <c r="E2498" s="41"/>
      <c r="F2498" s="41"/>
    </row>
    <row r="2499">
      <c r="A2499" s="41"/>
      <c r="B2499" s="41"/>
      <c r="C2499" s="41"/>
      <c r="D2499" s="41"/>
      <c r="E2499" s="41"/>
      <c r="F2499" s="41"/>
    </row>
    <row r="2500">
      <c r="A2500" s="41"/>
      <c r="B2500" s="41"/>
      <c r="C2500" s="41"/>
      <c r="D2500" s="41"/>
      <c r="E2500" s="41"/>
      <c r="F2500" s="41"/>
    </row>
    <row r="2501">
      <c r="A2501" s="41"/>
      <c r="B2501" s="41"/>
      <c r="C2501" s="41"/>
      <c r="D2501" s="41"/>
      <c r="E2501" s="41"/>
      <c r="F2501" s="41"/>
    </row>
    <row r="2502">
      <c r="A2502" s="41"/>
      <c r="B2502" s="41"/>
      <c r="C2502" s="41"/>
      <c r="D2502" s="41"/>
      <c r="E2502" s="41"/>
      <c r="F2502" s="41"/>
    </row>
    <row r="2503">
      <c r="A2503" s="41"/>
      <c r="B2503" s="41"/>
      <c r="C2503" s="41"/>
      <c r="D2503" s="41"/>
      <c r="E2503" s="41"/>
      <c r="F2503" s="41"/>
    </row>
    <row r="2504">
      <c r="A2504" s="41"/>
      <c r="B2504" s="41"/>
      <c r="C2504" s="41"/>
      <c r="D2504" s="41"/>
      <c r="E2504" s="41"/>
      <c r="F2504" s="41"/>
    </row>
    <row r="2505">
      <c r="A2505" s="41"/>
      <c r="B2505" s="41"/>
      <c r="C2505" s="41"/>
      <c r="D2505" s="41"/>
      <c r="E2505" s="41"/>
      <c r="F2505" s="41"/>
    </row>
    <row r="2506">
      <c r="A2506" s="41"/>
      <c r="B2506" s="41"/>
      <c r="C2506" s="41"/>
      <c r="D2506" s="41"/>
      <c r="E2506" s="41"/>
      <c r="F2506" s="41"/>
    </row>
    <row r="2507">
      <c r="A2507" s="41"/>
      <c r="B2507" s="41"/>
      <c r="C2507" s="41"/>
      <c r="D2507" s="41"/>
      <c r="E2507" s="41"/>
      <c r="F2507" s="41"/>
    </row>
    <row r="2508">
      <c r="A2508" s="41"/>
      <c r="B2508" s="41"/>
      <c r="C2508" s="41"/>
      <c r="D2508" s="41"/>
      <c r="E2508" s="41"/>
      <c r="F2508" s="41"/>
    </row>
    <row r="2509">
      <c r="A2509" s="41"/>
      <c r="B2509" s="41"/>
      <c r="C2509" s="41"/>
      <c r="D2509" s="41"/>
      <c r="E2509" s="41"/>
      <c r="F2509" s="41"/>
    </row>
    <row r="2510">
      <c r="A2510" s="41"/>
      <c r="B2510" s="41"/>
      <c r="C2510" s="41"/>
      <c r="D2510" s="41"/>
      <c r="E2510" s="41"/>
      <c r="F2510" s="41"/>
    </row>
    <row r="2511">
      <c r="A2511" s="41"/>
      <c r="B2511" s="41"/>
      <c r="C2511" s="41"/>
      <c r="D2511" s="41"/>
      <c r="E2511" s="41"/>
      <c r="F2511" s="41"/>
    </row>
    <row r="2512">
      <c r="A2512" s="41"/>
      <c r="B2512" s="41"/>
      <c r="C2512" s="41"/>
      <c r="D2512" s="41"/>
      <c r="E2512" s="41"/>
      <c r="F2512" s="41"/>
    </row>
    <row r="2513">
      <c r="A2513" s="41"/>
      <c r="B2513" s="41"/>
      <c r="C2513" s="41"/>
      <c r="D2513" s="41"/>
      <c r="E2513" s="41"/>
      <c r="F2513" s="41"/>
    </row>
    <row r="2514">
      <c r="A2514" s="41"/>
      <c r="B2514" s="41"/>
      <c r="C2514" s="41"/>
      <c r="D2514" s="41"/>
      <c r="E2514" s="41"/>
      <c r="F2514" s="41"/>
    </row>
    <row r="2515">
      <c r="A2515" s="41"/>
      <c r="B2515" s="41"/>
      <c r="C2515" s="41"/>
      <c r="D2515" s="41"/>
      <c r="E2515" s="41"/>
      <c r="F2515" s="41"/>
    </row>
    <row r="2516">
      <c r="A2516" s="41"/>
      <c r="B2516" s="41"/>
      <c r="C2516" s="41"/>
      <c r="D2516" s="41"/>
      <c r="E2516" s="41"/>
      <c r="F2516" s="41"/>
    </row>
    <row r="2517">
      <c r="A2517" s="41"/>
      <c r="B2517" s="41"/>
      <c r="C2517" s="41"/>
      <c r="D2517" s="41"/>
      <c r="E2517" s="41"/>
      <c r="F2517" s="41"/>
    </row>
    <row r="2518">
      <c r="A2518" s="41"/>
      <c r="B2518" s="41"/>
      <c r="C2518" s="41"/>
      <c r="D2518" s="41"/>
      <c r="E2518" s="41"/>
      <c r="F2518" s="41"/>
    </row>
    <row r="2519">
      <c r="A2519" s="41"/>
      <c r="B2519" s="41"/>
      <c r="C2519" s="41"/>
      <c r="D2519" s="41"/>
      <c r="E2519" s="41"/>
      <c r="F2519" s="41"/>
    </row>
    <row r="2520">
      <c r="A2520" s="41"/>
      <c r="B2520" s="41"/>
      <c r="C2520" s="41"/>
      <c r="D2520" s="41"/>
      <c r="E2520" s="41"/>
      <c r="F2520" s="41"/>
    </row>
    <row r="2521">
      <c r="A2521" s="41"/>
      <c r="B2521" s="41"/>
      <c r="C2521" s="41"/>
      <c r="D2521" s="41"/>
      <c r="E2521" s="41"/>
      <c r="F2521" s="41"/>
    </row>
    <row r="2522">
      <c r="A2522" s="41"/>
      <c r="B2522" s="41"/>
      <c r="C2522" s="41"/>
      <c r="D2522" s="41"/>
      <c r="E2522" s="41"/>
      <c r="F2522" s="41"/>
    </row>
    <row r="2523">
      <c r="A2523" s="41"/>
      <c r="B2523" s="41"/>
      <c r="C2523" s="41"/>
      <c r="D2523" s="41"/>
      <c r="E2523" s="41"/>
      <c r="F2523" s="41"/>
    </row>
    <row r="2524">
      <c r="A2524" s="41"/>
      <c r="B2524" s="41"/>
      <c r="C2524" s="41"/>
      <c r="D2524" s="41"/>
      <c r="E2524" s="41"/>
      <c r="F2524" s="41"/>
    </row>
    <row r="2525">
      <c r="A2525" s="41"/>
      <c r="B2525" s="41"/>
      <c r="C2525" s="41"/>
      <c r="D2525" s="41"/>
      <c r="E2525" s="41"/>
      <c r="F2525" s="41"/>
    </row>
    <row r="2526">
      <c r="A2526" s="41"/>
      <c r="B2526" s="41"/>
      <c r="C2526" s="41"/>
      <c r="D2526" s="41"/>
      <c r="E2526" s="41"/>
      <c r="F2526" s="41"/>
    </row>
    <row r="2527">
      <c r="A2527" s="41"/>
      <c r="B2527" s="41"/>
      <c r="C2527" s="41"/>
      <c r="D2527" s="41"/>
      <c r="E2527" s="41"/>
      <c r="F2527" s="41"/>
    </row>
    <row r="2528">
      <c r="A2528" s="41"/>
      <c r="B2528" s="41"/>
      <c r="C2528" s="41"/>
      <c r="D2528" s="41"/>
      <c r="E2528" s="41"/>
      <c r="F2528" s="41"/>
    </row>
    <row r="2529">
      <c r="A2529" s="41"/>
      <c r="B2529" s="41"/>
      <c r="C2529" s="41"/>
      <c r="D2529" s="41"/>
      <c r="E2529" s="41"/>
      <c r="F2529" s="41"/>
    </row>
    <row r="2530">
      <c r="A2530" s="41"/>
      <c r="B2530" s="41"/>
      <c r="C2530" s="41"/>
      <c r="D2530" s="41"/>
      <c r="E2530" s="41"/>
      <c r="F2530" s="41"/>
    </row>
    <row r="2531">
      <c r="A2531" s="41"/>
      <c r="B2531" s="41"/>
      <c r="C2531" s="41"/>
      <c r="D2531" s="41"/>
      <c r="E2531" s="41"/>
      <c r="F2531" s="41"/>
    </row>
    <row r="2532">
      <c r="A2532" s="41"/>
      <c r="B2532" s="41"/>
      <c r="C2532" s="41"/>
      <c r="D2532" s="41"/>
      <c r="E2532" s="41"/>
      <c r="F2532" s="41"/>
    </row>
    <row r="2533">
      <c r="A2533" s="41"/>
      <c r="B2533" s="41"/>
      <c r="C2533" s="41"/>
      <c r="D2533" s="41"/>
      <c r="E2533" s="41"/>
      <c r="F2533" s="41"/>
    </row>
    <row r="2534">
      <c r="A2534" s="41"/>
      <c r="B2534" s="41"/>
      <c r="C2534" s="41"/>
      <c r="D2534" s="41"/>
      <c r="E2534" s="41"/>
      <c r="F2534" s="41"/>
    </row>
    <row r="2535">
      <c r="A2535" s="41"/>
      <c r="B2535" s="41"/>
      <c r="C2535" s="41"/>
      <c r="D2535" s="41"/>
      <c r="E2535" s="41"/>
      <c r="F2535" s="41"/>
    </row>
    <row r="2536">
      <c r="A2536" s="41"/>
      <c r="B2536" s="41"/>
      <c r="C2536" s="41"/>
      <c r="D2536" s="41"/>
      <c r="E2536" s="41"/>
      <c r="F2536" s="41"/>
    </row>
    <row r="2537">
      <c r="A2537" s="41"/>
      <c r="B2537" s="41"/>
      <c r="C2537" s="41"/>
      <c r="D2537" s="41"/>
      <c r="E2537" s="41"/>
      <c r="F2537" s="41"/>
    </row>
    <row r="2538">
      <c r="A2538" s="41"/>
      <c r="B2538" s="41"/>
      <c r="C2538" s="41"/>
      <c r="D2538" s="41"/>
      <c r="E2538" s="41"/>
      <c r="F2538" s="41"/>
    </row>
    <row r="2539">
      <c r="A2539" s="41"/>
      <c r="B2539" s="41"/>
      <c r="C2539" s="41"/>
      <c r="D2539" s="41"/>
      <c r="E2539" s="41"/>
      <c r="F2539" s="41"/>
    </row>
    <row r="2540">
      <c r="A2540" s="41"/>
      <c r="B2540" s="41"/>
      <c r="C2540" s="41"/>
      <c r="D2540" s="41"/>
      <c r="E2540" s="41"/>
      <c r="F2540" s="41"/>
    </row>
    <row r="2541">
      <c r="A2541" s="41"/>
      <c r="B2541" s="41"/>
      <c r="C2541" s="41"/>
      <c r="D2541" s="41"/>
      <c r="E2541" s="41"/>
      <c r="F2541" s="41"/>
    </row>
    <row r="2542">
      <c r="A2542" s="41"/>
      <c r="B2542" s="41"/>
      <c r="C2542" s="41"/>
      <c r="D2542" s="41"/>
      <c r="E2542" s="41"/>
      <c r="F2542" s="41"/>
    </row>
    <row r="2543">
      <c r="A2543" s="41"/>
      <c r="B2543" s="41"/>
      <c r="C2543" s="41"/>
      <c r="D2543" s="41"/>
      <c r="E2543" s="41"/>
      <c r="F2543" s="41"/>
    </row>
    <row r="2544">
      <c r="A2544" s="41"/>
      <c r="B2544" s="41"/>
      <c r="C2544" s="41"/>
      <c r="D2544" s="41"/>
      <c r="E2544" s="41"/>
      <c r="F2544" s="41"/>
    </row>
    <row r="2545">
      <c r="A2545" s="41"/>
      <c r="B2545" s="41"/>
      <c r="C2545" s="41"/>
      <c r="D2545" s="41"/>
      <c r="E2545" s="41"/>
      <c r="F2545" s="41"/>
    </row>
    <row r="2546">
      <c r="A2546" s="41"/>
      <c r="B2546" s="41"/>
      <c r="C2546" s="41"/>
      <c r="D2546" s="41"/>
      <c r="E2546" s="41"/>
      <c r="F2546" s="41"/>
    </row>
    <row r="2547">
      <c r="A2547" s="41"/>
      <c r="B2547" s="41"/>
      <c r="C2547" s="41"/>
      <c r="D2547" s="41"/>
      <c r="E2547" s="41"/>
      <c r="F2547" s="41"/>
    </row>
    <row r="2548">
      <c r="A2548" s="41"/>
      <c r="B2548" s="41"/>
      <c r="C2548" s="41"/>
      <c r="D2548" s="41"/>
      <c r="E2548" s="41"/>
      <c r="F2548" s="41"/>
    </row>
    <row r="2549">
      <c r="A2549" s="41"/>
      <c r="B2549" s="41"/>
      <c r="C2549" s="41"/>
      <c r="D2549" s="41"/>
      <c r="E2549" s="41"/>
      <c r="F2549" s="41"/>
    </row>
    <row r="2550">
      <c r="A2550" s="41"/>
      <c r="B2550" s="41"/>
      <c r="C2550" s="41"/>
      <c r="D2550" s="41"/>
      <c r="E2550" s="41"/>
      <c r="F2550" s="41"/>
    </row>
    <row r="2551">
      <c r="A2551" s="41"/>
      <c r="B2551" s="41"/>
      <c r="C2551" s="41"/>
      <c r="D2551" s="41"/>
      <c r="E2551" s="41"/>
      <c r="F2551" s="41"/>
    </row>
    <row r="2552">
      <c r="A2552" s="41"/>
      <c r="B2552" s="41"/>
      <c r="C2552" s="41"/>
      <c r="D2552" s="41"/>
      <c r="E2552" s="41"/>
      <c r="F2552" s="41"/>
    </row>
    <row r="2553">
      <c r="A2553" s="41"/>
      <c r="B2553" s="41"/>
      <c r="C2553" s="41"/>
      <c r="D2553" s="41"/>
      <c r="E2553" s="41"/>
      <c r="F2553" s="41"/>
    </row>
    <row r="2554">
      <c r="A2554" s="41"/>
      <c r="B2554" s="41"/>
      <c r="C2554" s="41"/>
      <c r="D2554" s="41"/>
      <c r="E2554" s="41"/>
      <c r="F2554" s="41"/>
    </row>
    <row r="2555">
      <c r="A2555" s="41"/>
      <c r="B2555" s="41"/>
      <c r="C2555" s="41"/>
      <c r="D2555" s="41"/>
      <c r="E2555" s="41"/>
      <c r="F2555" s="41"/>
    </row>
    <row r="2556">
      <c r="A2556" s="41"/>
      <c r="B2556" s="41"/>
      <c r="C2556" s="41"/>
      <c r="D2556" s="41"/>
      <c r="E2556" s="41"/>
      <c r="F2556" s="41"/>
    </row>
    <row r="2557">
      <c r="A2557" s="41"/>
      <c r="B2557" s="41"/>
      <c r="C2557" s="41"/>
      <c r="D2557" s="41"/>
      <c r="E2557" s="41"/>
      <c r="F2557" s="41"/>
    </row>
    <row r="2558">
      <c r="A2558" s="41"/>
      <c r="B2558" s="41"/>
      <c r="C2558" s="41"/>
      <c r="D2558" s="41"/>
      <c r="E2558" s="41"/>
      <c r="F2558" s="41"/>
    </row>
    <row r="2559">
      <c r="A2559" s="41"/>
      <c r="B2559" s="41"/>
      <c r="C2559" s="41"/>
      <c r="D2559" s="41"/>
      <c r="E2559" s="41"/>
      <c r="F2559" s="41"/>
    </row>
    <row r="2560">
      <c r="A2560" s="41"/>
      <c r="B2560" s="41"/>
      <c r="C2560" s="41"/>
      <c r="D2560" s="41"/>
      <c r="E2560" s="41"/>
      <c r="F2560" s="41"/>
    </row>
    <row r="2561">
      <c r="A2561" s="41"/>
      <c r="B2561" s="41"/>
      <c r="C2561" s="41"/>
      <c r="D2561" s="41"/>
      <c r="E2561" s="41"/>
      <c r="F2561" s="41"/>
    </row>
    <row r="2562">
      <c r="A2562" s="41"/>
      <c r="B2562" s="41"/>
      <c r="C2562" s="41"/>
      <c r="D2562" s="41"/>
      <c r="E2562" s="41"/>
      <c r="F2562" s="41"/>
    </row>
    <row r="2563">
      <c r="A2563" s="41"/>
      <c r="B2563" s="41"/>
      <c r="C2563" s="41"/>
      <c r="D2563" s="41"/>
      <c r="E2563" s="41"/>
      <c r="F2563" s="41"/>
    </row>
    <row r="2564">
      <c r="A2564" s="41"/>
      <c r="B2564" s="41"/>
      <c r="C2564" s="41"/>
      <c r="D2564" s="41"/>
      <c r="E2564" s="41"/>
      <c r="F2564" s="41"/>
    </row>
    <row r="2565">
      <c r="A2565" s="41"/>
      <c r="B2565" s="41"/>
      <c r="C2565" s="41"/>
      <c r="D2565" s="41"/>
      <c r="E2565" s="41"/>
      <c r="F2565" s="41"/>
    </row>
    <row r="2566">
      <c r="A2566" s="41"/>
      <c r="B2566" s="41"/>
      <c r="C2566" s="41"/>
      <c r="D2566" s="41"/>
      <c r="E2566" s="41"/>
      <c r="F2566" s="41"/>
    </row>
    <row r="2567">
      <c r="A2567" s="41"/>
      <c r="B2567" s="41"/>
      <c r="C2567" s="41"/>
      <c r="D2567" s="41"/>
      <c r="E2567" s="41"/>
      <c r="F2567" s="41"/>
    </row>
    <row r="2568">
      <c r="A2568" s="41"/>
      <c r="B2568" s="41"/>
      <c r="C2568" s="41"/>
      <c r="D2568" s="41"/>
      <c r="E2568" s="41"/>
      <c r="F2568" s="41"/>
    </row>
    <row r="2569">
      <c r="A2569" s="41"/>
      <c r="B2569" s="41"/>
      <c r="C2569" s="41"/>
      <c r="D2569" s="41"/>
      <c r="E2569" s="41"/>
      <c r="F2569" s="41"/>
    </row>
    <row r="2570">
      <c r="A2570" s="41"/>
      <c r="B2570" s="41"/>
      <c r="C2570" s="41"/>
      <c r="D2570" s="41"/>
      <c r="E2570" s="41"/>
      <c r="F2570" s="41"/>
    </row>
    <row r="2571">
      <c r="A2571" s="41"/>
      <c r="B2571" s="41"/>
      <c r="C2571" s="41"/>
      <c r="D2571" s="41"/>
      <c r="E2571" s="41"/>
      <c r="F2571" s="41"/>
    </row>
    <row r="2572">
      <c r="A2572" s="41"/>
      <c r="B2572" s="41"/>
      <c r="C2572" s="41"/>
      <c r="D2572" s="41"/>
      <c r="E2572" s="41"/>
      <c r="F2572" s="41"/>
    </row>
    <row r="2573">
      <c r="A2573" s="41"/>
      <c r="B2573" s="41"/>
      <c r="C2573" s="41"/>
      <c r="D2573" s="41"/>
      <c r="E2573" s="41"/>
      <c r="F2573" s="41"/>
    </row>
    <row r="2574">
      <c r="A2574" s="41"/>
      <c r="B2574" s="41"/>
      <c r="C2574" s="41"/>
      <c r="D2574" s="41"/>
      <c r="E2574" s="41"/>
      <c r="F2574" s="41"/>
    </row>
    <row r="2575">
      <c r="A2575" s="41"/>
      <c r="B2575" s="41"/>
      <c r="C2575" s="41"/>
      <c r="D2575" s="41"/>
      <c r="E2575" s="41"/>
      <c r="F2575" s="41"/>
    </row>
    <row r="2576">
      <c r="A2576" s="41"/>
      <c r="B2576" s="41"/>
      <c r="C2576" s="41"/>
      <c r="D2576" s="41"/>
      <c r="E2576" s="41"/>
      <c r="F2576" s="41"/>
    </row>
    <row r="2577">
      <c r="A2577" s="41"/>
      <c r="B2577" s="41"/>
      <c r="C2577" s="41"/>
      <c r="D2577" s="41"/>
      <c r="E2577" s="41"/>
      <c r="F2577" s="41"/>
    </row>
    <row r="2578">
      <c r="A2578" s="41"/>
      <c r="B2578" s="41"/>
      <c r="C2578" s="41"/>
      <c r="D2578" s="41"/>
      <c r="E2578" s="41"/>
      <c r="F2578" s="41"/>
    </row>
    <row r="2579">
      <c r="A2579" s="41"/>
      <c r="B2579" s="41"/>
      <c r="C2579" s="41"/>
      <c r="D2579" s="41"/>
      <c r="E2579" s="41"/>
      <c r="F2579" s="41"/>
    </row>
    <row r="2580">
      <c r="A2580" s="41"/>
      <c r="B2580" s="41"/>
      <c r="C2580" s="41"/>
      <c r="D2580" s="41"/>
      <c r="E2580" s="41"/>
      <c r="F2580" s="41"/>
    </row>
    <row r="2581">
      <c r="A2581" s="41"/>
      <c r="B2581" s="41"/>
      <c r="C2581" s="41"/>
      <c r="D2581" s="41"/>
      <c r="E2581" s="41"/>
      <c r="F2581" s="41"/>
    </row>
    <row r="2582">
      <c r="A2582" s="41"/>
      <c r="B2582" s="41"/>
      <c r="C2582" s="41"/>
      <c r="D2582" s="41"/>
      <c r="E2582" s="41"/>
      <c r="F2582" s="41"/>
    </row>
    <row r="2583">
      <c r="A2583" s="41"/>
      <c r="B2583" s="41"/>
      <c r="C2583" s="41"/>
      <c r="D2583" s="41"/>
      <c r="E2583" s="41"/>
      <c r="F2583" s="41"/>
    </row>
    <row r="2584">
      <c r="A2584" s="41"/>
      <c r="B2584" s="41"/>
      <c r="C2584" s="41"/>
      <c r="D2584" s="41"/>
      <c r="E2584" s="41"/>
      <c r="F2584" s="41"/>
    </row>
    <row r="2585">
      <c r="A2585" s="41"/>
      <c r="B2585" s="41"/>
      <c r="C2585" s="41"/>
      <c r="D2585" s="41"/>
      <c r="E2585" s="41"/>
      <c r="F2585" s="41"/>
    </row>
    <row r="2586">
      <c r="A2586" s="41"/>
      <c r="B2586" s="41"/>
      <c r="C2586" s="41"/>
      <c r="D2586" s="41"/>
      <c r="E2586" s="41"/>
      <c r="F2586" s="41"/>
    </row>
    <row r="2587">
      <c r="A2587" s="41"/>
      <c r="B2587" s="41"/>
      <c r="C2587" s="41"/>
      <c r="D2587" s="41"/>
      <c r="E2587" s="41"/>
      <c r="F2587" s="41"/>
    </row>
    <row r="2588">
      <c r="A2588" s="41"/>
      <c r="B2588" s="41"/>
      <c r="C2588" s="41"/>
      <c r="D2588" s="41"/>
      <c r="E2588" s="41"/>
      <c r="F2588" s="41"/>
    </row>
    <row r="2589">
      <c r="A2589" s="41"/>
      <c r="B2589" s="41"/>
      <c r="C2589" s="41"/>
      <c r="D2589" s="41"/>
      <c r="E2589" s="41"/>
      <c r="F2589" s="41"/>
    </row>
    <row r="2590">
      <c r="A2590" s="41"/>
      <c r="B2590" s="41"/>
      <c r="C2590" s="41"/>
      <c r="D2590" s="41"/>
      <c r="E2590" s="41"/>
      <c r="F2590" s="41"/>
    </row>
    <row r="2591">
      <c r="A2591" s="41"/>
      <c r="B2591" s="41"/>
      <c r="C2591" s="41"/>
      <c r="D2591" s="41"/>
      <c r="E2591" s="41"/>
      <c r="F2591" s="41"/>
    </row>
    <row r="2592">
      <c r="A2592" s="41"/>
      <c r="B2592" s="41"/>
      <c r="C2592" s="41"/>
      <c r="D2592" s="41"/>
      <c r="E2592" s="41"/>
      <c r="F2592" s="41"/>
    </row>
    <row r="2593">
      <c r="A2593" s="41"/>
      <c r="B2593" s="41"/>
      <c r="C2593" s="41"/>
      <c r="D2593" s="41"/>
      <c r="E2593" s="41"/>
      <c r="F2593" s="41"/>
    </row>
    <row r="2594">
      <c r="A2594" s="41"/>
      <c r="B2594" s="41"/>
      <c r="C2594" s="41"/>
      <c r="D2594" s="41"/>
      <c r="E2594" s="41"/>
      <c r="F2594" s="41"/>
    </row>
    <row r="2595">
      <c r="A2595" s="41"/>
      <c r="B2595" s="41"/>
      <c r="C2595" s="41"/>
      <c r="D2595" s="41"/>
      <c r="E2595" s="41"/>
      <c r="F2595" s="41"/>
    </row>
    <row r="2596">
      <c r="A2596" s="41"/>
      <c r="B2596" s="41"/>
      <c r="C2596" s="41"/>
      <c r="D2596" s="41"/>
      <c r="E2596" s="41"/>
      <c r="F2596" s="41"/>
    </row>
    <row r="2597">
      <c r="A2597" s="41"/>
      <c r="B2597" s="41"/>
      <c r="C2597" s="41"/>
      <c r="D2597" s="41"/>
      <c r="E2597" s="41"/>
      <c r="F2597" s="41"/>
    </row>
    <row r="2598">
      <c r="A2598" s="41"/>
      <c r="B2598" s="41"/>
      <c r="C2598" s="41"/>
      <c r="D2598" s="41"/>
      <c r="E2598" s="41"/>
      <c r="F2598" s="41"/>
    </row>
    <row r="2599">
      <c r="A2599" s="41"/>
      <c r="B2599" s="41"/>
      <c r="C2599" s="41"/>
      <c r="D2599" s="41"/>
      <c r="E2599" s="41"/>
      <c r="F2599" s="41"/>
    </row>
    <row r="2600">
      <c r="A2600" s="41"/>
      <c r="B2600" s="41"/>
      <c r="C2600" s="41"/>
      <c r="D2600" s="41"/>
      <c r="E2600" s="41"/>
      <c r="F2600" s="41"/>
    </row>
    <row r="2601">
      <c r="A2601" s="41"/>
      <c r="B2601" s="41"/>
      <c r="C2601" s="41"/>
      <c r="D2601" s="41"/>
      <c r="E2601" s="41"/>
      <c r="F2601" s="41"/>
    </row>
    <row r="2602">
      <c r="A2602" s="41"/>
      <c r="B2602" s="41"/>
      <c r="C2602" s="41"/>
      <c r="D2602" s="41"/>
      <c r="E2602" s="41"/>
      <c r="F2602" s="41"/>
    </row>
    <row r="2603">
      <c r="A2603" s="41"/>
      <c r="B2603" s="41"/>
      <c r="C2603" s="41"/>
      <c r="D2603" s="41"/>
      <c r="E2603" s="41"/>
      <c r="F2603" s="41"/>
    </row>
    <row r="2604">
      <c r="A2604" s="41"/>
      <c r="B2604" s="41"/>
      <c r="C2604" s="41"/>
      <c r="D2604" s="41"/>
      <c r="E2604" s="41"/>
      <c r="F2604" s="41"/>
    </row>
    <row r="2605">
      <c r="A2605" s="41"/>
      <c r="B2605" s="41"/>
      <c r="C2605" s="41"/>
      <c r="D2605" s="41"/>
      <c r="E2605" s="41"/>
      <c r="F2605" s="41"/>
    </row>
    <row r="2606">
      <c r="A2606" s="41"/>
      <c r="B2606" s="41"/>
      <c r="C2606" s="41"/>
      <c r="D2606" s="41"/>
      <c r="E2606" s="41"/>
      <c r="F2606" s="41"/>
    </row>
    <row r="2607">
      <c r="A2607" s="41"/>
      <c r="B2607" s="41"/>
      <c r="C2607" s="41"/>
      <c r="D2607" s="41"/>
      <c r="E2607" s="41"/>
      <c r="F2607" s="41"/>
    </row>
    <row r="2608">
      <c r="A2608" s="41"/>
      <c r="B2608" s="41"/>
      <c r="C2608" s="41"/>
      <c r="D2608" s="41"/>
      <c r="E2608" s="41"/>
      <c r="F2608" s="41"/>
    </row>
    <row r="2609">
      <c r="A2609" s="41"/>
      <c r="B2609" s="41"/>
      <c r="C2609" s="41"/>
      <c r="D2609" s="41"/>
      <c r="E2609" s="41"/>
      <c r="F2609" s="41"/>
    </row>
    <row r="2610">
      <c r="A2610" s="41"/>
      <c r="B2610" s="41"/>
      <c r="C2610" s="41"/>
      <c r="D2610" s="41"/>
      <c r="E2610" s="41"/>
      <c r="F2610" s="41"/>
    </row>
    <row r="2611">
      <c r="A2611" s="41"/>
      <c r="B2611" s="41"/>
      <c r="C2611" s="41"/>
      <c r="D2611" s="41"/>
      <c r="E2611" s="41"/>
      <c r="F2611" s="41"/>
    </row>
    <row r="2612">
      <c r="A2612" s="41"/>
      <c r="B2612" s="41"/>
      <c r="C2612" s="41"/>
      <c r="D2612" s="41"/>
      <c r="E2612" s="41"/>
      <c r="F2612" s="41"/>
    </row>
    <row r="2613">
      <c r="A2613" s="41"/>
      <c r="B2613" s="41"/>
      <c r="C2613" s="41"/>
      <c r="D2613" s="41"/>
      <c r="E2613" s="41"/>
      <c r="F2613" s="41"/>
    </row>
    <row r="2614">
      <c r="A2614" s="41"/>
      <c r="B2614" s="41"/>
      <c r="C2614" s="41"/>
      <c r="D2614" s="41"/>
      <c r="E2614" s="41"/>
      <c r="F2614" s="41"/>
    </row>
    <row r="2615">
      <c r="A2615" s="41"/>
      <c r="B2615" s="41"/>
      <c r="C2615" s="41"/>
      <c r="D2615" s="41"/>
      <c r="E2615" s="41"/>
      <c r="F2615" s="41"/>
    </row>
    <row r="2616">
      <c r="A2616" s="41"/>
      <c r="B2616" s="41"/>
      <c r="C2616" s="41"/>
      <c r="D2616" s="41"/>
      <c r="E2616" s="41"/>
      <c r="F2616" s="41"/>
    </row>
    <row r="2617">
      <c r="A2617" s="41"/>
      <c r="B2617" s="41"/>
      <c r="C2617" s="41"/>
      <c r="D2617" s="41"/>
      <c r="E2617" s="41"/>
      <c r="F2617" s="41"/>
    </row>
    <row r="2618">
      <c r="A2618" s="41"/>
      <c r="B2618" s="41"/>
      <c r="C2618" s="41"/>
      <c r="D2618" s="41"/>
      <c r="E2618" s="41"/>
      <c r="F2618" s="41"/>
    </row>
    <row r="2619">
      <c r="A2619" s="41"/>
      <c r="B2619" s="41"/>
      <c r="C2619" s="41"/>
      <c r="D2619" s="41"/>
      <c r="E2619" s="41"/>
      <c r="F2619" s="41"/>
    </row>
    <row r="2620">
      <c r="A2620" s="41"/>
      <c r="B2620" s="41"/>
      <c r="C2620" s="41"/>
      <c r="D2620" s="41"/>
      <c r="E2620" s="41"/>
      <c r="F2620" s="41"/>
    </row>
    <row r="2621">
      <c r="A2621" s="41"/>
      <c r="B2621" s="41"/>
      <c r="C2621" s="41"/>
      <c r="D2621" s="41"/>
      <c r="E2621" s="41"/>
      <c r="F2621" s="41"/>
    </row>
    <row r="2622">
      <c r="A2622" s="41"/>
      <c r="B2622" s="41"/>
      <c r="C2622" s="41"/>
      <c r="D2622" s="41"/>
      <c r="E2622" s="41"/>
      <c r="F2622" s="41"/>
    </row>
    <row r="2623">
      <c r="A2623" s="41"/>
      <c r="B2623" s="41"/>
      <c r="C2623" s="41"/>
      <c r="D2623" s="41"/>
      <c r="E2623" s="41"/>
      <c r="F2623" s="41"/>
    </row>
    <row r="2624">
      <c r="A2624" s="41"/>
      <c r="B2624" s="41"/>
      <c r="C2624" s="41"/>
      <c r="D2624" s="41"/>
      <c r="E2624" s="41"/>
      <c r="F2624" s="41"/>
    </row>
    <row r="2625">
      <c r="A2625" s="41"/>
      <c r="B2625" s="41"/>
      <c r="C2625" s="41"/>
      <c r="D2625" s="41"/>
      <c r="E2625" s="41"/>
      <c r="F2625" s="41"/>
    </row>
    <row r="2626">
      <c r="A2626" s="41"/>
      <c r="B2626" s="41"/>
      <c r="C2626" s="41"/>
      <c r="D2626" s="41"/>
      <c r="E2626" s="41"/>
      <c r="F2626" s="41"/>
    </row>
    <row r="2627">
      <c r="A2627" s="41"/>
      <c r="B2627" s="41"/>
      <c r="C2627" s="41"/>
      <c r="D2627" s="41"/>
      <c r="E2627" s="41"/>
      <c r="F2627" s="41"/>
    </row>
    <row r="2628">
      <c r="A2628" s="41"/>
      <c r="B2628" s="41"/>
      <c r="C2628" s="41"/>
      <c r="D2628" s="41"/>
      <c r="E2628" s="41"/>
      <c r="F2628" s="41"/>
    </row>
    <row r="2629">
      <c r="A2629" s="41"/>
      <c r="B2629" s="41"/>
      <c r="C2629" s="41"/>
      <c r="D2629" s="41"/>
      <c r="E2629" s="41"/>
      <c r="F2629" s="41"/>
    </row>
    <row r="2630">
      <c r="A2630" s="41"/>
      <c r="B2630" s="41"/>
      <c r="C2630" s="41"/>
      <c r="D2630" s="41"/>
      <c r="E2630" s="41"/>
      <c r="F2630" s="41"/>
    </row>
    <row r="2631">
      <c r="A2631" s="41"/>
      <c r="B2631" s="41"/>
      <c r="C2631" s="41"/>
      <c r="D2631" s="41"/>
      <c r="E2631" s="41"/>
      <c r="F2631" s="41"/>
    </row>
    <row r="2632">
      <c r="A2632" s="41"/>
      <c r="B2632" s="41"/>
      <c r="C2632" s="41"/>
      <c r="D2632" s="41"/>
      <c r="E2632" s="41"/>
      <c r="F2632" s="41"/>
    </row>
    <row r="2633">
      <c r="A2633" s="41"/>
      <c r="B2633" s="41"/>
      <c r="C2633" s="41"/>
      <c r="D2633" s="41"/>
      <c r="E2633" s="41"/>
      <c r="F2633" s="41"/>
    </row>
    <row r="2634">
      <c r="A2634" s="41"/>
      <c r="B2634" s="41"/>
      <c r="C2634" s="41"/>
      <c r="D2634" s="41"/>
      <c r="E2634" s="41"/>
      <c r="F2634" s="41"/>
    </row>
    <row r="2635">
      <c r="A2635" s="41"/>
      <c r="B2635" s="41"/>
      <c r="C2635" s="41"/>
      <c r="D2635" s="41"/>
      <c r="E2635" s="41"/>
      <c r="F2635" s="41"/>
    </row>
    <row r="2636">
      <c r="A2636" s="41"/>
      <c r="B2636" s="41"/>
      <c r="C2636" s="41"/>
      <c r="D2636" s="41"/>
      <c r="E2636" s="41"/>
      <c r="F2636" s="41"/>
    </row>
    <row r="2637">
      <c r="A2637" s="41"/>
      <c r="B2637" s="41"/>
      <c r="C2637" s="41"/>
      <c r="D2637" s="41"/>
      <c r="E2637" s="41"/>
      <c r="F2637" s="41"/>
    </row>
    <row r="2638">
      <c r="A2638" s="41"/>
      <c r="B2638" s="41"/>
      <c r="C2638" s="41"/>
      <c r="D2638" s="41"/>
      <c r="E2638" s="41"/>
      <c r="F2638" s="41"/>
    </row>
    <row r="2639">
      <c r="A2639" s="41"/>
      <c r="B2639" s="41"/>
      <c r="C2639" s="41"/>
      <c r="D2639" s="41"/>
      <c r="E2639" s="41"/>
      <c r="F2639" s="41"/>
    </row>
    <row r="2640">
      <c r="A2640" s="41"/>
      <c r="B2640" s="41"/>
      <c r="C2640" s="41"/>
      <c r="D2640" s="41"/>
      <c r="E2640" s="41"/>
      <c r="F2640" s="41"/>
    </row>
    <row r="2641">
      <c r="A2641" s="41"/>
      <c r="B2641" s="41"/>
      <c r="C2641" s="41"/>
      <c r="D2641" s="41"/>
      <c r="E2641" s="41"/>
      <c r="F2641" s="41"/>
    </row>
    <row r="2642">
      <c r="A2642" s="41"/>
      <c r="B2642" s="41"/>
      <c r="C2642" s="41"/>
      <c r="D2642" s="41"/>
      <c r="E2642" s="41"/>
      <c r="F2642" s="41"/>
    </row>
    <row r="2643">
      <c r="A2643" s="41"/>
      <c r="B2643" s="41"/>
      <c r="C2643" s="41"/>
      <c r="D2643" s="41"/>
      <c r="E2643" s="41"/>
      <c r="F2643" s="41"/>
    </row>
    <row r="2644">
      <c r="A2644" s="41"/>
      <c r="B2644" s="41"/>
      <c r="C2644" s="41"/>
      <c r="D2644" s="41"/>
      <c r="E2644" s="41"/>
      <c r="F2644" s="41"/>
    </row>
    <row r="2645">
      <c r="A2645" s="41"/>
      <c r="B2645" s="41"/>
      <c r="C2645" s="41"/>
      <c r="D2645" s="41"/>
      <c r="E2645" s="41"/>
      <c r="F2645" s="41"/>
    </row>
    <row r="2646">
      <c r="A2646" s="41"/>
      <c r="B2646" s="41"/>
      <c r="C2646" s="41"/>
      <c r="D2646" s="41"/>
      <c r="E2646" s="41"/>
      <c r="F2646" s="41"/>
    </row>
    <row r="2647">
      <c r="A2647" s="41"/>
      <c r="B2647" s="41"/>
      <c r="C2647" s="41"/>
      <c r="D2647" s="41"/>
      <c r="E2647" s="41"/>
      <c r="F2647" s="41"/>
    </row>
    <row r="2648">
      <c r="A2648" s="41"/>
      <c r="B2648" s="41"/>
      <c r="C2648" s="41"/>
      <c r="D2648" s="41"/>
      <c r="E2648" s="41"/>
      <c r="F2648" s="41"/>
    </row>
    <row r="2649">
      <c r="A2649" s="41"/>
      <c r="B2649" s="41"/>
      <c r="C2649" s="41"/>
      <c r="D2649" s="41"/>
      <c r="E2649" s="41"/>
      <c r="F2649" s="41"/>
    </row>
    <row r="2650">
      <c r="A2650" s="41"/>
      <c r="B2650" s="41"/>
      <c r="C2650" s="41"/>
      <c r="D2650" s="41"/>
      <c r="E2650" s="41"/>
      <c r="F2650" s="41"/>
    </row>
    <row r="2651">
      <c r="A2651" s="41"/>
      <c r="B2651" s="41"/>
      <c r="C2651" s="41"/>
      <c r="D2651" s="41"/>
      <c r="E2651" s="41"/>
      <c r="F2651" s="41"/>
    </row>
    <row r="2652">
      <c r="A2652" s="41"/>
      <c r="B2652" s="41"/>
      <c r="C2652" s="41"/>
      <c r="D2652" s="41"/>
      <c r="E2652" s="41"/>
      <c r="F2652" s="41"/>
    </row>
    <row r="2653">
      <c r="A2653" s="41"/>
      <c r="B2653" s="41"/>
      <c r="C2653" s="41"/>
      <c r="D2653" s="41"/>
      <c r="E2653" s="41"/>
      <c r="F2653" s="41"/>
    </row>
    <row r="2654">
      <c r="A2654" s="41"/>
      <c r="B2654" s="41"/>
      <c r="C2654" s="41"/>
      <c r="D2654" s="41"/>
      <c r="E2654" s="41"/>
      <c r="F2654" s="41"/>
    </row>
    <row r="2655">
      <c r="A2655" s="41"/>
      <c r="B2655" s="41"/>
      <c r="C2655" s="41"/>
      <c r="D2655" s="41"/>
      <c r="E2655" s="41"/>
      <c r="F2655" s="41"/>
    </row>
    <row r="2656">
      <c r="A2656" s="41"/>
      <c r="B2656" s="41"/>
      <c r="C2656" s="41"/>
      <c r="D2656" s="41"/>
      <c r="E2656" s="41"/>
      <c r="F2656" s="41"/>
    </row>
    <row r="2657">
      <c r="A2657" s="41"/>
      <c r="B2657" s="41"/>
      <c r="C2657" s="41"/>
      <c r="D2657" s="41"/>
      <c r="E2657" s="41"/>
      <c r="F2657" s="41"/>
    </row>
    <row r="2658">
      <c r="A2658" s="41"/>
      <c r="B2658" s="41"/>
      <c r="C2658" s="41"/>
      <c r="D2658" s="41"/>
      <c r="E2658" s="41"/>
      <c r="F2658" s="41"/>
    </row>
    <row r="2659">
      <c r="A2659" s="41"/>
      <c r="B2659" s="41"/>
      <c r="C2659" s="41"/>
      <c r="D2659" s="41"/>
      <c r="E2659" s="41"/>
      <c r="F2659" s="41"/>
    </row>
    <row r="2660">
      <c r="A2660" s="41"/>
      <c r="B2660" s="41"/>
      <c r="C2660" s="41"/>
      <c r="D2660" s="41"/>
      <c r="E2660" s="41"/>
      <c r="F2660" s="41"/>
    </row>
    <row r="2661">
      <c r="A2661" s="41"/>
      <c r="B2661" s="41"/>
      <c r="C2661" s="41"/>
      <c r="D2661" s="41"/>
      <c r="E2661" s="41"/>
      <c r="F2661" s="41"/>
    </row>
    <row r="2662">
      <c r="A2662" s="41"/>
      <c r="B2662" s="41"/>
      <c r="C2662" s="41"/>
      <c r="D2662" s="41"/>
      <c r="E2662" s="41"/>
      <c r="F2662" s="41"/>
    </row>
    <row r="2663">
      <c r="A2663" s="41"/>
      <c r="B2663" s="41"/>
      <c r="C2663" s="41"/>
      <c r="D2663" s="41"/>
      <c r="E2663" s="41"/>
      <c r="F2663" s="41"/>
    </row>
    <row r="2664">
      <c r="A2664" s="41"/>
      <c r="B2664" s="41"/>
      <c r="C2664" s="41"/>
      <c r="D2664" s="41"/>
      <c r="E2664" s="41"/>
      <c r="F2664" s="41"/>
    </row>
    <row r="2665">
      <c r="A2665" s="41"/>
      <c r="B2665" s="41"/>
      <c r="C2665" s="41"/>
      <c r="D2665" s="41"/>
      <c r="E2665" s="41"/>
      <c r="F2665" s="41"/>
    </row>
    <row r="2666">
      <c r="A2666" s="41"/>
      <c r="B2666" s="41"/>
      <c r="C2666" s="41"/>
      <c r="D2666" s="41"/>
      <c r="E2666" s="41"/>
      <c r="F2666" s="41"/>
    </row>
    <row r="2667">
      <c r="A2667" s="41"/>
      <c r="B2667" s="41"/>
      <c r="C2667" s="41"/>
      <c r="D2667" s="41"/>
      <c r="E2667" s="41"/>
      <c r="F2667" s="41"/>
    </row>
    <row r="2668">
      <c r="A2668" s="41"/>
      <c r="B2668" s="41"/>
      <c r="C2668" s="41"/>
      <c r="D2668" s="41"/>
      <c r="E2668" s="41"/>
      <c r="F2668" s="41"/>
    </row>
    <row r="2669">
      <c r="A2669" s="41"/>
      <c r="B2669" s="41"/>
      <c r="C2669" s="41"/>
      <c r="D2669" s="41"/>
      <c r="E2669" s="41"/>
      <c r="F2669" s="41"/>
    </row>
    <row r="2670">
      <c r="A2670" s="41"/>
      <c r="B2670" s="41"/>
      <c r="C2670" s="41"/>
      <c r="D2670" s="41"/>
      <c r="E2670" s="41"/>
      <c r="F2670" s="41"/>
    </row>
    <row r="2671">
      <c r="A2671" s="41"/>
      <c r="B2671" s="41"/>
      <c r="C2671" s="41"/>
      <c r="D2671" s="41"/>
      <c r="E2671" s="41"/>
      <c r="F2671" s="41"/>
    </row>
    <row r="2672">
      <c r="A2672" s="41"/>
      <c r="B2672" s="41"/>
      <c r="C2672" s="41"/>
      <c r="D2672" s="41"/>
      <c r="E2672" s="41"/>
      <c r="F2672" s="41"/>
    </row>
    <row r="2673">
      <c r="A2673" s="41"/>
      <c r="B2673" s="41"/>
      <c r="C2673" s="41"/>
      <c r="D2673" s="41"/>
      <c r="E2673" s="41"/>
      <c r="F2673" s="41"/>
    </row>
    <row r="2674">
      <c r="A2674" s="41"/>
      <c r="B2674" s="41"/>
      <c r="C2674" s="41"/>
      <c r="D2674" s="41"/>
      <c r="E2674" s="41"/>
      <c r="F2674" s="41"/>
    </row>
    <row r="2675">
      <c r="A2675" s="41"/>
      <c r="B2675" s="41"/>
      <c r="C2675" s="41"/>
      <c r="D2675" s="41"/>
      <c r="E2675" s="41"/>
      <c r="F2675" s="41"/>
    </row>
    <row r="2676">
      <c r="A2676" s="41"/>
      <c r="B2676" s="41"/>
      <c r="C2676" s="41"/>
      <c r="D2676" s="41"/>
      <c r="E2676" s="41"/>
      <c r="F2676" s="41"/>
    </row>
    <row r="2677">
      <c r="A2677" s="41"/>
      <c r="B2677" s="41"/>
      <c r="C2677" s="41"/>
      <c r="D2677" s="41"/>
      <c r="E2677" s="41"/>
      <c r="F2677" s="41"/>
    </row>
    <row r="2678">
      <c r="A2678" s="41"/>
      <c r="B2678" s="41"/>
      <c r="C2678" s="41"/>
      <c r="D2678" s="41"/>
      <c r="E2678" s="41"/>
      <c r="F2678" s="41"/>
    </row>
    <row r="2679">
      <c r="A2679" s="41"/>
      <c r="B2679" s="41"/>
      <c r="C2679" s="41"/>
      <c r="D2679" s="41"/>
      <c r="E2679" s="41"/>
      <c r="F2679" s="41"/>
    </row>
    <row r="2680">
      <c r="A2680" s="41"/>
      <c r="B2680" s="41"/>
      <c r="C2680" s="41"/>
      <c r="D2680" s="41"/>
      <c r="E2680" s="41"/>
      <c r="F2680" s="41"/>
    </row>
    <row r="2681">
      <c r="A2681" s="41"/>
      <c r="B2681" s="41"/>
      <c r="C2681" s="41"/>
      <c r="D2681" s="41"/>
      <c r="E2681" s="41"/>
      <c r="F2681" s="41"/>
    </row>
    <row r="2682">
      <c r="A2682" s="41"/>
      <c r="B2682" s="41"/>
      <c r="C2682" s="41"/>
      <c r="D2682" s="41"/>
      <c r="E2682" s="41"/>
      <c r="F2682" s="41"/>
    </row>
    <row r="2683">
      <c r="A2683" s="41"/>
      <c r="B2683" s="41"/>
      <c r="C2683" s="41"/>
      <c r="D2683" s="41"/>
      <c r="E2683" s="41"/>
      <c r="F2683" s="41"/>
    </row>
    <row r="2684">
      <c r="A2684" s="41"/>
      <c r="B2684" s="41"/>
      <c r="C2684" s="41"/>
      <c r="D2684" s="41"/>
      <c r="E2684" s="41"/>
      <c r="F2684" s="41"/>
    </row>
    <row r="2685">
      <c r="A2685" s="41"/>
      <c r="B2685" s="41"/>
      <c r="C2685" s="41"/>
      <c r="D2685" s="41"/>
      <c r="E2685" s="41"/>
      <c r="F2685" s="41"/>
    </row>
    <row r="2686">
      <c r="A2686" s="41"/>
      <c r="B2686" s="41"/>
      <c r="C2686" s="41"/>
      <c r="D2686" s="41"/>
      <c r="E2686" s="41"/>
      <c r="F2686" s="41"/>
    </row>
    <row r="2687">
      <c r="A2687" s="41"/>
      <c r="B2687" s="41"/>
      <c r="C2687" s="41"/>
      <c r="D2687" s="41"/>
      <c r="E2687" s="41"/>
      <c r="F2687" s="41"/>
    </row>
    <row r="2688">
      <c r="A2688" s="41"/>
      <c r="B2688" s="41"/>
      <c r="C2688" s="41"/>
      <c r="D2688" s="41"/>
      <c r="E2688" s="41"/>
      <c r="F2688" s="41"/>
    </row>
    <row r="2689">
      <c r="A2689" s="41"/>
      <c r="B2689" s="41"/>
      <c r="C2689" s="41"/>
      <c r="D2689" s="41"/>
      <c r="E2689" s="41"/>
      <c r="F2689" s="41"/>
    </row>
    <row r="2690">
      <c r="A2690" s="41"/>
      <c r="B2690" s="41"/>
      <c r="C2690" s="41"/>
      <c r="D2690" s="41"/>
      <c r="E2690" s="41"/>
      <c r="F2690" s="41"/>
    </row>
    <row r="2691">
      <c r="A2691" s="41"/>
      <c r="B2691" s="41"/>
      <c r="C2691" s="41"/>
      <c r="D2691" s="41"/>
      <c r="E2691" s="41"/>
      <c r="F2691" s="41"/>
    </row>
    <row r="2692">
      <c r="A2692" s="41"/>
      <c r="B2692" s="41"/>
      <c r="C2692" s="41"/>
      <c r="D2692" s="41"/>
      <c r="E2692" s="41"/>
      <c r="F2692" s="41"/>
    </row>
    <row r="2693">
      <c r="A2693" s="41"/>
      <c r="B2693" s="41"/>
      <c r="C2693" s="41"/>
      <c r="D2693" s="41"/>
      <c r="E2693" s="41"/>
      <c r="F2693" s="41"/>
    </row>
    <row r="2694">
      <c r="A2694" s="41"/>
      <c r="B2694" s="41"/>
      <c r="C2694" s="41"/>
      <c r="D2694" s="41"/>
      <c r="E2694" s="41"/>
      <c r="F2694" s="41"/>
    </row>
    <row r="2695">
      <c r="A2695" s="41"/>
      <c r="B2695" s="41"/>
      <c r="C2695" s="41"/>
      <c r="D2695" s="41"/>
      <c r="E2695" s="41"/>
      <c r="F2695" s="41"/>
    </row>
    <row r="2696">
      <c r="A2696" s="41"/>
      <c r="B2696" s="41"/>
      <c r="C2696" s="41"/>
      <c r="D2696" s="41"/>
      <c r="E2696" s="41"/>
      <c r="F2696" s="41"/>
    </row>
    <row r="2697">
      <c r="A2697" s="41"/>
      <c r="B2697" s="41"/>
      <c r="C2697" s="41"/>
      <c r="D2697" s="41"/>
      <c r="E2697" s="41"/>
      <c r="F2697" s="41"/>
    </row>
    <row r="2698">
      <c r="A2698" s="41"/>
      <c r="B2698" s="41"/>
      <c r="C2698" s="41"/>
      <c r="D2698" s="41"/>
      <c r="E2698" s="41"/>
      <c r="F2698" s="41"/>
    </row>
    <row r="2699">
      <c r="A2699" s="41"/>
      <c r="B2699" s="41"/>
      <c r="C2699" s="41"/>
      <c r="D2699" s="41"/>
      <c r="E2699" s="41"/>
      <c r="F2699" s="41"/>
    </row>
    <row r="2700">
      <c r="A2700" s="41"/>
      <c r="B2700" s="41"/>
      <c r="C2700" s="41"/>
      <c r="D2700" s="41"/>
      <c r="E2700" s="41"/>
      <c r="F2700" s="41"/>
    </row>
    <row r="2701">
      <c r="A2701" s="41"/>
      <c r="B2701" s="41"/>
      <c r="C2701" s="41"/>
      <c r="D2701" s="41"/>
      <c r="E2701" s="41"/>
      <c r="F2701" s="41"/>
    </row>
    <row r="2702">
      <c r="A2702" s="41"/>
      <c r="B2702" s="41"/>
      <c r="C2702" s="41"/>
      <c r="D2702" s="41"/>
      <c r="E2702" s="41"/>
      <c r="F2702" s="41"/>
    </row>
    <row r="2703">
      <c r="A2703" s="41"/>
      <c r="B2703" s="41"/>
      <c r="C2703" s="41"/>
      <c r="D2703" s="41"/>
      <c r="E2703" s="41"/>
      <c r="F2703" s="41"/>
    </row>
    <row r="2704">
      <c r="A2704" s="41"/>
      <c r="B2704" s="41"/>
      <c r="C2704" s="41"/>
      <c r="D2704" s="41"/>
      <c r="E2704" s="41"/>
      <c r="F2704" s="41"/>
    </row>
    <row r="2705">
      <c r="A2705" s="41"/>
      <c r="B2705" s="41"/>
      <c r="C2705" s="41"/>
      <c r="D2705" s="41"/>
      <c r="E2705" s="41"/>
      <c r="F2705" s="41"/>
    </row>
    <row r="2706">
      <c r="A2706" s="41"/>
      <c r="B2706" s="41"/>
      <c r="C2706" s="41"/>
      <c r="D2706" s="41"/>
      <c r="E2706" s="41"/>
      <c r="F2706" s="41"/>
    </row>
    <row r="2707">
      <c r="A2707" s="41"/>
      <c r="B2707" s="41"/>
      <c r="C2707" s="41"/>
      <c r="D2707" s="41"/>
      <c r="E2707" s="41"/>
      <c r="F2707" s="41"/>
    </row>
    <row r="2708">
      <c r="A2708" s="41"/>
      <c r="B2708" s="41"/>
      <c r="C2708" s="41"/>
      <c r="D2708" s="41"/>
      <c r="E2708" s="41"/>
      <c r="F2708" s="41"/>
    </row>
    <row r="2709">
      <c r="A2709" s="41"/>
      <c r="B2709" s="41"/>
      <c r="C2709" s="41"/>
      <c r="D2709" s="41"/>
      <c r="E2709" s="41"/>
      <c r="F2709" s="41"/>
    </row>
    <row r="2710">
      <c r="A2710" s="41"/>
      <c r="B2710" s="41"/>
      <c r="C2710" s="41"/>
      <c r="D2710" s="41"/>
      <c r="E2710" s="41"/>
      <c r="F2710" s="41"/>
    </row>
    <row r="2711">
      <c r="A2711" s="41"/>
      <c r="B2711" s="41"/>
      <c r="C2711" s="41"/>
      <c r="D2711" s="41"/>
      <c r="E2711" s="41"/>
      <c r="F2711" s="41"/>
    </row>
    <row r="2712">
      <c r="A2712" s="41"/>
      <c r="B2712" s="41"/>
      <c r="C2712" s="41"/>
      <c r="D2712" s="41"/>
      <c r="E2712" s="41"/>
      <c r="F2712" s="41"/>
    </row>
    <row r="2713">
      <c r="A2713" s="41"/>
      <c r="B2713" s="41"/>
      <c r="C2713" s="41"/>
      <c r="D2713" s="41"/>
      <c r="E2713" s="41"/>
      <c r="F2713" s="41"/>
    </row>
    <row r="2714">
      <c r="A2714" s="41"/>
      <c r="B2714" s="41"/>
      <c r="C2714" s="41"/>
      <c r="D2714" s="41"/>
      <c r="E2714" s="41"/>
      <c r="F2714" s="41"/>
    </row>
    <row r="2715">
      <c r="A2715" s="41"/>
      <c r="B2715" s="41"/>
      <c r="C2715" s="41"/>
      <c r="D2715" s="41"/>
      <c r="E2715" s="41"/>
      <c r="F2715" s="41"/>
    </row>
    <row r="2716">
      <c r="A2716" s="41"/>
      <c r="B2716" s="41"/>
      <c r="C2716" s="41"/>
      <c r="D2716" s="41"/>
      <c r="E2716" s="41"/>
      <c r="F2716" s="41"/>
    </row>
    <row r="2717">
      <c r="A2717" s="41"/>
      <c r="B2717" s="41"/>
      <c r="C2717" s="41"/>
      <c r="D2717" s="41"/>
      <c r="E2717" s="41"/>
      <c r="F2717" s="41"/>
    </row>
    <row r="2718">
      <c r="A2718" s="41"/>
      <c r="B2718" s="41"/>
      <c r="C2718" s="41"/>
      <c r="D2718" s="41"/>
      <c r="E2718" s="41"/>
      <c r="F2718" s="41"/>
    </row>
    <row r="2719">
      <c r="A2719" s="41"/>
      <c r="B2719" s="41"/>
      <c r="C2719" s="41"/>
      <c r="D2719" s="41"/>
      <c r="E2719" s="41"/>
      <c r="F2719" s="41"/>
    </row>
    <row r="2720">
      <c r="A2720" s="41"/>
      <c r="B2720" s="41"/>
      <c r="C2720" s="41"/>
      <c r="D2720" s="41"/>
      <c r="E2720" s="41"/>
      <c r="F2720" s="41"/>
    </row>
    <row r="2721">
      <c r="A2721" s="41"/>
      <c r="B2721" s="41"/>
      <c r="C2721" s="41"/>
      <c r="D2721" s="41"/>
      <c r="E2721" s="41"/>
      <c r="F2721" s="41"/>
    </row>
    <row r="2722">
      <c r="A2722" s="41"/>
      <c r="B2722" s="41"/>
      <c r="C2722" s="41"/>
      <c r="D2722" s="41"/>
      <c r="E2722" s="41"/>
      <c r="F2722" s="41"/>
    </row>
    <row r="2723">
      <c r="A2723" s="41"/>
      <c r="B2723" s="41"/>
      <c r="C2723" s="41"/>
      <c r="D2723" s="41"/>
      <c r="E2723" s="41"/>
      <c r="F2723" s="41"/>
    </row>
    <row r="2724">
      <c r="A2724" s="41"/>
      <c r="B2724" s="41"/>
      <c r="C2724" s="41"/>
      <c r="D2724" s="41"/>
      <c r="E2724" s="41"/>
      <c r="F2724" s="41"/>
    </row>
    <row r="2725">
      <c r="A2725" s="41"/>
      <c r="B2725" s="41"/>
      <c r="C2725" s="41"/>
      <c r="D2725" s="41"/>
      <c r="E2725" s="41"/>
      <c r="F2725" s="41"/>
    </row>
    <row r="2726">
      <c r="A2726" s="41"/>
      <c r="B2726" s="41"/>
      <c r="C2726" s="41"/>
      <c r="D2726" s="41"/>
      <c r="E2726" s="41"/>
      <c r="F2726" s="41"/>
    </row>
    <row r="2727">
      <c r="A2727" s="41"/>
      <c r="B2727" s="41"/>
      <c r="C2727" s="41"/>
      <c r="D2727" s="41"/>
      <c r="E2727" s="41"/>
      <c r="F2727" s="41"/>
    </row>
    <row r="2728">
      <c r="A2728" s="41"/>
      <c r="B2728" s="41"/>
      <c r="C2728" s="41"/>
      <c r="D2728" s="41"/>
      <c r="E2728" s="41"/>
      <c r="F2728" s="41"/>
    </row>
    <row r="2729">
      <c r="A2729" s="41"/>
      <c r="B2729" s="41"/>
      <c r="C2729" s="41"/>
      <c r="D2729" s="41"/>
      <c r="E2729" s="41"/>
      <c r="F2729" s="41"/>
    </row>
    <row r="2730">
      <c r="A2730" s="41"/>
      <c r="B2730" s="41"/>
      <c r="C2730" s="41"/>
      <c r="D2730" s="41"/>
      <c r="E2730" s="41"/>
      <c r="F2730" s="41"/>
    </row>
    <row r="2731">
      <c r="A2731" s="41"/>
      <c r="B2731" s="41"/>
      <c r="C2731" s="41"/>
      <c r="D2731" s="41"/>
      <c r="E2731" s="41"/>
      <c r="F2731" s="41"/>
    </row>
    <row r="2732">
      <c r="A2732" s="41"/>
      <c r="B2732" s="41"/>
      <c r="C2732" s="41"/>
      <c r="D2732" s="41"/>
      <c r="E2732" s="41"/>
      <c r="F2732" s="41"/>
    </row>
    <row r="2733">
      <c r="A2733" s="41"/>
      <c r="B2733" s="41"/>
      <c r="C2733" s="41"/>
      <c r="D2733" s="41"/>
      <c r="E2733" s="41"/>
      <c r="F2733" s="41"/>
    </row>
    <row r="2734">
      <c r="A2734" s="41"/>
      <c r="B2734" s="41"/>
      <c r="C2734" s="41"/>
      <c r="D2734" s="41"/>
      <c r="E2734" s="41"/>
      <c r="F2734" s="41"/>
    </row>
    <row r="2735">
      <c r="A2735" s="41"/>
      <c r="B2735" s="41"/>
      <c r="C2735" s="41"/>
      <c r="D2735" s="41"/>
      <c r="E2735" s="41"/>
      <c r="F2735" s="41"/>
    </row>
    <row r="2736">
      <c r="A2736" s="41"/>
      <c r="B2736" s="41"/>
      <c r="C2736" s="41"/>
      <c r="D2736" s="41"/>
      <c r="E2736" s="41"/>
      <c r="F2736" s="41"/>
    </row>
    <row r="2737">
      <c r="A2737" s="41"/>
      <c r="B2737" s="41"/>
      <c r="C2737" s="41"/>
      <c r="D2737" s="41"/>
      <c r="E2737" s="41"/>
      <c r="F2737" s="41"/>
    </row>
    <row r="2738">
      <c r="A2738" s="41"/>
      <c r="B2738" s="41"/>
      <c r="C2738" s="41"/>
      <c r="D2738" s="41"/>
      <c r="E2738" s="41"/>
      <c r="F2738" s="41"/>
    </row>
    <row r="2739">
      <c r="A2739" s="41"/>
      <c r="B2739" s="41"/>
      <c r="C2739" s="41"/>
      <c r="D2739" s="41"/>
      <c r="E2739" s="41"/>
      <c r="F2739" s="41"/>
    </row>
    <row r="2740">
      <c r="A2740" s="41"/>
      <c r="B2740" s="41"/>
      <c r="C2740" s="41"/>
      <c r="D2740" s="41"/>
      <c r="E2740" s="41"/>
      <c r="F2740" s="41"/>
    </row>
    <row r="2741">
      <c r="A2741" s="41"/>
      <c r="B2741" s="41"/>
      <c r="C2741" s="41"/>
      <c r="D2741" s="41"/>
      <c r="E2741" s="41"/>
      <c r="F2741" s="41"/>
    </row>
    <row r="2742">
      <c r="A2742" s="41"/>
      <c r="B2742" s="41"/>
      <c r="C2742" s="41"/>
      <c r="D2742" s="41"/>
      <c r="E2742" s="41"/>
      <c r="F2742" s="41"/>
    </row>
    <row r="2743">
      <c r="A2743" s="41"/>
      <c r="B2743" s="41"/>
      <c r="C2743" s="41"/>
      <c r="D2743" s="41"/>
      <c r="E2743" s="41"/>
      <c r="F2743" s="41"/>
    </row>
    <row r="2744">
      <c r="A2744" s="41"/>
      <c r="B2744" s="41"/>
      <c r="C2744" s="41"/>
      <c r="D2744" s="41"/>
      <c r="E2744" s="41"/>
      <c r="F2744" s="41"/>
    </row>
    <row r="2745">
      <c r="A2745" s="41"/>
      <c r="B2745" s="41"/>
      <c r="C2745" s="41"/>
      <c r="D2745" s="41"/>
      <c r="E2745" s="41"/>
      <c r="F2745" s="41"/>
    </row>
    <row r="2746">
      <c r="A2746" s="41"/>
      <c r="B2746" s="41"/>
      <c r="C2746" s="41"/>
      <c r="D2746" s="41"/>
      <c r="E2746" s="41"/>
      <c r="F2746" s="41"/>
    </row>
    <row r="2747">
      <c r="A2747" s="41"/>
      <c r="B2747" s="41"/>
      <c r="C2747" s="41"/>
      <c r="D2747" s="41"/>
      <c r="E2747" s="41"/>
      <c r="F2747" s="41"/>
    </row>
    <row r="2748">
      <c r="A2748" s="41"/>
      <c r="B2748" s="41"/>
      <c r="C2748" s="41"/>
      <c r="D2748" s="41"/>
      <c r="E2748" s="41"/>
      <c r="F2748" s="41"/>
    </row>
    <row r="2749">
      <c r="A2749" s="41"/>
      <c r="B2749" s="41"/>
      <c r="C2749" s="41"/>
      <c r="D2749" s="41"/>
      <c r="E2749" s="41"/>
      <c r="F2749" s="41"/>
    </row>
    <row r="2750">
      <c r="A2750" s="41"/>
      <c r="B2750" s="41"/>
      <c r="C2750" s="41"/>
      <c r="D2750" s="41"/>
      <c r="E2750" s="41"/>
      <c r="F2750" s="41"/>
    </row>
    <row r="2751">
      <c r="A2751" s="41"/>
      <c r="B2751" s="41"/>
      <c r="C2751" s="41"/>
      <c r="D2751" s="41"/>
      <c r="E2751" s="41"/>
      <c r="F2751" s="41"/>
    </row>
    <row r="2752">
      <c r="A2752" s="41"/>
      <c r="B2752" s="41"/>
      <c r="C2752" s="41"/>
      <c r="D2752" s="41"/>
      <c r="E2752" s="41"/>
      <c r="F2752" s="41"/>
    </row>
    <row r="2753">
      <c r="A2753" s="41"/>
      <c r="B2753" s="41"/>
      <c r="C2753" s="41"/>
      <c r="D2753" s="41"/>
      <c r="E2753" s="41"/>
      <c r="F2753" s="41"/>
    </row>
    <row r="2754">
      <c r="A2754" s="41"/>
      <c r="B2754" s="41"/>
      <c r="C2754" s="41"/>
      <c r="D2754" s="41"/>
      <c r="E2754" s="41"/>
      <c r="F2754" s="41"/>
    </row>
    <row r="2755">
      <c r="A2755" s="41"/>
      <c r="B2755" s="41"/>
      <c r="C2755" s="41"/>
      <c r="D2755" s="41"/>
      <c r="E2755" s="41"/>
      <c r="F2755" s="41"/>
    </row>
    <row r="2756">
      <c r="A2756" s="41"/>
      <c r="B2756" s="41"/>
      <c r="C2756" s="41"/>
      <c r="D2756" s="41"/>
      <c r="E2756" s="41"/>
      <c r="F2756" s="41"/>
    </row>
    <row r="2757">
      <c r="A2757" s="41"/>
      <c r="B2757" s="41"/>
      <c r="C2757" s="41"/>
      <c r="D2757" s="41"/>
      <c r="E2757" s="41"/>
      <c r="F2757" s="41"/>
    </row>
    <row r="2758">
      <c r="A2758" s="41"/>
      <c r="B2758" s="41"/>
      <c r="C2758" s="41"/>
      <c r="D2758" s="41"/>
      <c r="E2758" s="41"/>
      <c r="F2758" s="41"/>
    </row>
    <row r="2759">
      <c r="A2759" s="41"/>
      <c r="B2759" s="41"/>
      <c r="C2759" s="41"/>
      <c r="D2759" s="41"/>
      <c r="E2759" s="41"/>
      <c r="F2759" s="41"/>
    </row>
    <row r="2760">
      <c r="A2760" s="41"/>
      <c r="B2760" s="41"/>
      <c r="C2760" s="41"/>
      <c r="D2760" s="41"/>
      <c r="E2760" s="41"/>
      <c r="F2760" s="41"/>
    </row>
    <row r="2761">
      <c r="A2761" s="41"/>
      <c r="B2761" s="41"/>
      <c r="C2761" s="41"/>
      <c r="D2761" s="41"/>
      <c r="E2761" s="41"/>
      <c r="F2761" s="41"/>
    </row>
    <row r="2762">
      <c r="A2762" s="41"/>
      <c r="B2762" s="41"/>
      <c r="C2762" s="41"/>
      <c r="D2762" s="41"/>
      <c r="E2762" s="41"/>
      <c r="F2762" s="41"/>
    </row>
    <row r="2763">
      <c r="A2763" s="41"/>
      <c r="B2763" s="41"/>
      <c r="C2763" s="41"/>
      <c r="D2763" s="41"/>
      <c r="E2763" s="41"/>
      <c r="F2763" s="41"/>
    </row>
    <row r="2764">
      <c r="A2764" s="41"/>
      <c r="B2764" s="41"/>
      <c r="C2764" s="41"/>
      <c r="D2764" s="41"/>
      <c r="E2764" s="41"/>
      <c r="F2764" s="41"/>
    </row>
    <row r="2765">
      <c r="A2765" s="41"/>
      <c r="B2765" s="41"/>
      <c r="C2765" s="41"/>
      <c r="D2765" s="41"/>
      <c r="E2765" s="41"/>
      <c r="F2765" s="41"/>
    </row>
    <row r="2766">
      <c r="A2766" s="41"/>
      <c r="B2766" s="41"/>
      <c r="C2766" s="41"/>
      <c r="D2766" s="41"/>
      <c r="E2766" s="41"/>
      <c r="F2766" s="41"/>
    </row>
    <row r="2767">
      <c r="A2767" s="41"/>
      <c r="B2767" s="41"/>
      <c r="C2767" s="41"/>
      <c r="D2767" s="41"/>
      <c r="E2767" s="41"/>
      <c r="F2767" s="41"/>
    </row>
    <row r="2768">
      <c r="A2768" s="41"/>
      <c r="B2768" s="41"/>
      <c r="C2768" s="41"/>
      <c r="D2768" s="41"/>
      <c r="E2768" s="41"/>
      <c r="F2768" s="41"/>
    </row>
    <row r="2769">
      <c r="A2769" s="41"/>
      <c r="B2769" s="41"/>
      <c r="C2769" s="41"/>
      <c r="D2769" s="41"/>
      <c r="E2769" s="41"/>
      <c r="F2769" s="41"/>
    </row>
    <row r="2770">
      <c r="A2770" s="41"/>
      <c r="B2770" s="41"/>
      <c r="C2770" s="41"/>
      <c r="D2770" s="41"/>
      <c r="E2770" s="41"/>
      <c r="F2770" s="41"/>
    </row>
    <row r="2771">
      <c r="A2771" s="41"/>
      <c r="B2771" s="41"/>
      <c r="C2771" s="41"/>
      <c r="D2771" s="41"/>
      <c r="E2771" s="41"/>
      <c r="F2771" s="41"/>
    </row>
    <row r="2772">
      <c r="A2772" s="41"/>
      <c r="B2772" s="41"/>
      <c r="C2772" s="41"/>
      <c r="D2772" s="41"/>
      <c r="E2772" s="41"/>
      <c r="F2772" s="41"/>
    </row>
    <row r="2773">
      <c r="A2773" s="41"/>
      <c r="B2773" s="41"/>
      <c r="C2773" s="41"/>
      <c r="D2773" s="41"/>
      <c r="E2773" s="41"/>
      <c r="F2773" s="41"/>
    </row>
    <row r="2774">
      <c r="A2774" s="41"/>
      <c r="B2774" s="41"/>
      <c r="C2774" s="41"/>
      <c r="D2774" s="41"/>
      <c r="E2774" s="41"/>
      <c r="F2774" s="41"/>
    </row>
    <row r="2775">
      <c r="A2775" s="41"/>
      <c r="B2775" s="41"/>
      <c r="C2775" s="41"/>
      <c r="D2775" s="41"/>
      <c r="E2775" s="41"/>
      <c r="F2775" s="41"/>
    </row>
    <row r="2776">
      <c r="A2776" s="41"/>
      <c r="B2776" s="41"/>
      <c r="C2776" s="41"/>
      <c r="D2776" s="41"/>
      <c r="E2776" s="41"/>
      <c r="F2776" s="41"/>
    </row>
    <row r="2777">
      <c r="A2777" s="41"/>
      <c r="B2777" s="41"/>
      <c r="C2777" s="41"/>
      <c r="D2777" s="41"/>
      <c r="E2777" s="41"/>
      <c r="F2777" s="41"/>
    </row>
    <row r="2778">
      <c r="A2778" s="41"/>
      <c r="B2778" s="41"/>
      <c r="C2778" s="41"/>
      <c r="D2778" s="41"/>
      <c r="E2778" s="41"/>
      <c r="F2778" s="41"/>
    </row>
    <row r="2779">
      <c r="A2779" s="41"/>
      <c r="B2779" s="41"/>
      <c r="C2779" s="41"/>
      <c r="D2779" s="41"/>
      <c r="E2779" s="41"/>
      <c r="F2779" s="41"/>
    </row>
    <row r="2780">
      <c r="A2780" s="41"/>
      <c r="B2780" s="41"/>
      <c r="C2780" s="41"/>
      <c r="D2780" s="41"/>
      <c r="E2780" s="41"/>
      <c r="F2780" s="41"/>
    </row>
    <row r="2781">
      <c r="A2781" s="41"/>
      <c r="B2781" s="41"/>
      <c r="C2781" s="41"/>
      <c r="D2781" s="41"/>
      <c r="E2781" s="41"/>
      <c r="F2781" s="41"/>
    </row>
    <row r="2782">
      <c r="A2782" s="41"/>
      <c r="B2782" s="41"/>
      <c r="C2782" s="41"/>
      <c r="D2782" s="41"/>
      <c r="E2782" s="41"/>
      <c r="F2782" s="41"/>
    </row>
    <row r="2783">
      <c r="A2783" s="41"/>
      <c r="B2783" s="41"/>
      <c r="C2783" s="41"/>
      <c r="D2783" s="41"/>
      <c r="E2783" s="41"/>
      <c r="F2783" s="41"/>
    </row>
    <row r="2784">
      <c r="A2784" s="41"/>
      <c r="B2784" s="41"/>
      <c r="C2784" s="41"/>
      <c r="D2784" s="41"/>
      <c r="E2784" s="41"/>
      <c r="F2784" s="41"/>
    </row>
    <row r="2785">
      <c r="A2785" s="41"/>
      <c r="B2785" s="41"/>
      <c r="C2785" s="41"/>
      <c r="D2785" s="41"/>
      <c r="E2785" s="41"/>
      <c r="F2785" s="41"/>
    </row>
    <row r="2786">
      <c r="A2786" s="41"/>
      <c r="B2786" s="41"/>
      <c r="C2786" s="41"/>
      <c r="D2786" s="41"/>
      <c r="E2786" s="41"/>
      <c r="F2786" s="41"/>
    </row>
    <row r="2787">
      <c r="A2787" s="41"/>
      <c r="B2787" s="41"/>
      <c r="C2787" s="41"/>
      <c r="D2787" s="41"/>
      <c r="E2787" s="41"/>
      <c r="F2787" s="41"/>
    </row>
    <row r="2788">
      <c r="A2788" s="41"/>
      <c r="B2788" s="41"/>
      <c r="C2788" s="41"/>
      <c r="D2788" s="41"/>
      <c r="E2788" s="41"/>
      <c r="F2788" s="41"/>
    </row>
    <row r="2789">
      <c r="A2789" s="41"/>
      <c r="B2789" s="41"/>
      <c r="C2789" s="41"/>
      <c r="D2789" s="41"/>
      <c r="E2789" s="41"/>
      <c r="F2789" s="41"/>
    </row>
    <row r="2790">
      <c r="A2790" s="41"/>
      <c r="B2790" s="41"/>
      <c r="C2790" s="41"/>
      <c r="D2790" s="41"/>
      <c r="E2790" s="41"/>
      <c r="F2790" s="41"/>
    </row>
    <row r="2791">
      <c r="A2791" s="41"/>
      <c r="B2791" s="41"/>
      <c r="C2791" s="41"/>
      <c r="D2791" s="41"/>
      <c r="E2791" s="41"/>
      <c r="F2791" s="41"/>
    </row>
    <row r="2792">
      <c r="A2792" s="41"/>
      <c r="B2792" s="41"/>
      <c r="C2792" s="41"/>
      <c r="D2792" s="41"/>
      <c r="E2792" s="41"/>
      <c r="F2792" s="41"/>
    </row>
    <row r="2793">
      <c r="A2793" s="41"/>
      <c r="B2793" s="41"/>
      <c r="C2793" s="41"/>
      <c r="D2793" s="41"/>
      <c r="E2793" s="41"/>
      <c r="F2793" s="41"/>
    </row>
    <row r="2794">
      <c r="A2794" s="41"/>
      <c r="B2794" s="41"/>
      <c r="C2794" s="41"/>
      <c r="D2794" s="41"/>
      <c r="E2794" s="41"/>
      <c r="F2794" s="41"/>
    </row>
    <row r="2795">
      <c r="A2795" s="41"/>
      <c r="B2795" s="41"/>
      <c r="C2795" s="41"/>
      <c r="D2795" s="41"/>
      <c r="E2795" s="41"/>
      <c r="F2795" s="41"/>
    </row>
    <row r="2796">
      <c r="A2796" s="41"/>
      <c r="B2796" s="41"/>
      <c r="C2796" s="41"/>
      <c r="D2796" s="41"/>
      <c r="E2796" s="41"/>
      <c r="F2796" s="41"/>
    </row>
    <row r="2797">
      <c r="A2797" s="41"/>
      <c r="B2797" s="41"/>
      <c r="C2797" s="41"/>
      <c r="D2797" s="41"/>
      <c r="E2797" s="41"/>
      <c r="F2797" s="41"/>
    </row>
    <row r="2798">
      <c r="A2798" s="41"/>
      <c r="B2798" s="41"/>
      <c r="C2798" s="41"/>
      <c r="D2798" s="41"/>
      <c r="E2798" s="41"/>
      <c r="F2798" s="41"/>
    </row>
    <row r="2799">
      <c r="A2799" s="41"/>
      <c r="B2799" s="41"/>
      <c r="C2799" s="41"/>
      <c r="D2799" s="41"/>
      <c r="E2799" s="41"/>
      <c r="F2799" s="41"/>
    </row>
    <row r="2800">
      <c r="A2800" s="41"/>
      <c r="B2800" s="41"/>
      <c r="C2800" s="41"/>
      <c r="D2800" s="41"/>
      <c r="E2800" s="41"/>
      <c r="F2800" s="41"/>
    </row>
    <row r="2801">
      <c r="A2801" s="41"/>
      <c r="B2801" s="41"/>
      <c r="C2801" s="41"/>
      <c r="D2801" s="41"/>
      <c r="E2801" s="41"/>
      <c r="F2801" s="41"/>
    </row>
    <row r="2802">
      <c r="A2802" s="41"/>
      <c r="B2802" s="41"/>
      <c r="C2802" s="41"/>
      <c r="D2802" s="41"/>
      <c r="E2802" s="41"/>
      <c r="F2802" s="41"/>
    </row>
    <row r="2803">
      <c r="A2803" s="41"/>
      <c r="B2803" s="41"/>
      <c r="C2803" s="41"/>
      <c r="D2803" s="41"/>
      <c r="E2803" s="41"/>
      <c r="F2803" s="41"/>
    </row>
    <row r="2804">
      <c r="A2804" s="41"/>
      <c r="B2804" s="41"/>
      <c r="C2804" s="41"/>
      <c r="D2804" s="41"/>
      <c r="E2804" s="41"/>
      <c r="F2804" s="41"/>
    </row>
    <row r="2805">
      <c r="A2805" s="41"/>
      <c r="B2805" s="41"/>
      <c r="C2805" s="41"/>
      <c r="D2805" s="41"/>
      <c r="E2805" s="41"/>
      <c r="F2805" s="41"/>
    </row>
    <row r="2806">
      <c r="A2806" s="41"/>
      <c r="B2806" s="41"/>
      <c r="C2806" s="41"/>
      <c r="D2806" s="41"/>
      <c r="E2806" s="41"/>
      <c r="F2806" s="41"/>
    </row>
    <row r="2807">
      <c r="A2807" s="41"/>
      <c r="B2807" s="41"/>
      <c r="C2807" s="41"/>
      <c r="D2807" s="41"/>
      <c r="E2807" s="41"/>
      <c r="F2807" s="41"/>
    </row>
    <row r="2808">
      <c r="A2808" s="41"/>
      <c r="B2808" s="41"/>
      <c r="C2808" s="41"/>
      <c r="D2808" s="41"/>
      <c r="E2808" s="41"/>
      <c r="F2808" s="41"/>
    </row>
    <row r="2809">
      <c r="A2809" s="41"/>
      <c r="B2809" s="41"/>
      <c r="C2809" s="41"/>
      <c r="D2809" s="41"/>
      <c r="E2809" s="41"/>
      <c r="F2809" s="41"/>
    </row>
    <row r="2810">
      <c r="A2810" s="41"/>
      <c r="B2810" s="41"/>
      <c r="C2810" s="41"/>
      <c r="D2810" s="41"/>
      <c r="E2810" s="41"/>
      <c r="F2810" s="41"/>
    </row>
    <row r="2811">
      <c r="A2811" s="41"/>
      <c r="B2811" s="41"/>
      <c r="C2811" s="41"/>
      <c r="D2811" s="41"/>
      <c r="E2811" s="41"/>
      <c r="F2811" s="41"/>
    </row>
    <row r="2812">
      <c r="A2812" s="41"/>
      <c r="B2812" s="41"/>
      <c r="C2812" s="41"/>
      <c r="D2812" s="41"/>
      <c r="E2812" s="41"/>
      <c r="F2812" s="41"/>
    </row>
    <row r="2813">
      <c r="A2813" s="41"/>
      <c r="B2813" s="41"/>
      <c r="C2813" s="41"/>
      <c r="D2813" s="41"/>
      <c r="E2813" s="41"/>
      <c r="F2813" s="41"/>
    </row>
    <row r="2814">
      <c r="A2814" s="41"/>
      <c r="B2814" s="41"/>
      <c r="C2814" s="41"/>
      <c r="D2814" s="41"/>
      <c r="E2814" s="41"/>
      <c r="F2814" s="41"/>
    </row>
    <row r="2815">
      <c r="A2815" s="41"/>
      <c r="B2815" s="41"/>
      <c r="C2815" s="41"/>
      <c r="D2815" s="41"/>
      <c r="E2815" s="41"/>
      <c r="F2815" s="41"/>
    </row>
    <row r="2816">
      <c r="A2816" s="41"/>
      <c r="B2816" s="41"/>
      <c r="C2816" s="41"/>
      <c r="D2816" s="41"/>
      <c r="E2816" s="41"/>
      <c r="F2816" s="41"/>
    </row>
    <row r="2817">
      <c r="A2817" s="41"/>
      <c r="B2817" s="41"/>
      <c r="C2817" s="41"/>
      <c r="D2817" s="41"/>
      <c r="E2817" s="41"/>
      <c r="F2817" s="41"/>
    </row>
    <row r="2818">
      <c r="A2818" s="41"/>
      <c r="B2818" s="41"/>
      <c r="C2818" s="41"/>
      <c r="D2818" s="41"/>
      <c r="E2818" s="41"/>
      <c r="F2818" s="41"/>
    </row>
    <row r="2819">
      <c r="A2819" s="41"/>
      <c r="B2819" s="41"/>
      <c r="C2819" s="41"/>
      <c r="D2819" s="41"/>
      <c r="E2819" s="41"/>
      <c r="F2819" s="41"/>
    </row>
    <row r="2820">
      <c r="A2820" s="41"/>
      <c r="B2820" s="41"/>
      <c r="C2820" s="41"/>
      <c r="D2820" s="41"/>
      <c r="E2820" s="41"/>
      <c r="F2820" s="41"/>
    </row>
    <row r="2821">
      <c r="A2821" s="41"/>
      <c r="B2821" s="41"/>
      <c r="C2821" s="41"/>
      <c r="D2821" s="41"/>
      <c r="E2821" s="41"/>
      <c r="F2821" s="41"/>
    </row>
    <row r="2822">
      <c r="A2822" s="41"/>
      <c r="B2822" s="41"/>
      <c r="C2822" s="41"/>
      <c r="D2822" s="41"/>
      <c r="E2822" s="41"/>
      <c r="F2822" s="41"/>
    </row>
    <row r="2823">
      <c r="A2823" s="41"/>
      <c r="B2823" s="41"/>
      <c r="C2823" s="41"/>
      <c r="D2823" s="41"/>
      <c r="E2823" s="41"/>
      <c r="F2823" s="41"/>
    </row>
    <row r="2824">
      <c r="A2824" s="41"/>
      <c r="B2824" s="41"/>
      <c r="C2824" s="41"/>
      <c r="D2824" s="41"/>
      <c r="E2824" s="41"/>
      <c r="F2824" s="41"/>
    </row>
    <row r="2825">
      <c r="A2825" s="41"/>
      <c r="B2825" s="41"/>
      <c r="C2825" s="41"/>
      <c r="D2825" s="41"/>
      <c r="E2825" s="41"/>
      <c r="F2825" s="41"/>
    </row>
    <row r="2826">
      <c r="A2826" s="41"/>
      <c r="B2826" s="41"/>
      <c r="C2826" s="41"/>
      <c r="D2826" s="41"/>
      <c r="E2826" s="41"/>
      <c r="F2826" s="41"/>
    </row>
    <row r="2827">
      <c r="A2827" s="41"/>
      <c r="B2827" s="41"/>
      <c r="C2827" s="41"/>
      <c r="D2827" s="41"/>
      <c r="E2827" s="41"/>
      <c r="F2827" s="41"/>
    </row>
    <row r="2828">
      <c r="A2828" s="41"/>
      <c r="B2828" s="41"/>
      <c r="C2828" s="41"/>
      <c r="D2828" s="41"/>
      <c r="E2828" s="41"/>
      <c r="F2828" s="41"/>
    </row>
    <row r="2829">
      <c r="A2829" s="41"/>
      <c r="B2829" s="41"/>
      <c r="C2829" s="41"/>
      <c r="D2829" s="41"/>
      <c r="E2829" s="41"/>
      <c r="F2829" s="41"/>
    </row>
    <row r="2830">
      <c r="A2830" s="41"/>
      <c r="B2830" s="41"/>
      <c r="C2830" s="41"/>
      <c r="D2830" s="41"/>
      <c r="E2830" s="41"/>
      <c r="F2830" s="41"/>
    </row>
    <row r="2831">
      <c r="A2831" s="41"/>
      <c r="B2831" s="41"/>
      <c r="C2831" s="41"/>
      <c r="D2831" s="41"/>
      <c r="E2831" s="41"/>
      <c r="F2831" s="41"/>
    </row>
    <row r="2832">
      <c r="A2832" s="41"/>
      <c r="B2832" s="41"/>
      <c r="C2832" s="41"/>
      <c r="D2832" s="41"/>
      <c r="E2832" s="41"/>
      <c r="F2832" s="41"/>
    </row>
    <row r="2833">
      <c r="A2833" s="41"/>
      <c r="B2833" s="41"/>
      <c r="C2833" s="41"/>
      <c r="D2833" s="41"/>
      <c r="E2833" s="41"/>
      <c r="F2833" s="41"/>
    </row>
    <row r="2834">
      <c r="A2834" s="41"/>
      <c r="B2834" s="41"/>
      <c r="C2834" s="41"/>
      <c r="D2834" s="41"/>
      <c r="E2834" s="41"/>
      <c r="F2834" s="41"/>
    </row>
    <row r="2835">
      <c r="A2835" s="41"/>
      <c r="B2835" s="41"/>
      <c r="C2835" s="41"/>
      <c r="D2835" s="41"/>
      <c r="E2835" s="41"/>
      <c r="F2835" s="41"/>
    </row>
    <row r="2836">
      <c r="A2836" s="41"/>
      <c r="B2836" s="41"/>
      <c r="C2836" s="41"/>
      <c r="D2836" s="41"/>
      <c r="E2836" s="41"/>
      <c r="F2836" s="41"/>
    </row>
    <row r="2837">
      <c r="A2837" s="41"/>
      <c r="B2837" s="41"/>
      <c r="C2837" s="41"/>
      <c r="D2837" s="41"/>
      <c r="E2837" s="41"/>
      <c r="F2837" s="41"/>
    </row>
    <row r="2838">
      <c r="A2838" s="41"/>
      <c r="B2838" s="41"/>
      <c r="C2838" s="41"/>
      <c r="D2838" s="41"/>
      <c r="E2838" s="41"/>
      <c r="F2838" s="41"/>
    </row>
    <row r="2839">
      <c r="A2839" s="41"/>
      <c r="B2839" s="41"/>
      <c r="C2839" s="41"/>
      <c r="D2839" s="41"/>
      <c r="E2839" s="41"/>
      <c r="F2839" s="41"/>
    </row>
    <row r="2840">
      <c r="A2840" s="41"/>
      <c r="B2840" s="41"/>
      <c r="C2840" s="41"/>
      <c r="D2840" s="41"/>
      <c r="E2840" s="41"/>
      <c r="F2840" s="41"/>
    </row>
    <row r="2841">
      <c r="A2841" s="41"/>
      <c r="B2841" s="41"/>
      <c r="C2841" s="41"/>
      <c r="D2841" s="41"/>
      <c r="E2841" s="41"/>
      <c r="F2841" s="41"/>
    </row>
    <row r="2842">
      <c r="A2842" s="41"/>
      <c r="B2842" s="41"/>
      <c r="C2842" s="41"/>
      <c r="D2842" s="41"/>
      <c r="E2842" s="41"/>
      <c r="F2842" s="41"/>
    </row>
    <row r="2843">
      <c r="A2843" s="41"/>
      <c r="B2843" s="41"/>
      <c r="C2843" s="41"/>
      <c r="D2843" s="41"/>
      <c r="E2843" s="41"/>
      <c r="F2843" s="41"/>
    </row>
    <row r="2844">
      <c r="A2844" s="41"/>
      <c r="B2844" s="41"/>
      <c r="C2844" s="41"/>
      <c r="D2844" s="41"/>
      <c r="E2844" s="41"/>
      <c r="F2844" s="41"/>
    </row>
    <row r="2845">
      <c r="A2845" s="41"/>
      <c r="B2845" s="41"/>
      <c r="C2845" s="41"/>
      <c r="D2845" s="41"/>
      <c r="E2845" s="41"/>
      <c r="F2845" s="41"/>
    </row>
    <row r="2846">
      <c r="A2846" s="41"/>
      <c r="B2846" s="41"/>
      <c r="C2846" s="41"/>
      <c r="D2846" s="41"/>
      <c r="E2846" s="41"/>
      <c r="F2846" s="41"/>
    </row>
    <row r="2847">
      <c r="A2847" s="41"/>
      <c r="B2847" s="41"/>
      <c r="C2847" s="41"/>
      <c r="D2847" s="41"/>
      <c r="E2847" s="41"/>
      <c r="F2847" s="41"/>
    </row>
    <row r="2848">
      <c r="A2848" s="41"/>
      <c r="B2848" s="41"/>
      <c r="C2848" s="41"/>
      <c r="D2848" s="41"/>
      <c r="E2848" s="41"/>
      <c r="F2848" s="41"/>
    </row>
    <row r="2849">
      <c r="A2849" s="41"/>
      <c r="B2849" s="41"/>
      <c r="C2849" s="41"/>
      <c r="D2849" s="41"/>
      <c r="E2849" s="41"/>
      <c r="F2849" s="41"/>
    </row>
    <row r="2850">
      <c r="A2850" s="41"/>
      <c r="B2850" s="41"/>
      <c r="C2850" s="41"/>
      <c r="D2850" s="41"/>
      <c r="E2850" s="41"/>
      <c r="F2850" s="41"/>
    </row>
    <row r="2851">
      <c r="A2851" s="41"/>
      <c r="B2851" s="41"/>
      <c r="C2851" s="41"/>
      <c r="D2851" s="41"/>
      <c r="E2851" s="41"/>
      <c r="F2851" s="41"/>
    </row>
    <row r="2852">
      <c r="A2852" s="41"/>
      <c r="B2852" s="41"/>
      <c r="C2852" s="41"/>
      <c r="D2852" s="41"/>
      <c r="E2852" s="41"/>
      <c r="F2852" s="41"/>
    </row>
    <row r="2853">
      <c r="A2853" s="41"/>
      <c r="B2853" s="41"/>
      <c r="C2853" s="41"/>
      <c r="D2853" s="41"/>
      <c r="E2853" s="41"/>
      <c r="F2853" s="41"/>
    </row>
    <row r="2854">
      <c r="A2854" s="41"/>
      <c r="B2854" s="41"/>
      <c r="C2854" s="41"/>
      <c r="D2854" s="41"/>
      <c r="E2854" s="41"/>
      <c r="F2854" s="41"/>
    </row>
    <row r="2855">
      <c r="A2855" s="41"/>
      <c r="B2855" s="41"/>
      <c r="C2855" s="41"/>
      <c r="D2855" s="41"/>
      <c r="E2855" s="41"/>
      <c r="F2855" s="41"/>
    </row>
    <row r="2856">
      <c r="A2856" s="41"/>
      <c r="B2856" s="41"/>
      <c r="C2856" s="41"/>
      <c r="D2856" s="41"/>
      <c r="E2856" s="41"/>
      <c r="F2856" s="41"/>
    </row>
    <row r="2857">
      <c r="A2857" s="41"/>
      <c r="B2857" s="41"/>
      <c r="C2857" s="41"/>
      <c r="D2857" s="41"/>
      <c r="E2857" s="41"/>
      <c r="F2857" s="41"/>
    </row>
    <row r="2858">
      <c r="A2858" s="41"/>
      <c r="B2858" s="41"/>
      <c r="C2858" s="41"/>
      <c r="D2858" s="41"/>
      <c r="E2858" s="41"/>
      <c r="F2858" s="41"/>
    </row>
    <row r="2859">
      <c r="A2859" s="41"/>
      <c r="B2859" s="41"/>
      <c r="C2859" s="41"/>
      <c r="D2859" s="41"/>
      <c r="E2859" s="41"/>
      <c r="F2859" s="41"/>
    </row>
    <row r="2860">
      <c r="A2860" s="41"/>
      <c r="B2860" s="41"/>
      <c r="C2860" s="41"/>
      <c r="D2860" s="41"/>
      <c r="E2860" s="41"/>
      <c r="F2860" s="41"/>
    </row>
    <row r="2861">
      <c r="A2861" s="41"/>
      <c r="B2861" s="41"/>
      <c r="C2861" s="41"/>
      <c r="D2861" s="41"/>
      <c r="E2861" s="41"/>
      <c r="F2861" s="41"/>
    </row>
    <row r="2862">
      <c r="A2862" s="41"/>
      <c r="B2862" s="41"/>
      <c r="C2862" s="41"/>
      <c r="D2862" s="41"/>
      <c r="E2862" s="41"/>
      <c r="F2862" s="41"/>
    </row>
    <row r="2863">
      <c r="A2863" s="41"/>
      <c r="B2863" s="41"/>
      <c r="C2863" s="41"/>
      <c r="D2863" s="41"/>
      <c r="E2863" s="41"/>
      <c r="F2863" s="41"/>
    </row>
    <row r="2864">
      <c r="A2864" s="41"/>
      <c r="B2864" s="41"/>
      <c r="C2864" s="41"/>
      <c r="D2864" s="41"/>
      <c r="E2864" s="41"/>
      <c r="F2864" s="41"/>
    </row>
    <row r="2865">
      <c r="A2865" s="41"/>
      <c r="B2865" s="41"/>
      <c r="C2865" s="41"/>
      <c r="D2865" s="41"/>
      <c r="E2865" s="41"/>
      <c r="F2865" s="41"/>
    </row>
    <row r="2866">
      <c r="A2866" s="41"/>
      <c r="B2866" s="41"/>
      <c r="C2866" s="41"/>
      <c r="D2866" s="41"/>
      <c r="E2866" s="41"/>
      <c r="F2866" s="41"/>
    </row>
    <row r="2867">
      <c r="A2867" s="41"/>
      <c r="B2867" s="41"/>
      <c r="C2867" s="41"/>
      <c r="D2867" s="41"/>
      <c r="E2867" s="41"/>
      <c r="F2867" s="41"/>
    </row>
    <row r="2868">
      <c r="A2868" s="41"/>
      <c r="B2868" s="41"/>
      <c r="C2868" s="41"/>
      <c r="D2868" s="41"/>
      <c r="E2868" s="41"/>
      <c r="F2868" s="41"/>
    </row>
    <row r="2869">
      <c r="A2869" s="41"/>
      <c r="B2869" s="41"/>
      <c r="C2869" s="41"/>
      <c r="D2869" s="41"/>
      <c r="E2869" s="41"/>
      <c r="F2869" s="41"/>
    </row>
    <row r="2870">
      <c r="A2870" s="41"/>
      <c r="B2870" s="41"/>
      <c r="C2870" s="41"/>
      <c r="D2870" s="41"/>
      <c r="E2870" s="41"/>
      <c r="F2870" s="41"/>
    </row>
    <row r="2871">
      <c r="A2871" s="41"/>
      <c r="B2871" s="41"/>
      <c r="C2871" s="41"/>
      <c r="D2871" s="41"/>
      <c r="E2871" s="41"/>
      <c r="F2871" s="41"/>
    </row>
    <row r="2872">
      <c r="A2872" s="41"/>
      <c r="B2872" s="41"/>
      <c r="C2872" s="41"/>
      <c r="D2872" s="41"/>
      <c r="E2872" s="41"/>
      <c r="F2872" s="41"/>
    </row>
    <row r="2873">
      <c r="A2873" s="41"/>
      <c r="B2873" s="41"/>
      <c r="C2873" s="41"/>
      <c r="D2873" s="41"/>
      <c r="E2873" s="41"/>
      <c r="F2873" s="41"/>
    </row>
    <row r="2874">
      <c r="A2874" s="41"/>
      <c r="B2874" s="41"/>
      <c r="C2874" s="41"/>
      <c r="D2874" s="41"/>
      <c r="E2874" s="41"/>
      <c r="F2874" s="41"/>
    </row>
    <row r="2875">
      <c r="A2875" s="41"/>
      <c r="B2875" s="41"/>
      <c r="C2875" s="41"/>
      <c r="D2875" s="41"/>
      <c r="E2875" s="41"/>
      <c r="F2875" s="41"/>
    </row>
    <row r="2876">
      <c r="A2876" s="41"/>
      <c r="B2876" s="41"/>
      <c r="C2876" s="41"/>
      <c r="D2876" s="41"/>
      <c r="E2876" s="41"/>
      <c r="F2876" s="41"/>
    </row>
    <row r="2877">
      <c r="A2877" s="41"/>
      <c r="B2877" s="41"/>
      <c r="C2877" s="41"/>
      <c r="D2877" s="41"/>
      <c r="E2877" s="41"/>
      <c r="F2877" s="41"/>
    </row>
    <row r="2878">
      <c r="A2878" s="41"/>
      <c r="B2878" s="41"/>
      <c r="C2878" s="41"/>
      <c r="D2878" s="41"/>
      <c r="E2878" s="41"/>
      <c r="F2878" s="41"/>
    </row>
    <row r="2879">
      <c r="A2879" s="41"/>
      <c r="B2879" s="41"/>
      <c r="C2879" s="41"/>
      <c r="D2879" s="41"/>
      <c r="E2879" s="41"/>
      <c r="F2879" s="41"/>
    </row>
    <row r="2880">
      <c r="A2880" s="41"/>
      <c r="B2880" s="41"/>
      <c r="C2880" s="41"/>
      <c r="D2880" s="41"/>
      <c r="E2880" s="41"/>
      <c r="F2880" s="41"/>
    </row>
    <row r="2881">
      <c r="A2881" s="41"/>
      <c r="B2881" s="41"/>
      <c r="C2881" s="41"/>
      <c r="D2881" s="41"/>
      <c r="E2881" s="41"/>
      <c r="F2881" s="41"/>
    </row>
    <row r="2882">
      <c r="A2882" s="41"/>
      <c r="B2882" s="41"/>
      <c r="C2882" s="41"/>
      <c r="D2882" s="41"/>
      <c r="E2882" s="41"/>
      <c r="F2882" s="41"/>
    </row>
    <row r="2883">
      <c r="A2883" s="41"/>
      <c r="B2883" s="41"/>
      <c r="C2883" s="41"/>
      <c r="D2883" s="41"/>
      <c r="E2883" s="41"/>
      <c r="F2883" s="41"/>
    </row>
    <row r="2884">
      <c r="A2884" s="41"/>
      <c r="B2884" s="41"/>
      <c r="C2884" s="41"/>
      <c r="D2884" s="41"/>
      <c r="E2884" s="41"/>
      <c r="F2884" s="41"/>
    </row>
    <row r="2885">
      <c r="A2885" s="41"/>
      <c r="B2885" s="41"/>
      <c r="C2885" s="41"/>
      <c r="D2885" s="41"/>
      <c r="E2885" s="41"/>
      <c r="F2885" s="41"/>
    </row>
    <row r="2886">
      <c r="A2886" s="41"/>
      <c r="B2886" s="41"/>
      <c r="C2886" s="41"/>
      <c r="D2886" s="41"/>
      <c r="E2886" s="41"/>
      <c r="F2886" s="41"/>
    </row>
    <row r="2887">
      <c r="A2887" s="41"/>
      <c r="B2887" s="41"/>
      <c r="C2887" s="41"/>
      <c r="D2887" s="41"/>
      <c r="E2887" s="41"/>
      <c r="F2887" s="41"/>
    </row>
    <row r="2888">
      <c r="A2888" s="41"/>
      <c r="B2888" s="41"/>
      <c r="C2888" s="41"/>
      <c r="D2888" s="41"/>
      <c r="E2888" s="41"/>
      <c r="F2888" s="41"/>
    </row>
    <row r="2889">
      <c r="A2889" s="41"/>
      <c r="B2889" s="41"/>
      <c r="C2889" s="41"/>
      <c r="D2889" s="41"/>
      <c r="E2889" s="41"/>
      <c r="F2889" s="41"/>
    </row>
    <row r="2890">
      <c r="A2890" s="41"/>
      <c r="B2890" s="41"/>
      <c r="C2890" s="41"/>
      <c r="D2890" s="41"/>
      <c r="E2890" s="41"/>
      <c r="F2890" s="41"/>
    </row>
    <row r="2891">
      <c r="A2891" s="41"/>
      <c r="B2891" s="41"/>
      <c r="C2891" s="41"/>
      <c r="D2891" s="41"/>
      <c r="E2891" s="41"/>
      <c r="F2891" s="41"/>
    </row>
    <row r="2892">
      <c r="A2892" s="41"/>
      <c r="B2892" s="41"/>
      <c r="C2892" s="41"/>
      <c r="D2892" s="41"/>
      <c r="E2892" s="41"/>
      <c r="F2892" s="41"/>
    </row>
    <row r="2893">
      <c r="A2893" s="41"/>
      <c r="B2893" s="41"/>
      <c r="C2893" s="41"/>
      <c r="D2893" s="41"/>
      <c r="E2893" s="41"/>
      <c r="F2893" s="41"/>
    </row>
    <row r="2894">
      <c r="A2894" s="41"/>
      <c r="B2894" s="41"/>
      <c r="C2894" s="41"/>
      <c r="D2894" s="41"/>
      <c r="E2894" s="41"/>
      <c r="F2894" s="41"/>
    </row>
    <row r="2895">
      <c r="A2895" s="41"/>
      <c r="B2895" s="41"/>
      <c r="C2895" s="41"/>
      <c r="D2895" s="41"/>
      <c r="E2895" s="41"/>
      <c r="F2895" s="41"/>
    </row>
    <row r="2896">
      <c r="A2896" s="41"/>
      <c r="B2896" s="41"/>
      <c r="C2896" s="41"/>
      <c r="D2896" s="41"/>
      <c r="E2896" s="41"/>
      <c r="F2896" s="41"/>
    </row>
    <row r="2897">
      <c r="A2897" s="41"/>
      <c r="B2897" s="41"/>
      <c r="C2897" s="41"/>
      <c r="D2897" s="41"/>
      <c r="E2897" s="41"/>
      <c r="F2897" s="41"/>
    </row>
    <row r="2898">
      <c r="A2898" s="41"/>
      <c r="B2898" s="41"/>
      <c r="C2898" s="41"/>
      <c r="D2898" s="41"/>
      <c r="E2898" s="41"/>
      <c r="F2898" s="41"/>
    </row>
    <row r="2899">
      <c r="A2899" s="41"/>
      <c r="B2899" s="41"/>
      <c r="C2899" s="41"/>
      <c r="D2899" s="41"/>
      <c r="E2899" s="41"/>
      <c r="F2899" s="41"/>
    </row>
    <row r="2900">
      <c r="A2900" s="41"/>
      <c r="B2900" s="41"/>
      <c r="C2900" s="41"/>
      <c r="D2900" s="41"/>
      <c r="E2900" s="41"/>
      <c r="F2900" s="41"/>
    </row>
    <row r="2901">
      <c r="A2901" s="41"/>
      <c r="B2901" s="41"/>
      <c r="C2901" s="41"/>
      <c r="D2901" s="41"/>
      <c r="E2901" s="41"/>
      <c r="F2901" s="41"/>
    </row>
    <row r="2902">
      <c r="A2902" s="41"/>
      <c r="B2902" s="41"/>
      <c r="C2902" s="41"/>
      <c r="D2902" s="41"/>
      <c r="E2902" s="41"/>
      <c r="F2902" s="41"/>
    </row>
    <row r="2903">
      <c r="A2903" s="41"/>
      <c r="B2903" s="41"/>
      <c r="C2903" s="41"/>
      <c r="D2903" s="41"/>
      <c r="E2903" s="41"/>
      <c r="F2903" s="41"/>
    </row>
    <row r="2904">
      <c r="A2904" s="41"/>
      <c r="B2904" s="41"/>
      <c r="C2904" s="41"/>
      <c r="D2904" s="41"/>
      <c r="E2904" s="41"/>
      <c r="F2904" s="41"/>
    </row>
    <row r="2905">
      <c r="A2905" s="41"/>
      <c r="B2905" s="41"/>
      <c r="C2905" s="41"/>
      <c r="D2905" s="41"/>
      <c r="E2905" s="41"/>
      <c r="F2905" s="41"/>
    </row>
    <row r="2906">
      <c r="A2906" s="41"/>
      <c r="B2906" s="41"/>
      <c r="C2906" s="41"/>
      <c r="D2906" s="41"/>
      <c r="E2906" s="41"/>
      <c r="F2906" s="41"/>
    </row>
    <row r="2907">
      <c r="A2907" s="41"/>
      <c r="B2907" s="41"/>
      <c r="C2907" s="41"/>
      <c r="D2907" s="41"/>
      <c r="E2907" s="41"/>
      <c r="F2907" s="41"/>
    </row>
    <row r="2908">
      <c r="A2908" s="41"/>
      <c r="B2908" s="41"/>
      <c r="C2908" s="41"/>
      <c r="D2908" s="41"/>
      <c r="E2908" s="41"/>
      <c r="F2908" s="41"/>
    </row>
    <row r="2909">
      <c r="A2909" s="41"/>
      <c r="B2909" s="41"/>
      <c r="C2909" s="41"/>
      <c r="D2909" s="41"/>
      <c r="E2909" s="41"/>
      <c r="F2909" s="41"/>
    </row>
    <row r="2910">
      <c r="A2910" s="41"/>
      <c r="B2910" s="41"/>
      <c r="C2910" s="41"/>
      <c r="D2910" s="41"/>
      <c r="E2910" s="41"/>
      <c r="F2910" s="41"/>
    </row>
    <row r="2911">
      <c r="A2911" s="41"/>
      <c r="B2911" s="41"/>
      <c r="C2911" s="41"/>
      <c r="D2911" s="41"/>
      <c r="E2911" s="41"/>
      <c r="F2911" s="41"/>
    </row>
    <row r="2912">
      <c r="A2912" s="41"/>
      <c r="B2912" s="41"/>
      <c r="C2912" s="41"/>
      <c r="D2912" s="41"/>
      <c r="E2912" s="41"/>
      <c r="F2912" s="41"/>
    </row>
    <row r="2913">
      <c r="A2913" s="41"/>
      <c r="B2913" s="41"/>
      <c r="C2913" s="41"/>
      <c r="D2913" s="41"/>
      <c r="E2913" s="41"/>
      <c r="F2913" s="41"/>
    </row>
    <row r="2914">
      <c r="A2914" s="41"/>
      <c r="B2914" s="41"/>
      <c r="C2914" s="41"/>
      <c r="D2914" s="41"/>
      <c r="E2914" s="41"/>
      <c r="F2914" s="41"/>
    </row>
    <row r="2915">
      <c r="A2915" s="41"/>
      <c r="B2915" s="41"/>
      <c r="C2915" s="41"/>
      <c r="D2915" s="41"/>
      <c r="E2915" s="41"/>
      <c r="F2915" s="41"/>
    </row>
    <row r="2916">
      <c r="A2916" s="41"/>
      <c r="B2916" s="41"/>
      <c r="C2916" s="41"/>
      <c r="D2916" s="41"/>
      <c r="E2916" s="41"/>
      <c r="F2916" s="41"/>
    </row>
    <row r="2917">
      <c r="A2917" s="41"/>
      <c r="B2917" s="41"/>
      <c r="C2917" s="41"/>
      <c r="D2917" s="41"/>
      <c r="E2917" s="41"/>
      <c r="F2917" s="41"/>
    </row>
    <row r="2918">
      <c r="A2918" s="41"/>
      <c r="B2918" s="41"/>
      <c r="C2918" s="41"/>
      <c r="D2918" s="41"/>
      <c r="E2918" s="41"/>
      <c r="F2918" s="41"/>
    </row>
    <row r="2919">
      <c r="A2919" s="41"/>
      <c r="B2919" s="41"/>
      <c r="C2919" s="41"/>
      <c r="D2919" s="41"/>
      <c r="E2919" s="41"/>
      <c r="F2919" s="41"/>
    </row>
    <row r="2920">
      <c r="A2920" s="41"/>
      <c r="B2920" s="41"/>
      <c r="C2920" s="41"/>
      <c r="D2920" s="41"/>
      <c r="E2920" s="41"/>
      <c r="F2920" s="41"/>
    </row>
    <row r="2921">
      <c r="A2921" s="41"/>
      <c r="B2921" s="41"/>
      <c r="C2921" s="41"/>
      <c r="D2921" s="41"/>
      <c r="E2921" s="41"/>
      <c r="F2921" s="41"/>
    </row>
    <row r="2922">
      <c r="A2922" s="41"/>
      <c r="B2922" s="41"/>
      <c r="C2922" s="41"/>
      <c r="D2922" s="41"/>
      <c r="E2922" s="41"/>
      <c r="F2922" s="41"/>
    </row>
    <row r="2923">
      <c r="A2923" s="41"/>
      <c r="B2923" s="41"/>
      <c r="C2923" s="41"/>
      <c r="D2923" s="41"/>
      <c r="E2923" s="41"/>
      <c r="F2923" s="41"/>
    </row>
    <row r="2924">
      <c r="A2924" s="41"/>
      <c r="B2924" s="41"/>
      <c r="C2924" s="41"/>
      <c r="D2924" s="41"/>
      <c r="E2924" s="41"/>
      <c r="F2924" s="41"/>
    </row>
    <row r="2925">
      <c r="A2925" s="41"/>
      <c r="B2925" s="41"/>
      <c r="C2925" s="41"/>
      <c r="D2925" s="41"/>
      <c r="E2925" s="41"/>
      <c r="F2925" s="41"/>
    </row>
    <row r="2926">
      <c r="A2926" s="41"/>
      <c r="B2926" s="41"/>
      <c r="C2926" s="41"/>
      <c r="D2926" s="41"/>
      <c r="E2926" s="41"/>
      <c r="F2926" s="41"/>
    </row>
    <row r="2927">
      <c r="A2927" s="41"/>
      <c r="B2927" s="41"/>
      <c r="C2927" s="41"/>
      <c r="D2927" s="41"/>
      <c r="E2927" s="41"/>
      <c r="F2927" s="41"/>
    </row>
    <row r="2928">
      <c r="A2928" s="41"/>
      <c r="B2928" s="41"/>
      <c r="C2928" s="41"/>
      <c r="D2928" s="41"/>
      <c r="E2928" s="41"/>
      <c r="F2928" s="41"/>
    </row>
    <row r="2929">
      <c r="A2929" s="41"/>
      <c r="B2929" s="41"/>
      <c r="C2929" s="41"/>
      <c r="D2929" s="41"/>
      <c r="E2929" s="41"/>
      <c r="F2929" s="41"/>
    </row>
    <row r="2930">
      <c r="A2930" s="41"/>
      <c r="B2930" s="41"/>
      <c r="C2930" s="41"/>
      <c r="D2930" s="41"/>
      <c r="E2930" s="41"/>
      <c r="F2930" s="41"/>
    </row>
    <row r="2931">
      <c r="A2931" s="41"/>
      <c r="B2931" s="41"/>
      <c r="C2931" s="41"/>
      <c r="D2931" s="41"/>
      <c r="E2931" s="41"/>
      <c r="F2931" s="41"/>
    </row>
    <row r="2932">
      <c r="A2932" s="41"/>
      <c r="B2932" s="41"/>
      <c r="C2932" s="41"/>
      <c r="D2932" s="41"/>
      <c r="E2932" s="41"/>
      <c r="F2932" s="41"/>
    </row>
    <row r="2933">
      <c r="A2933" s="41"/>
      <c r="B2933" s="41"/>
      <c r="C2933" s="41"/>
      <c r="D2933" s="41"/>
      <c r="E2933" s="41"/>
      <c r="F2933" s="41"/>
    </row>
    <row r="2934">
      <c r="A2934" s="41"/>
      <c r="B2934" s="41"/>
      <c r="C2934" s="41"/>
      <c r="D2934" s="41"/>
      <c r="E2934" s="41"/>
      <c r="F2934" s="41"/>
    </row>
    <row r="2935">
      <c r="A2935" s="41"/>
      <c r="B2935" s="41"/>
      <c r="C2935" s="41"/>
      <c r="D2935" s="41"/>
      <c r="E2935" s="41"/>
      <c r="F2935" s="41"/>
    </row>
    <row r="2936">
      <c r="A2936" s="41"/>
      <c r="B2936" s="41"/>
      <c r="C2936" s="41"/>
      <c r="D2936" s="41"/>
      <c r="E2936" s="41"/>
      <c r="F2936" s="41"/>
    </row>
    <row r="2937">
      <c r="A2937" s="41"/>
      <c r="B2937" s="41"/>
      <c r="C2937" s="41"/>
      <c r="D2937" s="41"/>
      <c r="E2937" s="41"/>
      <c r="F2937" s="41"/>
    </row>
    <row r="2938">
      <c r="A2938" s="41"/>
      <c r="B2938" s="41"/>
      <c r="C2938" s="41"/>
      <c r="D2938" s="41"/>
      <c r="E2938" s="41"/>
      <c r="F2938" s="41"/>
    </row>
    <row r="2939">
      <c r="A2939" s="41"/>
      <c r="B2939" s="41"/>
      <c r="C2939" s="41"/>
      <c r="D2939" s="41"/>
      <c r="E2939" s="41"/>
      <c r="F2939" s="41"/>
    </row>
    <row r="2940">
      <c r="A2940" s="41"/>
      <c r="B2940" s="41"/>
      <c r="C2940" s="41"/>
      <c r="D2940" s="41"/>
      <c r="E2940" s="41"/>
      <c r="F2940" s="41"/>
    </row>
    <row r="2941">
      <c r="A2941" s="41"/>
      <c r="B2941" s="41"/>
      <c r="C2941" s="41"/>
      <c r="D2941" s="41"/>
      <c r="E2941" s="41"/>
      <c r="F2941" s="41"/>
    </row>
    <row r="2942">
      <c r="A2942" s="41"/>
      <c r="B2942" s="41"/>
      <c r="C2942" s="41"/>
      <c r="D2942" s="41"/>
      <c r="E2942" s="41"/>
      <c r="F2942" s="41"/>
    </row>
    <row r="2943">
      <c r="A2943" s="41"/>
      <c r="B2943" s="41"/>
      <c r="C2943" s="41"/>
      <c r="D2943" s="41"/>
      <c r="E2943" s="41"/>
      <c r="F2943" s="41"/>
    </row>
    <row r="2944">
      <c r="A2944" s="41"/>
      <c r="B2944" s="41"/>
      <c r="C2944" s="41"/>
      <c r="D2944" s="41"/>
      <c r="E2944" s="41"/>
      <c r="F2944" s="41"/>
    </row>
    <row r="2945">
      <c r="A2945" s="41"/>
      <c r="B2945" s="41"/>
      <c r="C2945" s="41"/>
      <c r="D2945" s="41"/>
      <c r="E2945" s="41"/>
      <c r="F2945" s="41"/>
    </row>
    <row r="2946">
      <c r="A2946" s="41"/>
      <c r="B2946" s="41"/>
      <c r="C2946" s="41"/>
      <c r="D2946" s="41"/>
      <c r="E2946" s="41"/>
      <c r="F2946" s="41"/>
    </row>
    <row r="2947">
      <c r="A2947" s="41"/>
      <c r="B2947" s="41"/>
      <c r="C2947" s="41"/>
      <c r="D2947" s="41"/>
      <c r="E2947" s="41"/>
      <c r="F2947" s="41"/>
    </row>
    <row r="2948">
      <c r="A2948" s="41"/>
      <c r="B2948" s="41"/>
      <c r="C2948" s="41"/>
      <c r="D2948" s="41"/>
      <c r="E2948" s="41"/>
      <c r="F2948" s="41"/>
    </row>
    <row r="2949">
      <c r="A2949" s="41"/>
      <c r="B2949" s="41"/>
      <c r="C2949" s="41"/>
      <c r="D2949" s="41"/>
      <c r="E2949" s="41"/>
      <c r="F2949" s="41"/>
    </row>
    <row r="2950">
      <c r="A2950" s="41"/>
      <c r="B2950" s="41"/>
      <c r="C2950" s="41"/>
      <c r="D2950" s="41"/>
      <c r="E2950" s="41"/>
      <c r="F2950" s="41"/>
    </row>
    <row r="2951">
      <c r="A2951" s="41"/>
      <c r="B2951" s="41"/>
      <c r="C2951" s="41"/>
      <c r="D2951" s="41"/>
      <c r="E2951" s="41"/>
      <c r="F2951" s="41"/>
    </row>
    <row r="2952">
      <c r="A2952" s="41"/>
      <c r="B2952" s="41"/>
      <c r="C2952" s="41"/>
      <c r="D2952" s="41"/>
      <c r="E2952" s="41"/>
      <c r="F2952" s="41"/>
    </row>
    <row r="2953">
      <c r="A2953" s="41"/>
      <c r="B2953" s="41"/>
      <c r="C2953" s="41"/>
      <c r="D2953" s="41"/>
      <c r="E2953" s="41"/>
      <c r="F2953" s="41"/>
    </row>
    <row r="2954">
      <c r="A2954" s="41"/>
      <c r="B2954" s="41"/>
      <c r="C2954" s="41"/>
      <c r="D2954" s="41"/>
      <c r="E2954" s="41"/>
      <c r="F2954" s="41"/>
    </row>
    <row r="2955">
      <c r="A2955" s="41"/>
      <c r="B2955" s="41"/>
      <c r="C2955" s="41"/>
      <c r="D2955" s="41"/>
      <c r="E2955" s="41"/>
      <c r="F2955" s="41"/>
    </row>
    <row r="2956">
      <c r="A2956" s="41"/>
      <c r="B2956" s="41"/>
      <c r="C2956" s="41"/>
      <c r="D2956" s="41"/>
      <c r="E2956" s="41"/>
      <c r="F2956" s="41"/>
    </row>
    <row r="2957">
      <c r="A2957" s="41"/>
      <c r="B2957" s="41"/>
      <c r="C2957" s="41"/>
      <c r="D2957" s="41"/>
      <c r="E2957" s="41"/>
      <c r="F2957" s="41"/>
    </row>
    <row r="2958">
      <c r="A2958" s="41"/>
      <c r="B2958" s="41"/>
      <c r="C2958" s="41"/>
      <c r="D2958" s="41"/>
      <c r="E2958" s="41"/>
      <c r="F2958" s="41"/>
    </row>
    <row r="2959">
      <c r="A2959" s="41"/>
      <c r="B2959" s="41"/>
      <c r="C2959" s="41"/>
      <c r="D2959" s="41"/>
      <c r="E2959" s="41"/>
      <c r="F2959" s="41"/>
    </row>
    <row r="2960">
      <c r="A2960" s="41"/>
      <c r="B2960" s="41"/>
      <c r="C2960" s="41"/>
      <c r="D2960" s="41"/>
      <c r="E2960" s="41"/>
      <c r="F2960" s="41"/>
    </row>
    <row r="2961">
      <c r="A2961" s="41"/>
      <c r="B2961" s="41"/>
      <c r="C2961" s="41"/>
      <c r="D2961" s="41"/>
      <c r="E2961" s="41"/>
      <c r="F2961" s="41"/>
    </row>
    <row r="2962">
      <c r="A2962" s="41"/>
      <c r="B2962" s="41"/>
      <c r="C2962" s="41"/>
      <c r="D2962" s="41"/>
      <c r="E2962" s="41"/>
      <c r="F2962" s="41"/>
    </row>
    <row r="2963">
      <c r="A2963" s="41"/>
      <c r="B2963" s="41"/>
      <c r="C2963" s="41"/>
      <c r="D2963" s="41"/>
      <c r="E2963" s="41"/>
      <c r="F2963" s="41"/>
    </row>
    <row r="2964">
      <c r="A2964" s="41"/>
      <c r="B2964" s="41"/>
      <c r="C2964" s="41"/>
      <c r="D2964" s="41"/>
      <c r="E2964" s="41"/>
      <c r="F2964" s="41"/>
    </row>
    <row r="2965">
      <c r="A2965" s="41"/>
      <c r="B2965" s="41"/>
      <c r="C2965" s="41"/>
      <c r="D2965" s="41"/>
      <c r="E2965" s="41"/>
      <c r="F2965" s="41"/>
    </row>
    <row r="2966">
      <c r="A2966" s="41"/>
      <c r="B2966" s="41"/>
      <c r="C2966" s="41"/>
      <c r="D2966" s="41"/>
      <c r="E2966" s="41"/>
      <c r="F2966" s="41"/>
    </row>
    <row r="2967">
      <c r="A2967" s="41"/>
      <c r="B2967" s="41"/>
      <c r="C2967" s="41"/>
      <c r="D2967" s="41"/>
      <c r="E2967" s="41"/>
      <c r="F2967" s="41"/>
    </row>
    <row r="2968">
      <c r="A2968" s="41"/>
      <c r="B2968" s="41"/>
      <c r="C2968" s="41"/>
      <c r="D2968" s="41"/>
      <c r="E2968" s="41"/>
      <c r="F2968" s="41"/>
    </row>
    <row r="2969">
      <c r="A2969" s="41"/>
      <c r="B2969" s="41"/>
      <c r="C2969" s="41"/>
      <c r="D2969" s="41"/>
      <c r="E2969" s="41"/>
      <c r="F2969" s="41"/>
    </row>
    <row r="2970">
      <c r="A2970" s="41"/>
      <c r="B2970" s="41"/>
      <c r="C2970" s="41"/>
      <c r="D2970" s="41"/>
      <c r="E2970" s="41"/>
      <c r="F2970" s="41"/>
    </row>
    <row r="2971">
      <c r="A2971" s="41"/>
      <c r="B2971" s="41"/>
      <c r="C2971" s="41"/>
      <c r="D2971" s="41"/>
      <c r="E2971" s="41"/>
      <c r="F2971" s="41"/>
    </row>
    <row r="2972">
      <c r="A2972" s="41"/>
      <c r="B2972" s="41"/>
      <c r="C2972" s="41"/>
      <c r="D2972" s="41"/>
      <c r="E2972" s="41"/>
      <c r="F2972" s="41"/>
    </row>
    <row r="2973">
      <c r="A2973" s="41"/>
      <c r="B2973" s="41"/>
      <c r="C2973" s="41"/>
      <c r="D2973" s="41"/>
      <c r="E2973" s="41"/>
      <c r="F2973" s="41"/>
    </row>
    <row r="2974">
      <c r="A2974" s="41"/>
      <c r="B2974" s="41"/>
      <c r="C2974" s="41"/>
      <c r="D2974" s="41"/>
      <c r="E2974" s="41"/>
      <c r="F2974" s="41"/>
    </row>
    <row r="2975">
      <c r="A2975" s="41"/>
      <c r="B2975" s="41"/>
      <c r="C2975" s="41"/>
      <c r="D2975" s="41"/>
      <c r="E2975" s="41"/>
      <c r="F2975" s="41"/>
    </row>
    <row r="2976">
      <c r="A2976" s="41"/>
      <c r="B2976" s="41"/>
      <c r="C2976" s="41"/>
      <c r="D2976" s="41"/>
      <c r="E2976" s="41"/>
      <c r="F2976" s="41"/>
    </row>
    <row r="2977">
      <c r="A2977" s="41"/>
      <c r="B2977" s="41"/>
      <c r="C2977" s="41"/>
      <c r="D2977" s="41"/>
      <c r="E2977" s="41"/>
      <c r="F2977" s="41"/>
    </row>
    <row r="2978">
      <c r="A2978" s="41"/>
      <c r="B2978" s="41"/>
      <c r="C2978" s="41"/>
      <c r="D2978" s="41"/>
      <c r="E2978" s="41"/>
      <c r="F2978" s="41"/>
    </row>
    <row r="2979">
      <c r="A2979" s="41"/>
      <c r="B2979" s="41"/>
      <c r="C2979" s="41"/>
      <c r="D2979" s="41"/>
      <c r="E2979" s="41"/>
      <c r="F2979" s="41"/>
    </row>
    <row r="2980">
      <c r="A2980" s="41"/>
      <c r="B2980" s="41"/>
      <c r="C2980" s="41"/>
      <c r="D2980" s="41"/>
      <c r="E2980" s="41"/>
      <c r="F2980" s="41"/>
    </row>
    <row r="2981">
      <c r="A2981" s="41"/>
      <c r="B2981" s="41"/>
      <c r="C2981" s="41"/>
      <c r="D2981" s="41"/>
      <c r="E2981" s="41"/>
      <c r="F2981" s="41"/>
    </row>
    <row r="2982">
      <c r="A2982" s="41"/>
      <c r="B2982" s="41"/>
      <c r="C2982" s="41"/>
      <c r="D2982" s="41"/>
      <c r="E2982" s="41"/>
      <c r="F2982" s="41"/>
    </row>
    <row r="2983">
      <c r="A2983" s="41"/>
      <c r="B2983" s="41"/>
      <c r="C2983" s="41"/>
      <c r="D2983" s="41"/>
      <c r="E2983" s="41"/>
      <c r="F2983" s="41"/>
    </row>
    <row r="2984">
      <c r="A2984" s="41"/>
      <c r="B2984" s="41"/>
      <c r="C2984" s="41"/>
      <c r="D2984" s="41"/>
      <c r="E2984" s="41"/>
      <c r="F2984" s="41"/>
    </row>
    <row r="2985">
      <c r="A2985" s="41"/>
      <c r="B2985" s="41"/>
      <c r="C2985" s="41"/>
      <c r="D2985" s="41"/>
      <c r="E2985" s="41"/>
      <c r="F2985" s="41"/>
    </row>
    <row r="2986">
      <c r="A2986" s="41"/>
      <c r="B2986" s="41"/>
      <c r="C2986" s="41"/>
      <c r="D2986" s="41"/>
      <c r="E2986" s="41"/>
      <c r="F2986" s="41"/>
    </row>
    <row r="2987">
      <c r="A2987" s="41"/>
      <c r="B2987" s="41"/>
      <c r="C2987" s="41"/>
      <c r="D2987" s="41"/>
      <c r="E2987" s="41"/>
      <c r="F2987" s="41"/>
    </row>
    <row r="2988">
      <c r="A2988" s="41"/>
      <c r="B2988" s="41"/>
      <c r="C2988" s="41"/>
      <c r="D2988" s="41"/>
      <c r="E2988" s="41"/>
      <c r="F2988" s="41"/>
    </row>
    <row r="2989">
      <c r="A2989" s="41"/>
      <c r="B2989" s="41"/>
      <c r="C2989" s="41"/>
      <c r="D2989" s="41"/>
      <c r="E2989" s="41"/>
      <c r="F2989" s="41"/>
    </row>
    <row r="2990">
      <c r="A2990" s="41"/>
      <c r="B2990" s="41"/>
      <c r="C2990" s="41"/>
      <c r="D2990" s="41"/>
      <c r="E2990" s="41"/>
      <c r="F2990" s="41"/>
    </row>
    <row r="2991">
      <c r="A2991" s="41"/>
      <c r="B2991" s="41"/>
      <c r="C2991" s="41"/>
      <c r="D2991" s="41"/>
      <c r="E2991" s="41"/>
      <c r="F2991" s="41"/>
    </row>
    <row r="2992">
      <c r="A2992" s="41"/>
      <c r="B2992" s="41"/>
      <c r="C2992" s="41"/>
      <c r="D2992" s="41"/>
      <c r="E2992" s="41"/>
      <c r="F2992" s="41"/>
    </row>
    <row r="2993">
      <c r="A2993" s="41"/>
      <c r="B2993" s="41"/>
      <c r="C2993" s="41"/>
      <c r="D2993" s="41"/>
      <c r="E2993" s="41"/>
      <c r="F2993" s="41"/>
    </row>
    <row r="2994">
      <c r="A2994" s="41"/>
      <c r="B2994" s="41"/>
      <c r="C2994" s="41"/>
      <c r="D2994" s="41"/>
      <c r="E2994" s="41"/>
      <c r="F2994" s="41"/>
    </row>
    <row r="2995">
      <c r="A2995" s="41"/>
      <c r="B2995" s="41"/>
      <c r="C2995" s="41"/>
      <c r="D2995" s="41"/>
      <c r="E2995" s="41"/>
      <c r="F2995" s="41"/>
    </row>
    <row r="2996">
      <c r="A2996" s="41"/>
      <c r="B2996" s="41"/>
      <c r="C2996" s="41"/>
      <c r="D2996" s="41"/>
      <c r="E2996" s="41"/>
      <c r="F2996" s="41"/>
    </row>
    <row r="2997">
      <c r="A2997" s="41"/>
      <c r="B2997" s="41"/>
      <c r="C2997" s="41"/>
      <c r="D2997" s="41"/>
      <c r="E2997" s="41"/>
      <c r="F2997" s="41"/>
    </row>
    <row r="2998">
      <c r="A2998" s="41"/>
      <c r="B2998" s="41"/>
      <c r="C2998" s="41"/>
      <c r="D2998" s="41"/>
      <c r="E2998" s="41"/>
      <c r="F2998" s="41"/>
    </row>
    <row r="2999">
      <c r="A2999" s="41"/>
      <c r="B2999" s="41"/>
      <c r="C2999" s="41"/>
      <c r="D2999" s="41"/>
      <c r="E2999" s="41"/>
      <c r="F2999" s="41"/>
    </row>
    <row r="3000">
      <c r="A3000" s="41"/>
      <c r="B3000" s="41"/>
      <c r="C3000" s="41"/>
      <c r="D3000" s="41"/>
      <c r="E3000" s="41"/>
      <c r="F3000" s="41"/>
    </row>
    <row r="3001">
      <c r="A3001" s="41"/>
      <c r="B3001" s="41"/>
      <c r="C3001" s="41"/>
      <c r="D3001" s="41"/>
      <c r="E3001" s="41"/>
      <c r="F3001" s="41"/>
    </row>
    <row r="3002">
      <c r="A3002" s="41"/>
      <c r="B3002" s="41"/>
      <c r="C3002" s="41"/>
      <c r="D3002" s="41"/>
      <c r="E3002" s="41"/>
      <c r="F3002" s="41"/>
    </row>
    <row r="3003">
      <c r="A3003" s="41"/>
      <c r="B3003" s="41"/>
      <c r="C3003" s="41"/>
      <c r="D3003" s="41"/>
      <c r="E3003" s="41"/>
      <c r="F3003" s="41"/>
    </row>
    <row r="3004">
      <c r="A3004" s="41"/>
      <c r="B3004" s="41"/>
      <c r="C3004" s="41"/>
      <c r="D3004" s="41"/>
      <c r="E3004" s="41"/>
      <c r="F3004" s="41"/>
    </row>
    <row r="3005">
      <c r="A3005" s="41"/>
      <c r="B3005" s="41"/>
      <c r="C3005" s="41"/>
      <c r="D3005" s="41"/>
      <c r="E3005" s="41"/>
      <c r="F3005" s="41"/>
    </row>
    <row r="3006">
      <c r="A3006" s="41"/>
      <c r="B3006" s="41"/>
      <c r="C3006" s="41"/>
      <c r="D3006" s="41"/>
      <c r="E3006" s="41"/>
      <c r="F3006" s="41"/>
    </row>
    <row r="3007">
      <c r="A3007" s="41"/>
      <c r="B3007" s="41"/>
      <c r="C3007" s="41"/>
      <c r="D3007" s="41"/>
      <c r="E3007" s="41"/>
      <c r="F3007" s="41"/>
    </row>
    <row r="3008">
      <c r="A3008" s="41"/>
      <c r="B3008" s="41"/>
      <c r="C3008" s="41"/>
      <c r="D3008" s="41"/>
      <c r="E3008" s="41"/>
      <c r="F3008" s="41"/>
    </row>
    <row r="3009">
      <c r="A3009" s="41"/>
      <c r="B3009" s="41"/>
      <c r="C3009" s="41"/>
      <c r="D3009" s="41"/>
      <c r="E3009" s="41"/>
      <c r="F3009" s="41"/>
    </row>
    <row r="3010">
      <c r="A3010" s="41"/>
      <c r="B3010" s="41"/>
      <c r="C3010" s="41"/>
      <c r="D3010" s="41"/>
      <c r="E3010" s="41"/>
      <c r="F3010" s="41"/>
    </row>
    <row r="3011">
      <c r="A3011" s="41"/>
      <c r="B3011" s="41"/>
      <c r="C3011" s="41"/>
      <c r="D3011" s="41"/>
      <c r="E3011" s="41"/>
      <c r="F3011" s="41"/>
    </row>
    <row r="3012">
      <c r="A3012" s="41"/>
      <c r="B3012" s="41"/>
      <c r="C3012" s="41"/>
      <c r="D3012" s="41"/>
      <c r="E3012" s="41"/>
      <c r="F3012" s="41"/>
    </row>
    <row r="3013">
      <c r="A3013" s="41"/>
      <c r="B3013" s="41"/>
      <c r="C3013" s="41"/>
      <c r="D3013" s="41"/>
      <c r="E3013" s="41"/>
      <c r="F3013" s="41"/>
    </row>
    <row r="3014">
      <c r="A3014" s="41"/>
      <c r="B3014" s="41"/>
      <c r="C3014" s="41"/>
      <c r="D3014" s="41"/>
      <c r="E3014" s="41"/>
      <c r="F3014" s="41"/>
    </row>
    <row r="3015">
      <c r="A3015" s="41"/>
      <c r="B3015" s="41"/>
      <c r="C3015" s="41"/>
      <c r="D3015" s="41"/>
      <c r="E3015" s="41"/>
      <c r="F3015" s="41"/>
    </row>
    <row r="3016">
      <c r="A3016" s="41"/>
      <c r="B3016" s="41"/>
      <c r="C3016" s="41"/>
      <c r="D3016" s="41"/>
      <c r="E3016" s="41"/>
      <c r="F3016" s="41"/>
    </row>
    <row r="3017">
      <c r="A3017" s="41"/>
      <c r="B3017" s="41"/>
      <c r="C3017" s="41"/>
      <c r="D3017" s="41"/>
      <c r="E3017" s="41"/>
      <c r="F3017" s="41"/>
    </row>
    <row r="3018">
      <c r="A3018" s="41"/>
      <c r="B3018" s="41"/>
      <c r="C3018" s="41"/>
      <c r="D3018" s="41"/>
      <c r="E3018" s="41"/>
      <c r="F3018" s="41"/>
    </row>
    <row r="3019">
      <c r="A3019" s="41"/>
      <c r="B3019" s="41"/>
      <c r="C3019" s="41"/>
      <c r="D3019" s="41"/>
      <c r="E3019" s="41"/>
      <c r="F3019" s="41"/>
    </row>
    <row r="3020">
      <c r="A3020" s="41"/>
      <c r="B3020" s="41"/>
      <c r="C3020" s="41"/>
      <c r="D3020" s="41"/>
      <c r="E3020" s="41"/>
      <c r="F3020" s="41"/>
    </row>
    <row r="3021">
      <c r="A3021" s="41"/>
      <c r="B3021" s="41"/>
      <c r="C3021" s="41"/>
      <c r="D3021" s="41"/>
      <c r="E3021" s="41"/>
      <c r="F3021" s="41"/>
    </row>
    <row r="3022">
      <c r="A3022" s="41"/>
      <c r="B3022" s="41"/>
      <c r="C3022" s="41"/>
      <c r="D3022" s="41"/>
      <c r="E3022" s="41"/>
      <c r="F3022" s="41"/>
    </row>
    <row r="3023">
      <c r="A3023" s="41"/>
      <c r="B3023" s="41"/>
      <c r="C3023" s="41"/>
      <c r="D3023" s="41"/>
      <c r="E3023" s="41"/>
      <c r="F3023" s="41"/>
    </row>
    <row r="3024">
      <c r="A3024" s="41"/>
      <c r="B3024" s="41"/>
      <c r="C3024" s="41"/>
      <c r="D3024" s="41"/>
      <c r="E3024" s="41"/>
      <c r="F3024" s="41"/>
    </row>
    <row r="3025">
      <c r="A3025" s="41"/>
      <c r="B3025" s="41"/>
      <c r="C3025" s="41"/>
      <c r="D3025" s="41"/>
      <c r="E3025" s="41"/>
      <c r="F3025" s="41"/>
    </row>
    <row r="3026">
      <c r="A3026" s="41"/>
      <c r="B3026" s="41"/>
      <c r="C3026" s="41"/>
      <c r="D3026" s="41"/>
      <c r="E3026" s="41"/>
      <c r="F3026" s="41"/>
    </row>
    <row r="3027">
      <c r="A3027" s="41"/>
      <c r="B3027" s="41"/>
      <c r="C3027" s="41"/>
      <c r="D3027" s="41"/>
      <c r="E3027" s="41"/>
      <c r="F3027" s="41"/>
    </row>
    <row r="3028">
      <c r="A3028" s="41"/>
      <c r="B3028" s="41"/>
      <c r="C3028" s="41"/>
      <c r="D3028" s="41"/>
      <c r="E3028" s="41"/>
      <c r="F3028" s="41"/>
    </row>
    <row r="3029">
      <c r="A3029" s="41"/>
      <c r="B3029" s="41"/>
      <c r="C3029" s="41"/>
      <c r="D3029" s="41"/>
      <c r="E3029" s="41"/>
      <c r="F3029" s="41"/>
    </row>
    <row r="3030">
      <c r="A3030" s="41"/>
      <c r="B3030" s="41"/>
      <c r="C3030" s="41"/>
      <c r="D3030" s="41"/>
      <c r="E3030" s="41"/>
      <c r="F3030" s="41"/>
    </row>
    <row r="3031">
      <c r="A3031" s="41"/>
      <c r="B3031" s="41"/>
      <c r="C3031" s="41"/>
      <c r="D3031" s="41"/>
      <c r="E3031" s="41"/>
      <c r="F3031" s="41"/>
    </row>
    <row r="3032">
      <c r="A3032" s="41"/>
      <c r="B3032" s="41"/>
      <c r="C3032" s="41"/>
      <c r="D3032" s="41"/>
      <c r="E3032" s="41"/>
      <c r="F3032" s="41"/>
    </row>
    <row r="3033">
      <c r="A3033" s="41"/>
      <c r="B3033" s="41"/>
      <c r="C3033" s="41"/>
      <c r="D3033" s="41"/>
      <c r="E3033" s="41"/>
      <c r="F3033" s="41"/>
    </row>
    <row r="3034">
      <c r="A3034" s="41"/>
      <c r="B3034" s="41"/>
      <c r="C3034" s="41"/>
      <c r="D3034" s="41"/>
      <c r="E3034" s="41"/>
      <c r="F3034" s="41"/>
    </row>
    <row r="3035">
      <c r="A3035" s="41"/>
      <c r="B3035" s="41"/>
      <c r="C3035" s="41"/>
      <c r="D3035" s="41"/>
      <c r="E3035" s="41"/>
      <c r="F3035" s="41"/>
    </row>
    <row r="3036">
      <c r="A3036" s="41"/>
      <c r="B3036" s="41"/>
      <c r="C3036" s="41"/>
      <c r="D3036" s="41"/>
      <c r="E3036" s="41"/>
      <c r="F3036" s="41"/>
    </row>
    <row r="3037">
      <c r="A3037" s="41"/>
      <c r="B3037" s="41"/>
      <c r="C3037" s="41"/>
      <c r="D3037" s="41"/>
      <c r="E3037" s="41"/>
      <c r="F3037" s="41"/>
    </row>
    <row r="3038">
      <c r="A3038" s="41"/>
      <c r="B3038" s="41"/>
      <c r="C3038" s="41"/>
      <c r="D3038" s="41"/>
      <c r="E3038" s="41"/>
      <c r="F3038" s="41"/>
    </row>
    <row r="3039">
      <c r="A3039" s="41"/>
      <c r="B3039" s="41"/>
      <c r="C3039" s="41"/>
      <c r="D3039" s="41"/>
      <c r="E3039" s="41"/>
      <c r="F3039" s="41"/>
    </row>
    <row r="3040">
      <c r="A3040" s="41"/>
      <c r="B3040" s="41"/>
      <c r="C3040" s="41"/>
      <c r="D3040" s="41"/>
      <c r="E3040" s="41"/>
      <c r="F3040" s="41"/>
    </row>
    <row r="3041">
      <c r="A3041" s="41"/>
      <c r="B3041" s="41"/>
      <c r="C3041" s="41"/>
      <c r="D3041" s="41"/>
      <c r="E3041" s="41"/>
      <c r="F3041" s="41"/>
    </row>
    <row r="3042">
      <c r="A3042" s="41"/>
      <c r="B3042" s="41"/>
      <c r="C3042" s="41"/>
      <c r="D3042" s="41"/>
      <c r="E3042" s="41"/>
      <c r="F3042" s="41"/>
    </row>
    <row r="3043">
      <c r="A3043" s="41"/>
      <c r="B3043" s="41"/>
      <c r="C3043" s="41"/>
      <c r="D3043" s="41"/>
      <c r="E3043" s="41"/>
      <c r="F3043" s="41"/>
    </row>
    <row r="3044">
      <c r="A3044" s="41"/>
      <c r="B3044" s="41"/>
      <c r="C3044" s="41"/>
      <c r="D3044" s="41"/>
      <c r="E3044" s="41"/>
      <c r="F3044" s="41"/>
    </row>
    <row r="3045">
      <c r="A3045" s="41"/>
      <c r="B3045" s="41"/>
      <c r="C3045" s="41"/>
      <c r="D3045" s="41"/>
      <c r="E3045" s="41"/>
      <c r="F3045" s="41"/>
    </row>
    <row r="3046">
      <c r="A3046" s="41"/>
      <c r="B3046" s="41"/>
      <c r="C3046" s="41"/>
      <c r="D3046" s="41"/>
      <c r="E3046" s="41"/>
      <c r="F3046" s="41"/>
    </row>
    <row r="3047">
      <c r="A3047" s="41"/>
      <c r="B3047" s="41"/>
      <c r="C3047" s="41"/>
      <c r="D3047" s="41"/>
      <c r="E3047" s="41"/>
      <c r="F3047" s="41"/>
    </row>
    <row r="3048">
      <c r="A3048" s="41"/>
      <c r="B3048" s="41"/>
      <c r="C3048" s="41"/>
      <c r="D3048" s="41"/>
      <c r="E3048" s="41"/>
      <c r="F3048" s="41"/>
    </row>
    <row r="3049">
      <c r="A3049" s="41"/>
      <c r="B3049" s="41"/>
      <c r="C3049" s="41"/>
      <c r="D3049" s="41"/>
      <c r="E3049" s="41"/>
      <c r="F3049" s="41"/>
    </row>
    <row r="3050">
      <c r="A3050" s="41"/>
      <c r="B3050" s="41"/>
      <c r="C3050" s="41"/>
      <c r="D3050" s="41"/>
      <c r="E3050" s="41"/>
      <c r="F3050" s="41"/>
    </row>
    <row r="3051">
      <c r="A3051" s="41"/>
      <c r="B3051" s="41"/>
      <c r="C3051" s="41"/>
      <c r="D3051" s="41"/>
      <c r="E3051" s="41"/>
      <c r="F3051" s="41"/>
    </row>
    <row r="3052">
      <c r="A3052" s="41"/>
      <c r="B3052" s="41"/>
      <c r="C3052" s="41"/>
      <c r="D3052" s="41"/>
      <c r="E3052" s="41"/>
      <c r="F3052" s="41"/>
    </row>
    <row r="3053">
      <c r="A3053" s="41"/>
      <c r="B3053" s="41"/>
      <c r="C3053" s="41"/>
      <c r="D3053" s="41"/>
      <c r="E3053" s="41"/>
      <c r="F3053" s="41"/>
    </row>
    <row r="3054">
      <c r="A3054" s="41"/>
      <c r="B3054" s="41"/>
      <c r="C3054" s="41"/>
      <c r="D3054" s="41"/>
      <c r="E3054" s="41"/>
      <c r="F3054" s="41"/>
    </row>
    <row r="3055">
      <c r="A3055" s="41"/>
      <c r="B3055" s="41"/>
      <c r="C3055" s="41"/>
      <c r="D3055" s="41"/>
      <c r="E3055" s="41"/>
      <c r="F3055" s="41"/>
    </row>
    <row r="3056">
      <c r="A3056" s="41"/>
      <c r="B3056" s="41"/>
      <c r="C3056" s="41"/>
      <c r="D3056" s="41"/>
      <c r="E3056" s="41"/>
      <c r="F3056" s="41"/>
    </row>
    <row r="3057">
      <c r="A3057" s="41"/>
      <c r="B3057" s="41"/>
      <c r="C3057" s="41"/>
      <c r="D3057" s="41"/>
      <c r="E3057" s="41"/>
      <c r="F3057" s="41"/>
    </row>
    <row r="3058">
      <c r="A3058" s="41"/>
      <c r="B3058" s="41"/>
      <c r="C3058" s="41"/>
      <c r="D3058" s="41"/>
      <c r="E3058" s="41"/>
      <c r="F3058" s="41"/>
    </row>
    <row r="3059">
      <c r="A3059" s="41"/>
      <c r="B3059" s="41"/>
      <c r="C3059" s="41"/>
      <c r="D3059" s="41"/>
      <c r="E3059" s="41"/>
      <c r="F3059" s="41"/>
    </row>
    <row r="3060">
      <c r="A3060" s="41"/>
      <c r="B3060" s="41"/>
      <c r="C3060" s="41"/>
      <c r="D3060" s="41"/>
      <c r="E3060" s="41"/>
      <c r="F3060" s="41"/>
    </row>
    <row r="3061">
      <c r="A3061" s="41"/>
      <c r="B3061" s="41"/>
      <c r="C3061" s="41"/>
      <c r="D3061" s="41"/>
      <c r="E3061" s="41"/>
      <c r="F3061" s="41"/>
    </row>
    <row r="3062">
      <c r="A3062" s="41"/>
      <c r="B3062" s="41"/>
      <c r="C3062" s="41"/>
      <c r="D3062" s="41"/>
      <c r="E3062" s="41"/>
      <c r="F3062" s="41"/>
    </row>
    <row r="3063">
      <c r="A3063" s="41"/>
      <c r="B3063" s="41"/>
      <c r="C3063" s="41"/>
      <c r="D3063" s="41"/>
      <c r="E3063" s="41"/>
      <c r="F3063" s="41"/>
    </row>
    <row r="3064">
      <c r="A3064" s="41"/>
      <c r="B3064" s="41"/>
      <c r="C3064" s="41"/>
      <c r="D3064" s="41"/>
      <c r="E3064" s="41"/>
      <c r="F3064" s="41"/>
    </row>
    <row r="3065">
      <c r="A3065" s="41"/>
      <c r="B3065" s="41"/>
      <c r="C3065" s="41"/>
      <c r="D3065" s="41"/>
      <c r="E3065" s="41"/>
      <c r="F3065" s="41"/>
    </row>
    <row r="3066">
      <c r="A3066" s="41"/>
      <c r="B3066" s="41"/>
      <c r="C3066" s="41"/>
      <c r="D3066" s="41"/>
      <c r="E3066" s="41"/>
      <c r="F3066" s="41"/>
    </row>
    <row r="3067">
      <c r="A3067" s="41"/>
      <c r="B3067" s="41"/>
      <c r="C3067" s="41"/>
      <c r="D3067" s="41"/>
      <c r="E3067" s="41"/>
      <c r="F3067" s="41"/>
    </row>
    <row r="3068">
      <c r="A3068" s="41"/>
      <c r="B3068" s="41"/>
      <c r="C3068" s="41"/>
      <c r="D3068" s="41"/>
      <c r="E3068" s="41"/>
      <c r="F3068" s="41"/>
    </row>
    <row r="3069">
      <c r="A3069" s="41"/>
      <c r="B3069" s="41"/>
      <c r="C3069" s="41"/>
      <c r="D3069" s="41"/>
      <c r="E3069" s="41"/>
      <c r="F3069" s="41"/>
    </row>
    <row r="3070">
      <c r="A3070" s="41"/>
      <c r="B3070" s="41"/>
      <c r="C3070" s="41"/>
      <c r="D3070" s="41"/>
      <c r="E3070" s="41"/>
      <c r="F3070" s="41"/>
    </row>
    <row r="3071">
      <c r="A3071" s="41"/>
      <c r="B3071" s="41"/>
      <c r="C3071" s="41"/>
      <c r="D3071" s="41"/>
      <c r="E3071" s="41"/>
      <c r="F3071" s="41"/>
    </row>
    <row r="3072">
      <c r="A3072" s="41"/>
      <c r="B3072" s="41"/>
      <c r="C3072" s="41"/>
      <c r="D3072" s="41"/>
      <c r="E3072" s="41"/>
      <c r="F3072" s="41"/>
    </row>
    <row r="3073">
      <c r="A3073" s="41"/>
      <c r="B3073" s="41"/>
      <c r="C3073" s="41"/>
      <c r="D3073" s="41"/>
      <c r="E3073" s="41"/>
      <c r="F3073" s="41"/>
    </row>
    <row r="3074">
      <c r="A3074" s="41"/>
      <c r="B3074" s="41"/>
      <c r="C3074" s="41"/>
      <c r="D3074" s="41"/>
      <c r="E3074" s="41"/>
      <c r="F3074" s="41"/>
    </row>
    <row r="3075">
      <c r="A3075" s="41"/>
      <c r="B3075" s="41"/>
      <c r="C3075" s="41"/>
      <c r="D3075" s="41"/>
      <c r="E3075" s="41"/>
      <c r="F3075" s="41"/>
    </row>
    <row r="3076">
      <c r="A3076" s="41"/>
      <c r="B3076" s="41"/>
      <c r="C3076" s="41"/>
      <c r="D3076" s="41"/>
      <c r="E3076" s="41"/>
      <c r="F3076" s="41"/>
    </row>
    <row r="3077">
      <c r="A3077" s="41"/>
      <c r="B3077" s="41"/>
      <c r="C3077" s="41"/>
      <c r="D3077" s="41"/>
      <c r="E3077" s="41"/>
      <c r="F3077" s="41"/>
    </row>
    <row r="3078">
      <c r="A3078" s="41"/>
      <c r="B3078" s="41"/>
      <c r="C3078" s="41"/>
      <c r="D3078" s="41"/>
      <c r="E3078" s="41"/>
      <c r="F3078" s="41"/>
    </row>
    <row r="3079">
      <c r="A3079" s="41"/>
      <c r="B3079" s="41"/>
      <c r="C3079" s="41"/>
      <c r="D3079" s="41"/>
      <c r="E3079" s="41"/>
      <c r="F3079" s="41"/>
    </row>
    <row r="3080">
      <c r="A3080" s="41"/>
      <c r="B3080" s="41"/>
      <c r="C3080" s="41"/>
      <c r="D3080" s="41"/>
      <c r="E3080" s="41"/>
      <c r="F3080" s="41"/>
    </row>
    <row r="3081">
      <c r="A3081" s="41"/>
      <c r="B3081" s="41"/>
      <c r="C3081" s="41"/>
      <c r="D3081" s="41"/>
      <c r="E3081" s="41"/>
      <c r="F3081" s="41"/>
    </row>
    <row r="3082">
      <c r="A3082" s="41"/>
      <c r="B3082" s="41"/>
      <c r="C3082" s="41"/>
      <c r="D3082" s="41"/>
      <c r="E3082" s="41"/>
      <c r="F3082" s="41"/>
    </row>
    <row r="3083">
      <c r="A3083" s="41"/>
      <c r="B3083" s="41"/>
      <c r="C3083" s="41"/>
      <c r="D3083" s="41"/>
      <c r="E3083" s="41"/>
      <c r="F3083" s="41"/>
    </row>
    <row r="3084">
      <c r="A3084" s="41"/>
      <c r="B3084" s="41"/>
      <c r="C3084" s="41"/>
      <c r="D3084" s="41"/>
      <c r="E3084" s="41"/>
      <c r="F3084" s="41"/>
    </row>
    <row r="3085">
      <c r="A3085" s="41"/>
      <c r="B3085" s="41"/>
      <c r="C3085" s="41"/>
      <c r="D3085" s="41"/>
      <c r="E3085" s="41"/>
      <c r="F3085" s="41"/>
    </row>
    <row r="3086">
      <c r="A3086" s="41"/>
      <c r="B3086" s="41"/>
      <c r="C3086" s="41"/>
      <c r="D3086" s="41"/>
      <c r="E3086" s="41"/>
      <c r="F3086" s="41"/>
    </row>
    <row r="3087">
      <c r="A3087" s="41"/>
      <c r="B3087" s="41"/>
      <c r="C3087" s="41"/>
      <c r="D3087" s="41"/>
      <c r="E3087" s="41"/>
      <c r="F3087" s="41"/>
    </row>
    <row r="3088">
      <c r="A3088" s="41"/>
      <c r="B3088" s="41"/>
      <c r="C3088" s="41"/>
      <c r="D3088" s="41"/>
      <c r="E3088" s="41"/>
      <c r="F3088" s="41"/>
    </row>
    <row r="3089">
      <c r="A3089" s="41"/>
      <c r="B3089" s="41"/>
      <c r="C3089" s="41"/>
      <c r="D3089" s="41"/>
      <c r="E3089" s="41"/>
      <c r="F3089" s="41"/>
    </row>
    <row r="3090">
      <c r="A3090" s="41"/>
      <c r="B3090" s="41"/>
      <c r="C3090" s="41"/>
      <c r="D3090" s="41"/>
      <c r="E3090" s="41"/>
      <c r="F3090" s="41"/>
    </row>
    <row r="3091">
      <c r="A3091" s="41"/>
      <c r="B3091" s="41"/>
      <c r="C3091" s="41"/>
      <c r="D3091" s="41"/>
      <c r="E3091" s="41"/>
      <c r="F3091" s="41"/>
    </row>
    <row r="3092">
      <c r="A3092" s="41"/>
      <c r="B3092" s="41"/>
      <c r="C3092" s="41"/>
      <c r="D3092" s="41"/>
      <c r="E3092" s="41"/>
      <c r="F3092" s="41"/>
    </row>
    <row r="3093">
      <c r="A3093" s="41"/>
      <c r="B3093" s="41"/>
      <c r="C3093" s="41"/>
      <c r="D3093" s="41"/>
      <c r="E3093" s="41"/>
      <c r="F3093" s="41"/>
    </row>
    <row r="3094">
      <c r="A3094" s="41"/>
      <c r="B3094" s="41"/>
      <c r="C3094" s="41"/>
      <c r="D3094" s="41"/>
      <c r="E3094" s="41"/>
      <c r="F3094" s="41"/>
    </row>
    <row r="3095">
      <c r="A3095" s="41"/>
      <c r="B3095" s="41"/>
      <c r="C3095" s="41"/>
      <c r="D3095" s="41"/>
      <c r="E3095" s="41"/>
      <c r="F3095" s="41"/>
    </row>
    <row r="3096">
      <c r="A3096" s="41"/>
      <c r="B3096" s="41"/>
      <c r="C3096" s="41"/>
      <c r="D3096" s="41"/>
      <c r="E3096" s="41"/>
      <c r="F3096" s="41"/>
    </row>
    <row r="3097">
      <c r="A3097" s="41"/>
      <c r="B3097" s="41"/>
      <c r="C3097" s="41"/>
      <c r="D3097" s="41"/>
      <c r="E3097" s="41"/>
      <c r="F3097" s="41"/>
    </row>
    <row r="3098">
      <c r="A3098" s="41"/>
      <c r="B3098" s="41"/>
      <c r="C3098" s="41"/>
      <c r="D3098" s="41"/>
      <c r="E3098" s="41"/>
      <c r="F3098" s="41"/>
    </row>
    <row r="3099">
      <c r="A3099" s="41"/>
      <c r="B3099" s="41"/>
      <c r="C3099" s="41"/>
      <c r="D3099" s="41"/>
      <c r="E3099" s="41"/>
      <c r="F3099" s="41"/>
    </row>
    <row r="3100">
      <c r="A3100" s="41"/>
      <c r="B3100" s="41"/>
      <c r="C3100" s="41"/>
      <c r="D3100" s="41"/>
      <c r="E3100" s="41"/>
      <c r="F3100" s="41"/>
    </row>
    <row r="3101">
      <c r="A3101" s="41"/>
      <c r="B3101" s="41"/>
      <c r="C3101" s="41"/>
      <c r="D3101" s="41"/>
      <c r="E3101" s="41"/>
      <c r="F3101" s="41"/>
    </row>
    <row r="3102">
      <c r="A3102" s="41"/>
      <c r="B3102" s="41"/>
      <c r="C3102" s="41"/>
      <c r="D3102" s="41"/>
      <c r="E3102" s="41"/>
      <c r="F3102" s="41"/>
    </row>
    <row r="3103">
      <c r="A3103" s="41"/>
      <c r="B3103" s="41"/>
      <c r="C3103" s="41"/>
      <c r="D3103" s="41"/>
      <c r="E3103" s="41"/>
      <c r="F3103" s="41"/>
    </row>
    <row r="3104">
      <c r="A3104" s="41"/>
      <c r="B3104" s="41"/>
      <c r="C3104" s="41"/>
      <c r="D3104" s="41"/>
      <c r="E3104" s="41"/>
      <c r="F3104" s="41"/>
    </row>
    <row r="3105">
      <c r="A3105" s="41"/>
      <c r="B3105" s="41"/>
      <c r="C3105" s="41"/>
      <c r="D3105" s="41"/>
      <c r="E3105" s="41"/>
      <c r="F3105" s="41"/>
    </row>
    <row r="3106">
      <c r="A3106" s="41"/>
      <c r="B3106" s="41"/>
      <c r="C3106" s="41"/>
      <c r="D3106" s="41"/>
      <c r="E3106" s="41"/>
      <c r="F3106" s="41"/>
    </row>
    <row r="3107">
      <c r="A3107" s="41"/>
      <c r="B3107" s="41"/>
      <c r="C3107" s="41"/>
      <c r="D3107" s="41"/>
      <c r="E3107" s="41"/>
      <c r="F3107" s="41"/>
    </row>
    <row r="3108">
      <c r="A3108" s="41"/>
      <c r="B3108" s="41"/>
      <c r="C3108" s="41"/>
      <c r="D3108" s="41"/>
      <c r="E3108" s="41"/>
      <c r="F3108" s="41"/>
    </row>
    <row r="3109">
      <c r="A3109" s="41"/>
      <c r="B3109" s="41"/>
      <c r="C3109" s="41"/>
      <c r="D3109" s="41"/>
      <c r="E3109" s="41"/>
      <c r="F3109" s="41"/>
    </row>
    <row r="3110">
      <c r="A3110" s="41"/>
      <c r="B3110" s="41"/>
      <c r="C3110" s="41"/>
      <c r="D3110" s="41"/>
      <c r="E3110" s="41"/>
      <c r="F3110" s="41"/>
    </row>
    <row r="3111">
      <c r="A3111" s="41"/>
      <c r="B3111" s="41"/>
      <c r="C3111" s="41"/>
      <c r="D3111" s="41"/>
      <c r="E3111" s="41"/>
      <c r="F3111" s="41"/>
    </row>
    <row r="3112">
      <c r="A3112" s="41"/>
      <c r="B3112" s="41"/>
      <c r="C3112" s="41"/>
      <c r="D3112" s="41"/>
      <c r="E3112" s="41"/>
      <c r="F3112" s="41"/>
    </row>
    <row r="3113">
      <c r="A3113" s="41"/>
      <c r="B3113" s="41"/>
      <c r="C3113" s="41"/>
      <c r="D3113" s="41"/>
      <c r="E3113" s="41"/>
      <c r="F3113" s="41"/>
    </row>
    <row r="3114">
      <c r="A3114" s="41"/>
      <c r="B3114" s="41"/>
      <c r="C3114" s="41"/>
      <c r="D3114" s="41"/>
      <c r="E3114" s="41"/>
      <c r="F3114" s="41"/>
    </row>
    <row r="3115">
      <c r="A3115" s="41"/>
      <c r="B3115" s="41"/>
      <c r="C3115" s="41"/>
      <c r="D3115" s="41"/>
      <c r="E3115" s="41"/>
      <c r="F3115" s="41"/>
    </row>
    <row r="3116">
      <c r="A3116" s="41"/>
      <c r="B3116" s="41"/>
      <c r="C3116" s="41"/>
      <c r="D3116" s="41"/>
      <c r="E3116" s="41"/>
      <c r="F3116" s="41"/>
    </row>
    <row r="3117">
      <c r="A3117" s="41"/>
      <c r="B3117" s="41"/>
      <c r="C3117" s="41"/>
      <c r="D3117" s="41"/>
      <c r="E3117" s="41"/>
      <c r="F3117" s="41"/>
    </row>
    <row r="3118">
      <c r="A3118" s="41"/>
      <c r="B3118" s="41"/>
      <c r="C3118" s="41"/>
      <c r="D3118" s="41"/>
      <c r="E3118" s="41"/>
      <c r="F3118" s="41"/>
    </row>
    <row r="3119">
      <c r="A3119" s="41"/>
      <c r="B3119" s="41"/>
      <c r="C3119" s="41"/>
      <c r="D3119" s="41"/>
      <c r="E3119" s="41"/>
      <c r="F3119" s="41"/>
    </row>
    <row r="3120">
      <c r="A3120" s="41"/>
      <c r="B3120" s="41"/>
      <c r="C3120" s="41"/>
      <c r="D3120" s="41"/>
      <c r="E3120" s="41"/>
      <c r="F3120" s="41"/>
    </row>
    <row r="3121">
      <c r="A3121" s="41"/>
      <c r="B3121" s="41"/>
      <c r="C3121" s="41"/>
      <c r="D3121" s="41"/>
      <c r="E3121" s="41"/>
      <c r="F3121" s="41"/>
    </row>
    <row r="3122">
      <c r="A3122" s="41"/>
      <c r="B3122" s="41"/>
      <c r="C3122" s="41"/>
      <c r="D3122" s="41"/>
      <c r="E3122" s="41"/>
      <c r="F3122" s="41"/>
    </row>
    <row r="3123">
      <c r="A3123" s="41"/>
      <c r="B3123" s="41"/>
      <c r="C3123" s="41"/>
      <c r="D3123" s="41"/>
      <c r="E3123" s="41"/>
      <c r="F3123" s="41"/>
    </row>
    <row r="3124">
      <c r="A3124" s="41"/>
      <c r="B3124" s="41"/>
      <c r="C3124" s="41"/>
      <c r="D3124" s="41"/>
      <c r="E3124" s="41"/>
      <c r="F3124" s="41"/>
    </row>
    <row r="3125">
      <c r="A3125" s="41"/>
      <c r="B3125" s="41"/>
      <c r="C3125" s="41"/>
      <c r="D3125" s="41"/>
      <c r="E3125" s="41"/>
      <c r="F3125" s="41"/>
    </row>
    <row r="3126">
      <c r="A3126" s="41"/>
      <c r="B3126" s="41"/>
      <c r="C3126" s="41"/>
      <c r="D3126" s="41"/>
      <c r="E3126" s="41"/>
      <c r="F3126" s="41"/>
    </row>
    <row r="3127">
      <c r="A3127" s="41"/>
      <c r="B3127" s="41"/>
      <c r="C3127" s="41"/>
      <c r="D3127" s="41"/>
      <c r="E3127" s="41"/>
      <c r="F3127" s="41"/>
    </row>
    <row r="3128">
      <c r="A3128" s="41"/>
      <c r="B3128" s="41"/>
      <c r="C3128" s="41"/>
      <c r="D3128" s="41"/>
      <c r="E3128" s="41"/>
      <c r="F3128" s="41"/>
    </row>
    <row r="3129">
      <c r="A3129" s="41"/>
      <c r="B3129" s="41"/>
      <c r="C3129" s="41"/>
      <c r="D3129" s="41"/>
      <c r="E3129" s="41"/>
      <c r="F3129" s="41"/>
    </row>
    <row r="3130">
      <c r="A3130" s="41"/>
      <c r="B3130" s="41"/>
      <c r="C3130" s="41"/>
      <c r="D3130" s="41"/>
      <c r="E3130" s="41"/>
      <c r="F3130" s="41"/>
    </row>
    <row r="3131">
      <c r="A3131" s="41"/>
      <c r="B3131" s="41"/>
      <c r="C3131" s="41"/>
      <c r="D3131" s="41"/>
      <c r="E3131" s="41"/>
      <c r="F3131" s="41"/>
    </row>
    <row r="3132">
      <c r="A3132" s="41"/>
      <c r="B3132" s="41"/>
      <c r="C3132" s="41"/>
      <c r="D3132" s="41"/>
      <c r="E3132" s="41"/>
      <c r="F3132" s="41"/>
    </row>
    <row r="3133">
      <c r="A3133" s="41"/>
      <c r="B3133" s="41"/>
      <c r="C3133" s="41"/>
      <c r="D3133" s="41"/>
      <c r="E3133" s="41"/>
      <c r="F3133" s="41"/>
    </row>
    <row r="3134">
      <c r="A3134" s="41"/>
      <c r="B3134" s="41"/>
      <c r="C3134" s="41"/>
      <c r="D3134" s="41"/>
      <c r="E3134" s="41"/>
      <c r="F3134" s="41"/>
    </row>
    <row r="3135">
      <c r="A3135" s="41"/>
      <c r="B3135" s="41"/>
      <c r="C3135" s="41"/>
      <c r="D3135" s="41"/>
      <c r="E3135" s="41"/>
      <c r="F3135" s="41"/>
    </row>
    <row r="3136">
      <c r="A3136" s="41"/>
      <c r="B3136" s="41"/>
      <c r="C3136" s="41"/>
      <c r="D3136" s="41"/>
      <c r="E3136" s="41"/>
      <c r="F3136" s="41"/>
    </row>
    <row r="3137">
      <c r="A3137" s="41"/>
      <c r="B3137" s="41"/>
      <c r="C3137" s="41"/>
      <c r="D3137" s="41"/>
      <c r="E3137" s="41"/>
      <c r="F3137" s="41"/>
    </row>
    <row r="3138">
      <c r="A3138" s="41"/>
      <c r="B3138" s="41"/>
      <c r="C3138" s="41"/>
      <c r="D3138" s="41"/>
      <c r="E3138" s="41"/>
      <c r="F3138" s="41"/>
    </row>
    <row r="3139">
      <c r="A3139" s="41"/>
      <c r="B3139" s="41"/>
      <c r="C3139" s="41"/>
      <c r="D3139" s="41"/>
      <c r="E3139" s="41"/>
      <c r="F3139" s="41"/>
    </row>
    <row r="3140">
      <c r="A3140" s="41"/>
      <c r="B3140" s="41"/>
      <c r="C3140" s="41"/>
      <c r="D3140" s="41"/>
      <c r="E3140" s="41"/>
      <c r="F3140" s="41"/>
    </row>
    <row r="3141">
      <c r="A3141" s="41"/>
      <c r="B3141" s="41"/>
      <c r="C3141" s="41"/>
      <c r="D3141" s="41"/>
      <c r="E3141" s="41"/>
      <c r="F3141" s="41"/>
    </row>
    <row r="3142">
      <c r="A3142" s="41"/>
      <c r="B3142" s="41"/>
      <c r="C3142" s="41"/>
      <c r="D3142" s="41"/>
      <c r="E3142" s="41"/>
      <c r="F3142" s="41"/>
    </row>
    <row r="3143">
      <c r="A3143" s="41"/>
      <c r="B3143" s="41"/>
      <c r="C3143" s="41"/>
      <c r="D3143" s="41"/>
      <c r="E3143" s="41"/>
      <c r="F3143" s="41"/>
    </row>
    <row r="3144">
      <c r="A3144" s="41"/>
      <c r="B3144" s="41"/>
      <c r="C3144" s="41"/>
      <c r="D3144" s="41"/>
      <c r="E3144" s="41"/>
      <c r="F3144" s="41"/>
    </row>
    <row r="3145">
      <c r="A3145" s="41"/>
      <c r="B3145" s="41"/>
      <c r="C3145" s="41"/>
      <c r="D3145" s="41"/>
      <c r="E3145" s="41"/>
      <c r="F3145" s="41"/>
    </row>
    <row r="3146">
      <c r="A3146" s="41"/>
      <c r="B3146" s="41"/>
      <c r="C3146" s="41"/>
      <c r="D3146" s="41"/>
      <c r="E3146" s="41"/>
      <c r="F3146" s="41"/>
    </row>
    <row r="3147">
      <c r="A3147" s="41"/>
      <c r="B3147" s="41"/>
      <c r="C3147" s="41"/>
      <c r="D3147" s="41"/>
      <c r="E3147" s="41"/>
      <c r="F3147" s="41"/>
    </row>
    <row r="3148">
      <c r="A3148" s="41"/>
      <c r="B3148" s="41"/>
      <c r="C3148" s="41"/>
      <c r="D3148" s="41"/>
      <c r="E3148" s="41"/>
      <c r="F3148" s="41"/>
    </row>
    <row r="3149">
      <c r="A3149" s="41"/>
      <c r="B3149" s="41"/>
      <c r="C3149" s="41"/>
      <c r="D3149" s="41"/>
      <c r="E3149" s="41"/>
      <c r="F3149" s="41"/>
    </row>
    <row r="3150">
      <c r="A3150" s="41"/>
      <c r="B3150" s="41"/>
      <c r="C3150" s="41"/>
      <c r="D3150" s="41"/>
      <c r="E3150" s="41"/>
      <c r="F3150" s="41"/>
    </row>
    <row r="3151">
      <c r="A3151" s="41"/>
      <c r="B3151" s="41"/>
      <c r="C3151" s="41"/>
      <c r="D3151" s="41"/>
      <c r="E3151" s="41"/>
      <c r="F3151" s="41"/>
    </row>
    <row r="3152">
      <c r="A3152" s="41"/>
      <c r="B3152" s="41"/>
      <c r="C3152" s="41"/>
      <c r="D3152" s="41"/>
      <c r="E3152" s="41"/>
      <c r="F3152" s="41"/>
    </row>
    <row r="3153">
      <c r="A3153" s="41"/>
      <c r="B3153" s="41"/>
      <c r="C3153" s="41"/>
      <c r="D3153" s="41"/>
      <c r="E3153" s="41"/>
      <c r="F3153" s="41"/>
    </row>
    <row r="3154">
      <c r="A3154" s="41"/>
      <c r="B3154" s="41"/>
      <c r="C3154" s="41"/>
      <c r="D3154" s="41"/>
      <c r="E3154" s="41"/>
      <c r="F3154" s="41"/>
    </row>
    <row r="3155">
      <c r="A3155" s="41"/>
      <c r="B3155" s="41"/>
      <c r="C3155" s="41"/>
      <c r="D3155" s="41"/>
      <c r="E3155" s="41"/>
      <c r="F3155" s="41"/>
    </row>
    <row r="3156">
      <c r="A3156" s="41"/>
      <c r="B3156" s="41"/>
      <c r="C3156" s="41"/>
      <c r="D3156" s="41"/>
      <c r="E3156" s="41"/>
      <c r="F3156" s="41"/>
    </row>
    <row r="3157">
      <c r="A3157" s="41"/>
      <c r="B3157" s="41"/>
      <c r="C3157" s="41"/>
      <c r="D3157" s="41"/>
      <c r="E3157" s="41"/>
      <c r="F3157" s="41"/>
    </row>
    <row r="3158">
      <c r="A3158" s="41"/>
      <c r="B3158" s="41"/>
      <c r="C3158" s="41"/>
      <c r="D3158" s="41"/>
      <c r="E3158" s="41"/>
      <c r="F3158" s="41"/>
    </row>
    <row r="3159">
      <c r="A3159" s="41"/>
      <c r="B3159" s="41"/>
      <c r="C3159" s="41"/>
      <c r="D3159" s="41"/>
      <c r="E3159" s="41"/>
      <c r="F3159" s="41"/>
    </row>
    <row r="3160">
      <c r="A3160" s="41"/>
      <c r="B3160" s="41"/>
      <c r="C3160" s="41"/>
      <c r="D3160" s="41"/>
      <c r="E3160" s="41"/>
      <c r="F3160" s="41"/>
    </row>
    <row r="3161">
      <c r="A3161" s="41"/>
      <c r="B3161" s="41"/>
      <c r="C3161" s="41"/>
      <c r="D3161" s="41"/>
      <c r="E3161" s="41"/>
      <c r="F3161" s="41"/>
    </row>
    <row r="3162">
      <c r="A3162" s="41"/>
      <c r="B3162" s="41"/>
      <c r="C3162" s="41"/>
      <c r="D3162" s="41"/>
      <c r="E3162" s="41"/>
      <c r="F3162" s="41"/>
    </row>
    <row r="3163">
      <c r="A3163" s="41"/>
      <c r="B3163" s="41"/>
      <c r="C3163" s="41"/>
      <c r="D3163" s="41"/>
      <c r="E3163" s="41"/>
      <c r="F3163" s="41"/>
    </row>
    <row r="3164">
      <c r="A3164" s="41"/>
      <c r="B3164" s="41"/>
      <c r="C3164" s="41"/>
      <c r="D3164" s="41"/>
      <c r="E3164" s="41"/>
      <c r="F3164" s="41"/>
    </row>
    <row r="3165">
      <c r="A3165" s="41"/>
      <c r="B3165" s="41"/>
      <c r="C3165" s="41"/>
      <c r="D3165" s="41"/>
      <c r="E3165" s="41"/>
      <c r="F3165" s="41"/>
    </row>
    <row r="3166">
      <c r="A3166" s="41"/>
      <c r="B3166" s="41"/>
      <c r="C3166" s="41"/>
      <c r="D3166" s="41"/>
      <c r="E3166" s="41"/>
      <c r="F3166" s="41"/>
    </row>
    <row r="3167">
      <c r="A3167" s="41"/>
      <c r="B3167" s="41"/>
      <c r="C3167" s="41"/>
      <c r="D3167" s="41"/>
      <c r="E3167" s="41"/>
      <c r="F3167" s="41"/>
    </row>
    <row r="3168">
      <c r="A3168" s="41"/>
      <c r="B3168" s="41"/>
      <c r="C3168" s="41"/>
      <c r="D3168" s="41"/>
      <c r="E3168" s="41"/>
      <c r="F3168" s="41"/>
    </row>
    <row r="3169">
      <c r="A3169" s="41"/>
      <c r="B3169" s="41"/>
      <c r="C3169" s="41"/>
      <c r="D3169" s="41"/>
      <c r="E3169" s="41"/>
      <c r="F3169" s="41"/>
    </row>
    <row r="3170">
      <c r="A3170" s="41"/>
      <c r="B3170" s="41"/>
      <c r="C3170" s="41"/>
      <c r="D3170" s="41"/>
      <c r="E3170" s="41"/>
      <c r="F3170" s="41"/>
    </row>
    <row r="3171">
      <c r="A3171" s="41"/>
      <c r="B3171" s="41"/>
      <c r="C3171" s="41"/>
      <c r="D3171" s="41"/>
      <c r="E3171" s="41"/>
      <c r="F3171" s="41"/>
    </row>
    <row r="3172">
      <c r="A3172" s="41"/>
      <c r="B3172" s="41"/>
      <c r="C3172" s="41"/>
      <c r="D3172" s="41"/>
      <c r="E3172" s="41"/>
      <c r="F3172" s="41"/>
    </row>
    <row r="3173">
      <c r="A3173" s="41"/>
      <c r="B3173" s="41"/>
      <c r="C3173" s="41"/>
      <c r="D3173" s="41"/>
      <c r="E3173" s="41"/>
      <c r="F3173" s="41"/>
    </row>
    <row r="3174">
      <c r="A3174" s="41"/>
      <c r="B3174" s="41"/>
      <c r="C3174" s="41"/>
      <c r="D3174" s="41"/>
      <c r="E3174" s="41"/>
      <c r="F3174" s="41"/>
    </row>
    <row r="3175">
      <c r="A3175" s="41"/>
      <c r="B3175" s="41"/>
      <c r="C3175" s="41"/>
      <c r="D3175" s="41"/>
      <c r="E3175" s="41"/>
      <c r="F3175" s="41"/>
    </row>
    <row r="3176">
      <c r="A3176" s="41"/>
      <c r="B3176" s="41"/>
      <c r="C3176" s="41"/>
      <c r="D3176" s="41"/>
      <c r="E3176" s="41"/>
      <c r="F3176" s="41"/>
    </row>
    <row r="3177">
      <c r="A3177" s="41"/>
      <c r="B3177" s="41"/>
      <c r="C3177" s="41"/>
      <c r="D3177" s="41"/>
      <c r="E3177" s="41"/>
      <c r="F3177" s="41"/>
    </row>
    <row r="3178">
      <c r="A3178" s="41"/>
      <c r="B3178" s="41"/>
      <c r="C3178" s="41"/>
      <c r="D3178" s="41"/>
      <c r="E3178" s="41"/>
      <c r="F3178" s="41"/>
    </row>
    <row r="3179">
      <c r="A3179" s="41"/>
      <c r="B3179" s="41"/>
      <c r="C3179" s="41"/>
      <c r="D3179" s="41"/>
      <c r="E3179" s="41"/>
      <c r="F3179" s="41"/>
    </row>
    <row r="3180">
      <c r="A3180" s="41"/>
      <c r="B3180" s="41"/>
      <c r="C3180" s="41"/>
      <c r="D3180" s="41"/>
      <c r="E3180" s="41"/>
      <c r="F3180" s="41"/>
    </row>
    <row r="3181">
      <c r="A3181" s="41"/>
      <c r="B3181" s="41"/>
      <c r="C3181" s="41"/>
      <c r="D3181" s="41"/>
      <c r="E3181" s="41"/>
      <c r="F3181" s="41"/>
    </row>
    <row r="3182">
      <c r="A3182" s="41"/>
      <c r="B3182" s="41"/>
      <c r="C3182" s="41"/>
      <c r="D3182" s="41"/>
      <c r="E3182" s="41"/>
      <c r="F3182" s="4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147" t="str">
        <f>IFERROR(__xludf.DUMMYFUNCTION("IMPORTRANGE(""135E24RWpTJqBdFqwoD4dOU0O_hb0KALtsv_gBVBYNlo"", ""Members!A1:B"")"),"RSC ID")</f>
        <v>RSC ID</v>
      </c>
      <c r="B1" s="148" t="str">
        <f>IFERROR(__xludf.DUMMYFUNCTION("""COMPUTED_VALUE"""),"Player Name")</f>
        <v>Player Name</v>
      </c>
    </row>
    <row r="2">
      <c r="A2" s="41" t="str">
        <f>IFERROR(__xludf.DUMMYFUNCTION("""COMPUTED_VALUE"""),"RSC000001")</f>
        <v>RSC000001</v>
      </c>
      <c r="B2" s="41" t="str">
        <f>IFERROR(__xludf.DUMMYFUNCTION("""COMPUTED_VALUE"""),"Obijuankenoi")</f>
        <v>Obijuankenoi</v>
      </c>
    </row>
    <row r="3">
      <c r="A3" s="41" t="str">
        <f>IFERROR(__xludf.DUMMYFUNCTION("""COMPUTED_VALUE"""),"RSC000002")</f>
        <v>RSC000002</v>
      </c>
      <c r="B3" s="41" t="str">
        <f>IFERROR(__xludf.DUMMYFUNCTION("""COMPUTED_VALUE"""),"Zenlos")</f>
        <v>Zenlos</v>
      </c>
    </row>
    <row r="4">
      <c r="A4" s="41" t="str">
        <f>IFERROR(__xludf.DUMMYFUNCTION("""COMPUTED_VALUE"""),"RSC000003")</f>
        <v>RSC000003</v>
      </c>
      <c r="B4" s="41" t="str">
        <f>IFERROR(__xludf.DUMMYFUNCTION("""COMPUTED_VALUE"""),"Shadownet")</f>
        <v>Shadownet</v>
      </c>
    </row>
    <row r="5">
      <c r="A5" s="41" t="str">
        <f>IFERROR(__xludf.DUMMYFUNCTION("""COMPUTED_VALUE"""),"RSC000004")</f>
        <v>RSC000004</v>
      </c>
      <c r="B5" s="41" t="str">
        <f>IFERROR(__xludf.DUMMYFUNCTION("""COMPUTED_VALUE"""),"rondo")</f>
        <v>rondo</v>
      </c>
    </row>
    <row r="6">
      <c r="A6" s="41" t="str">
        <f>IFERROR(__xludf.DUMMYFUNCTION("""COMPUTED_VALUE"""),"RSC000005")</f>
        <v>RSC000005</v>
      </c>
      <c r="B6" s="41" t="str">
        <f>IFERROR(__xludf.DUMMYFUNCTION("""COMPUTED_VALUE"""),"Kli")</f>
        <v>Kli</v>
      </c>
    </row>
    <row r="7">
      <c r="A7" s="41" t="str">
        <f>IFERROR(__xludf.DUMMYFUNCTION("""COMPUTED_VALUE"""),"RSC000006")</f>
        <v>RSC000006</v>
      </c>
      <c r="B7" s="41" t="str">
        <f>IFERROR(__xludf.DUMMYFUNCTION("""COMPUTED_VALUE"""),"Envy2")</f>
        <v>Envy2</v>
      </c>
    </row>
    <row r="8">
      <c r="A8" s="41" t="str">
        <f>IFERROR(__xludf.DUMMYFUNCTION("""COMPUTED_VALUE"""),"RSC000007")</f>
        <v>RSC000007</v>
      </c>
      <c r="B8" s="41" t="str">
        <f>IFERROR(__xludf.DUMMYFUNCTION("""COMPUTED_VALUE"""),"dooby")</f>
        <v>dooby</v>
      </c>
    </row>
    <row r="9">
      <c r="A9" s="41" t="str">
        <f>IFERROR(__xludf.DUMMYFUNCTION("""COMPUTED_VALUE"""),"RSC000008")</f>
        <v>RSC000008</v>
      </c>
      <c r="B9" s="41" t="str">
        <f>IFERROR(__xludf.DUMMYFUNCTION("""COMPUTED_VALUE"""),"Krypto")</f>
        <v>Krypto</v>
      </c>
    </row>
    <row r="10">
      <c r="A10" s="41" t="str">
        <f>IFERROR(__xludf.DUMMYFUNCTION("""COMPUTED_VALUE"""),"RSC000009")</f>
        <v>RSC000009</v>
      </c>
      <c r="B10" s="41" t="str">
        <f>IFERROR(__xludf.DUMMYFUNCTION("""COMPUTED_VALUE"""),"Timbo")</f>
        <v>Timbo</v>
      </c>
    </row>
    <row r="11">
      <c r="A11" s="41" t="str">
        <f>IFERROR(__xludf.DUMMYFUNCTION("""COMPUTED_VALUE"""),"RSC000010")</f>
        <v>RSC000010</v>
      </c>
      <c r="B11" s="41" t="str">
        <f>IFERROR(__xludf.DUMMYFUNCTION("""COMPUTED_VALUE"""),"Érid")</f>
        <v>Érid</v>
      </c>
    </row>
    <row r="12">
      <c r="A12" s="41" t="str">
        <f>IFERROR(__xludf.DUMMYFUNCTION("""COMPUTED_VALUE"""),"RSC000011")</f>
        <v>RSC000011</v>
      </c>
      <c r="B12" s="41" t="str">
        <f>IFERROR(__xludf.DUMMYFUNCTION("""COMPUTED_VALUE"""),"Vulp The Philosopher")</f>
        <v>Vulp The Philosopher</v>
      </c>
    </row>
    <row r="13">
      <c r="A13" s="41" t="str">
        <f>IFERROR(__xludf.DUMMYFUNCTION("""COMPUTED_VALUE"""),"RSC000012")</f>
        <v>RSC000012</v>
      </c>
      <c r="B13" s="41" t="str">
        <f>IFERROR(__xludf.DUMMYFUNCTION("""COMPUTED_VALUE"""),"Izumi")</f>
        <v>Izumi</v>
      </c>
    </row>
    <row r="14">
      <c r="A14" s="41" t="str">
        <f>IFERROR(__xludf.DUMMYFUNCTION("""COMPUTED_VALUE"""),"RSC000013")</f>
        <v>RSC000013</v>
      </c>
      <c r="B14" s="41" t="str">
        <f>IFERROR(__xludf.DUMMYFUNCTION("""COMPUTED_VALUE"""),"Jajajajaja Bear")</f>
        <v>Jajajajaja Bear</v>
      </c>
    </row>
    <row r="15">
      <c r="A15" s="41" t="str">
        <f>IFERROR(__xludf.DUMMYFUNCTION("""COMPUTED_VALUE"""),"RSC000014")</f>
        <v>RSC000014</v>
      </c>
      <c r="B15" s="41" t="str">
        <f>IFERROR(__xludf.DUMMYFUNCTION("""COMPUTED_VALUE"""),"Queue")</f>
        <v>Queue</v>
      </c>
    </row>
    <row r="16">
      <c r="A16" s="41" t="str">
        <f>IFERROR(__xludf.DUMMYFUNCTION("""COMPUTED_VALUE"""),"RSC000015")</f>
        <v>RSC000015</v>
      </c>
      <c r="B16" s="41" t="str">
        <f>IFERROR(__xludf.DUMMYFUNCTION("""COMPUTED_VALUE"""),"Badmin")</f>
        <v>Badmin</v>
      </c>
    </row>
    <row r="17">
      <c r="A17" s="41" t="str">
        <f>IFERROR(__xludf.DUMMYFUNCTION("""COMPUTED_VALUE"""),"RSC000016")</f>
        <v>RSC000016</v>
      </c>
      <c r="B17" s="41" t="str">
        <f>IFERROR(__xludf.DUMMYFUNCTION("""COMPUTED_VALUE"""),"Beans")</f>
        <v>Beans</v>
      </c>
    </row>
    <row r="18">
      <c r="A18" s="41" t="str">
        <f>IFERROR(__xludf.DUMMYFUNCTION("""COMPUTED_VALUE"""),"RSC000017")</f>
        <v>RSC000017</v>
      </c>
      <c r="B18" s="41" t="str">
        <f>IFERROR(__xludf.DUMMYFUNCTION("""COMPUTED_VALUE"""),"TwoToedSloth")</f>
        <v>TwoToedSloth</v>
      </c>
    </row>
    <row r="19">
      <c r="A19" s="41" t="str">
        <f>IFERROR(__xludf.DUMMYFUNCTION("""COMPUTED_VALUE"""),"RSC000018")</f>
        <v>RSC000018</v>
      </c>
      <c r="B19" s="41" t="str">
        <f>IFERROR(__xludf.DUMMYFUNCTION("""COMPUTED_VALUE"""),"Grand Kane")</f>
        <v>Grand Kane</v>
      </c>
    </row>
    <row r="20">
      <c r="A20" s="41" t="str">
        <f>IFERROR(__xludf.DUMMYFUNCTION("""COMPUTED_VALUE"""),"RSC000019")</f>
        <v>RSC000019</v>
      </c>
      <c r="B20" s="41" t="str">
        <f>IFERROR(__xludf.DUMMYFUNCTION("""COMPUTED_VALUE"""),"bavarian")</f>
        <v>bavarian</v>
      </c>
    </row>
    <row r="21">
      <c r="A21" s="41" t="str">
        <f>IFERROR(__xludf.DUMMYFUNCTION("""COMPUTED_VALUE"""),"RSC000020")</f>
        <v>RSC000020</v>
      </c>
      <c r="B21" s="41" t="str">
        <f>IFERROR(__xludf.DUMMYFUNCTION("""COMPUTED_VALUE"""),"Frostiger")</f>
        <v>Frostiger</v>
      </c>
    </row>
    <row r="22">
      <c r="A22" s="41" t="str">
        <f>IFERROR(__xludf.DUMMYFUNCTION("""COMPUTED_VALUE"""),"RSC000021")</f>
        <v>RSC000021</v>
      </c>
      <c r="B22" s="41" t="str">
        <f>IFERROR(__xludf.DUMMYFUNCTION("""COMPUTED_VALUE"""),"TyTy")</f>
        <v>TyTy</v>
      </c>
    </row>
    <row r="23">
      <c r="A23" s="41" t="str">
        <f>IFERROR(__xludf.DUMMYFUNCTION("""COMPUTED_VALUE"""),"RSC000022")</f>
        <v>RSC000022</v>
      </c>
      <c r="B23" s="41" t="str">
        <f>IFERROR(__xludf.DUMMYFUNCTION("""COMPUTED_VALUE"""),"Legisis Aldent")</f>
        <v>Legisis Aldent</v>
      </c>
    </row>
    <row r="24">
      <c r="A24" s="41" t="str">
        <f>IFERROR(__xludf.DUMMYFUNCTION("""COMPUTED_VALUE"""),"RSC000023")</f>
        <v>RSC000023</v>
      </c>
      <c r="B24" s="41" t="str">
        <f>IFERROR(__xludf.DUMMYFUNCTION("""COMPUTED_VALUE"""),"n0maa")</f>
        <v>n0maa</v>
      </c>
    </row>
    <row r="25">
      <c r="A25" s="41" t="str">
        <f>IFERROR(__xludf.DUMMYFUNCTION("""COMPUTED_VALUE"""),"RSC000024")</f>
        <v>RSC000024</v>
      </c>
      <c r="B25" s="41" t="str">
        <f>IFERROR(__xludf.DUMMYFUNCTION("""COMPUTED_VALUE"""),"Freezin")</f>
        <v>Freezin</v>
      </c>
    </row>
    <row r="26">
      <c r="A26" s="41" t="str">
        <f>IFERROR(__xludf.DUMMYFUNCTION("""COMPUTED_VALUE"""),"RSC000025")</f>
        <v>RSC000025</v>
      </c>
      <c r="B26" s="41" t="str">
        <f>IFERROR(__xludf.DUMMYFUNCTION("""COMPUTED_VALUE"""),"Slayerof666")</f>
        <v>Slayerof666</v>
      </c>
    </row>
    <row r="27">
      <c r="A27" s="41" t="str">
        <f>IFERROR(__xludf.DUMMYFUNCTION("""COMPUTED_VALUE"""),"RSC000026")</f>
        <v>RSC000026</v>
      </c>
      <c r="B27" s="41" t="str">
        <f>IFERROR(__xludf.DUMMYFUNCTION("""COMPUTED_VALUE"""),"GoldeN")</f>
        <v>GoldeN</v>
      </c>
    </row>
    <row r="28">
      <c r="A28" s="41" t="str">
        <f>IFERROR(__xludf.DUMMYFUNCTION("""COMPUTED_VALUE"""),"RSC000027")</f>
        <v>RSC000027</v>
      </c>
      <c r="B28" s="41" t="str">
        <f>IFERROR(__xludf.DUMMYFUNCTION("""COMPUTED_VALUE"""),"T_rodge")</f>
        <v>T_rodge</v>
      </c>
    </row>
    <row r="29">
      <c r="A29" s="41" t="str">
        <f>IFERROR(__xludf.DUMMYFUNCTION("""COMPUTED_VALUE"""),"RSC000028")</f>
        <v>RSC000028</v>
      </c>
      <c r="B29" s="41" t="str">
        <f>IFERROR(__xludf.DUMMYFUNCTION("""COMPUTED_VALUE"""),"just_hollywood")</f>
        <v>just_hollywood</v>
      </c>
    </row>
    <row r="30">
      <c r="A30" s="41" t="str">
        <f>IFERROR(__xludf.DUMMYFUNCTION("""COMPUTED_VALUE"""),"RSC000029")</f>
        <v>RSC000029</v>
      </c>
      <c r="B30" s="41" t="str">
        <f>IFERROR(__xludf.DUMMYFUNCTION("""COMPUTED_VALUE"""),"McCool")</f>
        <v>McCool</v>
      </c>
    </row>
    <row r="31">
      <c r="A31" s="41" t="str">
        <f>IFERROR(__xludf.DUMMYFUNCTION("""COMPUTED_VALUE"""),"RSC000030")</f>
        <v>RSC000030</v>
      </c>
      <c r="B31" s="41" t="str">
        <f>IFERROR(__xludf.DUMMYFUNCTION("""COMPUTED_VALUE"""),"ADeadM0053")</f>
        <v>ADeadM0053</v>
      </c>
    </row>
    <row r="32">
      <c r="A32" s="41" t="str">
        <f>IFERROR(__xludf.DUMMYFUNCTION("""COMPUTED_VALUE"""),"RSC000031")</f>
        <v>RSC000031</v>
      </c>
      <c r="B32" s="41" t="str">
        <f>IFERROR(__xludf.DUMMYFUNCTION("""COMPUTED_VALUE"""),"Irradiated Seal")</f>
        <v>Irradiated Seal</v>
      </c>
    </row>
    <row r="33">
      <c r="A33" s="41" t="str">
        <f>IFERROR(__xludf.DUMMYFUNCTION("""COMPUTED_VALUE"""),"RSC000032")</f>
        <v>RSC000032</v>
      </c>
      <c r="B33" s="41" t="str">
        <f>IFERROR(__xludf.DUMMYFUNCTION("""COMPUTED_VALUE"""),"BraveNewWrld")</f>
        <v>BraveNewWrld</v>
      </c>
    </row>
    <row r="34">
      <c r="A34" s="41" t="str">
        <f>IFERROR(__xludf.DUMMYFUNCTION("""COMPUTED_VALUE"""),"RSC000033")</f>
        <v>RSC000033</v>
      </c>
      <c r="B34" s="41" t="str">
        <f>IFERROR(__xludf.DUMMYFUNCTION("""COMPUTED_VALUE"""),"TruDust")</f>
        <v>TruDust</v>
      </c>
    </row>
    <row r="35">
      <c r="A35" s="41" t="str">
        <f>IFERROR(__xludf.DUMMYFUNCTION("""COMPUTED_VALUE"""),"RSC000034")</f>
        <v>RSC000034</v>
      </c>
      <c r="B35" s="41" t="str">
        <f>IFERROR(__xludf.DUMMYFUNCTION("""COMPUTED_VALUE"""),"Frosty2200")</f>
        <v>Frosty2200</v>
      </c>
    </row>
    <row r="36">
      <c r="A36" s="41" t="str">
        <f>IFERROR(__xludf.DUMMYFUNCTION("""COMPUTED_VALUE"""),"RSC000035")</f>
        <v>RSC000035</v>
      </c>
      <c r="B36" s="41" t="str">
        <f>IFERROR(__xludf.DUMMYFUNCTION("""COMPUTED_VALUE"""),"Feen")</f>
        <v>Feen</v>
      </c>
    </row>
    <row r="37">
      <c r="A37" s="41" t="str">
        <f>IFERROR(__xludf.DUMMYFUNCTION("""COMPUTED_VALUE"""),"RSC000036")</f>
        <v>RSC000036</v>
      </c>
      <c r="B37" s="41" t="str">
        <f>IFERROR(__xludf.DUMMYFUNCTION("""COMPUTED_VALUE"""),"Scribbs")</f>
        <v>Scribbs</v>
      </c>
    </row>
    <row r="38">
      <c r="A38" s="41" t="str">
        <f>IFERROR(__xludf.DUMMYFUNCTION("""COMPUTED_VALUE"""),"RSC000037")</f>
        <v>RSC000037</v>
      </c>
      <c r="B38" s="41" t="str">
        <f>IFERROR(__xludf.DUMMYFUNCTION("""COMPUTED_VALUE"""),"MD")</f>
        <v>MD</v>
      </c>
    </row>
    <row r="39">
      <c r="A39" s="41" t="str">
        <f>IFERROR(__xludf.DUMMYFUNCTION("""COMPUTED_VALUE"""),"RSC000038")</f>
        <v>RSC000038</v>
      </c>
      <c r="B39" s="41" t="str">
        <f>IFERROR(__xludf.DUMMYFUNCTION("""COMPUTED_VALUE"""),"Varenine")</f>
        <v>Varenine</v>
      </c>
    </row>
    <row r="40">
      <c r="A40" s="41" t="str">
        <f>IFERROR(__xludf.DUMMYFUNCTION("""COMPUTED_VALUE"""),"RSC000039")</f>
        <v>RSC000039</v>
      </c>
      <c r="B40" s="41" t="str">
        <f>IFERROR(__xludf.DUMMYFUNCTION("""COMPUTED_VALUE"""),"ImpalerV")</f>
        <v>ImpalerV</v>
      </c>
    </row>
    <row r="41">
      <c r="A41" s="41" t="str">
        <f>IFERROR(__xludf.DUMMYFUNCTION("""COMPUTED_VALUE"""),"RSC000040")</f>
        <v>RSC000040</v>
      </c>
      <c r="B41" s="41" t="str">
        <f>IFERROR(__xludf.DUMMYFUNCTION("""COMPUTED_VALUE"""),"Maseter")</f>
        <v>Maseter</v>
      </c>
    </row>
    <row r="42">
      <c r="A42" s="41" t="str">
        <f>IFERROR(__xludf.DUMMYFUNCTION("""COMPUTED_VALUE"""),"RSC000041")</f>
        <v>RSC000041</v>
      </c>
      <c r="B42" s="41" t="str">
        <f>IFERROR(__xludf.DUMMYFUNCTION("""COMPUTED_VALUE"""),"ShadowAid")</f>
        <v>ShadowAid</v>
      </c>
    </row>
    <row r="43">
      <c r="A43" s="41" t="str">
        <f>IFERROR(__xludf.DUMMYFUNCTION("""COMPUTED_VALUE"""),"RSC000042")</f>
        <v>RSC000042</v>
      </c>
      <c r="B43" s="41" t="str">
        <f>IFERROR(__xludf.DUMMYFUNCTION("""COMPUTED_VALUE"""),"Artophwar")</f>
        <v>Artophwar</v>
      </c>
    </row>
    <row r="44">
      <c r="A44" s="41" t="str">
        <f>IFERROR(__xludf.DUMMYFUNCTION("""COMPUTED_VALUE"""),"RSC000043")</f>
        <v>RSC000043</v>
      </c>
      <c r="B44" s="41" t="str">
        <f>IFERROR(__xludf.DUMMYFUNCTION("""COMPUTED_VALUE"""),"zoose")</f>
        <v>zoose</v>
      </c>
    </row>
    <row r="45">
      <c r="A45" s="41" t="str">
        <f>IFERROR(__xludf.DUMMYFUNCTION("""COMPUTED_VALUE"""),"RSC000044")</f>
        <v>RSC000044</v>
      </c>
      <c r="B45" s="41" t="str">
        <f>IFERROR(__xludf.DUMMYFUNCTION("""COMPUTED_VALUE"""),"Jimmylikebeans")</f>
        <v>Jimmylikebeans</v>
      </c>
    </row>
    <row r="46">
      <c r="A46" s="41" t="str">
        <f>IFERROR(__xludf.DUMMYFUNCTION("""COMPUTED_VALUE"""),"RSC000045")</f>
        <v>RSC000045</v>
      </c>
      <c r="B46" s="41" t="str">
        <f>IFERROR(__xludf.DUMMYFUNCTION("""COMPUTED_VALUE"""),"IEatRazzTV")</f>
        <v>IEatRazzTV</v>
      </c>
    </row>
    <row r="47">
      <c r="A47" s="41" t="str">
        <f>IFERROR(__xludf.DUMMYFUNCTION("""COMPUTED_VALUE"""),"RSC000046")</f>
        <v>RSC000046</v>
      </c>
      <c r="B47" s="41" t="str">
        <f>IFERROR(__xludf.DUMMYFUNCTION("""COMPUTED_VALUE"""),"Ghoulifer The Great")</f>
        <v>Ghoulifer The Great</v>
      </c>
    </row>
    <row r="48">
      <c r="A48" s="41" t="str">
        <f>IFERROR(__xludf.DUMMYFUNCTION("""COMPUTED_VALUE"""),"RSC000047")</f>
        <v>RSC000047</v>
      </c>
      <c r="B48" s="41" t="str">
        <f>IFERROR(__xludf.DUMMYFUNCTION("""COMPUTED_VALUE"""),"kidnutrageous")</f>
        <v>kidnutrageous</v>
      </c>
    </row>
    <row r="49">
      <c r="A49" s="41" t="str">
        <f>IFERROR(__xludf.DUMMYFUNCTION("""COMPUTED_VALUE"""),"RSC000048")</f>
        <v>RSC000048</v>
      </c>
      <c r="B49" s="41" t="str">
        <f>IFERROR(__xludf.DUMMYFUNCTION("""COMPUTED_VALUE"""),"pablo v2")</f>
        <v>pablo v2</v>
      </c>
    </row>
    <row r="50">
      <c r="A50" s="41" t="str">
        <f>IFERROR(__xludf.DUMMYFUNCTION("""COMPUTED_VALUE"""),"RSC000049")</f>
        <v>RSC000049</v>
      </c>
      <c r="B50" s="41" t="str">
        <f>IFERROR(__xludf.DUMMYFUNCTION("""COMPUTED_VALUE"""),"Aurrok")</f>
        <v>Aurrok</v>
      </c>
    </row>
    <row r="51">
      <c r="A51" s="41" t="str">
        <f>IFERROR(__xludf.DUMMYFUNCTION("""COMPUTED_VALUE"""),"RSC000050")</f>
        <v>RSC000050</v>
      </c>
      <c r="B51" s="41" t="str">
        <f>IFERROR(__xludf.DUMMYFUNCTION("""COMPUTED_VALUE"""),"LORDMACCUS")</f>
        <v>LORDMACCUS</v>
      </c>
    </row>
    <row r="52">
      <c r="A52" s="41" t="str">
        <f>IFERROR(__xludf.DUMMYFUNCTION("""COMPUTED_VALUE"""),"RSC000051")</f>
        <v>RSC000051</v>
      </c>
      <c r="B52" s="41" t="str">
        <f>IFERROR(__xludf.DUMMYFUNCTION("""COMPUTED_VALUE"""),"MisterQuake")</f>
        <v>MisterQuake</v>
      </c>
    </row>
    <row r="53">
      <c r="A53" s="41" t="str">
        <f>IFERROR(__xludf.DUMMYFUNCTION("""COMPUTED_VALUE"""),"RSC000052")</f>
        <v>RSC000052</v>
      </c>
      <c r="B53" s="41" t="str">
        <f>IFERROR(__xludf.DUMMYFUNCTION("""COMPUTED_VALUE"""),"Barra")</f>
        <v>Barra</v>
      </c>
    </row>
    <row r="54">
      <c r="A54" s="41" t="str">
        <f>IFERROR(__xludf.DUMMYFUNCTION("""COMPUTED_VALUE"""),"RSC000053")</f>
        <v>RSC000053</v>
      </c>
      <c r="B54" s="41" t="str">
        <f>IFERROR(__xludf.DUMMYFUNCTION("""COMPUTED_VALUE"""),"its_lost")</f>
        <v>its_lost</v>
      </c>
    </row>
    <row r="55">
      <c r="A55" s="41" t="str">
        <f>IFERROR(__xludf.DUMMYFUNCTION("""COMPUTED_VALUE"""),"RSC000054")</f>
        <v>RSC000054</v>
      </c>
      <c r="B55" s="41" t="str">
        <f>IFERROR(__xludf.DUMMYFUNCTION("""COMPUTED_VALUE"""),"blindvisionary")</f>
        <v>blindvisionary</v>
      </c>
    </row>
    <row r="56">
      <c r="A56" s="41" t="str">
        <f>IFERROR(__xludf.DUMMYFUNCTION("""COMPUTED_VALUE"""),"RSC000055")</f>
        <v>RSC000055</v>
      </c>
      <c r="B56" s="41" t="str">
        <f>IFERROR(__xludf.DUMMYFUNCTION("""COMPUTED_VALUE"""),"Kuroko")</f>
        <v>Kuroko</v>
      </c>
    </row>
    <row r="57">
      <c r="A57" s="41" t="str">
        <f>IFERROR(__xludf.DUMMYFUNCTION("""COMPUTED_VALUE"""),"RSC000056")</f>
        <v>RSC000056</v>
      </c>
      <c r="B57" s="41" t="str">
        <f>IFERROR(__xludf.DUMMYFUNCTION("""COMPUTED_VALUE"""),"tykilla")</f>
        <v>tykilla</v>
      </c>
    </row>
    <row r="58">
      <c r="A58" s="41" t="str">
        <f>IFERROR(__xludf.DUMMYFUNCTION("""COMPUTED_VALUE"""),"RSC000057")</f>
        <v>RSC000057</v>
      </c>
      <c r="B58" s="41" t="str">
        <f>IFERROR(__xludf.DUMMYFUNCTION("""COMPUTED_VALUE"""),"Mercury")</f>
        <v>Mercury</v>
      </c>
    </row>
    <row r="59">
      <c r="A59" s="41" t="str">
        <f>IFERROR(__xludf.DUMMYFUNCTION("""COMPUTED_VALUE"""),"RSC000058")</f>
        <v>RSC000058</v>
      </c>
      <c r="B59" s="41" t="str">
        <f>IFERROR(__xludf.DUMMYFUNCTION("""COMPUTED_VALUE"""),"PracticeCactus")</f>
        <v>PracticeCactus</v>
      </c>
    </row>
    <row r="60">
      <c r="A60" s="41" t="str">
        <f>IFERROR(__xludf.DUMMYFUNCTION("""COMPUTED_VALUE"""),"RSC000059")</f>
        <v>RSC000059</v>
      </c>
      <c r="B60" s="41" t="str">
        <f>IFERROR(__xludf.DUMMYFUNCTION("""COMPUTED_VALUE"""),"crltn")</f>
        <v>crltn</v>
      </c>
    </row>
    <row r="61">
      <c r="A61" s="41" t="str">
        <f>IFERROR(__xludf.DUMMYFUNCTION("""COMPUTED_VALUE"""),"RSC000060")</f>
        <v>RSC000060</v>
      </c>
      <c r="B61" s="41" t="str">
        <f>IFERROR(__xludf.DUMMYFUNCTION("""COMPUTED_VALUE"""),"andrew.")</f>
        <v>andrew.</v>
      </c>
    </row>
    <row r="62">
      <c r="A62" s="41" t="str">
        <f>IFERROR(__xludf.DUMMYFUNCTION("""COMPUTED_VALUE"""),"RSC000061")</f>
        <v>RSC000061</v>
      </c>
      <c r="B62" s="41" t="str">
        <f>IFERROR(__xludf.DUMMYFUNCTION("""COMPUTED_VALUE"""),"Jetison333")</f>
        <v>Jetison333</v>
      </c>
    </row>
    <row r="63">
      <c r="A63" s="41" t="str">
        <f>IFERROR(__xludf.DUMMYFUNCTION("""COMPUTED_VALUE"""),"RSC000062")</f>
        <v>RSC000062</v>
      </c>
      <c r="B63" s="41" t="str">
        <f>IFERROR(__xludf.DUMMYFUNCTION("""COMPUTED_VALUE"""),"Frostii.")</f>
        <v>Frostii.</v>
      </c>
    </row>
    <row r="64">
      <c r="A64" s="41" t="str">
        <f>IFERROR(__xludf.DUMMYFUNCTION("""COMPUTED_VALUE"""),"RSC000063")</f>
        <v>RSC000063</v>
      </c>
      <c r="B64" s="41" t="str">
        <f>IFERROR(__xludf.DUMMYFUNCTION("""COMPUTED_VALUE"""),"Soitsu")</f>
        <v>Soitsu</v>
      </c>
    </row>
    <row r="65">
      <c r="A65" s="41" t="str">
        <f>IFERROR(__xludf.DUMMYFUNCTION("""COMPUTED_VALUE"""),"RSC000064")</f>
        <v>RSC000064</v>
      </c>
      <c r="B65" s="41" t="str">
        <f>IFERROR(__xludf.DUMMYFUNCTION("""COMPUTED_VALUE"""),"TwitchingShark")</f>
        <v>TwitchingShark</v>
      </c>
    </row>
    <row r="66">
      <c r="A66" s="41" t="str">
        <f>IFERROR(__xludf.DUMMYFUNCTION("""COMPUTED_VALUE"""),"RSC000065")</f>
        <v>RSC000065</v>
      </c>
      <c r="B66" s="41" t="str">
        <f>IFERROR(__xludf.DUMMYFUNCTION("""COMPUTED_VALUE"""),"DraxxS")</f>
        <v>DraxxS</v>
      </c>
    </row>
    <row r="67">
      <c r="A67" s="41" t="str">
        <f>IFERROR(__xludf.DUMMYFUNCTION("""COMPUTED_VALUE"""),"RSC000066")</f>
        <v>RSC000066</v>
      </c>
      <c r="B67" s="41" t="str">
        <f>IFERROR(__xludf.DUMMYFUNCTION("""COMPUTED_VALUE"""),"ItsKengu")</f>
        <v>ItsKengu</v>
      </c>
    </row>
    <row r="68">
      <c r="A68" s="41" t="str">
        <f>IFERROR(__xludf.DUMMYFUNCTION("""COMPUTED_VALUE"""),"RSC000067")</f>
        <v>RSC000067</v>
      </c>
      <c r="B68" s="41" t="str">
        <f>IFERROR(__xludf.DUMMYFUNCTION("""COMPUTED_VALUE"""),"Jbob")</f>
        <v>Jbob</v>
      </c>
    </row>
    <row r="69">
      <c r="A69" s="41" t="str">
        <f>IFERROR(__xludf.DUMMYFUNCTION("""COMPUTED_VALUE"""),"RSC000068")</f>
        <v>RSC000068</v>
      </c>
      <c r="B69" s="41" t="str">
        <f>IFERROR(__xludf.DUMMYFUNCTION("""COMPUTED_VALUE"""),"Gumbachi")</f>
        <v>Gumbachi</v>
      </c>
    </row>
    <row r="70">
      <c r="A70" s="41" t="str">
        <f>IFERROR(__xludf.DUMMYFUNCTION("""COMPUTED_VALUE"""),"RSC000069")</f>
        <v>RSC000069</v>
      </c>
      <c r="B70" s="41" t="str">
        <f>IFERROR(__xludf.DUMMYFUNCTION("""COMPUTED_VALUE"""),"Krimghor")</f>
        <v>Krimghor</v>
      </c>
    </row>
    <row r="71">
      <c r="A71" s="41" t="str">
        <f>IFERROR(__xludf.DUMMYFUNCTION("""COMPUTED_VALUE"""),"RSC000070")</f>
        <v>RSC000070</v>
      </c>
      <c r="B71" s="41" t="str">
        <f>IFERROR(__xludf.DUMMYFUNCTION("""COMPUTED_VALUE"""),"Neb♡")</f>
        <v>Neb♡</v>
      </c>
    </row>
    <row r="72">
      <c r="A72" s="41" t="str">
        <f>IFERROR(__xludf.DUMMYFUNCTION("""COMPUTED_VALUE"""),"RSC000071")</f>
        <v>RSC000071</v>
      </c>
      <c r="B72" s="41" t="str">
        <f>IFERROR(__xludf.DUMMYFUNCTION("""COMPUTED_VALUE"""),"PhoebusDeMartin")</f>
        <v>PhoebusDeMartin</v>
      </c>
    </row>
    <row r="73">
      <c r="A73" s="41" t="str">
        <f>IFERROR(__xludf.DUMMYFUNCTION("""COMPUTED_VALUE"""),"RSC000072")</f>
        <v>RSC000072</v>
      </c>
      <c r="B73" s="41" t="str">
        <f>IFERROR(__xludf.DUMMYFUNCTION("""COMPUTED_VALUE"""),"Jarl")</f>
        <v>Jarl</v>
      </c>
    </row>
    <row r="74">
      <c r="A74" s="41" t="str">
        <f>IFERROR(__xludf.DUMMYFUNCTION("""COMPUTED_VALUE"""),"RSC000073")</f>
        <v>RSC000073</v>
      </c>
      <c r="B74" s="41" t="str">
        <f>IFERROR(__xludf.DUMMYFUNCTION("""COMPUTED_VALUE"""),"Nighthawk")</f>
        <v>Nighthawk</v>
      </c>
    </row>
    <row r="75">
      <c r="A75" s="41" t="str">
        <f>IFERROR(__xludf.DUMMYFUNCTION("""COMPUTED_VALUE"""),"RSC000074")</f>
        <v>RSC000074</v>
      </c>
      <c r="B75" s="41" t="str">
        <f>IFERROR(__xludf.DUMMYFUNCTION("""COMPUTED_VALUE"""),"TacoWho?")</f>
        <v>TacoWho?</v>
      </c>
    </row>
    <row r="76">
      <c r="A76" s="41" t="str">
        <f>IFERROR(__xludf.DUMMYFUNCTION("""COMPUTED_VALUE"""),"RSC000075")</f>
        <v>RSC000075</v>
      </c>
      <c r="B76" s="41" t="str">
        <f>IFERROR(__xludf.DUMMYFUNCTION("""COMPUTED_VALUE"""),"zamaxan")</f>
        <v>zamaxan</v>
      </c>
    </row>
    <row r="77">
      <c r="A77" s="41" t="str">
        <f>IFERROR(__xludf.DUMMYFUNCTION("""COMPUTED_VALUE"""),"RSC000076")</f>
        <v>RSC000076</v>
      </c>
      <c r="B77" s="41" t="str">
        <f>IFERROR(__xludf.DUMMYFUNCTION("""COMPUTED_VALUE"""),"Specialk")</f>
        <v>Specialk</v>
      </c>
    </row>
    <row r="78">
      <c r="A78" s="41" t="str">
        <f>IFERROR(__xludf.DUMMYFUNCTION("""COMPUTED_VALUE"""),"RSC000077")</f>
        <v>RSC000077</v>
      </c>
      <c r="B78" s="41" t="str">
        <f>IFERROR(__xludf.DUMMYFUNCTION("""COMPUTED_VALUE"""),"N8BNSN")</f>
        <v>N8BNSN</v>
      </c>
    </row>
    <row r="79">
      <c r="A79" s="41" t="str">
        <f>IFERROR(__xludf.DUMMYFUNCTION("""COMPUTED_VALUE"""),"RSC000078")</f>
        <v>RSC000078</v>
      </c>
      <c r="B79" s="41" t="str">
        <f>IFERROR(__xludf.DUMMYFUNCTION("""COMPUTED_VALUE"""),"SirKitboard")</f>
        <v>SirKitboard</v>
      </c>
    </row>
    <row r="80">
      <c r="A80" s="41" t="str">
        <f>IFERROR(__xludf.DUMMYFUNCTION("""COMPUTED_VALUE"""),"RSC000079")</f>
        <v>RSC000079</v>
      </c>
      <c r="B80" s="41" t="str">
        <f>IFERROR(__xludf.DUMMYFUNCTION("""COMPUTED_VALUE"""),"Geeky Tahm")</f>
        <v>Geeky Tahm</v>
      </c>
    </row>
    <row r="81">
      <c r="A81" s="41" t="str">
        <f>IFERROR(__xludf.DUMMYFUNCTION("""COMPUTED_VALUE"""),"RSC000080")</f>
        <v>RSC000080</v>
      </c>
      <c r="B81" s="41" t="str">
        <f>IFERROR(__xludf.DUMMYFUNCTION("""COMPUTED_VALUE"""),"Murloc")</f>
        <v>Murloc</v>
      </c>
    </row>
    <row r="82">
      <c r="A82" s="41" t="str">
        <f>IFERROR(__xludf.DUMMYFUNCTION("""COMPUTED_VALUE"""),"RSC000081")</f>
        <v>RSC000081</v>
      </c>
      <c r="B82" s="41" t="str">
        <f>IFERROR(__xludf.DUMMYFUNCTION("""COMPUTED_VALUE"""),"Retroexplorer")</f>
        <v>Retroexplorer</v>
      </c>
    </row>
    <row r="83">
      <c r="A83" s="41" t="str">
        <f>IFERROR(__xludf.DUMMYFUNCTION("""COMPUTED_VALUE"""),"RSC000082")</f>
        <v>RSC000082</v>
      </c>
      <c r="B83" s="41" t="str">
        <f>IFERROR(__xludf.DUMMYFUNCTION("""COMPUTED_VALUE"""),"Memlo")</f>
        <v>Memlo</v>
      </c>
    </row>
    <row r="84">
      <c r="A84" s="41" t="str">
        <f>IFERROR(__xludf.DUMMYFUNCTION("""COMPUTED_VALUE"""),"RSC000083")</f>
        <v>RSC000083</v>
      </c>
      <c r="B84" s="41" t="str">
        <f>IFERROR(__xludf.DUMMYFUNCTION("""COMPUTED_VALUE"""),"Mintie")</f>
        <v>Mintie</v>
      </c>
    </row>
    <row r="85">
      <c r="A85" s="41" t="str">
        <f>IFERROR(__xludf.DUMMYFUNCTION("""COMPUTED_VALUE"""),"RSC000084")</f>
        <v>RSC000084</v>
      </c>
      <c r="B85" s="41" t="str">
        <f>IFERROR(__xludf.DUMMYFUNCTION("""COMPUTED_VALUE"""),"Biggins")</f>
        <v>Biggins</v>
      </c>
    </row>
    <row r="86">
      <c r="A86" s="41" t="str">
        <f>IFERROR(__xludf.DUMMYFUNCTION("""COMPUTED_VALUE"""),"RSC000085")</f>
        <v>RSC000085</v>
      </c>
      <c r="B86" s="41" t="str">
        <f>IFERROR(__xludf.DUMMYFUNCTION("""COMPUTED_VALUE"""),"Gat0rbait")</f>
        <v>Gat0rbait</v>
      </c>
    </row>
    <row r="87">
      <c r="A87" s="41" t="str">
        <f>IFERROR(__xludf.DUMMYFUNCTION("""COMPUTED_VALUE"""),"RSC000086")</f>
        <v>RSC000086</v>
      </c>
      <c r="B87" s="41" t="str">
        <f>IFERROR(__xludf.DUMMYFUNCTION("""COMPUTED_VALUE"""),"Stale Popcorn")</f>
        <v>Stale Popcorn</v>
      </c>
    </row>
    <row r="88">
      <c r="A88" s="41" t="str">
        <f>IFERROR(__xludf.DUMMYFUNCTION("""COMPUTED_VALUE"""),"RSC000087")</f>
        <v>RSC000087</v>
      </c>
      <c r="B88" s="41" t="str">
        <f>IFERROR(__xludf.DUMMYFUNCTION("""COMPUTED_VALUE"""),"BrainyZac")</f>
        <v>BrainyZac</v>
      </c>
    </row>
    <row r="89">
      <c r="A89" s="41" t="str">
        <f>IFERROR(__xludf.DUMMYFUNCTION("""COMPUTED_VALUE"""),"RSC000088")</f>
        <v>RSC000088</v>
      </c>
      <c r="B89" s="41" t="str">
        <f>IFERROR(__xludf.DUMMYFUNCTION("""COMPUTED_VALUE"""),"Bmorr")</f>
        <v>Bmorr</v>
      </c>
    </row>
    <row r="90">
      <c r="A90" s="41" t="str">
        <f>IFERROR(__xludf.DUMMYFUNCTION("""COMPUTED_VALUE"""),"RSC000089")</f>
        <v>RSC000089</v>
      </c>
      <c r="B90" s="41" t="str">
        <f>IFERROR(__xludf.DUMMYFUNCTION("""COMPUTED_VALUE"""),"Stray (change)")</f>
        <v>Stray (change)</v>
      </c>
    </row>
    <row r="91">
      <c r="A91" s="41" t="str">
        <f>IFERROR(__xludf.DUMMYFUNCTION("""COMPUTED_VALUE"""),"RSC000090")</f>
        <v>RSC000090</v>
      </c>
      <c r="B91" s="41" t="str">
        <f>IFERROR(__xludf.DUMMYFUNCTION("""COMPUTED_VALUE"""),"ParanormalPancak")</f>
        <v>ParanormalPancak</v>
      </c>
    </row>
    <row r="92">
      <c r="A92" s="41" t="str">
        <f>IFERROR(__xludf.DUMMYFUNCTION("""COMPUTED_VALUE"""),"RSC000091")</f>
        <v>RSC000091</v>
      </c>
      <c r="B92" s="41" t="str">
        <f>IFERROR(__xludf.DUMMYFUNCTION("""COMPUTED_VALUE"""),"bousquet")</f>
        <v>bousquet</v>
      </c>
    </row>
    <row r="93">
      <c r="A93" s="41" t="str">
        <f>IFERROR(__xludf.DUMMYFUNCTION("""COMPUTED_VALUE"""),"RSC000092")</f>
        <v>RSC000092</v>
      </c>
      <c r="B93" s="41" t="str">
        <f>IFERROR(__xludf.DUMMYFUNCTION("""COMPUTED_VALUE"""),"robo")</f>
        <v>robo</v>
      </c>
    </row>
    <row r="94">
      <c r="A94" s="41" t="str">
        <f>IFERROR(__xludf.DUMMYFUNCTION("""COMPUTED_VALUE"""),"RSC000093")</f>
        <v>RSC000093</v>
      </c>
      <c r="B94" s="41" t="str">
        <f>IFERROR(__xludf.DUMMYFUNCTION("""COMPUTED_VALUE"""),"Beckols")</f>
        <v>Beckols</v>
      </c>
    </row>
    <row r="95">
      <c r="A95" s="41" t="str">
        <f>IFERROR(__xludf.DUMMYFUNCTION("""COMPUTED_VALUE"""),"RSC000094")</f>
        <v>RSC000094</v>
      </c>
      <c r="B95" s="41" t="str">
        <f>IFERROR(__xludf.DUMMYFUNCTION("""COMPUTED_VALUE"""),"Namdorin")</f>
        <v>Namdorin</v>
      </c>
    </row>
    <row r="96">
      <c r="A96" s="41" t="str">
        <f>IFERROR(__xludf.DUMMYFUNCTION("""COMPUTED_VALUE"""),"RSC000095")</f>
        <v>RSC000095</v>
      </c>
      <c r="B96" s="41" t="str">
        <f>IFERROR(__xludf.DUMMYFUNCTION("""COMPUTED_VALUE"""),"Sexy Horse")</f>
        <v>Sexy Horse</v>
      </c>
    </row>
    <row r="97">
      <c r="A97" s="41" t="str">
        <f>IFERROR(__xludf.DUMMYFUNCTION("""COMPUTED_VALUE"""),"RSC000096")</f>
        <v>RSC000096</v>
      </c>
      <c r="B97" s="41" t="str">
        <f>IFERROR(__xludf.DUMMYFUNCTION("""COMPUTED_VALUE"""),"ryryboltwrap")</f>
        <v>ryryboltwrap</v>
      </c>
    </row>
    <row r="98">
      <c r="A98" s="41" t="str">
        <f>IFERROR(__xludf.DUMMYFUNCTION("""COMPUTED_VALUE"""),"RSC000097")</f>
        <v>RSC000097</v>
      </c>
      <c r="B98" s="41" t="str">
        <f>IFERROR(__xludf.DUMMYFUNCTION("""COMPUTED_VALUE"""),"Dravaco")</f>
        <v>Dravaco</v>
      </c>
    </row>
    <row r="99">
      <c r="A99" s="41" t="str">
        <f>IFERROR(__xludf.DUMMYFUNCTION("""COMPUTED_VALUE"""),"RSC000098")</f>
        <v>RSC000098</v>
      </c>
      <c r="B99" s="41" t="str">
        <f>IFERROR(__xludf.DUMMYFUNCTION("""COMPUTED_VALUE"""),"treko50")</f>
        <v>treko50</v>
      </c>
    </row>
    <row r="100">
      <c r="A100" s="41" t="str">
        <f>IFERROR(__xludf.DUMMYFUNCTION("""COMPUTED_VALUE"""),"RSC000099")</f>
        <v>RSC000099</v>
      </c>
      <c r="B100" s="41" t="str">
        <f>IFERROR(__xludf.DUMMYFUNCTION("""COMPUTED_VALUE"""),"Squishysquirrel")</f>
        <v>Squishysquirrel</v>
      </c>
    </row>
    <row r="101">
      <c r="A101" s="41" t="str">
        <f>IFERROR(__xludf.DUMMYFUNCTION("""COMPUTED_VALUE"""),"RSC000100")</f>
        <v>RSC000100</v>
      </c>
      <c r="B101" s="41" t="str">
        <f>IFERROR(__xludf.DUMMYFUNCTION("""COMPUTED_VALUE"""),"Jekka")</f>
        <v>Jekka</v>
      </c>
    </row>
    <row r="102">
      <c r="A102" s="41" t="str">
        <f>IFERROR(__xludf.DUMMYFUNCTION("""COMPUTED_VALUE"""),"RSC000101")</f>
        <v>RSC000101</v>
      </c>
      <c r="B102" s="41" t="str">
        <f>IFERROR(__xludf.DUMMYFUNCTION("""COMPUTED_VALUE"""),"Kerrrth")</f>
        <v>Kerrrth</v>
      </c>
    </row>
    <row r="103">
      <c r="A103" s="41" t="str">
        <f>IFERROR(__xludf.DUMMYFUNCTION("""COMPUTED_VALUE"""),"RSC000102")</f>
        <v>RSC000102</v>
      </c>
      <c r="B103" s="41" t="str">
        <f>IFERROR(__xludf.DUMMYFUNCTION("""COMPUTED_VALUE"""),"Void. (change)")</f>
        <v>Void. (change)</v>
      </c>
    </row>
    <row r="104">
      <c r="A104" s="41" t="str">
        <f>IFERROR(__xludf.DUMMYFUNCTION("""COMPUTED_VALUE"""),"RSC000103")</f>
        <v>RSC000103</v>
      </c>
      <c r="B104" s="41" t="str">
        <f>IFERROR(__xludf.DUMMYFUNCTION("""COMPUTED_VALUE"""),"Todd Bonzalez")</f>
        <v>Todd Bonzalez</v>
      </c>
    </row>
    <row r="105">
      <c r="A105" s="41" t="str">
        <f>IFERROR(__xludf.DUMMYFUNCTION("""COMPUTED_VALUE"""),"RSC000104")</f>
        <v>RSC000104</v>
      </c>
      <c r="B105" s="41" t="str">
        <f>IFERROR(__xludf.DUMMYFUNCTION("""COMPUTED_VALUE"""),"tubzy")</f>
        <v>tubzy</v>
      </c>
    </row>
    <row r="106">
      <c r="A106" s="41" t="str">
        <f>IFERROR(__xludf.DUMMYFUNCTION("""COMPUTED_VALUE"""),"RSC000105")</f>
        <v>RSC000105</v>
      </c>
      <c r="B106" s="41" t="str">
        <f>IFERROR(__xludf.DUMMYFUNCTION("""COMPUTED_VALUE"""),"Chalupo")</f>
        <v>Chalupo</v>
      </c>
    </row>
    <row r="107">
      <c r="A107" s="41" t="str">
        <f>IFERROR(__xludf.DUMMYFUNCTION("""COMPUTED_VALUE"""),"RSC000106")</f>
        <v>RSC000106</v>
      </c>
      <c r="B107" s="41" t="str">
        <f>IFERROR(__xludf.DUMMYFUNCTION("""COMPUTED_VALUE"""),"Nagz")</f>
        <v>Nagz</v>
      </c>
    </row>
    <row r="108">
      <c r="A108" s="41" t="str">
        <f>IFERROR(__xludf.DUMMYFUNCTION("""COMPUTED_VALUE"""),"RSC000107")</f>
        <v>RSC000107</v>
      </c>
      <c r="B108" s="41" t="str">
        <f>IFERROR(__xludf.DUMMYFUNCTION("""COMPUTED_VALUE"""),"Superfast Moose")</f>
        <v>Superfast Moose</v>
      </c>
    </row>
    <row r="109">
      <c r="A109" s="41" t="str">
        <f>IFERROR(__xludf.DUMMYFUNCTION("""COMPUTED_VALUE"""),"RSC000108")</f>
        <v>RSC000108</v>
      </c>
      <c r="B109" s="41" t="str">
        <f>IFERROR(__xludf.DUMMYFUNCTION("""COMPUTED_VALUE"""),"Ali ✓")</f>
        <v>Ali ✓</v>
      </c>
    </row>
    <row r="110">
      <c r="A110" s="41" t="str">
        <f>IFERROR(__xludf.DUMMYFUNCTION("""COMPUTED_VALUE"""),"RSC000109")</f>
        <v>RSC000109</v>
      </c>
      <c r="B110" s="41" t="str">
        <f>IFERROR(__xludf.DUMMYFUNCTION("""COMPUTED_VALUE"""),"CoolBrozie")</f>
        <v>CoolBrozie</v>
      </c>
    </row>
    <row r="111">
      <c r="A111" s="41" t="str">
        <f>IFERROR(__xludf.DUMMYFUNCTION("""COMPUTED_VALUE"""),"RSC000110")</f>
        <v>RSC000110</v>
      </c>
      <c r="B111" s="41" t="str">
        <f>IFERROR(__xludf.DUMMYFUNCTION("""COMPUTED_VALUE"""),"CisiC")</f>
        <v>CisiC</v>
      </c>
    </row>
    <row r="112">
      <c r="A112" s="41" t="str">
        <f>IFERROR(__xludf.DUMMYFUNCTION("""COMPUTED_VALUE"""),"RSC000111")</f>
        <v>RSC000111</v>
      </c>
      <c r="B112" s="41" t="str">
        <f>IFERROR(__xludf.DUMMYFUNCTION("""COMPUTED_VALUE"""),"Wheelchair {LFLegs}")</f>
        <v>Wheelchair {LFLegs}</v>
      </c>
    </row>
    <row r="113">
      <c r="A113" s="41" t="str">
        <f>IFERROR(__xludf.DUMMYFUNCTION("""COMPUTED_VALUE"""),"RSC000112")</f>
        <v>RSC000112</v>
      </c>
      <c r="B113" s="41" t="str">
        <f>IFERROR(__xludf.DUMMYFUNCTION("""COMPUTED_VALUE"""),"TrifeThings")</f>
        <v>TrifeThings</v>
      </c>
    </row>
    <row r="114">
      <c r="A114" s="41" t="str">
        <f>IFERROR(__xludf.DUMMYFUNCTION("""COMPUTED_VALUE"""),"RSC000113")</f>
        <v>RSC000113</v>
      </c>
      <c r="B114" s="41" t="str">
        <f>IFERROR(__xludf.DUMMYFUNCTION("""COMPUTED_VALUE"""),"Beanfuzz")</f>
        <v>Beanfuzz</v>
      </c>
    </row>
    <row r="115">
      <c r="A115" s="41" t="str">
        <f>IFERROR(__xludf.DUMMYFUNCTION("""COMPUTED_VALUE"""),"RSC000114")</f>
        <v>RSC000114</v>
      </c>
      <c r="B115" s="41" t="str">
        <f>IFERROR(__xludf.DUMMYFUNCTION("""COMPUTED_VALUE"""),"iP JoKeR")</f>
        <v>iP JoKeR</v>
      </c>
    </row>
    <row r="116">
      <c r="A116" s="41" t="str">
        <f>IFERROR(__xludf.DUMMYFUNCTION("""COMPUTED_VALUE"""),"RSC000115")</f>
        <v>RSC000115</v>
      </c>
      <c r="B116" s="41" t="str">
        <f>IFERROR(__xludf.DUMMYFUNCTION("""COMPUTED_VALUE"""),"Chamberoni")</f>
        <v>Chamberoni</v>
      </c>
    </row>
    <row r="117">
      <c r="A117" s="41" t="str">
        <f>IFERROR(__xludf.DUMMYFUNCTION("""COMPUTED_VALUE"""),"RSC000116")</f>
        <v>RSC000116</v>
      </c>
      <c r="B117" s="41" t="str">
        <f>IFERROR(__xludf.DUMMYFUNCTION("""COMPUTED_VALUE"""),"EtchedTree")</f>
        <v>EtchedTree</v>
      </c>
    </row>
    <row r="118">
      <c r="A118" s="41" t="str">
        <f>IFERROR(__xludf.DUMMYFUNCTION("""COMPUTED_VALUE"""),"RSC000117")</f>
        <v>RSC000117</v>
      </c>
      <c r="B118" s="41" t="str">
        <f>IFERROR(__xludf.DUMMYFUNCTION("""COMPUTED_VALUE"""),"C'mon Now")</f>
        <v>C'mon Now</v>
      </c>
    </row>
    <row r="119">
      <c r="A119" s="41" t="str">
        <f>IFERROR(__xludf.DUMMYFUNCTION("""COMPUTED_VALUE"""),"RSC000118")</f>
        <v>RSC000118</v>
      </c>
      <c r="B119" s="41" t="str">
        <f>IFERROR(__xludf.DUMMYFUNCTION("""COMPUTED_VALUE"""),"Classé")</f>
        <v>Classé</v>
      </c>
    </row>
    <row r="120">
      <c r="A120" s="41" t="str">
        <f>IFERROR(__xludf.DUMMYFUNCTION("""COMPUTED_VALUE"""),"RSC000119")</f>
        <v>RSC000119</v>
      </c>
      <c r="B120" s="41" t="str">
        <f>IFERROR(__xludf.DUMMYFUNCTION("""COMPUTED_VALUE"""),"Nue.")</f>
        <v>Nue.</v>
      </c>
    </row>
    <row r="121">
      <c r="A121" s="41" t="str">
        <f>IFERROR(__xludf.DUMMYFUNCTION("""COMPUTED_VALUE"""),"RSC000120")</f>
        <v>RSC000120</v>
      </c>
      <c r="B121" s="41" t="str">
        <f>IFERROR(__xludf.DUMMYFUNCTION("""COMPUTED_VALUE"""),"JO3_YOUN9")</f>
        <v>JO3_YOUN9</v>
      </c>
    </row>
    <row r="122">
      <c r="A122" s="41" t="str">
        <f>IFERROR(__xludf.DUMMYFUNCTION("""COMPUTED_VALUE"""),"RSC000121")</f>
        <v>RSC000121</v>
      </c>
      <c r="B122" s="41" t="str">
        <f>IFERROR(__xludf.DUMMYFUNCTION("""COMPUTED_VALUE"""),"Cineo")</f>
        <v>Cineo</v>
      </c>
    </row>
    <row r="123">
      <c r="A123" s="41" t="str">
        <f>IFERROR(__xludf.DUMMYFUNCTION("""COMPUTED_VALUE"""),"RSC000122")</f>
        <v>RSC000122</v>
      </c>
      <c r="B123" s="41" t="str">
        <f>IFERROR(__xludf.DUMMYFUNCTION("""COMPUTED_VALUE"""),"corbasm")</f>
        <v>corbasm</v>
      </c>
    </row>
    <row r="124">
      <c r="A124" s="41" t="str">
        <f>IFERROR(__xludf.DUMMYFUNCTION("""COMPUTED_VALUE"""),"RSC000123")</f>
        <v>RSC000123</v>
      </c>
      <c r="B124" s="41" t="str">
        <f>IFERROR(__xludf.DUMMYFUNCTION("""COMPUTED_VALUE"""),"Dub (OLD DUB, INACTIVE PLAYER)")</f>
        <v>Dub (OLD DUB, INACTIVE PLAYER)</v>
      </c>
    </row>
    <row r="125">
      <c r="A125" s="41" t="str">
        <f>IFERROR(__xludf.DUMMYFUNCTION("""COMPUTED_VALUE"""),"RSC000124")</f>
        <v>RSC000124</v>
      </c>
      <c r="B125" s="41" t="str">
        <f>IFERROR(__xludf.DUMMYFUNCTION("""COMPUTED_VALUE"""),"MrFelon")</f>
        <v>MrFelon</v>
      </c>
    </row>
    <row r="126">
      <c r="A126" s="41" t="str">
        <f>IFERROR(__xludf.DUMMYFUNCTION("""COMPUTED_VALUE"""),"RSC000125")</f>
        <v>RSC000125</v>
      </c>
      <c r="B126" s="41" t="str">
        <f>IFERROR(__xludf.DUMMYFUNCTION("""COMPUTED_VALUE"""),"Grillied")</f>
        <v>Grillied</v>
      </c>
    </row>
    <row r="127">
      <c r="A127" s="41" t="str">
        <f>IFERROR(__xludf.DUMMYFUNCTION("""COMPUTED_VALUE"""),"RSC000126")</f>
        <v>RSC000126</v>
      </c>
      <c r="B127" s="41" t="str">
        <f>IFERROR(__xludf.DUMMYFUNCTION("""COMPUTED_VALUE"""),"Beyond Teddie")</f>
        <v>Beyond Teddie</v>
      </c>
    </row>
    <row r="128">
      <c r="A128" s="41" t="str">
        <f>IFERROR(__xludf.DUMMYFUNCTION("""COMPUTED_VALUE"""),"RSC000127")</f>
        <v>RSC000127</v>
      </c>
      <c r="B128" s="41" t="str">
        <f>IFERROR(__xludf.DUMMYFUNCTION("""COMPUTED_VALUE"""),"Czexmix")</f>
        <v>Czexmix</v>
      </c>
    </row>
    <row r="129">
      <c r="A129" s="41" t="str">
        <f>IFERROR(__xludf.DUMMYFUNCTION("""COMPUTED_VALUE"""),"RSC000128")</f>
        <v>RSC000128</v>
      </c>
      <c r="B129" s="41" t="str">
        <f>IFERROR(__xludf.DUMMYFUNCTION("""COMPUTED_VALUE"""),"Tylurr")</f>
        <v>Tylurr</v>
      </c>
    </row>
    <row r="130">
      <c r="A130" s="41" t="str">
        <f>IFERROR(__xludf.DUMMYFUNCTION("""COMPUTED_VALUE"""),"RSC000129")</f>
        <v>RSC000129</v>
      </c>
      <c r="B130" s="41" t="str">
        <f>IFERROR(__xludf.DUMMYFUNCTION("""COMPUTED_VALUE"""),"Seb")</f>
        <v>Seb</v>
      </c>
    </row>
    <row r="131">
      <c r="A131" s="41" t="str">
        <f>IFERROR(__xludf.DUMMYFUNCTION("""COMPUTED_VALUE"""),"RSC000130")</f>
        <v>RSC000130</v>
      </c>
      <c r="B131" s="41" t="str">
        <f>IFERROR(__xludf.DUMMYFUNCTION("""COMPUTED_VALUE"""),"Anthage")</f>
        <v>Anthage</v>
      </c>
    </row>
    <row r="132">
      <c r="A132" s="41" t="str">
        <f>IFERROR(__xludf.DUMMYFUNCTION("""COMPUTED_VALUE"""),"RSC000131")</f>
        <v>RSC000131</v>
      </c>
      <c r="B132" s="41" t="str">
        <f>IFERROR(__xludf.DUMMYFUNCTION("""COMPUTED_VALUE"""),"Ferret")</f>
        <v>Ferret</v>
      </c>
    </row>
    <row r="133">
      <c r="A133" s="41" t="str">
        <f>IFERROR(__xludf.DUMMYFUNCTION("""COMPUTED_VALUE"""),"RSC000132")</f>
        <v>RSC000132</v>
      </c>
      <c r="B133" s="41" t="str">
        <f>IFERROR(__xludf.DUMMYFUNCTION("""COMPUTED_VALUE"""),"Rymaster")</f>
        <v>Rymaster</v>
      </c>
    </row>
    <row r="134">
      <c r="A134" s="41" t="str">
        <f>IFERROR(__xludf.DUMMYFUNCTION("""COMPUTED_VALUE"""),"RSC000133")</f>
        <v>RSC000133</v>
      </c>
      <c r="B134" s="41" t="str">
        <f>IFERROR(__xludf.DUMMYFUNCTION("""COMPUTED_VALUE"""),"SADmello")</f>
        <v>SADmello</v>
      </c>
    </row>
    <row r="135">
      <c r="A135" s="41" t="str">
        <f>IFERROR(__xludf.DUMMYFUNCTION("""COMPUTED_VALUE"""),"RSC000134")</f>
        <v>RSC000134</v>
      </c>
      <c r="B135" s="41" t="str">
        <f>IFERROR(__xludf.DUMMYFUNCTION("""COMPUTED_VALUE"""),"Jackbo")</f>
        <v>Jackbo</v>
      </c>
    </row>
    <row r="136">
      <c r="A136" s="41" t="str">
        <f>IFERROR(__xludf.DUMMYFUNCTION("""COMPUTED_VALUE"""),"RSC000135")</f>
        <v>RSC000135</v>
      </c>
      <c r="B136" s="41" t="str">
        <f>IFERROR(__xludf.DUMMYFUNCTION("""COMPUTED_VALUE"""),"Memeboi")</f>
        <v>Memeboi</v>
      </c>
    </row>
    <row r="137">
      <c r="A137" s="41" t="str">
        <f>IFERROR(__xludf.DUMMYFUNCTION("""COMPUTED_VALUE"""),"RSC000136")</f>
        <v>RSC000136</v>
      </c>
      <c r="B137" s="41" t="str">
        <f>IFERROR(__xludf.DUMMYFUNCTION("""COMPUTED_VALUE"""),"Blun")</f>
        <v>Blun</v>
      </c>
    </row>
    <row r="138">
      <c r="A138" s="41" t="str">
        <f>IFERROR(__xludf.DUMMYFUNCTION("""COMPUTED_VALUE"""),"RSC000137")</f>
        <v>RSC000137</v>
      </c>
      <c r="B138" s="41" t="str">
        <f>IFERROR(__xludf.DUMMYFUNCTION("""COMPUTED_VALUE"""),"Sora-change")</f>
        <v>Sora-change</v>
      </c>
    </row>
    <row r="139">
      <c r="A139" s="41" t="str">
        <f>IFERROR(__xludf.DUMMYFUNCTION("""COMPUTED_VALUE"""),"RSC000138")</f>
        <v>RSC000138</v>
      </c>
      <c r="B139" s="41" t="str">
        <f>IFERROR(__xludf.DUMMYFUNCTION("""COMPUTED_VALUE"""),"roacs")</f>
        <v>roacs</v>
      </c>
    </row>
    <row r="140">
      <c r="A140" s="41" t="str">
        <f>IFERROR(__xludf.DUMMYFUNCTION("""COMPUTED_VALUE"""),"RSC000139")</f>
        <v>RSC000139</v>
      </c>
      <c r="B140" s="41" t="str">
        <f>IFERROR(__xludf.DUMMYFUNCTION("""COMPUTED_VALUE"""),"JMelly")</f>
        <v>JMelly</v>
      </c>
    </row>
    <row r="141">
      <c r="A141" s="41" t="str">
        <f>IFERROR(__xludf.DUMMYFUNCTION("""COMPUTED_VALUE"""),"RSC000140")</f>
        <v>RSC000140</v>
      </c>
      <c r="B141" s="41" t="str">
        <f>IFERROR(__xludf.DUMMYFUNCTION("""COMPUTED_VALUE"""),"Kaeso Clarus")</f>
        <v>Kaeso Clarus</v>
      </c>
    </row>
    <row r="142">
      <c r="A142" s="41" t="str">
        <f>IFERROR(__xludf.DUMMYFUNCTION("""COMPUTED_VALUE"""),"RSC000141")</f>
        <v>RSC000141</v>
      </c>
      <c r="B142" s="41" t="str">
        <f>IFERROR(__xludf.DUMMYFUNCTION("""COMPUTED_VALUE"""),"Jam")</f>
        <v>Jam</v>
      </c>
    </row>
    <row r="143">
      <c r="A143" s="41" t="str">
        <f>IFERROR(__xludf.DUMMYFUNCTION("""COMPUTED_VALUE"""),"RSC000142")</f>
        <v>RSC000142</v>
      </c>
      <c r="B143" s="41" t="str">
        <f>IFERROR(__xludf.DUMMYFUNCTION("""COMPUTED_VALUE"""),"SIIpscrIIn")</f>
        <v>SIIpscrIIn</v>
      </c>
    </row>
    <row r="144">
      <c r="A144" s="41" t="str">
        <f>IFERROR(__xludf.DUMMYFUNCTION("""COMPUTED_VALUE"""),"RSC000143")</f>
        <v>RSC000143</v>
      </c>
      <c r="B144" s="41" t="str">
        <f>IFERROR(__xludf.DUMMYFUNCTION("""COMPUTED_VALUE"""),"Grit")</f>
        <v>Grit</v>
      </c>
    </row>
    <row r="145">
      <c r="A145" s="41" t="str">
        <f>IFERROR(__xludf.DUMMYFUNCTION("""COMPUTED_VALUE"""),"RSC000144")</f>
        <v>RSC000144</v>
      </c>
      <c r="B145" s="41" t="str">
        <f>IFERROR(__xludf.DUMMYFUNCTION("""COMPUTED_VALUE"""),"Dominipple")</f>
        <v>Dominipple</v>
      </c>
    </row>
    <row r="146">
      <c r="A146" s="41" t="str">
        <f>IFERROR(__xludf.DUMMYFUNCTION("""COMPUTED_VALUE"""),"RSC000145")</f>
        <v>RSC000145</v>
      </c>
      <c r="B146" s="41" t="str">
        <f>IFERROR(__xludf.DUMMYFUNCTION("""COMPUTED_VALUE"""),"Gradster13")</f>
        <v>Gradster13</v>
      </c>
    </row>
    <row r="147">
      <c r="A147" s="41" t="str">
        <f>IFERROR(__xludf.DUMMYFUNCTION("""COMPUTED_VALUE"""),"RSC000146")</f>
        <v>RSC000146</v>
      </c>
      <c r="B147" s="41" t="str">
        <f>IFERROR(__xludf.DUMMYFUNCTION("""COMPUTED_VALUE"""),"EtherealDoom989")</f>
        <v>EtherealDoom989</v>
      </c>
    </row>
    <row r="148">
      <c r="A148" s="41" t="str">
        <f>IFERROR(__xludf.DUMMYFUNCTION("""COMPUTED_VALUE"""),"RSC000147")</f>
        <v>RSC000147</v>
      </c>
      <c r="B148" s="41" t="str">
        <f>IFERROR(__xludf.DUMMYFUNCTION("""COMPUTED_VALUE"""),"DudeBroSick")</f>
        <v>DudeBroSick</v>
      </c>
    </row>
    <row r="149">
      <c r="A149" s="41" t="str">
        <f>IFERROR(__xludf.DUMMYFUNCTION("""COMPUTED_VALUE"""),"RSC000148")</f>
        <v>RSC000148</v>
      </c>
      <c r="B149" s="41" t="str">
        <f>IFERROR(__xludf.DUMMYFUNCTION("""COMPUTED_VALUE"""),"Shadowvail")</f>
        <v>Shadowvail</v>
      </c>
    </row>
    <row r="150">
      <c r="A150" s="41" t="str">
        <f>IFERROR(__xludf.DUMMYFUNCTION("""COMPUTED_VALUE"""),"RSC000149")</f>
        <v>RSC000149</v>
      </c>
      <c r="B150" s="41" t="str">
        <f>IFERROR(__xludf.DUMMYFUNCTION("""COMPUTED_VALUE"""),"Greenzoid")</f>
        <v>Greenzoid</v>
      </c>
    </row>
    <row r="151">
      <c r="A151" s="41" t="str">
        <f>IFERROR(__xludf.DUMMYFUNCTION("""COMPUTED_VALUE"""),"RSC000150")</f>
        <v>RSC000150</v>
      </c>
      <c r="B151" s="41" t="str">
        <f>IFERROR(__xludf.DUMMYFUNCTION("""COMPUTED_VALUE"""),"Mogger")</f>
        <v>Mogger</v>
      </c>
    </row>
    <row r="152">
      <c r="A152" s="41" t="str">
        <f>IFERROR(__xludf.DUMMYFUNCTION("""COMPUTED_VALUE"""),"RSC000151")</f>
        <v>RSC000151</v>
      </c>
      <c r="B152" s="41" t="str">
        <f>IFERROR(__xludf.DUMMYFUNCTION("""COMPUTED_VALUE"""),"BDBR")</f>
        <v>BDBR</v>
      </c>
    </row>
    <row r="153">
      <c r="A153" s="41" t="str">
        <f>IFERROR(__xludf.DUMMYFUNCTION("""COMPUTED_VALUE"""),"RSC000152")</f>
        <v>RSC000152</v>
      </c>
      <c r="B153" s="41" t="str">
        <f>IFERROR(__xludf.DUMMYFUNCTION("""COMPUTED_VALUE"""),"ThreeCrown")</f>
        <v>ThreeCrown</v>
      </c>
    </row>
    <row r="154">
      <c r="A154" s="41" t="str">
        <f>IFERROR(__xludf.DUMMYFUNCTION("""COMPUTED_VALUE"""),"RSC000153")</f>
        <v>RSC000153</v>
      </c>
      <c r="B154" s="41" t="str">
        <f>IFERROR(__xludf.DUMMYFUNCTION("""COMPUTED_VALUE"""),"ViralPanda")</f>
        <v>ViralPanda</v>
      </c>
    </row>
    <row r="155">
      <c r="A155" s="41" t="str">
        <f>IFERROR(__xludf.DUMMYFUNCTION("""COMPUTED_VALUE"""),"RSC000154")</f>
        <v>RSC000154</v>
      </c>
      <c r="B155" s="41" t="str">
        <f>IFERROR(__xludf.DUMMYFUNCTION("""COMPUTED_VALUE"""),"Pulfer")</f>
        <v>Pulfer</v>
      </c>
    </row>
    <row r="156">
      <c r="A156" s="41" t="str">
        <f>IFERROR(__xludf.DUMMYFUNCTION("""COMPUTED_VALUE"""),"RSC000155")</f>
        <v>RSC000155</v>
      </c>
      <c r="B156" s="41" t="str">
        <f>IFERROR(__xludf.DUMMYFUNCTION("""COMPUTED_VALUE"""),"syKro")</f>
        <v>syKro</v>
      </c>
    </row>
    <row r="157">
      <c r="A157" s="41" t="str">
        <f>IFERROR(__xludf.DUMMYFUNCTION("""COMPUTED_VALUE"""),"RSC000156")</f>
        <v>RSC000156</v>
      </c>
      <c r="B157" s="41" t="str">
        <f>IFERROR(__xludf.DUMMYFUNCTION("""COMPUTED_VALUE"""),"Drupenson")</f>
        <v>Drupenson</v>
      </c>
    </row>
    <row r="158">
      <c r="A158" s="41" t="str">
        <f>IFERROR(__xludf.DUMMYFUNCTION("""COMPUTED_VALUE"""),"RSC000157")</f>
        <v>RSC000157</v>
      </c>
      <c r="B158" s="41" t="str">
        <f>IFERROR(__xludf.DUMMYFUNCTION("""COMPUTED_VALUE"""),"Billis_xm")</f>
        <v>Billis_xm</v>
      </c>
    </row>
    <row r="159">
      <c r="A159" s="41" t="str">
        <f>IFERROR(__xludf.DUMMYFUNCTION("""COMPUTED_VALUE"""),"RSC000158")</f>
        <v>RSC000158</v>
      </c>
      <c r="B159" s="41" t="str">
        <f>IFERROR(__xludf.DUMMYFUNCTION("""COMPUTED_VALUE"""),"Gillz")</f>
        <v>Gillz</v>
      </c>
    </row>
    <row r="160">
      <c r="A160" s="41" t="str">
        <f>IFERROR(__xludf.DUMMYFUNCTION("""COMPUTED_VALUE"""),"RSC000159")</f>
        <v>RSC000159</v>
      </c>
      <c r="B160" s="41" t="str">
        <f>IFERROR(__xludf.DUMMYFUNCTION("""COMPUTED_VALUE"""),"Prussia")</f>
        <v>Prussia</v>
      </c>
    </row>
    <row r="161">
      <c r="A161" s="41" t="str">
        <f>IFERROR(__xludf.DUMMYFUNCTION("""COMPUTED_VALUE"""),"RSC000160")</f>
        <v>RSC000160</v>
      </c>
      <c r="B161" s="41" t="str">
        <f>IFERROR(__xludf.DUMMYFUNCTION("""COMPUTED_VALUE"""),"euronate")</f>
        <v>euronate</v>
      </c>
    </row>
    <row r="162">
      <c r="A162" s="41" t="str">
        <f>IFERROR(__xludf.DUMMYFUNCTION("""COMPUTED_VALUE"""),"RSC000161")</f>
        <v>RSC000161</v>
      </c>
      <c r="B162" s="41" t="str">
        <f>IFERROR(__xludf.DUMMYFUNCTION("""COMPUTED_VALUE"""),"WTFisVHS")</f>
        <v>WTFisVHS</v>
      </c>
    </row>
    <row r="163">
      <c r="A163" s="41" t="str">
        <f>IFERROR(__xludf.DUMMYFUNCTION("""COMPUTED_VALUE"""),"RSC000162")</f>
        <v>RSC000162</v>
      </c>
      <c r="B163" s="41" t="str">
        <f>IFERROR(__xludf.DUMMYFUNCTION("""COMPUTED_VALUE"""),"Draconium")</f>
        <v>Draconium</v>
      </c>
    </row>
    <row r="164">
      <c r="A164" s="41" t="str">
        <f>IFERROR(__xludf.DUMMYFUNCTION("""COMPUTED_VALUE"""),"RSC000163")</f>
        <v>RSC000163</v>
      </c>
      <c r="B164" s="41" t="str">
        <f>IFERROR(__xludf.DUMMYFUNCTION("""COMPUTED_VALUE"""),"Jordan")</f>
        <v>Jordan</v>
      </c>
    </row>
    <row r="165">
      <c r="A165" s="41" t="str">
        <f>IFERROR(__xludf.DUMMYFUNCTION("""COMPUTED_VALUE"""),"RSC000164")</f>
        <v>RSC000164</v>
      </c>
      <c r="B165" s="41" t="str">
        <f>IFERROR(__xludf.DUMMYFUNCTION("""COMPUTED_VALUE"""),"ewok_360")</f>
        <v>ewok_360</v>
      </c>
    </row>
    <row r="166">
      <c r="A166" s="41" t="str">
        <f>IFERROR(__xludf.DUMMYFUNCTION("""COMPUTED_VALUE"""),"RSC000165")</f>
        <v>RSC000165</v>
      </c>
      <c r="B166" s="41" t="str">
        <f>IFERROR(__xludf.DUMMYFUNCTION("""COMPUTED_VALUE"""),"Vrou")</f>
        <v>Vrou</v>
      </c>
    </row>
    <row r="167">
      <c r="A167" s="41" t="str">
        <f>IFERROR(__xludf.DUMMYFUNCTION("""COMPUTED_VALUE"""),"RSC000166")</f>
        <v>RSC000166</v>
      </c>
      <c r="B167" s="41" t="str">
        <f>IFERROR(__xludf.DUMMYFUNCTION("""COMPUTED_VALUE"""),"Mastr119")</f>
        <v>Mastr119</v>
      </c>
    </row>
    <row r="168">
      <c r="A168" s="41" t="str">
        <f>IFERROR(__xludf.DUMMYFUNCTION("""COMPUTED_VALUE"""),"RSC000167")</f>
        <v>RSC000167</v>
      </c>
      <c r="B168" s="41" t="str">
        <f>IFERROR(__xludf.DUMMYFUNCTION("""COMPUTED_VALUE"""),"Llama.")</f>
        <v>Llama.</v>
      </c>
    </row>
    <row r="169">
      <c r="A169" s="41" t="str">
        <f>IFERROR(__xludf.DUMMYFUNCTION("""COMPUTED_VALUE"""),"RSC000168")</f>
        <v>RSC000168</v>
      </c>
      <c r="B169" s="41" t="str">
        <f>IFERROR(__xludf.DUMMYFUNCTION("""COMPUTED_VALUE"""),"Makima")</f>
        <v>Makima</v>
      </c>
    </row>
    <row r="170">
      <c r="A170" s="41" t="str">
        <f>IFERROR(__xludf.DUMMYFUNCTION("""COMPUTED_VALUE"""),"RSC000169")</f>
        <v>RSC000169</v>
      </c>
      <c r="B170" s="41" t="str">
        <f>IFERROR(__xludf.DUMMYFUNCTION("""COMPUTED_VALUE"""),"MoMed09")</f>
        <v>MoMed09</v>
      </c>
    </row>
    <row r="171">
      <c r="A171" s="41" t="str">
        <f>IFERROR(__xludf.DUMMYFUNCTION("""COMPUTED_VALUE"""),"RSC000170")</f>
        <v>RSC000170</v>
      </c>
      <c r="B171" s="41" t="str">
        <f>IFERROR(__xludf.DUMMYFUNCTION("""COMPUTED_VALUE"""),"Nathanry")</f>
        <v>Nathanry</v>
      </c>
    </row>
    <row r="172">
      <c r="A172" s="41" t="str">
        <f>IFERROR(__xludf.DUMMYFUNCTION("""COMPUTED_VALUE"""),"RSC000171")</f>
        <v>RSC000171</v>
      </c>
      <c r="B172" s="41" t="str">
        <f>IFERROR(__xludf.DUMMYFUNCTION("""COMPUTED_VALUE"""),"BlindEyez")</f>
        <v>BlindEyez</v>
      </c>
    </row>
    <row r="173">
      <c r="A173" s="41" t="str">
        <f>IFERROR(__xludf.DUMMYFUNCTION("""COMPUTED_VALUE"""),"RSC000172")</f>
        <v>RSC000172</v>
      </c>
      <c r="B173" s="41" t="str">
        <f>IFERROR(__xludf.DUMMYFUNCTION("""COMPUTED_VALUE"""),"Bill Nye the Cat Guy")</f>
        <v>Bill Nye the Cat Guy</v>
      </c>
    </row>
    <row r="174">
      <c r="A174" s="41" t="str">
        <f>IFERROR(__xludf.DUMMYFUNCTION("""COMPUTED_VALUE"""),"RSC000173")</f>
        <v>RSC000173</v>
      </c>
      <c r="B174" s="41" t="str">
        <f>IFERROR(__xludf.DUMMYFUNCTION("""COMPUTED_VALUE"""),"Wray")</f>
        <v>Wray</v>
      </c>
    </row>
    <row r="175">
      <c r="A175" s="41" t="str">
        <f>IFERROR(__xludf.DUMMYFUNCTION("""COMPUTED_VALUE"""),"RSC000174")</f>
        <v>RSC000174</v>
      </c>
      <c r="B175" s="41" t="str">
        <f>IFERROR(__xludf.DUMMYFUNCTION("""COMPUTED_VALUE"""),"Zamma")</f>
        <v>Zamma</v>
      </c>
    </row>
    <row r="176">
      <c r="A176" s="41" t="str">
        <f>IFERROR(__xludf.DUMMYFUNCTION("""COMPUTED_VALUE"""),"RSC000175")</f>
        <v>RSC000175</v>
      </c>
      <c r="B176" s="41" t="str">
        <f>IFERROR(__xludf.DUMMYFUNCTION("""COMPUTED_VALUE"""),"Nytro")</f>
        <v>Nytro</v>
      </c>
    </row>
    <row r="177">
      <c r="A177" s="41" t="str">
        <f>IFERROR(__xludf.DUMMYFUNCTION("""COMPUTED_VALUE"""),"RSC000176")</f>
        <v>RSC000176</v>
      </c>
      <c r="B177" s="41" t="str">
        <f>IFERROR(__xludf.DUMMYFUNCTION("""COMPUTED_VALUE"""),"Gengar")</f>
        <v>Gengar</v>
      </c>
    </row>
    <row r="178">
      <c r="A178" s="41" t="str">
        <f>IFERROR(__xludf.DUMMYFUNCTION("""COMPUTED_VALUE"""),"RSC000177")</f>
        <v>RSC000177</v>
      </c>
      <c r="B178" s="41" t="str">
        <f>IFERROR(__xludf.DUMMYFUNCTION("""COMPUTED_VALUE"""),"Xenas")</f>
        <v>Xenas</v>
      </c>
    </row>
    <row r="179">
      <c r="A179" s="41" t="str">
        <f>IFERROR(__xludf.DUMMYFUNCTION("""COMPUTED_VALUE"""),"RSC000178")</f>
        <v>RSC000178</v>
      </c>
      <c r="B179" s="41" t="str">
        <f>IFERROR(__xludf.DUMMYFUNCTION("""COMPUTED_VALUE"""),"Scias")</f>
        <v>Scias</v>
      </c>
    </row>
    <row r="180">
      <c r="A180" s="41" t="str">
        <f>IFERROR(__xludf.DUMMYFUNCTION("""COMPUTED_VALUE"""),"RSC000179")</f>
        <v>RSC000179</v>
      </c>
      <c r="B180" s="41" t="str">
        <f>IFERROR(__xludf.DUMMYFUNCTION("""COMPUTED_VALUE"""),"sykoshaggy4200")</f>
        <v>sykoshaggy4200</v>
      </c>
    </row>
    <row r="181">
      <c r="A181" s="41" t="str">
        <f>IFERROR(__xludf.DUMMYFUNCTION("""COMPUTED_VALUE"""),"RSC000180")</f>
        <v>RSC000180</v>
      </c>
      <c r="B181" s="41" t="str">
        <f>IFERROR(__xludf.DUMMYFUNCTION("""COMPUTED_VALUE"""),"Devgru1168")</f>
        <v>Devgru1168</v>
      </c>
    </row>
    <row r="182">
      <c r="A182" s="41" t="str">
        <f>IFERROR(__xludf.DUMMYFUNCTION("""COMPUTED_VALUE"""),"RSC000181")</f>
        <v>RSC000181</v>
      </c>
      <c r="B182" s="41" t="str">
        <f>IFERROR(__xludf.DUMMYFUNCTION("""COMPUTED_VALUE"""),"Eclipse")</f>
        <v>Eclipse</v>
      </c>
    </row>
    <row r="183">
      <c r="A183" s="41" t="str">
        <f>IFERROR(__xludf.DUMMYFUNCTION("""COMPUTED_VALUE"""),"RSC000182")</f>
        <v>RSC000182</v>
      </c>
      <c r="B183" s="41" t="str">
        <f>IFERROR(__xludf.DUMMYFUNCTION("""COMPUTED_VALUE"""),"Goose")</f>
        <v>Goose</v>
      </c>
    </row>
    <row r="184">
      <c r="A184" s="41" t="str">
        <f>IFERROR(__xludf.DUMMYFUNCTION("""COMPUTED_VALUE"""),"RSC000183")</f>
        <v>RSC000183</v>
      </c>
      <c r="B184" s="41" t="str">
        <f>IFERROR(__xludf.DUMMYFUNCTION("""COMPUTED_VALUE"""),"Rex")</f>
        <v>Rex</v>
      </c>
    </row>
    <row r="185">
      <c r="A185" s="41" t="str">
        <f>IFERROR(__xludf.DUMMYFUNCTION("""COMPUTED_VALUE"""),"RSC000184")</f>
        <v>RSC000184</v>
      </c>
      <c r="B185" s="41" t="str">
        <f>IFERROR(__xludf.DUMMYFUNCTION("""COMPUTED_VALUE"""),"Admiral Peanut")</f>
        <v>Admiral Peanut</v>
      </c>
    </row>
    <row r="186">
      <c r="A186" s="41" t="str">
        <f>IFERROR(__xludf.DUMMYFUNCTION("""COMPUTED_VALUE"""),"RSC000185")</f>
        <v>RSC000185</v>
      </c>
      <c r="B186" s="41" t="str">
        <f>IFERROR(__xludf.DUMMYFUNCTION("""COMPUTED_VALUE"""),"robwobwob")</f>
        <v>robwobwob</v>
      </c>
    </row>
    <row r="187">
      <c r="A187" s="41" t="str">
        <f>IFERROR(__xludf.DUMMYFUNCTION("""COMPUTED_VALUE"""),"RSC000186")</f>
        <v>RSC000186</v>
      </c>
      <c r="B187" s="41" t="str">
        <f>IFERROR(__xludf.DUMMYFUNCTION("""COMPUTED_VALUE"""),"Coates")</f>
        <v>Coates</v>
      </c>
    </row>
    <row r="188">
      <c r="A188" s="41" t="str">
        <f>IFERROR(__xludf.DUMMYFUNCTION("""COMPUTED_VALUE"""),"RSC000187")</f>
        <v>RSC000187</v>
      </c>
      <c r="B188" s="41" t="str">
        <f>IFERROR(__xludf.DUMMYFUNCTION("""COMPUTED_VALUE"""),"smokeybones")</f>
        <v>smokeybones</v>
      </c>
    </row>
    <row r="189">
      <c r="A189" s="41" t="str">
        <f>IFERROR(__xludf.DUMMYFUNCTION("""COMPUTED_VALUE"""),"RSC000188")</f>
        <v>RSC000188</v>
      </c>
      <c r="B189" s="41" t="str">
        <f>IFERROR(__xludf.DUMMYFUNCTION("""COMPUTED_VALUE"""),"xNolan")</f>
        <v>xNolan</v>
      </c>
    </row>
    <row r="190">
      <c r="A190" s="41" t="str">
        <f>IFERROR(__xludf.DUMMYFUNCTION("""COMPUTED_VALUE"""),"RSC000189")</f>
        <v>RSC000189</v>
      </c>
      <c r="B190" s="41" t="str">
        <f>IFERROR(__xludf.DUMMYFUNCTION("""COMPUTED_VALUE"""),"Jordton")</f>
        <v>Jordton</v>
      </c>
    </row>
    <row r="191">
      <c r="A191" s="41" t="str">
        <f>IFERROR(__xludf.DUMMYFUNCTION("""COMPUTED_VALUE"""),"RSC000190")</f>
        <v>RSC000190</v>
      </c>
      <c r="B191" s="41" t="str">
        <f>IFERROR(__xludf.DUMMYFUNCTION("""COMPUTED_VALUE"""),"leaf.")</f>
        <v>leaf.</v>
      </c>
    </row>
    <row r="192">
      <c r="A192" s="41" t="str">
        <f>IFERROR(__xludf.DUMMYFUNCTION("""COMPUTED_VALUE"""),"RSC000191")</f>
        <v>RSC000191</v>
      </c>
      <c r="B192" s="41" t="str">
        <f>IFERROR(__xludf.DUMMYFUNCTION("""COMPUTED_VALUE"""),"Namsu")</f>
        <v>Namsu</v>
      </c>
    </row>
    <row r="193">
      <c r="A193" s="41" t="str">
        <f>IFERROR(__xludf.DUMMYFUNCTION("""COMPUTED_VALUE"""),"RSC000192")</f>
        <v>RSC000192</v>
      </c>
      <c r="B193" s="41" t="str">
        <f>IFERROR(__xludf.DUMMYFUNCTION("""COMPUTED_VALUE"""),"CodemanX")</f>
        <v>CodemanX</v>
      </c>
    </row>
    <row r="194">
      <c r="A194" s="41" t="str">
        <f>IFERROR(__xludf.DUMMYFUNCTION("""COMPUTED_VALUE"""),"RSC000193")</f>
        <v>RSC000193</v>
      </c>
      <c r="B194" s="41" t="str">
        <f>IFERROR(__xludf.DUMMYFUNCTION("""COMPUTED_VALUE"""),"Shamu")</f>
        <v>Shamu</v>
      </c>
    </row>
    <row r="195">
      <c r="A195" s="41" t="str">
        <f>IFERROR(__xludf.DUMMYFUNCTION("""COMPUTED_VALUE"""),"RSC000194")</f>
        <v>RSC000194</v>
      </c>
      <c r="B195" s="41" t="str">
        <f>IFERROR(__xludf.DUMMYFUNCTION("""COMPUTED_VALUE"""),"Crzykil")</f>
        <v>Crzykil</v>
      </c>
    </row>
    <row r="196">
      <c r="A196" s="41" t="str">
        <f>IFERROR(__xludf.DUMMYFUNCTION("""COMPUTED_VALUE"""),"RSC000195")</f>
        <v>RSC000195</v>
      </c>
      <c r="B196" s="41" t="str">
        <f>IFERROR(__xludf.DUMMYFUNCTION("""COMPUTED_VALUE"""),"Brackennn")</f>
        <v>Brackennn</v>
      </c>
    </row>
    <row r="197">
      <c r="A197" s="41" t="str">
        <f>IFERROR(__xludf.DUMMYFUNCTION("""COMPUTED_VALUE"""),"RSC000196")</f>
        <v>RSC000196</v>
      </c>
      <c r="B197" s="41" t="str">
        <f>IFERROR(__xludf.DUMMYFUNCTION("""COMPUTED_VALUE"""),"hayhay")</f>
        <v>hayhay</v>
      </c>
    </row>
    <row r="198">
      <c r="A198" s="41" t="str">
        <f>IFERROR(__xludf.DUMMYFUNCTION("""COMPUTED_VALUE"""),"RSC000197")</f>
        <v>RSC000197</v>
      </c>
      <c r="B198" s="41" t="str">
        <f>IFERROR(__xludf.DUMMYFUNCTION("""COMPUTED_VALUE"""),"kareemostyle")</f>
        <v>kareemostyle</v>
      </c>
    </row>
    <row r="199">
      <c r="A199" s="41" t="str">
        <f>IFERROR(__xludf.DUMMYFUNCTION("""COMPUTED_VALUE"""),"RSC000198")</f>
        <v>RSC000198</v>
      </c>
      <c r="B199" s="41" t="str">
        <f>IFERROR(__xludf.DUMMYFUNCTION("""COMPUTED_VALUE"""),"RichStroker")</f>
        <v>RichStroker</v>
      </c>
    </row>
    <row r="200">
      <c r="A200" s="41" t="str">
        <f>IFERROR(__xludf.DUMMYFUNCTION("""COMPUTED_VALUE"""),"RSC000199")</f>
        <v>RSC000199</v>
      </c>
      <c r="B200" s="41" t="str">
        <f>IFERROR(__xludf.DUMMYFUNCTION("""COMPUTED_VALUE"""),"NiceGuyDBone98")</f>
        <v>NiceGuyDBone98</v>
      </c>
    </row>
    <row r="201">
      <c r="A201" s="41" t="str">
        <f>IFERROR(__xludf.DUMMYFUNCTION("""COMPUTED_VALUE"""),"RSC000200")</f>
        <v>RSC000200</v>
      </c>
      <c r="B201" s="41" t="str">
        <f>IFERROR(__xludf.DUMMYFUNCTION("""COMPUTED_VALUE"""),"Jonezy")</f>
        <v>Jonezy</v>
      </c>
    </row>
    <row r="202">
      <c r="A202" s="41" t="str">
        <f>IFERROR(__xludf.DUMMYFUNCTION("""COMPUTED_VALUE"""),"RSC000201")</f>
        <v>RSC000201</v>
      </c>
      <c r="B202" s="41" t="str">
        <f>IFERROR(__xludf.DUMMYFUNCTION("""COMPUTED_VALUE"""),"AlphaChee")</f>
        <v>AlphaChee</v>
      </c>
    </row>
    <row r="203">
      <c r="A203" s="41" t="str">
        <f>IFERROR(__xludf.DUMMYFUNCTION("""COMPUTED_VALUE"""),"RSC000202")</f>
        <v>RSC000202</v>
      </c>
      <c r="B203" s="41" t="str">
        <f>IFERROR(__xludf.DUMMYFUNCTION("""COMPUTED_VALUE"""),"Aki (Change)")</f>
        <v>Aki (Change)</v>
      </c>
    </row>
    <row r="204">
      <c r="A204" s="41" t="str">
        <f>IFERROR(__xludf.DUMMYFUNCTION("""COMPUTED_VALUE"""),"RSC000203")</f>
        <v>RSC000203</v>
      </c>
      <c r="B204" s="41" t="str">
        <f>IFERROR(__xludf.DUMMYFUNCTION("""COMPUTED_VALUE"""),"FrostyBrew")</f>
        <v>FrostyBrew</v>
      </c>
    </row>
    <row r="205">
      <c r="A205" s="41" t="str">
        <f>IFERROR(__xludf.DUMMYFUNCTION("""COMPUTED_VALUE"""),"RSC000204")</f>
        <v>RSC000204</v>
      </c>
      <c r="B205" s="41" t="str">
        <f>IFERROR(__xludf.DUMMYFUNCTION("""COMPUTED_VALUE"""),"Seifer")</f>
        <v>Seifer</v>
      </c>
    </row>
    <row r="206">
      <c r="A206" s="41" t="str">
        <f>IFERROR(__xludf.DUMMYFUNCTION("""COMPUTED_VALUE"""),"RSC000205")</f>
        <v>RSC000205</v>
      </c>
      <c r="B206" s="41" t="str">
        <f>IFERROR(__xludf.DUMMYFUNCTION("""COMPUTED_VALUE"""),"BEEG YOSHI")</f>
        <v>BEEG YOSHI</v>
      </c>
    </row>
    <row r="207">
      <c r="A207" s="41" t="str">
        <f>IFERROR(__xludf.DUMMYFUNCTION("""COMPUTED_VALUE"""),"RSC000206")</f>
        <v>RSC000206</v>
      </c>
      <c r="B207" s="41" t="str">
        <f>IFERROR(__xludf.DUMMYFUNCTION("""COMPUTED_VALUE"""),"jastnorn")</f>
        <v>jastnorn</v>
      </c>
    </row>
    <row r="208">
      <c r="A208" s="41" t="str">
        <f>IFERROR(__xludf.DUMMYFUNCTION("""COMPUTED_VALUE"""),"RSC000207")</f>
        <v>RSC000207</v>
      </c>
      <c r="B208" s="41" t="str">
        <f>IFERROR(__xludf.DUMMYFUNCTION("""COMPUTED_VALUE"""),"SteveHarvey")</f>
        <v>SteveHarvey</v>
      </c>
    </row>
    <row r="209">
      <c r="A209" s="41" t="str">
        <f>IFERROR(__xludf.DUMMYFUNCTION("""COMPUTED_VALUE"""),"RSC000208")</f>
        <v>RSC000208</v>
      </c>
      <c r="B209" s="41" t="str">
        <f>IFERROR(__xludf.DUMMYFUNCTION("""COMPUTED_VALUE"""),"RKR")</f>
        <v>RKR</v>
      </c>
    </row>
    <row r="210">
      <c r="A210" s="41" t="str">
        <f>IFERROR(__xludf.DUMMYFUNCTION("""COMPUTED_VALUE"""),"RSC000209")</f>
        <v>RSC000209</v>
      </c>
      <c r="B210" s="41" t="str">
        <f>IFERROR(__xludf.DUMMYFUNCTION("""COMPUTED_VALUE"""),"Charm")</f>
        <v>Charm</v>
      </c>
    </row>
    <row r="211">
      <c r="A211" s="41" t="str">
        <f>IFERROR(__xludf.DUMMYFUNCTION("""COMPUTED_VALUE"""),"RSC000210")</f>
        <v>RSC000210</v>
      </c>
      <c r="B211" s="41" t="str">
        <f>IFERROR(__xludf.DUMMYFUNCTION("""COMPUTED_VALUE"""),"Neeks")</f>
        <v>Neeks</v>
      </c>
    </row>
    <row r="212">
      <c r="A212" s="41" t="str">
        <f>IFERROR(__xludf.DUMMYFUNCTION("""COMPUTED_VALUE"""),"RSC000211")</f>
        <v>RSC000211</v>
      </c>
      <c r="B212" s="41" t="str">
        <f>IFERROR(__xludf.DUMMYFUNCTION("""COMPUTED_VALUE"""),"Marq")</f>
        <v>Marq</v>
      </c>
    </row>
    <row r="213">
      <c r="A213" s="41" t="str">
        <f>IFERROR(__xludf.DUMMYFUNCTION("""COMPUTED_VALUE"""),"RSC000212")</f>
        <v>RSC000212</v>
      </c>
      <c r="B213" s="41" t="str">
        <f>IFERROR(__xludf.DUMMYFUNCTION("""COMPUTED_VALUE"""),"McMonkey")</f>
        <v>McMonkey</v>
      </c>
    </row>
    <row r="214">
      <c r="A214" s="41" t="str">
        <f>IFERROR(__xludf.DUMMYFUNCTION("""COMPUTED_VALUE"""),"RSC000213")</f>
        <v>RSC000213</v>
      </c>
      <c r="B214" s="41" t="str">
        <f>IFERROR(__xludf.DUMMYFUNCTION("""COMPUTED_VALUE"""),"Heartless")</f>
        <v>Heartless</v>
      </c>
    </row>
    <row r="215">
      <c r="A215" s="41" t="str">
        <f>IFERROR(__xludf.DUMMYFUNCTION("""COMPUTED_VALUE"""),"RSC000214")</f>
        <v>RSC000214</v>
      </c>
      <c r="B215" s="41" t="str">
        <f>IFERROR(__xludf.DUMMYFUNCTION("""COMPUTED_VALUE"""),"PAPAHOFF420")</f>
        <v>PAPAHOFF420</v>
      </c>
    </row>
    <row r="216">
      <c r="A216" s="41" t="str">
        <f>IFERROR(__xludf.DUMMYFUNCTION("""COMPUTED_VALUE"""),"RSC000215")</f>
        <v>RSC000215</v>
      </c>
      <c r="B216" s="41" t="str">
        <f>IFERROR(__xludf.DUMMYFUNCTION("""COMPUTED_VALUE"""),"botch")</f>
        <v>botch</v>
      </c>
    </row>
    <row r="217">
      <c r="A217" s="41" t="str">
        <f>IFERROR(__xludf.DUMMYFUNCTION("""COMPUTED_VALUE"""),"RSC000216")</f>
        <v>RSC000216</v>
      </c>
      <c r="B217" s="41" t="str">
        <f>IFERROR(__xludf.DUMMYFUNCTION("""COMPUTED_VALUE"""),"Brindle")</f>
        <v>Brindle</v>
      </c>
    </row>
    <row r="218">
      <c r="A218" s="41" t="str">
        <f>IFERROR(__xludf.DUMMYFUNCTION("""COMPUTED_VALUE"""),"RSC000217")</f>
        <v>RSC000217</v>
      </c>
      <c r="B218" s="41" t="str">
        <f>IFERROR(__xludf.DUMMYFUNCTION("""COMPUTED_VALUE"""),"ItsDapperDyl")</f>
        <v>ItsDapperDyl</v>
      </c>
    </row>
    <row r="219">
      <c r="A219" s="41" t="str">
        <f>IFERROR(__xludf.DUMMYFUNCTION("""COMPUTED_VALUE"""),"RSC000218")</f>
        <v>RSC000218</v>
      </c>
      <c r="B219" s="41" t="str">
        <f>IFERROR(__xludf.DUMMYFUNCTION("""COMPUTED_VALUE"""),"Spudsy")</f>
        <v>Spudsy</v>
      </c>
    </row>
    <row r="220">
      <c r="A220" s="41" t="str">
        <f>IFERROR(__xludf.DUMMYFUNCTION("""COMPUTED_VALUE"""),"RSC000219")</f>
        <v>RSC000219</v>
      </c>
      <c r="B220" s="41" t="str">
        <f>IFERROR(__xludf.DUMMYFUNCTION("""COMPUTED_VALUE"""),"powerhour24")</f>
        <v>powerhour24</v>
      </c>
    </row>
    <row r="221">
      <c r="A221" s="41" t="str">
        <f>IFERROR(__xludf.DUMMYFUNCTION("""COMPUTED_VALUE"""),"RSC000220")</f>
        <v>RSC000220</v>
      </c>
      <c r="B221" s="41" t="str">
        <f>IFERROR(__xludf.DUMMYFUNCTION("""COMPUTED_VALUE"""),"Sparcnova")</f>
        <v>Sparcnova</v>
      </c>
    </row>
    <row r="222">
      <c r="A222" s="41" t="str">
        <f>IFERROR(__xludf.DUMMYFUNCTION("""COMPUTED_VALUE"""),"RSC000221")</f>
        <v>RSC000221</v>
      </c>
      <c r="B222" s="41" t="str">
        <f>IFERROR(__xludf.DUMMYFUNCTION("""COMPUTED_VALUE"""),"Treefrog")</f>
        <v>Treefrog</v>
      </c>
    </row>
    <row r="223">
      <c r="A223" s="41" t="str">
        <f>IFERROR(__xludf.DUMMYFUNCTION("""COMPUTED_VALUE"""),"RSC000222")</f>
        <v>RSC000222</v>
      </c>
      <c r="B223" s="41" t="str">
        <f>IFERROR(__xludf.DUMMYFUNCTION("""COMPUTED_VALUE"""),"Devitalize-")</f>
        <v>Devitalize-</v>
      </c>
    </row>
    <row r="224">
      <c r="A224" s="41" t="str">
        <f>IFERROR(__xludf.DUMMYFUNCTION("""COMPUTED_VALUE"""),"RSC000223")</f>
        <v>RSC000223</v>
      </c>
      <c r="B224" s="41" t="str">
        <f>IFERROR(__xludf.DUMMYFUNCTION("""COMPUTED_VALUE"""),"RJsaurus")</f>
        <v>RJsaurus</v>
      </c>
    </row>
    <row r="225">
      <c r="A225" s="41" t="str">
        <f>IFERROR(__xludf.DUMMYFUNCTION("""COMPUTED_VALUE"""),"RSC000224")</f>
        <v>RSC000224</v>
      </c>
      <c r="B225" s="41" t="str">
        <f>IFERROR(__xludf.DUMMYFUNCTION("""COMPUTED_VALUE"""),"Lank")</f>
        <v>Lank</v>
      </c>
    </row>
    <row r="226">
      <c r="A226" s="41" t="str">
        <f>IFERROR(__xludf.DUMMYFUNCTION("""COMPUTED_VALUE"""),"RSC000225")</f>
        <v>RSC000225</v>
      </c>
      <c r="B226" s="41" t="str">
        <f>IFERROR(__xludf.DUMMYFUNCTION("""COMPUTED_VALUE"""),"Lanto")</f>
        <v>Lanto</v>
      </c>
    </row>
    <row r="227">
      <c r="A227" s="41" t="str">
        <f>IFERROR(__xludf.DUMMYFUNCTION("""COMPUTED_VALUE"""),"RSC000226")</f>
        <v>RSC000226</v>
      </c>
      <c r="B227" s="41" t="str">
        <f>IFERROR(__xludf.DUMMYFUNCTION("""COMPUTED_VALUE"""),"Uorodin")</f>
        <v>Uorodin</v>
      </c>
    </row>
    <row r="228">
      <c r="A228" s="41" t="str">
        <f>IFERROR(__xludf.DUMMYFUNCTION("""COMPUTED_VALUE"""),"RSC000227")</f>
        <v>RSC000227</v>
      </c>
      <c r="B228" s="41" t="str">
        <f>IFERROR(__xludf.DUMMYFUNCTION("""COMPUTED_VALUE"""),"Xiluym")</f>
        <v>Xiluym</v>
      </c>
    </row>
    <row r="229">
      <c r="A229" s="41" t="str">
        <f>IFERROR(__xludf.DUMMYFUNCTION("""COMPUTED_VALUE"""),"RSC000228")</f>
        <v>RSC000228</v>
      </c>
      <c r="B229" s="41" t="str">
        <f>IFERROR(__xludf.DUMMYFUNCTION("""COMPUTED_VALUE"""),"thatOverLad")</f>
        <v>thatOverLad</v>
      </c>
    </row>
    <row r="230">
      <c r="A230" s="41" t="str">
        <f>IFERROR(__xludf.DUMMYFUNCTION("""COMPUTED_VALUE"""),"RSC000229")</f>
        <v>RSC000229</v>
      </c>
      <c r="B230" s="41" t="str">
        <f>IFERROR(__xludf.DUMMYFUNCTION("""COMPUTED_VALUE"""),"Far")</f>
        <v>Far</v>
      </c>
    </row>
    <row r="231">
      <c r="A231" s="41" t="str">
        <f>IFERROR(__xludf.DUMMYFUNCTION("""COMPUTED_VALUE"""),"RSC000230")</f>
        <v>RSC000230</v>
      </c>
      <c r="B231" s="41" t="str">
        <f>IFERROR(__xludf.DUMMYFUNCTION("""COMPUTED_VALUE"""),"Chronic Lies")</f>
        <v>Chronic Lies</v>
      </c>
    </row>
    <row r="232">
      <c r="A232" s="41" t="str">
        <f>IFERROR(__xludf.DUMMYFUNCTION("""COMPUTED_VALUE"""),"RSC000231")</f>
        <v>RSC000231</v>
      </c>
      <c r="B232" s="41" t="str">
        <f>IFERROR(__xludf.DUMMYFUNCTION("""COMPUTED_VALUE"""),"Sponge")</f>
        <v>Sponge</v>
      </c>
    </row>
    <row r="233">
      <c r="A233" s="41" t="str">
        <f>IFERROR(__xludf.DUMMYFUNCTION("""COMPUTED_VALUE"""),"RSC000232")</f>
        <v>RSC000232</v>
      </c>
      <c r="B233" s="41" t="str">
        <f>IFERROR(__xludf.DUMMYFUNCTION("""COMPUTED_VALUE"""),"Unexpected")</f>
        <v>Unexpected</v>
      </c>
    </row>
    <row r="234">
      <c r="A234" s="41" t="str">
        <f>IFERROR(__xludf.DUMMYFUNCTION("""COMPUTED_VALUE"""),"RSC000233")</f>
        <v>RSC000233</v>
      </c>
      <c r="B234" s="41" t="str">
        <f>IFERROR(__xludf.DUMMYFUNCTION("""COMPUTED_VALUE"""),"LilPrsnWithAnger")</f>
        <v>LilPrsnWithAnger</v>
      </c>
    </row>
    <row r="235">
      <c r="A235" s="41" t="str">
        <f>IFERROR(__xludf.DUMMYFUNCTION("""COMPUTED_VALUE"""),"RSC000234")</f>
        <v>RSC000234</v>
      </c>
      <c r="B235" s="41" t="str">
        <f>IFERROR(__xludf.DUMMYFUNCTION("""COMPUTED_VALUE"""),"scud_buster")</f>
        <v>scud_buster</v>
      </c>
    </row>
    <row r="236">
      <c r="A236" s="41" t="str">
        <f>IFERROR(__xludf.DUMMYFUNCTION("""COMPUTED_VALUE"""),"RSC000235")</f>
        <v>RSC000235</v>
      </c>
      <c r="B236" s="41" t="str">
        <f>IFERROR(__xludf.DUMMYFUNCTION("""COMPUTED_VALUE"""),"zack")</f>
        <v>zack</v>
      </c>
    </row>
    <row r="237">
      <c r="A237" s="41" t="str">
        <f>IFERROR(__xludf.DUMMYFUNCTION("""COMPUTED_VALUE"""),"RSC000236")</f>
        <v>RSC000236</v>
      </c>
      <c r="B237" s="41" t="str">
        <f>IFERROR(__xludf.DUMMYFUNCTION("""COMPUTED_VALUE"""),"Slurp")</f>
        <v>Slurp</v>
      </c>
    </row>
    <row r="238">
      <c r="A238" s="41" t="str">
        <f>IFERROR(__xludf.DUMMYFUNCTION("""COMPUTED_VALUE"""),"RSC000237")</f>
        <v>RSC000237</v>
      </c>
      <c r="B238" s="41" t="str">
        <f>IFERROR(__xludf.DUMMYFUNCTION("""COMPUTED_VALUE"""),"RicoStealth")</f>
        <v>RicoStealth</v>
      </c>
    </row>
    <row r="239">
      <c r="A239" s="41" t="str">
        <f>IFERROR(__xludf.DUMMYFUNCTION("""COMPUTED_VALUE"""),"RSC000238")</f>
        <v>RSC000238</v>
      </c>
      <c r="B239" s="41" t="str">
        <f>IFERROR(__xludf.DUMMYFUNCTION("""COMPUTED_VALUE"""),"Zannah")</f>
        <v>Zannah</v>
      </c>
    </row>
    <row r="240">
      <c r="A240" s="41" t="str">
        <f>IFERROR(__xludf.DUMMYFUNCTION("""COMPUTED_VALUE"""),"RSC000239")</f>
        <v>RSC000239</v>
      </c>
      <c r="B240" s="41" t="str">
        <f>IFERROR(__xludf.DUMMYFUNCTION("""COMPUTED_VALUE"""),"DⓊg")</f>
        <v>DⓊg</v>
      </c>
    </row>
    <row r="241">
      <c r="A241" s="41" t="str">
        <f>IFERROR(__xludf.DUMMYFUNCTION("""COMPUTED_VALUE"""),"RSC000240")</f>
        <v>RSC000240</v>
      </c>
      <c r="B241" s="41" t="str">
        <f>IFERROR(__xludf.DUMMYFUNCTION("""COMPUTED_VALUE"""),"SirAndrew")</f>
        <v>SirAndrew</v>
      </c>
    </row>
    <row r="242">
      <c r="A242" s="41" t="str">
        <f>IFERROR(__xludf.DUMMYFUNCTION("""COMPUTED_VALUE"""),"RSC000241")</f>
        <v>RSC000241</v>
      </c>
      <c r="B242" s="41" t="str">
        <f>IFERROR(__xludf.DUMMYFUNCTION("""COMPUTED_VALUE"""),"Geherpaderp")</f>
        <v>Geherpaderp</v>
      </c>
    </row>
    <row r="243">
      <c r="A243" s="41" t="str">
        <f>IFERROR(__xludf.DUMMYFUNCTION("""COMPUTED_VALUE"""),"RSC000242")</f>
        <v>RSC000242</v>
      </c>
      <c r="B243" s="41" t="str">
        <f>IFERROR(__xludf.DUMMYFUNCTION("""COMPUTED_VALUE"""),"Dead Medic")</f>
        <v>Dead Medic</v>
      </c>
    </row>
    <row r="244">
      <c r="A244" s="41" t="str">
        <f>IFERROR(__xludf.DUMMYFUNCTION("""COMPUTED_VALUE"""),"RSC000243")</f>
        <v>RSC000243</v>
      </c>
      <c r="B244" s="41" t="str">
        <f>IFERROR(__xludf.DUMMYFUNCTION("""COMPUTED_VALUE"""),"GotYourKnee")</f>
        <v>GotYourKnee</v>
      </c>
    </row>
    <row r="245">
      <c r="A245" s="41" t="str">
        <f>IFERROR(__xludf.DUMMYFUNCTION("""COMPUTED_VALUE"""),"RSC000244")</f>
        <v>RSC000244</v>
      </c>
      <c r="B245" s="41" t="str">
        <f>IFERROR(__xludf.DUMMYFUNCTION("""COMPUTED_VALUE"""),"Diesel")</f>
        <v>Diesel</v>
      </c>
    </row>
    <row r="246">
      <c r="A246" s="41" t="str">
        <f>IFERROR(__xludf.DUMMYFUNCTION("""COMPUTED_VALUE"""),"RSC000245")</f>
        <v>RSC000245</v>
      </c>
      <c r="B246" s="41" t="str">
        <f>IFERROR(__xludf.DUMMYFUNCTION("""COMPUTED_VALUE"""),"Fatalcore")</f>
        <v>Fatalcore</v>
      </c>
    </row>
    <row r="247">
      <c r="A247" s="41" t="str">
        <f>IFERROR(__xludf.DUMMYFUNCTION("""COMPUTED_VALUE"""),"RSC000246")</f>
        <v>RSC000246</v>
      </c>
      <c r="B247" s="41" t="str">
        <f>IFERROR(__xludf.DUMMYFUNCTION("""COMPUTED_VALUE"""),"DragonFire")</f>
        <v>DragonFire</v>
      </c>
    </row>
    <row r="248">
      <c r="A248" s="41" t="str">
        <f>IFERROR(__xludf.DUMMYFUNCTION("""COMPUTED_VALUE"""),"RSC000247")</f>
        <v>RSC000247</v>
      </c>
      <c r="B248" s="41" t="str">
        <f>IFERROR(__xludf.DUMMYFUNCTION("""COMPUTED_VALUE"""),"hexic")</f>
        <v>hexic</v>
      </c>
    </row>
    <row r="249">
      <c r="A249" s="41" t="str">
        <f>IFERROR(__xludf.DUMMYFUNCTION("""COMPUTED_VALUE"""),"RSC000248")</f>
        <v>RSC000248</v>
      </c>
      <c r="B249" s="41" t="str">
        <f>IFERROR(__xludf.DUMMYFUNCTION("""COMPUTED_VALUE"""),"Finalfear55")</f>
        <v>Finalfear55</v>
      </c>
    </row>
    <row r="250">
      <c r="A250" s="41" t="str">
        <f>IFERROR(__xludf.DUMMYFUNCTION("""COMPUTED_VALUE"""),"RSC000249")</f>
        <v>RSC000249</v>
      </c>
      <c r="B250" s="41" t="str">
        <f>IFERROR(__xludf.DUMMYFUNCTION("""COMPUTED_VALUE"""),"Se7eN")</f>
        <v>Se7eN</v>
      </c>
    </row>
    <row r="251">
      <c r="A251" s="41" t="str">
        <f>IFERROR(__xludf.DUMMYFUNCTION("""COMPUTED_VALUE"""),"RSC000250")</f>
        <v>RSC000250</v>
      </c>
      <c r="B251" s="41" t="str">
        <f>IFERROR(__xludf.DUMMYFUNCTION("""COMPUTED_VALUE"""),"Snow8P")</f>
        <v>Snow8P</v>
      </c>
    </row>
    <row r="252">
      <c r="A252" s="41" t="str">
        <f>IFERROR(__xludf.DUMMYFUNCTION("""COMPUTED_VALUE"""),"RSC000251")</f>
        <v>RSC000251</v>
      </c>
      <c r="B252" s="41" t="str">
        <f>IFERROR(__xludf.DUMMYFUNCTION("""COMPUTED_VALUE"""),"PadmesDefense")</f>
        <v>PadmesDefense</v>
      </c>
    </row>
    <row r="253">
      <c r="A253" s="41" t="str">
        <f>IFERROR(__xludf.DUMMYFUNCTION("""COMPUTED_VALUE"""),"RSC000252")</f>
        <v>RSC000252</v>
      </c>
      <c r="B253" s="41" t="str">
        <f>IFERROR(__xludf.DUMMYFUNCTION("""COMPUTED_VALUE"""),"Cearu")</f>
        <v>Cearu</v>
      </c>
    </row>
    <row r="254">
      <c r="A254" s="41" t="str">
        <f>IFERROR(__xludf.DUMMYFUNCTION("""COMPUTED_VALUE"""),"RSC000253")</f>
        <v>RSC000253</v>
      </c>
      <c r="B254" s="41" t="str">
        <f>IFERROR(__xludf.DUMMYFUNCTION("""COMPUTED_VALUE"""),"musah")</f>
        <v>musah</v>
      </c>
    </row>
    <row r="255">
      <c r="A255" s="41" t="str">
        <f>IFERROR(__xludf.DUMMYFUNCTION("""COMPUTED_VALUE"""),"RSC000254")</f>
        <v>RSC000254</v>
      </c>
      <c r="B255" s="41" t="str">
        <f>IFERROR(__xludf.DUMMYFUNCTION("""COMPUTED_VALUE"""),"Keiko")</f>
        <v>Keiko</v>
      </c>
    </row>
    <row r="256">
      <c r="A256" s="41" t="str">
        <f>IFERROR(__xludf.DUMMYFUNCTION("""COMPUTED_VALUE"""),"RSC000255")</f>
        <v>RSC000255</v>
      </c>
      <c r="B256" s="41" t="str">
        <f>IFERROR(__xludf.DUMMYFUNCTION("""COMPUTED_VALUE"""),"jno28")</f>
        <v>jno28</v>
      </c>
    </row>
    <row r="257">
      <c r="A257" s="41" t="str">
        <f>IFERROR(__xludf.DUMMYFUNCTION("""COMPUTED_VALUE"""),"RSC000256")</f>
        <v>RSC000256</v>
      </c>
      <c r="B257" s="41" t="str">
        <f>IFERROR(__xludf.DUMMYFUNCTION("""COMPUTED_VALUE"""),"DareMe")</f>
        <v>DareMe</v>
      </c>
    </row>
    <row r="258">
      <c r="A258" s="41" t="str">
        <f>IFERROR(__xludf.DUMMYFUNCTION("""COMPUTED_VALUE"""),"RSC000257")</f>
        <v>RSC000257</v>
      </c>
      <c r="B258" s="41" t="str">
        <f>IFERROR(__xludf.DUMMYFUNCTION("""COMPUTED_VALUE"""),"Atokad")</f>
        <v>Atokad</v>
      </c>
    </row>
    <row r="259">
      <c r="A259" s="41" t="str">
        <f>IFERROR(__xludf.DUMMYFUNCTION("""COMPUTED_VALUE"""),"RSC000258")</f>
        <v>RSC000258</v>
      </c>
      <c r="B259" s="41" t="str">
        <f>IFERROR(__xludf.DUMMYFUNCTION("""COMPUTED_VALUE"""),"Honeybadgermo")</f>
        <v>Honeybadgermo</v>
      </c>
    </row>
    <row r="260">
      <c r="A260" s="41" t="str">
        <f>IFERROR(__xludf.DUMMYFUNCTION("""COMPUTED_VALUE"""),"RSC000259")</f>
        <v>RSC000259</v>
      </c>
      <c r="B260" s="41" t="str">
        <f>IFERROR(__xludf.DUMMYFUNCTION("""COMPUTED_VALUE"""),"Oni")</f>
        <v>Oni</v>
      </c>
    </row>
    <row r="261">
      <c r="A261" s="41" t="str">
        <f>IFERROR(__xludf.DUMMYFUNCTION("""COMPUTED_VALUE"""),"RSC000260")</f>
        <v>RSC000260</v>
      </c>
      <c r="B261" s="41" t="str">
        <f>IFERROR(__xludf.DUMMYFUNCTION("""COMPUTED_VALUE"""),"iTheFreshPrince")</f>
        <v>iTheFreshPrince</v>
      </c>
    </row>
    <row r="262">
      <c r="A262" s="41" t="str">
        <f>IFERROR(__xludf.DUMMYFUNCTION("""COMPUTED_VALUE"""),"RSC000261")</f>
        <v>RSC000261</v>
      </c>
      <c r="B262" s="41" t="str">
        <f>IFERROR(__xludf.DUMMYFUNCTION("""COMPUTED_VALUE"""),"chugg")</f>
        <v>chugg</v>
      </c>
    </row>
    <row r="263">
      <c r="A263" s="41" t="str">
        <f>IFERROR(__xludf.DUMMYFUNCTION("""COMPUTED_VALUE"""),"RSC000262")</f>
        <v>RSC000262</v>
      </c>
      <c r="B263" s="41" t="str">
        <f>IFERROR(__xludf.DUMMYFUNCTION("""COMPUTED_VALUE"""),"Vsizzle Wecookin")</f>
        <v>Vsizzle Wecookin</v>
      </c>
    </row>
    <row r="264">
      <c r="A264" s="41" t="str">
        <f>IFERROR(__xludf.DUMMYFUNCTION("""COMPUTED_VALUE"""),"RSC000263")</f>
        <v>RSC000263</v>
      </c>
      <c r="B264" s="41" t="str">
        <f>IFERROR(__xludf.DUMMYFUNCTION("""COMPUTED_VALUE"""),"CosmicRL")</f>
        <v>CosmicRL</v>
      </c>
    </row>
    <row r="265">
      <c r="A265" s="41" t="str">
        <f>IFERROR(__xludf.DUMMYFUNCTION("""COMPUTED_VALUE"""),"RSC000264")</f>
        <v>RSC000264</v>
      </c>
      <c r="B265" s="41" t="str">
        <f>IFERROR(__xludf.DUMMYFUNCTION("""COMPUTED_VALUE"""),"HayBails19")</f>
        <v>HayBails19</v>
      </c>
    </row>
    <row r="266">
      <c r="A266" s="41" t="str">
        <f>IFERROR(__xludf.DUMMYFUNCTION("""COMPUTED_VALUE"""),"RSC000265")</f>
        <v>RSC000265</v>
      </c>
      <c r="B266" s="41" t="str">
        <f>IFERROR(__xludf.DUMMYFUNCTION("""COMPUTED_VALUE"""),"Croph")</f>
        <v>Croph</v>
      </c>
    </row>
    <row r="267">
      <c r="A267" s="41" t="str">
        <f>IFERROR(__xludf.DUMMYFUNCTION("""COMPUTED_VALUE"""),"RSC000266")</f>
        <v>RSC000266</v>
      </c>
      <c r="B267" s="41" t="str">
        <f>IFERROR(__xludf.DUMMYFUNCTION("""COMPUTED_VALUE"""),"molz")</f>
        <v>molz</v>
      </c>
    </row>
    <row r="268">
      <c r="A268" s="41" t="str">
        <f>IFERROR(__xludf.DUMMYFUNCTION("""COMPUTED_VALUE"""),"RSC000267")</f>
        <v>RSC000267</v>
      </c>
      <c r="B268" s="41" t="str">
        <f>IFERROR(__xludf.DUMMYFUNCTION("""COMPUTED_VALUE"""),"king chikn")</f>
        <v>king chikn</v>
      </c>
    </row>
    <row r="269">
      <c r="A269" s="41" t="str">
        <f>IFERROR(__xludf.DUMMYFUNCTION("""COMPUTED_VALUE"""),"RSC000268")</f>
        <v>RSC000268</v>
      </c>
      <c r="B269" s="41" t="str">
        <f>IFERROR(__xludf.DUMMYFUNCTION("""COMPUTED_VALUE"""),"tomoose0529")</f>
        <v>tomoose0529</v>
      </c>
    </row>
    <row r="270">
      <c r="A270" s="41" t="str">
        <f>IFERROR(__xludf.DUMMYFUNCTION("""COMPUTED_VALUE"""),"RSC000269")</f>
        <v>RSC000269</v>
      </c>
      <c r="B270" s="41" t="str">
        <f>IFERROR(__xludf.DUMMYFUNCTION("""COMPUTED_VALUE"""),"apocalypse")</f>
        <v>apocalypse</v>
      </c>
    </row>
    <row r="271">
      <c r="A271" s="41" t="str">
        <f>IFERROR(__xludf.DUMMYFUNCTION("""COMPUTED_VALUE"""),"RSC000270")</f>
        <v>RSC000270</v>
      </c>
      <c r="B271" s="41" t="str">
        <f>IFERROR(__xludf.DUMMYFUNCTION("""COMPUTED_VALUE"""),"Thunderama")</f>
        <v>Thunderama</v>
      </c>
    </row>
    <row r="272">
      <c r="A272" s="41" t="str">
        <f>IFERROR(__xludf.DUMMYFUNCTION("""COMPUTED_VALUE"""),"RSC000271")</f>
        <v>RSC000271</v>
      </c>
      <c r="B272" s="41" t="str">
        <f>IFERROR(__xludf.DUMMYFUNCTION("""COMPUTED_VALUE"""),"AgentMaida99")</f>
        <v>AgentMaida99</v>
      </c>
    </row>
    <row r="273">
      <c r="A273" s="41" t="str">
        <f>IFERROR(__xludf.DUMMYFUNCTION("""COMPUTED_VALUE"""),"RSC000272")</f>
        <v>RSC000272</v>
      </c>
      <c r="B273" s="41" t="str">
        <f>IFERROR(__xludf.DUMMYFUNCTION("""COMPUTED_VALUE"""),"stepjonthompson")</f>
        <v>stepjonthompson</v>
      </c>
    </row>
    <row r="274">
      <c r="A274" s="41" t="str">
        <f>IFERROR(__xludf.DUMMYFUNCTION("""COMPUTED_VALUE"""),"RSC000273")</f>
        <v>RSC000273</v>
      </c>
      <c r="B274" s="41" t="str">
        <f>IFERROR(__xludf.DUMMYFUNCTION("""COMPUTED_VALUE"""),"otwo")</f>
        <v>otwo</v>
      </c>
    </row>
    <row r="275">
      <c r="A275" s="41" t="str">
        <f>IFERROR(__xludf.DUMMYFUNCTION("""COMPUTED_VALUE"""),"RSC000274")</f>
        <v>RSC000274</v>
      </c>
      <c r="B275" s="41" t="str">
        <f>IFERROR(__xludf.DUMMYFUNCTION("""COMPUTED_VALUE"""),"here is jesus")</f>
        <v>here is jesus</v>
      </c>
    </row>
    <row r="276">
      <c r="A276" s="41" t="str">
        <f>IFERROR(__xludf.DUMMYFUNCTION("""COMPUTED_VALUE"""),"RSC000275")</f>
        <v>RSC000275</v>
      </c>
      <c r="B276" s="41" t="str">
        <f>IFERROR(__xludf.DUMMYFUNCTION("""COMPUTED_VALUE"""),"timotheum")</f>
        <v>timotheum</v>
      </c>
    </row>
    <row r="277">
      <c r="A277" s="41" t="str">
        <f>IFERROR(__xludf.DUMMYFUNCTION("""COMPUTED_VALUE"""),"RSC000276")</f>
        <v>RSC000276</v>
      </c>
      <c r="B277" s="41" t="str">
        <f>IFERROR(__xludf.DUMMYFUNCTION("""COMPUTED_VALUE"""),"Znin9")</f>
        <v>Znin9</v>
      </c>
    </row>
    <row r="278">
      <c r="A278" s="41" t="str">
        <f>IFERROR(__xludf.DUMMYFUNCTION("""COMPUTED_VALUE"""),"RSC000277")</f>
        <v>RSC000277</v>
      </c>
      <c r="B278" s="41" t="str">
        <f>IFERROR(__xludf.DUMMYFUNCTION("""COMPUTED_VALUE"""),"Que.")</f>
        <v>Que.</v>
      </c>
    </row>
    <row r="279">
      <c r="A279" s="41" t="str">
        <f>IFERROR(__xludf.DUMMYFUNCTION("""COMPUTED_VALUE"""),"RSC000278")</f>
        <v>RSC000278</v>
      </c>
      <c r="B279" s="41" t="str">
        <f>IFERROR(__xludf.DUMMYFUNCTION("""COMPUTED_VALUE"""),"Tinsel")</f>
        <v>Tinsel</v>
      </c>
    </row>
    <row r="280">
      <c r="A280" s="41" t="str">
        <f>IFERROR(__xludf.DUMMYFUNCTION("""COMPUTED_VALUE"""),"RSC000279")</f>
        <v>RSC000279</v>
      </c>
      <c r="B280" s="41" t="str">
        <f>IFERROR(__xludf.DUMMYFUNCTION("""COMPUTED_VALUE"""),"Fikison")</f>
        <v>Fikison</v>
      </c>
    </row>
    <row r="281">
      <c r="A281" s="41" t="str">
        <f>IFERROR(__xludf.DUMMYFUNCTION("""COMPUTED_VALUE"""),"RSC000280")</f>
        <v>RSC000280</v>
      </c>
      <c r="B281" s="41" t="str">
        <f>IFERROR(__xludf.DUMMYFUNCTION("""COMPUTED_VALUE"""),"Major Bumbo")</f>
        <v>Major Bumbo</v>
      </c>
    </row>
    <row r="282">
      <c r="A282" s="41" t="str">
        <f>IFERROR(__xludf.DUMMYFUNCTION("""COMPUTED_VALUE"""),"RSC000281")</f>
        <v>RSC000281</v>
      </c>
      <c r="B282" s="41" t="str">
        <f>IFERROR(__xludf.DUMMYFUNCTION("""COMPUTED_VALUE"""),"Plasmid")</f>
        <v>Plasmid</v>
      </c>
    </row>
    <row r="283">
      <c r="A283" s="41" t="str">
        <f>IFERROR(__xludf.DUMMYFUNCTION("""COMPUTED_VALUE"""),"RSC000282")</f>
        <v>RSC000282</v>
      </c>
      <c r="B283" s="41" t="str">
        <f>IFERROR(__xludf.DUMMYFUNCTION("""COMPUTED_VALUE"""),"stealthnader")</f>
        <v>stealthnader</v>
      </c>
    </row>
    <row r="284">
      <c r="A284" s="41" t="str">
        <f>IFERROR(__xludf.DUMMYFUNCTION("""COMPUTED_VALUE"""),"RSC000283")</f>
        <v>RSC000283</v>
      </c>
      <c r="B284" s="41" t="str">
        <f>IFERROR(__xludf.DUMMYFUNCTION("""COMPUTED_VALUE"""),"iDRAKE")</f>
        <v>iDRAKE</v>
      </c>
    </row>
    <row r="285">
      <c r="A285" s="41" t="str">
        <f>IFERROR(__xludf.DUMMYFUNCTION("""COMPUTED_VALUE"""),"RSC000284")</f>
        <v>RSC000284</v>
      </c>
      <c r="B285" s="41" t="str">
        <f>IFERROR(__xludf.DUMMYFUNCTION("""COMPUTED_VALUE"""),"Chrome")</f>
        <v>Chrome</v>
      </c>
    </row>
    <row r="286">
      <c r="A286" s="41" t="str">
        <f>IFERROR(__xludf.DUMMYFUNCTION("""COMPUTED_VALUE"""),"RSC000285")</f>
        <v>RSC000285</v>
      </c>
      <c r="B286" s="41" t="str">
        <f>IFERROR(__xludf.DUMMYFUNCTION("""COMPUTED_VALUE"""),"Bobbzilla")</f>
        <v>Bobbzilla</v>
      </c>
    </row>
    <row r="287">
      <c r="A287" s="41" t="str">
        <f>IFERROR(__xludf.DUMMYFUNCTION("""COMPUTED_VALUE"""),"RSC000286")</f>
        <v>RSC000286</v>
      </c>
      <c r="B287" s="41" t="str">
        <f>IFERROR(__xludf.DUMMYFUNCTION("""COMPUTED_VALUE"""),"Bobandrews33")</f>
        <v>Bobandrews33</v>
      </c>
    </row>
    <row r="288">
      <c r="A288" s="41" t="str">
        <f>IFERROR(__xludf.DUMMYFUNCTION("""COMPUTED_VALUE"""),"RSC000287")</f>
        <v>RSC000287</v>
      </c>
      <c r="B288" s="41" t="str">
        <f>IFERROR(__xludf.DUMMYFUNCTION("""COMPUTED_VALUE"""),"cookie :&gt;")</f>
        <v>cookie :&gt;</v>
      </c>
    </row>
    <row r="289">
      <c r="A289" s="41" t="str">
        <f>IFERROR(__xludf.DUMMYFUNCTION("""COMPUTED_VALUE"""),"RSC000288")</f>
        <v>RSC000288</v>
      </c>
      <c r="B289" s="41" t="str">
        <f>IFERROR(__xludf.DUMMYFUNCTION("""COMPUTED_VALUE"""),"Stratus")</f>
        <v>Stratus</v>
      </c>
    </row>
    <row r="290">
      <c r="A290" s="41" t="str">
        <f>IFERROR(__xludf.DUMMYFUNCTION("""COMPUTED_VALUE"""),"RSC000289")</f>
        <v>RSC000289</v>
      </c>
      <c r="B290" s="41" t="str">
        <f>IFERROR(__xludf.DUMMYFUNCTION("""COMPUTED_VALUE"""),"Tip")</f>
        <v>Tip</v>
      </c>
    </row>
    <row r="291">
      <c r="A291" s="41" t="str">
        <f>IFERROR(__xludf.DUMMYFUNCTION("""COMPUTED_VALUE"""),"RSC000290")</f>
        <v>RSC000290</v>
      </c>
      <c r="B291" s="41" t="str">
        <f>IFERROR(__xludf.DUMMYFUNCTION("""COMPUTED_VALUE"""),"JimJam")</f>
        <v>JimJam</v>
      </c>
    </row>
    <row r="292">
      <c r="A292" s="41" t="str">
        <f>IFERROR(__xludf.DUMMYFUNCTION("""COMPUTED_VALUE"""),"RSC000291")</f>
        <v>RSC000291</v>
      </c>
      <c r="B292" s="41" t="str">
        <f>IFERROR(__xludf.DUMMYFUNCTION("""COMPUTED_VALUE"""),"Suckiest Sucker")</f>
        <v>Suckiest Sucker</v>
      </c>
    </row>
    <row r="293">
      <c r="A293" s="41" t="str">
        <f>IFERROR(__xludf.DUMMYFUNCTION("""COMPUTED_VALUE"""),"RSC000292")</f>
        <v>RSC000292</v>
      </c>
      <c r="B293" s="41" t="str">
        <f>IFERROR(__xludf.DUMMYFUNCTION("""COMPUTED_VALUE"""),"Ignite")</f>
        <v>Ignite</v>
      </c>
    </row>
    <row r="294">
      <c r="A294" s="41" t="str">
        <f>IFERROR(__xludf.DUMMYFUNCTION("""COMPUTED_VALUE"""),"RSC000293")</f>
        <v>RSC000293</v>
      </c>
      <c r="B294" s="41" t="str">
        <f>IFERROR(__xludf.DUMMYFUNCTION("""COMPUTED_VALUE"""),"Falco")</f>
        <v>Falco</v>
      </c>
    </row>
    <row r="295">
      <c r="A295" s="41" t="str">
        <f>IFERROR(__xludf.DUMMYFUNCTION("""COMPUTED_VALUE"""),"RSC000294")</f>
        <v>RSC000294</v>
      </c>
      <c r="B295" s="41" t="str">
        <f>IFERROR(__xludf.DUMMYFUNCTION("""COMPUTED_VALUE"""),"Big Boi Johnny")</f>
        <v>Big Boi Johnny</v>
      </c>
    </row>
    <row r="296">
      <c r="A296" s="41" t="str">
        <f>IFERROR(__xludf.DUMMYFUNCTION("""COMPUTED_VALUE"""),"RSC000295")</f>
        <v>RSC000295</v>
      </c>
      <c r="B296" s="41" t="str">
        <f>IFERROR(__xludf.DUMMYFUNCTION("""COMPUTED_VALUE"""),"Matutu")</f>
        <v>Matutu</v>
      </c>
    </row>
    <row r="297">
      <c r="A297" s="41" t="str">
        <f>IFERROR(__xludf.DUMMYFUNCTION("""COMPUTED_VALUE"""),"RSC000296")</f>
        <v>RSC000296</v>
      </c>
      <c r="B297" s="41" t="str">
        <f>IFERROR(__xludf.DUMMYFUNCTION("""COMPUTED_VALUE"""),"heatfan007")</f>
        <v>heatfan007</v>
      </c>
    </row>
    <row r="298">
      <c r="A298" s="41" t="str">
        <f>IFERROR(__xludf.DUMMYFUNCTION("""COMPUTED_VALUE"""),"RSC000297")</f>
        <v>RSC000297</v>
      </c>
      <c r="B298" s="41" t="str">
        <f>IFERROR(__xludf.DUMMYFUNCTION("""COMPUTED_VALUE"""),"Rotendo")</f>
        <v>Rotendo</v>
      </c>
    </row>
    <row r="299">
      <c r="A299" s="41" t="str">
        <f>IFERROR(__xludf.DUMMYFUNCTION("""COMPUTED_VALUE"""),"RSC000298")</f>
        <v>RSC000298</v>
      </c>
      <c r="B299" s="41" t="str">
        <f>IFERROR(__xludf.DUMMYFUNCTION("""COMPUTED_VALUE"""),"Nurve")</f>
        <v>Nurve</v>
      </c>
    </row>
    <row r="300">
      <c r="A300" s="41" t="str">
        <f>IFERROR(__xludf.DUMMYFUNCTION("""COMPUTED_VALUE"""),"RSC000299")</f>
        <v>RSC000299</v>
      </c>
      <c r="B300" s="41" t="str">
        <f>IFERROR(__xludf.DUMMYFUNCTION("""COMPUTED_VALUE"""),"DirtyEagle56")</f>
        <v>DirtyEagle56</v>
      </c>
    </row>
    <row r="301">
      <c r="A301" s="41" t="str">
        <f>IFERROR(__xludf.DUMMYFUNCTION("""COMPUTED_VALUE"""),"RSC000300")</f>
        <v>RSC000300</v>
      </c>
      <c r="B301" s="41" t="str">
        <f>IFERROR(__xludf.DUMMYFUNCTION("""COMPUTED_VALUE"""),"2k")</f>
        <v>2k</v>
      </c>
    </row>
    <row r="302">
      <c r="A302" s="41" t="str">
        <f>IFERROR(__xludf.DUMMYFUNCTION("""COMPUTED_VALUE"""),"RSC000301")</f>
        <v>RSC000301</v>
      </c>
      <c r="B302" s="41" t="str">
        <f>IFERROR(__xludf.DUMMYFUNCTION("""COMPUTED_VALUE"""),"Fantasy")</f>
        <v>Fantasy</v>
      </c>
    </row>
    <row r="303">
      <c r="A303" s="41" t="str">
        <f>IFERROR(__xludf.DUMMYFUNCTION("""COMPUTED_VALUE"""),"RSC000302")</f>
        <v>RSC000302</v>
      </c>
      <c r="B303" s="41" t="str">
        <f>IFERROR(__xludf.DUMMYFUNCTION("""COMPUTED_VALUE"""),"hero tehblister")</f>
        <v>hero tehblister</v>
      </c>
    </row>
    <row r="304">
      <c r="A304" s="41" t="str">
        <f>IFERROR(__xludf.DUMMYFUNCTION("""COMPUTED_VALUE"""),"RSC000303")</f>
        <v>RSC000303</v>
      </c>
      <c r="B304" s="41" t="str">
        <f>IFERROR(__xludf.DUMMYFUNCTION("""COMPUTED_VALUE"""),"Zair")</f>
        <v>Zair</v>
      </c>
    </row>
    <row r="305">
      <c r="A305" s="41" t="str">
        <f>IFERROR(__xludf.DUMMYFUNCTION("""COMPUTED_VALUE"""),"RSC000304")</f>
        <v>RSC000304</v>
      </c>
      <c r="B305" s="41" t="str">
        <f>IFERROR(__xludf.DUMMYFUNCTION("""COMPUTED_VALUE"""),"yungveeny")</f>
        <v>yungveeny</v>
      </c>
    </row>
    <row r="306">
      <c r="A306" s="41" t="str">
        <f>IFERROR(__xludf.DUMMYFUNCTION("""COMPUTED_VALUE"""),"RSC000305")</f>
        <v>RSC000305</v>
      </c>
      <c r="B306" s="41" t="str">
        <f>IFERROR(__xludf.DUMMYFUNCTION("""COMPUTED_VALUE"""),"Dtduno")</f>
        <v>Dtduno</v>
      </c>
    </row>
    <row r="307">
      <c r="A307" s="41" t="str">
        <f>IFERROR(__xludf.DUMMYFUNCTION("""COMPUTED_VALUE"""),"RSC000306")</f>
        <v>RSC000306</v>
      </c>
      <c r="B307" s="41" t="str">
        <f>IFERROR(__xludf.DUMMYFUNCTION("""COMPUTED_VALUE"""),"xTanny")</f>
        <v>xTanny</v>
      </c>
    </row>
    <row r="308">
      <c r="A308" s="41" t="str">
        <f>IFERROR(__xludf.DUMMYFUNCTION("""COMPUTED_VALUE"""),"RSC000307")</f>
        <v>RSC000307</v>
      </c>
      <c r="B308" s="41" t="str">
        <f>IFERROR(__xludf.DUMMYFUNCTION("""COMPUTED_VALUE"""),"Seltri")</f>
        <v>Seltri</v>
      </c>
    </row>
    <row r="309">
      <c r="A309" s="41" t="str">
        <f>IFERROR(__xludf.DUMMYFUNCTION("""COMPUTED_VALUE"""),"RSC000308")</f>
        <v>RSC000308</v>
      </c>
      <c r="B309" s="41" t="str">
        <f>IFERROR(__xludf.DUMMYFUNCTION("""COMPUTED_VALUE"""),"TheCarter117")</f>
        <v>TheCarter117</v>
      </c>
    </row>
    <row r="310">
      <c r="A310" s="41" t="str">
        <f>IFERROR(__xludf.DUMMYFUNCTION("""COMPUTED_VALUE"""),"RSC000309")</f>
        <v>RSC000309</v>
      </c>
      <c r="B310" s="41" t="str">
        <f>IFERROR(__xludf.DUMMYFUNCTION("""COMPUTED_VALUE"""),"BGatsby")</f>
        <v>BGatsby</v>
      </c>
    </row>
    <row r="311">
      <c r="A311" s="41" t="str">
        <f>IFERROR(__xludf.DUMMYFUNCTION("""COMPUTED_VALUE"""),"RSC000310")</f>
        <v>RSC000310</v>
      </c>
      <c r="B311" s="41" t="str">
        <f>IFERROR(__xludf.DUMMYFUNCTION("""COMPUTED_VALUE"""),"ChrisakaMrXD")</f>
        <v>ChrisakaMrXD</v>
      </c>
    </row>
    <row r="312">
      <c r="A312" s="41" t="str">
        <f>IFERROR(__xludf.DUMMYFUNCTION("""COMPUTED_VALUE"""),"RSC000311")</f>
        <v>RSC000311</v>
      </c>
      <c r="B312" s="41" t="str">
        <f>IFERROR(__xludf.DUMMYFUNCTION("""COMPUTED_VALUE"""),"Josh75Money")</f>
        <v>Josh75Money</v>
      </c>
    </row>
    <row r="313">
      <c r="A313" s="41" t="str">
        <f>IFERROR(__xludf.DUMMYFUNCTION("""COMPUTED_VALUE"""),"RSC000312")</f>
        <v>RSC000312</v>
      </c>
      <c r="B313" s="41" t="str">
        <f>IFERROR(__xludf.DUMMYFUNCTION("""COMPUTED_VALUE"""),"demous")</f>
        <v>demous</v>
      </c>
    </row>
    <row r="314">
      <c r="A314" s="41" t="str">
        <f>IFERROR(__xludf.DUMMYFUNCTION("""COMPUTED_VALUE"""),"RSC000313")</f>
        <v>RSC000313</v>
      </c>
      <c r="B314" s="41" t="str">
        <f>IFERROR(__xludf.DUMMYFUNCTION("""COMPUTED_VALUE"""),"Hendo")</f>
        <v>Hendo</v>
      </c>
    </row>
    <row r="315">
      <c r="A315" s="41" t="str">
        <f>IFERROR(__xludf.DUMMYFUNCTION("""COMPUTED_VALUE"""),"RSC000314")</f>
        <v>RSC000314</v>
      </c>
      <c r="B315" s="41" t="str">
        <f>IFERROR(__xludf.DUMMYFUNCTION("""COMPUTED_VALUE"""),"Yoza")</f>
        <v>Yoza</v>
      </c>
    </row>
    <row r="316">
      <c r="A316" s="41" t="str">
        <f>IFERROR(__xludf.DUMMYFUNCTION("""COMPUTED_VALUE"""),"RSC000315")</f>
        <v>RSC000315</v>
      </c>
      <c r="B316" s="41" t="str">
        <f>IFERROR(__xludf.DUMMYFUNCTION("""COMPUTED_VALUE"""),"maxox")</f>
        <v>maxox</v>
      </c>
    </row>
    <row r="317">
      <c r="A317" s="41" t="str">
        <f>IFERROR(__xludf.DUMMYFUNCTION("""COMPUTED_VALUE"""),"RSC000316")</f>
        <v>RSC000316</v>
      </c>
      <c r="B317" s="41" t="str">
        <f>IFERROR(__xludf.DUMMYFUNCTION("""COMPUTED_VALUE"""),"sadboy")</f>
        <v>sadboy</v>
      </c>
    </row>
    <row r="318">
      <c r="A318" s="41" t="str">
        <f>IFERROR(__xludf.DUMMYFUNCTION("""COMPUTED_VALUE"""),"RSC000317")</f>
        <v>RSC000317</v>
      </c>
      <c r="B318" s="41" t="str">
        <f>IFERROR(__xludf.DUMMYFUNCTION("""COMPUTED_VALUE"""),"TYLR")</f>
        <v>TYLR</v>
      </c>
    </row>
    <row r="319">
      <c r="A319" s="41" t="str">
        <f>IFERROR(__xludf.DUMMYFUNCTION("""COMPUTED_VALUE"""),"RSC000318")</f>
        <v>RSC000318</v>
      </c>
      <c r="B319" s="41" t="str">
        <f>IFERROR(__xludf.DUMMYFUNCTION("""COMPUTED_VALUE"""),"timthebull")</f>
        <v>timthebull</v>
      </c>
    </row>
    <row r="320">
      <c r="A320" s="41" t="str">
        <f>IFERROR(__xludf.DUMMYFUNCTION("""COMPUTED_VALUE"""),"RSC000319")</f>
        <v>RSC000319</v>
      </c>
      <c r="B320" s="41" t="str">
        <f>IFERROR(__xludf.DUMMYFUNCTION("""COMPUTED_VALUE"""),"Crash")</f>
        <v>Crash</v>
      </c>
    </row>
    <row r="321">
      <c r="A321" s="41" t="str">
        <f>IFERROR(__xludf.DUMMYFUNCTION("""COMPUTED_VALUE"""),"RSC000320")</f>
        <v>RSC000320</v>
      </c>
      <c r="B321" s="41" t="str">
        <f>IFERROR(__xludf.DUMMYFUNCTION("""COMPUTED_VALUE"""),"ryanawesome_")</f>
        <v>ryanawesome_</v>
      </c>
    </row>
    <row r="322">
      <c r="A322" s="41" t="str">
        <f>IFERROR(__xludf.DUMMYFUNCTION("""COMPUTED_VALUE"""),"RSC000321")</f>
        <v>RSC000321</v>
      </c>
      <c r="B322" s="41" t="str">
        <f>IFERROR(__xludf.DUMMYFUNCTION("""COMPUTED_VALUE"""),"RAHN")</f>
        <v>RAHN</v>
      </c>
    </row>
    <row r="323">
      <c r="A323" s="41" t="str">
        <f>IFERROR(__xludf.DUMMYFUNCTION("""COMPUTED_VALUE"""),"RSC000322")</f>
        <v>RSC000322</v>
      </c>
      <c r="B323" s="41" t="str">
        <f>IFERROR(__xludf.DUMMYFUNCTION("""COMPUTED_VALUE"""),"Humble Potato")</f>
        <v>Humble Potato</v>
      </c>
    </row>
    <row r="324">
      <c r="A324" s="41" t="str">
        <f>IFERROR(__xludf.DUMMYFUNCTION("""COMPUTED_VALUE"""),"RSC000323")</f>
        <v>RSC000323</v>
      </c>
      <c r="B324" s="41" t="str">
        <f>IFERROR(__xludf.DUMMYFUNCTION("""COMPUTED_VALUE"""),"Styk75")</f>
        <v>Styk75</v>
      </c>
    </row>
    <row r="325">
      <c r="A325" s="41" t="str">
        <f>IFERROR(__xludf.DUMMYFUNCTION("""COMPUTED_VALUE"""),"RSC000324")</f>
        <v>RSC000324</v>
      </c>
      <c r="B325" s="41" t="str">
        <f>IFERROR(__xludf.DUMMYFUNCTION("""COMPUTED_VALUE"""),"Contagious_Tomfoolery")</f>
        <v>Contagious_Tomfoolery</v>
      </c>
    </row>
    <row r="326">
      <c r="A326" s="41" t="str">
        <f>IFERROR(__xludf.DUMMYFUNCTION("""COMPUTED_VALUE"""),"RSC000325")</f>
        <v>RSC000325</v>
      </c>
      <c r="B326" s="41" t="str">
        <f>IFERROR(__xludf.DUMMYFUNCTION("""COMPUTED_VALUE"""),"Rayem Whisperwind")</f>
        <v>Rayem Whisperwind</v>
      </c>
    </row>
    <row r="327">
      <c r="A327" s="41" t="str">
        <f>IFERROR(__xludf.DUMMYFUNCTION("""COMPUTED_VALUE"""),"RSC000326")</f>
        <v>RSC000326</v>
      </c>
      <c r="B327" s="41" t="str">
        <f>IFERROR(__xludf.DUMMYFUNCTION("""COMPUTED_VALUE"""),"Dirty Mike")</f>
        <v>Dirty Mike</v>
      </c>
    </row>
    <row r="328">
      <c r="A328" s="41" t="str">
        <f>IFERROR(__xludf.DUMMYFUNCTION("""COMPUTED_VALUE"""),"RSC000327")</f>
        <v>RSC000327</v>
      </c>
      <c r="B328" s="41" t="str">
        <f>IFERROR(__xludf.DUMMYFUNCTION("""COMPUTED_VALUE"""),"FlipBaker516")</f>
        <v>FlipBaker516</v>
      </c>
    </row>
    <row r="329">
      <c r="A329" s="41" t="str">
        <f>IFERROR(__xludf.DUMMYFUNCTION("""COMPUTED_VALUE"""),"RSC000328")</f>
        <v>RSC000328</v>
      </c>
      <c r="B329" s="41" t="str">
        <f>IFERROR(__xludf.DUMMYFUNCTION("""COMPUTED_VALUE"""),"UnlimitedDucks")</f>
        <v>UnlimitedDucks</v>
      </c>
    </row>
    <row r="330">
      <c r="A330" s="41" t="str">
        <f>IFERROR(__xludf.DUMMYFUNCTION("""COMPUTED_VALUE"""),"RSC000329")</f>
        <v>RSC000329</v>
      </c>
      <c r="B330" s="41" t="str">
        <f>IFERROR(__xludf.DUMMYFUNCTION("""COMPUTED_VALUE"""),"Melted")</f>
        <v>Melted</v>
      </c>
    </row>
    <row r="331">
      <c r="A331" s="41" t="str">
        <f>IFERROR(__xludf.DUMMYFUNCTION("""COMPUTED_VALUE"""),"RSC000330")</f>
        <v>RSC000330</v>
      </c>
      <c r="B331" s="41" t="str">
        <f>IFERROR(__xludf.DUMMYFUNCTION("""COMPUTED_VALUE"""),"Infinite")</f>
        <v>Infinite</v>
      </c>
    </row>
    <row r="332">
      <c r="A332" s="41" t="str">
        <f>IFERROR(__xludf.DUMMYFUNCTION("""COMPUTED_VALUE"""),"RSC000331")</f>
        <v>RSC000331</v>
      </c>
      <c r="B332" s="41" t="str">
        <f>IFERROR(__xludf.DUMMYFUNCTION("""COMPUTED_VALUE"""),"Turtle_Supreme")</f>
        <v>Turtle_Supreme</v>
      </c>
    </row>
    <row r="333">
      <c r="A333" s="41" t="str">
        <f>IFERROR(__xludf.DUMMYFUNCTION("""COMPUTED_VALUE"""),"RSC000332")</f>
        <v>RSC000332</v>
      </c>
      <c r="B333" s="41" t="str">
        <f>IFERROR(__xludf.DUMMYFUNCTION("""COMPUTED_VALUE"""),"Odell")</f>
        <v>Odell</v>
      </c>
    </row>
    <row r="334">
      <c r="A334" s="41" t="str">
        <f>IFERROR(__xludf.DUMMYFUNCTION("""COMPUTED_VALUE"""),"RSC000333")</f>
        <v>RSC000333</v>
      </c>
      <c r="B334" s="41" t="str">
        <f>IFERROR(__xludf.DUMMYFUNCTION("""COMPUTED_VALUE"""),"Eternalsun")</f>
        <v>Eternalsun</v>
      </c>
    </row>
    <row r="335">
      <c r="A335" s="41" t="str">
        <f>IFERROR(__xludf.DUMMYFUNCTION("""COMPUTED_VALUE"""),"RSC000334")</f>
        <v>RSC000334</v>
      </c>
      <c r="B335" s="41" t="str">
        <f>IFERROR(__xludf.DUMMYFUNCTION("""COMPUTED_VALUE"""),"crabasaur")</f>
        <v>crabasaur</v>
      </c>
    </row>
    <row r="336">
      <c r="A336" s="41" t="str">
        <f>IFERROR(__xludf.DUMMYFUNCTION("""COMPUTED_VALUE"""),"RSC000335")</f>
        <v>RSC000335</v>
      </c>
      <c r="B336" s="41" t="str">
        <f>IFERROR(__xludf.DUMMYFUNCTION("""COMPUTED_VALUE"""),"PostMstrGeneral")</f>
        <v>PostMstrGeneral</v>
      </c>
    </row>
    <row r="337">
      <c r="A337" s="41" t="str">
        <f>IFERROR(__xludf.DUMMYFUNCTION("""COMPUTED_VALUE"""),"RSC000336")</f>
        <v>RSC000336</v>
      </c>
      <c r="B337" s="41" t="str">
        <f>IFERROR(__xludf.DUMMYFUNCTION("""COMPUTED_VALUE"""),"Bismarck")</f>
        <v>Bismarck</v>
      </c>
    </row>
    <row r="338">
      <c r="A338" s="41" t="str">
        <f>IFERROR(__xludf.DUMMYFUNCTION("""COMPUTED_VALUE"""),"RSC000337")</f>
        <v>RSC000337</v>
      </c>
      <c r="B338" s="41" t="str">
        <f>IFERROR(__xludf.DUMMYFUNCTION("""COMPUTED_VALUE"""),"Belial")</f>
        <v>Belial</v>
      </c>
    </row>
    <row r="339">
      <c r="A339" s="41" t="str">
        <f>IFERROR(__xludf.DUMMYFUNCTION("""COMPUTED_VALUE"""),"RSC000338")</f>
        <v>RSC000338</v>
      </c>
      <c r="B339" s="41" t="str">
        <f>IFERROR(__xludf.DUMMYFUNCTION("""COMPUTED_VALUE"""),"Finesser McFlex")</f>
        <v>Finesser McFlex</v>
      </c>
    </row>
    <row r="340">
      <c r="A340" s="41" t="str">
        <f>IFERROR(__xludf.DUMMYFUNCTION("""COMPUTED_VALUE"""),"RSC000339")</f>
        <v>RSC000339</v>
      </c>
      <c r="B340" s="41" t="str">
        <f>IFERROR(__xludf.DUMMYFUNCTION("""COMPUTED_VALUE"""),"Crayman")</f>
        <v>Crayman</v>
      </c>
    </row>
    <row r="341">
      <c r="A341" s="41" t="str">
        <f>IFERROR(__xludf.DUMMYFUNCTION("""COMPUTED_VALUE"""),"RSC000340")</f>
        <v>RSC000340</v>
      </c>
      <c r="B341" s="41" t="str">
        <f>IFERROR(__xludf.DUMMYFUNCTION("""COMPUTED_VALUE"""),"Luckky")</f>
        <v>Luckky</v>
      </c>
    </row>
    <row r="342">
      <c r="A342" s="41" t="str">
        <f>IFERROR(__xludf.DUMMYFUNCTION("""COMPUTED_VALUE"""),"RSC000341")</f>
        <v>RSC000341</v>
      </c>
      <c r="B342" s="41" t="str">
        <f>IFERROR(__xludf.DUMMYFUNCTION("""COMPUTED_VALUE"""),"TheRogersEffect")</f>
        <v>TheRogersEffect</v>
      </c>
    </row>
    <row r="343">
      <c r="A343" s="41" t="str">
        <f>IFERROR(__xludf.DUMMYFUNCTION("""COMPUTED_VALUE"""),"RSC000342")</f>
        <v>RSC000342</v>
      </c>
      <c r="B343" s="41" t="str">
        <f>IFERROR(__xludf.DUMMYFUNCTION("""COMPUTED_VALUE"""),"Ryzai")</f>
        <v>Ryzai</v>
      </c>
    </row>
    <row r="344">
      <c r="A344" s="41" t="str">
        <f>IFERROR(__xludf.DUMMYFUNCTION("""COMPUTED_VALUE"""),"RSC000343")</f>
        <v>RSC000343</v>
      </c>
      <c r="B344" s="41" t="str">
        <f>IFERROR(__xludf.DUMMYFUNCTION("""COMPUTED_VALUE"""),"kincaid")</f>
        <v>kincaid</v>
      </c>
    </row>
    <row r="345">
      <c r="A345" s="41" t="str">
        <f>IFERROR(__xludf.DUMMYFUNCTION("""COMPUTED_VALUE"""),"RSC000344")</f>
        <v>RSC000344</v>
      </c>
      <c r="B345" s="41" t="str">
        <f>IFERROR(__xludf.DUMMYFUNCTION("""COMPUTED_VALUE"""),"Mezmer")</f>
        <v>Mezmer</v>
      </c>
    </row>
    <row r="346">
      <c r="A346" s="41" t="str">
        <f>IFERROR(__xludf.DUMMYFUNCTION("""COMPUTED_VALUE"""),"RSC000345")</f>
        <v>RSC000345</v>
      </c>
      <c r="B346" s="41" t="str">
        <f>IFERROR(__xludf.DUMMYFUNCTION("""COMPUTED_VALUE"""),"nx-change")</f>
        <v>nx-change</v>
      </c>
    </row>
    <row r="347">
      <c r="A347" s="41" t="str">
        <f>IFERROR(__xludf.DUMMYFUNCTION("""COMPUTED_VALUE"""),"RSC000346")</f>
        <v>RSC000346</v>
      </c>
      <c r="B347" s="41" t="str">
        <f>IFERROR(__xludf.DUMMYFUNCTION("""COMPUTED_VALUE"""),"Beeb")</f>
        <v>Beeb</v>
      </c>
    </row>
    <row r="348">
      <c r="A348" s="41" t="str">
        <f>IFERROR(__xludf.DUMMYFUNCTION("""COMPUTED_VALUE"""),"RSC000347")</f>
        <v>RSC000347</v>
      </c>
      <c r="B348" s="41" t="str">
        <f>IFERROR(__xludf.DUMMYFUNCTION("""COMPUTED_VALUE"""),"Chris.")</f>
        <v>Chris.</v>
      </c>
    </row>
    <row r="349">
      <c r="A349" s="41" t="str">
        <f>IFERROR(__xludf.DUMMYFUNCTION("""COMPUTED_VALUE"""),"RSC000348")</f>
        <v>RSC000348</v>
      </c>
      <c r="B349" s="41" t="str">
        <f>IFERROR(__xludf.DUMMYFUNCTION("""COMPUTED_VALUE"""),"Prem1x")</f>
        <v>Prem1x</v>
      </c>
    </row>
    <row r="350">
      <c r="A350" s="41" t="str">
        <f>IFERROR(__xludf.DUMMYFUNCTION("""COMPUTED_VALUE"""),"RSC000349")</f>
        <v>RSC000349</v>
      </c>
      <c r="B350" s="41" t="str">
        <f>IFERROR(__xludf.DUMMYFUNCTION("""COMPUTED_VALUE"""),"Koda")</f>
        <v>Koda</v>
      </c>
    </row>
    <row r="351">
      <c r="A351" s="41" t="str">
        <f>IFERROR(__xludf.DUMMYFUNCTION("""COMPUTED_VALUE"""),"RSC000350")</f>
        <v>RSC000350</v>
      </c>
      <c r="B351" s="41" t="str">
        <f>IFERROR(__xludf.DUMMYFUNCTION("""COMPUTED_VALUE"""),"Thunder")</f>
        <v>Thunder</v>
      </c>
    </row>
    <row r="352">
      <c r="A352" s="41" t="str">
        <f>IFERROR(__xludf.DUMMYFUNCTION("""COMPUTED_VALUE"""),"RSC000351")</f>
        <v>RSC000351</v>
      </c>
      <c r="B352" s="41" t="str">
        <f>IFERROR(__xludf.DUMMYFUNCTION("""COMPUTED_VALUE"""),"Mitzi")</f>
        <v>Mitzi</v>
      </c>
    </row>
    <row r="353">
      <c r="A353" s="41" t="str">
        <f>IFERROR(__xludf.DUMMYFUNCTION("""COMPUTED_VALUE"""),"RSC000352")</f>
        <v>RSC000352</v>
      </c>
      <c r="B353" s="41" t="str">
        <f>IFERROR(__xludf.DUMMYFUNCTION("""COMPUTED_VALUE"""),"Freebo")</f>
        <v>Freebo</v>
      </c>
    </row>
    <row r="354">
      <c r="A354" s="41" t="str">
        <f>IFERROR(__xludf.DUMMYFUNCTION("""COMPUTED_VALUE"""),"RSC000353")</f>
        <v>RSC000353</v>
      </c>
      <c r="B354" s="41" t="str">
        <f>IFERROR(__xludf.DUMMYFUNCTION("""COMPUTED_VALUE"""),"Baba--Yetu")</f>
        <v>Baba--Yetu</v>
      </c>
    </row>
    <row r="355">
      <c r="A355" s="41" t="str">
        <f>IFERROR(__xludf.DUMMYFUNCTION("""COMPUTED_VALUE"""),"RSC000354")</f>
        <v>RSC000354</v>
      </c>
      <c r="B355" s="41" t="str">
        <f>IFERROR(__xludf.DUMMYFUNCTION("""COMPUTED_VALUE"""),"Lotty Lettuce")</f>
        <v>Lotty Lettuce</v>
      </c>
    </row>
    <row r="356">
      <c r="A356" s="41" t="str">
        <f>IFERROR(__xludf.DUMMYFUNCTION("""COMPUTED_VALUE"""),"RSC000355")</f>
        <v>RSC000355</v>
      </c>
      <c r="B356" s="41" t="str">
        <f>IFERROR(__xludf.DUMMYFUNCTION("""COMPUTED_VALUE"""),"FuDa")</f>
        <v>FuDa</v>
      </c>
    </row>
    <row r="357">
      <c r="A357" s="41" t="str">
        <f>IFERROR(__xludf.DUMMYFUNCTION("""COMPUTED_VALUE"""),"RSC000356")</f>
        <v>RSC000356</v>
      </c>
      <c r="B357" s="41" t="str">
        <f>IFERROR(__xludf.DUMMYFUNCTION("""COMPUTED_VALUE"""),"Druee")</f>
        <v>Druee</v>
      </c>
    </row>
    <row r="358">
      <c r="A358" s="41" t="str">
        <f>IFERROR(__xludf.DUMMYFUNCTION("""COMPUTED_VALUE"""),"RSC000357")</f>
        <v>RSC000357</v>
      </c>
      <c r="B358" s="41" t="str">
        <f>IFERROR(__xludf.DUMMYFUNCTION("""COMPUTED_VALUE"""),"Primed")</f>
        <v>Primed</v>
      </c>
    </row>
    <row r="359">
      <c r="A359" s="41" t="str">
        <f>IFERROR(__xludf.DUMMYFUNCTION("""COMPUTED_VALUE"""),"RSC000358")</f>
        <v>RSC000358</v>
      </c>
      <c r="B359" s="41" t="str">
        <f>IFERROR(__xludf.DUMMYFUNCTION("""COMPUTED_VALUE"""),"stryyk3r")</f>
        <v>stryyk3r</v>
      </c>
    </row>
    <row r="360">
      <c r="A360" s="41" t="str">
        <f>IFERROR(__xludf.DUMMYFUNCTION("""COMPUTED_VALUE"""),"RSC000359")</f>
        <v>RSC000359</v>
      </c>
      <c r="B360" s="41" t="str">
        <f>IFERROR(__xludf.DUMMYFUNCTION("""COMPUTED_VALUE"""),"Scottee")</f>
        <v>Scottee</v>
      </c>
    </row>
    <row r="361">
      <c r="A361" s="41" t="str">
        <f>IFERROR(__xludf.DUMMYFUNCTION("""COMPUTED_VALUE"""),"RSC000360")</f>
        <v>RSC000360</v>
      </c>
      <c r="B361" s="41" t="str">
        <f>IFERROR(__xludf.DUMMYFUNCTION("""COMPUTED_VALUE"""),"Gamatatsu")</f>
        <v>Gamatatsu</v>
      </c>
    </row>
    <row r="362">
      <c r="A362" s="41" t="str">
        <f>IFERROR(__xludf.DUMMYFUNCTION("""COMPUTED_VALUE"""),"RSC000361")</f>
        <v>RSC000361</v>
      </c>
      <c r="B362" s="41" t="str">
        <f>IFERROR(__xludf.DUMMYFUNCTION("""COMPUTED_VALUE"""),"whiteheyseuss")</f>
        <v>whiteheyseuss</v>
      </c>
    </row>
    <row r="363">
      <c r="A363" s="41" t="str">
        <f>IFERROR(__xludf.DUMMYFUNCTION("""COMPUTED_VALUE"""),"RSC000362")</f>
        <v>RSC000362</v>
      </c>
      <c r="B363" s="41" t="str">
        <f>IFERROR(__xludf.DUMMYFUNCTION("""COMPUTED_VALUE"""),"Bobadine")</f>
        <v>Bobadine</v>
      </c>
    </row>
    <row r="364">
      <c r="A364" s="41" t="str">
        <f>IFERROR(__xludf.DUMMYFUNCTION("""COMPUTED_VALUE"""),"RSC000363")</f>
        <v>RSC000363</v>
      </c>
      <c r="B364" s="41" t="str">
        <f>IFERROR(__xludf.DUMMYFUNCTION("""COMPUTED_VALUE"""),"relax")</f>
        <v>relax</v>
      </c>
    </row>
    <row r="365">
      <c r="A365" s="41" t="str">
        <f>IFERROR(__xludf.DUMMYFUNCTION("""COMPUTED_VALUE"""),"RSC000364")</f>
        <v>RSC000364</v>
      </c>
      <c r="B365" s="41" t="str">
        <f>IFERROR(__xludf.DUMMYFUNCTION("""COMPUTED_VALUE"""),"Grass(change)")</f>
        <v>Grass(change)</v>
      </c>
    </row>
    <row r="366">
      <c r="A366" s="41" t="str">
        <f>IFERROR(__xludf.DUMMYFUNCTION("""COMPUTED_VALUE"""),"RSC000365")</f>
        <v>RSC000365</v>
      </c>
      <c r="B366" s="41" t="str">
        <f>IFERROR(__xludf.DUMMYFUNCTION("""COMPUTED_VALUE"""),"trspriggs")</f>
        <v>trspriggs</v>
      </c>
    </row>
    <row r="367">
      <c r="A367" s="41" t="str">
        <f>IFERROR(__xludf.DUMMYFUNCTION("""COMPUTED_VALUE"""),"RSC000366")</f>
        <v>RSC000366</v>
      </c>
      <c r="B367" s="41" t="str">
        <f>IFERROR(__xludf.DUMMYFUNCTION("""COMPUTED_VALUE"""),"Liquid Cight")</f>
        <v>Liquid Cight</v>
      </c>
    </row>
    <row r="368">
      <c r="A368" s="41" t="str">
        <f>IFERROR(__xludf.DUMMYFUNCTION("""COMPUTED_VALUE"""),"RSC000367")</f>
        <v>RSC000367</v>
      </c>
      <c r="B368" s="41" t="str">
        <f>IFERROR(__xludf.DUMMYFUNCTION("""COMPUTED_VALUE"""),"Pana")</f>
        <v>Pana</v>
      </c>
    </row>
    <row r="369">
      <c r="A369" s="41" t="str">
        <f>IFERROR(__xludf.DUMMYFUNCTION("""COMPUTED_VALUE"""),"RSC000368")</f>
        <v>RSC000368</v>
      </c>
      <c r="B369" s="41" t="str">
        <f>IFERROR(__xludf.DUMMYFUNCTION("""COMPUTED_VALUE"""),"Llama")</f>
        <v>Llama</v>
      </c>
    </row>
    <row r="370">
      <c r="A370" s="41" t="str">
        <f>IFERROR(__xludf.DUMMYFUNCTION("""COMPUTED_VALUE"""),"RSC000369")</f>
        <v>RSC000369</v>
      </c>
      <c r="B370" s="41" t="str">
        <f>IFERROR(__xludf.DUMMYFUNCTION("""COMPUTED_VALUE"""),"hexzy")</f>
        <v>hexzy</v>
      </c>
    </row>
    <row r="371">
      <c r="A371" s="41" t="str">
        <f>IFERROR(__xludf.DUMMYFUNCTION("""COMPUTED_VALUE"""),"RSC000370")</f>
        <v>RSC000370</v>
      </c>
      <c r="B371" s="41" t="str">
        <f>IFERROR(__xludf.DUMMYFUNCTION("""COMPUTED_VALUE"""),"Flamez_Gamez")</f>
        <v>Flamez_Gamez</v>
      </c>
    </row>
    <row r="372">
      <c r="A372" s="41" t="str">
        <f>IFERROR(__xludf.DUMMYFUNCTION("""COMPUTED_VALUE"""),"RSC000371")</f>
        <v>RSC000371</v>
      </c>
      <c r="B372" s="41" t="str">
        <f>IFERROR(__xludf.DUMMYFUNCTION("""COMPUTED_VALUE"""),"Capn' Clutch")</f>
        <v>Capn' Clutch</v>
      </c>
    </row>
    <row r="373">
      <c r="A373" s="41" t="str">
        <f>IFERROR(__xludf.DUMMYFUNCTION("""COMPUTED_VALUE"""),"RSC000372")</f>
        <v>RSC000372</v>
      </c>
      <c r="B373" s="41" t="str">
        <f>IFERROR(__xludf.DUMMYFUNCTION("""COMPUTED_VALUE"""),"Hero. (change)")</f>
        <v>Hero. (change)</v>
      </c>
    </row>
    <row r="374">
      <c r="A374" s="41" t="str">
        <f>IFERROR(__xludf.DUMMYFUNCTION("""COMPUTED_VALUE"""),"RSC000373")</f>
        <v>RSC000373</v>
      </c>
      <c r="B374" s="41" t="str">
        <f>IFERROR(__xludf.DUMMYFUNCTION("""COMPUTED_VALUE"""),"lunaoso")</f>
        <v>lunaoso</v>
      </c>
    </row>
    <row r="375">
      <c r="A375" s="41" t="str">
        <f>IFERROR(__xludf.DUMMYFUNCTION("""COMPUTED_VALUE"""),"RSC000374")</f>
        <v>RSC000374</v>
      </c>
      <c r="B375" s="41" t="str">
        <f>IFERROR(__xludf.DUMMYFUNCTION("""COMPUTED_VALUE"""),"Pletheros")</f>
        <v>Pletheros</v>
      </c>
    </row>
    <row r="376">
      <c r="A376" s="41" t="str">
        <f>IFERROR(__xludf.DUMMYFUNCTION("""COMPUTED_VALUE"""),"RSC000375")</f>
        <v>RSC000375</v>
      </c>
      <c r="B376" s="41" t="str">
        <f>IFERROR(__xludf.DUMMYFUNCTION("""COMPUTED_VALUE"""),"Synch")</f>
        <v>Synch</v>
      </c>
    </row>
    <row r="377">
      <c r="A377" s="41" t="str">
        <f>IFERROR(__xludf.DUMMYFUNCTION("""COMPUTED_VALUE"""),"RSC000376")</f>
        <v>RSC000376</v>
      </c>
      <c r="B377" s="41" t="str">
        <f>IFERROR(__xludf.DUMMYFUNCTION("""COMPUTED_VALUE"""),"Graphic")</f>
        <v>Graphic</v>
      </c>
    </row>
    <row r="378">
      <c r="A378" s="41" t="str">
        <f>IFERROR(__xludf.DUMMYFUNCTION("""COMPUTED_VALUE"""),"RSC000377")</f>
        <v>RSC000377</v>
      </c>
      <c r="B378" s="41" t="str">
        <f>IFERROR(__xludf.DUMMYFUNCTION("""COMPUTED_VALUE"""),"Deluxe")</f>
        <v>Deluxe</v>
      </c>
    </row>
    <row r="379">
      <c r="A379" s="41" t="str">
        <f>IFERROR(__xludf.DUMMYFUNCTION("""COMPUTED_VALUE"""),"RSC000378")</f>
        <v>RSC000378</v>
      </c>
      <c r="B379" s="41" t="str">
        <f>IFERROR(__xludf.DUMMYFUNCTION("""COMPUTED_VALUE"""),"Shwae")</f>
        <v>Shwae</v>
      </c>
    </row>
    <row r="380">
      <c r="A380" s="41" t="str">
        <f>IFERROR(__xludf.DUMMYFUNCTION("""COMPUTED_VALUE"""),"RSC000379")</f>
        <v>RSC000379</v>
      </c>
      <c r="B380" s="41" t="str">
        <f>IFERROR(__xludf.DUMMYFUNCTION("""COMPUTED_VALUE"""),"DrizzyJ")</f>
        <v>DrizzyJ</v>
      </c>
    </row>
    <row r="381">
      <c r="A381" s="41" t="str">
        <f>IFERROR(__xludf.DUMMYFUNCTION("""COMPUTED_VALUE"""),"RSC000380")</f>
        <v>RSC000380</v>
      </c>
      <c r="B381" s="41" t="str">
        <f>IFERROR(__xludf.DUMMYFUNCTION("""COMPUTED_VALUE"""),"Shnick")</f>
        <v>Shnick</v>
      </c>
    </row>
    <row r="382">
      <c r="A382" s="41" t="str">
        <f>IFERROR(__xludf.DUMMYFUNCTION("""COMPUTED_VALUE"""),"RSC000381")</f>
        <v>RSC000381</v>
      </c>
      <c r="B382" s="41" t="str">
        <f>IFERROR(__xludf.DUMMYFUNCTION("""COMPUTED_VALUE"""),"Noriko")</f>
        <v>Noriko</v>
      </c>
    </row>
    <row r="383">
      <c r="A383" s="41" t="str">
        <f>IFERROR(__xludf.DUMMYFUNCTION("""COMPUTED_VALUE"""),"RSC000382")</f>
        <v>RSC000382</v>
      </c>
      <c r="B383" s="41" t="str">
        <f>IFERROR(__xludf.DUMMYFUNCTION("""COMPUTED_VALUE"""),"Snipe")</f>
        <v>Snipe</v>
      </c>
    </row>
    <row r="384">
      <c r="A384" s="41" t="str">
        <f>IFERROR(__xludf.DUMMYFUNCTION("""COMPUTED_VALUE"""),"RSC000383")</f>
        <v>RSC000383</v>
      </c>
      <c r="B384" s="41" t="str">
        <f>IFERROR(__xludf.DUMMYFUNCTION("""COMPUTED_VALUE"""),"UhhSprite")</f>
        <v>UhhSprite</v>
      </c>
    </row>
    <row r="385">
      <c r="A385" s="41" t="str">
        <f>IFERROR(__xludf.DUMMYFUNCTION("""COMPUTED_VALUE"""),"RSC000384")</f>
        <v>RSC000384</v>
      </c>
      <c r="B385" s="41" t="str">
        <f>IFERROR(__xludf.DUMMYFUNCTION("""COMPUTED_VALUE"""),"Southpaw")</f>
        <v>Southpaw</v>
      </c>
    </row>
    <row r="386">
      <c r="A386" s="41" t="str">
        <f>IFERROR(__xludf.DUMMYFUNCTION("""COMPUTED_VALUE"""),"RSC000385")</f>
        <v>RSC000385</v>
      </c>
      <c r="B386" s="41" t="str">
        <f>IFERROR(__xludf.DUMMYFUNCTION("""COMPUTED_VALUE"""),"SgtBOOM09")</f>
        <v>SgtBOOM09</v>
      </c>
    </row>
    <row r="387">
      <c r="A387" s="41" t="str">
        <f>IFERROR(__xludf.DUMMYFUNCTION("""COMPUTED_VALUE"""),"RSC000386")</f>
        <v>RSC000386</v>
      </c>
      <c r="B387" s="41" t="str">
        <f>IFERROR(__xludf.DUMMYFUNCTION("""COMPUTED_VALUE"""),"ahmi")</f>
        <v>ahmi</v>
      </c>
    </row>
    <row r="388">
      <c r="A388" s="41" t="str">
        <f>IFERROR(__xludf.DUMMYFUNCTION("""COMPUTED_VALUE"""),"RSC000387")</f>
        <v>RSC000387</v>
      </c>
      <c r="B388" s="41" t="str">
        <f>IFERROR(__xludf.DUMMYFUNCTION("""COMPUTED_VALUE"""),"adammast")</f>
        <v>adammast</v>
      </c>
    </row>
    <row r="389">
      <c r="A389" s="41" t="str">
        <f>IFERROR(__xludf.DUMMYFUNCTION("""COMPUTED_VALUE"""),"RSC000388")</f>
        <v>RSC000388</v>
      </c>
      <c r="B389" s="41" t="str">
        <f>IFERROR(__xludf.DUMMYFUNCTION("""COMPUTED_VALUE"""),"DementedL")</f>
        <v>DementedL</v>
      </c>
    </row>
    <row r="390">
      <c r="A390" s="41" t="str">
        <f>IFERROR(__xludf.DUMMYFUNCTION("""COMPUTED_VALUE"""),"RSC000389")</f>
        <v>RSC000389</v>
      </c>
      <c r="B390" s="41" t="str">
        <f>IFERROR(__xludf.DUMMYFUNCTION("""COMPUTED_VALUE"""),"Caddywompuss")</f>
        <v>Caddywompuss</v>
      </c>
    </row>
    <row r="391">
      <c r="A391" s="41" t="str">
        <f>IFERROR(__xludf.DUMMYFUNCTION("""COMPUTED_VALUE"""),"RSC000390")</f>
        <v>RSC000390</v>
      </c>
      <c r="B391" s="41" t="str">
        <f>IFERROR(__xludf.DUMMYFUNCTION("""COMPUTED_VALUE"""),"Cronus")</f>
        <v>Cronus</v>
      </c>
    </row>
    <row r="392">
      <c r="A392" s="41" t="str">
        <f>IFERROR(__xludf.DUMMYFUNCTION("""COMPUTED_VALUE"""),"RSC000391")</f>
        <v>RSC000391</v>
      </c>
      <c r="B392" s="41" t="str">
        <f>IFERROR(__xludf.DUMMYFUNCTION("""COMPUTED_VALUE"""),"LilKebab")</f>
        <v>LilKebab</v>
      </c>
    </row>
    <row r="393">
      <c r="A393" s="41" t="str">
        <f>IFERROR(__xludf.DUMMYFUNCTION("""COMPUTED_VALUE"""),"RSC000392")</f>
        <v>RSC000392</v>
      </c>
      <c r="B393" s="41" t="str">
        <f>IFERROR(__xludf.DUMMYFUNCTION("""COMPUTED_VALUE"""),"Jordayumm")</f>
        <v>Jordayumm</v>
      </c>
    </row>
    <row r="394">
      <c r="A394" s="41" t="str">
        <f>IFERROR(__xludf.DUMMYFUNCTION("""COMPUTED_VALUE"""),"RSC000393")</f>
        <v>RSC000393</v>
      </c>
      <c r="B394" s="41" t="str">
        <f>IFERROR(__xludf.DUMMYFUNCTION("""COMPUTED_VALUE"""),"Spoon.")</f>
        <v>Spoon.</v>
      </c>
    </row>
    <row r="395">
      <c r="A395" s="41" t="str">
        <f>IFERROR(__xludf.DUMMYFUNCTION("""COMPUTED_VALUE"""),"RSC000394")</f>
        <v>RSC000394</v>
      </c>
      <c r="B395" s="41" t="str">
        <f>IFERROR(__xludf.DUMMYFUNCTION("""COMPUTED_VALUE"""),"Darf01")</f>
        <v>Darf01</v>
      </c>
    </row>
    <row r="396">
      <c r="A396" s="41" t="str">
        <f>IFERROR(__xludf.DUMMYFUNCTION("""COMPUTED_VALUE"""),"RSC000395")</f>
        <v>RSC000395</v>
      </c>
      <c r="B396" s="41" t="str">
        <f>IFERROR(__xludf.DUMMYFUNCTION("""COMPUTED_VALUE"""),"DaJuukes")</f>
        <v>DaJuukes</v>
      </c>
    </row>
    <row r="397">
      <c r="A397" s="41" t="str">
        <f>IFERROR(__xludf.DUMMYFUNCTION("""COMPUTED_VALUE"""),"RSC000396")</f>
        <v>RSC000396</v>
      </c>
      <c r="B397" s="41" t="str">
        <f>IFERROR(__xludf.DUMMYFUNCTION("""COMPUTED_VALUE"""),"Zeke")</f>
        <v>Zeke</v>
      </c>
    </row>
    <row r="398">
      <c r="A398" s="41" t="str">
        <f>IFERROR(__xludf.DUMMYFUNCTION("""COMPUTED_VALUE"""),"RSC000397")</f>
        <v>RSC000397</v>
      </c>
      <c r="B398" s="41" t="str">
        <f>IFERROR(__xludf.DUMMYFUNCTION("""COMPUTED_VALUE"""),"Mattt")</f>
        <v>Mattt</v>
      </c>
    </row>
    <row r="399">
      <c r="A399" s="41" t="str">
        <f>IFERROR(__xludf.DUMMYFUNCTION("""COMPUTED_VALUE"""),"RSC000398")</f>
        <v>RSC000398</v>
      </c>
      <c r="B399" s="41" t="str">
        <f>IFERROR(__xludf.DUMMYFUNCTION("""COMPUTED_VALUE"""),"cole.ctomy")</f>
        <v>cole.ctomy</v>
      </c>
    </row>
    <row r="400">
      <c r="A400" s="41" t="str">
        <f>IFERROR(__xludf.DUMMYFUNCTION("""COMPUTED_VALUE"""),"RSC000399")</f>
        <v>RSC000399</v>
      </c>
      <c r="B400" s="41" t="str">
        <f>IFERROR(__xludf.DUMMYFUNCTION("""COMPUTED_VALUE"""),"Dart")</f>
        <v>Dart</v>
      </c>
    </row>
    <row r="401">
      <c r="A401" s="41" t="str">
        <f>IFERROR(__xludf.DUMMYFUNCTION("""COMPUTED_VALUE"""),"RSC000400")</f>
        <v>RSC000400</v>
      </c>
      <c r="B401" s="41" t="str">
        <f>IFERROR(__xludf.DUMMYFUNCTION("""COMPUTED_VALUE"""),"Chug a Beerman")</f>
        <v>Chug a Beerman</v>
      </c>
    </row>
    <row r="402">
      <c r="A402" s="41" t="str">
        <f>IFERROR(__xludf.DUMMYFUNCTION("""COMPUTED_VALUE"""),"RSC000401")</f>
        <v>RSC000401</v>
      </c>
      <c r="B402" s="41" t="str">
        <f>IFERROR(__xludf.DUMMYFUNCTION("""COMPUTED_VALUE"""),"Muller")</f>
        <v>Muller</v>
      </c>
    </row>
    <row r="403">
      <c r="A403" s="41" t="str">
        <f>IFERROR(__xludf.DUMMYFUNCTION("""COMPUTED_VALUE"""),"RSC000402")</f>
        <v>RSC000402</v>
      </c>
      <c r="B403" s="41" t="str">
        <f>IFERROR(__xludf.DUMMYFUNCTION("""COMPUTED_VALUE"""),"reagfam")</f>
        <v>reagfam</v>
      </c>
    </row>
    <row r="404">
      <c r="A404" s="41" t="str">
        <f>IFERROR(__xludf.DUMMYFUNCTION("""COMPUTED_VALUE"""),"RSC000403")</f>
        <v>RSC000403</v>
      </c>
      <c r="B404" s="41" t="str">
        <f>IFERROR(__xludf.DUMMYFUNCTION("""COMPUTED_VALUE"""),"Mezberry")</f>
        <v>Mezberry</v>
      </c>
    </row>
    <row r="405">
      <c r="A405" s="41" t="str">
        <f>IFERROR(__xludf.DUMMYFUNCTION("""COMPUTED_VALUE"""),"RSC000404")</f>
        <v>RSC000404</v>
      </c>
      <c r="B405" s="41" t="str">
        <f>IFERROR(__xludf.DUMMYFUNCTION("""COMPUTED_VALUE"""),"Whitebark")</f>
        <v>Whitebark</v>
      </c>
    </row>
    <row r="406">
      <c r="A406" s="41" t="str">
        <f>IFERROR(__xludf.DUMMYFUNCTION("""COMPUTED_VALUE"""),"RSC000405")</f>
        <v>RSC000405</v>
      </c>
      <c r="B406" s="41" t="str">
        <f>IFERROR(__xludf.DUMMYFUNCTION("""COMPUTED_VALUE"""),"Burrito Reaper")</f>
        <v>Burrito Reaper</v>
      </c>
    </row>
    <row r="407">
      <c r="A407" s="41" t="str">
        <f>IFERROR(__xludf.DUMMYFUNCTION("""COMPUTED_VALUE"""),"RSC000406")</f>
        <v>RSC000406</v>
      </c>
      <c r="B407" s="41" t="str">
        <f>IFERROR(__xludf.DUMMYFUNCTION("""COMPUTED_VALUE"""),"Mako")</f>
        <v>Mako</v>
      </c>
    </row>
    <row r="408">
      <c r="A408" s="41" t="str">
        <f>IFERROR(__xludf.DUMMYFUNCTION("""COMPUTED_VALUE"""),"RSC000407")</f>
        <v>RSC000407</v>
      </c>
      <c r="B408" s="41" t="str">
        <f>IFERROR(__xludf.DUMMYFUNCTION("""COMPUTED_VALUE"""),"Kumaneko")</f>
        <v>Kumaneko</v>
      </c>
    </row>
    <row r="409">
      <c r="A409" s="41" t="str">
        <f>IFERROR(__xludf.DUMMYFUNCTION("""COMPUTED_VALUE"""),"RSC000408")</f>
        <v>RSC000408</v>
      </c>
      <c r="B409" s="41" t="str">
        <f>IFERROR(__xludf.DUMMYFUNCTION("""COMPUTED_VALUE"""),"Xero")</f>
        <v>Xero</v>
      </c>
    </row>
    <row r="410">
      <c r="A410" s="41" t="str">
        <f>IFERROR(__xludf.DUMMYFUNCTION("""COMPUTED_VALUE"""),"RSC000409")</f>
        <v>RSC000409</v>
      </c>
      <c r="B410" s="41" t="str">
        <f>IFERROR(__xludf.DUMMYFUNCTION("""COMPUTED_VALUE"""),"mackenzielittle")</f>
        <v>mackenzielittle</v>
      </c>
    </row>
    <row r="411">
      <c r="A411" s="41" t="str">
        <f>IFERROR(__xludf.DUMMYFUNCTION("""COMPUTED_VALUE"""),"RSC000410")</f>
        <v>RSC000410</v>
      </c>
      <c r="B411" s="41" t="str">
        <f>IFERROR(__xludf.DUMMYFUNCTION("""COMPUTED_VALUE"""),"Yetif")</f>
        <v>Yetif</v>
      </c>
    </row>
    <row r="412">
      <c r="A412" s="41" t="str">
        <f>IFERROR(__xludf.DUMMYFUNCTION("""COMPUTED_VALUE"""),"RSC000411")</f>
        <v>RSC000411</v>
      </c>
      <c r="B412" s="41" t="str">
        <f>IFERROR(__xludf.DUMMYFUNCTION("""COMPUTED_VALUE"""),"SpriteMichaeler")</f>
        <v>SpriteMichaeler</v>
      </c>
    </row>
    <row r="413">
      <c r="A413" s="41" t="str">
        <f>IFERROR(__xludf.DUMMYFUNCTION("""COMPUTED_VALUE"""),"RSC000412")</f>
        <v>RSC000412</v>
      </c>
      <c r="B413" s="41" t="str">
        <f>IFERROR(__xludf.DUMMYFUNCTION("""COMPUTED_VALUE"""),"chortle")</f>
        <v>chortle</v>
      </c>
    </row>
    <row r="414">
      <c r="A414" s="41" t="str">
        <f>IFERROR(__xludf.DUMMYFUNCTION("""COMPUTED_VALUE"""),"RSC000413")</f>
        <v>RSC000413</v>
      </c>
      <c r="B414" s="41" t="str">
        <f>IFERROR(__xludf.DUMMYFUNCTION("""COMPUTED_VALUE"""),"Laff")</f>
        <v>Laff</v>
      </c>
    </row>
    <row r="415">
      <c r="A415" s="41" t="str">
        <f>IFERROR(__xludf.DUMMYFUNCTION("""COMPUTED_VALUE"""),"RSC000414")</f>
        <v>RSC000414</v>
      </c>
      <c r="B415" s="41" t="str">
        <f>IFERROR(__xludf.DUMMYFUNCTION("""COMPUTED_VALUE"""),"B-rad")</f>
        <v>B-rad</v>
      </c>
    </row>
    <row r="416">
      <c r="A416" s="41" t="str">
        <f>IFERROR(__xludf.DUMMYFUNCTION("""COMPUTED_VALUE"""),"RSC000415")</f>
        <v>RSC000415</v>
      </c>
      <c r="B416" s="41" t="str">
        <f>IFERROR(__xludf.DUMMYFUNCTION("""COMPUTED_VALUE"""),"Cierex")</f>
        <v>Cierex</v>
      </c>
    </row>
    <row r="417">
      <c r="A417" s="41" t="str">
        <f>IFERROR(__xludf.DUMMYFUNCTION("""COMPUTED_VALUE"""),"RSC000416")</f>
        <v>RSC000416</v>
      </c>
      <c r="B417" s="41" t="str">
        <f>IFERROR(__xludf.DUMMYFUNCTION("""COMPUTED_VALUE"""),"Biscuit (old)")</f>
        <v>Biscuit (old)</v>
      </c>
    </row>
    <row r="418">
      <c r="A418" s="41" t="str">
        <f>IFERROR(__xludf.DUMMYFUNCTION("""COMPUTED_VALUE"""),"RSC000417")</f>
        <v>RSC000417</v>
      </c>
      <c r="B418" s="41" t="str">
        <f>IFERROR(__xludf.DUMMYFUNCTION("""COMPUTED_VALUE"""),"Twoslot")</f>
        <v>Twoslot</v>
      </c>
    </row>
    <row r="419">
      <c r="A419" s="41" t="str">
        <f>IFERROR(__xludf.DUMMYFUNCTION("""COMPUTED_VALUE"""),"RSC000418")</f>
        <v>RSC000418</v>
      </c>
      <c r="B419" s="41" t="str">
        <f>IFERROR(__xludf.DUMMYFUNCTION("""COMPUTED_VALUE"""),"Frost6")</f>
        <v>Frost6</v>
      </c>
    </row>
    <row r="420">
      <c r="A420" s="41" t="str">
        <f>IFERROR(__xludf.DUMMYFUNCTION("""COMPUTED_VALUE"""),"RSC000419")</f>
        <v>RSC000419</v>
      </c>
      <c r="B420" s="41" t="str">
        <f>IFERROR(__xludf.DUMMYFUNCTION("""COMPUTED_VALUE"""),"Moosey")</f>
        <v>Moosey</v>
      </c>
    </row>
    <row r="421">
      <c r="A421" s="41" t="str">
        <f>IFERROR(__xludf.DUMMYFUNCTION("""COMPUTED_VALUE"""),"RSC000420")</f>
        <v>RSC000420</v>
      </c>
      <c r="B421" s="41" t="str">
        <f>IFERROR(__xludf.DUMMYFUNCTION("""COMPUTED_VALUE"""),"PumpKant")</f>
        <v>PumpKant</v>
      </c>
    </row>
    <row r="422">
      <c r="A422" s="41" t="str">
        <f>IFERROR(__xludf.DUMMYFUNCTION("""COMPUTED_VALUE"""),"RSC000421")</f>
        <v>RSC000421</v>
      </c>
      <c r="B422" s="41" t="str">
        <f>IFERROR(__xludf.DUMMYFUNCTION("""COMPUTED_VALUE"""),"Beta")</f>
        <v>Beta</v>
      </c>
    </row>
    <row r="423">
      <c r="A423" s="41" t="str">
        <f>IFERROR(__xludf.DUMMYFUNCTION("""COMPUTED_VALUE"""),"RSC000422")</f>
        <v>RSC000422</v>
      </c>
      <c r="B423" s="41" t="str">
        <f>IFERROR(__xludf.DUMMYFUNCTION("""COMPUTED_VALUE"""),"Astrotennis")</f>
        <v>Astrotennis</v>
      </c>
    </row>
    <row r="424">
      <c r="A424" s="41" t="str">
        <f>IFERROR(__xludf.DUMMYFUNCTION("""COMPUTED_VALUE"""),"RSC000423")</f>
        <v>RSC000423</v>
      </c>
      <c r="B424" s="41" t="str">
        <f>IFERROR(__xludf.DUMMYFUNCTION("""COMPUTED_VALUE"""),"blahmonster8u")</f>
        <v>blahmonster8u</v>
      </c>
    </row>
    <row r="425">
      <c r="A425" s="41" t="str">
        <f>IFERROR(__xludf.DUMMYFUNCTION("""COMPUTED_VALUE"""),"RSC000424")</f>
        <v>RSC000424</v>
      </c>
      <c r="B425" s="41" t="str">
        <f>IFERROR(__xludf.DUMMYFUNCTION("""COMPUTED_VALUE"""),"Neb")</f>
        <v>Neb</v>
      </c>
    </row>
    <row r="426">
      <c r="A426" s="41" t="str">
        <f>IFERROR(__xludf.DUMMYFUNCTION("""COMPUTED_VALUE"""),"RSC000425")</f>
        <v>RSC000425</v>
      </c>
      <c r="B426" s="41" t="str">
        <f>IFERROR(__xludf.DUMMYFUNCTION("""COMPUTED_VALUE"""),"El Diablo Rojo")</f>
        <v>El Diablo Rojo</v>
      </c>
    </row>
    <row r="427">
      <c r="A427" s="41" t="str">
        <f>IFERROR(__xludf.DUMMYFUNCTION("""COMPUTED_VALUE"""),"RSC000426")</f>
        <v>RSC000426</v>
      </c>
      <c r="B427" s="41" t="str">
        <f>IFERROR(__xludf.DUMMYFUNCTION("""COMPUTED_VALUE"""),"struttrl")</f>
        <v>struttrl</v>
      </c>
    </row>
    <row r="428">
      <c r="A428" s="41" t="str">
        <f>IFERROR(__xludf.DUMMYFUNCTION("""COMPUTED_VALUE"""),"RSC000427")</f>
        <v>RSC000427</v>
      </c>
      <c r="B428" s="41" t="str">
        <f>IFERROR(__xludf.DUMMYFUNCTION("""COMPUTED_VALUE"""),"rjivani(rahilj12)")</f>
        <v>rjivani(rahilj12)</v>
      </c>
    </row>
    <row r="429">
      <c r="A429" s="41" t="str">
        <f>IFERROR(__xludf.DUMMYFUNCTION("""COMPUTED_VALUE"""),"RSC000428")</f>
        <v>RSC000428</v>
      </c>
      <c r="B429" s="41" t="str">
        <f>IFERROR(__xludf.DUMMYFUNCTION("""COMPUTED_VALUE"""),"OreOTv_")</f>
        <v>OreOTv_</v>
      </c>
    </row>
    <row r="430">
      <c r="A430" s="41" t="str">
        <f>IFERROR(__xludf.DUMMYFUNCTION("""COMPUTED_VALUE"""),"RSC000429")</f>
        <v>RSC000429</v>
      </c>
      <c r="B430" s="41" t="str">
        <f>IFERROR(__xludf.DUMMYFUNCTION("""COMPUTED_VALUE"""),"Ty")</f>
        <v>Ty</v>
      </c>
    </row>
    <row r="431">
      <c r="A431" s="41" t="str">
        <f>IFERROR(__xludf.DUMMYFUNCTION("""COMPUTED_VALUE"""),"RSC000430")</f>
        <v>RSC000430</v>
      </c>
      <c r="B431" s="41" t="str">
        <f>IFERROR(__xludf.DUMMYFUNCTION("""COMPUTED_VALUE"""),"tterb86")</f>
        <v>tterb86</v>
      </c>
    </row>
    <row r="432">
      <c r="A432" s="41" t="str">
        <f>IFERROR(__xludf.DUMMYFUNCTION("""COMPUTED_VALUE"""),"RSC000431")</f>
        <v>RSC000431</v>
      </c>
      <c r="B432" s="41" t="str">
        <f>IFERROR(__xludf.DUMMYFUNCTION("""COMPUTED_VALUE"""),"Kugelblitz")</f>
        <v>Kugelblitz</v>
      </c>
    </row>
    <row r="433">
      <c r="A433" s="41" t="str">
        <f>IFERROR(__xludf.DUMMYFUNCTION("""COMPUTED_VALUE"""),"RSC000432")</f>
        <v>RSC000432</v>
      </c>
      <c r="B433" s="41" t="str">
        <f>IFERROR(__xludf.DUMMYFUNCTION("""COMPUTED_VALUE"""),"Jonrezz")</f>
        <v>Jonrezz</v>
      </c>
    </row>
    <row r="434">
      <c r="A434" s="41" t="str">
        <f>IFERROR(__xludf.DUMMYFUNCTION("""COMPUTED_VALUE"""),"RSC000433")</f>
        <v>RSC000433</v>
      </c>
      <c r="B434" s="41" t="str">
        <f>IFERROR(__xludf.DUMMYFUNCTION("""COMPUTED_VALUE"""),"alittle")</f>
        <v>alittle</v>
      </c>
    </row>
    <row r="435">
      <c r="A435" s="41" t="str">
        <f>IFERROR(__xludf.DUMMYFUNCTION("""COMPUTED_VALUE"""),"RSC000434")</f>
        <v>RSC000434</v>
      </c>
      <c r="B435" s="41" t="str">
        <f>IFERROR(__xludf.DUMMYFUNCTION("""COMPUTED_VALUE"""),"AnimalNoise")</f>
        <v>AnimalNoise</v>
      </c>
    </row>
    <row r="436">
      <c r="A436" s="41" t="str">
        <f>IFERROR(__xludf.DUMMYFUNCTION("""COMPUTED_VALUE"""),"RSC000435")</f>
        <v>RSC000435</v>
      </c>
      <c r="B436" s="41" t="str">
        <f>IFERROR(__xludf.DUMMYFUNCTION("""COMPUTED_VALUE"""),"SoulMac")</f>
        <v>SoulMac</v>
      </c>
    </row>
    <row r="437">
      <c r="A437" s="41" t="str">
        <f>IFERROR(__xludf.DUMMYFUNCTION("""COMPUTED_VALUE"""),"RSC000436")</f>
        <v>RSC000436</v>
      </c>
      <c r="B437" s="41" t="str">
        <f>IFERROR(__xludf.DUMMYFUNCTION("""COMPUTED_VALUE"""),"distant")</f>
        <v>distant</v>
      </c>
    </row>
    <row r="438">
      <c r="A438" s="41" t="str">
        <f>IFERROR(__xludf.DUMMYFUNCTION("""COMPUTED_VALUE"""),"RSC000437")</f>
        <v>RSC000437</v>
      </c>
      <c r="B438" s="41" t="str">
        <f>IFERROR(__xludf.DUMMYFUNCTION("""COMPUTED_VALUE"""),"EL L0NELY")</f>
        <v>EL L0NELY</v>
      </c>
    </row>
    <row r="439">
      <c r="A439" s="41" t="str">
        <f>IFERROR(__xludf.DUMMYFUNCTION("""COMPUTED_VALUE"""),"RSC000438")</f>
        <v>RSC000438</v>
      </c>
      <c r="B439" s="41" t="str">
        <f>IFERROR(__xludf.DUMMYFUNCTION("""COMPUTED_VALUE"""),"Limon")</f>
        <v>Limon</v>
      </c>
    </row>
    <row r="440">
      <c r="A440" s="41" t="str">
        <f>IFERROR(__xludf.DUMMYFUNCTION("""COMPUTED_VALUE"""),"RSC000439")</f>
        <v>RSC000439</v>
      </c>
      <c r="B440" s="41" t="str">
        <f>IFERROR(__xludf.DUMMYFUNCTION("""COMPUTED_VALUE"""),"Tide")</f>
        <v>Tide</v>
      </c>
    </row>
    <row r="441">
      <c r="A441" s="41" t="str">
        <f>IFERROR(__xludf.DUMMYFUNCTION("""COMPUTED_VALUE"""),"RSC000440")</f>
        <v>RSC000440</v>
      </c>
      <c r="B441" s="41" t="str">
        <f>IFERROR(__xludf.DUMMYFUNCTION("""COMPUTED_VALUE"""),"Ukrops")</f>
        <v>Ukrops</v>
      </c>
    </row>
    <row r="442">
      <c r="A442" s="41" t="str">
        <f>IFERROR(__xludf.DUMMYFUNCTION("""COMPUTED_VALUE"""),"RSC000441")</f>
        <v>RSC000441</v>
      </c>
      <c r="B442" s="41" t="str">
        <f>IFERROR(__xludf.DUMMYFUNCTION("""COMPUTED_VALUE"""),"Wolfocus")</f>
        <v>Wolfocus</v>
      </c>
    </row>
    <row r="443">
      <c r="A443" s="41" t="str">
        <f>IFERROR(__xludf.DUMMYFUNCTION("""COMPUTED_VALUE"""),"RSC000442")</f>
        <v>RSC000442</v>
      </c>
      <c r="B443" s="41" t="str">
        <f>IFERROR(__xludf.DUMMYFUNCTION("""COMPUTED_VALUE"""),"Lynky")</f>
        <v>Lynky</v>
      </c>
    </row>
    <row r="444">
      <c r="A444" s="41" t="str">
        <f>IFERROR(__xludf.DUMMYFUNCTION("""COMPUTED_VALUE"""),"RSC000443")</f>
        <v>RSC000443</v>
      </c>
      <c r="B444" s="41" t="str">
        <f>IFERROR(__xludf.DUMMYFUNCTION("""COMPUTED_VALUE"""),"enceyy")</f>
        <v>enceyy</v>
      </c>
    </row>
    <row r="445">
      <c r="A445" s="41" t="str">
        <f>IFERROR(__xludf.DUMMYFUNCTION("""COMPUTED_VALUE"""),"RSC000444")</f>
        <v>RSC000444</v>
      </c>
      <c r="B445" s="41" t="str">
        <f>IFERROR(__xludf.DUMMYFUNCTION("""COMPUTED_VALUE"""),"elijah")</f>
        <v>elijah</v>
      </c>
    </row>
    <row r="446">
      <c r="A446" s="41" t="str">
        <f>IFERROR(__xludf.DUMMYFUNCTION("""COMPUTED_VALUE"""),"RSC000445")</f>
        <v>RSC000445</v>
      </c>
      <c r="B446" s="41" t="str">
        <f>IFERROR(__xludf.DUMMYFUNCTION("""COMPUTED_VALUE"""),"Chloro")</f>
        <v>Chloro</v>
      </c>
    </row>
    <row r="447">
      <c r="A447" s="41" t="str">
        <f>IFERROR(__xludf.DUMMYFUNCTION("""COMPUTED_VALUE"""),"RSC000446")</f>
        <v>RSC000446</v>
      </c>
      <c r="B447" s="41" t="str">
        <f>IFERROR(__xludf.DUMMYFUNCTION("""COMPUTED_VALUE"""),"Shankster")</f>
        <v>Shankster</v>
      </c>
    </row>
    <row r="448">
      <c r="A448" s="41" t="str">
        <f>IFERROR(__xludf.DUMMYFUNCTION("""COMPUTED_VALUE"""),"RSC000447")</f>
        <v>RSC000447</v>
      </c>
      <c r="B448" s="41" t="str">
        <f>IFERROR(__xludf.DUMMYFUNCTION("""COMPUTED_VALUE"""),"Hit")</f>
        <v>Hit</v>
      </c>
    </row>
    <row r="449">
      <c r="A449" s="41" t="str">
        <f>IFERROR(__xludf.DUMMYFUNCTION("""COMPUTED_VALUE"""),"RSC000448")</f>
        <v>RSC000448</v>
      </c>
      <c r="B449" s="41" t="str">
        <f>IFERROR(__xludf.DUMMYFUNCTION("""COMPUTED_VALUE"""),"Col")</f>
        <v>Col</v>
      </c>
    </row>
    <row r="450">
      <c r="A450" s="41" t="str">
        <f>IFERROR(__xludf.DUMMYFUNCTION("""COMPUTED_VALUE"""),"RSC000449")</f>
        <v>RSC000449</v>
      </c>
      <c r="B450" s="41" t="str">
        <f>IFERROR(__xludf.DUMMYFUNCTION("""COMPUTED_VALUE"""),"Rosie")</f>
        <v>Rosie</v>
      </c>
    </row>
    <row r="451">
      <c r="A451" s="41" t="str">
        <f>IFERROR(__xludf.DUMMYFUNCTION("""COMPUTED_VALUE"""),"RSC000450")</f>
        <v>RSC000450</v>
      </c>
      <c r="B451" s="41" t="str">
        <f>IFERROR(__xludf.DUMMYFUNCTION("""COMPUTED_VALUE"""),"Zach (change)")</f>
        <v>Zach (change)</v>
      </c>
    </row>
    <row r="452">
      <c r="A452" s="41" t="str">
        <f>IFERROR(__xludf.DUMMYFUNCTION("""COMPUTED_VALUE"""),"RSC000451")</f>
        <v>RSC000451</v>
      </c>
      <c r="B452" s="41" t="str">
        <f>IFERROR(__xludf.DUMMYFUNCTION("""COMPUTED_VALUE"""),"Cryke")</f>
        <v>Cryke</v>
      </c>
    </row>
    <row r="453">
      <c r="A453" s="41" t="str">
        <f>IFERROR(__xludf.DUMMYFUNCTION("""COMPUTED_VALUE"""),"RSC000452")</f>
        <v>RSC000452</v>
      </c>
      <c r="B453" s="41" t="str">
        <f>IFERROR(__xludf.DUMMYFUNCTION("""COMPUTED_VALUE"""),"Hippo")</f>
        <v>Hippo</v>
      </c>
    </row>
    <row r="454">
      <c r="A454" s="41" t="str">
        <f>IFERROR(__xludf.DUMMYFUNCTION("""COMPUTED_VALUE"""),"RSC000453")</f>
        <v>RSC000453</v>
      </c>
      <c r="B454" s="41" t="str">
        <f>IFERROR(__xludf.DUMMYFUNCTION("""COMPUTED_VALUE"""),"moose.")</f>
        <v>moose.</v>
      </c>
    </row>
    <row r="455">
      <c r="A455" s="41" t="str">
        <f>IFERROR(__xludf.DUMMYFUNCTION("""COMPUTED_VALUE"""),"RSC000454")</f>
        <v>RSC000454</v>
      </c>
      <c r="B455" s="41" t="str">
        <f>IFERROR(__xludf.DUMMYFUNCTION("""COMPUTED_VALUE"""),"Stego")</f>
        <v>Stego</v>
      </c>
    </row>
    <row r="456">
      <c r="A456" s="41" t="str">
        <f>IFERROR(__xludf.DUMMYFUNCTION("""COMPUTED_VALUE"""),"RSC000455")</f>
        <v>RSC000455</v>
      </c>
      <c r="B456" s="41" t="str">
        <f>IFERROR(__xludf.DUMMYFUNCTION("""COMPUTED_VALUE"""),"DaBest1forever")</f>
        <v>DaBest1forever</v>
      </c>
    </row>
    <row r="457">
      <c r="A457" s="41" t="str">
        <f>IFERROR(__xludf.DUMMYFUNCTION("""COMPUTED_VALUE"""),"RSC000456")</f>
        <v>RSC000456</v>
      </c>
      <c r="B457" s="41" t="str">
        <f>IFERROR(__xludf.DUMMYFUNCTION("""COMPUTED_VALUE"""),"Owlet")</f>
        <v>Owlet</v>
      </c>
    </row>
    <row r="458">
      <c r="A458" s="41" t="str">
        <f>IFERROR(__xludf.DUMMYFUNCTION("""COMPUTED_VALUE"""),"RSC000457")</f>
        <v>RSC000457</v>
      </c>
      <c r="B458" s="41" t="str">
        <f>IFERROR(__xludf.DUMMYFUNCTION("""COMPUTED_VALUE"""),"Bob")</f>
        <v>Bob</v>
      </c>
    </row>
    <row r="459">
      <c r="A459" s="41" t="str">
        <f>IFERROR(__xludf.DUMMYFUNCTION("""COMPUTED_VALUE"""),"RSC000458")</f>
        <v>RSC000458</v>
      </c>
      <c r="B459" s="41" t="str">
        <f>IFERROR(__xludf.DUMMYFUNCTION("""COMPUTED_VALUE"""),"calltopower1")</f>
        <v>calltopower1</v>
      </c>
    </row>
    <row r="460">
      <c r="A460" s="41" t="str">
        <f>IFERROR(__xludf.DUMMYFUNCTION("""COMPUTED_VALUE"""),"RSC000459")</f>
        <v>RSC000459</v>
      </c>
      <c r="B460" s="41" t="str">
        <f>IFERROR(__xludf.DUMMYFUNCTION("""COMPUTED_VALUE"""),"bionicbuddha420")</f>
        <v>bionicbuddha420</v>
      </c>
    </row>
    <row r="461">
      <c r="A461" s="41" t="str">
        <f>IFERROR(__xludf.DUMMYFUNCTION("""COMPUTED_VALUE"""),"RSC000460")</f>
        <v>RSC000460</v>
      </c>
      <c r="B461" s="41" t="str">
        <f>IFERROR(__xludf.DUMMYFUNCTION("""COMPUTED_VALUE"""),"BN_Nano")</f>
        <v>BN_Nano</v>
      </c>
    </row>
    <row r="462">
      <c r="A462" s="41" t="str">
        <f>IFERROR(__xludf.DUMMYFUNCTION("""COMPUTED_VALUE"""),"RSC000461")</f>
        <v>RSC000461</v>
      </c>
      <c r="B462" s="41" t="str">
        <f>IFERROR(__xludf.DUMMYFUNCTION("""COMPUTED_VALUE"""),"Viper15")</f>
        <v>Viper15</v>
      </c>
    </row>
    <row r="463">
      <c r="A463" s="41" t="str">
        <f>IFERROR(__xludf.DUMMYFUNCTION("""COMPUTED_VALUE"""),"RSC000462")</f>
        <v>RSC000462</v>
      </c>
      <c r="B463" s="41" t="str">
        <f>IFERROR(__xludf.DUMMYFUNCTION("""COMPUTED_VALUE"""),"Kruncho")</f>
        <v>Kruncho</v>
      </c>
    </row>
    <row r="464">
      <c r="A464" s="41" t="str">
        <f>IFERROR(__xludf.DUMMYFUNCTION("""COMPUTED_VALUE"""),"RSC000463")</f>
        <v>RSC000463</v>
      </c>
      <c r="B464" s="41" t="str">
        <f>IFERROR(__xludf.DUMMYFUNCTION("""COMPUTED_VALUE"""),"stan")</f>
        <v>stan</v>
      </c>
    </row>
    <row r="465">
      <c r="A465" s="41" t="str">
        <f>IFERROR(__xludf.DUMMYFUNCTION("""COMPUTED_VALUE"""),"RSC000464")</f>
        <v>RSC000464</v>
      </c>
      <c r="B465" s="41" t="str">
        <f>IFERROR(__xludf.DUMMYFUNCTION("""COMPUTED_VALUE"""),"OstinWASD")</f>
        <v>OstinWASD</v>
      </c>
    </row>
    <row r="466">
      <c r="A466" s="41" t="str">
        <f>IFERROR(__xludf.DUMMYFUNCTION("""COMPUTED_VALUE"""),"RSC000465")</f>
        <v>RSC000465</v>
      </c>
      <c r="B466" s="41" t="str">
        <f>IFERROR(__xludf.DUMMYFUNCTION("""COMPUTED_VALUE"""),"Kill Hubris")</f>
        <v>Kill Hubris</v>
      </c>
    </row>
    <row r="467">
      <c r="A467" s="41" t="str">
        <f>IFERROR(__xludf.DUMMYFUNCTION("""COMPUTED_VALUE"""),"RSC000466")</f>
        <v>RSC000466</v>
      </c>
      <c r="B467" s="41" t="str">
        <f>IFERROR(__xludf.DUMMYFUNCTION("""COMPUTED_VALUE"""),"underbreadbore")</f>
        <v>underbreadbore</v>
      </c>
    </row>
    <row r="468">
      <c r="A468" s="41" t="str">
        <f>IFERROR(__xludf.DUMMYFUNCTION("""COMPUTED_VALUE"""),"RSC000467")</f>
        <v>RSC000467</v>
      </c>
      <c r="B468" s="41" t="str">
        <f>IFERROR(__xludf.DUMMYFUNCTION("""COMPUTED_VALUE"""),"dbowden10")</f>
        <v>dbowden10</v>
      </c>
    </row>
    <row r="469">
      <c r="A469" s="41" t="str">
        <f>IFERROR(__xludf.DUMMYFUNCTION("""COMPUTED_VALUE"""),"RSC000468")</f>
        <v>RSC000468</v>
      </c>
      <c r="B469" s="41" t="str">
        <f>IFERROR(__xludf.DUMMYFUNCTION("""COMPUTED_VALUE"""),"ned1oo")</f>
        <v>ned1oo</v>
      </c>
    </row>
    <row r="470">
      <c r="A470" s="41" t="str">
        <f>IFERROR(__xludf.DUMMYFUNCTION("""COMPUTED_VALUE"""),"RSC000469")</f>
        <v>RSC000469</v>
      </c>
      <c r="B470" s="41" t="str">
        <f>IFERROR(__xludf.DUMMYFUNCTION("""COMPUTED_VALUE"""),"Venators")</f>
        <v>Venators</v>
      </c>
    </row>
    <row r="471">
      <c r="A471" s="41" t="str">
        <f>IFERROR(__xludf.DUMMYFUNCTION("""COMPUTED_VALUE"""),"RSC000470")</f>
        <v>RSC000470</v>
      </c>
      <c r="B471" s="41" t="str">
        <f>IFERROR(__xludf.DUMMYFUNCTION("""COMPUTED_VALUE"""),"Sock Hop")</f>
        <v>Sock Hop</v>
      </c>
    </row>
    <row r="472">
      <c r="A472" s="41" t="str">
        <f>IFERROR(__xludf.DUMMYFUNCTION("""COMPUTED_VALUE"""),"RSC000471")</f>
        <v>RSC000471</v>
      </c>
      <c r="B472" s="41" t="str">
        <f>IFERROR(__xludf.DUMMYFUNCTION("""COMPUTED_VALUE"""),"Speedyy")</f>
        <v>Speedyy</v>
      </c>
    </row>
    <row r="473">
      <c r="A473" s="41" t="str">
        <f>IFERROR(__xludf.DUMMYFUNCTION("""COMPUTED_VALUE"""),"RSC000472")</f>
        <v>RSC000472</v>
      </c>
      <c r="B473" s="41" t="str">
        <f>IFERROR(__xludf.DUMMYFUNCTION("""COMPUTED_VALUE"""),"Splatmonkey14")</f>
        <v>Splatmonkey14</v>
      </c>
    </row>
    <row r="474">
      <c r="A474" s="41" t="str">
        <f>IFERROR(__xludf.DUMMYFUNCTION("""COMPUTED_VALUE"""),"RSC000473")</f>
        <v>RSC000473</v>
      </c>
      <c r="B474" s="41" t="str">
        <f>IFERROR(__xludf.DUMMYFUNCTION("""COMPUTED_VALUE"""),"Pure | Rugged!")</f>
        <v>Pure | Rugged!</v>
      </c>
    </row>
    <row r="475">
      <c r="A475" s="41" t="str">
        <f>IFERROR(__xludf.DUMMYFUNCTION("""COMPUTED_VALUE"""),"RSC000474")</f>
        <v>RSC000474</v>
      </c>
      <c r="B475" s="41" t="str">
        <f>IFERROR(__xludf.DUMMYFUNCTION("""COMPUTED_VALUE"""),"Giannis Antetokounmpo")</f>
        <v>Giannis Antetokounmpo</v>
      </c>
    </row>
    <row r="476">
      <c r="A476" s="41" t="str">
        <f>IFERROR(__xludf.DUMMYFUNCTION("""COMPUTED_VALUE"""),"RSC000475")</f>
        <v>RSC000475</v>
      </c>
      <c r="B476" s="41" t="str">
        <f>IFERROR(__xludf.DUMMYFUNCTION("""COMPUTED_VALUE"""),"Evan2")</f>
        <v>Evan2</v>
      </c>
    </row>
    <row r="477">
      <c r="A477" s="41" t="str">
        <f>IFERROR(__xludf.DUMMYFUNCTION("""COMPUTED_VALUE"""),"RSC000476")</f>
        <v>RSC000476</v>
      </c>
      <c r="B477" s="41" t="str">
        <f>IFERROR(__xludf.DUMMYFUNCTION("""COMPUTED_VALUE"""),"Fluffy_Eagle")</f>
        <v>Fluffy_Eagle</v>
      </c>
    </row>
    <row r="478">
      <c r="A478" s="41" t="str">
        <f>IFERROR(__xludf.DUMMYFUNCTION("""COMPUTED_VALUE"""),"RSC000477")</f>
        <v>RSC000477</v>
      </c>
      <c r="B478" s="41" t="str">
        <f>IFERROR(__xludf.DUMMYFUNCTION("""COMPUTED_VALUE"""),"jerplane27")</f>
        <v>jerplane27</v>
      </c>
    </row>
    <row r="479">
      <c r="A479" s="41" t="str">
        <f>IFERROR(__xludf.DUMMYFUNCTION("""COMPUTED_VALUE"""),"RSC000478")</f>
        <v>RSC000478</v>
      </c>
      <c r="B479" s="41" t="str">
        <f>IFERROR(__xludf.DUMMYFUNCTION("""COMPUTED_VALUE"""),"HardeyOG")</f>
        <v>HardeyOG</v>
      </c>
    </row>
    <row r="480">
      <c r="A480" s="41" t="str">
        <f>IFERROR(__xludf.DUMMYFUNCTION("""COMPUTED_VALUE"""),"RSC000479")</f>
        <v>RSC000479</v>
      </c>
      <c r="B480" s="41" t="str">
        <f>IFERROR(__xludf.DUMMYFUNCTION("""COMPUTED_VALUE"""),"Lawmnmower")</f>
        <v>Lawmnmower</v>
      </c>
    </row>
    <row r="481">
      <c r="A481" s="41" t="str">
        <f>IFERROR(__xludf.DUMMYFUNCTION("""COMPUTED_VALUE"""),"RSC000480")</f>
        <v>RSC000480</v>
      </c>
      <c r="B481" s="41" t="str">
        <f>IFERROR(__xludf.DUMMYFUNCTION("""COMPUTED_VALUE"""),"DG_l3gENDary")</f>
        <v>DG_l3gENDary</v>
      </c>
    </row>
    <row r="482">
      <c r="A482" s="41" t="str">
        <f>IFERROR(__xludf.DUMMYFUNCTION("""COMPUTED_VALUE"""),"RSC000481")</f>
        <v>RSC000481</v>
      </c>
      <c r="B482" s="41" t="str">
        <f>IFERROR(__xludf.DUMMYFUNCTION("""COMPUTED_VALUE"""),"SugarmanZ")</f>
        <v>SugarmanZ</v>
      </c>
    </row>
    <row r="483">
      <c r="A483" s="41" t="str">
        <f>IFERROR(__xludf.DUMMYFUNCTION("""COMPUTED_VALUE"""),"RSC000482")</f>
        <v>RSC000482</v>
      </c>
      <c r="B483" s="41" t="str">
        <f>IFERROR(__xludf.DUMMYFUNCTION("""COMPUTED_VALUE"""),"Poofy")</f>
        <v>Poofy</v>
      </c>
    </row>
    <row r="484">
      <c r="A484" s="41" t="str">
        <f>IFERROR(__xludf.DUMMYFUNCTION("""COMPUTED_VALUE"""),"RSC000483")</f>
        <v>RSC000483</v>
      </c>
      <c r="B484" s="41" t="str">
        <f>IFERROR(__xludf.DUMMYFUNCTION("""COMPUTED_VALUE"""),"Canadiyan.")</f>
        <v>Canadiyan.</v>
      </c>
    </row>
    <row r="485">
      <c r="A485" s="41" t="str">
        <f>IFERROR(__xludf.DUMMYFUNCTION("""COMPUTED_VALUE"""),"RSC000484")</f>
        <v>RSC000484</v>
      </c>
      <c r="B485" s="41" t="str">
        <f>IFERROR(__xludf.DUMMYFUNCTION("""COMPUTED_VALUE"""),"devilBoy")</f>
        <v>devilBoy</v>
      </c>
    </row>
    <row r="486">
      <c r="A486" s="41" t="str">
        <f>IFERROR(__xludf.DUMMYFUNCTION("""COMPUTED_VALUE"""),"RSC000485")</f>
        <v>RSC000485</v>
      </c>
      <c r="B486" s="41" t="str">
        <f>IFERROR(__xludf.DUMMYFUNCTION("""COMPUTED_VALUE"""),"Nyelnx")</f>
        <v>Nyelnx</v>
      </c>
    </row>
    <row r="487">
      <c r="A487" s="41" t="str">
        <f>IFERROR(__xludf.DUMMYFUNCTION("""COMPUTED_VALUE"""),"RSC000486")</f>
        <v>RSC000486</v>
      </c>
      <c r="B487" s="41" t="str">
        <f>IFERROR(__xludf.DUMMYFUNCTION("""COMPUTED_VALUE"""),"Dale Rodman Jr. III")</f>
        <v>Dale Rodman Jr. III</v>
      </c>
    </row>
    <row r="488">
      <c r="A488" s="41" t="str">
        <f>IFERROR(__xludf.DUMMYFUNCTION("""COMPUTED_VALUE"""),"RSC000487")</f>
        <v>RSC000487</v>
      </c>
      <c r="B488" s="41" t="str">
        <f>IFERROR(__xludf.DUMMYFUNCTION("""COMPUTED_VALUE"""),"JazZ")</f>
        <v>JazZ</v>
      </c>
    </row>
    <row r="489">
      <c r="A489" s="41" t="str">
        <f>IFERROR(__xludf.DUMMYFUNCTION("""COMPUTED_VALUE"""),"RSC000488")</f>
        <v>RSC000488</v>
      </c>
      <c r="B489" s="41" t="str">
        <f>IFERROR(__xludf.DUMMYFUNCTION("""COMPUTED_VALUE"""),"theblobofglob22")</f>
        <v>theblobofglob22</v>
      </c>
    </row>
    <row r="490">
      <c r="A490" s="41" t="str">
        <f>IFERROR(__xludf.DUMMYFUNCTION("""COMPUTED_VALUE"""),"RSC000489")</f>
        <v>RSC000489</v>
      </c>
      <c r="B490" s="41" t="str">
        <f>IFERROR(__xludf.DUMMYFUNCTION("""COMPUTED_VALUE"""),"MattG")</f>
        <v>MattG</v>
      </c>
    </row>
    <row r="491">
      <c r="A491" s="41" t="str">
        <f>IFERROR(__xludf.DUMMYFUNCTION("""COMPUTED_VALUE"""),"RSC000490")</f>
        <v>RSC000490</v>
      </c>
      <c r="B491" s="41" t="str">
        <f>IFERROR(__xludf.DUMMYFUNCTION("""COMPUTED_VALUE"""),"Kevdog")</f>
        <v>Kevdog</v>
      </c>
    </row>
    <row r="492">
      <c r="A492" s="41" t="str">
        <f>IFERROR(__xludf.DUMMYFUNCTION("""COMPUTED_VALUE"""),"RSC000491")</f>
        <v>RSC000491</v>
      </c>
      <c r="B492" s="41" t="str">
        <f>IFERROR(__xludf.DUMMYFUNCTION("""COMPUTED_VALUE"""),"Lazaryo")</f>
        <v>Lazaryo</v>
      </c>
    </row>
    <row r="493">
      <c r="A493" s="41" t="str">
        <f>IFERROR(__xludf.DUMMYFUNCTION("""COMPUTED_VALUE"""),"RSC000492")</f>
        <v>RSC000492</v>
      </c>
      <c r="B493" s="41" t="str">
        <f>IFERROR(__xludf.DUMMYFUNCTION("""COMPUTED_VALUE"""),"Yasopp")</f>
        <v>Yasopp</v>
      </c>
    </row>
    <row r="494">
      <c r="A494" s="41" t="str">
        <f>IFERROR(__xludf.DUMMYFUNCTION("""COMPUTED_VALUE"""),"RSC000493")</f>
        <v>RSC000493</v>
      </c>
      <c r="B494" s="41" t="str">
        <f>IFERROR(__xludf.DUMMYFUNCTION("""COMPUTED_VALUE"""),"Swimmer")</f>
        <v>Swimmer</v>
      </c>
    </row>
    <row r="495">
      <c r="A495" s="41" t="str">
        <f>IFERROR(__xludf.DUMMYFUNCTION("""COMPUTED_VALUE"""),"RSC000494")</f>
        <v>RSC000494</v>
      </c>
      <c r="B495" s="41" t="str">
        <f>IFERROR(__xludf.DUMMYFUNCTION("""COMPUTED_VALUE"""),"JBreezy")</f>
        <v>JBreezy</v>
      </c>
    </row>
    <row r="496">
      <c r="A496" s="41" t="str">
        <f>IFERROR(__xludf.DUMMYFUNCTION("""COMPUTED_VALUE"""),"RSC000495")</f>
        <v>RSC000495</v>
      </c>
      <c r="B496" s="41" t="str">
        <f>IFERROR(__xludf.DUMMYFUNCTION("""COMPUTED_VALUE"""),"Muzzy")</f>
        <v>Muzzy</v>
      </c>
    </row>
    <row r="497">
      <c r="A497" s="41" t="str">
        <f>IFERROR(__xludf.DUMMYFUNCTION("""COMPUTED_VALUE"""),"RSC000496")</f>
        <v>RSC000496</v>
      </c>
      <c r="B497" s="41" t="str">
        <f>IFERROR(__xludf.DUMMYFUNCTION("""COMPUTED_VALUE"""),"Chancy")</f>
        <v>Chancy</v>
      </c>
    </row>
    <row r="498">
      <c r="A498" s="41" t="str">
        <f>IFERROR(__xludf.DUMMYFUNCTION("""COMPUTED_VALUE"""),"RSC000497")</f>
        <v>RSC000497</v>
      </c>
      <c r="B498" s="41" t="str">
        <f>IFERROR(__xludf.DUMMYFUNCTION("""COMPUTED_VALUE"""),"Bobito")</f>
        <v>Bobito</v>
      </c>
    </row>
    <row r="499">
      <c r="A499" s="41" t="str">
        <f>IFERROR(__xludf.DUMMYFUNCTION("""COMPUTED_VALUE"""),"RSC000498")</f>
        <v>RSC000498</v>
      </c>
      <c r="B499" s="41" t="str">
        <f>IFERROR(__xludf.DUMMYFUNCTION("""COMPUTED_VALUE"""),"Breadsticks")</f>
        <v>Breadsticks</v>
      </c>
    </row>
    <row r="500">
      <c r="A500" s="41" t="str">
        <f>IFERROR(__xludf.DUMMYFUNCTION("""COMPUTED_VALUE"""),"RSC000499")</f>
        <v>RSC000499</v>
      </c>
      <c r="B500" s="41" t="str">
        <f>IFERROR(__xludf.DUMMYFUNCTION("""COMPUTED_VALUE"""),"johkev")</f>
        <v>johkev</v>
      </c>
    </row>
    <row r="501">
      <c r="A501" s="41" t="str">
        <f>IFERROR(__xludf.DUMMYFUNCTION("""COMPUTED_VALUE"""),"RSC000500")</f>
        <v>RSC000500</v>
      </c>
      <c r="B501" s="41" t="str">
        <f>IFERROR(__xludf.DUMMYFUNCTION("""COMPUTED_VALUE"""),"Styzzi")</f>
        <v>Styzzi</v>
      </c>
    </row>
    <row r="502">
      <c r="A502" s="41" t="str">
        <f>IFERROR(__xludf.DUMMYFUNCTION("""COMPUTED_VALUE"""),"RSC000501")</f>
        <v>RSC000501</v>
      </c>
      <c r="B502" s="41" t="str">
        <f>IFERROR(__xludf.DUMMYFUNCTION("""COMPUTED_VALUE"""),"🔥Magnus🔥")</f>
        <v>🔥Magnus🔥</v>
      </c>
    </row>
    <row r="503">
      <c r="A503" s="41" t="str">
        <f>IFERROR(__xludf.DUMMYFUNCTION("""COMPUTED_VALUE"""),"RSC000502")</f>
        <v>RSC000502</v>
      </c>
      <c r="B503" s="41" t="str">
        <f>IFERROR(__xludf.DUMMYFUNCTION("""COMPUTED_VALUE"""),"xMICROWAVECHEFx")</f>
        <v>xMICROWAVECHEFx</v>
      </c>
    </row>
    <row r="504">
      <c r="A504" s="41" t="str">
        <f>IFERROR(__xludf.DUMMYFUNCTION("""COMPUTED_VALUE"""),"RSC000503")</f>
        <v>RSC000503</v>
      </c>
      <c r="B504" s="41" t="str">
        <f>IFERROR(__xludf.DUMMYFUNCTION("""COMPUTED_VALUE"""),"Akipz")</f>
        <v>Akipz</v>
      </c>
    </row>
    <row r="505">
      <c r="A505" s="41" t="str">
        <f>IFERROR(__xludf.DUMMYFUNCTION("""COMPUTED_VALUE"""),"RSC000504")</f>
        <v>RSC000504</v>
      </c>
      <c r="B505" s="41" t="str">
        <f>IFERROR(__xludf.DUMMYFUNCTION("""COMPUTED_VALUE"""),"aTarz")</f>
        <v>aTarz</v>
      </c>
    </row>
    <row r="506">
      <c r="A506" s="41" t="str">
        <f>IFERROR(__xludf.DUMMYFUNCTION("""COMPUTED_VALUE"""),"RSC000505")</f>
        <v>RSC000505</v>
      </c>
      <c r="B506" s="41" t="str">
        <f>IFERROR(__xludf.DUMMYFUNCTION("""COMPUTED_VALUE"""),"sunsetbrew")</f>
        <v>sunsetbrew</v>
      </c>
    </row>
    <row r="507">
      <c r="A507" s="41" t="str">
        <f>IFERROR(__xludf.DUMMYFUNCTION("""COMPUTED_VALUE"""),"RSC000506")</f>
        <v>RSC000506</v>
      </c>
      <c r="B507" s="41" t="str">
        <f>IFERROR(__xludf.DUMMYFUNCTION("""COMPUTED_VALUE"""),"ohmeon")</f>
        <v>ohmeon</v>
      </c>
    </row>
    <row r="508">
      <c r="A508" s="41" t="str">
        <f>IFERROR(__xludf.DUMMYFUNCTION("""COMPUTED_VALUE"""),"RSC000507")</f>
        <v>RSC000507</v>
      </c>
      <c r="B508" s="41" t="str">
        <f>IFERROR(__xludf.DUMMYFUNCTION("""COMPUTED_VALUE"""),"Moondog")</f>
        <v>Moondog</v>
      </c>
    </row>
    <row r="509">
      <c r="A509" s="41" t="str">
        <f>IFERROR(__xludf.DUMMYFUNCTION("""COMPUTED_VALUE"""),"RSC000508")</f>
        <v>RSC000508</v>
      </c>
      <c r="B509" s="41" t="str">
        <f>IFERROR(__xludf.DUMMYFUNCTION("""COMPUTED_VALUE"""),"Bender_Escobar")</f>
        <v>Bender_Escobar</v>
      </c>
    </row>
    <row r="510">
      <c r="A510" s="41" t="str">
        <f>IFERROR(__xludf.DUMMYFUNCTION("""COMPUTED_VALUE"""),"RSC000509")</f>
        <v>RSC000509</v>
      </c>
      <c r="B510" s="41" t="str">
        <f>IFERROR(__xludf.DUMMYFUNCTION("""COMPUTED_VALUE"""),"rylax24")</f>
        <v>rylax24</v>
      </c>
    </row>
    <row r="511">
      <c r="A511" s="41" t="str">
        <f>IFERROR(__xludf.DUMMYFUNCTION("""COMPUTED_VALUE"""),"RSC000510")</f>
        <v>RSC000510</v>
      </c>
      <c r="B511" s="41" t="str">
        <f>IFERROR(__xludf.DUMMYFUNCTION("""COMPUTED_VALUE"""),"Jaay")</f>
        <v>Jaay</v>
      </c>
    </row>
    <row r="512">
      <c r="A512" s="41" t="str">
        <f>IFERROR(__xludf.DUMMYFUNCTION("""COMPUTED_VALUE"""),"RSC000511")</f>
        <v>RSC000511</v>
      </c>
      <c r="B512" s="41" t="str">
        <f>IFERROR(__xludf.DUMMYFUNCTION("""COMPUTED_VALUE"""),"Orlanden")</f>
        <v>Orlanden</v>
      </c>
    </row>
    <row r="513">
      <c r="A513" s="41" t="str">
        <f>IFERROR(__xludf.DUMMYFUNCTION("""COMPUTED_VALUE"""),"RSC000512")</f>
        <v>RSC000512</v>
      </c>
      <c r="B513" s="41" t="str">
        <f>IFERROR(__xludf.DUMMYFUNCTION("""COMPUTED_VALUE"""),"ChubbyRadish")</f>
        <v>ChubbyRadish</v>
      </c>
    </row>
    <row r="514">
      <c r="A514" s="41" t="str">
        <f>IFERROR(__xludf.DUMMYFUNCTION("""COMPUTED_VALUE"""),"RSC000513")</f>
        <v>RSC000513</v>
      </c>
      <c r="B514" s="41" t="str">
        <f>IFERROR(__xludf.DUMMYFUNCTION("""COMPUTED_VALUE"""),"Prometiumz")</f>
        <v>Prometiumz</v>
      </c>
    </row>
    <row r="515">
      <c r="A515" s="41" t="str">
        <f>IFERROR(__xludf.DUMMYFUNCTION("""COMPUTED_VALUE"""),"RSC000514")</f>
        <v>RSC000514</v>
      </c>
      <c r="B515" s="41" t="str">
        <f>IFERROR(__xludf.DUMMYFUNCTION("""COMPUTED_VALUE"""),"whatitdobayybbee")</f>
        <v>whatitdobayybbee</v>
      </c>
    </row>
    <row r="516">
      <c r="A516" s="41" t="str">
        <f>IFERROR(__xludf.DUMMYFUNCTION("""COMPUTED_VALUE"""),"RSC000515")</f>
        <v>RSC000515</v>
      </c>
      <c r="B516" s="41" t="str">
        <f>IFERROR(__xludf.DUMMYFUNCTION("""COMPUTED_VALUE"""),"Buckwild")</f>
        <v>Buckwild</v>
      </c>
    </row>
    <row r="517">
      <c r="A517" s="41" t="str">
        <f>IFERROR(__xludf.DUMMYFUNCTION("""COMPUTED_VALUE"""),"RSC000516")</f>
        <v>RSC000516</v>
      </c>
      <c r="B517" s="41" t="str">
        <f>IFERROR(__xludf.DUMMYFUNCTION("""COMPUTED_VALUE"""),"Dorito")</f>
        <v>Dorito</v>
      </c>
    </row>
    <row r="518">
      <c r="A518" s="41" t="str">
        <f>IFERROR(__xludf.DUMMYFUNCTION("""COMPUTED_VALUE"""),"RSC000517")</f>
        <v>RSC000517</v>
      </c>
      <c r="B518" s="41" t="str">
        <f>IFERROR(__xludf.DUMMYFUNCTION("""COMPUTED_VALUE"""),"Keystone_")</f>
        <v>Keystone_</v>
      </c>
    </row>
    <row r="519">
      <c r="A519" s="41" t="str">
        <f>IFERROR(__xludf.DUMMYFUNCTION("""COMPUTED_VALUE"""),"RSC000518")</f>
        <v>RSC000518</v>
      </c>
      <c r="B519" s="41" t="str">
        <f>IFERROR(__xludf.DUMMYFUNCTION("""COMPUTED_VALUE"""),"Shnapers23")</f>
        <v>Shnapers23</v>
      </c>
    </row>
    <row r="520">
      <c r="A520" s="41" t="str">
        <f>IFERROR(__xludf.DUMMYFUNCTION("""COMPUTED_VALUE"""),"RSC000519")</f>
        <v>RSC000519</v>
      </c>
      <c r="B520" s="41" t="str">
        <f>IFERROR(__xludf.DUMMYFUNCTION("""COMPUTED_VALUE"""),"bovi")</f>
        <v>bovi</v>
      </c>
    </row>
    <row r="521">
      <c r="A521" s="41" t="str">
        <f>IFERROR(__xludf.DUMMYFUNCTION("""COMPUTED_VALUE"""),"RSC000520")</f>
        <v>RSC000520</v>
      </c>
      <c r="B521" s="41" t="str">
        <f>IFERROR(__xludf.DUMMYFUNCTION("""COMPUTED_VALUE"""),"blastpatern4191")</f>
        <v>blastpatern4191</v>
      </c>
    </row>
    <row r="522">
      <c r="A522" s="41" t="str">
        <f>IFERROR(__xludf.DUMMYFUNCTION("""COMPUTED_VALUE"""),"RSC000521")</f>
        <v>RSC000521</v>
      </c>
      <c r="B522" s="41" t="str">
        <f>IFERROR(__xludf.DUMMYFUNCTION("""COMPUTED_VALUE"""),"Mute")</f>
        <v>Mute</v>
      </c>
    </row>
    <row r="523">
      <c r="A523" s="41" t="str">
        <f>IFERROR(__xludf.DUMMYFUNCTION("""COMPUTED_VALUE"""),"RSC000522")</f>
        <v>RSC000522</v>
      </c>
      <c r="B523" s="41" t="str">
        <f>IFERROR(__xludf.DUMMYFUNCTION("""COMPUTED_VALUE"""),"Sccrdude")</f>
        <v>Sccrdude</v>
      </c>
    </row>
    <row r="524">
      <c r="A524" s="41" t="str">
        <f>IFERROR(__xludf.DUMMYFUNCTION("""COMPUTED_VALUE"""),"RSC000523")</f>
        <v>RSC000523</v>
      </c>
      <c r="B524" s="41" t="str">
        <f>IFERROR(__xludf.DUMMYFUNCTION("""COMPUTED_VALUE"""),"Guardian Giraffe")</f>
        <v>Guardian Giraffe</v>
      </c>
    </row>
    <row r="525">
      <c r="A525" s="41" t="str">
        <f>IFERROR(__xludf.DUMMYFUNCTION("""COMPUTED_VALUE"""),"RSC000524")</f>
        <v>RSC000524</v>
      </c>
      <c r="B525" s="41" t="str">
        <f>IFERROR(__xludf.DUMMYFUNCTION("""COMPUTED_VALUE"""),"Low Gravitas")</f>
        <v>Low Gravitas</v>
      </c>
    </row>
    <row r="526">
      <c r="A526" s="41" t="str">
        <f>IFERROR(__xludf.DUMMYFUNCTION("""COMPUTED_VALUE"""),"RSC000525")</f>
        <v>RSC000525</v>
      </c>
      <c r="B526" s="41" t="str">
        <f>IFERROR(__xludf.DUMMYFUNCTION("""COMPUTED_VALUE"""),"CheesePie")</f>
        <v>CheesePie</v>
      </c>
    </row>
    <row r="527">
      <c r="A527" s="41" t="str">
        <f>IFERROR(__xludf.DUMMYFUNCTION("""COMPUTED_VALUE"""),"RSC000526")</f>
        <v>RSC000526</v>
      </c>
      <c r="B527" s="41" t="str">
        <f>IFERROR(__xludf.DUMMYFUNCTION("""COMPUTED_VALUE"""),"Bossinator132")</f>
        <v>Bossinator132</v>
      </c>
    </row>
    <row r="528">
      <c r="A528" s="41" t="str">
        <f>IFERROR(__xludf.DUMMYFUNCTION("""COMPUTED_VALUE"""),"RSC000527")</f>
        <v>RSC000527</v>
      </c>
      <c r="B528" s="41" t="str">
        <f>IFERROR(__xludf.DUMMYFUNCTION("""COMPUTED_VALUE"""),"loose")</f>
        <v>loose</v>
      </c>
    </row>
    <row r="529">
      <c r="A529" s="41" t="str">
        <f>IFERROR(__xludf.DUMMYFUNCTION("""COMPUTED_VALUE"""),"RSC000528")</f>
        <v>RSC000528</v>
      </c>
      <c r="B529" s="41" t="str">
        <f>IFERROR(__xludf.DUMMYFUNCTION("""COMPUTED_VALUE"""),"Sebastian")</f>
        <v>Sebastian</v>
      </c>
    </row>
    <row r="530">
      <c r="A530" s="41" t="str">
        <f>IFERROR(__xludf.DUMMYFUNCTION("""COMPUTED_VALUE"""),"RSC000529")</f>
        <v>RSC000529</v>
      </c>
      <c r="B530" s="41" t="str">
        <f>IFERROR(__xludf.DUMMYFUNCTION("""COMPUTED_VALUE"""),"LoneBattleFox")</f>
        <v>LoneBattleFox</v>
      </c>
    </row>
    <row r="531">
      <c r="A531" s="41" t="str">
        <f>IFERROR(__xludf.DUMMYFUNCTION("""COMPUTED_VALUE"""),"RSC000530")</f>
        <v>RSC000530</v>
      </c>
      <c r="B531" s="41" t="str">
        <f>IFERROR(__xludf.DUMMYFUNCTION("""COMPUTED_VALUE"""),"AshTheWaterBoy")</f>
        <v>AshTheWaterBoy</v>
      </c>
    </row>
    <row r="532">
      <c r="A532" s="41" t="str">
        <f>IFERROR(__xludf.DUMMYFUNCTION("""COMPUTED_VALUE"""),"RSC000531")</f>
        <v>RSC000531</v>
      </c>
      <c r="B532" s="41" t="str">
        <f>IFERROR(__xludf.DUMMYFUNCTION("""COMPUTED_VALUE"""),"CeeJay")</f>
        <v>CeeJay</v>
      </c>
    </row>
    <row r="533">
      <c r="A533" s="41" t="str">
        <f>IFERROR(__xludf.DUMMYFUNCTION("""COMPUTED_VALUE"""),"RSC000532")</f>
        <v>RSC000532</v>
      </c>
      <c r="B533" s="41" t="str">
        <f>IFERROR(__xludf.DUMMYFUNCTION("""COMPUTED_VALUE"""),"ShadowXD")</f>
        <v>ShadowXD</v>
      </c>
    </row>
    <row r="534">
      <c r="A534" s="41" t="str">
        <f>IFERROR(__xludf.DUMMYFUNCTION("""COMPUTED_VALUE"""),"RSC000533")</f>
        <v>RSC000533</v>
      </c>
      <c r="B534" s="41" t="str">
        <f>IFERROR(__xludf.DUMMYFUNCTION("""COMPUTED_VALUE"""),"JSnoop")</f>
        <v>JSnoop</v>
      </c>
    </row>
    <row r="535">
      <c r="A535" s="41" t="str">
        <f>IFERROR(__xludf.DUMMYFUNCTION("""COMPUTED_VALUE"""),"RSC000534")</f>
        <v>RSC000534</v>
      </c>
      <c r="B535" s="41" t="str">
        <f>IFERROR(__xludf.DUMMYFUNCTION("""COMPUTED_VALUE"""),"Blood12aven")</f>
        <v>Blood12aven</v>
      </c>
    </row>
    <row r="536">
      <c r="A536" s="41" t="str">
        <f>IFERROR(__xludf.DUMMYFUNCTION("""COMPUTED_VALUE"""),"RSC000535")</f>
        <v>RSC000535</v>
      </c>
      <c r="B536" s="41" t="str">
        <f>IFERROR(__xludf.DUMMYFUNCTION("""COMPUTED_VALUE"""),"yolkk")</f>
        <v>yolkk</v>
      </c>
    </row>
    <row r="537">
      <c r="A537" s="41" t="str">
        <f>IFERROR(__xludf.DUMMYFUNCTION("""COMPUTED_VALUE"""),"RSC000536")</f>
        <v>RSC000536</v>
      </c>
      <c r="B537" s="41" t="str">
        <f>IFERROR(__xludf.DUMMYFUNCTION("""COMPUTED_VALUE"""),"Alex (Termiiite)")</f>
        <v>Alex (Termiiite)</v>
      </c>
    </row>
    <row r="538">
      <c r="A538" s="41" t="str">
        <f>IFERROR(__xludf.DUMMYFUNCTION("""COMPUTED_VALUE"""),"RSC000537")</f>
        <v>RSC000537</v>
      </c>
      <c r="B538" s="41" t="str">
        <f>IFERROR(__xludf.DUMMYFUNCTION("""COMPUTED_VALUE"""),"imth3b0s5")</f>
        <v>imth3b0s5</v>
      </c>
    </row>
    <row r="539">
      <c r="A539" s="41" t="str">
        <f>IFERROR(__xludf.DUMMYFUNCTION("""COMPUTED_VALUE"""),"RSC000538")</f>
        <v>RSC000538</v>
      </c>
      <c r="B539" s="41" t="str">
        <f>IFERROR(__xludf.DUMMYFUNCTION("""COMPUTED_VALUE"""),"Rax")</f>
        <v>Rax</v>
      </c>
    </row>
    <row r="540">
      <c r="A540" s="41" t="str">
        <f>IFERROR(__xludf.DUMMYFUNCTION("""COMPUTED_VALUE"""),"RSC000539")</f>
        <v>RSC000539</v>
      </c>
      <c r="B540" s="41" t="str">
        <f>IFERROR(__xludf.DUMMYFUNCTION("""COMPUTED_VALUE"""),"kdence.")</f>
        <v>kdence.</v>
      </c>
    </row>
    <row r="541">
      <c r="A541" s="41" t="str">
        <f>IFERROR(__xludf.DUMMYFUNCTION("""COMPUTED_VALUE"""),"RSC000540")</f>
        <v>RSC000540</v>
      </c>
      <c r="B541" s="41" t="str">
        <f>IFERROR(__xludf.DUMMYFUNCTION("""COMPUTED_VALUE"""),"Blissful4")</f>
        <v>Blissful4</v>
      </c>
    </row>
    <row r="542">
      <c r="A542" s="41" t="str">
        <f>IFERROR(__xludf.DUMMYFUNCTION("""COMPUTED_VALUE"""),"RSC000541")</f>
        <v>RSC000541</v>
      </c>
      <c r="B542" s="41" t="str">
        <f>IFERROR(__xludf.DUMMYFUNCTION("""COMPUTED_VALUE"""),"MikeyK")</f>
        <v>MikeyK</v>
      </c>
    </row>
    <row r="543">
      <c r="A543" s="41" t="str">
        <f>IFERROR(__xludf.DUMMYFUNCTION("""COMPUTED_VALUE"""),"RSC000542")</f>
        <v>RSC000542</v>
      </c>
      <c r="B543" s="41" t="str">
        <f>IFERROR(__xludf.DUMMYFUNCTION("""COMPUTED_VALUE"""),"gotmott")</f>
        <v>gotmott</v>
      </c>
    </row>
    <row r="544">
      <c r="A544" s="41" t="str">
        <f>IFERROR(__xludf.DUMMYFUNCTION("""COMPUTED_VALUE"""),"RSC000543")</f>
        <v>RSC000543</v>
      </c>
      <c r="B544" s="41" t="str">
        <f>IFERROR(__xludf.DUMMYFUNCTION("""COMPUTED_VALUE"""),"Brain.")</f>
        <v>Brain.</v>
      </c>
    </row>
    <row r="545">
      <c r="A545" s="41" t="str">
        <f>IFERROR(__xludf.DUMMYFUNCTION("""COMPUTED_VALUE"""),"RSC000544")</f>
        <v>RSC000544</v>
      </c>
      <c r="B545" s="41" t="str">
        <f>IFERROR(__xludf.DUMMYFUNCTION("""COMPUTED_VALUE"""),"Xaerous")</f>
        <v>Xaerous</v>
      </c>
    </row>
    <row r="546">
      <c r="A546" s="41" t="str">
        <f>IFERROR(__xludf.DUMMYFUNCTION("""COMPUTED_VALUE"""),"RSC000545")</f>
        <v>RSC000545</v>
      </c>
      <c r="B546" s="41" t="str">
        <f>IFERROR(__xludf.DUMMYFUNCTION("""COMPUTED_VALUE"""),"A Hammered Hamster")</f>
        <v>A Hammered Hamster</v>
      </c>
    </row>
    <row r="547">
      <c r="A547" s="41" t="str">
        <f>IFERROR(__xludf.DUMMYFUNCTION("""COMPUTED_VALUE"""),"RSC000546")</f>
        <v>RSC000546</v>
      </c>
      <c r="B547" s="41" t="str">
        <f>IFERROR(__xludf.DUMMYFUNCTION("""COMPUTED_VALUE"""),"caleblee")</f>
        <v>caleblee</v>
      </c>
    </row>
    <row r="548">
      <c r="A548" s="41" t="str">
        <f>IFERROR(__xludf.DUMMYFUNCTION("""COMPUTED_VALUE"""),"RSC000547")</f>
        <v>RSC000547</v>
      </c>
      <c r="B548" s="41" t="str">
        <f>IFERROR(__xludf.DUMMYFUNCTION("""COMPUTED_VALUE"""),"RideTheFire")</f>
        <v>RideTheFire</v>
      </c>
    </row>
    <row r="549">
      <c r="A549" s="41" t="str">
        <f>IFERROR(__xludf.DUMMYFUNCTION("""COMPUTED_VALUE"""),"RSC000548")</f>
        <v>RSC000548</v>
      </c>
      <c r="B549" s="41" t="str">
        <f>IFERROR(__xludf.DUMMYFUNCTION("""COMPUTED_VALUE"""),"Marcus")</f>
        <v>Marcus</v>
      </c>
    </row>
    <row r="550">
      <c r="A550" s="41" t="str">
        <f>IFERROR(__xludf.DUMMYFUNCTION("""COMPUTED_VALUE"""),"RSC000549")</f>
        <v>RSC000549</v>
      </c>
      <c r="B550" s="41" t="str">
        <f>IFERROR(__xludf.DUMMYFUNCTION("""COMPUTED_VALUE"""),"bits")</f>
        <v>bits</v>
      </c>
    </row>
    <row r="551">
      <c r="A551" s="41" t="str">
        <f>IFERROR(__xludf.DUMMYFUNCTION("""COMPUTED_VALUE"""),"RSC000550")</f>
        <v>RSC000550</v>
      </c>
      <c r="B551" s="41" t="str">
        <f>IFERROR(__xludf.DUMMYFUNCTION("""COMPUTED_VALUE"""),"ARJ")</f>
        <v>ARJ</v>
      </c>
    </row>
    <row r="552">
      <c r="A552" s="41" t="str">
        <f>IFERROR(__xludf.DUMMYFUNCTION("""COMPUTED_VALUE"""),"RSC000551")</f>
        <v>RSC000551</v>
      </c>
      <c r="B552" s="41" t="str">
        <f>IFERROR(__xludf.DUMMYFUNCTION("""COMPUTED_VALUE"""),"GekkoS0lid")</f>
        <v>GekkoS0lid</v>
      </c>
    </row>
    <row r="553">
      <c r="A553" s="41" t="str">
        <f>IFERROR(__xludf.DUMMYFUNCTION("""COMPUTED_VALUE"""),"RSC000552")</f>
        <v>RSC000552</v>
      </c>
      <c r="B553" s="41" t="str">
        <f>IFERROR(__xludf.DUMMYFUNCTION("""COMPUTED_VALUE"""),"Cerealkiller")</f>
        <v>Cerealkiller</v>
      </c>
    </row>
    <row r="554">
      <c r="A554" s="41" t="str">
        <f>IFERROR(__xludf.DUMMYFUNCTION("""COMPUTED_VALUE"""),"RSC000553")</f>
        <v>RSC000553</v>
      </c>
      <c r="B554" s="41" t="str">
        <f>IFERROR(__xludf.DUMMYFUNCTION("""COMPUTED_VALUE"""),"m__a__y__b__e")</f>
        <v>m__a__y__b__e</v>
      </c>
    </row>
    <row r="555">
      <c r="A555" s="41" t="str">
        <f>IFERROR(__xludf.DUMMYFUNCTION("""COMPUTED_VALUE"""),"RSC000554")</f>
        <v>RSC000554</v>
      </c>
      <c r="B555" s="41" t="str">
        <f>IFERROR(__xludf.DUMMYFUNCTION("""COMPUTED_VALUE"""),"newgamewhodis")</f>
        <v>newgamewhodis</v>
      </c>
    </row>
    <row r="556">
      <c r="A556" s="41" t="str">
        <f>IFERROR(__xludf.DUMMYFUNCTION("""COMPUTED_VALUE"""),"RSC000555")</f>
        <v>RSC000555</v>
      </c>
      <c r="B556" s="41" t="str">
        <f>IFERROR(__xludf.DUMMYFUNCTION("""COMPUTED_VALUE"""),"Abom")</f>
        <v>Abom</v>
      </c>
    </row>
    <row r="557">
      <c r="A557" s="41" t="str">
        <f>IFERROR(__xludf.DUMMYFUNCTION("""COMPUTED_VALUE"""),"RSC000556")</f>
        <v>RSC000556</v>
      </c>
      <c r="B557" s="41" t="str">
        <f>IFERROR(__xludf.DUMMYFUNCTION("""COMPUTED_VALUE"""),"bananalytics")</f>
        <v>bananalytics</v>
      </c>
    </row>
    <row r="558">
      <c r="A558" s="41" t="str">
        <f>IFERROR(__xludf.DUMMYFUNCTION("""COMPUTED_VALUE"""),"RSC000557")</f>
        <v>RSC000557</v>
      </c>
      <c r="B558" s="41" t="str">
        <f>IFERROR(__xludf.DUMMYFUNCTION("""COMPUTED_VALUE"""),"Typhon.")</f>
        <v>Typhon.</v>
      </c>
    </row>
    <row r="559">
      <c r="A559" s="41" t="str">
        <f>IFERROR(__xludf.DUMMYFUNCTION("""COMPUTED_VALUE"""),"RSC000558")</f>
        <v>RSC000558</v>
      </c>
      <c r="B559" s="41" t="str">
        <f>IFERROR(__xludf.DUMMYFUNCTION("""COMPUTED_VALUE"""),"Veryraretybg")</f>
        <v>Veryraretybg</v>
      </c>
    </row>
    <row r="560">
      <c r="A560" s="41" t="str">
        <f>IFERROR(__xludf.DUMMYFUNCTION("""COMPUTED_VALUE"""),"RSC000559")</f>
        <v>RSC000559</v>
      </c>
      <c r="B560" s="41" t="str">
        <f>IFERROR(__xludf.DUMMYFUNCTION("""COMPUTED_VALUE"""),"vitali.")</f>
        <v>vitali.</v>
      </c>
    </row>
    <row r="561">
      <c r="A561" s="41" t="str">
        <f>IFERROR(__xludf.DUMMYFUNCTION("""COMPUTED_VALUE"""),"RSC000560")</f>
        <v>RSC000560</v>
      </c>
      <c r="B561" s="41" t="str">
        <f>IFERROR(__xludf.DUMMYFUNCTION("""COMPUTED_VALUE"""),"jutsin")</f>
        <v>jutsin</v>
      </c>
    </row>
    <row r="562">
      <c r="A562" s="41" t="str">
        <f>IFERROR(__xludf.DUMMYFUNCTION("""COMPUTED_VALUE"""),"RSC000561")</f>
        <v>RSC000561</v>
      </c>
      <c r="B562" s="41" t="str">
        <f>IFERROR(__xludf.DUMMYFUNCTION("""COMPUTED_VALUE"""),"Prkr")</f>
        <v>Prkr</v>
      </c>
    </row>
    <row r="563">
      <c r="A563" s="41" t="str">
        <f>IFERROR(__xludf.DUMMYFUNCTION("""COMPUTED_VALUE"""),"RSC000562")</f>
        <v>RSC000562</v>
      </c>
      <c r="B563" s="41" t="str">
        <f>IFERROR(__xludf.DUMMYFUNCTION("""COMPUTED_VALUE"""),"Whiffles")</f>
        <v>Whiffles</v>
      </c>
    </row>
    <row r="564">
      <c r="A564" s="41" t="str">
        <f>IFERROR(__xludf.DUMMYFUNCTION("""COMPUTED_VALUE"""),"RSC000563")</f>
        <v>RSC000563</v>
      </c>
      <c r="B564" s="41" t="str">
        <f>IFERROR(__xludf.DUMMYFUNCTION("""COMPUTED_VALUE"""),"Cthulhu")</f>
        <v>Cthulhu</v>
      </c>
    </row>
    <row r="565">
      <c r="A565" s="41" t="str">
        <f>IFERROR(__xludf.DUMMYFUNCTION("""COMPUTED_VALUE"""),"RSC000564")</f>
        <v>RSC000564</v>
      </c>
      <c r="B565" s="41" t="str">
        <f>IFERROR(__xludf.DUMMYFUNCTION("""COMPUTED_VALUE"""),"TreeDreams")</f>
        <v>TreeDreams</v>
      </c>
    </row>
    <row r="566">
      <c r="A566" s="41" t="str">
        <f>IFERROR(__xludf.DUMMYFUNCTION("""COMPUTED_VALUE"""),"RSC000565")</f>
        <v>RSC000565</v>
      </c>
      <c r="B566" s="41" t="str">
        <f>IFERROR(__xludf.DUMMYFUNCTION("""COMPUTED_VALUE"""),"T")</f>
        <v>T</v>
      </c>
    </row>
    <row r="567">
      <c r="A567" s="41" t="str">
        <f>IFERROR(__xludf.DUMMYFUNCTION("""COMPUTED_VALUE"""),"RSC000566")</f>
        <v>RSC000566</v>
      </c>
      <c r="B567" s="41" t="str">
        <f>IFERROR(__xludf.DUMMYFUNCTION("""COMPUTED_VALUE"""),"Miso")</f>
        <v>Miso</v>
      </c>
    </row>
    <row r="568">
      <c r="A568" s="41" t="str">
        <f>IFERROR(__xludf.DUMMYFUNCTION("""COMPUTED_VALUE"""),"RSC000567")</f>
        <v>RSC000567</v>
      </c>
      <c r="B568" s="41" t="str">
        <f>IFERROR(__xludf.DUMMYFUNCTION("""COMPUTED_VALUE"""),"Doctor Es")</f>
        <v>Doctor Es</v>
      </c>
    </row>
    <row r="569">
      <c r="A569" s="41" t="str">
        <f>IFERROR(__xludf.DUMMYFUNCTION("""COMPUTED_VALUE"""),"RSC000568")</f>
        <v>RSC000568</v>
      </c>
      <c r="B569" s="41" t="str">
        <f>IFERROR(__xludf.DUMMYFUNCTION("""COMPUTED_VALUE"""),"ShaunEdC")</f>
        <v>ShaunEdC</v>
      </c>
    </row>
    <row r="570">
      <c r="A570" s="41" t="str">
        <f>IFERROR(__xludf.DUMMYFUNCTION("""COMPUTED_VALUE"""),"RSC000569")</f>
        <v>RSC000569</v>
      </c>
      <c r="B570" s="41" t="str">
        <f>IFERROR(__xludf.DUMMYFUNCTION("""COMPUTED_VALUE"""),"Guy Flurry")</f>
        <v>Guy Flurry</v>
      </c>
    </row>
    <row r="571">
      <c r="A571" s="41" t="str">
        <f>IFERROR(__xludf.DUMMYFUNCTION("""COMPUTED_VALUE"""),"RSC000570")</f>
        <v>RSC000570</v>
      </c>
      <c r="B571" s="41" t="str">
        <f>IFERROR(__xludf.DUMMYFUNCTION("""COMPUTED_VALUE"""),"Zee")</f>
        <v>Zee</v>
      </c>
    </row>
    <row r="572">
      <c r="A572" s="41" t="str">
        <f>IFERROR(__xludf.DUMMYFUNCTION("""COMPUTED_VALUE"""),"RSC000571")</f>
        <v>RSC000571</v>
      </c>
      <c r="B572" s="41" t="str">
        <f>IFERROR(__xludf.DUMMYFUNCTION("""COMPUTED_VALUE"""),"AnarchySoldat")</f>
        <v>AnarchySoldat</v>
      </c>
    </row>
    <row r="573">
      <c r="A573" s="41" t="str">
        <f>IFERROR(__xludf.DUMMYFUNCTION("""COMPUTED_VALUE"""),"RSC000572")</f>
        <v>RSC000572</v>
      </c>
      <c r="B573" s="41" t="str">
        <f>IFERROR(__xludf.DUMMYFUNCTION("""COMPUTED_VALUE"""),"JBOMB!")</f>
        <v>JBOMB!</v>
      </c>
    </row>
    <row r="574">
      <c r="A574" s="41" t="str">
        <f>IFERROR(__xludf.DUMMYFUNCTION("""COMPUTED_VALUE"""),"RSC000573")</f>
        <v>RSC000573</v>
      </c>
      <c r="B574" s="41" t="str">
        <f>IFERROR(__xludf.DUMMYFUNCTION("""COMPUTED_VALUE"""),"Cholgole")</f>
        <v>Cholgole</v>
      </c>
    </row>
    <row r="575">
      <c r="A575" s="41" t="str">
        <f>IFERROR(__xludf.DUMMYFUNCTION("""COMPUTED_VALUE"""),"RSC000574")</f>
        <v>RSC000574</v>
      </c>
      <c r="B575" s="41" t="str">
        <f>IFERROR(__xludf.DUMMYFUNCTION("""COMPUTED_VALUE"""),"Icy")</f>
        <v>Icy</v>
      </c>
    </row>
    <row r="576">
      <c r="A576" s="41" t="str">
        <f>IFERROR(__xludf.DUMMYFUNCTION("""COMPUTED_VALUE"""),"RSC000575")</f>
        <v>RSC000575</v>
      </c>
      <c r="B576" s="41" t="str">
        <f>IFERROR(__xludf.DUMMYFUNCTION("""COMPUTED_VALUE"""),"ChancellorToph")</f>
        <v>ChancellorToph</v>
      </c>
    </row>
    <row r="577">
      <c r="A577" s="41" t="str">
        <f>IFERROR(__xludf.DUMMYFUNCTION("""COMPUTED_VALUE"""),"RSC000576")</f>
        <v>RSC000576</v>
      </c>
      <c r="B577" s="41" t="str">
        <f>IFERROR(__xludf.DUMMYFUNCTION("""COMPUTED_VALUE"""),"goldentornado17")</f>
        <v>goldentornado17</v>
      </c>
    </row>
    <row r="578">
      <c r="A578" s="41" t="str">
        <f>IFERROR(__xludf.DUMMYFUNCTION("""COMPUTED_VALUE"""),"RSC000577")</f>
        <v>RSC000577</v>
      </c>
      <c r="B578" s="41" t="str">
        <f>IFERROR(__xludf.DUMMYFUNCTION("""COMPUTED_VALUE"""),"Lord Ironskull")</f>
        <v>Lord Ironskull</v>
      </c>
    </row>
    <row r="579">
      <c r="A579" s="41" t="str">
        <f>IFERROR(__xludf.DUMMYFUNCTION("""COMPUTED_VALUE"""),"RSC000578")</f>
        <v>RSC000578</v>
      </c>
      <c r="B579" s="41" t="str">
        <f>IFERROR(__xludf.DUMMYFUNCTION("""COMPUTED_VALUE"""),"Clvr_Brz")</f>
        <v>Clvr_Brz</v>
      </c>
    </row>
    <row r="580">
      <c r="A580" s="41" t="str">
        <f>IFERROR(__xludf.DUMMYFUNCTION("""COMPUTED_VALUE"""),"RSC000579")</f>
        <v>RSC000579</v>
      </c>
      <c r="B580" s="41" t="str">
        <f>IFERROR(__xludf.DUMMYFUNCTION("""COMPUTED_VALUE"""),"Cryptt.")</f>
        <v>Cryptt.</v>
      </c>
    </row>
    <row r="581">
      <c r="A581" s="41" t="str">
        <f>IFERROR(__xludf.DUMMYFUNCTION("""COMPUTED_VALUE"""),"RSC000580")</f>
        <v>RSC000580</v>
      </c>
      <c r="B581" s="41" t="str">
        <f>IFERROR(__xludf.DUMMYFUNCTION("""COMPUTED_VALUE"""),"Legend(change)")</f>
        <v>Legend(change)</v>
      </c>
    </row>
    <row r="582">
      <c r="A582" s="41" t="str">
        <f>IFERROR(__xludf.DUMMYFUNCTION("""COMPUTED_VALUE"""),"RSC000581")</f>
        <v>RSC000581</v>
      </c>
      <c r="B582" s="41" t="str">
        <f>IFERROR(__xludf.DUMMYFUNCTION("""COMPUTED_VALUE"""),"Ducks_own")</f>
        <v>Ducks_own</v>
      </c>
    </row>
    <row r="583">
      <c r="A583" s="41" t="str">
        <f>IFERROR(__xludf.DUMMYFUNCTION("""COMPUTED_VALUE"""),"RSC000582")</f>
        <v>RSC000582</v>
      </c>
      <c r="B583" s="41" t="str">
        <f>IFERROR(__xludf.DUMMYFUNCTION("""COMPUTED_VALUE"""),"Rinzler36")</f>
        <v>Rinzler36</v>
      </c>
    </row>
    <row r="584">
      <c r="A584" s="41" t="str">
        <f>IFERROR(__xludf.DUMMYFUNCTION("""COMPUTED_VALUE"""),"RSC000583")</f>
        <v>RSC000583</v>
      </c>
      <c r="B584" s="41" t="str">
        <f>IFERROR(__xludf.DUMMYFUNCTION("""COMPUTED_VALUE"""),"Unearthlylegend")</f>
        <v>Unearthlylegend</v>
      </c>
    </row>
    <row r="585">
      <c r="A585" s="41" t="str">
        <f>IFERROR(__xludf.DUMMYFUNCTION("""COMPUTED_VALUE"""),"RSC000584")</f>
        <v>RSC000584</v>
      </c>
      <c r="B585" s="41" t="str">
        <f>IFERROR(__xludf.DUMMYFUNCTION("""COMPUTED_VALUE"""),"Doc")</f>
        <v>Doc</v>
      </c>
    </row>
    <row r="586">
      <c r="A586" s="41" t="str">
        <f>IFERROR(__xludf.DUMMYFUNCTION("""COMPUTED_VALUE"""),"RSC000585")</f>
        <v>RSC000585</v>
      </c>
      <c r="B586" s="41" t="str">
        <f>IFERROR(__xludf.DUMMYFUNCTION("""COMPUTED_VALUE"""),"Kevo")</f>
        <v>Kevo</v>
      </c>
    </row>
    <row r="587">
      <c r="A587" s="41" t="str">
        <f>IFERROR(__xludf.DUMMYFUNCTION("""COMPUTED_VALUE"""),"RSC000586")</f>
        <v>RSC000586</v>
      </c>
      <c r="B587" s="41" t="str">
        <f>IFERROR(__xludf.DUMMYFUNCTION("""COMPUTED_VALUE"""),"Mattybananas")</f>
        <v>Mattybananas</v>
      </c>
    </row>
    <row r="588">
      <c r="A588" s="41" t="str">
        <f>IFERROR(__xludf.DUMMYFUNCTION("""COMPUTED_VALUE"""),"RSC000587")</f>
        <v>RSC000587</v>
      </c>
      <c r="B588" s="41" t="str">
        <f>IFERROR(__xludf.DUMMYFUNCTION("""COMPUTED_VALUE"""),"shadowstorm")</f>
        <v>shadowstorm</v>
      </c>
    </row>
    <row r="589">
      <c r="A589" s="41" t="str">
        <f>IFERROR(__xludf.DUMMYFUNCTION("""COMPUTED_VALUE"""),"RSC000588")</f>
        <v>RSC000588</v>
      </c>
      <c r="B589" s="41" t="str">
        <f>IFERROR(__xludf.DUMMYFUNCTION("""COMPUTED_VALUE"""),"Cash")</f>
        <v>Cash</v>
      </c>
    </row>
    <row r="590">
      <c r="A590" s="41" t="str">
        <f>IFERROR(__xludf.DUMMYFUNCTION("""COMPUTED_VALUE"""),"RSC000589")</f>
        <v>RSC000589</v>
      </c>
      <c r="B590" s="41" t="str">
        <f>IFERROR(__xludf.DUMMYFUNCTION("""COMPUTED_VALUE"""),"SubZero")</f>
        <v>SubZero</v>
      </c>
    </row>
    <row r="591">
      <c r="A591" s="41" t="str">
        <f>IFERROR(__xludf.DUMMYFUNCTION("""COMPUTED_VALUE"""),"RSC000590")</f>
        <v>RSC000590</v>
      </c>
      <c r="B591" s="41" t="str">
        <f>IFERROR(__xludf.DUMMYFUNCTION("""COMPUTED_VALUE"""),"ClemsonTiger206")</f>
        <v>ClemsonTiger206</v>
      </c>
    </row>
    <row r="592">
      <c r="A592" s="41" t="str">
        <f>IFERROR(__xludf.DUMMYFUNCTION("""COMPUTED_VALUE"""),"RSC000591")</f>
        <v>RSC000591</v>
      </c>
      <c r="B592" s="41" t="str">
        <f>IFERROR(__xludf.DUMMYFUNCTION("""COMPUTED_VALUE"""),"Packers")</f>
        <v>Packers</v>
      </c>
    </row>
    <row r="593">
      <c r="A593" s="41" t="str">
        <f>IFERROR(__xludf.DUMMYFUNCTION("""COMPUTED_VALUE"""),"RSC000592")</f>
        <v>RSC000592</v>
      </c>
      <c r="B593" s="41" t="str">
        <f>IFERROR(__xludf.DUMMYFUNCTION("""COMPUTED_VALUE"""),"Alexander Gustav Newton")</f>
        <v>Alexander Gustav Newton</v>
      </c>
    </row>
    <row r="594">
      <c r="A594" s="41" t="str">
        <f>IFERROR(__xludf.DUMMYFUNCTION("""COMPUTED_VALUE"""),"RSC000593")</f>
        <v>RSC000593</v>
      </c>
      <c r="B594" s="41" t="str">
        <f>IFERROR(__xludf.DUMMYFUNCTION("""COMPUTED_VALUE"""),"JayTee")</f>
        <v>JayTee</v>
      </c>
    </row>
    <row r="595">
      <c r="A595" s="41" t="str">
        <f>IFERROR(__xludf.DUMMYFUNCTION("""COMPUTED_VALUE"""),"RSC000594")</f>
        <v>RSC000594</v>
      </c>
      <c r="B595" s="41" t="str">
        <f>IFERROR(__xludf.DUMMYFUNCTION("""COMPUTED_VALUE"""),"HeWhoGrins")</f>
        <v>HeWhoGrins</v>
      </c>
    </row>
    <row r="596">
      <c r="A596" s="41" t="str">
        <f>IFERROR(__xludf.DUMMYFUNCTION("""COMPUTED_VALUE"""),"RSC000595")</f>
        <v>RSC000595</v>
      </c>
      <c r="B596" s="41" t="str">
        <f>IFERROR(__xludf.DUMMYFUNCTION("""COMPUTED_VALUE"""),"E=MC_HAMMER")</f>
        <v>E=MC_HAMMER</v>
      </c>
    </row>
    <row r="597">
      <c r="A597" s="41" t="str">
        <f>IFERROR(__xludf.DUMMYFUNCTION("""COMPUTED_VALUE"""),"RSC000596")</f>
        <v>RSC000596</v>
      </c>
      <c r="B597" s="41" t="str">
        <f>IFERROR(__xludf.DUMMYFUNCTION("""COMPUTED_VALUE"""),"bpalms")</f>
        <v>bpalms</v>
      </c>
    </row>
    <row r="598">
      <c r="A598" s="41" t="str">
        <f>IFERROR(__xludf.DUMMYFUNCTION("""COMPUTED_VALUE"""),"RSC000597")</f>
        <v>RSC000597</v>
      </c>
      <c r="B598" s="41" t="str">
        <f>IFERROR(__xludf.DUMMYFUNCTION("""COMPUTED_VALUE"""),"noahcole1103")</f>
        <v>noahcole1103</v>
      </c>
    </row>
    <row r="599">
      <c r="A599" s="41" t="str">
        <f>IFERROR(__xludf.DUMMYFUNCTION("""COMPUTED_VALUE"""),"RSC000598")</f>
        <v>RSC000598</v>
      </c>
      <c r="B599" s="41" t="str">
        <f>IFERROR(__xludf.DUMMYFUNCTION("""COMPUTED_VALUE"""),"ProfessorFREAK")</f>
        <v>ProfessorFREAK</v>
      </c>
    </row>
    <row r="600">
      <c r="A600" s="41" t="str">
        <f>IFERROR(__xludf.DUMMYFUNCTION("""COMPUTED_VALUE"""),"RSC000599")</f>
        <v>RSC000599</v>
      </c>
      <c r="B600" s="41" t="str">
        <f>IFERROR(__xludf.DUMMYFUNCTION("""COMPUTED_VALUE"""),"maxbussman")</f>
        <v>maxbussman</v>
      </c>
    </row>
    <row r="601">
      <c r="A601" s="41" t="str">
        <f>IFERROR(__xludf.DUMMYFUNCTION("""COMPUTED_VALUE"""),"RSC000600")</f>
        <v>RSC000600</v>
      </c>
      <c r="B601" s="41" t="str">
        <f>IFERROR(__xludf.DUMMYFUNCTION("""COMPUTED_VALUE"""),"Nikolai")</f>
        <v>Nikolai</v>
      </c>
    </row>
    <row r="602">
      <c r="A602" s="41" t="str">
        <f>IFERROR(__xludf.DUMMYFUNCTION("""COMPUTED_VALUE"""),"RSC000601")</f>
        <v>RSC000601</v>
      </c>
      <c r="B602" s="41" t="str">
        <f>IFERROR(__xludf.DUMMYFUNCTION("""COMPUTED_VALUE"""),"Bxffledd")</f>
        <v>Bxffledd</v>
      </c>
    </row>
    <row r="603">
      <c r="A603" s="41" t="str">
        <f>IFERROR(__xludf.DUMMYFUNCTION("""COMPUTED_VALUE"""),"RSC000602")</f>
        <v>RSC000602</v>
      </c>
      <c r="B603" s="41" t="str">
        <f>IFERROR(__xludf.DUMMYFUNCTION("""COMPUTED_VALUE"""),"itsRipman")</f>
        <v>itsRipman</v>
      </c>
    </row>
    <row r="604">
      <c r="A604" s="41" t="str">
        <f>IFERROR(__xludf.DUMMYFUNCTION("""COMPUTED_VALUE"""),"RSC000603")</f>
        <v>RSC000603</v>
      </c>
      <c r="B604" s="41" t="str">
        <f>IFERROR(__xludf.DUMMYFUNCTION("""COMPUTED_VALUE"""),"Serbs")</f>
        <v>Serbs</v>
      </c>
    </row>
    <row r="605">
      <c r="A605" s="41" t="str">
        <f>IFERROR(__xludf.DUMMYFUNCTION("""COMPUTED_VALUE"""),"RSC000604")</f>
        <v>RSC000604</v>
      </c>
      <c r="B605" s="41" t="str">
        <f>IFERROR(__xludf.DUMMYFUNCTION("""COMPUTED_VALUE"""),"Kasook")</f>
        <v>Kasook</v>
      </c>
    </row>
    <row r="606">
      <c r="A606" s="41" t="str">
        <f>IFERROR(__xludf.DUMMYFUNCTION("""COMPUTED_VALUE"""),"RSC000605")</f>
        <v>RSC000605</v>
      </c>
      <c r="B606" s="41" t="str">
        <f>IFERROR(__xludf.DUMMYFUNCTION("""COMPUTED_VALUE"""),"jfmachine")</f>
        <v>jfmachine</v>
      </c>
    </row>
    <row r="607">
      <c r="A607" s="41" t="str">
        <f>IFERROR(__xludf.DUMMYFUNCTION("""COMPUTED_VALUE"""),"RSC000606")</f>
        <v>RSC000606</v>
      </c>
      <c r="B607" s="41" t="str">
        <f>IFERROR(__xludf.DUMMYFUNCTION("""COMPUTED_VALUE"""),"Y-Low")</f>
        <v>Y-Low</v>
      </c>
    </row>
    <row r="608">
      <c r="A608" s="41" t="str">
        <f>IFERROR(__xludf.DUMMYFUNCTION("""COMPUTED_VALUE"""),"RSC000607")</f>
        <v>RSC000607</v>
      </c>
      <c r="B608" s="41" t="str">
        <f>IFERROR(__xludf.DUMMYFUNCTION("""COMPUTED_VALUE"""),"Poppy")</f>
        <v>Poppy</v>
      </c>
    </row>
    <row r="609">
      <c r="A609" s="41" t="str">
        <f>IFERROR(__xludf.DUMMYFUNCTION("""COMPUTED_VALUE"""),"RSC000608")</f>
        <v>RSC000608</v>
      </c>
      <c r="B609" s="41" t="str">
        <f>IFERROR(__xludf.DUMMYFUNCTION("""COMPUTED_VALUE"""),"DanF")</f>
        <v>DanF</v>
      </c>
    </row>
    <row r="610">
      <c r="A610" s="41" t="str">
        <f>IFERROR(__xludf.DUMMYFUNCTION("""COMPUTED_VALUE"""),"RSC000609")</f>
        <v>RSC000609</v>
      </c>
      <c r="B610" s="41" t="str">
        <f>IFERROR(__xludf.DUMMYFUNCTION("""COMPUTED_VALUE"""),"Rum")</f>
        <v>Rum</v>
      </c>
    </row>
    <row r="611">
      <c r="A611" s="41" t="str">
        <f>IFERROR(__xludf.DUMMYFUNCTION("""COMPUTED_VALUE"""),"RSC000610")</f>
        <v>RSC000610</v>
      </c>
      <c r="B611" s="41" t="str">
        <f>IFERROR(__xludf.DUMMYFUNCTION("""COMPUTED_VALUE"""),"PIckle")</f>
        <v>PIckle</v>
      </c>
    </row>
    <row r="612">
      <c r="A612" s="41" t="str">
        <f>IFERROR(__xludf.DUMMYFUNCTION("""COMPUTED_VALUE"""),"RSC000611")</f>
        <v>RSC000611</v>
      </c>
      <c r="B612" s="41" t="str">
        <f>IFERROR(__xludf.DUMMYFUNCTION("""COMPUTED_VALUE"""),"Begawkology")</f>
        <v>Begawkology</v>
      </c>
    </row>
    <row r="613">
      <c r="A613" s="41" t="str">
        <f>IFERROR(__xludf.DUMMYFUNCTION("""COMPUTED_VALUE"""),"RSC000612")</f>
        <v>RSC000612</v>
      </c>
      <c r="B613" s="41" t="str">
        <f>IFERROR(__xludf.DUMMYFUNCTION("""COMPUTED_VALUE"""),"taq_7")</f>
        <v>taq_7</v>
      </c>
    </row>
    <row r="614">
      <c r="A614" s="41" t="str">
        <f>IFERROR(__xludf.DUMMYFUNCTION("""COMPUTED_VALUE"""),"RSC000613")</f>
        <v>RSC000613</v>
      </c>
      <c r="B614" s="41" t="str">
        <f>IFERROR(__xludf.DUMMYFUNCTION("""COMPUTED_VALUE"""),"A flappy sumo")</f>
        <v>A flappy sumo</v>
      </c>
    </row>
    <row r="615">
      <c r="A615" s="41" t="str">
        <f>IFERROR(__xludf.DUMMYFUNCTION("""COMPUTED_VALUE"""),"RSC000614")</f>
        <v>RSC000614</v>
      </c>
      <c r="B615" s="41" t="str">
        <f>IFERROR(__xludf.DUMMYFUNCTION("""COMPUTED_VALUE"""),"Porkins")</f>
        <v>Porkins</v>
      </c>
    </row>
    <row r="616">
      <c r="A616" s="41" t="str">
        <f>IFERROR(__xludf.DUMMYFUNCTION("""COMPUTED_VALUE"""),"RSC000615")</f>
        <v>RSC000615</v>
      </c>
      <c r="B616" s="41" t="str">
        <f>IFERROR(__xludf.DUMMYFUNCTION("""COMPUTED_VALUE"""),"OGSlurpee")</f>
        <v>OGSlurpee</v>
      </c>
    </row>
    <row r="617">
      <c r="A617" s="41" t="str">
        <f>IFERROR(__xludf.DUMMYFUNCTION("""COMPUTED_VALUE"""),"RSC000616")</f>
        <v>RSC000616</v>
      </c>
      <c r="B617" s="41" t="str">
        <f>IFERROR(__xludf.DUMMYFUNCTION("""COMPUTED_VALUE"""),"Expository")</f>
        <v>Expository</v>
      </c>
    </row>
    <row r="618">
      <c r="A618" s="41" t="str">
        <f>IFERROR(__xludf.DUMMYFUNCTION("""COMPUTED_VALUE"""),"RSC000617")</f>
        <v>RSC000617</v>
      </c>
      <c r="B618" s="41" t="str">
        <f>IFERROR(__xludf.DUMMYFUNCTION("""COMPUTED_VALUE"""),"Dav")</f>
        <v>Dav</v>
      </c>
    </row>
    <row r="619">
      <c r="A619" s="41" t="str">
        <f>IFERROR(__xludf.DUMMYFUNCTION("""COMPUTED_VALUE"""),"RSC000618")</f>
        <v>RSC000618</v>
      </c>
      <c r="B619" s="41" t="str">
        <f>IFERROR(__xludf.DUMMYFUNCTION("""COMPUTED_VALUE"""),"Taelo")</f>
        <v>Taelo</v>
      </c>
    </row>
    <row r="620">
      <c r="A620" s="41" t="str">
        <f>IFERROR(__xludf.DUMMYFUNCTION("""COMPUTED_VALUE"""),"RSC000619")</f>
        <v>RSC000619</v>
      </c>
      <c r="B620" s="41" t="str">
        <f>IFERROR(__xludf.DUMMYFUNCTION("""COMPUTED_VALUE"""),"Nate likes cats")</f>
        <v>Nate likes cats</v>
      </c>
    </row>
    <row r="621">
      <c r="A621" s="41" t="str">
        <f>IFERROR(__xludf.DUMMYFUNCTION("""COMPUTED_VALUE"""),"RSC000620")</f>
        <v>RSC000620</v>
      </c>
      <c r="B621" s="41" t="str">
        <f>IFERROR(__xludf.DUMMYFUNCTION("""COMPUTED_VALUE"""),"ThePaperBoy")</f>
        <v>ThePaperBoy</v>
      </c>
    </row>
    <row r="622">
      <c r="A622" s="41" t="str">
        <f>IFERROR(__xludf.DUMMYFUNCTION("""COMPUTED_VALUE"""),"RSC000621")</f>
        <v>RSC000621</v>
      </c>
      <c r="B622" s="41" t="str">
        <f>IFERROR(__xludf.DUMMYFUNCTION("""COMPUTED_VALUE"""),"OGkrish")</f>
        <v>OGkrish</v>
      </c>
    </row>
    <row r="623">
      <c r="A623" s="41" t="str">
        <f>IFERROR(__xludf.DUMMYFUNCTION("""COMPUTED_VALUE"""),"RSC000622")</f>
        <v>RSC000622</v>
      </c>
      <c r="B623" s="41" t="str">
        <f>IFERROR(__xludf.DUMMYFUNCTION("""COMPUTED_VALUE"""),"Lucid")</f>
        <v>Lucid</v>
      </c>
    </row>
    <row r="624">
      <c r="A624" s="41" t="str">
        <f>IFERROR(__xludf.DUMMYFUNCTION("""COMPUTED_VALUE"""),"RSC000623")</f>
        <v>RSC000623</v>
      </c>
      <c r="B624" s="41" t="str">
        <f>IFERROR(__xludf.DUMMYFUNCTION("""COMPUTED_VALUE"""),"wall2wall3")</f>
        <v>wall2wall3</v>
      </c>
    </row>
    <row r="625">
      <c r="A625" s="41" t="str">
        <f>IFERROR(__xludf.DUMMYFUNCTION("""COMPUTED_VALUE"""),"RSC000624")</f>
        <v>RSC000624</v>
      </c>
      <c r="B625" s="41" t="str">
        <f>IFERROR(__xludf.DUMMYFUNCTION("""COMPUTED_VALUE"""),"ANSR.")</f>
        <v>ANSR.</v>
      </c>
    </row>
    <row r="626">
      <c r="A626" s="41" t="str">
        <f>IFERROR(__xludf.DUMMYFUNCTION("""COMPUTED_VALUE"""),"RSC000625")</f>
        <v>RSC000625</v>
      </c>
      <c r="B626" s="41" t="str">
        <f>IFERROR(__xludf.DUMMYFUNCTION("""COMPUTED_VALUE"""),"Sly")</f>
        <v>Sly</v>
      </c>
    </row>
    <row r="627">
      <c r="A627" s="41" t="str">
        <f>IFERROR(__xludf.DUMMYFUNCTION("""COMPUTED_VALUE"""),"RSC000626")</f>
        <v>RSC000626</v>
      </c>
      <c r="B627" s="41" t="str">
        <f>IFERROR(__xludf.DUMMYFUNCTION("""COMPUTED_VALUE"""),"Canadian Things")</f>
        <v>Canadian Things</v>
      </c>
    </row>
    <row r="628">
      <c r="A628" s="41" t="str">
        <f>IFERROR(__xludf.DUMMYFUNCTION("""COMPUTED_VALUE"""),"RSC000627")</f>
        <v>RSC000627</v>
      </c>
      <c r="B628" s="41" t="str">
        <f>IFERROR(__xludf.DUMMYFUNCTION("""COMPUTED_VALUE"""),"Larry The Lizard, MD")</f>
        <v>Larry The Lizard, MD</v>
      </c>
    </row>
    <row r="629">
      <c r="A629" s="41" t="str">
        <f>IFERROR(__xludf.DUMMYFUNCTION("""COMPUTED_VALUE"""),"RSC000628")</f>
        <v>RSC000628</v>
      </c>
      <c r="B629" s="41" t="str">
        <f>IFERROR(__xludf.DUMMYFUNCTION("""COMPUTED_VALUE"""),"Gavinator")</f>
        <v>Gavinator</v>
      </c>
    </row>
    <row r="630">
      <c r="A630" s="41" t="str">
        <f>IFERROR(__xludf.DUMMYFUNCTION("""COMPUTED_VALUE"""),"RSC000629")</f>
        <v>RSC000629</v>
      </c>
      <c r="B630" s="41" t="str">
        <f>IFERROR(__xludf.DUMMYFUNCTION("""COMPUTED_VALUE"""),"kegs")</f>
        <v>kegs</v>
      </c>
    </row>
    <row r="631">
      <c r="A631" s="41" t="str">
        <f>IFERROR(__xludf.DUMMYFUNCTION("""COMPUTED_VALUE"""),"RSC000630")</f>
        <v>RSC000630</v>
      </c>
      <c r="B631" s="41" t="str">
        <f>IFERROR(__xludf.DUMMYFUNCTION("""COMPUTED_VALUE"""),"Roadome")</f>
        <v>Roadome</v>
      </c>
    </row>
    <row r="632">
      <c r="A632" s="41" t="str">
        <f>IFERROR(__xludf.DUMMYFUNCTION("""COMPUTED_VALUE"""),"RSC000631")</f>
        <v>RSC000631</v>
      </c>
      <c r="B632" s="41" t="str">
        <f>IFERROR(__xludf.DUMMYFUNCTION("""COMPUTED_VALUE"""),"Rcon")</f>
        <v>Rcon</v>
      </c>
    </row>
    <row r="633">
      <c r="A633" s="41" t="str">
        <f>IFERROR(__xludf.DUMMYFUNCTION("""COMPUTED_VALUE"""),"RSC000632")</f>
        <v>RSC000632</v>
      </c>
      <c r="B633" s="41" t="str">
        <f>IFERROR(__xludf.DUMMYFUNCTION("""COMPUTED_VALUE"""),"LilRodge")</f>
        <v>LilRodge</v>
      </c>
    </row>
    <row r="634">
      <c r="A634" s="41" t="str">
        <f>IFERROR(__xludf.DUMMYFUNCTION("""COMPUTED_VALUE"""),"RSC000633")</f>
        <v>RSC000633</v>
      </c>
      <c r="B634" s="41" t="str">
        <f>IFERROR(__xludf.DUMMYFUNCTION("""COMPUTED_VALUE"""),"fieryprophet")</f>
        <v>fieryprophet</v>
      </c>
    </row>
    <row r="635">
      <c r="A635" s="41" t="str">
        <f>IFERROR(__xludf.DUMMYFUNCTION("""COMPUTED_VALUE"""),"RSC000634")</f>
        <v>RSC000634</v>
      </c>
      <c r="B635" s="41" t="str">
        <f>IFERROR(__xludf.DUMMYFUNCTION("""COMPUTED_VALUE"""),"BadassWalrus")</f>
        <v>BadassWalrus</v>
      </c>
    </row>
    <row r="636">
      <c r="A636" s="41" t="str">
        <f>IFERROR(__xludf.DUMMYFUNCTION("""COMPUTED_VALUE"""),"RSC000635")</f>
        <v>RSC000635</v>
      </c>
      <c r="B636" s="41" t="str">
        <f>IFERROR(__xludf.DUMMYFUNCTION("""COMPUTED_VALUE"""),"Cousin Nicky")</f>
        <v>Cousin Nicky</v>
      </c>
    </row>
    <row r="637">
      <c r="A637" s="41" t="str">
        <f>IFERROR(__xludf.DUMMYFUNCTION("""COMPUTED_VALUE"""),"RSC000636")</f>
        <v>RSC000636</v>
      </c>
      <c r="B637" s="41" t="str">
        <f>IFERROR(__xludf.DUMMYFUNCTION("""COMPUTED_VALUE"""),"Heymycheese")</f>
        <v>Heymycheese</v>
      </c>
    </row>
    <row r="638">
      <c r="A638" s="41" t="str">
        <f>IFERROR(__xludf.DUMMYFUNCTION("""COMPUTED_VALUE"""),"RSC000637")</f>
        <v>RSC000637</v>
      </c>
      <c r="B638" s="41" t="str">
        <f>IFERROR(__xludf.DUMMYFUNCTION("""COMPUTED_VALUE"""),"StellarZenith")</f>
        <v>StellarZenith</v>
      </c>
    </row>
    <row r="639">
      <c r="A639" s="41" t="str">
        <f>IFERROR(__xludf.DUMMYFUNCTION("""COMPUTED_VALUE"""),"RSC000638")</f>
        <v>RSC000638</v>
      </c>
      <c r="B639" s="41" t="str">
        <f>IFERROR(__xludf.DUMMYFUNCTION("""COMPUTED_VALUE"""),"Me0203")</f>
        <v>Me0203</v>
      </c>
    </row>
    <row r="640">
      <c r="A640" s="41" t="str">
        <f>IFERROR(__xludf.DUMMYFUNCTION("""COMPUTED_VALUE"""),"RSC000639")</f>
        <v>RSC000639</v>
      </c>
      <c r="B640" s="41" t="str">
        <f>IFERROR(__xludf.DUMMYFUNCTION("""COMPUTED_VALUE"""),"General Mills")</f>
        <v>General Mills</v>
      </c>
    </row>
    <row r="641">
      <c r="A641" s="41" t="str">
        <f>IFERROR(__xludf.DUMMYFUNCTION("""COMPUTED_VALUE"""),"RSC000640")</f>
        <v>RSC000640</v>
      </c>
      <c r="B641" s="41" t="str">
        <f>IFERROR(__xludf.DUMMYFUNCTION("""COMPUTED_VALUE"""),"trace (change)")</f>
        <v>trace (change)</v>
      </c>
    </row>
    <row r="642">
      <c r="A642" s="41" t="str">
        <f>IFERROR(__xludf.DUMMYFUNCTION("""COMPUTED_VALUE"""),"RSC000641")</f>
        <v>RSC000641</v>
      </c>
      <c r="B642" s="41" t="str">
        <f>IFERROR(__xludf.DUMMYFUNCTION("""COMPUTED_VALUE"""),"TebOw673")</f>
        <v>TebOw673</v>
      </c>
    </row>
    <row r="643">
      <c r="A643" s="41" t="str">
        <f>IFERROR(__xludf.DUMMYFUNCTION("""COMPUTED_VALUE"""),"RSC000642")</f>
        <v>RSC000642</v>
      </c>
      <c r="B643" s="41" t="str">
        <f>IFERROR(__xludf.DUMMYFUNCTION("""COMPUTED_VALUE"""),"mawneer")</f>
        <v>mawneer</v>
      </c>
    </row>
    <row r="644">
      <c r="A644" s="41" t="str">
        <f>IFERROR(__xludf.DUMMYFUNCTION("""COMPUTED_VALUE"""),"RSC000643")</f>
        <v>RSC000643</v>
      </c>
      <c r="B644" s="41" t="str">
        <f>IFERROR(__xludf.DUMMYFUNCTION("""COMPUTED_VALUE"""),"M3 MARIO")</f>
        <v>M3 MARIO</v>
      </c>
    </row>
    <row r="645">
      <c r="A645" s="41" t="str">
        <f>IFERROR(__xludf.DUMMYFUNCTION("""COMPUTED_VALUE"""),"RSC000644")</f>
        <v>RSC000644</v>
      </c>
      <c r="B645" s="41" t="str">
        <f>IFERROR(__xludf.DUMMYFUNCTION("""COMPUTED_VALUE"""),"Flez")</f>
        <v>Flez</v>
      </c>
    </row>
    <row r="646">
      <c r="A646" s="41" t="str">
        <f>IFERROR(__xludf.DUMMYFUNCTION("""COMPUTED_VALUE"""),"RSC000645")</f>
        <v>RSC000645</v>
      </c>
      <c r="B646" s="41" t="str">
        <f>IFERROR(__xludf.DUMMYFUNCTION("""COMPUTED_VALUE"""),"DenZ")</f>
        <v>DenZ</v>
      </c>
    </row>
    <row r="647">
      <c r="A647" s="41" t="str">
        <f>IFERROR(__xludf.DUMMYFUNCTION("""COMPUTED_VALUE"""),"RSC000646")</f>
        <v>RSC000646</v>
      </c>
      <c r="B647" s="41" t="str">
        <f>IFERROR(__xludf.DUMMYFUNCTION("""COMPUTED_VALUE"""),"Munski")</f>
        <v>Munski</v>
      </c>
    </row>
    <row r="648">
      <c r="A648" s="41" t="str">
        <f>IFERROR(__xludf.DUMMYFUNCTION("""COMPUTED_VALUE"""),"RSC000647")</f>
        <v>RSC000647</v>
      </c>
      <c r="B648" s="41" t="str">
        <f>IFERROR(__xludf.DUMMYFUNCTION("""COMPUTED_VALUE"""),"Leo.")</f>
        <v>Leo.</v>
      </c>
    </row>
    <row r="649">
      <c r="A649" s="41" t="str">
        <f>IFERROR(__xludf.DUMMYFUNCTION("""COMPUTED_VALUE"""),"RSC000648")</f>
        <v>RSC000648</v>
      </c>
      <c r="B649" s="41" t="str">
        <f>IFERROR(__xludf.DUMMYFUNCTION("""COMPUTED_VALUE"""),"JuiceTh3Creator")</f>
        <v>JuiceTh3Creator</v>
      </c>
    </row>
    <row r="650">
      <c r="A650" s="41" t="str">
        <f>IFERROR(__xludf.DUMMYFUNCTION("""COMPUTED_VALUE"""),"RSC000649")</f>
        <v>RSC000649</v>
      </c>
      <c r="B650" s="41" t="str">
        <f>IFERROR(__xludf.DUMMYFUNCTION("""COMPUTED_VALUE"""),"JeiWoo")</f>
        <v>JeiWoo</v>
      </c>
    </row>
    <row r="651">
      <c r="A651" s="41" t="str">
        <f>IFERROR(__xludf.DUMMYFUNCTION("""COMPUTED_VALUE"""),"RSC000650")</f>
        <v>RSC000650</v>
      </c>
      <c r="B651" s="41" t="str">
        <f>IFERROR(__xludf.DUMMYFUNCTION("""COMPUTED_VALUE"""),"Grizz.")</f>
        <v>Grizz.</v>
      </c>
    </row>
    <row r="652">
      <c r="A652" s="41" t="str">
        <f>IFERROR(__xludf.DUMMYFUNCTION("""COMPUTED_VALUE"""),"RSC000651")</f>
        <v>RSC000651</v>
      </c>
      <c r="B652" s="41" t="str">
        <f>IFERROR(__xludf.DUMMYFUNCTION("""COMPUTED_VALUE"""),"21average")</f>
        <v>21average</v>
      </c>
    </row>
    <row r="653">
      <c r="A653" s="41" t="str">
        <f>IFERROR(__xludf.DUMMYFUNCTION("""COMPUTED_VALUE"""),"RSC000652")</f>
        <v>RSC000652</v>
      </c>
      <c r="B653" s="41" t="str">
        <f>IFERROR(__xludf.DUMMYFUNCTION("""COMPUTED_VALUE"""),"AceofAidan")</f>
        <v>AceofAidan</v>
      </c>
    </row>
    <row r="654">
      <c r="A654" s="41" t="str">
        <f>IFERROR(__xludf.DUMMYFUNCTION("""COMPUTED_VALUE"""),"RSC000653")</f>
        <v>RSC000653</v>
      </c>
      <c r="B654" s="41" t="str">
        <f>IFERROR(__xludf.DUMMYFUNCTION("""COMPUTED_VALUE"""),"Zer0Vibes")</f>
        <v>Zer0Vibes</v>
      </c>
    </row>
    <row r="655">
      <c r="A655" s="41" t="str">
        <f>IFERROR(__xludf.DUMMYFUNCTION("""COMPUTED_VALUE"""),"RSC000654")</f>
        <v>RSC000654</v>
      </c>
      <c r="B655" s="41" t="str">
        <f>IFERROR(__xludf.DUMMYFUNCTION("""COMPUTED_VALUE"""),"Rocci")</f>
        <v>Rocci</v>
      </c>
    </row>
    <row r="656">
      <c r="A656" s="41" t="str">
        <f>IFERROR(__xludf.DUMMYFUNCTION("""COMPUTED_VALUE"""),"RSC000655")</f>
        <v>RSC000655</v>
      </c>
      <c r="B656" s="41" t="str">
        <f>IFERROR(__xludf.DUMMYFUNCTION("""COMPUTED_VALUE"""),"fenixnuke")</f>
        <v>fenixnuke</v>
      </c>
    </row>
    <row r="657">
      <c r="A657" s="41" t="str">
        <f>IFERROR(__xludf.DUMMYFUNCTION("""COMPUTED_VALUE"""),"RSC000656")</f>
        <v>RSC000656</v>
      </c>
      <c r="B657" s="41" t="str">
        <f>IFERROR(__xludf.DUMMYFUNCTION("""COMPUTED_VALUE"""),"Kevbot-13")</f>
        <v>Kevbot-13</v>
      </c>
    </row>
    <row r="658">
      <c r="A658" s="41" t="str">
        <f>IFERROR(__xludf.DUMMYFUNCTION("""COMPUTED_VALUE"""),"RSC000657")</f>
        <v>RSC000657</v>
      </c>
      <c r="B658" s="41" t="str">
        <f>IFERROR(__xludf.DUMMYFUNCTION("""COMPUTED_VALUE"""),"Saucey")</f>
        <v>Saucey</v>
      </c>
    </row>
    <row r="659">
      <c r="A659" s="41" t="str">
        <f>IFERROR(__xludf.DUMMYFUNCTION("""COMPUTED_VALUE"""),"RSC000658")</f>
        <v>RSC000658</v>
      </c>
      <c r="B659" s="41" t="str">
        <f>IFERROR(__xludf.DUMMYFUNCTION("""COMPUTED_VALUE"""),"Flyxzic")</f>
        <v>Flyxzic</v>
      </c>
    </row>
    <row r="660">
      <c r="A660" s="41" t="str">
        <f>IFERROR(__xludf.DUMMYFUNCTION("""COMPUTED_VALUE"""),"RSC000659")</f>
        <v>RSC000659</v>
      </c>
      <c r="B660" s="41" t="str">
        <f>IFERROR(__xludf.DUMMYFUNCTION("""COMPUTED_VALUE"""),"atoll")</f>
        <v>atoll</v>
      </c>
    </row>
    <row r="661">
      <c r="A661" s="41" t="str">
        <f>IFERROR(__xludf.DUMMYFUNCTION("""COMPUTED_VALUE"""),"RSC000660")</f>
        <v>RSC000660</v>
      </c>
      <c r="B661" s="41" t="str">
        <f>IFERROR(__xludf.DUMMYFUNCTION("""COMPUTED_VALUE"""),"NoahBez")</f>
        <v>NoahBez</v>
      </c>
    </row>
    <row r="662">
      <c r="A662" s="41" t="str">
        <f>IFERROR(__xludf.DUMMYFUNCTION("""COMPUTED_VALUE"""),"RSC000661")</f>
        <v>RSC000661</v>
      </c>
      <c r="B662" s="41" t="str">
        <f>IFERROR(__xludf.DUMMYFUNCTION("""COMPUTED_VALUE"""),"Mack")</f>
        <v>Mack</v>
      </c>
    </row>
    <row r="663">
      <c r="A663" s="41" t="str">
        <f>IFERROR(__xludf.DUMMYFUNCTION("""COMPUTED_VALUE"""),"RSC000662")</f>
        <v>RSC000662</v>
      </c>
      <c r="B663" s="41" t="str">
        <f>IFERROR(__xludf.DUMMYFUNCTION("""COMPUTED_VALUE"""),"SparkzZ_CC")</f>
        <v>SparkzZ_CC</v>
      </c>
    </row>
    <row r="664">
      <c r="A664" s="41" t="str">
        <f>IFERROR(__xludf.DUMMYFUNCTION("""COMPUTED_VALUE"""),"RSC000663")</f>
        <v>RSC000663</v>
      </c>
      <c r="B664" s="41" t="str">
        <f>IFERROR(__xludf.DUMMYFUNCTION("""COMPUTED_VALUE"""),"DrProfessorNoah")</f>
        <v>DrProfessorNoah</v>
      </c>
    </row>
    <row r="665">
      <c r="A665" s="41" t="str">
        <f>IFERROR(__xludf.DUMMYFUNCTION("""COMPUTED_VALUE"""),"RSC000664")</f>
        <v>RSC000664</v>
      </c>
      <c r="B665" s="41" t="str">
        <f>IFERROR(__xludf.DUMMYFUNCTION("""COMPUTED_VALUE"""),"Vision")</f>
        <v>Vision</v>
      </c>
    </row>
    <row r="666">
      <c r="A666" s="41" t="str">
        <f>IFERROR(__xludf.DUMMYFUNCTION("""COMPUTED_VALUE"""),"RSC000665")</f>
        <v>RSC000665</v>
      </c>
      <c r="B666" s="41" t="str">
        <f>IFERROR(__xludf.DUMMYFUNCTION("""COMPUTED_VALUE"""),"calí")</f>
        <v>calí</v>
      </c>
    </row>
    <row r="667">
      <c r="A667" s="41" t="str">
        <f>IFERROR(__xludf.DUMMYFUNCTION("""COMPUTED_VALUE"""),"RSC000666")</f>
        <v>RSC000666</v>
      </c>
      <c r="B667" s="41" t="str">
        <f>IFERROR(__xludf.DUMMYFUNCTION("""COMPUTED_VALUE"""),"AEB311")</f>
        <v>AEB311</v>
      </c>
    </row>
    <row r="668">
      <c r="A668" s="41" t="str">
        <f>IFERROR(__xludf.DUMMYFUNCTION("""COMPUTED_VALUE"""),"RSC000667")</f>
        <v>RSC000667</v>
      </c>
      <c r="B668" s="41" t="str">
        <f>IFERROR(__xludf.DUMMYFUNCTION("""COMPUTED_VALUE"""),"Miracle")</f>
        <v>Miracle</v>
      </c>
    </row>
    <row r="669">
      <c r="A669" s="41" t="str">
        <f>IFERROR(__xludf.DUMMYFUNCTION("""COMPUTED_VALUE"""),"RSC000668")</f>
        <v>RSC000668</v>
      </c>
      <c r="B669" s="41" t="str">
        <f>IFERROR(__xludf.DUMMYFUNCTION("""COMPUTED_VALUE"""),"Jdog")</f>
        <v>Jdog</v>
      </c>
    </row>
    <row r="670">
      <c r="A670" s="41" t="str">
        <f>IFERROR(__xludf.DUMMYFUNCTION("""COMPUTED_VALUE"""),"RSC000669")</f>
        <v>RSC000669</v>
      </c>
      <c r="B670" s="41" t="str">
        <f>IFERROR(__xludf.DUMMYFUNCTION("""COMPUTED_VALUE"""),"Bobby Beans")</f>
        <v>Bobby Beans</v>
      </c>
    </row>
    <row r="671">
      <c r="A671" s="41" t="str">
        <f>IFERROR(__xludf.DUMMYFUNCTION("""COMPUTED_VALUE"""),"RSC000670")</f>
        <v>RSC000670</v>
      </c>
      <c r="B671" s="41" t="str">
        <f>IFERROR(__xludf.DUMMYFUNCTION("""COMPUTED_VALUE"""),"Victa")</f>
        <v>Victa</v>
      </c>
    </row>
    <row r="672">
      <c r="A672" s="41" t="str">
        <f>IFERROR(__xludf.DUMMYFUNCTION("""COMPUTED_VALUE"""),"RSC000671")</f>
        <v>RSC000671</v>
      </c>
      <c r="B672" s="41" t="str">
        <f>IFERROR(__xludf.DUMMYFUNCTION("""COMPUTED_VALUE"""),"jimbogun")</f>
        <v>jimbogun</v>
      </c>
    </row>
    <row r="673">
      <c r="A673" s="41" t="str">
        <f>IFERROR(__xludf.DUMMYFUNCTION("""COMPUTED_VALUE"""),"RSC000672")</f>
        <v>RSC000672</v>
      </c>
      <c r="B673" s="41" t="str">
        <f>IFERROR(__xludf.DUMMYFUNCTION("""COMPUTED_VALUE"""),"JK")</f>
        <v>JK</v>
      </c>
    </row>
    <row r="674">
      <c r="A674" s="41" t="str">
        <f>IFERROR(__xludf.DUMMYFUNCTION("""COMPUTED_VALUE"""),"RSC000673")</f>
        <v>RSC000673</v>
      </c>
      <c r="B674" s="41" t="str">
        <f>IFERROR(__xludf.DUMMYFUNCTION("""COMPUTED_VALUE"""),"Froop")</f>
        <v>Froop</v>
      </c>
    </row>
    <row r="675">
      <c r="A675" s="41" t="str">
        <f>IFERROR(__xludf.DUMMYFUNCTION("""COMPUTED_VALUE"""),"RSC000674")</f>
        <v>RSC000674</v>
      </c>
      <c r="B675" s="41" t="str">
        <f>IFERROR(__xludf.DUMMYFUNCTION("""COMPUTED_VALUE"""),"Corriher1")</f>
        <v>Corriher1</v>
      </c>
    </row>
    <row r="676">
      <c r="A676" s="41" t="str">
        <f>IFERROR(__xludf.DUMMYFUNCTION("""COMPUTED_VALUE"""),"RSC000675")</f>
        <v>RSC000675</v>
      </c>
      <c r="B676" s="41" t="str">
        <f>IFERROR(__xludf.DUMMYFUNCTION("""COMPUTED_VALUE"""),"GB_97")</f>
        <v>GB_97</v>
      </c>
    </row>
    <row r="677">
      <c r="A677" s="41" t="str">
        <f>IFERROR(__xludf.DUMMYFUNCTION("""COMPUTED_VALUE"""),"RSC000676")</f>
        <v>RSC000676</v>
      </c>
      <c r="B677" s="41" t="str">
        <f>IFERROR(__xludf.DUMMYFUNCTION("""COMPUTED_VALUE"""),"Fartsypartsio")</f>
        <v>Fartsypartsio</v>
      </c>
    </row>
    <row r="678">
      <c r="A678" s="41" t="str">
        <f>IFERROR(__xludf.DUMMYFUNCTION("""COMPUTED_VALUE"""),"RSC000677")</f>
        <v>RSC000677</v>
      </c>
      <c r="B678" s="41" t="str">
        <f>IFERROR(__xludf.DUMMYFUNCTION("""COMPUTED_VALUE"""),"Adverse")</f>
        <v>Adverse</v>
      </c>
    </row>
    <row r="679">
      <c r="A679" s="41" t="str">
        <f>IFERROR(__xludf.DUMMYFUNCTION("""COMPUTED_VALUE"""),"RSC000678")</f>
        <v>RSC000678</v>
      </c>
      <c r="B679" s="41" t="str">
        <f>IFERROR(__xludf.DUMMYFUNCTION("""COMPUTED_VALUE"""),"Volts")</f>
        <v>Volts</v>
      </c>
    </row>
    <row r="680">
      <c r="A680" s="41" t="str">
        <f>IFERROR(__xludf.DUMMYFUNCTION("""COMPUTED_VALUE"""),"RSC000679")</f>
        <v>RSC000679</v>
      </c>
      <c r="B680" s="41" t="str">
        <f>IFERROR(__xludf.DUMMYFUNCTION("""COMPUTED_VALUE"""),"DannyLotus")</f>
        <v>DannyLotus</v>
      </c>
    </row>
    <row r="681">
      <c r="A681" s="41" t="str">
        <f>IFERROR(__xludf.DUMMYFUNCTION("""COMPUTED_VALUE"""),"RSC000680")</f>
        <v>RSC000680</v>
      </c>
      <c r="B681" s="41" t="str">
        <f>IFERROR(__xludf.DUMMYFUNCTION("""COMPUTED_VALUE"""),"gapuchi")</f>
        <v>gapuchi</v>
      </c>
    </row>
    <row r="682">
      <c r="A682" s="41" t="str">
        <f>IFERROR(__xludf.DUMMYFUNCTION("""COMPUTED_VALUE"""),"RSC000681")</f>
        <v>RSC000681</v>
      </c>
      <c r="B682" s="41" t="str">
        <f>IFERROR(__xludf.DUMMYFUNCTION("""COMPUTED_VALUE"""),"masonmoser19")</f>
        <v>masonmoser19</v>
      </c>
    </row>
    <row r="683">
      <c r="A683" s="41" t="str">
        <f>IFERROR(__xludf.DUMMYFUNCTION("""COMPUTED_VALUE"""),"RSC000682")</f>
        <v>RSC000682</v>
      </c>
      <c r="B683" s="41" t="str">
        <f>IFERROR(__xludf.DUMMYFUNCTION("""COMPUTED_VALUE"""),"Mooshu")</f>
        <v>Mooshu</v>
      </c>
    </row>
    <row r="684">
      <c r="A684" s="41" t="str">
        <f>IFERROR(__xludf.DUMMYFUNCTION("""COMPUTED_VALUE"""),"RSC000683")</f>
        <v>RSC000683</v>
      </c>
      <c r="B684" s="41" t="str">
        <f>IFERROR(__xludf.DUMMYFUNCTION("""COMPUTED_VALUE"""),"Jiggy")</f>
        <v>Jiggy</v>
      </c>
    </row>
    <row r="685">
      <c r="A685" s="41" t="str">
        <f>IFERROR(__xludf.DUMMYFUNCTION("""COMPUTED_VALUE"""),"RSC000684")</f>
        <v>RSC000684</v>
      </c>
      <c r="B685" s="41" t="str">
        <f>IFERROR(__xludf.DUMMYFUNCTION("""COMPUTED_VALUE"""),"Kanman01")</f>
        <v>Kanman01</v>
      </c>
    </row>
    <row r="686">
      <c r="A686" s="41" t="str">
        <f>IFERROR(__xludf.DUMMYFUNCTION("""COMPUTED_VALUE"""),"RSC000685")</f>
        <v>RSC000685</v>
      </c>
      <c r="B686" s="41" t="str">
        <f>IFERROR(__xludf.DUMMYFUNCTION("""COMPUTED_VALUE"""),"DaTurquoisOrang")</f>
        <v>DaTurquoisOrang</v>
      </c>
    </row>
    <row r="687">
      <c r="A687" s="41" t="str">
        <f>IFERROR(__xludf.DUMMYFUNCTION("""COMPUTED_VALUE"""),"RSC000686")</f>
        <v>RSC000686</v>
      </c>
      <c r="B687" s="41" t="str">
        <f>IFERROR(__xludf.DUMMYFUNCTION("""COMPUTED_VALUE"""),"mom jeans xl")</f>
        <v>mom jeans xl</v>
      </c>
    </row>
    <row r="688">
      <c r="A688" s="41" t="str">
        <f>IFERROR(__xludf.DUMMYFUNCTION("""COMPUTED_VALUE"""),"RSC000687")</f>
        <v>RSC000687</v>
      </c>
      <c r="B688" s="41" t="str">
        <f>IFERROR(__xludf.DUMMYFUNCTION("""COMPUTED_VALUE"""),"𝐋𝐮𝐧𝐚𝐫 ☾")</f>
        <v>𝐋𝐮𝐧𝐚𝐫 ☾</v>
      </c>
    </row>
    <row r="689">
      <c r="A689" s="41" t="str">
        <f>IFERROR(__xludf.DUMMYFUNCTION("""COMPUTED_VALUE"""),"RSC000688")</f>
        <v>RSC000688</v>
      </c>
      <c r="B689" s="41" t="str">
        <f>IFERROR(__xludf.DUMMYFUNCTION("""COMPUTED_VALUE"""),"Natty")</f>
        <v>Natty</v>
      </c>
    </row>
    <row r="690">
      <c r="A690" s="41" t="str">
        <f>IFERROR(__xludf.DUMMYFUNCTION("""COMPUTED_VALUE"""),"RSC000689")</f>
        <v>RSC000689</v>
      </c>
      <c r="B690" s="41" t="str">
        <f>IFERROR(__xludf.DUMMYFUNCTION("""COMPUTED_VALUE"""),"tuna")</f>
        <v>tuna</v>
      </c>
    </row>
    <row r="691">
      <c r="A691" s="41" t="str">
        <f>IFERROR(__xludf.DUMMYFUNCTION("""COMPUTED_VALUE"""),"RSC000690")</f>
        <v>RSC000690</v>
      </c>
      <c r="B691" s="41" t="str">
        <f>IFERROR(__xludf.DUMMYFUNCTION("""COMPUTED_VALUE"""),"paco")</f>
        <v>paco</v>
      </c>
    </row>
    <row r="692">
      <c r="A692" s="41" t="str">
        <f>IFERROR(__xludf.DUMMYFUNCTION("""COMPUTED_VALUE"""),"RSC000691")</f>
        <v>RSC000691</v>
      </c>
      <c r="B692" s="41" t="str">
        <f>IFERROR(__xludf.DUMMYFUNCTION("""COMPUTED_VALUE"""),"Karma_")</f>
        <v>Karma_</v>
      </c>
    </row>
    <row r="693">
      <c r="A693" s="41" t="str">
        <f>IFERROR(__xludf.DUMMYFUNCTION("""COMPUTED_VALUE"""),"RSC000692")</f>
        <v>RSC000692</v>
      </c>
      <c r="B693" s="41" t="str">
        <f>IFERROR(__xludf.DUMMYFUNCTION("""COMPUTED_VALUE"""),"GCP_Concept")</f>
        <v>GCP_Concept</v>
      </c>
    </row>
    <row r="694">
      <c r="A694" s="41" t="str">
        <f>IFERROR(__xludf.DUMMYFUNCTION("""COMPUTED_VALUE"""),"RSC000693")</f>
        <v>RSC000693</v>
      </c>
      <c r="B694" s="41" t="str">
        <f>IFERROR(__xludf.DUMMYFUNCTION("""COMPUTED_VALUE"""),"Averytt10")</f>
        <v>Averytt10</v>
      </c>
    </row>
    <row r="695">
      <c r="A695" s="41" t="str">
        <f>IFERROR(__xludf.DUMMYFUNCTION("""COMPUTED_VALUE"""),"RSC000694")</f>
        <v>RSC000694</v>
      </c>
      <c r="B695" s="41" t="str">
        <f>IFERROR(__xludf.DUMMYFUNCTION("""COMPUTED_VALUE"""),"Pi'erre")</f>
        <v>Pi'erre</v>
      </c>
    </row>
    <row r="696">
      <c r="A696" s="41" t="str">
        <f>IFERROR(__xludf.DUMMYFUNCTION("""COMPUTED_VALUE"""),"RSC000695")</f>
        <v>RSC000695</v>
      </c>
      <c r="B696" s="41" t="str">
        <f>IFERROR(__xludf.DUMMYFUNCTION("""COMPUTED_VALUE"""),"Untamed")</f>
        <v>Untamed</v>
      </c>
    </row>
    <row r="697">
      <c r="A697" s="41" t="str">
        <f>IFERROR(__xludf.DUMMYFUNCTION("""COMPUTED_VALUE"""),"RSC000696")</f>
        <v>RSC000696</v>
      </c>
      <c r="B697" s="41" t="str">
        <f>IFERROR(__xludf.DUMMYFUNCTION("""COMPUTED_VALUE"""),"Exccentrik")</f>
        <v>Exccentrik</v>
      </c>
    </row>
    <row r="698">
      <c r="A698" s="41" t="str">
        <f>IFERROR(__xludf.DUMMYFUNCTION("""COMPUTED_VALUE"""),"RSC000697")</f>
        <v>RSC000697</v>
      </c>
      <c r="B698" s="41" t="str">
        <f>IFERROR(__xludf.DUMMYFUNCTION("""COMPUTED_VALUE"""),"Dolphino")</f>
        <v>Dolphino</v>
      </c>
    </row>
    <row r="699">
      <c r="A699" s="41" t="str">
        <f>IFERROR(__xludf.DUMMYFUNCTION("""COMPUTED_VALUE"""),"RSC000698")</f>
        <v>RSC000698</v>
      </c>
      <c r="B699" s="41" t="str">
        <f>IFERROR(__xludf.DUMMYFUNCTION("""COMPUTED_VALUE"""),"Inedibledeer")</f>
        <v>Inedibledeer</v>
      </c>
    </row>
    <row r="700">
      <c r="A700" s="41" t="str">
        <f>IFERROR(__xludf.DUMMYFUNCTION("""COMPUTED_VALUE"""),"RSC000699")</f>
        <v>RSC000699</v>
      </c>
      <c r="B700" s="41" t="str">
        <f>IFERROR(__xludf.DUMMYFUNCTION("""COMPUTED_VALUE"""),"Girty")</f>
        <v>Girty</v>
      </c>
    </row>
    <row r="701">
      <c r="A701" s="41" t="str">
        <f>IFERROR(__xludf.DUMMYFUNCTION("""COMPUTED_VALUE"""),"RSC000700")</f>
        <v>RSC000700</v>
      </c>
      <c r="B701" s="41" t="str">
        <f>IFERROR(__xludf.DUMMYFUNCTION("""COMPUTED_VALUE"""),"limited")</f>
        <v>limited</v>
      </c>
    </row>
    <row r="702">
      <c r="A702" s="41" t="str">
        <f>IFERROR(__xludf.DUMMYFUNCTION("""COMPUTED_VALUE"""),"RSC000701")</f>
        <v>RSC000701</v>
      </c>
      <c r="B702" s="41" t="str">
        <f>IFERROR(__xludf.DUMMYFUNCTION("""COMPUTED_VALUE"""),"sdo929")</f>
        <v>sdo929</v>
      </c>
    </row>
    <row r="703">
      <c r="A703" s="41" t="str">
        <f>IFERROR(__xludf.DUMMYFUNCTION("""COMPUTED_VALUE"""),"RSC000702")</f>
        <v>RSC000702</v>
      </c>
      <c r="B703" s="41" t="str">
        <f>IFERROR(__xludf.DUMMYFUNCTION("""COMPUTED_VALUE"""),"potatogamer-_-")</f>
        <v>potatogamer-_-</v>
      </c>
    </row>
    <row r="704">
      <c r="A704" s="41" t="str">
        <f>IFERROR(__xludf.DUMMYFUNCTION("""COMPUTED_VALUE"""),"RSC000703")</f>
        <v>RSC000703</v>
      </c>
      <c r="B704" s="41" t="str">
        <f>IFERROR(__xludf.DUMMYFUNCTION("""COMPUTED_VALUE"""),"mrmagato")</f>
        <v>mrmagato</v>
      </c>
    </row>
    <row r="705">
      <c r="A705" s="41" t="str">
        <f>IFERROR(__xludf.DUMMYFUNCTION("""COMPUTED_VALUE"""),"RSC000704")</f>
        <v>RSC000704</v>
      </c>
      <c r="B705" s="41" t="str">
        <f>IFERROR(__xludf.DUMMYFUNCTION("""COMPUTED_VALUE"""),"GCP_Jackpot")</f>
        <v>GCP_Jackpot</v>
      </c>
    </row>
    <row r="706">
      <c r="A706" s="41" t="str">
        <f>IFERROR(__xludf.DUMMYFUNCTION("""COMPUTED_VALUE"""),"RSC000705")</f>
        <v>RSC000705</v>
      </c>
      <c r="B706" s="41" t="str">
        <f>IFERROR(__xludf.DUMMYFUNCTION("""COMPUTED_VALUE"""),"Veltri")</f>
        <v>Veltri</v>
      </c>
    </row>
    <row r="707">
      <c r="A707" s="41" t="str">
        <f>IFERROR(__xludf.DUMMYFUNCTION("""COMPUTED_VALUE"""),"RSC000706")</f>
        <v>RSC000706</v>
      </c>
      <c r="B707" s="41" t="str">
        <f>IFERROR(__xludf.DUMMYFUNCTION("""COMPUTED_VALUE"""),"Grez")</f>
        <v>Grez</v>
      </c>
    </row>
    <row r="708">
      <c r="A708" s="41" t="str">
        <f>IFERROR(__xludf.DUMMYFUNCTION("""COMPUTED_VALUE"""),"RSC000707")</f>
        <v>RSC000707</v>
      </c>
      <c r="B708" s="41" t="str">
        <f>IFERROR(__xludf.DUMMYFUNCTION("""COMPUTED_VALUE"""),"𝔂ou 𝓪re 𝓪 𝓼tar 𝓲n 𝓶y 𝓼ky")</f>
        <v>𝔂ou 𝓪re 𝓪 𝓼tar 𝓲n 𝓶y 𝓼ky</v>
      </c>
    </row>
    <row r="709">
      <c r="A709" s="41" t="str">
        <f>IFERROR(__xludf.DUMMYFUNCTION("""COMPUTED_VALUE"""),"RSC000708")</f>
        <v>RSC000708</v>
      </c>
      <c r="B709" s="41" t="str">
        <f>IFERROR(__xludf.DUMMYFUNCTION("""COMPUTED_VALUE"""),"Ledbone")</f>
        <v>Ledbone</v>
      </c>
    </row>
    <row r="710">
      <c r="A710" s="41" t="str">
        <f>IFERROR(__xludf.DUMMYFUNCTION("""COMPUTED_VALUE"""),"RSC000709")</f>
        <v>RSC000709</v>
      </c>
      <c r="B710" s="41" t="str">
        <f>IFERROR(__xludf.DUMMYFUNCTION("""COMPUTED_VALUE"""),"Buck(change)")</f>
        <v>Buck(change)</v>
      </c>
    </row>
    <row r="711">
      <c r="A711" s="41" t="str">
        <f>IFERROR(__xludf.DUMMYFUNCTION("""COMPUTED_VALUE"""),"RSC000710")</f>
        <v>RSC000710</v>
      </c>
      <c r="B711" s="41" t="str">
        <f>IFERROR(__xludf.DUMMYFUNCTION("""COMPUTED_VALUE"""),"tigertopaz")</f>
        <v>tigertopaz</v>
      </c>
    </row>
    <row r="712">
      <c r="A712" s="41" t="str">
        <f>IFERROR(__xludf.DUMMYFUNCTION("""COMPUTED_VALUE"""),"RSC000711")</f>
        <v>RSC000711</v>
      </c>
      <c r="B712" s="41" t="str">
        <f>IFERROR(__xludf.DUMMYFUNCTION("""COMPUTED_VALUE"""),"aloza")</f>
        <v>aloza</v>
      </c>
    </row>
    <row r="713">
      <c r="A713" s="41" t="str">
        <f>IFERROR(__xludf.DUMMYFUNCTION("""COMPUTED_VALUE"""),"RSC000712")</f>
        <v>RSC000712</v>
      </c>
      <c r="B713" s="41" t="str">
        <f>IFERROR(__xludf.DUMMYFUNCTION("""COMPUTED_VALUE"""),"Laprius")</f>
        <v>Laprius</v>
      </c>
    </row>
    <row r="714">
      <c r="A714" s="41" t="str">
        <f>IFERROR(__xludf.DUMMYFUNCTION("""COMPUTED_VALUE"""),"RSC000713")</f>
        <v>RSC000713</v>
      </c>
      <c r="B714" s="41" t="str">
        <f>IFERROR(__xludf.DUMMYFUNCTION("""COMPUTED_VALUE"""),"Totoro")</f>
        <v>Totoro</v>
      </c>
    </row>
    <row r="715">
      <c r="A715" s="41" t="str">
        <f>IFERROR(__xludf.DUMMYFUNCTION("""COMPUTED_VALUE"""),"RSC000714")</f>
        <v>RSC000714</v>
      </c>
      <c r="B715" s="41" t="str">
        <f>IFERROR(__xludf.DUMMYFUNCTION("""COMPUTED_VALUE"""),"duffy")</f>
        <v>duffy</v>
      </c>
    </row>
    <row r="716">
      <c r="A716" s="41" t="str">
        <f>IFERROR(__xludf.DUMMYFUNCTION("""COMPUTED_VALUE"""),"RSC000715")</f>
        <v>RSC000715</v>
      </c>
      <c r="B716" s="41" t="str">
        <f>IFERROR(__xludf.DUMMYFUNCTION("""COMPUTED_VALUE"""),"IndecisiveSquirrel")</f>
        <v>IndecisiveSquirrel</v>
      </c>
    </row>
    <row r="717">
      <c r="A717" s="41" t="str">
        <f>IFERROR(__xludf.DUMMYFUNCTION("""COMPUTED_VALUE"""),"RSC000716")</f>
        <v>RSC000716</v>
      </c>
      <c r="B717" s="41" t="str">
        <f>IFERROR(__xludf.DUMMYFUNCTION("""COMPUTED_VALUE"""),"mochi changename ?")</f>
        <v>mochi changename ?</v>
      </c>
    </row>
    <row r="718">
      <c r="A718" s="41" t="str">
        <f>IFERROR(__xludf.DUMMYFUNCTION("""COMPUTED_VALUE"""),"RSC000717")</f>
        <v>RSC000717</v>
      </c>
      <c r="B718" s="41" t="str">
        <f>IFERROR(__xludf.DUMMYFUNCTION("""COMPUTED_VALUE"""),"SINdalu")</f>
        <v>SINdalu</v>
      </c>
    </row>
    <row r="719">
      <c r="A719" s="41" t="str">
        <f>IFERROR(__xludf.DUMMYFUNCTION("""COMPUTED_VALUE"""),"RSC000718")</f>
        <v>RSC000718</v>
      </c>
      <c r="B719" s="41" t="str">
        <f>IFERROR(__xludf.DUMMYFUNCTION("""COMPUTED_VALUE"""),"Hive")</f>
        <v>Hive</v>
      </c>
    </row>
    <row r="720">
      <c r="A720" s="41" t="str">
        <f>IFERROR(__xludf.DUMMYFUNCTION("""COMPUTED_VALUE"""),"RSC000719")</f>
        <v>RSC000719</v>
      </c>
      <c r="B720" s="41" t="str">
        <f>IFERROR(__xludf.DUMMYFUNCTION("""COMPUTED_VALUE"""),"TTV Shadowasders")</f>
        <v>TTV Shadowasders</v>
      </c>
    </row>
    <row r="721">
      <c r="A721" s="41" t="str">
        <f>IFERROR(__xludf.DUMMYFUNCTION("""COMPUTED_VALUE"""),"RSC000720")</f>
        <v>RSC000720</v>
      </c>
      <c r="B721" s="41" t="str">
        <f>IFERROR(__xludf.DUMMYFUNCTION("""COMPUTED_VALUE"""),"WaterYDSB")</f>
        <v>WaterYDSB</v>
      </c>
    </row>
    <row r="722">
      <c r="A722" s="41" t="str">
        <f>IFERROR(__xludf.DUMMYFUNCTION("""COMPUTED_VALUE"""),"RSC000721")</f>
        <v>RSC000721</v>
      </c>
      <c r="B722" s="41" t="str">
        <f>IFERROR(__xludf.DUMMYFUNCTION("""COMPUTED_VALUE"""),"Dyce")</f>
        <v>Dyce</v>
      </c>
    </row>
    <row r="723">
      <c r="A723" s="41" t="str">
        <f>IFERROR(__xludf.DUMMYFUNCTION("""COMPUTED_VALUE"""),"RSC000722")</f>
        <v>RSC000722</v>
      </c>
      <c r="B723" s="41" t="str">
        <f>IFERROR(__xludf.DUMMYFUNCTION("""COMPUTED_VALUE"""),"Yoder")</f>
        <v>Yoder</v>
      </c>
    </row>
    <row r="724">
      <c r="A724" s="41" t="str">
        <f>IFERROR(__xludf.DUMMYFUNCTION("""COMPUTED_VALUE"""),"RSC000723")</f>
        <v>RSC000723</v>
      </c>
      <c r="B724" s="41" t="str">
        <f>IFERROR(__xludf.DUMMYFUNCTION("""COMPUTED_VALUE"""),"kntihasdbfh")</f>
        <v>kntihasdbfh</v>
      </c>
    </row>
    <row r="725">
      <c r="A725" s="41" t="str">
        <f>IFERROR(__xludf.DUMMYFUNCTION("""COMPUTED_VALUE"""),"RSC000724")</f>
        <v>RSC000724</v>
      </c>
      <c r="B725" s="41" t="str">
        <f>IFERROR(__xludf.DUMMYFUNCTION("""COMPUTED_VALUE"""),"dunnie14")</f>
        <v>dunnie14</v>
      </c>
    </row>
    <row r="726">
      <c r="A726" s="41" t="str">
        <f>IFERROR(__xludf.DUMMYFUNCTION("""COMPUTED_VALUE"""),"RSC000725")</f>
        <v>RSC000725</v>
      </c>
      <c r="B726" s="41" t="str">
        <f>IFERROR(__xludf.DUMMYFUNCTION("""COMPUTED_VALUE"""),"bJax")</f>
        <v>bJax</v>
      </c>
    </row>
    <row r="727">
      <c r="A727" s="41" t="str">
        <f>IFERROR(__xludf.DUMMYFUNCTION("""COMPUTED_VALUE"""),"RSC000726")</f>
        <v>RSC000726</v>
      </c>
      <c r="B727" s="41" t="str">
        <f>IFERROR(__xludf.DUMMYFUNCTION("""COMPUTED_VALUE"""),"Way2Luckee")</f>
        <v>Way2Luckee</v>
      </c>
    </row>
    <row r="728">
      <c r="A728" s="41" t="str">
        <f>IFERROR(__xludf.DUMMYFUNCTION("""COMPUTED_VALUE"""),"RSC000727")</f>
        <v>RSC000727</v>
      </c>
      <c r="B728" s="41" t="str">
        <f>IFERROR(__xludf.DUMMYFUNCTION("""COMPUTED_VALUE"""),"DLCrampton")</f>
        <v>DLCrampton</v>
      </c>
    </row>
    <row r="729">
      <c r="A729" s="41" t="str">
        <f>IFERROR(__xludf.DUMMYFUNCTION("""COMPUTED_VALUE"""),"RSC000728")</f>
        <v>RSC000728</v>
      </c>
      <c r="B729" s="41" t="str">
        <f>IFERROR(__xludf.DUMMYFUNCTION("""COMPUTED_VALUE"""),"Gatman")</f>
        <v>Gatman</v>
      </c>
    </row>
    <row r="730">
      <c r="A730" s="41" t="str">
        <f>IFERROR(__xludf.DUMMYFUNCTION("""COMPUTED_VALUE"""),"RSC000729")</f>
        <v>RSC000729</v>
      </c>
      <c r="B730" s="41" t="str">
        <f>IFERROR(__xludf.DUMMYFUNCTION("""COMPUTED_VALUE"""),"jack")</f>
        <v>jack</v>
      </c>
    </row>
    <row r="731">
      <c r="A731" s="41" t="str">
        <f>IFERROR(__xludf.DUMMYFUNCTION("""COMPUTED_VALUE"""),"RSC000730")</f>
        <v>RSC000730</v>
      </c>
      <c r="B731" s="41" t="str">
        <f>IFERROR(__xludf.DUMMYFUNCTION("""COMPUTED_VALUE"""),"silly2bunny3")</f>
        <v>silly2bunny3</v>
      </c>
    </row>
    <row r="732">
      <c r="A732" s="41" t="str">
        <f>IFERROR(__xludf.DUMMYFUNCTION("""COMPUTED_VALUE"""),"RSC000731")</f>
        <v>RSC000731</v>
      </c>
      <c r="B732" s="41" t="str">
        <f>IFERROR(__xludf.DUMMYFUNCTION("""COMPUTED_VALUE"""),"mm2")</f>
        <v>mm2</v>
      </c>
    </row>
    <row r="733">
      <c r="A733" s="41" t="str">
        <f>IFERROR(__xludf.DUMMYFUNCTION("""COMPUTED_VALUE"""),"RSC000732")</f>
        <v>RSC000732</v>
      </c>
      <c r="B733" s="41" t="str">
        <f>IFERROR(__xludf.DUMMYFUNCTION("""COMPUTED_VALUE"""),"Chuggy")</f>
        <v>Chuggy</v>
      </c>
    </row>
    <row r="734">
      <c r="A734" s="41" t="str">
        <f>IFERROR(__xludf.DUMMYFUNCTION("""COMPUTED_VALUE"""),"RSC000733")</f>
        <v>RSC000733</v>
      </c>
      <c r="B734" s="41" t="str">
        <f>IFERROR(__xludf.DUMMYFUNCTION("""COMPUTED_VALUE"""),"Mako-change")</f>
        <v>Mako-change</v>
      </c>
    </row>
    <row r="735">
      <c r="A735" s="41" t="str">
        <f>IFERROR(__xludf.DUMMYFUNCTION("""COMPUTED_VALUE"""),"RSC000734")</f>
        <v>RSC000734</v>
      </c>
      <c r="B735" s="41" t="str">
        <f>IFERROR(__xludf.DUMMYFUNCTION("""COMPUTED_VALUE"""),"Unknown S IV")</f>
        <v>Unknown S IV</v>
      </c>
    </row>
    <row r="736">
      <c r="A736" s="41" t="str">
        <f>IFERROR(__xludf.DUMMYFUNCTION("""COMPUTED_VALUE"""),"RSC000735")</f>
        <v>RSC000735</v>
      </c>
      <c r="B736" s="41" t="str">
        <f>IFERROR(__xludf.DUMMYFUNCTION("""COMPUTED_VALUE"""),"Feen's Pal")</f>
        <v>Feen's Pal</v>
      </c>
    </row>
    <row r="737">
      <c r="A737" s="41" t="str">
        <f>IFERROR(__xludf.DUMMYFUNCTION("""COMPUTED_VALUE"""),"RSC000736")</f>
        <v>RSC000736</v>
      </c>
      <c r="B737" s="41" t="str">
        <f>IFERROR(__xludf.DUMMYFUNCTION("""COMPUTED_VALUE"""),"clint9smith")</f>
        <v>clint9smith</v>
      </c>
    </row>
    <row r="738">
      <c r="A738" s="41" t="str">
        <f>IFERROR(__xludf.DUMMYFUNCTION("""COMPUTED_VALUE"""),"RSC000737")</f>
        <v>RSC000737</v>
      </c>
      <c r="B738" s="41" t="str">
        <f>IFERROR(__xludf.DUMMYFUNCTION("""COMPUTED_VALUE"""),"AlienHealer")</f>
        <v>AlienHealer</v>
      </c>
    </row>
    <row r="739">
      <c r="A739" s="41" t="str">
        <f>IFERROR(__xludf.DUMMYFUNCTION("""COMPUTED_VALUE"""),"RSC000738")</f>
        <v>RSC000738</v>
      </c>
      <c r="B739" s="41" t="str">
        <f>IFERROR(__xludf.DUMMYFUNCTION("""COMPUTED_VALUE"""),"Evil llama lord")</f>
        <v>Evil llama lord</v>
      </c>
    </row>
    <row r="740">
      <c r="A740" s="41" t="str">
        <f>IFERROR(__xludf.DUMMYFUNCTION("""COMPUTED_VALUE"""),"RSC000739")</f>
        <v>RSC000739</v>
      </c>
      <c r="B740" s="41" t="str">
        <f>IFERROR(__xludf.DUMMYFUNCTION("""COMPUTED_VALUE"""),"Salty")</f>
        <v>Salty</v>
      </c>
    </row>
    <row r="741">
      <c r="A741" s="41" t="str">
        <f>IFERROR(__xludf.DUMMYFUNCTION("""COMPUTED_VALUE"""),"RSC000740")</f>
        <v>RSC000740</v>
      </c>
      <c r="B741" s="41" t="str">
        <f>IFERROR(__xludf.DUMMYFUNCTION("""COMPUTED_VALUE"""),"Huggie xD")</f>
        <v>Huggie xD</v>
      </c>
    </row>
    <row r="742">
      <c r="A742" s="41" t="str">
        <f>IFERROR(__xludf.DUMMYFUNCTION("""COMPUTED_VALUE"""),"RSC000741")</f>
        <v>RSC000741</v>
      </c>
      <c r="B742" s="41" t="str">
        <f>IFERROR(__xludf.DUMMYFUNCTION("""COMPUTED_VALUE"""),"SvG_KingCanix")</f>
        <v>SvG_KingCanix</v>
      </c>
    </row>
    <row r="743">
      <c r="A743" s="41" t="str">
        <f>IFERROR(__xludf.DUMMYFUNCTION("""COMPUTED_VALUE"""),"RSC000742")</f>
        <v>RSC000742</v>
      </c>
      <c r="B743" s="41" t="str">
        <f>IFERROR(__xludf.DUMMYFUNCTION("""COMPUTED_VALUE"""),"Trunkles")</f>
        <v>Trunkles</v>
      </c>
    </row>
    <row r="744">
      <c r="A744" s="41" t="str">
        <f>IFERROR(__xludf.DUMMYFUNCTION("""COMPUTED_VALUE"""),"RSC000743")</f>
        <v>RSC000743</v>
      </c>
      <c r="B744" s="41" t="str">
        <f>IFERROR(__xludf.DUMMYFUNCTION("""COMPUTED_VALUE"""),"SelfishGamer")</f>
        <v>SelfishGamer</v>
      </c>
    </row>
    <row r="745">
      <c r="A745" s="41" t="str">
        <f>IFERROR(__xludf.DUMMYFUNCTION("""COMPUTED_VALUE"""),"RSC000744")</f>
        <v>RSC000744</v>
      </c>
      <c r="B745" s="41" t="str">
        <f>IFERROR(__xludf.DUMMYFUNCTION("""COMPUTED_VALUE"""),"RisenWolfChamp")</f>
        <v>RisenWolfChamp</v>
      </c>
    </row>
    <row r="746">
      <c r="A746" s="41" t="str">
        <f>IFERROR(__xludf.DUMMYFUNCTION("""COMPUTED_VALUE"""),"RSC000745")</f>
        <v>RSC000745</v>
      </c>
      <c r="B746" s="41" t="str">
        <f>IFERROR(__xludf.DUMMYFUNCTION("""COMPUTED_VALUE"""),"jpablo")</f>
        <v>jpablo</v>
      </c>
    </row>
    <row r="747">
      <c r="A747" s="41" t="str">
        <f>IFERROR(__xludf.DUMMYFUNCTION("""COMPUTED_VALUE"""),"RSC000746")</f>
        <v>RSC000746</v>
      </c>
      <c r="B747" s="41" t="str">
        <f>IFERROR(__xludf.DUMMYFUNCTION("""COMPUTED_VALUE"""),"Hower84")</f>
        <v>Hower84</v>
      </c>
    </row>
    <row r="748">
      <c r="A748" s="41" t="str">
        <f>IFERROR(__xludf.DUMMYFUNCTION("""COMPUTED_VALUE"""),"RSC000747")</f>
        <v>RSC000747</v>
      </c>
      <c r="B748" s="41" t="str">
        <f>IFERROR(__xludf.DUMMYFUNCTION("""COMPUTED_VALUE"""),"Rezlaxer15")</f>
        <v>Rezlaxer15</v>
      </c>
    </row>
    <row r="749">
      <c r="A749" s="41" t="str">
        <f>IFERROR(__xludf.DUMMYFUNCTION("""COMPUTED_VALUE"""),"RSC000748")</f>
        <v>RSC000748</v>
      </c>
      <c r="B749" s="41" t="str">
        <f>IFERROR(__xludf.DUMMYFUNCTION("""COMPUTED_VALUE"""),"Aberinkula")</f>
        <v>Aberinkula</v>
      </c>
    </row>
    <row r="750">
      <c r="A750" s="41" t="str">
        <f>IFERROR(__xludf.DUMMYFUNCTION("""COMPUTED_VALUE"""),"RSC000749")</f>
        <v>RSC000749</v>
      </c>
      <c r="B750" s="41" t="str">
        <f>IFERROR(__xludf.DUMMYFUNCTION("""COMPUTED_VALUE"""),"NoItsDee")</f>
        <v>NoItsDee</v>
      </c>
    </row>
    <row r="751">
      <c r="A751" s="41" t="str">
        <f>IFERROR(__xludf.DUMMYFUNCTION("""COMPUTED_VALUE"""),"RSC000750")</f>
        <v>RSC000750</v>
      </c>
      <c r="B751" s="41" t="str">
        <f>IFERROR(__xludf.DUMMYFUNCTION("""COMPUTED_VALUE"""),"Jatt 🏆")</f>
        <v>Jatt 🏆</v>
      </c>
    </row>
    <row r="752">
      <c r="A752" s="41" t="str">
        <f>IFERROR(__xludf.DUMMYFUNCTION("""COMPUTED_VALUE"""),"RSC000751")</f>
        <v>RSC000751</v>
      </c>
      <c r="B752" s="41" t="str">
        <f>IFERROR(__xludf.DUMMYFUNCTION("""COMPUTED_VALUE"""),"frizzlemyshizzle")</f>
        <v>frizzlemyshizzle</v>
      </c>
    </row>
    <row r="753">
      <c r="A753" s="41" t="str">
        <f>IFERROR(__xludf.DUMMYFUNCTION("""COMPUTED_VALUE"""),"RSC000752")</f>
        <v>RSC000752</v>
      </c>
      <c r="B753" s="41" t="str">
        <f>IFERROR(__xludf.DUMMYFUNCTION("""COMPUTED_VALUE"""),"Zakaronincheese")</f>
        <v>Zakaronincheese</v>
      </c>
    </row>
    <row r="754">
      <c r="A754" s="41" t="str">
        <f>IFERROR(__xludf.DUMMYFUNCTION("""COMPUTED_VALUE"""),"RSC000753")</f>
        <v>RSC000753</v>
      </c>
      <c r="B754" s="41" t="str">
        <f>IFERROR(__xludf.DUMMYFUNCTION("""COMPUTED_VALUE"""),"prolly")</f>
        <v>prolly</v>
      </c>
    </row>
    <row r="755">
      <c r="A755" s="41" t="str">
        <f>IFERROR(__xludf.DUMMYFUNCTION("""COMPUTED_VALUE"""),"RSC000754")</f>
        <v>RSC000754</v>
      </c>
      <c r="B755" s="41" t="str">
        <f>IFERROR(__xludf.DUMMYFUNCTION("""COMPUTED_VALUE"""),"DFitz")</f>
        <v>DFitz</v>
      </c>
    </row>
    <row r="756">
      <c r="A756" s="41" t="str">
        <f>IFERROR(__xludf.DUMMYFUNCTION("""COMPUTED_VALUE"""),"RSC000755")</f>
        <v>RSC000755</v>
      </c>
      <c r="B756" s="41" t="str">
        <f>IFERROR(__xludf.DUMMYFUNCTION("""COMPUTED_VALUE"""),"Pre")</f>
        <v>Pre</v>
      </c>
    </row>
    <row r="757">
      <c r="A757" s="41" t="str">
        <f>IFERROR(__xludf.DUMMYFUNCTION("""COMPUTED_VALUE"""),"RSC000756")</f>
        <v>RSC000756</v>
      </c>
      <c r="B757" s="41" t="str">
        <f>IFERROR(__xludf.DUMMYFUNCTION("""COMPUTED_VALUE"""),"Ls")</f>
        <v>Ls</v>
      </c>
    </row>
    <row r="758">
      <c r="A758" s="41" t="str">
        <f>IFERROR(__xludf.DUMMYFUNCTION("""COMPUTED_VALUE"""),"RSC000757")</f>
        <v>RSC000757</v>
      </c>
      <c r="B758" s="41" t="str">
        <f>IFERROR(__xludf.DUMMYFUNCTION("""COMPUTED_VALUE"""),"King_BR0K")</f>
        <v>King_BR0K</v>
      </c>
    </row>
    <row r="759">
      <c r="A759" s="41" t="str">
        <f>IFERROR(__xludf.DUMMYFUNCTION("""COMPUTED_VALUE"""),"RSC000758")</f>
        <v>RSC000758</v>
      </c>
      <c r="B759" s="41" t="str">
        <f>IFERROR(__xludf.DUMMYFUNCTION("""COMPUTED_VALUE"""),"Artagan")</f>
        <v>Artagan</v>
      </c>
    </row>
    <row r="760">
      <c r="A760" s="41" t="str">
        <f>IFERROR(__xludf.DUMMYFUNCTION("""COMPUTED_VALUE"""),"RSC000759")</f>
        <v>RSC000759</v>
      </c>
      <c r="B760" s="41" t="str">
        <f>IFERROR(__xludf.DUMMYFUNCTION("""COMPUTED_VALUE"""),"SkiddlyDiddly16")</f>
        <v>SkiddlyDiddly16</v>
      </c>
    </row>
    <row r="761">
      <c r="A761" s="41" t="str">
        <f>IFERROR(__xludf.DUMMYFUNCTION("""COMPUTED_VALUE"""),"RSC000760")</f>
        <v>RSC000760</v>
      </c>
      <c r="B761" s="41" t="str">
        <f>IFERROR(__xludf.DUMMYFUNCTION("""COMPUTED_VALUE"""),"BlaZe")</f>
        <v>BlaZe</v>
      </c>
    </row>
    <row r="762">
      <c r="A762" s="41" t="str">
        <f>IFERROR(__xludf.DUMMYFUNCTION("""COMPUTED_VALUE"""),"RSC000761")</f>
        <v>RSC000761</v>
      </c>
      <c r="B762" s="41" t="str">
        <f>IFERROR(__xludf.DUMMYFUNCTION("""COMPUTED_VALUE"""),"TheNickCannons")</f>
        <v>TheNickCannons</v>
      </c>
    </row>
    <row r="763">
      <c r="A763" s="41" t="str">
        <f>IFERROR(__xludf.DUMMYFUNCTION("""COMPUTED_VALUE"""),"RSC000762")</f>
        <v>RSC000762</v>
      </c>
      <c r="B763" s="41" t="str">
        <f>IFERROR(__xludf.DUMMYFUNCTION("""COMPUTED_VALUE"""),"Naoyokii")</f>
        <v>Naoyokii</v>
      </c>
    </row>
    <row r="764">
      <c r="A764" s="41" t="str">
        <f>IFERROR(__xludf.DUMMYFUNCTION("""COMPUTED_VALUE"""),"RSC000763")</f>
        <v>RSC000763</v>
      </c>
      <c r="B764" s="41" t="str">
        <f>IFERROR(__xludf.DUMMYFUNCTION("""COMPUTED_VALUE"""),"Tenched")</f>
        <v>Tenched</v>
      </c>
    </row>
    <row r="765">
      <c r="A765" s="41" t="str">
        <f>IFERROR(__xludf.DUMMYFUNCTION("""COMPUTED_VALUE"""),"RSC000764")</f>
        <v>RSC000764</v>
      </c>
      <c r="B765" s="41" t="str">
        <f>IFERROR(__xludf.DUMMYFUNCTION("""COMPUTED_VALUE"""),"kylar stern")</f>
        <v>kylar stern</v>
      </c>
    </row>
    <row r="766">
      <c r="A766" s="41" t="str">
        <f>IFERROR(__xludf.DUMMYFUNCTION("""COMPUTED_VALUE"""),"RSC000765")</f>
        <v>RSC000765</v>
      </c>
      <c r="B766" s="41" t="str">
        <f>IFERROR(__xludf.DUMMYFUNCTION("""COMPUTED_VALUE"""),"Potato Prophecy")</f>
        <v>Potato Prophecy</v>
      </c>
    </row>
    <row r="767">
      <c r="A767" s="41" t="str">
        <f>IFERROR(__xludf.DUMMYFUNCTION("""COMPUTED_VALUE"""),"RSC000766")</f>
        <v>RSC000766</v>
      </c>
      <c r="B767" s="41" t="str">
        <f>IFERROR(__xludf.DUMMYFUNCTION("""COMPUTED_VALUE"""),"VisionaryOne")</f>
        <v>VisionaryOne</v>
      </c>
    </row>
    <row r="768">
      <c r="A768" s="41" t="str">
        <f>IFERROR(__xludf.DUMMYFUNCTION("""COMPUTED_VALUE"""),"RSC000767")</f>
        <v>RSC000767</v>
      </c>
      <c r="B768" s="41" t="str">
        <f>IFERROR(__xludf.DUMMYFUNCTION("""COMPUTED_VALUE"""),"Tragic")</f>
        <v>Tragic</v>
      </c>
    </row>
    <row r="769">
      <c r="A769" s="41" t="str">
        <f>IFERROR(__xludf.DUMMYFUNCTION("""COMPUTED_VALUE"""),"RSC000768")</f>
        <v>RSC000768</v>
      </c>
      <c r="B769" s="41" t="str">
        <f>IFERROR(__xludf.DUMMYFUNCTION("""COMPUTED_VALUE"""),"thespeakman")</f>
        <v>thespeakman</v>
      </c>
    </row>
    <row r="770">
      <c r="A770" s="41" t="str">
        <f>IFERROR(__xludf.DUMMYFUNCTION("""COMPUTED_VALUE"""),"RSC000769")</f>
        <v>RSC000769</v>
      </c>
      <c r="B770" s="41" t="str">
        <f>IFERROR(__xludf.DUMMYFUNCTION("""COMPUTED_VALUE"""),"perino")</f>
        <v>perino</v>
      </c>
    </row>
    <row r="771">
      <c r="A771" s="41" t="str">
        <f>IFERROR(__xludf.DUMMYFUNCTION("""COMPUTED_VALUE"""),"RSC000770")</f>
        <v>RSC000770</v>
      </c>
      <c r="B771" s="41" t="str">
        <f>IFERROR(__xludf.DUMMYFUNCTION("""COMPUTED_VALUE"""),"GlobalDeJaVu")</f>
        <v>GlobalDeJaVu</v>
      </c>
    </row>
    <row r="772">
      <c r="A772" s="41" t="str">
        <f>IFERROR(__xludf.DUMMYFUNCTION("""COMPUTED_VALUE"""),"RSC000771")</f>
        <v>RSC000771</v>
      </c>
      <c r="B772" s="41" t="str">
        <f>IFERROR(__xludf.DUMMYFUNCTION("""COMPUTED_VALUE"""),"dirtdawg12")</f>
        <v>dirtdawg12</v>
      </c>
    </row>
    <row r="773">
      <c r="A773" s="41" t="str">
        <f>IFERROR(__xludf.DUMMYFUNCTION("""COMPUTED_VALUE"""),"RSC000772")</f>
        <v>RSC000772</v>
      </c>
      <c r="B773" s="41" t="str">
        <f>IFERROR(__xludf.DUMMYFUNCTION("""COMPUTED_VALUE"""),"slothjones")</f>
        <v>slothjones</v>
      </c>
    </row>
    <row r="774">
      <c r="A774" s="41" t="str">
        <f>IFERROR(__xludf.DUMMYFUNCTION("""COMPUTED_VALUE"""),"RSC000773")</f>
        <v>RSC000773</v>
      </c>
      <c r="B774" s="41" t="str">
        <f>IFERROR(__xludf.DUMMYFUNCTION("""COMPUTED_VALUE"""),"Sicey")</f>
        <v>Sicey</v>
      </c>
    </row>
    <row r="775">
      <c r="A775" s="41" t="str">
        <f>IFERROR(__xludf.DUMMYFUNCTION("""COMPUTED_VALUE"""),"RSC000774")</f>
        <v>RSC000774</v>
      </c>
      <c r="B775" s="41" t="str">
        <f>IFERROR(__xludf.DUMMYFUNCTION("""COMPUTED_VALUE"""),"Earth")</f>
        <v>Earth</v>
      </c>
    </row>
    <row r="776">
      <c r="A776" s="41" t="str">
        <f>IFERROR(__xludf.DUMMYFUNCTION("""COMPUTED_VALUE"""),"RSC000775")</f>
        <v>RSC000775</v>
      </c>
      <c r="B776" s="41" t="str">
        <f>IFERROR(__xludf.DUMMYFUNCTION("""COMPUTED_VALUE"""),"Lucky Ducky")</f>
        <v>Lucky Ducky</v>
      </c>
    </row>
    <row r="777">
      <c r="A777" s="41" t="str">
        <f>IFERROR(__xludf.DUMMYFUNCTION("""COMPUTED_VALUE"""),"RSC000776")</f>
        <v>RSC000776</v>
      </c>
      <c r="B777" s="41" t="str">
        <f>IFERROR(__xludf.DUMMYFUNCTION("""COMPUTED_VALUE"""),"bernatra")</f>
        <v>bernatra</v>
      </c>
    </row>
    <row r="778">
      <c r="A778" s="41" t="str">
        <f>IFERROR(__xludf.DUMMYFUNCTION("""COMPUTED_VALUE"""),"RSC000777")</f>
        <v>RSC000777</v>
      </c>
      <c r="B778" s="41" t="str">
        <f>IFERROR(__xludf.DUMMYFUNCTION("""COMPUTED_VALUE"""),"Marcus.")</f>
        <v>Marcus.</v>
      </c>
    </row>
    <row r="779">
      <c r="A779" s="41" t="str">
        <f>IFERROR(__xludf.DUMMYFUNCTION("""COMPUTED_VALUE"""),"RSC000778")</f>
        <v>RSC000778</v>
      </c>
      <c r="B779" s="41" t="str">
        <f>IFERROR(__xludf.DUMMYFUNCTION("""COMPUTED_VALUE"""),"intrude_N313")</f>
        <v>intrude_N313</v>
      </c>
    </row>
    <row r="780">
      <c r="A780" s="41" t="str">
        <f>IFERROR(__xludf.DUMMYFUNCTION("""COMPUTED_VALUE"""),"RSC000779")</f>
        <v>RSC000779</v>
      </c>
      <c r="B780" s="41" t="str">
        <f>IFERROR(__xludf.DUMMYFUNCTION("""COMPUTED_VALUE"""),"Chill")</f>
        <v>Chill</v>
      </c>
    </row>
    <row r="781">
      <c r="A781" s="41" t="str">
        <f>IFERROR(__xludf.DUMMYFUNCTION("""COMPUTED_VALUE"""),"RSC000780")</f>
        <v>RSC000780</v>
      </c>
      <c r="B781" s="41" t="str">
        <f>IFERROR(__xludf.DUMMYFUNCTION("""COMPUTED_VALUE"""),"YungFlexxer")</f>
        <v>YungFlexxer</v>
      </c>
    </row>
    <row r="782">
      <c r="A782" s="41" t="str">
        <f>IFERROR(__xludf.DUMMYFUNCTION("""COMPUTED_VALUE"""),"RSC000781")</f>
        <v>RSC000781</v>
      </c>
      <c r="B782" s="41" t="str">
        <f>IFERROR(__xludf.DUMMYFUNCTION("""COMPUTED_VALUE"""),"Vegitus")</f>
        <v>Vegitus</v>
      </c>
    </row>
    <row r="783">
      <c r="A783" s="41" t="str">
        <f>IFERROR(__xludf.DUMMYFUNCTION("""COMPUTED_VALUE"""),"RSC000782")</f>
        <v>RSC000782</v>
      </c>
      <c r="B783" s="41" t="str">
        <f>IFERROR(__xludf.DUMMYFUNCTION("""COMPUTED_VALUE"""),"HUDx")</f>
        <v>HUDx</v>
      </c>
    </row>
    <row r="784">
      <c r="A784" s="41" t="str">
        <f>IFERROR(__xludf.DUMMYFUNCTION("""COMPUTED_VALUE"""),"RSC000783")</f>
        <v>RSC000783</v>
      </c>
      <c r="B784" s="41" t="str">
        <f>IFERROR(__xludf.DUMMYFUNCTION("""COMPUTED_VALUE"""),"rdales")</f>
        <v>rdales</v>
      </c>
    </row>
    <row r="785">
      <c r="A785" s="41" t="str">
        <f>IFERROR(__xludf.DUMMYFUNCTION("""COMPUTED_VALUE"""),"RSC000784")</f>
        <v>RSC000784</v>
      </c>
      <c r="B785" s="41" t="str">
        <f>IFERROR(__xludf.DUMMYFUNCTION("""COMPUTED_VALUE"""),"Astro")</f>
        <v>Astro</v>
      </c>
    </row>
    <row r="786">
      <c r="A786" s="41" t="str">
        <f>IFERROR(__xludf.DUMMYFUNCTION("""COMPUTED_VALUE"""),"RSC000785")</f>
        <v>RSC000785</v>
      </c>
      <c r="B786" s="41" t="str">
        <f>IFERROR(__xludf.DUMMYFUNCTION("""COMPUTED_VALUE"""),"Scrubbzy")</f>
        <v>Scrubbzy</v>
      </c>
    </row>
    <row r="787">
      <c r="A787" s="41" t="str">
        <f>IFERROR(__xludf.DUMMYFUNCTION("""COMPUTED_VALUE"""),"RSC000786")</f>
        <v>RSC000786</v>
      </c>
      <c r="B787" s="41" t="str">
        <f>IFERROR(__xludf.DUMMYFUNCTION("""COMPUTED_VALUE"""),"Kai..")</f>
        <v>Kai..</v>
      </c>
    </row>
    <row r="788">
      <c r="A788" s="41" t="str">
        <f>IFERROR(__xludf.DUMMYFUNCTION("""COMPUTED_VALUE"""),"RSC000787")</f>
        <v>RSC000787</v>
      </c>
      <c r="B788" s="41" t="str">
        <f>IFERROR(__xludf.DUMMYFUNCTION("""COMPUTED_VALUE"""),"buckle")</f>
        <v>buckle</v>
      </c>
    </row>
    <row r="789">
      <c r="A789" s="41" t="str">
        <f>IFERROR(__xludf.DUMMYFUNCTION("""COMPUTED_VALUE"""),"RSC000788")</f>
        <v>RSC000788</v>
      </c>
      <c r="B789" s="41" t="str">
        <f>IFERROR(__xludf.DUMMYFUNCTION("""COMPUTED_VALUE"""),"Indecisive")</f>
        <v>Indecisive</v>
      </c>
    </row>
    <row r="790">
      <c r="A790" s="41" t="str">
        <f>IFERROR(__xludf.DUMMYFUNCTION("""COMPUTED_VALUE"""),"RSC000789")</f>
        <v>RSC000789</v>
      </c>
      <c r="B790" s="41" t="str">
        <f>IFERROR(__xludf.DUMMYFUNCTION("""COMPUTED_VALUE"""),"estoymuybien")</f>
        <v>estoymuybien</v>
      </c>
    </row>
    <row r="791">
      <c r="A791" s="41" t="str">
        <f>IFERROR(__xludf.DUMMYFUNCTION("""COMPUTED_VALUE"""),"RSC000790")</f>
        <v>RSC000790</v>
      </c>
      <c r="B791" s="41" t="str">
        <f>IFERROR(__xludf.DUMMYFUNCTION("""COMPUTED_VALUE"""),"VoiD.")</f>
        <v>VoiD.</v>
      </c>
    </row>
    <row r="792">
      <c r="A792" s="41" t="str">
        <f>IFERROR(__xludf.DUMMYFUNCTION("""COMPUTED_VALUE"""),"RSC000791")</f>
        <v>RSC000791</v>
      </c>
      <c r="B792" s="41" t="str">
        <f>IFERROR(__xludf.DUMMYFUNCTION("""COMPUTED_VALUE"""),"Salad Fingers")</f>
        <v>Salad Fingers</v>
      </c>
    </row>
    <row r="793">
      <c r="A793" s="41" t="str">
        <f>IFERROR(__xludf.DUMMYFUNCTION("""COMPUTED_VALUE"""),"RSC000792")</f>
        <v>RSC000792</v>
      </c>
      <c r="B793" s="41" t="str">
        <f>IFERROR(__xludf.DUMMYFUNCTION("""COMPUTED_VALUE"""),"bebisher")</f>
        <v>bebisher</v>
      </c>
    </row>
    <row r="794">
      <c r="A794" s="41" t="str">
        <f>IFERROR(__xludf.DUMMYFUNCTION("""COMPUTED_VALUE"""),"RSC000793")</f>
        <v>RSC000793</v>
      </c>
      <c r="B794" s="41" t="str">
        <f>IFERROR(__xludf.DUMMYFUNCTION("""COMPUTED_VALUE"""),"Zekk")</f>
        <v>Zekk</v>
      </c>
    </row>
    <row r="795">
      <c r="A795" s="41" t="str">
        <f>IFERROR(__xludf.DUMMYFUNCTION("""COMPUTED_VALUE"""),"RSC000794")</f>
        <v>RSC000794</v>
      </c>
      <c r="B795" s="41" t="str">
        <f>IFERROR(__xludf.DUMMYFUNCTION("""COMPUTED_VALUE"""),"RocketMayne")</f>
        <v>RocketMayne</v>
      </c>
    </row>
    <row r="796">
      <c r="A796" s="41" t="str">
        <f>IFERROR(__xludf.DUMMYFUNCTION("""COMPUTED_VALUE"""),"RSC000795")</f>
        <v>RSC000795</v>
      </c>
      <c r="B796" s="41" t="str">
        <f>IFERROR(__xludf.DUMMYFUNCTION("""COMPUTED_VALUE"""),"Schult21")</f>
        <v>Schult21</v>
      </c>
    </row>
    <row r="797">
      <c r="A797" s="41" t="str">
        <f>IFERROR(__xludf.DUMMYFUNCTION("""COMPUTED_VALUE"""),"RSC000796")</f>
        <v>RSC000796</v>
      </c>
      <c r="B797" s="41" t="str">
        <f>IFERROR(__xludf.DUMMYFUNCTION("""COMPUTED_VALUE"""),"hoyci")</f>
        <v>hoyci</v>
      </c>
    </row>
    <row r="798">
      <c r="A798" s="41" t="str">
        <f>IFERROR(__xludf.DUMMYFUNCTION("""COMPUTED_VALUE"""),"RSC000797")</f>
        <v>RSC000797</v>
      </c>
      <c r="B798" s="41" t="str">
        <f>IFERROR(__xludf.DUMMYFUNCTION("""COMPUTED_VALUE"""),"shooter12133")</f>
        <v>shooter12133</v>
      </c>
    </row>
    <row r="799">
      <c r="A799" s="41" t="str">
        <f>IFERROR(__xludf.DUMMYFUNCTION("""COMPUTED_VALUE"""),"RSC000798")</f>
        <v>RSC000798</v>
      </c>
      <c r="B799" s="41" t="str">
        <f>IFERROR(__xludf.DUMMYFUNCTION("""COMPUTED_VALUE"""),"Stealth69king-")</f>
        <v>Stealth69king-</v>
      </c>
    </row>
    <row r="800">
      <c r="A800" s="41" t="str">
        <f>IFERROR(__xludf.DUMMYFUNCTION("""COMPUTED_VALUE"""),"RSC000799")</f>
        <v>RSC000799</v>
      </c>
      <c r="B800" s="41" t="str">
        <f>IFERROR(__xludf.DUMMYFUNCTION("""COMPUTED_VALUE"""),"Foam")</f>
        <v>Foam</v>
      </c>
    </row>
    <row r="801">
      <c r="A801" s="41" t="str">
        <f>IFERROR(__xludf.DUMMYFUNCTION("""COMPUTED_VALUE"""),"RSC000800")</f>
        <v>RSC000800</v>
      </c>
      <c r="B801" s="41" t="str">
        <f>IFERROR(__xludf.DUMMYFUNCTION("""COMPUTED_VALUE"""),"Berchy_")</f>
        <v>Berchy_</v>
      </c>
    </row>
    <row r="802">
      <c r="A802" s="41" t="str">
        <f>IFERROR(__xludf.DUMMYFUNCTION("""COMPUTED_VALUE"""),"RSC000801")</f>
        <v>RSC000801</v>
      </c>
      <c r="B802" s="41" t="str">
        <f>IFERROR(__xludf.DUMMYFUNCTION("""COMPUTED_VALUE"""),"Captain Caboose")</f>
        <v>Captain Caboose</v>
      </c>
    </row>
    <row r="803">
      <c r="A803" s="41" t="str">
        <f>IFERROR(__xludf.DUMMYFUNCTION("""COMPUTED_VALUE"""),"RSC000802")</f>
        <v>RSC000802</v>
      </c>
      <c r="B803" s="41" t="str">
        <f>IFERROR(__xludf.DUMMYFUNCTION("""COMPUTED_VALUE"""),"Grizzly x RAGES")</f>
        <v>Grizzly x RAGES</v>
      </c>
    </row>
    <row r="804">
      <c r="A804" s="41" t="str">
        <f>IFERROR(__xludf.DUMMYFUNCTION("""COMPUTED_VALUE"""),"RSC000803")</f>
        <v>RSC000803</v>
      </c>
      <c r="B804" s="41" t="str">
        <f>IFERROR(__xludf.DUMMYFUNCTION("""COMPUTED_VALUE"""),"HM.")</f>
        <v>HM.</v>
      </c>
    </row>
    <row r="805">
      <c r="A805" s="41" t="str">
        <f>IFERROR(__xludf.DUMMYFUNCTION("""COMPUTED_VALUE"""),"RSC000804")</f>
        <v>RSC000804</v>
      </c>
      <c r="B805" s="41" t="str">
        <f>IFERROR(__xludf.DUMMYFUNCTION("""COMPUTED_VALUE"""),"Suicide Squeeze")</f>
        <v>Suicide Squeeze</v>
      </c>
    </row>
    <row r="806">
      <c r="A806" s="41" t="str">
        <f>IFERROR(__xludf.DUMMYFUNCTION("""COMPUTED_VALUE"""),"RSC000805")</f>
        <v>RSC000805</v>
      </c>
      <c r="B806" s="41" t="str">
        <f>IFERROR(__xludf.DUMMYFUNCTION("""COMPUTED_VALUE"""),"Deezmuffinz")</f>
        <v>Deezmuffinz</v>
      </c>
    </row>
    <row r="807">
      <c r="A807" s="41" t="str">
        <f>IFERROR(__xludf.DUMMYFUNCTION("""COMPUTED_VALUE"""),"RSC000806")</f>
        <v>RSC000806</v>
      </c>
      <c r="B807" s="41" t="str">
        <f>IFERROR(__xludf.DUMMYFUNCTION("""COMPUTED_VALUE"""),"IamNavy101")</f>
        <v>IamNavy101</v>
      </c>
    </row>
    <row r="808">
      <c r="A808" s="41" t="str">
        <f>IFERROR(__xludf.DUMMYFUNCTION("""COMPUTED_VALUE"""),"RSC000807")</f>
        <v>RSC000807</v>
      </c>
      <c r="B808" s="41" t="str">
        <f>IFERROR(__xludf.DUMMYFUNCTION("""COMPUTED_VALUE"""),"Garth")</f>
        <v>Garth</v>
      </c>
    </row>
    <row r="809">
      <c r="A809" s="41" t="str">
        <f>IFERROR(__xludf.DUMMYFUNCTION("""COMPUTED_VALUE"""),"RSC000808")</f>
        <v>RSC000808</v>
      </c>
      <c r="B809" s="41" t="str">
        <f>IFERROR(__xludf.DUMMYFUNCTION("""COMPUTED_VALUE"""),"Z0vvy18")</f>
        <v>Z0vvy18</v>
      </c>
    </row>
    <row r="810">
      <c r="A810" s="41" t="str">
        <f>IFERROR(__xludf.DUMMYFUNCTION("""COMPUTED_VALUE"""),"RSC000809")</f>
        <v>RSC000809</v>
      </c>
      <c r="B810" s="41" t="str">
        <f>IFERROR(__xludf.DUMMYFUNCTION("""COMPUTED_VALUE"""),"Wheats :)")</f>
        <v>Wheats :)</v>
      </c>
    </row>
    <row r="811">
      <c r="A811" s="41" t="str">
        <f>IFERROR(__xludf.DUMMYFUNCTION("""COMPUTED_VALUE"""),"RSC000810")</f>
        <v>RSC000810</v>
      </c>
      <c r="B811" s="41" t="str">
        <f>IFERROR(__xludf.DUMMYFUNCTION("""COMPUTED_VALUE"""),"DongMan")</f>
        <v>DongMan</v>
      </c>
    </row>
    <row r="812">
      <c r="A812" s="41" t="str">
        <f>IFERROR(__xludf.DUMMYFUNCTION("""COMPUTED_VALUE"""),"RSC000811")</f>
        <v>RSC000811</v>
      </c>
      <c r="B812" s="41" t="str">
        <f>IFERROR(__xludf.DUMMYFUNCTION("""COMPUTED_VALUE"""),"Americas F1nest")</f>
        <v>Americas F1nest</v>
      </c>
    </row>
    <row r="813">
      <c r="A813" s="41" t="str">
        <f>IFERROR(__xludf.DUMMYFUNCTION("""COMPUTED_VALUE"""),"RSC000812")</f>
        <v>RSC000812</v>
      </c>
      <c r="B813" s="41" t="str">
        <f>IFERROR(__xludf.DUMMYFUNCTION("""COMPUTED_VALUE"""),"LustLizard")</f>
        <v>LustLizard</v>
      </c>
    </row>
    <row r="814">
      <c r="A814" s="41" t="str">
        <f>IFERROR(__xludf.DUMMYFUNCTION("""COMPUTED_VALUE"""),"RSC000813")</f>
        <v>RSC000813</v>
      </c>
      <c r="B814" s="41" t="str">
        <f>IFERROR(__xludf.DUMMYFUNCTION("""COMPUTED_VALUE"""),"Ziggy.")</f>
        <v>Ziggy.</v>
      </c>
    </row>
    <row r="815">
      <c r="A815" s="41" t="str">
        <f>IFERROR(__xludf.DUMMYFUNCTION("""COMPUTED_VALUE"""),"RSC000814")</f>
        <v>RSC000814</v>
      </c>
      <c r="B815" s="41" t="str">
        <f>IFERROR(__xludf.DUMMYFUNCTION("""COMPUTED_VALUE"""),"KernDog95")</f>
        <v>KernDog95</v>
      </c>
    </row>
    <row r="816">
      <c r="A816" s="41" t="str">
        <f>IFERROR(__xludf.DUMMYFUNCTION("""COMPUTED_VALUE"""),"RSC000815")</f>
        <v>RSC000815</v>
      </c>
      <c r="B816" s="41" t="str">
        <f>IFERROR(__xludf.DUMMYFUNCTION("""COMPUTED_VALUE"""),"snappy")</f>
        <v>snappy</v>
      </c>
    </row>
    <row r="817">
      <c r="A817" s="41" t="str">
        <f>IFERROR(__xludf.DUMMYFUNCTION("""COMPUTED_VALUE"""),"RSC000816")</f>
        <v>RSC000816</v>
      </c>
      <c r="B817" s="41" t="str">
        <f>IFERROR(__xludf.DUMMYFUNCTION("""COMPUTED_VALUE"""),"Merely")</f>
        <v>Merely</v>
      </c>
    </row>
    <row r="818">
      <c r="A818" s="41" t="str">
        <f>IFERROR(__xludf.DUMMYFUNCTION("""COMPUTED_VALUE"""),"RSC000817")</f>
        <v>RSC000817</v>
      </c>
      <c r="B818" s="41" t="str">
        <f>IFERROR(__xludf.DUMMYFUNCTION("""COMPUTED_VALUE"""),"The Instigant")</f>
        <v>The Instigant</v>
      </c>
    </row>
    <row r="819">
      <c r="A819" s="41" t="str">
        <f>IFERROR(__xludf.DUMMYFUNCTION("""COMPUTED_VALUE"""),"RSC000818")</f>
        <v>RSC000818</v>
      </c>
      <c r="B819" s="41" t="str">
        <f>IFERROR(__xludf.DUMMYFUNCTION("""COMPUTED_VALUE"""),"aviontequila")</f>
        <v>aviontequila</v>
      </c>
    </row>
    <row r="820">
      <c r="A820" s="41" t="str">
        <f>IFERROR(__xludf.DUMMYFUNCTION("""COMPUTED_VALUE"""),"RSC000819")</f>
        <v>RSC000819</v>
      </c>
      <c r="B820" s="41" t="str">
        <f>IFERROR(__xludf.DUMMYFUNCTION("""COMPUTED_VALUE"""),"Jwanderz")</f>
        <v>Jwanderz</v>
      </c>
    </row>
    <row r="821">
      <c r="A821" s="41" t="str">
        <f>IFERROR(__xludf.DUMMYFUNCTION("""COMPUTED_VALUE"""),"RSC000820")</f>
        <v>RSC000820</v>
      </c>
      <c r="B821" s="41" t="str">
        <f>IFERROR(__xludf.DUMMYFUNCTION("""COMPUTED_VALUE"""),"Rascel")</f>
        <v>Rascel</v>
      </c>
    </row>
    <row r="822">
      <c r="A822" s="41" t="str">
        <f>IFERROR(__xludf.DUMMYFUNCTION("""COMPUTED_VALUE"""),"RSC000821")</f>
        <v>RSC000821</v>
      </c>
      <c r="B822" s="41" t="str">
        <f>IFERROR(__xludf.DUMMYFUNCTION("""COMPUTED_VALUE"""),"ElliottHill18")</f>
        <v>ElliottHill18</v>
      </c>
    </row>
    <row r="823">
      <c r="A823" s="41" t="str">
        <f>IFERROR(__xludf.DUMMYFUNCTION("""COMPUTED_VALUE"""),"RSC000822")</f>
        <v>RSC000822</v>
      </c>
      <c r="B823" s="41" t="str">
        <f>IFERROR(__xludf.DUMMYFUNCTION("""COMPUTED_VALUE"""),"Javela19")</f>
        <v>Javela19</v>
      </c>
    </row>
    <row r="824">
      <c r="A824" s="41" t="str">
        <f>IFERROR(__xludf.DUMMYFUNCTION("""COMPUTED_VALUE"""),"RSC000823")</f>
        <v>RSC000823</v>
      </c>
      <c r="B824" s="41" t="str">
        <f>IFERROR(__xludf.DUMMYFUNCTION("""COMPUTED_VALUE"""),"MrMenstration")</f>
        <v>MrMenstration</v>
      </c>
    </row>
    <row r="825">
      <c r="A825" s="41" t="str">
        <f>IFERROR(__xludf.DUMMYFUNCTION("""COMPUTED_VALUE"""),"RSC000824")</f>
        <v>RSC000824</v>
      </c>
      <c r="B825" s="41" t="str">
        <f>IFERROR(__xludf.DUMMYFUNCTION("""COMPUTED_VALUE"""),"Cart")</f>
        <v>Cart</v>
      </c>
    </row>
    <row r="826">
      <c r="A826" s="41" t="str">
        <f>IFERROR(__xludf.DUMMYFUNCTION("""COMPUTED_VALUE"""),"RSC000825")</f>
        <v>RSC000825</v>
      </c>
      <c r="B826" s="41" t="str">
        <f>IFERROR(__xludf.DUMMYFUNCTION("""COMPUTED_VALUE"""),"FYB Goldfish")</f>
        <v>FYB Goldfish</v>
      </c>
    </row>
    <row r="827">
      <c r="A827" s="41" t="str">
        <f>IFERROR(__xludf.DUMMYFUNCTION("""COMPUTED_VALUE"""),"RSC000826")</f>
        <v>RSC000826</v>
      </c>
      <c r="B827" s="41" t="str">
        <f>IFERROR(__xludf.DUMMYFUNCTION("""COMPUTED_VALUE"""),"T-HerboNastyBOI")</f>
        <v>T-HerboNastyBOI</v>
      </c>
    </row>
    <row r="828">
      <c r="A828" s="41" t="str">
        <f>IFERROR(__xludf.DUMMYFUNCTION("""COMPUTED_VALUE"""),"RSC000827")</f>
        <v>RSC000827</v>
      </c>
      <c r="B828" s="41" t="str">
        <f>IFERROR(__xludf.DUMMYFUNCTION("""COMPUTED_VALUE"""),"freeze(change)")</f>
        <v>freeze(change)</v>
      </c>
    </row>
    <row r="829">
      <c r="A829" s="41" t="str">
        <f>IFERROR(__xludf.DUMMYFUNCTION("""COMPUTED_VALUE"""),"RSC000828")</f>
        <v>RSC000828</v>
      </c>
      <c r="B829" s="41" t="str">
        <f>IFERROR(__xludf.DUMMYFUNCTION("""COMPUTED_VALUE"""),"MattViaAirwaves")</f>
        <v>MattViaAirwaves</v>
      </c>
    </row>
    <row r="830">
      <c r="A830" s="41" t="str">
        <f>IFERROR(__xludf.DUMMYFUNCTION("""COMPUTED_VALUE"""),"RSC000829")</f>
        <v>RSC000829</v>
      </c>
      <c r="B830" s="41" t="str">
        <f>IFERROR(__xludf.DUMMYFUNCTION("""COMPUTED_VALUE"""),"Spacemancataz")</f>
        <v>Spacemancataz</v>
      </c>
    </row>
    <row r="831">
      <c r="A831" s="41" t="str">
        <f>IFERROR(__xludf.DUMMYFUNCTION("""COMPUTED_VALUE"""),"RSC000830")</f>
        <v>RSC000830</v>
      </c>
      <c r="B831" s="41" t="str">
        <f>IFERROR(__xludf.DUMMYFUNCTION("""COMPUTED_VALUE"""),"GCP_Tizma")</f>
        <v>GCP_Tizma</v>
      </c>
    </row>
    <row r="832">
      <c r="A832" s="41" t="str">
        <f>IFERROR(__xludf.DUMMYFUNCTION("""COMPUTED_VALUE"""),"RSC000831")</f>
        <v>RSC000831</v>
      </c>
      <c r="B832" s="41" t="str">
        <f>IFERROR(__xludf.DUMMYFUNCTION("""COMPUTED_VALUE"""),"Greeneyedowl420")</f>
        <v>Greeneyedowl420</v>
      </c>
    </row>
    <row r="833">
      <c r="A833" s="41" t="str">
        <f>IFERROR(__xludf.DUMMYFUNCTION("""COMPUTED_VALUE"""),"RSC000832")</f>
        <v>RSC000832</v>
      </c>
      <c r="B833" s="41" t="str">
        <f>IFERROR(__xludf.DUMMYFUNCTION("""COMPUTED_VALUE"""),"emito")</f>
        <v>emito</v>
      </c>
    </row>
    <row r="834">
      <c r="A834" s="41" t="str">
        <f>IFERROR(__xludf.DUMMYFUNCTION("""COMPUTED_VALUE"""),"RSC000833")</f>
        <v>RSC000833</v>
      </c>
      <c r="B834" s="41" t="str">
        <f>IFERROR(__xludf.DUMMYFUNCTION("""COMPUTED_VALUE"""),"Sir-Zakary")</f>
        <v>Sir-Zakary</v>
      </c>
    </row>
    <row r="835">
      <c r="A835" s="41" t="str">
        <f>IFERROR(__xludf.DUMMYFUNCTION("""COMPUTED_VALUE"""),"RSC000834")</f>
        <v>RSC000834</v>
      </c>
      <c r="B835" s="41" t="str">
        <f>IFERROR(__xludf.DUMMYFUNCTION("""COMPUTED_VALUE"""),"Eviix")</f>
        <v>Eviix</v>
      </c>
    </row>
    <row r="836">
      <c r="A836" s="41" t="str">
        <f>IFERROR(__xludf.DUMMYFUNCTION("""COMPUTED_VALUE"""),"RSC000835")</f>
        <v>RSC000835</v>
      </c>
      <c r="B836" s="41" t="str">
        <f>IFERROR(__xludf.DUMMYFUNCTION("""COMPUTED_VALUE"""),"mruidckkiyp")</f>
        <v>mruidckkiyp</v>
      </c>
    </row>
    <row r="837">
      <c r="A837" s="41" t="str">
        <f>IFERROR(__xludf.DUMMYFUNCTION("""COMPUTED_VALUE"""),"RSC000836")</f>
        <v>RSC000836</v>
      </c>
      <c r="B837" s="41" t="str">
        <f>IFERROR(__xludf.DUMMYFUNCTION("""COMPUTED_VALUE"""),"lilnate")</f>
        <v>lilnate</v>
      </c>
    </row>
    <row r="838">
      <c r="A838" s="41" t="str">
        <f>IFERROR(__xludf.DUMMYFUNCTION("""COMPUTED_VALUE"""),"RSC000837")</f>
        <v>RSC000837</v>
      </c>
      <c r="B838" s="41" t="str">
        <f>IFERROR(__xludf.DUMMYFUNCTION("""COMPUTED_VALUE"""),"Devincii")</f>
        <v>Devincii</v>
      </c>
    </row>
    <row r="839">
      <c r="A839" s="41" t="str">
        <f>IFERROR(__xludf.DUMMYFUNCTION("""COMPUTED_VALUE"""),"RSC000838")</f>
        <v>RSC000838</v>
      </c>
      <c r="B839" s="41" t="str">
        <f>IFERROR(__xludf.DUMMYFUNCTION("""COMPUTED_VALUE"""),"Sadderal")</f>
        <v>Sadderal</v>
      </c>
    </row>
    <row r="840">
      <c r="A840" s="41" t="str">
        <f>IFERROR(__xludf.DUMMYFUNCTION("""COMPUTED_VALUE"""),"RSC000839")</f>
        <v>RSC000839</v>
      </c>
      <c r="B840" s="41" t="str">
        <f>IFERROR(__xludf.DUMMYFUNCTION("""COMPUTED_VALUE"""),"p0larbear")</f>
        <v>p0larbear</v>
      </c>
    </row>
    <row r="841">
      <c r="A841" s="41" t="str">
        <f>IFERROR(__xludf.DUMMYFUNCTION("""COMPUTED_VALUE"""),"RSC000840")</f>
        <v>RSC000840</v>
      </c>
      <c r="B841" s="41" t="str">
        <f>IFERROR(__xludf.DUMMYFUNCTION("""COMPUTED_VALUE"""),"eddievf7")</f>
        <v>eddievf7</v>
      </c>
    </row>
    <row r="842">
      <c r="A842" s="41" t="str">
        <f>IFERROR(__xludf.DUMMYFUNCTION("""COMPUTED_VALUE"""),"RSC000841")</f>
        <v>RSC000841</v>
      </c>
      <c r="B842" s="41" t="str">
        <f>IFERROR(__xludf.DUMMYFUNCTION("""COMPUTED_VALUE"""),"ghaleon")</f>
        <v>ghaleon</v>
      </c>
    </row>
    <row r="843">
      <c r="A843" s="41" t="str">
        <f>IFERROR(__xludf.DUMMYFUNCTION("""COMPUTED_VALUE"""),"RSC000842")</f>
        <v>RSC000842</v>
      </c>
      <c r="B843" s="41" t="str">
        <f>IFERROR(__xludf.DUMMYFUNCTION("""COMPUTED_VALUE"""),"ptuller99")</f>
        <v>ptuller99</v>
      </c>
    </row>
    <row r="844">
      <c r="A844" s="41" t="str">
        <f>IFERROR(__xludf.DUMMYFUNCTION("""COMPUTED_VALUE"""),"RSC000843")</f>
        <v>RSC000843</v>
      </c>
      <c r="B844" s="41" t="str">
        <f>IFERROR(__xludf.DUMMYFUNCTION("""COMPUTED_VALUE"""),"lukemac18")</f>
        <v>lukemac18</v>
      </c>
    </row>
    <row r="845">
      <c r="A845" s="41" t="str">
        <f>IFERROR(__xludf.DUMMYFUNCTION("""COMPUTED_VALUE"""),"RSC000844")</f>
        <v>RSC000844</v>
      </c>
      <c r="B845" s="41" t="str">
        <f>IFERROR(__xludf.DUMMYFUNCTION("""COMPUTED_VALUE"""),"Simba♕")</f>
        <v>Simba♕</v>
      </c>
    </row>
    <row r="846">
      <c r="A846" s="41" t="str">
        <f>IFERROR(__xludf.DUMMYFUNCTION("""COMPUTED_VALUE"""),"RSC000845")</f>
        <v>RSC000845</v>
      </c>
      <c r="B846" s="41" t="str">
        <f>IFERROR(__xludf.DUMMYFUNCTION("""COMPUTED_VALUE"""),"Wait a Minute!")</f>
        <v>Wait a Minute!</v>
      </c>
    </row>
    <row r="847">
      <c r="A847" s="41" t="str">
        <f>IFERROR(__xludf.DUMMYFUNCTION("""COMPUTED_VALUE"""),"RSC000846")</f>
        <v>RSC000846</v>
      </c>
      <c r="B847" s="41" t="str">
        <f>IFERROR(__xludf.DUMMYFUNCTION("""COMPUTED_VALUE"""),"jam i am")</f>
        <v>jam i am</v>
      </c>
    </row>
    <row r="848">
      <c r="A848" s="41" t="str">
        <f>IFERROR(__xludf.DUMMYFUNCTION("""COMPUTED_VALUE"""),"RSC000847")</f>
        <v>RSC000847</v>
      </c>
      <c r="B848" s="41" t="str">
        <f>IFERROR(__xludf.DUMMYFUNCTION("""COMPUTED_VALUE"""),"Trepidy")</f>
        <v>Trepidy</v>
      </c>
    </row>
    <row r="849">
      <c r="A849" s="41" t="str">
        <f>IFERROR(__xludf.DUMMYFUNCTION("""COMPUTED_VALUE"""),"RSC000848")</f>
        <v>RSC000848</v>
      </c>
      <c r="B849" s="41" t="str">
        <f>IFERROR(__xludf.DUMMYFUNCTION("""COMPUTED_VALUE"""),"WittingHalo64")</f>
        <v>WittingHalo64</v>
      </c>
    </row>
    <row r="850">
      <c r="A850" s="41" t="str">
        <f>IFERROR(__xludf.DUMMYFUNCTION("""COMPUTED_VALUE"""),"RSC000849")</f>
        <v>RSC000849</v>
      </c>
      <c r="B850" s="41" t="str">
        <f>IFERROR(__xludf.DUMMYFUNCTION("""COMPUTED_VALUE"""),"DAPPERSTARFISHH")</f>
        <v>DAPPERSTARFISHH</v>
      </c>
    </row>
    <row r="851">
      <c r="A851" s="41" t="str">
        <f>IFERROR(__xludf.DUMMYFUNCTION("""COMPUTED_VALUE"""),"RSC000850")</f>
        <v>RSC000850</v>
      </c>
      <c r="B851" s="41" t="str">
        <f>IFERROR(__xludf.DUMMYFUNCTION("""COMPUTED_VALUE"""),"jcrdude")</f>
        <v>jcrdude</v>
      </c>
    </row>
    <row r="852">
      <c r="A852" s="41" t="str">
        <f>IFERROR(__xludf.DUMMYFUNCTION("""COMPUTED_VALUE"""),"RSC000851")</f>
        <v>RSC000851</v>
      </c>
      <c r="B852" s="41" t="str">
        <f>IFERROR(__xludf.DUMMYFUNCTION("""COMPUTED_VALUE"""),"JoeZ")</f>
        <v>JoeZ</v>
      </c>
    </row>
    <row r="853">
      <c r="A853" s="41" t="str">
        <f>IFERROR(__xludf.DUMMYFUNCTION("""COMPUTED_VALUE"""),"RSC000852")</f>
        <v>RSC000852</v>
      </c>
      <c r="B853" s="41" t="str">
        <f>IFERROR(__xludf.DUMMYFUNCTION("""COMPUTED_VALUE"""),"nashreb")</f>
        <v>nashreb</v>
      </c>
    </row>
    <row r="854">
      <c r="A854" s="41" t="str">
        <f>IFERROR(__xludf.DUMMYFUNCTION("""COMPUTED_VALUE"""),"RSC000853")</f>
        <v>RSC000853</v>
      </c>
      <c r="B854" s="41" t="str">
        <f>IFERROR(__xludf.DUMMYFUNCTION("""COMPUTED_VALUE"""),"teg")</f>
        <v>teg</v>
      </c>
    </row>
    <row r="855">
      <c r="A855" s="41" t="str">
        <f>IFERROR(__xludf.DUMMYFUNCTION("""COMPUTED_VALUE"""),"RSC000854")</f>
        <v>RSC000854</v>
      </c>
      <c r="B855" s="41" t="str">
        <f>IFERROR(__xludf.DUMMYFUNCTION("""COMPUTED_VALUE"""),"JakePlays32")</f>
        <v>JakePlays32</v>
      </c>
    </row>
    <row r="856">
      <c r="A856" s="41" t="str">
        <f>IFERROR(__xludf.DUMMYFUNCTION("""COMPUTED_VALUE"""),"RSC000855")</f>
        <v>RSC000855</v>
      </c>
      <c r="B856" s="41" t="str">
        <f>IFERROR(__xludf.DUMMYFUNCTION("""COMPUTED_VALUE"""),"SauceOnInfinity")</f>
        <v>SauceOnInfinity</v>
      </c>
    </row>
    <row r="857">
      <c r="A857" s="41" t="str">
        <f>IFERROR(__xludf.DUMMYFUNCTION("""COMPUTED_VALUE"""),"RSC000856")</f>
        <v>RSC000856</v>
      </c>
      <c r="B857" s="41" t="str">
        <f>IFERROR(__xludf.DUMMYFUNCTION("""COMPUTED_VALUE"""),"MedicalOnion")</f>
        <v>MedicalOnion</v>
      </c>
    </row>
    <row r="858">
      <c r="A858" s="41" t="str">
        <f>IFERROR(__xludf.DUMMYFUNCTION("""COMPUTED_VALUE"""),"RSC000857")</f>
        <v>RSC000857</v>
      </c>
      <c r="B858" s="41" t="str">
        <f>IFERROR(__xludf.DUMMYFUNCTION("""COMPUTED_VALUE"""),"BringusDingus")</f>
        <v>BringusDingus</v>
      </c>
    </row>
    <row r="859">
      <c r="A859" s="41" t="str">
        <f>IFERROR(__xludf.DUMMYFUNCTION("""COMPUTED_VALUE"""),"RSC000858")</f>
        <v>RSC000858</v>
      </c>
      <c r="B859" s="41" t="str">
        <f>IFERROR(__xludf.DUMMYFUNCTION("""COMPUTED_VALUE"""),"GorillaCream707")</f>
        <v>GorillaCream707</v>
      </c>
    </row>
    <row r="860">
      <c r="A860" s="41" t="str">
        <f>IFERROR(__xludf.DUMMYFUNCTION("""COMPUTED_VALUE"""),"RSC000859")</f>
        <v>RSC000859</v>
      </c>
      <c r="B860" s="41" t="str">
        <f>IFERROR(__xludf.DUMMYFUNCTION("""COMPUTED_VALUE"""),"pokenine101")</f>
        <v>pokenine101</v>
      </c>
    </row>
    <row r="861">
      <c r="A861" s="41" t="str">
        <f>IFERROR(__xludf.DUMMYFUNCTION("""COMPUTED_VALUE"""),"RSC000860")</f>
        <v>RSC000860</v>
      </c>
      <c r="B861" s="41" t="str">
        <f>IFERROR(__xludf.DUMMYFUNCTION("""COMPUTED_VALUE"""),"xcrazyantx")</f>
        <v>xcrazyantx</v>
      </c>
    </row>
    <row r="862">
      <c r="A862" s="41" t="str">
        <f>IFERROR(__xludf.DUMMYFUNCTION("""COMPUTED_VALUE"""),"RSC000861")</f>
        <v>RSC000861</v>
      </c>
      <c r="B862" s="41" t="str">
        <f>IFERROR(__xludf.DUMMYFUNCTION("""COMPUTED_VALUE"""),"THEE BIOLOGIST")</f>
        <v>THEE BIOLOGIST</v>
      </c>
    </row>
    <row r="863">
      <c r="A863" s="41" t="str">
        <f>IFERROR(__xludf.DUMMYFUNCTION("""COMPUTED_VALUE"""),"RSC000862")</f>
        <v>RSC000862</v>
      </c>
      <c r="B863" s="41" t="str">
        <f>IFERROR(__xludf.DUMMYFUNCTION("""COMPUTED_VALUE"""),"HodorMD")</f>
        <v>HodorMD</v>
      </c>
    </row>
    <row r="864">
      <c r="A864" s="41" t="str">
        <f>IFERROR(__xludf.DUMMYFUNCTION("""COMPUTED_VALUE"""),"RSC000863")</f>
        <v>RSC000863</v>
      </c>
      <c r="B864" s="41" t="str">
        <f>IFERROR(__xludf.DUMMYFUNCTION("""COMPUTED_VALUE"""),"KG")</f>
        <v>KG</v>
      </c>
    </row>
    <row r="865">
      <c r="A865" s="41" t="str">
        <f>IFERROR(__xludf.DUMMYFUNCTION("""COMPUTED_VALUE"""),"RSC000864")</f>
        <v>RSC000864</v>
      </c>
      <c r="B865" s="41" t="str">
        <f>IFERROR(__xludf.DUMMYFUNCTION("""COMPUTED_VALUE"""),"Jarai")</f>
        <v>Jarai</v>
      </c>
    </row>
    <row r="866">
      <c r="A866" s="41" t="str">
        <f>IFERROR(__xludf.DUMMYFUNCTION("""COMPUTED_VALUE"""),"RSC000865")</f>
        <v>RSC000865</v>
      </c>
      <c r="B866" s="41" t="str">
        <f>IFERROR(__xludf.DUMMYFUNCTION("""COMPUTED_VALUE"""),"Level 76 Metapod")</f>
        <v>Level 76 Metapod</v>
      </c>
    </row>
    <row r="867">
      <c r="A867" s="41" t="str">
        <f>IFERROR(__xludf.DUMMYFUNCTION("""COMPUTED_VALUE"""),"RSC000866")</f>
        <v>RSC000866</v>
      </c>
      <c r="B867" s="41" t="str">
        <f>IFERROR(__xludf.DUMMYFUNCTION("""COMPUTED_VALUE"""),"Kar")</f>
        <v>Kar</v>
      </c>
    </row>
    <row r="868">
      <c r="A868" s="41" t="str">
        <f>IFERROR(__xludf.DUMMYFUNCTION("""COMPUTED_VALUE"""),"RSC000867")</f>
        <v>RSC000867</v>
      </c>
      <c r="B868" s="41" t="str">
        <f>IFERROR(__xludf.DUMMYFUNCTION("""COMPUTED_VALUE"""),"Ritter")</f>
        <v>Ritter</v>
      </c>
    </row>
    <row r="869">
      <c r="A869" s="41" t="str">
        <f>IFERROR(__xludf.DUMMYFUNCTION("""COMPUTED_VALUE"""),"RSC000868")</f>
        <v>RSC000868</v>
      </c>
      <c r="B869" s="41" t="str">
        <f>IFERROR(__xludf.DUMMYFUNCTION("""COMPUTED_VALUE"""),"mtiptonatc")</f>
        <v>mtiptonatc</v>
      </c>
    </row>
    <row r="870">
      <c r="A870" s="41" t="str">
        <f>IFERROR(__xludf.DUMMYFUNCTION("""COMPUTED_VALUE"""),"RSC000869")</f>
        <v>RSC000869</v>
      </c>
      <c r="B870" s="41" t="str">
        <f>IFERROR(__xludf.DUMMYFUNCTION("""COMPUTED_VALUE"""),"its a cookie dusta")</f>
        <v>its a cookie dusta</v>
      </c>
    </row>
    <row r="871">
      <c r="A871" s="41" t="str">
        <f>IFERROR(__xludf.DUMMYFUNCTION("""COMPUTED_VALUE"""),"RSC000870")</f>
        <v>RSC000870</v>
      </c>
      <c r="B871" s="41" t="str">
        <f>IFERROR(__xludf.DUMMYFUNCTION("""COMPUTED_VALUE"""),"ViV1d")</f>
        <v>ViV1d</v>
      </c>
    </row>
    <row r="872">
      <c r="A872" s="41" t="str">
        <f>IFERROR(__xludf.DUMMYFUNCTION("""COMPUTED_VALUE"""),"RSC000871")</f>
        <v>RSC000871</v>
      </c>
      <c r="B872" s="41" t="str">
        <f>IFERROR(__xludf.DUMMYFUNCTION("""COMPUTED_VALUE"""),"FoxHound3g")</f>
        <v>FoxHound3g</v>
      </c>
    </row>
    <row r="873">
      <c r="A873" s="41" t="str">
        <f>IFERROR(__xludf.DUMMYFUNCTION("""COMPUTED_VALUE"""),"RSC000872")</f>
        <v>RSC000872</v>
      </c>
      <c r="B873" s="41" t="str">
        <f>IFERROR(__xludf.DUMMYFUNCTION("""COMPUTED_VALUE"""),"KhariAintShh")</f>
        <v>KhariAintShh</v>
      </c>
    </row>
    <row r="874">
      <c r="A874" s="41" t="str">
        <f>IFERROR(__xludf.DUMMYFUNCTION("""COMPUTED_VALUE"""),"RSC000873")</f>
        <v>RSC000873</v>
      </c>
      <c r="B874" s="41" t="str">
        <f>IFERROR(__xludf.DUMMYFUNCTION("""COMPUTED_VALUE"""),"J3")</f>
        <v>J3</v>
      </c>
    </row>
    <row r="875">
      <c r="A875" s="41" t="str">
        <f>IFERROR(__xludf.DUMMYFUNCTION("""COMPUTED_VALUE"""),"RSC000874")</f>
        <v>RSC000874</v>
      </c>
      <c r="B875" s="41" t="str">
        <f>IFERROR(__xludf.DUMMYFUNCTION("""COMPUTED_VALUE"""),"hugi06")</f>
        <v>hugi06</v>
      </c>
    </row>
    <row r="876">
      <c r="A876" s="41" t="str">
        <f>IFERROR(__xludf.DUMMYFUNCTION("""COMPUTED_VALUE"""),"RSC000875")</f>
        <v>RSC000875</v>
      </c>
      <c r="B876" s="41" t="str">
        <f>IFERROR(__xludf.DUMMYFUNCTION("""COMPUTED_VALUE"""),"Wusten")</f>
        <v>Wusten</v>
      </c>
    </row>
    <row r="877">
      <c r="A877" s="41" t="str">
        <f>IFERROR(__xludf.DUMMYFUNCTION("""COMPUTED_VALUE"""),"RSC000876")</f>
        <v>RSC000876</v>
      </c>
      <c r="B877" s="41" t="str">
        <f>IFERROR(__xludf.DUMMYFUNCTION("""COMPUTED_VALUE"""),"Panzler")</f>
        <v>Panzler</v>
      </c>
    </row>
    <row r="878">
      <c r="A878" s="41" t="str">
        <f>IFERROR(__xludf.DUMMYFUNCTION("""COMPUTED_VALUE"""),"RSC000877")</f>
        <v>RSC000877</v>
      </c>
      <c r="B878" s="41" t="str">
        <f>IFERROR(__xludf.DUMMYFUNCTION("""COMPUTED_VALUE"""),"Megawatts")</f>
        <v>Megawatts</v>
      </c>
    </row>
    <row r="879">
      <c r="A879" s="41" t="str">
        <f>IFERROR(__xludf.DUMMYFUNCTION("""COMPUTED_VALUE"""),"RSC000878")</f>
        <v>RSC000878</v>
      </c>
      <c r="B879" s="41" t="str">
        <f>IFERROR(__xludf.DUMMYFUNCTION("""COMPUTED_VALUE"""),"KazBeatz")</f>
        <v>KazBeatz</v>
      </c>
    </row>
    <row r="880">
      <c r="A880" s="41" t="str">
        <f>IFERROR(__xludf.DUMMYFUNCTION("""COMPUTED_VALUE"""),"RSC000879")</f>
        <v>RSC000879</v>
      </c>
      <c r="B880" s="41" t="str">
        <f>IFERROR(__xludf.DUMMYFUNCTION("""COMPUTED_VALUE"""),"InwardLicense54")</f>
        <v>InwardLicense54</v>
      </c>
    </row>
    <row r="881">
      <c r="A881" s="41" t="str">
        <f>IFERROR(__xludf.DUMMYFUNCTION("""COMPUTED_VALUE"""),"RSC000880")</f>
        <v>RSC000880</v>
      </c>
      <c r="B881" s="41" t="str">
        <f>IFERROR(__xludf.DUMMYFUNCTION("""COMPUTED_VALUE"""),"Jamesy")</f>
        <v>Jamesy</v>
      </c>
    </row>
    <row r="882">
      <c r="A882" s="41" t="str">
        <f>IFERROR(__xludf.DUMMYFUNCTION("""COMPUTED_VALUE"""),"RSC000881")</f>
        <v>RSC000881</v>
      </c>
      <c r="B882" s="41" t="str">
        <f>IFERROR(__xludf.DUMMYFUNCTION("""COMPUTED_VALUE"""),"ONE SHOT WONDER")</f>
        <v>ONE SHOT WONDER</v>
      </c>
    </row>
    <row r="883">
      <c r="A883" s="41" t="str">
        <f>IFERROR(__xludf.DUMMYFUNCTION("""COMPUTED_VALUE"""),"RSC000882")</f>
        <v>RSC000882</v>
      </c>
      <c r="B883" s="41" t="str">
        <f>IFERROR(__xludf.DUMMYFUNCTION("""COMPUTED_VALUE"""),"dill")</f>
        <v>dill</v>
      </c>
    </row>
    <row r="884">
      <c r="A884" s="41" t="str">
        <f>IFERROR(__xludf.DUMMYFUNCTION("""COMPUTED_VALUE"""),"RSC000883")</f>
        <v>RSC000883</v>
      </c>
      <c r="B884" s="41" t="str">
        <f>IFERROR(__xludf.DUMMYFUNCTION("""COMPUTED_VALUE"""),"curveman99")</f>
        <v>curveman99</v>
      </c>
    </row>
    <row r="885">
      <c r="A885" s="41" t="str">
        <f>IFERROR(__xludf.DUMMYFUNCTION("""COMPUTED_VALUE"""),"RSC000884")</f>
        <v>RSC000884</v>
      </c>
      <c r="B885" s="41" t="str">
        <f>IFERROR(__xludf.DUMMYFUNCTION("""COMPUTED_VALUE"""),"nathan.")</f>
        <v>nathan.</v>
      </c>
    </row>
    <row r="886">
      <c r="A886" s="41" t="str">
        <f>IFERROR(__xludf.DUMMYFUNCTION("""COMPUTED_VALUE"""),"RSC000885")</f>
        <v>RSC000885</v>
      </c>
      <c r="B886" s="41" t="str">
        <f>IFERROR(__xludf.DUMMYFUNCTION("""COMPUTED_VALUE"""),"spookmyoof")</f>
        <v>spookmyoof</v>
      </c>
    </row>
    <row r="887">
      <c r="A887" s="41" t="str">
        <f>IFERROR(__xludf.DUMMYFUNCTION("""COMPUTED_VALUE"""),"RSC000886")</f>
        <v>RSC000886</v>
      </c>
      <c r="B887" s="41" t="str">
        <f>IFERROR(__xludf.DUMMYFUNCTION("""COMPUTED_VALUE"""),"Blue Eyes Thunder Thighs")</f>
        <v>Blue Eyes Thunder Thighs</v>
      </c>
    </row>
    <row r="888">
      <c r="A888" s="41" t="str">
        <f>IFERROR(__xludf.DUMMYFUNCTION("""COMPUTED_VALUE"""),"RSC000887")</f>
        <v>RSC000887</v>
      </c>
      <c r="B888" s="41" t="str">
        <f>IFERROR(__xludf.DUMMYFUNCTION("""COMPUTED_VALUE"""),"bumblebee2k4")</f>
        <v>bumblebee2k4</v>
      </c>
    </row>
    <row r="889">
      <c r="A889" s="41" t="str">
        <f>IFERROR(__xludf.DUMMYFUNCTION("""COMPUTED_VALUE"""),"RSC000888")</f>
        <v>RSC000888</v>
      </c>
      <c r="B889" s="41" t="str">
        <f>IFERROR(__xludf.DUMMYFUNCTION("""COMPUTED_VALUE"""),"[RVZN]FriskyWombats")</f>
        <v>[RVZN]FriskyWombats</v>
      </c>
    </row>
    <row r="890">
      <c r="A890" s="41" t="str">
        <f>IFERROR(__xludf.DUMMYFUNCTION("""COMPUTED_VALUE"""),"RSC000889")</f>
        <v>RSC000889</v>
      </c>
      <c r="B890" s="41" t="str">
        <f>IFERROR(__xludf.DUMMYFUNCTION("""COMPUTED_VALUE"""),"HiighDeft")</f>
        <v>HiighDeft</v>
      </c>
    </row>
    <row r="891">
      <c r="A891" s="41" t="str">
        <f>IFERROR(__xludf.DUMMYFUNCTION("""COMPUTED_VALUE"""),"RSC000890")</f>
        <v>RSC000890</v>
      </c>
      <c r="B891" s="41" t="str">
        <f>IFERROR(__xludf.DUMMYFUNCTION("""COMPUTED_VALUE"""),"M4rb1e")</f>
        <v>M4rb1e</v>
      </c>
    </row>
    <row r="892">
      <c r="A892" s="41" t="str">
        <f>IFERROR(__xludf.DUMMYFUNCTION("""COMPUTED_VALUE"""),"RSC000891")</f>
        <v>RSC000891</v>
      </c>
      <c r="B892" s="41" t="str">
        <f>IFERROR(__xludf.DUMMYFUNCTION("""COMPUTED_VALUE"""),"Pibro3")</f>
        <v>Pibro3</v>
      </c>
    </row>
    <row r="893">
      <c r="A893" s="41" t="str">
        <f>IFERROR(__xludf.DUMMYFUNCTION("""COMPUTED_VALUE"""),"RSC000892")</f>
        <v>RSC000892</v>
      </c>
      <c r="B893" s="41" t="str">
        <f>IFERROR(__xludf.DUMMYFUNCTION("""COMPUTED_VALUE"""),"TheRealNach0")</f>
        <v>TheRealNach0</v>
      </c>
    </row>
    <row r="894">
      <c r="A894" s="41" t="str">
        <f>IFERROR(__xludf.DUMMYFUNCTION("""COMPUTED_VALUE"""),"RSC000893")</f>
        <v>RSC000893</v>
      </c>
      <c r="B894" s="41" t="str">
        <f>IFERROR(__xludf.DUMMYFUNCTION("""COMPUTED_VALUE"""),"MYHEROPLUSULTRA")</f>
        <v>MYHEROPLUSULTRA</v>
      </c>
    </row>
    <row r="895">
      <c r="A895" s="41" t="str">
        <f>IFERROR(__xludf.DUMMYFUNCTION("""COMPUTED_VALUE"""),"RSC000894")</f>
        <v>RSC000894</v>
      </c>
      <c r="B895" s="41" t="str">
        <f>IFERROR(__xludf.DUMMYFUNCTION("""COMPUTED_VALUE"""),"J")</f>
        <v>J</v>
      </c>
    </row>
    <row r="896">
      <c r="A896" s="41" t="str">
        <f>IFERROR(__xludf.DUMMYFUNCTION("""COMPUTED_VALUE"""),"RSC000895")</f>
        <v>RSC000895</v>
      </c>
      <c r="B896" s="41" t="str">
        <f>IFERROR(__xludf.DUMMYFUNCTION("""COMPUTED_VALUE"""),"Laggy")</f>
        <v>Laggy</v>
      </c>
    </row>
    <row r="897">
      <c r="A897" s="41" t="str">
        <f>IFERROR(__xludf.DUMMYFUNCTION("""COMPUTED_VALUE"""),"RSC000896")</f>
        <v>RSC000896</v>
      </c>
      <c r="B897" s="41" t="str">
        <f>IFERROR(__xludf.DUMMYFUNCTION("""COMPUTED_VALUE"""),"NcReDs")</f>
        <v>NcReDs</v>
      </c>
    </row>
    <row r="898">
      <c r="A898" s="41" t="str">
        <f>IFERROR(__xludf.DUMMYFUNCTION("""COMPUTED_VALUE"""),"RSC000897")</f>
        <v>RSC000897</v>
      </c>
      <c r="B898" s="41" t="str">
        <f>IFERROR(__xludf.DUMMYFUNCTION("""COMPUTED_VALUE"""),"S1nnerReborn")</f>
        <v>S1nnerReborn</v>
      </c>
    </row>
    <row r="899">
      <c r="A899" s="41" t="str">
        <f>IFERROR(__xludf.DUMMYFUNCTION("""COMPUTED_VALUE"""),"RSC000898")</f>
        <v>RSC000898</v>
      </c>
      <c r="B899" s="41" t="str">
        <f>IFERROR(__xludf.DUMMYFUNCTION("""COMPUTED_VALUE"""),"Ty26")</f>
        <v>Ty26</v>
      </c>
    </row>
    <row r="900">
      <c r="A900" s="41" t="str">
        <f>IFERROR(__xludf.DUMMYFUNCTION("""COMPUTED_VALUE"""),"RSC000899")</f>
        <v>RSC000899</v>
      </c>
      <c r="B900" s="41" t="str">
        <f>IFERROR(__xludf.DUMMYFUNCTION("""COMPUTED_VALUE"""),"Gettercopter")</f>
        <v>Gettercopter</v>
      </c>
    </row>
    <row r="901">
      <c r="A901" s="41" t="str">
        <f>IFERROR(__xludf.DUMMYFUNCTION("""COMPUTED_VALUE"""),"RSC000900")</f>
        <v>RSC000900</v>
      </c>
      <c r="B901" s="41" t="str">
        <f>IFERROR(__xludf.DUMMYFUNCTION("""COMPUTED_VALUE"""),"Mishhu")</f>
        <v>Mishhu</v>
      </c>
    </row>
    <row r="902">
      <c r="A902" s="41" t="str">
        <f>IFERROR(__xludf.DUMMYFUNCTION("""COMPUTED_VALUE"""),"RSC000901")</f>
        <v>RSC000901</v>
      </c>
      <c r="B902" s="41" t="str">
        <f>IFERROR(__xludf.DUMMYFUNCTION("""COMPUTED_VALUE"""),"EmberTR")</f>
        <v>EmberTR</v>
      </c>
    </row>
    <row r="903">
      <c r="A903" s="41" t="str">
        <f>IFERROR(__xludf.DUMMYFUNCTION("""COMPUTED_VALUE"""),"RSC000902")</f>
        <v>RSC000902</v>
      </c>
      <c r="B903" s="41" t="str">
        <f>IFERROR(__xludf.DUMMYFUNCTION("""COMPUTED_VALUE"""),"LMC")</f>
        <v>LMC</v>
      </c>
    </row>
    <row r="904">
      <c r="A904" s="41" t="str">
        <f>IFERROR(__xludf.DUMMYFUNCTION("""COMPUTED_VALUE"""),"RSC000903")</f>
        <v>RSC000903</v>
      </c>
      <c r="B904" s="41" t="str">
        <f>IFERROR(__xludf.DUMMYFUNCTION("""COMPUTED_VALUE"""),"Dayoops")</f>
        <v>Dayoops</v>
      </c>
    </row>
    <row r="905">
      <c r="A905" s="41" t="str">
        <f>IFERROR(__xludf.DUMMYFUNCTION("""COMPUTED_VALUE"""),"RSC000904")</f>
        <v>RSC000904</v>
      </c>
      <c r="B905" s="41" t="str">
        <f>IFERROR(__xludf.DUMMYFUNCTION("""COMPUTED_VALUE"""),"Revolution")</f>
        <v>Revolution</v>
      </c>
    </row>
    <row r="906">
      <c r="A906" s="41" t="str">
        <f>IFERROR(__xludf.DUMMYFUNCTION("""COMPUTED_VALUE"""),"RSC000905")</f>
        <v>RSC000905</v>
      </c>
      <c r="B906" s="41" t="str">
        <f>IFERROR(__xludf.DUMMYFUNCTION("""COMPUTED_VALUE"""),"Hershey")</f>
        <v>Hershey</v>
      </c>
    </row>
    <row r="907">
      <c r="A907" s="41" t="str">
        <f>IFERROR(__xludf.DUMMYFUNCTION("""COMPUTED_VALUE"""),"RSC000906")</f>
        <v>RSC000906</v>
      </c>
      <c r="B907" s="41" t="str">
        <f>IFERROR(__xludf.DUMMYFUNCTION("""COMPUTED_VALUE"""),"Kadenka")</f>
        <v>Kadenka</v>
      </c>
    </row>
    <row r="908">
      <c r="A908" s="41" t="str">
        <f>IFERROR(__xludf.DUMMYFUNCTION("""COMPUTED_VALUE"""),"RSC000907")</f>
        <v>RSC000907</v>
      </c>
      <c r="B908" s="41" t="str">
        <f>IFERROR(__xludf.DUMMYFUNCTION("""COMPUTED_VALUE"""),"terminationofen")</f>
        <v>terminationofen</v>
      </c>
    </row>
    <row r="909">
      <c r="A909" s="41" t="str">
        <f>IFERROR(__xludf.DUMMYFUNCTION("""COMPUTED_VALUE"""),"RSC000908")</f>
        <v>RSC000908</v>
      </c>
      <c r="B909" s="41" t="str">
        <f>IFERROR(__xludf.DUMMYFUNCTION("""COMPUTED_VALUE"""),"Sumguy")</f>
        <v>Sumguy</v>
      </c>
    </row>
    <row r="910">
      <c r="A910" s="41" t="str">
        <f>IFERROR(__xludf.DUMMYFUNCTION("""COMPUTED_VALUE"""),"RSC000909")</f>
        <v>RSC000909</v>
      </c>
      <c r="B910" s="41" t="str">
        <f>IFERROR(__xludf.DUMMYFUNCTION("""COMPUTED_VALUE"""),"skiV")</f>
        <v>skiV</v>
      </c>
    </row>
    <row r="911">
      <c r="A911" s="41" t="str">
        <f>IFERROR(__xludf.DUMMYFUNCTION("""COMPUTED_VALUE"""),"RSC000910")</f>
        <v>RSC000910</v>
      </c>
      <c r="B911" s="41" t="str">
        <f>IFERROR(__xludf.DUMMYFUNCTION("""COMPUTED_VALUE"""),"rave troll")</f>
        <v>rave troll</v>
      </c>
    </row>
    <row r="912">
      <c r="A912" s="41" t="str">
        <f>IFERROR(__xludf.DUMMYFUNCTION("""COMPUTED_VALUE"""),"RSC000911")</f>
        <v>RSC000911</v>
      </c>
      <c r="B912" s="41" t="str">
        <f>IFERROR(__xludf.DUMMYFUNCTION("""COMPUTED_VALUE"""),"KrucialxxKilla")</f>
        <v>KrucialxxKilla</v>
      </c>
    </row>
    <row r="913">
      <c r="A913" s="41" t="str">
        <f>IFERROR(__xludf.DUMMYFUNCTION("""COMPUTED_VALUE"""),"RSC000912")</f>
        <v>RSC000912</v>
      </c>
      <c r="B913" s="41" t="str">
        <f>IFERROR(__xludf.DUMMYFUNCTION("""COMPUTED_VALUE"""),"reel")</f>
        <v>reel</v>
      </c>
    </row>
    <row r="914">
      <c r="A914" s="41" t="str">
        <f>IFERROR(__xludf.DUMMYFUNCTION("""COMPUTED_VALUE"""),"RSC000913")</f>
        <v>RSC000913</v>
      </c>
      <c r="B914" s="41" t="str">
        <f>IFERROR(__xludf.DUMMYFUNCTION("""COMPUTED_VALUE"""),"yote51ayer")</f>
        <v>yote51ayer</v>
      </c>
    </row>
    <row r="915">
      <c r="A915" s="41" t="str">
        <f>IFERROR(__xludf.DUMMYFUNCTION("""COMPUTED_VALUE"""),"RSC000914")</f>
        <v>RSC000914</v>
      </c>
      <c r="B915" s="41" t="str">
        <f>IFERROR(__xludf.DUMMYFUNCTION("""COMPUTED_VALUE"""),"olChristmaslo")</f>
        <v>olChristmaslo</v>
      </c>
    </row>
    <row r="916">
      <c r="A916" s="41" t="str">
        <f>IFERROR(__xludf.DUMMYFUNCTION("""COMPUTED_VALUE"""),"RSC000915")</f>
        <v>RSC000915</v>
      </c>
      <c r="B916" s="41" t="str">
        <f>IFERROR(__xludf.DUMMYFUNCTION("""COMPUTED_VALUE"""),"Anomaly")</f>
        <v>Anomaly</v>
      </c>
    </row>
    <row r="917">
      <c r="A917" s="41" t="str">
        <f>IFERROR(__xludf.DUMMYFUNCTION("""COMPUTED_VALUE"""),"RSC000916")</f>
        <v>RSC000916</v>
      </c>
      <c r="B917" s="41" t="str">
        <f>IFERROR(__xludf.DUMMYFUNCTION("""COMPUTED_VALUE"""),"elkruler")</f>
        <v>elkruler</v>
      </c>
    </row>
    <row r="918">
      <c r="A918" s="41" t="str">
        <f>IFERROR(__xludf.DUMMYFUNCTION("""COMPUTED_VALUE"""),"RSC000917")</f>
        <v>RSC000917</v>
      </c>
      <c r="B918" s="41" t="str">
        <f>IFERROR(__xludf.DUMMYFUNCTION("""COMPUTED_VALUE"""),"Lil Grat")</f>
        <v>Lil Grat</v>
      </c>
    </row>
    <row r="919">
      <c r="A919" s="41" t="str">
        <f>IFERROR(__xludf.DUMMYFUNCTION("""COMPUTED_VALUE"""),"RSC000918")</f>
        <v>RSC000918</v>
      </c>
      <c r="B919" s="41" t="str">
        <f>IFERROR(__xludf.DUMMYFUNCTION("""COMPUTED_VALUE"""),"DubloonGoon")</f>
        <v>DubloonGoon</v>
      </c>
    </row>
    <row r="920">
      <c r="A920" s="41" t="str">
        <f>IFERROR(__xludf.DUMMYFUNCTION("""COMPUTED_VALUE"""),"RSC000919")</f>
        <v>RSC000919</v>
      </c>
      <c r="B920" s="41" t="str">
        <f>IFERROR(__xludf.DUMMYFUNCTION("""COMPUTED_VALUE"""),"w33p")</f>
        <v>w33p</v>
      </c>
    </row>
    <row r="921">
      <c r="A921" s="41" t="str">
        <f>IFERROR(__xludf.DUMMYFUNCTION("""COMPUTED_VALUE"""),"RSC000920")</f>
        <v>RSC000920</v>
      </c>
      <c r="B921" s="41" t="str">
        <f>IFERROR(__xludf.DUMMYFUNCTION("""COMPUTED_VALUE"""),"shaneswears")</f>
        <v>shaneswears</v>
      </c>
    </row>
    <row r="922">
      <c r="A922" s="41" t="str">
        <f>IFERROR(__xludf.DUMMYFUNCTION("""COMPUTED_VALUE"""),"RSC000921")</f>
        <v>RSC000921</v>
      </c>
      <c r="B922" s="41" t="str">
        <f>IFERROR(__xludf.DUMMYFUNCTION("""COMPUTED_VALUE"""),"Kranky")</f>
        <v>Kranky</v>
      </c>
    </row>
    <row r="923">
      <c r="A923" s="41" t="str">
        <f>IFERROR(__xludf.DUMMYFUNCTION("""COMPUTED_VALUE"""),"RSC000922")</f>
        <v>RSC000922</v>
      </c>
      <c r="B923" s="41" t="str">
        <f>IFERROR(__xludf.DUMMYFUNCTION("""COMPUTED_VALUE"""),"D_e_r_k")</f>
        <v>D_e_r_k</v>
      </c>
    </row>
    <row r="924">
      <c r="A924" s="41" t="str">
        <f>IFERROR(__xludf.DUMMYFUNCTION("""COMPUTED_VALUE"""),"RSC000923")</f>
        <v>RSC000923</v>
      </c>
      <c r="B924" s="41" t="str">
        <f>IFERROR(__xludf.DUMMYFUNCTION("""COMPUTED_VALUE"""),"Stemantics")</f>
        <v>Stemantics</v>
      </c>
    </row>
    <row r="925">
      <c r="A925" s="41" t="str">
        <f>IFERROR(__xludf.DUMMYFUNCTION("""COMPUTED_VALUE"""),"RSC000924")</f>
        <v>RSC000924</v>
      </c>
      <c r="B925" s="41" t="str">
        <f>IFERROR(__xludf.DUMMYFUNCTION("""COMPUTED_VALUE"""),"King_Meixx")</f>
        <v>King_Meixx</v>
      </c>
    </row>
    <row r="926">
      <c r="A926" s="41" t="str">
        <f>IFERROR(__xludf.DUMMYFUNCTION("""COMPUTED_VALUE"""),"RSC000925")</f>
        <v>RSC000925</v>
      </c>
      <c r="B926" s="41" t="str">
        <f>IFERROR(__xludf.DUMMYFUNCTION("""COMPUTED_VALUE"""),".skoot^")</f>
        <v>.skoot^</v>
      </c>
    </row>
    <row r="927">
      <c r="A927" s="41" t="str">
        <f>IFERROR(__xludf.DUMMYFUNCTION("""COMPUTED_VALUE"""),"RSC000926")</f>
        <v>RSC000926</v>
      </c>
      <c r="B927" s="41" t="str">
        <f>IFERROR(__xludf.DUMMYFUNCTION("""COMPUTED_VALUE"""),"SlmRnchr")</f>
        <v>SlmRnchr</v>
      </c>
    </row>
    <row r="928">
      <c r="A928" s="41" t="str">
        <f>IFERROR(__xludf.DUMMYFUNCTION("""COMPUTED_VALUE"""),"RSC000927")</f>
        <v>RSC000927</v>
      </c>
      <c r="B928" s="41" t="str">
        <f>IFERROR(__xludf.DUMMYFUNCTION("""COMPUTED_VALUE"""),"groovyy")</f>
        <v>groovyy</v>
      </c>
    </row>
    <row r="929">
      <c r="A929" s="41" t="str">
        <f>IFERROR(__xludf.DUMMYFUNCTION("""COMPUTED_VALUE"""),"RSC000928")</f>
        <v>RSC000928</v>
      </c>
      <c r="B929" s="41" t="str">
        <f>IFERROR(__xludf.DUMMYFUNCTION("""COMPUTED_VALUE"""),"nativology")</f>
        <v>nativology</v>
      </c>
    </row>
    <row r="930">
      <c r="A930" s="41" t="str">
        <f>IFERROR(__xludf.DUMMYFUNCTION("""COMPUTED_VALUE"""),"RSC000929")</f>
        <v>RSC000929</v>
      </c>
      <c r="B930" s="41" t="str">
        <f>IFERROR(__xludf.DUMMYFUNCTION("""COMPUTED_VALUE"""),"PhoenixTouch.")</f>
        <v>PhoenixTouch.</v>
      </c>
    </row>
    <row r="931">
      <c r="A931" s="41" t="str">
        <f>IFERROR(__xludf.DUMMYFUNCTION("""COMPUTED_VALUE"""),"RSC000930")</f>
        <v>RSC000930</v>
      </c>
      <c r="B931" s="41" t="str">
        <f>IFERROR(__xludf.DUMMYFUNCTION("""COMPUTED_VALUE"""),"Solidfisher63")</f>
        <v>Solidfisher63</v>
      </c>
    </row>
    <row r="932">
      <c r="A932" s="41" t="str">
        <f>IFERROR(__xludf.DUMMYFUNCTION("""COMPUTED_VALUE"""),"RSC000931")</f>
        <v>RSC000931</v>
      </c>
      <c r="B932" s="41" t="str">
        <f>IFERROR(__xludf.DUMMYFUNCTION("""COMPUTED_VALUE"""),"Danger")</f>
        <v>Danger</v>
      </c>
    </row>
    <row r="933">
      <c r="A933" s="41" t="str">
        <f>IFERROR(__xludf.DUMMYFUNCTION("""COMPUTED_VALUE"""),"RSC000932")</f>
        <v>RSC000932</v>
      </c>
      <c r="B933" s="41" t="str">
        <f>IFERROR(__xludf.DUMMYFUNCTION("""COMPUTED_VALUE"""),"CrispyNuggets")</f>
        <v>CrispyNuggets</v>
      </c>
    </row>
    <row r="934">
      <c r="A934" s="41" t="str">
        <f>IFERROR(__xludf.DUMMYFUNCTION("""COMPUTED_VALUE"""),"RSC000933")</f>
        <v>RSC000933</v>
      </c>
      <c r="B934" s="41" t="str">
        <f>IFERROR(__xludf.DUMMYFUNCTION("""COMPUTED_VALUE"""),"d1gg1tyDNK")</f>
        <v>d1gg1tyDNK</v>
      </c>
    </row>
    <row r="935">
      <c r="A935" s="41" t="str">
        <f>IFERROR(__xludf.DUMMYFUNCTION("""COMPUTED_VALUE"""),"RSC000934")</f>
        <v>RSC000934</v>
      </c>
      <c r="B935" s="41" t="str">
        <f>IFERROR(__xludf.DUMMYFUNCTION("""COMPUTED_VALUE"""),"Shanerbaner")</f>
        <v>Shanerbaner</v>
      </c>
    </row>
    <row r="936">
      <c r="A936" s="41" t="str">
        <f>IFERROR(__xludf.DUMMYFUNCTION("""COMPUTED_VALUE"""),"RSC000935")</f>
        <v>RSC000935</v>
      </c>
      <c r="B936" s="41" t="str">
        <f>IFERROR(__xludf.DUMMYFUNCTION("""COMPUTED_VALUE"""),"SymphonyInPeril")</f>
        <v>SymphonyInPeril</v>
      </c>
    </row>
    <row r="937">
      <c r="A937" s="41" t="str">
        <f>IFERROR(__xludf.DUMMYFUNCTION("""COMPUTED_VALUE"""),"RSC000936")</f>
        <v>RSC000936</v>
      </c>
      <c r="B937" s="41" t="str">
        <f>IFERROR(__xludf.DUMMYFUNCTION("""COMPUTED_VALUE"""),"Leet")</f>
        <v>Leet</v>
      </c>
    </row>
    <row r="938">
      <c r="A938" s="41" t="str">
        <f>IFERROR(__xludf.DUMMYFUNCTION("""COMPUTED_VALUE"""),"RSC000937")</f>
        <v>RSC000937</v>
      </c>
      <c r="B938" s="41" t="str">
        <f>IFERROR(__xludf.DUMMYFUNCTION("""COMPUTED_VALUE"""),"Center Ball Johnson")</f>
        <v>Center Ball Johnson</v>
      </c>
    </row>
    <row r="939">
      <c r="A939" s="41" t="str">
        <f>IFERROR(__xludf.DUMMYFUNCTION("""COMPUTED_VALUE"""),"RSC000938")</f>
        <v>RSC000938</v>
      </c>
      <c r="B939" s="41" t="str">
        <f>IFERROR(__xludf.DUMMYFUNCTION("""COMPUTED_VALUE"""),"Nukem_IV")</f>
        <v>Nukem_IV</v>
      </c>
    </row>
    <row r="940">
      <c r="A940" s="41" t="str">
        <f>IFERROR(__xludf.DUMMYFUNCTION("""COMPUTED_VALUE"""),"RSC000939")</f>
        <v>RSC000939</v>
      </c>
      <c r="B940" s="41" t="str">
        <f>IFERROR(__xludf.DUMMYFUNCTION("""COMPUTED_VALUE"""),"Mega_Dookie")</f>
        <v>Mega_Dookie</v>
      </c>
    </row>
    <row r="941">
      <c r="A941" s="41" t="str">
        <f>IFERROR(__xludf.DUMMYFUNCTION("""COMPUTED_VALUE"""),"RSC000940")</f>
        <v>RSC000940</v>
      </c>
      <c r="B941" s="41" t="str">
        <f>IFERROR(__xludf.DUMMYFUNCTION("""COMPUTED_VALUE"""),"ItsJustLuc")</f>
        <v>ItsJustLuc</v>
      </c>
    </row>
    <row r="942">
      <c r="A942" s="41" t="str">
        <f>IFERROR(__xludf.DUMMYFUNCTION("""COMPUTED_VALUE"""),"RSC000941")</f>
        <v>RSC000941</v>
      </c>
      <c r="B942" s="41" t="str">
        <f>IFERROR(__xludf.DUMMYFUNCTION("""COMPUTED_VALUE"""),"Spyce")</f>
        <v>Spyce</v>
      </c>
    </row>
    <row r="943">
      <c r="A943" s="41" t="str">
        <f>IFERROR(__xludf.DUMMYFUNCTION("""COMPUTED_VALUE"""),"RSC000942")</f>
        <v>RSC000942</v>
      </c>
      <c r="B943" s="41" t="str">
        <f>IFERROR(__xludf.DUMMYFUNCTION("""COMPUTED_VALUE"""),"Clemons9")</f>
        <v>Clemons9</v>
      </c>
    </row>
    <row r="944">
      <c r="A944" s="41" t="str">
        <f>IFERROR(__xludf.DUMMYFUNCTION("""COMPUTED_VALUE"""),"RSC000943")</f>
        <v>RSC000943</v>
      </c>
      <c r="B944" s="41" t="str">
        <f>IFERROR(__xludf.DUMMYFUNCTION("""COMPUTED_VALUE"""),"grizzlyadams375")</f>
        <v>grizzlyadams375</v>
      </c>
    </row>
    <row r="945">
      <c r="A945" s="41" t="str">
        <f>IFERROR(__xludf.DUMMYFUNCTION("""COMPUTED_VALUE"""),"RSC000944")</f>
        <v>RSC000944</v>
      </c>
      <c r="B945" s="41" t="str">
        <f>IFERROR(__xludf.DUMMYFUNCTION("""COMPUTED_VALUE"""),"Lord Carr")</f>
        <v>Lord Carr</v>
      </c>
    </row>
    <row r="946">
      <c r="A946" s="41" t="str">
        <f>IFERROR(__xludf.DUMMYFUNCTION("""COMPUTED_VALUE"""),"RSC000945")</f>
        <v>RSC000945</v>
      </c>
      <c r="B946" s="41" t="str">
        <f>IFERROR(__xludf.DUMMYFUNCTION("""COMPUTED_VALUE"""),"Domino")</f>
        <v>Domino</v>
      </c>
    </row>
    <row r="947">
      <c r="A947" s="41" t="str">
        <f>IFERROR(__xludf.DUMMYFUNCTION("""COMPUTED_VALUE"""),"RSC000946")</f>
        <v>RSC000946</v>
      </c>
      <c r="B947" s="41" t="str">
        <f>IFERROR(__xludf.DUMMYFUNCTION("""COMPUTED_VALUE"""),"Rebel")</f>
        <v>Rebel</v>
      </c>
    </row>
    <row r="948">
      <c r="A948" s="41" t="str">
        <f>IFERROR(__xludf.DUMMYFUNCTION("""COMPUTED_VALUE"""),"RSC000947")</f>
        <v>RSC000947</v>
      </c>
      <c r="B948" s="41" t="str">
        <f>IFERROR(__xludf.DUMMYFUNCTION("""COMPUTED_VALUE"""),"DirtyDan6969")</f>
        <v>DirtyDan6969</v>
      </c>
    </row>
    <row r="949">
      <c r="A949" s="41" t="str">
        <f>IFERROR(__xludf.DUMMYFUNCTION("""COMPUTED_VALUE"""),"RSC000948")</f>
        <v>RSC000948</v>
      </c>
      <c r="B949" s="41" t="str">
        <f>IFERROR(__xludf.DUMMYFUNCTION("""COMPUTED_VALUE"""),"eman")</f>
        <v>eman</v>
      </c>
    </row>
    <row r="950">
      <c r="A950" s="41" t="str">
        <f>IFERROR(__xludf.DUMMYFUNCTION("""COMPUTED_VALUE"""),"RSC000949")</f>
        <v>RSC000949</v>
      </c>
      <c r="B950" s="41" t="str">
        <f>IFERROR(__xludf.DUMMYFUNCTION("""COMPUTED_VALUE"""),"BigCK65")</f>
        <v>BigCK65</v>
      </c>
    </row>
    <row r="951">
      <c r="A951" s="41" t="str">
        <f>IFERROR(__xludf.DUMMYFUNCTION("""COMPUTED_VALUE"""),"RSC000950")</f>
        <v>RSC000950</v>
      </c>
      <c r="B951" s="41" t="str">
        <f>IFERROR(__xludf.DUMMYFUNCTION("""COMPUTED_VALUE"""),"Touchetupac2")</f>
        <v>Touchetupac2</v>
      </c>
    </row>
    <row r="952">
      <c r="A952" s="41" t="str">
        <f>IFERROR(__xludf.DUMMYFUNCTION("""COMPUTED_VALUE"""),"RSC000951")</f>
        <v>RSC000951</v>
      </c>
      <c r="B952" s="41" t="str">
        <f>IFERROR(__xludf.DUMMYFUNCTION("""COMPUTED_VALUE"""),"Hibbbz")</f>
        <v>Hibbbz</v>
      </c>
    </row>
    <row r="953">
      <c r="A953" s="41" t="str">
        <f>IFERROR(__xludf.DUMMYFUNCTION("""COMPUTED_VALUE"""),"RSC000952")</f>
        <v>RSC000952</v>
      </c>
      <c r="B953" s="41" t="str">
        <f>IFERROR(__xludf.DUMMYFUNCTION("""COMPUTED_VALUE"""),"Bun")</f>
        <v>Bun</v>
      </c>
    </row>
    <row r="954">
      <c r="A954" s="41" t="str">
        <f>IFERROR(__xludf.DUMMYFUNCTION("""COMPUTED_VALUE"""),"RSC000953")</f>
        <v>RSC000953</v>
      </c>
      <c r="B954" s="41" t="str">
        <f>IFERROR(__xludf.DUMMYFUNCTION("""COMPUTED_VALUE"""),"kelphi")</f>
        <v>kelphi</v>
      </c>
    </row>
    <row r="955">
      <c r="A955" s="41" t="str">
        <f>IFERROR(__xludf.DUMMYFUNCTION("""COMPUTED_VALUE"""),"RSC000954")</f>
        <v>RSC000954</v>
      </c>
      <c r="B955" s="41" t="str">
        <f>IFERROR(__xludf.DUMMYFUNCTION("""COMPUTED_VALUE"""),"Yullbrenna")</f>
        <v>Yullbrenna</v>
      </c>
    </row>
    <row r="956">
      <c r="A956" s="41" t="str">
        <f>IFERROR(__xludf.DUMMYFUNCTION("""COMPUTED_VALUE"""),"RSC000955")</f>
        <v>RSC000955</v>
      </c>
      <c r="B956" s="41" t="str">
        <f>IFERROR(__xludf.DUMMYFUNCTION("""COMPUTED_VALUE"""),"Beware")</f>
        <v>Beware</v>
      </c>
    </row>
    <row r="957">
      <c r="A957" s="41" t="str">
        <f>IFERROR(__xludf.DUMMYFUNCTION("""COMPUTED_VALUE"""),"RSC000956")</f>
        <v>RSC000956</v>
      </c>
      <c r="B957" s="41" t="str">
        <f>IFERROR(__xludf.DUMMYFUNCTION("""COMPUTED_VALUE"""),"Cwilly")</f>
        <v>Cwilly</v>
      </c>
    </row>
    <row r="958">
      <c r="A958" s="41" t="str">
        <f>IFERROR(__xludf.DUMMYFUNCTION("""COMPUTED_VALUE"""),"RSC000957")</f>
        <v>RSC000957</v>
      </c>
      <c r="B958" s="41" t="str">
        <f>IFERROR(__xludf.DUMMYFUNCTION("""COMPUTED_VALUE"""),"Gamer Over 40")</f>
        <v>Gamer Over 40</v>
      </c>
    </row>
    <row r="959">
      <c r="A959" s="41" t="str">
        <f>IFERROR(__xludf.DUMMYFUNCTION("""COMPUTED_VALUE"""),"RSC000958")</f>
        <v>RSC000958</v>
      </c>
      <c r="B959" s="41" t="str">
        <f>IFERROR(__xludf.DUMMYFUNCTION("""COMPUTED_VALUE"""),"Accidental Wolverine")</f>
        <v>Accidental Wolverine</v>
      </c>
    </row>
    <row r="960">
      <c r="A960" s="41" t="str">
        <f>IFERROR(__xludf.DUMMYFUNCTION("""COMPUTED_VALUE"""),"RSC000959")</f>
        <v>RSC000959</v>
      </c>
      <c r="B960" s="41" t="str">
        <f>IFERROR(__xludf.DUMMYFUNCTION("""COMPUTED_VALUE"""),"Luqo")</f>
        <v>Luqo</v>
      </c>
    </row>
    <row r="961">
      <c r="A961" s="41" t="str">
        <f>IFERROR(__xludf.DUMMYFUNCTION("""COMPUTED_VALUE"""),"RSC000960")</f>
        <v>RSC000960</v>
      </c>
      <c r="B961" s="41" t="str">
        <f>IFERROR(__xludf.DUMMYFUNCTION("""COMPUTED_VALUE"""),"Catlas")</f>
        <v>Catlas</v>
      </c>
    </row>
    <row r="962">
      <c r="A962" s="41" t="str">
        <f>IFERROR(__xludf.DUMMYFUNCTION("""COMPUTED_VALUE"""),"RSC000961")</f>
        <v>RSC000961</v>
      </c>
      <c r="B962" s="41" t="str">
        <f>IFERROR(__xludf.DUMMYFUNCTION("""COMPUTED_VALUE"""),"mbolt05")</f>
        <v>mbolt05</v>
      </c>
    </row>
    <row r="963">
      <c r="A963" s="41" t="str">
        <f>IFERROR(__xludf.DUMMYFUNCTION("""COMPUTED_VALUE"""),"RSC000962")</f>
        <v>RSC000962</v>
      </c>
      <c r="B963" s="41" t="str">
        <f>IFERROR(__xludf.DUMMYFUNCTION("""COMPUTED_VALUE"""),"pythagorjags")</f>
        <v>pythagorjags</v>
      </c>
    </row>
    <row r="964">
      <c r="A964" s="41" t="str">
        <f>IFERROR(__xludf.DUMMYFUNCTION("""COMPUTED_VALUE"""),"RSC000963")</f>
        <v>RSC000963</v>
      </c>
      <c r="B964" s="41" t="str">
        <f>IFERROR(__xludf.DUMMYFUNCTION("""COMPUTED_VALUE"""),"Sup3rm4n")</f>
        <v>Sup3rm4n</v>
      </c>
    </row>
    <row r="965">
      <c r="A965" s="41" t="str">
        <f>IFERROR(__xludf.DUMMYFUNCTION("""COMPUTED_VALUE"""),"RSC000964")</f>
        <v>RSC000964</v>
      </c>
      <c r="B965" s="41" t="str">
        <f>IFERROR(__xludf.DUMMYFUNCTION("""COMPUTED_VALUE"""),"UNTYTLED")</f>
        <v>UNTYTLED</v>
      </c>
    </row>
    <row r="966">
      <c r="A966" s="41" t="str">
        <f>IFERROR(__xludf.DUMMYFUNCTION("""COMPUTED_VALUE"""),"RSC000965")</f>
        <v>RSC000965</v>
      </c>
      <c r="B966" s="41" t="str">
        <f>IFERROR(__xludf.DUMMYFUNCTION("""COMPUTED_VALUE"""),"Poloniumz")</f>
        <v>Poloniumz</v>
      </c>
    </row>
    <row r="967">
      <c r="A967" s="41" t="str">
        <f>IFERROR(__xludf.DUMMYFUNCTION("""COMPUTED_VALUE"""),"RSC000966")</f>
        <v>RSC000966</v>
      </c>
      <c r="B967" s="41" t="str">
        <f>IFERROR(__xludf.DUMMYFUNCTION("""COMPUTED_VALUE"""),"Drip2Ez")</f>
        <v>Drip2Ez</v>
      </c>
    </row>
    <row r="968">
      <c r="A968" s="41" t="str">
        <f>IFERROR(__xludf.DUMMYFUNCTION("""COMPUTED_VALUE"""),"RSC000967")</f>
        <v>RSC000967</v>
      </c>
      <c r="B968" s="41" t="str">
        <f>IFERROR(__xludf.DUMMYFUNCTION("""COMPUTED_VALUE"""),"birds aren't real")</f>
        <v>birds aren't real</v>
      </c>
    </row>
    <row r="969">
      <c r="A969" s="41" t="str">
        <f>IFERROR(__xludf.DUMMYFUNCTION("""COMPUTED_VALUE"""),"RSC000968")</f>
        <v>RSC000968</v>
      </c>
      <c r="B969" s="41" t="str">
        <f>IFERROR(__xludf.DUMMYFUNCTION("""COMPUTED_VALUE"""),"Tsg_raven5336")</f>
        <v>Tsg_raven5336</v>
      </c>
    </row>
    <row r="970">
      <c r="A970" s="41" t="str">
        <f>IFERROR(__xludf.DUMMYFUNCTION("""COMPUTED_VALUE"""),"RSC000969")</f>
        <v>RSC000969</v>
      </c>
      <c r="B970" s="41" t="str">
        <f>IFERROR(__xludf.DUMMYFUNCTION("""COMPUTED_VALUE"""),"Rebeljaymespruit")</f>
        <v>Rebeljaymespruit</v>
      </c>
    </row>
    <row r="971">
      <c r="A971" s="41" t="str">
        <f>IFERROR(__xludf.DUMMYFUNCTION("""COMPUTED_VALUE"""),"RSC000970")</f>
        <v>RSC000970</v>
      </c>
      <c r="B971" s="41" t="str">
        <f>IFERROR(__xludf.DUMMYFUNCTION("""COMPUTED_VALUE"""),"RIPpluto")</f>
        <v>RIPpluto</v>
      </c>
    </row>
    <row r="972">
      <c r="A972" s="41" t="str">
        <f>IFERROR(__xludf.DUMMYFUNCTION("""COMPUTED_VALUE"""),"RSC000971")</f>
        <v>RSC000971</v>
      </c>
      <c r="B972" s="41" t="str">
        <f>IFERROR(__xludf.DUMMYFUNCTION("""COMPUTED_VALUE"""),"xBLAZE DAT ASSx")</f>
        <v>xBLAZE DAT ASSx</v>
      </c>
    </row>
    <row r="973">
      <c r="A973" s="41" t="str">
        <f>IFERROR(__xludf.DUMMYFUNCTION("""COMPUTED_VALUE"""),"RSC000972")</f>
        <v>RSC000972</v>
      </c>
      <c r="B973" s="41" t="str">
        <f>IFERROR(__xludf.DUMMYFUNCTION("""COMPUTED_VALUE"""),"Ryuki Sanyo")</f>
        <v>Ryuki Sanyo</v>
      </c>
    </row>
    <row r="974">
      <c r="A974" s="41" t="str">
        <f>IFERROR(__xludf.DUMMYFUNCTION("""COMPUTED_VALUE"""),"RSC000973")</f>
        <v>RSC000973</v>
      </c>
      <c r="B974" s="41" t="str">
        <f>IFERROR(__xludf.DUMMYFUNCTION("""COMPUTED_VALUE"""),"Whiffles McCantScore")</f>
        <v>Whiffles McCantScore</v>
      </c>
    </row>
    <row r="975">
      <c r="A975" s="41" t="str">
        <f>IFERROR(__xludf.DUMMYFUNCTION("""COMPUTED_VALUE"""),"RSC000974")</f>
        <v>RSC000974</v>
      </c>
      <c r="B975" s="41" t="str">
        <f>IFERROR(__xludf.DUMMYFUNCTION("""COMPUTED_VALUE"""),"Jerms")</f>
        <v>Jerms</v>
      </c>
    </row>
    <row r="976">
      <c r="A976" s="41" t="str">
        <f>IFERROR(__xludf.DUMMYFUNCTION("""COMPUTED_VALUE"""),"RSC000975")</f>
        <v>RSC000975</v>
      </c>
      <c r="B976" s="41" t="str">
        <f>IFERROR(__xludf.DUMMYFUNCTION("""COMPUTED_VALUE"""),"jakeaudi")</f>
        <v>jakeaudi</v>
      </c>
    </row>
    <row r="977">
      <c r="A977" s="41" t="str">
        <f>IFERROR(__xludf.DUMMYFUNCTION("""COMPUTED_VALUE"""),"RSC000976")</f>
        <v>RSC000976</v>
      </c>
      <c r="B977" s="41" t="str">
        <f>IFERROR(__xludf.DUMMYFUNCTION("""COMPUTED_VALUE"""),"UKCats")</f>
        <v>UKCats</v>
      </c>
    </row>
    <row r="978">
      <c r="A978" s="41" t="str">
        <f>IFERROR(__xludf.DUMMYFUNCTION("""COMPUTED_VALUE"""),"RSC000977")</f>
        <v>RSC000977</v>
      </c>
      <c r="B978" s="41" t="str">
        <f>IFERROR(__xludf.DUMMYFUNCTION("""COMPUTED_VALUE"""),"TwoTestTicklz")</f>
        <v>TwoTestTicklz</v>
      </c>
    </row>
    <row r="979">
      <c r="A979" s="41" t="str">
        <f>IFERROR(__xludf.DUMMYFUNCTION("""COMPUTED_VALUE"""),"RSC000978")</f>
        <v>RSC000978</v>
      </c>
      <c r="B979" s="41" t="str">
        <f>IFERROR(__xludf.DUMMYFUNCTION("""COMPUTED_VALUE"""),"leaf")</f>
        <v>leaf</v>
      </c>
    </row>
    <row r="980">
      <c r="A980" s="41" t="str">
        <f>IFERROR(__xludf.DUMMYFUNCTION("""COMPUTED_VALUE"""),"RSC000979")</f>
        <v>RSC000979</v>
      </c>
      <c r="B980" s="41" t="str">
        <f>IFERROR(__xludf.DUMMYFUNCTION("""COMPUTED_VALUE"""),"MauiDestroYa")</f>
        <v>MauiDestroYa</v>
      </c>
    </row>
    <row r="981">
      <c r="A981" s="41" t="str">
        <f>IFERROR(__xludf.DUMMYFUNCTION("""COMPUTED_VALUE"""),"RSC000980")</f>
        <v>RSC000980</v>
      </c>
      <c r="B981" s="41" t="str">
        <f>IFERROR(__xludf.DUMMYFUNCTION("""COMPUTED_VALUE"""),"IcingGamingxxYT")</f>
        <v>IcingGamingxxYT</v>
      </c>
    </row>
    <row r="982">
      <c r="A982" s="41" t="str">
        <f>IFERROR(__xludf.DUMMYFUNCTION("""COMPUTED_VALUE"""),"RSC000981")</f>
        <v>RSC000981</v>
      </c>
      <c r="B982" s="41" t="str">
        <f>IFERROR(__xludf.DUMMYFUNCTION("""COMPUTED_VALUE"""),"Crimson")</f>
        <v>Crimson</v>
      </c>
    </row>
    <row r="983">
      <c r="A983" s="41" t="str">
        <f>IFERROR(__xludf.DUMMYFUNCTION("""COMPUTED_VALUE"""),"RSC000982")</f>
        <v>RSC000982</v>
      </c>
      <c r="B983" s="41" t="str">
        <f>IFERROR(__xludf.DUMMYFUNCTION("""COMPUTED_VALUE"""),"1980sbabygamer")</f>
        <v>1980sbabygamer</v>
      </c>
    </row>
    <row r="984">
      <c r="A984" s="41" t="str">
        <f>IFERROR(__xludf.DUMMYFUNCTION("""COMPUTED_VALUE"""),"RSC000983")</f>
        <v>RSC000983</v>
      </c>
      <c r="B984" s="41" t="str">
        <f>IFERROR(__xludf.DUMMYFUNCTION("""COMPUTED_VALUE"""),"JayWalk")</f>
        <v>JayWalk</v>
      </c>
    </row>
    <row r="985">
      <c r="A985" s="41" t="str">
        <f>IFERROR(__xludf.DUMMYFUNCTION("""COMPUTED_VALUE"""),"RSC000984")</f>
        <v>RSC000984</v>
      </c>
      <c r="B985" s="41" t="str">
        <f>IFERROR(__xludf.DUMMYFUNCTION("""COMPUTED_VALUE"""),"onemanblitz")</f>
        <v>onemanblitz</v>
      </c>
    </row>
    <row r="986">
      <c r="A986" s="41" t="str">
        <f>IFERROR(__xludf.DUMMYFUNCTION("""COMPUTED_VALUE"""),"RSC000985")</f>
        <v>RSC000985</v>
      </c>
      <c r="B986" s="41" t="str">
        <f>IFERROR(__xludf.DUMMYFUNCTION("""COMPUTED_VALUE"""),"RediculousXshot")</f>
        <v>RediculousXshot</v>
      </c>
    </row>
    <row r="987">
      <c r="A987" s="41" t="str">
        <f>IFERROR(__xludf.DUMMYFUNCTION("""COMPUTED_VALUE"""),"RSC000986")</f>
        <v>RSC000986</v>
      </c>
      <c r="B987" s="41" t="str">
        <f>IFERROR(__xludf.DUMMYFUNCTION("""COMPUTED_VALUE"""),"MrMustyMoks")</f>
        <v>MrMustyMoks</v>
      </c>
    </row>
    <row r="988">
      <c r="A988" s="41" t="str">
        <f>IFERROR(__xludf.DUMMYFUNCTION("""COMPUTED_VALUE"""),"RSC000987")</f>
        <v>RSC000987</v>
      </c>
      <c r="B988" s="41" t="str">
        <f>IFERROR(__xludf.DUMMYFUNCTION("""COMPUTED_VALUE"""),"Cobra910")</f>
        <v>Cobra910</v>
      </c>
    </row>
    <row r="989">
      <c r="A989" s="41" t="str">
        <f>IFERROR(__xludf.DUMMYFUNCTION("""COMPUTED_VALUE"""),"RSC000988")</f>
        <v>RSC000988</v>
      </c>
      <c r="B989" s="41" t="str">
        <f>IFERROR(__xludf.DUMMYFUNCTION("""COMPUTED_VALUE"""),"WestCoastPotRoast")</f>
        <v>WestCoastPotRoast</v>
      </c>
    </row>
    <row r="990">
      <c r="A990" s="41" t="str">
        <f>IFERROR(__xludf.DUMMYFUNCTION("""COMPUTED_VALUE"""),"RSC000989")</f>
        <v>RSC000989</v>
      </c>
      <c r="B990" s="41" t="str">
        <f>IFERROR(__xludf.DUMMYFUNCTION("""COMPUTED_VALUE"""),"Piky Life88")</f>
        <v>Piky Life88</v>
      </c>
    </row>
    <row r="991">
      <c r="A991" s="41" t="str">
        <f>IFERROR(__xludf.DUMMYFUNCTION("""COMPUTED_VALUE"""),"RSC000990")</f>
        <v>RSC000990</v>
      </c>
      <c r="B991" s="41" t="str">
        <f>IFERROR(__xludf.DUMMYFUNCTION("""COMPUTED_VALUE"""),"Buetter")</f>
        <v>Buetter</v>
      </c>
    </row>
    <row r="992">
      <c r="A992" s="41" t="str">
        <f>IFERROR(__xludf.DUMMYFUNCTION("""COMPUTED_VALUE"""),"RSC000991")</f>
        <v>RSC000991</v>
      </c>
      <c r="B992" s="41" t="str">
        <f>IFERROR(__xludf.DUMMYFUNCTION("""COMPUTED_VALUE"""),"quitstalin")</f>
        <v>quitstalin</v>
      </c>
    </row>
    <row r="993">
      <c r="A993" s="41" t="str">
        <f>IFERROR(__xludf.DUMMYFUNCTION("""COMPUTED_VALUE"""),"RSC000992")</f>
        <v>RSC000992</v>
      </c>
      <c r="B993" s="41" t="str">
        <f>IFERROR(__xludf.DUMMYFUNCTION("""COMPUTED_VALUE"""),"Thomasuh")</f>
        <v>Thomasuh</v>
      </c>
    </row>
    <row r="994">
      <c r="A994" s="41" t="str">
        <f>IFERROR(__xludf.DUMMYFUNCTION("""COMPUTED_VALUE"""),"RSC000993")</f>
        <v>RSC000993</v>
      </c>
      <c r="B994" s="41" t="str">
        <f>IFERROR(__xludf.DUMMYFUNCTION("""COMPUTED_VALUE"""),"Heat")</f>
        <v>Heat</v>
      </c>
    </row>
    <row r="995">
      <c r="A995" s="41" t="str">
        <f>IFERROR(__xludf.DUMMYFUNCTION("""COMPUTED_VALUE"""),"RSC000994")</f>
        <v>RSC000994</v>
      </c>
      <c r="B995" s="41" t="str">
        <f>IFERROR(__xludf.DUMMYFUNCTION("""COMPUTED_VALUE"""),"The_Elder_Pickle")</f>
        <v>The_Elder_Pickle</v>
      </c>
    </row>
    <row r="996">
      <c r="A996" s="41" t="str">
        <f>IFERROR(__xludf.DUMMYFUNCTION("""COMPUTED_VALUE"""),"RSC000995")</f>
        <v>RSC000995</v>
      </c>
      <c r="B996" s="41" t="str">
        <f>IFERROR(__xludf.DUMMYFUNCTION("""COMPUTED_VALUE"""),"Xx_pink_man95_xX")</f>
        <v>Xx_pink_man95_xX</v>
      </c>
    </row>
    <row r="997">
      <c r="A997" s="41" t="str">
        <f>IFERROR(__xludf.DUMMYFUNCTION("""COMPUTED_VALUE"""),"RSC000996")</f>
        <v>RSC000996</v>
      </c>
      <c r="B997" s="41" t="str">
        <f>IFERROR(__xludf.DUMMYFUNCTION("""COMPUTED_VALUE"""),"GreenSleeves")</f>
        <v>GreenSleeves</v>
      </c>
    </row>
    <row r="998">
      <c r="A998" s="41" t="str">
        <f>IFERROR(__xludf.DUMMYFUNCTION("""COMPUTED_VALUE"""),"RSC000997")</f>
        <v>RSC000997</v>
      </c>
      <c r="B998" s="41" t="str">
        <f>IFERROR(__xludf.DUMMYFUNCTION("""COMPUTED_VALUE"""),"Frank Tartare")</f>
        <v>Frank Tartare</v>
      </c>
    </row>
    <row r="999">
      <c r="A999" s="41" t="str">
        <f>IFERROR(__xludf.DUMMYFUNCTION("""COMPUTED_VALUE"""),"RSC000998")</f>
        <v>RSC000998</v>
      </c>
      <c r="B999" s="41" t="str">
        <f>IFERROR(__xludf.DUMMYFUNCTION("""COMPUTED_VALUE"""),"The_K1d121")</f>
        <v>The_K1d121</v>
      </c>
    </row>
    <row r="1000">
      <c r="A1000" s="41" t="str">
        <f>IFERROR(__xludf.DUMMYFUNCTION("""COMPUTED_VALUE"""),"RSC000999")</f>
        <v>RSC000999</v>
      </c>
      <c r="B1000" s="41" t="str">
        <f>IFERROR(__xludf.DUMMYFUNCTION("""COMPUTED_VALUE"""),"WoMbAt nPpLeS")</f>
        <v>WoMbAt nPpLeS</v>
      </c>
    </row>
    <row r="1001">
      <c r="A1001" s="41" t="str">
        <f>IFERROR(__xludf.DUMMYFUNCTION("""COMPUTED_VALUE"""),"RSC001000")</f>
        <v>RSC001000</v>
      </c>
      <c r="B1001" s="41" t="str">
        <f>IFERROR(__xludf.DUMMYFUNCTION("""COMPUTED_VALUE"""),"MrPoTaToChPs")</f>
        <v>MrPoTaToChPs</v>
      </c>
    </row>
    <row r="1002">
      <c r="A1002" s="41" t="str">
        <f>IFERROR(__xludf.DUMMYFUNCTION("""COMPUTED_VALUE"""),"RSC001001")</f>
        <v>RSC001001</v>
      </c>
      <c r="B1002" s="41" t="str">
        <f>IFERROR(__xludf.DUMMYFUNCTION("""COMPUTED_VALUE"""),"SkrtMcgert")</f>
        <v>SkrtMcgert</v>
      </c>
    </row>
    <row r="1003">
      <c r="A1003" s="41" t="str">
        <f>IFERROR(__xludf.DUMMYFUNCTION("""COMPUTED_VALUE"""),"RSC001002")</f>
        <v>RSC001002</v>
      </c>
      <c r="B1003" s="41" t="str">
        <f>IFERROR(__xludf.DUMMYFUNCTION("""COMPUTED_VALUE"""),"zar235")</f>
        <v>zar235</v>
      </c>
    </row>
    <row r="1004">
      <c r="A1004" s="41" t="str">
        <f>IFERROR(__xludf.DUMMYFUNCTION("""COMPUTED_VALUE"""),"RSC001003")</f>
        <v>RSC001003</v>
      </c>
      <c r="B1004" s="41" t="str">
        <f>IFERROR(__xludf.DUMMYFUNCTION("""COMPUTED_VALUE"""),"zcal7")</f>
        <v>zcal7</v>
      </c>
    </row>
    <row r="1005">
      <c r="A1005" s="41" t="str">
        <f>IFERROR(__xludf.DUMMYFUNCTION("""COMPUTED_VALUE"""),"RSC001004")</f>
        <v>RSC001004</v>
      </c>
      <c r="B1005" s="41" t="str">
        <f>IFERROR(__xludf.DUMMYFUNCTION("""COMPUTED_VALUE"""),"Rogers")</f>
        <v>Rogers</v>
      </c>
    </row>
    <row r="1006">
      <c r="A1006" s="41" t="str">
        <f>IFERROR(__xludf.DUMMYFUNCTION("""COMPUTED_VALUE"""),"RSC001005")</f>
        <v>RSC001005</v>
      </c>
      <c r="B1006" s="41" t="str">
        <f>IFERROR(__xludf.DUMMYFUNCTION("""COMPUTED_VALUE"""),"ChupacabraSpite")</f>
        <v>ChupacabraSpite</v>
      </c>
    </row>
    <row r="1007">
      <c r="A1007" s="41" t="str">
        <f>IFERROR(__xludf.DUMMYFUNCTION("""COMPUTED_VALUE"""),"RSC001006")</f>
        <v>RSC001006</v>
      </c>
      <c r="B1007" s="41" t="str">
        <f>IFERROR(__xludf.DUMMYFUNCTION("""COMPUTED_VALUE"""),"ajfromphoenix")</f>
        <v>ajfromphoenix</v>
      </c>
    </row>
    <row r="1008">
      <c r="A1008" s="41" t="str">
        <f>IFERROR(__xludf.DUMMYFUNCTION("""COMPUTED_VALUE"""),"RSC001007")</f>
        <v>RSC001007</v>
      </c>
      <c r="B1008" s="41" t="str">
        <f>IFERROR(__xludf.DUMMYFUNCTION("""COMPUTED_VALUE"""),"Tdeez")</f>
        <v>Tdeez</v>
      </c>
    </row>
    <row r="1009">
      <c r="A1009" s="41" t="str">
        <f>IFERROR(__xludf.DUMMYFUNCTION("""COMPUTED_VALUE"""),"RSC001008")</f>
        <v>RSC001008</v>
      </c>
      <c r="B1009" s="41" t="str">
        <f>IFERROR(__xludf.DUMMYFUNCTION("""COMPUTED_VALUE"""),"Biggz1313")</f>
        <v>Biggz1313</v>
      </c>
    </row>
    <row r="1010">
      <c r="A1010" s="41" t="str">
        <f>IFERROR(__xludf.DUMMYFUNCTION("""COMPUTED_VALUE"""),"RSC001009")</f>
        <v>RSC001009</v>
      </c>
      <c r="B1010" s="41" t="str">
        <f>IFERROR(__xludf.DUMMYFUNCTION("""COMPUTED_VALUE"""),"SarKasticRage")</f>
        <v>SarKasticRage</v>
      </c>
    </row>
    <row r="1011">
      <c r="A1011" s="41" t="str">
        <f>IFERROR(__xludf.DUMMYFUNCTION("""COMPUTED_VALUE"""),"RSC001010")</f>
        <v>RSC001010</v>
      </c>
      <c r="B1011" s="41" t="str">
        <f>IFERROR(__xludf.DUMMYFUNCTION("""COMPUTED_VALUE"""),"† booterzzz")</f>
        <v>† booterzzz</v>
      </c>
    </row>
    <row r="1012">
      <c r="A1012" s="41" t="str">
        <f>IFERROR(__xludf.DUMMYFUNCTION("""COMPUTED_VALUE"""),"RSC001011")</f>
        <v>RSC001011</v>
      </c>
      <c r="B1012" s="41" t="str">
        <f>IFERROR(__xludf.DUMMYFUNCTION("""COMPUTED_VALUE"""),"Stiglitz17")</f>
        <v>Stiglitz17</v>
      </c>
    </row>
    <row r="1013">
      <c r="A1013" s="41" t="str">
        <f>IFERROR(__xludf.DUMMYFUNCTION("""COMPUTED_VALUE"""),"RSC001012")</f>
        <v>RSC001012</v>
      </c>
      <c r="B1013" s="41" t="str">
        <f>IFERROR(__xludf.DUMMYFUNCTION("""COMPUTED_VALUE"""),"Flyinhi13")</f>
        <v>Flyinhi13</v>
      </c>
    </row>
    <row r="1014">
      <c r="A1014" s="41" t="str">
        <f>IFERROR(__xludf.DUMMYFUNCTION("""COMPUTED_VALUE"""),"RSC001013")</f>
        <v>RSC001013</v>
      </c>
      <c r="B1014" s="41" t="str">
        <f>IFERROR(__xludf.DUMMYFUNCTION("""COMPUTED_VALUE"""),"Urekles")</f>
        <v>Urekles</v>
      </c>
    </row>
    <row r="1015">
      <c r="A1015" s="41" t="str">
        <f>IFERROR(__xludf.DUMMYFUNCTION("""COMPUTED_VALUE"""),"RSC001014")</f>
        <v>RSC001014</v>
      </c>
      <c r="B1015" s="41" t="str">
        <f>IFERROR(__xludf.DUMMYFUNCTION("""COMPUTED_VALUE"""),"go-fireworks-")</f>
        <v>go-fireworks-</v>
      </c>
    </row>
    <row r="1016">
      <c r="A1016" s="41" t="str">
        <f>IFERROR(__xludf.DUMMYFUNCTION("""COMPUTED_VALUE"""),"RSC001015")</f>
        <v>RSC001015</v>
      </c>
      <c r="B1016" s="41" t="str">
        <f>IFERROR(__xludf.DUMMYFUNCTION("""COMPUTED_VALUE"""),"LatFips")</f>
        <v>LatFips</v>
      </c>
    </row>
    <row r="1017">
      <c r="A1017" s="41" t="str">
        <f>IFERROR(__xludf.DUMMYFUNCTION("""COMPUTED_VALUE"""),"RSC001016")</f>
        <v>RSC001016</v>
      </c>
      <c r="B1017" s="41" t="str">
        <f>IFERROR(__xludf.DUMMYFUNCTION("""COMPUTED_VALUE"""),"LeshAZIMIZ")</f>
        <v>LeshAZIMIZ</v>
      </c>
    </row>
    <row r="1018">
      <c r="A1018" s="41" t="str">
        <f>IFERROR(__xludf.DUMMYFUNCTION("""COMPUTED_VALUE"""),"RSC001017")</f>
        <v>RSC001017</v>
      </c>
      <c r="B1018" s="41" t="str">
        <f>IFERROR(__xludf.DUMMYFUNCTION("""COMPUTED_VALUE"""),"PURPLETOAD K1NG")</f>
        <v>PURPLETOAD K1NG</v>
      </c>
    </row>
    <row r="1019">
      <c r="A1019" s="41" t="str">
        <f>IFERROR(__xludf.DUMMYFUNCTION("""COMPUTED_VALUE"""),"RSC001018")</f>
        <v>RSC001018</v>
      </c>
      <c r="B1019" s="41" t="str">
        <f>IFERROR(__xludf.DUMMYFUNCTION("""COMPUTED_VALUE"""),"AmpleTh3GrayMan")</f>
        <v>AmpleTh3GrayMan</v>
      </c>
    </row>
    <row r="1020">
      <c r="A1020" s="41" t="str">
        <f>IFERROR(__xludf.DUMMYFUNCTION("""COMPUTED_VALUE"""),"RSC001019")</f>
        <v>RSC001019</v>
      </c>
      <c r="B1020" s="41" t="str">
        <f>IFERROR(__xludf.DUMMYFUNCTION("""COMPUTED_VALUE"""),"Surge")</f>
        <v>Surge</v>
      </c>
    </row>
    <row r="1021">
      <c r="A1021" s="41" t="str">
        <f>IFERROR(__xludf.DUMMYFUNCTION("""COMPUTED_VALUE"""),"RSC001020")</f>
        <v>RSC001020</v>
      </c>
      <c r="B1021" s="41" t="str">
        <f>IFERROR(__xludf.DUMMYFUNCTION("""COMPUTED_VALUE"""),"xpertsassasin")</f>
        <v>xpertsassasin</v>
      </c>
    </row>
    <row r="1022">
      <c r="A1022" s="41" t="str">
        <f>IFERROR(__xludf.DUMMYFUNCTION("""COMPUTED_VALUE"""),"RSC001021")</f>
        <v>RSC001021</v>
      </c>
      <c r="B1022" s="41" t="str">
        <f>IFERROR(__xludf.DUMMYFUNCTION("""COMPUTED_VALUE"""),"SEF_ASSasin666")</f>
        <v>SEF_ASSasin666</v>
      </c>
    </row>
    <row r="1023">
      <c r="A1023" s="41" t="str">
        <f>IFERROR(__xludf.DUMMYFUNCTION("""COMPUTED_VALUE"""),"RSC001022")</f>
        <v>RSC001022</v>
      </c>
      <c r="B1023" s="41" t="str">
        <f>IFERROR(__xludf.DUMMYFUNCTION("""COMPUTED_VALUE"""),"JCol13")</f>
        <v>JCol13</v>
      </c>
    </row>
    <row r="1024">
      <c r="A1024" s="41" t="str">
        <f>IFERROR(__xludf.DUMMYFUNCTION("""COMPUTED_VALUE"""),"RSC001023")</f>
        <v>RSC001023</v>
      </c>
      <c r="B1024" s="41" t="str">
        <f>IFERROR(__xludf.DUMMYFUNCTION("""COMPUTED_VALUE"""),"joker853")</f>
        <v>joker853</v>
      </c>
    </row>
    <row r="1025">
      <c r="A1025" s="41" t="str">
        <f>IFERROR(__xludf.DUMMYFUNCTION("""COMPUTED_VALUE"""),"RSC001024")</f>
        <v>RSC001024</v>
      </c>
      <c r="B1025" s="41" t="str">
        <f>IFERROR(__xludf.DUMMYFUNCTION("""COMPUTED_VALUE"""),"Johnr636")</f>
        <v>Johnr636</v>
      </c>
    </row>
    <row r="1026">
      <c r="A1026" s="41" t="str">
        <f>IFERROR(__xludf.DUMMYFUNCTION("""COMPUTED_VALUE"""),"RSC001025")</f>
        <v>RSC001025</v>
      </c>
      <c r="B1026" s="41" t="str">
        <f>IFERROR(__xludf.DUMMYFUNCTION("""COMPUTED_VALUE"""),"L3g1t L3ge3nd")</f>
        <v>L3g1t L3ge3nd</v>
      </c>
    </row>
    <row r="1027">
      <c r="A1027" s="41" t="str">
        <f>IFERROR(__xludf.DUMMYFUNCTION("""COMPUTED_VALUE"""),"RSC001026")</f>
        <v>RSC001026</v>
      </c>
      <c r="B1027" s="41" t="str">
        <f>IFERROR(__xludf.DUMMYFUNCTION("""COMPUTED_VALUE"""),"Ragegamingis1")</f>
        <v>Ragegamingis1</v>
      </c>
    </row>
    <row r="1028">
      <c r="A1028" s="41" t="str">
        <f>IFERROR(__xludf.DUMMYFUNCTION("""COMPUTED_VALUE"""),"RSC001027")</f>
        <v>RSC001027</v>
      </c>
      <c r="B1028" s="41" t="str">
        <f>IFERROR(__xludf.DUMMYFUNCTION("""COMPUTED_VALUE"""),"ben5tein")</f>
        <v>ben5tein</v>
      </c>
    </row>
    <row r="1029">
      <c r="A1029" s="41" t="str">
        <f>IFERROR(__xludf.DUMMYFUNCTION("""COMPUTED_VALUE"""),"RSC001028")</f>
        <v>RSC001028</v>
      </c>
      <c r="B1029" s="41" t="str">
        <f>IFERROR(__xludf.DUMMYFUNCTION("""COMPUTED_VALUE"""),"g8rnc")</f>
        <v>g8rnc</v>
      </c>
    </row>
    <row r="1030">
      <c r="A1030" s="41" t="str">
        <f>IFERROR(__xludf.DUMMYFUNCTION("""COMPUTED_VALUE"""),"RSC001029")</f>
        <v>RSC001029</v>
      </c>
      <c r="B1030" s="41" t="str">
        <f>IFERROR(__xludf.DUMMYFUNCTION("""COMPUTED_VALUE"""),"Xxsetupking97xX")</f>
        <v>Xxsetupking97xX</v>
      </c>
    </row>
    <row r="1031">
      <c r="A1031" s="41" t="str">
        <f>IFERROR(__xludf.DUMMYFUNCTION("""COMPUTED_VALUE"""),"RSC001030")</f>
        <v>RSC001030</v>
      </c>
      <c r="B1031" s="41" t="str">
        <f>IFERROR(__xludf.DUMMYFUNCTION("""COMPUTED_VALUE"""),"Hahaplayer01")</f>
        <v>Hahaplayer01</v>
      </c>
    </row>
    <row r="1032">
      <c r="A1032" s="41" t="str">
        <f>IFERROR(__xludf.DUMMYFUNCTION("""COMPUTED_VALUE"""),"RSC001031")</f>
        <v>RSC001031</v>
      </c>
      <c r="B1032" s="41" t="str">
        <f>IFERROR(__xludf.DUMMYFUNCTION("""COMPUTED_VALUE"""),"AB26Panther")</f>
        <v>AB26Panther</v>
      </c>
    </row>
    <row r="1033">
      <c r="A1033" s="41" t="str">
        <f>IFERROR(__xludf.DUMMYFUNCTION("""COMPUTED_VALUE"""),"RSC001032")</f>
        <v>RSC001032</v>
      </c>
      <c r="B1033" s="41" t="str">
        <f>IFERROR(__xludf.DUMMYFUNCTION("""COMPUTED_VALUE"""),"JmE")</f>
        <v>JmE</v>
      </c>
    </row>
    <row r="1034">
      <c r="A1034" s="41" t="str">
        <f>IFERROR(__xludf.DUMMYFUNCTION("""COMPUTED_VALUE"""),"RSC001033")</f>
        <v>RSC001033</v>
      </c>
      <c r="B1034" s="41" t="str">
        <f>IFERROR(__xludf.DUMMYFUNCTION("""COMPUTED_VALUE"""),"JohnMoney4")</f>
        <v>JohnMoney4</v>
      </c>
    </row>
    <row r="1035">
      <c r="A1035" s="41" t="str">
        <f>IFERROR(__xludf.DUMMYFUNCTION("""COMPUTED_VALUE"""),"RSC001034")</f>
        <v>RSC001034</v>
      </c>
      <c r="B1035" s="41" t="str">
        <f>IFERROR(__xludf.DUMMYFUNCTION("""COMPUTED_VALUE"""),"KingBonkk")</f>
        <v>KingBonkk</v>
      </c>
    </row>
    <row r="1036">
      <c r="A1036" s="41" t="str">
        <f>IFERROR(__xludf.DUMMYFUNCTION("""COMPUTED_VALUE"""),"RSC001035")</f>
        <v>RSC001035</v>
      </c>
      <c r="B1036" s="41" t="str">
        <f>IFERROR(__xludf.DUMMYFUNCTION("""COMPUTED_VALUE"""),"Charlieharley_1")</f>
        <v>Charlieharley_1</v>
      </c>
    </row>
    <row r="1037">
      <c r="A1037" s="41" t="str">
        <f>IFERROR(__xludf.DUMMYFUNCTION("""COMPUTED_VALUE"""),"RSC001036")</f>
        <v>RSC001036</v>
      </c>
      <c r="B1037" s="41" t="str">
        <f>IFERROR(__xludf.DUMMYFUNCTION("""COMPUTED_VALUE"""),"vartonex")</f>
        <v>vartonex</v>
      </c>
    </row>
    <row r="1038">
      <c r="A1038" s="41" t="str">
        <f>IFERROR(__xludf.DUMMYFUNCTION("""COMPUTED_VALUE"""),"RSC001037")</f>
        <v>RSC001037</v>
      </c>
      <c r="B1038" s="41" t="str">
        <f>IFERROR(__xludf.DUMMYFUNCTION("""COMPUTED_VALUE"""),"kma81")</f>
        <v>kma81</v>
      </c>
    </row>
    <row r="1039">
      <c r="A1039" s="41" t="str">
        <f>IFERROR(__xludf.DUMMYFUNCTION("""COMPUTED_VALUE"""),"RSC001038")</f>
        <v>RSC001038</v>
      </c>
      <c r="B1039" s="41" t="str">
        <f>IFERROR(__xludf.DUMMYFUNCTION("""COMPUTED_VALUE"""),"theUnequal yeti")</f>
        <v>theUnequal yeti</v>
      </c>
    </row>
    <row r="1040">
      <c r="A1040" s="41" t="str">
        <f>IFERROR(__xludf.DUMMYFUNCTION("""COMPUTED_VALUE"""),"RSC001039")</f>
        <v>RSC001039</v>
      </c>
      <c r="B1040" s="41" t="str">
        <f>IFERROR(__xludf.DUMMYFUNCTION("""COMPUTED_VALUE"""),"iWumbo zZ")</f>
        <v>iWumbo zZ</v>
      </c>
    </row>
    <row r="1041">
      <c r="A1041" s="41" t="str">
        <f>IFERROR(__xludf.DUMMYFUNCTION("""COMPUTED_VALUE"""),"RSC001040")</f>
        <v>RSC001040</v>
      </c>
      <c r="B1041" s="41" t="str">
        <f>IFERROR(__xludf.DUMMYFUNCTION("""COMPUTED_VALUE"""),"vote4JR")</f>
        <v>vote4JR</v>
      </c>
    </row>
    <row r="1042">
      <c r="A1042" s="41" t="str">
        <f>IFERROR(__xludf.DUMMYFUNCTION("""COMPUTED_VALUE"""),"RSC001041")</f>
        <v>RSC001041</v>
      </c>
      <c r="B1042" s="41" t="str">
        <f>IFERROR(__xludf.DUMMYFUNCTION("""COMPUTED_VALUE"""),"SavedByBlood2")</f>
        <v>SavedByBlood2</v>
      </c>
    </row>
    <row r="1043">
      <c r="A1043" s="41" t="str">
        <f>IFERROR(__xludf.DUMMYFUNCTION("""COMPUTED_VALUE"""),"RSC001042")</f>
        <v>RSC001042</v>
      </c>
      <c r="B1043" s="41" t="str">
        <f>IFERROR(__xludf.DUMMYFUNCTION("""COMPUTED_VALUE"""),"knobazoid")</f>
        <v>knobazoid</v>
      </c>
    </row>
    <row r="1044">
      <c r="A1044" s="41" t="str">
        <f>IFERROR(__xludf.DUMMYFUNCTION("""COMPUTED_VALUE"""),"RSC001043")</f>
        <v>RSC001043</v>
      </c>
      <c r="B1044" s="41" t="str">
        <f>IFERROR(__xludf.DUMMYFUNCTION("""COMPUTED_VALUE"""),"FlemingVincent")</f>
        <v>FlemingVincent</v>
      </c>
    </row>
    <row r="1045">
      <c r="A1045" s="41" t="str">
        <f>IFERROR(__xludf.DUMMYFUNCTION("""COMPUTED_VALUE"""),"RSC001044")</f>
        <v>RSC001044</v>
      </c>
      <c r="B1045" s="41" t="str">
        <f>IFERROR(__xludf.DUMMYFUNCTION("""COMPUTED_VALUE"""),"DarkRaise")</f>
        <v>DarkRaise</v>
      </c>
    </row>
    <row r="1046">
      <c r="A1046" s="41" t="str">
        <f>IFERROR(__xludf.DUMMYFUNCTION("""COMPUTED_VALUE"""),"RSC001045")</f>
        <v>RSC001045</v>
      </c>
      <c r="B1046" s="41" t="str">
        <f>IFERROR(__xludf.DUMMYFUNCTION("""COMPUTED_VALUE"""),"ProGMONEY1100")</f>
        <v>ProGMONEY1100</v>
      </c>
    </row>
    <row r="1047">
      <c r="A1047" s="41" t="str">
        <f>IFERROR(__xludf.DUMMYFUNCTION("""COMPUTED_VALUE"""),"RSC001046")</f>
        <v>RSC001046</v>
      </c>
      <c r="B1047" s="41" t="str">
        <f>IFERROR(__xludf.DUMMYFUNCTION("""COMPUTED_VALUE"""),"Fourcyclones")</f>
        <v>Fourcyclones</v>
      </c>
    </row>
    <row r="1048">
      <c r="A1048" s="41" t="str">
        <f>IFERROR(__xludf.DUMMYFUNCTION("""COMPUTED_VALUE"""),"RSC001047")</f>
        <v>RSC001047</v>
      </c>
      <c r="B1048" s="41" t="str">
        <f>IFERROR(__xludf.DUMMYFUNCTION("""COMPUTED_VALUE"""),"BreadedRice")</f>
        <v>BreadedRice</v>
      </c>
    </row>
    <row r="1049">
      <c r="A1049" s="41" t="str">
        <f>IFERROR(__xludf.DUMMYFUNCTION("""COMPUTED_VALUE"""),"RSC001048")</f>
        <v>RSC001048</v>
      </c>
      <c r="B1049" s="41" t="str">
        <f>IFERROR(__xludf.DUMMYFUNCTION("""COMPUTED_VALUE"""),"SlamDoink")</f>
        <v>SlamDoink</v>
      </c>
    </row>
    <row r="1050">
      <c r="A1050" s="41" t="str">
        <f>IFERROR(__xludf.DUMMYFUNCTION("""COMPUTED_VALUE"""),"RSC001049")</f>
        <v>RSC001049</v>
      </c>
      <c r="B1050" s="41" t="str">
        <f>IFERROR(__xludf.DUMMYFUNCTION("""COMPUTED_VALUE"""),"Dr feeeel goood")</f>
        <v>Dr feeeel goood</v>
      </c>
    </row>
    <row r="1051">
      <c r="A1051" s="41" t="str">
        <f>IFERROR(__xludf.DUMMYFUNCTION("""COMPUTED_VALUE"""),"RSC001050")</f>
        <v>RSC001050</v>
      </c>
      <c r="B1051" s="41" t="str">
        <f>IFERROR(__xludf.DUMMYFUNCTION("""COMPUTED_VALUE"""),"Chaotic_JBC")</f>
        <v>Chaotic_JBC</v>
      </c>
    </row>
    <row r="1052">
      <c r="A1052" s="41" t="str">
        <f>IFERROR(__xludf.DUMMYFUNCTION("""COMPUTED_VALUE"""),"RSC001051")</f>
        <v>RSC001051</v>
      </c>
      <c r="B1052" s="41" t="str">
        <f>IFERROR(__xludf.DUMMYFUNCTION("""COMPUTED_VALUE"""),"Hizliyim")</f>
        <v>Hizliyim</v>
      </c>
    </row>
    <row r="1053">
      <c r="A1053" s="41" t="str">
        <f>IFERROR(__xludf.DUMMYFUNCTION("""COMPUTED_VALUE"""),"RSC001052")</f>
        <v>RSC001052</v>
      </c>
      <c r="B1053" s="41" t="str">
        <f>IFERROR(__xludf.DUMMYFUNCTION("""COMPUTED_VALUE"""),"cubbyybbuc")</f>
        <v>cubbyybbuc</v>
      </c>
    </row>
    <row r="1054">
      <c r="A1054" s="41" t="str">
        <f>IFERROR(__xludf.DUMMYFUNCTION("""COMPUTED_VALUE"""),"RSC001053")</f>
        <v>RSC001053</v>
      </c>
      <c r="B1054" s="41" t="str">
        <f>IFERROR(__xludf.DUMMYFUNCTION("""COMPUTED_VALUE"""),"A_1eyedgopher")</f>
        <v>A_1eyedgopher</v>
      </c>
    </row>
    <row r="1055">
      <c r="A1055" s="41" t="str">
        <f>IFERROR(__xludf.DUMMYFUNCTION("""COMPUTED_VALUE"""),"RSC001054")</f>
        <v>RSC001054</v>
      </c>
      <c r="B1055" s="41" t="str">
        <f>IFERROR(__xludf.DUMMYFUNCTION("""COMPUTED_VALUE"""),"Sentir")</f>
        <v>Sentir</v>
      </c>
    </row>
    <row r="1056">
      <c r="A1056" s="41" t="str">
        <f>IFERROR(__xludf.DUMMYFUNCTION("""COMPUTED_VALUE"""),"RSC001055")</f>
        <v>RSC001055</v>
      </c>
      <c r="B1056" s="41" t="str">
        <f>IFERROR(__xludf.DUMMYFUNCTION("""COMPUTED_VALUE"""),"Scotti")</f>
        <v>Scotti</v>
      </c>
    </row>
    <row r="1057">
      <c r="A1057" s="41" t="str">
        <f>IFERROR(__xludf.DUMMYFUNCTION("""COMPUTED_VALUE"""),"RSC001056")</f>
        <v>RSC001056</v>
      </c>
      <c r="B1057" s="41" t="str">
        <f>IFERROR(__xludf.DUMMYFUNCTION("""COMPUTED_VALUE"""),"mysandislost")</f>
        <v>mysandislost</v>
      </c>
    </row>
    <row r="1058">
      <c r="A1058" s="41" t="str">
        <f>IFERROR(__xludf.DUMMYFUNCTION("""COMPUTED_VALUE"""),"RSC001057")</f>
        <v>RSC001057</v>
      </c>
      <c r="B1058" s="41" t="str">
        <f>IFERROR(__xludf.DUMMYFUNCTION("""COMPUTED_VALUE"""),"NeatCheapShot")</f>
        <v>NeatCheapShot</v>
      </c>
    </row>
    <row r="1059">
      <c r="A1059" s="41" t="str">
        <f>IFERROR(__xludf.DUMMYFUNCTION("""COMPUTED_VALUE"""),"RSC001058")</f>
        <v>RSC001058</v>
      </c>
      <c r="B1059" s="41" t="str">
        <f>IFERROR(__xludf.DUMMYFUNCTION("""COMPUTED_VALUE"""),"msuDW")</f>
        <v>msuDW</v>
      </c>
    </row>
    <row r="1060">
      <c r="A1060" s="41" t="str">
        <f>IFERROR(__xludf.DUMMYFUNCTION("""COMPUTED_VALUE"""),"RSC001059")</f>
        <v>RSC001059</v>
      </c>
      <c r="B1060" s="41" t="str">
        <f>IFERROR(__xludf.DUMMYFUNCTION("""COMPUTED_VALUE"""),"SaltyBonnyr")</f>
        <v>SaltyBonnyr</v>
      </c>
    </row>
    <row r="1061">
      <c r="A1061" s="41" t="str">
        <f>IFERROR(__xludf.DUMMYFUNCTION("""COMPUTED_VALUE"""),"RSC001060")</f>
        <v>RSC001060</v>
      </c>
      <c r="B1061" s="41" t="str">
        <f>IFERROR(__xludf.DUMMYFUNCTION("""COMPUTED_VALUE"""),"Zuper")</f>
        <v>Zuper</v>
      </c>
    </row>
    <row r="1062">
      <c r="A1062" s="41" t="str">
        <f>IFERROR(__xludf.DUMMYFUNCTION("""COMPUTED_VALUE"""),"RSC001061")</f>
        <v>RSC001061</v>
      </c>
      <c r="B1062" s="41" t="str">
        <f>IFERROR(__xludf.DUMMYFUNCTION("""COMPUTED_VALUE"""),"Spiffy")</f>
        <v>Spiffy</v>
      </c>
    </row>
    <row r="1063">
      <c r="A1063" s="41" t="str">
        <f>IFERROR(__xludf.DUMMYFUNCTION("""COMPUTED_VALUE"""),"RSC001062")</f>
        <v>RSC001062</v>
      </c>
      <c r="B1063" s="41" t="str">
        <f>IFERROR(__xludf.DUMMYFUNCTION("""COMPUTED_VALUE"""),"Grubslife")</f>
        <v>Grubslife</v>
      </c>
    </row>
    <row r="1064">
      <c r="A1064" s="41" t="str">
        <f>IFERROR(__xludf.DUMMYFUNCTION("""COMPUTED_VALUE"""),"RSC001063")</f>
        <v>RSC001063</v>
      </c>
      <c r="B1064" s="41" t="str">
        <f>IFERROR(__xludf.DUMMYFUNCTION("""COMPUTED_VALUE"""),"JLar27")</f>
        <v>JLar27</v>
      </c>
    </row>
    <row r="1065">
      <c r="A1065" s="41" t="str">
        <f>IFERROR(__xludf.DUMMYFUNCTION("""COMPUTED_VALUE"""),"RSC001064")</f>
        <v>RSC001064</v>
      </c>
      <c r="B1065" s="41" t="str">
        <f>IFERROR(__xludf.DUMMYFUNCTION("""COMPUTED_VALUE"""),"DintGrid")</f>
        <v>DintGrid</v>
      </c>
    </row>
    <row r="1066">
      <c r="A1066" s="41" t="str">
        <f>IFERROR(__xludf.DUMMYFUNCTION("""COMPUTED_VALUE"""),"RSC001065")</f>
        <v>RSC001065</v>
      </c>
      <c r="B1066" s="41" t="str">
        <f>IFERROR(__xludf.DUMMYFUNCTION("""COMPUTED_VALUE"""),"MONSTERBUCK46")</f>
        <v>MONSTERBUCK46</v>
      </c>
    </row>
    <row r="1067">
      <c r="A1067" s="41" t="str">
        <f>IFERROR(__xludf.DUMMYFUNCTION("""COMPUTED_VALUE"""),"RSC001066")</f>
        <v>RSC001066</v>
      </c>
      <c r="B1067" s="41" t="str">
        <f>IFERROR(__xludf.DUMMYFUNCTION("""COMPUTED_VALUE"""),"risu")</f>
        <v>risu</v>
      </c>
    </row>
    <row r="1068">
      <c r="A1068" s="41" t="str">
        <f>IFERROR(__xludf.DUMMYFUNCTION("""COMPUTED_VALUE"""),"RSC001067")</f>
        <v>RSC001067</v>
      </c>
      <c r="B1068" s="41" t="str">
        <f>IFERROR(__xludf.DUMMYFUNCTION("""COMPUTED_VALUE"""),"Dranearian")</f>
        <v>Dranearian</v>
      </c>
    </row>
    <row r="1069">
      <c r="A1069" s="41" t="str">
        <f>IFERROR(__xludf.DUMMYFUNCTION("""COMPUTED_VALUE"""),"RSC001068")</f>
        <v>RSC001068</v>
      </c>
      <c r="B1069" s="41" t="str">
        <f>IFERROR(__xludf.DUMMYFUNCTION("""COMPUTED_VALUE"""),"KomaliBear")</f>
        <v>KomaliBear</v>
      </c>
    </row>
    <row r="1070">
      <c r="A1070" s="41" t="str">
        <f>IFERROR(__xludf.DUMMYFUNCTION("""COMPUTED_VALUE"""),"RSC001069")</f>
        <v>RSC001069</v>
      </c>
      <c r="B1070" s="41" t="str">
        <f>IFERROR(__xludf.DUMMYFUNCTION("""COMPUTED_VALUE"""),"Twigler")</f>
        <v>Twigler</v>
      </c>
    </row>
    <row r="1071">
      <c r="A1071" s="41" t="str">
        <f>IFERROR(__xludf.DUMMYFUNCTION("""COMPUTED_VALUE"""),"RSC001070")</f>
        <v>RSC001070</v>
      </c>
      <c r="B1071" s="41" t="str">
        <f>IFERROR(__xludf.DUMMYFUNCTION("""COMPUTED_VALUE"""),"Tigerbot")</f>
        <v>Tigerbot</v>
      </c>
    </row>
    <row r="1072">
      <c r="A1072" s="41" t="str">
        <f>IFERROR(__xludf.DUMMYFUNCTION("""COMPUTED_VALUE"""),"RSC001071")</f>
        <v>RSC001071</v>
      </c>
      <c r="B1072" s="41" t="str">
        <f>IFERROR(__xludf.DUMMYFUNCTION("""COMPUTED_VALUE"""),"Reven")</f>
        <v>Reven</v>
      </c>
    </row>
    <row r="1073">
      <c r="A1073" s="41" t="str">
        <f>IFERROR(__xludf.DUMMYFUNCTION("""COMPUTED_VALUE"""),"RSC001072")</f>
        <v>RSC001072</v>
      </c>
      <c r="B1073" s="41" t="str">
        <f>IFERROR(__xludf.DUMMYFUNCTION("""COMPUTED_VALUE"""),"Tyshalle")</f>
        <v>Tyshalle</v>
      </c>
    </row>
    <row r="1074">
      <c r="A1074" s="41" t="str">
        <f>IFERROR(__xludf.DUMMYFUNCTION("""COMPUTED_VALUE"""),"RSC001073")</f>
        <v>RSC001073</v>
      </c>
      <c r="B1074" s="41" t="str">
        <f>IFERROR(__xludf.DUMMYFUNCTION("""COMPUTED_VALUE"""),"TruSolja")</f>
        <v>TruSolja</v>
      </c>
    </row>
    <row r="1075">
      <c r="A1075" s="41" t="str">
        <f>IFERROR(__xludf.DUMMYFUNCTION("""COMPUTED_VALUE"""),"RSC001074")</f>
        <v>RSC001074</v>
      </c>
      <c r="B1075" s="41" t="str">
        <f>IFERROR(__xludf.DUMMYFUNCTION("""COMPUTED_VALUE"""),"Versiaz")</f>
        <v>Versiaz</v>
      </c>
    </row>
    <row r="1076">
      <c r="A1076" s="41" t="str">
        <f>IFERROR(__xludf.DUMMYFUNCTION("""COMPUTED_VALUE"""),"RSC001075")</f>
        <v>RSC001075</v>
      </c>
      <c r="B1076" s="41" t="str">
        <f>IFERROR(__xludf.DUMMYFUNCTION("""COMPUTED_VALUE"""),"Spoilt")</f>
        <v>Spoilt</v>
      </c>
    </row>
    <row r="1077">
      <c r="A1077" s="41" t="str">
        <f>IFERROR(__xludf.DUMMYFUNCTION("""COMPUTED_VALUE"""),"RSC001076")</f>
        <v>RSC001076</v>
      </c>
      <c r="B1077" s="41" t="str">
        <f>IFERROR(__xludf.DUMMYFUNCTION("""COMPUTED_VALUE"""),"Sersero")</f>
        <v>Sersero</v>
      </c>
    </row>
    <row r="1078">
      <c r="A1078" s="41" t="str">
        <f>IFERROR(__xludf.DUMMYFUNCTION("""COMPUTED_VALUE"""),"RSC001077")</f>
        <v>RSC001077</v>
      </c>
      <c r="B1078" s="41" t="str">
        <f>IFERROR(__xludf.DUMMYFUNCTION("""COMPUTED_VALUE"""),"Zebu")</f>
        <v>Zebu</v>
      </c>
    </row>
    <row r="1079">
      <c r="A1079" s="41" t="str">
        <f>IFERROR(__xludf.DUMMYFUNCTION("""COMPUTED_VALUE"""),"RSC001078")</f>
        <v>RSC001078</v>
      </c>
      <c r="B1079" s="41" t="str">
        <f>IFERROR(__xludf.DUMMYFUNCTION("""COMPUTED_VALUE"""),"binx")</f>
        <v>binx</v>
      </c>
    </row>
    <row r="1080">
      <c r="A1080" s="41" t="str">
        <f>IFERROR(__xludf.DUMMYFUNCTION("""COMPUTED_VALUE"""),"RSC001079")</f>
        <v>RSC001079</v>
      </c>
      <c r="B1080" s="41" t="str">
        <f>IFERROR(__xludf.DUMMYFUNCTION("""COMPUTED_VALUE"""),"wrevor")</f>
        <v>wrevor</v>
      </c>
    </row>
    <row r="1081">
      <c r="A1081" s="41" t="str">
        <f>IFERROR(__xludf.DUMMYFUNCTION("""COMPUTED_VALUE"""),"RSC001080")</f>
        <v>RSC001080</v>
      </c>
      <c r="B1081" s="41" t="str">
        <f>IFERROR(__xludf.DUMMYFUNCTION("""COMPUTED_VALUE"""),"Siege.A")</f>
        <v>Siege.A</v>
      </c>
    </row>
    <row r="1082">
      <c r="A1082" s="41" t="str">
        <f>IFERROR(__xludf.DUMMYFUNCTION("""COMPUTED_VALUE"""),"RSC001081")</f>
        <v>RSC001081</v>
      </c>
      <c r="B1082" s="41" t="str">
        <f>IFERROR(__xludf.DUMMYFUNCTION("""COMPUTED_VALUE"""),".Tinkz")</f>
        <v>.Tinkz</v>
      </c>
    </row>
    <row r="1083">
      <c r="A1083" s="41" t="str">
        <f>IFERROR(__xludf.DUMMYFUNCTION("""COMPUTED_VALUE"""),"RSC001082")</f>
        <v>RSC001082</v>
      </c>
      <c r="B1083" s="41" t="str">
        <f>IFERROR(__xludf.DUMMYFUNCTION("""COMPUTED_VALUE"""),"Tuxedo Marx")</f>
        <v>Tuxedo Marx</v>
      </c>
    </row>
    <row r="1084">
      <c r="A1084" s="41" t="str">
        <f>IFERROR(__xludf.DUMMYFUNCTION("""COMPUTED_VALUE"""),"RSC001083")</f>
        <v>RSC001083</v>
      </c>
      <c r="B1084" s="41" t="str">
        <f>IFERROR(__xludf.DUMMYFUNCTION("""COMPUTED_VALUE"""),"♞ Hourglazz ♞")</f>
        <v>♞ Hourglazz ♞</v>
      </c>
    </row>
    <row r="1085">
      <c r="A1085" s="41" t="str">
        <f>IFERROR(__xludf.DUMMYFUNCTION("""COMPUTED_VALUE"""),"RSC001084")</f>
        <v>RSC001084</v>
      </c>
      <c r="B1085" s="41" t="str">
        <f>IFERROR(__xludf.DUMMYFUNCTION("""COMPUTED_VALUE"""),"🛦 Jet 🛦")</f>
        <v>🛦 Jet 🛦</v>
      </c>
    </row>
    <row r="1086">
      <c r="A1086" s="41" t="str">
        <f>IFERROR(__xludf.DUMMYFUNCTION("""COMPUTED_VALUE"""),"RSC001085")</f>
        <v>RSC001085</v>
      </c>
      <c r="B1086" s="41" t="str">
        <f>IFERROR(__xludf.DUMMYFUNCTION("""COMPUTED_VALUE"""),"0nlyBree")</f>
        <v>0nlyBree</v>
      </c>
    </row>
    <row r="1087">
      <c r="A1087" s="41" t="str">
        <f>IFERROR(__xludf.DUMMYFUNCTION("""COMPUTED_VALUE"""),"RSC001086")</f>
        <v>RSC001086</v>
      </c>
      <c r="B1087" s="41" t="str">
        <f>IFERROR(__xludf.DUMMYFUNCTION("""COMPUTED_VALUE"""),"2% Mike")</f>
        <v>2% Mike</v>
      </c>
    </row>
    <row r="1088">
      <c r="A1088" s="41" t="str">
        <f>IFERROR(__xludf.DUMMYFUNCTION("""COMPUTED_VALUE"""),"RSC001087")</f>
        <v>RSC001087</v>
      </c>
      <c r="B1088" s="41">
        <f>IFERROR(__xludf.DUMMYFUNCTION("""COMPUTED_VALUE"""),21.0)</f>
        <v>21</v>
      </c>
    </row>
    <row r="1089">
      <c r="A1089" s="41" t="str">
        <f>IFERROR(__xludf.DUMMYFUNCTION("""COMPUTED_VALUE"""),"RSC001088")</f>
        <v>RSC001088</v>
      </c>
      <c r="B1089" s="41">
        <f>IFERROR(__xludf.DUMMYFUNCTION("""COMPUTED_VALUE"""),43.0)</f>
        <v>43</v>
      </c>
    </row>
    <row r="1090">
      <c r="A1090" s="41" t="str">
        <f>IFERROR(__xludf.DUMMYFUNCTION("""COMPUTED_VALUE"""),"RSC001089")</f>
        <v>RSC001089</v>
      </c>
      <c r="B1090" s="41" t="str">
        <f>IFERROR(__xludf.DUMMYFUNCTION("""COMPUTED_VALUE"""),"4KDebo")</f>
        <v>4KDebo</v>
      </c>
    </row>
    <row r="1091">
      <c r="A1091" s="41" t="str">
        <f>IFERROR(__xludf.DUMMYFUNCTION("""COMPUTED_VALUE"""),"RSC001090")</f>
        <v>RSC001090</v>
      </c>
      <c r="B1091" s="41" t="str">
        <f>IFERROR(__xludf.DUMMYFUNCTION("""COMPUTED_VALUE"""),"A Canadian Dude")</f>
        <v>A Canadian Dude</v>
      </c>
    </row>
    <row r="1092">
      <c r="A1092" s="41" t="str">
        <f>IFERROR(__xludf.DUMMYFUNCTION("""COMPUTED_VALUE"""),"RSC001091")</f>
        <v>RSC001091</v>
      </c>
      <c r="B1092" s="41" t="str">
        <f>IFERROR(__xludf.DUMMYFUNCTION("""COMPUTED_VALUE"""),"stealthman777")</f>
        <v>stealthman777</v>
      </c>
    </row>
    <row r="1093">
      <c r="A1093" s="41" t="str">
        <f>IFERROR(__xludf.DUMMYFUNCTION("""COMPUTED_VALUE"""),"RSC001092")</f>
        <v>RSC001092</v>
      </c>
      <c r="B1093" s="41" t="str">
        <f>IFERROR(__xludf.DUMMYFUNCTION("""COMPUTED_VALUE"""),"Absolut3")</f>
        <v>Absolut3</v>
      </c>
    </row>
    <row r="1094">
      <c r="A1094" s="41" t="str">
        <f>IFERROR(__xludf.DUMMYFUNCTION("""COMPUTED_VALUE"""),"RSC001093")</f>
        <v>RSC001093</v>
      </c>
      <c r="B1094" s="41" t="str">
        <f>IFERROR(__xludf.DUMMYFUNCTION("""COMPUTED_VALUE"""),"Accuruhcy")</f>
        <v>Accuruhcy</v>
      </c>
    </row>
    <row r="1095">
      <c r="A1095" s="41" t="str">
        <f>IFERROR(__xludf.DUMMYFUNCTION("""COMPUTED_VALUE"""),"RSC001094")</f>
        <v>RSC001094</v>
      </c>
      <c r="B1095" s="41" t="str">
        <f>IFERROR(__xludf.DUMMYFUNCTION("""COMPUTED_VALUE"""),"Ace7711")</f>
        <v>Ace7711</v>
      </c>
    </row>
    <row r="1096">
      <c r="A1096" s="41" t="str">
        <f>IFERROR(__xludf.DUMMYFUNCTION("""COMPUTED_VALUE"""),"RSC001095")</f>
        <v>RSC001095</v>
      </c>
      <c r="B1096" s="41" t="str">
        <f>IFERROR(__xludf.DUMMYFUNCTION("""COMPUTED_VALUE"""),"Adamlol")</f>
        <v>Adamlol</v>
      </c>
    </row>
    <row r="1097">
      <c r="A1097" s="41" t="str">
        <f>IFERROR(__xludf.DUMMYFUNCTION("""COMPUTED_VALUE"""),"RSC001096")</f>
        <v>RSC001096</v>
      </c>
      <c r="B1097" s="41" t="str">
        <f>IFERROR(__xludf.DUMMYFUNCTION("""COMPUTED_VALUE"""),"AdmiralFartmore")</f>
        <v>AdmiralFartmore</v>
      </c>
    </row>
    <row r="1098">
      <c r="A1098" s="41" t="str">
        <f>IFERROR(__xludf.DUMMYFUNCTION("""COMPUTED_VALUE"""),"RSC001097")</f>
        <v>RSC001097</v>
      </c>
      <c r="B1098" s="41" t="str">
        <f>IFERROR(__xludf.DUMMYFUNCTION("""COMPUTED_VALUE"""),"Aeronaut")</f>
        <v>Aeronaut</v>
      </c>
    </row>
    <row r="1099">
      <c r="A1099" s="41" t="str">
        <f>IFERROR(__xludf.DUMMYFUNCTION("""COMPUTED_VALUE"""),"RSC001098")</f>
        <v>RSC001098</v>
      </c>
      <c r="B1099" s="41" t="str">
        <f>IFERROR(__xludf.DUMMYFUNCTION("""COMPUTED_VALUE"""),"Wafe")</f>
        <v>Wafe</v>
      </c>
    </row>
    <row r="1100">
      <c r="A1100" s="41" t="str">
        <f>IFERROR(__xludf.DUMMYFUNCTION("""COMPUTED_VALUE"""),"RSC001099")</f>
        <v>RSC001099</v>
      </c>
      <c r="B1100" s="41" t="str">
        <f>IFERROR(__xludf.DUMMYFUNCTION("""COMPUTED_VALUE"""),"alaindodger")</f>
        <v>alaindodger</v>
      </c>
    </row>
    <row r="1101">
      <c r="A1101" s="41" t="str">
        <f>IFERROR(__xludf.DUMMYFUNCTION("""COMPUTED_VALUE"""),"RSC001100")</f>
        <v>RSC001100</v>
      </c>
      <c r="B1101" s="41" t="str">
        <f>IFERROR(__xludf.DUMMYFUNCTION("""COMPUTED_VALUE"""),"AlexB621")</f>
        <v>AlexB621</v>
      </c>
    </row>
    <row r="1102">
      <c r="A1102" s="41" t="str">
        <f>IFERROR(__xludf.DUMMYFUNCTION("""COMPUTED_VALUE"""),"RSC001101")</f>
        <v>RSC001101</v>
      </c>
      <c r="B1102" s="41" t="str">
        <f>IFERROR(__xludf.DUMMYFUNCTION("""COMPUTED_VALUE"""),"Alpa")</f>
        <v>Alpa</v>
      </c>
    </row>
    <row r="1103">
      <c r="A1103" s="41" t="str">
        <f>IFERROR(__xludf.DUMMYFUNCTION("""COMPUTED_VALUE"""),"RSC001102")</f>
        <v>RSC001102</v>
      </c>
      <c r="B1103" s="41" t="str">
        <f>IFERROR(__xludf.DUMMYFUNCTION("""COMPUTED_VALUE"""),"alwon")</f>
        <v>alwon</v>
      </c>
    </row>
    <row r="1104">
      <c r="A1104" s="41" t="str">
        <f>IFERROR(__xludf.DUMMYFUNCTION("""COMPUTED_VALUE"""),"RSC001103")</f>
        <v>RSC001103</v>
      </c>
      <c r="B1104" s="41" t="str">
        <f>IFERROR(__xludf.DUMMYFUNCTION("""COMPUTED_VALUE"""),"alxtico")</f>
        <v>alxtico</v>
      </c>
    </row>
    <row r="1105">
      <c r="A1105" s="41" t="str">
        <f>IFERROR(__xludf.DUMMYFUNCTION("""COMPUTED_VALUE"""),"RSC001104")</f>
        <v>RSC001104</v>
      </c>
      <c r="B1105" s="41" t="str">
        <f>IFERROR(__xludf.DUMMYFUNCTION("""COMPUTED_VALUE"""),"Amulon")</f>
        <v>Amulon</v>
      </c>
    </row>
    <row r="1106">
      <c r="A1106" s="41" t="str">
        <f>IFERROR(__xludf.DUMMYFUNCTION("""COMPUTED_VALUE"""),"RSC001105")</f>
        <v>RSC001105</v>
      </c>
      <c r="B1106" s="41" t="str">
        <f>IFERROR(__xludf.DUMMYFUNCTION("""COMPUTED_VALUE"""),"Andriukas")</f>
        <v>Andriukas</v>
      </c>
    </row>
    <row r="1107">
      <c r="A1107" s="41" t="str">
        <f>IFERROR(__xludf.DUMMYFUNCTION("""COMPUTED_VALUE"""),"RSC001106")</f>
        <v>RSC001106</v>
      </c>
      <c r="B1107" s="41" t="str">
        <f>IFERROR(__xludf.DUMMYFUNCTION("""COMPUTED_VALUE"""),"AngularMomentum")</f>
        <v>AngularMomentum</v>
      </c>
    </row>
    <row r="1108">
      <c r="A1108" s="41" t="str">
        <f>IFERROR(__xludf.DUMMYFUNCTION("""COMPUTED_VALUE"""),"RSC001107")</f>
        <v>RSC001107</v>
      </c>
      <c r="B1108" s="41" t="str">
        <f>IFERROR(__xludf.DUMMYFUNCTION("""COMPUTED_VALUE"""),"El ANGUS")</f>
        <v>El ANGUS</v>
      </c>
    </row>
    <row r="1109">
      <c r="A1109" s="41" t="str">
        <f>IFERROR(__xludf.DUMMYFUNCTION("""COMPUTED_VALUE"""),"RSC001108")</f>
        <v>RSC001108</v>
      </c>
      <c r="B1109" s="41" t="str">
        <f>IFERROR(__xludf.DUMMYFUNCTION("""COMPUTED_VALUE"""),"Apollo Chilly")</f>
        <v>Apollo Chilly</v>
      </c>
    </row>
    <row r="1110">
      <c r="A1110" s="41" t="str">
        <f>IFERROR(__xludf.DUMMYFUNCTION("""COMPUTED_VALUE"""),"RSC001109")</f>
        <v>RSC001109</v>
      </c>
      <c r="B1110" s="41" t="str">
        <f>IFERROR(__xludf.DUMMYFUNCTION("""COMPUTED_VALUE"""),"Apollo(change)")</f>
        <v>Apollo(change)</v>
      </c>
    </row>
    <row r="1111">
      <c r="A1111" s="41" t="str">
        <f>IFERROR(__xludf.DUMMYFUNCTION("""COMPUTED_VALUE"""),"RSC001110")</f>
        <v>RSC001110</v>
      </c>
      <c r="B1111" s="41" t="str">
        <f>IFERROR(__xludf.DUMMYFUNCTION("""COMPUTED_VALUE"""),"arco")</f>
        <v>arco</v>
      </c>
    </row>
    <row r="1112">
      <c r="A1112" s="41" t="str">
        <f>IFERROR(__xludf.DUMMYFUNCTION("""COMPUTED_VALUE"""),"RSC001111")</f>
        <v>RSC001111</v>
      </c>
      <c r="B1112" s="41" t="str">
        <f>IFERROR(__xludf.DUMMYFUNCTION("""COMPUTED_VALUE"""),"ArcticFocs")</f>
        <v>ArcticFocs</v>
      </c>
    </row>
    <row r="1113">
      <c r="A1113" s="41" t="str">
        <f>IFERROR(__xludf.DUMMYFUNCTION("""COMPUTED_VALUE"""),"RSC001112")</f>
        <v>RSC001112</v>
      </c>
      <c r="B1113" s="41" t="str">
        <f>IFERROR(__xludf.DUMMYFUNCTION("""COMPUTED_VALUE"""),"arkin")</f>
        <v>arkin</v>
      </c>
    </row>
    <row r="1114">
      <c r="A1114" s="41" t="str">
        <f>IFERROR(__xludf.DUMMYFUNCTION("""COMPUTED_VALUE"""),"RSC001113")</f>
        <v>RSC001113</v>
      </c>
      <c r="B1114" s="41" t="str">
        <f>IFERROR(__xludf.DUMMYFUNCTION("""COMPUTED_VALUE"""),"ArmBiter")</f>
        <v>ArmBiter</v>
      </c>
    </row>
    <row r="1115">
      <c r="A1115" s="41" t="str">
        <f>IFERROR(__xludf.DUMMYFUNCTION("""COMPUTED_VALUE"""),"RSC001114")</f>
        <v>RSC001114</v>
      </c>
      <c r="B1115" s="41" t="str">
        <f>IFERROR(__xludf.DUMMYFUNCTION("""COMPUTED_VALUE"""),"ASHES.")</f>
        <v>ASHES.</v>
      </c>
    </row>
    <row r="1116">
      <c r="A1116" s="41" t="str">
        <f>IFERROR(__xludf.DUMMYFUNCTION("""COMPUTED_VALUE"""),"RSC001115")</f>
        <v>RSC001115</v>
      </c>
      <c r="B1116" s="41" t="str">
        <f>IFERROR(__xludf.DUMMYFUNCTION("""COMPUTED_VALUE"""),"A Toaster")</f>
        <v>A Toaster</v>
      </c>
    </row>
    <row r="1117">
      <c r="A1117" s="41" t="str">
        <f>IFERROR(__xludf.DUMMYFUNCTION("""COMPUTED_VALUE"""),"RSC001116")</f>
        <v>RSC001116</v>
      </c>
      <c r="B1117" s="41" t="str">
        <f>IFERROR(__xludf.DUMMYFUNCTION("""COMPUTED_VALUE"""),"austinkies")</f>
        <v>austinkies</v>
      </c>
    </row>
    <row r="1118">
      <c r="A1118" s="41" t="str">
        <f>IFERROR(__xludf.DUMMYFUNCTION("""COMPUTED_VALUE"""),"RSC001117")</f>
        <v>RSC001117</v>
      </c>
      <c r="B1118" s="41" t="str">
        <f>IFERROR(__xludf.DUMMYFUNCTION("""COMPUTED_VALUE"""),"AyVATO")</f>
        <v>AyVATO</v>
      </c>
    </row>
    <row r="1119">
      <c r="A1119" s="41" t="str">
        <f>IFERROR(__xludf.DUMMYFUNCTION("""COMPUTED_VALUE"""),"RSC001118")</f>
        <v>RSC001118</v>
      </c>
      <c r="B1119" s="41" t="str">
        <f>IFERROR(__xludf.DUMMYFUNCTION("""COMPUTED_VALUE"""),"azurified")</f>
        <v>azurified</v>
      </c>
    </row>
    <row r="1120">
      <c r="A1120" s="41" t="str">
        <f>IFERROR(__xludf.DUMMYFUNCTION("""COMPUTED_VALUE"""),"RSC001119")</f>
        <v>RSC001119</v>
      </c>
      <c r="B1120" s="41" t="str">
        <f>IFERROR(__xludf.DUMMYFUNCTION("""COMPUTED_VALUE"""),"b900cool")</f>
        <v>b900cool</v>
      </c>
    </row>
    <row r="1121">
      <c r="A1121" s="41" t="str">
        <f>IFERROR(__xludf.DUMMYFUNCTION("""COMPUTED_VALUE"""),"RSC001120")</f>
        <v>RSC001120</v>
      </c>
      <c r="B1121" s="41" t="str">
        <f>IFERROR(__xludf.DUMMYFUNCTION("""COMPUTED_VALUE"""),"Babz")</f>
        <v>Babz</v>
      </c>
    </row>
    <row r="1122">
      <c r="A1122" s="41" t="str">
        <f>IFERROR(__xludf.DUMMYFUNCTION("""COMPUTED_VALUE"""),"RSC001121")</f>
        <v>RSC001121</v>
      </c>
      <c r="B1122" s="41" t="str">
        <f>IFERROR(__xludf.DUMMYFUNCTION("""COMPUTED_VALUE"""),"Baker")</f>
        <v>Baker</v>
      </c>
    </row>
    <row r="1123">
      <c r="A1123" s="41" t="str">
        <f>IFERROR(__xludf.DUMMYFUNCTION("""COMPUTED_VALUE"""),"RSC001122")</f>
        <v>RSC001122</v>
      </c>
      <c r="B1123" s="41" t="str">
        <f>IFERROR(__xludf.DUMMYFUNCTION("""COMPUTED_VALUE"""),"Bakermeister")</f>
        <v>Bakermeister</v>
      </c>
    </row>
    <row r="1124">
      <c r="A1124" s="41" t="str">
        <f>IFERROR(__xludf.DUMMYFUNCTION("""COMPUTED_VALUE"""),"RSC001123")</f>
        <v>RSC001123</v>
      </c>
      <c r="B1124" s="41" t="str">
        <f>IFERROR(__xludf.DUMMYFUNCTION("""COMPUTED_VALUE"""),"Baldoak")</f>
        <v>Baldoak</v>
      </c>
    </row>
    <row r="1125">
      <c r="A1125" s="41" t="str">
        <f>IFERROR(__xludf.DUMMYFUNCTION("""COMPUTED_VALUE"""),"RSC001124")</f>
        <v>RSC001124</v>
      </c>
      <c r="B1125" s="41" t="str">
        <f>IFERROR(__xludf.DUMMYFUNCTION("""COMPUTED_VALUE"""),"Bamboostic")</f>
        <v>Bamboostic</v>
      </c>
    </row>
    <row r="1126">
      <c r="A1126" s="41" t="str">
        <f>IFERROR(__xludf.DUMMYFUNCTION("""COMPUTED_VALUE"""),"RSC001125")</f>
        <v>RSC001125</v>
      </c>
      <c r="B1126" s="41" t="str">
        <f>IFERROR(__xludf.DUMMYFUNCTION("""COMPUTED_VALUE"""),"Bandicoot")</f>
        <v>Bandicoot</v>
      </c>
    </row>
    <row r="1127">
      <c r="A1127" s="41" t="str">
        <f>IFERROR(__xludf.DUMMYFUNCTION("""COMPUTED_VALUE"""),"RSC001126")</f>
        <v>RSC001126</v>
      </c>
      <c r="B1127" s="41" t="str">
        <f>IFERROR(__xludf.DUMMYFUNCTION("""COMPUTED_VALUE"""),"barofhersheys")</f>
        <v>barofhersheys</v>
      </c>
    </row>
    <row r="1128">
      <c r="A1128" s="41" t="str">
        <f>IFERROR(__xludf.DUMMYFUNCTION("""COMPUTED_VALUE"""),"RSC001127")</f>
        <v>RSC001127</v>
      </c>
      <c r="B1128" s="41" t="str">
        <f>IFERROR(__xludf.DUMMYFUNCTION("""COMPUTED_VALUE"""),"baX.")</f>
        <v>baX.</v>
      </c>
    </row>
    <row r="1129">
      <c r="A1129" s="41" t="str">
        <f>IFERROR(__xludf.DUMMYFUNCTION("""COMPUTED_VALUE"""),"RSC001128")</f>
        <v>RSC001128</v>
      </c>
      <c r="B1129" s="41" t="str">
        <f>IFERROR(__xludf.DUMMYFUNCTION("""COMPUTED_VALUE"""),"BD Yurek")</f>
        <v>BD Yurek</v>
      </c>
    </row>
    <row r="1130">
      <c r="A1130" s="41" t="str">
        <f>IFERROR(__xludf.DUMMYFUNCTION("""COMPUTED_VALUE"""),"RSC001129")</f>
        <v>RSC001129</v>
      </c>
      <c r="B1130" s="41" t="str">
        <f>IFERROR(__xludf.DUMMYFUNCTION("""COMPUTED_VALUE"""),"BDG Explosion")</f>
        <v>BDG Explosion</v>
      </c>
    </row>
    <row r="1131">
      <c r="A1131" s="41" t="str">
        <f>IFERROR(__xludf.DUMMYFUNCTION("""COMPUTED_VALUE"""),"RSC001130")</f>
        <v>RSC001130</v>
      </c>
      <c r="B1131" s="41" t="str">
        <f>IFERROR(__xludf.DUMMYFUNCTION("""COMPUTED_VALUE"""),"BeanMan")</f>
        <v>BeanMan</v>
      </c>
    </row>
    <row r="1132">
      <c r="A1132" s="41" t="str">
        <f>IFERROR(__xludf.DUMMYFUNCTION("""COMPUTED_VALUE"""),"RSC001131")</f>
        <v>RSC001131</v>
      </c>
      <c r="B1132" s="41" t="str">
        <f>IFERROR(__xludf.DUMMYFUNCTION("""COMPUTED_VALUE"""),"beast-of-bmore")</f>
        <v>beast-of-bmore</v>
      </c>
    </row>
    <row r="1133">
      <c r="A1133" s="41" t="str">
        <f>IFERROR(__xludf.DUMMYFUNCTION("""COMPUTED_VALUE"""),"RSC001132")</f>
        <v>RSC001132</v>
      </c>
      <c r="B1133" s="41" t="str">
        <f>IFERROR(__xludf.DUMMYFUNCTION("""COMPUTED_VALUE"""),"bemo")</f>
        <v>bemo</v>
      </c>
    </row>
    <row r="1134">
      <c r="A1134" s="41" t="str">
        <f>IFERROR(__xludf.DUMMYFUNCTION("""COMPUTED_VALUE"""),"RSC001133")</f>
        <v>RSC001133</v>
      </c>
      <c r="B1134" s="41" t="str">
        <f>IFERROR(__xludf.DUMMYFUNCTION("""COMPUTED_VALUE"""),"Beni Lava")</f>
        <v>Beni Lava</v>
      </c>
    </row>
    <row r="1135">
      <c r="A1135" s="41" t="str">
        <f>IFERROR(__xludf.DUMMYFUNCTION("""COMPUTED_VALUE"""),"RSC001134")</f>
        <v>RSC001134</v>
      </c>
      <c r="B1135" s="41" t="str">
        <f>IFERROR(__xludf.DUMMYFUNCTION("""COMPUTED_VALUE"""),"Benific799")</f>
        <v>Benific799</v>
      </c>
    </row>
    <row r="1136">
      <c r="A1136" s="41" t="str">
        <f>IFERROR(__xludf.DUMMYFUNCTION("""COMPUTED_VALUE"""),"RSC001135")</f>
        <v>RSC001135</v>
      </c>
      <c r="B1136" s="41" t="str">
        <f>IFERROR(__xludf.DUMMYFUNCTION("""COMPUTED_VALUE"""),"bensayers89")</f>
        <v>bensayers89</v>
      </c>
    </row>
    <row r="1137">
      <c r="A1137" s="41" t="str">
        <f>IFERROR(__xludf.DUMMYFUNCTION("""COMPUTED_VALUE"""),"RSC001136")</f>
        <v>RSC001136</v>
      </c>
      <c r="B1137" s="41" t="str">
        <f>IFERROR(__xludf.DUMMYFUNCTION("""COMPUTED_VALUE"""),"bgellis2")</f>
        <v>bgellis2</v>
      </c>
    </row>
    <row r="1138">
      <c r="A1138" s="41" t="str">
        <f>IFERROR(__xludf.DUMMYFUNCTION("""COMPUTED_VALUE"""),"RSC001137")</f>
        <v>RSC001137</v>
      </c>
      <c r="B1138" s="41" t="str">
        <f>IFERROR(__xludf.DUMMYFUNCTION("""COMPUTED_VALUE"""),"BibbyD32")</f>
        <v>BibbyD32</v>
      </c>
    </row>
    <row r="1139">
      <c r="A1139" s="41" t="str">
        <f>IFERROR(__xludf.DUMMYFUNCTION("""COMPUTED_VALUE"""),"RSC001138")</f>
        <v>RSC001138</v>
      </c>
      <c r="B1139" s="41" t="str">
        <f>IFERROR(__xludf.DUMMYFUNCTION("""COMPUTED_VALUE"""),"BigBadBattlePig")</f>
        <v>BigBadBattlePig</v>
      </c>
    </row>
    <row r="1140">
      <c r="A1140" s="41" t="str">
        <f>IFERROR(__xludf.DUMMYFUNCTION("""COMPUTED_VALUE"""),"RSC001139")</f>
        <v>RSC001139</v>
      </c>
      <c r="B1140" s="41" t="str">
        <f>IFERROR(__xludf.DUMMYFUNCTION("""COMPUTED_VALUE"""),"BigGutRandy")</f>
        <v>BigGutRandy</v>
      </c>
    </row>
    <row r="1141">
      <c r="A1141" s="41" t="str">
        <f>IFERROR(__xludf.DUMMYFUNCTION("""COMPUTED_VALUE"""),"RSC001140")</f>
        <v>RSC001140</v>
      </c>
      <c r="B1141" s="41" t="str">
        <f>IFERROR(__xludf.DUMMYFUNCTION("""COMPUTED_VALUE"""),"BigNoah360")</f>
        <v>BigNoah360</v>
      </c>
    </row>
    <row r="1142">
      <c r="A1142" s="41" t="str">
        <f>IFERROR(__xludf.DUMMYFUNCTION("""COMPUTED_VALUE"""),"RSC001141")</f>
        <v>RSC001141</v>
      </c>
      <c r="B1142" s="41" t="str">
        <f>IFERROR(__xludf.DUMMYFUNCTION("""COMPUTED_VALUE"""),"Bill3113")</f>
        <v>Bill3113</v>
      </c>
    </row>
    <row r="1143">
      <c r="A1143" s="41" t="str">
        <f>IFERROR(__xludf.DUMMYFUNCTION("""COMPUTED_VALUE"""),"RSC001142")</f>
        <v>RSC001142</v>
      </c>
      <c r="B1143" s="41" t="str">
        <f>IFERROR(__xludf.DUMMYFUNCTION("""COMPUTED_VALUE"""),"Billy.Blue")</f>
        <v>Billy.Blue</v>
      </c>
    </row>
    <row r="1144">
      <c r="A1144" s="41" t="str">
        <f>IFERROR(__xludf.DUMMYFUNCTION("""COMPUTED_VALUE"""),"RSC001143")</f>
        <v>RSC001143</v>
      </c>
      <c r="B1144" s="41" t="str">
        <f>IFERROR(__xludf.DUMMYFUNCTION("""COMPUTED_VALUE"""),"billyspleen13")</f>
        <v>billyspleen13</v>
      </c>
    </row>
    <row r="1145">
      <c r="A1145" s="41" t="str">
        <f>IFERROR(__xludf.DUMMYFUNCTION("""COMPUTED_VALUE"""),"RSC001144")</f>
        <v>RSC001144</v>
      </c>
      <c r="B1145" s="41" t="str">
        <f>IFERROR(__xludf.DUMMYFUNCTION("""COMPUTED_VALUE"""),"BJOE")</f>
        <v>BJOE</v>
      </c>
    </row>
    <row r="1146">
      <c r="A1146" s="41" t="str">
        <f>IFERROR(__xludf.DUMMYFUNCTION("""COMPUTED_VALUE"""),"RSC001145")</f>
        <v>RSC001145</v>
      </c>
      <c r="B1146" s="41" t="str">
        <f>IFERROR(__xludf.DUMMYFUNCTION("""COMPUTED_VALUE"""),"bluenoser")</f>
        <v>bluenoser</v>
      </c>
    </row>
    <row r="1147">
      <c r="A1147" s="41" t="str">
        <f>IFERROR(__xludf.DUMMYFUNCTION("""COMPUTED_VALUE"""),"RSC001146")</f>
        <v>RSC001146</v>
      </c>
      <c r="B1147" s="41" t="str">
        <f>IFERROR(__xludf.DUMMYFUNCTION("""COMPUTED_VALUE"""),"BlueTiger2661")</f>
        <v>BlueTiger2661</v>
      </c>
    </row>
    <row r="1148">
      <c r="A1148" s="41" t="str">
        <f>IFERROR(__xludf.DUMMYFUNCTION("""COMPUTED_VALUE"""),"RSC001147")</f>
        <v>RSC001147</v>
      </c>
      <c r="B1148" s="41" t="str">
        <f>IFERROR(__xludf.DUMMYFUNCTION("""COMPUTED_VALUE"""),"Blxxr")</f>
        <v>Blxxr</v>
      </c>
    </row>
    <row r="1149">
      <c r="A1149" s="41" t="str">
        <f>IFERROR(__xludf.DUMMYFUNCTION("""COMPUTED_VALUE"""),"RSC001148")</f>
        <v>RSC001148</v>
      </c>
      <c r="B1149" s="41" t="str">
        <f>IFERROR(__xludf.DUMMYFUNCTION("""COMPUTED_VALUE"""),"bongtage")</f>
        <v>bongtage</v>
      </c>
    </row>
    <row r="1150">
      <c r="A1150" s="41" t="str">
        <f>IFERROR(__xludf.DUMMYFUNCTION("""COMPUTED_VALUE"""),"RSC001149")</f>
        <v>RSC001149</v>
      </c>
      <c r="B1150" s="41" t="str">
        <f>IFERROR(__xludf.DUMMYFUNCTION("""COMPUTED_VALUE"""),"boogawon")</f>
        <v>boogawon</v>
      </c>
    </row>
    <row r="1151">
      <c r="A1151" s="41" t="str">
        <f>IFERROR(__xludf.DUMMYFUNCTION("""COMPUTED_VALUE"""),"RSC001150")</f>
        <v>RSC001150</v>
      </c>
      <c r="B1151" s="41" t="str">
        <f>IFERROR(__xludf.DUMMYFUNCTION("""COMPUTED_VALUE"""),"Booggalloo")</f>
        <v>Booggalloo</v>
      </c>
    </row>
    <row r="1152">
      <c r="A1152" s="41" t="str">
        <f>IFERROR(__xludf.DUMMYFUNCTION("""COMPUTED_VALUE"""),"RSC001151")</f>
        <v>RSC001151</v>
      </c>
      <c r="B1152" s="41" t="str">
        <f>IFERROR(__xludf.DUMMYFUNCTION("""COMPUTED_VALUE"""),"BorkRL")</f>
        <v>BorkRL</v>
      </c>
    </row>
    <row r="1153">
      <c r="A1153" s="41" t="str">
        <f>IFERROR(__xludf.DUMMYFUNCTION("""COMPUTED_VALUE"""),"RSC001152")</f>
        <v>RSC001152</v>
      </c>
      <c r="B1153" s="41" t="str">
        <f>IFERROR(__xludf.DUMMYFUNCTION("""COMPUTED_VALUE"""),"BornFountain368")</f>
        <v>BornFountain368</v>
      </c>
    </row>
    <row r="1154">
      <c r="A1154" s="41" t="str">
        <f>IFERROR(__xludf.DUMMYFUNCTION("""COMPUTED_VALUE"""),"RSC001153")</f>
        <v>RSC001153</v>
      </c>
      <c r="B1154" s="41" t="str">
        <f>IFERROR(__xludf.DUMMYFUNCTION("""COMPUTED_VALUE"""),"bouncydeer")</f>
        <v>bouncydeer</v>
      </c>
    </row>
    <row r="1155">
      <c r="A1155" s="41" t="str">
        <f>IFERROR(__xludf.DUMMYFUNCTION("""COMPUTED_VALUE"""),"RSC001154")</f>
        <v>RSC001154</v>
      </c>
      <c r="B1155" s="41" t="str">
        <f>IFERROR(__xludf.DUMMYFUNCTION("""COMPUTED_VALUE"""),"BoxThatBeat")</f>
        <v>BoxThatBeat</v>
      </c>
    </row>
    <row r="1156">
      <c r="A1156" s="41" t="str">
        <f>IFERROR(__xludf.DUMMYFUNCTION("""COMPUTED_VALUE"""),"RSC001155")</f>
        <v>RSC001155</v>
      </c>
      <c r="B1156" s="41" t="str">
        <f>IFERROR(__xludf.DUMMYFUNCTION("""COMPUTED_VALUE"""),"Amateur")</f>
        <v>Amateur</v>
      </c>
    </row>
    <row r="1157">
      <c r="A1157" s="41" t="str">
        <f>IFERROR(__xludf.DUMMYFUNCTION("""COMPUTED_VALUE"""),"RSC001156")</f>
        <v>RSC001156</v>
      </c>
      <c r="B1157" s="41" t="str">
        <f>IFERROR(__xludf.DUMMYFUNCTION("""COMPUTED_VALUE"""),"brad")</f>
        <v>brad</v>
      </c>
    </row>
    <row r="1158">
      <c r="A1158" s="41" t="str">
        <f>IFERROR(__xludf.DUMMYFUNCTION("""COMPUTED_VALUE"""),"RSC001157")</f>
        <v>RSC001157</v>
      </c>
      <c r="B1158" s="41" t="str">
        <f>IFERROR(__xludf.DUMMYFUNCTION("""COMPUTED_VALUE"""),"Brady")</f>
        <v>Brady</v>
      </c>
    </row>
    <row r="1159">
      <c r="A1159" s="41" t="str">
        <f>IFERROR(__xludf.DUMMYFUNCTION("""COMPUTED_VALUE"""),"RSC001158")</f>
        <v>RSC001158</v>
      </c>
      <c r="B1159" s="41" t="str">
        <f>IFERROR(__xludf.DUMMYFUNCTION("""COMPUTED_VALUE"""),"BraidedAxe")</f>
        <v>BraidedAxe</v>
      </c>
    </row>
    <row r="1160">
      <c r="A1160" s="41" t="str">
        <f>IFERROR(__xludf.DUMMYFUNCTION("""COMPUTED_VALUE"""),"RSC001159")</f>
        <v>RSC001159</v>
      </c>
      <c r="B1160" s="41" t="str">
        <f>IFERROR(__xludf.DUMMYFUNCTION("""COMPUTED_VALUE"""),"Brainiakt")</f>
        <v>Brainiakt</v>
      </c>
    </row>
    <row r="1161">
      <c r="A1161" s="41" t="str">
        <f>IFERROR(__xludf.DUMMYFUNCTION("""COMPUTED_VALUE"""),"RSC001160")</f>
        <v>RSC001160</v>
      </c>
      <c r="B1161" s="41" t="str">
        <f>IFERROR(__xludf.DUMMYFUNCTION("""COMPUTED_VALUE"""),"Brando")</f>
        <v>Brando</v>
      </c>
    </row>
    <row r="1162">
      <c r="A1162" s="41" t="str">
        <f>IFERROR(__xludf.DUMMYFUNCTION("""COMPUTED_VALUE"""),"RSC001161")</f>
        <v>RSC001161</v>
      </c>
      <c r="B1162" s="41" t="str">
        <f>IFERROR(__xludf.DUMMYFUNCTION("""COMPUTED_VALUE"""),"breaz")</f>
        <v>breaz</v>
      </c>
    </row>
    <row r="1163">
      <c r="A1163" s="41" t="str">
        <f>IFERROR(__xludf.DUMMYFUNCTION("""COMPUTED_VALUE"""),"RSC001162")</f>
        <v>RSC001162</v>
      </c>
      <c r="B1163" s="41" t="str">
        <f>IFERROR(__xludf.DUMMYFUNCTION("""COMPUTED_VALUE"""),"Brin")</f>
        <v>Brin</v>
      </c>
    </row>
    <row r="1164">
      <c r="A1164" s="41" t="str">
        <f>IFERROR(__xludf.DUMMYFUNCTION("""COMPUTED_VALUE"""),"RSC001163")</f>
        <v>RSC001163</v>
      </c>
      <c r="B1164" s="41" t="str">
        <f>IFERROR(__xludf.DUMMYFUNCTION("""COMPUTED_VALUE"""),"broshu")</f>
        <v>broshu</v>
      </c>
    </row>
    <row r="1165">
      <c r="A1165" s="41" t="str">
        <f>IFERROR(__xludf.DUMMYFUNCTION("""COMPUTED_VALUE"""),"RSC001164")</f>
        <v>RSC001164</v>
      </c>
      <c r="B1165" s="41" t="str">
        <f>IFERROR(__xludf.DUMMYFUNCTION("""COMPUTED_VALUE"""),"brsom")</f>
        <v>brsom</v>
      </c>
    </row>
    <row r="1166">
      <c r="A1166" s="41" t="str">
        <f>IFERROR(__xludf.DUMMYFUNCTION("""COMPUTED_VALUE"""),"RSC001165")</f>
        <v>RSC001165</v>
      </c>
      <c r="B1166" s="41" t="str">
        <f>IFERROR(__xludf.DUMMYFUNCTION("""COMPUTED_VALUE"""),"Brutay")</f>
        <v>Brutay</v>
      </c>
    </row>
    <row r="1167">
      <c r="A1167" s="41" t="str">
        <f>IFERROR(__xludf.DUMMYFUNCTION("""COMPUTED_VALUE"""),"RSC001166")</f>
        <v>RSC001166</v>
      </c>
      <c r="B1167" s="41" t="str">
        <f>IFERROR(__xludf.DUMMYFUNCTION("""COMPUTED_VALUE"""),"bsye375")</f>
        <v>bsye375</v>
      </c>
    </row>
    <row r="1168">
      <c r="A1168" s="41" t="str">
        <f>IFERROR(__xludf.DUMMYFUNCTION("""COMPUTED_VALUE"""),"RSC001167")</f>
        <v>RSC001167</v>
      </c>
      <c r="B1168" s="41" t="str">
        <f>IFERROR(__xludf.DUMMYFUNCTION("""COMPUTED_VALUE"""),"BTKHale")</f>
        <v>BTKHale</v>
      </c>
    </row>
    <row r="1169">
      <c r="A1169" s="41" t="str">
        <f>IFERROR(__xludf.DUMMYFUNCTION("""COMPUTED_VALUE"""),"RSC001168")</f>
        <v>RSC001168</v>
      </c>
      <c r="B1169" s="41" t="str">
        <f>IFERROR(__xludf.DUMMYFUNCTION("""COMPUTED_VALUE"""),"Buckaroo1000")</f>
        <v>Buckaroo1000</v>
      </c>
    </row>
    <row r="1170">
      <c r="A1170" s="41" t="str">
        <f>IFERROR(__xludf.DUMMYFUNCTION("""COMPUTED_VALUE"""),"RSC001169")</f>
        <v>RSC001169</v>
      </c>
      <c r="B1170" s="41" t="str">
        <f>IFERROR(__xludf.DUMMYFUNCTION("""COMPUTED_VALUE"""),"Buffalo")</f>
        <v>Buffalo</v>
      </c>
    </row>
    <row r="1171">
      <c r="A1171" s="41" t="str">
        <f>IFERROR(__xludf.DUMMYFUNCTION("""COMPUTED_VALUE"""),"RSC001170")</f>
        <v>RSC001170</v>
      </c>
      <c r="B1171" s="41" t="str">
        <f>IFERROR(__xludf.DUMMYFUNCTION("""COMPUTED_VALUE"""),"Burritoman62")</f>
        <v>Burritoman62</v>
      </c>
    </row>
    <row r="1172">
      <c r="A1172" s="41" t="str">
        <f>IFERROR(__xludf.DUMMYFUNCTION("""COMPUTED_VALUE"""),"RSC001171")</f>
        <v>RSC001171</v>
      </c>
      <c r="B1172" s="41" t="str">
        <f>IFERROR(__xludf.DUMMYFUNCTION("""COMPUTED_VALUE"""),"butcherboy0417")</f>
        <v>butcherboy0417</v>
      </c>
    </row>
    <row r="1173">
      <c r="A1173" s="41" t="str">
        <f>IFERROR(__xludf.DUMMYFUNCTION("""COMPUTED_VALUE"""),"RSC001172")</f>
        <v>RSC001172</v>
      </c>
      <c r="B1173" s="41" t="str">
        <f>IFERROR(__xludf.DUMMYFUNCTION("""COMPUTED_VALUE"""),"ButterandCream")</f>
        <v>ButterandCream</v>
      </c>
    </row>
    <row r="1174">
      <c r="A1174" s="41" t="str">
        <f>IFERROR(__xludf.DUMMYFUNCTION("""COMPUTED_VALUE"""),"RSC001173")</f>
        <v>RSC001173</v>
      </c>
      <c r="B1174" s="41" t="str">
        <f>IFERROR(__xludf.DUMMYFUNCTION("""COMPUTED_VALUE"""),"C0P3x")</f>
        <v>C0P3x</v>
      </c>
    </row>
    <row r="1175">
      <c r="A1175" s="41" t="str">
        <f>IFERROR(__xludf.DUMMYFUNCTION("""COMPUTED_VALUE"""),"RSC001174")</f>
        <v>RSC001174</v>
      </c>
      <c r="B1175" s="41" t="str">
        <f>IFERROR(__xludf.DUMMYFUNCTION("""COMPUTED_VALUE"""),"Cai")</f>
        <v>Cai</v>
      </c>
    </row>
    <row r="1176">
      <c r="A1176" s="41" t="str">
        <f>IFERROR(__xludf.DUMMYFUNCTION("""COMPUTED_VALUE"""),"RSC001175")</f>
        <v>RSC001175</v>
      </c>
      <c r="B1176" s="41" t="str">
        <f>IFERROR(__xludf.DUMMYFUNCTION("""COMPUTED_VALUE"""),"caleb.")</f>
        <v>caleb.</v>
      </c>
    </row>
    <row r="1177">
      <c r="A1177" s="41" t="str">
        <f>IFERROR(__xludf.DUMMYFUNCTION("""COMPUTED_VALUE"""),"RSC001176")</f>
        <v>RSC001176</v>
      </c>
      <c r="B1177" s="41" t="str">
        <f>IFERROR(__xludf.DUMMYFUNCTION("""COMPUTED_VALUE"""),"Call Me Daddy")</f>
        <v>Call Me Daddy</v>
      </c>
    </row>
    <row r="1178">
      <c r="A1178" s="41" t="str">
        <f>IFERROR(__xludf.DUMMYFUNCTION("""COMPUTED_VALUE"""),"RSC001177")</f>
        <v>RSC001177</v>
      </c>
      <c r="B1178" s="41" t="str">
        <f>IFERROR(__xludf.DUMMYFUNCTION("""COMPUTED_VALUE"""),"Calster")</f>
        <v>Calster</v>
      </c>
    </row>
    <row r="1179">
      <c r="A1179" s="41" t="str">
        <f>IFERROR(__xludf.DUMMYFUNCTION("""COMPUTED_VALUE"""),"RSC001178")</f>
        <v>RSC001178</v>
      </c>
      <c r="B1179" s="41" t="str">
        <f>IFERROR(__xludf.DUMMYFUNCTION("""COMPUTED_VALUE"""),"CaMtHuNdA")</f>
        <v>CaMtHuNdA</v>
      </c>
    </row>
    <row r="1180">
      <c r="A1180" s="41" t="str">
        <f>IFERROR(__xludf.DUMMYFUNCTION("""COMPUTED_VALUE"""),"RSC001179")</f>
        <v>RSC001179</v>
      </c>
      <c r="B1180" s="41" t="str">
        <f>IFERROR(__xludf.DUMMYFUNCTION("""COMPUTED_VALUE"""),"Canicola")</f>
        <v>Canicola</v>
      </c>
    </row>
    <row r="1181">
      <c r="A1181" s="41" t="str">
        <f>IFERROR(__xludf.DUMMYFUNCTION("""COMPUTED_VALUE"""),"RSC001180")</f>
        <v>RSC001180</v>
      </c>
      <c r="B1181" s="41" t="str">
        <f>IFERROR(__xludf.DUMMYFUNCTION("""COMPUTED_VALUE"""),"Cannibal")</f>
        <v>Cannibal</v>
      </c>
    </row>
    <row r="1182">
      <c r="A1182" s="41" t="str">
        <f>IFERROR(__xludf.DUMMYFUNCTION("""COMPUTED_VALUE"""),"RSC001181")</f>
        <v>RSC001181</v>
      </c>
      <c r="B1182" s="41" t="str">
        <f>IFERROR(__xludf.DUMMYFUNCTION("""COMPUTED_VALUE"""),"Capital")</f>
        <v>Capital</v>
      </c>
    </row>
    <row r="1183">
      <c r="A1183" s="41" t="str">
        <f>IFERROR(__xludf.DUMMYFUNCTION("""COMPUTED_VALUE"""),"RSC001182")</f>
        <v>RSC001182</v>
      </c>
      <c r="B1183" s="41" t="str">
        <f>IFERROR(__xludf.DUMMYFUNCTION("""COMPUTED_VALUE"""),"CAPTA1NCrUnK")</f>
        <v>CAPTA1NCrUnK</v>
      </c>
    </row>
    <row r="1184">
      <c r="A1184" s="41" t="str">
        <f>IFERROR(__xludf.DUMMYFUNCTION("""COMPUTED_VALUE"""),"RSC001183")</f>
        <v>RSC001183</v>
      </c>
      <c r="B1184" s="41" t="str">
        <f>IFERROR(__xludf.DUMMYFUNCTION("""COMPUTED_VALUE"""),"CaptainJimmy")</f>
        <v>CaptainJimmy</v>
      </c>
    </row>
    <row r="1185">
      <c r="A1185" s="41" t="str">
        <f>IFERROR(__xludf.DUMMYFUNCTION("""COMPUTED_VALUE"""),"RSC001184")</f>
        <v>RSC001184</v>
      </c>
      <c r="B1185" s="41" t="str">
        <f>IFERROR(__xludf.DUMMYFUNCTION("""COMPUTED_VALUE"""),"CaptMango")</f>
        <v>CaptMango</v>
      </c>
    </row>
    <row r="1186">
      <c r="A1186" s="41" t="str">
        <f>IFERROR(__xludf.DUMMYFUNCTION("""COMPUTED_VALUE"""),"RSC001185")</f>
        <v>RSC001185</v>
      </c>
      <c r="B1186" s="41" t="str">
        <f>IFERROR(__xludf.DUMMYFUNCTION("""COMPUTED_VALUE"""),"Catvlino")</f>
        <v>Catvlino</v>
      </c>
    </row>
    <row r="1187">
      <c r="A1187" s="41" t="str">
        <f>IFERROR(__xludf.DUMMYFUNCTION("""COMPUTED_VALUE"""),"RSC001186")</f>
        <v>RSC001186</v>
      </c>
      <c r="B1187" s="41" t="str">
        <f>IFERROR(__xludf.DUMMYFUNCTION("""COMPUTED_VALUE"""),"cduderocks")</f>
        <v>cduderocks</v>
      </c>
    </row>
    <row r="1188">
      <c r="A1188" s="41" t="str">
        <f>IFERROR(__xludf.DUMMYFUNCTION("""COMPUTED_VALUE"""),"RSC001187")</f>
        <v>RSC001187</v>
      </c>
      <c r="B1188" s="41" t="str">
        <f>IFERROR(__xludf.DUMMYFUNCTION("""COMPUTED_VALUE"""),"cello")</f>
        <v>cello</v>
      </c>
    </row>
    <row r="1189">
      <c r="A1189" s="41" t="str">
        <f>IFERROR(__xludf.DUMMYFUNCTION("""COMPUTED_VALUE"""),"RSC001188")</f>
        <v>RSC001188</v>
      </c>
      <c r="B1189" s="41" t="str">
        <f>IFERROR(__xludf.DUMMYFUNCTION("""COMPUTED_VALUE"""),"cerealkillr95")</f>
        <v>cerealkillr95</v>
      </c>
    </row>
    <row r="1190">
      <c r="A1190" s="41" t="str">
        <f>IFERROR(__xludf.DUMMYFUNCTION("""COMPUTED_VALUE"""),"RSC001189")</f>
        <v>RSC001189</v>
      </c>
      <c r="B1190" s="41" t="str">
        <f>IFERROR(__xludf.DUMMYFUNCTION("""COMPUTED_VALUE"""),"cG.John")</f>
        <v>cG.John</v>
      </c>
    </row>
    <row r="1191">
      <c r="A1191" s="41" t="str">
        <f>IFERROR(__xludf.DUMMYFUNCTION("""COMPUTED_VALUE"""),"RSC001190")</f>
        <v>RSC001190</v>
      </c>
      <c r="B1191" s="41" t="str">
        <f>IFERROR(__xludf.DUMMYFUNCTION("""COMPUTED_VALUE"""),"Chandler")</f>
        <v>Chandler</v>
      </c>
    </row>
    <row r="1192">
      <c r="A1192" s="41" t="str">
        <f>IFERROR(__xludf.DUMMYFUNCTION("""COMPUTED_VALUE"""),"RSC001191")</f>
        <v>RSC001191</v>
      </c>
      <c r="B1192" s="41" t="str">
        <f>IFERROR(__xludf.DUMMYFUNCTION("""COMPUTED_VALUE"""),"cheapshot")</f>
        <v>cheapshot</v>
      </c>
    </row>
    <row r="1193">
      <c r="A1193" s="41" t="str">
        <f>IFERROR(__xludf.DUMMYFUNCTION("""COMPUTED_VALUE"""),"RSC001192")</f>
        <v>RSC001192</v>
      </c>
      <c r="B1193" s="41" t="str">
        <f>IFERROR(__xludf.DUMMYFUNCTION("""COMPUTED_VALUE"""),"chrisp1201")</f>
        <v>chrisp1201</v>
      </c>
    </row>
    <row r="1194">
      <c r="A1194" s="41" t="str">
        <f>IFERROR(__xludf.DUMMYFUNCTION("""COMPUTED_VALUE"""),"RSC001193")</f>
        <v>RSC001193</v>
      </c>
      <c r="B1194" s="41" t="str">
        <f>IFERROR(__xludf.DUMMYFUNCTION("""COMPUTED_VALUE"""),"goose3000")</f>
        <v>goose3000</v>
      </c>
    </row>
    <row r="1195">
      <c r="A1195" s="41" t="str">
        <f>IFERROR(__xludf.DUMMYFUNCTION("""COMPUTED_VALUE"""),"RSC001194")</f>
        <v>RSC001194</v>
      </c>
      <c r="B1195" s="41" t="str">
        <f>IFERROR(__xludf.DUMMYFUNCTION("""COMPUTED_VALUE"""),"chrmil11")</f>
        <v>chrmil11</v>
      </c>
    </row>
    <row r="1196">
      <c r="A1196" s="41" t="str">
        <f>IFERROR(__xludf.DUMMYFUNCTION("""COMPUTED_VALUE"""),"RSC001195")</f>
        <v>RSC001195</v>
      </c>
      <c r="B1196" s="41" t="str">
        <f>IFERROR(__xludf.DUMMYFUNCTION("""COMPUTED_VALUE"""),"Chronicle (change)")</f>
        <v>Chronicle (change)</v>
      </c>
    </row>
    <row r="1197">
      <c r="A1197" s="41" t="str">
        <f>IFERROR(__xludf.DUMMYFUNCTION("""COMPUTED_VALUE"""),"RSC001196")</f>
        <v>RSC001196</v>
      </c>
      <c r="B1197" s="41" t="str">
        <f>IFERROR(__xludf.DUMMYFUNCTION("""COMPUTED_VALUE"""),"Chuckles")</f>
        <v>Chuckles</v>
      </c>
    </row>
    <row r="1198">
      <c r="A1198" s="41" t="str">
        <f>IFERROR(__xludf.DUMMYFUNCTION("""COMPUTED_VALUE"""),"RSC001197")</f>
        <v>RSC001197</v>
      </c>
      <c r="B1198" s="41" t="str">
        <f>IFERROR(__xludf.DUMMYFUNCTION("""COMPUTED_VALUE"""),"Chunkylover")</f>
        <v>Chunkylover</v>
      </c>
    </row>
    <row r="1199">
      <c r="A1199" s="41" t="str">
        <f>IFERROR(__xludf.DUMMYFUNCTION("""COMPUTED_VALUE"""),"RSC001198")</f>
        <v>RSC001198</v>
      </c>
      <c r="B1199" s="41" t="str">
        <f>IFERROR(__xludf.DUMMYFUNCTION("""COMPUTED_VALUE"""),"Clark")</f>
        <v>Clark</v>
      </c>
    </row>
    <row r="1200">
      <c r="A1200" s="41" t="str">
        <f>IFERROR(__xludf.DUMMYFUNCTION("""COMPUTED_VALUE"""),"RSC001199")</f>
        <v>RSC001199</v>
      </c>
      <c r="B1200" s="41" t="str">
        <f>IFERROR(__xludf.DUMMYFUNCTION("""COMPUTED_VALUE"""),"Classy")</f>
        <v>Classy</v>
      </c>
    </row>
    <row r="1201">
      <c r="A1201" s="41" t="str">
        <f>IFERROR(__xludf.DUMMYFUNCTION("""COMPUTED_VALUE"""),"RSC001200")</f>
        <v>RSC001200</v>
      </c>
      <c r="B1201" s="41" t="str">
        <f>IFERROR(__xludf.DUMMYFUNCTION("""COMPUTED_VALUE"""),"Cliffork")</f>
        <v>Cliffork</v>
      </c>
    </row>
    <row r="1202">
      <c r="A1202" s="41" t="str">
        <f>IFERROR(__xludf.DUMMYFUNCTION("""COMPUTED_VALUE"""),"RSC001201")</f>
        <v>RSC001201</v>
      </c>
      <c r="B1202" s="41" t="str">
        <f>IFERROR(__xludf.DUMMYFUNCTION("""COMPUTED_VALUE"""),"Cloudy/")</f>
        <v>Cloudy/</v>
      </c>
    </row>
    <row r="1203">
      <c r="A1203" s="41" t="str">
        <f>IFERROR(__xludf.DUMMYFUNCTION("""COMPUTED_VALUE"""),"RSC001202")</f>
        <v>RSC001202</v>
      </c>
      <c r="B1203" s="41" t="str">
        <f>IFERROR(__xludf.DUMMYFUNCTION("""COMPUTED_VALUE"""),"Clown Sandwich")</f>
        <v>Clown Sandwich</v>
      </c>
    </row>
    <row r="1204">
      <c r="A1204" s="41" t="str">
        <f>IFERROR(__xludf.DUMMYFUNCTION("""COMPUTED_VALUE"""),"RSC001203")</f>
        <v>RSC001203</v>
      </c>
      <c r="B1204" s="41" t="str">
        <f>IFERROR(__xludf.DUMMYFUNCTION("""COMPUTED_VALUE"""),"Clyde")</f>
        <v>Clyde</v>
      </c>
    </row>
    <row r="1205">
      <c r="A1205" s="41" t="str">
        <f>IFERROR(__xludf.DUMMYFUNCTION("""COMPUTED_VALUE"""),"RSC001204")</f>
        <v>RSC001204</v>
      </c>
      <c r="B1205" s="41" t="str">
        <f>IFERROR(__xludf.DUMMYFUNCTION("""COMPUTED_VALUE"""),"CodyPorter")</f>
        <v>CodyPorter</v>
      </c>
    </row>
    <row r="1206">
      <c r="A1206" s="41" t="str">
        <f>IFERROR(__xludf.DUMMYFUNCTION("""COMPUTED_VALUE"""),"RSC001205")</f>
        <v>RSC001205</v>
      </c>
      <c r="B1206" s="41" t="str">
        <f>IFERROR(__xludf.DUMMYFUNCTION("""COMPUTED_VALUE"""),"ColtyB123")</f>
        <v>ColtyB123</v>
      </c>
    </row>
    <row r="1207">
      <c r="A1207" s="41" t="str">
        <f>IFERROR(__xludf.DUMMYFUNCTION("""COMPUTED_VALUE"""),"RSC001206")</f>
        <v>RSC001206</v>
      </c>
      <c r="B1207" s="41" t="str">
        <f>IFERROR(__xludf.DUMMYFUNCTION("""COMPUTED_VALUE"""),"Comandomoe")</f>
        <v>Comandomoe</v>
      </c>
    </row>
    <row r="1208">
      <c r="A1208" s="41" t="str">
        <f>IFERROR(__xludf.DUMMYFUNCTION("""COMPUTED_VALUE"""),"RSC001207")</f>
        <v>RSC001207</v>
      </c>
      <c r="B1208" s="41" t="str">
        <f>IFERROR(__xludf.DUMMYFUNCTION("""COMPUTED_VALUE"""),"Comp")</f>
        <v>Comp</v>
      </c>
    </row>
    <row r="1209">
      <c r="A1209" s="41" t="str">
        <f>IFERROR(__xludf.DUMMYFUNCTION("""COMPUTED_VALUE"""),"RSC001208")</f>
        <v>RSC001208</v>
      </c>
      <c r="B1209" s="41" t="str">
        <f>IFERROR(__xludf.DUMMYFUNCTION("""COMPUTED_VALUE"""),"Computerimac")</f>
        <v>Computerimac</v>
      </c>
    </row>
    <row r="1210">
      <c r="A1210" s="41" t="str">
        <f>IFERROR(__xludf.DUMMYFUNCTION("""COMPUTED_VALUE"""),"RSC001209")</f>
        <v>RSC001209</v>
      </c>
      <c r="B1210" s="41" t="str">
        <f>IFERROR(__xludf.DUMMYFUNCTION("""COMPUTED_VALUE"""),"Confetti")</f>
        <v>Confetti</v>
      </c>
    </row>
    <row r="1211">
      <c r="A1211" s="41" t="str">
        <f>IFERROR(__xludf.DUMMYFUNCTION("""COMPUTED_VALUE"""),"RSC001210")</f>
        <v>RSC001210</v>
      </c>
      <c r="B1211" s="41" t="str">
        <f>IFERROR(__xludf.DUMMYFUNCTION("""COMPUTED_VALUE"""),"Connercc5")</f>
        <v>Connercc5</v>
      </c>
    </row>
    <row r="1212">
      <c r="A1212" s="41" t="str">
        <f>IFERROR(__xludf.DUMMYFUNCTION("""COMPUTED_VALUE"""),"RSC001211")</f>
        <v>RSC001211</v>
      </c>
      <c r="B1212" s="41" t="str">
        <f>IFERROR(__xludf.DUMMYFUNCTION("""COMPUTED_VALUE"""),"liam")</f>
        <v>liam</v>
      </c>
    </row>
    <row r="1213">
      <c r="A1213" s="41" t="str">
        <f>IFERROR(__xludf.DUMMYFUNCTION("""COMPUTED_VALUE"""),"RSC001212")</f>
        <v>RSC001212</v>
      </c>
      <c r="B1213" s="41" t="str">
        <f>IFERROR(__xludf.DUMMYFUNCTION("""COMPUTED_VALUE"""),"Coop Dizzle")</f>
        <v>Coop Dizzle</v>
      </c>
    </row>
    <row r="1214">
      <c r="A1214" s="41" t="str">
        <f>IFERROR(__xludf.DUMMYFUNCTION("""COMPUTED_VALUE"""),"RSC001213")</f>
        <v>RSC001213</v>
      </c>
      <c r="B1214" s="41" t="str">
        <f>IFERROR(__xludf.DUMMYFUNCTION("""COMPUTED_VALUE"""),"corny_hero")</f>
        <v>corny_hero</v>
      </c>
    </row>
    <row r="1215">
      <c r="A1215" s="41" t="str">
        <f>IFERROR(__xludf.DUMMYFUNCTION("""COMPUTED_VALUE"""),"RSC001214")</f>
        <v>RSC001214</v>
      </c>
      <c r="B1215" s="41" t="str">
        <f>IFERROR(__xludf.DUMMYFUNCTION("""COMPUTED_VALUE"""),"Corrupt")</f>
        <v>Corrupt</v>
      </c>
    </row>
    <row r="1216">
      <c r="A1216" s="41" t="str">
        <f>IFERROR(__xludf.DUMMYFUNCTION("""COMPUTED_VALUE"""),"RSC001215")</f>
        <v>RSC001215</v>
      </c>
      <c r="B1216" s="41" t="str">
        <f>IFERROR(__xludf.DUMMYFUNCTION("""COMPUTED_VALUE"""),"Cortez")</f>
        <v>Cortez</v>
      </c>
    </row>
    <row r="1217">
      <c r="A1217" s="41" t="str">
        <f>IFERROR(__xludf.DUMMYFUNCTION("""COMPUTED_VALUE"""),"RSC001216")</f>
        <v>RSC001216</v>
      </c>
      <c r="B1217" s="41" t="str">
        <f>IFERROR(__xludf.DUMMYFUNCTION("""COMPUTED_VALUE"""),"Cosmic-Joe-")</f>
        <v>Cosmic-Joe-</v>
      </c>
    </row>
    <row r="1218">
      <c r="A1218" s="41" t="str">
        <f>IFERROR(__xludf.DUMMYFUNCTION("""COMPUTED_VALUE"""),"RSC001217")</f>
        <v>RSC001217</v>
      </c>
      <c r="B1218" s="41" t="str">
        <f>IFERROR(__xludf.DUMMYFUNCTION("""COMPUTED_VALUE"""),"CravenMedal")</f>
        <v>CravenMedal</v>
      </c>
    </row>
    <row r="1219">
      <c r="A1219" s="41" t="str">
        <f>IFERROR(__xludf.DUMMYFUNCTION("""COMPUTED_VALUE"""),"RSC001218")</f>
        <v>RSC001218</v>
      </c>
      <c r="B1219" s="41" t="str">
        <f>IFERROR(__xludf.DUMMYFUNCTION("""COMPUTED_VALUE"""),"CrazyAgonize")</f>
        <v>CrazyAgonize</v>
      </c>
    </row>
    <row r="1220">
      <c r="A1220" s="41" t="str">
        <f>IFERROR(__xludf.DUMMYFUNCTION("""COMPUTED_VALUE"""),"RSC001219")</f>
        <v>RSC001219</v>
      </c>
      <c r="B1220" s="41" t="str">
        <f>IFERROR(__xludf.DUMMYFUNCTION("""COMPUTED_VALUE"""),"Csherrod5")</f>
        <v>Csherrod5</v>
      </c>
    </row>
    <row r="1221">
      <c r="A1221" s="41" t="str">
        <f>IFERROR(__xludf.DUMMYFUNCTION("""COMPUTED_VALUE"""),"RSC001220")</f>
        <v>RSC001220</v>
      </c>
      <c r="B1221" s="41" t="str">
        <f>IFERROR(__xludf.DUMMYFUNCTION("""COMPUTED_VALUE"""),"cuectli3")</f>
        <v>cuectli3</v>
      </c>
    </row>
    <row r="1222">
      <c r="A1222" s="41" t="str">
        <f>IFERROR(__xludf.DUMMYFUNCTION("""COMPUTED_VALUE"""),"RSC001221")</f>
        <v>RSC001221</v>
      </c>
      <c r="B1222" s="41" t="str">
        <f>IFERROR(__xludf.DUMMYFUNCTION("""COMPUTED_VALUE"""),"Cute James")</f>
        <v>Cute James</v>
      </c>
    </row>
    <row r="1223">
      <c r="A1223" s="41" t="str">
        <f>IFERROR(__xludf.DUMMYFUNCTION("""COMPUTED_VALUE"""),"RSC001222")</f>
        <v>RSC001222</v>
      </c>
      <c r="B1223" s="41" t="str">
        <f>IFERROR(__xludf.DUMMYFUNCTION("""COMPUTED_VALUE"""),"D3lta2k0")</f>
        <v>D3lta2k0</v>
      </c>
    </row>
    <row r="1224">
      <c r="A1224" s="41" t="str">
        <f>IFERROR(__xludf.DUMMYFUNCTION("""COMPUTED_VALUE"""),"RSC001223")</f>
        <v>RSC001223</v>
      </c>
      <c r="B1224" s="41" t="str">
        <f>IFERROR(__xludf.DUMMYFUNCTION("""COMPUTED_VALUE"""),"Capital_RL")</f>
        <v>Capital_RL</v>
      </c>
    </row>
    <row r="1225">
      <c r="A1225" s="41" t="str">
        <f>IFERROR(__xludf.DUMMYFUNCTION("""COMPUTED_VALUE"""),"RSC001224")</f>
        <v>RSC001224</v>
      </c>
      <c r="B1225" s="41" t="str">
        <f>IFERROR(__xludf.DUMMYFUNCTION("""COMPUTED_VALUE"""),"Daelisk")</f>
        <v>Daelisk</v>
      </c>
    </row>
    <row r="1226">
      <c r="A1226" s="41" t="str">
        <f>IFERROR(__xludf.DUMMYFUNCTION("""COMPUTED_VALUE"""),"RSC001225")</f>
        <v>RSC001225</v>
      </c>
      <c r="B1226" s="41" t="str">
        <f>IFERROR(__xludf.DUMMYFUNCTION("""COMPUTED_VALUE"""),"Daft")</f>
        <v>Daft</v>
      </c>
    </row>
    <row r="1227">
      <c r="A1227" s="41" t="str">
        <f>IFERROR(__xludf.DUMMYFUNCTION("""COMPUTED_VALUE"""),"RSC001226")</f>
        <v>RSC001226</v>
      </c>
      <c r="B1227" s="41" t="str">
        <f>IFERROR(__xludf.DUMMYFUNCTION("""COMPUTED_VALUE"""),"Dak(change)")</f>
        <v>Dak(change)</v>
      </c>
    </row>
    <row r="1228">
      <c r="A1228" s="41" t="str">
        <f>IFERROR(__xludf.DUMMYFUNCTION("""COMPUTED_VALUE"""),"RSC001227")</f>
        <v>RSC001227</v>
      </c>
      <c r="B1228" s="41" t="str">
        <f>IFERROR(__xludf.DUMMYFUNCTION("""COMPUTED_VALUE"""),"l.damian20")</f>
        <v>l.damian20</v>
      </c>
    </row>
    <row r="1229">
      <c r="A1229" s="41" t="str">
        <f>IFERROR(__xludf.DUMMYFUNCTION("""COMPUTED_VALUE"""),"RSC001228")</f>
        <v>RSC001228</v>
      </c>
      <c r="B1229" s="41" t="str">
        <f>IFERROR(__xludf.DUMMYFUNCTION("""COMPUTED_VALUE"""),"Dandroid")</f>
        <v>Dandroid</v>
      </c>
    </row>
    <row r="1230">
      <c r="A1230" s="41" t="str">
        <f>IFERROR(__xludf.DUMMYFUNCTION("""COMPUTED_VALUE"""),"RSC001229")</f>
        <v>RSC001229</v>
      </c>
      <c r="B1230" s="41" t="str">
        <f>IFERROR(__xludf.DUMMYFUNCTION("""COMPUTED_VALUE"""),"Darius")</f>
        <v>Darius</v>
      </c>
    </row>
    <row r="1231">
      <c r="A1231" s="41" t="str">
        <f>IFERROR(__xludf.DUMMYFUNCTION("""COMPUTED_VALUE"""),"RSC001230")</f>
        <v>RSC001230</v>
      </c>
      <c r="B1231" s="41" t="str">
        <f>IFERROR(__xludf.DUMMYFUNCTION("""COMPUTED_VALUE"""),"DarkAce")</f>
        <v>DarkAce</v>
      </c>
    </row>
    <row r="1232">
      <c r="A1232" s="41" t="str">
        <f>IFERROR(__xludf.DUMMYFUNCTION("""COMPUTED_VALUE"""),"RSC001231")</f>
        <v>RSC001231</v>
      </c>
      <c r="B1232" s="41" t="str">
        <f>IFERROR(__xludf.DUMMYFUNCTION("""COMPUTED_VALUE"""),"Darkblade")</f>
        <v>Darkblade</v>
      </c>
    </row>
    <row r="1233">
      <c r="A1233" s="41" t="str">
        <f>IFERROR(__xludf.DUMMYFUNCTION("""COMPUTED_VALUE"""),"RSC001232")</f>
        <v>RSC001232</v>
      </c>
      <c r="B1233" s="41" t="str">
        <f>IFERROR(__xludf.DUMMYFUNCTION("""COMPUTED_VALUE"""),"Darkness")</f>
        <v>Darkness</v>
      </c>
    </row>
    <row r="1234">
      <c r="A1234" s="41" t="str">
        <f>IFERROR(__xludf.DUMMYFUNCTION("""COMPUTED_VALUE"""),"RSC001233")</f>
        <v>RSC001233</v>
      </c>
      <c r="B1234" s="41" t="str">
        <f>IFERROR(__xludf.DUMMYFUNCTION("""COMPUTED_VALUE"""),"Das2461")</f>
        <v>Das2461</v>
      </c>
    </row>
    <row r="1235">
      <c r="A1235" s="41" t="str">
        <f>IFERROR(__xludf.DUMMYFUNCTION("""COMPUTED_VALUE"""),"RSC001234")</f>
        <v>RSC001234</v>
      </c>
      <c r="B1235" s="41" t="str">
        <f>IFERROR(__xludf.DUMMYFUNCTION("""COMPUTED_VALUE"""),"Outkastico")</f>
        <v>Outkastico</v>
      </c>
    </row>
    <row r="1236">
      <c r="A1236" s="41" t="str">
        <f>IFERROR(__xludf.DUMMYFUNCTION("""COMPUTED_VALUE"""),"RSC001235")</f>
        <v>RSC001235</v>
      </c>
      <c r="B1236" s="41" t="str">
        <f>IFERROR(__xludf.DUMMYFUNCTION("""COMPUTED_VALUE"""),"DeeJayZ_")</f>
        <v>DeeJayZ_</v>
      </c>
    </row>
    <row r="1237">
      <c r="A1237" s="41" t="str">
        <f>IFERROR(__xludf.DUMMYFUNCTION("""COMPUTED_VALUE"""),"RSC001236")</f>
        <v>RSC001236</v>
      </c>
      <c r="B1237" s="41" t="str">
        <f>IFERROR(__xludf.DUMMYFUNCTION("""COMPUTED_VALUE"""),"DeerLicksBadger")</f>
        <v>DeerLicksBadger</v>
      </c>
    </row>
    <row r="1238">
      <c r="A1238" s="41" t="str">
        <f>IFERROR(__xludf.DUMMYFUNCTION("""COMPUTED_VALUE"""),"RSC001237")</f>
        <v>RSC001237</v>
      </c>
      <c r="B1238" s="41" t="str">
        <f>IFERROR(__xludf.DUMMYFUNCTION("""COMPUTED_VALUE"""),"delta_hx")</f>
        <v>delta_hx</v>
      </c>
    </row>
    <row r="1239">
      <c r="A1239" s="41" t="str">
        <f>IFERROR(__xludf.DUMMYFUNCTION("""COMPUTED_VALUE"""),"RSC001238")</f>
        <v>RSC001238</v>
      </c>
      <c r="B1239" s="41" t="str">
        <f>IFERROR(__xludf.DUMMYFUNCTION("""COMPUTED_VALUE"""),"Delta-change")</f>
        <v>Delta-change</v>
      </c>
    </row>
    <row r="1240">
      <c r="A1240" s="41" t="str">
        <f>IFERROR(__xludf.DUMMYFUNCTION("""COMPUTED_VALUE"""),"RSC001239")</f>
        <v>RSC001239</v>
      </c>
      <c r="B1240" s="41" t="str">
        <f>IFERROR(__xludf.DUMMYFUNCTION("""COMPUTED_VALUE"""),"demonicstriipper")</f>
        <v>demonicstriipper</v>
      </c>
    </row>
    <row r="1241">
      <c r="A1241" s="41" t="str">
        <f>IFERROR(__xludf.DUMMYFUNCTION("""COMPUTED_VALUE"""),"RSC001240")</f>
        <v>RSC001240</v>
      </c>
      <c r="B1241" s="41" t="str">
        <f>IFERROR(__xludf.DUMMYFUNCTION("""COMPUTED_VALUE"""),"Depezpoopsie")</f>
        <v>Depezpoopsie</v>
      </c>
    </row>
    <row r="1242">
      <c r="A1242" s="41" t="str">
        <f>IFERROR(__xludf.DUMMYFUNCTION("""COMPUTED_VALUE"""),"RSC001241")</f>
        <v>RSC001241</v>
      </c>
      <c r="B1242" s="41" t="str">
        <f>IFERROR(__xludf.DUMMYFUNCTION("""COMPUTED_VALUE"""),"Derrick")</f>
        <v>Derrick</v>
      </c>
    </row>
    <row r="1243">
      <c r="A1243" s="41" t="str">
        <f>IFERROR(__xludf.DUMMYFUNCTION("""COMPUTED_VALUE"""),"RSC001242")</f>
        <v>RSC001242</v>
      </c>
      <c r="B1243" s="41" t="str">
        <f>IFERROR(__xludf.DUMMYFUNCTION("""COMPUTED_VALUE"""),"desolatekill")</f>
        <v>desolatekill</v>
      </c>
    </row>
    <row r="1244">
      <c r="A1244" s="41" t="str">
        <f>IFERROR(__xludf.DUMMYFUNCTION("""COMPUTED_VALUE"""),"RSC001243")</f>
        <v>RSC001243</v>
      </c>
      <c r="B1244" s="41" t="str">
        <f>IFERROR(__xludf.DUMMYFUNCTION("""COMPUTED_VALUE"""),"Destin")</f>
        <v>Destin</v>
      </c>
    </row>
    <row r="1245">
      <c r="A1245" s="41" t="str">
        <f>IFERROR(__xludf.DUMMYFUNCTION("""COMPUTED_VALUE"""),"RSC001244")</f>
        <v>RSC001244</v>
      </c>
      <c r="B1245" s="41" t="str">
        <f>IFERROR(__xludf.DUMMYFUNCTION("""COMPUTED_VALUE"""),"deycallmebud")</f>
        <v>deycallmebud</v>
      </c>
    </row>
    <row r="1246">
      <c r="A1246" s="41" t="str">
        <f>IFERROR(__xludf.DUMMYFUNCTION("""COMPUTED_VALUE"""),"RSC001245")</f>
        <v>RSC001245</v>
      </c>
      <c r="B1246" s="41" t="str">
        <f>IFERROR(__xludf.DUMMYFUNCTION("""COMPUTED_VALUE"""),"dfsobal20")</f>
        <v>dfsobal20</v>
      </c>
    </row>
    <row r="1247">
      <c r="A1247" s="41" t="str">
        <f>IFERROR(__xludf.DUMMYFUNCTION("""COMPUTED_VALUE"""),"RSC001246")</f>
        <v>RSC001246</v>
      </c>
      <c r="B1247" s="41" t="str">
        <f>IFERROR(__xludf.DUMMYFUNCTION("""COMPUTED_VALUE"""),"diarrheta")</f>
        <v>diarrheta</v>
      </c>
    </row>
    <row r="1248">
      <c r="A1248" s="41" t="str">
        <f>IFERROR(__xludf.DUMMYFUNCTION("""COMPUTED_VALUE"""),"RSC001247")</f>
        <v>RSC001247</v>
      </c>
      <c r="B1248" s="41" t="str">
        <f>IFERROR(__xludf.DUMMYFUNCTION("""COMPUTED_VALUE"""),"Digital Spoon")</f>
        <v>Digital Spoon</v>
      </c>
    </row>
    <row r="1249">
      <c r="A1249" s="41" t="str">
        <f>IFERROR(__xludf.DUMMYFUNCTION("""COMPUTED_VALUE"""),"RSC001248")</f>
        <v>RSC001248</v>
      </c>
      <c r="B1249" s="41" t="str">
        <f>IFERROR(__xludf.DUMMYFUNCTION("""COMPUTED_VALUE"""),"DirkDiggler1041")</f>
        <v>DirkDiggler1041</v>
      </c>
    </row>
    <row r="1250">
      <c r="A1250" s="41" t="str">
        <f>IFERROR(__xludf.DUMMYFUNCTION("""COMPUTED_VALUE"""),"RSC001249")</f>
        <v>RSC001249</v>
      </c>
      <c r="B1250" s="41" t="str">
        <f>IFERROR(__xludf.DUMMYFUNCTION("""COMPUTED_VALUE"""),"DJDizzeeD")</f>
        <v>DJDizzeeD</v>
      </c>
    </row>
    <row r="1251">
      <c r="A1251" s="41" t="str">
        <f>IFERROR(__xludf.DUMMYFUNCTION("""COMPUTED_VALUE"""),"RSC001250")</f>
        <v>RSC001250</v>
      </c>
      <c r="B1251" s="41" t="str">
        <f>IFERROR(__xludf.DUMMYFUNCTION("""COMPUTED_VALUE"""),"Doctor Vegas")</f>
        <v>Doctor Vegas</v>
      </c>
    </row>
    <row r="1252">
      <c r="A1252" s="41" t="str">
        <f>IFERROR(__xludf.DUMMYFUNCTION("""COMPUTED_VALUE"""),"RSC001251")</f>
        <v>RSC001251</v>
      </c>
      <c r="B1252" s="41" t="str">
        <f>IFERROR(__xludf.DUMMYFUNCTION("""COMPUTED_VALUE"""),"Don't Blink")</f>
        <v>Don't Blink</v>
      </c>
    </row>
    <row r="1253">
      <c r="A1253" s="41" t="str">
        <f>IFERROR(__xludf.DUMMYFUNCTION("""COMPUTED_VALUE"""),"RSC001252")</f>
        <v>RSC001252</v>
      </c>
      <c r="B1253" s="41" t="str">
        <f>IFERROR(__xludf.DUMMYFUNCTION("""COMPUTED_VALUE"""),"Dondochaka")</f>
        <v>Dondochaka</v>
      </c>
    </row>
    <row r="1254">
      <c r="A1254" s="41" t="str">
        <f>IFERROR(__xludf.DUMMYFUNCTION("""COMPUTED_VALUE"""),"RSC001253")</f>
        <v>RSC001253</v>
      </c>
      <c r="B1254" s="41" t="str">
        <f>IFERROR(__xludf.DUMMYFUNCTION("""COMPUTED_VALUE"""),"Donnie")</f>
        <v>Donnie</v>
      </c>
    </row>
    <row r="1255">
      <c r="A1255" s="41" t="str">
        <f>IFERROR(__xludf.DUMMYFUNCTION("""COMPUTED_VALUE"""),"RSC001254")</f>
        <v>RSC001254</v>
      </c>
      <c r="B1255" s="41" t="str">
        <f>IFERROR(__xludf.DUMMYFUNCTION("""COMPUTED_VALUE"""),"DonutsOnly")</f>
        <v>DonutsOnly</v>
      </c>
    </row>
    <row r="1256">
      <c r="A1256" s="41" t="str">
        <f>IFERROR(__xludf.DUMMYFUNCTION("""COMPUTED_VALUE"""),"RSC001255")</f>
        <v>RSC001255</v>
      </c>
      <c r="B1256" s="41" t="str">
        <f>IFERROR(__xludf.DUMMYFUNCTION("""COMPUTED_VALUE"""),"Doopy")</f>
        <v>Doopy</v>
      </c>
    </row>
    <row r="1257">
      <c r="A1257" s="41" t="str">
        <f>IFERROR(__xludf.DUMMYFUNCTION("""COMPUTED_VALUE"""),"RSC001256")</f>
        <v>RSC001256</v>
      </c>
      <c r="B1257" s="41" t="str">
        <f>IFERROR(__xludf.DUMMYFUNCTION("""COMPUTED_VALUE"""),"Dorkito")</f>
        <v>Dorkito</v>
      </c>
    </row>
    <row r="1258">
      <c r="A1258" s="41" t="str">
        <f>IFERROR(__xludf.DUMMYFUNCTION("""COMPUTED_VALUE"""),"RSC001257")</f>
        <v>RSC001257</v>
      </c>
      <c r="B1258" s="41" t="str">
        <f>IFERROR(__xludf.DUMMYFUNCTION("""COMPUTED_VALUE"""),"DotDope")</f>
        <v>DotDope</v>
      </c>
    </row>
    <row r="1259">
      <c r="A1259" s="41" t="str">
        <f>IFERROR(__xludf.DUMMYFUNCTION("""COMPUTED_VALUE"""),"RSC001258")</f>
        <v>RSC001258</v>
      </c>
      <c r="B1259" s="41" t="str">
        <f>IFERROR(__xludf.DUMMYFUNCTION("""COMPUTED_VALUE"""),"DoublePlay")</f>
        <v>DoublePlay</v>
      </c>
    </row>
    <row r="1260">
      <c r="A1260" s="41" t="str">
        <f>IFERROR(__xludf.DUMMYFUNCTION("""COMPUTED_VALUE"""),"RSC001259")</f>
        <v>RSC001259</v>
      </c>
      <c r="B1260" s="41" t="str">
        <f>IFERROR(__xludf.DUMMYFUNCTION("""COMPUTED_VALUE"""),"Dr. Mite")</f>
        <v>Dr. Mite</v>
      </c>
    </row>
    <row r="1261">
      <c r="A1261" s="41" t="str">
        <f>IFERROR(__xludf.DUMMYFUNCTION("""COMPUTED_VALUE"""),"RSC001260")</f>
        <v>RSC001260</v>
      </c>
      <c r="B1261" s="41" t="str">
        <f>IFERROR(__xludf.DUMMYFUNCTION("""COMPUTED_VALUE"""),"Dream-Catcher")</f>
        <v>Dream-Catcher</v>
      </c>
    </row>
    <row r="1262">
      <c r="A1262" s="41" t="str">
        <f>IFERROR(__xludf.DUMMYFUNCTION("""COMPUTED_VALUE"""),"RSC001261")</f>
        <v>RSC001261</v>
      </c>
      <c r="B1262" s="41" t="str">
        <f>IFERROR(__xludf.DUMMYFUNCTION("""COMPUTED_VALUE"""),"Dribbs")</f>
        <v>Dribbs</v>
      </c>
    </row>
    <row r="1263">
      <c r="A1263" s="41" t="str">
        <f>IFERROR(__xludf.DUMMYFUNCTION("""COMPUTED_VALUE"""),"RSC001262")</f>
        <v>RSC001262</v>
      </c>
      <c r="B1263" s="41" t="str">
        <f>IFERROR(__xludf.DUMMYFUNCTION("""COMPUTED_VALUE"""),"droogin01")</f>
        <v>droogin01</v>
      </c>
    </row>
    <row r="1264">
      <c r="A1264" s="41" t="str">
        <f>IFERROR(__xludf.DUMMYFUNCTION("""COMPUTED_VALUE"""),"RSC001263")</f>
        <v>RSC001263</v>
      </c>
      <c r="B1264" s="41" t="str">
        <f>IFERROR(__xludf.DUMMYFUNCTION("""COMPUTED_VALUE"""),"iminsideabox")</f>
        <v>iminsideabox</v>
      </c>
    </row>
    <row r="1265">
      <c r="A1265" s="41" t="str">
        <f>IFERROR(__xludf.DUMMYFUNCTION("""COMPUTED_VALUE"""),"RSC001264")</f>
        <v>RSC001264</v>
      </c>
      <c r="B1265" s="41" t="str">
        <f>IFERROR(__xludf.DUMMYFUNCTION("""COMPUTED_VALUE"""),"DryFry77")</f>
        <v>DryFry77</v>
      </c>
    </row>
    <row r="1266">
      <c r="A1266" s="41" t="str">
        <f>IFERROR(__xludf.DUMMYFUNCTION("""COMPUTED_VALUE"""),"RSC001265")</f>
        <v>RSC001265</v>
      </c>
      <c r="B1266" s="41" t="str">
        <f>IFERROR(__xludf.DUMMYFUNCTION("""COMPUTED_VALUE"""),"DSav619")</f>
        <v>DSav619</v>
      </c>
    </row>
    <row r="1267">
      <c r="A1267" s="41" t="str">
        <f>IFERROR(__xludf.DUMMYFUNCTION("""COMPUTED_VALUE"""),"RSC001266")</f>
        <v>RSC001266</v>
      </c>
      <c r="B1267" s="41" t="str">
        <f>IFERROR(__xludf.DUMMYFUNCTION("""COMPUTED_VALUE"""),"DuckNorris")</f>
        <v>DuckNorris</v>
      </c>
    </row>
    <row r="1268">
      <c r="A1268" s="41" t="str">
        <f>IFERROR(__xludf.DUMMYFUNCTION("""COMPUTED_VALUE"""),"RSC001267")</f>
        <v>RSC001267</v>
      </c>
      <c r="B1268" s="41" t="str">
        <f>IFERROR(__xludf.DUMMYFUNCTION("""COMPUTED_VALUE"""),"Duggy")</f>
        <v>Duggy</v>
      </c>
    </row>
    <row r="1269">
      <c r="A1269" s="41" t="str">
        <f>IFERROR(__xludf.DUMMYFUNCTION("""COMPUTED_VALUE"""),"RSC001268")</f>
        <v>RSC001268</v>
      </c>
      <c r="B1269" s="41" t="str">
        <f>IFERROR(__xludf.DUMMYFUNCTION("""COMPUTED_VALUE"""),"Duke")</f>
        <v>Duke</v>
      </c>
    </row>
    <row r="1270">
      <c r="A1270" s="41" t="str">
        <f>IFERROR(__xludf.DUMMYFUNCTION("""COMPUTED_VALUE"""),"RSC001269")</f>
        <v>RSC001269</v>
      </c>
      <c r="B1270" s="41" t="str">
        <f>IFERROR(__xludf.DUMMYFUNCTION("""COMPUTED_VALUE"""),"easy")</f>
        <v>easy</v>
      </c>
    </row>
    <row r="1271">
      <c r="A1271" s="41" t="str">
        <f>IFERROR(__xludf.DUMMYFUNCTION("""COMPUTED_VALUE"""),"RSC001270")</f>
        <v>RSC001270</v>
      </c>
      <c r="B1271" s="41" t="str">
        <f>IFERROR(__xludf.DUMMYFUNCTION("""COMPUTED_VALUE"""),"echofiend")</f>
        <v>echofiend</v>
      </c>
    </row>
    <row r="1272">
      <c r="A1272" s="41" t="str">
        <f>IFERROR(__xludf.DUMMYFUNCTION("""COMPUTED_VALUE"""),"RSC001271")</f>
        <v>RSC001271</v>
      </c>
      <c r="B1272" s="41" t="str">
        <f>IFERROR(__xludf.DUMMYFUNCTION("""COMPUTED_VALUE"""),"echorl")</f>
        <v>echorl</v>
      </c>
    </row>
    <row r="1273">
      <c r="A1273" s="41" t="str">
        <f>IFERROR(__xludf.DUMMYFUNCTION("""COMPUTED_VALUE"""),"RSC001272")</f>
        <v>RSC001272</v>
      </c>
      <c r="B1273" s="41" t="str">
        <f>IFERROR(__xludf.DUMMYFUNCTION("""COMPUTED_VALUE"""),"Edge")</f>
        <v>Edge</v>
      </c>
    </row>
    <row r="1274">
      <c r="A1274" s="41" t="str">
        <f>IFERROR(__xludf.DUMMYFUNCTION("""COMPUTED_VALUE"""),"RSC001273")</f>
        <v>RSC001273</v>
      </c>
      <c r="B1274" s="41" t="str">
        <f>IFERROR(__xludf.DUMMYFUNCTION("""COMPUTED_VALUE"""),"Ehnkay")</f>
        <v>Ehnkay</v>
      </c>
    </row>
    <row r="1275">
      <c r="A1275" s="41" t="str">
        <f>IFERROR(__xludf.DUMMYFUNCTION("""COMPUTED_VALUE"""),"RSC001274")</f>
        <v>RSC001274</v>
      </c>
      <c r="B1275" s="41" t="str">
        <f>IFERROR(__xludf.DUMMYFUNCTION("""COMPUTED_VALUE"""),"Eightfingers")</f>
        <v>Eightfingers</v>
      </c>
    </row>
    <row r="1276">
      <c r="A1276" s="41" t="str">
        <f>IFERROR(__xludf.DUMMYFUNCTION("""COMPUTED_VALUE"""),"RSC001275")</f>
        <v>RSC001275</v>
      </c>
      <c r="B1276" s="41" t="str">
        <f>IFERROR(__xludf.DUMMYFUNCTION("""COMPUTED_VALUE"""),"Eldino")</f>
        <v>Eldino</v>
      </c>
    </row>
    <row r="1277">
      <c r="A1277" s="41" t="str">
        <f>IFERROR(__xludf.DUMMYFUNCTION("""COMPUTED_VALUE"""),"RSC001276")</f>
        <v>RSC001276</v>
      </c>
      <c r="B1277" s="41" t="str">
        <f>IFERROR(__xludf.DUMMYFUNCTION("""COMPUTED_VALUE"""),"Electrify")</f>
        <v>Electrify</v>
      </c>
    </row>
    <row r="1278">
      <c r="A1278" s="41" t="str">
        <f>IFERROR(__xludf.DUMMYFUNCTION("""COMPUTED_VALUE"""),"RSC001277")</f>
        <v>RSC001277</v>
      </c>
      <c r="B1278" s="41" t="str">
        <f>IFERROR(__xludf.DUMMYFUNCTION("""COMPUTED_VALUE"""),"Enigma1")</f>
        <v>Enigma1</v>
      </c>
    </row>
    <row r="1279">
      <c r="A1279" s="41" t="str">
        <f>IFERROR(__xludf.DUMMYFUNCTION("""COMPUTED_VALUE"""),"RSC001278")</f>
        <v>RSC001278</v>
      </c>
      <c r="B1279" s="41" t="str">
        <f>IFERROR(__xludf.DUMMYFUNCTION("""COMPUTED_VALUE"""),"EraEssense")</f>
        <v>EraEssense</v>
      </c>
    </row>
    <row r="1280">
      <c r="A1280" s="41" t="str">
        <f>IFERROR(__xludf.DUMMYFUNCTION("""COMPUTED_VALUE"""),"RSC001279")</f>
        <v>RSC001279</v>
      </c>
      <c r="B1280" s="41" t="str">
        <f>IFERROR(__xludf.DUMMYFUNCTION("""COMPUTED_VALUE"""),"eskort29")</f>
        <v>eskort29</v>
      </c>
    </row>
    <row r="1281">
      <c r="A1281" s="41" t="str">
        <f>IFERROR(__xludf.DUMMYFUNCTION("""COMPUTED_VALUE"""),"RSC001280")</f>
        <v>RSC001280</v>
      </c>
      <c r="B1281" s="41" t="str">
        <f>IFERROR(__xludf.DUMMYFUNCTION("""COMPUTED_VALUE"""),"Ethan(change)")</f>
        <v>Ethan(change)</v>
      </c>
    </row>
    <row r="1282">
      <c r="A1282" s="41" t="str">
        <f>IFERROR(__xludf.DUMMYFUNCTION("""COMPUTED_VALUE"""),"RSC001281")</f>
        <v>RSC001281</v>
      </c>
      <c r="B1282" s="41" t="str">
        <f>IFERROR(__xludf.DUMMYFUNCTION("""COMPUTED_VALUE"""),"Evans")</f>
        <v>Evans</v>
      </c>
    </row>
    <row r="1283">
      <c r="A1283" s="41" t="str">
        <f>IFERROR(__xludf.DUMMYFUNCTION("""COMPUTED_VALUE"""),"RSC001282")</f>
        <v>RSC001282</v>
      </c>
      <c r="B1283" s="41" t="str">
        <f>IFERROR(__xludf.DUMMYFUNCTION("""COMPUTED_VALUE"""),"Exo")</f>
        <v>Exo</v>
      </c>
    </row>
    <row r="1284">
      <c r="A1284" s="41" t="str">
        <f>IFERROR(__xludf.DUMMYFUNCTION("""COMPUTED_VALUE"""),"RSC001283")</f>
        <v>RSC001283</v>
      </c>
      <c r="B1284" s="41" t="str">
        <f>IFERROR(__xludf.DUMMYFUNCTION("""COMPUTED_VALUE"""),"explosivcorn")</f>
        <v>explosivcorn</v>
      </c>
    </row>
    <row r="1285">
      <c r="A1285" s="41" t="str">
        <f>IFERROR(__xludf.DUMMYFUNCTION("""COMPUTED_VALUE"""),"RSC001284")</f>
        <v>RSC001284</v>
      </c>
      <c r="B1285" s="41" t="str">
        <f>IFERROR(__xludf.DUMMYFUNCTION("""COMPUTED_VALUE"""),"Falcon (russwalk97)")</f>
        <v>Falcon (russwalk97)</v>
      </c>
    </row>
    <row r="1286">
      <c r="A1286" s="41" t="str">
        <f>IFERROR(__xludf.DUMMYFUNCTION("""COMPUTED_VALUE"""),"RSC001285")</f>
        <v>RSC001285</v>
      </c>
      <c r="B1286" s="41" t="str">
        <f>IFERROR(__xludf.DUMMYFUNCTION("""COMPUTED_VALUE"""),"Fallen")</f>
        <v>Fallen</v>
      </c>
    </row>
    <row r="1287">
      <c r="A1287" s="41" t="str">
        <f>IFERROR(__xludf.DUMMYFUNCTION("""COMPUTED_VALUE"""),"RSC001286")</f>
        <v>RSC001286</v>
      </c>
      <c r="B1287" s="41" t="str">
        <f>IFERROR(__xludf.DUMMYFUNCTION("""COMPUTED_VALUE"""),"FamilyGameNight")</f>
        <v>FamilyGameNight</v>
      </c>
    </row>
    <row r="1288">
      <c r="A1288" s="41" t="str">
        <f>IFERROR(__xludf.DUMMYFUNCTION("""COMPUTED_VALUE"""),"RSC001287")</f>
        <v>RSC001287</v>
      </c>
      <c r="B1288" s="41" t="str">
        <f>IFERROR(__xludf.DUMMYFUNCTION("""COMPUTED_VALUE"""),"Farzam")</f>
        <v>Farzam</v>
      </c>
    </row>
    <row r="1289">
      <c r="A1289" s="41" t="str">
        <f>IFERROR(__xludf.DUMMYFUNCTION("""COMPUTED_VALUE"""),"RSC001288")</f>
        <v>RSC001288</v>
      </c>
      <c r="B1289" s="41" t="str">
        <f>IFERROR(__xludf.DUMMYFUNCTION("""COMPUTED_VALUE"""),"fbimike2424")</f>
        <v>fbimike2424</v>
      </c>
    </row>
    <row r="1290">
      <c r="A1290" s="41" t="str">
        <f>IFERROR(__xludf.DUMMYFUNCTION("""COMPUTED_VALUE"""),"RSC001289")</f>
        <v>RSC001289</v>
      </c>
      <c r="B1290" s="41" t="str">
        <f>IFERROR(__xludf.DUMMYFUNCTION("""COMPUTED_VALUE"""),"Fib Dibbler")</f>
        <v>Fib Dibbler</v>
      </c>
    </row>
    <row r="1291">
      <c r="A1291" s="41" t="str">
        <f>IFERROR(__xludf.DUMMYFUNCTION("""COMPUTED_VALUE"""),"RSC001290")</f>
        <v>RSC001290</v>
      </c>
      <c r="B1291" s="41" t="str">
        <f>IFERROR(__xludf.DUMMYFUNCTION("""COMPUTED_VALUE"""),"Firedog00")</f>
        <v>Firedog00</v>
      </c>
    </row>
    <row r="1292">
      <c r="A1292" s="41" t="str">
        <f>IFERROR(__xludf.DUMMYFUNCTION("""COMPUTED_VALUE"""),"RSC001291")</f>
        <v>RSC001291</v>
      </c>
      <c r="B1292" s="41" t="str">
        <f>IFERROR(__xludf.DUMMYFUNCTION("""COMPUTED_VALUE"""),"FireStorm")</f>
        <v>FireStorm</v>
      </c>
    </row>
    <row r="1293">
      <c r="A1293" s="41" t="str">
        <f>IFERROR(__xludf.DUMMYFUNCTION("""COMPUTED_VALUE"""),"RSC001292")</f>
        <v>RSC001292</v>
      </c>
      <c r="B1293" s="41" t="str">
        <f>IFERROR(__xludf.DUMMYFUNCTION("""COMPUTED_VALUE"""),"flamethrowr")</f>
        <v>flamethrowr</v>
      </c>
    </row>
    <row r="1294">
      <c r="A1294" s="41" t="str">
        <f>IFERROR(__xludf.DUMMYFUNCTION("""COMPUTED_VALUE"""),"RSC001293")</f>
        <v>RSC001293</v>
      </c>
      <c r="B1294" s="41" t="str">
        <f>IFERROR(__xludf.DUMMYFUNCTION("""COMPUTED_VALUE"""),"Fleezus Christ")</f>
        <v>Fleezus Christ</v>
      </c>
    </row>
    <row r="1295">
      <c r="A1295" s="41" t="str">
        <f>IFERROR(__xludf.DUMMYFUNCTION("""COMPUTED_VALUE"""),"RSC001294")</f>
        <v>RSC001294</v>
      </c>
      <c r="B1295" s="41" t="str">
        <f>IFERROR(__xludf.DUMMYFUNCTION("""COMPUTED_VALUE"""),"FlyingMongoose")</f>
        <v>FlyingMongoose</v>
      </c>
    </row>
    <row r="1296">
      <c r="A1296" s="41" t="str">
        <f>IFERROR(__xludf.DUMMYFUNCTION("""COMPUTED_VALUE"""),"RSC001295")</f>
        <v>RSC001295</v>
      </c>
      <c r="B1296" s="41" t="str">
        <f>IFERROR(__xludf.DUMMYFUNCTION("""COMPUTED_VALUE"""),"ForcingKronos")</f>
        <v>ForcingKronos</v>
      </c>
    </row>
    <row r="1297">
      <c r="A1297" s="41" t="str">
        <f>IFERROR(__xludf.DUMMYFUNCTION("""COMPUTED_VALUE"""),"RSC001296")</f>
        <v>RSC001296</v>
      </c>
      <c r="B1297" s="41" t="str">
        <f>IFERROR(__xludf.DUMMYFUNCTION("""COMPUTED_VALUE"""),"Froz")</f>
        <v>Froz</v>
      </c>
    </row>
    <row r="1298">
      <c r="A1298" s="41" t="str">
        <f>IFERROR(__xludf.DUMMYFUNCTION("""COMPUTED_VALUE"""),"RSC001297")</f>
        <v>RSC001297</v>
      </c>
      <c r="B1298" s="41" t="str">
        <f>IFERROR(__xludf.DUMMYFUNCTION("""COMPUTED_VALUE"""),"furrywolfman33")</f>
        <v>furrywolfman33</v>
      </c>
    </row>
    <row r="1299">
      <c r="A1299" s="41" t="str">
        <f>IFERROR(__xludf.DUMMYFUNCTION("""COMPUTED_VALUE"""),"RSC001298")</f>
        <v>RSC001298</v>
      </c>
      <c r="B1299" s="41" t="str">
        <f>IFERROR(__xludf.DUMMYFUNCTION("""COMPUTED_VALUE"""),"Fuze")</f>
        <v>Fuze</v>
      </c>
    </row>
    <row r="1300">
      <c r="A1300" s="41" t="str">
        <f>IFERROR(__xludf.DUMMYFUNCTION("""COMPUTED_VALUE"""),"RSC001299")</f>
        <v>RSC001299</v>
      </c>
      <c r="B1300" s="41" t="str">
        <f>IFERROR(__xludf.DUMMYFUNCTION("""COMPUTED_VALUE"""),"Fuzzball")</f>
        <v>Fuzzball</v>
      </c>
    </row>
    <row r="1301">
      <c r="A1301" s="41" t="str">
        <f>IFERROR(__xludf.DUMMYFUNCTION("""COMPUTED_VALUE"""),"RSC001300")</f>
        <v>RSC001300</v>
      </c>
      <c r="B1301" s="41" t="str">
        <f>IFERROR(__xludf.DUMMYFUNCTION("""COMPUTED_VALUE"""),"G2 INVICTUS")</f>
        <v>G2 INVICTUS</v>
      </c>
    </row>
    <row r="1302">
      <c r="A1302" s="41" t="str">
        <f>IFERROR(__xludf.DUMMYFUNCTION("""COMPUTED_VALUE"""),"RSC001301")</f>
        <v>RSC001301</v>
      </c>
      <c r="B1302" s="41" t="str">
        <f>IFERROR(__xludf.DUMMYFUNCTION("""COMPUTED_VALUE"""),"GABR 3")</f>
        <v>GABR 3</v>
      </c>
    </row>
    <row r="1303">
      <c r="A1303" s="41" t="str">
        <f>IFERROR(__xludf.DUMMYFUNCTION("""COMPUTED_VALUE"""),"RSC001302")</f>
        <v>RSC001302</v>
      </c>
      <c r="B1303" s="41" t="str">
        <f>IFERROR(__xludf.DUMMYFUNCTION("""COMPUTED_VALUE"""),"GamingNinja30")</f>
        <v>GamingNinja30</v>
      </c>
    </row>
    <row r="1304">
      <c r="A1304" s="41" t="str">
        <f>IFERROR(__xludf.DUMMYFUNCTION("""COMPUTED_VALUE"""),"RSC001303")</f>
        <v>RSC001303</v>
      </c>
      <c r="B1304" s="41" t="str">
        <f>IFERROR(__xludf.DUMMYFUNCTION("""COMPUTED_VALUE"""),"garebear2423")</f>
        <v>garebear2423</v>
      </c>
    </row>
    <row r="1305">
      <c r="A1305" s="41" t="str">
        <f>IFERROR(__xludf.DUMMYFUNCTION("""COMPUTED_VALUE"""),"RSC001304")</f>
        <v>RSC001304</v>
      </c>
      <c r="B1305" s="41" t="str">
        <f>IFERROR(__xludf.DUMMYFUNCTION("""COMPUTED_VALUE"""),"geg")</f>
        <v>geg</v>
      </c>
    </row>
    <row r="1306">
      <c r="A1306" s="41" t="str">
        <f>IFERROR(__xludf.DUMMYFUNCTION("""COMPUTED_VALUE"""),"RSC001305")</f>
        <v>RSC001305</v>
      </c>
      <c r="B1306" s="41" t="str">
        <f>IFERROR(__xludf.DUMMYFUNCTION("""COMPUTED_VALUE"""),"genie")</f>
        <v>genie</v>
      </c>
    </row>
    <row r="1307">
      <c r="A1307" s="41" t="str">
        <f>IFERROR(__xludf.DUMMYFUNCTION("""COMPUTED_VALUE"""),"RSC001306")</f>
        <v>RSC001306</v>
      </c>
      <c r="B1307" s="41" t="str">
        <f>IFERROR(__xludf.DUMMYFUNCTION("""COMPUTED_VALUE"""),"GhettoBlasteRob")</f>
        <v>GhettoBlasteRob</v>
      </c>
    </row>
    <row r="1308">
      <c r="A1308" s="41" t="str">
        <f>IFERROR(__xludf.DUMMYFUNCTION("""COMPUTED_VALUE"""),"RSC001307")</f>
        <v>RSC001307</v>
      </c>
      <c r="B1308" s="41" t="str">
        <f>IFERROR(__xludf.DUMMYFUNCTION("""COMPUTED_VALUE"""),"Scanti")</f>
        <v>Scanti</v>
      </c>
    </row>
    <row r="1309">
      <c r="A1309" s="41" t="str">
        <f>IFERROR(__xludf.DUMMYFUNCTION("""COMPUTED_VALUE"""),"RSC001308")</f>
        <v>RSC001308</v>
      </c>
      <c r="B1309" s="41" t="str">
        <f>IFERROR(__xludf.DUMMYFUNCTION("""COMPUTED_VALUE"""),"GlanGeR")</f>
        <v>GlanGeR</v>
      </c>
    </row>
    <row r="1310">
      <c r="A1310" s="41" t="str">
        <f>IFERROR(__xludf.DUMMYFUNCTION("""COMPUTED_VALUE"""),"RSC001309")</f>
        <v>RSC001309</v>
      </c>
      <c r="B1310" s="41" t="str">
        <f>IFERROR(__xludf.DUMMYFUNCTION("""COMPUTED_VALUE"""),"Glycine")</f>
        <v>Glycine</v>
      </c>
    </row>
    <row r="1311">
      <c r="A1311" s="41" t="str">
        <f>IFERROR(__xludf.DUMMYFUNCTION("""COMPUTED_VALUE"""),"RSC001310")</f>
        <v>RSC001310</v>
      </c>
      <c r="B1311" s="41" t="str">
        <f>IFERROR(__xludf.DUMMYFUNCTION("""COMPUTED_VALUE"""),"goob")</f>
        <v>goob</v>
      </c>
    </row>
    <row r="1312">
      <c r="A1312" s="41" t="str">
        <f>IFERROR(__xludf.DUMMYFUNCTION("""COMPUTED_VALUE"""),"RSC001311")</f>
        <v>RSC001311</v>
      </c>
      <c r="B1312" s="41" t="str">
        <f>IFERROR(__xludf.DUMMYFUNCTION("""COMPUTED_VALUE"""),"Grahm")</f>
        <v>Grahm</v>
      </c>
    </row>
    <row r="1313">
      <c r="A1313" s="41" t="str">
        <f>IFERROR(__xludf.DUMMYFUNCTION("""COMPUTED_VALUE"""),"RSC001312")</f>
        <v>RSC001312</v>
      </c>
      <c r="B1313" s="41" t="str">
        <f>IFERROR(__xludf.DUMMYFUNCTION("""COMPUTED_VALUE"""),"gravesite33")</f>
        <v>gravesite33</v>
      </c>
    </row>
    <row r="1314">
      <c r="A1314" s="41" t="str">
        <f>IFERROR(__xludf.DUMMYFUNCTION("""COMPUTED_VALUE"""),"RSC001313")</f>
        <v>RSC001313</v>
      </c>
      <c r="B1314" s="41" t="str">
        <f>IFERROR(__xludf.DUMMYFUNCTION("""COMPUTED_VALUE"""),"GrayFawx")</f>
        <v>GrayFawx</v>
      </c>
    </row>
    <row r="1315">
      <c r="A1315" s="41" t="str">
        <f>IFERROR(__xludf.DUMMYFUNCTION("""COMPUTED_VALUE"""),"RSC001314")</f>
        <v>RSC001314</v>
      </c>
      <c r="B1315" s="41" t="str">
        <f>IFERROR(__xludf.DUMMYFUNCTION("""COMPUTED_VALUE"""),"GreenEggs")</f>
        <v>GreenEggs</v>
      </c>
    </row>
    <row r="1316">
      <c r="A1316" s="41" t="str">
        <f>IFERROR(__xludf.DUMMYFUNCTION("""COMPUTED_VALUE"""),"RSC001315")</f>
        <v>RSC001315</v>
      </c>
      <c r="B1316" s="41" t="str">
        <f>IFERROR(__xludf.DUMMYFUNCTION("""COMPUTED_VALUE"""),"Grim")</f>
        <v>Grim</v>
      </c>
    </row>
    <row r="1317">
      <c r="A1317" s="41" t="str">
        <f>IFERROR(__xludf.DUMMYFUNCTION("""COMPUTED_VALUE"""),"RSC001316")</f>
        <v>RSC001316</v>
      </c>
      <c r="B1317" s="41" t="str">
        <f>IFERROR(__xludf.DUMMYFUNCTION("""COMPUTED_VALUE"""),"Groooog")</f>
        <v>Groooog</v>
      </c>
    </row>
    <row r="1318">
      <c r="A1318" s="41" t="str">
        <f>IFERROR(__xludf.DUMMYFUNCTION("""COMPUTED_VALUE"""),"RSC001317")</f>
        <v>RSC001317</v>
      </c>
      <c r="B1318" s="41" t="str">
        <f>IFERROR(__xludf.DUMMYFUNCTION("""COMPUTED_VALUE"""),"Grubbsyy")</f>
        <v>Grubbsyy</v>
      </c>
    </row>
    <row r="1319">
      <c r="A1319" s="41" t="str">
        <f>IFERROR(__xludf.DUMMYFUNCTION("""COMPUTED_VALUE"""),"RSC001318")</f>
        <v>RSC001318</v>
      </c>
      <c r="B1319" s="41" t="str">
        <f>IFERROR(__xludf.DUMMYFUNCTION("""COMPUTED_VALUE"""),"GUACO")</f>
        <v>GUACO</v>
      </c>
    </row>
    <row r="1320">
      <c r="A1320" s="41" t="str">
        <f>IFERROR(__xludf.DUMMYFUNCTION("""COMPUTED_VALUE"""),"RSC001319")</f>
        <v>RSC001319</v>
      </c>
      <c r="B1320" s="41" t="str">
        <f>IFERROR(__xludf.DUMMYFUNCTION("""COMPUTED_VALUE"""),"Guntotin11-4")</f>
        <v>Guntotin11-4</v>
      </c>
    </row>
    <row r="1321">
      <c r="A1321" s="41" t="str">
        <f>IFERROR(__xludf.DUMMYFUNCTION("""COMPUTED_VALUE"""),"RSC001320")</f>
        <v>RSC001320</v>
      </c>
      <c r="B1321" s="41" t="str">
        <f>IFERROR(__xludf.DUMMYFUNCTION("""COMPUTED_VALUE"""),"Hall355")</f>
        <v>Hall355</v>
      </c>
    </row>
    <row r="1322">
      <c r="A1322" s="41" t="str">
        <f>IFERROR(__xludf.DUMMYFUNCTION("""COMPUTED_VALUE"""),"RSC001321")</f>
        <v>RSC001321</v>
      </c>
      <c r="B1322" s="41" t="str">
        <f>IFERROR(__xludf.DUMMYFUNCTION("""COMPUTED_VALUE"""),"HannandGrenade")</f>
        <v>HannandGrenade</v>
      </c>
    </row>
    <row r="1323">
      <c r="A1323" s="41" t="str">
        <f>IFERROR(__xludf.DUMMYFUNCTION("""COMPUTED_VALUE"""),"RSC001322")</f>
        <v>RSC001322</v>
      </c>
      <c r="B1323" s="41" t="str">
        <f>IFERROR(__xludf.DUMMYFUNCTION("""COMPUTED_VALUE"""),"Harecles")</f>
        <v>Harecles</v>
      </c>
    </row>
    <row r="1324">
      <c r="A1324" s="41" t="str">
        <f>IFERROR(__xludf.DUMMYFUNCTION("""COMPUTED_VALUE"""),"RSC001323")</f>
        <v>RSC001323</v>
      </c>
      <c r="B1324" s="41" t="str">
        <f>IFERROR(__xludf.DUMMYFUNCTION("""COMPUTED_VALUE"""),"HarrisonWC")</f>
        <v>HarrisonWC</v>
      </c>
    </row>
    <row r="1325">
      <c r="A1325" s="41" t="str">
        <f>IFERROR(__xludf.DUMMYFUNCTION("""COMPUTED_VALUE"""),"RSC001324")</f>
        <v>RSC001324</v>
      </c>
      <c r="B1325" s="41" t="str">
        <f>IFERROR(__xludf.DUMMYFUNCTION("""COMPUTED_VALUE"""),"HateParty")</f>
        <v>HateParty</v>
      </c>
    </row>
    <row r="1326">
      <c r="A1326" s="41" t="str">
        <f>IFERROR(__xludf.DUMMYFUNCTION("""COMPUTED_VALUE"""),"RSC001325")</f>
        <v>RSC001325</v>
      </c>
      <c r="B1326" s="41" t="str">
        <f>IFERROR(__xludf.DUMMYFUNCTION("""COMPUTED_VALUE"""),"Havs")</f>
        <v>Havs</v>
      </c>
    </row>
    <row r="1327">
      <c r="A1327" s="41" t="str">
        <f>IFERROR(__xludf.DUMMYFUNCTION("""COMPUTED_VALUE"""),"RSC001326")</f>
        <v>RSC001326</v>
      </c>
      <c r="B1327" s="41" t="str">
        <f>IFERROR(__xludf.DUMMYFUNCTION("""COMPUTED_VALUE"""),"HeatSlammer")</f>
        <v>HeatSlammer</v>
      </c>
    </row>
    <row r="1328">
      <c r="A1328" s="41" t="str">
        <f>IFERROR(__xludf.DUMMYFUNCTION("""COMPUTED_VALUE"""),"RSC001327")</f>
        <v>RSC001327</v>
      </c>
      <c r="B1328" s="41" t="str">
        <f>IFERROR(__xludf.DUMMYFUNCTION("""COMPUTED_VALUE"""),"hebtwo")</f>
        <v>hebtwo</v>
      </c>
    </row>
    <row r="1329">
      <c r="A1329" s="41" t="str">
        <f>IFERROR(__xludf.DUMMYFUNCTION("""COMPUTED_VALUE"""),"RSC001328")</f>
        <v>RSC001328</v>
      </c>
      <c r="B1329" s="41" t="str">
        <f>IFERROR(__xludf.DUMMYFUNCTION("""COMPUTED_VALUE"""),"Heimerdinger")</f>
        <v>Heimerdinger</v>
      </c>
    </row>
    <row r="1330">
      <c r="A1330" s="41" t="str">
        <f>IFERROR(__xludf.DUMMYFUNCTION("""COMPUTED_VALUE"""),"RSC001329")</f>
        <v>RSC001329</v>
      </c>
      <c r="B1330" s="41" t="str">
        <f>IFERROR(__xludf.DUMMYFUNCTION("""COMPUTED_VALUE"""),"Heiz.")</f>
        <v>Heiz.</v>
      </c>
    </row>
    <row r="1331">
      <c r="A1331" s="41" t="str">
        <f>IFERROR(__xludf.DUMMYFUNCTION("""COMPUTED_VALUE"""),"RSC001330")</f>
        <v>RSC001330</v>
      </c>
      <c r="B1331" s="41" t="str">
        <f>IFERROR(__xludf.DUMMYFUNCTION("""COMPUTED_VALUE"""),"Blissful Beluga")</f>
        <v>Blissful Beluga</v>
      </c>
    </row>
    <row r="1332">
      <c r="A1332" s="41" t="str">
        <f>IFERROR(__xludf.DUMMYFUNCTION("""COMPUTED_VALUE"""),"RSC001331")</f>
        <v>RSC001331</v>
      </c>
      <c r="B1332" s="41" t="str">
        <f>IFERROR(__xludf.DUMMYFUNCTION("""COMPUTED_VALUE"""),"spinch")</f>
        <v>spinch</v>
      </c>
    </row>
    <row r="1333">
      <c r="A1333" s="41" t="str">
        <f>IFERROR(__xludf.DUMMYFUNCTION("""COMPUTED_VALUE"""),"RSC001332")</f>
        <v>RSC001332</v>
      </c>
      <c r="B1333" s="41" t="str">
        <f>IFERROR(__xludf.DUMMYFUNCTION("""COMPUTED_VALUE"""),"herpesatemydog")</f>
        <v>herpesatemydog</v>
      </c>
    </row>
    <row r="1334">
      <c r="A1334" s="41" t="str">
        <f>IFERROR(__xludf.DUMMYFUNCTION("""COMPUTED_VALUE"""),"RSC001333")</f>
        <v>RSC001333</v>
      </c>
      <c r="B1334" s="41" t="str">
        <f>IFERROR(__xludf.DUMMYFUNCTION("""COMPUTED_VALUE"""),"Hesare")</f>
        <v>Hesare</v>
      </c>
    </row>
    <row r="1335">
      <c r="A1335" s="41" t="str">
        <f>IFERROR(__xludf.DUMMYFUNCTION("""COMPUTED_VALUE"""),"RSC001334")</f>
        <v>RSC001334</v>
      </c>
      <c r="B1335" s="41" t="str">
        <f>IFERROR(__xludf.DUMMYFUNCTION("""COMPUTED_VALUE"""),"HeWhoEats^")</f>
        <v>HeWhoEats^</v>
      </c>
    </row>
    <row r="1336">
      <c r="A1336" s="41" t="str">
        <f>IFERROR(__xludf.DUMMYFUNCTION("""COMPUTED_VALUE"""),"RSC001335")</f>
        <v>RSC001335</v>
      </c>
      <c r="B1336" s="41" t="str">
        <f>IFERROR(__xludf.DUMMYFUNCTION("""COMPUTED_VALUE"""),"Hollis")</f>
        <v>Hollis</v>
      </c>
    </row>
    <row r="1337">
      <c r="A1337" s="41" t="str">
        <f>IFERROR(__xludf.DUMMYFUNCTION("""COMPUTED_VALUE"""),"RSC001336")</f>
        <v>RSC001336</v>
      </c>
      <c r="B1337" s="41" t="str">
        <f>IFERROR(__xludf.DUMMYFUNCTION("""COMPUTED_VALUE"""),"Homelessbaby")</f>
        <v>Homelessbaby</v>
      </c>
    </row>
    <row r="1338">
      <c r="A1338" s="41" t="str">
        <f>IFERROR(__xludf.DUMMYFUNCTION("""COMPUTED_VALUE"""),"RSC001337")</f>
        <v>RSC001337</v>
      </c>
      <c r="B1338" s="41" t="str">
        <f>IFERROR(__xludf.DUMMYFUNCTION("""COMPUTED_VALUE"""),"Hotdog")</f>
        <v>Hotdog</v>
      </c>
    </row>
    <row r="1339">
      <c r="A1339" s="41" t="str">
        <f>IFERROR(__xludf.DUMMYFUNCTION("""COMPUTED_VALUE"""),"RSC001338")</f>
        <v>RSC001338</v>
      </c>
      <c r="B1339" s="41" t="str">
        <f>IFERROR(__xludf.DUMMYFUNCTION("""COMPUTED_VALUE"""),"houndofspace")</f>
        <v>houndofspace</v>
      </c>
    </row>
    <row r="1340">
      <c r="A1340" s="41" t="str">
        <f>IFERROR(__xludf.DUMMYFUNCTION("""COMPUTED_VALUE"""),"RSC001339")</f>
        <v>RSC001339</v>
      </c>
      <c r="B1340" s="41" t="str">
        <f>IFERROR(__xludf.DUMMYFUNCTION("""COMPUTED_VALUE"""),"HRshuvinztuff")</f>
        <v>HRshuvinztuff</v>
      </c>
    </row>
    <row r="1341">
      <c r="A1341" s="41" t="str">
        <f>IFERROR(__xludf.DUMMYFUNCTION("""COMPUTED_VALUE"""),"RSC001340")</f>
        <v>RSC001340</v>
      </c>
      <c r="B1341" s="41" t="str">
        <f>IFERROR(__xludf.DUMMYFUNCTION("""COMPUTED_VALUE"""),"Humbz")</f>
        <v>Humbz</v>
      </c>
    </row>
    <row r="1342">
      <c r="A1342" s="41" t="str">
        <f>IFERROR(__xludf.DUMMYFUNCTION("""COMPUTED_VALUE"""),"RSC001341")</f>
        <v>RSC001341</v>
      </c>
      <c r="B1342" s="41" t="str">
        <f>IFERROR(__xludf.DUMMYFUNCTION("""COMPUTED_VALUE"""),"HUnter")</f>
        <v>HUnter</v>
      </c>
    </row>
    <row r="1343">
      <c r="A1343" s="41" t="str">
        <f>IFERROR(__xludf.DUMMYFUNCTION("""COMPUTED_VALUE"""),"RSC001342")</f>
        <v>RSC001342</v>
      </c>
      <c r="B1343" s="41" t="str">
        <f>IFERROR(__xludf.DUMMYFUNCTION("""COMPUTED_VALUE"""),"HunterHexed")</f>
        <v>HunterHexed</v>
      </c>
    </row>
    <row r="1344">
      <c r="A1344" s="41" t="str">
        <f>IFERROR(__xludf.DUMMYFUNCTION("""COMPUTED_VALUE"""),"RSC001343")</f>
        <v>RSC001343</v>
      </c>
      <c r="B1344" s="41" t="str">
        <f>IFERROR(__xludf.DUMMYFUNCTION("""COMPUTED_VALUE"""),"Fancy-banned")</f>
        <v>Fancy-banned</v>
      </c>
    </row>
    <row r="1345">
      <c r="A1345" s="41" t="str">
        <f>IFERROR(__xludf.DUMMYFUNCTION("""COMPUTED_VALUE"""),"RSC001344")</f>
        <v>RSC001344</v>
      </c>
      <c r="B1345" s="41" t="str">
        <f>IFERROR(__xludf.DUMMYFUNCTION("""COMPUTED_VALUE"""),"HYPER!")</f>
        <v>HYPER!</v>
      </c>
    </row>
    <row r="1346">
      <c r="A1346" s="41" t="str">
        <f>IFERROR(__xludf.DUMMYFUNCTION("""COMPUTED_VALUE"""),"RSC001345")</f>
        <v>RSC001345</v>
      </c>
      <c r="B1346" s="41" t="str">
        <f>IFERROR(__xludf.DUMMYFUNCTION("""COMPUTED_VALUE"""),"Hypah")</f>
        <v>Hypah</v>
      </c>
    </row>
    <row r="1347">
      <c r="A1347" s="41" t="str">
        <f>IFERROR(__xludf.DUMMYFUNCTION("""COMPUTED_VALUE"""),"RSC001346")</f>
        <v>RSC001346</v>
      </c>
      <c r="B1347" s="41" t="str">
        <f>IFERROR(__xludf.DUMMYFUNCTION("""COMPUTED_VALUE"""),"I'mnotthatgoodatanything")</f>
        <v>I'mnotthatgoodatanything</v>
      </c>
    </row>
    <row r="1348">
      <c r="A1348" s="41" t="str">
        <f>IFERROR(__xludf.DUMMYFUNCTION("""COMPUTED_VALUE"""),"RSC001347")</f>
        <v>RSC001347</v>
      </c>
      <c r="B1348" s="41" t="str">
        <f>IFERROR(__xludf.DUMMYFUNCTION("""COMPUTED_VALUE"""),"IamTalentless")</f>
        <v>IamTalentless</v>
      </c>
    </row>
    <row r="1349">
      <c r="A1349" s="41" t="str">
        <f>IFERROR(__xludf.DUMMYFUNCTION("""COMPUTED_VALUE"""),"RSC001348")</f>
        <v>RSC001348</v>
      </c>
      <c r="B1349" s="41" t="str">
        <f>IFERROR(__xludf.DUMMYFUNCTION("""COMPUTED_VALUE"""),"Ian")</f>
        <v>Ian</v>
      </c>
    </row>
    <row r="1350">
      <c r="A1350" s="41" t="str">
        <f>IFERROR(__xludf.DUMMYFUNCTION("""COMPUTED_VALUE"""),"RSC001349")</f>
        <v>RSC001349</v>
      </c>
      <c r="B1350" s="41" t="str">
        <f>IFERROR(__xludf.DUMMYFUNCTION("""COMPUTED_VALUE"""),"iBlitzKing")</f>
        <v>iBlitzKing</v>
      </c>
    </row>
    <row r="1351">
      <c r="A1351" s="41" t="str">
        <f>IFERROR(__xludf.DUMMYFUNCTION("""COMPUTED_VALUE"""),"RSC001350")</f>
        <v>RSC001350</v>
      </c>
      <c r="B1351" s="41" t="str">
        <f>IFERROR(__xludf.DUMMYFUNCTION("""COMPUTED_VALUE"""),"Icey6")</f>
        <v>Icey6</v>
      </c>
    </row>
    <row r="1352">
      <c r="A1352" s="41" t="str">
        <f>IFERROR(__xludf.DUMMYFUNCTION("""COMPUTED_VALUE"""),"RSC001351")</f>
        <v>RSC001351</v>
      </c>
      <c r="B1352" s="41" t="str">
        <f>IFERROR(__xludf.DUMMYFUNCTION("""COMPUTED_VALUE"""),"ihatehangovers")</f>
        <v>ihatehangovers</v>
      </c>
    </row>
    <row r="1353">
      <c r="A1353" s="41" t="str">
        <f>IFERROR(__xludf.DUMMYFUNCTION("""COMPUTED_VALUE"""),"RSC001352")</f>
        <v>RSC001352</v>
      </c>
      <c r="B1353" s="41" t="str">
        <f>IFERROR(__xludf.DUMMYFUNCTION("""COMPUTED_VALUE"""),"ImDarkStrikker")</f>
        <v>ImDarkStrikker</v>
      </c>
    </row>
    <row r="1354">
      <c r="A1354" s="41" t="str">
        <f>IFERROR(__xludf.DUMMYFUNCTION("""COMPUTED_VALUE"""),"RSC001353")</f>
        <v>RSC001353</v>
      </c>
      <c r="B1354" s="41" t="str">
        <f>IFERROR(__xludf.DUMMYFUNCTION("""COMPUTED_VALUE"""),"pre dude")</f>
        <v>pre dude</v>
      </c>
    </row>
    <row r="1355">
      <c r="A1355" s="41" t="str">
        <f>IFERROR(__xludf.DUMMYFUNCTION("""COMPUTED_VALUE"""),"RSC001354")</f>
        <v>RSC001354</v>
      </c>
      <c r="B1355" s="41" t="str">
        <f>IFERROR(__xludf.DUMMYFUNCTION("""COMPUTED_VALUE"""),"Inciner8")</f>
        <v>Inciner8</v>
      </c>
    </row>
    <row r="1356">
      <c r="A1356" s="41" t="str">
        <f>IFERROR(__xludf.DUMMYFUNCTION("""COMPUTED_VALUE"""),"RSC001355")</f>
        <v>RSC001355</v>
      </c>
      <c r="B1356" s="41" t="str">
        <f>IFERROR(__xludf.DUMMYFUNCTION("""COMPUTED_VALUE"""),"Gringo")</f>
        <v>Gringo</v>
      </c>
    </row>
    <row r="1357">
      <c r="A1357" s="41" t="str">
        <f>IFERROR(__xludf.DUMMYFUNCTION("""COMPUTED_VALUE"""),"RSC001356")</f>
        <v>RSC001356</v>
      </c>
      <c r="B1357" s="41" t="str">
        <f>IFERROR(__xludf.DUMMYFUNCTION("""COMPUTED_VALUE"""),"Instinct")</f>
        <v>Instinct</v>
      </c>
    </row>
    <row r="1358">
      <c r="A1358" s="41" t="str">
        <f>IFERROR(__xludf.DUMMYFUNCTION("""COMPUTED_VALUE"""),"RSC001357")</f>
        <v>RSC001357</v>
      </c>
      <c r="B1358" s="41" t="str">
        <f>IFERROR(__xludf.DUMMYFUNCTION("""COMPUTED_VALUE"""),"bubblebuddy47")</f>
        <v>bubblebuddy47</v>
      </c>
    </row>
    <row r="1359">
      <c r="A1359" s="41" t="str">
        <f>IFERROR(__xludf.DUMMYFUNCTION("""COMPUTED_VALUE"""),"RSC001358")</f>
        <v>RSC001358</v>
      </c>
      <c r="B1359" s="41" t="str">
        <f>IFERROR(__xludf.DUMMYFUNCTION("""COMPUTED_VALUE"""),"Cob")</f>
        <v>Cob</v>
      </c>
    </row>
    <row r="1360">
      <c r="A1360" s="41" t="str">
        <f>IFERROR(__xludf.DUMMYFUNCTION("""COMPUTED_VALUE"""),"RSC001359")</f>
        <v>RSC001359</v>
      </c>
      <c r="B1360" s="41" t="str">
        <f>IFERROR(__xludf.DUMMYFUNCTION("""COMPUTED_VALUE"""),"ItsBaxStar")</f>
        <v>ItsBaxStar</v>
      </c>
    </row>
    <row r="1361">
      <c r="A1361" s="41" t="str">
        <f>IFERROR(__xludf.DUMMYFUNCTION("""COMPUTED_VALUE"""),"RSC001360")</f>
        <v>RSC001360</v>
      </c>
      <c r="B1361" s="41" t="str">
        <f>IFERROR(__xludf.DUMMYFUNCTION("""COMPUTED_VALUE"""),"ItsJinkxx")</f>
        <v>ItsJinkxx</v>
      </c>
    </row>
    <row r="1362">
      <c r="A1362" s="41" t="str">
        <f>IFERROR(__xludf.DUMMYFUNCTION("""COMPUTED_VALUE"""),"RSC001361")</f>
        <v>RSC001361</v>
      </c>
      <c r="B1362" s="41" t="str">
        <f>IFERROR(__xludf.DUMMYFUNCTION("""COMPUTED_VALUE"""),"ItsJustFruity")</f>
        <v>ItsJustFruity</v>
      </c>
    </row>
    <row r="1363">
      <c r="A1363" s="41" t="str">
        <f>IFERROR(__xludf.DUMMYFUNCTION("""COMPUTED_VALUE"""),"RSC001362")</f>
        <v>RSC001362</v>
      </c>
      <c r="B1363" s="41" t="str">
        <f>IFERROR(__xludf.DUMMYFUNCTION("""COMPUTED_VALUE"""),"Itz_Ta_Asian")</f>
        <v>Itz_Ta_Asian</v>
      </c>
    </row>
    <row r="1364">
      <c r="A1364" s="41" t="str">
        <f>IFERROR(__xludf.DUMMYFUNCTION("""COMPUTED_VALUE"""),"RSC001363")</f>
        <v>RSC001363</v>
      </c>
      <c r="B1364" s="41" t="str">
        <f>IFERROR(__xludf.DUMMYFUNCTION("""COMPUTED_VALUE"""),"ItzYourDADDY;)")</f>
        <v>ItzYourDADDY;)</v>
      </c>
    </row>
    <row r="1365">
      <c r="A1365" s="41" t="str">
        <f>IFERROR(__xludf.DUMMYFUNCTION("""COMPUTED_VALUE"""),"RSC001364")</f>
        <v>RSC001364</v>
      </c>
      <c r="B1365" s="41" t="str">
        <f>IFERROR(__xludf.DUMMYFUNCTION("""COMPUTED_VALUE"""),"Aizzaku!")</f>
        <v>Aizzaku!</v>
      </c>
    </row>
    <row r="1366">
      <c r="A1366" s="41" t="str">
        <f>IFERROR(__xludf.DUMMYFUNCTION("""COMPUTED_VALUE"""),"RSC001365")</f>
        <v>RSC001365</v>
      </c>
      <c r="B1366" s="41" t="str">
        <f>IFERROR(__xludf.DUMMYFUNCTION("""COMPUTED_VALUE"""),"izKey")</f>
        <v>izKey</v>
      </c>
    </row>
    <row r="1367">
      <c r="A1367" s="41" t="str">
        <f>IFERROR(__xludf.DUMMYFUNCTION("""COMPUTED_VALUE"""),"RSC001366")</f>
        <v>RSC001366</v>
      </c>
      <c r="B1367" s="41" t="str">
        <f>IFERROR(__xludf.DUMMYFUNCTION("""COMPUTED_VALUE"""),"j_uu_ice24")</f>
        <v>j_uu_ice24</v>
      </c>
    </row>
    <row r="1368">
      <c r="A1368" s="41" t="str">
        <f>IFERROR(__xludf.DUMMYFUNCTION("""COMPUTED_VALUE"""),"RSC001367")</f>
        <v>RSC001367</v>
      </c>
      <c r="B1368" s="41" t="str">
        <f>IFERROR(__xludf.DUMMYFUNCTION("""COMPUTED_VALUE"""),"JaBooty")</f>
        <v>JaBooty</v>
      </c>
    </row>
    <row r="1369">
      <c r="A1369" s="41" t="str">
        <f>IFERROR(__xludf.DUMMYFUNCTION("""COMPUTED_VALUE"""),"RSC001368")</f>
        <v>RSC001368</v>
      </c>
      <c r="B1369" s="41" t="str">
        <f>IFERROR(__xludf.DUMMYFUNCTION("""COMPUTED_VALUE"""),"Jackskun")</f>
        <v>Jackskun</v>
      </c>
    </row>
    <row r="1370">
      <c r="A1370" s="41" t="str">
        <f>IFERROR(__xludf.DUMMYFUNCTION("""COMPUTED_VALUE"""),"RSC001369")</f>
        <v>RSC001369</v>
      </c>
      <c r="B1370" s="41" t="str">
        <f>IFERROR(__xludf.DUMMYFUNCTION("""COMPUTED_VALUE"""),"JaiTheNoob")</f>
        <v>JaiTheNoob</v>
      </c>
    </row>
    <row r="1371">
      <c r="A1371" s="41" t="str">
        <f>IFERROR(__xludf.DUMMYFUNCTION("""COMPUTED_VALUE"""),"RSC001370")</f>
        <v>RSC001370</v>
      </c>
      <c r="B1371" s="41" t="str">
        <f>IFERROR(__xludf.DUMMYFUNCTION("""COMPUTED_VALUE"""),"jake27")</f>
        <v>jake27</v>
      </c>
    </row>
    <row r="1372">
      <c r="A1372" s="41" t="str">
        <f>IFERROR(__xludf.DUMMYFUNCTION("""COMPUTED_VALUE"""),"RSC001371")</f>
        <v>RSC001371</v>
      </c>
      <c r="B1372" s="41" t="str">
        <f>IFERROR(__xludf.DUMMYFUNCTION("""COMPUTED_VALUE"""),"jakudicon")</f>
        <v>jakudicon</v>
      </c>
    </row>
    <row r="1373">
      <c r="A1373" s="41" t="str">
        <f>IFERROR(__xludf.DUMMYFUNCTION("""COMPUTED_VALUE"""),"RSC001372")</f>
        <v>RSC001372</v>
      </c>
      <c r="B1373" s="41" t="str">
        <f>IFERROR(__xludf.DUMMYFUNCTION("""COMPUTED_VALUE"""),"Jaragon2k")</f>
        <v>Jaragon2k</v>
      </c>
    </row>
    <row r="1374">
      <c r="A1374" s="41" t="str">
        <f>IFERROR(__xludf.DUMMYFUNCTION("""COMPUTED_VALUE"""),"RSC001373")</f>
        <v>RSC001373</v>
      </c>
      <c r="B1374" s="41" t="str">
        <f>IFERROR(__xludf.DUMMYFUNCTION("""COMPUTED_VALUE"""),"jarjarsmith25")</f>
        <v>jarjarsmith25</v>
      </c>
    </row>
    <row r="1375">
      <c r="A1375" s="41" t="str">
        <f>IFERROR(__xludf.DUMMYFUNCTION("""COMPUTED_VALUE"""),"RSC001374")</f>
        <v>RSC001374</v>
      </c>
      <c r="B1375" s="41" t="str">
        <f>IFERROR(__xludf.DUMMYFUNCTION("""COMPUTED_VALUE"""),"jask95")</f>
        <v>jask95</v>
      </c>
    </row>
    <row r="1376">
      <c r="A1376" s="41" t="str">
        <f>IFERROR(__xludf.DUMMYFUNCTION("""COMPUTED_VALUE"""),"RSC001375")</f>
        <v>RSC001375</v>
      </c>
      <c r="B1376" s="41" t="str">
        <f>IFERROR(__xludf.DUMMYFUNCTION("""COMPUTED_VALUE"""),"jaybeeveee")</f>
        <v>jaybeeveee</v>
      </c>
    </row>
    <row r="1377">
      <c r="A1377" s="41" t="str">
        <f>IFERROR(__xludf.DUMMYFUNCTION("""COMPUTED_VALUE"""),"RSC001376")</f>
        <v>RSC001376</v>
      </c>
      <c r="B1377" s="41" t="str">
        <f>IFERROR(__xludf.DUMMYFUNCTION("""COMPUTED_VALUE"""),"jayhawks1985")</f>
        <v>jayhawks1985</v>
      </c>
    </row>
    <row r="1378">
      <c r="A1378" s="41" t="str">
        <f>IFERROR(__xludf.DUMMYFUNCTION("""COMPUTED_VALUE"""),"RSC001377")</f>
        <v>RSC001377</v>
      </c>
      <c r="B1378" s="41" t="str">
        <f>IFERROR(__xludf.DUMMYFUNCTION("""COMPUTED_VALUE"""),"JayS90")</f>
        <v>JayS90</v>
      </c>
    </row>
    <row r="1379">
      <c r="A1379" s="41" t="str">
        <f>IFERROR(__xludf.DUMMYFUNCTION("""COMPUTED_VALUE"""),"RSC001378")</f>
        <v>RSC001378</v>
      </c>
      <c r="B1379" s="41" t="str">
        <f>IFERROR(__xludf.DUMMYFUNCTION("""COMPUTED_VALUE"""),"JDeleven11")</f>
        <v>JDeleven11</v>
      </c>
    </row>
    <row r="1380">
      <c r="A1380" s="41" t="str">
        <f>IFERROR(__xludf.DUMMYFUNCTION("""COMPUTED_VALUE"""),"RSC001379")</f>
        <v>RSC001379</v>
      </c>
      <c r="B1380" s="41" t="str">
        <f>IFERROR(__xludf.DUMMYFUNCTION("""COMPUTED_VALUE"""),"Jedilaser")</f>
        <v>Jedilaser</v>
      </c>
    </row>
    <row r="1381">
      <c r="A1381" s="41" t="str">
        <f>IFERROR(__xludf.DUMMYFUNCTION("""COMPUTED_VALUE"""),"RSC001380")</f>
        <v>RSC001380</v>
      </c>
      <c r="B1381" s="41" t="str">
        <f>IFERROR(__xludf.DUMMYFUNCTION("""COMPUTED_VALUE"""),"Jefe")</f>
        <v>Jefe</v>
      </c>
    </row>
    <row r="1382">
      <c r="A1382" s="41" t="str">
        <f>IFERROR(__xludf.DUMMYFUNCTION("""COMPUTED_VALUE"""),"RSC001381")</f>
        <v>RSC001381</v>
      </c>
      <c r="B1382" s="41" t="str">
        <f>IFERROR(__xludf.DUMMYFUNCTION("""COMPUTED_VALUE"""),"Jerdah")</f>
        <v>Jerdah</v>
      </c>
    </row>
    <row r="1383">
      <c r="A1383" s="41" t="str">
        <f>IFERROR(__xludf.DUMMYFUNCTION("""COMPUTED_VALUE"""),"RSC001382")</f>
        <v>RSC001382</v>
      </c>
      <c r="B1383" s="41" t="str">
        <f>IFERROR(__xludf.DUMMYFUNCTION("""COMPUTED_VALUE"""),"jf.jeff.jeffy/x1_be_fire")</f>
        <v>jf.jeff.jeffy/x1_be_fire</v>
      </c>
    </row>
    <row r="1384">
      <c r="A1384" s="41" t="str">
        <f>IFERROR(__xludf.DUMMYFUNCTION("""COMPUTED_VALUE"""),"RSC001383")</f>
        <v>RSC001383</v>
      </c>
      <c r="B1384" s="41" t="str">
        <f>IFERROR(__xludf.DUMMYFUNCTION("""COMPUTED_VALUE"""),"Jilith")</f>
        <v>Jilith</v>
      </c>
    </row>
    <row r="1385">
      <c r="A1385" s="41" t="str">
        <f>IFERROR(__xludf.DUMMYFUNCTION("""COMPUTED_VALUE"""),"RSC001384")</f>
        <v>RSC001384</v>
      </c>
      <c r="B1385" s="41" t="str">
        <f>IFERROR(__xludf.DUMMYFUNCTION("""COMPUTED_VALUE"""),"jimothy")</f>
        <v>jimothy</v>
      </c>
    </row>
    <row r="1386">
      <c r="A1386" s="41" t="str">
        <f>IFERROR(__xludf.DUMMYFUNCTION("""COMPUTED_VALUE"""),"RSC001385")</f>
        <v>RSC001385</v>
      </c>
      <c r="B1386" s="41" t="str">
        <f>IFERROR(__xludf.DUMMYFUNCTION("""COMPUTED_VALUE"""),"Jintz")</f>
        <v>Jintz</v>
      </c>
    </row>
    <row r="1387">
      <c r="A1387" s="41" t="str">
        <f>IFERROR(__xludf.DUMMYFUNCTION("""COMPUTED_VALUE"""),"RSC001386")</f>
        <v>RSC001386</v>
      </c>
      <c r="B1387" s="41" t="str">
        <f>IFERROR(__xludf.DUMMYFUNCTION("""COMPUTED_VALUE"""),"jjanh")</f>
        <v>jjanh</v>
      </c>
    </row>
    <row r="1388">
      <c r="A1388" s="41" t="str">
        <f>IFERROR(__xludf.DUMMYFUNCTION("""COMPUTED_VALUE"""),"RSC001387")</f>
        <v>RSC001387</v>
      </c>
      <c r="B1388" s="41" t="str">
        <f>IFERROR(__xludf.DUMMYFUNCTION("""COMPUTED_VALUE"""),"JKfoshizzle")</f>
        <v>JKfoshizzle</v>
      </c>
    </row>
    <row r="1389">
      <c r="A1389" s="41" t="str">
        <f>IFERROR(__xludf.DUMMYFUNCTION("""COMPUTED_VALUE"""),"RSC001388")</f>
        <v>RSC001388</v>
      </c>
      <c r="B1389" s="41" t="str">
        <f>IFERROR(__xludf.DUMMYFUNCTION("""COMPUTED_VALUE"""),"Jobin.")</f>
        <v>Jobin.</v>
      </c>
    </row>
    <row r="1390">
      <c r="A1390" s="41" t="str">
        <f>IFERROR(__xludf.DUMMYFUNCTION("""COMPUTED_VALUE"""),"RSC001389")</f>
        <v>RSC001389</v>
      </c>
      <c r="B1390" s="41" t="str">
        <f>IFERROR(__xludf.DUMMYFUNCTION("""COMPUTED_VALUE"""),"Joe-willie")</f>
        <v>Joe-willie</v>
      </c>
    </row>
    <row r="1391">
      <c r="A1391" s="41" t="str">
        <f>IFERROR(__xludf.DUMMYFUNCTION("""COMPUTED_VALUE"""),"RSC001390")</f>
        <v>RSC001390</v>
      </c>
      <c r="B1391" s="41" t="str">
        <f>IFERROR(__xludf.DUMMYFUNCTION("""COMPUTED_VALUE"""),"JoelStankyLegs")</f>
        <v>JoelStankyLegs</v>
      </c>
    </row>
    <row r="1392">
      <c r="A1392" s="41" t="str">
        <f>IFERROR(__xludf.DUMMYFUNCTION("""COMPUTED_VALUE"""),"RSC001391")</f>
        <v>RSC001391</v>
      </c>
      <c r="B1392" s="41" t="str">
        <f>IFERROR(__xludf.DUMMYFUNCTION("""COMPUTED_VALUE"""),"JoeSensei")</f>
        <v>JoeSensei</v>
      </c>
    </row>
    <row r="1393">
      <c r="A1393" s="41" t="str">
        <f>IFERROR(__xludf.DUMMYFUNCTION("""COMPUTED_VALUE"""),"RSC001392")</f>
        <v>RSC001392</v>
      </c>
      <c r="B1393" s="41" t="str">
        <f>IFERROR(__xludf.DUMMYFUNCTION("""COMPUTED_VALUE"""),"JohnWilkesBoost")</f>
        <v>JohnWilkesBoost</v>
      </c>
    </row>
    <row r="1394">
      <c r="A1394" s="41" t="str">
        <f>IFERROR(__xludf.DUMMYFUNCTION("""COMPUTED_VALUE"""),"RSC001393")</f>
        <v>RSC001393</v>
      </c>
      <c r="B1394" s="41" t="str">
        <f>IFERROR(__xludf.DUMMYFUNCTION("""COMPUTED_VALUE"""),"Joosh")</f>
        <v>Joosh</v>
      </c>
    </row>
    <row r="1395">
      <c r="A1395" s="41" t="str">
        <f>IFERROR(__xludf.DUMMYFUNCTION("""COMPUTED_VALUE"""),"RSC001394")</f>
        <v>RSC001394</v>
      </c>
      <c r="B1395" s="41" t="str">
        <f>IFERROR(__xludf.DUMMYFUNCTION("""COMPUTED_VALUE"""),"JordanMG")</f>
        <v>JordanMG</v>
      </c>
    </row>
    <row r="1396">
      <c r="A1396" s="41" t="str">
        <f>IFERROR(__xludf.DUMMYFUNCTION("""COMPUTED_VALUE"""),"RSC001395")</f>
        <v>RSC001395</v>
      </c>
      <c r="B1396" s="41" t="str">
        <f>IFERROR(__xludf.DUMMYFUNCTION("""COMPUTED_VALUE"""),"Joyryde")</f>
        <v>Joyryde</v>
      </c>
    </row>
    <row r="1397">
      <c r="A1397" s="41" t="str">
        <f>IFERROR(__xludf.DUMMYFUNCTION("""COMPUTED_VALUE"""),"RSC001396")</f>
        <v>RSC001396</v>
      </c>
      <c r="B1397" s="41" t="str">
        <f>IFERROR(__xludf.DUMMYFUNCTION("""COMPUTED_VALUE"""),"JR")</f>
        <v>JR</v>
      </c>
    </row>
    <row r="1398">
      <c r="A1398" s="41" t="str">
        <f>IFERROR(__xludf.DUMMYFUNCTION("""COMPUTED_VALUE"""),"RSC001397")</f>
        <v>RSC001397</v>
      </c>
      <c r="B1398" s="41" t="str">
        <f>IFERROR(__xludf.DUMMYFUNCTION("""COMPUTED_VALUE"""),"JRoja")</f>
        <v>JRoja</v>
      </c>
    </row>
    <row r="1399">
      <c r="A1399" s="41" t="str">
        <f>IFERROR(__xludf.DUMMYFUNCTION("""COMPUTED_VALUE"""),"RSC001398")</f>
        <v>RSC001398</v>
      </c>
      <c r="B1399" s="41" t="str">
        <f>IFERROR(__xludf.DUMMYFUNCTION("""COMPUTED_VALUE"""),"JSTN_CRDBL")</f>
        <v>JSTN_CRDBL</v>
      </c>
    </row>
    <row r="1400">
      <c r="A1400" s="41" t="str">
        <f>IFERROR(__xludf.DUMMYFUNCTION("""COMPUTED_VALUE"""),"RSC001399")</f>
        <v>RSC001399</v>
      </c>
      <c r="B1400" s="41" t="str">
        <f>IFERROR(__xludf.DUMMYFUNCTION("""COMPUTED_VALUE"""),"Jthyn")</f>
        <v>Jthyn</v>
      </c>
    </row>
    <row r="1401">
      <c r="A1401" s="41" t="str">
        <f>IFERROR(__xludf.DUMMYFUNCTION("""COMPUTED_VALUE"""),"RSC001400")</f>
        <v>RSC001400</v>
      </c>
      <c r="B1401" s="41" t="str">
        <f>IFERROR(__xludf.DUMMYFUNCTION("""COMPUTED_VALUE"""),"Juan")</f>
        <v>Juan</v>
      </c>
    </row>
    <row r="1402">
      <c r="A1402" s="41" t="str">
        <f>IFERROR(__xludf.DUMMYFUNCTION("""COMPUTED_VALUE"""),"RSC001401")</f>
        <v>RSC001401</v>
      </c>
      <c r="B1402" s="41" t="str">
        <f>IFERROR(__xludf.DUMMYFUNCTION("""COMPUTED_VALUE"""),"Judd")</f>
        <v>Judd</v>
      </c>
    </row>
    <row r="1403">
      <c r="A1403" s="41" t="str">
        <f>IFERROR(__xludf.DUMMYFUNCTION("""COMPUTED_VALUE"""),"RSC001402")</f>
        <v>RSC001402</v>
      </c>
      <c r="B1403" s="41" t="str">
        <f>IFERROR(__xludf.DUMMYFUNCTION("""COMPUTED_VALUE"""),"juno")</f>
        <v>juno</v>
      </c>
    </row>
    <row r="1404">
      <c r="A1404" s="41" t="str">
        <f>IFERROR(__xludf.DUMMYFUNCTION("""COMPUTED_VALUE"""),"RSC001403")</f>
        <v>RSC001403</v>
      </c>
      <c r="B1404" s="41" t="str">
        <f>IFERROR(__xludf.DUMMYFUNCTION("""COMPUTED_VALUE"""),"Justify")</f>
        <v>Justify</v>
      </c>
    </row>
    <row r="1405">
      <c r="A1405" s="41" t="str">
        <f>IFERROR(__xludf.DUMMYFUNCTION("""COMPUTED_VALUE"""),"RSC001404")</f>
        <v>RSC001404</v>
      </c>
      <c r="B1405" s="41" t="str">
        <f>IFERROR(__xludf.DUMMYFUNCTION("""COMPUTED_VALUE"""),"K2_KingWolf833")</f>
        <v>K2_KingWolf833</v>
      </c>
    </row>
    <row r="1406">
      <c r="A1406" s="41" t="str">
        <f>IFERROR(__xludf.DUMMYFUNCTION("""COMPUTED_VALUE"""),"RSC001405")</f>
        <v>RSC001405</v>
      </c>
      <c r="B1406" s="41" t="str">
        <f>IFERROR(__xludf.DUMMYFUNCTION("""COMPUTED_VALUE"""),"k8")</f>
        <v>k8</v>
      </c>
    </row>
    <row r="1407">
      <c r="A1407" s="41" t="str">
        <f>IFERROR(__xludf.DUMMYFUNCTION("""COMPUTED_VALUE"""),"RSC001406")</f>
        <v>RSC001406</v>
      </c>
      <c r="B1407" s="41" t="str">
        <f>IFERROR(__xludf.DUMMYFUNCTION("""COMPUTED_VALUE"""),"Kadu")</f>
        <v>Kadu</v>
      </c>
    </row>
    <row r="1408">
      <c r="A1408" s="41" t="str">
        <f>IFERROR(__xludf.DUMMYFUNCTION("""COMPUTED_VALUE"""),"RSC001407")</f>
        <v>RSC001407</v>
      </c>
      <c r="B1408" s="41" t="str">
        <f>IFERROR(__xludf.DUMMYFUNCTION("""COMPUTED_VALUE"""),"kakutani")</f>
        <v>kakutani</v>
      </c>
    </row>
    <row r="1409">
      <c r="A1409" s="41" t="str">
        <f>IFERROR(__xludf.DUMMYFUNCTION("""COMPUTED_VALUE"""),"RSC001408")</f>
        <v>RSC001408</v>
      </c>
      <c r="B1409" s="41" t="str">
        <f>IFERROR(__xludf.DUMMYFUNCTION("""COMPUTED_VALUE"""),"kartracer")</f>
        <v>kartracer</v>
      </c>
    </row>
    <row r="1410">
      <c r="A1410" s="41" t="str">
        <f>IFERROR(__xludf.DUMMYFUNCTION("""COMPUTED_VALUE"""),"RSC001409")</f>
        <v>RSC001409</v>
      </c>
      <c r="B1410" s="41" t="str">
        <f>IFERROR(__xludf.DUMMYFUNCTION("""COMPUTED_VALUE"""),"kccolts81")</f>
        <v>kccolts81</v>
      </c>
    </row>
    <row r="1411">
      <c r="A1411" s="41" t="str">
        <f>IFERROR(__xludf.DUMMYFUNCTION("""COMPUTED_VALUE"""),"RSC001410")</f>
        <v>RSC001410</v>
      </c>
      <c r="B1411" s="41" t="str">
        <f>IFERROR(__xludf.DUMMYFUNCTION("""COMPUTED_VALUE"""),"KD35BEASTNATION")</f>
        <v>KD35BEASTNATION</v>
      </c>
    </row>
    <row r="1412">
      <c r="A1412" s="41" t="str">
        <f>IFERROR(__xludf.DUMMYFUNCTION("""COMPUTED_VALUE"""),"RSC001411")</f>
        <v>RSC001411</v>
      </c>
      <c r="B1412" s="41" t="str">
        <f>IFERROR(__xludf.DUMMYFUNCTION("""COMPUTED_VALUE"""),"Keen69")</f>
        <v>Keen69</v>
      </c>
    </row>
    <row r="1413">
      <c r="A1413" s="41" t="str">
        <f>IFERROR(__xludf.DUMMYFUNCTION("""COMPUTED_VALUE"""),"RSC001412")</f>
        <v>RSC001412</v>
      </c>
      <c r="B1413" s="41" t="str">
        <f>IFERROR(__xludf.DUMMYFUNCTION("""COMPUTED_VALUE"""),"kendallwb1")</f>
        <v>kendallwb1</v>
      </c>
    </row>
    <row r="1414">
      <c r="A1414" s="41" t="str">
        <f>IFERROR(__xludf.DUMMYFUNCTION("""COMPUTED_VALUE"""),"RSC001413")</f>
        <v>RSC001413</v>
      </c>
      <c r="B1414" s="41" t="str">
        <f>IFERROR(__xludf.DUMMYFUNCTION("""COMPUTED_VALUE"""),"Keppage43")</f>
        <v>Keppage43</v>
      </c>
    </row>
    <row r="1415">
      <c r="A1415" s="41" t="str">
        <f>IFERROR(__xludf.DUMMYFUNCTION("""COMPUTED_VALUE"""),"RSC001414")</f>
        <v>RSC001414</v>
      </c>
      <c r="B1415" s="41" t="str">
        <f>IFERROR(__xludf.DUMMYFUNCTION("""COMPUTED_VALUE"""),"KiCKER")</f>
        <v>KiCKER</v>
      </c>
    </row>
    <row r="1416">
      <c r="A1416" s="41" t="str">
        <f>IFERROR(__xludf.DUMMYFUNCTION("""COMPUTED_VALUE"""),"RSC001415")</f>
        <v>RSC001415</v>
      </c>
      <c r="B1416" s="41" t="str">
        <f>IFERROR(__xludf.DUMMYFUNCTION("""COMPUTED_VALUE"""),"Kiimmmiiii☆")</f>
        <v>Kiimmmiiii☆</v>
      </c>
    </row>
    <row r="1417">
      <c r="A1417" s="41" t="str">
        <f>IFERROR(__xludf.DUMMYFUNCTION("""COMPUTED_VALUE"""),"RSC001416")</f>
        <v>RSC001416</v>
      </c>
      <c r="B1417" s="41" t="str">
        <f>IFERROR(__xludf.DUMMYFUNCTION("""COMPUTED_VALUE"""),"Kilo")</f>
        <v>Kilo</v>
      </c>
    </row>
    <row r="1418">
      <c r="A1418" s="41" t="str">
        <f>IFERROR(__xludf.DUMMYFUNCTION("""COMPUTED_VALUE"""),"RSC001417")</f>
        <v>RSC001417</v>
      </c>
      <c r="B1418" s="41" t="str">
        <f>IFERROR(__xludf.DUMMYFUNCTION("""COMPUTED_VALUE"""),"KimJongDeux")</f>
        <v>KimJongDeux</v>
      </c>
    </row>
    <row r="1419">
      <c r="A1419" s="41" t="str">
        <f>IFERROR(__xludf.DUMMYFUNCTION("""COMPUTED_VALUE"""),"RSC001418")</f>
        <v>RSC001418</v>
      </c>
      <c r="B1419" s="41" t="str">
        <f>IFERROR(__xludf.DUMMYFUNCTION("""COMPUTED_VALUE"""),"Kingmaan")</f>
        <v>Kingmaan</v>
      </c>
    </row>
    <row r="1420">
      <c r="A1420" s="41" t="str">
        <f>IFERROR(__xludf.DUMMYFUNCTION("""COMPUTED_VALUE"""),"RSC001419")</f>
        <v>RSC001419</v>
      </c>
      <c r="B1420" s="41" t="str">
        <f>IFERROR(__xludf.DUMMYFUNCTION("""COMPUTED_VALUE"""),"Kirby Griffin")</f>
        <v>Kirby Griffin</v>
      </c>
    </row>
    <row r="1421">
      <c r="A1421" s="41" t="str">
        <f>IFERROR(__xludf.DUMMYFUNCTION("""COMPUTED_VALUE"""),"RSC001420")</f>
        <v>RSC001420</v>
      </c>
      <c r="B1421" s="41" t="str">
        <f>IFERROR(__xludf.DUMMYFUNCTION("""COMPUTED_VALUE"""),"KittenDuck")</f>
        <v>KittenDuck</v>
      </c>
    </row>
    <row r="1422">
      <c r="A1422" s="41" t="str">
        <f>IFERROR(__xludf.DUMMYFUNCTION("""COMPUTED_VALUE"""),"RSC001421")</f>
        <v>RSC001421</v>
      </c>
      <c r="B1422" s="41" t="str">
        <f>IFERROR(__xludf.DUMMYFUNCTION("""COMPUTED_VALUE"""),"KlarityK")</f>
        <v>KlarityK</v>
      </c>
    </row>
    <row r="1423">
      <c r="A1423" s="41" t="str">
        <f>IFERROR(__xludf.DUMMYFUNCTION("""COMPUTED_VALUE"""),"RSC001422")</f>
        <v>RSC001422</v>
      </c>
      <c r="B1423" s="41" t="str">
        <f>IFERROR(__xludf.DUMMYFUNCTION("""COMPUTED_VALUE"""),"klutzee")</f>
        <v>klutzee</v>
      </c>
    </row>
    <row r="1424">
      <c r="A1424" s="41" t="str">
        <f>IFERROR(__xludf.DUMMYFUNCTION("""COMPUTED_VALUE"""),"RSC001423")</f>
        <v>RSC001423</v>
      </c>
      <c r="B1424" s="41" t="str">
        <f>IFERROR(__xludf.DUMMYFUNCTION("""COMPUTED_VALUE"""),"kn0wah.")</f>
        <v>kn0wah.</v>
      </c>
    </row>
    <row r="1425">
      <c r="A1425" s="41" t="str">
        <f>IFERROR(__xludf.DUMMYFUNCTION("""COMPUTED_VALUE"""),"RSC001424")</f>
        <v>RSC001424</v>
      </c>
      <c r="B1425" s="41" t="str">
        <f>IFERROR(__xludf.DUMMYFUNCTION("""COMPUTED_VALUE"""),"Knees")</f>
        <v>Knees</v>
      </c>
    </row>
    <row r="1426">
      <c r="A1426" s="41" t="str">
        <f>IFERROR(__xludf.DUMMYFUNCTION("""COMPUTED_VALUE"""),"RSC001425")</f>
        <v>RSC001425</v>
      </c>
      <c r="B1426" s="41" t="str">
        <f>IFERROR(__xludf.DUMMYFUNCTION("""COMPUTED_VALUE"""),"knightspride21")</f>
        <v>knightspride21</v>
      </c>
    </row>
    <row r="1427">
      <c r="A1427" s="41" t="str">
        <f>IFERROR(__xludf.DUMMYFUNCTION("""COMPUTED_VALUE"""),"RSC001426")</f>
        <v>RSC001426</v>
      </c>
      <c r="B1427" s="41" t="str">
        <f>IFERROR(__xludf.DUMMYFUNCTION("""COMPUTED_VALUE"""),"Koaltrain07")</f>
        <v>Koaltrain07</v>
      </c>
    </row>
    <row r="1428">
      <c r="A1428" s="41" t="str">
        <f>IFERROR(__xludf.DUMMYFUNCTION("""COMPUTED_VALUE"""),"RSC001427")</f>
        <v>RSC001427</v>
      </c>
      <c r="B1428" s="41" t="str">
        <f>IFERROR(__xludf.DUMMYFUNCTION("""COMPUTED_VALUE"""),"Komet")</f>
        <v>Komet</v>
      </c>
    </row>
    <row r="1429">
      <c r="A1429" s="41" t="str">
        <f>IFERROR(__xludf.DUMMYFUNCTION("""COMPUTED_VALUE"""),"RSC001428")</f>
        <v>RSC001428</v>
      </c>
      <c r="B1429" s="41" t="str">
        <f>IFERROR(__xludf.DUMMYFUNCTION("""COMPUTED_VALUE"""),"Kontoris")</f>
        <v>Kontoris</v>
      </c>
    </row>
    <row r="1430">
      <c r="A1430" s="41" t="str">
        <f>IFERROR(__xludf.DUMMYFUNCTION("""COMPUTED_VALUE"""),"RSC001429")</f>
        <v>RSC001429</v>
      </c>
      <c r="B1430" s="41" t="str">
        <f>IFERROR(__xludf.DUMMYFUNCTION("""COMPUTED_VALUE"""),"Kootenay Dean")</f>
        <v>Kootenay Dean</v>
      </c>
    </row>
    <row r="1431">
      <c r="A1431" s="41" t="str">
        <f>IFERROR(__xludf.DUMMYFUNCTION("""COMPUTED_VALUE"""),"RSC001430")</f>
        <v>RSC001430</v>
      </c>
      <c r="B1431" s="41" t="str">
        <f>IFERROR(__xludf.DUMMYFUNCTION("""COMPUTED_VALUE"""),"Korsa")</f>
        <v>Korsa</v>
      </c>
    </row>
    <row r="1432">
      <c r="A1432" s="41" t="str">
        <f>IFERROR(__xludf.DUMMYFUNCTION("""COMPUTED_VALUE"""),"RSC001431")</f>
        <v>RSC001431</v>
      </c>
      <c r="B1432" s="41" t="str">
        <f>IFERROR(__xludf.DUMMYFUNCTION("""COMPUTED_VALUE"""),"Kos2jz")</f>
        <v>Kos2jz</v>
      </c>
    </row>
    <row r="1433">
      <c r="A1433" s="41" t="str">
        <f>IFERROR(__xludf.DUMMYFUNCTION("""COMPUTED_VALUE"""),"RSC001432")</f>
        <v>RSC001432</v>
      </c>
      <c r="B1433" s="41" t="str">
        <f>IFERROR(__xludf.DUMMYFUNCTION("""COMPUTED_VALUE"""),"kozaky")</f>
        <v>kozaky</v>
      </c>
    </row>
    <row r="1434">
      <c r="A1434" s="41" t="str">
        <f>IFERROR(__xludf.DUMMYFUNCTION("""COMPUTED_VALUE"""),"RSC001433")</f>
        <v>RSC001433</v>
      </c>
      <c r="B1434" s="41" t="str">
        <f>IFERROR(__xludf.DUMMYFUNCTION("""COMPUTED_VALUE"""),"Koztum")</f>
        <v>Koztum</v>
      </c>
    </row>
    <row r="1435">
      <c r="A1435" s="41" t="str">
        <f>IFERROR(__xludf.DUMMYFUNCTION("""COMPUTED_VALUE"""),"RSC001434")</f>
        <v>RSC001434</v>
      </c>
      <c r="B1435" s="41" t="str">
        <f>IFERROR(__xludf.DUMMYFUNCTION("""COMPUTED_VALUE"""),"Kozy")</f>
        <v>Kozy</v>
      </c>
    </row>
    <row r="1436">
      <c r="A1436" s="41" t="str">
        <f>IFERROR(__xludf.DUMMYFUNCTION("""COMPUTED_VALUE"""),"RSC001435")</f>
        <v>RSC001435</v>
      </c>
      <c r="B1436" s="41" t="str">
        <f>IFERROR(__xludf.DUMMYFUNCTION("""COMPUTED_VALUE"""),"Kranne")</f>
        <v>Kranne</v>
      </c>
    </row>
    <row r="1437">
      <c r="A1437" s="41" t="str">
        <f>IFERROR(__xludf.DUMMYFUNCTION("""COMPUTED_VALUE"""),"RSC001436")</f>
        <v>RSC001436</v>
      </c>
      <c r="B1437" s="41" t="str">
        <f>IFERROR(__xludf.DUMMYFUNCTION("""COMPUTED_VALUE"""),"Kreechur")</f>
        <v>Kreechur</v>
      </c>
    </row>
    <row r="1438">
      <c r="A1438" s="41" t="str">
        <f>IFERROR(__xludf.DUMMYFUNCTION("""COMPUTED_VALUE"""),"RSC001437")</f>
        <v>RSC001437</v>
      </c>
      <c r="B1438" s="41" t="str">
        <f>IFERROR(__xludf.DUMMYFUNCTION("""COMPUTED_VALUE"""),"Kunics")</f>
        <v>Kunics</v>
      </c>
    </row>
    <row r="1439">
      <c r="A1439" s="41" t="str">
        <f>IFERROR(__xludf.DUMMYFUNCTION("""COMPUTED_VALUE"""),"RSC001438")</f>
        <v>RSC001438</v>
      </c>
      <c r="B1439" s="41" t="str">
        <f>IFERROR(__xludf.DUMMYFUNCTION("""COMPUTED_VALUE"""),"Kuunalem")</f>
        <v>Kuunalem</v>
      </c>
    </row>
    <row r="1440">
      <c r="A1440" s="41" t="str">
        <f>IFERROR(__xludf.DUMMYFUNCTION("""COMPUTED_VALUE"""),"RSC001439")</f>
        <v>RSC001439</v>
      </c>
      <c r="B1440" s="41" t="str">
        <f>IFERROR(__xludf.DUMMYFUNCTION("""COMPUTED_VALUE"""),"Kydd Amigo")</f>
        <v>Kydd Amigo</v>
      </c>
    </row>
    <row r="1441">
      <c r="A1441" s="41" t="str">
        <f>IFERROR(__xludf.DUMMYFUNCTION("""COMPUTED_VALUE"""),"RSC001440")</f>
        <v>RSC001440</v>
      </c>
      <c r="B1441" s="41" t="str">
        <f>IFERROR(__xludf.DUMMYFUNCTION("""COMPUTED_VALUE"""),"Kyomae")</f>
        <v>Kyomae</v>
      </c>
    </row>
    <row r="1442">
      <c r="A1442" s="41" t="str">
        <f>IFERROR(__xludf.DUMMYFUNCTION("""COMPUTED_VALUE"""),"RSC001441")</f>
        <v>RSC001441</v>
      </c>
      <c r="B1442" s="41" t="str">
        <f>IFERROR(__xludf.DUMMYFUNCTION("""COMPUTED_VALUE"""),"Wind")</f>
        <v>Wind</v>
      </c>
    </row>
    <row r="1443">
      <c r="A1443" s="41" t="str">
        <f>IFERROR(__xludf.DUMMYFUNCTION("""COMPUTED_VALUE"""),"RSC001442")</f>
        <v>RSC001442</v>
      </c>
      <c r="B1443" s="41" t="str">
        <f>IFERROR(__xludf.DUMMYFUNCTION("""COMPUTED_VALUE"""),"lakesnake223")</f>
        <v>lakesnake223</v>
      </c>
    </row>
    <row r="1444">
      <c r="A1444" s="41" t="str">
        <f>IFERROR(__xludf.DUMMYFUNCTION("""COMPUTED_VALUE"""),"RSC001443")</f>
        <v>RSC001443</v>
      </c>
      <c r="B1444" s="41" t="str">
        <f>IFERROR(__xludf.DUMMYFUNCTION("""COMPUTED_VALUE"""),"Lambino")</f>
        <v>Lambino</v>
      </c>
    </row>
    <row r="1445">
      <c r="A1445" s="41" t="str">
        <f>IFERROR(__xludf.DUMMYFUNCTION("""COMPUTED_VALUE"""),"RSC001444")</f>
        <v>RSC001444</v>
      </c>
      <c r="B1445" s="41" t="str">
        <f>IFERROR(__xludf.DUMMYFUNCTION("""COMPUTED_VALUE"""),"Lays")</f>
        <v>Lays</v>
      </c>
    </row>
    <row r="1446">
      <c r="A1446" s="41" t="str">
        <f>IFERROR(__xludf.DUMMYFUNCTION("""COMPUTED_VALUE"""),"RSC001445")</f>
        <v>RSC001445</v>
      </c>
      <c r="B1446" s="41" t="str">
        <f>IFERROR(__xludf.DUMMYFUNCTION("""COMPUTED_VALUE"""),"Leckel")</f>
        <v>Leckel</v>
      </c>
    </row>
    <row r="1447">
      <c r="A1447" s="41" t="str">
        <f>IFERROR(__xludf.DUMMYFUNCTION("""COMPUTED_VALUE"""),"RSC001446")</f>
        <v>RSC001446</v>
      </c>
      <c r="B1447" s="41" t="str">
        <f>IFERROR(__xludf.DUMMYFUNCTION("""COMPUTED_VALUE"""),"Leerg")</f>
        <v>Leerg</v>
      </c>
    </row>
    <row r="1448">
      <c r="A1448" s="41" t="str">
        <f>IFERROR(__xludf.DUMMYFUNCTION("""COMPUTED_VALUE"""),"RSC001447")</f>
        <v>RSC001447</v>
      </c>
      <c r="B1448" s="41" t="str">
        <f>IFERROR(__xludf.DUMMYFUNCTION("""COMPUTED_VALUE"""),"LemonJuice")</f>
        <v>LemonJuice</v>
      </c>
    </row>
    <row r="1449">
      <c r="A1449" s="41" t="str">
        <f>IFERROR(__xludf.DUMMYFUNCTION("""COMPUTED_VALUE"""),"RSC001448")</f>
        <v>RSC001448</v>
      </c>
      <c r="B1449" s="41" t="str">
        <f>IFERROR(__xludf.DUMMYFUNCTION("""COMPUTED_VALUE"""),"Lethality Ben")</f>
        <v>Lethality Ben</v>
      </c>
    </row>
    <row r="1450">
      <c r="A1450" s="41" t="str">
        <f>IFERROR(__xludf.DUMMYFUNCTION("""COMPUTED_VALUE"""),"RSC001449")</f>
        <v>RSC001449</v>
      </c>
      <c r="B1450" s="41" t="str">
        <f>IFERROR(__xludf.DUMMYFUNCTION("""COMPUTED_VALUE"""),"AhhLex")</f>
        <v>AhhLex</v>
      </c>
    </row>
    <row r="1451">
      <c r="A1451" s="41" t="str">
        <f>IFERROR(__xludf.DUMMYFUNCTION("""COMPUTED_VALUE"""),"RSC001450")</f>
        <v>RSC001450</v>
      </c>
      <c r="B1451" s="41" t="str">
        <f>IFERROR(__xludf.DUMMYFUNCTION("""COMPUTED_VALUE"""),"LieutenantSolo")</f>
        <v>LieutenantSolo</v>
      </c>
    </row>
    <row r="1452">
      <c r="A1452" s="41" t="str">
        <f>IFERROR(__xludf.DUMMYFUNCTION("""COMPUTED_VALUE"""),"RSC001451")</f>
        <v>RSC001451</v>
      </c>
      <c r="B1452" s="41" t="str">
        <f>IFERROR(__xludf.DUMMYFUNCTION("""COMPUTED_VALUE"""),"LightfootLad")</f>
        <v>LightfootLad</v>
      </c>
    </row>
    <row r="1453">
      <c r="A1453" s="41" t="str">
        <f>IFERROR(__xludf.DUMMYFUNCTION("""COMPUTED_VALUE"""),"RSC001452")</f>
        <v>RSC001452</v>
      </c>
      <c r="B1453" s="41" t="str">
        <f>IFERROR(__xludf.DUMMYFUNCTION("""COMPUTED_VALUE"""),"Lil Juicebox")</f>
        <v>Lil Juicebox</v>
      </c>
    </row>
    <row r="1454">
      <c r="A1454" s="41" t="str">
        <f>IFERROR(__xludf.DUMMYFUNCTION("""COMPUTED_VALUE"""),"RSC001453")</f>
        <v>RSC001453</v>
      </c>
      <c r="B1454" s="41" t="str">
        <f>IFERROR(__xludf.DUMMYFUNCTION("""COMPUTED_VALUE"""),"Lil Windchime")</f>
        <v>Lil Windchime</v>
      </c>
    </row>
    <row r="1455">
      <c r="A1455" s="41" t="str">
        <f>IFERROR(__xludf.DUMMYFUNCTION("""COMPUTED_VALUE"""),"RSC001454")</f>
        <v>RSC001454</v>
      </c>
      <c r="B1455" s="41" t="str">
        <f>IFERROR(__xludf.DUMMYFUNCTION("""COMPUTED_VALUE"""),"lilanklecrack062")</f>
        <v>lilanklecrack062</v>
      </c>
    </row>
    <row r="1456">
      <c r="A1456" s="41" t="str">
        <f>IFERROR(__xludf.DUMMYFUNCTION("""COMPUTED_VALUE"""),"RSC001455")</f>
        <v>RSC001455</v>
      </c>
      <c r="B1456" s="41" t="str">
        <f>IFERROR(__xludf.DUMMYFUNCTION("""COMPUTED_VALUE"""),"LiveWire73")</f>
        <v>LiveWire73</v>
      </c>
    </row>
    <row r="1457">
      <c r="A1457" s="41" t="str">
        <f>IFERROR(__xludf.DUMMYFUNCTION("""COMPUTED_VALUE"""),"RSC001456")</f>
        <v>RSC001456</v>
      </c>
      <c r="B1457" s="41" t="str">
        <f>IFERROR(__xludf.DUMMYFUNCTION("""COMPUTED_VALUE"""),"LoadedSmack")</f>
        <v>LoadedSmack</v>
      </c>
    </row>
    <row r="1458">
      <c r="A1458" s="41" t="str">
        <f>IFERROR(__xludf.DUMMYFUNCTION("""COMPUTED_VALUE"""),"RSC001457")</f>
        <v>RSC001457</v>
      </c>
      <c r="B1458" s="41" t="str">
        <f>IFERROR(__xludf.DUMMYFUNCTION("""COMPUTED_VALUE"""),"Roman.")</f>
        <v>Roman.</v>
      </c>
    </row>
    <row r="1459">
      <c r="A1459" s="41" t="str">
        <f>IFERROR(__xludf.DUMMYFUNCTION("""COMPUTED_VALUE"""),"RSC001458")</f>
        <v>RSC001458</v>
      </c>
      <c r="B1459" s="41" t="str">
        <f>IFERROR(__xludf.DUMMYFUNCTION("""COMPUTED_VALUE"""),"Lone")</f>
        <v>Lone</v>
      </c>
    </row>
    <row r="1460">
      <c r="A1460" s="41" t="str">
        <f>IFERROR(__xludf.DUMMYFUNCTION("""COMPUTED_VALUE"""),"RSC001459")</f>
        <v>RSC001459</v>
      </c>
      <c r="B1460" s="41" t="str">
        <f>IFERROR(__xludf.DUMMYFUNCTION("""COMPUTED_VALUE"""),"Lt_Col_Thorin")</f>
        <v>Lt_Col_Thorin</v>
      </c>
    </row>
    <row r="1461">
      <c r="A1461" s="41" t="str">
        <f>IFERROR(__xludf.DUMMYFUNCTION("""COMPUTED_VALUE"""),"RSC001460")</f>
        <v>RSC001460</v>
      </c>
      <c r="B1461" s="41" t="str">
        <f>IFERROR(__xludf.DUMMYFUNCTION("""COMPUTED_VALUE"""),"luckytaurus")</f>
        <v>luckytaurus</v>
      </c>
    </row>
    <row r="1462">
      <c r="A1462" s="41" t="str">
        <f>IFERROR(__xludf.DUMMYFUNCTION("""COMPUTED_VALUE"""),"RSC001461")</f>
        <v>RSC001461</v>
      </c>
      <c r="B1462" s="41" t="str">
        <f>IFERROR(__xludf.DUMMYFUNCTION("""COMPUTED_VALUE"""),"Luxur0")</f>
        <v>Luxur0</v>
      </c>
    </row>
    <row r="1463">
      <c r="A1463" s="41" t="str">
        <f>IFERROR(__xludf.DUMMYFUNCTION("""COMPUTED_VALUE"""),"RSC001462")</f>
        <v>RSC001462</v>
      </c>
      <c r="B1463" s="41" t="str">
        <f>IFERROR(__xludf.DUMMYFUNCTION("""COMPUTED_VALUE"""),"MacKen")</f>
        <v>MacKen</v>
      </c>
    </row>
    <row r="1464">
      <c r="A1464" s="41" t="str">
        <f>IFERROR(__xludf.DUMMYFUNCTION("""COMPUTED_VALUE"""),"RSC001463")</f>
        <v>RSC001463</v>
      </c>
      <c r="B1464" s="41" t="str">
        <f>IFERROR(__xludf.DUMMYFUNCTION("""COMPUTED_VALUE"""),"Malularah")</f>
        <v>Malularah</v>
      </c>
    </row>
    <row r="1465">
      <c r="A1465" s="41" t="str">
        <f>IFERROR(__xludf.DUMMYFUNCTION("""COMPUTED_VALUE"""),"RSC001464")</f>
        <v>RSC001464</v>
      </c>
      <c r="B1465" s="41" t="str">
        <f>IFERROR(__xludf.DUMMYFUNCTION("""COMPUTED_VALUE"""),"manaokungpao")</f>
        <v>manaokungpao</v>
      </c>
    </row>
    <row r="1466">
      <c r="A1466" s="41" t="str">
        <f>IFERROR(__xludf.DUMMYFUNCTION("""COMPUTED_VALUE"""),"RSC001465")</f>
        <v>RSC001465</v>
      </c>
      <c r="B1466" s="41" t="str">
        <f>IFERROR(__xludf.DUMMYFUNCTION("""COMPUTED_VALUE"""),"ManiacBison")</f>
        <v>ManiacBison</v>
      </c>
    </row>
    <row r="1467">
      <c r="A1467" s="41" t="str">
        <f>IFERROR(__xludf.DUMMYFUNCTION("""COMPUTED_VALUE"""),"RSC001466")</f>
        <v>RSC001466</v>
      </c>
      <c r="B1467" s="41" t="str">
        <f>IFERROR(__xludf.DUMMYFUNCTION("""COMPUTED_VALUE"""),"manicmarshmello")</f>
        <v>manicmarshmello</v>
      </c>
    </row>
    <row r="1468">
      <c r="A1468" s="41" t="str">
        <f>IFERROR(__xludf.DUMMYFUNCTION("""COMPUTED_VALUE"""),"RSC001467")</f>
        <v>RSC001467</v>
      </c>
      <c r="B1468" s="41" t="str">
        <f>IFERROR(__xludf.DUMMYFUNCTION("""COMPUTED_VALUE"""),"MARKsmanRL")</f>
        <v>MARKsmanRL</v>
      </c>
    </row>
    <row r="1469">
      <c r="A1469" s="41" t="str">
        <f>IFERROR(__xludf.DUMMYFUNCTION("""COMPUTED_VALUE"""),"RSC001468")</f>
        <v>RSC001468</v>
      </c>
      <c r="B1469" s="41" t="str">
        <f>IFERROR(__xludf.DUMMYFUNCTION("""COMPUTED_VALUE"""),"Marshall (new elbow pads)")</f>
        <v>Marshall (new elbow pads)</v>
      </c>
    </row>
    <row r="1470">
      <c r="A1470" s="41" t="str">
        <f>IFERROR(__xludf.DUMMYFUNCTION("""COMPUTED_VALUE"""),"RSC001469")</f>
        <v>RSC001469</v>
      </c>
      <c r="B1470" s="41" t="str">
        <f>IFERROR(__xludf.DUMMYFUNCTION("""COMPUTED_VALUE"""),"Matt")</f>
        <v>Matt</v>
      </c>
    </row>
    <row r="1471">
      <c r="A1471" s="41" t="str">
        <f>IFERROR(__xludf.DUMMYFUNCTION("""COMPUTED_VALUE"""),"RSC001470")</f>
        <v>RSC001470</v>
      </c>
      <c r="B1471" s="41" t="str">
        <f>IFERROR(__xludf.DUMMYFUNCTION("""COMPUTED_VALUE"""),"mc_puff07")</f>
        <v>mc_puff07</v>
      </c>
    </row>
    <row r="1472">
      <c r="A1472" s="41" t="str">
        <f>IFERROR(__xludf.DUMMYFUNCTION("""COMPUTED_VALUE"""),"RSC001471")</f>
        <v>RSC001471</v>
      </c>
      <c r="B1472" s="41" t="str">
        <f>IFERROR(__xludf.DUMMYFUNCTION("""COMPUTED_VALUE"""),"McBoop")</f>
        <v>McBoop</v>
      </c>
    </row>
    <row r="1473">
      <c r="A1473" s="41" t="str">
        <f>IFERROR(__xludf.DUMMYFUNCTION("""COMPUTED_VALUE"""),"RSC001472")</f>
        <v>RSC001472</v>
      </c>
      <c r="B1473" s="41" t="str">
        <f>IFERROR(__xludf.DUMMYFUNCTION("""COMPUTED_VALUE"""),"mccwareagle")</f>
        <v>mccwareagle</v>
      </c>
    </row>
    <row r="1474">
      <c r="A1474" s="41" t="str">
        <f>IFERROR(__xludf.DUMMYFUNCTION("""COMPUTED_VALUE"""),"RSC001473")</f>
        <v>RSC001473</v>
      </c>
      <c r="B1474" s="41" t="str">
        <f>IFERROR(__xludf.DUMMYFUNCTION("""COMPUTED_VALUE"""),"Mcelkin")</f>
        <v>Mcelkin</v>
      </c>
    </row>
    <row r="1475">
      <c r="A1475" s="41" t="str">
        <f>IFERROR(__xludf.DUMMYFUNCTION("""COMPUTED_VALUE"""),"RSC001474")</f>
        <v>RSC001474</v>
      </c>
      <c r="B1475" s="41" t="str">
        <f>IFERROR(__xludf.DUMMYFUNCTION("""COMPUTED_VALUE"""),"McGroom")</f>
        <v>McGroom</v>
      </c>
    </row>
    <row r="1476">
      <c r="A1476" s="41" t="str">
        <f>IFERROR(__xludf.DUMMYFUNCTION("""COMPUTED_VALUE"""),"RSC001475")</f>
        <v>RSC001475</v>
      </c>
      <c r="B1476" s="41" t="str">
        <f>IFERROR(__xludf.DUMMYFUNCTION("""COMPUTED_VALUE"""),"McLeod_9")</f>
        <v>McLeod_9</v>
      </c>
    </row>
    <row r="1477">
      <c r="A1477" s="41" t="str">
        <f>IFERROR(__xludf.DUMMYFUNCTION("""COMPUTED_VALUE"""),"RSC001476")</f>
        <v>RSC001476</v>
      </c>
      <c r="B1477" s="41" t="str">
        <f>IFERROR(__xludf.DUMMYFUNCTION("""COMPUTED_VALUE"""),"Meatrius.")</f>
        <v>Meatrius.</v>
      </c>
    </row>
    <row r="1478">
      <c r="A1478" s="41" t="str">
        <f>IFERROR(__xludf.DUMMYFUNCTION("""COMPUTED_VALUE"""),"RSC001477")</f>
        <v>RSC001477</v>
      </c>
      <c r="B1478" s="41" t="str">
        <f>IFERROR(__xludf.DUMMYFUNCTION("""COMPUTED_VALUE"""),"MeatWad")</f>
        <v>MeatWad</v>
      </c>
    </row>
    <row r="1479">
      <c r="A1479" s="41" t="str">
        <f>IFERROR(__xludf.DUMMYFUNCTION("""COMPUTED_VALUE"""),"RSC001478")</f>
        <v>RSC001478</v>
      </c>
      <c r="B1479" s="41" t="str">
        <f>IFERROR(__xludf.DUMMYFUNCTION("""COMPUTED_VALUE"""),"Medalix")</f>
        <v>Medalix</v>
      </c>
    </row>
    <row r="1480">
      <c r="A1480" s="41" t="str">
        <f>IFERROR(__xludf.DUMMYFUNCTION("""COMPUTED_VALUE"""),"RSC001479")</f>
        <v>RSC001479</v>
      </c>
      <c r="B1480" s="41" t="str">
        <f>IFERROR(__xludf.DUMMYFUNCTION("""COMPUTED_VALUE"""),"MeesterKyle")</f>
        <v>MeesterKyle</v>
      </c>
    </row>
    <row r="1481">
      <c r="A1481" s="41" t="str">
        <f>IFERROR(__xludf.DUMMYFUNCTION("""COMPUTED_VALUE"""),"RSC001480")</f>
        <v>RSC001480</v>
      </c>
      <c r="B1481" s="41" t="str">
        <f>IFERROR(__xludf.DUMMYFUNCTION("""COMPUTED_VALUE"""),"𝕸𝖊𝖌𝖆𝕷𝖔𝖓𝖌")</f>
        <v>𝕸𝖊𝖌𝖆𝕷𝖔𝖓𝖌</v>
      </c>
    </row>
    <row r="1482">
      <c r="A1482" s="41" t="str">
        <f>IFERROR(__xludf.DUMMYFUNCTION("""COMPUTED_VALUE"""),"RSC001481")</f>
        <v>RSC001481</v>
      </c>
      <c r="B1482" s="41" t="str">
        <f>IFERROR(__xludf.DUMMYFUNCTION("""COMPUTED_VALUE"""),"Melo2")</f>
        <v>Melo2</v>
      </c>
    </row>
    <row r="1483">
      <c r="A1483" s="41" t="str">
        <f>IFERROR(__xludf.DUMMYFUNCTION("""COMPUTED_VALUE"""),"RSC001482")</f>
        <v>RSC001482</v>
      </c>
      <c r="B1483" s="41" t="str">
        <f>IFERROR(__xludf.DUMMYFUNCTION("""COMPUTED_VALUE"""),"Mered4")</f>
        <v>Mered4</v>
      </c>
    </row>
    <row r="1484">
      <c r="A1484" s="41" t="str">
        <f>IFERROR(__xludf.DUMMYFUNCTION("""COMPUTED_VALUE"""),"RSC001483")</f>
        <v>RSC001483</v>
      </c>
      <c r="B1484" s="41" t="str">
        <f>IFERROR(__xludf.DUMMYFUNCTION("""COMPUTED_VALUE"""),"Metademon")</f>
        <v>Metademon</v>
      </c>
    </row>
    <row r="1485">
      <c r="A1485" s="41" t="str">
        <f>IFERROR(__xludf.DUMMYFUNCTION("""COMPUTED_VALUE"""),"RSC001484")</f>
        <v>RSC001484</v>
      </c>
      <c r="B1485" s="41" t="str">
        <f>IFERROR(__xludf.DUMMYFUNCTION("""COMPUTED_VALUE"""),"Meteorize")</f>
        <v>Meteorize</v>
      </c>
    </row>
    <row r="1486">
      <c r="A1486" s="41" t="str">
        <f>IFERROR(__xludf.DUMMYFUNCTION("""COMPUTED_VALUE"""),"RSC001485")</f>
        <v>RSC001485</v>
      </c>
      <c r="B1486" s="41" t="str">
        <f>IFERROR(__xludf.DUMMYFUNCTION("""COMPUTED_VALUE"""),"Midnight")</f>
        <v>Midnight</v>
      </c>
    </row>
    <row r="1487">
      <c r="A1487" s="41" t="str">
        <f>IFERROR(__xludf.DUMMYFUNCTION("""COMPUTED_VALUE"""),"RSC001486")</f>
        <v>RSC001486</v>
      </c>
      <c r="B1487" s="41" t="str">
        <f>IFERROR(__xludf.DUMMYFUNCTION("""COMPUTED_VALUE"""),"Mike_Oviedo")</f>
        <v>Mike_Oviedo</v>
      </c>
    </row>
    <row r="1488">
      <c r="A1488" s="41" t="str">
        <f>IFERROR(__xludf.DUMMYFUNCTION("""COMPUTED_VALUE"""),"RSC001487")</f>
        <v>RSC001487</v>
      </c>
      <c r="B1488" s="41" t="str">
        <f>IFERROR(__xludf.DUMMYFUNCTION("""COMPUTED_VALUE"""),"M1ke1sMy1ke")</f>
        <v>M1ke1sMy1ke</v>
      </c>
    </row>
    <row r="1489">
      <c r="A1489" s="41" t="str">
        <f>IFERROR(__xludf.DUMMYFUNCTION("""COMPUTED_VALUE"""),"RSC001488")</f>
        <v>RSC001488</v>
      </c>
      <c r="B1489" s="41" t="str">
        <f>IFERROR(__xludf.DUMMYFUNCTION("""COMPUTED_VALUE"""),"MimiKe")</f>
        <v>MimiKe</v>
      </c>
    </row>
    <row r="1490">
      <c r="A1490" s="41" t="str">
        <f>IFERROR(__xludf.DUMMYFUNCTION("""COMPUTED_VALUE"""),"RSC001489")</f>
        <v>RSC001489</v>
      </c>
      <c r="B1490" s="41" t="str">
        <f>IFERROR(__xludf.DUMMYFUNCTION("""COMPUTED_VALUE"""),"MiniSprat")</f>
        <v>MiniSprat</v>
      </c>
    </row>
    <row r="1491">
      <c r="A1491" s="41" t="str">
        <f>IFERROR(__xludf.DUMMYFUNCTION("""COMPUTED_VALUE"""),"RSC001490")</f>
        <v>RSC001490</v>
      </c>
      <c r="B1491" s="41" t="str">
        <f>IFERROR(__xludf.DUMMYFUNCTION("""COMPUTED_VALUE"""),"Mjp")</f>
        <v>Mjp</v>
      </c>
    </row>
    <row r="1492">
      <c r="A1492" s="41" t="str">
        <f>IFERROR(__xludf.DUMMYFUNCTION("""COMPUTED_VALUE"""),"RSC001491")</f>
        <v>RSC001491</v>
      </c>
      <c r="B1492" s="41" t="str">
        <f>IFERROR(__xludf.DUMMYFUNCTION("""COMPUTED_VALUE"""),"MKi'")</f>
        <v>MKi'</v>
      </c>
    </row>
    <row r="1493">
      <c r="A1493" s="41" t="str">
        <f>IFERROR(__xludf.DUMMYFUNCTION("""COMPUTED_VALUE"""),"RSC001492")</f>
        <v>RSC001492</v>
      </c>
      <c r="B1493" s="41" t="str">
        <f>IFERROR(__xludf.DUMMYFUNCTION("""COMPUTED_VALUE"""),"MoatsArt")</f>
        <v>MoatsArt</v>
      </c>
    </row>
    <row r="1494">
      <c r="A1494" s="41" t="str">
        <f>IFERROR(__xludf.DUMMYFUNCTION("""COMPUTED_VALUE"""),"RSC001493")</f>
        <v>RSC001493</v>
      </c>
      <c r="B1494" s="41" t="str">
        <f>IFERROR(__xludf.DUMMYFUNCTION("""COMPUTED_VALUE"""),"monomax")</f>
        <v>monomax</v>
      </c>
    </row>
    <row r="1495">
      <c r="A1495" s="41" t="str">
        <f>IFERROR(__xludf.DUMMYFUNCTION("""COMPUTED_VALUE"""),"RSC001494")</f>
        <v>RSC001494</v>
      </c>
      <c r="B1495" s="41" t="str">
        <f>IFERROR(__xludf.DUMMYFUNCTION("""COMPUTED_VALUE"""),"MonsterJamers")</f>
        <v>MonsterJamers</v>
      </c>
    </row>
    <row r="1496">
      <c r="A1496" s="41" t="str">
        <f>IFERROR(__xludf.DUMMYFUNCTION("""COMPUTED_VALUE"""),"RSC001495")</f>
        <v>RSC001495</v>
      </c>
      <c r="B1496" s="41" t="str">
        <f>IFERROR(__xludf.DUMMYFUNCTION("""COMPUTED_VALUE"""),"Mootsmcboots")</f>
        <v>Mootsmcboots</v>
      </c>
    </row>
    <row r="1497">
      <c r="A1497" s="41" t="str">
        <f>IFERROR(__xludf.DUMMYFUNCTION("""COMPUTED_VALUE"""),"RSC001496")</f>
        <v>RSC001496</v>
      </c>
      <c r="B1497" s="41" t="str">
        <f>IFERROR(__xludf.DUMMYFUNCTION("""COMPUTED_VALUE"""),"morgan (change)")</f>
        <v>morgan (change)</v>
      </c>
    </row>
    <row r="1498">
      <c r="A1498" s="41" t="str">
        <f>IFERROR(__xludf.DUMMYFUNCTION("""COMPUTED_VALUE"""),"RSC001497")</f>
        <v>RSC001497</v>
      </c>
      <c r="B1498" s="41" t="str">
        <f>IFERROR(__xludf.DUMMYFUNCTION("""COMPUTED_VALUE"""),"Motion")</f>
        <v>Motion</v>
      </c>
    </row>
    <row r="1499">
      <c r="A1499" s="41" t="str">
        <f>IFERROR(__xludf.DUMMYFUNCTION("""COMPUTED_VALUE"""),"RSC001498")</f>
        <v>RSC001498</v>
      </c>
      <c r="B1499" s="41" t="str">
        <f>IFERROR(__xludf.DUMMYFUNCTION("""COMPUTED_VALUE"""),"mr nate goody")</f>
        <v>mr nate goody</v>
      </c>
    </row>
    <row r="1500">
      <c r="A1500" s="41" t="str">
        <f>IFERROR(__xludf.DUMMYFUNCTION("""COMPUTED_VALUE"""),"RSC001499")</f>
        <v>RSC001499</v>
      </c>
      <c r="B1500" s="41" t="str">
        <f>IFERROR(__xludf.DUMMYFUNCTION("""COMPUTED_VALUE"""),"Mr_BuzzLightBeer")</f>
        <v>Mr_BuzzLightBeer</v>
      </c>
    </row>
    <row r="1501">
      <c r="A1501" s="41" t="str">
        <f>IFERROR(__xludf.DUMMYFUNCTION("""COMPUTED_VALUE"""),"RSC001500")</f>
        <v>RSC001500</v>
      </c>
      <c r="B1501" s="41" t="str">
        <f>IFERROR(__xludf.DUMMYFUNCTION("""COMPUTED_VALUE"""),"Mr_Lovette")</f>
        <v>Mr_Lovette</v>
      </c>
    </row>
    <row r="1502">
      <c r="A1502" s="41" t="str">
        <f>IFERROR(__xludf.DUMMYFUNCTION("""COMPUTED_VALUE"""),"RSC001501")</f>
        <v>RSC001501</v>
      </c>
      <c r="B1502" s="41" t="str">
        <f>IFERROR(__xludf.DUMMYFUNCTION("""COMPUTED_VALUE"""),"Konstant")</f>
        <v>Konstant</v>
      </c>
    </row>
    <row r="1503">
      <c r="A1503" s="41" t="str">
        <f>IFERROR(__xludf.DUMMYFUNCTION("""COMPUTED_VALUE"""),"RSC001502")</f>
        <v>RSC001502</v>
      </c>
      <c r="B1503" s="41" t="str">
        <f>IFERROR(__xludf.DUMMYFUNCTION("""COMPUTED_VALUE"""),"neo")</f>
        <v>neo</v>
      </c>
    </row>
    <row r="1504">
      <c r="A1504" s="41" t="str">
        <f>IFERROR(__xludf.DUMMYFUNCTION("""COMPUTED_VALUE"""),"RSC001503")</f>
        <v>RSC001503</v>
      </c>
      <c r="B1504" s="41" t="str">
        <f>IFERROR(__xludf.DUMMYFUNCTION("""COMPUTED_VALUE"""),"Crreeam")</f>
        <v>Crreeam</v>
      </c>
    </row>
    <row r="1505">
      <c r="A1505" s="41" t="str">
        <f>IFERROR(__xludf.DUMMYFUNCTION("""COMPUTED_VALUE"""),"RSC001504")</f>
        <v>RSC001504</v>
      </c>
      <c r="B1505" s="41" t="str">
        <f>IFERROR(__xludf.DUMMYFUNCTION("""COMPUTED_VALUE"""),"mudala")</f>
        <v>mudala</v>
      </c>
    </row>
    <row r="1506">
      <c r="A1506" s="41" t="str">
        <f>IFERROR(__xludf.DUMMYFUNCTION("""COMPUTED_VALUE"""),"RSC001505")</f>
        <v>RSC001505</v>
      </c>
      <c r="B1506" s="41" t="str">
        <f>IFERROR(__xludf.DUMMYFUNCTION("""COMPUTED_VALUE"""),"MuellCity")</f>
        <v>MuellCity</v>
      </c>
    </row>
    <row r="1507">
      <c r="A1507" s="41" t="str">
        <f>IFERROR(__xludf.DUMMYFUNCTION("""COMPUTED_VALUE"""),"RSC001506")</f>
        <v>RSC001506</v>
      </c>
      <c r="B1507" s="41" t="str">
        <f>IFERROR(__xludf.DUMMYFUNCTION("""COMPUTED_VALUE"""),"Muffinz")</f>
        <v>Muffinz</v>
      </c>
    </row>
    <row r="1508">
      <c r="A1508" s="41" t="str">
        <f>IFERROR(__xludf.DUMMYFUNCTION("""COMPUTED_VALUE"""),"RSC001507")</f>
        <v>RSC001507</v>
      </c>
      <c r="B1508" s="41" t="str">
        <f>IFERROR(__xludf.DUMMYFUNCTION("""COMPUTED_VALUE"""),"Muzik Villain")</f>
        <v>Muzik Villain</v>
      </c>
    </row>
    <row r="1509">
      <c r="A1509" s="41" t="str">
        <f>IFERROR(__xludf.DUMMYFUNCTION("""COMPUTED_VALUE"""),"RSC001508")</f>
        <v>RSC001508</v>
      </c>
      <c r="B1509" s="41" t="str">
        <f>IFERROR(__xludf.DUMMYFUNCTION("""COMPUTED_VALUE"""),"N2 the V")</f>
        <v>N2 the V</v>
      </c>
    </row>
    <row r="1510">
      <c r="A1510" s="41" t="str">
        <f>IFERROR(__xludf.DUMMYFUNCTION("""COMPUTED_VALUE"""),"RSC001509")</f>
        <v>RSC001509</v>
      </c>
      <c r="B1510" s="41" t="str">
        <f>IFERROR(__xludf.DUMMYFUNCTION("""COMPUTED_VALUE"""),"nademenader")</f>
        <v>nademenader</v>
      </c>
    </row>
    <row r="1511">
      <c r="A1511" s="41" t="str">
        <f>IFERROR(__xludf.DUMMYFUNCTION("""COMPUTED_VALUE"""),"RSC001510")</f>
        <v>RSC001510</v>
      </c>
      <c r="B1511" s="41" t="str">
        <f>IFERROR(__xludf.DUMMYFUNCTION("""COMPUTED_VALUE"""),"Napalm420")</f>
        <v>Napalm420</v>
      </c>
    </row>
    <row r="1512">
      <c r="A1512" s="41" t="str">
        <f>IFERROR(__xludf.DUMMYFUNCTION("""COMPUTED_VALUE"""),"RSC001511")</f>
        <v>RSC001511</v>
      </c>
      <c r="B1512" s="41" t="str">
        <f>IFERROR(__xludf.DUMMYFUNCTION("""COMPUTED_VALUE"""),"NastyyRL")</f>
        <v>NastyyRL</v>
      </c>
    </row>
    <row r="1513">
      <c r="A1513" s="41" t="str">
        <f>IFERROR(__xludf.DUMMYFUNCTION("""COMPUTED_VALUE"""),"RSC001512")</f>
        <v>RSC001512</v>
      </c>
      <c r="B1513" s="41" t="str">
        <f>IFERROR(__xludf.DUMMYFUNCTION("""COMPUTED_VALUE"""),"Native Killer63")</f>
        <v>Native Killer63</v>
      </c>
    </row>
    <row r="1514">
      <c r="A1514" s="41" t="str">
        <f>IFERROR(__xludf.DUMMYFUNCTION("""COMPUTED_VALUE"""),"RSC001513")</f>
        <v>RSC001513</v>
      </c>
      <c r="B1514" s="41" t="str">
        <f>IFERROR(__xludf.DUMMYFUNCTION("""COMPUTED_VALUE"""),"Navystriker")</f>
        <v>Navystriker</v>
      </c>
    </row>
    <row r="1515">
      <c r="A1515" s="41" t="str">
        <f>IFERROR(__xludf.DUMMYFUNCTION("""COMPUTED_VALUE"""),"RSC001514")</f>
        <v>RSC001514</v>
      </c>
      <c r="B1515" s="41" t="str">
        <f>IFERROR(__xludf.DUMMYFUNCTION("""COMPUTED_VALUE"""),"nebluh")</f>
        <v>nebluh</v>
      </c>
    </row>
    <row r="1516">
      <c r="A1516" s="41" t="str">
        <f>IFERROR(__xludf.DUMMYFUNCTION("""COMPUTED_VALUE"""),"RSC001515")</f>
        <v>RSC001515</v>
      </c>
      <c r="B1516" s="41" t="str">
        <f>IFERROR(__xludf.DUMMYFUNCTION("""COMPUTED_VALUE"""),"Neil")</f>
        <v>Neil</v>
      </c>
    </row>
    <row r="1517">
      <c r="A1517" s="41" t="str">
        <f>IFERROR(__xludf.DUMMYFUNCTION("""COMPUTED_VALUE"""),"RSC001516")</f>
        <v>RSC001516</v>
      </c>
      <c r="B1517" s="41" t="str">
        <f>IFERROR(__xludf.DUMMYFUNCTION("""COMPUTED_VALUE"""),"neiltaylor")</f>
        <v>neiltaylor</v>
      </c>
    </row>
    <row r="1518">
      <c r="A1518" s="41" t="str">
        <f>IFERROR(__xludf.DUMMYFUNCTION("""COMPUTED_VALUE"""),"RSC001517")</f>
        <v>RSC001517</v>
      </c>
      <c r="B1518" s="41" t="str">
        <f>IFERROR(__xludf.DUMMYFUNCTION("""COMPUTED_VALUE"""),"Nemisistic")</f>
        <v>Nemisistic</v>
      </c>
    </row>
    <row r="1519">
      <c r="A1519" s="41" t="str">
        <f>IFERROR(__xludf.DUMMYFUNCTION("""COMPUTED_VALUE"""),"RSC001518")</f>
        <v>RSC001518</v>
      </c>
      <c r="B1519" s="41" t="str">
        <f>IFERROR(__xludf.DUMMYFUNCTION("""COMPUTED_VALUE"""),"Neophite")</f>
        <v>Neophite</v>
      </c>
    </row>
    <row r="1520">
      <c r="A1520" s="41" t="str">
        <f>IFERROR(__xludf.DUMMYFUNCTION("""COMPUTED_VALUE"""),"RSC001519")</f>
        <v>RSC001519</v>
      </c>
      <c r="B1520" s="41" t="str">
        <f>IFERROR(__xludf.DUMMYFUNCTION("""COMPUTED_VALUE"""),"NeverLvcky")</f>
        <v>NeverLvcky</v>
      </c>
    </row>
    <row r="1521">
      <c r="A1521" s="41" t="str">
        <f>IFERROR(__xludf.DUMMYFUNCTION("""COMPUTED_VALUE"""),"RSC001520")</f>
        <v>RSC001520</v>
      </c>
      <c r="B1521" s="41" t="str">
        <f>IFERROR(__xludf.DUMMYFUNCTION("""COMPUTED_VALUE"""),"ngenatt525")</f>
        <v>ngenatt525</v>
      </c>
    </row>
    <row r="1522">
      <c r="A1522" s="41" t="str">
        <f>IFERROR(__xludf.DUMMYFUNCTION("""COMPUTED_VALUE"""),"RSC001521")</f>
        <v>RSC001521</v>
      </c>
      <c r="B1522" s="41" t="str">
        <f>IFERROR(__xludf.DUMMYFUNCTION("""COMPUTED_VALUE"""),"NightPanda")</f>
        <v>NightPanda</v>
      </c>
    </row>
    <row r="1523">
      <c r="A1523" s="41" t="str">
        <f>IFERROR(__xludf.DUMMYFUNCTION("""COMPUTED_VALUE"""),"RSC001522")</f>
        <v>RSC001522</v>
      </c>
      <c r="B1523" s="41" t="str">
        <f>IFERROR(__xludf.DUMMYFUNCTION("""COMPUTED_VALUE"""),"NightWOLF907")</f>
        <v>NightWOLF907</v>
      </c>
    </row>
    <row r="1524">
      <c r="A1524" s="41" t="str">
        <f>IFERROR(__xludf.DUMMYFUNCTION("""COMPUTED_VALUE"""),"RSC001523")</f>
        <v>RSC001523</v>
      </c>
      <c r="B1524" s="41" t="str">
        <f>IFERROR(__xludf.DUMMYFUNCTION("""COMPUTED_VALUE"""),"Nips")</f>
        <v>Nips</v>
      </c>
    </row>
    <row r="1525">
      <c r="A1525" s="41" t="str">
        <f>IFERROR(__xludf.DUMMYFUNCTION("""COMPUTED_VALUE"""),"RSC001524")</f>
        <v>RSC001524</v>
      </c>
      <c r="B1525" s="41" t="str">
        <f>IFERROR(__xludf.DUMMYFUNCTION("""COMPUTED_VALUE"""),"Niteraptor")</f>
        <v>Niteraptor</v>
      </c>
    </row>
    <row r="1526">
      <c r="A1526" s="41" t="str">
        <f>IFERROR(__xludf.DUMMYFUNCTION("""COMPUTED_VALUE"""),"RSC001525")</f>
        <v>RSC001525</v>
      </c>
      <c r="B1526" s="41" t="str">
        <f>IFERROR(__xludf.DUMMYFUNCTION("""COMPUTED_VALUE"""),"Nobler1")</f>
        <v>Nobler1</v>
      </c>
    </row>
    <row r="1527">
      <c r="A1527" s="41" t="str">
        <f>IFERROR(__xludf.DUMMYFUNCTION("""COMPUTED_VALUE"""),"RSC001526")</f>
        <v>RSC001526</v>
      </c>
      <c r="B1527" s="41" t="str">
        <f>IFERROR(__xludf.DUMMYFUNCTION("""COMPUTED_VALUE"""),"Nobody Special")</f>
        <v>Nobody Special</v>
      </c>
    </row>
    <row r="1528">
      <c r="A1528" s="41" t="str">
        <f>IFERROR(__xludf.DUMMYFUNCTION("""COMPUTED_VALUE"""),"RSC001527")</f>
        <v>RSC001527</v>
      </c>
      <c r="B1528" s="41" t="str">
        <f>IFERROR(__xludf.DUMMYFUNCTION("""COMPUTED_VALUE"""),"noface97")</f>
        <v>noface97</v>
      </c>
    </row>
    <row r="1529">
      <c r="A1529" s="41" t="str">
        <f>IFERROR(__xludf.DUMMYFUNCTION("""COMPUTED_VALUE"""),"RSC001528")</f>
        <v>RSC001528</v>
      </c>
      <c r="B1529" s="41" t="str">
        <f>IFERROR(__xludf.DUMMYFUNCTION("""COMPUTED_VALUE"""),"NonSolarity")</f>
        <v>NonSolarity</v>
      </c>
    </row>
    <row r="1530">
      <c r="A1530" s="41" t="str">
        <f>IFERROR(__xludf.DUMMYFUNCTION("""COMPUTED_VALUE"""),"RSC001529")</f>
        <v>RSC001529</v>
      </c>
      <c r="B1530" s="41" t="str">
        <f>IFERROR(__xludf.DUMMYFUNCTION("""COMPUTED_VALUE"""),"noobcity")</f>
        <v>noobcity</v>
      </c>
    </row>
    <row r="1531">
      <c r="A1531" s="41" t="str">
        <f>IFERROR(__xludf.DUMMYFUNCTION("""COMPUTED_VALUE"""),"RSC001530")</f>
        <v>RSC001530</v>
      </c>
      <c r="B1531" s="41" t="str">
        <f>IFERROR(__xludf.DUMMYFUNCTION("""COMPUTED_VALUE"""),"normalsized")</f>
        <v>normalsized</v>
      </c>
    </row>
    <row r="1532">
      <c r="A1532" s="41" t="str">
        <f>IFERROR(__xludf.DUMMYFUNCTION("""COMPUTED_VALUE"""),"RSC001531")</f>
        <v>RSC001531</v>
      </c>
      <c r="B1532" s="41" t="str">
        <f>IFERROR(__xludf.DUMMYFUNCTION("""COMPUTED_VALUE"""),"Noshoww")</f>
        <v>Noshoww</v>
      </c>
    </row>
    <row r="1533">
      <c r="A1533" s="41" t="str">
        <f>IFERROR(__xludf.DUMMYFUNCTION("""COMPUTED_VALUE"""),"RSC001532")</f>
        <v>RSC001532</v>
      </c>
      <c r="B1533" s="41" t="str">
        <f>IFERROR(__xludf.DUMMYFUNCTION("""COMPUTED_VALUE"""),"Notta")</f>
        <v>Notta</v>
      </c>
    </row>
    <row r="1534">
      <c r="A1534" s="41" t="str">
        <f>IFERROR(__xludf.DUMMYFUNCTION("""COMPUTED_VALUE"""),"RSC001533")</f>
        <v>RSC001533</v>
      </c>
      <c r="B1534" s="41" t="str">
        <f>IFERROR(__xludf.DUMMYFUNCTION("""COMPUTED_VALUE"""),"NoxAquilam")</f>
        <v>NoxAquilam</v>
      </c>
    </row>
    <row r="1535">
      <c r="A1535" s="41" t="str">
        <f>IFERROR(__xludf.DUMMYFUNCTION("""COMPUTED_VALUE"""),"RSC001534")</f>
        <v>RSC001534</v>
      </c>
      <c r="B1535" s="41" t="str">
        <f>IFERROR(__xludf.DUMMYFUNCTION("""COMPUTED_VALUE"""),"NoxPhoenix")</f>
        <v>NoxPhoenix</v>
      </c>
    </row>
    <row r="1536">
      <c r="A1536" s="41" t="str">
        <f>IFERROR(__xludf.DUMMYFUNCTION("""COMPUTED_VALUE"""),"RSC001535")</f>
        <v>RSC001535</v>
      </c>
      <c r="B1536" s="41" t="str">
        <f>IFERROR(__xludf.DUMMYFUNCTION("""COMPUTED_VALUE"""),"Nozzle-T")</f>
        <v>Nozzle-T</v>
      </c>
    </row>
    <row r="1537">
      <c r="A1537" s="41" t="str">
        <f>IFERROR(__xludf.DUMMYFUNCTION("""COMPUTED_VALUE"""),"RSC001536")</f>
        <v>RSC001536</v>
      </c>
      <c r="B1537" s="41" t="str">
        <f>IFERROR(__xludf.DUMMYFUNCTION("""COMPUTED_VALUE"""),"NrCy Jit")</f>
        <v>NrCy Jit</v>
      </c>
    </row>
    <row r="1538">
      <c r="A1538" s="41" t="str">
        <f>IFERROR(__xludf.DUMMYFUNCTION("""COMPUTED_VALUE"""),"RSC001537")</f>
        <v>RSC001537</v>
      </c>
      <c r="B1538" s="41" t="str">
        <f>IFERROR(__xludf.DUMMYFUNCTION("""COMPUTED_VALUE"""),"nully")</f>
        <v>nully</v>
      </c>
    </row>
    <row r="1539">
      <c r="A1539" s="41" t="str">
        <f>IFERROR(__xludf.DUMMYFUNCTION("""COMPUTED_VALUE"""),"RSC001538")</f>
        <v>RSC001538</v>
      </c>
      <c r="B1539" s="41" t="str">
        <f>IFERROR(__xludf.DUMMYFUNCTION("""COMPUTED_VALUE"""),"NUNstoppable")</f>
        <v>NUNstoppable</v>
      </c>
    </row>
    <row r="1540">
      <c r="A1540" s="41" t="str">
        <f>IFERROR(__xludf.DUMMYFUNCTION("""COMPUTED_VALUE"""),"RSC001539")</f>
        <v>RSC001539</v>
      </c>
      <c r="B1540" s="41" t="str">
        <f>IFERROR(__xludf.DUMMYFUNCTION("""COMPUTED_VALUE"""),"obeystorm239")</f>
        <v>obeystorm239</v>
      </c>
    </row>
    <row r="1541">
      <c r="A1541" s="41" t="str">
        <f>IFERROR(__xludf.DUMMYFUNCTION("""COMPUTED_VALUE"""),"RSC001540")</f>
        <v>RSC001540</v>
      </c>
      <c r="B1541" s="41" t="str">
        <f>IFERROR(__xludf.DUMMYFUNCTION("""COMPUTED_VALUE"""),"OneTwoFour")</f>
        <v>OneTwoFour</v>
      </c>
    </row>
    <row r="1542">
      <c r="A1542" s="41" t="str">
        <f>IFERROR(__xludf.DUMMYFUNCTION("""COMPUTED_VALUE"""),"RSC001541")</f>
        <v>RSC001541</v>
      </c>
      <c r="B1542" s="41" t="str">
        <f>IFERROR(__xludf.DUMMYFUNCTION("""COMPUTED_VALUE"""),"Oof")</f>
        <v>Oof</v>
      </c>
    </row>
    <row r="1543">
      <c r="A1543" s="41" t="str">
        <f>IFERROR(__xludf.DUMMYFUNCTION("""COMPUTED_VALUE"""),"RSC001542")</f>
        <v>RSC001542</v>
      </c>
      <c r="B1543" s="41" t="str">
        <f>IFERROR(__xludf.DUMMYFUNCTION("""COMPUTED_VALUE"""),"OptimusTitz")</f>
        <v>OptimusTitz</v>
      </c>
    </row>
    <row r="1544">
      <c r="A1544" s="41" t="str">
        <f>IFERROR(__xludf.DUMMYFUNCTION("""COMPUTED_VALUE"""),"RSC001543")</f>
        <v>RSC001543</v>
      </c>
      <c r="B1544" s="41" t="str">
        <f>IFERROR(__xludf.DUMMYFUNCTION("""COMPUTED_VALUE"""),"ortiz9584")</f>
        <v>ortiz9584</v>
      </c>
    </row>
    <row r="1545">
      <c r="A1545" s="41" t="str">
        <f>IFERROR(__xludf.DUMMYFUNCTION("""COMPUTED_VALUE"""),"RSC001544")</f>
        <v>RSC001544</v>
      </c>
      <c r="B1545" s="41" t="str">
        <f>IFERROR(__xludf.DUMMYFUNCTION("""COMPUTED_VALUE"""),"oscoutz")</f>
        <v>oscoutz</v>
      </c>
    </row>
    <row r="1546">
      <c r="A1546" s="41" t="str">
        <f>IFERROR(__xludf.DUMMYFUNCTION("""COMPUTED_VALUE"""),"RSC001545")</f>
        <v>RSC001545</v>
      </c>
      <c r="B1546" s="41" t="str">
        <f>IFERROR(__xludf.DUMMYFUNCTION("""COMPUTED_VALUE"""),"Other Ninja")</f>
        <v>Other Ninja</v>
      </c>
    </row>
    <row r="1547">
      <c r="A1547" s="41" t="str">
        <f>IFERROR(__xludf.DUMMYFUNCTION("""COMPUTED_VALUE"""),"RSC001546")</f>
        <v>RSC001546</v>
      </c>
      <c r="B1547" s="41" t="str">
        <f>IFERROR(__xludf.DUMMYFUNCTION("""COMPUTED_VALUE"""),"ottoga")</f>
        <v>ottoga</v>
      </c>
    </row>
    <row r="1548">
      <c r="A1548" s="41" t="str">
        <f>IFERROR(__xludf.DUMMYFUNCTION("""COMPUTED_VALUE"""),"RSC001547")</f>
        <v>RSC001547</v>
      </c>
      <c r="B1548" s="41" t="str">
        <f>IFERROR(__xludf.DUMMYFUNCTION("""COMPUTED_VALUE"""),"Ovo Trip")</f>
        <v>Ovo Trip</v>
      </c>
    </row>
    <row r="1549">
      <c r="A1549" s="41" t="str">
        <f>IFERROR(__xludf.DUMMYFUNCTION("""COMPUTED_VALUE"""),"RSC001548")</f>
        <v>RSC001548</v>
      </c>
      <c r="B1549" s="41" t="str">
        <f>IFERROR(__xludf.DUMMYFUNCTION("""COMPUTED_VALUE"""),"PackAFatPinch")</f>
        <v>PackAFatPinch</v>
      </c>
    </row>
    <row r="1550">
      <c r="A1550" s="41" t="str">
        <f>IFERROR(__xludf.DUMMYFUNCTION("""COMPUTED_VALUE"""),"RSC001549")</f>
        <v>RSC001549</v>
      </c>
      <c r="B1550" s="41" t="str">
        <f>IFERROR(__xludf.DUMMYFUNCTION("""COMPUTED_VALUE"""),"Packrat31306")</f>
        <v>Packrat31306</v>
      </c>
    </row>
    <row r="1551">
      <c r="A1551" s="41" t="str">
        <f>IFERROR(__xludf.DUMMYFUNCTION("""COMPUTED_VALUE"""),"RSC001550")</f>
        <v>RSC001550</v>
      </c>
      <c r="B1551" s="41" t="str">
        <f>IFERROR(__xludf.DUMMYFUNCTION("""COMPUTED_VALUE"""),"PacSun")</f>
        <v>PacSun</v>
      </c>
    </row>
    <row r="1552">
      <c r="A1552" s="41" t="str">
        <f>IFERROR(__xludf.DUMMYFUNCTION("""COMPUTED_VALUE"""),"RSC001551")</f>
        <v>RSC001551</v>
      </c>
      <c r="B1552" s="41" t="str">
        <f>IFERROR(__xludf.DUMMYFUNCTION("""COMPUTED_VALUE"""),"paintballp")</f>
        <v>paintballp</v>
      </c>
    </row>
    <row r="1553">
      <c r="A1553" s="41" t="str">
        <f>IFERROR(__xludf.DUMMYFUNCTION("""COMPUTED_VALUE"""),"RSC001552")</f>
        <v>RSC001552</v>
      </c>
      <c r="B1553" s="41" t="str">
        <f>IFERROR(__xludf.DUMMYFUNCTION("""COMPUTED_VALUE"""),"pandafan")</f>
        <v>pandafan</v>
      </c>
    </row>
    <row r="1554">
      <c r="A1554" s="41" t="str">
        <f>IFERROR(__xludf.DUMMYFUNCTION("""COMPUTED_VALUE"""),"RSC001553")</f>
        <v>RSC001553</v>
      </c>
      <c r="B1554" s="41" t="str">
        <f>IFERROR(__xludf.DUMMYFUNCTION("""COMPUTED_VALUE"""),"PANDAmazing9695")</f>
        <v>PANDAmazing9695</v>
      </c>
    </row>
    <row r="1555">
      <c r="A1555" s="41" t="str">
        <f>IFERROR(__xludf.DUMMYFUNCTION("""COMPUTED_VALUE"""),"RSC001554")</f>
        <v>RSC001554</v>
      </c>
      <c r="B1555" s="41" t="str">
        <f>IFERROR(__xludf.DUMMYFUNCTION("""COMPUTED_VALUE"""),"PapaDude273")</f>
        <v>PapaDude273</v>
      </c>
    </row>
    <row r="1556">
      <c r="A1556" s="41" t="str">
        <f>IFERROR(__xludf.DUMMYFUNCTION("""COMPUTED_VALUE"""),"RSC001555")</f>
        <v>RSC001555</v>
      </c>
      <c r="B1556" s="41" t="str">
        <f>IFERROR(__xludf.DUMMYFUNCTION("""COMPUTED_VALUE"""),"PapaJohn")</f>
        <v>PapaJohn</v>
      </c>
    </row>
    <row r="1557">
      <c r="A1557" s="41" t="str">
        <f>IFERROR(__xludf.DUMMYFUNCTION("""COMPUTED_VALUE"""),"RSC001556")</f>
        <v>RSC001556</v>
      </c>
      <c r="B1557" s="41" t="str">
        <f>IFERROR(__xludf.DUMMYFUNCTION("""COMPUTED_VALUE"""),"Parkdog")</f>
        <v>Parkdog</v>
      </c>
    </row>
    <row r="1558">
      <c r="A1558" s="41" t="str">
        <f>IFERROR(__xludf.DUMMYFUNCTION("""COMPUTED_VALUE"""),"RSC001557")</f>
        <v>RSC001557</v>
      </c>
      <c r="B1558" s="41" t="str">
        <f>IFERROR(__xludf.DUMMYFUNCTION("""COMPUTED_VALUE"""),"Patty Bones")</f>
        <v>Patty Bones</v>
      </c>
    </row>
    <row r="1559">
      <c r="A1559" s="41" t="str">
        <f>IFERROR(__xludf.DUMMYFUNCTION("""COMPUTED_VALUE"""),"RSC001558")</f>
        <v>RSC001558</v>
      </c>
      <c r="B1559" s="41" t="str">
        <f>IFERROR(__xludf.DUMMYFUNCTION("""COMPUTED_VALUE"""),"Not so Speedy Petey")</f>
        <v>Not so Speedy Petey</v>
      </c>
    </row>
    <row r="1560">
      <c r="A1560" s="41" t="str">
        <f>IFERROR(__xludf.DUMMYFUNCTION("""COMPUTED_VALUE"""),"RSC001559")</f>
        <v>RSC001559</v>
      </c>
      <c r="B1560" s="41" t="str">
        <f>IFERROR(__xludf.DUMMYFUNCTION("""COMPUTED_VALUE"""),"PF0XX")</f>
        <v>PF0XX</v>
      </c>
    </row>
    <row r="1561">
      <c r="A1561" s="41" t="str">
        <f>IFERROR(__xludf.DUMMYFUNCTION("""COMPUTED_VALUE"""),"RSC001560")</f>
        <v>RSC001560</v>
      </c>
      <c r="B1561" s="41" t="str">
        <f>IFERROR(__xludf.DUMMYFUNCTION("""COMPUTED_VALUE"""),"Phat")</f>
        <v>Phat</v>
      </c>
    </row>
    <row r="1562">
      <c r="A1562" s="41" t="str">
        <f>IFERROR(__xludf.DUMMYFUNCTION("""COMPUTED_VALUE"""),"RSC001561")</f>
        <v>RSC001561</v>
      </c>
      <c r="B1562" s="41" t="str">
        <f>IFERROR(__xludf.DUMMYFUNCTION("""COMPUTED_VALUE"""),"PhenoMenon")</f>
        <v>PhenoMenon</v>
      </c>
    </row>
    <row r="1563">
      <c r="A1563" s="41" t="str">
        <f>IFERROR(__xludf.DUMMYFUNCTION("""COMPUTED_VALUE"""),"RSC001562")</f>
        <v>RSC001562</v>
      </c>
      <c r="B1563" s="41" t="str">
        <f>IFERROR(__xludf.DUMMYFUNCTION("""COMPUTED_VALUE"""),"phloyd")</f>
        <v>phloyd</v>
      </c>
    </row>
    <row r="1564">
      <c r="A1564" s="41" t="str">
        <f>IFERROR(__xludf.DUMMYFUNCTION("""COMPUTED_VALUE"""),"RSC001563")</f>
        <v>RSC001563</v>
      </c>
      <c r="B1564" s="41" t="str">
        <f>IFERROR(__xludf.DUMMYFUNCTION("""COMPUTED_VALUE"""),"PhNx")</f>
        <v>PhNx</v>
      </c>
    </row>
    <row r="1565">
      <c r="A1565" s="41" t="str">
        <f>IFERROR(__xludf.DUMMYFUNCTION("""COMPUTED_VALUE"""),"RSC001564")</f>
        <v>RSC001564</v>
      </c>
      <c r="B1565" s="41" t="str">
        <f>IFERROR(__xludf.DUMMYFUNCTION("""COMPUTED_VALUE"""),"Phyrexius")</f>
        <v>Phyrexius</v>
      </c>
    </row>
    <row r="1566">
      <c r="A1566" s="41" t="str">
        <f>IFERROR(__xludf.DUMMYFUNCTION("""COMPUTED_VALUE"""),"RSC001565")</f>
        <v>RSC001565</v>
      </c>
      <c r="B1566" s="41" t="str">
        <f>IFERROR(__xludf.DUMMYFUNCTION("""COMPUTED_VALUE"""),"PhyVin")</f>
        <v>PhyVin</v>
      </c>
    </row>
    <row r="1567">
      <c r="A1567" s="41" t="str">
        <f>IFERROR(__xludf.DUMMYFUNCTION("""COMPUTED_VALUE"""),"RSC001566")</f>
        <v>RSC001566</v>
      </c>
      <c r="B1567" s="41" t="str">
        <f>IFERROR(__xludf.DUMMYFUNCTION("""COMPUTED_VALUE"""),"pie man")</f>
        <v>pie man</v>
      </c>
    </row>
    <row r="1568">
      <c r="A1568" s="41" t="str">
        <f>IFERROR(__xludf.DUMMYFUNCTION("""COMPUTED_VALUE"""),"RSC001567")</f>
        <v>RSC001567</v>
      </c>
      <c r="B1568" s="41" t="str">
        <f>IFERROR(__xludf.DUMMYFUNCTION("""COMPUTED_VALUE"""),"Pierce")</f>
        <v>Pierce</v>
      </c>
    </row>
    <row r="1569">
      <c r="A1569" s="41" t="str">
        <f>IFERROR(__xludf.DUMMYFUNCTION("""COMPUTED_VALUE"""),"RSC001568")</f>
        <v>RSC001568</v>
      </c>
      <c r="B1569" s="41" t="str">
        <f>IFERROR(__xludf.DUMMYFUNCTION("""COMPUTED_VALUE"""),"Pimp")</f>
        <v>Pimp</v>
      </c>
    </row>
    <row r="1570">
      <c r="A1570" s="41" t="str">
        <f>IFERROR(__xludf.DUMMYFUNCTION("""COMPUTED_VALUE"""),"RSC001569")</f>
        <v>RSC001569</v>
      </c>
      <c r="B1570" s="41" t="str">
        <f>IFERROR(__xludf.DUMMYFUNCTION("""COMPUTED_VALUE"""),"Pinhead Larry")</f>
        <v>Pinhead Larry</v>
      </c>
    </row>
    <row r="1571">
      <c r="A1571" s="41" t="str">
        <f>IFERROR(__xludf.DUMMYFUNCTION("""COMPUTED_VALUE"""),"RSC001570")</f>
        <v>RSC001570</v>
      </c>
      <c r="B1571" s="41" t="str">
        <f>IFERROR(__xludf.DUMMYFUNCTION("""COMPUTED_VALUE"""),"Pixel")</f>
        <v>Pixel</v>
      </c>
    </row>
    <row r="1572">
      <c r="A1572" s="41" t="str">
        <f>IFERROR(__xludf.DUMMYFUNCTION("""COMPUTED_VALUE"""),"RSC001571")</f>
        <v>RSC001571</v>
      </c>
      <c r="B1572" s="41" t="str">
        <f>IFERROR(__xludf.DUMMYFUNCTION("""COMPUTED_VALUE"""),"Pizzle")</f>
        <v>Pizzle</v>
      </c>
    </row>
    <row r="1573">
      <c r="A1573" s="41" t="str">
        <f>IFERROR(__xludf.DUMMYFUNCTION("""COMPUTED_VALUE"""),"RSC001572")</f>
        <v>RSC001572</v>
      </c>
      <c r="B1573" s="41" t="str">
        <f>IFERROR(__xludf.DUMMYFUNCTION("""COMPUTED_VALUE"""),"planetasylum")</f>
        <v>planetasylum</v>
      </c>
    </row>
    <row r="1574">
      <c r="A1574" s="41" t="str">
        <f>IFERROR(__xludf.DUMMYFUNCTION("""COMPUTED_VALUE"""),"RSC001573")</f>
        <v>RSC001573</v>
      </c>
      <c r="B1574" s="41" t="str">
        <f>IFERROR(__xludf.DUMMYFUNCTION("""COMPUTED_VALUE"""),"PlantingCargo85")</f>
        <v>PlantingCargo85</v>
      </c>
    </row>
    <row r="1575">
      <c r="A1575" s="41" t="str">
        <f>IFERROR(__xludf.DUMMYFUNCTION("""COMPUTED_VALUE"""),"RSC001574")</f>
        <v>RSC001574</v>
      </c>
      <c r="B1575" s="41" t="str">
        <f>IFERROR(__xludf.DUMMYFUNCTION("""COMPUTED_VALUE"""),"Plunger Hat")</f>
        <v>Plunger Hat</v>
      </c>
    </row>
    <row r="1576">
      <c r="A1576" s="41" t="str">
        <f>IFERROR(__xludf.DUMMYFUNCTION("""COMPUTED_VALUE"""),"RSC001575")</f>
        <v>RSC001575</v>
      </c>
      <c r="B1576" s="41" t="str">
        <f>IFERROR(__xludf.DUMMYFUNCTION("""COMPUTED_VALUE"""),"Polar")</f>
        <v>Polar</v>
      </c>
    </row>
    <row r="1577">
      <c r="A1577" s="41" t="str">
        <f>IFERROR(__xludf.DUMMYFUNCTION("""COMPUTED_VALUE"""),"RSC001576")</f>
        <v>RSC001576</v>
      </c>
      <c r="B1577" s="41" t="str">
        <f>IFERROR(__xludf.DUMMYFUNCTION("""COMPUTED_VALUE"""),"polarpandah")</f>
        <v>polarpandah</v>
      </c>
    </row>
    <row r="1578">
      <c r="A1578" s="41" t="str">
        <f>IFERROR(__xludf.DUMMYFUNCTION("""COMPUTED_VALUE"""),"RSC001577")</f>
        <v>RSC001577</v>
      </c>
      <c r="B1578" s="41" t="str">
        <f>IFERROR(__xludf.DUMMYFUNCTION("""COMPUTED_VALUE"""),"Polish Hammer")</f>
        <v>Polish Hammer</v>
      </c>
    </row>
    <row r="1579">
      <c r="A1579" s="41" t="str">
        <f>IFERROR(__xludf.DUMMYFUNCTION("""COMPUTED_VALUE"""),"RSC001578")</f>
        <v>RSC001578</v>
      </c>
      <c r="B1579" s="41" t="str">
        <f>IFERROR(__xludf.DUMMYFUNCTION("""COMPUTED_VALUE"""),"Porkchop (old)")</f>
        <v>Porkchop (old)</v>
      </c>
    </row>
    <row r="1580">
      <c r="A1580" s="41" t="str">
        <f>IFERROR(__xludf.DUMMYFUNCTION("""COMPUTED_VALUE"""),"RSC001579")</f>
        <v>RSC001579</v>
      </c>
      <c r="B1580" s="41" t="str">
        <f>IFERROR(__xludf.DUMMYFUNCTION("""COMPUTED_VALUE"""),"Premium Manatee")</f>
        <v>Premium Manatee</v>
      </c>
    </row>
    <row r="1581">
      <c r="A1581" s="41" t="str">
        <f>IFERROR(__xludf.DUMMYFUNCTION("""COMPUTED_VALUE"""),"RSC001580")</f>
        <v>RSC001580</v>
      </c>
      <c r="B1581" s="41" t="str">
        <f>IFERROR(__xludf.DUMMYFUNCTION("""COMPUTED_VALUE"""),"prettykittee")</f>
        <v>prettykittee</v>
      </c>
    </row>
    <row r="1582">
      <c r="A1582" s="41" t="str">
        <f>IFERROR(__xludf.DUMMYFUNCTION("""COMPUTED_VALUE"""),"RSC001581")</f>
        <v>RSC001581</v>
      </c>
      <c r="B1582" s="41" t="str">
        <f>IFERROR(__xludf.DUMMYFUNCTION("""COMPUTED_VALUE"""),"Private Buttface")</f>
        <v>Private Buttface</v>
      </c>
    </row>
    <row r="1583">
      <c r="A1583" s="41" t="str">
        <f>IFERROR(__xludf.DUMMYFUNCTION("""COMPUTED_VALUE"""),"RSC001582")</f>
        <v>RSC001582</v>
      </c>
      <c r="B1583" s="41" t="str">
        <f>IFERROR(__xludf.DUMMYFUNCTION("""COMPUTED_VALUE"""),"ProfessorSkeeter")</f>
        <v>ProfessorSkeeter</v>
      </c>
    </row>
    <row r="1584">
      <c r="A1584" s="41" t="str">
        <f>IFERROR(__xludf.DUMMYFUNCTION("""COMPUTED_VALUE"""),"RSC001583")</f>
        <v>RSC001583</v>
      </c>
      <c r="B1584" s="41" t="str">
        <f>IFERROR(__xludf.DUMMYFUNCTION("""COMPUTED_VALUE"""),"Prospects121212")</f>
        <v>Prospects121212</v>
      </c>
    </row>
    <row r="1585">
      <c r="A1585" s="41" t="str">
        <f>IFERROR(__xludf.DUMMYFUNCTION("""COMPUTED_VALUE"""),"RSC001585")</f>
        <v>RSC001585</v>
      </c>
      <c r="B1585" s="41" t="str">
        <f>IFERROR(__xludf.DUMMYFUNCTION("""COMPUTED_VALUE"""),"Psychowolf3408")</f>
        <v>Psychowolf3408</v>
      </c>
    </row>
    <row r="1586">
      <c r="A1586" s="41" t="str">
        <f>IFERROR(__xludf.DUMMYFUNCTION("""COMPUTED_VALUE"""),"RSC001586")</f>
        <v>RSC001586</v>
      </c>
      <c r="B1586" s="41" t="str">
        <f>IFERROR(__xludf.DUMMYFUNCTION("""COMPUTED_VALUE"""),"Puertalian777")</f>
        <v>Puertalian777</v>
      </c>
    </row>
    <row r="1587">
      <c r="A1587" s="41" t="str">
        <f>IFERROR(__xludf.DUMMYFUNCTION("""COMPUTED_VALUE"""),"RSC001587")</f>
        <v>RSC001587</v>
      </c>
      <c r="B1587" s="41" t="str">
        <f>IFERROR(__xludf.DUMMYFUNCTION("""COMPUTED_VALUE"""),"puffy6")</f>
        <v>puffy6</v>
      </c>
    </row>
    <row r="1588">
      <c r="A1588" s="41" t="str">
        <f>IFERROR(__xludf.DUMMYFUNCTION("""COMPUTED_VALUE"""),"RSC001588")</f>
        <v>RSC001588</v>
      </c>
      <c r="B1588" s="41" t="str">
        <f>IFERROR(__xludf.DUMMYFUNCTION("""COMPUTED_VALUE"""),"Pulch")</f>
        <v>Pulch</v>
      </c>
    </row>
    <row r="1589">
      <c r="A1589" s="41" t="str">
        <f>IFERROR(__xludf.DUMMYFUNCTION("""COMPUTED_VALUE"""),"RSC001589")</f>
        <v>RSC001589</v>
      </c>
      <c r="B1589" s="41" t="str">
        <f>IFERROR(__xludf.DUMMYFUNCTION("""COMPUTED_VALUE"""),"Pwilliegetstewy")</f>
        <v>Pwilliegetstewy</v>
      </c>
    </row>
    <row r="1590">
      <c r="A1590" s="41" t="str">
        <f>IFERROR(__xludf.DUMMYFUNCTION("""COMPUTED_VALUE"""),"RSC001590")</f>
        <v>RSC001590</v>
      </c>
      <c r="B1590" s="41" t="str">
        <f>IFERROR(__xludf.DUMMYFUNCTION("""COMPUTED_VALUE"""),"PxlBuzzard")</f>
        <v>PxlBuzzard</v>
      </c>
    </row>
    <row r="1591">
      <c r="A1591" s="41" t="str">
        <f>IFERROR(__xludf.DUMMYFUNCTION("""COMPUTED_VALUE"""),"RSC001591")</f>
        <v>RSC001591</v>
      </c>
      <c r="B1591" s="41" t="str">
        <f>IFERROR(__xludf.DUMMYFUNCTION("""COMPUTED_VALUE"""),"Quasimodo-Wilson")</f>
        <v>Quasimodo-Wilson</v>
      </c>
    </row>
    <row r="1592">
      <c r="A1592" s="41" t="str">
        <f>IFERROR(__xludf.DUMMYFUNCTION("""COMPUTED_VALUE"""),"RSC001592")</f>
        <v>RSC001592</v>
      </c>
      <c r="B1592" s="41" t="str">
        <f>IFERROR(__xludf.DUMMYFUNCTION("""COMPUTED_VALUE"""),"Qudron")</f>
        <v>Qudron</v>
      </c>
    </row>
    <row r="1593">
      <c r="A1593" s="41" t="str">
        <f>IFERROR(__xludf.DUMMYFUNCTION("""COMPUTED_VALUE"""),"RSC001593")</f>
        <v>RSC001593</v>
      </c>
      <c r="B1593" s="41" t="str">
        <f>IFERROR(__xludf.DUMMYFUNCTION("""COMPUTED_VALUE"""),"qwertycube")</f>
        <v>qwertycube</v>
      </c>
    </row>
    <row r="1594">
      <c r="A1594" s="41" t="str">
        <f>IFERROR(__xludf.DUMMYFUNCTION("""COMPUTED_VALUE"""),"RSC001594")</f>
        <v>RSC001594</v>
      </c>
      <c r="B1594" s="41" t="str">
        <f>IFERROR(__xludf.DUMMYFUNCTION("""COMPUTED_VALUE"""),"r4bblerouser")</f>
        <v>r4bblerouser</v>
      </c>
    </row>
    <row r="1595">
      <c r="A1595" s="41" t="str">
        <f>IFERROR(__xludf.DUMMYFUNCTION("""COMPUTED_VALUE"""),"RSC001595")</f>
        <v>RSC001595</v>
      </c>
      <c r="B1595" s="41" t="str">
        <f>IFERROR(__xludf.DUMMYFUNCTION("""COMPUTED_VALUE"""),"Rage")</f>
        <v>Rage</v>
      </c>
    </row>
    <row r="1596">
      <c r="A1596" s="41" t="str">
        <f>IFERROR(__xludf.DUMMYFUNCTION("""COMPUTED_VALUE"""),"RSC001596")</f>
        <v>RSC001596</v>
      </c>
      <c r="B1596" s="41" t="str">
        <f>IFERROR(__xludf.DUMMYFUNCTION("""COMPUTED_VALUE"""),"raiden")</f>
        <v>raiden</v>
      </c>
    </row>
    <row r="1597">
      <c r="A1597" s="41" t="str">
        <f>IFERROR(__xludf.DUMMYFUNCTION("""COMPUTED_VALUE"""),"RSC001597")</f>
        <v>RSC001597</v>
      </c>
      <c r="B1597" s="41" t="str">
        <f>IFERROR(__xludf.DUMMYFUNCTION("""COMPUTED_VALUE"""),"Raikyuu")</f>
        <v>Raikyuu</v>
      </c>
    </row>
    <row r="1598">
      <c r="A1598" s="41" t="str">
        <f>IFERROR(__xludf.DUMMYFUNCTION("""COMPUTED_VALUE"""),"RSC001598")</f>
        <v>RSC001598</v>
      </c>
      <c r="B1598" s="41" t="str">
        <f>IFERROR(__xludf.DUMMYFUNCTION("""COMPUTED_VALUE"""),"Rakkety_Tam")</f>
        <v>Rakkety_Tam</v>
      </c>
    </row>
    <row r="1599">
      <c r="A1599" s="41" t="str">
        <f>IFERROR(__xludf.DUMMYFUNCTION("""COMPUTED_VALUE"""),"RSC001599")</f>
        <v>RSC001599</v>
      </c>
      <c r="B1599" s="41" t="str">
        <f>IFERROR(__xludf.DUMMYFUNCTION("""COMPUTED_VALUE"""),"Randy")</f>
        <v>Randy</v>
      </c>
    </row>
    <row r="1600">
      <c r="A1600" s="41" t="str">
        <f>IFERROR(__xludf.DUMMYFUNCTION("""COMPUTED_VALUE"""),"RSC001600")</f>
        <v>RSC001600</v>
      </c>
      <c r="B1600" s="41" t="str">
        <f>IFERROR(__xludf.DUMMYFUNCTION("""COMPUTED_VALUE"""),"raze00")</f>
        <v>raze00</v>
      </c>
    </row>
    <row r="1601">
      <c r="A1601" s="41" t="str">
        <f>IFERROR(__xludf.DUMMYFUNCTION("""COMPUTED_VALUE"""),"RSC001601")</f>
        <v>RSC001601</v>
      </c>
      <c r="B1601" s="41" t="str">
        <f>IFERROR(__xludf.DUMMYFUNCTION("""COMPUTED_VALUE"""),"razerkid99")</f>
        <v>razerkid99</v>
      </c>
    </row>
    <row r="1602">
      <c r="A1602" s="41" t="str">
        <f>IFERROR(__xludf.DUMMYFUNCTION("""COMPUTED_VALUE"""),"RSC001602")</f>
        <v>RSC001602</v>
      </c>
      <c r="B1602" s="41" t="str">
        <f>IFERROR(__xludf.DUMMYFUNCTION("""COMPUTED_VALUE"""),"Recgamer")</f>
        <v>Recgamer</v>
      </c>
    </row>
    <row r="1603">
      <c r="A1603" s="41" t="str">
        <f>IFERROR(__xludf.DUMMYFUNCTION("""COMPUTED_VALUE"""),"RSC001603")</f>
        <v>RSC001603</v>
      </c>
      <c r="B1603" s="41" t="str">
        <f>IFERROR(__xludf.DUMMYFUNCTION("""COMPUTED_VALUE"""),"Reckless.")</f>
        <v>Reckless.</v>
      </c>
    </row>
    <row r="1604">
      <c r="A1604" s="41" t="str">
        <f>IFERROR(__xludf.DUMMYFUNCTION("""COMPUTED_VALUE"""),"RSC001604")</f>
        <v>RSC001604</v>
      </c>
      <c r="B1604" s="41" t="str">
        <f>IFERROR(__xludf.DUMMYFUNCTION("""COMPUTED_VALUE"""),"RedLeeder")</f>
        <v>RedLeeder</v>
      </c>
    </row>
    <row r="1605">
      <c r="A1605" s="41" t="str">
        <f>IFERROR(__xludf.DUMMYFUNCTION("""COMPUTED_VALUE"""),"RSC001605")</f>
        <v>RSC001605</v>
      </c>
      <c r="B1605" s="41" t="str">
        <f>IFERROR(__xludf.DUMMYFUNCTION("""COMPUTED_VALUE"""),"Reeves")</f>
        <v>Reeves</v>
      </c>
    </row>
    <row r="1606">
      <c r="A1606" s="41" t="str">
        <f>IFERROR(__xludf.DUMMYFUNCTION("""COMPUTED_VALUE"""),"RSC001606")</f>
        <v>RSC001606</v>
      </c>
      <c r="B1606" s="41" t="str">
        <f>IFERROR(__xludf.DUMMYFUNCTION("""COMPUTED_VALUE"""),"Relic")</f>
        <v>Relic</v>
      </c>
    </row>
    <row r="1607">
      <c r="A1607" s="41" t="str">
        <f>IFERROR(__xludf.DUMMYFUNCTION("""COMPUTED_VALUE"""),"RSC001607")</f>
        <v>RSC001607</v>
      </c>
      <c r="B1607" s="41" t="str">
        <f>IFERROR(__xludf.DUMMYFUNCTION("""COMPUTED_VALUE"""),"Reminey (GagePaxton)")</f>
        <v>Reminey (GagePaxton)</v>
      </c>
    </row>
    <row r="1608">
      <c r="A1608" s="41" t="str">
        <f>IFERROR(__xludf.DUMMYFUNCTION("""COMPUTED_VALUE"""),"RSC001608")</f>
        <v>RSC001608</v>
      </c>
      <c r="B1608" s="41" t="str">
        <f>IFERROR(__xludf.DUMMYFUNCTION("""COMPUTED_VALUE"""),"Reprivation")</f>
        <v>Reprivation</v>
      </c>
    </row>
    <row r="1609">
      <c r="A1609" s="41" t="str">
        <f>IFERROR(__xludf.DUMMYFUNCTION("""COMPUTED_VALUE"""),"RSC001609")</f>
        <v>RSC001609</v>
      </c>
      <c r="B1609" s="41" t="str">
        <f>IFERROR(__xludf.DUMMYFUNCTION("""COMPUTED_VALUE"""),"Repulse")</f>
        <v>Repulse</v>
      </c>
    </row>
    <row r="1610">
      <c r="A1610" s="41" t="str">
        <f>IFERROR(__xludf.DUMMYFUNCTION("""COMPUTED_VALUE"""),"RSC001610")</f>
        <v>RSC001610</v>
      </c>
      <c r="B1610" s="41" t="str">
        <f>IFERROR(__xludf.DUMMYFUNCTION("""COMPUTED_VALUE"""),"Resonant ¯\_(ツ)_/¯")</f>
        <v>Resonant ¯\_(ツ)_/¯</v>
      </c>
    </row>
    <row r="1611">
      <c r="A1611" s="41" t="str">
        <f>IFERROR(__xludf.DUMMYFUNCTION("""COMPUTED_VALUE"""),"RSC001611")</f>
        <v>RSC001611</v>
      </c>
      <c r="B1611" s="41" t="str">
        <f>IFERROR(__xludf.DUMMYFUNCTION("""COMPUTED_VALUE"""),"returnofsmalls")</f>
        <v>returnofsmalls</v>
      </c>
    </row>
    <row r="1612">
      <c r="A1612" s="41" t="str">
        <f>IFERROR(__xludf.DUMMYFUNCTION("""COMPUTED_VALUE"""),"RSC001612")</f>
        <v>RSC001612</v>
      </c>
      <c r="B1612" s="41" t="str">
        <f>IFERROR(__xludf.DUMMYFUNCTION("""COMPUTED_VALUE"""),"Reverse Fridge")</f>
        <v>Reverse Fridge</v>
      </c>
    </row>
    <row r="1613">
      <c r="A1613" s="41" t="str">
        <f>IFERROR(__xludf.DUMMYFUNCTION("""COMPUTED_VALUE"""),"RSC001613")</f>
        <v>RSC001613</v>
      </c>
      <c r="B1613" s="41" t="str">
        <f>IFERROR(__xludf.DUMMYFUNCTION("""COMPUTED_VALUE"""),"RevPeteJones")</f>
        <v>RevPeteJones</v>
      </c>
    </row>
    <row r="1614">
      <c r="A1614" s="41" t="str">
        <f>IFERROR(__xludf.DUMMYFUNCTION("""COMPUTED_VALUE"""),"RSC001614")</f>
        <v>RSC001614</v>
      </c>
      <c r="B1614" s="41" t="str">
        <f>IFERROR(__xludf.DUMMYFUNCTION("""COMPUTED_VALUE"""),"Rexxay614")</f>
        <v>Rexxay614</v>
      </c>
    </row>
    <row r="1615">
      <c r="A1615" s="41" t="str">
        <f>IFERROR(__xludf.DUMMYFUNCTION("""COMPUTED_VALUE"""),"RSC001615")</f>
        <v>RSC001615</v>
      </c>
      <c r="B1615" s="41" t="str">
        <f>IFERROR(__xludf.DUMMYFUNCTION("""COMPUTED_VALUE"""),"Ricochet")</f>
        <v>Ricochet</v>
      </c>
    </row>
    <row r="1616">
      <c r="A1616" s="41" t="str">
        <f>IFERROR(__xludf.DUMMYFUNCTION("""COMPUTED_VALUE"""),"RSC001616")</f>
        <v>RSC001616</v>
      </c>
      <c r="B1616" s="41" t="str">
        <f>IFERROR(__xludf.DUMMYFUNCTION("""COMPUTED_VALUE"""),"Rigbones")</f>
        <v>Rigbones</v>
      </c>
    </row>
    <row r="1617">
      <c r="A1617" s="41" t="str">
        <f>IFERROR(__xludf.DUMMYFUNCTION("""COMPUTED_VALUE"""),"RSC001617")</f>
        <v>RSC001617</v>
      </c>
      <c r="B1617" s="41" t="str">
        <f>IFERROR(__xludf.DUMMYFUNCTION("""COMPUTED_VALUE"""),"Right")</f>
        <v>Right</v>
      </c>
    </row>
    <row r="1618">
      <c r="A1618" s="41" t="str">
        <f>IFERROR(__xludf.DUMMYFUNCTION("""COMPUTED_VALUE"""),"RSC001618")</f>
        <v>RSC001618</v>
      </c>
      <c r="B1618" s="41" t="str">
        <f>IFERROR(__xludf.DUMMYFUNCTION("""COMPUTED_VALUE"""),"RiptideBongolio")</f>
        <v>RiptideBongolio</v>
      </c>
    </row>
    <row r="1619">
      <c r="A1619" s="41" t="str">
        <f>IFERROR(__xludf.DUMMYFUNCTION("""COMPUTED_VALUE"""),"RSC001619")</f>
        <v>RSC001619</v>
      </c>
      <c r="B1619" s="41" t="str">
        <f>IFERROR(__xludf.DUMMYFUNCTION("""COMPUTED_VALUE"""),"Rob")</f>
        <v>Rob</v>
      </c>
    </row>
    <row r="1620">
      <c r="A1620" s="41" t="str">
        <f>IFERROR(__xludf.DUMMYFUNCTION("""COMPUTED_VALUE"""),"RSC001620")</f>
        <v>RSC001620</v>
      </c>
      <c r="B1620" s="41" t="str">
        <f>IFERROR(__xludf.DUMMYFUNCTION("""COMPUTED_VALUE"""),"Rollin Dawg")</f>
        <v>Rollin Dawg</v>
      </c>
    </row>
    <row r="1621">
      <c r="A1621" s="41" t="str">
        <f>IFERROR(__xludf.DUMMYFUNCTION("""COMPUTED_VALUE"""),"RSC001621")</f>
        <v>RSC001621</v>
      </c>
      <c r="B1621" s="41" t="str">
        <f>IFERROR(__xludf.DUMMYFUNCTION("""COMPUTED_VALUE"""),"rollybackpack")</f>
        <v>rollybackpack</v>
      </c>
    </row>
    <row r="1622">
      <c r="A1622" s="41" t="str">
        <f>IFERROR(__xludf.DUMMYFUNCTION("""COMPUTED_VALUE"""),"RSC001622")</f>
        <v>RSC001622</v>
      </c>
      <c r="B1622" s="41" t="str">
        <f>IFERROR(__xludf.DUMMYFUNCTION("""COMPUTED_VALUE"""),"Rugerplays")</f>
        <v>Rugerplays</v>
      </c>
    </row>
    <row r="1623">
      <c r="A1623" s="41" t="str">
        <f>IFERROR(__xludf.DUMMYFUNCTION("""COMPUTED_VALUE"""),"RSC001623")</f>
        <v>RSC001623</v>
      </c>
      <c r="B1623" s="41" t="str">
        <f>IFERROR(__xludf.DUMMYFUNCTION("""COMPUTED_VALUE"""),"Rugg")</f>
        <v>Rugg</v>
      </c>
    </row>
    <row r="1624">
      <c r="A1624" s="41" t="str">
        <f>IFERROR(__xludf.DUMMYFUNCTION("""COMPUTED_VALUE"""),"RSC001624")</f>
        <v>RSC001624</v>
      </c>
      <c r="B1624" s="41" t="str">
        <f>IFERROR(__xludf.DUMMYFUNCTION("""COMPUTED_VALUE"""),"Rumble")</f>
        <v>Rumble</v>
      </c>
    </row>
    <row r="1625">
      <c r="A1625" s="41" t="str">
        <f>IFERROR(__xludf.DUMMYFUNCTION("""COMPUTED_VALUE"""),"RSC001625")</f>
        <v>RSC001625</v>
      </c>
      <c r="B1625" s="41" t="str">
        <f>IFERROR(__xludf.DUMMYFUNCTION("""COMPUTED_VALUE"""),"Rocket Van Persie")</f>
        <v>Rocket Van Persie</v>
      </c>
    </row>
    <row r="1626">
      <c r="A1626" s="41" t="str">
        <f>IFERROR(__xludf.DUMMYFUNCTION("""COMPUTED_VALUE"""),"RSC001626")</f>
        <v>RSC001626</v>
      </c>
      <c r="B1626" s="41" t="str">
        <f>IFERROR(__xludf.DUMMYFUNCTION("""COMPUTED_VALUE"""),"Ryan4396")</f>
        <v>Ryan4396</v>
      </c>
    </row>
    <row r="1627">
      <c r="A1627" s="41" t="str">
        <f>IFERROR(__xludf.DUMMYFUNCTION("""COMPUTED_VALUE"""),"RSC001627")</f>
        <v>RSC001627</v>
      </c>
      <c r="B1627" s="41" t="str">
        <f>IFERROR(__xludf.DUMMYFUNCTION("""COMPUTED_VALUE"""),"Ryebread")</f>
        <v>Ryebread</v>
      </c>
    </row>
    <row r="1628">
      <c r="A1628" s="41" t="str">
        <f>IFERROR(__xludf.DUMMYFUNCTION("""COMPUTED_VALUE"""),"RSC001628")</f>
        <v>RSC001628</v>
      </c>
      <c r="B1628" s="41" t="str">
        <f>IFERROR(__xludf.DUMMYFUNCTION("""COMPUTED_VALUE"""),"SADik_CAT")</f>
        <v>SADik_CAT</v>
      </c>
    </row>
    <row r="1629">
      <c r="A1629" s="41" t="str">
        <f>IFERROR(__xludf.DUMMYFUNCTION("""COMPUTED_VALUE"""),"RSC001629")</f>
        <v>RSC001629</v>
      </c>
      <c r="B1629" s="41" t="str">
        <f>IFERROR(__xludf.DUMMYFUNCTION("""COMPUTED_VALUE"""),"Salt Emporium")</f>
        <v>Salt Emporium</v>
      </c>
    </row>
    <row r="1630">
      <c r="A1630" s="41" t="str">
        <f>IFERROR(__xludf.DUMMYFUNCTION("""COMPUTED_VALUE"""),"RSC001630")</f>
        <v>RSC001630</v>
      </c>
      <c r="B1630" s="41" t="str">
        <f>IFERROR(__xludf.DUMMYFUNCTION("""COMPUTED_VALUE"""),"saltydavie")</f>
        <v>saltydavie</v>
      </c>
    </row>
    <row r="1631">
      <c r="A1631" s="41" t="str">
        <f>IFERROR(__xludf.DUMMYFUNCTION("""COMPUTED_VALUE"""),"RSC001631")</f>
        <v>RSC001631</v>
      </c>
      <c r="B1631" s="41" t="str">
        <f>IFERROR(__xludf.DUMMYFUNCTION("""COMPUTED_VALUE"""),"Saltysoldier430")</f>
        <v>Saltysoldier430</v>
      </c>
    </row>
    <row r="1632">
      <c r="A1632" s="41" t="str">
        <f>IFERROR(__xludf.DUMMYFUNCTION("""COMPUTED_VALUE"""),"RSC001632")</f>
        <v>RSC001632</v>
      </c>
      <c r="B1632" s="41" t="str">
        <f>IFERROR(__xludf.DUMMYFUNCTION("""COMPUTED_VALUE"""),"Santiago | Kreiker")</f>
        <v>Santiago | Kreiker</v>
      </c>
    </row>
    <row r="1633">
      <c r="A1633" s="41" t="str">
        <f>IFERROR(__xludf.DUMMYFUNCTION("""COMPUTED_VALUE"""),"RSC001633")</f>
        <v>RSC001633</v>
      </c>
      <c r="B1633" s="41" t="str">
        <f>IFERROR(__xludf.DUMMYFUNCTION("""COMPUTED_VALUE"""),"Sarc")</f>
        <v>Sarc</v>
      </c>
    </row>
    <row r="1634">
      <c r="A1634" s="41" t="str">
        <f>IFERROR(__xludf.DUMMYFUNCTION("""COMPUTED_VALUE"""),"RSC001634")</f>
        <v>RSC001634</v>
      </c>
      <c r="B1634" s="41" t="str">
        <f>IFERROR(__xludf.DUMMYFUNCTION("""COMPUTED_VALUE"""),"Sardolus")</f>
        <v>Sardolus</v>
      </c>
    </row>
    <row r="1635">
      <c r="A1635" s="41" t="str">
        <f>IFERROR(__xludf.DUMMYFUNCTION("""COMPUTED_VALUE"""),"RSC001635")</f>
        <v>RSC001635</v>
      </c>
      <c r="B1635" s="41" t="str">
        <f>IFERROR(__xludf.DUMMYFUNCTION("""COMPUTED_VALUE"""),"Satisfied Onion")</f>
        <v>Satisfied Onion</v>
      </c>
    </row>
    <row r="1636">
      <c r="A1636" s="41" t="str">
        <f>IFERROR(__xludf.DUMMYFUNCTION("""COMPUTED_VALUE"""),"RSC001636")</f>
        <v>RSC001636</v>
      </c>
      <c r="B1636" s="41" t="str">
        <f>IFERROR(__xludf.DUMMYFUNCTION("""COMPUTED_VALUE"""),"Satoshi")</f>
        <v>Satoshi</v>
      </c>
    </row>
    <row r="1637">
      <c r="A1637" s="41" t="str">
        <f>IFERROR(__xludf.DUMMYFUNCTION("""COMPUTED_VALUE"""),"RSC001637")</f>
        <v>RSC001637</v>
      </c>
      <c r="B1637" s="41" t="str">
        <f>IFERROR(__xludf.DUMMYFUNCTION("""COMPUTED_VALUE"""),"Saucy_Mexican")</f>
        <v>Saucy_Mexican</v>
      </c>
    </row>
    <row r="1638">
      <c r="A1638" s="41" t="str">
        <f>IFERROR(__xludf.DUMMYFUNCTION("""COMPUTED_VALUE"""),"RSC001638")</f>
        <v>RSC001638</v>
      </c>
      <c r="B1638" s="41" t="str">
        <f>IFERROR(__xludf.DUMMYFUNCTION("""COMPUTED_VALUE"""),"SavageNedved")</f>
        <v>SavageNedved</v>
      </c>
    </row>
    <row r="1639">
      <c r="A1639" s="41" t="str">
        <f>IFERROR(__xludf.DUMMYFUNCTION("""COMPUTED_VALUE"""),"RSC001639")</f>
        <v>RSC001639</v>
      </c>
      <c r="B1639" s="41" t="str">
        <f>IFERROR(__xludf.DUMMYFUNCTION("""COMPUTED_VALUE"""),"SavorySweets")</f>
        <v>SavorySweets</v>
      </c>
    </row>
    <row r="1640">
      <c r="A1640" s="41" t="str">
        <f>IFERROR(__xludf.DUMMYFUNCTION("""COMPUTED_VALUE"""),"RSC001640")</f>
        <v>RSC001640</v>
      </c>
      <c r="B1640" s="41" t="str">
        <f>IFERROR(__xludf.DUMMYFUNCTION("""COMPUTED_VALUE"""),"scott")</f>
        <v>scott</v>
      </c>
    </row>
    <row r="1641">
      <c r="A1641" s="41" t="str">
        <f>IFERROR(__xludf.DUMMYFUNCTION("""COMPUTED_VALUE"""),"RSC001641")</f>
        <v>RSC001641</v>
      </c>
      <c r="B1641" s="41" t="str">
        <f>IFERROR(__xludf.DUMMYFUNCTION("""COMPUTED_VALUE"""),"scraps674")</f>
        <v>scraps674</v>
      </c>
    </row>
    <row r="1642">
      <c r="A1642" s="41" t="str">
        <f>IFERROR(__xludf.DUMMYFUNCTION("""COMPUTED_VALUE"""),"RSC001642")</f>
        <v>RSC001642</v>
      </c>
      <c r="B1642" s="41" t="str">
        <f>IFERROR(__xludf.DUMMYFUNCTION("""COMPUTED_VALUE"""),"Script")</f>
        <v>Script</v>
      </c>
    </row>
    <row r="1643">
      <c r="A1643" s="41" t="str">
        <f>IFERROR(__xludf.DUMMYFUNCTION("""COMPUTED_VALUE"""),"RSC001643")</f>
        <v>RSC001643</v>
      </c>
      <c r="B1643" s="41" t="str">
        <f>IFERROR(__xludf.DUMMYFUNCTION("""COMPUTED_VALUE"""),"SebbyMcWester")</f>
        <v>SebbyMcWester</v>
      </c>
    </row>
    <row r="1644">
      <c r="A1644" s="41" t="str">
        <f>IFERROR(__xludf.DUMMYFUNCTION("""COMPUTED_VALUE"""),"RSC001644")</f>
        <v>RSC001644</v>
      </c>
      <c r="B1644" s="41" t="str">
        <f>IFERROR(__xludf.DUMMYFUNCTION("""COMPUTED_VALUE"""),"Sedna")</f>
        <v>Sedna</v>
      </c>
    </row>
    <row r="1645">
      <c r="A1645" s="41" t="str">
        <f>IFERROR(__xludf.DUMMYFUNCTION("""COMPUTED_VALUE"""),"RSC001645")</f>
        <v>RSC001645</v>
      </c>
      <c r="B1645" s="41" t="str">
        <f>IFERROR(__xludf.DUMMYFUNCTION("""COMPUTED_VALUE"""),"sembersolus")</f>
        <v>sembersolus</v>
      </c>
    </row>
    <row r="1646">
      <c r="A1646" s="41" t="str">
        <f>IFERROR(__xludf.DUMMYFUNCTION("""COMPUTED_VALUE"""),"RSC001646")</f>
        <v>RSC001646</v>
      </c>
      <c r="B1646" s="41" t="str">
        <f>IFERROR(__xludf.DUMMYFUNCTION("""COMPUTED_VALUE"""),"sequence210")</f>
        <v>sequence210</v>
      </c>
    </row>
    <row r="1647">
      <c r="A1647" s="41" t="str">
        <f>IFERROR(__xludf.DUMMYFUNCTION("""COMPUTED_VALUE"""),"RSC001647")</f>
        <v>RSC001647</v>
      </c>
      <c r="B1647" s="41" t="str">
        <f>IFERROR(__xludf.DUMMYFUNCTION("""COMPUTED_VALUE"""),"Shane_Klinger")</f>
        <v>Shane_Klinger</v>
      </c>
    </row>
    <row r="1648">
      <c r="A1648" s="41" t="str">
        <f>IFERROR(__xludf.DUMMYFUNCTION("""COMPUTED_VALUE"""),"RSC001648")</f>
        <v>RSC001648</v>
      </c>
      <c r="B1648" s="41" t="str">
        <f>IFERROR(__xludf.DUMMYFUNCTION("""COMPUTED_VALUE"""),"shane9b3")</f>
        <v>shane9b3</v>
      </c>
    </row>
    <row r="1649">
      <c r="A1649" s="41" t="str">
        <f>IFERROR(__xludf.DUMMYFUNCTION("""COMPUTED_VALUE"""),"RSC001649")</f>
        <v>RSC001649</v>
      </c>
      <c r="B1649" s="41" t="str">
        <f>IFERROR(__xludf.DUMMYFUNCTION("""COMPUTED_VALUE"""),"Grandplatt")</f>
        <v>Grandplatt</v>
      </c>
    </row>
    <row r="1650">
      <c r="A1650" s="41" t="str">
        <f>IFERROR(__xludf.DUMMYFUNCTION("""COMPUTED_VALUE"""),"RSC001650")</f>
        <v>RSC001650</v>
      </c>
      <c r="B1650" s="41" t="str">
        <f>IFERROR(__xludf.DUMMYFUNCTION("""COMPUTED_VALUE"""),"Shay")</f>
        <v>Shay</v>
      </c>
    </row>
    <row r="1651">
      <c r="A1651" s="41" t="str">
        <f>IFERROR(__xludf.DUMMYFUNCTION("""COMPUTED_VALUE"""),"RSC001651")</f>
        <v>RSC001651</v>
      </c>
      <c r="B1651" s="41" t="str">
        <f>IFERROR(__xludf.DUMMYFUNCTION("""COMPUTED_VALUE"""),"Shebloong")</f>
        <v>Shebloong</v>
      </c>
    </row>
    <row r="1652">
      <c r="A1652" s="41" t="str">
        <f>IFERROR(__xludf.DUMMYFUNCTION("""COMPUTED_VALUE"""),"RSC001652")</f>
        <v>RSC001652</v>
      </c>
      <c r="B1652" s="41" t="str">
        <f>IFERROR(__xludf.DUMMYFUNCTION("""COMPUTED_VALUE"""),"shepherd (Old)")</f>
        <v>shepherd (Old)</v>
      </c>
    </row>
    <row r="1653">
      <c r="A1653" s="41" t="str">
        <f>IFERROR(__xludf.DUMMYFUNCTION("""COMPUTED_VALUE"""),"RSC001653")</f>
        <v>RSC001653</v>
      </c>
      <c r="B1653" s="41" t="str">
        <f>IFERROR(__xludf.DUMMYFUNCTION("""COMPUTED_VALUE"""),"Shire")</f>
        <v>Shire</v>
      </c>
    </row>
    <row r="1654">
      <c r="A1654" s="41" t="str">
        <f>IFERROR(__xludf.DUMMYFUNCTION("""COMPUTED_VALUE"""),"RSC001654")</f>
        <v>RSC001654</v>
      </c>
      <c r="B1654" s="41" t="str">
        <f>IFERROR(__xludf.DUMMYFUNCTION("""COMPUTED_VALUE"""),"shmeep")</f>
        <v>shmeep</v>
      </c>
    </row>
    <row r="1655">
      <c r="A1655" s="41" t="str">
        <f>IFERROR(__xludf.DUMMYFUNCTION("""COMPUTED_VALUE"""),"RSC001655")</f>
        <v>RSC001655</v>
      </c>
      <c r="B1655" s="41" t="str">
        <f>IFERROR(__xludf.DUMMYFUNCTION("""COMPUTED_VALUE"""),"Shneaky")</f>
        <v>Shneaky</v>
      </c>
    </row>
    <row r="1656">
      <c r="A1656" s="41" t="str">
        <f>IFERROR(__xludf.DUMMYFUNCTION("""COMPUTED_VALUE"""),"RSC001656")</f>
        <v>RSC001656</v>
      </c>
      <c r="B1656" s="41" t="str">
        <f>IFERROR(__xludf.DUMMYFUNCTION("""COMPUTED_VALUE"""),"Shoey52(Nate)")</f>
        <v>Shoey52(Nate)</v>
      </c>
    </row>
    <row r="1657">
      <c r="A1657" s="41" t="str">
        <f>IFERROR(__xludf.DUMMYFUNCTION("""COMPUTED_VALUE"""),"RSC001657")</f>
        <v>RSC001657</v>
      </c>
      <c r="B1657" s="41" t="str">
        <f>IFERROR(__xludf.DUMMYFUNCTION("""COMPUTED_VALUE"""),"ShortBusMafia")</f>
        <v>ShortBusMafia</v>
      </c>
    </row>
    <row r="1658">
      <c r="A1658" s="41" t="str">
        <f>IFERROR(__xludf.DUMMYFUNCTION("""COMPUTED_VALUE"""),"RSC001658")</f>
        <v>RSC001658</v>
      </c>
      <c r="B1658" s="41" t="str">
        <f>IFERROR(__xludf.DUMMYFUNCTION("""COMPUTED_VALUE"""),"Shovel94")</f>
        <v>Shovel94</v>
      </c>
    </row>
    <row r="1659">
      <c r="A1659" s="41" t="str">
        <f>IFERROR(__xludf.DUMMYFUNCTION("""COMPUTED_VALUE"""),"RSC001659")</f>
        <v>RSC001659</v>
      </c>
      <c r="B1659" s="41" t="str">
        <f>IFERROR(__xludf.DUMMYFUNCTION("""COMPUTED_VALUE"""),"Shulta")</f>
        <v>Shulta</v>
      </c>
    </row>
    <row r="1660">
      <c r="A1660" s="41" t="str">
        <f>IFERROR(__xludf.DUMMYFUNCTION("""COMPUTED_VALUE"""),"RSC001660")</f>
        <v>RSC001660</v>
      </c>
      <c r="B1660" s="41" t="str">
        <f>IFERROR(__xludf.DUMMYFUNCTION("""COMPUTED_VALUE"""),"sidneycheeks")</f>
        <v>sidneycheeks</v>
      </c>
    </row>
    <row r="1661">
      <c r="A1661" s="41" t="str">
        <f>IFERROR(__xludf.DUMMYFUNCTION("""COMPUTED_VALUE"""),"RSC001661")</f>
        <v>RSC001661</v>
      </c>
      <c r="B1661" s="41" t="str">
        <f>IFERROR(__xludf.DUMMYFUNCTION("""COMPUTED_VALUE"""),"Sikess")</f>
        <v>Sikess</v>
      </c>
    </row>
    <row r="1662">
      <c r="A1662" s="41" t="str">
        <f>IFERROR(__xludf.DUMMYFUNCTION("""COMPUTED_VALUE"""),"RSC001662")</f>
        <v>RSC001662</v>
      </c>
      <c r="B1662" s="41" t="str">
        <f>IFERROR(__xludf.DUMMYFUNCTION("""COMPUTED_VALUE"""),"Silent Seraph")</f>
        <v>Silent Seraph</v>
      </c>
    </row>
    <row r="1663">
      <c r="A1663" s="41" t="str">
        <f>IFERROR(__xludf.DUMMYFUNCTION("""COMPUTED_VALUE"""),"RSC001663")</f>
        <v>RSC001663</v>
      </c>
      <c r="B1663" s="41" t="str">
        <f>IFERROR(__xludf.DUMMYFUNCTION("""COMPUTED_VALUE"""),"silent_fart_bubble")</f>
        <v>silent_fart_bubble</v>
      </c>
    </row>
    <row r="1664">
      <c r="A1664" s="41" t="str">
        <f>IFERROR(__xludf.DUMMYFUNCTION("""COMPUTED_VALUE"""),"RSC001664")</f>
        <v>RSC001664</v>
      </c>
      <c r="B1664" s="41" t="str">
        <f>IFERROR(__xludf.DUMMYFUNCTION("""COMPUTED_VALUE"""),"SilverKing98")</f>
        <v>SilverKing98</v>
      </c>
    </row>
    <row r="1665">
      <c r="A1665" s="41" t="str">
        <f>IFERROR(__xludf.DUMMYFUNCTION("""COMPUTED_VALUE"""),"RSC001665")</f>
        <v>RSC001665</v>
      </c>
      <c r="B1665" s="41" t="str">
        <f>IFERROR(__xludf.DUMMYFUNCTION("""COMPUTED_VALUE"""),"Sinatra")</f>
        <v>Sinatra</v>
      </c>
    </row>
    <row r="1666">
      <c r="A1666" s="41" t="str">
        <f>IFERROR(__xludf.DUMMYFUNCTION("""COMPUTED_VALUE"""),"RSC001666")</f>
        <v>RSC001666</v>
      </c>
      <c r="B1666" s="41" t="str">
        <f>IFERROR(__xludf.DUMMYFUNCTION("""COMPUTED_VALUE"""),"Sinworth aka R.L.")</f>
        <v>Sinworth aka R.L.</v>
      </c>
    </row>
    <row r="1667">
      <c r="A1667" s="41" t="str">
        <f>IFERROR(__xludf.DUMMYFUNCTION("""COMPUTED_VALUE"""),"RSC001667")</f>
        <v>RSC001667</v>
      </c>
      <c r="B1667" s="41" t="str">
        <f>IFERROR(__xludf.DUMMYFUNCTION("""COMPUTED_VALUE"""),"Sipe")</f>
        <v>Sipe</v>
      </c>
    </row>
    <row r="1668">
      <c r="A1668" s="41" t="str">
        <f>IFERROR(__xludf.DUMMYFUNCTION("""COMPUTED_VALUE"""),"RSC001668")</f>
        <v>RSC001668</v>
      </c>
      <c r="B1668" s="41" t="str">
        <f>IFERROR(__xludf.DUMMYFUNCTION("""COMPUTED_VALUE"""),"Siq")</f>
        <v>Siq</v>
      </c>
    </row>
    <row r="1669">
      <c r="A1669" s="41" t="str">
        <f>IFERROR(__xludf.DUMMYFUNCTION("""COMPUTED_VALUE"""),"RSC001669")</f>
        <v>RSC001669</v>
      </c>
      <c r="B1669" s="41" t="str">
        <f>IFERROR(__xludf.DUMMYFUNCTION("""COMPUTED_VALUE"""),"Sir Acha")</f>
        <v>Sir Acha</v>
      </c>
    </row>
    <row r="1670">
      <c r="A1670" s="41" t="str">
        <f>IFERROR(__xludf.DUMMYFUNCTION("""COMPUTED_VALUE"""),"RSC001670")</f>
        <v>RSC001670</v>
      </c>
      <c r="B1670" s="41" t="str">
        <f>IFERROR(__xludf.DUMMYFUNCTION("""COMPUTED_VALUE"""),"Sir Linko")</f>
        <v>Sir Linko</v>
      </c>
    </row>
    <row r="1671">
      <c r="A1671" s="41" t="str">
        <f>IFERROR(__xludf.DUMMYFUNCTION("""COMPUTED_VALUE"""),"RSC001671")</f>
        <v>RSC001671</v>
      </c>
      <c r="B1671" s="41" t="str">
        <f>IFERROR(__xludf.DUMMYFUNCTION("""COMPUTED_VALUE"""),"Siyyo")</f>
        <v>Siyyo</v>
      </c>
    </row>
    <row r="1672">
      <c r="A1672" s="41" t="str">
        <f>IFERROR(__xludf.DUMMYFUNCTION("""COMPUTED_VALUE"""),"RSC001672")</f>
        <v>RSC001672</v>
      </c>
      <c r="B1672" s="41" t="str">
        <f>IFERROR(__xludf.DUMMYFUNCTION("""COMPUTED_VALUE"""),"Skillz_2424")</f>
        <v>Skillz_2424</v>
      </c>
    </row>
    <row r="1673">
      <c r="A1673" s="41" t="str">
        <f>IFERROR(__xludf.DUMMYFUNCTION("""COMPUTED_VALUE"""),"RSC001673")</f>
        <v>RSC001673</v>
      </c>
      <c r="B1673" s="41" t="str">
        <f>IFERROR(__xludf.DUMMYFUNCTION("""COMPUTED_VALUE"""),"Skoden")</f>
        <v>Skoden</v>
      </c>
    </row>
    <row r="1674">
      <c r="A1674" s="41" t="str">
        <f>IFERROR(__xludf.DUMMYFUNCTION("""COMPUTED_VALUE"""),"RSC001674")</f>
        <v>RSC001674</v>
      </c>
      <c r="B1674" s="41" t="str">
        <f>IFERROR(__xludf.DUMMYFUNCTION("""COMPUTED_VALUE"""),"skrooms")</f>
        <v>skrooms</v>
      </c>
    </row>
    <row r="1675">
      <c r="A1675" s="41" t="str">
        <f>IFERROR(__xludf.DUMMYFUNCTION("""COMPUTED_VALUE"""),"RSC001675")</f>
        <v>RSC001675</v>
      </c>
      <c r="B1675" s="41" t="str">
        <f>IFERROR(__xludf.DUMMYFUNCTION("""COMPUTED_VALUE"""),"Skuddle")</f>
        <v>Skuddle</v>
      </c>
    </row>
    <row r="1676">
      <c r="A1676" s="41" t="str">
        <f>IFERROR(__xludf.DUMMYFUNCTION("""COMPUTED_VALUE"""),"RSC001676")</f>
        <v>RSC001676</v>
      </c>
      <c r="B1676" s="41" t="str">
        <f>IFERROR(__xludf.DUMMYFUNCTION("""COMPUTED_VALUE"""),"Skull (Change)")</f>
        <v>Skull (Change)</v>
      </c>
    </row>
    <row r="1677">
      <c r="A1677" s="41" t="str">
        <f>IFERROR(__xludf.DUMMYFUNCTION("""COMPUTED_VALUE"""),"RSC001677")</f>
        <v>RSC001677</v>
      </c>
      <c r="B1677" s="41" t="str">
        <f>IFERROR(__xludf.DUMMYFUNCTION("""COMPUTED_VALUE"""),"SkunkedBrew")</f>
        <v>SkunkedBrew</v>
      </c>
    </row>
    <row r="1678">
      <c r="A1678" s="41" t="str">
        <f>IFERROR(__xludf.DUMMYFUNCTION("""COMPUTED_VALUE"""),"RSC001678")</f>
        <v>RSC001678</v>
      </c>
      <c r="B1678" s="41" t="str">
        <f>IFERROR(__xludf.DUMMYFUNCTION("""COMPUTED_VALUE"""),"Sleegi")</f>
        <v>Sleegi</v>
      </c>
    </row>
    <row r="1679">
      <c r="A1679" s="41" t="str">
        <f>IFERROR(__xludf.DUMMYFUNCTION("""COMPUTED_VALUE"""),"RSC001679")</f>
        <v>RSC001679</v>
      </c>
      <c r="B1679" s="41" t="str">
        <f>IFERROR(__xludf.DUMMYFUNCTION("""COMPUTED_VALUE"""),"Sleepless")</f>
        <v>Sleepless</v>
      </c>
    </row>
    <row r="1680">
      <c r="A1680" s="41" t="str">
        <f>IFERROR(__xludf.DUMMYFUNCTION("""COMPUTED_VALUE"""),"RSC001680")</f>
        <v>RSC001680</v>
      </c>
      <c r="B1680" s="41" t="str">
        <f>IFERROR(__xludf.DUMMYFUNCTION("""COMPUTED_VALUE"""),"Slick")</f>
        <v>Slick</v>
      </c>
    </row>
    <row r="1681">
      <c r="A1681" s="41" t="str">
        <f>IFERROR(__xludf.DUMMYFUNCTION("""COMPUTED_VALUE"""),"RSC001681")</f>
        <v>RSC001681</v>
      </c>
      <c r="B1681" s="41" t="str">
        <f>IFERROR(__xludf.DUMMYFUNCTION("""COMPUTED_VALUE"""),"SlickTrixy")</f>
        <v>SlickTrixy</v>
      </c>
    </row>
    <row r="1682">
      <c r="A1682" s="41" t="str">
        <f>IFERROR(__xludf.DUMMYFUNCTION("""COMPUTED_VALUE"""),"RSC001682")</f>
        <v>RSC001682</v>
      </c>
      <c r="B1682" s="41" t="str">
        <f>IFERROR(__xludf.DUMMYFUNCTION("""COMPUTED_VALUE"""),"Slim")</f>
        <v>Slim</v>
      </c>
    </row>
    <row r="1683">
      <c r="A1683" s="41" t="str">
        <f>IFERROR(__xludf.DUMMYFUNCTION("""COMPUTED_VALUE"""),"RSC001683")</f>
        <v>RSC001683</v>
      </c>
      <c r="B1683" s="41" t="str">
        <f>IFERROR(__xludf.DUMMYFUNCTION("""COMPUTED_VALUE"""),"SlurpinDudesForCash")</f>
        <v>SlurpinDudesForCash</v>
      </c>
    </row>
    <row r="1684">
      <c r="A1684" s="41" t="str">
        <f>IFERROR(__xludf.DUMMYFUNCTION("""COMPUTED_VALUE"""),"RSC001684")</f>
        <v>RSC001684</v>
      </c>
      <c r="B1684" s="41" t="str">
        <f>IFERROR(__xludf.DUMMYFUNCTION("""COMPUTED_VALUE"""),"Smok")</f>
        <v>Smok</v>
      </c>
    </row>
    <row r="1685">
      <c r="A1685" s="41" t="str">
        <f>IFERROR(__xludf.DUMMYFUNCTION("""COMPUTED_VALUE"""),"RSC001685")</f>
        <v>RSC001685</v>
      </c>
      <c r="B1685" s="41" t="str">
        <f>IFERROR(__xludf.DUMMYFUNCTION("""COMPUTED_VALUE"""),"snorkz")</f>
        <v>snorkz</v>
      </c>
    </row>
    <row r="1686">
      <c r="A1686" s="41" t="str">
        <f>IFERROR(__xludf.DUMMYFUNCTION("""COMPUTED_VALUE"""),"RSC001686")</f>
        <v>RSC001686</v>
      </c>
      <c r="B1686" s="41" t="str">
        <f>IFERROR(__xludf.DUMMYFUNCTION("""COMPUTED_VALUE"""),"Snowyfeather")</f>
        <v>Snowyfeather</v>
      </c>
    </row>
    <row r="1687">
      <c r="A1687" s="41" t="str">
        <f>IFERROR(__xludf.DUMMYFUNCTION("""COMPUTED_VALUE"""),"RSC001687")</f>
        <v>RSC001687</v>
      </c>
      <c r="B1687" s="41" t="str">
        <f>IFERROR(__xludf.DUMMYFUNCTION("""COMPUTED_VALUE"""),"SodoSopa")</f>
        <v>SodoSopa</v>
      </c>
    </row>
    <row r="1688">
      <c r="A1688" s="41" t="str">
        <f>IFERROR(__xludf.DUMMYFUNCTION("""COMPUTED_VALUE"""),"RSC001688")</f>
        <v>RSC001688</v>
      </c>
      <c r="B1688" s="41" t="str">
        <f>IFERROR(__xludf.DUMMYFUNCTION("""COMPUTED_VALUE"""),"Sojourner")</f>
        <v>Sojourner</v>
      </c>
    </row>
    <row r="1689">
      <c r="A1689" s="41" t="str">
        <f>IFERROR(__xludf.DUMMYFUNCTION("""COMPUTED_VALUE"""),"RSC001689")</f>
        <v>RSC001689</v>
      </c>
      <c r="B1689" s="41" t="str">
        <f>IFERROR(__xludf.DUMMYFUNCTION("""COMPUTED_VALUE"""),"Solar.")</f>
        <v>Solar.</v>
      </c>
    </row>
    <row r="1690">
      <c r="A1690" s="41" t="str">
        <f>IFERROR(__xludf.DUMMYFUNCTION("""COMPUTED_VALUE"""),"RSC001690")</f>
        <v>RSC001690</v>
      </c>
      <c r="B1690" s="41" t="str">
        <f>IFERROR(__xludf.DUMMYFUNCTION("""COMPUTED_VALUE"""),"SOLDIER-IN-HELL")</f>
        <v>SOLDIER-IN-HELL</v>
      </c>
    </row>
    <row r="1691">
      <c r="A1691" s="41" t="str">
        <f>IFERROR(__xludf.DUMMYFUNCTION("""COMPUTED_VALUE"""),"RSC001691")</f>
        <v>RSC001691</v>
      </c>
      <c r="B1691" s="41" t="str">
        <f>IFERROR(__xludf.DUMMYFUNCTION("""COMPUTED_VALUE"""),"Solize")</f>
        <v>Solize</v>
      </c>
    </row>
    <row r="1692">
      <c r="A1692" s="41" t="str">
        <f>IFERROR(__xludf.DUMMYFUNCTION("""COMPUTED_VALUE"""),"RSC001692")</f>
        <v>RSC001692</v>
      </c>
      <c r="B1692" s="41" t="str">
        <f>IFERROR(__xludf.DUMMYFUNCTION("""COMPUTED_VALUE"""),"Sonu")</f>
        <v>Sonu</v>
      </c>
    </row>
    <row r="1693">
      <c r="A1693" s="41" t="str">
        <f>IFERROR(__xludf.DUMMYFUNCTION("""COMPUTED_VALUE"""),"RSC001693")</f>
        <v>RSC001693</v>
      </c>
      <c r="B1693" s="41" t="str">
        <f>IFERROR(__xludf.DUMMYFUNCTION("""COMPUTED_VALUE"""),"soundclip")</f>
        <v>soundclip</v>
      </c>
    </row>
    <row r="1694">
      <c r="A1694" s="41" t="str">
        <f>IFERROR(__xludf.DUMMYFUNCTION("""COMPUTED_VALUE"""),"RSC001694")</f>
        <v>RSC001694</v>
      </c>
      <c r="B1694" s="41" t="str">
        <f>IFERROR(__xludf.DUMMYFUNCTION("""COMPUTED_VALUE"""),"Soxs")</f>
        <v>Soxs</v>
      </c>
    </row>
    <row r="1695">
      <c r="A1695" s="41" t="str">
        <f>IFERROR(__xludf.DUMMYFUNCTION("""COMPUTED_VALUE"""),"RSC001695")</f>
        <v>RSC001695</v>
      </c>
      <c r="B1695" s="41" t="str">
        <f>IFERROR(__xludf.DUMMYFUNCTION("""COMPUTED_VALUE"""),"Sp1xe.")</f>
        <v>Sp1xe.</v>
      </c>
    </row>
    <row r="1696">
      <c r="A1696" s="41" t="str">
        <f>IFERROR(__xludf.DUMMYFUNCTION("""COMPUTED_VALUE"""),"RSC001696")</f>
        <v>RSC001696</v>
      </c>
      <c r="B1696" s="41" t="str">
        <f>IFERROR(__xludf.DUMMYFUNCTION("""COMPUTED_VALUE"""),"Spaceage Maymay")</f>
        <v>Spaceage Maymay</v>
      </c>
    </row>
    <row r="1697">
      <c r="A1697" s="41" t="str">
        <f>IFERROR(__xludf.DUMMYFUNCTION("""COMPUTED_VALUE"""),"RSC001697")</f>
        <v>RSC001697</v>
      </c>
      <c r="B1697" s="41" t="str">
        <f>IFERROR(__xludf.DUMMYFUNCTION("""COMPUTED_VALUE"""),"spadl")</f>
        <v>spadl</v>
      </c>
    </row>
    <row r="1698">
      <c r="A1698" s="41" t="str">
        <f>IFERROR(__xludf.DUMMYFUNCTION("""COMPUTED_VALUE"""),"RSC001698")</f>
        <v>RSC001698</v>
      </c>
      <c r="B1698" s="41" t="str">
        <f>IFERROR(__xludf.DUMMYFUNCTION("""COMPUTED_VALUE"""),"sparkcity")</f>
        <v>sparkcity</v>
      </c>
    </row>
    <row r="1699">
      <c r="A1699" s="41" t="str">
        <f>IFERROR(__xludf.DUMMYFUNCTION("""COMPUTED_VALUE"""),"RSC001699")</f>
        <v>RSC001699</v>
      </c>
      <c r="B1699" s="41" t="str">
        <f>IFERROR(__xludf.DUMMYFUNCTION("""COMPUTED_VALUE"""),"Spectral")</f>
        <v>Spectral</v>
      </c>
    </row>
    <row r="1700">
      <c r="A1700" s="41" t="str">
        <f>IFERROR(__xludf.DUMMYFUNCTION("""COMPUTED_VALUE"""),"RSC001700")</f>
        <v>RSC001700</v>
      </c>
      <c r="B1700" s="41" t="str">
        <f>IFERROR(__xludf.DUMMYFUNCTION("""COMPUTED_VALUE"""),"Speddybob")</f>
        <v>Speddybob</v>
      </c>
    </row>
    <row r="1701">
      <c r="A1701" s="41" t="str">
        <f>IFERROR(__xludf.DUMMYFUNCTION("""COMPUTED_VALUE"""),"RSC001701")</f>
        <v>RSC001701</v>
      </c>
      <c r="B1701" s="41" t="str">
        <f>IFERROR(__xludf.DUMMYFUNCTION("""COMPUTED_VALUE"""),"SplitParadox")</f>
        <v>SplitParadox</v>
      </c>
    </row>
    <row r="1702">
      <c r="A1702" s="41" t="str">
        <f>IFERROR(__xludf.DUMMYFUNCTION("""COMPUTED_VALUE"""),"RSC001702")</f>
        <v>RSC001702</v>
      </c>
      <c r="B1702" s="41" t="str">
        <f>IFERROR(__xludf.DUMMYFUNCTION("""COMPUTED_VALUE"""),"spoody01")</f>
        <v>spoody01</v>
      </c>
    </row>
    <row r="1703">
      <c r="A1703" s="41" t="str">
        <f>IFERROR(__xludf.DUMMYFUNCTION("""COMPUTED_VALUE"""),"RSC001703")</f>
        <v>RSC001703</v>
      </c>
      <c r="B1703" s="41" t="str">
        <f>IFERROR(__xludf.DUMMYFUNCTION("""COMPUTED_VALUE"""),"Spoopy Ougi")</f>
        <v>Spoopy Ougi</v>
      </c>
    </row>
    <row r="1704">
      <c r="A1704" s="41" t="str">
        <f>IFERROR(__xludf.DUMMYFUNCTION("""COMPUTED_VALUE"""),"RSC001704")</f>
        <v>RSC001704</v>
      </c>
      <c r="B1704" s="41" t="str">
        <f>IFERROR(__xludf.DUMMYFUNCTION("""COMPUTED_VALUE"""),"Spyhop")</f>
        <v>Spyhop</v>
      </c>
    </row>
    <row r="1705">
      <c r="A1705" s="41" t="str">
        <f>IFERROR(__xludf.DUMMYFUNCTION("""COMPUTED_VALUE"""),"RSC001705")</f>
        <v>RSC001705</v>
      </c>
      <c r="B1705" s="41" t="str">
        <f>IFERROR(__xludf.DUMMYFUNCTION("""COMPUTED_VALUE"""),"Squashie14")</f>
        <v>Squashie14</v>
      </c>
    </row>
    <row r="1706">
      <c r="A1706" s="41" t="str">
        <f>IFERROR(__xludf.DUMMYFUNCTION("""COMPUTED_VALUE"""),"RSC001706")</f>
        <v>RSC001706</v>
      </c>
      <c r="B1706" s="41" t="str">
        <f>IFERROR(__xludf.DUMMYFUNCTION("""COMPUTED_VALUE"""),"Squatchy")</f>
        <v>Squatchy</v>
      </c>
    </row>
    <row r="1707">
      <c r="A1707" s="41" t="str">
        <f>IFERROR(__xludf.DUMMYFUNCTION("""COMPUTED_VALUE"""),"RSC001707")</f>
        <v>RSC001707</v>
      </c>
      <c r="B1707" s="41" t="str">
        <f>IFERROR(__xludf.DUMMYFUNCTION("""COMPUTED_VALUE"""),"ssstg24")</f>
        <v>ssstg24</v>
      </c>
    </row>
    <row r="1708">
      <c r="A1708" s="41" t="str">
        <f>IFERROR(__xludf.DUMMYFUNCTION("""COMPUTED_VALUE"""),"RSC001708")</f>
        <v>RSC001708</v>
      </c>
      <c r="B1708" s="41" t="str">
        <f>IFERROR(__xludf.DUMMYFUNCTION("""COMPUTED_VALUE"""),"starmancer")</f>
        <v>starmancer</v>
      </c>
    </row>
    <row r="1709">
      <c r="A1709" s="41" t="str">
        <f>IFERROR(__xludf.DUMMYFUNCTION("""COMPUTED_VALUE"""),"RSC001709")</f>
        <v>RSC001709</v>
      </c>
      <c r="B1709" s="41" t="str">
        <f>IFERROR(__xludf.DUMMYFUNCTION("""COMPUTED_VALUE"""),"Stefek")</f>
        <v>Stefek</v>
      </c>
    </row>
    <row r="1710">
      <c r="A1710" s="41" t="str">
        <f>IFERROR(__xludf.DUMMYFUNCTION("""COMPUTED_VALUE"""),"RSC001710")</f>
        <v>RSC001710</v>
      </c>
      <c r="B1710" s="41" t="str">
        <f>IFERROR(__xludf.DUMMYFUNCTION("""COMPUTED_VALUE"""),"Stoner Dog")</f>
        <v>Stoner Dog</v>
      </c>
    </row>
    <row r="1711">
      <c r="A1711" s="41" t="str">
        <f>IFERROR(__xludf.DUMMYFUNCTION("""COMPUTED_VALUE"""),"RSC001711")</f>
        <v>RSC001711</v>
      </c>
      <c r="B1711" s="41" t="str">
        <f>IFERROR(__xludf.DUMMYFUNCTION("""COMPUTED_VALUE"""),"Xerohni")</f>
        <v>Xerohni</v>
      </c>
    </row>
    <row r="1712">
      <c r="A1712" s="41" t="str">
        <f>IFERROR(__xludf.DUMMYFUNCTION("""COMPUTED_VALUE"""),"RSC001712")</f>
        <v>RSC001712</v>
      </c>
      <c r="B1712" s="41" t="str">
        <f>IFERROR(__xludf.DUMMYFUNCTION("""COMPUTED_VALUE"""),"StormBlessedCrab")</f>
        <v>StormBlessedCrab</v>
      </c>
    </row>
    <row r="1713">
      <c r="A1713" s="41" t="str">
        <f>IFERROR(__xludf.DUMMYFUNCTION("""COMPUTED_VALUE"""),"RSC001713")</f>
        <v>RSC001713</v>
      </c>
      <c r="B1713" s="41" t="str">
        <f>IFERROR(__xludf.DUMMYFUNCTION("""COMPUTED_VALUE"""),"StormDC")</f>
        <v>StormDC</v>
      </c>
    </row>
    <row r="1714">
      <c r="A1714" s="41" t="str">
        <f>IFERROR(__xludf.DUMMYFUNCTION("""COMPUTED_VALUE"""),"RSC001714")</f>
        <v>RSC001714</v>
      </c>
      <c r="B1714" s="41" t="str">
        <f>IFERROR(__xludf.DUMMYFUNCTION("""COMPUTED_VALUE"""),"stv")</f>
        <v>stv</v>
      </c>
    </row>
    <row r="1715">
      <c r="A1715" s="41" t="str">
        <f>IFERROR(__xludf.DUMMYFUNCTION("""COMPUTED_VALUE"""),"RSC001715")</f>
        <v>RSC001715</v>
      </c>
      <c r="B1715" s="41" t="str">
        <f>IFERROR(__xludf.DUMMYFUNCTION("""COMPUTED_VALUE"""),"striker3034")</f>
        <v>striker3034</v>
      </c>
    </row>
    <row r="1716">
      <c r="A1716" s="41" t="str">
        <f>IFERROR(__xludf.DUMMYFUNCTION("""COMPUTED_VALUE"""),"RSC001716")</f>
        <v>RSC001716</v>
      </c>
      <c r="B1716" s="41" t="str">
        <f>IFERROR(__xludf.DUMMYFUNCTION("""COMPUTED_VALUE"""),"Strudel")</f>
        <v>Strudel</v>
      </c>
    </row>
    <row r="1717">
      <c r="A1717" s="41" t="str">
        <f>IFERROR(__xludf.DUMMYFUNCTION("""COMPUTED_VALUE"""),"RSC001717")</f>
        <v>RSC001717</v>
      </c>
      <c r="B1717" s="41" t="str">
        <f>IFERROR(__xludf.DUMMYFUNCTION("""COMPUTED_VALUE"""),"studmuffin")</f>
        <v>studmuffin</v>
      </c>
    </row>
    <row r="1718">
      <c r="A1718" s="41" t="str">
        <f>IFERROR(__xludf.DUMMYFUNCTION("""COMPUTED_VALUE"""),"RSC001718")</f>
        <v>RSC001718</v>
      </c>
      <c r="B1718" s="41" t="str">
        <f>IFERROR(__xludf.DUMMYFUNCTION("""COMPUTED_VALUE"""),"Sug")</f>
        <v>Sug</v>
      </c>
    </row>
    <row r="1719">
      <c r="A1719" s="41" t="str">
        <f>IFERROR(__xludf.DUMMYFUNCTION("""COMPUTED_VALUE"""),"RSC001719")</f>
        <v>RSC001719</v>
      </c>
      <c r="B1719" s="41" t="str">
        <f>IFERROR(__xludf.DUMMYFUNCTION("""COMPUTED_VALUE"""),"Sugar")</f>
        <v>Sugar</v>
      </c>
    </row>
    <row r="1720">
      <c r="A1720" s="41" t="str">
        <f>IFERROR(__xludf.DUMMYFUNCTION("""COMPUTED_VALUE"""),"RSC001720")</f>
        <v>RSC001720</v>
      </c>
      <c r="B1720" s="41" t="str">
        <f>IFERROR(__xludf.DUMMYFUNCTION("""COMPUTED_VALUE"""),"SUPERDUPERBAM")</f>
        <v>SUPERDUPERBAM</v>
      </c>
    </row>
    <row r="1721">
      <c r="A1721" s="41" t="str">
        <f>IFERROR(__xludf.DUMMYFUNCTION("""COMPUTED_VALUE"""),"RSC001721")</f>
        <v>RSC001721</v>
      </c>
      <c r="B1721" s="41" t="str">
        <f>IFERROR(__xludf.DUMMYFUNCTION("""COMPUTED_VALUE"""),"superjohnny33")</f>
        <v>superjohnny33</v>
      </c>
    </row>
    <row r="1722">
      <c r="A1722" s="41" t="str">
        <f>IFERROR(__xludf.DUMMYFUNCTION("""COMPUTED_VALUE"""),"RSC001722")</f>
        <v>RSC001722</v>
      </c>
      <c r="B1722" s="41" t="str">
        <f>IFERROR(__xludf.DUMMYFUNCTION("""COMPUTED_VALUE"""),"Supernova4260")</f>
        <v>Supernova4260</v>
      </c>
    </row>
    <row r="1723">
      <c r="A1723" s="41" t="str">
        <f>IFERROR(__xludf.DUMMYFUNCTION("""COMPUTED_VALUE"""),"RSC001723")</f>
        <v>RSC001723</v>
      </c>
      <c r="B1723" s="41" t="str">
        <f>IFERROR(__xludf.DUMMYFUNCTION("""COMPUTED_VALUE"""),"superrelayrunner")</f>
        <v>superrelayrunner</v>
      </c>
    </row>
    <row r="1724">
      <c r="A1724" s="41" t="str">
        <f>IFERROR(__xludf.DUMMYFUNCTION("""COMPUTED_VALUE"""),"RSC001724")</f>
        <v>RSC001724</v>
      </c>
      <c r="B1724" s="41" t="str">
        <f>IFERROR(__xludf.DUMMYFUNCTION("""COMPUTED_VALUE"""),"sweetnlow120")</f>
        <v>sweetnlow120</v>
      </c>
    </row>
    <row r="1725">
      <c r="A1725" s="41" t="str">
        <f>IFERROR(__xludf.DUMMYFUNCTION("""COMPUTED_VALUE"""),"RSC001725")</f>
        <v>RSC001725</v>
      </c>
      <c r="B1725" s="41" t="str">
        <f>IFERROR(__xludf.DUMMYFUNCTION("""COMPUTED_VALUE"""),"Swoops")</f>
        <v>Swoops</v>
      </c>
    </row>
    <row r="1726">
      <c r="A1726" s="41" t="str">
        <f>IFERROR(__xludf.DUMMYFUNCTION("""COMPUTED_VALUE"""),"RSC001726")</f>
        <v>RSC001726</v>
      </c>
      <c r="B1726" s="41" t="str">
        <f>IFERROR(__xludf.DUMMYFUNCTION("""COMPUTED_VALUE"""),"SXD")</f>
        <v>SXD</v>
      </c>
    </row>
    <row r="1727">
      <c r="A1727" s="41" t="str">
        <f>IFERROR(__xludf.DUMMYFUNCTION("""COMPUTED_VALUE"""),"RSC001727")</f>
        <v>RSC001727</v>
      </c>
      <c r="B1727" s="41" t="str">
        <f>IFERROR(__xludf.DUMMYFUNCTION("""COMPUTED_VALUE"""),"Syn")</f>
        <v>Syn</v>
      </c>
    </row>
    <row r="1728">
      <c r="A1728" s="41" t="str">
        <f>IFERROR(__xludf.DUMMYFUNCTION("""COMPUTED_VALUE"""),"RSC001728")</f>
        <v>RSC001728</v>
      </c>
      <c r="B1728" s="41" t="str">
        <f>IFERROR(__xludf.DUMMYFUNCTION("""COMPUTED_VALUE"""),"T h i c c - N - T a s t y")</f>
        <v>T h i c c - N - T a s t y</v>
      </c>
    </row>
    <row r="1729">
      <c r="A1729" s="41" t="str">
        <f>IFERROR(__xludf.DUMMYFUNCTION("""COMPUTED_VALUE"""),"RSC001729")</f>
        <v>RSC001729</v>
      </c>
      <c r="B1729" s="41" t="str">
        <f>IFERROR(__xludf.DUMMYFUNCTION("""COMPUTED_VALUE"""),"T_Hoyle44")</f>
        <v>T_Hoyle44</v>
      </c>
    </row>
    <row r="1730">
      <c r="A1730" s="41" t="str">
        <f>IFERROR(__xludf.DUMMYFUNCTION("""COMPUTED_VALUE"""),"RSC001730")</f>
        <v>RSC001730</v>
      </c>
      <c r="B1730" s="41" t="str">
        <f>IFERROR(__xludf.DUMMYFUNCTION("""COMPUTED_VALUE"""),"Tacomnivore")</f>
        <v>Tacomnivore</v>
      </c>
    </row>
    <row r="1731">
      <c r="A1731" s="41" t="str">
        <f>IFERROR(__xludf.DUMMYFUNCTION("""COMPUTED_VALUE"""),"RSC001731")</f>
        <v>RSC001731</v>
      </c>
      <c r="B1731" s="41" t="str">
        <f>IFERROR(__xludf.DUMMYFUNCTION("""COMPUTED_VALUE"""),"tbarlow4")</f>
        <v>tbarlow4</v>
      </c>
    </row>
    <row r="1732">
      <c r="A1732" s="41" t="str">
        <f>IFERROR(__xludf.DUMMYFUNCTION("""COMPUTED_VALUE"""),"RSC001732")</f>
        <v>RSC001732</v>
      </c>
      <c r="B1732" s="41" t="str">
        <f>IFERROR(__xludf.DUMMYFUNCTION("""COMPUTED_VALUE"""),"TDMJ4")</f>
        <v>TDMJ4</v>
      </c>
    </row>
    <row r="1733">
      <c r="A1733" s="41" t="str">
        <f>IFERROR(__xludf.DUMMYFUNCTION("""COMPUTED_VALUE"""),"RSC001733")</f>
        <v>RSC001733</v>
      </c>
      <c r="B1733" s="41" t="str">
        <f>IFERROR(__xludf.DUMMYFUNCTION("""COMPUTED_VALUE"""),"Teelore")</f>
        <v>Teelore</v>
      </c>
    </row>
    <row r="1734">
      <c r="A1734" s="41" t="str">
        <f>IFERROR(__xludf.DUMMYFUNCTION("""COMPUTED_VALUE"""),"RSC001734")</f>
        <v>RSC001734</v>
      </c>
      <c r="B1734" s="41" t="str">
        <f>IFERROR(__xludf.DUMMYFUNCTION("""COMPUTED_VALUE"""),"teh1337z")</f>
        <v>teh1337z</v>
      </c>
    </row>
    <row r="1735">
      <c r="A1735" s="41" t="str">
        <f>IFERROR(__xludf.DUMMYFUNCTION("""COMPUTED_VALUE"""),"RSC001735")</f>
        <v>RSC001735</v>
      </c>
      <c r="B1735" s="41" t="str">
        <f>IFERROR(__xludf.DUMMYFUNCTION("""COMPUTED_VALUE"""),"tekn0wledg")</f>
        <v>tekn0wledg</v>
      </c>
    </row>
    <row r="1736">
      <c r="A1736" s="41" t="str">
        <f>IFERROR(__xludf.DUMMYFUNCTION("""COMPUTED_VALUE"""),"RSC001736")</f>
        <v>RSC001736</v>
      </c>
      <c r="B1736" s="41" t="str">
        <f>IFERROR(__xludf.DUMMYFUNCTION("""COMPUTED_VALUE"""),"terminal_saint")</f>
        <v>terminal_saint</v>
      </c>
    </row>
    <row r="1737">
      <c r="A1737" s="41" t="str">
        <f>IFERROR(__xludf.DUMMYFUNCTION("""COMPUTED_VALUE"""),"RSC001737")</f>
        <v>RSC001737</v>
      </c>
      <c r="B1737" s="41" t="str">
        <f>IFERROR(__xludf.DUMMYFUNCTION("""COMPUTED_VALUE"""),"The Big C")</f>
        <v>The Big C</v>
      </c>
    </row>
    <row r="1738">
      <c r="A1738" s="41" t="str">
        <f>IFERROR(__xludf.DUMMYFUNCTION("""COMPUTED_VALUE"""),"RSC001738")</f>
        <v>RSC001738</v>
      </c>
      <c r="B1738" s="41" t="str">
        <f>IFERROR(__xludf.DUMMYFUNCTION("""COMPUTED_VALUE"""),"The iRelevent Darkness")</f>
        <v>The iRelevent Darkness</v>
      </c>
    </row>
    <row r="1739">
      <c r="A1739" s="41" t="str">
        <f>IFERROR(__xludf.DUMMYFUNCTION("""COMPUTED_VALUE"""),"RSC001739")</f>
        <v>RSC001739</v>
      </c>
      <c r="B1739" s="41" t="str">
        <f>IFERROR(__xludf.DUMMYFUNCTION("""COMPUTED_VALUE"""),"TheFifthAndrew")</f>
        <v>TheFifthAndrew</v>
      </c>
    </row>
    <row r="1740">
      <c r="A1740" s="41" t="str">
        <f>IFERROR(__xludf.DUMMYFUNCTION("""COMPUTED_VALUE"""),"RSC001740")</f>
        <v>RSC001740</v>
      </c>
      <c r="B1740" s="41" t="str">
        <f>IFERROR(__xludf.DUMMYFUNCTION("""COMPUTED_VALUE"""),"TheChosenOne")</f>
        <v>TheChosenOne</v>
      </c>
    </row>
    <row r="1741">
      <c r="A1741" s="41" t="str">
        <f>IFERROR(__xludf.DUMMYFUNCTION("""COMPUTED_VALUE"""),"RSC001741")</f>
        <v>RSC001741</v>
      </c>
      <c r="B1741" s="41" t="str">
        <f>IFERROR(__xludf.DUMMYFUNCTION("""COMPUTED_VALUE"""),"Virus")</f>
        <v>Virus</v>
      </c>
    </row>
    <row r="1742">
      <c r="A1742" s="41" t="str">
        <f>IFERROR(__xludf.DUMMYFUNCTION("""COMPUTED_VALUE"""),"RSC001742")</f>
        <v>RSC001742</v>
      </c>
      <c r="B1742" s="41" t="str">
        <f>IFERROR(__xludf.DUMMYFUNCTION("""COMPUTED_VALUE"""),"TheHolyCannula")</f>
        <v>TheHolyCannula</v>
      </c>
    </row>
    <row r="1743">
      <c r="A1743" s="41" t="str">
        <f>IFERROR(__xludf.DUMMYFUNCTION("""COMPUTED_VALUE"""),"RSC001743")</f>
        <v>RSC001743</v>
      </c>
      <c r="B1743" s="41" t="str">
        <f>IFERROR(__xludf.DUMMYFUNCTION("""COMPUTED_VALUE"""),"TheNickisis")</f>
        <v>TheNickisis</v>
      </c>
    </row>
    <row r="1744">
      <c r="A1744" s="41" t="str">
        <f>IFERROR(__xludf.DUMMYFUNCTION("""COMPUTED_VALUE"""),"RSC001744")</f>
        <v>RSC001744</v>
      </c>
      <c r="B1744" s="41" t="str">
        <f>IFERROR(__xludf.DUMMYFUNCTION("""COMPUTED_VALUE"""),"thesquireofstash")</f>
        <v>thesquireofstash</v>
      </c>
    </row>
    <row r="1745">
      <c r="A1745" s="41" t="str">
        <f>IFERROR(__xludf.DUMMYFUNCTION("""COMPUTED_VALUE"""),"RSC001745")</f>
        <v>RSC001745</v>
      </c>
      <c r="B1745" s="41" t="str">
        <f>IFERROR(__xludf.DUMMYFUNCTION("""COMPUTED_VALUE"""),"TheVerge")</f>
        <v>TheVerge</v>
      </c>
    </row>
    <row r="1746">
      <c r="A1746" s="41" t="str">
        <f>IFERROR(__xludf.DUMMYFUNCTION("""COMPUTED_VALUE"""),"RSC001746")</f>
        <v>RSC001746</v>
      </c>
      <c r="B1746" s="41" t="str">
        <f>IFERROR(__xludf.DUMMYFUNCTION("""COMPUTED_VALUE"""),"Thrudge")</f>
        <v>Thrudge</v>
      </c>
    </row>
    <row r="1747">
      <c r="A1747" s="41" t="str">
        <f>IFERROR(__xludf.DUMMYFUNCTION("""COMPUTED_VALUE"""),"RSC001747")</f>
        <v>RSC001747</v>
      </c>
      <c r="B1747" s="41" t="str">
        <f>IFERROR(__xludf.DUMMYFUNCTION("""COMPUTED_VALUE"""),"Thundah")</f>
        <v>Thundah</v>
      </c>
    </row>
    <row r="1748">
      <c r="A1748" s="41" t="str">
        <f>IFERROR(__xludf.DUMMYFUNCTION("""COMPUTED_VALUE"""),"RSC001748")</f>
        <v>RSC001748</v>
      </c>
      <c r="B1748" s="41" t="str">
        <f>IFERROR(__xludf.DUMMYFUNCTION("""COMPUTED_VALUE"""),"Tiamat")</f>
        <v>Tiamat</v>
      </c>
    </row>
    <row r="1749">
      <c r="A1749" s="41" t="str">
        <f>IFERROR(__xludf.DUMMYFUNCTION("""COMPUTED_VALUE"""),"RSC001749")</f>
        <v>RSC001749</v>
      </c>
      <c r="B1749" s="41" t="str">
        <f>IFERROR(__xludf.DUMMYFUNCTION("""COMPUTED_VALUE"""),"Timmyboy050")</f>
        <v>Timmyboy050</v>
      </c>
    </row>
    <row r="1750">
      <c r="A1750" s="41" t="str">
        <f>IFERROR(__xludf.DUMMYFUNCTION("""COMPUTED_VALUE"""),"RSC001750")</f>
        <v>RSC001750</v>
      </c>
      <c r="B1750" s="41" t="str">
        <f>IFERROR(__xludf.DUMMYFUNCTION("""COMPUTED_VALUE"""),"Tink")</f>
        <v>Tink</v>
      </c>
    </row>
    <row r="1751">
      <c r="A1751" s="41" t="str">
        <f>IFERROR(__xludf.DUMMYFUNCTION("""COMPUTED_VALUE"""),"RSC001751")</f>
        <v>RSC001751</v>
      </c>
      <c r="B1751" s="41" t="str">
        <f>IFERROR(__xludf.DUMMYFUNCTION("""COMPUTED_VALUE"""),"TinyLettuce")</f>
        <v>TinyLettuce</v>
      </c>
    </row>
    <row r="1752">
      <c r="A1752" s="41" t="str">
        <f>IFERROR(__xludf.DUMMYFUNCTION("""COMPUTED_VALUE"""),"RSC001752")</f>
        <v>RSC001752</v>
      </c>
      <c r="B1752" s="41" t="str">
        <f>IFERROR(__xludf.DUMMYFUNCTION("""COMPUTED_VALUE"""),"titotito")</f>
        <v>titotito</v>
      </c>
    </row>
    <row r="1753">
      <c r="A1753" s="41" t="str">
        <f>IFERROR(__xludf.DUMMYFUNCTION("""COMPUTED_VALUE"""),"RSC001753")</f>
        <v>RSC001753</v>
      </c>
      <c r="B1753" s="41" t="str">
        <f>IFERROR(__xludf.DUMMYFUNCTION("""COMPUTED_VALUE"""),"TJ")</f>
        <v>TJ</v>
      </c>
    </row>
    <row r="1754">
      <c r="A1754" s="41" t="str">
        <f>IFERROR(__xludf.DUMMYFUNCTION("""COMPUTED_VALUE"""),"RSC001754")</f>
        <v>RSC001754</v>
      </c>
      <c r="B1754" s="41" t="str">
        <f>IFERROR(__xludf.DUMMYFUNCTION("""COMPUTED_VALUE"""),"Tokepher")</f>
        <v>Tokepher</v>
      </c>
    </row>
    <row r="1755">
      <c r="A1755" s="41" t="str">
        <f>IFERROR(__xludf.DUMMYFUNCTION("""COMPUTED_VALUE"""),"RSC001755")</f>
        <v>RSC001755</v>
      </c>
      <c r="B1755" s="41" t="str">
        <f>IFERROR(__xludf.DUMMYFUNCTION("""COMPUTED_VALUE"""),"Tomuth Kinguth Thy 5th")</f>
        <v>Tomuth Kinguth Thy 5th</v>
      </c>
    </row>
    <row r="1756">
      <c r="A1756" s="41" t="str">
        <f>IFERROR(__xludf.DUMMYFUNCTION("""COMPUTED_VALUE"""),"RSC001756")</f>
        <v>RSC001756</v>
      </c>
      <c r="B1756" s="41" t="str">
        <f>IFERROR(__xludf.DUMMYFUNCTION("""COMPUTED_VALUE"""),"toothboto")</f>
        <v>toothboto</v>
      </c>
    </row>
    <row r="1757">
      <c r="A1757" s="41" t="str">
        <f>IFERROR(__xludf.DUMMYFUNCTION("""COMPUTED_VALUE"""),"RSC001757")</f>
        <v>RSC001757</v>
      </c>
      <c r="B1757" s="41" t="str">
        <f>IFERROR(__xludf.DUMMYFUNCTION("""COMPUTED_VALUE"""),"topsub")</f>
        <v>topsub</v>
      </c>
    </row>
    <row r="1758">
      <c r="A1758" s="41" t="str">
        <f>IFERROR(__xludf.DUMMYFUNCTION("""COMPUTED_VALUE"""),"RSC001758")</f>
        <v>RSC001758</v>
      </c>
      <c r="B1758" s="41" t="str">
        <f>IFERROR(__xludf.DUMMYFUNCTION("""COMPUTED_VALUE"""),"Tor")</f>
        <v>Tor</v>
      </c>
    </row>
    <row r="1759">
      <c r="A1759" s="41" t="str">
        <f>IFERROR(__xludf.DUMMYFUNCTION("""COMPUTED_VALUE"""),"RSC001759")</f>
        <v>RSC001759</v>
      </c>
      <c r="B1759" s="41" t="str">
        <f>IFERROR(__xludf.DUMMYFUNCTION("""COMPUTED_VALUE"""),"TosCrazy")</f>
        <v>TosCrazy</v>
      </c>
    </row>
    <row r="1760">
      <c r="A1760" s="41" t="str">
        <f>IFERROR(__xludf.DUMMYFUNCTION("""COMPUTED_VALUE"""),"RSC001760")</f>
        <v>RSC001760</v>
      </c>
      <c r="B1760" s="41" t="str">
        <f>IFERROR(__xludf.DUMMYFUNCTION("""COMPUTED_VALUE"""),"Trader")</f>
        <v>Trader</v>
      </c>
    </row>
    <row r="1761">
      <c r="A1761" s="41" t="str">
        <f>IFERROR(__xludf.DUMMYFUNCTION("""COMPUTED_VALUE"""),"RSC001761")</f>
        <v>RSC001761</v>
      </c>
      <c r="B1761" s="41" t="str">
        <f>IFERROR(__xludf.DUMMYFUNCTION("""COMPUTED_VALUE"""),"trapp")</f>
        <v>trapp</v>
      </c>
    </row>
    <row r="1762">
      <c r="A1762" s="41" t="str">
        <f>IFERROR(__xludf.DUMMYFUNCTION("""COMPUTED_VALUE"""),"RSC001762")</f>
        <v>RSC001762</v>
      </c>
      <c r="B1762" s="41" t="str">
        <f>IFERROR(__xludf.DUMMYFUNCTION("""COMPUTED_VALUE"""),"Trash Panda 272")</f>
        <v>Trash Panda 272</v>
      </c>
    </row>
    <row r="1763">
      <c r="A1763" s="41" t="str">
        <f>IFERROR(__xludf.DUMMYFUNCTION("""COMPUTED_VALUE"""),"RSC001763")</f>
        <v>RSC001763</v>
      </c>
      <c r="B1763" s="41" t="str">
        <f>IFERROR(__xludf.DUMMYFUNCTION("""COMPUTED_VALUE"""),"Trav.")</f>
        <v>Trav.</v>
      </c>
    </row>
    <row r="1764">
      <c r="A1764" s="41" t="str">
        <f>IFERROR(__xludf.DUMMYFUNCTION("""COMPUTED_VALUE"""),"RSC001764")</f>
        <v>RSC001764</v>
      </c>
      <c r="B1764" s="41" t="str">
        <f>IFERROR(__xludf.DUMMYFUNCTION("""COMPUTED_VALUE"""),"Treebandana")</f>
        <v>Treebandana</v>
      </c>
    </row>
    <row r="1765">
      <c r="A1765" s="41" t="str">
        <f>IFERROR(__xludf.DUMMYFUNCTION("""COMPUTED_VALUE"""),"RSC001765")</f>
        <v>RSC001765</v>
      </c>
      <c r="B1765" s="41" t="str">
        <f>IFERROR(__xludf.DUMMYFUNCTION("""COMPUTED_VALUE"""),"Trios")</f>
        <v>Trios</v>
      </c>
    </row>
    <row r="1766">
      <c r="A1766" s="41" t="str">
        <f>IFERROR(__xludf.DUMMYFUNCTION("""COMPUTED_VALUE"""),"RSC001766")</f>
        <v>RSC001766</v>
      </c>
      <c r="B1766" s="41" t="str">
        <f>IFERROR(__xludf.DUMMYFUNCTION("""COMPUTED_VALUE"""),"TrippieSpedd")</f>
        <v>TrippieSpedd</v>
      </c>
    </row>
    <row r="1767">
      <c r="A1767" s="41" t="str">
        <f>IFERROR(__xludf.DUMMYFUNCTION("""COMPUTED_VALUE"""),"RSC001767")</f>
        <v>RSC001767</v>
      </c>
      <c r="B1767" s="41" t="str">
        <f>IFERROR(__xludf.DUMMYFUNCTION("""COMPUTED_VALUE"""),"tserrof_MISCHIEF")</f>
        <v>tserrof_MISCHIEF</v>
      </c>
    </row>
    <row r="1768">
      <c r="A1768" s="41" t="str">
        <f>IFERROR(__xludf.DUMMYFUNCTION("""COMPUTED_VALUE"""),"RSC001768")</f>
        <v>RSC001768</v>
      </c>
      <c r="B1768" s="41" t="str">
        <f>IFERROR(__xludf.DUMMYFUNCTION("""COMPUTED_VALUE"""),"MoldyPBJ")</f>
        <v>MoldyPBJ</v>
      </c>
    </row>
    <row r="1769">
      <c r="A1769" s="41" t="str">
        <f>IFERROR(__xludf.DUMMYFUNCTION("""COMPUTED_VALUE"""),"RSC001769")</f>
        <v>RSC001769</v>
      </c>
      <c r="B1769" s="41" t="str">
        <f>IFERROR(__xludf.DUMMYFUNCTION("""COMPUTED_VALUE"""),"Tundera")</f>
        <v>Tundera</v>
      </c>
    </row>
    <row r="1770">
      <c r="A1770" s="41" t="str">
        <f>IFERROR(__xludf.DUMMYFUNCTION("""COMPUTED_VALUE"""),"RSC001770")</f>
        <v>RSC001770</v>
      </c>
      <c r="B1770" s="41" t="str">
        <f>IFERROR(__xludf.DUMMYFUNCTION("""COMPUTED_VALUE"""),"TylerJ")</f>
        <v>TylerJ</v>
      </c>
    </row>
    <row r="1771">
      <c r="A1771" s="41" t="str">
        <f>IFERROR(__xludf.DUMMYFUNCTION("""COMPUTED_VALUE"""),"RSC001772")</f>
        <v>RSC001772</v>
      </c>
      <c r="B1771" s="41" t="str">
        <f>IFERROR(__xludf.DUMMYFUNCTION("""COMPUTED_VALUE"""),"tyni")</f>
        <v>tyni</v>
      </c>
    </row>
    <row r="1772">
      <c r="A1772" s="41" t="str">
        <f>IFERROR(__xludf.DUMMYFUNCTION("""COMPUTED_VALUE"""),"RSC001773")</f>
        <v>RSC001773</v>
      </c>
      <c r="B1772" s="41" t="str">
        <f>IFERROR(__xludf.DUMMYFUNCTION("""COMPUTED_VALUE"""),"Vulpine")</f>
        <v>Vulpine</v>
      </c>
    </row>
    <row r="1773">
      <c r="A1773" s="41" t="str">
        <f>IFERROR(__xludf.DUMMYFUNCTION("""COMPUTED_VALUE"""),"RSC001774")</f>
        <v>RSC001774</v>
      </c>
      <c r="B1773" s="41" t="str">
        <f>IFERROR(__xludf.DUMMYFUNCTION("""COMPUTED_VALUE"""),"Tysqueezy")</f>
        <v>Tysqueezy</v>
      </c>
    </row>
    <row r="1774">
      <c r="A1774" s="41" t="str">
        <f>IFERROR(__xludf.DUMMYFUNCTION("""COMPUTED_VALUE"""),"RSC001775")</f>
        <v>RSC001775</v>
      </c>
      <c r="B1774" s="41" t="str">
        <f>IFERROR(__xludf.DUMMYFUNCTION("""COMPUTED_VALUE"""),"Tytheguy801")</f>
        <v>Tytheguy801</v>
      </c>
    </row>
    <row r="1775">
      <c r="A1775" s="41" t="str">
        <f>IFERROR(__xludf.DUMMYFUNCTION("""COMPUTED_VALUE"""),"RSC001776")</f>
        <v>RSC001776</v>
      </c>
      <c r="B1775" s="41" t="str">
        <f>IFERROR(__xludf.DUMMYFUNCTION("""COMPUTED_VALUE"""),"UntamedNoaD")</f>
        <v>UntamedNoaD</v>
      </c>
    </row>
    <row r="1776">
      <c r="A1776" s="41" t="str">
        <f>IFERROR(__xludf.DUMMYFUNCTION("""COMPUTED_VALUE"""),"RSC001777")</f>
        <v>RSC001777</v>
      </c>
      <c r="B1776" s="41" t="str">
        <f>IFERROR(__xludf.DUMMYFUNCTION("""COMPUTED_VALUE"""),"UrsusG")</f>
        <v>UrsusG</v>
      </c>
    </row>
    <row r="1777">
      <c r="A1777" s="41" t="str">
        <f>IFERROR(__xludf.DUMMYFUNCTION("""COMPUTED_VALUE"""),"RSC001778")</f>
        <v>RSC001778</v>
      </c>
      <c r="B1777" s="41" t="str">
        <f>IFERROR(__xludf.DUMMYFUNCTION("""COMPUTED_VALUE"""),"uzowulu40")</f>
        <v>uzowulu40</v>
      </c>
    </row>
    <row r="1778">
      <c r="A1778" s="41" t="str">
        <f>IFERROR(__xludf.DUMMYFUNCTION("""COMPUTED_VALUE"""),"RSC001779")</f>
        <v>RSC001779</v>
      </c>
      <c r="B1778" s="41" t="str">
        <f>IFERROR(__xludf.DUMMYFUNCTION("""COMPUTED_VALUE"""),"v15 ehf")</f>
        <v>v15 ehf</v>
      </c>
    </row>
    <row r="1779">
      <c r="A1779" s="41" t="str">
        <f>IFERROR(__xludf.DUMMYFUNCTION("""COMPUTED_VALUE"""),"RSC001780")</f>
        <v>RSC001780</v>
      </c>
      <c r="B1779" s="41" t="str">
        <f>IFERROR(__xludf.DUMMYFUNCTION("""COMPUTED_VALUE"""),"Vague")</f>
        <v>Vague</v>
      </c>
    </row>
    <row r="1780">
      <c r="A1780" s="41" t="str">
        <f>IFERROR(__xludf.DUMMYFUNCTION("""COMPUTED_VALUE"""),"RSC001781")</f>
        <v>RSC001781</v>
      </c>
      <c r="B1780" s="41" t="str">
        <f>IFERROR(__xludf.DUMMYFUNCTION("""COMPUTED_VALUE"""),"Valarmorr")</f>
        <v>Valarmorr</v>
      </c>
    </row>
    <row r="1781">
      <c r="A1781" s="41" t="str">
        <f>IFERROR(__xludf.DUMMYFUNCTION("""COMPUTED_VALUE"""),"RSC001782")</f>
        <v>RSC001782</v>
      </c>
      <c r="B1781" s="41" t="str">
        <f>IFERROR(__xludf.DUMMYFUNCTION("""COMPUTED_VALUE"""),"vectris3")</f>
        <v>vectris3</v>
      </c>
    </row>
    <row r="1782">
      <c r="A1782" s="41" t="str">
        <f>IFERROR(__xludf.DUMMYFUNCTION("""COMPUTED_VALUE"""),"RSC001783")</f>
        <v>RSC001783</v>
      </c>
      <c r="B1782" s="41" t="str">
        <f>IFERROR(__xludf.DUMMYFUNCTION("""COMPUTED_VALUE"""),"Veer")</f>
        <v>Veer</v>
      </c>
    </row>
    <row r="1783">
      <c r="A1783" s="41" t="str">
        <f>IFERROR(__xludf.DUMMYFUNCTION("""COMPUTED_VALUE"""),"RSC001784")</f>
        <v>RSC001784</v>
      </c>
      <c r="B1783" s="41" t="str">
        <f>IFERROR(__xludf.DUMMYFUNCTION("""COMPUTED_VALUE"""),"Vengeance")</f>
        <v>Vengeance</v>
      </c>
    </row>
    <row r="1784">
      <c r="A1784" s="41" t="str">
        <f>IFERROR(__xludf.DUMMYFUNCTION("""COMPUTED_VALUE"""),"RSC001785")</f>
        <v>RSC001785</v>
      </c>
      <c r="B1784" s="41" t="str">
        <f>IFERROR(__xludf.DUMMYFUNCTION("""COMPUTED_VALUE"""),"VeryCool")</f>
        <v>VeryCool</v>
      </c>
    </row>
    <row r="1785">
      <c r="A1785" s="41" t="str">
        <f>IFERROR(__xludf.DUMMYFUNCTION("""COMPUTED_VALUE"""),"RSC001786")</f>
        <v>RSC001786</v>
      </c>
      <c r="B1785" s="41" t="str">
        <f>IFERROR(__xludf.DUMMYFUNCTION("""COMPUTED_VALUE"""),"Vic__Romano")</f>
        <v>Vic__Romano</v>
      </c>
    </row>
    <row r="1786">
      <c r="A1786" s="41" t="str">
        <f>IFERROR(__xludf.DUMMYFUNCTION("""COMPUTED_VALUE"""),"RSC001787")</f>
        <v>RSC001787</v>
      </c>
      <c r="B1786" s="41" t="str">
        <f>IFERROR(__xludf.DUMMYFUNCTION("""COMPUTED_VALUE"""),"ViolaGattina")</f>
        <v>ViolaGattina</v>
      </c>
    </row>
    <row r="1787">
      <c r="A1787" s="41" t="str">
        <f>IFERROR(__xludf.DUMMYFUNCTION("""COMPUTED_VALUE"""),"RSC001788")</f>
        <v>RSC001788</v>
      </c>
      <c r="B1787" s="41" t="str">
        <f>IFERROR(__xludf.DUMMYFUNCTION("""COMPUTED_VALUE"""),"vipcat")</f>
        <v>vipcat</v>
      </c>
    </row>
    <row r="1788">
      <c r="A1788" s="41" t="str">
        <f>IFERROR(__xludf.DUMMYFUNCTION("""COMPUTED_VALUE"""),"RSC001789")</f>
        <v>RSC001789</v>
      </c>
      <c r="B1788" s="41" t="str">
        <f>IFERROR(__xludf.DUMMYFUNCTION("""COMPUTED_VALUE"""),"Vlad The")</f>
        <v>Vlad The</v>
      </c>
    </row>
    <row r="1789">
      <c r="A1789" s="41" t="str">
        <f>IFERROR(__xludf.DUMMYFUNCTION("""COMPUTED_VALUE"""),"RSC001790")</f>
        <v>RSC001790</v>
      </c>
      <c r="B1789" s="41" t="str">
        <f>IFERROR(__xludf.DUMMYFUNCTION("""COMPUTED_VALUE"""),"Viglio")</f>
        <v>Viglio</v>
      </c>
    </row>
    <row r="1790">
      <c r="A1790" s="41" t="str">
        <f>IFERROR(__xludf.DUMMYFUNCTION("""COMPUTED_VALUE"""),"RSC001791")</f>
        <v>RSC001791</v>
      </c>
      <c r="B1790" s="41" t="str">
        <f>IFERROR(__xludf.DUMMYFUNCTION("""COMPUTED_VALUE"""),"Vortex")</f>
        <v>Vortex</v>
      </c>
    </row>
    <row r="1791">
      <c r="A1791" s="41" t="str">
        <f>IFERROR(__xludf.DUMMYFUNCTION("""COMPUTED_VALUE"""),"RSC001792")</f>
        <v>RSC001792</v>
      </c>
      <c r="B1791" s="41" t="str">
        <f>IFERROR(__xludf.DUMMYFUNCTION("""COMPUTED_VALUE"""),"Vroko")</f>
        <v>Vroko</v>
      </c>
    </row>
    <row r="1792">
      <c r="A1792" s="41" t="str">
        <f>IFERROR(__xludf.DUMMYFUNCTION("""COMPUTED_VALUE"""),"RSC001793")</f>
        <v>RSC001793</v>
      </c>
      <c r="B1792" s="41" t="str">
        <f>IFERROR(__xludf.DUMMYFUNCTION("""COMPUTED_VALUE"""),"Wangatang7272")</f>
        <v>Wangatang7272</v>
      </c>
    </row>
    <row r="1793">
      <c r="A1793" s="41" t="str">
        <f>IFERROR(__xludf.DUMMYFUNCTION("""COMPUTED_VALUE"""),"RSC001794")</f>
        <v>RSC001794</v>
      </c>
      <c r="B1793" s="41" t="str">
        <f>IFERROR(__xludf.DUMMYFUNCTION("""COMPUTED_VALUE"""),"Waqos")</f>
        <v>Waqos</v>
      </c>
    </row>
    <row r="1794">
      <c r="A1794" s="41" t="str">
        <f>IFERROR(__xludf.DUMMYFUNCTION("""COMPUTED_VALUE"""),"RSC001795")</f>
        <v>RSC001795</v>
      </c>
      <c r="B1794" s="41" t="str">
        <f>IFERROR(__xludf.DUMMYFUNCTION("""COMPUTED_VALUE"""),"Ward")</f>
        <v>Ward</v>
      </c>
    </row>
    <row r="1795">
      <c r="A1795" s="41" t="str">
        <f>IFERROR(__xludf.DUMMYFUNCTION("""COMPUTED_VALUE"""),"RSC001796")</f>
        <v>RSC001796</v>
      </c>
      <c r="B1795" s="41" t="str">
        <f>IFERROR(__xludf.DUMMYFUNCTION("""COMPUTED_VALUE"""),"Warrior")</f>
        <v>Warrior</v>
      </c>
    </row>
    <row r="1796">
      <c r="A1796" s="41" t="str">
        <f>IFERROR(__xludf.DUMMYFUNCTION("""COMPUTED_VALUE"""),"RSC001797")</f>
        <v>RSC001797</v>
      </c>
      <c r="B1796" s="41" t="str">
        <f>IFERROR(__xludf.DUMMYFUNCTION("""COMPUTED_VALUE"""),"wayprotein")</f>
        <v>wayprotein</v>
      </c>
    </row>
    <row r="1797">
      <c r="A1797" s="41" t="str">
        <f>IFERROR(__xludf.DUMMYFUNCTION("""COMPUTED_VALUE"""),"RSC001798")</f>
        <v>RSC001798</v>
      </c>
      <c r="B1797" s="41" t="str">
        <f>IFERROR(__xludf.DUMMYFUNCTION("""COMPUTED_VALUE"""),"Werts")</f>
        <v>Werts</v>
      </c>
    </row>
    <row r="1798">
      <c r="A1798" s="41" t="str">
        <f>IFERROR(__xludf.DUMMYFUNCTION("""COMPUTED_VALUE"""),"RSC001799")</f>
        <v>RSC001799</v>
      </c>
      <c r="B1798" s="41" t="str">
        <f>IFERROR(__xludf.DUMMYFUNCTION("""COMPUTED_VALUE"""),"whalex")</f>
        <v>whalex</v>
      </c>
    </row>
    <row r="1799">
      <c r="A1799" s="41" t="str">
        <f>IFERROR(__xludf.DUMMYFUNCTION("""COMPUTED_VALUE"""),"RSC001800")</f>
        <v>RSC001800</v>
      </c>
      <c r="B1799" s="41" t="str">
        <f>IFERROR(__xludf.DUMMYFUNCTION("""COMPUTED_VALUE"""),"Schina")</f>
        <v>Schina</v>
      </c>
    </row>
    <row r="1800">
      <c r="A1800" s="41" t="str">
        <f>IFERROR(__xludf.DUMMYFUNCTION("""COMPUTED_VALUE"""),"RSC001801")</f>
        <v>RSC001801</v>
      </c>
      <c r="B1800" s="41" t="str">
        <f>IFERROR(__xludf.DUMMYFUNCTION("""COMPUTED_VALUE"""),"whyu2easy")</f>
        <v>whyu2easy</v>
      </c>
    </row>
    <row r="1801">
      <c r="A1801" s="41" t="str">
        <f>IFERROR(__xludf.DUMMYFUNCTION("""COMPUTED_VALUE"""),"RSC001802")</f>
        <v>RSC001802</v>
      </c>
      <c r="B1801" s="41" t="str">
        <f>IFERROR(__xludf.DUMMYFUNCTION("""COMPUTED_VALUE"""),"Wildee")</f>
        <v>Wildee</v>
      </c>
    </row>
    <row r="1802">
      <c r="A1802" s="41" t="str">
        <f>IFERROR(__xludf.DUMMYFUNCTION("""COMPUTED_VALUE"""),"RSC001803")</f>
        <v>RSC001803</v>
      </c>
      <c r="B1802" s="41" t="str">
        <f>IFERROR(__xludf.DUMMYFUNCTION("""COMPUTED_VALUE"""),"wingding")</f>
        <v>wingding</v>
      </c>
    </row>
    <row r="1803">
      <c r="A1803" s="41" t="str">
        <f>IFERROR(__xludf.DUMMYFUNCTION("""COMPUTED_VALUE"""),"RSC001804")</f>
        <v>RSC001804</v>
      </c>
      <c r="B1803" s="41" t="str">
        <f>IFERROR(__xludf.DUMMYFUNCTION("""COMPUTED_VALUE"""),"Wolf3141")</f>
        <v>Wolf3141</v>
      </c>
    </row>
    <row r="1804">
      <c r="A1804" s="41" t="str">
        <f>IFERROR(__xludf.DUMMYFUNCTION("""COMPUTED_VALUE"""),"RSC001805")</f>
        <v>RSC001805</v>
      </c>
      <c r="B1804" s="41" t="str">
        <f>IFERROR(__xludf.DUMMYFUNCTION("""COMPUTED_VALUE"""),"wood1996")</f>
        <v>wood1996</v>
      </c>
    </row>
    <row r="1805">
      <c r="A1805" s="41" t="str">
        <f>IFERROR(__xludf.DUMMYFUNCTION("""COMPUTED_VALUE"""),"RSC001806")</f>
        <v>RSC001806</v>
      </c>
      <c r="B1805" s="41" t="str">
        <f>IFERROR(__xludf.DUMMYFUNCTION("""COMPUTED_VALUE"""),"Wrathofmcgrath (Mike2.0)")</f>
        <v>Wrathofmcgrath (Mike2.0)</v>
      </c>
    </row>
    <row r="1806">
      <c r="A1806" s="41" t="str">
        <f>IFERROR(__xludf.DUMMYFUNCTION("""COMPUTED_VALUE"""),"RSC001807")</f>
        <v>RSC001807</v>
      </c>
      <c r="B1806" s="41" t="str">
        <f>IFERROR(__xludf.DUMMYFUNCTION("""COMPUTED_VALUE"""),"Xclusive")</f>
        <v>Xclusive</v>
      </c>
    </row>
    <row r="1807">
      <c r="A1807" s="41" t="str">
        <f>IFERROR(__xludf.DUMMYFUNCTION("""COMPUTED_VALUE"""),"RSC001808")</f>
        <v>RSC001808</v>
      </c>
      <c r="B1807" s="41" t="str">
        <f>IFERROR(__xludf.DUMMYFUNCTION("""COMPUTED_VALUE"""),"xd tortoa")</f>
        <v>xd tortoa</v>
      </c>
    </row>
    <row r="1808">
      <c r="A1808" s="41" t="str">
        <f>IFERROR(__xludf.DUMMYFUNCTION("""COMPUTED_VALUE"""),"RSC001809")</f>
        <v>RSC001809</v>
      </c>
      <c r="B1808" s="41" t="str">
        <f>IFERROR(__xludf.DUMMYFUNCTION("""COMPUTED_VALUE"""),"XdFlixXd")</f>
        <v>XdFlixXd</v>
      </c>
    </row>
    <row r="1809">
      <c r="A1809" s="41" t="str">
        <f>IFERROR(__xludf.DUMMYFUNCTION("""COMPUTED_VALUE"""),"RSC001810")</f>
        <v>RSC001810</v>
      </c>
      <c r="B1809" s="41" t="str">
        <f>IFERROR(__xludf.DUMMYFUNCTION("""COMPUTED_VALUE"""),"xdrawindeadx")</f>
        <v>xdrawindeadx</v>
      </c>
    </row>
    <row r="1810">
      <c r="A1810" s="41" t="str">
        <f>IFERROR(__xludf.DUMMYFUNCTION("""COMPUTED_VALUE"""),"RSC001811")</f>
        <v>RSC001811</v>
      </c>
      <c r="B1810" s="41" t="str">
        <f>IFERROR(__xludf.DUMMYFUNCTION("""COMPUTED_VALUE"""),"Xephs")</f>
        <v>Xephs</v>
      </c>
    </row>
    <row r="1811">
      <c r="A1811" s="41" t="str">
        <f>IFERROR(__xludf.DUMMYFUNCTION("""COMPUTED_VALUE"""),"RSC001812")</f>
        <v>RSC001812</v>
      </c>
      <c r="B1811" s="41" t="str">
        <f>IFERROR(__xludf.DUMMYFUNCTION("""COMPUTED_VALUE"""),"XoBananaYT/TTV")</f>
        <v>XoBananaYT/TTV</v>
      </c>
    </row>
    <row r="1812">
      <c r="A1812" s="41" t="str">
        <f>IFERROR(__xludf.DUMMYFUNCTION("""COMPUTED_VALUE"""),"RSC001813")</f>
        <v>RSC001813</v>
      </c>
      <c r="B1812" s="41" t="str">
        <f>IFERROR(__xludf.DUMMYFUNCTION("""COMPUTED_VALUE"""),"XorPG")</f>
        <v>XorPG</v>
      </c>
    </row>
    <row r="1813">
      <c r="A1813" s="41" t="str">
        <f>IFERROR(__xludf.DUMMYFUNCTION("""COMPUTED_VALUE"""),"RSC001814")</f>
        <v>RSC001814</v>
      </c>
      <c r="B1813" s="41" t="str">
        <f>IFERROR(__xludf.DUMMYFUNCTION("""COMPUTED_VALUE"""),"XxSaVeGeHill99")</f>
        <v>XxSaVeGeHill99</v>
      </c>
    </row>
    <row r="1814">
      <c r="A1814" s="41" t="str">
        <f>IFERROR(__xludf.DUMMYFUNCTION("""COMPUTED_VALUE"""),"RSC001816")</f>
        <v>RSC001816</v>
      </c>
      <c r="B1814" s="41" t="str">
        <f>IFERROR(__xludf.DUMMYFUNCTION("""COMPUTED_VALUE"""),"Y4ZT")</f>
        <v>Y4ZT</v>
      </c>
    </row>
    <row r="1815">
      <c r="A1815" s="41" t="str">
        <f>IFERROR(__xludf.DUMMYFUNCTION("""COMPUTED_VALUE"""),"RSC001817")</f>
        <v>RSC001817</v>
      </c>
      <c r="B1815" s="41" t="str">
        <f>IFERROR(__xludf.DUMMYFUNCTION("""COMPUTED_VALUE"""),"DyLon37")</f>
        <v>DyLon37</v>
      </c>
    </row>
    <row r="1816">
      <c r="A1816" s="41" t="str">
        <f>IFERROR(__xludf.DUMMYFUNCTION("""COMPUTED_VALUE"""),"RSC001818")</f>
        <v>RSC001818</v>
      </c>
      <c r="B1816" s="41" t="str">
        <f>IFERROR(__xludf.DUMMYFUNCTION("""COMPUTED_VALUE"""),"YoungNinjaGamer")</f>
        <v>YoungNinjaGamer</v>
      </c>
    </row>
    <row r="1817">
      <c r="A1817" s="41" t="str">
        <f>IFERROR(__xludf.DUMMYFUNCTION("""COMPUTED_VALUE"""),"RSC001819")</f>
        <v>RSC001819</v>
      </c>
      <c r="B1817" s="41" t="str">
        <f>IFERROR(__xludf.DUMMYFUNCTION("""COMPUTED_VALUE"""),"YoureGarbageBud")</f>
        <v>YoureGarbageBud</v>
      </c>
    </row>
    <row r="1818">
      <c r="A1818" s="41" t="str">
        <f>IFERROR(__xludf.DUMMYFUNCTION("""COMPUTED_VALUE"""),"RSC001820")</f>
        <v>RSC001820</v>
      </c>
      <c r="B1818" s="41" t="str">
        <f>IFERROR(__xludf.DUMMYFUNCTION("""COMPUTED_VALUE"""),"YourEvilTwin")</f>
        <v>YourEvilTwin</v>
      </c>
    </row>
    <row r="1819">
      <c r="A1819" s="41" t="str">
        <f>IFERROR(__xludf.DUMMYFUNCTION("""COMPUTED_VALUE"""),"RSC001821")</f>
        <v>RSC001821</v>
      </c>
      <c r="B1819" s="41" t="str">
        <f>IFERROR(__xludf.DUMMYFUNCTION("""COMPUTED_VALUE"""),"YowellTowel")</f>
        <v>YowellTowel</v>
      </c>
    </row>
    <row r="1820">
      <c r="A1820" s="41" t="str">
        <f>IFERROR(__xludf.DUMMYFUNCTION("""COMPUTED_VALUE"""),"RSC001822")</f>
        <v>RSC001822</v>
      </c>
      <c r="B1820" s="41" t="str">
        <f>IFERROR(__xludf.DUMMYFUNCTION("""COMPUTED_VALUE"""),"Yukinaga")</f>
        <v>Yukinaga</v>
      </c>
    </row>
    <row r="1821">
      <c r="A1821" s="41" t="str">
        <f>IFERROR(__xludf.DUMMYFUNCTION("""COMPUTED_VALUE"""),"RSC001823")</f>
        <v>RSC001823</v>
      </c>
      <c r="B1821" s="41" t="str">
        <f>IFERROR(__xludf.DUMMYFUNCTION("""COMPUTED_VALUE"""),"YungDroobie")</f>
        <v>YungDroobie</v>
      </c>
    </row>
    <row r="1822">
      <c r="A1822" s="41" t="str">
        <f>IFERROR(__xludf.DUMMYFUNCTION("""COMPUTED_VALUE"""),"RSC001824")</f>
        <v>RSC001824</v>
      </c>
      <c r="B1822" s="41" t="str">
        <f>IFERROR(__xludf.DUMMYFUNCTION("""COMPUTED_VALUE"""),"YuseiThree")</f>
        <v>YuseiThree</v>
      </c>
    </row>
    <row r="1823">
      <c r="A1823" s="41" t="str">
        <f>IFERROR(__xludf.DUMMYFUNCTION("""COMPUTED_VALUE"""),"RSC001825")</f>
        <v>RSC001825</v>
      </c>
      <c r="B1823" s="41" t="str">
        <f>IFERROR(__xludf.DUMMYFUNCTION("""COMPUTED_VALUE"""),"ZackaryVink")</f>
        <v>ZackaryVink</v>
      </c>
    </row>
    <row r="1824">
      <c r="A1824" s="41" t="str">
        <f>IFERROR(__xludf.DUMMYFUNCTION("""COMPUTED_VALUE"""),"RSC001826")</f>
        <v>RSC001826</v>
      </c>
      <c r="B1824" s="41" t="str">
        <f>IFERROR(__xludf.DUMMYFUNCTION("""COMPUTED_VALUE"""),"ZaleX")</f>
        <v>ZaleX</v>
      </c>
    </row>
    <row r="1825">
      <c r="A1825" s="41" t="str">
        <f>IFERROR(__xludf.DUMMYFUNCTION("""COMPUTED_VALUE"""),"RSC001827")</f>
        <v>RSC001827</v>
      </c>
      <c r="B1825" s="41" t="str">
        <f>IFERROR(__xludf.DUMMYFUNCTION("""COMPUTED_VALUE"""),"zbajula")</f>
        <v>zbajula</v>
      </c>
    </row>
    <row r="1826">
      <c r="A1826" s="41" t="str">
        <f>IFERROR(__xludf.DUMMYFUNCTION("""COMPUTED_VALUE"""),"RSC001828")</f>
        <v>RSC001828</v>
      </c>
      <c r="B1826" s="41" t="str">
        <f>IFERROR(__xludf.DUMMYFUNCTION("""COMPUTED_VALUE"""),"zcgentry")</f>
        <v>zcgentry</v>
      </c>
    </row>
    <row r="1827">
      <c r="A1827" s="41" t="str">
        <f>IFERROR(__xludf.DUMMYFUNCTION("""COMPUTED_VALUE"""),"RSC001829")</f>
        <v>RSC001829</v>
      </c>
      <c r="B1827" s="41" t="str">
        <f>IFERROR(__xludf.DUMMYFUNCTION("""COMPUTED_VALUE"""),"Zen")</f>
        <v>Zen</v>
      </c>
    </row>
    <row r="1828">
      <c r="A1828" s="41" t="str">
        <f>IFERROR(__xludf.DUMMYFUNCTION("""COMPUTED_VALUE"""),"RSC001830")</f>
        <v>RSC001830</v>
      </c>
      <c r="B1828" s="41" t="str">
        <f>IFERROR(__xludf.DUMMYFUNCTION("""COMPUTED_VALUE"""),"Zeta")</f>
        <v>Zeta</v>
      </c>
    </row>
    <row r="1829">
      <c r="A1829" s="41" t="str">
        <f>IFERROR(__xludf.DUMMYFUNCTION("""COMPUTED_VALUE"""),"RSC001831")</f>
        <v>RSC001831</v>
      </c>
      <c r="B1829" s="41" t="str">
        <f>IFERROR(__xludf.DUMMYFUNCTION("""COMPUTED_VALUE"""),"Zeus (change too)")</f>
        <v>Zeus (change too)</v>
      </c>
    </row>
    <row r="1830">
      <c r="A1830" s="41" t="str">
        <f>IFERROR(__xludf.DUMMYFUNCTION("""COMPUTED_VALUE"""),"RSC001832")</f>
        <v>RSC001832</v>
      </c>
      <c r="B1830" s="41" t="str">
        <f>IFERROR(__xludf.DUMMYFUNCTION("""COMPUTED_VALUE"""),"Zeus(change)")</f>
        <v>Zeus(change)</v>
      </c>
    </row>
    <row r="1831">
      <c r="A1831" s="41" t="str">
        <f>IFERROR(__xludf.DUMMYFUNCTION("""COMPUTED_VALUE"""),"RSC001833")</f>
        <v>RSC001833</v>
      </c>
      <c r="B1831" s="41" t="str">
        <f>IFERROR(__xludf.DUMMYFUNCTION("""COMPUTED_VALUE"""),"Zevries")</f>
        <v>Zevries</v>
      </c>
    </row>
    <row r="1832">
      <c r="A1832" s="41" t="str">
        <f>IFERROR(__xludf.DUMMYFUNCTION("""COMPUTED_VALUE"""),"RSC001834")</f>
        <v>RSC001834</v>
      </c>
      <c r="B1832" s="41" t="str">
        <f>IFERROR(__xludf.DUMMYFUNCTION("""COMPUTED_VALUE"""),"ZIARED")</f>
        <v>ZIARED</v>
      </c>
    </row>
    <row r="1833">
      <c r="A1833" s="41" t="str">
        <f>IFERROR(__xludf.DUMMYFUNCTION("""COMPUTED_VALUE"""),"RSC001835")</f>
        <v>RSC001835</v>
      </c>
      <c r="B1833" s="41" t="str">
        <f>IFERROR(__xludf.DUMMYFUNCTION("""COMPUTED_VALUE"""),"Zick")</f>
        <v>Zick</v>
      </c>
    </row>
    <row r="1834">
      <c r="A1834" s="41" t="str">
        <f>IFERROR(__xludf.DUMMYFUNCTION("""COMPUTED_VALUE"""),"RSC001836")</f>
        <v>RSC001836</v>
      </c>
      <c r="B1834" s="41" t="str">
        <f>IFERROR(__xludf.DUMMYFUNCTION("""COMPUTED_VALUE"""),"zignian")</f>
        <v>zignian</v>
      </c>
    </row>
    <row r="1835">
      <c r="A1835" s="41" t="str">
        <f>IFERROR(__xludf.DUMMYFUNCTION("""COMPUTED_VALUE"""),"RSC001837")</f>
        <v>RSC001837</v>
      </c>
      <c r="B1835" s="41" t="str">
        <f>IFERROR(__xludf.DUMMYFUNCTION("""COMPUTED_VALUE"""),"Zoyp")</f>
        <v>Zoyp</v>
      </c>
    </row>
    <row r="1836">
      <c r="A1836" s="41" t="str">
        <f>IFERROR(__xludf.DUMMYFUNCTION("""COMPUTED_VALUE"""),"RSC001838")</f>
        <v>RSC001838</v>
      </c>
      <c r="B1836" s="41" t="str">
        <f>IFERROR(__xludf.DUMMYFUNCTION("""COMPUTED_VALUE"""),"Zuberite")</f>
        <v>Zuberite</v>
      </c>
    </row>
    <row r="1837">
      <c r="A1837" s="41" t="str">
        <f>IFERROR(__xludf.DUMMYFUNCTION("""COMPUTED_VALUE"""),"RSC001839")</f>
        <v>RSC001839</v>
      </c>
      <c r="B1837" s="41" t="str">
        <f>IFERROR(__xludf.DUMMYFUNCTION("""COMPUTED_VALUE"""),"ゲーマーガール")</f>
        <v>ゲーマーガール</v>
      </c>
    </row>
    <row r="1838">
      <c r="A1838" s="41" t="str">
        <f>IFERROR(__xludf.DUMMYFUNCTION("""COMPUTED_VALUE"""),"RSC001840")</f>
        <v>RSC001840</v>
      </c>
      <c r="B1838" s="41" t="str">
        <f>IFERROR(__xludf.DUMMYFUNCTION("""COMPUTED_VALUE"""),"Rengleif")</f>
        <v>Rengleif</v>
      </c>
    </row>
    <row r="1839">
      <c r="A1839" s="41" t="str">
        <f>IFERROR(__xludf.DUMMYFUNCTION("""COMPUTED_VALUE"""),"RSC001841")</f>
        <v>RSC001841</v>
      </c>
      <c r="B1839" s="41" t="str">
        <f>IFERROR(__xludf.DUMMYFUNCTION("""COMPUTED_VALUE"""),"impulse^")</f>
        <v>impulse^</v>
      </c>
    </row>
    <row r="1840">
      <c r="A1840" s="41" t="str">
        <f>IFERROR(__xludf.DUMMYFUNCTION("""COMPUTED_VALUE"""),"RSC001842")</f>
        <v>RSC001842</v>
      </c>
      <c r="B1840" s="41" t="str">
        <f>IFERROR(__xludf.DUMMYFUNCTION("""COMPUTED_VALUE"""),"Dgallub")</f>
        <v>Dgallub</v>
      </c>
    </row>
    <row r="1841">
      <c r="A1841" s="41" t="str">
        <f>IFERROR(__xludf.DUMMYFUNCTION("""COMPUTED_VALUE"""),"RSC001843")</f>
        <v>RSC001843</v>
      </c>
      <c r="B1841" s="41" t="str">
        <f>IFERROR(__xludf.DUMMYFUNCTION("""COMPUTED_VALUE"""),"Shank")</f>
        <v>Shank</v>
      </c>
    </row>
    <row r="1842">
      <c r="A1842" s="41" t="str">
        <f>IFERROR(__xludf.DUMMYFUNCTION("""COMPUTED_VALUE"""),"RSC001844")</f>
        <v>RSC001844</v>
      </c>
      <c r="B1842" s="41" t="str">
        <f>IFERROR(__xludf.DUMMYFUNCTION("""COMPUTED_VALUE"""),"MDLost")</f>
        <v>MDLost</v>
      </c>
    </row>
    <row r="1843">
      <c r="A1843" s="41" t="str">
        <f>IFERROR(__xludf.DUMMYFUNCTION("""COMPUTED_VALUE"""),"RSC001845")</f>
        <v>RSC001845</v>
      </c>
      <c r="B1843" s="41" t="str">
        <f>IFERROR(__xludf.DUMMYFUNCTION("""COMPUTED_VALUE"""),"Dogbiscuit46")</f>
        <v>Dogbiscuit46</v>
      </c>
    </row>
    <row r="1844">
      <c r="A1844" s="41" t="str">
        <f>IFERROR(__xludf.DUMMYFUNCTION("""COMPUTED_VALUE"""),"RSC001846")</f>
        <v>RSC001846</v>
      </c>
      <c r="B1844" s="41" t="str">
        <f>IFERROR(__xludf.DUMMYFUNCTION("""COMPUTED_VALUE"""),"Yokusha")</f>
        <v>Yokusha</v>
      </c>
    </row>
    <row r="1845">
      <c r="A1845" s="41" t="str">
        <f>IFERROR(__xludf.DUMMYFUNCTION("""COMPUTED_VALUE"""),"RSC001847")</f>
        <v>RSC001847</v>
      </c>
      <c r="B1845" s="41" t="str">
        <f>IFERROR(__xludf.DUMMYFUNCTION("""COMPUTED_VALUE"""),"kylbrew")</f>
        <v>kylbrew</v>
      </c>
    </row>
    <row r="1846">
      <c r="A1846" s="41" t="str">
        <f>IFERROR(__xludf.DUMMYFUNCTION("""COMPUTED_VALUE"""),"RSC001848")</f>
        <v>RSC001848</v>
      </c>
      <c r="B1846" s="41" t="str">
        <f>IFERROR(__xludf.DUMMYFUNCTION("""COMPUTED_VALUE"""),"Lil peeg2peeg3, lol :&gt;")</f>
        <v>Lil peeg2peeg3, lol :&gt;</v>
      </c>
    </row>
    <row r="1847">
      <c r="A1847" s="41" t="str">
        <f>IFERROR(__xludf.DUMMYFUNCTION("""COMPUTED_VALUE"""),"RSC001849")</f>
        <v>RSC001849</v>
      </c>
      <c r="B1847" s="41" t="str">
        <f>IFERROR(__xludf.DUMMYFUNCTION("""COMPUTED_VALUE"""),"Tamil Camel")</f>
        <v>Tamil Camel</v>
      </c>
    </row>
    <row r="1848">
      <c r="A1848" s="41" t="str">
        <f>IFERROR(__xludf.DUMMYFUNCTION("""COMPUTED_VALUE"""),"RSC001850")</f>
        <v>RSC001850</v>
      </c>
      <c r="B1848" s="41" t="str">
        <f>IFERROR(__xludf.DUMMYFUNCTION("""COMPUTED_VALUE"""),"K0rn0")</f>
        <v>K0rn0</v>
      </c>
    </row>
    <row r="1849">
      <c r="A1849" s="41" t="str">
        <f>IFERROR(__xludf.DUMMYFUNCTION("""COMPUTED_VALUE"""),"RSC001851")</f>
        <v>RSC001851</v>
      </c>
      <c r="B1849" s="41" t="str">
        <f>IFERROR(__xludf.DUMMYFUNCTION("""COMPUTED_VALUE"""),"Comentix")</f>
        <v>Comentix</v>
      </c>
    </row>
    <row r="1850">
      <c r="A1850" s="41" t="str">
        <f>IFERROR(__xludf.DUMMYFUNCTION("""COMPUTED_VALUE"""),"RSC001852")</f>
        <v>RSC001852</v>
      </c>
      <c r="B1850" s="41" t="str">
        <f>IFERROR(__xludf.DUMMYFUNCTION("""COMPUTED_VALUE"""),"Jester")</f>
        <v>Jester</v>
      </c>
    </row>
    <row r="1851">
      <c r="A1851" s="41" t="str">
        <f>IFERROR(__xludf.DUMMYFUNCTION("""COMPUTED_VALUE"""),"RSC001853")</f>
        <v>RSC001853</v>
      </c>
      <c r="B1851" s="41" t="str">
        <f>IFERROR(__xludf.DUMMYFUNCTION("""COMPUTED_VALUE"""),"Astronistic")</f>
        <v>Astronistic</v>
      </c>
    </row>
    <row r="1852">
      <c r="A1852" s="41" t="str">
        <f>IFERROR(__xludf.DUMMYFUNCTION("""COMPUTED_VALUE"""),"RSC001854")</f>
        <v>RSC001854</v>
      </c>
      <c r="B1852" s="41" t="str">
        <f>IFERROR(__xludf.DUMMYFUNCTION("""COMPUTED_VALUE"""),"Buck.")</f>
        <v>Buck.</v>
      </c>
    </row>
    <row r="1853">
      <c r="A1853" s="41" t="str">
        <f>IFERROR(__xludf.DUMMYFUNCTION("""COMPUTED_VALUE"""),"RSC001855")</f>
        <v>RSC001855</v>
      </c>
      <c r="B1853" s="41" t="str">
        <f>IFERROR(__xludf.DUMMYFUNCTION("""COMPUTED_VALUE"""),"peaceful.")</f>
        <v>peaceful.</v>
      </c>
    </row>
    <row r="1854">
      <c r="A1854" s="41" t="str">
        <f>IFERROR(__xludf.DUMMYFUNCTION("""COMPUTED_VALUE"""),"RSC001856")</f>
        <v>RSC001856</v>
      </c>
      <c r="B1854" s="41" t="str">
        <f>IFERROR(__xludf.DUMMYFUNCTION("""COMPUTED_VALUE"""),"Chinchilla929")</f>
        <v>Chinchilla929</v>
      </c>
    </row>
    <row r="1855">
      <c r="A1855" s="41" t="str">
        <f>IFERROR(__xludf.DUMMYFUNCTION("""COMPUTED_VALUE"""),"RSC001857")</f>
        <v>RSC001857</v>
      </c>
      <c r="B1855" s="41" t="str">
        <f>IFERROR(__xludf.DUMMYFUNCTION("""COMPUTED_VALUE"""),"Call Me CL3V3R")</f>
        <v>Call Me CL3V3R</v>
      </c>
    </row>
    <row r="1856">
      <c r="A1856" s="41" t="str">
        <f>IFERROR(__xludf.DUMMYFUNCTION("""COMPUTED_VALUE"""),"RSC001858")</f>
        <v>RSC001858</v>
      </c>
      <c r="B1856" s="41" t="str">
        <f>IFERROR(__xludf.DUMMYFUNCTION("""COMPUTED_VALUE"""),"Finicko")</f>
        <v>Finicko</v>
      </c>
    </row>
    <row r="1857">
      <c r="A1857" s="41" t="str">
        <f>IFERROR(__xludf.DUMMYFUNCTION("""COMPUTED_VALUE"""),"RSC001859")</f>
        <v>RSC001859</v>
      </c>
      <c r="B1857" s="41" t="str">
        <f>IFERROR(__xludf.DUMMYFUNCTION("""COMPUTED_VALUE"""),"Kole.")</f>
        <v>Kole.</v>
      </c>
    </row>
    <row r="1858">
      <c r="A1858" s="41" t="str">
        <f>IFERROR(__xludf.DUMMYFUNCTION("""COMPUTED_VALUE"""),"RSC001860")</f>
        <v>RSC001860</v>
      </c>
      <c r="B1858" s="41" t="str">
        <f>IFERROR(__xludf.DUMMYFUNCTION("""COMPUTED_VALUE"""),"incognito89")</f>
        <v>incognito89</v>
      </c>
    </row>
    <row r="1859">
      <c r="A1859" s="41" t="str">
        <f>IFERROR(__xludf.DUMMYFUNCTION("""COMPUTED_VALUE"""),"RSC001861")</f>
        <v>RSC001861</v>
      </c>
      <c r="B1859" s="41" t="str">
        <f>IFERROR(__xludf.DUMMYFUNCTION("""COMPUTED_VALUE"""),"Slyder")</f>
        <v>Slyder</v>
      </c>
    </row>
    <row r="1860">
      <c r="A1860" s="41" t="str">
        <f>IFERROR(__xludf.DUMMYFUNCTION("""COMPUTED_VALUE"""),"RSC001862")</f>
        <v>RSC001862</v>
      </c>
      <c r="B1860" s="41" t="str">
        <f>IFERROR(__xludf.DUMMYFUNCTION("""COMPUTED_VALUE"""),"Blaithe")</f>
        <v>Blaithe</v>
      </c>
    </row>
    <row r="1861">
      <c r="A1861" s="41" t="str">
        <f>IFERROR(__xludf.DUMMYFUNCTION("""COMPUTED_VALUE"""),"RSC001863")</f>
        <v>RSC001863</v>
      </c>
      <c r="B1861" s="41" t="str">
        <f>IFERROR(__xludf.DUMMYFUNCTION("""COMPUTED_VALUE"""),"Sly.")</f>
        <v>Sly.</v>
      </c>
    </row>
    <row r="1862">
      <c r="A1862" s="41" t="str">
        <f>IFERROR(__xludf.DUMMYFUNCTION("""COMPUTED_VALUE"""),"RSC001864")</f>
        <v>RSC001864</v>
      </c>
      <c r="B1862" s="41" t="str">
        <f>IFERROR(__xludf.DUMMYFUNCTION("""COMPUTED_VALUE"""),"NoaBoa")</f>
        <v>NoaBoa</v>
      </c>
    </row>
    <row r="1863">
      <c r="A1863" s="41" t="str">
        <f>IFERROR(__xludf.DUMMYFUNCTION("""COMPUTED_VALUE"""),"RSC001865")</f>
        <v>RSC001865</v>
      </c>
      <c r="B1863" s="41" t="str">
        <f>IFERROR(__xludf.DUMMYFUNCTION("""COMPUTED_VALUE"""),"yo_mama_ugly1")</f>
        <v>yo_mama_ugly1</v>
      </c>
    </row>
    <row r="1864">
      <c r="A1864" s="41" t="str">
        <f>IFERROR(__xludf.DUMMYFUNCTION("""COMPUTED_VALUE"""),"RSC001866")</f>
        <v>RSC001866</v>
      </c>
      <c r="B1864" s="41" t="str">
        <f>IFERROR(__xludf.DUMMYFUNCTION("""COMPUTED_VALUE"""),"Morphew")</f>
        <v>Morphew</v>
      </c>
    </row>
    <row r="1865">
      <c r="A1865" s="41" t="str">
        <f>IFERROR(__xludf.DUMMYFUNCTION("""COMPUTED_VALUE"""),"RSC001867")</f>
        <v>RSC001867</v>
      </c>
      <c r="B1865" s="41" t="str">
        <f>IFERROR(__xludf.DUMMYFUNCTION("""COMPUTED_VALUE"""),"Monkey")</f>
        <v>Monkey</v>
      </c>
    </row>
    <row r="1866">
      <c r="A1866" s="41" t="str">
        <f>IFERROR(__xludf.DUMMYFUNCTION("""COMPUTED_VALUE"""),"RSC001868")</f>
        <v>RSC001868</v>
      </c>
      <c r="B1866" s="41" t="str">
        <f>IFERROR(__xludf.DUMMYFUNCTION("""COMPUTED_VALUE"""),"Thunda Esq")</f>
        <v>Thunda Esq</v>
      </c>
    </row>
    <row r="1867">
      <c r="A1867" s="41" t="str">
        <f>IFERROR(__xludf.DUMMYFUNCTION("""COMPUTED_VALUE"""),"RSC001869")</f>
        <v>RSC001869</v>
      </c>
      <c r="B1867" s="41" t="str">
        <f>IFERROR(__xludf.DUMMYFUNCTION("""COMPUTED_VALUE"""),"GDP_squid (moi squid)")</f>
        <v>GDP_squid (moi squid)</v>
      </c>
    </row>
    <row r="1868">
      <c r="A1868" s="41" t="str">
        <f>IFERROR(__xludf.DUMMYFUNCTION("""COMPUTED_VALUE"""),"RSC001870")</f>
        <v>RSC001870</v>
      </c>
      <c r="B1868" s="41" t="str">
        <f>IFERROR(__xludf.DUMMYFUNCTION("""COMPUTED_VALUE"""),"Hellcat")</f>
        <v>Hellcat</v>
      </c>
    </row>
    <row r="1869">
      <c r="A1869" s="41" t="str">
        <f>IFERROR(__xludf.DUMMYFUNCTION("""COMPUTED_VALUE"""),"RSC001871")</f>
        <v>RSC001871</v>
      </c>
      <c r="B1869" s="41" t="str">
        <f>IFERROR(__xludf.DUMMYFUNCTION("""COMPUTED_VALUE"""),"TheWainMaker")</f>
        <v>TheWainMaker</v>
      </c>
    </row>
    <row r="1870">
      <c r="A1870" s="41" t="str">
        <f>IFERROR(__xludf.DUMMYFUNCTION("""COMPUTED_VALUE"""),"RSC001872")</f>
        <v>RSC001872</v>
      </c>
      <c r="B1870" s="41" t="str">
        <f>IFERROR(__xludf.DUMMYFUNCTION("""COMPUTED_VALUE"""),"KillingHabbits")</f>
        <v>KillingHabbits</v>
      </c>
    </row>
    <row r="1871">
      <c r="A1871" s="41" t="str">
        <f>IFERROR(__xludf.DUMMYFUNCTION("""COMPUTED_VALUE"""),"RSC001873")</f>
        <v>RSC001873</v>
      </c>
      <c r="B1871" s="41" t="str">
        <f>IFERROR(__xludf.DUMMYFUNCTION("""COMPUTED_VALUE"""),"ChangsWrld")</f>
        <v>ChangsWrld</v>
      </c>
    </row>
    <row r="1872">
      <c r="A1872" s="41" t="str">
        <f>IFERROR(__xludf.DUMMYFUNCTION("""COMPUTED_VALUE"""),"RSC001874")</f>
        <v>RSC001874</v>
      </c>
      <c r="B1872" s="41" t="str">
        <f>IFERROR(__xludf.DUMMYFUNCTION("""COMPUTED_VALUE"""),"Kitryoh")</f>
        <v>Kitryoh</v>
      </c>
    </row>
    <row r="1873">
      <c r="A1873" s="41" t="str">
        <f>IFERROR(__xludf.DUMMYFUNCTION("""COMPUTED_VALUE"""),"RSC001875")</f>
        <v>RSC001875</v>
      </c>
      <c r="B1873" s="41" t="str">
        <f>IFERROR(__xludf.DUMMYFUNCTION("""COMPUTED_VALUE"""),"Minty")</f>
        <v>Minty</v>
      </c>
    </row>
    <row r="1874">
      <c r="A1874" s="41" t="str">
        <f>IFERROR(__xludf.DUMMYFUNCTION("""COMPUTED_VALUE"""),"RSC001876")</f>
        <v>RSC001876</v>
      </c>
      <c r="B1874" s="41" t="str">
        <f>IFERROR(__xludf.DUMMYFUNCTION("""COMPUTED_VALUE"""),"PatrickShwastey")</f>
        <v>PatrickShwastey</v>
      </c>
    </row>
    <row r="1875">
      <c r="A1875" s="41" t="str">
        <f>IFERROR(__xludf.DUMMYFUNCTION("""COMPUTED_VALUE"""),"RSC001877")</f>
        <v>RSC001877</v>
      </c>
      <c r="B1875" s="41" t="str">
        <f>IFERROR(__xludf.DUMMYFUNCTION("""COMPUTED_VALUE"""),"Ath-a-lete")</f>
        <v>Ath-a-lete</v>
      </c>
    </row>
    <row r="1876">
      <c r="A1876" s="41" t="str">
        <f>IFERROR(__xludf.DUMMYFUNCTION("""COMPUTED_VALUE"""),"RSC001878")</f>
        <v>RSC001878</v>
      </c>
      <c r="B1876" s="41" t="str">
        <f>IFERROR(__xludf.DUMMYFUNCTION("""COMPUTED_VALUE"""),"JitterzRL")</f>
        <v>JitterzRL</v>
      </c>
    </row>
    <row r="1877">
      <c r="A1877" s="41" t="str">
        <f>IFERROR(__xludf.DUMMYFUNCTION("""COMPUTED_VALUE"""),"RSC001879")</f>
        <v>RSC001879</v>
      </c>
      <c r="B1877" s="41" t="str">
        <f>IFERROR(__xludf.DUMMYFUNCTION("""COMPUTED_VALUE"""),"Juggs")</f>
        <v>Juggs</v>
      </c>
    </row>
    <row r="1878">
      <c r="A1878" s="41" t="str">
        <f>IFERROR(__xludf.DUMMYFUNCTION("""COMPUTED_VALUE"""),"RSC001880")</f>
        <v>RSC001880</v>
      </c>
      <c r="B1878" s="41" t="str">
        <f>IFERROR(__xludf.DUMMYFUNCTION("""COMPUTED_VALUE"""),"JustStopBro")</f>
        <v>JustStopBro</v>
      </c>
    </row>
    <row r="1879">
      <c r="A1879" s="41" t="str">
        <f>IFERROR(__xludf.DUMMYFUNCTION("""COMPUTED_VALUE"""),"RSC001881")</f>
        <v>RSC001881</v>
      </c>
      <c r="B1879" s="41" t="str">
        <f>IFERROR(__xludf.DUMMYFUNCTION("""COMPUTED_VALUE"""),"oDynastyo")</f>
        <v>oDynastyo</v>
      </c>
    </row>
    <row r="1880">
      <c r="A1880" s="41" t="str">
        <f>IFERROR(__xludf.DUMMYFUNCTION("""COMPUTED_VALUE"""),"RSC001882")</f>
        <v>RSC001882</v>
      </c>
      <c r="B1880" s="41" t="str">
        <f>IFERROR(__xludf.DUMMYFUNCTION("""COMPUTED_VALUE"""),"! 𝘚𝘩𝘮𝘰𝘰𝘱 ♡")</f>
        <v>! 𝘚𝘩𝘮𝘰𝘰𝘱 ♡</v>
      </c>
    </row>
    <row r="1881">
      <c r="A1881" s="41" t="str">
        <f>IFERROR(__xludf.DUMMYFUNCTION("""COMPUTED_VALUE"""),"RSC001883")</f>
        <v>RSC001883</v>
      </c>
      <c r="B1881" s="41" t="str">
        <f>IFERROR(__xludf.DUMMYFUNCTION("""COMPUTED_VALUE"""),"LordOfTh3Abyss67")</f>
        <v>LordOfTh3Abyss67</v>
      </c>
    </row>
    <row r="1882">
      <c r="A1882" s="41" t="str">
        <f>IFERROR(__xludf.DUMMYFUNCTION("""COMPUTED_VALUE"""),"RSC001884")</f>
        <v>RSC001884</v>
      </c>
      <c r="B1882" s="41" t="str">
        <f>IFERROR(__xludf.DUMMYFUNCTION("""COMPUTED_VALUE"""),"Just_Fops")</f>
        <v>Just_Fops</v>
      </c>
    </row>
    <row r="1883">
      <c r="A1883" s="41" t="str">
        <f>IFERROR(__xludf.DUMMYFUNCTION("""COMPUTED_VALUE"""),"RSC001885")</f>
        <v>RSC001885</v>
      </c>
      <c r="B1883" s="41" t="str">
        <f>IFERROR(__xludf.DUMMYFUNCTION("""COMPUTED_VALUE"""),"Loyboy3")</f>
        <v>Loyboy3</v>
      </c>
    </row>
    <row r="1884">
      <c r="A1884" s="41" t="str">
        <f>IFERROR(__xludf.DUMMYFUNCTION("""COMPUTED_VALUE"""),"RSC001886")</f>
        <v>RSC001886</v>
      </c>
      <c r="B1884" s="41" t="str">
        <f>IFERROR(__xludf.DUMMYFUNCTION("""COMPUTED_VALUE"""),"Zavezy")</f>
        <v>Zavezy</v>
      </c>
    </row>
    <row r="1885">
      <c r="A1885" s="41" t="str">
        <f>IFERROR(__xludf.DUMMYFUNCTION("""COMPUTED_VALUE"""),"RSC001887")</f>
        <v>RSC001887</v>
      </c>
      <c r="B1885" s="41" t="str">
        <f>IFERROR(__xludf.DUMMYFUNCTION("""COMPUTED_VALUE"""),"Zookie25")</f>
        <v>Zookie25</v>
      </c>
    </row>
    <row r="1886">
      <c r="A1886" s="41" t="str">
        <f>IFERROR(__xludf.DUMMYFUNCTION("""COMPUTED_VALUE"""),"RSC001888")</f>
        <v>RSC001888</v>
      </c>
      <c r="B1886" s="41" t="str">
        <f>IFERROR(__xludf.DUMMYFUNCTION("""COMPUTED_VALUE"""),"Zeph(change)")</f>
        <v>Zeph(change)</v>
      </c>
    </row>
    <row r="1887">
      <c r="A1887" s="41" t="str">
        <f>IFERROR(__xludf.DUMMYFUNCTION("""COMPUTED_VALUE"""),"RSC001889")</f>
        <v>RSC001889</v>
      </c>
      <c r="B1887" s="41" t="str">
        <f>IFERROR(__xludf.DUMMYFUNCTION("""COMPUTED_VALUE"""),"Phelpsy")</f>
        <v>Phelpsy</v>
      </c>
    </row>
    <row r="1888">
      <c r="A1888" s="41" t="str">
        <f>IFERROR(__xludf.DUMMYFUNCTION("""COMPUTED_VALUE"""),"RSC001890")</f>
        <v>RSC001890</v>
      </c>
      <c r="B1888" s="41" t="str">
        <f>IFERROR(__xludf.DUMMYFUNCTION("""COMPUTED_VALUE"""),"RedWater333")</f>
        <v>RedWater333</v>
      </c>
    </row>
    <row r="1889">
      <c r="A1889" s="41" t="str">
        <f>IFERROR(__xludf.DUMMYFUNCTION("""COMPUTED_VALUE"""),"RSC001891")</f>
        <v>RSC001891</v>
      </c>
      <c r="B1889" s="41" t="str">
        <f>IFERROR(__xludf.DUMMYFUNCTION("""COMPUTED_VALUE"""),"Porkchop")</f>
        <v>Porkchop</v>
      </c>
    </row>
    <row r="1890">
      <c r="A1890" s="41" t="str">
        <f>IFERROR(__xludf.DUMMYFUNCTION("""COMPUTED_VALUE"""),"RSC001892")</f>
        <v>RSC001892</v>
      </c>
      <c r="B1890" s="41" t="str">
        <f>IFERROR(__xludf.DUMMYFUNCTION("""COMPUTED_VALUE"""),"Zylo")</f>
        <v>Zylo</v>
      </c>
    </row>
    <row r="1891">
      <c r="A1891" s="41" t="str">
        <f>IFERROR(__xludf.DUMMYFUNCTION("""COMPUTED_VALUE"""),"RSC001893")</f>
        <v>RSC001893</v>
      </c>
      <c r="B1891" s="41" t="str">
        <f>IFERROR(__xludf.DUMMYFUNCTION("""COMPUTED_VALUE"""),"cjax")</f>
        <v>cjax</v>
      </c>
    </row>
    <row r="1892">
      <c r="A1892" s="41" t="str">
        <f>IFERROR(__xludf.DUMMYFUNCTION("""COMPUTED_VALUE"""),"RSC001894")</f>
        <v>RSC001894</v>
      </c>
      <c r="B1892" s="41" t="str">
        <f>IFERROR(__xludf.DUMMYFUNCTION("""COMPUTED_VALUE"""),"Rinoneal")</f>
        <v>Rinoneal</v>
      </c>
    </row>
    <row r="1893">
      <c r="A1893" s="41" t="str">
        <f>IFERROR(__xludf.DUMMYFUNCTION("""COMPUTED_VALUE"""),"RSC001895")</f>
        <v>RSC001895</v>
      </c>
      <c r="B1893" s="41" t="str">
        <f>IFERROR(__xludf.DUMMYFUNCTION("""COMPUTED_VALUE"""),"SvG_Medd")</f>
        <v>SvG_Medd</v>
      </c>
    </row>
    <row r="1894">
      <c r="A1894" s="41" t="str">
        <f>IFERROR(__xludf.DUMMYFUNCTION("""COMPUTED_VALUE"""),"RSC001896")</f>
        <v>RSC001896</v>
      </c>
      <c r="B1894" s="41" t="str">
        <f>IFERROR(__xludf.DUMMYFUNCTION("""COMPUTED_VALUE"""),"Xocion")</f>
        <v>Xocion</v>
      </c>
    </row>
    <row r="1895">
      <c r="A1895" s="41" t="str">
        <f>IFERROR(__xludf.DUMMYFUNCTION("""COMPUTED_VALUE"""),"RSC001897")</f>
        <v>RSC001897</v>
      </c>
      <c r="B1895" s="41" t="str">
        <f>IFERROR(__xludf.DUMMYFUNCTION("""COMPUTED_VALUE"""),"Tater")</f>
        <v>Tater</v>
      </c>
    </row>
    <row r="1896">
      <c r="A1896" s="41" t="str">
        <f>IFERROR(__xludf.DUMMYFUNCTION("""COMPUTED_VALUE"""),"RSC001898")</f>
        <v>RSC001898</v>
      </c>
      <c r="B1896" s="41" t="str">
        <f>IFERROR(__xludf.DUMMYFUNCTION("""COMPUTED_VALUE"""),"WMCgaming")</f>
        <v>WMCgaming</v>
      </c>
    </row>
    <row r="1897">
      <c r="A1897" s="41" t="str">
        <f>IFERROR(__xludf.DUMMYFUNCTION("""COMPUTED_VALUE"""),"RSC001899")</f>
        <v>RSC001899</v>
      </c>
      <c r="B1897" s="41" t="str">
        <f>IFERROR(__xludf.DUMMYFUNCTION("""COMPUTED_VALUE"""),"Trashii")</f>
        <v>Trashii</v>
      </c>
    </row>
    <row r="1898">
      <c r="A1898" s="41" t="str">
        <f>IFERROR(__xludf.DUMMYFUNCTION("""COMPUTED_VALUE"""),"RSC001900")</f>
        <v>RSC001900</v>
      </c>
      <c r="B1898" s="41" t="str">
        <f>IFERROR(__xludf.DUMMYFUNCTION("""COMPUTED_VALUE"""),"ME")</f>
        <v>ME</v>
      </c>
    </row>
    <row r="1899">
      <c r="A1899" s="41" t="str">
        <f>IFERROR(__xludf.DUMMYFUNCTION("""COMPUTED_VALUE"""),"RSC001901")</f>
        <v>RSC001901</v>
      </c>
      <c r="B1899" s="41" t="str">
        <f>IFERROR(__xludf.DUMMYFUNCTION("""COMPUTED_VALUE"""),"Riptide(change)")</f>
        <v>Riptide(change)</v>
      </c>
    </row>
    <row r="1900">
      <c r="A1900" s="41" t="str">
        <f>IFERROR(__xludf.DUMMYFUNCTION("""COMPUTED_VALUE"""),"RSC001902")</f>
        <v>RSC001902</v>
      </c>
      <c r="B1900" s="41" t="str">
        <f>IFERROR(__xludf.DUMMYFUNCTION("""COMPUTED_VALUE"""),"MrbananaRL")</f>
        <v>MrbananaRL</v>
      </c>
    </row>
    <row r="1901">
      <c r="A1901" s="41" t="str">
        <f>IFERROR(__xludf.DUMMYFUNCTION("""COMPUTED_VALUE"""),"RSC001903")</f>
        <v>RSC001903</v>
      </c>
      <c r="B1901" s="41" t="str">
        <f>IFERROR(__xludf.DUMMYFUNCTION("""COMPUTED_VALUE"""),"Plasma")</f>
        <v>Plasma</v>
      </c>
    </row>
    <row r="1902">
      <c r="A1902" s="41" t="str">
        <f>IFERROR(__xludf.DUMMYFUNCTION("""COMPUTED_VALUE"""),"RSC001904")</f>
        <v>RSC001904</v>
      </c>
      <c r="B1902" s="41" t="str">
        <f>IFERROR(__xludf.DUMMYFUNCTION("""COMPUTED_VALUE"""),"InvertedHelix")</f>
        <v>InvertedHelix</v>
      </c>
    </row>
    <row r="1903">
      <c r="A1903" s="41" t="str">
        <f>IFERROR(__xludf.DUMMYFUNCTION("""COMPUTED_VALUE"""),"RSC001905")</f>
        <v>RSC001905</v>
      </c>
      <c r="B1903" s="41" t="str">
        <f>IFERROR(__xludf.DUMMYFUNCTION("""COMPUTED_VALUE"""),"Fancy")</f>
        <v>Fancy</v>
      </c>
    </row>
    <row r="1904">
      <c r="A1904" s="41" t="str">
        <f>IFERROR(__xludf.DUMMYFUNCTION("""COMPUTED_VALUE"""),"RSC001906")</f>
        <v>RSC001906</v>
      </c>
      <c r="B1904" s="41" t="str">
        <f>IFERROR(__xludf.DUMMYFUNCTION("""COMPUTED_VALUE"""),"Lites")</f>
        <v>Lites</v>
      </c>
    </row>
    <row r="1905">
      <c r="A1905" s="41" t="str">
        <f>IFERROR(__xludf.DUMMYFUNCTION("""COMPUTED_VALUE"""),"RSC001907")</f>
        <v>RSC001907</v>
      </c>
      <c r="B1905" s="41" t="str">
        <f>IFERROR(__xludf.DUMMYFUNCTION("""COMPUTED_VALUE"""),"Disasterpiece")</f>
        <v>Disasterpiece</v>
      </c>
    </row>
    <row r="1906">
      <c r="A1906" s="41" t="str">
        <f>IFERROR(__xludf.DUMMYFUNCTION("""COMPUTED_VALUE"""),"RSC001908")</f>
        <v>RSC001908</v>
      </c>
      <c r="B1906" s="41" t="str">
        <f>IFERROR(__xludf.DUMMYFUNCTION("""COMPUTED_VALUE"""),"FishingRL")</f>
        <v>FishingRL</v>
      </c>
    </row>
    <row r="1907">
      <c r="A1907" s="41" t="str">
        <f>IFERROR(__xludf.DUMMYFUNCTION("""COMPUTED_VALUE"""),"RSC001909")</f>
        <v>RSC001909</v>
      </c>
      <c r="B1907" s="41" t="str">
        <f>IFERROR(__xludf.DUMMYFUNCTION("""COMPUTED_VALUE"""),"Ronaky69")</f>
        <v>Ronaky69</v>
      </c>
    </row>
    <row r="1908">
      <c r="A1908" s="41" t="str">
        <f>IFERROR(__xludf.DUMMYFUNCTION("""COMPUTED_VALUE"""),"RSC001910")</f>
        <v>RSC001910</v>
      </c>
      <c r="B1908" s="41" t="str">
        <f>IFERROR(__xludf.DUMMYFUNCTION("""COMPUTED_VALUE"""),"fr Lex")</f>
        <v>fr Lex</v>
      </c>
    </row>
    <row r="1909">
      <c r="A1909" s="41" t="str">
        <f>IFERROR(__xludf.DUMMYFUNCTION("""COMPUTED_VALUE"""),"RSC001911")</f>
        <v>RSC001911</v>
      </c>
      <c r="B1909" s="41" t="str">
        <f>IFERROR(__xludf.DUMMYFUNCTION("""COMPUTED_VALUE"""),"carp")</f>
        <v>carp</v>
      </c>
    </row>
    <row r="1910">
      <c r="A1910" s="41" t="str">
        <f>IFERROR(__xludf.DUMMYFUNCTION("""COMPUTED_VALUE"""),"RSC001912")</f>
        <v>RSC001912</v>
      </c>
      <c r="B1910" s="41" t="str">
        <f>IFERROR(__xludf.DUMMYFUNCTION("""COMPUTED_VALUE"""),"Concept")</f>
        <v>Concept</v>
      </c>
    </row>
    <row r="1911">
      <c r="A1911" s="41" t="str">
        <f>IFERROR(__xludf.DUMMYFUNCTION("""COMPUTED_VALUE"""),"RSC001913")</f>
        <v>RSC001913</v>
      </c>
      <c r="B1911" s="41" t="str">
        <f>IFERROR(__xludf.DUMMYFUNCTION("""COMPUTED_VALUE"""),"Spac3")</f>
        <v>Spac3</v>
      </c>
    </row>
    <row r="1912">
      <c r="A1912" s="41" t="str">
        <f>IFERROR(__xludf.DUMMYFUNCTION("""COMPUTED_VALUE"""),"RSC001914")</f>
        <v>RSC001914</v>
      </c>
      <c r="B1912" s="41" t="str">
        <f>IFERROR(__xludf.DUMMYFUNCTION("""COMPUTED_VALUE"""),"Ricky (change)")</f>
        <v>Ricky (change)</v>
      </c>
    </row>
    <row r="1913">
      <c r="A1913" s="41" t="str">
        <f>IFERROR(__xludf.DUMMYFUNCTION("""COMPUTED_VALUE"""),"RSC001915")</f>
        <v>RSC001915</v>
      </c>
      <c r="B1913" s="41" t="str">
        <f>IFERROR(__xludf.DUMMYFUNCTION("""COMPUTED_VALUE"""),"Frickin Alex")</f>
        <v>Frickin Alex</v>
      </c>
    </row>
    <row r="1914">
      <c r="A1914" s="41" t="str">
        <f>IFERROR(__xludf.DUMMYFUNCTION("""COMPUTED_VALUE"""),"RSC001916")</f>
        <v>RSC001916</v>
      </c>
      <c r="B1914" s="41" t="str">
        <f>IFERROR(__xludf.DUMMYFUNCTION("""COMPUTED_VALUE"""),"Im A Salad")</f>
        <v>Im A Salad</v>
      </c>
    </row>
    <row r="1915">
      <c r="A1915" s="41" t="str">
        <f>IFERROR(__xludf.DUMMYFUNCTION("""COMPUTED_VALUE"""),"RSC001917")</f>
        <v>RSC001917</v>
      </c>
      <c r="B1915" s="41" t="str">
        <f>IFERROR(__xludf.DUMMYFUNCTION("""COMPUTED_VALUE"""),"Nino")</f>
        <v>Nino</v>
      </c>
    </row>
    <row r="1916">
      <c r="A1916" s="41" t="str">
        <f>IFERROR(__xludf.DUMMYFUNCTION("""COMPUTED_VALUE"""),"RSC001918")</f>
        <v>RSC001918</v>
      </c>
      <c r="B1916" s="41" t="str">
        <f>IFERROR(__xludf.DUMMYFUNCTION("""COMPUTED_VALUE"""),"Imperial")</f>
        <v>Imperial</v>
      </c>
    </row>
    <row r="1917">
      <c r="A1917" s="41" t="str">
        <f>IFERROR(__xludf.DUMMYFUNCTION("""COMPUTED_VALUE"""),"RSC001919")</f>
        <v>RSC001919</v>
      </c>
      <c r="B1917" s="41" t="str">
        <f>IFERROR(__xludf.DUMMYFUNCTION("""COMPUTED_VALUE"""),"Fuego")</f>
        <v>Fuego</v>
      </c>
    </row>
    <row r="1918">
      <c r="A1918" s="41" t="str">
        <f>IFERROR(__xludf.DUMMYFUNCTION("""COMPUTED_VALUE"""),"RSC001920")</f>
        <v>RSC001920</v>
      </c>
      <c r="B1918" s="41" t="str">
        <f>IFERROR(__xludf.DUMMYFUNCTION("""COMPUTED_VALUE"""),"wilke")</f>
        <v>wilke</v>
      </c>
    </row>
    <row r="1919">
      <c r="A1919" s="41" t="str">
        <f>IFERROR(__xludf.DUMMYFUNCTION("""COMPUTED_VALUE"""),"RSC001921")</f>
        <v>RSC001921</v>
      </c>
      <c r="B1919" s="41" t="str">
        <f>IFERROR(__xludf.DUMMYFUNCTION("""COMPUTED_VALUE"""),"Dom")</f>
        <v>Dom</v>
      </c>
    </row>
    <row r="1920">
      <c r="A1920" s="41" t="str">
        <f>IFERROR(__xludf.DUMMYFUNCTION("""COMPUTED_VALUE"""),"RSC001923")</f>
        <v>RSC001923</v>
      </c>
      <c r="B1920" s="41" t="str">
        <f>IFERROR(__xludf.DUMMYFUNCTION("""COMPUTED_VALUE"""),"M0rg")</f>
        <v>M0rg</v>
      </c>
    </row>
    <row r="1921">
      <c r="A1921" s="41" t="str">
        <f>IFERROR(__xludf.DUMMYFUNCTION("""COMPUTED_VALUE"""),"RSC001925")</f>
        <v>RSC001925</v>
      </c>
      <c r="B1921" s="41" t="str">
        <f>IFERROR(__xludf.DUMMYFUNCTION("""COMPUTED_VALUE"""),"Flomdoodle")</f>
        <v>Flomdoodle</v>
      </c>
    </row>
    <row r="1922">
      <c r="A1922" s="41" t="str">
        <f>IFERROR(__xludf.DUMMYFUNCTION("""COMPUTED_VALUE"""),"RSC001926")</f>
        <v>RSC001926</v>
      </c>
      <c r="B1922" s="41" t="str">
        <f>IFERROR(__xludf.DUMMYFUNCTION("""COMPUTED_VALUE"""),"deadbot")</f>
        <v>deadbot</v>
      </c>
    </row>
    <row r="1923">
      <c r="A1923" s="41" t="str">
        <f>IFERROR(__xludf.DUMMYFUNCTION("""COMPUTED_VALUE"""),"RSC001927")</f>
        <v>RSC001927</v>
      </c>
      <c r="B1923" s="41" t="str">
        <f>IFERROR(__xludf.DUMMYFUNCTION("""COMPUTED_VALUE"""),"Ghxst")</f>
        <v>Ghxst</v>
      </c>
    </row>
    <row r="1924">
      <c r="A1924" s="41" t="str">
        <f>IFERROR(__xludf.DUMMYFUNCTION("""COMPUTED_VALUE"""),"RSC001928")</f>
        <v>RSC001928</v>
      </c>
      <c r="B1924" s="41" t="str">
        <f>IFERROR(__xludf.DUMMYFUNCTION("""COMPUTED_VALUE"""),"Driu")</f>
        <v>Driu</v>
      </c>
    </row>
    <row r="1925">
      <c r="A1925" s="41" t="str">
        <f>IFERROR(__xludf.DUMMYFUNCTION("""COMPUTED_VALUE"""),"RSC001929")</f>
        <v>RSC001929</v>
      </c>
      <c r="B1925" s="41" t="str">
        <f>IFERROR(__xludf.DUMMYFUNCTION("""COMPUTED_VALUE"""),"Spar24")</f>
        <v>Spar24</v>
      </c>
    </row>
    <row r="1926">
      <c r="A1926" s="41" t="str">
        <f>IFERROR(__xludf.DUMMYFUNCTION("""COMPUTED_VALUE"""),"RSC001930")</f>
        <v>RSC001930</v>
      </c>
      <c r="B1926" s="41" t="str">
        <f>IFERROR(__xludf.DUMMYFUNCTION("""COMPUTED_VALUE"""),"skrrtcobain_")</f>
        <v>skrrtcobain_</v>
      </c>
    </row>
    <row r="1927">
      <c r="A1927" s="41" t="str">
        <f>IFERROR(__xludf.DUMMYFUNCTION("""COMPUTED_VALUE"""),"RSC001931")</f>
        <v>RSC001931</v>
      </c>
      <c r="B1927" s="41" t="str">
        <f>IFERROR(__xludf.DUMMYFUNCTION("""COMPUTED_VALUE"""),"DragONdzBALLZ")</f>
        <v>DragONdzBALLZ</v>
      </c>
    </row>
    <row r="1928">
      <c r="A1928" s="41" t="str">
        <f>IFERROR(__xludf.DUMMYFUNCTION("""COMPUTED_VALUE"""),"RSC001932")</f>
        <v>RSC001932</v>
      </c>
      <c r="B1928" s="41" t="str">
        <f>IFERROR(__xludf.DUMMYFUNCTION("""COMPUTED_VALUE"""),"Froggy")</f>
        <v>Froggy</v>
      </c>
    </row>
    <row r="1929">
      <c r="A1929" s="41" t="str">
        <f>IFERROR(__xludf.DUMMYFUNCTION("""COMPUTED_VALUE"""),"RSC001933")</f>
        <v>RSC001933</v>
      </c>
      <c r="B1929" s="41" t="str">
        <f>IFERROR(__xludf.DUMMYFUNCTION("""COMPUTED_VALUE"""),"Ducky")</f>
        <v>Ducky</v>
      </c>
    </row>
    <row r="1930">
      <c r="A1930" s="41" t="str">
        <f>IFERROR(__xludf.DUMMYFUNCTION("""COMPUTED_VALUE"""),"RSC001934")</f>
        <v>RSC001934</v>
      </c>
      <c r="B1930" s="41" t="str">
        <f>IFERROR(__xludf.DUMMYFUNCTION("""COMPUTED_VALUE"""),"Bosnia_2003")</f>
        <v>Bosnia_2003</v>
      </c>
    </row>
    <row r="1931">
      <c r="A1931" s="41" t="str">
        <f>IFERROR(__xludf.DUMMYFUNCTION("""COMPUTED_VALUE"""),"RSC001935")</f>
        <v>RSC001935</v>
      </c>
      <c r="B1931" s="41" t="str">
        <f>IFERROR(__xludf.DUMMYFUNCTION("""COMPUTED_VALUE"""),"Kenobs")</f>
        <v>Kenobs</v>
      </c>
    </row>
    <row r="1932">
      <c r="A1932" s="41" t="str">
        <f>IFERROR(__xludf.DUMMYFUNCTION("""COMPUTED_VALUE"""),"RSC001936")</f>
        <v>RSC001936</v>
      </c>
      <c r="B1932" s="41" t="str">
        <f>IFERROR(__xludf.DUMMYFUNCTION("""COMPUTED_VALUE"""),"MeKa Fusion")</f>
        <v>MeKa Fusion</v>
      </c>
    </row>
    <row r="1933">
      <c r="A1933" s="41" t="str">
        <f>IFERROR(__xludf.DUMMYFUNCTION("""COMPUTED_VALUE"""),"RSC001937")</f>
        <v>RSC001937</v>
      </c>
      <c r="B1933" s="41" t="str">
        <f>IFERROR(__xludf.DUMMYFUNCTION("""COMPUTED_VALUE"""),"Rurch")</f>
        <v>Rurch</v>
      </c>
    </row>
    <row r="1934">
      <c r="A1934" s="41" t="str">
        <f>IFERROR(__xludf.DUMMYFUNCTION("""COMPUTED_VALUE"""),"RSC001938")</f>
        <v>RSC001938</v>
      </c>
      <c r="B1934" s="41" t="str">
        <f>IFERROR(__xludf.DUMMYFUNCTION("""COMPUTED_VALUE"""),"Bands")</f>
        <v>Bands</v>
      </c>
    </row>
    <row r="1935">
      <c r="A1935" s="41" t="str">
        <f>IFERROR(__xludf.DUMMYFUNCTION("""COMPUTED_VALUE"""),"RSC001939")</f>
        <v>RSC001939</v>
      </c>
      <c r="B1935" s="41" t="str">
        <f>IFERROR(__xludf.DUMMYFUNCTION("""COMPUTED_VALUE"""),"TheRealKSeel")</f>
        <v>TheRealKSeel</v>
      </c>
    </row>
    <row r="1936">
      <c r="A1936" s="41" t="str">
        <f>IFERROR(__xludf.DUMMYFUNCTION("""COMPUTED_VALUE"""),"RSC001940")</f>
        <v>RSC001940</v>
      </c>
      <c r="B1936" s="41" t="str">
        <f>IFERROR(__xludf.DUMMYFUNCTION("""COMPUTED_VALUE"""),"Coke Head")</f>
        <v>Coke Head</v>
      </c>
    </row>
    <row r="1937">
      <c r="A1937" s="41" t="str">
        <f>IFERROR(__xludf.DUMMYFUNCTION("""COMPUTED_VALUE"""),"RSC001941")</f>
        <v>RSC001941</v>
      </c>
      <c r="B1937" s="41" t="str">
        <f>IFERROR(__xludf.DUMMYFUNCTION("""COMPUTED_VALUE"""),"AgameCP")</f>
        <v>AgameCP</v>
      </c>
    </row>
    <row r="1938">
      <c r="A1938" s="41" t="str">
        <f>IFERROR(__xludf.DUMMYFUNCTION("""COMPUTED_VALUE"""),"RSC001942")</f>
        <v>RSC001942</v>
      </c>
      <c r="B1938" s="41" t="str">
        <f>IFERROR(__xludf.DUMMYFUNCTION("""COMPUTED_VALUE"""),"Dendro")</f>
        <v>Dendro</v>
      </c>
    </row>
    <row r="1939">
      <c r="A1939" s="41" t="str">
        <f>IFERROR(__xludf.DUMMYFUNCTION("""COMPUTED_VALUE"""),"RSC001943")</f>
        <v>RSC001943</v>
      </c>
      <c r="B1939" s="41" t="str">
        <f>IFERROR(__xludf.DUMMYFUNCTION("""COMPUTED_VALUE"""),"Walsshhyyyy")</f>
        <v>Walsshhyyyy</v>
      </c>
    </row>
    <row r="1940">
      <c r="A1940" s="41" t="str">
        <f>IFERROR(__xludf.DUMMYFUNCTION("""COMPUTED_VALUE"""),"RSC001944")</f>
        <v>RSC001944</v>
      </c>
      <c r="B1940" s="41" t="str">
        <f>IFERROR(__xludf.DUMMYFUNCTION("""COMPUTED_VALUE"""),"Stevo")</f>
        <v>Stevo</v>
      </c>
    </row>
    <row r="1941">
      <c r="A1941" s="41" t="str">
        <f>IFERROR(__xludf.DUMMYFUNCTION("""COMPUTED_VALUE"""),"RSC001945")</f>
        <v>RSC001945</v>
      </c>
      <c r="B1941" s="41" t="str">
        <f>IFERROR(__xludf.DUMMYFUNCTION("""COMPUTED_VALUE"""),"Brody")</f>
        <v>Brody</v>
      </c>
    </row>
    <row r="1942">
      <c r="A1942" s="41" t="str">
        <f>IFERROR(__xludf.DUMMYFUNCTION("""COMPUTED_VALUE"""),"RSC001946")</f>
        <v>RSC001946</v>
      </c>
      <c r="B1942" s="41" t="str">
        <f>IFERROR(__xludf.DUMMYFUNCTION("""COMPUTED_VALUE"""),"Fritzoz")</f>
        <v>Fritzoz</v>
      </c>
    </row>
    <row r="1943">
      <c r="A1943" s="41" t="str">
        <f>IFERROR(__xludf.DUMMYFUNCTION("""COMPUTED_VALUE"""),"RSC001947")</f>
        <v>RSC001947</v>
      </c>
      <c r="B1943" s="41" t="str">
        <f>IFERROR(__xludf.DUMMYFUNCTION("""COMPUTED_VALUE"""),"trey")</f>
        <v>trey</v>
      </c>
    </row>
    <row r="1944">
      <c r="A1944" s="41" t="str">
        <f>IFERROR(__xludf.DUMMYFUNCTION("""COMPUTED_VALUE"""),"RSC001948")</f>
        <v>RSC001948</v>
      </c>
      <c r="B1944" s="41" t="str">
        <f>IFERROR(__xludf.DUMMYFUNCTION("""COMPUTED_VALUE"""),"fetzy")</f>
        <v>fetzy</v>
      </c>
    </row>
    <row r="1945">
      <c r="A1945" s="41" t="str">
        <f>IFERROR(__xludf.DUMMYFUNCTION("""COMPUTED_VALUE"""),"RSC001949")</f>
        <v>RSC001949</v>
      </c>
      <c r="B1945" s="41" t="str">
        <f>IFERROR(__xludf.DUMMYFUNCTION("""COMPUTED_VALUE"""),"Arrowsmith2")</f>
        <v>Arrowsmith2</v>
      </c>
    </row>
    <row r="1946">
      <c r="A1946" s="41" t="str">
        <f>IFERROR(__xludf.DUMMYFUNCTION("""COMPUTED_VALUE"""),"RSC001950")</f>
        <v>RSC001950</v>
      </c>
      <c r="B1946" s="41" t="str">
        <f>IFERROR(__xludf.DUMMYFUNCTION("""COMPUTED_VALUE"""),"MoreAwpsPlease")</f>
        <v>MoreAwpsPlease</v>
      </c>
    </row>
    <row r="1947">
      <c r="A1947" s="41" t="str">
        <f>IFERROR(__xludf.DUMMYFUNCTION("""COMPUTED_VALUE"""),"RSC001951")</f>
        <v>RSC001951</v>
      </c>
      <c r="B1947" s="41" t="str">
        <f>IFERROR(__xludf.DUMMYFUNCTION("""COMPUTED_VALUE"""),"bitpost")</f>
        <v>bitpost</v>
      </c>
    </row>
    <row r="1948">
      <c r="A1948" s="41" t="str">
        <f>IFERROR(__xludf.DUMMYFUNCTION("""COMPUTED_VALUE"""),"RSC001952")</f>
        <v>RSC001952</v>
      </c>
      <c r="B1948" s="41" t="str">
        <f>IFERROR(__xludf.DUMMYFUNCTION("""COMPUTED_VALUE"""),"Upper")</f>
        <v>Upper</v>
      </c>
    </row>
    <row r="1949">
      <c r="A1949" s="41" t="str">
        <f>IFERROR(__xludf.DUMMYFUNCTION("""COMPUTED_VALUE"""),"RSC001953")</f>
        <v>RSC001953</v>
      </c>
      <c r="B1949" s="41" t="str">
        <f>IFERROR(__xludf.DUMMYFUNCTION("""COMPUTED_VALUE"""),"Bates")</f>
        <v>Bates</v>
      </c>
    </row>
    <row r="1950">
      <c r="A1950" s="41" t="str">
        <f>IFERROR(__xludf.DUMMYFUNCTION("""COMPUTED_VALUE"""),"RSC001954")</f>
        <v>RSC001954</v>
      </c>
      <c r="B1950" s="41" t="str">
        <f>IFERROR(__xludf.DUMMYFUNCTION("""COMPUTED_VALUE"""),"Kiwi")</f>
        <v>Kiwi</v>
      </c>
    </row>
    <row r="1951">
      <c r="A1951" s="41" t="str">
        <f>IFERROR(__xludf.DUMMYFUNCTION("""COMPUTED_VALUE"""),"RSC001955")</f>
        <v>RSC001955</v>
      </c>
      <c r="B1951" s="41" t="str">
        <f>IFERROR(__xludf.DUMMYFUNCTION("""COMPUTED_VALUE"""),"Witha ^~^")</f>
        <v>Witha ^~^</v>
      </c>
    </row>
    <row r="1952">
      <c r="A1952" s="41" t="str">
        <f>IFERROR(__xludf.DUMMYFUNCTION("""COMPUTED_VALUE"""),"RSC001956")</f>
        <v>RSC001956</v>
      </c>
      <c r="B1952" s="41" t="str">
        <f>IFERROR(__xludf.DUMMYFUNCTION("""COMPUTED_VALUE"""),"Fargo_Amadeus1")</f>
        <v>Fargo_Amadeus1</v>
      </c>
    </row>
    <row r="1953">
      <c r="A1953" s="41" t="str">
        <f>IFERROR(__xludf.DUMMYFUNCTION("""COMPUTED_VALUE"""),"RSC001957")</f>
        <v>RSC001957</v>
      </c>
      <c r="B1953" s="41" t="str">
        <f>IFERROR(__xludf.DUMMYFUNCTION("""COMPUTED_VALUE"""),"Schon")</f>
        <v>Schon</v>
      </c>
    </row>
    <row r="1954">
      <c r="A1954" s="41" t="str">
        <f>IFERROR(__xludf.DUMMYFUNCTION("""COMPUTED_VALUE"""),"RSC001958")</f>
        <v>RSC001958</v>
      </c>
      <c r="B1954" s="41" t="str">
        <f>IFERROR(__xludf.DUMMYFUNCTION("""COMPUTED_VALUE"""),"JUSTMIKEYx")</f>
        <v>JUSTMIKEYx</v>
      </c>
    </row>
    <row r="1955">
      <c r="A1955" s="41" t="str">
        <f>IFERROR(__xludf.DUMMYFUNCTION("""COMPUTED_VALUE"""),"RSC001959")</f>
        <v>RSC001959</v>
      </c>
      <c r="B1955" s="41" t="str">
        <f>IFERROR(__xludf.DUMMYFUNCTION("""COMPUTED_VALUE"""),"GrumpusDad")</f>
        <v>GrumpusDad</v>
      </c>
    </row>
    <row r="1956">
      <c r="A1956" s="41" t="str">
        <f>IFERROR(__xludf.DUMMYFUNCTION("""COMPUTED_VALUE"""),"RSC001960")</f>
        <v>RSC001960</v>
      </c>
      <c r="B1956" s="41" t="str">
        <f>IFERROR(__xludf.DUMMYFUNCTION("""COMPUTED_VALUE"""),"Koto")</f>
        <v>Koto</v>
      </c>
    </row>
    <row r="1957">
      <c r="A1957" s="41" t="str">
        <f>IFERROR(__xludf.DUMMYFUNCTION("""COMPUTED_VALUE"""),"RSC001961")</f>
        <v>RSC001961</v>
      </c>
      <c r="B1957" s="41" t="str">
        <f>IFERROR(__xludf.DUMMYFUNCTION("""COMPUTED_VALUE"""),"Martian")</f>
        <v>Martian</v>
      </c>
    </row>
    <row r="1958">
      <c r="A1958" s="41" t="str">
        <f>IFERROR(__xludf.DUMMYFUNCTION("""COMPUTED_VALUE"""),"RSC001962")</f>
        <v>RSC001962</v>
      </c>
      <c r="B1958" s="41" t="str">
        <f>IFERROR(__xludf.DUMMYFUNCTION("""COMPUTED_VALUE"""),"FiftyGod")</f>
        <v>FiftyGod</v>
      </c>
    </row>
    <row r="1959">
      <c r="A1959" s="41" t="str">
        <f>IFERROR(__xludf.DUMMYFUNCTION("""COMPUTED_VALUE"""),"RSC001963")</f>
        <v>RSC001963</v>
      </c>
      <c r="B1959" s="41" t="str">
        <f>IFERROR(__xludf.DUMMYFUNCTION("""COMPUTED_VALUE"""),"TacticalCheeze")</f>
        <v>TacticalCheeze</v>
      </c>
    </row>
    <row r="1960">
      <c r="A1960" s="41" t="str">
        <f>IFERROR(__xludf.DUMMYFUNCTION("""COMPUTED_VALUE"""),"RSC001964")</f>
        <v>RSC001964</v>
      </c>
      <c r="B1960" s="41" t="str">
        <f>IFERROR(__xludf.DUMMYFUNCTION("""COMPUTED_VALUE"""),"RyDoggieFresh")</f>
        <v>RyDoggieFresh</v>
      </c>
    </row>
    <row r="1961">
      <c r="A1961" s="41" t="str">
        <f>IFERROR(__xludf.DUMMYFUNCTION("""COMPUTED_VALUE"""),"RSC001965")</f>
        <v>RSC001965</v>
      </c>
      <c r="B1961" s="41" t="str">
        <f>IFERROR(__xludf.DUMMYFUNCTION("""COMPUTED_VALUE"""),"WildcardWolf")</f>
        <v>WildcardWolf</v>
      </c>
    </row>
    <row r="1962">
      <c r="A1962" s="41" t="str">
        <f>IFERROR(__xludf.DUMMYFUNCTION("""COMPUTED_VALUE"""),"RSC001966")</f>
        <v>RSC001966</v>
      </c>
      <c r="B1962" s="41" t="str">
        <f>IFERROR(__xludf.DUMMYFUNCTION("""COMPUTED_VALUE"""),"Fynnatic")</f>
        <v>Fynnatic</v>
      </c>
    </row>
    <row r="1963">
      <c r="A1963" s="41" t="str">
        <f>IFERROR(__xludf.DUMMYFUNCTION("""COMPUTED_VALUE"""),"RSC001967")</f>
        <v>RSC001967</v>
      </c>
      <c r="B1963" s="41" t="str">
        <f>IFERROR(__xludf.DUMMYFUNCTION("""COMPUTED_VALUE"""),"able")</f>
        <v>able</v>
      </c>
    </row>
    <row r="1964">
      <c r="A1964" s="41" t="str">
        <f>IFERROR(__xludf.DUMMYFUNCTION("""COMPUTED_VALUE"""),"RSC001968")</f>
        <v>RSC001968</v>
      </c>
      <c r="B1964" s="41" t="str">
        <f>IFERROR(__xludf.DUMMYFUNCTION("""COMPUTED_VALUE"""),"Waddle")</f>
        <v>Waddle</v>
      </c>
    </row>
    <row r="1965">
      <c r="A1965" s="41" t="str">
        <f>IFERROR(__xludf.DUMMYFUNCTION("""COMPUTED_VALUE"""),"RSC001969")</f>
        <v>RSC001969</v>
      </c>
      <c r="B1965" s="41" t="str">
        <f>IFERROR(__xludf.DUMMYFUNCTION("""COMPUTED_VALUE"""),"A Pile Of Glue")</f>
        <v>A Pile Of Glue</v>
      </c>
    </row>
    <row r="1966">
      <c r="A1966" s="41" t="str">
        <f>IFERROR(__xludf.DUMMYFUNCTION("""COMPUTED_VALUE"""),"RSC001970")</f>
        <v>RSC001970</v>
      </c>
      <c r="B1966" s="41" t="str">
        <f>IFERROR(__xludf.DUMMYFUNCTION("""COMPUTED_VALUE"""),"WyPiPo")</f>
        <v>WyPiPo</v>
      </c>
    </row>
    <row r="1967">
      <c r="A1967" s="41" t="str">
        <f>IFERROR(__xludf.DUMMYFUNCTION("""COMPUTED_VALUE"""),"RSC001971")</f>
        <v>RSC001971</v>
      </c>
      <c r="B1967" s="41" t="str">
        <f>IFERROR(__xludf.DUMMYFUNCTION("""COMPUTED_VALUE"""),"fkn hero")</f>
        <v>fkn hero</v>
      </c>
    </row>
    <row r="1968">
      <c r="A1968" s="41" t="str">
        <f>IFERROR(__xludf.DUMMYFUNCTION("""COMPUTED_VALUE"""),"RSC001972")</f>
        <v>RSC001972</v>
      </c>
      <c r="B1968" s="41" t="str">
        <f>IFERROR(__xludf.DUMMYFUNCTION("""COMPUTED_VALUE"""),"FatBoyRunz69")</f>
        <v>FatBoyRunz69</v>
      </c>
    </row>
    <row r="1969">
      <c r="A1969" s="41" t="str">
        <f>IFERROR(__xludf.DUMMYFUNCTION("""COMPUTED_VALUE"""),"RSC001973")</f>
        <v>RSC001973</v>
      </c>
      <c r="B1969" s="41" t="str">
        <f>IFERROR(__xludf.DUMMYFUNCTION("""COMPUTED_VALUE"""),"SvG_Finesse")</f>
        <v>SvG_Finesse</v>
      </c>
    </row>
    <row r="1970">
      <c r="A1970" s="41" t="str">
        <f>IFERROR(__xludf.DUMMYFUNCTION("""COMPUTED_VALUE"""),"RSC001974")</f>
        <v>RSC001974</v>
      </c>
      <c r="B1970" s="41" t="str">
        <f>IFERROR(__xludf.DUMMYFUNCTION("""COMPUTED_VALUE"""),"TinyElephant")</f>
        <v>TinyElephant</v>
      </c>
    </row>
    <row r="1971">
      <c r="A1971" s="41" t="str">
        <f>IFERROR(__xludf.DUMMYFUNCTION("""COMPUTED_VALUE"""),"RSC001975")</f>
        <v>RSC001975</v>
      </c>
      <c r="B1971" s="41" t="str">
        <f>IFERROR(__xludf.DUMMYFUNCTION("""COMPUTED_VALUE"""),"TheHamburglar")</f>
        <v>TheHamburglar</v>
      </c>
    </row>
    <row r="1972">
      <c r="A1972" s="41" t="str">
        <f>IFERROR(__xludf.DUMMYFUNCTION("""COMPUTED_VALUE"""),"RSC001976")</f>
        <v>RSC001976</v>
      </c>
      <c r="B1972" s="41" t="str">
        <f>IFERROR(__xludf.DUMMYFUNCTION("""COMPUTED_VALUE"""),"Pav3K")</f>
        <v>Pav3K</v>
      </c>
    </row>
    <row r="1973">
      <c r="A1973" s="41" t="str">
        <f>IFERROR(__xludf.DUMMYFUNCTION("""COMPUTED_VALUE"""),"RSC001977")</f>
        <v>RSC001977</v>
      </c>
      <c r="B1973" s="41" t="str">
        <f>IFERROR(__xludf.DUMMYFUNCTION("""COMPUTED_VALUE"""),"T.")</f>
        <v>T.</v>
      </c>
    </row>
    <row r="1974">
      <c r="A1974" s="41" t="str">
        <f>IFERROR(__xludf.DUMMYFUNCTION("""COMPUTED_VALUE"""),"RSC001978")</f>
        <v>RSC001978</v>
      </c>
      <c r="B1974" s="41" t="str">
        <f>IFERROR(__xludf.DUMMYFUNCTION("""COMPUTED_VALUE"""),"Kryptik")</f>
        <v>Kryptik</v>
      </c>
    </row>
    <row r="1975">
      <c r="A1975" s="41" t="str">
        <f>IFERROR(__xludf.DUMMYFUNCTION("""COMPUTED_VALUE"""),"RSC001979")</f>
        <v>RSC001979</v>
      </c>
      <c r="B1975" s="41" t="str">
        <f>IFERROR(__xludf.DUMMYFUNCTION("""COMPUTED_VALUE"""),"bnasty285")</f>
        <v>bnasty285</v>
      </c>
    </row>
    <row r="1976">
      <c r="A1976" s="41" t="str">
        <f>IFERROR(__xludf.DUMMYFUNCTION("""COMPUTED_VALUE"""),"RSC001980")</f>
        <v>RSC001980</v>
      </c>
      <c r="B1976" s="41" t="str">
        <f>IFERROR(__xludf.DUMMYFUNCTION("""COMPUTED_VALUE"""),"AbsotruthOnly")</f>
        <v>AbsotruthOnly</v>
      </c>
    </row>
    <row r="1977">
      <c r="A1977" s="41" t="str">
        <f>IFERROR(__xludf.DUMMYFUNCTION("""COMPUTED_VALUE"""),"RSC001981")</f>
        <v>RSC001981</v>
      </c>
      <c r="B1977" s="41" t="str">
        <f>IFERROR(__xludf.DUMMYFUNCTION("""COMPUTED_VALUE"""),"dalerben61")</f>
        <v>dalerben61</v>
      </c>
    </row>
    <row r="1978">
      <c r="A1978" s="41" t="str">
        <f>IFERROR(__xludf.DUMMYFUNCTION("""COMPUTED_VALUE"""),"RSC001982")</f>
        <v>RSC001982</v>
      </c>
      <c r="B1978" s="41" t="str">
        <f>IFERROR(__xludf.DUMMYFUNCTION("""COMPUTED_VALUE"""),"Me Weeney")</f>
        <v>Me Weeney</v>
      </c>
    </row>
    <row r="1979">
      <c r="A1979" s="41" t="str">
        <f>IFERROR(__xludf.DUMMYFUNCTION("""COMPUTED_VALUE"""),"RSC001983")</f>
        <v>RSC001983</v>
      </c>
      <c r="B1979" s="41" t="str">
        <f>IFERROR(__xludf.DUMMYFUNCTION("""COMPUTED_VALUE"""),"Ash")</f>
        <v>Ash</v>
      </c>
    </row>
    <row r="1980">
      <c r="A1980" s="41" t="str">
        <f>IFERROR(__xludf.DUMMYFUNCTION("""COMPUTED_VALUE"""),"RSC001984")</f>
        <v>RSC001984</v>
      </c>
      <c r="B1980" s="41" t="str">
        <f>IFERROR(__xludf.DUMMYFUNCTION("""COMPUTED_VALUE"""),"Cazzuto")</f>
        <v>Cazzuto</v>
      </c>
    </row>
    <row r="1981">
      <c r="A1981" s="41" t="str">
        <f>IFERROR(__xludf.DUMMYFUNCTION("""COMPUTED_VALUE"""),"RSC001985")</f>
        <v>RSC001985</v>
      </c>
      <c r="B1981" s="41" t="str">
        <f>IFERROR(__xludf.DUMMYFUNCTION("""COMPUTED_VALUE"""),"JD")</f>
        <v>JD</v>
      </c>
    </row>
    <row r="1982">
      <c r="A1982" s="41" t="str">
        <f>IFERROR(__xludf.DUMMYFUNCTION("""COMPUTED_VALUE"""),"RSC001986")</f>
        <v>RSC001986</v>
      </c>
      <c r="B1982" s="41" t="str">
        <f>IFERROR(__xludf.DUMMYFUNCTION("""COMPUTED_VALUE"""),"Colinn")</f>
        <v>Colinn</v>
      </c>
    </row>
    <row r="1983">
      <c r="A1983" s="41" t="str">
        <f>IFERROR(__xludf.DUMMYFUNCTION("""COMPUTED_VALUE"""),"RSC001987")</f>
        <v>RSC001987</v>
      </c>
      <c r="B1983" s="41" t="str">
        <f>IFERROR(__xludf.DUMMYFUNCTION("""COMPUTED_VALUE"""),"Eminent")</f>
        <v>Eminent</v>
      </c>
    </row>
    <row r="1984">
      <c r="A1984" s="41" t="str">
        <f>IFERROR(__xludf.DUMMYFUNCTION("""COMPUTED_VALUE"""),"RSC001988")</f>
        <v>RSC001988</v>
      </c>
      <c r="B1984" s="41" t="str">
        <f>IFERROR(__xludf.DUMMYFUNCTION("""COMPUTED_VALUE"""),"Frost")</f>
        <v>Frost</v>
      </c>
    </row>
    <row r="1985">
      <c r="A1985" s="41" t="str">
        <f>IFERROR(__xludf.DUMMYFUNCTION("""COMPUTED_VALUE"""),"RSC001989")</f>
        <v>RSC001989</v>
      </c>
      <c r="B1985" s="41" t="str">
        <f>IFERROR(__xludf.DUMMYFUNCTION("""COMPUTED_VALUE"""),"Avid")</f>
        <v>Avid</v>
      </c>
    </row>
    <row r="1986">
      <c r="A1986" s="41" t="str">
        <f>IFERROR(__xludf.DUMMYFUNCTION("""COMPUTED_VALUE"""),"RSC001990")</f>
        <v>RSC001990</v>
      </c>
      <c r="B1986" s="41" t="str">
        <f>IFERROR(__xludf.DUMMYFUNCTION("""COMPUTED_VALUE"""),"Zack.")</f>
        <v>Zack.</v>
      </c>
    </row>
    <row r="1987">
      <c r="A1987" s="41" t="str">
        <f>IFERROR(__xludf.DUMMYFUNCTION("""COMPUTED_VALUE"""),"RSC001991")</f>
        <v>RSC001991</v>
      </c>
      <c r="B1987" s="41" t="str">
        <f>IFERROR(__xludf.DUMMYFUNCTION("""COMPUTED_VALUE"""),"TowerSparky")</f>
        <v>TowerSparky</v>
      </c>
    </row>
    <row r="1988">
      <c r="A1988" s="41" t="str">
        <f>IFERROR(__xludf.DUMMYFUNCTION("""COMPUTED_VALUE"""),"RSC001992")</f>
        <v>RSC001992</v>
      </c>
      <c r="B1988" s="41" t="str">
        <f>IFERROR(__xludf.DUMMYFUNCTION("""COMPUTED_VALUE"""),"Relentlessx23")</f>
        <v>Relentlessx23</v>
      </c>
    </row>
    <row r="1989">
      <c r="A1989" s="41" t="str">
        <f>IFERROR(__xludf.DUMMYFUNCTION("""COMPUTED_VALUE"""),"RSC001993")</f>
        <v>RSC001993</v>
      </c>
      <c r="B1989" s="41" t="str">
        <f>IFERROR(__xludf.DUMMYFUNCTION("""COMPUTED_VALUE"""),"ShyGuy")</f>
        <v>ShyGuy</v>
      </c>
    </row>
    <row r="1990">
      <c r="A1990" s="41" t="str">
        <f>IFERROR(__xludf.DUMMYFUNCTION("""COMPUTED_VALUE"""),"RSC001994")</f>
        <v>RSC001994</v>
      </c>
      <c r="B1990" s="41" t="str">
        <f>IFERROR(__xludf.DUMMYFUNCTION("""COMPUTED_VALUE"""),"Doc-change")</f>
        <v>Doc-change</v>
      </c>
    </row>
    <row r="1991">
      <c r="A1991" s="41" t="str">
        <f>IFERROR(__xludf.DUMMYFUNCTION("""COMPUTED_VALUE"""),"RSC001995")</f>
        <v>RSC001995</v>
      </c>
      <c r="B1991" s="41" t="str">
        <f>IFERROR(__xludf.DUMMYFUNCTION("""COMPUTED_VALUE"""),"Tvveedle")</f>
        <v>Tvveedle</v>
      </c>
    </row>
    <row r="1992">
      <c r="A1992" s="41" t="str">
        <f>IFERROR(__xludf.DUMMYFUNCTION("""COMPUTED_VALUE"""),"RSC001996")</f>
        <v>RSC001996</v>
      </c>
      <c r="B1992" s="41" t="str">
        <f>IFERROR(__xludf.DUMMYFUNCTION("""COMPUTED_VALUE"""),"Macen")</f>
        <v>Macen</v>
      </c>
    </row>
    <row r="1993">
      <c r="A1993" s="41" t="str">
        <f>IFERROR(__xludf.DUMMYFUNCTION("""COMPUTED_VALUE"""),"RSC001997")</f>
        <v>RSC001997</v>
      </c>
      <c r="B1993" s="41" t="str">
        <f>IFERROR(__xludf.DUMMYFUNCTION("""COMPUTED_VALUE"""),"Bioeffect")</f>
        <v>Bioeffect</v>
      </c>
    </row>
    <row r="1994">
      <c r="A1994" s="41" t="str">
        <f>IFERROR(__xludf.DUMMYFUNCTION("""COMPUTED_VALUE"""),"RSC001998")</f>
        <v>RSC001998</v>
      </c>
      <c r="B1994" s="41" t="str">
        <f>IFERROR(__xludf.DUMMYFUNCTION("""COMPUTED_VALUE"""),"Kxle")</f>
        <v>Kxle</v>
      </c>
    </row>
    <row r="1995">
      <c r="A1995" s="41" t="str">
        <f>IFERROR(__xludf.DUMMYFUNCTION("""COMPUTED_VALUE"""),"RSC001999")</f>
        <v>RSC001999</v>
      </c>
      <c r="B1995" s="41" t="str">
        <f>IFERROR(__xludf.DUMMYFUNCTION("""COMPUTED_VALUE"""),"Cs o Gunkiller")</f>
        <v>Cs o Gunkiller</v>
      </c>
    </row>
    <row r="1996">
      <c r="A1996" s="41" t="str">
        <f>IFERROR(__xludf.DUMMYFUNCTION("""COMPUTED_VALUE"""),"RSC002000")</f>
        <v>RSC002000</v>
      </c>
      <c r="B1996" s="41" t="str">
        <f>IFERROR(__xludf.DUMMYFUNCTION("""COMPUTED_VALUE"""),"Crusty_sockk")</f>
        <v>Crusty_sockk</v>
      </c>
    </row>
    <row r="1997">
      <c r="A1997" s="41" t="str">
        <f>IFERROR(__xludf.DUMMYFUNCTION("""COMPUTED_VALUE"""),"RSC002001")</f>
        <v>RSC002001</v>
      </c>
      <c r="B1997" s="41" t="str">
        <f>IFERROR(__xludf.DUMMYFUNCTION("""COMPUTED_VALUE"""),"MellowMighty")</f>
        <v>MellowMighty</v>
      </c>
    </row>
    <row r="1998">
      <c r="A1998" s="41" t="str">
        <f>IFERROR(__xludf.DUMMYFUNCTION("""COMPUTED_VALUE"""),"RSC002002")</f>
        <v>RSC002002</v>
      </c>
      <c r="B1998" s="41" t="str">
        <f>IFERROR(__xludf.DUMMYFUNCTION("""COMPUTED_VALUE"""),"Daddy Drop")</f>
        <v>Daddy Drop</v>
      </c>
    </row>
    <row r="1999">
      <c r="A1999" s="41" t="str">
        <f>IFERROR(__xludf.DUMMYFUNCTION("""COMPUTED_VALUE"""),"RSC002003")</f>
        <v>RSC002003</v>
      </c>
      <c r="B1999" s="41" t="str">
        <f>IFERROR(__xludf.DUMMYFUNCTION("""COMPUTED_VALUE"""),"iceyisaac14")</f>
        <v>iceyisaac14</v>
      </c>
    </row>
    <row r="2000">
      <c r="A2000" s="41" t="str">
        <f>IFERROR(__xludf.DUMMYFUNCTION("""COMPUTED_VALUE"""),"RSC002004")</f>
        <v>RSC002004</v>
      </c>
      <c r="B2000" s="41" t="str">
        <f>IFERROR(__xludf.DUMMYFUNCTION("""COMPUTED_VALUE"""),"TheTerminiator")</f>
        <v>TheTerminiator</v>
      </c>
    </row>
    <row r="2001">
      <c r="A2001" s="41" t="str">
        <f>IFERROR(__xludf.DUMMYFUNCTION("""COMPUTED_VALUE"""),"RSC002005")</f>
        <v>RSC002005</v>
      </c>
      <c r="B2001" s="41" t="str">
        <f>IFERROR(__xludf.DUMMYFUNCTION("""COMPUTED_VALUE"""),"Tyler-change")</f>
        <v>Tyler-change</v>
      </c>
    </row>
    <row r="2002">
      <c r="A2002" s="41" t="str">
        <f>IFERROR(__xludf.DUMMYFUNCTION("""COMPUTED_VALUE"""),"RSC002006")</f>
        <v>RSC002006</v>
      </c>
      <c r="B2002" s="41" t="str">
        <f>IFERROR(__xludf.DUMMYFUNCTION("""COMPUTED_VALUE"""),"AvgJoeyB-")</f>
        <v>AvgJoeyB-</v>
      </c>
    </row>
    <row r="2003">
      <c r="A2003" s="41" t="str">
        <f>IFERROR(__xludf.DUMMYFUNCTION("""COMPUTED_VALUE"""),"RSC002007")</f>
        <v>RSC002007</v>
      </c>
      <c r="B2003" s="41" t="str">
        <f>IFERROR(__xludf.DUMMYFUNCTION("""COMPUTED_VALUE"""),"Jnova")</f>
        <v>Jnova</v>
      </c>
    </row>
    <row r="2004">
      <c r="A2004" s="41" t="str">
        <f>IFERROR(__xludf.DUMMYFUNCTION("""COMPUTED_VALUE"""),"RSC002008")</f>
        <v>RSC002008</v>
      </c>
      <c r="B2004" s="41" t="str">
        <f>IFERROR(__xludf.DUMMYFUNCTION("""COMPUTED_VALUE"""),"kek koors")</f>
        <v>kek koors</v>
      </c>
    </row>
    <row r="2005">
      <c r="A2005" s="41" t="str">
        <f>IFERROR(__xludf.DUMMYFUNCTION("""COMPUTED_VALUE"""),"RSC002009")</f>
        <v>RSC002009</v>
      </c>
      <c r="B2005" s="41" t="str">
        <f>IFERROR(__xludf.DUMMYFUNCTION("""COMPUTED_VALUE"""),"Boulder.")</f>
        <v>Boulder.</v>
      </c>
    </row>
    <row r="2006">
      <c r="A2006" s="41" t="str">
        <f>IFERROR(__xludf.DUMMYFUNCTION("""COMPUTED_VALUE"""),"RSC002010")</f>
        <v>RSC002010</v>
      </c>
      <c r="B2006" s="41" t="str">
        <f>IFERROR(__xludf.DUMMYFUNCTION("""COMPUTED_VALUE"""),"Heca")</f>
        <v>Heca</v>
      </c>
    </row>
    <row r="2007">
      <c r="A2007" s="41" t="str">
        <f>IFERROR(__xludf.DUMMYFUNCTION("""COMPUTED_VALUE"""),"RSC002011")</f>
        <v>RSC002011</v>
      </c>
      <c r="B2007" s="41" t="str">
        <f>IFERROR(__xludf.DUMMYFUNCTION("""COMPUTED_VALUE"""),"thedeeepstate")</f>
        <v>thedeeepstate</v>
      </c>
    </row>
    <row r="2008">
      <c r="A2008" s="41" t="str">
        <f>IFERROR(__xludf.DUMMYFUNCTION("""COMPUTED_VALUE"""),"RSC002012")</f>
        <v>RSC002012</v>
      </c>
      <c r="B2008" s="41" t="str">
        <f>IFERROR(__xludf.DUMMYFUNCTION("""COMPUTED_VALUE"""),"bentlydang")</f>
        <v>bentlydang</v>
      </c>
    </row>
    <row r="2009">
      <c r="A2009" s="41" t="str">
        <f>IFERROR(__xludf.DUMMYFUNCTION("""COMPUTED_VALUE"""),"RSC002013")</f>
        <v>RSC002013</v>
      </c>
      <c r="B2009" s="41" t="str">
        <f>IFERROR(__xludf.DUMMYFUNCTION("""COMPUTED_VALUE"""),"Path")</f>
        <v>Path</v>
      </c>
    </row>
    <row r="2010">
      <c r="A2010" s="41" t="str">
        <f>IFERROR(__xludf.DUMMYFUNCTION("""COMPUTED_VALUE"""),"RSC002014")</f>
        <v>RSC002014</v>
      </c>
      <c r="B2010" s="41" t="str">
        <f>IFERROR(__xludf.DUMMYFUNCTION("""COMPUTED_VALUE"""),"terrible archer")</f>
        <v>terrible archer</v>
      </c>
    </row>
    <row r="2011">
      <c r="A2011" s="41" t="str">
        <f>IFERROR(__xludf.DUMMYFUNCTION("""COMPUTED_VALUE"""),"RSC002015")</f>
        <v>RSC002015</v>
      </c>
      <c r="B2011" s="41" t="str">
        <f>IFERROR(__xludf.DUMMYFUNCTION("""COMPUTED_VALUE"""),"Benji")</f>
        <v>Benji</v>
      </c>
    </row>
    <row r="2012">
      <c r="A2012" s="41" t="str">
        <f>IFERROR(__xludf.DUMMYFUNCTION("""COMPUTED_VALUE"""),"RSC002016")</f>
        <v>RSC002016</v>
      </c>
      <c r="B2012" s="41" t="str">
        <f>IFERROR(__xludf.DUMMYFUNCTION("""COMPUTED_VALUE"""),"pivo!")</f>
        <v>pivo!</v>
      </c>
    </row>
    <row r="2013">
      <c r="A2013" s="41" t="str">
        <f>IFERROR(__xludf.DUMMYFUNCTION("""COMPUTED_VALUE"""),"RSC002017")</f>
        <v>RSC002017</v>
      </c>
      <c r="B2013" s="41" t="str">
        <f>IFERROR(__xludf.DUMMYFUNCTION("""COMPUTED_VALUE"""),"BigSchlanger420")</f>
        <v>BigSchlanger420</v>
      </c>
    </row>
    <row r="2014">
      <c r="A2014" s="41" t="str">
        <f>IFERROR(__xludf.DUMMYFUNCTION("""COMPUTED_VALUE"""),"RSC002018")</f>
        <v>RSC002018</v>
      </c>
      <c r="B2014" s="41" t="str">
        <f>IFERROR(__xludf.DUMMYFUNCTION("""COMPUTED_VALUE"""),"Prine")</f>
        <v>Prine</v>
      </c>
    </row>
    <row r="2015">
      <c r="A2015" s="41" t="str">
        <f>IFERROR(__xludf.DUMMYFUNCTION("""COMPUTED_VALUE"""),"RSC002019")</f>
        <v>RSC002019</v>
      </c>
      <c r="B2015" s="41" t="str">
        <f>IFERROR(__xludf.DUMMYFUNCTION("""COMPUTED_VALUE"""),"Jackal")</f>
        <v>Jackal</v>
      </c>
    </row>
    <row r="2016">
      <c r="A2016" s="41" t="str">
        <f>IFERROR(__xludf.DUMMYFUNCTION("""COMPUTED_VALUE"""),"RSC002020")</f>
        <v>RSC002020</v>
      </c>
      <c r="B2016" s="41" t="str">
        <f>IFERROR(__xludf.DUMMYFUNCTION("""COMPUTED_VALUE"""),"Ham")</f>
        <v>Ham</v>
      </c>
    </row>
    <row r="2017">
      <c r="A2017" s="41" t="str">
        <f>IFERROR(__xludf.DUMMYFUNCTION("""COMPUTED_VALUE"""),"RSC002021")</f>
        <v>RSC002021</v>
      </c>
      <c r="B2017" s="41" t="str">
        <f>IFERROR(__xludf.DUMMYFUNCTION("""COMPUTED_VALUE"""),"perk_at_play")</f>
        <v>perk_at_play</v>
      </c>
    </row>
    <row r="2018">
      <c r="A2018" s="41" t="str">
        <f>IFERROR(__xludf.DUMMYFUNCTION("""COMPUTED_VALUE"""),"RSC002022")</f>
        <v>RSC002022</v>
      </c>
      <c r="B2018" s="41" t="str">
        <f>IFERROR(__xludf.DUMMYFUNCTION("""COMPUTED_VALUE"""),"Zombslayr")</f>
        <v>Zombslayr</v>
      </c>
    </row>
    <row r="2019">
      <c r="A2019" s="41" t="str">
        <f>IFERROR(__xludf.DUMMYFUNCTION("""COMPUTED_VALUE"""),"RSC002023")</f>
        <v>RSC002023</v>
      </c>
      <c r="B2019" s="41" t="str">
        <f>IFERROR(__xludf.DUMMYFUNCTION("""COMPUTED_VALUE"""),"Eh Behaviour")</f>
        <v>Eh Behaviour</v>
      </c>
    </row>
    <row r="2020">
      <c r="A2020" s="41" t="str">
        <f>IFERROR(__xludf.DUMMYFUNCTION("""COMPUTED_VALUE"""),"RSC002024")</f>
        <v>RSC002024</v>
      </c>
      <c r="B2020" s="41" t="str">
        <f>IFERROR(__xludf.DUMMYFUNCTION("""COMPUTED_VALUE"""),"Stupendous Man")</f>
        <v>Stupendous Man</v>
      </c>
    </row>
    <row r="2021">
      <c r="A2021" s="41" t="str">
        <f>IFERROR(__xludf.DUMMYFUNCTION("""COMPUTED_VALUE"""),"RSC002025")</f>
        <v>RSC002025</v>
      </c>
      <c r="B2021" s="41" t="str">
        <f>IFERROR(__xludf.DUMMYFUNCTION("""COMPUTED_VALUE"""),"Avixily")</f>
        <v>Avixily</v>
      </c>
    </row>
    <row r="2022">
      <c r="A2022" s="41" t="str">
        <f>IFERROR(__xludf.DUMMYFUNCTION("""COMPUTED_VALUE"""),"RSC002026")</f>
        <v>RSC002026</v>
      </c>
      <c r="B2022" s="41" t="str">
        <f>IFERROR(__xludf.DUMMYFUNCTION("""COMPUTED_VALUE"""),"T-t-tangent")</f>
        <v>T-t-tangent</v>
      </c>
    </row>
    <row r="2023">
      <c r="A2023" s="41" t="str">
        <f>IFERROR(__xludf.DUMMYFUNCTION("""COMPUTED_VALUE"""),"RSC002027")</f>
        <v>RSC002027</v>
      </c>
      <c r="B2023" s="41" t="str">
        <f>IFERROR(__xludf.DUMMYFUNCTION("""COMPUTED_VALUE"""),"Zin.")</f>
        <v>Zin.</v>
      </c>
    </row>
    <row r="2024">
      <c r="A2024" s="41" t="str">
        <f>IFERROR(__xludf.DUMMYFUNCTION("""COMPUTED_VALUE"""),"RSC002028")</f>
        <v>RSC002028</v>
      </c>
      <c r="B2024" s="41" t="str">
        <f>IFERROR(__xludf.DUMMYFUNCTION("""COMPUTED_VALUE"""),"🐠Fish🐠")</f>
        <v>🐠Fish🐠</v>
      </c>
    </row>
    <row r="2025">
      <c r="A2025" s="41" t="str">
        <f>IFERROR(__xludf.DUMMYFUNCTION("""COMPUTED_VALUE"""),"RSC002029")</f>
        <v>RSC002029</v>
      </c>
      <c r="B2025" s="41" t="str">
        <f>IFERROR(__xludf.DUMMYFUNCTION("""COMPUTED_VALUE"""),"yt Henry Playz")</f>
        <v>yt Henry Playz</v>
      </c>
    </row>
    <row r="2026">
      <c r="A2026" s="41" t="str">
        <f>IFERROR(__xludf.DUMMYFUNCTION("""COMPUTED_VALUE"""),"RSC002030")</f>
        <v>RSC002030</v>
      </c>
      <c r="B2026" s="41" t="str">
        <f>IFERROR(__xludf.DUMMYFUNCTION("""COMPUTED_VALUE"""),"Stumpi")</f>
        <v>Stumpi</v>
      </c>
    </row>
    <row r="2027">
      <c r="A2027" s="41" t="str">
        <f>IFERROR(__xludf.DUMMYFUNCTION("""COMPUTED_VALUE"""),"RSC002031")</f>
        <v>RSC002031</v>
      </c>
      <c r="B2027" s="41" t="str">
        <f>IFERROR(__xludf.DUMMYFUNCTION("""COMPUTED_VALUE"""),"Rubber Ducky Man")</f>
        <v>Rubber Ducky Man</v>
      </c>
    </row>
    <row r="2028">
      <c r="A2028" s="41" t="str">
        <f>IFERROR(__xludf.DUMMYFUNCTION("""COMPUTED_VALUE"""),"RSC002032")</f>
        <v>RSC002032</v>
      </c>
      <c r="B2028" s="41" t="str">
        <f>IFERROR(__xludf.DUMMYFUNCTION("""COMPUTED_VALUE"""),"spookcee.")</f>
        <v>spookcee.</v>
      </c>
    </row>
    <row r="2029">
      <c r="A2029" s="41" t="str">
        <f>IFERROR(__xludf.DUMMYFUNCTION("""COMPUTED_VALUE"""),"RSC002033")</f>
        <v>RSC002033</v>
      </c>
      <c r="B2029" s="41" t="str">
        <f>IFERROR(__xludf.DUMMYFUNCTION("""COMPUTED_VALUE"""),"FoldupRabbit1")</f>
        <v>FoldupRabbit1</v>
      </c>
    </row>
    <row r="2030">
      <c r="A2030" s="41" t="str">
        <f>IFERROR(__xludf.DUMMYFUNCTION("""COMPUTED_VALUE"""),"RSC002034")</f>
        <v>RSC002034</v>
      </c>
      <c r="B2030" s="41" t="str">
        <f>IFERROR(__xludf.DUMMYFUNCTION("""COMPUTED_VALUE"""),"GoldenLuigii")</f>
        <v>GoldenLuigii</v>
      </c>
    </row>
    <row r="2031">
      <c r="A2031" s="41" t="str">
        <f>IFERROR(__xludf.DUMMYFUNCTION("""COMPUTED_VALUE"""),"RSC002035")</f>
        <v>RSC002035</v>
      </c>
      <c r="B2031" s="41" t="str">
        <f>IFERROR(__xludf.DUMMYFUNCTION("""COMPUTED_VALUE"""),"ThiccBoiEric")</f>
        <v>ThiccBoiEric</v>
      </c>
    </row>
    <row r="2032">
      <c r="A2032" s="41" t="str">
        <f>IFERROR(__xludf.DUMMYFUNCTION("""COMPUTED_VALUE"""),"RSC002036")</f>
        <v>RSC002036</v>
      </c>
      <c r="B2032" s="41" t="str">
        <f>IFERROR(__xludf.DUMMYFUNCTION("""COMPUTED_VALUE"""),"Reno")</f>
        <v>Reno</v>
      </c>
    </row>
    <row r="2033">
      <c r="A2033" s="41" t="str">
        <f>IFERROR(__xludf.DUMMYFUNCTION("""COMPUTED_VALUE"""),"RSC002037")</f>
        <v>RSC002037</v>
      </c>
      <c r="B2033" s="41" t="str">
        <f>IFERROR(__xludf.DUMMYFUNCTION("""COMPUTED_VALUE"""),"Alfredo (Old)")</f>
        <v>Alfredo (Old)</v>
      </c>
    </row>
    <row r="2034">
      <c r="A2034" s="41" t="str">
        <f>IFERROR(__xludf.DUMMYFUNCTION("""COMPUTED_VALUE"""),"RSC002038")</f>
        <v>RSC002038</v>
      </c>
      <c r="B2034" s="41" t="str">
        <f>IFERROR(__xludf.DUMMYFUNCTION("""COMPUTED_VALUE"""),"ChiefzRL")</f>
        <v>ChiefzRL</v>
      </c>
    </row>
    <row r="2035">
      <c r="A2035" s="41" t="str">
        <f>IFERROR(__xludf.DUMMYFUNCTION("""COMPUTED_VALUE"""),"RSC002039")</f>
        <v>RSC002039</v>
      </c>
      <c r="B2035" s="41" t="str">
        <f>IFERROR(__xludf.DUMMYFUNCTION("""COMPUTED_VALUE"""),"jay.")</f>
        <v>jay.</v>
      </c>
    </row>
    <row r="2036">
      <c r="A2036" s="41" t="str">
        <f>IFERROR(__xludf.DUMMYFUNCTION("""COMPUTED_VALUE"""),"RSC002040")</f>
        <v>RSC002040</v>
      </c>
      <c r="B2036" s="41" t="str">
        <f>IFERROR(__xludf.DUMMYFUNCTION("""COMPUTED_VALUE"""),"Scomps")</f>
        <v>Scomps</v>
      </c>
    </row>
    <row r="2037">
      <c r="A2037" s="41" t="str">
        <f>IFERROR(__xludf.DUMMYFUNCTION("""COMPUTED_VALUE"""),"RSC002041")</f>
        <v>RSC002041</v>
      </c>
      <c r="B2037" s="41" t="str">
        <f>IFERROR(__xludf.DUMMYFUNCTION("""COMPUTED_VALUE"""),"devolution")</f>
        <v>devolution</v>
      </c>
    </row>
    <row r="2038">
      <c r="A2038" s="41" t="str">
        <f>IFERROR(__xludf.DUMMYFUNCTION("""COMPUTED_VALUE"""),"RSC002042")</f>
        <v>RSC002042</v>
      </c>
      <c r="B2038" s="41" t="str">
        <f>IFERROR(__xludf.DUMMYFUNCTION("""COMPUTED_VALUE"""),"Fo0f")</f>
        <v>Fo0f</v>
      </c>
    </row>
    <row r="2039">
      <c r="A2039" s="41" t="str">
        <f>IFERROR(__xludf.DUMMYFUNCTION("""COMPUTED_VALUE"""),"RSC002043")</f>
        <v>RSC002043</v>
      </c>
      <c r="B2039" s="41" t="str">
        <f>IFERROR(__xludf.DUMMYFUNCTION("""COMPUTED_VALUE"""),"Teel")</f>
        <v>Teel</v>
      </c>
    </row>
    <row r="2040">
      <c r="A2040" s="41" t="str">
        <f>IFERROR(__xludf.DUMMYFUNCTION("""COMPUTED_VALUE"""),"RSC002044")</f>
        <v>RSC002044</v>
      </c>
      <c r="B2040" s="41" t="str">
        <f>IFERROR(__xludf.DUMMYFUNCTION("""COMPUTED_VALUE"""),"rice cake")</f>
        <v>rice cake</v>
      </c>
    </row>
    <row r="2041">
      <c r="A2041" s="41" t="str">
        <f>IFERROR(__xludf.DUMMYFUNCTION("""COMPUTED_VALUE"""),"RSC002045")</f>
        <v>RSC002045</v>
      </c>
      <c r="B2041" s="41" t="str">
        <f>IFERROR(__xludf.DUMMYFUNCTION("""COMPUTED_VALUE"""),"Sizzle Schaef")</f>
        <v>Sizzle Schaef</v>
      </c>
    </row>
    <row r="2042">
      <c r="A2042" s="41" t="str">
        <f>IFERROR(__xludf.DUMMYFUNCTION("""COMPUTED_VALUE"""),"RSC002046")</f>
        <v>RSC002046</v>
      </c>
      <c r="B2042" s="41" t="str">
        <f>IFERROR(__xludf.DUMMYFUNCTION("""COMPUTED_VALUE"""),"queeds")</f>
        <v>queeds</v>
      </c>
    </row>
    <row r="2043">
      <c r="A2043" s="41" t="str">
        <f>IFERROR(__xludf.DUMMYFUNCTION("""COMPUTED_VALUE"""),"RSC002047")</f>
        <v>RSC002047</v>
      </c>
      <c r="B2043" s="41" t="str">
        <f>IFERROR(__xludf.DUMMYFUNCTION("""COMPUTED_VALUE"""),"RainbowNoms")</f>
        <v>RainbowNoms</v>
      </c>
    </row>
    <row r="2044">
      <c r="A2044" s="41" t="str">
        <f>IFERROR(__xludf.DUMMYFUNCTION("""COMPUTED_VALUE"""),"RSC002048")</f>
        <v>RSC002048</v>
      </c>
      <c r="B2044" s="41" t="str">
        <f>IFERROR(__xludf.DUMMYFUNCTION("""COMPUTED_VALUE"""),"Gibroni")</f>
        <v>Gibroni</v>
      </c>
    </row>
    <row r="2045">
      <c r="A2045" s="41" t="str">
        <f>IFERROR(__xludf.DUMMYFUNCTION("""COMPUTED_VALUE"""),"RSC002049")</f>
        <v>RSC002049</v>
      </c>
      <c r="B2045" s="41" t="str">
        <f>IFERROR(__xludf.DUMMYFUNCTION("""COMPUTED_VALUE"""),"stuckontheX")</f>
        <v>stuckontheX</v>
      </c>
    </row>
    <row r="2046">
      <c r="A2046" s="41" t="str">
        <f>IFERROR(__xludf.DUMMYFUNCTION("""COMPUTED_VALUE"""),"RSC002050")</f>
        <v>RSC002050</v>
      </c>
      <c r="B2046" s="41" t="str">
        <f>IFERROR(__xludf.DUMMYFUNCTION("""COMPUTED_VALUE"""),"Goobz")</f>
        <v>Goobz</v>
      </c>
    </row>
    <row r="2047">
      <c r="A2047" s="41" t="str">
        <f>IFERROR(__xludf.DUMMYFUNCTION("""COMPUTED_VALUE"""),"RSC002051")</f>
        <v>RSC002051</v>
      </c>
      <c r="B2047" s="41" t="str">
        <f>IFERROR(__xludf.DUMMYFUNCTION("""COMPUTED_VALUE"""),"The X Titan")</f>
        <v>The X Titan</v>
      </c>
    </row>
    <row r="2048">
      <c r="A2048" s="41" t="str">
        <f>IFERROR(__xludf.DUMMYFUNCTION("""COMPUTED_VALUE"""),"RSC002052")</f>
        <v>RSC002052</v>
      </c>
      <c r="B2048" s="41" t="str">
        <f>IFERROR(__xludf.DUMMYFUNCTION("""COMPUTED_VALUE"""),"CrazyPsycho")</f>
        <v>CrazyPsycho</v>
      </c>
    </row>
    <row r="2049">
      <c r="A2049" s="41" t="str">
        <f>IFERROR(__xludf.DUMMYFUNCTION("""COMPUTED_VALUE"""),"RSC002053")</f>
        <v>RSC002053</v>
      </c>
      <c r="B2049" s="41" t="str">
        <f>IFERROR(__xludf.DUMMYFUNCTION("""COMPUTED_VALUE"""),"WonnZ")</f>
        <v>WonnZ</v>
      </c>
    </row>
    <row r="2050">
      <c r="A2050" s="41" t="str">
        <f>IFERROR(__xludf.DUMMYFUNCTION("""COMPUTED_VALUE"""),"RSC002054")</f>
        <v>RSC002054</v>
      </c>
      <c r="B2050" s="41" t="str">
        <f>IFERROR(__xludf.DUMMYFUNCTION("""COMPUTED_VALUE"""),"BigPapaCondor")</f>
        <v>BigPapaCondor</v>
      </c>
    </row>
    <row r="2051">
      <c r="A2051" s="41" t="str">
        <f>IFERROR(__xludf.DUMMYFUNCTION("""COMPUTED_VALUE"""),"RSC002055")</f>
        <v>RSC002055</v>
      </c>
      <c r="B2051" s="41" t="str">
        <f>IFERROR(__xludf.DUMMYFUNCTION("""COMPUTED_VALUE"""),"BLAPGaming")</f>
        <v>BLAPGaming</v>
      </c>
    </row>
    <row r="2052">
      <c r="A2052" s="41" t="str">
        <f>IFERROR(__xludf.DUMMYFUNCTION("""COMPUTED_VALUE"""),"RSC002056")</f>
        <v>RSC002056</v>
      </c>
      <c r="B2052" s="41" t="str">
        <f>IFERROR(__xludf.DUMMYFUNCTION("""COMPUTED_VALUE"""),"Cheechoo777")</f>
        <v>Cheechoo777</v>
      </c>
    </row>
    <row r="2053">
      <c r="A2053" s="41" t="str">
        <f>IFERROR(__xludf.DUMMYFUNCTION("""COMPUTED_VALUE"""),"RSC002057")</f>
        <v>RSC002057</v>
      </c>
      <c r="B2053" s="41" t="str">
        <f>IFERROR(__xludf.DUMMYFUNCTION("""COMPUTED_VALUE"""),"Sora")</f>
        <v>Sora</v>
      </c>
    </row>
    <row r="2054">
      <c r="A2054" s="41" t="str">
        <f>IFERROR(__xludf.DUMMYFUNCTION("""COMPUTED_VALUE"""),"RSC002058")</f>
        <v>RSC002058</v>
      </c>
      <c r="B2054" s="41" t="str">
        <f>IFERROR(__xludf.DUMMYFUNCTION("""COMPUTED_VALUE"""),"Drizzle")</f>
        <v>Drizzle</v>
      </c>
    </row>
    <row r="2055">
      <c r="A2055" s="41" t="str">
        <f>IFERROR(__xludf.DUMMYFUNCTION("""COMPUTED_VALUE"""),"RSC002059")</f>
        <v>RSC002059</v>
      </c>
      <c r="B2055" s="41" t="str">
        <f>IFERROR(__xludf.DUMMYFUNCTION("""COMPUTED_VALUE"""),"Thermal")</f>
        <v>Thermal</v>
      </c>
    </row>
    <row r="2056">
      <c r="A2056" s="41" t="str">
        <f>IFERROR(__xludf.DUMMYFUNCTION("""COMPUTED_VALUE"""),"RSC002060")</f>
        <v>RSC002060</v>
      </c>
      <c r="B2056" s="41" t="str">
        <f>IFERROR(__xludf.DUMMYFUNCTION("""COMPUTED_VALUE"""),"Strattss")</f>
        <v>Strattss</v>
      </c>
    </row>
    <row r="2057">
      <c r="A2057" s="41" t="str">
        <f>IFERROR(__xludf.DUMMYFUNCTION("""COMPUTED_VALUE"""),"RSC002061")</f>
        <v>RSC002061</v>
      </c>
      <c r="B2057" s="41" t="str">
        <f>IFERROR(__xludf.DUMMYFUNCTION("""COMPUTED_VALUE"""),"Shadowed_Afterburn")</f>
        <v>Shadowed_Afterburn</v>
      </c>
    </row>
    <row r="2058">
      <c r="A2058" s="41" t="str">
        <f>IFERROR(__xludf.DUMMYFUNCTION("""COMPUTED_VALUE"""),"RSC002062")</f>
        <v>RSC002062</v>
      </c>
      <c r="B2058" s="41" t="str">
        <f>IFERROR(__xludf.DUMMYFUNCTION("""COMPUTED_VALUE"""),"Qundar al-Din")</f>
        <v>Qundar al-Din</v>
      </c>
    </row>
    <row r="2059">
      <c r="A2059" s="41" t="str">
        <f>IFERROR(__xludf.DUMMYFUNCTION("""COMPUTED_VALUE"""),"RSC002063")</f>
        <v>RSC002063</v>
      </c>
      <c r="B2059" s="41" t="str">
        <f>IFERROR(__xludf.DUMMYFUNCTION("""COMPUTED_VALUE"""),"T NUKE")</f>
        <v>T NUKE</v>
      </c>
    </row>
    <row r="2060">
      <c r="A2060" s="41" t="str">
        <f>IFERROR(__xludf.DUMMYFUNCTION("""COMPUTED_VALUE"""),"RSC002064")</f>
        <v>RSC002064</v>
      </c>
      <c r="B2060" s="41" t="str">
        <f>IFERROR(__xludf.DUMMYFUNCTION("""COMPUTED_VALUE"""),"Destroyer27")</f>
        <v>Destroyer27</v>
      </c>
    </row>
    <row r="2061">
      <c r="A2061" s="41" t="str">
        <f>IFERROR(__xludf.DUMMYFUNCTION("""COMPUTED_VALUE"""),"RSC002065")</f>
        <v>RSC002065</v>
      </c>
      <c r="B2061" s="41" t="str">
        <f>IFERROR(__xludf.DUMMYFUNCTION("""COMPUTED_VALUE"""),"DK")</f>
        <v>DK</v>
      </c>
    </row>
    <row r="2062">
      <c r="A2062" s="41" t="str">
        <f>IFERROR(__xludf.DUMMYFUNCTION("""COMPUTED_VALUE"""),"RSC002066")</f>
        <v>RSC002066</v>
      </c>
      <c r="B2062" s="41" t="str">
        <f>IFERROR(__xludf.DUMMYFUNCTION("""COMPUTED_VALUE"""),"Hopps")</f>
        <v>Hopps</v>
      </c>
    </row>
    <row r="2063">
      <c r="A2063" s="41" t="str">
        <f>IFERROR(__xludf.DUMMYFUNCTION("""COMPUTED_VALUE"""),"RSC002067")</f>
        <v>RSC002067</v>
      </c>
      <c r="B2063" s="41" t="str">
        <f>IFERROR(__xludf.DUMMYFUNCTION("""COMPUTED_VALUE"""),"Smilez")</f>
        <v>Smilez</v>
      </c>
    </row>
    <row r="2064">
      <c r="A2064" s="41" t="str">
        <f>IFERROR(__xludf.DUMMYFUNCTION("""COMPUTED_VALUE"""),"RSC002068")</f>
        <v>RSC002068</v>
      </c>
      <c r="B2064" s="41" t="str">
        <f>IFERROR(__xludf.DUMMYFUNCTION("""COMPUTED_VALUE"""),"Dirty Dan")</f>
        <v>Dirty Dan</v>
      </c>
    </row>
    <row r="2065">
      <c r="A2065" s="41" t="str">
        <f>IFERROR(__xludf.DUMMYFUNCTION("""COMPUTED_VALUE"""),"RSC002069")</f>
        <v>RSC002069</v>
      </c>
      <c r="B2065" s="41" t="str">
        <f>IFERROR(__xludf.DUMMYFUNCTION("""COMPUTED_VALUE"""),"dylpicle3344")</f>
        <v>dylpicle3344</v>
      </c>
    </row>
    <row r="2066">
      <c r="A2066" s="41" t="str">
        <f>IFERROR(__xludf.DUMMYFUNCTION("""COMPUTED_VALUE"""),"RSC002070")</f>
        <v>RSC002070</v>
      </c>
      <c r="B2066" s="41" t="str">
        <f>IFERROR(__xludf.DUMMYFUNCTION("""COMPUTED_VALUE"""),"yokes")</f>
        <v>yokes</v>
      </c>
    </row>
    <row r="2067">
      <c r="A2067" s="41" t="str">
        <f>IFERROR(__xludf.DUMMYFUNCTION("""COMPUTED_VALUE"""),"RSC002072")</f>
        <v>RSC002072</v>
      </c>
      <c r="B2067" s="41" t="str">
        <f>IFERROR(__xludf.DUMMYFUNCTION("""COMPUTED_VALUE"""),"twst.")</f>
        <v>twst.</v>
      </c>
    </row>
    <row r="2068">
      <c r="A2068" s="41" t="str">
        <f>IFERROR(__xludf.DUMMYFUNCTION("""COMPUTED_VALUE"""),"RSC002073")</f>
        <v>RSC002073</v>
      </c>
      <c r="B2068" s="41" t="str">
        <f>IFERROR(__xludf.DUMMYFUNCTION("""COMPUTED_VALUE"""),"Ray Finkle")</f>
        <v>Ray Finkle</v>
      </c>
    </row>
    <row r="2069">
      <c r="A2069" s="41" t="str">
        <f>IFERROR(__xludf.DUMMYFUNCTION("""COMPUTED_VALUE"""),"RSC002074")</f>
        <v>RSC002074</v>
      </c>
      <c r="B2069" s="41" t="str">
        <f>IFERROR(__xludf.DUMMYFUNCTION("""COMPUTED_VALUE"""),"Yoloǃ")</f>
        <v>Yoloǃ</v>
      </c>
    </row>
    <row r="2070">
      <c r="A2070" s="41" t="str">
        <f>IFERROR(__xludf.DUMMYFUNCTION("""COMPUTED_VALUE"""),"RSC002075")</f>
        <v>RSC002075</v>
      </c>
      <c r="B2070" s="41" t="str">
        <f>IFERROR(__xludf.DUMMYFUNCTION("""COMPUTED_VALUE"""),"Bakrutch")</f>
        <v>Bakrutch</v>
      </c>
    </row>
    <row r="2071">
      <c r="A2071" s="41" t="str">
        <f>IFERROR(__xludf.DUMMYFUNCTION("""COMPUTED_VALUE"""),"RSC002076")</f>
        <v>RSC002076</v>
      </c>
      <c r="B2071" s="41" t="str">
        <f>IFERROR(__xludf.DUMMYFUNCTION("""COMPUTED_VALUE"""),"Envy(change)")</f>
        <v>Envy(change)</v>
      </c>
    </row>
    <row r="2072">
      <c r="A2072" s="41" t="str">
        <f>IFERROR(__xludf.DUMMYFUNCTION("""COMPUTED_VALUE"""),"RSC002077")</f>
        <v>RSC002077</v>
      </c>
      <c r="B2072" s="41" t="str">
        <f>IFERROR(__xludf.DUMMYFUNCTION("""COMPUTED_VALUE"""),"latte")</f>
        <v>latte</v>
      </c>
    </row>
    <row r="2073">
      <c r="A2073" s="41" t="str">
        <f>IFERROR(__xludf.DUMMYFUNCTION("""COMPUTED_VALUE"""),"RSC002078")</f>
        <v>RSC002078</v>
      </c>
      <c r="B2073" s="41" t="str">
        <f>IFERROR(__xludf.DUMMYFUNCTION("""COMPUTED_VALUE"""),"Your")</f>
        <v>Your</v>
      </c>
    </row>
    <row r="2074">
      <c r="A2074" s="41" t="str">
        <f>IFERROR(__xludf.DUMMYFUNCTION("""COMPUTED_VALUE"""),"RSC002079")</f>
        <v>RSC002079</v>
      </c>
      <c r="B2074" s="41" t="str">
        <f>IFERROR(__xludf.DUMMYFUNCTION("""COMPUTED_VALUE"""),"ish")</f>
        <v>ish</v>
      </c>
    </row>
    <row r="2075">
      <c r="A2075" s="41" t="str">
        <f>IFERROR(__xludf.DUMMYFUNCTION("""COMPUTED_VALUE"""),"RSC002080")</f>
        <v>RSC002080</v>
      </c>
      <c r="B2075" s="41" t="str">
        <f>IFERROR(__xludf.DUMMYFUNCTION("""COMPUTED_VALUE"""),"Tazy")</f>
        <v>Tazy</v>
      </c>
    </row>
    <row r="2076">
      <c r="A2076" s="41" t="str">
        <f>IFERROR(__xludf.DUMMYFUNCTION("""COMPUTED_VALUE"""),"RSC002081")</f>
        <v>RSC002081</v>
      </c>
      <c r="B2076" s="41" t="str">
        <f>IFERROR(__xludf.DUMMYFUNCTION("""COMPUTED_VALUE"""),"J_Suts")</f>
        <v>J_Suts</v>
      </c>
    </row>
    <row r="2077">
      <c r="A2077" s="41" t="str">
        <f>IFERROR(__xludf.DUMMYFUNCTION("""COMPUTED_VALUE"""),"RSC002082")</f>
        <v>RSC002082</v>
      </c>
      <c r="B2077" s="41" t="str">
        <f>IFERROR(__xludf.DUMMYFUNCTION("""COMPUTED_VALUE"""),"Ternpike")</f>
        <v>Ternpike</v>
      </c>
    </row>
    <row r="2078">
      <c r="A2078" s="41" t="str">
        <f>IFERROR(__xludf.DUMMYFUNCTION("""COMPUTED_VALUE"""),"RSC002083")</f>
        <v>RSC002083</v>
      </c>
      <c r="B2078" s="41" t="str">
        <f>IFERROR(__xludf.DUMMYFUNCTION("""COMPUTED_VALUE"""),"Pebblesrock14")</f>
        <v>Pebblesrock14</v>
      </c>
    </row>
    <row r="2079">
      <c r="A2079" s="41" t="str">
        <f>IFERROR(__xludf.DUMMYFUNCTION("""COMPUTED_VALUE"""),"RSC002084")</f>
        <v>RSC002084</v>
      </c>
      <c r="B2079" s="41" t="str">
        <f>IFERROR(__xludf.DUMMYFUNCTION("""COMPUTED_VALUE"""),"Rhino.")</f>
        <v>Rhino.</v>
      </c>
    </row>
    <row r="2080">
      <c r="A2080" s="41" t="str">
        <f>IFERROR(__xludf.DUMMYFUNCTION("""COMPUTED_VALUE"""),"RSC002085")</f>
        <v>RSC002085</v>
      </c>
      <c r="B2080" s="41" t="str">
        <f>IFERROR(__xludf.DUMMYFUNCTION("""COMPUTED_VALUE"""),"Totherino")</f>
        <v>Totherino</v>
      </c>
    </row>
    <row r="2081">
      <c r="A2081" s="41" t="str">
        <f>IFERROR(__xludf.DUMMYFUNCTION("""COMPUTED_VALUE"""),"RSC002086")</f>
        <v>RSC002086</v>
      </c>
      <c r="B2081" s="41" t="str">
        <f>IFERROR(__xludf.DUMMYFUNCTION("""COMPUTED_VALUE"""),"Tyler. (change)")</f>
        <v>Tyler. (change)</v>
      </c>
    </row>
    <row r="2082">
      <c r="A2082" s="41" t="str">
        <f>IFERROR(__xludf.DUMMYFUNCTION("""COMPUTED_VALUE"""),"RSC002087")</f>
        <v>RSC002087</v>
      </c>
      <c r="B2082" s="41" t="str">
        <f>IFERROR(__xludf.DUMMYFUNCTION("""COMPUTED_VALUE"""),"vulgrim01")</f>
        <v>vulgrim01</v>
      </c>
    </row>
    <row r="2083">
      <c r="A2083" s="41" t="str">
        <f>IFERROR(__xludf.DUMMYFUNCTION("""COMPUTED_VALUE"""),"RSC002088")</f>
        <v>RSC002088</v>
      </c>
      <c r="B2083" s="41" t="str">
        <f>IFERROR(__xludf.DUMMYFUNCTION("""COMPUTED_VALUE"""),"Discreet")</f>
        <v>Discreet</v>
      </c>
    </row>
    <row r="2084">
      <c r="A2084" s="41" t="str">
        <f>IFERROR(__xludf.DUMMYFUNCTION("""COMPUTED_VALUE"""),"RSC002089")</f>
        <v>RSC002089</v>
      </c>
      <c r="B2084" s="41" t="str">
        <f>IFERROR(__xludf.DUMMYFUNCTION("""COMPUTED_VALUE"""),"TheDadu11")</f>
        <v>TheDadu11</v>
      </c>
    </row>
    <row r="2085">
      <c r="A2085" s="41" t="str">
        <f>IFERROR(__xludf.DUMMYFUNCTION("""COMPUTED_VALUE"""),"RSC002090")</f>
        <v>RSC002090</v>
      </c>
      <c r="B2085" s="41" t="str">
        <f>IFERROR(__xludf.DUMMYFUNCTION("""COMPUTED_VALUE"""),"erik3135")</f>
        <v>erik3135</v>
      </c>
    </row>
    <row r="2086">
      <c r="A2086" s="41" t="str">
        <f>IFERROR(__xludf.DUMMYFUNCTION("""COMPUTED_VALUE"""),"RSC002091")</f>
        <v>RSC002091</v>
      </c>
      <c r="B2086" s="41" t="str">
        <f>IFERROR(__xludf.DUMMYFUNCTION("""COMPUTED_VALUE"""),"Braden27brad")</f>
        <v>Braden27brad</v>
      </c>
    </row>
    <row r="2087">
      <c r="A2087" s="41" t="str">
        <f>IFERROR(__xludf.DUMMYFUNCTION("""COMPUTED_VALUE"""),"RSC002092")</f>
        <v>RSC002092</v>
      </c>
      <c r="B2087" s="41" t="str">
        <f>IFERROR(__xludf.DUMMYFUNCTION("""COMPUTED_VALUE"""),"Bear (change)")</f>
        <v>Bear (change)</v>
      </c>
    </row>
    <row r="2088">
      <c r="A2088" s="41" t="str">
        <f>IFERROR(__xludf.DUMMYFUNCTION("""COMPUTED_VALUE"""),"RSC002093")</f>
        <v>RSC002093</v>
      </c>
      <c r="B2088" s="41" t="str">
        <f>IFERROR(__xludf.DUMMYFUNCTION("""COMPUTED_VALUE"""),"Jonesopolis")</f>
        <v>Jonesopolis</v>
      </c>
    </row>
    <row r="2089">
      <c r="A2089" s="41" t="str">
        <f>IFERROR(__xludf.DUMMYFUNCTION("""COMPUTED_VALUE"""),"RSC002094")</f>
        <v>RSC002094</v>
      </c>
      <c r="B2089" s="41" t="str">
        <f>IFERROR(__xludf.DUMMYFUNCTION("""COMPUTED_VALUE"""),"Lil Ternt")</f>
        <v>Lil Ternt</v>
      </c>
    </row>
    <row r="2090">
      <c r="A2090" s="41" t="str">
        <f>IFERROR(__xludf.DUMMYFUNCTION("""COMPUTED_VALUE"""),"RSC002095")</f>
        <v>RSC002095</v>
      </c>
      <c r="B2090" s="41" t="str">
        <f>IFERROR(__xludf.DUMMYFUNCTION("""COMPUTED_VALUE"""),"BlooperCS")</f>
        <v>BlooperCS</v>
      </c>
    </row>
    <row r="2091">
      <c r="A2091" s="41" t="str">
        <f>IFERROR(__xludf.DUMMYFUNCTION("""COMPUTED_VALUE"""),"RSC002096")</f>
        <v>RSC002096</v>
      </c>
      <c r="B2091" s="41" t="str">
        <f>IFERROR(__xludf.DUMMYFUNCTION("""COMPUTED_VALUE"""),"Fjord")</f>
        <v>Fjord</v>
      </c>
    </row>
    <row r="2092">
      <c r="A2092" s="41" t="str">
        <f>IFERROR(__xludf.DUMMYFUNCTION("""COMPUTED_VALUE"""),"RSC002097")</f>
        <v>RSC002097</v>
      </c>
      <c r="B2092" s="41" t="str">
        <f>IFERROR(__xludf.DUMMYFUNCTION("""COMPUTED_VALUE"""),"NoobZ")</f>
        <v>NoobZ</v>
      </c>
    </row>
    <row r="2093">
      <c r="A2093" s="41" t="str">
        <f>IFERROR(__xludf.DUMMYFUNCTION("""COMPUTED_VALUE"""),"RSC002098")</f>
        <v>RSC002098</v>
      </c>
      <c r="B2093" s="41" t="str">
        <f>IFERROR(__xludf.DUMMYFUNCTION("""COMPUTED_VALUE"""),"Frawd.")</f>
        <v>Frawd.</v>
      </c>
    </row>
    <row r="2094">
      <c r="A2094" s="41" t="str">
        <f>IFERROR(__xludf.DUMMYFUNCTION("""COMPUTED_VALUE"""),"RSC002099")</f>
        <v>RSC002099</v>
      </c>
      <c r="B2094" s="41" t="str">
        <f>IFERROR(__xludf.DUMMYFUNCTION("""COMPUTED_VALUE"""),"MrFranceypantz")</f>
        <v>MrFranceypantz</v>
      </c>
    </row>
    <row r="2095">
      <c r="A2095" s="41" t="str">
        <f>IFERROR(__xludf.DUMMYFUNCTION("""COMPUTED_VALUE"""),"RSC002100")</f>
        <v>RSC002100</v>
      </c>
      <c r="B2095" s="41" t="str">
        <f>IFERROR(__xludf.DUMMYFUNCTION("""COMPUTED_VALUE"""),"Pant")</f>
        <v>Pant</v>
      </c>
    </row>
    <row r="2096">
      <c r="A2096" s="41" t="str">
        <f>IFERROR(__xludf.DUMMYFUNCTION("""COMPUTED_VALUE"""),"RSC002101")</f>
        <v>RSC002101</v>
      </c>
      <c r="B2096" s="41" t="str">
        <f>IFERROR(__xludf.DUMMYFUNCTION("""COMPUTED_VALUE"""),"sharkie")</f>
        <v>sharkie</v>
      </c>
    </row>
    <row r="2097">
      <c r="A2097" s="41" t="str">
        <f>IFERROR(__xludf.DUMMYFUNCTION("""COMPUTED_VALUE"""),"RSC002102")</f>
        <v>RSC002102</v>
      </c>
      <c r="B2097" s="41" t="str">
        <f>IFERROR(__xludf.DUMMYFUNCTION("""COMPUTED_VALUE"""),"Cable")</f>
        <v>Cable</v>
      </c>
    </row>
    <row r="2098">
      <c r="A2098" s="41" t="str">
        <f>IFERROR(__xludf.DUMMYFUNCTION("""COMPUTED_VALUE"""),"RSC002103")</f>
        <v>RSC002103</v>
      </c>
      <c r="B2098" s="41" t="str">
        <f>IFERROR(__xludf.DUMMYFUNCTION("""COMPUTED_VALUE"""),"orso")</f>
        <v>orso</v>
      </c>
    </row>
    <row r="2099">
      <c r="A2099" s="41" t="str">
        <f>IFERROR(__xludf.DUMMYFUNCTION("""COMPUTED_VALUE"""),"RSC002104")</f>
        <v>RSC002104</v>
      </c>
      <c r="B2099" s="41" t="str">
        <f>IFERROR(__xludf.DUMMYFUNCTION("""COMPUTED_VALUE"""),"TinyPotato")</f>
        <v>TinyPotato</v>
      </c>
    </row>
    <row r="2100">
      <c r="A2100" s="41" t="str">
        <f>IFERROR(__xludf.DUMMYFUNCTION("""COMPUTED_VALUE"""),"RSC002105")</f>
        <v>RSC002105</v>
      </c>
      <c r="B2100" s="41" t="str">
        <f>IFERROR(__xludf.DUMMYFUNCTION("""COMPUTED_VALUE"""),"Flexy")</f>
        <v>Flexy</v>
      </c>
    </row>
    <row r="2101">
      <c r="A2101" s="41" t="str">
        <f>IFERROR(__xludf.DUMMYFUNCTION("""COMPUTED_VALUE"""),"RSC002106")</f>
        <v>RSC002106</v>
      </c>
      <c r="B2101" s="41" t="str">
        <f>IFERROR(__xludf.DUMMYFUNCTION("""COMPUTED_VALUE"""),"Poseidon.")</f>
        <v>Poseidon.</v>
      </c>
    </row>
    <row r="2102">
      <c r="A2102" s="41" t="str">
        <f>IFERROR(__xludf.DUMMYFUNCTION("""COMPUTED_VALUE"""),"RSC002107")</f>
        <v>RSC002107</v>
      </c>
      <c r="B2102" s="41" t="str">
        <f>IFERROR(__xludf.DUMMYFUNCTION("""COMPUTED_VALUE"""),"ewik")</f>
        <v>ewik</v>
      </c>
    </row>
    <row r="2103">
      <c r="A2103" s="41" t="str">
        <f>IFERROR(__xludf.DUMMYFUNCTION("""COMPUTED_VALUE"""),"RSC002108")</f>
        <v>RSC002108</v>
      </c>
      <c r="B2103" s="41" t="str">
        <f>IFERROR(__xludf.DUMMYFUNCTION("""COMPUTED_VALUE"""),"Decebalus")</f>
        <v>Decebalus</v>
      </c>
    </row>
    <row r="2104">
      <c r="A2104" s="41" t="str">
        <f>IFERROR(__xludf.DUMMYFUNCTION("""COMPUTED_VALUE"""),"RSC002109")</f>
        <v>RSC002109</v>
      </c>
      <c r="B2104" s="41" t="str">
        <f>IFERROR(__xludf.DUMMYFUNCTION("""COMPUTED_VALUE"""),"Twonsleberry")</f>
        <v>Twonsleberry</v>
      </c>
    </row>
    <row r="2105">
      <c r="A2105" s="41" t="str">
        <f>IFERROR(__xludf.DUMMYFUNCTION("""COMPUTED_VALUE"""),"RSC002110")</f>
        <v>RSC002110</v>
      </c>
      <c r="B2105" s="41" t="str">
        <f>IFERROR(__xludf.DUMMYFUNCTION("""COMPUTED_VALUE"""),";DYPGG")</f>
        <v>;DYPGG</v>
      </c>
    </row>
    <row r="2106">
      <c r="A2106" s="41" t="str">
        <f>IFERROR(__xludf.DUMMYFUNCTION("""COMPUTED_VALUE"""),"RSC002111")</f>
        <v>RSC002111</v>
      </c>
      <c r="B2106" s="41" t="str">
        <f>IFERROR(__xludf.DUMMYFUNCTION("""COMPUTED_VALUE"""),"BIGNICKCOX")</f>
        <v>BIGNICKCOX</v>
      </c>
    </row>
    <row r="2107">
      <c r="A2107" s="41" t="str">
        <f>IFERROR(__xludf.DUMMYFUNCTION("""COMPUTED_VALUE"""),"RSC002112")</f>
        <v>RSC002112</v>
      </c>
      <c r="B2107" s="41" t="str">
        <f>IFERROR(__xludf.DUMMYFUNCTION("""COMPUTED_VALUE"""),"Feyer")</f>
        <v>Feyer</v>
      </c>
    </row>
    <row r="2108">
      <c r="A2108" s="41" t="str">
        <f>IFERROR(__xludf.DUMMYFUNCTION("""COMPUTED_VALUE"""),"RSC002113")</f>
        <v>RSC002113</v>
      </c>
      <c r="B2108" s="41" t="str">
        <f>IFERROR(__xludf.DUMMYFUNCTION("""COMPUTED_VALUE"""),"Rhino521")</f>
        <v>Rhino521</v>
      </c>
    </row>
    <row r="2109">
      <c r="A2109" s="41" t="str">
        <f>IFERROR(__xludf.DUMMYFUNCTION("""COMPUTED_VALUE"""),"RSC002114")</f>
        <v>RSC002114</v>
      </c>
      <c r="B2109" s="41" t="str">
        <f>IFERROR(__xludf.DUMMYFUNCTION("""COMPUTED_VALUE"""),"Yerok")</f>
        <v>Yerok</v>
      </c>
    </row>
    <row r="2110">
      <c r="A2110" s="41" t="str">
        <f>IFERROR(__xludf.DUMMYFUNCTION("""COMPUTED_VALUE"""),"RSC002115")</f>
        <v>RSC002115</v>
      </c>
      <c r="B2110" s="41" t="str">
        <f>IFERROR(__xludf.DUMMYFUNCTION("""COMPUTED_VALUE"""),"Jonathon")</f>
        <v>Jonathon</v>
      </c>
    </row>
    <row r="2111">
      <c r="A2111" s="41" t="str">
        <f>IFERROR(__xludf.DUMMYFUNCTION("""COMPUTED_VALUE"""),"RSC002116")</f>
        <v>RSC002116</v>
      </c>
      <c r="B2111" s="41" t="str">
        <f>IFERROR(__xludf.DUMMYFUNCTION("""COMPUTED_VALUE"""),"Ronska")</f>
        <v>Ronska</v>
      </c>
    </row>
    <row r="2112">
      <c r="A2112" s="41" t="str">
        <f>IFERROR(__xludf.DUMMYFUNCTION("""COMPUTED_VALUE"""),"RSC002117")</f>
        <v>RSC002117</v>
      </c>
      <c r="B2112" s="41" t="str">
        <f>IFERROR(__xludf.DUMMYFUNCTION("""COMPUTED_VALUE"""),"Latensy")</f>
        <v>Latensy</v>
      </c>
    </row>
    <row r="2113">
      <c r="A2113" s="41" t="str">
        <f>IFERROR(__xludf.DUMMYFUNCTION("""COMPUTED_VALUE"""),"RSC002119")</f>
        <v>RSC002119</v>
      </c>
      <c r="B2113" s="41" t="str">
        <f>IFERROR(__xludf.DUMMYFUNCTION("""COMPUTED_VALUE"""),"(&gt;'-')&gt;DarkFox")</f>
        <v>(&gt;'-')&gt;DarkFox</v>
      </c>
    </row>
    <row r="2114">
      <c r="A2114" s="41" t="str">
        <f>IFERROR(__xludf.DUMMYFUNCTION("""COMPUTED_VALUE"""),"RSC002120")</f>
        <v>RSC002120</v>
      </c>
      <c r="B2114" s="41" t="str">
        <f>IFERROR(__xludf.DUMMYFUNCTION("""COMPUTED_VALUE"""),"sk8bored")</f>
        <v>sk8bored</v>
      </c>
    </row>
    <row r="2115">
      <c r="A2115" s="41" t="str">
        <f>IFERROR(__xludf.DUMMYFUNCTION("""COMPUTED_VALUE"""),"RSC002121")</f>
        <v>RSC002121</v>
      </c>
      <c r="B2115" s="41" t="str">
        <f>IFERROR(__xludf.DUMMYFUNCTION("""COMPUTED_VALUE"""),"ProZach")</f>
        <v>ProZach</v>
      </c>
    </row>
    <row r="2116">
      <c r="A2116" s="41" t="str">
        <f>IFERROR(__xludf.DUMMYFUNCTION("""COMPUTED_VALUE"""),"RSC002122")</f>
        <v>RSC002122</v>
      </c>
      <c r="B2116" s="41" t="str">
        <f>IFERROR(__xludf.DUMMYFUNCTION("""COMPUTED_VALUE"""),"Hashtag")</f>
        <v>Hashtag</v>
      </c>
    </row>
    <row r="2117">
      <c r="A2117" s="41" t="str">
        <f>IFERROR(__xludf.DUMMYFUNCTION("""COMPUTED_VALUE"""),"RSC002123")</f>
        <v>RSC002123</v>
      </c>
      <c r="B2117" s="41" t="str">
        <f>IFERROR(__xludf.DUMMYFUNCTION("""COMPUTED_VALUE"""),"Crongu")</f>
        <v>Crongu</v>
      </c>
    </row>
    <row r="2118">
      <c r="A2118" s="41" t="str">
        <f>IFERROR(__xludf.DUMMYFUNCTION("""COMPUTED_VALUE"""),"RSC002124")</f>
        <v>RSC002124</v>
      </c>
      <c r="B2118" s="41" t="str">
        <f>IFERROR(__xludf.DUMMYFUNCTION("""COMPUTED_VALUE"""),"BritBritAS")</f>
        <v>BritBritAS</v>
      </c>
    </row>
    <row r="2119">
      <c r="A2119" s="41" t="str">
        <f>IFERROR(__xludf.DUMMYFUNCTION("""COMPUTED_VALUE"""),"RSC002125")</f>
        <v>RSC002125</v>
      </c>
      <c r="B2119" s="41" t="str">
        <f>IFERROR(__xludf.DUMMYFUNCTION("""COMPUTED_VALUE"""),"Neoblastz")</f>
        <v>Neoblastz</v>
      </c>
    </row>
    <row r="2120">
      <c r="A2120" s="41" t="str">
        <f>IFERROR(__xludf.DUMMYFUNCTION("""COMPUTED_VALUE"""),"RSC002126")</f>
        <v>RSC002126</v>
      </c>
      <c r="B2120" s="41" t="str">
        <f>IFERROR(__xludf.DUMMYFUNCTION("""COMPUTED_VALUE"""),"Silletti")</f>
        <v>Silletti</v>
      </c>
    </row>
    <row r="2121">
      <c r="A2121" s="41" t="str">
        <f>IFERROR(__xludf.DUMMYFUNCTION("""COMPUTED_VALUE"""),"RSC002127")</f>
        <v>RSC002127</v>
      </c>
      <c r="B2121" s="41" t="str">
        <f>IFERROR(__xludf.DUMMYFUNCTION("""COMPUTED_VALUE"""),"JarCorn")</f>
        <v>JarCorn</v>
      </c>
    </row>
    <row r="2122">
      <c r="A2122" s="41" t="str">
        <f>IFERROR(__xludf.DUMMYFUNCTION("""COMPUTED_VALUE"""),"RSC002128")</f>
        <v>RSC002128</v>
      </c>
      <c r="B2122" s="41" t="str">
        <f>IFERROR(__xludf.DUMMYFUNCTION("""COMPUTED_VALUE"""),"Velo")</f>
        <v>Velo</v>
      </c>
    </row>
    <row r="2123">
      <c r="A2123" s="41" t="str">
        <f>IFERROR(__xludf.DUMMYFUNCTION("""COMPUTED_VALUE"""),"RSC002129")</f>
        <v>RSC002129</v>
      </c>
      <c r="B2123" s="41" t="str">
        <f>IFERROR(__xludf.DUMMYFUNCTION("""COMPUTED_VALUE"""),"Lukas")</f>
        <v>Lukas</v>
      </c>
    </row>
    <row r="2124">
      <c r="A2124" s="41" t="str">
        <f>IFERROR(__xludf.DUMMYFUNCTION("""COMPUTED_VALUE"""),"RSC002130")</f>
        <v>RSC002130</v>
      </c>
      <c r="B2124" s="41" t="str">
        <f>IFERROR(__xludf.DUMMYFUNCTION("""COMPUTED_VALUE"""),"Bubble")</f>
        <v>Bubble</v>
      </c>
    </row>
    <row r="2125">
      <c r="A2125" s="41" t="str">
        <f>IFERROR(__xludf.DUMMYFUNCTION("""COMPUTED_VALUE"""),"RSC002131")</f>
        <v>RSC002131</v>
      </c>
      <c r="B2125" s="41" t="str">
        <f>IFERROR(__xludf.DUMMYFUNCTION("""COMPUTED_VALUE"""),"Ace")</f>
        <v>Ace</v>
      </c>
    </row>
    <row r="2126">
      <c r="A2126" s="41" t="str">
        <f>IFERROR(__xludf.DUMMYFUNCTION("""COMPUTED_VALUE"""),"RSC002132")</f>
        <v>RSC002132</v>
      </c>
      <c r="B2126" s="41" t="str">
        <f>IFERROR(__xludf.DUMMYFUNCTION("""COMPUTED_VALUE"""),"WaYvee")</f>
        <v>WaYvee</v>
      </c>
    </row>
    <row r="2127">
      <c r="A2127" s="41" t="str">
        <f>IFERROR(__xludf.DUMMYFUNCTION("""COMPUTED_VALUE"""),"RSC002133")</f>
        <v>RSC002133</v>
      </c>
      <c r="B2127" s="41" t="str">
        <f>IFERROR(__xludf.DUMMYFUNCTION("""COMPUTED_VALUE"""),"pour me a shot")</f>
        <v>pour me a shot</v>
      </c>
    </row>
    <row r="2128">
      <c r="A2128" s="41" t="str">
        <f>IFERROR(__xludf.DUMMYFUNCTION("""COMPUTED_VALUE"""),"RSC002134")</f>
        <v>RSC002134</v>
      </c>
      <c r="B2128" s="41" t="str">
        <f>IFERROR(__xludf.DUMMYFUNCTION("""COMPUTED_VALUE"""),"Frags")</f>
        <v>Frags</v>
      </c>
    </row>
    <row r="2129">
      <c r="A2129" s="41" t="str">
        <f>IFERROR(__xludf.DUMMYFUNCTION("""COMPUTED_VALUE"""),"RSC002135")</f>
        <v>RSC002135</v>
      </c>
      <c r="B2129" s="41" t="str">
        <f>IFERROR(__xludf.DUMMYFUNCTION("""COMPUTED_VALUE"""),"Jake (hip dips)")</f>
        <v>Jake (hip dips)</v>
      </c>
    </row>
    <row r="2130">
      <c r="A2130" s="41" t="str">
        <f>IFERROR(__xludf.DUMMYFUNCTION("""COMPUTED_VALUE"""),"RSC002136")</f>
        <v>RSC002136</v>
      </c>
      <c r="B2130" s="41" t="str">
        <f>IFERROR(__xludf.DUMMYFUNCTION("""COMPUTED_VALUE"""),"butYmeTHO")</f>
        <v>butYmeTHO</v>
      </c>
    </row>
    <row r="2131">
      <c r="A2131" s="41" t="str">
        <f>IFERROR(__xludf.DUMMYFUNCTION("""COMPUTED_VALUE"""),"RSC002137")</f>
        <v>RSC002137</v>
      </c>
      <c r="B2131" s="41" t="str">
        <f>IFERROR(__xludf.DUMMYFUNCTION("""COMPUTED_VALUE"""),"Trop Ignorance")</f>
        <v>Trop Ignorance</v>
      </c>
    </row>
    <row r="2132">
      <c r="A2132" s="41" t="str">
        <f>IFERROR(__xludf.DUMMYFUNCTION("""COMPUTED_VALUE"""),"RSC002138")</f>
        <v>RSC002138</v>
      </c>
      <c r="B2132" s="41" t="str">
        <f>IFERROR(__xludf.DUMMYFUNCTION("""COMPUTED_VALUE"""),"SirGoody")</f>
        <v>SirGoody</v>
      </c>
    </row>
    <row r="2133">
      <c r="A2133" s="41" t="str">
        <f>IFERROR(__xludf.DUMMYFUNCTION("""COMPUTED_VALUE"""),"RSC002139")</f>
        <v>RSC002139</v>
      </c>
      <c r="B2133" s="41" t="str">
        <f>IFERROR(__xludf.DUMMYFUNCTION("""COMPUTED_VALUE"""),"Mocha_B34R")</f>
        <v>Mocha_B34R</v>
      </c>
    </row>
    <row r="2134">
      <c r="A2134" s="41" t="str">
        <f>IFERROR(__xludf.DUMMYFUNCTION("""COMPUTED_VALUE"""),"RSC002140")</f>
        <v>RSC002140</v>
      </c>
      <c r="B2134" s="41" t="str">
        <f>IFERROR(__xludf.DUMMYFUNCTION("""COMPUTED_VALUE"""),"POTEAT_84")</f>
        <v>POTEAT_84</v>
      </c>
    </row>
    <row r="2135">
      <c r="A2135" s="41" t="str">
        <f>IFERROR(__xludf.DUMMYFUNCTION("""COMPUTED_VALUE"""),"RSC002141")</f>
        <v>RSC002141</v>
      </c>
      <c r="B2135" s="41" t="str">
        <f>IFERROR(__xludf.DUMMYFUNCTION("""COMPUTED_VALUE"""),"dakku")</f>
        <v>dakku</v>
      </c>
    </row>
    <row r="2136">
      <c r="A2136" s="41" t="str">
        <f>IFERROR(__xludf.DUMMYFUNCTION("""COMPUTED_VALUE"""),"RSC002142")</f>
        <v>RSC002142</v>
      </c>
      <c r="B2136" s="41" t="str">
        <f>IFERROR(__xludf.DUMMYFUNCTION("""COMPUTED_VALUE"""),"roberto")</f>
        <v>roberto</v>
      </c>
    </row>
    <row r="2137">
      <c r="A2137" s="41" t="str">
        <f>IFERROR(__xludf.DUMMYFUNCTION("""COMPUTED_VALUE"""),"RSC002144")</f>
        <v>RSC002144</v>
      </c>
      <c r="B2137" s="41" t="str">
        <f>IFERROR(__xludf.DUMMYFUNCTION("""COMPUTED_VALUE"""),"Dead Friend7")</f>
        <v>Dead Friend7</v>
      </c>
    </row>
    <row r="2138">
      <c r="A2138" s="41" t="str">
        <f>IFERROR(__xludf.DUMMYFUNCTION("""COMPUTED_VALUE"""),"RSC002145")</f>
        <v>RSC002145</v>
      </c>
      <c r="B2138" s="41" t="str">
        <f>IFERROR(__xludf.DUMMYFUNCTION("""COMPUTED_VALUE"""),"MaxInertia")</f>
        <v>MaxInertia</v>
      </c>
    </row>
    <row r="2139">
      <c r="A2139" s="41" t="str">
        <f>IFERROR(__xludf.DUMMYFUNCTION("""COMPUTED_VALUE"""),"RSC002146")</f>
        <v>RSC002146</v>
      </c>
      <c r="B2139" s="41" t="str">
        <f>IFERROR(__xludf.DUMMYFUNCTION("""COMPUTED_VALUE"""),"groovysmooth")</f>
        <v>groovysmooth</v>
      </c>
    </row>
    <row r="2140">
      <c r="A2140" s="41" t="str">
        <f>IFERROR(__xludf.DUMMYFUNCTION("""COMPUTED_VALUE"""),"RSC002147")</f>
        <v>RSC002147</v>
      </c>
      <c r="B2140" s="41" t="str">
        <f>IFERROR(__xludf.DUMMYFUNCTION("""COMPUTED_VALUE"""),"RookieMistakez")</f>
        <v>RookieMistakez</v>
      </c>
    </row>
    <row r="2141">
      <c r="A2141" s="41" t="str">
        <f>IFERROR(__xludf.DUMMYFUNCTION("""COMPUTED_VALUE"""),"RSC002148")</f>
        <v>RSC002148</v>
      </c>
      <c r="B2141" s="41" t="str">
        <f>IFERROR(__xludf.DUMMYFUNCTION("""COMPUTED_VALUE"""),"Sir Mcdouble")</f>
        <v>Sir Mcdouble</v>
      </c>
    </row>
    <row r="2142">
      <c r="A2142" s="41" t="str">
        <f>IFERROR(__xludf.DUMMYFUNCTION("""COMPUTED_VALUE"""),"RSC002149")</f>
        <v>RSC002149</v>
      </c>
      <c r="B2142" s="41" t="str">
        <f>IFERROR(__xludf.DUMMYFUNCTION("""COMPUTED_VALUE"""),"Stache201")</f>
        <v>Stache201</v>
      </c>
    </row>
    <row r="2143">
      <c r="A2143" s="41" t="str">
        <f>IFERROR(__xludf.DUMMYFUNCTION("""COMPUTED_VALUE"""),"RSC002150")</f>
        <v>RSC002150</v>
      </c>
      <c r="B2143" s="41" t="str">
        <f>IFERROR(__xludf.DUMMYFUNCTION("""COMPUTED_VALUE"""),"Pursyyy")</f>
        <v>Pursyyy</v>
      </c>
    </row>
    <row r="2144">
      <c r="A2144" s="41" t="str">
        <f>IFERROR(__xludf.DUMMYFUNCTION("""COMPUTED_VALUE"""),"RSC002151")</f>
        <v>RSC002151</v>
      </c>
      <c r="B2144" s="41" t="str">
        <f>IFERROR(__xludf.DUMMYFUNCTION("""COMPUTED_VALUE"""),"krajine")</f>
        <v>krajine</v>
      </c>
    </row>
    <row r="2145">
      <c r="A2145" s="41" t="str">
        <f>IFERROR(__xludf.DUMMYFUNCTION("""COMPUTED_VALUE"""),"RSC002152")</f>
        <v>RSC002152</v>
      </c>
      <c r="B2145" s="41" t="str">
        <f>IFERROR(__xludf.DUMMYFUNCTION("""COMPUTED_VALUE"""),"Salvo")</f>
        <v>Salvo</v>
      </c>
    </row>
    <row r="2146">
      <c r="A2146" s="41" t="str">
        <f>IFERROR(__xludf.DUMMYFUNCTION("""COMPUTED_VALUE"""),"RSC002153")</f>
        <v>RSC002153</v>
      </c>
      <c r="B2146" s="41" t="str">
        <f>IFERROR(__xludf.DUMMYFUNCTION("""COMPUTED_VALUE"""),"kyllonen-_-")</f>
        <v>kyllonen-_-</v>
      </c>
    </row>
    <row r="2147">
      <c r="A2147" s="41" t="str">
        <f>IFERROR(__xludf.DUMMYFUNCTION("""COMPUTED_VALUE"""),"RSC002154")</f>
        <v>RSC002154</v>
      </c>
      <c r="B2147" s="41" t="str">
        <f>IFERROR(__xludf.DUMMYFUNCTION("""COMPUTED_VALUE"""),"Gogbe")</f>
        <v>Gogbe</v>
      </c>
    </row>
    <row r="2148">
      <c r="A2148" s="41" t="str">
        <f>IFERROR(__xludf.DUMMYFUNCTION("""COMPUTED_VALUE"""),"RSC002155")</f>
        <v>RSC002155</v>
      </c>
      <c r="B2148" s="41" t="str">
        <f>IFERROR(__xludf.DUMMYFUNCTION("""COMPUTED_VALUE"""),"EMPlawyer")</f>
        <v>EMPlawyer</v>
      </c>
    </row>
    <row r="2149">
      <c r="A2149" s="41" t="str">
        <f>IFERROR(__xludf.DUMMYFUNCTION("""COMPUTED_VALUE"""),"RSC002156")</f>
        <v>RSC002156</v>
      </c>
      <c r="B2149" s="41" t="str">
        <f>IFERROR(__xludf.DUMMYFUNCTION("""COMPUTED_VALUE"""),"ThyKooch")</f>
        <v>ThyKooch</v>
      </c>
    </row>
    <row r="2150">
      <c r="A2150" s="41" t="str">
        <f>IFERROR(__xludf.DUMMYFUNCTION("""COMPUTED_VALUE"""),"RSC002157")</f>
        <v>RSC002157</v>
      </c>
      <c r="B2150" s="41" t="str">
        <f>IFERROR(__xludf.DUMMYFUNCTION("""COMPUTED_VALUE"""),"Chicane")</f>
        <v>Chicane</v>
      </c>
    </row>
    <row r="2151">
      <c r="A2151" s="41" t="str">
        <f>IFERROR(__xludf.DUMMYFUNCTION("""COMPUTED_VALUE"""),"RSC002158")</f>
        <v>RSC002158</v>
      </c>
      <c r="B2151" s="41" t="str">
        <f>IFERROR(__xludf.DUMMYFUNCTION("""COMPUTED_VALUE"""),"teh wintasoulja")</f>
        <v>teh wintasoulja</v>
      </c>
    </row>
    <row r="2152">
      <c r="A2152" s="41" t="str">
        <f>IFERROR(__xludf.DUMMYFUNCTION("""COMPUTED_VALUE"""),"RSC002159")</f>
        <v>RSC002159</v>
      </c>
      <c r="B2152" s="41" t="str">
        <f>IFERROR(__xludf.DUMMYFUNCTION("""COMPUTED_VALUE"""),"Crustysock2407")</f>
        <v>Crustysock2407</v>
      </c>
    </row>
    <row r="2153">
      <c r="A2153" s="41" t="str">
        <f>IFERROR(__xludf.DUMMYFUNCTION("""COMPUTED_VALUE"""),"RSC002160")</f>
        <v>RSC002160</v>
      </c>
      <c r="B2153" s="41" t="str">
        <f>IFERROR(__xludf.DUMMYFUNCTION("""COMPUTED_VALUE"""),"slingshot_dB")</f>
        <v>slingshot_dB</v>
      </c>
    </row>
    <row r="2154">
      <c r="A2154" s="41" t="str">
        <f>IFERROR(__xludf.DUMMYFUNCTION("""COMPUTED_VALUE"""),"RSC002161")</f>
        <v>RSC002161</v>
      </c>
      <c r="B2154" s="41" t="str">
        <f>IFERROR(__xludf.DUMMYFUNCTION("""COMPUTED_VALUE"""),"TheAngryTryhard")</f>
        <v>TheAngryTryhard</v>
      </c>
    </row>
    <row r="2155">
      <c r="A2155" s="41" t="str">
        <f>IFERROR(__xludf.DUMMYFUNCTION("""COMPUTED_VALUE"""),"RSC002162")</f>
        <v>RSC002162</v>
      </c>
      <c r="B2155" s="41" t="str">
        <f>IFERROR(__xludf.DUMMYFUNCTION("""COMPUTED_VALUE"""),"Gonhorea")</f>
        <v>Gonhorea</v>
      </c>
    </row>
    <row r="2156">
      <c r="A2156" s="41" t="str">
        <f>IFERROR(__xludf.DUMMYFUNCTION("""COMPUTED_VALUE"""),"RSC002163")</f>
        <v>RSC002163</v>
      </c>
      <c r="B2156" s="41" t="str">
        <f>IFERROR(__xludf.DUMMYFUNCTION("""COMPUTED_VALUE"""),"Skrikeshut")</f>
        <v>Skrikeshut</v>
      </c>
    </row>
    <row r="2157">
      <c r="A2157" s="41" t="str">
        <f>IFERROR(__xludf.DUMMYFUNCTION("""COMPUTED_VALUE"""),"RSC002164")</f>
        <v>RSC002164</v>
      </c>
      <c r="B2157" s="41" t="str">
        <f>IFERROR(__xludf.DUMMYFUNCTION("""COMPUTED_VALUE"""),"Dosia")</f>
        <v>Dosia</v>
      </c>
    </row>
    <row r="2158">
      <c r="A2158" s="41" t="str">
        <f>IFERROR(__xludf.DUMMYFUNCTION("""COMPUTED_VALUE"""),"RSC002165")</f>
        <v>RSC002165</v>
      </c>
      <c r="B2158" s="41" t="str">
        <f>IFERROR(__xludf.DUMMYFUNCTION("""COMPUTED_VALUE"""),"Sandemon")</f>
        <v>Sandemon</v>
      </c>
    </row>
    <row r="2159">
      <c r="A2159" s="41" t="str">
        <f>IFERROR(__xludf.DUMMYFUNCTION("""COMPUTED_VALUE"""),"RSC002166")</f>
        <v>RSC002166</v>
      </c>
      <c r="B2159" s="41" t="str">
        <f>IFERROR(__xludf.DUMMYFUNCTION("""COMPUTED_VALUE"""),"Tyrawr")</f>
        <v>Tyrawr</v>
      </c>
    </row>
    <row r="2160">
      <c r="A2160" s="41" t="str">
        <f>IFERROR(__xludf.DUMMYFUNCTION("""COMPUTED_VALUE"""),"RSC002167")</f>
        <v>RSC002167</v>
      </c>
      <c r="B2160" s="41" t="str">
        <f>IFERROR(__xludf.DUMMYFUNCTION("""COMPUTED_VALUE"""),"tokyo.")</f>
        <v>tokyo.</v>
      </c>
    </row>
    <row r="2161">
      <c r="A2161" s="41" t="str">
        <f>IFERROR(__xludf.DUMMYFUNCTION("""COMPUTED_VALUE"""),"RSC002168")</f>
        <v>RSC002168</v>
      </c>
      <c r="B2161" s="41" t="str">
        <f>IFERROR(__xludf.DUMMYFUNCTION("""COMPUTED_VALUE"""),"CRSPY")</f>
        <v>CRSPY</v>
      </c>
    </row>
    <row r="2162">
      <c r="A2162" s="41" t="str">
        <f>IFERROR(__xludf.DUMMYFUNCTION("""COMPUTED_VALUE"""),"RSC002169")</f>
        <v>RSC002169</v>
      </c>
      <c r="B2162" s="41" t="str">
        <f>IFERROR(__xludf.DUMMYFUNCTION("""COMPUTED_VALUE"""),"WarBoyGaming")</f>
        <v>WarBoyGaming</v>
      </c>
    </row>
    <row r="2163">
      <c r="A2163" s="41" t="str">
        <f>IFERROR(__xludf.DUMMYFUNCTION("""COMPUTED_VALUE"""),"RSC002170")</f>
        <v>RSC002170</v>
      </c>
      <c r="B2163" s="41" t="str">
        <f>IFERROR(__xludf.DUMMYFUNCTION("""COMPUTED_VALUE"""),"tronncats")</f>
        <v>tronncats</v>
      </c>
    </row>
    <row r="2164">
      <c r="A2164" s="41" t="str">
        <f>IFERROR(__xludf.DUMMYFUNCTION("""COMPUTED_VALUE"""),"RSC002171")</f>
        <v>RSC002171</v>
      </c>
      <c r="B2164" s="41" t="str">
        <f>IFERROR(__xludf.DUMMYFUNCTION("""COMPUTED_VALUE"""),"Schrizy")</f>
        <v>Schrizy</v>
      </c>
    </row>
    <row r="2165">
      <c r="A2165" s="41" t="str">
        <f>IFERROR(__xludf.DUMMYFUNCTION("""COMPUTED_VALUE"""),"RSC002172")</f>
        <v>RSC002172</v>
      </c>
      <c r="B2165" s="41" t="str">
        <f>IFERROR(__xludf.DUMMYFUNCTION("""COMPUTED_VALUE"""),"Shimmy")</f>
        <v>Shimmy</v>
      </c>
    </row>
    <row r="2166">
      <c r="A2166" s="41" t="str">
        <f>IFERROR(__xludf.DUMMYFUNCTION("""COMPUTED_VALUE"""),"RSC002173")</f>
        <v>RSC002173</v>
      </c>
      <c r="B2166" s="41" t="str">
        <f>IFERROR(__xludf.DUMMYFUNCTION("""COMPUTED_VALUE"""),"dude3po")</f>
        <v>dude3po</v>
      </c>
    </row>
    <row r="2167">
      <c r="A2167" s="41" t="str">
        <f>IFERROR(__xludf.DUMMYFUNCTION("""COMPUTED_VALUE"""),"RSC002174")</f>
        <v>RSC002174</v>
      </c>
      <c r="B2167" s="41" t="str">
        <f>IFERROR(__xludf.DUMMYFUNCTION("""COMPUTED_VALUE"""),"SnowWolf")</f>
        <v>SnowWolf</v>
      </c>
    </row>
    <row r="2168">
      <c r="A2168" s="41" t="str">
        <f>IFERROR(__xludf.DUMMYFUNCTION("""COMPUTED_VALUE"""),"RSC002175")</f>
        <v>RSC002175</v>
      </c>
      <c r="B2168" s="41" t="str">
        <f>IFERROR(__xludf.DUMMYFUNCTION("""COMPUTED_VALUE"""),"blackndwolf")</f>
        <v>blackndwolf</v>
      </c>
    </row>
    <row r="2169">
      <c r="A2169" s="41" t="str">
        <f>IFERROR(__xludf.DUMMYFUNCTION("""COMPUTED_VALUE"""),"RSC002176")</f>
        <v>RSC002176</v>
      </c>
      <c r="B2169" s="41" t="str">
        <f>IFERROR(__xludf.DUMMYFUNCTION("""COMPUTED_VALUE"""),"Theory")</f>
        <v>Theory</v>
      </c>
    </row>
    <row r="2170">
      <c r="A2170" s="41" t="str">
        <f>IFERROR(__xludf.DUMMYFUNCTION("""COMPUTED_VALUE"""),"RSC002177")</f>
        <v>RSC002177</v>
      </c>
      <c r="B2170" s="41" t="str">
        <f>IFERROR(__xludf.DUMMYFUNCTION("""COMPUTED_VALUE"""),"Slygo21")</f>
        <v>Slygo21</v>
      </c>
    </row>
    <row r="2171">
      <c r="A2171" s="41" t="str">
        <f>IFERROR(__xludf.DUMMYFUNCTION("""COMPUTED_VALUE"""),"RSC002178")</f>
        <v>RSC002178</v>
      </c>
      <c r="B2171" s="41" t="str">
        <f>IFERROR(__xludf.DUMMYFUNCTION("""COMPUTED_VALUE"""),"bird")</f>
        <v>bird</v>
      </c>
    </row>
    <row r="2172">
      <c r="A2172" s="41" t="str">
        <f>IFERROR(__xludf.DUMMYFUNCTION("""COMPUTED_VALUE"""),"RSC002179")</f>
        <v>RSC002179</v>
      </c>
      <c r="B2172" s="41" t="str">
        <f>IFERROR(__xludf.DUMMYFUNCTION("""COMPUTED_VALUE"""),"JakeDaMoose")</f>
        <v>JakeDaMoose</v>
      </c>
    </row>
    <row r="2173">
      <c r="A2173" s="41" t="str">
        <f>IFERROR(__xludf.DUMMYFUNCTION("""COMPUTED_VALUE"""),"RSC002180")</f>
        <v>RSC002180</v>
      </c>
      <c r="B2173" s="41" t="str">
        <f>IFERROR(__xludf.DUMMYFUNCTION("""COMPUTED_VALUE"""),"MrIDontKnow")</f>
        <v>MrIDontKnow</v>
      </c>
    </row>
    <row r="2174">
      <c r="A2174" s="41" t="str">
        <f>IFERROR(__xludf.DUMMYFUNCTION("""COMPUTED_VALUE"""),"RSC002181")</f>
        <v>RSC002181</v>
      </c>
      <c r="B2174" s="41" t="str">
        <f>IFERROR(__xludf.DUMMYFUNCTION("""COMPUTED_VALUE"""),"OwnerOfTheWhiteSedan")</f>
        <v>OwnerOfTheWhiteSedan</v>
      </c>
    </row>
    <row r="2175">
      <c r="A2175" s="41" t="str">
        <f>IFERROR(__xludf.DUMMYFUNCTION("""COMPUTED_VALUE"""),"RSC002182")</f>
        <v>RSC002182</v>
      </c>
      <c r="B2175" s="41" t="str">
        <f>IFERROR(__xludf.DUMMYFUNCTION("""COMPUTED_VALUE"""),"BreadMG")</f>
        <v>BreadMG</v>
      </c>
    </row>
    <row r="2176">
      <c r="A2176" s="41" t="str">
        <f>IFERROR(__xludf.DUMMYFUNCTION("""COMPUTED_VALUE"""),"RSC002183")</f>
        <v>RSC002183</v>
      </c>
      <c r="B2176" s="41" t="str">
        <f>IFERROR(__xludf.DUMMYFUNCTION("""COMPUTED_VALUE"""),"Charwing")</f>
        <v>Charwing</v>
      </c>
    </row>
    <row r="2177">
      <c r="A2177" s="41" t="str">
        <f>IFERROR(__xludf.DUMMYFUNCTION("""COMPUTED_VALUE"""),"RSC002184")</f>
        <v>RSC002184</v>
      </c>
      <c r="B2177" s="41" t="str">
        <f>IFERROR(__xludf.DUMMYFUNCTION("""COMPUTED_VALUE"""),"Slayn")</f>
        <v>Slayn</v>
      </c>
    </row>
    <row r="2178">
      <c r="A2178" s="41" t="str">
        <f>IFERROR(__xludf.DUMMYFUNCTION("""COMPUTED_VALUE"""),"RSC002185")</f>
        <v>RSC002185</v>
      </c>
      <c r="B2178" s="41" t="str">
        <f>IFERROR(__xludf.DUMMYFUNCTION("""COMPUTED_VALUE"""),"Nisien")</f>
        <v>Nisien</v>
      </c>
    </row>
    <row r="2179">
      <c r="A2179" s="41" t="str">
        <f>IFERROR(__xludf.DUMMYFUNCTION("""COMPUTED_VALUE"""),"RSC002186")</f>
        <v>RSC002186</v>
      </c>
      <c r="B2179" s="41" t="str">
        <f>IFERROR(__xludf.DUMMYFUNCTION("""COMPUTED_VALUE"""),"5pike")</f>
        <v>5pike</v>
      </c>
    </row>
    <row r="2180">
      <c r="A2180" s="41" t="str">
        <f>IFERROR(__xludf.DUMMYFUNCTION("""COMPUTED_VALUE"""),"RSC002187")</f>
        <v>RSC002187</v>
      </c>
      <c r="B2180" s="41" t="str">
        <f>IFERROR(__xludf.DUMMYFUNCTION("""COMPUTED_VALUE"""),"psychic_rock")</f>
        <v>psychic_rock</v>
      </c>
    </row>
    <row r="2181">
      <c r="A2181" s="41" t="str">
        <f>IFERROR(__xludf.DUMMYFUNCTION("""COMPUTED_VALUE"""),"RSC002188")</f>
        <v>RSC002188</v>
      </c>
      <c r="B2181" s="41" t="str">
        <f>IFERROR(__xludf.DUMMYFUNCTION("""COMPUTED_VALUE"""),"AustinTeaPartie")</f>
        <v>AustinTeaPartie</v>
      </c>
    </row>
    <row r="2182">
      <c r="A2182" s="41" t="str">
        <f>IFERROR(__xludf.DUMMYFUNCTION("""COMPUTED_VALUE"""),"RSC002189")</f>
        <v>RSC002189</v>
      </c>
      <c r="B2182" s="41" t="str">
        <f>IFERROR(__xludf.DUMMYFUNCTION("""COMPUTED_VALUE"""),"AceXZyph3r")</f>
        <v>AceXZyph3r</v>
      </c>
    </row>
    <row r="2183">
      <c r="A2183" s="41" t="str">
        <f>IFERROR(__xludf.DUMMYFUNCTION("""COMPUTED_VALUE"""),"RSC002190")</f>
        <v>RSC002190</v>
      </c>
      <c r="B2183" s="41" t="str">
        <f>IFERROR(__xludf.DUMMYFUNCTION("""COMPUTED_VALUE"""),"Steely_99")</f>
        <v>Steely_99</v>
      </c>
    </row>
    <row r="2184">
      <c r="A2184" s="41" t="str">
        <f>IFERROR(__xludf.DUMMYFUNCTION("""COMPUTED_VALUE"""),"RSC002191")</f>
        <v>RSC002191</v>
      </c>
      <c r="B2184" s="41" t="str">
        <f>IFERROR(__xludf.DUMMYFUNCTION("""COMPUTED_VALUE"""),"Gremlin")</f>
        <v>Gremlin</v>
      </c>
    </row>
    <row r="2185">
      <c r="A2185" s="41" t="str">
        <f>IFERROR(__xludf.DUMMYFUNCTION("""COMPUTED_VALUE"""),"RSC002192")</f>
        <v>RSC002192</v>
      </c>
      <c r="B2185" s="41" t="str">
        <f>IFERROR(__xludf.DUMMYFUNCTION("""COMPUTED_VALUE"""),"NotAnAltIswear")</f>
        <v>NotAnAltIswear</v>
      </c>
    </row>
    <row r="2186">
      <c r="A2186" s="41" t="str">
        <f>IFERROR(__xludf.DUMMYFUNCTION("""COMPUTED_VALUE"""),"RSC002193")</f>
        <v>RSC002193</v>
      </c>
      <c r="B2186" s="41" t="str">
        <f>IFERROR(__xludf.DUMMYFUNCTION("""COMPUTED_VALUE"""),"calibur1989")</f>
        <v>calibur1989</v>
      </c>
    </row>
    <row r="2187">
      <c r="A2187" s="41" t="str">
        <f>IFERROR(__xludf.DUMMYFUNCTION("""COMPUTED_VALUE"""),"RSC002194")</f>
        <v>RSC002194</v>
      </c>
      <c r="B2187" s="41" t="str">
        <f>IFERROR(__xludf.DUMMYFUNCTION("""COMPUTED_VALUE"""),"lolomcfro")</f>
        <v>lolomcfro</v>
      </c>
    </row>
    <row r="2188">
      <c r="A2188" s="41" t="str">
        <f>IFERROR(__xludf.DUMMYFUNCTION("""COMPUTED_VALUE"""),"RSC002195")</f>
        <v>RSC002195</v>
      </c>
      <c r="B2188" s="41" t="str">
        <f>IFERROR(__xludf.DUMMYFUNCTION("""COMPUTED_VALUE"""),"Swixility")</f>
        <v>Swixility</v>
      </c>
    </row>
    <row r="2189">
      <c r="A2189" s="41" t="str">
        <f>IFERROR(__xludf.DUMMYFUNCTION("""COMPUTED_VALUE"""),"RSC002196")</f>
        <v>RSC002196</v>
      </c>
      <c r="B2189" s="41" t="str">
        <f>IFERROR(__xludf.DUMMYFUNCTION("""COMPUTED_VALUE"""),"Merlin")</f>
        <v>Merlin</v>
      </c>
    </row>
    <row r="2190">
      <c r="A2190" s="41" t="str">
        <f>IFERROR(__xludf.DUMMYFUNCTION("""COMPUTED_VALUE"""),"RSC002197")</f>
        <v>RSC002197</v>
      </c>
      <c r="B2190" s="41" t="str">
        <f>IFERROR(__xludf.DUMMYFUNCTION("""COMPUTED_VALUE"""),"JustSwanky :)")</f>
        <v>JustSwanky :)</v>
      </c>
    </row>
    <row r="2191">
      <c r="A2191" s="41" t="str">
        <f>IFERROR(__xludf.DUMMYFUNCTION("""COMPUTED_VALUE"""),"RSC002198")</f>
        <v>RSC002198</v>
      </c>
      <c r="B2191" s="41" t="str">
        <f>IFERROR(__xludf.DUMMYFUNCTION("""COMPUTED_VALUE"""),"DivineRose")</f>
        <v>DivineRose</v>
      </c>
    </row>
    <row r="2192">
      <c r="A2192" s="41" t="str">
        <f>IFERROR(__xludf.DUMMYFUNCTION("""COMPUTED_VALUE"""),"RSC002199")</f>
        <v>RSC002199</v>
      </c>
      <c r="B2192" s="41" t="str">
        <f>IFERROR(__xludf.DUMMYFUNCTION("""COMPUTED_VALUE"""),"keY")</f>
        <v>keY</v>
      </c>
    </row>
    <row r="2193">
      <c r="A2193" s="41" t="str">
        <f>IFERROR(__xludf.DUMMYFUNCTION("""COMPUTED_VALUE"""),"RSC002200")</f>
        <v>RSC002200</v>
      </c>
      <c r="B2193" s="41" t="str">
        <f>IFERROR(__xludf.DUMMYFUNCTION("""COMPUTED_VALUE"""),"machu")</f>
        <v>machu</v>
      </c>
    </row>
    <row r="2194">
      <c r="A2194" s="41" t="str">
        <f>IFERROR(__xludf.DUMMYFUNCTION("""COMPUTED_VALUE"""),"RSC002201")</f>
        <v>RSC002201</v>
      </c>
      <c r="B2194" s="41" t="str">
        <f>IFERROR(__xludf.DUMMYFUNCTION("""COMPUTED_VALUE"""),"ElectricFire")</f>
        <v>ElectricFire</v>
      </c>
    </row>
    <row r="2195">
      <c r="A2195" s="41" t="str">
        <f>IFERROR(__xludf.DUMMYFUNCTION("""COMPUTED_VALUE"""),"RSC002202")</f>
        <v>RSC002202</v>
      </c>
      <c r="B2195" s="41" t="str">
        <f>IFERROR(__xludf.DUMMYFUNCTION("""COMPUTED_VALUE"""),"P3ZD1SP3NC3R")</f>
        <v>P3ZD1SP3NC3R</v>
      </c>
    </row>
    <row r="2196">
      <c r="A2196" s="41" t="str">
        <f>IFERROR(__xludf.DUMMYFUNCTION("""COMPUTED_VALUE"""),"RSC002203")</f>
        <v>RSC002203</v>
      </c>
      <c r="B2196" s="41" t="str">
        <f>IFERROR(__xludf.DUMMYFUNCTION("""COMPUTED_VALUE"""),"FCX")</f>
        <v>FCX</v>
      </c>
    </row>
    <row r="2197">
      <c r="A2197" s="41" t="str">
        <f>IFERROR(__xludf.DUMMYFUNCTION("""COMPUTED_VALUE"""),"RSC002204")</f>
        <v>RSC002204</v>
      </c>
      <c r="B2197" s="41" t="str">
        <f>IFERROR(__xludf.DUMMYFUNCTION("""COMPUTED_VALUE"""),"Mr.Numb3rz")</f>
        <v>Mr.Numb3rz</v>
      </c>
    </row>
    <row r="2198">
      <c r="A2198" s="41" t="str">
        <f>IFERROR(__xludf.DUMMYFUNCTION("""COMPUTED_VALUE"""),"RSC002205")</f>
        <v>RSC002205</v>
      </c>
      <c r="B2198" s="41" t="str">
        <f>IFERROR(__xludf.DUMMYFUNCTION("""COMPUTED_VALUE"""),"CoDa")</f>
        <v>CoDa</v>
      </c>
    </row>
    <row r="2199">
      <c r="A2199" s="41" t="str">
        <f>IFERROR(__xludf.DUMMYFUNCTION("""COMPUTED_VALUE"""),"RSC002206")</f>
        <v>RSC002206</v>
      </c>
      <c r="B2199" s="41" t="str">
        <f>IFERROR(__xludf.DUMMYFUNCTION("""COMPUTED_VALUE"""),"krev")</f>
        <v>krev</v>
      </c>
    </row>
    <row r="2200">
      <c r="A2200" s="41" t="str">
        <f>IFERROR(__xludf.DUMMYFUNCTION("""COMPUTED_VALUE"""),"RSC002207")</f>
        <v>RSC002207</v>
      </c>
      <c r="B2200" s="41" t="str">
        <f>IFERROR(__xludf.DUMMYFUNCTION("""COMPUTED_VALUE"""),"Duncan")</f>
        <v>Duncan</v>
      </c>
    </row>
    <row r="2201">
      <c r="A2201" s="41" t="str">
        <f>IFERROR(__xludf.DUMMYFUNCTION("""COMPUTED_VALUE"""),"RSC002208")</f>
        <v>RSC002208</v>
      </c>
      <c r="B2201" s="41" t="str">
        <f>IFERROR(__xludf.DUMMYFUNCTION("""COMPUTED_VALUE"""),"Biggy")</f>
        <v>Biggy</v>
      </c>
    </row>
    <row r="2202">
      <c r="A2202" s="41" t="str">
        <f>IFERROR(__xludf.DUMMYFUNCTION("""COMPUTED_VALUE"""),"RSC002209")</f>
        <v>RSC002209</v>
      </c>
      <c r="B2202" s="41" t="str">
        <f>IFERROR(__xludf.DUMMYFUNCTION("""COMPUTED_VALUE"""),"Panick")</f>
        <v>Panick</v>
      </c>
    </row>
    <row r="2203">
      <c r="A2203" s="41" t="str">
        <f>IFERROR(__xludf.DUMMYFUNCTION("""COMPUTED_VALUE"""),"RSC002210")</f>
        <v>RSC002210</v>
      </c>
      <c r="B2203" s="41" t="str">
        <f>IFERROR(__xludf.DUMMYFUNCTION("""COMPUTED_VALUE"""),"Ninjatron")</f>
        <v>Ninjatron</v>
      </c>
    </row>
    <row r="2204">
      <c r="A2204" s="41" t="str">
        <f>IFERROR(__xludf.DUMMYFUNCTION("""COMPUTED_VALUE"""),"RSC002211")</f>
        <v>RSC002211</v>
      </c>
      <c r="B2204" s="41" t="str">
        <f>IFERROR(__xludf.DUMMYFUNCTION("""COMPUTED_VALUE"""),"StupidCupid")</f>
        <v>StupidCupid</v>
      </c>
    </row>
    <row r="2205">
      <c r="A2205" s="41" t="str">
        <f>IFERROR(__xludf.DUMMYFUNCTION("""COMPUTED_VALUE"""),"RSC002212")</f>
        <v>RSC002212</v>
      </c>
      <c r="B2205" s="41" t="str">
        <f>IFERROR(__xludf.DUMMYFUNCTION("""COMPUTED_VALUE"""),"Yoshi")</f>
        <v>Yoshi</v>
      </c>
    </row>
    <row r="2206">
      <c r="A2206" s="41" t="str">
        <f>IFERROR(__xludf.DUMMYFUNCTION("""COMPUTED_VALUE"""),"RSC002213")</f>
        <v>RSC002213</v>
      </c>
      <c r="B2206" s="41" t="str">
        <f>IFERROR(__xludf.DUMMYFUNCTION("""COMPUTED_VALUE"""),"Flash")</f>
        <v>Flash</v>
      </c>
    </row>
    <row r="2207">
      <c r="A2207" s="41" t="str">
        <f>IFERROR(__xludf.DUMMYFUNCTION("""COMPUTED_VALUE"""),"RSC002214")</f>
        <v>RSC002214</v>
      </c>
      <c r="B2207" s="41" t="str">
        <f>IFERROR(__xludf.DUMMYFUNCTION("""COMPUTED_VALUE"""),"Cmdbattle")</f>
        <v>Cmdbattle</v>
      </c>
    </row>
    <row r="2208">
      <c r="A2208" s="41" t="str">
        <f>IFERROR(__xludf.DUMMYFUNCTION("""COMPUTED_VALUE"""),"RSC002215")</f>
        <v>RSC002215</v>
      </c>
      <c r="B2208" s="41" t="str">
        <f>IFERROR(__xludf.DUMMYFUNCTION("""COMPUTED_VALUE"""),"jabbaaaaaaa_")</f>
        <v>jabbaaaaaaa_</v>
      </c>
    </row>
    <row r="2209">
      <c r="A2209" s="41" t="str">
        <f>IFERROR(__xludf.DUMMYFUNCTION("""COMPUTED_VALUE"""),"RSC002216")</f>
        <v>RSC002216</v>
      </c>
      <c r="B2209" s="41" t="str">
        <f>IFERROR(__xludf.DUMMYFUNCTION("""COMPUTED_VALUE"""),"Dan")</f>
        <v>Dan</v>
      </c>
    </row>
    <row r="2210">
      <c r="A2210" s="41" t="str">
        <f>IFERROR(__xludf.DUMMYFUNCTION("""COMPUTED_VALUE"""),"RSC002217")</f>
        <v>RSC002217</v>
      </c>
      <c r="B2210" s="41" t="str">
        <f>IFERROR(__xludf.DUMMYFUNCTION("""COMPUTED_VALUE"""),"Debt")</f>
        <v>Debt</v>
      </c>
    </row>
    <row r="2211">
      <c r="A2211" s="41" t="str">
        <f>IFERROR(__xludf.DUMMYFUNCTION("""COMPUTED_VALUE"""),"RSC002218")</f>
        <v>RSC002218</v>
      </c>
      <c r="B2211" s="41" t="str">
        <f>IFERROR(__xludf.DUMMYFUNCTION("""COMPUTED_VALUE"""),"DeeJay")</f>
        <v>DeeJay</v>
      </c>
    </row>
    <row r="2212">
      <c r="A2212" s="41" t="str">
        <f>IFERROR(__xludf.DUMMYFUNCTION("""COMPUTED_VALUE"""),"RSC002219")</f>
        <v>RSC002219</v>
      </c>
      <c r="B2212" s="41" t="str">
        <f>IFERROR(__xludf.DUMMYFUNCTION("""COMPUTED_VALUE"""),"cal")</f>
        <v>cal</v>
      </c>
    </row>
    <row r="2213">
      <c r="A2213" s="41" t="str">
        <f>IFERROR(__xludf.DUMMYFUNCTION("""COMPUTED_VALUE"""),"RSC002220")</f>
        <v>RSC002220</v>
      </c>
      <c r="B2213" s="41" t="str">
        <f>IFERROR(__xludf.DUMMYFUNCTION("""COMPUTED_VALUE"""),"[GSU] Bren")</f>
        <v>[GSU] Bren</v>
      </c>
    </row>
    <row r="2214">
      <c r="A2214" s="41" t="str">
        <f>IFERROR(__xludf.DUMMYFUNCTION("""COMPUTED_VALUE"""),"RSC002221")</f>
        <v>RSC002221</v>
      </c>
      <c r="B2214" s="41" t="str">
        <f>IFERROR(__xludf.DUMMYFUNCTION("""COMPUTED_VALUE"""),"Rizky")</f>
        <v>Rizky</v>
      </c>
    </row>
    <row r="2215">
      <c r="A2215" s="41" t="str">
        <f>IFERROR(__xludf.DUMMYFUNCTION("""COMPUTED_VALUE"""),"RSC002222")</f>
        <v>RSC002222</v>
      </c>
      <c r="B2215" s="41" t="str">
        <f>IFERROR(__xludf.DUMMYFUNCTION("""COMPUTED_VALUE"""),"Vendetta")</f>
        <v>Vendetta</v>
      </c>
    </row>
    <row r="2216">
      <c r="A2216" s="41" t="str">
        <f>IFERROR(__xludf.DUMMYFUNCTION("""COMPUTED_VALUE"""),"RSC002223")</f>
        <v>RSC002223</v>
      </c>
      <c r="B2216" s="41" t="str">
        <f>IFERROR(__xludf.DUMMYFUNCTION("""COMPUTED_VALUE"""),"YUNG LICK OR AND NIC")</f>
        <v>YUNG LICK OR AND NIC</v>
      </c>
    </row>
    <row r="2217">
      <c r="A2217" s="41" t="str">
        <f>IFERROR(__xludf.DUMMYFUNCTION("""COMPUTED_VALUE"""),"RSC002224")</f>
        <v>RSC002224</v>
      </c>
      <c r="B2217" s="41" t="str">
        <f>IFERROR(__xludf.DUMMYFUNCTION("""COMPUTED_VALUE"""),"Patty Smokes")</f>
        <v>Patty Smokes</v>
      </c>
    </row>
    <row r="2218">
      <c r="A2218" s="41" t="str">
        <f>IFERROR(__xludf.DUMMYFUNCTION("""COMPUTED_VALUE"""),"RSC002225")</f>
        <v>RSC002225</v>
      </c>
      <c r="B2218" s="41" t="str">
        <f>IFERROR(__xludf.DUMMYFUNCTION("""COMPUTED_VALUE"""),"Damón")</f>
        <v>Damón</v>
      </c>
    </row>
    <row r="2219">
      <c r="A2219" s="41" t="str">
        <f>IFERROR(__xludf.DUMMYFUNCTION("""COMPUTED_VALUE"""),"RSC002226")</f>
        <v>RSC002226</v>
      </c>
      <c r="B2219" s="41" t="str">
        <f>IFERROR(__xludf.DUMMYFUNCTION("""COMPUTED_VALUE"""),"Corvae")</f>
        <v>Corvae</v>
      </c>
    </row>
    <row r="2220">
      <c r="A2220" s="41" t="str">
        <f>IFERROR(__xludf.DUMMYFUNCTION("""COMPUTED_VALUE"""),"RSC002227")</f>
        <v>RSC002227</v>
      </c>
      <c r="B2220" s="41" t="str">
        <f>IFERROR(__xludf.DUMMYFUNCTION("""COMPUTED_VALUE"""),"Aslan")</f>
        <v>Aslan</v>
      </c>
    </row>
    <row r="2221">
      <c r="A2221" s="41" t="str">
        <f>IFERROR(__xludf.DUMMYFUNCTION("""COMPUTED_VALUE"""),"RSC002228")</f>
        <v>RSC002228</v>
      </c>
      <c r="B2221" s="41" t="str">
        <f>IFERROR(__xludf.DUMMYFUNCTION("""COMPUTED_VALUE"""),"Funke")</f>
        <v>Funke</v>
      </c>
    </row>
    <row r="2222">
      <c r="A2222" s="41" t="str">
        <f>IFERROR(__xludf.DUMMYFUNCTION("""COMPUTED_VALUE"""),"RSC002229")</f>
        <v>RSC002229</v>
      </c>
      <c r="B2222" s="41" t="str">
        <f>IFERROR(__xludf.DUMMYFUNCTION("""COMPUTED_VALUE"""),"Banshii")</f>
        <v>Banshii</v>
      </c>
    </row>
    <row r="2223">
      <c r="A2223" s="41" t="str">
        <f>IFERROR(__xludf.DUMMYFUNCTION("""COMPUTED_VALUE"""),"RSC002230")</f>
        <v>RSC002230</v>
      </c>
      <c r="B2223" s="41" t="str">
        <f>IFERROR(__xludf.DUMMYFUNCTION("""COMPUTED_VALUE"""),"Steem")</f>
        <v>Steem</v>
      </c>
    </row>
    <row r="2224">
      <c r="A2224" s="41" t="str">
        <f>IFERROR(__xludf.DUMMYFUNCTION("""COMPUTED_VALUE"""),"RSC002231")</f>
        <v>RSC002231</v>
      </c>
      <c r="B2224" s="41" t="str">
        <f>IFERROR(__xludf.DUMMYFUNCTION("""COMPUTED_VALUE"""),"Andrew")</f>
        <v>Andrew</v>
      </c>
    </row>
    <row r="2225">
      <c r="A2225" s="41" t="str">
        <f>IFERROR(__xludf.DUMMYFUNCTION("""COMPUTED_VALUE"""),"RSC002232")</f>
        <v>RSC002232</v>
      </c>
      <c r="B2225" s="41" t="str">
        <f>IFERROR(__xludf.DUMMYFUNCTION("""COMPUTED_VALUE"""),"Can't Stop 'Em")</f>
        <v>Can't Stop 'Em</v>
      </c>
    </row>
    <row r="2226">
      <c r="A2226" s="41" t="str">
        <f>IFERROR(__xludf.DUMMYFUNCTION("""COMPUTED_VALUE"""),"RSC002233")</f>
        <v>RSC002233</v>
      </c>
      <c r="B2226" s="41" t="str">
        <f>IFERROR(__xludf.DUMMYFUNCTION("""COMPUTED_VALUE"""),"KroniK")</f>
        <v>KroniK</v>
      </c>
    </row>
    <row r="2227">
      <c r="A2227" s="41" t="str">
        <f>IFERROR(__xludf.DUMMYFUNCTION("""COMPUTED_VALUE"""),"RSC002234")</f>
        <v>RSC002234</v>
      </c>
      <c r="B2227" s="41" t="str">
        <f>IFERROR(__xludf.DUMMYFUNCTION("""COMPUTED_VALUE"""),"Forget Nick")</f>
        <v>Forget Nick</v>
      </c>
    </row>
    <row r="2228">
      <c r="A2228" s="41" t="str">
        <f>IFERROR(__xludf.DUMMYFUNCTION("""COMPUTED_VALUE"""),"RSC002235")</f>
        <v>RSC002235</v>
      </c>
      <c r="B2228" s="41" t="str">
        <f>IFERROR(__xludf.DUMMYFUNCTION("""COMPUTED_VALUE"""),"HPain")</f>
        <v>HPain</v>
      </c>
    </row>
    <row r="2229">
      <c r="A2229" s="41" t="str">
        <f>IFERROR(__xludf.DUMMYFUNCTION("""COMPUTED_VALUE"""),"RSC002236")</f>
        <v>RSC002236</v>
      </c>
      <c r="B2229" s="41" t="str">
        <f>IFERROR(__xludf.DUMMYFUNCTION("""COMPUTED_VALUE"""),"Captain Curtle")</f>
        <v>Captain Curtle</v>
      </c>
    </row>
    <row r="2230">
      <c r="A2230" s="41" t="str">
        <f>IFERROR(__xludf.DUMMYFUNCTION("""COMPUTED_VALUE"""),"RSC002237")</f>
        <v>RSC002237</v>
      </c>
      <c r="B2230" s="41" t="str">
        <f>IFERROR(__xludf.DUMMYFUNCTION("""COMPUTED_VALUE"""),"Hate")</f>
        <v>Hate</v>
      </c>
    </row>
    <row r="2231">
      <c r="A2231" s="41" t="str">
        <f>IFERROR(__xludf.DUMMYFUNCTION("""COMPUTED_VALUE"""),"RSC002238")</f>
        <v>RSC002238</v>
      </c>
      <c r="B2231" s="41" t="str">
        <f>IFERROR(__xludf.DUMMYFUNCTION("""COMPUTED_VALUE"""),"Jaco")</f>
        <v>Jaco</v>
      </c>
    </row>
    <row r="2232">
      <c r="A2232" s="41" t="str">
        <f>IFERROR(__xludf.DUMMYFUNCTION("""COMPUTED_VALUE"""),"RSC002239")</f>
        <v>RSC002239</v>
      </c>
      <c r="B2232" s="41" t="str">
        <f>IFERROR(__xludf.DUMMYFUNCTION("""COMPUTED_VALUE"""),"Flash8ang")</f>
        <v>Flash8ang</v>
      </c>
    </row>
    <row r="2233">
      <c r="A2233" s="41" t="str">
        <f>IFERROR(__xludf.DUMMYFUNCTION("""COMPUTED_VALUE"""),"RSC002240")</f>
        <v>RSC002240</v>
      </c>
      <c r="B2233" s="41" t="str">
        <f>IFERROR(__xludf.DUMMYFUNCTION("""COMPUTED_VALUE"""),"kfred")</f>
        <v>kfred</v>
      </c>
    </row>
    <row r="2234">
      <c r="A2234" s="41" t="str">
        <f>IFERROR(__xludf.DUMMYFUNCTION("""COMPUTED_VALUE"""),"RSC002241")</f>
        <v>RSC002241</v>
      </c>
      <c r="B2234" s="41" t="str">
        <f>IFERROR(__xludf.DUMMYFUNCTION("""COMPUTED_VALUE"""),"Fishpants")</f>
        <v>Fishpants</v>
      </c>
    </row>
    <row r="2235">
      <c r="A2235" s="41" t="str">
        <f>IFERROR(__xludf.DUMMYFUNCTION("""COMPUTED_VALUE"""),"RSC002242")</f>
        <v>RSC002242</v>
      </c>
      <c r="B2235" s="41" t="str">
        <f>IFERROR(__xludf.DUMMYFUNCTION("""COMPUTED_VALUE"""),"Proofy")</f>
        <v>Proofy</v>
      </c>
    </row>
    <row r="2236">
      <c r="A2236" s="41" t="str">
        <f>IFERROR(__xludf.DUMMYFUNCTION("""COMPUTED_VALUE"""),"RSC002243")</f>
        <v>RSC002243</v>
      </c>
      <c r="B2236" s="41" t="str">
        <f>IFERROR(__xludf.DUMMYFUNCTION("""COMPUTED_VALUE"""),"HPDobby713")</f>
        <v>HPDobby713</v>
      </c>
    </row>
    <row r="2237">
      <c r="A2237" s="41" t="str">
        <f>IFERROR(__xludf.DUMMYFUNCTION("""COMPUTED_VALUE"""),"RSC002244")</f>
        <v>RSC002244</v>
      </c>
      <c r="B2237" s="41" t="str">
        <f>IFERROR(__xludf.DUMMYFUNCTION("""COMPUTED_VALUE"""),"Phlexer_YT_")</f>
        <v>Phlexer_YT_</v>
      </c>
    </row>
    <row r="2238">
      <c r="A2238" s="41" t="str">
        <f>IFERROR(__xludf.DUMMYFUNCTION("""COMPUTED_VALUE"""),"RSC002245")</f>
        <v>RSC002245</v>
      </c>
      <c r="B2238" s="41" t="str">
        <f>IFERROR(__xludf.DUMMYFUNCTION("""COMPUTED_VALUE"""),"Swaney24")</f>
        <v>Swaney24</v>
      </c>
    </row>
    <row r="2239">
      <c r="A2239" s="41" t="str">
        <f>IFERROR(__xludf.DUMMYFUNCTION("""COMPUTED_VALUE"""),"RSC002246")</f>
        <v>RSC002246</v>
      </c>
      <c r="B2239" s="41" t="str">
        <f>IFERROR(__xludf.DUMMYFUNCTION("""COMPUTED_VALUE"""),"Dread")</f>
        <v>Dread</v>
      </c>
    </row>
    <row r="2240">
      <c r="A2240" s="41" t="str">
        <f>IFERROR(__xludf.DUMMYFUNCTION("""COMPUTED_VALUE"""),"RSC002247")</f>
        <v>RSC002247</v>
      </c>
      <c r="B2240" s="149" t="str">
        <f>IFERROR(__xludf.DUMMYFUNCTION("""COMPUTED_VALUE"""),"Twitch.tv/Verdxtv")</f>
        <v>Twitch.tv/Verdxtv</v>
      </c>
    </row>
    <row r="2241">
      <c r="A2241" s="41" t="str">
        <f>IFERROR(__xludf.DUMMYFUNCTION("""COMPUTED_VALUE"""),"RSC002248")</f>
        <v>RSC002248</v>
      </c>
      <c r="B2241" s="41" t="str">
        <f>IFERROR(__xludf.DUMMYFUNCTION("""COMPUTED_VALUE"""),"sky.")</f>
        <v>sky.</v>
      </c>
    </row>
    <row r="2242">
      <c r="A2242" s="41" t="str">
        <f>IFERROR(__xludf.DUMMYFUNCTION("""COMPUTED_VALUE"""),"RSC002249")</f>
        <v>RSC002249</v>
      </c>
      <c r="B2242" s="41" t="str">
        <f>IFERROR(__xludf.DUMMYFUNCTION("""COMPUTED_VALUE"""),"AnArizonaRanger")</f>
        <v>AnArizonaRanger</v>
      </c>
    </row>
    <row r="2243">
      <c r="A2243" s="41" t="str">
        <f>IFERROR(__xludf.DUMMYFUNCTION("""COMPUTED_VALUE"""),"RSC002250")</f>
        <v>RSC002250</v>
      </c>
      <c r="B2243" s="41" t="str">
        <f>IFERROR(__xludf.DUMMYFUNCTION("""COMPUTED_VALUE"""),"Shyloh")</f>
        <v>Shyloh</v>
      </c>
    </row>
    <row r="2244">
      <c r="A2244" s="41" t="str">
        <f>IFERROR(__xludf.DUMMYFUNCTION("""COMPUTED_VALUE"""),"RSC002251")</f>
        <v>RSC002251</v>
      </c>
      <c r="B2244" s="41" t="str">
        <f>IFERROR(__xludf.DUMMYFUNCTION("""COMPUTED_VALUE"""),"Dementor")</f>
        <v>Dementor</v>
      </c>
    </row>
    <row r="2245">
      <c r="A2245" s="41" t="str">
        <f>IFERROR(__xludf.DUMMYFUNCTION("""COMPUTED_VALUE"""),"RSC002252")</f>
        <v>RSC002252</v>
      </c>
      <c r="B2245" s="41" t="str">
        <f>IFERROR(__xludf.DUMMYFUNCTION("""COMPUTED_VALUE"""),"djras1996")</f>
        <v>djras1996</v>
      </c>
    </row>
    <row r="2246">
      <c r="A2246" s="41" t="str">
        <f>IFERROR(__xludf.DUMMYFUNCTION("""COMPUTED_VALUE"""),"RSC002253")</f>
        <v>RSC002253</v>
      </c>
      <c r="B2246" s="41" t="str">
        <f>IFERROR(__xludf.DUMMYFUNCTION("""COMPUTED_VALUE"""),"sweetchunk24636")</f>
        <v>sweetchunk24636</v>
      </c>
    </row>
    <row r="2247">
      <c r="A2247" s="41" t="str">
        <f>IFERROR(__xludf.DUMMYFUNCTION("""COMPUTED_VALUE"""),"RSC002254")</f>
        <v>RSC002254</v>
      </c>
      <c r="B2247" s="41" t="str">
        <f>IFERROR(__xludf.DUMMYFUNCTION("""COMPUTED_VALUE"""),"realists")</f>
        <v>realists</v>
      </c>
    </row>
    <row r="2248">
      <c r="A2248" s="41" t="str">
        <f>IFERROR(__xludf.DUMMYFUNCTION("""COMPUTED_VALUE"""),"RSC002255")</f>
        <v>RSC002255</v>
      </c>
      <c r="B2248" s="41" t="str">
        <f>IFERROR(__xludf.DUMMYFUNCTION("""COMPUTED_VALUE"""),"WIPEOUT")</f>
        <v>WIPEOUT</v>
      </c>
    </row>
    <row r="2249">
      <c r="A2249" s="41" t="str">
        <f>IFERROR(__xludf.DUMMYFUNCTION("""COMPUTED_VALUE"""),"RSC002256")</f>
        <v>RSC002256</v>
      </c>
      <c r="B2249" s="41" t="str">
        <f>IFERROR(__xludf.DUMMYFUNCTION("""COMPUTED_VALUE"""),"l Alex rL l")</f>
        <v>l Alex rL l</v>
      </c>
    </row>
    <row r="2250">
      <c r="A2250" s="41" t="str">
        <f>IFERROR(__xludf.DUMMYFUNCTION("""COMPUTED_VALUE"""),"RSC002257")</f>
        <v>RSC002257</v>
      </c>
      <c r="B2250" s="41" t="str">
        <f>IFERROR(__xludf.DUMMYFUNCTION("""COMPUTED_VALUE"""),"Alpiiine-")</f>
        <v>Alpiiine-</v>
      </c>
    </row>
    <row r="2251">
      <c r="A2251" s="41" t="str">
        <f>IFERROR(__xludf.DUMMYFUNCTION("""COMPUTED_VALUE"""),"RSC002258")</f>
        <v>RSC002258</v>
      </c>
      <c r="B2251" s="41" t="str">
        <f>IFERROR(__xludf.DUMMYFUNCTION("""COMPUTED_VALUE"""),"Jackolas")</f>
        <v>Jackolas</v>
      </c>
    </row>
    <row r="2252">
      <c r="A2252" s="41" t="str">
        <f>IFERROR(__xludf.DUMMYFUNCTION("""COMPUTED_VALUE"""),"RSC002259")</f>
        <v>RSC002259</v>
      </c>
      <c r="B2252" s="41" t="str">
        <f>IFERROR(__xludf.DUMMYFUNCTION("""COMPUTED_VALUE"""),"Urboi")</f>
        <v>Urboi</v>
      </c>
    </row>
    <row r="2253">
      <c r="A2253" s="41" t="str">
        <f>IFERROR(__xludf.DUMMYFUNCTION("""COMPUTED_VALUE"""),"RSC002260")</f>
        <v>RSC002260</v>
      </c>
      <c r="B2253" s="41" t="str">
        <f>IFERROR(__xludf.DUMMYFUNCTION("""COMPUTED_VALUE"""),"SquizzNight")</f>
        <v>SquizzNight</v>
      </c>
    </row>
    <row r="2254">
      <c r="A2254" s="41" t="str">
        <f>IFERROR(__xludf.DUMMYFUNCTION("""COMPUTED_VALUE"""),"RSC002261")</f>
        <v>RSC002261</v>
      </c>
      <c r="B2254" s="41" t="str">
        <f>IFERROR(__xludf.DUMMYFUNCTION("""COMPUTED_VALUE"""),"CptnFoxX")</f>
        <v>CptnFoxX</v>
      </c>
    </row>
    <row r="2255">
      <c r="A2255" s="41" t="str">
        <f>IFERROR(__xludf.DUMMYFUNCTION("""COMPUTED_VALUE"""),"RSC002262")</f>
        <v>RSC002262</v>
      </c>
      <c r="B2255" s="41" t="str">
        <f>IFERROR(__xludf.DUMMYFUNCTION("""COMPUTED_VALUE"""),"Crypt1cGames")</f>
        <v>Crypt1cGames</v>
      </c>
    </row>
    <row r="2256">
      <c r="A2256" s="41" t="str">
        <f>IFERROR(__xludf.DUMMYFUNCTION("""COMPUTED_VALUE"""),"RSC002263")</f>
        <v>RSC002263</v>
      </c>
      <c r="B2256" s="41" t="str">
        <f>IFERROR(__xludf.DUMMYFUNCTION("""COMPUTED_VALUE"""),"BrandonBeast")</f>
        <v>BrandonBeast</v>
      </c>
    </row>
    <row r="2257">
      <c r="A2257" s="41" t="str">
        <f>IFERROR(__xludf.DUMMYFUNCTION("""COMPUTED_VALUE"""),"RSC002264")</f>
        <v>RSC002264</v>
      </c>
      <c r="B2257" s="41" t="str">
        <f>IFERROR(__xludf.DUMMYFUNCTION("""COMPUTED_VALUE"""),"CubsFan082016")</f>
        <v>CubsFan082016</v>
      </c>
    </row>
    <row r="2258">
      <c r="A2258" s="41" t="str">
        <f>IFERROR(__xludf.DUMMYFUNCTION("""COMPUTED_VALUE"""),"RSC002265")</f>
        <v>RSC002265</v>
      </c>
      <c r="B2258" s="41" t="str">
        <f>IFERROR(__xludf.DUMMYFUNCTION("""COMPUTED_VALUE"""),"awp")</f>
        <v>awp</v>
      </c>
    </row>
    <row r="2259">
      <c r="A2259" s="41" t="str">
        <f>IFERROR(__xludf.DUMMYFUNCTION("""COMPUTED_VALUE"""),"RSC002266")</f>
        <v>RSC002266</v>
      </c>
      <c r="B2259" s="41" t="str">
        <f>IFERROR(__xludf.DUMMYFUNCTION("""COMPUTED_VALUE"""),"Kbutter10")</f>
        <v>Kbutter10</v>
      </c>
    </row>
    <row r="2260">
      <c r="A2260" s="41" t="str">
        <f>IFERROR(__xludf.DUMMYFUNCTION("""COMPUTED_VALUE"""),"RSC002267")</f>
        <v>RSC002267</v>
      </c>
      <c r="B2260" s="41" t="str">
        <f>IFERROR(__xludf.DUMMYFUNCTION("""COMPUTED_VALUE"""),"Dooqal")</f>
        <v>Dooqal</v>
      </c>
    </row>
    <row r="2261">
      <c r="A2261" s="41" t="str">
        <f>IFERROR(__xludf.DUMMYFUNCTION("""COMPUTED_VALUE"""),"RSC002268")</f>
        <v>RSC002268</v>
      </c>
      <c r="B2261" s="41" t="str">
        <f>IFERROR(__xludf.DUMMYFUNCTION("""COMPUTED_VALUE"""),"xam")</f>
        <v>xam</v>
      </c>
    </row>
    <row r="2262">
      <c r="A2262" s="41" t="str">
        <f>IFERROR(__xludf.DUMMYFUNCTION("""COMPUTED_VALUE"""),"RSC002269")</f>
        <v>RSC002269</v>
      </c>
      <c r="B2262" s="41" t="str">
        <f>IFERROR(__xludf.DUMMYFUNCTION("""COMPUTED_VALUE"""),"menace")</f>
        <v>menace</v>
      </c>
    </row>
    <row r="2263">
      <c r="A2263" s="41" t="str">
        <f>IFERROR(__xludf.DUMMYFUNCTION("""COMPUTED_VALUE"""),"RSC002270")</f>
        <v>RSC002270</v>
      </c>
      <c r="B2263" s="41" t="str">
        <f>IFERROR(__xludf.DUMMYFUNCTION("""COMPUTED_VALUE"""),"ElectricSparx3")</f>
        <v>ElectricSparx3</v>
      </c>
    </row>
    <row r="2264">
      <c r="A2264" s="41" t="str">
        <f>IFERROR(__xludf.DUMMYFUNCTION("""COMPUTED_VALUE"""),"RSC002271")</f>
        <v>RSC002271</v>
      </c>
      <c r="B2264" s="41" t="str">
        <f>IFERROR(__xludf.DUMMYFUNCTION("""COMPUTED_VALUE"""),"Cameron")</f>
        <v>Cameron</v>
      </c>
    </row>
    <row r="2265">
      <c r="A2265" s="41" t="str">
        <f>IFERROR(__xludf.DUMMYFUNCTION("""COMPUTED_VALUE"""),"RSC002272")</f>
        <v>RSC002272</v>
      </c>
      <c r="B2265" s="41" t="str">
        <f>IFERROR(__xludf.DUMMYFUNCTION("""COMPUTED_VALUE"""),"dn")</f>
        <v>dn</v>
      </c>
    </row>
    <row r="2266">
      <c r="A2266" s="41" t="str">
        <f>IFERROR(__xludf.DUMMYFUNCTION("""COMPUTED_VALUE"""),"RSC002273")</f>
        <v>RSC002273</v>
      </c>
      <c r="B2266" s="41" t="str">
        <f>IFERROR(__xludf.DUMMYFUNCTION("""COMPUTED_VALUE"""),"friedgreenbanana")</f>
        <v>friedgreenbanana</v>
      </c>
    </row>
    <row r="2267">
      <c r="A2267" s="41" t="str">
        <f>IFERROR(__xludf.DUMMYFUNCTION("""COMPUTED_VALUE"""),"RSC002274")</f>
        <v>RSC002274</v>
      </c>
      <c r="B2267" s="41" t="str">
        <f>IFERROR(__xludf.DUMMYFUNCTION("""COMPUTED_VALUE"""),"IRunThe2ndGrade")</f>
        <v>IRunThe2ndGrade</v>
      </c>
    </row>
    <row r="2268">
      <c r="A2268" s="41" t="str">
        <f>IFERROR(__xludf.DUMMYFUNCTION("""COMPUTED_VALUE"""),"RSC002275")</f>
        <v>RSC002275</v>
      </c>
      <c r="B2268" s="41" t="str">
        <f>IFERROR(__xludf.DUMMYFUNCTION("""COMPUTED_VALUE"""),"Hoodspith")</f>
        <v>Hoodspith</v>
      </c>
    </row>
    <row r="2269">
      <c r="A2269" s="41" t="str">
        <f>IFERROR(__xludf.DUMMYFUNCTION("""COMPUTED_VALUE"""),"RSC002276")</f>
        <v>RSC002276</v>
      </c>
      <c r="B2269" s="41" t="str">
        <f>IFERROR(__xludf.DUMMYFUNCTION("""COMPUTED_VALUE"""),"zombieツ")</f>
        <v>zombieツ</v>
      </c>
    </row>
    <row r="2270">
      <c r="A2270" s="41" t="str">
        <f>IFERROR(__xludf.DUMMYFUNCTION("""COMPUTED_VALUE"""),"RSC002277")</f>
        <v>RSC002277</v>
      </c>
      <c r="B2270" s="41" t="str">
        <f>IFERROR(__xludf.DUMMYFUNCTION("""COMPUTED_VALUE"""),"Sirp")</f>
        <v>Sirp</v>
      </c>
    </row>
    <row r="2271">
      <c r="A2271" s="41" t="str">
        <f>IFERROR(__xludf.DUMMYFUNCTION("""COMPUTED_VALUE"""),"RSC002278")</f>
        <v>RSC002278</v>
      </c>
      <c r="B2271" s="41" t="str">
        <f>IFERROR(__xludf.DUMMYFUNCTION("""COMPUTED_VALUE"""),"loJiKalRL")</f>
        <v>loJiKalRL</v>
      </c>
    </row>
    <row r="2272">
      <c r="A2272" s="41" t="str">
        <f>IFERROR(__xludf.DUMMYFUNCTION("""COMPUTED_VALUE"""),"RSC002279")</f>
        <v>RSC002279</v>
      </c>
      <c r="B2272" s="41" t="str">
        <f>IFERROR(__xludf.DUMMYFUNCTION("""COMPUTED_VALUE"""),"Bower Got Power")</f>
        <v>Bower Got Power</v>
      </c>
    </row>
    <row r="2273">
      <c r="A2273" s="41" t="str">
        <f>IFERROR(__xludf.DUMMYFUNCTION("""COMPUTED_VALUE"""),"RSC002280")</f>
        <v>RSC002280</v>
      </c>
      <c r="B2273" s="41" t="str">
        <f>IFERROR(__xludf.DUMMYFUNCTION("""COMPUTED_VALUE"""),"thote")</f>
        <v>thote</v>
      </c>
    </row>
    <row r="2274">
      <c r="A2274" s="41" t="str">
        <f>IFERROR(__xludf.DUMMYFUNCTION("""COMPUTED_VALUE"""),"RSC002281")</f>
        <v>RSC002281</v>
      </c>
      <c r="B2274" s="41" t="str">
        <f>IFERROR(__xludf.DUMMYFUNCTION("""COMPUTED_VALUE"""),"Oni_Shem")</f>
        <v>Oni_Shem</v>
      </c>
    </row>
    <row r="2275">
      <c r="A2275" s="41" t="str">
        <f>IFERROR(__xludf.DUMMYFUNCTION("""COMPUTED_VALUE"""),"RSC002282")</f>
        <v>RSC002282</v>
      </c>
      <c r="B2275" s="41" t="str">
        <f>IFERROR(__xludf.DUMMYFUNCTION("""COMPUTED_VALUE"""),"Jope07")</f>
        <v>Jope07</v>
      </c>
    </row>
    <row r="2276">
      <c r="A2276" s="41" t="str">
        <f>IFERROR(__xludf.DUMMYFUNCTION("""COMPUTED_VALUE"""),"RSC002283")</f>
        <v>RSC002283</v>
      </c>
      <c r="B2276" s="41" t="str">
        <f>IFERROR(__xludf.DUMMYFUNCTION("""COMPUTED_VALUE"""),"NohMyGod")</f>
        <v>NohMyGod</v>
      </c>
    </row>
    <row r="2277">
      <c r="A2277" s="41" t="str">
        <f>IFERROR(__xludf.DUMMYFUNCTION("""COMPUTED_VALUE"""),"RSC002284")</f>
        <v>RSC002284</v>
      </c>
      <c r="B2277" s="41" t="str">
        <f>IFERROR(__xludf.DUMMYFUNCTION("""COMPUTED_VALUE"""),"metzra_")</f>
        <v>metzra_</v>
      </c>
    </row>
    <row r="2278">
      <c r="A2278" s="41" t="str">
        <f>IFERROR(__xludf.DUMMYFUNCTION("""COMPUTED_VALUE"""),"RSC002285")</f>
        <v>RSC002285</v>
      </c>
      <c r="B2278" s="41" t="str">
        <f>IFERROR(__xludf.DUMMYFUNCTION("""COMPUTED_VALUE"""),"Tustang")</f>
        <v>Tustang</v>
      </c>
    </row>
    <row r="2279">
      <c r="A2279" s="41" t="str">
        <f>IFERROR(__xludf.DUMMYFUNCTION("""COMPUTED_VALUE"""),"RSC002286")</f>
        <v>RSC002286</v>
      </c>
      <c r="B2279" s="41" t="str">
        <f>IFERROR(__xludf.DUMMYFUNCTION("""COMPUTED_VALUE"""),"Ted")</f>
        <v>Ted</v>
      </c>
    </row>
    <row r="2280">
      <c r="A2280" s="41" t="str">
        <f>IFERROR(__xludf.DUMMYFUNCTION("""COMPUTED_VALUE"""),"RSC002287")</f>
        <v>RSC002287</v>
      </c>
      <c r="B2280" s="41" t="str">
        <f>IFERROR(__xludf.DUMMYFUNCTION("""COMPUTED_VALUE"""),"SPANKZER")</f>
        <v>SPANKZER</v>
      </c>
    </row>
    <row r="2281">
      <c r="A2281" s="41" t="str">
        <f>IFERROR(__xludf.DUMMYFUNCTION("""COMPUTED_VALUE"""),"RSC002288")</f>
        <v>RSC002288</v>
      </c>
      <c r="B2281" s="41" t="str">
        <f>IFERROR(__xludf.DUMMYFUNCTION("""COMPUTED_VALUE"""),"Jake.")</f>
        <v>Jake.</v>
      </c>
    </row>
    <row r="2282">
      <c r="A2282" s="41" t="str">
        <f>IFERROR(__xludf.DUMMYFUNCTION("""COMPUTED_VALUE"""),"RSC002289")</f>
        <v>RSC002289</v>
      </c>
      <c r="B2282" s="41" t="str">
        <f>IFERROR(__xludf.DUMMYFUNCTION("""COMPUTED_VALUE"""),"Chzz")</f>
        <v>Chzz</v>
      </c>
    </row>
    <row r="2283">
      <c r="A2283" s="41" t="str">
        <f>IFERROR(__xludf.DUMMYFUNCTION("""COMPUTED_VALUE"""),"RSC002290")</f>
        <v>RSC002290</v>
      </c>
      <c r="B2283" s="41" t="str">
        <f>IFERROR(__xludf.DUMMYFUNCTION("""COMPUTED_VALUE"""),"notapro192")</f>
        <v>notapro192</v>
      </c>
    </row>
    <row r="2284">
      <c r="A2284" s="41" t="str">
        <f>IFERROR(__xludf.DUMMYFUNCTION("""COMPUTED_VALUE"""),"RSC002291")</f>
        <v>RSC002291</v>
      </c>
      <c r="B2284" s="41" t="str">
        <f>IFERROR(__xludf.DUMMYFUNCTION("""COMPUTED_VALUE"""),"Xp卿")</f>
        <v>Xp卿</v>
      </c>
    </row>
    <row r="2285">
      <c r="A2285" s="41" t="str">
        <f>IFERROR(__xludf.DUMMYFUNCTION("""COMPUTED_VALUE"""),"RSC002292")</f>
        <v>RSC002292</v>
      </c>
      <c r="B2285" s="41" t="str">
        <f>IFERROR(__xludf.DUMMYFUNCTION("""COMPUTED_VALUE"""),"Anna 🖤")</f>
        <v>Anna 🖤</v>
      </c>
    </row>
    <row r="2286">
      <c r="A2286" s="41" t="str">
        <f>IFERROR(__xludf.DUMMYFUNCTION("""COMPUTED_VALUE"""),"RSC002293")</f>
        <v>RSC002293</v>
      </c>
      <c r="B2286" s="41" t="str">
        <f>IFERROR(__xludf.DUMMYFUNCTION("""COMPUTED_VALUE"""),"Corrupt_arrow")</f>
        <v>Corrupt_arrow</v>
      </c>
    </row>
    <row r="2287">
      <c r="A2287" s="41" t="str">
        <f>IFERROR(__xludf.DUMMYFUNCTION("""COMPUTED_VALUE"""),"RSC002294")</f>
        <v>RSC002294</v>
      </c>
      <c r="B2287" s="41" t="str">
        <f>IFERROR(__xludf.DUMMYFUNCTION("""COMPUTED_VALUE"""),"Rozarti")</f>
        <v>Rozarti</v>
      </c>
    </row>
    <row r="2288">
      <c r="A2288" s="41" t="str">
        <f>IFERROR(__xludf.DUMMYFUNCTION("""COMPUTED_VALUE"""),"RSC002295")</f>
        <v>RSC002295</v>
      </c>
      <c r="B2288" s="41" t="str">
        <f>IFERROR(__xludf.DUMMYFUNCTION("""COMPUTED_VALUE"""),"DEMOralize")</f>
        <v>DEMOralize</v>
      </c>
    </row>
    <row r="2289">
      <c r="A2289" s="41" t="str">
        <f>IFERROR(__xludf.DUMMYFUNCTION("""COMPUTED_VALUE"""),"RSC002296")</f>
        <v>RSC002296</v>
      </c>
      <c r="B2289" s="41" t="str">
        <f>IFERROR(__xludf.DUMMYFUNCTION("""COMPUTED_VALUE"""),"Quack")</f>
        <v>Quack</v>
      </c>
    </row>
    <row r="2290">
      <c r="A2290" s="41" t="str">
        <f>IFERROR(__xludf.DUMMYFUNCTION("""COMPUTED_VALUE"""),"RSC002297")</f>
        <v>RSC002297</v>
      </c>
      <c r="B2290" s="41" t="str">
        <f>IFERROR(__xludf.DUMMYFUNCTION("""COMPUTED_VALUE"""),"pH")</f>
        <v>pH</v>
      </c>
    </row>
    <row r="2291">
      <c r="A2291" s="41" t="str">
        <f>IFERROR(__xludf.DUMMYFUNCTION("""COMPUTED_VALUE"""),"RSC002298")</f>
        <v>RSC002298</v>
      </c>
      <c r="B2291" s="41" t="str">
        <f>IFERROR(__xludf.DUMMYFUNCTION("""COMPUTED_VALUE"""),"Neptas")</f>
        <v>Neptas</v>
      </c>
    </row>
    <row r="2292">
      <c r="A2292" s="41" t="str">
        <f>IFERROR(__xludf.DUMMYFUNCTION("""COMPUTED_VALUE"""),"RSC002299")</f>
        <v>RSC002299</v>
      </c>
      <c r="B2292" s="41" t="str">
        <f>IFERROR(__xludf.DUMMYFUNCTION("""COMPUTED_VALUE"""),"gum")</f>
        <v>gum</v>
      </c>
    </row>
    <row r="2293">
      <c r="A2293" s="41" t="str">
        <f>IFERROR(__xludf.DUMMYFUNCTION("""COMPUTED_VALUE"""),"RSC002300")</f>
        <v>RSC002300</v>
      </c>
      <c r="B2293" s="41" t="str">
        <f>IFERROR(__xludf.DUMMYFUNCTION("""COMPUTED_VALUE"""),"waffle")</f>
        <v>waffle</v>
      </c>
    </row>
    <row r="2294">
      <c r="A2294" s="41" t="str">
        <f>IFERROR(__xludf.DUMMYFUNCTION("""COMPUTED_VALUE"""),"RSC002301")</f>
        <v>RSC002301</v>
      </c>
      <c r="B2294" s="41" t="str">
        <f>IFERROR(__xludf.DUMMYFUNCTION("""COMPUTED_VALUE"""),"RaymondPart1")</f>
        <v>RaymondPart1</v>
      </c>
    </row>
    <row r="2295">
      <c r="A2295" s="41" t="str">
        <f>IFERROR(__xludf.DUMMYFUNCTION("""COMPUTED_VALUE"""),"RSC002302")</f>
        <v>RSC002302</v>
      </c>
      <c r="B2295" s="41" t="str">
        <f>IFERROR(__xludf.DUMMYFUNCTION("""COMPUTED_VALUE"""),"Coldshot24-7")</f>
        <v>Coldshot24-7</v>
      </c>
    </row>
    <row r="2296">
      <c r="A2296" s="41" t="str">
        <f>IFERROR(__xludf.DUMMYFUNCTION("""COMPUTED_VALUE"""),"RSC002303")</f>
        <v>RSC002303</v>
      </c>
      <c r="B2296" s="41" t="str">
        <f>IFERROR(__xludf.DUMMYFUNCTION("""COMPUTED_VALUE"""),"Dougy")</f>
        <v>Dougy</v>
      </c>
    </row>
    <row r="2297">
      <c r="A2297" s="41" t="str">
        <f>IFERROR(__xludf.DUMMYFUNCTION("""COMPUTED_VALUE"""),"RSC002304")</f>
        <v>RSC002304</v>
      </c>
      <c r="B2297" s="41" t="str">
        <f>IFERROR(__xludf.DUMMYFUNCTION("""COMPUTED_VALUE"""),"Abszol")</f>
        <v>Abszol</v>
      </c>
    </row>
    <row r="2298">
      <c r="A2298" s="41" t="str">
        <f>IFERROR(__xludf.DUMMYFUNCTION("""COMPUTED_VALUE"""),"RSC002305")</f>
        <v>RSC002305</v>
      </c>
      <c r="B2298" s="41" t="str">
        <f>IFERROR(__xludf.DUMMYFUNCTION("""COMPUTED_VALUE"""),"Moose-182")</f>
        <v>Moose-182</v>
      </c>
    </row>
    <row r="2299">
      <c r="A2299" s="41" t="str">
        <f>IFERROR(__xludf.DUMMYFUNCTION("""COMPUTED_VALUE"""),"RSC002306")</f>
        <v>RSC002306</v>
      </c>
      <c r="B2299" s="41" t="str">
        <f>IFERROR(__xludf.DUMMYFUNCTION("""COMPUTED_VALUE"""),"Das Fork")</f>
        <v>Das Fork</v>
      </c>
    </row>
    <row r="2300">
      <c r="A2300" s="41" t="str">
        <f>IFERROR(__xludf.DUMMYFUNCTION("""COMPUTED_VALUE"""),"RSC002307")</f>
        <v>RSC002307</v>
      </c>
      <c r="B2300" s="41" t="str">
        <f>IFERROR(__xludf.DUMMYFUNCTION("""COMPUTED_VALUE"""),"ehsanul")</f>
        <v>ehsanul</v>
      </c>
    </row>
    <row r="2301">
      <c r="A2301" s="41" t="str">
        <f>IFERROR(__xludf.DUMMYFUNCTION("""COMPUTED_VALUE"""),"RSC002308")</f>
        <v>RSC002308</v>
      </c>
      <c r="B2301" s="41" t="str">
        <f>IFERROR(__xludf.DUMMYFUNCTION("""COMPUTED_VALUE"""),"Quaice")</f>
        <v>Quaice</v>
      </c>
    </row>
    <row r="2302">
      <c r="A2302" s="41" t="str">
        <f>IFERROR(__xludf.DUMMYFUNCTION("""COMPUTED_VALUE"""),"RSC002309")</f>
        <v>RSC002309</v>
      </c>
      <c r="B2302" s="41" t="str">
        <f>IFERROR(__xludf.DUMMYFUNCTION("""COMPUTED_VALUE"""),"Jovenn")</f>
        <v>Jovenn</v>
      </c>
    </row>
    <row r="2303">
      <c r="A2303" s="41" t="str">
        <f>IFERROR(__xludf.DUMMYFUNCTION("""COMPUTED_VALUE"""),"RSC002310")</f>
        <v>RSC002310</v>
      </c>
      <c r="B2303" s="41" t="str">
        <f>IFERROR(__xludf.DUMMYFUNCTION("""COMPUTED_VALUE"""),"Coach_Cartier")</f>
        <v>Coach_Cartier</v>
      </c>
    </row>
    <row r="2304">
      <c r="A2304" s="41" t="str">
        <f>IFERROR(__xludf.DUMMYFUNCTION("""COMPUTED_VALUE"""),"RSC002311")</f>
        <v>RSC002311</v>
      </c>
      <c r="B2304" s="41" t="str">
        <f>IFERROR(__xludf.DUMMYFUNCTION("""COMPUTED_VALUE"""),"CriimsonTide24")</f>
        <v>CriimsonTide24</v>
      </c>
    </row>
    <row r="2305">
      <c r="A2305" s="41" t="str">
        <f>IFERROR(__xludf.DUMMYFUNCTION("""COMPUTED_VALUE"""),"RSC002312")</f>
        <v>RSC002312</v>
      </c>
      <c r="B2305" s="41" t="str">
        <f>IFERROR(__xludf.DUMMYFUNCTION("""COMPUTED_VALUE"""),"Lucas Roy")</f>
        <v>Lucas Roy</v>
      </c>
    </row>
    <row r="2306">
      <c r="A2306" s="41" t="str">
        <f>IFERROR(__xludf.DUMMYFUNCTION("""COMPUTED_VALUE"""),"RSC002313")</f>
        <v>RSC002313</v>
      </c>
      <c r="B2306" s="41" t="str">
        <f>IFERROR(__xludf.DUMMYFUNCTION("""COMPUTED_VALUE"""),"galico")</f>
        <v>galico</v>
      </c>
    </row>
    <row r="2307">
      <c r="A2307" s="41" t="str">
        <f>IFERROR(__xludf.DUMMYFUNCTION("""COMPUTED_VALUE"""),"RSC002314")</f>
        <v>RSC002314</v>
      </c>
      <c r="B2307" s="41" t="str">
        <f>IFERROR(__xludf.DUMMYFUNCTION("""COMPUTED_VALUE"""),"Imposs")</f>
        <v>Imposs</v>
      </c>
    </row>
    <row r="2308">
      <c r="A2308" s="41" t="str">
        <f>IFERROR(__xludf.DUMMYFUNCTION("""COMPUTED_VALUE"""),"RSC002315")</f>
        <v>RSC002315</v>
      </c>
      <c r="B2308" s="41" t="str">
        <f>IFERROR(__xludf.DUMMYFUNCTION("""COMPUTED_VALUE"""),"FishingForLuckys")</f>
        <v>FishingForLuckys</v>
      </c>
    </row>
    <row r="2309">
      <c r="A2309" s="41" t="str">
        <f>IFERROR(__xludf.DUMMYFUNCTION("""COMPUTED_VALUE"""),"RSC002316")</f>
        <v>RSC002316</v>
      </c>
      <c r="B2309" s="41" t="str">
        <f>IFERROR(__xludf.DUMMYFUNCTION("""COMPUTED_VALUE"""),"Powellkameha")</f>
        <v>Powellkameha</v>
      </c>
    </row>
    <row r="2310">
      <c r="A2310" s="41" t="str">
        <f>IFERROR(__xludf.DUMMYFUNCTION("""COMPUTED_VALUE"""),"RSC002317")</f>
        <v>RSC002317</v>
      </c>
      <c r="B2310" s="41" t="str">
        <f>IFERROR(__xludf.DUMMYFUNCTION("""COMPUTED_VALUE"""),"Booq")</f>
        <v>Booq</v>
      </c>
    </row>
    <row r="2311">
      <c r="A2311" s="41" t="str">
        <f>IFERROR(__xludf.DUMMYFUNCTION("""COMPUTED_VALUE"""),"RSC002318")</f>
        <v>RSC002318</v>
      </c>
      <c r="B2311" s="41" t="str">
        <f>IFERROR(__xludf.DUMMYFUNCTION("""COMPUTED_VALUE"""),"langille_21")</f>
        <v>langille_21</v>
      </c>
    </row>
    <row r="2312">
      <c r="A2312" s="41" t="str">
        <f>IFERROR(__xludf.DUMMYFUNCTION("""COMPUTED_VALUE"""),"RSC002319")</f>
        <v>RSC002319</v>
      </c>
      <c r="B2312" s="41" t="str">
        <f>IFERROR(__xludf.DUMMYFUNCTION("""COMPUTED_VALUE"""),"Chenley")</f>
        <v>Chenley</v>
      </c>
    </row>
    <row r="2313">
      <c r="A2313" s="41" t="str">
        <f>IFERROR(__xludf.DUMMYFUNCTION("""COMPUTED_VALUE"""),"RSC002320")</f>
        <v>RSC002320</v>
      </c>
      <c r="B2313" s="41" t="str">
        <f>IFERROR(__xludf.DUMMYFUNCTION("""COMPUTED_VALUE"""),"JoeExotic")</f>
        <v>JoeExotic</v>
      </c>
    </row>
    <row r="2314">
      <c r="A2314" s="41" t="str">
        <f>IFERROR(__xludf.DUMMYFUNCTION("""COMPUTED_VALUE"""),"RSC002321")</f>
        <v>RSC002321</v>
      </c>
      <c r="B2314" s="41" t="str">
        <f>IFERROR(__xludf.DUMMYFUNCTION("""COMPUTED_VALUE"""),"Squintle")</f>
        <v>Squintle</v>
      </c>
    </row>
    <row r="2315">
      <c r="A2315" s="41" t="str">
        <f>IFERROR(__xludf.DUMMYFUNCTION("""COMPUTED_VALUE"""),"RSC002322")</f>
        <v>RSC002322</v>
      </c>
      <c r="B2315" s="41" t="str">
        <f>IFERROR(__xludf.DUMMYFUNCTION("""COMPUTED_VALUE"""),"threeg40")</f>
        <v>threeg40</v>
      </c>
    </row>
    <row r="2316">
      <c r="A2316" s="41" t="str">
        <f>IFERROR(__xludf.DUMMYFUNCTION("""COMPUTED_VALUE"""),"RSC002323")</f>
        <v>RSC002323</v>
      </c>
      <c r="B2316" s="41" t="str">
        <f>IFERROR(__xludf.DUMMYFUNCTION("""COMPUTED_VALUE"""),"Sloth (change)")</f>
        <v>Sloth (change)</v>
      </c>
    </row>
    <row r="2317">
      <c r="A2317" s="41" t="str">
        <f>IFERROR(__xludf.DUMMYFUNCTION("""COMPUTED_VALUE"""),"RSC002324")</f>
        <v>RSC002324</v>
      </c>
      <c r="B2317" s="41" t="str">
        <f>IFERROR(__xludf.DUMMYFUNCTION("""COMPUTED_VALUE"""),"CHAZZtheDR")</f>
        <v>CHAZZtheDR</v>
      </c>
    </row>
    <row r="2318">
      <c r="A2318" s="41" t="str">
        <f>IFERROR(__xludf.DUMMYFUNCTION("""COMPUTED_VALUE"""),"RSC002325")</f>
        <v>RSC002325</v>
      </c>
      <c r="B2318" s="41" t="str">
        <f>IFERROR(__xludf.DUMMYFUNCTION("""COMPUTED_VALUE"""),"r2daniel2")</f>
        <v>r2daniel2</v>
      </c>
    </row>
    <row r="2319">
      <c r="A2319" s="41" t="str">
        <f>IFERROR(__xludf.DUMMYFUNCTION("""COMPUTED_VALUE"""),"RSC002326")</f>
        <v>RSC002326</v>
      </c>
      <c r="B2319" s="41" t="str">
        <f>IFERROR(__xludf.DUMMYFUNCTION("""COMPUTED_VALUE"""),"Crimslice")</f>
        <v>Crimslice</v>
      </c>
    </row>
    <row r="2320">
      <c r="A2320" s="41" t="str">
        <f>IFERROR(__xludf.DUMMYFUNCTION("""COMPUTED_VALUE"""),"RSC002327")</f>
        <v>RSC002327</v>
      </c>
      <c r="B2320" s="41" t="str">
        <f>IFERROR(__xludf.DUMMYFUNCTION("""COMPUTED_VALUE"""),"MrFruitzy")</f>
        <v>MrFruitzy</v>
      </c>
    </row>
    <row r="2321">
      <c r="A2321" s="41" t="str">
        <f>IFERROR(__xludf.DUMMYFUNCTION("""COMPUTED_VALUE"""),"RSC002328")</f>
        <v>RSC002328</v>
      </c>
      <c r="B2321" s="41" t="str">
        <f>IFERROR(__xludf.DUMMYFUNCTION("""COMPUTED_VALUE"""),"Trudsky")</f>
        <v>Trudsky</v>
      </c>
    </row>
    <row r="2322">
      <c r="A2322" s="41" t="str">
        <f>IFERROR(__xludf.DUMMYFUNCTION("""COMPUTED_VALUE"""),"RSC002329")</f>
        <v>RSC002329</v>
      </c>
      <c r="B2322" s="41" t="str">
        <f>IFERROR(__xludf.DUMMYFUNCTION("""COMPUTED_VALUE"""),"LilCheetus")</f>
        <v>LilCheetus</v>
      </c>
    </row>
    <row r="2323">
      <c r="A2323" s="41" t="str">
        <f>IFERROR(__xludf.DUMMYFUNCTION("""COMPUTED_VALUE"""),"RSC002330")</f>
        <v>RSC002330</v>
      </c>
      <c r="B2323" s="41" t="str">
        <f>IFERROR(__xludf.DUMMYFUNCTION("""COMPUTED_VALUE"""),"JesterGG")</f>
        <v>JesterGG</v>
      </c>
    </row>
    <row r="2324">
      <c r="A2324" s="41" t="str">
        <f>IFERROR(__xludf.DUMMYFUNCTION("""COMPUTED_VALUE"""),"RSC002331")</f>
        <v>RSC002331</v>
      </c>
      <c r="B2324" s="41" t="str">
        <f>IFERROR(__xludf.DUMMYFUNCTION("""COMPUTED_VALUE"""),"Tysyphony")</f>
        <v>Tysyphony</v>
      </c>
    </row>
    <row r="2325">
      <c r="A2325" s="41" t="str">
        <f>IFERROR(__xludf.DUMMYFUNCTION("""COMPUTED_VALUE"""),"RSC002332")</f>
        <v>RSC002332</v>
      </c>
      <c r="B2325" s="41" t="str">
        <f>IFERROR(__xludf.DUMMYFUNCTION("""COMPUTED_VALUE"""),"Wespyyy")</f>
        <v>Wespyyy</v>
      </c>
    </row>
    <row r="2326">
      <c r="A2326" s="41" t="str">
        <f>IFERROR(__xludf.DUMMYFUNCTION("""COMPUTED_VALUE"""),"RSC002333")</f>
        <v>RSC002333</v>
      </c>
      <c r="B2326" s="41" t="str">
        <f>IFERROR(__xludf.DUMMYFUNCTION("""COMPUTED_VALUE"""),"OwlsWind")</f>
        <v>OwlsWind</v>
      </c>
    </row>
    <row r="2327">
      <c r="A2327" s="41" t="str">
        <f>IFERROR(__xludf.DUMMYFUNCTION("""COMPUTED_VALUE"""),"RSC002334")</f>
        <v>RSC002334</v>
      </c>
      <c r="B2327" s="41" t="str">
        <f>IFERROR(__xludf.DUMMYFUNCTION("""COMPUTED_VALUE"""),"hyper.")</f>
        <v>hyper.</v>
      </c>
    </row>
    <row r="2328">
      <c r="A2328" s="41" t="str">
        <f>IFERROR(__xludf.DUMMYFUNCTION("""COMPUTED_VALUE"""),"RSC002335")</f>
        <v>RSC002335</v>
      </c>
      <c r="B2328" s="41" t="str">
        <f>IFERROR(__xludf.DUMMYFUNCTION("""COMPUTED_VALUE"""),"Jiggy Watt")</f>
        <v>Jiggy Watt</v>
      </c>
    </row>
    <row r="2329">
      <c r="A2329" s="41" t="str">
        <f>IFERROR(__xludf.DUMMYFUNCTION("""COMPUTED_VALUE"""),"RSC002336")</f>
        <v>RSC002336</v>
      </c>
      <c r="B2329" s="41" t="str">
        <f>IFERROR(__xludf.DUMMYFUNCTION("""COMPUTED_VALUE"""),"Chrisb")</f>
        <v>Chrisb</v>
      </c>
    </row>
    <row r="2330">
      <c r="A2330" s="41" t="str">
        <f>IFERROR(__xludf.DUMMYFUNCTION("""COMPUTED_VALUE"""),"RSC002337")</f>
        <v>RSC002337</v>
      </c>
      <c r="B2330" s="41" t="str">
        <f>IFERROR(__xludf.DUMMYFUNCTION("""COMPUTED_VALUE"""),"Pretty")</f>
        <v>Pretty</v>
      </c>
    </row>
    <row r="2331">
      <c r="A2331" s="41" t="str">
        <f>IFERROR(__xludf.DUMMYFUNCTION("""COMPUTED_VALUE"""),"RSC002338")</f>
        <v>RSC002338</v>
      </c>
      <c r="B2331" s="41" t="str">
        <f>IFERROR(__xludf.DUMMYFUNCTION("""COMPUTED_VALUE"""),"ACoyote919")</f>
        <v>ACoyote919</v>
      </c>
    </row>
    <row r="2332">
      <c r="A2332" s="41" t="str">
        <f>IFERROR(__xludf.DUMMYFUNCTION("""COMPUTED_VALUE"""),"RSC002339")</f>
        <v>RSC002339</v>
      </c>
      <c r="B2332" s="41" t="str">
        <f>IFERROR(__xludf.DUMMYFUNCTION("""COMPUTED_VALUE"""),"Noah-NAME_STOLEN")</f>
        <v>Noah-NAME_STOLEN</v>
      </c>
    </row>
    <row r="2333">
      <c r="A2333" s="41" t="str">
        <f>IFERROR(__xludf.DUMMYFUNCTION("""COMPUTED_VALUE"""),"RSC002340")</f>
        <v>RSC002340</v>
      </c>
      <c r="B2333" s="41" t="str">
        <f>IFERROR(__xludf.DUMMYFUNCTION("""COMPUTED_VALUE"""),"cotton hat")</f>
        <v>cotton hat</v>
      </c>
    </row>
    <row r="2334">
      <c r="A2334" s="41" t="str">
        <f>IFERROR(__xludf.DUMMYFUNCTION("""COMPUTED_VALUE"""),"RSC002341")</f>
        <v>RSC002341</v>
      </c>
      <c r="B2334" s="41" t="str">
        <f>IFERROR(__xludf.DUMMYFUNCTION("""COMPUTED_VALUE"""),"FlexibleDuke484")</f>
        <v>FlexibleDuke484</v>
      </c>
    </row>
    <row r="2335">
      <c r="A2335" s="41" t="str">
        <f>IFERROR(__xludf.DUMMYFUNCTION("""COMPUTED_VALUE"""),"RSC002342")</f>
        <v>RSC002342</v>
      </c>
      <c r="B2335" s="41" t="str">
        <f>IFERROR(__xludf.DUMMYFUNCTION("""COMPUTED_VALUE"""),"FlYetti")</f>
        <v>FlYetti</v>
      </c>
    </row>
    <row r="2336">
      <c r="A2336" s="41" t="str">
        <f>IFERROR(__xludf.DUMMYFUNCTION("""COMPUTED_VALUE"""),"RSC002343")</f>
        <v>RSC002343</v>
      </c>
      <c r="B2336" s="41" t="str">
        <f>IFERROR(__xludf.DUMMYFUNCTION("""COMPUTED_VALUE"""),"inedibledoe352")</f>
        <v>inedibledoe352</v>
      </c>
    </row>
    <row r="2337">
      <c r="A2337" s="41" t="str">
        <f>IFERROR(__xludf.DUMMYFUNCTION("""COMPUTED_VALUE"""),"RSC002344")</f>
        <v>RSC002344</v>
      </c>
      <c r="B2337" s="41" t="str">
        <f>IFERROR(__xludf.DUMMYFUNCTION("""COMPUTED_VALUE"""),"Soccerdash")</f>
        <v>Soccerdash</v>
      </c>
    </row>
    <row r="2338">
      <c r="A2338" s="41" t="str">
        <f>IFERROR(__xludf.DUMMYFUNCTION("""COMPUTED_VALUE"""),"RSC002345")</f>
        <v>RSC002345</v>
      </c>
      <c r="B2338" s="41" t="str">
        <f>IFERROR(__xludf.DUMMYFUNCTION("""COMPUTED_VALUE"""),"BiddlDiddlWiddl")</f>
        <v>BiddlDiddlWiddl</v>
      </c>
    </row>
    <row r="2339">
      <c r="A2339" s="41" t="str">
        <f>IFERROR(__xludf.DUMMYFUNCTION("""COMPUTED_VALUE"""),"RSC002346")</f>
        <v>RSC002346</v>
      </c>
      <c r="B2339" s="41" t="str">
        <f>IFERROR(__xludf.DUMMYFUNCTION("""COMPUTED_VALUE"""),"PNASTY")</f>
        <v>PNASTY</v>
      </c>
    </row>
    <row r="2340">
      <c r="A2340" s="41" t="str">
        <f>IFERROR(__xludf.DUMMYFUNCTION("""COMPUTED_VALUE"""),"RSC002347")</f>
        <v>RSC002347</v>
      </c>
      <c r="B2340" s="41" t="str">
        <f>IFERROR(__xludf.DUMMYFUNCTION("""COMPUTED_VALUE"""),"ThyCallMeSaturn")</f>
        <v>ThyCallMeSaturn</v>
      </c>
    </row>
    <row r="2341">
      <c r="A2341" s="41" t="str">
        <f>IFERROR(__xludf.DUMMYFUNCTION("""COMPUTED_VALUE"""),"RSC002348")</f>
        <v>RSC002348</v>
      </c>
      <c r="B2341" s="41" t="str">
        <f>IFERROR(__xludf.DUMMYFUNCTION("""COMPUTED_VALUE"""),"xL3GIITJOK3R07")</f>
        <v>xL3GIITJOK3R07</v>
      </c>
    </row>
    <row r="2342">
      <c r="A2342" s="41" t="str">
        <f>IFERROR(__xludf.DUMMYFUNCTION("""COMPUTED_VALUE"""),"RSC002349")</f>
        <v>RSC002349</v>
      </c>
      <c r="B2342" s="41" t="str">
        <f>IFERROR(__xludf.DUMMYFUNCTION("""COMPUTED_VALUE"""),"Pooketh")</f>
        <v>Pooketh</v>
      </c>
    </row>
    <row r="2343">
      <c r="A2343" s="41" t="str">
        <f>IFERROR(__xludf.DUMMYFUNCTION("""COMPUTED_VALUE"""),"RSC002350")</f>
        <v>RSC002350</v>
      </c>
      <c r="B2343" s="41" t="str">
        <f>IFERROR(__xludf.DUMMYFUNCTION("""COMPUTED_VALUE"""),"nacho")</f>
        <v>nacho</v>
      </c>
    </row>
    <row r="2344">
      <c r="A2344" s="41" t="str">
        <f>IFERROR(__xludf.DUMMYFUNCTION("""COMPUTED_VALUE"""),"RSC002351")</f>
        <v>RSC002351</v>
      </c>
      <c r="B2344" s="41" t="str">
        <f>IFERROR(__xludf.DUMMYFUNCTION("""COMPUTED_VALUE"""),"SLAPPY Os")</f>
        <v>SLAPPY Os</v>
      </c>
    </row>
    <row r="2345">
      <c r="A2345" s="41" t="str">
        <f>IFERROR(__xludf.DUMMYFUNCTION("""COMPUTED_VALUE"""),"RSC002352")</f>
        <v>RSC002352</v>
      </c>
      <c r="B2345" s="41" t="str">
        <f>IFERROR(__xludf.DUMMYFUNCTION("""COMPUTED_VALUE"""),"Sheepy")</f>
        <v>Sheepy</v>
      </c>
    </row>
    <row r="2346">
      <c r="A2346" s="41" t="str">
        <f>IFERROR(__xludf.DUMMYFUNCTION("""COMPUTED_VALUE"""),"RSC002353")</f>
        <v>RSC002353</v>
      </c>
      <c r="B2346" s="41" t="str">
        <f>IFERROR(__xludf.DUMMYFUNCTION("""COMPUTED_VALUE"""),"Atomic HC")</f>
        <v>Atomic HC</v>
      </c>
    </row>
    <row r="2347">
      <c r="A2347" s="41" t="str">
        <f>IFERROR(__xludf.DUMMYFUNCTION("""COMPUTED_VALUE"""),"RSC002354")</f>
        <v>RSC002354</v>
      </c>
      <c r="B2347" s="41" t="str">
        <f>IFERROR(__xludf.DUMMYFUNCTION("""COMPUTED_VALUE"""),"aresofsparta1")</f>
        <v>aresofsparta1</v>
      </c>
    </row>
    <row r="2348">
      <c r="A2348" s="41" t="str">
        <f>IFERROR(__xludf.DUMMYFUNCTION("""COMPUTED_VALUE"""),"RSC002355")</f>
        <v>RSC002355</v>
      </c>
      <c r="B2348" s="41" t="str">
        <f>IFERROR(__xludf.DUMMYFUNCTION("""COMPUTED_VALUE"""),"NightFire™")</f>
        <v>NightFire™</v>
      </c>
    </row>
    <row r="2349">
      <c r="A2349" s="41" t="str">
        <f>IFERROR(__xludf.DUMMYFUNCTION("""COMPUTED_VALUE"""),"RSC002356")</f>
        <v>RSC002356</v>
      </c>
      <c r="B2349" s="41" t="str">
        <f>IFERROR(__xludf.DUMMYFUNCTION("""COMPUTED_VALUE"""),"My GF Mad At Me")</f>
        <v>My GF Mad At Me</v>
      </c>
    </row>
    <row r="2350">
      <c r="A2350" s="41" t="str">
        <f>IFERROR(__xludf.DUMMYFUNCTION("""COMPUTED_VALUE"""),"RSC002357")</f>
        <v>RSC002357</v>
      </c>
      <c r="B2350" s="41" t="str">
        <f>IFERROR(__xludf.DUMMYFUNCTION("""COMPUTED_VALUE"""),"Bieles")</f>
        <v>Bieles</v>
      </c>
    </row>
    <row r="2351">
      <c r="A2351" s="41" t="str">
        <f>IFERROR(__xludf.DUMMYFUNCTION("""COMPUTED_VALUE"""),"RSC002358")</f>
        <v>RSC002358</v>
      </c>
      <c r="B2351" s="41" t="str">
        <f>IFERROR(__xludf.DUMMYFUNCTION("""COMPUTED_VALUE"""),"Eye_SleepyTTV")</f>
        <v>Eye_SleepyTTV</v>
      </c>
    </row>
    <row r="2352">
      <c r="A2352" s="41" t="str">
        <f>IFERROR(__xludf.DUMMYFUNCTION("""COMPUTED_VALUE"""),"RSC002359")</f>
        <v>RSC002359</v>
      </c>
      <c r="B2352" s="41" t="str">
        <f>IFERROR(__xludf.DUMMYFUNCTION("""COMPUTED_VALUE"""),"lilgavin92912")</f>
        <v>lilgavin92912</v>
      </c>
    </row>
    <row r="2353">
      <c r="A2353" s="41" t="str">
        <f>IFERROR(__xludf.DUMMYFUNCTION("""COMPUTED_VALUE"""),"RSC002360")</f>
        <v>RSC002360</v>
      </c>
      <c r="B2353" s="41" t="str">
        <f>IFERROR(__xludf.DUMMYFUNCTION("""COMPUTED_VALUE"""),"DickSocks")</f>
        <v>DickSocks</v>
      </c>
    </row>
    <row r="2354">
      <c r="A2354" s="41" t="str">
        <f>IFERROR(__xludf.DUMMYFUNCTION("""COMPUTED_VALUE"""),"RSC002361")</f>
        <v>RSC002361</v>
      </c>
      <c r="B2354" s="41" t="str">
        <f>IFERROR(__xludf.DUMMYFUNCTION("""COMPUTED_VALUE"""),"chadeu")</f>
        <v>chadeu</v>
      </c>
    </row>
    <row r="2355">
      <c r="A2355" s="41" t="str">
        <f>IFERROR(__xludf.DUMMYFUNCTION("""COMPUTED_VALUE"""),"RSC002362")</f>
        <v>RSC002362</v>
      </c>
      <c r="B2355" s="41" t="str">
        <f>IFERROR(__xludf.DUMMYFUNCTION("""COMPUTED_VALUE"""),"teriyakichild")</f>
        <v>teriyakichild</v>
      </c>
    </row>
    <row r="2356">
      <c r="A2356" s="41" t="str">
        <f>IFERROR(__xludf.DUMMYFUNCTION("""COMPUTED_VALUE"""),"RSC002363")</f>
        <v>RSC002363</v>
      </c>
      <c r="B2356" s="41" t="str">
        <f>IFERROR(__xludf.DUMMYFUNCTION("""COMPUTED_VALUE"""),"rpetro39")</f>
        <v>rpetro39</v>
      </c>
    </row>
    <row r="2357">
      <c r="A2357" s="41" t="str">
        <f>IFERROR(__xludf.DUMMYFUNCTION("""COMPUTED_VALUE"""),"RSC002364")</f>
        <v>RSC002364</v>
      </c>
      <c r="B2357" s="41" t="str">
        <f>IFERROR(__xludf.DUMMYFUNCTION("""COMPUTED_VALUE"""),"ToxicMellow_00")</f>
        <v>ToxicMellow_00</v>
      </c>
    </row>
    <row r="2358">
      <c r="A2358" s="41" t="str">
        <f>IFERROR(__xludf.DUMMYFUNCTION("""COMPUTED_VALUE"""),"RSC002365")</f>
        <v>RSC002365</v>
      </c>
      <c r="B2358" s="41" t="str">
        <f>IFERROR(__xludf.DUMMYFUNCTION("""COMPUTED_VALUE"""),"thatoneguy09")</f>
        <v>thatoneguy09</v>
      </c>
    </row>
    <row r="2359">
      <c r="A2359" s="41" t="str">
        <f>IFERROR(__xludf.DUMMYFUNCTION("""COMPUTED_VALUE"""),"RSC002366")</f>
        <v>RSC002366</v>
      </c>
      <c r="B2359" s="41" t="str">
        <f>IFERROR(__xludf.DUMMYFUNCTION("""COMPUTED_VALUE"""),"RayOuttaNowhere")</f>
        <v>RayOuttaNowhere</v>
      </c>
    </row>
    <row r="2360">
      <c r="A2360" s="41" t="str">
        <f>IFERROR(__xludf.DUMMYFUNCTION("""COMPUTED_VALUE"""),"RSC002367")</f>
        <v>RSC002367</v>
      </c>
      <c r="B2360" s="41" t="str">
        <f>IFERROR(__xludf.DUMMYFUNCTION("""COMPUTED_VALUE"""),"Yes")</f>
        <v>Yes</v>
      </c>
    </row>
    <row r="2361">
      <c r="A2361" s="41" t="str">
        <f>IFERROR(__xludf.DUMMYFUNCTION("""COMPUTED_VALUE"""),"RSC002368")</f>
        <v>RSC002368</v>
      </c>
      <c r="B2361" s="41" t="str">
        <f>IFERROR(__xludf.DUMMYFUNCTION("""COMPUTED_VALUE"""),"Nastyn8dawg95")</f>
        <v>Nastyn8dawg95</v>
      </c>
    </row>
    <row r="2362">
      <c r="A2362" s="41" t="str">
        <f>IFERROR(__xludf.DUMMYFUNCTION("""COMPUTED_VALUE"""),"RSC002369")</f>
        <v>RSC002369</v>
      </c>
      <c r="B2362" s="41" t="str">
        <f>IFERROR(__xludf.DUMMYFUNCTION("""COMPUTED_VALUE"""),"Gunna")</f>
        <v>Gunna</v>
      </c>
    </row>
    <row r="2363">
      <c r="A2363" s="41" t="str">
        <f>IFERROR(__xludf.DUMMYFUNCTION("""COMPUTED_VALUE"""),"RSC002370")</f>
        <v>RSC002370</v>
      </c>
      <c r="B2363" s="41" t="str">
        <f>IFERROR(__xludf.DUMMYFUNCTION("""COMPUTED_VALUE"""),"PC Principal")</f>
        <v>PC Principal</v>
      </c>
    </row>
    <row r="2364">
      <c r="A2364" s="41" t="str">
        <f>IFERROR(__xludf.DUMMYFUNCTION("""COMPUTED_VALUE"""),"RSC002371")</f>
        <v>RSC002371</v>
      </c>
      <c r="B2364" s="41" t="str">
        <f>IFERROR(__xludf.DUMMYFUNCTION("""COMPUTED_VALUE"""),"Rocksox")</f>
        <v>Rocksox</v>
      </c>
    </row>
    <row r="2365">
      <c r="A2365" s="41" t="str">
        <f>IFERROR(__xludf.DUMMYFUNCTION("""COMPUTED_VALUE"""),"RSC002372")</f>
        <v>RSC002372</v>
      </c>
      <c r="B2365" s="41" t="str">
        <f>IFERROR(__xludf.DUMMYFUNCTION("""COMPUTED_VALUE"""),"Slimpys")</f>
        <v>Slimpys</v>
      </c>
    </row>
    <row r="2366">
      <c r="A2366" s="41" t="str">
        <f>IFERROR(__xludf.DUMMYFUNCTION("""COMPUTED_VALUE"""),"RSC002373")</f>
        <v>RSC002373</v>
      </c>
      <c r="B2366" s="41" t="str">
        <f>IFERROR(__xludf.DUMMYFUNCTION("""COMPUTED_VALUE"""),"Alex_YMB")</f>
        <v>Alex_YMB</v>
      </c>
    </row>
    <row r="2367">
      <c r="A2367" s="41" t="str">
        <f>IFERROR(__xludf.DUMMYFUNCTION("""COMPUTED_VALUE"""),"RSC002374")</f>
        <v>RSC002374</v>
      </c>
      <c r="B2367" s="41" t="str">
        <f>IFERROR(__xludf.DUMMYFUNCTION("""COMPUTED_VALUE"""),"ZachPec")</f>
        <v>ZachPec</v>
      </c>
    </row>
    <row r="2368">
      <c r="A2368" s="41" t="str">
        <f>IFERROR(__xludf.DUMMYFUNCTION("""COMPUTED_VALUE"""),"RSC002375")</f>
        <v>RSC002375</v>
      </c>
      <c r="B2368" s="41" t="str">
        <f>IFERROR(__xludf.DUMMYFUNCTION("""COMPUTED_VALUE"""),"MustangBama")</f>
        <v>MustangBama</v>
      </c>
    </row>
    <row r="2369">
      <c r="A2369" s="41" t="str">
        <f>IFERROR(__xludf.DUMMYFUNCTION("""COMPUTED_VALUE"""),"RSC002376")</f>
        <v>RSC002376</v>
      </c>
      <c r="B2369" s="41" t="str">
        <f>IFERROR(__xludf.DUMMYFUNCTION("""COMPUTED_VALUE"""),"Logs2828")</f>
        <v>Logs2828</v>
      </c>
    </row>
    <row r="2370">
      <c r="A2370" s="41" t="str">
        <f>IFERROR(__xludf.DUMMYFUNCTION("""COMPUTED_VALUE"""),"RSC002377")</f>
        <v>RSC002377</v>
      </c>
      <c r="B2370" s="41" t="str">
        <f>IFERROR(__xludf.DUMMYFUNCTION("""COMPUTED_VALUE"""),"TickleMePewn")</f>
        <v>TickleMePewn</v>
      </c>
    </row>
    <row r="2371">
      <c r="A2371" s="41" t="str">
        <f>IFERROR(__xludf.DUMMYFUNCTION("""COMPUTED_VALUE"""),"RSC002378")</f>
        <v>RSC002378</v>
      </c>
      <c r="B2371" s="41" t="str">
        <f>IFERROR(__xludf.DUMMYFUNCTION("""COMPUTED_VALUE"""),"TickleMeGains")</f>
        <v>TickleMeGains</v>
      </c>
    </row>
    <row r="2372">
      <c r="A2372" s="41" t="str">
        <f>IFERROR(__xludf.DUMMYFUNCTION("""COMPUTED_VALUE"""),"RSC002379")</f>
        <v>RSC002379</v>
      </c>
      <c r="B2372" s="41" t="str">
        <f>IFERROR(__xludf.DUMMYFUNCTION("""COMPUTED_VALUE"""),"XxTalonxX")</f>
        <v>XxTalonxX</v>
      </c>
    </row>
    <row r="2373">
      <c r="A2373" s="41" t="str">
        <f>IFERROR(__xludf.DUMMYFUNCTION("""COMPUTED_VALUE"""),"RSC002380")</f>
        <v>RSC002380</v>
      </c>
      <c r="B2373" s="41" t="str">
        <f>IFERROR(__xludf.DUMMYFUNCTION("""COMPUTED_VALUE"""),"Aldous")</f>
        <v>Aldous</v>
      </c>
    </row>
    <row r="2374">
      <c r="A2374" s="41" t="str">
        <f>IFERROR(__xludf.DUMMYFUNCTION("""COMPUTED_VALUE"""),"RSC002381")</f>
        <v>RSC002381</v>
      </c>
      <c r="B2374" s="41" t="str">
        <f>IFERROR(__xludf.DUMMYFUNCTION("""COMPUTED_VALUE"""),"Cisco")</f>
        <v>Cisco</v>
      </c>
    </row>
    <row r="2375">
      <c r="A2375" s="41" t="str">
        <f>IFERROR(__xludf.DUMMYFUNCTION("""COMPUTED_VALUE"""),"RSC002382")</f>
        <v>RSC002382</v>
      </c>
      <c r="B2375" s="41" t="str">
        <f>IFERROR(__xludf.DUMMYFUNCTION("""COMPUTED_VALUE"""),"TickleMeLucky")</f>
        <v>TickleMeLucky</v>
      </c>
    </row>
    <row r="2376">
      <c r="A2376" s="41" t="str">
        <f>IFERROR(__xludf.DUMMYFUNCTION("""COMPUTED_VALUE"""),"RSC002383")</f>
        <v>RSC002383</v>
      </c>
      <c r="B2376" s="41" t="str">
        <f>IFERROR(__xludf.DUMMYFUNCTION("""COMPUTED_VALUE"""),"ABSpirit")</f>
        <v>ABSpirit</v>
      </c>
    </row>
    <row r="2377">
      <c r="A2377" s="41" t="str">
        <f>IFERROR(__xludf.DUMMYFUNCTION("""COMPUTED_VALUE"""),"RSC002384")</f>
        <v>RSC002384</v>
      </c>
      <c r="B2377" s="41" t="str">
        <f>IFERROR(__xludf.DUMMYFUNCTION("""COMPUTED_VALUE"""),"A Hot Jackson")</f>
        <v>A Hot Jackson</v>
      </c>
    </row>
    <row r="2378">
      <c r="A2378" s="41" t="str">
        <f>IFERROR(__xludf.DUMMYFUNCTION("""COMPUTED_VALUE"""),"RSC002385")</f>
        <v>RSC002385</v>
      </c>
      <c r="B2378" s="41" t="str">
        <f>IFERROR(__xludf.DUMMYFUNCTION("""COMPUTED_VALUE"""),"Brixston")</f>
        <v>Brixston</v>
      </c>
    </row>
    <row r="2379">
      <c r="A2379" s="41" t="str">
        <f>IFERROR(__xludf.DUMMYFUNCTION("""COMPUTED_VALUE"""),"RSC002386")</f>
        <v>RSC002386</v>
      </c>
      <c r="B2379" s="41" t="str">
        <f>IFERROR(__xludf.DUMMYFUNCTION("""COMPUTED_VALUE"""),"Gidderrrs")</f>
        <v>Gidderrrs</v>
      </c>
    </row>
    <row r="2380">
      <c r="A2380" s="41" t="str">
        <f>IFERROR(__xludf.DUMMYFUNCTION("""COMPUTED_VALUE"""),"RSC002387")</f>
        <v>RSC002387</v>
      </c>
      <c r="B2380" s="41" t="str">
        <f>IFERROR(__xludf.DUMMYFUNCTION("""COMPUTED_VALUE"""),"kcaz_modo")</f>
        <v>kcaz_modo</v>
      </c>
    </row>
    <row r="2381">
      <c r="A2381" s="41" t="str">
        <f>IFERROR(__xludf.DUMMYFUNCTION("""COMPUTED_VALUE"""),"RSC002388")</f>
        <v>RSC002388</v>
      </c>
      <c r="B2381" s="41" t="str">
        <f>IFERROR(__xludf.DUMMYFUNCTION("""COMPUTED_VALUE"""),"Suborneer")</f>
        <v>Suborneer</v>
      </c>
    </row>
    <row r="2382">
      <c r="A2382" s="41" t="str">
        <f>IFERROR(__xludf.DUMMYFUNCTION("""COMPUTED_VALUE"""),"RSC002389")</f>
        <v>RSC002389</v>
      </c>
      <c r="B2382" s="41" t="str">
        <f>IFERROR(__xludf.DUMMYFUNCTION("""COMPUTED_VALUE"""),"Granny (change)")</f>
        <v>Granny (change)</v>
      </c>
    </row>
    <row r="2383">
      <c r="A2383" s="41" t="str">
        <f>IFERROR(__xludf.DUMMYFUNCTION("""COMPUTED_VALUE"""),"RSC002390")</f>
        <v>RSC002390</v>
      </c>
      <c r="B2383" s="41" t="str">
        <f>IFERROR(__xludf.DUMMYFUNCTION("""COMPUTED_VALUE"""),"PeaceG-_-")</f>
        <v>PeaceG-_-</v>
      </c>
    </row>
    <row r="2384">
      <c r="A2384" s="41" t="str">
        <f>IFERROR(__xludf.DUMMYFUNCTION("""COMPUTED_VALUE"""),"RSC002391")</f>
        <v>RSC002391</v>
      </c>
      <c r="B2384" s="41" t="str">
        <f>IFERROR(__xludf.DUMMYFUNCTION("""COMPUTED_VALUE"""),"aes.")</f>
        <v>aes.</v>
      </c>
    </row>
    <row r="2385">
      <c r="A2385" s="41" t="str">
        <f>IFERROR(__xludf.DUMMYFUNCTION("""COMPUTED_VALUE"""),"RSC002392")</f>
        <v>RSC002392</v>
      </c>
      <c r="B2385" s="41" t="str">
        <f>IFERROR(__xludf.DUMMYFUNCTION("""COMPUTED_VALUE"""),"Skizzle1952")</f>
        <v>Skizzle1952</v>
      </c>
    </row>
    <row r="2386">
      <c r="A2386" s="41" t="str">
        <f>IFERROR(__xludf.DUMMYFUNCTION("""COMPUTED_VALUE"""),"RSC002393")</f>
        <v>RSC002393</v>
      </c>
      <c r="B2386" s="41" t="str">
        <f>IFERROR(__xludf.DUMMYFUNCTION("""COMPUTED_VALUE"""),"IgnisEternus")</f>
        <v>IgnisEternus</v>
      </c>
    </row>
    <row r="2387">
      <c r="A2387" s="41" t="str">
        <f>IFERROR(__xludf.DUMMYFUNCTION("""COMPUTED_VALUE"""),"RSC002394")</f>
        <v>RSC002394</v>
      </c>
      <c r="B2387" s="41" t="str">
        <f>IFERROR(__xludf.DUMMYFUNCTION("""COMPUTED_VALUE"""),"JoeDaddy362011")</f>
        <v>JoeDaddy362011</v>
      </c>
    </row>
    <row r="2388">
      <c r="A2388" s="41" t="str">
        <f>IFERROR(__xludf.DUMMYFUNCTION("""COMPUTED_VALUE"""),"RSC002395")</f>
        <v>RSC002395</v>
      </c>
      <c r="B2388" s="41" t="str">
        <f>IFERROR(__xludf.DUMMYFUNCTION("""COMPUTED_VALUE"""),"OneSneakyBeaver")</f>
        <v>OneSneakyBeaver</v>
      </c>
    </row>
    <row r="2389">
      <c r="A2389" s="41" t="str">
        <f>IFERROR(__xludf.DUMMYFUNCTION("""COMPUTED_VALUE"""),"RSC002396")</f>
        <v>RSC002396</v>
      </c>
      <c r="B2389" s="41" t="str">
        <f>IFERROR(__xludf.DUMMYFUNCTION("""COMPUTED_VALUE"""),"PiereDome")</f>
        <v>PiereDome</v>
      </c>
    </row>
    <row r="2390">
      <c r="A2390" s="41" t="str">
        <f>IFERROR(__xludf.DUMMYFUNCTION("""COMPUTED_VALUE"""),"RSC002397")</f>
        <v>RSC002397</v>
      </c>
      <c r="B2390" s="41" t="str">
        <f>IFERROR(__xludf.DUMMYFUNCTION("""COMPUTED_VALUE"""),"RedDime")</f>
        <v>RedDime</v>
      </c>
    </row>
    <row r="2391">
      <c r="A2391" s="41" t="str">
        <f>IFERROR(__xludf.DUMMYFUNCTION("""COMPUTED_VALUE"""),"RSC002398")</f>
        <v>RSC002398</v>
      </c>
      <c r="B2391" s="41" t="str">
        <f>IFERROR(__xludf.DUMMYFUNCTION("""COMPUTED_VALUE"""),"kayso")</f>
        <v>kayso</v>
      </c>
    </row>
    <row r="2392">
      <c r="A2392" s="41" t="str">
        <f>IFERROR(__xludf.DUMMYFUNCTION("""COMPUTED_VALUE"""),"RSC002399")</f>
        <v>RSC002399</v>
      </c>
      <c r="B2392" s="41" t="str">
        <f>IFERROR(__xludf.DUMMYFUNCTION("""COMPUTED_VALUE"""),"mattyice")</f>
        <v>mattyice</v>
      </c>
    </row>
    <row r="2393">
      <c r="A2393" s="41" t="str">
        <f>IFERROR(__xludf.DUMMYFUNCTION("""COMPUTED_VALUE"""),"RSC002400")</f>
        <v>RSC002400</v>
      </c>
      <c r="B2393" s="41" t="str">
        <f>IFERROR(__xludf.DUMMYFUNCTION("""COMPUTED_VALUE"""),"Visionary")</f>
        <v>Visionary</v>
      </c>
    </row>
    <row r="2394">
      <c r="A2394" s="41" t="str">
        <f>IFERROR(__xludf.DUMMYFUNCTION("""COMPUTED_VALUE"""),"RSC002401")</f>
        <v>RSC002401</v>
      </c>
      <c r="B2394" s="41" t="str">
        <f>IFERROR(__xludf.DUMMYFUNCTION("""COMPUTED_VALUE"""),"InfamousAction")</f>
        <v>InfamousAction</v>
      </c>
    </row>
    <row r="2395">
      <c r="A2395" s="41" t="str">
        <f>IFERROR(__xludf.DUMMYFUNCTION("""COMPUTED_VALUE"""),"RSC002402")</f>
        <v>RSC002402</v>
      </c>
      <c r="B2395" s="41" t="str">
        <f>IFERROR(__xludf.DUMMYFUNCTION("""COMPUTED_VALUE"""),"Perc")</f>
        <v>Perc</v>
      </c>
    </row>
    <row r="2396">
      <c r="A2396" s="41" t="str">
        <f>IFERROR(__xludf.DUMMYFUNCTION("""COMPUTED_VALUE"""),"RSC002403")</f>
        <v>RSC002403</v>
      </c>
      <c r="B2396" s="41" t="str">
        <f>IFERROR(__xludf.DUMMYFUNCTION("""COMPUTED_VALUE"""),"Zro.")</f>
        <v>Zro.</v>
      </c>
    </row>
    <row r="2397">
      <c r="A2397" s="41" t="str">
        <f>IFERROR(__xludf.DUMMYFUNCTION("""COMPUTED_VALUE"""),"RSC002404")</f>
        <v>RSC002404</v>
      </c>
      <c r="B2397" s="41" t="str">
        <f>IFERROR(__xludf.DUMMYFUNCTION("""COMPUTED_VALUE"""),"Meddler")</f>
        <v>Meddler</v>
      </c>
    </row>
    <row r="2398">
      <c r="A2398" s="41" t="str">
        <f>IFERROR(__xludf.DUMMYFUNCTION("""COMPUTED_VALUE"""),"RSC002405")</f>
        <v>RSC002405</v>
      </c>
      <c r="B2398" s="41" t="str">
        <f>IFERROR(__xludf.DUMMYFUNCTION("""COMPUTED_VALUE"""),"ShawNMusliM")</f>
        <v>ShawNMusliM</v>
      </c>
    </row>
    <row r="2399">
      <c r="A2399" s="41" t="str">
        <f>IFERROR(__xludf.DUMMYFUNCTION("""COMPUTED_VALUE"""),"RSC002406")</f>
        <v>RSC002406</v>
      </c>
      <c r="B2399" s="41" t="str">
        <f>IFERROR(__xludf.DUMMYFUNCTION("""COMPUTED_VALUE"""),"Avaki")</f>
        <v>Avaki</v>
      </c>
    </row>
    <row r="2400">
      <c r="A2400" s="41" t="str">
        <f>IFERROR(__xludf.DUMMYFUNCTION("""COMPUTED_VALUE"""),"RSC002407")</f>
        <v>RSC002407</v>
      </c>
      <c r="B2400" s="41" t="str">
        <f>IFERROR(__xludf.DUMMYFUNCTION("""COMPUTED_VALUE"""),"Envy (Old)")</f>
        <v>Envy (Old)</v>
      </c>
    </row>
    <row r="2401">
      <c r="A2401" s="41" t="str">
        <f>IFERROR(__xludf.DUMMYFUNCTION("""COMPUTED_VALUE"""),"RSC002408")</f>
        <v>RSC002408</v>
      </c>
      <c r="B2401" s="41" t="str">
        <f>IFERROR(__xludf.DUMMYFUNCTION("""COMPUTED_VALUE"""),"Gmoney")</f>
        <v>Gmoney</v>
      </c>
    </row>
    <row r="2402">
      <c r="A2402" s="41" t="str">
        <f>IFERROR(__xludf.DUMMYFUNCTION("""COMPUTED_VALUE"""),"RSC002409")</f>
        <v>RSC002409</v>
      </c>
      <c r="B2402" s="41" t="str">
        <f>IFERROR(__xludf.DUMMYFUNCTION("""COMPUTED_VALUE"""),"isurffff RL")</f>
        <v>isurffff RL</v>
      </c>
    </row>
    <row r="2403">
      <c r="A2403" s="41" t="str">
        <f>IFERROR(__xludf.DUMMYFUNCTION("""COMPUTED_VALUE"""),"RSC002410")</f>
        <v>RSC002410</v>
      </c>
      <c r="B2403" s="41" t="str">
        <f>IFERROR(__xludf.DUMMYFUNCTION("""COMPUTED_VALUE"""),"Tiny")</f>
        <v>Tiny</v>
      </c>
    </row>
    <row r="2404">
      <c r="A2404" s="41" t="str">
        <f>IFERROR(__xludf.DUMMYFUNCTION("""COMPUTED_VALUE"""),"RSC002411")</f>
        <v>RSC002411</v>
      </c>
      <c r="B2404" s="41" t="str">
        <f>IFERROR(__xludf.DUMMYFUNCTION("""COMPUTED_VALUE"""),"colby")</f>
        <v>colby</v>
      </c>
    </row>
    <row r="2405">
      <c r="A2405" s="41" t="str">
        <f>IFERROR(__xludf.DUMMYFUNCTION("""COMPUTED_VALUE"""),"RSC002412")</f>
        <v>RSC002412</v>
      </c>
      <c r="B2405" s="41" t="str">
        <f>IFERROR(__xludf.DUMMYFUNCTION("""COMPUTED_VALUE"""),"Rosefanatic3615")</f>
        <v>Rosefanatic3615</v>
      </c>
    </row>
    <row r="2406">
      <c r="A2406" s="41" t="str">
        <f>IFERROR(__xludf.DUMMYFUNCTION("""COMPUTED_VALUE"""),"RSC002413")</f>
        <v>RSC002413</v>
      </c>
      <c r="B2406" s="41" t="str">
        <f>IFERROR(__xludf.DUMMYFUNCTION("""COMPUTED_VALUE"""),"dafiya711")</f>
        <v>dafiya711</v>
      </c>
    </row>
    <row r="2407">
      <c r="A2407" s="41" t="str">
        <f>IFERROR(__xludf.DUMMYFUNCTION("""COMPUTED_VALUE"""),"RSC002414")</f>
        <v>RSC002414</v>
      </c>
      <c r="B2407" s="41" t="str">
        <f>IFERROR(__xludf.DUMMYFUNCTION("""COMPUTED_VALUE"""),"XxDarkSidexX")</f>
        <v>XxDarkSidexX</v>
      </c>
    </row>
    <row r="2408">
      <c r="A2408" s="41" t="str">
        <f>IFERROR(__xludf.DUMMYFUNCTION("""COMPUTED_VALUE"""),"RSC002415")</f>
        <v>RSC002415</v>
      </c>
      <c r="B2408" s="41" t="str">
        <f>IFERROR(__xludf.DUMMYFUNCTION("""COMPUTED_VALUE"""),"Goum")</f>
        <v>Goum</v>
      </c>
    </row>
    <row r="2409">
      <c r="A2409" s="41" t="str">
        <f>IFERROR(__xludf.DUMMYFUNCTION("""COMPUTED_VALUE"""),"RSC002416")</f>
        <v>RSC002416</v>
      </c>
      <c r="B2409" s="41" t="str">
        <f>IFERROR(__xludf.DUMMYFUNCTION("""COMPUTED_VALUE"""),"stiinkii")</f>
        <v>stiinkii</v>
      </c>
    </row>
    <row r="2410">
      <c r="A2410" s="41" t="str">
        <f>IFERROR(__xludf.DUMMYFUNCTION("""COMPUTED_VALUE"""),"RSC002417")</f>
        <v>RSC002417</v>
      </c>
      <c r="B2410" s="41" t="str">
        <f>IFERROR(__xludf.DUMMYFUNCTION("""COMPUTED_VALUE"""),"Crunch")</f>
        <v>Crunch</v>
      </c>
    </row>
    <row r="2411">
      <c r="A2411" s="41" t="str">
        <f>IFERROR(__xludf.DUMMYFUNCTION("""COMPUTED_VALUE"""),"RSC002418")</f>
        <v>RSC002418</v>
      </c>
      <c r="B2411" s="41" t="str">
        <f>IFERROR(__xludf.DUMMYFUNCTION("""COMPUTED_VALUE"""),"LuckyAsh")</f>
        <v>LuckyAsh</v>
      </c>
    </row>
    <row r="2412">
      <c r="A2412" s="41" t="str">
        <f>IFERROR(__xludf.DUMMYFUNCTION("""COMPUTED_VALUE"""),"RSC002419")</f>
        <v>RSC002419</v>
      </c>
      <c r="B2412" s="41" t="str">
        <f>IFERROR(__xludf.DUMMYFUNCTION("""COMPUTED_VALUE"""),"Polo")</f>
        <v>Polo</v>
      </c>
    </row>
    <row r="2413">
      <c r="A2413" s="41" t="str">
        <f>IFERROR(__xludf.DUMMYFUNCTION("""COMPUTED_VALUE"""),"RSC002420")</f>
        <v>RSC002420</v>
      </c>
      <c r="B2413" s="41" t="str">
        <f>IFERROR(__xludf.DUMMYFUNCTION("""COMPUTED_VALUE"""),"Dye")</f>
        <v>Dye</v>
      </c>
    </row>
    <row r="2414">
      <c r="A2414" s="41" t="str">
        <f>IFERROR(__xludf.DUMMYFUNCTION("""COMPUTED_VALUE"""),"RSC002421")</f>
        <v>RSC002421</v>
      </c>
      <c r="B2414" s="41" t="str">
        <f>IFERROR(__xludf.DUMMYFUNCTION("""COMPUTED_VALUE"""),"Marm")</f>
        <v>Marm</v>
      </c>
    </row>
    <row r="2415">
      <c r="A2415" s="41" t="str">
        <f>IFERROR(__xludf.DUMMYFUNCTION("""COMPUTED_VALUE"""),"RSC002422")</f>
        <v>RSC002422</v>
      </c>
      <c r="B2415" s="41" t="str">
        <f>IFERROR(__xludf.DUMMYFUNCTION("""COMPUTED_VALUE"""),"Aco")</f>
        <v>Aco</v>
      </c>
    </row>
    <row r="2416">
      <c r="A2416" s="41" t="str">
        <f>IFERROR(__xludf.DUMMYFUNCTION("""COMPUTED_VALUE"""),"RSC002423")</f>
        <v>RSC002423</v>
      </c>
      <c r="B2416" s="41" t="str">
        <f>IFERROR(__xludf.DUMMYFUNCTION("""COMPUTED_VALUE"""),"Cubby")</f>
        <v>Cubby</v>
      </c>
    </row>
    <row r="2417">
      <c r="A2417" s="41" t="str">
        <f>IFERROR(__xludf.DUMMYFUNCTION("""COMPUTED_VALUE"""),"RSC002424")</f>
        <v>RSC002424</v>
      </c>
      <c r="B2417" s="41" t="str">
        <f>IFERROR(__xludf.DUMMYFUNCTION("""COMPUTED_VALUE"""),"HufflePuffler")</f>
        <v>HufflePuffler</v>
      </c>
    </row>
    <row r="2418">
      <c r="A2418" s="41" t="str">
        <f>IFERROR(__xludf.DUMMYFUNCTION("""COMPUTED_VALUE"""),"RSC002425")</f>
        <v>RSC002425</v>
      </c>
      <c r="B2418" s="41" t="str">
        <f>IFERROR(__xludf.DUMMYFUNCTION("""COMPUTED_VALUE"""),"Kourses")</f>
        <v>Kourses</v>
      </c>
    </row>
    <row r="2419">
      <c r="A2419" s="41" t="str">
        <f>IFERROR(__xludf.DUMMYFUNCTION("""COMPUTED_VALUE"""),"RSC002426")</f>
        <v>RSC002426</v>
      </c>
      <c r="B2419" s="41" t="str">
        <f>IFERROR(__xludf.DUMMYFUNCTION("""COMPUTED_VALUE"""),"Simba.")</f>
        <v>Simba.</v>
      </c>
    </row>
    <row r="2420">
      <c r="A2420" s="41" t="str">
        <f>IFERROR(__xludf.DUMMYFUNCTION("""COMPUTED_VALUE"""),"RSC002427")</f>
        <v>RSC002427</v>
      </c>
      <c r="B2420" s="41" t="str">
        <f>IFERROR(__xludf.DUMMYFUNCTION("""COMPUTED_VALUE"""),"Free.")</f>
        <v>Free.</v>
      </c>
    </row>
    <row r="2421">
      <c r="A2421" s="41" t="str">
        <f>IFERROR(__xludf.DUMMYFUNCTION("""COMPUTED_VALUE"""),"RSC002428")</f>
        <v>RSC002428</v>
      </c>
      <c r="B2421" s="41" t="str">
        <f>IFERROR(__xludf.DUMMYFUNCTION("""COMPUTED_VALUE"""),"troybutts315")</f>
        <v>troybutts315</v>
      </c>
    </row>
    <row r="2422">
      <c r="A2422" s="41" t="str">
        <f>IFERROR(__xludf.DUMMYFUNCTION("""COMPUTED_VALUE"""),"RSC002429")</f>
        <v>RSC002429</v>
      </c>
      <c r="B2422" s="41" t="str">
        <f>IFERROR(__xludf.DUMMYFUNCTION("""COMPUTED_VALUE"""),"JayAmbition")</f>
        <v>JayAmbition</v>
      </c>
    </row>
    <row r="2423">
      <c r="A2423" s="41" t="str">
        <f>IFERROR(__xludf.DUMMYFUNCTION("""COMPUTED_VALUE"""),"RSC002430")</f>
        <v>RSC002430</v>
      </c>
      <c r="B2423" s="41" t="str">
        <f>IFERROR(__xludf.DUMMYFUNCTION("""COMPUTED_VALUE"""),"Razor")</f>
        <v>Razor</v>
      </c>
    </row>
    <row r="2424">
      <c r="A2424" s="41" t="str">
        <f>IFERROR(__xludf.DUMMYFUNCTION("""COMPUTED_VALUE"""),"RSC002431")</f>
        <v>RSC002431</v>
      </c>
      <c r="B2424" s="41" t="str">
        <f>IFERROR(__xludf.DUMMYFUNCTION("""COMPUTED_VALUE"""),"Tezukako")</f>
        <v>Tezukako</v>
      </c>
    </row>
    <row r="2425">
      <c r="A2425" s="41" t="str">
        <f>IFERROR(__xludf.DUMMYFUNCTION("""COMPUTED_VALUE"""),"RSC002432")</f>
        <v>RSC002432</v>
      </c>
      <c r="B2425" s="41" t="str">
        <f>IFERROR(__xludf.DUMMYFUNCTION("""COMPUTED_VALUE"""),"Thiefzzz")</f>
        <v>Thiefzzz</v>
      </c>
    </row>
    <row r="2426">
      <c r="A2426" s="41" t="str">
        <f>IFERROR(__xludf.DUMMYFUNCTION("""COMPUTED_VALUE"""),"RSC002433")</f>
        <v>RSC002433</v>
      </c>
      <c r="B2426" s="41" t="str">
        <f>IFERROR(__xludf.DUMMYFUNCTION("""COMPUTED_VALUE"""),"Woof")</f>
        <v>Woof</v>
      </c>
    </row>
    <row r="2427">
      <c r="A2427" s="41" t="str">
        <f>IFERROR(__xludf.DUMMYFUNCTION("""COMPUTED_VALUE"""),"RSC002434")</f>
        <v>RSC002434</v>
      </c>
      <c r="B2427" s="41" t="str">
        <f>IFERROR(__xludf.DUMMYFUNCTION("""COMPUTED_VALUE"""),"ClydeBarrowXo")</f>
        <v>ClydeBarrowXo</v>
      </c>
    </row>
    <row r="2428">
      <c r="A2428" s="41" t="str">
        <f>IFERROR(__xludf.DUMMYFUNCTION("""COMPUTED_VALUE"""),"RSC002435")</f>
        <v>RSC002435</v>
      </c>
      <c r="B2428" s="41" t="str">
        <f>IFERROR(__xludf.DUMMYFUNCTION("""COMPUTED_VALUE"""),"Litltightypants")</f>
        <v>Litltightypants</v>
      </c>
    </row>
    <row r="2429">
      <c r="A2429" s="41" t="str">
        <f>IFERROR(__xludf.DUMMYFUNCTION("""COMPUTED_VALUE"""),"RSC002436")</f>
        <v>RSC002436</v>
      </c>
      <c r="B2429" s="41" t="str">
        <f>IFERROR(__xludf.DUMMYFUNCTION("""COMPUTED_VALUE"""),"Clxtch")</f>
        <v>Clxtch</v>
      </c>
    </row>
    <row r="2430">
      <c r="A2430" s="41" t="str">
        <f>IFERROR(__xludf.DUMMYFUNCTION("""COMPUTED_VALUE"""),"RSC002437")</f>
        <v>RSC002437</v>
      </c>
      <c r="B2430" s="41" t="str">
        <f>IFERROR(__xludf.DUMMYFUNCTION("""COMPUTED_VALUE"""),"Critical")</f>
        <v>Critical</v>
      </c>
    </row>
    <row r="2431">
      <c r="A2431" s="41" t="str">
        <f>IFERROR(__xludf.DUMMYFUNCTION("""COMPUTED_VALUE"""),"RSC002438")</f>
        <v>RSC002438</v>
      </c>
      <c r="B2431" s="41" t="str">
        <f>IFERROR(__xludf.DUMMYFUNCTION("""COMPUTED_VALUE"""),"Invicta")</f>
        <v>Invicta</v>
      </c>
    </row>
    <row r="2432">
      <c r="A2432" s="41" t="str">
        <f>IFERROR(__xludf.DUMMYFUNCTION("""COMPUTED_VALUE"""),"RSC002439")</f>
        <v>RSC002439</v>
      </c>
      <c r="B2432" s="41" t="str">
        <f>IFERROR(__xludf.DUMMYFUNCTION("""COMPUTED_VALUE"""),"Angebro")</f>
        <v>Angebro</v>
      </c>
    </row>
    <row r="2433">
      <c r="A2433" s="41" t="str">
        <f>IFERROR(__xludf.DUMMYFUNCTION("""COMPUTED_VALUE"""),"RSC002440")</f>
        <v>RSC002440</v>
      </c>
      <c r="B2433" s="41" t="str">
        <f>IFERROR(__xludf.DUMMYFUNCTION("""COMPUTED_VALUE"""),"bzs1126")</f>
        <v>bzs1126</v>
      </c>
    </row>
    <row r="2434">
      <c r="A2434" s="41" t="str">
        <f>IFERROR(__xludf.DUMMYFUNCTION("""COMPUTED_VALUE"""),"RSC002441")</f>
        <v>RSC002441</v>
      </c>
      <c r="B2434" s="41" t="str">
        <f>IFERROR(__xludf.DUMMYFUNCTION("""COMPUTED_VALUE"""),"Cade Yamaguchi-gumi")</f>
        <v>Cade Yamaguchi-gumi</v>
      </c>
    </row>
    <row r="2435">
      <c r="A2435" s="41" t="str">
        <f>IFERROR(__xludf.DUMMYFUNCTION("""COMPUTED_VALUE"""),"RSC002442")</f>
        <v>RSC002442</v>
      </c>
      <c r="B2435" s="41" t="str">
        <f>IFERROR(__xludf.DUMMYFUNCTION("""COMPUTED_VALUE"""),"Kilowen")</f>
        <v>Kilowen</v>
      </c>
    </row>
    <row r="2436">
      <c r="A2436" s="41" t="str">
        <f>IFERROR(__xludf.DUMMYFUNCTION("""COMPUTED_VALUE"""),"RSC002443")</f>
        <v>RSC002443</v>
      </c>
      <c r="B2436" s="41" t="str">
        <f>IFERROR(__xludf.DUMMYFUNCTION("""COMPUTED_VALUE"""),"Slow")</f>
        <v>Slow</v>
      </c>
    </row>
    <row r="2437">
      <c r="A2437" s="41" t="str">
        <f>IFERROR(__xludf.DUMMYFUNCTION("""COMPUTED_VALUE"""),"RSC002444")</f>
        <v>RSC002444</v>
      </c>
      <c r="B2437" s="41" t="str">
        <f>IFERROR(__xludf.DUMMYFUNCTION("""COMPUTED_VALUE"""),"Blender")</f>
        <v>Blender</v>
      </c>
    </row>
    <row r="2438">
      <c r="A2438" s="41" t="str">
        <f>IFERROR(__xludf.DUMMYFUNCTION("""COMPUTED_VALUE"""),"RSC002445")</f>
        <v>RSC002445</v>
      </c>
      <c r="B2438" s="41" t="str">
        <f>IFERROR(__xludf.DUMMYFUNCTION("""COMPUTED_VALUE"""),"Sean (Change)")</f>
        <v>Sean (Change)</v>
      </c>
    </row>
    <row r="2439">
      <c r="A2439" s="41" t="str">
        <f>IFERROR(__xludf.DUMMYFUNCTION("""COMPUTED_VALUE"""),"RSC002446")</f>
        <v>RSC002446</v>
      </c>
      <c r="B2439" s="41" t="str">
        <f>IFERROR(__xludf.DUMMYFUNCTION("""COMPUTED_VALUE"""),"º¿º")</f>
        <v>º¿º</v>
      </c>
    </row>
    <row r="2440">
      <c r="A2440" s="41" t="str">
        <f>IFERROR(__xludf.DUMMYFUNCTION("""COMPUTED_VALUE"""),"RSC002447")</f>
        <v>RSC002447</v>
      </c>
      <c r="B2440" s="41" t="str">
        <f>IFERROR(__xludf.DUMMYFUNCTION("""COMPUTED_VALUE"""),"ness")</f>
        <v>ness</v>
      </c>
    </row>
    <row r="2441">
      <c r="A2441" s="41" t="str">
        <f>IFERROR(__xludf.DUMMYFUNCTION("""COMPUTED_VALUE"""),"RSC002448")</f>
        <v>RSC002448</v>
      </c>
      <c r="B2441" s="41" t="str">
        <f>IFERROR(__xludf.DUMMYFUNCTION("""COMPUTED_VALUE"""),"feb")</f>
        <v>feb</v>
      </c>
    </row>
    <row r="2442">
      <c r="A2442" s="41" t="str">
        <f>IFERROR(__xludf.DUMMYFUNCTION("""COMPUTED_VALUE"""),"RSC002449")</f>
        <v>RSC002449</v>
      </c>
      <c r="B2442" s="41" t="str">
        <f>IFERROR(__xludf.DUMMYFUNCTION("""COMPUTED_VALUE"""),"SamsBoyzz")</f>
        <v>SamsBoyzz</v>
      </c>
    </row>
    <row r="2443">
      <c r="A2443" s="41" t="str">
        <f>IFERROR(__xludf.DUMMYFUNCTION("""COMPUTED_VALUE"""),"RSC002450")</f>
        <v>RSC002450</v>
      </c>
      <c r="B2443" s="41" t="str">
        <f>IFERROR(__xludf.DUMMYFUNCTION("""COMPUTED_VALUE"""),"wolvz")</f>
        <v>wolvz</v>
      </c>
    </row>
    <row r="2444">
      <c r="A2444" s="41" t="str">
        <f>IFERROR(__xludf.DUMMYFUNCTION("""COMPUTED_VALUE"""),"RSC002451")</f>
        <v>RSC002451</v>
      </c>
      <c r="B2444" s="41" t="str">
        <f>IFERROR(__xludf.DUMMYFUNCTION("""COMPUTED_VALUE"""),"ttv.Joshua0N")</f>
        <v>ttv.Joshua0N</v>
      </c>
    </row>
    <row r="2445">
      <c r="A2445" s="41" t="str">
        <f>IFERROR(__xludf.DUMMYFUNCTION("""COMPUTED_VALUE"""),"RSC002452")</f>
        <v>RSC002452</v>
      </c>
      <c r="B2445" s="41" t="str">
        <f>IFERROR(__xludf.DUMMYFUNCTION("""COMPUTED_VALUE"""),"KCman13")</f>
        <v>KCman13</v>
      </c>
    </row>
    <row r="2446">
      <c r="A2446" s="41" t="str">
        <f>IFERROR(__xludf.DUMMYFUNCTION("""COMPUTED_VALUE"""),"RSC002453")</f>
        <v>RSC002453</v>
      </c>
      <c r="B2446" s="41" t="str">
        <f>IFERROR(__xludf.DUMMYFUNCTION("""COMPUTED_VALUE"""),"Ghostie")</f>
        <v>Ghostie</v>
      </c>
    </row>
    <row r="2447">
      <c r="A2447" s="41" t="str">
        <f>IFERROR(__xludf.DUMMYFUNCTION("""COMPUTED_VALUE"""),"RSC002454")</f>
        <v>RSC002454</v>
      </c>
      <c r="B2447" s="41" t="str">
        <f>IFERROR(__xludf.DUMMYFUNCTION("""COMPUTED_VALUE"""),"I dont know")</f>
        <v>I dont know</v>
      </c>
    </row>
    <row r="2448">
      <c r="A2448" s="41" t="str">
        <f>IFERROR(__xludf.DUMMYFUNCTION("""COMPUTED_VALUE"""),"RSC002455")</f>
        <v>RSC002455</v>
      </c>
      <c r="B2448" s="41" t="str">
        <f>IFERROR(__xludf.DUMMYFUNCTION("""COMPUTED_VALUE"""),"B10ckyy")</f>
        <v>B10ckyy</v>
      </c>
    </row>
    <row r="2449">
      <c r="A2449" s="41" t="str">
        <f>IFERROR(__xludf.DUMMYFUNCTION("""COMPUTED_VALUE"""),"RSC002456")</f>
        <v>RSC002456</v>
      </c>
      <c r="B2449" s="41" t="str">
        <f>IFERROR(__xludf.DUMMYFUNCTION("""COMPUTED_VALUE"""),"Enigma")</f>
        <v>Enigma</v>
      </c>
    </row>
    <row r="2450">
      <c r="A2450" s="41" t="str">
        <f>IFERROR(__xludf.DUMMYFUNCTION("""COMPUTED_VALUE"""),"RSC002457")</f>
        <v>RSC002457</v>
      </c>
      <c r="B2450" s="41" t="str">
        <f>IFERROR(__xludf.DUMMYFUNCTION("""COMPUTED_VALUE"""),"Tulkey")</f>
        <v>Tulkey</v>
      </c>
    </row>
    <row r="2451">
      <c r="A2451" s="41" t="str">
        <f>IFERROR(__xludf.DUMMYFUNCTION("""COMPUTED_VALUE"""),"RSC002458")</f>
        <v>RSC002458</v>
      </c>
      <c r="B2451" s="41" t="str">
        <f>IFERROR(__xludf.DUMMYFUNCTION("""COMPUTED_VALUE"""),"Nglorious")</f>
        <v>Nglorious</v>
      </c>
    </row>
    <row r="2452">
      <c r="A2452" s="41" t="str">
        <f>IFERROR(__xludf.DUMMYFUNCTION("""COMPUTED_VALUE"""),"RSC002459")</f>
        <v>RSC002459</v>
      </c>
      <c r="B2452" s="41" t="str">
        <f>IFERROR(__xludf.DUMMYFUNCTION("""COMPUTED_VALUE"""),"Capalean")</f>
        <v>Capalean</v>
      </c>
    </row>
    <row r="2453">
      <c r="A2453" s="41" t="str">
        <f>IFERROR(__xludf.DUMMYFUNCTION("""COMPUTED_VALUE"""),"RSC002460")</f>
        <v>RSC002460</v>
      </c>
      <c r="B2453" s="41" t="str">
        <f>IFERROR(__xludf.DUMMYFUNCTION("""COMPUTED_VALUE"""),"Soop Feared")</f>
        <v>Soop Feared</v>
      </c>
    </row>
    <row r="2454">
      <c r="A2454" s="41" t="str">
        <f>IFERROR(__xludf.DUMMYFUNCTION("""COMPUTED_VALUE"""),"RSC002461")</f>
        <v>RSC002461</v>
      </c>
      <c r="B2454" s="41" t="str">
        <f>IFERROR(__xludf.DUMMYFUNCTION("""COMPUTED_VALUE"""),"Mimzy")</f>
        <v>Mimzy</v>
      </c>
    </row>
    <row r="2455">
      <c r="A2455" s="41" t="str">
        <f>IFERROR(__xludf.DUMMYFUNCTION("""COMPUTED_VALUE"""),"RSC002462")</f>
        <v>RSC002462</v>
      </c>
      <c r="B2455" s="41" t="str">
        <f>IFERROR(__xludf.DUMMYFUNCTION("""COMPUTED_VALUE"""),"Virt")</f>
        <v>Virt</v>
      </c>
    </row>
    <row r="2456">
      <c r="A2456" s="41" t="str">
        <f>IFERROR(__xludf.DUMMYFUNCTION("""COMPUTED_VALUE"""),"RSC002463")</f>
        <v>RSC002463</v>
      </c>
      <c r="B2456" s="41" t="str">
        <f>IFERROR(__xludf.DUMMYFUNCTION("""COMPUTED_VALUE"""),"Melrose_24")</f>
        <v>Melrose_24</v>
      </c>
    </row>
    <row r="2457">
      <c r="A2457" s="41" t="str">
        <f>IFERROR(__xludf.DUMMYFUNCTION("""COMPUTED_VALUE"""),"RSC002464")</f>
        <v>RSC002464</v>
      </c>
      <c r="B2457" s="41" t="str">
        <f>IFERROR(__xludf.DUMMYFUNCTION("""COMPUTED_VALUE"""),"Klemer12")</f>
        <v>Klemer12</v>
      </c>
    </row>
    <row r="2458">
      <c r="A2458" s="41" t="str">
        <f>IFERROR(__xludf.DUMMYFUNCTION("""COMPUTED_VALUE"""),"RSC002465")</f>
        <v>RSC002465</v>
      </c>
      <c r="B2458" s="41" t="str">
        <f>IFERROR(__xludf.DUMMYFUNCTION("""COMPUTED_VALUE"""),"Icy_Fatal99")</f>
        <v>Icy_Fatal99</v>
      </c>
    </row>
    <row r="2459">
      <c r="A2459" s="41" t="str">
        <f>IFERROR(__xludf.DUMMYFUNCTION("""COMPUTED_VALUE"""),"RSC002466")</f>
        <v>RSC002466</v>
      </c>
      <c r="B2459" s="41" t="str">
        <f>IFERROR(__xludf.DUMMYFUNCTION("""COMPUTED_VALUE"""),"Txlxn")</f>
        <v>Txlxn</v>
      </c>
    </row>
    <row r="2460">
      <c r="A2460" s="41" t="str">
        <f>IFERROR(__xludf.DUMMYFUNCTION("""COMPUTED_VALUE"""),"RSC002467")</f>
        <v>RSC002467</v>
      </c>
      <c r="B2460" s="41" t="str">
        <f>IFERROR(__xludf.DUMMYFUNCTION("""COMPUTED_VALUE"""),"reccoonn")</f>
        <v>reccoonn</v>
      </c>
    </row>
    <row r="2461">
      <c r="A2461" s="41" t="str">
        <f>IFERROR(__xludf.DUMMYFUNCTION("""COMPUTED_VALUE"""),"RSC002468")</f>
        <v>RSC002468</v>
      </c>
      <c r="B2461" s="41" t="str">
        <f>IFERROR(__xludf.DUMMYFUNCTION("""COMPUTED_VALUE"""),"Corn")</f>
        <v>Corn</v>
      </c>
    </row>
    <row r="2462">
      <c r="A2462" s="41" t="str">
        <f>IFERROR(__xludf.DUMMYFUNCTION("""COMPUTED_VALUE"""),"RSC002469")</f>
        <v>RSC002469</v>
      </c>
      <c r="B2462" s="41" t="str">
        <f>IFERROR(__xludf.DUMMYFUNCTION("""COMPUTED_VALUE"""),"soja131989")</f>
        <v>soja131989</v>
      </c>
    </row>
    <row r="2463">
      <c r="A2463" s="41" t="str">
        <f>IFERROR(__xludf.DUMMYFUNCTION("""COMPUTED_VALUE"""),"RSC002470")</f>
        <v>RSC002470</v>
      </c>
      <c r="B2463" s="41" t="str">
        <f>IFERROR(__xludf.DUMMYFUNCTION("""COMPUTED_VALUE"""),"R3EAP3R")</f>
        <v>R3EAP3R</v>
      </c>
    </row>
    <row r="2464">
      <c r="A2464" s="41" t="str">
        <f>IFERROR(__xludf.DUMMYFUNCTION("""COMPUTED_VALUE"""),"RSC002471")</f>
        <v>RSC002471</v>
      </c>
      <c r="B2464" s="41" t="str">
        <f>IFERROR(__xludf.DUMMYFUNCTION("""COMPUTED_VALUE"""),"Zona")</f>
        <v>Zona</v>
      </c>
    </row>
    <row r="2465">
      <c r="A2465" s="41" t="str">
        <f>IFERROR(__xludf.DUMMYFUNCTION("""COMPUTED_VALUE"""),"RSC002472")</f>
        <v>RSC002472</v>
      </c>
      <c r="B2465" s="41" t="str">
        <f>IFERROR(__xludf.DUMMYFUNCTION("""COMPUTED_VALUE"""),"McWhiff")</f>
        <v>McWhiff</v>
      </c>
    </row>
    <row r="2466">
      <c r="A2466" s="41" t="str">
        <f>IFERROR(__xludf.DUMMYFUNCTION("""COMPUTED_VALUE"""),"RSC002473")</f>
        <v>RSC002473</v>
      </c>
      <c r="B2466" s="41" t="str">
        <f>IFERROR(__xludf.DUMMYFUNCTION("""COMPUTED_VALUE"""),"Zdawg2020dec")</f>
        <v>Zdawg2020dec</v>
      </c>
    </row>
    <row r="2467">
      <c r="A2467" s="41" t="str">
        <f>IFERROR(__xludf.DUMMYFUNCTION("""COMPUTED_VALUE"""),"RSC002474")</f>
        <v>RSC002474</v>
      </c>
      <c r="B2467" s="41" t="str">
        <f>IFERROR(__xludf.DUMMYFUNCTION("""COMPUTED_VALUE"""),"Zinq")</f>
        <v>Zinq</v>
      </c>
    </row>
    <row r="2468">
      <c r="A2468" s="41" t="str">
        <f>IFERROR(__xludf.DUMMYFUNCTION("""COMPUTED_VALUE"""),"RSC002475")</f>
        <v>RSC002475</v>
      </c>
      <c r="B2468" s="41" t="str">
        <f>IFERROR(__xludf.DUMMYFUNCTION("""COMPUTED_VALUE"""),"TheOnlyNX")</f>
        <v>TheOnlyNX</v>
      </c>
    </row>
    <row r="2469">
      <c r="A2469" s="41" t="str">
        <f>IFERROR(__xludf.DUMMYFUNCTION("""COMPUTED_VALUE"""),"RSC002476")</f>
        <v>RSC002476</v>
      </c>
      <c r="B2469" s="41" t="str">
        <f>IFERROR(__xludf.DUMMYFUNCTION("""COMPUTED_VALUE"""),"Argnor")</f>
        <v>Argnor</v>
      </c>
    </row>
    <row r="2470">
      <c r="A2470" s="41" t="str">
        <f>IFERROR(__xludf.DUMMYFUNCTION("""COMPUTED_VALUE"""),"RSC002477")</f>
        <v>RSC002477</v>
      </c>
      <c r="B2470" s="41" t="str">
        <f>IFERROR(__xludf.DUMMYFUNCTION("""COMPUTED_VALUE"""),"Ty (Arcus)")</f>
        <v>Ty (Arcus)</v>
      </c>
    </row>
    <row r="2471">
      <c r="A2471" s="41" t="str">
        <f>IFERROR(__xludf.DUMMYFUNCTION("""COMPUTED_VALUE"""),"RSC002478")</f>
        <v>RSC002478</v>
      </c>
      <c r="B2471" s="41" t="str">
        <f>IFERROR(__xludf.DUMMYFUNCTION("""COMPUTED_VALUE"""),"Spirited Aerial")</f>
        <v>Spirited Aerial</v>
      </c>
    </row>
    <row r="2472">
      <c r="A2472" s="41" t="str">
        <f>IFERROR(__xludf.DUMMYFUNCTION("""COMPUTED_VALUE"""),"RSC002479")</f>
        <v>RSC002479</v>
      </c>
      <c r="B2472" s="41" t="str">
        <f>IFERROR(__xludf.DUMMYFUNCTION("""COMPUTED_VALUE"""),"Riskay_rl")</f>
        <v>Riskay_rl</v>
      </c>
    </row>
    <row r="2473">
      <c r="A2473" s="41" t="str">
        <f>IFERROR(__xludf.DUMMYFUNCTION("""COMPUTED_VALUE"""),"RSC002480")</f>
        <v>RSC002480</v>
      </c>
      <c r="B2473" s="41" t="str">
        <f>IFERROR(__xludf.DUMMYFUNCTION("""COMPUTED_VALUE"""),"blizzyy")</f>
        <v>blizzyy</v>
      </c>
    </row>
    <row r="2474">
      <c r="A2474" s="41" t="str">
        <f>IFERROR(__xludf.DUMMYFUNCTION("""COMPUTED_VALUE"""),"RSC002481")</f>
        <v>RSC002481</v>
      </c>
      <c r="B2474" s="41" t="str">
        <f>IFERROR(__xludf.DUMMYFUNCTION("""COMPUTED_VALUE"""),"Indy")</f>
        <v>Indy</v>
      </c>
    </row>
    <row r="2475">
      <c r="A2475" s="41" t="str">
        <f>IFERROR(__xludf.DUMMYFUNCTION("""COMPUTED_VALUE"""),"RSC002482")</f>
        <v>RSC002482</v>
      </c>
      <c r="B2475" s="41" t="str">
        <f>IFERROR(__xludf.DUMMYFUNCTION("""COMPUTED_VALUE"""),"Lucifer1991")</f>
        <v>Lucifer1991</v>
      </c>
    </row>
    <row r="2476">
      <c r="A2476" s="41" t="str">
        <f>IFERROR(__xludf.DUMMYFUNCTION("""COMPUTED_VALUE"""),"RSC002483")</f>
        <v>RSC002483</v>
      </c>
      <c r="B2476" s="41" t="str">
        <f>IFERROR(__xludf.DUMMYFUNCTION("""COMPUTED_VALUE"""),"FervidRL")</f>
        <v>FervidRL</v>
      </c>
    </row>
    <row r="2477">
      <c r="A2477" s="41" t="str">
        <f>IFERROR(__xludf.DUMMYFUNCTION("""COMPUTED_VALUE"""),"RSC002484")</f>
        <v>RSC002484</v>
      </c>
      <c r="B2477" s="41" t="str">
        <f>IFERROR(__xludf.DUMMYFUNCTION("""COMPUTED_VALUE"""),"P3 Communism")</f>
        <v>P3 Communism</v>
      </c>
    </row>
    <row r="2478">
      <c r="A2478" s="41" t="str">
        <f>IFERROR(__xludf.DUMMYFUNCTION("""COMPUTED_VALUE"""),"RSC002485")</f>
        <v>RSC002485</v>
      </c>
      <c r="B2478" s="41" t="str">
        <f>IFERROR(__xludf.DUMMYFUNCTION("""COMPUTED_VALUE"""),"bliss (change)")</f>
        <v>bliss (change)</v>
      </c>
    </row>
    <row r="2479">
      <c r="A2479" s="41" t="str">
        <f>IFERROR(__xludf.DUMMYFUNCTION("""COMPUTED_VALUE"""),"RSC002486")</f>
        <v>RSC002486</v>
      </c>
      <c r="B2479" s="41" t="str">
        <f>IFERROR(__xludf.DUMMYFUNCTION("""COMPUTED_VALUE"""),"DerpPanther")</f>
        <v>DerpPanther</v>
      </c>
    </row>
    <row r="2480">
      <c r="A2480" s="41" t="str">
        <f>IFERROR(__xludf.DUMMYFUNCTION("""COMPUTED_VALUE"""),"RSC002487")</f>
        <v>RSC002487</v>
      </c>
      <c r="B2480" s="41" t="str">
        <f>IFERROR(__xludf.DUMMYFUNCTION("""COMPUTED_VALUE"""),"Momo ^-^")</f>
        <v>Momo ^-^</v>
      </c>
    </row>
    <row r="2481">
      <c r="A2481" s="41" t="str">
        <f>IFERROR(__xludf.DUMMYFUNCTION("""COMPUTED_VALUE"""),"RSC002488")</f>
        <v>RSC002488</v>
      </c>
      <c r="B2481" s="41" t="str">
        <f>IFERROR(__xludf.DUMMYFUNCTION("""COMPUTED_VALUE"""),"Bamboo")</f>
        <v>Bamboo</v>
      </c>
    </row>
    <row r="2482">
      <c r="A2482" s="41" t="str">
        <f>IFERROR(__xludf.DUMMYFUNCTION("""COMPUTED_VALUE"""),"RSC002489")</f>
        <v>RSC002489</v>
      </c>
      <c r="B2482" s="41" t="str">
        <f>IFERROR(__xludf.DUMMYFUNCTION("""COMPUTED_VALUE"""),"Vice (change)")</f>
        <v>Vice (change)</v>
      </c>
    </row>
    <row r="2483">
      <c r="A2483" s="41" t="str">
        <f>IFERROR(__xludf.DUMMYFUNCTION("""COMPUTED_VALUE"""),"RSC002490")</f>
        <v>RSC002490</v>
      </c>
      <c r="B2483" s="41" t="str">
        <f>IFERROR(__xludf.DUMMYFUNCTION("""COMPUTED_VALUE"""),"6-7!")</f>
        <v>6-7!</v>
      </c>
    </row>
    <row r="2484">
      <c r="A2484" s="41" t="str">
        <f>IFERROR(__xludf.DUMMYFUNCTION("""COMPUTED_VALUE"""),"RSC002491")</f>
        <v>RSC002491</v>
      </c>
      <c r="B2484" s="41" t="str">
        <f>IFERROR(__xludf.DUMMYFUNCTION("""COMPUTED_VALUE"""),"SkilledAce")</f>
        <v>SkilledAce</v>
      </c>
    </row>
    <row r="2485">
      <c r="A2485" s="41" t="str">
        <f>IFERROR(__xludf.DUMMYFUNCTION("""COMPUTED_VALUE"""),"RSC002492")</f>
        <v>RSC002492</v>
      </c>
      <c r="B2485" s="41" t="str">
        <f>IFERROR(__xludf.DUMMYFUNCTION("""COMPUTED_VALUE"""),"dray")</f>
        <v>dray</v>
      </c>
    </row>
    <row r="2486">
      <c r="A2486" s="41" t="str">
        <f>IFERROR(__xludf.DUMMYFUNCTION("""COMPUTED_VALUE"""),"RSC002493")</f>
        <v>RSC002493</v>
      </c>
      <c r="B2486" s="41" t="str">
        <f>IFERROR(__xludf.DUMMYFUNCTION("""COMPUTED_VALUE"""),"ChitFPV")</f>
        <v>ChitFPV</v>
      </c>
    </row>
    <row r="2487">
      <c r="A2487" s="41" t="str">
        <f>IFERROR(__xludf.DUMMYFUNCTION("""COMPUTED_VALUE"""),"RSC002494")</f>
        <v>RSC002494</v>
      </c>
      <c r="B2487" s="41" t="str">
        <f>IFERROR(__xludf.DUMMYFUNCTION("""COMPUTED_VALUE"""),"lone wolf")</f>
        <v>lone wolf</v>
      </c>
    </row>
    <row r="2488">
      <c r="A2488" s="41" t="str">
        <f>IFERROR(__xludf.DUMMYFUNCTION("""COMPUTED_VALUE"""),"RSC002495")</f>
        <v>RSC002495</v>
      </c>
      <c r="B2488" s="41" t="str">
        <f>IFERROR(__xludf.DUMMYFUNCTION("""COMPUTED_VALUE"""),"coversum")</f>
        <v>coversum</v>
      </c>
    </row>
    <row r="2489">
      <c r="A2489" s="41" t="str">
        <f>IFERROR(__xludf.DUMMYFUNCTION("""COMPUTED_VALUE"""),"RSC002496")</f>
        <v>RSC002496</v>
      </c>
      <c r="B2489" s="41" t="str">
        <f>IFERROR(__xludf.DUMMYFUNCTION("""COMPUTED_VALUE"""),"TunZ")</f>
        <v>TunZ</v>
      </c>
    </row>
    <row r="2490">
      <c r="A2490" s="41" t="str">
        <f>IFERROR(__xludf.DUMMYFUNCTION("""COMPUTED_VALUE"""),"RSC002497")</f>
        <v>RSC002497</v>
      </c>
      <c r="B2490" s="41" t="str">
        <f>IFERROR(__xludf.DUMMYFUNCTION("""COMPUTED_VALUE"""),"dannyarz70")</f>
        <v>dannyarz70</v>
      </c>
    </row>
    <row r="2491">
      <c r="A2491" s="41" t="str">
        <f>IFERROR(__xludf.DUMMYFUNCTION("""COMPUTED_VALUE"""),"RSC002498")</f>
        <v>RSC002498</v>
      </c>
      <c r="B2491" s="41" t="str">
        <f>IFERROR(__xludf.DUMMYFUNCTION("""COMPUTED_VALUE"""),"Justin")</f>
        <v>Justin</v>
      </c>
    </row>
    <row r="2492">
      <c r="A2492" s="41" t="str">
        <f>IFERROR(__xludf.DUMMYFUNCTION("""COMPUTED_VALUE"""),"RSC002499")</f>
        <v>RSC002499</v>
      </c>
      <c r="B2492" s="41" t="str">
        <f>IFERROR(__xludf.DUMMYFUNCTION("""COMPUTED_VALUE"""),"Davos")</f>
        <v>Davos</v>
      </c>
    </row>
    <row r="2493">
      <c r="A2493" s="41" t="str">
        <f>IFERROR(__xludf.DUMMYFUNCTION("""COMPUTED_VALUE"""),"RSC002500")</f>
        <v>RSC002500</v>
      </c>
      <c r="B2493" s="41" t="str">
        <f>IFERROR(__xludf.DUMMYFUNCTION("""COMPUTED_VALUE"""),"kalten")</f>
        <v>kalten</v>
      </c>
    </row>
    <row r="2494">
      <c r="A2494" s="41" t="str">
        <f>IFERROR(__xludf.DUMMYFUNCTION("""COMPUTED_VALUE"""),"RSC002501")</f>
        <v>RSC002501</v>
      </c>
      <c r="B2494" s="41" t="str">
        <f>IFERROR(__xludf.DUMMYFUNCTION("""COMPUTED_VALUE"""),"sem")</f>
        <v>sem</v>
      </c>
    </row>
    <row r="2495">
      <c r="A2495" s="41" t="str">
        <f>IFERROR(__xludf.DUMMYFUNCTION("""COMPUTED_VALUE"""),"RSC002502")</f>
        <v>RSC002502</v>
      </c>
      <c r="B2495" s="41" t="str">
        <f>IFERROR(__xludf.DUMMYFUNCTION("""COMPUTED_VALUE"""),"Qpmodulator")</f>
        <v>Qpmodulator</v>
      </c>
    </row>
    <row r="2496">
      <c r="A2496" s="41" t="str">
        <f>IFERROR(__xludf.DUMMYFUNCTION("""COMPUTED_VALUE"""),"RSC002503")</f>
        <v>RSC002503</v>
      </c>
      <c r="B2496" s="41" t="str">
        <f>IFERROR(__xludf.DUMMYFUNCTION("""COMPUTED_VALUE"""),"xChach")</f>
        <v>xChach</v>
      </c>
    </row>
    <row r="2497">
      <c r="A2497" s="41" t="str">
        <f>IFERROR(__xludf.DUMMYFUNCTION("""COMPUTED_VALUE"""),"RSC002504")</f>
        <v>RSC002504</v>
      </c>
      <c r="B2497" s="41" t="str">
        <f>IFERROR(__xludf.DUMMYFUNCTION("""COMPUTED_VALUE"""),"Duck")</f>
        <v>Duck</v>
      </c>
    </row>
    <row r="2498">
      <c r="A2498" s="41" t="str">
        <f>IFERROR(__xludf.DUMMYFUNCTION("""COMPUTED_VALUE"""),"RSC002505")</f>
        <v>RSC002505</v>
      </c>
      <c r="B2498" s="41" t="str">
        <f>IFERROR(__xludf.DUMMYFUNCTION("""COMPUTED_VALUE"""),"JynxGaming24")</f>
        <v>JynxGaming24</v>
      </c>
    </row>
    <row r="2499">
      <c r="A2499" s="41" t="str">
        <f>IFERROR(__xludf.DUMMYFUNCTION("""COMPUTED_VALUE"""),"RSC002506")</f>
        <v>RSC002506</v>
      </c>
      <c r="B2499" s="41" t="str">
        <f>IFERROR(__xludf.DUMMYFUNCTION("""COMPUTED_VALUE"""),"Ethan")</f>
        <v>Ethan</v>
      </c>
    </row>
    <row r="2500">
      <c r="A2500" s="41" t="str">
        <f>IFERROR(__xludf.DUMMYFUNCTION("""COMPUTED_VALUE"""),"RSC002507")</f>
        <v>RSC002507</v>
      </c>
      <c r="B2500" s="41" t="str">
        <f>IFERROR(__xludf.DUMMYFUNCTION("""COMPUTED_VALUE"""),"Mapl3Bac0n")</f>
        <v>Mapl3Bac0n</v>
      </c>
    </row>
    <row r="2501">
      <c r="A2501" s="41" t="str">
        <f>IFERROR(__xludf.DUMMYFUNCTION("""COMPUTED_VALUE"""),"RSC002508")</f>
        <v>RSC002508</v>
      </c>
      <c r="B2501" s="41" t="str">
        <f>IFERROR(__xludf.DUMMYFUNCTION("""COMPUTED_VALUE"""),"Beninemm")</f>
        <v>Beninemm</v>
      </c>
    </row>
    <row r="2502">
      <c r="A2502" s="41" t="str">
        <f>IFERROR(__xludf.DUMMYFUNCTION("""COMPUTED_VALUE"""),"RSC002509")</f>
        <v>RSC002509</v>
      </c>
      <c r="B2502" s="41" t="str">
        <f>IFERROR(__xludf.DUMMYFUNCTION("""COMPUTED_VALUE"""),"xRexYT")</f>
        <v>xRexYT</v>
      </c>
    </row>
    <row r="2503">
      <c r="A2503" s="41" t="str">
        <f>IFERROR(__xludf.DUMMYFUNCTION("""COMPUTED_VALUE"""),"RSC002510")</f>
        <v>RSC002510</v>
      </c>
      <c r="B2503" s="41" t="str">
        <f>IFERROR(__xludf.DUMMYFUNCTION("""COMPUTED_VALUE"""),"Ben256")</f>
        <v>Ben256</v>
      </c>
    </row>
    <row r="2504">
      <c r="A2504" s="41" t="str">
        <f>IFERROR(__xludf.DUMMYFUNCTION("""COMPUTED_VALUE"""),"RSC002511")</f>
        <v>RSC002511</v>
      </c>
      <c r="B2504" s="41" t="str">
        <f>IFERROR(__xludf.DUMMYFUNCTION("""COMPUTED_VALUE"""),"Moist_Games")</f>
        <v>Moist_Games</v>
      </c>
    </row>
    <row r="2505">
      <c r="A2505" s="41" t="str">
        <f>IFERROR(__xludf.DUMMYFUNCTION("""COMPUTED_VALUE"""),"RSC002512")</f>
        <v>RSC002512</v>
      </c>
      <c r="B2505" s="41" t="str">
        <f>IFERROR(__xludf.DUMMYFUNCTION("""COMPUTED_VALUE"""),"metamorph8")</f>
        <v>metamorph8</v>
      </c>
    </row>
    <row r="2506">
      <c r="A2506" s="41" t="str">
        <f>IFERROR(__xludf.DUMMYFUNCTION("""COMPUTED_VALUE"""),"RSC002513")</f>
        <v>RSC002513</v>
      </c>
      <c r="B2506" s="41" t="str">
        <f>IFERROR(__xludf.DUMMYFUNCTION("""COMPUTED_VALUE"""),"SuperCruz101")</f>
        <v>SuperCruz101</v>
      </c>
    </row>
    <row r="2507">
      <c r="A2507" s="41" t="str">
        <f>IFERROR(__xludf.DUMMYFUNCTION("""COMPUTED_VALUE"""),"RSC002514")</f>
        <v>RSC002514</v>
      </c>
      <c r="B2507" s="41" t="str">
        <f>IFERROR(__xludf.DUMMYFUNCTION("""COMPUTED_VALUE"""),"rec")</f>
        <v>rec</v>
      </c>
    </row>
    <row r="2508">
      <c r="A2508" s="41" t="str">
        <f>IFERROR(__xludf.DUMMYFUNCTION("""COMPUTED_VALUE"""),"RSC002515")</f>
        <v>RSC002515</v>
      </c>
      <c r="B2508" s="41" t="str">
        <f>IFERROR(__xludf.DUMMYFUNCTION("""COMPUTED_VALUE"""),"Preflight")</f>
        <v>Preflight</v>
      </c>
    </row>
    <row r="2509">
      <c r="A2509" s="41" t="str">
        <f>IFERROR(__xludf.DUMMYFUNCTION("""COMPUTED_VALUE"""),"RSC002516")</f>
        <v>RSC002516</v>
      </c>
      <c r="B2509" s="41" t="str">
        <f>IFERROR(__xludf.DUMMYFUNCTION("""COMPUTED_VALUE"""),"Cusxn")</f>
        <v>Cusxn</v>
      </c>
    </row>
    <row r="2510">
      <c r="A2510" s="41" t="str">
        <f>IFERROR(__xludf.DUMMYFUNCTION("""COMPUTED_VALUE"""),"RSC002517")</f>
        <v>RSC002517</v>
      </c>
      <c r="B2510" s="41" t="str">
        <f>IFERROR(__xludf.DUMMYFUNCTION("""COMPUTED_VALUE"""),"dagan the compstyler")</f>
        <v>dagan the compstyler</v>
      </c>
    </row>
    <row r="2511">
      <c r="A2511" s="41" t="str">
        <f>IFERROR(__xludf.DUMMYFUNCTION("""COMPUTED_VALUE"""),"RSC002518")</f>
        <v>RSC002518</v>
      </c>
      <c r="B2511" s="41" t="str">
        <f>IFERROR(__xludf.DUMMYFUNCTION("""COMPUTED_VALUE"""),"Aggro")</f>
        <v>Aggro</v>
      </c>
    </row>
    <row r="2512">
      <c r="A2512" s="41" t="str">
        <f>IFERROR(__xludf.DUMMYFUNCTION("""COMPUTED_VALUE"""),"RSC002519")</f>
        <v>RSC002519</v>
      </c>
      <c r="B2512" s="41" t="str">
        <f>IFERROR(__xludf.DUMMYFUNCTION("""COMPUTED_VALUE"""),"Twitch | ItzFlaKo_")</f>
        <v>Twitch | ItzFlaKo_</v>
      </c>
    </row>
    <row r="2513">
      <c r="A2513" s="41" t="str">
        <f>IFERROR(__xludf.DUMMYFUNCTION("""COMPUTED_VALUE"""),"RSC002520")</f>
        <v>RSC002520</v>
      </c>
      <c r="B2513" s="41" t="str">
        <f>IFERROR(__xludf.DUMMYFUNCTION("""COMPUTED_VALUE"""),"Wrath")</f>
        <v>Wrath</v>
      </c>
    </row>
    <row r="2514">
      <c r="A2514" s="41" t="str">
        <f>IFERROR(__xludf.DUMMYFUNCTION("""COMPUTED_VALUE"""),"RSC002521")</f>
        <v>RSC002521</v>
      </c>
      <c r="B2514" s="41" t="str">
        <f>IFERROR(__xludf.DUMMYFUNCTION("""COMPUTED_VALUE"""),"_Chronos")</f>
        <v>_Chronos</v>
      </c>
    </row>
    <row r="2515">
      <c r="A2515" s="41" t="str">
        <f>IFERROR(__xludf.DUMMYFUNCTION("""COMPUTED_VALUE"""),"RSC002522")</f>
        <v>RSC002522</v>
      </c>
      <c r="B2515" s="41" t="str">
        <f>IFERROR(__xludf.DUMMYFUNCTION("""COMPUTED_VALUE"""),"TG Brazza")</f>
        <v>TG Brazza</v>
      </c>
    </row>
    <row r="2516">
      <c r="A2516" s="41" t="str">
        <f>IFERROR(__xludf.DUMMYFUNCTION("""COMPUTED_VALUE"""),"RSC002523")</f>
        <v>RSC002523</v>
      </c>
      <c r="B2516" s="41" t="str">
        <f>IFERROR(__xludf.DUMMYFUNCTION("""COMPUTED_VALUE"""),"Codes")</f>
        <v>Codes</v>
      </c>
    </row>
    <row r="2517">
      <c r="A2517" s="41" t="str">
        <f>IFERROR(__xludf.DUMMYFUNCTION("""COMPUTED_VALUE"""),"RSC002524")</f>
        <v>RSC002524</v>
      </c>
      <c r="B2517" s="41" t="str">
        <f>IFERROR(__xludf.DUMMYFUNCTION("""COMPUTED_VALUE"""),"DedicatedTacoFan(RiseAZN)")</f>
        <v>DedicatedTacoFan(RiseAZN)</v>
      </c>
    </row>
    <row r="2518">
      <c r="A2518" s="41" t="str">
        <f>IFERROR(__xludf.DUMMYFUNCTION("""COMPUTED_VALUE"""),"RSC002525")</f>
        <v>RSC002525</v>
      </c>
      <c r="B2518" s="41" t="str">
        <f>IFERROR(__xludf.DUMMYFUNCTION("""COMPUTED_VALUE"""),"Havok Clips")</f>
        <v>Havok Clips</v>
      </c>
    </row>
    <row r="2519">
      <c r="A2519" s="41" t="str">
        <f>IFERROR(__xludf.DUMMYFUNCTION("""COMPUTED_VALUE"""),"RSC002526")</f>
        <v>RSC002526</v>
      </c>
      <c r="B2519" s="41" t="str">
        <f>IFERROR(__xludf.DUMMYFUNCTION("""COMPUTED_VALUE"""),"Zphere_")</f>
        <v>Zphere_</v>
      </c>
    </row>
    <row r="2520">
      <c r="A2520" s="41" t="str">
        <f>IFERROR(__xludf.DUMMYFUNCTION("""COMPUTED_VALUE"""),"RSC002527")</f>
        <v>RSC002527</v>
      </c>
      <c r="B2520" s="41" t="str">
        <f>IFERROR(__xludf.DUMMYFUNCTION("""COMPUTED_VALUE"""),"L-Tropic-L")</f>
        <v>L-Tropic-L</v>
      </c>
    </row>
    <row r="2521">
      <c r="A2521" s="41" t="str">
        <f>IFERROR(__xludf.DUMMYFUNCTION("""COMPUTED_VALUE"""),"RSC002528")</f>
        <v>RSC002528</v>
      </c>
      <c r="B2521" s="41" t="str">
        <f>IFERROR(__xludf.DUMMYFUNCTION("""COMPUTED_VALUE"""),"MrFuzzyAcorns")</f>
        <v>MrFuzzyAcorns</v>
      </c>
    </row>
    <row r="2522">
      <c r="A2522" s="41" t="str">
        <f>IFERROR(__xludf.DUMMYFUNCTION("""COMPUTED_VALUE"""),"RSC002529")</f>
        <v>RSC002529</v>
      </c>
      <c r="B2522" s="41" t="str">
        <f>IFERROR(__xludf.DUMMYFUNCTION("""COMPUTED_VALUE"""),"Triangleqw")</f>
        <v>Triangleqw</v>
      </c>
    </row>
    <row r="2523">
      <c r="A2523" s="41" t="str">
        <f>IFERROR(__xludf.DUMMYFUNCTION("""COMPUTED_VALUE"""),"RSC002530")</f>
        <v>RSC002530</v>
      </c>
      <c r="B2523" s="41" t="str">
        <f>IFERROR(__xludf.DUMMYFUNCTION("""COMPUTED_VALUE"""),"Mindception")</f>
        <v>Mindception</v>
      </c>
    </row>
    <row r="2524">
      <c r="A2524" s="41" t="str">
        <f>IFERROR(__xludf.DUMMYFUNCTION("""COMPUTED_VALUE"""),"RSC002531")</f>
        <v>RSC002531</v>
      </c>
      <c r="B2524" s="41" t="str">
        <f>IFERROR(__xludf.DUMMYFUNCTION("""COMPUTED_VALUE"""),"Loom")</f>
        <v>Loom</v>
      </c>
    </row>
    <row r="2525">
      <c r="A2525" s="41" t="str">
        <f>IFERROR(__xludf.DUMMYFUNCTION("""COMPUTED_VALUE"""),"RSC002532")</f>
        <v>RSC002532</v>
      </c>
      <c r="B2525" s="41" t="str">
        <f>IFERROR(__xludf.DUMMYFUNCTION("""COMPUTED_VALUE"""),"BubblyReaper")</f>
        <v>BubblyReaper</v>
      </c>
    </row>
    <row r="2526">
      <c r="A2526" s="41" t="str">
        <f>IFERROR(__xludf.DUMMYFUNCTION("""COMPUTED_VALUE"""),"RSC002533")</f>
        <v>RSC002533</v>
      </c>
      <c r="B2526" s="41" t="str">
        <f>IFERROR(__xludf.DUMMYFUNCTION("""COMPUTED_VALUE"""),"Pixie Gangstereo")</f>
        <v>Pixie Gangstereo</v>
      </c>
    </row>
    <row r="2527">
      <c r="A2527" s="41" t="str">
        <f>IFERROR(__xludf.DUMMYFUNCTION("""COMPUTED_VALUE"""),"RSC002534")</f>
        <v>RSC002534</v>
      </c>
      <c r="B2527" s="41" t="str">
        <f>IFERROR(__xludf.DUMMYFUNCTION("""COMPUTED_VALUE"""),"Ark.")</f>
        <v>Ark.</v>
      </c>
    </row>
    <row r="2528">
      <c r="A2528" s="41" t="str">
        <f>IFERROR(__xludf.DUMMYFUNCTION("""COMPUTED_VALUE"""),"RSC002535")</f>
        <v>RSC002535</v>
      </c>
      <c r="B2528" s="41" t="str">
        <f>IFERROR(__xludf.DUMMYFUNCTION("""COMPUTED_VALUE"""),"Dova")</f>
        <v>Dova</v>
      </c>
    </row>
    <row r="2529">
      <c r="A2529" s="41" t="str">
        <f>IFERROR(__xludf.DUMMYFUNCTION("""COMPUTED_VALUE"""),"RSC002536")</f>
        <v>RSC002536</v>
      </c>
      <c r="B2529" s="41" t="str">
        <f>IFERROR(__xludf.DUMMYFUNCTION("""COMPUTED_VALUE"""),"Death By 151")</f>
        <v>Death By 151</v>
      </c>
    </row>
    <row r="2530">
      <c r="A2530" s="41" t="str">
        <f>IFERROR(__xludf.DUMMYFUNCTION("""COMPUTED_VALUE"""),"RSC002537")</f>
        <v>RSC002537</v>
      </c>
      <c r="B2530" s="41" t="str">
        <f>IFERROR(__xludf.DUMMYFUNCTION("""COMPUTED_VALUE"""),"rixelzz-art")</f>
        <v>rixelzz-art</v>
      </c>
    </row>
    <row r="2531">
      <c r="A2531" s="41" t="str">
        <f>IFERROR(__xludf.DUMMYFUNCTION("""COMPUTED_VALUE"""),"RSC002538")</f>
        <v>RSC002538</v>
      </c>
      <c r="B2531" s="41" t="str">
        <f>IFERROR(__xludf.DUMMYFUNCTION("""COMPUTED_VALUE"""),"michigan224")</f>
        <v>michigan224</v>
      </c>
    </row>
    <row r="2532">
      <c r="A2532" s="41" t="str">
        <f>IFERROR(__xludf.DUMMYFUNCTION("""COMPUTED_VALUE"""),"RSC002539")</f>
        <v>RSC002539</v>
      </c>
      <c r="B2532" s="41" t="str">
        <f>IFERROR(__xludf.DUMMYFUNCTION("""COMPUTED_VALUE"""),"bott")</f>
        <v>bott</v>
      </c>
    </row>
    <row r="2533">
      <c r="A2533" s="41" t="str">
        <f>IFERROR(__xludf.DUMMYFUNCTION("""COMPUTED_VALUE"""),"RSC002540")</f>
        <v>RSC002540</v>
      </c>
      <c r="B2533" s="41" t="str">
        <f>IFERROR(__xludf.DUMMYFUNCTION("""COMPUTED_VALUE"""),"VoidxWolf")</f>
        <v>VoidxWolf</v>
      </c>
    </row>
    <row r="2534">
      <c r="A2534" s="41" t="str">
        <f>IFERROR(__xludf.DUMMYFUNCTION("""COMPUTED_VALUE"""),"RSC002541")</f>
        <v>RSC002541</v>
      </c>
      <c r="B2534" s="41" t="str">
        <f>IFERROR(__xludf.DUMMYFUNCTION("""COMPUTED_VALUE"""),"Rezzen97")</f>
        <v>Rezzen97</v>
      </c>
    </row>
    <row r="2535">
      <c r="A2535" s="41" t="str">
        <f>IFERROR(__xludf.DUMMYFUNCTION("""COMPUTED_VALUE"""),"RSC002542")</f>
        <v>RSC002542</v>
      </c>
      <c r="B2535" s="41" t="str">
        <f>IFERROR(__xludf.DUMMYFUNCTION("""COMPUTED_VALUE"""),"wicked.")</f>
        <v>wicked.</v>
      </c>
    </row>
    <row r="2536">
      <c r="A2536" s="41" t="str">
        <f>IFERROR(__xludf.DUMMYFUNCTION("""COMPUTED_VALUE"""),"RSC002543")</f>
        <v>RSC002543</v>
      </c>
      <c r="B2536" s="41" t="str">
        <f>IFERROR(__xludf.DUMMYFUNCTION("""COMPUTED_VALUE"""),"TyTy.")</f>
        <v>TyTy.</v>
      </c>
    </row>
    <row r="2537">
      <c r="A2537" s="41" t="str">
        <f>IFERROR(__xludf.DUMMYFUNCTION("""COMPUTED_VALUE"""),"RSC002544")</f>
        <v>RSC002544</v>
      </c>
      <c r="B2537" s="41" t="str">
        <f>IFERROR(__xludf.DUMMYFUNCTION("""COMPUTED_VALUE"""),"ItsJusstJ.")</f>
        <v>ItsJusstJ.</v>
      </c>
    </row>
    <row r="2538">
      <c r="A2538" s="41" t="str">
        <f>IFERROR(__xludf.DUMMYFUNCTION("""COMPUTED_VALUE"""),"RSC002545")</f>
        <v>RSC002545</v>
      </c>
      <c r="B2538" s="41" t="str">
        <f>IFERROR(__xludf.DUMMYFUNCTION("""COMPUTED_VALUE"""),"GrimSunshine14")</f>
        <v>GrimSunshine14</v>
      </c>
    </row>
    <row r="2539">
      <c r="A2539" s="41" t="str">
        <f>IFERROR(__xludf.DUMMYFUNCTION("""COMPUTED_VALUE"""),"RSC002546")</f>
        <v>RSC002546</v>
      </c>
      <c r="B2539" s="41" t="str">
        <f>IFERROR(__xludf.DUMMYFUNCTION("""COMPUTED_VALUE"""),"wolffse")</f>
        <v>wolffse</v>
      </c>
    </row>
    <row r="2540">
      <c r="A2540" s="41" t="str">
        <f>IFERROR(__xludf.DUMMYFUNCTION("""COMPUTED_VALUE"""),"RSC002547")</f>
        <v>RSC002547</v>
      </c>
      <c r="B2540" s="41" t="str">
        <f>IFERROR(__xludf.DUMMYFUNCTION("""COMPUTED_VALUE"""),"Tallian")</f>
        <v>Tallian</v>
      </c>
    </row>
    <row r="2541">
      <c r="A2541" s="41" t="str">
        <f>IFERROR(__xludf.DUMMYFUNCTION("""COMPUTED_VALUE"""),"RSC002548")</f>
        <v>RSC002548</v>
      </c>
      <c r="B2541" s="41" t="str">
        <f>IFERROR(__xludf.DUMMYFUNCTION("""COMPUTED_VALUE"""),"jrdn.")</f>
        <v>jrdn.</v>
      </c>
    </row>
    <row r="2542">
      <c r="A2542" s="41" t="str">
        <f>IFERROR(__xludf.DUMMYFUNCTION("""COMPUTED_VALUE"""),"RSC002549")</f>
        <v>RSC002549</v>
      </c>
      <c r="B2542" s="41" t="str">
        <f>IFERROR(__xludf.DUMMYFUNCTION("""COMPUTED_VALUE"""),"ALegitMan")</f>
        <v>ALegitMan</v>
      </c>
    </row>
    <row r="2543">
      <c r="A2543" s="41" t="str">
        <f>IFERROR(__xludf.DUMMYFUNCTION("""COMPUTED_VALUE"""),"RSC002550")</f>
        <v>RSC002550</v>
      </c>
      <c r="B2543" s="41" t="str">
        <f>IFERROR(__xludf.DUMMYFUNCTION("""COMPUTED_VALUE"""),"YaBoyTonnuh")</f>
        <v>YaBoyTonnuh</v>
      </c>
    </row>
    <row r="2544">
      <c r="A2544" s="41" t="str">
        <f>IFERROR(__xludf.DUMMYFUNCTION("""COMPUTED_VALUE"""),"RSC002551")</f>
        <v>RSC002551</v>
      </c>
      <c r="B2544" s="41" t="str">
        <f>IFERROR(__xludf.DUMMYFUNCTION("""COMPUTED_VALUE"""),"Pure_strafez")</f>
        <v>Pure_strafez</v>
      </c>
    </row>
    <row r="2545">
      <c r="A2545" s="41" t="str">
        <f>IFERROR(__xludf.DUMMYFUNCTION("""COMPUTED_VALUE"""),"RSC002552")</f>
        <v>RSC002552</v>
      </c>
      <c r="B2545" s="41" t="str">
        <f>IFERROR(__xludf.DUMMYFUNCTION("""COMPUTED_VALUE"""),"Joyyn")</f>
        <v>Joyyn</v>
      </c>
    </row>
    <row r="2546">
      <c r="A2546" s="41" t="str">
        <f>IFERROR(__xludf.DUMMYFUNCTION("""COMPUTED_VALUE"""),"RSC002553")</f>
        <v>RSC002553</v>
      </c>
      <c r="B2546" s="41" t="str">
        <f>IFERROR(__xludf.DUMMYFUNCTION("""COMPUTED_VALUE"""),"Oreo Ice Cream")</f>
        <v>Oreo Ice Cream</v>
      </c>
    </row>
    <row r="2547">
      <c r="A2547" s="41" t="str">
        <f>IFERROR(__xludf.DUMMYFUNCTION("""COMPUTED_VALUE"""),"RSC002554")</f>
        <v>RSC002554</v>
      </c>
      <c r="B2547" s="41" t="str">
        <f>IFERROR(__xludf.DUMMYFUNCTION("""COMPUTED_VALUE"""),"TrexReaper")</f>
        <v>TrexReaper</v>
      </c>
    </row>
    <row r="2548">
      <c r="A2548" s="41" t="str">
        <f>IFERROR(__xludf.DUMMYFUNCTION("""COMPUTED_VALUE"""),"RSC002555")</f>
        <v>RSC002555</v>
      </c>
      <c r="B2548" s="41" t="str">
        <f>IFERROR(__xludf.DUMMYFUNCTION("""COMPUTED_VALUE"""),"Devin(change)")</f>
        <v>Devin(change)</v>
      </c>
    </row>
    <row r="2549">
      <c r="A2549" s="41" t="str">
        <f>IFERROR(__xludf.DUMMYFUNCTION("""COMPUTED_VALUE"""),"RSC002556")</f>
        <v>RSC002556</v>
      </c>
      <c r="B2549" s="41" t="str">
        <f>IFERROR(__xludf.DUMMYFUNCTION("""COMPUTED_VALUE"""),"CBAki")</f>
        <v>CBAki</v>
      </c>
    </row>
    <row r="2550">
      <c r="A2550" s="41" t="str">
        <f>IFERROR(__xludf.DUMMYFUNCTION("""COMPUTED_VALUE"""),"RSC002557")</f>
        <v>RSC002557</v>
      </c>
      <c r="B2550" s="41" t="str">
        <f>IFERROR(__xludf.DUMMYFUNCTION("""COMPUTED_VALUE"""),"Gon955")</f>
        <v>Gon955</v>
      </c>
    </row>
    <row r="2551">
      <c r="A2551" s="41" t="str">
        <f>IFERROR(__xludf.DUMMYFUNCTION("""COMPUTED_VALUE"""),"RSC002558")</f>
        <v>RSC002558</v>
      </c>
      <c r="B2551" s="41" t="str">
        <f>IFERROR(__xludf.DUMMYFUNCTION("""COMPUTED_VALUE"""),"troompet")</f>
        <v>troompet</v>
      </c>
    </row>
    <row r="2552">
      <c r="A2552" s="41" t="str">
        <f>IFERROR(__xludf.DUMMYFUNCTION("""COMPUTED_VALUE"""),"RSC002559")</f>
        <v>RSC002559</v>
      </c>
      <c r="B2552" s="41" t="str">
        <f>IFERROR(__xludf.DUMMYFUNCTION("""COMPUTED_VALUE"""),"CommanderBoy")</f>
        <v>CommanderBoy</v>
      </c>
    </row>
    <row r="2553">
      <c r="A2553" s="41" t="str">
        <f>IFERROR(__xludf.DUMMYFUNCTION("""COMPUTED_VALUE"""),"RSC002560")</f>
        <v>RSC002560</v>
      </c>
      <c r="B2553" s="41" t="str">
        <f>IFERROR(__xludf.DUMMYFUNCTION("""COMPUTED_VALUE"""),"Killshot.")</f>
        <v>Killshot.</v>
      </c>
    </row>
    <row r="2554">
      <c r="A2554" s="41" t="str">
        <f>IFERROR(__xludf.DUMMYFUNCTION("""COMPUTED_VALUE"""),"RSC002561")</f>
        <v>RSC002561</v>
      </c>
      <c r="B2554" s="41" t="str">
        <f>IFERROR(__xludf.DUMMYFUNCTION("""COMPUTED_VALUE"""),"Krypt1cN3bula")</f>
        <v>Krypt1cN3bula</v>
      </c>
    </row>
    <row r="2555">
      <c r="A2555" s="41" t="str">
        <f>IFERROR(__xludf.DUMMYFUNCTION("""COMPUTED_VALUE"""),"RSC002562")</f>
        <v>RSC002562</v>
      </c>
      <c r="B2555" s="41" t="str">
        <f>IFERROR(__xludf.DUMMYFUNCTION("""COMPUTED_VALUE"""),"Yung")</f>
        <v>Yung</v>
      </c>
    </row>
    <row r="2556">
      <c r="A2556" s="41" t="str">
        <f>IFERROR(__xludf.DUMMYFUNCTION("""COMPUTED_VALUE"""),"RSC002563")</f>
        <v>RSC002563</v>
      </c>
      <c r="B2556" s="41" t="str">
        <f>IFERROR(__xludf.DUMMYFUNCTION("""COMPUTED_VALUE"""),"UnicornHuntresss")</f>
        <v>UnicornHuntresss</v>
      </c>
    </row>
    <row r="2557">
      <c r="A2557" s="41" t="str">
        <f>IFERROR(__xludf.DUMMYFUNCTION("""COMPUTED_VALUE"""),"RSC002564")</f>
        <v>RSC002564</v>
      </c>
      <c r="B2557" s="41" t="str">
        <f>IFERROR(__xludf.DUMMYFUNCTION("""COMPUTED_VALUE"""),"tpural")</f>
        <v>tpural</v>
      </c>
    </row>
    <row r="2558">
      <c r="A2558" s="41" t="str">
        <f>IFERROR(__xludf.DUMMYFUNCTION("""COMPUTED_VALUE"""),"RSC002565")</f>
        <v>RSC002565</v>
      </c>
      <c r="B2558" s="41" t="str">
        <f>IFERROR(__xludf.DUMMYFUNCTION("""COMPUTED_VALUE"""),"Kryptyik")</f>
        <v>Kryptyik</v>
      </c>
    </row>
    <row r="2559">
      <c r="A2559" s="41" t="str">
        <f>IFERROR(__xludf.DUMMYFUNCTION("""COMPUTED_VALUE"""),"RSC002566")</f>
        <v>RSC002566</v>
      </c>
      <c r="B2559" s="41" t="str">
        <f>IFERROR(__xludf.DUMMYFUNCTION("""COMPUTED_VALUE"""),"Majik")</f>
        <v>Majik</v>
      </c>
    </row>
    <row r="2560">
      <c r="A2560" s="41" t="str">
        <f>IFERROR(__xludf.DUMMYFUNCTION("""COMPUTED_VALUE"""),"RSC002567")</f>
        <v>RSC002567</v>
      </c>
      <c r="B2560" s="41" t="str">
        <f>IFERROR(__xludf.DUMMYFUNCTION("""COMPUTED_VALUE"""),"Josxf")</f>
        <v>Josxf</v>
      </c>
    </row>
    <row r="2561">
      <c r="A2561" s="41" t="str">
        <f>IFERROR(__xludf.DUMMYFUNCTION("""COMPUTED_VALUE"""),"RSC002568")</f>
        <v>RSC002568</v>
      </c>
      <c r="B2561" s="41" t="str">
        <f>IFERROR(__xludf.DUMMYFUNCTION("""COMPUTED_VALUE"""),"otter")</f>
        <v>otter</v>
      </c>
    </row>
    <row r="2562">
      <c r="A2562" s="41" t="str">
        <f>IFERROR(__xludf.DUMMYFUNCTION("""COMPUTED_VALUE"""),"RSC002569")</f>
        <v>RSC002569</v>
      </c>
      <c r="B2562" s="41" t="str">
        <f>IFERROR(__xludf.DUMMYFUNCTION("""COMPUTED_VALUE"""),"Spades")</f>
        <v>Spades</v>
      </c>
    </row>
    <row r="2563">
      <c r="A2563" s="41" t="str">
        <f>IFERROR(__xludf.DUMMYFUNCTION("""COMPUTED_VALUE"""),"RSC002570")</f>
        <v>RSC002570</v>
      </c>
      <c r="B2563" s="41" t="str">
        <f>IFERROR(__xludf.DUMMYFUNCTION("""COMPUTED_VALUE"""),"Nike")</f>
        <v>Nike</v>
      </c>
    </row>
    <row r="2564">
      <c r="A2564" s="41" t="str">
        <f>IFERROR(__xludf.DUMMYFUNCTION("""COMPUTED_VALUE"""),"RSC002571")</f>
        <v>RSC002571</v>
      </c>
      <c r="B2564" s="41" t="str">
        <f>IFERROR(__xludf.DUMMYFUNCTION("""COMPUTED_VALUE"""),"GOOGLE GIRTH")</f>
        <v>GOOGLE GIRTH</v>
      </c>
    </row>
    <row r="2565">
      <c r="A2565" s="41" t="str">
        <f>IFERROR(__xludf.DUMMYFUNCTION("""COMPUTED_VALUE"""),"RSC002572")</f>
        <v>RSC002572</v>
      </c>
      <c r="B2565" s="41" t="str">
        <f>IFERROR(__xludf.DUMMYFUNCTION("""COMPUTED_VALUE"""),"Gote")</f>
        <v>Gote</v>
      </c>
    </row>
    <row r="2566">
      <c r="A2566" s="41" t="str">
        <f>IFERROR(__xludf.DUMMYFUNCTION("""COMPUTED_VALUE"""),"RSC002573")</f>
        <v>RSC002573</v>
      </c>
      <c r="B2566" s="41" t="str">
        <f>IFERROR(__xludf.DUMMYFUNCTION("""COMPUTED_VALUE"""),"Brewer")</f>
        <v>Brewer</v>
      </c>
    </row>
    <row r="2567">
      <c r="A2567" s="41" t="str">
        <f>IFERROR(__xludf.DUMMYFUNCTION("""COMPUTED_VALUE"""),"RSC002574")</f>
        <v>RSC002574</v>
      </c>
      <c r="B2567" s="41" t="str">
        <f>IFERROR(__xludf.DUMMYFUNCTION("""COMPUTED_VALUE"""),"TwrtIe")</f>
        <v>TwrtIe</v>
      </c>
    </row>
    <row r="2568">
      <c r="A2568" s="41" t="str">
        <f>IFERROR(__xludf.DUMMYFUNCTION("""COMPUTED_VALUE"""),"RSC002575")</f>
        <v>RSC002575</v>
      </c>
      <c r="B2568" s="41" t="str">
        <f>IFERROR(__xludf.DUMMYFUNCTION("""COMPUTED_VALUE"""),"Folly")</f>
        <v>Folly</v>
      </c>
    </row>
    <row r="2569">
      <c r="A2569" s="41" t="str">
        <f>IFERROR(__xludf.DUMMYFUNCTION("""COMPUTED_VALUE"""),"RSC002576")</f>
        <v>RSC002576</v>
      </c>
      <c r="B2569" s="41" t="str">
        <f>IFERROR(__xludf.DUMMYFUNCTION("""COMPUTED_VALUE"""),"Eekeos")</f>
        <v>Eekeos</v>
      </c>
    </row>
    <row r="2570">
      <c r="A2570" s="41" t="str">
        <f>IFERROR(__xludf.DUMMYFUNCTION("""COMPUTED_VALUE"""),"RSC002577")</f>
        <v>RSC002577</v>
      </c>
      <c r="B2570" s="41" t="str">
        <f>IFERROR(__xludf.DUMMYFUNCTION("""COMPUTED_VALUE"""),"xRB34")</f>
        <v>xRB34</v>
      </c>
    </row>
    <row r="2571">
      <c r="A2571" s="41" t="str">
        <f>IFERROR(__xludf.DUMMYFUNCTION("""COMPUTED_VALUE"""),"RSC002578")</f>
        <v>RSC002578</v>
      </c>
      <c r="B2571" s="41" t="str">
        <f>IFERROR(__xludf.DUMMYFUNCTION("""COMPUTED_VALUE"""),"hoopla")</f>
        <v>hoopla</v>
      </c>
    </row>
    <row r="2572">
      <c r="A2572" s="41" t="str">
        <f>IFERROR(__xludf.DUMMYFUNCTION("""COMPUTED_VALUE"""),"RSC002579")</f>
        <v>RSC002579</v>
      </c>
      <c r="B2572" s="41" t="str">
        <f>IFERROR(__xludf.DUMMYFUNCTION("""COMPUTED_VALUE"""),"saltybikini")</f>
        <v>saltybikini</v>
      </c>
    </row>
    <row r="2573">
      <c r="A2573" s="41" t="str">
        <f>IFERROR(__xludf.DUMMYFUNCTION("""COMPUTED_VALUE"""),"RSC002580")</f>
        <v>RSC002580</v>
      </c>
      <c r="B2573" s="41" t="str">
        <f>IFERROR(__xludf.DUMMYFUNCTION("""COMPUTED_VALUE"""),"captainfeesh")</f>
        <v>captainfeesh</v>
      </c>
    </row>
    <row r="2574">
      <c r="A2574" s="41" t="str">
        <f>IFERROR(__xludf.DUMMYFUNCTION("""COMPUTED_VALUE"""),"RSC002581")</f>
        <v>RSC002581</v>
      </c>
      <c r="B2574" s="41" t="str">
        <f>IFERROR(__xludf.DUMMYFUNCTION("""COMPUTED_VALUE"""),"banksy.")</f>
        <v>banksy.</v>
      </c>
    </row>
    <row r="2575">
      <c r="A2575" s="41" t="str">
        <f>IFERROR(__xludf.DUMMYFUNCTION("""COMPUTED_VALUE"""),"RSC002582")</f>
        <v>RSC002582</v>
      </c>
      <c r="B2575" s="41" t="str">
        <f>IFERROR(__xludf.DUMMYFUNCTION("""COMPUTED_VALUE"""),"jserpette95")</f>
        <v>jserpette95</v>
      </c>
    </row>
    <row r="2576">
      <c r="A2576" s="41" t="str">
        <f>IFERROR(__xludf.DUMMYFUNCTION("""COMPUTED_VALUE"""),"RSC002583")</f>
        <v>RSC002583</v>
      </c>
      <c r="B2576" s="41" t="str">
        <f>IFERROR(__xludf.DUMMYFUNCTION("""COMPUTED_VALUE"""),"BsmithRL")</f>
        <v>BsmithRL</v>
      </c>
    </row>
    <row r="2577">
      <c r="A2577" s="41" t="str">
        <f>IFERROR(__xludf.DUMMYFUNCTION("""COMPUTED_VALUE"""),"RSC002584")</f>
        <v>RSC002584</v>
      </c>
      <c r="B2577" s="41" t="str">
        <f>IFERROR(__xludf.DUMMYFUNCTION("""COMPUTED_VALUE"""),"darkpratt")</f>
        <v>darkpratt</v>
      </c>
    </row>
    <row r="2578">
      <c r="A2578" s="41" t="str">
        <f>IFERROR(__xludf.DUMMYFUNCTION("""COMPUTED_VALUE"""),"RSC002585")</f>
        <v>RSC002585</v>
      </c>
      <c r="B2578" s="41" t="str">
        <f>IFERROR(__xludf.DUMMYFUNCTION("""COMPUTED_VALUE"""),"Wheats541")</f>
        <v>Wheats541</v>
      </c>
    </row>
    <row r="2579">
      <c r="A2579" s="41" t="str">
        <f>IFERROR(__xludf.DUMMYFUNCTION("""COMPUTED_VALUE"""),"RSC002586")</f>
        <v>RSC002586</v>
      </c>
      <c r="B2579" s="41" t="str">
        <f>IFERROR(__xludf.DUMMYFUNCTION("""COMPUTED_VALUE"""),"SirLegendThe7th")</f>
        <v>SirLegendThe7th</v>
      </c>
    </row>
    <row r="2580">
      <c r="A2580" s="41" t="str">
        <f>IFERROR(__xludf.DUMMYFUNCTION("""COMPUTED_VALUE"""),"RSC002587")</f>
        <v>RSC002587</v>
      </c>
      <c r="B2580" s="41" t="str">
        <f>IFERROR(__xludf.DUMMYFUNCTION("""COMPUTED_VALUE"""),"POLARxBURR")</f>
        <v>POLARxBURR</v>
      </c>
    </row>
    <row r="2581">
      <c r="A2581" s="41" t="str">
        <f>IFERROR(__xludf.DUMMYFUNCTION("""COMPUTED_VALUE"""),"RSC002588")</f>
        <v>RSC002588</v>
      </c>
      <c r="B2581" s="41" t="str">
        <f>IFERROR(__xludf.DUMMYFUNCTION("""COMPUTED_VALUE"""),"kaizah")</f>
        <v>kaizah</v>
      </c>
    </row>
    <row r="2582">
      <c r="A2582" s="41" t="str">
        <f>IFERROR(__xludf.DUMMYFUNCTION("""COMPUTED_VALUE"""),"RSC002589")</f>
        <v>RSC002589</v>
      </c>
      <c r="B2582" s="41" t="str">
        <f>IFERROR(__xludf.DUMMYFUNCTION("""COMPUTED_VALUE"""),"Marcster16")</f>
        <v>Marcster16</v>
      </c>
    </row>
    <row r="2583">
      <c r="A2583" s="41" t="str">
        <f>IFERROR(__xludf.DUMMYFUNCTION("""COMPUTED_VALUE"""),"RSC002590")</f>
        <v>RSC002590</v>
      </c>
      <c r="B2583" s="41" t="str">
        <f>IFERROR(__xludf.DUMMYFUNCTION("""COMPUTED_VALUE"""),"Bhay")</f>
        <v>Bhay</v>
      </c>
    </row>
    <row r="2584">
      <c r="A2584" s="41" t="str">
        <f>IFERROR(__xludf.DUMMYFUNCTION("""COMPUTED_VALUE"""),"RSC002591")</f>
        <v>RSC002591</v>
      </c>
      <c r="B2584" s="41" t="str">
        <f>IFERROR(__xludf.DUMMYFUNCTION("""COMPUTED_VALUE"""),"JHensleyy.")</f>
        <v>JHensleyy.</v>
      </c>
    </row>
    <row r="2585">
      <c r="A2585" s="41" t="str">
        <f>IFERROR(__xludf.DUMMYFUNCTION("""COMPUTED_VALUE"""),"RSC002592")</f>
        <v>RSC002592</v>
      </c>
      <c r="B2585" s="41" t="str">
        <f>IFERROR(__xludf.DUMMYFUNCTION("""COMPUTED_VALUE"""),"Dr.Dunk")</f>
        <v>Dr.Dunk</v>
      </c>
    </row>
    <row r="2586">
      <c r="A2586" s="41" t="str">
        <f>IFERROR(__xludf.DUMMYFUNCTION("""COMPUTED_VALUE"""),"RSC002593")</f>
        <v>RSC002593</v>
      </c>
      <c r="B2586" s="41" t="str">
        <f>IFERROR(__xludf.DUMMYFUNCTION("""COMPUTED_VALUE"""),"a potato")</f>
        <v>a potato</v>
      </c>
    </row>
    <row r="2587">
      <c r="A2587" s="41" t="str">
        <f>IFERROR(__xludf.DUMMYFUNCTION("""COMPUTED_VALUE"""),"RSC002594")</f>
        <v>RSC002594</v>
      </c>
      <c r="B2587" s="41" t="str">
        <f>IFERROR(__xludf.DUMMYFUNCTION("""COMPUTED_VALUE"""),"ASAP flacko10")</f>
        <v>ASAP flacko10</v>
      </c>
    </row>
    <row r="2588">
      <c r="A2588" s="41" t="str">
        <f>IFERROR(__xludf.DUMMYFUNCTION("""COMPUTED_VALUE"""),"RSC002595")</f>
        <v>RSC002595</v>
      </c>
      <c r="B2588" s="41" t="str">
        <f>IFERROR(__xludf.DUMMYFUNCTION("""COMPUTED_VALUE"""),"DaSpiessatron21")</f>
        <v>DaSpiessatron21</v>
      </c>
    </row>
    <row r="2589">
      <c r="A2589" s="41" t="str">
        <f>IFERROR(__xludf.DUMMYFUNCTION("""COMPUTED_VALUE"""),"RSC002596")</f>
        <v>RSC002596</v>
      </c>
      <c r="B2589" s="41" t="str">
        <f>IFERROR(__xludf.DUMMYFUNCTION("""COMPUTED_VALUE"""),"Jeff Wadowski")</f>
        <v>Jeff Wadowski</v>
      </c>
    </row>
    <row r="2590">
      <c r="A2590" s="41" t="str">
        <f>IFERROR(__xludf.DUMMYFUNCTION("""COMPUTED_VALUE"""),"RSC002597")</f>
        <v>RSC002597</v>
      </c>
      <c r="B2590" s="41" t="str">
        <f>IFERROR(__xludf.DUMMYFUNCTION("""COMPUTED_VALUE"""),"Resact")</f>
        <v>Resact</v>
      </c>
    </row>
    <row r="2591">
      <c r="A2591" s="41" t="str">
        <f>IFERROR(__xludf.DUMMYFUNCTION("""COMPUTED_VALUE"""),"RSC002598")</f>
        <v>RSC002598</v>
      </c>
      <c r="B2591" s="41" t="str">
        <f>IFERROR(__xludf.DUMMYFUNCTION("""COMPUTED_VALUE"""),"My Luck Though")</f>
        <v>My Luck Though</v>
      </c>
    </row>
    <row r="2592">
      <c r="A2592" s="41" t="str">
        <f>IFERROR(__xludf.DUMMYFUNCTION("""COMPUTED_VALUE"""),"RSC002599")</f>
        <v>RSC002599</v>
      </c>
      <c r="B2592" s="41" t="str">
        <f>IFERROR(__xludf.DUMMYFUNCTION("""COMPUTED_VALUE"""),"blucifer")</f>
        <v>blucifer</v>
      </c>
    </row>
    <row r="2593">
      <c r="A2593" s="41" t="str">
        <f>IFERROR(__xludf.DUMMYFUNCTION("""COMPUTED_VALUE"""),"RSC002600")</f>
        <v>RSC002600</v>
      </c>
      <c r="B2593" s="41" t="str">
        <f>IFERROR(__xludf.DUMMYFUNCTION("""COMPUTED_VALUE"""),"Taskhetto")</f>
        <v>Taskhetto</v>
      </c>
    </row>
    <row r="2594">
      <c r="A2594" s="41" t="str">
        <f>IFERROR(__xludf.DUMMYFUNCTION("""COMPUTED_VALUE"""),"RSC002601")</f>
        <v>RSC002601</v>
      </c>
      <c r="B2594" s="41" t="str">
        <f>IFERROR(__xludf.DUMMYFUNCTION("""COMPUTED_VALUE"""),"DingSlinger")</f>
        <v>DingSlinger</v>
      </c>
    </row>
    <row r="2595">
      <c r="A2595" s="41" t="str">
        <f>IFERROR(__xludf.DUMMYFUNCTION("""COMPUTED_VALUE"""),"RSC002602")</f>
        <v>RSC002602</v>
      </c>
      <c r="B2595" s="41" t="str">
        <f>IFERROR(__xludf.DUMMYFUNCTION("""COMPUTED_VALUE"""),"N8")</f>
        <v>N8</v>
      </c>
    </row>
    <row r="2596">
      <c r="A2596" s="41" t="str">
        <f>IFERROR(__xludf.DUMMYFUNCTION("""COMPUTED_VALUE"""),"RSC002603")</f>
        <v>RSC002603</v>
      </c>
      <c r="B2596" s="41" t="str">
        <f>IFERROR(__xludf.DUMMYFUNCTION("""COMPUTED_VALUE"""),"djswifte")</f>
        <v>djswifte</v>
      </c>
    </row>
    <row r="2597">
      <c r="A2597" s="41" t="str">
        <f>IFERROR(__xludf.DUMMYFUNCTION("""COMPUTED_VALUE"""),"RSC002604")</f>
        <v>RSC002604</v>
      </c>
      <c r="B2597" s="41" t="str">
        <f>IFERROR(__xludf.DUMMYFUNCTION("""COMPUTED_VALUE"""),"xammiez")</f>
        <v>xammiez</v>
      </c>
    </row>
    <row r="2598">
      <c r="A2598" s="41" t="str">
        <f>IFERROR(__xludf.DUMMYFUNCTION("""COMPUTED_VALUE"""),"RSC002605")</f>
        <v>RSC002605</v>
      </c>
      <c r="B2598" s="41" t="str">
        <f>IFERROR(__xludf.DUMMYFUNCTION("""COMPUTED_VALUE"""),"Succ")</f>
        <v>Succ</v>
      </c>
    </row>
    <row r="2599">
      <c r="A2599" s="41" t="str">
        <f>IFERROR(__xludf.DUMMYFUNCTION("""COMPUTED_VALUE"""),"RSC002606")</f>
        <v>RSC002606</v>
      </c>
      <c r="B2599" s="41" t="str">
        <f>IFERROR(__xludf.DUMMYFUNCTION("""COMPUTED_VALUE"""),"Kinda Close")</f>
        <v>Kinda Close</v>
      </c>
    </row>
    <row r="2600">
      <c r="A2600" s="41" t="str">
        <f>IFERROR(__xludf.DUMMYFUNCTION("""COMPUTED_VALUE"""),"RSC002607")</f>
        <v>RSC002607</v>
      </c>
      <c r="B2600" s="41" t="str">
        <f>IFERROR(__xludf.DUMMYFUNCTION("""COMPUTED_VALUE"""),"Maxwell2711")</f>
        <v>Maxwell2711</v>
      </c>
    </row>
    <row r="2601">
      <c r="A2601" s="41" t="str">
        <f>IFERROR(__xludf.DUMMYFUNCTION("""COMPUTED_VALUE"""),"RSC002608")</f>
        <v>RSC002608</v>
      </c>
      <c r="B2601" s="41" t="str">
        <f>IFERROR(__xludf.DUMMYFUNCTION("""COMPUTED_VALUE"""),"TooCoolC")</f>
        <v>TooCoolC</v>
      </c>
    </row>
    <row r="2602">
      <c r="A2602" s="41" t="str">
        <f>IFERROR(__xludf.DUMMYFUNCTION("""COMPUTED_VALUE"""),"RSC002609")</f>
        <v>RSC002609</v>
      </c>
      <c r="B2602" s="41" t="str">
        <f>IFERROR(__xludf.DUMMYFUNCTION("""COMPUTED_VALUE"""),"SheWasntReady")</f>
        <v>SheWasntReady</v>
      </c>
    </row>
    <row r="2603">
      <c r="A2603" s="41" t="str">
        <f>IFERROR(__xludf.DUMMYFUNCTION("""COMPUTED_VALUE"""),"RSC002610")</f>
        <v>RSC002610</v>
      </c>
      <c r="B2603" s="41" t="str">
        <f>IFERROR(__xludf.DUMMYFUNCTION("""COMPUTED_VALUE"""),"ChiefNaGeed")</f>
        <v>ChiefNaGeed</v>
      </c>
    </row>
    <row r="2604">
      <c r="A2604" s="41" t="str">
        <f>IFERROR(__xludf.DUMMYFUNCTION("""COMPUTED_VALUE"""),"RSC002611")</f>
        <v>RSC002611</v>
      </c>
      <c r="B2604" s="41" t="str">
        <f>IFERROR(__xludf.DUMMYFUNCTION("""COMPUTED_VALUE"""),"daf")</f>
        <v>daf</v>
      </c>
    </row>
    <row r="2605">
      <c r="A2605" s="41" t="str">
        <f>IFERROR(__xludf.DUMMYFUNCTION("""COMPUTED_VALUE"""),"RSC002612")</f>
        <v>RSC002612</v>
      </c>
      <c r="B2605" s="41" t="str">
        <f>IFERROR(__xludf.DUMMYFUNCTION("""COMPUTED_VALUE"""),"B0ZW311-__")</f>
        <v>B0ZW311-__</v>
      </c>
    </row>
    <row r="2606">
      <c r="A2606" s="41" t="str">
        <f>IFERROR(__xludf.DUMMYFUNCTION("""COMPUTED_VALUE"""),"RSC002613")</f>
        <v>RSC002613</v>
      </c>
      <c r="B2606" s="41" t="str">
        <f>IFERROR(__xludf.DUMMYFUNCTION("""COMPUTED_VALUE"""),"steveonce123")</f>
        <v>steveonce123</v>
      </c>
    </row>
    <row r="2607">
      <c r="A2607" s="41" t="str">
        <f>IFERROR(__xludf.DUMMYFUNCTION("""COMPUTED_VALUE"""),"RSC002614")</f>
        <v>RSC002614</v>
      </c>
      <c r="B2607" s="41" t="str">
        <f>IFERROR(__xludf.DUMMYFUNCTION("""COMPUTED_VALUE"""),"DomRM14")</f>
        <v>DomRM14</v>
      </c>
    </row>
    <row r="2608">
      <c r="A2608" s="41" t="str">
        <f>IFERROR(__xludf.DUMMYFUNCTION("""COMPUTED_VALUE"""),"RSC002615")</f>
        <v>RSC002615</v>
      </c>
      <c r="B2608" s="41" t="str">
        <f>IFERROR(__xludf.DUMMYFUNCTION("""COMPUTED_VALUE"""),"gman")</f>
        <v>gman</v>
      </c>
    </row>
    <row r="2609">
      <c r="A2609" s="41" t="str">
        <f>IFERROR(__xludf.DUMMYFUNCTION("""COMPUTED_VALUE"""),"RSC002616")</f>
        <v>RSC002616</v>
      </c>
      <c r="B2609" s="41" t="str">
        <f>IFERROR(__xludf.DUMMYFUNCTION("""COMPUTED_VALUE"""),"Ruthle")</f>
        <v>Ruthle</v>
      </c>
    </row>
    <row r="2610">
      <c r="A2610" s="41" t="str">
        <f>IFERROR(__xludf.DUMMYFUNCTION("""COMPUTED_VALUE"""),"RSC002617")</f>
        <v>RSC002617</v>
      </c>
      <c r="B2610" s="41" t="str">
        <f>IFERROR(__xludf.DUMMYFUNCTION("""COMPUTED_VALUE"""),"Peril")</f>
        <v>Peril</v>
      </c>
    </row>
    <row r="2611">
      <c r="A2611" s="41" t="str">
        <f>IFERROR(__xludf.DUMMYFUNCTION("""COMPUTED_VALUE"""),"RSC002618")</f>
        <v>RSC002618</v>
      </c>
      <c r="B2611" s="41" t="str">
        <f>IFERROR(__xludf.DUMMYFUNCTION("""COMPUTED_VALUE"""),"DJ9856")</f>
        <v>DJ9856</v>
      </c>
    </row>
    <row r="2612">
      <c r="A2612" s="41" t="str">
        <f>IFERROR(__xludf.DUMMYFUNCTION("""COMPUTED_VALUE"""),"RSC002619")</f>
        <v>RSC002619</v>
      </c>
      <c r="B2612" s="41" t="str">
        <f>IFERROR(__xludf.DUMMYFUNCTION("""COMPUTED_VALUE"""),"Visionz")</f>
        <v>Visionz</v>
      </c>
    </row>
    <row r="2613">
      <c r="A2613" s="41" t="str">
        <f>IFERROR(__xludf.DUMMYFUNCTION("""COMPUTED_VALUE"""),"RSC002620")</f>
        <v>RSC002620</v>
      </c>
      <c r="B2613" s="41" t="str">
        <f>IFERROR(__xludf.DUMMYFUNCTION("""COMPUTED_VALUE"""),"Instnt")</f>
        <v>Instnt</v>
      </c>
    </row>
    <row r="2614">
      <c r="A2614" s="41" t="str">
        <f>IFERROR(__xludf.DUMMYFUNCTION("""COMPUTED_VALUE"""),"RSC002621")</f>
        <v>RSC002621</v>
      </c>
      <c r="B2614" s="41" t="str">
        <f>IFERROR(__xludf.DUMMYFUNCTION("""COMPUTED_VALUE"""),"MrShooterperson")</f>
        <v>MrShooterperson</v>
      </c>
    </row>
    <row r="2615">
      <c r="A2615" s="41" t="str">
        <f>IFERROR(__xludf.DUMMYFUNCTION("""COMPUTED_VALUE"""),"RSC002622")</f>
        <v>RSC002622</v>
      </c>
      <c r="B2615" s="41" t="str">
        <f>IFERROR(__xludf.DUMMYFUNCTION("""COMPUTED_VALUE"""),"elegance")</f>
        <v>elegance</v>
      </c>
    </row>
    <row r="2616">
      <c r="A2616" s="41" t="str">
        <f>IFERROR(__xludf.DUMMYFUNCTION("""COMPUTED_VALUE"""),"RSC002623")</f>
        <v>RSC002623</v>
      </c>
      <c r="B2616" s="41" t="str">
        <f>IFERROR(__xludf.DUMMYFUNCTION("""COMPUTED_VALUE"""),"Vini20-100")</f>
        <v>Vini20-100</v>
      </c>
    </row>
    <row r="2617">
      <c r="A2617" s="41" t="str">
        <f>IFERROR(__xludf.DUMMYFUNCTION("""COMPUTED_VALUE"""),"RSC002624")</f>
        <v>RSC002624</v>
      </c>
      <c r="B2617" s="41" t="str">
        <f>IFERROR(__xludf.DUMMYFUNCTION("""COMPUTED_VALUE"""),"Apple")</f>
        <v>Apple</v>
      </c>
    </row>
    <row r="2618">
      <c r="A2618" s="41" t="str">
        <f>IFERROR(__xludf.DUMMYFUNCTION("""COMPUTED_VALUE"""),"RSC002625")</f>
        <v>RSC002625</v>
      </c>
      <c r="B2618" s="41" t="str">
        <f>IFERROR(__xludf.DUMMYFUNCTION("""COMPUTED_VALUE"""),"burst")</f>
        <v>burst</v>
      </c>
    </row>
    <row r="2619">
      <c r="A2619" s="41" t="str">
        <f>IFERROR(__xludf.DUMMYFUNCTION("""COMPUTED_VALUE"""),"RSC002626")</f>
        <v>RSC002626</v>
      </c>
      <c r="B2619" s="41" t="str">
        <f>IFERROR(__xludf.DUMMYFUNCTION("""COMPUTED_VALUE"""),"Evo (change)")</f>
        <v>Evo (change)</v>
      </c>
    </row>
    <row r="2620">
      <c r="A2620" s="41" t="str">
        <f>IFERROR(__xludf.DUMMYFUNCTION("""COMPUTED_VALUE"""),"RSC002627")</f>
        <v>RSC002627</v>
      </c>
      <c r="B2620" s="41" t="str">
        <f>IFERROR(__xludf.DUMMYFUNCTION("""COMPUTED_VALUE"""),"spookapalooza")</f>
        <v>spookapalooza</v>
      </c>
    </row>
    <row r="2621">
      <c r="A2621" s="41" t="str">
        <f>IFERROR(__xludf.DUMMYFUNCTION("""COMPUTED_VALUE"""),"RSC002628")</f>
        <v>RSC002628</v>
      </c>
      <c r="B2621" s="41" t="str">
        <f>IFERROR(__xludf.DUMMYFUNCTION("""COMPUTED_VALUE"""),"Kriiby")</f>
        <v>Kriiby</v>
      </c>
    </row>
    <row r="2622">
      <c r="A2622" s="41" t="str">
        <f>IFERROR(__xludf.DUMMYFUNCTION("""COMPUTED_VALUE"""),"RSC002629")</f>
        <v>RSC002629</v>
      </c>
      <c r="B2622" s="41" t="str">
        <f>IFERROR(__xludf.DUMMYFUNCTION("""COMPUTED_VALUE"""),"Impact")</f>
        <v>Impact</v>
      </c>
    </row>
    <row r="2623">
      <c r="A2623" s="41" t="str">
        <f>IFERROR(__xludf.DUMMYFUNCTION("""COMPUTED_VALUE"""),"RSC002630")</f>
        <v>RSC002630</v>
      </c>
      <c r="B2623" s="41" t="str">
        <f>IFERROR(__xludf.DUMMYFUNCTION("""COMPUTED_VALUE"""),"seasick.")</f>
        <v>seasick.</v>
      </c>
    </row>
    <row r="2624">
      <c r="A2624" s="41" t="str">
        <f>IFERROR(__xludf.DUMMYFUNCTION("""COMPUTED_VALUE"""),"RSC002631")</f>
        <v>RSC002631</v>
      </c>
      <c r="B2624" s="41" t="str">
        <f>IFERROR(__xludf.DUMMYFUNCTION("""COMPUTED_VALUE"""),"SaltySullivan9")</f>
        <v>SaltySullivan9</v>
      </c>
    </row>
    <row r="2625">
      <c r="A2625" s="41" t="str">
        <f>IFERROR(__xludf.DUMMYFUNCTION("""COMPUTED_VALUE"""),"RSC002632")</f>
        <v>RSC002632</v>
      </c>
      <c r="B2625" s="41" t="str">
        <f>IFERROR(__xludf.DUMMYFUNCTION("""COMPUTED_VALUE"""),"PeytonHillis216")</f>
        <v>PeytonHillis216</v>
      </c>
    </row>
    <row r="2626">
      <c r="A2626" s="41" t="str">
        <f>IFERROR(__xludf.DUMMYFUNCTION("""COMPUTED_VALUE"""),"RSC002633")</f>
        <v>RSC002633</v>
      </c>
      <c r="B2626" s="41" t="str">
        <f>IFERROR(__xludf.DUMMYFUNCTION("""COMPUTED_VALUE"""),"Gaboon")</f>
        <v>Gaboon</v>
      </c>
    </row>
    <row r="2627">
      <c r="A2627" s="41" t="str">
        <f>IFERROR(__xludf.DUMMYFUNCTION("""COMPUTED_VALUE"""),"RSC002634")</f>
        <v>RSC002634</v>
      </c>
      <c r="B2627" s="41" t="str">
        <f>IFERROR(__xludf.DUMMYFUNCTION("""COMPUTED_VALUE"""),"Charles")</f>
        <v>Charles</v>
      </c>
    </row>
    <row r="2628">
      <c r="A2628" s="41" t="str">
        <f>IFERROR(__xludf.DUMMYFUNCTION("""COMPUTED_VALUE"""),"RSC002635")</f>
        <v>RSC002635</v>
      </c>
      <c r="B2628" s="41" t="str">
        <f>IFERROR(__xludf.DUMMYFUNCTION("""COMPUTED_VALUE"""),"greedy snake lord")</f>
        <v>greedy snake lord</v>
      </c>
    </row>
    <row r="2629">
      <c r="A2629" s="41" t="str">
        <f>IFERROR(__xludf.DUMMYFUNCTION("""COMPUTED_VALUE"""),"RSC002636")</f>
        <v>RSC002636</v>
      </c>
      <c r="B2629" s="41" t="str">
        <f>IFERROR(__xludf.DUMMYFUNCTION("""COMPUTED_VALUE"""),"NitemareRL")</f>
        <v>NitemareRL</v>
      </c>
    </row>
    <row r="2630">
      <c r="A2630" s="41" t="str">
        <f>IFERROR(__xludf.DUMMYFUNCTION("""COMPUTED_VALUE"""),"RSC002637")</f>
        <v>RSC002637</v>
      </c>
      <c r="B2630" s="41" t="str">
        <f>IFERROR(__xludf.DUMMYFUNCTION("""COMPUTED_VALUE"""),"Gravy On Tap")</f>
        <v>Gravy On Tap</v>
      </c>
    </row>
    <row r="2631">
      <c r="A2631" s="41" t="str">
        <f>IFERROR(__xludf.DUMMYFUNCTION("""COMPUTED_VALUE"""),"RSC002638")</f>
        <v>RSC002638</v>
      </c>
      <c r="B2631" s="41" t="str">
        <f>IFERROR(__xludf.DUMMYFUNCTION("""COMPUTED_VALUE"""),"Habilis")</f>
        <v>Habilis</v>
      </c>
    </row>
    <row r="2632">
      <c r="A2632" s="41" t="str">
        <f>IFERROR(__xludf.DUMMYFUNCTION("""COMPUTED_VALUE"""),"RSC002639")</f>
        <v>RSC002639</v>
      </c>
      <c r="B2632" s="41" t="str">
        <f>IFERROR(__xludf.DUMMYFUNCTION("""COMPUTED_VALUE"""),"comet2")</f>
        <v>comet2</v>
      </c>
    </row>
    <row r="2633">
      <c r="A2633" s="41" t="str">
        <f>IFERROR(__xludf.DUMMYFUNCTION("""COMPUTED_VALUE"""),"RSC002640")</f>
        <v>RSC002640</v>
      </c>
      <c r="B2633" s="41" t="str">
        <f>IFERROR(__xludf.DUMMYFUNCTION("""COMPUTED_VALUE"""),"LastDark")</f>
        <v>LastDark</v>
      </c>
    </row>
    <row r="2634">
      <c r="A2634" s="41" t="str">
        <f>IFERROR(__xludf.DUMMYFUNCTION("""COMPUTED_VALUE"""),"RSC002641")</f>
        <v>RSC002641</v>
      </c>
      <c r="B2634" s="41" t="str">
        <f>IFERROR(__xludf.DUMMYFUNCTION("""COMPUTED_VALUE"""),"Wybz")</f>
        <v>Wybz</v>
      </c>
    </row>
    <row r="2635">
      <c r="A2635" s="41" t="str">
        <f>IFERROR(__xludf.DUMMYFUNCTION("""COMPUTED_VALUE"""),"RSC002642")</f>
        <v>RSC002642</v>
      </c>
      <c r="B2635" s="41" t="str">
        <f>IFERROR(__xludf.DUMMYFUNCTION("""COMPUTED_VALUE"""),"JonB")</f>
        <v>JonB</v>
      </c>
    </row>
    <row r="2636">
      <c r="A2636" s="41" t="str">
        <f>IFERROR(__xludf.DUMMYFUNCTION("""COMPUTED_VALUE"""),"RSC002643")</f>
        <v>RSC002643</v>
      </c>
      <c r="B2636" s="41" t="str">
        <f>IFERROR(__xludf.DUMMYFUNCTION("""COMPUTED_VALUE"""),"Mosa")</f>
        <v>Mosa</v>
      </c>
    </row>
    <row r="2637">
      <c r="A2637" s="41" t="str">
        <f>IFERROR(__xludf.DUMMYFUNCTION("""COMPUTED_VALUE"""),"RSC002644")</f>
        <v>RSC002644</v>
      </c>
      <c r="B2637" s="41" t="str">
        <f>IFERROR(__xludf.DUMMYFUNCTION("""COMPUTED_VALUE"""),"KnikNok")</f>
        <v>KnikNok</v>
      </c>
    </row>
    <row r="2638">
      <c r="A2638" s="41" t="str">
        <f>IFERROR(__xludf.DUMMYFUNCTION("""COMPUTED_VALUE"""),"RSC002645")</f>
        <v>RSC002645</v>
      </c>
      <c r="B2638" s="41" t="str">
        <f>IFERROR(__xludf.DUMMYFUNCTION("""COMPUTED_VALUE"""),"CodeRed")</f>
        <v>CodeRed</v>
      </c>
    </row>
    <row r="2639">
      <c r="A2639" s="41" t="str">
        <f>IFERROR(__xludf.DUMMYFUNCTION("""COMPUTED_VALUE"""),"RSC002646")</f>
        <v>RSC002646</v>
      </c>
      <c r="B2639" s="41" t="str">
        <f>IFERROR(__xludf.DUMMYFUNCTION("""COMPUTED_VALUE"""),"Mannhood")</f>
        <v>Mannhood</v>
      </c>
    </row>
    <row r="2640">
      <c r="A2640" s="41" t="str">
        <f>IFERROR(__xludf.DUMMYFUNCTION("""COMPUTED_VALUE"""),"RSC002647")</f>
        <v>RSC002647</v>
      </c>
      <c r="B2640" s="41" t="str">
        <f>IFERROR(__xludf.DUMMYFUNCTION("""COMPUTED_VALUE"""),"SilentElixer")</f>
        <v>SilentElixer</v>
      </c>
    </row>
    <row r="2641">
      <c r="A2641" s="41" t="str">
        <f>IFERROR(__xludf.DUMMYFUNCTION("""COMPUTED_VALUE"""),"RSC002648")</f>
        <v>RSC002648</v>
      </c>
      <c r="B2641" s="41" t="str">
        <f>IFERROR(__xludf.DUMMYFUNCTION("""COMPUTED_VALUE"""),"prisma")</f>
        <v>prisma</v>
      </c>
    </row>
    <row r="2642">
      <c r="A2642" s="41" t="str">
        <f>IFERROR(__xludf.DUMMYFUNCTION("""COMPUTED_VALUE"""),"RSC002649")</f>
        <v>RSC002649</v>
      </c>
      <c r="B2642" s="41" t="str">
        <f>IFERROR(__xludf.DUMMYFUNCTION("""COMPUTED_VALUE"""),"Zaz")</f>
        <v>Zaz</v>
      </c>
    </row>
    <row r="2643">
      <c r="A2643" s="41" t="str">
        <f>IFERROR(__xludf.DUMMYFUNCTION("""COMPUTED_VALUE"""),"RSC002650")</f>
        <v>RSC002650</v>
      </c>
      <c r="B2643" s="41" t="str">
        <f>IFERROR(__xludf.DUMMYFUNCTION("""COMPUTED_VALUE"""),"Bea$t")</f>
        <v>Bea$t</v>
      </c>
    </row>
    <row r="2644">
      <c r="A2644" s="41" t="str">
        <f>IFERROR(__xludf.DUMMYFUNCTION("""COMPUTED_VALUE"""),"RSC002651")</f>
        <v>RSC002651</v>
      </c>
      <c r="B2644" s="41" t="str">
        <f>IFERROR(__xludf.DUMMYFUNCTION("""COMPUTED_VALUE"""),"Monkeylover2219")</f>
        <v>Monkeylover2219</v>
      </c>
    </row>
    <row r="2645">
      <c r="A2645" s="41" t="str">
        <f>IFERROR(__xludf.DUMMYFUNCTION("""COMPUTED_VALUE"""),"RSC002652")</f>
        <v>RSC002652</v>
      </c>
      <c r="B2645" s="41" t="str">
        <f>IFERROR(__xludf.DUMMYFUNCTION("""COMPUTED_VALUE"""),"Swiftty")</f>
        <v>Swiftty</v>
      </c>
    </row>
    <row r="2646">
      <c r="A2646" s="41" t="str">
        <f>IFERROR(__xludf.DUMMYFUNCTION("""COMPUTED_VALUE"""),"RSC002653")</f>
        <v>RSC002653</v>
      </c>
      <c r="B2646" s="41" t="str">
        <f>IFERROR(__xludf.DUMMYFUNCTION("""COMPUTED_VALUE"""),"Saturn")</f>
        <v>Saturn</v>
      </c>
    </row>
    <row r="2647">
      <c r="A2647" s="41" t="str">
        <f>IFERROR(__xludf.DUMMYFUNCTION("""COMPUTED_VALUE"""),"RSC002654")</f>
        <v>RSC002654</v>
      </c>
      <c r="B2647" s="41" t="str">
        <f>IFERROR(__xludf.DUMMYFUNCTION("""COMPUTED_VALUE"""),"TacticalStr1ke")</f>
        <v>TacticalStr1ke</v>
      </c>
    </row>
    <row r="2648">
      <c r="A2648" s="41" t="str">
        <f>IFERROR(__xludf.DUMMYFUNCTION("""COMPUTED_VALUE"""),"RSC002655")</f>
        <v>RSC002655</v>
      </c>
      <c r="B2648" s="41" t="str">
        <f>IFERROR(__xludf.DUMMYFUNCTION("""COMPUTED_VALUE"""),"Wheat Bagz")</f>
        <v>Wheat Bagz</v>
      </c>
    </row>
    <row r="2649">
      <c r="A2649" s="41" t="str">
        <f>IFERROR(__xludf.DUMMYFUNCTION("""COMPUTED_VALUE"""),"RSC002656")</f>
        <v>RSC002656</v>
      </c>
      <c r="B2649" s="41" t="str">
        <f>IFERROR(__xludf.DUMMYFUNCTION("""COMPUTED_VALUE"""),"RileyGodlien")</f>
        <v>RileyGodlien</v>
      </c>
    </row>
    <row r="2650">
      <c r="A2650" s="41" t="str">
        <f>IFERROR(__xludf.DUMMYFUNCTION("""COMPUTED_VALUE"""),"RSC002657")</f>
        <v>RSC002657</v>
      </c>
      <c r="B2650" s="41" t="str">
        <f>IFERROR(__xludf.DUMMYFUNCTION("""COMPUTED_VALUE"""),"Savage")</f>
        <v>Savage</v>
      </c>
    </row>
    <row r="2651">
      <c r="A2651" s="41" t="str">
        <f>IFERROR(__xludf.DUMMYFUNCTION("""COMPUTED_VALUE"""),"RSC002658")</f>
        <v>RSC002658</v>
      </c>
      <c r="B2651" s="41" t="str">
        <f>IFERROR(__xludf.DUMMYFUNCTION("""COMPUTED_VALUE"""),"BooJoyner")</f>
        <v>BooJoyner</v>
      </c>
    </row>
    <row r="2652">
      <c r="A2652" s="41" t="str">
        <f>IFERROR(__xludf.DUMMYFUNCTION("""COMPUTED_VALUE"""),"RSC002659")</f>
        <v>RSC002659</v>
      </c>
      <c r="B2652" s="41" t="str">
        <f>IFERROR(__xludf.DUMMYFUNCTION("""COMPUTED_VALUE"""),"GameStrike208")</f>
        <v>GameStrike208</v>
      </c>
    </row>
    <row r="2653">
      <c r="A2653" s="41" t="str">
        <f>IFERROR(__xludf.DUMMYFUNCTION("""COMPUTED_VALUE"""),"RSC002660")</f>
        <v>RSC002660</v>
      </c>
      <c r="B2653" s="41" t="str">
        <f>IFERROR(__xludf.DUMMYFUNCTION("""COMPUTED_VALUE"""),"IIIVnmIII")</f>
        <v>IIIVnmIII</v>
      </c>
    </row>
    <row r="2654">
      <c r="A2654" s="41" t="str">
        <f>IFERROR(__xludf.DUMMYFUNCTION("""COMPUTED_VALUE"""),"RSC002661")</f>
        <v>RSC002661</v>
      </c>
      <c r="B2654" s="41" t="str">
        <f>IFERROR(__xludf.DUMMYFUNCTION("""COMPUTED_VALUE"""),"Ellay")</f>
        <v>Ellay</v>
      </c>
    </row>
    <row r="2655">
      <c r="A2655" s="41" t="str">
        <f>IFERROR(__xludf.DUMMYFUNCTION("""COMPUTED_VALUE"""),"RSC002662")</f>
        <v>RSC002662</v>
      </c>
      <c r="B2655" s="41" t="str">
        <f>IFERROR(__xludf.DUMMYFUNCTION("""COMPUTED_VALUE"""),"xLmlt")</f>
        <v>xLmlt</v>
      </c>
    </row>
    <row r="2656">
      <c r="A2656" s="41" t="str">
        <f>IFERROR(__xludf.DUMMYFUNCTION("""COMPUTED_VALUE"""),"RSC002663")</f>
        <v>RSC002663</v>
      </c>
      <c r="B2656" s="41" t="str">
        <f>IFERROR(__xludf.DUMMYFUNCTION("""COMPUTED_VALUE"""),"Animosity")</f>
        <v>Animosity</v>
      </c>
    </row>
    <row r="2657">
      <c r="A2657" s="41" t="str">
        <f>IFERROR(__xludf.DUMMYFUNCTION("""COMPUTED_VALUE"""),"RSC002664")</f>
        <v>RSC002664</v>
      </c>
      <c r="B2657" s="41" t="str">
        <f>IFERROR(__xludf.DUMMYFUNCTION("""COMPUTED_VALUE"""),"dykstrocoles")</f>
        <v>dykstrocoles</v>
      </c>
    </row>
    <row r="2658">
      <c r="A2658" s="41" t="str">
        <f>IFERROR(__xludf.DUMMYFUNCTION("""COMPUTED_VALUE"""),"RSC002665")</f>
        <v>RSC002665</v>
      </c>
      <c r="B2658" s="41" t="str">
        <f>IFERROR(__xludf.DUMMYFUNCTION("""COMPUTED_VALUE"""),"Kyle. (change)")</f>
        <v>Kyle. (change)</v>
      </c>
    </row>
    <row r="2659">
      <c r="A2659" s="41" t="str">
        <f>IFERROR(__xludf.DUMMYFUNCTION("""COMPUTED_VALUE"""),"RSC002666")</f>
        <v>RSC002666</v>
      </c>
      <c r="B2659" s="41" t="str">
        <f>IFERROR(__xludf.DUMMYFUNCTION("""COMPUTED_VALUE"""),"WTS Kingchronic")</f>
        <v>WTS Kingchronic</v>
      </c>
    </row>
    <row r="2660">
      <c r="A2660" s="41" t="str">
        <f>IFERROR(__xludf.DUMMYFUNCTION("""COMPUTED_VALUE"""),"RSC002667")</f>
        <v>RSC002667</v>
      </c>
      <c r="B2660" s="41" t="str">
        <f>IFERROR(__xludf.DUMMYFUNCTION("""COMPUTED_VALUE"""),"Connor.")</f>
        <v>Connor.</v>
      </c>
    </row>
    <row r="2661">
      <c r="A2661" s="41" t="str">
        <f>IFERROR(__xludf.DUMMYFUNCTION("""COMPUTED_VALUE"""),"RSC002668")</f>
        <v>RSC002668</v>
      </c>
      <c r="B2661" s="41" t="str">
        <f>IFERROR(__xludf.DUMMYFUNCTION("""COMPUTED_VALUE"""),"Azorh &lt;3")</f>
        <v>Azorh &lt;3</v>
      </c>
    </row>
    <row r="2662">
      <c r="A2662" s="41" t="str">
        <f>IFERROR(__xludf.DUMMYFUNCTION("""COMPUTED_VALUE"""),"RSC002669")</f>
        <v>RSC002669</v>
      </c>
      <c r="B2662" s="41" t="str">
        <f>IFERROR(__xludf.DUMMYFUNCTION("""COMPUTED_VALUE"""),"mhill3895")</f>
        <v>mhill3895</v>
      </c>
    </row>
    <row r="2663">
      <c r="A2663" s="41" t="str">
        <f>IFERROR(__xludf.DUMMYFUNCTION("""COMPUTED_VALUE"""),"RSC002670")</f>
        <v>RSC002670</v>
      </c>
      <c r="B2663" s="41" t="str">
        <f>IFERROR(__xludf.DUMMYFUNCTION("""COMPUTED_VALUE"""),"Metasyn")</f>
        <v>Metasyn</v>
      </c>
    </row>
    <row r="2664">
      <c r="A2664" s="41" t="str">
        <f>IFERROR(__xludf.DUMMYFUNCTION("""COMPUTED_VALUE"""),"RSC002671")</f>
        <v>RSC002671</v>
      </c>
      <c r="B2664" s="41" t="str">
        <f>IFERROR(__xludf.DUMMYFUNCTION("""COMPUTED_VALUE"""),"AiMz")</f>
        <v>AiMz</v>
      </c>
    </row>
    <row r="2665">
      <c r="A2665" s="41" t="str">
        <f>IFERROR(__xludf.DUMMYFUNCTION("""COMPUTED_VALUE"""),"RSC002672")</f>
        <v>RSC002672</v>
      </c>
      <c r="B2665" s="41" t="str">
        <f>IFERROR(__xludf.DUMMYFUNCTION("""COMPUTED_VALUE"""),"Co")</f>
        <v>Co</v>
      </c>
    </row>
    <row r="2666">
      <c r="A2666" s="41" t="str">
        <f>IFERROR(__xludf.DUMMYFUNCTION("""COMPUTED_VALUE"""),"RSC002673")</f>
        <v>RSC002673</v>
      </c>
      <c r="B2666" s="41" t="str">
        <f>IFERROR(__xludf.DUMMYFUNCTION("""COMPUTED_VALUE"""),"iTzAuzy™️")</f>
        <v>iTzAuzy™️</v>
      </c>
    </row>
    <row r="2667">
      <c r="A2667" s="41" t="str">
        <f>IFERROR(__xludf.DUMMYFUNCTION("""COMPUTED_VALUE"""),"RSC002674")</f>
        <v>RSC002674</v>
      </c>
      <c r="B2667" s="41" t="str">
        <f>IFERROR(__xludf.DUMMYFUNCTION("""COMPUTED_VALUE"""),"Larkin")</f>
        <v>Larkin</v>
      </c>
    </row>
    <row r="2668">
      <c r="A2668" s="41" t="str">
        <f>IFERROR(__xludf.DUMMYFUNCTION("""COMPUTED_VALUE"""),"RSC002675")</f>
        <v>RSC002675</v>
      </c>
      <c r="B2668" s="41" t="str">
        <f>IFERROR(__xludf.DUMMYFUNCTION("""COMPUTED_VALUE"""),"MacN24")</f>
        <v>MacN24</v>
      </c>
    </row>
    <row r="2669">
      <c r="A2669" s="41" t="str">
        <f>IFERROR(__xludf.DUMMYFUNCTION("""COMPUTED_VALUE"""),"RSC002676")</f>
        <v>RSC002676</v>
      </c>
      <c r="B2669" s="41" t="str">
        <f>IFERROR(__xludf.DUMMYFUNCTION("""COMPUTED_VALUE"""),"mitchy.")</f>
        <v>mitchy.</v>
      </c>
    </row>
    <row r="2670">
      <c r="A2670" s="41" t="str">
        <f>IFERROR(__xludf.DUMMYFUNCTION("""COMPUTED_VALUE"""),"RSC002677")</f>
        <v>RSC002677</v>
      </c>
      <c r="B2670" s="41" t="str">
        <f>IFERROR(__xludf.DUMMYFUNCTION("""COMPUTED_VALUE"""),"FyerHex")</f>
        <v>FyerHex</v>
      </c>
    </row>
    <row r="2671">
      <c r="A2671" s="41" t="str">
        <f>IFERROR(__xludf.DUMMYFUNCTION("""COMPUTED_VALUE"""),"RSC002678")</f>
        <v>RSC002678</v>
      </c>
      <c r="B2671" s="41" t="str">
        <f>IFERROR(__xludf.DUMMYFUNCTION("""COMPUTED_VALUE"""),"The Worst 1")</f>
        <v>The Worst 1</v>
      </c>
    </row>
    <row r="2672">
      <c r="A2672" s="41" t="str">
        <f>IFERROR(__xludf.DUMMYFUNCTION("""COMPUTED_VALUE"""),"RSC002679")</f>
        <v>RSC002679</v>
      </c>
      <c r="B2672" s="41" t="str">
        <f>IFERROR(__xludf.DUMMYFUNCTION("""COMPUTED_VALUE"""),"lildaddyfatsac1")</f>
        <v>lildaddyfatsac1</v>
      </c>
    </row>
    <row r="2673">
      <c r="A2673" s="41" t="str">
        <f>IFERROR(__xludf.DUMMYFUNCTION("""COMPUTED_VALUE"""),"RSC002680")</f>
        <v>RSC002680</v>
      </c>
      <c r="B2673" s="41" t="str">
        <f>IFERROR(__xludf.DUMMYFUNCTION("""COMPUTED_VALUE"""),"Zira")</f>
        <v>Zira</v>
      </c>
    </row>
    <row r="2674">
      <c r="A2674" s="41" t="str">
        <f>IFERROR(__xludf.DUMMYFUNCTION("""COMPUTED_VALUE"""),"RSC002681")</f>
        <v>RSC002681</v>
      </c>
      <c r="B2674" s="41" t="str">
        <f>IFERROR(__xludf.DUMMYFUNCTION("""COMPUTED_VALUE"""),"Cinq")</f>
        <v>Cinq</v>
      </c>
    </row>
    <row r="2675">
      <c r="A2675" s="41" t="str">
        <f>IFERROR(__xludf.DUMMYFUNCTION("""COMPUTED_VALUE"""),"RSC002682")</f>
        <v>RSC002682</v>
      </c>
      <c r="B2675" s="41" t="str">
        <f>IFERROR(__xludf.DUMMYFUNCTION("""COMPUTED_VALUE"""),"lukekapo")</f>
        <v>lukekapo</v>
      </c>
    </row>
    <row r="2676">
      <c r="A2676" s="41" t="str">
        <f>IFERROR(__xludf.DUMMYFUNCTION("""COMPUTED_VALUE"""),"RSC002683")</f>
        <v>RSC002683</v>
      </c>
      <c r="B2676" s="41" t="str">
        <f>IFERROR(__xludf.DUMMYFUNCTION("""COMPUTED_VALUE"""),"Roze")</f>
        <v>Roze</v>
      </c>
    </row>
    <row r="2677">
      <c r="A2677" s="41" t="str">
        <f>IFERROR(__xludf.DUMMYFUNCTION("""COMPUTED_VALUE"""),"RSC002684")</f>
        <v>RSC002684</v>
      </c>
      <c r="B2677" s="41" t="str">
        <f>IFERROR(__xludf.DUMMYFUNCTION("""COMPUTED_VALUE"""),"Monkries")</f>
        <v>Monkries</v>
      </c>
    </row>
    <row r="2678">
      <c r="A2678" s="41" t="str">
        <f>IFERROR(__xludf.DUMMYFUNCTION("""COMPUTED_VALUE"""),"RSC002685")</f>
        <v>RSC002685</v>
      </c>
      <c r="B2678" s="41" t="str">
        <f>IFERROR(__xludf.DUMMYFUNCTION("""COMPUTED_VALUE"""),"ManikinRL")</f>
        <v>ManikinRL</v>
      </c>
    </row>
    <row r="2679">
      <c r="A2679" s="41" t="str">
        <f>IFERROR(__xludf.DUMMYFUNCTION("""COMPUTED_VALUE"""),"RSC002686")</f>
        <v>RSC002686</v>
      </c>
      <c r="B2679" s="41" t="str">
        <f>IFERROR(__xludf.DUMMYFUNCTION("""COMPUTED_VALUE"""),"quenrin")</f>
        <v>quenrin</v>
      </c>
    </row>
    <row r="2680">
      <c r="A2680" s="41" t="str">
        <f>IFERROR(__xludf.DUMMYFUNCTION("""COMPUTED_VALUE"""),"RSC002687")</f>
        <v>RSC002687</v>
      </c>
      <c r="B2680" s="41" t="str">
        <f>IFERROR(__xludf.DUMMYFUNCTION("""COMPUTED_VALUE"""),"Batrachomyomachy")</f>
        <v>Batrachomyomachy</v>
      </c>
    </row>
    <row r="2681">
      <c r="A2681" s="41" t="str">
        <f>IFERROR(__xludf.DUMMYFUNCTION("""COMPUTED_VALUE"""),"RSC002688")</f>
        <v>RSC002688</v>
      </c>
      <c r="B2681" s="41" t="str">
        <f>IFERROR(__xludf.DUMMYFUNCTION("""COMPUTED_VALUE"""),"Hoodie")</f>
        <v>Hoodie</v>
      </c>
    </row>
    <row r="2682">
      <c r="A2682" s="41" t="str">
        <f>IFERROR(__xludf.DUMMYFUNCTION("""COMPUTED_VALUE"""),"RSC002689")</f>
        <v>RSC002689</v>
      </c>
      <c r="B2682" s="41" t="str">
        <f>IFERROR(__xludf.DUMMYFUNCTION("""COMPUTED_VALUE"""),"where u is")</f>
        <v>where u is</v>
      </c>
    </row>
    <row r="2683">
      <c r="A2683" s="41" t="str">
        <f>IFERROR(__xludf.DUMMYFUNCTION("""COMPUTED_VALUE"""),"RSC002690")</f>
        <v>RSC002690</v>
      </c>
      <c r="B2683" s="41" t="str">
        <f>IFERROR(__xludf.DUMMYFUNCTION("""COMPUTED_VALUE"""),"K-9")</f>
        <v>K-9</v>
      </c>
    </row>
    <row r="2684">
      <c r="A2684" s="41" t="str">
        <f>IFERROR(__xludf.DUMMYFUNCTION("""COMPUTED_VALUE"""),"RSC002691")</f>
        <v>RSC002691</v>
      </c>
      <c r="B2684" s="41" t="str">
        <f>IFERROR(__xludf.DUMMYFUNCTION("""COMPUTED_VALUE"""),"Soup")</f>
        <v>Soup</v>
      </c>
    </row>
    <row r="2685">
      <c r="A2685" s="41" t="str">
        <f>IFERROR(__xludf.DUMMYFUNCTION("""COMPUTED_VALUE"""),"RSC002692")</f>
        <v>RSC002692</v>
      </c>
      <c r="B2685" s="41" t="str">
        <f>IFERROR(__xludf.DUMMYFUNCTION("""COMPUTED_VALUE"""),"Taco Bell Daddy")</f>
        <v>Taco Bell Daddy</v>
      </c>
    </row>
    <row r="2686">
      <c r="A2686" s="41" t="str">
        <f>IFERROR(__xludf.DUMMYFUNCTION("""COMPUTED_VALUE"""),"RSC002693")</f>
        <v>RSC002693</v>
      </c>
      <c r="B2686" s="41" t="str">
        <f>IFERROR(__xludf.DUMMYFUNCTION("""COMPUTED_VALUE"""),"M0VETHATBUS")</f>
        <v>M0VETHATBUS</v>
      </c>
    </row>
    <row r="2687">
      <c r="A2687" s="41" t="str">
        <f>IFERROR(__xludf.DUMMYFUNCTION("""COMPUTED_VALUE"""),"RSC002694")</f>
        <v>RSC002694</v>
      </c>
      <c r="B2687" s="41" t="str">
        <f>IFERROR(__xludf.DUMMYFUNCTION("""COMPUTED_VALUE"""),"FireFang1135")</f>
        <v>FireFang1135</v>
      </c>
    </row>
    <row r="2688">
      <c r="A2688" s="41" t="str">
        <f>IFERROR(__xludf.DUMMYFUNCTION("""COMPUTED_VALUE"""),"RSC002695")</f>
        <v>RSC002695</v>
      </c>
      <c r="B2688" s="41" t="str">
        <f>IFERROR(__xludf.DUMMYFUNCTION("""COMPUTED_VALUE"""),"Frostyy_Shlong_")</f>
        <v>Frostyy_Shlong_</v>
      </c>
    </row>
    <row r="2689">
      <c r="A2689" s="41" t="str">
        <f>IFERROR(__xludf.DUMMYFUNCTION("""COMPUTED_VALUE"""),"RSC002696")</f>
        <v>RSC002696</v>
      </c>
      <c r="B2689" s="41" t="str">
        <f>IFERROR(__xludf.DUMMYFUNCTION("""COMPUTED_VALUE"""),"2Frosty")</f>
        <v>2Frosty</v>
      </c>
    </row>
    <row r="2690">
      <c r="A2690" s="41" t="str">
        <f>IFERROR(__xludf.DUMMYFUNCTION("""COMPUTED_VALUE"""),"RSC002697")</f>
        <v>RSC002697</v>
      </c>
      <c r="B2690" s="41" t="str">
        <f>IFERROR(__xludf.DUMMYFUNCTION("""COMPUTED_VALUE"""),"Senator_Kush")</f>
        <v>Senator_Kush</v>
      </c>
    </row>
    <row r="2691">
      <c r="A2691" s="41" t="str">
        <f>IFERROR(__xludf.DUMMYFUNCTION("""COMPUTED_VALUE"""),"RSC002698")</f>
        <v>RSC002698</v>
      </c>
      <c r="B2691" s="41" t="str">
        <f>IFERROR(__xludf.DUMMYFUNCTION("""COMPUTED_VALUE"""),"21aweaver")</f>
        <v>21aweaver</v>
      </c>
    </row>
    <row r="2692">
      <c r="A2692" s="41" t="str">
        <f>IFERROR(__xludf.DUMMYFUNCTION("""COMPUTED_VALUE"""),"RSC002699")</f>
        <v>RSC002699</v>
      </c>
      <c r="B2692" s="41" t="str">
        <f>IFERROR(__xludf.DUMMYFUNCTION("""COMPUTED_VALUE"""),"Do You Like Tacos Daddy")</f>
        <v>Do You Like Tacos Daddy</v>
      </c>
    </row>
    <row r="2693">
      <c r="A2693" s="41" t="str">
        <f>IFERROR(__xludf.DUMMYFUNCTION("""COMPUTED_VALUE"""),"RSC002700")</f>
        <v>RSC002700</v>
      </c>
      <c r="B2693" s="41" t="str">
        <f>IFERROR(__xludf.DUMMYFUNCTION("""COMPUTED_VALUE"""),"MrBashtin")</f>
        <v>MrBashtin</v>
      </c>
    </row>
    <row r="2694">
      <c r="A2694" s="41" t="str">
        <f>IFERROR(__xludf.DUMMYFUNCTION("""COMPUTED_VALUE"""),"RSC002701")</f>
        <v>RSC002701</v>
      </c>
      <c r="B2694" s="41" t="str">
        <f>IFERROR(__xludf.DUMMYFUNCTION("""COMPUTED_VALUE"""),"Varos")</f>
        <v>Varos</v>
      </c>
    </row>
    <row r="2695">
      <c r="A2695" s="41" t="str">
        <f>IFERROR(__xludf.DUMMYFUNCTION("""COMPUTED_VALUE"""),"RSC002702")</f>
        <v>RSC002702</v>
      </c>
      <c r="B2695" s="41" t="str">
        <f>IFERROR(__xludf.DUMMYFUNCTION("""COMPUTED_VALUE"""),"X Psycoticz")</f>
        <v>X Psycoticz</v>
      </c>
    </row>
    <row r="2696">
      <c r="A2696" s="41" t="str">
        <f>IFERROR(__xludf.DUMMYFUNCTION("""COMPUTED_VALUE"""),"RSC002703")</f>
        <v>RSC002703</v>
      </c>
      <c r="B2696" s="41" t="str">
        <f>IFERROR(__xludf.DUMMYFUNCTION("""COMPUTED_VALUE"""),"pattywagon")</f>
        <v>pattywagon</v>
      </c>
    </row>
    <row r="2697">
      <c r="A2697" s="41" t="str">
        <f>IFERROR(__xludf.DUMMYFUNCTION("""COMPUTED_VALUE"""),"RSC002704")</f>
        <v>RSC002704</v>
      </c>
      <c r="B2697" s="41" t="str">
        <f>IFERROR(__xludf.DUMMYFUNCTION("""COMPUTED_VALUE"""),"Ψmind")</f>
        <v>Ψmind</v>
      </c>
    </row>
    <row r="2698">
      <c r="A2698" s="41" t="str">
        <f>IFERROR(__xludf.DUMMYFUNCTION("""COMPUTED_VALUE"""),"RSC002705")</f>
        <v>RSC002705</v>
      </c>
      <c r="B2698" s="41" t="str">
        <f>IFERROR(__xludf.DUMMYFUNCTION("""COMPUTED_VALUE"""),"Remi")</f>
        <v>Remi</v>
      </c>
    </row>
    <row r="2699">
      <c r="A2699" s="41" t="str">
        <f>IFERROR(__xludf.DUMMYFUNCTION("""COMPUTED_VALUE"""),"RSC002706")</f>
        <v>RSC002706</v>
      </c>
      <c r="B2699" s="41" t="str">
        <f>IFERROR(__xludf.DUMMYFUNCTION("""COMPUTED_VALUE"""),"Zarthon77")</f>
        <v>Zarthon77</v>
      </c>
    </row>
    <row r="2700">
      <c r="A2700" s="41" t="str">
        <f>IFERROR(__xludf.DUMMYFUNCTION("""COMPUTED_VALUE"""),"RSC002707")</f>
        <v>RSC002707</v>
      </c>
      <c r="B2700" s="41" t="str">
        <f>IFERROR(__xludf.DUMMYFUNCTION("""COMPUTED_VALUE"""),"Greelo")</f>
        <v>Greelo</v>
      </c>
    </row>
    <row r="2701">
      <c r="A2701" s="41" t="str">
        <f>IFERROR(__xludf.DUMMYFUNCTION("""COMPUTED_VALUE"""),"RSC002708")</f>
        <v>RSC002708</v>
      </c>
      <c r="B2701" s="41" t="str">
        <f>IFERROR(__xludf.DUMMYFUNCTION("""COMPUTED_VALUE"""),"Valance-_-")</f>
        <v>Valance-_-</v>
      </c>
    </row>
    <row r="2702">
      <c r="A2702" s="41" t="str">
        <f>IFERROR(__xludf.DUMMYFUNCTION("""COMPUTED_VALUE"""),"RSC002709")</f>
        <v>RSC002709</v>
      </c>
      <c r="B2702" s="41" t="str">
        <f>IFERROR(__xludf.DUMMYFUNCTION("""COMPUTED_VALUE"""),"NightSTALKER1674")</f>
        <v>NightSTALKER1674</v>
      </c>
    </row>
    <row r="2703">
      <c r="A2703" s="41" t="str">
        <f>IFERROR(__xludf.DUMMYFUNCTION("""COMPUTED_VALUE"""),"RSC002710")</f>
        <v>RSC002710</v>
      </c>
      <c r="B2703" s="41" t="str">
        <f>IFERROR(__xludf.DUMMYFUNCTION("""COMPUTED_VALUE"""),"Treydo123")</f>
        <v>Treydo123</v>
      </c>
    </row>
    <row r="2704">
      <c r="A2704" s="41" t="str">
        <f>IFERROR(__xludf.DUMMYFUNCTION("""COMPUTED_VALUE"""),"RSC002711")</f>
        <v>RSC002711</v>
      </c>
      <c r="B2704" s="41" t="str">
        <f>IFERROR(__xludf.DUMMYFUNCTION("""COMPUTED_VALUE"""),"AbsoluteBruhed")</f>
        <v>AbsoluteBruhed</v>
      </c>
    </row>
    <row r="2705">
      <c r="A2705" s="41" t="str">
        <f>IFERROR(__xludf.DUMMYFUNCTION("""COMPUTED_VALUE"""),"RSC002712")</f>
        <v>RSC002712</v>
      </c>
      <c r="B2705" s="41" t="str">
        <f>IFERROR(__xludf.DUMMYFUNCTION("""COMPUTED_VALUE"""),"A Hostile Hippo")</f>
        <v>A Hostile Hippo</v>
      </c>
    </row>
    <row r="2706">
      <c r="A2706" s="41" t="str">
        <f>IFERROR(__xludf.DUMMYFUNCTION("""COMPUTED_VALUE"""),"RSC002713")</f>
        <v>RSC002713</v>
      </c>
      <c r="B2706" s="41" t="str">
        <f>IFERROR(__xludf.DUMMYFUNCTION("""COMPUTED_VALUE"""),"TimmyIU20")</f>
        <v>TimmyIU20</v>
      </c>
    </row>
    <row r="2707">
      <c r="A2707" s="41" t="str">
        <f>IFERROR(__xludf.DUMMYFUNCTION("""COMPUTED_VALUE"""),"RSC002714")</f>
        <v>RSC002714</v>
      </c>
      <c r="B2707" s="41" t="str">
        <f>IFERROR(__xludf.DUMMYFUNCTION("""COMPUTED_VALUE"""),"Andy")</f>
        <v>Andy</v>
      </c>
    </row>
    <row r="2708">
      <c r="A2708" s="41" t="str">
        <f>IFERROR(__xludf.DUMMYFUNCTION("""COMPUTED_VALUE"""),"RSC002715")</f>
        <v>RSC002715</v>
      </c>
      <c r="B2708" s="41" t="str">
        <f>IFERROR(__xludf.DUMMYFUNCTION("""COMPUTED_VALUE"""),"xRubby_I22I")</f>
        <v>xRubby_I22I</v>
      </c>
    </row>
    <row r="2709">
      <c r="A2709" s="41" t="str">
        <f>IFERROR(__xludf.DUMMYFUNCTION("""COMPUTED_VALUE"""),"RSC002716")</f>
        <v>RSC002716</v>
      </c>
      <c r="B2709" s="41" t="str">
        <f>IFERROR(__xludf.DUMMYFUNCTION("""COMPUTED_VALUE"""),"LillAlpha")</f>
        <v>LillAlpha</v>
      </c>
    </row>
    <row r="2710">
      <c r="A2710" s="41" t="str">
        <f>IFERROR(__xludf.DUMMYFUNCTION("""COMPUTED_VALUE"""),"RSC002717")</f>
        <v>RSC002717</v>
      </c>
      <c r="B2710" s="41" t="str">
        <f>IFERROR(__xludf.DUMMYFUNCTION("""COMPUTED_VALUE"""),"VR Wildcard")</f>
        <v>VR Wildcard</v>
      </c>
    </row>
    <row r="2711">
      <c r="A2711" s="41" t="str">
        <f>IFERROR(__xludf.DUMMYFUNCTION("""COMPUTED_VALUE"""),"RSC002718")</f>
        <v>RSC002718</v>
      </c>
      <c r="B2711" s="41" t="str">
        <f>IFERROR(__xludf.DUMMYFUNCTION("""COMPUTED_VALUE"""),"Clarky?")</f>
        <v>Clarky?</v>
      </c>
    </row>
    <row r="2712">
      <c r="A2712" s="41" t="str">
        <f>IFERROR(__xludf.DUMMYFUNCTION("""COMPUTED_VALUE"""),"RSC002719")</f>
        <v>RSC002719</v>
      </c>
      <c r="B2712" s="41" t="str">
        <f>IFERROR(__xludf.DUMMYFUNCTION("""COMPUTED_VALUE"""),"shermantor5412")</f>
        <v>shermantor5412</v>
      </c>
    </row>
    <row r="2713">
      <c r="A2713" s="41" t="str">
        <f>IFERROR(__xludf.DUMMYFUNCTION("""COMPUTED_VALUE"""),"RSC002720")</f>
        <v>RSC002720</v>
      </c>
      <c r="B2713" s="41" t="str">
        <f>IFERROR(__xludf.DUMMYFUNCTION("""COMPUTED_VALUE"""),"Ryker")</f>
        <v>Ryker</v>
      </c>
    </row>
    <row r="2714">
      <c r="A2714" s="41" t="str">
        <f>IFERROR(__xludf.DUMMYFUNCTION("""COMPUTED_VALUE"""),"RSC002721")</f>
        <v>RSC002721</v>
      </c>
      <c r="B2714" s="41" t="str">
        <f>IFERROR(__xludf.DUMMYFUNCTION("""COMPUTED_VALUE"""),"fanaticghoul")</f>
        <v>fanaticghoul</v>
      </c>
    </row>
    <row r="2715">
      <c r="A2715" s="41" t="str">
        <f>IFERROR(__xludf.DUMMYFUNCTION("""COMPUTED_VALUE"""),"RSC002722")</f>
        <v>RSC002722</v>
      </c>
      <c r="B2715" s="41" t="str">
        <f>IFERROR(__xludf.DUMMYFUNCTION("""COMPUTED_VALUE"""),"TabernakDeCalis")</f>
        <v>TabernakDeCalis</v>
      </c>
    </row>
    <row r="2716">
      <c r="A2716" s="41" t="str">
        <f>IFERROR(__xludf.DUMMYFUNCTION("""COMPUTED_VALUE"""),"RSC002723")</f>
        <v>RSC002723</v>
      </c>
      <c r="B2716" s="41" t="str">
        <f>IFERROR(__xludf.DUMMYFUNCTION("""COMPUTED_VALUE"""),"Familymobmonk")</f>
        <v>Familymobmonk</v>
      </c>
    </row>
    <row r="2717">
      <c r="A2717" s="41" t="str">
        <f>IFERROR(__xludf.DUMMYFUNCTION("""COMPUTED_VALUE"""),"RSC002724")</f>
        <v>RSC002724</v>
      </c>
      <c r="B2717" s="41" t="str">
        <f>IFERROR(__xludf.DUMMYFUNCTION("""COMPUTED_VALUE"""),"ImJace")</f>
        <v>ImJace</v>
      </c>
    </row>
    <row r="2718">
      <c r="A2718" s="41" t="str">
        <f>IFERROR(__xludf.DUMMYFUNCTION("""COMPUTED_VALUE"""),"RSC002725")</f>
        <v>RSC002725</v>
      </c>
      <c r="B2718" s="41" t="str">
        <f>IFERROR(__xludf.DUMMYFUNCTION("""COMPUTED_VALUE"""),"Slowmocean")</f>
        <v>Slowmocean</v>
      </c>
    </row>
    <row r="2719">
      <c r="A2719" s="41" t="str">
        <f>IFERROR(__xludf.DUMMYFUNCTION("""COMPUTED_VALUE"""),"RSC002726")</f>
        <v>RSC002726</v>
      </c>
      <c r="B2719" s="41" t="str">
        <f>IFERROR(__xludf.DUMMYFUNCTION("""COMPUTED_VALUE"""),"SRSblack")</f>
        <v>SRSblack</v>
      </c>
    </row>
    <row r="2720">
      <c r="A2720" s="41" t="str">
        <f>IFERROR(__xludf.DUMMYFUNCTION("""COMPUTED_VALUE"""),"RSC002727")</f>
        <v>RSC002727</v>
      </c>
      <c r="B2720" s="41" t="str">
        <f>IFERROR(__xludf.DUMMYFUNCTION("""COMPUTED_VALUE"""),"Watery Crap")</f>
        <v>Watery Crap</v>
      </c>
    </row>
    <row r="2721">
      <c r="A2721" s="41" t="str">
        <f>IFERROR(__xludf.DUMMYFUNCTION("""COMPUTED_VALUE"""),"RSC002728")</f>
        <v>RSC002728</v>
      </c>
      <c r="B2721" s="41" t="str">
        <f>IFERROR(__xludf.DUMMYFUNCTION("""COMPUTED_VALUE"""),"theo_holm")</f>
        <v>theo_holm</v>
      </c>
    </row>
    <row r="2722">
      <c r="A2722" s="41" t="str">
        <f>IFERROR(__xludf.DUMMYFUNCTION("""COMPUTED_VALUE"""),"RSC002729")</f>
        <v>RSC002729</v>
      </c>
      <c r="B2722" s="41" t="str">
        <f>IFERROR(__xludf.DUMMYFUNCTION("""COMPUTED_VALUE"""),"snugcore")</f>
        <v>snugcore</v>
      </c>
    </row>
    <row r="2723">
      <c r="A2723" s="41" t="str">
        <f>IFERROR(__xludf.DUMMYFUNCTION("""COMPUTED_VALUE"""),"RSC002730")</f>
        <v>RSC002730</v>
      </c>
      <c r="B2723" s="41" t="str">
        <f>IFERROR(__xludf.DUMMYFUNCTION("""COMPUTED_VALUE"""),"Aquap")</f>
        <v>Aquap</v>
      </c>
    </row>
    <row r="2724">
      <c r="A2724" s="41" t="str">
        <f>IFERROR(__xludf.DUMMYFUNCTION("""COMPUTED_VALUE"""),"RSC002731")</f>
        <v>RSC002731</v>
      </c>
      <c r="B2724" s="41" t="str">
        <f>IFERROR(__xludf.DUMMYFUNCTION("""COMPUTED_VALUE"""),"elite gonzo")</f>
        <v>elite gonzo</v>
      </c>
    </row>
    <row r="2725">
      <c r="A2725" s="41" t="str">
        <f>IFERROR(__xludf.DUMMYFUNCTION("""COMPUTED_VALUE"""),"RSC002732")</f>
        <v>RSC002732</v>
      </c>
      <c r="B2725" s="41" t="str">
        <f>IFERROR(__xludf.DUMMYFUNCTION("""COMPUTED_VALUE"""),"JustKiddingSimmons")</f>
        <v>JustKiddingSimmons</v>
      </c>
    </row>
    <row r="2726">
      <c r="A2726" s="41" t="str">
        <f>IFERROR(__xludf.DUMMYFUNCTION("""COMPUTED_VALUE"""),"RSC002733")</f>
        <v>RSC002733</v>
      </c>
      <c r="B2726" s="41" t="str">
        <f>IFERROR(__xludf.DUMMYFUNCTION("""COMPUTED_VALUE"""),"THOG")</f>
        <v>THOG</v>
      </c>
    </row>
    <row r="2727">
      <c r="A2727" s="41" t="str">
        <f>IFERROR(__xludf.DUMMYFUNCTION("""COMPUTED_VALUE"""),"RSC002734")</f>
        <v>RSC002734</v>
      </c>
      <c r="B2727" s="41" t="str">
        <f>IFERROR(__xludf.DUMMYFUNCTION("""COMPUTED_VALUE"""),"Thescarybat")</f>
        <v>Thescarybat</v>
      </c>
    </row>
    <row r="2728">
      <c r="A2728" s="41" t="str">
        <f>IFERROR(__xludf.DUMMYFUNCTION("""COMPUTED_VALUE"""),"RSC002735")</f>
        <v>RSC002735</v>
      </c>
      <c r="B2728" s="41" t="str">
        <f>IFERROR(__xludf.DUMMYFUNCTION("""COMPUTED_VALUE"""),"Lil glonk")</f>
        <v>Lil glonk</v>
      </c>
    </row>
    <row r="2729">
      <c r="A2729" s="41" t="str">
        <f>IFERROR(__xludf.DUMMYFUNCTION("""COMPUTED_VALUE"""),"RSC002736")</f>
        <v>RSC002736</v>
      </c>
      <c r="B2729" s="41" t="str">
        <f>IFERROR(__xludf.DUMMYFUNCTION("""COMPUTED_VALUE"""),"chulainn")</f>
        <v>chulainn</v>
      </c>
    </row>
    <row r="2730">
      <c r="A2730" s="41" t="str">
        <f>IFERROR(__xludf.DUMMYFUNCTION("""COMPUTED_VALUE"""),"RSC002737")</f>
        <v>RSC002737</v>
      </c>
      <c r="B2730" s="41" t="str">
        <f>IFERROR(__xludf.DUMMYFUNCTION("""COMPUTED_VALUE"""),"Half a Head of Lettuce")</f>
        <v>Half a Head of Lettuce</v>
      </c>
    </row>
    <row r="2731">
      <c r="A2731" s="41" t="str">
        <f>IFERROR(__xludf.DUMMYFUNCTION("""COMPUTED_VALUE"""),"RSC002738")</f>
        <v>RSC002738</v>
      </c>
      <c r="B2731" s="41" t="str">
        <f>IFERROR(__xludf.DUMMYFUNCTION("""COMPUTED_VALUE"""),"lincm-_-")</f>
        <v>lincm-_-</v>
      </c>
    </row>
    <row r="2732">
      <c r="A2732" s="41" t="str">
        <f>IFERROR(__xludf.DUMMYFUNCTION("""COMPUTED_VALUE"""),"RSC002739")</f>
        <v>RSC002739</v>
      </c>
      <c r="B2732" s="41" t="str">
        <f>IFERROR(__xludf.DUMMYFUNCTION("""COMPUTED_VALUE"""),"JD MAYO")</f>
        <v>JD MAYO</v>
      </c>
    </row>
    <row r="2733">
      <c r="A2733" s="41" t="str">
        <f>IFERROR(__xludf.DUMMYFUNCTION("""COMPUTED_VALUE"""),"RSC002740")</f>
        <v>RSC002740</v>
      </c>
      <c r="B2733" s="41" t="str">
        <f>IFERROR(__xludf.DUMMYFUNCTION("""COMPUTED_VALUE"""),"Binji")</f>
        <v>Binji</v>
      </c>
    </row>
    <row r="2734">
      <c r="A2734" s="41" t="str">
        <f>IFERROR(__xludf.DUMMYFUNCTION("""COMPUTED_VALUE"""),"RSC002741")</f>
        <v>RSC002741</v>
      </c>
      <c r="B2734" s="41" t="str">
        <f>IFERROR(__xludf.DUMMYFUNCTION("""COMPUTED_VALUE"""),"snoop dogg")</f>
        <v>snoop dogg</v>
      </c>
    </row>
    <row r="2735">
      <c r="A2735" s="41" t="str">
        <f>IFERROR(__xludf.DUMMYFUNCTION("""COMPUTED_VALUE"""),"RSC002742")</f>
        <v>RSC002742</v>
      </c>
      <c r="B2735" s="41" t="str">
        <f>IFERROR(__xludf.DUMMYFUNCTION("""COMPUTED_VALUE"""),"ROB BEE")</f>
        <v>ROB BEE</v>
      </c>
    </row>
    <row r="2736">
      <c r="A2736" s="41" t="str">
        <f>IFERROR(__xludf.DUMMYFUNCTION("""COMPUTED_VALUE"""),"RSC002743")</f>
        <v>RSC002743</v>
      </c>
      <c r="B2736" s="41" t="str">
        <f>IFERROR(__xludf.DUMMYFUNCTION("""COMPUTED_VALUE"""),"kdfsjljklgjfg")</f>
        <v>kdfsjljklgjfg</v>
      </c>
    </row>
    <row r="2737">
      <c r="A2737" s="41" t="str">
        <f>IFERROR(__xludf.DUMMYFUNCTION("""COMPUTED_VALUE"""),"RSC002744")</f>
        <v>RSC002744</v>
      </c>
      <c r="B2737" s="41" t="str">
        <f>IFERROR(__xludf.DUMMYFUNCTION("""COMPUTED_VALUE"""),"Crasty24")</f>
        <v>Crasty24</v>
      </c>
    </row>
    <row r="2738">
      <c r="A2738" s="41" t="str">
        <f>IFERROR(__xludf.DUMMYFUNCTION("""COMPUTED_VALUE"""),"RSC002745")</f>
        <v>RSC002745</v>
      </c>
      <c r="B2738" s="41" t="str">
        <f>IFERROR(__xludf.DUMMYFUNCTION("""COMPUTED_VALUE"""),"Colin")</f>
        <v>Colin</v>
      </c>
    </row>
    <row r="2739">
      <c r="A2739" s="41" t="str">
        <f>IFERROR(__xludf.DUMMYFUNCTION("""COMPUTED_VALUE"""),"RSC002746")</f>
        <v>RSC002746</v>
      </c>
      <c r="B2739" s="41" t="str">
        <f>IFERROR(__xludf.DUMMYFUNCTION("""COMPUTED_VALUE"""),"zeclipse sierra")</f>
        <v>zeclipse sierra</v>
      </c>
    </row>
    <row r="2740">
      <c r="A2740" s="41" t="str">
        <f>IFERROR(__xludf.DUMMYFUNCTION("""COMPUTED_VALUE"""),"RSC002747")</f>
        <v>RSC002747</v>
      </c>
      <c r="B2740" s="41" t="str">
        <f>IFERROR(__xludf.DUMMYFUNCTION("""COMPUTED_VALUE"""),"derrrrrrrrp")</f>
        <v>derrrrrrrrp</v>
      </c>
    </row>
    <row r="2741">
      <c r="A2741" s="41" t="str">
        <f>IFERROR(__xludf.DUMMYFUNCTION("""COMPUTED_VALUE"""),"RSC002748")</f>
        <v>RSC002748</v>
      </c>
      <c r="B2741" s="41" t="str">
        <f>IFERROR(__xludf.DUMMYFUNCTION("""COMPUTED_VALUE"""),"Paiva03")</f>
        <v>Paiva03</v>
      </c>
    </row>
    <row r="2742">
      <c r="A2742" s="41" t="str">
        <f>IFERROR(__xludf.DUMMYFUNCTION("""COMPUTED_VALUE"""),"RSC002749")</f>
        <v>RSC002749</v>
      </c>
      <c r="B2742" s="41" t="str">
        <f>IFERROR(__xludf.DUMMYFUNCTION("""COMPUTED_VALUE"""),"JankMastaFlash")</f>
        <v>JankMastaFlash</v>
      </c>
    </row>
    <row r="2743">
      <c r="A2743" s="41" t="str">
        <f>IFERROR(__xludf.DUMMYFUNCTION("""COMPUTED_VALUE"""),"RSC002750")</f>
        <v>RSC002750</v>
      </c>
      <c r="B2743" s="41" t="str">
        <f>IFERROR(__xludf.DUMMYFUNCTION("""COMPUTED_VALUE"""),"Connor")</f>
        <v>Connor</v>
      </c>
    </row>
    <row r="2744">
      <c r="A2744" s="41" t="str">
        <f>IFERROR(__xludf.DUMMYFUNCTION("""COMPUTED_VALUE"""),"RSC002751")</f>
        <v>RSC002751</v>
      </c>
      <c r="B2744" s="41" t="str">
        <f>IFERROR(__xludf.DUMMYFUNCTION("""COMPUTED_VALUE"""),"R_C_V2")</f>
        <v>R_C_V2</v>
      </c>
    </row>
    <row r="2745">
      <c r="A2745" s="41" t="str">
        <f>IFERROR(__xludf.DUMMYFUNCTION("""COMPUTED_VALUE"""),"RSC002752")</f>
        <v>RSC002752</v>
      </c>
      <c r="B2745" s="41" t="str">
        <f>IFERROR(__xludf.DUMMYFUNCTION("""COMPUTED_VALUE"""),"WRA")</f>
        <v>WRA</v>
      </c>
    </row>
    <row r="2746">
      <c r="A2746" s="41" t="str">
        <f>IFERROR(__xludf.DUMMYFUNCTION("""COMPUTED_VALUE"""),"RSC002753")</f>
        <v>RSC002753</v>
      </c>
      <c r="B2746" s="41" t="str">
        <f>IFERROR(__xludf.DUMMYFUNCTION("""COMPUTED_VALUE"""),"jibletsmasher")</f>
        <v>jibletsmasher</v>
      </c>
    </row>
    <row r="2747">
      <c r="A2747" s="41" t="str">
        <f>IFERROR(__xludf.DUMMYFUNCTION("""COMPUTED_VALUE"""),"RSC002754")</f>
        <v>RSC002754</v>
      </c>
      <c r="B2747" s="41" t="str">
        <f>IFERROR(__xludf.DUMMYFUNCTION("""COMPUTED_VALUE"""),"Maverick")</f>
        <v>Maverick</v>
      </c>
    </row>
    <row r="2748">
      <c r="A2748" s="41" t="str">
        <f>IFERROR(__xludf.DUMMYFUNCTION("""COMPUTED_VALUE"""),"RSC002755")</f>
        <v>RSC002755</v>
      </c>
      <c r="B2748" s="41" t="str">
        <f>IFERROR(__xludf.DUMMYFUNCTION("""COMPUTED_VALUE"""),"briggs")</f>
        <v>briggs</v>
      </c>
    </row>
    <row r="2749">
      <c r="A2749" s="41" t="str">
        <f>IFERROR(__xludf.DUMMYFUNCTION("""COMPUTED_VALUE"""),"RSC002756")</f>
        <v>RSC002756</v>
      </c>
      <c r="B2749" s="41" t="str">
        <f>IFERROR(__xludf.DUMMYFUNCTION("""COMPUTED_VALUE"""),"Blue NCS")</f>
        <v>Blue NCS</v>
      </c>
    </row>
    <row r="2750">
      <c r="A2750" s="41" t="str">
        <f>IFERROR(__xludf.DUMMYFUNCTION("""COMPUTED_VALUE"""),"RSC002757")</f>
        <v>RSC002757</v>
      </c>
      <c r="B2750" s="41" t="str">
        <f>IFERROR(__xludf.DUMMYFUNCTION("""COMPUTED_VALUE"""),"Poetik")</f>
        <v>Poetik</v>
      </c>
    </row>
    <row r="2751">
      <c r="A2751" s="41" t="str">
        <f>IFERROR(__xludf.DUMMYFUNCTION("""COMPUTED_VALUE"""),"RSC002758")</f>
        <v>RSC002758</v>
      </c>
      <c r="B2751" s="41" t="str">
        <f>IFERROR(__xludf.DUMMYFUNCTION("""COMPUTED_VALUE"""),"Gamma")</f>
        <v>Gamma</v>
      </c>
    </row>
    <row r="2752">
      <c r="A2752" s="41" t="str">
        <f>IFERROR(__xludf.DUMMYFUNCTION("""COMPUTED_VALUE"""),"RSC002759")</f>
        <v>RSC002759</v>
      </c>
      <c r="B2752" s="41" t="str">
        <f>IFERROR(__xludf.DUMMYFUNCTION("""COMPUTED_VALUE"""),"chan")</f>
        <v>chan</v>
      </c>
    </row>
    <row r="2753">
      <c r="A2753" s="41" t="str">
        <f>IFERROR(__xludf.DUMMYFUNCTION("""COMPUTED_VALUE"""),"RSC002760")</f>
        <v>RSC002760</v>
      </c>
      <c r="B2753" s="41" t="str">
        <f>IFERROR(__xludf.DUMMYFUNCTION("""COMPUTED_VALUE"""),"gcol")</f>
        <v>gcol</v>
      </c>
    </row>
    <row r="2754">
      <c r="A2754" s="41" t="str">
        <f>IFERROR(__xludf.DUMMYFUNCTION("""COMPUTED_VALUE"""),"RSC002761")</f>
        <v>RSC002761</v>
      </c>
      <c r="B2754" s="41" t="str">
        <f>IFERROR(__xludf.DUMMYFUNCTION("""COMPUTED_VALUE"""),"JoeGumby")</f>
        <v>JoeGumby</v>
      </c>
    </row>
    <row r="2755">
      <c r="A2755" s="41" t="str">
        <f>IFERROR(__xludf.DUMMYFUNCTION("""COMPUTED_VALUE"""),"RSC002762")</f>
        <v>RSC002762</v>
      </c>
      <c r="B2755" s="41" t="str">
        <f>IFERROR(__xludf.DUMMYFUNCTION("""COMPUTED_VALUE"""),"OnwardFlame")</f>
        <v>OnwardFlame</v>
      </c>
    </row>
    <row r="2756">
      <c r="A2756" s="41" t="str">
        <f>IFERROR(__xludf.DUMMYFUNCTION("""COMPUTED_VALUE"""),"RSC002763")</f>
        <v>RSC002763</v>
      </c>
      <c r="B2756" s="41" t="str">
        <f>IFERROR(__xludf.DUMMYFUNCTION("""COMPUTED_VALUE"""),"Houdini")</f>
        <v>Houdini</v>
      </c>
    </row>
    <row r="2757">
      <c r="A2757" s="41" t="str">
        <f>IFERROR(__xludf.DUMMYFUNCTION("""COMPUTED_VALUE"""),"RSC002764")</f>
        <v>RSC002764</v>
      </c>
      <c r="B2757" s="41" t="str">
        <f>IFERROR(__xludf.DUMMYFUNCTION("""COMPUTED_VALUE"""),"Delicien")</f>
        <v>Delicien</v>
      </c>
    </row>
    <row r="2758">
      <c r="A2758" s="41" t="str">
        <f>IFERROR(__xludf.DUMMYFUNCTION("""COMPUTED_VALUE"""),"RSC002765")</f>
        <v>RSC002765</v>
      </c>
      <c r="B2758" s="41" t="str">
        <f>IFERROR(__xludf.DUMMYFUNCTION("""COMPUTED_VALUE"""),"WiliieMaysHayes")</f>
        <v>WiliieMaysHayes</v>
      </c>
    </row>
    <row r="2759">
      <c r="A2759" s="41" t="str">
        <f>IFERROR(__xludf.DUMMYFUNCTION("""COMPUTED_VALUE"""),"RSC002766")</f>
        <v>RSC002766</v>
      </c>
      <c r="B2759" s="41" t="str">
        <f>IFERROR(__xludf.DUMMYFUNCTION("""COMPUTED_VALUE"""),"Party")</f>
        <v>Party</v>
      </c>
    </row>
    <row r="2760">
      <c r="A2760" s="41" t="str">
        <f>IFERROR(__xludf.DUMMYFUNCTION("""COMPUTED_VALUE"""),"RSC002767")</f>
        <v>RSC002767</v>
      </c>
      <c r="B2760" s="41" t="str">
        <f>IFERROR(__xludf.DUMMYFUNCTION("""COMPUTED_VALUE"""),"Rvbb3rDvck")</f>
        <v>Rvbb3rDvck</v>
      </c>
    </row>
    <row r="2761">
      <c r="A2761" s="41" t="str">
        <f>IFERROR(__xludf.DUMMYFUNCTION("""COMPUTED_VALUE"""),"RSC002768")</f>
        <v>RSC002768</v>
      </c>
      <c r="B2761" s="41" t="str">
        <f>IFERROR(__xludf.DUMMYFUNCTION("""COMPUTED_VALUE"""),"Mk Mkof")</f>
        <v>Mk Mkof</v>
      </c>
    </row>
    <row r="2762">
      <c r="A2762" s="41" t="str">
        <f>IFERROR(__xludf.DUMMYFUNCTION("""COMPUTED_VALUE"""),"RSC002769")</f>
        <v>RSC002769</v>
      </c>
      <c r="B2762" s="41" t="str">
        <f>IFERROR(__xludf.DUMMYFUNCTION("""COMPUTED_VALUE"""),"Wcoates")</f>
        <v>Wcoates</v>
      </c>
    </row>
    <row r="2763">
      <c r="A2763" s="41" t="str">
        <f>IFERROR(__xludf.DUMMYFUNCTION("""COMPUTED_VALUE"""),"RSC002770")</f>
        <v>RSC002770</v>
      </c>
      <c r="B2763" s="41" t="str">
        <f>IFERROR(__xludf.DUMMYFUNCTION("""COMPUTED_VALUE"""),"Canadian Bacon")</f>
        <v>Canadian Bacon</v>
      </c>
    </row>
    <row r="2764">
      <c r="A2764" s="41" t="str">
        <f>IFERROR(__xludf.DUMMYFUNCTION("""COMPUTED_VALUE"""),"RSC002771")</f>
        <v>RSC002771</v>
      </c>
      <c r="B2764" s="41" t="str">
        <f>IFERROR(__xludf.DUMMYFUNCTION("""COMPUTED_VALUE"""),"DeafBoyJunior")</f>
        <v>DeafBoyJunior</v>
      </c>
    </row>
    <row r="2765">
      <c r="A2765" s="41" t="str">
        <f>IFERROR(__xludf.DUMMYFUNCTION("""COMPUTED_VALUE"""),"RSC002772")</f>
        <v>RSC002772</v>
      </c>
      <c r="B2765" s="41" t="str">
        <f>IFERROR(__xludf.DUMMYFUNCTION("""COMPUTED_VALUE"""),"BeLikeRocky")</f>
        <v>BeLikeRocky</v>
      </c>
    </row>
    <row r="2766">
      <c r="A2766" s="41" t="str">
        <f>IFERROR(__xludf.DUMMYFUNCTION("""COMPUTED_VALUE"""),"RSC002773")</f>
        <v>RSC002773</v>
      </c>
      <c r="B2766" s="41" t="str">
        <f>IFERROR(__xludf.DUMMYFUNCTION("""COMPUTED_VALUE"""),"thayes23")</f>
        <v>thayes23</v>
      </c>
    </row>
    <row r="2767">
      <c r="A2767" s="41" t="str">
        <f>IFERROR(__xludf.DUMMYFUNCTION("""COMPUTED_VALUE"""),"RSC002774")</f>
        <v>RSC002774</v>
      </c>
      <c r="B2767" s="41" t="str">
        <f>IFERROR(__xludf.DUMMYFUNCTION("""COMPUTED_VALUE"""),"jkelley")</f>
        <v>jkelley</v>
      </c>
    </row>
    <row r="2768">
      <c r="A2768" s="41" t="str">
        <f>IFERROR(__xludf.DUMMYFUNCTION("""COMPUTED_VALUE"""),"RSC002775")</f>
        <v>RSC002775</v>
      </c>
      <c r="B2768" s="41" t="str">
        <f>IFERROR(__xludf.DUMMYFUNCTION("""COMPUTED_VALUE"""),"SemajG")</f>
        <v>SemajG</v>
      </c>
    </row>
    <row r="2769">
      <c r="A2769" s="41" t="str">
        <f>IFERROR(__xludf.DUMMYFUNCTION("""COMPUTED_VALUE"""),"RSC002776")</f>
        <v>RSC002776</v>
      </c>
      <c r="B2769" s="41" t="str">
        <f>IFERROR(__xludf.DUMMYFUNCTION("""COMPUTED_VALUE"""),"Salcedo")</f>
        <v>Salcedo</v>
      </c>
    </row>
    <row r="2770">
      <c r="A2770" s="41" t="str">
        <f>IFERROR(__xludf.DUMMYFUNCTION("""COMPUTED_VALUE"""),"RSC002777")</f>
        <v>RSC002777</v>
      </c>
      <c r="B2770" s="41" t="str">
        <f>IFERROR(__xludf.DUMMYFUNCTION("""COMPUTED_VALUE"""),"pm")</f>
        <v>pm</v>
      </c>
    </row>
    <row r="2771">
      <c r="A2771" s="41" t="str">
        <f>IFERROR(__xludf.DUMMYFUNCTION("""COMPUTED_VALUE"""),"RSC002778")</f>
        <v>RSC002778</v>
      </c>
      <c r="B2771" s="41" t="str">
        <f>IFERROR(__xludf.DUMMYFUNCTION("""COMPUTED_VALUE"""),"Netheryaya")</f>
        <v>Netheryaya</v>
      </c>
    </row>
    <row r="2772">
      <c r="A2772" s="41" t="str">
        <f>IFERROR(__xludf.DUMMYFUNCTION("""COMPUTED_VALUE"""),"RSC002779")</f>
        <v>RSC002779</v>
      </c>
      <c r="B2772" s="41" t="str">
        <f>IFERROR(__xludf.DUMMYFUNCTION("""COMPUTED_VALUE"""),"cahewa")</f>
        <v>cahewa</v>
      </c>
    </row>
    <row r="2773">
      <c r="A2773" s="41" t="str">
        <f>IFERROR(__xludf.DUMMYFUNCTION("""COMPUTED_VALUE"""),"RSC002780")</f>
        <v>RSC002780</v>
      </c>
      <c r="B2773" s="41" t="str">
        <f>IFERROR(__xludf.DUMMYFUNCTION("""COMPUTED_VALUE"""),"Lickadoss77")</f>
        <v>Lickadoss77</v>
      </c>
    </row>
    <row r="2774">
      <c r="A2774" s="41" t="str">
        <f>IFERROR(__xludf.DUMMYFUNCTION("""COMPUTED_VALUE"""),"RSC002781")</f>
        <v>RSC002781</v>
      </c>
      <c r="B2774" s="41" t="str">
        <f>IFERROR(__xludf.DUMMYFUNCTION("""COMPUTED_VALUE"""),"Doctor__34")</f>
        <v>Doctor__34</v>
      </c>
    </row>
    <row r="2775">
      <c r="A2775" s="41" t="str">
        <f>IFERROR(__xludf.DUMMYFUNCTION("""COMPUTED_VALUE"""),"RSC002782")</f>
        <v>RSC002782</v>
      </c>
      <c r="B2775" s="41" t="str">
        <f>IFERROR(__xludf.DUMMYFUNCTION("""COMPUTED_VALUE"""),"JIMJOHN")</f>
        <v>JIMJOHN</v>
      </c>
    </row>
    <row r="2776">
      <c r="A2776" s="41" t="str">
        <f>IFERROR(__xludf.DUMMYFUNCTION("""COMPUTED_VALUE"""),"RSC002783")</f>
        <v>RSC002783</v>
      </c>
      <c r="B2776" s="41" t="str">
        <f>IFERROR(__xludf.DUMMYFUNCTION("""COMPUTED_VALUE"""),"Roy")</f>
        <v>Roy</v>
      </c>
    </row>
    <row r="2777">
      <c r="A2777" s="41" t="str">
        <f>IFERROR(__xludf.DUMMYFUNCTION("""COMPUTED_VALUE"""),"RSC002784")</f>
        <v>RSC002784</v>
      </c>
      <c r="B2777" s="41" t="str">
        <f>IFERROR(__xludf.DUMMYFUNCTION("""COMPUTED_VALUE"""),"Dem0nicM0nk3y")</f>
        <v>Dem0nicM0nk3y</v>
      </c>
    </row>
    <row r="2778">
      <c r="A2778" s="41" t="str">
        <f>IFERROR(__xludf.DUMMYFUNCTION("""COMPUTED_VALUE"""),"RSC002785")</f>
        <v>RSC002785</v>
      </c>
      <c r="B2778" s="41" t="str">
        <f>IFERROR(__xludf.DUMMYFUNCTION("""COMPUTED_VALUE"""),"Jwshaba")</f>
        <v>Jwshaba</v>
      </c>
    </row>
    <row r="2779">
      <c r="A2779" s="41" t="str">
        <f>IFERROR(__xludf.DUMMYFUNCTION("""COMPUTED_VALUE"""),"RSC002786")</f>
        <v>RSC002786</v>
      </c>
      <c r="B2779" s="41" t="str">
        <f>IFERROR(__xludf.DUMMYFUNCTION("""COMPUTED_VALUE"""),"Xero Sunder")</f>
        <v>Xero Sunder</v>
      </c>
    </row>
    <row r="2780">
      <c r="A2780" s="41" t="str">
        <f>IFERROR(__xludf.DUMMYFUNCTION("""COMPUTED_VALUE"""),"RSC002787")</f>
        <v>RSC002787</v>
      </c>
      <c r="B2780" s="41" t="str">
        <f>IFERROR(__xludf.DUMMYFUNCTION("""COMPUTED_VALUE"""),"MrElectrix")</f>
        <v>MrElectrix</v>
      </c>
    </row>
    <row r="2781">
      <c r="A2781" s="41" t="str">
        <f>IFERROR(__xludf.DUMMYFUNCTION("""COMPUTED_VALUE"""),"RSC002788")</f>
        <v>RSC002788</v>
      </c>
      <c r="B2781" s="41" t="str">
        <f>IFERROR(__xludf.DUMMYFUNCTION("""COMPUTED_VALUE"""),"awesomeguy20021")</f>
        <v>awesomeguy20021</v>
      </c>
    </row>
    <row r="2782">
      <c r="A2782" s="41" t="str">
        <f>IFERROR(__xludf.DUMMYFUNCTION("""COMPUTED_VALUE"""),"RSC002789")</f>
        <v>RSC002789</v>
      </c>
      <c r="B2782" s="41" t="str">
        <f>IFERROR(__xludf.DUMMYFUNCTION("""COMPUTED_VALUE"""),"morph")</f>
        <v>morph</v>
      </c>
    </row>
    <row r="2783">
      <c r="A2783" s="41" t="str">
        <f>IFERROR(__xludf.DUMMYFUNCTION("""COMPUTED_VALUE"""),"RSC002790")</f>
        <v>RSC002790</v>
      </c>
      <c r="B2783" s="41" t="str">
        <f>IFERROR(__xludf.DUMMYFUNCTION("""COMPUTED_VALUE"""),"Belonkulay")</f>
        <v>Belonkulay</v>
      </c>
    </row>
    <row r="2784">
      <c r="A2784" s="41" t="str">
        <f>IFERROR(__xludf.DUMMYFUNCTION("""COMPUTED_VALUE"""),"RSC002791")</f>
        <v>RSC002791</v>
      </c>
      <c r="B2784" s="41" t="str">
        <f>IFERROR(__xludf.DUMMYFUNCTION("""COMPUTED_VALUE"""),"Ubi")</f>
        <v>Ubi</v>
      </c>
    </row>
    <row r="2785">
      <c r="A2785" s="41" t="str">
        <f>IFERROR(__xludf.DUMMYFUNCTION("""COMPUTED_VALUE"""),"RSC002792")</f>
        <v>RSC002792</v>
      </c>
      <c r="B2785" s="41" t="str">
        <f>IFERROR(__xludf.DUMMYFUNCTION("""COMPUTED_VALUE"""),"Duke Of Chutney")</f>
        <v>Duke Of Chutney</v>
      </c>
    </row>
    <row r="2786">
      <c r="A2786" s="41" t="str">
        <f>IFERROR(__xludf.DUMMYFUNCTION("""COMPUTED_VALUE"""),"RSC002793")</f>
        <v>RSC002793</v>
      </c>
      <c r="B2786" s="41" t="str">
        <f>IFERROR(__xludf.DUMMYFUNCTION("""COMPUTED_VALUE"""),"kev1n")</f>
        <v>kev1n</v>
      </c>
    </row>
    <row r="2787">
      <c r="A2787" s="41" t="str">
        <f>IFERROR(__xludf.DUMMYFUNCTION("""COMPUTED_VALUE"""),"RSC002794")</f>
        <v>RSC002794</v>
      </c>
      <c r="B2787" s="41" t="str">
        <f>IFERROR(__xludf.DUMMYFUNCTION("""COMPUTED_VALUE"""),"Vu")</f>
        <v>Vu</v>
      </c>
    </row>
    <row r="2788">
      <c r="A2788" s="41" t="str">
        <f>IFERROR(__xludf.DUMMYFUNCTION("""COMPUTED_VALUE"""),"RSC002795")</f>
        <v>RSC002795</v>
      </c>
      <c r="B2788" s="41" t="str">
        <f>IFERROR(__xludf.DUMMYFUNCTION("""COMPUTED_VALUE"""),"EAglexxEYE1998")</f>
        <v>EAglexxEYE1998</v>
      </c>
    </row>
    <row r="2789">
      <c r="A2789" s="41" t="str">
        <f>IFERROR(__xludf.DUMMYFUNCTION("""COMPUTED_VALUE"""),"RSC002796")</f>
        <v>RSC002796</v>
      </c>
      <c r="B2789" s="41" t="str">
        <f>IFERROR(__xludf.DUMMYFUNCTION("""COMPUTED_VALUE"""),"Carno")</f>
        <v>Carno</v>
      </c>
    </row>
    <row r="2790">
      <c r="A2790" s="41" t="str">
        <f>IFERROR(__xludf.DUMMYFUNCTION("""COMPUTED_VALUE"""),"RSC002797")</f>
        <v>RSC002797</v>
      </c>
      <c r="B2790" s="41" t="str">
        <f>IFERROR(__xludf.DUMMYFUNCTION("""COMPUTED_VALUE"""),"Mini")</f>
        <v>Mini</v>
      </c>
    </row>
    <row r="2791">
      <c r="A2791" s="41" t="str">
        <f>IFERROR(__xludf.DUMMYFUNCTION("""COMPUTED_VALUE"""),"RSC002798")</f>
        <v>RSC002798</v>
      </c>
      <c r="B2791" s="41" t="str">
        <f>IFERROR(__xludf.DUMMYFUNCTION("""COMPUTED_VALUE"""),"m_versal")</f>
        <v>m_versal</v>
      </c>
    </row>
    <row r="2792">
      <c r="A2792" s="41" t="str">
        <f>IFERROR(__xludf.DUMMYFUNCTION("""COMPUTED_VALUE"""),"RSC002799")</f>
        <v>RSC002799</v>
      </c>
      <c r="B2792" s="41" t="str">
        <f>IFERROR(__xludf.DUMMYFUNCTION("""COMPUTED_VALUE"""),"Whale")</f>
        <v>Whale</v>
      </c>
    </row>
    <row r="2793">
      <c r="A2793" s="41" t="str">
        <f>IFERROR(__xludf.DUMMYFUNCTION("""COMPUTED_VALUE"""),"RSC002800")</f>
        <v>RSC002800</v>
      </c>
      <c r="B2793" s="41" t="str">
        <f>IFERROR(__xludf.DUMMYFUNCTION("""COMPUTED_VALUE"""),"Novesen")</f>
        <v>Novesen</v>
      </c>
    </row>
    <row r="2794">
      <c r="A2794" s="41" t="str">
        <f>IFERROR(__xludf.DUMMYFUNCTION("""COMPUTED_VALUE"""),"RSC002801")</f>
        <v>RSC002801</v>
      </c>
      <c r="B2794" s="41" t="str">
        <f>IFERROR(__xludf.DUMMYFUNCTION("""COMPUTED_VALUE"""),"Alec")</f>
        <v>Alec</v>
      </c>
    </row>
    <row r="2795">
      <c r="A2795" s="41" t="str">
        <f>IFERROR(__xludf.DUMMYFUNCTION("""COMPUTED_VALUE"""),"RSC002802")</f>
        <v>RSC002802</v>
      </c>
      <c r="B2795" s="41" t="str">
        <f>IFERROR(__xludf.DUMMYFUNCTION("""COMPUTED_VALUE"""),"Trikzy")</f>
        <v>Trikzy</v>
      </c>
    </row>
    <row r="2796">
      <c r="A2796" s="41" t="str">
        <f>IFERROR(__xludf.DUMMYFUNCTION("""COMPUTED_VALUE"""),"RSC002803")</f>
        <v>RSC002803</v>
      </c>
      <c r="B2796" s="41" t="str">
        <f>IFERROR(__xludf.DUMMYFUNCTION("""COMPUTED_VALUE"""),"Standupwindow41")</f>
        <v>Standupwindow41</v>
      </c>
    </row>
    <row r="2797">
      <c r="A2797" s="41" t="str">
        <f>IFERROR(__xludf.DUMMYFUNCTION("""COMPUTED_VALUE"""),"RSC002804")</f>
        <v>RSC002804</v>
      </c>
      <c r="B2797" s="41" t="str">
        <f>IFERROR(__xludf.DUMMYFUNCTION("""COMPUTED_VALUE"""),"gator.lft")</f>
        <v>gator.lft</v>
      </c>
    </row>
    <row r="2798">
      <c r="A2798" s="41" t="str">
        <f>IFERROR(__xludf.DUMMYFUNCTION("""COMPUTED_VALUE"""),"RSC002805")</f>
        <v>RSC002805</v>
      </c>
      <c r="B2798" s="41" t="str">
        <f>IFERROR(__xludf.DUMMYFUNCTION("""COMPUTED_VALUE"""),"PikCy")</f>
        <v>PikCy</v>
      </c>
    </row>
    <row r="2799">
      <c r="A2799" s="41" t="str">
        <f>IFERROR(__xludf.DUMMYFUNCTION("""COMPUTED_VALUE"""),"RSC002806")</f>
        <v>RSC002806</v>
      </c>
      <c r="B2799" s="41" t="str">
        <f>IFERROR(__xludf.DUMMYFUNCTION("""COMPUTED_VALUE"""),"Spicy.")</f>
        <v>Spicy.</v>
      </c>
    </row>
    <row r="2800">
      <c r="A2800" s="41" t="str">
        <f>IFERROR(__xludf.DUMMYFUNCTION("""COMPUTED_VALUE"""),"RSC002807")</f>
        <v>RSC002807</v>
      </c>
      <c r="B2800" s="41" t="str">
        <f>IFERROR(__xludf.DUMMYFUNCTION("""COMPUTED_VALUE"""),"Nova^-^")</f>
        <v>Nova^-^</v>
      </c>
    </row>
    <row r="2801">
      <c r="A2801" s="41" t="str">
        <f>IFERROR(__xludf.DUMMYFUNCTION("""COMPUTED_VALUE"""),"RSC002808")</f>
        <v>RSC002808</v>
      </c>
      <c r="B2801" s="41" t="str">
        <f>IFERROR(__xludf.DUMMYFUNCTION("""COMPUTED_VALUE"""),"kdadrummer")</f>
        <v>kdadrummer</v>
      </c>
    </row>
    <row r="2802">
      <c r="A2802" s="41" t="str">
        <f>IFERROR(__xludf.DUMMYFUNCTION("""COMPUTED_VALUE"""),"RSC002809")</f>
        <v>RSC002809</v>
      </c>
      <c r="B2802" s="41" t="str">
        <f>IFERROR(__xludf.DUMMYFUNCTION("""COMPUTED_VALUE"""),"bubles")</f>
        <v>bubles</v>
      </c>
    </row>
    <row r="2803">
      <c r="A2803" s="41" t="str">
        <f>IFERROR(__xludf.DUMMYFUNCTION("""COMPUTED_VALUE"""),"RSC002810")</f>
        <v>RSC002810</v>
      </c>
      <c r="B2803" s="41" t="str">
        <f>IFERROR(__xludf.DUMMYFUNCTION("""COMPUTED_VALUE"""),"Robertz")</f>
        <v>Robertz</v>
      </c>
    </row>
    <row r="2804">
      <c r="A2804" s="41" t="str">
        <f>IFERROR(__xludf.DUMMYFUNCTION("""COMPUTED_VALUE"""),"RSC002811")</f>
        <v>RSC002811</v>
      </c>
      <c r="B2804" s="41" t="str">
        <f>IFERROR(__xludf.DUMMYFUNCTION("""COMPUTED_VALUE"""),"Kebreze")</f>
        <v>Kebreze</v>
      </c>
    </row>
    <row r="2805">
      <c r="A2805" s="41" t="str">
        <f>IFERROR(__xludf.DUMMYFUNCTION("""COMPUTED_VALUE"""),"RSC002812")</f>
        <v>RSC002812</v>
      </c>
      <c r="B2805" s="41" t="str">
        <f>IFERROR(__xludf.DUMMYFUNCTION("""COMPUTED_VALUE"""),"GTG SUGAR")</f>
        <v>GTG SUGAR</v>
      </c>
    </row>
    <row r="2806">
      <c r="A2806" s="41" t="str">
        <f>IFERROR(__xludf.DUMMYFUNCTION("""COMPUTED_VALUE"""),"RSC002813")</f>
        <v>RSC002813</v>
      </c>
      <c r="B2806" s="41" t="str">
        <f>IFERROR(__xludf.DUMMYFUNCTION("""COMPUTED_VALUE"""),"CorpzClappz")</f>
        <v>CorpzClappz</v>
      </c>
    </row>
    <row r="2807">
      <c r="A2807" s="41" t="str">
        <f>IFERROR(__xludf.DUMMYFUNCTION("""COMPUTED_VALUE"""),"RSC002814")</f>
        <v>RSC002814</v>
      </c>
      <c r="B2807" s="41" t="str">
        <f>IFERROR(__xludf.DUMMYFUNCTION("""COMPUTED_VALUE"""),"The Deli Llama1")</f>
        <v>The Deli Llama1</v>
      </c>
    </row>
    <row r="2808">
      <c r="A2808" s="41" t="str">
        <f>IFERROR(__xludf.DUMMYFUNCTION("""COMPUTED_VALUE"""),"RSC002815")</f>
        <v>RSC002815</v>
      </c>
      <c r="B2808" s="41" t="str">
        <f>IFERROR(__xludf.DUMMYFUNCTION("""COMPUTED_VALUE"""),"cam")</f>
        <v>cam</v>
      </c>
    </row>
    <row r="2809">
      <c r="A2809" s="41" t="str">
        <f>IFERROR(__xludf.DUMMYFUNCTION("""COMPUTED_VALUE"""),"RSC002816")</f>
        <v>RSC002816</v>
      </c>
      <c r="B2809" s="41" t="str">
        <f>IFERROR(__xludf.DUMMYFUNCTION("""COMPUTED_VALUE"""),"Flarmarg")</f>
        <v>Flarmarg</v>
      </c>
    </row>
    <row r="2810">
      <c r="A2810" s="41" t="str">
        <f>IFERROR(__xludf.DUMMYFUNCTION("""COMPUTED_VALUE"""),"RSC002817")</f>
        <v>RSC002817</v>
      </c>
      <c r="B2810" s="41" t="str">
        <f>IFERROR(__xludf.DUMMYFUNCTION("""COMPUTED_VALUE"""),"Toastables")</f>
        <v>Toastables</v>
      </c>
    </row>
    <row r="2811">
      <c r="A2811" s="41" t="str">
        <f>IFERROR(__xludf.DUMMYFUNCTION("""COMPUTED_VALUE"""),"RSC002818")</f>
        <v>RSC002818</v>
      </c>
      <c r="B2811" s="41" t="str">
        <f>IFERROR(__xludf.DUMMYFUNCTION("""COMPUTED_VALUE"""),"PuckCANUCKS1945")</f>
        <v>PuckCANUCKS1945</v>
      </c>
    </row>
    <row r="2812">
      <c r="A2812" s="41" t="str">
        <f>IFERROR(__xludf.DUMMYFUNCTION("""COMPUTED_VALUE"""),"RSC002819")</f>
        <v>RSC002819</v>
      </c>
      <c r="B2812" s="41" t="str">
        <f>IFERROR(__xludf.DUMMYFUNCTION("""COMPUTED_VALUE"""),"Prodigy19")</f>
        <v>Prodigy19</v>
      </c>
    </row>
    <row r="2813">
      <c r="A2813" s="41" t="str">
        <f>IFERROR(__xludf.DUMMYFUNCTION("""COMPUTED_VALUE"""),"RSC002820")</f>
        <v>RSC002820</v>
      </c>
      <c r="B2813" s="41" t="str">
        <f>IFERROR(__xludf.DUMMYFUNCTION("""COMPUTED_VALUE"""),"Krazyghost")</f>
        <v>Krazyghost</v>
      </c>
    </row>
    <row r="2814">
      <c r="A2814" s="41" t="str">
        <f>IFERROR(__xludf.DUMMYFUNCTION("""COMPUTED_VALUE"""),"RSC002821")</f>
        <v>RSC002821</v>
      </c>
      <c r="B2814" s="41" t="str">
        <f>IFERROR(__xludf.DUMMYFUNCTION("""COMPUTED_VALUE"""),"Sush")</f>
        <v>Sush</v>
      </c>
    </row>
    <row r="2815">
      <c r="A2815" s="41" t="str">
        <f>IFERROR(__xludf.DUMMYFUNCTION("""COMPUTED_VALUE"""),"RSC002822")</f>
        <v>RSC002822</v>
      </c>
      <c r="B2815" s="41" t="str">
        <f>IFERROR(__xludf.DUMMYFUNCTION("""COMPUTED_VALUE"""),"Kilalee")</f>
        <v>Kilalee</v>
      </c>
    </row>
    <row r="2816">
      <c r="A2816" s="41" t="str">
        <f>IFERROR(__xludf.DUMMYFUNCTION("""COMPUTED_VALUE"""),"RSC002823")</f>
        <v>RSC002823</v>
      </c>
      <c r="B2816" s="41" t="str">
        <f>IFERROR(__xludf.DUMMYFUNCTION("""COMPUTED_VALUE"""),"Sussurance")</f>
        <v>Sussurance</v>
      </c>
    </row>
    <row r="2817">
      <c r="A2817" s="41" t="str">
        <f>IFERROR(__xludf.DUMMYFUNCTION("""COMPUTED_VALUE"""),"RSC002824")</f>
        <v>RSC002824</v>
      </c>
      <c r="B2817" s="41" t="str">
        <f>IFERROR(__xludf.DUMMYFUNCTION("""COMPUTED_VALUE"""),"Mirrs")</f>
        <v>Mirrs</v>
      </c>
    </row>
    <row r="2818">
      <c r="A2818" s="41" t="str">
        <f>IFERROR(__xludf.DUMMYFUNCTION("""COMPUTED_VALUE"""),"RSC002825")</f>
        <v>RSC002825</v>
      </c>
      <c r="B2818" s="41" t="str">
        <f>IFERROR(__xludf.DUMMYFUNCTION("""COMPUTED_VALUE"""),"ChiccenGeorge")</f>
        <v>ChiccenGeorge</v>
      </c>
    </row>
    <row r="2819">
      <c r="A2819" s="41" t="str">
        <f>IFERROR(__xludf.DUMMYFUNCTION("""COMPUTED_VALUE"""),"RSC002826")</f>
        <v>RSC002826</v>
      </c>
      <c r="B2819" s="41" t="str">
        <f>IFERROR(__xludf.DUMMYFUNCTION("""COMPUTED_VALUE"""),"rextii")</f>
        <v>rextii</v>
      </c>
    </row>
    <row r="2820">
      <c r="A2820" s="41" t="str">
        <f>IFERROR(__xludf.DUMMYFUNCTION("""COMPUTED_VALUE"""),"RSC002827")</f>
        <v>RSC002827</v>
      </c>
      <c r="B2820" s="41" t="str">
        <f>IFERROR(__xludf.DUMMYFUNCTION("""COMPUTED_VALUE"""),"BreadBeard")</f>
        <v>BreadBeard</v>
      </c>
    </row>
    <row r="2821">
      <c r="A2821" s="41" t="str">
        <f>IFERROR(__xludf.DUMMYFUNCTION("""COMPUTED_VALUE"""),"RSC002828")</f>
        <v>RSC002828</v>
      </c>
      <c r="B2821" s="41" t="str">
        <f>IFERROR(__xludf.DUMMYFUNCTION("""COMPUTED_VALUE"""),"D1REW00F")</f>
        <v>D1REW00F</v>
      </c>
    </row>
    <row r="2822">
      <c r="A2822" s="41" t="str">
        <f>IFERROR(__xludf.DUMMYFUNCTION("""COMPUTED_VALUE"""),"RSC002829")</f>
        <v>RSC002829</v>
      </c>
      <c r="B2822" s="41" t="str">
        <f>IFERROR(__xludf.DUMMYFUNCTION("""COMPUTED_VALUE"""),"prox")</f>
        <v>prox</v>
      </c>
    </row>
    <row r="2823">
      <c r="A2823" s="41" t="str">
        <f>IFERROR(__xludf.DUMMYFUNCTION("""COMPUTED_VALUE"""),"RSC002830")</f>
        <v>RSC002830</v>
      </c>
      <c r="B2823" s="41" t="str">
        <f>IFERROR(__xludf.DUMMYFUNCTION("""COMPUTED_VALUE"""),"thunderpumpkin87")</f>
        <v>thunderpumpkin87</v>
      </c>
    </row>
    <row r="2824">
      <c r="A2824" s="41" t="str">
        <f>IFERROR(__xludf.DUMMYFUNCTION("""COMPUTED_VALUE"""),"RSC002831")</f>
        <v>RSC002831</v>
      </c>
      <c r="B2824" s="41" t="str">
        <f>IFERROR(__xludf.DUMMYFUNCTION("""COMPUTED_VALUE"""),"Norcon")</f>
        <v>Norcon</v>
      </c>
    </row>
    <row r="2825">
      <c r="A2825" s="41" t="str">
        <f>IFERROR(__xludf.DUMMYFUNCTION("""COMPUTED_VALUE"""),"RSC002832")</f>
        <v>RSC002832</v>
      </c>
      <c r="B2825" s="41" t="str">
        <f>IFERROR(__xludf.DUMMYFUNCTION("""COMPUTED_VALUE"""),"PacMonsterGhost")</f>
        <v>PacMonsterGhost</v>
      </c>
    </row>
    <row r="2826">
      <c r="A2826" s="41" t="str">
        <f>IFERROR(__xludf.DUMMYFUNCTION("""COMPUTED_VALUE"""),"RSC002833")</f>
        <v>RSC002833</v>
      </c>
      <c r="B2826" s="41" t="str">
        <f>IFERROR(__xludf.DUMMYFUNCTION("""COMPUTED_VALUE"""),"Coopa")</f>
        <v>Coopa</v>
      </c>
    </row>
    <row r="2827">
      <c r="A2827" s="41" t="str">
        <f>IFERROR(__xludf.DUMMYFUNCTION("""COMPUTED_VALUE"""),"RSC002834")</f>
        <v>RSC002834</v>
      </c>
      <c r="B2827" s="41" t="str">
        <f>IFERROR(__xludf.DUMMYFUNCTION("""COMPUTED_VALUE"""),"Clockwork7678")</f>
        <v>Clockwork7678</v>
      </c>
    </row>
    <row r="2828">
      <c r="A2828" s="41" t="str">
        <f>IFERROR(__xludf.DUMMYFUNCTION("""COMPUTED_VALUE"""),"RSC002835")</f>
        <v>RSC002835</v>
      </c>
      <c r="B2828" s="41" t="str">
        <f>IFERROR(__xludf.DUMMYFUNCTION("""COMPUTED_VALUE"""),"joejoejoe")</f>
        <v>joejoejoe</v>
      </c>
    </row>
    <row r="2829">
      <c r="A2829" s="41" t="str">
        <f>IFERROR(__xludf.DUMMYFUNCTION("""COMPUTED_VALUE"""),"RSC002836")</f>
        <v>RSC002836</v>
      </c>
      <c r="B2829" s="41" t="str">
        <f>IFERROR(__xludf.DUMMYFUNCTION("""COMPUTED_VALUE"""),"Parkkid")</f>
        <v>Parkkid</v>
      </c>
    </row>
    <row r="2830">
      <c r="A2830" s="41" t="str">
        <f>IFERROR(__xludf.DUMMYFUNCTION("""COMPUTED_VALUE"""),"RSC002837")</f>
        <v>RSC002837</v>
      </c>
      <c r="B2830" s="41" t="str">
        <f>IFERROR(__xludf.DUMMYFUNCTION("""COMPUTED_VALUE"""),"FRIKitsHOWARD")</f>
        <v>FRIKitsHOWARD</v>
      </c>
    </row>
    <row r="2831">
      <c r="A2831" s="41" t="str">
        <f>IFERROR(__xludf.DUMMYFUNCTION("""COMPUTED_VALUE"""),"RSC002838")</f>
        <v>RSC002838</v>
      </c>
      <c r="B2831" s="41" t="str">
        <f>IFERROR(__xludf.DUMMYFUNCTION("""COMPUTED_VALUE"""),"milk-change")</f>
        <v>milk-change</v>
      </c>
    </row>
    <row r="2832">
      <c r="A2832" s="41" t="str">
        <f>IFERROR(__xludf.DUMMYFUNCTION("""COMPUTED_VALUE"""),"RSC002839")</f>
        <v>RSC002839</v>
      </c>
      <c r="B2832" s="41" t="str">
        <f>IFERROR(__xludf.DUMMYFUNCTION("""COMPUTED_VALUE"""),"Mat.")</f>
        <v>Mat.</v>
      </c>
    </row>
    <row r="2833">
      <c r="A2833" s="41" t="str">
        <f>IFERROR(__xludf.DUMMYFUNCTION("""COMPUTED_VALUE"""),"RSC002840")</f>
        <v>RSC002840</v>
      </c>
      <c r="B2833" s="41" t="str">
        <f>IFERROR(__xludf.DUMMYFUNCTION("""COMPUTED_VALUE"""),"Jandr")</f>
        <v>Jandr</v>
      </c>
    </row>
    <row r="2834">
      <c r="A2834" s="41" t="str">
        <f>IFERROR(__xludf.DUMMYFUNCTION("""COMPUTED_VALUE"""),"RSC002841")</f>
        <v>RSC002841</v>
      </c>
      <c r="B2834" s="41" t="str">
        <f>IFERROR(__xludf.DUMMYFUNCTION("""COMPUTED_VALUE"""),"dyl")</f>
        <v>dyl</v>
      </c>
    </row>
    <row r="2835">
      <c r="A2835" s="41" t="str">
        <f>IFERROR(__xludf.DUMMYFUNCTION("""COMPUTED_VALUE"""),"RSC002842")</f>
        <v>RSC002842</v>
      </c>
      <c r="B2835" s="41" t="str">
        <f>IFERROR(__xludf.DUMMYFUNCTION("""COMPUTED_VALUE"""),"Arno")</f>
        <v>Arno</v>
      </c>
    </row>
    <row r="2836">
      <c r="A2836" s="41" t="str">
        <f>IFERROR(__xludf.DUMMYFUNCTION("""COMPUTED_VALUE"""),"RSC002843")</f>
        <v>RSC002843</v>
      </c>
      <c r="B2836" s="41" t="str">
        <f>IFERROR(__xludf.DUMMYFUNCTION("""COMPUTED_VALUE"""),"Chanmanz505")</f>
        <v>Chanmanz505</v>
      </c>
    </row>
    <row r="2837">
      <c r="A2837" s="41" t="str">
        <f>IFERROR(__xludf.DUMMYFUNCTION("""COMPUTED_VALUE"""),"RSC002844")</f>
        <v>RSC002844</v>
      </c>
      <c r="B2837" s="41" t="str">
        <f>IFERROR(__xludf.DUMMYFUNCTION("""COMPUTED_VALUE"""),"NaixzyPR")</f>
        <v>NaixzyPR</v>
      </c>
    </row>
    <row r="2838">
      <c r="A2838" s="41" t="str">
        <f>IFERROR(__xludf.DUMMYFUNCTION("""COMPUTED_VALUE"""),"RSC002845")</f>
        <v>RSC002845</v>
      </c>
      <c r="B2838" s="41" t="str">
        <f>IFERROR(__xludf.DUMMYFUNCTION("""COMPUTED_VALUE"""),"Shackelz")</f>
        <v>Shackelz</v>
      </c>
    </row>
    <row r="2839">
      <c r="A2839" s="41" t="str">
        <f>IFERROR(__xludf.DUMMYFUNCTION("""COMPUTED_VALUE"""),"RSC002846")</f>
        <v>RSC002846</v>
      </c>
      <c r="B2839" s="41" t="str">
        <f>IFERROR(__xludf.DUMMYFUNCTION("""COMPUTED_VALUE"""),"SchroDog")</f>
        <v>SchroDog</v>
      </c>
    </row>
    <row r="2840">
      <c r="A2840" s="41" t="str">
        <f>IFERROR(__xludf.DUMMYFUNCTION("""COMPUTED_VALUE"""),"RSC002847")</f>
        <v>RSC002847</v>
      </c>
      <c r="B2840" s="41" t="str">
        <f>IFERROR(__xludf.DUMMYFUNCTION("""COMPUTED_VALUE"""),"Reeve-")</f>
        <v>Reeve-</v>
      </c>
    </row>
    <row r="2841">
      <c r="A2841" s="41" t="str">
        <f>IFERROR(__xludf.DUMMYFUNCTION("""COMPUTED_VALUE"""),"RSC002848")</f>
        <v>RSC002848</v>
      </c>
      <c r="B2841" s="41" t="str">
        <f>IFERROR(__xludf.DUMMYFUNCTION("""COMPUTED_VALUE"""),"bail")</f>
        <v>bail</v>
      </c>
    </row>
    <row r="2842">
      <c r="A2842" s="41" t="str">
        <f>IFERROR(__xludf.DUMMYFUNCTION("""COMPUTED_VALUE"""),"RSC002849")</f>
        <v>RSC002849</v>
      </c>
      <c r="B2842" s="41" t="str">
        <f>IFERROR(__xludf.DUMMYFUNCTION("""COMPUTED_VALUE"""),"sharkkilla06")</f>
        <v>sharkkilla06</v>
      </c>
    </row>
    <row r="2843">
      <c r="A2843" s="41" t="str">
        <f>IFERROR(__xludf.DUMMYFUNCTION("""COMPUTED_VALUE"""),"RSC002850")</f>
        <v>RSC002850</v>
      </c>
      <c r="B2843" s="41" t="str">
        <f>IFERROR(__xludf.DUMMYFUNCTION("""COMPUTED_VALUE"""),"The Static")</f>
        <v>The Static</v>
      </c>
    </row>
    <row r="2844">
      <c r="A2844" s="41" t="str">
        <f>IFERROR(__xludf.DUMMYFUNCTION("""COMPUTED_VALUE"""),"RSC002851")</f>
        <v>RSC002851</v>
      </c>
      <c r="B2844" s="41" t="str">
        <f>IFERROR(__xludf.DUMMYFUNCTION("""COMPUTED_VALUE"""),"Drager")</f>
        <v>Drager</v>
      </c>
    </row>
    <row r="2845">
      <c r="A2845" s="41" t="str">
        <f>IFERROR(__xludf.DUMMYFUNCTION("""COMPUTED_VALUE"""),"RSC002852")</f>
        <v>RSC002852</v>
      </c>
      <c r="B2845" s="41" t="str">
        <f>IFERROR(__xludf.DUMMYFUNCTION("""COMPUTED_VALUE"""),"akinebonyfox")</f>
        <v>akinebonyfox</v>
      </c>
    </row>
    <row r="2846">
      <c r="A2846" s="41" t="str">
        <f>IFERROR(__xludf.DUMMYFUNCTION("""COMPUTED_VALUE"""),"RSC002853")</f>
        <v>RSC002853</v>
      </c>
      <c r="B2846" s="41" t="str">
        <f>IFERROR(__xludf.DUMMYFUNCTION("""COMPUTED_VALUE"""),"Rcmblocks")</f>
        <v>Rcmblocks</v>
      </c>
    </row>
    <row r="2847">
      <c r="A2847" s="41" t="str">
        <f>IFERROR(__xludf.DUMMYFUNCTION("""COMPUTED_VALUE"""),"RSC002854")</f>
        <v>RSC002854</v>
      </c>
      <c r="B2847" s="41" t="str">
        <f>IFERROR(__xludf.DUMMYFUNCTION("""COMPUTED_VALUE"""),"BlazinBiscut")</f>
        <v>BlazinBiscut</v>
      </c>
    </row>
    <row r="2848">
      <c r="A2848" s="41" t="str">
        <f>IFERROR(__xludf.DUMMYFUNCTION("""COMPUTED_VALUE"""),"RSC002855")</f>
        <v>RSC002855</v>
      </c>
      <c r="B2848" s="41" t="str">
        <f>IFERROR(__xludf.DUMMYFUNCTION("""COMPUTED_VALUE"""),"FallenMuoi")</f>
        <v>FallenMuoi</v>
      </c>
    </row>
    <row r="2849">
      <c r="A2849" s="41" t="str">
        <f>IFERROR(__xludf.DUMMYFUNCTION("""COMPUTED_VALUE"""),"RSC002856")</f>
        <v>RSC002856</v>
      </c>
      <c r="B2849" s="41" t="str">
        <f>IFERROR(__xludf.DUMMYFUNCTION("""COMPUTED_VALUE"""),"hot chocolate")</f>
        <v>hot chocolate</v>
      </c>
    </row>
    <row r="2850">
      <c r="A2850" s="41" t="str">
        <f>IFERROR(__xludf.DUMMYFUNCTION("""COMPUTED_VALUE"""),"RSC002857")</f>
        <v>RSC002857</v>
      </c>
      <c r="B2850" s="41" t="str">
        <f>IFERROR(__xludf.DUMMYFUNCTION("""COMPUTED_VALUE"""),"Ventus")</f>
        <v>Ventus</v>
      </c>
    </row>
    <row r="2851">
      <c r="A2851" s="41" t="str">
        <f>IFERROR(__xludf.DUMMYFUNCTION("""COMPUTED_VALUE"""),"RSC002858")</f>
        <v>RSC002858</v>
      </c>
      <c r="B2851" s="41" t="str">
        <f>IFERROR(__xludf.DUMMYFUNCTION("""COMPUTED_VALUE"""),"Uberdin")</f>
        <v>Uberdin</v>
      </c>
    </row>
    <row r="2852">
      <c r="A2852" s="41" t="str">
        <f>IFERROR(__xludf.DUMMYFUNCTION("""COMPUTED_VALUE"""),"RSC002859")</f>
        <v>RSC002859</v>
      </c>
      <c r="B2852" s="41" t="str">
        <f>IFERROR(__xludf.DUMMYFUNCTION("""COMPUTED_VALUE"""),"Firm")</f>
        <v>Firm</v>
      </c>
    </row>
    <row r="2853">
      <c r="A2853" s="41" t="str">
        <f>IFERROR(__xludf.DUMMYFUNCTION("""COMPUTED_VALUE"""),"RSC002860")</f>
        <v>RSC002860</v>
      </c>
      <c r="B2853" s="41" t="str">
        <f>IFERROR(__xludf.DUMMYFUNCTION("""COMPUTED_VALUE"""),"Timberland")</f>
        <v>Timberland</v>
      </c>
    </row>
    <row r="2854">
      <c r="A2854" s="41" t="str">
        <f>IFERROR(__xludf.DUMMYFUNCTION("""COMPUTED_VALUE"""),"RSC002861")</f>
        <v>RSC002861</v>
      </c>
      <c r="B2854" s="41" t="str">
        <f>IFERROR(__xludf.DUMMYFUNCTION("""COMPUTED_VALUE"""),"Azarias.")</f>
        <v>Azarias.</v>
      </c>
    </row>
    <row r="2855">
      <c r="A2855" s="41" t="str">
        <f>IFERROR(__xludf.DUMMYFUNCTION("""COMPUTED_VALUE"""),"RSC002862")</f>
        <v>RSC002862</v>
      </c>
      <c r="B2855" s="41" t="str">
        <f>IFERROR(__xludf.DUMMYFUNCTION("""COMPUTED_VALUE"""),"Doodle!")</f>
        <v>Doodle!</v>
      </c>
    </row>
    <row r="2856">
      <c r="A2856" s="41" t="str">
        <f>IFERROR(__xludf.DUMMYFUNCTION("""COMPUTED_VALUE"""),"RSC002863")</f>
        <v>RSC002863</v>
      </c>
      <c r="B2856" s="41" t="str">
        <f>IFERROR(__xludf.DUMMYFUNCTION("""COMPUTED_VALUE"""),"Rated")</f>
        <v>Rated</v>
      </c>
    </row>
    <row r="2857">
      <c r="A2857" s="41" t="str">
        <f>IFERROR(__xludf.DUMMYFUNCTION("""COMPUTED_VALUE"""),"RSC002864")</f>
        <v>RSC002864</v>
      </c>
      <c r="B2857" s="41" t="str">
        <f>IFERROR(__xludf.DUMMYFUNCTION("""COMPUTED_VALUE"""),"grovelove")</f>
        <v>grovelove</v>
      </c>
    </row>
    <row r="2858">
      <c r="A2858" s="41" t="str">
        <f>IFERROR(__xludf.DUMMYFUNCTION("""COMPUTED_VALUE"""),"RSC002865")</f>
        <v>RSC002865</v>
      </c>
      <c r="B2858" s="41" t="str">
        <f>IFERROR(__xludf.DUMMYFUNCTION("""COMPUTED_VALUE"""),"Con")</f>
        <v>Con</v>
      </c>
    </row>
    <row r="2859">
      <c r="A2859" s="41" t="str">
        <f>IFERROR(__xludf.DUMMYFUNCTION("""COMPUTED_VALUE"""),"RSC002866")</f>
        <v>RSC002866</v>
      </c>
      <c r="B2859" s="41" t="str">
        <f>IFERROR(__xludf.DUMMYFUNCTION("""COMPUTED_VALUE"""),"Aust106")</f>
        <v>Aust106</v>
      </c>
    </row>
    <row r="2860">
      <c r="A2860" s="41" t="str">
        <f>IFERROR(__xludf.DUMMYFUNCTION("""COMPUTED_VALUE"""),"RSC002867")</f>
        <v>RSC002867</v>
      </c>
      <c r="B2860" s="41" t="str">
        <f>IFERROR(__xludf.DUMMYFUNCTION("""COMPUTED_VALUE"""),"UgLee")</f>
        <v>UgLee</v>
      </c>
    </row>
    <row r="2861">
      <c r="A2861" s="41" t="str">
        <f>IFERROR(__xludf.DUMMYFUNCTION("""COMPUTED_VALUE"""),"RSC002868")</f>
        <v>RSC002868</v>
      </c>
      <c r="B2861" s="41" t="str">
        <f>IFERROR(__xludf.DUMMYFUNCTION("""COMPUTED_VALUE"""),"F?shy")</f>
        <v>F?shy</v>
      </c>
    </row>
    <row r="2862">
      <c r="A2862" s="41" t="str">
        <f>IFERROR(__xludf.DUMMYFUNCTION("""COMPUTED_VALUE"""),"RSC002869")</f>
        <v>RSC002869</v>
      </c>
      <c r="B2862" s="41" t="str">
        <f>IFERROR(__xludf.DUMMYFUNCTION("""COMPUTED_VALUE"""),"EXACTLYzer0")</f>
        <v>EXACTLYzer0</v>
      </c>
    </row>
    <row r="2863">
      <c r="A2863" s="41" t="str">
        <f>IFERROR(__xludf.DUMMYFUNCTION("""COMPUTED_VALUE"""),"RSC002870")</f>
        <v>RSC002870</v>
      </c>
      <c r="B2863" s="41" t="str">
        <f>IFERROR(__xludf.DUMMYFUNCTION("""COMPUTED_VALUE"""),"Cartar")</f>
        <v>Cartar</v>
      </c>
    </row>
    <row r="2864">
      <c r="A2864" s="41" t="str">
        <f>IFERROR(__xludf.DUMMYFUNCTION("""COMPUTED_VALUE"""),"RSC002871")</f>
        <v>RSC002871</v>
      </c>
      <c r="B2864" s="41" t="str">
        <f>IFERROR(__xludf.DUMMYFUNCTION("""COMPUTED_VALUE"""),"MatrixzTheBad")</f>
        <v>MatrixzTheBad</v>
      </c>
    </row>
    <row r="2865">
      <c r="A2865" s="41" t="str">
        <f>IFERROR(__xludf.DUMMYFUNCTION("""COMPUTED_VALUE"""),"RSC002872")</f>
        <v>RSC002872</v>
      </c>
      <c r="B2865" s="41" t="str">
        <f>IFERROR(__xludf.DUMMYFUNCTION("""COMPUTED_VALUE"""),"ChrisCrunch")</f>
        <v>ChrisCrunch</v>
      </c>
    </row>
    <row r="2866">
      <c r="A2866" s="41" t="str">
        <f>IFERROR(__xludf.DUMMYFUNCTION("""COMPUTED_VALUE"""),"RSC002873")</f>
        <v>RSC002873</v>
      </c>
      <c r="B2866" s="41" t="str">
        <f>IFERROR(__xludf.DUMMYFUNCTION("""COMPUTED_VALUE"""),"Muddy")</f>
        <v>Muddy</v>
      </c>
    </row>
    <row r="2867">
      <c r="A2867" s="41" t="str">
        <f>IFERROR(__xludf.DUMMYFUNCTION("""COMPUTED_VALUE"""),"RSC002874")</f>
        <v>RSC002874</v>
      </c>
      <c r="B2867" s="41" t="str">
        <f>IFERROR(__xludf.DUMMYFUNCTION("""COMPUTED_VALUE"""),"Neptune")</f>
        <v>Neptune</v>
      </c>
    </row>
    <row r="2868">
      <c r="A2868" s="41" t="str">
        <f>IFERROR(__xludf.DUMMYFUNCTION("""COMPUTED_VALUE"""),"RSC002875")</f>
        <v>RSC002875</v>
      </c>
      <c r="B2868" s="41" t="str">
        <f>IFERROR(__xludf.DUMMYFUNCTION("""COMPUTED_VALUE"""),"Landolush")</f>
        <v>Landolush</v>
      </c>
    </row>
    <row r="2869">
      <c r="A2869" s="41" t="str">
        <f>IFERROR(__xludf.DUMMYFUNCTION("""COMPUTED_VALUE"""),"RSC002876")</f>
        <v>RSC002876</v>
      </c>
      <c r="B2869" s="41" t="str">
        <f>IFERROR(__xludf.DUMMYFUNCTION("""COMPUTED_VALUE"""),"Illest12Wrecker")</f>
        <v>Illest12Wrecker</v>
      </c>
    </row>
    <row r="2870">
      <c r="A2870" s="41" t="str">
        <f>IFERROR(__xludf.DUMMYFUNCTION("""COMPUTED_VALUE"""),"RSC002877")</f>
        <v>RSC002877</v>
      </c>
      <c r="B2870" s="41" t="str">
        <f>IFERROR(__xludf.DUMMYFUNCTION("""COMPUTED_VALUE"""),"robophant")</f>
        <v>robophant</v>
      </c>
    </row>
    <row r="2871">
      <c r="A2871" s="41" t="str">
        <f>IFERROR(__xludf.DUMMYFUNCTION("""COMPUTED_VALUE"""),"RSC002878")</f>
        <v>RSC002878</v>
      </c>
      <c r="B2871" s="41" t="str">
        <f>IFERROR(__xludf.DUMMYFUNCTION("""COMPUTED_VALUE"""),"Gamer Jesus")</f>
        <v>Gamer Jesus</v>
      </c>
    </row>
    <row r="2872">
      <c r="A2872" s="41" t="str">
        <f>IFERROR(__xludf.DUMMYFUNCTION("""COMPUTED_VALUE"""),"RSC002879")</f>
        <v>RSC002879</v>
      </c>
      <c r="B2872" s="41" t="str">
        <f>IFERROR(__xludf.DUMMYFUNCTION("""COMPUTED_VALUE"""),"B_FISS_5")</f>
        <v>B_FISS_5</v>
      </c>
    </row>
    <row r="2873">
      <c r="A2873" s="41" t="str">
        <f>IFERROR(__xludf.DUMMYFUNCTION("""COMPUTED_VALUE"""),"RSC002880")</f>
        <v>RSC002880</v>
      </c>
      <c r="B2873" s="41" t="str">
        <f>IFERROR(__xludf.DUMMYFUNCTION("""COMPUTED_VALUE"""),"aiTan")</f>
        <v>aiTan</v>
      </c>
    </row>
    <row r="2874">
      <c r="A2874" s="41" t="str">
        <f>IFERROR(__xludf.DUMMYFUNCTION("""COMPUTED_VALUE"""),"RSC002881")</f>
        <v>RSC002881</v>
      </c>
      <c r="B2874" s="41" t="str">
        <f>IFERROR(__xludf.DUMMYFUNCTION("""COMPUTED_VALUE"""),"Weesnaw")</f>
        <v>Weesnaw</v>
      </c>
    </row>
    <row r="2875">
      <c r="A2875" s="41" t="str">
        <f>IFERROR(__xludf.DUMMYFUNCTION("""COMPUTED_VALUE"""),"RSC002882")</f>
        <v>RSC002882</v>
      </c>
      <c r="B2875" s="41" t="str">
        <f>IFERROR(__xludf.DUMMYFUNCTION("""COMPUTED_VALUE"""),".pyyros")</f>
        <v>.pyyros</v>
      </c>
    </row>
    <row r="2876">
      <c r="A2876" s="41" t="str">
        <f>IFERROR(__xludf.DUMMYFUNCTION("""COMPUTED_VALUE"""),"RSC002883")</f>
        <v>RSC002883</v>
      </c>
      <c r="B2876" s="41" t="str">
        <f>IFERROR(__xludf.DUMMYFUNCTION("""COMPUTED_VALUE"""),"Red Snow™")</f>
        <v>Red Snow™</v>
      </c>
    </row>
    <row r="2877">
      <c r="A2877" s="41" t="str">
        <f>IFERROR(__xludf.DUMMYFUNCTION("""COMPUTED_VALUE"""),"RSC002884")</f>
        <v>RSC002884</v>
      </c>
      <c r="B2877" s="41" t="str">
        <f>IFERROR(__xludf.DUMMYFUNCTION("""COMPUTED_VALUE"""),"cdogyy")</f>
        <v>cdogyy</v>
      </c>
    </row>
    <row r="2878">
      <c r="A2878" s="41" t="str">
        <f>IFERROR(__xludf.DUMMYFUNCTION("""COMPUTED_VALUE"""),"RSC002885")</f>
        <v>RSC002885</v>
      </c>
      <c r="B2878" s="41" t="str">
        <f>IFERROR(__xludf.DUMMYFUNCTION("""COMPUTED_VALUE"""),"theavkid12")</f>
        <v>theavkid12</v>
      </c>
    </row>
    <row r="2879">
      <c r="A2879" s="41" t="str">
        <f>IFERROR(__xludf.DUMMYFUNCTION("""COMPUTED_VALUE"""),"RSC002886")</f>
        <v>RSC002886</v>
      </c>
      <c r="B2879" s="41" t="str">
        <f>IFERROR(__xludf.DUMMYFUNCTION("""COMPUTED_VALUE"""),"rickra")</f>
        <v>rickra</v>
      </c>
    </row>
    <row r="2880">
      <c r="A2880" s="41" t="str">
        <f>IFERROR(__xludf.DUMMYFUNCTION("""COMPUTED_VALUE"""),"RSC002887")</f>
        <v>RSC002887</v>
      </c>
      <c r="B2880" s="41" t="str">
        <f>IFERROR(__xludf.DUMMYFUNCTION("""COMPUTED_VALUE"""),"impala")</f>
        <v>impala</v>
      </c>
    </row>
    <row r="2881">
      <c r="A2881" s="41" t="str">
        <f>IFERROR(__xludf.DUMMYFUNCTION("""COMPUTED_VALUE"""),"RSC002888")</f>
        <v>RSC002888</v>
      </c>
      <c r="B2881" s="41" t="str">
        <f>IFERROR(__xludf.DUMMYFUNCTION("""COMPUTED_VALUE"""),"kri0s")</f>
        <v>kri0s</v>
      </c>
    </row>
    <row r="2882">
      <c r="A2882" s="41" t="str">
        <f>IFERROR(__xludf.DUMMYFUNCTION("""COMPUTED_VALUE"""),"RSC002889")</f>
        <v>RSC002889</v>
      </c>
      <c r="B2882" s="41" t="str">
        <f>IFERROR(__xludf.DUMMYFUNCTION("""COMPUTED_VALUE"""),"Julian")</f>
        <v>Julian</v>
      </c>
    </row>
    <row r="2883">
      <c r="A2883" s="41" t="str">
        <f>IFERROR(__xludf.DUMMYFUNCTION("""COMPUTED_VALUE"""),"RSC002890")</f>
        <v>RSC002890</v>
      </c>
      <c r="B2883" s="41" t="str">
        <f>IFERROR(__xludf.DUMMYFUNCTION("""COMPUTED_VALUE"""),"Myth1ck")</f>
        <v>Myth1ck</v>
      </c>
    </row>
    <row r="2884">
      <c r="A2884" s="41" t="str">
        <f>IFERROR(__xludf.DUMMYFUNCTION("""COMPUTED_VALUE"""),"RSC002891")</f>
        <v>RSC002891</v>
      </c>
      <c r="B2884" s="41" t="str">
        <f>IFERROR(__xludf.DUMMYFUNCTION("""COMPUTED_VALUE"""),"Infinite8")</f>
        <v>Infinite8</v>
      </c>
    </row>
    <row r="2885">
      <c r="A2885" s="41" t="str">
        <f>IFERROR(__xludf.DUMMYFUNCTION("""COMPUTED_VALUE"""),"RSC002892")</f>
        <v>RSC002892</v>
      </c>
      <c r="B2885" s="41" t="str">
        <f>IFERROR(__xludf.DUMMYFUNCTION("""COMPUTED_VALUE"""),"nickm")</f>
        <v>nickm</v>
      </c>
    </row>
    <row r="2886">
      <c r="A2886" s="41" t="str">
        <f>IFERROR(__xludf.DUMMYFUNCTION("""COMPUTED_VALUE"""),"RSC002893")</f>
        <v>RSC002893</v>
      </c>
      <c r="B2886" s="41" t="str">
        <f>IFERROR(__xludf.DUMMYFUNCTION("""COMPUTED_VALUE"""),"shotayyyye")</f>
        <v>shotayyyye</v>
      </c>
    </row>
    <row r="2887">
      <c r="A2887" s="41" t="str">
        <f>IFERROR(__xludf.DUMMYFUNCTION("""COMPUTED_VALUE"""),"RSC002894")</f>
        <v>RSC002894</v>
      </c>
      <c r="B2887" s="41" t="str">
        <f>IFERROR(__xludf.DUMMYFUNCTION("""COMPUTED_VALUE"""),"Jax (change)")</f>
        <v>Jax (change)</v>
      </c>
    </row>
    <row r="2888">
      <c r="A2888" s="41" t="str">
        <f>IFERROR(__xludf.DUMMYFUNCTION("""COMPUTED_VALUE"""),"RSC002895")</f>
        <v>RSC002895</v>
      </c>
      <c r="B2888" s="41" t="str">
        <f>IFERROR(__xludf.DUMMYFUNCTION("""COMPUTED_VALUE"""),"Panda (change)")</f>
        <v>Panda (change)</v>
      </c>
    </row>
    <row r="2889">
      <c r="A2889" s="41" t="str">
        <f>IFERROR(__xludf.DUMMYFUNCTION("""COMPUTED_VALUE"""),"RSC002896")</f>
        <v>RSC002896</v>
      </c>
      <c r="B2889" s="41" t="str">
        <f>IFERROR(__xludf.DUMMYFUNCTION("""COMPUTED_VALUE"""),"Hella")</f>
        <v>Hella</v>
      </c>
    </row>
    <row r="2890">
      <c r="A2890" s="41" t="str">
        <f>IFERROR(__xludf.DUMMYFUNCTION("""COMPUTED_VALUE"""),"RSC002897")</f>
        <v>RSC002897</v>
      </c>
      <c r="B2890" s="41" t="str">
        <f>IFERROR(__xludf.DUMMYFUNCTION("""COMPUTED_VALUE"""),"VickyViksta")</f>
        <v>VickyViksta</v>
      </c>
    </row>
    <row r="2891">
      <c r="A2891" s="41" t="str">
        <f>IFERROR(__xludf.DUMMYFUNCTION("""COMPUTED_VALUE"""),"RSC002898")</f>
        <v>RSC002898</v>
      </c>
      <c r="B2891" s="41" t="str">
        <f>IFERROR(__xludf.DUMMYFUNCTION("""COMPUTED_VALUE"""),"slowwizard")</f>
        <v>slowwizard</v>
      </c>
    </row>
    <row r="2892">
      <c r="A2892" s="41" t="str">
        <f>IFERROR(__xludf.DUMMYFUNCTION("""COMPUTED_VALUE"""),"RSC002899")</f>
        <v>RSC002899</v>
      </c>
      <c r="B2892" s="41" t="str">
        <f>IFERROR(__xludf.DUMMYFUNCTION("""COMPUTED_VALUE"""),"Quantii")</f>
        <v>Quantii</v>
      </c>
    </row>
    <row r="2893">
      <c r="A2893" s="41" t="str">
        <f>IFERROR(__xludf.DUMMYFUNCTION("""COMPUTED_VALUE"""),"RSC002900")</f>
        <v>RSC002900</v>
      </c>
      <c r="B2893" s="41" t="str">
        <f>IFERROR(__xludf.DUMMYFUNCTION("""COMPUTED_VALUE"""),"Thebadgc")</f>
        <v>Thebadgc</v>
      </c>
    </row>
    <row r="2894">
      <c r="A2894" s="41" t="str">
        <f>IFERROR(__xludf.DUMMYFUNCTION("""COMPUTED_VALUE"""),"RSC002901")</f>
        <v>RSC002901</v>
      </c>
      <c r="B2894" s="41" t="str">
        <f>IFERROR(__xludf.DUMMYFUNCTION("""COMPUTED_VALUE"""),"Magic")</f>
        <v>Magic</v>
      </c>
    </row>
    <row r="2895">
      <c r="A2895" s="41" t="str">
        <f>IFERROR(__xludf.DUMMYFUNCTION("""COMPUTED_VALUE"""),"RSC002902")</f>
        <v>RSC002902</v>
      </c>
      <c r="B2895" s="41" t="str">
        <f>IFERROR(__xludf.DUMMYFUNCTION("""COMPUTED_VALUE"""),"Stone-Dog Millionaire")</f>
        <v>Stone-Dog Millionaire</v>
      </c>
    </row>
    <row r="2896">
      <c r="A2896" s="41" t="str">
        <f>IFERROR(__xludf.DUMMYFUNCTION("""COMPUTED_VALUE"""),"RSC002903")</f>
        <v>RSC002903</v>
      </c>
      <c r="B2896" s="41" t="str">
        <f>IFERROR(__xludf.DUMMYFUNCTION("""COMPUTED_VALUE"""),"TheBoyCheeky")</f>
        <v>TheBoyCheeky</v>
      </c>
    </row>
    <row r="2897">
      <c r="A2897" s="41" t="str">
        <f>IFERROR(__xludf.DUMMYFUNCTION("""COMPUTED_VALUE"""),"RSC002904")</f>
        <v>RSC002904</v>
      </c>
      <c r="B2897" s="41" t="str">
        <f>IFERROR(__xludf.DUMMYFUNCTION("""COMPUTED_VALUE"""),"Strennen")</f>
        <v>Strennen</v>
      </c>
    </row>
    <row r="2898">
      <c r="A2898" s="41" t="str">
        <f>IFERROR(__xludf.DUMMYFUNCTION("""COMPUTED_VALUE"""),"RSC002905")</f>
        <v>RSC002905</v>
      </c>
      <c r="B2898" s="41" t="str">
        <f>IFERROR(__xludf.DUMMYFUNCTION("""COMPUTED_VALUE"""),"BardTaen")</f>
        <v>BardTaen</v>
      </c>
    </row>
    <row r="2899">
      <c r="A2899" s="41" t="str">
        <f>IFERROR(__xludf.DUMMYFUNCTION("""COMPUTED_VALUE"""),"RSC002906")</f>
        <v>RSC002906</v>
      </c>
      <c r="B2899" s="41" t="str">
        <f>IFERROR(__xludf.DUMMYFUNCTION("""COMPUTED_VALUE"""),"PackRL")</f>
        <v>PackRL</v>
      </c>
    </row>
    <row r="2900">
      <c r="A2900" s="41" t="str">
        <f>IFERROR(__xludf.DUMMYFUNCTION("""COMPUTED_VALUE"""),"RSC002907")</f>
        <v>RSC002907</v>
      </c>
      <c r="B2900" s="41" t="str">
        <f>IFERROR(__xludf.DUMMYFUNCTION("""COMPUTED_VALUE"""),"moe")</f>
        <v>moe</v>
      </c>
    </row>
    <row r="2901">
      <c r="A2901" s="41" t="str">
        <f>IFERROR(__xludf.DUMMYFUNCTION("""COMPUTED_VALUE"""),"RSC002908")</f>
        <v>RSC002908</v>
      </c>
      <c r="B2901" s="41" t="str">
        <f>IFERROR(__xludf.DUMMYFUNCTION("""COMPUTED_VALUE"""),"haerin")</f>
        <v>haerin</v>
      </c>
    </row>
    <row r="2902">
      <c r="A2902" s="41" t="str">
        <f>IFERROR(__xludf.DUMMYFUNCTION("""COMPUTED_VALUE"""),"RSC002909")</f>
        <v>RSC002909</v>
      </c>
      <c r="B2902" s="41" t="str">
        <f>IFERROR(__xludf.DUMMYFUNCTION("""COMPUTED_VALUE"""),"Papi tony")</f>
        <v>Papi tony</v>
      </c>
    </row>
    <row r="2903">
      <c r="A2903" s="41" t="str">
        <f>IFERROR(__xludf.DUMMYFUNCTION("""COMPUTED_VALUE"""),"RSC002910")</f>
        <v>RSC002910</v>
      </c>
      <c r="B2903" s="41" t="str">
        <f>IFERROR(__xludf.DUMMYFUNCTION("""COMPUTED_VALUE"""),"Dangerous 4life")</f>
        <v>Dangerous 4life</v>
      </c>
    </row>
    <row r="2904">
      <c r="A2904" s="41" t="str">
        <f>IFERROR(__xludf.DUMMYFUNCTION("""COMPUTED_VALUE"""),"RSC002911")</f>
        <v>RSC002911</v>
      </c>
      <c r="B2904" s="41" t="str">
        <f>IFERROR(__xludf.DUMMYFUNCTION("""COMPUTED_VALUE"""),"Alextross")</f>
        <v>Alextross</v>
      </c>
    </row>
    <row r="2905">
      <c r="A2905" s="41" t="str">
        <f>IFERROR(__xludf.DUMMYFUNCTION("""COMPUTED_VALUE"""),"RSC002912")</f>
        <v>RSC002912</v>
      </c>
      <c r="B2905" s="41" t="str">
        <f>IFERROR(__xludf.DUMMYFUNCTION("""COMPUTED_VALUE"""),"logiicrl")</f>
        <v>logiicrl</v>
      </c>
    </row>
    <row r="2906">
      <c r="A2906" s="41" t="str">
        <f>IFERROR(__xludf.DUMMYFUNCTION("""COMPUTED_VALUE"""),"RSC002913")</f>
        <v>RSC002913</v>
      </c>
      <c r="B2906" s="41" t="str">
        <f>IFERROR(__xludf.DUMMYFUNCTION("""COMPUTED_VALUE"""),"Garlix")</f>
        <v>Garlix</v>
      </c>
    </row>
    <row r="2907">
      <c r="A2907" s="41" t="str">
        <f>IFERROR(__xludf.DUMMYFUNCTION("""COMPUTED_VALUE"""),"RSC002914")</f>
        <v>RSC002914</v>
      </c>
      <c r="B2907" s="41" t="str">
        <f>IFERROR(__xludf.DUMMYFUNCTION("""COMPUTED_VALUE"""),"MtnDrewskie")</f>
        <v>MtnDrewskie</v>
      </c>
    </row>
    <row r="2908">
      <c r="A2908" s="41" t="str">
        <f>IFERROR(__xludf.DUMMYFUNCTION("""COMPUTED_VALUE"""),"RSC002915")</f>
        <v>RSC002915</v>
      </c>
      <c r="B2908" s="41" t="str">
        <f>IFERROR(__xludf.DUMMYFUNCTION("""COMPUTED_VALUE"""),"UndeadHacker")</f>
        <v>UndeadHacker</v>
      </c>
    </row>
    <row r="2909">
      <c r="A2909" s="41" t="str">
        <f>IFERROR(__xludf.DUMMYFUNCTION("""COMPUTED_VALUE"""),"RSC002916")</f>
        <v>RSC002916</v>
      </c>
      <c r="B2909" s="41" t="str">
        <f>IFERROR(__xludf.DUMMYFUNCTION("""COMPUTED_VALUE"""),"Nixzy")</f>
        <v>Nixzy</v>
      </c>
    </row>
    <row r="2910">
      <c r="A2910" s="41" t="str">
        <f>IFERROR(__xludf.DUMMYFUNCTION("""COMPUTED_VALUE"""),"RSC002917")</f>
        <v>RSC002917</v>
      </c>
      <c r="B2910" s="41" t="str">
        <f>IFERROR(__xludf.DUMMYFUNCTION("""COMPUTED_VALUE"""),"Arbartenn")</f>
        <v>Arbartenn</v>
      </c>
    </row>
    <row r="2911">
      <c r="A2911" s="41" t="str">
        <f>IFERROR(__xludf.DUMMYFUNCTION("""COMPUTED_VALUE"""),"RSC002918")</f>
        <v>RSC002918</v>
      </c>
      <c r="B2911" s="41" t="str">
        <f>IFERROR(__xludf.DUMMYFUNCTION("""COMPUTED_VALUE"""),"Pleezy")</f>
        <v>Pleezy</v>
      </c>
    </row>
    <row r="2912">
      <c r="A2912" s="41" t="str">
        <f>IFERROR(__xludf.DUMMYFUNCTION("""COMPUTED_VALUE"""),"RSC002919")</f>
        <v>RSC002919</v>
      </c>
      <c r="B2912" s="41" t="str">
        <f>IFERROR(__xludf.DUMMYFUNCTION("""COMPUTED_VALUE"""),"bryce  変態")</f>
        <v>bryce  変態</v>
      </c>
    </row>
    <row r="2913">
      <c r="A2913" s="41" t="str">
        <f>IFERROR(__xludf.DUMMYFUNCTION("""COMPUTED_VALUE"""),"RSC002920")</f>
        <v>RSC002920</v>
      </c>
      <c r="B2913" s="41" t="str">
        <f>IFERROR(__xludf.DUMMYFUNCTION("""COMPUTED_VALUE"""),"SnappedSloth735")</f>
        <v>SnappedSloth735</v>
      </c>
    </row>
    <row r="2914">
      <c r="A2914" s="41" t="str">
        <f>IFERROR(__xludf.DUMMYFUNCTION("""COMPUTED_VALUE"""),"RSC002921")</f>
        <v>RSC002921</v>
      </c>
      <c r="B2914" s="41" t="str">
        <f>IFERROR(__xludf.DUMMYFUNCTION("""COMPUTED_VALUE"""),"SadConfetti")</f>
        <v>SadConfetti</v>
      </c>
    </row>
    <row r="2915">
      <c r="A2915" s="41" t="str">
        <f>IFERROR(__xludf.DUMMYFUNCTION("""COMPUTED_VALUE"""),"RSC002922")</f>
        <v>RSC002922</v>
      </c>
      <c r="B2915" s="41" t="str">
        <f>IFERROR(__xludf.DUMMYFUNCTION("""COMPUTED_VALUE"""),"Chum")</f>
        <v>Chum</v>
      </c>
    </row>
    <row r="2916">
      <c r="A2916" s="41" t="str">
        <f>IFERROR(__xludf.DUMMYFUNCTION("""COMPUTED_VALUE"""),"RSC002923")</f>
        <v>RSC002923</v>
      </c>
      <c r="B2916" s="41" t="str">
        <f>IFERROR(__xludf.DUMMYFUNCTION("""COMPUTED_VALUE"""),"hParkerr")</f>
        <v>hParkerr</v>
      </c>
    </row>
    <row r="2917">
      <c r="A2917" s="41" t="str">
        <f>IFERROR(__xludf.DUMMYFUNCTION("""COMPUTED_VALUE"""),"RSC002924")</f>
        <v>RSC002924</v>
      </c>
      <c r="B2917" s="41" t="str">
        <f>IFERROR(__xludf.DUMMYFUNCTION("""COMPUTED_VALUE"""),"Loosecannon33")</f>
        <v>Loosecannon33</v>
      </c>
    </row>
    <row r="2918">
      <c r="A2918" s="41" t="str">
        <f>IFERROR(__xludf.DUMMYFUNCTION("""COMPUTED_VALUE"""),"RSC002925")</f>
        <v>RSC002925</v>
      </c>
      <c r="B2918" s="41" t="str">
        <f>IFERROR(__xludf.DUMMYFUNCTION("""COMPUTED_VALUE"""),"Slushy")</f>
        <v>Slushy</v>
      </c>
    </row>
    <row r="2919">
      <c r="A2919" s="41" t="str">
        <f>IFERROR(__xludf.DUMMYFUNCTION("""COMPUTED_VALUE"""),"RSC002926")</f>
        <v>RSC002926</v>
      </c>
      <c r="B2919" s="41" t="str">
        <f>IFERROR(__xludf.DUMMYFUNCTION("""COMPUTED_VALUE"""),"RedGoodness")</f>
        <v>RedGoodness</v>
      </c>
    </row>
    <row r="2920">
      <c r="A2920" s="41" t="str">
        <f>IFERROR(__xludf.DUMMYFUNCTION("""COMPUTED_VALUE"""),"RSC002927")</f>
        <v>RSC002927</v>
      </c>
      <c r="B2920" s="41" t="str">
        <f>IFERROR(__xludf.DUMMYFUNCTION("""COMPUTED_VALUE"""),"Ca$h")</f>
        <v>Ca$h</v>
      </c>
    </row>
    <row r="2921">
      <c r="A2921" s="41" t="str">
        <f>IFERROR(__xludf.DUMMYFUNCTION("""COMPUTED_VALUE"""),"RSC002928")</f>
        <v>RSC002928</v>
      </c>
      <c r="B2921" s="41" t="str">
        <f>IFERROR(__xludf.DUMMYFUNCTION("""COMPUTED_VALUE"""),"Freeenk")</f>
        <v>Freeenk</v>
      </c>
    </row>
    <row r="2922">
      <c r="A2922" s="41" t="str">
        <f>IFERROR(__xludf.DUMMYFUNCTION("""COMPUTED_VALUE"""),"RSC002929")</f>
        <v>RSC002929</v>
      </c>
      <c r="B2922" s="41" t="str">
        <f>IFERROR(__xludf.DUMMYFUNCTION("""COMPUTED_VALUE"""),"MartinoSharko")</f>
        <v>MartinoSharko</v>
      </c>
    </row>
    <row r="2923">
      <c r="A2923" s="41" t="str">
        <f>IFERROR(__xludf.DUMMYFUNCTION("""COMPUTED_VALUE"""),"RSC002930")</f>
        <v>RSC002930</v>
      </c>
      <c r="B2923" s="41" t="str">
        <f>IFERROR(__xludf.DUMMYFUNCTION("""COMPUTED_VALUE"""),"voakes")</f>
        <v>voakes</v>
      </c>
    </row>
    <row r="2924">
      <c r="A2924" s="41" t="str">
        <f>IFERROR(__xludf.DUMMYFUNCTION("""COMPUTED_VALUE"""),"RSC002931")</f>
        <v>RSC002931</v>
      </c>
      <c r="B2924" s="41" t="str">
        <f>IFERROR(__xludf.DUMMYFUNCTION("""COMPUTED_VALUE"""),"Reeky")</f>
        <v>Reeky</v>
      </c>
    </row>
    <row r="2925">
      <c r="A2925" s="41" t="str">
        <f>IFERROR(__xludf.DUMMYFUNCTION("""COMPUTED_VALUE"""),"RSC002932")</f>
        <v>RSC002932</v>
      </c>
      <c r="B2925" s="41" t="str">
        <f>IFERROR(__xludf.DUMMYFUNCTION("""COMPUTED_VALUE"""),"Kilocity")</f>
        <v>Kilocity</v>
      </c>
    </row>
    <row r="2926">
      <c r="A2926" s="41" t="str">
        <f>IFERROR(__xludf.DUMMYFUNCTION("""COMPUTED_VALUE"""),"RSC002933")</f>
        <v>RSC002933</v>
      </c>
      <c r="B2926" s="41" t="str">
        <f>IFERROR(__xludf.DUMMYFUNCTION("""COMPUTED_VALUE"""),"Hotsauce")</f>
        <v>Hotsauce</v>
      </c>
    </row>
    <row r="2927">
      <c r="A2927" s="41" t="str">
        <f>IFERROR(__xludf.DUMMYFUNCTION("""COMPUTED_VALUE"""),"RSC002934")</f>
        <v>RSC002934</v>
      </c>
      <c r="B2927" s="41" t="str">
        <f>IFERROR(__xludf.DUMMYFUNCTION("""COMPUTED_VALUE"""),"Marmaduke2.0")</f>
        <v>Marmaduke2.0</v>
      </c>
    </row>
    <row r="2928">
      <c r="A2928" s="41" t="str">
        <f>IFERROR(__xludf.DUMMYFUNCTION("""COMPUTED_VALUE"""),"RSC002935")</f>
        <v>RSC002935</v>
      </c>
      <c r="B2928" s="41" t="str">
        <f>IFERROR(__xludf.DUMMYFUNCTION("""COMPUTED_VALUE"""),"KJdaboss")</f>
        <v>KJdaboss</v>
      </c>
    </row>
    <row r="2929">
      <c r="A2929" s="41" t="str">
        <f>IFERROR(__xludf.DUMMYFUNCTION("""COMPUTED_VALUE"""),"RSC002936")</f>
        <v>RSC002936</v>
      </c>
      <c r="B2929" s="41" t="str">
        <f>IFERROR(__xludf.DUMMYFUNCTION("""COMPUTED_VALUE"""),"Lu")</f>
        <v>Lu</v>
      </c>
    </row>
    <row r="2930">
      <c r="A2930" s="41" t="str">
        <f>IFERROR(__xludf.DUMMYFUNCTION("""COMPUTED_VALUE"""),"RSC002937")</f>
        <v>RSC002937</v>
      </c>
      <c r="B2930" s="41" t="str">
        <f>IFERROR(__xludf.DUMMYFUNCTION("""COMPUTED_VALUE"""),"SirTommyNoble")</f>
        <v>SirTommyNoble</v>
      </c>
    </row>
    <row r="2931">
      <c r="A2931" s="41" t="str">
        <f>IFERROR(__xludf.DUMMYFUNCTION("""COMPUTED_VALUE"""),"RSC002938")</f>
        <v>RSC002938</v>
      </c>
      <c r="B2931" s="41" t="str">
        <f>IFERROR(__xludf.DUMMYFUNCTION("""COMPUTED_VALUE"""),"Bunce")</f>
        <v>Bunce</v>
      </c>
    </row>
    <row r="2932">
      <c r="A2932" s="41" t="str">
        <f>IFERROR(__xludf.DUMMYFUNCTION("""COMPUTED_VALUE"""),"RSC002939")</f>
        <v>RSC002939</v>
      </c>
      <c r="B2932" s="41" t="str">
        <f>IFERROR(__xludf.DUMMYFUNCTION("""COMPUTED_VALUE"""),"Astonic")</f>
        <v>Astonic</v>
      </c>
    </row>
    <row r="2933">
      <c r="A2933" s="41" t="str">
        <f>IFERROR(__xludf.DUMMYFUNCTION("""COMPUTED_VALUE"""),"RSC002940")</f>
        <v>RSC002940</v>
      </c>
      <c r="B2933" s="41" t="str">
        <f>IFERROR(__xludf.DUMMYFUNCTION("""COMPUTED_VALUE"""),"ktn.")</f>
        <v>ktn.</v>
      </c>
    </row>
    <row r="2934">
      <c r="A2934" s="41" t="str">
        <f>IFERROR(__xludf.DUMMYFUNCTION("""COMPUTED_VALUE"""),"RSC002941")</f>
        <v>RSC002941</v>
      </c>
      <c r="B2934" s="41" t="str">
        <f>IFERROR(__xludf.DUMMYFUNCTION("""COMPUTED_VALUE"""),"Yuh Boi")</f>
        <v>Yuh Boi</v>
      </c>
    </row>
    <row r="2935">
      <c r="A2935" s="41" t="str">
        <f>IFERROR(__xludf.DUMMYFUNCTION("""COMPUTED_VALUE"""),"RSC002942")</f>
        <v>RSC002942</v>
      </c>
      <c r="B2935" s="41" t="str">
        <f>IFERROR(__xludf.DUMMYFUNCTION("""COMPUTED_VALUE"""),"Thievess")</f>
        <v>Thievess</v>
      </c>
    </row>
    <row r="2936">
      <c r="A2936" s="41" t="str">
        <f>IFERROR(__xludf.DUMMYFUNCTION("""COMPUTED_VALUE"""),"RSC002943")</f>
        <v>RSC002943</v>
      </c>
      <c r="B2936" s="41" t="str">
        <f>IFERROR(__xludf.DUMMYFUNCTION("""COMPUTED_VALUE"""),"Lugia")</f>
        <v>Lugia</v>
      </c>
    </row>
    <row r="2937">
      <c r="A2937" s="41" t="str">
        <f>IFERROR(__xludf.DUMMYFUNCTION("""COMPUTED_VALUE"""),"RSC002944")</f>
        <v>RSC002944</v>
      </c>
      <c r="B2937" s="41" t="str">
        <f>IFERROR(__xludf.DUMMYFUNCTION("""COMPUTED_VALUE"""),"PayloSoul")</f>
        <v>PayloSoul</v>
      </c>
    </row>
    <row r="2938">
      <c r="A2938" s="41" t="str">
        <f>IFERROR(__xludf.DUMMYFUNCTION("""COMPUTED_VALUE"""),"RSC002945")</f>
        <v>RSC002945</v>
      </c>
      <c r="B2938" s="41" t="str">
        <f>IFERROR(__xludf.DUMMYFUNCTION("""COMPUTED_VALUE"""),"Ahhlusiv")</f>
        <v>Ahhlusiv</v>
      </c>
    </row>
    <row r="2939">
      <c r="A2939" s="41" t="str">
        <f>IFERROR(__xludf.DUMMYFUNCTION("""COMPUTED_VALUE"""),"RSC002946")</f>
        <v>RSC002946</v>
      </c>
      <c r="B2939" s="41" t="str">
        <f>IFERROR(__xludf.DUMMYFUNCTION("""COMPUTED_VALUE"""),"mau")</f>
        <v>mau</v>
      </c>
    </row>
    <row r="2940">
      <c r="A2940" s="41" t="str">
        <f>IFERROR(__xludf.DUMMYFUNCTION("""COMPUTED_VALUE"""),"RSC002947")</f>
        <v>RSC002947</v>
      </c>
      <c r="B2940" s="41" t="str">
        <f>IFERROR(__xludf.DUMMYFUNCTION("""COMPUTED_VALUE"""),"Electrical Canadian")</f>
        <v>Electrical Canadian</v>
      </c>
    </row>
    <row r="2941">
      <c r="A2941" s="41" t="str">
        <f>IFERROR(__xludf.DUMMYFUNCTION("""COMPUTED_VALUE"""),"RSC002948")</f>
        <v>RSC002948</v>
      </c>
      <c r="B2941" s="41" t="str">
        <f>IFERROR(__xludf.DUMMYFUNCTION("""COMPUTED_VALUE"""),"SKMBG ROYTANG")</f>
        <v>SKMBG ROYTANG</v>
      </c>
    </row>
    <row r="2942">
      <c r="A2942" s="41" t="str">
        <f>IFERROR(__xludf.DUMMYFUNCTION("""COMPUTED_VALUE"""),"RSC002949")</f>
        <v>RSC002949</v>
      </c>
      <c r="B2942" s="41" t="str">
        <f>IFERROR(__xludf.DUMMYFUNCTION("""COMPUTED_VALUE"""),"RaZzr EliTe")</f>
        <v>RaZzr EliTe</v>
      </c>
    </row>
    <row r="2943">
      <c r="A2943" s="41" t="str">
        <f>IFERROR(__xludf.DUMMYFUNCTION("""COMPUTED_VALUE"""),"RSC002950")</f>
        <v>RSC002950</v>
      </c>
      <c r="B2943" s="41" t="str">
        <f>IFERROR(__xludf.DUMMYFUNCTION("""COMPUTED_VALUE"""),"Stirlando")</f>
        <v>Stirlando</v>
      </c>
    </row>
    <row r="2944">
      <c r="A2944" s="41" t="str">
        <f>IFERROR(__xludf.DUMMYFUNCTION("""COMPUTED_VALUE"""),"RSC002951")</f>
        <v>RSC002951</v>
      </c>
      <c r="B2944" s="41" t="str">
        <f>IFERROR(__xludf.DUMMYFUNCTION("""COMPUTED_VALUE"""),"Hopper")</f>
        <v>Hopper</v>
      </c>
    </row>
    <row r="2945">
      <c r="A2945" s="41" t="str">
        <f>IFERROR(__xludf.DUMMYFUNCTION("""COMPUTED_VALUE"""),"RSC002952")</f>
        <v>RSC002952</v>
      </c>
      <c r="B2945" s="41" t="str">
        <f>IFERROR(__xludf.DUMMYFUNCTION("""COMPUTED_VALUE"""),"mcole41")</f>
        <v>mcole41</v>
      </c>
    </row>
    <row r="2946">
      <c r="A2946" s="41" t="str">
        <f>IFERROR(__xludf.DUMMYFUNCTION("""COMPUTED_VALUE"""),"RSC002953")</f>
        <v>RSC002953</v>
      </c>
      <c r="B2946" s="41" t="str">
        <f>IFERROR(__xludf.DUMMYFUNCTION("""COMPUTED_VALUE"""),"Mosaic")</f>
        <v>Mosaic</v>
      </c>
    </row>
    <row r="2947">
      <c r="A2947" s="41" t="str">
        <f>IFERROR(__xludf.DUMMYFUNCTION("""COMPUTED_VALUE"""),"RSC002954")</f>
        <v>RSC002954</v>
      </c>
      <c r="B2947" s="41" t="str">
        <f>IFERROR(__xludf.DUMMYFUNCTION("""COMPUTED_VALUE"""),"Hephaestus_10")</f>
        <v>Hephaestus_10</v>
      </c>
    </row>
    <row r="2948">
      <c r="A2948" s="41" t="str">
        <f>IFERROR(__xludf.DUMMYFUNCTION("""COMPUTED_VALUE"""),"RSC002955")</f>
        <v>RSC002955</v>
      </c>
      <c r="B2948" s="41" t="str">
        <f>IFERROR(__xludf.DUMMYFUNCTION("""COMPUTED_VALUE"""),"Private_Butterz")</f>
        <v>Private_Butterz</v>
      </c>
    </row>
    <row r="2949">
      <c r="A2949" s="41" t="str">
        <f>IFERROR(__xludf.DUMMYFUNCTION("""COMPUTED_VALUE"""),"RSC002956")</f>
        <v>RSC002956</v>
      </c>
      <c r="B2949" s="41" t="str">
        <f>IFERROR(__xludf.DUMMYFUNCTION("""COMPUTED_VALUE"""),"Ofodo")</f>
        <v>Ofodo</v>
      </c>
    </row>
    <row r="2950">
      <c r="A2950" s="41" t="str">
        <f>IFERROR(__xludf.DUMMYFUNCTION("""COMPUTED_VALUE"""),"RSC002957")</f>
        <v>RSC002957</v>
      </c>
      <c r="B2950" s="41" t="str">
        <f>IFERROR(__xludf.DUMMYFUNCTION("""COMPUTED_VALUE"""),"tobu")</f>
        <v>tobu</v>
      </c>
    </row>
    <row r="2951">
      <c r="A2951" s="41" t="str">
        <f>IFERROR(__xludf.DUMMYFUNCTION("""COMPUTED_VALUE"""),"RSC002958")</f>
        <v>RSC002958</v>
      </c>
      <c r="B2951" s="41" t="str">
        <f>IFERROR(__xludf.DUMMYFUNCTION("""COMPUTED_VALUE"""),"Hero")</f>
        <v>Hero</v>
      </c>
    </row>
    <row r="2952">
      <c r="A2952" s="41" t="str">
        <f>IFERROR(__xludf.DUMMYFUNCTION("""COMPUTED_VALUE"""),"RSC002959")</f>
        <v>RSC002959</v>
      </c>
      <c r="B2952" s="41" t="str">
        <f>IFERROR(__xludf.DUMMYFUNCTION("""COMPUTED_VALUE"""),"JACKS0NTHEBOSS")</f>
        <v>JACKS0NTHEBOSS</v>
      </c>
    </row>
    <row r="2953">
      <c r="A2953" s="41" t="str">
        <f>IFERROR(__xludf.DUMMYFUNCTION("""COMPUTED_VALUE"""),"RSC002960")</f>
        <v>RSC002960</v>
      </c>
      <c r="B2953" s="41" t="str">
        <f>IFERROR(__xludf.DUMMYFUNCTION("""COMPUTED_VALUE"""),"Shrek Is The Best Anime")</f>
        <v>Shrek Is The Best Anime</v>
      </c>
    </row>
    <row r="2954">
      <c r="A2954" s="41" t="str">
        <f>IFERROR(__xludf.DUMMYFUNCTION("""COMPUTED_VALUE"""),"RSC002961")</f>
        <v>RSC002961</v>
      </c>
      <c r="B2954" s="41" t="str">
        <f>IFERROR(__xludf.DUMMYFUNCTION("""COMPUTED_VALUE"""),"Decoy")</f>
        <v>Decoy</v>
      </c>
    </row>
    <row r="2955">
      <c r="A2955" s="41" t="str">
        <f>IFERROR(__xludf.DUMMYFUNCTION("""COMPUTED_VALUE"""),"RSC002962")</f>
        <v>RSC002962</v>
      </c>
      <c r="B2955" s="41" t="str">
        <f>IFERROR(__xludf.DUMMYFUNCTION("""COMPUTED_VALUE"""),"Perma")</f>
        <v>Perma</v>
      </c>
    </row>
    <row r="2956">
      <c r="A2956" s="41" t="str">
        <f>IFERROR(__xludf.DUMMYFUNCTION("""COMPUTED_VALUE"""),"RSC002963")</f>
        <v>RSC002963</v>
      </c>
      <c r="B2956" s="41" t="str">
        <f>IFERROR(__xludf.DUMMYFUNCTION("""COMPUTED_VALUE"""),"John-E-Conga")</f>
        <v>John-E-Conga</v>
      </c>
    </row>
    <row r="2957">
      <c r="A2957" s="41" t="str">
        <f>IFERROR(__xludf.DUMMYFUNCTION("""COMPUTED_VALUE"""),"RSC002964")</f>
        <v>RSC002964</v>
      </c>
      <c r="B2957" s="41" t="str">
        <f>IFERROR(__xludf.DUMMYFUNCTION("""COMPUTED_VALUE"""),"Doublekildillon")</f>
        <v>Doublekildillon</v>
      </c>
    </row>
    <row r="2958">
      <c r="A2958" s="41" t="str">
        <f>IFERROR(__xludf.DUMMYFUNCTION("""COMPUTED_VALUE"""),"RSC002965")</f>
        <v>RSC002965</v>
      </c>
      <c r="B2958" s="41" t="str">
        <f>IFERROR(__xludf.DUMMYFUNCTION("""COMPUTED_VALUE"""),"Micro11")</f>
        <v>Micro11</v>
      </c>
    </row>
    <row r="2959">
      <c r="A2959" s="41" t="str">
        <f>IFERROR(__xludf.DUMMYFUNCTION("""COMPUTED_VALUE"""),"RSC002966")</f>
        <v>RSC002966</v>
      </c>
      <c r="B2959" s="41" t="str">
        <f>IFERROR(__xludf.DUMMYFUNCTION("""COMPUTED_VALUE"""),"Wayward Futa")</f>
        <v>Wayward Futa</v>
      </c>
    </row>
    <row r="2960">
      <c r="A2960" s="41" t="str">
        <f>IFERROR(__xludf.DUMMYFUNCTION("""COMPUTED_VALUE"""),"RSC002967")</f>
        <v>RSC002967</v>
      </c>
      <c r="B2960" s="41" t="str">
        <f>IFERROR(__xludf.DUMMYFUNCTION("""COMPUTED_VALUE"""),"Badibicho")</f>
        <v>Badibicho</v>
      </c>
    </row>
    <row r="2961">
      <c r="A2961" s="41" t="str">
        <f>IFERROR(__xludf.DUMMYFUNCTION("""COMPUTED_VALUE"""),"RSC002968")</f>
        <v>RSC002968</v>
      </c>
      <c r="B2961" s="41" t="str">
        <f>IFERROR(__xludf.DUMMYFUNCTION("""COMPUTED_VALUE"""),"Unchude")</f>
        <v>Unchude</v>
      </c>
    </row>
    <row r="2962">
      <c r="A2962" s="41" t="str">
        <f>IFERROR(__xludf.DUMMYFUNCTION("""COMPUTED_VALUE"""),"RSC002969")</f>
        <v>RSC002969</v>
      </c>
      <c r="B2962" s="41" t="str">
        <f>IFERROR(__xludf.DUMMYFUNCTION("""COMPUTED_VALUE"""),"Chxppiev6")</f>
        <v>Chxppiev6</v>
      </c>
    </row>
    <row r="2963">
      <c r="A2963" s="41" t="str">
        <f>IFERROR(__xludf.DUMMYFUNCTION("""COMPUTED_VALUE"""),"RSC002970")</f>
        <v>RSC002970</v>
      </c>
      <c r="B2963" s="41" t="str">
        <f>IFERROR(__xludf.DUMMYFUNCTION("""COMPUTED_VALUE"""),"Veryance")</f>
        <v>Veryance</v>
      </c>
    </row>
    <row r="2964">
      <c r="A2964" s="41" t="str">
        <f>IFERROR(__xludf.DUMMYFUNCTION("""COMPUTED_VALUE"""),"RSC002971")</f>
        <v>RSC002971</v>
      </c>
      <c r="B2964" s="41" t="str">
        <f>IFERROR(__xludf.DUMMYFUNCTION("""COMPUTED_VALUE"""),"Snapshot")</f>
        <v>Snapshot</v>
      </c>
    </row>
    <row r="2965">
      <c r="A2965" s="41" t="str">
        <f>IFERROR(__xludf.DUMMYFUNCTION("""COMPUTED_VALUE"""),"RSC002972")</f>
        <v>RSC002972</v>
      </c>
      <c r="B2965" s="41" t="str">
        <f>IFERROR(__xludf.DUMMYFUNCTION("""COMPUTED_VALUE"""),"Chomo")</f>
        <v>Chomo</v>
      </c>
    </row>
    <row r="2966">
      <c r="A2966" s="41" t="str">
        <f>IFERROR(__xludf.DUMMYFUNCTION("""COMPUTED_VALUE"""),"RSC002973")</f>
        <v>RSC002973</v>
      </c>
      <c r="B2966" s="41" t="str">
        <f>IFERROR(__xludf.DUMMYFUNCTION("""COMPUTED_VALUE"""),"Insult2Injury")</f>
        <v>Insult2Injury</v>
      </c>
    </row>
    <row r="2967">
      <c r="A2967" s="41" t="str">
        <f>IFERROR(__xludf.DUMMYFUNCTION("""COMPUTED_VALUE"""),"RSC002974")</f>
        <v>RSC002974</v>
      </c>
      <c r="B2967" s="41" t="str">
        <f>IFERROR(__xludf.DUMMYFUNCTION("""COMPUTED_VALUE"""),"Molokoa")</f>
        <v>Molokoa</v>
      </c>
    </row>
    <row r="2968">
      <c r="A2968" s="41" t="str">
        <f>IFERROR(__xludf.DUMMYFUNCTION("""COMPUTED_VALUE"""),"RSC002975")</f>
        <v>RSC002975</v>
      </c>
      <c r="B2968" s="41" t="str">
        <f>IFERROR(__xludf.DUMMYFUNCTION("""COMPUTED_VALUE"""),"brayden")</f>
        <v>brayden</v>
      </c>
    </row>
    <row r="2969">
      <c r="A2969" s="41" t="str">
        <f>IFERROR(__xludf.DUMMYFUNCTION("""COMPUTED_VALUE"""),"RSC002976")</f>
        <v>RSC002976</v>
      </c>
      <c r="B2969" s="41" t="str">
        <f>IFERROR(__xludf.DUMMYFUNCTION("""COMPUTED_VALUE"""),"Owelstein")</f>
        <v>Owelstein</v>
      </c>
    </row>
    <row r="2970">
      <c r="A2970" s="41" t="str">
        <f>IFERROR(__xludf.DUMMYFUNCTION("""COMPUTED_VALUE"""),"RSC002977")</f>
        <v>RSC002977</v>
      </c>
      <c r="B2970" s="41" t="str">
        <f>IFERROR(__xludf.DUMMYFUNCTION("""COMPUTED_VALUE"""),"Chasonthegreat")</f>
        <v>Chasonthegreat</v>
      </c>
    </row>
    <row r="2971">
      <c r="A2971" s="41" t="str">
        <f>IFERROR(__xludf.DUMMYFUNCTION("""COMPUTED_VALUE"""),"RSC002978")</f>
        <v>RSC002978</v>
      </c>
      <c r="B2971" s="41" t="str">
        <f>IFERROR(__xludf.DUMMYFUNCTION("""COMPUTED_VALUE"""),"KRMA")</f>
        <v>KRMA</v>
      </c>
    </row>
    <row r="2972">
      <c r="A2972" s="41" t="str">
        <f>IFERROR(__xludf.DUMMYFUNCTION("""COMPUTED_VALUE"""),"RSC002979")</f>
        <v>RSC002979</v>
      </c>
      <c r="B2972" s="41" t="str">
        <f>IFERROR(__xludf.DUMMYFUNCTION("""COMPUTED_VALUE"""),"Kryptonic")</f>
        <v>Kryptonic</v>
      </c>
    </row>
    <row r="2973">
      <c r="A2973" s="41" t="str">
        <f>IFERROR(__xludf.DUMMYFUNCTION("""COMPUTED_VALUE"""),"RSC002980")</f>
        <v>RSC002980</v>
      </c>
      <c r="B2973" s="41" t="str">
        <f>IFERROR(__xludf.DUMMYFUNCTION("""COMPUTED_VALUE"""),"Koach")</f>
        <v>Koach</v>
      </c>
    </row>
    <row r="2974">
      <c r="A2974" s="41" t="str">
        <f>IFERROR(__xludf.DUMMYFUNCTION("""COMPUTED_VALUE"""),"RSC002981")</f>
        <v>RSC002981</v>
      </c>
      <c r="B2974" s="41" t="str">
        <f>IFERROR(__xludf.DUMMYFUNCTION("""COMPUTED_VALUE"""),"Royan")</f>
        <v>Royan</v>
      </c>
    </row>
    <row r="2975">
      <c r="A2975" s="41" t="str">
        <f>IFERROR(__xludf.DUMMYFUNCTION("""COMPUTED_VALUE"""),"RSC002982")</f>
        <v>RSC002982</v>
      </c>
      <c r="B2975" s="41" t="str">
        <f>IFERROR(__xludf.DUMMYFUNCTION("""COMPUTED_VALUE"""),"AyoChil1")</f>
        <v>AyoChil1</v>
      </c>
    </row>
    <row r="2976">
      <c r="A2976" s="41" t="str">
        <f>IFERROR(__xludf.DUMMYFUNCTION("""COMPUTED_VALUE"""),"RSC002983")</f>
        <v>RSC002983</v>
      </c>
      <c r="B2976" s="41" t="str">
        <f>IFERROR(__xludf.DUMMYFUNCTION("""COMPUTED_VALUE"""),"Fairway")</f>
        <v>Fairway</v>
      </c>
    </row>
    <row r="2977">
      <c r="A2977" s="41" t="str">
        <f>IFERROR(__xludf.DUMMYFUNCTION("""COMPUTED_VALUE"""),"RSC002984")</f>
        <v>RSC002984</v>
      </c>
      <c r="B2977" s="41" t="str">
        <f>IFERROR(__xludf.DUMMYFUNCTION("""COMPUTED_VALUE"""),"Qecar")</f>
        <v>Qecar</v>
      </c>
    </row>
    <row r="2978">
      <c r="A2978" s="41" t="str">
        <f>IFERROR(__xludf.DUMMYFUNCTION("""COMPUTED_VALUE"""),"RSC002985")</f>
        <v>RSC002985</v>
      </c>
      <c r="B2978" s="41" t="str">
        <f>IFERROR(__xludf.DUMMYFUNCTION("""COMPUTED_VALUE"""),"Minty.")</f>
        <v>Minty.</v>
      </c>
    </row>
    <row r="2979">
      <c r="A2979" s="41" t="str">
        <f>IFERROR(__xludf.DUMMYFUNCTION("""COMPUTED_VALUE"""),"RSC002986")</f>
        <v>RSC002986</v>
      </c>
      <c r="B2979" s="41" t="str">
        <f>IFERROR(__xludf.DUMMYFUNCTION("""COMPUTED_VALUE"""),"Antedote")</f>
        <v>Antedote</v>
      </c>
    </row>
    <row r="2980">
      <c r="A2980" s="41" t="str">
        <f>IFERROR(__xludf.DUMMYFUNCTION("""COMPUTED_VALUE"""),"RSC002987")</f>
        <v>RSC002987</v>
      </c>
      <c r="B2980" s="41" t="str">
        <f>IFERROR(__xludf.DUMMYFUNCTION("""COMPUTED_VALUE"""),"Sandieshon")</f>
        <v>Sandieshon</v>
      </c>
    </row>
    <row r="2981">
      <c r="A2981" s="41" t="str">
        <f>IFERROR(__xludf.DUMMYFUNCTION("""COMPUTED_VALUE"""),"RSC002988")</f>
        <v>RSC002988</v>
      </c>
      <c r="B2981" s="41" t="str">
        <f>IFERROR(__xludf.DUMMYFUNCTION("""COMPUTED_VALUE"""),"pwapp")</f>
        <v>pwapp</v>
      </c>
    </row>
    <row r="2982">
      <c r="A2982" s="41" t="str">
        <f>IFERROR(__xludf.DUMMYFUNCTION("""COMPUTED_VALUE"""),"RSC002989")</f>
        <v>RSC002989</v>
      </c>
      <c r="B2982" s="41" t="str">
        <f>IFERROR(__xludf.DUMMYFUNCTION("""COMPUTED_VALUE"""),"Vatican")</f>
        <v>Vatican</v>
      </c>
    </row>
    <row r="2983">
      <c r="A2983" s="41" t="str">
        <f>IFERROR(__xludf.DUMMYFUNCTION("""COMPUTED_VALUE"""),"RSC002990")</f>
        <v>RSC002990</v>
      </c>
      <c r="B2983" s="41" t="str">
        <f>IFERROR(__xludf.DUMMYFUNCTION("""COMPUTED_VALUE"""),"Crux.")</f>
        <v>Crux.</v>
      </c>
    </row>
    <row r="2984">
      <c r="A2984" s="41" t="str">
        <f>IFERROR(__xludf.DUMMYFUNCTION("""COMPUTED_VALUE"""),"RSC002991")</f>
        <v>RSC002991</v>
      </c>
      <c r="B2984" s="41" t="str">
        <f>IFERROR(__xludf.DUMMYFUNCTION("""COMPUTED_VALUE"""),"Santa Turtle")</f>
        <v>Santa Turtle</v>
      </c>
    </row>
    <row r="2985">
      <c r="A2985" s="41" t="str">
        <f>IFERROR(__xludf.DUMMYFUNCTION("""COMPUTED_VALUE"""),"RSC002992")</f>
        <v>RSC002992</v>
      </c>
      <c r="B2985" s="41" t="str">
        <f>IFERROR(__xludf.DUMMYFUNCTION("""COMPUTED_VALUE"""),"LUKE")</f>
        <v>LUKE</v>
      </c>
    </row>
    <row r="2986">
      <c r="A2986" s="41" t="str">
        <f>IFERROR(__xludf.DUMMYFUNCTION("""COMPUTED_VALUE"""),"RSC002993")</f>
        <v>RSC002993</v>
      </c>
      <c r="B2986" s="41" t="str">
        <f>IFERROR(__xludf.DUMMYFUNCTION("""COMPUTED_VALUE"""),"spicy")</f>
        <v>spicy</v>
      </c>
    </row>
    <row r="2987">
      <c r="A2987" s="41" t="str">
        <f>IFERROR(__xludf.DUMMYFUNCTION("""COMPUTED_VALUE"""),"RSC002994")</f>
        <v>RSC002994</v>
      </c>
      <c r="B2987" s="41" t="str">
        <f>IFERROR(__xludf.DUMMYFUNCTION("""COMPUTED_VALUE"""),"Chaser")</f>
        <v>Chaser</v>
      </c>
    </row>
    <row r="2988">
      <c r="A2988" s="41" t="str">
        <f>IFERROR(__xludf.DUMMYFUNCTION("""COMPUTED_VALUE"""),"RSC002995")</f>
        <v>RSC002995</v>
      </c>
      <c r="B2988" s="41" t="str">
        <f>IFERROR(__xludf.DUMMYFUNCTION("""COMPUTED_VALUE"""),"Toxic_Luigi_MF")</f>
        <v>Toxic_Luigi_MF</v>
      </c>
    </row>
    <row r="2989">
      <c r="A2989" s="41" t="str">
        <f>IFERROR(__xludf.DUMMYFUNCTION("""COMPUTED_VALUE"""),"RSC002996")</f>
        <v>RSC002996</v>
      </c>
      <c r="B2989" s="41" t="str">
        <f>IFERROR(__xludf.DUMMYFUNCTION("""COMPUTED_VALUE"""),"Elysian")</f>
        <v>Elysian</v>
      </c>
    </row>
    <row r="2990">
      <c r="A2990" s="41" t="str">
        <f>IFERROR(__xludf.DUMMYFUNCTION("""COMPUTED_VALUE"""),"RSC002997")</f>
        <v>RSC002997</v>
      </c>
      <c r="B2990" s="41" t="str">
        <f>IFERROR(__xludf.DUMMYFUNCTION("""COMPUTED_VALUE"""),"not alex")</f>
        <v>not alex</v>
      </c>
    </row>
    <row r="2991">
      <c r="A2991" s="41" t="str">
        <f>IFERROR(__xludf.DUMMYFUNCTION("""COMPUTED_VALUE"""),"RSC002998")</f>
        <v>RSC002998</v>
      </c>
      <c r="B2991" s="41" t="str">
        <f>IFERROR(__xludf.DUMMYFUNCTION("""COMPUTED_VALUE"""),"Dr. Disconnect")</f>
        <v>Dr. Disconnect</v>
      </c>
    </row>
    <row r="2992">
      <c r="A2992" s="41" t="str">
        <f>IFERROR(__xludf.DUMMYFUNCTION("""COMPUTED_VALUE"""),"RSC002999")</f>
        <v>RSC002999</v>
      </c>
      <c r="B2992" s="41" t="str">
        <f>IFERROR(__xludf.DUMMYFUNCTION("""COMPUTED_VALUE"""),"Kellon.")</f>
        <v>Kellon.</v>
      </c>
    </row>
    <row r="2993">
      <c r="A2993" s="41" t="str">
        <f>IFERROR(__xludf.DUMMYFUNCTION("""COMPUTED_VALUE"""),"RSC003000")</f>
        <v>RSC003000</v>
      </c>
      <c r="B2993" s="41" t="str">
        <f>IFERROR(__xludf.DUMMYFUNCTION("""COMPUTED_VALUE"""),"Vividbunny46227")</f>
        <v>Vividbunny46227</v>
      </c>
    </row>
    <row r="2994">
      <c r="A2994" s="41" t="str">
        <f>IFERROR(__xludf.DUMMYFUNCTION("""COMPUTED_VALUE"""),"RSC003001")</f>
        <v>RSC003001</v>
      </c>
      <c r="B2994" s="41" t="str">
        <f>IFERROR(__xludf.DUMMYFUNCTION("""COMPUTED_VALUE"""),"W/\\/E")</f>
        <v>W/\\/E</v>
      </c>
    </row>
    <row r="2995">
      <c r="A2995" s="41" t="str">
        <f>IFERROR(__xludf.DUMMYFUNCTION("""COMPUTED_VALUE"""),"RSC003002")</f>
        <v>RSC003002</v>
      </c>
      <c r="B2995" s="41" t="str">
        <f>IFERROR(__xludf.DUMMYFUNCTION("""COMPUTED_VALUE"""),"Mimvo")</f>
        <v>Mimvo</v>
      </c>
    </row>
    <row r="2996">
      <c r="A2996" s="41" t="str">
        <f>IFERROR(__xludf.DUMMYFUNCTION("""COMPUTED_VALUE"""),"RSC003003")</f>
        <v>RSC003003</v>
      </c>
      <c r="B2996" s="41" t="str">
        <f>IFERROR(__xludf.DUMMYFUNCTION("""COMPUTED_VALUE"""),"Muffinmanzy")</f>
        <v>Muffinmanzy</v>
      </c>
    </row>
    <row r="2997">
      <c r="A2997" s="41" t="str">
        <f>IFERROR(__xludf.DUMMYFUNCTION("""COMPUTED_VALUE"""),"RSC003004")</f>
        <v>RSC003004</v>
      </c>
      <c r="B2997" s="41" t="str">
        <f>IFERROR(__xludf.DUMMYFUNCTION("""COMPUTED_VALUE"""),"Boby Shew")</f>
        <v>Boby Shew</v>
      </c>
    </row>
    <row r="2998">
      <c r="A2998" s="41" t="str">
        <f>IFERROR(__xludf.DUMMYFUNCTION("""COMPUTED_VALUE"""),"RSC003005")</f>
        <v>RSC003005</v>
      </c>
      <c r="B2998" s="41" t="str">
        <f>IFERROR(__xludf.DUMMYFUNCTION("""COMPUTED_VALUE"""),"Multi-Trick_Pony")</f>
        <v>Multi-Trick_Pony</v>
      </c>
    </row>
    <row r="2999">
      <c r="A2999" s="41" t="str">
        <f>IFERROR(__xludf.DUMMYFUNCTION("""COMPUTED_VALUE"""),"RSC003006")</f>
        <v>RSC003006</v>
      </c>
      <c r="B2999" s="41" t="str">
        <f>IFERROR(__xludf.DUMMYFUNCTION("""COMPUTED_VALUE"""),"Freeze")</f>
        <v>Freeze</v>
      </c>
    </row>
    <row r="3000">
      <c r="A3000" s="41" t="str">
        <f>IFERROR(__xludf.DUMMYFUNCTION("""COMPUTED_VALUE"""),"RSC003007")</f>
        <v>RSC003007</v>
      </c>
      <c r="B3000" s="41" t="str">
        <f>IFERROR(__xludf.DUMMYFUNCTION("""COMPUTED_VALUE"""),"jeffmmm24")</f>
        <v>jeffmmm24</v>
      </c>
    </row>
    <row r="3001">
      <c r="A3001" s="41" t="str">
        <f>IFERROR(__xludf.DUMMYFUNCTION("""COMPUTED_VALUE"""),"RSC003008")</f>
        <v>RSC003008</v>
      </c>
      <c r="B3001" s="41" t="str">
        <f>IFERROR(__xludf.DUMMYFUNCTION("""COMPUTED_VALUE"""),"GeneralZippy")</f>
        <v>GeneralZippy</v>
      </c>
    </row>
    <row r="3002">
      <c r="A3002" s="41" t="str">
        <f>IFERROR(__xludf.DUMMYFUNCTION("""COMPUTED_VALUE"""),"RSC003009")</f>
        <v>RSC003009</v>
      </c>
      <c r="B3002" s="41" t="str">
        <f>IFERROR(__xludf.DUMMYFUNCTION("""COMPUTED_VALUE"""),"Twisted")</f>
        <v>Twisted</v>
      </c>
    </row>
    <row r="3003">
      <c r="A3003" s="41" t="str">
        <f>IFERROR(__xludf.DUMMYFUNCTION("""COMPUTED_VALUE"""),"RSC003010")</f>
        <v>RSC003010</v>
      </c>
      <c r="B3003" s="41" t="str">
        <f>IFERROR(__xludf.DUMMYFUNCTION("""COMPUTED_VALUE"""),"Afistrife")</f>
        <v>Afistrife</v>
      </c>
    </row>
    <row r="3004">
      <c r="A3004" s="41" t="str">
        <f>IFERROR(__xludf.DUMMYFUNCTION("""COMPUTED_VALUE"""),"RSC003011")</f>
        <v>RSC003011</v>
      </c>
      <c r="B3004" s="41" t="str">
        <f>IFERROR(__xludf.DUMMYFUNCTION("""COMPUTED_VALUE"""),"kohl.")</f>
        <v>kohl.</v>
      </c>
    </row>
    <row r="3005">
      <c r="A3005" s="41" t="str">
        <f>IFERROR(__xludf.DUMMYFUNCTION("""COMPUTED_VALUE"""),"RSC003012")</f>
        <v>RSC003012</v>
      </c>
      <c r="B3005" s="41" t="str">
        <f>IFERROR(__xludf.DUMMYFUNCTION("""COMPUTED_VALUE"""),"Fluffles")</f>
        <v>Fluffles</v>
      </c>
    </row>
    <row r="3006">
      <c r="A3006" s="41" t="str">
        <f>IFERROR(__xludf.DUMMYFUNCTION("""COMPUTED_VALUE"""),"RSC003013")</f>
        <v>RSC003013</v>
      </c>
      <c r="B3006" s="41" t="str">
        <f>IFERROR(__xludf.DUMMYFUNCTION("""COMPUTED_VALUE"""),"SauceBoy Eikon")</f>
        <v>SauceBoy Eikon</v>
      </c>
    </row>
    <row r="3007">
      <c r="A3007" s="41" t="str">
        <f>IFERROR(__xludf.DUMMYFUNCTION("""COMPUTED_VALUE"""),"RSC003014")</f>
        <v>RSC003014</v>
      </c>
      <c r="B3007" s="41" t="str">
        <f>IFERROR(__xludf.DUMMYFUNCTION("""COMPUTED_VALUE"""),"JustTired")</f>
        <v>JustTired</v>
      </c>
    </row>
    <row r="3008">
      <c r="A3008" s="41" t="str">
        <f>IFERROR(__xludf.DUMMYFUNCTION("""COMPUTED_VALUE"""),"RSC003015")</f>
        <v>RSC003015</v>
      </c>
      <c r="B3008" s="41" t="str">
        <f>IFERROR(__xludf.DUMMYFUNCTION("""COMPUTED_VALUE"""),"F4 Madara")</f>
        <v>F4 Madara</v>
      </c>
    </row>
    <row r="3009">
      <c r="A3009" s="41" t="str">
        <f>IFERROR(__xludf.DUMMYFUNCTION("""COMPUTED_VALUE"""),"RSC003016")</f>
        <v>RSC003016</v>
      </c>
      <c r="B3009" s="41" t="str">
        <f>IFERROR(__xludf.DUMMYFUNCTION("""COMPUTED_VALUE"""),"Viirzha")</f>
        <v>Viirzha</v>
      </c>
    </row>
    <row r="3010">
      <c r="A3010" s="41" t="str">
        <f>IFERROR(__xludf.DUMMYFUNCTION("""COMPUTED_VALUE"""),"RSC003017")</f>
        <v>RSC003017</v>
      </c>
      <c r="B3010" s="41" t="str">
        <f>IFERROR(__xludf.DUMMYFUNCTION("""COMPUTED_VALUE"""),"AlanShoreEsq")</f>
        <v>AlanShoreEsq</v>
      </c>
    </row>
    <row r="3011">
      <c r="A3011" s="41" t="str">
        <f>IFERROR(__xludf.DUMMYFUNCTION("""COMPUTED_VALUE"""),"RSC003018")</f>
        <v>RSC003018</v>
      </c>
      <c r="B3011" s="41" t="str">
        <f>IFERROR(__xludf.DUMMYFUNCTION("""COMPUTED_VALUE"""),"McChicky")</f>
        <v>McChicky</v>
      </c>
    </row>
    <row r="3012">
      <c r="A3012" s="41" t="str">
        <f>IFERROR(__xludf.DUMMYFUNCTION("""COMPUTED_VALUE"""),"RSC003019")</f>
        <v>RSC003019</v>
      </c>
      <c r="B3012" s="41" t="str">
        <f>IFERROR(__xludf.DUMMYFUNCTION("""COMPUTED_VALUE"""),"itz.flashy")</f>
        <v>itz.flashy</v>
      </c>
    </row>
    <row r="3013">
      <c r="A3013" s="41" t="str">
        <f>IFERROR(__xludf.DUMMYFUNCTION("""COMPUTED_VALUE"""),"RSC003020")</f>
        <v>RSC003020</v>
      </c>
      <c r="B3013" s="41" t="str">
        <f>IFERROR(__xludf.DUMMYFUNCTION("""COMPUTED_VALUE"""),"MagicalRL")</f>
        <v>MagicalRL</v>
      </c>
    </row>
    <row r="3014">
      <c r="A3014" s="41" t="str">
        <f>IFERROR(__xludf.DUMMYFUNCTION("""COMPUTED_VALUE"""),"RSC003021")</f>
        <v>RSC003021</v>
      </c>
      <c r="B3014" s="41" t="str">
        <f>IFERROR(__xludf.DUMMYFUNCTION("""COMPUTED_VALUE"""),"J8pe")</f>
        <v>J8pe</v>
      </c>
    </row>
    <row r="3015">
      <c r="A3015" s="41" t="str">
        <f>IFERROR(__xludf.DUMMYFUNCTION("""COMPUTED_VALUE"""),"RSC003022")</f>
        <v>RSC003022</v>
      </c>
      <c r="B3015" s="41" t="str">
        <f>IFERROR(__xludf.DUMMYFUNCTION("""COMPUTED_VALUE"""),"MWG NO L")</f>
        <v>MWG NO L</v>
      </c>
    </row>
    <row r="3016">
      <c r="A3016" s="41" t="str">
        <f>IFERROR(__xludf.DUMMYFUNCTION("""COMPUTED_VALUE"""),"RSC003023")</f>
        <v>RSC003023</v>
      </c>
      <c r="B3016" s="41" t="str">
        <f>IFERROR(__xludf.DUMMYFUNCTION("""COMPUTED_VALUE"""),"X OG ANIMA X")</f>
        <v>X OG ANIMA X</v>
      </c>
    </row>
    <row r="3017">
      <c r="A3017" s="41" t="str">
        <f>IFERROR(__xludf.DUMMYFUNCTION("""COMPUTED_VALUE"""),"RSC003024")</f>
        <v>RSC003024</v>
      </c>
      <c r="B3017" s="41" t="str">
        <f>IFERROR(__xludf.DUMMYFUNCTION("""COMPUTED_VALUE"""),"Sir PecksAlot")</f>
        <v>Sir PecksAlot</v>
      </c>
    </row>
    <row r="3018">
      <c r="A3018" s="41" t="str">
        <f>IFERROR(__xludf.DUMMYFUNCTION("""COMPUTED_VALUE"""),"RSC003025")</f>
        <v>RSC003025</v>
      </c>
      <c r="B3018" s="41" t="str">
        <f>IFERROR(__xludf.DUMMYFUNCTION("""COMPUTED_VALUE"""),"MFBIRDMAN")</f>
        <v>MFBIRDMAN</v>
      </c>
    </row>
    <row r="3019">
      <c r="A3019" s="41" t="str">
        <f>IFERROR(__xludf.DUMMYFUNCTION("""COMPUTED_VALUE"""),"RSC003026")</f>
        <v>RSC003026</v>
      </c>
      <c r="B3019" s="41" t="str">
        <f>IFERROR(__xludf.DUMMYFUNCTION("""COMPUTED_VALUE"""),"stylSZN.")</f>
        <v>stylSZN.</v>
      </c>
    </row>
    <row r="3020">
      <c r="A3020" s="41" t="str">
        <f>IFERROR(__xludf.DUMMYFUNCTION("""COMPUTED_VALUE"""),"RSC003027")</f>
        <v>RSC003027</v>
      </c>
      <c r="B3020" s="41" t="str">
        <f>IFERROR(__xludf.DUMMYFUNCTION("""COMPUTED_VALUE"""),"Defiance")</f>
        <v>Defiance</v>
      </c>
    </row>
    <row r="3021">
      <c r="A3021" s="41" t="str">
        <f>IFERROR(__xludf.DUMMYFUNCTION("""COMPUTED_VALUE"""),"RSC003028")</f>
        <v>RSC003028</v>
      </c>
      <c r="B3021" s="41" t="str">
        <f>IFERROR(__xludf.DUMMYFUNCTION("""COMPUTED_VALUE"""),"Dodds")</f>
        <v>Dodds</v>
      </c>
    </row>
    <row r="3022">
      <c r="A3022" s="41" t="str">
        <f>IFERROR(__xludf.DUMMYFUNCTION("""COMPUTED_VALUE"""),"RSC003029")</f>
        <v>RSC003029</v>
      </c>
      <c r="B3022" s="41" t="str">
        <f>IFERROR(__xludf.DUMMYFUNCTION("""COMPUTED_VALUE"""),"NocturnaL")</f>
        <v>NocturnaL</v>
      </c>
    </row>
    <row r="3023">
      <c r="A3023" s="41" t="str">
        <f>IFERROR(__xludf.DUMMYFUNCTION("""COMPUTED_VALUE"""),"RSC003030")</f>
        <v>RSC003030</v>
      </c>
      <c r="B3023" s="41" t="str">
        <f>IFERROR(__xludf.DUMMYFUNCTION("""COMPUTED_VALUE"""),"o beese")</f>
        <v>o beese</v>
      </c>
    </row>
    <row r="3024">
      <c r="A3024" s="41" t="str">
        <f>IFERROR(__xludf.DUMMYFUNCTION("""COMPUTED_VALUE"""),"RSC003031")</f>
        <v>RSC003031</v>
      </c>
      <c r="B3024" s="41" t="str">
        <f>IFERROR(__xludf.DUMMYFUNCTION("""COMPUTED_VALUE"""),"Yesper")</f>
        <v>Yesper</v>
      </c>
    </row>
    <row r="3025">
      <c r="A3025" s="41" t="str">
        <f>IFERROR(__xludf.DUMMYFUNCTION("""COMPUTED_VALUE"""),"RSC003032")</f>
        <v>RSC003032</v>
      </c>
      <c r="B3025" s="41" t="str">
        <f>IFERROR(__xludf.DUMMYFUNCTION("""COMPUTED_VALUE"""),"x3Dx Toasty")</f>
        <v>x3Dx Toasty</v>
      </c>
    </row>
    <row r="3026">
      <c r="A3026" s="41" t="str">
        <f>IFERROR(__xludf.DUMMYFUNCTION("""COMPUTED_VALUE"""),"RSC003033")</f>
        <v>RSC003033</v>
      </c>
      <c r="B3026" s="41" t="str">
        <f>IFERROR(__xludf.DUMMYFUNCTION("""COMPUTED_VALUE"""),"Rahzki")</f>
        <v>Rahzki</v>
      </c>
    </row>
    <row r="3027">
      <c r="A3027" s="41" t="str">
        <f>IFERROR(__xludf.DUMMYFUNCTION("""COMPUTED_VALUE"""),"RSC003034")</f>
        <v>RSC003034</v>
      </c>
      <c r="B3027" s="41" t="str">
        <f>IFERROR(__xludf.DUMMYFUNCTION("""COMPUTED_VALUE"""),"Limburger")</f>
        <v>Limburger</v>
      </c>
    </row>
    <row r="3028">
      <c r="A3028" s="41" t="str">
        <f>IFERROR(__xludf.DUMMYFUNCTION("""COMPUTED_VALUE"""),"RSC003035")</f>
        <v>RSC003035</v>
      </c>
      <c r="B3028" s="41" t="str">
        <f>IFERROR(__xludf.DUMMYFUNCTION("""COMPUTED_VALUE"""),"ylb2")</f>
        <v>ylb2</v>
      </c>
    </row>
    <row r="3029">
      <c r="A3029" s="41" t="str">
        <f>IFERROR(__xludf.DUMMYFUNCTION("""COMPUTED_VALUE"""),"RSC003036")</f>
        <v>RSC003036</v>
      </c>
      <c r="B3029" s="41" t="str">
        <f>IFERROR(__xludf.DUMMYFUNCTION("""COMPUTED_VALUE"""),"hypnotoad.")</f>
        <v>hypnotoad.</v>
      </c>
    </row>
    <row r="3030">
      <c r="A3030" s="41" t="str">
        <f>IFERROR(__xludf.DUMMYFUNCTION("""COMPUTED_VALUE"""),"RSC003037")</f>
        <v>RSC003037</v>
      </c>
      <c r="B3030" s="41" t="str">
        <f>IFERROR(__xludf.DUMMYFUNCTION("""COMPUTED_VALUE"""),"ayden")</f>
        <v>ayden</v>
      </c>
    </row>
    <row r="3031">
      <c r="A3031" s="41" t="str">
        <f>IFERROR(__xludf.DUMMYFUNCTION("""COMPUTED_VALUE"""),"RSC003038")</f>
        <v>RSC003038</v>
      </c>
      <c r="B3031" s="41" t="str">
        <f>IFERROR(__xludf.DUMMYFUNCTION("""COMPUTED_VALUE"""),"migs.")</f>
        <v>migs.</v>
      </c>
    </row>
    <row r="3032">
      <c r="A3032" s="41" t="str">
        <f>IFERROR(__xludf.DUMMYFUNCTION("""COMPUTED_VALUE"""),"RSC003039")</f>
        <v>RSC003039</v>
      </c>
      <c r="B3032" s="41" t="str">
        <f>IFERROR(__xludf.DUMMYFUNCTION("""COMPUTED_VALUE"""),"Vadskully")</f>
        <v>Vadskully</v>
      </c>
    </row>
    <row r="3033">
      <c r="A3033" s="41" t="str">
        <f>IFERROR(__xludf.DUMMYFUNCTION("""COMPUTED_VALUE"""),"RSC003040")</f>
        <v>RSC003040</v>
      </c>
      <c r="B3033" s="41" t="str">
        <f>IFERROR(__xludf.DUMMYFUNCTION("""COMPUTED_VALUE"""),"Chung")</f>
        <v>Chung</v>
      </c>
    </row>
    <row r="3034">
      <c r="A3034" s="41" t="str">
        <f>IFERROR(__xludf.DUMMYFUNCTION("""COMPUTED_VALUE"""),"RSC003041")</f>
        <v>RSC003041</v>
      </c>
      <c r="B3034" s="41" t="str">
        <f>IFERROR(__xludf.DUMMYFUNCTION("""COMPUTED_VALUE"""),"NzTWeber")</f>
        <v>NzTWeber</v>
      </c>
    </row>
    <row r="3035">
      <c r="A3035" s="41" t="str">
        <f>IFERROR(__xludf.DUMMYFUNCTION("""COMPUTED_VALUE"""),"RSC003042")</f>
        <v>RSC003042</v>
      </c>
      <c r="B3035" s="41" t="str">
        <f>IFERROR(__xludf.DUMMYFUNCTION("""COMPUTED_VALUE"""),"gaz. ♥")</f>
        <v>gaz. ♥</v>
      </c>
    </row>
    <row r="3036">
      <c r="A3036" s="41" t="str">
        <f>IFERROR(__xludf.DUMMYFUNCTION("""COMPUTED_VALUE"""),"RSC003043")</f>
        <v>RSC003043</v>
      </c>
      <c r="B3036" s="41" t="str">
        <f>IFERROR(__xludf.DUMMYFUNCTION("""COMPUTED_VALUE"""),"Torque")</f>
        <v>Torque</v>
      </c>
    </row>
    <row r="3037">
      <c r="A3037" s="41" t="str">
        <f>IFERROR(__xludf.DUMMYFUNCTION("""COMPUTED_VALUE"""),"RSC003044")</f>
        <v>RSC003044</v>
      </c>
      <c r="B3037" s="41" t="str">
        <f>IFERROR(__xludf.DUMMYFUNCTION("""COMPUTED_VALUE"""),"jaybert")</f>
        <v>jaybert</v>
      </c>
    </row>
    <row r="3038">
      <c r="A3038" s="41" t="str">
        <f>IFERROR(__xludf.DUMMYFUNCTION("""COMPUTED_VALUE"""),"RSC003045")</f>
        <v>RSC003045</v>
      </c>
      <c r="B3038" s="41" t="str">
        <f>IFERROR(__xludf.DUMMYFUNCTION("""COMPUTED_VALUE"""),"HomieVCS")</f>
        <v>HomieVCS</v>
      </c>
    </row>
    <row r="3039">
      <c r="A3039" s="41" t="str">
        <f>IFERROR(__xludf.DUMMYFUNCTION("""COMPUTED_VALUE"""),"RSC003046")</f>
        <v>RSC003046</v>
      </c>
      <c r="B3039" s="41" t="str">
        <f>IFERROR(__xludf.DUMMYFUNCTION("""COMPUTED_VALUE"""),"Bensam13")</f>
        <v>Bensam13</v>
      </c>
    </row>
    <row r="3040">
      <c r="A3040" s="41" t="str">
        <f>IFERROR(__xludf.DUMMYFUNCTION("""COMPUTED_VALUE"""),"RSC003047")</f>
        <v>RSC003047</v>
      </c>
      <c r="B3040" s="41" t="str">
        <f>IFERROR(__xludf.DUMMYFUNCTION("""COMPUTED_VALUE"""),"Vesta | オタク")</f>
        <v>Vesta | オタク</v>
      </c>
    </row>
    <row r="3041">
      <c r="A3041" s="41" t="str">
        <f>IFERROR(__xludf.DUMMYFUNCTION("""COMPUTED_VALUE"""),"RSC003048")</f>
        <v>RSC003048</v>
      </c>
      <c r="B3041" s="41" t="str">
        <f>IFERROR(__xludf.DUMMYFUNCTION("""COMPUTED_VALUE"""),"Rocket Mann18 8")</f>
        <v>Rocket Mann18 8</v>
      </c>
    </row>
    <row r="3042">
      <c r="A3042" s="41" t="str">
        <f>IFERROR(__xludf.DUMMYFUNCTION("""COMPUTED_VALUE"""),"RSC003049")</f>
        <v>RSC003049</v>
      </c>
      <c r="B3042" s="41" t="str">
        <f>IFERROR(__xludf.DUMMYFUNCTION("""COMPUTED_VALUE"""),"lunarxaos")</f>
        <v>lunarxaos</v>
      </c>
    </row>
    <row r="3043">
      <c r="A3043" s="41" t="str">
        <f>IFERROR(__xludf.DUMMYFUNCTION("""COMPUTED_VALUE"""),"RSC003050")</f>
        <v>RSC003050</v>
      </c>
      <c r="B3043" s="41" t="str">
        <f>IFERROR(__xludf.DUMMYFUNCTION("""COMPUTED_VALUE"""),"Black d4ath")</f>
        <v>Black d4ath</v>
      </c>
    </row>
    <row r="3044">
      <c r="A3044" s="41" t="str">
        <f>IFERROR(__xludf.DUMMYFUNCTION("""COMPUTED_VALUE"""),"RSC003051")</f>
        <v>RSC003051</v>
      </c>
      <c r="B3044" s="41" t="str">
        <f>IFERROR(__xludf.DUMMYFUNCTION("""COMPUTED_VALUE"""),"ThunderTung")</f>
        <v>ThunderTung</v>
      </c>
    </row>
    <row r="3045">
      <c r="A3045" s="41" t="str">
        <f>IFERROR(__xludf.DUMMYFUNCTION("""COMPUTED_VALUE"""),"RSC003052")</f>
        <v>RSC003052</v>
      </c>
      <c r="B3045" s="41" t="str">
        <f>IFERROR(__xludf.DUMMYFUNCTION("""COMPUTED_VALUE"""),"mr.andres01")</f>
        <v>mr.andres01</v>
      </c>
    </row>
    <row r="3046">
      <c r="A3046" s="41" t="str">
        <f>IFERROR(__xludf.DUMMYFUNCTION("""COMPUTED_VALUE"""),"RSC003053")</f>
        <v>RSC003053</v>
      </c>
      <c r="B3046" s="41" t="str">
        <f>IFERROR(__xludf.DUMMYFUNCTION("""COMPUTED_VALUE"""),"skyler.")</f>
        <v>skyler.</v>
      </c>
    </row>
    <row r="3047">
      <c r="A3047" s="41" t="str">
        <f>IFERROR(__xludf.DUMMYFUNCTION("""COMPUTED_VALUE"""),"RSC003054")</f>
        <v>RSC003054</v>
      </c>
      <c r="B3047" s="41" t="str">
        <f>IFERROR(__xludf.DUMMYFUNCTION("""COMPUTED_VALUE"""),"Particlect")</f>
        <v>Particlect</v>
      </c>
    </row>
    <row r="3048">
      <c r="A3048" s="41" t="str">
        <f>IFERROR(__xludf.DUMMYFUNCTION("""COMPUTED_VALUE"""),"RSC003055")</f>
        <v>RSC003055</v>
      </c>
      <c r="B3048" s="41" t="str">
        <f>IFERROR(__xludf.DUMMYFUNCTION("""COMPUTED_VALUE"""),"Lad")</f>
        <v>Lad</v>
      </c>
    </row>
    <row r="3049">
      <c r="A3049" s="41" t="str">
        <f>IFERROR(__xludf.DUMMYFUNCTION("""COMPUTED_VALUE"""),"RSC003056")</f>
        <v>RSC003056</v>
      </c>
      <c r="B3049" s="41" t="str">
        <f>IFERROR(__xludf.DUMMYFUNCTION("""COMPUTED_VALUE"""),"RedImc")</f>
        <v>RedImc</v>
      </c>
    </row>
    <row r="3050">
      <c r="A3050" s="41" t="str">
        <f>IFERROR(__xludf.DUMMYFUNCTION("""COMPUTED_VALUE"""),"RSC003057")</f>
        <v>RSC003057</v>
      </c>
      <c r="B3050" s="41" t="str">
        <f>IFERROR(__xludf.DUMMYFUNCTION("""COMPUTED_VALUE"""),"Kiff")</f>
        <v>Kiff</v>
      </c>
    </row>
    <row r="3051">
      <c r="A3051" s="41" t="str">
        <f>IFERROR(__xludf.DUMMYFUNCTION("""COMPUTED_VALUE"""),"RSC003058")</f>
        <v>RSC003058</v>
      </c>
      <c r="B3051" s="41" t="str">
        <f>IFERROR(__xludf.DUMMYFUNCTION("""COMPUTED_VALUE"""),"Miller_Ball_22")</f>
        <v>Miller_Ball_22</v>
      </c>
    </row>
    <row r="3052">
      <c r="A3052" s="41" t="str">
        <f>IFERROR(__xludf.DUMMYFUNCTION("""COMPUTED_VALUE"""),"RSC003059")</f>
        <v>RSC003059</v>
      </c>
      <c r="B3052" s="41" t="str">
        <f>IFERROR(__xludf.DUMMYFUNCTION("""COMPUTED_VALUE"""),"Ezra Bans")</f>
        <v>Ezra Bans</v>
      </c>
    </row>
    <row r="3053">
      <c r="A3053" s="41" t="str">
        <f>IFERROR(__xludf.DUMMYFUNCTION("""COMPUTED_VALUE"""),"RSC003060")</f>
        <v>RSC003060</v>
      </c>
      <c r="B3053" s="41" t="str">
        <f>IFERROR(__xludf.DUMMYFUNCTION("""COMPUTED_VALUE"""),"Zeek")</f>
        <v>Zeek</v>
      </c>
    </row>
    <row r="3054">
      <c r="A3054" s="41" t="str">
        <f>IFERROR(__xludf.DUMMYFUNCTION("""COMPUTED_VALUE"""),"RSC003061")</f>
        <v>RSC003061</v>
      </c>
      <c r="B3054" s="41" t="str">
        <f>IFERROR(__xludf.DUMMYFUNCTION("""COMPUTED_VALUE"""),"Blake0449")</f>
        <v>Blake0449</v>
      </c>
    </row>
    <row r="3055">
      <c r="A3055" s="41" t="str">
        <f>IFERROR(__xludf.DUMMYFUNCTION("""COMPUTED_VALUE"""),"RSC003062")</f>
        <v>RSC003062</v>
      </c>
      <c r="B3055" s="41" t="str">
        <f>IFERROR(__xludf.DUMMYFUNCTION("""COMPUTED_VALUE"""),"JRDOGG52")</f>
        <v>JRDOGG52</v>
      </c>
    </row>
    <row r="3056">
      <c r="A3056" s="41" t="str">
        <f>IFERROR(__xludf.DUMMYFUNCTION("""COMPUTED_VALUE"""),"RSC003063")</f>
        <v>RSC003063</v>
      </c>
      <c r="B3056" s="41" t="str">
        <f>IFERROR(__xludf.DUMMYFUNCTION("""COMPUTED_VALUE"""),"PapaHayden")</f>
        <v>PapaHayden</v>
      </c>
    </row>
    <row r="3057">
      <c r="A3057" s="41" t="str">
        <f>IFERROR(__xludf.DUMMYFUNCTION("""COMPUTED_VALUE"""),"RSC003064")</f>
        <v>RSC003064</v>
      </c>
      <c r="B3057" s="41" t="str">
        <f>IFERROR(__xludf.DUMMYFUNCTION("""COMPUTED_VALUE"""),"Taka.")</f>
        <v>Taka.</v>
      </c>
    </row>
    <row r="3058">
      <c r="A3058" s="41" t="str">
        <f>IFERROR(__xludf.DUMMYFUNCTION("""COMPUTED_VALUE"""),"RSC003065")</f>
        <v>RSC003065</v>
      </c>
      <c r="B3058" s="41" t="str">
        <f>IFERROR(__xludf.DUMMYFUNCTION("""COMPUTED_VALUE"""),"porp")</f>
        <v>porp</v>
      </c>
    </row>
    <row r="3059">
      <c r="A3059" s="41" t="str">
        <f>IFERROR(__xludf.DUMMYFUNCTION("""COMPUTED_VALUE"""),"RSC003066")</f>
        <v>RSC003066</v>
      </c>
      <c r="B3059" s="41" t="str">
        <f>IFERROR(__xludf.DUMMYFUNCTION("""COMPUTED_VALUE"""),"Zurdo")</f>
        <v>Zurdo</v>
      </c>
    </row>
    <row r="3060">
      <c r="A3060" s="41" t="str">
        <f>IFERROR(__xludf.DUMMYFUNCTION("""COMPUTED_VALUE"""),"RSC003067")</f>
        <v>RSC003067</v>
      </c>
      <c r="B3060" s="41" t="str">
        <f>IFERROR(__xludf.DUMMYFUNCTION("""COMPUTED_VALUE"""),"Nigel")</f>
        <v>Nigel</v>
      </c>
    </row>
    <row r="3061">
      <c r="A3061" s="41" t="str">
        <f>IFERROR(__xludf.DUMMYFUNCTION("""COMPUTED_VALUE"""),"RSC003068")</f>
        <v>RSC003068</v>
      </c>
      <c r="B3061" s="41" t="str">
        <f>IFERROR(__xludf.DUMMYFUNCTION("""COMPUTED_VALUE"""),"Allize")</f>
        <v>Allize</v>
      </c>
    </row>
    <row r="3062">
      <c r="A3062" s="41" t="str">
        <f>IFERROR(__xludf.DUMMYFUNCTION("""COMPUTED_VALUE"""),"RSC003069")</f>
        <v>RSC003069</v>
      </c>
      <c r="B3062" s="41" t="str">
        <f>IFERROR(__xludf.DUMMYFUNCTION("""COMPUTED_VALUE"""),"Emjay_926")</f>
        <v>Emjay_926</v>
      </c>
    </row>
    <row r="3063">
      <c r="A3063" s="41" t="str">
        <f>IFERROR(__xludf.DUMMYFUNCTION("""COMPUTED_VALUE"""),"RSC003070")</f>
        <v>RSC003070</v>
      </c>
      <c r="B3063" s="41" t="str">
        <f>IFERROR(__xludf.DUMMYFUNCTION("""COMPUTED_VALUE"""),"wassabi657")</f>
        <v>wassabi657</v>
      </c>
    </row>
    <row r="3064">
      <c r="A3064" s="41" t="str">
        <f>IFERROR(__xludf.DUMMYFUNCTION("""COMPUTED_VALUE"""),"RSC003071")</f>
        <v>RSC003071</v>
      </c>
      <c r="B3064" s="41" t="str">
        <f>IFERROR(__xludf.DUMMYFUNCTION("""COMPUTED_VALUE"""),"blooper")</f>
        <v>blooper</v>
      </c>
    </row>
    <row r="3065">
      <c r="A3065" s="41" t="str">
        <f>IFERROR(__xludf.DUMMYFUNCTION("""COMPUTED_VALUE"""),"RSC003072")</f>
        <v>RSC003072</v>
      </c>
      <c r="B3065" s="41" t="str">
        <f>IFERROR(__xludf.DUMMYFUNCTION("""COMPUTED_VALUE"""),"AkaJorz")</f>
        <v>AkaJorz</v>
      </c>
    </row>
    <row r="3066">
      <c r="A3066" s="41" t="str">
        <f>IFERROR(__xludf.DUMMYFUNCTION("""COMPUTED_VALUE"""),"RSC003073")</f>
        <v>RSC003073</v>
      </c>
      <c r="B3066" s="41" t="str">
        <f>IFERROR(__xludf.DUMMYFUNCTION("""COMPUTED_VALUE"""),"perkls &lt;3")</f>
        <v>perkls &lt;3</v>
      </c>
    </row>
    <row r="3067">
      <c r="A3067" s="41" t="str">
        <f>IFERROR(__xludf.DUMMYFUNCTION("""COMPUTED_VALUE"""),"RSC003074")</f>
        <v>RSC003074</v>
      </c>
      <c r="B3067" s="41" t="str">
        <f>IFERROR(__xludf.DUMMYFUNCTION("""COMPUTED_VALUE"""),"Largesoup")</f>
        <v>Largesoup</v>
      </c>
    </row>
    <row r="3068">
      <c r="A3068" s="41" t="str">
        <f>IFERROR(__xludf.DUMMYFUNCTION("""COMPUTED_VALUE"""),"RSC003075")</f>
        <v>RSC003075</v>
      </c>
      <c r="B3068" s="41" t="str">
        <f>IFERROR(__xludf.DUMMYFUNCTION("""COMPUTED_VALUE"""),"Lyari")</f>
        <v>Lyari</v>
      </c>
    </row>
    <row r="3069">
      <c r="A3069" s="41" t="str">
        <f>IFERROR(__xludf.DUMMYFUNCTION("""COMPUTED_VALUE"""),"RSC003076")</f>
        <v>RSC003076</v>
      </c>
      <c r="B3069" s="41" t="str">
        <f>IFERROR(__xludf.DUMMYFUNCTION("""COMPUTED_VALUE"""),"Soda")</f>
        <v>Soda</v>
      </c>
    </row>
    <row r="3070">
      <c r="A3070" s="41" t="str">
        <f>IFERROR(__xludf.DUMMYFUNCTION("""COMPUTED_VALUE"""),"RSC003077")</f>
        <v>RSC003077</v>
      </c>
      <c r="B3070" s="41" t="str">
        <f>IFERROR(__xludf.DUMMYFUNCTION("""COMPUTED_VALUE"""),"Yoky")</f>
        <v>Yoky</v>
      </c>
    </row>
    <row r="3071">
      <c r="A3071" s="41" t="str">
        <f>IFERROR(__xludf.DUMMYFUNCTION("""COMPUTED_VALUE"""),"RSC003078")</f>
        <v>RSC003078</v>
      </c>
      <c r="B3071" s="41" t="str">
        <f>IFERROR(__xludf.DUMMYFUNCTION("""COMPUTED_VALUE"""),"nocapalot.")</f>
        <v>nocapalot.</v>
      </c>
    </row>
    <row r="3072">
      <c r="A3072" s="41" t="str">
        <f>IFERROR(__xludf.DUMMYFUNCTION("""COMPUTED_VALUE"""),"RSC003079")</f>
        <v>RSC003079</v>
      </c>
      <c r="B3072" s="41" t="str">
        <f>IFERROR(__xludf.DUMMYFUNCTION("""COMPUTED_VALUE"""),"JuniorAssassins")</f>
        <v>JuniorAssassins</v>
      </c>
    </row>
    <row r="3073">
      <c r="A3073" s="41" t="str">
        <f>IFERROR(__xludf.DUMMYFUNCTION("""COMPUTED_VALUE"""),"RSC003080")</f>
        <v>RSC003080</v>
      </c>
      <c r="B3073" s="41" t="str">
        <f>IFERROR(__xludf.DUMMYFUNCTION("""COMPUTED_VALUE"""),"Don")</f>
        <v>Don</v>
      </c>
    </row>
    <row r="3074">
      <c r="A3074" s="41" t="str">
        <f>IFERROR(__xludf.DUMMYFUNCTION("""COMPUTED_VALUE"""),"RSC003081")</f>
        <v>RSC003081</v>
      </c>
      <c r="B3074" s="41" t="str">
        <f>IFERROR(__xludf.DUMMYFUNCTION("""COMPUTED_VALUE"""),"Fruit Rollup")</f>
        <v>Fruit Rollup</v>
      </c>
    </row>
    <row r="3075">
      <c r="A3075" s="41" t="str">
        <f>IFERROR(__xludf.DUMMYFUNCTION("""COMPUTED_VALUE"""),"RSC003082")</f>
        <v>RSC003082</v>
      </c>
      <c r="B3075" s="41" t="str">
        <f>IFERROR(__xludf.DUMMYFUNCTION("""COMPUTED_VALUE"""),"Skulzy9")</f>
        <v>Skulzy9</v>
      </c>
    </row>
    <row r="3076">
      <c r="A3076" s="41" t="str">
        <f>IFERROR(__xludf.DUMMYFUNCTION("""COMPUTED_VALUE"""),"RSC003083")</f>
        <v>RSC003083</v>
      </c>
      <c r="B3076" s="41" t="str">
        <f>IFERROR(__xludf.DUMMYFUNCTION("""COMPUTED_VALUE"""),"Rize538")</f>
        <v>Rize538</v>
      </c>
    </row>
    <row r="3077">
      <c r="A3077" s="41" t="str">
        <f>IFERROR(__xludf.DUMMYFUNCTION("""COMPUTED_VALUE"""),"RSC003084")</f>
        <v>RSC003084</v>
      </c>
      <c r="B3077" s="41" t="str">
        <f>IFERROR(__xludf.DUMMYFUNCTION("""COMPUTED_VALUE"""),"TyRodgers")</f>
        <v>TyRodgers</v>
      </c>
    </row>
    <row r="3078">
      <c r="A3078" s="41" t="str">
        <f>IFERROR(__xludf.DUMMYFUNCTION("""COMPUTED_VALUE"""),"RSC003085")</f>
        <v>RSC003085</v>
      </c>
      <c r="B3078" s="41" t="str">
        <f>IFERROR(__xludf.DUMMYFUNCTION("""COMPUTED_VALUE"""),"Lavan__")</f>
        <v>Lavan__</v>
      </c>
    </row>
    <row r="3079">
      <c r="A3079" s="41" t="str">
        <f>IFERROR(__xludf.DUMMYFUNCTION("""COMPUTED_VALUE"""),"RSC003086")</f>
        <v>RSC003086</v>
      </c>
      <c r="B3079" s="41" t="str">
        <f>IFERROR(__xludf.DUMMYFUNCTION("""COMPUTED_VALUE"""),"Paradox")</f>
        <v>Paradox</v>
      </c>
    </row>
    <row r="3080">
      <c r="A3080" s="41" t="str">
        <f>IFERROR(__xludf.DUMMYFUNCTION("""COMPUTED_VALUE"""),"RSC003087")</f>
        <v>RSC003087</v>
      </c>
      <c r="B3080" s="41" t="str">
        <f>IFERROR(__xludf.DUMMYFUNCTION("""COMPUTED_VALUE"""),"SWRM Chip Jr")</f>
        <v>SWRM Chip Jr</v>
      </c>
    </row>
    <row r="3081">
      <c r="A3081" s="41" t="str">
        <f>IFERROR(__xludf.DUMMYFUNCTION("""COMPUTED_VALUE"""),"RSC003088")</f>
        <v>RSC003088</v>
      </c>
      <c r="B3081" s="41" t="str">
        <f>IFERROR(__xludf.DUMMYFUNCTION("""COMPUTED_VALUE"""),"Blaster_RL")</f>
        <v>Blaster_RL</v>
      </c>
    </row>
    <row r="3082">
      <c r="A3082" s="41" t="str">
        <f>IFERROR(__xludf.DUMMYFUNCTION("""COMPUTED_VALUE"""),"RSC003089")</f>
        <v>RSC003089</v>
      </c>
      <c r="B3082" s="41" t="str">
        <f>IFERROR(__xludf.DUMMYFUNCTION("""COMPUTED_VALUE"""),"daffy")</f>
        <v>daffy</v>
      </c>
    </row>
    <row r="3083">
      <c r="A3083" s="41" t="str">
        <f>IFERROR(__xludf.DUMMYFUNCTION("""COMPUTED_VALUE"""),"RSC003090")</f>
        <v>RSC003090</v>
      </c>
      <c r="B3083" s="41" t="str">
        <f>IFERROR(__xludf.DUMMYFUNCTION("""COMPUTED_VALUE"""),"✪ iTeddy")</f>
        <v>✪ iTeddy</v>
      </c>
    </row>
    <row r="3084">
      <c r="A3084" s="41" t="str">
        <f>IFERROR(__xludf.DUMMYFUNCTION("""COMPUTED_VALUE"""),"RSC003091")</f>
        <v>RSC003091</v>
      </c>
      <c r="B3084" s="41" t="str">
        <f>IFERROR(__xludf.DUMMYFUNCTION("""COMPUTED_VALUE"""),"Scotty")</f>
        <v>Scotty</v>
      </c>
    </row>
    <row r="3085">
      <c r="A3085" s="41" t="str">
        <f>IFERROR(__xludf.DUMMYFUNCTION("""COMPUTED_VALUE"""),"RSC003092")</f>
        <v>RSC003092</v>
      </c>
      <c r="B3085" s="41" t="str">
        <f>IFERROR(__xludf.DUMMYFUNCTION("""COMPUTED_VALUE"""),"Swift (change)")</f>
        <v>Swift (change)</v>
      </c>
    </row>
    <row r="3086">
      <c r="A3086" s="41" t="str">
        <f>IFERROR(__xludf.DUMMYFUNCTION("""COMPUTED_VALUE"""),"RSC003093")</f>
        <v>RSC003093</v>
      </c>
      <c r="B3086" s="41" t="str">
        <f>IFERROR(__xludf.DUMMYFUNCTION("""COMPUTED_VALUE"""),"CommunistCowboy")</f>
        <v>CommunistCowboy</v>
      </c>
    </row>
    <row r="3087">
      <c r="A3087" s="41" t="str">
        <f>IFERROR(__xludf.DUMMYFUNCTION("""COMPUTED_VALUE"""),"RSC003094")</f>
        <v>RSC003094</v>
      </c>
      <c r="B3087" s="41" t="str">
        <f>IFERROR(__xludf.DUMMYFUNCTION("""COMPUTED_VALUE"""),"Galvarino")</f>
        <v>Galvarino</v>
      </c>
    </row>
    <row r="3088">
      <c r="A3088" s="41" t="str">
        <f>IFERROR(__xludf.DUMMYFUNCTION("""COMPUTED_VALUE"""),"RSC003095")</f>
        <v>RSC003095</v>
      </c>
      <c r="B3088" s="41" t="str">
        <f>IFERROR(__xludf.DUMMYFUNCTION("""COMPUTED_VALUE"""),"Vexoj")</f>
        <v>Vexoj</v>
      </c>
    </row>
    <row r="3089">
      <c r="A3089" s="41" t="str">
        <f>IFERROR(__xludf.DUMMYFUNCTION("""COMPUTED_VALUE"""),"RSC003096")</f>
        <v>RSC003096</v>
      </c>
      <c r="B3089" s="41" t="str">
        <f>IFERROR(__xludf.DUMMYFUNCTION("""COMPUTED_VALUE"""),"DrHitshot")</f>
        <v>DrHitshot</v>
      </c>
    </row>
    <row r="3090">
      <c r="A3090" s="41" t="str">
        <f>IFERROR(__xludf.DUMMYFUNCTION("""COMPUTED_VALUE"""),"RSC003097")</f>
        <v>RSC003097</v>
      </c>
      <c r="B3090" s="41" t="str">
        <f>IFERROR(__xludf.DUMMYFUNCTION("""COMPUTED_VALUE"""),"Rose.")</f>
        <v>Rose.</v>
      </c>
    </row>
    <row r="3091">
      <c r="A3091" s="41" t="str">
        <f>IFERROR(__xludf.DUMMYFUNCTION("""COMPUTED_VALUE"""),"RSC003098")</f>
        <v>RSC003098</v>
      </c>
      <c r="B3091" s="41" t="str">
        <f>IFERROR(__xludf.DUMMYFUNCTION("""COMPUTED_VALUE"""),"faltinier")</f>
        <v>faltinier</v>
      </c>
    </row>
    <row r="3092">
      <c r="A3092" s="41" t="str">
        <f>IFERROR(__xludf.DUMMYFUNCTION("""COMPUTED_VALUE"""),"RSC003099")</f>
        <v>RSC003099</v>
      </c>
      <c r="B3092" s="41" t="str">
        <f>IFERROR(__xludf.DUMMYFUNCTION("""COMPUTED_VALUE"""),"risen.")</f>
        <v>risen.</v>
      </c>
    </row>
    <row r="3093">
      <c r="A3093" s="41" t="str">
        <f>IFERROR(__xludf.DUMMYFUNCTION("""COMPUTED_VALUE"""),"RSC003100")</f>
        <v>RSC003100</v>
      </c>
      <c r="B3093" s="41" t="str">
        <f>IFERROR(__xludf.DUMMYFUNCTION("""COMPUTED_VALUE"""),"EmArKayy")</f>
        <v>EmArKayy</v>
      </c>
    </row>
    <row r="3094">
      <c r="A3094" s="41" t="str">
        <f>IFERROR(__xludf.DUMMYFUNCTION("""COMPUTED_VALUE"""),"RSC003101")</f>
        <v>RSC003101</v>
      </c>
      <c r="B3094" s="41" t="str">
        <f>IFERROR(__xludf.DUMMYFUNCTION("""COMPUTED_VALUE"""),"notZ0han")</f>
        <v>notZ0han</v>
      </c>
    </row>
    <row r="3095">
      <c r="A3095" s="41" t="str">
        <f>IFERROR(__xludf.DUMMYFUNCTION("""COMPUTED_VALUE"""),"RSC003102")</f>
        <v>RSC003102</v>
      </c>
      <c r="B3095" s="41" t="str">
        <f>IFERROR(__xludf.DUMMYFUNCTION("""COMPUTED_VALUE"""),"GiGi")</f>
        <v>GiGi</v>
      </c>
    </row>
    <row r="3096">
      <c r="A3096" s="41" t="str">
        <f>IFERROR(__xludf.DUMMYFUNCTION("""COMPUTED_VALUE"""),"RSC003103")</f>
        <v>RSC003103</v>
      </c>
      <c r="B3096" s="41" t="str">
        <f>IFERROR(__xludf.DUMMYFUNCTION("""COMPUTED_VALUE"""),"not owl")</f>
        <v>not owl</v>
      </c>
    </row>
    <row r="3097">
      <c r="A3097" s="41" t="str">
        <f>IFERROR(__xludf.DUMMYFUNCTION("""COMPUTED_VALUE"""),"RSC003104")</f>
        <v>RSC003104</v>
      </c>
      <c r="B3097" s="41" t="str">
        <f>IFERROR(__xludf.DUMMYFUNCTION("""COMPUTED_VALUE"""),"nizz")</f>
        <v>nizz</v>
      </c>
    </row>
    <row r="3098">
      <c r="A3098" s="41" t="str">
        <f>IFERROR(__xludf.DUMMYFUNCTION("""COMPUTED_VALUE"""),"RSC003105")</f>
        <v>RSC003105</v>
      </c>
      <c r="B3098" s="41" t="str">
        <f>IFERROR(__xludf.DUMMYFUNCTION("""COMPUTED_VALUE"""),"_L")</f>
        <v>_L</v>
      </c>
    </row>
    <row r="3099">
      <c r="A3099" s="41" t="str">
        <f>IFERROR(__xludf.DUMMYFUNCTION("""COMPUTED_VALUE"""),"RSC003106")</f>
        <v>RSC003106</v>
      </c>
      <c r="B3099" s="41" t="str">
        <f>IFERROR(__xludf.DUMMYFUNCTION("""COMPUTED_VALUE"""),"Clutch")</f>
        <v>Clutch</v>
      </c>
    </row>
    <row r="3100">
      <c r="A3100" s="41" t="str">
        <f>IFERROR(__xludf.DUMMYFUNCTION("""COMPUTED_VALUE"""),"RSC003107")</f>
        <v>RSC003107</v>
      </c>
      <c r="B3100" s="41" t="str">
        <f>IFERROR(__xludf.DUMMYFUNCTION("""COMPUTED_VALUE"""),"Freemasen")</f>
        <v>Freemasen</v>
      </c>
    </row>
    <row r="3101">
      <c r="A3101" s="41" t="str">
        <f>IFERROR(__xludf.DUMMYFUNCTION("""COMPUTED_VALUE"""),"RSC003108")</f>
        <v>RSC003108</v>
      </c>
      <c r="B3101" s="41" t="str">
        <f>IFERROR(__xludf.DUMMYFUNCTION("""COMPUTED_VALUE"""),"CanadianPeeenis")</f>
        <v>CanadianPeeenis</v>
      </c>
    </row>
    <row r="3102">
      <c r="A3102" s="41" t="str">
        <f>IFERROR(__xludf.DUMMYFUNCTION("""COMPUTED_VALUE"""),"RSC003109")</f>
        <v>RSC003109</v>
      </c>
      <c r="B3102" s="41" t="str">
        <f>IFERROR(__xludf.DUMMYFUNCTION("""COMPUTED_VALUE"""),"Kflip11")</f>
        <v>Kflip11</v>
      </c>
    </row>
    <row r="3103">
      <c r="A3103" s="41" t="str">
        <f>IFERROR(__xludf.DUMMYFUNCTION("""COMPUTED_VALUE"""),"RSC003110")</f>
        <v>RSC003110</v>
      </c>
      <c r="B3103" s="41" t="str">
        <f>IFERROR(__xludf.DUMMYFUNCTION("""COMPUTED_VALUE"""),"Rev")</f>
        <v>Rev</v>
      </c>
    </row>
    <row r="3104">
      <c r="A3104" s="41" t="str">
        <f>IFERROR(__xludf.DUMMYFUNCTION("""COMPUTED_VALUE"""),"RSC003111")</f>
        <v>RSC003111</v>
      </c>
      <c r="B3104" s="41" t="str">
        <f>IFERROR(__xludf.DUMMYFUNCTION("""COMPUTED_VALUE"""),"Judgemental")</f>
        <v>Judgemental</v>
      </c>
    </row>
    <row r="3105">
      <c r="A3105" s="41" t="str">
        <f>IFERROR(__xludf.DUMMYFUNCTION("""COMPUTED_VALUE"""),"RSC003112")</f>
        <v>RSC003112</v>
      </c>
      <c r="B3105" s="41" t="str">
        <f>IFERROR(__xludf.DUMMYFUNCTION("""COMPUTED_VALUE"""),"TheSaltyLobbster")</f>
        <v>TheSaltyLobbster</v>
      </c>
    </row>
    <row r="3106">
      <c r="A3106" s="41" t="str">
        <f>IFERROR(__xludf.DUMMYFUNCTION("""COMPUTED_VALUE"""),"RSC003113")</f>
        <v>RSC003113</v>
      </c>
      <c r="B3106" s="41" t="str">
        <f>IFERROR(__xludf.DUMMYFUNCTION("""COMPUTED_VALUE"""),"Nebulade")</f>
        <v>Nebulade</v>
      </c>
    </row>
    <row r="3107">
      <c r="A3107" s="41" t="str">
        <f>IFERROR(__xludf.DUMMYFUNCTION("""COMPUTED_VALUE"""),"RSC003114")</f>
        <v>RSC003114</v>
      </c>
      <c r="B3107" s="41" t="str">
        <f>IFERROR(__xludf.DUMMYFUNCTION("""COMPUTED_VALUE"""),"AspectRL")</f>
        <v>AspectRL</v>
      </c>
    </row>
    <row r="3108">
      <c r="A3108" s="41" t="str">
        <f>IFERROR(__xludf.DUMMYFUNCTION("""COMPUTED_VALUE"""),"RSC003115")</f>
        <v>RSC003115</v>
      </c>
      <c r="B3108" s="41" t="str">
        <f>IFERROR(__xludf.DUMMYFUNCTION("""COMPUTED_VALUE"""),"H3R0")</f>
        <v>H3R0</v>
      </c>
    </row>
    <row r="3109">
      <c r="A3109" s="41" t="str">
        <f>IFERROR(__xludf.DUMMYFUNCTION("""COMPUTED_VALUE"""),"RSC003116")</f>
        <v>RSC003116</v>
      </c>
      <c r="B3109" s="41" t="str">
        <f>IFERROR(__xludf.DUMMYFUNCTION("""COMPUTED_VALUE"""),"Veggie")</f>
        <v>Veggie</v>
      </c>
    </row>
    <row r="3110">
      <c r="A3110" s="41" t="str">
        <f>IFERROR(__xludf.DUMMYFUNCTION("""COMPUTED_VALUE"""),"RSC003117")</f>
        <v>RSC003117</v>
      </c>
      <c r="B3110" s="41" t="str">
        <f>IFERROR(__xludf.DUMMYFUNCTION("""COMPUTED_VALUE"""),"Duckii")</f>
        <v>Duckii</v>
      </c>
    </row>
    <row r="3111">
      <c r="A3111" s="41" t="str">
        <f>IFERROR(__xludf.DUMMYFUNCTION("""COMPUTED_VALUE"""),"RSC003118")</f>
        <v>RSC003118</v>
      </c>
      <c r="B3111" s="41" t="str">
        <f>IFERROR(__xludf.DUMMYFUNCTION("""COMPUTED_VALUE"""),"Mysty")</f>
        <v>Mysty</v>
      </c>
    </row>
    <row r="3112">
      <c r="A3112" s="41" t="str">
        <f>IFERROR(__xludf.DUMMYFUNCTION("""COMPUTED_VALUE"""),"RSC003119")</f>
        <v>RSC003119</v>
      </c>
      <c r="B3112" s="41" t="str">
        <f>IFERROR(__xludf.DUMMYFUNCTION("""COMPUTED_VALUE"""),"Vencill")</f>
        <v>Vencill</v>
      </c>
    </row>
    <row r="3113">
      <c r="A3113" s="41" t="str">
        <f>IFERROR(__xludf.DUMMYFUNCTION("""COMPUTED_VALUE"""),"RSC003120")</f>
        <v>RSC003120</v>
      </c>
      <c r="B3113" s="41" t="str">
        <f>IFERROR(__xludf.DUMMYFUNCTION("""COMPUTED_VALUE"""),"OkieGhosty")</f>
        <v>OkieGhosty</v>
      </c>
    </row>
    <row r="3114">
      <c r="A3114" s="41" t="str">
        <f>IFERROR(__xludf.DUMMYFUNCTION("""COMPUTED_VALUE"""),"RSC003121")</f>
        <v>RSC003121</v>
      </c>
      <c r="B3114" s="41" t="str">
        <f>IFERROR(__xludf.DUMMYFUNCTION("""COMPUTED_VALUE"""),"xultimatehotdog")</f>
        <v>xultimatehotdog</v>
      </c>
    </row>
    <row r="3115">
      <c r="A3115" s="41" t="str">
        <f>IFERROR(__xludf.DUMMYFUNCTION("""COMPUTED_VALUE"""),"RSC003122")</f>
        <v>RSC003122</v>
      </c>
      <c r="B3115" s="41" t="str">
        <f>IFERROR(__xludf.DUMMYFUNCTION("""COMPUTED_VALUE"""),"Kovalchuk")</f>
        <v>Kovalchuk</v>
      </c>
    </row>
    <row r="3116">
      <c r="A3116" s="41" t="str">
        <f>IFERROR(__xludf.DUMMYFUNCTION("""COMPUTED_VALUE"""),"RSC003123")</f>
        <v>RSC003123</v>
      </c>
      <c r="B3116" s="41" t="str">
        <f>IFERROR(__xludf.DUMMYFUNCTION("""COMPUTED_VALUE"""),"ItPaysToSlay")</f>
        <v>ItPaysToSlay</v>
      </c>
    </row>
    <row r="3117">
      <c r="A3117" s="41" t="str">
        <f>IFERROR(__xludf.DUMMYFUNCTION("""COMPUTED_VALUE"""),"RSC003124")</f>
        <v>RSC003124</v>
      </c>
      <c r="B3117" s="41" t="str">
        <f>IFERROR(__xludf.DUMMYFUNCTION("""COMPUTED_VALUE"""),"FailNinjaFTW")</f>
        <v>FailNinjaFTW</v>
      </c>
    </row>
    <row r="3118">
      <c r="A3118" s="41" t="str">
        <f>IFERROR(__xludf.DUMMYFUNCTION("""COMPUTED_VALUE"""),"RSC003125")</f>
        <v>RSC003125</v>
      </c>
      <c r="B3118" s="41" t="str">
        <f>IFERROR(__xludf.DUMMYFUNCTION("""COMPUTED_VALUE"""),"GrandPlat")</f>
        <v>GrandPlat</v>
      </c>
    </row>
    <row r="3119">
      <c r="A3119" s="41" t="str">
        <f>IFERROR(__xludf.DUMMYFUNCTION("""COMPUTED_VALUE"""),"RSC003126")</f>
        <v>RSC003126</v>
      </c>
      <c r="B3119" s="41" t="str">
        <f>IFERROR(__xludf.DUMMYFUNCTION("""COMPUTED_VALUE"""),"tually")</f>
        <v>tually</v>
      </c>
    </row>
    <row r="3120">
      <c r="A3120" s="41" t="str">
        <f>IFERROR(__xludf.DUMMYFUNCTION("""COMPUTED_VALUE"""),"RSC003127")</f>
        <v>RSC003127</v>
      </c>
      <c r="B3120" s="41" t="str">
        <f>IFERROR(__xludf.DUMMYFUNCTION("""COMPUTED_VALUE"""),"Lim")</f>
        <v>Lim</v>
      </c>
    </row>
    <row r="3121">
      <c r="A3121" s="41" t="str">
        <f>IFERROR(__xludf.DUMMYFUNCTION("""COMPUTED_VALUE"""),"RSC003128")</f>
        <v>RSC003128</v>
      </c>
      <c r="B3121" s="41" t="str">
        <f>IFERROR(__xludf.DUMMYFUNCTION("""COMPUTED_VALUE"""),"Nudging")</f>
        <v>Nudging</v>
      </c>
    </row>
    <row r="3122">
      <c r="A3122" s="41" t="str">
        <f>IFERROR(__xludf.DUMMYFUNCTION("""COMPUTED_VALUE"""),"RSC003129")</f>
        <v>RSC003129</v>
      </c>
      <c r="B3122" s="41" t="str">
        <f>IFERROR(__xludf.DUMMYFUNCTION("""COMPUTED_VALUE"""),"PapaKhan")</f>
        <v>PapaKhan</v>
      </c>
    </row>
    <row r="3123">
      <c r="A3123" s="41" t="str">
        <f>IFERROR(__xludf.DUMMYFUNCTION("""COMPUTED_VALUE"""),"RSC003130")</f>
        <v>RSC003130</v>
      </c>
      <c r="B3123" s="41" t="str">
        <f>IFERROR(__xludf.DUMMYFUNCTION("""COMPUTED_VALUE"""),"jonesy")</f>
        <v>jonesy</v>
      </c>
    </row>
    <row r="3124">
      <c r="A3124" s="41" t="str">
        <f>IFERROR(__xludf.DUMMYFUNCTION("""COMPUTED_VALUE"""),"RSC003131")</f>
        <v>RSC003131</v>
      </c>
      <c r="B3124" s="41" t="str">
        <f>IFERROR(__xludf.DUMMYFUNCTION("""COMPUTED_VALUE"""),"Algix")</f>
        <v>Algix</v>
      </c>
    </row>
    <row r="3125">
      <c r="A3125" s="41" t="str">
        <f>IFERROR(__xludf.DUMMYFUNCTION("""COMPUTED_VALUE"""),"RSC003132")</f>
        <v>RSC003132</v>
      </c>
      <c r="B3125" s="41" t="str">
        <f>IFERROR(__xludf.DUMMYFUNCTION("""COMPUTED_VALUE"""),"Thunder9679")</f>
        <v>Thunder9679</v>
      </c>
    </row>
    <row r="3126">
      <c r="A3126" s="41" t="str">
        <f>IFERROR(__xludf.DUMMYFUNCTION("""COMPUTED_VALUE"""),"RSC003133")</f>
        <v>RSC003133</v>
      </c>
      <c r="B3126" s="41" t="str">
        <f>IFERROR(__xludf.DUMMYFUNCTION("""COMPUTED_VALUE"""),"Picasso")</f>
        <v>Picasso</v>
      </c>
    </row>
    <row r="3127">
      <c r="A3127" s="41" t="str">
        <f>IFERROR(__xludf.DUMMYFUNCTION("""COMPUTED_VALUE"""),"RSC003134")</f>
        <v>RSC003134</v>
      </c>
      <c r="B3127" s="41" t="str">
        <f>IFERROR(__xludf.DUMMYFUNCTION("""COMPUTED_VALUE"""),"Kouki")</f>
        <v>Kouki</v>
      </c>
    </row>
    <row r="3128">
      <c r="A3128" s="41" t="str">
        <f>IFERROR(__xludf.DUMMYFUNCTION("""COMPUTED_VALUE"""),"RSC003135")</f>
        <v>RSC003135</v>
      </c>
      <c r="B3128" s="41" t="str">
        <f>IFERROR(__xludf.DUMMYFUNCTION("""COMPUTED_VALUE"""),"cream")</f>
        <v>cream</v>
      </c>
    </row>
    <row r="3129">
      <c r="A3129" s="41" t="str">
        <f>IFERROR(__xludf.DUMMYFUNCTION("""COMPUTED_VALUE"""),"RSC003136")</f>
        <v>RSC003136</v>
      </c>
      <c r="B3129" s="41" t="str">
        <f>IFERROR(__xludf.DUMMYFUNCTION("""COMPUTED_VALUE"""),"TheOGDiRty")</f>
        <v>TheOGDiRty</v>
      </c>
    </row>
    <row r="3130">
      <c r="A3130" s="41" t="str">
        <f>IFERROR(__xludf.DUMMYFUNCTION("""COMPUTED_VALUE"""),"RSC003137")</f>
        <v>RSC003137</v>
      </c>
      <c r="B3130" s="41" t="str">
        <f>IFERROR(__xludf.DUMMYFUNCTION("""COMPUTED_VALUE"""),"antzu")</f>
        <v>antzu</v>
      </c>
    </row>
    <row r="3131">
      <c r="A3131" s="41" t="str">
        <f>IFERROR(__xludf.DUMMYFUNCTION("""COMPUTED_VALUE"""),"RSC003138")</f>
        <v>RSC003138</v>
      </c>
      <c r="B3131" s="41" t="str">
        <f>IFERROR(__xludf.DUMMYFUNCTION("""COMPUTED_VALUE"""),"dburgess3")</f>
        <v>dburgess3</v>
      </c>
    </row>
    <row r="3132">
      <c r="A3132" s="41" t="str">
        <f>IFERROR(__xludf.DUMMYFUNCTION("""COMPUTED_VALUE"""),"RSC003139")</f>
        <v>RSC003139</v>
      </c>
      <c r="B3132" s="41" t="str">
        <f>IFERROR(__xludf.DUMMYFUNCTION("""COMPUTED_VALUE"""),"L4stBlood")</f>
        <v>L4stBlood</v>
      </c>
    </row>
    <row r="3133">
      <c r="A3133" s="41" t="str">
        <f>IFERROR(__xludf.DUMMYFUNCTION("""COMPUTED_VALUE"""),"RSC003140")</f>
        <v>RSC003140</v>
      </c>
      <c r="B3133" s="41" t="str">
        <f>IFERROR(__xludf.DUMMYFUNCTION("""COMPUTED_VALUE"""),"QueenYoshi6795")</f>
        <v>QueenYoshi6795</v>
      </c>
    </row>
    <row r="3134">
      <c r="A3134" s="41" t="str">
        <f>IFERROR(__xludf.DUMMYFUNCTION("""COMPUTED_VALUE"""),"RSC003141")</f>
        <v>RSC003141</v>
      </c>
      <c r="B3134" s="41" t="str">
        <f>IFERROR(__xludf.DUMMYFUNCTION("""COMPUTED_VALUE"""),"swazy.")</f>
        <v>swazy.</v>
      </c>
    </row>
    <row r="3135">
      <c r="A3135" s="41" t="str">
        <f>IFERROR(__xludf.DUMMYFUNCTION("""COMPUTED_VALUE"""),"RSC003142")</f>
        <v>RSC003142</v>
      </c>
      <c r="B3135" s="41" t="str">
        <f>IFERROR(__xludf.DUMMYFUNCTION("""COMPUTED_VALUE"""),"PumPum")</f>
        <v>PumPum</v>
      </c>
    </row>
    <row r="3136">
      <c r="A3136" s="41" t="str">
        <f>IFERROR(__xludf.DUMMYFUNCTION("""COMPUTED_VALUE"""),"RSC003143")</f>
        <v>RSC003143</v>
      </c>
      <c r="B3136" s="41" t="str">
        <f>IFERROR(__xludf.DUMMYFUNCTION("""COMPUTED_VALUE"""),"Dank._.")</f>
        <v>Dank._.</v>
      </c>
    </row>
    <row r="3137">
      <c r="A3137" s="41" t="str">
        <f>IFERROR(__xludf.DUMMYFUNCTION("""COMPUTED_VALUE"""),"RSC003144")</f>
        <v>RSC003144</v>
      </c>
      <c r="B3137" s="41" t="str">
        <f>IFERROR(__xludf.DUMMYFUNCTION("""COMPUTED_VALUE"""),"stiff")</f>
        <v>stiff</v>
      </c>
    </row>
    <row r="3138">
      <c r="A3138" s="41" t="str">
        <f>IFERROR(__xludf.DUMMYFUNCTION("""COMPUTED_VALUE"""),"RSC003145")</f>
        <v>RSC003145</v>
      </c>
      <c r="B3138" s="41" t="str">
        <f>IFERROR(__xludf.DUMMYFUNCTION("""COMPUTED_VALUE"""),"Below average player")</f>
        <v>Below average player</v>
      </c>
    </row>
    <row r="3139">
      <c r="A3139" s="41" t="str">
        <f>IFERROR(__xludf.DUMMYFUNCTION("""COMPUTED_VALUE"""),"RSC003146")</f>
        <v>RSC003146</v>
      </c>
      <c r="B3139" s="41" t="str">
        <f>IFERROR(__xludf.DUMMYFUNCTION("""COMPUTED_VALUE"""),"haakon")</f>
        <v>haakon</v>
      </c>
    </row>
    <row r="3140">
      <c r="A3140" s="41" t="str">
        <f>IFERROR(__xludf.DUMMYFUNCTION("""COMPUTED_VALUE"""),"RSC003147")</f>
        <v>RSC003147</v>
      </c>
      <c r="B3140" s="41" t="str">
        <f>IFERROR(__xludf.DUMMYFUNCTION("""COMPUTED_VALUE"""),"WhoCollin")</f>
        <v>WhoCollin</v>
      </c>
    </row>
    <row r="3141">
      <c r="A3141" s="41" t="str">
        <f>IFERROR(__xludf.DUMMYFUNCTION("""COMPUTED_VALUE"""),"RSC003148")</f>
        <v>RSC003148</v>
      </c>
      <c r="B3141" s="41" t="str">
        <f>IFERROR(__xludf.DUMMYFUNCTION("""COMPUTED_VALUE"""),"LouieLegstrong")</f>
        <v>LouieLegstrong</v>
      </c>
    </row>
    <row r="3142">
      <c r="A3142" s="41" t="str">
        <f>IFERROR(__xludf.DUMMYFUNCTION("""COMPUTED_VALUE"""),"RSC003149")</f>
        <v>RSC003149</v>
      </c>
      <c r="B3142" s="41" t="str">
        <f>IFERROR(__xludf.DUMMYFUNCTION("""COMPUTED_VALUE"""),"Burksimous")</f>
        <v>Burksimous</v>
      </c>
    </row>
    <row r="3143">
      <c r="A3143" s="41" t="str">
        <f>IFERROR(__xludf.DUMMYFUNCTION("""COMPUTED_VALUE"""),"RSC003150")</f>
        <v>RSC003150</v>
      </c>
      <c r="B3143" s="41" t="str">
        <f>IFERROR(__xludf.DUMMYFUNCTION("""COMPUTED_VALUE"""),"Slate")</f>
        <v>Slate</v>
      </c>
    </row>
    <row r="3144">
      <c r="A3144" s="41" t="str">
        <f>IFERROR(__xludf.DUMMYFUNCTION("""COMPUTED_VALUE"""),"RSC003151")</f>
        <v>RSC003151</v>
      </c>
      <c r="B3144" s="41" t="str">
        <f>IFERROR(__xludf.DUMMYFUNCTION("""COMPUTED_VALUE"""),"PatientFox")</f>
        <v>PatientFox</v>
      </c>
    </row>
    <row r="3145">
      <c r="A3145" s="41" t="str">
        <f>IFERROR(__xludf.DUMMYFUNCTION("""COMPUTED_VALUE"""),"RSC003152")</f>
        <v>RSC003152</v>
      </c>
      <c r="B3145" s="41" t="str">
        <f>IFERROR(__xludf.DUMMYFUNCTION("""COMPUTED_VALUE"""),"Mighty Joe Young")</f>
        <v>Mighty Joe Young</v>
      </c>
    </row>
    <row r="3146">
      <c r="A3146" s="41" t="str">
        <f>IFERROR(__xludf.DUMMYFUNCTION("""COMPUTED_VALUE"""),"RSC003153")</f>
        <v>RSC003153</v>
      </c>
      <c r="B3146" s="41" t="str">
        <f>IFERROR(__xludf.DUMMYFUNCTION("""COMPUTED_VALUE"""),"Theman")</f>
        <v>Theman</v>
      </c>
    </row>
    <row r="3147">
      <c r="A3147" s="41" t="str">
        <f>IFERROR(__xludf.DUMMYFUNCTION("""COMPUTED_VALUE"""),"RSC003154")</f>
        <v>RSC003154</v>
      </c>
      <c r="B3147" s="41" t="str">
        <f>IFERROR(__xludf.DUMMYFUNCTION("""COMPUTED_VALUE"""),"xBishopz")</f>
        <v>xBishopz</v>
      </c>
    </row>
    <row r="3148">
      <c r="A3148" s="41" t="str">
        <f>IFERROR(__xludf.DUMMYFUNCTION("""COMPUTED_VALUE"""),"RSC003155")</f>
        <v>RSC003155</v>
      </c>
      <c r="B3148" s="41" t="str">
        <f>IFERROR(__xludf.DUMMYFUNCTION("""COMPUTED_VALUE"""),"Marqq")</f>
        <v>Marqq</v>
      </c>
    </row>
    <row r="3149">
      <c r="A3149" s="41" t="str">
        <f>IFERROR(__xludf.DUMMYFUNCTION("""COMPUTED_VALUE"""),"RSC003156")</f>
        <v>RSC003156</v>
      </c>
      <c r="B3149" s="41" t="str">
        <f>IFERROR(__xludf.DUMMYFUNCTION("""COMPUTED_VALUE"""),"w0odhou5e")</f>
        <v>w0odhou5e</v>
      </c>
    </row>
    <row r="3150">
      <c r="A3150" s="41" t="str">
        <f>IFERROR(__xludf.DUMMYFUNCTION("""COMPUTED_VALUE"""),"RSC003157")</f>
        <v>RSC003157</v>
      </c>
      <c r="B3150" s="41" t="str">
        <f>IFERROR(__xludf.DUMMYFUNCTION("""COMPUTED_VALUE"""),"MojoMayhem")</f>
        <v>MojoMayhem</v>
      </c>
    </row>
    <row r="3151">
      <c r="A3151" s="41" t="str">
        <f>IFERROR(__xludf.DUMMYFUNCTION("""COMPUTED_VALUE"""),"RSC003158")</f>
        <v>RSC003158</v>
      </c>
      <c r="B3151" s="41" t="str">
        <f>IFERROR(__xludf.DUMMYFUNCTION("""COMPUTED_VALUE"""),"Jamin")</f>
        <v>Jamin</v>
      </c>
    </row>
    <row r="3152">
      <c r="A3152" s="41" t="str">
        <f>IFERROR(__xludf.DUMMYFUNCTION("""COMPUTED_VALUE"""),"RSC003159")</f>
        <v>RSC003159</v>
      </c>
      <c r="B3152" s="41" t="str">
        <f>IFERROR(__xludf.DUMMYFUNCTION("""COMPUTED_VALUE"""),"Braedyn")</f>
        <v>Braedyn</v>
      </c>
    </row>
    <row r="3153">
      <c r="A3153" s="41" t="str">
        <f>IFERROR(__xludf.DUMMYFUNCTION("""COMPUTED_VALUE"""),"RSC003160")</f>
        <v>RSC003160</v>
      </c>
      <c r="B3153" s="41" t="str">
        <f>IFERROR(__xludf.DUMMYFUNCTION("""COMPUTED_VALUE"""),"yosh")</f>
        <v>yosh</v>
      </c>
    </row>
    <row r="3154">
      <c r="A3154" s="41" t="str">
        <f>IFERROR(__xludf.DUMMYFUNCTION("""COMPUTED_VALUE"""),"RSC003161")</f>
        <v>RSC003161</v>
      </c>
      <c r="B3154" s="41" t="str">
        <f>IFERROR(__xludf.DUMMYFUNCTION("""COMPUTED_VALUE"""),"Love and Hennessy")</f>
        <v>Love and Hennessy</v>
      </c>
    </row>
    <row r="3155">
      <c r="A3155" s="41" t="str">
        <f>IFERROR(__xludf.DUMMYFUNCTION("""COMPUTED_VALUE"""),"RSC003162")</f>
        <v>RSC003162</v>
      </c>
      <c r="B3155" s="41" t="str">
        <f>IFERROR(__xludf.DUMMYFUNCTION("""COMPUTED_VALUE"""),"XexonSama")</f>
        <v>XexonSama</v>
      </c>
    </row>
    <row r="3156">
      <c r="A3156" s="41" t="str">
        <f>IFERROR(__xludf.DUMMYFUNCTION("""COMPUTED_VALUE"""),"RSC003163")</f>
        <v>RSC003163</v>
      </c>
      <c r="B3156" s="41" t="str">
        <f>IFERROR(__xludf.DUMMYFUNCTION("""COMPUTED_VALUE"""),"AJ.")</f>
        <v>AJ.</v>
      </c>
    </row>
    <row r="3157">
      <c r="A3157" s="41" t="str">
        <f>IFERROR(__xludf.DUMMYFUNCTION("""COMPUTED_VALUE"""),"RSC003164")</f>
        <v>RSC003164</v>
      </c>
      <c r="B3157" s="41" t="str">
        <f>IFERROR(__xludf.DUMMYFUNCTION("""COMPUTED_VALUE"""),"TheRossEffect")</f>
        <v>TheRossEffect</v>
      </c>
    </row>
    <row r="3158">
      <c r="A3158" s="41" t="str">
        <f>IFERROR(__xludf.DUMMYFUNCTION("""COMPUTED_VALUE"""),"RSC003165")</f>
        <v>RSC003165</v>
      </c>
      <c r="B3158" s="41" t="str">
        <f>IFERROR(__xludf.DUMMYFUNCTION("""COMPUTED_VALUE"""),"NiceguyDarren")</f>
        <v>NiceguyDarren</v>
      </c>
    </row>
    <row r="3159">
      <c r="A3159" s="41" t="str">
        <f>IFERROR(__xludf.DUMMYFUNCTION("""COMPUTED_VALUE"""),"RSC003166")</f>
        <v>RSC003166</v>
      </c>
      <c r="B3159" s="41" t="str">
        <f>IFERROR(__xludf.DUMMYFUNCTION("""COMPUTED_VALUE"""),"floops")</f>
        <v>floops</v>
      </c>
    </row>
    <row r="3160">
      <c r="A3160" s="41" t="str">
        <f>IFERROR(__xludf.DUMMYFUNCTION("""COMPUTED_VALUE"""),"RSC003167")</f>
        <v>RSC003167</v>
      </c>
      <c r="B3160" s="41" t="str">
        <f>IFERROR(__xludf.DUMMYFUNCTION("""COMPUTED_VALUE"""),"Kenny")</f>
        <v>Kenny</v>
      </c>
    </row>
    <row r="3161">
      <c r="A3161" s="41" t="str">
        <f>IFERROR(__xludf.DUMMYFUNCTION("""COMPUTED_VALUE"""),"RSC003168")</f>
        <v>RSC003168</v>
      </c>
      <c r="B3161" s="41" t="str">
        <f>IFERROR(__xludf.DUMMYFUNCTION("""COMPUTED_VALUE"""),"mykopolis")</f>
        <v>mykopolis</v>
      </c>
    </row>
    <row r="3162">
      <c r="A3162" s="41" t="str">
        <f>IFERROR(__xludf.DUMMYFUNCTION("""COMPUTED_VALUE"""),"RSC003169")</f>
        <v>RSC003169</v>
      </c>
      <c r="B3162" s="41" t="str">
        <f>IFERROR(__xludf.DUMMYFUNCTION("""COMPUTED_VALUE"""),".renzy")</f>
        <v>.renzy</v>
      </c>
    </row>
    <row r="3163">
      <c r="A3163" s="41" t="str">
        <f>IFERROR(__xludf.DUMMYFUNCTION("""COMPUTED_VALUE"""),"RSC003170")</f>
        <v>RSC003170</v>
      </c>
      <c r="B3163" s="41" t="str">
        <f>IFERROR(__xludf.DUMMYFUNCTION("""COMPUTED_VALUE"""),"kolenko")</f>
        <v>kolenko</v>
      </c>
    </row>
    <row r="3164">
      <c r="A3164" s="41" t="str">
        <f>IFERROR(__xludf.DUMMYFUNCTION("""COMPUTED_VALUE"""),"RSC003171")</f>
        <v>RSC003171</v>
      </c>
      <c r="B3164" s="41" t="str">
        <f>IFERROR(__xludf.DUMMYFUNCTION("""COMPUTED_VALUE"""),"battle_DG")</f>
        <v>battle_DG</v>
      </c>
    </row>
    <row r="3165">
      <c r="A3165" s="41" t="str">
        <f>IFERROR(__xludf.DUMMYFUNCTION("""COMPUTED_VALUE"""),"RSC003172")</f>
        <v>RSC003172</v>
      </c>
      <c r="B3165" s="41" t="str">
        <f>IFERROR(__xludf.DUMMYFUNCTION("""COMPUTED_VALUE"""),"Satch Malone")</f>
        <v>Satch Malone</v>
      </c>
    </row>
    <row r="3166">
      <c r="A3166" s="41" t="str">
        <f>IFERROR(__xludf.DUMMYFUNCTION("""COMPUTED_VALUE"""),"RSC003173")</f>
        <v>RSC003173</v>
      </c>
      <c r="B3166" s="41" t="str">
        <f>IFERROR(__xludf.DUMMYFUNCTION("""COMPUTED_VALUE"""),"DatApple")</f>
        <v>DatApple</v>
      </c>
    </row>
    <row r="3167">
      <c r="A3167" s="41" t="str">
        <f>IFERROR(__xludf.DUMMYFUNCTION("""COMPUTED_VALUE"""),"RSC003174")</f>
        <v>RSC003174</v>
      </c>
      <c r="B3167" s="41" t="str">
        <f>IFERROR(__xludf.DUMMYFUNCTION("""COMPUTED_VALUE"""),"jglow")</f>
        <v>jglow</v>
      </c>
    </row>
    <row r="3168">
      <c r="A3168" s="41" t="str">
        <f>IFERROR(__xludf.DUMMYFUNCTION("""COMPUTED_VALUE"""),"RSC003175")</f>
        <v>RSC003175</v>
      </c>
      <c r="B3168" s="41" t="str">
        <f>IFERROR(__xludf.DUMMYFUNCTION("""COMPUTED_VALUE"""),"WaterHydrates.")</f>
        <v>WaterHydrates.</v>
      </c>
    </row>
    <row r="3169">
      <c r="A3169" s="41" t="str">
        <f>IFERROR(__xludf.DUMMYFUNCTION("""COMPUTED_VALUE"""),"RSC003176")</f>
        <v>RSC003176</v>
      </c>
      <c r="B3169" s="41" t="str">
        <f>IFERROR(__xludf.DUMMYFUNCTION("""COMPUTED_VALUE"""),"TitusOdair")</f>
        <v>TitusOdair</v>
      </c>
    </row>
    <row r="3170">
      <c r="A3170" s="41" t="str">
        <f>IFERROR(__xludf.DUMMYFUNCTION("""COMPUTED_VALUE"""),"RSC003177")</f>
        <v>RSC003177</v>
      </c>
      <c r="B3170" s="41" t="str">
        <f>IFERROR(__xludf.DUMMYFUNCTION("""COMPUTED_VALUE"""),"Boy Genius 2")</f>
        <v>Boy Genius 2</v>
      </c>
    </row>
    <row r="3171">
      <c r="A3171" s="41" t="str">
        <f>IFERROR(__xludf.DUMMYFUNCTION("""COMPUTED_VALUE"""),"RSC003178")</f>
        <v>RSC003178</v>
      </c>
      <c r="B3171" s="41" t="str">
        <f>IFERROR(__xludf.DUMMYFUNCTION("""COMPUTED_VALUE"""),"Snack Time!")</f>
        <v>Snack Time!</v>
      </c>
    </row>
    <row r="3172">
      <c r="A3172" s="41" t="str">
        <f>IFERROR(__xludf.DUMMYFUNCTION("""COMPUTED_VALUE"""),"RSC003179")</f>
        <v>RSC003179</v>
      </c>
      <c r="B3172" s="41" t="str">
        <f>IFERROR(__xludf.DUMMYFUNCTION("""COMPUTED_VALUE"""),"Kevin Ordinary")</f>
        <v>Kevin Ordinary</v>
      </c>
    </row>
    <row r="3173">
      <c r="A3173" s="41" t="str">
        <f>IFERROR(__xludf.DUMMYFUNCTION("""COMPUTED_VALUE"""),"RSC003180")</f>
        <v>RSC003180</v>
      </c>
      <c r="B3173" s="41" t="str">
        <f>IFERROR(__xludf.DUMMYFUNCTION("""COMPUTED_VALUE"""),"CatNipJunky")</f>
        <v>CatNipJunky</v>
      </c>
    </row>
    <row r="3174">
      <c r="A3174" s="41" t="str">
        <f>IFERROR(__xludf.DUMMYFUNCTION("""COMPUTED_VALUE"""),"RSC003181")</f>
        <v>RSC003181</v>
      </c>
      <c r="B3174" s="41" t="str">
        <f>IFERROR(__xludf.DUMMYFUNCTION("""COMPUTED_VALUE"""),"My Littl3 Pwny")</f>
        <v>My Littl3 Pwny</v>
      </c>
    </row>
    <row r="3175">
      <c r="A3175" s="41" t="str">
        <f>IFERROR(__xludf.DUMMYFUNCTION("""COMPUTED_VALUE"""),"RSC003182")</f>
        <v>RSC003182</v>
      </c>
      <c r="B3175" s="41" t="str">
        <f>IFERROR(__xludf.DUMMYFUNCTION("""COMPUTED_VALUE"""),"cotay15")</f>
        <v>cotay15</v>
      </c>
    </row>
    <row r="3176">
      <c r="A3176" s="41" t="str">
        <f>IFERROR(__xludf.DUMMYFUNCTION("""COMPUTED_VALUE"""),"RSC003183")</f>
        <v>RSC003183</v>
      </c>
      <c r="B3176" s="41" t="str">
        <f>IFERROR(__xludf.DUMMYFUNCTION("""COMPUTED_VALUE"""),"GrimWolf")</f>
        <v>GrimWolf</v>
      </c>
    </row>
    <row r="3177">
      <c r="A3177" s="41" t="str">
        <f>IFERROR(__xludf.DUMMYFUNCTION("""COMPUTED_VALUE"""),"RSC003184")</f>
        <v>RSC003184</v>
      </c>
      <c r="B3177" s="41" t="str">
        <f>IFERROR(__xludf.DUMMYFUNCTION("""COMPUTED_VALUE"""),"Jt.Actual")</f>
        <v>Jt.Actual</v>
      </c>
    </row>
    <row r="3178">
      <c r="A3178" s="41" t="str">
        <f>IFERROR(__xludf.DUMMYFUNCTION("""COMPUTED_VALUE"""),"RSC003185")</f>
        <v>RSC003185</v>
      </c>
      <c r="B3178" s="41" t="str">
        <f>IFERROR(__xludf.DUMMYFUNCTION("""COMPUTED_VALUE"""),"BeastMurph")</f>
        <v>BeastMurph</v>
      </c>
    </row>
    <row r="3179">
      <c r="A3179" s="41" t="str">
        <f>IFERROR(__xludf.DUMMYFUNCTION("""COMPUTED_VALUE"""),"RSC003186")</f>
        <v>RSC003186</v>
      </c>
      <c r="B3179" s="41" t="str">
        <f>IFERROR(__xludf.DUMMYFUNCTION("""COMPUTED_VALUE"""),"xBlaniac")</f>
        <v>xBlaniac</v>
      </c>
    </row>
    <row r="3180">
      <c r="A3180" s="41" t="str">
        <f>IFERROR(__xludf.DUMMYFUNCTION("""COMPUTED_VALUE"""),"RSC003187")</f>
        <v>RSC003187</v>
      </c>
      <c r="B3180" s="41" t="str">
        <f>IFERROR(__xludf.DUMMYFUNCTION("""COMPUTED_VALUE"""),"XKing_NeloX")</f>
        <v>XKing_NeloX</v>
      </c>
    </row>
    <row r="3181">
      <c r="A3181" s="41" t="str">
        <f>IFERROR(__xludf.DUMMYFUNCTION("""COMPUTED_VALUE"""),"RSC003188")</f>
        <v>RSC003188</v>
      </c>
      <c r="B3181" s="41" t="str">
        <f>IFERROR(__xludf.DUMMYFUNCTION("""COMPUTED_VALUE"""),"ark")</f>
        <v>ark</v>
      </c>
    </row>
    <row r="3182">
      <c r="A3182" s="41" t="str">
        <f>IFERROR(__xludf.DUMMYFUNCTION("""COMPUTED_VALUE"""),"RSC003189")</f>
        <v>RSC003189</v>
      </c>
      <c r="B3182" s="41" t="str">
        <f>IFERROR(__xludf.DUMMYFUNCTION("""COMPUTED_VALUE"""),"KLAMPS")</f>
        <v>KLAMPS</v>
      </c>
    </row>
    <row r="3183">
      <c r="A3183" s="41" t="str">
        <f>IFERROR(__xludf.DUMMYFUNCTION("""COMPUTED_VALUE"""),"RSC003190")</f>
        <v>RSC003190</v>
      </c>
      <c r="B3183" s="41" t="str">
        <f>IFERROR(__xludf.DUMMYFUNCTION("""COMPUTED_VALUE"""),"Black Brian")</f>
        <v>Black Brian</v>
      </c>
    </row>
    <row r="3184">
      <c r="A3184" s="41" t="str">
        <f>IFERROR(__xludf.DUMMYFUNCTION("""COMPUTED_VALUE"""),"RSC003191")</f>
        <v>RSC003191</v>
      </c>
      <c r="B3184" s="41" t="str">
        <f>IFERROR(__xludf.DUMMYFUNCTION("""COMPUTED_VALUE"""),"jthessin")</f>
        <v>jthessin</v>
      </c>
    </row>
    <row r="3185">
      <c r="A3185" s="41" t="str">
        <f>IFERROR(__xludf.DUMMYFUNCTION("""COMPUTED_VALUE"""),"RSC003192")</f>
        <v>RSC003192</v>
      </c>
      <c r="B3185" s="41" t="str">
        <f>IFERROR(__xludf.DUMMYFUNCTION("""COMPUTED_VALUE"""),"Crazybeaver1117")</f>
        <v>Crazybeaver1117</v>
      </c>
    </row>
    <row r="3186">
      <c r="A3186" s="41" t="str">
        <f>IFERROR(__xludf.DUMMYFUNCTION("""COMPUTED_VALUE"""),"RSC003193")</f>
        <v>RSC003193</v>
      </c>
      <c r="B3186" s="41" t="str">
        <f>IFERROR(__xludf.DUMMYFUNCTION("""COMPUTED_VALUE"""),"ShiftDrink")</f>
        <v>ShiftDrink</v>
      </c>
    </row>
    <row r="3187">
      <c r="A3187" s="41" t="str">
        <f>IFERROR(__xludf.DUMMYFUNCTION("""COMPUTED_VALUE"""),"RSC003194")</f>
        <v>RSC003194</v>
      </c>
      <c r="B3187" s="41" t="str">
        <f>IFERROR(__xludf.DUMMYFUNCTION("""COMPUTED_VALUE"""),"Dilly Dallier")</f>
        <v>Dilly Dallier</v>
      </c>
    </row>
    <row r="3188">
      <c r="A3188" s="41" t="str">
        <f>IFERROR(__xludf.DUMMYFUNCTION("""COMPUTED_VALUE"""),"RSC003195")</f>
        <v>RSC003195</v>
      </c>
      <c r="B3188" s="41" t="str">
        <f>IFERROR(__xludf.DUMMYFUNCTION("""COMPUTED_VALUE"""),"Carnitas")</f>
        <v>Carnitas</v>
      </c>
    </row>
    <row r="3189">
      <c r="A3189" s="41" t="str">
        <f>IFERROR(__xludf.DUMMYFUNCTION("""COMPUTED_VALUE"""),"RSC003196")</f>
        <v>RSC003196</v>
      </c>
      <c r="B3189" s="41" t="str">
        <f>IFERROR(__xludf.DUMMYFUNCTION("""COMPUTED_VALUE"""),"Toasty The Moasty")</f>
        <v>Toasty The Moasty</v>
      </c>
    </row>
    <row r="3190">
      <c r="A3190" s="41" t="str">
        <f>IFERROR(__xludf.DUMMYFUNCTION("""COMPUTED_VALUE"""),"RSC003197")</f>
        <v>RSC003197</v>
      </c>
      <c r="B3190" s="41" t="str">
        <f>IFERROR(__xludf.DUMMYFUNCTION("""COMPUTED_VALUE"""),"Began")</f>
        <v>Began</v>
      </c>
    </row>
    <row r="3191">
      <c r="A3191" s="41" t="str">
        <f>IFERROR(__xludf.DUMMYFUNCTION("""COMPUTED_VALUE"""),"RSC003198")</f>
        <v>RSC003198</v>
      </c>
      <c r="B3191" s="41" t="str">
        <f>IFERROR(__xludf.DUMMYFUNCTION("""COMPUTED_VALUE"""),"Turkey")</f>
        <v>Turkey</v>
      </c>
    </row>
    <row r="3192">
      <c r="A3192" s="41" t="str">
        <f>IFERROR(__xludf.DUMMYFUNCTION("""COMPUTED_VALUE"""),"RSC003199")</f>
        <v>RSC003199</v>
      </c>
      <c r="B3192" s="41" t="str">
        <f>IFERROR(__xludf.DUMMYFUNCTION("""COMPUTED_VALUE"""),"Dimezach")</f>
        <v>Dimezach</v>
      </c>
    </row>
    <row r="3193">
      <c r="A3193" s="41" t="str">
        <f>IFERROR(__xludf.DUMMYFUNCTION("""COMPUTED_VALUE"""),"RSC003200")</f>
        <v>RSC003200</v>
      </c>
      <c r="B3193" s="41" t="str">
        <f>IFERROR(__xludf.DUMMYFUNCTION("""COMPUTED_VALUE"""),"TDS Richard")</f>
        <v>TDS Richard</v>
      </c>
    </row>
    <row r="3194">
      <c r="A3194" s="41" t="str">
        <f>IFERROR(__xludf.DUMMYFUNCTION("""COMPUTED_VALUE"""),"RSC003201")</f>
        <v>RSC003201</v>
      </c>
      <c r="B3194" s="41" t="str">
        <f>IFERROR(__xludf.DUMMYFUNCTION("""COMPUTED_VALUE"""),"Ashura.-")</f>
        <v>Ashura.-</v>
      </c>
    </row>
    <row r="3195">
      <c r="A3195" s="41" t="str">
        <f>IFERROR(__xludf.DUMMYFUNCTION("""COMPUTED_VALUE"""),"RSC003202")</f>
        <v>RSC003202</v>
      </c>
      <c r="B3195" s="41" t="str">
        <f>IFERROR(__xludf.DUMMYFUNCTION("""COMPUTED_VALUE"""),"thecoffee")</f>
        <v>thecoffee</v>
      </c>
    </row>
    <row r="3196">
      <c r="A3196" s="41" t="str">
        <f>IFERROR(__xludf.DUMMYFUNCTION("""COMPUTED_VALUE"""),"RSC003203")</f>
        <v>RSC003203</v>
      </c>
      <c r="B3196" s="41" t="str">
        <f>IFERROR(__xludf.DUMMYFUNCTION("""COMPUTED_VALUE"""),"turnzy")</f>
        <v>turnzy</v>
      </c>
    </row>
    <row r="3197">
      <c r="A3197" s="41" t="str">
        <f>IFERROR(__xludf.DUMMYFUNCTION("""COMPUTED_VALUE"""),"RSC003204")</f>
        <v>RSC003204</v>
      </c>
      <c r="B3197" s="41" t="str">
        <f>IFERROR(__xludf.DUMMYFUNCTION("""COMPUTED_VALUE"""),"Carty.")</f>
        <v>Carty.</v>
      </c>
    </row>
    <row r="3198">
      <c r="A3198" s="41" t="str">
        <f>IFERROR(__xludf.DUMMYFUNCTION("""COMPUTED_VALUE"""),"RSC003205")</f>
        <v>RSC003205</v>
      </c>
      <c r="B3198" s="41" t="str">
        <f>IFERROR(__xludf.DUMMYFUNCTION("""COMPUTED_VALUE"""),"Mist Vergo TTV")</f>
        <v>Mist Vergo TTV</v>
      </c>
    </row>
    <row r="3199">
      <c r="A3199" s="41" t="str">
        <f>IFERROR(__xludf.DUMMYFUNCTION("""COMPUTED_VALUE"""),"RSC003206")</f>
        <v>RSC003206</v>
      </c>
      <c r="B3199" s="41" t="str">
        <f>IFERROR(__xludf.DUMMYFUNCTION("""COMPUTED_VALUE"""),"r00sh-e")</f>
        <v>r00sh-e</v>
      </c>
    </row>
    <row r="3200">
      <c r="A3200" s="41" t="str">
        <f>IFERROR(__xludf.DUMMYFUNCTION("""COMPUTED_VALUE"""),"RSC003207")</f>
        <v>RSC003207</v>
      </c>
      <c r="B3200" s="41" t="str">
        <f>IFERROR(__xludf.DUMMYFUNCTION("""COMPUTED_VALUE"""),"LordHadron")</f>
        <v>LordHadron</v>
      </c>
    </row>
    <row r="3201">
      <c r="A3201" s="41" t="str">
        <f>IFERROR(__xludf.DUMMYFUNCTION("""COMPUTED_VALUE"""),"RSC003208")</f>
        <v>RSC003208</v>
      </c>
      <c r="B3201" s="41" t="str">
        <f>IFERROR(__xludf.DUMMYFUNCTION("""COMPUTED_VALUE"""),"ATG Hellfire")</f>
        <v>ATG Hellfire</v>
      </c>
    </row>
    <row r="3202">
      <c r="A3202" s="41" t="str">
        <f>IFERROR(__xludf.DUMMYFUNCTION("""COMPUTED_VALUE"""),"RSC003209")</f>
        <v>RSC003209</v>
      </c>
      <c r="B3202" s="41" t="str">
        <f>IFERROR(__xludf.DUMMYFUNCTION("""COMPUTED_VALUE"""),"doce")</f>
        <v>doce</v>
      </c>
    </row>
    <row r="3203">
      <c r="A3203" s="41" t="str">
        <f>IFERROR(__xludf.DUMMYFUNCTION("""COMPUTED_VALUE"""),"RSC003210")</f>
        <v>RSC003210</v>
      </c>
      <c r="B3203" s="41" t="str">
        <f>IFERROR(__xludf.DUMMYFUNCTION("""COMPUTED_VALUE"""),"Das.")</f>
        <v>Das.</v>
      </c>
    </row>
    <row r="3204">
      <c r="A3204" s="41" t="str">
        <f>IFERROR(__xludf.DUMMYFUNCTION("""COMPUTED_VALUE"""),"RSC003211")</f>
        <v>RSC003211</v>
      </c>
      <c r="B3204" s="41" t="str">
        <f>IFERROR(__xludf.DUMMYFUNCTION("""COMPUTED_VALUE"""),"FaygoRL")</f>
        <v>FaygoRL</v>
      </c>
    </row>
    <row r="3205">
      <c r="A3205" s="41" t="str">
        <f>IFERROR(__xludf.DUMMYFUNCTION("""COMPUTED_VALUE"""),"RSC003212")</f>
        <v>RSC003212</v>
      </c>
      <c r="B3205" s="41" t="str">
        <f>IFERROR(__xludf.DUMMYFUNCTION("""COMPUTED_VALUE"""),"Tr1zel")</f>
        <v>Tr1zel</v>
      </c>
    </row>
    <row r="3206">
      <c r="A3206" s="41" t="str">
        <f>IFERROR(__xludf.DUMMYFUNCTION("""COMPUTED_VALUE"""),"RSC003213")</f>
        <v>RSC003213</v>
      </c>
      <c r="B3206" s="41" t="str">
        <f>IFERROR(__xludf.DUMMYFUNCTION("""COMPUTED_VALUE"""),"soba_man")</f>
        <v>soba_man</v>
      </c>
    </row>
    <row r="3207">
      <c r="A3207" s="41" t="str">
        <f>IFERROR(__xludf.DUMMYFUNCTION("""COMPUTED_VALUE"""),"RSC003214")</f>
        <v>RSC003214</v>
      </c>
      <c r="B3207" s="41" t="str">
        <f>IFERROR(__xludf.DUMMYFUNCTION("""COMPUTED_VALUE"""),"blaja25")</f>
        <v>blaja25</v>
      </c>
    </row>
    <row r="3208">
      <c r="A3208" s="41" t="str">
        <f>IFERROR(__xludf.DUMMYFUNCTION("""COMPUTED_VALUE"""),"RSC003215")</f>
        <v>RSC003215</v>
      </c>
      <c r="B3208" s="41" t="str">
        <f>IFERROR(__xludf.DUMMYFUNCTION("""COMPUTED_VALUE"""),"Bubbalays")</f>
        <v>Bubbalays</v>
      </c>
    </row>
    <row r="3209">
      <c r="A3209" s="41" t="str">
        <f>IFERROR(__xludf.DUMMYFUNCTION("""COMPUTED_VALUE"""),"RSC003216")</f>
        <v>RSC003216</v>
      </c>
      <c r="B3209" s="41" t="str">
        <f>IFERROR(__xludf.DUMMYFUNCTION("""COMPUTED_VALUE"""),"Xeno")</f>
        <v>Xeno</v>
      </c>
    </row>
    <row r="3210">
      <c r="A3210" s="41" t="str">
        <f>IFERROR(__xludf.DUMMYFUNCTION("""COMPUTED_VALUE"""),"RSC003217")</f>
        <v>RSC003217</v>
      </c>
      <c r="B3210" s="41" t="str">
        <f>IFERROR(__xludf.DUMMYFUNCTION("""COMPUTED_VALUE"""),"Clark(change)")</f>
        <v>Clark(change)</v>
      </c>
    </row>
    <row r="3211">
      <c r="A3211" s="41" t="str">
        <f>IFERROR(__xludf.DUMMYFUNCTION("""COMPUTED_VALUE"""),"RSC003218")</f>
        <v>RSC003218</v>
      </c>
      <c r="B3211" s="41" t="str">
        <f>IFERROR(__xludf.DUMMYFUNCTION("""COMPUTED_VALUE"""),"Iguane Fabuleux")</f>
        <v>Iguane Fabuleux</v>
      </c>
    </row>
    <row r="3212">
      <c r="A3212" s="41" t="str">
        <f>IFERROR(__xludf.DUMMYFUNCTION("""COMPUTED_VALUE"""),"RSC003219")</f>
        <v>RSC003219</v>
      </c>
      <c r="B3212" s="41" t="str">
        <f>IFERROR(__xludf.DUMMYFUNCTION("""COMPUTED_VALUE"""),"xKaligo")</f>
        <v>xKaligo</v>
      </c>
    </row>
    <row r="3213">
      <c r="A3213" s="41" t="str">
        <f>IFERROR(__xludf.DUMMYFUNCTION("""COMPUTED_VALUE"""),"RSC003220")</f>
        <v>RSC003220</v>
      </c>
      <c r="B3213" s="41" t="str">
        <f>IFERROR(__xludf.DUMMYFUNCTION("""COMPUTED_VALUE"""),"Galaxy")</f>
        <v>Galaxy</v>
      </c>
    </row>
    <row r="3214">
      <c r="A3214" s="41" t="str">
        <f>IFERROR(__xludf.DUMMYFUNCTION("""COMPUTED_VALUE"""),"RSC003221")</f>
        <v>RSC003221</v>
      </c>
      <c r="B3214" s="41" t="str">
        <f>IFERROR(__xludf.DUMMYFUNCTION("""COMPUTED_VALUE"""),"amw1324")</f>
        <v>amw1324</v>
      </c>
    </row>
    <row r="3215">
      <c r="A3215" s="41" t="str">
        <f>IFERROR(__xludf.DUMMYFUNCTION("""COMPUTED_VALUE"""),"RSC003222")</f>
        <v>RSC003222</v>
      </c>
      <c r="B3215" s="41" t="str">
        <f>IFERROR(__xludf.DUMMYFUNCTION("""COMPUTED_VALUE"""),"Laney")</f>
        <v>Laney</v>
      </c>
    </row>
    <row r="3216">
      <c r="A3216" s="41" t="str">
        <f>IFERROR(__xludf.DUMMYFUNCTION("""COMPUTED_VALUE"""),"RSC003223")</f>
        <v>RSC003223</v>
      </c>
      <c r="B3216" s="41" t="str">
        <f>IFERROR(__xludf.DUMMYFUNCTION("""COMPUTED_VALUE"""),"AZoroARK")</f>
        <v>AZoroARK</v>
      </c>
    </row>
    <row r="3217">
      <c r="A3217" s="41" t="str">
        <f>IFERROR(__xludf.DUMMYFUNCTION("""COMPUTED_VALUE"""),"RSC003224")</f>
        <v>RSC003224</v>
      </c>
      <c r="B3217" s="41" t="str">
        <f>IFERROR(__xludf.DUMMYFUNCTION("""COMPUTED_VALUE"""),"Drizz")</f>
        <v>Drizz</v>
      </c>
    </row>
    <row r="3218">
      <c r="A3218" s="41" t="str">
        <f>IFERROR(__xludf.DUMMYFUNCTION("""COMPUTED_VALUE"""),"RSC003225")</f>
        <v>RSC003225</v>
      </c>
      <c r="B3218" s="41" t="str">
        <f>IFERROR(__xludf.DUMMYFUNCTION("""COMPUTED_VALUE"""),"HaNdZ")</f>
        <v>HaNdZ</v>
      </c>
    </row>
    <row r="3219">
      <c r="A3219" s="41" t="str">
        <f>IFERROR(__xludf.DUMMYFUNCTION("""COMPUTED_VALUE"""),"RSC003226")</f>
        <v>RSC003226</v>
      </c>
      <c r="B3219" s="41" t="str">
        <f>IFERROR(__xludf.DUMMYFUNCTION("""COMPUTED_VALUE"""),"Nad")</f>
        <v>Nad</v>
      </c>
    </row>
    <row r="3220">
      <c r="A3220" s="41" t="str">
        <f>IFERROR(__xludf.DUMMYFUNCTION("""COMPUTED_VALUE"""),"RSC003227")</f>
        <v>RSC003227</v>
      </c>
      <c r="B3220" s="41" t="str">
        <f>IFERROR(__xludf.DUMMYFUNCTION("""COMPUTED_VALUE"""),"obito.")</f>
        <v>obito.</v>
      </c>
    </row>
    <row r="3221">
      <c r="A3221" s="41" t="str">
        <f>IFERROR(__xludf.DUMMYFUNCTION("""COMPUTED_VALUE"""),"RSC003228")</f>
        <v>RSC003228</v>
      </c>
      <c r="B3221" s="41" t="str">
        <f>IFERROR(__xludf.DUMMYFUNCTION("""COMPUTED_VALUE"""),"Phyzixs6589")</f>
        <v>Phyzixs6589</v>
      </c>
    </row>
    <row r="3222">
      <c r="A3222" s="41" t="str">
        <f>IFERROR(__xludf.DUMMYFUNCTION("""COMPUTED_VALUE"""),"RSC003229")</f>
        <v>RSC003229</v>
      </c>
      <c r="B3222" s="41" t="str">
        <f>IFERROR(__xludf.DUMMYFUNCTION("""COMPUTED_VALUE"""),"Boeso")</f>
        <v>Boeso</v>
      </c>
    </row>
    <row r="3223">
      <c r="A3223" s="41" t="str">
        <f>IFERROR(__xludf.DUMMYFUNCTION("""COMPUTED_VALUE"""),"RSC003230")</f>
        <v>RSC003230</v>
      </c>
      <c r="B3223" s="41" t="str">
        <f>IFERROR(__xludf.DUMMYFUNCTION("""COMPUTED_VALUE"""),"IrregularGuy")</f>
        <v>IrregularGuy</v>
      </c>
    </row>
    <row r="3224">
      <c r="A3224" s="41" t="str">
        <f>IFERROR(__xludf.DUMMYFUNCTION("""COMPUTED_VALUE"""),"RSC003231")</f>
        <v>RSC003231</v>
      </c>
      <c r="B3224" s="41" t="str">
        <f>IFERROR(__xludf.DUMMYFUNCTION("""COMPUTED_VALUE"""),"Dark Magic")</f>
        <v>Dark Magic</v>
      </c>
    </row>
    <row r="3225">
      <c r="A3225" s="41" t="str">
        <f>IFERROR(__xludf.DUMMYFUNCTION("""COMPUTED_VALUE"""),"RSC003233")</f>
        <v>RSC003233</v>
      </c>
      <c r="B3225" s="41" t="str">
        <f>IFERROR(__xludf.DUMMYFUNCTION("""COMPUTED_VALUE"""),"Wolff")</f>
        <v>Wolff</v>
      </c>
    </row>
    <row r="3226">
      <c r="A3226" s="41" t="str">
        <f>IFERROR(__xludf.DUMMYFUNCTION("""COMPUTED_VALUE"""),"RSC003234")</f>
        <v>RSC003234</v>
      </c>
      <c r="B3226" s="41" t="str">
        <f>IFERROR(__xludf.DUMMYFUNCTION("""COMPUTED_VALUE"""),"F16_Tanner")</f>
        <v>F16_Tanner</v>
      </c>
    </row>
    <row r="3227">
      <c r="A3227" s="41" t="str">
        <f>IFERROR(__xludf.DUMMYFUNCTION("""COMPUTED_VALUE"""),"RSC003235")</f>
        <v>RSC003235</v>
      </c>
      <c r="B3227" s="41" t="str">
        <f>IFERROR(__xludf.DUMMYFUNCTION("""COMPUTED_VALUE"""),"Wiskey")</f>
        <v>Wiskey</v>
      </c>
    </row>
    <row r="3228">
      <c r="A3228" s="41" t="str">
        <f>IFERROR(__xludf.DUMMYFUNCTION("""COMPUTED_VALUE"""),"RSC003236")</f>
        <v>RSC003236</v>
      </c>
      <c r="B3228" s="41" t="str">
        <f>IFERROR(__xludf.DUMMYFUNCTION("""COMPUTED_VALUE"""),"sosupremeee")</f>
        <v>sosupremeee</v>
      </c>
    </row>
    <row r="3229">
      <c r="A3229" s="41" t="str">
        <f>IFERROR(__xludf.DUMMYFUNCTION("""COMPUTED_VALUE"""),"RSC003237")</f>
        <v>RSC003237</v>
      </c>
      <c r="B3229" s="41" t="str">
        <f>IFERROR(__xludf.DUMMYFUNCTION("""COMPUTED_VALUE"""),"Palmtree")</f>
        <v>Palmtree</v>
      </c>
    </row>
    <row r="3230">
      <c r="A3230" s="41" t="str">
        <f>IFERROR(__xludf.DUMMYFUNCTION("""COMPUTED_VALUE"""),"RSC003238")</f>
        <v>RSC003238</v>
      </c>
      <c r="B3230" s="41" t="str">
        <f>IFERROR(__xludf.DUMMYFUNCTION("""COMPUTED_VALUE"""),"Kanye_West_ 2028")</f>
        <v>Kanye_West_ 2028</v>
      </c>
    </row>
    <row r="3231">
      <c r="A3231" s="41" t="str">
        <f>IFERROR(__xludf.DUMMYFUNCTION("""COMPUTED_VALUE"""),"RSC003239")</f>
        <v>RSC003239</v>
      </c>
      <c r="B3231" s="41" t="str">
        <f>IFERROR(__xludf.DUMMYFUNCTION("""COMPUTED_VALUE"""),"Wallaby Gangsta")</f>
        <v>Wallaby Gangsta</v>
      </c>
    </row>
    <row r="3232">
      <c r="A3232" s="41" t="str">
        <f>IFERROR(__xludf.DUMMYFUNCTION("""COMPUTED_VALUE"""),"RSC003240")</f>
        <v>RSC003240</v>
      </c>
      <c r="B3232" s="41" t="str">
        <f>IFERROR(__xludf.DUMMYFUNCTION("""COMPUTED_VALUE"""),"MarkusAurelius")</f>
        <v>MarkusAurelius</v>
      </c>
    </row>
    <row r="3233">
      <c r="A3233" s="41" t="str">
        <f>IFERROR(__xludf.DUMMYFUNCTION("""COMPUTED_VALUE"""),"RSC003241")</f>
        <v>RSC003241</v>
      </c>
      <c r="B3233" s="41" t="str">
        <f>IFERROR(__xludf.DUMMYFUNCTION("""COMPUTED_VALUE"""),"Brockster555")</f>
        <v>Brockster555</v>
      </c>
    </row>
    <row r="3234">
      <c r="A3234" s="41" t="str">
        <f>IFERROR(__xludf.DUMMYFUNCTION("""COMPUTED_VALUE"""),"RSC003242")</f>
        <v>RSC003242</v>
      </c>
      <c r="B3234" s="41" t="str">
        <f>IFERROR(__xludf.DUMMYFUNCTION("""COMPUTED_VALUE"""),"Obsidian_Bear")</f>
        <v>Obsidian_Bear</v>
      </c>
    </row>
    <row r="3235">
      <c r="A3235" s="41" t="str">
        <f>IFERROR(__xludf.DUMMYFUNCTION("""COMPUTED_VALUE"""),"RSC003243")</f>
        <v>RSC003243</v>
      </c>
      <c r="B3235" s="41" t="str">
        <f>IFERROR(__xludf.DUMMYFUNCTION("""COMPUTED_VALUE"""),"Jerxe")</f>
        <v>Jerxe</v>
      </c>
    </row>
    <row r="3236">
      <c r="A3236" s="41" t="str">
        <f>IFERROR(__xludf.DUMMYFUNCTION("""COMPUTED_VALUE"""),"RSC003244")</f>
        <v>RSC003244</v>
      </c>
      <c r="B3236" s="41" t="str">
        <f>IFERROR(__xludf.DUMMYFUNCTION("""COMPUTED_VALUE"""),"Lil Sus")</f>
        <v>Lil Sus</v>
      </c>
    </row>
    <row r="3237">
      <c r="A3237" s="41" t="str">
        <f>IFERROR(__xludf.DUMMYFUNCTION("""COMPUTED_VALUE"""),"RSC003245")</f>
        <v>RSC003245</v>
      </c>
      <c r="B3237" s="41" t="str">
        <f>IFERROR(__xludf.DUMMYFUNCTION("""COMPUTED_VALUE"""),"static8540")</f>
        <v>static8540</v>
      </c>
    </row>
    <row r="3238">
      <c r="A3238" s="41" t="str">
        <f>IFERROR(__xludf.DUMMYFUNCTION("""COMPUTED_VALUE"""),"RSC003246")</f>
        <v>RSC003246</v>
      </c>
      <c r="B3238" s="41" t="str">
        <f>IFERROR(__xludf.DUMMYFUNCTION("""COMPUTED_VALUE"""),"HARDhardHard")</f>
        <v>HARDhardHard</v>
      </c>
    </row>
    <row r="3239">
      <c r="A3239" s="41" t="str">
        <f>IFERROR(__xludf.DUMMYFUNCTION("""COMPUTED_VALUE"""),"RSC003247")</f>
        <v>RSC003247</v>
      </c>
      <c r="B3239" s="41" t="str">
        <f>IFERROR(__xludf.DUMMYFUNCTION("""COMPUTED_VALUE"""),"Croptopolis")</f>
        <v>Croptopolis</v>
      </c>
    </row>
    <row r="3240">
      <c r="A3240" s="41" t="str">
        <f>IFERROR(__xludf.DUMMYFUNCTION("""COMPUTED_VALUE"""),"RSC003248")</f>
        <v>RSC003248</v>
      </c>
      <c r="B3240" s="41" t="str">
        <f>IFERROR(__xludf.DUMMYFUNCTION("""COMPUTED_VALUE"""),"wh1298")</f>
        <v>wh1298</v>
      </c>
    </row>
    <row r="3241">
      <c r="A3241" s="41" t="str">
        <f>IFERROR(__xludf.DUMMYFUNCTION("""COMPUTED_VALUE"""),"RSC003249")</f>
        <v>RSC003249</v>
      </c>
      <c r="B3241" s="41" t="str">
        <f>IFERROR(__xludf.DUMMYFUNCTION("""COMPUTED_VALUE"""),"Huey")</f>
        <v>Huey</v>
      </c>
    </row>
    <row r="3242">
      <c r="A3242" s="41" t="str">
        <f>IFERROR(__xludf.DUMMYFUNCTION("""COMPUTED_VALUE"""),"RSC003250")</f>
        <v>RSC003250</v>
      </c>
      <c r="B3242" s="41" t="str">
        <f>IFERROR(__xludf.DUMMYFUNCTION("""COMPUTED_VALUE"""),"Chefty")</f>
        <v>Chefty</v>
      </c>
    </row>
    <row r="3243">
      <c r="A3243" s="41" t="str">
        <f>IFERROR(__xludf.DUMMYFUNCTION("""COMPUTED_VALUE"""),"RSC003251")</f>
        <v>RSC003251</v>
      </c>
      <c r="B3243" s="41" t="str">
        <f>IFERROR(__xludf.DUMMYFUNCTION("""COMPUTED_VALUE"""),"V3rballyMute")</f>
        <v>V3rballyMute</v>
      </c>
    </row>
    <row r="3244">
      <c r="A3244" s="41" t="str">
        <f>IFERROR(__xludf.DUMMYFUNCTION("""COMPUTED_VALUE"""),"RSC003252")</f>
        <v>RSC003252</v>
      </c>
      <c r="B3244" s="41" t="str">
        <f>IFERROR(__xludf.DUMMYFUNCTION("""COMPUTED_VALUE"""),"The_Magic")</f>
        <v>The_Magic</v>
      </c>
    </row>
    <row r="3245">
      <c r="A3245" s="41" t="str">
        <f>IFERROR(__xludf.DUMMYFUNCTION("""COMPUTED_VALUE"""),"RSC003253")</f>
        <v>RSC003253</v>
      </c>
      <c r="B3245" s="41" t="str">
        <f>IFERROR(__xludf.DUMMYFUNCTION("""COMPUTED_VALUE"""),"Ayijuse")</f>
        <v>Ayijuse</v>
      </c>
    </row>
    <row r="3246">
      <c r="A3246" s="41" t="str">
        <f>IFERROR(__xludf.DUMMYFUNCTION("""COMPUTED_VALUE"""),"RSC003254")</f>
        <v>RSC003254</v>
      </c>
      <c r="B3246" s="41" t="str">
        <f>IFERROR(__xludf.DUMMYFUNCTION("""COMPUTED_VALUE"""),"Braxxton")</f>
        <v>Braxxton</v>
      </c>
    </row>
    <row r="3247">
      <c r="A3247" s="41" t="str">
        <f>IFERROR(__xludf.DUMMYFUNCTION("""COMPUTED_VALUE"""),"RSC003255")</f>
        <v>RSC003255</v>
      </c>
      <c r="B3247" s="41" t="str">
        <f>IFERROR(__xludf.DUMMYFUNCTION("""COMPUTED_VALUE"""),"cozyboy")</f>
        <v>cozyboy</v>
      </c>
    </row>
    <row r="3248">
      <c r="A3248" s="41" t="str">
        <f>IFERROR(__xludf.DUMMYFUNCTION("""COMPUTED_VALUE"""),"RSC003256")</f>
        <v>RSC003256</v>
      </c>
      <c r="B3248" s="41" t="str">
        <f>IFERROR(__xludf.DUMMYFUNCTION("""COMPUTED_VALUE"""),"Pankakes102")</f>
        <v>Pankakes102</v>
      </c>
    </row>
    <row r="3249">
      <c r="A3249" s="41" t="str">
        <f>IFERROR(__xludf.DUMMYFUNCTION("""COMPUTED_VALUE"""),"RSC003257")</f>
        <v>RSC003257</v>
      </c>
      <c r="B3249" s="41" t="str">
        <f>IFERROR(__xludf.DUMMYFUNCTION("""COMPUTED_VALUE"""),"wiglzworth1231")</f>
        <v>wiglzworth1231</v>
      </c>
    </row>
    <row r="3250">
      <c r="A3250" s="41" t="str">
        <f>IFERROR(__xludf.DUMMYFUNCTION("""COMPUTED_VALUE"""),"RSC003258")</f>
        <v>RSC003258</v>
      </c>
      <c r="B3250" s="41" t="str">
        <f>IFERROR(__xludf.DUMMYFUNCTION("""COMPUTED_VALUE"""),"Vodrai")</f>
        <v>Vodrai</v>
      </c>
    </row>
    <row r="3251">
      <c r="A3251" s="41" t="str">
        <f>IFERROR(__xludf.DUMMYFUNCTION("""COMPUTED_VALUE"""),"RSC003259")</f>
        <v>RSC003259</v>
      </c>
      <c r="B3251" s="41" t="str">
        <f>IFERROR(__xludf.DUMMYFUNCTION("""COMPUTED_VALUE"""),"Eclipse")</f>
        <v>Eclipse</v>
      </c>
    </row>
    <row r="3252">
      <c r="A3252" s="41" t="str">
        <f>IFERROR(__xludf.DUMMYFUNCTION("""COMPUTED_VALUE"""),"RSC003260")</f>
        <v>RSC003260</v>
      </c>
      <c r="B3252" s="41" t="str">
        <f>IFERROR(__xludf.DUMMYFUNCTION("""COMPUTED_VALUE"""),"Perrfluffyballz")</f>
        <v>Perrfluffyballz</v>
      </c>
    </row>
    <row r="3253">
      <c r="A3253" s="41" t="str">
        <f>IFERROR(__xludf.DUMMYFUNCTION("""COMPUTED_VALUE"""),"RSC003261")</f>
        <v>RSC003261</v>
      </c>
      <c r="B3253" s="41" t="str">
        <f>IFERROR(__xludf.DUMMYFUNCTION("""COMPUTED_VALUE"""),"willymoeSR")</f>
        <v>willymoeSR</v>
      </c>
    </row>
    <row r="3254">
      <c r="A3254" s="41" t="str">
        <f>IFERROR(__xludf.DUMMYFUNCTION("""COMPUTED_VALUE"""),"RSC003262")</f>
        <v>RSC003262</v>
      </c>
      <c r="B3254" s="41" t="str">
        <f>IFERROR(__xludf.DUMMYFUNCTION("""COMPUTED_VALUE"""),"Skies")</f>
        <v>Skies</v>
      </c>
    </row>
    <row r="3255">
      <c r="A3255" s="41" t="str">
        <f>IFERROR(__xludf.DUMMYFUNCTION("""COMPUTED_VALUE"""),"RSC003263")</f>
        <v>RSC003263</v>
      </c>
      <c r="B3255" s="41" t="str">
        <f>IFERROR(__xludf.DUMMYFUNCTION("""COMPUTED_VALUE"""),"Nine")</f>
        <v>Nine</v>
      </c>
    </row>
    <row r="3256">
      <c r="A3256" s="41" t="str">
        <f>IFERROR(__xludf.DUMMYFUNCTION("""COMPUTED_VALUE"""),"RSC003264")</f>
        <v>RSC003264</v>
      </c>
      <c r="B3256" s="41" t="str">
        <f>IFERROR(__xludf.DUMMYFUNCTION("""COMPUTED_VALUE"""),"LintyAnt")</f>
        <v>LintyAnt</v>
      </c>
    </row>
    <row r="3257">
      <c r="A3257" s="41" t="str">
        <f>IFERROR(__xludf.DUMMYFUNCTION("""COMPUTED_VALUE"""),"RSC003265")</f>
        <v>RSC003265</v>
      </c>
      <c r="B3257" s="41" t="str">
        <f>IFERROR(__xludf.DUMMYFUNCTION("""COMPUTED_VALUE"""),"System")</f>
        <v>System</v>
      </c>
    </row>
    <row r="3258">
      <c r="A3258" s="41" t="str">
        <f>IFERROR(__xludf.DUMMYFUNCTION("""COMPUTED_VALUE"""),"RSC003266")</f>
        <v>RSC003266</v>
      </c>
      <c r="B3258" s="41" t="str">
        <f>IFERROR(__xludf.DUMMYFUNCTION("""COMPUTED_VALUE"""),"GameyMcGamertag")</f>
        <v>GameyMcGamertag</v>
      </c>
    </row>
    <row r="3259">
      <c r="A3259" s="41" t="str">
        <f>IFERROR(__xludf.DUMMYFUNCTION("""COMPUTED_VALUE"""),"RSC003267")</f>
        <v>RSC003267</v>
      </c>
      <c r="B3259" s="41" t="str">
        <f>IFERROR(__xludf.DUMMYFUNCTION("""COMPUTED_VALUE"""),"anvo")</f>
        <v>anvo</v>
      </c>
    </row>
    <row r="3260">
      <c r="A3260" s="41" t="str">
        <f>IFERROR(__xludf.DUMMYFUNCTION("""COMPUTED_VALUE"""),"RSC003268")</f>
        <v>RSC003268</v>
      </c>
      <c r="B3260" s="41" t="str">
        <f>IFERROR(__xludf.DUMMYFUNCTION("""COMPUTED_VALUE"""),"Queso")</f>
        <v>Queso</v>
      </c>
    </row>
    <row r="3261">
      <c r="A3261" s="41" t="str">
        <f>IFERROR(__xludf.DUMMYFUNCTION("""COMPUTED_VALUE"""),"RSC003269")</f>
        <v>RSC003269</v>
      </c>
      <c r="B3261" s="41" t="str">
        <f>IFERROR(__xludf.DUMMYFUNCTION("""COMPUTED_VALUE"""),"THE Battlefish")</f>
        <v>THE Battlefish</v>
      </c>
    </row>
    <row r="3262">
      <c r="A3262" s="41" t="str">
        <f>IFERROR(__xludf.DUMMYFUNCTION("""COMPUTED_VALUE"""),"RSC003270")</f>
        <v>RSC003270</v>
      </c>
      <c r="B3262" s="41" t="str">
        <f>IFERROR(__xludf.DUMMYFUNCTION("""COMPUTED_VALUE"""),"Anthri")</f>
        <v>Anthri</v>
      </c>
    </row>
    <row r="3263">
      <c r="A3263" s="41" t="str">
        <f>IFERROR(__xludf.DUMMYFUNCTION("""COMPUTED_VALUE"""),"RSC003271")</f>
        <v>RSC003271</v>
      </c>
      <c r="B3263" s="41" t="str">
        <f>IFERROR(__xludf.DUMMYFUNCTION("""COMPUTED_VALUE"""),"Bax")</f>
        <v>Bax</v>
      </c>
    </row>
    <row r="3264">
      <c r="A3264" s="41" t="str">
        <f>IFERROR(__xludf.DUMMYFUNCTION("""COMPUTED_VALUE"""),"RSC003272")</f>
        <v>RSC003272</v>
      </c>
      <c r="B3264" s="41" t="str">
        <f>IFERROR(__xludf.DUMMYFUNCTION("""COMPUTED_VALUE"""),"jknop2")</f>
        <v>jknop2</v>
      </c>
    </row>
    <row r="3265">
      <c r="A3265" s="41" t="str">
        <f>IFERROR(__xludf.DUMMYFUNCTION("""COMPUTED_VALUE"""),"RSC003273")</f>
        <v>RSC003273</v>
      </c>
      <c r="B3265" s="41" t="str">
        <f>IFERROR(__xludf.DUMMYFUNCTION("""COMPUTED_VALUE"""),"Veni")</f>
        <v>Veni</v>
      </c>
    </row>
    <row r="3266">
      <c r="A3266" s="41" t="str">
        <f>IFERROR(__xludf.DUMMYFUNCTION("""COMPUTED_VALUE"""),"RSC003274")</f>
        <v>RSC003274</v>
      </c>
      <c r="B3266" s="41" t="str">
        <f>IFERROR(__xludf.DUMMYFUNCTION("""COMPUTED_VALUE"""),"vite")</f>
        <v>vite</v>
      </c>
    </row>
    <row r="3267">
      <c r="A3267" s="41" t="str">
        <f>IFERROR(__xludf.DUMMYFUNCTION("""COMPUTED_VALUE"""),"RSC003275")</f>
        <v>RSC003275</v>
      </c>
      <c r="B3267" s="41" t="str">
        <f>IFERROR(__xludf.DUMMYFUNCTION("""COMPUTED_VALUE"""),"Cyno6")</f>
        <v>Cyno6</v>
      </c>
    </row>
    <row r="3268">
      <c r="A3268" s="41" t="str">
        <f>IFERROR(__xludf.DUMMYFUNCTION("""COMPUTED_VALUE"""),"RSC003276")</f>
        <v>RSC003276</v>
      </c>
      <c r="B3268" s="41" t="str">
        <f>IFERROR(__xludf.DUMMYFUNCTION("""COMPUTED_VALUE"""),"ConsciousProphit")</f>
        <v>ConsciousProphit</v>
      </c>
    </row>
    <row r="3269">
      <c r="A3269" s="41" t="str">
        <f>IFERROR(__xludf.DUMMYFUNCTION("""COMPUTED_VALUE"""),"RSC003277")</f>
        <v>RSC003277</v>
      </c>
      <c r="B3269" s="41" t="str">
        <f>IFERROR(__xludf.DUMMYFUNCTION("""COMPUTED_VALUE"""),"Miikey.RL")</f>
        <v>Miikey.RL</v>
      </c>
    </row>
    <row r="3270">
      <c r="A3270" s="41" t="str">
        <f>IFERROR(__xludf.DUMMYFUNCTION("""COMPUTED_VALUE"""),"RSC003278")</f>
        <v>RSC003278</v>
      </c>
      <c r="B3270" s="41" t="str">
        <f>IFERROR(__xludf.DUMMYFUNCTION("""COMPUTED_VALUE"""),"Kn2828")</f>
        <v>Kn2828</v>
      </c>
    </row>
    <row r="3271">
      <c r="A3271" s="41" t="str">
        <f>IFERROR(__xludf.DUMMYFUNCTION("""COMPUTED_VALUE"""),"RSC003279")</f>
        <v>RSC003279</v>
      </c>
      <c r="B3271" s="41" t="str">
        <f>IFERROR(__xludf.DUMMYFUNCTION("""COMPUTED_VALUE"""),"Maj")</f>
        <v>Maj</v>
      </c>
    </row>
    <row r="3272">
      <c r="A3272" s="41" t="str">
        <f>IFERROR(__xludf.DUMMYFUNCTION("""COMPUTED_VALUE"""),"RSC003280")</f>
        <v>RSC003280</v>
      </c>
      <c r="B3272" s="41" t="str">
        <f>IFERROR(__xludf.DUMMYFUNCTION("""COMPUTED_VALUE"""),"Sully")</f>
        <v>Sully</v>
      </c>
    </row>
    <row r="3273">
      <c r="A3273" s="41" t="str">
        <f>IFERROR(__xludf.DUMMYFUNCTION("""COMPUTED_VALUE"""),"RSC003281")</f>
        <v>RSC003281</v>
      </c>
      <c r="B3273" s="41" t="str">
        <f>IFERROR(__xludf.DUMMYFUNCTION("""COMPUTED_VALUE"""),"thatoneguy45")</f>
        <v>thatoneguy45</v>
      </c>
    </row>
    <row r="3274">
      <c r="A3274" s="41" t="str">
        <f>IFERROR(__xludf.DUMMYFUNCTION("""COMPUTED_VALUE"""),"RSC003282")</f>
        <v>RSC003282</v>
      </c>
      <c r="B3274" s="41" t="str">
        <f>IFERROR(__xludf.DUMMYFUNCTION("""COMPUTED_VALUE"""),"Jamal")</f>
        <v>Jamal</v>
      </c>
    </row>
    <row r="3275">
      <c r="A3275" s="41" t="str">
        <f>IFERROR(__xludf.DUMMYFUNCTION("""COMPUTED_VALUE"""),"RSC003283")</f>
        <v>RSC003283</v>
      </c>
      <c r="B3275" s="41" t="str">
        <f>IFERROR(__xludf.DUMMYFUNCTION("""COMPUTED_VALUE"""),"s1urptastic")</f>
        <v>s1urptastic</v>
      </c>
    </row>
    <row r="3276">
      <c r="A3276" s="41" t="str">
        <f>IFERROR(__xludf.DUMMYFUNCTION("""COMPUTED_VALUE"""),"RSC003284")</f>
        <v>RSC003284</v>
      </c>
      <c r="B3276" s="41" t="str">
        <f>IFERROR(__xludf.DUMMYFUNCTION("""COMPUTED_VALUE"""),"Burnsy")</f>
        <v>Burnsy</v>
      </c>
    </row>
    <row r="3277">
      <c r="A3277" s="41" t="str">
        <f>IFERROR(__xludf.DUMMYFUNCTION("""COMPUTED_VALUE"""),"RSC003285")</f>
        <v>RSC003285</v>
      </c>
      <c r="B3277" s="41" t="str">
        <f>IFERROR(__xludf.DUMMYFUNCTION("""COMPUTED_VALUE"""),"Sk8r18")</f>
        <v>Sk8r18</v>
      </c>
    </row>
    <row r="3278">
      <c r="A3278" s="41" t="str">
        <f>IFERROR(__xludf.DUMMYFUNCTION("""COMPUTED_VALUE"""),"RSC003286")</f>
        <v>RSC003286</v>
      </c>
      <c r="B3278" s="41" t="str">
        <f>IFERROR(__xludf.DUMMYFUNCTION("""COMPUTED_VALUE"""),"pas818")</f>
        <v>pas818</v>
      </c>
    </row>
    <row r="3279">
      <c r="A3279" s="41" t="str">
        <f>IFERROR(__xludf.DUMMYFUNCTION("""COMPUTED_VALUE"""),"RSC003287")</f>
        <v>RSC003287</v>
      </c>
      <c r="B3279" s="41" t="str">
        <f>IFERROR(__xludf.DUMMYFUNCTION("""COMPUTED_VALUE"""),"JaJa Dingdong")</f>
        <v>JaJa Dingdong</v>
      </c>
    </row>
    <row r="3280">
      <c r="A3280" s="41" t="str">
        <f>IFERROR(__xludf.DUMMYFUNCTION("""COMPUTED_VALUE"""),"RSC003288")</f>
        <v>RSC003288</v>
      </c>
      <c r="B3280" s="41" t="str">
        <f>IFERROR(__xludf.DUMMYFUNCTION("""COMPUTED_VALUE"""),"GreenGoFantastic")</f>
        <v>GreenGoFantastic</v>
      </c>
    </row>
    <row r="3281">
      <c r="A3281" s="41" t="str">
        <f>IFERROR(__xludf.DUMMYFUNCTION("""COMPUTED_VALUE"""),"RSC003289")</f>
        <v>RSC003289</v>
      </c>
      <c r="B3281" s="41" t="str">
        <f>IFERROR(__xludf.DUMMYFUNCTION("""COMPUTED_VALUE"""),"JaggedOO6")</f>
        <v>JaggedOO6</v>
      </c>
    </row>
    <row r="3282">
      <c r="A3282" s="41" t="str">
        <f>IFERROR(__xludf.DUMMYFUNCTION("""COMPUTED_VALUE"""),"RSC003290")</f>
        <v>RSC003290</v>
      </c>
      <c r="B3282" s="41" t="str">
        <f>IFERROR(__xludf.DUMMYFUNCTION("""COMPUTED_VALUE"""),"Wyzer")</f>
        <v>Wyzer</v>
      </c>
    </row>
    <row r="3283">
      <c r="A3283" s="41" t="str">
        <f>IFERROR(__xludf.DUMMYFUNCTION("""COMPUTED_VALUE"""),"RSC003291")</f>
        <v>RSC003291</v>
      </c>
      <c r="B3283" s="41" t="str">
        <f>IFERROR(__xludf.DUMMYFUNCTION("""COMPUTED_VALUE"""),"ebestdrew")</f>
        <v>ebestdrew</v>
      </c>
    </row>
    <row r="3284">
      <c r="A3284" s="41" t="str">
        <f>IFERROR(__xludf.DUMMYFUNCTION("""COMPUTED_VALUE"""),"RSC003292")</f>
        <v>RSC003292</v>
      </c>
      <c r="B3284" s="41" t="str">
        <f>IFERROR(__xludf.DUMMYFUNCTION("""COMPUTED_VALUE"""),"IG HadescR")</f>
        <v>IG HadescR</v>
      </c>
    </row>
    <row r="3285">
      <c r="A3285" s="41" t="str">
        <f>IFERROR(__xludf.DUMMYFUNCTION("""COMPUTED_VALUE"""),"RSC003293")</f>
        <v>RSC003293</v>
      </c>
      <c r="B3285" s="41" t="str">
        <f>IFERROR(__xludf.DUMMYFUNCTION("""COMPUTED_VALUE"""),"Miro.")</f>
        <v>Miro.</v>
      </c>
    </row>
    <row r="3286">
      <c r="A3286" s="41" t="str">
        <f>IFERROR(__xludf.DUMMYFUNCTION("""COMPUTED_VALUE"""),"RSC003294")</f>
        <v>RSC003294</v>
      </c>
      <c r="B3286" s="41" t="str">
        <f>IFERROR(__xludf.DUMMYFUNCTION("""COMPUTED_VALUE"""),"BobsHappyClouds")</f>
        <v>BobsHappyClouds</v>
      </c>
    </row>
    <row r="3287">
      <c r="A3287" s="41" t="str">
        <f>IFERROR(__xludf.DUMMYFUNCTION("""COMPUTED_VALUE"""),"RSC003295")</f>
        <v>RSC003295</v>
      </c>
      <c r="B3287" s="41" t="str">
        <f>IFERROR(__xludf.DUMMYFUNCTION("""COMPUTED_VALUE"""),"ConfuciusDragon")</f>
        <v>ConfuciusDragon</v>
      </c>
    </row>
    <row r="3288">
      <c r="A3288" s="41" t="str">
        <f>IFERROR(__xludf.DUMMYFUNCTION("""COMPUTED_VALUE"""),"RSC003296")</f>
        <v>RSC003296</v>
      </c>
      <c r="B3288" s="41" t="str">
        <f>IFERROR(__xludf.DUMMYFUNCTION("""COMPUTED_VALUE"""),"Orange")</f>
        <v>Orange</v>
      </c>
    </row>
    <row r="3289">
      <c r="A3289" s="41" t="str">
        <f>IFERROR(__xludf.DUMMYFUNCTION("""COMPUTED_VALUE"""),"RSC003297")</f>
        <v>RSC003297</v>
      </c>
      <c r="B3289" s="41" t="str">
        <f>IFERROR(__xludf.DUMMYFUNCTION("""COMPUTED_VALUE"""),"Moist 10 inch")</f>
        <v>Moist 10 inch</v>
      </c>
    </row>
    <row r="3290">
      <c r="A3290" s="41" t="str">
        <f>IFERROR(__xludf.DUMMYFUNCTION("""COMPUTED_VALUE"""),"RSC003298")</f>
        <v>RSC003298</v>
      </c>
      <c r="B3290" s="41" t="str">
        <f>IFERROR(__xludf.DUMMYFUNCTION("""COMPUTED_VALUE"""),"EasyTactical")</f>
        <v>EasyTactical</v>
      </c>
    </row>
    <row r="3291">
      <c r="A3291" s="41" t="str">
        <f>IFERROR(__xludf.DUMMYFUNCTION("""COMPUTED_VALUE"""),"RSC003299")</f>
        <v>RSC003299</v>
      </c>
      <c r="B3291" s="41" t="str">
        <f>IFERROR(__xludf.DUMMYFUNCTION("""COMPUTED_VALUE"""),"ytrew")</f>
        <v>ytrew</v>
      </c>
    </row>
    <row r="3292">
      <c r="A3292" s="41" t="str">
        <f>IFERROR(__xludf.DUMMYFUNCTION("""COMPUTED_VALUE"""),"RSC003300")</f>
        <v>RSC003300</v>
      </c>
      <c r="B3292" s="41" t="str">
        <f>IFERROR(__xludf.DUMMYFUNCTION("""COMPUTED_VALUE"""),"huntsman.")</f>
        <v>huntsman.</v>
      </c>
    </row>
    <row r="3293">
      <c r="A3293" s="41" t="str">
        <f>IFERROR(__xludf.DUMMYFUNCTION("""COMPUTED_VALUE"""),"RSC003301")</f>
        <v>RSC003301</v>
      </c>
      <c r="B3293" s="41" t="str">
        <f>IFERROR(__xludf.DUMMYFUNCTION("""COMPUTED_VALUE"""),"Your Friendly Neighborhood Canoe")</f>
        <v>Your Friendly Neighborhood Canoe</v>
      </c>
    </row>
    <row r="3294">
      <c r="A3294" s="41" t="str">
        <f>IFERROR(__xludf.DUMMYFUNCTION("""COMPUTED_VALUE"""),"RSC003302")</f>
        <v>RSC003302</v>
      </c>
      <c r="B3294" s="41" t="str">
        <f>IFERROR(__xludf.DUMMYFUNCTION("""COMPUTED_VALUE"""),"CoolSocks006")</f>
        <v>CoolSocks006</v>
      </c>
    </row>
    <row r="3295">
      <c r="A3295" s="41" t="str">
        <f>IFERROR(__xludf.DUMMYFUNCTION("""COMPUTED_VALUE"""),"RSC003303")</f>
        <v>RSC003303</v>
      </c>
      <c r="B3295" s="41" t="str">
        <f>IFERROR(__xludf.DUMMYFUNCTION("""COMPUTED_VALUE"""),"BizzyRL")</f>
        <v>BizzyRL</v>
      </c>
    </row>
    <row r="3296">
      <c r="A3296" s="41" t="str">
        <f>IFERROR(__xludf.DUMMYFUNCTION("""COMPUTED_VALUE"""),"RSC003304")</f>
        <v>RSC003304</v>
      </c>
      <c r="B3296" s="41" t="str">
        <f>IFERROR(__xludf.DUMMYFUNCTION("""COMPUTED_VALUE"""),"red 590")</f>
        <v>red 590</v>
      </c>
    </row>
    <row r="3297">
      <c r="A3297" s="41" t="str">
        <f>IFERROR(__xludf.DUMMYFUNCTION("""COMPUTED_VALUE"""),"RSC003305")</f>
        <v>RSC003305</v>
      </c>
      <c r="B3297" s="41" t="str">
        <f>IFERROR(__xludf.DUMMYFUNCTION("""COMPUTED_VALUE"""),"Sobes")</f>
        <v>Sobes</v>
      </c>
    </row>
    <row r="3298">
      <c r="A3298" s="41" t="str">
        <f>IFERROR(__xludf.DUMMYFUNCTION("""COMPUTED_VALUE"""),"RSC003306")</f>
        <v>RSC003306</v>
      </c>
      <c r="B3298" s="41" t="str">
        <f>IFERROR(__xludf.DUMMYFUNCTION("""COMPUTED_VALUE"""),"InsaneRossi13")</f>
        <v>InsaneRossi13</v>
      </c>
    </row>
    <row r="3299">
      <c r="A3299" s="41" t="str">
        <f>IFERROR(__xludf.DUMMYFUNCTION("""COMPUTED_VALUE"""),"RSC003307")</f>
        <v>RSC003307</v>
      </c>
      <c r="B3299" s="41" t="str">
        <f>IFERROR(__xludf.DUMMYFUNCTION("""COMPUTED_VALUE"""),"nick.")</f>
        <v>nick.</v>
      </c>
    </row>
    <row r="3300">
      <c r="A3300" s="41" t="str">
        <f>IFERROR(__xludf.DUMMYFUNCTION("""COMPUTED_VALUE"""),"RSC003308")</f>
        <v>RSC003308</v>
      </c>
      <c r="B3300" s="41" t="str">
        <f>IFERROR(__xludf.DUMMYFUNCTION("""COMPUTED_VALUE"""),"Tman")</f>
        <v>Tman</v>
      </c>
    </row>
    <row r="3301">
      <c r="A3301" s="41" t="str">
        <f>IFERROR(__xludf.DUMMYFUNCTION("""COMPUTED_VALUE"""),"RSC003309")</f>
        <v>RSC003309</v>
      </c>
      <c r="B3301" s="41" t="str">
        <f>IFERROR(__xludf.DUMMYFUNCTION("""COMPUTED_VALUE"""),"Marr")</f>
        <v>Marr</v>
      </c>
    </row>
    <row r="3302">
      <c r="A3302" s="41" t="str">
        <f>IFERROR(__xludf.DUMMYFUNCTION("""COMPUTED_VALUE"""),"RSC003310")</f>
        <v>RSC003310</v>
      </c>
      <c r="B3302" s="41" t="str">
        <f>IFERROR(__xludf.DUMMYFUNCTION("""COMPUTED_VALUE"""),"CBob")</f>
        <v>CBob</v>
      </c>
    </row>
    <row r="3303">
      <c r="A3303" s="41" t="str">
        <f>IFERROR(__xludf.DUMMYFUNCTION("""COMPUTED_VALUE"""),"RSC003311")</f>
        <v>RSC003311</v>
      </c>
      <c r="B3303" s="41" t="str">
        <f>IFERROR(__xludf.DUMMYFUNCTION("""COMPUTED_VALUE"""),"Panda-OLD-broken")</f>
        <v>Panda-OLD-broken</v>
      </c>
    </row>
    <row r="3304">
      <c r="A3304" s="41" t="str">
        <f>IFERROR(__xludf.DUMMYFUNCTION("""COMPUTED_VALUE"""),"RSC003312")</f>
        <v>RSC003312</v>
      </c>
      <c r="B3304" s="41" t="str">
        <f>IFERROR(__xludf.DUMMYFUNCTION("""COMPUTED_VALUE"""),"Swervy__")</f>
        <v>Swervy__</v>
      </c>
    </row>
    <row r="3305">
      <c r="A3305" s="41" t="str">
        <f>IFERROR(__xludf.DUMMYFUNCTION("""COMPUTED_VALUE"""),"RSC003313")</f>
        <v>RSC003313</v>
      </c>
      <c r="B3305" s="41" t="str">
        <f>IFERROR(__xludf.DUMMYFUNCTION("""COMPUTED_VALUE"""),"Goblin Fasano")</f>
        <v>Goblin Fasano</v>
      </c>
    </row>
    <row r="3306">
      <c r="A3306" s="41" t="str">
        <f>IFERROR(__xludf.DUMMYFUNCTION("""COMPUTED_VALUE"""),"RSC003314")</f>
        <v>RSC003314</v>
      </c>
      <c r="B3306" s="41" t="str">
        <f>IFERROR(__xludf.DUMMYFUNCTION("""COMPUTED_VALUE"""),"Vaan (change)")</f>
        <v>Vaan (change)</v>
      </c>
    </row>
    <row r="3307">
      <c r="A3307" s="41" t="str">
        <f>IFERROR(__xludf.DUMMYFUNCTION("""COMPUTED_VALUE"""),"RSC003315")</f>
        <v>RSC003315</v>
      </c>
      <c r="B3307" s="41" t="str">
        <f>IFERROR(__xludf.DUMMYFUNCTION("""COMPUTED_VALUE"""),"Zeph")</f>
        <v>Zeph</v>
      </c>
    </row>
    <row r="3308">
      <c r="A3308" s="41" t="str">
        <f>IFERROR(__xludf.DUMMYFUNCTION("""COMPUTED_VALUE"""),"RSC003316")</f>
        <v>RSC003316</v>
      </c>
      <c r="B3308" s="41" t="str">
        <f>IFERROR(__xludf.DUMMYFUNCTION("""COMPUTED_VALUE"""),"I_PrimeFire_I")</f>
        <v>I_PrimeFire_I</v>
      </c>
    </row>
    <row r="3309">
      <c r="A3309" s="41" t="str">
        <f>IFERROR(__xludf.DUMMYFUNCTION("""COMPUTED_VALUE"""),"RSC003317")</f>
        <v>RSC003317</v>
      </c>
      <c r="B3309" s="41" t="str">
        <f>IFERROR(__xludf.DUMMYFUNCTION("""COMPUTED_VALUE"""),"Air1_Beast-")</f>
        <v>Air1_Beast-</v>
      </c>
    </row>
    <row r="3310">
      <c r="A3310" s="41" t="str">
        <f>IFERROR(__xludf.DUMMYFUNCTION("""COMPUTED_VALUE"""),"RSC003318")</f>
        <v>RSC003318</v>
      </c>
      <c r="B3310" s="41" t="str">
        <f>IFERROR(__xludf.DUMMYFUNCTION("""COMPUTED_VALUE"""),"Koolex")</f>
        <v>Koolex</v>
      </c>
    </row>
    <row r="3311">
      <c r="A3311" s="41" t="str">
        <f>IFERROR(__xludf.DUMMYFUNCTION("""COMPUTED_VALUE"""),"RSC003319")</f>
        <v>RSC003319</v>
      </c>
      <c r="B3311" s="41" t="str">
        <f>IFERROR(__xludf.DUMMYFUNCTION("""COMPUTED_VALUE"""),"Lil'O")</f>
        <v>Lil'O</v>
      </c>
    </row>
    <row r="3312">
      <c r="A3312" s="41" t="str">
        <f>IFERROR(__xludf.DUMMYFUNCTION("""COMPUTED_VALUE"""),"RSC003320")</f>
        <v>RSC003320</v>
      </c>
      <c r="B3312" s="41" t="str">
        <f>IFERROR(__xludf.DUMMYFUNCTION("""COMPUTED_VALUE"""),"jojomojo13")</f>
        <v>jojomojo13</v>
      </c>
    </row>
    <row r="3313">
      <c r="A3313" s="41" t="str">
        <f>IFERROR(__xludf.DUMMYFUNCTION("""COMPUTED_VALUE"""),"RSC003321")</f>
        <v>RSC003321</v>
      </c>
      <c r="B3313" s="41" t="str">
        <f>IFERROR(__xludf.DUMMYFUNCTION("""COMPUTED_VALUE"""),"mew_jr")</f>
        <v>mew_jr</v>
      </c>
    </row>
    <row r="3314">
      <c r="A3314" s="41" t="str">
        <f>IFERROR(__xludf.DUMMYFUNCTION("""COMPUTED_VALUE"""),"RSC003322")</f>
        <v>RSC003322</v>
      </c>
      <c r="B3314" s="41" t="str">
        <f>IFERROR(__xludf.DUMMYFUNCTION("""COMPUTED_VALUE"""),"cmonchan")</f>
        <v>cmonchan</v>
      </c>
    </row>
    <row r="3315">
      <c r="A3315" s="41" t="str">
        <f>IFERROR(__xludf.DUMMYFUNCTION("""COMPUTED_VALUE"""),"RSC003323")</f>
        <v>RSC003323</v>
      </c>
      <c r="B3315" s="41" t="str">
        <f>IFERROR(__xludf.DUMMYFUNCTION("""COMPUTED_VALUE"""),"Boog McCroog")</f>
        <v>Boog McCroog</v>
      </c>
    </row>
    <row r="3316">
      <c r="A3316" s="41" t="str">
        <f>IFERROR(__xludf.DUMMYFUNCTION("""COMPUTED_VALUE"""),"RSC003324")</f>
        <v>RSC003324</v>
      </c>
      <c r="B3316" s="41" t="str">
        <f>IFERROR(__xludf.DUMMYFUNCTION("""COMPUTED_VALUE"""),"Jspiel")</f>
        <v>Jspiel</v>
      </c>
    </row>
    <row r="3317">
      <c r="A3317" s="41" t="str">
        <f>IFERROR(__xludf.DUMMYFUNCTION("""COMPUTED_VALUE"""),"RSC003325")</f>
        <v>RSC003325</v>
      </c>
      <c r="B3317" s="41" t="str">
        <f>IFERROR(__xludf.DUMMYFUNCTION("""COMPUTED_VALUE"""),"Plat Damon")</f>
        <v>Plat Damon</v>
      </c>
    </row>
    <row r="3318">
      <c r="A3318" s="41" t="str">
        <f>IFERROR(__xludf.DUMMYFUNCTION("""COMPUTED_VALUE"""),"RSC003326")</f>
        <v>RSC003326</v>
      </c>
      <c r="B3318" s="41" t="str">
        <f>IFERROR(__xludf.DUMMYFUNCTION("""COMPUTED_VALUE"""),"Prowinzorz")</f>
        <v>Prowinzorz</v>
      </c>
    </row>
    <row r="3319">
      <c r="A3319" s="41" t="str">
        <f>IFERROR(__xludf.DUMMYFUNCTION("""COMPUTED_VALUE"""),"RSC003327")</f>
        <v>RSC003327</v>
      </c>
      <c r="B3319" s="41" t="str">
        <f>IFERROR(__xludf.DUMMYFUNCTION("""COMPUTED_VALUE"""),"AceEvening74")</f>
        <v>AceEvening74</v>
      </c>
    </row>
    <row r="3320">
      <c r="A3320" s="41" t="str">
        <f>IFERROR(__xludf.DUMMYFUNCTION("""COMPUTED_VALUE"""),"RSC003328")</f>
        <v>RSC003328</v>
      </c>
      <c r="B3320" s="41" t="str">
        <f>IFERROR(__xludf.DUMMYFUNCTION("""COMPUTED_VALUE"""),"Tranquil Horse")</f>
        <v>Tranquil Horse</v>
      </c>
    </row>
    <row r="3321">
      <c r="A3321" s="41" t="str">
        <f>IFERROR(__xludf.DUMMYFUNCTION("""COMPUTED_VALUE"""),"RSC003329")</f>
        <v>RSC003329</v>
      </c>
      <c r="B3321" s="41" t="str">
        <f>IFERROR(__xludf.DUMMYFUNCTION("""COMPUTED_VALUE"""),"Koirley")</f>
        <v>Koirley</v>
      </c>
    </row>
    <row r="3322">
      <c r="A3322" s="41" t="str">
        <f>IFERROR(__xludf.DUMMYFUNCTION("""COMPUTED_VALUE"""),"RSC003330")</f>
        <v>RSC003330</v>
      </c>
      <c r="B3322" s="41" t="str">
        <f>IFERROR(__xludf.DUMMYFUNCTION("""COMPUTED_VALUE"""),"LebaneseNinja")</f>
        <v>LebaneseNinja</v>
      </c>
    </row>
    <row r="3323">
      <c r="A3323" s="41" t="str">
        <f>IFERROR(__xludf.DUMMYFUNCTION("""COMPUTED_VALUE"""),"RSC003331")</f>
        <v>RSC003331</v>
      </c>
      <c r="B3323" s="41" t="str">
        <f>IFERROR(__xludf.DUMMYFUNCTION("""COMPUTED_VALUE"""),"Frostii")</f>
        <v>Frostii</v>
      </c>
    </row>
    <row r="3324">
      <c r="A3324" s="41" t="str">
        <f>IFERROR(__xludf.DUMMYFUNCTION("""COMPUTED_VALUE"""),"RSC003332")</f>
        <v>RSC003332</v>
      </c>
      <c r="B3324" s="41" t="str">
        <f>IFERROR(__xludf.DUMMYFUNCTION("""COMPUTED_VALUE"""),"GenerallyMean")</f>
        <v>GenerallyMean</v>
      </c>
    </row>
    <row r="3325">
      <c r="A3325" s="41" t="str">
        <f>IFERROR(__xludf.DUMMYFUNCTION("""COMPUTED_VALUE"""),"RSC003333")</f>
        <v>RSC003333</v>
      </c>
      <c r="B3325" s="41" t="str">
        <f>IFERROR(__xludf.DUMMYFUNCTION("""COMPUTED_VALUE"""),"Mike The Ox")</f>
        <v>Mike The Ox</v>
      </c>
    </row>
    <row r="3326">
      <c r="A3326" s="41" t="str">
        <f>IFERROR(__xludf.DUMMYFUNCTION("""COMPUTED_VALUE"""),"RSC003334")</f>
        <v>RSC003334</v>
      </c>
      <c r="B3326" s="41" t="str">
        <f>IFERROR(__xludf.DUMMYFUNCTION("""COMPUTED_VALUE"""),"hawk rl")</f>
        <v>hawk rl</v>
      </c>
    </row>
    <row r="3327">
      <c r="A3327" s="41" t="str">
        <f>IFERROR(__xludf.DUMMYFUNCTION("""COMPUTED_VALUE"""),"RSC003335")</f>
        <v>RSC003335</v>
      </c>
      <c r="B3327" s="41" t="str">
        <f>IFERROR(__xludf.DUMMYFUNCTION("""COMPUTED_VALUE"""),"xEaglex20x")</f>
        <v>xEaglex20x</v>
      </c>
    </row>
    <row r="3328">
      <c r="A3328" s="41" t="str">
        <f>IFERROR(__xludf.DUMMYFUNCTION("""COMPUTED_VALUE"""),"RSC003336")</f>
        <v>RSC003336</v>
      </c>
      <c r="B3328" s="41" t="str">
        <f>IFERROR(__xludf.DUMMYFUNCTION("""COMPUTED_VALUE"""),"XZnderx")</f>
        <v>XZnderx</v>
      </c>
    </row>
    <row r="3329">
      <c r="A3329" s="41" t="str">
        <f>IFERROR(__xludf.DUMMYFUNCTION("""COMPUTED_VALUE"""),"RSC003337")</f>
        <v>RSC003337</v>
      </c>
      <c r="B3329" s="41" t="str">
        <f>IFERROR(__xludf.DUMMYFUNCTION("""COMPUTED_VALUE"""),"SuperSpookyGuy.")</f>
        <v>SuperSpookyGuy.</v>
      </c>
    </row>
    <row r="3330">
      <c r="A3330" s="41" t="str">
        <f>IFERROR(__xludf.DUMMYFUNCTION("""COMPUTED_VALUE"""),"RSC003338")</f>
        <v>RSC003338</v>
      </c>
      <c r="B3330" s="41" t="str">
        <f>IFERROR(__xludf.DUMMYFUNCTION("""COMPUTED_VALUE"""),"Emolga")</f>
        <v>Emolga</v>
      </c>
    </row>
    <row r="3331">
      <c r="A3331" s="41" t="str">
        <f>IFERROR(__xludf.DUMMYFUNCTION("""COMPUTED_VALUE"""),"RSC003339")</f>
        <v>RSC003339</v>
      </c>
      <c r="B3331" s="41" t="str">
        <f>IFERROR(__xludf.DUMMYFUNCTION("""COMPUTED_VALUE"""),"Jacob.")</f>
        <v>Jacob.</v>
      </c>
    </row>
    <row r="3332">
      <c r="A3332" s="41" t="str">
        <f>IFERROR(__xludf.DUMMYFUNCTION("""COMPUTED_VALUE"""),"RSC003340")</f>
        <v>RSC003340</v>
      </c>
      <c r="B3332" s="41" t="str">
        <f>IFERROR(__xludf.DUMMYFUNCTION("""COMPUTED_VALUE"""),"badger")</f>
        <v>badger</v>
      </c>
    </row>
    <row r="3333">
      <c r="A3333" s="41" t="str">
        <f>IFERROR(__xludf.DUMMYFUNCTION("""COMPUTED_VALUE"""),"RSC003341")</f>
        <v>RSC003341</v>
      </c>
      <c r="B3333" s="41" t="str">
        <f>IFERROR(__xludf.DUMMYFUNCTION("""COMPUTED_VALUE"""),"slimmyj1")</f>
        <v>slimmyj1</v>
      </c>
    </row>
    <row r="3334">
      <c r="A3334" s="41" t="str">
        <f>IFERROR(__xludf.DUMMYFUNCTION("""COMPUTED_VALUE"""),"RSC003342")</f>
        <v>RSC003342</v>
      </c>
      <c r="B3334" s="41" t="str">
        <f>IFERROR(__xludf.DUMMYFUNCTION("""COMPUTED_VALUE"""),"NowlingPro")</f>
        <v>NowlingPro</v>
      </c>
    </row>
    <row r="3335">
      <c r="A3335" s="41" t="str">
        <f>IFERROR(__xludf.DUMMYFUNCTION("""COMPUTED_VALUE"""),"RSC003343")</f>
        <v>RSC003343</v>
      </c>
      <c r="B3335" s="41" t="str">
        <f>IFERROR(__xludf.DUMMYFUNCTION("""COMPUTED_VALUE"""),"BDSM Jones")</f>
        <v>BDSM Jones</v>
      </c>
    </row>
    <row r="3336">
      <c r="A3336" s="41" t="str">
        <f>IFERROR(__xludf.DUMMYFUNCTION("""COMPUTED_VALUE"""),"RSC003344")</f>
        <v>RSC003344</v>
      </c>
      <c r="B3336" s="41" t="str">
        <f>IFERROR(__xludf.DUMMYFUNCTION("""COMPUTED_VALUE"""),"Frisbee")</f>
        <v>Frisbee</v>
      </c>
    </row>
    <row r="3337">
      <c r="A3337" s="41" t="str">
        <f>IFERROR(__xludf.DUMMYFUNCTION("""COMPUTED_VALUE"""),"RSC003345")</f>
        <v>RSC003345</v>
      </c>
      <c r="B3337" s="41" t="str">
        <f>IFERROR(__xludf.DUMMYFUNCTION("""COMPUTED_VALUE"""),"Padheasha")</f>
        <v>Padheasha</v>
      </c>
    </row>
    <row r="3338">
      <c r="A3338" s="41" t="str">
        <f>IFERROR(__xludf.DUMMYFUNCTION("""COMPUTED_VALUE"""),"RSC003346")</f>
        <v>RSC003346</v>
      </c>
      <c r="B3338" s="41" t="str">
        <f>IFERROR(__xludf.DUMMYFUNCTION("""COMPUTED_VALUE"""),"MysteriousCoconut")</f>
        <v>MysteriousCoconut</v>
      </c>
    </row>
    <row r="3339">
      <c r="A3339" s="41" t="str">
        <f>IFERROR(__xludf.DUMMYFUNCTION("""COMPUTED_VALUE"""),"RSC003347")</f>
        <v>RSC003347</v>
      </c>
      <c r="B3339" s="41" t="str">
        <f>IFERROR(__xludf.DUMMYFUNCTION("""COMPUTED_VALUE"""),"GoodNeighbor")</f>
        <v>GoodNeighbor</v>
      </c>
    </row>
    <row r="3340">
      <c r="A3340" s="41" t="str">
        <f>IFERROR(__xludf.DUMMYFUNCTION("""COMPUTED_VALUE"""),"RSC003348")</f>
        <v>RSC003348</v>
      </c>
      <c r="B3340" s="41" t="str">
        <f>IFERROR(__xludf.DUMMYFUNCTION("""COMPUTED_VALUE"""),"Heck")</f>
        <v>Heck</v>
      </c>
    </row>
    <row r="3341">
      <c r="A3341" s="41" t="str">
        <f>IFERROR(__xludf.DUMMYFUNCTION("""COMPUTED_VALUE"""),"RSC003349")</f>
        <v>RSC003349</v>
      </c>
      <c r="B3341" s="41" t="str">
        <f>IFERROR(__xludf.DUMMYFUNCTION("""COMPUTED_VALUE"""),"Whippetrealgood")</f>
        <v>Whippetrealgood</v>
      </c>
    </row>
    <row r="3342">
      <c r="A3342" s="41" t="str">
        <f>IFERROR(__xludf.DUMMYFUNCTION("""COMPUTED_VALUE"""),"RSC003350")</f>
        <v>RSC003350</v>
      </c>
      <c r="B3342" s="41" t="str">
        <f>IFERROR(__xludf.DUMMYFUNCTION("""COMPUTED_VALUE"""),"jeremy")</f>
        <v>jeremy</v>
      </c>
    </row>
    <row r="3343">
      <c r="A3343" s="41" t="str">
        <f>IFERROR(__xludf.DUMMYFUNCTION("""COMPUTED_VALUE"""),"RSC003351")</f>
        <v>RSC003351</v>
      </c>
      <c r="B3343" s="41" t="str">
        <f>IFERROR(__xludf.DUMMYFUNCTION("""COMPUTED_VALUE"""),"Rex.")</f>
        <v>Rex.</v>
      </c>
    </row>
    <row r="3344">
      <c r="A3344" s="41" t="str">
        <f>IFERROR(__xludf.DUMMYFUNCTION("""COMPUTED_VALUE"""),"RSC003352")</f>
        <v>RSC003352</v>
      </c>
      <c r="B3344" s="41" t="str">
        <f>IFERROR(__xludf.DUMMYFUNCTION("""COMPUTED_VALUE"""),"Ses")</f>
        <v>Ses</v>
      </c>
    </row>
    <row r="3345">
      <c r="A3345" s="41" t="str">
        <f>IFERROR(__xludf.DUMMYFUNCTION("""COMPUTED_VALUE"""),"RSC003353")</f>
        <v>RSC003353</v>
      </c>
      <c r="B3345" s="41" t="str">
        <f>IFERROR(__xludf.DUMMYFUNCTION("""COMPUTED_VALUE"""),"Melon")</f>
        <v>Melon</v>
      </c>
    </row>
    <row r="3346">
      <c r="A3346" s="41" t="str">
        <f>IFERROR(__xludf.DUMMYFUNCTION("""COMPUTED_VALUE"""),"RSC003354")</f>
        <v>RSC003354</v>
      </c>
      <c r="B3346" s="41" t="str">
        <f>IFERROR(__xludf.DUMMYFUNCTION("""COMPUTED_VALUE"""),"SaxyBoi")</f>
        <v>SaxyBoi</v>
      </c>
    </row>
    <row r="3347">
      <c r="A3347" s="41" t="str">
        <f>IFERROR(__xludf.DUMMYFUNCTION("""COMPUTED_VALUE"""),"RSC003355")</f>
        <v>RSC003355</v>
      </c>
      <c r="B3347" s="41" t="str">
        <f>IFERROR(__xludf.DUMMYFUNCTION("""COMPUTED_VALUE"""),"mjrlazer")</f>
        <v>mjrlazer</v>
      </c>
    </row>
    <row r="3348">
      <c r="A3348" s="41" t="str">
        <f>IFERROR(__xludf.DUMMYFUNCTION("""COMPUTED_VALUE"""),"RSC003356")</f>
        <v>RSC003356</v>
      </c>
      <c r="B3348" s="41" t="str">
        <f>IFERROR(__xludf.DUMMYFUNCTION("""COMPUTED_VALUE"""),"Hellojackie5877")</f>
        <v>Hellojackie5877</v>
      </c>
    </row>
    <row r="3349">
      <c r="A3349" s="41" t="str">
        <f>IFERROR(__xludf.DUMMYFUNCTION("""COMPUTED_VALUE"""),"RSC003357")</f>
        <v>RSC003357</v>
      </c>
      <c r="B3349" s="41" t="str">
        <f>IFERROR(__xludf.DUMMYFUNCTION("""COMPUTED_VALUE"""),"TanManYan")</f>
        <v>TanManYan</v>
      </c>
    </row>
    <row r="3350">
      <c r="A3350" s="41" t="str">
        <f>IFERROR(__xludf.DUMMYFUNCTION("""COMPUTED_VALUE"""),"RSC003358")</f>
        <v>RSC003358</v>
      </c>
      <c r="B3350" s="41" t="str">
        <f>IFERROR(__xludf.DUMMYFUNCTION("""COMPUTED_VALUE"""),"galacticcccc")</f>
        <v>galacticcccc</v>
      </c>
    </row>
    <row r="3351">
      <c r="A3351" s="41" t="str">
        <f>IFERROR(__xludf.DUMMYFUNCTION("""COMPUTED_VALUE"""),"RSC003359")</f>
        <v>RSC003359</v>
      </c>
      <c r="B3351" s="41" t="str">
        <f>IFERROR(__xludf.DUMMYFUNCTION("""COMPUTED_VALUE"""),"Yeet_Dale")</f>
        <v>Yeet_Dale</v>
      </c>
    </row>
    <row r="3352">
      <c r="A3352" s="41" t="str">
        <f>IFERROR(__xludf.DUMMYFUNCTION("""COMPUTED_VALUE"""),"RSC003360")</f>
        <v>RSC003360</v>
      </c>
      <c r="B3352" s="41" t="str">
        <f>IFERROR(__xludf.DUMMYFUNCTION("""COMPUTED_VALUE"""),"flossy")</f>
        <v>flossy</v>
      </c>
    </row>
    <row r="3353">
      <c r="A3353" s="41" t="str">
        <f>IFERROR(__xludf.DUMMYFUNCTION("""COMPUTED_VALUE"""),"RSC003361")</f>
        <v>RSC003361</v>
      </c>
      <c r="B3353" s="41" t="str">
        <f>IFERROR(__xludf.DUMMYFUNCTION("""COMPUTED_VALUE"""),"Paulie")</f>
        <v>Paulie</v>
      </c>
    </row>
    <row r="3354">
      <c r="A3354" s="41" t="str">
        <f>IFERROR(__xludf.DUMMYFUNCTION("""COMPUTED_VALUE"""),"RSC003362")</f>
        <v>RSC003362</v>
      </c>
      <c r="B3354" s="41" t="str">
        <f>IFERROR(__xludf.DUMMYFUNCTION("""COMPUTED_VALUE"""),"Quidditch Captn")</f>
        <v>Quidditch Captn</v>
      </c>
    </row>
    <row r="3355">
      <c r="A3355" s="41" t="str">
        <f>IFERROR(__xludf.DUMMYFUNCTION("""COMPUTED_VALUE"""),"RSC003363")</f>
        <v>RSC003363</v>
      </c>
      <c r="B3355" s="41" t="str">
        <f>IFERROR(__xludf.DUMMYFUNCTION("""COMPUTED_VALUE"""),"ty_theuberguy")</f>
        <v>ty_theuberguy</v>
      </c>
    </row>
    <row r="3356">
      <c r="A3356" s="41" t="str">
        <f>IFERROR(__xludf.DUMMYFUNCTION("""COMPUTED_VALUE"""),"RSC003364")</f>
        <v>RSC003364</v>
      </c>
      <c r="B3356" s="41" t="str">
        <f>IFERROR(__xludf.DUMMYFUNCTION("""COMPUTED_VALUE"""),"Thicctator")</f>
        <v>Thicctator</v>
      </c>
    </row>
    <row r="3357">
      <c r="A3357" s="41" t="str">
        <f>IFERROR(__xludf.DUMMYFUNCTION("""COMPUTED_VALUE"""),"RSC003365")</f>
        <v>RSC003365</v>
      </c>
      <c r="B3357" s="41" t="str">
        <f>IFERROR(__xludf.DUMMYFUNCTION("""COMPUTED_VALUE"""),"gorgontothemax")</f>
        <v>gorgontothemax</v>
      </c>
    </row>
    <row r="3358">
      <c r="A3358" s="41" t="str">
        <f>IFERROR(__xludf.DUMMYFUNCTION("""COMPUTED_VALUE"""),"RSC003366")</f>
        <v>RSC003366</v>
      </c>
      <c r="B3358" s="41" t="str">
        <f>IFERROR(__xludf.DUMMYFUNCTION("""COMPUTED_VALUE"""),"No U")</f>
        <v>No U</v>
      </c>
    </row>
    <row r="3359">
      <c r="A3359" s="41" t="str">
        <f>IFERROR(__xludf.DUMMYFUNCTION("""COMPUTED_VALUE"""),"RSC003367")</f>
        <v>RSC003367</v>
      </c>
      <c r="B3359" s="41" t="str">
        <f>IFERROR(__xludf.DUMMYFUNCTION("""COMPUTED_VALUE"""),"OsoGhost")</f>
        <v>OsoGhost</v>
      </c>
    </row>
    <row r="3360">
      <c r="A3360" s="41" t="str">
        <f>IFERROR(__xludf.DUMMYFUNCTION("""COMPUTED_VALUE"""),"RSC003368")</f>
        <v>RSC003368</v>
      </c>
      <c r="B3360" s="41" t="str">
        <f>IFERROR(__xludf.DUMMYFUNCTION("""COMPUTED_VALUE"""),"Truth Seeker")</f>
        <v>Truth Seeker</v>
      </c>
    </row>
    <row r="3361">
      <c r="A3361" s="41" t="str">
        <f>IFERROR(__xludf.DUMMYFUNCTION("""COMPUTED_VALUE"""),"RSC003369")</f>
        <v>RSC003369</v>
      </c>
      <c r="B3361" s="41" t="str">
        <f>IFERROR(__xludf.DUMMYFUNCTION("""COMPUTED_VALUE"""),"Roman")</f>
        <v>Roman</v>
      </c>
    </row>
    <row r="3362">
      <c r="A3362" s="41" t="str">
        <f>IFERROR(__xludf.DUMMYFUNCTION("""COMPUTED_VALUE"""),"RSC003370")</f>
        <v>RSC003370</v>
      </c>
      <c r="B3362" s="41" t="str">
        <f>IFERROR(__xludf.DUMMYFUNCTION("""COMPUTED_VALUE"""),"KentonBaller")</f>
        <v>KentonBaller</v>
      </c>
    </row>
    <row r="3363">
      <c r="A3363" s="41" t="str">
        <f>IFERROR(__xludf.DUMMYFUNCTION("""COMPUTED_VALUE"""),"RSC003371")</f>
        <v>RSC003371</v>
      </c>
      <c r="B3363" s="41" t="str">
        <f>IFERROR(__xludf.DUMMYFUNCTION("""COMPUTED_VALUE"""),"Z-CLUTCH")</f>
        <v>Z-CLUTCH</v>
      </c>
    </row>
    <row r="3364">
      <c r="A3364" s="41" t="str">
        <f>IFERROR(__xludf.DUMMYFUNCTION("""COMPUTED_VALUE"""),"RSC003372")</f>
        <v>RSC003372</v>
      </c>
      <c r="B3364" s="41" t="str">
        <f>IFERROR(__xludf.DUMMYFUNCTION("""COMPUTED_VALUE"""),"Zeikel")</f>
        <v>Zeikel</v>
      </c>
    </row>
    <row r="3365">
      <c r="A3365" s="41" t="str">
        <f>IFERROR(__xludf.DUMMYFUNCTION("""COMPUTED_VALUE"""),"RSC003373")</f>
        <v>RSC003373</v>
      </c>
      <c r="B3365" s="41" t="str">
        <f>IFERROR(__xludf.DUMMYFUNCTION("""COMPUTED_VALUE"""),"MizzyRL")</f>
        <v>MizzyRL</v>
      </c>
    </row>
    <row r="3366">
      <c r="A3366" s="41" t="str">
        <f>IFERROR(__xludf.DUMMYFUNCTION("""COMPUTED_VALUE"""),"RSC003374")</f>
        <v>RSC003374</v>
      </c>
      <c r="B3366" s="41" t="str">
        <f>IFERROR(__xludf.DUMMYFUNCTION("""COMPUTED_VALUE"""),"Raisonbran")</f>
        <v>Raisonbran</v>
      </c>
    </row>
    <row r="3367">
      <c r="A3367" s="41" t="str">
        <f>IFERROR(__xludf.DUMMYFUNCTION("""COMPUTED_VALUE"""),"RSC003375")</f>
        <v>RSC003375</v>
      </c>
      <c r="B3367" s="41" t="str">
        <f>IFERROR(__xludf.DUMMYFUNCTION("""COMPUTED_VALUE"""),"budwhyzir")</f>
        <v>budwhyzir</v>
      </c>
    </row>
    <row r="3368">
      <c r="A3368" s="41" t="str">
        <f>IFERROR(__xludf.DUMMYFUNCTION("""COMPUTED_VALUE"""),"RSC003376")</f>
        <v>RSC003376</v>
      </c>
      <c r="B3368" s="41" t="str">
        <f>IFERROR(__xludf.DUMMYFUNCTION("""COMPUTED_VALUE"""),"Zarathustra")</f>
        <v>Zarathustra</v>
      </c>
    </row>
    <row r="3369">
      <c r="A3369" s="41" t="str">
        <f>IFERROR(__xludf.DUMMYFUNCTION("""COMPUTED_VALUE"""),"RSC003377")</f>
        <v>RSC003377</v>
      </c>
      <c r="B3369" s="41" t="str">
        <f>IFERROR(__xludf.DUMMYFUNCTION("""COMPUTED_VALUE"""),"AsianBoyz143")</f>
        <v>AsianBoyz143</v>
      </c>
    </row>
    <row r="3370">
      <c r="A3370" s="41" t="str">
        <f>IFERROR(__xludf.DUMMYFUNCTION("""COMPUTED_VALUE"""),"RSC003378")</f>
        <v>RSC003378</v>
      </c>
      <c r="B3370" s="41" t="str">
        <f>IFERROR(__xludf.DUMMYFUNCTION("""COMPUTED_VALUE"""),"Reyn")</f>
        <v>Reyn</v>
      </c>
    </row>
    <row r="3371">
      <c r="A3371" s="41" t="str">
        <f>IFERROR(__xludf.DUMMYFUNCTION("""COMPUTED_VALUE"""),"RSC003379")</f>
        <v>RSC003379</v>
      </c>
      <c r="B3371" s="41" t="str">
        <f>IFERROR(__xludf.DUMMYFUNCTION("""COMPUTED_VALUE"""),"gsjan")</f>
        <v>gsjan</v>
      </c>
    </row>
    <row r="3372">
      <c r="A3372" s="41" t="str">
        <f>IFERROR(__xludf.DUMMYFUNCTION("""COMPUTED_VALUE"""),"RSC003380")</f>
        <v>RSC003380</v>
      </c>
      <c r="B3372" s="41" t="str">
        <f>IFERROR(__xludf.DUMMYFUNCTION("""COMPUTED_VALUE"""),"revan")</f>
        <v>revan</v>
      </c>
    </row>
    <row r="3373">
      <c r="A3373" s="41" t="str">
        <f>IFERROR(__xludf.DUMMYFUNCTION("""COMPUTED_VALUE"""),"RSC003381")</f>
        <v>RSC003381</v>
      </c>
      <c r="B3373" s="41" t="str">
        <f>IFERROR(__xludf.DUMMYFUNCTION("""COMPUTED_VALUE"""),"strik3r815")</f>
        <v>strik3r815</v>
      </c>
    </row>
    <row r="3374">
      <c r="A3374" s="41" t="str">
        <f>IFERROR(__xludf.DUMMYFUNCTION("""COMPUTED_VALUE"""),"RSC003382")</f>
        <v>RSC003382</v>
      </c>
      <c r="B3374" s="41" t="str">
        <f>IFERROR(__xludf.DUMMYFUNCTION("""COMPUTED_VALUE"""),"Whymer")</f>
        <v>Whymer</v>
      </c>
    </row>
    <row r="3375">
      <c r="A3375" s="41" t="str">
        <f>IFERROR(__xludf.DUMMYFUNCTION("""COMPUTED_VALUE"""),"RSC003383")</f>
        <v>RSC003383</v>
      </c>
      <c r="B3375" s="41" t="str">
        <f>IFERROR(__xludf.DUMMYFUNCTION("""COMPUTED_VALUE"""),"Uno_Badass_Texan")</f>
        <v>Uno_Badass_Texan</v>
      </c>
    </row>
    <row r="3376">
      <c r="A3376" s="41" t="str">
        <f>IFERROR(__xludf.DUMMYFUNCTION("""COMPUTED_VALUE"""),"RSC003384")</f>
        <v>RSC003384</v>
      </c>
      <c r="B3376" s="41" t="str">
        <f>IFERROR(__xludf.DUMMYFUNCTION("""COMPUTED_VALUE"""),"C4UTI0N")</f>
        <v>C4UTI0N</v>
      </c>
    </row>
    <row r="3377">
      <c r="A3377" s="41" t="str">
        <f>IFERROR(__xludf.DUMMYFUNCTION("""COMPUTED_VALUE"""),"RSC003385")</f>
        <v>RSC003385</v>
      </c>
      <c r="B3377" s="41" t="str">
        <f>IFERROR(__xludf.DUMMYFUNCTION("""COMPUTED_VALUE"""),"NATEB | YT Elitz III")</f>
        <v>NATEB | YT Elitz III</v>
      </c>
    </row>
    <row r="3378">
      <c r="A3378" s="41" t="str">
        <f>IFERROR(__xludf.DUMMYFUNCTION("""COMPUTED_VALUE"""),"RSC003386")</f>
        <v>RSC003386</v>
      </c>
      <c r="B3378" s="41" t="str">
        <f>IFERROR(__xludf.DUMMYFUNCTION("""COMPUTED_VALUE"""),"Funshine_Avenger")</f>
        <v>Funshine_Avenger</v>
      </c>
    </row>
    <row r="3379">
      <c r="A3379" s="41" t="str">
        <f>IFERROR(__xludf.DUMMYFUNCTION("""COMPUTED_VALUE"""),"RSC003387")</f>
        <v>RSC003387</v>
      </c>
      <c r="B3379" s="41" t="str">
        <f>IFERROR(__xludf.DUMMYFUNCTION("""COMPUTED_VALUE"""),"Redline")</f>
        <v>Redline</v>
      </c>
    </row>
    <row r="3380">
      <c r="A3380" s="41" t="str">
        <f>IFERROR(__xludf.DUMMYFUNCTION("""COMPUTED_VALUE"""),"RSC003388")</f>
        <v>RSC003388</v>
      </c>
      <c r="B3380" s="41" t="str">
        <f>IFERROR(__xludf.DUMMYFUNCTION("""COMPUTED_VALUE"""),"Roden")</f>
        <v>Roden</v>
      </c>
    </row>
    <row r="3381">
      <c r="A3381" s="41" t="str">
        <f>IFERROR(__xludf.DUMMYFUNCTION("""COMPUTED_VALUE"""),"RSC003389")</f>
        <v>RSC003389</v>
      </c>
      <c r="B3381" s="41" t="str">
        <f>IFERROR(__xludf.DUMMYFUNCTION("""COMPUTED_VALUE"""),"danbad7")</f>
        <v>danbad7</v>
      </c>
    </row>
    <row r="3382">
      <c r="A3382" s="41" t="str">
        <f>IFERROR(__xludf.DUMMYFUNCTION("""COMPUTED_VALUE"""),"RSC003390")</f>
        <v>RSC003390</v>
      </c>
      <c r="B3382" s="41" t="str">
        <f>IFERROR(__xludf.DUMMYFUNCTION("""COMPUTED_VALUE"""),"cfracer833")</f>
        <v>cfracer833</v>
      </c>
    </row>
    <row r="3383">
      <c r="A3383" s="41" t="str">
        <f>IFERROR(__xludf.DUMMYFUNCTION("""COMPUTED_VALUE"""),"RSC003391")</f>
        <v>RSC003391</v>
      </c>
      <c r="B3383" s="41" t="str">
        <f>IFERROR(__xludf.DUMMYFUNCTION("""COMPUTED_VALUE"""),"-VenomZ")</f>
        <v>-VenomZ</v>
      </c>
    </row>
    <row r="3384">
      <c r="A3384" s="41" t="str">
        <f>IFERROR(__xludf.DUMMYFUNCTION("""COMPUTED_VALUE"""),"RSC003392")</f>
        <v>RSC003392</v>
      </c>
      <c r="B3384" s="41" t="str">
        <f>IFERROR(__xludf.DUMMYFUNCTION("""COMPUTED_VALUE"""),"chaz")</f>
        <v>chaz</v>
      </c>
    </row>
    <row r="3385">
      <c r="A3385" s="41" t="str">
        <f>IFERROR(__xludf.DUMMYFUNCTION("""COMPUTED_VALUE"""),"RSC003393")</f>
        <v>RSC003393</v>
      </c>
      <c r="B3385" s="41" t="str">
        <f>IFERROR(__xludf.DUMMYFUNCTION("""COMPUTED_VALUE"""),"R0NIN RL")</f>
        <v>R0NIN RL</v>
      </c>
    </row>
    <row r="3386">
      <c r="A3386" s="41" t="str">
        <f>IFERROR(__xludf.DUMMYFUNCTION("""COMPUTED_VALUE"""),"RSC003394")</f>
        <v>RSC003394</v>
      </c>
      <c r="B3386" s="41" t="str">
        <f>IFERROR(__xludf.DUMMYFUNCTION("""COMPUTED_VALUE"""),"pikmanchu")</f>
        <v>pikmanchu</v>
      </c>
    </row>
    <row r="3387">
      <c r="A3387" s="41" t="str">
        <f>IFERROR(__xludf.DUMMYFUNCTION("""COMPUTED_VALUE"""),"RSC003395")</f>
        <v>RSC003395</v>
      </c>
      <c r="B3387" s="41" t="str">
        <f>IFERROR(__xludf.DUMMYFUNCTION("""COMPUTED_VALUE"""),"God Kills")</f>
        <v>God Kills</v>
      </c>
    </row>
    <row r="3388">
      <c r="A3388" s="41" t="str">
        <f>IFERROR(__xludf.DUMMYFUNCTION("""COMPUTED_VALUE"""),"RSC003396")</f>
        <v>RSC003396</v>
      </c>
      <c r="B3388" s="41" t="str">
        <f>IFERROR(__xludf.DUMMYFUNCTION("""COMPUTED_VALUE"""),"superkickass94")</f>
        <v>superkickass94</v>
      </c>
    </row>
    <row r="3389">
      <c r="A3389" s="41" t="str">
        <f>IFERROR(__xludf.DUMMYFUNCTION("""COMPUTED_VALUE"""),"RSC003397")</f>
        <v>RSC003397</v>
      </c>
      <c r="B3389" s="41" t="str">
        <f>IFERROR(__xludf.DUMMYFUNCTION("""COMPUTED_VALUE"""),"Uncle Chuck")</f>
        <v>Uncle Chuck</v>
      </c>
    </row>
    <row r="3390">
      <c r="A3390" s="41" t="str">
        <f>IFERROR(__xludf.DUMMYFUNCTION("""COMPUTED_VALUE"""),"RSC003398")</f>
        <v>RSC003398</v>
      </c>
      <c r="B3390" s="41" t="str">
        <f>IFERROR(__xludf.DUMMYFUNCTION("""COMPUTED_VALUE"""),"Skepsis")</f>
        <v>Skepsis</v>
      </c>
    </row>
    <row r="3391">
      <c r="A3391" s="41" t="str">
        <f>IFERROR(__xludf.DUMMYFUNCTION("""COMPUTED_VALUE"""),"RSC003399")</f>
        <v>RSC003399</v>
      </c>
      <c r="B3391" s="41" t="str">
        <f>IFERROR(__xludf.DUMMYFUNCTION("""COMPUTED_VALUE"""),"josan")</f>
        <v>josan</v>
      </c>
    </row>
    <row r="3392">
      <c r="A3392" s="41" t="str">
        <f>IFERROR(__xludf.DUMMYFUNCTION("""COMPUTED_VALUE"""),"RSC003400")</f>
        <v>RSC003400</v>
      </c>
      <c r="B3392" s="41" t="str">
        <f>IFERROR(__xludf.DUMMYFUNCTION("""COMPUTED_VALUE"""),"Kill3d_It")</f>
        <v>Kill3d_It</v>
      </c>
    </row>
    <row r="3393">
      <c r="A3393" s="41" t="str">
        <f>IFERROR(__xludf.DUMMYFUNCTION("""COMPUTED_VALUE"""),"RSC003401")</f>
        <v>RSC003401</v>
      </c>
      <c r="B3393" s="41" t="str">
        <f>IFERROR(__xludf.DUMMYFUNCTION("""COMPUTED_VALUE"""),"SLAY3R")</f>
        <v>SLAY3R</v>
      </c>
    </row>
    <row r="3394">
      <c r="A3394" s="41" t="str">
        <f>IFERROR(__xludf.DUMMYFUNCTION("""COMPUTED_VALUE"""),"RSC003402")</f>
        <v>RSC003402</v>
      </c>
      <c r="B3394" s="41" t="str">
        <f>IFERROR(__xludf.DUMMYFUNCTION("""COMPUTED_VALUE"""),"Almost Magic Mike")</f>
        <v>Almost Magic Mike</v>
      </c>
    </row>
    <row r="3395">
      <c r="A3395" s="41" t="str">
        <f>IFERROR(__xludf.DUMMYFUNCTION("""COMPUTED_VALUE"""),"RSC003403")</f>
        <v>RSC003403</v>
      </c>
      <c r="B3395" s="41" t="str">
        <f>IFERROR(__xludf.DUMMYFUNCTION("""COMPUTED_VALUE"""),"NFC reaper")</f>
        <v>NFC reaper</v>
      </c>
    </row>
    <row r="3396">
      <c r="A3396" s="41" t="str">
        <f>IFERROR(__xludf.DUMMYFUNCTION("""COMPUTED_VALUE"""),"RSC003404")</f>
        <v>RSC003404</v>
      </c>
      <c r="B3396" s="41" t="str">
        <f>IFERROR(__xludf.DUMMYFUNCTION("""COMPUTED_VALUE"""),"DragNutts")</f>
        <v>DragNutts</v>
      </c>
    </row>
    <row r="3397">
      <c r="A3397" s="41" t="str">
        <f>IFERROR(__xludf.DUMMYFUNCTION("""COMPUTED_VALUE"""),"RSC003405")</f>
        <v>RSC003405</v>
      </c>
      <c r="B3397" s="41" t="str">
        <f>IFERROR(__xludf.DUMMYFUNCTION("""COMPUTED_VALUE"""),"Shai")</f>
        <v>Shai</v>
      </c>
    </row>
    <row r="3398">
      <c r="A3398" s="41" t="str">
        <f>IFERROR(__xludf.DUMMYFUNCTION("""COMPUTED_VALUE"""),"RSC003406")</f>
        <v>RSC003406</v>
      </c>
      <c r="B3398" s="41" t="str">
        <f>IFERROR(__xludf.DUMMYFUNCTION("""COMPUTED_VALUE"""),"Sinatruh.")</f>
        <v>Sinatruh.</v>
      </c>
    </row>
    <row r="3399">
      <c r="A3399" s="41" t="str">
        <f>IFERROR(__xludf.DUMMYFUNCTION("""COMPUTED_VALUE"""),"RSC003407")</f>
        <v>RSC003407</v>
      </c>
      <c r="B3399" s="41" t="str">
        <f>IFERROR(__xludf.DUMMYFUNCTION("""COMPUTED_VALUE"""),"ShuTingYu")</f>
        <v>ShuTingYu</v>
      </c>
    </row>
    <row r="3400">
      <c r="A3400" s="41" t="str">
        <f>IFERROR(__xludf.DUMMYFUNCTION("""COMPUTED_VALUE"""),"RSC003408")</f>
        <v>RSC003408</v>
      </c>
      <c r="B3400" s="41" t="str">
        <f>IFERROR(__xludf.DUMMYFUNCTION("""COMPUTED_VALUE"""),"tilt")</f>
        <v>tilt</v>
      </c>
    </row>
    <row r="3401">
      <c r="A3401" s="41" t="str">
        <f>IFERROR(__xludf.DUMMYFUNCTION("""COMPUTED_VALUE"""),"RSC003409")</f>
        <v>RSC003409</v>
      </c>
      <c r="B3401" s="41" t="str">
        <f>IFERROR(__xludf.DUMMYFUNCTION("""COMPUTED_VALUE"""),"Jilly Boel")</f>
        <v>Jilly Boel</v>
      </c>
    </row>
    <row r="3402">
      <c r="A3402" s="41" t="str">
        <f>IFERROR(__xludf.DUMMYFUNCTION("""COMPUTED_VALUE"""),"RSC003410")</f>
        <v>RSC003410</v>
      </c>
      <c r="B3402" s="41" t="str">
        <f>IFERROR(__xludf.DUMMYFUNCTION("""COMPUTED_VALUE"""),"Jac9826")</f>
        <v>Jac9826</v>
      </c>
    </row>
    <row r="3403">
      <c r="A3403" s="41" t="str">
        <f>IFERROR(__xludf.DUMMYFUNCTION("""COMPUTED_VALUE"""),"RSC003411")</f>
        <v>RSC003411</v>
      </c>
      <c r="B3403" s="41" t="str">
        <f>IFERROR(__xludf.DUMMYFUNCTION("""COMPUTED_VALUE"""),"levibullrush")</f>
        <v>levibullrush</v>
      </c>
    </row>
    <row r="3404">
      <c r="A3404" s="41" t="str">
        <f>IFERROR(__xludf.DUMMYFUNCTION("""COMPUTED_VALUE"""),"RSC003412")</f>
        <v>RSC003412</v>
      </c>
      <c r="B3404" s="41" t="str">
        <f>IFERROR(__xludf.DUMMYFUNCTION("""COMPUTED_VALUE"""),"Python")</f>
        <v>Python</v>
      </c>
    </row>
    <row r="3405">
      <c r="A3405" s="41" t="str">
        <f>IFERROR(__xludf.DUMMYFUNCTION("""COMPUTED_VALUE"""),"RSC003413")</f>
        <v>RSC003413</v>
      </c>
      <c r="B3405" s="41" t="str">
        <f>IFERROR(__xludf.DUMMYFUNCTION("""COMPUTED_VALUE"""),"md.")</f>
        <v>md.</v>
      </c>
    </row>
    <row r="3406">
      <c r="A3406" s="41" t="str">
        <f>IFERROR(__xludf.DUMMYFUNCTION("""COMPUTED_VALUE"""),"RSC003414")</f>
        <v>RSC003414</v>
      </c>
      <c r="B3406" s="41" t="str">
        <f>IFERROR(__xludf.DUMMYFUNCTION("""COMPUTED_VALUE"""),"AustinW")</f>
        <v>AustinW</v>
      </c>
    </row>
    <row r="3407">
      <c r="A3407" s="41" t="str">
        <f>IFERROR(__xludf.DUMMYFUNCTION("""COMPUTED_VALUE"""),"RSC003415")</f>
        <v>RSC003415</v>
      </c>
      <c r="B3407" s="41" t="str">
        <f>IFERROR(__xludf.DUMMYFUNCTION("""COMPUTED_VALUE"""),"Alive")</f>
        <v>Alive</v>
      </c>
    </row>
    <row r="3408">
      <c r="A3408" s="41" t="str">
        <f>IFERROR(__xludf.DUMMYFUNCTION("""COMPUTED_VALUE"""),"RSC003416")</f>
        <v>RSC003416</v>
      </c>
      <c r="B3408" s="41" t="str">
        <f>IFERROR(__xludf.DUMMYFUNCTION("""COMPUTED_VALUE"""),"DrSkimMilk")</f>
        <v>DrSkimMilk</v>
      </c>
    </row>
    <row r="3409">
      <c r="A3409" s="41" t="str">
        <f>IFERROR(__xludf.DUMMYFUNCTION("""COMPUTED_VALUE"""),"RSC003417")</f>
        <v>RSC003417</v>
      </c>
      <c r="B3409" s="41" t="str">
        <f>IFERROR(__xludf.DUMMYFUNCTION("""COMPUTED_VALUE"""),"Sorus")</f>
        <v>Sorus</v>
      </c>
    </row>
    <row r="3410">
      <c r="A3410" s="41" t="str">
        <f>IFERROR(__xludf.DUMMYFUNCTION("""COMPUTED_VALUE"""),"RSC003418")</f>
        <v>RSC003418</v>
      </c>
      <c r="B3410" s="41" t="str">
        <f>IFERROR(__xludf.DUMMYFUNCTION("""COMPUTED_VALUE"""),"fern")</f>
        <v>fern</v>
      </c>
    </row>
    <row r="3411">
      <c r="A3411" s="41" t="str">
        <f>IFERROR(__xludf.DUMMYFUNCTION("""COMPUTED_VALUE"""),"RSC003419")</f>
        <v>RSC003419</v>
      </c>
      <c r="B3411" s="41" t="str">
        <f>IFERROR(__xludf.DUMMYFUNCTION("""COMPUTED_VALUE"""),"NOTx Maniac")</f>
        <v>NOTx Maniac</v>
      </c>
    </row>
    <row r="3412">
      <c r="A3412" s="41" t="str">
        <f>IFERROR(__xludf.DUMMYFUNCTION("""COMPUTED_VALUE"""),"RSC003420")</f>
        <v>RSC003420</v>
      </c>
      <c r="B3412" s="41" t="str">
        <f>IFERROR(__xludf.DUMMYFUNCTION("""COMPUTED_VALUE"""),"Dennis")</f>
        <v>Dennis</v>
      </c>
    </row>
    <row r="3413">
      <c r="A3413" s="41" t="str">
        <f>IFERROR(__xludf.DUMMYFUNCTION("""COMPUTED_VALUE"""),"RSC003421")</f>
        <v>RSC003421</v>
      </c>
      <c r="B3413" s="41" t="str">
        <f>IFERROR(__xludf.DUMMYFUNCTION("""COMPUTED_VALUE"""),"WashedUpLaxBro")</f>
        <v>WashedUpLaxBro</v>
      </c>
    </row>
    <row r="3414">
      <c r="A3414" s="41" t="str">
        <f>IFERROR(__xludf.DUMMYFUNCTION("""COMPUTED_VALUE"""),"RSC003422")</f>
        <v>RSC003422</v>
      </c>
      <c r="B3414" s="41" t="str">
        <f>IFERROR(__xludf.DUMMYFUNCTION("""COMPUTED_VALUE"""),"moalr")</f>
        <v>moalr</v>
      </c>
    </row>
    <row r="3415">
      <c r="A3415" s="41" t="str">
        <f>IFERROR(__xludf.DUMMYFUNCTION("""COMPUTED_VALUE"""),"RSC003423")</f>
        <v>RSC003423</v>
      </c>
      <c r="B3415" s="41" t="str">
        <f>IFERROR(__xludf.DUMMYFUNCTION("""COMPUTED_VALUE"""),"Benjimen")</f>
        <v>Benjimen</v>
      </c>
    </row>
    <row r="3416">
      <c r="A3416" s="41" t="str">
        <f>IFERROR(__xludf.DUMMYFUNCTION("""COMPUTED_VALUE"""),"RSC003424")</f>
        <v>RSC003424</v>
      </c>
      <c r="B3416" s="41" t="str">
        <f>IFERROR(__xludf.DUMMYFUNCTION("""COMPUTED_VALUE"""),"Fryder")</f>
        <v>Fryder</v>
      </c>
    </row>
    <row r="3417">
      <c r="A3417" s="41" t="str">
        <f>IFERROR(__xludf.DUMMYFUNCTION("""COMPUTED_VALUE"""),"RSC003425")</f>
        <v>RSC003425</v>
      </c>
      <c r="B3417" s="41" t="str">
        <f>IFERROR(__xludf.DUMMYFUNCTION("""COMPUTED_VALUE"""),"Sikki")</f>
        <v>Sikki</v>
      </c>
    </row>
    <row r="3418">
      <c r="A3418" s="41" t="str">
        <f>IFERROR(__xludf.DUMMYFUNCTION("""COMPUTED_VALUE"""),"RSC003426")</f>
        <v>RSC003426</v>
      </c>
      <c r="B3418" s="41" t="str">
        <f>IFERROR(__xludf.DUMMYFUNCTION("""COMPUTED_VALUE"""),"KingPo11ock")</f>
        <v>KingPo11ock</v>
      </c>
    </row>
    <row r="3419">
      <c r="A3419" s="41" t="str">
        <f>IFERROR(__xludf.DUMMYFUNCTION("""COMPUTED_VALUE"""),"RSC003427")</f>
        <v>RSC003427</v>
      </c>
      <c r="B3419" s="41" t="str">
        <f>IFERROR(__xludf.DUMMYFUNCTION("""COMPUTED_VALUE"""),"(P|F)ineapple")</f>
        <v>(P|F)ineapple</v>
      </c>
    </row>
    <row r="3420">
      <c r="A3420" s="41" t="str">
        <f>IFERROR(__xludf.DUMMYFUNCTION("""COMPUTED_VALUE"""),"RSC003428")</f>
        <v>RSC003428</v>
      </c>
      <c r="B3420" s="41" t="str">
        <f>IFERROR(__xludf.DUMMYFUNCTION("""COMPUTED_VALUE"""),"tor.")</f>
        <v>tor.</v>
      </c>
    </row>
    <row r="3421">
      <c r="A3421" s="41" t="str">
        <f>IFERROR(__xludf.DUMMYFUNCTION("""COMPUTED_VALUE"""),"RSC003429")</f>
        <v>RSC003429</v>
      </c>
      <c r="B3421" s="41" t="str">
        <f>IFERROR(__xludf.DUMMYFUNCTION("""COMPUTED_VALUE"""),"Gambit")</f>
        <v>Gambit</v>
      </c>
    </row>
    <row r="3422">
      <c r="A3422" s="41" t="str">
        <f>IFERROR(__xludf.DUMMYFUNCTION("""COMPUTED_VALUE"""),"RSC003430")</f>
        <v>RSC003430</v>
      </c>
      <c r="B3422" s="41" t="str">
        <f>IFERROR(__xludf.DUMMYFUNCTION("""COMPUTED_VALUE"""),"AvoidedEmu")</f>
        <v>AvoidedEmu</v>
      </c>
    </row>
    <row r="3423">
      <c r="A3423" s="41" t="str">
        <f>IFERROR(__xludf.DUMMYFUNCTION("""COMPUTED_VALUE"""),"RSC003431")</f>
        <v>RSC003431</v>
      </c>
      <c r="B3423" s="41" t="str">
        <f>IFERROR(__xludf.DUMMYFUNCTION("""COMPUTED_VALUE"""),"coal")</f>
        <v>coal</v>
      </c>
    </row>
    <row r="3424">
      <c r="A3424" s="41" t="str">
        <f>IFERROR(__xludf.DUMMYFUNCTION("""COMPUTED_VALUE"""),"RSC003432")</f>
        <v>RSC003432</v>
      </c>
      <c r="B3424" s="41" t="str">
        <f>IFERROR(__xludf.DUMMYFUNCTION("""COMPUTED_VALUE"""),"RedWingLegendAYG")</f>
        <v>RedWingLegendAYG</v>
      </c>
    </row>
    <row r="3425">
      <c r="A3425" s="41" t="str">
        <f>IFERROR(__xludf.DUMMYFUNCTION("""COMPUTED_VALUE"""),"RSC003433")</f>
        <v>RSC003433</v>
      </c>
      <c r="B3425" s="41" t="str">
        <f>IFERROR(__xludf.DUMMYFUNCTION("""COMPUTED_VALUE"""),"EllectroZx")</f>
        <v>EllectroZx</v>
      </c>
    </row>
    <row r="3426">
      <c r="A3426" s="41" t="str">
        <f>IFERROR(__xludf.DUMMYFUNCTION("""COMPUTED_VALUE"""),"RSC003434")</f>
        <v>RSC003434</v>
      </c>
      <c r="B3426" s="41" t="str">
        <f>IFERROR(__xludf.DUMMYFUNCTION("""COMPUTED_VALUE"""),"shadowrckts")</f>
        <v>shadowrckts</v>
      </c>
    </row>
    <row r="3427">
      <c r="A3427" s="41" t="str">
        <f>IFERROR(__xludf.DUMMYFUNCTION("""COMPUTED_VALUE"""),"RSC003435")</f>
        <v>RSC003435</v>
      </c>
      <c r="B3427" s="41" t="str">
        <f>IFERROR(__xludf.DUMMYFUNCTION("""COMPUTED_VALUE"""),"Luigi3820")</f>
        <v>Luigi3820</v>
      </c>
    </row>
    <row r="3428">
      <c r="A3428" s="41" t="str">
        <f>IFERROR(__xludf.DUMMYFUNCTION("""COMPUTED_VALUE"""),"RSC003436")</f>
        <v>RSC003436</v>
      </c>
      <c r="B3428" s="41" t="str">
        <f>IFERROR(__xludf.DUMMYFUNCTION("""COMPUTED_VALUE"""),"IMicheal")</f>
        <v>IMicheal</v>
      </c>
    </row>
    <row r="3429">
      <c r="A3429" s="41" t="str">
        <f>IFERROR(__xludf.DUMMYFUNCTION("""COMPUTED_VALUE"""),"RSC003437")</f>
        <v>RSC003437</v>
      </c>
      <c r="B3429" s="41" t="str">
        <f>IFERROR(__xludf.DUMMYFUNCTION("""COMPUTED_VALUE"""),"Gah'Lagah")</f>
        <v>Gah'Lagah</v>
      </c>
    </row>
    <row r="3430">
      <c r="A3430" s="41" t="str">
        <f>IFERROR(__xludf.DUMMYFUNCTION("""COMPUTED_VALUE"""),"RSC003438")</f>
        <v>RSC003438</v>
      </c>
      <c r="B3430" s="41" t="str">
        <f>IFERROR(__xludf.DUMMYFUNCTION("""COMPUTED_VALUE"""),"Xoullumanati")</f>
        <v>Xoullumanati</v>
      </c>
    </row>
    <row r="3431">
      <c r="A3431" s="41" t="str">
        <f>IFERROR(__xludf.DUMMYFUNCTION("""COMPUTED_VALUE"""),"RSC003439")</f>
        <v>RSC003439</v>
      </c>
      <c r="B3431" s="41" t="str">
        <f>IFERROR(__xludf.DUMMYFUNCTION("""COMPUTED_VALUE"""),"Eschew")</f>
        <v>Eschew</v>
      </c>
    </row>
    <row r="3432">
      <c r="A3432" s="41" t="str">
        <f>IFERROR(__xludf.DUMMYFUNCTION("""COMPUTED_VALUE"""),"RSC003440")</f>
        <v>RSC003440</v>
      </c>
      <c r="B3432" s="41" t="str">
        <f>IFERROR(__xludf.DUMMYFUNCTION("""COMPUTED_VALUE"""),"Drumline012")</f>
        <v>Drumline012</v>
      </c>
    </row>
    <row r="3433">
      <c r="A3433" s="41" t="str">
        <f>IFERROR(__xludf.DUMMYFUNCTION("""COMPUTED_VALUE"""),"RSC003441")</f>
        <v>RSC003441</v>
      </c>
      <c r="B3433" s="41" t="str">
        <f>IFERROR(__xludf.DUMMYFUNCTION("""COMPUTED_VALUE"""),"Colbai")</f>
        <v>Colbai</v>
      </c>
    </row>
    <row r="3434">
      <c r="A3434" s="41" t="str">
        <f>IFERROR(__xludf.DUMMYFUNCTION("""COMPUTED_VALUE"""),"RSC003442")</f>
        <v>RSC003442</v>
      </c>
      <c r="B3434" s="41" t="str">
        <f>IFERROR(__xludf.DUMMYFUNCTION("""COMPUTED_VALUE"""),"itoh")</f>
        <v>itoh</v>
      </c>
    </row>
    <row r="3435">
      <c r="A3435" s="41" t="str">
        <f>IFERROR(__xludf.DUMMYFUNCTION("""COMPUTED_VALUE"""),"RSC003443")</f>
        <v>RSC003443</v>
      </c>
      <c r="B3435" s="41" t="str">
        <f>IFERROR(__xludf.DUMMYFUNCTION("""COMPUTED_VALUE"""),"doge.")</f>
        <v>doge.</v>
      </c>
    </row>
    <row r="3436">
      <c r="A3436" s="41" t="str">
        <f>IFERROR(__xludf.DUMMYFUNCTION("""COMPUTED_VALUE"""),"RSC003444")</f>
        <v>RSC003444</v>
      </c>
      <c r="B3436" s="41" t="str">
        <f>IFERROR(__xludf.DUMMYFUNCTION("""COMPUTED_VALUE"""),"Yo iTs Shaggy")</f>
        <v>Yo iTs Shaggy</v>
      </c>
    </row>
    <row r="3437">
      <c r="A3437" s="41" t="str">
        <f>IFERROR(__xludf.DUMMYFUNCTION("""COMPUTED_VALUE"""),"RSC003445")</f>
        <v>RSC003445</v>
      </c>
      <c r="B3437" s="41" t="str">
        <f>IFERROR(__xludf.DUMMYFUNCTION("""COMPUTED_VALUE"""),"bosco")</f>
        <v>bosco</v>
      </c>
    </row>
    <row r="3438">
      <c r="A3438" s="41" t="str">
        <f>IFERROR(__xludf.DUMMYFUNCTION("""COMPUTED_VALUE"""),"RSC003446")</f>
        <v>RSC003446</v>
      </c>
      <c r="B3438" s="41" t="str">
        <f>IFERROR(__xludf.DUMMYFUNCTION("""COMPUTED_VALUE"""),"kjo.")</f>
        <v>kjo.</v>
      </c>
    </row>
    <row r="3439">
      <c r="A3439" s="41" t="str">
        <f>IFERROR(__xludf.DUMMYFUNCTION("""COMPUTED_VALUE"""),"RSC003447")</f>
        <v>RSC003447</v>
      </c>
      <c r="B3439" s="41" t="str">
        <f>IFERROR(__xludf.DUMMYFUNCTION("""COMPUTED_VALUE"""),"Plasmania")</f>
        <v>Plasmania</v>
      </c>
    </row>
    <row r="3440">
      <c r="A3440" s="41" t="str">
        <f>IFERROR(__xludf.DUMMYFUNCTION("""COMPUTED_VALUE"""),"RSC003448")</f>
        <v>RSC003448</v>
      </c>
      <c r="B3440" s="41" t="str">
        <f>IFERROR(__xludf.DUMMYFUNCTION("""COMPUTED_VALUE"""),"Chrispy Cream")</f>
        <v>Chrispy Cream</v>
      </c>
    </row>
    <row r="3441">
      <c r="A3441" s="41" t="str">
        <f>IFERROR(__xludf.DUMMYFUNCTION("""COMPUTED_VALUE"""),"RSC003449")</f>
        <v>RSC003449</v>
      </c>
      <c r="B3441" s="41" t="str">
        <f>IFERROR(__xludf.DUMMYFUNCTION("""COMPUTED_VALUE"""),"clvn")</f>
        <v>clvn</v>
      </c>
    </row>
    <row r="3442">
      <c r="A3442" s="41" t="str">
        <f>IFERROR(__xludf.DUMMYFUNCTION("""COMPUTED_VALUE"""),"RSC003450")</f>
        <v>RSC003450</v>
      </c>
      <c r="B3442" s="41" t="str">
        <f>IFERROR(__xludf.DUMMYFUNCTION("""COMPUTED_VALUE"""),"ChronoElevated")</f>
        <v>ChronoElevated</v>
      </c>
    </row>
    <row r="3443">
      <c r="A3443" s="41" t="str">
        <f>IFERROR(__xludf.DUMMYFUNCTION("""COMPUTED_VALUE"""),"RSC003451")</f>
        <v>RSC003451</v>
      </c>
      <c r="B3443" s="41" t="str">
        <f>IFERROR(__xludf.DUMMYFUNCTION("""COMPUTED_VALUE"""),"Dead Cow")</f>
        <v>Dead Cow</v>
      </c>
    </row>
    <row r="3444">
      <c r="A3444" s="41" t="str">
        <f>IFERROR(__xludf.DUMMYFUNCTION("""COMPUTED_VALUE"""),"RSC003452")</f>
        <v>RSC003452</v>
      </c>
      <c r="B3444" s="41" t="str">
        <f>IFERROR(__xludf.DUMMYFUNCTION("""COMPUTED_VALUE"""),"JLawsonz")</f>
        <v>JLawsonz</v>
      </c>
    </row>
    <row r="3445">
      <c r="A3445" s="41" t="str">
        <f>IFERROR(__xludf.DUMMYFUNCTION("""COMPUTED_VALUE"""),"RSC003453")</f>
        <v>RSC003453</v>
      </c>
      <c r="B3445" s="41" t="str">
        <f>IFERROR(__xludf.DUMMYFUNCTION("""COMPUTED_VALUE"""),"Cheft")</f>
        <v>Cheft</v>
      </c>
    </row>
    <row r="3446">
      <c r="A3446" s="41" t="str">
        <f>IFERROR(__xludf.DUMMYFUNCTION("""COMPUTED_VALUE"""),"RSC003454")</f>
        <v>RSC003454</v>
      </c>
      <c r="B3446" s="41" t="str">
        <f>IFERROR(__xludf.DUMMYFUNCTION("""COMPUTED_VALUE"""),"skynewbie")</f>
        <v>skynewbie</v>
      </c>
    </row>
    <row r="3447">
      <c r="A3447" s="41" t="str">
        <f>IFERROR(__xludf.DUMMYFUNCTION("""COMPUTED_VALUE"""),"RSC003455")</f>
        <v>RSC003455</v>
      </c>
      <c r="B3447" s="41" t="str">
        <f>IFERROR(__xludf.DUMMYFUNCTION("""COMPUTED_VALUE"""),"jamonax")</f>
        <v>jamonax</v>
      </c>
    </row>
    <row r="3448">
      <c r="A3448" s="41" t="str">
        <f>IFERROR(__xludf.DUMMYFUNCTION("""COMPUTED_VALUE"""),"RSC003456")</f>
        <v>RSC003456</v>
      </c>
      <c r="B3448" s="41" t="str">
        <f>IFERROR(__xludf.DUMMYFUNCTION("""COMPUTED_VALUE"""),"Brainman_18")</f>
        <v>Brainman_18</v>
      </c>
    </row>
    <row r="3449">
      <c r="A3449" s="41" t="str">
        <f>IFERROR(__xludf.DUMMYFUNCTION("""COMPUTED_VALUE"""),"RSC003457")</f>
        <v>RSC003457</v>
      </c>
      <c r="B3449" s="41" t="str">
        <f>IFERROR(__xludf.DUMMYFUNCTION("""COMPUTED_VALUE"""),"Sicky")</f>
        <v>Sicky</v>
      </c>
    </row>
    <row r="3450">
      <c r="A3450" s="41" t="str">
        <f>IFERROR(__xludf.DUMMYFUNCTION("""COMPUTED_VALUE"""),"RSC003458")</f>
        <v>RSC003458</v>
      </c>
      <c r="B3450" s="41" t="str">
        <f>IFERROR(__xludf.DUMMYFUNCTION("""COMPUTED_VALUE"""),"DuffyMuffin")</f>
        <v>DuffyMuffin</v>
      </c>
    </row>
    <row r="3451">
      <c r="A3451" s="41" t="str">
        <f>IFERROR(__xludf.DUMMYFUNCTION("""COMPUTED_VALUE"""),"RSC003459")</f>
        <v>RSC003459</v>
      </c>
      <c r="B3451" s="41" t="str">
        <f>IFERROR(__xludf.DUMMYFUNCTION("""COMPUTED_VALUE"""),"space monkey")</f>
        <v>space monkey</v>
      </c>
    </row>
    <row r="3452">
      <c r="A3452" s="41" t="str">
        <f>IFERROR(__xludf.DUMMYFUNCTION("""COMPUTED_VALUE"""),"RSC003460")</f>
        <v>RSC003460</v>
      </c>
      <c r="B3452" s="41" t="str">
        <f>IFERROR(__xludf.DUMMYFUNCTION("""COMPUTED_VALUE"""),"Kaito")</f>
        <v>Kaito</v>
      </c>
    </row>
    <row r="3453">
      <c r="A3453" s="41" t="str">
        <f>IFERROR(__xludf.DUMMYFUNCTION("""COMPUTED_VALUE"""),"RSC003461")</f>
        <v>RSC003461</v>
      </c>
      <c r="B3453" s="41" t="str">
        <f>IFERROR(__xludf.DUMMYFUNCTION("""COMPUTED_VALUE"""),"Shane (change)")</f>
        <v>Shane (change)</v>
      </c>
    </row>
    <row r="3454">
      <c r="A3454" s="41" t="str">
        <f>IFERROR(__xludf.DUMMYFUNCTION("""COMPUTED_VALUE"""),"RSC003462")</f>
        <v>RSC003462</v>
      </c>
      <c r="B3454" s="41" t="str">
        <f>IFERROR(__xludf.DUMMYFUNCTION("""COMPUTED_VALUE"""),"racetrackk1ng")</f>
        <v>racetrackk1ng</v>
      </c>
    </row>
    <row r="3455">
      <c r="A3455" s="41" t="str">
        <f>IFERROR(__xludf.DUMMYFUNCTION("""COMPUTED_VALUE"""),"RSC003463")</f>
        <v>RSC003463</v>
      </c>
      <c r="B3455" s="41" t="str">
        <f>IFERROR(__xludf.DUMMYFUNCTION("""COMPUTED_VALUE"""),"Ghost.")</f>
        <v>Ghost.</v>
      </c>
    </row>
    <row r="3456">
      <c r="A3456" s="41" t="str">
        <f>IFERROR(__xludf.DUMMYFUNCTION("""COMPUTED_VALUE"""),"RSC003464")</f>
        <v>RSC003464</v>
      </c>
      <c r="B3456" s="41" t="str">
        <f>IFERROR(__xludf.DUMMYFUNCTION("""COMPUTED_VALUE"""),"TheNone")</f>
        <v>TheNone</v>
      </c>
    </row>
    <row r="3457">
      <c r="A3457" s="41" t="str">
        <f>IFERROR(__xludf.DUMMYFUNCTION("""COMPUTED_VALUE"""),"RSC003465")</f>
        <v>RSC003465</v>
      </c>
      <c r="B3457" s="41" t="str">
        <f>IFERROR(__xludf.DUMMYFUNCTION("""COMPUTED_VALUE"""),"dwest021")</f>
        <v>dwest021</v>
      </c>
    </row>
    <row r="3458">
      <c r="A3458" s="41" t="str">
        <f>IFERROR(__xludf.DUMMYFUNCTION("""COMPUTED_VALUE"""),"RSC003466")</f>
        <v>RSC003466</v>
      </c>
      <c r="B3458" s="41" t="str">
        <f>IFERROR(__xludf.DUMMYFUNCTION("""COMPUTED_VALUE"""),"Solo")</f>
        <v>Solo</v>
      </c>
    </row>
    <row r="3459">
      <c r="A3459" s="41" t="str">
        <f>IFERROR(__xludf.DUMMYFUNCTION("""COMPUTED_VALUE"""),"RSC003467")</f>
        <v>RSC003467</v>
      </c>
      <c r="B3459" s="41" t="str">
        <f>IFERROR(__xludf.DUMMYFUNCTION("""COMPUTED_VALUE"""),"blazingdrummer")</f>
        <v>blazingdrummer</v>
      </c>
    </row>
    <row r="3460">
      <c r="A3460" s="41" t="str">
        <f>IFERROR(__xludf.DUMMYFUNCTION("""COMPUTED_VALUE"""),"RSC003468")</f>
        <v>RSC003468</v>
      </c>
      <c r="B3460" s="41" t="str">
        <f>IFERROR(__xludf.DUMMYFUNCTION("""COMPUTED_VALUE"""),"HisDudeness3")</f>
        <v>HisDudeness3</v>
      </c>
    </row>
    <row r="3461">
      <c r="A3461" s="41" t="str">
        <f>IFERROR(__xludf.DUMMYFUNCTION("""COMPUTED_VALUE"""),"RSC003469")</f>
        <v>RSC003469</v>
      </c>
      <c r="B3461" s="41" t="str">
        <f>IFERROR(__xludf.DUMMYFUNCTION("""COMPUTED_VALUE"""),"dougiediesel")</f>
        <v>dougiediesel</v>
      </c>
    </row>
    <row r="3462">
      <c r="A3462" s="41" t="str">
        <f>IFERROR(__xludf.DUMMYFUNCTION("""COMPUTED_VALUE"""),"RSC003470")</f>
        <v>RSC003470</v>
      </c>
      <c r="B3462" s="41" t="str">
        <f>IFERROR(__xludf.DUMMYFUNCTION("""COMPUTED_VALUE"""),"XwXTERRORXwX")</f>
        <v>XwXTERRORXwX</v>
      </c>
    </row>
    <row r="3463">
      <c r="A3463" s="41" t="str">
        <f>IFERROR(__xludf.DUMMYFUNCTION("""COMPUTED_VALUE"""),"RSC003471")</f>
        <v>RSC003471</v>
      </c>
      <c r="B3463" s="41" t="str">
        <f>IFERROR(__xludf.DUMMYFUNCTION("""COMPUTED_VALUE"""),"Spazzy")</f>
        <v>Spazzy</v>
      </c>
    </row>
    <row r="3464">
      <c r="A3464" s="41" t="str">
        <f>IFERROR(__xludf.DUMMYFUNCTION("""COMPUTED_VALUE"""),"RSC003472")</f>
        <v>RSC003472</v>
      </c>
      <c r="B3464" s="41" t="str">
        <f>IFERROR(__xludf.DUMMYFUNCTION("""COMPUTED_VALUE"""),"AnthonyHowHard")</f>
        <v>AnthonyHowHard</v>
      </c>
    </row>
    <row r="3465">
      <c r="A3465" s="41" t="str">
        <f>IFERROR(__xludf.DUMMYFUNCTION("""COMPUTED_VALUE"""),"RSC003473")</f>
        <v>RSC003473</v>
      </c>
      <c r="B3465" s="41" t="str">
        <f>IFERROR(__xludf.DUMMYFUNCTION("""COMPUTED_VALUE"""),"Grinch562")</f>
        <v>Grinch562</v>
      </c>
    </row>
    <row r="3466">
      <c r="A3466" s="41" t="str">
        <f>IFERROR(__xludf.DUMMYFUNCTION("""COMPUTED_VALUE"""),"RSC003474")</f>
        <v>RSC003474</v>
      </c>
      <c r="B3466" s="41" t="str">
        <f>IFERROR(__xludf.DUMMYFUNCTION("""COMPUTED_VALUE"""),"Nate™")</f>
        <v>Nate™</v>
      </c>
    </row>
    <row r="3467">
      <c r="A3467" s="41" t="str">
        <f>IFERROR(__xludf.DUMMYFUNCTION("""COMPUTED_VALUE"""),"RSC003475")</f>
        <v>RSC003475</v>
      </c>
      <c r="B3467" s="41" t="str">
        <f>IFERROR(__xludf.DUMMYFUNCTION("""COMPUTED_VALUE"""),"Pedro Prates")</f>
        <v>Pedro Prates</v>
      </c>
    </row>
    <row r="3468">
      <c r="A3468" s="41" t="str">
        <f>IFERROR(__xludf.DUMMYFUNCTION("""COMPUTED_VALUE"""),"RSC003476")</f>
        <v>RSC003476</v>
      </c>
      <c r="B3468" s="41" t="str">
        <f>IFERROR(__xludf.DUMMYFUNCTION("""COMPUTED_VALUE"""),"motym")</f>
        <v>motym</v>
      </c>
    </row>
    <row r="3469">
      <c r="A3469" s="41" t="str">
        <f>IFERROR(__xludf.DUMMYFUNCTION("""COMPUTED_VALUE"""),"RSC003477")</f>
        <v>RSC003477</v>
      </c>
      <c r="B3469" s="41" t="str">
        <f>IFERROR(__xludf.DUMMYFUNCTION("""COMPUTED_VALUE"""),"HunchoB")</f>
        <v>HunchoB</v>
      </c>
    </row>
    <row r="3470">
      <c r="A3470" s="41" t="str">
        <f>IFERROR(__xludf.DUMMYFUNCTION("""COMPUTED_VALUE"""),"RSC003478")</f>
        <v>RSC003478</v>
      </c>
      <c r="B3470" s="41" t="str">
        <f>IFERROR(__xludf.DUMMYFUNCTION("""COMPUTED_VALUE"""),"RapidFawn812247")</f>
        <v>RapidFawn812247</v>
      </c>
    </row>
    <row r="3471">
      <c r="A3471" s="41" t="str">
        <f>IFERROR(__xludf.DUMMYFUNCTION("""COMPUTED_VALUE"""),"RSC003479")</f>
        <v>RSC003479</v>
      </c>
      <c r="B3471" s="41" t="str">
        <f>IFERROR(__xludf.DUMMYFUNCTION("""COMPUTED_VALUE"""),"Skel")</f>
        <v>Skel</v>
      </c>
    </row>
    <row r="3472">
      <c r="A3472" s="41" t="str">
        <f>IFERROR(__xludf.DUMMYFUNCTION("""COMPUTED_VALUE"""),"RSC003480")</f>
        <v>RSC003480</v>
      </c>
      <c r="B3472" s="41" t="str">
        <f>IFERROR(__xludf.DUMMYFUNCTION("""COMPUTED_VALUE"""),"QuackenYouUp")</f>
        <v>QuackenYouUp</v>
      </c>
    </row>
    <row r="3473">
      <c r="A3473" s="41" t="str">
        <f>IFERROR(__xludf.DUMMYFUNCTION("""COMPUTED_VALUE"""),"RSC003481")</f>
        <v>RSC003481</v>
      </c>
      <c r="B3473" s="41" t="str">
        <f>IFERROR(__xludf.DUMMYFUNCTION("""COMPUTED_VALUE"""),"YT_Soulz RL")</f>
        <v>YT_Soulz RL</v>
      </c>
    </row>
    <row r="3474">
      <c r="A3474" s="41" t="str">
        <f>IFERROR(__xludf.DUMMYFUNCTION("""COMPUTED_VALUE"""),"RSC003482")</f>
        <v>RSC003482</v>
      </c>
      <c r="B3474" s="41" t="str">
        <f>IFERROR(__xludf.DUMMYFUNCTION("""COMPUTED_VALUE"""),"esahC")</f>
        <v>esahC</v>
      </c>
    </row>
    <row r="3475">
      <c r="A3475" s="41" t="str">
        <f>IFERROR(__xludf.DUMMYFUNCTION("""COMPUTED_VALUE"""),"RSC003483")</f>
        <v>RSC003483</v>
      </c>
      <c r="B3475" s="41" t="str">
        <f>IFERROR(__xludf.DUMMYFUNCTION("""COMPUTED_VALUE"""),"Dunzo")</f>
        <v>Dunzo</v>
      </c>
    </row>
    <row r="3476">
      <c r="A3476" s="41" t="str">
        <f>IFERROR(__xludf.DUMMYFUNCTION("""COMPUTED_VALUE"""),"RSC003484")</f>
        <v>RSC003484</v>
      </c>
      <c r="B3476" s="41" t="str">
        <f>IFERROR(__xludf.DUMMYFUNCTION("""COMPUTED_VALUE"""),"Nicksizzle222")</f>
        <v>Nicksizzle222</v>
      </c>
    </row>
    <row r="3477">
      <c r="A3477" s="41" t="str">
        <f>IFERROR(__xludf.DUMMYFUNCTION("""COMPUTED_VALUE"""),"RSC003485")</f>
        <v>RSC003485</v>
      </c>
      <c r="B3477" s="41" t="str">
        <f>IFERROR(__xludf.DUMMYFUNCTION("""COMPUTED_VALUE"""),"ItsGrisnir")</f>
        <v>ItsGrisnir</v>
      </c>
    </row>
    <row r="3478">
      <c r="A3478" s="41" t="str">
        <f>IFERROR(__xludf.DUMMYFUNCTION("""COMPUTED_VALUE"""),"RSC003486")</f>
        <v>RSC003486</v>
      </c>
      <c r="B3478" s="41" t="str">
        <f>IFERROR(__xludf.DUMMYFUNCTION("""COMPUTED_VALUE"""),"THEdemonBELIAL")</f>
        <v>THEdemonBELIAL</v>
      </c>
    </row>
    <row r="3479">
      <c r="A3479" s="41" t="str">
        <f>IFERROR(__xludf.DUMMYFUNCTION("""COMPUTED_VALUE"""),"RSC003487")</f>
        <v>RSC003487</v>
      </c>
      <c r="B3479" s="41" t="str">
        <f>IFERROR(__xludf.DUMMYFUNCTION("""COMPUTED_VALUE"""),"Jellyman III")</f>
        <v>Jellyman III</v>
      </c>
    </row>
    <row r="3480">
      <c r="A3480" s="41" t="str">
        <f>IFERROR(__xludf.DUMMYFUNCTION("""COMPUTED_VALUE"""),"RSC003488")</f>
        <v>RSC003488</v>
      </c>
      <c r="B3480" s="41" t="str">
        <f>IFERROR(__xludf.DUMMYFUNCTION("""COMPUTED_VALUE"""),"DatCaptainDaddy")</f>
        <v>DatCaptainDaddy</v>
      </c>
    </row>
    <row r="3481">
      <c r="A3481" s="41" t="str">
        <f>IFERROR(__xludf.DUMMYFUNCTION("""COMPUTED_VALUE"""),"RSC003489")</f>
        <v>RSC003489</v>
      </c>
      <c r="B3481" s="41" t="str">
        <f>IFERROR(__xludf.DUMMYFUNCTION("""COMPUTED_VALUE"""),"blxedeath")</f>
        <v>blxedeath</v>
      </c>
    </row>
    <row r="3482">
      <c r="A3482" s="41" t="str">
        <f>IFERROR(__xludf.DUMMYFUNCTION("""COMPUTED_VALUE"""),"RSC003490")</f>
        <v>RSC003490</v>
      </c>
      <c r="B3482" s="41" t="str">
        <f>IFERROR(__xludf.DUMMYFUNCTION("""COMPUTED_VALUE"""),"Mythic&lt;('o'&lt;)")</f>
        <v>Mythic&lt;('o'&lt;)</v>
      </c>
    </row>
    <row r="3483">
      <c r="A3483" s="41" t="str">
        <f>IFERROR(__xludf.DUMMYFUNCTION("""COMPUTED_VALUE"""),"RSC003491")</f>
        <v>RSC003491</v>
      </c>
      <c r="B3483" s="41" t="str">
        <f>IFERROR(__xludf.DUMMYFUNCTION("""COMPUTED_VALUE"""),"Bama45")</f>
        <v>Bama45</v>
      </c>
    </row>
    <row r="3484">
      <c r="A3484" s="41" t="str">
        <f>IFERROR(__xludf.DUMMYFUNCTION("""COMPUTED_VALUE"""),"RSC003492")</f>
        <v>RSC003492</v>
      </c>
      <c r="B3484" s="41" t="str">
        <f>IFERROR(__xludf.DUMMYFUNCTION("""COMPUTED_VALUE"""),"cG_BVBCOLD11")</f>
        <v>cG_BVBCOLD11</v>
      </c>
    </row>
    <row r="3485">
      <c r="A3485" s="41" t="str">
        <f>IFERROR(__xludf.DUMMYFUNCTION("""COMPUTED_VALUE"""),"RSC003493")</f>
        <v>RSC003493</v>
      </c>
      <c r="B3485" s="41" t="str">
        <f>IFERROR(__xludf.DUMMYFUNCTION("""COMPUTED_VALUE"""),"skelotonjack")</f>
        <v>skelotonjack</v>
      </c>
    </row>
    <row r="3486">
      <c r="A3486" s="41" t="str">
        <f>IFERROR(__xludf.DUMMYFUNCTION("""COMPUTED_VALUE"""),"RSC003494")</f>
        <v>RSC003494</v>
      </c>
      <c r="B3486" s="41" t="str">
        <f>IFERROR(__xludf.DUMMYFUNCTION("""COMPUTED_VALUE"""),"I 13th sign I")</f>
        <v>I 13th sign I</v>
      </c>
    </row>
    <row r="3487">
      <c r="A3487" s="41" t="str">
        <f>IFERROR(__xludf.DUMMYFUNCTION("""COMPUTED_VALUE"""),"RSC003495")</f>
        <v>RSC003495</v>
      </c>
      <c r="B3487" s="41" t="str">
        <f>IFERROR(__xludf.DUMMYFUNCTION("""COMPUTED_VALUE"""),"knitt")</f>
        <v>knitt</v>
      </c>
    </row>
    <row r="3488">
      <c r="A3488" s="41" t="str">
        <f>IFERROR(__xludf.DUMMYFUNCTION("""COMPUTED_VALUE"""),"RSC003496")</f>
        <v>RSC003496</v>
      </c>
      <c r="B3488" s="41" t="str">
        <f>IFERROR(__xludf.DUMMYFUNCTION("""COMPUTED_VALUE"""),"Giving An L")</f>
        <v>Giving An L</v>
      </c>
    </row>
    <row r="3489">
      <c r="A3489" s="41" t="str">
        <f>IFERROR(__xludf.DUMMYFUNCTION("""COMPUTED_VALUE"""),"RSC003497")</f>
        <v>RSC003497</v>
      </c>
      <c r="B3489" s="41" t="str">
        <f>IFERROR(__xludf.DUMMYFUNCTION("""COMPUTED_VALUE"""),"odayzed")</f>
        <v>odayzed</v>
      </c>
    </row>
    <row r="3490">
      <c r="A3490" s="41" t="str">
        <f>IFERROR(__xludf.DUMMYFUNCTION("""COMPUTED_VALUE"""),"RSC003498")</f>
        <v>RSC003498</v>
      </c>
      <c r="B3490" s="41" t="str">
        <f>IFERROR(__xludf.DUMMYFUNCTION("""COMPUTED_VALUE"""),"Merioch")</f>
        <v>Merioch</v>
      </c>
    </row>
    <row r="3491">
      <c r="A3491" s="41" t="str">
        <f>IFERROR(__xludf.DUMMYFUNCTION("""COMPUTED_VALUE"""),"RSC003499")</f>
        <v>RSC003499</v>
      </c>
      <c r="B3491" s="41" t="str">
        <f>IFERROR(__xludf.DUMMYFUNCTION("""COMPUTED_VALUE"""),"Phaze")</f>
        <v>Phaze</v>
      </c>
    </row>
    <row r="3492">
      <c r="A3492" s="41" t="str">
        <f>IFERROR(__xludf.DUMMYFUNCTION("""COMPUTED_VALUE"""),"RSC003500")</f>
        <v>RSC003500</v>
      </c>
      <c r="B3492" s="41" t="str">
        <f>IFERROR(__xludf.DUMMYFUNCTION("""COMPUTED_VALUE"""),"sargentpyle")</f>
        <v>sargentpyle</v>
      </c>
    </row>
    <row r="3493">
      <c r="A3493" s="41" t="str">
        <f>IFERROR(__xludf.DUMMYFUNCTION("""COMPUTED_VALUE"""),"RSC003501")</f>
        <v>RSC003501</v>
      </c>
      <c r="B3493" s="41" t="str">
        <f>IFERROR(__xludf.DUMMYFUNCTION("""COMPUTED_VALUE"""),"Cpt betty")</f>
        <v>Cpt betty</v>
      </c>
    </row>
    <row r="3494">
      <c r="A3494" s="41" t="str">
        <f>IFERROR(__xludf.DUMMYFUNCTION("""COMPUTED_VALUE"""),"RSC003502")</f>
        <v>RSC003502</v>
      </c>
      <c r="B3494" s="41" t="str">
        <f>IFERROR(__xludf.DUMMYFUNCTION("""COMPUTED_VALUE"""),"CreeRoots")</f>
        <v>CreeRoots</v>
      </c>
    </row>
    <row r="3495">
      <c r="A3495" s="41" t="str">
        <f>IFERROR(__xludf.DUMMYFUNCTION("""COMPUTED_VALUE"""),"RSC003503")</f>
        <v>RSC003503</v>
      </c>
      <c r="B3495" s="41" t="str">
        <f>IFERROR(__xludf.DUMMYFUNCTION("""COMPUTED_VALUE"""),"LvlDark")</f>
        <v>LvlDark</v>
      </c>
    </row>
    <row r="3496">
      <c r="A3496" s="41" t="str">
        <f>IFERROR(__xludf.DUMMYFUNCTION("""COMPUTED_VALUE"""),"RSC003504")</f>
        <v>RSC003504</v>
      </c>
      <c r="B3496" s="41" t="str">
        <f>IFERROR(__xludf.DUMMYFUNCTION("""COMPUTED_VALUE"""),"WilkerWilker")</f>
        <v>WilkerWilker</v>
      </c>
    </row>
    <row r="3497">
      <c r="A3497" s="41" t="str">
        <f>IFERROR(__xludf.DUMMYFUNCTION("""COMPUTED_VALUE"""),"RSC003505")</f>
        <v>RSC003505</v>
      </c>
      <c r="B3497" s="41" t="str">
        <f>IFERROR(__xludf.DUMMYFUNCTION("""COMPUTED_VALUE"""),"G")</f>
        <v>G</v>
      </c>
    </row>
    <row r="3498">
      <c r="A3498" s="41" t="str">
        <f>IFERROR(__xludf.DUMMYFUNCTION("""COMPUTED_VALUE"""),"RSC003506")</f>
        <v>RSC003506</v>
      </c>
      <c r="B3498" s="41" t="str">
        <f>IFERROR(__xludf.DUMMYFUNCTION("""COMPUTED_VALUE"""),"izzyyy*!")</f>
        <v>izzyyy*!</v>
      </c>
    </row>
    <row r="3499">
      <c r="A3499" s="41" t="str">
        <f>IFERROR(__xludf.DUMMYFUNCTION("""COMPUTED_VALUE"""),"RSC003507")</f>
        <v>RSC003507</v>
      </c>
      <c r="B3499" s="41" t="str">
        <f>IFERROR(__xludf.DUMMYFUNCTION("""COMPUTED_VALUE"""),"The_TrashBandit")</f>
        <v>The_TrashBandit</v>
      </c>
    </row>
    <row r="3500">
      <c r="A3500" s="41" t="str">
        <f>IFERROR(__xludf.DUMMYFUNCTION("""COMPUTED_VALUE"""),"RSC003508")</f>
        <v>RSC003508</v>
      </c>
      <c r="B3500" s="41" t="str">
        <f>IFERROR(__xludf.DUMMYFUNCTION("""COMPUTED_VALUE"""),"Stokers")</f>
        <v>Stokers</v>
      </c>
    </row>
    <row r="3501">
      <c r="A3501" s="41" t="str">
        <f>IFERROR(__xludf.DUMMYFUNCTION("""COMPUTED_VALUE"""),"RSC003509")</f>
        <v>RSC003509</v>
      </c>
      <c r="B3501" s="41" t="str">
        <f>IFERROR(__xludf.DUMMYFUNCTION("""COMPUTED_VALUE"""),"iWin")</f>
        <v>iWin</v>
      </c>
    </row>
    <row r="3502">
      <c r="A3502" s="41" t="str">
        <f>IFERROR(__xludf.DUMMYFUNCTION("""COMPUTED_VALUE"""),"RSC003510")</f>
        <v>RSC003510</v>
      </c>
      <c r="B3502" s="41" t="str">
        <f>IFERROR(__xludf.DUMMYFUNCTION("""COMPUTED_VALUE"""),"Jagyd")</f>
        <v>Jagyd</v>
      </c>
    </row>
    <row r="3503">
      <c r="A3503" s="41" t="str">
        <f>IFERROR(__xludf.DUMMYFUNCTION("""COMPUTED_VALUE"""),"RSC003511")</f>
        <v>RSC003511</v>
      </c>
      <c r="B3503" s="41" t="str">
        <f>IFERROR(__xludf.DUMMYFUNCTION("""COMPUTED_VALUE"""),"Willhouse")</f>
        <v>Willhouse</v>
      </c>
    </row>
    <row r="3504">
      <c r="A3504" s="41" t="str">
        <f>IFERROR(__xludf.DUMMYFUNCTION("""COMPUTED_VALUE"""),"RSC003512")</f>
        <v>RSC003512</v>
      </c>
      <c r="B3504" s="41" t="str">
        <f>IFERROR(__xludf.DUMMYFUNCTION("""COMPUTED_VALUE"""),"ARCHI7EC7")</f>
        <v>ARCHI7EC7</v>
      </c>
    </row>
    <row r="3505">
      <c r="A3505" s="41" t="str">
        <f>IFERROR(__xludf.DUMMYFUNCTION("""COMPUTED_VALUE"""),"RSC003513")</f>
        <v>RSC003513</v>
      </c>
      <c r="B3505" s="41" t="str">
        <f>IFERROR(__xludf.DUMMYFUNCTION("""COMPUTED_VALUE"""),"KenLaw83")</f>
        <v>KenLaw83</v>
      </c>
    </row>
    <row r="3506">
      <c r="A3506" s="41" t="str">
        <f>IFERROR(__xludf.DUMMYFUNCTION("""COMPUTED_VALUE"""),"RSC003514")</f>
        <v>RSC003514</v>
      </c>
      <c r="B3506" s="41" t="str">
        <f>IFERROR(__xludf.DUMMYFUNCTION("""COMPUTED_VALUE"""),"Calico")</f>
        <v>Calico</v>
      </c>
    </row>
    <row r="3507">
      <c r="A3507" s="41" t="str">
        <f>IFERROR(__xludf.DUMMYFUNCTION("""COMPUTED_VALUE"""),"RSC003515")</f>
        <v>RSC003515</v>
      </c>
      <c r="B3507" s="41" t="str">
        <f>IFERROR(__xludf.DUMMYFUNCTION("""COMPUTED_VALUE"""),"89ken")</f>
        <v>89ken</v>
      </c>
    </row>
    <row r="3508">
      <c r="A3508" s="41" t="str">
        <f>IFERROR(__xludf.DUMMYFUNCTION("""COMPUTED_VALUE"""),"RSC003516")</f>
        <v>RSC003516</v>
      </c>
      <c r="B3508" s="41" t="str">
        <f>IFERROR(__xludf.DUMMYFUNCTION("""COMPUTED_VALUE"""),"Yulsee")</f>
        <v>Yulsee</v>
      </c>
    </row>
    <row r="3509">
      <c r="A3509" s="41" t="str">
        <f>IFERROR(__xludf.DUMMYFUNCTION("""COMPUTED_VALUE"""),"RSC003517")</f>
        <v>RSC003517</v>
      </c>
      <c r="B3509" s="41" t="str">
        <f>IFERROR(__xludf.DUMMYFUNCTION("""COMPUTED_VALUE"""),"Dexter")</f>
        <v>Dexter</v>
      </c>
    </row>
    <row r="3510">
      <c r="A3510" s="41" t="str">
        <f>IFERROR(__xludf.DUMMYFUNCTION("""COMPUTED_VALUE"""),"RSC003518")</f>
        <v>RSC003518</v>
      </c>
      <c r="B3510" s="41" t="str">
        <f>IFERROR(__xludf.DUMMYFUNCTION("""COMPUTED_VALUE"""),"[AC] movie__mic")</f>
        <v>[AC] movie__mic</v>
      </c>
    </row>
    <row r="3511">
      <c r="A3511" s="41" t="str">
        <f>IFERROR(__xludf.DUMMYFUNCTION("""COMPUTED_VALUE"""),"RSC003519")</f>
        <v>RSC003519</v>
      </c>
      <c r="B3511" s="41" t="str">
        <f>IFERROR(__xludf.DUMMYFUNCTION("""COMPUTED_VALUE"""),"WarBean")</f>
        <v>WarBean</v>
      </c>
    </row>
    <row r="3512">
      <c r="A3512" s="41" t="str">
        <f>IFERROR(__xludf.DUMMYFUNCTION("""COMPUTED_VALUE"""),"RSC003520")</f>
        <v>RSC003520</v>
      </c>
      <c r="B3512" s="41" t="str">
        <f>IFERROR(__xludf.DUMMYFUNCTION("""COMPUTED_VALUE"""),"TTV_Xassassin")</f>
        <v>TTV_Xassassin</v>
      </c>
    </row>
    <row r="3513">
      <c r="A3513" s="41" t="str">
        <f>IFERROR(__xludf.DUMMYFUNCTION("""COMPUTED_VALUE"""),"RSC003521")</f>
        <v>RSC003521</v>
      </c>
      <c r="B3513" s="41" t="str">
        <f>IFERROR(__xludf.DUMMYFUNCTION("""COMPUTED_VALUE"""),"IceInMyVeins877")</f>
        <v>IceInMyVeins877</v>
      </c>
    </row>
    <row r="3514">
      <c r="A3514" s="41" t="str">
        <f>IFERROR(__xludf.DUMMYFUNCTION("""COMPUTED_VALUE"""),"RSC003522")</f>
        <v>RSC003522</v>
      </c>
      <c r="B3514" s="41" t="str">
        <f>IFERROR(__xludf.DUMMYFUNCTION("""COMPUTED_VALUE"""),"ZacFromGeico")</f>
        <v>ZacFromGeico</v>
      </c>
    </row>
    <row r="3515">
      <c r="A3515" s="41" t="str">
        <f>IFERROR(__xludf.DUMMYFUNCTION("""COMPUTED_VALUE"""),"RSC003523")</f>
        <v>RSC003523</v>
      </c>
      <c r="B3515" s="41" t="str">
        <f>IFERROR(__xludf.DUMMYFUNCTION("""COMPUTED_VALUE"""),"Sleepy Harlow")</f>
        <v>Sleepy Harlow</v>
      </c>
    </row>
    <row r="3516">
      <c r="A3516" s="41" t="str">
        <f>IFERROR(__xludf.DUMMYFUNCTION("""COMPUTED_VALUE"""),"RSC003524")</f>
        <v>RSC003524</v>
      </c>
      <c r="B3516" s="41" t="str">
        <f>IFERROR(__xludf.DUMMYFUNCTION("""COMPUTED_VALUE"""),"Deifik")</f>
        <v>Deifik</v>
      </c>
    </row>
    <row r="3517">
      <c r="A3517" s="41" t="str">
        <f>IFERROR(__xludf.DUMMYFUNCTION("""COMPUTED_VALUE"""),"RSC003525")</f>
        <v>RSC003525</v>
      </c>
      <c r="B3517" s="41" t="str">
        <f>IFERROR(__xludf.DUMMYFUNCTION("""COMPUTED_VALUE"""),"Pabu")</f>
        <v>Pabu</v>
      </c>
    </row>
    <row r="3518">
      <c r="A3518" s="41" t="str">
        <f>IFERROR(__xludf.DUMMYFUNCTION("""COMPUTED_VALUE"""),"RSC003526")</f>
        <v>RSC003526</v>
      </c>
      <c r="B3518" s="41" t="str">
        <f>IFERROR(__xludf.DUMMYFUNCTION("""COMPUTED_VALUE"""),"Liefx")</f>
        <v>Liefx</v>
      </c>
    </row>
    <row r="3519">
      <c r="A3519" s="41" t="str">
        <f>IFERROR(__xludf.DUMMYFUNCTION("""COMPUTED_VALUE"""),"RSC003527")</f>
        <v>RSC003527</v>
      </c>
      <c r="B3519" s="41" t="str">
        <f>IFERROR(__xludf.DUMMYFUNCTION("""COMPUTED_VALUE"""),"Majestic Wolfe")</f>
        <v>Majestic Wolfe</v>
      </c>
    </row>
    <row r="3520">
      <c r="A3520" s="41" t="str">
        <f>IFERROR(__xludf.DUMMYFUNCTION("""COMPUTED_VALUE"""),"RSC003528")</f>
        <v>RSC003528</v>
      </c>
      <c r="B3520" s="41" t="str">
        <f>IFERROR(__xludf.DUMMYFUNCTION("""COMPUTED_VALUE"""),"dukenator76")</f>
        <v>dukenator76</v>
      </c>
    </row>
    <row r="3521">
      <c r="A3521" s="41" t="str">
        <f>IFERROR(__xludf.DUMMYFUNCTION("""COMPUTED_VALUE"""),"RSC003529")</f>
        <v>RSC003529</v>
      </c>
      <c r="B3521" s="41" t="str">
        <f>IFERROR(__xludf.DUMMYFUNCTION("""COMPUTED_VALUE"""),"Skillett")</f>
        <v>Skillett</v>
      </c>
    </row>
    <row r="3522">
      <c r="A3522" s="41" t="str">
        <f>IFERROR(__xludf.DUMMYFUNCTION("""COMPUTED_VALUE"""),"RSC003530")</f>
        <v>RSC003530</v>
      </c>
      <c r="B3522" s="41" t="str">
        <f>IFERROR(__xludf.DUMMYFUNCTION("""COMPUTED_VALUE"""),"xg_poseidon")</f>
        <v>xg_poseidon</v>
      </c>
    </row>
    <row r="3523">
      <c r="A3523" s="41" t="str">
        <f>IFERROR(__xludf.DUMMYFUNCTION("""COMPUTED_VALUE"""),"RSC003531")</f>
        <v>RSC003531</v>
      </c>
      <c r="B3523" s="41" t="str">
        <f>IFERROR(__xludf.DUMMYFUNCTION("""COMPUTED_VALUE"""),"Effervescence")</f>
        <v>Effervescence</v>
      </c>
    </row>
    <row r="3524">
      <c r="A3524" s="41" t="str">
        <f>IFERROR(__xludf.DUMMYFUNCTION("""COMPUTED_VALUE"""),"RSC003532")</f>
        <v>RSC003532</v>
      </c>
      <c r="B3524" s="41" t="str">
        <f>IFERROR(__xludf.DUMMYFUNCTION("""COMPUTED_VALUE"""),"Madloo")</f>
        <v>Madloo</v>
      </c>
    </row>
    <row r="3525">
      <c r="A3525" s="41" t="str">
        <f>IFERROR(__xludf.DUMMYFUNCTION("""COMPUTED_VALUE"""),"RSC003533")</f>
        <v>RSC003533</v>
      </c>
      <c r="B3525" s="41" t="str">
        <f>IFERROR(__xludf.DUMMYFUNCTION("""COMPUTED_VALUE"""),"jcubedrl")</f>
        <v>jcubedrl</v>
      </c>
    </row>
    <row r="3526">
      <c r="A3526" s="41" t="str">
        <f>IFERROR(__xludf.DUMMYFUNCTION("""COMPUTED_VALUE"""),"RSC003534")</f>
        <v>RSC003534</v>
      </c>
      <c r="B3526" s="41" t="str">
        <f>IFERROR(__xludf.DUMMYFUNCTION("""COMPUTED_VALUE"""),"DeadSet | anubis")</f>
        <v>DeadSet | anubis</v>
      </c>
    </row>
    <row r="3527">
      <c r="A3527" s="41" t="str">
        <f>IFERROR(__xludf.DUMMYFUNCTION("""COMPUTED_VALUE"""),"RSC003535")</f>
        <v>RSC003535</v>
      </c>
      <c r="B3527" s="41" t="str">
        <f>IFERROR(__xludf.DUMMYFUNCTION("""COMPUTED_VALUE"""),"Mr. Assister")</f>
        <v>Mr. Assister</v>
      </c>
    </row>
    <row r="3528">
      <c r="A3528" s="41" t="str">
        <f>IFERROR(__xludf.DUMMYFUNCTION("""COMPUTED_VALUE"""),"RSC003536")</f>
        <v>RSC003536</v>
      </c>
      <c r="B3528" s="41" t="str">
        <f>IFERROR(__xludf.DUMMYFUNCTION("""COMPUTED_VALUE"""),"Charlemagne")</f>
        <v>Charlemagne</v>
      </c>
    </row>
    <row r="3529">
      <c r="A3529" s="41" t="str">
        <f>IFERROR(__xludf.DUMMYFUNCTION("""COMPUTED_VALUE"""),"RSC003537")</f>
        <v>RSC003537</v>
      </c>
      <c r="B3529" s="41" t="str">
        <f>IFERROR(__xludf.DUMMYFUNCTION("""COMPUTED_VALUE"""),"SpenSah")</f>
        <v>SpenSah</v>
      </c>
    </row>
    <row r="3530">
      <c r="A3530" s="41" t="str">
        <f>IFERROR(__xludf.DUMMYFUNCTION("""COMPUTED_VALUE"""),"RSC003538")</f>
        <v>RSC003538</v>
      </c>
      <c r="B3530" s="41" t="str">
        <f>IFERROR(__xludf.DUMMYFUNCTION("""COMPUTED_VALUE"""),"Ven.")</f>
        <v>Ven.</v>
      </c>
    </row>
    <row r="3531">
      <c r="A3531" s="41" t="str">
        <f>IFERROR(__xludf.DUMMYFUNCTION("""COMPUTED_VALUE"""),"RSC003539")</f>
        <v>RSC003539</v>
      </c>
      <c r="B3531" s="41" t="str">
        <f>IFERROR(__xludf.DUMMYFUNCTION("""COMPUTED_VALUE"""),"nicklitt")</f>
        <v>nicklitt</v>
      </c>
    </row>
    <row r="3532">
      <c r="A3532" s="41" t="str">
        <f>IFERROR(__xludf.DUMMYFUNCTION("""COMPUTED_VALUE"""),"RSC003540")</f>
        <v>RSC003540</v>
      </c>
      <c r="B3532" s="41" t="str">
        <f>IFERROR(__xludf.DUMMYFUNCTION("""COMPUTED_VALUE"""),"Frosty")</f>
        <v>Frosty</v>
      </c>
    </row>
    <row r="3533">
      <c r="A3533" s="41" t="str">
        <f>IFERROR(__xludf.DUMMYFUNCTION("""COMPUTED_VALUE"""),"RSC003541")</f>
        <v>RSC003541</v>
      </c>
      <c r="B3533" s="41" t="str">
        <f>IFERROR(__xludf.DUMMYFUNCTION("""COMPUTED_VALUE"""),"G3rt")</f>
        <v>G3rt</v>
      </c>
    </row>
    <row r="3534">
      <c r="A3534" s="41" t="str">
        <f>IFERROR(__xludf.DUMMYFUNCTION("""COMPUTED_VALUE"""),"RSC003542")</f>
        <v>RSC003542</v>
      </c>
      <c r="B3534" s="41" t="str">
        <f>IFERROR(__xludf.DUMMYFUNCTION("""COMPUTED_VALUE"""),"cdrch")</f>
        <v>cdrch</v>
      </c>
    </row>
    <row r="3535">
      <c r="A3535" s="41" t="str">
        <f>IFERROR(__xludf.DUMMYFUNCTION("""COMPUTED_VALUE"""),"RSC003543")</f>
        <v>RSC003543</v>
      </c>
      <c r="B3535" s="41" t="str">
        <f>IFERROR(__xludf.DUMMYFUNCTION("""COMPUTED_VALUE"""),"Combuztion")</f>
        <v>Combuztion</v>
      </c>
    </row>
    <row r="3536">
      <c r="A3536" s="41" t="str">
        <f>IFERROR(__xludf.DUMMYFUNCTION("""COMPUTED_VALUE"""),"RSC003544")</f>
        <v>RSC003544</v>
      </c>
      <c r="B3536" s="41" t="str">
        <f>IFERROR(__xludf.DUMMYFUNCTION("""COMPUTED_VALUE"""),"doodat")</f>
        <v>doodat</v>
      </c>
    </row>
    <row r="3537">
      <c r="A3537" s="41" t="str">
        <f>IFERROR(__xludf.DUMMYFUNCTION("""COMPUTED_VALUE"""),"RSC003545")</f>
        <v>RSC003545</v>
      </c>
      <c r="B3537" s="41" t="str">
        <f>IFERROR(__xludf.DUMMYFUNCTION("""COMPUTED_VALUE"""),"Grumpy Mittens™")</f>
        <v>Grumpy Mittens™</v>
      </c>
    </row>
    <row r="3538">
      <c r="A3538" s="41" t="str">
        <f>IFERROR(__xludf.DUMMYFUNCTION("""COMPUTED_VALUE"""),"RSC003546")</f>
        <v>RSC003546</v>
      </c>
      <c r="B3538" s="41" t="str">
        <f>IFERROR(__xludf.DUMMYFUNCTION("""COMPUTED_VALUE"""),"Leveled")</f>
        <v>Leveled</v>
      </c>
    </row>
    <row r="3539">
      <c r="A3539" s="41" t="str">
        <f>IFERROR(__xludf.DUMMYFUNCTION("""COMPUTED_VALUE"""),"RSC003547")</f>
        <v>RSC003547</v>
      </c>
      <c r="B3539" s="41" t="str">
        <f>IFERROR(__xludf.DUMMYFUNCTION("""COMPUTED_VALUE"""),"Dallque")</f>
        <v>Dallque</v>
      </c>
    </row>
    <row r="3540">
      <c r="A3540" s="41" t="str">
        <f>IFERROR(__xludf.DUMMYFUNCTION("""COMPUTED_VALUE"""),"RSC003548")</f>
        <v>RSC003548</v>
      </c>
      <c r="B3540" s="41" t="str">
        <f>IFERROR(__xludf.DUMMYFUNCTION("""COMPUTED_VALUE"""),"GUNT")</f>
        <v>GUNT</v>
      </c>
    </row>
    <row r="3541">
      <c r="A3541" s="41" t="str">
        <f>IFERROR(__xludf.DUMMYFUNCTION("""COMPUTED_VALUE"""),"RSC003549")</f>
        <v>RSC003549</v>
      </c>
      <c r="B3541" s="41" t="str">
        <f>IFERROR(__xludf.DUMMYFUNCTION("""COMPUTED_VALUE"""),"Blackmage426")</f>
        <v>Blackmage426</v>
      </c>
    </row>
    <row r="3542">
      <c r="A3542" s="41" t="str">
        <f>IFERROR(__xludf.DUMMYFUNCTION("""COMPUTED_VALUE"""),"RSC003550")</f>
        <v>RSC003550</v>
      </c>
      <c r="B3542" s="41" t="str">
        <f>IFERROR(__xludf.DUMMYFUNCTION("""COMPUTED_VALUE"""),".tristn")</f>
        <v>.tristn</v>
      </c>
    </row>
    <row r="3543">
      <c r="A3543" s="41" t="str">
        <f>IFERROR(__xludf.DUMMYFUNCTION("""COMPUTED_VALUE"""),"RSC003551")</f>
        <v>RSC003551</v>
      </c>
      <c r="B3543" s="41" t="str">
        <f>IFERROR(__xludf.DUMMYFUNCTION("""COMPUTED_VALUE"""),"EOTP")</f>
        <v>EOTP</v>
      </c>
    </row>
    <row r="3544">
      <c r="A3544" s="41" t="str">
        <f>IFERROR(__xludf.DUMMYFUNCTION("""COMPUTED_VALUE"""),"RSC003552")</f>
        <v>RSC003552</v>
      </c>
      <c r="B3544" s="41" t="str">
        <f>IFERROR(__xludf.DUMMYFUNCTION("""COMPUTED_VALUE"""),"Taxicab")</f>
        <v>Taxicab</v>
      </c>
    </row>
    <row r="3545">
      <c r="A3545" s="41" t="str">
        <f>IFERROR(__xludf.DUMMYFUNCTION("""COMPUTED_VALUE"""),"RSC003553")</f>
        <v>RSC003553</v>
      </c>
      <c r="B3545" s="41" t="str">
        <f>IFERROR(__xludf.DUMMYFUNCTION("""COMPUTED_VALUE"""),"Coax Cables")</f>
        <v>Coax Cables</v>
      </c>
    </row>
    <row r="3546">
      <c r="A3546" s="41" t="str">
        <f>IFERROR(__xludf.DUMMYFUNCTION("""COMPUTED_VALUE"""),"RSC003554")</f>
        <v>RSC003554</v>
      </c>
      <c r="B3546" s="41" t="str">
        <f>IFERROR(__xludf.DUMMYFUNCTION("""COMPUTED_VALUE"""),"Tempest.")</f>
        <v>Tempest.</v>
      </c>
    </row>
    <row r="3547">
      <c r="A3547" s="41" t="str">
        <f>IFERROR(__xludf.DUMMYFUNCTION("""COMPUTED_VALUE"""),"RSC003555")</f>
        <v>RSC003555</v>
      </c>
      <c r="B3547" s="41" t="str">
        <f>IFERROR(__xludf.DUMMYFUNCTION("""COMPUTED_VALUE"""),"Taken")</f>
        <v>Taken</v>
      </c>
    </row>
    <row r="3548">
      <c r="A3548" s="41" t="str">
        <f>IFERROR(__xludf.DUMMYFUNCTION("""COMPUTED_VALUE"""),"RSC003556")</f>
        <v>RSC003556</v>
      </c>
      <c r="B3548" s="41" t="str">
        <f>IFERROR(__xludf.DUMMYFUNCTION("""COMPUTED_VALUE"""),"Mikeisonfire")</f>
        <v>Mikeisonfire</v>
      </c>
    </row>
    <row r="3549">
      <c r="A3549" s="41" t="str">
        <f>IFERROR(__xludf.DUMMYFUNCTION("""COMPUTED_VALUE"""),"RSC003557")</f>
        <v>RSC003557</v>
      </c>
      <c r="B3549" s="41" t="str">
        <f>IFERROR(__xludf.DUMMYFUNCTION("""COMPUTED_VALUE"""),"MY CABBAGES")</f>
        <v>MY CABBAGES</v>
      </c>
    </row>
    <row r="3550">
      <c r="A3550" s="41" t="str">
        <f>IFERROR(__xludf.DUMMYFUNCTION("""COMPUTED_VALUE"""),"RSC003558")</f>
        <v>RSC003558</v>
      </c>
      <c r="B3550" s="41" t="str">
        <f>IFERROR(__xludf.DUMMYFUNCTION("""COMPUTED_VALUE"""),"C")</f>
        <v>C</v>
      </c>
    </row>
    <row r="3551">
      <c r="A3551" s="41" t="str">
        <f>IFERROR(__xludf.DUMMYFUNCTION("""COMPUTED_VALUE"""),"RSC003559")</f>
        <v>RSC003559</v>
      </c>
      <c r="B3551" s="41" t="str">
        <f>IFERROR(__xludf.DUMMYFUNCTION("""COMPUTED_VALUE"""),"Draxx")</f>
        <v>Draxx</v>
      </c>
    </row>
    <row r="3552">
      <c r="A3552" s="41" t="str">
        <f>IFERROR(__xludf.DUMMYFUNCTION("""COMPUTED_VALUE"""),"RSC003560")</f>
        <v>RSC003560</v>
      </c>
      <c r="B3552" s="41" t="str">
        <f>IFERROR(__xludf.DUMMYFUNCTION("""COMPUTED_VALUE"""),"Call Me Steve")</f>
        <v>Call Me Steve</v>
      </c>
    </row>
    <row r="3553">
      <c r="A3553" s="41" t="str">
        <f>IFERROR(__xludf.DUMMYFUNCTION("""COMPUTED_VALUE"""),"RSC003561")</f>
        <v>RSC003561</v>
      </c>
      <c r="B3553" s="41" t="str">
        <f>IFERROR(__xludf.DUMMYFUNCTION("""COMPUTED_VALUE"""),"Dooober")</f>
        <v>Dooober</v>
      </c>
    </row>
    <row r="3554">
      <c r="A3554" s="41" t="str">
        <f>IFERROR(__xludf.DUMMYFUNCTION("""COMPUTED_VALUE"""),"RSC003562")</f>
        <v>RSC003562</v>
      </c>
      <c r="B3554" s="41" t="str">
        <f>IFERROR(__xludf.DUMMYFUNCTION("""COMPUTED_VALUE"""),"Bort")</f>
        <v>Bort</v>
      </c>
    </row>
    <row r="3555">
      <c r="A3555" s="41" t="str">
        <f>IFERROR(__xludf.DUMMYFUNCTION("""COMPUTED_VALUE"""),"RSC003563")</f>
        <v>RSC003563</v>
      </c>
      <c r="B3555" s="41" t="str">
        <f>IFERROR(__xludf.DUMMYFUNCTION("""COMPUTED_VALUE"""),"JoeLethal")</f>
        <v>JoeLethal</v>
      </c>
    </row>
    <row r="3556">
      <c r="A3556" s="41" t="str">
        <f>IFERROR(__xludf.DUMMYFUNCTION("""COMPUTED_VALUE"""),"RSC003564")</f>
        <v>RSC003564</v>
      </c>
      <c r="B3556" s="41" t="str">
        <f>IFERROR(__xludf.DUMMYFUNCTION("""COMPUTED_VALUE"""),"Barry Dylan")</f>
        <v>Barry Dylan</v>
      </c>
    </row>
    <row r="3557">
      <c r="A3557" s="41" t="str">
        <f>IFERROR(__xludf.DUMMYFUNCTION("""COMPUTED_VALUE"""),"RSC003565")</f>
        <v>RSC003565</v>
      </c>
      <c r="B3557" s="41" t="str">
        <f>IFERROR(__xludf.DUMMYFUNCTION("""COMPUTED_VALUE"""),"Bored")</f>
        <v>Bored</v>
      </c>
    </row>
    <row r="3558">
      <c r="A3558" s="41" t="str">
        <f>IFERROR(__xludf.DUMMYFUNCTION("""COMPUTED_VALUE"""),"RSC003566")</f>
        <v>RSC003566</v>
      </c>
      <c r="B3558" s="41" t="str">
        <f>IFERROR(__xludf.DUMMYFUNCTION("""COMPUTED_VALUE"""),"threes")</f>
        <v>threes</v>
      </c>
    </row>
    <row r="3559">
      <c r="A3559" s="41" t="str">
        <f>IFERROR(__xludf.DUMMYFUNCTION("""COMPUTED_VALUE"""),"RSC003567")</f>
        <v>RSC003567</v>
      </c>
      <c r="B3559" s="41" t="str">
        <f>IFERROR(__xludf.DUMMYFUNCTION("""COMPUTED_VALUE"""),"Gibleedoo")</f>
        <v>Gibleedoo</v>
      </c>
    </row>
    <row r="3560">
      <c r="A3560" s="41" t="str">
        <f>IFERROR(__xludf.DUMMYFUNCTION("""COMPUTED_VALUE"""),"RSC003568")</f>
        <v>RSC003568</v>
      </c>
      <c r="B3560" s="41" t="str">
        <f>IFERROR(__xludf.DUMMYFUNCTION("""COMPUTED_VALUE"""),"Kiingz")</f>
        <v>Kiingz</v>
      </c>
    </row>
    <row r="3561">
      <c r="A3561" s="41" t="str">
        <f>IFERROR(__xludf.DUMMYFUNCTION("""COMPUTED_VALUE"""),"RSC003569")</f>
        <v>RSC003569</v>
      </c>
      <c r="B3561" s="41" t="str">
        <f>IFERROR(__xludf.DUMMYFUNCTION("""COMPUTED_VALUE"""),"Raw")</f>
        <v>Raw</v>
      </c>
    </row>
    <row r="3562">
      <c r="A3562" s="41" t="str">
        <f>IFERROR(__xludf.DUMMYFUNCTION("""COMPUTED_VALUE"""),"RSC003570")</f>
        <v>RSC003570</v>
      </c>
      <c r="B3562" s="41" t="str">
        <f>IFERROR(__xludf.DUMMYFUNCTION("""COMPUTED_VALUE"""),"DarthGoje")</f>
        <v>DarthGoje</v>
      </c>
    </row>
    <row r="3563">
      <c r="A3563" s="41" t="str">
        <f>IFERROR(__xludf.DUMMYFUNCTION("""COMPUTED_VALUE"""),"RSC003571")</f>
        <v>RSC003571</v>
      </c>
      <c r="B3563" s="41" t="str">
        <f>IFERROR(__xludf.DUMMYFUNCTION("""COMPUTED_VALUE"""),"Caboose")</f>
        <v>Caboose</v>
      </c>
    </row>
    <row r="3564">
      <c r="A3564" s="41" t="str">
        <f>IFERROR(__xludf.DUMMYFUNCTION("""COMPUTED_VALUE"""),"RSC003572")</f>
        <v>RSC003572</v>
      </c>
      <c r="B3564" s="41" t="str">
        <f>IFERROR(__xludf.DUMMYFUNCTION("""COMPUTED_VALUE"""),"Fefe")</f>
        <v>Fefe</v>
      </c>
    </row>
    <row r="3565">
      <c r="A3565" s="41" t="str">
        <f>IFERROR(__xludf.DUMMYFUNCTION("""COMPUTED_VALUE"""),"RSC003573")</f>
        <v>RSC003573</v>
      </c>
      <c r="B3565" s="41" t="str">
        <f>IFERROR(__xludf.DUMMYFUNCTION("""COMPUTED_VALUE"""),"dts | themustache")</f>
        <v>dts | themustache</v>
      </c>
    </row>
    <row r="3566">
      <c r="A3566" s="41" t="str">
        <f>IFERROR(__xludf.DUMMYFUNCTION("""COMPUTED_VALUE"""),"RSC003574")</f>
        <v>RSC003574</v>
      </c>
      <c r="B3566" s="41" t="str">
        <f>IFERROR(__xludf.DUMMYFUNCTION("""COMPUTED_VALUE"""),"ChasinAway")</f>
        <v>ChasinAway</v>
      </c>
    </row>
    <row r="3567">
      <c r="A3567" s="41" t="str">
        <f>IFERROR(__xludf.DUMMYFUNCTION("""COMPUTED_VALUE"""),"RSC003575")</f>
        <v>RSC003575</v>
      </c>
      <c r="B3567" s="41" t="str">
        <f>IFERROR(__xludf.DUMMYFUNCTION("""COMPUTED_VALUE"""),"AG | Skil")</f>
        <v>AG | Skil</v>
      </c>
    </row>
    <row r="3568">
      <c r="A3568" s="41" t="str">
        <f>IFERROR(__xludf.DUMMYFUNCTION("""COMPUTED_VALUE"""),"RSC003576")</f>
        <v>RSC003576</v>
      </c>
      <c r="B3568" s="41" t="str">
        <f>IFERROR(__xludf.DUMMYFUNCTION("""COMPUTED_VALUE"""),"Cynder")</f>
        <v>Cynder</v>
      </c>
    </row>
    <row r="3569">
      <c r="A3569" s="41" t="str">
        <f>IFERROR(__xludf.DUMMYFUNCTION("""COMPUTED_VALUE"""),"RSC003577")</f>
        <v>RSC003577</v>
      </c>
      <c r="B3569" s="41" t="str">
        <f>IFERROR(__xludf.DUMMYFUNCTION("""COMPUTED_VALUE"""),"Zacer75")</f>
        <v>Zacer75</v>
      </c>
    </row>
    <row r="3570">
      <c r="A3570" s="41" t="str">
        <f>IFERROR(__xludf.DUMMYFUNCTION("""COMPUTED_VALUE"""),"RSC003578")</f>
        <v>RSC003578</v>
      </c>
      <c r="B3570" s="41" t="str">
        <f>IFERROR(__xludf.DUMMYFUNCTION("""COMPUTED_VALUE"""),"Taze")</f>
        <v>Taze</v>
      </c>
    </row>
    <row r="3571">
      <c r="A3571" s="41" t="str">
        <f>IFERROR(__xludf.DUMMYFUNCTION("""COMPUTED_VALUE"""),"RSC003579")</f>
        <v>RSC003579</v>
      </c>
      <c r="B3571" s="41" t="str">
        <f>IFERROR(__xludf.DUMMYFUNCTION("""COMPUTED_VALUE"""),"Sinis7eR")</f>
        <v>Sinis7eR</v>
      </c>
    </row>
    <row r="3572">
      <c r="A3572" s="41" t="str">
        <f>IFERROR(__xludf.DUMMYFUNCTION("""COMPUTED_VALUE"""),"RSC003580")</f>
        <v>RSC003580</v>
      </c>
      <c r="B3572" s="41" t="str">
        <f>IFERROR(__xludf.DUMMYFUNCTION("""COMPUTED_VALUE"""),"Alatak")</f>
        <v>Alatak</v>
      </c>
    </row>
    <row r="3573">
      <c r="A3573" s="41" t="str">
        <f>IFERROR(__xludf.DUMMYFUNCTION("""COMPUTED_VALUE"""),"RSC003581")</f>
        <v>RSC003581</v>
      </c>
      <c r="B3573" s="41" t="str">
        <f>IFERROR(__xludf.DUMMYFUNCTION("""COMPUTED_VALUE"""),"Evster")</f>
        <v>Evster</v>
      </c>
    </row>
    <row r="3574">
      <c r="A3574" s="41" t="str">
        <f>IFERROR(__xludf.DUMMYFUNCTION("""COMPUTED_VALUE"""),"RSC003582")</f>
        <v>RSC003582</v>
      </c>
      <c r="B3574" s="41" t="str">
        <f>IFERROR(__xludf.DUMMYFUNCTION("""COMPUTED_VALUE"""),"Happy")</f>
        <v>Happy</v>
      </c>
    </row>
    <row r="3575">
      <c r="A3575" s="41" t="str">
        <f>IFERROR(__xludf.DUMMYFUNCTION("""COMPUTED_VALUE"""),"RSC003583")</f>
        <v>RSC003583</v>
      </c>
      <c r="B3575" s="41" t="str">
        <f>IFERROR(__xludf.DUMMYFUNCTION("""COMPUTED_VALUE"""),"Nicnac")</f>
        <v>Nicnac</v>
      </c>
    </row>
    <row r="3576">
      <c r="A3576" s="41" t="str">
        <f>IFERROR(__xludf.DUMMYFUNCTION("""COMPUTED_VALUE"""),"RSC003584")</f>
        <v>RSC003584</v>
      </c>
      <c r="B3576" s="41" t="str">
        <f>IFERROR(__xludf.DUMMYFUNCTION("""COMPUTED_VALUE"""),"Chrono")</f>
        <v>Chrono</v>
      </c>
    </row>
    <row r="3577">
      <c r="A3577" s="41" t="str">
        <f>IFERROR(__xludf.DUMMYFUNCTION("""COMPUTED_VALUE"""),"RSC003585")</f>
        <v>RSC003585</v>
      </c>
      <c r="B3577" s="41" t="str">
        <f>IFERROR(__xludf.DUMMYFUNCTION("""COMPUTED_VALUE"""),"adhi")</f>
        <v>adhi</v>
      </c>
    </row>
    <row r="3578">
      <c r="A3578" s="41" t="str">
        <f>IFERROR(__xludf.DUMMYFUNCTION("""COMPUTED_VALUE"""),"RSC003586")</f>
        <v>RSC003586</v>
      </c>
      <c r="B3578" s="41" t="str">
        <f>IFERROR(__xludf.DUMMYFUNCTION("""COMPUTED_VALUE"""),"TyTy0804 | Bean King")</f>
        <v>TyTy0804 | Bean King</v>
      </c>
    </row>
    <row r="3579">
      <c r="A3579" s="41" t="str">
        <f>IFERROR(__xludf.DUMMYFUNCTION("""COMPUTED_VALUE"""),"RSC003587")</f>
        <v>RSC003587</v>
      </c>
      <c r="B3579" s="41" t="str">
        <f>IFERROR(__xludf.DUMMYFUNCTION("""COMPUTED_VALUE"""),"whitefangdavid")</f>
        <v>whitefangdavid</v>
      </c>
    </row>
    <row r="3580">
      <c r="A3580" s="41" t="str">
        <f>IFERROR(__xludf.DUMMYFUNCTION("""COMPUTED_VALUE"""),"RSC003588")</f>
        <v>RSC003588</v>
      </c>
      <c r="B3580" s="41" t="str">
        <f>IFERROR(__xludf.DUMMYFUNCTION("""COMPUTED_VALUE"""),"eman4ever")</f>
        <v>eman4ever</v>
      </c>
    </row>
    <row r="3581">
      <c r="A3581" s="41" t="str">
        <f>IFERROR(__xludf.DUMMYFUNCTION("""COMPUTED_VALUE"""),"RSC003589")</f>
        <v>RSC003589</v>
      </c>
      <c r="B3581" s="41" t="str">
        <f>IFERROR(__xludf.DUMMYFUNCTION("""COMPUTED_VALUE"""),"Forest5ire")</f>
        <v>Forest5ire</v>
      </c>
    </row>
    <row r="3582">
      <c r="A3582" s="41" t="str">
        <f>IFERROR(__xludf.DUMMYFUNCTION("""COMPUTED_VALUE"""),"RSC003590")</f>
        <v>RSC003590</v>
      </c>
      <c r="B3582" s="41" t="str">
        <f>IFERROR(__xludf.DUMMYFUNCTION("""COMPUTED_VALUE"""),"Zenith-change")</f>
        <v>Zenith-change</v>
      </c>
    </row>
    <row r="3583">
      <c r="A3583" s="41" t="str">
        <f>IFERROR(__xludf.DUMMYFUNCTION("""COMPUTED_VALUE"""),"RSC003591")</f>
        <v>RSC003591</v>
      </c>
      <c r="B3583" s="41" t="str">
        <f>IFERROR(__xludf.DUMMYFUNCTION("""COMPUTED_VALUE"""),"Delephant")</f>
        <v>Delephant</v>
      </c>
    </row>
    <row r="3584">
      <c r="A3584" s="41" t="str">
        <f>IFERROR(__xludf.DUMMYFUNCTION("""COMPUTED_VALUE"""),"RSC003592")</f>
        <v>RSC003592</v>
      </c>
      <c r="B3584" s="41" t="str">
        <f>IFERROR(__xludf.DUMMYFUNCTION("""COMPUTED_VALUE"""),"iFsh")</f>
        <v>iFsh</v>
      </c>
    </row>
    <row r="3585">
      <c r="A3585" s="41" t="str">
        <f>IFERROR(__xludf.DUMMYFUNCTION("""COMPUTED_VALUE"""),"RSC003593")</f>
        <v>RSC003593</v>
      </c>
      <c r="B3585" s="41" t="str">
        <f>IFERROR(__xludf.DUMMYFUNCTION("""COMPUTED_VALUE"""),"crazyninja")</f>
        <v>crazyninja</v>
      </c>
    </row>
    <row r="3586">
      <c r="A3586" s="41" t="str">
        <f>IFERROR(__xludf.DUMMYFUNCTION("""COMPUTED_VALUE"""),"RSC003594")</f>
        <v>RSC003594</v>
      </c>
      <c r="B3586" s="41" t="str">
        <f>IFERROR(__xludf.DUMMYFUNCTION("""COMPUTED_VALUE"""),"Slepy")</f>
        <v>Slepy</v>
      </c>
    </row>
    <row r="3587">
      <c r="A3587" s="41" t="str">
        <f>IFERROR(__xludf.DUMMYFUNCTION("""COMPUTED_VALUE"""),"RSC003595")</f>
        <v>RSC003595</v>
      </c>
      <c r="B3587" s="41" t="str">
        <f>IFERROR(__xludf.DUMMYFUNCTION("""COMPUTED_VALUE"""),"DatStew Shamwow")</f>
        <v>DatStew Shamwow</v>
      </c>
    </row>
    <row r="3588">
      <c r="A3588" s="41" t="str">
        <f>IFERROR(__xludf.DUMMYFUNCTION("""COMPUTED_VALUE"""),"RSC003596")</f>
        <v>RSC003596</v>
      </c>
      <c r="B3588" s="41" t="str">
        <f>IFERROR(__xludf.DUMMYFUNCTION("""COMPUTED_VALUE"""),"FusiveR")</f>
        <v>FusiveR</v>
      </c>
    </row>
    <row r="3589">
      <c r="A3589" s="41" t="str">
        <f>IFERROR(__xludf.DUMMYFUNCTION("""COMPUTED_VALUE"""),"RSC003597")</f>
        <v>RSC003597</v>
      </c>
      <c r="B3589" s="41" t="str">
        <f>IFERROR(__xludf.DUMMYFUNCTION("""COMPUTED_VALUE"""),"MadCat")</f>
        <v>MadCat</v>
      </c>
    </row>
    <row r="3590">
      <c r="A3590" s="41" t="str">
        <f>IFERROR(__xludf.DUMMYFUNCTION("""COMPUTED_VALUE"""),"RSC003598")</f>
        <v>RSC003598</v>
      </c>
      <c r="B3590" s="41" t="str">
        <f>IFERROR(__xludf.DUMMYFUNCTION("""COMPUTED_VALUE"""),"I_WIN_2681")</f>
        <v>I_WIN_2681</v>
      </c>
    </row>
    <row r="3591">
      <c r="A3591" s="41" t="str">
        <f>IFERROR(__xludf.DUMMYFUNCTION("""COMPUTED_VALUE"""),"RSC003599")</f>
        <v>RSC003599</v>
      </c>
      <c r="B3591" s="41" t="str">
        <f>IFERROR(__xludf.DUMMYFUNCTION("""COMPUTED_VALUE"""),"e0N")</f>
        <v>e0N</v>
      </c>
    </row>
    <row r="3592">
      <c r="A3592" s="41" t="str">
        <f>IFERROR(__xludf.DUMMYFUNCTION("""COMPUTED_VALUE"""),"RSC003600")</f>
        <v>RSC003600</v>
      </c>
      <c r="B3592" s="41" t="str">
        <f>IFERROR(__xludf.DUMMYFUNCTION("""COMPUTED_VALUE"""),"chance")</f>
        <v>chance</v>
      </c>
    </row>
    <row r="3593">
      <c r="A3593" s="41" t="str">
        <f>IFERROR(__xludf.DUMMYFUNCTION("""COMPUTED_VALUE"""),"RSC003601")</f>
        <v>RSC003601</v>
      </c>
      <c r="B3593" s="41" t="str">
        <f>IFERROR(__xludf.DUMMYFUNCTION("""COMPUTED_VALUE"""),"Freshwater")</f>
        <v>Freshwater</v>
      </c>
    </row>
    <row r="3594">
      <c r="A3594" s="41" t="str">
        <f>IFERROR(__xludf.DUMMYFUNCTION("""COMPUTED_VALUE"""),"RSC003602")</f>
        <v>RSC003602</v>
      </c>
      <c r="B3594" s="41" t="str">
        <f>IFERROR(__xludf.DUMMYFUNCTION("""COMPUTED_VALUE"""),"Pandamime")</f>
        <v>Pandamime</v>
      </c>
    </row>
    <row r="3595">
      <c r="A3595" s="41" t="str">
        <f>IFERROR(__xludf.DUMMYFUNCTION("""COMPUTED_VALUE"""),"RSC003603")</f>
        <v>RSC003603</v>
      </c>
      <c r="B3595" s="41" t="str">
        <f>IFERROR(__xludf.DUMMYFUNCTION("""COMPUTED_VALUE"""),"Keeganator_1354")</f>
        <v>Keeganator_1354</v>
      </c>
    </row>
    <row r="3596">
      <c r="A3596" s="41" t="str">
        <f>IFERROR(__xludf.DUMMYFUNCTION("""COMPUTED_VALUE"""),"RSC003604")</f>
        <v>RSC003604</v>
      </c>
      <c r="B3596" s="41" t="str">
        <f>IFERROR(__xludf.DUMMYFUNCTION("""COMPUTED_VALUE"""),"Ruze")</f>
        <v>Ruze</v>
      </c>
    </row>
    <row r="3597">
      <c r="A3597" s="41" t="str">
        <f>IFERROR(__xludf.DUMMYFUNCTION("""COMPUTED_VALUE"""),"RSC003605")</f>
        <v>RSC003605</v>
      </c>
      <c r="B3597" s="41" t="str">
        <f>IFERROR(__xludf.DUMMYFUNCTION("""COMPUTED_VALUE"""),"Skyjack")</f>
        <v>Skyjack</v>
      </c>
    </row>
    <row r="3598">
      <c r="A3598" s="41" t="str">
        <f>IFERROR(__xludf.DUMMYFUNCTION("""COMPUTED_VALUE"""),"RSC003606")</f>
        <v>RSC003606</v>
      </c>
      <c r="B3598" s="41" t="str">
        <f>IFERROR(__xludf.DUMMYFUNCTION("""COMPUTED_VALUE"""),"ToastyGloves")</f>
        <v>ToastyGloves</v>
      </c>
    </row>
    <row r="3599">
      <c r="A3599" s="41" t="str">
        <f>IFERROR(__xludf.DUMMYFUNCTION("""COMPUTED_VALUE"""),"RSC003607")</f>
        <v>RSC003607</v>
      </c>
      <c r="B3599" s="41" t="str">
        <f>IFERROR(__xludf.DUMMYFUNCTION("""COMPUTED_VALUE"""),"Dromaeda")</f>
        <v>Dromaeda</v>
      </c>
    </row>
    <row r="3600">
      <c r="A3600" s="41" t="str">
        <f>IFERROR(__xludf.DUMMYFUNCTION("""COMPUTED_VALUE"""),"RSC003608")</f>
        <v>RSC003608</v>
      </c>
      <c r="B3600" s="41" t="str">
        <f>IFERROR(__xludf.DUMMYFUNCTION("""COMPUTED_VALUE"""),"tdh")</f>
        <v>tdh</v>
      </c>
    </row>
    <row r="3601">
      <c r="A3601" s="41" t="str">
        <f>IFERROR(__xludf.DUMMYFUNCTION("""COMPUTED_VALUE"""),"RSC003609")</f>
        <v>RSC003609</v>
      </c>
      <c r="B3601" s="41" t="str">
        <f>IFERROR(__xludf.DUMMYFUNCTION("""COMPUTED_VALUE"""),"firerust")</f>
        <v>firerust</v>
      </c>
    </row>
    <row r="3602">
      <c r="A3602" s="41" t="str">
        <f>IFERROR(__xludf.DUMMYFUNCTION("""COMPUTED_VALUE"""),"RSC003610")</f>
        <v>RSC003610</v>
      </c>
      <c r="B3602" s="41" t="str">
        <f>IFERROR(__xludf.DUMMYFUNCTION("""COMPUTED_VALUE"""),"Dred")</f>
        <v>Dred</v>
      </c>
    </row>
    <row r="3603">
      <c r="A3603" s="41" t="str">
        <f>IFERROR(__xludf.DUMMYFUNCTION("""COMPUTED_VALUE"""),"RSC003611")</f>
        <v>RSC003611</v>
      </c>
      <c r="B3603" s="41" t="str">
        <f>IFERROR(__xludf.DUMMYFUNCTION("""COMPUTED_VALUE"""),"Aech.")</f>
        <v>Aech.</v>
      </c>
    </row>
    <row r="3604">
      <c r="A3604" s="41" t="str">
        <f>IFERROR(__xludf.DUMMYFUNCTION("""COMPUTED_VALUE"""),"RSC003612")</f>
        <v>RSC003612</v>
      </c>
      <c r="B3604" s="41" t="str">
        <f>IFERROR(__xludf.DUMMYFUNCTION("""COMPUTED_VALUE"""),"Noddan")</f>
        <v>Noddan</v>
      </c>
    </row>
    <row r="3605">
      <c r="A3605" s="41" t="str">
        <f>IFERROR(__xludf.DUMMYFUNCTION("""COMPUTED_VALUE"""),"RSC003613")</f>
        <v>RSC003613</v>
      </c>
      <c r="B3605" s="41" t="str">
        <f>IFERROR(__xludf.DUMMYFUNCTION("""COMPUTED_VALUE"""),"Cryo")</f>
        <v>Cryo</v>
      </c>
    </row>
    <row r="3606">
      <c r="A3606" s="41" t="str">
        <f>IFERROR(__xludf.DUMMYFUNCTION("""COMPUTED_VALUE"""),"RSC003614")</f>
        <v>RSC003614</v>
      </c>
      <c r="B3606" s="41" t="str">
        <f>IFERROR(__xludf.DUMMYFUNCTION("""COMPUTED_VALUE"""),"Roup")</f>
        <v>Roup</v>
      </c>
    </row>
    <row r="3607">
      <c r="A3607" s="41" t="str">
        <f>IFERROR(__xludf.DUMMYFUNCTION("""COMPUTED_VALUE"""),"RSC003615")</f>
        <v>RSC003615</v>
      </c>
      <c r="B3607" s="41" t="str">
        <f>IFERROR(__xludf.DUMMYFUNCTION("""COMPUTED_VALUE"""),"Turtle_Assassin")</f>
        <v>Turtle_Assassin</v>
      </c>
    </row>
    <row r="3608">
      <c r="A3608" s="41" t="str">
        <f>IFERROR(__xludf.DUMMYFUNCTION("""COMPUTED_VALUE"""),"RSC003616")</f>
        <v>RSC003616</v>
      </c>
      <c r="B3608" s="41" t="str">
        <f>IFERROR(__xludf.DUMMYFUNCTION("""COMPUTED_VALUE"""),"krillin_hides")</f>
        <v>krillin_hides</v>
      </c>
    </row>
    <row r="3609">
      <c r="A3609" s="41" t="str">
        <f>IFERROR(__xludf.DUMMYFUNCTION("""COMPUTED_VALUE"""),"RSC003617")</f>
        <v>RSC003617</v>
      </c>
      <c r="B3609" s="41" t="str">
        <f>IFERROR(__xludf.DUMMYFUNCTION("""COMPUTED_VALUE"""),"Deztination")</f>
        <v>Deztination</v>
      </c>
    </row>
    <row r="3610">
      <c r="A3610" s="41" t="str">
        <f>IFERROR(__xludf.DUMMYFUNCTION("""COMPUTED_VALUE"""),"RSC003618")</f>
        <v>RSC003618</v>
      </c>
      <c r="B3610" s="41" t="str">
        <f>IFERROR(__xludf.DUMMYFUNCTION("""COMPUTED_VALUE"""),"Creature")</f>
        <v>Creature</v>
      </c>
    </row>
    <row r="3611">
      <c r="A3611" s="41" t="str">
        <f>IFERROR(__xludf.DUMMYFUNCTION("""COMPUTED_VALUE"""),"RSC003619")</f>
        <v>RSC003619</v>
      </c>
      <c r="B3611" s="41" t="str">
        <f>IFERROR(__xludf.DUMMYFUNCTION("""COMPUTED_VALUE"""),"fishrulesoy")</f>
        <v>fishrulesoy</v>
      </c>
    </row>
    <row r="3612">
      <c r="A3612" s="41" t="str">
        <f>IFERROR(__xludf.DUMMYFUNCTION("""COMPUTED_VALUE"""),"RSC003620")</f>
        <v>RSC003620</v>
      </c>
      <c r="B3612" s="41" t="str">
        <f>IFERROR(__xludf.DUMMYFUNCTION("""COMPUTED_VALUE"""),"LDub")</f>
        <v>LDub</v>
      </c>
    </row>
    <row r="3613">
      <c r="A3613" s="41" t="str">
        <f>IFERROR(__xludf.DUMMYFUNCTION("""COMPUTED_VALUE"""),"RSC003621")</f>
        <v>RSC003621</v>
      </c>
      <c r="B3613" s="41" t="str">
        <f>IFERROR(__xludf.DUMMYFUNCTION("""COMPUTED_VALUE"""),"hairyman")</f>
        <v>hairyman</v>
      </c>
    </row>
    <row r="3614">
      <c r="A3614" s="41" t="str">
        <f>IFERROR(__xludf.DUMMYFUNCTION("""COMPUTED_VALUE"""),"RSC003622")</f>
        <v>RSC003622</v>
      </c>
      <c r="B3614" s="41" t="str">
        <f>IFERROR(__xludf.DUMMYFUNCTION("""COMPUTED_VALUE"""),"awakenedfear46")</f>
        <v>awakenedfear46</v>
      </c>
    </row>
    <row r="3615">
      <c r="A3615" s="41" t="str">
        <f>IFERROR(__xludf.DUMMYFUNCTION("""COMPUTED_VALUE"""),"RSC003623")</f>
        <v>RSC003623</v>
      </c>
      <c r="B3615" s="41" t="str">
        <f>IFERROR(__xludf.DUMMYFUNCTION("""COMPUTED_VALUE"""),"Nick ^_^")</f>
        <v>Nick ^_^</v>
      </c>
    </row>
    <row r="3616">
      <c r="A3616" s="41" t="str">
        <f>IFERROR(__xludf.DUMMYFUNCTION("""COMPUTED_VALUE"""),"RSC003624")</f>
        <v>RSC003624</v>
      </c>
      <c r="B3616" s="41" t="str">
        <f>IFERROR(__xludf.DUMMYFUNCTION("""COMPUTED_VALUE"""),"An Emu")</f>
        <v>An Emu</v>
      </c>
    </row>
    <row r="3617">
      <c r="A3617" s="41" t="str">
        <f>IFERROR(__xludf.DUMMYFUNCTION("""COMPUTED_VALUE"""),"RSC003625")</f>
        <v>RSC003625</v>
      </c>
      <c r="B3617" s="41" t="str">
        <f>IFERROR(__xludf.DUMMYFUNCTION("""COMPUTED_VALUE"""),"HeyImCole")</f>
        <v>HeyImCole</v>
      </c>
    </row>
    <row r="3618">
      <c r="A3618" s="41" t="str">
        <f>IFERROR(__xludf.DUMMYFUNCTION("""COMPUTED_VALUE"""),"RSC003626")</f>
        <v>RSC003626</v>
      </c>
      <c r="B3618" s="41" t="str">
        <f>IFERROR(__xludf.DUMMYFUNCTION("""COMPUTED_VALUE"""),"aether")</f>
        <v>aether</v>
      </c>
    </row>
    <row r="3619">
      <c r="A3619" s="41" t="str">
        <f>IFERROR(__xludf.DUMMYFUNCTION("""COMPUTED_VALUE"""),"RSC003627")</f>
        <v>RSC003627</v>
      </c>
      <c r="B3619" s="41" t="str">
        <f>IFERROR(__xludf.DUMMYFUNCTION("""COMPUTED_VALUE"""),"RicoRound")</f>
        <v>RicoRound</v>
      </c>
    </row>
    <row r="3620">
      <c r="A3620" s="41" t="str">
        <f>IFERROR(__xludf.DUMMYFUNCTION("""COMPUTED_VALUE"""),"RSC003628")</f>
        <v>RSC003628</v>
      </c>
      <c r="B3620" s="41" t="str">
        <f>IFERROR(__xludf.DUMMYFUNCTION("""COMPUTED_VALUE"""),"Bloo")</f>
        <v>Bloo</v>
      </c>
    </row>
    <row r="3621">
      <c r="A3621" s="41" t="str">
        <f>IFERROR(__xludf.DUMMYFUNCTION("""COMPUTED_VALUE"""),"RSC003629")</f>
        <v>RSC003629</v>
      </c>
      <c r="B3621" s="41" t="str">
        <f>IFERROR(__xludf.DUMMYFUNCTION("""COMPUTED_VALUE"""),"Bonekin")</f>
        <v>Bonekin</v>
      </c>
    </row>
    <row r="3622">
      <c r="A3622" s="41" t="str">
        <f>IFERROR(__xludf.DUMMYFUNCTION("""COMPUTED_VALUE"""),"RSC003630")</f>
        <v>RSC003630</v>
      </c>
      <c r="B3622" s="41" t="str">
        <f>IFERROR(__xludf.DUMMYFUNCTION("""COMPUTED_VALUE"""),"Fredrick")</f>
        <v>Fredrick</v>
      </c>
    </row>
    <row r="3623">
      <c r="A3623" s="41" t="str">
        <f>IFERROR(__xludf.DUMMYFUNCTION("""COMPUTED_VALUE"""),"RSC003631")</f>
        <v>RSC003631</v>
      </c>
      <c r="B3623" s="41" t="str">
        <f>IFERROR(__xludf.DUMMYFUNCTION("""COMPUTED_VALUE"""),"SupremE")</f>
        <v>SupremE</v>
      </c>
    </row>
    <row r="3624">
      <c r="A3624" s="41" t="str">
        <f>IFERROR(__xludf.DUMMYFUNCTION("""COMPUTED_VALUE"""),"RSC003632")</f>
        <v>RSC003632</v>
      </c>
      <c r="B3624" s="41" t="str">
        <f>IFERROR(__xludf.DUMMYFUNCTION("""COMPUTED_VALUE"""),"Cruciform")</f>
        <v>Cruciform</v>
      </c>
    </row>
    <row r="3625">
      <c r="A3625" s="41" t="str">
        <f>IFERROR(__xludf.DUMMYFUNCTION("""COMPUTED_VALUE"""),"RSC003633")</f>
        <v>RSC003633</v>
      </c>
      <c r="B3625" s="41" t="str">
        <f>IFERROR(__xludf.DUMMYFUNCTION("""COMPUTED_VALUE"""),"thegoatcarter")</f>
        <v>thegoatcarter</v>
      </c>
    </row>
    <row r="3626">
      <c r="A3626" s="41" t="str">
        <f>IFERROR(__xludf.DUMMYFUNCTION("""COMPUTED_VALUE"""),"RSC003634")</f>
        <v>RSC003634</v>
      </c>
      <c r="B3626" s="41" t="str">
        <f>IFERROR(__xludf.DUMMYFUNCTION("""COMPUTED_VALUE"""),"PLG")</f>
        <v>PLG</v>
      </c>
    </row>
    <row r="3627">
      <c r="A3627" s="41" t="str">
        <f>IFERROR(__xludf.DUMMYFUNCTION("""COMPUTED_VALUE"""),"RSC003635")</f>
        <v>RSC003635</v>
      </c>
      <c r="B3627" s="41" t="str">
        <f>IFERROR(__xludf.DUMMYFUNCTION("""COMPUTED_VALUE"""),"Poseidon")</f>
        <v>Poseidon</v>
      </c>
    </row>
    <row r="3628">
      <c r="A3628" s="41" t="str">
        <f>IFERROR(__xludf.DUMMYFUNCTION("""COMPUTED_VALUE"""),"RSC003636")</f>
        <v>RSC003636</v>
      </c>
      <c r="B3628" s="41" t="str">
        <f>IFERROR(__xludf.DUMMYFUNCTION("""COMPUTED_VALUE"""),"NinjaB")</f>
        <v>NinjaB</v>
      </c>
    </row>
    <row r="3629">
      <c r="A3629" s="41" t="str">
        <f>IFERROR(__xludf.DUMMYFUNCTION("""COMPUTED_VALUE"""),"RSC003637")</f>
        <v>RSC003637</v>
      </c>
      <c r="B3629" s="41" t="str">
        <f>IFERROR(__xludf.DUMMYFUNCTION("""COMPUTED_VALUE"""),"sterile_stark")</f>
        <v>sterile_stark</v>
      </c>
    </row>
    <row r="3630">
      <c r="A3630" s="41" t="str">
        <f>IFERROR(__xludf.DUMMYFUNCTION("""COMPUTED_VALUE"""),"RSC003638")</f>
        <v>RSC003638</v>
      </c>
      <c r="B3630" s="41" t="str">
        <f>IFERROR(__xludf.DUMMYFUNCTION("""COMPUTED_VALUE"""),"Jhogue44")</f>
        <v>Jhogue44</v>
      </c>
    </row>
    <row r="3631">
      <c r="A3631" s="41" t="str">
        <f>IFERROR(__xludf.DUMMYFUNCTION("""COMPUTED_VALUE"""),"RSC003639")</f>
        <v>RSC003639</v>
      </c>
      <c r="B3631" s="41" t="str">
        <f>IFERROR(__xludf.DUMMYFUNCTION("""COMPUTED_VALUE"""),"Dopler")</f>
        <v>Dopler</v>
      </c>
    </row>
    <row r="3632">
      <c r="A3632" s="41" t="str">
        <f>IFERROR(__xludf.DUMMYFUNCTION("""COMPUTED_VALUE"""),"RSC003640")</f>
        <v>RSC003640</v>
      </c>
      <c r="B3632" s="41" t="str">
        <f>IFERROR(__xludf.DUMMYFUNCTION("""COMPUTED_VALUE"""),"RickayyOG")</f>
        <v>RickayyOG</v>
      </c>
    </row>
    <row r="3633">
      <c r="A3633" s="41" t="str">
        <f>IFERROR(__xludf.DUMMYFUNCTION("""COMPUTED_VALUE"""),"RSC003641")</f>
        <v>RSC003641</v>
      </c>
      <c r="B3633" s="41" t="str">
        <f>IFERROR(__xludf.DUMMYFUNCTION("""COMPUTED_VALUE"""),"Bmill56")</f>
        <v>Bmill56</v>
      </c>
    </row>
    <row r="3634">
      <c r="A3634" s="41" t="str">
        <f>IFERROR(__xludf.DUMMYFUNCTION("""COMPUTED_VALUE"""),"RSC003642")</f>
        <v>RSC003642</v>
      </c>
      <c r="B3634" s="41" t="str">
        <f>IFERROR(__xludf.DUMMYFUNCTION("""COMPUTED_VALUE"""),"Lambo")</f>
        <v>Lambo</v>
      </c>
    </row>
    <row r="3635">
      <c r="A3635" s="41" t="str">
        <f>IFERROR(__xludf.DUMMYFUNCTION("""COMPUTED_VALUE"""),"RSC003643")</f>
        <v>RSC003643</v>
      </c>
      <c r="B3635" s="41" t="str">
        <f>IFERROR(__xludf.DUMMYFUNCTION("""COMPUTED_VALUE"""),"shaun")</f>
        <v>shaun</v>
      </c>
    </row>
    <row r="3636">
      <c r="A3636" s="41" t="str">
        <f>IFERROR(__xludf.DUMMYFUNCTION("""COMPUTED_VALUE"""),"RSC003644")</f>
        <v>RSC003644</v>
      </c>
      <c r="B3636" s="41" t="str">
        <f>IFERROR(__xludf.DUMMYFUNCTION("""COMPUTED_VALUE"""),"brens")</f>
        <v>brens</v>
      </c>
    </row>
    <row r="3637">
      <c r="A3637" s="41" t="str">
        <f>IFERROR(__xludf.DUMMYFUNCTION("""COMPUTED_VALUE"""),"RSC003645")</f>
        <v>RSC003645</v>
      </c>
      <c r="B3637" s="41" t="str">
        <f>IFERROR(__xludf.DUMMYFUNCTION("""COMPUTED_VALUE"""),"Jonny")</f>
        <v>Jonny</v>
      </c>
    </row>
    <row r="3638">
      <c r="A3638" s="41" t="str">
        <f>IFERROR(__xludf.DUMMYFUNCTION("""COMPUTED_VALUE"""),"RSC003646")</f>
        <v>RSC003646</v>
      </c>
      <c r="B3638" s="41" t="str">
        <f>IFERROR(__xludf.DUMMYFUNCTION("""COMPUTED_VALUE"""),"DJ(change)")</f>
        <v>DJ(change)</v>
      </c>
    </row>
    <row r="3639">
      <c r="A3639" s="41" t="str">
        <f>IFERROR(__xludf.DUMMYFUNCTION("""COMPUTED_VALUE"""),"RSC003647")</f>
        <v>RSC003647</v>
      </c>
      <c r="B3639" s="41" t="str">
        <f>IFERROR(__xludf.DUMMYFUNCTION("""COMPUTED_VALUE"""),"Shadow_Blade_432")</f>
        <v>Shadow_Blade_432</v>
      </c>
    </row>
    <row r="3640">
      <c r="A3640" s="41" t="str">
        <f>IFERROR(__xludf.DUMMYFUNCTION("""COMPUTED_VALUE"""),"RSC003648")</f>
        <v>RSC003648</v>
      </c>
      <c r="B3640" s="41" t="str">
        <f>IFERROR(__xludf.DUMMYFUNCTION("""COMPUTED_VALUE"""),"null")</f>
        <v>null</v>
      </c>
    </row>
    <row r="3641">
      <c r="A3641" s="41" t="str">
        <f>IFERROR(__xludf.DUMMYFUNCTION("""COMPUTED_VALUE"""),"RSC003649")</f>
        <v>RSC003649</v>
      </c>
      <c r="B3641" s="41" t="str">
        <f>IFERROR(__xludf.DUMMYFUNCTION("""COMPUTED_VALUE"""),"Thepresteej")</f>
        <v>Thepresteej</v>
      </c>
    </row>
    <row r="3642">
      <c r="A3642" s="41" t="str">
        <f>IFERROR(__xludf.DUMMYFUNCTION("""COMPUTED_VALUE"""),"RSC003650")</f>
        <v>RSC003650</v>
      </c>
      <c r="B3642" s="41" t="str">
        <f>IFERROR(__xludf.DUMMYFUNCTION("""COMPUTED_VALUE"""),"krum_kyle")</f>
        <v>krum_kyle</v>
      </c>
    </row>
    <row r="3643">
      <c r="A3643" s="41" t="str">
        <f>IFERROR(__xludf.DUMMYFUNCTION("""COMPUTED_VALUE"""),"RSC003651")</f>
        <v>RSC003651</v>
      </c>
      <c r="B3643" s="41" t="str">
        <f>IFERROR(__xludf.DUMMYFUNCTION("""COMPUTED_VALUE"""),"phobia")</f>
        <v>phobia</v>
      </c>
    </row>
    <row r="3644">
      <c r="A3644" s="41" t="str">
        <f>IFERROR(__xludf.DUMMYFUNCTION("""COMPUTED_VALUE"""),"RSC003652")</f>
        <v>RSC003652</v>
      </c>
      <c r="B3644" s="41" t="str">
        <f>IFERROR(__xludf.DUMMYFUNCTION("""COMPUTED_VALUE"""),"BestPayload")</f>
        <v>BestPayload</v>
      </c>
    </row>
    <row r="3645">
      <c r="A3645" s="41" t="str">
        <f>IFERROR(__xludf.DUMMYFUNCTION("""COMPUTED_VALUE"""),"RSC003653")</f>
        <v>RSC003653</v>
      </c>
      <c r="B3645" s="41" t="str">
        <f>IFERROR(__xludf.DUMMYFUNCTION("""COMPUTED_VALUE"""),"ItchyCalf")</f>
        <v>ItchyCalf</v>
      </c>
    </row>
    <row r="3646">
      <c r="A3646" s="41" t="str">
        <f>IFERROR(__xludf.DUMMYFUNCTION("""COMPUTED_VALUE"""),"RSC003654")</f>
        <v>RSC003654</v>
      </c>
      <c r="B3646" s="41" t="str">
        <f>IFERROR(__xludf.DUMMYFUNCTION("""COMPUTED_VALUE"""),"Truedough28")</f>
        <v>Truedough28</v>
      </c>
    </row>
    <row r="3647">
      <c r="A3647" s="41" t="str">
        <f>IFERROR(__xludf.DUMMYFUNCTION("""COMPUTED_VALUE"""),"RSC003655")</f>
        <v>RSC003655</v>
      </c>
      <c r="B3647" s="41" t="str">
        <f>IFERROR(__xludf.DUMMYFUNCTION("""COMPUTED_VALUE"""),"Macklishh")</f>
        <v>Macklishh</v>
      </c>
    </row>
    <row r="3648">
      <c r="A3648" s="41" t="str">
        <f>IFERROR(__xludf.DUMMYFUNCTION("""COMPUTED_VALUE"""),"RSC003656")</f>
        <v>RSC003656</v>
      </c>
      <c r="B3648" s="41" t="str">
        <f>IFERROR(__xludf.DUMMYFUNCTION("""COMPUTED_VALUE"""),"ClamHammer")</f>
        <v>ClamHammer</v>
      </c>
    </row>
    <row r="3649">
      <c r="A3649" s="41" t="str">
        <f>IFERROR(__xludf.DUMMYFUNCTION("""COMPUTED_VALUE"""),"RSC003657")</f>
        <v>RSC003657</v>
      </c>
      <c r="B3649" s="41" t="str">
        <f>IFERROR(__xludf.DUMMYFUNCTION("""COMPUTED_VALUE"""),"king of pyl0s")</f>
        <v>king of pyl0s</v>
      </c>
    </row>
    <row r="3650">
      <c r="A3650" s="41" t="str">
        <f>IFERROR(__xludf.DUMMYFUNCTION("""COMPUTED_VALUE"""),"RSC003658")</f>
        <v>RSC003658</v>
      </c>
      <c r="B3650" s="41" t="str">
        <f>IFERROR(__xludf.DUMMYFUNCTION("""COMPUTED_VALUE"""),"Valcept")</f>
        <v>Valcept</v>
      </c>
    </row>
    <row r="3651">
      <c r="A3651" s="41" t="str">
        <f>IFERROR(__xludf.DUMMYFUNCTION("""COMPUTED_VALUE"""),"RSC003659")</f>
        <v>RSC003659</v>
      </c>
      <c r="B3651" s="41" t="str">
        <f>IFERROR(__xludf.DUMMYFUNCTION("""COMPUTED_VALUE"""),"[̲̅Ɔ][̲̅ɥ][̲̅o][̲̅x]")</f>
        <v>[̲̅Ɔ][̲̅ɥ][̲̅o][̲̅x]</v>
      </c>
    </row>
    <row r="3652">
      <c r="A3652" s="41" t="str">
        <f>IFERROR(__xludf.DUMMYFUNCTION("""COMPUTED_VALUE"""),"RSC003660")</f>
        <v>RSC003660</v>
      </c>
      <c r="B3652" s="41" t="str">
        <f>IFERROR(__xludf.DUMMYFUNCTION("""COMPUTED_VALUE"""),"Riqy")</f>
        <v>Riqy</v>
      </c>
    </row>
    <row r="3653">
      <c r="A3653" s="41" t="str">
        <f>IFERROR(__xludf.DUMMYFUNCTION("""COMPUTED_VALUE"""),"RSC003661")</f>
        <v>RSC003661</v>
      </c>
      <c r="B3653" s="41" t="str">
        <f>IFERROR(__xludf.DUMMYFUNCTION("""COMPUTED_VALUE"""),"Cordell Walker")</f>
        <v>Cordell Walker</v>
      </c>
    </row>
    <row r="3654">
      <c r="A3654" s="41" t="str">
        <f>IFERROR(__xludf.DUMMYFUNCTION("""COMPUTED_VALUE"""),"RSC003662")</f>
        <v>RSC003662</v>
      </c>
      <c r="B3654" s="41" t="str">
        <f>IFERROR(__xludf.DUMMYFUNCTION("""COMPUTED_VALUE"""),"jRampag3")</f>
        <v>jRampag3</v>
      </c>
    </row>
    <row r="3655">
      <c r="A3655" s="41" t="str">
        <f>IFERROR(__xludf.DUMMYFUNCTION("""COMPUTED_VALUE"""),"RSC003663")</f>
        <v>RSC003663</v>
      </c>
      <c r="B3655" s="41" t="str">
        <f>IFERROR(__xludf.DUMMYFUNCTION("""COMPUTED_VALUE"""),"rp xd")</f>
        <v>rp xd</v>
      </c>
    </row>
    <row r="3656">
      <c r="A3656" s="41" t="str">
        <f>IFERROR(__xludf.DUMMYFUNCTION("""COMPUTED_VALUE"""),"RSC003664")</f>
        <v>RSC003664</v>
      </c>
      <c r="B3656" s="41" t="str">
        <f>IFERROR(__xludf.DUMMYFUNCTION("""COMPUTED_VALUE"""),"Mangooooo")</f>
        <v>Mangooooo</v>
      </c>
    </row>
    <row r="3657">
      <c r="A3657" s="41" t="str">
        <f>IFERROR(__xludf.DUMMYFUNCTION("""COMPUTED_VALUE"""),"RSC003665")</f>
        <v>RSC003665</v>
      </c>
      <c r="B3657" s="41" t="str">
        <f>IFERROR(__xludf.DUMMYFUNCTION("""COMPUTED_VALUE"""),"divine (ChangeMe)")</f>
        <v>divine (ChangeMe)</v>
      </c>
    </row>
    <row r="3658">
      <c r="A3658" s="41" t="str">
        <f>IFERROR(__xludf.DUMMYFUNCTION("""COMPUTED_VALUE"""),"RSC003666")</f>
        <v>RSC003666</v>
      </c>
      <c r="B3658" s="41" t="str">
        <f>IFERROR(__xludf.DUMMYFUNCTION("""COMPUTED_VALUE"""),"PhunkaE_Phuzion")</f>
        <v>PhunkaE_Phuzion</v>
      </c>
    </row>
    <row r="3659">
      <c r="A3659" s="41" t="str">
        <f>IFERROR(__xludf.DUMMYFUNCTION("""COMPUTED_VALUE"""),"RSC003667")</f>
        <v>RSC003667</v>
      </c>
      <c r="B3659" s="41" t="str">
        <f>IFERROR(__xludf.DUMMYFUNCTION("""COMPUTED_VALUE"""),"Aww Pewp")</f>
        <v>Aww Pewp</v>
      </c>
    </row>
    <row r="3660">
      <c r="A3660" s="41" t="str">
        <f>IFERROR(__xludf.DUMMYFUNCTION("""COMPUTED_VALUE"""),"RSC003668")</f>
        <v>RSC003668</v>
      </c>
      <c r="B3660" s="41" t="str">
        <f>IFERROR(__xludf.DUMMYFUNCTION("""COMPUTED_VALUE"""),"Takazumi")</f>
        <v>Takazumi</v>
      </c>
    </row>
    <row r="3661">
      <c r="A3661" s="41" t="str">
        <f>IFERROR(__xludf.DUMMYFUNCTION("""COMPUTED_VALUE"""),"RSC003669")</f>
        <v>RSC003669</v>
      </c>
      <c r="B3661" s="41" t="str">
        <f>IFERROR(__xludf.DUMMYFUNCTION("""COMPUTED_VALUE"""),"Lucho.")</f>
        <v>Lucho.</v>
      </c>
    </row>
    <row r="3662">
      <c r="A3662" s="41" t="str">
        <f>IFERROR(__xludf.DUMMYFUNCTION("""COMPUTED_VALUE"""),"RSC003670")</f>
        <v>RSC003670</v>
      </c>
      <c r="B3662" s="41" t="str">
        <f>IFERROR(__xludf.DUMMYFUNCTION("""COMPUTED_VALUE"""),"Jinglestown")</f>
        <v>Jinglestown</v>
      </c>
    </row>
    <row r="3663">
      <c r="A3663" s="41" t="str">
        <f>IFERROR(__xludf.DUMMYFUNCTION("""COMPUTED_VALUE"""),"RSC003671")</f>
        <v>RSC003671</v>
      </c>
      <c r="B3663" s="41" t="str">
        <f>IFERROR(__xludf.DUMMYFUNCTION("""COMPUTED_VALUE"""),"DwightSchrute")</f>
        <v>DwightSchrute</v>
      </c>
    </row>
    <row r="3664">
      <c r="A3664" s="41" t="str">
        <f>IFERROR(__xludf.DUMMYFUNCTION("""COMPUTED_VALUE"""),"RSC003672")</f>
        <v>RSC003672</v>
      </c>
      <c r="B3664" s="41" t="str">
        <f>IFERROR(__xludf.DUMMYFUNCTION("""COMPUTED_VALUE"""),"Alex.Hershfield")</f>
        <v>Alex.Hershfield</v>
      </c>
    </row>
    <row r="3665">
      <c r="A3665" s="41" t="str">
        <f>IFERROR(__xludf.DUMMYFUNCTION("""COMPUTED_VALUE"""),"RSC003673")</f>
        <v>RSC003673</v>
      </c>
      <c r="B3665" s="41" t="str">
        <f>IFERROR(__xludf.DUMMYFUNCTION("""COMPUTED_VALUE"""),"Squanto")</f>
        <v>Squanto</v>
      </c>
    </row>
    <row r="3666">
      <c r="A3666" s="41" t="str">
        <f>IFERROR(__xludf.DUMMYFUNCTION("""COMPUTED_VALUE"""),"RSC003674")</f>
        <v>RSC003674</v>
      </c>
      <c r="B3666" s="41" t="str">
        <f>IFERROR(__xludf.DUMMYFUNCTION("""COMPUTED_VALUE"""),"BiasedAnenome")</f>
        <v>BiasedAnenome</v>
      </c>
    </row>
    <row r="3667">
      <c r="A3667" s="41" t="str">
        <f>IFERROR(__xludf.DUMMYFUNCTION("""COMPUTED_VALUE"""),"RSC003675")</f>
        <v>RSC003675</v>
      </c>
      <c r="B3667" s="41" t="str">
        <f>IFERROR(__xludf.DUMMYFUNCTION("""COMPUTED_VALUE"""),"d1ckdurbin")</f>
        <v>d1ckdurbin</v>
      </c>
    </row>
    <row r="3668">
      <c r="A3668" s="41" t="str">
        <f>IFERROR(__xludf.DUMMYFUNCTION("""COMPUTED_VALUE"""),"RSC003676")</f>
        <v>RSC003676</v>
      </c>
      <c r="B3668" s="41" t="str">
        <f>IFERROR(__xludf.DUMMYFUNCTION("""COMPUTED_VALUE"""),"BoomBoxSloth")</f>
        <v>BoomBoxSloth</v>
      </c>
    </row>
    <row r="3669">
      <c r="A3669" s="41" t="str">
        <f>IFERROR(__xludf.DUMMYFUNCTION("""COMPUTED_VALUE"""),"RSC003677")</f>
        <v>RSC003677</v>
      </c>
      <c r="B3669" s="41" t="str">
        <f>IFERROR(__xludf.DUMMYFUNCTION("""COMPUTED_VALUE"""),"Christian")</f>
        <v>Christian</v>
      </c>
    </row>
    <row r="3670">
      <c r="A3670" s="41" t="str">
        <f>IFERROR(__xludf.DUMMYFUNCTION("""COMPUTED_VALUE"""),"RSC003678")</f>
        <v>RSC003678</v>
      </c>
      <c r="B3670" s="41" t="str">
        <f>IFERROR(__xludf.DUMMYFUNCTION("""COMPUTED_VALUE"""),"Sparky_13")</f>
        <v>Sparky_13</v>
      </c>
    </row>
    <row r="3671">
      <c r="A3671" s="41" t="str">
        <f>IFERROR(__xludf.DUMMYFUNCTION("""COMPUTED_VALUE"""),"RSC003679")</f>
        <v>RSC003679</v>
      </c>
      <c r="B3671" s="41" t="str">
        <f>IFERROR(__xludf.DUMMYFUNCTION("""COMPUTED_VALUE"""),"bigbobbybrand")</f>
        <v>bigbobbybrand</v>
      </c>
    </row>
    <row r="3672">
      <c r="A3672" s="41" t="str">
        <f>IFERROR(__xludf.DUMMYFUNCTION("""COMPUTED_VALUE"""),"RSC003680")</f>
        <v>RSC003680</v>
      </c>
      <c r="B3672" s="41" t="str">
        <f>IFERROR(__xludf.DUMMYFUNCTION("""COMPUTED_VALUE"""),"glaxo")</f>
        <v>glaxo</v>
      </c>
    </row>
    <row r="3673">
      <c r="A3673" s="41" t="str">
        <f>IFERROR(__xludf.DUMMYFUNCTION("""COMPUTED_VALUE"""),"RSC003681")</f>
        <v>RSC003681</v>
      </c>
      <c r="B3673" s="41" t="str">
        <f>IFERROR(__xludf.DUMMYFUNCTION("""COMPUTED_VALUE"""),"TThoms2")</f>
        <v>TThoms2</v>
      </c>
    </row>
    <row r="3674">
      <c r="A3674" s="41" t="str">
        <f>IFERROR(__xludf.DUMMYFUNCTION("""COMPUTED_VALUE"""),"RSC003682")</f>
        <v>RSC003682</v>
      </c>
      <c r="B3674" s="41" t="str">
        <f>IFERROR(__xludf.DUMMYFUNCTION("""COMPUTED_VALUE"""),"xXJoe_D4ddyXx")</f>
        <v>xXJoe_D4ddyXx</v>
      </c>
    </row>
    <row r="3675">
      <c r="A3675" s="41" t="str">
        <f>IFERROR(__xludf.DUMMYFUNCTION("""COMPUTED_VALUE"""),"RSC003683")</f>
        <v>RSC003683</v>
      </c>
      <c r="B3675" s="41" t="str">
        <f>IFERROR(__xludf.DUMMYFUNCTION("""COMPUTED_VALUE"""),"Demonickarnie8")</f>
        <v>Demonickarnie8</v>
      </c>
    </row>
    <row r="3676">
      <c r="A3676" s="41" t="str">
        <f>IFERROR(__xludf.DUMMYFUNCTION("""COMPUTED_VALUE"""),"RSC003684")</f>
        <v>RSC003684</v>
      </c>
      <c r="B3676" s="41" t="str">
        <f>IFERROR(__xludf.DUMMYFUNCTION("""COMPUTED_VALUE"""),"Keube")</f>
        <v>Keube</v>
      </c>
    </row>
    <row r="3677">
      <c r="A3677" s="41" t="str">
        <f>IFERROR(__xludf.DUMMYFUNCTION("""COMPUTED_VALUE"""),"RSC003685")</f>
        <v>RSC003685</v>
      </c>
      <c r="B3677" s="41" t="str">
        <f>IFERROR(__xludf.DUMMYFUNCTION("""COMPUTED_VALUE"""),"Bean.")</f>
        <v>Bean.</v>
      </c>
    </row>
    <row r="3678">
      <c r="A3678" s="41" t="str">
        <f>IFERROR(__xludf.DUMMYFUNCTION("""COMPUTED_VALUE"""),"RSC003686")</f>
        <v>RSC003686</v>
      </c>
      <c r="B3678" s="41" t="str">
        <f>IFERROR(__xludf.DUMMYFUNCTION("""COMPUTED_VALUE"""),"underworldbros")</f>
        <v>underworldbros</v>
      </c>
    </row>
    <row r="3679">
      <c r="A3679" s="41" t="str">
        <f>IFERROR(__xludf.DUMMYFUNCTION("""COMPUTED_VALUE"""),"RSC003687")</f>
        <v>RSC003687</v>
      </c>
      <c r="B3679" s="41" t="str">
        <f>IFERROR(__xludf.DUMMYFUNCTION("""COMPUTED_VALUE"""),"missile")</f>
        <v>missile</v>
      </c>
    </row>
    <row r="3680">
      <c r="A3680" s="41" t="str">
        <f>IFERROR(__xludf.DUMMYFUNCTION("""COMPUTED_VALUE"""),"RSC003688")</f>
        <v>RSC003688</v>
      </c>
      <c r="B3680" s="41" t="str">
        <f>IFERROR(__xludf.DUMMYFUNCTION("""COMPUTED_VALUE"""),"Lobster")</f>
        <v>Lobster</v>
      </c>
    </row>
    <row r="3681">
      <c r="A3681" s="41" t="str">
        <f>IFERROR(__xludf.DUMMYFUNCTION("""COMPUTED_VALUE"""),"RSC003689")</f>
        <v>RSC003689</v>
      </c>
      <c r="B3681" s="41" t="str">
        <f>IFERROR(__xludf.DUMMYFUNCTION("""COMPUTED_VALUE"""),"obsessedtaylor")</f>
        <v>obsessedtaylor</v>
      </c>
    </row>
    <row r="3682">
      <c r="A3682" s="41" t="str">
        <f>IFERROR(__xludf.DUMMYFUNCTION("""COMPUTED_VALUE"""),"RSC003690")</f>
        <v>RSC003690</v>
      </c>
      <c r="B3682" s="41" t="str">
        <f>IFERROR(__xludf.DUMMYFUNCTION("""COMPUTED_VALUE"""),"YungChase69")</f>
        <v>YungChase69</v>
      </c>
    </row>
    <row r="3683">
      <c r="A3683" s="41" t="str">
        <f>IFERROR(__xludf.DUMMYFUNCTION("""COMPUTED_VALUE"""),"RSC003691")</f>
        <v>RSC003691</v>
      </c>
      <c r="B3683" s="41" t="str">
        <f>IFERROR(__xludf.DUMMYFUNCTION("""COMPUTED_VALUE"""),"Courtly")</f>
        <v>Courtly</v>
      </c>
    </row>
    <row r="3684">
      <c r="A3684" s="41" t="str">
        <f>IFERROR(__xludf.DUMMYFUNCTION("""COMPUTED_VALUE"""),"RSC003692")</f>
        <v>RSC003692</v>
      </c>
      <c r="B3684" s="41" t="str">
        <f>IFERROR(__xludf.DUMMYFUNCTION("""COMPUTED_VALUE"""),"Dewy413")</f>
        <v>Dewy413</v>
      </c>
    </row>
    <row r="3685">
      <c r="A3685" s="41" t="str">
        <f>IFERROR(__xludf.DUMMYFUNCTION("""COMPUTED_VALUE"""),"RSC003693")</f>
        <v>RSC003693</v>
      </c>
      <c r="B3685" s="41" t="str">
        <f>IFERROR(__xludf.DUMMYFUNCTION("""COMPUTED_VALUE"""),"Teagan_R")</f>
        <v>Teagan_R</v>
      </c>
    </row>
    <row r="3686">
      <c r="A3686" s="41" t="str">
        <f>IFERROR(__xludf.DUMMYFUNCTION("""COMPUTED_VALUE"""),"RSC003694")</f>
        <v>RSC003694</v>
      </c>
      <c r="B3686" s="41" t="str">
        <f>IFERROR(__xludf.DUMMYFUNCTION("""COMPUTED_VALUE"""),"TheCroctopus")</f>
        <v>TheCroctopus</v>
      </c>
    </row>
    <row r="3687">
      <c r="A3687" s="41" t="str">
        <f>IFERROR(__xludf.DUMMYFUNCTION("""COMPUTED_VALUE"""),"RSC003695")</f>
        <v>RSC003695</v>
      </c>
      <c r="B3687" s="41" t="str">
        <f>IFERROR(__xludf.DUMMYFUNCTION("""COMPUTED_VALUE"""),"Steam - grettle")</f>
        <v>Steam - grettle</v>
      </c>
    </row>
    <row r="3688">
      <c r="A3688" s="41" t="str">
        <f>IFERROR(__xludf.DUMMYFUNCTION("""COMPUTED_VALUE"""),"RSC003696")</f>
        <v>RSC003696</v>
      </c>
      <c r="B3688" s="41" t="str">
        <f>IFERROR(__xludf.DUMMYFUNCTION("""COMPUTED_VALUE"""),"lDucckl")</f>
        <v>lDucckl</v>
      </c>
    </row>
    <row r="3689">
      <c r="A3689" s="41" t="str">
        <f>IFERROR(__xludf.DUMMYFUNCTION("""COMPUTED_VALUE"""),"RSC003697")</f>
        <v>RSC003697</v>
      </c>
      <c r="B3689" s="41" t="str">
        <f>IFERROR(__xludf.DUMMYFUNCTION("""COMPUTED_VALUE"""),"IBRN_Death")</f>
        <v>IBRN_Death</v>
      </c>
    </row>
    <row r="3690">
      <c r="A3690" s="41" t="str">
        <f>IFERROR(__xludf.DUMMYFUNCTION("""COMPUTED_VALUE"""),"RSC003698")</f>
        <v>RSC003698</v>
      </c>
      <c r="B3690" s="41" t="str">
        <f>IFERROR(__xludf.DUMMYFUNCTION("""COMPUTED_VALUE"""),"glyphstar")</f>
        <v>glyphstar</v>
      </c>
    </row>
    <row r="3691">
      <c r="A3691" s="41" t="str">
        <f>IFERROR(__xludf.DUMMYFUNCTION("""COMPUTED_VALUE"""),"RSC003699")</f>
        <v>RSC003699</v>
      </c>
      <c r="B3691" s="41" t="str">
        <f>IFERROR(__xludf.DUMMYFUNCTION("""COMPUTED_VALUE"""),"LipidLloyd")</f>
        <v>LipidLloyd</v>
      </c>
    </row>
    <row r="3692">
      <c r="A3692" s="41" t="str">
        <f>IFERROR(__xludf.DUMMYFUNCTION("""COMPUTED_VALUE"""),"RSC003700")</f>
        <v>RSC003700</v>
      </c>
      <c r="B3692" s="41" t="str">
        <f>IFERROR(__xludf.DUMMYFUNCTION("""COMPUTED_VALUE"""),"Fuzz")</f>
        <v>Fuzz</v>
      </c>
    </row>
    <row r="3693">
      <c r="A3693" s="41" t="str">
        <f>IFERROR(__xludf.DUMMYFUNCTION("""COMPUTED_VALUE"""),"RSC003701")</f>
        <v>RSC003701</v>
      </c>
      <c r="B3693" s="41" t="str">
        <f>IFERROR(__xludf.DUMMYFUNCTION("""COMPUTED_VALUE"""),"MajikTowst")</f>
        <v>MajikTowst</v>
      </c>
    </row>
    <row r="3694">
      <c r="A3694" s="41" t="str">
        <f>IFERROR(__xludf.DUMMYFUNCTION("""COMPUTED_VALUE"""),"RSC003702")</f>
        <v>RSC003702</v>
      </c>
      <c r="B3694" s="41" t="str">
        <f>IFERROR(__xludf.DUMMYFUNCTION("""COMPUTED_VALUE"""),"DontTakeMyRock")</f>
        <v>DontTakeMyRock</v>
      </c>
    </row>
    <row r="3695">
      <c r="A3695" s="41" t="str">
        <f>IFERROR(__xludf.DUMMYFUNCTION("""COMPUTED_VALUE"""),"RSC003703")</f>
        <v>RSC003703</v>
      </c>
      <c r="B3695" s="41" t="str">
        <f>IFERROR(__xludf.DUMMYFUNCTION("""COMPUTED_VALUE"""),"Desert_Fox")</f>
        <v>Desert_Fox</v>
      </c>
    </row>
    <row r="3696">
      <c r="A3696" s="41" t="str">
        <f>IFERROR(__xludf.DUMMYFUNCTION("""COMPUTED_VALUE"""),"RSC003704")</f>
        <v>RSC003704</v>
      </c>
      <c r="B3696" s="41" t="str">
        <f>IFERROR(__xludf.DUMMYFUNCTION("""COMPUTED_VALUE"""),"stimeey99")</f>
        <v>stimeey99</v>
      </c>
    </row>
    <row r="3697">
      <c r="A3697" s="41" t="str">
        <f>IFERROR(__xludf.DUMMYFUNCTION("""COMPUTED_VALUE"""),"RSC003705")</f>
        <v>RSC003705</v>
      </c>
      <c r="B3697" s="41" t="str">
        <f>IFERROR(__xludf.DUMMYFUNCTION("""COMPUTED_VALUE"""),"Skybud_")</f>
        <v>Skybud_</v>
      </c>
    </row>
    <row r="3698">
      <c r="A3698" s="41" t="str">
        <f>IFERROR(__xludf.DUMMYFUNCTION("""COMPUTED_VALUE"""),"RSC003706")</f>
        <v>RSC003706</v>
      </c>
      <c r="B3698" s="41" t="str">
        <f>IFERROR(__xludf.DUMMYFUNCTION("""COMPUTED_VALUE"""),"Rennit")</f>
        <v>Rennit</v>
      </c>
    </row>
    <row r="3699">
      <c r="A3699" s="41" t="str">
        <f>IFERROR(__xludf.DUMMYFUNCTION("""COMPUTED_VALUE"""),"RSC003707")</f>
        <v>RSC003707</v>
      </c>
      <c r="B3699" s="41" t="str">
        <f>IFERROR(__xludf.DUMMYFUNCTION("""COMPUTED_VALUE"""),"lil-uwuzi-vert-")</f>
        <v>lil-uwuzi-vert-</v>
      </c>
    </row>
    <row r="3700">
      <c r="A3700" s="41" t="str">
        <f>IFERROR(__xludf.DUMMYFUNCTION("""COMPUTED_VALUE"""),"RSC003708")</f>
        <v>RSC003708</v>
      </c>
      <c r="B3700" s="41" t="str">
        <f>IFERROR(__xludf.DUMMYFUNCTION("""COMPUTED_VALUE"""),"pazuzu")</f>
        <v>pazuzu</v>
      </c>
    </row>
    <row r="3701">
      <c r="A3701" s="41" t="str">
        <f>IFERROR(__xludf.DUMMYFUNCTION("""COMPUTED_VALUE"""),"RSC003709")</f>
        <v>RSC003709</v>
      </c>
      <c r="B3701" s="41" t="str">
        <f>IFERROR(__xludf.DUMMYFUNCTION("""COMPUTED_VALUE"""),"donald.")</f>
        <v>donald.</v>
      </c>
    </row>
    <row r="3702">
      <c r="A3702" s="41" t="str">
        <f>IFERROR(__xludf.DUMMYFUNCTION("""COMPUTED_VALUE"""),"RSC003710")</f>
        <v>RSC003710</v>
      </c>
      <c r="B3702" s="41" t="str">
        <f>IFERROR(__xludf.DUMMYFUNCTION("""COMPUTED_VALUE"""),"JGourmet")</f>
        <v>JGourmet</v>
      </c>
    </row>
    <row r="3703">
      <c r="A3703" s="41" t="str">
        <f>IFERROR(__xludf.DUMMYFUNCTION("""COMPUTED_VALUE"""),"RSC003711")</f>
        <v>RSC003711</v>
      </c>
      <c r="B3703" s="41" t="str">
        <f>IFERROR(__xludf.DUMMYFUNCTION("""COMPUTED_VALUE"""),"WHATISGEOGRAPHY")</f>
        <v>WHATISGEOGRAPHY</v>
      </c>
    </row>
    <row r="3704">
      <c r="A3704" s="41" t="str">
        <f>IFERROR(__xludf.DUMMYFUNCTION("""COMPUTED_VALUE"""),"RSC003712")</f>
        <v>RSC003712</v>
      </c>
      <c r="B3704" s="41" t="str">
        <f>IFERROR(__xludf.DUMMYFUNCTION("""COMPUTED_VALUE"""),"Bread")</f>
        <v>Bread</v>
      </c>
    </row>
    <row r="3705">
      <c r="A3705" s="41" t="str">
        <f>IFERROR(__xludf.DUMMYFUNCTION("""COMPUTED_VALUE"""),"RSC003713")</f>
        <v>RSC003713</v>
      </c>
      <c r="B3705" s="41" t="str">
        <f>IFERROR(__xludf.DUMMYFUNCTION("""COMPUTED_VALUE"""),"EndlessEnnui")</f>
        <v>EndlessEnnui</v>
      </c>
    </row>
    <row r="3706">
      <c r="A3706" s="41" t="str">
        <f>IFERROR(__xludf.DUMMYFUNCTION("""COMPUTED_VALUE"""),"RSC003714")</f>
        <v>RSC003714</v>
      </c>
      <c r="B3706" s="41" t="str">
        <f>IFERROR(__xludf.DUMMYFUNCTION("""COMPUTED_VALUE"""),"austin B")</f>
        <v>austin B</v>
      </c>
    </row>
    <row r="3707">
      <c r="A3707" s="41" t="str">
        <f>IFERROR(__xludf.DUMMYFUNCTION("""COMPUTED_VALUE"""),"RSC003715")</f>
        <v>RSC003715</v>
      </c>
      <c r="B3707" s="41" t="str">
        <f>IFERROR(__xludf.DUMMYFUNCTION("""COMPUTED_VALUE"""),"iris2k")</f>
        <v>iris2k</v>
      </c>
    </row>
    <row r="3708">
      <c r="A3708" s="41" t="str">
        <f>IFERROR(__xludf.DUMMYFUNCTION("""COMPUTED_VALUE"""),"RSC003716")</f>
        <v>RSC003716</v>
      </c>
      <c r="B3708" s="41" t="str">
        <f>IFERROR(__xludf.DUMMYFUNCTION("""COMPUTED_VALUE"""),"Wolfie")</f>
        <v>Wolfie</v>
      </c>
    </row>
    <row r="3709">
      <c r="A3709" s="41" t="str">
        <f>IFERROR(__xludf.DUMMYFUNCTION("""COMPUTED_VALUE"""),"RSC003717")</f>
        <v>RSC003717</v>
      </c>
      <c r="B3709" s="41" t="str">
        <f>IFERROR(__xludf.DUMMYFUNCTION("""COMPUTED_VALUE"""),"Cel")</f>
        <v>Cel</v>
      </c>
    </row>
    <row r="3710">
      <c r="A3710" s="41" t="str">
        <f>IFERROR(__xludf.DUMMYFUNCTION("""COMPUTED_VALUE"""),"RSC003718")</f>
        <v>RSC003718</v>
      </c>
      <c r="B3710" s="41" t="str">
        <f>IFERROR(__xludf.DUMMYFUNCTION("""COMPUTED_VALUE"""),"Tbonelul")</f>
        <v>Tbonelul</v>
      </c>
    </row>
    <row r="3711">
      <c r="A3711" s="41" t="str">
        <f>IFERROR(__xludf.DUMMYFUNCTION("""COMPUTED_VALUE"""),"RSC003719")</f>
        <v>RSC003719</v>
      </c>
      <c r="B3711" s="41" t="str">
        <f>IFERROR(__xludf.DUMMYFUNCTION("""COMPUTED_VALUE"""),"droogans")</f>
        <v>droogans</v>
      </c>
    </row>
    <row r="3712">
      <c r="A3712" s="41" t="str">
        <f>IFERROR(__xludf.DUMMYFUNCTION("""COMPUTED_VALUE"""),"RSC003720")</f>
        <v>RSC003720</v>
      </c>
      <c r="B3712" s="41" t="str">
        <f>IFERROR(__xludf.DUMMYFUNCTION("""COMPUTED_VALUE"""),"AriseDaft")</f>
        <v>AriseDaft</v>
      </c>
    </row>
    <row r="3713">
      <c r="A3713" s="41" t="str">
        <f>IFERROR(__xludf.DUMMYFUNCTION("""COMPUTED_VALUE"""),"RSC003721")</f>
        <v>RSC003721</v>
      </c>
      <c r="B3713" s="41" t="str">
        <f>IFERROR(__xludf.DUMMYFUNCTION("""COMPUTED_VALUE"""),"Kyurmex.")</f>
        <v>Kyurmex.</v>
      </c>
    </row>
    <row r="3714">
      <c r="A3714" s="41" t="str">
        <f>IFERROR(__xludf.DUMMYFUNCTION("""COMPUTED_VALUE"""),"RSC003722")</f>
        <v>RSC003722</v>
      </c>
      <c r="B3714" s="41" t="str">
        <f>IFERROR(__xludf.DUMMYFUNCTION("""COMPUTED_VALUE"""),"tillythegringo")</f>
        <v>tillythegringo</v>
      </c>
    </row>
    <row r="3715">
      <c r="A3715" s="41" t="str">
        <f>IFERROR(__xludf.DUMMYFUNCTION("""COMPUTED_VALUE"""),"RSC003723")</f>
        <v>RSC003723</v>
      </c>
      <c r="B3715" s="41" t="str">
        <f>IFERROR(__xludf.DUMMYFUNCTION("""COMPUTED_VALUE"""),"Darrow")</f>
        <v>Darrow</v>
      </c>
    </row>
    <row r="3716">
      <c r="A3716" s="41" t="str">
        <f>IFERROR(__xludf.DUMMYFUNCTION("""COMPUTED_VALUE"""),"RSC003724")</f>
        <v>RSC003724</v>
      </c>
      <c r="B3716" s="41" t="str">
        <f>IFERROR(__xludf.DUMMYFUNCTION("""COMPUTED_VALUE"""),"ICEEY")</f>
        <v>ICEEY</v>
      </c>
    </row>
    <row r="3717">
      <c r="A3717" s="41" t="str">
        <f>IFERROR(__xludf.DUMMYFUNCTION("""COMPUTED_VALUE"""),"RSC003725")</f>
        <v>RSC003725</v>
      </c>
      <c r="B3717" s="41" t="str">
        <f>IFERROR(__xludf.DUMMYFUNCTION("""COMPUTED_VALUE"""),"Af1in")</f>
        <v>Af1in</v>
      </c>
    </row>
    <row r="3718">
      <c r="A3718" s="41" t="str">
        <f>IFERROR(__xludf.DUMMYFUNCTION("""COMPUTED_VALUE"""),"RSC003726")</f>
        <v>RSC003726</v>
      </c>
      <c r="B3718" s="41" t="str">
        <f>IFERROR(__xludf.DUMMYFUNCTION("""COMPUTED_VALUE"""),"Made By Miraj")</f>
        <v>Made By Miraj</v>
      </c>
    </row>
    <row r="3719">
      <c r="A3719" s="41" t="str">
        <f>IFERROR(__xludf.DUMMYFUNCTION("""COMPUTED_VALUE"""),"RSC003727")</f>
        <v>RSC003727</v>
      </c>
      <c r="B3719" s="41" t="str">
        <f>IFERROR(__xludf.DUMMYFUNCTION("""COMPUTED_VALUE"""),"StoneHunter18")</f>
        <v>StoneHunter18</v>
      </c>
    </row>
    <row r="3720">
      <c r="A3720" s="41" t="str">
        <f>IFERROR(__xludf.DUMMYFUNCTION("""COMPUTED_VALUE"""),"RSC003728")</f>
        <v>RSC003728</v>
      </c>
      <c r="B3720" s="41" t="str">
        <f>IFERROR(__xludf.DUMMYFUNCTION("""COMPUTED_VALUE"""),"yillow")</f>
        <v>yillow</v>
      </c>
    </row>
    <row r="3721">
      <c r="A3721" s="41" t="str">
        <f>IFERROR(__xludf.DUMMYFUNCTION("""COMPUTED_VALUE"""),"RSC003729")</f>
        <v>RSC003729</v>
      </c>
      <c r="B3721" s="41" t="str">
        <f>IFERROR(__xludf.DUMMYFUNCTION("""COMPUTED_VALUE"""),"ZyBro")</f>
        <v>ZyBro</v>
      </c>
    </row>
    <row r="3722">
      <c r="A3722" s="41" t="str">
        <f>IFERROR(__xludf.DUMMYFUNCTION("""COMPUTED_VALUE"""),"RSC003730")</f>
        <v>RSC003730</v>
      </c>
      <c r="B3722" s="41" t="str">
        <f>IFERROR(__xludf.DUMMYFUNCTION("""COMPUTED_VALUE"""),"MA410")</f>
        <v>MA410</v>
      </c>
    </row>
    <row r="3723">
      <c r="A3723" s="41" t="str">
        <f>IFERROR(__xludf.DUMMYFUNCTION("""COMPUTED_VALUE"""),"RSC003731")</f>
        <v>RSC003731</v>
      </c>
      <c r="B3723" s="41" t="str">
        <f>IFERROR(__xludf.DUMMYFUNCTION("""COMPUTED_VALUE"""),"Genvoir")</f>
        <v>Genvoir</v>
      </c>
    </row>
    <row r="3724">
      <c r="A3724" s="41" t="str">
        <f>IFERROR(__xludf.DUMMYFUNCTION("""COMPUTED_VALUE"""),"RSC003732")</f>
        <v>RSC003732</v>
      </c>
      <c r="B3724" s="41" t="str">
        <f>IFERROR(__xludf.DUMMYFUNCTION("""COMPUTED_VALUE"""),"The Dentist")</f>
        <v>The Dentist</v>
      </c>
    </row>
    <row r="3725">
      <c r="A3725" s="41" t="str">
        <f>IFERROR(__xludf.DUMMYFUNCTION("""COMPUTED_VALUE"""),"RSC003733")</f>
        <v>RSC003733</v>
      </c>
      <c r="B3725" s="41" t="str">
        <f>IFERROR(__xludf.DUMMYFUNCTION("""COMPUTED_VALUE"""),"sheluvstaco-_")</f>
        <v>sheluvstaco-_</v>
      </c>
    </row>
    <row r="3726">
      <c r="A3726" s="41" t="str">
        <f>IFERROR(__xludf.DUMMYFUNCTION("""COMPUTED_VALUE"""),"RSC003734")</f>
        <v>RSC003734</v>
      </c>
      <c r="B3726" s="41" t="str">
        <f>IFERROR(__xludf.DUMMYFUNCTION("""COMPUTED_VALUE"""),"meeko")</f>
        <v>meeko</v>
      </c>
    </row>
    <row r="3727">
      <c r="A3727" s="41" t="str">
        <f>IFERROR(__xludf.DUMMYFUNCTION("""COMPUTED_VALUE"""),"RSC003735")</f>
        <v>RSC003735</v>
      </c>
      <c r="B3727" s="41" t="str">
        <f>IFERROR(__xludf.DUMMYFUNCTION("""COMPUTED_VALUE"""),"Piano god x")</f>
        <v>Piano god x</v>
      </c>
    </row>
    <row r="3728">
      <c r="A3728" s="41" t="str">
        <f>IFERROR(__xludf.DUMMYFUNCTION("""COMPUTED_VALUE"""),"RSC003736")</f>
        <v>RSC003736</v>
      </c>
      <c r="B3728" s="41" t="str">
        <f>IFERROR(__xludf.DUMMYFUNCTION("""COMPUTED_VALUE"""),"Jegr")</f>
        <v>Jegr</v>
      </c>
    </row>
    <row r="3729">
      <c r="A3729" s="41" t="str">
        <f>IFERROR(__xludf.DUMMYFUNCTION("""COMPUTED_VALUE"""),"RSC003737")</f>
        <v>RSC003737</v>
      </c>
      <c r="B3729" s="41" t="str">
        <f>IFERROR(__xludf.DUMMYFUNCTION("""COMPUTED_VALUE"""),"MeOnDisplay")</f>
        <v>MeOnDisplay</v>
      </c>
    </row>
    <row r="3730">
      <c r="A3730" s="41" t="str">
        <f>IFERROR(__xludf.DUMMYFUNCTION("""COMPUTED_VALUE"""),"RSC003738")</f>
        <v>RSC003738</v>
      </c>
      <c r="B3730" s="41" t="str">
        <f>IFERROR(__xludf.DUMMYFUNCTION("""COMPUTED_VALUE"""),"SHIVISABOSS")</f>
        <v>SHIVISABOSS</v>
      </c>
    </row>
    <row r="3731">
      <c r="A3731" s="41" t="str">
        <f>IFERROR(__xludf.DUMMYFUNCTION("""COMPUTED_VALUE"""),"RSC003739")</f>
        <v>RSC003739</v>
      </c>
      <c r="B3731" s="41" t="str">
        <f>IFERROR(__xludf.DUMMYFUNCTION("""COMPUTED_VALUE"""),"Difto")</f>
        <v>Difto</v>
      </c>
    </row>
    <row r="3732">
      <c r="A3732" s="41" t="str">
        <f>IFERROR(__xludf.DUMMYFUNCTION("""COMPUTED_VALUE"""),"RSC003740")</f>
        <v>RSC003740</v>
      </c>
      <c r="B3732" s="41" t="str">
        <f>IFERROR(__xludf.DUMMYFUNCTION("""COMPUTED_VALUE"""),"THEnWo Wolfpack")</f>
        <v>THEnWo Wolfpack</v>
      </c>
    </row>
    <row r="3733">
      <c r="A3733" s="41" t="str">
        <f>IFERROR(__xludf.DUMMYFUNCTION("""COMPUTED_VALUE"""),"RSC003741")</f>
        <v>RSC003741</v>
      </c>
      <c r="B3733" s="41" t="str">
        <f>IFERROR(__xludf.DUMMYFUNCTION("""COMPUTED_VALUE"""),"soupyy")</f>
        <v>soupyy</v>
      </c>
    </row>
    <row r="3734">
      <c r="A3734" s="41" t="str">
        <f>IFERROR(__xludf.DUMMYFUNCTION("""COMPUTED_VALUE"""),"RSC003742")</f>
        <v>RSC003742</v>
      </c>
      <c r="B3734" s="41" t="str">
        <f>IFERROR(__xludf.DUMMYFUNCTION("""COMPUTED_VALUE"""),"Mufven")</f>
        <v>Mufven</v>
      </c>
    </row>
    <row r="3735">
      <c r="A3735" s="41" t="str">
        <f>IFERROR(__xludf.DUMMYFUNCTION("""COMPUTED_VALUE"""),"RSC003743")</f>
        <v>RSC003743</v>
      </c>
      <c r="B3735" s="41" t="str">
        <f>IFERROR(__xludf.DUMMYFUNCTION("""COMPUTED_VALUE"""),"n00bpr0n")</f>
        <v>n00bpr0n</v>
      </c>
    </row>
    <row r="3736">
      <c r="A3736" s="41" t="str">
        <f>IFERROR(__xludf.DUMMYFUNCTION("""COMPUTED_VALUE"""),"RSC003744")</f>
        <v>RSC003744</v>
      </c>
      <c r="B3736" s="41" t="str">
        <f>IFERROR(__xludf.DUMMYFUNCTION("""COMPUTED_VALUE"""),"yidfixy")</f>
        <v>yidfixy</v>
      </c>
    </row>
    <row r="3737">
      <c r="A3737" s="41" t="str">
        <f>IFERROR(__xludf.DUMMYFUNCTION("""COMPUTED_VALUE"""),"RSC003745")</f>
        <v>RSC003745</v>
      </c>
      <c r="B3737" s="41" t="str">
        <f>IFERROR(__xludf.DUMMYFUNCTION("""COMPUTED_VALUE"""),"Jahn")</f>
        <v>Jahn</v>
      </c>
    </row>
    <row r="3738">
      <c r="A3738" s="41" t="str">
        <f>IFERROR(__xludf.DUMMYFUNCTION("""COMPUTED_VALUE"""),"RSC003746")</f>
        <v>RSC003746</v>
      </c>
      <c r="B3738" s="41" t="str">
        <f>IFERROR(__xludf.DUMMYFUNCTION("""COMPUTED_VALUE"""),"archhie.")</f>
        <v>archhie.</v>
      </c>
    </row>
    <row r="3739">
      <c r="A3739" s="41" t="str">
        <f>IFERROR(__xludf.DUMMYFUNCTION("""COMPUTED_VALUE"""),"RSC003747")</f>
        <v>RSC003747</v>
      </c>
      <c r="B3739" s="41" t="str">
        <f>IFERROR(__xludf.DUMMYFUNCTION("""COMPUTED_VALUE"""),"Treefort.exe")</f>
        <v>Treefort.exe</v>
      </c>
    </row>
    <row r="3740">
      <c r="A3740" s="41" t="str">
        <f>IFERROR(__xludf.DUMMYFUNCTION("""COMPUTED_VALUE"""),"RSC003748")</f>
        <v>RSC003748</v>
      </c>
      <c r="B3740" s="41" t="str">
        <f>IFERROR(__xludf.DUMMYFUNCTION("""COMPUTED_VALUE"""),"Max")</f>
        <v>Max</v>
      </c>
    </row>
    <row r="3741">
      <c r="A3741" s="41" t="str">
        <f>IFERROR(__xludf.DUMMYFUNCTION("""COMPUTED_VALUE"""),"RSC003749")</f>
        <v>RSC003749</v>
      </c>
      <c r="B3741" s="41" t="str">
        <f>IFERROR(__xludf.DUMMYFUNCTION("""COMPUTED_VALUE"""),"Rule")</f>
        <v>Rule</v>
      </c>
    </row>
    <row r="3742">
      <c r="A3742" s="41" t="str">
        <f>IFERROR(__xludf.DUMMYFUNCTION("""COMPUTED_VALUE"""),"RSC003750")</f>
        <v>RSC003750</v>
      </c>
      <c r="B3742" s="41" t="str">
        <f>IFERROR(__xludf.DUMMYFUNCTION("""COMPUTED_VALUE"""),"HesAwkward")</f>
        <v>HesAwkward</v>
      </c>
    </row>
    <row r="3743">
      <c r="A3743" s="41" t="str">
        <f>IFERROR(__xludf.DUMMYFUNCTION("""COMPUTED_VALUE"""),"RSC003751")</f>
        <v>RSC003751</v>
      </c>
      <c r="B3743" s="41" t="str">
        <f>IFERROR(__xludf.DUMMYFUNCTION("""COMPUTED_VALUE"""),"PhilDeezz")</f>
        <v>PhilDeezz</v>
      </c>
    </row>
    <row r="3744">
      <c r="A3744" s="41" t="str">
        <f>IFERROR(__xludf.DUMMYFUNCTION("""COMPUTED_VALUE"""),"RSC003752")</f>
        <v>RSC003752</v>
      </c>
      <c r="B3744" s="41" t="str">
        <f>IFERROR(__xludf.DUMMYFUNCTION("""COMPUTED_VALUE"""),"IllusionnGG")</f>
        <v>IllusionnGG</v>
      </c>
    </row>
    <row r="3745">
      <c r="A3745" s="41" t="str">
        <f>IFERROR(__xludf.DUMMYFUNCTION("""COMPUTED_VALUE"""),"RSC003753")</f>
        <v>RSC003753</v>
      </c>
      <c r="B3745" s="41" t="str">
        <f>IFERROR(__xludf.DUMMYFUNCTION("""COMPUTED_VALUE"""),"iglooplayer")</f>
        <v>iglooplayer</v>
      </c>
    </row>
    <row r="3746">
      <c r="A3746" s="41" t="str">
        <f>IFERROR(__xludf.DUMMYFUNCTION("""COMPUTED_VALUE"""),"RSC003754")</f>
        <v>RSC003754</v>
      </c>
      <c r="B3746" s="41" t="str">
        <f>IFERROR(__xludf.DUMMYFUNCTION("""COMPUTED_VALUE"""),"oo PB oo")</f>
        <v>oo PB oo</v>
      </c>
    </row>
    <row r="3747">
      <c r="A3747" s="41" t="str">
        <f>IFERROR(__xludf.DUMMYFUNCTION("""COMPUTED_VALUE"""),"RSC003755")</f>
        <v>RSC003755</v>
      </c>
      <c r="B3747" s="41" t="str">
        <f>IFERROR(__xludf.DUMMYFUNCTION("""COMPUTED_VALUE"""),"dm")</f>
        <v>dm</v>
      </c>
    </row>
    <row r="3748">
      <c r="A3748" s="41" t="str">
        <f>IFERROR(__xludf.DUMMYFUNCTION("""COMPUTED_VALUE"""),"RSC003756")</f>
        <v>RSC003756</v>
      </c>
      <c r="B3748" s="41" t="str">
        <f>IFERROR(__xludf.DUMMYFUNCTION("""COMPUTED_VALUE"""),"WR1East")</f>
        <v>WR1East</v>
      </c>
    </row>
    <row r="3749">
      <c r="A3749" s="41" t="str">
        <f>IFERROR(__xludf.DUMMYFUNCTION("""COMPUTED_VALUE"""),"RSC003757")</f>
        <v>RSC003757</v>
      </c>
      <c r="B3749" s="41" t="str">
        <f>IFERROR(__xludf.DUMMYFUNCTION("""COMPUTED_VALUE"""),"flappy")</f>
        <v>flappy</v>
      </c>
    </row>
    <row r="3750">
      <c r="A3750" s="41" t="str">
        <f>IFERROR(__xludf.DUMMYFUNCTION("""COMPUTED_VALUE"""),"RSC003758")</f>
        <v>RSC003758</v>
      </c>
      <c r="B3750" s="41" t="str">
        <f>IFERROR(__xludf.DUMMYFUNCTION("""COMPUTED_VALUE"""),"melo")</f>
        <v>melo</v>
      </c>
    </row>
    <row r="3751">
      <c r="A3751" s="41" t="str">
        <f>IFERROR(__xludf.DUMMYFUNCTION("""COMPUTED_VALUE"""),"RSC003759")</f>
        <v>RSC003759</v>
      </c>
      <c r="B3751" s="41" t="str">
        <f>IFERROR(__xludf.DUMMYFUNCTION("""COMPUTED_VALUE"""),"claydoh03")</f>
        <v>claydoh03</v>
      </c>
    </row>
    <row r="3752">
      <c r="A3752" s="41" t="str">
        <f>IFERROR(__xludf.DUMMYFUNCTION("""COMPUTED_VALUE"""),"RSC003760")</f>
        <v>RSC003760</v>
      </c>
      <c r="B3752" s="41" t="str">
        <f>IFERROR(__xludf.DUMMYFUNCTION("""COMPUTED_VALUE"""),"Wavepace")</f>
        <v>Wavepace</v>
      </c>
    </row>
    <row r="3753">
      <c r="A3753" s="41" t="str">
        <f>IFERROR(__xludf.DUMMYFUNCTION("""COMPUTED_VALUE"""),"RSC003761")</f>
        <v>RSC003761</v>
      </c>
      <c r="B3753" s="41" t="str">
        <f>IFERROR(__xludf.DUMMYFUNCTION("""COMPUTED_VALUE"""),"Wilson!!!!")</f>
        <v>Wilson!!!!</v>
      </c>
    </row>
    <row r="3754">
      <c r="A3754" s="41" t="str">
        <f>IFERROR(__xludf.DUMMYFUNCTION("""COMPUTED_VALUE"""),"RSC003762")</f>
        <v>RSC003762</v>
      </c>
      <c r="B3754" s="41" t="str">
        <f>IFERROR(__xludf.DUMMYFUNCTION("""COMPUTED_VALUE"""),"Scorch")</f>
        <v>Scorch</v>
      </c>
    </row>
    <row r="3755">
      <c r="A3755" s="41" t="str">
        <f>IFERROR(__xludf.DUMMYFUNCTION("""COMPUTED_VALUE"""),"RSC003763")</f>
        <v>RSC003763</v>
      </c>
      <c r="B3755" s="41" t="str">
        <f>IFERROR(__xludf.DUMMYFUNCTION("""COMPUTED_VALUE"""),"Void (Change Later)")</f>
        <v>Void (Change Later)</v>
      </c>
    </row>
    <row r="3756">
      <c r="A3756" s="41" t="str">
        <f>IFERROR(__xludf.DUMMYFUNCTION("""COMPUTED_VALUE"""),"RSC003764")</f>
        <v>RSC003764</v>
      </c>
      <c r="B3756" s="41" t="str">
        <f>IFERROR(__xludf.DUMMYFUNCTION("""COMPUTED_VALUE"""),"Paulus1027")</f>
        <v>Paulus1027</v>
      </c>
    </row>
    <row r="3757">
      <c r="A3757" s="41" t="str">
        <f>IFERROR(__xludf.DUMMYFUNCTION("""COMPUTED_VALUE"""),"RSC003765")</f>
        <v>RSC003765</v>
      </c>
      <c r="B3757" s="41" t="str">
        <f>IFERROR(__xludf.DUMMYFUNCTION("""COMPUTED_VALUE"""),"bubba")</f>
        <v>bubba</v>
      </c>
    </row>
    <row r="3758">
      <c r="A3758" s="41" t="str">
        <f>IFERROR(__xludf.DUMMYFUNCTION("""COMPUTED_VALUE"""),"RSC003766")</f>
        <v>RSC003766</v>
      </c>
      <c r="B3758" s="41" t="str">
        <f>IFERROR(__xludf.DUMMYFUNCTION("""COMPUTED_VALUE"""),"drtobogganmd")</f>
        <v>drtobogganmd</v>
      </c>
    </row>
    <row r="3759">
      <c r="A3759" s="41" t="str">
        <f>IFERROR(__xludf.DUMMYFUNCTION("""COMPUTED_VALUE"""),"RSC003767")</f>
        <v>RSC003767</v>
      </c>
      <c r="B3759" s="41" t="str">
        <f>IFERROR(__xludf.DUMMYFUNCTION("""COMPUTED_VALUE"""),"Tegridy")</f>
        <v>Tegridy</v>
      </c>
    </row>
    <row r="3760">
      <c r="A3760" s="41" t="str">
        <f>IFERROR(__xludf.DUMMYFUNCTION("""COMPUTED_VALUE"""),"RSC003768")</f>
        <v>RSC003768</v>
      </c>
      <c r="B3760" s="41" t="str">
        <f>IFERROR(__xludf.DUMMYFUNCTION("""COMPUTED_VALUE"""),"Bean Soup")</f>
        <v>Bean Soup</v>
      </c>
    </row>
    <row r="3761">
      <c r="A3761" s="41" t="str">
        <f>IFERROR(__xludf.DUMMYFUNCTION("""COMPUTED_VALUE"""),"RSC003769")</f>
        <v>RSC003769</v>
      </c>
      <c r="B3761" s="41" t="str">
        <f>IFERROR(__xludf.DUMMYFUNCTION("""COMPUTED_VALUE"""),"PeachTreeDish")</f>
        <v>PeachTreeDish</v>
      </c>
    </row>
    <row r="3762">
      <c r="A3762" s="41" t="str">
        <f>IFERROR(__xludf.DUMMYFUNCTION("""COMPUTED_VALUE"""),"RSC003770")</f>
        <v>RSC003770</v>
      </c>
      <c r="B3762" s="41" t="str">
        <f>IFERROR(__xludf.DUMMYFUNCTION("""COMPUTED_VALUE"""),"Jaywenz27")</f>
        <v>Jaywenz27</v>
      </c>
    </row>
    <row r="3763">
      <c r="A3763" s="41" t="str">
        <f>IFERROR(__xludf.DUMMYFUNCTION("""COMPUTED_VALUE"""),"RSC003771")</f>
        <v>RSC003771</v>
      </c>
      <c r="B3763" s="41" t="str">
        <f>IFERROR(__xludf.DUMMYFUNCTION("""COMPUTED_VALUE"""),"That_Homie_Gage")</f>
        <v>That_Homie_Gage</v>
      </c>
    </row>
    <row r="3764">
      <c r="A3764" s="41" t="str">
        <f>IFERROR(__xludf.DUMMYFUNCTION("""COMPUTED_VALUE"""),"RSC003772")</f>
        <v>RSC003772</v>
      </c>
      <c r="B3764" s="41" t="str">
        <f>IFERROR(__xludf.DUMMYFUNCTION("""COMPUTED_VALUE"""),"ZeroCashRequired")</f>
        <v>ZeroCashRequired</v>
      </c>
    </row>
    <row r="3765">
      <c r="A3765" s="41" t="str">
        <f>IFERROR(__xludf.DUMMYFUNCTION("""COMPUTED_VALUE"""),"RSC003773")</f>
        <v>RSC003773</v>
      </c>
      <c r="B3765" s="41" t="str">
        <f>IFERROR(__xludf.DUMMYFUNCTION("""COMPUTED_VALUE"""),"Nipxi")</f>
        <v>Nipxi</v>
      </c>
    </row>
    <row r="3766">
      <c r="A3766" s="41" t="str">
        <f>IFERROR(__xludf.DUMMYFUNCTION("""COMPUTED_VALUE"""),"RSC003774")</f>
        <v>RSC003774</v>
      </c>
      <c r="B3766" s="41" t="str">
        <f>IFERROR(__xludf.DUMMYFUNCTION("""COMPUTED_VALUE"""),"boogs")</f>
        <v>boogs</v>
      </c>
    </row>
    <row r="3767">
      <c r="A3767" s="41" t="str">
        <f>IFERROR(__xludf.DUMMYFUNCTION("""COMPUTED_VALUE"""),"RSC003775")</f>
        <v>RSC003775</v>
      </c>
      <c r="B3767" s="41" t="str">
        <f>IFERROR(__xludf.DUMMYFUNCTION("""COMPUTED_VALUE"""),"qaanda")</f>
        <v>qaanda</v>
      </c>
    </row>
    <row r="3768">
      <c r="A3768" s="41" t="str">
        <f>IFERROR(__xludf.DUMMYFUNCTION("""COMPUTED_VALUE"""),"RSC003776")</f>
        <v>RSC003776</v>
      </c>
      <c r="B3768" s="41" t="str">
        <f>IFERROR(__xludf.DUMMYFUNCTION("""COMPUTED_VALUE"""),"Volepz")</f>
        <v>Volepz</v>
      </c>
    </row>
    <row r="3769">
      <c r="A3769" s="41" t="str">
        <f>IFERROR(__xludf.DUMMYFUNCTION("""COMPUTED_VALUE"""),"RSC003777")</f>
        <v>RSC003777</v>
      </c>
      <c r="B3769" s="41" t="str">
        <f>IFERROR(__xludf.DUMMYFUNCTION("""COMPUTED_VALUE"""),"Arpxggio")</f>
        <v>Arpxggio</v>
      </c>
    </row>
    <row r="3770">
      <c r="A3770" s="41" t="str">
        <f>IFERROR(__xludf.DUMMYFUNCTION("""COMPUTED_VALUE"""),"RSC003778")</f>
        <v>RSC003778</v>
      </c>
      <c r="B3770" s="41" t="str">
        <f>IFERROR(__xludf.DUMMYFUNCTION("""COMPUTED_VALUE"""),"DoubleFortune13")</f>
        <v>DoubleFortune13</v>
      </c>
    </row>
    <row r="3771">
      <c r="A3771" s="41" t="str">
        <f>IFERROR(__xludf.DUMMYFUNCTION("""COMPUTED_VALUE"""),"RSC003779")</f>
        <v>RSC003779</v>
      </c>
      <c r="B3771" s="41" t="str">
        <f>IFERROR(__xludf.DUMMYFUNCTION("""COMPUTED_VALUE"""),"Lucky")</f>
        <v>Lucky</v>
      </c>
    </row>
    <row r="3772">
      <c r="A3772" s="41" t="str">
        <f>IFERROR(__xludf.DUMMYFUNCTION("""COMPUTED_VALUE"""),"RSC003780")</f>
        <v>RSC003780</v>
      </c>
      <c r="B3772" s="41" t="str">
        <f>IFERROR(__xludf.DUMMYFUNCTION("""COMPUTED_VALUE"""),"Fayzan ibn Balish")</f>
        <v>Fayzan ibn Balish</v>
      </c>
    </row>
    <row r="3773">
      <c r="A3773" s="41" t="str">
        <f>IFERROR(__xludf.DUMMYFUNCTION("""COMPUTED_VALUE"""),"RSC003781")</f>
        <v>RSC003781</v>
      </c>
      <c r="B3773" s="41" t="str">
        <f>IFERROR(__xludf.DUMMYFUNCTION("""COMPUTED_VALUE"""),"mushyredbery")</f>
        <v>mushyredbery</v>
      </c>
    </row>
    <row r="3774">
      <c r="A3774" s="41" t="str">
        <f>IFERROR(__xludf.DUMMYFUNCTION("""COMPUTED_VALUE"""),"RSC003782")</f>
        <v>RSC003782</v>
      </c>
      <c r="B3774" s="41" t="str">
        <f>IFERROR(__xludf.DUMMYFUNCTION("""COMPUTED_VALUE"""),"Vanilla Rain")</f>
        <v>Vanilla Rain</v>
      </c>
    </row>
    <row r="3775">
      <c r="A3775" s="41" t="str">
        <f>IFERROR(__xludf.DUMMYFUNCTION("""COMPUTED_VALUE"""),"RSC003783")</f>
        <v>RSC003783</v>
      </c>
      <c r="B3775" s="41" t="str">
        <f>IFERROR(__xludf.DUMMYFUNCTION("""COMPUTED_VALUE"""),"JayeJayy")</f>
        <v>JayeJayy</v>
      </c>
    </row>
    <row r="3776">
      <c r="A3776" s="41" t="str">
        <f>IFERROR(__xludf.DUMMYFUNCTION("""COMPUTED_VALUE"""),"RSC003784")</f>
        <v>RSC003784</v>
      </c>
      <c r="B3776" s="41" t="str">
        <f>IFERROR(__xludf.DUMMYFUNCTION("""COMPUTED_VALUE"""),"RollsRoyceOwner")</f>
        <v>RollsRoyceOwner</v>
      </c>
    </row>
    <row r="3777">
      <c r="A3777" s="41" t="str">
        <f>IFERROR(__xludf.DUMMYFUNCTION("""COMPUTED_VALUE"""),"RSC003785")</f>
        <v>RSC003785</v>
      </c>
      <c r="B3777" s="41" t="str">
        <f>IFERROR(__xludf.DUMMYFUNCTION("""COMPUTED_VALUE"""),"Sagents")</f>
        <v>Sagents</v>
      </c>
    </row>
    <row r="3778">
      <c r="A3778" s="41" t="str">
        <f>IFERROR(__xludf.DUMMYFUNCTION("""COMPUTED_VALUE"""),"RSC003786")</f>
        <v>RSC003786</v>
      </c>
      <c r="B3778" s="41" t="str">
        <f>IFERROR(__xludf.DUMMYFUNCTION("""COMPUTED_VALUE"""),"meanstoner")</f>
        <v>meanstoner</v>
      </c>
    </row>
    <row r="3779">
      <c r="A3779" s="41" t="str">
        <f>IFERROR(__xludf.DUMMYFUNCTION("""COMPUTED_VALUE"""),"RSC003787")</f>
        <v>RSC003787</v>
      </c>
      <c r="B3779" s="41" t="str">
        <f>IFERROR(__xludf.DUMMYFUNCTION("""COMPUTED_VALUE"""),"Mozza")</f>
        <v>Mozza</v>
      </c>
    </row>
    <row r="3780">
      <c r="A3780" s="41" t="str">
        <f>IFERROR(__xludf.DUMMYFUNCTION("""COMPUTED_VALUE"""),"RSC003788")</f>
        <v>RSC003788</v>
      </c>
      <c r="B3780" s="41" t="str">
        <f>IFERROR(__xludf.DUMMYFUNCTION("""COMPUTED_VALUE"""),"Curry")</f>
        <v>Curry</v>
      </c>
    </row>
    <row r="3781">
      <c r="A3781" s="41" t="str">
        <f>IFERROR(__xludf.DUMMYFUNCTION("""COMPUTED_VALUE"""),"RSC003789")</f>
        <v>RSC003789</v>
      </c>
      <c r="B3781" s="41" t="str">
        <f>IFERROR(__xludf.DUMMYFUNCTION("""COMPUTED_VALUE"""),"FM | monter")</f>
        <v>FM | monter</v>
      </c>
    </row>
    <row r="3782">
      <c r="A3782" s="41" t="str">
        <f>IFERROR(__xludf.DUMMYFUNCTION("""COMPUTED_VALUE"""),"RSC003790")</f>
        <v>RSC003790</v>
      </c>
      <c r="B3782" s="41" t="str">
        <f>IFERROR(__xludf.DUMMYFUNCTION("""COMPUTED_VALUE"""),"Blounti")</f>
        <v>Blounti</v>
      </c>
    </row>
    <row r="3783">
      <c r="A3783" s="41" t="str">
        <f>IFERROR(__xludf.DUMMYFUNCTION("""COMPUTED_VALUE"""),"RSC003791")</f>
        <v>RSC003791</v>
      </c>
      <c r="B3783" s="41" t="str">
        <f>IFERROR(__xludf.DUMMYFUNCTION("""COMPUTED_VALUE"""),"frankieeagle")</f>
        <v>frankieeagle</v>
      </c>
    </row>
    <row r="3784">
      <c r="A3784" s="41" t="str">
        <f>IFERROR(__xludf.DUMMYFUNCTION("""COMPUTED_VALUE"""),"RSC003792")</f>
        <v>RSC003792</v>
      </c>
      <c r="B3784" s="41" t="str">
        <f>IFERROR(__xludf.DUMMYFUNCTION("""COMPUTED_VALUE"""),"Calcifiree")</f>
        <v>Calcifiree</v>
      </c>
    </row>
    <row r="3785">
      <c r="A3785" s="41" t="str">
        <f>IFERROR(__xludf.DUMMYFUNCTION("""COMPUTED_VALUE"""),"RSC003793")</f>
        <v>RSC003793</v>
      </c>
      <c r="B3785" s="41" t="str">
        <f>IFERROR(__xludf.DUMMYFUNCTION("""COMPUTED_VALUE"""),"daddydayts.rl")</f>
        <v>daddydayts.rl</v>
      </c>
    </row>
    <row r="3786">
      <c r="A3786" s="41" t="str">
        <f>IFERROR(__xludf.DUMMYFUNCTION("""COMPUTED_VALUE"""),"RSC003794")</f>
        <v>RSC003794</v>
      </c>
      <c r="B3786" s="41" t="str">
        <f>IFERROR(__xludf.DUMMYFUNCTION("""COMPUTED_VALUE"""),"K-u-t-o-")</f>
        <v>K-u-t-o-</v>
      </c>
    </row>
    <row r="3787">
      <c r="A3787" s="41" t="str">
        <f>IFERROR(__xludf.DUMMYFUNCTION("""COMPUTED_VALUE"""),"RSC003795")</f>
        <v>RSC003795</v>
      </c>
      <c r="B3787" s="41" t="str">
        <f>IFERROR(__xludf.DUMMYFUNCTION("""COMPUTED_VALUE"""),"Austin.")</f>
        <v>Austin.</v>
      </c>
    </row>
    <row r="3788">
      <c r="A3788" s="41" t="str">
        <f>IFERROR(__xludf.DUMMYFUNCTION("""COMPUTED_VALUE"""),"RSC003796")</f>
        <v>RSC003796</v>
      </c>
      <c r="B3788" s="41" t="str">
        <f>IFERROR(__xludf.DUMMYFUNCTION("""COMPUTED_VALUE"""),"hotdiggitydad")</f>
        <v>hotdiggitydad</v>
      </c>
    </row>
    <row r="3789">
      <c r="A3789" s="41" t="str">
        <f>IFERROR(__xludf.DUMMYFUNCTION("""COMPUTED_VALUE"""),"RSC003797")</f>
        <v>RSC003797</v>
      </c>
      <c r="B3789" s="41" t="str">
        <f>IFERROR(__xludf.DUMMYFUNCTION("""COMPUTED_VALUE"""),"FunkMaΣter")</f>
        <v>FunkMaΣter</v>
      </c>
    </row>
    <row r="3790">
      <c r="A3790" s="41" t="str">
        <f>IFERROR(__xludf.DUMMYFUNCTION("""COMPUTED_VALUE"""),"RSC003798")</f>
        <v>RSC003798</v>
      </c>
      <c r="B3790" s="41" t="str">
        <f>IFERROR(__xludf.DUMMYFUNCTION("""COMPUTED_VALUE"""),"Tatsuya")</f>
        <v>Tatsuya</v>
      </c>
    </row>
    <row r="3791">
      <c r="A3791" s="41" t="str">
        <f>IFERROR(__xludf.DUMMYFUNCTION("""COMPUTED_VALUE"""),"RSC003799")</f>
        <v>RSC003799</v>
      </c>
      <c r="B3791" s="41" t="str">
        <f>IFERROR(__xludf.DUMMYFUNCTION("""COMPUTED_VALUE"""),"Armo27")</f>
        <v>Armo27</v>
      </c>
    </row>
    <row r="3792">
      <c r="A3792" s="41" t="str">
        <f>IFERROR(__xludf.DUMMYFUNCTION("""COMPUTED_VALUE"""),"RSC003800")</f>
        <v>RSC003800</v>
      </c>
      <c r="B3792" s="41" t="str">
        <f>IFERROR(__xludf.DUMMYFUNCTION("""COMPUTED_VALUE"""),"Chickanz")</f>
        <v>Chickanz</v>
      </c>
    </row>
    <row r="3793">
      <c r="A3793" s="41" t="str">
        <f>IFERROR(__xludf.DUMMYFUNCTION("""COMPUTED_VALUE"""),"RSC003801")</f>
        <v>RSC003801</v>
      </c>
      <c r="B3793" s="41" t="str">
        <f>IFERROR(__xludf.DUMMYFUNCTION("""COMPUTED_VALUE"""),"veil._")</f>
        <v>veil._</v>
      </c>
    </row>
    <row r="3794">
      <c r="A3794" s="41" t="str">
        <f>IFERROR(__xludf.DUMMYFUNCTION("""COMPUTED_VALUE"""),"RSC003802")</f>
        <v>RSC003802</v>
      </c>
      <c r="B3794" s="41" t="str">
        <f>IFERROR(__xludf.DUMMYFUNCTION("""COMPUTED_VALUE"""),"FinleyFinnesser")</f>
        <v>FinleyFinnesser</v>
      </c>
    </row>
    <row r="3795">
      <c r="A3795" s="41" t="str">
        <f>IFERROR(__xludf.DUMMYFUNCTION("""COMPUTED_VALUE"""),"RSC003803")</f>
        <v>RSC003803</v>
      </c>
      <c r="B3795" s="41" t="str">
        <f>IFERROR(__xludf.DUMMYFUNCTION("""COMPUTED_VALUE"""),"(XP)")</f>
        <v>(XP)</v>
      </c>
    </row>
    <row r="3796">
      <c r="A3796" s="41" t="str">
        <f>IFERROR(__xludf.DUMMYFUNCTION("""COMPUTED_VALUE"""),"RSC003804")</f>
        <v>RSC003804</v>
      </c>
      <c r="B3796" s="41" t="str">
        <f>IFERROR(__xludf.DUMMYFUNCTION("""COMPUTED_VALUE"""),"ayylo")</f>
        <v>ayylo</v>
      </c>
    </row>
    <row r="3797">
      <c r="A3797" s="41" t="str">
        <f>IFERROR(__xludf.DUMMYFUNCTION("""COMPUTED_VALUE"""),"RSC003805")</f>
        <v>RSC003805</v>
      </c>
      <c r="B3797" s="41" t="str">
        <f>IFERROR(__xludf.DUMMYFUNCTION("""COMPUTED_VALUE"""),"WolfD")</f>
        <v>WolfD</v>
      </c>
    </row>
    <row r="3798">
      <c r="A3798" s="41" t="str">
        <f>IFERROR(__xludf.DUMMYFUNCTION("""COMPUTED_VALUE"""),"RSC003806")</f>
        <v>RSC003806</v>
      </c>
      <c r="B3798" s="41" t="str">
        <f>IFERROR(__xludf.DUMMYFUNCTION("""COMPUTED_VALUE"""),"zlayers98")</f>
        <v>zlayers98</v>
      </c>
    </row>
    <row r="3799">
      <c r="A3799" s="41" t="str">
        <f>IFERROR(__xludf.DUMMYFUNCTION("""COMPUTED_VALUE"""),"RSC003807")</f>
        <v>RSC003807</v>
      </c>
      <c r="B3799" s="41" t="str">
        <f>IFERROR(__xludf.DUMMYFUNCTION("""COMPUTED_VALUE"""),"Blossom")</f>
        <v>Blossom</v>
      </c>
    </row>
    <row r="3800">
      <c r="A3800" s="41" t="str">
        <f>IFERROR(__xludf.DUMMYFUNCTION("""COMPUTED_VALUE"""),"RSC003808")</f>
        <v>RSC003808</v>
      </c>
      <c r="B3800" s="41" t="str">
        <f>IFERROR(__xludf.DUMMYFUNCTION("""COMPUTED_VALUE"""),"Omnissions")</f>
        <v>Omnissions</v>
      </c>
    </row>
    <row r="3801">
      <c r="A3801" s="41" t="str">
        <f>IFERROR(__xludf.DUMMYFUNCTION("""COMPUTED_VALUE"""),"RSC003809")</f>
        <v>RSC003809</v>
      </c>
      <c r="B3801" s="41" t="str">
        <f>IFERROR(__xludf.DUMMYFUNCTION("""COMPUTED_VALUE"""),"Tropos")</f>
        <v>Tropos</v>
      </c>
    </row>
    <row r="3802">
      <c r="A3802" s="41" t="str">
        <f>IFERROR(__xludf.DUMMYFUNCTION("""COMPUTED_VALUE"""),"RSC003810")</f>
        <v>RSC003810</v>
      </c>
      <c r="B3802" s="41" t="str">
        <f>IFERROR(__xludf.DUMMYFUNCTION("""COMPUTED_VALUE"""),"PuddlesGalore")</f>
        <v>PuddlesGalore</v>
      </c>
    </row>
    <row r="3803">
      <c r="A3803" s="41" t="str">
        <f>IFERROR(__xludf.DUMMYFUNCTION("""COMPUTED_VALUE"""),"RSC003811")</f>
        <v>RSC003811</v>
      </c>
      <c r="B3803" s="41" t="str">
        <f>IFERROR(__xludf.DUMMYFUNCTION("""COMPUTED_VALUE"""),"Roshaft")</f>
        <v>Roshaft</v>
      </c>
    </row>
    <row r="3804">
      <c r="A3804" s="41" t="str">
        <f>IFERROR(__xludf.DUMMYFUNCTION("""COMPUTED_VALUE"""),"RSC003812")</f>
        <v>RSC003812</v>
      </c>
      <c r="B3804" s="41" t="str">
        <f>IFERROR(__xludf.DUMMYFUNCTION("""COMPUTED_VALUE"""),"Jeoka")</f>
        <v>Jeoka</v>
      </c>
    </row>
    <row r="3805">
      <c r="A3805" s="41" t="str">
        <f>IFERROR(__xludf.DUMMYFUNCTION("""COMPUTED_VALUE"""),"RSC003813")</f>
        <v>RSC003813</v>
      </c>
      <c r="B3805" s="41" t="str">
        <f>IFERROR(__xludf.DUMMYFUNCTION("""COMPUTED_VALUE"""),"MitochonDriac666")</f>
        <v>MitochonDriac666</v>
      </c>
    </row>
    <row r="3806">
      <c r="A3806" s="41" t="str">
        <f>IFERROR(__xludf.DUMMYFUNCTION("""COMPUTED_VALUE"""),"RSC003814")</f>
        <v>RSC003814</v>
      </c>
      <c r="B3806" s="41" t="str">
        <f>IFERROR(__xludf.DUMMYFUNCTION("""COMPUTED_VALUE"""),"Umbral_Arias")</f>
        <v>Umbral_Arias</v>
      </c>
    </row>
    <row r="3807">
      <c r="A3807" s="41" t="str">
        <f>IFERROR(__xludf.DUMMYFUNCTION("""COMPUTED_VALUE"""),"RSC003815")</f>
        <v>RSC003815</v>
      </c>
      <c r="B3807" s="41" t="str">
        <f>IFERROR(__xludf.DUMMYFUNCTION("""COMPUTED_VALUE"""),"WashedDonk")</f>
        <v>WashedDonk</v>
      </c>
    </row>
    <row r="3808">
      <c r="A3808" s="41" t="str">
        <f>IFERROR(__xludf.DUMMYFUNCTION("""COMPUTED_VALUE"""),"RSC003816")</f>
        <v>RSC003816</v>
      </c>
      <c r="B3808" s="41" t="str">
        <f>IFERROR(__xludf.DUMMYFUNCTION("""COMPUTED_VALUE"""),"Anserem")</f>
        <v>Anserem</v>
      </c>
    </row>
    <row r="3809">
      <c r="A3809" s="41" t="str">
        <f>IFERROR(__xludf.DUMMYFUNCTION("""COMPUTED_VALUE"""),"RSC003817")</f>
        <v>RSC003817</v>
      </c>
      <c r="B3809" s="41" t="str">
        <f>IFERROR(__xludf.DUMMYFUNCTION("""COMPUTED_VALUE"""),"BotCody")</f>
        <v>BotCody</v>
      </c>
    </row>
    <row r="3810">
      <c r="A3810" s="41" t="str">
        <f>IFERROR(__xludf.DUMMYFUNCTION("""COMPUTED_VALUE"""),"RSC003818")</f>
        <v>RSC003818</v>
      </c>
      <c r="B3810" s="41" t="str">
        <f>IFERROR(__xludf.DUMMYFUNCTION("""COMPUTED_VALUE"""),"Freeix")</f>
        <v>Freeix</v>
      </c>
    </row>
    <row r="3811">
      <c r="A3811" s="41" t="str">
        <f>IFERROR(__xludf.DUMMYFUNCTION("""COMPUTED_VALUE"""),"RSC003819")</f>
        <v>RSC003819</v>
      </c>
      <c r="B3811" s="41" t="str">
        <f>IFERROR(__xludf.DUMMYFUNCTION("""COMPUTED_VALUE"""),"Paper")</f>
        <v>Paper</v>
      </c>
    </row>
    <row r="3812">
      <c r="A3812" s="41" t="str">
        <f>IFERROR(__xludf.DUMMYFUNCTION("""COMPUTED_VALUE"""),"RSC003820")</f>
        <v>RSC003820</v>
      </c>
      <c r="B3812" s="41" t="str">
        <f>IFERROR(__xludf.DUMMYFUNCTION("""COMPUTED_VALUE"""),"McLeif91")</f>
        <v>McLeif91</v>
      </c>
    </row>
    <row r="3813">
      <c r="A3813" s="41" t="str">
        <f>IFERROR(__xludf.DUMMYFUNCTION("""COMPUTED_VALUE"""),"RSC003821")</f>
        <v>RSC003821</v>
      </c>
      <c r="B3813" s="41" t="str">
        <f>IFERROR(__xludf.DUMMYFUNCTION("""COMPUTED_VALUE"""),"VainsCreations")</f>
        <v>VainsCreations</v>
      </c>
    </row>
    <row r="3814">
      <c r="A3814" s="41" t="str">
        <f>IFERROR(__xludf.DUMMYFUNCTION("""COMPUTED_VALUE"""),"RSC003822")</f>
        <v>RSC003822</v>
      </c>
      <c r="B3814" s="41" t="str">
        <f>IFERROR(__xludf.DUMMYFUNCTION("""COMPUTED_VALUE"""),"Chasing 1800")</f>
        <v>Chasing 1800</v>
      </c>
    </row>
    <row r="3815">
      <c r="A3815" s="41" t="str">
        <f>IFERROR(__xludf.DUMMYFUNCTION("""COMPUTED_VALUE"""),"RSC003823")</f>
        <v>RSC003823</v>
      </c>
      <c r="B3815" s="41" t="str">
        <f>IFERROR(__xludf.DUMMYFUNCTION("""COMPUTED_VALUE"""),"BrettWhitt")</f>
        <v>BrettWhitt</v>
      </c>
    </row>
    <row r="3816">
      <c r="A3816" s="41" t="str">
        <f>IFERROR(__xludf.DUMMYFUNCTION("""COMPUTED_VALUE"""),"RSC003824")</f>
        <v>RSC003824</v>
      </c>
      <c r="B3816" s="41" t="str">
        <f>IFERROR(__xludf.DUMMYFUNCTION("""COMPUTED_VALUE"""),"Sleth")</f>
        <v>Sleth</v>
      </c>
    </row>
    <row r="3817">
      <c r="A3817" s="41" t="str">
        <f>IFERROR(__xludf.DUMMYFUNCTION("""COMPUTED_VALUE"""),"RSC003825")</f>
        <v>RSC003825</v>
      </c>
      <c r="B3817" s="41" t="str">
        <f>IFERROR(__xludf.DUMMYFUNCTION("""COMPUTED_VALUE"""),"The Janitor")</f>
        <v>The Janitor</v>
      </c>
    </row>
    <row r="3818">
      <c r="A3818" s="41" t="str">
        <f>IFERROR(__xludf.DUMMYFUNCTION("""COMPUTED_VALUE"""),"RSC003826")</f>
        <v>RSC003826</v>
      </c>
      <c r="B3818" s="41" t="str">
        <f>IFERROR(__xludf.DUMMYFUNCTION("""COMPUTED_VALUE"""),"bajesus666")</f>
        <v>bajesus666</v>
      </c>
    </row>
    <row r="3819">
      <c r="A3819" s="41" t="str">
        <f>IFERROR(__xludf.DUMMYFUNCTION("""COMPUTED_VALUE"""),"RSC003828")</f>
        <v>RSC003828</v>
      </c>
      <c r="B3819" s="41" t="str">
        <f>IFERROR(__xludf.DUMMYFUNCTION("""COMPUTED_VALUE"""),"hershey2013")</f>
        <v>hershey2013</v>
      </c>
    </row>
    <row r="3820">
      <c r="A3820" s="41" t="str">
        <f>IFERROR(__xludf.DUMMYFUNCTION("""COMPUTED_VALUE"""),"RSC003829")</f>
        <v>RSC003829</v>
      </c>
      <c r="B3820" s="41" t="str">
        <f>IFERROR(__xludf.DUMMYFUNCTION("""COMPUTED_VALUE"""),"rswolves32")</f>
        <v>rswolves32</v>
      </c>
    </row>
    <row r="3821">
      <c r="A3821" s="41" t="str">
        <f>IFERROR(__xludf.DUMMYFUNCTION("""COMPUTED_VALUE"""),"RSC003830")</f>
        <v>RSC003830</v>
      </c>
      <c r="B3821" s="41" t="str">
        <f>IFERROR(__xludf.DUMMYFUNCTION("""COMPUTED_VALUE"""),"bradyK-")</f>
        <v>bradyK-</v>
      </c>
    </row>
    <row r="3822">
      <c r="A3822" s="41" t="str">
        <f>IFERROR(__xludf.DUMMYFUNCTION("""COMPUTED_VALUE"""),"RSC003831")</f>
        <v>RSC003831</v>
      </c>
      <c r="B3822" s="41" t="str">
        <f>IFERROR(__xludf.DUMMYFUNCTION("""COMPUTED_VALUE"""),"Aki")</f>
        <v>Aki</v>
      </c>
    </row>
    <row r="3823">
      <c r="A3823" s="41" t="str">
        <f>IFERROR(__xludf.DUMMYFUNCTION("""COMPUTED_VALUE"""),"RSC003832")</f>
        <v>RSC003832</v>
      </c>
      <c r="B3823" s="41" t="str">
        <f>IFERROR(__xludf.DUMMYFUNCTION("""COMPUTED_VALUE"""),"LethalScopes")</f>
        <v>LethalScopes</v>
      </c>
    </row>
    <row r="3824">
      <c r="A3824" s="41" t="str">
        <f>IFERROR(__xludf.DUMMYFUNCTION("""COMPUTED_VALUE"""),"RSC003833")</f>
        <v>RSC003833</v>
      </c>
      <c r="B3824" s="41" t="str">
        <f>IFERROR(__xludf.DUMMYFUNCTION("""COMPUTED_VALUE"""),"Soolkj")</f>
        <v>Soolkj</v>
      </c>
    </row>
    <row r="3825">
      <c r="A3825" s="41" t="str">
        <f>IFERROR(__xludf.DUMMYFUNCTION("""COMPUTED_VALUE"""),"RSC003834")</f>
        <v>RSC003834</v>
      </c>
      <c r="B3825" s="41" t="str">
        <f>IFERROR(__xludf.DUMMYFUNCTION("""COMPUTED_VALUE"""),"Yeezy")</f>
        <v>Yeezy</v>
      </c>
    </row>
    <row r="3826">
      <c r="A3826" s="41" t="str">
        <f>IFERROR(__xludf.DUMMYFUNCTION("""COMPUTED_VALUE"""),"RSC003835")</f>
        <v>RSC003835</v>
      </c>
      <c r="B3826" s="41" t="str">
        <f>IFERROR(__xludf.DUMMYFUNCTION("""COMPUTED_VALUE"""),"Flamespixc")</f>
        <v>Flamespixc</v>
      </c>
    </row>
    <row r="3827">
      <c r="A3827" s="41" t="str">
        <f>IFERROR(__xludf.DUMMYFUNCTION("""COMPUTED_VALUE"""),"RSC003836")</f>
        <v>RSC003836</v>
      </c>
      <c r="B3827" s="41" t="str">
        <f>IFERROR(__xludf.DUMMYFUNCTION("""COMPUTED_VALUE"""),"Chronicle")</f>
        <v>Chronicle</v>
      </c>
    </row>
    <row r="3828">
      <c r="A3828" s="41" t="str">
        <f>IFERROR(__xludf.DUMMYFUNCTION("""COMPUTED_VALUE"""),"RSC003837")</f>
        <v>RSC003837</v>
      </c>
      <c r="B3828" s="41" t="str">
        <f>IFERROR(__xludf.DUMMYFUNCTION("""COMPUTED_VALUE"""),"Boofin’")</f>
        <v>Boofin’</v>
      </c>
    </row>
    <row r="3829">
      <c r="A3829" s="41" t="str">
        <f>IFERROR(__xludf.DUMMYFUNCTION("""COMPUTED_VALUE"""),"RSC003838")</f>
        <v>RSC003838</v>
      </c>
      <c r="B3829" s="41" t="str">
        <f>IFERROR(__xludf.DUMMYFUNCTION("""COMPUTED_VALUE"""),"hike14")</f>
        <v>hike14</v>
      </c>
    </row>
    <row r="3830">
      <c r="A3830" s="41" t="str">
        <f>IFERROR(__xludf.DUMMYFUNCTION("""COMPUTED_VALUE"""),"RSC003839")</f>
        <v>RSC003839</v>
      </c>
      <c r="B3830" s="41" t="str">
        <f>IFERROR(__xludf.DUMMYFUNCTION("""COMPUTED_VALUE"""),"Cardines")</f>
        <v>Cardines</v>
      </c>
    </row>
    <row r="3831">
      <c r="A3831" s="41" t="str">
        <f>IFERROR(__xludf.DUMMYFUNCTION("""COMPUTED_VALUE"""),"RSC003840")</f>
        <v>RSC003840</v>
      </c>
      <c r="B3831" s="41" t="str">
        <f>IFERROR(__xludf.DUMMYFUNCTION("""COMPUTED_VALUE"""),"Pea Bake")</f>
        <v>Pea Bake</v>
      </c>
    </row>
    <row r="3832">
      <c r="A3832" s="41" t="str">
        <f>IFERROR(__xludf.DUMMYFUNCTION("""COMPUTED_VALUE"""),"RSC003841")</f>
        <v>RSC003841</v>
      </c>
      <c r="B3832" s="41" t="str">
        <f>IFERROR(__xludf.DUMMYFUNCTION("""COMPUTED_VALUE"""),"adsx")</f>
        <v>adsx</v>
      </c>
    </row>
    <row r="3833">
      <c r="A3833" s="41" t="str">
        <f>IFERROR(__xludf.DUMMYFUNCTION("""COMPUTED_VALUE"""),"RSC003842")</f>
        <v>RSC003842</v>
      </c>
      <c r="B3833" s="41" t="str">
        <f>IFERROR(__xludf.DUMMYFUNCTION("""COMPUTED_VALUE"""),"KOṪA")</f>
        <v>KOṪA</v>
      </c>
    </row>
    <row r="3834">
      <c r="A3834" s="41" t="str">
        <f>IFERROR(__xludf.DUMMYFUNCTION("""COMPUTED_VALUE"""),"RSC003843")</f>
        <v>RSC003843</v>
      </c>
      <c r="B3834" s="41" t="str">
        <f>IFERROR(__xludf.DUMMYFUNCTION("""COMPUTED_VALUE"""),"yPeTee")</f>
        <v>yPeTee</v>
      </c>
    </row>
    <row r="3835">
      <c r="A3835" s="41" t="str">
        <f>IFERROR(__xludf.DUMMYFUNCTION("""COMPUTED_VALUE"""),"RSC003844")</f>
        <v>RSC003844</v>
      </c>
      <c r="B3835" s="41" t="str">
        <f>IFERROR(__xludf.DUMMYFUNCTION("""COMPUTED_VALUE"""),"Green ganj23")</f>
        <v>Green ganj23</v>
      </c>
    </row>
    <row r="3836">
      <c r="A3836" s="41" t="str">
        <f>IFERROR(__xludf.DUMMYFUNCTION("""COMPUTED_VALUE"""),"RSC003845")</f>
        <v>RSC003845</v>
      </c>
      <c r="B3836" s="41" t="str">
        <f>IFERROR(__xludf.DUMMYFUNCTION("""COMPUTED_VALUE"""),"Dubs")</f>
        <v>Dubs</v>
      </c>
    </row>
    <row r="3837">
      <c r="A3837" s="41" t="str">
        <f>IFERROR(__xludf.DUMMYFUNCTION("""COMPUTED_VALUE"""),"RSC003846")</f>
        <v>RSC003846</v>
      </c>
      <c r="B3837" s="41" t="str">
        <f>IFERROR(__xludf.DUMMYFUNCTION("""COMPUTED_VALUE"""),"scooptyy")</f>
        <v>scooptyy</v>
      </c>
    </row>
    <row r="3838">
      <c r="A3838" s="41" t="str">
        <f>IFERROR(__xludf.DUMMYFUNCTION("""COMPUTED_VALUE"""),"RSC003847")</f>
        <v>RSC003847</v>
      </c>
      <c r="B3838" s="41" t="str">
        <f>IFERROR(__xludf.DUMMYFUNCTION("""COMPUTED_VALUE"""),"Spexei")</f>
        <v>Spexei</v>
      </c>
    </row>
    <row r="3839">
      <c r="A3839" s="41" t="str">
        <f>IFERROR(__xludf.DUMMYFUNCTION("""COMPUTED_VALUE"""),"RSC003848")</f>
        <v>RSC003848</v>
      </c>
      <c r="B3839" s="41" t="str">
        <f>IFERROR(__xludf.DUMMYFUNCTION("""COMPUTED_VALUE"""),"TheAirGerbil")</f>
        <v>TheAirGerbil</v>
      </c>
    </row>
    <row r="3840">
      <c r="A3840" s="41" t="str">
        <f>IFERROR(__xludf.DUMMYFUNCTION("""COMPUTED_VALUE"""),"RSC003849")</f>
        <v>RSC003849</v>
      </c>
      <c r="B3840" s="41" t="str">
        <f>IFERROR(__xludf.DUMMYFUNCTION("""COMPUTED_VALUE"""),"Apoyyo")</f>
        <v>Apoyyo</v>
      </c>
    </row>
    <row r="3841">
      <c r="A3841" s="41" t="str">
        <f>IFERROR(__xludf.DUMMYFUNCTION("""COMPUTED_VALUE"""),"RSC003850")</f>
        <v>RSC003850</v>
      </c>
      <c r="B3841" s="41" t="str">
        <f>IFERROR(__xludf.DUMMYFUNCTION("""COMPUTED_VALUE"""),"Astn")</f>
        <v>Astn</v>
      </c>
    </row>
    <row r="3842">
      <c r="A3842" s="41" t="str">
        <f>IFERROR(__xludf.DUMMYFUNCTION("""COMPUTED_VALUE"""),"RSC003851")</f>
        <v>RSC003851</v>
      </c>
      <c r="B3842" s="41" t="str">
        <f>IFERROR(__xludf.DUMMYFUNCTION("""COMPUTED_VALUE"""),"Dom TuT")</f>
        <v>Dom TuT</v>
      </c>
    </row>
    <row r="3843">
      <c r="A3843" s="41" t="str">
        <f>IFERROR(__xludf.DUMMYFUNCTION("""COMPUTED_VALUE"""),"RSC003852")</f>
        <v>RSC003852</v>
      </c>
      <c r="B3843" s="41" t="str">
        <f>IFERROR(__xludf.DUMMYFUNCTION("""COMPUTED_VALUE"""),"Todi")</f>
        <v>Todi</v>
      </c>
    </row>
    <row r="3844">
      <c r="A3844" s="41" t="str">
        <f>IFERROR(__xludf.DUMMYFUNCTION("""COMPUTED_VALUE"""),"RSC003853")</f>
        <v>RSC003853</v>
      </c>
      <c r="B3844" s="41" t="str">
        <f>IFERROR(__xludf.DUMMYFUNCTION("""COMPUTED_VALUE"""),"Ledesma_34")</f>
        <v>Ledesma_34</v>
      </c>
    </row>
    <row r="3845">
      <c r="A3845" s="41" t="str">
        <f>IFERROR(__xludf.DUMMYFUNCTION("""COMPUTED_VALUE"""),"RSC003854")</f>
        <v>RSC003854</v>
      </c>
      <c r="B3845" s="41" t="str">
        <f>IFERROR(__xludf.DUMMYFUNCTION("""COMPUTED_VALUE"""),"Haz")</f>
        <v>Haz</v>
      </c>
    </row>
    <row r="3846">
      <c r="A3846" s="41" t="str">
        <f>IFERROR(__xludf.DUMMYFUNCTION("""COMPUTED_VALUE"""),"RSC003855")</f>
        <v>RSC003855</v>
      </c>
      <c r="B3846" s="41" t="str">
        <f>IFERROR(__xludf.DUMMYFUNCTION("""COMPUTED_VALUE"""),"Pan")</f>
        <v>Pan</v>
      </c>
    </row>
    <row r="3847">
      <c r="A3847" s="41" t="str">
        <f>IFERROR(__xludf.DUMMYFUNCTION("""COMPUTED_VALUE"""),"RSC003856")</f>
        <v>RSC003856</v>
      </c>
      <c r="B3847" s="41" t="str">
        <f>IFERROR(__xludf.DUMMYFUNCTION("""COMPUTED_VALUE"""),"The Dude")</f>
        <v>The Dude</v>
      </c>
    </row>
    <row r="3848">
      <c r="A3848" s="41" t="str">
        <f>IFERROR(__xludf.DUMMYFUNCTION("""COMPUTED_VALUE"""),"RSC003857")</f>
        <v>RSC003857</v>
      </c>
      <c r="B3848" s="41" t="str">
        <f>IFERROR(__xludf.DUMMYFUNCTION("""COMPUTED_VALUE"""),"Lxke.")</f>
        <v>Lxke.</v>
      </c>
    </row>
    <row r="3849">
      <c r="A3849" s="41" t="str">
        <f>IFERROR(__xludf.DUMMYFUNCTION("""COMPUTED_VALUE"""),"RSC003858")</f>
        <v>RSC003858</v>
      </c>
      <c r="B3849" s="41" t="str">
        <f>IFERROR(__xludf.DUMMYFUNCTION("""COMPUTED_VALUE"""),"shane (change as well)")</f>
        <v>shane (change as well)</v>
      </c>
    </row>
    <row r="3850">
      <c r="A3850" s="41" t="str">
        <f>IFERROR(__xludf.DUMMYFUNCTION("""COMPUTED_VALUE"""),"RSC003859")</f>
        <v>RSC003859</v>
      </c>
      <c r="B3850" s="41" t="str">
        <f>IFERROR(__xludf.DUMMYFUNCTION("""COMPUTED_VALUE"""),"ZeRoyalDonut")</f>
        <v>ZeRoyalDonut</v>
      </c>
    </row>
    <row r="3851">
      <c r="A3851" s="41" t="str">
        <f>IFERROR(__xludf.DUMMYFUNCTION("""COMPUTED_VALUE"""),"RSC003860")</f>
        <v>RSC003860</v>
      </c>
      <c r="B3851" s="41" t="str">
        <f>IFERROR(__xludf.DUMMYFUNCTION("""COMPUTED_VALUE"""),"Mudd__")</f>
        <v>Mudd__</v>
      </c>
    </row>
    <row r="3852">
      <c r="A3852" s="41" t="str">
        <f>IFERROR(__xludf.DUMMYFUNCTION("""COMPUTED_VALUE"""),"RSC003861")</f>
        <v>RSC003861</v>
      </c>
      <c r="B3852" s="41" t="str">
        <f>IFERROR(__xludf.DUMMYFUNCTION("""COMPUTED_VALUE"""),"Unix")</f>
        <v>Unix</v>
      </c>
    </row>
    <row r="3853">
      <c r="A3853" s="41" t="str">
        <f>IFERROR(__xludf.DUMMYFUNCTION("""COMPUTED_VALUE"""),"RSC003862")</f>
        <v>RSC003862</v>
      </c>
      <c r="B3853" s="41" t="str">
        <f>IFERROR(__xludf.DUMMYFUNCTION("""COMPUTED_VALUE"""),"Sloth")</f>
        <v>Sloth</v>
      </c>
    </row>
    <row r="3854">
      <c r="A3854" s="41" t="str">
        <f>IFERROR(__xludf.DUMMYFUNCTION("""COMPUTED_VALUE"""),"RSC003863")</f>
        <v>RSC003863</v>
      </c>
      <c r="B3854" s="41" t="str">
        <f>IFERROR(__xludf.DUMMYFUNCTION("""COMPUTED_VALUE"""),"Chaos (change)")</f>
        <v>Chaos (change)</v>
      </c>
    </row>
    <row r="3855">
      <c r="A3855" s="41" t="str">
        <f>IFERROR(__xludf.DUMMYFUNCTION("""COMPUTED_VALUE"""),"RSC003864")</f>
        <v>RSC003864</v>
      </c>
      <c r="B3855" s="41" t="str">
        <f>IFERROR(__xludf.DUMMYFUNCTION("""COMPUTED_VALUE"""),"DestroyerAllstar")</f>
        <v>DestroyerAllstar</v>
      </c>
    </row>
    <row r="3856">
      <c r="A3856" s="41" t="str">
        <f>IFERROR(__xludf.DUMMYFUNCTION("""COMPUTED_VALUE"""),"RSC003865")</f>
        <v>RSC003865</v>
      </c>
      <c r="B3856" s="41" t="str">
        <f>IFERROR(__xludf.DUMMYFUNCTION("""COMPUTED_VALUE"""),"Someone Sneaky8")</f>
        <v>Someone Sneaky8</v>
      </c>
    </row>
    <row r="3857">
      <c r="A3857" s="41" t="str">
        <f>IFERROR(__xludf.DUMMYFUNCTION("""COMPUTED_VALUE"""),"RSC003866")</f>
        <v>RSC003866</v>
      </c>
      <c r="B3857" s="41" t="str">
        <f>IFERROR(__xludf.DUMMYFUNCTION("""COMPUTED_VALUE"""),"skizzbo")</f>
        <v>skizzbo</v>
      </c>
    </row>
    <row r="3858">
      <c r="A3858" s="41" t="str">
        <f>IFERROR(__xludf.DUMMYFUNCTION("""COMPUTED_VALUE"""),"RSC003867")</f>
        <v>RSC003867</v>
      </c>
      <c r="B3858" s="41" t="str">
        <f>IFERROR(__xludf.DUMMYFUNCTION("""COMPUTED_VALUE"""),"mustangboyz50")</f>
        <v>mustangboyz50</v>
      </c>
    </row>
    <row r="3859">
      <c r="A3859" s="41" t="str">
        <f>IFERROR(__xludf.DUMMYFUNCTION("""COMPUTED_VALUE"""),"RSC003868")</f>
        <v>RSC003868</v>
      </c>
      <c r="B3859" s="41" t="str">
        <f>IFERROR(__xludf.DUMMYFUNCTION("""COMPUTED_VALUE"""),"BossHogg Gz")</f>
        <v>BossHogg Gz</v>
      </c>
    </row>
    <row r="3860">
      <c r="A3860" s="41" t="str">
        <f>IFERROR(__xludf.DUMMYFUNCTION("""COMPUTED_VALUE"""),"RSC003869")</f>
        <v>RSC003869</v>
      </c>
      <c r="B3860" s="41" t="str">
        <f>IFERROR(__xludf.DUMMYFUNCTION("""COMPUTED_VALUE"""),"Gsqo")</f>
        <v>Gsqo</v>
      </c>
    </row>
    <row r="3861">
      <c r="A3861" s="41" t="str">
        <f>IFERROR(__xludf.DUMMYFUNCTION("""COMPUTED_VALUE"""),"RSC003870")</f>
        <v>RSC003870</v>
      </c>
      <c r="B3861" s="41" t="str">
        <f>IFERROR(__xludf.DUMMYFUNCTION("""COMPUTED_VALUE"""),"Etaphosphate")</f>
        <v>Etaphosphate</v>
      </c>
    </row>
    <row r="3862">
      <c r="A3862" s="41" t="str">
        <f>IFERROR(__xludf.DUMMYFUNCTION("""COMPUTED_VALUE"""),"RSC003871")</f>
        <v>RSC003871</v>
      </c>
      <c r="B3862" s="41" t="str">
        <f>IFERROR(__xludf.DUMMYFUNCTION("""COMPUTED_VALUE"""),"ManoftheAuer")</f>
        <v>ManoftheAuer</v>
      </c>
    </row>
    <row r="3863">
      <c r="A3863" s="41" t="str">
        <f>IFERROR(__xludf.DUMMYFUNCTION("""COMPUTED_VALUE"""),"RSC003872")</f>
        <v>RSC003872</v>
      </c>
      <c r="B3863" s="41" t="str">
        <f>IFERROR(__xludf.DUMMYFUNCTION("""COMPUTED_VALUE"""),"vonaey")</f>
        <v>vonaey</v>
      </c>
    </row>
    <row r="3864">
      <c r="A3864" s="41" t="str">
        <f>IFERROR(__xludf.DUMMYFUNCTION("""COMPUTED_VALUE"""),"RSC003873")</f>
        <v>RSC003873</v>
      </c>
      <c r="B3864" s="41" t="str">
        <f>IFERROR(__xludf.DUMMYFUNCTION("""COMPUTED_VALUE"""),"fizzle")</f>
        <v>fizzle</v>
      </c>
    </row>
    <row r="3865">
      <c r="A3865" s="41" t="str">
        <f>IFERROR(__xludf.DUMMYFUNCTION("""COMPUTED_VALUE"""),"RSC003874")</f>
        <v>RSC003874</v>
      </c>
      <c r="B3865" s="41" t="str">
        <f>IFERROR(__xludf.DUMMYFUNCTION("""COMPUTED_VALUE"""),"ZEUS")</f>
        <v>ZEUS</v>
      </c>
    </row>
    <row r="3866">
      <c r="A3866" s="41" t="str">
        <f>IFERROR(__xludf.DUMMYFUNCTION("""COMPUTED_VALUE"""),"RSC003875")</f>
        <v>RSC003875</v>
      </c>
      <c r="B3866" s="41" t="str">
        <f>IFERROR(__xludf.DUMMYFUNCTION("""COMPUTED_VALUE"""),"proboy")</f>
        <v>proboy</v>
      </c>
    </row>
    <row r="3867">
      <c r="A3867" s="41" t="str">
        <f>IFERROR(__xludf.DUMMYFUNCTION("""COMPUTED_VALUE"""),"RSC003876")</f>
        <v>RSC003876</v>
      </c>
      <c r="B3867" s="41" t="str">
        <f>IFERROR(__xludf.DUMMYFUNCTION("""COMPUTED_VALUE"""),"Phteven")</f>
        <v>Phteven</v>
      </c>
    </row>
    <row r="3868">
      <c r="A3868" s="41" t="str">
        <f>IFERROR(__xludf.DUMMYFUNCTION("""COMPUTED_VALUE"""),"RSC003877")</f>
        <v>RSC003877</v>
      </c>
      <c r="B3868" s="41" t="str">
        <f>IFERROR(__xludf.DUMMYFUNCTION("""COMPUTED_VALUE"""),"Haywire")</f>
        <v>Haywire</v>
      </c>
    </row>
    <row r="3869">
      <c r="A3869" s="41" t="str">
        <f>IFERROR(__xludf.DUMMYFUNCTION("""COMPUTED_VALUE"""),"RSC003878")</f>
        <v>RSC003878</v>
      </c>
      <c r="B3869" s="41" t="str">
        <f>IFERROR(__xludf.DUMMYFUNCTION("""COMPUTED_VALUE"""),"Tenzin")</f>
        <v>Tenzin</v>
      </c>
    </row>
    <row r="3870">
      <c r="A3870" s="41" t="str">
        <f>IFERROR(__xludf.DUMMYFUNCTION("""COMPUTED_VALUE"""),"RSC003879")</f>
        <v>RSC003879</v>
      </c>
      <c r="B3870" s="41" t="str">
        <f>IFERROR(__xludf.DUMMYFUNCTION("""COMPUTED_VALUE"""),"MuskokanWarrior")</f>
        <v>MuskokanWarrior</v>
      </c>
    </row>
    <row r="3871">
      <c r="A3871" s="41" t="str">
        <f>IFERROR(__xludf.DUMMYFUNCTION("""COMPUTED_VALUE"""),"RSC003880")</f>
        <v>RSC003880</v>
      </c>
      <c r="B3871" s="41" t="str">
        <f>IFERROR(__xludf.DUMMYFUNCTION("""COMPUTED_VALUE"""),"dumby")</f>
        <v>dumby</v>
      </c>
    </row>
    <row r="3872">
      <c r="A3872" s="41" t="str">
        <f>IFERROR(__xludf.DUMMYFUNCTION("""COMPUTED_VALUE"""),"RSC003881")</f>
        <v>RSC003881</v>
      </c>
      <c r="B3872" s="41" t="str">
        <f>IFERROR(__xludf.DUMMYFUNCTION("""COMPUTED_VALUE"""),"B Plus")</f>
        <v>B Plus</v>
      </c>
    </row>
    <row r="3873">
      <c r="A3873" s="41" t="str">
        <f>IFERROR(__xludf.DUMMYFUNCTION("""COMPUTED_VALUE"""),"RSC003882")</f>
        <v>RSC003882</v>
      </c>
      <c r="B3873" s="41" t="str">
        <f>IFERROR(__xludf.DUMMYFUNCTION("""COMPUTED_VALUE"""),"Alex")</f>
        <v>Alex</v>
      </c>
    </row>
    <row r="3874">
      <c r="A3874" s="41" t="str">
        <f>IFERROR(__xludf.DUMMYFUNCTION("""COMPUTED_VALUE"""),"RSC003883")</f>
        <v>RSC003883</v>
      </c>
      <c r="B3874" s="41" t="str">
        <f>IFERROR(__xludf.DUMMYFUNCTION("""COMPUTED_VALUE"""),"Yaboi LilV")</f>
        <v>Yaboi LilV</v>
      </c>
    </row>
    <row r="3875">
      <c r="A3875" s="41" t="str">
        <f>IFERROR(__xludf.DUMMYFUNCTION("""COMPUTED_VALUE"""),"RSC003884")</f>
        <v>RSC003884</v>
      </c>
      <c r="B3875" s="41" t="str">
        <f>IFERROR(__xludf.DUMMYFUNCTION("""COMPUTED_VALUE"""),"wkyle")</f>
        <v>wkyle</v>
      </c>
    </row>
    <row r="3876">
      <c r="A3876" s="41" t="str">
        <f>IFERROR(__xludf.DUMMYFUNCTION("""COMPUTED_VALUE"""),"RSC003885")</f>
        <v>RSC003885</v>
      </c>
      <c r="B3876" s="41" t="str">
        <f>IFERROR(__xludf.DUMMYFUNCTION("""COMPUTED_VALUE"""),"PloofoTheBot")</f>
        <v>PloofoTheBot</v>
      </c>
    </row>
    <row r="3877">
      <c r="A3877" s="41" t="str">
        <f>IFERROR(__xludf.DUMMYFUNCTION("""COMPUTED_VALUE"""),"RSC003886")</f>
        <v>RSC003886</v>
      </c>
      <c r="B3877" s="41" t="str">
        <f>IFERROR(__xludf.DUMMYFUNCTION("""COMPUTED_VALUE"""),"Bobby Dangler.")</f>
        <v>Bobby Dangler.</v>
      </c>
    </row>
    <row r="3878">
      <c r="A3878" s="41" t="str">
        <f>IFERROR(__xludf.DUMMYFUNCTION("""COMPUTED_VALUE"""),"RSC003887")</f>
        <v>RSC003887</v>
      </c>
      <c r="B3878" s="41" t="str">
        <f>IFERROR(__xludf.DUMMYFUNCTION("""COMPUTED_VALUE"""),"Cundy")</f>
        <v>Cundy</v>
      </c>
    </row>
    <row r="3879">
      <c r="A3879" s="41" t="str">
        <f>IFERROR(__xludf.DUMMYFUNCTION("""COMPUTED_VALUE"""),"RSC003888")</f>
        <v>RSC003888</v>
      </c>
      <c r="B3879" s="41" t="str">
        <f>IFERROR(__xludf.DUMMYFUNCTION("""COMPUTED_VALUE"""),"ReedyOrange")</f>
        <v>ReedyOrange</v>
      </c>
    </row>
    <row r="3880">
      <c r="A3880" s="41" t="str">
        <f>IFERROR(__xludf.DUMMYFUNCTION("""COMPUTED_VALUE"""),"RSC003889")</f>
        <v>RSC003889</v>
      </c>
      <c r="B3880" s="41" t="str">
        <f>IFERROR(__xludf.DUMMYFUNCTION("""COMPUTED_VALUE"""),"T.Reyes TV")</f>
        <v>T.Reyes TV</v>
      </c>
    </row>
    <row r="3881">
      <c r="A3881" s="41" t="str">
        <f>IFERROR(__xludf.DUMMYFUNCTION("""COMPUTED_VALUE"""),"RSC003890")</f>
        <v>RSC003890</v>
      </c>
      <c r="B3881" s="41" t="str">
        <f>IFERROR(__xludf.DUMMYFUNCTION("""COMPUTED_VALUE"""),"Bigmoney238237")</f>
        <v>Bigmoney238237</v>
      </c>
    </row>
    <row r="3882">
      <c r="A3882" s="41" t="str">
        <f>IFERROR(__xludf.DUMMYFUNCTION("""COMPUTED_VALUE"""),"RSC003891")</f>
        <v>RSC003891</v>
      </c>
      <c r="B3882" s="41" t="str">
        <f>IFERROR(__xludf.DUMMYFUNCTION("""COMPUTED_VALUE"""),"CAPTAIN MAL_989")</f>
        <v>CAPTAIN MAL_989</v>
      </c>
    </row>
    <row r="3883">
      <c r="A3883" s="41" t="str">
        <f>IFERROR(__xludf.DUMMYFUNCTION("""COMPUTED_VALUE"""),"RSC003892")</f>
        <v>RSC003892</v>
      </c>
      <c r="B3883" s="41" t="str">
        <f>IFERROR(__xludf.DUMMYFUNCTION("""COMPUTED_VALUE"""),"Treezy")</f>
        <v>Treezy</v>
      </c>
    </row>
    <row r="3884">
      <c r="A3884" s="41" t="str">
        <f>IFERROR(__xludf.DUMMYFUNCTION("""COMPUTED_VALUE"""),"RSC003893")</f>
        <v>RSC003893</v>
      </c>
      <c r="B3884" s="41" t="str">
        <f>IFERROR(__xludf.DUMMYFUNCTION("""COMPUTED_VALUE"""),"Pr3v3gAz313")</f>
        <v>Pr3v3gAz313</v>
      </c>
    </row>
    <row r="3885">
      <c r="A3885" s="41" t="str">
        <f>IFERROR(__xludf.DUMMYFUNCTION("""COMPUTED_VALUE"""),"RSC003894")</f>
        <v>RSC003894</v>
      </c>
      <c r="B3885" s="41" t="str">
        <f>IFERROR(__xludf.DUMMYFUNCTION("""COMPUTED_VALUE"""),"Feener")</f>
        <v>Feener</v>
      </c>
    </row>
    <row r="3886">
      <c r="A3886" s="41" t="str">
        <f>IFERROR(__xludf.DUMMYFUNCTION("""COMPUTED_VALUE"""),"RSC003895")</f>
        <v>RSC003895</v>
      </c>
      <c r="B3886" s="41" t="str">
        <f>IFERROR(__xludf.DUMMYFUNCTION("""COMPUTED_VALUE"""),"GGA Astro")</f>
        <v>GGA Astro</v>
      </c>
    </row>
    <row r="3887">
      <c r="A3887" s="41" t="str">
        <f>IFERROR(__xludf.DUMMYFUNCTION("""COMPUTED_VALUE"""),"RSC003896")</f>
        <v>RSC003896</v>
      </c>
      <c r="B3887" s="41" t="str">
        <f>IFERROR(__xludf.DUMMYFUNCTION("""COMPUTED_VALUE"""),"TheHazzard1993")</f>
        <v>TheHazzard1993</v>
      </c>
    </row>
    <row r="3888">
      <c r="A3888" s="41" t="str">
        <f>IFERROR(__xludf.DUMMYFUNCTION("""COMPUTED_VALUE"""),"RSC003897")</f>
        <v>RSC003897</v>
      </c>
      <c r="B3888" s="41" t="str">
        <f>IFERROR(__xludf.DUMMYFUNCTION("""COMPUTED_VALUE"""),"HalfieHour")</f>
        <v>HalfieHour</v>
      </c>
    </row>
    <row r="3889">
      <c r="A3889" s="41" t="str">
        <f>IFERROR(__xludf.DUMMYFUNCTION("""COMPUTED_VALUE"""),"RSC003898")</f>
        <v>RSC003898</v>
      </c>
      <c r="B3889" s="41" t="str">
        <f>IFERROR(__xludf.DUMMYFUNCTION("""COMPUTED_VALUE"""),"Brink")</f>
        <v>Brink</v>
      </c>
    </row>
    <row r="3890">
      <c r="A3890" s="41" t="str">
        <f>IFERROR(__xludf.DUMMYFUNCTION("""COMPUTED_VALUE"""),"RSC003899")</f>
        <v>RSC003899</v>
      </c>
      <c r="B3890" s="41" t="str">
        <f>IFERROR(__xludf.DUMMYFUNCTION("""COMPUTED_VALUE"""),"Clear lacked")</f>
        <v>Clear lacked</v>
      </c>
    </row>
    <row r="3891">
      <c r="A3891" s="41" t="str">
        <f>IFERROR(__xludf.DUMMYFUNCTION("""COMPUTED_VALUE"""),"RSC003900")</f>
        <v>RSC003900</v>
      </c>
      <c r="B3891" s="41" t="str">
        <f>IFERROR(__xludf.DUMMYFUNCTION("""COMPUTED_VALUE"""),"Tryhard goblin")</f>
        <v>Tryhard goblin</v>
      </c>
    </row>
    <row r="3892">
      <c r="A3892" s="41" t="str">
        <f>IFERROR(__xludf.DUMMYFUNCTION("""COMPUTED_VALUE"""),"RSC003901")</f>
        <v>RSC003901</v>
      </c>
      <c r="B3892" s="41" t="str">
        <f>IFERROR(__xludf.DUMMYFUNCTION("""COMPUTED_VALUE"""),"Zomby061")</f>
        <v>Zomby061</v>
      </c>
    </row>
    <row r="3893">
      <c r="A3893" s="41" t="str">
        <f>IFERROR(__xludf.DUMMYFUNCTION("""COMPUTED_VALUE"""),"RSC003902")</f>
        <v>RSC003902</v>
      </c>
      <c r="B3893" s="41" t="str">
        <f>IFERROR(__xludf.DUMMYFUNCTION("""COMPUTED_VALUE"""),"schmetter")</f>
        <v>schmetter</v>
      </c>
    </row>
    <row r="3894">
      <c r="A3894" s="41" t="str">
        <f>IFERROR(__xludf.DUMMYFUNCTION("""COMPUTED_VALUE"""),"RSC003903")</f>
        <v>RSC003903</v>
      </c>
      <c r="B3894" s="41" t="str">
        <f>IFERROR(__xludf.DUMMYFUNCTION("""COMPUTED_VALUE"""),"da_original_ooga")</f>
        <v>da_original_ooga</v>
      </c>
    </row>
    <row r="3895">
      <c r="A3895" s="41" t="str">
        <f>IFERROR(__xludf.DUMMYFUNCTION("""COMPUTED_VALUE"""),"RSC003904")</f>
        <v>RSC003904</v>
      </c>
      <c r="B3895" s="41" t="str">
        <f>IFERROR(__xludf.DUMMYFUNCTION("""COMPUTED_VALUE"""),"Tyyphoon454")</f>
        <v>Tyyphoon454</v>
      </c>
    </row>
    <row r="3896">
      <c r="A3896" s="41" t="str">
        <f>IFERROR(__xludf.DUMMYFUNCTION("""COMPUTED_VALUE"""),"RSC003905")</f>
        <v>RSC003905</v>
      </c>
      <c r="B3896" s="41" t="str">
        <f>IFERROR(__xludf.DUMMYFUNCTION("""COMPUTED_VALUE"""),"Xeia")</f>
        <v>Xeia</v>
      </c>
    </row>
    <row r="3897">
      <c r="A3897" s="41" t="str">
        <f>IFERROR(__xludf.DUMMYFUNCTION("""COMPUTED_VALUE"""),"RSC003906")</f>
        <v>RSC003906</v>
      </c>
      <c r="B3897" s="41" t="str">
        <f>IFERROR(__xludf.DUMMYFUNCTION("""COMPUTED_VALUE"""),"CURS3D")</f>
        <v>CURS3D</v>
      </c>
    </row>
    <row r="3898">
      <c r="A3898" s="41" t="str">
        <f>IFERROR(__xludf.DUMMYFUNCTION("""COMPUTED_VALUE"""),"RSC003907")</f>
        <v>RSC003907</v>
      </c>
      <c r="B3898" s="41" t="str">
        <f>IFERROR(__xludf.DUMMYFUNCTION("""COMPUTED_VALUE"""),"Capone (old)")</f>
        <v>Capone (old)</v>
      </c>
    </row>
    <row r="3899">
      <c r="A3899" s="41" t="str">
        <f>IFERROR(__xludf.DUMMYFUNCTION("""COMPUTED_VALUE"""),"RSC003909")</f>
        <v>RSC003909</v>
      </c>
      <c r="B3899" s="41" t="str">
        <f>IFERROR(__xludf.DUMMYFUNCTION("""COMPUTED_VALUE"""),"Agrotyrex")</f>
        <v>Agrotyrex</v>
      </c>
    </row>
    <row r="3900">
      <c r="A3900" s="41" t="str">
        <f>IFERROR(__xludf.DUMMYFUNCTION("""COMPUTED_VALUE"""),"RSC003910")</f>
        <v>RSC003910</v>
      </c>
      <c r="B3900" s="41" t="str">
        <f>IFERROR(__xludf.DUMMYFUNCTION("""COMPUTED_VALUE"""),"Pinji. †")</f>
        <v>Pinji. †</v>
      </c>
    </row>
    <row r="3901">
      <c r="A3901" s="41" t="str">
        <f>IFERROR(__xludf.DUMMYFUNCTION("""COMPUTED_VALUE"""),"RSC003911")</f>
        <v>RSC003911</v>
      </c>
      <c r="B3901" s="41" t="str">
        <f>IFERROR(__xludf.DUMMYFUNCTION("""COMPUTED_VALUE"""),"Apollo+")</f>
        <v>Apollo+</v>
      </c>
    </row>
    <row r="3902">
      <c r="A3902" s="41" t="str">
        <f>IFERROR(__xludf.DUMMYFUNCTION("""COMPUTED_VALUE"""),"RSC003912")</f>
        <v>RSC003912</v>
      </c>
      <c r="B3902" s="41" t="str">
        <f>IFERROR(__xludf.DUMMYFUNCTION("""COMPUTED_VALUE"""),"ItsJustSticky.")</f>
        <v>ItsJustSticky.</v>
      </c>
    </row>
    <row r="3903">
      <c r="A3903" s="41" t="str">
        <f>IFERROR(__xludf.DUMMYFUNCTION("""COMPUTED_VALUE"""),"RSC003913")</f>
        <v>RSC003913</v>
      </c>
      <c r="B3903" s="41" t="str">
        <f>IFERROR(__xludf.DUMMYFUNCTION("""COMPUTED_VALUE"""),"Rising Habile")</f>
        <v>Rising Habile</v>
      </c>
    </row>
    <row r="3904">
      <c r="A3904" s="41" t="str">
        <f>IFERROR(__xludf.DUMMYFUNCTION("""COMPUTED_VALUE"""),"RSC003914")</f>
        <v>RSC003914</v>
      </c>
      <c r="B3904" s="41" t="str">
        <f>IFERROR(__xludf.DUMMYFUNCTION("""COMPUTED_VALUE"""),"Bullseye")</f>
        <v>Bullseye</v>
      </c>
    </row>
    <row r="3905">
      <c r="A3905" s="41" t="str">
        <f>IFERROR(__xludf.DUMMYFUNCTION("""COMPUTED_VALUE"""),"RSC003915")</f>
        <v>RSC003915</v>
      </c>
      <c r="B3905" s="41" t="str">
        <f>IFERROR(__xludf.DUMMYFUNCTION("""COMPUTED_VALUE"""),"LamLoc")</f>
        <v>LamLoc</v>
      </c>
    </row>
    <row r="3906">
      <c r="A3906" s="41" t="str">
        <f>IFERROR(__xludf.DUMMYFUNCTION("""COMPUTED_VALUE"""),"RSC003916")</f>
        <v>RSC003916</v>
      </c>
      <c r="B3906" s="41" t="str">
        <f>IFERROR(__xludf.DUMMYFUNCTION("""COMPUTED_VALUE"""),"grob._.")</f>
        <v>grob._.</v>
      </c>
    </row>
    <row r="3907">
      <c r="A3907" s="41" t="str">
        <f>IFERROR(__xludf.DUMMYFUNCTION("""COMPUTED_VALUE"""),"RSC003917")</f>
        <v>RSC003917</v>
      </c>
      <c r="B3907" s="41" t="str">
        <f>IFERROR(__xludf.DUMMYFUNCTION("""COMPUTED_VALUE"""),"NowFIVEInches55")</f>
        <v>NowFIVEInches55</v>
      </c>
    </row>
    <row r="3908">
      <c r="A3908" s="41" t="str">
        <f>IFERROR(__xludf.DUMMYFUNCTION("""COMPUTED_VALUE"""),"RSC003918")</f>
        <v>RSC003918</v>
      </c>
      <c r="B3908" s="41" t="str">
        <f>IFERROR(__xludf.DUMMYFUNCTION("""COMPUTED_VALUE"""),"J_Krue")</f>
        <v>J_Krue</v>
      </c>
    </row>
    <row r="3909">
      <c r="A3909" s="41" t="str">
        <f>IFERROR(__xludf.DUMMYFUNCTION("""COMPUTED_VALUE"""),"RSC003919")</f>
        <v>RSC003919</v>
      </c>
      <c r="B3909" s="41" t="str">
        <f>IFERROR(__xludf.DUMMYFUNCTION("""COMPUTED_VALUE"""),"YaBoiJeans")</f>
        <v>YaBoiJeans</v>
      </c>
    </row>
    <row r="3910">
      <c r="A3910" s="41" t="str">
        <f>IFERROR(__xludf.DUMMYFUNCTION("""COMPUTED_VALUE"""),"RSC003920")</f>
        <v>RSC003920</v>
      </c>
      <c r="B3910" s="41" t="str">
        <f>IFERROR(__xludf.DUMMYFUNCTION("""COMPUTED_VALUE"""),"footballtf24")</f>
        <v>footballtf24</v>
      </c>
    </row>
    <row r="3911">
      <c r="A3911" s="41" t="str">
        <f>IFERROR(__xludf.DUMMYFUNCTION("""COMPUTED_VALUE"""),"RSC003921")</f>
        <v>RSC003921</v>
      </c>
      <c r="B3911" s="41" t="str">
        <f>IFERROR(__xludf.DUMMYFUNCTION("""COMPUTED_VALUE"""),"dex")</f>
        <v>dex</v>
      </c>
    </row>
    <row r="3912">
      <c r="A3912" s="41" t="str">
        <f>IFERROR(__xludf.DUMMYFUNCTION("""COMPUTED_VALUE"""),"RSC003922")</f>
        <v>RSC003922</v>
      </c>
      <c r="B3912" s="41" t="str">
        <f>IFERROR(__xludf.DUMMYFUNCTION("""COMPUTED_VALUE"""),"Jerry4L")</f>
        <v>Jerry4L</v>
      </c>
    </row>
    <row r="3913">
      <c r="A3913" s="41" t="str">
        <f>IFERROR(__xludf.DUMMYFUNCTION("""COMPUTED_VALUE"""),"RSC003923")</f>
        <v>RSC003923</v>
      </c>
      <c r="B3913" s="41" t="str">
        <f>IFERROR(__xludf.DUMMYFUNCTION("""COMPUTED_VALUE"""),"chocolatedrop16")</f>
        <v>chocolatedrop16</v>
      </c>
    </row>
    <row r="3914">
      <c r="A3914" s="41" t="str">
        <f>IFERROR(__xludf.DUMMYFUNCTION("""COMPUTED_VALUE"""),"RSC003924")</f>
        <v>RSC003924</v>
      </c>
      <c r="B3914" s="41" t="str">
        <f>IFERROR(__xludf.DUMMYFUNCTION("""COMPUTED_VALUE"""),"HardInPAINT2")</f>
        <v>HardInPAINT2</v>
      </c>
    </row>
    <row r="3915">
      <c r="A3915" s="41" t="str">
        <f>IFERROR(__xludf.DUMMYFUNCTION("""COMPUTED_VALUE"""),"RSC003925")</f>
        <v>RSC003925</v>
      </c>
      <c r="B3915" s="41" t="str">
        <f>IFERROR(__xludf.DUMMYFUNCTION("""COMPUTED_VALUE"""),"ChrisWithaK")</f>
        <v>ChrisWithaK</v>
      </c>
    </row>
    <row r="3916">
      <c r="A3916" s="41" t="str">
        <f>IFERROR(__xludf.DUMMYFUNCTION("""COMPUTED_VALUE"""),"RSC003926")</f>
        <v>RSC003926</v>
      </c>
      <c r="B3916" s="41" t="str">
        <f>IFERROR(__xludf.DUMMYFUNCTION("""COMPUTED_VALUE"""),"Just 1 Jo")</f>
        <v>Just 1 Jo</v>
      </c>
    </row>
    <row r="3917">
      <c r="A3917" s="41" t="str">
        <f>IFERROR(__xludf.DUMMYFUNCTION("""COMPUTED_VALUE"""),"RSC003927")</f>
        <v>RSC003927</v>
      </c>
      <c r="B3917" s="41" t="str">
        <f>IFERROR(__xludf.DUMMYFUNCTION("""COMPUTED_VALUE"""),"ZacRyu-Senpaii")</f>
        <v>ZacRyu-Senpaii</v>
      </c>
    </row>
    <row r="3918">
      <c r="A3918" s="41" t="str">
        <f>IFERROR(__xludf.DUMMYFUNCTION("""COMPUTED_VALUE"""),"RSC003928")</f>
        <v>RSC003928</v>
      </c>
      <c r="B3918" s="41" t="str">
        <f>IFERROR(__xludf.DUMMYFUNCTION("""COMPUTED_VALUE"""),"trevey.")</f>
        <v>trevey.</v>
      </c>
    </row>
    <row r="3919">
      <c r="A3919" s="41" t="str">
        <f>IFERROR(__xludf.DUMMYFUNCTION("""COMPUTED_VALUE"""),"RSC003929")</f>
        <v>RSC003929</v>
      </c>
      <c r="B3919" s="41" t="str">
        <f>IFERROR(__xludf.DUMMYFUNCTION("""COMPUTED_VALUE"""),"WhovianCat")</f>
        <v>WhovianCat</v>
      </c>
    </row>
    <row r="3920">
      <c r="A3920" s="41" t="str">
        <f>IFERROR(__xludf.DUMMYFUNCTION("""COMPUTED_VALUE"""),"RSC003930")</f>
        <v>RSC003930</v>
      </c>
      <c r="B3920" s="41" t="str">
        <f>IFERROR(__xludf.DUMMYFUNCTION("""COMPUTED_VALUE"""),"Raccoon")</f>
        <v>Raccoon</v>
      </c>
    </row>
    <row r="3921">
      <c r="A3921" s="41" t="str">
        <f>IFERROR(__xludf.DUMMYFUNCTION("""COMPUTED_VALUE"""),"RSC003931")</f>
        <v>RSC003931</v>
      </c>
      <c r="B3921" s="41" t="str">
        <f>IFERROR(__xludf.DUMMYFUNCTION("""COMPUTED_VALUE"""),"Phobo27")</f>
        <v>Phobo27</v>
      </c>
    </row>
    <row r="3922">
      <c r="A3922" s="41" t="str">
        <f>IFERROR(__xludf.DUMMYFUNCTION("""COMPUTED_VALUE"""),"RSC003932")</f>
        <v>RSC003932</v>
      </c>
      <c r="B3922" s="41" t="str">
        <f>IFERROR(__xludf.DUMMYFUNCTION("""COMPUTED_VALUE"""),"TTVmrredfalcon")</f>
        <v>TTVmrredfalcon</v>
      </c>
    </row>
    <row r="3923">
      <c r="A3923" s="41" t="str">
        <f>IFERROR(__xludf.DUMMYFUNCTION("""COMPUTED_VALUE"""),"RSC003933")</f>
        <v>RSC003933</v>
      </c>
      <c r="B3923" s="41" t="str">
        <f>IFERROR(__xludf.DUMMYFUNCTION("""COMPUTED_VALUE"""),"B3TM")</f>
        <v>B3TM</v>
      </c>
    </row>
    <row r="3924">
      <c r="A3924" s="41" t="str">
        <f>IFERROR(__xludf.DUMMYFUNCTION("""COMPUTED_VALUE"""),"RSC003934")</f>
        <v>RSC003934</v>
      </c>
      <c r="B3924" s="41" t="str">
        <f>IFERROR(__xludf.DUMMYFUNCTION("""COMPUTED_VALUE"""),"7CG | DGHermes")</f>
        <v>7CG | DGHermes</v>
      </c>
    </row>
    <row r="3925">
      <c r="A3925" s="41" t="str">
        <f>IFERROR(__xludf.DUMMYFUNCTION("""COMPUTED_VALUE"""),"RSC003935")</f>
        <v>RSC003935</v>
      </c>
      <c r="B3925" s="41" t="str">
        <f>IFERROR(__xludf.DUMMYFUNCTION("""COMPUTED_VALUE"""),"Banshee")</f>
        <v>Banshee</v>
      </c>
    </row>
    <row r="3926">
      <c r="A3926" s="41" t="str">
        <f>IFERROR(__xludf.DUMMYFUNCTION("""COMPUTED_VALUE"""),"RSC003936")</f>
        <v>RSC003936</v>
      </c>
      <c r="B3926" s="41" t="str">
        <f>IFERROR(__xludf.DUMMYFUNCTION("""COMPUTED_VALUE"""),"Slim Tweaker")</f>
        <v>Slim Tweaker</v>
      </c>
    </row>
    <row r="3927">
      <c r="A3927" s="41" t="str">
        <f>IFERROR(__xludf.DUMMYFUNCTION("""COMPUTED_VALUE"""),"RSC003937")</f>
        <v>RSC003937</v>
      </c>
      <c r="B3927" s="41" t="str">
        <f>IFERROR(__xludf.DUMMYFUNCTION("""COMPUTED_VALUE"""),"kindaspace3486")</f>
        <v>kindaspace3486</v>
      </c>
    </row>
    <row r="3928">
      <c r="A3928" s="41" t="str">
        <f>IFERROR(__xludf.DUMMYFUNCTION("""COMPUTED_VALUE"""),"RSC003938")</f>
        <v>RSC003938</v>
      </c>
      <c r="B3928" s="41" t="str">
        <f>IFERROR(__xludf.DUMMYFUNCTION("""COMPUTED_VALUE"""),"a plebby pled")</f>
        <v>a plebby pled</v>
      </c>
    </row>
    <row r="3929">
      <c r="A3929" s="41" t="str">
        <f>IFERROR(__xludf.DUMMYFUNCTION("""COMPUTED_VALUE"""),"RSC003939")</f>
        <v>RSC003939</v>
      </c>
      <c r="B3929" s="41" t="str">
        <f>IFERROR(__xludf.DUMMYFUNCTION("""COMPUTED_VALUE"""),"Literally")</f>
        <v>Literally</v>
      </c>
    </row>
    <row r="3930">
      <c r="A3930" s="41" t="str">
        <f>IFERROR(__xludf.DUMMYFUNCTION("""COMPUTED_VALUE"""),"RSC003940")</f>
        <v>RSC003940</v>
      </c>
      <c r="B3930" s="41" t="str">
        <f>IFERROR(__xludf.DUMMYFUNCTION("""COMPUTED_VALUE"""),"Peke")</f>
        <v>Peke</v>
      </c>
    </row>
    <row r="3931">
      <c r="A3931" s="41" t="str">
        <f>IFERROR(__xludf.DUMMYFUNCTION("""COMPUTED_VALUE"""),"RSC003941")</f>
        <v>RSC003941</v>
      </c>
      <c r="B3931" s="41" t="str">
        <f>IFERROR(__xludf.DUMMYFUNCTION("""COMPUTED_VALUE"""),"Jdubs4545")</f>
        <v>Jdubs4545</v>
      </c>
    </row>
    <row r="3932">
      <c r="A3932" s="41" t="str">
        <f>IFERROR(__xludf.DUMMYFUNCTION("""COMPUTED_VALUE"""),"RSC003942")</f>
        <v>RSC003942</v>
      </c>
      <c r="B3932" s="41" t="str">
        <f>IFERROR(__xludf.DUMMYFUNCTION("""COMPUTED_VALUE"""),"yerrrrr")</f>
        <v>yerrrrr</v>
      </c>
    </row>
    <row r="3933">
      <c r="A3933" s="41" t="str">
        <f>IFERROR(__xludf.DUMMYFUNCTION("""COMPUTED_VALUE"""),"RSC003943")</f>
        <v>RSC003943</v>
      </c>
      <c r="B3933" s="41" t="str">
        <f>IFERROR(__xludf.DUMMYFUNCTION("""COMPUTED_VALUE"""),"ToastyTrap96")</f>
        <v>ToastyTrap96</v>
      </c>
    </row>
    <row r="3934">
      <c r="A3934" s="41" t="str">
        <f>IFERROR(__xludf.DUMMYFUNCTION("""COMPUTED_VALUE"""),"RSC003944")</f>
        <v>RSC003944</v>
      </c>
      <c r="B3934" s="41" t="str">
        <f>IFERROR(__xludf.DUMMYFUNCTION("""COMPUTED_VALUE"""),"Kevy Westside")</f>
        <v>Kevy Westside</v>
      </c>
    </row>
    <row r="3935">
      <c r="A3935" s="41" t="str">
        <f>IFERROR(__xludf.DUMMYFUNCTION("""COMPUTED_VALUE"""),"RSC003945")</f>
        <v>RSC003945</v>
      </c>
      <c r="B3935" s="41" t="str">
        <f>IFERROR(__xludf.DUMMYFUNCTION("""COMPUTED_VALUE"""),"Gaw1f3d")</f>
        <v>Gaw1f3d</v>
      </c>
    </row>
    <row r="3936">
      <c r="A3936" s="41" t="str">
        <f>IFERROR(__xludf.DUMMYFUNCTION("""COMPUTED_VALUE"""),"RSC003946")</f>
        <v>RSC003946</v>
      </c>
      <c r="B3936" s="41" t="str">
        <f>IFERROR(__xludf.DUMMYFUNCTION("""COMPUTED_VALUE"""),"Dutr.")</f>
        <v>Dutr.</v>
      </c>
    </row>
    <row r="3937">
      <c r="A3937" s="41" t="str">
        <f>IFERROR(__xludf.DUMMYFUNCTION("""COMPUTED_VALUE"""),"RSC003947")</f>
        <v>RSC003947</v>
      </c>
      <c r="B3937" s="41" t="str">
        <f>IFERROR(__xludf.DUMMYFUNCTION("""COMPUTED_VALUE"""),"PPinkPantherr")</f>
        <v>PPinkPantherr</v>
      </c>
    </row>
    <row r="3938">
      <c r="A3938" s="41" t="str">
        <f>IFERROR(__xludf.DUMMYFUNCTION("""COMPUTED_VALUE"""),"RSC003948")</f>
        <v>RSC003948</v>
      </c>
      <c r="B3938" s="41" t="str">
        <f>IFERROR(__xludf.DUMMYFUNCTION("""COMPUTED_VALUE"""),"THE_EVIL_TACO_")</f>
        <v>THE_EVIL_TACO_</v>
      </c>
    </row>
    <row r="3939">
      <c r="A3939" s="41" t="str">
        <f>IFERROR(__xludf.DUMMYFUNCTION("""COMPUTED_VALUE"""),"RSC003949")</f>
        <v>RSC003949</v>
      </c>
      <c r="B3939" s="41" t="str">
        <f>IFERROR(__xludf.DUMMYFUNCTION("""COMPUTED_VALUE"""),"Slomo")</f>
        <v>Slomo</v>
      </c>
    </row>
    <row r="3940">
      <c r="A3940" s="41" t="str">
        <f>IFERROR(__xludf.DUMMYFUNCTION("""COMPUTED_VALUE"""),"RSC003950")</f>
        <v>RSC003950</v>
      </c>
      <c r="B3940" s="41" t="str">
        <f>IFERROR(__xludf.DUMMYFUNCTION("""COMPUTED_VALUE"""),"ymcmbubel")</f>
        <v>ymcmbubel</v>
      </c>
    </row>
    <row r="3941">
      <c r="A3941" s="41" t="str">
        <f>IFERROR(__xludf.DUMMYFUNCTION("""COMPUTED_VALUE"""),"RSC003951")</f>
        <v>RSC003951</v>
      </c>
      <c r="B3941" s="41" t="str">
        <f>IFERROR(__xludf.DUMMYFUNCTION("""COMPUTED_VALUE"""),"Haos")</f>
        <v>Haos</v>
      </c>
    </row>
    <row r="3942">
      <c r="A3942" s="41" t="str">
        <f>IFERROR(__xludf.DUMMYFUNCTION("""COMPUTED_VALUE"""),"RSC003952")</f>
        <v>RSC003952</v>
      </c>
      <c r="B3942" s="41" t="str">
        <f>IFERROR(__xludf.DUMMYFUNCTION("""COMPUTED_VALUE"""),"Trap")</f>
        <v>Trap</v>
      </c>
    </row>
    <row r="3943">
      <c r="A3943" s="41" t="str">
        <f>IFERROR(__xludf.DUMMYFUNCTION("""COMPUTED_VALUE"""),"RSC003953")</f>
        <v>RSC003953</v>
      </c>
      <c r="B3943" s="41" t="str">
        <f>IFERROR(__xludf.DUMMYFUNCTION("""COMPUTED_VALUE"""),"JustHere4SalCap")</f>
        <v>JustHere4SalCap</v>
      </c>
    </row>
    <row r="3944">
      <c r="A3944" s="41" t="str">
        <f>IFERROR(__xludf.DUMMYFUNCTION("""COMPUTED_VALUE"""),"RSC003954")</f>
        <v>RSC003954</v>
      </c>
      <c r="B3944" s="41" t="str">
        <f>IFERROR(__xludf.DUMMYFUNCTION("""COMPUTED_VALUE"""),"•Spartan•")</f>
        <v>•Spartan•</v>
      </c>
    </row>
    <row r="3945">
      <c r="A3945" s="41" t="str">
        <f>IFERROR(__xludf.DUMMYFUNCTION("""COMPUTED_VALUE"""),"RSC003955")</f>
        <v>RSC003955</v>
      </c>
      <c r="B3945" s="41" t="str">
        <f>IFERROR(__xludf.DUMMYFUNCTION("""COMPUTED_VALUE"""),"El_Lethal_Llama")</f>
        <v>El_Lethal_Llama</v>
      </c>
    </row>
    <row r="3946">
      <c r="A3946" s="41" t="str">
        <f>IFERROR(__xludf.DUMMYFUNCTION("""COMPUTED_VALUE"""),"RSC003956")</f>
        <v>RSC003956</v>
      </c>
      <c r="B3946" s="41" t="str">
        <f>IFERROR(__xludf.DUMMYFUNCTION("""COMPUTED_VALUE"""),"_nathan.")</f>
        <v>_nathan.</v>
      </c>
    </row>
    <row r="3947">
      <c r="A3947" s="41" t="str">
        <f>IFERROR(__xludf.DUMMYFUNCTION("""COMPUTED_VALUE"""),"RSC003957")</f>
        <v>RSC003957</v>
      </c>
      <c r="B3947" s="41" t="str">
        <f>IFERROR(__xludf.DUMMYFUNCTION("""COMPUTED_VALUE"""),"Good News Ryan")</f>
        <v>Good News Ryan</v>
      </c>
    </row>
    <row r="3948">
      <c r="A3948" s="41" t="str">
        <f>IFERROR(__xludf.DUMMYFUNCTION("""COMPUTED_VALUE"""),"RSC003958")</f>
        <v>RSC003958</v>
      </c>
      <c r="B3948" s="41" t="str">
        <f>IFERROR(__xludf.DUMMYFUNCTION("""COMPUTED_VALUE"""),"Mantlx")</f>
        <v>Mantlx</v>
      </c>
    </row>
    <row r="3949">
      <c r="A3949" s="41" t="str">
        <f>IFERROR(__xludf.DUMMYFUNCTION("""COMPUTED_VALUE"""),"RSC003959")</f>
        <v>RSC003959</v>
      </c>
      <c r="B3949" s="41" t="str">
        <f>IFERROR(__xludf.DUMMYFUNCTION("""COMPUTED_VALUE"""),"howdy")</f>
        <v>howdy</v>
      </c>
    </row>
    <row r="3950">
      <c r="A3950" s="41" t="str">
        <f>IFERROR(__xludf.DUMMYFUNCTION("""COMPUTED_VALUE"""),"RSC003960")</f>
        <v>RSC003960</v>
      </c>
      <c r="B3950" s="41" t="str">
        <f>IFERROR(__xludf.DUMMYFUNCTION("""COMPUTED_VALUE"""),"whynotzoidberg")</f>
        <v>whynotzoidberg</v>
      </c>
    </row>
    <row r="3951">
      <c r="A3951" s="41" t="str">
        <f>IFERROR(__xludf.DUMMYFUNCTION("""COMPUTED_VALUE"""),"RSC003961")</f>
        <v>RSC003961</v>
      </c>
      <c r="B3951" s="41" t="str">
        <f>IFERROR(__xludf.DUMMYFUNCTION("""COMPUTED_VALUE"""),"CubNuts")</f>
        <v>CubNuts</v>
      </c>
    </row>
    <row r="3952">
      <c r="A3952" s="41" t="str">
        <f>IFERROR(__xludf.DUMMYFUNCTION("""COMPUTED_VALUE"""),"RSC003962")</f>
        <v>RSC003962</v>
      </c>
      <c r="B3952" s="41" t="str">
        <f>IFERROR(__xludf.DUMMYFUNCTION("""COMPUTED_VALUE"""),"flarelol")</f>
        <v>flarelol</v>
      </c>
    </row>
    <row r="3953">
      <c r="A3953" s="41" t="str">
        <f>IFERROR(__xludf.DUMMYFUNCTION("""COMPUTED_VALUE"""),"RSC003963")</f>
        <v>RSC003963</v>
      </c>
      <c r="B3953" s="41" t="str">
        <f>IFERROR(__xludf.DUMMYFUNCTION("""COMPUTED_VALUE"""),"elcheer")</f>
        <v>elcheer</v>
      </c>
    </row>
    <row r="3954">
      <c r="A3954" s="41" t="str">
        <f>IFERROR(__xludf.DUMMYFUNCTION("""COMPUTED_VALUE"""),"RSC003964")</f>
        <v>RSC003964</v>
      </c>
      <c r="B3954" s="41" t="str">
        <f>IFERROR(__xludf.DUMMYFUNCTION("""COMPUTED_VALUE"""),"Drewski RL")</f>
        <v>Drewski RL</v>
      </c>
    </row>
    <row r="3955">
      <c r="A3955" s="41" t="str">
        <f>IFERROR(__xludf.DUMMYFUNCTION("""COMPUTED_VALUE"""),"RSC003965")</f>
        <v>RSC003965</v>
      </c>
      <c r="B3955" s="41" t="str">
        <f>IFERROR(__xludf.DUMMYFUNCTION("""COMPUTED_VALUE"""),"Jixaw")</f>
        <v>Jixaw</v>
      </c>
    </row>
    <row r="3956">
      <c r="A3956" s="41" t="str">
        <f>IFERROR(__xludf.DUMMYFUNCTION("""COMPUTED_VALUE"""),"RSC003966")</f>
        <v>RSC003966</v>
      </c>
      <c r="B3956" s="41" t="str">
        <f>IFERROR(__xludf.DUMMYFUNCTION("""COMPUTED_VALUE"""),"gotmayo")</f>
        <v>gotmayo</v>
      </c>
    </row>
    <row r="3957">
      <c r="A3957" s="41" t="str">
        <f>IFERROR(__xludf.DUMMYFUNCTION("""COMPUTED_VALUE"""),"RSC003967")</f>
        <v>RSC003967</v>
      </c>
      <c r="B3957" s="41" t="str">
        <f>IFERROR(__xludf.DUMMYFUNCTION("""COMPUTED_VALUE"""),"Devil Mzry")</f>
        <v>Devil Mzry</v>
      </c>
    </row>
    <row r="3958">
      <c r="A3958" s="41" t="str">
        <f>IFERROR(__xludf.DUMMYFUNCTION("""COMPUTED_VALUE"""),"RSC003968")</f>
        <v>RSC003968</v>
      </c>
      <c r="B3958" s="41" t="str">
        <f>IFERROR(__xludf.DUMMYFUNCTION("""COMPUTED_VALUE"""),"Shootzy")</f>
        <v>Shootzy</v>
      </c>
    </row>
    <row r="3959">
      <c r="A3959" s="41" t="str">
        <f>IFERROR(__xludf.DUMMYFUNCTION("""COMPUTED_VALUE"""),"RSC003969")</f>
        <v>RSC003969</v>
      </c>
      <c r="B3959" s="41" t="str">
        <f>IFERROR(__xludf.DUMMYFUNCTION("""COMPUTED_VALUE"""),"Glaevv")</f>
        <v>Glaevv</v>
      </c>
    </row>
    <row r="3960">
      <c r="A3960" s="41" t="str">
        <f>IFERROR(__xludf.DUMMYFUNCTION("""COMPUTED_VALUE"""),"RSC003970")</f>
        <v>RSC003970</v>
      </c>
      <c r="B3960" s="41" t="str">
        <f>IFERROR(__xludf.DUMMYFUNCTION("""COMPUTED_VALUE"""),"Steez.")</f>
        <v>Steez.</v>
      </c>
    </row>
    <row r="3961">
      <c r="A3961" s="41" t="str">
        <f>IFERROR(__xludf.DUMMYFUNCTION("""COMPUTED_VALUE"""),"RSC003971")</f>
        <v>RSC003971</v>
      </c>
      <c r="B3961" s="41" t="str">
        <f>IFERROR(__xludf.DUMMYFUNCTION("""COMPUTED_VALUE"""),"SoccerSean")</f>
        <v>SoccerSean</v>
      </c>
    </row>
    <row r="3962">
      <c r="A3962" s="41" t="str">
        <f>IFERROR(__xludf.DUMMYFUNCTION("""COMPUTED_VALUE"""),"RSC003972")</f>
        <v>RSC003972</v>
      </c>
      <c r="B3962" s="41" t="str">
        <f>IFERROR(__xludf.DUMMYFUNCTION("""COMPUTED_VALUE"""),"Ferrari404_")</f>
        <v>Ferrari404_</v>
      </c>
    </row>
    <row r="3963">
      <c r="A3963" s="41" t="str">
        <f>IFERROR(__xludf.DUMMYFUNCTION("""COMPUTED_VALUE"""),"RSC003973")</f>
        <v>RSC003973</v>
      </c>
      <c r="B3963" s="41" t="str">
        <f>IFERROR(__xludf.DUMMYFUNCTION("""COMPUTED_VALUE"""),"Rocket-ReapZ")</f>
        <v>Rocket-ReapZ</v>
      </c>
    </row>
    <row r="3964">
      <c r="A3964" s="41" t="str">
        <f>IFERROR(__xludf.DUMMYFUNCTION("""COMPUTED_VALUE"""),"RSC003974")</f>
        <v>RSC003974</v>
      </c>
      <c r="B3964" s="41" t="str">
        <f>IFERROR(__xludf.DUMMYFUNCTION("""COMPUTED_VALUE"""),"SeanRPS")</f>
        <v>SeanRPS</v>
      </c>
    </row>
    <row r="3965">
      <c r="A3965" s="41" t="str">
        <f>IFERROR(__xludf.DUMMYFUNCTION("""COMPUTED_VALUE"""),"RSC003975")</f>
        <v>RSC003975</v>
      </c>
      <c r="B3965" s="41" t="str">
        <f>IFERROR(__xludf.DUMMYFUNCTION("""COMPUTED_VALUE"""),"arex.")</f>
        <v>arex.</v>
      </c>
    </row>
    <row r="3966">
      <c r="A3966" s="41" t="str">
        <f>IFERROR(__xludf.DUMMYFUNCTION("""COMPUTED_VALUE"""),"RSC003976")</f>
        <v>RSC003976</v>
      </c>
      <c r="B3966" s="41" t="str">
        <f>IFERROR(__xludf.DUMMYFUNCTION("""COMPUTED_VALUE"""),"Creamysteve")</f>
        <v>Creamysteve</v>
      </c>
    </row>
    <row r="3967">
      <c r="A3967" s="41" t="str">
        <f>IFERROR(__xludf.DUMMYFUNCTION("""COMPUTED_VALUE"""),"RSC003977")</f>
        <v>RSC003977</v>
      </c>
      <c r="B3967" s="41" t="str">
        <f>IFERROR(__xludf.DUMMYFUNCTION("""COMPUTED_VALUE"""),"WaKoOfficial")</f>
        <v>WaKoOfficial</v>
      </c>
    </row>
    <row r="3968">
      <c r="A3968" s="41" t="str">
        <f>IFERROR(__xludf.DUMMYFUNCTION("""COMPUTED_VALUE"""),"RSC003978")</f>
        <v>RSC003978</v>
      </c>
      <c r="B3968" s="41" t="str">
        <f>IFERROR(__xludf.DUMMYFUNCTION("""COMPUTED_VALUE"""),"Thenio")</f>
        <v>Thenio</v>
      </c>
    </row>
    <row r="3969">
      <c r="A3969" s="41" t="str">
        <f>IFERROR(__xludf.DUMMYFUNCTION("""COMPUTED_VALUE"""),"RSC003979")</f>
        <v>RSC003979</v>
      </c>
      <c r="B3969" s="41" t="str">
        <f>IFERROR(__xludf.DUMMYFUNCTION("""COMPUTED_VALUE"""),"Zeddwolff")</f>
        <v>Zeddwolff</v>
      </c>
    </row>
    <row r="3970">
      <c r="A3970" s="41" t="str">
        <f>IFERROR(__xludf.DUMMYFUNCTION("""COMPUTED_VALUE"""),"RSC003980")</f>
        <v>RSC003980</v>
      </c>
      <c r="B3970" s="41" t="str">
        <f>IFERROR(__xludf.DUMMYFUNCTION("""COMPUTED_VALUE"""),"Cr0ck")</f>
        <v>Cr0ck</v>
      </c>
    </row>
    <row r="3971">
      <c r="A3971" s="41" t="str">
        <f>IFERROR(__xludf.DUMMYFUNCTION("""COMPUTED_VALUE"""),"RSC003981")</f>
        <v>RSC003981</v>
      </c>
      <c r="B3971" s="41" t="str">
        <f>IFERROR(__xludf.DUMMYFUNCTION("""COMPUTED_VALUE"""),"Rhino")</f>
        <v>Rhino</v>
      </c>
    </row>
    <row r="3972">
      <c r="A3972" s="41" t="str">
        <f>IFERROR(__xludf.DUMMYFUNCTION("""COMPUTED_VALUE"""),"RSC003982")</f>
        <v>RSC003982</v>
      </c>
      <c r="B3972" s="41" t="str">
        <f>IFERROR(__xludf.DUMMYFUNCTION("""COMPUTED_VALUE"""),"ir2b_bananaman")</f>
        <v>ir2b_bananaman</v>
      </c>
    </row>
    <row r="3973">
      <c r="A3973" s="41" t="str">
        <f>IFERROR(__xludf.DUMMYFUNCTION("""COMPUTED_VALUE"""),"RSC003983")</f>
        <v>RSC003983</v>
      </c>
      <c r="B3973" s="41" t="str">
        <f>IFERROR(__xludf.DUMMYFUNCTION("""COMPUTED_VALUE"""),"Ghostyyzz")</f>
        <v>Ghostyyzz</v>
      </c>
    </row>
    <row r="3974">
      <c r="A3974" s="41" t="str">
        <f>IFERROR(__xludf.DUMMYFUNCTION("""COMPUTED_VALUE"""),"RSC003984")</f>
        <v>RSC003984</v>
      </c>
      <c r="B3974" s="41" t="str">
        <f>IFERROR(__xludf.DUMMYFUNCTION("""COMPUTED_VALUE"""),"Cpt Jon Smith")</f>
        <v>Cpt Jon Smith</v>
      </c>
    </row>
    <row r="3975">
      <c r="A3975" s="41" t="str">
        <f>IFERROR(__xludf.DUMMYFUNCTION("""COMPUTED_VALUE"""),"RSC003985")</f>
        <v>RSC003985</v>
      </c>
      <c r="B3975" s="41" t="str">
        <f>IFERROR(__xludf.DUMMYFUNCTION("""COMPUTED_VALUE"""),"Wildbilljustin")</f>
        <v>Wildbilljustin</v>
      </c>
    </row>
    <row r="3976">
      <c r="A3976" s="41" t="str">
        <f>IFERROR(__xludf.DUMMYFUNCTION("""COMPUTED_VALUE"""),"RSC003986")</f>
        <v>RSC003986</v>
      </c>
      <c r="B3976" s="41" t="str">
        <f>IFERROR(__xludf.DUMMYFUNCTION("""COMPUTED_VALUE"""),"✪ Reprise")</f>
        <v>✪ Reprise</v>
      </c>
    </row>
    <row r="3977">
      <c r="A3977" s="41" t="str">
        <f>IFERROR(__xludf.DUMMYFUNCTION("""COMPUTED_VALUE"""),"RSC003987")</f>
        <v>RSC003987</v>
      </c>
      <c r="B3977" s="41" t="str">
        <f>IFERROR(__xludf.DUMMYFUNCTION("""COMPUTED_VALUE"""),"Dovahkiin")</f>
        <v>Dovahkiin</v>
      </c>
    </row>
    <row r="3978">
      <c r="A3978" s="41" t="str">
        <f>IFERROR(__xludf.DUMMYFUNCTION("""COMPUTED_VALUE"""),"RSC003988")</f>
        <v>RSC003988</v>
      </c>
      <c r="B3978" s="41" t="str">
        <f>IFERROR(__xludf.DUMMYFUNCTION("""COMPUTED_VALUE"""),"Liducin")</f>
        <v>Liducin</v>
      </c>
    </row>
    <row r="3979">
      <c r="A3979" s="41" t="str">
        <f>IFERROR(__xludf.DUMMYFUNCTION("""COMPUTED_VALUE"""),"RSC003989")</f>
        <v>RSC003989</v>
      </c>
      <c r="B3979" s="41" t="str">
        <f>IFERROR(__xludf.DUMMYFUNCTION("""COMPUTED_VALUE"""),"dazeski")</f>
        <v>dazeski</v>
      </c>
    </row>
    <row r="3980">
      <c r="A3980" s="41" t="str">
        <f>IFERROR(__xludf.DUMMYFUNCTION("""COMPUTED_VALUE"""),"RSC003990")</f>
        <v>RSC003990</v>
      </c>
      <c r="B3980" s="41" t="str">
        <f>IFERROR(__xludf.DUMMYFUNCTION("""COMPUTED_VALUE"""),"lukewhiskeyluke")</f>
        <v>lukewhiskeyluke</v>
      </c>
    </row>
    <row r="3981">
      <c r="A3981" s="41" t="str">
        <f>IFERROR(__xludf.DUMMYFUNCTION("""COMPUTED_VALUE"""),"RSC003991")</f>
        <v>RSC003991</v>
      </c>
      <c r="B3981" s="41" t="str">
        <f>IFERROR(__xludf.DUMMYFUNCTION("""COMPUTED_VALUE"""),"SolarToaster")</f>
        <v>SolarToaster</v>
      </c>
    </row>
    <row r="3982">
      <c r="A3982" s="41" t="str">
        <f>IFERROR(__xludf.DUMMYFUNCTION("""COMPUTED_VALUE"""),"RSC003992")</f>
        <v>RSC003992</v>
      </c>
      <c r="B3982" s="41" t="str">
        <f>IFERROR(__xludf.DUMMYFUNCTION("""COMPUTED_VALUE"""),"Dunkmastercj123")</f>
        <v>Dunkmastercj123</v>
      </c>
    </row>
    <row r="3983">
      <c r="A3983" s="41" t="str">
        <f>IFERROR(__xludf.DUMMYFUNCTION("""COMPUTED_VALUE"""),"RSC003993")</f>
        <v>RSC003993</v>
      </c>
      <c r="B3983" s="41" t="str">
        <f>IFERROR(__xludf.DUMMYFUNCTION("""COMPUTED_VALUE"""),"hissrl")</f>
        <v>hissrl</v>
      </c>
    </row>
    <row r="3984">
      <c r="A3984" s="41" t="str">
        <f>IFERROR(__xludf.DUMMYFUNCTION("""COMPUTED_VALUE"""),"RSC003994")</f>
        <v>RSC003994</v>
      </c>
      <c r="B3984" s="41" t="str">
        <f>IFERROR(__xludf.DUMMYFUNCTION("""COMPUTED_VALUE"""),"Flux (Change)")</f>
        <v>Flux (Change)</v>
      </c>
    </row>
    <row r="3985">
      <c r="A3985" s="41" t="str">
        <f>IFERROR(__xludf.DUMMYFUNCTION("""COMPUTED_VALUE"""),"RSC003995")</f>
        <v>RSC003995</v>
      </c>
      <c r="B3985" s="41" t="str">
        <f>IFERROR(__xludf.DUMMYFUNCTION("""COMPUTED_VALUE"""),"Vekz Showz")</f>
        <v>Vekz Showz</v>
      </c>
    </row>
    <row r="3986">
      <c r="A3986" s="41" t="str">
        <f>IFERROR(__xludf.DUMMYFUNCTION("""COMPUTED_VALUE"""),"RSC003996")</f>
        <v>RSC003996</v>
      </c>
      <c r="B3986" s="41" t="str">
        <f>IFERROR(__xludf.DUMMYFUNCTION("""COMPUTED_VALUE"""),"cardeL")</f>
        <v>cardeL</v>
      </c>
    </row>
    <row r="3987">
      <c r="A3987" s="41" t="str">
        <f>IFERROR(__xludf.DUMMYFUNCTION("""COMPUTED_VALUE"""),"RSC003997")</f>
        <v>RSC003997</v>
      </c>
      <c r="B3987" s="41" t="str">
        <f>IFERROR(__xludf.DUMMYFUNCTION("""COMPUTED_VALUE"""),"kkube")</f>
        <v>kkube</v>
      </c>
    </row>
    <row r="3988">
      <c r="A3988" s="41" t="str">
        <f>IFERROR(__xludf.DUMMYFUNCTION("""COMPUTED_VALUE"""),"RSC003998")</f>
        <v>RSC003998</v>
      </c>
      <c r="B3988" s="41" t="str">
        <f>IFERROR(__xludf.DUMMYFUNCTION("""COMPUTED_VALUE"""),"Mars")</f>
        <v>Mars</v>
      </c>
    </row>
    <row r="3989">
      <c r="A3989" s="41" t="str">
        <f>IFERROR(__xludf.DUMMYFUNCTION("""COMPUTED_VALUE"""),"RSC003999")</f>
        <v>RSC003999</v>
      </c>
      <c r="B3989" s="41" t="str">
        <f>IFERROR(__xludf.DUMMYFUNCTION("""COMPUTED_VALUE"""),"iV0nte")</f>
        <v>iV0nte</v>
      </c>
    </row>
    <row r="3990">
      <c r="A3990" s="41" t="str">
        <f>IFERROR(__xludf.DUMMYFUNCTION("""COMPUTED_VALUE"""),"RSC004000")</f>
        <v>RSC004000</v>
      </c>
      <c r="B3990" s="41" t="str">
        <f>IFERROR(__xludf.DUMMYFUNCTION("""COMPUTED_VALUE"""),"ZAI3Aimbot")</f>
        <v>ZAI3Aimbot</v>
      </c>
    </row>
    <row r="3991">
      <c r="A3991" s="41" t="str">
        <f>IFERROR(__xludf.DUMMYFUNCTION("""COMPUTED_VALUE"""),"RSC004001")</f>
        <v>RSC004001</v>
      </c>
      <c r="B3991" s="41" t="str">
        <f>IFERROR(__xludf.DUMMYFUNCTION("""COMPUTED_VALUE"""),"WeluvyouZion")</f>
        <v>WeluvyouZion</v>
      </c>
    </row>
    <row r="3992">
      <c r="A3992" s="41" t="str">
        <f>IFERROR(__xludf.DUMMYFUNCTION("""COMPUTED_VALUE"""),"RSC004002")</f>
        <v>RSC004002</v>
      </c>
      <c r="B3992" s="41" t="str">
        <f>IFERROR(__xludf.DUMMYFUNCTION("""COMPUTED_VALUE"""),"ConMan126")</f>
        <v>ConMan126</v>
      </c>
    </row>
    <row r="3993">
      <c r="A3993" s="41" t="str">
        <f>IFERROR(__xludf.DUMMYFUNCTION("""COMPUTED_VALUE"""),"RSC004003")</f>
        <v>RSC004003</v>
      </c>
      <c r="B3993" s="41" t="str">
        <f>IFERROR(__xludf.DUMMYFUNCTION("""COMPUTED_VALUE"""),"Salsa")</f>
        <v>Salsa</v>
      </c>
    </row>
    <row r="3994">
      <c r="A3994" s="41" t="str">
        <f>IFERROR(__xludf.DUMMYFUNCTION("""COMPUTED_VALUE"""),"RSC004004")</f>
        <v>RSC004004</v>
      </c>
      <c r="B3994" s="41" t="str">
        <f>IFERROR(__xludf.DUMMYFUNCTION("""COMPUTED_VALUE"""),"GAMbro")</f>
        <v>GAMbro</v>
      </c>
    </row>
    <row r="3995">
      <c r="A3995" s="41" t="str">
        <f>IFERROR(__xludf.DUMMYFUNCTION("""COMPUTED_VALUE"""),"RSC004005")</f>
        <v>RSC004005</v>
      </c>
      <c r="B3995" s="41" t="str">
        <f>IFERROR(__xludf.DUMMYFUNCTION("""COMPUTED_VALUE"""),"Arashi")</f>
        <v>Arashi</v>
      </c>
    </row>
    <row r="3996">
      <c r="A3996" s="41" t="str">
        <f>IFERROR(__xludf.DUMMYFUNCTION("""COMPUTED_VALUE"""),"RSC004006")</f>
        <v>RSC004006</v>
      </c>
      <c r="B3996" s="41" t="str">
        <f>IFERROR(__xludf.DUMMYFUNCTION("""COMPUTED_VALUE"""),"thurst-Tip")</f>
        <v>thurst-Tip</v>
      </c>
    </row>
    <row r="3997">
      <c r="A3997" s="41" t="str">
        <f>IFERROR(__xludf.DUMMYFUNCTION("""COMPUTED_VALUE"""),"RSC004007")</f>
        <v>RSC004007</v>
      </c>
      <c r="B3997" s="41" t="str">
        <f>IFERROR(__xludf.DUMMYFUNCTION("""COMPUTED_VALUE"""),"grass")</f>
        <v>grass</v>
      </c>
    </row>
    <row r="3998">
      <c r="A3998" s="41" t="str">
        <f>IFERROR(__xludf.DUMMYFUNCTION("""COMPUTED_VALUE"""),"RSC004008")</f>
        <v>RSC004008</v>
      </c>
      <c r="B3998" s="41" t="str">
        <f>IFERROR(__xludf.DUMMYFUNCTION("""COMPUTED_VALUE"""),"Knuts")</f>
        <v>Knuts</v>
      </c>
    </row>
    <row r="3999">
      <c r="A3999" s="41" t="str">
        <f>IFERROR(__xludf.DUMMYFUNCTION("""COMPUTED_VALUE"""),"RSC004009")</f>
        <v>RSC004009</v>
      </c>
      <c r="B3999" s="41" t="str">
        <f>IFERROR(__xludf.DUMMYFUNCTION("""COMPUTED_VALUE"""),"bandit")</f>
        <v>bandit</v>
      </c>
    </row>
    <row r="4000">
      <c r="A4000" s="41" t="str">
        <f>IFERROR(__xludf.DUMMYFUNCTION("""COMPUTED_VALUE"""),"RSC004010")</f>
        <v>RSC004010</v>
      </c>
      <c r="B4000" s="41" t="str">
        <f>IFERROR(__xludf.DUMMYFUNCTION("""COMPUTED_VALUE"""),"Pearl")</f>
        <v>Pearl</v>
      </c>
    </row>
    <row r="4001">
      <c r="A4001" s="41" t="str">
        <f>IFERROR(__xludf.DUMMYFUNCTION("""COMPUTED_VALUE"""),"RSC004011")</f>
        <v>RSC004011</v>
      </c>
      <c r="B4001" s="41" t="str">
        <f>IFERROR(__xludf.DUMMYFUNCTION("""COMPUTED_VALUE"""),"kiko-biel")</f>
        <v>kiko-biel</v>
      </c>
    </row>
    <row r="4002">
      <c r="A4002" s="41" t="str">
        <f>IFERROR(__xludf.DUMMYFUNCTION("""COMPUTED_VALUE"""),"RSC004012")</f>
        <v>RSC004012</v>
      </c>
      <c r="B4002" s="41" t="str">
        <f>IFERROR(__xludf.DUMMYFUNCTION("""COMPUTED_VALUE"""),"kgfan3")</f>
        <v>kgfan3</v>
      </c>
    </row>
    <row r="4003">
      <c r="A4003" s="41" t="str">
        <f>IFERROR(__xludf.DUMMYFUNCTION("""COMPUTED_VALUE"""),"RSC004013")</f>
        <v>RSC004013</v>
      </c>
      <c r="B4003" s="41" t="str">
        <f>IFERROR(__xludf.DUMMYFUNCTION("""COMPUTED_VALUE"""),"GorillaGohan")</f>
        <v>GorillaGohan</v>
      </c>
    </row>
    <row r="4004">
      <c r="A4004" s="41" t="str">
        <f>IFERROR(__xludf.DUMMYFUNCTION("""COMPUTED_VALUE"""),"RSC004014")</f>
        <v>RSC004014</v>
      </c>
      <c r="B4004" s="41" t="str">
        <f>IFERROR(__xludf.DUMMYFUNCTION("""COMPUTED_VALUE"""),"Wild_style216")</f>
        <v>Wild_style216</v>
      </c>
    </row>
    <row r="4005">
      <c r="A4005" s="41" t="str">
        <f>IFERROR(__xludf.DUMMYFUNCTION("""COMPUTED_VALUE"""),"RSC004015")</f>
        <v>RSC004015</v>
      </c>
      <c r="B4005" s="41" t="str">
        <f>IFERROR(__xludf.DUMMYFUNCTION("""COMPUTED_VALUE"""),"Vybe")</f>
        <v>Vybe</v>
      </c>
    </row>
    <row r="4006">
      <c r="A4006" s="41" t="str">
        <f>IFERROR(__xludf.DUMMYFUNCTION("""COMPUTED_VALUE"""),"RSC004016")</f>
        <v>RSC004016</v>
      </c>
      <c r="B4006" s="41" t="str">
        <f>IFERROR(__xludf.DUMMYFUNCTION("""COMPUTED_VALUE"""),"Cozmanic")</f>
        <v>Cozmanic</v>
      </c>
    </row>
    <row r="4007">
      <c r="A4007" s="41" t="str">
        <f>IFERROR(__xludf.DUMMYFUNCTION("""COMPUTED_VALUE"""),"RSC004017")</f>
        <v>RSC004017</v>
      </c>
      <c r="B4007" s="41" t="str">
        <f>IFERROR(__xludf.DUMMYFUNCTION("""COMPUTED_VALUE"""),"Glizzy_Is_Better")</f>
        <v>Glizzy_Is_Better</v>
      </c>
    </row>
    <row r="4008">
      <c r="A4008" s="41" t="str">
        <f>IFERROR(__xludf.DUMMYFUNCTION("""COMPUTED_VALUE"""),"RSC004019")</f>
        <v>RSC004019</v>
      </c>
      <c r="B4008" s="41" t="str">
        <f>IFERROR(__xludf.DUMMYFUNCTION("""COMPUTED_VALUE"""),"TTV_BobBuildz")</f>
        <v>TTV_BobBuildz</v>
      </c>
    </row>
    <row r="4009">
      <c r="A4009" s="41" t="str">
        <f>IFERROR(__xludf.DUMMYFUNCTION("""COMPUTED_VALUE"""),"RSC004020")</f>
        <v>RSC004020</v>
      </c>
      <c r="B4009" s="41" t="str">
        <f>IFERROR(__xludf.DUMMYFUNCTION("""COMPUTED_VALUE"""),"CBS_Phantom")</f>
        <v>CBS_Phantom</v>
      </c>
    </row>
    <row r="4010">
      <c r="A4010" s="41" t="str">
        <f>IFERROR(__xludf.DUMMYFUNCTION("""COMPUTED_VALUE"""),"RSC004021")</f>
        <v>RSC004021</v>
      </c>
      <c r="B4010" s="41" t="str">
        <f>IFERROR(__xludf.DUMMYFUNCTION("""COMPUTED_VALUE"""),"Pele")</f>
        <v>Pele</v>
      </c>
    </row>
    <row r="4011">
      <c r="A4011" s="41" t="str">
        <f>IFERROR(__xludf.DUMMYFUNCTION("""COMPUTED_VALUE"""),"RSC004022")</f>
        <v>RSC004022</v>
      </c>
      <c r="B4011" s="41" t="str">
        <f>IFERROR(__xludf.DUMMYFUNCTION("""COMPUTED_VALUE"""),"Stakd")</f>
        <v>Stakd</v>
      </c>
    </row>
    <row r="4012">
      <c r="A4012" s="41" t="str">
        <f>IFERROR(__xludf.DUMMYFUNCTION("""COMPUTED_VALUE"""),"RSC004023")</f>
        <v>RSC004023</v>
      </c>
      <c r="B4012" s="41" t="str">
        <f>IFERROR(__xludf.DUMMYFUNCTION("""COMPUTED_VALUE"""),"E-Rich")</f>
        <v>E-Rich</v>
      </c>
    </row>
    <row r="4013">
      <c r="A4013" s="41" t="str">
        <f>IFERROR(__xludf.DUMMYFUNCTION("""COMPUTED_VALUE"""),"RSC004024")</f>
        <v>RSC004024</v>
      </c>
      <c r="B4013" s="41" t="str">
        <f>IFERROR(__xludf.DUMMYFUNCTION("""COMPUTED_VALUE"""),"TTVebrooks_66")</f>
        <v>TTVebrooks_66</v>
      </c>
    </row>
    <row r="4014">
      <c r="A4014" s="41" t="str">
        <f>IFERROR(__xludf.DUMMYFUNCTION("""COMPUTED_VALUE"""),"RSC004025")</f>
        <v>RSC004025</v>
      </c>
      <c r="B4014" s="41" t="str">
        <f>IFERROR(__xludf.DUMMYFUNCTION("""COMPUTED_VALUE"""),"Lui Chubb Chubb")</f>
        <v>Lui Chubb Chubb</v>
      </c>
    </row>
    <row r="4015">
      <c r="A4015" s="41" t="str">
        <f>IFERROR(__xludf.DUMMYFUNCTION("""COMPUTED_VALUE"""),"RSC004026")</f>
        <v>RSC004026</v>
      </c>
      <c r="B4015" s="41" t="str">
        <f>IFERROR(__xludf.DUMMYFUNCTION("""COMPUTED_VALUE"""),"Charliebucketx")</f>
        <v>Charliebucketx</v>
      </c>
    </row>
    <row r="4016">
      <c r="A4016" s="41" t="str">
        <f>IFERROR(__xludf.DUMMYFUNCTION("""COMPUTED_VALUE"""),"RSC004027")</f>
        <v>RSC004027</v>
      </c>
      <c r="B4016" s="41" t="str">
        <f>IFERROR(__xludf.DUMMYFUNCTION("""COMPUTED_VALUE"""),"Triple Treyy")</f>
        <v>Triple Treyy</v>
      </c>
    </row>
    <row r="4017">
      <c r="A4017" s="41" t="str">
        <f>IFERROR(__xludf.DUMMYFUNCTION("""COMPUTED_VALUE"""),"RSC004028")</f>
        <v>RSC004028</v>
      </c>
      <c r="B4017" s="41" t="str">
        <f>IFERROR(__xludf.DUMMYFUNCTION("""COMPUTED_VALUE"""),"Parker hates rl")</f>
        <v>Parker hates rl</v>
      </c>
    </row>
    <row r="4018">
      <c r="A4018" s="41" t="str">
        <f>IFERROR(__xludf.DUMMYFUNCTION("""COMPUTED_VALUE"""),"RSC004029")</f>
        <v>RSC004029</v>
      </c>
      <c r="B4018" s="41" t="str">
        <f>IFERROR(__xludf.DUMMYFUNCTION("""COMPUTED_VALUE"""),"willwumps!")</f>
        <v>willwumps!</v>
      </c>
    </row>
    <row r="4019">
      <c r="A4019" s="41" t="str">
        <f>IFERROR(__xludf.DUMMYFUNCTION("""COMPUTED_VALUE"""),"RSC004030")</f>
        <v>RSC004030</v>
      </c>
      <c r="B4019" s="41" t="str">
        <f>IFERROR(__xludf.DUMMYFUNCTION("""COMPUTED_VALUE"""),"Kufx")</f>
        <v>Kufx</v>
      </c>
    </row>
    <row r="4020">
      <c r="A4020" s="41" t="str">
        <f>IFERROR(__xludf.DUMMYFUNCTION("""COMPUTED_VALUE"""),"RSC004032")</f>
        <v>RSC004032</v>
      </c>
      <c r="B4020" s="41" t="str">
        <f>IFERROR(__xludf.DUMMYFUNCTION("""COMPUTED_VALUE"""),"MonkeyNut")</f>
        <v>MonkeyNut</v>
      </c>
    </row>
    <row r="4021">
      <c r="A4021" s="41" t="str">
        <f>IFERROR(__xludf.DUMMYFUNCTION("""COMPUTED_VALUE"""),"RSC004033")</f>
        <v>RSC004033</v>
      </c>
      <c r="B4021" s="41" t="str">
        <f>IFERROR(__xludf.DUMMYFUNCTION("""COMPUTED_VALUE"""),"Dulzy")</f>
        <v>Dulzy</v>
      </c>
    </row>
    <row r="4022">
      <c r="A4022" s="41" t="str">
        <f>IFERROR(__xludf.DUMMYFUNCTION("""COMPUTED_VALUE"""),"RSC004034")</f>
        <v>RSC004034</v>
      </c>
      <c r="B4022" s="41" t="str">
        <f>IFERROR(__xludf.DUMMYFUNCTION("""COMPUTED_VALUE"""),"DeadCupCake")</f>
        <v>DeadCupCake</v>
      </c>
    </row>
    <row r="4023">
      <c r="A4023" s="41" t="str">
        <f>IFERROR(__xludf.DUMMYFUNCTION("""COMPUTED_VALUE"""),"RSC004035")</f>
        <v>RSC004035</v>
      </c>
      <c r="B4023" s="41" t="str">
        <f>IFERROR(__xludf.DUMMYFUNCTION("""COMPUTED_VALUE"""),"Timmy_-_")</f>
        <v>Timmy_-_</v>
      </c>
    </row>
    <row r="4024">
      <c r="A4024" s="41" t="str">
        <f>IFERROR(__xludf.DUMMYFUNCTION("""COMPUTED_VALUE"""),"RSC004036")</f>
        <v>RSC004036</v>
      </c>
      <c r="B4024" s="41" t="str">
        <f>IFERROR(__xludf.DUMMYFUNCTION("""COMPUTED_VALUE"""),"第Four")</f>
        <v>第Four</v>
      </c>
    </row>
    <row r="4025">
      <c r="A4025" s="41" t="str">
        <f>IFERROR(__xludf.DUMMYFUNCTION("""COMPUTED_VALUE"""),"RSC004037")</f>
        <v>RSC004037</v>
      </c>
      <c r="B4025" s="41" t="str">
        <f>IFERROR(__xludf.DUMMYFUNCTION("""COMPUTED_VALUE"""),"Humd1gger")</f>
        <v>Humd1gger</v>
      </c>
    </row>
    <row r="4026">
      <c r="A4026" s="41" t="str">
        <f>IFERROR(__xludf.DUMMYFUNCTION("""COMPUTED_VALUE"""),"RSC004038")</f>
        <v>RSC004038</v>
      </c>
      <c r="B4026" s="41" t="str">
        <f>IFERROR(__xludf.DUMMYFUNCTION("""COMPUTED_VALUE"""),"GolfWithCarl")</f>
        <v>GolfWithCarl</v>
      </c>
    </row>
    <row r="4027">
      <c r="A4027" s="41" t="str">
        <f>IFERROR(__xludf.DUMMYFUNCTION("""COMPUTED_VALUE"""),"RSC004039")</f>
        <v>RSC004039</v>
      </c>
      <c r="B4027" s="41" t="str">
        <f>IFERROR(__xludf.DUMMYFUNCTION("""COMPUTED_VALUE"""),"Vals.")</f>
        <v>Vals.</v>
      </c>
    </row>
    <row r="4028">
      <c r="A4028" s="41" t="str">
        <f>IFERROR(__xludf.DUMMYFUNCTION("""COMPUTED_VALUE"""),"RSC004040")</f>
        <v>RSC004040</v>
      </c>
      <c r="B4028" s="41" t="str">
        <f>IFERROR(__xludf.DUMMYFUNCTION("""COMPUTED_VALUE"""),"AJchrisFj")</f>
        <v>AJchrisFj</v>
      </c>
    </row>
    <row r="4029">
      <c r="A4029" s="41" t="str">
        <f>IFERROR(__xludf.DUMMYFUNCTION("""COMPUTED_VALUE"""),"RSC004041")</f>
        <v>RSC004041</v>
      </c>
      <c r="B4029" s="41" t="str">
        <f>IFERROR(__xludf.DUMMYFUNCTION("""COMPUTED_VALUE"""),"Rogue")</f>
        <v>Rogue</v>
      </c>
    </row>
    <row r="4030">
      <c r="A4030" s="41" t="str">
        <f>IFERROR(__xludf.DUMMYFUNCTION("""COMPUTED_VALUE"""),"RSC004042")</f>
        <v>RSC004042</v>
      </c>
      <c r="B4030" s="41" t="str">
        <f>IFERROR(__xludf.DUMMYFUNCTION("""COMPUTED_VALUE"""),"Haze=)")</f>
        <v>Haze=)</v>
      </c>
    </row>
    <row r="4031">
      <c r="A4031" s="41" t="str">
        <f>IFERROR(__xludf.DUMMYFUNCTION("""COMPUTED_VALUE"""),"RSC004043")</f>
        <v>RSC004043</v>
      </c>
      <c r="B4031" s="41" t="str">
        <f>IFERROR(__xludf.DUMMYFUNCTION("""COMPUTED_VALUE"""),"HoneyBadger")</f>
        <v>HoneyBadger</v>
      </c>
    </row>
    <row r="4032">
      <c r="A4032" s="41" t="str">
        <f>IFERROR(__xludf.DUMMYFUNCTION("""COMPUTED_VALUE"""),"RSC004044")</f>
        <v>RSC004044</v>
      </c>
      <c r="B4032" s="41" t="str">
        <f>IFERROR(__xludf.DUMMYFUNCTION("""COMPUTED_VALUE"""),"mykie")</f>
        <v>mykie</v>
      </c>
    </row>
    <row r="4033">
      <c r="A4033" s="41" t="str">
        <f>IFERROR(__xludf.DUMMYFUNCTION("""COMPUTED_VALUE"""),"RSC004045")</f>
        <v>RSC004045</v>
      </c>
      <c r="B4033" s="41" t="str">
        <f>IFERROR(__xludf.DUMMYFUNCTION("""COMPUTED_VALUE"""),"47lmao")</f>
        <v>47lmao</v>
      </c>
    </row>
    <row r="4034">
      <c r="A4034" s="41" t="str">
        <f>IFERROR(__xludf.DUMMYFUNCTION("""COMPUTED_VALUE"""),"RSC004046")</f>
        <v>RSC004046</v>
      </c>
      <c r="B4034" s="41" t="str">
        <f>IFERROR(__xludf.DUMMYFUNCTION("""COMPUTED_VALUE"""),"MaximumErnine")</f>
        <v>MaximumErnine</v>
      </c>
    </row>
    <row r="4035">
      <c r="A4035" s="41" t="str">
        <f>IFERROR(__xludf.DUMMYFUNCTION("""COMPUTED_VALUE"""),"RSC004047")</f>
        <v>RSC004047</v>
      </c>
      <c r="B4035" s="41" t="str">
        <f>IFERROR(__xludf.DUMMYFUNCTION("""COMPUTED_VALUE"""),"thiagobfm")</f>
        <v>thiagobfm</v>
      </c>
    </row>
    <row r="4036">
      <c r="A4036" s="41" t="str">
        <f>IFERROR(__xludf.DUMMYFUNCTION("""COMPUTED_VALUE"""),"RSC004048")</f>
        <v>RSC004048</v>
      </c>
      <c r="B4036" s="41" t="str">
        <f>IFERROR(__xludf.DUMMYFUNCTION("""COMPUTED_VALUE"""),"Judge")</f>
        <v>Judge</v>
      </c>
    </row>
    <row r="4037">
      <c r="A4037" s="41" t="str">
        <f>IFERROR(__xludf.DUMMYFUNCTION("""COMPUTED_VALUE"""),"RSC004049")</f>
        <v>RSC004049</v>
      </c>
      <c r="B4037" s="41" t="str">
        <f>IFERROR(__xludf.DUMMYFUNCTION("""COMPUTED_VALUE"""),"dizxe")</f>
        <v>dizxe</v>
      </c>
    </row>
    <row r="4038">
      <c r="A4038" s="41" t="str">
        <f>IFERROR(__xludf.DUMMYFUNCTION("""COMPUTED_VALUE"""),"RSC004050")</f>
        <v>RSC004050</v>
      </c>
      <c r="B4038" s="41" t="str">
        <f>IFERROR(__xludf.DUMMYFUNCTION("""COMPUTED_VALUE"""),"Typhon")</f>
        <v>Typhon</v>
      </c>
    </row>
    <row r="4039">
      <c r="A4039" s="41" t="str">
        <f>IFERROR(__xludf.DUMMYFUNCTION("""COMPUTED_VALUE"""),"RSC004051")</f>
        <v>RSC004051</v>
      </c>
      <c r="B4039" s="41" t="str">
        <f>IFERROR(__xludf.DUMMYFUNCTION("""COMPUTED_VALUE"""),"spiicy")</f>
        <v>spiicy</v>
      </c>
    </row>
    <row r="4040">
      <c r="A4040" s="41" t="str">
        <f>IFERROR(__xludf.DUMMYFUNCTION("""COMPUTED_VALUE"""),"RSC004052")</f>
        <v>RSC004052</v>
      </c>
      <c r="B4040" s="41" t="str">
        <f>IFERROR(__xludf.DUMMYFUNCTION("""COMPUTED_VALUE"""),"Awake")</f>
        <v>Awake</v>
      </c>
    </row>
    <row r="4041">
      <c r="A4041" s="41" t="str">
        <f>IFERROR(__xludf.DUMMYFUNCTION("""COMPUTED_VALUE"""),"RSC004053")</f>
        <v>RSC004053</v>
      </c>
      <c r="B4041" s="41" t="str">
        <f>IFERROR(__xludf.DUMMYFUNCTION("""COMPUTED_VALUE"""),"denaki")</f>
        <v>denaki</v>
      </c>
    </row>
    <row r="4042">
      <c r="A4042" s="41" t="str">
        <f>IFERROR(__xludf.DUMMYFUNCTION("""COMPUTED_VALUE"""),"RSC004054")</f>
        <v>RSC004054</v>
      </c>
      <c r="B4042" s="41" t="str">
        <f>IFERROR(__xludf.DUMMYFUNCTION("""COMPUTED_VALUE"""),"ColbyCola0")</f>
        <v>ColbyCola0</v>
      </c>
    </row>
    <row r="4043">
      <c r="A4043" s="41" t="str">
        <f>IFERROR(__xludf.DUMMYFUNCTION("""COMPUTED_VALUE"""),"RSC004055")</f>
        <v>RSC004055</v>
      </c>
      <c r="B4043" s="41" t="str">
        <f>IFERROR(__xludf.DUMMYFUNCTION("""COMPUTED_VALUE"""),"alon")</f>
        <v>alon</v>
      </c>
    </row>
    <row r="4044">
      <c r="A4044" s="41" t="str">
        <f>IFERROR(__xludf.DUMMYFUNCTION("""COMPUTED_VALUE"""),"RSC004056")</f>
        <v>RSC004056</v>
      </c>
      <c r="B4044" s="41" t="str">
        <f>IFERROR(__xludf.DUMMYFUNCTION("""COMPUTED_VALUE"""),"CorrnChowda")</f>
        <v>CorrnChowda</v>
      </c>
    </row>
    <row r="4045">
      <c r="A4045" s="41" t="str">
        <f>IFERROR(__xludf.DUMMYFUNCTION("""COMPUTED_VALUE"""),"RSC004057")</f>
        <v>RSC004057</v>
      </c>
      <c r="B4045" s="41" t="str">
        <f>IFERROR(__xludf.DUMMYFUNCTION("""COMPUTED_VALUE"""),"pirate gaming")</f>
        <v>pirate gaming</v>
      </c>
    </row>
    <row r="4046">
      <c r="A4046" s="41" t="str">
        <f>IFERROR(__xludf.DUMMYFUNCTION("""COMPUTED_VALUE"""),"RSC004058")</f>
        <v>RSC004058</v>
      </c>
      <c r="B4046" s="41" t="str">
        <f>IFERROR(__xludf.DUMMYFUNCTION("""COMPUTED_VALUE"""),"galaxyhrw")</f>
        <v>galaxyhrw</v>
      </c>
    </row>
    <row r="4047">
      <c r="A4047" s="41" t="str">
        <f>IFERROR(__xludf.DUMMYFUNCTION("""COMPUTED_VALUE"""),"RSC004059")</f>
        <v>RSC004059</v>
      </c>
      <c r="B4047" s="41" t="str">
        <f>IFERROR(__xludf.DUMMYFUNCTION("""COMPUTED_VALUE"""),"turboalpaca")</f>
        <v>turboalpaca</v>
      </c>
    </row>
    <row r="4048">
      <c r="A4048" s="41" t="str">
        <f>IFERROR(__xludf.DUMMYFUNCTION("""COMPUTED_VALUE"""),"RSC004060")</f>
        <v>RSC004060</v>
      </c>
      <c r="B4048" s="41" t="str">
        <f>IFERROR(__xludf.DUMMYFUNCTION("""COMPUTED_VALUE"""),"Rhys")</f>
        <v>Rhys</v>
      </c>
    </row>
    <row r="4049">
      <c r="A4049" s="41" t="str">
        <f>IFERROR(__xludf.DUMMYFUNCTION("""COMPUTED_VALUE"""),"RSC004061")</f>
        <v>RSC004061</v>
      </c>
      <c r="B4049" s="41" t="str">
        <f>IFERROR(__xludf.DUMMYFUNCTION("""COMPUTED_VALUE"""),"Finger_Slipped")</f>
        <v>Finger_Slipped</v>
      </c>
    </row>
    <row r="4050">
      <c r="A4050" s="41" t="str">
        <f>IFERROR(__xludf.DUMMYFUNCTION("""COMPUTED_VALUE"""),"RSC004062")</f>
        <v>RSC004062</v>
      </c>
      <c r="B4050" s="41" t="str">
        <f>IFERROR(__xludf.DUMMYFUNCTION("""COMPUTED_VALUE"""),"Good Ghost Vibes")</f>
        <v>Good Ghost Vibes</v>
      </c>
    </row>
    <row r="4051">
      <c r="A4051" s="41" t="str">
        <f>IFERROR(__xludf.DUMMYFUNCTION("""COMPUTED_VALUE"""),"RSC004063")</f>
        <v>RSC004063</v>
      </c>
      <c r="B4051" s="41" t="str">
        <f>IFERROR(__xludf.DUMMYFUNCTION("""COMPUTED_VALUE"""),"PogoStatic")</f>
        <v>PogoStatic</v>
      </c>
    </row>
    <row r="4052">
      <c r="A4052" s="41" t="str">
        <f>IFERROR(__xludf.DUMMYFUNCTION("""COMPUTED_VALUE"""),"RSC004064")</f>
        <v>RSC004064</v>
      </c>
      <c r="B4052" s="41" t="str">
        <f>IFERROR(__xludf.DUMMYFUNCTION("""COMPUTED_VALUE"""),"Tokifyy")</f>
        <v>Tokifyy</v>
      </c>
    </row>
    <row r="4053">
      <c r="A4053" s="41" t="str">
        <f>IFERROR(__xludf.DUMMYFUNCTION("""COMPUTED_VALUE"""),"RSC004065")</f>
        <v>RSC004065</v>
      </c>
      <c r="B4053" s="41" t="str">
        <f>IFERROR(__xludf.DUMMYFUNCTION("""COMPUTED_VALUE"""),"coop")</f>
        <v>coop</v>
      </c>
    </row>
    <row r="4054">
      <c r="A4054" s="41" t="str">
        <f>IFERROR(__xludf.DUMMYFUNCTION("""COMPUTED_VALUE"""),"RSC004066")</f>
        <v>RSC004066</v>
      </c>
      <c r="B4054" s="41" t="str">
        <f>IFERROR(__xludf.DUMMYFUNCTION("""COMPUTED_VALUE"""),"Dimez")</f>
        <v>Dimez</v>
      </c>
    </row>
    <row r="4055">
      <c r="A4055" s="41" t="str">
        <f>IFERROR(__xludf.DUMMYFUNCTION("""COMPUTED_VALUE"""),"RSC004067")</f>
        <v>RSC004067</v>
      </c>
      <c r="B4055" s="41" t="str">
        <f>IFERROR(__xludf.DUMMYFUNCTION("""COMPUTED_VALUE"""),"envy.")</f>
        <v>envy.</v>
      </c>
    </row>
    <row r="4056">
      <c r="A4056" s="41" t="str">
        <f>IFERROR(__xludf.DUMMYFUNCTION("""COMPUTED_VALUE"""),"RSC004068")</f>
        <v>RSC004068</v>
      </c>
      <c r="B4056" s="41" t="str">
        <f>IFERROR(__xludf.DUMMYFUNCTION("""COMPUTED_VALUE"""),"Kaizen")</f>
        <v>Kaizen</v>
      </c>
    </row>
    <row r="4057">
      <c r="A4057" s="41" t="str">
        <f>IFERROR(__xludf.DUMMYFUNCTION("""COMPUTED_VALUE"""),"RSC004069")</f>
        <v>RSC004069</v>
      </c>
      <c r="B4057" s="41" t="str">
        <f>IFERROR(__xludf.DUMMYFUNCTION("""COMPUTED_VALUE"""),"C-Lode")</f>
        <v>C-Lode</v>
      </c>
    </row>
    <row r="4058">
      <c r="A4058" s="41" t="str">
        <f>IFERROR(__xludf.DUMMYFUNCTION("""COMPUTED_VALUE"""),"RSC004070")</f>
        <v>RSC004070</v>
      </c>
      <c r="B4058" s="41" t="str">
        <f>IFERROR(__xludf.DUMMYFUNCTION("""COMPUTED_VALUE"""),"DR. BABIES")</f>
        <v>DR. BABIES</v>
      </c>
    </row>
    <row r="4059">
      <c r="A4059" s="41" t="str">
        <f>IFERROR(__xludf.DUMMYFUNCTION("""COMPUTED_VALUE"""),"RSC004071")</f>
        <v>RSC004071</v>
      </c>
      <c r="B4059" s="41" t="str">
        <f>IFERROR(__xludf.DUMMYFUNCTION("""COMPUTED_VALUE"""),"GurglingRL")</f>
        <v>GurglingRL</v>
      </c>
    </row>
    <row r="4060">
      <c r="A4060" s="41" t="str">
        <f>IFERROR(__xludf.DUMMYFUNCTION("""COMPUTED_VALUE"""),"RSC004072")</f>
        <v>RSC004072</v>
      </c>
      <c r="B4060" s="41" t="str">
        <f>IFERROR(__xludf.DUMMYFUNCTION("""COMPUTED_VALUE"""),"Tombraider720")</f>
        <v>Tombraider720</v>
      </c>
    </row>
    <row r="4061">
      <c r="A4061" s="41" t="str">
        <f>IFERROR(__xludf.DUMMYFUNCTION("""COMPUTED_VALUE"""),"RSC004073")</f>
        <v>RSC004073</v>
      </c>
      <c r="B4061" s="41" t="str">
        <f>IFERROR(__xludf.DUMMYFUNCTION("""COMPUTED_VALUE"""),"BusterChugs")</f>
        <v>BusterChugs</v>
      </c>
    </row>
    <row r="4062">
      <c r="A4062" s="41" t="str">
        <f>IFERROR(__xludf.DUMMYFUNCTION("""COMPUTED_VALUE"""),"RSC004074")</f>
        <v>RSC004074</v>
      </c>
      <c r="B4062" s="41" t="str">
        <f>IFERROR(__xludf.DUMMYFUNCTION("""COMPUTED_VALUE"""),"Daryo")</f>
        <v>Daryo</v>
      </c>
    </row>
    <row r="4063">
      <c r="A4063" s="41" t="str">
        <f>IFERROR(__xludf.DUMMYFUNCTION("""COMPUTED_VALUE"""),"RSC004075")</f>
        <v>RSC004075</v>
      </c>
      <c r="B4063" s="41" t="str">
        <f>IFERROR(__xludf.DUMMYFUNCTION("""COMPUTED_VALUE"""),"iSmokePans420")</f>
        <v>iSmokePans420</v>
      </c>
    </row>
    <row r="4064">
      <c r="A4064" s="41" t="str">
        <f>IFERROR(__xludf.DUMMYFUNCTION("""COMPUTED_VALUE"""),"RSC004076")</f>
        <v>RSC004076</v>
      </c>
      <c r="B4064" s="41" t="str">
        <f>IFERROR(__xludf.DUMMYFUNCTION("""COMPUTED_VALUE"""),"Possibly.")</f>
        <v>Possibly.</v>
      </c>
    </row>
    <row r="4065">
      <c r="A4065" s="41" t="str">
        <f>IFERROR(__xludf.DUMMYFUNCTION("""COMPUTED_VALUE"""),"RSC004077")</f>
        <v>RSC004077</v>
      </c>
      <c r="B4065" s="41" t="str">
        <f>IFERROR(__xludf.DUMMYFUNCTION("""COMPUTED_VALUE"""),"RWB")</f>
        <v>RWB</v>
      </c>
    </row>
    <row r="4066">
      <c r="A4066" s="41" t="str">
        <f>IFERROR(__xludf.DUMMYFUNCTION("""COMPUTED_VALUE"""),"RSC004078")</f>
        <v>RSC004078</v>
      </c>
      <c r="B4066" s="41" t="str">
        <f>IFERROR(__xludf.DUMMYFUNCTION("""COMPUTED_VALUE"""),"not Jeff")</f>
        <v>not Jeff</v>
      </c>
    </row>
    <row r="4067">
      <c r="A4067" s="41" t="str">
        <f>IFERROR(__xludf.DUMMYFUNCTION("""COMPUTED_VALUE"""),"RSC004079")</f>
        <v>RSC004079</v>
      </c>
      <c r="B4067" s="41" t="str">
        <f>IFERROR(__xludf.DUMMYFUNCTION("""COMPUTED_VALUE"""),"tox")</f>
        <v>tox</v>
      </c>
    </row>
    <row r="4068">
      <c r="A4068" s="41" t="str">
        <f>IFERROR(__xludf.DUMMYFUNCTION("""COMPUTED_VALUE"""),"RSC004080")</f>
        <v>RSC004080</v>
      </c>
      <c r="B4068" s="41" t="str">
        <f>IFERROR(__xludf.DUMMYFUNCTION("""COMPUTED_VALUE"""),"Skyline Russell")</f>
        <v>Skyline Russell</v>
      </c>
    </row>
    <row r="4069">
      <c r="A4069" s="41" t="str">
        <f>IFERROR(__xludf.DUMMYFUNCTION("""COMPUTED_VALUE"""),"RSC004081")</f>
        <v>RSC004081</v>
      </c>
      <c r="B4069" s="41" t="str">
        <f>IFERROR(__xludf.DUMMYFUNCTION("""COMPUTED_VALUE"""),"KYLE")</f>
        <v>KYLE</v>
      </c>
    </row>
    <row r="4070">
      <c r="A4070" s="41" t="str">
        <f>IFERROR(__xludf.DUMMYFUNCTION("""COMPUTED_VALUE"""),"RSC004082")</f>
        <v>RSC004082</v>
      </c>
      <c r="B4070" s="41" t="str">
        <f>IFERROR(__xludf.DUMMYFUNCTION("""COMPUTED_VALUE"""),"Boris the Spyder")</f>
        <v>Boris the Spyder</v>
      </c>
    </row>
    <row r="4071">
      <c r="A4071" s="41" t="str">
        <f>IFERROR(__xludf.DUMMYFUNCTION("""COMPUTED_VALUE"""),"RSC004083")</f>
        <v>RSC004083</v>
      </c>
      <c r="B4071" s="41" t="str">
        <f>IFERROR(__xludf.DUMMYFUNCTION("""COMPUTED_VALUE"""),"Toast and Bananas")</f>
        <v>Toast and Bananas</v>
      </c>
    </row>
    <row r="4072">
      <c r="A4072" s="41" t="str">
        <f>IFERROR(__xludf.DUMMYFUNCTION("""COMPUTED_VALUE"""),"RSC004084")</f>
        <v>RSC004084</v>
      </c>
      <c r="B4072" s="41" t="str">
        <f>IFERROR(__xludf.DUMMYFUNCTION("""COMPUTED_VALUE"""),"ChargedBlivion")</f>
        <v>ChargedBlivion</v>
      </c>
    </row>
    <row r="4073">
      <c r="A4073" s="41" t="str">
        <f>IFERROR(__xludf.DUMMYFUNCTION("""COMPUTED_VALUE"""),"RSC004085")</f>
        <v>RSC004085</v>
      </c>
      <c r="B4073" s="41" t="str">
        <f>IFERROR(__xludf.DUMMYFUNCTION("""COMPUTED_VALUE"""),"ayyy_Itz_hxllxw")</f>
        <v>ayyy_Itz_hxllxw</v>
      </c>
    </row>
    <row r="4074">
      <c r="A4074" s="41" t="str">
        <f>IFERROR(__xludf.DUMMYFUNCTION("""COMPUTED_VALUE"""),"RSC004086")</f>
        <v>RSC004086</v>
      </c>
      <c r="B4074" s="41" t="str">
        <f>IFERROR(__xludf.DUMMYFUNCTION("""COMPUTED_VALUE"""),"Spikeraas81")</f>
        <v>Spikeraas81</v>
      </c>
    </row>
    <row r="4075">
      <c r="A4075" s="41" t="str">
        <f>IFERROR(__xludf.DUMMYFUNCTION("""COMPUTED_VALUE"""),"RSC004087")</f>
        <v>RSC004087</v>
      </c>
      <c r="B4075" s="41" t="str">
        <f>IFERROR(__xludf.DUMMYFUNCTION("""COMPUTED_VALUE"""),"Synocai")</f>
        <v>Synocai</v>
      </c>
    </row>
    <row r="4076">
      <c r="A4076" s="41" t="str">
        <f>IFERROR(__xludf.DUMMYFUNCTION("""COMPUTED_VALUE"""),"RSC004088")</f>
        <v>RSC004088</v>
      </c>
      <c r="B4076" s="41" t="str">
        <f>IFERROR(__xludf.DUMMYFUNCTION("""COMPUTED_VALUE"""),"Kenji SK")</f>
        <v>Kenji SK</v>
      </c>
    </row>
    <row r="4077">
      <c r="A4077" s="41" t="str">
        <f>IFERROR(__xludf.DUMMYFUNCTION("""COMPUTED_VALUE"""),"RSC004089")</f>
        <v>RSC004089</v>
      </c>
      <c r="B4077" s="41" t="str">
        <f>IFERROR(__xludf.DUMMYFUNCTION("""COMPUTED_VALUE"""),"decay 333")</f>
        <v>decay 333</v>
      </c>
    </row>
    <row r="4078">
      <c r="A4078" s="41" t="str">
        <f>IFERROR(__xludf.DUMMYFUNCTION("""COMPUTED_VALUE"""),"RSC004090")</f>
        <v>RSC004090</v>
      </c>
      <c r="B4078" s="41" t="str">
        <f>IFERROR(__xludf.DUMMYFUNCTION("""COMPUTED_VALUE"""),"LikeWisse")</f>
        <v>LikeWisse</v>
      </c>
    </row>
    <row r="4079">
      <c r="A4079" s="41" t="str">
        <f>IFERROR(__xludf.DUMMYFUNCTION("""COMPUTED_VALUE"""),"RSC004092")</f>
        <v>RSC004092</v>
      </c>
      <c r="B4079" s="41" t="str">
        <f>IFERROR(__xludf.DUMMYFUNCTION("""COMPUTED_VALUE"""),"XxJoePaKnewxX")</f>
        <v>XxJoePaKnewxX</v>
      </c>
    </row>
    <row r="4080">
      <c r="A4080" s="41" t="str">
        <f>IFERROR(__xludf.DUMMYFUNCTION("""COMPUTED_VALUE"""),"RSC004093")</f>
        <v>RSC004093</v>
      </c>
      <c r="B4080" s="41" t="str">
        <f>IFERROR(__xludf.DUMMYFUNCTION("""COMPUTED_VALUE"""),"BrucesGooses")</f>
        <v>BrucesGooses</v>
      </c>
    </row>
    <row r="4081">
      <c r="A4081" s="41" t="str">
        <f>IFERROR(__xludf.DUMMYFUNCTION("""COMPUTED_VALUE"""),"RSC004094")</f>
        <v>RSC004094</v>
      </c>
      <c r="B4081" s="41" t="str">
        <f>IFERROR(__xludf.DUMMYFUNCTION("""COMPUTED_VALUE"""),"Moxen")</f>
        <v>Moxen</v>
      </c>
    </row>
    <row r="4082">
      <c r="A4082" s="41" t="str">
        <f>IFERROR(__xludf.DUMMYFUNCTION("""COMPUTED_VALUE"""),"RSC004096")</f>
        <v>RSC004096</v>
      </c>
      <c r="B4082" s="41" t="str">
        <f>IFERROR(__xludf.DUMMYFUNCTION("""COMPUTED_VALUE"""),"Ben (banned admin)")</f>
        <v>Ben (banned admin)</v>
      </c>
    </row>
    <row r="4083">
      <c r="A4083" s="41" t="str">
        <f>IFERROR(__xludf.DUMMYFUNCTION("""COMPUTED_VALUE"""),"RSC004097")</f>
        <v>RSC004097</v>
      </c>
      <c r="B4083" s="41" t="str">
        <f>IFERROR(__xludf.DUMMYFUNCTION("""COMPUTED_VALUE"""),"CoolBags3")</f>
        <v>CoolBags3</v>
      </c>
    </row>
    <row r="4084">
      <c r="A4084" s="41" t="str">
        <f>IFERROR(__xludf.DUMMYFUNCTION("""COMPUTED_VALUE"""),"RSC004098")</f>
        <v>RSC004098</v>
      </c>
      <c r="B4084" s="41" t="str">
        <f>IFERROR(__xludf.DUMMYFUNCTION("""COMPUTED_VALUE"""),"DISIFTW")</f>
        <v>DISIFTW</v>
      </c>
    </row>
    <row r="4085">
      <c r="A4085" s="41" t="str">
        <f>IFERROR(__xludf.DUMMYFUNCTION("""COMPUTED_VALUE"""),"RSC004099")</f>
        <v>RSC004099</v>
      </c>
      <c r="B4085" s="41" t="str">
        <f>IFERROR(__xludf.DUMMYFUNCTION("""COMPUTED_VALUE"""),"benpie24")</f>
        <v>benpie24</v>
      </c>
    </row>
    <row r="4086">
      <c r="A4086" s="41" t="str">
        <f>IFERROR(__xludf.DUMMYFUNCTION("""COMPUTED_VALUE"""),"RSC004100")</f>
        <v>RSC004100</v>
      </c>
      <c r="B4086" s="41" t="str">
        <f>IFERROR(__xludf.DUMMYFUNCTION("""COMPUTED_VALUE"""),"cam. rellim.")</f>
        <v>cam. rellim.</v>
      </c>
    </row>
    <row r="4087">
      <c r="A4087" s="41" t="str">
        <f>IFERROR(__xludf.DUMMYFUNCTION("""COMPUTED_VALUE"""),"RSC004101")</f>
        <v>RSC004101</v>
      </c>
      <c r="B4087" s="41" t="str">
        <f>IFERROR(__xludf.DUMMYFUNCTION("""COMPUTED_VALUE"""),"DaPapaPillow")</f>
        <v>DaPapaPillow</v>
      </c>
    </row>
    <row r="4088">
      <c r="A4088" s="41" t="str">
        <f>IFERROR(__xludf.DUMMYFUNCTION("""COMPUTED_VALUE"""),"RSC004102")</f>
        <v>RSC004102</v>
      </c>
      <c r="B4088" s="41" t="str">
        <f>IFERROR(__xludf.DUMMYFUNCTION("""COMPUTED_VALUE"""),"dmnd7")</f>
        <v>dmnd7</v>
      </c>
    </row>
    <row r="4089">
      <c r="A4089" s="41" t="str">
        <f>IFERROR(__xludf.DUMMYFUNCTION("""COMPUTED_VALUE"""),"RSC004103")</f>
        <v>RSC004103</v>
      </c>
      <c r="B4089" s="41" t="str">
        <f>IFERROR(__xludf.DUMMYFUNCTION("""COMPUTED_VALUE"""),"YTcrimsonTY")</f>
        <v>YTcrimsonTY</v>
      </c>
    </row>
    <row r="4090">
      <c r="A4090" s="41" t="str">
        <f>IFERROR(__xludf.DUMMYFUNCTION("""COMPUTED_VALUE"""),"RSC004104")</f>
        <v>RSC004104</v>
      </c>
      <c r="B4090" s="41" t="str">
        <f>IFERROR(__xludf.DUMMYFUNCTION("""COMPUTED_VALUE"""),"Klassi .")</f>
        <v>Klassi .</v>
      </c>
    </row>
    <row r="4091">
      <c r="A4091" s="41" t="str">
        <f>IFERROR(__xludf.DUMMYFUNCTION("""COMPUTED_VALUE"""),"RSC004105")</f>
        <v>RSC004105</v>
      </c>
      <c r="B4091" s="41" t="str">
        <f>IFERROR(__xludf.DUMMYFUNCTION("""COMPUTED_VALUE"""),"OldManSpooky180")</f>
        <v>OldManSpooky180</v>
      </c>
    </row>
    <row r="4092">
      <c r="A4092" s="41" t="str">
        <f>IFERROR(__xludf.DUMMYFUNCTION("""COMPUTED_VALUE"""),"RSC004106")</f>
        <v>RSC004106</v>
      </c>
      <c r="B4092" s="41" t="str">
        <f>IFERROR(__xludf.DUMMYFUNCTION("""COMPUTED_VALUE"""),"K.Doughboy")</f>
        <v>K.Doughboy</v>
      </c>
    </row>
    <row r="4093">
      <c r="A4093" s="41" t="str">
        <f>IFERROR(__xludf.DUMMYFUNCTION("""COMPUTED_VALUE"""),"RSC004107")</f>
        <v>RSC004107</v>
      </c>
      <c r="B4093" s="41" t="str">
        <f>IFERROR(__xludf.DUMMYFUNCTION("""COMPUTED_VALUE"""),"FlyFyre.")</f>
        <v>FlyFyre.</v>
      </c>
    </row>
    <row r="4094">
      <c r="A4094" s="41" t="str">
        <f>IFERROR(__xludf.DUMMYFUNCTION("""COMPUTED_VALUE"""),"RSC004108")</f>
        <v>RSC004108</v>
      </c>
      <c r="B4094" s="41" t="str">
        <f>IFERROR(__xludf.DUMMYFUNCTION("""COMPUTED_VALUE"""),"ESTO")</f>
        <v>ESTO</v>
      </c>
    </row>
    <row r="4095">
      <c r="A4095" s="41" t="str">
        <f>IFERROR(__xludf.DUMMYFUNCTION("""COMPUTED_VALUE"""),"RSC004109")</f>
        <v>RSC004109</v>
      </c>
      <c r="B4095" s="41" t="str">
        <f>IFERROR(__xludf.DUMMYFUNCTION("""COMPUTED_VALUE"""),"Hawkish")</f>
        <v>Hawkish</v>
      </c>
    </row>
    <row r="4096">
      <c r="A4096" s="41" t="str">
        <f>IFERROR(__xludf.DUMMYFUNCTION("""COMPUTED_VALUE"""),"RSC004110")</f>
        <v>RSC004110</v>
      </c>
      <c r="B4096" s="41" t="str">
        <f>IFERROR(__xludf.DUMMYFUNCTION("""COMPUTED_VALUE"""),"zzz.ack")</f>
        <v>zzz.ack</v>
      </c>
    </row>
    <row r="4097">
      <c r="A4097" s="41" t="str">
        <f>IFERROR(__xludf.DUMMYFUNCTION("""COMPUTED_VALUE"""),"RSC004111")</f>
        <v>RSC004111</v>
      </c>
      <c r="B4097" s="41" t="str">
        <f>IFERROR(__xludf.DUMMYFUNCTION("""COMPUTED_VALUE"""),"Kamui_51")</f>
        <v>Kamui_51</v>
      </c>
    </row>
    <row r="4098">
      <c r="A4098" s="41" t="str">
        <f>IFERROR(__xludf.DUMMYFUNCTION("""COMPUTED_VALUE"""),"RSC004112")</f>
        <v>RSC004112</v>
      </c>
      <c r="B4098" s="41" t="str">
        <f>IFERROR(__xludf.DUMMYFUNCTION("""COMPUTED_VALUE"""),"Kruger")</f>
        <v>Kruger</v>
      </c>
    </row>
    <row r="4099">
      <c r="A4099" s="41" t="str">
        <f>IFERROR(__xludf.DUMMYFUNCTION("""COMPUTED_VALUE"""),"RSC004113")</f>
        <v>RSC004113</v>
      </c>
      <c r="B4099" s="41" t="str">
        <f>IFERROR(__xludf.DUMMYFUNCTION("""COMPUTED_VALUE"""),"Astarte")</f>
        <v>Astarte</v>
      </c>
    </row>
    <row r="4100">
      <c r="A4100" s="41" t="str">
        <f>IFERROR(__xludf.DUMMYFUNCTION("""COMPUTED_VALUE"""),"RSC004114")</f>
        <v>RSC004114</v>
      </c>
      <c r="B4100" s="41" t="str">
        <f>IFERROR(__xludf.DUMMYFUNCTION("""COMPUTED_VALUE"""),"WhynotMar")</f>
        <v>WhynotMar</v>
      </c>
    </row>
    <row r="4101">
      <c r="A4101" s="41" t="str">
        <f>IFERROR(__xludf.DUMMYFUNCTION("""COMPUTED_VALUE"""),"RSC004115")</f>
        <v>RSC004115</v>
      </c>
      <c r="B4101" s="41" t="str">
        <f>IFERROR(__xludf.DUMMYFUNCTION("""COMPUTED_VALUE"""),"Marvin.")</f>
        <v>Marvin.</v>
      </c>
    </row>
    <row r="4102">
      <c r="A4102" s="41" t="str">
        <f>IFERROR(__xludf.DUMMYFUNCTION("""COMPUTED_VALUE"""),"RSC004116")</f>
        <v>RSC004116</v>
      </c>
      <c r="B4102" s="41" t="str">
        <f>IFERROR(__xludf.DUMMYFUNCTION("""COMPUTED_VALUE"""),"TaterLoyd")</f>
        <v>TaterLoyd</v>
      </c>
    </row>
    <row r="4103">
      <c r="A4103" s="41" t="str">
        <f>IFERROR(__xludf.DUMMYFUNCTION("""COMPUTED_VALUE"""),"RSC004117")</f>
        <v>RSC004117</v>
      </c>
      <c r="B4103" s="41" t="str">
        <f>IFERROR(__xludf.DUMMYFUNCTION("""COMPUTED_VALUE"""),"FossiiLs")</f>
        <v>FossiiLs</v>
      </c>
    </row>
    <row r="4104">
      <c r="A4104" s="41" t="str">
        <f>IFERROR(__xludf.DUMMYFUNCTION("""COMPUTED_VALUE"""),"RSC004118")</f>
        <v>RSC004118</v>
      </c>
      <c r="B4104" s="41" t="str">
        <f>IFERROR(__xludf.DUMMYFUNCTION("""COMPUTED_VALUE"""),"yuki.rl.")</f>
        <v>yuki.rl.</v>
      </c>
    </row>
    <row r="4105">
      <c r="A4105" s="41" t="str">
        <f>IFERROR(__xludf.DUMMYFUNCTION("""COMPUTED_VALUE"""),"RSC004119")</f>
        <v>RSC004119</v>
      </c>
      <c r="B4105" s="41" t="str">
        <f>IFERROR(__xludf.DUMMYFUNCTION("""COMPUTED_VALUE"""),"Tie")</f>
        <v>Tie</v>
      </c>
    </row>
    <row r="4106">
      <c r="A4106" s="41" t="str">
        <f>IFERROR(__xludf.DUMMYFUNCTION("""COMPUTED_VALUE"""),"RSC004120")</f>
        <v>RSC004120</v>
      </c>
      <c r="B4106" s="41" t="str">
        <f>IFERROR(__xludf.DUMMYFUNCTION("""COMPUTED_VALUE"""),"Silk MrFishy")</f>
        <v>Silk MrFishy</v>
      </c>
    </row>
    <row r="4107">
      <c r="A4107" s="41" t="str">
        <f>IFERROR(__xludf.DUMMYFUNCTION("""COMPUTED_VALUE"""),"RSC004121")</f>
        <v>RSC004121</v>
      </c>
      <c r="B4107" s="41" t="str">
        <f>IFERROR(__xludf.DUMMYFUNCTION("""COMPUTED_VALUE"""),"J c L L")</f>
        <v>J c L L</v>
      </c>
    </row>
    <row r="4108">
      <c r="A4108" s="41" t="str">
        <f>IFERROR(__xludf.DUMMYFUNCTION("""COMPUTED_VALUE"""),"RSC004122")</f>
        <v>RSC004122</v>
      </c>
      <c r="B4108" s="41" t="str">
        <f>IFERROR(__xludf.DUMMYFUNCTION("""COMPUTED_VALUE"""),"Shark")</f>
        <v>Shark</v>
      </c>
    </row>
    <row r="4109">
      <c r="A4109" s="41" t="str">
        <f>IFERROR(__xludf.DUMMYFUNCTION("""COMPUTED_VALUE"""),"RSC004123")</f>
        <v>RSC004123</v>
      </c>
      <c r="B4109" s="41" t="str">
        <f>IFERROR(__xludf.DUMMYFUNCTION("""COMPUTED_VALUE"""),"Rico")</f>
        <v>Rico</v>
      </c>
    </row>
    <row r="4110">
      <c r="A4110" s="41" t="str">
        <f>IFERROR(__xludf.DUMMYFUNCTION("""COMPUTED_VALUE"""),"RSC004124")</f>
        <v>RSC004124</v>
      </c>
      <c r="B4110" s="41" t="str">
        <f>IFERROR(__xludf.DUMMYFUNCTION("""COMPUTED_VALUE"""),"Bails")</f>
        <v>Bails</v>
      </c>
    </row>
    <row r="4111">
      <c r="A4111" s="41" t="str">
        <f>IFERROR(__xludf.DUMMYFUNCTION("""COMPUTED_VALUE"""),"RSC004125")</f>
        <v>RSC004125</v>
      </c>
      <c r="B4111" s="41" t="str">
        <f>IFERROR(__xludf.DUMMYFUNCTION("""COMPUTED_VALUE"""),"EZ")</f>
        <v>EZ</v>
      </c>
    </row>
    <row r="4112">
      <c r="A4112" s="41" t="str">
        <f>IFERROR(__xludf.DUMMYFUNCTION("""COMPUTED_VALUE"""),"RSC004126")</f>
        <v>RSC004126</v>
      </c>
      <c r="B4112" s="41" t="str">
        <f>IFERROR(__xludf.DUMMYFUNCTION("""COMPUTED_VALUE"""),"Ad1erX228")</f>
        <v>Ad1erX228</v>
      </c>
    </row>
    <row r="4113">
      <c r="A4113" s="41" t="str">
        <f>IFERROR(__xludf.DUMMYFUNCTION("""COMPUTED_VALUE"""),"RSC004127")</f>
        <v>RSC004127</v>
      </c>
      <c r="B4113" s="41" t="str">
        <f>IFERROR(__xludf.DUMMYFUNCTION("""COMPUTED_VALUE"""),"kallagen")</f>
        <v>kallagen</v>
      </c>
    </row>
    <row r="4114">
      <c r="A4114" s="41" t="str">
        <f>IFERROR(__xludf.DUMMYFUNCTION("""COMPUTED_VALUE"""),"RSC004128")</f>
        <v>RSC004128</v>
      </c>
      <c r="B4114" s="41" t="str">
        <f>IFERROR(__xludf.DUMMYFUNCTION("""COMPUTED_VALUE"""),"Smoog")</f>
        <v>Smoog</v>
      </c>
    </row>
    <row r="4115">
      <c r="A4115" s="41" t="str">
        <f>IFERROR(__xludf.DUMMYFUNCTION("""COMPUTED_VALUE"""),"RSC004129")</f>
        <v>RSC004129</v>
      </c>
      <c r="B4115" s="41" t="str">
        <f>IFERROR(__xludf.DUMMYFUNCTION("""COMPUTED_VALUE"""),"VT Yukxz")</f>
        <v>VT Yukxz</v>
      </c>
    </row>
    <row r="4116">
      <c r="A4116" s="41" t="str">
        <f>IFERROR(__xludf.DUMMYFUNCTION("""COMPUTED_VALUE"""),"RSC004130")</f>
        <v>RSC004130</v>
      </c>
      <c r="B4116" s="41" t="str">
        <f>IFERROR(__xludf.DUMMYFUNCTION("""COMPUTED_VALUE"""),"Phantão")</f>
        <v>Phantão</v>
      </c>
    </row>
    <row r="4117">
      <c r="A4117" s="41" t="str">
        <f>IFERROR(__xludf.DUMMYFUNCTION("""COMPUTED_VALUE"""),"RSC004131")</f>
        <v>RSC004131</v>
      </c>
      <c r="B4117" s="41" t="str">
        <f>IFERROR(__xludf.DUMMYFUNCTION("""COMPUTED_VALUE"""),"Poptart Pounder")</f>
        <v>Poptart Pounder</v>
      </c>
    </row>
    <row r="4118">
      <c r="A4118" s="41" t="str">
        <f>IFERROR(__xludf.DUMMYFUNCTION("""COMPUTED_VALUE"""),"RSC004132")</f>
        <v>RSC004132</v>
      </c>
      <c r="B4118" s="41" t="str">
        <f>IFERROR(__xludf.DUMMYFUNCTION("""COMPUTED_VALUE"""),"RobFromCSA")</f>
        <v>RobFromCSA</v>
      </c>
    </row>
    <row r="4119">
      <c r="A4119" s="41" t="str">
        <f>IFERROR(__xludf.DUMMYFUNCTION("""COMPUTED_VALUE"""),"RSC004133")</f>
        <v>RSC004133</v>
      </c>
      <c r="B4119" s="41" t="str">
        <f>IFERROR(__xludf.DUMMYFUNCTION("""COMPUTED_VALUE"""),"LostSonofHades")</f>
        <v>LostSonofHades</v>
      </c>
    </row>
    <row r="4120">
      <c r="A4120" s="41" t="str">
        <f>IFERROR(__xludf.DUMMYFUNCTION("""COMPUTED_VALUE"""),"RSC004134")</f>
        <v>RSC004134</v>
      </c>
      <c r="B4120" s="41" t="str">
        <f>IFERROR(__xludf.DUMMYFUNCTION("""COMPUTED_VALUE"""),"ratmeisterjake")</f>
        <v>ratmeisterjake</v>
      </c>
    </row>
    <row r="4121">
      <c r="A4121" s="41" t="str">
        <f>IFERROR(__xludf.DUMMYFUNCTION("""COMPUTED_VALUE"""),"RSC004135")</f>
        <v>RSC004135</v>
      </c>
      <c r="B4121" s="41" t="str">
        <f>IFERROR(__xludf.DUMMYFUNCTION("""COMPUTED_VALUE"""),"FrostII")</f>
        <v>FrostII</v>
      </c>
    </row>
    <row r="4122">
      <c r="A4122" s="41" t="str">
        <f>IFERROR(__xludf.DUMMYFUNCTION("""COMPUTED_VALUE"""),"RSC004136")</f>
        <v>RSC004136</v>
      </c>
      <c r="B4122" s="41" t="str">
        <f>IFERROR(__xludf.DUMMYFUNCTION("""COMPUTED_VALUE"""),"SQirRL.Ttv")</f>
        <v>SQirRL.Ttv</v>
      </c>
    </row>
    <row r="4123">
      <c r="A4123" s="41" t="str">
        <f>IFERROR(__xludf.DUMMYFUNCTION("""COMPUTED_VALUE"""),"RSC004137")</f>
        <v>RSC004137</v>
      </c>
      <c r="B4123" s="41" t="str">
        <f>IFERROR(__xludf.DUMMYFUNCTION("""COMPUTED_VALUE"""),"Azazel")</f>
        <v>Azazel</v>
      </c>
    </row>
    <row r="4124">
      <c r="A4124" s="41" t="str">
        <f>IFERROR(__xludf.DUMMYFUNCTION("""COMPUTED_VALUE"""),"RSC004138")</f>
        <v>RSC004138</v>
      </c>
      <c r="B4124" s="41" t="str">
        <f>IFERROR(__xludf.DUMMYFUNCTION("""COMPUTED_VALUE"""),"ghoosstyyyyyyy")</f>
        <v>ghoosstyyyyyyy</v>
      </c>
    </row>
    <row r="4125">
      <c r="A4125" s="41" t="str">
        <f>IFERROR(__xludf.DUMMYFUNCTION("""COMPUTED_VALUE"""),"RSC004139")</f>
        <v>RSC004139</v>
      </c>
      <c r="B4125" s="41" t="str">
        <f>IFERROR(__xludf.DUMMYFUNCTION("""COMPUTED_VALUE"""),"Naani .")</f>
        <v>Naani .</v>
      </c>
    </row>
    <row r="4126">
      <c r="A4126" s="41" t="str">
        <f>IFERROR(__xludf.DUMMYFUNCTION("""COMPUTED_VALUE"""),"RSC004140")</f>
        <v>RSC004140</v>
      </c>
      <c r="B4126" s="41" t="str">
        <f>IFERROR(__xludf.DUMMYFUNCTION("""COMPUTED_VALUE"""),"Jansim")</f>
        <v>Jansim</v>
      </c>
    </row>
    <row r="4127">
      <c r="A4127" s="41" t="str">
        <f>IFERROR(__xludf.DUMMYFUNCTION("""COMPUTED_VALUE"""),"RSC004141")</f>
        <v>RSC004141</v>
      </c>
      <c r="B4127" s="41" t="str">
        <f>IFERROR(__xludf.DUMMYFUNCTION("""COMPUTED_VALUE"""),"Sgt. Cuervo")</f>
        <v>Sgt. Cuervo</v>
      </c>
    </row>
    <row r="4128">
      <c r="A4128" s="41" t="str">
        <f>IFERROR(__xludf.DUMMYFUNCTION("""COMPUTED_VALUE"""),"RSC004142")</f>
        <v>RSC004142</v>
      </c>
      <c r="B4128" s="41" t="str">
        <f>IFERROR(__xludf.DUMMYFUNCTION("""COMPUTED_VALUE"""),"churucucuy")</f>
        <v>churucucuy</v>
      </c>
    </row>
    <row r="4129">
      <c r="A4129" s="41" t="str">
        <f>IFERROR(__xludf.DUMMYFUNCTION("""COMPUTED_VALUE"""),"RSC004143")</f>
        <v>RSC004143</v>
      </c>
      <c r="B4129" s="41" t="str">
        <f>IFERROR(__xludf.DUMMYFUNCTION("""COMPUTED_VALUE"""),"Littlemac")</f>
        <v>Littlemac</v>
      </c>
    </row>
    <row r="4130">
      <c r="A4130" s="41" t="str">
        <f>IFERROR(__xludf.DUMMYFUNCTION("""COMPUTED_VALUE"""),"RSC004144")</f>
        <v>RSC004144</v>
      </c>
      <c r="B4130" s="41" t="str">
        <f>IFERROR(__xludf.DUMMYFUNCTION("""COMPUTED_VALUE"""),"izure")</f>
        <v>izure</v>
      </c>
    </row>
    <row r="4131">
      <c r="A4131" s="41" t="str">
        <f>IFERROR(__xludf.DUMMYFUNCTION("""COMPUTED_VALUE"""),"RSC004145")</f>
        <v>RSC004145</v>
      </c>
      <c r="B4131" s="41" t="str">
        <f>IFERROR(__xludf.DUMMYFUNCTION("""COMPUTED_VALUE"""),"GroomingGold982")</f>
        <v>GroomingGold982</v>
      </c>
    </row>
    <row r="4132">
      <c r="A4132" s="41" t="str">
        <f>IFERROR(__xludf.DUMMYFUNCTION("""COMPUTED_VALUE"""),"RSC004146")</f>
        <v>RSC004146</v>
      </c>
      <c r="B4132" s="41" t="str">
        <f>IFERROR(__xludf.DUMMYFUNCTION("""COMPUTED_VALUE"""),"dandon")</f>
        <v>dandon</v>
      </c>
    </row>
    <row r="4133">
      <c r="A4133" s="41" t="str">
        <f>IFERROR(__xludf.DUMMYFUNCTION("""COMPUTED_VALUE"""),"RSC004147")</f>
        <v>RSC004147</v>
      </c>
      <c r="B4133" s="41" t="str">
        <f>IFERROR(__xludf.DUMMYFUNCTION("""COMPUTED_VALUE"""),"AtlasxV")</f>
        <v>AtlasxV</v>
      </c>
    </row>
    <row r="4134">
      <c r="A4134" s="41" t="str">
        <f>IFERROR(__xludf.DUMMYFUNCTION("""COMPUTED_VALUE"""),"RSC004148")</f>
        <v>RSC004148</v>
      </c>
      <c r="B4134" s="41" t="str">
        <f>IFERROR(__xludf.DUMMYFUNCTION("""COMPUTED_VALUE"""),"TheNoobishLord")</f>
        <v>TheNoobishLord</v>
      </c>
    </row>
    <row r="4135">
      <c r="A4135" s="41" t="str">
        <f>IFERROR(__xludf.DUMMYFUNCTION("""COMPUTED_VALUE"""),"RSC004149")</f>
        <v>RSC004149</v>
      </c>
      <c r="B4135" s="41" t="str">
        <f>IFERROR(__xludf.DUMMYFUNCTION("""COMPUTED_VALUE"""),"insanity")</f>
        <v>insanity</v>
      </c>
    </row>
    <row r="4136">
      <c r="A4136" s="41" t="str">
        <f>IFERROR(__xludf.DUMMYFUNCTION("""COMPUTED_VALUE"""),"RSC004150")</f>
        <v>RSC004150</v>
      </c>
      <c r="B4136" s="41" t="str">
        <f>IFERROR(__xludf.DUMMYFUNCTION("""COMPUTED_VALUE"""),"BrileyParker")</f>
        <v>BrileyParker</v>
      </c>
    </row>
    <row r="4137">
      <c r="A4137" s="41" t="str">
        <f>IFERROR(__xludf.DUMMYFUNCTION("""COMPUTED_VALUE"""),"RSC004151")</f>
        <v>RSC004151</v>
      </c>
      <c r="B4137" s="41" t="str">
        <f>IFERROR(__xludf.DUMMYFUNCTION("""COMPUTED_VALUE"""),"triturador12")</f>
        <v>triturador12</v>
      </c>
    </row>
    <row r="4138">
      <c r="A4138" s="41" t="str">
        <f>IFERROR(__xludf.DUMMYFUNCTION("""COMPUTED_VALUE"""),"RSC004152")</f>
        <v>RSC004152</v>
      </c>
      <c r="B4138" s="41" t="str">
        <f>IFERROR(__xludf.DUMMYFUNCTION("""COMPUTED_VALUE"""),"joklhops")</f>
        <v>joklhops</v>
      </c>
    </row>
    <row r="4139">
      <c r="A4139" s="41" t="str">
        <f>IFERROR(__xludf.DUMMYFUNCTION("""COMPUTED_VALUE"""),"RSC004153")</f>
        <v>RSC004153</v>
      </c>
      <c r="B4139" s="41" t="str">
        <f>IFERROR(__xludf.DUMMYFUNCTION("""COMPUTED_VALUE"""),"GenghizKaan")</f>
        <v>GenghizKaan</v>
      </c>
    </row>
    <row r="4140">
      <c r="A4140" s="41" t="str">
        <f>IFERROR(__xludf.DUMMYFUNCTION("""COMPUTED_VALUE"""),"RSC004154")</f>
        <v>RSC004154</v>
      </c>
      <c r="B4140" s="41" t="str">
        <f>IFERROR(__xludf.DUMMYFUNCTION("""COMPUTED_VALUE"""),"GoldenFlash_14")</f>
        <v>GoldenFlash_14</v>
      </c>
    </row>
    <row r="4141">
      <c r="A4141" s="41" t="str">
        <f>IFERROR(__xludf.DUMMYFUNCTION("""COMPUTED_VALUE"""),"RSC004155")</f>
        <v>RSC004155</v>
      </c>
      <c r="B4141" s="41" t="str">
        <f>IFERROR(__xludf.DUMMYFUNCTION("""COMPUTED_VALUE"""),"Heroes_Destiny")</f>
        <v>Heroes_Destiny</v>
      </c>
    </row>
    <row r="4142">
      <c r="A4142" s="41" t="str">
        <f>IFERROR(__xludf.DUMMYFUNCTION("""COMPUTED_VALUE"""),"RSC004156")</f>
        <v>RSC004156</v>
      </c>
      <c r="B4142" s="41" t="str">
        <f>IFERROR(__xludf.DUMMYFUNCTION("""COMPUTED_VALUE"""),"TheCoursair")</f>
        <v>TheCoursair</v>
      </c>
    </row>
    <row r="4143">
      <c r="A4143" s="41" t="str">
        <f>IFERROR(__xludf.DUMMYFUNCTION("""COMPUTED_VALUE"""),"RSC004157")</f>
        <v>RSC004157</v>
      </c>
      <c r="B4143" s="41" t="str">
        <f>IFERROR(__xludf.DUMMYFUNCTION("""COMPUTED_VALUE"""),"SKY")</f>
        <v>SKY</v>
      </c>
    </row>
    <row r="4144">
      <c r="A4144" s="41" t="str">
        <f>IFERROR(__xludf.DUMMYFUNCTION("""COMPUTED_VALUE"""),"RSC004158")</f>
        <v>RSC004158</v>
      </c>
      <c r="B4144" s="41" t="str">
        <f>IFERROR(__xludf.DUMMYFUNCTION("""COMPUTED_VALUE"""),"Audigy84")</f>
        <v>Audigy84</v>
      </c>
    </row>
    <row r="4145">
      <c r="A4145" s="41" t="str">
        <f>IFERROR(__xludf.DUMMYFUNCTION("""COMPUTED_VALUE"""),"RSC004159")</f>
        <v>RSC004159</v>
      </c>
      <c r="B4145" s="41" t="str">
        <f>IFERROR(__xludf.DUMMYFUNCTION("""COMPUTED_VALUE"""),"Oneshot930")</f>
        <v>Oneshot930</v>
      </c>
    </row>
    <row r="4146">
      <c r="A4146" s="41" t="str">
        <f>IFERROR(__xludf.DUMMYFUNCTION("""COMPUTED_VALUE"""),"RSC004160")</f>
        <v>RSC004160</v>
      </c>
      <c r="B4146" s="41" t="str">
        <f>IFERROR(__xludf.DUMMYFUNCTION("""COMPUTED_VALUE"""),"Kahlyde")</f>
        <v>Kahlyde</v>
      </c>
    </row>
    <row r="4147">
      <c r="A4147" s="41" t="str">
        <f>IFERROR(__xludf.DUMMYFUNCTION("""COMPUTED_VALUE"""),"RSC004161")</f>
        <v>RSC004161</v>
      </c>
      <c r="B4147" s="41" t="str">
        <f>IFERROR(__xludf.DUMMYFUNCTION("""COMPUTED_VALUE"""),"Del1375")</f>
        <v>Del1375</v>
      </c>
    </row>
    <row r="4148">
      <c r="A4148" s="41" t="str">
        <f>IFERROR(__xludf.DUMMYFUNCTION("""COMPUTED_VALUE"""),"RSC004162")</f>
        <v>RSC004162</v>
      </c>
      <c r="B4148" s="41" t="str">
        <f>IFERROR(__xludf.DUMMYFUNCTION("""COMPUTED_VALUE"""),"edoz10")</f>
        <v>edoz10</v>
      </c>
    </row>
    <row r="4149">
      <c r="A4149" s="41" t="str">
        <f>IFERROR(__xludf.DUMMYFUNCTION("""COMPUTED_VALUE"""),"RSC004163")</f>
        <v>RSC004163</v>
      </c>
      <c r="B4149" s="41" t="str">
        <f>IFERROR(__xludf.DUMMYFUNCTION("""COMPUTED_VALUE"""),"perryxpotter")</f>
        <v>perryxpotter</v>
      </c>
    </row>
    <row r="4150">
      <c r="A4150" s="41" t="str">
        <f>IFERROR(__xludf.DUMMYFUNCTION("""COMPUTED_VALUE"""),"RSC004164")</f>
        <v>RSC004164</v>
      </c>
      <c r="B4150" s="41" t="str">
        <f>IFERROR(__xludf.DUMMYFUNCTION("""COMPUTED_VALUE"""),"shiftmind")</f>
        <v>shiftmind</v>
      </c>
    </row>
    <row r="4151">
      <c r="A4151" s="41" t="str">
        <f>IFERROR(__xludf.DUMMYFUNCTION("""COMPUTED_VALUE"""),"RSC004165")</f>
        <v>RSC004165</v>
      </c>
      <c r="B4151" s="41" t="str">
        <f>IFERROR(__xludf.DUMMYFUNCTION("""COMPUTED_VALUE"""),"Absolutely TOR")</f>
        <v>Absolutely TOR</v>
      </c>
    </row>
    <row r="4152">
      <c r="A4152" s="41" t="str">
        <f>IFERROR(__xludf.DUMMYFUNCTION("""COMPUTED_VALUE"""),"RSC004166")</f>
        <v>RSC004166</v>
      </c>
      <c r="B4152" s="41" t="str">
        <f>IFERROR(__xludf.DUMMYFUNCTION("""COMPUTED_VALUE"""),"markoyo")</f>
        <v>markoyo</v>
      </c>
    </row>
    <row r="4153">
      <c r="A4153" s="41" t="str">
        <f>IFERROR(__xludf.DUMMYFUNCTION("""COMPUTED_VALUE"""),"RSC004167")</f>
        <v>RSC004167</v>
      </c>
      <c r="B4153" s="41" t="str">
        <f>IFERROR(__xludf.DUMMYFUNCTION("""COMPUTED_VALUE"""),"CrookedQuagga666")</f>
        <v>CrookedQuagga666</v>
      </c>
    </row>
    <row r="4154">
      <c r="A4154" s="41" t="str">
        <f>IFERROR(__xludf.DUMMYFUNCTION("""COMPUTED_VALUE"""),"RSC004168")</f>
        <v>RSC004168</v>
      </c>
      <c r="B4154" s="41" t="str">
        <f>IFERROR(__xludf.DUMMYFUNCTION("""COMPUTED_VALUE"""),"Squished420")</f>
        <v>Squished420</v>
      </c>
    </row>
    <row r="4155">
      <c r="A4155" s="41" t="str">
        <f>IFERROR(__xludf.DUMMYFUNCTION("""COMPUTED_VALUE"""),"RSC004169")</f>
        <v>RSC004169</v>
      </c>
      <c r="B4155" s="41" t="str">
        <f>IFERROR(__xludf.DUMMYFUNCTION("""COMPUTED_VALUE"""),"augbog")</f>
        <v>augbog</v>
      </c>
    </row>
    <row r="4156">
      <c r="A4156" s="41" t="str">
        <f>IFERROR(__xludf.DUMMYFUNCTION("""COMPUTED_VALUE"""),"RSC004170")</f>
        <v>RSC004170</v>
      </c>
      <c r="B4156" s="41" t="str">
        <f>IFERROR(__xludf.DUMMYFUNCTION("""COMPUTED_VALUE"""),"Barndor")</f>
        <v>Barndor</v>
      </c>
    </row>
    <row r="4157">
      <c r="A4157" s="41" t="str">
        <f>IFERROR(__xludf.DUMMYFUNCTION("""COMPUTED_VALUE"""),"RSC004171")</f>
        <v>RSC004171</v>
      </c>
      <c r="B4157" s="41" t="str">
        <f>IFERROR(__xludf.DUMMYFUNCTION("""COMPUTED_VALUE"""),"Godfatherfig")</f>
        <v>Godfatherfig</v>
      </c>
    </row>
    <row r="4158">
      <c r="A4158" s="41" t="str">
        <f>IFERROR(__xludf.DUMMYFUNCTION("""COMPUTED_VALUE"""),"RSC004172")</f>
        <v>RSC004172</v>
      </c>
      <c r="B4158" s="41" t="str">
        <f>IFERROR(__xludf.DUMMYFUNCTION("""COMPUTED_VALUE"""),"Handro_The_Great")</f>
        <v>Handro_The_Great</v>
      </c>
    </row>
    <row r="4159">
      <c r="A4159" s="41" t="str">
        <f>IFERROR(__xludf.DUMMYFUNCTION("""COMPUTED_VALUE"""),"RSC004173")</f>
        <v>RSC004173</v>
      </c>
      <c r="B4159" s="41" t="str">
        <f>IFERROR(__xludf.DUMMYFUNCTION("""COMPUTED_VALUE"""),"buckeyefan225")</f>
        <v>buckeyefan225</v>
      </c>
    </row>
    <row r="4160">
      <c r="A4160" s="41" t="str">
        <f>IFERROR(__xludf.DUMMYFUNCTION("""COMPUTED_VALUE"""),"RSC004174")</f>
        <v>RSC004174</v>
      </c>
      <c r="B4160" s="41" t="str">
        <f>IFERROR(__xludf.DUMMYFUNCTION("""COMPUTED_VALUE"""),"Dorito_Theif")</f>
        <v>Dorito_Theif</v>
      </c>
    </row>
    <row r="4161">
      <c r="A4161" s="41" t="str">
        <f>IFERROR(__xludf.DUMMYFUNCTION("""COMPUTED_VALUE"""),"RSC004175")</f>
        <v>RSC004175</v>
      </c>
      <c r="B4161" s="41" t="str">
        <f>IFERROR(__xludf.DUMMYFUNCTION("""COMPUTED_VALUE"""),"Natr Hmpz")</f>
        <v>Natr Hmpz</v>
      </c>
    </row>
    <row r="4162">
      <c r="A4162" s="41" t="str">
        <f>IFERROR(__xludf.DUMMYFUNCTION("""COMPUTED_VALUE"""),"RSC004176")</f>
        <v>RSC004176</v>
      </c>
      <c r="B4162" s="41" t="str">
        <f>IFERROR(__xludf.DUMMYFUNCTION("""COMPUTED_VALUE"""),"meters555")</f>
        <v>meters555</v>
      </c>
    </row>
    <row r="4163">
      <c r="A4163" s="41" t="str">
        <f>IFERROR(__xludf.DUMMYFUNCTION("""COMPUTED_VALUE"""),"RSC004177")</f>
        <v>RSC004177</v>
      </c>
      <c r="B4163" s="41" t="str">
        <f>IFERROR(__xludf.DUMMYFUNCTION("""COMPUTED_VALUE"""),"Abeillonnaise")</f>
        <v>Abeillonnaise</v>
      </c>
    </row>
    <row r="4164">
      <c r="A4164" s="41" t="str">
        <f>IFERROR(__xludf.DUMMYFUNCTION("""COMPUTED_VALUE"""),"RSC004178")</f>
        <v>RSC004178</v>
      </c>
      <c r="B4164" s="41" t="str">
        <f>IFERROR(__xludf.DUMMYFUNCTION("""COMPUTED_VALUE"""),"santi.")</f>
        <v>santi.</v>
      </c>
    </row>
    <row r="4165">
      <c r="A4165" s="41" t="str">
        <f>IFERROR(__xludf.DUMMYFUNCTION("""COMPUTED_VALUE"""),"RSC004179")</f>
        <v>RSC004179</v>
      </c>
      <c r="B4165" s="41" t="str">
        <f>IFERROR(__xludf.DUMMYFUNCTION("""COMPUTED_VALUE"""),"SlyceNate")</f>
        <v>SlyceNate</v>
      </c>
    </row>
    <row r="4166">
      <c r="A4166" s="41" t="str">
        <f>IFERROR(__xludf.DUMMYFUNCTION("""COMPUTED_VALUE"""),"RSC004180")</f>
        <v>RSC004180</v>
      </c>
      <c r="B4166" s="41" t="str">
        <f>IFERROR(__xludf.DUMMYFUNCTION("""COMPUTED_VALUE"""),"KG3924")</f>
        <v>KG3924</v>
      </c>
    </row>
    <row r="4167">
      <c r="A4167" s="41" t="str">
        <f>IFERROR(__xludf.DUMMYFUNCTION("""COMPUTED_VALUE"""),"RSC004181")</f>
        <v>RSC004181</v>
      </c>
      <c r="B4167" s="41" t="str">
        <f>IFERROR(__xludf.DUMMYFUNCTION("""COMPUTED_VALUE"""),"BbyStmpr420")</f>
        <v>BbyStmpr420</v>
      </c>
    </row>
    <row r="4168">
      <c r="A4168" s="41" t="str">
        <f>IFERROR(__xludf.DUMMYFUNCTION("""COMPUTED_VALUE"""),"RSC004182")</f>
        <v>RSC004182</v>
      </c>
      <c r="B4168" s="41" t="str">
        <f>IFERROR(__xludf.DUMMYFUNCTION("""COMPUTED_VALUE"""),"Peak.")</f>
        <v>Peak.</v>
      </c>
    </row>
    <row r="4169">
      <c r="A4169" s="41" t="str">
        <f>IFERROR(__xludf.DUMMYFUNCTION("""COMPUTED_VALUE"""),"RSC004183")</f>
        <v>RSC004183</v>
      </c>
      <c r="B4169" s="41" t="str">
        <f>IFERROR(__xludf.DUMMYFUNCTION("""COMPUTED_VALUE"""),"brodyc.")</f>
        <v>brodyc.</v>
      </c>
    </row>
    <row r="4170">
      <c r="A4170" s="41" t="str">
        <f>IFERROR(__xludf.DUMMYFUNCTION("""COMPUTED_VALUE"""),"RSC004184")</f>
        <v>RSC004184</v>
      </c>
      <c r="B4170" s="41" t="str">
        <f>IFERROR(__xludf.DUMMYFUNCTION("""COMPUTED_VALUE"""),"DrivingWebster")</f>
        <v>DrivingWebster</v>
      </c>
    </row>
    <row r="4171">
      <c r="A4171" s="41" t="str">
        <f>IFERROR(__xludf.DUMMYFUNCTION("""COMPUTED_VALUE"""),"RSC004185")</f>
        <v>RSC004185</v>
      </c>
      <c r="B4171" s="41" t="str">
        <f>IFERROR(__xludf.DUMMYFUNCTION("""COMPUTED_VALUE"""),"Gaither11")</f>
        <v>Gaither11</v>
      </c>
    </row>
    <row r="4172">
      <c r="A4172" s="41" t="str">
        <f>IFERROR(__xludf.DUMMYFUNCTION("""COMPUTED_VALUE"""),"RSC004186")</f>
        <v>RSC004186</v>
      </c>
      <c r="B4172" s="41" t="str">
        <f>IFERROR(__xludf.DUMMYFUNCTION("""COMPUTED_VALUE"""),"nock")</f>
        <v>nock</v>
      </c>
    </row>
    <row r="4173">
      <c r="A4173" s="41" t="str">
        <f>IFERROR(__xludf.DUMMYFUNCTION("""COMPUTED_VALUE"""),"RSC004187")</f>
        <v>RSC004187</v>
      </c>
      <c r="B4173" s="41" t="str">
        <f>IFERROR(__xludf.DUMMYFUNCTION("""COMPUTED_VALUE"""),"ZBennett10")</f>
        <v>ZBennett10</v>
      </c>
    </row>
    <row r="4174">
      <c r="A4174" s="41" t="str">
        <f>IFERROR(__xludf.DUMMYFUNCTION("""COMPUTED_VALUE"""),"RSC004188")</f>
        <v>RSC004188</v>
      </c>
      <c r="B4174" s="41" t="str">
        <f>IFERROR(__xludf.DUMMYFUNCTION("""COMPUTED_VALUE"""),"wntr/x")</f>
        <v>wntr/x</v>
      </c>
    </row>
    <row r="4175">
      <c r="A4175" s="41" t="str">
        <f>IFERROR(__xludf.DUMMYFUNCTION("""COMPUTED_VALUE"""),"RSC004189")</f>
        <v>RSC004189</v>
      </c>
      <c r="B4175" s="41" t="str">
        <f>IFERROR(__xludf.DUMMYFUNCTION("""COMPUTED_VALUE"""),"yeetus")</f>
        <v>yeetus</v>
      </c>
    </row>
    <row r="4176">
      <c r="A4176" s="41" t="str">
        <f>IFERROR(__xludf.DUMMYFUNCTION("""COMPUTED_VALUE"""),"RSC004190")</f>
        <v>RSC004190</v>
      </c>
      <c r="B4176" s="41" t="str">
        <f>IFERROR(__xludf.DUMMYFUNCTION("""COMPUTED_VALUE"""),"Demonikgoat4061")</f>
        <v>Demonikgoat4061</v>
      </c>
    </row>
    <row r="4177">
      <c r="A4177" s="41" t="str">
        <f>IFERROR(__xludf.DUMMYFUNCTION("""COMPUTED_VALUE"""),"RSC004191")</f>
        <v>RSC004191</v>
      </c>
      <c r="B4177" s="41" t="str">
        <f>IFERROR(__xludf.DUMMYFUNCTION("""COMPUTED_VALUE"""),"xXCAGEJENXx")</f>
        <v>xXCAGEJENXx</v>
      </c>
    </row>
    <row r="4178">
      <c r="A4178" s="41" t="str">
        <f>IFERROR(__xludf.DUMMYFUNCTION("""COMPUTED_VALUE"""),"RSC004192")</f>
        <v>RSC004192</v>
      </c>
      <c r="B4178" s="41" t="str">
        <f>IFERROR(__xludf.DUMMYFUNCTION("""COMPUTED_VALUE"""),"Spurilly")</f>
        <v>Spurilly</v>
      </c>
    </row>
    <row r="4179">
      <c r="A4179" s="41" t="str">
        <f>IFERROR(__xludf.DUMMYFUNCTION("""COMPUTED_VALUE"""),"RSC004193")</f>
        <v>RSC004193</v>
      </c>
      <c r="B4179" s="41" t="str">
        <f>IFERROR(__xludf.DUMMYFUNCTION("""COMPUTED_VALUE"""),"Light")</f>
        <v>Light</v>
      </c>
    </row>
    <row r="4180">
      <c r="A4180" s="41" t="str">
        <f>IFERROR(__xludf.DUMMYFUNCTION("""COMPUTED_VALUE"""),"RSC004194")</f>
        <v>RSC004194</v>
      </c>
      <c r="B4180" s="41" t="str">
        <f>IFERROR(__xludf.DUMMYFUNCTION("""COMPUTED_VALUE"""),"Legacy")</f>
        <v>Legacy</v>
      </c>
    </row>
    <row r="4181">
      <c r="A4181" s="41" t="str">
        <f>IFERROR(__xludf.DUMMYFUNCTION("""COMPUTED_VALUE"""),"RSC004195")</f>
        <v>RSC004195</v>
      </c>
      <c r="B4181" s="41" t="str">
        <f>IFERROR(__xludf.DUMMYFUNCTION("""COMPUTED_VALUE"""),"TTV. TuuEazyy")</f>
        <v>TTV. TuuEazyy</v>
      </c>
    </row>
    <row r="4182">
      <c r="A4182" s="41" t="str">
        <f>IFERROR(__xludf.DUMMYFUNCTION("""COMPUTED_VALUE"""),"RSC004196")</f>
        <v>RSC004196</v>
      </c>
      <c r="B4182" s="41" t="str">
        <f>IFERROR(__xludf.DUMMYFUNCTION("""COMPUTED_VALUE"""),"KeylessCreature")</f>
        <v>KeylessCreature</v>
      </c>
    </row>
    <row r="4183">
      <c r="A4183" s="41" t="str">
        <f>IFERROR(__xludf.DUMMYFUNCTION("""COMPUTED_VALUE"""),"RSC004197")</f>
        <v>RSC004197</v>
      </c>
      <c r="B4183" s="41" t="str">
        <f>IFERROR(__xludf.DUMMYFUNCTION("""COMPUTED_VALUE"""),"[USW] Yuuki")</f>
        <v>[USW] Yuuki</v>
      </c>
    </row>
    <row r="4184">
      <c r="A4184" s="41" t="str">
        <f>IFERROR(__xludf.DUMMYFUNCTION("""COMPUTED_VALUE"""),"RSC004198")</f>
        <v>RSC004198</v>
      </c>
      <c r="B4184" s="41" t="str">
        <f>IFERROR(__xludf.DUMMYFUNCTION("""COMPUTED_VALUE"""),"Dr. Cereal")</f>
        <v>Dr. Cereal</v>
      </c>
    </row>
    <row r="4185">
      <c r="A4185" s="41" t="str">
        <f>IFERROR(__xludf.DUMMYFUNCTION("""COMPUTED_VALUE"""),"RSC004199")</f>
        <v>RSC004199</v>
      </c>
      <c r="B4185" s="149" t="str">
        <f>IFERROR(__xludf.DUMMYFUNCTION("""COMPUTED_VALUE"""),"Zora.GG")</f>
        <v>Zora.GG</v>
      </c>
    </row>
    <row r="4186">
      <c r="A4186" s="41" t="str">
        <f>IFERROR(__xludf.DUMMYFUNCTION("""COMPUTED_VALUE"""),"RSC004200")</f>
        <v>RSC004200</v>
      </c>
      <c r="B4186" s="41" t="str">
        <f>IFERROR(__xludf.DUMMYFUNCTION("""COMPUTED_VALUE"""),"Dread.")</f>
        <v>Dread.</v>
      </c>
    </row>
    <row r="4187">
      <c r="A4187" s="41" t="str">
        <f>IFERROR(__xludf.DUMMYFUNCTION("""COMPUTED_VALUE"""),"RSC004201")</f>
        <v>RSC004201</v>
      </c>
      <c r="B4187" s="41" t="str">
        <f>IFERROR(__xludf.DUMMYFUNCTION("""COMPUTED_VALUE"""),"Alter ROB2")</f>
        <v>Alter ROB2</v>
      </c>
    </row>
    <row r="4188">
      <c r="A4188" s="41" t="str">
        <f>IFERROR(__xludf.DUMMYFUNCTION("""COMPUTED_VALUE"""),"RSC004202")</f>
        <v>RSC004202</v>
      </c>
      <c r="B4188" s="41" t="str">
        <f>IFERROR(__xludf.DUMMYFUNCTION("""COMPUTED_VALUE"""),"Splish.")</f>
        <v>Splish.</v>
      </c>
    </row>
    <row r="4189">
      <c r="A4189" s="41" t="str">
        <f>IFERROR(__xludf.DUMMYFUNCTION("""COMPUTED_VALUE"""),"RSC004203")</f>
        <v>RSC004203</v>
      </c>
      <c r="B4189" s="41" t="str">
        <f>IFERROR(__xludf.DUMMYFUNCTION("""COMPUTED_VALUE"""),"superior420hook")</f>
        <v>superior420hook</v>
      </c>
    </row>
    <row r="4190">
      <c r="A4190" s="41" t="str">
        <f>IFERROR(__xludf.DUMMYFUNCTION("""COMPUTED_VALUE"""),"RSC004204")</f>
        <v>RSC004204</v>
      </c>
      <c r="B4190" s="41" t="str">
        <f>IFERROR(__xludf.DUMMYFUNCTION("""COMPUTED_VALUE"""),"KasperThePoet")</f>
        <v>KasperThePoet</v>
      </c>
    </row>
    <row r="4191">
      <c r="A4191" s="41" t="str">
        <f>IFERROR(__xludf.DUMMYFUNCTION("""COMPUTED_VALUE"""),"RSC004205")</f>
        <v>RSC004205</v>
      </c>
      <c r="B4191" s="41" t="str">
        <f>IFERROR(__xludf.DUMMYFUNCTION("""COMPUTED_VALUE"""),"tirmenat")</f>
        <v>tirmenat</v>
      </c>
    </row>
    <row r="4192">
      <c r="A4192" s="41" t="str">
        <f>IFERROR(__xludf.DUMMYFUNCTION("""COMPUTED_VALUE"""),"RSC004206")</f>
        <v>RSC004206</v>
      </c>
      <c r="B4192" s="41" t="str">
        <f>IFERROR(__xludf.DUMMYFUNCTION("""COMPUTED_VALUE"""),"Simpl3_Wolf")</f>
        <v>Simpl3_Wolf</v>
      </c>
    </row>
    <row r="4193">
      <c r="A4193" s="41" t="str">
        <f>IFERROR(__xludf.DUMMYFUNCTION("""COMPUTED_VALUE"""),"RSC004207")</f>
        <v>RSC004207</v>
      </c>
      <c r="B4193" s="41" t="str">
        <f>IFERROR(__xludf.DUMMYFUNCTION("""COMPUTED_VALUE"""),"QX5Z")</f>
        <v>QX5Z</v>
      </c>
    </row>
    <row r="4194">
      <c r="A4194" s="41" t="str">
        <f>IFERROR(__xludf.DUMMYFUNCTION("""COMPUTED_VALUE"""),"RSC004208")</f>
        <v>RSC004208</v>
      </c>
      <c r="B4194" s="41" t="str">
        <f>IFERROR(__xludf.DUMMYFUNCTION("""COMPUTED_VALUE"""),"Super")</f>
        <v>Super</v>
      </c>
    </row>
    <row r="4195">
      <c r="A4195" s="41" t="str">
        <f>IFERROR(__xludf.DUMMYFUNCTION("""COMPUTED_VALUE"""),"RSC004209")</f>
        <v>RSC004209</v>
      </c>
      <c r="B4195" s="41" t="str">
        <f>IFERROR(__xludf.DUMMYFUNCTION("""COMPUTED_VALUE"""),"ChrisMingle")</f>
        <v>ChrisMingle</v>
      </c>
    </row>
    <row r="4196">
      <c r="A4196" s="41" t="str">
        <f>IFERROR(__xludf.DUMMYFUNCTION("""COMPUTED_VALUE"""),"RSC004210")</f>
        <v>RSC004210</v>
      </c>
      <c r="B4196" s="41" t="str">
        <f>IFERROR(__xludf.DUMMYFUNCTION("""COMPUTED_VALUE"""),"NitroWo1f")</f>
        <v>NitroWo1f</v>
      </c>
    </row>
    <row r="4197">
      <c r="A4197" s="41" t="str">
        <f>IFERROR(__xludf.DUMMYFUNCTION("""COMPUTED_VALUE"""),"RSC004211")</f>
        <v>RSC004211</v>
      </c>
      <c r="B4197" s="41" t="str">
        <f>IFERROR(__xludf.DUMMYFUNCTION("""COMPUTED_VALUE"""),"LynchMeister")</f>
        <v>LynchMeister</v>
      </c>
    </row>
    <row r="4198">
      <c r="A4198" s="41" t="str">
        <f>IFERROR(__xludf.DUMMYFUNCTION("""COMPUTED_VALUE"""),"RSC004212")</f>
        <v>RSC004212</v>
      </c>
      <c r="B4198" s="41" t="str">
        <f>IFERROR(__xludf.DUMMYFUNCTION("""COMPUTED_VALUE"""),"Glitch")</f>
        <v>Glitch</v>
      </c>
    </row>
    <row r="4199">
      <c r="A4199" s="41" t="str">
        <f>IFERROR(__xludf.DUMMYFUNCTION("""COMPUTED_VALUE"""),"RSC004213")</f>
        <v>RSC004213</v>
      </c>
      <c r="B4199" s="41" t="str">
        <f>IFERROR(__xludf.DUMMYFUNCTION("""COMPUTED_VALUE"""),"Jaylor")</f>
        <v>Jaylor</v>
      </c>
    </row>
    <row r="4200">
      <c r="A4200" s="41" t="str">
        <f>IFERROR(__xludf.DUMMYFUNCTION("""COMPUTED_VALUE"""),"RSC004214")</f>
        <v>RSC004214</v>
      </c>
      <c r="B4200" s="41" t="str">
        <f>IFERROR(__xludf.DUMMYFUNCTION("""COMPUTED_VALUE"""),"Miserable")</f>
        <v>Miserable</v>
      </c>
    </row>
    <row r="4201">
      <c r="A4201" s="41" t="str">
        <f>IFERROR(__xludf.DUMMYFUNCTION("""COMPUTED_VALUE"""),"RSC004215")</f>
        <v>RSC004215</v>
      </c>
      <c r="B4201" s="41" t="str">
        <f>IFERROR(__xludf.DUMMYFUNCTION("""COMPUTED_VALUE"""),"Tsheg")</f>
        <v>Tsheg</v>
      </c>
    </row>
    <row r="4202">
      <c r="A4202" s="41" t="str">
        <f>IFERROR(__xludf.DUMMYFUNCTION("""COMPUTED_VALUE"""),"RSC004216")</f>
        <v>RSC004216</v>
      </c>
      <c r="B4202" s="41" t="str">
        <f>IFERROR(__xludf.DUMMYFUNCTION("""COMPUTED_VALUE"""),"GrEh")</f>
        <v>GrEh</v>
      </c>
    </row>
    <row r="4203">
      <c r="A4203" s="41" t="str">
        <f>IFERROR(__xludf.DUMMYFUNCTION("""COMPUTED_VALUE"""),"RSC004217")</f>
        <v>RSC004217</v>
      </c>
      <c r="B4203" s="41" t="str">
        <f>IFERROR(__xludf.DUMMYFUNCTION("""COMPUTED_VALUE"""),"Subset")</f>
        <v>Subset</v>
      </c>
    </row>
    <row r="4204">
      <c r="A4204" s="41" t="str">
        <f>IFERROR(__xludf.DUMMYFUNCTION("""COMPUTED_VALUE"""),"RSC004218")</f>
        <v>RSC004218</v>
      </c>
      <c r="B4204" s="41" t="str">
        <f>IFERROR(__xludf.DUMMYFUNCTION("""COMPUTED_VALUE"""),"zelau99")</f>
        <v>zelau99</v>
      </c>
    </row>
    <row r="4205">
      <c r="A4205" s="41" t="str">
        <f>IFERROR(__xludf.DUMMYFUNCTION("""COMPUTED_VALUE"""),"RSC004219")</f>
        <v>RSC004219</v>
      </c>
      <c r="B4205" s="41" t="str">
        <f>IFERROR(__xludf.DUMMYFUNCTION("""COMPUTED_VALUE"""),"Augie Waffler")</f>
        <v>Augie Waffler</v>
      </c>
    </row>
    <row r="4206">
      <c r="A4206" s="41" t="str">
        <f>IFERROR(__xludf.DUMMYFUNCTION("""COMPUTED_VALUE"""),"RSC004220")</f>
        <v>RSC004220</v>
      </c>
      <c r="B4206" s="41" t="str">
        <f>IFERROR(__xludf.DUMMYFUNCTION("""COMPUTED_VALUE"""),"Logixaal")</f>
        <v>Logixaal</v>
      </c>
    </row>
    <row r="4207">
      <c r="A4207" s="41" t="str">
        <f>IFERROR(__xludf.DUMMYFUNCTION("""COMPUTED_VALUE"""),"RSC004221")</f>
        <v>RSC004221</v>
      </c>
      <c r="B4207" s="41" t="str">
        <f>IFERROR(__xludf.DUMMYFUNCTION("""COMPUTED_VALUE"""),"ShakeWe8")</f>
        <v>ShakeWe8</v>
      </c>
    </row>
    <row r="4208">
      <c r="A4208" s="41" t="str">
        <f>IFERROR(__xludf.DUMMYFUNCTION("""COMPUTED_VALUE"""),"RSC004222")</f>
        <v>RSC004222</v>
      </c>
      <c r="B4208" s="41" t="str">
        <f>IFERROR(__xludf.DUMMYFUNCTION("""COMPUTED_VALUE"""),"AtmaBuster")</f>
        <v>AtmaBuster</v>
      </c>
    </row>
    <row r="4209">
      <c r="A4209" s="41" t="str">
        <f>IFERROR(__xludf.DUMMYFUNCTION("""COMPUTED_VALUE"""),"RSC004223")</f>
        <v>RSC004223</v>
      </c>
      <c r="B4209" s="41" t="str">
        <f>IFERROR(__xludf.DUMMYFUNCTION("""COMPUTED_VALUE"""),"covee")</f>
        <v>covee</v>
      </c>
    </row>
    <row r="4210">
      <c r="A4210" s="41" t="str">
        <f>IFERROR(__xludf.DUMMYFUNCTION("""COMPUTED_VALUE"""),"RSC004224")</f>
        <v>RSC004224</v>
      </c>
      <c r="B4210" s="41" t="str">
        <f>IFERROR(__xludf.DUMMYFUNCTION("""COMPUTED_VALUE"""),"Dreemr")</f>
        <v>Dreemr</v>
      </c>
    </row>
    <row r="4211">
      <c r="A4211" s="41" t="str">
        <f>IFERROR(__xludf.DUMMYFUNCTION("""COMPUTED_VALUE"""),"RSC004225")</f>
        <v>RSC004225</v>
      </c>
      <c r="B4211" s="41" t="str">
        <f>IFERROR(__xludf.DUMMYFUNCTION("""COMPUTED_VALUE"""),"Jackk")</f>
        <v>Jackk</v>
      </c>
    </row>
    <row r="4212">
      <c r="A4212" s="41" t="str">
        <f>IFERROR(__xludf.DUMMYFUNCTION("""COMPUTED_VALUE"""),"RSC004226")</f>
        <v>RSC004226</v>
      </c>
      <c r="B4212" s="41" t="str">
        <f>IFERROR(__xludf.DUMMYFUNCTION("""COMPUTED_VALUE"""),"SensibleDictator")</f>
        <v>SensibleDictator</v>
      </c>
    </row>
    <row r="4213">
      <c r="A4213" s="41" t="str">
        <f>IFERROR(__xludf.DUMMYFUNCTION("""COMPUTED_VALUE"""),"RSC004227")</f>
        <v>RSC004227</v>
      </c>
      <c r="B4213" s="41" t="str">
        <f>IFERROR(__xludf.DUMMYFUNCTION("""COMPUTED_VALUE"""),"oatmealmaster")</f>
        <v>oatmealmaster</v>
      </c>
    </row>
    <row r="4214">
      <c r="A4214" s="41" t="str">
        <f>IFERROR(__xludf.DUMMYFUNCTION("""COMPUTED_VALUE"""),"RSC004228")</f>
        <v>RSC004228</v>
      </c>
      <c r="B4214" s="41" t="str">
        <f>IFERROR(__xludf.DUMMYFUNCTION("""COMPUTED_VALUE"""),"LYRICS")</f>
        <v>LYRICS</v>
      </c>
    </row>
    <row r="4215">
      <c r="A4215" s="41" t="str">
        <f>IFERROR(__xludf.DUMMYFUNCTION("""COMPUTED_VALUE"""),"RSC004229")</f>
        <v>RSC004229</v>
      </c>
      <c r="B4215" s="41" t="str">
        <f>IFERROR(__xludf.DUMMYFUNCTION("""COMPUTED_VALUE"""),"doty")</f>
        <v>doty</v>
      </c>
    </row>
    <row r="4216">
      <c r="A4216" s="41" t="str">
        <f>IFERROR(__xludf.DUMMYFUNCTION("""COMPUTED_VALUE"""),"RSC004230")</f>
        <v>RSC004230</v>
      </c>
      <c r="B4216" s="41" t="str">
        <f>IFERROR(__xludf.DUMMYFUNCTION("""COMPUTED_VALUE"""),"SimpMan2020")</f>
        <v>SimpMan2020</v>
      </c>
    </row>
    <row r="4217">
      <c r="A4217" s="41" t="str">
        <f>IFERROR(__xludf.DUMMYFUNCTION("""COMPUTED_VALUE"""),"RSC004231")</f>
        <v>RSC004231</v>
      </c>
      <c r="B4217" s="41" t="str">
        <f>IFERROR(__xludf.DUMMYFUNCTION("""COMPUTED_VALUE"""),"cool1cja")</f>
        <v>cool1cja</v>
      </c>
    </row>
    <row r="4218">
      <c r="A4218" s="41" t="str">
        <f>IFERROR(__xludf.DUMMYFUNCTION("""COMPUTED_VALUE"""),"RSC004232")</f>
        <v>RSC004232</v>
      </c>
      <c r="B4218" s="41" t="str">
        <f>IFERROR(__xludf.DUMMYFUNCTION("""COMPUTED_VALUE"""),"Evan23")</f>
        <v>Evan23</v>
      </c>
    </row>
    <row r="4219">
      <c r="A4219" s="41" t="str">
        <f>IFERROR(__xludf.DUMMYFUNCTION("""COMPUTED_VALUE"""),"RSC004233")</f>
        <v>RSC004233</v>
      </c>
      <c r="B4219" s="41" t="str">
        <f>IFERROR(__xludf.DUMMYFUNCTION("""COMPUTED_VALUE"""),"Kyndyr")</f>
        <v>Kyndyr</v>
      </c>
    </row>
    <row r="4220">
      <c r="A4220" s="41" t="str">
        <f>IFERROR(__xludf.DUMMYFUNCTION("""COMPUTED_VALUE"""),"RSC004234")</f>
        <v>RSC004234</v>
      </c>
      <c r="B4220" s="41" t="str">
        <f>IFERROR(__xludf.DUMMYFUNCTION("""COMPUTED_VALUE"""),"CBHIPHOP77")</f>
        <v>CBHIPHOP77</v>
      </c>
    </row>
    <row r="4221">
      <c r="A4221" s="41" t="str">
        <f>IFERROR(__xludf.DUMMYFUNCTION("""COMPUTED_VALUE"""),"RSC004235")</f>
        <v>RSC004235</v>
      </c>
      <c r="B4221" s="41" t="str">
        <f>IFERROR(__xludf.DUMMYFUNCTION("""COMPUTED_VALUE"""),"Nalyd")</f>
        <v>Nalyd</v>
      </c>
    </row>
    <row r="4222">
      <c r="A4222" s="41" t="str">
        <f>IFERROR(__xludf.DUMMYFUNCTION("""COMPUTED_VALUE"""),"RSC004236")</f>
        <v>RSC004236</v>
      </c>
      <c r="B4222" s="41" t="str">
        <f>IFERROR(__xludf.DUMMYFUNCTION("""COMPUTED_VALUE"""),"theVoni")</f>
        <v>theVoni</v>
      </c>
    </row>
    <row r="4223">
      <c r="A4223" s="41" t="str">
        <f>IFERROR(__xludf.DUMMYFUNCTION("""COMPUTED_VALUE"""),"RSC004237")</f>
        <v>RSC004237</v>
      </c>
      <c r="B4223" s="41" t="str">
        <f>IFERROR(__xludf.DUMMYFUNCTION("""COMPUTED_VALUE"""),"Exist")</f>
        <v>Exist</v>
      </c>
    </row>
    <row r="4224">
      <c r="A4224" s="41" t="str">
        <f>IFERROR(__xludf.DUMMYFUNCTION("""COMPUTED_VALUE"""),"RSC004238")</f>
        <v>RSC004238</v>
      </c>
      <c r="B4224" s="41" t="str">
        <f>IFERROR(__xludf.DUMMYFUNCTION("""COMPUTED_VALUE"""),"Tetsu")</f>
        <v>Tetsu</v>
      </c>
    </row>
    <row r="4225">
      <c r="A4225" s="41" t="str">
        <f>IFERROR(__xludf.DUMMYFUNCTION("""COMPUTED_VALUE"""),"RSC004239")</f>
        <v>RSC004239</v>
      </c>
      <c r="B4225" s="41" t="str">
        <f>IFERROR(__xludf.DUMMYFUNCTION("""COMPUTED_VALUE"""),"Nitro")</f>
        <v>Nitro</v>
      </c>
    </row>
    <row r="4226">
      <c r="A4226" s="41" t="str">
        <f>IFERROR(__xludf.DUMMYFUNCTION("""COMPUTED_VALUE"""),"RSC004240")</f>
        <v>RSC004240</v>
      </c>
      <c r="B4226" s="41" t="str">
        <f>IFERROR(__xludf.DUMMYFUNCTION("""COMPUTED_VALUE"""),"Pls No Bump")</f>
        <v>Pls No Bump</v>
      </c>
    </row>
    <row r="4227">
      <c r="A4227" s="41" t="str">
        <f>IFERROR(__xludf.DUMMYFUNCTION("""COMPUTED_VALUE"""),"RSC004241")</f>
        <v>RSC004241</v>
      </c>
      <c r="B4227" s="41" t="str">
        <f>IFERROR(__xludf.DUMMYFUNCTION("""COMPUTED_VALUE"""),"VarcityGG")</f>
        <v>VarcityGG</v>
      </c>
    </row>
    <row r="4228">
      <c r="A4228" s="41" t="str">
        <f>IFERROR(__xludf.DUMMYFUNCTION("""COMPUTED_VALUE"""),"RSC004242")</f>
        <v>RSC004242</v>
      </c>
      <c r="B4228" s="41" t="str">
        <f>IFERROR(__xludf.DUMMYFUNCTION("""COMPUTED_VALUE"""),"Onyx on myspace")</f>
        <v>Onyx on myspace</v>
      </c>
    </row>
    <row r="4229">
      <c r="A4229" s="41" t="str">
        <f>IFERROR(__xludf.DUMMYFUNCTION("""COMPUTED_VALUE"""),"RSC004243")</f>
        <v>RSC004243</v>
      </c>
      <c r="B4229" s="41" t="str">
        <f>IFERROR(__xludf.DUMMYFUNCTION("""COMPUTED_VALUE"""),"ChuckBrick")</f>
        <v>ChuckBrick</v>
      </c>
    </row>
    <row r="4230">
      <c r="A4230" s="41" t="str">
        <f>IFERROR(__xludf.DUMMYFUNCTION("""COMPUTED_VALUE"""),"RSC004244")</f>
        <v>RSC004244</v>
      </c>
      <c r="B4230" s="41" t="str">
        <f>IFERROR(__xludf.DUMMYFUNCTION("""COMPUTED_VALUE"""),"CARRAMROD")</f>
        <v>CARRAMROD</v>
      </c>
    </row>
    <row r="4231">
      <c r="A4231" s="41" t="str">
        <f>IFERROR(__xludf.DUMMYFUNCTION("""COMPUTED_VALUE"""),"RSC004245")</f>
        <v>RSC004245</v>
      </c>
      <c r="B4231" s="41" t="str">
        <f>IFERROR(__xludf.DUMMYFUNCTION("""COMPUTED_VALUE"""),"iso")</f>
        <v>iso</v>
      </c>
    </row>
    <row r="4232">
      <c r="A4232" s="41" t="str">
        <f>IFERROR(__xludf.DUMMYFUNCTION("""COMPUTED_VALUE"""),"RSC004246")</f>
        <v>RSC004246</v>
      </c>
      <c r="B4232" s="41" t="str">
        <f>IFERROR(__xludf.DUMMYFUNCTION("""COMPUTED_VALUE"""),"Matriarch")</f>
        <v>Matriarch</v>
      </c>
    </row>
    <row r="4233">
      <c r="A4233" s="41" t="str">
        <f>IFERROR(__xludf.DUMMYFUNCTION("""COMPUTED_VALUE"""),"RSC004247")</f>
        <v>RSC004247</v>
      </c>
      <c r="B4233" s="41" t="str">
        <f>IFERROR(__xludf.DUMMYFUNCTION("""COMPUTED_VALUE"""),"Escorm")</f>
        <v>Escorm</v>
      </c>
    </row>
    <row r="4234">
      <c r="A4234" s="41" t="str">
        <f>IFERROR(__xludf.DUMMYFUNCTION("""COMPUTED_VALUE"""),"RSC004248")</f>
        <v>RSC004248</v>
      </c>
      <c r="B4234" s="41" t="str">
        <f>IFERROR(__xludf.DUMMYFUNCTION("""COMPUTED_VALUE"""),"musicalfoxes")</f>
        <v>musicalfoxes</v>
      </c>
    </row>
    <row r="4235">
      <c r="A4235" s="41" t="str">
        <f>IFERROR(__xludf.DUMMYFUNCTION("""COMPUTED_VALUE"""),"RSC004249")</f>
        <v>RSC004249</v>
      </c>
      <c r="B4235" s="41" t="str">
        <f>IFERROR(__xludf.DUMMYFUNCTION("""COMPUTED_VALUE"""),"BB3RK83")</f>
        <v>BB3RK83</v>
      </c>
    </row>
    <row r="4236">
      <c r="A4236" s="41" t="str">
        <f>IFERROR(__xludf.DUMMYFUNCTION("""COMPUTED_VALUE"""),"RSC004250")</f>
        <v>RSC004250</v>
      </c>
      <c r="B4236" s="41" t="str">
        <f>IFERROR(__xludf.DUMMYFUNCTION("""COMPUTED_VALUE"""),"Dragiini")</f>
        <v>Dragiini</v>
      </c>
    </row>
    <row r="4237">
      <c r="A4237" s="41" t="str">
        <f>IFERROR(__xludf.DUMMYFUNCTION("""COMPUTED_VALUE"""),"RSC004251")</f>
        <v>RSC004251</v>
      </c>
      <c r="B4237" s="41" t="str">
        <f>IFERROR(__xludf.DUMMYFUNCTION("""COMPUTED_VALUE"""),"SpareRib8763")</f>
        <v>SpareRib8763</v>
      </c>
    </row>
    <row r="4238">
      <c r="A4238" s="41" t="str">
        <f>IFERROR(__xludf.DUMMYFUNCTION("""COMPUTED_VALUE"""),"RSC004252")</f>
        <v>RSC004252</v>
      </c>
      <c r="B4238" s="41" t="str">
        <f>IFERROR(__xludf.DUMMYFUNCTION("""COMPUTED_VALUE"""),"imdelight")</f>
        <v>imdelight</v>
      </c>
    </row>
    <row r="4239">
      <c r="A4239" s="41" t="str">
        <f>IFERROR(__xludf.DUMMYFUNCTION("""COMPUTED_VALUE"""),"RSC004253")</f>
        <v>RSC004253</v>
      </c>
      <c r="B4239" s="41" t="str">
        <f>IFERROR(__xludf.DUMMYFUNCTION("""COMPUTED_VALUE"""),"Bigebases43")</f>
        <v>Bigebases43</v>
      </c>
    </row>
    <row r="4240">
      <c r="A4240" s="41" t="str">
        <f>IFERROR(__xludf.DUMMYFUNCTION("""COMPUTED_VALUE"""),"RSC004254")</f>
        <v>RSC004254</v>
      </c>
      <c r="B4240" s="41" t="str">
        <f>IFERROR(__xludf.DUMMYFUNCTION("""COMPUTED_VALUE"""),"Lefty")</f>
        <v>Lefty</v>
      </c>
    </row>
    <row r="4241">
      <c r="A4241" s="41" t="str">
        <f>IFERROR(__xludf.DUMMYFUNCTION("""COMPUTED_VALUE"""),"RSC004255")</f>
        <v>RSC004255</v>
      </c>
      <c r="B4241" s="41" t="str">
        <f>IFERROR(__xludf.DUMMYFUNCTION("""COMPUTED_VALUE"""),"avgjohnson")</f>
        <v>avgjohnson</v>
      </c>
    </row>
    <row r="4242">
      <c r="A4242" s="41" t="str">
        <f>IFERROR(__xludf.DUMMYFUNCTION("""COMPUTED_VALUE"""),"RSC004256")</f>
        <v>RSC004256</v>
      </c>
      <c r="B4242" s="41" t="str">
        <f>IFERROR(__xludf.DUMMYFUNCTION("""COMPUTED_VALUE"""),"Kowalskey")</f>
        <v>Kowalskey</v>
      </c>
    </row>
    <row r="4243">
      <c r="A4243" s="41" t="str">
        <f>IFERROR(__xludf.DUMMYFUNCTION("""COMPUTED_VALUE"""),"RSC004257")</f>
        <v>RSC004257</v>
      </c>
      <c r="B4243" s="41" t="str">
        <f>IFERROR(__xludf.DUMMYFUNCTION("""COMPUTED_VALUE"""),"Noname")</f>
        <v>Noname</v>
      </c>
    </row>
    <row r="4244">
      <c r="A4244" s="41" t="str">
        <f>IFERROR(__xludf.DUMMYFUNCTION("""COMPUTED_VALUE"""),"RSC004258")</f>
        <v>RSC004258</v>
      </c>
      <c r="B4244" s="41" t="str">
        <f>IFERROR(__xludf.DUMMYFUNCTION("""COMPUTED_VALUE"""),"itsvna")</f>
        <v>itsvna</v>
      </c>
    </row>
    <row r="4245">
      <c r="A4245" s="41" t="str">
        <f>IFERROR(__xludf.DUMMYFUNCTION("""COMPUTED_VALUE"""),"RSC004259")</f>
        <v>RSC004259</v>
      </c>
      <c r="B4245" s="41" t="str">
        <f>IFERROR(__xludf.DUMMYFUNCTION("""COMPUTED_VALUE"""),"disrxpect.")</f>
        <v>disrxpect.</v>
      </c>
    </row>
    <row r="4246">
      <c r="A4246" s="41" t="str">
        <f>IFERROR(__xludf.DUMMYFUNCTION("""COMPUTED_VALUE"""),"RSC004260")</f>
        <v>RSC004260</v>
      </c>
      <c r="B4246" s="41" t="str">
        <f>IFERROR(__xludf.DUMMYFUNCTION("""COMPUTED_VALUE"""),"oogga.")</f>
        <v>oogga.</v>
      </c>
    </row>
    <row r="4247">
      <c r="A4247" s="41" t="str">
        <f>IFERROR(__xludf.DUMMYFUNCTION("""COMPUTED_VALUE"""),"RSC004261")</f>
        <v>RSC004261</v>
      </c>
      <c r="B4247" s="41" t="str">
        <f>IFERROR(__xludf.DUMMYFUNCTION("""COMPUTED_VALUE"""),"ADRIAN_XII")</f>
        <v>ADRIAN_XII</v>
      </c>
    </row>
    <row r="4248">
      <c r="A4248" s="41" t="str">
        <f>IFERROR(__xludf.DUMMYFUNCTION("""COMPUTED_VALUE"""),"RSC004262")</f>
        <v>RSC004262</v>
      </c>
      <c r="B4248" s="41" t="str">
        <f>IFERROR(__xludf.DUMMYFUNCTION("""COMPUTED_VALUE"""),"itsbraylew")</f>
        <v>itsbraylew</v>
      </c>
    </row>
    <row r="4249">
      <c r="A4249" s="41" t="str">
        <f>IFERROR(__xludf.DUMMYFUNCTION("""COMPUTED_VALUE"""),"RSC004263")</f>
        <v>RSC004263</v>
      </c>
      <c r="B4249" s="41" t="str">
        <f>IFERROR(__xludf.DUMMYFUNCTION("""COMPUTED_VALUE"""),"LogiCC")</f>
        <v>LogiCC</v>
      </c>
    </row>
    <row r="4250">
      <c r="A4250" s="41" t="str">
        <f>IFERROR(__xludf.DUMMYFUNCTION("""COMPUTED_VALUE"""),"RSC004264")</f>
        <v>RSC004264</v>
      </c>
      <c r="B4250" s="41" t="str">
        <f>IFERROR(__xludf.DUMMYFUNCTION("""COMPUTED_VALUE"""),"img00se.")</f>
        <v>img00se.</v>
      </c>
    </row>
    <row r="4251">
      <c r="A4251" s="41" t="str">
        <f>IFERROR(__xludf.DUMMYFUNCTION("""COMPUTED_VALUE"""),"RSC004265")</f>
        <v>RSC004265</v>
      </c>
      <c r="B4251" s="41" t="str">
        <f>IFERROR(__xludf.DUMMYFUNCTION("""COMPUTED_VALUE"""),"GeneralTwi")</f>
        <v>GeneralTwi</v>
      </c>
    </row>
    <row r="4252">
      <c r="A4252" s="41" t="str">
        <f>IFERROR(__xludf.DUMMYFUNCTION("""COMPUTED_VALUE"""),"RSC004266")</f>
        <v>RSC004266</v>
      </c>
      <c r="B4252" s="41" t="str">
        <f>IFERROR(__xludf.DUMMYFUNCTION("""COMPUTED_VALUE"""),"TTV_MekhiG_01230")</f>
        <v>TTV_MekhiG_01230</v>
      </c>
    </row>
    <row r="4253">
      <c r="A4253" s="41" t="str">
        <f>IFERROR(__xludf.DUMMYFUNCTION("""COMPUTED_VALUE"""),"RSC004267")</f>
        <v>RSC004267</v>
      </c>
      <c r="B4253" s="41" t="str">
        <f>IFERROR(__xludf.DUMMYFUNCTION("""COMPUTED_VALUE"""),"Wadre")</f>
        <v>Wadre</v>
      </c>
    </row>
    <row r="4254">
      <c r="A4254" s="41" t="str">
        <f>IFERROR(__xludf.DUMMYFUNCTION("""COMPUTED_VALUE"""),"RSC004268")</f>
        <v>RSC004268</v>
      </c>
      <c r="B4254" s="41" t="str">
        <f>IFERROR(__xludf.DUMMYFUNCTION("""COMPUTED_VALUE"""),"DANDO3")</f>
        <v>DANDO3</v>
      </c>
    </row>
    <row r="4255">
      <c r="A4255" s="41" t="str">
        <f>IFERROR(__xludf.DUMMYFUNCTION("""COMPUTED_VALUE"""),"RSC004269")</f>
        <v>RSC004269</v>
      </c>
      <c r="B4255" s="41" t="str">
        <f>IFERROR(__xludf.DUMMYFUNCTION("""COMPUTED_VALUE"""),"Bodian")</f>
        <v>Bodian</v>
      </c>
    </row>
    <row r="4256">
      <c r="A4256" s="41" t="str">
        <f>IFERROR(__xludf.DUMMYFUNCTION("""COMPUTED_VALUE"""),"RSC004270")</f>
        <v>RSC004270</v>
      </c>
      <c r="B4256" s="41" t="str">
        <f>IFERROR(__xludf.DUMMYFUNCTION("""COMPUTED_VALUE"""),"fingrz o thundr")</f>
        <v>fingrz o thundr</v>
      </c>
    </row>
    <row r="4257">
      <c r="A4257" s="41" t="str">
        <f>IFERROR(__xludf.DUMMYFUNCTION("""COMPUTED_VALUE"""),"RSC004271")</f>
        <v>RSC004271</v>
      </c>
      <c r="B4257" s="41" t="str">
        <f>IFERROR(__xludf.DUMMYFUNCTION("""COMPUTED_VALUE"""),"SkyeBoiii")</f>
        <v>SkyeBoiii</v>
      </c>
    </row>
    <row r="4258">
      <c r="A4258" s="41" t="str">
        <f>IFERROR(__xludf.DUMMYFUNCTION("""COMPUTED_VALUE"""),"RSC004272")</f>
        <v>RSC004272</v>
      </c>
      <c r="B4258" s="41" t="str">
        <f>IFERROR(__xludf.DUMMYFUNCTION("""COMPUTED_VALUE"""),"I Grades I")</f>
        <v>I Grades I</v>
      </c>
    </row>
    <row r="4259">
      <c r="A4259" s="41" t="str">
        <f>IFERROR(__xludf.DUMMYFUNCTION("""COMPUTED_VALUE"""),"RSC004273")</f>
        <v>RSC004273</v>
      </c>
      <c r="B4259" s="41" t="str">
        <f>IFERROR(__xludf.DUMMYFUNCTION("""COMPUTED_VALUE"""),"Kunafa19")</f>
        <v>Kunafa19</v>
      </c>
    </row>
    <row r="4260">
      <c r="A4260" s="41" t="str">
        <f>IFERROR(__xludf.DUMMYFUNCTION("""COMPUTED_VALUE"""),"RSC004274")</f>
        <v>RSC004274</v>
      </c>
      <c r="B4260" s="41" t="str">
        <f>IFERROR(__xludf.DUMMYFUNCTION("""COMPUTED_VALUE"""),"Zvrns")</f>
        <v>Zvrns</v>
      </c>
    </row>
    <row r="4261">
      <c r="A4261" s="41" t="str">
        <f>IFERROR(__xludf.DUMMYFUNCTION("""COMPUTED_VALUE"""),"RSC004275")</f>
        <v>RSC004275</v>
      </c>
      <c r="B4261" s="41" t="str">
        <f>IFERROR(__xludf.DUMMYFUNCTION("""COMPUTED_VALUE"""),"happyturtle")</f>
        <v>happyturtle</v>
      </c>
    </row>
    <row r="4262">
      <c r="A4262" s="41" t="str">
        <f>IFERROR(__xludf.DUMMYFUNCTION("""COMPUTED_VALUE"""),"RSC004276")</f>
        <v>RSC004276</v>
      </c>
      <c r="B4262" s="41" t="str">
        <f>IFERROR(__xludf.DUMMYFUNCTION("""COMPUTED_VALUE"""),"DgitlSickBoy")</f>
        <v>DgitlSickBoy</v>
      </c>
    </row>
    <row r="4263">
      <c r="A4263" s="41" t="str">
        <f>IFERROR(__xludf.DUMMYFUNCTION("""COMPUTED_VALUE"""),"RSC004277")</f>
        <v>RSC004277</v>
      </c>
      <c r="B4263" s="41" t="str">
        <f>IFERROR(__xludf.DUMMYFUNCTION("""COMPUTED_VALUE"""),"OhTrebek")</f>
        <v>OhTrebek</v>
      </c>
    </row>
    <row r="4264">
      <c r="A4264" s="41" t="str">
        <f>IFERROR(__xludf.DUMMYFUNCTION("""COMPUTED_VALUE"""),"RSC004278")</f>
        <v>RSC004278</v>
      </c>
      <c r="B4264" s="41" t="str">
        <f>IFERROR(__xludf.DUMMYFUNCTION("""COMPUTED_VALUE"""),"SU24N00")</f>
        <v>SU24N00</v>
      </c>
    </row>
    <row r="4265">
      <c r="A4265" s="41" t="str">
        <f>IFERROR(__xludf.DUMMYFUNCTION("""COMPUTED_VALUE"""),"RSC004279")</f>
        <v>RSC004279</v>
      </c>
      <c r="B4265" s="41" t="str">
        <f>IFERROR(__xludf.DUMMYFUNCTION("""COMPUTED_VALUE"""),"onlyjammer")</f>
        <v>onlyjammer</v>
      </c>
    </row>
    <row r="4266">
      <c r="A4266" s="41" t="str">
        <f>IFERROR(__xludf.DUMMYFUNCTION("""COMPUTED_VALUE"""),"RSC004280")</f>
        <v>RSC004280</v>
      </c>
      <c r="B4266" s="41" t="str">
        <f>IFERROR(__xludf.DUMMYFUNCTION("""COMPUTED_VALUE"""),"ludwiiin")</f>
        <v>ludwiiin</v>
      </c>
    </row>
    <row r="4267">
      <c r="A4267" s="41" t="str">
        <f>IFERROR(__xludf.DUMMYFUNCTION("""COMPUTED_VALUE"""),"RSC004281")</f>
        <v>RSC004281</v>
      </c>
      <c r="B4267" s="41" t="str">
        <f>IFERROR(__xludf.DUMMYFUNCTION("""COMPUTED_VALUE"""),"ChocolateWavez")</f>
        <v>ChocolateWavez</v>
      </c>
    </row>
    <row r="4268">
      <c r="A4268" s="41" t="str">
        <f>IFERROR(__xludf.DUMMYFUNCTION("""COMPUTED_VALUE"""),"RSC004282")</f>
        <v>RSC004282</v>
      </c>
      <c r="B4268" s="41" t="str">
        <f>IFERROR(__xludf.DUMMYFUNCTION("""COMPUTED_VALUE"""),"FuDanSynder")</f>
        <v>FuDanSynder</v>
      </c>
    </row>
    <row r="4269">
      <c r="A4269" s="41" t="str">
        <f>IFERROR(__xludf.DUMMYFUNCTION("""COMPUTED_VALUE"""),"RSC004283")</f>
        <v>RSC004283</v>
      </c>
      <c r="B4269" s="41" t="str">
        <f>IFERROR(__xludf.DUMMYFUNCTION("""COMPUTED_VALUE"""),"Tragic Event")</f>
        <v>Tragic Event</v>
      </c>
    </row>
    <row r="4270">
      <c r="A4270" s="41" t="str">
        <f>IFERROR(__xludf.DUMMYFUNCTION("""COMPUTED_VALUE"""),"RSC004284")</f>
        <v>RSC004284</v>
      </c>
      <c r="B4270" s="41" t="str">
        <f>IFERROR(__xludf.DUMMYFUNCTION("""COMPUTED_VALUE"""),"Get Painted.")</f>
        <v>Get Painted.</v>
      </c>
    </row>
    <row r="4271">
      <c r="A4271" s="41" t="str">
        <f>IFERROR(__xludf.DUMMYFUNCTION("""COMPUTED_VALUE"""),"RSC004285")</f>
        <v>RSC004285</v>
      </c>
      <c r="B4271" s="41" t="str">
        <f>IFERROR(__xludf.DUMMYFUNCTION("""COMPUTED_VALUE"""),"Daniel")</f>
        <v>Daniel</v>
      </c>
    </row>
    <row r="4272">
      <c r="A4272" s="41" t="str">
        <f>IFERROR(__xludf.DUMMYFUNCTION("""COMPUTED_VALUE"""),"RSC004286")</f>
        <v>RSC004286</v>
      </c>
      <c r="B4272" s="41" t="str">
        <f>IFERROR(__xludf.DUMMYFUNCTION("""COMPUTED_VALUE"""),"Bolbi")</f>
        <v>Bolbi</v>
      </c>
    </row>
    <row r="4273">
      <c r="A4273" s="41" t="str">
        <f>IFERROR(__xludf.DUMMYFUNCTION("""COMPUTED_VALUE"""),"RSC004287")</f>
        <v>RSC004287</v>
      </c>
      <c r="B4273" s="41" t="str">
        <f>IFERROR(__xludf.DUMMYFUNCTION("""COMPUTED_VALUE"""),"Royyv")</f>
        <v>Royyv</v>
      </c>
    </row>
    <row r="4274">
      <c r="A4274" s="41" t="str">
        <f>IFERROR(__xludf.DUMMYFUNCTION("""COMPUTED_VALUE"""),"RSC004288")</f>
        <v>RSC004288</v>
      </c>
      <c r="B4274" s="41" t="str">
        <f>IFERROR(__xludf.DUMMYFUNCTION("""COMPUTED_VALUE"""),"Ammar260")</f>
        <v>Ammar260</v>
      </c>
    </row>
    <row r="4275">
      <c r="A4275" s="41" t="str">
        <f>IFERROR(__xludf.DUMMYFUNCTION("""COMPUTED_VALUE"""),"RSC004289")</f>
        <v>RSC004289</v>
      </c>
      <c r="B4275" s="41" t="str">
        <f>IFERROR(__xludf.DUMMYFUNCTION("""COMPUTED_VALUE"""),"Cirrostratus")</f>
        <v>Cirrostratus</v>
      </c>
    </row>
    <row r="4276">
      <c r="A4276" s="41" t="str">
        <f>IFERROR(__xludf.DUMMYFUNCTION("""COMPUTED_VALUE"""),"RSC004290")</f>
        <v>RSC004290</v>
      </c>
      <c r="B4276" s="41" t="str">
        <f>IFERROR(__xludf.DUMMYFUNCTION("""COMPUTED_VALUE"""),"Lilia")</f>
        <v>Lilia</v>
      </c>
    </row>
    <row r="4277">
      <c r="A4277" s="41" t="str">
        <f>IFERROR(__xludf.DUMMYFUNCTION("""COMPUTED_VALUE"""),"RSC004291")</f>
        <v>RSC004291</v>
      </c>
      <c r="B4277" s="41" t="str">
        <f>IFERROR(__xludf.DUMMYFUNCTION("""COMPUTED_VALUE"""),"Dʀ5ɢᴏɴ")</f>
        <v>Dʀ5ɢᴏɴ</v>
      </c>
    </row>
    <row r="4278">
      <c r="A4278" s="41" t="str">
        <f>IFERROR(__xludf.DUMMYFUNCTION("""COMPUTED_VALUE"""),"RSC004292")</f>
        <v>RSC004292</v>
      </c>
      <c r="B4278" s="41" t="str">
        <f>IFERROR(__xludf.DUMMYFUNCTION("""COMPUTED_VALUE"""),"LightBrightD")</f>
        <v>LightBrightD</v>
      </c>
    </row>
    <row r="4279">
      <c r="A4279" s="41" t="str">
        <f>IFERROR(__xludf.DUMMYFUNCTION("""COMPUTED_VALUE"""),"RSC004293")</f>
        <v>RSC004293</v>
      </c>
      <c r="B4279" s="41" t="str">
        <f>IFERROR(__xludf.DUMMYFUNCTION("""COMPUTED_VALUE"""),"Pe Keen")</f>
        <v>Pe Keen</v>
      </c>
    </row>
    <row r="4280">
      <c r="A4280" s="41" t="str">
        <f>IFERROR(__xludf.DUMMYFUNCTION("""COMPUTED_VALUE"""),"RSC004294")</f>
        <v>RSC004294</v>
      </c>
      <c r="B4280" s="41" t="str">
        <f>IFERROR(__xludf.DUMMYFUNCTION("""COMPUTED_VALUE"""),"TheKramer22")</f>
        <v>TheKramer22</v>
      </c>
    </row>
    <row r="4281">
      <c r="A4281" s="41" t="str">
        <f>IFERROR(__xludf.DUMMYFUNCTION("""COMPUTED_VALUE"""),"RSC004295")</f>
        <v>RSC004295</v>
      </c>
      <c r="B4281" s="41" t="str">
        <f>IFERROR(__xludf.DUMMYFUNCTION("""COMPUTED_VALUE"""),"HeavyUmlaut")</f>
        <v>HeavyUmlaut</v>
      </c>
    </row>
    <row r="4282">
      <c r="A4282" s="41" t="str">
        <f>IFERROR(__xludf.DUMMYFUNCTION("""COMPUTED_VALUE"""),"RSC004296")</f>
        <v>RSC004296</v>
      </c>
      <c r="B4282" s="41" t="str">
        <f>IFERROR(__xludf.DUMMYFUNCTION("""COMPUTED_VALUE"""),"a_tothe_c")</f>
        <v>a_tothe_c</v>
      </c>
    </row>
    <row r="4283">
      <c r="A4283" s="41" t="str">
        <f>IFERROR(__xludf.DUMMYFUNCTION("""COMPUTED_VALUE"""),"RSC004297")</f>
        <v>RSC004297</v>
      </c>
      <c r="B4283" s="41" t="str">
        <f>IFERROR(__xludf.DUMMYFUNCTION("""COMPUTED_VALUE"""),"Mucks")</f>
        <v>Mucks</v>
      </c>
    </row>
    <row r="4284">
      <c r="A4284" s="41" t="str">
        <f>IFERROR(__xludf.DUMMYFUNCTION("""COMPUTED_VALUE"""),"RSC004298")</f>
        <v>RSC004298</v>
      </c>
      <c r="B4284" s="41" t="str">
        <f>IFERROR(__xludf.DUMMYFUNCTION("""COMPUTED_VALUE"""),"attack3432")</f>
        <v>attack3432</v>
      </c>
    </row>
    <row r="4285">
      <c r="A4285" s="41" t="str">
        <f>IFERROR(__xludf.DUMMYFUNCTION("""COMPUTED_VALUE"""),"RSC004299")</f>
        <v>RSC004299</v>
      </c>
      <c r="B4285" s="41" t="str">
        <f>IFERROR(__xludf.DUMMYFUNCTION("""COMPUTED_VALUE"""),"Mayhem")</f>
        <v>Mayhem</v>
      </c>
    </row>
    <row r="4286">
      <c r="A4286" s="41" t="str">
        <f>IFERROR(__xludf.DUMMYFUNCTION("""COMPUTED_VALUE"""),"RSC004300")</f>
        <v>RSC004300</v>
      </c>
      <c r="B4286" s="41" t="str">
        <f>IFERROR(__xludf.DUMMYFUNCTION("""COMPUTED_VALUE"""),"Hey Its Eddie")</f>
        <v>Hey Its Eddie</v>
      </c>
    </row>
    <row r="4287">
      <c r="A4287" s="41" t="str">
        <f>IFERROR(__xludf.DUMMYFUNCTION("""COMPUTED_VALUE"""),"RSC004301")</f>
        <v>RSC004301</v>
      </c>
      <c r="B4287" s="41" t="str">
        <f>IFERROR(__xludf.DUMMYFUNCTION("""COMPUTED_VALUE"""),"FluffyNinja4738")</f>
        <v>FluffyNinja4738</v>
      </c>
    </row>
    <row r="4288">
      <c r="A4288" s="41" t="str">
        <f>IFERROR(__xludf.DUMMYFUNCTION("""COMPUTED_VALUE"""),"RSC004302")</f>
        <v>RSC004302</v>
      </c>
      <c r="B4288" s="41" t="str">
        <f>IFERROR(__xludf.DUMMYFUNCTION("""COMPUTED_VALUE"""),"binkie")</f>
        <v>binkie</v>
      </c>
    </row>
    <row r="4289">
      <c r="A4289" s="41" t="str">
        <f>IFERROR(__xludf.DUMMYFUNCTION("""COMPUTED_VALUE"""),"RSC004303")</f>
        <v>RSC004303</v>
      </c>
      <c r="B4289" s="41" t="str">
        <f>IFERROR(__xludf.DUMMYFUNCTION("""COMPUTED_VALUE"""),"Shogun")</f>
        <v>Shogun</v>
      </c>
    </row>
    <row r="4290">
      <c r="A4290" s="41" t="str">
        <f>IFERROR(__xludf.DUMMYFUNCTION("""COMPUTED_VALUE"""),"RSC004304")</f>
        <v>RSC004304</v>
      </c>
      <c r="B4290" s="41" t="str">
        <f>IFERROR(__xludf.DUMMYFUNCTION("""COMPUTED_VALUE"""),"Bluejay")</f>
        <v>Bluejay</v>
      </c>
    </row>
    <row r="4291">
      <c r="A4291" s="41" t="str">
        <f>IFERROR(__xludf.DUMMYFUNCTION("""COMPUTED_VALUE"""),"RSC004305")</f>
        <v>RSC004305</v>
      </c>
      <c r="B4291" s="41" t="str">
        <f>IFERROR(__xludf.DUMMYFUNCTION("""COMPUTED_VALUE"""),"lowpass")</f>
        <v>lowpass</v>
      </c>
    </row>
    <row r="4292">
      <c r="A4292" s="41" t="str">
        <f>IFERROR(__xludf.DUMMYFUNCTION("""COMPUTED_VALUE"""),"RSC004306")</f>
        <v>RSC004306</v>
      </c>
      <c r="B4292" s="41" t="str">
        <f>IFERROR(__xludf.DUMMYFUNCTION("""COMPUTED_VALUE"""),"North.")</f>
        <v>North.</v>
      </c>
    </row>
    <row r="4293">
      <c r="A4293" s="41" t="str">
        <f>IFERROR(__xludf.DUMMYFUNCTION("""COMPUTED_VALUE"""),"RSC004307")</f>
        <v>RSC004307</v>
      </c>
      <c r="B4293" s="41" t="str">
        <f>IFERROR(__xludf.DUMMYFUNCTION("""COMPUTED_VALUE"""),"TopBob")</f>
        <v>TopBob</v>
      </c>
    </row>
    <row r="4294">
      <c r="A4294" s="41" t="str">
        <f>IFERROR(__xludf.DUMMYFUNCTION("""COMPUTED_VALUE"""),"RSC004308")</f>
        <v>RSC004308</v>
      </c>
      <c r="B4294" s="41" t="str">
        <f>IFERROR(__xludf.DUMMYFUNCTION("""COMPUTED_VALUE"""),"Chyaboi")</f>
        <v>Chyaboi</v>
      </c>
    </row>
    <row r="4295">
      <c r="A4295" s="41" t="str">
        <f>IFERROR(__xludf.DUMMYFUNCTION("""COMPUTED_VALUE"""),"RSC004309")</f>
        <v>RSC004309</v>
      </c>
      <c r="B4295" s="41" t="str">
        <f>IFERROR(__xludf.DUMMYFUNCTION("""COMPUTED_VALUE"""),"Lightning(change)")</f>
        <v>Lightning(change)</v>
      </c>
    </row>
    <row r="4296">
      <c r="A4296" s="41" t="str">
        <f>IFERROR(__xludf.DUMMYFUNCTION("""COMPUTED_VALUE"""),"RSC004310")</f>
        <v>RSC004310</v>
      </c>
      <c r="B4296" s="41" t="str">
        <f>IFERROR(__xludf.DUMMYFUNCTION("""COMPUTED_VALUE"""),"Decaf")</f>
        <v>Decaf</v>
      </c>
    </row>
    <row r="4297">
      <c r="A4297" s="41" t="str">
        <f>IFERROR(__xludf.DUMMYFUNCTION("""COMPUTED_VALUE"""),"RSC004311")</f>
        <v>RSC004311</v>
      </c>
      <c r="B4297" s="41" t="str">
        <f>IFERROR(__xludf.DUMMYFUNCTION("""COMPUTED_VALUE"""),"simqster")</f>
        <v>simqster</v>
      </c>
    </row>
    <row r="4298">
      <c r="A4298" s="41" t="str">
        <f>IFERROR(__xludf.DUMMYFUNCTION("""COMPUTED_VALUE"""),"RSC004312")</f>
        <v>RSC004312</v>
      </c>
      <c r="B4298" s="41" t="str">
        <f>IFERROR(__xludf.DUMMYFUNCTION("""COMPUTED_VALUE"""),"cheekymcspreads")</f>
        <v>cheekymcspreads</v>
      </c>
    </row>
    <row r="4299">
      <c r="A4299" s="41" t="str">
        <f>IFERROR(__xludf.DUMMYFUNCTION("""COMPUTED_VALUE"""),"RSC004313")</f>
        <v>RSC004313</v>
      </c>
      <c r="B4299" s="41" t="str">
        <f>IFERROR(__xludf.DUMMYFUNCTION("""COMPUTED_VALUE"""),"Causing .")</f>
        <v>Causing .</v>
      </c>
    </row>
    <row r="4300">
      <c r="A4300" s="41" t="str">
        <f>IFERROR(__xludf.DUMMYFUNCTION("""COMPUTED_VALUE"""),"RSC004314")</f>
        <v>RSC004314</v>
      </c>
      <c r="B4300" s="41" t="str">
        <f>IFERROR(__xludf.DUMMYFUNCTION("""COMPUTED_VALUE"""),"XxMemeXxXL0rdxX")</f>
        <v>XxMemeXxXL0rdxX</v>
      </c>
    </row>
    <row r="4301">
      <c r="A4301" s="41" t="str">
        <f>IFERROR(__xludf.DUMMYFUNCTION("""COMPUTED_VALUE"""),"RSC004315")</f>
        <v>RSC004315</v>
      </c>
      <c r="B4301" s="41" t="str">
        <f>IFERROR(__xludf.DUMMYFUNCTION("""COMPUTED_VALUE"""),"Nezghal")</f>
        <v>Nezghal</v>
      </c>
    </row>
    <row r="4302">
      <c r="A4302" s="41" t="str">
        <f>IFERROR(__xludf.DUMMYFUNCTION("""COMPUTED_VALUE"""),"RSC004316")</f>
        <v>RSC004316</v>
      </c>
      <c r="B4302" s="41" t="str">
        <f>IFERROR(__xludf.DUMMYFUNCTION("""COMPUTED_VALUE"""),"Frwny0")</f>
        <v>Frwny0</v>
      </c>
    </row>
    <row r="4303">
      <c r="A4303" s="41" t="str">
        <f>IFERROR(__xludf.DUMMYFUNCTION("""COMPUTED_VALUE"""),"RSC004317")</f>
        <v>RSC004317</v>
      </c>
      <c r="B4303" s="41" t="str">
        <f>IFERROR(__xludf.DUMMYFUNCTION("""COMPUTED_VALUE"""),"ICYE")</f>
        <v>ICYE</v>
      </c>
    </row>
    <row r="4304">
      <c r="A4304" s="41" t="str">
        <f>IFERROR(__xludf.DUMMYFUNCTION("""COMPUTED_VALUE"""),"RSC004318")</f>
        <v>RSC004318</v>
      </c>
      <c r="B4304" s="41" t="str">
        <f>IFERROR(__xludf.DUMMYFUNCTION("""COMPUTED_VALUE"""),"Edac_123")</f>
        <v>Edac_123</v>
      </c>
    </row>
    <row r="4305">
      <c r="A4305" s="41" t="str">
        <f>IFERROR(__xludf.DUMMYFUNCTION("""COMPUTED_VALUE"""),"RSC004319")</f>
        <v>RSC004319</v>
      </c>
      <c r="B4305" s="41" t="str">
        <f>IFERROR(__xludf.DUMMYFUNCTION("""COMPUTED_VALUE"""),"LtArcticShadow")</f>
        <v>LtArcticShadow</v>
      </c>
    </row>
    <row r="4306">
      <c r="A4306" s="41" t="str">
        <f>IFERROR(__xludf.DUMMYFUNCTION("""COMPUTED_VALUE"""),"RSC004320")</f>
        <v>RSC004320</v>
      </c>
      <c r="B4306" s="41" t="str">
        <f>IFERROR(__xludf.DUMMYFUNCTION("""COMPUTED_VALUE"""),"Mr. Bean")</f>
        <v>Mr. Bean</v>
      </c>
    </row>
    <row r="4307">
      <c r="A4307" s="41" t="str">
        <f>IFERROR(__xludf.DUMMYFUNCTION("""COMPUTED_VALUE"""),"RSC004321")</f>
        <v>RSC004321</v>
      </c>
      <c r="B4307" s="41" t="str">
        <f>IFERROR(__xludf.DUMMYFUNCTION("""COMPUTED_VALUE"""),"Christmas Pinetree")</f>
        <v>Christmas Pinetree</v>
      </c>
    </row>
    <row r="4308">
      <c r="A4308" s="41" t="str">
        <f>IFERROR(__xludf.DUMMYFUNCTION("""COMPUTED_VALUE"""),"RSC004322")</f>
        <v>RSC004322</v>
      </c>
      <c r="B4308" s="41" t="str">
        <f>IFERROR(__xludf.DUMMYFUNCTION("""COMPUTED_VALUE"""),"Lyfe-_-Mystic")</f>
        <v>Lyfe-_-Mystic</v>
      </c>
    </row>
    <row r="4309">
      <c r="A4309" s="41" t="str">
        <f>IFERROR(__xludf.DUMMYFUNCTION("""COMPUTED_VALUE"""),"RSC004323")</f>
        <v>RSC004323</v>
      </c>
      <c r="B4309" s="41" t="str">
        <f>IFERROR(__xludf.DUMMYFUNCTION("""COMPUTED_VALUE"""),"ll-PraiseOppz-ll")</f>
        <v>ll-PraiseOppz-ll</v>
      </c>
    </row>
    <row r="4310">
      <c r="A4310" s="41" t="str">
        <f>IFERROR(__xludf.DUMMYFUNCTION("""COMPUTED_VALUE"""),"RSC004325")</f>
        <v>RSC004325</v>
      </c>
      <c r="B4310" s="41" t="str">
        <f>IFERROR(__xludf.DUMMYFUNCTION("""COMPUTED_VALUE"""),"Juicy Mellons")</f>
        <v>Juicy Mellons</v>
      </c>
    </row>
    <row r="4311">
      <c r="A4311" s="41" t="str">
        <f>IFERROR(__xludf.DUMMYFUNCTION("""COMPUTED_VALUE"""),"RSC004326")</f>
        <v>RSC004326</v>
      </c>
      <c r="B4311" s="41" t="str">
        <f>IFERROR(__xludf.DUMMYFUNCTION("""COMPUTED_VALUE"""),"the_peskiest")</f>
        <v>the_peskiest</v>
      </c>
    </row>
    <row r="4312">
      <c r="A4312" s="41" t="str">
        <f>IFERROR(__xludf.DUMMYFUNCTION("""COMPUTED_VALUE"""),"RSC004327")</f>
        <v>RSC004327</v>
      </c>
      <c r="B4312" s="41" t="str">
        <f>IFERROR(__xludf.DUMMYFUNCTION("""COMPUTED_VALUE"""),"SavageWeaponX")</f>
        <v>SavageWeaponX</v>
      </c>
    </row>
    <row r="4313">
      <c r="A4313" s="41" t="str">
        <f>IFERROR(__xludf.DUMMYFUNCTION("""COMPUTED_VALUE"""),"RSC004328")</f>
        <v>RSC004328</v>
      </c>
      <c r="B4313" s="41" t="str">
        <f>IFERROR(__xludf.DUMMYFUNCTION("""COMPUTED_VALUE"""),"Harsa")</f>
        <v>Harsa</v>
      </c>
    </row>
    <row r="4314">
      <c r="A4314" s="41" t="str">
        <f>IFERROR(__xludf.DUMMYFUNCTION("""COMPUTED_VALUE"""),"RSC004329")</f>
        <v>RSC004329</v>
      </c>
      <c r="B4314" s="41" t="str">
        <f>IFERROR(__xludf.DUMMYFUNCTION("""COMPUTED_VALUE"""),"Phillys")</f>
        <v>Phillys</v>
      </c>
    </row>
    <row r="4315">
      <c r="A4315" s="41" t="str">
        <f>IFERROR(__xludf.DUMMYFUNCTION("""COMPUTED_VALUE"""),"RSC004330")</f>
        <v>RSC004330</v>
      </c>
      <c r="B4315" s="41" t="str">
        <f>IFERROR(__xludf.DUMMYFUNCTION("""COMPUTED_VALUE"""),"koala!")</f>
        <v>koala!</v>
      </c>
    </row>
    <row r="4316">
      <c r="A4316" s="41" t="str">
        <f>IFERROR(__xludf.DUMMYFUNCTION("""COMPUTED_VALUE"""),"RSC004331")</f>
        <v>RSC004331</v>
      </c>
      <c r="B4316" s="41" t="str">
        <f>IFERROR(__xludf.DUMMYFUNCTION("""COMPUTED_VALUE"""),"Cujo.")</f>
        <v>Cujo.</v>
      </c>
    </row>
    <row r="4317">
      <c r="A4317" s="41" t="str">
        <f>IFERROR(__xludf.DUMMYFUNCTION("""COMPUTED_VALUE"""),"RSC004332")</f>
        <v>RSC004332</v>
      </c>
      <c r="B4317" s="41" t="str">
        <f>IFERROR(__xludf.DUMMYFUNCTION("""COMPUTED_VALUE"""),"FriendBrady")</f>
        <v>FriendBrady</v>
      </c>
    </row>
    <row r="4318">
      <c r="A4318" s="41" t="str">
        <f>IFERROR(__xludf.DUMMYFUNCTION("""COMPUTED_VALUE"""),"RSC004333")</f>
        <v>RSC004333</v>
      </c>
      <c r="B4318" s="41" t="str">
        <f>IFERROR(__xludf.DUMMYFUNCTION("""COMPUTED_VALUE"""),"Penguin")</f>
        <v>Penguin</v>
      </c>
    </row>
    <row r="4319">
      <c r="A4319" s="41" t="str">
        <f>IFERROR(__xludf.DUMMYFUNCTION("""COMPUTED_VALUE"""),"RSC004334")</f>
        <v>RSC004334</v>
      </c>
      <c r="B4319" s="41" t="str">
        <f>IFERROR(__xludf.DUMMYFUNCTION("""COMPUTED_VALUE"""),"Alewua")</f>
        <v>Alewua</v>
      </c>
    </row>
    <row r="4320">
      <c r="A4320" s="41" t="str">
        <f>IFERROR(__xludf.DUMMYFUNCTION("""COMPUTED_VALUE"""),"RSC004335")</f>
        <v>RSC004335</v>
      </c>
      <c r="B4320" s="41" t="str">
        <f>IFERROR(__xludf.DUMMYFUNCTION("""COMPUTED_VALUE"""),"KayZee")</f>
        <v>KayZee</v>
      </c>
    </row>
    <row r="4321">
      <c r="A4321" s="41" t="str">
        <f>IFERROR(__xludf.DUMMYFUNCTION("""COMPUTED_VALUE"""),"RSC004336")</f>
        <v>RSC004336</v>
      </c>
      <c r="B4321" s="41" t="str">
        <f>IFERROR(__xludf.DUMMYFUNCTION("""COMPUTED_VALUE"""),"Jacob")</f>
        <v>Jacob</v>
      </c>
    </row>
    <row r="4322">
      <c r="A4322" s="41" t="str">
        <f>IFERROR(__xludf.DUMMYFUNCTION("""COMPUTED_VALUE"""),"RSC004337")</f>
        <v>RSC004337</v>
      </c>
      <c r="B4322" s="41" t="str">
        <f>IFERROR(__xludf.DUMMYFUNCTION("""COMPUTED_VALUE"""),"Paper")</f>
        <v>Paper</v>
      </c>
    </row>
    <row r="4323">
      <c r="A4323" s="41" t="str">
        <f>IFERROR(__xludf.DUMMYFUNCTION("""COMPUTED_VALUE"""),"RSC004338")</f>
        <v>RSC004338</v>
      </c>
      <c r="B4323" s="41" t="str">
        <f>IFERROR(__xludf.DUMMYFUNCTION("""COMPUTED_VALUE"""),"patthegodttv")</f>
        <v>patthegodttv</v>
      </c>
    </row>
    <row r="4324">
      <c r="A4324" s="41" t="str">
        <f>IFERROR(__xludf.DUMMYFUNCTION("""COMPUTED_VALUE"""),"RSC004339")</f>
        <v>RSC004339</v>
      </c>
      <c r="B4324" s="41" t="str">
        <f>IFERROR(__xludf.DUMMYFUNCTION("""COMPUTED_VALUE"""),"U2B Banksy")</f>
        <v>U2B Banksy</v>
      </c>
    </row>
    <row r="4325">
      <c r="A4325" s="41" t="str">
        <f>IFERROR(__xludf.DUMMYFUNCTION("""COMPUTED_VALUE"""),"RSC004340")</f>
        <v>RSC004340</v>
      </c>
      <c r="B4325" s="41" t="str">
        <f>IFERROR(__xludf.DUMMYFUNCTION("""COMPUTED_VALUE"""),"rushie")</f>
        <v>rushie</v>
      </c>
    </row>
    <row r="4326">
      <c r="A4326" s="41" t="str">
        <f>IFERROR(__xludf.DUMMYFUNCTION("""COMPUTED_VALUE"""),"RSC004341")</f>
        <v>RSC004341</v>
      </c>
      <c r="B4326" s="41" t="str">
        <f>IFERROR(__xludf.DUMMYFUNCTION("""COMPUTED_VALUE"""),"beef_boy_99")</f>
        <v>beef_boy_99</v>
      </c>
    </row>
    <row r="4327">
      <c r="A4327" s="41" t="str">
        <f>IFERROR(__xludf.DUMMYFUNCTION("""COMPUTED_VALUE"""),"RSC004342")</f>
        <v>RSC004342</v>
      </c>
      <c r="B4327" s="41" t="str">
        <f>IFERROR(__xludf.DUMMYFUNCTION("""COMPUTED_VALUE"""),"TonyBear727")</f>
        <v>TonyBear727</v>
      </c>
    </row>
    <row r="4328">
      <c r="A4328" s="41" t="str">
        <f>IFERROR(__xludf.DUMMYFUNCTION("""COMPUTED_VALUE"""),"RSC004343")</f>
        <v>RSC004343</v>
      </c>
      <c r="B4328" s="41" t="str">
        <f>IFERROR(__xludf.DUMMYFUNCTION("""COMPUTED_VALUE"""),"KaptinKrunch596")</f>
        <v>KaptinKrunch596</v>
      </c>
    </row>
    <row r="4329">
      <c r="A4329" s="41" t="str">
        <f>IFERROR(__xludf.DUMMYFUNCTION("""COMPUTED_VALUE"""),"RSC004344")</f>
        <v>RSC004344</v>
      </c>
      <c r="B4329" s="41" t="str">
        <f>IFERROR(__xludf.DUMMYFUNCTION("""COMPUTED_VALUE"""),"serverOptimist")</f>
        <v>serverOptimist</v>
      </c>
    </row>
    <row r="4330">
      <c r="A4330" s="41" t="str">
        <f>IFERROR(__xludf.DUMMYFUNCTION("""COMPUTED_VALUE"""),"RSC004345")</f>
        <v>RSC004345</v>
      </c>
      <c r="B4330" s="41" t="str">
        <f>IFERROR(__xludf.DUMMYFUNCTION("""COMPUTED_VALUE"""),"Mini-")</f>
        <v>Mini-</v>
      </c>
    </row>
    <row r="4331">
      <c r="A4331" s="41" t="str">
        <f>IFERROR(__xludf.DUMMYFUNCTION("""COMPUTED_VALUE"""),"RSC004346")</f>
        <v>RSC004346</v>
      </c>
      <c r="B4331" s="41" t="str">
        <f>IFERROR(__xludf.DUMMYFUNCTION("""COMPUTED_VALUE"""),"Mac-eh")</f>
        <v>Mac-eh</v>
      </c>
    </row>
    <row r="4332">
      <c r="A4332" s="41" t="str">
        <f>IFERROR(__xludf.DUMMYFUNCTION("""COMPUTED_VALUE"""),"RSC004347")</f>
        <v>RSC004347</v>
      </c>
      <c r="B4332" s="41" t="str">
        <f>IFERROR(__xludf.DUMMYFUNCTION("""COMPUTED_VALUE"""),"Good job you")</f>
        <v>Good job you</v>
      </c>
    </row>
    <row r="4333">
      <c r="A4333" s="41" t="str">
        <f>IFERROR(__xludf.DUMMYFUNCTION("""COMPUTED_VALUE"""),"RSC004348")</f>
        <v>RSC004348</v>
      </c>
      <c r="B4333" s="41" t="str">
        <f>IFERROR(__xludf.DUMMYFUNCTION("""COMPUTED_VALUE"""),"BigPugg")</f>
        <v>BigPugg</v>
      </c>
    </row>
    <row r="4334">
      <c r="A4334" s="41" t="str">
        <f>IFERROR(__xludf.DUMMYFUNCTION("""COMPUTED_VALUE"""),"RSC004349")</f>
        <v>RSC004349</v>
      </c>
      <c r="B4334" s="41" t="str">
        <f>IFERROR(__xludf.DUMMYFUNCTION("""COMPUTED_VALUE"""),"ChefBuckeye")</f>
        <v>ChefBuckeye</v>
      </c>
    </row>
    <row r="4335">
      <c r="A4335" s="41" t="str">
        <f>IFERROR(__xludf.DUMMYFUNCTION("""COMPUTED_VALUE"""),"RSC004350")</f>
        <v>RSC004350</v>
      </c>
      <c r="B4335" s="41" t="str">
        <f>IFERROR(__xludf.DUMMYFUNCTION("""COMPUTED_VALUE"""),"SaintGumbo98")</f>
        <v>SaintGumbo98</v>
      </c>
    </row>
    <row r="4336">
      <c r="A4336" s="41" t="str">
        <f>IFERROR(__xludf.DUMMYFUNCTION("""COMPUTED_VALUE"""),"RSC004351")</f>
        <v>RSC004351</v>
      </c>
      <c r="B4336" s="41" t="str">
        <f>IFERROR(__xludf.DUMMYFUNCTION("""COMPUTED_VALUE"""),"BaffleBot")</f>
        <v>BaffleBot</v>
      </c>
    </row>
    <row r="4337">
      <c r="A4337" s="41" t="str">
        <f>IFERROR(__xludf.DUMMYFUNCTION("""COMPUTED_VALUE"""),"RSC004352")</f>
        <v>RSC004352</v>
      </c>
      <c r="B4337" s="41" t="str">
        <f>IFERROR(__xludf.DUMMYFUNCTION("""COMPUTED_VALUE"""),"giantsfan266752")</f>
        <v>giantsfan266752</v>
      </c>
    </row>
    <row r="4338">
      <c r="A4338" s="41" t="str">
        <f>IFERROR(__xludf.DUMMYFUNCTION("""COMPUTED_VALUE"""),"RSC004353")</f>
        <v>RSC004353</v>
      </c>
      <c r="B4338" s="41" t="str">
        <f>IFERROR(__xludf.DUMMYFUNCTION("""COMPUTED_VALUE"""),"Super (change)")</f>
        <v>Super (change)</v>
      </c>
    </row>
    <row r="4339">
      <c r="A4339" s="41" t="str">
        <f>IFERROR(__xludf.DUMMYFUNCTION("""COMPUTED_VALUE"""),"RSC004354")</f>
        <v>RSC004354</v>
      </c>
      <c r="B4339" s="41" t="str">
        <f>IFERROR(__xludf.DUMMYFUNCTION("""COMPUTED_VALUE"""),"Edwin")</f>
        <v>Edwin</v>
      </c>
    </row>
    <row r="4340">
      <c r="A4340" s="41" t="str">
        <f>IFERROR(__xludf.DUMMYFUNCTION("""COMPUTED_VALUE"""),"RSC004355")</f>
        <v>RSC004355</v>
      </c>
      <c r="B4340" s="41" t="str">
        <f>IFERROR(__xludf.DUMMYFUNCTION("""COMPUTED_VALUE"""),"Legacy.")</f>
        <v>Legacy.</v>
      </c>
    </row>
    <row r="4341">
      <c r="A4341" s="41" t="str">
        <f>IFERROR(__xludf.DUMMYFUNCTION("""COMPUTED_VALUE"""),"RSC004356")</f>
        <v>RSC004356</v>
      </c>
      <c r="B4341" s="41" t="str">
        <f>IFERROR(__xludf.DUMMYFUNCTION("""COMPUTED_VALUE"""),"chimmy")</f>
        <v>chimmy</v>
      </c>
    </row>
    <row r="4342">
      <c r="A4342" s="41" t="str">
        <f>IFERROR(__xludf.DUMMYFUNCTION("""COMPUTED_VALUE"""),"RSC004357")</f>
        <v>RSC004357</v>
      </c>
      <c r="B4342" s="41" t="str">
        <f>IFERROR(__xludf.DUMMYFUNCTION("""COMPUTED_VALUE"""),"VicinalAttic218")</f>
        <v>VicinalAttic218</v>
      </c>
    </row>
    <row r="4343">
      <c r="A4343" s="41" t="str">
        <f>IFERROR(__xludf.DUMMYFUNCTION("""COMPUTED_VALUE"""),"RSC004358")</f>
        <v>RSC004358</v>
      </c>
      <c r="B4343" s="41" t="str">
        <f>IFERROR(__xludf.DUMMYFUNCTION("""COMPUTED_VALUE"""),"huddled")</f>
        <v>huddled</v>
      </c>
    </row>
    <row r="4344">
      <c r="A4344" s="41" t="str">
        <f>IFERROR(__xludf.DUMMYFUNCTION("""COMPUTED_VALUE"""),"RSC004359")</f>
        <v>RSC004359</v>
      </c>
      <c r="B4344" s="41" t="str">
        <f>IFERROR(__xludf.DUMMYFUNCTION("""COMPUTED_VALUE"""),"Onomily")</f>
        <v>Onomily</v>
      </c>
    </row>
    <row r="4345">
      <c r="A4345" s="41" t="str">
        <f>IFERROR(__xludf.DUMMYFUNCTION("""COMPUTED_VALUE"""),"RSC004360")</f>
        <v>RSC004360</v>
      </c>
      <c r="B4345" s="41" t="str">
        <f>IFERROR(__xludf.DUMMYFUNCTION("""COMPUTED_VALUE"""),"Karl")</f>
        <v>Karl</v>
      </c>
    </row>
    <row r="4346">
      <c r="A4346" s="41" t="str">
        <f>IFERROR(__xludf.DUMMYFUNCTION("""COMPUTED_VALUE"""),"RSC004361")</f>
        <v>RSC004361</v>
      </c>
      <c r="B4346" s="41" t="str">
        <f>IFERROR(__xludf.DUMMYFUNCTION("""COMPUTED_VALUE"""),"EzPz Scopezz")</f>
        <v>EzPz Scopezz</v>
      </c>
    </row>
    <row r="4347">
      <c r="A4347" s="41" t="str">
        <f>IFERROR(__xludf.DUMMYFUNCTION("""COMPUTED_VALUE"""),"RSC004362")</f>
        <v>RSC004362</v>
      </c>
      <c r="B4347" s="41" t="str">
        <f>IFERROR(__xludf.DUMMYFUNCTION("""COMPUTED_VALUE"""),"NOVA..")</f>
        <v>NOVA..</v>
      </c>
    </row>
    <row r="4348">
      <c r="A4348" s="41" t="str">
        <f>IFERROR(__xludf.DUMMYFUNCTION("""COMPUTED_VALUE"""),"RSC004363")</f>
        <v>RSC004363</v>
      </c>
      <c r="B4348" s="41" t="str">
        <f>IFERROR(__xludf.DUMMYFUNCTION("""COMPUTED_VALUE"""),"Silentbuzz")</f>
        <v>Silentbuzz</v>
      </c>
    </row>
    <row r="4349">
      <c r="A4349" s="41" t="str">
        <f>IFERROR(__xludf.DUMMYFUNCTION("""COMPUTED_VALUE"""),"RSC004364")</f>
        <v>RSC004364</v>
      </c>
      <c r="B4349" s="41" t="str">
        <f>IFERROR(__xludf.DUMMYFUNCTION("""COMPUTED_VALUE"""),"Rickles")</f>
        <v>Rickles</v>
      </c>
    </row>
    <row r="4350">
      <c r="A4350" s="41" t="str">
        <f>IFERROR(__xludf.DUMMYFUNCTION("""COMPUTED_VALUE"""),"RSC004365")</f>
        <v>RSC004365</v>
      </c>
      <c r="B4350" s="41" t="str">
        <f>IFERROR(__xludf.DUMMYFUNCTION("""COMPUTED_VALUE"""),"Mattixbigs")</f>
        <v>Mattixbigs</v>
      </c>
    </row>
    <row r="4351">
      <c r="A4351" s="41" t="str">
        <f>IFERROR(__xludf.DUMMYFUNCTION("""COMPUTED_VALUE"""),"RSC004366")</f>
        <v>RSC004366</v>
      </c>
      <c r="B4351" s="41" t="str">
        <f>IFERROR(__xludf.DUMMYFUNCTION("""COMPUTED_VALUE"""),"FingerGunsJesus")</f>
        <v>FingerGunsJesus</v>
      </c>
    </row>
    <row r="4352">
      <c r="A4352" s="41" t="str">
        <f>IFERROR(__xludf.DUMMYFUNCTION("""COMPUTED_VALUE"""),"RSC004367")</f>
        <v>RSC004367</v>
      </c>
      <c r="B4352" s="41" t="str">
        <f>IFERROR(__xludf.DUMMYFUNCTION("""COMPUTED_VALUE"""),"pr.c")</f>
        <v>pr.c</v>
      </c>
    </row>
    <row r="4353">
      <c r="A4353" s="41" t="str">
        <f>IFERROR(__xludf.DUMMYFUNCTION("""COMPUTED_VALUE"""),"RSC004368")</f>
        <v>RSC004368</v>
      </c>
      <c r="B4353" s="41" t="str">
        <f>IFERROR(__xludf.DUMMYFUNCTION("""COMPUTED_VALUE"""),"CKE_REAP3R")</f>
        <v>CKE_REAP3R</v>
      </c>
    </row>
    <row r="4354">
      <c r="A4354" s="41" t="str">
        <f>IFERROR(__xludf.DUMMYFUNCTION("""COMPUTED_VALUE"""),"RSC004369")</f>
        <v>RSC004369</v>
      </c>
      <c r="B4354" s="41" t="str">
        <f>IFERROR(__xludf.DUMMYFUNCTION("""COMPUTED_VALUE"""),"Useless")</f>
        <v>Useless</v>
      </c>
    </row>
    <row r="4355">
      <c r="A4355" s="41" t="str">
        <f>IFERROR(__xludf.DUMMYFUNCTION("""COMPUTED_VALUE"""),"RSC004370")</f>
        <v>RSC004370</v>
      </c>
      <c r="B4355" s="41" t="str">
        <f>IFERROR(__xludf.DUMMYFUNCTION("""COMPUTED_VALUE"""),"Nightfang")</f>
        <v>Nightfang</v>
      </c>
    </row>
    <row r="4356">
      <c r="A4356" s="41" t="str">
        <f>IFERROR(__xludf.DUMMYFUNCTION("""COMPUTED_VALUE"""),"RSC004371")</f>
        <v>RSC004371</v>
      </c>
      <c r="B4356" s="41" t="str">
        <f>IFERROR(__xludf.DUMMYFUNCTION("""COMPUTED_VALUE"""),"DJCasualties")</f>
        <v>DJCasualties</v>
      </c>
    </row>
    <row r="4357">
      <c r="A4357" s="41" t="str">
        <f>IFERROR(__xludf.DUMMYFUNCTION("""COMPUTED_VALUE"""),"RSC004372")</f>
        <v>RSC004372</v>
      </c>
      <c r="B4357" s="41" t="str">
        <f>IFERROR(__xludf.DUMMYFUNCTION("""COMPUTED_VALUE"""),"K1NG_TOPSHOT")</f>
        <v>K1NG_TOPSHOT</v>
      </c>
    </row>
    <row r="4358">
      <c r="A4358" s="41" t="str">
        <f>IFERROR(__xludf.DUMMYFUNCTION("""COMPUTED_VALUE"""),"RSC004373")</f>
        <v>RSC004373</v>
      </c>
      <c r="B4358" s="41" t="str">
        <f>IFERROR(__xludf.DUMMYFUNCTION("""COMPUTED_VALUE"""),"GingerFrost19")</f>
        <v>GingerFrost19</v>
      </c>
    </row>
    <row r="4359">
      <c r="A4359" s="41" t="str">
        <f>IFERROR(__xludf.DUMMYFUNCTION("""COMPUTED_VALUE"""),"RSC004374")</f>
        <v>RSC004374</v>
      </c>
      <c r="B4359" s="41" t="str">
        <f>IFERROR(__xludf.DUMMYFUNCTION("""COMPUTED_VALUE"""),"dullah.rl")</f>
        <v>dullah.rl</v>
      </c>
    </row>
    <row r="4360">
      <c r="A4360" s="41" t="str">
        <f>IFERROR(__xludf.DUMMYFUNCTION("""COMPUTED_VALUE"""),"RSC004375")</f>
        <v>RSC004375</v>
      </c>
      <c r="B4360" s="41" t="str">
        <f>IFERROR(__xludf.DUMMYFUNCTION("""COMPUTED_VALUE"""),"Cotni")</f>
        <v>Cotni</v>
      </c>
    </row>
    <row r="4361">
      <c r="A4361" s="41" t="str">
        <f>IFERROR(__xludf.DUMMYFUNCTION("""COMPUTED_VALUE"""),"RSC004376")</f>
        <v>RSC004376</v>
      </c>
      <c r="B4361" s="41" t="str">
        <f>IFERROR(__xludf.DUMMYFUNCTION("""COMPUTED_VALUE"""),"MissionaryJackk")</f>
        <v>MissionaryJackk</v>
      </c>
    </row>
    <row r="4362">
      <c r="A4362" s="41" t="str">
        <f>IFERROR(__xludf.DUMMYFUNCTION("""COMPUTED_VALUE"""),"RSC004377")</f>
        <v>RSC004377</v>
      </c>
      <c r="B4362" s="41" t="str">
        <f>IFERROR(__xludf.DUMMYFUNCTION("""COMPUTED_VALUE"""),"AiR2Supreme")</f>
        <v>AiR2Supreme</v>
      </c>
    </row>
    <row r="4363">
      <c r="A4363" s="41" t="str">
        <f>IFERROR(__xludf.DUMMYFUNCTION("""COMPUTED_VALUE"""),"RSC004378")</f>
        <v>RSC004378</v>
      </c>
      <c r="B4363" s="41" t="str">
        <f>IFERROR(__xludf.DUMMYFUNCTION("""COMPUTED_VALUE"""),"crack.rl")</f>
        <v>crack.rl</v>
      </c>
    </row>
    <row r="4364">
      <c r="A4364" s="41" t="str">
        <f>IFERROR(__xludf.DUMMYFUNCTION("""COMPUTED_VALUE"""),"RSC004379")</f>
        <v>RSC004379</v>
      </c>
      <c r="B4364" s="41" t="str">
        <f>IFERROR(__xludf.DUMMYFUNCTION("""COMPUTED_VALUE"""),"surfrl")</f>
        <v>surfrl</v>
      </c>
    </row>
    <row r="4365">
      <c r="A4365" s="41" t="str">
        <f>IFERROR(__xludf.DUMMYFUNCTION("""COMPUTED_VALUE"""),"RSC004380")</f>
        <v>RSC004380</v>
      </c>
      <c r="B4365" s="41" t="str">
        <f>IFERROR(__xludf.DUMMYFUNCTION("""COMPUTED_VALUE"""),"SupremeChimp")</f>
        <v>SupremeChimp</v>
      </c>
    </row>
    <row r="4366">
      <c r="A4366" s="41" t="str">
        <f>IFERROR(__xludf.DUMMYFUNCTION("""COMPUTED_VALUE"""),"RSC004381")</f>
        <v>RSC004381</v>
      </c>
      <c r="B4366" s="41" t="str">
        <f>IFERROR(__xludf.DUMMYFUNCTION("""COMPUTED_VALUE"""),"Montpellier5")</f>
        <v>Montpellier5</v>
      </c>
    </row>
    <row r="4367">
      <c r="A4367" s="41" t="str">
        <f>IFERROR(__xludf.DUMMYFUNCTION("""COMPUTED_VALUE"""),"RSC004382")</f>
        <v>RSC004382</v>
      </c>
      <c r="B4367" s="41" t="str">
        <f>IFERROR(__xludf.DUMMYFUNCTION("""COMPUTED_VALUE"""),"R1ck Hardslab")</f>
        <v>R1ck Hardslab</v>
      </c>
    </row>
    <row r="4368">
      <c r="A4368" s="41" t="str">
        <f>IFERROR(__xludf.DUMMYFUNCTION("""COMPUTED_VALUE"""),"RSC004383")</f>
        <v>RSC004383</v>
      </c>
      <c r="B4368" s="41" t="str">
        <f>IFERROR(__xludf.DUMMYFUNCTION("""COMPUTED_VALUE"""),"TomatoFroggy")</f>
        <v>TomatoFroggy</v>
      </c>
    </row>
    <row r="4369">
      <c r="A4369" s="41" t="str">
        <f>IFERROR(__xludf.DUMMYFUNCTION("""COMPUTED_VALUE"""),"RSC004384")</f>
        <v>RSC004384</v>
      </c>
      <c r="B4369" s="41" t="str">
        <f>IFERROR(__xludf.DUMMYFUNCTION("""COMPUTED_VALUE"""),"Strifoligy")</f>
        <v>Strifoligy</v>
      </c>
    </row>
    <row r="4370">
      <c r="A4370" s="41" t="str">
        <f>IFERROR(__xludf.DUMMYFUNCTION("""COMPUTED_VALUE"""),"RSC004385")</f>
        <v>RSC004385</v>
      </c>
      <c r="B4370" s="41" t="str">
        <f>IFERROR(__xludf.DUMMYFUNCTION("""COMPUTED_VALUE"""),"Braybaum02")</f>
        <v>Braybaum02</v>
      </c>
    </row>
    <row r="4371">
      <c r="A4371" s="41" t="str">
        <f>IFERROR(__xludf.DUMMYFUNCTION("""COMPUTED_VALUE"""),"RSC004386")</f>
        <v>RSC004386</v>
      </c>
      <c r="B4371" s="41" t="str">
        <f>IFERROR(__xludf.DUMMYFUNCTION("""COMPUTED_VALUE"""),"FZGshadow24")</f>
        <v>FZGshadow24</v>
      </c>
    </row>
    <row r="4372">
      <c r="A4372" s="41" t="str">
        <f>IFERROR(__xludf.DUMMYFUNCTION("""COMPUTED_VALUE"""),"RSC004387")</f>
        <v>RSC004387</v>
      </c>
      <c r="B4372" s="41" t="str">
        <f>IFERROR(__xludf.DUMMYFUNCTION("""COMPUTED_VALUE"""),"runninghair")</f>
        <v>runninghair</v>
      </c>
    </row>
    <row r="4373">
      <c r="A4373" s="41" t="str">
        <f>IFERROR(__xludf.DUMMYFUNCTION("""COMPUTED_VALUE"""),"RSC004388")</f>
        <v>RSC004388</v>
      </c>
      <c r="B4373" s="41" t="str">
        <f>IFERROR(__xludf.DUMMYFUNCTION("""COMPUTED_VALUE"""),"bobbo174")</f>
        <v>bobbo174</v>
      </c>
    </row>
    <row r="4374">
      <c r="A4374" s="41" t="str">
        <f>IFERROR(__xludf.DUMMYFUNCTION("""COMPUTED_VALUE"""),"RSC004389")</f>
        <v>RSC004389</v>
      </c>
      <c r="B4374" s="41" t="str">
        <f>IFERROR(__xludf.DUMMYFUNCTION("""COMPUTED_VALUE"""),"bittercoyote659")</f>
        <v>bittercoyote659</v>
      </c>
    </row>
    <row r="4375">
      <c r="A4375" s="41" t="str">
        <f>IFERROR(__xludf.DUMMYFUNCTION("""COMPUTED_VALUE"""),"RSC004390")</f>
        <v>RSC004390</v>
      </c>
      <c r="B4375" s="41" t="str">
        <f>IFERROR(__xludf.DUMMYFUNCTION("""COMPUTED_VALUE"""),"Proffit")</f>
        <v>Proffit</v>
      </c>
    </row>
    <row r="4376">
      <c r="A4376" s="41" t="str">
        <f>IFERROR(__xludf.DUMMYFUNCTION("""COMPUTED_VALUE"""),"RSC004391")</f>
        <v>RSC004391</v>
      </c>
      <c r="B4376" s="41" t="str">
        <f>IFERROR(__xludf.DUMMYFUNCTION("""COMPUTED_VALUE"""),"ThatKidNoah")</f>
        <v>ThatKidNoah</v>
      </c>
    </row>
    <row r="4377">
      <c r="A4377" s="41" t="str">
        <f>IFERROR(__xludf.DUMMYFUNCTION("""COMPUTED_VALUE"""),"RSC004392")</f>
        <v>RSC004392</v>
      </c>
      <c r="B4377" s="41" t="str">
        <f>IFERROR(__xludf.DUMMYFUNCTION("""COMPUTED_VALUE"""),"jonnymac")</f>
        <v>jonnymac</v>
      </c>
    </row>
    <row r="4378">
      <c r="A4378" s="41" t="str">
        <f>IFERROR(__xludf.DUMMYFUNCTION("""COMPUTED_VALUE"""),"RSC004393")</f>
        <v>RSC004393</v>
      </c>
      <c r="B4378" s="41" t="str">
        <f>IFERROR(__xludf.DUMMYFUNCTION("""COMPUTED_VALUE"""),"MicroAggression1")</f>
        <v>MicroAggression1</v>
      </c>
    </row>
    <row r="4379">
      <c r="A4379" s="41" t="str">
        <f>IFERROR(__xludf.DUMMYFUNCTION("""COMPUTED_VALUE"""),"RSC004394")</f>
        <v>RSC004394</v>
      </c>
      <c r="B4379" s="41" t="str">
        <f>IFERROR(__xludf.DUMMYFUNCTION("""COMPUTED_VALUE"""),"chis")</f>
        <v>chis</v>
      </c>
    </row>
    <row r="4380">
      <c r="A4380" s="41" t="str">
        <f>IFERROR(__xludf.DUMMYFUNCTION("""COMPUTED_VALUE"""),"RSC004395")</f>
        <v>RSC004395</v>
      </c>
      <c r="B4380" s="41" t="str">
        <f>IFERROR(__xludf.DUMMYFUNCTION("""COMPUTED_VALUE"""),"CausalBonobo762")</f>
        <v>CausalBonobo762</v>
      </c>
    </row>
    <row r="4381">
      <c r="A4381" s="41" t="str">
        <f>IFERROR(__xludf.DUMMYFUNCTION("""COMPUTED_VALUE"""),"RSC004396")</f>
        <v>RSC004396</v>
      </c>
      <c r="B4381" s="41" t="str">
        <f>IFERROR(__xludf.DUMMYFUNCTION("""COMPUTED_VALUE"""),"TheCricket")</f>
        <v>TheCricket</v>
      </c>
    </row>
    <row r="4382">
      <c r="A4382" s="41" t="str">
        <f>IFERROR(__xludf.DUMMYFUNCTION("""COMPUTED_VALUE"""),"RSC004397")</f>
        <v>RSC004397</v>
      </c>
      <c r="B4382" s="41" t="str">
        <f>IFERROR(__xludf.DUMMYFUNCTION("""COMPUTED_VALUE"""),"SHWIFTY")</f>
        <v>SHWIFTY</v>
      </c>
    </row>
    <row r="4383">
      <c r="A4383" s="41" t="str">
        <f>IFERROR(__xludf.DUMMYFUNCTION("""COMPUTED_VALUE"""),"RSC004398")</f>
        <v>RSC004398</v>
      </c>
      <c r="B4383" s="41" t="str">
        <f>IFERROR(__xludf.DUMMYFUNCTION("""COMPUTED_VALUE"""),"Pharaoh")</f>
        <v>Pharaoh</v>
      </c>
    </row>
    <row r="4384">
      <c r="A4384" s="41" t="str">
        <f>IFERROR(__xludf.DUMMYFUNCTION("""COMPUTED_VALUE"""),"RSC004399")</f>
        <v>RSC004399</v>
      </c>
      <c r="B4384" s="41" t="str">
        <f>IFERROR(__xludf.DUMMYFUNCTION("""COMPUTED_VALUE"""),"zippythegnome")</f>
        <v>zippythegnome</v>
      </c>
    </row>
    <row r="4385">
      <c r="A4385" s="41" t="str">
        <f>IFERROR(__xludf.DUMMYFUNCTION("""COMPUTED_VALUE"""),"RSC004400")</f>
        <v>RSC004400</v>
      </c>
      <c r="B4385" s="41" t="str">
        <f>IFERROR(__xludf.DUMMYFUNCTION("""COMPUTED_VALUE"""),"Gateway")</f>
        <v>Gateway</v>
      </c>
    </row>
    <row r="4386">
      <c r="A4386" s="41" t="str">
        <f>IFERROR(__xludf.DUMMYFUNCTION("""COMPUTED_VALUE"""),"RSC004401")</f>
        <v>RSC004401</v>
      </c>
      <c r="B4386" s="41" t="str">
        <f>IFERROR(__xludf.DUMMYFUNCTION("""COMPUTED_VALUE"""),"Its Reeds WRLD")</f>
        <v>Its Reeds WRLD</v>
      </c>
    </row>
    <row r="4387">
      <c r="A4387" s="41" t="str">
        <f>IFERROR(__xludf.DUMMYFUNCTION("""COMPUTED_VALUE"""),"RSC004402")</f>
        <v>RSC004402</v>
      </c>
      <c r="B4387" s="41" t="str">
        <f>IFERROR(__xludf.DUMMYFUNCTION("""COMPUTED_VALUE"""),"zapwad")</f>
        <v>zapwad</v>
      </c>
    </row>
    <row r="4388">
      <c r="A4388" s="41" t="str">
        <f>IFERROR(__xludf.DUMMYFUNCTION("""COMPUTED_VALUE"""),"RSC004403")</f>
        <v>RSC004403</v>
      </c>
      <c r="B4388" s="41" t="str">
        <f>IFERROR(__xludf.DUMMYFUNCTION("""COMPUTED_VALUE"""),"akaBryan")</f>
        <v>akaBryan</v>
      </c>
    </row>
    <row r="4389">
      <c r="A4389" s="41" t="str">
        <f>IFERROR(__xludf.DUMMYFUNCTION("""COMPUTED_VALUE"""),"RSC004404")</f>
        <v>RSC004404</v>
      </c>
      <c r="B4389" s="41" t="str">
        <f>IFERROR(__xludf.DUMMYFUNCTION("""COMPUTED_VALUE"""),"TTV_Kona_Lee")</f>
        <v>TTV_Kona_Lee</v>
      </c>
    </row>
    <row r="4390">
      <c r="A4390" s="41" t="str">
        <f>IFERROR(__xludf.DUMMYFUNCTION("""COMPUTED_VALUE"""),"RSC004405")</f>
        <v>RSC004405</v>
      </c>
      <c r="B4390" s="41" t="str">
        <f>IFERROR(__xludf.DUMMYFUNCTION("""COMPUTED_VALUE"""),"datdude0623")</f>
        <v>datdude0623</v>
      </c>
    </row>
    <row r="4391">
      <c r="A4391" s="41" t="str">
        <f>IFERROR(__xludf.DUMMYFUNCTION("""COMPUTED_VALUE"""),"RSC004406")</f>
        <v>RSC004406</v>
      </c>
      <c r="B4391" s="41" t="str">
        <f>IFERROR(__xludf.DUMMYFUNCTION("""COMPUTED_VALUE"""),"Blurryface")</f>
        <v>Blurryface</v>
      </c>
    </row>
    <row r="4392">
      <c r="A4392" s="41" t="str">
        <f>IFERROR(__xludf.DUMMYFUNCTION("""COMPUTED_VALUE"""),"RSC004407")</f>
        <v>RSC004407</v>
      </c>
      <c r="B4392" s="41" t="str">
        <f>IFERROR(__xludf.DUMMYFUNCTION("""COMPUTED_VALUE"""),"Rootbear")</f>
        <v>Rootbear</v>
      </c>
    </row>
    <row r="4393">
      <c r="A4393" s="41" t="str">
        <f>IFERROR(__xludf.DUMMYFUNCTION("""COMPUTED_VALUE"""),"RSC004408")</f>
        <v>RSC004408</v>
      </c>
      <c r="B4393" s="41" t="str">
        <f>IFERROR(__xludf.DUMMYFUNCTION("""COMPUTED_VALUE"""),"Razor.")</f>
        <v>Razor.</v>
      </c>
    </row>
    <row r="4394">
      <c r="A4394" s="41" t="str">
        <f>IFERROR(__xludf.DUMMYFUNCTION("""COMPUTED_VALUE"""),"RSC004409")</f>
        <v>RSC004409</v>
      </c>
      <c r="B4394" s="41" t="str">
        <f>IFERROR(__xludf.DUMMYFUNCTION("""COMPUTED_VALUE"""),"Coreybirdo")</f>
        <v>Coreybirdo</v>
      </c>
    </row>
    <row r="4395">
      <c r="A4395" s="41" t="str">
        <f>IFERROR(__xludf.DUMMYFUNCTION("""COMPUTED_VALUE"""),"RSC004410")</f>
        <v>RSC004410</v>
      </c>
      <c r="B4395" s="41" t="str">
        <f>IFERROR(__xludf.DUMMYFUNCTION("""COMPUTED_VALUE"""),"TickleMePink55")</f>
        <v>TickleMePink55</v>
      </c>
    </row>
    <row r="4396">
      <c r="A4396" s="41" t="str">
        <f>IFERROR(__xludf.DUMMYFUNCTION("""COMPUTED_VALUE"""),"RSC004411")</f>
        <v>RSC004411</v>
      </c>
      <c r="B4396" s="41" t="str">
        <f>IFERROR(__xludf.DUMMYFUNCTION("""COMPUTED_VALUE"""),"SlightlyOn")</f>
        <v>SlightlyOn</v>
      </c>
    </row>
    <row r="4397">
      <c r="A4397" s="41" t="str">
        <f>IFERROR(__xludf.DUMMYFUNCTION("""COMPUTED_VALUE"""),"RSC004412")</f>
        <v>RSC004412</v>
      </c>
      <c r="B4397" s="41" t="str">
        <f>IFERROR(__xludf.DUMMYFUNCTION("""COMPUTED_VALUE"""),"SkillaR -Famous-")</f>
        <v>SkillaR -Famous-</v>
      </c>
    </row>
    <row r="4398">
      <c r="A4398" s="41" t="str">
        <f>IFERROR(__xludf.DUMMYFUNCTION("""COMPUTED_VALUE"""),"RSC004413")</f>
        <v>RSC004413</v>
      </c>
      <c r="B4398" s="41" t="str">
        <f>IFERROR(__xludf.DUMMYFUNCTION("""COMPUTED_VALUE"""),"Nuke")</f>
        <v>Nuke</v>
      </c>
    </row>
    <row r="4399">
      <c r="A4399" s="41" t="str">
        <f>IFERROR(__xludf.DUMMYFUNCTION("""COMPUTED_VALUE"""),"RSC004414")</f>
        <v>RSC004414</v>
      </c>
      <c r="B4399" s="41" t="str">
        <f>IFERROR(__xludf.DUMMYFUNCTION("""COMPUTED_VALUE"""),"Water Snake212")</f>
        <v>Water Snake212</v>
      </c>
    </row>
    <row r="4400">
      <c r="A4400" s="41" t="str">
        <f>IFERROR(__xludf.DUMMYFUNCTION("""COMPUTED_VALUE"""),"RSC004415")</f>
        <v>RSC004415</v>
      </c>
      <c r="B4400" s="41" t="str">
        <f>IFERROR(__xludf.DUMMYFUNCTION("""COMPUTED_VALUE"""),"Pat")</f>
        <v>Pat</v>
      </c>
    </row>
    <row r="4401">
      <c r="A4401" s="41" t="str">
        <f>IFERROR(__xludf.DUMMYFUNCTION("""COMPUTED_VALUE"""),"RSC004416")</f>
        <v>RSC004416</v>
      </c>
      <c r="B4401" s="41" t="str">
        <f>IFERROR(__xludf.DUMMYFUNCTION("""COMPUTED_VALUE"""),"Emanatingshadow")</f>
        <v>Emanatingshadow</v>
      </c>
    </row>
    <row r="4402">
      <c r="A4402" s="41" t="str">
        <f>IFERROR(__xludf.DUMMYFUNCTION("""COMPUTED_VALUE"""),"RSC004417")</f>
        <v>RSC004417</v>
      </c>
      <c r="B4402" s="41" t="str">
        <f>IFERROR(__xludf.DUMMYFUNCTION("""COMPUTED_VALUE"""),"Kingskull10")</f>
        <v>Kingskull10</v>
      </c>
    </row>
    <row r="4403">
      <c r="A4403" s="41" t="str">
        <f>IFERROR(__xludf.DUMMYFUNCTION("""COMPUTED_VALUE"""),"RSC004418")</f>
        <v>RSC004418</v>
      </c>
      <c r="B4403" s="41" t="str">
        <f>IFERROR(__xludf.DUMMYFUNCTION("""COMPUTED_VALUE"""),"React")</f>
        <v>React</v>
      </c>
    </row>
    <row r="4404">
      <c r="A4404" s="41" t="str">
        <f>IFERROR(__xludf.DUMMYFUNCTION("""COMPUTED_VALUE"""),"RSC004419")</f>
        <v>RSC004419</v>
      </c>
      <c r="B4404" s="41" t="str">
        <f>IFERROR(__xludf.DUMMYFUNCTION("""COMPUTED_VALUE"""),"Miro")</f>
        <v>Miro</v>
      </c>
    </row>
    <row r="4405">
      <c r="A4405" s="41" t="str">
        <f>IFERROR(__xludf.DUMMYFUNCTION("""COMPUTED_VALUE"""),"RSC004420")</f>
        <v>RSC004420</v>
      </c>
      <c r="B4405" s="41" t="str">
        <f>IFERROR(__xludf.DUMMYFUNCTION("""COMPUTED_VALUE"""),"renroh")</f>
        <v>renroh</v>
      </c>
    </row>
    <row r="4406">
      <c r="A4406" s="41" t="str">
        <f>IFERROR(__xludf.DUMMYFUNCTION("""COMPUTED_VALUE"""),"RSC004421")</f>
        <v>RSC004421</v>
      </c>
      <c r="B4406" s="41" t="str">
        <f>IFERROR(__xludf.DUMMYFUNCTION("""COMPUTED_VALUE"""),"rettirt")</f>
        <v>rettirt</v>
      </c>
    </row>
    <row r="4407">
      <c r="A4407" s="41" t="str">
        <f>IFERROR(__xludf.DUMMYFUNCTION("""COMPUTED_VALUE"""),"RSC004422")</f>
        <v>RSC004422</v>
      </c>
      <c r="B4407" s="41" t="str">
        <f>IFERROR(__xludf.DUMMYFUNCTION("""COMPUTED_VALUE"""),"TTV_YVNG_GALAXY")</f>
        <v>TTV_YVNG_GALAXY</v>
      </c>
    </row>
    <row r="4408">
      <c r="A4408" s="41" t="str">
        <f>IFERROR(__xludf.DUMMYFUNCTION("""COMPUTED_VALUE"""),"RSC004423")</f>
        <v>RSC004423</v>
      </c>
      <c r="B4408" s="41" t="str">
        <f>IFERROR(__xludf.DUMMYFUNCTION("""COMPUTED_VALUE"""),"SavageYoda18")</f>
        <v>SavageYoda18</v>
      </c>
    </row>
    <row r="4409">
      <c r="A4409" s="41" t="str">
        <f>IFERROR(__xludf.DUMMYFUNCTION("""COMPUTED_VALUE"""),"RSC004424")</f>
        <v>RSC004424</v>
      </c>
      <c r="B4409" s="41" t="str">
        <f>IFERROR(__xludf.DUMMYFUNCTION("""COMPUTED_VALUE"""),"BIGBOY")</f>
        <v>BIGBOY</v>
      </c>
    </row>
    <row r="4410">
      <c r="A4410" s="41" t="str">
        <f>IFERROR(__xludf.DUMMYFUNCTION("""COMPUTED_VALUE"""),"RSC004425")</f>
        <v>RSC004425</v>
      </c>
      <c r="B4410" s="41" t="str">
        <f>IFERROR(__xludf.DUMMYFUNCTION("""COMPUTED_VALUE"""),"kruegerlife")</f>
        <v>kruegerlife</v>
      </c>
    </row>
    <row r="4411">
      <c r="A4411" s="41" t="str">
        <f>IFERROR(__xludf.DUMMYFUNCTION("""COMPUTED_VALUE"""),"RSC004426")</f>
        <v>RSC004426</v>
      </c>
      <c r="B4411" s="41" t="str">
        <f>IFERROR(__xludf.DUMMYFUNCTION("""COMPUTED_VALUE"""),"Globglogabgalabg")</f>
        <v>Globglogabgalabg</v>
      </c>
    </row>
    <row r="4412">
      <c r="A4412" s="41" t="str">
        <f>IFERROR(__xludf.DUMMYFUNCTION("""COMPUTED_VALUE"""),"RSC004427")</f>
        <v>RSC004427</v>
      </c>
      <c r="B4412" s="41" t="str">
        <f>IFERROR(__xludf.DUMMYFUNCTION("""COMPUTED_VALUE"""),"RayneeRL")</f>
        <v>RayneeRL</v>
      </c>
    </row>
    <row r="4413">
      <c r="A4413" s="41" t="str">
        <f>IFERROR(__xludf.DUMMYFUNCTION("""COMPUTED_VALUE"""),"RSC004428")</f>
        <v>RSC004428</v>
      </c>
      <c r="B4413" s="41" t="str">
        <f>IFERROR(__xludf.DUMMYFUNCTION("""COMPUTED_VALUE"""),"Toronto Pierson International")</f>
        <v>Toronto Pierson International</v>
      </c>
    </row>
    <row r="4414">
      <c r="A4414" s="41" t="str">
        <f>IFERROR(__xludf.DUMMYFUNCTION("""COMPUTED_VALUE"""),"RSC004429")</f>
        <v>RSC004429</v>
      </c>
      <c r="B4414" s="41" t="str">
        <f>IFERROR(__xludf.DUMMYFUNCTION("""COMPUTED_VALUE"""),"Mr Luckyshots")</f>
        <v>Mr Luckyshots</v>
      </c>
    </row>
    <row r="4415">
      <c r="A4415" s="41" t="str">
        <f>IFERROR(__xludf.DUMMYFUNCTION("""COMPUTED_VALUE"""),"RSC004430")</f>
        <v>RSC004430</v>
      </c>
      <c r="B4415" s="41" t="str">
        <f>IFERROR(__xludf.DUMMYFUNCTION("""COMPUTED_VALUE"""),"Kunruin")</f>
        <v>Kunruin</v>
      </c>
    </row>
    <row r="4416">
      <c r="A4416" s="41" t="str">
        <f>IFERROR(__xludf.DUMMYFUNCTION("""COMPUTED_VALUE"""),"RSC004431")</f>
        <v>RSC004431</v>
      </c>
      <c r="B4416" s="41" t="str">
        <f>IFERROR(__xludf.DUMMYFUNCTION("""COMPUTED_VALUE"""),"N1t70g3n")</f>
        <v>N1t70g3n</v>
      </c>
    </row>
    <row r="4417">
      <c r="A4417" s="41" t="str">
        <f>IFERROR(__xludf.DUMMYFUNCTION("""COMPUTED_VALUE"""),"RSC004432")</f>
        <v>RSC004432</v>
      </c>
      <c r="B4417" s="41" t="str">
        <f>IFERROR(__xludf.DUMMYFUNCTION("""COMPUTED_VALUE"""),"jsoSWE")</f>
        <v>jsoSWE</v>
      </c>
    </row>
    <row r="4418">
      <c r="A4418" s="41" t="str">
        <f>IFERROR(__xludf.DUMMYFUNCTION("""COMPUTED_VALUE"""),"RSC004433")</f>
        <v>RSC004433</v>
      </c>
      <c r="B4418" s="41" t="str">
        <f>IFERROR(__xludf.DUMMYFUNCTION("""COMPUTED_VALUE"""),"Dustde")</f>
        <v>Dustde</v>
      </c>
    </row>
    <row r="4419">
      <c r="A4419" s="41" t="str">
        <f>IFERROR(__xludf.DUMMYFUNCTION("""COMPUTED_VALUE"""),"RSC004434")</f>
        <v>RSC004434</v>
      </c>
      <c r="B4419" s="41" t="str">
        <f>IFERROR(__xludf.DUMMYFUNCTION("""COMPUTED_VALUE"""),"ʍæɹD")</f>
        <v>ʍæɹD</v>
      </c>
    </row>
    <row r="4420">
      <c r="A4420" s="41" t="str">
        <f>IFERROR(__xludf.DUMMYFUNCTION("""COMPUTED_VALUE"""),"RSC004435")</f>
        <v>RSC004435</v>
      </c>
      <c r="B4420" s="41" t="str">
        <f>IFERROR(__xludf.DUMMYFUNCTION("""COMPUTED_VALUE"""),"IM_GarretG")</f>
        <v>IM_GarretG</v>
      </c>
    </row>
    <row r="4421">
      <c r="A4421" s="41" t="str">
        <f>IFERROR(__xludf.DUMMYFUNCTION("""COMPUTED_VALUE"""),"RSC004436")</f>
        <v>RSC004436</v>
      </c>
      <c r="B4421" s="41" t="str">
        <f>IFERROR(__xludf.DUMMYFUNCTION("""COMPUTED_VALUE"""),"TTVNaxilo")</f>
        <v>TTVNaxilo</v>
      </c>
    </row>
    <row r="4422">
      <c r="A4422" s="41" t="str">
        <f>IFERROR(__xludf.DUMMYFUNCTION("""COMPUTED_VALUE"""),"RSC004437")</f>
        <v>RSC004437</v>
      </c>
      <c r="B4422" s="41" t="str">
        <f>IFERROR(__xludf.DUMMYFUNCTION("""COMPUTED_VALUE"""),"kohlsbro")</f>
        <v>kohlsbro</v>
      </c>
    </row>
    <row r="4423">
      <c r="A4423" s="41" t="str">
        <f>IFERROR(__xludf.DUMMYFUNCTION("""COMPUTED_VALUE"""),"RSC004438")</f>
        <v>RSC004438</v>
      </c>
      <c r="B4423" s="41" t="str">
        <f>IFERROR(__xludf.DUMMYFUNCTION("""COMPUTED_VALUE"""),"ThronedAcorn11")</f>
        <v>ThronedAcorn11</v>
      </c>
    </row>
    <row r="4424">
      <c r="A4424" s="41" t="str">
        <f>IFERROR(__xludf.DUMMYFUNCTION("""COMPUTED_VALUE"""),"RSC004439")</f>
        <v>RSC004439</v>
      </c>
      <c r="B4424" s="41" t="str">
        <f>IFERROR(__xludf.DUMMYFUNCTION("""COMPUTED_VALUE"""),"Rua.")</f>
        <v>Rua.</v>
      </c>
    </row>
    <row r="4425">
      <c r="A4425" s="41" t="str">
        <f>IFERROR(__xludf.DUMMYFUNCTION("""COMPUTED_VALUE"""),"RSC004440")</f>
        <v>RSC004440</v>
      </c>
      <c r="B4425" s="41" t="str">
        <f>IFERROR(__xludf.DUMMYFUNCTION("""COMPUTED_VALUE"""),"Rabblllt")</f>
        <v>Rabblllt</v>
      </c>
    </row>
    <row r="4426">
      <c r="A4426" s="41" t="str">
        <f>IFERROR(__xludf.DUMMYFUNCTION("""COMPUTED_VALUE"""),"RSC004441")</f>
        <v>RSC004441</v>
      </c>
      <c r="B4426" s="41" t="str">
        <f>IFERROR(__xludf.DUMMYFUNCTION("""COMPUTED_VALUE"""),"Slam!")</f>
        <v>Slam!</v>
      </c>
    </row>
    <row r="4427">
      <c r="A4427" s="41" t="str">
        <f>IFERROR(__xludf.DUMMYFUNCTION("""COMPUTED_VALUE"""),"RSC004442")</f>
        <v>RSC004442</v>
      </c>
      <c r="B4427" s="41" t="str">
        <f>IFERROR(__xludf.DUMMYFUNCTION("""COMPUTED_VALUE"""),"HAV0C")</f>
        <v>HAV0C</v>
      </c>
    </row>
    <row r="4428">
      <c r="A4428" s="41" t="str">
        <f>IFERROR(__xludf.DUMMYFUNCTION("""COMPUTED_VALUE"""),"RSC004443")</f>
        <v>RSC004443</v>
      </c>
      <c r="B4428" s="41" t="str">
        <f>IFERROR(__xludf.DUMMYFUNCTION("""COMPUTED_VALUE"""),"Tidepods_SQ")</f>
        <v>Tidepods_SQ</v>
      </c>
    </row>
    <row r="4429">
      <c r="A4429" s="41" t="str">
        <f>IFERROR(__xludf.DUMMYFUNCTION("""COMPUTED_VALUE"""),"RSC004444")</f>
        <v>RSC004444</v>
      </c>
      <c r="B4429" s="41" t="str">
        <f>IFERROR(__xludf.DUMMYFUNCTION("""COMPUTED_VALUE"""),"Pithro YT")</f>
        <v>Pithro YT</v>
      </c>
    </row>
    <row r="4430">
      <c r="A4430" s="41" t="str">
        <f>IFERROR(__xludf.DUMMYFUNCTION("""COMPUTED_VALUE"""),"RSC004445")</f>
        <v>RSC004445</v>
      </c>
      <c r="B4430" s="41" t="str">
        <f>IFERROR(__xludf.DUMMYFUNCTION("""COMPUTED_VALUE"""),"Uzur_42")</f>
        <v>Uzur_42</v>
      </c>
    </row>
    <row r="4431">
      <c r="A4431" s="41" t="str">
        <f>IFERROR(__xludf.DUMMYFUNCTION("""COMPUTED_VALUE"""),"RSC004446")</f>
        <v>RSC004446</v>
      </c>
      <c r="B4431" s="41" t="str">
        <f>IFERROR(__xludf.DUMMYFUNCTION("""COMPUTED_VALUE"""),"SolrSlayr")</f>
        <v>SolrSlayr</v>
      </c>
    </row>
    <row r="4432">
      <c r="A4432" s="41" t="str">
        <f>IFERROR(__xludf.DUMMYFUNCTION("""COMPUTED_VALUE"""),"RSC004447")</f>
        <v>RSC004447</v>
      </c>
      <c r="B4432" s="41" t="str">
        <f>IFERROR(__xludf.DUMMYFUNCTION("""COMPUTED_VALUE"""),"Schnappi")</f>
        <v>Schnappi</v>
      </c>
    </row>
    <row r="4433">
      <c r="A4433" s="41" t="str">
        <f>IFERROR(__xludf.DUMMYFUNCTION("""COMPUTED_VALUE"""),"RSC004448")</f>
        <v>RSC004448</v>
      </c>
      <c r="B4433" s="41" t="str">
        <f>IFERROR(__xludf.DUMMYFUNCTION("""COMPUTED_VALUE"""),"Jrwkinsler")</f>
        <v>Jrwkinsler</v>
      </c>
    </row>
    <row r="4434">
      <c r="A4434" s="41" t="str">
        <f>IFERROR(__xludf.DUMMYFUNCTION("""COMPUTED_VALUE"""),"RSC004449")</f>
        <v>RSC004449</v>
      </c>
      <c r="B4434" s="41" t="str">
        <f>IFERROR(__xludf.DUMMYFUNCTION("""COMPUTED_VALUE"""),"RLB1gBrain")</f>
        <v>RLB1gBrain</v>
      </c>
    </row>
    <row r="4435">
      <c r="A4435" s="41" t="str">
        <f>IFERROR(__xludf.DUMMYFUNCTION("""COMPUTED_VALUE"""),"RSC004450")</f>
        <v>RSC004450</v>
      </c>
      <c r="B4435" s="41" t="str">
        <f>IFERROR(__xludf.DUMMYFUNCTION("""COMPUTED_VALUE"""),"Trooper20YT")</f>
        <v>Trooper20YT</v>
      </c>
    </row>
    <row r="4436">
      <c r="A4436" s="41" t="str">
        <f>IFERROR(__xludf.DUMMYFUNCTION("""COMPUTED_VALUE"""),"RSC004451")</f>
        <v>RSC004451</v>
      </c>
      <c r="B4436" s="41" t="str">
        <f>IFERROR(__xludf.DUMMYFUNCTION("""COMPUTED_VALUE"""),"Rickerh")</f>
        <v>Rickerh</v>
      </c>
    </row>
    <row r="4437">
      <c r="A4437" s="41" t="str">
        <f>IFERROR(__xludf.DUMMYFUNCTION("""COMPUTED_VALUE"""),"RSC004452")</f>
        <v>RSC004452</v>
      </c>
      <c r="B4437" s="41" t="str">
        <f>IFERROR(__xludf.DUMMYFUNCTION("""COMPUTED_VALUE"""),"sleepzey")</f>
        <v>sleepzey</v>
      </c>
    </row>
    <row r="4438">
      <c r="A4438" s="41" t="str">
        <f>IFERROR(__xludf.DUMMYFUNCTION("""COMPUTED_VALUE"""),"RSC004453")</f>
        <v>RSC004453</v>
      </c>
      <c r="B4438" s="41" t="str">
        <f>IFERROR(__xludf.DUMMYFUNCTION("""COMPUTED_VALUE"""),"Major Mr Swift")</f>
        <v>Major Mr Swift</v>
      </c>
    </row>
    <row r="4439">
      <c r="A4439" s="41" t="str">
        <f>IFERROR(__xludf.DUMMYFUNCTION("""COMPUTED_VALUE"""),"RSC004454")</f>
        <v>RSC004454</v>
      </c>
      <c r="B4439" s="41" t="str">
        <f>IFERROR(__xludf.DUMMYFUNCTION("""COMPUTED_VALUE"""),"Not in Server Potato")</f>
        <v>Not in Server Potato</v>
      </c>
    </row>
    <row r="4440">
      <c r="A4440" s="41" t="str">
        <f>IFERROR(__xludf.DUMMYFUNCTION("""COMPUTED_VALUE"""),"RSC004455")</f>
        <v>RSC004455</v>
      </c>
      <c r="B4440" s="41" t="str">
        <f>IFERROR(__xludf.DUMMYFUNCTION("""COMPUTED_VALUE"""),"Okay Madi.")</f>
        <v>Okay Madi.</v>
      </c>
    </row>
    <row r="4441">
      <c r="A4441" s="41" t="str">
        <f>IFERROR(__xludf.DUMMYFUNCTION("""COMPUTED_VALUE"""),"RSC004456")</f>
        <v>RSC004456</v>
      </c>
      <c r="B4441" s="41" t="str">
        <f>IFERROR(__xludf.DUMMYFUNCTION("""COMPUTED_VALUE"""),"ShazamPoof")</f>
        <v>ShazamPoof</v>
      </c>
    </row>
    <row r="4442">
      <c r="A4442" s="41" t="str">
        <f>IFERROR(__xludf.DUMMYFUNCTION("""COMPUTED_VALUE"""),"RSC004457")</f>
        <v>RSC004457</v>
      </c>
      <c r="B4442" s="41" t="str">
        <f>IFERROR(__xludf.DUMMYFUNCTION("""COMPUTED_VALUE"""),"uncommon (change)")</f>
        <v>uncommon (change)</v>
      </c>
    </row>
    <row r="4443">
      <c r="A4443" s="41" t="str">
        <f>IFERROR(__xludf.DUMMYFUNCTION("""COMPUTED_VALUE"""),"RSC004458")</f>
        <v>RSC004458</v>
      </c>
      <c r="B4443" s="41" t="str">
        <f>IFERROR(__xludf.DUMMYFUNCTION("""COMPUTED_VALUE"""),"EggDip(Kirby)")</f>
        <v>EggDip(Kirby)</v>
      </c>
    </row>
    <row r="4444">
      <c r="A4444" s="41" t="str">
        <f>IFERROR(__xludf.DUMMYFUNCTION("""COMPUTED_VALUE"""),"RSC004459")</f>
        <v>RSC004459</v>
      </c>
      <c r="B4444" s="41" t="str">
        <f>IFERROR(__xludf.DUMMYFUNCTION("""COMPUTED_VALUE"""),"phoenix")</f>
        <v>phoenix</v>
      </c>
    </row>
    <row r="4445">
      <c r="A4445" s="41" t="str">
        <f>IFERROR(__xludf.DUMMYFUNCTION("""COMPUTED_VALUE"""),"RSC004460")</f>
        <v>RSC004460</v>
      </c>
      <c r="B4445" s="41" t="str">
        <f>IFERROR(__xludf.DUMMYFUNCTION("""COMPUTED_VALUE"""),"Space")</f>
        <v>Space</v>
      </c>
    </row>
    <row r="4446">
      <c r="A4446" s="41" t="str">
        <f>IFERROR(__xludf.DUMMYFUNCTION("""COMPUTED_VALUE"""),"RSC004461")</f>
        <v>RSC004461</v>
      </c>
      <c r="B4446" s="41" t="str">
        <f>IFERROR(__xludf.DUMMYFUNCTION("""COMPUTED_VALUE"""),"Golpish")</f>
        <v>Golpish</v>
      </c>
    </row>
    <row r="4447">
      <c r="A4447" s="41" t="str">
        <f>IFERROR(__xludf.DUMMYFUNCTION("""COMPUTED_VALUE"""),"RSC004462")</f>
        <v>RSC004462</v>
      </c>
      <c r="B4447" s="41" t="str">
        <f>IFERROR(__xludf.DUMMYFUNCTION("""COMPUTED_VALUE"""),"Bbcomedian")</f>
        <v>Bbcomedian</v>
      </c>
    </row>
    <row r="4448">
      <c r="A4448" s="41" t="str">
        <f>IFERROR(__xludf.DUMMYFUNCTION("""COMPUTED_VALUE"""),"RSC004463")</f>
        <v>RSC004463</v>
      </c>
      <c r="B4448" s="41" t="str">
        <f>IFERROR(__xludf.DUMMYFUNCTION("""COMPUTED_VALUE"""),"ShiftiiG")</f>
        <v>ShiftiiG</v>
      </c>
    </row>
    <row r="4449">
      <c r="A4449" s="41" t="str">
        <f>IFERROR(__xludf.DUMMYFUNCTION("""COMPUTED_VALUE"""),"RSC004464")</f>
        <v>RSC004464</v>
      </c>
      <c r="B4449" s="41" t="str">
        <f>IFERROR(__xludf.DUMMYFUNCTION("""COMPUTED_VALUE"""),"zesty")</f>
        <v>zesty</v>
      </c>
    </row>
    <row r="4450">
      <c r="A4450" s="41" t="str">
        <f>IFERROR(__xludf.DUMMYFUNCTION("""COMPUTED_VALUE"""),"RSC004465")</f>
        <v>RSC004465</v>
      </c>
      <c r="B4450" s="41" t="str">
        <f>IFERROR(__xludf.DUMMYFUNCTION("""COMPUTED_VALUE"""),"Scooter-Jacobs")</f>
        <v>Scooter-Jacobs</v>
      </c>
    </row>
    <row r="4451">
      <c r="A4451" s="41" t="str">
        <f>IFERROR(__xludf.DUMMYFUNCTION("""COMPUTED_VALUE"""),"RSC004466")</f>
        <v>RSC004466</v>
      </c>
      <c r="B4451" s="41" t="str">
        <f>IFERROR(__xludf.DUMMYFUNCTION("""COMPUTED_VALUE"""),"jxsh.rl")</f>
        <v>jxsh.rl</v>
      </c>
    </row>
    <row r="4452">
      <c r="A4452" s="41" t="str">
        <f>IFERROR(__xludf.DUMMYFUNCTION("""COMPUTED_VALUE"""),"RSC004467")</f>
        <v>RSC004467</v>
      </c>
      <c r="B4452" s="41" t="str">
        <f>IFERROR(__xludf.DUMMYFUNCTION("""COMPUTED_VALUE"""),"LFY")</f>
        <v>LFY</v>
      </c>
    </row>
    <row r="4453">
      <c r="A4453" s="41" t="str">
        <f>IFERROR(__xludf.DUMMYFUNCTION("""COMPUTED_VALUE"""),"RSC004468")</f>
        <v>RSC004468</v>
      </c>
      <c r="B4453" s="41" t="str">
        <f>IFERROR(__xludf.DUMMYFUNCTION("""COMPUTED_VALUE"""),"Mintwerd")</f>
        <v>Mintwerd</v>
      </c>
    </row>
    <row r="4454">
      <c r="A4454" s="41" t="str">
        <f>IFERROR(__xludf.DUMMYFUNCTION("""COMPUTED_VALUE"""),"RSC004469")</f>
        <v>RSC004469</v>
      </c>
      <c r="B4454" s="41" t="str">
        <f>IFERROR(__xludf.DUMMYFUNCTION("""COMPUTED_VALUE"""),"lock")</f>
        <v>lock</v>
      </c>
    </row>
    <row r="4455">
      <c r="A4455" s="41" t="str">
        <f>IFERROR(__xludf.DUMMYFUNCTION("""COMPUTED_VALUE"""),"RSC004470")</f>
        <v>RSC004470</v>
      </c>
      <c r="B4455" s="41" t="str">
        <f>IFERROR(__xludf.DUMMYFUNCTION("""COMPUTED_VALUE"""),"TrulyBrvd")</f>
        <v>TrulyBrvd</v>
      </c>
    </row>
    <row r="4456">
      <c r="A4456" s="41" t="str">
        <f>IFERROR(__xludf.DUMMYFUNCTION("""COMPUTED_VALUE"""),"RSC004471")</f>
        <v>RSC004471</v>
      </c>
      <c r="B4456" s="41" t="str">
        <f>IFERROR(__xludf.DUMMYFUNCTION("""COMPUTED_VALUE"""),"Whispr")</f>
        <v>Whispr</v>
      </c>
    </row>
    <row r="4457">
      <c r="A4457" s="41" t="str">
        <f>IFERROR(__xludf.DUMMYFUNCTION("""COMPUTED_VALUE"""),"RSC004472")</f>
        <v>RSC004472</v>
      </c>
      <c r="B4457" s="41" t="str">
        <f>IFERROR(__xludf.DUMMYFUNCTION("""COMPUTED_VALUE"""),"HopBeard")</f>
        <v>HopBeard</v>
      </c>
    </row>
    <row r="4458">
      <c r="A4458" s="41" t="str">
        <f>IFERROR(__xludf.DUMMYFUNCTION("""COMPUTED_VALUE"""),"RSC004473")</f>
        <v>RSC004473</v>
      </c>
      <c r="B4458" s="41" t="str">
        <f>IFERROR(__xludf.DUMMYFUNCTION("""COMPUTED_VALUE"""),"Cormier x 61")</f>
        <v>Cormier x 61</v>
      </c>
    </row>
    <row r="4459">
      <c r="A4459" s="41" t="str">
        <f>IFERROR(__xludf.DUMMYFUNCTION("""COMPUTED_VALUE"""),"RSC004474")</f>
        <v>RSC004474</v>
      </c>
      <c r="B4459" s="41" t="str">
        <f>IFERROR(__xludf.DUMMYFUNCTION("""COMPUTED_VALUE"""),"Solar")</f>
        <v>Solar</v>
      </c>
    </row>
    <row r="4460">
      <c r="A4460" s="41" t="str">
        <f>IFERROR(__xludf.DUMMYFUNCTION("""COMPUTED_VALUE"""),"RSC004475")</f>
        <v>RSC004475</v>
      </c>
      <c r="B4460" s="41" t="str">
        <f>IFERROR(__xludf.DUMMYFUNCTION("""COMPUTED_VALUE"""),"JMAN787")</f>
        <v>JMAN787</v>
      </c>
    </row>
    <row r="4461">
      <c r="A4461" s="41" t="str">
        <f>IFERROR(__xludf.DUMMYFUNCTION("""COMPUTED_VALUE"""),"RSC004476")</f>
        <v>RSC004476</v>
      </c>
      <c r="B4461" s="41" t="str">
        <f>IFERROR(__xludf.DUMMYFUNCTION("""COMPUTED_VALUE"""),"Aub")</f>
        <v>Aub</v>
      </c>
    </row>
    <row r="4462">
      <c r="A4462" s="41" t="str">
        <f>IFERROR(__xludf.DUMMYFUNCTION("""COMPUTED_VALUE"""),"RSC004477")</f>
        <v>RSC004477</v>
      </c>
      <c r="B4462" s="41" t="str">
        <f>IFERROR(__xludf.DUMMYFUNCTION("""COMPUTED_VALUE"""),"Wulf")</f>
        <v>Wulf</v>
      </c>
    </row>
    <row r="4463">
      <c r="A4463" s="41" t="str">
        <f>IFERROR(__xludf.DUMMYFUNCTION("""COMPUTED_VALUE"""),"RSC004478")</f>
        <v>RSC004478</v>
      </c>
      <c r="B4463" s="41" t="str">
        <f>IFERROR(__xludf.DUMMYFUNCTION("""COMPUTED_VALUE"""),"2400 Bby")</f>
        <v>2400 Bby</v>
      </c>
    </row>
    <row r="4464">
      <c r="A4464" s="41" t="str">
        <f>IFERROR(__xludf.DUMMYFUNCTION("""COMPUTED_VALUE"""),"RSC004479")</f>
        <v>RSC004479</v>
      </c>
      <c r="B4464" s="41" t="str">
        <f>IFERROR(__xludf.DUMMYFUNCTION("""COMPUTED_VALUE"""),"aeqou")</f>
        <v>aeqou</v>
      </c>
    </row>
    <row r="4465">
      <c r="A4465" s="41" t="str">
        <f>IFERROR(__xludf.DUMMYFUNCTION("""COMPUTED_VALUE"""),"RSC004480")</f>
        <v>RSC004480</v>
      </c>
      <c r="B4465" s="41" t="str">
        <f>IFERROR(__xludf.DUMMYFUNCTION("""COMPUTED_VALUE"""),"astro.")</f>
        <v>astro.</v>
      </c>
    </row>
    <row r="4466">
      <c r="A4466" s="41" t="str">
        <f>IFERROR(__xludf.DUMMYFUNCTION("""COMPUTED_VALUE"""),"RSC004481")</f>
        <v>RSC004481</v>
      </c>
      <c r="B4466" s="41" t="str">
        <f>IFERROR(__xludf.DUMMYFUNCTION("""COMPUTED_VALUE"""),"supa")</f>
        <v>supa</v>
      </c>
    </row>
    <row r="4467">
      <c r="A4467" s="41" t="str">
        <f>IFERROR(__xludf.DUMMYFUNCTION("""COMPUTED_VALUE"""),"RSC004482")</f>
        <v>RSC004482</v>
      </c>
      <c r="B4467" s="41" t="str">
        <f>IFERROR(__xludf.DUMMYFUNCTION("""COMPUTED_VALUE"""),"Jujuie")</f>
        <v>Jujuie</v>
      </c>
    </row>
    <row r="4468">
      <c r="A4468" s="41" t="str">
        <f>IFERROR(__xludf.DUMMYFUNCTION("""COMPUTED_VALUE"""),"RSC004483")</f>
        <v>RSC004483</v>
      </c>
      <c r="B4468" s="41" t="str">
        <f>IFERROR(__xludf.DUMMYFUNCTION("""COMPUTED_VALUE"""),"BoldRoller")</f>
        <v>BoldRoller</v>
      </c>
    </row>
    <row r="4469">
      <c r="A4469" s="41" t="str">
        <f>IFERROR(__xludf.DUMMYFUNCTION("""COMPUTED_VALUE"""),"RSC004484")</f>
        <v>RSC004484</v>
      </c>
      <c r="B4469" s="41" t="str">
        <f>IFERROR(__xludf.DUMMYFUNCTION("""COMPUTED_VALUE"""),"BSweens-")</f>
        <v>BSweens-</v>
      </c>
    </row>
    <row r="4470">
      <c r="A4470" s="41" t="str">
        <f>IFERROR(__xludf.DUMMYFUNCTION("""COMPUTED_VALUE"""),"RSC004485")</f>
        <v>RSC004485</v>
      </c>
      <c r="B4470" s="41" t="str">
        <f>IFERROR(__xludf.DUMMYFUNCTION("""COMPUTED_VALUE"""),"starmanyy")</f>
        <v>starmanyy</v>
      </c>
    </row>
    <row r="4471">
      <c r="A4471" s="41" t="str">
        <f>IFERROR(__xludf.DUMMYFUNCTION("""COMPUTED_VALUE"""),"RSC004486")</f>
        <v>RSC004486</v>
      </c>
      <c r="B4471" s="41" t="str">
        <f>IFERROR(__xludf.DUMMYFUNCTION("""COMPUTED_VALUE"""),"OdysSey_AS")</f>
        <v>OdysSey_AS</v>
      </c>
    </row>
    <row r="4472">
      <c r="A4472" s="41" t="str">
        <f>IFERROR(__xludf.DUMMYFUNCTION("""COMPUTED_VALUE"""),"RSC004487")</f>
        <v>RSC004487</v>
      </c>
      <c r="B4472" s="41" t="str">
        <f>IFERROR(__xludf.DUMMYFUNCTION("""COMPUTED_VALUE"""),"Savant")</f>
        <v>Savant</v>
      </c>
    </row>
    <row r="4473">
      <c r="A4473" s="41" t="str">
        <f>IFERROR(__xludf.DUMMYFUNCTION("""COMPUTED_VALUE"""),"RSC004488")</f>
        <v>RSC004488</v>
      </c>
      <c r="B4473" s="41" t="str">
        <f>IFERROR(__xludf.DUMMYFUNCTION("""COMPUTED_VALUE"""),"Uncommon")</f>
        <v>Uncommon</v>
      </c>
    </row>
    <row r="4474">
      <c r="A4474" s="41" t="str">
        <f>IFERROR(__xludf.DUMMYFUNCTION("""COMPUTED_VALUE"""),"RSC004489")</f>
        <v>RSC004489</v>
      </c>
      <c r="B4474" s="41" t="str">
        <f>IFERROR(__xludf.DUMMYFUNCTION("""COMPUTED_VALUE"""),"SmooothWalter")</f>
        <v>SmooothWalter</v>
      </c>
    </row>
    <row r="4475">
      <c r="A4475" s="41" t="str">
        <f>IFERROR(__xludf.DUMMYFUNCTION("""COMPUTED_VALUE"""),"RSC004490")</f>
        <v>RSC004490</v>
      </c>
      <c r="B4475" s="41" t="str">
        <f>IFERROR(__xludf.DUMMYFUNCTION("""COMPUTED_VALUE"""),"Komrade_Carl")</f>
        <v>Komrade_Carl</v>
      </c>
    </row>
    <row r="4476">
      <c r="A4476" s="41" t="str">
        <f>IFERROR(__xludf.DUMMYFUNCTION("""COMPUTED_VALUE"""),"RSC004491")</f>
        <v>RSC004491</v>
      </c>
      <c r="B4476" s="41" t="str">
        <f>IFERROR(__xludf.DUMMYFUNCTION("""COMPUTED_VALUE"""),"d-r-o-w-n")</f>
        <v>d-r-o-w-n</v>
      </c>
    </row>
    <row r="4477">
      <c r="A4477" s="41" t="str">
        <f>IFERROR(__xludf.DUMMYFUNCTION("""COMPUTED_VALUE"""),"RSC004492")</f>
        <v>RSC004492</v>
      </c>
      <c r="B4477" s="41" t="str">
        <f>IFERROR(__xludf.DUMMYFUNCTION("""COMPUTED_VALUE"""),"GUIN19")</f>
        <v>GUIN19</v>
      </c>
    </row>
    <row r="4478">
      <c r="A4478" s="41" t="str">
        <f>IFERROR(__xludf.DUMMYFUNCTION("""COMPUTED_VALUE"""),"RSC004493")</f>
        <v>RSC004493</v>
      </c>
      <c r="B4478" s="41" t="str">
        <f>IFERROR(__xludf.DUMMYFUNCTION("""COMPUTED_VALUE"""),"Destroygodrl")</f>
        <v>Destroygodrl</v>
      </c>
    </row>
    <row r="4479">
      <c r="A4479" s="41" t="str">
        <f>IFERROR(__xludf.DUMMYFUNCTION("""COMPUTED_VALUE"""),"RSC004494")</f>
        <v>RSC004494</v>
      </c>
      <c r="B4479" s="41" t="str">
        <f>IFERROR(__xludf.DUMMYFUNCTION("""COMPUTED_VALUE"""),"RbK0_")</f>
        <v>RbK0_</v>
      </c>
    </row>
    <row r="4480">
      <c r="A4480" s="41" t="str">
        <f>IFERROR(__xludf.DUMMYFUNCTION("""COMPUTED_VALUE"""),"RSC004495")</f>
        <v>RSC004495</v>
      </c>
      <c r="B4480" s="41" t="str">
        <f>IFERROR(__xludf.DUMMYFUNCTION("""COMPUTED_VALUE"""),"Dr Sparkles")</f>
        <v>Dr Sparkles</v>
      </c>
    </row>
    <row r="4481">
      <c r="A4481" s="41" t="str">
        <f>IFERROR(__xludf.DUMMYFUNCTION("""COMPUTED_VALUE"""),"RSC004496")</f>
        <v>RSC004496</v>
      </c>
      <c r="B4481" s="41" t="str">
        <f>IFERROR(__xludf.DUMMYFUNCTION("""COMPUTED_VALUE"""),"xdblezi")</f>
        <v>xdblezi</v>
      </c>
    </row>
    <row r="4482">
      <c r="A4482" s="41" t="str">
        <f>IFERROR(__xludf.DUMMYFUNCTION("""COMPUTED_VALUE"""),"RSC004497")</f>
        <v>RSC004497</v>
      </c>
      <c r="B4482" s="41" t="str">
        <f>IFERROR(__xludf.DUMMYFUNCTION("""COMPUTED_VALUE"""),"FroznFerret")</f>
        <v>FroznFerret</v>
      </c>
    </row>
    <row r="4483">
      <c r="A4483" s="41" t="str">
        <f>IFERROR(__xludf.DUMMYFUNCTION("""COMPUTED_VALUE"""),"RSC004498")</f>
        <v>RSC004498</v>
      </c>
      <c r="B4483" s="41" t="str">
        <f>IFERROR(__xludf.DUMMYFUNCTION("""COMPUTED_VALUE"""),"S1r Duck")</f>
        <v>S1r Duck</v>
      </c>
    </row>
    <row r="4484">
      <c r="A4484" s="41" t="str">
        <f>IFERROR(__xludf.DUMMYFUNCTION("""COMPUTED_VALUE"""),"RSC004499")</f>
        <v>RSC004499</v>
      </c>
      <c r="B4484" s="41" t="str">
        <f>IFERROR(__xludf.DUMMYFUNCTION("""COMPUTED_VALUE"""),"florscnt.")</f>
        <v>florscnt.</v>
      </c>
    </row>
    <row r="4485">
      <c r="A4485" s="41" t="str">
        <f>IFERROR(__xludf.DUMMYFUNCTION("""COMPUTED_VALUE"""),"RSC004500")</f>
        <v>RSC004500</v>
      </c>
      <c r="B4485" s="41" t="str">
        <f>IFERROR(__xludf.DUMMYFUNCTION("""COMPUTED_VALUE"""),"Cochran3833")</f>
        <v>Cochran3833</v>
      </c>
    </row>
    <row r="4486">
      <c r="A4486" s="41" t="str">
        <f>IFERROR(__xludf.DUMMYFUNCTION("""COMPUTED_VALUE"""),"RSC004501")</f>
        <v>RSC004501</v>
      </c>
      <c r="B4486" s="41" t="str">
        <f>IFERROR(__xludf.DUMMYFUNCTION("""COMPUTED_VALUE"""),"Bubbles")</f>
        <v>Bubbles</v>
      </c>
    </row>
    <row r="4487">
      <c r="A4487" s="41" t="str">
        <f>IFERROR(__xludf.DUMMYFUNCTION("""COMPUTED_VALUE"""),"RSC004502")</f>
        <v>RSC004502</v>
      </c>
      <c r="B4487" s="41" t="str">
        <f>IFERROR(__xludf.DUMMYFUNCTION("""COMPUTED_VALUE"""),"mortals .")</f>
        <v>mortals .</v>
      </c>
    </row>
    <row r="4488">
      <c r="A4488" s="41" t="str">
        <f>IFERROR(__xludf.DUMMYFUNCTION("""COMPUTED_VALUE"""),"RSC004503")</f>
        <v>RSC004503</v>
      </c>
      <c r="B4488" s="41" t="str">
        <f>IFERROR(__xludf.DUMMYFUNCTION("""COMPUTED_VALUE"""),"Scuuubaa")</f>
        <v>Scuuubaa</v>
      </c>
    </row>
    <row r="4489">
      <c r="A4489" s="41" t="str">
        <f>IFERROR(__xludf.DUMMYFUNCTION("""COMPUTED_VALUE"""),"RSC004504")</f>
        <v>RSC004504</v>
      </c>
      <c r="B4489" s="41" t="str">
        <f>IFERROR(__xludf.DUMMYFUNCTION("""COMPUTED_VALUE"""),"SG Wicki")</f>
        <v>SG Wicki</v>
      </c>
    </row>
    <row r="4490">
      <c r="A4490" s="41" t="str">
        <f>IFERROR(__xludf.DUMMYFUNCTION("""COMPUTED_VALUE"""),"RSC004505")</f>
        <v>RSC004505</v>
      </c>
      <c r="B4490" s="41" t="str">
        <f>IFERROR(__xludf.DUMMYFUNCTION("""COMPUTED_VALUE"""),"Wade")</f>
        <v>Wade</v>
      </c>
    </row>
    <row r="4491">
      <c r="A4491" s="41" t="str">
        <f>IFERROR(__xludf.DUMMYFUNCTION("""COMPUTED_VALUE"""),"RSC004506")</f>
        <v>RSC004506</v>
      </c>
      <c r="B4491" s="41" t="str">
        <f>IFERROR(__xludf.DUMMYFUNCTION("""COMPUTED_VALUE"""),"SpotTHEDEAD")</f>
        <v>SpotTHEDEAD</v>
      </c>
    </row>
    <row r="4492">
      <c r="A4492" s="41" t="str">
        <f>IFERROR(__xludf.DUMMYFUNCTION("""COMPUTED_VALUE"""),"RSC004507")</f>
        <v>RSC004507</v>
      </c>
      <c r="B4492" s="41" t="str">
        <f>IFERROR(__xludf.DUMMYFUNCTION("""COMPUTED_VALUE"""),"Wired")</f>
        <v>Wired</v>
      </c>
    </row>
    <row r="4493">
      <c r="A4493" s="41" t="str">
        <f>IFERROR(__xludf.DUMMYFUNCTION("""COMPUTED_VALUE"""),"RSC004508")</f>
        <v>RSC004508</v>
      </c>
      <c r="B4493" s="41" t="str">
        <f>IFERROR(__xludf.DUMMYFUNCTION("""COMPUTED_VALUE"""),"Avocado")</f>
        <v>Avocado</v>
      </c>
    </row>
    <row r="4494">
      <c r="A4494" s="41" t="str">
        <f>IFERROR(__xludf.DUMMYFUNCTION("""COMPUTED_VALUE"""),"RSC004509")</f>
        <v>RSC004509</v>
      </c>
      <c r="B4494" s="41" t="str">
        <f>IFERROR(__xludf.DUMMYFUNCTION("""COMPUTED_VALUE"""),"tazlien")</f>
        <v>tazlien</v>
      </c>
    </row>
    <row r="4495">
      <c r="A4495" s="41" t="str">
        <f>IFERROR(__xludf.DUMMYFUNCTION("""COMPUTED_VALUE"""),"RSC004510")</f>
        <v>RSC004510</v>
      </c>
      <c r="B4495" s="41" t="str">
        <f>IFERROR(__xludf.DUMMYFUNCTION("""COMPUTED_VALUE"""),"Eleventyleven")</f>
        <v>Eleventyleven</v>
      </c>
    </row>
    <row r="4496">
      <c r="A4496" s="41" t="str">
        <f>IFERROR(__xludf.DUMMYFUNCTION("""COMPUTED_VALUE"""),"RSC004511")</f>
        <v>RSC004511</v>
      </c>
      <c r="B4496" s="41" t="str">
        <f>IFERROR(__xludf.DUMMYFUNCTION("""COMPUTED_VALUE"""),"Le Duckz")</f>
        <v>Le Duckz</v>
      </c>
    </row>
    <row r="4497">
      <c r="A4497" s="41" t="str">
        <f>IFERROR(__xludf.DUMMYFUNCTION("""COMPUTED_VALUE"""),"RSC004512")</f>
        <v>RSC004512</v>
      </c>
      <c r="B4497" s="41" t="str">
        <f>IFERROR(__xludf.DUMMYFUNCTION("""COMPUTED_VALUE"""),"xGUERRAx509")</f>
        <v>xGUERRAx509</v>
      </c>
    </row>
    <row r="4498">
      <c r="A4498" s="41" t="str">
        <f>IFERROR(__xludf.DUMMYFUNCTION("""COMPUTED_VALUE"""),"RSC004513")</f>
        <v>RSC004513</v>
      </c>
      <c r="B4498" s="41" t="str">
        <f>IFERROR(__xludf.DUMMYFUNCTION("""COMPUTED_VALUE"""),"Slimey")</f>
        <v>Slimey</v>
      </c>
    </row>
    <row r="4499">
      <c r="A4499" s="41" t="str">
        <f>IFERROR(__xludf.DUMMYFUNCTION("""COMPUTED_VALUE"""),"RSC004514")</f>
        <v>RSC004514</v>
      </c>
      <c r="B4499" s="41" t="str">
        <f>IFERROR(__xludf.DUMMYFUNCTION("""COMPUTED_VALUE"""),"Flame")</f>
        <v>Flame</v>
      </c>
    </row>
    <row r="4500">
      <c r="A4500" s="41" t="str">
        <f>IFERROR(__xludf.DUMMYFUNCTION("""COMPUTED_VALUE"""),"RSC004515")</f>
        <v>RSC004515</v>
      </c>
      <c r="B4500" s="41" t="str">
        <f>IFERROR(__xludf.DUMMYFUNCTION("""COMPUTED_VALUE"""),"Be Tolerant")</f>
        <v>Be Tolerant</v>
      </c>
    </row>
    <row r="4501">
      <c r="A4501" s="41" t="str">
        <f>IFERROR(__xludf.DUMMYFUNCTION("""COMPUTED_VALUE"""),"RSC004516")</f>
        <v>RSC004516</v>
      </c>
      <c r="B4501" s="41" t="str">
        <f>IFERROR(__xludf.DUMMYFUNCTION("""COMPUTED_VALUE"""),"iQ Rage3790")</f>
        <v>iQ Rage3790</v>
      </c>
    </row>
    <row r="4502">
      <c r="A4502" s="41" t="str">
        <f>IFERROR(__xludf.DUMMYFUNCTION("""COMPUTED_VALUE"""),"RSC004517")</f>
        <v>RSC004517</v>
      </c>
      <c r="B4502" s="41" t="str">
        <f>IFERROR(__xludf.DUMMYFUNCTION("""COMPUTED_VALUE"""),"Neito")</f>
        <v>Neito</v>
      </c>
    </row>
    <row r="4503">
      <c r="A4503" s="41" t="str">
        <f>IFERROR(__xludf.DUMMYFUNCTION("""COMPUTED_VALUE"""),"RSC004518")</f>
        <v>RSC004518</v>
      </c>
      <c r="B4503" s="41" t="str">
        <f>IFERROR(__xludf.DUMMYFUNCTION("""COMPUTED_VALUE"""),"Dapper Stang")</f>
        <v>Dapper Stang</v>
      </c>
    </row>
    <row r="4504">
      <c r="A4504" s="41" t="str">
        <f>IFERROR(__xludf.DUMMYFUNCTION("""COMPUTED_VALUE"""),"RSC004519")</f>
        <v>RSC004519</v>
      </c>
      <c r="B4504" s="41" t="str">
        <f>IFERROR(__xludf.DUMMYFUNCTION("""COMPUTED_VALUE"""),"KillerBunny_9457")</f>
        <v>KillerBunny_9457</v>
      </c>
    </row>
    <row r="4505">
      <c r="A4505" s="41" t="str">
        <f>IFERROR(__xludf.DUMMYFUNCTION("""COMPUTED_VALUE"""),"RSC004520")</f>
        <v>RSC004520</v>
      </c>
      <c r="B4505" s="41" t="str">
        <f>IFERROR(__xludf.DUMMYFUNCTION("""COMPUTED_VALUE"""),"DrewDogg5255")</f>
        <v>DrewDogg5255</v>
      </c>
    </row>
    <row r="4506">
      <c r="A4506" s="41" t="str">
        <f>IFERROR(__xludf.DUMMYFUNCTION("""COMPUTED_VALUE"""),"RSC004521")</f>
        <v>RSC004521</v>
      </c>
      <c r="B4506" s="41" t="str">
        <f>IFERROR(__xludf.DUMMYFUNCTION("""COMPUTED_VALUE"""),"ikeman2020")</f>
        <v>ikeman2020</v>
      </c>
    </row>
    <row r="4507">
      <c r="A4507" s="41" t="str">
        <f>IFERROR(__xludf.DUMMYFUNCTION("""COMPUTED_VALUE"""),"RSC004522")</f>
        <v>RSC004522</v>
      </c>
      <c r="B4507" s="41" t="str">
        <f>IFERROR(__xludf.DUMMYFUNCTION("""COMPUTED_VALUE"""),"shadowraiser47")</f>
        <v>shadowraiser47</v>
      </c>
    </row>
    <row r="4508">
      <c r="A4508" s="41" t="str">
        <f>IFERROR(__xludf.DUMMYFUNCTION("""COMPUTED_VALUE"""),"RSC004523")</f>
        <v>RSC004523</v>
      </c>
      <c r="B4508" s="41" t="str">
        <f>IFERROR(__xludf.DUMMYFUNCTION("""COMPUTED_VALUE"""),"Hazygull01386")</f>
        <v>Hazygull01386</v>
      </c>
    </row>
    <row r="4509">
      <c r="A4509" s="41" t="str">
        <f>IFERROR(__xludf.DUMMYFUNCTION("""COMPUTED_VALUE"""),"RSC004524")</f>
        <v>RSC004524</v>
      </c>
      <c r="B4509" s="41" t="str">
        <f>IFERROR(__xludf.DUMMYFUNCTION("""COMPUTED_VALUE"""),"Azumii")</f>
        <v>Azumii</v>
      </c>
    </row>
    <row r="4510">
      <c r="A4510" s="41" t="str">
        <f>IFERROR(__xludf.DUMMYFUNCTION("""COMPUTED_VALUE"""),"RSC004525")</f>
        <v>RSC004525</v>
      </c>
      <c r="B4510" s="41" t="str">
        <f>IFERROR(__xludf.DUMMYFUNCTION("""COMPUTED_VALUE"""),"Kocosaur")</f>
        <v>Kocosaur</v>
      </c>
    </row>
    <row r="4511">
      <c r="A4511" s="41" t="str">
        <f>IFERROR(__xludf.DUMMYFUNCTION("""COMPUTED_VALUE"""),"RSC004526")</f>
        <v>RSC004526</v>
      </c>
      <c r="B4511" s="41" t="str">
        <f>IFERROR(__xludf.DUMMYFUNCTION("""COMPUTED_VALUE"""),"gooogooobaby")</f>
        <v>gooogooobaby</v>
      </c>
    </row>
    <row r="4512">
      <c r="A4512" s="41" t="str">
        <f>IFERROR(__xludf.DUMMYFUNCTION("""COMPUTED_VALUE"""),"RSC004527")</f>
        <v>RSC004527</v>
      </c>
      <c r="B4512" s="41" t="str">
        <f>IFERROR(__xludf.DUMMYFUNCTION("""COMPUTED_VALUE"""),"brockemsockem")</f>
        <v>brockemsockem</v>
      </c>
    </row>
    <row r="4513">
      <c r="A4513" s="41" t="str">
        <f>IFERROR(__xludf.DUMMYFUNCTION("""COMPUTED_VALUE"""),"RSC004528")</f>
        <v>RSC004528</v>
      </c>
      <c r="B4513" s="41" t="str">
        <f>IFERROR(__xludf.DUMMYFUNCTION("""COMPUTED_VALUE"""),"Tw1zT3D")</f>
        <v>Tw1zT3D</v>
      </c>
    </row>
    <row r="4514">
      <c r="A4514" s="41" t="str">
        <f>IFERROR(__xludf.DUMMYFUNCTION("""COMPUTED_VALUE"""),"RSC004529")</f>
        <v>RSC004529</v>
      </c>
      <c r="B4514" s="41" t="str">
        <f>IFERROR(__xludf.DUMMYFUNCTION("""COMPUTED_VALUE"""),"Slavic_.")</f>
        <v>Slavic_.</v>
      </c>
    </row>
    <row r="4515">
      <c r="A4515" s="41" t="str">
        <f>IFERROR(__xludf.DUMMYFUNCTION("""COMPUTED_VALUE"""),"RSC004530")</f>
        <v>RSC004530</v>
      </c>
      <c r="B4515" s="41" t="str">
        <f>IFERROR(__xludf.DUMMYFUNCTION("""COMPUTED_VALUE"""),"javvington")</f>
        <v>javvington</v>
      </c>
    </row>
    <row r="4516">
      <c r="A4516" s="41" t="str">
        <f>IFERROR(__xludf.DUMMYFUNCTION("""COMPUTED_VALUE"""),"RSC004531")</f>
        <v>RSC004531</v>
      </c>
      <c r="B4516" s="41" t="str">
        <f>IFERROR(__xludf.DUMMYFUNCTION("""COMPUTED_VALUE"""),"Hellriser")</f>
        <v>Hellriser</v>
      </c>
    </row>
    <row r="4517">
      <c r="A4517" s="41" t="str">
        <f>IFERROR(__xludf.DUMMYFUNCTION("""COMPUTED_VALUE"""),"RSC004532")</f>
        <v>RSC004532</v>
      </c>
      <c r="B4517" s="41" t="str">
        <f>IFERROR(__xludf.DUMMYFUNCTION("""COMPUTED_VALUE"""),"madmaxrk")</f>
        <v>madmaxrk</v>
      </c>
    </row>
    <row r="4518">
      <c r="A4518" s="41" t="str">
        <f>IFERROR(__xludf.DUMMYFUNCTION("""COMPUTED_VALUE"""),"RSC004533")</f>
        <v>RSC004533</v>
      </c>
      <c r="B4518" s="41" t="str">
        <f>IFERROR(__xludf.DUMMYFUNCTION("""COMPUTED_VALUE"""),"Oliwer")</f>
        <v>Oliwer</v>
      </c>
    </row>
    <row r="4519">
      <c r="A4519" s="41" t="str">
        <f>IFERROR(__xludf.DUMMYFUNCTION("""COMPUTED_VALUE"""),"RSC004534")</f>
        <v>RSC004534</v>
      </c>
      <c r="B4519" s="41" t="str">
        <f>IFERROR(__xludf.DUMMYFUNCTION("""COMPUTED_VALUE"""),"ThatEpicTragedy")</f>
        <v>ThatEpicTragedy</v>
      </c>
    </row>
    <row r="4520">
      <c r="A4520" s="41" t="str">
        <f>IFERROR(__xludf.DUMMYFUNCTION("""COMPUTED_VALUE"""),"RSC004535")</f>
        <v>RSC004535</v>
      </c>
      <c r="B4520" s="41" t="str">
        <f>IFERROR(__xludf.DUMMYFUNCTION("""COMPUTED_VALUE"""),"RayCrusher")</f>
        <v>RayCrusher</v>
      </c>
    </row>
    <row r="4521">
      <c r="A4521" s="41" t="str">
        <f>IFERROR(__xludf.DUMMYFUNCTION("""COMPUTED_VALUE"""),"RSC004536")</f>
        <v>RSC004536</v>
      </c>
      <c r="B4521" s="41" t="str">
        <f>IFERROR(__xludf.DUMMYFUNCTION("""COMPUTED_VALUE"""),"Grim")</f>
        <v>Grim</v>
      </c>
    </row>
    <row r="4522">
      <c r="A4522" s="41" t="str">
        <f>IFERROR(__xludf.DUMMYFUNCTION("""COMPUTED_VALUE"""),"RSC004537")</f>
        <v>RSC004537</v>
      </c>
      <c r="B4522" s="41" t="str">
        <f>IFERROR(__xludf.DUMMYFUNCTION("""COMPUTED_VALUE"""),"yaoming2124")</f>
        <v>yaoming2124</v>
      </c>
    </row>
    <row r="4523">
      <c r="A4523" s="41" t="str">
        <f>IFERROR(__xludf.DUMMYFUNCTION("""COMPUTED_VALUE"""),"RSC004538")</f>
        <v>RSC004538</v>
      </c>
      <c r="B4523" s="41" t="str">
        <f>IFERROR(__xludf.DUMMYFUNCTION("""COMPUTED_VALUE"""),"bones")</f>
        <v>bones</v>
      </c>
    </row>
    <row r="4524">
      <c r="A4524" s="41" t="str">
        <f>IFERROR(__xludf.DUMMYFUNCTION("""COMPUTED_VALUE"""),"RSC004539")</f>
        <v>RSC004539</v>
      </c>
      <c r="B4524" s="41" t="str">
        <f>IFERROR(__xludf.DUMMYFUNCTION("""COMPUTED_VALUE"""),"DumplingsAreGod")</f>
        <v>DumplingsAreGod</v>
      </c>
    </row>
    <row r="4525">
      <c r="A4525" s="41" t="str">
        <f>IFERROR(__xludf.DUMMYFUNCTION("""COMPUTED_VALUE"""),"RSC004540")</f>
        <v>RSC004540</v>
      </c>
      <c r="B4525" s="41" t="str">
        <f>IFERROR(__xludf.DUMMYFUNCTION("""COMPUTED_VALUE"""),"BuckNekkid15")</f>
        <v>BuckNekkid15</v>
      </c>
    </row>
    <row r="4526">
      <c r="A4526" s="41" t="str">
        <f>IFERROR(__xludf.DUMMYFUNCTION("""COMPUTED_VALUE"""),"RSC004541")</f>
        <v>RSC004541</v>
      </c>
      <c r="B4526" s="41" t="str">
        <f>IFERROR(__xludf.DUMMYFUNCTION("""COMPUTED_VALUE"""),"LeWolf-")</f>
        <v>LeWolf-</v>
      </c>
    </row>
    <row r="4527">
      <c r="A4527" s="41" t="str">
        <f>IFERROR(__xludf.DUMMYFUNCTION("""COMPUTED_VALUE"""),"RSC004542")</f>
        <v>RSC004542</v>
      </c>
      <c r="B4527" s="41" t="str">
        <f>IFERROR(__xludf.DUMMYFUNCTION("""COMPUTED_VALUE"""),"cde4th")</f>
        <v>cde4th</v>
      </c>
    </row>
    <row r="4528">
      <c r="A4528" s="41" t="str">
        <f>IFERROR(__xludf.DUMMYFUNCTION("""COMPUTED_VALUE"""),"RSC004543")</f>
        <v>RSC004543</v>
      </c>
      <c r="B4528" s="41" t="str">
        <f>IFERROR(__xludf.DUMMYFUNCTION("""COMPUTED_VALUE"""),"GRRRRRRRRRREAT")</f>
        <v>GRRRRRRRRRREAT</v>
      </c>
    </row>
    <row r="4529">
      <c r="A4529" s="41" t="str">
        <f>IFERROR(__xludf.DUMMYFUNCTION("""COMPUTED_VALUE"""),"RSC004544")</f>
        <v>RSC004544</v>
      </c>
      <c r="B4529" s="41" t="str">
        <f>IFERROR(__xludf.DUMMYFUNCTION("""COMPUTED_VALUE"""),"Rickey")</f>
        <v>Rickey</v>
      </c>
    </row>
    <row r="4530">
      <c r="A4530" s="41" t="str">
        <f>IFERROR(__xludf.DUMMYFUNCTION("""COMPUTED_VALUE"""),"RSC004545")</f>
        <v>RSC004545</v>
      </c>
      <c r="B4530" s="41" t="str">
        <f>IFERROR(__xludf.DUMMYFUNCTION("""COMPUTED_VALUE"""),"Vires")</f>
        <v>Vires</v>
      </c>
    </row>
    <row r="4531">
      <c r="A4531" s="41" t="str">
        <f>IFERROR(__xludf.DUMMYFUNCTION("""COMPUTED_VALUE"""),"RSC004546")</f>
        <v>RSC004546</v>
      </c>
      <c r="B4531" s="41" t="str">
        <f>IFERROR(__xludf.DUMMYFUNCTION("""COMPUTED_VALUE"""),"Squart")</f>
        <v>Squart</v>
      </c>
    </row>
    <row r="4532">
      <c r="A4532" s="41" t="str">
        <f>IFERROR(__xludf.DUMMYFUNCTION("""COMPUTED_VALUE"""),"RSC004547")</f>
        <v>RSC004547</v>
      </c>
      <c r="B4532" s="41" t="str">
        <f>IFERROR(__xludf.DUMMYFUNCTION("""COMPUTED_VALUE"""),"Enrico Pallazzo")</f>
        <v>Enrico Pallazzo</v>
      </c>
    </row>
    <row r="4533">
      <c r="A4533" s="41" t="str">
        <f>IFERROR(__xludf.DUMMYFUNCTION("""COMPUTED_VALUE"""),"RSC004548")</f>
        <v>RSC004548</v>
      </c>
      <c r="B4533" s="41" t="str">
        <f>IFERROR(__xludf.DUMMYFUNCTION("""COMPUTED_VALUE"""),"Monkee Fish Frog")</f>
        <v>Monkee Fish Frog</v>
      </c>
    </row>
    <row r="4534">
      <c r="A4534" s="41" t="str">
        <f>IFERROR(__xludf.DUMMYFUNCTION("""COMPUTED_VALUE"""),"RSC004549")</f>
        <v>RSC004549</v>
      </c>
      <c r="B4534" s="41" t="str">
        <f>IFERROR(__xludf.DUMMYFUNCTION("""COMPUTED_VALUE"""),"min1mum")</f>
        <v>min1mum</v>
      </c>
    </row>
    <row r="4535">
      <c r="A4535" s="41" t="str">
        <f>IFERROR(__xludf.DUMMYFUNCTION("""COMPUTED_VALUE"""),"RSC004550")</f>
        <v>RSC004550</v>
      </c>
      <c r="B4535" s="41" t="str">
        <f>IFERROR(__xludf.DUMMYFUNCTION("""COMPUTED_VALUE"""),"ScoopsIG")</f>
        <v>ScoopsIG</v>
      </c>
    </row>
    <row r="4536">
      <c r="A4536" s="41" t="str">
        <f>IFERROR(__xludf.DUMMYFUNCTION("""COMPUTED_VALUE"""),"RSC004551")</f>
        <v>RSC004551</v>
      </c>
      <c r="B4536" s="41" t="str">
        <f>IFERROR(__xludf.DUMMYFUNCTION("""COMPUTED_VALUE"""),"the rabbi_")</f>
        <v>the rabbi_</v>
      </c>
    </row>
    <row r="4537">
      <c r="A4537" s="41" t="str">
        <f>IFERROR(__xludf.DUMMYFUNCTION("""COMPUTED_VALUE"""),"RSC004552")</f>
        <v>RSC004552</v>
      </c>
      <c r="B4537" s="41" t="str">
        <f>IFERROR(__xludf.DUMMYFUNCTION("""COMPUTED_VALUE"""),"op5y")</f>
        <v>op5y</v>
      </c>
    </row>
    <row r="4538">
      <c r="A4538" s="41" t="str">
        <f>IFERROR(__xludf.DUMMYFUNCTION("""COMPUTED_VALUE"""),"RSC004553")</f>
        <v>RSC004553</v>
      </c>
      <c r="B4538" s="41" t="str">
        <f>IFERROR(__xludf.DUMMYFUNCTION("""COMPUTED_VALUE"""),"robbym28")</f>
        <v>robbym28</v>
      </c>
    </row>
    <row r="4539">
      <c r="A4539" s="41" t="str">
        <f>IFERROR(__xludf.DUMMYFUNCTION("""COMPUTED_VALUE"""),"RSC004554")</f>
        <v>RSC004554</v>
      </c>
      <c r="B4539" s="41" t="str">
        <f>IFERROR(__xludf.DUMMYFUNCTION("""COMPUTED_VALUE"""),"Pro.")</f>
        <v>Pro.</v>
      </c>
    </row>
    <row r="4540">
      <c r="A4540" s="41" t="str">
        <f>IFERROR(__xludf.DUMMYFUNCTION("""COMPUTED_VALUE"""),"RSC004555")</f>
        <v>RSC004555</v>
      </c>
      <c r="B4540" s="41" t="str">
        <f>IFERROR(__xludf.DUMMYFUNCTION("""COMPUTED_VALUE"""),"Tranq")</f>
        <v>Tranq</v>
      </c>
    </row>
    <row r="4541">
      <c r="A4541" s="41" t="str">
        <f>IFERROR(__xludf.DUMMYFUNCTION("""COMPUTED_VALUE"""),"RSC004556")</f>
        <v>RSC004556</v>
      </c>
      <c r="B4541" s="41" t="str">
        <f>IFERROR(__xludf.DUMMYFUNCTION("""COMPUTED_VALUE"""),"Reverse 360n")</f>
        <v>Reverse 360n</v>
      </c>
    </row>
    <row r="4542">
      <c r="A4542" s="41" t="str">
        <f>IFERROR(__xludf.DUMMYFUNCTION("""COMPUTED_VALUE"""),"RSC004557")</f>
        <v>RSC004557</v>
      </c>
      <c r="B4542" s="41" t="str">
        <f>IFERROR(__xludf.DUMMYFUNCTION("""COMPUTED_VALUE"""),"Hamm.")</f>
        <v>Hamm.</v>
      </c>
    </row>
    <row r="4543">
      <c r="A4543" s="41" t="str">
        <f>IFERROR(__xludf.DUMMYFUNCTION("""COMPUTED_VALUE"""),"RSC004558")</f>
        <v>RSC004558</v>
      </c>
      <c r="B4543" s="41" t="str">
        <f>IFERROR(__xludf.DUMMYFUNCTION("""COMPUTED_VALUE"""),"Fake Envy")</f>
        <v>Fake Envy</v>
      </c>
    </row>
    <row r="4544">
      <c r="A4544" s="41" t="str">
        <f>IFERROR(__xludf.DUMMYFUNCTION("""COMPUTED_VALUE"""),"RSC004559")</f>
        <v>RSC004559</v>
      </c>
      <c r="B4544" s="41" t="str">
        <f>IFERROR(__xludf.DUMMYFUNCTION("""COMPUTED_VALUE"""),"ibatheinbeans")</f>
        <v>ibatheinbeans</v>
      </c>
    </row>
    <row r="4545">
      <c r="A4545" s="41" t="str">
        <f>IFERROR(__xludf.DUMMYFUNCTION("""COMPUTED_VALUE"""),"RSC004560")</f>
        <v>RSC004560</v>
      </c>
      <c r="B4545" s="41" t="str">
        <f>IFERROR(__xludf.DUMMYFUNCTION("""COMPUTED_VALUE"""),"Nico")</f>
        <v>Nico</v>
      </c>
    </row>
    <row r="4546">
      <c r="A4546" s="41" t="str">
        <f>IFERROR(__xludf.DUMMYFUNCTION("""COMPUTED_VALUE"""),"RSC004561")</f>
        <v>RSC004561</v>
      </c>
      <c r="B4546" s="41" t="str">
        <f>IFERROR(__xludf.DUMMYFUNCTION("""COMPUTED_VALUE"""),"I_Am_Beercules")</f>
        <v>I_Am_Beercules</v>
      </c>
    </row>
    <row r="4547">
      <c r="A4547" s="41" t="str">
        <f>IFERROR(__xludf.DUMMYFUNCTION("""COMPUTED_VALUE"""),"RSC004562")</f>
        <v>RSC004562</v>
      </c>
      <c r="B4547" s="41" t="str">
        <f>IFERROR(__xludf.DUMMYFUNCTION("""COMPUTED_VALUE"""),"ExoticZombaYT")</f>
        <v>ExoticZombaYT</v>
      </c>
    </row>
    <row r="4548">
      <c r="A4548" s="41" t="str">
        <f>IFERROR(__xludf.DUMMYFUNCTION("""COMPUTED_VALUE"""),"RSC004563")</f>
        <v>RSC004563</v>
      </c>
      <c r="B4548" s="41" t="str">
        <f>IFERROR(__xludf.DUMMYFUNCTION("""COMPUTED_VALUE"""),"sous")</f>
        <v>sous</v>
      </c>
    </row>
    <row r="4549">
      <c r="A4549" s="41" t="str">
        <f>IFERROR(__xludf.DUMMYFUNCTION("""COMPUTED_VALUE"""),"RSC004564")</f>
        <v>RSC004564</v>
      </c>
      <c r="B4549" s="41" t="str">
        <f>IFERROR(__xludf.DUMMYFUNCTION("""COMPUTED_VALUE"""),"strata")</f>
        <v>strata</v>
      </c>
    </row>
    <row r="4550">
      <c r="A4550" s="41" t="str">
        <f>IFERROR(__xludf.DUMMYFUNCTION("""COMPUTED_VALUE"""),"RSC004565")</f>
        <v>RSC004565</v>
      </c>
      <c r="B4550" s="41" t="str">
        <f>IFERROR(__xludf.DUMMYFUNCTION("""COMPUTED_VALUE"""),"Ole.Mr.Bison.")</f>
        <v>Ole.Mr.Bison.</v>
      </c>
    </row>
    <row r="4551">
      <c r="A4551" s="41" t="str">
        <f>IFERROR(__xludf.DUMMYFUNCTION("""COMPUTED_VALUE"""),"RSC004566")</f>
        <v>RSC004566</v>
      </c>
      <c r="B4551" s="41" t="str">
        <f>IFERROR(__xludf.DUMMYFUNCTION("""COMPUTED_VALUE"""),"Strickencape380")</f>
        <v>Strickencape380</v>
      </c>
    </row>
    <row r="4552">
      <c r="A4552" s="41" t="str">
        <f>IFERROR(__xludf.DUMMYFUNCTION("""COMPUTED_VALUE"""),"RSC004567")</f>
        <v>RSC004567</v>
      </c>
      <c r="B4552" s="41" t="str">
        <f>IFERROR(__xludf.DUMMYFUNCTION("""COMPUTED_VALUE"""),"plootou.")</f>
        <v>plootou.</v>
      </c>
    </row>
    <row r="4553">
      <c r="A4553" s="41" t="str">
        <f>IFERROR(__xludf.DUMMYFUNCTION("""COMPUTED_VALUE"""),"RSC004568")</f>
        <v>RSC004568</v>
      </c>
      <c r="B4553" s="41" t="str">
        <f>IFERROR(__xludf.DUMMYFUNCTION("""COMPUTED_VALUE"""),"BushBoy72")</f>
        <v>BushBoy72</v>
      </c>
    </row>
    <row r="4554">
      <c r="A4554" s="41" t="str">
        <f>IFERROR(__xludf.DUMMYFUNCTION("""COMPUTED_VALUE"""),"RSC004569")</f>
        <v>RSC004569</v>
      </c>
      <c r="B4554" s="41" t="str">
        <f>IFERROR(__xludf.DUMMYFUNCTION("""COMPUTED_VALUE"""),"Mikee GFuelcom")</f>
        <v>Mikee GFuelcom</v>
      </c>
    </row>
    <row r="4555">
      <c r="A4555" s="41" t="str">
        <f>IFERROR(__xludf.DUMMYFUNCTION("""COMPUTED_VALUE"""),"RSC004570")</f>
        <v>RSC004570</v>
      </c>
      <c r="B4555" s="41" t="str">
        <f>IFERROR(__xludf.DUMMYFUNCTION("""COMPUTED_VALUE"""),"Xeno4484")</f>
        <v>Xeno4484</v>
      </c>
    </row>
    <row r="4556">
      <c r="A4556" s="41" t="str">
        <f>IFERROR(__xludf.DUMMYFUNCTION("""COMPUTED_VALUE"""),"RSC004571")</f>
        <v>RSC004571</v>
      </c>
      <c r="B4556" s="41" t="str">
        <f>IFERROR(__xludf.DUMMYFUNCTION("""COMPUTED_VALUE"""),"SpoiledBred")</f>
        <v>SpoiledBred</v>
      </c>
    </row>
    <row r="4557">
      <c r="A4557" s="41" t="str">
        <f>IFERROR(__xludf.DUMMYFUNCTION("""COMPUTED_VALUE"""),"RSC004572")</f>
        <v>RSC004572</v>
      </c>
      <c r="B4557" s="41" t="str">
        <f>IFERROR(__xludf.DUMMYFUNCTION("""COMPUTED_VALUE"""),"SmokinOnMoonRock")</f>
        <v>SmokinOnMoonRock</v>
      </c>
    </row>
    <row r="4558">
      <c r="A4558" s="41" t="str">
        <f>IFERROR(__xludf.DUMMYFUNCTION("""COMPUTED_VALUE"""),"RSC004573")</f>
        <v>RSC004573</v>
      </c>
      <c r="B4558" s="41" t="str">
        <f>IFERROR(__xludf.DUMMYFUNCTION("""COMPUTED_VALUE"""),"ballxtillxixfall")</f>
        <v>ballxtillxixfall</v>
      </c>
    </row>
    <row r="4559">
      <c r="A4559" s="41" t="str">
        <f>IFERROR(__xludf.DUMMYFUNCTION("""COMPUTED_VALUE"""),"RSC004574")</f>
        <v>RSC004574</v>
      </c>
      <c r="B4559" s="41" t="str">
        <f>IFERROR(__xludf.DUMMYFUNCTION("""COMPUTED_VALUE"""),"Akkina")</f>
        <v>Akkina</v>
      </c>
    </row>
    <row r="4560">
      <c r="A4560" s="41" t="str">
        <f>IFERROR(__xludf.DUMMYFUNCTION("""COMPUTED_VALUE"""),"RSC004575")</f>
        <v>RSC004575</v>
      </c>
      <c r="B4560" s="41" t="str">
        <f>IFERROR(__xludf.DUMMYFUNCTION("""COMPUTED_VALUE"""),"Diamond ^.^")</f>
        <v>Diamond ^.^</v>
      </c>
    </row>
    <row r="4561">
      <c r="A4561" s="41" t="str">
        <f>IFERROR(__xludf.DUMMYFUNCTION("""COMPUTED_VALUE"""),"RSC004576")</f>
        <v>RSC004576</v>
      </c>
      <c r="B4561" s="41" t="str">
        <f>IFERROR(__xludf.DUMMYFUNCTION("""COMPUTED_VALUE"""),"Empurp")</f>
        <v>Empurp</v>
      </c>
    </row>
    <row r="4562">
      <c r="A4562" s="41" t="str">
        <f>IFERROR(__xludf.DUMMYFUNCTION("""COMPUTED_VALUE"""),"RSC004577")</f>
        <v>RSC004577</v>
      </c>
      <c r="B4562" s="41" t="str">
        <f>IFERROR(__xludf.DUMMYFUNCTION("""COMPUTED_VALUE"""),"Baynoc")</f>
        <v>Baynoc</v>
      </c>
    </row>
    <row r="4563">
      <c r="A4563" s="41" t="str">
        <f>IFERROR(__xludf.DUMMYFUNCTION("""COMPUTED_VALUE"""),"RSC004578")</f>
        <v>RSC004578</v>
      </c>
      <c r="B4563" s="41" t="str">
        <f>IFERROR(__xludf.DUMMYFUNCTION("""COMPUTED_VALUE"""),"Justin BeeBear")</f>
        <v>Justin BeeBear</v>
      </c>
    </row>
    <row r="4564">
      <c r="A4564" s="41" t="str">
        <f>IFERROR(__xludf.DUMMYFUNCTION("""COMPUTED_VALUE"""),"RSC004579")</f>
        <v>RSC004579</v>
      </c>
      <c r="B4564" s="41" t="str">
        <f>IFERROR(__xludf.DUMMYFUNCTION("""COMPUTED_VALUE"""),"Cobraz RE")</f>
        <v>Cobraz RE</v>
      </c>
    </row>
    <row r="4565">
      <c r="A4565" s="41" t="str">
        <f>IFERROR(__xludf.DUMMYFUNCTION("""COMPUTED_VALUE"""),"RSC004580")</f>
        <v>RSC004580</v>
      </c>
      <c r="B4565" s="41" t="str">
        <f>IFERROR(__xludf.DUMMYFUNCTION("""COMPUTED_VALUE"""),"Static")</f>
        <v>Static</v>
      </c>
    </row>
    <row r="4566">
      <c r="A4566" s="41" t="str">
        <f>IFERROR(__xludf.DUMMYFUNCTION("""COMPUTED_VALUE"""),"RSC004581")</f>
        <v>RSC004581</v>
      </c>
      <c r="B4566" s="41" t="str">
        <f>IFERROR(__xludf.DUMMYFUNCTION("""COMPUTED_VALUE"""),"JerryTheAlpacca")</f>
        <v>JerryTheAlpacca</v>
      </c>
    </row>
    <row r="4567">
      <c r="A4567" s="41" t="str">
        <f>IFERROR(__xludf.DUMMYFUNCTION("""COMPUTED_VALUE"""),"RSC004582")</f>
        <v>RSC004582</v>
      </c>
      <c r="B4567" s="41" t="str">
        <f>IFERROR(__xludf.DUMMYFUNCTION("""COMPUTED_VALUE"""),"Canine")</f>
        <v>Canine</v>
      </c>
    </row>
    <row r="4568">
      <c r="A4568" s="41" t="str">
        <f>IFERROR(__xludf.DUMMYFUNCTION("""COMPUTED_VALUE"""),"RSC004583")</f>
        <v>RSC004583</v>
      </c>
      <c r="B4568" s="41" t="str">
        <f>IFERROR(__xludf.DUMMYFUNCTION("""COMPUTED_VALUE"""),"Erst")</f>
        <v>Erst</v>
      </c>
    </row>
    <row r="4569">
      <c r="A4569" s="41" t="str">
        <f>IFERROR(__xludf.DUMMYFUNCTION("""COMPUTED_VALUE"""),"RSC004584")</f>
        <v>RSC004584</v>
      </c>
      <c r="B4569" s="41" t="str">
        <f>IFERROR(__xludf.DUMMYFUNCTION("""COMPUTED_VALUE"""),"tacobellsnatch")</f>
        <v>tacobellsnatch</v>
      </c>
    </row>
    <row r="4570">
      <c r="A4570" s="41" t="str">
        <f>IFERROR(__xludf.DUMMYFUNCTION("""COMPUTED_VALUE"""),"RSC004585")</f>
        <v>RSC004585</v>
      </c>
      <c r="B4570" s="41" t="str">
        <f>IFERROR(__xludf.DUMMYFUNCTION("""COMPUTED_VALUE"""),"box᲼")</f>
        <v>box᲼</v>
      </c>
    </row>
    <row r="4571">
      <c r="A4571" s="41" t="str">
        <f>IFERROR(__xludf.DUMMYFUNCTION("""COMPUTED_VALUE"""),"RSC004586")</f>
        <v>RSC004586</v>
      </c>
      <c r="B4571" s="41" t="str">
        <f>IFERROR(__xludf.DUMMYFUNCTION("""COMPUTED_VALUE"""),"Jaybeauh")</f>
        <v>Jaybeauh</v>
      </c>
    </row>
    <row r="4572">
      <c r="A4572" s="41" t="str">
        <f>IFERROR(__xludf.DUMMYFUNCTION("""COMPUTED_VALUE"""),"RSC004587")</f>
        <v>RSC004587</v>
      </c>
      <c r="B4572" s="41" t="str">
        <f>IFERROR(__xludf.DUMMYFUNCTION("""COMPUTED_VALUE"""),"doomhunter")</f>
        <v>doomhunter</v>
      </c>
    </row>
    <row r="4573">
      <c r="A4573" s="41" t="str">
        <f>IFERROR(__xludf.DUMMYFUNCTION("""COMPUTED_VALUE"""),"RSC004588")</f>
        <v>RSC004588</v>
      </c>
      <c r="B4573" s="41" t="str">
        <f>IFERROR(__xludf.DUMMYFUNCTION("""COMPUTED_VALUE"""),"plama-")</f>
        <v>plama-</v>
      </c>
    </row>
    <row r="4574">
      <c r="A4574" s="41" t="str">
        <f>IFERROR(__xludf.DUMMYFUNCTION("""COMPUTED_VALUE"""),"RSC004589")</f>
        <v>RSC004589</v>
      </c>
      <c r="B4574" s="41" t="str">
        <f>IFERROR(__xludf.DUMMYFUNCTION("""COMPUTED_VALUE"""),"Spicerack24")</f>
        <v>Spicerack24</v>
      </c>
    </row>
    <row r="4575">
      <c r="A4575" s="41" t="str">
        <f>IFERROR(__xludf.DUMMYFUNCTION("""COMPUTED_VALUE"""),"RSC004590")</f>
        <v>RSC004590</v>
      </c>
      <c r="B4575" s="41" t="str">
        <f>IFERROR(__xludf.DUMMYFUNCTION("""COMPUTED_VALUE"""),"firefly_933_")</f>
        <v>firefly_933_</v>
      </c>
    </row>
    <row r="4576">
      <c r="A4576" s="41" t="str">
        <f>IFERROR(__xludf.DUMMYFUNCTION("""COMPUTED_VALUE"""),"RSC004591")</f>
        <v>RSC004591</v>
      </c>
      <c r="B4576" s="41" t="str">
        <f>IFERROR(__xludf.DUMMYFUNCTION("""COMPUTED_VALUE"""),"Noah Gragg")</f>
        <v>Noah Gragg</v>
      </c>
    </row>
    <row r="4577">
      <c r="A4577" s="41" t="str">
        <f>IFERROR(__xludf.DUMMYFUNCTION("""COMPUTED_VALUE"""),"RSC004592")</f>
        <v>RSC004592</v>
      </c>
      <c r="B4577" s="41" t="str">
        <f>IFERROR(__xludf.DUMMYFUNCTION("""COMPUTED_VALUE"""),"LOENDER69")</f>
        <v>LOENDER69</v>
      </c>
    </row>
    <row r="4578">
      <c r="A4578" s="41" t="str">
        <f>IFERROR(__xludf.DUMMYFUNCTION("""COMPUTED_VALUE"""),"RSC004593")</f>
        <v>RSC004593</v>
      </c>
      <c r="B4578" s="41" t="str">
        <f>IFERROR(__xludf.DUMMYFUNCTION("""COMPUTED_VALUE"""),"Boulder")</f>
        <v>Boulder</v>
      </c>
    </row>
    <row r="4579">
      <c r="A4579" s="41" t="str">
        <f>IFERROR(__xludf.DUMMYFUNCTION("""COMPUTED_VALUE"""),"RSC004594")</f>
        <v>RSC004594</v>
      </c>
      <c r="B4579" s="41" t="str">
        <f>IFERROR(__xludf.DUMMYFUNCTION("""COMPUTED_VALUE"""),"Dem Biscuits")</f>
        <v>Dem Biscuits</v>
      </c>
    </row>
    <row r="4580">
      <c r="A4580" s="41" t="str">
        <f>IFERROR(__xludf.DUMMYFUNCTION("""COMPUTED_VALUE"""),"RSC004595")</f>
        <v>RSC004595</v>
      </c>
      <c r="B4580" s="41" t="str">
        <f>IFERROR(__xludf.DUMMYFUNCTION("""COMPUTED_VALUE"""),"Draxz2Time")</f>
        <v>Draxz2Time</v>
      </c>
    </row>
    <row r="4581">
      <c r="A4581" s="41" t="str">
        <f>IFERROR(__xludf.DUMMYFUNCTION("""COMPUTED_VALUE"""),"RSC004596")</f>
        <v>RSC004596</v>
      </c>
      <c r="B4581" s="41" t="str">
        <f>IFERROR(__xludf.DUMMYFUNCTION("""COMPUTED_VALUE"""),"TBAce11")</f>
        <v>TBAce11</v>
      </c>
    </row>
    <row r="4582">
      <c r="A4582" s="41" t="str">
        <f>IFERROR(__xludf.DUMMYFUNCTION("""COMPUTED_VALUE"""),"RSC004597")</f>
        <v>RSC004597</v>
      </c>
      <c r="B4582" s="41" t="str">
        <f>IFERROR(__xludf.DUMMYFUNCTION("""COMPUTED_VALUE"""),"xXBlindBeastXx")</f>
        <v>xXBlindBeastXx</v>
      </c>
    </row>
    <row r="4583">
      <c r="A4583" s="41" t="str">
        <f>IFERROR(__xludf.DUMMYFUNCTION("""COMPUTED_VALUE"""),"RSC004598")</f>
        <v>RSC004598</v>
      </c>
      <c r="B4583" s="41" t="str">
        <f>IFERROR(__xludf.DUMMYFUNCTION("""COMPUTED_VALUE"""),"Clem")</f>
        <v>Clem</v>
      </c>
    </row>
    <row r="4584">
      <c r="A4584" s="41" t="str">
        <f>IFERROR(__xludf.DUMMYFUNCTION("""COMPUTED_VALUE"""),"RSC004599")</f>
        <v>RSC004599</v>
      </c>
      <c r="B4584" s="41" t="str">
        <f>IFERROR(__xludf.DUMMYFUNCTION("""COMPUTED_VALUE"""),"xSoulR34per")</f>
        <v>xSoulR34per</v>
      </c>
    </row>
    <row r="4585">
      <c r="A4585" s="41" t="str">
        <f>IFERROR(__xludf.DUMMYFUNCTION("""COMPUTED_VALUE"""),"RSC004600")</f>
        <v>RSC004600</v>
      </c>
      <c r="B4585" s="41" t="str">
        <f>IFERROR(__xludf.DUMMYFUNCTION("""COMPUTED_VALUE"""),"curlz.rl")</f>
        <v>curlz.rl</v>
      </c>
    </row>
    <row r="4586">
      <c r="A4586" s="41" t="str">
        <f>IFERROR(__xludf.DUMMYFUNCTION("""COMPUTED_VALUE"""),"RSC004601")</f>
        <v>RSC004601</v>
      </c>
      <c r="B4586" s="41" t="str">
        <f>IFERROR(__xludf.DUMMYFUNCTION("""COMPUTED_VALUE"""),"Landonian")</f>
        <v>Landonian</v>
      </c>
    </row>
    <row r="4587">
      <c r="A4587" s="41" t="str">
        <f>IFERROR(__xludf.DUMMYFUNCTION("""COMPUTED_VALUE"""),"RSC004602")</f>
        <v>RSC004602</v>
      </c>
      <c r="B4587" s="41" t="str">
        <f>IFERROR(__xludf.DUMMYFUNCTION("""COMPUTED_VALUE"""),"Twitch.Wyxik")</f>
        <v>Twitch.Wyxik</v>
      </c>
    </row>
    <row r="4588">
      <c r="A4588" s="41" t="str">
        <f>IFERROR(__xludf.DUMMYFUNCTION("""COMPUTED_VALUE"""),"RSC004603")</f>
        <v>RSC004603</v>
      </c>
      <c r="B4588" s="41" t="str">
        <f>IFERROR(__xludf.DUMMYFUNCTION("""COMPUTED_VALUE"""),"Dwse.")</f>
        <v>Dwse.</v>
      </c>
    </row>
    <row r="4589">
      <c r="A4589" s="41" t="str">
        <f>IFERROR(__xludf.DUMMYFUNCTION("""COMPUTED_VALUE"""),"RSC004604")</f>
        <v>RSC004604</v>
      </c>
      <c r="B4589" s="41" t="str">
        <f>IFERROR(__xludf.DUMMYFUNCTION("""COMPUTED_VALUE"""),"DEF3CTIVE")</f>
        <v>DEF3CTIVE</v>
      </c>
    </row>
    <row r="4590">
      <c r="A4590" s="41" t="str">
        <f>IFERROR(__xludf.DUMMYFUNCTION("""COMPUTED_VALUE"""),"RSC004605")</f>
        <v>RSC004605</v>
      </c>
      <c r="B4590" s="41" t="str">
        <f>IFERROR(__xludf.DUMMYFUNCTION("""COMPUTED_VALUE"""),"JUstdak7")</f>
        <v>JUstdak7</v>
      </c>
    </row>
    <row r="4591">
      <c r="A4591" s="41" t="str">
        <f>IFERROR(__xludf.DUMMYFUNCTION("""COMPUTED_VALUE"""),"RSC004606")</f>
        <v>RSC004606</v>
      </c>
      <c r="B4591" s="41" t="str">
        <f>IFERROR(__xludf.DUMMYFUNCTION("""COMPUTED_VALUE"""),"Nova_")</f>
        <v>Nova_</v>
      </c>
    </row>
    <row r="4592">
      <c r="A4592" s="41" t="str">
        <f>IFERROR(__xludf.DUMMYFUNCTION("""COMPUTED_VALUE"""),"RSC004607")</f>
        <v>RSC004607</v>
      </c>
      <c r="B4592" s="41" t="str">
        <f>IFERROR(__xludf.DUMMYFUNCTION("""COMPUTED_VALUE"""),"Asuna")</f>
        <v>Asuna</v>
      </c>
    </row>
    <row r="4593">
      <c r="A4593" s="41" t="str">
        <f>IFERROR(__xludf.DUMMYFUNCTION("""COMPUTED_VALUE"""),"RSC004608")</f>
        <v>RSC004608</v>
      </c>
      <c r="B4593" s="41" t="str">
        <f>IFERROR(__xludf.DUMMYFUNCTION("""COMPUTED_VALUE"""),"ExoticHunter758")</f>
        <v>ExoticHunter758</v>
      </c>
    </row>
    <row r="4594">
      <c r="A4594" s="41" t="str">
        <f>IFERROR(__xludf.DUMMYFUNCTION("""COMPUTED_VALUE"""),"RSC004609")</f>
        <v>RSC004609</v>
      </c>
      <c r="B4594" s="41" t="str">
        <f>IFERROR(__xludf.DUMMYFUNCTION("""COMPUTED_VALUE"""),"YellowBob0")</f>
        <v>YellowBob0</v>
      </c>
    </row>
    <row r="4595">
      <c r="A4595" s="41" t="str">
        <f>IFERROR(__xludf.DUMMYFUNCTION("""COMPUTED_VALUE"""),"RSC004610")</f>
        <v>RSC004610</v>
      </c>
      <c r="B4595" s="41" t="str">
        <f>IFERROR(__xludf.DUMMYFUNCTION("""COMPUTED_VALUE"""),"Unholydog106")</f>
        <v>Unholydog106</v>
      </c>
    </row>
    <row r="4596">
      <c r="A4596" s="41" t="str">
        <f>IFERROR(__xludf.DUMMYFUNCTION("""COMPUTED_VALUE"""),"RSC004611")</f>
        <v>RSC004611</v>
      </c>
      <c r="B4596" s="41" t="str">
        <f>IFERROR(__xludf.DUMMYFUNCTION("""COMPUTED_VALUE"""),"harrison")</f>
        <v>harrison</v>
      </c>
    </row>
    <row r="4597">
      <c r="A4597" s="41" t="str">
        <f>IFERROR(__xludf.DUMMYFUNCTION("""COMPUTED_VALUE"""),"RSC004612")</f>
        <v>RSC004612</v>
      </c>
      <c r="B4597" s="41" t="str">
        <f>IFERROR(__xludf.DUMMYFUNCTION("""COMPUTED_VALUE"""),"cubetoast13")</f>
        <v>cubetoast13</v>
      </c>
    </row>
    <row r="4598">
      <c r="A4598" s="41" t="str">
        <f>IFERROR(__xludf.DUMMYFUNCTION("""COMPUTED_VALUE"""),"RSC004613")</f>
        <v>RSC004613</v>
      </c>
      <c r="B4598" s="41" t="str">
        <f>IFERROR(__xludf.DUMMYFUNCTION("""COMPUTED_VALUE"""),"Skriviere")</f>
        <v>Skriviere</v>
      </c>
    </row>
    <row r="4599">
      <c r="A4599" s="41" t="str">
        <f>IFERROR(__xludf.DUMMYFUNCTION("""COMPUTED_VALUE"""),"RSC004614")</f>
        <v>RSC004614</v>
      </c>
      <c r="B4599" s="41" t="str">
        <f>IFERROR(__xludf.DUMMYFUNCTION("""COMPUTED_VALUE"""),"Ex ample")</f>
        <v>Ex ample</v>
      </c>
    </row>
    <row r="4600">
      <c r="A4600" s="41" t="str">
        <f>IFERROR(__xludf.DUMMYFUNCTION("""COMPUTED_VALUE"""),"RSC004615")</f>
        <v>RSC004615</v>
      </c>
      <c r="B4600" s="41" t="str">
        <f>IFERROR(__xludf.DUMMYFUNCTION("""COMPUTED_VALUE"""),"happiness")</f>
        <v>happiness</v>
      </c>
    </row>
    <row r="4601">
      <c r="A4601" s="41" t="str">
        <f>IFERROR(__xludf.DUMMYFUNCTION("""COMPUTED_VALUE"""),"RSC004616")</f>
        <v>RSC004616</v>
      </c>
      <c r="B4601" s="41" t="str">
        <f>IFERROR(__xludf.DUMMYFUNCTION("""COMPUTED_VALUE"""),"CleanTide")</f>
        <v>CleanTide</v>
      </c>
    </row>
    <row r="4602">
      <c r="A4602" s="41" t="str">
        <f>IFERROR(__xludf.DUMMYFUNCTION("""COMPUTED_VALUE"""),"RSC004617")</f>
        <v>RSC004617</v>
      </c>
      <c r="B4602" s="41" t="str">
        <f>IFERROR(__xludf.DUMMYFUNCTION("""COMPUTED_VALUE"""),"Executionatr")</f>
        <v>Executionatr</v>
      </c>
    </row>
    <row r="4603">
      <c r="A4603" s="41" t="str">
        <f>IFERROR(__xludf.DUMMYFUNCTION("""COMPUTED_VALUE"""),"RSC004618")</f>
        <v>RSC004618</v>
      </c>
      <c r="B4603" s="41" t="str">
        <f>IFERROR(__xludf.DUMMYFUNCTION("""COMPUTED_VALUE"""),"Squirrel")</f>
        <v>Squirrel</v>
      </c>
    </row>
    <row r="4604">
      <c r="A4604" s="41" t="str">
        <f>IFERROR(__xludf.DUMMYFUNCTION("""COMPUTED_VALUE"""),"RSC004619")</f>
        <v>RSC004619</v>
      </c>
      <c r="B4604" s="41" t="str">
        <f>IFERROR(__xludf.DUMMYFUNCTION("""COMPUTED_VALUE"""),"FireFly3616")</f>
        <v>FireFly3616</v>
      </c>
    </row>
    <row r="4605">
      <c r="A4605" s="41" t="str">
        <f>IFERROR(__xludf.DUMMYFUNCTION("""COMPUTED_VALUE"""),"RSC004620")</f>
        <v>RSC004620</v>
      </c>
      <c r="B4605" s="41" t="str">
        <f>IFERROR(__xludf.DUMMYFUNCTION("""COMPUTED_VALUE"""),"Kyn")</f>
        <v>Kyn</v>
      </c>
    </row>
    <row r="4606">
      <c r="A4606" s="41" t="str">
        <f>IFERROR(__xludf.DUMMYFUNCTION("""COMPUTED_VALUE"""),"RSC004621")</f>
        <v>RSC004621</v>
      </c>
      <c r="B4606" s="41" t="str">
        <f>IFERROR(__xludf.DUMMYFUNCTION("""COMPUTED_VALUE"""),"jnah")</f>
        <v>jnah</v>
      </c>
    </row>
    <row r="4607">
      <c r="A4607" s="41" t="str">
        <f>IFERROR(__xludf.DUMMYFUNCTION("""COMPUTED_VALUE"""),"RSC004622")</f>
        <v>RSC004622</v>
      </c>
      <c r="B4607" s="41" t="str">
        <f>IFERROR(__xludf.DUMMYFUNCTION("""COMPUTED_VALUE"""),"Ryzor")</f>
        <v>Ryzor</v>
      </c>
    </row>
    <row r="4608">
      <c r="A4608" s="41" t="str">
        <f>IFERROR(__xludf.DUMMYFUNCTION("""COMPUTED_VALUE"""),"RSC004623")</f>
        <v>RSC004623</v>
      </c>
      <c r="B4608" s="41" t="str">
        <f>IFERROR(__xludf.DUMMYFUNCTION("""COMPUTED_VALUE"""),"Garrquis")</f>
        <v>Garrquis</v>
      </c>
    </row>
    <row r="4609">
      <c r="A4609" s="41" t="str">
        <f>IFERROR(__xludf.DUMMYFUNCTION("""COMPUTED_VALUE"""),"RSC004624")</f>
        <v>RSC004624</v>
      </c>
      <c r="B4609" s="41" t="str">
        <f>IFERROR(__xludf.DUMMYFUNCTION("""COMPUTED_VALUE"""),"Basti")</f>
        <v>Basti</v>
      </c>
    </row>
    <row r="4610">
      <c r="A4610" s="41" t="str">
        <f>IFERROR(__xludf.DUMMYFUNCTION("""COMPUTED_VALUE"""),"RSC004625")</f>
        <v>RSC004625</v>
      </c>
      <c r="B4610" s="41" t="str">
        <f>IFERROR(__xludf.DUMMYFUNCTION("""COMPUTED_VALUE"""),"CBSQ")</f>
        <v>CBSQ</v>
      </c>
    </row>
    <row r="4611">
      <c r="A4611" s="41" t="str">
        <f>IFERROR(__xludf.DUMMYFUNCTION("""COMPUTED_VALUE"""),"RSC004626")</f>
        <v>RSC004626</v>
      </c>
      <c r="B4611" s="41" t="str">
        <f>IFERROR(__xludf.DUMMYFUNCTION("""COMPUTED_VALUE"""),"KobK Infinity")</f>
        <v>KobK Infinity</v>
      </c>
    </row>
    <row r="4612">
      <c r="A4612" s="41" t="str">
        <f>IFERROR(__xludf.DUMMYFUNCTION("""COMPUTED_VALUE"""),"RSC004627")</f>
        <v>RSC004627</v>
      </c>
      <c r="B4612" s="41" t="str">
        <f>IFERROR(__xludf.DUMMYFUNCTION("""COMPUTED_VALUE"""),"dizzle")</f>
        <v>dizzle</v>
      </c>
    </row>
    <row r="4613">
      <c r="A4613" s="41" t="str">
        <f>IFERROR(__xludf.DUMMYFUNCTION("""COMPUTED_VALUE"""),"RSC004628")</f>
        <v>RSC004628</v>
      </c>
      <c r="B4613" s="41" t="str">
        <f>IFERROR(__xludf.DUMMYFUNCTION("""COMPUTED_VALUE"""),"Chromium_FIRE")</f>
        <v>Chromium_FIRE</v>
      </c>
    </row>
    <row r="4614">
      <c r="A4614" s="41" t="str">
        <f>IFERROR(__xludf.DUMMYFUNCTION("""COMPUTED_VALUE"""),"RSC004629")</f>
        <v>RSC004629</v>
      </c>
      <c r="B4614" s="41" t="str">
        <f>IFERROR(__xludf.DUMMYFUNCTION("""COMPUTED_VALUE"""),"CLifestyle")</f>
        <v>CLifestyle</v>
      </c>
    </row>
    <row r="4615">
      <c r="A4615" s="41" t="str">
        <f>IFERROR(__xludf.DUMMYFUNCTION("""COMPUTED_VALUE"""),"RSC004630")</f>
        <v>RSC004630</v>
      </c>
      <c r="B4615" s="41" t="str">
        <f>IFERROR(__xludf.DUMMYFUNCTION("""COMPUTED_VALUE"""),"Supe")</f>
        <v>Supe</v>
      </c>
    </row>
    <row r="4616">
      <c r="A4616" s="41" t="str">
        <f>IFERROR(__xludf.DUMMYFUNCTION("""COMPUTED_VALUE"""),"RSC004631")</f>
        <v>RSC004631</v>
      </c>
      <c r="B4616" s="41" t="str">
        <f>IFERROR(__xludf.DUMMYFUNCTION("""COMPUTED_VALUE"""),"benearlweber")</f>
        <v>benearlweber</v>
      </c>
    </row>
    <row r="4617">
      <c r="A4617" s="41" t="str">
        <f>IFERROR(__xludf.DUMMYFUNCTION("""COMPUTED_VALUE"""),"RSC004632")</f>
        <v>RSC004632</v>
      </c>
      <c r="B4617" s="41" t="str">
        <f>IFERROR(__xludf.DUMMYFUNCTION("""COMPUTED_VALUE"""),"drydnn")</f>
        <v>drydnn</v>
      </c>
    </row>
    <row r="4618">
      <c r="A4618" s="41" t="str">
        <f>IFERROR(__xludf.DUMMYFUNCTION("""COMPUTED_VALUE"""),"RSC004633")</f>
        <v>RSC004633</v>
      </c>
      <c r="B4618" s="41" t="str">
        <f>IFERROR(__xludf.DUMMYFUNCTION("""COMPUTED_VALUE"""),"gooM")</f>
        <v>gooM</v>
      </c>
    </row>
    <row r="4619">
      <c r="A4619" s="41" t="str">
        <f>IFERROR(__xludf.DUMMYFUNCTION("""COMPUTED_VALUE"""),"RSC004634")</f>
        <v>RSC004634</v>
      </c>
      <c r="B4619" s="41" t="str">
        <f>IFERROR(__xludf.DUMMYFUNCTION("""COMPUTED_VALUE"""),"gob!")</f>
        <v>gob!</v>
      </c>
    </row>
    <row r="4620">
      <c r="A4620" s="41" t="str">
        <f>IFERROR(__xludf.DUMMYFUNCTION("""COMPUTED_VALUE"""),"RSC004635")</f>
        <v>RSC004635</v>
      </c>
      <c r="B4620" s="41" t="str">
        <f>IFERROR(__xludf.DUMMYFUNCTION("""COMPUTED_VALUE"""),"GortiaVoldega")</f>
        <v>GortiaVoldega</v>
      </c>
    </row>
    <row r="4621">
      <c r="A4621" s="41" t="str">
        <f>IFERROR(__xludf.DUMMYFUNCTION("""COMPUTED_VALUE"""),"RSC004636")</f>
        <v>RSC004636</v>
      </c>
      <c r="B4621" s="41" t="str">
        <f>IFERROR(__xludf.DUMMYFUNCTION("""COMPUTED_VALUE"""),"mash56e")</f>
        <v>mash56e</v>
      </c>
    </row>
    <row r="4622">
      <c r="A4622" s="41" t="str">
        <f>IFERROR(__xludf.DUMMYFUNCTION("""COMPUTED_VALUE"""),"RSC004637")</f>
        <v>RSC004637</v>
      </c>
      <c r="B4622" s="41" t="str">
        <f>IFERROR(__xludf.DUMMYFUNCTION("""COMPUTED_VALUE"""),"The Eagle Rock")</f>
        <v>The Eagle Rock</v>
      </c>
    </row>
    <row r="4623">
      <c r="A4623" s="41" t="str">
        <f>IFERROR(__xludf.DUMMYFUNCTION("""COMPUTED_VALUE"""),"RSC004638")</f>
        <v>RSC004638</v>
      </c>
      <c r="B4623" s="41" t="str">
        <f>IFERROR(__xludf.DUMMYFUNCTION("""COMPUTED_VALUE"""),"Peltier")</f>
        <v>Peltier</v>
      </c>
    </row>
    <row r="4624">
      <c r="A4624" s="41" t="str">
        <f>IFERROR(__xludf.DUMMYFUNCTION("""COMPUTED_VALUE"""),"RSC004639")</f>
        <v>RSC004639</v>
      </c>
      <c r="B4624" s="41" t="str">
        <f>IFERROR(__xludf.DUMMYFUNCTION("""COMPUTED_VALUE"""),"Tydizzle")</f>
        <v>Tydizzle</v>
      </c>
    </row>
    <row r="4625">
      <c r="A4625" s="41" t="str">
        <f>IFERROR(__xludf.DUMMYFUNCTION("""COMPUTED_VALUE"""),"RSC004640")</f>
        <v>RSC004640</v>
      </c>
      <c r="B4625" s="41" t="str">
        <f>IFERROR(__xludf.DUMMYFUNCTION("""COMPUTED_VALUE"""),"tharealdub")</f>
        <v>tharealdub</v>
      </c>
    </row>
    <row r="4626">
      <c r="A4626" s="41" t="str">
        <f>IFERROR(__xludf.DUMMYFUNCTION("""COMPUTED_VALUE"""),"RSC004641")</f>
        <v>RSC004641</v>
      </c>
      <c r="B4626" s="41" t="str">
        <f>IFERROR(__xludf.DUMMYFUNCTION("""COMPUTED_VALUE"""),"YOURDOOMED181")</f>
        <v>YOURDOOMED181</v>
      </c>
    </row>
    <row r="4627">
      <c r="A4627" s="41" t="str">
        <f>IFERROR(__xludf.DUMMYFUNCTION("""COMPUTED_VALUE"""),"RSC004642")</f>
        <v>RSC004642</v>
      </c>
      <c r="B4627" s="41" t="str">
        <f>IFERROR(__xludf.DUMMYFUNCTION("""COMPUTED_VALUE"""),"china")</f>
        <v>china</v>
      </c>
    </row>
    <row r="4628">
      <c r="A4628" s="41" t="str">
        <f>IFERROR(__xludf.DUMMYFUNCTION("""COMPUTED_VALUE"""),"RSC004643")</f>
        <v>RSC004643</v>
      </c>
      <c r="B4628" s="41" t="str">
        <f>IFERROR(__xludf.DUMMYFUNCTION("""COMPUTED_VALUE"""),"Steemy")</f>
        <v>Steemy</v>
      </c>
    </row>
    <row r="4629">
      <c r="A4629" s="41" t="str">
        <f>IFERROR(__xludf.DUMMYFUNCTION("""COMPUTED_VALUE"""),"RSC004644")</f>
        <v>RSC004644</v>
      </c>
      <c r="B4629" s="41" t="str">
        <f>IFERROR(__xludf.DUMMYFUNCTION("""COMPUTED_VALUE"""),"olijng7")</f>
        <v>olijng7</v>
      </c>
    </row>
    <row r="4630">
      <c r="A4630" s="41" t="str">
        <f>IFERROR(__xludf.DUMMYFUNCTION("""COMPUTED_VALUE"""),"RSC004645")</f>
        <v>RSC004645</v>
      </c>
      <c r="B4630" s="41" t="str">
        <f>IFERROR(__xludf.DUMMYFUNCTION("""COMPUTED_VALUE"""),"Conyep")</f>
        <v>Conyep</v>
      </c>
    </row>
    <row r="4631">
      <c r="A4631" s="41" t="str">
        <f>IFERROR(__xludf.DUMMYFUNCTION("""COMPUTED_VALUE"""),"RSC004646")</f>
        <v>RSC004646</v>
      </c>
      <c r="B4631" s="41" t="str">
        <f>IFERROR(__xludf.DUMMYFUNCTION("""COMPUTED_VALUE"""),"Enigma.")</f>
        <v>Enigma.</v>
      </c>
    </row>
    <row r="4632">
      <c r="A4632" s="41" t="str">
        <f>IFERROR(__xludf.DUMMYFUNCTION("""COMPUTED_VALUE"""),"RSC004647")</f>
        <v>RSC004647</v>
      </c>
      <c r="B4632" s="41" t="str">
        <f>IFERROR(__xludf.DUMMYFUNCTION("""COMPUTED_VALUE"""),"slatticle")</f>
        <v>slatticle</v>
      </c>
    </row>
    <row r="4633">
      <c r="A4633" s="41" t="str">
        <f>IFERROR(__xludf.DUMMYFUNCTION("""COMPUTED_VALUE"""),"RSC004648")</f>
        <v>RSC004648</v>
      </c>
      <c r="B4633" s="41" t="str">
        <f>IFERROR(__xludf.DUMMYFUNCTION("""COMPUTED_VALUE"""),"m0n3y b0b")</f>
        <v>m0n3y b0b</v>
      </c>
    </row>
    <row r="4634">
      <c r="A4634" s="41" t="str">
        <f>IFERROR(__xludf.DUMMYFUNCTION("""COMPUTED_VALUE"""),"RSC004649")</f>
        <v>RSC004649</v>
      </c>
      <c r="B4634" s="41" t="str">
        <f>IFERROR(__xludf.DUMMYFUNCTION("""COMPUTED_VALUE"""),"Boblo Escobar")</f>
        <v>Boblo Escobar</v>
      </c>
    </row>
    <row r="4635">
      <c r="A4635" s="41" t="str">
        <f>IFERROR(__xludf.DUMMYFUNCTION("""COMPUTED_VALUE"""),"RSC004650")</f>
        <v>RSC004650</v>
      </c>
      <c r="B4635" s="41" t="str">
        <f>IFERROR(__xludf.DUMMYFUNCTION("""COMPUTED_VALUE"""),"xolzkii")</f>
        <v>xolzkii</v>
      </c>
    </row>
    <row r="4636">
      <c r="A4636" s="41" t="str">
        <f>IFERROR(__xludf.DUMMYFUNCTION("""COMPUTED_VALUE"""),"RSC004651")</f>
        <v>RSC004651</v>
      </c>
      <c r="B4636" s="41" t="str">
        <f>IFERROR(__xludf.DUMMYFUNCTION("""COMPUTED_VALUE"""),"zap.")</f>
        <v>zap.</v>
      </c>
    </row>
    <row r="4637">
      <c r="A4637" s="41" t="str">
        <f>IFERROR(__xludf.DUMMYFUNCTION("""COMPUTED_VALUE"""),"RSC004652")</f>
        <v>RSC004652</v>
      </c>
      <c r="B4637" s="41" t="str">
        <f>IFERROR(__xludf.DUMMYFUNCTION("""COMPUTED_VALUE"""),"Captain Greenz")</f>
        <v>Captain Greenz</v>
      </c>
    </row>
    <row r="4638">
      <c r="A4638" s="41" t="str">
        <f>IFERROR(__xludf.DUMMYFUNCTION("""COMPUTED_VALUE"""),"RSC004653")</f>
        <v>RSC004653</v>
      </c>
      <c r="B4638" s="41" t="str">
        <f>IFERROR(__xludf.DUMMYFUNCTION("""COMPUTED_VALUE"""),"Danaconda84")</f>
        <v>Danaconda84</v>
      </c>
    </row>
    <row r="4639">
      <c r="A4639" s="41" t="str">
        <f>IFERROR(__xludf.DUMMYFUNCTION("""COMPUTED_VALUE"""),"RSC004654")</f>
        <v>RSC004654</v>
      </c>
      <c r="B4639" s="41" t="str">
        <f>IFERROR(__xludf.DUMMYFUNCTION("""COMPUTED_VALUE"""),"nicsmerf6")</f>
        <v>nicsmerf6</v>
      </c>
    </row>
    <row r="4640">
      <c r="A4640" s="41" t="str">
        <f>IFERROR(__xludf.DUMMYFUNCTION("""COMPUTED_VALUE"""),"RSC004655")</f>
        <v>RSC004655</v>
      </c>
      <c r="B4640" s="41" t="str">
        <f>IFERROR(__xludf.DUMMYFUNCTION("""COMPUTED_VALUE"""),"GarretBax")</f>
        <v>GarretBax</v>
      </c>
    </row>
    <row r="4641">
      <c r="A4641" s="41" t="str">
        <f>IFERROR(__xludf.DUMMYFUNCTION("""COMPUTED_VALUE"""),"RSC004656")</f>
        <v>RSC004656</v>
      </c>
      <c r="B4641" s="41" t="str">
        <f>IFERROR(__xludf.DUMMYFUNCTION("""COMPUTED_VALUE"""),"Guaquinn")</f>
        <v>Guaquinn</v>
      </c>
    </row>
    <row r="4642">
      <c r="A4642" s="41" t="str">
        <f>IFERROR(__xludf.DUMMYFUNCTION("""COMPUTED_VALUE"""),"RSC004657")</f>
        <v>RSC004657</v>
      </c>
      <c r="B4642" s="41" t="str">
        <f>IFERROR(__xludf.DUMMYFUNCTION("""COMPUTED_VALUE"""),"volts.")</f>
        <v>volts.</v>
      </c>
    </row>
    <row r="4643">
      <c r="A4643" s="41" t="str">
        <f>IFERROR(__xludf.DUMMYFUNCTION("""COMPUTED_VALUE"""),"RSC004658")</f>
        <v>RSC004658</v>
      </c>
      <c r="B4643" s="41" t="str">
        <f>IFERROR(__xludf.DUMMYFUNCTION("""COMPUTED_VALUE"""),"Yuvaxx (change)")</f>
        <v>Yuvaxx (change)</v>
      </c>
    </row>
    <row r="4644">
      <c r="A4644" s="41" t="str">
        <f>IFERROR(__xludf.DUMMYFUNCTION("""COMPUTED_VALUE"""),"RSC004659")</f>
        <v>RSC004659</v>
      </c>
      <c r="B4644" s="41" t="str">
        <f>IFERROR(__xludf.DUMMYFUNCTION("""COMPUTED_VALUE"""),"ponce")</f>
        <v>ponce</v>
      </c>
    </row>
    <row r="4645">
      <c r="A4645" s="41" t="str">
        <f>IFERROR(__xludf.DUMMYFUNCTION("""COMPUTED_VALUE"""),"RSC004660")</f>
        <v>RSC004660</v>
      </c>
      <c r="B4645" s="41" t="str">
        <f>IFERROR(__xludf.DUMMYFUNCTION("""COMPUTED_VALUE"""),"Dano")</f>
        <v>Dano</v>
      </c>
    </row>
    <row r="4646">
      <c r="A4646" s="41" t="str">
        <f>IFERROR(__xludf.DUMMYFUNCTION("""COMPUTED_VALUE"""),"RSC004661")</f>
        <v>RSC004661</v>
      </c>
      <c r="B4646" s="41" t="str">
        <f>IFERROR(__xludf.DUMMYFUNCTION("""COMPUTED_VALUE"""),"Mr.Fitter")</f>
        <v>Mr.Fitter</v>
      </c>
    </row>
    <row r="4647">
      <c r="A4647" s="41" t="str">
        <f>IFERROR(__xludf.DUMMYFUNCTION("""COMPUTED_VALUE"""),"RSC004662")</f>
        <v>RSC004662</v>
      </c>
      <c r="B4647" s="41" t="str">
        <f>IFERROR(__xludf.DUMMYFUNCTION("""COMPUTED_VALUE"""),"dmxtt.")</f>
        <v>dmxtt.</v>
      </c>
    </row>
    <row r="4648">
      <c r="A4648" s="41" t="str">
        <f>IFERROR(__xludf.DUMMYFUNCTION("""COMPUTED_VALUE"""),"RSC004663")</f>
        <v>RSC004663</v>
      </c>
      <c r="B4648" s="41" t="str">
        <f>IFERROR(__xludf.DUMMYFUNCTION("""COMPUTED_VALUE"""),"satella.")</f>
        <v>satella.</v>
      </c>
    </row>
    <row r="4649">
      <c r="A4649" s="41" t="str">
        <f>IFERROR(__xludf.DUMMYFUNCTION("""COMPUTED_VALUE"""),"RSC004664")</f>
        <v>RSC004664</v>
      </c>
      <c r="B4649" s="41" t="str">
        <f>IFERROR(__xludf.DUMMYFUNCTION("""COMPUTED_VALUE"""),"DadMayer")</f>
        <v>DadMayer</v>
      </c>
    </row>
    <row r="4650">
      <c r="A4650" s="41" t="str">
        <f>IFERROR(__xludf.DUMMYFUNCTION("""COMPUTED_VALUE"""),"RSC004665")</f>
        <v>RSC004665</v>
      </c>
      <c r="B4650" s="41" t="str">
        <f>IFERROR(__xludf.DUMMYFUNCTION("""COMPUTED_VALUE"""),"xPrism")</f>
        <v>xPrism</v>
      </c>
    </row>
    <row r="4651">
      <c r="A4651" s="41" t="str">
        <f>IFERROR(__xludf.DUMMYFUNCTION("""COMPUTED_VALUE"""),"RSC004666")</f>
        <v>RSC004666</v>
      </c>
      <c r="B4651" s="41" t="str">
        <f>IFERROR(__xludf.DUMMYFUNCTION("""COMPUTED_VALUE"""),"Paco00.")</f>
        <v>Paco00.</v>
      </c>
    </row>
    <row r="4652">
      <c r="A4652" s="41" t="str">
        <f>IFERROR(__xludf.DUMMYFUNCTION("""COMPUTED_VALUE"""),"RSC004667")</f>
        <v>RSC004667</v>
      </c>
      <c r="B4652" s="41" t="str">
        <f>IFERROR(__xludf.DUMMYFUNCTION("""COMPUTED_VALUE"""),"Smash_Gtz")</f>
        <v>Smash_Gtz</v>
      </c>
    </row>
    <row r="4653">
      <c r="A4653" s="41" t="str">
        <f>IFERROR(__xludf.DUMMYFUNCTION("""COMPUTED_VALUE"""),"RSC004668")</f>
        <v>RSC004668</v>
      </c>
      <c r="B4653" s="41" t="str">
        <f>IFERROR(__xludf.DUMMYFUNCTION("""COMPUTED_VALUE"""),"TheDeluxeLlama")</f>
        <v>TheDeluxeLlama</v>
      </c>
    </row>
    <row r="4654">
      <c r="A4654" s="41" t="str">
        <f>IFERROR(__xludf.DUMMYFUNCTION("""COMPUTED_VALUE"""),"RSC004669")</f>
        <v>RSC004669</v>
      </c>
      <c r="B4654" s="41" t="str">
        <f>IFERROR(__xludf.DUMMYFUNCTION("""COMPUTED_VALUE"""),"MayDay369")</f>
        <v>MayDay369</v>
      </c>
    </row>
    <row r="4655">
      <c r="A4655" s="41" t="str">
        <f>IFERROR(__xludf.DUMMYFUNCTION("""COMPUTED_VALUE"""),"RSC004670")</f>
        <v>RSC004670</v>
      </c>
      <c r="B4655" s="41" t="str">
        <f>IFERROR(__xludf.DUMMYFUNCTION("""COMPUTED_VALUE"""),"CarnageWolfBite")</f>
        <v>CarnageWolfBite</v>
      </c>
    </row>
    <row r="4656">
      <c r="A4656" s="41" t="str">
        <f>IFERROR(__xludf.DUMMYFUNCTION("""COMPUTED_VALUE"""),"RSC004671")</f>
        <v>RSC004671</v>
      </c>
      <c r="B4656" s="41" t="str">
        <f>IFERROR(__xludf.DUMMYFUNCTION("""COMPUTED_VALUE"""),"HunterCLX")</f>
        <v>HunterCLX</v>
      </c>
    </row>
    <row r="4657">
      <c r="A4657" s="41" t="str">
        <f>IFERROR(__xludf.DUMMYFUNCTION("""COMPUTED_VALUE"""),"RSC004672")</f>
        <v>RSC004672</v>
      </c>
      <c r="B4657" s="41" t="str">
        <f>IFERROR(__xludf.DUMMYFUNCTION("""COMPUTED_VALUE"""),"JOBIN")</f>
        <v>JOBIN</v>
      </c>
    </row>
    <row r="4658">
      <c r="A4658" s="41" t="str">
        <f>IFERROR(__xludf.DUMMYFUNCTION("""COMPUTED_VALUE"""),"RSC004673")</f>
        <v>RSC004673</v>
      </c>
      <c r="B4658" s="41" t="str">
        <f>IFERROR(__xludf.DUMMYFUNCTION("""COMPUTED_VALUE"""),"beans.")</f>
        <v>beans.</v>
      </c>
    </row>
    <row r="4659">
      <c r="A4659" s="41" t="str">
        <f>IFERROR(__xludf.DUMMYFUNCTION("""COMPUTED_VALUE"""),"RSC004674")</f>
        <v>RSC004674</v>
      </c>
      <c r="B4659" s="41" t="str">
        <f>IFERROR(__xludf.DUMMYFUNCTION("""COMPUTED_VALUE"""),"Electric")</f>
        <v>Electric</v>
      </c>
    </row>
    <row r="4660">
      <c r="A4660" s="41" t="str">
        <f>IFERROR(__xludf.DUMMYFUNCTION("""COMPUTED_VALUE"""),"RSC004675")</f>
        <v>RSC004675</v>
      </c>
      <c r="B4660" s="41" t="str">
        <f>IFERROR(__xludf.DUMMYFUNCTION("""COMPUTED_VALUE"""),"ROYALT")</f>
        <v>ROYALT</v>
      </c>
    </row>
    <row r="4661">
      <c r="A4661" s="41" t="str">
        <f>IFERROR(__xludf.DUMMYFUNCTION("""COMPUTED_VALUE"""),"RSC004676")</f>
        <v>RSC004676</v>
      </c>
      <c r="B4661" s="41" t="str">
        <f>IFERROR(__xludf.DUMMYFUNCTION("""COMPUTED_VALUE"""),"Deesh")</f>
        <v>Deesh</v>
      </c>
    </row>
    <row r="4662">
      <c r="A4662" s="41" t="str">
        <f>IFERROR(__xludf.DUMMYFUNCTION("""COMPUTED_VALUE"""),"RSC004677")</f>
        <v>RSC004677</v>
      </c>
      <c r="B4662" s="41" t="str">
        <f>IFERROR(__xludf.DUMMYFUNCTION("""COMPUTED_VALUE"""),"Ninjajackbowker")</f>
        <v>Ninjajackbowker</v>
      </c>
    </row>
    <row r="4663">
      <c r="A4663" s="41" t="str">
        <f>IFERROR(__xludf.DUMMYFUNCTION("""COMPUTED_VALUE"""),"RSC004678")</f>
        <v>RSC004678</v>
      </c>
      <c r="B4663" s="41" t="str">
        <f>IFERROR(__xludf.DUMMYFUNCTION("""COMPUTED_VALUE"""),"1R3IGN")</f>
        <v>1R3IGN</v>
      </c>
    </row>
    <row r="4664">
      <c r="A4664" s="41" t="str">
        <f>IFERROR(__xludf.DUMMYFUNCTION("""COMPUTED_VALUE"""),"RSC004679")</f>
        <v>RSC004679</v>
      </c>
      <c r="B4664" s="41" t="str">
        <f>IFERROR(__xludf.DUMMYFUNCTION("""COMPUTED_VALUE"""),"master_ibk810")</f>
        <v>master_ibk810</v>
      </c>
    </row>
    <row r="4665">
      <c r="A4665" s="41" t="str">
        <f>IFERROR(__xludf.DUMMYFUNCTION("""COMPUTED_VALUE"""),"RSC004680")</f>
        <v>RSC004680</v>
      </c>
      <c r="B4665" s="41" t="str">
        <f>IFERROR(__xludf.DUMMYFUNCTION("""COMPUTED_VALUE"""),"gcshrapnel")</f>
        <v>gcshrapnel</v>
      </c>
    </row>
    <row r="4666">
      <c r="A4666" s="41" t="str">
        <f>IFERROR(__xludf.DUMMYFUNCTION("""COMPUTED_VALUE"""),"RSC004681")</f>
        <v>RSC004681</v>
      </c>
      <c r="B4666" s="41" t="str">
        <f>IFERROR(__xludf.DUMMYFUNCTION("""COMPUTED_VALUE"""),"Speciial_Eddy")</f>
        <v>Speciial_Eddy</v>
      </c>
    </row>
    <row r="4667">
      <c r="A4667" s="41" t="str">
        <f>IFERROR(__xludf.DUMMYFUNCTION("""COMPUTED_VALUE"""),"RSC004682")</f>
        <v>RSC004682</v>
      </c>
      <c r="B4667" s="41" t="str">
        <f>IFERROR(__xludf.DUMMYFUNCTION("""COMPUTED_VALUE"""),"ElatedClamp3911")</f>
        <v>ElatedClamp3911</v>
      </c>
    </row>
    <row r="4668">
      <c r="A4668" s="41" t="str">
        <f>IFERROR(__xludf.DUMMYFUNCTION("""COMPUTED_VALUE"""),"RSC004683")</f>
        <v>RSC004683</v>
      </c>
      <c r="B4668" s="41" t="str">
        <f>IFERROR(__xludf.DUMMYFUNCTION("""COMPUTED_VALUE"""),"chubi.")</f>
        <v>chubi.</v>
      </c>
    </row>
    <row r="4669">
      <c r="A4669" s="41" t="str">
        <f>IFERROR(__xludf.DUMMYFUNCTION("""COMPUTED_VALUE"""),"RSC004684")</f>
        <v>RSC004684</v>
      </c>
      <c r="B4669" s="41" t="str">
        <f>IFERROR(__xludf.DUMMYFUNCTION("""COMPUTED_VALUE"""),"Sweggy")</f>
        <v>Sweggy</v>
      </c>
    </row>
    <row r="4670">
      <c r="A4670" s="41" t="str">
        <f>IFERROR(__xludf.DUMMYFUNCTION("""COMPUTED_VALUE"""),"RSC004685")</f>
        <v>RSC004685</v>
      </c>
      <c r="B4670" s="41" t="str">
        <f>IFERROR(__xludf.DUMMYFUNCTION("""COMPUTED_VALUE"""),"GreenCanoe22")</f>
        <v>GreenCanoe22</v>
      </c>
    </row>
    <row r="4671">
      <c r="A4671" s="41" t="str">
        <f>IFERROR(__xludf.DUMMYFUNCTION("""COMPUTED_VALUE"""),"RSC004686")</f>
        <v>RSC004686</v>
      </c>
      <c r="B4671" s="41" t="str">
        <f>IFERROR(__xludf.DUMMYFUNCTION("""COMPUTED_VALUE"""),"Toe Mater.")</f>
        <v>Toe Mater.</v>
      </c>
    </row>
    <row r="4672">
      <c r="A4672" s="41" t="str">
        <f>IFERROR(__xludf.DUMMYFUNCTION("""COMPUTED_VALUE"""),"RSC004687")</f>
        <v>RSC004687</v>
      </c>
      <c r="B4672" s="41" t="str">
        <f>IFERROR(__xludf.DUMMYFUNCTION("""COMPUTED_VALUE"""),"MateItsNate")</f>
        <v>MateItsNate</v>
      </c>
    </row>
    <row r="4673">
      <c r="A4673" s="41" t="str">
        <f>IFERROR(__xludf.DUMMYFUNCTION("""COMPUTED_VALUE"""),"RSC004688")</f>
        <v>RSC004688</v>
      </c>
      <c r="B4673" s="41" t="str">
        <f>IFERROR(__xludf.DUMMYFUNCTION("""COMPUTED_VALUE"""),"MnTnD3WmE")</f>
        <v>MnTnD3WmE</v>
      </c>
    </row>
    <row r="4674">
      <c r="A4674" s="41" t="str">
        <f>IFERROR(__xludf.DUMMYFUNCTION("""COMPUTED_VALUE"""),"RSC004689")</f>
        <v>RSC004689</v>
      </c>
      <c r="B4674" s="41" t="str">
        <f>IFERROR(__xludf.DUMMYFUNCTION("""COMPUTED_VALUE"""),"Apollo134")</f>
        <v>Apollo134</v>
      </c>
    </row>
    <row r="4675">
      <c r="A4675" s="41" t="str">
        <f>IFERROR(__xludf.DUMMYFUNCTION("""COMPUTED_VALUE"""),"RSC004690")</f>
        <v>RSC004690</v>
      </c>
      <c r="B4675" s="41" t="str">
        <f>IFERROR(__xludf.DUMMYFUNCTION("""COMPUTED_VALUE"""),"RobinChilling")</f>
        <v>RobinChilling</v>
      </c>
    </row>
    <row r="4676">
      <c r="A4676" s="41" t="str">
        <f>IFERROR(__xludf.DUMMYFUNCTION("""COMPUTED_VALUE"""),"RSC004691")</f>
        <v>RSC004691</v>
      </c>
      <c r="B4676" s="41" t="str">
        <f>IFERROR(__xludf.DUMMYFUNCTION("""COMPUTED_VALUE"""),"Le6os")</f>
        <v>Le6os</v>
      </c>
    </row>
    <row r="4677">
      <c r="A4677" s="41" t="str">
        <f>IFERROR(__xludf.DUMMYFUNCTION("""COMPUTED_VALUE"""),"RSC004692")</f>
        <v>RSC004692</v>
      </c>
      <c r="B4677" s="41" t="str">
        <f>IFERROR(__xludf.DUMMYFUNCTION("""COMPUTED_VALUE"""),"cat.")</f>
        <v>cat.</v>
      </c>
    </row>
    <row r="4678">
      <c r="A4678" s="41" t="str">
        <f>IFERROR(__xludf.DUMMYFUNCTION("""COMPUTED_VALUE"""),"RSC004693")</f>
        <v>RSC004693</v>
      </c>
      <c r="B4678" s="41" t="str">
        <f>IFERROR(__xludf.DUMMYFUNCTION("""COMPUTED_VALUE"""),"ihavehalfhp")</f>
        <v>ihavehalfhp</v>
      </c>
    </row>
    <row r="4679">
      <c r="A4679" s="41" t="str">
        <f>IFERROR(__xludf.DUMMYFUNCTION("""COMPUTED_VALUE"""),"RSC004694")</f>
        <v>RSC004694</v>
      </c>
      <c r="B4679" s="41" t="str">
        <f>IFERROR(__xludf.DUMMYFUNCTION("""COMPUTED_VALUE"""),"MajorPappy")</f>
        <v>MajorPappy</v>
      </c>
    </row>
    <row r="4680">
      <c r="A4680" s="41" t="str">
        <f>IFERROR(__xludf.DUMMYFUNCTION("""COMPUTED_VALUE"""),"RSC004695")</f>
        <v>RSC004695</v>
      </c>
      <c r="B4680" s="41" t="str">
        <f>IFERROR(__xludf.DUMMYFUNCTION("""COMPUTED_VALUE"""),"Whippy Flippy")</f>
        <v>Whippy Flippy</v>
      </c>
    </row>
    <row r="4681">
      <c r="A4681" s="41" t="str">
        <f>IFERROR(__xludf.DUMMYFUNCTION("""COMPUTED_VALUE"""),"RSC004696")</f>
        <v>RSC004696</v>
      </c>
      <c r="B4681" s="41" t="str">
        <f>IFERROR(__xludf.DUMMYFUNCTION("""COMPUTED_VALUE"""),"Nuggz")</f>
        <v>Nuggz</v>
      </c>
    </row>
    <row r="4682">
      <c r="A4682" s="41" t="str">
        <f>IFERROR(__xludf.DUMMYFUNCTION("""COMPUTED_VALUE"""),"RSC004697")</f>
        <v>RSC004697</v>
      </c>
      <c r="B4682" s="41" t="str">
        <f>IFERROR(__xludf.DUMMYFUNCTION("""COMPUTED_VALUE"""),"CornDog")</f>
        <v>CornDog</v>
      </c>
    </row>
    <row r="4683">
      <c r="A4683" s="41" t="str">
        <f>IFERROR(__xludf.DUMMYFUNCTION("""COMPUTED_VALUE"""),"RSC004698")</f>
        <v>RSC004698</v>
      </c>
      <c r="B4683" s="41" t="str">
        <f>IFERROR(__xludf.DUMMYFUNCTION("""COMPUTED_VALUE"""),"Slvr.")</f>
        <v>Slvr.</v>
      </c>
    </row>
    <row r="4684">
      <c r="A4684" s="41" t="str">
        <f>IFERROR(__xludf.DUMMYFUNCTION("""COMPUTED_VALUE"""),"RSC004699")</f>
        <v>RSC004699</v>
      </c>
      <c r="B4684" s="41" t="str">
        <f>IFERROR(__xludf.DUMMYFUNCTION("""COMPUTED_VALUE"""),"D3WLY")</f>
        <v>D3WLY</v>
      </c>
    </row>
    <row r="4685">
      <c r="A4685" s="41" t="str">
        <f>IFERROR(__xludf.DUMMYFUNCTION("""COMPUTED_VALUE"""),"RSC004700")</f>
        <v>RSC004700</v>
      </c>
      <c r="B4685" s="41" t="str">
        <f>IFERROR(__xludf.DUMMYFUNCTION("""COMPUTED_VALUE"""),"kaspeh")</f>
        <v>kaspeh</v>
      </c>
    </row>
    <row r="4686">
      <c r="A4686" s="41" t="str">
        <f>IFERROR(__xludf.DUMMYFUNCTION("""COMPUTED_VALUE"""),"RSC004701")</f>
        <v>RSC004701</v>
      </c>
      <c r="B4686" s="41" t="str">
        <f>IFERROR(__xludf.DUMMYFUNCTION("""COMPUTED_VALUE"""),"AAQIBB")</f>
        <v>AAQIBB</v>
      </c>
    </row>
    <row r="4687">
      <c r="A4687" s="41" t="str">
        <f>IFERROR(__xludf.DUMMYFUNCTION("""COMPUTED_VALUE"""),"RSC004702")</f>
        <v>RSC004702</v>
      </c>
      <c r="B4687" s="41" t="str">
        <f>IFERROR(__xludf.DUMMYFUNCTION("""COMPUTED_VALUE"""),"stryke_RL")</f>
        <v>stryke_RL</v>
      </c>
    </row>
    <row r="4688">
      <c r="A4688" s="41" t="str">
        <f>IFERROR(__xludf.DUMMYFUNCTION("""COMPUTED_VALUE"""),"RSC004703")</f>
        <v>RSC004703</v>
      </c>
      <c r="B4688" s="41" t="str">
        <f>IFERROR(__xludf.DUMMYFUNCTION("""COMPUTED_VALUE"""),"USBee 3.0")</f>
        <v>USBee 3.0</v>
      </c>
    </row>
    <row r="4689">
      <c r="A4689" s="41" t="str">
        <f>IFERROR(__xludf.DUMMYFUNCTION("""COMPUTED_VALUE"""),"RSC004704")</f>
        <v>RSC004704</v>
      </c>
      <c r="B4689" s="41" t="str">
        <f>IFERROR(__xludf.DUMMYFUNCTION("""COMPUTED_VALUE"""),"Financial Greed")</f>
        <v>Financial Greed</v>
      </c>
    </row>
    <row r="4690">
      <c r="A4690" s="41" t="str">
        <f>IFERROR(__xludf.DUMMYFUNCTION("""COMPUTED_VALUE"""),"RSC004705")</f>
        <v>RSC004705</v>
      </c>
      <c r="B4690" s="41" t="str">
        <f>IFERROR(__xludf.DUMMYFUNCTION("""COMPUTED_VALUE"""),"DrunkCookies")</f>
        <v>DrunkCookies</v>
      </c>
    </row>
    <row r="4691">
      <c r="A4691" s="41" t="str">
        <f>IFERROR(__xludf.DUMMYFUNCTION("""COMPUTED_VALUE"""),"RSC004706")</f>
        <v>RSC004706</v>
      </c>
      <c r="B4691" s="41" t="str">
        <f>IFERROR(__xludf.DUMMYFUNCTION("""COMPUTED_VALUE"""),"Avacadros")</f>
        <v>Avacadros</v>
      </c>
    </row>
    <row r="4692">
      <c r="A4692" s="41" t="str">
        <f>IFERROR(__xludf.DUMMYFUNCTION("""COMPUTED_VALUE"""),"RSC004707")</f>
        <v>RSC004707</v>
      </c>
      <c r="B4692" s="41" t="str">
        <f>IFERROR(__xludf.DUMMYFUNCTION("""COMPUTED_VALUE"""),"NesquikMilk1")</f>
        <v>NesquikMilk1</v>
      </c>
    </row>
    <row r="4693">
      <c r="A4693" s="41" t="str">
        <f>IFERROR(__xludf.DUMMYFUNCTION("""COMPUTED_VALUE"""),"RSC004708")</f>
        <v>RSC004708</v>
      </c>
      <c r="B4693" s="41" t="str">
        <f>IFERROR(__xludf.DUMMYFUNCTION("""COMPUTED_VALUE"""),"loganskito")</f>
        <v>loganskito</v>
      </c>
    </row>
    <row r="4694">
      <c r="A4694" s="41" t="str">
        <f>IFERROR(__xludf.DUMMYFUNCTION("""COMPUTED_VALUE"""),"RSC004709")</f>
        <v>RSC004709</v>
      </c>
      <c r="B4694" s="41" t="str">
        <f>IFERROR(__xludf.DUMMYFUNCTION("""COMPUTED_VALUE"""),"Bacon satisfies")</f>
        <v>Bacon satisfies</v>
      </c>
    </row>
    <row r="4695">
      <c r="A4695" s="41" t="str">
        <f>IFERROR(__xludf.DUMMYFUNCTION("""COMPUTED_VALUE"""),"RSC004710")</f>
        <v>RSC004710</v>
      </c>
      <c r="B4695" s="41" t="str">
        <f>IFERROR(__xludf.DUMMYFUNCTION("""COMPUTED_VALUE"""),"Antee")</f>
        <v>Antee</v>
      </c>
    </row>
    <row r="4696">
      <c r="A4696" s="41" t="str">
        <f>IFERROR(__xludf.DUMMYFUNCTION("""COMPUTED_VALUE"""),"RSC004711")</f>
        <v>RSC004711</v>
      </c>
      <c r="B4696" s="41" t="str">
        <f>IFERROR(__xludf.DUMMYFUNCTION("""COMPUTED_VALUE"""),"ItzJammer-_-")</f>
        <v>ItzJammer-_-</v>
      </c>
    </row>
    <row r="4697">
      <c r="A4697" s="41" t="str">
        <f>IFERROR(__xludf.DUMMYFUNCTION("""COMPUTED_VALUE"""),"RSC004712")</f>
        <v>RSC004712</v>
      </c>
      <c r="B4697" s="41" t="str">
        <f>IFERROR(__xludf.DUMMYFUNCTION("""COMPUTED_VALUE"""),"Bruhdder")</f>
        <v>Bruhdder</v>
      </c>
    </row>
    <row r="4698">
      <c r="A4698" s="41" t="str">
        <f>IFERROR(__xludf.DUMMYFUNCTION("""COMPUTED_VALUE"""),"RSC004713")</f>
        <v>RSC004713</v>
      </c>
      <c r="B4698" s="41" t="str">
        <f>IFERROR(__xludf.DUMMYFUNCTION("""COMPUTED_VALUE"""),"Trynot2cry91")</f>
        <v>Trynot2cry91</v>
      </c>
    </row>
    <row r="4699">
      <c r="A4699" s="41" t="str">
        <f>IFERROR(__xludf.DUMMYFUNCTION("""COMPUTED_VALUE"""),"RSC004714")</f>
        <v>RSC004714</v>
      </c>
      <c r="B4699" s="41" t="str">
        <f>IFERROR(__xludf.DUMMYFUNCTION("""COMPUTED_VALUE"""),"simple")</f>
        <v>simple</v>
      </c>
    </row>
    <row r="4700">
      <c r="A4700" s="41" t="str">
        <f>IFERROR(__xludf.DUMMYFUNCTION("""COMPUTED_VALUE"""),"RSC004715")</f>
        <v>RSC004715</v>
      </c>
      <c r="B4700" s="41" t="str">
        <f>IFERROR(__xludf.DUMMYFUNCTION("""COMPUTED_VALUE"""),"ShallowDingo694")</f>
        <v>ShallowDingo694</v>
      </c>
    </row>
    <row r="4701">
      <c r="A4701" s="41" t="str">
        <f>IFERROR(__xludf.DUMMYFUNCTION("""COMPUTED_VALUE"""),"RSC004716")</f>
        <v>RSC004716</v>
      </c>
      <c r="B4701" s="41" t="str">
        <f>IFERROR(__xludf.DUMMYFUNCTION("""COMPUTED_VALUE"""),"brownEwithnuts")</f>
        <v>brownEwithnuts</v>
      </c>
    </row>
    <row r="4702">
      <c r="A4702" s="41" t="str">
        <f>IFERROR(__xludf.DUMMYFUNCTION("""COMPUTED_VALUE"""),"RSC004717")</f>
        <v>RSC004717</v>
      </c>
      <c r="B4702" s="41" t="str">
        <f>IFERROR(__xludf.DUMMYFUNCTION("""COMPUTED_VALUE"""),"grip reaper")</f>
        <v>grip reaper</v>
      </c>
    </row>
    <row r="4703">
      <c r="A4703" s="41" t="str">
        <f>IFERROR(__xludf.DUMMYFUNCTION("""COMPUTED_VALUE"""),"RSC004718")</f>
        <v>RSC004718</v>
      </c>
      <c r="B4703" s="41" t="str">
        <f>IFERROR(__xludf.DUMMYFUNCTION("""COMPUTED_VALUE"""),"im_so_lonely.exe")</f>
        <v>im_so_lonely.exe</v>
      </c>
    </row>
    <row r="4704">
      <c r="A4704" s="41" t="str">
        <f>IFERROR(__xludf.DUMMYFUNCTION("""COMPUTED_VALUE"""),"RSC004719")</f>
        <v>RSC004719</v>
      </c>
      <c r="B4704" s="41" t="str">
        <f>IFERROR(__xludf.DUMMYFUNCTION("""COMPUTED_VALUE"""),"surfvaro")</f>
        <v>surfvaro</v>
      </c>
    </row>
    <row r="4705">
      <c r="A4705" s="41" t="str">
        <f>IFERROR(__xludf.DUMMYFUNCTION("""COMPUTED_VALUE"""),"RSC004720")</f>
        <v>RSC004720</v>
      </c>
      <c r="B4705" s="41" t="str">
        <f>IFERROR(__xludf.DUMMYFUNCTION("""COMPUTED_VALUE"""),"ConstrictorZ951")</f>
        <v>ConstrictorZ951</v>
      </c>
    </row>
    <row r="4706">
      <c r="A4706" s="41" t="str">
        <f>IFERROR(__xludf.DUMMYFUNCTION("""COMPUTED_VALUE"""),"RSC004721")</f>
        <v>RSC004721</v>
      </c>
      <c r="B4706" s="41" t="str">
        <f>IFERROR(__xludf.DUMMYFUNCTION("""COMPUTED_VALUE"""),"Steve01")</f>
        <v>Steve01</v>
      </c>
    </row>
    <row r="4707">
      <c r="A4707" s="41" t="str">
        <f>IFERROR(__xludf.DUMMYFUNCTION("""COMPUTED_VALUE"""),"RSC004722")</f>
        <v>RSC004722</v>
      </c>
      <c r="B4707" s="41" t="str">
        <f>IFERROR(__xludf.DUMMYFUNCTION("""COMPUTED_VALUE"""),"B.Kittt")</f>
        <v>B.Kittt</v>
      </c>
    </row>
    <row r="4708">
      <c r="A4708" s="41" t="str">
        <f>IFERROR(__xludf.DUMMYFUNCTION("""COMPUTED_VALUE"""),"RSC004723")</f>
        <v>RSC004723</v>
      </c>
      <c r="B4708" s="41" t="str">
        <f>IFERROR(__xludf.DUMMYFUNCTION("""COMPUTED_VALUE"""),"lacognata")</f>
        <v>lacognata</v>
      </c>
    </row>
    <row r="4709">
      <c r="A4709" s="41" t="str">
        <f>IFERROR(__xludf.DUMMYFUNCTION("""COMPUTED_VALUE"""),"RSC004724")</f>
        <v>RSC004724</v>
      </c>
      <c r="B4709" s="41" t="str">
        <f>IFERROR(__xludf.DUMMYFUNCTION("""COMPUTED_VALUE"""),"Rutherford The Great")</f>
        <v>Rutherford The Great</v>
      </c>
    </row>
    <row r="4710">
      <c r="A4710" s="41" t="str">
        <f>IFERROR(__xludf.DUMMYFUNCTION("""COMPUTED_VALUE"""),"RSC004725")</f>
        <v>RSC004725</v>
      </c>
      <c r="B4710" s="41" t="str">
        <f>IFERROR(__xludf.DUMMYFUNCTION("""COMPUTED_VALUE"""),"kittycrusher773")</f>
        <v>kittycrusher773</v>
      </c>
    </row>
    <row r="4711">
      <c r="A4711" s="41" t="str">
        <f>IFERROR(__xludf.DUMMYFUNCTION("""COMPUTED_VALUE"""),"RSC004726")</f>
        <v>RSC004726</v>
      </c>
      <c r="B4711" s="41" t="str">
        <f>IFERROR(__xludf.DUMMYFUNCTION("""COMPUTED_VALUE"""),"meso")</f>
        <v>meso</v>
      </c>
    </row>
    <row r="4712">
      <c r="A4712" s="41" t="str">
        <f>IFERROR(__xludf.DUMMYFUNCTION("""COMPUTED_VALUE"""),"RSC004727")</f>
        <v>RSC004727</v>
      </c>
      <c r="B4712" s="41" t="str">
        <f>IFERROR(__xludf.DUMMYFUNCTION("""COMPUTED_VALUE"""),"Floatation9898")</f>
        <v>Floatation9898</v>
      </c>
    </row>
    <row r="4713">
      <c r="A4713" s="41" t="str">
        <f>IFERROR(__xludf.DUMMYFUNCTION("""COMPUTED_VALUE"""),"RSC004728")</f>
        <v>RSC004728</v>
      </c>
      <c r="B4713" s="41" t="str">
        <f>IFERROR(__xludf.DUMMYFUNCTION("""COMPUTED_VALUE"""),"Marxanity_")</f>
        <v>Marxanity_</v>
      </c>
    </row>
    <row r="4714">
      <c r="A4714" s="41" t="str">
        <f>IFERROR(__xludf.DUMMYFUNCTION("""COMPUTED_VALUE"""),"RSC004729")</f>
        <v>RSC004729</v>
      </c>
      <c r="B4714" s="41" t="str">
        <f>IFERROR(__xludf.DUMMYFUNCTION("""COMPUTED_VALUE"""),"0Starr")</f>
        <v>0Starr</v>
      </c>
    </row>
    <row r="4715">
      <c r="A4715" s="41" t="str">
        <f>IFERROR(__xludf.DUMMYFUNCTION("""COMPUTED_VALUE"""),"RSC004730")</f>
        <v>RSC004730</v>
      </c>
      <c r="B4715" s="41" t="str">
        <f>IFERROR(__xludf.DUMMYFUNCTION("""COMPUTED_VALUE"""),"SgtPickle")</f>
        <v>SgtPickle</v>
      </c>
    </row>
    <row r="4716">
      <c r="A4716" s="41" t="str">
        <f>IFERROR(__xludf.DUMMYFUNCTION("""COMPUTED_VALUE"""),"RSC004731")</f>
        <v>RSC004731</v>
      </c>
      <c r="B4716" s="41" t="str">
        <f>IFERROR(__xludf.DUMMYFUNCTION("""COMPUTED_VALUE"""),"Kent")</f>
        <v>Kent</v>
      </c>
    </row>
    <row r="4717">
      <c r="A4717" s="41" t="str">
        <f>IFERROR(__xludf.DUMMYFUNCTION("""COMPUTED_VALUE"""),"RSC004732")</f>
        <v>RSC004732</v>
      </c>
      <c r="B4717" s="41" t="str">
        <f>IFERROR(__xludf.DUMMYFUNCTION("""COMPUTED_VALUE"""),"Chrissy")</f>
        <v>Chrissy</v>
      </c>
    </row>
    <row r="4718">
      <c r="A4718" s="41" t="str">
        <f>IFERROR(__xludf.DUMMYFUNCTION("""COMPUTED_VALUE"""),"RSC004733")</f>
        <v>RSC004733</v>
      </c>
      <c r="B4718" s="41" t="str">
        <f>IFERROR(__xludf.DUMMYFUNCTION("""COMPUTED_VALUE"""),"MatsoA")</f>
        <v>MatsoA</v>
      </c>
    </row>
    <row r="4719">
      <c r="A4719" s="41" t="str">
        <f>IFERROR(__xludf.DUMMYFUNCTION("""COMPUTED_VALUE"""),"RSC004734")</f>
        <v>RSC004734</v>
      </c>
      <c r="B4719" s="41" t="str">
        <f>IFERROR(__xludf.DUMMYFUNCTION("""COMPUTED_VALUE"""),"Siiderij23")</f>
        <v>Siiderij23</v>
      </c>
    </row>
    <row r="4720">
      <c r="A4720" s="41" t="str">
        <f>IFERROR(__xludf.DUMMYFUNCTION("""COMPUTED_VALUE"""),"RSC004735")</f>
        <v>RSC004735</v>
      </c>
      <c r="B4720" s="41" t="str">
        <f>IFERROR(__xludf.DUMMYFUNCTION("""COMPUTED_VALUE"""),"TMR99")</f>
        <v>TMR99</v>
      </c>
    </row>
    <row r="4721">
      <c r="A4721" s="41" t="str">
        <f>IFERROR(__xludf.DUMMYFUNCTION("""COMPUTED_VALUE"""),"RSC004736")</f>
        <v>RSC004736</v>
      </c>
      <c r="B4721" s="41" t="str">
        <f>IFERROR(__xludf.DUMMYFUNCTION("""COMPUTED_VALUE"""),"munkmunk100")</f>
        <v>munkmunk100</v>
      </c>
    </row>
    <row r="4722">
      <c r="A4722" s="41" t="str">
        <f>IFERROR(__xludf.DUMMYFUNCTION("""COMPUTED_VALUE"""),"RSC004737")</f>
        <v>RSC004737</v>
      </c>
      <c r="B4722" s="41" t="str">
        <f>IFERROR(__xludf.DUMMYFUNCTION("""COMPUTED_VALUE"""),"RoyalRE")</f>
        <v>RoyalRE</v>
      </c>
    </row>
    <row r="4723">
      <c r="A4723" s="41" t="str">
        <f>IFERROR(__xludf.DUMMYFUNCTION("""COMPUTED_VALUE"""),"RSC004738")</f>
        <v>RSC004738</v>
      </c>
      <c r="B4723" s="41" t="str">
        <f>IFERROR(__xludf.DUMMYFUNCTION("""COMPUTED_VALUE"""),"xStayxFrostyx27")</f>
        <v>xStayxFrostyx27</v>
      </c>
    </row>
    <row r="4724">
      <c r="A4724" s="41" t="str">
        <f>IFERROR(__xludf.DUMMYFUNCTION("""COMPUTED_VALUE"""),"RSC004739")</f>
        <v>RSC004739</v>
      </c>
      <c r="B4724" s="41" t="str">
        <f>IFERROR(__xludf.DUMMYFUNCTION("""COMPUTED_VALUE"""),"Seer")</f>
        <v>Seer</v>
      </c>
    </row>
    <row r="4725">
      <c r="A4725" s="41" t="str">
        <f>IFERROR(__xludf.DUMMYFUNCTION("""COMPUTED_VALUE"""),"RSC004740")</f>
        <v>RSC004740</v>
      </c>
      <c r="B4725" s="41" t="str">
        <f>IFERROR(__xludf.DUMMYFUNCTION("""COMPUTED_VALUE"""),"Aranthor")</f>
        <v>Aranthor</v>
      </c>
    </row>
    <row r="4726">
      <c r="A4726" s="41" t="str">
        <f>IFERROR(__xludf.DUMMYFUNCTION("""COMPUTED_VALUE"""),"RSC004741")</f>
        <v>RSC004741</v>
      </c>
      <c r="B4726" s="41" t="str">
        <f>IFERROR(__xludf.DUMMYFUNCTION("""COMPUTED_VALUE"""),"Losing WiFi")</f>
        <v>Losing WiFi</v>
      </c>
    </row>
    <row r="4727">
      <c r="A4727" s="41" t="str">
        <f>IFERROR(__xludf.DUMMYFUNCTION("""COMPUTED_VALUE"""),"RSC004742")</f>
        <v>RSC004742</v>
      </c>
      <c r="B4727" s="41" t="str">
        <f>IFERROR(__xludf.DUMMYFUNCTION("""COMPUTED_VALUE"""),"kellon")</f>
        <v>kellon</v>
      </c>
    </row>
    <row r="4728">
      <c r="A4728" s="41" t="str">
        <f>IFERROR(__xludf.DUMMYFUNCTION("""COMPUTED_VALUE"""),"RSC004743")</f>
        <v>RSC004743</v>
      </c>
      <c r="B4728" s="41" t="str">
        <f>IFERROR(__xludf.DUMMYFUNCTION("""COMPUTED_VALUE"""),"skyler34")</f>
        <v>skyler34</v>
      </c>
    </row>
    <row r="4729">
      <c r="A4729" s="41" t="str">
        <f>IFERROR(__xludf.DUMMYFUNCTION("""COMPUTED_VALUE"""),"RSC004744")</f>
        <v>RSC004744</v>
      </c>
      <c r="B4729" s="41" t="str">
        <f>IFERROR(__xludf.DUMMYFUNCTION("""COMPUTED_VALUE"""),"gnomie")</f>
        <v>gnomie</v>
      </c>
    </row>
    <row r="4730">
      <c r="A4730" s="41" t="str">
        <f>IFERROR(__xludf.DUMMYFUNCTION("""COMPUTED_VALUE"""),"RSC004745")</f>
        <v>RSC004745</v>
      </c>
      <c r="B4730" s="41" t="str">
        <f>IFERROR(__xludf.DUMMYFUNCTION("""COMPUTED_VALUE"""),"IMichael")</f>
        <v>IMichael</v>
      </c>
    </row>
    <row r="4731">
      <c r="A4731" s="41" t="str">
        <f>IFERROR(__xludf.DUMMYFUNCTION("""COMPUTED_VALUE"""),"RSC004746")</f>
        <v>RSC004746</v>
      </c>
      <c r="B4731" s="41" t="str">
        <f>IFERROR(__xludf.DUMMYFUNCTION("""COMPUTED_VALUE"""),"TAT Pitts")</f>
        <v>TAT Pitts</v>
      </c>
    </row>
    <row r="4732">
      <c r="A4732" s="41" t="str">
        <f>IFERROR(__xludf.DUMMYFUNCTION("""COMPUTED_VALUE"""),"RSC004747")</f>
        <v>RSC004747</v>
      </c>
      <c r="B4732" s="41" t="str">
        <f>IFERROR(__xludf.DUMMYFUNCTION("""COMPUTED_VALUE"""),"Cohjehnma Paco")</f>
        <v>Cohjehnma Paco</v>
      </c>
    </row>
    <row r="4733">
      <c r="A4733" s="41" t="str">
        <f>IFERROR(__xludf.DUMMYFUNCTION("""COMPUTED_VALUE"""),"RSC004748")</f>
        <v>RSC004748</v>
      </c>
      <c r="B4733" s="41" t="str">
        <f>IFERROR(__xludf.DUMMYFUNCTION("""COMPUTED_VALUE"""),"JayEff2")</f>
        <v>JayEff2</v>
      </c>
    </row>
    <row r="4734">
      <c r="A4734" s="41" t="str">
        <f>IFERROR(__xludf.DUMMYFUNCTION("""COMPUTED_VALUE"""),"RSC004749")</f>
        <v>RSC004749</v>
      </c>
      <c r="B4734" s="41" t="str">
        <f>IFERROR(__xludf.DUMMYFUNCTION("""COMPUTED_VALUE"""),"Vega")</f>
        <v>Vega</v>
      </c>
    </row>
    <row r="4735">
      <c r="A4735" s="41" t="str">
        <f>IFERROR(__xludf.DUMMYFUNCTION("""COMPUTED_VALUE"""),"RSC004750")</f>
        <v>RSC004750</v>
      </c>
      <c r="B4735" s="41" t="str">
        <f>IFERROR(__xludf.DUMMYFUNCTION("""COMPUTED_VALUE"""),"Levertov")</f>
        <v>Levertov</v>
      </c>
    </row>
    <row r="4736">
      <c r="A4736" s="41" t="str">
        <f>IFERROR(__xludf.DUMMYFUNCTION("""COMPUTED_VALUE"""),"RSC004751")</f>
        <v>RSC004751</v>
      </c>
      <c r="B4736" s="41" t="str">
        <f>IFERROR(__xludf.DUMMYFUNCTION("""COMPUTED_VALUE"""),"haxatx")</f>
        <v>haxatx</v>
      </c>
    </row>
    <row r="4737">
      <c r="A4737" s="41" t="str">
        <f>IFERROR(__xludf.DUMMYFUNCTION("""COMPUTED_VALUE"""),"RSC004752")</f>
        <v>RSC004752</v>
      </c>
      <c r="B4737" s="41" t="str">
        <f>IFERROR(__xludf.DUMMYFUNCTION("""COMPUTED_VALUE"""),"Printer23")</f>
        <v>Printer23</v>
      </c>
    </row>
    <row r="4738">
      <c r="A4738" s="41" t="str">
        <f>IFERROR(__xludf.DUMMYFUNCTION("""COMPUTED_VALUE"""),"RSC004753")</f>
        <v>RSC004753</v>
      </c>
      <c r="B4738" s="41" t="str">
        <f>IFERROR(__xludf.DUMMYFUNCTION("""COMPUTED_VALUE"""),"wonderszn")</f>
        <v>wonderszn</v>
      </c>
    </row>
    <row r="4739">
      <c r="A4739" s="41" t="str">
        <f>IFERROR(__xludf.DUMMYFUNCTION("""COMPUTED_VALUE"""),"RSC004754")</f>
        <v>RSC004754</v>
      </c>
      <c r="B4739" s="41" t="str">
        <f>IFERROR(__xludf.DUMMYFUNCTION("""COMPUTED_VALUE"""),"BlueAlphaYTF")</f>
        <v>BlueAlphaYTF</v>
      </c>
    </row>
    <row r="4740">
      <c r="A4740" s="41" t="str">
        <f>IFERROR(__xludf.DUMMYFUNCTION("""COMPUTED_VALUE"""),"RSC004755")</f>
        <v>RSC004755</v>
      </c>
      <c r="B4740" s="41" t="str">
        <f>IFERROR(__xludf.DUMMYFUNCTION("""COMPUTED_VALUE"""),"MbizzleBruh")</f>
        <v>MbizzleBruh</v>
      </c>
    </row>
    <row r="4741">
      <c r="A4741" s="41" t="str">
        <f>IFERROR(__xludf.DUMMYFUNCTION("""COMPUTED_VALUE"""),"RSC004756")</f>
        <v>RSC004756</v>
      </c>
      <c r="B4741" s="41" t="str">
        <f>IFERROR(__xludf.DUMMYFUNCTION("""COMPUTED_VALUE"""),"White_Cheddaaa")</f>
        <v>White_Cheddaaa</v>
      </c>
    </row>
    <row r="4742">
      <c r="A4742" s="41" t="str">
        <f>IFERROR(__xludf.DUMMYFUNCTION("""COMPUTED_VALUE"""),"RSC004757")</f>
        <v>RSC004757</v>
      </c>
      <c r="B4742" s="41" t="str">
        <f>IFERROR(__xludf.DUMMYFUNCTION("""COMPUTED_VALUE"""),"Bearegard Beckenstein III")</f>
        <v>Bearegard Beckenstein III</v>
      </c>
    </row>
    <row r="4743">
      <c r="A4743" s="41" t="str">
        <f>IFERROR(__xludf.DUMMYFUNCTION("""COMPUTED_VALUE"""),"RSC004758")</f>
        <v>RSC004758</v>
      </c>
      <c r="B4743" s="41" t="str">
        <f>IFERROR(__xludf.DUMMYFUNCTION("""COMPUTED_VALUE"""),"Array")</f>
        <v>Array</v>
      </c>
    </row>
    <row r="4744">
      <c r="A4744" s="41" t="str">
        <f>IFERROR(__xludf.DUMMYFUNCTION("""COMPUTED_VALUE"""),"RSC004759")</f>
        <v>RSC004759</v>
      </c>
      <c r="B4744" s="41" t="str">
        <f>IFERROR(__xludf.DUMMYFUNCTION("""COMPUTED_VALUE"""),"Sentz")</f>
        <v>Sentz</v>
      </c>
    </row>
    <row r="4745">
      <c r="A4745" s="41" t="str">
        <f>IFERROR(__xludf.DUMMYFUNCTION("""COMPUTED_VALUE"""),"RSC004760")</f>
        <v>RSC004760</v>
      </c>
      <c r="B4745" s="41" t="str">
        <f>IFERROR(__xludf.DUMMYFUNCTION("""COMPUTED_VALUE"""),"hazman232")</f>
        <v>hazman232</v>
      </c>
    </row>
    <row r="4746">
      <c r="A4746" s="41" t="str">
        <f>IFERROR(__xludf.DUMMYFUNCTION("""COMPUTED_VALUE"""),"RSC004761")</f>
        <v>RSC004761</v>
      </c>
      <c r="B4746" s="41" t="str">
        <f>IFERROR(__xludf.DUMMYFUNCTION("""COMPUTED_VALUE"""),"Spiperwolf")</f>
        <v>Spiperwolf</v>
      </c>
    </row>
    <row r="4747">
      <c r="A4747" s="41" t="str">
        <f>IFERROR(__xludf.DUMMYFUNCTION("""COMPUTED_VALUE"""),"RSC004762")</f>
        <v>RSC004762</v>
      </c>
      <c r="B4747" s="41" t="str">
        <f>IFERROR(__xludf.DUMMYFUNCTION("""COMPUTED_VALUE"""),"Zeenics")</f>
        <v>Zeenics</v>
      </c>
    </row>
    <row r="4748">
      <c r="A4748" s="41" t="str">
        <f>IFERROR(__xludf.DUMMYFUNCTION("""COMPUTED_VALUE"""),"RSC004763")</f>
        <v>RSC004763</v>
      </c>
      <c r="B4748" s="41" t="str">
        <f>IFERROR(__xludf.DUMMYFUNCTION("""COMPUTED_VALUE"""),"Rmuru-")</f>
        <v>Rmuru-</v>
      </c>
    </row>
    <row r="4749">
      <c r="A4749" s="41" t="str">
        <f>IFERROR(__xludf.DUMMYFUNCTION("""COMPUTED_VALUE"""),"RSC004764")</f>
        <v>RSC004764</v>
      </c>
      <c r="B4749" s="41" t="str">
        <f>IFERROR(__xludf.DUMMYFUNCTION("""COMPUTED_VALUE"""),"Beer96690")</f>
        <v>Beer96690</v>
      </c>
    </row>
    <row r="4750">
      <c r="A4750" s="41" t="str">
        <f>IFERROR(__xludf.DUMMYFUNCTION("""COMPUTED_VALUE"""),"RSC004765")</f>
        <v>RSC004765</v>
      </c>
      <c r="B4750" s="41" t="str">
        <f>IFERROR(__xludf.DUMMYFUNCTION("""COMPUTED_VALUE"""),"Da AsianBiscuit")</f>
        <v>Da AsianBiscuit</v>
      </c>
    </row>
    <row r="4751">
      <c r="A4751" s="41" t="str">
        <f>IFERROR(__xludf.DUMMYFUNCTION("""COMPUTED_VALUE"""),"RSC004766")</f>
        <v>RSC004766</v>
      </c>
      <c r="B4751" s="41" t="str">
        <f>IFERROR(__xludf.DUMMYFUNCTION("""COMPUTED_VALUE"""),"Virrex0")</f>
        <v>Virrex0</v>
      </c>
    </row>
    <row r="4752">
      <c r="A4752" s="41" t="str">
        <f>IFERROR(__xludf.DUMMYFUNCTION("""COMPUTED_VALUE"""),"RSC004767")</f>
        <v>RSC004767</v>
      </c>
      <c r="B4752" s="41" t="str">
        <f>IFERROR(__xludf.DUMMYFUNCTION("""COMPUTED_VALUE"""),"NFURY8")</f>
        <v>NFURY8</v>
      </c>
    </row>
    <row r="4753">
      <c r="A4753" s="41" t="str">
        <f>IFERROR(__xludf.DUMMYFUNCTION("""COMPUTED_VALUE"""),"RSC004768")</f>
        <v>RSC004768</v>
      </c>
      <c r="B4753" s="41" t="str">
        <f>IFERROR(__xludf.DUMMYFUNCTION("""COMPUTED_VALUE"""),"ReaperODeath")</f>
        <v>ReaperODeath</v>
      </c>
    </row>
    <row r="4754">
      <c r="A4754" s="41" t="str">
        <f>IFERROR(__xludf.DUMMYFUNCTION("""COMPUTED_VALUE"""),"RSC004769")</f>
        <v>RSC004769</v>
      </c>
      <c r="B4754" s="41" t="str">
        <f>IFERROR(__xludf.DUMMYFUNCTION("""COMPUTED_VALUE"""),"Seagrain")</f>
        <v>Seagrain</v>
      </c>
    </row>
    <row r="4755">
      <c r="A4755" s="41" t="str">
        <f>IFERROR(__xludf.DUMMYFUNCTION("""COMPUTED_VALUE"""),"RSC004770")</f>
        <v>RSC004770</v>
      </c>
      <c r="B4755" s="41" t="str">
        <f>IFERROR(__xludf.DUMMYFUNCTION("""COMPUTED_VALUE"""),"(Twitch) CanadianChief")</f>
        <v>(Twitch) CanadianChief</v>
      </c>
    </row>
    <row r="4756">
      <c r="A4756" s="41" t="str">
        <f>IFERROR(__xludf.DUMMYFUNCTION("""COMPUTED_VALUE"""),"RSC004771")</f>
        <v>RSC004771</v>
      </c>
      <c r="B4756" s="41" t="str">
        <f>IFERROR(__xludf.DUMMYFUNCTION("""COMPUTED_VALUE"""),"Helix1.0")</f>
        <v>Helix1.0</v>
      </c>
    </row>
    <row r="4757">
      <c r="A4757" s="41" t="str">
        <f>IFERROR(__xludf.DUMMYFUNCTION("""COMPUTED_VALUE"""),"RSC004772")</f>
        <v>RSC004772</v>
      </c>
      <c r="B4757" s="41" t="str">
        <f>IFERROR(__xludf.DUMMYFUNCTION("""COMPUTED_VALUE"""),"D12")</f>
        <v>D12</v>
      </c>
    </row>
    <row r="4758">
      <c r="A4758" s="41" t="str">
        <f>IFERROR(__xludf.DUMMYFUNCTION("""COMPUTED_VALUE"""),"RSC004773")</f>
        <v>RSC004773</v>
      </c>
      <c r="B4758" s="41" t="str">
        <f>IFERROR(__xludf.DUMMYFUNCTION("""COMPUTED_VALUE"""),"ezko")</f>
        <v>ezko</v>
      </c>
    </row>
    <row r="4759">
      <c r="A4759" s="41" t="str">
        <f>IFERROR(__xludf.DUMMYFUNCTION("""COMPUTED_VALUE"""),"RSC004774")</f>
        <v>RSC004774</v>
      </c>
      <c r="B4759" s="41" t="str">
        <f>IFERROR(__xludf.DUMMYFUNCTION("""COMPUTED_VALUE"""),"botduncan")</f>
        <v>botduncan</v>
      </c>
    </row>
    <row r="4760">
      <c r="A4760" s="41" t="str">
        <f>IFERROR(__xludf.DUMMYFUNCTION("""COMPUTED_VALUE"""),"RSC004775")</f>
        <v>RSC004775</v>
      </c>
      <c r="B4760" s="41" t="str">
        <f>IFERROR(__xludf.DUMMYFUNCTION("""COMPUTED_VALUE"""),"Joey on Facebook")</f>
        <v>Joey on Facebook</v>
      </c>
    </row>
    <row r="4761">
      <c r="A4761" s="41" t="str">
        <f>IFERROR(__xludf.DUMMYFUNCTION("""COMPUTED_VALUE"""),"RSC004776")</f>
        <v>RSC004776</v>
      </c>
      <c r="B4761" s="41" t="str">
        <f>IFERROR(__xludf.DUMMYFUNCTION("""COMPUTED_VALUE"""),"Wovah")</f>
        <v>Wovah</v>
      </c>
    </row>
    <row r="4762">
      <c r="A4762" s="41" t="str">
        <f>IFERROR(__xludf.DUMMYFUNCTION("""COMPUTED_VALUE"""),"RSC004777")</f>
        <v>RSC004777</v>
      </c>
      <c r="B4762" s="41" t="str">
        <f>IFERROR(__xludf.DUMMYFUNCTION("""COMPUTED_VALUE"""),"prestondew00")</f>
        <v>prestondew00</v>
      </c>
    </row>
    <row r="4763">
      <c r="A4763" s="41" t="str">
        <f>IFERROR(__xludf.DUMMYFUNCTION("""COMPUTED_VALUE"""),"RSC004778")</f>
        <v>RSC004778</v>
      </c>
      <c r="B4763" s="41" t="str">
        <f>IFERROR(__xludf.DUMMYFUNCTION("""COMPUTED_VALUE"""),"Sweg")</f>
        <v>Sweg</v>
      </c>
    </row>
    <row r="4764">
      <c r="A4764" s="41" t="str">
        <f>IFERROR(__xludf.DUMMYFUNCTION("""COMPUTED_VALUE"""),"RSC004779")</f>
        <v>RSC004779</v>
      </c>
      <c r="B4764" s="41" t="str">
        <f>IFERROR(__xludf.DUMMYFUNCTION("""COMPUTED_VALUE"""),"St4bb3dxX")</f>
        <v>St4bb3dxX</v>
      </c>
    </row>
    <row r="4765">
      <c r="A4765" s="41" t="str">
        <f>IFERROR(__xludf.DUMMYFUNCTION("""COMPUTED_VALUE"""),"RSC004780")</f>
        <v>RSC004780</v>
      </c>
      <c r="B4765" s="41" t="str">
        <f>IFERROR(__xludf.DUMMYFUNCTION("""COMPUTED_VALUE"""),"KAYO (Old)")</f>
        <v>KAYO (Old)</v>
      </c>
    </row>
    <row r="4766">
      <c r="A4766" s="41" t="str">
        <f>IFERROR(__xludf.DUMMYFUNCTION("""COMPUTED_VALUE"""),"RSC004781")</f>
        <v>RSC004781</v>
      </c>
      <c r="B4766" s="41" t="str">
        <f>IFERROR(__xludf.DUMMYFUNCTION("""COMPUTED_VALUE"""),"AutisticMedic")</f>
        <v>AutisticMedic</v>
      </c>
    </row>
    <row r="4767">
      <c r="A4767" s="41" t="str">
        <f>IFERROR(__xludf.DUMMYFUNCTION("""COMPUTED_VALUE"""),"RSC004782")</f>
        <v>RSC004782</v>
      </c>
      <c r="B4767" s="41" t="str">
        <f>IFERROR(__xludf.DUMMYFUNCTION("""COMPUTED_VALUE"""),"B00tyEaterJoe96")</f>
        <v>B00tyEaterJoe96</v>
      </c>
    </row>
    <row r="4768">
      <c r="A4768" s="41" t="str">
        <f>IFERROR(__xludf.DUMMYFUNCTION("""COMPUTED_VALUE"""),"RSC004783")</f>
        <v>RSC004783</v>
      </c>
      <c r="B4768" s="41" t="str">
        <f>IFERROR(__xludf.DUMMYFUNCTION("""COMPUTED_VALUE"""),"ttv struudal")</f>
        <v>ttv struudal</v>
      </c>
    </row>
    <row r="4769">
      <c r="A4769" s="41" t="str">
        <f>IFERROR(__xludf.DUMMYFUNCTION("""COMPUTED_VALUE"""),"RSC004784")</f>
        <v>RSC004784</v>
      </c>
      <c r="B4769" s="41" t="str">
        <f>IFERROR(__xludf.DUMMYFUNCTION("""COMPUTED_VALUE"""),"cxsco1")</f>
        <v>cxsco1</v>
      </c>
    </row>
    <row r="4770">
      <c r="A4770" s="41" t="str">
        <f>IFERROR(__xludf.DUMMYFUNCTION("""COMPUTED_VALUE"""),"RSC004785")</f>
        <v>RSC004785</v>
      </c>
      <c r="B4770" s="41" t="str">
        <f>IFERROR(__xludf.DUMMYFUNCTION("""COMPUTED_VALUE"""),"KaniballOnPC")</f>
        <v>KaniballOnPC</v>
      </c>
    </row>
    <row r="4771">
      <c r="A4771" s="41" t="str">
        <f>IFERROR(__xludf.DUMMYFUNCTION("""COMPUTED_VALUE"""),"RSC004786")</f>
        <v>RSC004786</v>
      </c>
      <c r="B4771" s="41" t="str">
        <f>IFERROR(__xludf.DUMMYFUNCTION("""COMPUTED_VALUE"""),"Shadow™")</f>
        <v>Shadow™</v>
      </c>
    </row>
    <row r="4772">
      <c r="A4772" s="41" t="str">
        <f>IFERROR(__xludf.DUMMYFUNCTION("""COMPUTED_VALUE"""),"RSC004787")</f>
        <v>RSC004787</v>
      </c>
      <c r="B4772" s="41" t="str">
        <f>IFERROR(__xludf.DUMMYFUNCTION("""COMPUTED_VALUE"""),"DreadOSO")</f>
        <v>DreadOSO</v>
      </c>
    </row>
    <row r="4773">
      <c r="A4773" s="41" t="str">
        <f>IFERROR(__xludf.DUMMYFUNCTION("""COMPUTED_VALUE"""),"RSC004788")</f>
        <v>RSC004788</v>
      </c>
      <c r="B4773" s="41" t="str">
        <f>IFERROR(__xludf.DUMMYFUNCTION("""COMPUTED_VALUE"""),"SmartAsSuperman")</f>
        <v>SmartAsSuperman</v>
      </c>
    </row>
    <row r="4774">
      <c r="A4774" s="41" t="str">
        <f>IFERROR(__xludf.DUMMYFUNCTION("""COMPUTED_VALUE"""),"RSC004789")</f>
        <v>RSC004789</v>
      </c>
      <c r="B4774" s="41" t="str">
        <f>IFERROR(__xludf.DUMMYFUNCTION("""COMPUTED_VALUE"""),"sKouri")</f>
        <v>sKouri</v>
      </c>
    </row>
    <row r="4775">
      <c r="A4775" s="41" t="str">
        <f>IFERROR(__xludf.DUMMYFUNCTION("""COMPUTED_VALUE"""),"RSC004790")</f>
        <v>RSC004790</v>
      </c>
      <c r="B4775" s="41" t="str">
        <f>IFERROR(__xludf.DUMMYFUNCTION("""COMPUTED_VALUE"""),"TheFrostNL")</f>
        <v>TheFrostNL</v>
      </c>
    </row>
    <row r="4776">
      <c r="A4776" s="41" t="str">
        <f>IFERROR(__xludf.DUMMYFUNCTION("""COMPUTED_VALUE"""),"RSC004791")</f>
        <v>RSC004791</v>
      </c>
      <c r="B4776" s="41" t="str">
        <f>IFERROR(__xludf.DUMMYFUNCTION("""COMPUTED_VALUE"""),"Decky.")</f>
        <v>Decky.</v>
      </c>
    </row>
    <row r="4777">
      <c r="A4777" s="41" t="str">
        <f>IFERROR(__xludf.DUMMYFUNCTION("""COMPUTED_VALUE"""),"RSC004792")</f>
        <v>RSC004792</v>
      </c>
      <c r="B4777" s="41" t="str">
        <f>IFERROR(__xludf.DUMMYFUNCTION("""COMPUTED_VALUE"""),"fizzy")</f>
        <v>fizzy</v>
      </c>
    </row>
    <row r="4778">
      <c r="A4778" s="41" t="str">
        <f>IFERROR(__xludf.DUMMYFUNCTION("""COMPUTED_VALUE"""),"RSC004793")</f>
        <v>RSC004793</v>
      </c>
      <c r="B4778" s="41" t="str">
        <f>IFERROR(__xludf.DUMMYFUNCTION("""COMPUTED_VALUE"""),"Jake")</f>
        <v>Jake</v>
      </c>
    </row>
    <row r="4779">
      <c r="A4779" s="41" t="str">
        <f>IFERROR(__xludf.DUMMYFUNCTION("""COMPUTED_VALUE"""),"RSC004794")</f>
        <v>RSC004794</v>
      </c>
      <c r="B4779" s="41" t="str">
        <f>IFERROR(__xludf.DUMMYFUNCTION("""COMPUTED_VALUE"""),"Buddha")</f>
        <v>Buddha</v>
      </c>
    </row>
    <row r="4780">
      <c r="A4780" s="41" t="str">
        <f>IFERROR(__xludf.DUMMYFUNCTION("""COMPUTED_VALUE"""),"RSC004795")</f>
        <v>RSC004795</v>
      </c>
      <c r="B4780" s="41" t="str">
        <f>IFERROR(__xludf.DUMMYFUNCTION("""COMPUTED_VALUE"""),"Steven")</f>
        <v>Steven</v>
      </c>
    </row>
    <row r="4781">
      <c r="A4781" s="41" t="str">
        <f>IFERROR(__xludf.DUMMYFUNCTION("""COMPUTED_VALUE"""),"RSC004796")</f>
        <v>RSC004796</v>
      </c>
      <c r="B4781" s="41" t="str">
        <f>IFERROR(__xludf.DUMMYFUNCTION("""COMPUTED_VALUE"""),"Pissko")</f>
        <v>Pissko</v>
      </c>
    </row>
    <row r="4782">
      <c r="A4782" s="41" t="str">
        <f>IFERROR(__xludf.DUMMYFUNCTION("""COMPUTED_VALUE"""),"RSC004797")</f>
        <v>RSC004797</v>
      </c>
      <c r="B4782" s="41" t="str">
        <f>IFERROR(__xludf.DUMMYFUNCTION("""COMPUTED_VALUE"""),"Tempest")</f>
        <v>Tempest</v>
      </c>
    </row>
    <row r="4783">
      <c r="A4783" s="41" t="str">
        <f>IFERROR(__xludf.DUMMYFUNCTION("""COMPUTED_VALUE"""),"RSC004798")</f>
        <v>RSC004798</v>
      </c>
      <c r="B4783" s="41" t="str">
        <f>IFERROR(__xludf.DUMMYFUNCTION("""COMPUTED_VALUE"""),"Eros")</f>
        <v>Eros</v>
      </c>
    </row>
    <row r="4784">
      <c r="A4784" s="41" t="str">
        <f>IFERROR(__xludf.DUMMYFUNCTION("""COMPUTED_VALUE"""),"RSC004799")</f>
        <v>RSC004799</v>
      </c>
      <c r="B4784" s="41" t="str">
        <f>IFERROR(__xludf.DUMMYFUNCTION("""COMPUTED_VALUE"""),"iota")</f>
        <v>iota</v>
      </c>
    </row>
    <row r="4785">
      <c r="A4785" s="41" t="str">
        <f>IFERROR(__xludf.DUMMYFUNCTION("""COMPUTED_VALUE"""),"RSC004800")</f>
        <v>RSC004800</v>
      </c>
      <c r="B4785" s="41" t="str">
        <f>IFERROR(__xludf.DUMMYFUNCTION("""COMPUTED_VALUE"""),"zestii grandpawh")</f>
        <v>zestii grandpawh</v>
      </c>
    </row>
    <row r="4786">
      <c r="A4786" s="41" t="str">
        <f>IFERROR(__xludf.DUMMYFUNCTION("""COMPUTED_VALUE"""),"RSC004801")</f>
        <v>RSC004801</v>
      </c>
      <c r="B4786" s="41" t="str">
        <f>IFERROR(__xludf.DUMMYFUNCTION("""COMPUTED_VALUE"""),"XxDark_Wolf56X")</f>
        <v>XxDark_Wolf56X</v>
      </c>
    </row>
    <row r="4787">
      <c r="A4787" s="41" t="str">
        <f>IFERROR(__xludf.DUMMYFUNCTION("""COMPUTED_VALUE"""),"RSC004802")</f>
        <v>RSC004802</v>
      </c>
      <c r="B4787" s="41" t="str">
        <f>IFERROR(__xludf.DUMMYFUNCTION("""COMPUTED_VALUE"""),"M u z e")</f>
        <v>M u z e</v>
      </c>
    </row>
    <row r="4788">
      <c r="A4788" s="41" t="str">
        <f>IFERROR(__xludf.DUMMYFUNCTION("""COMPUTED_VALUE"""),"RSC004803")</f>
        <v>RSC004803</v>
      </c>
      <c r="B4788" s="41" t="str">
        <f>IFERROR(__xludf.DUMMYFUNCTION("""COMPUTED_VALUE"""),"Hammbone_RL")</f>
        <v>Hammbone_RL</v>
      </c>
    </row>
    <row r="4789">
      <c r="A4789" s="41" t="str">
        <f>IFERROR(__xludf.DUMMYFUNCTION("""COMPUTED_VALUE"""),"RSC004804")</f>
        <v>RSC004804</v>
      </c>
      <c r="B4789" s="41" t="str">
        <f>IFERROR(__xludf.DUMMYFUNCTION("""COMPUTED_VALUE"""),"ender")</f>
        <v>ender</v>
      </c>
    </row>
    <row r="4790">
      <c r="A4790" s="41" t="str">
        <f>IFERROR(__xludf.DUMMYFUNCTION("""COMPUTED_VALUE"""),"RSC004805")</f>
        <v>RSC004805</v>
      </c>
      <c r="B4790" s="41" t="str">
        <f>IFERROR(__xludf.DUMMYFUNCTION("""COMPUTED_VALUE"""),"shadyjake15")</f>
        <v>shadyjake15</v>
      </c>
    </row>
    <row r="4791">
      <c r="A4791" s="41" t="str">
        <f>IFERROR(__xludf.DUMMYFUNCTION("""COMPUTED_VALUE"""),"RSC004806")</f>
        <v>RSC004806</v>
      </c>
      <c r="B4791" s="41" t="str">
        <f>IFERROR(__xludf.DUMMYFUNCTION("""COMPUTED_VALUE"""),"Verhovec")</f>
        <v>Verhovec</v>
      </c>
    </row>
    <row r="4792">
      <c r="A4792" s="41" t="str">
        <f>IFERROR(__xludf.DUMMYFUNCTION("""COMPUTED_VALUE"""),"RSC004807")</f>
        <v>RSC004807</v>
      </c>
      <c r="B4792" s="41" t="str">
        <f>IFERROR(__xludf.DUMMYFUNCTION("""COMPUTED_VALUE"""),"alexman")</f>
        <v>alexman</v>
      </c>
    </row>
    <row r="4793">
      <c r="A4793" s="41" t="str">
        <f>IFERROR(__xludf.DUMMYFUNCTION("""COMPUTED_VALUE"""),"RSC004808")</f>
        <v>RSC004808</v>
      </c>
      <c r="B4793" s="41" t="str">
        <f>IFERROR(__xludf.DUMMYFUNCTION("""COMPUTED_VALUE"""),"D0Bound")</f>
        <v>D0Bound</v>
      </c>
    </row>
    <row r="4794">
      <c r="A4794" s="41" t="str">
        <f>IFERROR(__xludf.DUMMYFUNCTION("""COMPUTED_VALUE"""),"RSC004809")</f>
        <v>RSC004809</v>
      </c>
      <c r="B4794" s="41" t="str">
        <f>IFERROR(__xludf.DUMMYFUNCTION("""COMPUTED_VALUE"""),"Justin4728")</f>
        <v>Justin4728</v>
      </c>
    </row>
    <row r="4795">
      <c r="A4795" s="41" t="str">
        <f>IFERROR(__xludf.DUMMYFUNCTION("""COMPUTED_VALUE"""),"RSC004810")</f>
        <v>RSC004810</v>
      </c>
      <c r="B4795" s="41" t="str">
        <f>IFERROR(__xludf.DUMMYFUNCTION("""COMPUTED_VALUE"""),"feed.")</f>
        <v>feed.</v>
      </c>
    </row>
    <row r="4796">
      <c r="A4796" s="41" t="str">
        <f>IFERROR(__xludf.DUMMYFUNCTION("""COMPUTED_VALUE"""),"RSC004811")</f>
        <v>RSC004811</v>
      </c>
      <c r="B4796" s="41" t="str">
        <f>IFERROR(__xludf.DUMMYFUNCTION("""COMPUTED_VALUE"""),"Erkendel")</f>
        <v>Erkendel</v>
      </c>
    </row>
    <row r="4797">
      <c r="A4797" s="41" t="str">
        <f>IFERROR(__xludf.DUMMYFUNCTION("""COMPUTED_VALUE"""),"RSC004812")</f>
        <v>RSC004812</v>
      </c>
      <c r="B4797" s="41" t="str">
        <f>IFERROR(__xludf.DUMMYFUNCTION("""COMPUTED_VALUE"""),"Ezra NA")</f>
        <v>Ezra NA</v>
      </c>
    </row>
    <row r="4798">
      <c r="A4798" s="41" t="str">
        <f>IFERROR(__xludf.DUMMYFUNCTION("""COMPUTED_VALUE"""),"RSC004813")</f>
        <v>RSC004813</v>
      </c>
      <c r="B4798" s="41" t="str">
        <f>IFERROR(__xludf.DUMMYFUNCTION("""COMPUTED_VALUE"""),"Omulis_Mad")</f>
        <v>Omulis_Mad</v>
      </c>
    </row>
    <row r="4799">
      <c r="A4799" s="41" t="str">
        <f>IFERROR(__xludf.DUMMYFUNCTION("""COMPUTED_VALUE"""),"RSC004814")</f>
        <v>RSC004814</v>
      </c>
      <c r="B4799" s="41" t="str">
        <f>IFERROR(__xludf.DUMMYFUNCTION("""COMPUTED_VALUE"""),"TERRORNEWT")</f>
        <v>TERRORNEWT</v>
      </c>
    </row>
    <row r="4800">
      <c r="A4800" s="41" t="str">
        <f>IFERROR(__xludf.DUMMYFUNCTION("""COMPUTED_VALUE"""),"RSC004815")</f>
        <v>RSC004815</v>
      </c>
      <c r="B4800" s="41" t="str">
        <f>IFERROR(__xludf.DUMMYFUNCTION("""COMPUTED_VALUE"""),"NightGamer1772")</f>
        <v>NightGamer1772</v>
      </c>
    </row>
    <row r="4801">
      <c r="A4801" s="41" t="str">
        <f>IFERROR(__xludf.DUMMYFUNCTION("""COMPUTED_VALUE"""),"RSC004816")</f>
        <v>RSC004816</v>
      </c>
      <c r="B4801" s="41" t="str">
        <f>IFERROR(__xludf.DUMMYFUNCTION("""COMPUTED_VALUE"""),"PickIeSurvival")</f>
        <v>PickIeSurvival</v>
      </c>
    </row>
    <row r="4802">
      <c r="A4802" s="41" t="str">
        <f>IFERROR(__xludf.DUMMYFUNCTION("""COMPUTED_VALUE"""),"RSC004817")</f>
        <v>RSC004817</v>
      </c>
      <c r="B4802" s="41" t="str">
        <f>IFERROR(__xludf.DUMMYFUNCTION("""COMPUTED_VALUE"""),"crybound")</f>
        <v>crybound</v>
      </c>
    </row>
    <row r="4803">
      <c r="A4803" s="41" t="str">
        <f>IFERROR(__xludf.DUMMYFUNCTION("""COMPUTED_VALUE"""),"RSC004818")</f>
        <v>RSC004818</v>
      </c>
      <c r="B4803" s="41" t="str">
        <f>IFERROR(__xludf.DUMMYFUNCTION("""COMPUTED_VALUE"""),"JuiceStain")</f>
        <v>JuiceStain</v>
      </c>
    </row>
    <row r="4804">
      <c r="A4804" s="41" t="str">
        <f>IFERROR(__xludf.DUMMYFUNCTION("""COMPUTED_VALUE"""),"RSC004819")</f>
        <v>RSC004819</v>
      </c>
      <c r="B4804" s="41" t="str">
        <f>IFERROR(__xludf.DUMMYFUNCTION("""COMPUTED_VALUE"""),"ItzSparks.")</f>
        <v>ItzSparks.</v>
      </c>
    </row>
    <row r="4805">
      <c r="A4805" s="41" t="str">
        <f>IFERROR(__xludf.DUMMYFUNCTION("""COMPUTED_VALUE"""),"RSC004820")</f>
        <v>RSC004820</v>
      </c>
      <c r="B4805" s="41" t="str">
        <f>IFERROR(__xludf.DUMMYFUNCTION("""COMPUTED_VALUE"""),"AoS Arctic")</f>
        <v>AoS Arctic</v>
      </c>
    </row>
    <row r="4806">
      <c r="A4806" s="41" t="str">
        <f>IFERROR(__xludf.DUMMYFUNCTION("""COMPUTED_VALUE"""),"RSC004821")</f>
        <v>RSC004821</v>
      </c>
      <c r="B4806" s="41" t="str">
        <f>IFERROR(__xludf.DUMMYFUNCTION("""COMPUTED_VALUE"""),"baddriver07")</f>
        <v>baddriver07</v>
      </c>
    </row>
    <row r="4807">
      <c r="A4807" s="41" t="str">
        <f>IFERROR(__xludf.DUMMYFUNCTION("""COMPUTED_VALUE"""),"RSC004822")</f>
        <v>RSC004822</v>
      </c>
      <c r="B4807" s="41" t="str">
        <f>IFERROR(__xludf.DUMMYFUNCTION("""COMPUTED_VALUE"""),"VisionZ")</f>
        <v>VisionZ</v>
      </c>
    </row>
    <row r="4808">
      <c r="A4808" s="41" t="str">
        <f>IFERROR(__xludf.DUMMYFUNCTION("""COMPUTED_VALUE"""),"RSC004823")</f>
        <v>RSC004823</v>
      </c>
      <c r="B4808" s="41" t="str">
        <f>IFERROR(__xludf.DUMMYFUNCTION("""COMPUTED_VALUE"""),"Kryptonic09_")</f>
        <v>Kryptonic09_</v>
      </c>
    </row>
    <row r="4809">
      <c r="A4809" s="41" t="str">
        <f>IFERROR(__xludf.DUMMYFUNCTION("""COMPUTED_VALUE"""),"RSC004824")</f>
        <v>RSC004824</v>
      </c>
      <c r="B4809" s="41" t="str">
        <f>IFERROR(__xludf.DUMMYFUNCTION("""COMPUTED_VALUE"""),"WasDublin")</f>
        <v>WasDublin</v>
      </c>
    </row>
    <row r="4810">
      <c r="A4810" s="41" t="str">
        <f>IFERROR(__xludf.DUMMYFUNCTION("""COMPUTED_VALUE"""),"RSC004825")</f>
        <v>RSC004825</v>
      </c>
      <c r="B4810" s="41" t="str">
        <f>IFERROR(__xludf.DUMMYFUNCTION("""COMPUTED_VALUE"""),"Aurora")</f>
        <v>Aurora</v>
      </c>
    </row>
    <row r="4811">
      <c r="A4811" s="41" t="str">
        <f>IFERROR(__xludf.DUMMYFUNCTION("""COMPUTED_VALUE"""),"RSC004826")</f>
        <v>RSC004826</v>
      </c>
      <c r="B4811" s="41" t="str">
        <f>IFERROR(__xludf.DUMMYFUNCTION("""COMPUTED_VALUE"""),"Fishir")</f>
        <v>Fishir</v>
      </c>
    </row>
    <row r="4812">
      <c r="A4812" s="41" t="str">
        <f>IFERROR(__xludf.DUMMYFUNCTION("""COMPUTED_VALUE"""),"RSC004827")</f>
        <v>RSC004827</v>
      </c>
      <c r="B4812" s="41" t="str">
        <f>IFERROR(__xludf.DUMMYFUNCTION("""COMPUTED_VALUE"""),"HadesGaming")</f>
        <v>HadesGaming</v>
      </c>
    </row>
    <row r="4813">
      <c r="A4813" s="41" t="str">
        <f>IFERROR(__xludf.DUMMYFUNCTION("""COMPUTED_VALUE"""),"RSC004828")</f>
        <v>RSC004828</v>
      </c>
      <c r="B4813" s="41" t="str">
        <f>IFERROR(__xludf.DUMMYFUNCTION("""COMPUTED_VALUE"""),"Monstroid")</f>
        <v>Monstroid</v>
      </c>
    </row>
    <row r="4814">
      <c r="A4814" s="41" t="str">
        <f>IFERROR(__xludf.DUMMYFUNCTION("""COMPUTED_VALUE"""),"RSC004829")</f>
        <v>RSC004829</v>
      </c>
      <c r="B4814" s="41" t="str">
        <f>IFERROR(__xludf.DUMMYFUNCTION("""COMPUTED_VALUE"""),"EDubs ST")</f>
        <v>EDubs ST</v>
      </c>
    </row>
    <row r="4815">
      <c r="A4815" s="41" t="str">
        <f>IFERROR(__xludf.DUMMYFUNCTION("""COMPUTED_VALUE"""),"RSC004830")</f>
        <v>RSC004830</v>
      </c>
      <c r="B4815" s="41" t="str">
        <f>IFERROR(__xludf.DUMMYFUNCTION("""COMPUTED_VALUE"""),"❥ ℳ𝑒𝑔𝒶𝓂𝒾 ❥ [Ded]")</f>
        <v>❥ ℳ𝑒𝑔𝒶𝓂𝒾 ❥ [Ded]</v>
      </c>
    </row>
    <row r="4816">
      <c r="A4816" s="41" t="str">
        <f>IFERROR(__xludf.DUMMYFUNCTION("""COMPUTED_VALUE"""),"RSC004831")</f>
        <v>RSC004831</v>
      </c>
      <c r="B4816" s="41" t="str">
        <f>IFERROR(__xludf.DUMMYFUNCTION("""COMPUTED_VALUE"""),"Chet English")</f>
        <v>Chet English</v>
      </c>
    </row>
    <row r="4817">
      <c r="A4817" s="41" t="str">
        <f>IFERROR(__xludf.DUMMYFUNCTION("""COMPUTED_VALUE"""),"RSC004832")</f>
        <v>RSC004832</v>
      </c>
      <c r="B4817" s="41" t="str">
        <f>IFERROR(__xludf.DUMMYFUNCTION("""COMPUTED_VALUE"""),"Generic Bronzie")</f>
        <v>Generic Bronzie</v>
      </c>
    </row>
    <row r="4818">
      <c r="A4818" s="41" t="str">
        <f>IFERROR(__xludf.DUMMYFUNCTION("""COMPUTED_VALUE"""),"RSC004833")</f>
        <v>RSC004833</v>
      </c>
      <c r="B4818" s="41" t="str">
        <f>IFERROR(__xludf.DUMMYFUNCTION("""COMPUTED_VALUE"""),"ahhhhton")</f>
        <v>ahhhhton</v>
      </c>
    </row>
    <row r="4819">
      <c r="A4819" s="41" t="str">
        <f>IFERROR(__xludf.DUMMYFUNCTION("""COMPUTED_VALUE"""),"RSC004834")</f>
        <v>RSC004834</v>
      </c>
      <c r="B4819" s="41" t="str">
        <f>IFERROR(__xludf.DUMMYFUNCTION("""COMPUTED_VALUE"""),"BUD-LITE4U")</f>
        <v>BUD-LITE4U</v>
      </c>
    </row>
    <row r="4820">
      <c r="A4820" s="41" t="str">
        <f>IFERROR(__xludf.DUMMYFUNCTION("""COMPUTED_VALUE"""),"RSC004835")</f>
        <v>RSC004835</v>
      </c>
      <c r="B4820" s="41" t="str">
        <f>IFERROR(__xludf.DUMMYFUNCTION("""COMPUTED_VALUE"""),"UnSuNgHeRo")</f>
        <v>UnSuNgHeRo</v>
      </c>
    </row>
    <row r="4821">
      <c r="A4821" s="41" t="str">
        <f>IFERROR(__xludf.DUMMYFUNCTION("""COMPUTED_VALUE"""),"RSC004836")</f>
        <v>RSC004836</v>
      </c>
      <c r="B4821" s="41" t="str">
        <f>IFERROR(__xludf.DUMMYFUNCTION("""COMPUTED_VALUE"""),"Fuponjibobu")</f>
        <v>Fuponjibobu</v>
      </c>
    </row>
    <row r="4822">
      <c r="A4822" s="41" t="str">
        <f>IFERROR(__xludf.DUMMYFUNCTION("""COMPUTED_VALUE"""),"RSC004837")</f>
        <v>RSC004837</v>
      </c>
      <c r="B4822" s="41" t="str">
        <f>IFERROR(__xludf.DUMMYFUNCTION("""COMPUTED_VALUE"""),"Whos Wrecking")</f>
        <v>Whos Wrecking</v>
      </c>
    </row>
    <row r="4823">
      <c r="A4823" s="41" t="str">
        <f>IFERROR(__xludf.DUMMYFUNCTION("""COMPUTED_VALUE"""),"RSC004838")</f>
        <v>RSC004838</v>
      </c>
      <c r="B4823" s="41" t="str">
        <f>IFERROR(__xludf.DUMMYFUNCTION("""COMPUTED_VALUE"""),"Frizzara")</f>
        <v>Frizzara</v>
      </c>
    </row>
    <row r="4824">
      <c r="A4824" s="41" t="str">
        <f>IFERROR(__xludf.DUMMYFUNCTION("""COMPUTED_VALUE"""),"RSC004839")</f>
        <v>RSC004839</v>
      </c>
      <c r="B4824" s="41" t="str">
        <f>IFERROR(__xludf.DUMMYFUNCTION("""COMPUTED_VALUE"""),"YGMann")</f>
        <v>YGMann</v>
      </c>
    </row>
    <row r="4825">
      <c r="A4825" s="41" t="str">
        <f>IFERROR(__xludf.DUMMYFUNCTION("""COMPUTED_VALUE"""),"RSC004840")</f>
        <v>RSC004840</v>
      </c>
      <c r="B4825" s="41" t="str">
        <f>IFERROR(__xludf.DUMMYFUNCTION("""COMPUTED_VALUE"""),"obay jack6185")</f>
        <v>obay jack6185</v>
      </c>
    </row>
    <row r="4826">
      <c r="A4826" s="41" t="str">
        <f>IFERROR(__xludf.DUMMYFUNCTION("""COMPUTED_VALUE"""),"RSC004841")</f>
        <v>RSC004841</v>
      </c>
      <c r="B4826" s="41" t="str">
        <f>IFERROR(__xludf.DUMMYFUNCTION("""COMPUTED_VALUE"""),"CPortSavage8309")</f>
        <v>CPortSavage8309</v>
      </c>
    </row>
    <row r="4827">
      <c r="A4827" s="41" t="str">
        <f>IFERROR(__xludf.DUMMYFUNCTION("""COMPUTED_VALUE"""),"RSC004842")</f>
        <v>RSC004842</v>
      </c>
      <c r="B4827" s="41" t="str">
        <f>IFERROR(__xludf.DUMMYFUNCTION("""COMPUTED_VALUE"""),"trano.")</f>
        <v>trano.</v>
      </c>
    </row>
    <row r="4828">
      <c r="A4828" s="41" t="str">
        <f>IFERROR(__xludf.DUMMYFUNCTION("""COMPUTED_VALUE"""),"RSC004843")</f>
        <v>RSC004843</v>
      </c>
      <c r="B4828" s="41" t="str">
        <f>IFERROR(__xludf.DUMMYFUNCTION("""COMPUTED_VALUE"""),"Colossal Beast")</f>
        <v>Colossal Beast</v>
      </c>
    </row>
    <row r="4829">
      <c r="A4829" s="41" t="str">
        <f>IFERROR(__xludf.DUMMYFUNCTION("""COMPUTED_VALUE"""),"RSC004844")</f>
        <v>RSC004844</v>
      </c>
      <c r="B4829" s="41" t="str">
        <f>IFERROR(__xludf.DUMMYFUNCTION("""COMPUTED_VALUE"""),"Calicat01")</f>
        <v>Calicat01</v>
      </c>
    </row>
    <row r="4830">
      <c r="A4830" s="41" t="str">
        <f>IFERROR(__xludf.DUMMYFUNCTION("""COMPUTED_VALUE"""),"RSC004845")</f>
        <v>RSC004845</v>
      </c>
      <c r="B4830" s="41" t="str">
        <f>IFERROR(__xludf.DUMMYFUNCTION("""COMPUTED_VALUE"""),"BinBoiz_")</f>
        <v>BinBoiz_</v>
      </c>
    </row>
    <row r="4831">
      <c r="A4831" s="41" t="str">
        <f>IFERROR(__xludf.DUMMYFUNCTION("""COMPUTED_VALUE"""),"RSC004846")</f>
        <v>RSC004846</v>
      </c>
      <c r="B4831" s="41" t="str">
        <f>IFERROR(__xludf.DUMMYFUNCTION("""COMPUTED_VALUE"""),"swsa")</f>
        <v>swsa</v>
      </c>
    </row>
    <row r="4832">
      <c r="A4832" s="41" t="str">
        <f>IFERROR(__xludf.DUMMYFUNCTION("""COMPUTED_VALUE"""),"RSC004847")</f>
        <v>RSC004847</v>
      </c>
      <c r="B4832" s="41" t="str">
        <f>IFERROR(__xludf.DUMMYFUNCTION("""COMPUTED_VALUE"""),"yoo657")</f>
        <v>yoo657</v>
      </c>
    </row>
    <row r="4833">
      <c r="A4833" s="41" t="str">
        <f>IFERROR(__xludf.DUMMYFUNCTION("""COMPUTED_VALUE"""),"RSC004848")</f>
        <v>RSC004848</v>
      </c>
      <c r="B4833" s="41" t="str">
        <f>IFERROR(__xludf.DUMMYFUNCTION("""COMPUTED_VALUE"""),"MattieSlayer")</f>
        <v>MattieSlayer</v>
      </c>
    </row>
    <row r="4834">
      <c r="A4834" s="41" t="str">
        <f>IFERROR(__xludf.DUMMYFUNCTION("""COMPUTED_VALUE"""),"RSC004849")</f>
        <v>RSC004849</v>
      </c>
      <c r="B4834" s="41" t="str">
        <f>IFERROR(__xludf.DUMMYFUNCTION("""COMPUTED_VALUE"""),"Aero")</f>
        <v>Aero</v>
      </c>
    </row>
    <row r="4835">
      <c r="A4835" s="41" t="str">
        <f>IFERROR(__xludf.DUMMYFUNCTION("""COMPUTED_VALUE"""),"RSC004850")</f>
        <v>RSC004850</v>
      </c>
      <c r="B4835" s="41" t="str">
        <f>IFERROR(__xludf.DUMMYFUNCTION("""COMPUTED_VALUE"""),"OnePopShop88")</f>
        <v>OnePopShop88</v>
      </c>
    </row>
    <row r="4836">
      <c r="A4836" s="41" t="str">
        <f>IFERROR(__xludf.DUMMYFUNCTION("""COMPUTED_VALUE"""),"RSC004851")</f>
        <v>RSC004851</v>
      </c>
      <c r="B4836" s="41" t="str">
        <f>IFERROR(__xludf.DUMMYFUNCTION("""COMPUTED_VALUE"""),"Magz IVI")</f>
        <v>Magz IVI</v>
      </c>
    </row>
    <row r="4837">
      <c r="A4837" s="41" t="str">
        <f>IFERROR(__xludf.DUMMYFUNCTION("""COMPUTED_VALUE"""),"RSC004852")</f>
        <v>RSC004852</v>
      </c>
      <c r="B4837" s="41" t="str">
        <f>IFERROR(__xludf.DUMMYFUNCTION("""COMPUTED_VALUE"""),"SFA_Rhino")</f>
        <v>SFA_Rhino</v>
      </c>
    </row>
    <row r="4838">
      <c r="A4838" s="41" t="str">
        <f>IFERROR(__xludf.DUMMYFUNCTION("""COMPUTED_VALUE"""),"RSC004853")</f>
        <v>RSC004853</v>
      </c>
      <c r="B4838" s="41" t="str">
        <f>IFERROR(__xludf.DUMMYFUNCTION("""COMPUTED_VALUE"""),"joshua")</f>
        <v>joshua</v>
      </c>
    </row>
    <row r="4839">
      <c r="A4839" s="41" t="str">
        <f>IFERROR(__xludf.DUMMYFUNCTION("""COMPUTED_VALUE"""),"RSC004854")</f>
        <v>RSC004854</v>
      </c>
      <c r="B4839" s="41" t="str">
        <f>IFERROR(__xludf.DUMMYFUNCTION("""COMPUTED_VALUE"""),"Spliffy Puffins")</f>
        <v>Spliffy Puffins</v>
      </c>
    </row>
    <row r="4840">
      <c r="A4840" s="41" t="str">
        <f>IFERROR(__xludf.DUMMYFUNCTION("""COMPUTED_VALUE"""),"RSC004855")</f>
        <v>RSC004855</v>
      </c>
      <c r="B4840" s="41" t="str">
        <f>IFERROR(__xludf.DUMMYFUNCTION("""COMPUTED_VALUE"""),"seven")</f>
        <v>seven</v>
      </c>
    </row>
    <row r="4841">
      <c r="A4841" s="41" t="str">
        <f>IFERROR(__xludf.DUMMYFUNCTION("""COMPUTED_VALUE"""),"RSC004856")</f>
        <v>RSC004856</v>
      </c>
      <c r="B4841" s="41" t="str">
        <f>IFERROR(__xludf.DUMMYFUNCTION("""COMPUTED_VALUE"""),"Redfire0817")</f>
        <v>Redfire0817</v>
      </c>
    </row>
    <row r="4842">
      <c r="A4842" s="41" t="str">
        <f>IFERROR(__xludf.DUMMYFUNCTION("""COMPUTED_VALUE"""),"RSC004857")</f>
        <v>RSC004857</v>
      </c>
      <c r="B4842" s="41" t="str">
        <f>IFERROR(__xludf.DUMMYFUNCTION("""COMPUTED_VALUE"""),"TTV_nova_ghostfy")</f>
        <v>TTV_nova_ghostfy</v>
      </c>
    </row>
    <row r="4843">
      <c r="A4843" s="41" t="str">
        <f>IFERROR(__xludf.DUMMYFUNCTION("""COMPUTED_VALUE"""),"RSC004858")</f>
        <v>RSC004858</v>
      </c>
      <c r="B4843" s="41" t="str">
        <f>IFERROR(__xludf.DUMMYFUNCTION("""COMPUTED_VALUE"""),"Meatrius")</f>
        <v>Meatrius</v>
      </c>
    </row>
    <row r="4844">
      <c r="A4844" s="41" t="str">
        <f>IFERROR(__xludf.DUMMYFUNCTION("""COMPUTED_VALUE"""),"RSC004859")</f>
        <v>RSC004859</v>
      </c>
      <c r="B4844" s="41" t="str">
        <f>IFERROR(__xludf.DUMMYFUNCTION("""COMPUTED_VALUE"""),"LowFadeEnthusiast")</f>
        <v>LowFadeEnthusiast</v>
      </c>
    </row>
    <row r="4845">
      <c r="A4845" s="41" t="str">
        <f>IFERROR(__xludf.DUMMYFUNCTION("""COMPUTED_VALUE"""),"RSC004860")</f>
        <v>RSC004860</v>
      </c>
      <c r="B4845" s="41" t="str">
        <f>IFERROR(__xludf.DUMMYFUNCTION("""COMPUTED_VALUE"""),"WARH3ADS")</f>
        <v>WARH3ADS</v>
      </c>
    </row>
    <row r="4846">
      <c r="A4846" s="41" t="str">
        <f>IFERROR(__xludf.DUMMYFUNCTION("""COMPUTED_VALUE"""),"RSC004861")</f>
        <v>RSC004861</v>
      </c>
      <c r="B4846" s="41" t="str">
        <f>IFERROR(__xludf.DUMMYFUNCTION("""COMPUTED_VALUE"""),"batsly")</f>
        <v>batsly</v>
      </c>
    </row>
    <row r="4847">
      <c r="A4847" s="41" t="str">
        <f>IFERROR(__xludf.DUMMYFUNCTION("""COMPUTED_VALUE"""),"RSC004862")</f>
        <v>RSC004862</v>
      </c>
      <c r="B4847" s="41" t="str">
        <f>IFERROR(__xludf.DUMMYFUNCTION("""COMPUTED_VALUE"""),"CrimzonSparrow")</f>
        <v>CrimzonSparrow</v>
      </c>
    </row>
    <row r="4848">
      <c r="A4848" s="41" t="str">
        <f>IFERROR(__xludf.DUMMYFUNCTION("""COMPUTED_VALUE"""),"RSC004863")</f>
        <v>RSC004863</v>
      </c>
      <c r="B4848" s="41" t="str">
        <f>IFERROR(__xludf.DUMMYFUNCTION("""COMPUTED_VALUE"""),"wicked")</f>
        <v>wicked</v>
      </c>
    </row>
    <row r="4849">
      <c r="A4849" s="41" t="str">
        <f>IFERROR(__xludf.DUMMYFUNCTION("""COMPUTED_VALUE"""),"RSC004864")</f>
        <v>RSC004864</v>
      </c>
      <c r="B4849" s="41" t="str">
        <f>IFERROR(__xludf.DUMMYFUNCTION("""COMPUTED_VALUE"""),"Bub")</f>
        <v>Bub</v>
      </c>
    </row>
    <row r="4850">
      <c r="A4850" s="41" t="str">
        <f>IFERROR(__xludf.DUMMYFUNCTION("""COMPUTED_VALUE"""),"RSC004865")</f>
        <v>RSC004865</v>
      </c>
      <c r="B4850" s="41" t="str">
        <f>IFERROR(__xludf.DUMMYFUNCTION("""COMPUTED_VALUE"""),"xXzEMBERzXx")</f>
        <v>xXzEMBERzXx</v>
      </c>
    </row>
    <row r="4851">
      <c r="A4851" s="41" t="str">
        <f>IFERROR(__xludf.DUMMYFUNCTION("""COMPUTED_VALUE"""),"RSC004866")</f>
        <v>RSC004866</v>
      </c>
      <c r="B4851" s="41" t="str">
        <f>IFERROR(__xludf.DUMMYFUNCTION("""COMPUTED_VALUE"""),"zl Mango lz")</f>
        <v>zl Mango lz</v>
      </c>
    </row>
    <row r="4852">
      <c r="A4852" s="41" t="str">
        <f>IFERROR(__xludf.DUMMYFUNCTION("""COMPUTED_VALUE"""),"RSC004867")</f>
        <v>RSC004867</v>
      </c>
      <c r="B4852" s="41" t="str">
        <f>IFERROR(__xludf.DUMMYFUNCTION("""COMPUTED_VALUE"""),"CAP")</f>
        <v>CAP</v>
      </c>
    </row>
    <row r="4853">
      <c r="A4853" s="41" t="str">
        <f>IFERROR(__xludf.DUMMYFUNCTION("""COMPUTED_VALUE"""),"RSC004868")</f>
        <v>RSC004868</v>
      </c>
      <c r="B4853" s="41" t="str">
        <f>IFERROR(__xludf.DUMMYFUNCTION("""COMPUTED_VALUE"""),"Faisallll")</f>
        <v>Faisallll</v>
      </c>
    </row>
    <row r="4854">
      <c r="A4854" s="41" t="str">
        <f>IFERROR(__xludf.DUMMYFUNCTION("""COMPUTED_VALUE"""),"RSC004869")</f>
        <v>RSC004869</v>
      </c>
      <c r="B4854" s="41" t="str">
        <f>IFERROR(__xludf.DUMMYFUNCTION("""COMPUTED_VALUE"""),"Bananner")</f>
        <v>Bananner</v>
      </c>
    </row>
    <row r="4855">
      <c r="A4855" s="41" t="str">
        <f>IFERROR(__xludf.DUMMYFUNCTION("""COMPUTED_VALUE"""),"RSC004870")</f>
        <v>RSC004870</v>
      </c>
      <c r="B4855" s="41" t="str">
        <f>IFERROR(__xludf.DUMMYFUNCTION("""COMPUTED_VALUE"""),"Rei")</f>
        <v>Rei</v>
      </c>
    </row>
    <row r="4856">
      <c r="A4856" s="41" t="str">
        <f>IFERROR(__xludf.DUMMYFUNCTION("""COMPUTED_VALUE"""),"RSC004871")</f>
        <v>RSC004871</v>
      </c>
      <c r="B4856" s="41" t="str">
        <f>IFERROR(__xludf.DUMMYFUNCTION("""COMPUTED_VALUE"""),"TMonz14")</f>
        <v>TMonz14</v>
      </c>
    </row>
    <row r="4857">
      <c r="A4857" s="41" t="str">
        <f>IFERROR(__xludf.DUMMYFUNCTION("""COMPUTED_VALUE"""),"RSC004872")</f>
        <v>RSC004872</v>
      </c>
      <c r="B4857" s="41" t="str">
        <f>IFERROR(__xludf.DUMMYFUNCTION("""COMPUTED_VALUE"""),"JustLaben")</f>
        <v>JustLaben</v>
      </c>
    </row>
    <row r="4858">
      <c r="A4858" s="41" t="str">
        <f>IFERROR(__xludf.DUMMYFUNCTION("""COMPUTED_VALUE"""),"RSC004873")</f>
        <v>RSC004873</v>
      </c>
      <c r="B4858" s="41" t="str">
        <f>IFERROR(__xludf.DUMMYFUNCTION("""COMPUTED_VALUE"""),"wolf")</f>
        <v>wolf</v>
      </c>
    </row>
    <row r="4859">
      <c r="A4859" s="41" t="str">
        <f>IFERROR(__xludf.DUMMYFUNCTION("""COMPUTED_VALUE"""),"RSC004874")</f>
        <v>RSC004874</v>
      </c>
      <c r="B4859" s="41" t="str">
        <f>IFERROR(__xludf.DUMMYFUNCTION("""COMPUTED_VALUE"""),"Krueger_02")</f>
        <v>Krueger_02</v>
      </c>
    </row>
    <row r="4860">
      <c r="A4860" s="41" t="str">
        <f>IFERROR(__xludf.DUMMYFUNCTION("""COMPUTED_VALUE"""),"RSC004875")</f>
        <v>RSC004875</v>
      </c>
      <c r="B4860" s="41" t="str">
        <f>IFERROR(__xludf.DUMMYFUNCTION("""COMPUTED_VALUE"""),"ProdiJoe")</f>
        <v>ProdiJoe</v>
      </c>
    </row>
    <row r="4861">
      <c r="A4861" s="41" t="str">
        <f>IFERROR(__xludf.DUMMYFUNCTION("""COMPUTED_VALUE"""),"RSC004876")</f>
        <v>RSC004876</v>
      </c>
      <c r="B4861" s="41" t="str">
        <f>IFERROR(__xludf.DUMMYFUNCTION("""COMPUTED_VALUE"""),"Powerof3")</f>
        <v>Powerof3</v>
      </c>
    </row>
    <row r="4862">
      <c r="A4862" s="41" t="str">
        <f>IFERROR(__xludf.DUMMYFUNCTION("""COMPUTED_VALUE"""),"RSC004877")</f>
        <v>RSC004877</v>
      </c>
      <c r="B4862" s="41" t="str">
        <f>IFERROR(__xludf.DUMMYFUNCTION("""COMPUTED_VALUE"""),"Tacooo")</f>
        <v>Tacooo</v>
      </c>
    </row>
    <row r="4863">
      <c r="A4863" s="41" t="str">
        <f>IFERROR(__xludf.DUMMYFUNCTION("""COMPUTED_VALUE"""),"RSC004878")</f>
        <v>RSC004878</v>
      </c>
      <c r="B4863" s="41" t="str">
        <f>IFERROR(__xludf.DUMMYFUNCTION("""COMPUTED_VALUE"""),"McRibsky")</f>
        <v>McRibsky</v>
      </c>
    </row>
    <row r="4864">
      <c r="A4864" s="41" t="str">
        <f>IFERROR(__xludf.DUMMYFUNCTION("""COMPUTED_VALUE"""),"RSC004879")</f>
        <v>RSC004879</v>
      </c>
      <c r="B4864" s="41" t="str">
        <f>IFERROR(__xludf.DUMMYFUNCTION("""COMPUTED_VALUE"""),"DefNotMongo.")</f>
        <v>DefNotMongo.</v>
      </c>
    </row>
    <row r="4865">
      <c r="A4865" s="41" t="str">
        <f>IFERROR(__xludf.DUMMYFUNCTION("""COMPUTED_VALUE"""),"RSC004880")</f>
        <v>RSC004880</v>
      </c>
      <c r="B4865" s="41" t="str">
        <f>IFERROR(__xludf.DUMMYFUNCTION("""COMPUTED_VALUE"""),"PerhapsRyan")</f>
        <v>PerhapsRyan</v>
      </c>
    </row>
    <row r="4866">
      <c r="A4866" s="41" t="str">
        <f>IFERROR(__xludf.DUMMYFUNCTION("""COMPUTED_VALUE"""),"RSC004881")</f>
        <v>RSC004881</v>
      </c>
      <c r="B4866" s="41" t="str">
        <f>IFERROR(__xludf.DUMMYFUNCTION("""COMPUTED_VALUE"""),"Fatal_Kam1kaze")</f>
        <v>Fatal_Kam1kaze</v>
      </c>
    </row>
    <row r="4867">
      <c r="A4867" s="41" t="str">
        <f>IFERROR(__xludf.DUMMYFUNCTION("""COMPUTED_VALUE"""),"RSC004882")</f>
        <v>RSC004882</v>
      </c>
      <c r="B4867" s="41" t="str">
        <f>IFERROR(__xludf.DUMMYFUNCTION("""COMPUTED_VALUE"""),"OldBuffalo626")</f>
        <v>OldBuffalo626</v>
      </c>
    </row>
    <row r="4868">
      <c r="A4868" s="41" t="str">
        <f>IFERROR(__xludf.DUMMYFUNCTION("""COMPUTED_VALUE"""),"RSC004883")</f>
        <v>RSC004883</v>
      </c>
      <c r="B4868" s="41" t="str">
        <f>IFERROR(__xludf.DUMMYFUNCTION("""COMPUTED_VALUE"""),"Justn*")</f>
        <v>Justn*</v>
      </c>
    </row>
    <row r="4869">
      <c r="A4869" s="41" t="str">
        <f>IFERROR(__xludf.DUMMYFUNCTION("""COMPUTED_VALUE"""),"RSC004884")</f>
        <v>RSC004884</v>
      </c>
      <c r="B4869" s="41" t="str">
        <f>IFERROR(__xludf.DUMMYFUNCTION("""COMPUTED_VALUE"""),"9JoZ. Ψ")</f>
        <v>9JoZ. Ψ</v>
      </c>
    </row>
    <row r="4870">
      <c r="A4870" s="41" t="str">
        <f>IFERROR(__xludf.DUMMYFUNCTION("""COMPUTED_VALUE"""),"RSC004885")</f>
        <v>RSC004885</v>
      </c>
      <c r="B4870" s="41" t="str">
        <f>IFERROR(__xludf.DUMMYFUNCTION("""COMPUTED_VALUE"""),"slowlow24")</f>
        <v>slowlow24</v>
      </c>
    </row>
    <row r="4871">
      <c r="A4871" s="41" t="str">
        <f>IFERROR(__xludf.DUMMYFUNCTION("""COMPUTED_VALUE"""),"RSC004886")</f>
        <v>RSC004886</v>
      </c>
      <c r="B4871" s="41" t="str">
        <f>IFERROR(__xludf.DUMMYFUNCTION("""COMPUTED_VALUE"""),"RealTouchy")</f>
        <v>RealTouchy</v>
      </c>
    </row>
    <row r="4872">
      <c r="A4872" s="41" t="str">
        <f>IFERROR(__xludf.DUMMYFUNCTION("""COMPUTED_VALUE"""),"RSC004887")</f>
        <v>RSC004887</v>
      </c>
      <c r="B4872" s="41" t="str">
        <f>IFERROR(__xludf.DUMMYFUNCTION("""COMPUTED_VALUE"""),"Laser")</f>
        <v>Laser</v>
      </c>
    </row>
    <row r="4873">
      <c r="A4873" s="41" t="str">
        <f>IFERROR(__xludf.DUMMYFUNCTION("""COMPUTED_VALUE"""),"RSC004888")</f>
        <v>RSC004888</v>
      </c>
      <c r="B4873" s="41" t="str">
        <f>IFERROR(__xludf.DUMMYFUNCTION("""COMPUTED_VALUE"""),"AgentAnime07")</f>
        <v>AgentAnime07</v>
      </c>
    </row>
    <row r="4874">
      <c r="A4874" s="41" t="str">
        <f>IFERROR(__xludf.DUMMYFUNCTION("""COMPUTED_VALUE"""),"RSC004889")</f>
        <v>RSC004889</v>
      </c>
      <c r="B4874" s="41" t="str">
        <f>IFERROR(__xludf.DUMMYFUNCTION("""COMPUTED_VALUE"""),"Steeltoehammer")</f>
        <v>Steeltoehammer</v>
      </c>
    </row>
    <row r="4875">
      <c r="A4875" s="41" t="str">
        <f>IFERROR(__xludf.DUMMYFUNCTION("""COMPUTED_VALUE"""),"RSC004890")</f>
        <v>RSC004890</v>
      </c>
      <c r="B4875" s="41" t="str">
        <f>IFERROR(__xludf.DUMMYFUNCTION("""COMPUTED_VALUE"""),"kamikaze7200")</f>
        <v>kamikaze7200</v>
      </c>
    </row>
    <row r="4876">
      <c r="A4876" s="41" t="str">
        <f>IFERROR(__xludf.DUMMYFUNCTION("""COMPUTED_VALUE"""),"RSC004891")</f>
        <v>RSC004891</v>
      </c>
      <c r="B4876" s="41" t="str">
        <f>IFERROR(__xludf.DUMMYFUNCTION("""COMPUTED_VALUE"""),"madamQT")</f>
        <v>madamQT</v>
      </c>
    </row>
    <row r="4877">
      <c r="A4877" s="41" t="str">
        <f>IFERROR(__xludf.DUMMYFUNCTION("""COMPUTED_VALUE"""),"RSC004892")</f>
        <v>RSC004892</v>
      </c>
      <c r="B4877" s="41" t="str">
        <f>IFERROR(__xludf.DUMMYFUNCTION("""COMPUTED_VALUE"""),"Ziiah")</f>
        <v>Ziiah</v>
      </c>
    </row>
    <row r="4878">
      <c r="A4878" s="41" t="str">
        <f>IFERROR(__xludf.DUMMYFUNCTION("""COMPUTED_VALUE"""),"RSC004893")</f>
        <v>RSC004893</v>
      </c>
      <c r="B4878" s="41" t="str">
        <f>IFERROR(__xludf.DUMMYFUNCTION("""COMPUTED_VALUE"""),"Sadity")</f>
        <v>Sadity</v>
      </c>
    </row>
    <row r="4879">
      <c r="A4879" s="41" t="str">
        <f>IFERROR(__xludf.DUMMYFUNCTION("""COMPUTED_VALUE"""),"RSC004894")</f>
        <v>RSC004894</v>
      </c>
      <c r="B4879" s="41" t="str">
        <f>IFERROR(__xludf.DUMMYFUNCTION("""COMPUTED_VALUE"""),"Kidfluffy")</f>
        <v>Kidfluffy</v>
      </c>
    </row>
    <row r="4880">
      <c r="A4880" s="41" t="str">
        <f>IFERROR(__xludf.DUMMYFUNCTION("""COMPUTED_VALUE"""),"RSC004895")</f>
        <v>RSC004895</v>
      </c>
      <c r="B4880" s="41" t="str">
        <f>IFERROR(__xludf.DUMMYFUNCTION("""COMPUTED_VALUE"""),"Tydeey")</f>
        <v>Tydeey</v>
      </c>
    </row>
    <row r="4881">
      <c r="A4881" s="41" t="str">
        <f>IFERROR(__xludf.DUMMYFUNCTION("""COMPUTED_VALUE"""),"RSC004896")</f>
        <v>RSC004896</v>
      </c>
      <c r="B4881" s="41" t="str">
        <f>IFERROR(__xludf.DUMMYFUNCTION("""COMPUTED_VALUE"""),"Khev_")</f>
        <v>Khev_</v>
      </c>
    </row>
    <row r="4882">
      <c r="A4882" s="41" t="str">
        <f>IFERROR(__xludf.DUMMYFUNCTION("""COMPUTED_VALUE"""),"RSC004897")</f>
        <v>RSC004897</v>
      </c>
      <c r="B4882" s="41" t="str">
        <f>IFERROR(__xludf.DUMMYFUNCTION("""COMPUTED_VALUE"""),"Maj Throwdown")</f>
        <v>Maj Throwdown</v>
      </c>
    </row>
    <row r="4883">
      <c r="A4883" s="41" t="str">
        <f>IFERROR(__xludf.DUMMYFUNCTION("""COMPUTED_VALUE"""),"RSC004898")</f>
        <v>RSC004898</v>
      </c>
      <c r="B4883" s="41" t="str">
        <f>IFERROR(__xludf.DUMMYFUNCTION("""COMPUTED_VALUE"""),"uh steve")</f>
        <v>uh steve</v>
      </c>
    </row>
    <row r="4884">
      <c r="A4884" s="41" t="str">
        <f>IFERROR(__xludf.DUMMYFUNCTION("""COMPUTED_VALUE"""),"RSC004899")</f>
        <v>RSC004899</v>
      </c>
      <c r="B4884" s="41" t="str">
        <f>IFERROR(__xludf.DUMMYFUNCTION("""COMPUTED_VALUE"""),"Kirby")</f>
        <v>Kirby</v>
      </c>
    </row>
    <row r="4885">
      <c r="A4885" s="41" t="str">
        <f>IFERROR(__xludf.DUMMYFUNCTION("""COMPUTED_VALUE"""),"RSC004900")</f>
        <v>RSC004900</v>
      </c>
      <c r="B4885" s="41" t="str">
        <f>IFERROR(__xludf.DUMMYFUNCTION("""COMPUTED_VALUE"""),"Jordon1377")</f>
        <v>Jordon1377</v>
      </c>
    </row>
    <row r="4886">
      <c r="A4886" s="41" t="str">
        <f>IFERROR(__xludf.DUMMYFUNCTION("""COMPUTED_VALUE"""),"RSC004901")</f>
        <v>RSC004901</v>
      </c>
      <c r="B4886" s="41" t="str">
        <f>IFERROR(__xludf.DUMMYFUNCTION("""COMPUTED_VALUE"""),"Dofri9976")</f>
        <v>Dofri9976</v>
      </c>
    </row>
    <row r="4887">
      <c r="A4887" s="41" t="str">
        <f>IFERROR(__xludf.DUMMYFUNCTION("""COMPUTED_VALUE"""),"RSC004902")</f>
        <v>RSC004902</v>
      </c>
      <c r="B4887" s="41" t="str">
        <f>IFERROR(__xludf.DUMMYFUNCTION("""COMPUTED_VALUE"""),"cuse42")</f>
        <v>cuse42</v>
      </c>
    </row>
    <row r="4888">
      <c r="A4888" s="41" t="str">
        <f>IFERROR(__xludf.DUMMYFUNCTION("""COMPUTED_VALUE"""),"RSC004903")</f>
        <v>RSC004903</v>
      </c>
      <c r="B4888" s="41" t="str">
        <f>IFERROR(__xludf.DUMMYFUNCTION("""COMPUTED_VALUE"""),"DJSkye1990")</f>
        <v>DJSkye1990</v>
      </c>
    </row>
    <row r="4889">
      <c r="A4889" s="41" t="str">
        <f>IFERROR(__xludf.DUMMYFUNCTION("""COMPUTED_VALUE"""),"RSC004904")</f>
        <v>RSC004904</v>
      </c>
      <c r="B4889" s="41" t="str">
        <f>IFERROR(__xludf.DUMMYFUNCTION("""COMPUTED_VALUE"""),"Capricious")</f>
        <v>Capricious</v>
      </c>
    </row>
    <row r="4890">
      <c r="A4890" s="41" t="str">
        <f>IFERROR(__xludf.DUMMYFUNCTION("""COMPUTED_VALUE"""),"RSC004905")</f>
        <v>RSC004905</v>
      </c>
      <c r="B4890" s="41" t="str">
        <f>IFERROR(__xludf.DUMMYFUNCTION("""COMPUTED_VALUE"""),"Knuckle")</f>
        <v>Knuckle</v>
      </c>
    </row>
    <row r="4891">
      <c r="A4891" s="41" t="str">
        <f>IFERROR(__xludf.DUMMYFUNCTION("""COMPUTED_VALUE"""),"RSC004906")</f>
        <v>RSC004906</v>
      </c>
      <c r="B4891" s="41" t="str">
        <f>IFERROR(__xludf.DUMMYFUNCTION("""COMPUTED_VALUE"""),"Jhey")</f>
        <v>Jhey</v>
      </c>
    </row>
    <row r="4892">
      <c r="A4892" s="41" t="str">
        <f>IFERROR(__xludf.DUMMYFUNCTION("""COMPUTED_VALUE"""),"RSC004907")</f>
        <v>RSC004907</v>
      </c>
      <c r="B4892" s="41" t="str">
        <f>IFERROR(__xludf.DUMMYFUNCTION("""COMPUTED_VALUE"""),"GoldenKiwi.")</f>
        <v>GoldenKiwi.</v>
      </c>
    </row>
    <row r="4893">
      <c r="A4893" s="41" t="str">
        <f>IFERROR(__xludf.DUMMYFUNCTION("""COMPUTED_VALUE"""),"RSC004908")</f>
        <v>RSC004908</v>
      </c>
      <c r="B4893" s="41" t="str">
        <f>IFERROR(__xludf.DUMMYFUNCTION("""COMPUTED_VALUE"""),"Tyler")</f>
        <v>Tyler</v>
      </c>
    </row>
    <row r="4894">
      <c r="A4894" s="41" t="str">
        <f>IFERROR(__xludf.DUMMYFUNCTION("""COMPUTED_VALUE"""),"RSC004909")</f>
        <v>RSC004909</v>
      </c>
      <c r="B4894" s="41" t="str">
        <f>IFERROR(__xludf.DUMMYFUNCTION("""COMPUTED_VALUE"""),"Dsife")</f>
        <v>Dsife</v>
      </c>
    </row>
    <row r="4895">
      <c r="A4895" s="41" t="str">
        <f>IFERROR(__xludf.DUMMYFUNCTION("""COMPUTED_VALUE"""),"RSC004910")</f>
        <v>RSC004910</v>
      </c>
      <c r="B4895" s="41" t="str">
        <f>IFERROR(__xludf.DUMMYFUNCTION("""COMPUTED_VALUE"""),"Seefoo")</f>
        <v>Seefoo</v>
      </c>
    </row>
    <row r="4896">
      <c r="A4896" s="41" t="str">
        <f>IFERROR(__xludf.DUMMYFUNCTION("""COMPUTED_VALUE"""),"RSC004911")</f>
        <v>RSC004911</v>
      </c>
      <c r="B4896" s="41" t="str">
        <f>IFERROR(__xludf.DUMMYFUNCTION("""COMPUTED_VALUE"""),"Khamul")</f>
        <v>Khamul</v>
      </c>
    </row>
    <row r="4897">
      <c r="A4897" s="41" t="str">
        <f>IFERROR(__xludf.DUMMYFUNCTION("""COMPUTED_VALUE"""),"RSC004912")</f>
        <v>RSC004912</v>
      </c>
      <c r="B4897" s="41" t="str">
        <f>IFERROR(__xludf.DUMMYFUNCTION("""COMPUTED_VALUE"""),"Mopeyrl")</f>
        <v>Mopeyrl</v>
      </c>
    </row>
    <row r="4898">
      <c r="A4898" s="41" t="str">
        <f>IFERROR(__xludf.DUMMYFUNCTION("""COMPUTED_VALUE"""),"RSC004913")</f>
        <v>RSC004913</v>
      </c>
      <c r="B4898" s="41" t="str">
        <f>IFERROR(__xludf.DUMMYFUNCTION("""COMPUTED_VALUE"""),"p1zzly")</f>
        <v>p1zzly</v>
      </c>
    </row>
    <row r="4899">
      <c r="A4899" s="41" t="str">
        <f>IFERROR(__xludf.DUMMYFUNCTION("""COMPUTED_VALUE"""),"RSC004914")</f>
        <v>RSC004914</v>
      </c>
      <c r="B4899" s="41" t="str">
        <f>IFERROR(__xludf.DUMMYFUNCTION("""COMPUTED_VALUE"""),"Hams")</f>
        <v>Hams</v>
      </c>
    </row>
    <row r="4900">
      <c r="A4900" s="41" t="str">
        <f>IFERROR(__xludf.DUMMYFUNCTION("""COMPUTED_VALUE"""),"RSC004915")</f>
        <v>RSC004915</v>
      </c>
      <c r="B4900" s="41" t="str">
        <f>IFERROR(__xludf.DUMMYFUNCTION("""COMPUTED_VALUE"""),"Deloax")</f>
        <v>Deloax</v>
      </c>
    </row>
    <row r="4901">
      <c r="A4901" s="41" t="str">
        <f>IFERROR(__xludf.DUMMYFUNCTION("""COMPUTED_VALUE"""),"RSC004916")</f>
        <v>RSC004916</v>
      </c>
      <c r="B4901" s="41" t="str">
        <f>IFERROR(__xludf.DUMMYFUNCTION("""COMPUTED_VALUE"""),"ItzGarou.")</f>
        <v>ItzGarou.</v>
      </c>
    </row>
    <row r="4902">
      <c r="A4902" s="41" t="str">
        <f>IFERROR(__xludf.DUMMYFUNCTION("""COMPUTED_VALUE"""),"RSC004917")</f>
        <v>RSC004917</v>
      </c>
      <c r="B4902" s="41" t="str">
        <f>IFERROR(__xludf.DUMMYFUNCTION("""COMPUTED_VALUE"""),"Nahzey")</f>
        <v>Nahzey</v>
      </c>
    </row>
    <row r="4903">
      <c r="A4903" s="41" t="str">
        <f>IFERROR(__xludf.DUMMYFUNCTION("""COMPUTED_VALUE"""),"RSC004918")</f>
        <v>RSC004918</v>
      </c>
      <c r="B4903" s="41" t="str">
        <f>IFERROR(__xludf.DUMMYFUNCTION("""COMPUTED_VALUE"""),"Nezitic †")</f>
        <v>Nezitic †</v>
      </c>
    </row>
    <row r="4904">
      <c r="A4904" s="41" t="str">
        <f>IFERROR(__xludf.DUMMYFUNCTION("""COMPUTED_VALUE"""),"RSC004919")</f>
        <v>RSC004919</v>
      </c>
      <c r="B4904" s="41" t="str">
        <f>IFERROR(__xludf.DUMMYFUNCTION("""COMPUTED_VALUE"""),"Ikigai")</f>
        <v>Ikigai</v>
      </c>
    </row>
    <row r="4905">
      <c r="A4905" s="41" t="str">
        <f>IFERROR(__xludf.DUMMYFUNCTION("""COMPUTED_VALUE"""),"RSC004920")</f>
        <v>RSC004920</v>
      </c>
      <c r="B4905" s="41" t="str">
        <f>IFERROR(__xludf.DUMMYFUNCTION("""COMPUTED_VALUE"""),"tibbles")</f>
        <v>tibbles</v>
      </c>
    </row>
    <row r="4906">
      <c r="A4906" s="41" t="str">
        <f>IFERROR(__xludf.DUMMYFUNCTION("""COMPUTED_VALUE"""),"RSC004921")</f>
        <v>RSC004921</v>
      </c>
      <c r="B4906" s="41" t="str">
        <f>IFERROR(__xludf.DUMMYFUNCTION("""COMPUTED_VALUE"""),"icyphic")</f>
        <v>icyphic</v>
      </c>
    </row>
    <row r="4907">
      <c r="A4907" s="41" t="str">
        <f>IFERROR(__xludf.DUMMYFUNCTION("""COMPUTED_VALUE"""),"RSC004922")</f>
        <v>RSC004922</v>
      </c>
      <c r="B4907" s="41" t="str">
        <f>IFERROR(__xludf.DUMMYFUNCTION("""COMPUTED_VALUE"""),"Suxze")</f>
        <v>Suxze</v>
      </c>
    </row>
    <row r="4908">
      <c r="A4908" s="41" t="str">
        <f>IFERROR(__xludf.DUMMYFUNCTION("""COMPUTED_VALUE"""),"RSC004923")</f>
        <v>RSC004923</v>
      </c>
      <c r="B4908" s="41" t="str">
        <f>IFERROR(__xludf.DUMMYFUNCTION("""COMPUTED_VALUE"""),"Monster.")</f>
        <v>Monster.</v>
      </c>
    </row>
    <row r="4909">
      <c r="A4909" s="41" t="str">
        <f>IFERROR(__xludf.DUMMYFUNCTION("""COMPUTED_VALUE"""),"RSC004924")</f>
        <v>RSC004924</v>
      </c>
      <c r="B4909" s="41" t="str">
        <f>IFERROR(__xludf.DUMMYFUNCTION("""COMPUTED_VALUE"""),"comet")</f>
        <v>comet</v>
      </c>
    </row>
    <row r="4910">
      <c r="A4910" s="41" t="str">
        <f>IFERROR(__xludf.DUMMYFUNCTION("""COMPUTED_VALUE"""),"RSC004925")</f>
        <v>RSC004925</v>
      </c>
      <c r="B4910" s="41" t="str">
        <f>IFERROR(__xludf.DUMMYFUNCTION("""COMPUTED_VALUE"""),"Riddle")</f>
        <v>Riddle</v>
      </c>
    </row>
    <row r="4911">
      <c r="A4911" s="41" t="str">
        <f>IFERROR(__xludf.DUMMYFUNCTION("""COMPUTED_VALUE"""),"RSC004926")</f>
        <v>RSC004926</v>
      </c>
      <c r="B4911" s="41" t="str">
        <f>IFERROR(__xludf.DUMMYFUNCTION("""COMPUTED_VALUE"""),"ElectriTaco")</f>
        <v>ElectriTaco</v>
      </c>
    </row>
    <row r="4912">
      <c r="A4912" s="41" t="str">
        <f>IFERROR(__xludf.DUMMYFUNCTION("""COMPUTED_VALUE"""),"RSC004927")</f>
        <v>RSC004927</v>
      </c>
      <c r="B4912" s="41" t="str">
        <f>IFERROR(__xludf.DUMMYFUNCTION("""COMPUTED_VALUE"""),"bobbiinn")</f>
        <v>bobbiinn</v>
      </c>
    </row>
    <row r="4913">
      <c r="A4913" s="41" t="str">
        <f>IFERROR(__xludf.DUMMYFUNCTION("""COMPUTED_VALUE"""),"RSC004928")</f>
        <v>RSC004928</v>
      </c>
      <c r="B4913" s="41" t="str">
        <f>IFERROR(__xludf.DUMMYFUNCTION("""COMPUTED_VALUE"""),"hakuu")</f>
        <v>hakuu</v>
      </c>
    </row>
    <row r="4914">
      <c r="A4914" s="41" t="str">
        <f>IFERROR(__xludf.DUMMYFUNCTION("""COMPUTED_VALUE"""),"RSC004929")</f>
        <v>RSC004929</v>
      </c>
      <c r="B4914" s="41" t="str">
        <f>IFERROR(__xludf.DUMMYFUNCTION("""COMPUTED_VALUE"""),"Bubbly16")</f>
        <v>Bubbly16</v>
      </c>
    </row>
    <row r="4915">
      <c r="A4915" s="41" t="str">
        <f>IFERROR(__xludf.DUMMYFUNCTION("""COMPUTED_VALUE"""),"RSC004930")</f>
        <v>RSC004930</v>
      </c>
      <c r="B4915" s="41" t="str">
        <f>IFERROR(__xludf.DUMMYFUNCTION("""COMPUTED_VALUE"""),"jebmond")</f>
        <v>jebmond</v>
      </c>
    </row>
    <row r="4916">
      <c r="A4916" s="41" t="str">
        <f>IFERROR(__xludf.DUMMYFUNCTION("""COMPUTED_VALUE"""),"RSC004931")</f>
        <v>RSC004931</v>
      </c>
      <c r="B4916" s="41" t="str">
        <f>IFERROR(__xludf.DUMMYFUNCTION("""COMPUTED_VALUE"""),"THE SUSSER")</f>
        <v>THE SUSSER</v>
      </c>
    </row>
    <row r="4917">
      <c r="A4917" s="41" t="str">
        <f>IFERROR(__xludf.DUMMYFUNCTION("""COMPUTED_VALUE"""),"RSC004932")</f>
        <v>RSC004932</v>
      </c>
      <c r="B4917" s="41" t="str">
        <f>IFERROR(__xludf.DUMMYFUNCTION("""COMPUTED_VALUE"""),"DampRaccoon444")</f>
        <v>DampRaccoon444</v>
      </c>
    </row>
    <row r="4918">
      <c r="A4918" s="41" t="str">
        <f>IFERROR(__xludf.DUMMYFUNCTION("""COMPUTED_VALUE"""),"RSC004933")</f>
        <v>RSC004933</v>
      </c>
      <c r="B4918" s="41" t="str">
        <f>IFERROR(__xludf.DUMMYFUNCTION("""COMPUTED_VALUE"""),"Drebin.")</f>
        <v>Drebin.</v>
      </c>
    </row>
    <row r="4919">
      <c r="A4919" s="41" t="str">
        <f>IFERROR(__xludf.DUMMYFUNCTION("""COMPUTED_VALUE"""),"RSC004934")</f>
        <v>RSC004934</v>
      </c>
      <c r="B4919" s="41" t="str">
        <f>IFERROR(__xludf.DUMMYFUNCTION("""COMPUTED_VALUE"""),"ZeroTwo")</f>
        <v>ZeroTwo</v>
      </c>
    </row>
    <row r="4920">
      <c r="A4920" s="41" t="str">
        <f>IFERROR(__xludf.DUMMYFUNCTION("""COMPUTED_VALUE"""),"RSC004935")</f>
        <v>RSC004935</v>
      </c>
      <c r="B4920" s="41" t="str">
        <f>IFERROR(__xludf.DUMMYFUNCTION("""COMPUTED_VALUE"""),"SomebodyDoSometh")</f>
        <v>SomebodyDoSometh</v>
      </c>
    </row>
    <row r="4921">
      <c r="A4921" s="41" t="str">
        <f>IFERROR(__xludf.DUMMYFUNCTION("""COMPUTED_VALUE"""),"RSC004936")</f>
        <v>RSC004936</v>
      </c>
      <c r="B4921" s="41" t="str">
        <f>IFERROR(__xludf.DUMMYFUNCTION("""COMPUTED_VALUE"""),"Its muffinzy")</f>
        <v>Its muffinzy</v>
      </c>
    </row>
    <row r="4922">
      <c r="A4922" s="41" t="str">
        <f>IFERROR(__xludf.DUMMYFUNCTION("""COMPUTED_VALUE"""),"RSC004937")</f>
        <v>RSC004937</v>
      </c>
      <c r="B4922" s="41" t="str">
        <f>IFERROR(__xludf.DUMMYFUNCTION("""COMPUTED_VALUE"""),"The_Hogwired")</f>
        <v>The_Hogwired</v>
      </c>
    </row>
    <row r="4923">
      <c r="A4923" s="41" t="str">
        <f>IFERROR(__xludf.DUMMYFUNCTION("""COMPUTED_VALUE"""),"RSC004938")</f>
        <v>RSC004938</v>
      </c>
      <c r="B4923" s="41" t="str">
        <f>IFERROR(__xludf.DUMMYFUNCTION("""COMPUTED_VALUE"""),"cassini")</f>
        <v>cassini</v>
      </c>
    </row>
    <row r="4924">
      <c r="A4924" s="41" t="str">
        <f>IFERROR(__xludf.DUMMYFUNCTION("""COMPUTED_VALUE"""),"RSC004939")</f>
        <v>RSC004939</v>
      </c>
      <c r="B4924" s="41" t="str">
        <f>IFERROR(__xludf.DUMMYFUNCTION("""COMPUTED_VALUE"""),"Jdoyle15")</f>
        <v>Jdoyle15</v>
      </c>
    </row>
    <row r="4925">
      <c r="A4925" s="41" t="str">
        <f>IFERROR(__xludf.DUMMYFUNCTION("""COMPUTED_VALUE"""),"RSC004940")</f>
        <v>RSC004940</v>
      </c>
      <c r="B4925" s="41" t="str">
        <f>IFERROR(__xludf.DUMMYFUNCTION("""COMPUTED_VALUE"""),"sand D")</f>
        <v>sand D</v>
      </c>
    </row>
    <row r="4926">
      <c r="A4926" s="41" t="str">
        <f>IFERROR(__xludf.DUMMYFUNCTION("""COMPUTED_VALUE"""),"RSC004941")</f>
        <v>RSC004941</v>
      </c>
      <c r="B4926" s="41" t="str">
        <f>IFERROR(__xludf.DUMMYFUNCTION("""COMPUTED_VALUE"""),"Germint")</f>
        <v>Germint</v>
      </c>
    </row>
    <row r="4927">
      <c r="A4927" s="41" t="str">
        <f>IFERROR(__xludf.DUMMYFUNCTION("""COMPUTED_VALUE"""),"RSC004942")</f>
        <v>RSC004942</v>
      </c>
      <c r="B4927" s="41" t="str">
        <f>IFERROR(__xludf.DUMMYFUNCTION("""COMPUTED_VALUE"""),"mattbenvegnu")</f>
        <v>mattbenvegnu</v>
      </c>
    </row>
    <row r="4928">
      <c r="A4928" s="41" t="str">
        <f>IFERROR(__xludf.DUMMYFUNCTION("""COMPUTED_VALUE"""),"RSC004943")</f>
        <v>RSC004943</v>
      </c>
      <c r="B4928" s="41" t="str">
        <f>IFERROR(__xludf.DUMMYFUNCTION("""COMPUTED_VALUE"""),"FPSFramerate")</f>
        <v>FPSFramerate</v>
      </c>
    </row>
    <row r="4929">
      <c r="A4929" s="41" t="str">
        <f>IFERROR(__xludf.DUMMYFUNCTION("""COMPUTED_VALUE"""),"RSC004944")</f>
        <v>RSC004944</v>
      </c>
      <c r="B4929" s="41" t="str">
        <f>IFERROR(__xludf.DUMMYFUNCTION("""COMPUTED_VALUE"""),"Tman-_919")</f>
        <v>Tman-_919</v>
      </c>
    </row>
    <row r="4930">
      <c r="A4930" s="41" t="str">
        <f>IFERROR(__xludf.DUMMYFUNCTION("""COMPUTED_VALUE"""),"RSC004945")</f>
        <v>RSC004945</v>
      </c>
      <c r="B4930" s="41" t="str">
        <f>IFERROR(__xludf.DUMMYFUNCTION("""COMPUTED_VALUE"""),"Frank.")</f>
        <v>Frank.</v>
      </c>
    </row>
    <row r="4931">
      <c r="A4931" s="41" t="str">
        <f>IFERROR(__xludf.DUMMYFUNCTION("""COMPUTED_VALUE"""),"RSC004946")</f>
        <v>RSC004946</v>
      </c>
      <c r="B4931" s="41" t="str">
        <f>IFERROR(__xludf.DUMMYFUNCTION("""COMPUTED_VALUE"""),"Dupra")</f>
        <v>Dupra</v>
      </c>
    </row>
    <row r="4932">
      <c r="A4932" s="41" t="str">
        <f>IFERROR(__xludf.DUMMYFUNCTION("""COMPUTED_VALUE"""),"RSC004947")</f>
        <v>RSC004947</v>
      </c>
      <c r="B4932" s="41" t="str">
        <f>IFERROR(__xludf.DUMMYFUNCTION("""COMPUTED_VALUE"""),"blankenb0at")</f>
        <v>blankenb0at</v>
      </c>
    </row>
    <row r="4933">
      <c r="A4933" s="41" t="str">
        <f>IFERROR(__xludf.DUMMYFUNCTION("""COMPUTED_VALUE"""),"RSC004948")</f>
        <v>RSC004948</v>
      </c>
      <c r="B4933" s="41" t="str">
        <f>IFERROR(__xludf.DUMMYFUNCTION("""COMPUTED_VALUE"""),"messi yoshi")</f>
        <v>messi yoshi</v>
      </c>
    </row>
    <row r="4934">
      <c r="A4934" s="41" t="str">
        <f>IFERROR(__xludf.DUMMYFUNCTION("""COMPUTED_VALUE"""),"RSC004949")</f>
        <v>RSC004949</v>
      </c>
      <c r="B4934" s="41" t="str">
        <f>IFERROR(__xludf.DUMMYFUNCTION("""COMPUTED_VALUE"""),"WRIITZY")</f>
        <v>WRIITZY</v>
      </c>
    </row>
    <row r="4935">
      <c r="A4935" s="41" t="str">
        <f>IFERROR(__xludf.DUMMYFUNCTION("""COMPUTED_VALUE"""),"RSC004950")</f>
        <v>RSC004950</v>
      </c>
      <c r="B4935" s="41" t="str">
        <f>IFERROR(__xludf.DUMMYFUNCTION("""COMPUTED_VALUE"""),"TheRedValkGaming")</f>
        <v>TheRedValkGaming</v>
      </c>
    </row>
    <row r="4936">
      <c r="A4936" s="41" t="str">
        <f>IFERROR(__xludf.DUMMYFUNCTION("""COMPUTED_VALUE"""),"RSC004951")</f>
        <v>RSC004951</v>
      </c>
      <c r="B4936" s="41" t="str">
        <f>IFERROR(__xludf.DUMMYFUNCTION("""COMPUTED_VALUE"""),"Jobiath")</f>
        <v>Jobiath</v>
      </c>
    </row>
    <row r="4937">
      <c r="A4937" s="41" t="str">
        <f>IFERROR(__xludf.DUMMYFUNCTION("""COMPUTED_VALUE"""),"RSC004952")</f>
        <v>RSC004952</v>
      </c>
      <c r="B4937" s="41" t="str">
        <f>IFERROR(__xludf.DUMMYFUNCTION("""COMPUTED_VALUE"""),"El_macho")</f>
        <v>El_macho</v>
      </c>
    </row>
    <row r="4938">
      <c r="A4938" s="41" t="str">
        <f>IFERROR(__xludf.DUMMYFUNCTION("""COMPUTED_VALUE"""),"RSC004953")</f>
        <v>RSC004953</v>
      </c>
      <c r="B4938" s="41" t="str">
        <f>IFERROR(__xludf.DUMMYFUNCTION("""COMPUTED_VALUE"""),"Kush_the_Ninja")</f>
        <v>Kush_the_Ninja</v>
      </c>
    </row>
    <row r="4939">
      <c r="A4939" s="41" t="str">
        <f>IFERROR(__xludf.DUMMYFUNCTION("""COMPUTED_VALUE"""),"RSC004954")</f>
        <v>RSC004954</v>
      </c>
      <c r="B4939" s="41" t="str">
        <f>IFERROR(__xludf.DUMMYFUNCTION("""COMPUTED_VALUE"""),"vCujo")</f>
        <v>vCujo</v>
      </c>
    </row>
    <row r="4940">
      <c r="A4940" s="41" t="str">
        <f>IFERROR(__xludf.DUMMYFUNCTION("""COMPUTED_VALUE"""),"RSC004955")</f>
        <v>RSC004955</v>
      </c>
      <c r="B4940" s="41" t="str">
        <f>IFERROR(__xludf.DUMMYFUNCTION("""COMPUTED_VALUE"""),"monkey fiki")</f>
        <v>monkey fiki</v>
      </c>
    </row>
    <row r="4941">
      <c r="A4941" s="41" t="str">
        <f>IFERROR(__xludf.DUMMYFUNCTION("""COMPUTED_VALUE"""),"RSC004956")</f>
        <v>RSC004956</v>
      </c>
      <c r="B4941" s="41" t="str">
        <f>IFERROR(__xludf.DUMMYFUNCTION("""COMPUTED_VALUE"""),"Beacon_Trill")</f>
        <v>Beacon_Trill</v>
      </c>
    </row>
    <row r="4942">
      <c r="A4942" s="41" t="str">
        <f>IFERROR(__xludf.DUMMYFUNCTION("""COMPUTED_VALUE"""),"RSC004957")</f>
        <v>RSC004957</v>
      </c>
      <c r="B4942" s="41" t="str">
        <f>IFERROR(__xludf.DUMMYFUNCTION("""COMPUTED_VALUE"""),"Mr. Shmexxy")</f>
        <v>Mr. Shmexxy</v>
      </c>
    </row>
    <row r="4943">
      <c r="A4943" s="41" t="str">
        <f>IFERROR(__xludf.DUMMYFUNCTION("""COMPUTED_VALUE"""),"RSC004958")</f>
        <v>RSC004958</v>
      </c>
      <c r="B4943" s="41" t="str">
        <f>IFERROR(__xludf.DUMMYFUNCTION("""COMPUTED_VALUE"""),"GaemrGoose")</f>
        <v>GaemrGoose</v>
      </c>
    </row>
    <row r="4944">
      <c r="A4944" s="41" t="str">
        <f>IFERROR(__xludf.DUMMYFUNCTION("""COMPUTED_VALUE"""),"RSC004959")</f>
        <v>RSC004959</v>
      </c>
      <c r="B4944" s="41" t="str">
        <f>IFERROR(__xludf.DUMMYFUNCTION("""COMPUTED_VALUE"""),"YeahBroJacob")</f>
        <v>YeahBroJacob</v>
      </c>
    </row>
    <row r="4945">
      <c r="A4945" s="41" t="str">
        <f>IFERROR(__xludf.DUMMYFUNCTION("""COMPUTED_VALUE"""),"RSC004960")</f>
        <v>RSC004960</v>
      </c>
      <c r="B4945" s="41" t="str">
        <f>IFERROR(__xludf.DUMMYFUNCTION("""COMPUTED_VALUE"""),"TheUFG")</f>
        <v>TheUFG</v>
      </c>
    </row>
    <row r="4946">
      <c r="A4946" s="41" t="str">
        <f>IFERROR(__xludf.DUMMYFUNCTION("""COMPUTED_VALUE"""),"RSC004961")</f>
        <v>RSC004961</v>
      </c>
      <c r="B4946" s="41" t="str">
        <f>IFERROR(__xludf.DUMMYFUNCTION("""COMPUTED_VALUE"""),"GrassMonkey941")</f>
        <v>GrassMonkey941</v>
      </c>
    </row>
    <row r="4947">
      <c r="A4947" s="41" t="str">
        <f>IFERROR(__xludf.DUMMYFUNCTION("""COMPUTED_VALUE"""),"RSC004962")</f>
        <v>RSC004962</v>
      </c>
      <c r="B4947" s="41" t="str">
        <f>IFERROR(__xludf.DUMMYFUNCTION("""COMPUTED_VALUE"""),"plaidboy33")</f>
        <v>plaidboy33</v>
      </c>
    </row>
    <row r="4948">
      <c r="A4948" s="41" t="str">
        <f>IFERROR(__xludf.DUMMYFUNCTION("""COMPUTED_VALUE"""),"RSC004963")</f>
        <v>RSC004963</v>
      </c>
      <c r="B4948" s="41" t="str">
        <f>IFERROR(__xludf.DUMMYFUNCTION("""COMPUTED_VALUE"""),"Snazzy_Noodle")</f>
        <v>Snazzy_Noodle</v>
      </c>
    </row>
    <row r="4949">
      <c r="A4949" s="41" t="str">
        <f>IFERROR(__xludf.DUMMYFUNCTION("""COMPUTED_VALUE"""),"RSC004964")</f>
        <v>RSC004964</v>
      </c>
      <c r="B4949" s="41" t="str">
        <f>IFERROR(__xludf.DUMMYFUNCTION("""COMPUTED_VALUE"""),"MickeyMouseTrap")</f>
        <v>MickeyMouseTrap</v>
      </c>
    </row>
    <row r="4950">
      <c r="A4950" s="41" t="str">
        <f>IFERROR(__xludf.DUMMYFUNCTION("""COMPUTED_VALUE"""),"RSC004965")</f>
        <v>RSC004965</v>
      </c>
      <c r="B4950" s="41" t="str">
        <f>IFERROR(__xludf.DUMMYFUNCTION("""COMPUTED_VALUE"""),"Zweiizy")</f>
        <v>Zweiizy</v>
      </c>
    </row>
    <row r="4951">
      <c r="A4951" s="41" t="str">
        <f>IFERROR(__xludf.DUMMYFUNCTION("""COMPUTED_VALUE"""),"RSC004966")</f>
        <v>RSC004966</v>
      </c>
      <c r="B4951" s="41" t="str">
        <f>IFERROR(__xludf.DUMMYFUNCTION("""COMPUTED_VALUE"""),"Buck")</f>
        <v>Buck</v>
      </c>
    </row>
    <row r="4952">
      <c r="A4952" s="41" t="str">
        <f>IFERROR(__xludf.DUMMYFUNCTION("""COMPUTED_VALUE"""),"RSC004967")</f>
        <v>RSC004967</v>
      </c>
      <c r="B4952" s="41" t="str">
        <f>IFERROR(__xludf.DUMMYFUNCTION("""COMPUTED_VALUE"""),"Lee-Lo")</f>
        <v>Lee-Lo</v>
      </c>
    </row>
    <row r="4953">
      <c r="A4953" s="41" t="str">
        <f>IFERROR(__xludf.DUMMYFUNCTION("""COMPUTED_VALUE"""),"RSC004968")</f>
        <v>RSC004968</v>
      </c>
      <c r="B4953" s="41" t="str">
        <f>IFERROR(__xludf.DUMMYFUNCTION("""COMPUTED_VALUE"""),"JDubzz.RL")</f>
        <v>JDubzz.RL</v>
      </c>
    </row>
    <row r="4954">
      <c r="A4954" s="41" t="str">
        <f>IFERROR(__xludf.DUMMYFUNCTION("""COMPUTED_VALUE"""),"RSC004969")</f>
        <v>RSC004969</v>
      </c>
      <c r="B4954" s="41" t="str">
        <f>IFERROR(__xludf.DUMMYFUNCTION("""COMPUTED_VALUE"""),"Ryo Yamamoto 2")</f>
        <v>Ryo Yamamoto 2</v>
      </c>
    </row>
    <row r="4955">
      <c r="A4955" s="41" t="str">
        <f>IFERROR(__xludf.DUMMYFUNCTION("""COMPUTED_VALUE"""),"RSC004970")</f>
        <v>RSC004970</v>
      </c>
      <c r="B4955" s="41" t="str">
        <f>IFERROR(__xludf.DUMMYFUNCTION("""COMPUTED_VALUE"""),"Tgunn05")</f>
        <v>Tgunn05</v>
      </c>
    </row>
    <row r="4956">
      <c r="A4956" s="41" t="str">
        <f>IFERROR(__xludf.DUMMYFUNCTION("""COMPUTED_VALUE"""),"RSC004971")</f>
        <v>RSC004971</v>
      </c>
      <c r="B4956" s="41" t="str">
        <f>IFERROR(__xludf.DUMMYFUNCTION("""COMPUTED_VALUE"""),"CentuaroTTV")</f>
        <v>CentuaroTTV</v>
      </c>
    </row>
    <row r="4957">
      <c r="A4957" s="41" t="str">
        <f>IFERROR(__xludf.DUMMYFUNCTION("""COMPUTED_VALUE"""),"RSC004972")</f>
        <v>RSC004972</v>
      </c>
      <c r="B4957" s="41" t="str">
        <f>IFERROR(__xludf.DUMMYFUNCTION("""COMPUTED_VALUE"""),"Buck_nut82")</f>
        <v>Buck_nut82</v>
      </c>
    </row>
    <row r="4958">
      <c r="A4958" s="41" t="str">
        <f>IFERROR(__xludf.DUMMYFUNCTION("""COMPUTED_VALUE"""),"RSC004973")</f>
        <v>RSC004973</v>
      </c>
      <c r="B4958" s="41" t="str">
        <f>IFERROR(__xludf.DUMMYFUNCTION("""COMPUTED_VALUE"""),"GrantM")</f>
        <v>GrantM</v>
      </c>
    </row>
    <row r="4959">
      <c r="A4959" s="41" t="str">
        <f>IFERROR(__xludf.DUMMYFUNCTION("""COMPUTED_VALUE"""),"RSC004974")</f>
        <v>RSC004974</v>
      </c>
      <c r="B4959" s="41" t="str">
        <f>IFERROR(__xludf.DUMMYFUNCTION("""COMPUTED_VALUE"""),"Acyke")</f>
        <v>Acyke</v>
      </c>
    </row>
    <row r="4960">
      <c r="A4960" s="41" t="str">
        <f>IFERROR(__xludf.DUMMYFUNCTION("""COMPUTED_VALUE"""),"RSC004975")</f>
        <v>RSC004975</v>
      </c>
      <c r="B4960" s="41" t="str">
        <f>IFERROR(__xludf.DUMMYFUNCTION("""COMPUTED_VALUE"""),"JoshhhWah")</f>
        <v>JoshhhWah</v>
      </c>
    </row>
    <row r="4961">
      <c r="A4961" s="41" t="str">
        <f>IFERROR(__xludf.DUMMYFUNCTION("""COMPUTED_VALUE"""),"RSC004976")</f>
        <v>RSC004976</v>
      </c>
      <c r="B4961" s="41" t="str">
        <f>IFERROR(__xludf.DUMMYFUNCTION("""COMPUTED_VALUE"""),"Behlor")</f>
        <v>Behlor</v>
      </c>
    </row>
    <row r="4962">
      <c r="A4962" s="41" t="str">
        <f>IFERROR(__xludf.DUMMYFUNCTION("""COMPUTED_VALUE"""),"RSC004977")</f>
        <v>RSC004977</v>
      </c>
      <c r="B4962" s="41" t="str">
        <f>IFERROR(__xludf.DUMMYFUNCTION("""COMPUTED_VALUE"""),"xSwanniG")</f>
        <v>xSwanniG</v>
      </c>
    </row>
    <row r="4963">
      <c r="A4963" s="41" t="str">
        <f>IFERROR(__xludf.DUMMYFUNCTION("""COMPUTED_VALUE"""),"RSC004978")</f>
        <v>RSC004978</v>
      </c>
      <c r="B4963" s="41" t="str">
        <f>IFERROR(__xludf.DUMMYFUNCTION("""COMPUTED_VALUE"""),"SquishyJelly")</f>
        <v>SquishyJelly</v>
      </c>
    </row>
    <row r="4964">
      <c r="A4964" s="41" t="str">
        <f>IFERROR(__xludf.DUMMYFUNCTION("""COMPUTED_VALUE"""),"RSC004979")</f>
        <v>RSC004979</v>
      </c>
      <c r="B4964" s="41" t="str">
        <f>IFERROR(__xludf.DUMMYFUNCTION("""COMPUTED_VALUE"""),"alontods")</f>
        <v>alontods</v>
      </c>
    </row>
    <row r="4965">
      <c r="A4965" s="41" t="str">
        <f>IFERROR(__xludf.DUMMYFUNCTION("""COMPUTED_VALUE"""),"RSC004980")</f>
        <v>RSC004980</v>
      </c>
      <c r="B4965" s="41" t="str">
        <f>IFERROR(__xludf.DUMMYFUNCTION("""COMPUTED_VALUE"""),"Katie")</f>
        <v>Katie</v>
      </c>
    </row>
    <row r="4966">
      <c r="A4966" s="41" t="str">
        <f>IFERROR(__xludf.DUMMYFUNCTION("""COMPUTED_VALUE"""),"RSC004981")</f>
        <v>RSC004981</v>
      </c>
      <c r="B4966" s="41" t="str">
        <f>IFERROR(__xludf.DUMMYFUNCTION("""COMPUTED_VALUE"""),"ItzzMMG")</f>
        <v>ItzzMMG</v>
      </c>
    </row>
    <row r="4967">
      <c r="A4967" s="41" t="str">
        <f>IFERROR(__xludf.DUMMYFUNCTION("""COMPUTED_VALUE"""),"RSC004982")</f>
        <v>RSC004982</v>
      </c>
      <c r="B4967" s="41" t="str">
        <f>IFERROR(__xludf.DUMMYFUNCTION("""COMPUTED_VALUE"""),"Loyboy2")</f>
        <v>Loyboy2</v>
      </c>
    </row>
    <row r="4968">
      <c r="A4968" s="41" t="str">
        <f>IFERROR(__xludf.DUMMYFUNCTION("""COMPUTED_VALUE"""),"RSC004983")</f>
        <v>RSC004983</v>
      </c>
      <c r="B4968" s="41" t="str">
        <f>IFERROR(__xludf.DUMMYFUNCTION("""COMPUTED_VALUE"""),"Place-Ment")</f>
        <v>Place-Ment</v>
      </c>
    </row>
    <row r="4969">
      <c r="A4969" s="41" t="str">
        <f>IFERROR(__xludf.DUMMYFUNCTION("""COMPUTED_VALUE"""),"RSC004984")</f>
        <v>RSC004984</v>
      </c>
      <c r="B4969" s="41" t="str">
        <f>IFERROR(__xludf.DUMMYFUNCTION("""COMPUTED_VALUE"""),"bry456")</f>
        <v>bry456</v>
      </c>
    </row>
    <row r="4970">
      <c r="A4970" s="41" t="str">
        <f>IFERROR(__xludf.DUMMYFUNCTION("""COMPUTED_VALUE"""),"RSC004985")</f>
        <v>RSC004985</v>
      </c>
      <c r="B4970" s="41" t="str">
        <f>IFERROR(__xludf.DUMMYFUNCTION("""COMPUTED_VALUE"""),"ㅤsoyㅤ")</f>
        <v>ㅤsoyㅤ</v>
      </c>
    </row>
    <row r="4971">
      <c r="A4971" s="41" t="str">
        <f>IFERROR(__xludf.DUMMYFUNCTION("""COMPUTED_VALUE"""),"RSC004986")</f>
        <v>RSC004986</v>
      </c>
      <c r="B4971" s="41" t="str">
        <f>IFERROR(__xludf.DUMMYFUNCTION("""COMPUTED_VALUE"""),"grimreaper022")</f>
        <v>grimreaper022</v>
      </c>
    </row>
    <row r="4972">
      <c r="A4972" s="41" t="str">
        <f>IFERROR(__xludf.DUMMYFUNCTION("""COMPUTED_VALUE"""),"RSC004987")</f>
        <v>RSC004987</v>
      </c>
      <c r="B4972" s="41" t="str">
        <f>IFERROR(__xludf.DUMMYFUNCTION("""COMPUTED_VALUE"""),"shane")</f>
        <v>shane</v>
      </c>
    </row>
    <row r="4973">
      <c r="A4973" s="41" t="str">
        <f>IFERROR(__xludf.DUMMYFUNCTION("""COMPUTED_VALUE"""),"RSC004988")</f>
        <v>RSC004988</v>
      </c>
      <c r="B4973" s="41" t="str">
        <f>IFERROR(__xludf.DUMMYFUNCTION("""COMPUTED_VALUE"""),"Doder")</f>
        <v>Doder</v>
      </c>
    </row>
    <row r="4974">
      <c r="A4974" s="41" t="str">
        <f>IFERROR(__xludf.DUMMYFUNCTION("""COMPUTED_VALUE"""),"RSC004989")</f>
        <v>RSC004989</v>
      </c>
      <c r="B4974" s="41" t="str">
        <f>IFERROR(__xludf.DUMMYFUNCTION("""COMPUTED_VALUE"""),"Drag.")</f>
        <v>Drag.</v>
      </c>
    </row>
    <row r="4975">
      <c r="A4975" s="41" t="str">
        <f>IFERROR(__xludf.DUMMYFUNCTION("""COMPUTED_VALUE"""),"RSC004990")</f>
        <v>RSC004990</v>
      </c>
      <c r="B4975" s="41" t="str">
        <f>IFERROR(__xludf.DUMMYFUNCTION("""COMPUTED_VALUE"""),"Legend")</f>
        <v>Legend</v>
      </c>
    </row>
    <row r="4976">
      <c r="A4976" s="41" t="str">
        <f>IFERROR(__xludf.DUMMYFUNCTION("""COMPUTED_VALUE"""),"RSC004991")</f>
        <v>RSC004991</v>
      </c>
      <c r="B4976" s="41" t="str">
        <f>IFERROR(__xludf.DUMMYFUNCTION("""COMPUTED_VALUE"""),"Raid")</f>
        <v>Raid</v>
      </c>
    </row>
    <row r="4977">
      <c r="A4977" s="41" t="str">
        <f>IFERROR(__xludf.DUMMYFUNCTION("""COMPUTED_VALUE"""),"RSC004992")</f>
        <v>RSC004992</v>
      </c>
      <c r="B4977" s="41" t="str">
        <f>IFERROR(__xludf.DUMMYFUNCTION("""COMPUTED_VALUE"""),"tellotubie")</f>
        <v>tellotubie</v>
      </c>
    </row>
    <row r="4978">
      <c r="A4978" s="41" t="str">
        <f>IFERROR(__xludf.DUMMYFUNCTION("""COMPUTED_VALUE"""),"RSC004993")</f>
        <v>RSC004993</v>
      </c>
      <c r="B4978" s="41" t="str">
        <f>IFERROR(__xludf.DUMMYFUNCTION("""COMPUTED_VALUE"""),"Summit670RL")</f>
        <v>Summit670RL</v>
      </c>
    </row>
    <row r="4979">
      <c r="A4979" s="41" t="str">
        <f>IFERROR(__xludf.DUMMYFUNCTION("""COMPUTED_VALUE"""),"RSC004994")</f>
        <v>RSC004994</v>
      </c>
      <c r="B4979" s="41" t="str">
        <f>IFERROR(__xludf.DUMMYFUNCTION("""COMPUTED_VALUE"""),"nutritiousduck16")</f>
        <v>nutritiousduck16</v>
      </c>
    </row>
    <row r="4980">
      <c r="A4980" s="41" t="str">
        <f>IFERROR(__xludf.DUMMYFUNCTION("""COMPUTED_VALUE"""),"RSC004995")</f>
        <v>RSC004995</v>
      </c>
      <c r="B4980" s="41" t="str">
        <f>IFERROR(__xludf.DUMMYFUNCTION("""COMPUTED_VALUE"""),"chubbychili")</f>
        <v>chubbychili</v>
      </c>
    </row>
    <row r="4981">
      <c r="A4981" s="41" t="str">
        <f>IFERROR(__xludf.DUMMYFUNCTION("""COMPUTED_VALUE"""),"RSC004996")</f>
        <v>RSC004996</v>
      </c>
      <c r="B4981" s="41" t="str">
        <f>IFERROR(__xludf.DUMMYFUNCTION("""COMPUTED_VALUE"""),"Twiggy")</f>
        <v>Twiggy</v>
      </c>
    </row>
    <row r="4982">
      <c r="A4982" s="41" t="str">
        <f>IFERROR(__xludf.DUMMYFUNCTION("""COMPUTED_VALUE"""),"RSC004997")</f>
        <v>RSC004997</v>
      </c>
      <c r="B4982" s="41" t="str">
        <f>IFERROR(__xludf.DUMMYFUNCTION("""COMPUTED_VALUE"""),"Evelynnx")</f>
        <v>Evelynnx</v>
      </c>
    </row>
    <row r="4983">
      <c r="A4983" s="41" t="str">
        <f>IFERROR(__xludf.DUMMYFUNCTION("""COMPUTED_VALUE"""),"RSC004998")</f>
        <v>RSC004998</v>
      </c>
      <c r="B4983" s="41" t="str">
        <f>IFERROR(__xludf.DUMMYFUNCTION("""COMPUTED_VALUE"""),"TonyMenji")</f>
        <v>TonyMenji</v>
      </c>
    </row>
    <row r="4984">
      <c r="A4984" s="41" t="str">
        <f>IFERROR(__xludf.DUMMYFUNCTION("""COMPUTED_VALUE"""),"RSC004999")</f>
        <v>RSC004999</v>
      </c>
      <c r="B4984" s="41" t="str">
        <f>IFERROR(__xludf.DUMMYFUNCTION("""COMPUTED_VALUE"""),"Daniel...")</f>
        <v>Daniel...</v>
      </c>
    </row>
    <row r="4985">
      <c r="A4985" s="41" t="str">
        <f>IFERROR(__xludf.DUMMYFUNCTION("""COMPUTED_VALUE"""),"RSC005000")</f>
        <v>RSC005000</v>
      </c>
      <c r="B4985" s="41" t="str">
        <f>IFERROR(__xludf.DUMMYFUNCTION("""COMPUTED_VALUE"""),"SirKrow")</f>
        <v>SirKrow</v>
      </c>
    </row>
    <row r="4986">
      <c r="A4986" s="41" t="str">
        <f>IFERROR(__xludf.DUMMYFUNCTION("""COMPUTED_VALUE"""),"RSC005001")</f>
        <v>RSC005001</v>
      </c>
      <c r="B4986" s="41" t="str">
        <f>IFERROR(__xludf.DUMMYFUNCTION("""COMPUTED_VALUE"""),"Marked Knight")</f>
        <v>Marked Knight</v>
      </c>
    </row>
    <row r="4987">
      <c r="A4987" s="41" t="str">
        <f>IFERROR(__xludf.DUMMYFUNCTION("""COMPUTED_VALUE"""),"RSC005002")</f>
        <v>RSC005002</v>
      </c>
      <c r="B4987" s="41" t="str">
        <f>IFERROR(__xludf.DUMMYFUNCTION("""COMPUTED_VALUE"""),"JSteals_")</f>
        <v>JSteals_</v>
      </c>
    </row>
    <row r="4988">
      <c r="A4988" s="41" t="str">
        <f>IFERROR(__xludf.DUMMYFUNCTION("""COMPUTED_VALUE"""),"RSC005003")</f>
        <v>RSC005003</v>
      </c>
      <c r="B4988" s="41" t="str">
        <f>IFERROR(__xludf.DUMMYFUNCTION("""COMPUTED_VALUE"""),"B1uzzer")</f>
        <v>B1uzzer</v>
      </c>
    </row>
    <row r="4989">
      <c r="A4989" s="41" t="str">
        <f>IFERROR(__xludf.DUMMYFUNCTION("""COMPUTED_VALUE"""),"RSC005004")</f>
        <v>RSC005004</v>
      </c>
      <c r="B4989" s="41" t="str">
        <f>IFERROR(__xludf.DUMMYFUNCTION("""COMPUTED_VALUE"""),"I ghos7 I")</f>
        <v>I ghos7 I</v>
      </c>
    </row>
    <row r="4990">
      <c r="A4990" s="41" t="str">
        <f>IFERROR(__xludf.DUMMYFUNCTION("""COMPUTED_VALUE"""),"RSC005005")</f>
        <v>RSC005005</v>
      </c>
      <c r="B4990" s="41" t="str">
        <f>IFERROR(__xludf.DUMMYFUNCTION("""COMPUTED_VALUE"""),"REP_ArraY")</f>
        <v>REP_ArraY</v>
      </c>
    </row>
    <row r="4991">
      <c r="A4991" s="41" t="str">
        <f>IFERROR(__xludf.DUMMYFUNCTION("""COMPUTED_VALUE"""),"RSC005006")</f>
        <v>RSC005006</v>
      </c>
      <c r="B4991" s="41" t="str">
        <f>IFERROR(__xludf.DUMMYFUNCTION("""COMPUTED_VALUE"""),"Kruncle Ron")</f>
        <v>Kruncle Ron</v>
      </c>
    </row>
    <row r="4992">
      <c r="A4992" s="41" t="str">
        <f>IFERROR(__xludf.DUMMYFUNCTION("""COMPUTED_VALUE"""),"RSC005007")</f>
        <v>RSC005007</v>
      </c>
      <c r="B4992" s="41" t="str">
        <f>IFERROR(__xludf.DUMMYFUNCTION("""COMPUTED_VALUE"""),"ObeyedMuffin")</f>
        <v>ObeyedMuffin</v>
      </c>
    </row>
    <row r="4993">
      <c r="A4993" s="41" t="str">
        <f>IFERROR(__xludf.DUMMYFUNCTION("""COMPUTED_VALUE"""),"RSC005008")</f>
        <v>RSC005008</v>
      </c>
      <c r="B4993" s="41" t="str">
        <f>IFERROR(__xludf.DUMMYFUNCTION("""COMPUTED_VALUE"""),"W0NDER")</f>
        <v>W0NDER</v>
      </c>
    </row>
    <row r="4994">
      <c r="A4994" s="41" t="str">
        <f>IFERROR(__xludf.DUMMYFUNCTION("""COMPUTED_VALUE"""),"RSC005009")</f>
        <v>RSC005009</v>
      </c>
      <c r="B4994" s="41" t="str">
        <f>IFERROR(__xludf.DUMMYFUNCTION("""COMPUTED_VALUE"""),"Qeetz")</f>
        <v>Qeetz</v>
      </c>
    </row>
    <row r="4995">
      <c r="A4995" s="41" t="str">
        <f>IFERROR(__xludf.DUMMYFUNCTION("""COMPUTED_VALUE"""),"RSC005010")</f>
        <v>RSC005010</v>
      </c>
      <c r="B4995" s="41" t="str">
        <f>IFERROR(__xludf.DUMMYFUNCTION("""COMPUTED_VALUE"""),"UcG EastCoastGhost")</f>
        <v>UcG EastCoastGhost</v>
      </c>
    </row>
    <row r="4996">
      <c r="A4996" s="41" t="str">
        <f>IFERROR(__xludf.DUMMYFUNCTION("""COMPUTED_VALUE"""),"RSC005011")</f>
        <v>RSC005011</v>
      </c>
      <c r="B4996" s="41" t="str">
        <f>IFERROR(__xludf.DUMMYFUNCTION("""COMPUTED_VALUE"""),"Sinthesized_")</f>
        <v>Sinthesized_</v>
      </c>
    </row>
    <row r="4997">
      <c r="A4997" s="41" t="str">
        <f>IFERROR(__xludf.DUMMYFUNCTION("""COMPUTED_VALUE"""),"RSC005012")</f>
        <v>RSC005012</v>
      </c>
      <c r="B4997" s="41" t="str">
        <f>IFERROR(__xludf.DUMMYFUNCTION("""COMPUTED_VALUE"""),"jaheemZN7")</f>
        <v>jaheemZN7</v>
      </c>
    </row>
    <row r="4998">
      <c r="A4998" s="41" t="str">
        <f>IFERROR(__xludf.DUMMYFUNCTION("""COMPUTED_VALUE"""),"RSC005013")</f>
        <v>RSC005013</v>
      </c>
      <c r="B4998" s="41" t="str">
        <f>IFERROR(__xludf.DUMMYFUNCTION("""COMPUTED_VALUE"""),"Torment43")</f>
        <v>Torment43</v>
      </c>
    </row>
    <row r="4999">
      <c r="A4999" s="41" t="str">
        <f>IFERROR(__xludf.DUMMYFUNCTION("""COMPUTED_VALUE"""),"RSC005014")</f>
        <v>RSC005014</v>
      </c>
      <c r="B4999" s="41" t="str">
        <f>IFERROR(__xludf.DUMMYFUNCTION("""COMPUTED_VALUE"""),"SEWER SHARK")</f>
        <v>SEWER SHARK</v>
      </c>
    </row>
    <row r="5000">
      <c r="A5000" s="41" t="str">
        <f>IFERROR(__xludf.DUMMYFUNCTION("""COMPUTED_VALUE"""),"RSC005015")</f>
        <v>RSC005015</v>
      </c>
      <c r="B5000" s="41" t="str">
        <f>IFERROR(__xludf.DUMMYFUNCTION("""COMPUTED_VALUE"""),"Ichiro")</f>
        <v>Ichiro</v>
      </c>
    </row>
    <row r="5001">
      <c r="A5001" s="41" t="str">
        <f>IFERROR(__xludf.DUMMYFUNCTION("""COMPUTED_VALUE"""),"RSC005016")</f>
        <v>RSC005016</v>
      </c>
      <c r="B5001" s="41" t="str">
        <f>IFERROR(__xludf.DUMMYFUNCTION("""COMPUTED_VALUE"""),"RandomCat1738")</f>
        <v>RandomCat1738</v>
      </c>
    </row>
    <row r="5002">
      <c r="A5002" s="41" t="str">
        <f>IFERROR(__xludf.DUMMYFUNCTION("""COMPUTED_VALUE"""),"RSC005017")</f>
        <v>RSC005017</v>
      </c>
      <c r="B5002" s="41" t="str">
        <f>IFERROR(__xludf.DUMMYFUNCTION("""COMPUTED_VALUE"""),"Leavanny")</f>
        <v>Leavanny</v>
      </c>
    </row>
    <row r="5003">
      <c r="A5003" s="41" t="str">
        <f>IFERROR(__xludf.DUMMYFUNCTION("""COMPUTED_VALUE"""),"RSC005018")</f>
        <v>RSC005018</v>
      </c>
      <c r="B5003" s="41" t="str">
        <f>IFERROR(__xludf.DUMMYFUNCTION("""COMPUTED_VALUE"""),"Smitty")</f>
        <v>Smitty</v>
      </c>
    </row>
    <row r="5004">
      <c r="A5004" s="41" t="str">
        <f>IFERROR(__xludf.DUMMYFUNCTION("""COMPUTED_VALUE"""),"RSC005019")</f>
        <v>RSC005019</v>
      </c>
      <c r="B5004" s="41" t="str">
        <f>IFERROR(__xludf.DUMMYFUNCTION("""COMPUTED_VALUE"""),"-duplicate-")</f>
        <v>-duplicate-</v>
      </c>
    </row>
    <row r="5005">
      <c r="A5005" s="41" t="str">
        <f>IFERROR(__xludf.DUMMYFUNCTION("""COMPUTED_VALUE"""),"RSC005020")</f>
        <v>RSC005020</v>
      </c>
      <c r="B5005" s="41" t="str">
        <f>IFERROR(__xludf.DUMMYFUNCTION("""COMPUTED_VALUE"""),"louis1279")</f>
        <v>louis1279</v>
      </c>
    </row>
    <row r="5006">
      <c r="A5006" s="41" t="str">
        <f>IFERROR(__xludf.DUMMYFUNCTION("""COMPUTED_VALUE"""),"RSC005021")</f>
        <v>RSC005021</v>
      </c>
      <c r="B5006" s="41" t="str">
        <f>IFERROR(__xludf.DUMMYFUNCTION("""COMPUTED_VALUE"""),"RollinDolan")</f>
        <v>RollinDolan</v>
      </c>
    </row>
    <row r="5007">
      <c r="A5007" s="41" t="str">
        <f>IFERROR(__xludf.DUMMYFUNCTION("""COMPUTED_VALUE"""),"RSC005022")</f>
        <v>RSC005022</v>
      </c>
      <c r="B5007" s="41" t="str">
        <f>IFERROR(__xludf.DUMMYFUNCTION("""COMPUTED_VALUE"""),"ZiggoMC")</f>
        <v>ZiggoMC</v>
      </c>
    </row>
    <row r="5008">
      <c r="A5008" s="41" t="str">
        <f>IFERROR(__xludf.DUMMYFUNCTION("""COMPUTED_VALUE"""),"RSC005023")</f>
        <v>RSC005023</v>
      </c>
      <c r="B5008" s="41" t="str">
        <f>IFERROR(__xludf.DUMMYFUNCTION("""COMPUTED_VALUE"""),"Kirisutoh")</f>
        <v>Kirisutoh</v>
      </c>
    </row>
    <row r="5009">
      <c r="A5009" s="41" t="str">
        <f>IFERROR(__xludf.DUMMYFUNCTION("""COMPUTED_VALUE"""),"RSC005024")</f>
        <v>RSC005024</v>
      </c>
      <c r="B5009" s="41" t="str">
        <f>IFERROR(__xludf.DUMMYFUNCTION("""COMPUTED_VALUE"""),"SSpekky")</f>
        <v>SSpekky</v>
      </c>
    </row>
    <row r="5010">
      <c r="A5010" s="41" t="str">
        <f>IFERROR(__xludf.DUMMYFUNCTION("""COMPUTED_VALUE"""),"RSC005025")</f>
        <v>RSC005025</v>
      </c>
      <c r="B5010" s="41" t="str">
        <f>IFERROR(__xludf.DUMMYFUNCTION("""COMPUTED_VALUE"""),"TTV.BlueBallKing")</f>
        <v>TTV.BlueBallKing</v>
      </c>
    </row>
    <row r="5011">
      <c r="A5011" s="41" t="str">
        <f>IFERROR(__xludf.DUMMYFUNCTION("""COMPUTED_VALUE"""),"RSC005026")</f>
        <v>RSC005026</v>
      </c>
      <c r="B5011" s="41" t="str">
        <f>IFERROR(__xludf.DUMMYFUNCTION("""COMPUTED_VALUE"""),"o H E C K Y x.")</f>
        <v>o H E C K Y x.</v>
      </c>
    </row>
    <row r="5012">
      <c r="A5012" s="41" t="str">
        <f>IFERROR(__xludf.DUMMYFUNCTION("""COMPUTED_VALUE"""),"RSC005027")</f>
        <v>RSC005027</v>
      </c>
      <c r="B5012" s="41" t="str">
        <f>IFERROR(__xludf.DUMMYFUNCTION("""COMPUTED_VALUE"""),"LeSchmicky")</f>
        <v>LeSchmicky</v>
      </c>
    </row>
    <row r="5013">
      <c r="A5013" s="41" t="str">
        <f>IFERROR(__xludf.DUMMYFUNCTION("""COMPUTED_VALUE"""),"RSC005028")</f>
        <v>RSC005028</v>
      </c>
      <c r="B5013" s="41" t="str">
        <f>IFERROR(__xludf.DUMMYFUNCTION("""COMPUTED_VALUE"""),"ookillem69")</f>
        <v>ookillem69</v>
      </c>
    </row>
    <row r="5014">
      <c r="A5014" s="41" t="str">
        <f>IFERROR(__xludf.DUMMYFUNCTION("""COMPUTED_VALUE"""),"RSC005029")</f>
        <v>RSC005029</v>
      </c>
      <c r="B5014" s="41" t="str">
        <f>IFERROR(__xludf.DUMMYFUNCTION("""COMPUTED_VALUE"""),"Jalapeño")</f>
        <v>Jalapeño</v>
      </c>
    </row>
    <row r="5015">
      <c r="A5015" s="41" t="str">
        <f>IFERROR(__xludf.DUMMYFUNCTION("""COMPUTED_VALUE"""),"RSC005030")</f>
        <v>RSC005030</v>
      </c>
      <c r="B5015" s="41" t="str">
        <f>IFERROR(__xludf.DUMMYFUNCTION("""COMPUTED_VALUE"""),"Joe")</f>
        <v>Joe</v>
      </c>
    </row>
    <row r="5016">
      <c r="A5016" s="41" t="str">
        <f>IFERROR(__xludf.DUMMYFUNCTION("""COMPUTED_VALUE"""),"RSC005031")</f>
        <v>RSC005031</v>
      </c>
      <c r="B5016" s="41" t="str">
        <f>IFERROR(__xludf.DUMMYFUNCTION("""COMPUTED_VALUE"""),"RNP_Shadow")</f>
        <v>RNP_Shadow</v>
      </c>
    </row>
    <row r="5017">
      <c r="A5017" s="41" t="str">
        <f>IFERROR(__xludf.DUMMYFUNCTION("""COMPUTED_VALUE"""),"RSC005032")</f>
        <v>RSC005032</v>
      </c>
      <c r="B5017" s="41" t="str">
        <f>IFERROR(__xludf.DUMMYFUNCTION("""COMPUTED_VALUE"""),"Ol Dirty Dirty")</f>
        <v>Ol Dirty Dirty</v>
      </c>
    </row>
    <row r="5018">
      <c r="A5018" s="41" t="str">
        <f>IFERROR(__xludf.DUMMYFUNCTION("""COMPUTED_VALUE"""),"RSC005033")</f>
        <v>RSC005033</v>
      </c>
      <c r="B5018" s="41" t="str">
        <f>IFERROR(__xludf.DUMMYFUNCTION("""COMPUTED_VALUE"""),"mike1231112")</f>
        <v>mike1231112</v>
      </c>
    </row>
    <row r="5019">
      <c r="A5019" s="41" t="str">
        <f>IFERROR(__xludf.DUMMYFUNCTION("""COMPUTED_VALUE"""),"RSC005034")</f>
        <v>RSC005034</v>
      </c>
      <c r="B5019" s="41" t="str">
        <f>IFERROR(__xludf.DUMMYFUNCTION("""COMPUTED_VALUE"""),"Pand")</f>
        <v>Pand</v>
      </c>
    </row>
    <row r="5020">
      <c r="A5020" s="41" t="str">
        <f>IFERROR(__xludf.DUMMYFUNCTION("""COMPUTED_VALUE"""),"RSC005035")</f>
        <v>RSC005035</v>
      </c>
      <c r="B5020" s="41" t="str">
        <f>IFERROR(__xludf.DUMMYFUNCTION("""COMPUTED_VALUE"""),"Broskijazz")</f>
        <v>Broskijazz</v>
      </c>
    </row>
    <row r="5021">
      <c r="A5021" s="41" t="str">
        <f>IFERROR(__xludf.DUMMYFUNCTION("""COMPUTED_VALUE"""),"RSC005036")</f>
        <v>RSC005036</v>
      </c>
      <c r="B5021" s="41" t="str">
        <f>IFERROR(__xludf.DUMMYFUNCTION("""COMPUTED_VALUE"""),"Aidenᵀᴹ")</f>
        <v>Aidenᵀᴹ</v>
      </c>
    </row>
    <row r="5022">
      <c r="A5022" s="41" t="str">
        <f>IFERROR(__xludf.DUMMYFUNCTION("""COMPUTED_VALUE"""),"RSC005037")</f>
        <v>RSC005037</v>
      </c>
      <c r="B5022" s="41" t="str">
        <f>IFERROR(__xludf.DUMMYFUNCTION("""COMPUTED_VALUE"""),".slop.")</f>
        <v>.slop.</v>
      </c>
    </row>
    <row r="5023">
      <c r="A5023" s="41" t="str">
        <f>IFERROR(__xludf.DUMMYFUNCTION("""COMPUTED_VALUE"""),"RSC005038")</f>
        <v>RSC005038</v>
      </c>
      <c r="B5023" s="41" t="str">
        <f>IFERROR(__xludf.DUMMYFUNCTION("""COMPUTED_VALUE"""),"Zynigt")</f>
        <v>Zynigt</v>
      </c>
    </row>
    <row r="5024">
      <c r="A5024" s="41" t="str">
        <f>IFERROR(__xludf.DUMMYFUNCTION("""COMPUTED_VALUE"""),"RSC005039")</f>
        <v>RSC005039</v>
      </c>
      <c r="B5024" s="41" t="str">
        <f>IFERROR(__xludf.DUMMYFUNCTION("""COMPUTED_VALUE"""),"aYoMoxTV")</f>
        <v>aYoMoxTV</v>
      </c>
    </row>
    <row r="5025">
      <c r="A5025" s="41" t="str">
        <f>IFERROR(__xludf.DUMMYFUNCTION("""COMPUTED_VALUE"""),"RSC005040")</f>
        <v>RSC005040</v>
      </c>
      <c r="B5025" s="41" t="str">
        <f>IFERROR(__xludf.DUMMYFUNCTION("""COMPUTED_VALUE"""),"Keglan")</f>
        <v>Keglan</v>
      </c>
    </row>
    <row r="5026">
      <c r="A5026" s="41" t="str">
        <f>IFERROR(__xludf.DUMMYFUNCTION("""COMPUTED_VALUE"""),"RSC005041")</f>
        <v>RSC005041</v>
      </c>
      <c r="B5026" s="41" t="str">
        <f>IFERROR(__xludf.DUMMYFUNCTION("""COMPUTED_VALUE"""),"Trouble1015")</f>
        <v>Trouble1015</v>
      </c>
    </row>
    <row r="5027">
      <c r="A5027" s="41" t="str">
        <f>IFERROR(__xludf.DUMMYFUNCTION("""COMPUTED_VALUE"""),"RSC005042")</f>
        <v>RSC005042</v>
      </c>
      <c r="B5027" s="41" t="str">
        <f>IFERROR(__xludf.DUMMYFUNCTION("""COMPUTED_VALUE"""),"jeremy")</f>
        <v>jeremy</v>
      </c>
    </row>
    <row r="5028">
      <c r="A5028" s="41" t="str">
        <f>IFERROR(__xludf.DUMMYFUNCTION("""COMPUTED_VALUE"""),"RSC005043")</f>
        <v>RSC005043</v>
      </c>
      <c r="B5028" s="41" t="str">
        <f>IFERROR(__xludf.DUMMYFUNCTION("""COMPUTED_VALUE"""),"carter")</f>
        <v>carter</v>
      </c>
    </row>
    <row r="5029">
      <c r="A5029" s="41" t="str">
        <f>IFERROR(__xludf.DUMMYFUNCTION("""COMPUTED_VALUE"""),"RSC005044")</f>
        <v>RSC005044</v>
      </c>
      <c r="B5029" s="41" t="str">
        <f>IFERROR(__xludf.DUMMYFUNCTION("""COMPUTED_VALUE"""),"Mooseyslaya")</f>
        <v>Mooseyslaya</v>
      </c>
    </row>
    <row r="5030">
      <c r="A5030" s="41" t="str">
        <f>IFERROR(__xludf.DUMMYFUNCTION("""COMPUTED_VALUE"""),"RSC005045")</f>
        <v>RSC005045</v>
      </c>
      <c r="B5030" s="41" t="str">
        <f>IFERROR(__xludf.DUMMYFUNCTION("""COMPUTED_VALUE"""),"Koltzan")</f>
        <v>Koltzan</v>
      </c>
    </row>
    <row r="5031">
      <c r="A5031" s="41" t="str">
        <f>IFERROR(__xludf.DUMMYFUNCTION("""COMPUTED_VALUE"""),"RSC005046")</f>
        <v>RSC005046</v>
      </c>
      <c r="B5031" s="41" t="str">
        <f>IFERROR(__xludf.DUMMYFUNCTION("""COMPUTED_VALUE"""),"Mxckii")</f>
        <v>Mxckii</v>
      </c>
    </row>
    <row r="5032">
      <c r="A5032" s="41" t="str">
        <f>IFERROR(__xludf.DUMMYFUNCTION("""COMPUTED_VALUE"""),"RSC005047")</f>
        <v>RSC005047</v>
      </c>
      <c r="B5032" s="41" t="str">
        <f>IFERROR(__xludf.DUMMYFUNCTION("""COMPUTED_VALUE"""),"Denzy")</f>
        <v>Denzy</v>
      </c>
    </row>
    <row r="5033">
      <c r="A5033" s="41" t="str">
        <f>IFERROR(__xludf.DUMMYFUNCTION("""COMPUTED_VALUE"""),"RSC005048")</f>
        <v>RSC005048</v>
      </c>
      <c r="B5033" s="41" t="str">
        <f>IFERROR(__xludf.DUMMYFUNCTION("""COMPUTED_VALUE"""),"heyzisthename11")</f>
        <v>heyzisthename11</v>
      </c>
    </row>
    <row r="5034">
      <c r="A5034" s="41" t="str">
        <f>IFERROR(__xludf.DUMMYFUNCTION("""COMPUTED_VALUE"""),"RSC005049")</f>
        <v>RSC005049</v>
      </c>
      <c r="B5034" s="41" t="str">
        <f>IFERROR(__xludf.DUMMYFUNCTION("""COMPUTED_VALUE"""),"maki")</f>
        <v>maki</v>
      </c>
    </row>
    <row r="5035">
      <c r="A5035" s="41" t="str">
        <f>IFERROR(__xludf.DUMMYFUNCTION("""COMPUTED_VALUE"""),"RSC005050")</f>
        <v>RSC005050</v>
      </c>
      <c r="B5035" s="41" t="str">
        <f>IFERROR(__xludf.DUMMYFUNCTION("""COMPUTED_VALUE"""),"CarlSaganBro")</f>
        <v>CarlSaganBro</v>
      </c>
    </row>
    <row r="5036">
      <c r="A5036" s="41" t="str">
        <f>IFERROR(__xludf.DUMMYFUNCTION("""COMPUTED_VALUE"""),"RSC005051")</f>
        <v>RSC005051</v>
      </c>
      <c r="B5036" s="41" t="str">
        <f>IFERROR(__xludf.DUMMYFUNCTION("""COMPUTED_VALUE"""),"Supr3me")</f>
        <v>Supr3me</v>
      </c>
    </row>
    <row r="5037">
      <c r="A5037" s="41" t="str">
        <f>IFERROR(__xludf.DUMMYFUNCTION("""COMPUTED_VALUE"""),"RSC005052")</f>
        <v>RSC005052</v>
      </c>
      <c r="B5037" s="41" t="str">
        <f>IFERROR(__xludf.DUMMYFUNCTION("""COMPUTED_VALUE"""),"Yinliner")</f>
        <v>Yinliner</v>
      </c>
    </row>
    <row r="5038">
      <c r="A5038" s="41" t="str">
        <f>IFERROR(__xludf.DUMMYFUNCTION("""COMPUTED_VALUE"""),"RSC005053")</f>
        <v>RSC005053</v>
      </c>
      <c r="B5038" s="41" t="str">
        <f>IFERROR(__xludf.DUMMYFUNCTION("""COMPUTED_VALUE"""),"tiseana")</f>
        <v>tiseana</v>
      </c>
    </row>
    <row r="5039">
      <c r="A5039" s="41" t="str">
        <f>IFERROR(__xludf.DUMMYFUNCTION("""COMPUTED_VALUE"""),"RSC005054")</f>
        <v>RSC005054</v>
      </c>
      <c r="B5039" s="41" t="str">
        <f>IFERROR(__xludf.DUMMYFUNCTION("""COMPUTED_VALUE"""),"jck")</f>
        <v>jck</v>
      </c>
    </row>
    <row r="5040">
      <c r="A5040" s="41" t="str">
        <f>IFERROR(__xludf.DUMMYFUNCTION("""COMPUTED_VALUE"""),"RSC005055")</f>
        <v>RSC005055</v>
      </c>
      <c r="B5040" s="41" t="str">
        <f>IFERROR(__xludf.DUMMYFUNCTION("""COMPUTED_VALUE"""),"SnoopGivesLs")</f>
        <v>SnoopGivesLs</v>
      </c>
    </row>
    <row r="5041">
      <c r="A5041" s="41" t="str">
        <f>IFERROR(__xludf.DUMMYFUNCTION("""COMPUTED_VALUE"""),"RSC005056")</f>
        <v>RSC005056</v>
      </c>
      <c r="B5041" s="41" t="str">
        <f>IFERROR(__xludf.DUMMYFUNCTION("""COMPUTED_VALUE"""),"Garrison")</f>
        <v>Garrison</v>
      </c>
    </row>
    <row r="5042">
      <c r="A5042" s="41" t="str">
        <f>IFERROR(__xludf.DUMMYFUNCTION("""COMPUTED_VALUE"""),"RSC005057")</f>
        <v>RSC005057</v>
      </c>
      <c r="B5042" s="41" t="str">
        <f>IFERROR(__xludf.DUMMYFUNCTION("""COMPUTED_VALUE"""),"Surge.")</f>
        <v>Surge.</v>
      </c>
    </row>
    <row r="5043">
      <c r="A5043" s="41" t="str">
        <f>IFERROR(__xludf.DUMMYFUNCTION("""COMPUTED_VALUE"""),"RSC005058")</f>
        <v>RSC005058</v>
      </c>
      <c r="B5043" s="41" t="str">
        <f>IFERROR(__xludf.DUMMYFUNCTION("""COMPUTED_VALUE"""),"Apollo(old)")</f>
        <v>Apollo(old)</v>
      </c>
    </row>
    <row r="5044">
      <c r="A5044" s="41" t="str">
        <f>IFERROR(__xludf.DUMMYFUNCTION("""COMPUTED_VALUE"""),"RSC005059")</f>
        <v>RSC005059</v>
      </c>
      <c r="B5044" s="41" t="str">
        <f>IFERROR(__xludf.DUMMYFUNCTION("""COMPUTED_VALUE"""),"t4")</f>
        <v>t4</v>
      </c>
    </row>
    <row r="5045">
      <c r="A5045" s="41" t="str">
        <f>IFERROR(__xludf.DUMMYFUNCTION("""COMPUTED_VALUE"""),"RSC005060")</f>
        <v>RSC005060</v>
      </c>
      <c r="B5045" s="41" t="str">
        <f>IFERROR(__xludf.DUMMYFUNCTION("""COMPUTED_VALUE"""),"Quick_Koala")</f>
        <v>Quick_Koala</v>
      </c>
    </row>
    <row r="5046">
      <c r="A5046" s="41" t="str">
        <f>IFERROR(__xludf.DUMMYFUNCTION("""COMPUTED_VALUE"""),"RSC005061")</f>
        <v>RSC005061</v>
      </c>
      <c r="B5046" s="41" t="str">
        <f>IFERROR(__xludf.DUMMYFUNCTION("""COMPUTED_VALUE"""),"Tropical")</f>
        <v>Tropical</v>
      </c>
    </row>
    <row r="5047">
      <c r="A5047" s="41" t="str">
        <f>IFERROR(__xludf.DUMMYFUNCTION("""COMPUTED_VALUE"""),"RSC005062")</f>
        <v>RSC005062</v>
      </c>
      <c r="B5047" s="41" t="str">
        <f>IFERROR(__xludf.DUMMYFUNCTION("""COMPUTED_VALUE"""),"Mugiwara")</f>
        <v>Mugiwara</v>
      </c>
    </row>
    <row r="5048">
      <c r="A5048" s="41" t="str">
        <f>IFERROR(__xludf.DUMMYFUNCTION("""COMPUTED_VALUE"""),"RSC005063")</f>
        <v>RSC005063</v>
      </c>
      <c r="B5048" s="41" t="str">
        <f>IFERROR(__xludf.DUMMYFUNCTION("""COMPUTED_VALUE"""),"Cuco^")</f>
        <v>Cuco^</v>
      </c>
    </row>
    <row r="5049">
      <c r="A5049" s="41" t="str">
        <f>IFERROR(__xludf.DUMMYFUNCTION("""COMPUTED_VALUE"""),"RSC005064")</f>
        <v>RSC005064</v>
      </c>
      <c r="B5049" s="41" t="str">
        <f>IFERROR(__xludf.DUMMYFUNCTION("""COMPUTED_VALUE"""),"Terk.")</f>
        <v>Terk.</v>
      </c>
    </row>
    <row r="5050">
      <c r="A5050" s="41" t="str">
        <f>IFERROR(__xludf.DUMMYFUNCTION("""COMPUTED_VALUE"""),"RSC005065")</f>
        <v>RSC005065</v>
      </c>
      <c r="B5050" s="41" t="str">
        <f>IFERROR(__xludf.DUMMYFUNCTION("""COMPUTED_VALUE"""),"acp.")</f>
        <v>acp.</v>
      </c>
    </row>
    <row r="5051">
      <c r="A5051" s="41" t="str">
        <f>IFERROR(__xludf.DUMMYFUNCTION("""COMPUTED_VALUE"""),"RSC005066")</f>
        <v>RSC005066</v>
      </c>
      <c r="B5051" s="41" t="str">
        <f>IFERROR(__xludf.DUMMYFUNCTION("""COMPUTED_VALUE"""),"Holey Shmoley")</f>
        <v>Holey Shmoley</v>
      </c>
    </row>
    <row r="5052">
      <c r="A5052" s="41" t="str">
        <f>IFERROR(__xludf.DUMMYFUNCTION("""COMPUTED_VALUE"""),"RSC005067")</f>
        <v>RSC005067</v>
      </c>
      <c r="B5052" s="41" t="str">
        <f>IFERROR(__xludf.DUMMYFUNCTION("""COMPUTED_VALUE"""),"arx in harenis")</f>
        <v>arx in harenis</v>
      </c>
    </row>
    <row r="5053">
      <c r="A5053" s="41" t="str">
        <f>IFERROR(__xludf.DUMMYFUNCTION("""COMPUTED_VALUE"""),"RSC005068")</f>
        <v>RSC005068</v>
      </c>
      <c r="B5053" s="41" t="str">
        <f>IFERROR(__xludf.DUMMYFUNCTION("""COMPUTED_VALUE"""),"sturmo.")</f>
        <v>sturmo.</v>
      </c>
    </row>
    <row r="5054">
      <c r="A5054" s="41" t="str">
        <f>IFERROR(__xludf.DUMMYFUNCTION("""COMPUTED_VALUE"""),"RSC005070")</f>
        <v>RSC005070</v>
      </c>
      <c r="B5054" s="41" t="str">
        <f>IFERROR(__xludf.DUMMYFUNCTION("""COMPUTED_VALUE"""),"Burgoid")</f>
        <v>Burgoid</v>
      </c>
    </row>
    <row r="5055">
      <c r="A5055" s="41" t="str">
        <f>IFERROR(__xludf.DUMMYFUNCTION("""COMPUTED_VALUE"""),"RSC005071")</f>
        <v>RSC005071</v>
      </c>
      <c r="B5055" s="41" t="str">
        <f>IFERROR(__xludf.DUMMYFUNCTION("""COMPUTED_VALUE"""),"Terry Tate OL")</f>
        <v>Terry Tate OL</v>
      </c>
    </row>
    <row r="5056">
      <c r="A5056" s="41" t="str">
        <f>IFERROR(__xludf.DUMMYFUNCTION("""COMPUTED_VALUE"""),"RSC005072")</f>
        <v>RSC005072</v>
      </c>
      <c r="B5056" s="41" t="str">
        <f>IFERROR(__xludf.DUMMYFUNCTION("""COMPUTED_VALUE"""),"Nobody")</f>
        <v>Nobody</v>
      </c>
    </row>
    <row r="5057">
      <c r="A5057" s="41" t="str">
        <f>IFERROR(__xludf.DUMMYFUNCTION("""COMPUTED_VALUE"""),"RSC005073")</f>
        <v>RSC005073</v>
      </c>
      <c r="B5057" s="41" t="str">
        <f>IFERROR(__xludf.DUMMYFUNCTION("""COMPUTED_VALUE"""),"Outlaw K3")</f>
        <v>Outlaw K3</v>
      </c>
    </row>
    <row r="5058">
      <c r="A5058" s="41" t="str">
        <f>IFERROR(__xludf.DUMMYFUNCTION("""COMPUTED_VALUE"""),"RSC005074")</f>
        <v>RSC005074</v>
      </c>
      <c r="B5058" s="41" t="str">
        <f>IFERROR(__xludf.DUMMYFUNCTION("""COMPUTED_VALUE"""),"Lethelous")</f>
        <v>Lethelous</v>
      </c>
    </row>
    <row r="5059">
      <c r="A5059" s="41" t="str">
        <f>IFERROR(__xludf.DUMMYFUNCTION("""COMPUTED_VALUE"""),"RSC005075")</f>
        <v>RSC005075</v>
      </c>
      <c r="B5059" s="41" t="str">
        <f>IFERROR(__xludf.DUMMYFUNCTION("""COMPUTED_VALUE"""),"LOCKL11N")</f>
        <v>LOCKL11N</v>
      </c>
    </row>
    <row r="5060">
      <c r="A5060" s="41" t="str">
        <f>IFERROR(__xludf.DUMMYFUNCTION("""COMPUTED_VALUE"""),"RSC005076")</f>
        <v>RSC005076</v>
      </c>
      <c r="B5060" s="41" t="str">
        <f>IFERROR(__xludf.DUMMYFUNCTION("""COMPUTED_VALUE"""),"erikkszz")</f>
        <v>erikkszz</v>
      </c>
    </row>
    <row r="5061">
      <c r="A5061" s="41" t="str">
        <f>IFERROR(__xludf.DUMMYFUNCTION("""COMPUTED_VALUE"""),"RSC005077")</f>
        <v>RSC005077</v>
      </c>
      <c r="B5061" s="41" t="str">
        <f>IFERROR(__xludf.DUMMYFUNCTION("""COMPUTED_VALUE"""),"kbm grifter")</f>
        <v>kbm grifter</v>
      </c>
    </row>
    <row r="5062">
      <c r="A5062" s="41" t="str">
        <f>IFERROR(__xludf.DUMMYFUNCTION("""COMPUTED_VALUE"""),"RSC005078")</f>
        <v>RSC005078</v>
      </c>
      <c r="B5062" s="41" t="str">
        <f>IFERROR(__xludf.DUMMYFUNCTION("""COMPUTED_VALUE"""),"Sneahky")</f>
        <v>Sneahky</v>
      </c>
    </row>
    <row r="5063">
      <c r="A5063" s="41" t="str">
        <f>IFERROR(__xludf.DUMMYFUNCTION("""COMPUTED_VALUE"""),"RSC005079")</f>
        <v>RSC005079</v>
      </c>
      <c r="B5063" s="41" t="str">
        <f>IFERROR(__xludf.DUMMYFUNCTION("""COMPUTED_VALUE"""),"Blu3prints")</f>
        <v>Blu3prints</v>
      </c>
    </row>
    <row r="5064">
      <c r="A5064" s="41" t="str">
        <f>IFERROR(__xludf.DUMMYFUNCTION("""COMPUTED_VALUE"""),"RSC005080")</f>
        <v>RSC005080</v>
      </c>
      <c r="B5064" s="41" t="str">
        <f>IFERROR(__xludf.DUMMYFUNCTION("""COMPUTED_VALUE"""),"FJDory")</f>
        <v>FJDory</v>
      </c>
    </row>
    <row r="5065">
      <c r="A5065" s="41" t="str">
        <f>IFERROR(__xludf.DUMMYFUNCTION("""COMPUTED_VALUE"""),"RSC005081")</f>
        <v>RSC005081</v>
      </c>
      <c r="B5065" s="41" t="str">
        <f>IFERROR(__xludf.DUMMYFUNCTION("""COMPUTED_VALUE"""),"Shadow.")</f>
        <v>Shadow.</v>
      </c>
    </row>
    <row r="5066">
      <c r="A5066" s="41" t="str">
        <f>IFERROR(__xludf.DUMMYFUNCTION("""COMPUTED_VALUE"""),"RSC005082")</f>
        <v>RSC005082</v>
      </c>
      <c r="B5066" s="41" t="str">
        <f>IFERROR(__xludf.DUMMYFUNCTION("""COMPUTED_VALUE"""),"SilverWolf")</f>
        <v>SilverWolf</v>
      </c>
    </row>
    <row r="5067">
      <c r="A5067" s="41" t="str">
        <f>IFERROR(__xludf.DUMMYFUNCTION("""COMPUTED_VALUE"""),"RSC005083")</f>
        <v>RSC005083</v>
      </c>
      <c r="B5067" s="41" t="str">
        <f>IFERROR(__xludf.DUMMYFUNCTION("""COMPUTED_VALUE"""),"Yuuki")</f>
        <v>Yuuki</v>
      </c>
    </row>
    <row r="5068">
      <c r="A5068" s="41" t="str">
        <f>IFERROR(__xludf.DUMMYFUNCTION("""COMPUTED_VALUE"""),"RSC005084")</f>
        <v>RSC005084</v>
      </c>
      <c r="B5068" s="41" t="str">
        <f>IFERROR(__xludf.DUMMYFUNCTION("""COMPUTED_VALUE"""),"Aiden S.")</f>
        <v>Aiden S.</v>
      </c>
    </row>
    <row r="5069">
      <c r="A5069" s="41" t="str">
        <f>IFERROR(__xludf.DUMMYFUNCTION("""COMPUTED_VALUE"""),"RSC005085")</f>
        <v>RSC005085</v>
      </c>
      <c r="B5069" s="41" t="str">
        <f>IFERROR(__xludf.DUMMYFUNCTION("""COMPUTED_VALUE"""),"RG iWHiFF FM")</f>
        <v>RG iWHiFF FM</v>
      </c>
    </row>
    <row r="5070">
      <c r="A5070" s="41" t="str">
        <f>IFERROR(__xludf.DUMMYFUNCTION("""COMPUTED_VALUE"""),"RSC005086")</f>
        <v>RSC005086</v>
      </c>
      <c r="B5070" s="41" t="str">
        <f>IFERROR(__xludf.DUMMYFUNCTION("""COMPUTED_VALUE"""),"KingNate74")</f>
        <v>KingNate74</v>
      </c>
    </row>
    <row r="5071">
      <c r="A5071" s="41" t="str">
        <f>IFERROR(__xludf.DUMMYFUNCTION("""COMPUTED_VALUE"""),"RSC005087")</f>
        <v>RSC005087</v>
      </c>
      <c r="B5071" s="41" t="str">
        <f>IFERROR(__xludf.DUMMYFUNCTION("""COMPUTED_VALUE"""),"RetroSpectre")</f>
        <v>RetroSpectre</v>
      </c>
    </row>
    <row r="5072">
      <c r="A5072" s="41" t="str">
        <f>IFERROR(__xludf.DUMMYFUNCTION("""COMPUTED_VALUE"""),"RSC005088")</f>
        <v>RSC005088</v>
      </c>
      <c r="B5072" s="41">
        <f>IFERROR(__xludf.DUMMYFUNCTION("""COMPUTED_VALUE"""),13.0)</f>
        <v>13</v>
      </c>
    </row>
    <row r="5073">
      <c r="A5073" s="41" t="str">
        <f>IFERROR(__xludf.DUMMYFUNCTION("""COMPUTED_VALUE"""),"RSC005089")</f>
        <v>RSC005089</v>
      </c>
      <c r="B5073" s="41" t="str">
        <f>IFERROR(__xludf.DUMMYFUNCTION("""COMPUTED_VALUE"""),"DevilJacob07")</f>
        <v>DevilJacob07</v>
      </c>
    </row>
    <row r="5074">
      <c r="A5074" s="41" t="str">
        <f>IFERROR(__xludf.DUMMYFUNCTION("""COMPUTED_VALUE"""),"RSC005090")</f>
        <v>RSC005090</v>
      </c>
      <c r="B5074" s="41" t="str">
        <f>IFERROR(__xludf.DUMMYFUNCTION("""COMPUTED_VALUE"""),"FrownsRL")</f>
        <v>FrownsRL</v>
      </c>
    </row>
    <row r="5075">
      <c r="A5075" s="41" t="str">
        <f>IFERROR(__xludf.DUMMYFUNCTION("""COMPUTED_VALUE"""),"RSC005091")</f>
        <v>RSC005091</v>
      </c>
      <c r="B5075" s="41" t="str">
        <f>IFERROR(__xludf.DUMMYFUNCTION("""COMPUTED_VALUE"""),"TheTitan GainZ")</f>
        <v>TheTitan GainZ</v>
      </c>
    </row>
    <row r="5076">
      <c r="A5076" s="41" t="str">
        <f>IFERROR(__xludf.DUMMYFUNCTION("""COMPUTED_VALUE"""),"RSC005092")</f>
        <v>RSC005092</v>
      </c>
      <c r="B5076" s="41" t="str">
        <f>IFERROR(__xludf.DUMMYFUNCTION("""COMPUTED_VALUE"""),"Zucxe")</f>
        <v>Zucxe</v>
      </c>
    </row>
    <row r="5077">
      <c r="A5077" s="41" t="str">
        <f>IFERROR(__xludf.DUMMYFUNCTION("""COMPUTED_VALUE"""),"RSC005093")</f>
        <v>RSC005093</v>
      </c>
      <c r="B5077" s="41" t="str">
        <f>IFERROR(__xludf.DUMMYFUNCTION("""COMPUTED_VALUE"""),"GoodJorsh")</f>
        <v>GoodJorsh</v>
      </c>
    </row>
    <row r="5078">
      <c r="A5078" s="41" t="str">
        <f>IFERROR(__xludf.DUMMYFUNCTION("""COMPUTED_VALUE"""),"RSC005094")</f>
        <v>RSC005094</v>
      </c>
      <c r="B5078" s="41" t="str">
        <f>IFERROR(__xludf.DUMMYFUNCTION("""COMPUTED_VALUE"""),"Dorphin 2ez")</f>
        <v>Dorphin 2ez</v>
      </c>
    </row>
    <row r="5079">
      <c r="A5079" s="41" t="str">
        <f>IFERROR(__xludf.DUMMYFUNCTION("""COMPUTED_VALUE"""),"RSC005095")</f>
        <v>RSC005095</v>
      </c>
      <c r="B5079" s="41" t="str">
        <f>IFERROR(__xludf.DUMMYFUNCTION("""COMPUTED_VALUE"""),"komet-truth")</f>
        <v>komet-truth</v>
      </c>
    </row>
    <row r="5080">
      <c r="A5080" s="41" t="str">
        <f>IFERROR(__xludf.DUMMYFUNCTION("""COMPUTED_VALUE"""),"RSC005096")</f>
        <v>RSC005096</v>
      </c>
      <c r="B5080" s="41" t="str">
        <f>IFERROR(__xludf.DUMMYFUNCTION("""COMPUTED_VALUE"""),"Big Tater101")</f>
        <v>Big Tater101</v>
      </c>
    </row>
    <row r="5081">
      <c r="A5081" s="41" t="str">
        <f>IFERROR(__xludf.DUMMYFUNCTION("""COMPUTED_VALUE"""),"RSC005097")</f>
        <v>RSC005097</v>
      </c>
      <c r="B5081" s="41" t="str">
        <f>IFERROR(__xludf.DUMMYFUNCTION("""COMPUTED_VALUE"""),"Smitty.")</f>
        <v>Smitty.</v>
      </c>
    </row>
    <row r="5082">
      <c r="A5082" s="41" t="str">
        <f>IFERROR(__xludf.DUMMYFUNCTION("""COMPUTED_VALUE"""),"RSC005098")</f>
        <v>RSC005098</v>
      </c>
      <c r="B5082" s="41" t="str">
        <f>IFERROR(__xludf.DUMMYFUNCTION("""COMPUTED_VALUE"""),"ItsJustCrimm")</f>
        <v>ItsJustCrimm</v>
      </c>
    </row>
    <row r="5083">
      <c r="A5083" s="41" t="str">
        <f>IFERROR(__xludf.DUMMYFUNCTION("""COMPUTED_VALUE"""),"RSC005099")</f>
        <v>RSC005099</v>
      </c>
      <c r="B5083" s="41" t="str">
        <f>IFERROR(__xludf.DUMMYFUNCTION("""COMPUTED_VALUE"""),"NeitherNick")</f>
        <v>NeitherNick</v>
      </c>
    </row>
    <row r="5084">
      <c r="A5084" s="41" t="str">
        <f>IFERROR(__xludf.DUMMYFUNCTION("""COMPUTED_VALUE"""),"RSC005100")</f>
        <v>RSC005100</v>
      </c>
      <c r="B5084" s="41" t="str">
        <f>IFERROR(__xludf.DUMMYFUNCTION("""COMPUTED_VALUE"""),"Fluffy")</f>
        <v>Fluffy</v>
      </c>
    </row>
    <row r="5085">
      <c r="A5085" s="41" t="str">
        <f>IFERROR(__xludf.DUMMYFUNCTION("""COMPUTED_VALUE"""),"RSC005101")</f>
        <v>RSC005101</v>
      </c>
      <c r="B5085" s="41" t="str">
        <f>IFERROR(__xludf.DUMMYFUNCTION("""COMPUTED_VALUE"""),"ImComingInHard2")</f>
        <v>ImComingInHard2</v>
      </c>
    </row>
    <row r="5086">
      <c r="A5086" s="41" t="str">
        <f>IFERROR(__xludf.DUMMYFUNCTION("""COMPUTED_VALUE"""),"RSC005102")</f>
        <v>RSC005102</v>
      </c>
      <c r="B5086" s="41" t="str">
        <f>IFERROR(__xludf.DUMMYFUNCTION("""COMPUTED_VALUE"""),"rolo")</f>
        <v>rolo</v>
      </c>
    </row>
    <row r="5087">
      <c r="A5087" s="41" t="str">
        <f>IFERROR(__xludf.DUMMYFUNCTION("""COMPUTED_VALUE"""),"RSC005103")</f>
        <v>RSC005103</v>
      </c>
      <c r="B5087" s="41" t="str">
        <f>IFERROR(__xludf.DUMMYFUNCTION("""COMPUTED_VALUE"""),"dominiclara")</f>
        <v>dominiclara</v>
      </c>
    </row>
    <row r="5088">
      <c r="A5088" s="41" t="str">
        <f>IFERROR(__xludf.DUMMYFUNCTION("""COMPUTED_VALUE"""),"RSC005104")</f>
        <v>RSC005104</v>
      </c>
      <c r="B5088" s="41" t="str">
        <f>IFERROR(__xludf.DUMMYFUNCTION("""COMPUTED_VALUE"""),"Catwarrior")</f>
        <v>Catwarrior</v>
      </c>
    </row>
    <row r="5089">
      <c r="A5089" s="41" t="str">
        <f>IFERROR(__xludf.DUMMYFUNCTION("""COMPUTED_VALUE"""),"RSC005105")</f>
        <v>RSC005105</v>
      </c>
      <c r="B5089" s="41" t="str">
        <f>IFERROR(__xludf.DUMMYFUNCTION("""COMPUTED_VALUE"""),"redsmoke")</f>
        <v>redsmoke</v>
      </c>
    </row>
    <row r="5090">
      <c r="A5090" s="41" t="str">
        <f>IFERROR(__xludf.DUMMYFUNCTION("""COMPUTED_VALUE"""),"RSC005106")</f>
        <v>RSC005106</v>
      </c>
      <c r="B5090" s="41" t="str">
        <f>IFERROR(__xludf.DUMMYFUNCTION("""COMPUTED_VALUE"""),"Xkilk")</f>
        <v>Xkilk</v>
      </c>
    </row>
    <row r="5091">
      <c r="A5091" s="41" t="str">
        <f>IFERROR(__xludf.DUMMYFUNCTION("""COMPUTED_VALUE"""),"RSC005107")</f>
        <v>RSC005107</v>
      </c>
      <c r="B5091" s="41" t="str">
        <f>IFERROR(__xludf.DUMMYFUNCTION("""COMPUTED_VALUE"""),"Bava.")</f>
        <v>Bava.</v>
      </c>
    </row>
    <row r="5092">
      <c r="A5092" s="41" t="str">
        <f>IFERROR(__xludf.DUMMYFUNCTION("""COMPUTED_VALUE"""),"RSC005108")</f>
        <v>RSC005108</v>
      </c>
      <c r="B5092" s="41" t="str">
        <f>IFERROR(__xludf.DUMMYFUNCTION("""COMPUTED_VALUE"""),"ethone")</f>
        <v>ethone</v>
      </c>
    </row>
    <row r="5093">
      <c r="A5093" s="41" t="str">
        <f>IFERROR(__xludf.DUMMYFUNCTION("""COMPUTED_VALUE"""),"RSC005109")</f>
        <v>RSC005109</v>
      </c>
      <c r="B5093" s="41" t="str">
        <f>IFERROR(__xludf.DUMMYFUNCTION("""COMPUTED_VALUE"""),"delta ^_^")</f>
        <v>delta ^_^</v>
      </c>
    </row>
    <row r="5094">
      <c r="A5094" s="41" t="str">
        <f>IFERROR(__xludf.DUMMYFUNCTION("""COMPUTED_VALUE"""),"RSC005110")</f>
        <v>RSC005110</v>
      </c>
      <c r="B5094" s="41" t="str">
        <f>IFERROR(__xludf.DUMMYFUNCTION("""COMPUTED_VALUE"""),"Carriedcamelto")</f>
        <v>Carriedcamelto</v>
      </c>
    </row>
    <row r="5095">
      <c r="A5095" s="41" t="str">
        <f>IFERROR(__xludf.DUMMYFUNCTION("""COMPUTED_VALUE"""),"RSC005111")</f>
        <v>RSC005111</v>
      </c>
      <c r="B5095" s="41" t="str">
        <f>IFERROR(__xludf.DUMMYFUNCTION("""COMPUTED_VALUE"""),"ChikHenJoe")</f>
        <v>ChikHenJoe</v>
      </c>
    </row>
    <row r="5096">
      <c r="A5096" s="41" t="str">
        <f>IFERROR(__xludf.DUMMYFUNCTION("""COMPUTED_VALUE"""),"RSC005112")</f>
        <v>RSC005112</v>
      </c>
      <c r="B5096" s="41" t="str">
        <f>IFERROR(__xludf.DUMMYFUNCTION("""COMPUTED_VALUE"""),"Sandreeche")</f>
        <v>Sandreeche</v>
      </c>
    </row>
    <row r="5097">
      <c r="A5097" s="41" t="str">
        <f>IFERROR(__xludf.DUMMYFUNCTION("""COMPUTED_VALUE"""),"RSC005113")</f>
        <v>RSC005113</v>
      </c>
      <c r="B5097" s="41" t="str">
        <f>IFERROR(__xludf.DUMMYFUNCTION("""COMPUTED_VALUE"""),"Lechugin_gamer")</f>
        <v>Lechugin_gamer</v>
      </c>
    </row>
    <row r="5098">
      <c r="A5098" s="41" t="str">
        <f>IFERROR(__xludf.DUMMYFUNCTION("""COMPUTED_VALUE"""),"RSC005114")</f>
        <v>RSC005114</v>
      </c>
      <c r="B5098" s="41" t="str">
        <f>IFERROR(__xludf.DUMMYFUNCTION("""COMPUTED_VALUE"""),"MiniMidgetMan")</f>
        <v>MiniMidgetMan</v>
      </c>
    </row>
    <row r="5099">
      <c r="A5099" s="41" t="str">
        <f>IFERROR(__xludf.DUMMYFUNCTION("""COMPUTED_VALUE"""),"RSC005115")</f>
        <v>RSC005115</v>
      </c>
      <c r="B5099" s="41" t="str">
        <f>IFERROR(__xludf.DUMMYFUNCTION("""COMPUTED_VALUE"""),"OmegaBlaze33")</f>
        <v>OmegaBlaze33</v>
      </c>
    </row>
    <row r="5100">
      <c r="A5100" s="41" t="str">
        <f>IFERROR(__xludf.DUMMYFUNCTION("""COMPUTED_VALUE"""),"RSC005116")</f>
        <v>RSC005116</v>
      </c>
      <c r="B5100" s="41" t="str">
        <f>IFERROR(__xludf.DUMMYFUNCTION("""COMPUTED_VALUE"""),"JohnnyG")</f>
        <v>JohnnyG</v>
      </c>
    </row>
    <row r="5101">
      <c r="A5101" s="41" t="str">
        <f>IFERROR(__xludf.DUMMYFUNCTION("""COMPUTED_VALUE"""),"RSC005117")</f>
        <v>RSC005117</v>
      </c>
      <c r="B5101" s="41" t="str">
        <f>IFERROR(__xludf.DUMMYFUNCTION("""COMPUTED_VALUE"""),"NGU_IC3")</f>
        <v>NGU_IC3</v>
      </c>
    </row>
    <row r="5102">
      <c r="A5102" s="41" t="str">
        <f>IFERROR(__xludf.DUMMYFUNCTION("""COMPUTED_VALUE"""),"RSC005118")</f>
        <v>RSC005118</v>
      </c>
      <c r="B5102" s="41" t="str">
        <f>IFERROR(__xludf.DUMMYFUNCTION("""COMPUTED_VALUE"""),"colby6700")</f>
        <v>colby6700</v>
      </c>
    </row>
    <row r="5103">
      <c r="A5103" s="41" t="str">
        <f>IFERROR(__xludf.DUMMYFUNCTION("""COMPUTED_VALUE"""),"RSC005119")</f>
        <v>RSC005119</v>
      </c>
      <c r="B5103" s="41" t="str">
        <f>IFERROR(__xludf.DUMMYFUNCTION("""COMPUTED_VALUE"""),"So Washed")</f>
        <v>So Washed</v>
      </c>
    </row>
    <row r="5104">
      <c r="A5104" s="41" t="str">
        <f>IFERROR(__xludf.DUMMYFUNCTION("""COMPUTED_VALUE"""),"RSC005120")</f>
        <v>RSC005120</v>
      </c>
      <c r="B5104" s="41" t="str">
        <f>IFERROR(__xludf.DUMMYFUNCTION("""COMPUTED_VALUE"""),"Coop.")</f>
        <v>Coop.</v>
      </c>
    </row>
    <row r="5105">
      <c r="A5105" s="41" t="str">
        <f>IFERROR(__xludf.DUMMYFUNCTION("""COMPUTED_VALUE"""),"RSC005121")</f>
        <v>RSC005121</v>
      </c>
      <c r="B5105" s="41" t="str">
        <f>IFERROR(__xludf.DUMMYFUNCTION("""COMPUTED_VALUE"""),"Gravity Storm")</f>
        <v>Gravity Storm</v>
      </c>
    </row>
    <row r="5106">
      <c r="A5106" s="41" t="str">
        <f>IFERROR(__xludf.DUMMYFUNCTION("""COMPUTED_VALUE"""),"RSC005122")</f>
        <v>RSC005122</v>
      </c>
      <c r="B5106" s="41" t="str">
        <f>IFERROR(__xludf.DUMMYFUNCTION("""COMPUTED_VALUE"""),"XFreakyyJ")</f>
        <v>XFreakyyJ</v>
      </c>
    </row>
    <row r="5107">
      <c r="A5107" s="41" t="str">
        <f>IFERROR(__xludf.DUMMYFUNCTION("""COMPUTED_VALUE"""),"RSC005123")</f>
        <v>RSC005123</v>
      </c>
      <c r="B5107" s="41" t="str">
        <f>IFERROR(__xludf.DUMMYFUNCTION("""COMPUTED_VALUE"""),"Zay")</f>
        <v>Zay</v>
      </c>
    </row>
    <row r="5108">
      <c r="A5108" s="41" t="str">
        <f>IFERROR(__xludf.DUMMYFUNCTION("""COMPUTED_VALUE"""),"RSC005124")</f>
        <v>RSC005124</v>
      </c>
      <c r="B5108" s="41" t="str">
        <f>IFERROR(__xludf.DUMMYFUNCTION("""COMPUTED_VALUE"""),"N8Rtz")</f>
        <v>N8Rtz</v>
      </c>
    </row>
    <row r="5109">
      <c r="A5109" s="41" t="str">
        <f>IFERROR(__xludf.DUMMYFUNCTION("""COMPUTED_VALUE"""),"RSC005125")</f>
        <v>RSC005125</v>
      </c>
      <c r="B5109" s="41" t="str">
        <f>IFERROR(__xludf.DUMMYFUNCTION("""COMPUTED_VALUE"""),"0v3rl0rdGaming")</f>
        <v>0v3rl0rdGaming</v>
      </c>
    </row>
    <row r="5110">
      <c r="A5110" s="41" t="str">
        <f>IFERROR(__xludf.DUMMYFUNCTION("""COMPUTED_VALUE"""),"RSC005126")</f>
        <v>RSC005126</v>
      </c>
      <c r="B5110" s="41" t="str">
        <f>IFERROR(__xludf.DUMMYFUNCTION("""COMPUTED_VALUE"""),"BonnieRalph69")</f>
        <v>BonnieRalph69</v>
      </c>
    </row>
    <row r="5111">
      <c r="A5111" s="41" t="str">
        <f>IFERROR(__xludf.DUMMYFUNCTION("""COMPUTED_VALUE"""),"RSC005127")</f>
        <v>RSC005127</v>
      </c>
      <c r="B5111" s="41" t="str">
        <f>IFERROR(__xludf.DUMMYFUNCTION("""COMPUTED_VALUE"""),"Riley")</f>
        <v>Riley</v>
      </c>
    </row>
    <row r="5112">
      <c r="A5112" s="41" t="str">
        <f>IFERROR(__xludf.DUMMYFUNCTION("""COMPUTED_VALUE"""),"RSC005128")</f>
        <v>RSC005128</v>
      </c>
      <c r="B5112" s="41" t="str">
        <f>IFERROR(__xludf.DUMMYFUNCTION("""COMPUTED_VALUE"""),"Mr Stevin")</f>
        <v>Mr Stevin</v>
      </c>
    </row>
    <row r="5113">
      <c r="A5113" s="41" t="str">
        <f>IFERROR(__xludf.DUMMYFUNCTION("""COMPUTED_VALUE"""),"RSC005129")</f>
        <v>RSC005129</v>
      </c>
      <c r="B5113" s="41" t="str">
        <f>IFERROR(__xludf.DUMMYFUNCTION("""COMPUTED_VALUE"""),"ListedLucid7")</f>
        <v>ListedLucid7</v>
      </c>
    </row>
    <row r="5114">
      <c r="A5114" s="41" t="str">
        <f>IFERROR(__xludf.DUMMYFUNCTION("""COMPUTED_VALUE"""),"RSC005130")</f>
        <v>RSC005130</v>
      </c>
      <c r="B5114" s="41" t="str">
        <f>IFERROR(__xludf.DUMMYFUNCTION("""COMPUTED_VALUE"""),"OhBoyThreeAM")</f>
        <v>OhBoyThreeAM</v>
      </c>
    </row>
    <row r="5115">
      <c r="A5115" s="41" t="str">
        <f>IFERROR(__xludf.DUMMYFUNCTION("""COMPUTED_VALUE"""),"RSC005131")</f>
        <v>RSC005131</v>
      </c>
      <c r="B5115" s="41" t="str">
        <f>IFERROR(__xludf.DUMMYFUNCTION("""COMPUTED_VALUE"""),"Loko Deputy")</f>
        <v>Loko Deputy</v>
      </c>
    </row>
    <row r="5116">
      <c r="A5116" s="41" t="str">
        <f>IFERROR(__xludf.DUMMYFUNCTION("""COMPUTED_VALUE"""),"RSC005132")</f>
        <v>RSC005132</v>
      </c>
      <c r="B5116" s="41" t="str">
        <f>IFERROR(__xludf.DUMMYFUNCTION("""COMPUTED_VALUE"""),"GrimRiefer")</f>
        <v>GrimRiefer</v>
      </c>
    </row>
    <row r="5117">
      <c r="A5117" s="41" t="str">
        <f>IFERROR(__xludf.DUMMYFUNCTION("""COMPUTED_VALUE"""),"RSC005133")</f>
        <v>RSC005133</v>
      </c>
      <c r="B5117" s="41" t="str">
        <f>IFERROR(__xludf.DUMMYFUNCTION("""COMPUTED_VALUE"""),"Egsterminator")</f>
        <v>Egsterminator</v>
      </c>
    </row>
    <row r="5118">
      <c r="A5118" s="41" t="str">
        <f>IFERROR(__xludf.DUMMYFUNCTION("""COMPUTED_VALUE"""),"RSC005134")</f>
        <v>RSC005134</v>
      </c>
      <c r="B5118" s="41" t="str">
        <f>IFERROR(__xludf.DUMMYFUNCTION("""COMPUTED_VALUE"""),"Deed Nootz")</f>
        <v>Deed Nootz</v>
      </c>
    </row>
    <row r="5119">
      <c r="A5119" s="41" t="str">
        <f>IFERROR(__xludf.DUMMYFUNCTION("""COMPUTED_VALUE"""),"RSC005135")</f>
        <v>RSC005135</v>
      </c>
      <c r="B5119" s="41" t="str">
        <f>IFERROR(__xludf.DUMMYFUNCTION("""COMPUTED_VALUE"""),"poisson")</f>
        <v>poisson</v>
      </c>
    </row>
    <row r="5120">
      <c r="A5120" s="41" t="str">
        <f>IFERROR(__xludf.DUMMYFUNCTION("""COMPUTED_VALUE"""),"RSC005136")</f>
        <v>RSC005136</v>
      </c>
      <c r="B5120" s="41" t="str">
        <f>IFERROR(__xludf.DUMMYFUNCTION("""COMPUTED_VALUE"""),"tdogplayz")</f>
        <v>tdogplayz</v>
      </c>
    </row>
    <row r="5121">
      <c r="A5121" s="41" t="str">
        <f>IFERROR(__xludf.DUMMYFUNCTION("""COMPUTED_VALUE"""),"RSC005137")</f>
        <v>RSC005137</v>
      </c>
      <c r="B5121" s="41" t="str">
        <f>IFERROR(__xludf.DUMMYFUNCTION("""COMPUTED_VALUE"""),"titanama05")</f>
        <v>titanama05</v>
      </c>
    </row>
    <row r="5122">
      <c r="A5122" s="41" t="str">
        <f>IFERROR(__xludf.DUMMYFUNCTION("""COMPUTED_VALUE"""),"RSC005138")</f>
        <v>RSC005138</v>
      </c>
      <c r="B5122" s="41" t="str">
        <f>IFERROR(__xludf.DUMMYFUNCTION("""COMPUTED_VALUE"""),"deej")</f>
        <v>deej</v>
      </c>
    </row>
    <row r="5123">
      <c r="A5123" s="41" t="str">
        <f>IFERROR(__xludf.DUMMYFUNCTION("""COMPUTED_VALUE"""),"RSC005139")</f>
        <v>RSC005139</v>
      </c>
      <c r="B5123" s="41" t="str">
        <f>IFERROR(__xludf.DUMMYFUNCTION("""COMPUTED_VALUE"""),"brillo_padd")</f>
        <v>brillo_padd</v>
      </c>
    </row>
    <row r="5124">
      <c r="A5124" s="41" t="str">
        <f>IFERROR(__xludf.DUMMYFUNCTION("""COMPUTED_VALUE"""),"RSC005140")</f>
        <v>RSC005140</v>
      </c>
      <c r="B5124" s="41" t="str">
        <f>IFERROR(__xludf.DUMMYFUNCTION("""COMPUTED_VALUE"""),"Flufftea.")</f>
        <v>Flufftea.</v>
      </c>
    </row>
    <row r="5125">
      <c r="A5125" s="41" t="str">
        <f>IFERROR(__xludf.DUMMYFUNCTION("""COMPUTED_VALUE"""),"RSC005141")</f>
        <v>RSC005141</v>
      </c>
      <c r="B5125" s="41" t="str">
        <f>IFERROR(__xludf.DUMMYFUNCTION("""COMPUTED_VALUE"""),"aster_swla")</f>
        <v>aster_swla</v>
      </c>
    </row>
    <row r="5126">
      <c r="A5126" s="41" t="str">
        <f>IFERROR(__xludf.DUMMYFUNCTION("""COMPUTED_VALUE"""),"RSC005142")</f>
        <v>RSC005142</v>
      </c>
      <c r="B5126" s="41" t="str">
        <f>IFERROR(__xludf.DUMMYFUNCTION("""COMPUTED_VALUE"""),"xd w0ng")</f>
        <v>xd w0ng</v>
      </c>
    </row>
    <row r="5127">
      <c r="A5127" s="41" t="str">
        <f>IFERROR(__xludf.DUMMYFUNCTION("""COMPUTED_VALUE"""),"RSC005143")</f>
        <v>RSC005143</v>
      </c>
      <c r="B5127" s="41" t="str">
        <f>IFERROR(__xludf.DUMMYFUNCTION("""COMPUTED_VALUE"""),"xabii-")</f>
        <v>xabii-</v>
      </c>
    </row>
    <row r="5128">
      <c r="A5128" s="41" t="str">
        <f>IFERROR(__xludf.DUMMYFUNCTION("""COMPUTED_VALUE"""),"RSC005144")</f>
        <v>RSC005144</v>
      </c>
      <c r="B5128" s="41" t="str">
        <f>IFERROR(__xludf.DUMMYFUNCTION("""COMPUTED_VALUE"""),"Chason Derulo")</f>
        <v>Chason Derulo</v>
      </c>
    </row>
    <row r="5129">
      <c r="A5129" s="41" t="str">
        <f>IFERROR(__xludf.DUMMYFUNCTION("""COMPUTED_VALUE"""),"RSC005145")</f>
        <v>RSC005145</v>
      </c>
      <c r="B5129" s="41" t="str">
        <f>IFERROR(__xludf.DUMMYFUNCTION("""COMPUTED_VALUE"""),"Attonas")</f>
        <v>Attonas</v>
      </c>
    </row>
    <row r="5130">
      <c r="A5130" s="41" t="str">
        <f>IFERROR(__xludf.DUMMYFUNCTION("""COMPUTED_VALUE"""),"RSC005146")</f>
        <v>RSC005146</v>
      </c>
      <c r="B5130" s="41" t="str">
        <f>IFERROR(__xludf.DUMMYFUNCTION("""COMPUTED_VALUE"""),"n o a .")</f>
        <v>n o a .</v>
      </c>
    </row>
    <row r="5131">
      <c r="A5131" s="41" t="str">
        <f>IFERROR(__xludf.DUMMYFUNCTION("""COMPUTED_VALUE"""),"RSC005147")</f>
        <v>RSC005147</v>
      </c>
      <c r="B5131" s="41" t="str">
        <f>IFERROR(__xludf.DUMMYFUNCTION("""COMPUTED_VALUE"""),"Pinguu")</f>
        <v>Pinguu</v>
      </c>
    </row>
    <row r="5132">
      <c r="A5132" s="41" t="str">
        <f>IFERROR(__xludf.DUMMYFUNCTION("""COMPUTED_VALUE"""),"RSC005148")</f>
        <v>RSC005148</v>
      </c>
      <c r="B5132" s="41" t="str">
        <f>IFERROR(__xludf.DUMMYFUNCTION("""COMPUTED_VALUE"""),"Uffda_")</f>
        <v>Uffda_</v>
      </c>
    </row>
    <row r="5133">
      <c r="A5133" s="41" t="str">
        <f>IFERROR(__xludf.DUMMYFUNCTION("""COMPUTED_VALUE"""),"RSC005149")</f>
        <v>RSC005149</v>
      </c>
      <c r="B5133" s="41" t="str">
        <f>IFERROR(__xludf.DUMMYFUNCTION("""COMPUTED_VALUE"""),"Jay (Change)")</f>
        <v>Jay (Change)</v>
      </c>
    </row>
    <row r="5134">
      <c r="A5134" s="41" t="str">
        <f>IFERROR(__xludf.DUMMYFUNCTION("""COMPUTED_VALUE"""),"RSC005150")</f>
        <v>RSC005150</v>
      </c>
      <c r="B5134" s="41" t="str">
        <f>IFERROR(__xludf.DUMMYFUNCTION("""COMPUTED_VALUE"""),"Galatiq")</f>
        <v>Galatiq</v>
      </c>
    </row>
    <row r="5135">
      <c r="A5135" s="41" t="str">
        <f>IFERROR(__xludf.DUMMYFUNCTION("""COMPUTED_VALUE"""),"RSC005151")</f>
        <v>RSC005151</v>
      </c>
      <c r="B5135" s="41" t="str">
        <f>IFERROR(__xludf.DUMMYFUNCTION("""COMPUTED_VALUE"""),"Zoella")</f>
        <v>Zoella</v>
      </c>
    </row>
    <row r="5136">
      <c r="A5136" s="41" t="str">
        <f>IFERROR(__xludf.DUMMYFUNCTION("""COMPUTED_VALUE"""),"RSC005152")</f>
        <v>RSC005152</v>
      </c>
      <c r="B5136" s="41" t="str">
        <f>IFERROR(__xludf.DUMMYFUNCTION("""COMPUTED_VALUE"""),"Dfat22")</f>
        <v>Dfat22</v>
      </c>
    </row>
    <row r="5137">
      <c r="A5137" s="41" t="str">
        <f>IFERROR(__xludf.DUMMYFUNCTION("""COMPUTED_VALUE"""),"RSC005153")</f>
        <v>RSC005153</v>
      </c>
      <c r="B5137" s="41" t="str">
        <f>IFERROR(__xludf.DUMMYFUNCTION("""COMPUTED_VALUE"""),"The Ramsey")</f>
        <v>The Ramsey</v>
      </c>
    </row>
    <row r="5138">
      <c r="A5138" s="41" t="str">
        <f>IFERROR(__xludf.DUMMYFUNCTION("""COMPUTED_VALUE"""),"RSC005154")</f>
        <v>RSC005154</v>
      </c>
      <c r="B5138" s="41" t="str">
        <f>IFERROR(__xludf.DUMMYFUNCTION("""COMPUTED_VALUE"""),"TacoBae")</f>
        <v>TacoBae</v>
      </c>
    </row>
    <row r="5139">
      <c r="A5139" s="41" t="str">
        <f>IFERROR(__xludf.DUMMYFUNCTION("""COMPUTED_VALUE"""),"RSC005155")</f>
        <v>RSC005155</v>
      </c>
      <c r="B5139" s="41" t="str">
        <f>IFERROR(__xludf.DUMMYFUNCTION("""COMPUTED_VALUE"""),"Monomer")</f>
        <v>Monomer</v>
      </c>
    </row>
    <row r="5140">
      <c r="A5140" s="41" t="str">
        <f>IFERROR(__xludf.DUMMYFUNCTION("""COMPUTED_VALUE"""),"RSC005156")</f>
        <v>RSC005156</v>
      </c>
      <c r="B5140" s="41" t="str">
        <f>IFERROR(__xludf.DUMMYFUNCTION("""COMPUTED_VALUE"""),"PokerchuXD")</f>
        <v>PokerchuXD</v>
      </c>
    </row>
    <row r="5141">
      <c r="A5141" s="41" t="str">
        <f>IFERROR(__xludf.DUMMYFUNCTION("""COMPUTED_VALUE"""),"RSC005157")</f>
        <v>RSC005157</v>
      </c>
      <c r="B5141" s="41" t="str">
        <f>IFERROR(__xludf.DUMMYFUNCTION("""COMPUTED_VALUE"""),"ScuLa")</f>
        <v>ScuLa</v>
      </c>
    </row>
    <row r="5142">
      <c r="A5142" s="41" t="str">
        <f>IFERROR(__xludf.DUMMYFUNCTION("""COMPUTED_VALUE"""),"RSC005158")</f>
        <v>RSC005158</v>
      </c>
      <c r="B5142" s="41" t="str">
        <f>IFERROR(__xludf.DUMMYFUNCTION("""COMPUTED_VALUE"""),"c0mplex_")</f>
        <v>c0mplex_</v>
      </c>
    </row>
    <row r="5143">
      <c r="A5143" s="41" t="str">
        <f>IFERROR(__xludf.DUMMYFUNCTION("""COMPUTED_VALUE"""),"RSC005159")</f>
        <v>RSC005159</v>
      </c>
      <c r="B5143" s="41" t="str">
        <f>IFERROR(__xludf.DUMMYFUNCTION("""COMPUTED_VALUE"""),"Phoenix FPV")</f>
        <v>Phoenix FPV</v>
      </c>
    </row>
    <row r="5144">
      <c r="A5144" s="41" t="str">
        <f>IFERROR(__xludf.DUMMYFUNCTION("""COMPUTED_VALUE"""),"RSC005160")</f>
        <v>RSC005160</v>
      </c>
      <c r="B5144" s="41" t="str">
        <f>IFERROR(__xludf.DUMMYFUNCTION("""COMPUTED_VALUE"""),"Slathendar")</f>
        <v>Slathendar</v>
      </c>
    </row>
    <row r="5145">
      <c r="A5145" s="41" t="str">
        <f>IFERROR(__xludf.DUMMYFUNCTION("""COMPUTED_VALUE"""),"RSC005161")</f>
        <v>RSC005161</v>
      </c>
      <c r="B5145" s="41" t="str">
        <f>IFERROR(__xludf.DUMMYFUNCTION("""COMPUTED_VALUE"""),"Jaifinator34")</f>
        <v>Jaifinator34</v>
      </c>
    </row>
    <row r="5146">
      <c r="A5146" s="41" t="str">
        <f>IFERROR(__xludf.DUMMYFUNCTION("""COMPUTED_VALUE"""),"RSC005162")</f>
        <v>RSC005162</v>
      </c>
      <c r="B5146" s="41" t="str">
        <f>IFERROR(__xludf.DUMMYFUNCTION("""COMPUTED_VALUE"""),"Norcho Rivers")</f>
        <v>Norcho Rivers</v>
      </c>
    </row>
    <row r="5147">
      <c r="A5147" s="41" t="str">
        <f>IFERROR(__xludf.DUMMYFUNCTION("""COMPUTED_VALUE"""),"RSC005163")</f>
        <v>RSC005163</v>
      </c>
      <c r="B5147" s="41" t="str">
        <f>IFERROR(__xludf.DUMMYFUNCTION("""COMPUTED_VALUE"""),"Interiorlama687")</f>
        <v>Interiorlama687</v>
      </c>
    </row>
    <row r="5148">
      <c r="A5148" s="41" t="str">
        <f>IFERROR(__xludf.DUMMYFUNCTION("""COMPUTED_VALUE"""),"RSC005164")</f>
        <v>RSC005164</v>
      </c>
      <c r="B5148" s="41" t="str">
        <f>IFERROR(__xludf.DUMMYFUNCTION("""COMPUTED_VALUE"""),"r00k46")</f>
        <v>r00k46</v>
      </c>
    </row>
    <row r="5149">
      <c r="A5149" s="41" t="str">
        <f>IFERROR(__xludf.DUMMYFUNCTION("""COMPUTED_VALUE"""),"RSC005165")</f>
        <v>RSC005165</v>
      </c>
      <c r="B5149" s="41" t="str">
        <f>IFERROR(__xludf.DUMMYFUNCTION("""COMPUTED_VALUE"""),"Lucas")</f>
        <v>Lucas</v>
      </c>
    </row>
    <row r="5150">
      <c r="A5150" s="41" t="str">
        <f>IFERROR(__xludf.DUMMYFUNCTION("""COMPUTED_VALUE"""),"RSC005166")</f>
        <v>RSC005166</v>
      </c>
      <c r="B5150" s="41" t="str">
        <f>IFERROR(__xludf.DUMMYFUNCTION("""COMPUTED_VALUE"""),"Ravenzap")</f>
        <v>Ravenzap</v>
      </c>
    </row>
    <row r="5151">
      <c r="A5151" s="41" t="str">
        <f>IFERROR(__xludf.DUMMYFUNCTION("""COMPUTED_VALUE"""),"RSC005167")</f>
        <v>RSC005167</v>
      </c>
      <c r="B5151" s="41" t="str">
        <f>IFERROR(__xludf.DUMMYFUNCTION("""COMPUTED_VALUE"""),"cooper.")</f>
        <v>cooper.</v>
      </c>
    </row>
    <row r="5152">
      <c r="A5152" s="41" t="str">
        <f>IFERROR(__xludf.DUMMYFUNCTION("""COMPUTED_VALUE"""),"RSC005168")</f>
        <v>RSC005168</v>
      </c>
      <c r="B5152" s="41" t="str">
        <f>IFERROR(__xludf.DUMMYFUNCTION("""COMPUTED_VALUE"""),"Fazzi")</f>
        <v>Fazzi</v>
      </c>
    </row>
    <row r="5153">
      <c r="A5153" s="41" t="str">
        <f>IFERROR(__xludf.DUMMYFUNCTION("""COMPUTED_VALUE"""),"RSC005169")</f>
        <v>RSC005169</v>
      </c>
      <c r="B5153" s="41" t="str">
        <f>IFERROR(__xludf.DUMMYFUNCTION("""COMPUTED_VALUE"""),"nightraptor04")</f>
        <v>nightraptor04</v>
      </c>
    </row>
    <row r="5154">
      <c r="A5154" s="41" t="str">
        <f>IFERROR(__xludf.DUMMYFUNCTION("""COMPUTED_VALUE"""),"RSC005170")</f>
        <v>RSC005170</v>
      </c>
      <c r="B5154" s="41" t="str">
        <f>IFERROR(__xludf.DUMMYFUNCTION("""COMPUTED_VALUE"""),"FrenchyNF")</f>
        <v>FrenchyNF</v>
      </c>
    </row>
    <row r="5155">
      <c r="A5155" s="41" t="str">
        <f>IFERROR(__xludf.DUMMYFUNCTION("""COMPUTED_VALUE"""),"RSC005171")</f>
        <v>RSC005171</v>
      </c>
      <c r="B5155" s="41" t="str">
        <f>IFERROR(__xludf.DUMMYFUNCTION("""COMPUTED_VALUE"""),"Niftyy.")</f>
        <v>Niftyy.</v>
      </c>
    </row>
    <row r="5156">
      <c r="A5156" s="41" t="str">
        <f>IFERROR(__xludf.DUMMYFUNCTION("""COMPUTED_VALUE"""),"RSC005172")</f>
        <v>RSC005172</v>
      </c>
      <c r="B5156" s="41" t="str">
        <f>IFERROR(__xludf.DUMMYFUNCTION("""COMPUTED_VALUE"""),"SirEdwardNukem")</f>
        <v>SirEdwardNukem</v>
      </c>
    </row>
    <row r="5157">
      <c r="A5157" s="41" t="str">
        <f>IFERROR(__xludf.DUMMYFUNCTION("""COMPUTED_VALUE"""),"RSC005173")</f>
        <v>RSC005173</v>
      </c>
      <c r="B5157" s="41" t="str">
        <f>IFERROR(__xludf.DUMMYFUNCTION("""COMPUTED_VALUE"""),"DMister")</f>
        <v>DMister</v>
      </c>
    </row>
    <row r="5158">
      <c r="A5158" s="41" t="str">
        <f>IFERROR(__xludf.DUMMYFUNCTION("""COMPUTED_VALUE"""),"RSC005174")</f>
        <v>RSC005174</v>
      </c>
      <c r="B5158" s="41" t="str">
        <f>IFERROR(__xludf.DUMMYFUNCTION("""COMPUTED_VALUE"""),"Soggy")</f>
        <v>Soggy</v>
      </c>
    </row>
    <row r="5159">
      <c r="A5159" s="41" t="str">
        <f>IFERROR(__xludf.DUMMYFUNCTION("""COMPUTED_VALUE"""),"RSC005175")</f>
        <v>RSC005175</v>
      </c>
      <c r="B5159" s="41" t="str">
        <f>IFERROR(__xludf.DUMMYFUNCTION("""COMPUTED_VALUE"""),"femboy milo")</f>
        <v>femboy milo</v>
      </c>
    </row>
    <row r="5160">
      <c r="A5160" s="41" t="str">
        <f>IFERROR(__xludf.DUMMYFUNCTION("""COMPUTED_VALUE"""),"RSC005176")</f>
        <v>RSC005176</v>
      </c>
      <c r="B5160" s="41" t="str">
        <f>IFERROR(__xludf.DUMMYFUNCTION("""COMPUTED_VALUE"""),"Sulace")</f>
        <v>Sulace</v>
      </c>
    </row>
    <row r="5161">
      <c r="A5161" s="41" t="str">
        <f>IFERROR(__xludf.DUMMYFUNCTION("""COMPUTED_VALUE"""),"RSC005177")</f>
        <v>RSC005177</v>
      </c>
      <c r="B5161" s="41" t="str">
        <f>IFERROR(__xludf.DUMMYFUNCTION("""COMPUTED_VALUE"""),"ReadMyNotes")</f>
        <v>ReadMyNotes</v>
      </c>
    </row>
    <row r="5162">
      <c r="A5162" s="41" t="str">
        <f>IFERROR(__xludf.DUMMYFUNCTION("""COMPUTED_VALUE"""),"RSC005178")</f>
        <v>RSC005178</v>
      </c>
      <c r="B5162" s="41" t="str">
        <f>IFERROR(__xludf.DUMMYFUNCTION("""COMPUTED_VALUE"""),"x Purrrple x")</f>
        <v>x Purrrple x</v>
      </c>
    </row>
    <row r="5163">
      <c r="A5163" s="41" t="str">
        <f>IFERROR(__xludf.DUMMYFUNCTION("""COMPUTED_VALUE"""),"RSC005179")</f>
        <v>RSC005179</v>
      </c>
      <c r="B5163" s="41" t="str">
        <f>IFERROR(__xludf.DUMMYFUNCTION("""COMPUTED_VALUE"""),"Ko.")</f>
        <v>Ko.</v>
      </c>
    </row>
    <row r="5164">
      <c r="A5164" s="41" t="str">
        <f>IFERROR(__xludf.DUMMYFUNCTION("""COMPUTED_VALUE"""),"RSC005180")</f>
        <v>RSC005180</v>
      </c>
      <c r="B5164" s="41" t="str">
        <f>IFERROR(__xludf.DUMMYFUNCTION("""COMPUTED_VALUE"""),"Zenith")</f>
        <v>Zenith</v>
      </c>
    </row>
    <row r="5165">
      <c r="A5165" s="41" t="str">
        <f>IFERROR(__xludf.DUMMYFUNCTION("""COMPUTED_VALUE"""),"RSC005181")</f>
        <v>RSC005181</v>
      </c>
      <c r="B5165" s="41" t="str">
        <f>IFERROR(__xludf.DUMMYFUNCTION("""COMPUTED_VALUE"""),"Suhtivah")</f>
        <v>Suhtivah</v>
      </c>
    </row>
    <row r="5166">
      <c r="A5166" s="41" t="str">
        <f>IFERROR(__xludf.DUMMYFUNCTION("""COMPUTED_VALUE"""),"RSC005182")</f>
        <v>RSC005182</v>
      </c>
      <c r="B5166" s="41" t="str">
        <f>IFERROR(__xludf.DUMMYFUNCTION("""COMPUTED_VALUE"""),"Hurricane")</f>
        <v>Hurricane</v>
      </c>
    </row>
    <row r="5167">
      <c r="A5167" s="41" t="str">
        <f>IFERROR(__xludf.DUMMYFUNCTION("""COMPUTED_VALUE"""),"RSC005183")</f>
        <v>RSC005183</v>
      </c>
      <c r="B5167" s="41" t="str">
        <f>IFERROR(__xludf.DUMMYFUNCTION("""COMPUTED_VALUE"""),"Kagura.")</f>
        <v>Kagura.</v>
      </c>
    </row>
    <row r="5168">
      <c r="A5168" s="41" t="str">
        <f>IFERROR(__xludf.DUMMYFUNCTION("""COMPUTED_VALUE"""),"RSC005184")</f>
        <v>RSC005184</v>
      </c>
      <c r="B5168" s="41" t="str">
        <f>IFERROR(__xludf.DUMMYFUNCTION("""COMPUTED_VALUE"""),"xisle")</f>
        <v>xisle</v>
      </c>
    </row>
    <row r="5169">
      <c r="A5169" s="41" t="str">
        <f>IFERROR(__xludf.DUMMYFUNCTION("""COMPUTED_VALUE"""),"RSC005185")</f>
        <v>RSC005185</v>
      </c>
      <c r="B5169" s="41" t="str">
        <f>IFERROR(__xludf.DUMMYFUNCTION("""COMPUTED_VALUE"""),"Its.Freezy")</f>
        <v>Its.Freezy</v>
      </c>
    </row>
    <row r="5170">
      <c r="A5170" s="41" t="str">
        <f>IFERROR(__xludf.DUMMYFUNCTION("""COMPUTED_VALUE"""),"RSC005186")</f>
        <v>RSC005186</v>
      </c>
      <c r="B5170" s="41" t="str">
        <f>IFERROR(__xludf.DUMMYFUNCTION("""COMPUTED_VALUE"""),"Complex 流れ")</f>
        <v>Complex 流れ</v>
      </c>
    </row>
    <row r="5171">
      <c r="A5171" s="41" t="str">
        <f>IFERROR(__xludf.DUMMYFUNCTION("""COMPUTED_VALUE"""),"RSC005187")</f>
        <v>RSC005187</v>
      </c>
      <c r="B5171" s="41" t="str">
        <f>IFERROR(__xludf.DUMMYFUNCTION("""COMPUTED_VALUE"""),"Karistafir al-nadim")</f>
        <v>Karistafir al-nadim</v>
      </c>
    </row>
    <row r="5172">
      <c r="A5172" s="41" t="str">
        <f>IFERROR(__xludf.DUMMYFUNCTION("""COMPUTED_VALUE"""),"RSC005188")</f>
        <v>RSC005188</v>
      </c>
      <c r="B5172" s="41" t="str">
        <f>IFERROR(__xludf.DUMMYFUNCTION("""COMPUTED_VALUE"""),"TTV.shinny999")</f>
        <v>TTV.shinny999</v>
      </c>
    </row>
    <row r="5173">
      <c r="A5173" s="41" t="str">
        <f>IFERROR(__xludf.DUMMYFUNCTION("""COMPUTED_VALUE"""),"RSC005189")</f>
        <v>RSC005189</v>
      </c>
      <c r="B5173" s="41" t="str">
        <f>IFERROR(__xludf.DUMMYFUNCTION("""COMPUTED_VALUE"""),"the insane dan")</f>
        <v>the insane dan</v>
      </c>
    </row>
    <row r="5174">
      <c r="A5174" s="41" t="str">
        <f>IFERROR(__xludf.DUMMYFUNCTION("""COMPUTED_VALUE"""),"RSC005190")</f>
        <v>RSC005190</v>
      </c>
      <c r="B5174" s="41" t="str">
        <f>IFERROR(__xludf.DUMMYFUNCTION("""COMPUTED_VALUE"""),"Bennyboobear185")</f>
        <v>Bennyboobear185</v>
      </c>
    </row>
    <row r="5175">
      <c r="A5175" s="41" t="str">
        <f>IFERROR(__xludf.DUMMYFUNCTION("""COMPUTED_VALUE"""),"RSC005191")</f>
        <v>RSC005191</v>
      </c>
      <c r="B5175" s="41" t="str">
        <f>IFERROR(__xludf.DUMMYFUNCTION("""COMPUTED_VALUE"""),"Anonymouse")</f>
        <v>Anonymouse</v>
      </c>
    </row>
    <row r="5176">
      <c r="A5176" s="41" t="str">
        <f>IFERROR(__xludf.DUMMYFUNCTION("""COMPUTED_VALUE"""),"RSC005192")</f>
        <v>RSC005192</v>
      </c>
      <c r="B5176" s="41" t="str">
        <f>IFERROR(__xludf.DUMMYFUNCTION("""COMPUTED_VALUE"""),"Leinad")</f>
        <v>Leinad</v>
      </c>
    </row>
    <row r="5177">
      <c r="A5177" s="41" t="str">
        <f>IFERROR(__xludf.DUMMYFUNCTION("""COMPUTED_VALUE"""),"RSC005193")</f>
        <v>RSC005193</v>
      </c>
      <c r="B5177" s="41" t="str">
        <f>IFERROR(__xludf.DUMMYFUNCTION("""COMPUTED_VALUE"""),"RegularlyJones")</f>
        <v>RegularlyJones</v>
      </c>
    </row>
    <row r="5178">
      <c r="A5178" s="41" t="str">
        <f>IFERROR(__xludf.DUMMYFUNCTION("""COMPUTED_VALUE"""),"RSC005194")</f>
        <v>RSC005194</v>
      </c>
      <c r="B5178" s="41" t="str">
        <f>IFERROR(__xludf.DUMMYFUNCTION("""COMPUTED_VALUE"""),"Unvoiced0o")</f>
        <v>Unvoiced0o</v>
      </c>
    </row>
    <row r="5179">
      <c r="A5179" s="41" t="str">
        <f>IFERROR(__xludf.DUMMYFUNCTION("""COMPUTED_VALUE"""),"RSC005195")</f>
        <v>RSC005195</v>
      </c>
      <c r="B5179" s="41" t="str">
        <f>IFERROR(__xludf.DUMMYFUNCTION("""COMPUTED_VALUE"""),"form_rl")</f>
        <v>form_rl</v>
      </c>
    </row>
    <row r="5180">
      <c r="A5180" s="41" t="str">
        <f>IFERROR(__xludf.DUMMYFUNCTION("""COMPUTED_VALUE"""),"RSC005196")</f>
        <v>RSC005196</v>
      </c>
      <c r="B5180" s="41" t="str">
        <f>IFERROR(__xludf.DUMMYFUNCTION("""COMPUTED_VALUE"""),"Bemar99")</f>
        <v>Bemar99</v>
      </c>
    </row>
    <row r="5181">
      <c r="A5181" s="41" t="str">
        <f>IFERROR(__xludf.DUMMYFUNCTION("""COMPUTED_VALUE"""),"RSC005197")</f>
        <v>RSC005197</v>
      </c>
      <c r="B5181" s="41" t="str">
        <f>IFERROR(__xludf.DUMMYFUNCTION("""COMPUTED_VALUE"""),"zehstey")</f>
        <v>zehstey</v>
      </c>
    </row>
    <row r="5182">
      <c r="A5182" s="41" t="str">
        <f>IFERROR(__xludf.DUMMYFUNCTION("""COMPUTED_VALUE"""),"RSC005198")</f>
        <v>RSC005198</v>
      </c>
      <c r="B5182" s="41" t="str">
        <f>IFERROR(__xludf.DUMMYFUNCTION("""COMPUTED_VALUE"""),"Motion1ess_ed yt")</f>
        <v>Motion1ess_ed yt</v>
      </c>
    </row>
    <row r="5183">
      <c r="A5183" s="41" t="str">
        <f>IFERROR(__xludf.DUMMYFUNCTION("""COMPUTED_VALUE"""),"RSC005199")</f>
        <v>RSC005199</v>
      </c>
      <c r="B5183" s="41" t="str">
        <f>IFERROR(__xludf.DUMMYFUNCTION("""COMPUTED_VALUE"""),"mix")</f>
        <v>mix</v>
      </c>
    </row>
    <row r="5184">
      <c r="A5184" s="41" t="str">
        <f>IFERROR(__xludf.DUMMYFUNCTION("""COMPUTED_VALUE"""),"RSC005200")</f>
        <v>RSC005200</v>
      </c>
      <c r="B5184" s="41" t="str">
        <f>IFERROR(__xludf.DUMMYFUNCTION("""COMPUTED_VALUE"""),"IndirectSwing89")</f>
        <v>IndirectSwing89</v>
      </c>
    </row>
    <row r="5185">
      <c r="A5185" s="41" t="str">
        <f>IFERROR(__xludf.DUMMYFUNCTION("""COMPUTED_VALUE"""),"RSC005201")</f>
        <v>RSC005201</v>
      </c>
      <c r="B5185" s="41" t="str">
        <f>IFERROR(__xludf.DUMMYFUNCTION("""COMPUTED_VALUE"""),"Stonewall")</f>
        <v>Stonewall</v>
      </c>
    </row>
    <row r="5186">
      <c r="A5186" s="41" t="str">
        <f>IFERROR(__xludf.DUMMYFUNCTION("""COMPUTED_VALUE"""),"RSC005202")</f>
        <v>RSC005202</v>
      </c>
      <c r="B5186" s="41" t="str">
        <f>IFERROR(__xludf.DUMMYFUNCTION("""COMPUTED_VALUE"""),"Muffin Man S13")</f>
        <v>Muffin Man S13</v>
      </c>
    </row>
    <row r="5187">
      <c r="A5187" s="41" t="str">
        <f>IFERROR(__xludf.DUMMYFUNCTION("""COMPUTED_VALUE"""),"RSC005203")</f>
        <v>RSC005203</v>
      </c>
      <c r="B5187" s="41" t="str">
        <f>IFERROR(__xludf.DUMMYFUNCTION("""COMPUTED_VALUE"""),"lordpinhead")</f>
        <v>lordpinhead</v>
      </c>
    </row>
    <row r="5188">
      <c r="A5188" s="41" t="str">
        <f>IFERROR(__xludf.DUMMYFUNCTION("""COMPUTED_VALUE"""),"RSC005204")</f>
        <v>RSC005204</v>
      </c>
      <c r="B5188" s="41" t="str">
        <f>IFERROR(__xludf.DUMMYFUNCTION("""COMPUTED_VALUE"""),"robtull1")</f>
        <v>robtull1</v>
      </c>
    </row>
    <row r="5189">
      <c r="A5189" s="41" t="str">
        <f>IFERROR(__xludf.DUMMYFUNCTION("""COMPUTED_VALUE"""),"RSC005205")</f>
        <v>RSC005205</v>
      </c>
      <c r="B5189" s="41" t="str">
        <f>IFERROR(__xludf.DUMMYFUNCTION("""COMPUTED_VALUE"""),"A Legit Bunee")</f>
        <v>A Legit Bunee</v>
      </c>
    </row>
    <row r="5190">
      <c r="A5190" s="41" t="str">
        <f>IFERROR(__xludf.DUMMYFUNCTION("""COMPUTED_VALUE"""),"RSC005206")</f>
        <v>RSC005206</v>
      </c>
      <c r="B5190" s="41" t="str">
        <f>IFERROR(__xludf.DUMMYFUNCTION("""COMPUTED_VALUE"""),"Maples")</f>
        <v>Maples</v>
      </c>
    </row>
    <row r="5191">
      <c r="A5191" s="41" t="str">
        <f>IFERROR(__xludf.DUMMYFUNCTION("""COMPUTED_VALUE"""),"RSC005207")</f>
        <v>RSC005207</v>
      </c>
      <c r="B5191" s="41" t="str">
        <f>IFERROR(__xludf.DUMMYFUNCTION("""COMPUTED_VALUE"""),"Ark0002")</f>
        <v>Ark0002</v>
      </c>
    </row>
    <row r="5192">
      <c r="A5192" s="41" t="str">
        <f>IFERROR(__xludf.DUMMYFUNCTION("""COMPUTED_VALUE"""),"RSC005208")</f>
        <v>RSC005208</v>
      </c>
      <c r="B5192" s="41" t="str">
        <f>IFERROR(__xludf.DUMMYFUNCTION("""COMPUTED_VALUE"""),"F8Envy4880")</f>
        <v>F8Envy4880</v>
      </c>
    </row>
    <row r="5193">
      <c r="A5193" s="41" t="str">
        <f>IFERROR(__xludf.DUMMYFUNCTION("""COMPUTED_VALUE"""),"RSC005209")</f>
        <v>RSC005209</v>
      </c>
      <c r="B5193" s="41" t="str">
        <f>IFERROR(__xludf.DUMMYFUNCTION("""COMPUTED_VALUE"""),"CarshawnLynch")</f>
        <v>CarshawnLynch</v>
      </c>
    </row>
    <row r="5194">
      <c r="A5194" s="41" t="str">
        <f>IFERROR(__xludf.DUMMYFUNCTION("""COMPUTED_VALUE"""),"RSC005210")</f>
        <v>RSC005210</v>
      </c>
      <c r="B5194" s="41" t="str">
        <f>IFERROR(__xludf.DUMMYFUNCTION("""COMPUTED_VALUE"""),"baldmanstreamer")</f>
        <v>baldmanstreamer</v>
      </c>
    </row>
    <row r="5195">
      <c r="A5195" s="41" t="str">
        <f>IFERROR(__xludf.DUMMYFUNCTION("""COMPUTED_VALUE"""),"RSC005211")</f>
        <v>RSC005211</v>
      </c>
      <c r="B5195" s="41" t="str">
        <f>IFERROR(__xludf.DUMMYFUNCTION("""COMPUTED_VALUE"""),"enyal.")</f>
        <v>enyal.</v>
      </c>
    </row>
    <row r="5196">
      <c r="A5196" s="41" t="str">
        <f>IFERROR(__xludf.DUMMYFUNCTION("""COMPUTED_VALUE"""),"RSC005212")</f>
        <v>RSC005212</v>
      </c>
      <c r="B5196" s="41" t="str">
        <f>IFERROR(__xludf.DUMMYFUNCTION("""COMPUTED_VALUE"""),"crackdragon")</f>
        <v>crackdragon</v>
      </c>
    </row>
    <row r="5197">
      <c r="A5197" s="41" t="str">
        <f>IFERROR(__xludf.DUMMYFUNCTION("""COMPUTED_VALUE"""),"RSC005213")</f>
        <v>RSC005213</v>
      </c>
      <c r="B5197" s="41" t="str">
        <f>IFERROR(__xludf.DUMMYFUNCTION("""COMPUTED_VALUE"""),"hcalno_250")</f>
        <v>hcalno_250</v>
      </c>
    </row>
    <row r="5198">
      <c r="A5198" s="41" t="str">
        <f>IFERROR(__xludf.DUMMYFUNCTION("""COMPUTED_VALUE"""),"RSC005214")</f>
        <v>RSC005214</v>
      </c>
      <c r="B5198" s="41" t="str">
        <f>IFERROR(__xludf.DUMMYFUNCTION("""COMPUTED_VALUE"""),"LaZlough")</f>
        <v>LaZlough</v>
      </c>
    </row>
    <row r="5199">
      <c r="A5199" s="41" t="str">
        <f>IFERROR(__xludf.DUMMYFUNCTION("""COMPUTED_VALUE"""),"RSC005215")</f>
        <v>RSC005215</v>
      </c>
      <c r="B5199" s="41" t="str">
        <f>IFERROR(__xludf.DUMMYFUNCTION("""COMPUTED_VALUE"""),"Countrywolfz")</f>
        <v>Countrywolfz</v>
      </c>
    </row>
    <row r="5200">
      <c r="A5200" s="41" t="str">
        <f>IFERROR(__xludf.DUMMYFUNCTION("""COMPUTED_VALUE"""),"RSC005216")</f>
        <v>RSC005216</v>
      </c>
      <c r="B5200" s="41" t="str">
        <f>IFERROR(__xludf.DUMMYFUNCTION("""COMPUTED_VALUE"""),".bzy")</f>
        <v>.bzy</v>
      </c>
    </row>
    <row r="5201">
      <c r="A5201" s="41" t="str">
        <f>IFERROR(__xludf.DUMMYFUNCTION("""COMPUTED_VALUE"""),"RSC005217")</f>
        <v>RSC005217</v>
      </c>
      <c r="B5201" s="41" t="str">
        <f>IFERROR(__xludf.DUMMYFUNCTION("""COMPUTED_VALUE"""),"DrNasti")</f>
        <v>DrNasti</v>
      </c>
    </row>
    <row r="5202">
      <c r="A5202" s="41" t="str">
        <f>IFERROR(__xludf.DUMMYFUNCTION("""COMPUTED_VALUE"""),"RSC005218")</f>
        <v>RSC005218</v>
      </c>
      <c r="B5202" s="41" t="str">
        <f>IFERROR(__xludf.DUMMYFUNCTION("""COMPUTED_VALUE"""),"Lnvely")</f>
        <v>Lnvely</v>
      </c>
    </row>
    <row r="5203">
      <c r="A5203" s="41" t="str">
        <f>IFERROR(__xludf.DUMMYFUNCTION("""COMPUTED_VALUE"""),"RSC005219")</f>
        <v>RSC005219</v>
      </c>
      <c r="B5203" s="41" t="str">
        <f>IFERROR(__xludf.DUMMYFUNCTION("""COMPUTED_VALUE"""),"iargue")</f>
        <v>iargue</v>
      </c>
    </row>
    <row r="5204">
      <c r="A5204" s="41" t="str">
        <f>IFERROR(__xludf.DUMMYFUNCTION("""COMPUTED_VALUE"""),"RSC005220")</f>
        <v>RSC005220</v>
      </c>
      <c r="B5204" s="41" t="str">
        <f>IFERROR(__xludf.DUMMYFUNCTION("""COMPUTED_VALUE"""),"Swax")</f>
        <v>Swax</v>
      </c>
    </row>
    <row r="5205">
      <c r="A5205" s="41" t="str">
        <f>IFERROR(__xludf.DUMMYFUNCTION("""COMPUTED_VALUE"""),"RSC005221")</f>
        <v>RSC005221</v>
      </c>
      <c r="B5205" s="41" t="str">
        <f>IFERROR(__xludf.DUMMYFUNCTION("""COMPUTED_VALUE"""),"Stickaplex")</f>
        <v>Stickaplex</v>
      </c>
    </row>
    <row r="5206">
      <c r="A5206" s="41" t="str">
        <f>IFERROR(__xludf.DUMMYFUNCTION("""COMPUTED_VALUE"""),"RSC005222")</f>
        <v>RSC005222</v>
      </c>
      <c r="B5206" s="41" t="str">
        <f>IFERROR(__xludf.DUMMYFUNCTION("""COMPUTED_VALUE"""),"ayLucho")</f>
        <v>ayLucho</v>
      </c>
    </row>
    <row r="5207">
      <c r="A5207" s="41" t="str">
        <f>IFERROR(__xludf.DUMMYFUNCTION("""COMPUTED_VALUE"""),"RSC005223")</f>
        <v>RSC005223</v>
      </c>
      <c r="B5207" s="41" t="str">
        <f>IFERROR(__xludf.DUMMYFUNCTION("""COMPUTED_VALUE"""),"Floofy")</f>
        <v>Floofy</v>
      </c>
    </row>
    <row r="5208">
      <c r="A5208" s="41" t="str">
        <f>IFERROR(__xludf.DUMMYFUNCTION("""COMPUTED_VALUE"""),"RSC005224")</f>
        <v>RSC005224</v>
      </c>
      <c r="B5208" s="41" t="str">
        <f>IFERROR(__xludf.DUMMYFUNCTION("""COMPUTED_VALUE"""),"Kage.-_-")</f>
        <v>Kage.-_-</v>
      </c>
    </row>
    <row r="5209">
      <c r="A5209" s="41" t="str">
        <f>IFERROR(__xludf.DUMMYFUNCTION("""COMPUTED_VALUE"""),"RSC005225")</f>
        <v>RSC005225</v>
      </c>
      <c r="B5209" s="41" t="str">
        <f>IFERROR(__xludf.DUMMYFUNCTION("""COMPUTED_VALUE"""),"StellarBlitz")</f>
        <v>StellarBlitz</v>
      </c>
    </row>
    <row r="5210">
      <c r="A5210" s="41" t="str">
        <f>IFERROR(__xludf.DUMMYFUNCTION("""COMPUTED_VALUE"""),"RSC005226")</f>
        <v>RSC005226</v>
      </c>
      <c r="B5210" s="41" t="str">
        <f>IFERROR(__xludf.DUMMYFUNCTION("""COMPUTED_VALUE"""),"Samurovic")</f>
        <v>Samurovic</v>
      </c>
    </row>
    <row r="5211">
      <c r="A5211" s="41" t="str">
        <f>IFERROR(__xludf.DUMMYFUNCTION("""COMPUTED_VALUE"""),"RSC005227")</f>
        <v>RSC005227</v>
      </c>
      <c r="B5211" s="41" t="str">
        <f>IFERROR(__xludf.DUMMYFUNCTION("""COMPUTED_VALUE"""),"LetsGetSirius")</f>
        <v>LetsGetSirius</v>
      </c>
    </row>
    <row r="5212">
      <c r="A5212" s="41" t="str">
        <f>IFERROR(__xludf.DUMMYFUNCTION("""COMPUTED_VALUE"""),"RSC005228")</f>
        <v>RSC005228</v>
      </c>
      <c r="B5212" s="41" t="str">
        <f>IFERROR(__xludf.DUMMYFUNCTION("""COMPUTED_VALUE"""),"TheMagnelephant")</f>
        <v>TheMagnelephant</v>
      </c>
    </row>
    <row r="5213">
      <c r="A5213" s="41" t="str">
        <f>IFERROR(__xludf.DUMMYFUNCTION("""COMPUTED_VALUE"""),"RSC005229")</f>
        <v>RSC005229</v>
      </c>
      <c r="B5213" s="41" t="str">
        <f>IFERROR(__xludf.DUMMYFUNCTION("""COMPUTED_VALUE"""),"brokenyeeter")</f>
        <v>brokenyeeter</v>
      </c>
    </row>
    <row r="5214">
      <c r="A5214" s="41" t="str">
        <f>IFERROR(__xludf.DUMMYFUNCTION("""COMPUTED_VALUE"""),"RSC005230")</f>
        <v>RSC005230</v>
      </c>
      <c r="B5214" s="41" t="str">
        <f>IFERROR(__xludf.DUMMYFUNCTION("""COMPUTED_VALUE"""),"TheKAoTik1")</f>
        <v>TheKAoTik1</v>
      </c>
    </row>
    <row r="5215">
      <c r="A5215" s="41" t="str">
        <f>IFERROR(__xludf.DUMMYFUNCTION("""COMPUTED_VALUE"""),"RSC005231")</f>
        <v>RSC005231</v>
      </c>
      <c r="B5215" s="41" t="str">
        <f>IFERROR(__xludf.DUMMYFUNCTION("""COMPUTED_VALUE"""),"Ryan")</f>
        <v>Ryan</v>
      </c>
    </row>
    <row r="5216">
      <c r="A5216" s="41" t="str">
        <f>IFERROR(__xludf.DUMMYFUNCTION("""COMPUTED_VALUE"""),"RSC005232")</f>
        <v>RSC005232</v>
      </c>
      <c r="B5216" s="41" t="str">
        <f>IFERROR(__xludf.DUMMYFUNCTION("""COMPUTED_VALUE"""),"AuryArts")</f>
        <v>AuryArts</v>
      </c>
    </row>
    <row r="5217">
      <c r="A5217" s="41" t="str">
        <f>IFERROR(__xludf.DUMMYFUNCTION("""COMPUTED_VALUE"""),"RSC005233")</f>
        <v>RSC005233</v>
      </c>
      <c r="B5217" s="41" t="str">
        <f>IFERROR(__xludf.DUMMYFUNCTION("""COMPUTED_VALUE"""),"Carl")</f>
        <v>Carl</v>
      </c>
    </row>
    <row r="5218">
      <c r="A5218" s="41" t="str">
        <f>IFERROR(__xludf.DUMMYFUNCTION("""COMPUTED_VALUE"""),"RSC005234")</f>
        <v>RSC005234</v>
      </c>
      <c r="B5218" s="41" t="str">
        <f>IFERROR(__xludf.DUMMYFUNCTION("""COMPUTED_VALUE"""),"Hirsch")</f>
        <v>Hirsch</v>
      </c>
    </row>
    <row r="5219">
      <c r="A5219" s="41" t="str">
        <f>IFERROR(__xludf.DUMMYFUNCTION("""COMPUTED_VALUE"""),"RSC005235")</f>
        <v>RSC005235</v>
      </c>
      <c r="B5219" s="41" t="str">
        <f>IFERROR(__xludf.DUMMYFUNCTION("""COMPUTED_VALUE"""),"nkback")</f>
        <v>nkback</v>
      </c>
    </row>
    <row r="5220">
      <c r="A5220" s="41" t="str">
        <f>IFERROR(__xludf.DUMMYFUNCTION("""COMPUTED_VALUE"""),"RSC005236")</f>
        <v>RSC005236</v>
      </c>
      <c r="B5220" s="41" t="str">
        <f>IFERROR(__xludf.DUMMYFUNCTION("""COMPUTED_VALUE"""),"Rozi-")</f>
        <v>Rozi-</v>
      </c>
    </row>
    <row r="5221">
      <c r="A5221" s="41" t="str">
        <f>IFERROR(__xludf.DUMMYFUNCTION("""COMPUTED_VALUE"""),"RSC005237")</f>
        <v>RSC005237</v>
      </c>
      <c r="B5221" s="41" t="str">
        <f>IFERROR(__xludf.DUMMYFUNCTION("""COMPUTED_VALUE"""),"Then000bster")</f>
        <v>Then000bster</v>
      </c>
    </row>
    <row r="5222">
      <c r="A5222" s="41" t="str">
        <f>IFERROR(__xludf.DUMMYFUNCTION("""COMPUTED_VALUE"""),"RSC005238")</f>
        <v>RSC005238</v>
      </c>
      <c r="B5222" s="41" t="str">
        <f>IFERROR(__xludf.DUMMYFUNCTION("""COMPUTED_VALUE"""),"IAmHoba")</f>
        <v>IAmHoba</v>
      </c>
    </row>
    <row r="5223">
      <c r="A5223" s="41" t="str">
        <f>IFERROR(__xludf.DUMMYFUNCTION("""COMPUTED_VALUE"""),"RSC005239")</f>
        <v>RSC005239</v>
      </c>
      <c r="B5223" s="41" t="str">
        <f>IFERROR(__xludf.DUMMYFUNCTION("""COMPUTED_VALUE"""),"Tikkkkkkko")</f>
        <v>Tikkkkkkko</v>
      </c>
    </row>
    <row r="5224">
      <c r="A5224" s="41" t="str">
        <f>IFERROR(__xludf.DUMMYFUNCTION("""COMPUTED_VALUE"""),"RSC005240")</f>
        <v>RSC005240</v>
      </c>
      <c r="B5224" s="41" t="str">
        <f>IFERROR(__xludf.DUMMYFUNCTION("""COMPUTED_VALUE"""),"Fuel The Fury")</f>
        <v>Fuel The Fury</v>
      </c>
    </row>
    <row r="5225">
      <c r="A5225" s="41" t="str">
        <f>IFERROR(__xludf.DUMMYFUNCTION("""COMPUTED_VALUE"""),"RSC005241")</f>
        <v>RSC005241</v>
      </c>
      <c r="B5225" s="41" t="str">
        <f>IFERROR(__xludf.DUMMYFUNCTION("""COMPUTED_VALUE"""),"Mounke1")</f>
        <v>Mounke1</v>
      </c>
    </row>
    <row r="5226">
      <c r="A5226" s="41" t="str">
        <f>IFERROR(__xludf.DUMMYFUNCTION("""COMPUTED_VALUE"""),"RSC005242")</f>
        <v>RSC005242</v>
      </c>
      <c r="B5226" s="41" t="str">
        <f>IFERROR(__xludf.DUMMYFUNCTION("""COMPUTED_VALUE"""),"shshsuwusb")</f>
        <v>shshsuwusb</v>
      </c>
    </row>
    <row r="5227">
      <c r="A5227" s="41" t="str">
        <f>IFERROR(__xludf.DUMMYFUNCTION("""COMPUTED_VALUE"""),"RSC005243")</f>
        <v>RSC005243</v>
      </c>
      <c r="B5227" s="41" t="str">
        <f>IFERROR(__xludf.DUMMYFUNCTION("""COMPUTED_VALUE"""),"ElementOfSoul")</f>
        <v>ElementOfSoul</v>
      </c>
    </row>
    <row r="5228">
      <c r="A5228" s="41" t="str">
        <f>IFERROR(__xludf.DUMMYFUNCTION("""COMPUTED_VALUE"""),"RSC005244")</f>
        <v>RSC005244</v>
      </c>
      <c r="B5228" s="41" t="str">
        <f>IFERROR(__xludf.DUMMYFUNCTION("""COMPUTED_VALUE"""),"TheTerrys17")</f>
        <v>TheTerrys17</v>
      </c>
    </row>
    <row r="5229">
      <c r="A5229" s="41" t="str">
        <f>IFERROR(__xludf.DUMMYFUNCTION("""COMPUTED_VALUE"""),"RSC005245")</f>
        <v>RSC005245</v>
      </c>
      <c r="B5229" s="41" t="str">
        <f>IFERROR(__xludf.DUMMYFUNCTION("""COMPUTED_VALUE"""),"rmacK")</f>
        <v>rmacK</v>
      </c>
    </row>
    <row r="5230">
      <c r="A5230" s="41" t="str">
        <f>IFERROR(__xludf.DUMMYFUNCTION("""COMPUTED_VALUE"""),"RSC005246")</f>
        <v>RSC005246</v>
      </c>
      <c r="B5230" s="41" t="str">
        <f>IFERROR(__xludf.DUMMYFUNCTION("""COMPUTED_VALUE"""),"Irishhhh")</f>
        <v>Irishhhh</v>
      </c>
    </row>
    <row r="5231">
      <c r="A5231" s="41" t="str">
        <f>IFERROR(__xludf.DUMMYFUNCTION("""COMPUTED_VALUE"""),"RSC005247")</f>
        <v>RSC005247</v>
      </c>
      <c r="B5231" s="41" t="str">
        <f>IFERROR(__xludf.DUMMYFUNCTION("""COMPUTED_VALUE"""),"youngslingblade")</f>
        <v>youngslingblade</v>
      </c>
    </row>
    <row r="5232">
      <c r="A5232" s="41" t="str">
        <f>IFERROR(__xludf.DUMMYFUNCTION("""COMPUTED_VALUE"""),"RSC005248")</f>
        <v>RSC005248</v>
      </c>
      <c r="B5232" s="41" t="str">
        <f>IFERROR(__xludf.DUMMYFUNCTION("""COMPUTED_VALUE"""),"JackBlack")</f>
        <v>JackBlack</v>
      </c>
    </row>
    <row r="5233">
      <c r="A5233" s="41" t="str">
        <f>IFERROR(__xludf.DUMMYFUNCTION("""COMPUTED_VALUE"""),"RSC005249")</f>
        <v>RSC005249</v>
      </c>
      <c r="B5233" s="41" t="str">
        <f>IFERROR(__xludf.DUMMYFUNCTION("""COMPUTED_VALUE"""),"OxY")</f>
        <v>OxY</v>
      </c>
    </row>
    <row r="5234">
      <c r="A5234" s="41" t="str">
        <f>IFERROR(__xludf.DUMMYFUNCTION("""COMPUTED_VALUE"""),"RSC005250")</f>
        <v>RSC005250</v>
      </c>
      <c r="B5234" s="41" t="str">
        <f>IFERROR(__xludf.DUMMYFUNCTION("""COMPUTED_VALUE"""),"Carballdinho")</f>
        <v>Carballdinho</v>
      </c>
    </row>
    <row r="5235">
      <c r="A5235" s="41" t="str">
        <f>IFERROR(__xludf.DUMMYFUNCTION("""COMPUTED_VALUE"""),"RSC005251")</f>
        <v>RSC005251</v>
      </c>
      <c r="B5235" s="41" t="str">
        <f>IFERROR(__xludf.DUMMYFUNCTION("""COMPUTED_VALUE"""),"Gene")</f>
        <v>Gene</v>
      </c>
    </row>
    <row r="5236">
      <c r="A5236" s="41" t="str">
        <f>IFERROR(__xludf.DUMMYFUNCTION("""COMPUTED_VALUE"""),"RSC005252")</f>
        <v>RSC005252</v>
      </c>
      <c r="B5236" s="41" t="str">
        <f>IFERROR(__xludf.DUMMYFUNCTION("""COMPUTED_VALUE"""),"MysticMax07")</f>
        <v>MysticMax07</v>
      </c>
    </row>
    <row r="5237">
      <c r="A5237" s="41" t="str">
        <f>IFERROR(__xludf.DUMMYFUNCTION("""COMPUTED_VALUE"""),"RSC005253")</f>
        <v>RSC005253</v>
      </c>
      <c r="B5237" s="41" t="str">
        <f>IFERROR(__xludf.DUMMYFUNCTION("""COMPUTED_VALUE"""),"dinnindu")</f>
        <v>dinnindu</v>
      </c>
    </row>
    <row r="5238">
      <c r="A5238" s="41" t="str">
        <f>IFERROR(__xludf.DUMMYFUNCTION("""COMPUTED_VALUE"""),"RSC005254")</f>
        <v>RSC005254</v>
      </c>
      <c r="B5238" s="41" t="str">
        <f>IFERROR(__xludf.DUMMYFUNCTION("""COMPUTED_VALUE"""),"Yacobe")</f>
        <v>Yacobe</v>
      </c>
    </row>
    <row r="5239">
      <c r="A5239" s="41" t="str">
        <f>IFERROR(__xludf.DUMMYFUNCTION("""COMPUTED_VALUE"""),"RSC005255")</f>
        <v>RSC005255</v>
      </c>
      <c r="B5239" s="41" t="str">
        <f>IFERROR(__xludf.DUMMYFUNCTION("""COMPUTED_VALUE"""),"Yvng-neddie")</f>
        <v>Yvng-neddie</v>
      </c>
    </row>
    <row r="5240">
      <c r="A5240" s="41" t="str">
        <f>IFERROR(__xludf.DUMMYFUNCTION("""COMPUTED_VALUE"""),"RSC005256")</f>
        <v>RSC005256</v>
      </c>
      <c r="B5240" s="41" t="str">
        <f>IFERROR(__xludf.DUMMYFUNCTION("""COMPUTED_VALUE"""),"viiiccc")</f>
        <v>viiiccc</v>
      </c>
    </row>
    <row r="5241">
      <c r="A5241" s="41" t="str">
        <f>IFERROR(__xludf.DUMMYFUNCTION("""COMPUTED_VALUE"""),"RSC005257")</f>
        <v>RSC005257</v>
      </c>
      <c r="B5241" s="41" t="str">
        <f>IFERROR(__xludf.DUMMYFUNCTION("""COMPUTED_VALUE"""),"P0pfgf")</f>
        <v>P0pfgf</v>
      </c>
    </row>
    <row r="5242">
      <c r="A5242" s="41" t="str">
        <f>IFERROR(__xludf.DUMMYFUNCTION("""COMPUTED_VALUE"""),"RSC005258")</f>
        <v>RSC005258</v>
      </c>
      <c r="B5242" s="41" t="str">
        <f>IFERROR(__xludf.DUMMYFUNCTION("""COMPUTED_VALUE"""),"cxbage")</f>
        <v>cxbage</v>
      </c>
    </row>
    <row r="5243">
      <c r="A5243" s="41" t="str">
        <f>IFERROR(__xludf.DUMMYFUNCTION("""COMPUTED_VALUE"""),"RSC005259")</f>
        <v>RSC005259</v>
      </c>
      <c r="B5243" s="41" t="str">
        <f>IFERROR(__xludf.DUMMYFUNCTION("""COMPUTED_VALUE"""),"FLOWINGDARKNESS")</f>
        <v>FLOWINGDARKNESS</v>
      </c>
    </row>
    <row r="5244">
      <c r="A5244" s="41" t="str">
        <f>IFERROR(__xludf.DUMMYFUNCTION("""COMPUTED_VALUE"""),"RSC005260")</f>
        <v>RSC005260</v>
      </c>
      <c r="B5244" s="41" t="str">
        <f>IFERROR(__xludf.DUMMYFUNCTION("""COMPUTED_VALUE"""),"InfinitEther")</f>
        <v>InfinitEther</v>
      </c>
    </row>
    <row r="5245">
      <c r="A5245" s="41" t="str">
        <f>IFERROR(__xludf.DUMMYFUNCTION("""COMPUTED_VALUE"""),"RSC005261")</f>
        <v>RSC005261</v>
      </c>
      <c r="B5245" s="41" t="str">
        <f>IFERROR(__xludf.DUMMYFUNCTION("""COMPUTED_VALUE"""),"LoneEssi")</f>
        <v>LoneEssi</v>
      </c>
    </row>
    <row r="5246">
      <c r="A5246" s="41" t="str">
        <f>IFERROR(__xludf.DUMMYFUNCTION("""COMPUTED_VALUE"""),"RSC005262")</f>
        <v>RSC005262</v>
      </c>
      <c r="B5246" s="41" t="str">
        <f>IFERROR(__xludf.DUMMYFUNCTION("""COMPUTED_VALUE"""),"Falaffels")</f>
        <v>Falaffels</v>
      </c>
    </row>
    <row r="5247">
      <c r="A5247" s="41" t="str">
        <f>IFERROR(__xludf.DUMMYFUNCTION("""COMPUTED_VALUE"""),"RSC005263")</f>
        <v>RSC005263</v>
      </c>
      <c r="B5247" s="41" t="str">
        <f>IFERROR(__xludf.DUMMYFUNCTION("""COMPUTED_VALUE"""),"DonYvan")</f>
        <v>DonYvan</v>
      </c>
    </row>
    <row r="5248">
      <c r="A5248" s="41" t="str">
        <f>IFERROR(__xludf.DUMMYFUNCTION("""COMPUTED_VALUE"""),"RSC005264")</f>
        <v>RSC005264</v>
      </c>
      <c r="B5248" s="41" t="str">
        <f>IFERROR(__xludf.DUMMYFUNCTION("""COMPUTED_VALUE"""),"topspinserve")</f>
        <v>topspinserve</v>
      </c>
    </row>
    <row r="5249">
      <c r="A5249" s="41" t="str">
        <f>IFERROR(__xludf.DUMMYFUNCTION("""COMPUTED_VALUE"""),"RSC005265")</f>
        <v>RSC005265</v>
      </c>
      <c r="B5249" s="41" t="str">
        <f>IFERROR(__xludf.DUMMYFUNCTION("""COMPUTED_VALUE"""),"doctorprofessor_")</f>
        <v>doctorprofessor_</v>
      </c>
    </row>
    <row r="5250">
      <c r="A5250" s="41" t="str">
        <f>IFERROR(__xludf.DUMMYFUNCTION("""COMPUTED_VALUE"""),"RSC005266")</f>
        <v>RSC005266</v>
      </c>
      <c r="B5250" s="41" t="str">
        <f>IFERROR(__xludf.DUMMYFUNCTION("""COMPUTED_VALUE"""),"Skoldier")</f>
        <v>Skoldier</v>
      </c>
    </row>
    <row r="5251">
      <c r="A5251" s="41" t="str">
        <f>IFERROR(__xludf.DUMMYFUNCTION("""COMPUTED_VALUE"""),"RSC005267")</f>
        <v>RSC005267</v>
      </c>
      <c r="B5251" s="41" t="str">
        <f>IFERROR(__xludf.DUMMYFUNCTION("""COMPUTED_VALUE"""),"jj.dunbar")</f>
        <v>jj.dunbar</v>
      </c>
    </row>
    <row r="5252">
      <c r="A5252" s="41" t="str">
        <f>IFERROR(__xludf.DUMMYFUNCTION("""COMPUTED_VALUE"""),"RSC005268")</f>
        <v>RSC005268</v>
      </c>
      <c r="B5252" s="41" t="str">
        <f>IFERROR(__xludf.DUMMYFUNCTION("""COMPUTED_VALUE"""),"Caustic_Snow420")</f>
        <v>Caustic_Snow420</v>
      </c>
    </row>
    <row r="5253">
      <c r="A5253" s="41" t="str">
        <f>IFERROR(__xludf.DUMMYFUNCTION("""COMPUTED_VALUE"""),"RSC005269")</f>
        <v>RSC005269</v>
      </c>
      <c r="B5253" s="41" t="str">
        <f>IFERROR(__xludf.DUMMYFUNCTION("""COMPUTED_VALUE"""),"antale89")</f>
        <v>antale89</v>
      </c>
    </row>
    <row r="5254">
      <c r="A5254" s="41" t="str">
        <f>IFERROR(__xludf.DUMMYFUNCTION("""COMPUTED_VALUE"""),"RSC005270")</f>
        <v>RSC005270</v>
      </c>
      <c r="B5254" s="41" t="str">
        <f>IFERROR(__xludf.DUMMYFUNCTION("""COMPUTED_VALUE"""),"Dackzter")</f>
        <v>Dackzter</v>
      </c>
    </row>
    <row r="5255">
      <c r="A5255" s="41" t="str">
        <f>IFERROR(__xludf.DUMMYFUNCTION("""COMPUTED_VALUE"""),"RSC005271")</f>
        <v>RSC005271</v>
      </c>
      <c r="B5255" s="41" t="str">
        <f>IFERROR(__xludf.DUMMYFUNCTION("""COMPUTED_VALUE"""),"DaReaves12")</f>
        <v>DaReaves12</v>
      </c>
    </row>
    <row r="5256">
      <c r="A5256" s="41" t="str">
        <f>IFERROR(__xludf.DUMMYFUNCTION("""COMPUTED_VALUE"""),"RSC005272")</f>
        <v>RSC005272</v>
      </c>
      <c r="B5256" s="41" t="str">
        <f>IFERROR(__xludf.DUMMYFUNCTION("""COMPUTED_VALUE"""),"lopons")</f>
        <v>lopons</v>
      </c>
    </row>
    <row r="5257">
      <c r="A5257" s="41" t="str">
        <f>IFERROR(__xludf.DUMMYFUNCTION("""COMPUTED_VALUE"""),"RSC005273")</f>
        <v>RSC005273</v>
      </c>
      <c r="B5257" s="41" t="str">
        <f>IFERROR(__xludf.DUMMYFUNCTION("""COMPUTED_VALUE"""),"DankMemeHub")</f>
        <v>DankMemeHub</v>
      </c>
    </row>
    <row r="5258">
      <c r="A5258" s="41" t="str">
        <f>IFERROR(__xludf.DUMMYFUNCTION("""COMPUTED_VALUE"""),"RSC005274")</f>
        <v>RSC005274</v>
      </c>
      <c r="B5258" s="41" t="str">
        <f>IFERROR(__xludf.DUMMYFUNCTION("""COMPUTED_VALUE"""),"KING.")</f>
        <v>KING.</v>
      </c>
    </row>
    <row r="5259">
      <c r="A5259" s="41" t="str">
        <f>IFERROR(__xludf.DUMMYFUNCTION("""COMPUTED_VALUE"""),"RSC005275")</f>
        <v>RSC005275</v>
      </c>
      <c r="B5259" s="41" t="str">
        <f>IFERROR(__xludf.DUMMYFUNCTION("""COMPUTED_VALUE"""),"Salvation")</f>
        <v>Salvation</v>
      </c>
    </row>
    <row r="5260">
      <c r="A5260" s="41" t="str">
        <f>IFERROR(__xludf.DUMMYFUNCTION("""COMPUTED_VALUE"""),"RSC005276")</f>
        <v>RSC005276</v>
      </c>
      <c r="B5260" s="41" t="str">
        <f>IFERROR(__xludf.DUMMYFUNCTION("""COMPUTED_VALUE"""),"DctGti")</f>
        <v>DctGti</v>
      </c>
    </row>
    <row r="5261">
      <c r="A5261" s="41" t="str">
        <f>IFERROR(__xludf.DUMMYFUNCTION("""COMPUTED_VALUE"""),"RSC005277")</f>
        <v>RSC005277</v>
      </c>
      <c r="B5261" s="41" t="str">
        <f>IFERROR(__xludf.DUMMYFUNCTION("""COMPUTED_VALUE"""),"xfretz")</f>
        <v>xfretz</v>
      </c>
    </row>
    <row r="5262">
      <c r="A5262" s="41" t="str">
        <f>IFERROR(__xludf.DUMMYFUNCTION("""COMPUTED_VALUE"""),"RSC005278")</f>
        <v>RSC005278</v>
      </c>
      <c r="B5262" s="41" t="str">
        <f>IFERROR(__xludf.DUMMYFUNCTION("""COMPUTED_VALUE"""),"Blix")</f>
        <v>Blix</v>
      </c>
    </row>
    <row r="5263">
      <c r="A5263" s="41" t="str">
        <f>IFERROR(__xludf.DUMMYFUNCTION("""COMPUTED_VALUE"""),"RSC005279")</f>
        <v>RSC005279</v>
      </c>
      <c r="B5263" s="41" t="str">
        <f>IFERROR(__xludf.DUMMYFUNCTION("""COMPUTED_VALUE"""),"tree when")</f>
        <v>tree when</v>
      </c>
    </row>
    <row r="5264">
      <c r="A5264" s="41" t="str">
        <f>IFERROR(__xludf.DUMMYFUNCTION("""COMPUTED_VALUE"""),"RSC005280")</f>
        <v>RSC005280</v>
      </c>
      <c r="B5264" s="41" t="str">
        <f>IFERROR(__xludf.DUMMYFUNCTION("""COMPUTED_VALUE"""),"Engy")</f>
        <v>Engy</v>
      </c>
    </row>
    <row r="5265">
      <c r="A5265" s="41" t="str">
        <f>IFERROR(__xludf.DUMMYFUNCTION("""COMPUTED_VALUE"""),"RSC005281")</f>
        <v>RSC005281</v>
      </c>
      <c r="B5265" s="41" t="str">
        <f>IFERROR(__xludf.DUMMYFUNCTION("""COMPUTED_VALUE"""),"TomahawkIndian")</f>
        <v>TomahawkIndian</v>
      </c>
    </row>
    <row r="5266">
      <c r="A5266" s="41" t="str">
        <f>IFERROR(__xludf.DUMMYFUNCTION("""COMPUTED_VALUE"""),"RSC005282")</f>
        <v>RSC005282</v>
      </c>
      <c r="B5266" s="41" t="str">
        <f>IFERROR(__xludf.DUMMYFUNCTION("""COMPUTED_VALUE"""),"TCB BRIT")</f>
        <v>TCB BRIT</v>
      </c>
    </row>
    <row r="5267">
      <c r="A5267" s="41" t="str">
        <f>IFERROR(__xludf.DUMMYFUNCTION("""COMPUTED_VALUE"""),"RSC005283")</f>
        <v>RSC005283</v>
      </c>
      <c r="B5267" s="41" t="str">
        <f>IFERROR(__xludf.DUMMYFUNCTION("""COMPUTED_VALUE"""),"ThisIsDrew314")</f>
        <v>ThisIsDrew314</v>
      </c>
    </row>
    <row r="5268">
      <c r="A5268" s="41" t="str">
        <f>IFERROR(__xludf.DUMMYFUNCTION("""COMPUTED_VALUE"""),"RSC005284")</f>
        <v>RSC005284</v>
      </c>
      <c r="B5268" s="41" t="str">
        <f>IFERROR(__xludf.DUMMYFUNCTION("""COMPUTED_VALUE"""),"Bachleon")</f>
        <v>Bachleon</v>
      </c>
    </row>
    <row r="5269">
      <c r="A5269" s="41" t="str">
        <f>IFERROR(__xludf.DUMMYFUNCTION("""COMPUTED_VALUE"""),"RSC005285")</f>
        <v>RSC005285</v>
      </c>
      <c r="B5269" s="41" t="str">
        <f>IFERROR(__xludf.DUMMYFUNCTION("""COMPUTED_VALUE"""),"solace.")</f>
        <v>solace.</v>
      </c>
    </row>
    <row r="5270">
      <c r="A5270" s="41" t="str">
        <f>IFERROR(__xludf.DUMMYFUNCTION("""COMPUTED_VALUE"""),"RSC005286")</f>
        <v>RSC005286</v>
      </c>
      <c r="B5270" s="41" t="str">
        <f>IFERROR(__xludf.DUMMYFUNCTION("""COMPUTED_VALUE"""),"Darii")</f>
        <v>Darii</v>
      </c>
    </row>
    <row r="5271">
      <c r="A5271" s="41" t="str">
        <f>IFERROR(__xludf.DUMMYFUNCTION("""COMPUTED_VALUE"""),"RSC005287")</f>
        <v>RSC005287</v>
      </c>
      <c r="B5271" s="41" t="str">
        <f>IFERROR(__xludf.DUMMYFUNCTION("""COMPUTED_VALUE"""),"Sakuta")</f>
        <v>Sakuta</v>
      </c>
    </row>
    <row r="5272">
      <c r="A5272" s="41" t="str">
        <f>IFERROR(__xludf.DUMMYFUNCTION("""COMPUTED_VALUE"""),"RSC005288")</f>
        <v>RSC005288</v>
      </c>
      <c r="B5272" s="41" t="str">
        <f>IFERROR(__xludf.DUMMYFUNCTION("""COMPUTED_VALUE"""),"jqlombana")</f>
        <v>jqlombana</v>
      </c>
    </row>
    <row r="5273">
      <c r="A5273" s="41" t="str">
        <f>IFERROR(__xludf.DUMMYFUNCTION("""COMPUTED_VALUE"""),"RSC005289")</f>
        <v>RSC005289</v>
      </c>
      <c r="B5273" s="41" t="str">
        <f>IFERROR(__xludf.DUMMYFUNCTION("""COMPUTED_VALUE"""),"Gilly-_")</f>
        <v>Gilly-_</v>
      </c>
    </row>
    <row r="5274">
      <c r="A5274" s="41" t="str">
        <f>IFERROR(__xludf.DUMMYFUNCTION("""COMPUTED_VALUE"""),"RSC005290")</f>
        <v>RSC005290</v>
      </c>
      <c r="B5274" s="41" t="str">
        <f>IFERROR(__xludf.DUMMYFUNCTION("""COMPUTED_VALUE"""),"IMOLDGREG67")</f>
        <v>IMOLDGREG67</v>
      </c>
    </row>
    <row r="5275">
      <c r="A5275" s="41" t="str">
        <f>IFERROR(__xludf.DUMMYFUNCTION("""COMPUTED_VALUE"""),"RSC005291")</f>
        <v>RSC005291</v>
      </c>
      <c r="B5275" s="41" t="str">
        <f>IFERROR(__xludf.DUMMYFUNCTION("""COMPUTED_VALUE"""),"Beanie_92")</f>
        <v>Beanie_92</v>
      </c>
    </row>
    <row r="5276">
      <c r="A5276" s="41" t="str">
        <f>IFERROR(__xludf.DUMMYFUNCTION("""COMPUTED_VALUE"""),"RSC005292")</f>
        <v>RSC005292</v>
      </c>
      <c r="B5276" s="41" t="str">
        <f>IFERROR(__xludf.DUMMYFUNCTION("""COMPUTED_VALUE"""),"Detta")</f>
        <v>Detta</v>
      </c>
    </row>
    <row r="5277">
      <c r="A5277" s="41" t="str">
        <f>IFERROR(__xludf.DUMMYFUNCTION("""COMPUTED_VALUE"""),"RSC005293")</f>
        <v>RSC005293</v>
      </c>
      <c r="B5277" s="41" t="str">
        <f>IFERROR(__xludf.DUMMYFUNCTION("""COMPUTED_VALUE"""),"stallee")</f>
        <v>stallee</v>
      </c>
    </row>
    <row r="5278">
      <c r="A5278" s="41" t="str">
        <f>IFERROR(__xludf.DUMMYFUNCTION("""COMPUTED_VALUE"""),"RSC005294")</f>
        <v>RSC005294</v>
      </c>
      <c r="B5278" s="41" t="str">
        <f>IFERROR(__xludf.DUMMYFUNCTION("""COMPUTED_VALUE"""),"mogulmaniac5480")</f>
        <v>mogulmaniac5480</v>
      </c>
    </row>
    <row r="5279">
      <c r="A5279" s="41" t="str">
        <f>IFERROR(__xludf.DUMMYFUNCTION("""COMPUTED_VALUE"""),"RSC005295")</f>
        <v>RSC005295</v>
      </c>
      <c r="B5279" s="41" t="str">
        <f>IFERROR(__xludf.DUMMYFUNCTION("""COMPUTED_VALUE"""),"Spa godly")</f>
        <v>Spa godly</v>
      </c>
    </row>
    <row r="5280">
      <c r="A5280" s="41" t="str">
        <f>IFERROR(__xludf.DUMMYFUNCTION("""COMPUTED_VALUE"""),"RSC005296")</f>
        <v>RSC005296</v>
      </c>
      <c r="B5280" s="41" t="str">
        <f>IFERROR(__xludf.DUMMYFUNCTION("""COMPUTED_VALUE"""),"mose")</f>
        <v>mose</v>
      </c>
    </row>
    <row r="5281">
      <c r="A5281" s="41" t="str">
        <f>IFERROR(__xludf.DUMMYFUNCTION("""COMPUTED_VALUE"""),"RSC005297")</f>
        <v>RSC005297</v>
      </c>
      <c r="B5281" s="41" t="str">
        <f>IFERROR(__xludf.DUMMYFUNCTION("""COMPUTED_VALUE"""),"Mattix")</f>
        <v>Mattix</v>
      </c>
    </row>
    <row r="5282">
      <c r="A5282" s="41" t="str">
        <f>IFERROR(__xludf.DUMMYFUNCTION("""COMPUTED_VALUE"""),"RSC005298")</f>
        <v>RSC005298</v>
      </c>
      <c r="B5282" s="41" t="str">
        <f>IFERROR(__xludf.DUMMYFUNCTION("""COMPUTED_VALUE"""),"Kaisaroh")</f>
        <v>Kaisaroh</v>
      </c>
    </row>
    <row r="5283">
      <c r="A5283" s="41" t="str">
        <f>IFERROR(__xludf.DUMMYFUNCTION("""COMPUTED_VALUE"""),"RSC005299")</f>
        <v>RSC005299</v>
      </c>
      <c r="B5283" s="41" t="str">
        <f>IFERROR(__xludf.DUMMYFUNCTION("""COMPUTED_VALUE"""),"Silk-Fu")</f>
        <v>Silk-Fu</v>
      </c>
    </row>
    <row r="5284">
      <c r="A5284" s="41" t="str">
        <f>IFERROR(__xludf.DUMMYFUNCTION("""COMPUTED_VALUE"""),"RSC005300")</f>
        <v>RSC005300</v>
      </c>
      <c r="B5284" s="41" t="str">
        <f>IFERROR(__xludf.DUMMYFUNCTION("""COMPUTED_VALUE"""),"Riko")</f>
        <v>Riko</v>
      </c>
    </row>
    <row r="5285">
      <c r="A5285" s="41" t="str">
        <f>IFERROR(__xludf.DUMMYFUNCTION("""COMPUTED_VALUE"""),"RSC005301")</f>
        <v>RSC005301</v>
      </c>
      <c r="B5285" s="41" t="str">
        <f>IFERROR(__xludf.DUMMYFUNCTION("""COMPUTED_VALUE"""),"Nehtaro")</f>
        <v>Nehtaro</v>
      </c>
    </row>
    <row r="5286">
      <c r="A5286" s="41" t="str">
        <f>IFERROR(__xludf.DUMMYFUNCTION("""COMPUTED_VALUE"""),"RSC005302")</f>
        <v>RSC005302</v>
      </c>
      <c r="B5286" s="41" t="str">
        <f>IFERROR(__xludf.DUMMYFUNCTION("""COMPUTED_VALUE"""),"CeeuZ")</f>
        <v>CeeuZ</v>
      </c>
    </row>
    <row r="5287">
      <c r="A5287" s="41" t="str">
        <f>IFERROR(__xludf.DUMMYFUNCTION("""COMPUTED_VALUE"""),"RSC005303")</f>
        <v>RSC005303</v>
      </c>
      <c r="B5287" s="41" t="str">
        <f>IFERROR(__xludf.DUMMYFUNCTION("""COMPUTED_VALUE"""),"Krey")</f>
        <v>Krey</v>
      </c>
    </row>
    <row r="5288">
      <c r="A5288" s="41" t="str">
        <f>IFERROR(__xludf.DUMMYFUNCTION("""COMPUTED_VALUE"""),"RSC005304")</f>
        <v>RSC005304</v>
      </c>
      <c r="B5288" s="41" t="str">
        <f>IFERROR(__xludf.DUMMYFUNCTION("""COMPUTED_VALUE"""),"Old UncleRon")</f>
        <v>Old UncleRon</v>
      </c>
    </row>
    <row r="5289">
      <c r="A5289" s="41" t="str">
        <f>IFERROR(__xludf.DUMMYFUNCTION("""COMPUTED_VALUE"""),"RSC005305")</f>
        <v>RSC005305</v>
      </c>
      <c r="B5289" s="41" t="str">
        <f>IFERROR(__xludf.DUMMYFUNCTION("""COMPUTED_VALUE"""),"Vuurve")</f>
        <v>Vuurve</v>
      </c>
    </row>
    <row r="5290">
      <c r="A5290" s="41" t="str">
        <f>IFERROR(__xludf.DUMMYFUNCTION("""COMPUTED_VALUE"""),"RSC005306")</f>
        <v>RSC005306</v>
      </c>
      <c r="B5290" s="41" t="str">
        <f>IFERROR(__xludf.DUMMYFUNCTION("""COMPUTED_VALUE"""),"MRSuperSanic")</f>
        <v>MRSuperSanic</v>
      </c>
    </row>
    <row r="5291">
      <c r="A5291" s="41" t="str">
        <f>IFERROR(__xludf.DUMMYFUNCTION("""COMPUTED_VALUE"""),"RSC005307")</f>
        <v>RSC005307</v>
      </c>
      <c r="B5291" s="41" t="str">
        <f>IFERROR(__xludf.DUMMYFUNCTION("""COMPUTED_VALUE"""),"SadlyCrepe.")</f>
        <v>SadlyCrepe.</v>
      </c>
    </row>
    <row r="5292">
      <c r="A5292" s="41" t="str">
        <f>IFERROR(__xludf.DUMMYFUNCTION("""COMPUTED_VALUE"""),"RSC005308")</f>
        <v>RSC005308</v>
      </c>
      <c r="B5292" s="41" t="str">
        <f>IFERROR(__xludf.DUMMYFUNCTION("""COMPUTED_VALUE"""),"6 lbs of Yeet")</f>
        <v>6 lbs of Yeet</v>
      </c>
    </row>
    <row r="5293">
      <c r="A5293" s="41" t="str">
        <f>IFERROR(__xludf.DUMMYFUNCTION("""COMPUTED_VALUE"""),"RSC005309")</f>
        <v>RSC005309</v>
      </c>
      <c r="B5293" s="41" t="str">
        <f>IFERROR(__xludf.DUMMYFUNCTION("""COMPUTED_VALUE"""),"Gino")</f>
        <v>Gino</v>
      </c>
    </row>
    <row r="5294">
      <c r="A5294" s="41" t="str">
        <f>IFERROR(__xludf.DUMMYFUNCTION("""COMPUTED_VALUE"""),"RSC005310")</f>
        <v>RSC005310</v>
      </c>
      <c r="B5294" s="41" t="str">
        <f>IFERROR(__xludf.DUMMYFUNCTION("""COMPUTED_VALUE"""),"EXD Stellar")</f>
        <v>EXD Stellar</v>
      </c>
    </row>
    <row r="5295">
      <c r="A5295" s="41" t="str">
        <f>IFERROR(__xludf.DUMMYFUNCTION("""COMPUTED_VALUE"""),"RSC005311")</f>
        <v>RSC005311</v>
      </c>
      <c r="B5295" s="41" t="str">
        <f>IFERROR(__xludf.DUMMYFUNCTION("""COMPUTED_VALUE"""),"VenoM")</f>
        <v>VenoM</v>
      </c>
    </row>
    <row r="5296">
      <c r="A5296" s="41" t="str">
        <f>IFERROR(__xludf.DUMMYFUNCTION("""COMPUTED_VALUE"""),"RSC005312")</f>
        <v>RSC005312</v>
      </c>
      <c r="B5296" s="41" t="str">
        <f>IFERROR(__xludf.DUMMYFUNCTION("""COMPUTED_VALUE"""),"Sorry Bud I")</f>
        <v>Sorry Bud I</v>
      </c>
    </row>
    <row r="5297">
      <c r="A5297" s="41" t="str">
        <f>IFERROR(__xludf.DUMMYFUNCTION("""COMPUTED_VALUE"""),"RSC005313")</f>
        <v>RSC005313</v>
      </c>
      <c r="B5297" s="41" t="str">
        <f>IFERROR(__xludf.DUMMYFUNCTION("""COMPUTED_VALUE"""),"GroovyKat")</f>
        <v>GroovyKat</v>
      </c>
    </row>
    <row r="5298">
      <c r="A5298" s="41" t="str">
        <f>IFERROR(__xludf.DUMMYFUNCTION("""COMPUTED_VALUE"""),"RSC005314")</f>
        <v>RSC005314</v>
      </c>
      <c r="B5298" s="41" t="str">
        <f>IFERROR(__xludf.DUMMYFUNCTION("""COMPUTED_VALUE"""),"daggumbigfeet")</f>
        <v>daggumbigfeet</v>
      </c>
    </row>
    <row r="5299">
      <c r="A5299" s="41" t="str">
        <f>IFERROR(__xludf.DUMMYFUNCTION("""COMPUTED_VALUE"""),"RSC005315")</f>
        <v>RSC005315</v>
      </c>
      <c r="B5299" s="41" t="str">
        <f>IFERROR(__xludf.DUMMYFUNCTION("""COMPUTED_VALUE"""),"dillynmario")</f>
        <v>dillynmario</v>
      </c>
    </row>
    <row r="5300">
      <c r="A5300" s="41" t="str">
        <f>IFERROR(__xludf.DUMMYFUNCTION("""COMPUTED_VALUE"""),"RSC005316")</f>
        <v>RSC005316</v>
      </c>
      <c r="B5300" s="41" t="str">
        <f>IFERROR(__xludf.DUMMYFUNCTION("""COMPUTED_VALUE"""),"Modoz")</f>
        <v>Modoz</v>
      </c>
    </row>
    <row r="5301">
      <c r="A5301" s="41" t="str">
        <f>IFERROR(__xludf.DUMMYFUNCTION("""COMPUTED_VALUE"""),"RSC005317")</f>
        <v>RSC005317</v>
      </c>
      <c r="B5301" s="41" t="str">
        <f>IFERROR(__xludf.DUMMYFUNCTION("""COMPUTED_VALUE"""),"Haro.-")</f>
        <v>Haro.-</v>
      </c>
    </row>
    <row r="5302">
      <c r="A5302" s="41" t="str">
        <f>IFERROR(__xludf.DUMMYFUNCTION("""COMPUTED_VALUE"""),"RSC005318")</f>
        <v>RSC005318</v>
      </c>
      <c r="B5302" s="41" t="str">
        <f>IFERROR(__xludf.DUMMYFUNCTION("""COMPUTED_VALUE"""),"bean")</f>
        <v>bean</v>
      </c>
    </row>
    <row r="5303">
      <c r="A5303" s="41" t="str">
        <f>IFERROR(__xludf.DUMMYFUNCTION("""COMPUTED_VALUE"""),"RSC005319")</f>
        <v>RSC005319</v>
      </c>
      <c r="B5303" s="41" t="str">
        <f>IFERROR(__xludf.DUMMYFUNCTION("""COMPUTED_VALUE"""),"vega (Old)")</f>
        <v>vega (Old)</v>
      </c>
    </row>
    <row r="5304">
      <c r="A5304" s="41" t="str">
        <f>IFERROR(__xludf.DUMMYFUNCTION("""COMPUTED_VALUE"""),"RSC005320")</f>
        <v>RSC005320</v>
      </c>
      <c r="B5304" s="41" t="str">
        <f>IFERROR(__xludf.DUMMYFUNCTION("""COMPUTED_VALUE"""),"MaggieZerua")</f>
        <v>MaggieZerua</v>
      </c>
    </row>
    <row r="5305">
      <c r="A5305" s="41" t="str">
        <f>IFERROR(__xludf.DUMMYFUNCTION("""COMPUTED_VALUE"""),"RSC005321")</f>
        <v>RSC005321</v>
      </c>
      <c r="B5305" s="41" t="str">
        <f>IFERROR(__xludf.DUMMYFUNCTION("""COMPUTED_VALUE"""),"detox")</f>
        <v>detox</v>
      </c>
    </row>
    <row r="5306">
      <c r="A5306" s="41" t="str">
        <f>IFERROR(__xludf.DUMMYFUNCTION("""COMPUTED_VALUE"""),"RSC005322")</f>
        <v>RSC005322</v>
      </c>
      <c r="B5306" s="41" t="str">
        <f>IFERROR(__xludf.DUMMYFUNCTION("""COMPUTED_VALUE"""),"moonbeam1234")</f>
        <v>moonbeam1234</v>
      </c>
    </row>
    <row r="5307">
      <c r="A5307" s="41" t="str">
        <f>IFERROR(__xludf.DUMMYFUNCTION("""COMPUTED_VALUE"""),"RSC005323")</f>
        <v>RSC005323</v>
      </c>
      <c r="B5307" s="41" t="str">
        <f>IFERROR(__xludf.DUMMYFUNCTION("""COMPUTED_VALUE"""),"TheRumKage")</f>
        <v>TheRumKage</v>
      </c>
    </row>
    <row r="5308">
      <c r="A5308" s="41" t="str">
        <f>IFERROR(__xludf.DUMMYFUNCTION("""COMPUTED_VALUE"""),"RSC005324")</f>
        <v>RSC005324</v>
      </c>
      <c r="B5308" s="41" t="str">
        <f>IFERROR(__xludf.DUMMYFUNCTION("""COMPUTED_VALUE"""),"krizy")</f>
        <v>krizy</v>
      </c>
    </row>
    <row r="5309">
      <c r="A5309" s="41" t="str">
        <f>IFERROR(__xludf.DUMMYFUNCTION("""COMPUTED_VALUE"""),"RSC005325")</f>
        <v>RSC005325</v>
      </c>
      <c r="B5309" s="41" t="str">
        <f>IFERROR(__xludf.DUMMYFUNCTION("""COMPUTED_VALUE"""),"damian557")</f>
        <v>damian557</v>
      </c>
    </row>
    <row r="5310">
      <c r="A5310" s="41" t="str">
        <f>IFERROR(__xludf.DUMMYFUNCTION("""COMPUTED_VALUE"""),"RSC005326")</f>
        <v>RSC005326</v>
      </c>
      <c r="B5310" s="41" t="str">
        <f>IFERROR(__xludf.DUMMYFUNCTION("""COMPUTED_VALUE"""),"mikesouth699")</f>
        <v>mikesouth699</v>
      </c>
    </row>
    <row r="5311">
      <c r="A5311" s="41" t="str">
        <f>IFERROR(__xludf.DUMMYFUNCTION("""COMPUTED_VALUE"""),"RSC005327")</f>
        <v>RSC005327</v>
      </c>
      <c r="B5311" s="41" t="str">
        <f>IFERROR(__xludf.DUMMYFUNCTION("""COMPUTED_VALUE"""),"loudsoud")</f>
        <v>loudsoud</v>
      </c>
    </row>
    <row r="5312">
      <c r="A5312" s="41" t="str">
        <f>IFERROR(__xludf.DUMMYFUNCTION("""COMPUTED_VALUE"""),"RSC005328")</f>
        <v>RSC005328</v>
      </c>
      <c r="B5312" s="41" t="str">
        <f>IFERROR(__xludf.DUMMYFUNCTION("""COMPUTED_VALUE"""),"Razor")</f>
        <v>Razor</v>
      </c>
    </row>
    <row r="5313">
      <c r="A5313" s="41" t="str">
        <f>IFERROR(__xludf.DUMMYFUNCTION("""COMPUTED_VALUE"""),"RSC005329")</f>
        <v>RSC005329</v>
      </c>
      <c r="B5313" s="41" t="str">
        <f>IFERROR(__xludf.DUMMYFUNCTION("""COMPUTED_VALUE"""),"Fusilladen")</f>
        <v>Fusilladen</v>
      </c>
    </row>
    <row r="5314">
      <c r="A5314" s="41" t="str">
        <f>IFERROR(__xludf.DUMMYFUNCTION("""COMPUTED_VALUE"""),"RSC005330")</f>
        <v>RSC005330</v>
      </c>
      <c r="B5314" s="41" t="str">
        <f>IFERROR(__xludf.DUMMYFUNCTION("""COMPUTED_VALUE"""),"THEBEASTESTGAME")</f>
        <v>THEBEASTESTGAME</v>
      </c>
    </row>
    <row r="5315">
      <c r="A5315" s="41" t="str">
        <f>IFERROR(__xludf.DUMMYFUNCTION("""COMPUTED_VALUE"""),"RSC005331")</f>
        <v>RSC005331</v>
      </c>
      <c r="B5315" s="41" t="str">
        <f>IFERROR(__xludf.DUMMYFUNCTION("""COMPUTED_VALUE"""),"VilleT")</f>
        <v>VilleT</v>
      </c>
    </row>
    <row r="5316">
      <c r="A5316" s="41" t="str">
        <f>IFERROR(__xludf.DUMMYFUNCTION("""COMPUTED_VALUE"""),"RSC005332")</f>
        <v>RSC005332</v>
      </c>
      <c r="B5316" s="41" t="str">
        <f>IFERROR(__xludf.DUMMYFUNCTION("""COMPUTED_VALUE"""),"fluffymtz04")</f>
        <v>fluffymtz04</v>
      </c>
    </row>
    <row r="5317">
      <c r="A5317" s="41" t="str">
        <f>IFERROR(__xludf.DUMMYFUNCTION("""COMPUTED_VALUE"""),"RSC005333")</f>
        <v>RSC005333</v>
      </c>
      <c r="B5317" s="41" t="str">
        <f>IFERROR(__xludf.DUMMYFUNCTION("""COMPUTED_VALUE"""),"Oldman_waterfall")</f>
        <v>Oldman_waterfall</v>
      </c>
    </row>
    <row r="5318">
      <c r="A5318" s="41" t="str">
        <f>IFERROR(__xludf.DUMMYFUNCTION("""COMPUTED_VALUE"""),"RSC005334")</f>
        <v>RSC005334</v>
      </c>
      <c r="B5318" s="41" t="str">
        <f>IFERROR(__xludf.DUMMYFUNCTION("""COMPUTED_VALUE"""),"theo")</f>
        <v>theo</v>
      </c>
    </row>
    <row r="5319">
      <c r="A5319" s="41" t="str">
        <f>IFERROR(__xludf.DUMMYFUNCTION("""COMPUTED_VALUE"""),"RSC005335")</f>
        <v>RSC005335</v>
      </c>
      <c r="B5319" s="41" t="str">
        <f>IFERROR(__xludf.DUMMYFUNCTION("""COMPUTED_VALUE"""),"R4p")</f>
        <v>R4p</v>
      </c>
    </row>
    <row r="5320">
      <c r="A5320" s="41" t="str">
        <f>IFERROR(__xludf.DUMMYFUNCTION("""COMPUTED_VALUE"""),"RSC005336")</f>
        <v>RSC005336</v>
      </c>
      <c r="B5320" s="41" t="str">
        <f>IFERROR(__xludf.DUMMYFUNCTION("""COMPUTED_VALUE"""),"go.fig")</f>
        <v>go.fig</v>
      </c>
    </row>
    <row r="5321">
      <c r="A5321" s="41" t="str">
        <f>IFERROR(__xludf.DUMMYFUNCTION("""COMPUTED_VALUE"""),"RSC005337")</f>
        <v>RSC005337</v>
      </c>
      <c r="B5321" s="41" t="str">
        <f>IFERROR(__xludf.DUMMYFUNCTION("""COMPUTED_VALUE"""),"Bumpdaddie")</f>
        <v>Bumpdaddie</v>
      </c>
    </row>
    <row r="5322">
      <c r="A5322" s="41" t="str">
        <f>IFERROR(__xludf.DUMMYFUNCTION("""COMPUTED_VALUE"""),"RSC005338")</f>
        <v>RSC005338</v>
      </c>
      <c r="B5322" s="41" t="str">
        <f>IFERROR(__xludf.DUMMYFUNCTION("""COMPUTED_VALUE"""),"Shredd")</f>
        <v>Shredd</v>
      </c>
    </row>
    <row r="5323">
      <c r="A5323" s="41" t="str">
        <f>IFERROR(__xludf.DUMMYFUNCTION("""COMPUTED_VALUE"""),"RSC005339")</f>
        <v>RSC005339</v>
      </c>
      <c r="B5323" s="41" t="str">
        <f>IFERROR(__xludf.DUMMYFUNCTION("""COMPUTED_VALUE"""),"DABZxST4TU5")</f>
        <v>DABZxST4TU5</v>
      </c>
    </row>
    <row r="5324">
      <c r="A5324" s="41" t="str">
        <f>IFERROR(__xludf.DUMMYFUNCTION("""COMPUTED_VALUE"""),"RSC005340")</f>
        <v>RSC005340</v>
      </c>
      <c r="B5324" s="41" t="str">
        <f>IFERROR(__xludf.DUMMYFUNCTION("""COMPUTED_VALUE"""),"Mystikal")</f>
        <v>Mystikal</v>
      </c>
    </row>
    <row r="5325">
      <c r="A5325" s="41" t="str">
        <f>IFERROR(__xludf.DUMMYFUNCTION("""COMPUTED_VALUE"""),"RSC005341")</f>
        <v>RSC005341</v>
      </c>
      <c r="B5325" s="41" t="str">
        <f>IFERROR(__xludf.DUMMYFUNCTION("""COMPUTED_VALUE"""),"Riggeot")</f>
        <v>Riggeot</v>
      </c>
    </row>
    <row r="5326">
      <c r="A5326" s="41" t="str">
        <f>IFERROR(__xludf.DUMMYFUNCTION("""COMPUTED_VALUE"""),"RSC005342")</f>
        <v>RSC005342</v>
      </c>
      <c r="B5326" s="41" t="str">
        <f>IFERROR(__xludf.DUMMYFUNCTION("""COMPUTED_VALUE"""),"ChadSays")</f>
        <v>ChadSays</v>
      </c>
    </row>
    <row r="5327">
      <c r="A5327" s="41" t="str">
        <f>IFERROR(__xludf.DUMMYFUNCTION("""COMPUTED_VALUE"""),"RSC005343")</f>
        <v>RSC005343</v>
      </c>
      <c r="B5327" s="41" t="str">
        <f>IFERROR(__xludf.DUMMYFUNCTION("""COMPUTED_VALUE"""),"Cytrus-")</f>
        <v>Cytrus-</v>
      </c>
    </row>
    <row r="5328">
      <c r="A5328" s="41" t="str">
        <f>IFERROR(__xludf.DUMMYFUNCTION("""COMPUTED_VALUE"""),"RSC005344")</f>
        <v>RSC005344</v>
      </c>
      <c r="B5328" s="41" t="str">
        <f>IFERROR(__xludf.DUMMYFUNCTION("""COMPUTED_VALUE"""),"turki")</f>
        <v>turki</v>
      </c>
    </row>
    <row r="5329">
      <c r="A5329" s="41" t="str">
        <f>IFERROR(__xludf.DUMMYFUNCTION("""COMPUTED_VALUE"""),"RSC005345")</f>
        <v>RSC005345</v>
      </c>
      <c r="B5329" s="41" t="str">
        <f>IFERROR(__xludf.DUMMYFUNCTION("""COMPUTED_VALUE"""),"Roman.")</f>
        <v>Roman.</v>
      </c>
    </row>
    <row r="5330">
      <c r="A5330" s="41" t="str">
        <f>IFERROR(__xludf.DUMMYFUNCTION("""COMPUTED_VALUE"""),"RSC005346")</f>
        <v>RSC005346</v>
      </c>
      <c r="B5330" s="41" t="str">
        <f>IFERROR(__xludf.DUMMYFUNCTION("""COMPUTED_VALUE"""),"Kuro.")</f>
        <v>Kuro.</v>
      </c>
    </row>
    <row r="5331">
      <c r="A5331" s="41" t="str">
        <f>IFERROR(__xludf.DUMMYFUNCTION("""COMPUTED_VALUE"""),"RSC005347")</f>
        <v>RSC005347</v>
      </c>
      <c r="B5331" s="41" t="str">
        <f>IFERROR(__xludf.DUMMYFUNCTION("""COMPUTED_VALUE"""),"CAMSL4YZ82")</f>
        <v>CAMSL4YZ82</v>
      </c>
    </row>
    <row r="5332">
      <c r="A5332" s="41" t="str">
        <f>IFERROR(__xludf.DUMMYFUNCTION("""COMPUTED_VALUE"""),"RSC005348")</f>
        <v>RSC005348</v>
      </c>
      <c r="B5332" s="41" t="str">
        <f>IFERROR(__xludf.DUMMYFUNCTION("""COMPUTED_VALUE"""),"Phil")</f>
        <v>Phil</v>
      </c>
    </row>
    <row r="5333">
      <c r="A5333" s="41" t="str">
        <f>IFERROR(__xludf.DUMMYFUNCTION("""COMPUTED_VALUE"""),"RSC005349")</f>
        <v>RSC005349</v>
      </c>
      <c r="B5333" s="41" t="str">
        <f>IFERROR(__xludf.DUMMYFUNCTION("""COMPUTED_VALUE"""),"Rzemb1e")</f>
        <v>Rzemb1e</v>
      </c>
    </row>
    <row r="5334">
      <c r="A5334" s="41" t="str">
        <f>IFERROR(__xludf.DUMMYFUNCTION("""COMPUTED_VALUE"""),"RSC005350")</f>
        <v>RSC005350</v>
      </c>
      <c r="B5334" s="41" t="str">
        <f>IFERROR(__xludf.DUMMYFUNCTION("""COMPUTED_VALUE"""),"TheOmega34")</f>
        <v>TheOmega34</v>
      </c>
    </row>
    <row r="5335">
      <c r="A5335" s="41" t="str">
        <f>IFERROR(__xludf.DUMMYFUNCTION("""COMPUTED_VALUE"""),"RSC005351")</f>
        <v>RSC005351</v>
      </c>
      <c r="B5335" s="41" t="str">
        <f>IFERROR(__xludf.DUMMYFUNCTION("""COMPUTED_VALUE"""),"sunbaby")</f>
        <v>sunbaby</v>
      </c>
    </row>
    <row r="5336">
      <c r="A5336" s="41" t="str">
        <f>IFERROR(__xludf.DUMMYFUNCTION("""COMPUTED_VALUE"""),"RSC005352")</f>
        <v>RSC005352</v>
      </c>
      <c r="B5336" s="41" t="str">
        <f>IFERROR(__xludf.DUMMYFUNCTION("""COMPUTED_VALUE"""),"TrillaPando")</f>
        <v>TrillaPando</v>
      </c>
    </row>
    <row r="5337">
      <c r="A5337" s="41" t="str">
        <f>IFERROR(__xludf.DUMMYFUNCTION("""COMPUTED_VALUE"""),"RSC005353")</f>
        <v>RSC005353</v>
      </c>
      <c r="B5337" s="41" t="str">
        <f>IFERROR(__xludf.DUMMYFUNCTION("""COMPUTED_VALUE"""),"MrEndingFire")</f>
        <v>MrEndingFire</v>
      </c>
    </row>
    <row r="5338">
      <c r="A5338" s="41" t="str">
        <f>IFERROR(__xludf.DUMMYFUNCTION("""COMPUTED_VALUE"""),"RSC005354")</f>
        <v>RSC005354</v>
      </c>
      <c r="B5338" s="41" t="str">
        <f>IFERROR(__xludf.DUMMYFUNCTION("""COMPUTED_VALUE"""),"Knyght")</f>
        <v>Knyght</v>
      </c>
    </row>
    <row r="5339">
      <c r="A5339" s="41" t="str">
        <f>IFERROR(__xludf.DUMMYFUNCTION("""COMPUTED_VALUE"""),"RSC005355")</f>
        <v>RSC005355</v>
      </c>
      <c r="B5339" s="41" t="str">
        <f>IFERROR(__xludf.DUMMYFUNCTION("""COMPUTED_VALUE"""),"Armando")</f>
        <v>Armando</v>
      </c>
    </row>
    <row r="5340">
      <c r="A5340" s="41" t="str">
        <f>IFERROR(__xludf.DUMMYFUNCTION("""COMPUTED_VALUE"""),"RSC005356")</f>
        <v>RSC005356</v>
      </c>
      <c r="B5340" s="41" t="str">
        <f>IFERROR(__xludf.DUMMYFUNCTION("""COMPUTED_VALUE"""),"SuperShooter777")</f>
        <v>SuperShooter777</v>
      </c>
    </row>
    <row r="5341">
      <c r="A5341" s="41" t="str">
        <f>IFERROR(__xludf.DUMMYFUNCTION("""COMPUTED_VALUE"""),"RSC005357")</f>
        <v>RSC005357</v>
      </c>
      <c r="B5341" s="41" t="str">
        <f>IFERROR(__xludf.DUMMYFUNCTION("""COMPUTED_VALUE"""),"alphaslayer6072")</f>
        <v>alphaslayer6072</v>
      </c>
    </row>
    <row r="5342">
      <c r="A5342" s="41" t="str">
        <f>IFERROR(__xludf.DUMMYFUNCTION("""COMPUTED_VALUE"""),"RSC005358")</f>
        <v>RSC005358</v>
      </c>
      <c r="B5342" s="41" t="str">
        <f>IFERROR(__xludf.DUMMYFUNCTION("""COMPUTED_VALUE"""),"soberclown")</f>
        <v>soberclown</v>
      </c>
    </row>
    <row r="5343">
      <c r="A5343" s="41" t="str">
        <f>IFERROR(__xludf.DUMMYFUNCTION("""COMPUTED_VALUE"""),"RSC005359")</f>
        <v>RSC005359</v>
      </c>
      <c r="B5343" s="41" t="str">
        <f>IFERROR(__xludf.DUMMYFUNCTION("""COMPUTED_VALUE"""),"savage the 3")</f>
        <v>savage the 3</v>
      </c>
    </row>
    <row r="5344">
      <c r="A5344" s="41" t="str">
        <f>IFERROR(__xludf.DUMMYFUNCTION("""COMPUTED_VALUE"""),"RSC005360")</f>
        <v>RSC005360</v>
      </c>
      <c r="B5344" s="41" t="str">
        <f>IFERROR(__xludf.DUMMYFUNCTION("""COMPUTED_VALUE"""),"Bacaw")</f>
        <v>Bacaw</v>
      </c>
    </row>
    <row r="5345">
      <c r="A5345" s="41" t="str">
        <f>IFERROR(__xludf.DUMMYFUNCTION("""COMPUTED_VALUE"""),"RSC005361")</f>
        <v>RSC005361</v>
      </c>
      <c r="B5345" s="41" t="str">
        <f>IFERROR(__xludf.DUMMYFUNCTION("""COMPUTED_VALUE"""),"youngbullGLE")</f>
        <v>youngbullGLE</v>
      </c>
    </row>
    <row r="5346">
      <c r="A5346" s="41" t="str">
        <f>IFERROR(__xludf.DUMMYFUNCTION("""COMPUTED_VALUE"""),"RSC005362")</f>
        <v>RSC005362</v>
      </c>
      <c r="B5346" s="41" t="str">
        <f>IFERROR(__xludf.DUMMYFUNCTION("""COMPUTED_VALUE"""),"AnarcrisT")</f>
        <v>AnarcrisT</v>
      </c>
    </row>
    <row r="5347">
      <c r="A5347" s="41" t="str">
        <f>IFERROR(__xludf.DUMMYFUNCTION("""COMPUTED_VALUE"""),"RSC005363")</f>
        <v>RSC005363</v>
      </c>
      <c r="B5347" s="41" t="str">
        <f>IFERROR(__xludf.DUMMYFUNCTION("""COMPUTED_VALUE"""),"truxjillo")</f>
        <v>truxjillo</v>
      </c>
    </row>
    <row r="5348">
      <c r="A5348" s="41" t="str">
        <f>IFERROR(__xludf.DUMMYFUNCTION("""COMPUTED_VALUE"""),"RSC005364")</f>
        <v>RSC005364</v>
      </c>
      <c r="B5348" s="41" t="str">
        <f>IFERROR(__xludf.DUMMYFUNCTION("""COMPUTED_VALUE"""),"jshotxzy")</f>
        <v>jshotxzy</v>
      </c>
    </row>
    <row r="5349">
      <c r="A5349" s="41" t="str">
        <f>IFERROR(__xludf.DUMMYFUNCTION("""COMPUTED_VALUE"""),"RSC005365")</f>
        <v>RSC005365</v>
      </c>
      <c r="B5349" s="41" t="str">
        <f>IFERROR(__xludf.DUMMYFUNCTION("""COMPUTED_VALUE"""),"Formxny")</f>
        <v>Formxny</v>
      </c>
    </row>
    <row r="5350">
      <c r="A5350" s="41" t="str">
        <f>IFERROR(__xludf.DUMMYFUNCTION("""COMPUTED_VALUE"""),"RSC005366")</f>
        <v>RSC005366</v>
      </c>
      <c r="B5350" s="41" t="str">
        <f>IFERROR(__xludf.DUMMYFUNCTION("""COMPUTED_VALUE"""),"Fluf.")</f>
        <v>Fluf.</v>
      </c>
    </row>
    <row r="5351">
      <c r="A5351" s="41" t="str">
        <f>IFERROR(__xludf.DUMMYFUNCTION("""COMPUTED_VALUE"""),"RSC005367")</f>
        <v>RSC005367</v>
      </c>
      <c r="B5351" s="41" t="str">
        <f>IFERROR(__xludf.DUMMYFUNCTION("""COMPUTED_VALUE"""),"Fryer_Lee")</f>
        <v>Fryer_Lee</v>
      </c>
    </row>
    <row r="5352">
      <c r="A5352" s="41" t="str">
        <f>IFERROR(__xludf.DUMMYFUNCTION("""COMPUTED_VALUE"""),"RSC005368")</f>
        <v>RSC005368</v>
      </c>
      <c r="B5352" s="41" t="str">
        <f>IFERROR(__xludf.DUMMYFUNCTION("""COMPUTED_VALUE"""),"//nullptr")</f>
        <v>//nullptr</v>
      </c>
    </row>
    <row r="5353">
      <c r="A5353" s="41" t="str">
        <f>IFERROR(__xludf.DUMMYFUNCTION("""COMPUTED_VALUE"""),"RSC005369")</f>
        <v>RSC005369</v>
      </c>
      <c r="B5353" s="41" t="str">
        <f>IFERROR(__xludf.DUMMYFUNCTION("""COMPUTED_VALUE"""),"Slick Rick")</f>
        <v>Slick Rick</v>
      </c>
    </row>
    <row r="5354">
      <c r="A5354" s="41" t="str">
        <f>IFERROR(__xludf.DUMMYFUNCTION("""COMPUTED_VALUE"""),"RSC005370")</f>
        <v>RSC005370</v>
      </c>
      <c r="B5354" s="41" t="str">
        <f>IFERROR(__xludf.DUMMYFUNCTION("""COMPUTED_VALUE"""),"slum")</f>
        <v>slum</v>
      </c>
    </row>
    <row r="5355">
      <c r="A5355" s="41" t="str">
        <f>IFERROR(__xludf.DUMMYFUNCTION("""COMPUTED_VALUE"""),"RSC005371")</f>
        <v>RSC005371</v>
      </c>
      <c r="B5355" s="41" t="str">
        <f>IFERROR(__xludf.DUMMYFUNCTION("""COMPUTED_VALUE"""),"BigRick6")</f>
        <v>BigRick6</v>
      </c>
    </row>
    <row r="5356">
      <c r="A5356" s="41" t="str">
        <f>IFERROR(__xludf.DUMMYFUNCTION("""COMPUTED_VALUE"""),"RSC005372")</f>
        <v>RSC005372</v>
      </c>
      <c r="B5356" s="41" t="str">
        <f>IFERROR(__xludf.DUMMYFUNCTION("""COMPUTED_VALUE"""),"Rebarbative")</f>
        <v>Rebarbative</v>
      </c>
    </row>
    <row r="5357">
      <c r="A5357" s="41" t="str">
        <f>IFERROR(__xludf.DUMMYFUNCTION("""COMPUTED_VALUE"""),"RSC005373")</f>
        <v>RSC005373</v>
      </c>
      <c r="B5357" s="41" t="str">
        <f>IFERROR(__xludf.DUMMYFUNCTION("""COMPUTED_VALUE"""),"dvorl.ttv")</f>
        <v>dvorl.ttv</v>
      </c>
    </row>
    <row r="5358">
      <c r="A5358" s="41" t="str">
        <f>IFERROR(__xludf.DUMMYFUNCTION("""COMPUTED_VALUE"""),"RSC005374")</f>
        <v>RSC005374</v>
      </c>
      <c r="B5358" s="41" t="str">
        <f>IFERROR(__xludf.DUMMYFUNCTION("""COMPUTED_VALUE"""),"A Yapping Panda")</f>
        <v>A Yapping Panda</v>
      </c>
    </row>
    <row r="5359">
      <c r="A5359" s="41" t="str">
        <f>IFERROR(__xludf.DUMMYFUNCTION("""COMPUTED_VALUE"""),"RSC005375")</f>
        <v>RSC005375</v>
      </c>
      <c r="B5359" s="41" t="str">
        <f>IFERROR(__xludf.DUMMYFUNCTION("""COMPUTED_VALUE"""),"Ay G.")</f>
        <v>Ay G.</v>
      </c>
    </row>
    <row r="5360">
      <c r="A5360" s="41" t="str">
        <f>IFERROR(__xludf.DUMMYFUNCTION("""COMPUTED_VALUE"""),"RSC005376")</f>
        <v>RSC005376</v>
      </c>
      <c r="B5360" s="41" t="str">
        <f>IFERROR(__xludf.DUMMYFUNCTION("""COMPUTED_VALUE"""),"mello!")</f>
        <v>mello!</v>
      </c>
    </row>
    <row r="5361">
      <c r="A5361" s="41" t="str">
        <f>IFERROR(__xludf.DUMMYFUNCTION("""COMPUTED_VALUE"""),"RSC005377")</f>
        <v>RSC005377</v>
      </c>
      <c r="B5361" s="41" t="str">
        <f>IFERROR(__xludf.DUMMYFUNCTION("""COMPUTED_VALUE"""),"DirtyHarry")</f>
        <v>DirtyHarry</v>
      </c>
    </row>
    <row r="5362">
      <c r="A5362" s="41" t="str">
        <f>IFERROR(__xludf.DUMMYFUNCTION("""COMPUTED_VALUE"""),"RSC005378")</f>
        <v>RSC005378</v>
      </c>
      <c r="B5362" s="41" t="str">
        <f>IFERROR(__xludf.DUMMYFUNCTION("""COMPUTED_VALUE"""),"sky406")</f>
        <v>sky406</v>
      </c>
    </row>
    <row r="5363">
      <c r="A5363" s="41" t="str">
        <f>IFERROR(__xludf.DUMMYFUNCTION("""COMPUTED_VALUE"""),"RSC005379")</f>
        <v>RSC005379</v>
      </c>
      <c r="B5363" s="41" t="str">
        <f>IFERROR(__xludf.DUMMYFUNCTION("""COMPUTED_VALUE"""),"WollyZ")</f>
        <v>WollyZ</v>
      </c>
    </row>
    <row r="5364">
      <c r="A5364" s="41" t="str">
        <f>IFERROR(__xludf.DUMMYFUNCTION("""COMPUTED_VALUE"""),"RSC005380")</f>
        <v>RSC005380</v>
      </c>
      <c r="B5364" s="41" t="str">
        <f>IFERROR(__xludf.DUMMYFUNCTION("""COMPUTED_VALUE"""),"Jshmn2008")</f>
        <v>Jshmn2008</v>
      </c>
    </row>
    <row r="5365">
      <c r="A5365" s="41" t="str">
        <f>IFERROR(__xludf.DUMMYFUNCTION("""COMPUTED_VALUE"""),"RSC005381")</f>
        <v>RSC005381</v>
      </c>
      <c r="B5365" s="41" t="str">
        <f>IFERROR(__xludf.DUMMYFUNCTION("""COMPUTED_VALUE"""),"FBstovergaming")</f>
        <v>FBstovergaming</v>
      </c>
    </row>
    <row r="5366">
      <c r="A5366" s="41" t="str">
        <f>IFERROR(__xludf.DUMMYFUNCTION("""COMPUTED_VALUE"""),"RSC005382")</f>
        <v>RSC005382</v>
      </c>
      <c r="B5366" s="41" t="str">
        <f>IFERROR(__xludf.DUMMYFUNCTION("""COMPUTED_VALUE"""),"FfejGnak")</f>
        <v>FfejGnak</v>
      </c>
    </row>
    <row r="5367">
      <c r="A5367" s="41" t="str">
        <f>IFERROR(__xludf.DUMMYFUNCTION("""COMPUTED_VALUE"""),"RSC005383")</f>
        <v>RSC005383</v>
      </c>
      <c r="B5367" s="41" t="str">
        <f>IFERROR(__xludf.DUMMYFUNCTION("""COMPUTED_VALUE"""),"CaptainPlasmo")</f>
        <v>CaptainPlasmo</v>
      </c>
    </row>
    <row r="5368">
      <c r="A5368" s="41" t="str">
        <f>IFERROR(__xludf.DUMMYFUNCTION("""COMPUTED_VALUE"""),"RSC005384")</f>
        <v>RSC005384</v>
      </c>
      <c r="B5368" s="41" t="str">
        <f>IFERROR(__xludf.DUMMYFUNCTION("""COMPUTED_VALUE"""),"SolvedSphinx126")</f>
        <v>SolvedSphinx126</v>
      </c>
    </row>
    <row r="5369">
      <c r="A5369" s="41" t="str">
        <f>IFERROR(__xludf.DUMMYFUNCTION("""COMPUTED_VALUE"""),"RSC005385")</f>
        <v>RSC005385</v>
      </c>
      <c r="B5369" s="41" t="str">
        <f>IFERROR(__xludf.DUMMYFUNCTION("""COMPUTED_VALUE"""),"Girth")</f>
        <v>Girth</v>
      </c>
    </row>
    <row r="5370">
      <c r="A5370" s="41" t="str">
        <f>IFERROR(__xludf.DUMMYFUNCTION("""COMPUTED_VALUE"""),"RSC005386")</f>
        <v>RSC005386</v>
      </c>
      <c r="B5370" s="41" t="str">
        <f>IFERROR(__xludf.DUMMYFUNCTION("""COMPUTED_VALUE"""),"Danub")</f>
        <v>Danub</v>
      </c>
    </row>
    <row r="5371">
      <c r="A5371" s="41" t="str">
        <f>IFERROR(__xludf.DUMMYFUNCTION("""COMPUTED_VALUE"""),"RSC005387")</f>
        <v>RSC005387</v>
      </c>
      <c r="B5371" s="41" t="str">
        <f>IFERROR(__xludf.DUMMYFUNCTION("""COMPUTED_VALUE"""),"13-L-A-N-K")</f>
        <v>13-L-A-N-K</v>
      </c>
    </row>
    <row r="5372">
      <c r="A5372" s="41" t="str">
        <f>IFERROR(__xludf.DUMMYFUNCTION("""COMPUTED_VALUE"""),"RSC005388")</f>
        <v>RSC005388</v>
      </c>
      <c r="B5372" s="41" t="str">
        <f>IFERROR(__xludf.DUMMYFUNCTION("""COMPUTED_VALUE"""),"RoadSauce")</f>
        <v>RoadSauce</v>
      </c>
    </row>
    <row r="5373">
      <c r="A5373" s="41" t="str">
        <f>IFERROR(__xludf.DUMMYFUNCTION("""COMPUTED_VALUE"""),"RSC005389")</f>
        <v>RSC005389</v>
      </c>
      <c r="B5373" s="41" t="str">
        <f>IFERROR(__xludf.DUMMYFUNCTION("""COMPUTED_VALUE"""),"dak")</f>
        <v>dak</v>
      </c>
    </row>
    <row r="5374">
      <c r="A5374" s="41" t="str">
        <f>IFERROR(__xludf.DUMMYFUNCTION("""COMPUTED_VALUE"""),"RSC005390")</f>
        <v>RSC005390</v>
      </c>
      <c r="B5374" s="41" t="str">
        <f>IFERROR(__xludf.DUMMYFUNCTION("""COMPUTED_VALUE"""),"Alec Barron")</f>
        <v>Alec Barron</v>
      </c>
    </row>
    <row r="5375">
      <c r="A5375" s="41" t="str">
        <f>IFERROR(__xludf.DUMMYFUNCTION("""COMPUTED_VALUE"""),"RSC005391")</f>
        <v>RSC005391</v>
      </c>
      <c r="B5375" s="41" t="str">
        <f>IFERROR(__xludf.DUMMYFUNCTION("""COMPUTED_VALUE"""),"Space Captain")</f>
        <v>Space Captain</v>
      </c>
    </row>
    <row r="5376">
      <c r="A5376" s="41" t="str">
        <f>IFERROR(__xludf.DUMMYFUNCTION("""COMPUTED_VALUE"""),"RSC005392")</f>
        <v>RSC005392</v>
      </c>
      <c r="B5376" s="41" t="str">
        <f>IFERROR(__xludf.DUMMYFUNCTION("""COMPUTED_VALUE"""),"CadenRL.")</f>
        <v>CadenRL.</v>
      </c>
    </row>
    <row r="5377">
      <c r="A5377" s="41" t="str">
        <f>IFERROR(__xludf.DUMMYFUNCTION("""COMPUTED_VALUE"""),"RSC005393")</f>
        <v>RSC005393</v>
      </c>
      <c r="B5377" s="41" t="str">
        <f>IFERROR(__xludf.DUMMYFUNCTION("""COMPUTED_VALUE"""),"Rainy")</f>
        <v>Rainy</v>
      </c>
    </row>
    <row r="5378">
      <c r="A5378" s="41" t="str">
        <f>IFERROR(__xludf.DUMMYFUNCTION("""COMPUTED_VALUE"""),"RSC005394")</f>
        <v>RSC005394</v>
      </c>
      <c r="B5378" s="41" t="str">
        <f>IFERROR(__xludf.DUMMYFUNCTION("""COMPUTED_VALUE"""),"HappyTrailCo")</f>
        <v>HappyTrailCo</v>
      </c>
    </row>
    <row r="5379">
      <c r="A5379" s="41" t="str">
        <f>IFERROR(__xludf.DUMMYFUNCTION("""COMPUTED_VALUE"""),"RSC005395")</f>
        <v>RSC005395</v>
      </c>
      <c r="B5379" s="41" t="str">
        <f>IFERROR(__xludf.DUMMYFUNCTION("""COMPUTED_VALUE"""),"Ginfoe")</f>
        <v>Ginfoe</v>
      </c>
    </row>
    <row r="5380">
      <c r="A5380" s="41" t="str">
        <f>IFERROR(__xludf.DUMMYFUNCTION("""COMPUTED_VALUE"""),"RSC005396")</f>
        <v>RSC005396</v>
      </c>
      <c r="B5380" s="41" t="str">
        <f>IFERROR(__xludf.DUMMYFUNCTION("""COMPUTED_VALUE"""),"Fitness")</f>
        <v>Fitness</v>
      </c>
    </row>
    <row r="5381">
      <c r="A5381" s="41" t="str">
        <f>IFERROR(__xludf.DUMMYFUNCTION("""COMPUTED_VALUE"""),"RSC005397")</f>
        <v>RSC005397</v>
      </c>
      <c r="B5381" s="41" t="str">
        <f>IFERROR(__xludf.DUMMYFUNCTION("""COMPUTED_VALUE"""),"PridedBird3406")</f>
        <v>PridedBird3406</v>
      </c>
    </row>
    <row r="5382">
      <c r="A5382" s="41" t="str">
        <f>IFERROR(__xludf.DUMMYFUNCTION("""COMPUTED_VALUE"""),"RSC005398")</f>
        <v>RSC005398</v>
      </c>
      <c r="B5382" s="41" t="str">
        <f>IFERROR(__xludf.DUMMYFUNCTION("""COMPUTED_VALUE"""),"Cuberry :')")</f>
        <v>Cuberry :')</v>
      </c>
    </row>
    <row r="5383">
      <c r="A5383" s="41" t="str">
        <f>IFERROR(__xludf.DUMMYFUNCTION("""COMPUTED_VALUE"""),"RSC005399")</f>
        <v>RSC005399</v>
      </c>
      <c r="B5383" s="41" t="str">
        <f>IFERROR(__xludf.DUMMYFUNCTION("""COMPUTED_VALUE"""),"The Squiddler")</f>
        <v>The Squiddler</v>
      </c>
    </row>
    <row r="5384">
      <c r="A5384" s="41" t="str">
        <f>IFERROR(__xludf.DUMMYFUNCTION("""COMPUTED_VALUE"""),"RSC005400")</f>
        <v>RSC005400</v>
      </c>
      <c r="B5384" s="41" t="str">
        <f>IFERROR(__xludf.DUMMYFUNCTION("""COMPUTED_VALUE"""),"soapyglobe")</f>
        <v>soapyglobe</v>
      </c>
    </row>
    <row r="5385">
      <c r="A5385" s="41" t="str">
        <f>IFERROR(__xludf.DUMMYFUNCTION("""COMPUTED_VALUE"""),"RSC005401")</f>
        <v>RSC005401</v>
      </c>
      <c r="B5385" s="41" t="str">
        <f>IFERROR(__xludf.DUMMYFUNCTION("""COMPUTED_VALUE"""),"Fussy Dougchmem")</f>
        <v>Fussy Dougchmem</v>
      </c>
    </row>
    <row r="5386">
      <c r="A5386" s="41" t="str">
        <f>IFERROR(__xludf.DUMMYFUNCTION("""COMPUTED_VALUE"""),"RSC005402")</f>
        <v>RSC005402</v>
      </c>
      <c r="B5386" s="41" t="str">
        <f>IFERROR(__xludf.DUMMYFUNCTION("""COMPUTED_VALUE"""),"frothty")</f>
        <v>frothty</v>
      </c>
    </row>
    <row r="5387">
      <c r="A5387" s="41" t="str">
        <f>IFERROR(__xludf.DUMMYFUNCTION("""COMPUTED_VALUE"""),"RSC005403")</f>
        <v>RSC005403</v>
      </c>
      <c r="B5387" s="41" t="str">
        <f>IFERROR(__xludf.DUMMYFUNCTION("""COMPUTED_VALUE"""),"Mr Luyee")</f>
        <v>Mr Luyee</v>
      </c>
    </row>
    <row r="5388">
      <c r="A5388" s="41" t="str">
        <f>IFERROR(__xludf.DUMMYFUNCTION("""COMPUTED_VALUE"""),"RSC005404")</f>
        <v>RSC005404</v>
      </c>
      <c r="B5388" s="41" t="str">
        <f>IFERROR(__xludf.DUMMYFUNCTION("""COMPUTED_VALUE"""),"Pooka2854")</f>
        <v>Pooka2854</v>
      </c>
    </row>
    <row r="5389">
      <c r="A5389" s="41" t="str">
        <f>IFERROR(__xludf.DUMMYFUNCTION("""COMPUTED_VALUE"""),"RSC005405")</f>
        <v>RSC005405</v>
      </c>
      <c r="B5389" s="41" t="str">
        <f>IFERROR(__xludf.DUMMYFUNCTION("""COMPUTED_VALUE"""),"Necro")</f>
        <v>Necro</v>
      </c>
    </row>
    <row r="5390">
      <c r="A5390" s="41" t="str">
        <f>IFERROR(__xludf.DUMMYFUNCTION("""COMPUTED_VALUE"""),"RSC005406")</f>
        <v>RSC005406</v>
      </c>
      <c r="B5390" s="41" t="str">
        <f>IFERROR(__xludf.DUMMYFUNCTION("""COMPUTED_VALUE"""),"Peas and Beans")</f>
        <v>Peas and Beans</v>
      </c>
    </row>
    <row r="5391">
      <c r="A5391" s="41" t="str">
        <f>IFERROR(__xludf.DUMMYFUNCTION("""COMPUTED_VALUE"""),"RSC005407")</f>
        <v>RSC005407</v>
      </c>
      <c r="B5391" s="41" t="str">
        <f>IFERROR(__xludf.DUMMYFUNCTION("""COMPUTED_VALUE"""),"suhlty")</f>
        <v>suhlty</v>
      </c>
    </row>
    <row r="5392">
      <c r="A5392" s="41" t="str">
        <f>IFERROR(__xludf.DUMMYFUNCTION("""COMPUTED_VALUE"""),"RSC005408")</f>
        <v>RSC005408</v>
      </c>
      <c r="B5392" s="41" t="str">
        <f>IFERROR(__xludf.DUMMYFUNCTION("""COMPUTED_VALUE"""),"Sprite728")</f>
        <v>Sprite728</v>
      </c>
    </row>
    <row r="5393">
      <c r="A5393" s="41" t="str">
        <f>IFERROR(__xludf.DUMMYFUNCTION("""COMPUTED_VALUE"""),"RSC005409")</f>
        <v>RSC005409</v>
      </c>
      <c r="B5393" s="41" t="str">
        <f>IFERROR(__xludf.DUMMYFUNCTION("""COMPUTED_VALUE"""),"NUT2244")</f>
        <v>NUT2244</v>
      </c>
    </row>
    <row r="5394">
      <c r="A5394" s="41" t="str">
        <f>IFERROR(__xludf.DUMMYFUNCTION("""COMPUTED_VALUE"""),"RSC005410")</f>
        <v>RSC005410</v>
      </c>
      <c r="B5394" s="41" t="str">
        <f>IFERROR(__xludf.DUMMYFUNCTION("""COMPUTED_VALUE"""),"Lejend")</f>
        <v>Lejend</v>
      </c>
    </row>
    <row r="5395">
      <c r="A5395" s="41" t="str">
        <f>IFERROR(__xludf.DUMMYFUNCTION("""COMPUTED_VALUE"""),"RSC005411")</f>
        <v>RSC005411</v>
      </c>
      <c r="B5395" s="41" t="str">
        <f>IFERROR(__xludf.DUMMYFUNCTION("""COMPUTED_VALUE"""),"pineapple448")</f>
        <v>pineapple448</v>
      </c>
    </row>
    <row r="5396">
      <c r="A5396" s="41" t="str">
        <f>IFERROR(__xludf.DUMMYFUNCTION("""COMPUTED_VALUE"""),"RSC005412")</f>
        <v>RSC005412</v>
      </c>
      <c r="B5396" s="41" t="str">
        <f>IFERROR(__xludf.DUMMYFUNCTION("""COMPUTED_VALUE"""),"Beastky")</f>
        <v>Beastky</v>
      </c>
    </row>
    <row r="5397">
      <c r="A5397" s="41" t="str">
        <f>IFERROR(__xludf.DUMMYFUNCTION("""COMPUTED_VALUE"""),"RSC005413")</f>
        <v>RSC005413</v>
      </c>
      <c r="B5397" s="41" t="str">
        <f>IFERROR(__xludf.DUMMYFUNCTION("""COMPUTED_VALUE"""),"Its_Zexall")</f>
        <v>Its_Zexall</v>
      </c>
    </row>
    <row r="5398">
      <c r="A5398" s="41" t="str">
        <f>IFERROR(__xludf.DUMMYFUNCTION("""COMPUTED_VALUE"""),"RSC005414")</f>
        <v>RSC005414</v>
      </c>
      <c r="B5398" s="41" t="str">
        <f>IFERROR(__xludf.DUMMYFUNCTION("""COMPUTED_VALUE"""),"tylerr.")</f>
        <v>tylerr.</v>
      </c>
    </row>
    <row r="5399">
      <c r="A5399" s="41" t="str">
        <f>IFERROR(__xludf.DUMMYFUNCTION("""COMPUTED_VALUE"""),"RSC005415")</f>
        <v>RSC005415</v>
      </c>
      <c r="B5399" s="41" t="str">
        <f>IFERROR(__xludf.DUMMYFUNCTION("""COMPUTED_VALUE"""),"HeckaHansen")</f>
        <v>HeckaHansen</v>
      </c>
    </row>
    <row r="5400">
      <c r="A5400" s="41" t="str">
        <f>IFERROR(__xludf.DUMMYFUNCTION("""COMPUTED_VALUE"""),"RSC005416")</f>
        <v>RSC005416</v>
      </c>
      <c r="B5400" s="41" t="str">
        <f>IFERROR(__xludf.DUMMYFUNCTION("""COMPUTED_VALUE"""),"Elite")</f>
        <v>Elite</v>
      </c>
    </row>
    <row r="5401">
      <c r="A5401" s="41" t="str">
        <f>IFERROR(__xludf.DUMMYFUNCTION("""COMPUTED_VALUE"""),"RSC005417")</f>
        <v>RSC005417</v>
      </c>
      <c r="B5401" s="41" t="str">
        <f>IFERROR(__xludf.DUMMYFUNCTION("""COMPUTED_VALUE"""),"anti ^_^")</f>
        <v>anti ^_^</v>
      </c>
    </row>
    <row r="5402">
      <c r="A5402" s="41" t="str">
        <f>IFERROR(__xludf.DUMMYFUNCTION("""COMPUTED_VALUE"""),"RSC005418")</f>
        <v>RSC005418</v>
      </c>
      <c r="B5402" s="41" t="str">
        <f>IFERROR(__xludf.DUMMYFUNCTION("""COMPUTED_VALUE"""),"DVN8657")</f>
        <v>DVN8657</v>
      </c>
    </row>
    <row r="5403">
      <c r="A5403" s="41" t="str">
        <f>IFERROR(__xludf.DUMMYFUNCTION("""COMPUTED_VALUE"""),"RSC005419")</f>
        <v>RSC005419</v>
      </c>
      <c r="B5403" s="41" t="str">
        <f>IFERROR(__xludf.DUMMYFUNCTION("""COMPUTED_VALUE"""),"tomacasche")</f>
        <v>tomacasche</v>
      </c>
    </row>
    <row r="5404">
      <c r="A5404" s="41" t="str">
        <f>IFERROR(__xludf.DUMMYFUNCTION("""COMPUTED_VALUE"""),"RSC005420")</f>
        <v>RSC005420</v>
      </c>
      <c r="B5404" s="41" t="str">
        <f>IFERROR(__xludf.DUMMYFUNCTION("""COMPUTED_VALUE"""),"wAveyBURRITO")</f>
        <v>wAveyBURRITO</v>
      </c>
    </row>
    <row r="5405">
      <c r="A5405" s="41" t="str">
        <f>IFERROR(__xludf.DUMMYFUNCTION("""COMPUTED_VALUE"""),"RSC005421")</f>
        <v>RSC005421</v>
      </c>
      <c r="B5405" s="41" t="str">
        <f>IFERROR(__xludf.DUMMYFUNCTION("""COMPUTED_VALUE"""),"Roobul")</f>
        <v>Roobul</v>
      </c>
    </row>
    <row r="5406">
      <c r="A5406" s="41" t="str">
        <f>IFERROR(__xludf.DUMMYFUNCTION("""COMPUTED_VALUE"""),"RSC005422")</f>
        <v>RSC005422</v>
      </c>
      <c r="B5406" s="41" t="str">
        <f>IFERROR(__xludf.DUMMYFUNCTION("""COMPUTED_VALUE"""),"BUCKRING")</f>
        <v>BUCKRING</v>
      </c>
    </row>
    <row r="5407">
      <c r="A5407" s="41" t="str">
        <f>IFERROR(__xludf.DUMMYFUNCTION("""COMPUTED_VALUE"""),"RSC005423")</f>
        <v>RSC005423</v>
      </c>
      <c r="B5407" s="41" t="str">
        <f>IFERROR(__xludf.DUMMYFUNCTION("""COMPUTED_VALUE"""),"LlessuR_RL")</f>
        <v>LlessuR_RL</v>
      </c>
    </row>
    <row r="5408">
      <c r="A5408" s="41" t="str">
        <f>IFERROR(__xludf.DUMMYFUNCTION("""COMPUTED_VALUE"""),"RSC005424")</f>
        <v>RSC005424</v>
      </c>
      <c r="B5408" s="41" t="str">
        <f>IFERROR(__xludf.DUMMYFUNCTION("""COMPUTED_VALUE"""),"Drayce34")</f>
        <v>Drayce34</v>
      </c>
    </row>
    <row r="5409">
      <c r="A5409" s="41" t="str">
        <f>IFERROR(__xludf.DUMMYFUNCTION("""COMPUTED_VALUE"""),"RSC005425")</f>
        <v>RSC005425</v>
      </c>
      <c r="B5409" s="41" t="str">
        <f>IFERROR(__xludf.DUMMYFUNCTION("""COMPUTED_VALUE"""),"Dizzie Riot")</f>
        <v>Dizzie Riot</v>
      </c>
    </row>
    <row r="5410">
      <c r="A5410" s="41" t="str">
        <f>IFERROR(__xludf.DUMMYFUNCTION("""COMPUTED_VALUE"""),"RSC005426")</f>
        <v>RSC005426</v>
      </c>
      <c r="B5410" s="41" t="str">
        <f>IFERROR(__xludf.DUMMYFUNCTION("""COMPUTED_VALUE"""),"nineohprime")</f>
        <v>nineohprime</v>
      </c>
    </row>
    <row r="5411">
      <c r="A5411" s="41" t="str">
        <f>IFERROR(__xludf.DUMMYFUNCTION("""COMPUTED_VALUE"""),"RSC005427")</f>
        <v>RSC005427</v>
      </c>
      <c r="B5411" s="41" t="str">
        <f>IFERROR(__xludf.DUMMYFUNCTION("""COMPUTED_VALUE"""),"llToxic_Dripll")</f>
        <v>llToxic_Dripll</v>
      </c>
    </row>
    <row r="5412">
      <c r="A5412" s="41" t="str">
        <f>IFERROR(__xludf.DUMMYFUNCTION("""COMPUTED_VALUE"""),"RSC005428")</f>
        <v>RSC005428</v>
      </c>
      <c r="B5412" s="41" t="str">
        <f>IFERROR(__xludf.DUMMYFUNCTION("""COMPUTED_VALUE"""),"Zachs Vibes")</f>
        <v>Zachs Vibes</v>
      </c>
    </row>
    <row r="5413">
      <c r="A5413" s="41" t="str">
        <f>IFERROR(__xludf.DUMMYFUNCTION("""COMPUTED_VALUE"""),"RSC005429")</f>
        <v>RSC005429</v>
      </c>
      <c r="B5413" s="41" t="str">
        <f>IFERROR(__xludf.DUMMYFUNCTION("""COMPUTED_VALUE"""),"infinity.")</f>
        <v>infinity.</v>
      </c>
    </row>
    <row r="5414">
      <c r="A5414" s="41" t="str">
        <f>IFERROR(__xludf.DUMMYFUNCTION("""COMPUTED_VALUE"""),"RSC005430")</f>
        <v>RSC005430</v>
      </c>
      <c r="B5414" s="41" t="str">
        <f>IFERROR(__xludf.DUMMYFUNCTION("""COMPUTED_VALUE"""),"Schmeemeet")</f>
        <v>Schmeemeet</v>
      </c>
    </row>
    <row r="5415">
      <c r="A5415" s="41" t="str">
        <f>IFERROR(__xludf.DUMMYFUNCTION("""COMPUTED_VALUE"""),"RSC005431")</f>
        <v>RSC005431</v>
      </c>
      <c r="B5415" s="41" t="str">
        <f>IFERROR(__xludf.DUMMYFUNCTION("""COMPUTED_VALUE"""),"VoidKill-")</f>
        <v>VoidKill-</v>
      </c>
    </row>
    <row r="5416">
      <c r="A5416" s="41" t="str">
        <f>IFERROR(__xludf.DUMMYFUNCTION("""COMPUTED_VALUE"""),"RSC005432")</f>
        <v>RSC005432</v>
      </c>
      <c r="B5416" s="41" t="str">
        <f>IFERROR(__xludf.DUMMYFUNCTION("""COMPUTED_VALUE"""),"Mike mp 2901")</f>
        <v>Mike mp 2901</v>
      </c>
    </row>
    <row r="5417">
      <c r="A5417" s="41" t="str">
        <f>IFERROR(__xludf.DUMMYFUNCTION("""COMPUTED_VALUE"""),"RSC005433")</f>
        <v>RSC005433</v>
      </c>
      <c r="B5417" s="41" t="str">
        <f>IFERROR(__xludf.DUMMYFUNCTION("""COMPUTED_VALUE"""),"Ventzer")</f>
        <v>Ventzer</v>
      </c>
    </row>
    <row r="5418">
      <c r="A5418" s="41" t="str">
        <f>IFERROR(__xludf.DUMMYFUNCTION("""COMPUTED_VALUE"""),"RSC005434")</f>
        <v>RSC005434</v>
      </c>
      <c r="B5418" s="41" t="str">
        <f>IFERROR(__xludf.DUMMYFUNCTION("""COMPUTED_VALUE"""),"blaster50")</f>
        <v>blaster50</v>
      </c>
    </row>
    <row r="5419">
      <c r="A5419" s="41" t="str">
        <f>IFERROR(__xludf.DUMMYFUNCTION("""COMPUTED_VALUE"""),"RSC005435")</f>
        <v>RSC005435</v>
      </c>
      <c r="B5419" s="41" t="str">
        <f>IFERROR(__xludf.DUMMYFUNCTION("""COMPUTED_VALUE"""),"Pain.")</f>
        <v>Pain.</v>
      </c>
    </row>
    <row r="5420">
      <c r="A5420" s="41" t="str">
        <f>IFERROR(__xludf.DUMMYFUNCTION("""COMPUTED_VALUE"""),"RSC005436")</f>
        <v>RSC005436</v>
      </c>
      <c r="B5420" s="41" t="str">
        <f>IFERROR(__xludf.DUMMYFUNCTION("""COMPUTED_VALUE"""),"Barllosss")</f>
        <v>Barllosss</v>
      </c>
    </row>
    <row r="5421">
      <c r="A5421" s="41" t="str">
        <f>IFERROR(__xludf.DUMMYFUNCTION("""COMPUTED_VALUE"""),"RSC005437")</f>
        <v>RSC005437</v>
      </c>
      <c r="B5421" s="41" t="str">
        <f>IFERROR(__xludf.DUMMYFUNCTION("""COMPUTED_VALUE"""),"kamakazi730")</f>
        <v>kamakazi730</v>
      </c>
    </row>
    <row r="5422">
      <c r="A5422" s="41" t="str">
        <f>IFERROR(__xludf.DUMMYFUNCTION("""COMPUTED_VALUE"""),"RSC005438")</f>
        <v>RSC005438</v>
      </c>
      <c r="B5422" s="41" t="str">
        <f>IFERROR(__xludf.DUMMYFUNCTION("""COMPUTED_VALUE"""),"ForestmanChubs")</f>
        <v>ForestmanChubs</v>
      </c>
    </row>
    <row r="5423">
      <c r="A5423" s="41" t="str">
        <f>IFERROR(__xludf.DUMMYFUNCTION("""COMPUTED_VALUE"""),"RSC005439")</f>
        <v>RSC005439</v>
      </c>
      <c r="B5423" s="41" t="str">
        <f>IFERROR(__xludf.DUMMYFUNCTION("""COMPUTED_VALUE"""),"Surf")</f>
        <v>Surf</v>
      </c>
    </row>
    <row r="5424">
      <c r="A5424" s="41" t="str">
        <f>IFERROR(__xludf.DUMMYFUNCTION("""COMPUTED_VALUE"""),"RSC005440")</f>
        <v>RSC005440</v>
      </c>
      <c r="B5424" s="41" t="str">
        <f>IFERROR(__xludf.DUMMYFUNCTION("""COMPUTED_VALUE"""),"Supermanabc7")</f>
        <v>Supermanabc7</v>
      </c>
    </row>
    <row r="5425">
      <c r="A5425" s="41" t="str">
        <f>IFERROR(__xludf.DUMMYFUNCTION("""COMPUTED_VALUE"""),"RSC005441")</f>
        <v>RSC005441</v>
      </c>
      <c r="B5425" s="41" t="str">
        <f>IFERROR(__xludf.DUMMYFUNCTION("""COMPUTED_VALUE"""),"TomKay")</f>
        <v>TomKay</v>
      </c>
    </row>
    <row r="5426">
      <c r="A5426" s="41" t="str">
        <f>IFERROR(__xludf.DUMMYFUNCTION("""COMPUTED_VALUE"""),"RSC005442")</f>
        <v>RSC005442</v>
      </c>
      <c r="B5426" s="41" t="str">
        <f>IFERROR(__xludf.DUMMYFUNCTION("""COMPUTED_VALUE"""),"o Im ToxAF o")</f>
        <v>o Im ToxAF o</v>
      </c>
    </row>
    <row r="5427">
      <c r="A5427" s="41" t="str">
        <f>IFERROR(__xludf.DUMMYFUNCTION("""COMPUTED_VALUE"""),"RSC005443")</f>
        <v>RSC005443</v>
      </c>
      <c r="B5427" s="41" t="str">
        <f>IFERROR(__xludf.DUMMYFUNCTION("""COMPUTED_VALUE"""),"Plasma_bear490")</f>
        <v>Plasma_bear490</v>
      </c>
    </row>
    <row r="5428">
      <c r="A5428" s="41" t="str">
        <f>IFERROR(__xludf.DUMMYFUNCTION("""COMPUTED_VALUE"""),"RSC005444")</f>
        <v>RSC005444</v>
      </c>
      <c r="B5428" s="41" t="str">
        <f>IFERROR(__xludf.DUMMYFUNCTION("""COMPUTED_VALUE"""),"KKuda-Somnia")</f>
        <v>KKuda-Somnia</v>
      </c>
    </row>
    <row r="5429">
      <c r="A5429" s="41" t="str">
        <f>IFERROR(__xludf.DUMMYFUNCTION("""COMPUTED_VALUE"""),"RSC005445")</f>
        <v>RSC005445</v>
      </c>
      <c r="B5429" s="41" t="str">
        <f>IFERROR(__xludf.DUMMYFUNCTION("""COMPUTED_VALUE"""),"Sandro.")</f>
        <v>Sandro.</v>
      </c>
    </row>
    <row r="5430">
      <c r="A5430" s="41" t="str">
        <f>IFERROR(__xludf.DUMMYFUNCTION("""COMPUTED_VALUE"""),"RSC005446")</f>
        <v>RSC005446</v>
      </c>
      <c r="B5430" s="41" t="str">
        <f>IFERROR(__xludf.DUMMYFUNCTION("""COMPUTED_VALUE"""),"Adamant")</f>
        <v>Adamant</v>
      </c>
    </row>
    <row r="5431">
      <c r="A5431" s="41" t="str">
        <f>IFERROR(__xludf.DUMMYFUNCTION("""COMPUTED_VALUE"""),"RSC005447")</f>
        <v>RSC005447</v>
      </c>
      <c r="B5431" s="41" t="str">
        <f>IFERROR(__xludf.DUMMYFUNCTION("""COMPUTED_VALUE"""),"RPGesus.")</f>
        <v>RPGesus.</v>
      </c>
    </row>
    <row r="5432">
      <c r="A5432" s="41" t="str">
        <f>IFERROR(__xludf.DUMMYFUNCTION("""COMPUTED_VALUE"""),"RSC005448")</f>
        <v>RSC005448</v>
      </c>
      <c r="B5432" s="41" t="str">
        <f>IFERROR(__xludf.DUMMYFUNCTION("""COMPUTED_VALUE"""),"Key_to_the_Gate")</f>
        <v>Key_to_the_Gate</v>
      </c>
    </row>
    <row r="5433">
      <c r="A5433" s="41" t="str">
        <f>IFERROR(__xludf.DUMMYFUNCTION("""COMPUTED_VALUE"""),"RSC005449")</f>
        <v>RSC005449</v>
      </c>
      <c r="B5433" s="41" t="str">
        <f>IFERROR(__xludf.DUMMYFUNCTION("""COMPUTED_VALUE"""),"youngsm.")</f>
        <v>youngsm.</v>
      </c>
    </row>
    <row r="5434">
      <c r="A5434" s="41" t="str">
        <f>IFERROR(__xludf.DUMMYFUNCTION("""COMPUTED_VALUE"""),"RSC005450")</f>
        <v>RSC005450</v>
      </c>
      <c r="B5434" s="41" t="str">
        <f>IFERROR(__xludf.DUMMYFUNCTION("""COMPUTED_VALUE"""),"El_Unico_Nacho")</f>
        <v>El_Unico_Nacho</v>
      </c>
    </row>
    <row r="5435">
      <c r="A5435" s="41" t="str">
        <f>IFERROR(__xludf.DUMMYFUNCTION("""COMPUTED_VALUE"""),"RSC005451")</f>
        <v>RSC005451</v>
      </c>
      <c r="B5435" s="41" t="str">
        <f>IFERROR(__xludf.DUMMYFUNCTION("""COMPUTED_VALUE"""),"Mint")</f>
        <v>Mint</v>
      </c>
    </row>
    <row r="5436">
      <c r="A5436" s="41" t="str">
        <f>IFERROR(__xludf.DUMMYFUNCTION("""COMPUTED_VALUE"""),"RSC005452")</f>
        <v>RSC005452</v>
      </c>
      <c r="B5436" s="41" t="str">
        <f>IFERROR(__xludf.DUMMYFUNCTION("""COMPUTED_VALUE"""),"potatomutt")</f>
        <v>potatomutt</v>
      </c>
    </row>
    <row r="5437">
      <c r="A5437" s="41" t="str">
        <f>IFERROR(__xludf.DUMMYFUNCTION("""COMPUTED_VALUE"""),"RSC005453")</f>
        <v>RSC005453</v>
      </c>
      <c r="B5437" s="41" t="str">
        <f>IFERROR(__xludf.DUMMYFUNCTION("""COMPUTED_VALUE"""),"Aurora!")</f>
        <v>Aurora!</v>
      </c>
    </row>
    <row r="5438">
      <c r="A5438" s="41" t="str">
        <f>IFERROR(__xludf.DUMMYFUNCTION("""COMPUTED_VALUE"""),"RSC005454")</f>
        <v>RSC005454</v>
      </c>
      <c r="B5438" s="41" t="str">
        <f>IFERROR(__xludf.DUMMYFUNCTION("""COMPUTED_VALUE"""),"Tman _")</f>
        <v>Tman _</v>
      </c>
    </row>
    <row r="5439">
      <c r="A5439" s="41" t="str">
        <f>IFERROR(__xludf.DUMMYFUNCTION("""COMPUTED_VALUE"""),"RSC005455")</f>
        <v>RSC005455</v>
      </c>
      <c r="B5439" s="41" t="str">
        <f>IFERROR(__xludf.DUMMYFUNCTION("""COMPUTED_VALUE"""),"Covi")</f>
        <v>Covi</v>
      </c>
    </row>
    <row r="5440">
      <c r="A5440" s="41" t="str">
        <f>IFERROR(__xludf.DUMMYFUNCTION("""COMPUTED_VALUE"""),"RSC005456")</f>
        <v>RSC005456</v>
      </c>
      <c r="B5440" s="41" t="str">
        <f>IFERROR(__xludf.DUMMYFUNCTION("""COMPUTED_VALUE"""),"AS1 Hazard")</f>
        <v>AS1 Hazard</v>
      </c>
    </row>
    <row r="5441">
      <c r="A5441" s="41" t="str">
        <f>IFERROR(__xludf.DUMMYFUNCTION("""COMPUTED_VALUE"""),"RSC005457")</f>
        <v>RSC005457</v>
      </c>
      <c r="B5441" s="41" t="str">
        <f>IFERROR(__xludf.DUMMYFUNCTION("""COMPUTED_VALUE"""),"Twopercent3554")</f>
        <v>Twopercent3554</v>
      </c>
    </row>
    <row r="5442">
      <c r="A5442" s="41" t="str">
        <f>IFERROR(__xludf.DUMMYFUNCTION("""COMPUTED_VALUE"""),"RSC005458")</f>
        <v>RSC005458</v>
      </c>
      <c r="B5442" s="41" t="str">
        <f>IFERROR(__xludf.DUMMYFUNCTION("""COMPUTED_VALUE"""),"Bearichaun")</f>
        <v>Bearichaun</v>
      </c>
    </row>
    <row r="5443">
      <c r="A5443" s="41" t="str">
        <f>IFERROR(__xludf.DUMMYFUNCTION("""COMPUTED_VALUE"""),"RSC005459")</f>
        <v>RSC005459</v>
      </c>
      <c r="B5443" s="41" t="str">
        <f>IFERROR(__xludf.DUMMYFUNCTION("""COMPUTED_VALUE"""),"PeskyB1rd.")</f>
        <v>PeskyB1rd.</v>
      </c>
    </row>
    <row r="5444">
      <c r="A5444" s="41" t="str">
        <f>IFERROR(__xludf.DUMMYFUNCTION("""COMPUTED_VALUE"""),"RSC005460")</f>
        <v>RSC005460</v>
      </c>
      <c r="B5444" s="41" t="str">
        <f>IFERROR(__xludf.DUMMYFUNCTION("""COMPUTED_VALUE"""),"SlyCooperD3mis3")</f>
        <v>SlyCooperD3mis3</v>
      </c>
    </row>
    <row r="5445">
      <c r="A5445" s="41" t="str">
        <f>IFERROR(__xludf.DUMMYFUNCTION("""COMPUTED_VALUE"""),"RSC005461")</f>
        <v>RSC005461</v>
      </c>
      <c r="B5445" s="41" t="str">
        <f>IFERROR(__xludf.DUMMYFUNCTION("""COMPUTED_VALUE"""),"UnholyFupa")</f>
        <v>UnholyFupa</v>
      </c>
    </row>
    <row r="5446">
      <c r="A5446" s="41" t="str">
        <f>IFERROR(__xludf.DUMMYFUNCTION("""COMPUTED_VALUE"""),"RSC005462")</f>
        <v>RSC005462</v>
      </c>
      <c r="B5446" s="41" t="str">
        <f>IFERROR(__xludf.DUMMYFUNCTION("""COMPUTED_VALUE"""),"Kenzius22")</f>
        <v>Kenzius22</v>
      </c>
    </row>
    <row r="5447">
      <c r="A5447" s="41" t="str">
        <f>IFERROR(__xludf.DUMMYFUNCTION("""COMPUTED_VALUE"""),"RSC005463")</f>
        <v>RSC005463</v>
      </c>
      <c r="B5447" s="41" t="str">
        <f>IFERROR(__xludf.DUMMYFUNCTION("""COMPUTED_VALUE"""),"catjeans")</f>
        <v>catjeans</v>
      </c>
    </row>
    <row r="5448">
      <c r="A5448" s="41" t="str">
        <f>IFERROR(__xludf.DUMMYFUNCTION("""COMPUTED_VALUE"""),"RSC005464")</f>
        <v>RSC005464</v>
      </c>
      <c r="B5448" s="41" t="str">
        <f>IFERROR(__xludf.DUMMYFUNCTION("""COMPUTED_VALUE"""),"taz.rm")</f>
        <v>taz.rm</v>
      </c>
    </row>
    <row r="5449">
      <c r="A5449" s="41" t="str">
        <f>IFERROR(__xludf.DUMMYFUNCTION("""COMPUTED_VALUE"""),"RSC005465")</f>
        <v>RSC005465</v>
      </c>
      <c r="B5449" s="41" t="str">
        <f>IFERROR(__xludf.DUMMYFUNCTION("""COMPUTED_VALUE"""),"Buffy…")</f>
        <v>Buffy…</v>
      </c>
    </row>
    <row r="5450">
      <c r="A5450" s="41" t="str">
        <f>IFERROR(__xludf.DUMMYFUNCTION("""COMPUTED_VALUE"""),"RSC005466")</f>
        <v>RSC005466</v>
      </c>
      <c r="B5450" s="41" t="str">
        <f>IFERROR(__xludf.DUMMYFUNCTION("""COMPUTED_VALUE"""),"CyborgTed")</f>
        <v>CyborgTed</v>
      </c>
    </row>
    <row r="5451">
      <c r="A5451" s="41" t="str">
        <f>IFERROR(__xludf.DUMMYFUNCTION("""COMPUTED_VALUE"""),"RSC005467")</f>
        <v>RSC005467</v>
      </c>
      <c r="B5451" s="41" t="str">
        <f>IFERROR(__xludf.DUMMYFUNCTION("""COMPUTED_VALUE"""),"Akne")</f>
        <v>Akne</v>
      </c>
    </row>
    <row r="5452">
      <c r="A5452" s="41" t="str">
        <f>IFERROR(__xludf.DUMMYFUNCTION("""COMPUTED_VALUE"""),"RSC005468")</f>
        <v>RSC005468</v>
      </c>
      <c r="B5452" s="41" t="str">
        <f>IFERROR(__xludf.DUMMYFUNCTION("""COMPUTED_VALUE"""),"xo &lt;3")</f>
        <v>xo &lt;3</v>
      </c>
    </row>
    <row r="5453">
      <c r="A5453" s="41" t="str">
        <f>IFERROR(__xludf.DUMMYFUNCTION("""COMPUTED_VALUE"""),"RSC005469")</f>
        <v>RSC005469</v>
      </c>
      <c r="B5453" s="41" t="str">
        <f>IFERROR(__xludf.DUMMYFUNCTION("""COMPUTED_VALUE"""),"Axlos (Goofy and Silly)")</f>
        <v>Axlos (Goofy and Silly)</v>
      </c>
    </row>
    <row r="5454">
      <c r="A5454" s="41" t="str">
        <f>IFERROR(__xludf.DUMMYFUNCTION("""COMPUTED_VALUE"""),"RSC005470")</f>
        <v>RSC005470</v>
      </c>
      <c r="B5454" s="41" t="str">
        <f>IFERROR(__xludf.DUMMYFUNCTION("""COMPUTED_VALUE"""),"Scribowls")</f>
        <v>Scribowls</v>
      </c>
    </row>
    <row r="5455">
      <c r="A5455" s="41" t="str">
        <f>IFERROR(__xludf.DUMMYFUNCTION("""COMPUTED_VALUE"""),"RSC005471")</f>
        <v>RSC005471</v>
      </c>
      <c r="B5455" s="41" t="str">
        <f>IFERROR(__xludf.DUMMYFUNCTION("""COMPUTED_VALUE"""),"GummieWorld")</f>
        <v>GummieWorld</v>
      </c>
    </row>
    <row r="5456">
      <c r="A5456" s="41" t="str">
        <f>IFERROR(__xludf.DUMMYFUNCTION("""COMPUTED_VALUE"""),"RSC005472")</f>
        <v>RSC005472</v>
      </c>
      <c r="B5456" s="41" t="str">
        <f>IFERROR(__xludf.DUMMYFUNCTION("""COMPUTED_VALUE"""),"EngynGameOver")</f>
        <v>EngynGameOver</v>
      </c>
    </row>
    <row r="5457">
      <c r="A5457" s="41" t="str">
        <f>IFERROR(__xludf.DUMMYFUNCTION("""COMPUTED_VALUE"""),"RSC005473")</f>
        <v>RSC005473</v>
      </c>
      <c r="B5457" s="41" t="str">
        <f>IFERROR(__xludf.DUMMYFUNCTION("""COMPUTED_VALUE"""),"Brch.")</f>
        <v>Brch.</v>
      </c>
    </row>
    <row r="5458">
      <c r="A5458" s="41" t="str">
        <f>IFERROR(__xludf.DUMMYFUNCTION("""COMPUTED_VALUE"""),"RSC005474")</f>
        <v>RSC005474</v>
      </c>
      <c r="B5458" s="41" t="str">
        <f>IFERROR(__xludf.DUMMYFUNCTION("""COMPUTED_VALUE"""),"x-_-FATH3R-_-x")</f>
        <v>x-_-FATH3R-_-x</v>
      </c>
    </row>
    <row r="5459">
      <c r="A5459" s="41" t="str">
        <f>IFERROR(__xludf.DUMMYFUNCTION("""COMPUTED_VALUE"""),"RSC005475")</f>
        <v>RSC005475</v>
      </c>
      <c r="B5459" s="41" t="str">
        <f>IFERROR(__xludf.DUMMYFUNCTION("""COMPUTED_VALUE"""),"Envy")</f>
        <v>Envy</v>
      </c>
    </row>
    <row r="5460">
      <c r="A5460" s="41" t="str">
        <f>IFERROR(__xludf.DUMMYFUNCTION("""COMPUTED_VALUE"""),"RSC005476")</f>
        <v>RSC005476</v>
      </c>
      <c r="B5460" s="41" t="str">
        <f>IFERROR(__xludf.DUMMYFUNCTION("""COMPUTED_VALUE"""),"Septance")</f>
        <v>Septance</v>
      </c>
    </row>
    <row r="5461">
      <c r="A5461" s="41" t="str">
        <f>IFERROR(__xludf.DUMMYFUNCTION("""COMPUTED_VALUE"""),"RSC005477")</f>
        <v>RSC005477</v>
      </c>
      <c r="B5461" s="41" t="str">
        <f>IFERROR(__xludf.DUMMYFUNCTION("""COMPUTED_VALUE"""),"neverbeendiamound")</f>
        <v>neverbeendiamound</v>
      </c>
    </row>
    <row r="5462">
      <c r="A5462" s="41" t="str">
        <f>IFERROR(__xludf.DUMMYFUNCTION("""COMPUTED_VALUE"""),"RSC005478")</f>
        <v>RSC005478</v>
      </c>
      <c r="B5462" s="41" t="str">
        <f>IFERROR(__xludf.DUMMYFUNCTION("""COMPUTED_VALUE"""),"ttvggdabz")</f>
        <v>ttvggdabz</v>
      </c>
    </row>
    <row r="5463">
      <c r="A5463" s="41" t="str">
        <f>IFERROR(__xludf.DUMMYFUNCTION("""COMPUTED_VALUE"""),"RSC005479")</f>
        <v>RSC005479</v>
      </c>
      <c r="B5463" s="41" t="str">
        <f>IFERROR(__xludf.DUMMYFUNCTION("""COMPUTED_VALUE"""),"Larsen")</f>
        <v>Larsen</v>
      </c>
    </row>
    <row r="5464">
      <c r="A5464" s="41" t="str">
        <f>IFERROR(__xludf.DUMMYFUNCTION("""COMPUTED_VALUE"""),"RSC005480")</f>
        <v>RSC005480</v>
      </c>
      <c r="B5464" s="41" t="str">
        <f>IFERROR(__xludf.DUMMYFUNCTION("""COMPUTED_VALUE"""),"PhantomMSX")</f>
        <v>PhantomMSX</v>
      </c>
    </row>
    <row r="5465">
      <c r="A5465" s="41" t="str">
        <f>IFERROR(__xludf.DUMMYFUNCTION("""COMPUTED_VALUE"""),"RSC005481")</f>
        <v>RSC005481</v>
      </c>
      <c r="B5465" s="41" t="str">
        <f>IFERROR(__xludf.DUMMYFUNCTION("""COMPUTED_VALUE"""),"Leonis")</f>
        <v>Leonis</v>
      </c>
    </row>
    <row r="5466">
      <c r="A5466" s="41" t="str">
        <f>IFERROR(__xludf.DUMMYFUNCTION("""COMPUTED_VALUE"""),"RSC005482")</f>
        <v>RSC005482</v>
      </c>
      <c r="B5466" s="41" t="str">
        <f>IFERROR(__xludf.DUMMYFUNCTION("""COMPUTED_VALUE"""),"Benny!")</f>
        <v>Benny!</v>
      </c>
    </row>
    <row r="5467">
      <c r="A5467" s="41" t="str">
        <f>IFERROR(__xludf.DUMMYFUNCTION("""COMPUTED_VALUE"""),"RSC005483")</f>
        <v>RSC005483</v>
      </c>
      <c r="B5467" s="41" t="str">
        <f>IFERROR(__xludf.DUMMYFUNCTION("""COMPUTED_VALUE"""),"SpoiledKraken167")</f>
        <v>SpoiledKraken167</v>
      </c>
    </row>
    <row r="5468">
      <c r="A5468" s="41" t="str">
        <f>IFERROR(__xludf.DUMMYFUNCTION("""COMPUTED_VALUE"""),"RSC005484")</f>
        <v>RSC005484</v>
      </c>
      <c r="B5468" s="41" t="str">
        <f>IFERROR(__xludf.DUMMYFUNCTION("""COMPUTED_VALUE"""),"Alterra")</f>
        <v>Alterra</v>
      </c>
    </row>
    <row r="5469">
      <c r="A5469" s="41" t="str">
        <f>IFERROR(__xludf.DUMMYFUNCTION("""COMPUTED_VALUE"""),"RSC005485")</f>
        <v>RSC005485</v>
      </c>
      <c r="B5469" s="41" t="str">
        <f>IFERROR(__xludf.DUMMYFUNCTION("""COMPUTED_VALUE"""),"Exile")</f>
        <v>Exile</v>
      </c>
    </row>
    <row r="5470">
      <c r="A5470" s="41" t="str">
        <f>IFERROR(__xludf.DUMMYFUNCTION("""COMPUTED_VALUE"""),"RSC005486")</f>
        <v>RSC005486</v>
      </c>
      <c r="B5470" s="41" t="str">
        <f>IFERROR(__xludf.DUMMYFUNCTION("""COMPUTED_VALUE"""),"Haze")</f>
        <v>Haze</v>
      </c>
    </row>
    <row r="5471">
      <c r="A5471" s="41" t="str">
        <f>IFERROR(__xludf.DUMMYFUNCTION("""COMPUTED_VALUE"""),"RSC005487")</f>
        <v>RSC005487</v>
      </c>
      <c r="B5471" s="41" t="str">
        <f>IFERROR(__xludf.DUMMYFUNCTION("""COMPUTED_VALUE"""),"x_MarshaLLaw_x")</f>
        <v>x_MarshaLLaw_x</v>
      </c>
    </row>
    <row r="5472">
      <c r="A5472" s="41" t="str">
        <f>IFERROR(__xludf.DUMMYFUNCTION("""COMPUTED_VALUE"""),"RSC005488")</f>
        <v>RSC005488</v>
      </c>
      <c r="B5472" s="41" t="str">
        <f>IFERROR(__xludf.DUMMYFUNCTION("""COMPUTED_VALUE"""),"bnj. ツ")</f>
        <v>bnj. ツ</v>
      </c>
    </row>
    <row r="5473">
      <c r="A5473" s="41" t="str">
        <f>IFERROR(__xludf.DUMMYFUNCTION("""COMPUTED_VALUE"""),"RSC005489")</f>
        <v>RSC005489</v>
      </c>
      <c r="B5473" s="41" t="str">
        <f>IFERROR(__xludf.DUMMYFUNCTION("""COMPUTED_VALUE"""),"Mabracadabra919")</f>
        <v>Mabracadabra919</v>
      </c>
    </row>
    <row r="5474">
      <c r="A5474" s="41" t="str">
        <f>IFERROR(__xludf.DUMMYFUNCTION("""COMPUTED_VALUE"""),"RSC005490")</f>
        <v>RSC005490</v>
      </c>
      <c r="B5474" s="41" t="str">
        <f>IFERROR(__xludf.DUMMYFUNCTION("""COMPUTED_VALUE"""),"iProfessorEx")</f>
        <v>iProfessorEx</v>
      </c>
    </row>
    <row r="5475">
      <c r="A5475" s="41" t="str">
        <f>IFERROR(__xludf.DUMMYFUNCTION("""COMPUTED_VALUE"""),"RSC005491")</f>
        <v>RSC005491</v>
      </c>
      <c r="B5475" s="41" t="str">
        <f>IFERROR(__xludf.DUMMYFUNCTION("""COMPUTED_VALUE"""),"Jackowanou")</f>
        <v>Jackowanou</v>
      </c>
    </row>
    <row r="5476">
      <c r="A5476" s="41" t="str">
        <f>IFERROR(__xludf.DUMMYFUNCTION("""COMPUTED_VALUE"""),"RSC005492")</f>
        <v>RSC005492</v>
      </c>
      <c r="B5476" s="41" t="str">
        <f>IFERROR(__xludf.DUMMYFUNCTION("""COMPUTED_VALUE"""),"OneGreenPea")</f>
        <v>OneGreenPea</v>
      </c>
    </row>
    <row r="5477">
      <c r="A5477" s="41" t="str">
        <f>IFERROR(__xludf.DUMMYFUNCTION("""COMPUTED_VALUE"""),"RSC005493")</f>
        <v>RSC005493</v>
      </c>
      <c r="B5477" s="41" t="str">
        <f>IFERROR(__xludf.DUMMYFUNCTION("""COMPUTED_VALUE"""),"NJ111_")</f>
        <v>NJ111_</v>
      </c>
    </row>
    <row r="5478">
      <c r="A5478" s="41" t="str">
        <f>IFERROR(__xludf.DUMMYFUNCTION("""COMPUTED_VALUE"""),"RSC005494")</f>
        <v>RSC005494</v>
      </c>
      <c r="B5478" s="41" t="str">
        <f>IFERROR(__xludf.DUMMYFUNCTION("""COMPUTED_VALUE"""),"Agent_Mandark")</f>
        <v>Agent_Mandark</v>
      </c>
    </row>
    <row r="5479">
      <c r="A5479" s="41" t="str">
        <f>IFERROR(__xludf.DUMMYFUNCTION("""COMPUTED_VALUE"""),"RSC005495")</f>
        <v>RSC005495</v>
      </c>
      <c r="B5479" s="41" t="str">
        <f>IFERROR(__xludf.DUMMYFUNCTION("""COMPUTED_VALUE"""),"Typical")</f>
        <v>Typical</v>
      </c>
    </row>
    <row r="5480">
      <c r="A5480" s="41" t="str">
        <f>IFERROR(__xludf.DUMMYFUNCTION("""COMPUTED_VALUE"""),"RSC005496")</f>
        <v>RSC005496</v>
      </c>
      <c r="B5480" s="41" t="str">
        <f>IFERROR(__xludf.DUMMYFUNCTION("""COMPUTED_VALUE"""),"Ant Society")</f>
        <v>Ant Society</v>
      </c>
    </row>
    <row r="5481">
      <c r="A5481" s="41" t="str">
        <f>IFERROR(__xludf.DUMMYFUNCTION("""COMPUTED_VALUE"""),"RSC005497")</f>
        <v>RSC005497</v>
      </c>
      <c r="B5481" s="41" t="str">
        <f>IFERROR(__xludf.DUMMYFUNCTION("""COMPUTED_VALUE"""),"YoxxRL")</f>
        <v>YoxxRL</v>
      </c>
    </row>
    <row r="5482">
      <c r="A5482" s="41" t="str">
        <f>IFERROR(__xludf.DUMMYFUNCTION("""COMPUTED_VALUE"""),"RSC005498")</f>
        <v>RSC005498</v>
      </c>
      <c r="B5482" s="41" t="str">
        <f>IFERROR(__xludf.DUMMYFUNCTION("""COMPUTED_VALUE"""),"DiscoverableMatt")</f>
        <v>DiscoverableMatt</v>
      </c>
    </row>
    <row r="5483">
      <c r="A5483" s="41" t="str">
        <f>IFERROR(__xludf.DUMMYFUNCTION("""COMPUTED_VALUE"""),"RSC005499")</f>
        <v>RSC005499</v>
      </c>
      <c r="B5483" s="41" t="str">
        <f>IFERROR(__xludf.DUMMYFUNCTION("""COMPUTED_VALUE"""),"The Red R0cket")</f>
        <v>The Red R0cket</v>
      </c>
    </row>
    <row r="5484">
      <c r="A5484" s="41" t="str">
        <f>IFERROR(__xludf.DUMMYFUNCTION("""COMPUTED_VALUE"""),"RSC005500")</f>
        <v>RSC005500</v>
      </c>
      <c r="B5484" s="41" t="str">
        <f>IFERROR(__xludf.DUMMYFUNCTION("""COMPUTED_VALUE"""),"KŁampy")</f>
        <v>KŁampy</v>
      </c>
    </row>
    <row r="5485">
      <c r="A5485" s="41" t="str">
        <f>IFERROR(__xludf.DUMMYFUNCTION("""COMPUTED_VALUE"""),"RSC005501")</f>
        <v>RSC005501</v>
      </c>
      <c r="B5485" s="41" t="str">
        <f>IFERROR(__xludf.DUMMYFUNCTION("""COMPUTED_VALUE"""),"Commercedawg")</f>
        <v>Commercedawg</v>
      </c>
    </row>
    <row r="5486">
      <c r="A5486" s="41" t="str">
        <f>IFERROR(__xludf.DUMMYFUNCTION("""COMPUTED_VALUE"""),"RSC005502")</f>
        <v>RSC005502</v>
      </c>
      <c r="B5486" s="41" t="str">
        <f>IFERROR(__xludf.DUMMYFUNCTION("""COMPUTED_VALUE"""),"Soulxnz")</f>
        <v>Soulxnz</v>
      </c>
    </row>
    <row r="5487">
      <c r="A5487" s="41" t="str">
        <f>IFERROR(__xludf.DUMMYFUNCTION("""COMPUTED_VALUE"""),"RSC005503")</f>
        <v>RSC005503</v>
      </c>
      <c r="B5487" s="41" t="str">
        <f>IFERROR(__xludf.DUMMYFUNCTION("""COMPUTED_VALUE"""),"ImLurkinn")</f>
        <v>ImLurkinn</v>
      </c>
    </row>
    <row r="5488">
      <c r="A5488" s="41" t="str">
        <f>IFERROR(__xludf.DUMMYFUNCTION("""COMPUTED_VALUE"""),"RSC005504")</f>
        <v>RSC005504</v>
      </c>
      <c r="B5488" s="41" t="str">
        <f>IFERROR(__xludf.DUMMYFUNCTION("""COMPUTED_VALUE"""),"zLoczz-")</f>
        <v>zLoczz-</v>
      </c>
    </row>
    <row r="5489">
      <c r="A5489" s="41" t="str">
        <f>IFERROR(__xludf.DUMMYFUNCTION("""COMPUTED_VALUE"""),"RSC005505")</f>
        <v>RSC005505</v>
      </c>
      <c r="B5489" s="41" t="str">
        <f>IFERROR(__xludf.DUMMYFUNCTION("""COMPUTED_VALUE"""),"The_Wheelman_95")</f>
        <v>The_Wheelman_95</v>
      </c>
    </row>
    <row r="5490">
      <c r="A5490" s="41" t="str">
        <f>IFERROR(__xludf.DUMMYFUNCTION("""COMPUTED_VALUE"""),"RSC005506")</f>
        <v>RSC005506</v>
      </c>
      <c r="B5490" s="41" t="str">
        <f>IFERROR(__xludf.DUMMYFUNCTION("""COMPUTED_VALUE"""),"larzten")</f>
        <v>larzten</v>
      </c>
    </row>
    <row r="5491">
      <c r="A5491" s="41" t="str">
        <f>IFERROR(__xludf.DUMMYFUNCTION("""COMPUTED_VALUE"""),"RSC005507")</f>
        <v>RSC005507</v>
      </c>
      <c r="B5491" s="41" t="str">
        <f>IFERROR(__xludf.DUMMYFUNCTION("""COMPUTED_VALUE"""),"T Sant")</f>
        <v>T Sant</v>
      </c>
    </row>
    <row r="5492">
      <c r="A5492" s="41" t="str">
        <f>IFERROR(__xludf.DUMMYFUNCTION("""COMPUTED_VALUE"""),"RSC005508")</f>
        <v>RSC005508</v>
      </c>
      <c r="B5492" s="41" t="str">
        <f>IFERROR(__xludf.DUMMYFUNCTION("""COMPUTED_VALUE"""),"Lil Windex")</f>
        <v>Lil Windex</v>
      </c>
    </row>
    <row r="5493">
      <c r="A5493" s="41" t="str">
        <f>IFERROR(__xludf.DUMMYFUNCTION("""COMPUTED_VALUE"""),"RSC005509")</f>
        <v>RSC005509</v>
      </c>
      <c r="B5493" s="41" t="str">
        <f>IFERROR(__xludf.DUMMYFUNCTION("""COMPUTED_VALUE"""),"Benjamen A")</f>
        <v>Benjamen A</v>
      </c>
    </row>
    <row r="5494">
      <c r="A5494" s="41" t="str">
        <f>IFERROR(__xludf.DUMMYFUNCTION("""COMPUTED_VALUE"""),"RSC005510")</f>
        <v>RSC005510</v>
      </c>
      <c r="B5494" s="41" t="str">
        <f>IFERROR(__xludf.DUMMYFUNCTION("""COMPUTED_VALUE"""),"Bill Ripken")</f>
        <v>Bill Ripken</v>
      </c>
    </row>
    <row r="5495">
      <c r="A5495" s="41" t="str">
        <f>IFERROR(__xludf.DUMMYFUNCTION("""COMPUTED_VALUE"""),"RSC005511")</f>
        <v>RSC005511</v>
      </c>
      <c r="B5495" s="41" t="str">
        <f>IFERROR(__xludf.DUMMYFUNCTION("""COMPUTED_VALUE"""),"Just your daddy")</f>
        <v>Just your daddy</v>
      </c>
    </row>
    <row r="5496">
      <c r="A5496" s="41" t="str">
        <f>IFERROR(__xludf.DUMMYFUNCTION("""COMPUTED_VALUE"""),"RSC005512")</f>
        <v>RSC005512</v>
      </c>
      <c r="B5496" s="41" t="str">
        <f>IFERROR(__xludf.DUMMYFUNCTION("""COMPUTED_VALUE"""),"xFlipz17x")</f>
        <v>xFlipz17x</v>
      </c>
    </row>
    <row r="5497">
      <c r="A5497" s="41" t="str">
        <f>IFERROR(__xludf.DUMMYFUNCTION("""COMPUTED_VALUE"""),"RSC005513")</f>
        <v>RSC005513</v>
      </c>
      <c r="B5497" s="41" t="str">
        <f>IFERROR(__xludf.DUMMYFUNCTION("""COMPUTED_VALUE"""),"TV_ImpactReapz")</f>
        <v>TV_ImpactReapz</v>
      </c>
    </row>
    <row r="5498">
      <c r="A5498" s="41" t="str">
        <f>IFERROR(__xludf.DUMMYFUNCTION("""COMPUTED_VALUE"""),"RSC005514")</f>
        <v>RSC005514</v>
      </c>
      <c r="B5498" s="41" t="str">
        <f>IFERROR(__xludf.DUMMYFUNCTION("""COMPUTED_VALUE"""),"Carp9969")</f>
        <v>Carp9969</v>
      </c>
    </row>
    <row r="5499">
      <c r="A5499" s="41" t="str">
        <f>IFERROR(__xludf.DUMMYFUNCTION("""COMPUTED_VALUE"""),"RSC005515")</f>
        <v>RSC005515</v>
      </c>
      <c r="B5499" s="41" t="str">
        <f>IFERROR(__xludf.DUMMYFUNCTION("""COMPUTED_VALUE"""),"BaronTac0")</f>
        <v>BaronTac0</v>
      </c>
    </row>
    <row r="5500">
      <c r="A5500" s="41" t="str">
        <f>IFERROR(__xludf.DUMMYFUNCTION("""COMPUTED_VALUE"""),"RSC005516")</f>
        <v>RSC005516</v>
      </c>
      <c r="B5500" s="41" t="str">
        <f>IFERROR(__xludf.DUMMYFUNCTION("""COMPUTED_VALUE"""),"Pirate Princess Local!")</f>
        <v>Pirate Princess Local!</v>
      </c>
    </row>
    <row r="5501">
      <c r="A5501" s="41" t="str">
        <f>IFERROR(__xludf.DUMMYFUNCTION("""COMPUTED_VALUE"""),"RSC005517")</f>
        <v>RSC005517</v>
      </c>
      <c r="B5501" s="41" t="str">
        <f>IFERROR(__xludf.DUMMYFUNCTION("""COMPUTED_VALUE"""),"DylqnRL")</f>
        <v>DylqnRL</v>
      </c>
    </row>
    <row r="5502">
      <c r="A5502" s="41" t="str">
        <f>IFERROR(__xludf.DUMMYFUNCTION("""COMPUTED_VALUE"""),"RSC005518")</f>
        <v>RSC005518</v>
      </c>
      <c r="B5502" s="41" t="str">
        <f>IFERROR(__xludf.DUMMYFUNCTION("""COMPUTED_VALUE"""),"PublicEnemy#1")</f>
        <v>PublicEnemy#1</v>
      </c>
    </row>
    <row r="5503">
      <c r="A5503" s="41" t="str">
        <f>IFERROR(__xludf.DUMMYFUNCTION("""COMPUTED_VALUE"""),"RSC005519")</f>
        <v>RSC005519</v>
      </c>
      <c r="B5503" s="41" t="str">
        <f>IFERROR(__xludf.DUMMYFUNCTION("""COMPUTED_VALUE"""),"pokeninja77")</f>
        <v>pokeninja77</v>
      </c>
    </row>
    <row r="5504">
      <c r="A5504" s="41" t="str">
        <f>IFERROR(__xludf.DUMMYFUNCTION("""COMPUTED_VALUE"""),"RSC005520")</f>
        <v>RSC005520</v>
      </c>
      <c r="B5504" s="41" t="str">
        <f>IFERROR(__xludf.DUMMYFUNCTION("""COMPUTED_VALUE"""),"pspears21")</f>
        <v>pspears21</v>
      </c>
    </row>
    <row r="5505">
      <c r="A5505" s="41" t="str">
        <f>IFERROR(__xludf.DUMMYFUNCTION("""COMPUTED_VALUE"""),"RSC005521")</f>
        <v>RSC005521</v>
      </c>
      <c r="B5505" s="41" t="str">
        <f>IFERROR(__xludf.DUMMYFUNCTION("""COMPUTED_VALUE"""),"Mr. MeOnDisplay")</f>
        <v>Mr. MeOnDisplay</v>
      </c>
    </row>
    <row r="5506">
      <c r="A5506" s="41" t="str">
        <f>IFERROR(__xludf.DUMMYFUNCTION("""COMPUTED_VALUE"""),"RSC005522")</f>
        <v>RSC005522</v>
      </c>
      <c r="B5506" s="41" t="str">
        <f>IFERROR(__xludf.DUMMYFUNCTION("""COMPUTED_VALUE"""),"Diviniation")</f>
        <v>Diviniation</v>
      </c>
    </row>
    <row r="5507">
      <c r="A5507" s="41" t="str">
        <f>IFERROR(__xludf.DUMMYFUNCTION("""COMPUTED_VALUE"""),"RSC005523")</f>
        <v>RSC005523</v>
      </c>
      <c r="B5507" s="41" t="str">
        <f>IFERROR(__xludf.DUMMYFUNCTION("""COMPUTED_VALUE"""),"Laguna")</f>
        <v>Laguna</v>
      </c>
    </row>
    <row r="5508">
      <c r="A5508" s="41" t="str">
        <f>IFERROR(__xludf.DUMMYFUNCTION("""COMPUTED_VALUE"""),"RSC005524")</f>
        <v>RSC005524</v>
      </c>
      <c r="B5508" s="41" t="str">
        <f>IFERROR(__xludf.DUMMYFUNCTION("""COMPUTED_VALUE"""),"RaunchyRomanian")</f>
        <v>RaunchyRomanian</v>
      </c>
    </row>
    <row r="5509">
      <c r="A5509" s="41" t="str">
        <f>IFERROR(__xludf.DUMMYFUNCTION("""COMPUTED_VALUE"""),"RSC005525")</f>
        <v>RSC005525</v>
      </c>
      <c r="B5509" s="41" t="str">
        <f>IFERROR(__xludf.DUMMYFUNCTION("""COMPUTED_VALUE"""),"no wade")</f>
        <v>no wade</v>
      </c>
    </row>
    <row r="5510">
      <c r="A5510" s="41" t="str">
        <f>IFERROR(__xludf.DUMMYFUNCTION("""COMPUTED_VALUE"""),"RSC005526")</f>
        <v>RSC005526</v>
      </c>
      <c r="B5510" s="41" t="str">
        <f>IFERROR(__xludf.DUMMYFUNCTION("""COMPUTED_VALUE"""),"Vortex3524")</f>
        <v>Vortex3524</v>
      </c>
    </row>
    <row r="5511">
      <c r="A5511" s="41" t="str">
        <f>IFERROR(__xludf.DUMMYFUNCTION("""COMPUTED_VALUE"""),"RSC005527")</f>
        <v>RSC005527</v>
      </c>
      <c r="B5511" s="41" t="str">
        <f>IFERROR(__xludf.DUMMYFUNCTION("""COMPUTED_VALUE"""),"Colossus4203316")</f>
        <v>Colossus4203316</v>
      </c>
    </row>
    <row r="5512">
      <c r="A5512" s="41" t="str">
        <f>IFERROR(__xludf.DUMMYFUNCTION("""COMPUTED_VALUE"""),"RSC005528")</f>
        <v>RSC005528</v>
      </c>
      <c r="B5512" s="41" t="str">
        <f>IFERROR(__xludf.DUMMYFUNCTION("""COMPUTED_VALUE"""),"El Takko")</f>
        <v>El Takko</v>
      </c>
    </row>
    <row r="5513">
      <c r="A5513" s="41" t="str">
        <f>IFERROR(__xludf.DUMMYFUNCTION("""COMPUTED_VALUE"""),"RSC005529")</f>
        <v>RSC005529</v>
      </c>
      <c r="B5513" s="41" t="str">
        <f>IFERROR(__xludf.DUMMYFUNCTION("""COMPUTED_VALUE"""),"Zoomjah")</f>
        <v>Zoomjah</v>
      </c>
    </row>
    <row r="5514">
      <c r="A5514" s="41" t="str">
        <f>IFERROR(__xludf.DUMMYFUNCTION("""COMPUTED_VALUE"""),"RSC005530")</f>
        <v>RSC005530</v>
      </c>
      <c r="B5514" s="41" t="str">
        <f>IFERROR(__xludf.DUMMYFUNCTION("""COMPUTED_VALUE"""),"Tragic Upset")</f>
        <v>Tragic Upset</v>
      </c>
    </row>
    <row r="5515">
      <c r="A5515" s="41" t="str">
        <f>IFERROR(__xludf.DUMMYFUNCTION("""COMPUTED_VALUE"""),"RSC005531")</f>
        <v>RSC005531</v>
      </c>
      <c r="B5515" s="41" t="str">
        <f>IFERROR(__xludf.DUMMYFUNCTION("""COMPUTED_VALUE"""),"Shim_Sham")</f>
        <v>Shim_Sham</v>
      </c>
    </row>
    <row r="5516">
      <c r="A5516" s="41" t="str">
        <f>IFERROR(__xludf.DUMMYFUNCTION("""COMPUTED_VALUE"""),"RSC005532")</f>
        <v>RSC005532</v>
      </c>
      <c r="B5516" s="41" t="str">
        <f>IFERROR(__xludf.DUMMYFUNCTION("""COMPUTED_VALUE"""),"Eczotiik")</f>
        <v>Eczotiik</v>
      </c>
    </row>
    <row r="5517">
      <c r="A5517" s="41" t="str">
        <f>IFERROR(__xludf.DUMMYFUNCTION("""COMPUTED_VALUE"""),"RSC005533")</f>
        <v>RSC005533</v>
      </c>
      <c r="B5517" s="41" t="str">
        <f>IFERROR(__xludf.DUMMYFUNCTION("""COMPUTED_VALUE"""),"Enygmah")</f>
        <v>Enygmah</v>
      </c>
    </row>
    <row r="5518">
      <c r="A5518" s="41" t="str">
        <f>IFERROR(__xludf.DUMMYFUNCTION("""COMPUTED_VALUE"""),"RSC005534")</f>
        <v>RSC005534</v>
      </c>
      <c r="B5518" s="41" t="str">
        <f>IFERROR(__xludf.DUMMYFUNCTION("""COMPUTED_VALUE"""),"mathews175")</f>
        <v>mathews175</v>
      </c>
    </row>
    <row r="5519">
      <c r="A5519" s="41" t="str">
        <f>IFERROR(__xludf.DUMMYFUNCTION("""COMPUTED_VALUE"""),"RSC005535")</f>
        <v>RSC005535</v>
      </c>
      <c r="B5519" s="41" t="str">
        <f>IFERROR(__xludf.DUMMYFUNCTION("""COMPUTED_VALUE"""),"r.etro")</f>
        <v>r.etro</v>
      </c>
    </row>
    <row r="5520">
      <c r="A5520" s="41" t="str">
        <f>IFERROR(__xludf.DUMMYFUNCTION("""COMPUTED_VALUE"""),"RSC005536")</f>
        <v>RSC005536</v>
      </c>
      <c r="B5520" s="41" t="str">
        <f>IFERROR(__xludf.DUMMYFUNCTION("""COMPUTED_VALUE"""),"Gewin")</f>
        <v>Gewin</v>
      </c>
    </row>
    <row r="5521">
      <c r="A5521" s="41" t="str">
        <f>IFERROR(__xludf.DUMMYFUNCTION("""COMPUTED_VALUE"""),"RSC005537")</f>
        <v>RSC005537</v>
      </c>
      <c r="B5521" s="41" t="str">
        <f>IFERROR(__xludf.DUMMYFUNCTION("""COMPUTED_VALUE"""),"Str0zzymal112")</f>
        <v>Str0zzymal112</v>
      </c>
    </row>
    <row r="5522">
      <c r="A5522" s="41" t="str">
        <f>IFERROR(__xludf.DUMMYFUNCTION("""COMPUTED_VALUE"""),"RSC005538")</f>
        <v>RSC005538</v>
      </c>
      <c r="B5522" s="41" t="str">
        <f>IFERROR(__xludf.DUMMYFUNCTION("""COMPUTED_VALUE"""),"JronRL")</f>
        <v>JronRL</v>
      </c>
    </row>
    <row r="5523">
      <c r="A5523" s="41" t="str">
        <f>IFERROR(__xludf.DUMMYFUNCTION("""COMPUTED_VALUE"""),"RSC005539")</f>
        <v>RSC005539</v>
      </c>
      <c r="B5523" s="41" t="str">
        <f>IFERROR(__xludf.DUMMYFUNCTION("""COMPUTED_VALUE"""),"sthen0 -_-")</f>
        <v>sthen0 -_-</v>
      </c>
    </row>
    <row r="5524">
      <c r="A5524" s="41" t="str">
        <f>IFERROR(__xludf.DUMMYFUNCTION("""COMPUTED_VALUE"""),"RSC005540")</f>
        <v>RSC005540</v>
      </c>
      <c r="B5524" s="41" t="str">
        <f>IFERROR(__xludf.DUMMYFUNCTION("""COMPUTED_VALUE"""),"Silent_Scrubby")</f>
        <v>Silent_Scrubby</v>
      </c>
    </row>
    <row r="5525">
      <c r="A5525" s="41" t="str">
        <f>IFERROR(__xludf.DUMMYFUNCTION("""COMPUTED_VALUE"""),"RSC005541")</f>
        <v>RSC005541</v>
      </c>
      <c r="B5525" s="41" t="str">
        <f>IFERROR(__xludf.DUMMYFUNCTION("""COMPUTED_VALUE"""),"Finn_")</f>
        <v>Finn_</v>
      </c>
    </row>
    <row r="5526">
      <c r="A5526" s="41" t="str">
        <f>IFERROR(__xludf.DUMMYFUNCTION("""COMPUTED_VALUE"""),"RSC005542")</f>
        <v>RSC005542</v>
      </c>
      <c r="B5526" s="41" t="str">
        <f>IFERROR(__xludf.DUMMYFUNCTION("""COMPUTED_VALUE"""),"Godsfarm")</f>
        <v>Godsfarm</v>
      </c>
    </row>
    <row r="5527">
      <c r="A5527" s="41" t="str">
        <f>IFERROR(__xludf.DUMMYFUNCTION("""COMPUTED_VALUE"""),"RSC005543")</f>
        <v>RSC005543</v>
      </c>
      <c r="B5527" s="41" t="str">
        <f>IFERROR(__xludf.DUMMYFUNCTION("""COMPUTED_VALUE"""),"Null.Gamer")</f>
        <v>Null.Gamer</v>
      </c>
    </row>
    <row r="5528">
      <c r="A5528" s="41" t="str">
        <f>IFERROR(__xludf.DUMMYFUNCTION("""COMPUTED_VALUE"""),"RSC005544")</f>
        <v>RSC005544</v>
      </c>
      <c r="B5528" s="41" t="str">
        <f>IFERROR(__xludf.DUMMYFUNCTION("""COMPUTED_VALUE"""),"Egoistleague")</f>
        <v>Egoistleague</v>
      </c>
    </row>
    <row r="5529">
      <c r="A5529" s="41" t="str">
        <f>IFERROR(__xludf.DUMMYFUNCTION("""COMPUTED_VALUE"""),"RSC005545")</f>
        <v>RSC005545</v>
      </c>
      <c r="B5529" s="41" t="str">
        <f>IFERROR(__xludf.DUMMYFUNCTION("""COMPUTED_VALUE"""),"DVN")</f>
        <v>DVN</v>
      </c>
    </row>
    <row r="5530">
      <c r="A5530" s="41" t="str">
        <f>IFERROR(__xludf.DUMMYFUNCTION("""COMPUTED_VALUE"""),"RSC005546")</f>
        <v>RSC005546</v>
      </c>
      <c r="B5530" s="41" t="str">
        <f>IFERROR(__xludf.DUMMYFUNCTION("""COMPUTED_VALUE"""),"Ev Gaming42")</f>
        <v>Ev Gaming42</v>
      </c>
    </row>
    <row r="5531">
      <c r="A5531" s="41" t="str">
        <f>IFERROR(__xludf.DUMMYFUNCTION("""COMPUTED_VALUE"""),"RSC005547")</f>
        <v>RSC005547</v>
      </c>
      <c r="B5531" s="41" t="str">
        <f>IFERROR(__xludf.DUMMYFUNCTION("""COMPUTED_VALUE"""),"iLLuZioN420")</f>
        <v>iLLuZioN420</v>
      </c>
    </row>
    <row r="5532">
      <c r="A5532" s="41" t="str">
        <f>IFERROR(__xludf.DUMMYFUNCTION("""COMPUTED_VALUE"""),"RSC005548")</f>
        <v>RSC005548</v>
      </c>
      <c r="B5532" s="41" t="str">
        <f>IFERROR(__xludf.DUMMYFUNCTION("""COMPUTED_VALUE"""),"WonderJunkie32")</f>
        <v>WonderJunkie32</v>
      </c>
    </row>
    <row r="5533">
      <c r="A5533" s="41" t="str">
        <f>IFERROR(__xludf.DUMMYFUNCTION("""COMPUTED_VALUE"""),"RSC005549")</f>
        <v>RSC005549</v>
      </c>
      <c r="B5533" s="41" t="str">
        <f>IFERROR(__xludf.DUMMYFUNCTION("""COMPUTED_VALUE"""),"Sugar_Biscuit20")</f>
        <v>Sugar_Biscuit20</v>
      </c>
    </row>
    <row r="5534">
      <c r="A5534" s="41" t="str">
        <f>IFERROR(__xludf.DUMMYFUNCTION("""COMPUTED_VALUE"""),"RSC005550")</f>
        <v>RSC005550</v>
      </c>
      <c r="B5534" s="41" t="str">
        <f>IFERROR(__xludf.DUMMYFUNCTION("""COMPUTED_VALUE"""),"Shraggaholic")</f>
        <v>Shraggaholic</v>
      </c>
    </row>
    <row r="5535">
      <c r="A5535" s="41" t="str">
        <f>IFERROR(__xludf.DUMMYFUNCTION("""COMPUTED_VALUE"""),"RSC005551")</f>
        <v>RSC005551</v>
      </c>
      <c r="B5535" s="41" t="str">
        <f>IFERROR(__xludf.DUMMYFUNCTION("""COMPUTED_VALUE"""),"Broateng17")</f>
        <v>Broateng17</v>
      </c>
    </row>
    <row r="5536">
      <c r="A5536" s="41" t="str">
        <f>IFERROR(__xludf.DUMMYFUNCTION("""COMPUTED_VALUE"""),"RSC005552")</f>
        <v>RSC005552</v>
      </c>
      <c r="B5536" s="41" t="str">
        <f>IFERROR(__xludf.DUMMYFUNCTION("""COMPUTED_VALUE"""),"JoerganSmorgan")</f>
        <v>JoerganSmorgan</v>
      </c>
    </row>
    <row r="5537">
      <c r="A5537" s="41" t="str">
        <f>IFERROR(__xludf.DUMMYFUNCTION("""COMPUTED_VALUE"""),"RSC005553")</f>
        <v>RSC005553</v>
      </c>
      <c r="B5537" s="41" t="str">
        <f>IFERROR(__xludf.DUMMYFUNCTION("""COMPUTED_VALUE"""),"c0rndoogg")</f>
        <v>c0rndoogg</v>
      </c>
    </row>
    <row r="5538">
      <c r="A5538" s="41" t="str">
        <f>IFERROR(__xludf.DUMMYFUNCTION("""COMPUTED_VALUE"""),"RSC005554")</f>
        <v>RSC005554</v>
      </c>
      <c r="B5538" s="41" t="str">
        <f>IFERROR(__xludf.DUMMYFUNCTION("""COMPUTED_VALUE"""),"im__physix")</f>
        <v>im__physix</v>
      </c>
    </row>
    <row r="5539">
      <c r="A5539" s="41" t="str">
        <f>IFERROR(__xludf.DUMMYFUNCTION("""COMPUTED_VALUE"""),"RSC005555")</f>
        <v>RSC005555</v>
      </c>
      <c r="B5539" s="41" t="str">
        <f>IFERROR(__xludf.DUMMYFUNCTION("""COMPUTED_VALUE"""),"iviGhost")</f>
        <v>iviGhost</v>
      </c>
    </row>
    <row r="5540">
      <c r="A5540" s="41" t="str">
        <f>IFERROR(__xludf.DUMMYFUNCTION("""COMPUTED_VALUE"""),"RSC005556")</f>
        <v>RSC005556</v>
      </c>
      <c r="B5540" s="41" t="str">
        <f>IFERROR(__xludf.DUMMYFUNCTION("""COMPUTED_VALUE"""),"betwork")</f>
        <v>betwork</v>
      </c>
    </row>
    <row r="5541">
      <c r="A5541" s="41" t="str">
        <f>IFERROR(__xludf.DUMMYFUNCTION("""COMPUTED_VALUE"""),"RSC005557")</f>
        <v>RSC005557</v>
      </c>
      <c r="B5541" s="41" t="str">
        <f>IFERROR(__xludf.DUMMYFUNCTION("""COMPUTED_VALUE"""),"tekman13")</f>
        <v>tekman13</v>
      </c>
    </row>
    <row r="5542">
      <c r="A5542" s="41" t="str">
        <f>IFERROR(__xludf.DUMMYFUNCTION("""COMPUTED_VALUE"""),"RSC005558")</f>
        <v>RSC005558</v>
      </c>
      <c r="B5542" s="41" t="str">
        <f>IFERROR(__xludf.DUMMYFUNCTION("""COMPUTED_VALUE"""),"shadow 🌹")</f>
        <v>shadow 🌹</v>
      </c>
    </row>
    <row r="5543">
      <c r="A5543" s="41" t="str">
        <f>IFERROR(__xludf.DUMMYFUNCTION("""COMPUTED_VALUE"""),"RSC005559")</f>
        <v>RSC005559</v>
      </c>
      <c r="B5543" s="41" t="str">
        <f>IFERROR(__xludf.DUMMYFUNCTION("""COMPUTED_VALUE"""),"ttvsweeper")</f>
        <v>ttvsweeper</v>
      </c>
    </row>
    <row r="5544">
      <c r="A5544" s="41" t="str">
        <f>IFERROR(__xludf.DUMMYFUNCTION("""COMPUTED_VALUE"""),"RSC005560")</f>
        <v>RSC005560</v>
      </c>
      <c r="B5544" s="41" t="str">
        <f>IFERROR(__xludf.DUMMYFUNCTION("""COMPUTED_VALUE"""),"ThicNickthebrick")</f>
        <v>ThicNickthebrick</v>
      </c>
    </row>
    <row r="5545">
      <c r="A5545" s="41" t="str">
        <f>IFERROR(__xludf.DUMMYFUNCTION("""COMPUTED_VALUE"""),"RSC005561")</f>
        <v>RSC005561</v>
      </c>
      <c r="B5545" s="41" t="str">
        <f>IFERROR(__xludf.DUMMYFUNCTION("""COMPUTED_VALUE"""),"Angelofthebronx")</f>
        <v>Angelofthebronx</v>
      </c>
    </row>
    <row r="5546">
      <c r="A5546" s="41" t="str">
        <f>IFERROR(__xludf.DUMMYFUNCTION("""COMPUTED_VALUE"""),"RSC005562")</f>
        <v>RSC005562</v>
      </c>
      <c r="B5546" s="41" t="str">
        <f>IFERROR(__xludf.DUMMYFUNCTION("""COMPUTED_VALUE"""),"goofy goober321")</f>
        <v>goofy goober321</v>
      </c>
    </row>
    <row r="5547">
      <c r="A5547" s="41" t="str">
        <f>IFERROR(__xludf.DUMMYFUNCTION("""COMPUTED_VALUE"""),"RSC005563")</f>
        <v>RSC005563</v>
      </c>
      <c r="B5547" s="41" t="str">
        <f>IFERROR(__xludf.DUMMYFUNCTION("""COMPUTED_VALUE"""),"GroundsZero")</f>
        <v>GroundsZero</v>
      </c>
    </row>
    <row r="5548">
      <c r="A5548" s="41" t="str">
        <f>IFERROR(__xludf.DUMMYFUNCTION("""COMPUTED_VALUE"""),"RSC005564")</f>
        <v>RSC005564</v>
      </c>
      <c r="B5548" s="41" t="str">
        <f>IFERROR(__xludf.DUMMYFUNCTION("""COMPUTED_VALUE"""),"Minty8838")</f>
        <v>Minty8838</v>
      </c>
    </row>
    <row r="5549">
      <c r="A5549" s="41" t="str">
        <f>IFERROR(__xludf.DUMMYFUNCTION("""COMPUTED_VALUE"""),"RSC005565")</f>
        <v>RSC005565</v>
      </c>
      <c r="B5549" s="41" t="str">
        <f>IFERROR(__xludf.DUMMYFUNCTION("""COMPUTED_VALUE"""),"KillzBob")</f>
        <v>KillzBob</v>
      </c>
    </row>
    <row r="5550">
      <c r="A5550" s="41" t="str">
        <f>IFERROR(__xludf.DUMMYFUNCTION("""COMPUTED_VALUE"""),"RSC005566")</f>
        <v>RSC005566</v>
      </c>
      <c r="B5550" s="41" t="str">
        <f>IFERROR(__xludf.DUMMYFUNCTION("""COMPUTED_VALUE"""),"stepsis hentai")</f>
        <v>stepsis hentai</v>
      </c>
    </row>
    <row r="5551">
      <c r="A5551" s="41" t="str">
        <f>IFERROR(__xludf.DUMMYFUNCTION("""COMPUTED_VALUE"""),"RSC005567")</f>
        <v>RSC005567</v>
      </c>
      <c r="B5551" s="41" t="str">
        <f>IFERROR(__xludf.DUMMYFUNCTION("""COMPUTED_VALUE"""),"jp")</f>
        <v>jp</v>
      </c>
    </row>
    <row r="5552">
      <c r="A5552" s="41" t="str">
        <f>IFERROR(__xludf.DUMMYFUNCTION("""COMPUTED_VALUE"""),"RSC005568")</f>
        <v>RSC005568</v>
      </c>
      <c r="B5552" s="41" t="str">
        <f>IFERROR(__xludf.DUMMYFUNCTION("""COMPUTED_VALUE"""),"InsaneFox05")</f>
        <v>InsaneFox05</v>
      </c>
    </row>
    <row r="5553">
      <c r="A5553" s="41" t="str">
        <f>IFERROR(__xludf.DUMMYFUNCTION("""COMPUTED_VALUE"""),"RSC005569")</f>
        <v>RSC005569</v>
      </c>
      <c r="B5553" s="41" t="str">
        <f>IFERROR(__xludf.DUMMYFUNCTION("""COMPUTED_VALUE"""),"Badatcarball_RL")</f>
        <v>Badatcarball_RL</v>
      </c>
    </row>
    <row r="5554">
      <c r="A5554" s="41" t="str">
        <f>IFERROR(__xludf.DUMMYFUNCTION("""COMPUTED_VALUE"""),"RSC005570")</f>
        <v>RSC005570</v>
      </c>
      <c r="B5554" s="41" t="str">
        <f>IFERROR(__xludf.DUMMYFUNCTION("""COMPUTED_VALUE"""),"Lupo")</f>
        <v>Lupo</v>
      </c>
    </row>
    <row r="5555">
      <c r="A5555" s="41" t="str">
        <f>IFERROR(__xludf.DUMMYFUNCTION("""COMPUTED_VALUE"""),"RSC005571")</f>
        <v>RSC005571</v>
      </c>
      <c r="B5555" s="41" t="str">
        <f>IFERROR(__xludf.DUMMYFUNCTION("""COMPUTED_VALUE"""),"Specs")</f>
        <v>Specs</v>
      </c>
    </row>
    <row r="5556">
      <c r="A5556" s="41" t="str">
        <f>IFERROR(__xludf.DUMMYFUNCTION("""COMPUTED_VALUE"""),"RSC005572")</f>
        <v>RSC005572</v>
      </c>
      <c r="B5556" s="41" t="str">
        <f>IFERROR(__xludf.DUMMYFUNCTION("""COMPUTED_VALUE"""),"Paxton-RL")</f>
        <v>Paxton-RL</v>
      </c>
    </row>
    <row r="5557">
      <c r="A5557" s="41" t="str">
        <f>IFERROR(__xludf.DUMMYFUNCTION("""COMPUTED_VALUE"""),"RSC005573")</f>
        <v>RSC005573</v>
      </c>
      <c r="B5557" s="41" t="str">
        <f>IFERROR(__xludf.DUMMYFUNCTION("""COMPUTED_VALUE"""),"sean.")</f>
        <v>sean.</v>
      </c>
    </row>
    <row r="5558">
      <c r="A5558" s="41" t="str">
        <f>IFERROR(__xludf.DUMMYFUNCTION("""COMPUTED_VALUE"""),"RSC005574")</f>
        <v>RSC005574</v>
      </c>
      <c r="B5558" s="41" t="str">
        <f>IFERROR(__xludf.DUMMYFUNCTION("""COMPUTED_VALUE"""),"Cid No Meka")</f>
        <v>Cid No Meka</v>
      </c>
    </row>
    <row r="5559">
      <c r="A5559" s="41" t="str">
        <f>IFERROR(__xludf.DUMMYFUNCTION("""COMPUTED_VALUE"""),"RSC005575")</f>
        <v>RSC005575</v>
      </c>
      <c r="B5559" s="41" t="str">
        <f>IFERROR(__xludf.DUMMYFUNCTION("""COMPUTED_VALUE"""),"Velatek")</f>
        <v>Velatek</v>
      </c>
    </row>
    <row r="5560">
      <c r="A5560" s="41" t="str">
        <f>IFERROR(__xludf.DUMMYFUNCTION("""COMPUTED_VALUE"""),"RSC005576")</f>
        <v>RSC005576</v>
      </c>
      <c r="B5560" s="41" t="str">
        <f>IFERROR(__xludf.DUMMYFUNCTION("""COMPUTED_VALUE"""),"CavortingOgre")</f>
        <v>CavortingOgre</v>
      </c>
    </row>
    <row r="5561">
      <c r="A5561" s="41" t="str">
        <f>IFERROR(__xludf.DUMMYFUNCTION("""COMPUTED_VALUE"""),"RSC005577")</f>
        <v>RSC005577</v>
      </c>
      <c r="B5561" s="41" t="str">
        <f>IFERROR(__xludf.DUMMYFUNCTION("""COMPUTED_VALUE"""),"Ryan.")</f>
        <v>Ryan.</v>
      </c>
    </row>
    <row r="5562">
      <c r="A5562" s="41" t="str">
        <f>IFERROR(__xludf.DUMMYFUNCTION("""COMPUTED_VALUE"""),"RSC005578")</f>
        <v>RSC005578</v>
      </c>
      <c r="B5562" s="41" t="str">
        <f>IFERROR(__xludf.DUMMYFUNCTION("""COMPUTED_VALUE"""),"Rydexian")</f>
        <v>Rydexian</v>
      </c>
    </row>
    <row r="5563">
      <c r="A5563" s="41" t="str">
        <f>IFERROR(__xludf.DUMMYFUNCTION("""COMPUTED_VALUE"""),"RSC005580")</f>
        <v>RSC005580</v>
      </c>
      <c r="B5563" s="41" t="str">
        <f>IFERROR(__xludf.DUMMYFUNCTION("""COMPUTED_VALUE"""),"Element (Ele! on steam)")</f>
        <v>Element (Ele! on steam)</v>
      </c>
    </row>
    <row r="5564">
      <c r="A5564" s="41" t="str">
        <f>IFERROR(__xludf.DUMMYFUNCTION("""COMPUTED_VALUE"""),"RSC005581")</f>
        <v>RSC005581</v>
      </c>
      <c r="B5564" s="41" t="str">
        <f>IFERROR(__xludf.DUMMYFUNCTION("""COMPUTED_VALUE"""),"Dunkzies.RL")</f>
        <v>Dunkzies.RL</v>
      </c>
    </row>
    <row r="5565">
      <c r="A5565" s="41" t="str">
        <f>IFERROR(__xludf.DUMMYFUNCTION("""COMPUTED_VALUE"""),"RSC005582")</f>
        <v>RSC005582</v>
      </c>
      <c r="B5565" s="41" t="str">
        <f>IFERROR(__xludf.DUMMYFUNCTION("""COMPUTED_VALUE"""),"IM_THAT_GUY74")</f>
        <v>IM_THAT_GUY74</v>
      </c>
    </row>
    <row r="5566">
      <c r="A5566" s="41" t="str">
        <f>IFERROR(__xludf.DUMMYFUNCTION("""COMPUTED_VALUE"""),"RSC005583")</f>
        <v>RSC005583</v>
      </c>
      <c r="B5566" s="41" t="str">
        <f>IFERROR(__xludf.DUMMYFUNCTION("""COMPUTED_VALUE"""),"TroglodyteBEARD")</f>
        <v>TroglodyteBEARD</v>
      </c>
    </row>
    <row r="5567">
      <c r="A5567" s="41" t="str">
        <f>IFERROR(__xludf.DUMMYFUNCTION("""COMPUTED_VALUE"""),"RSC005584")</f>
        <v>RSC005584</v>
      </c>
      <c r="B5567" s="41" t="str">
        <f>IFERROR(__xludf.DUMMYFUNCTION("""COMPUTED_VALUE"""),"revoltinghades2")</f>
        <v>revoltinghades2</v>
      </c>
    </row>
    <row r="5568">
      <c r="A5568" s="41" t="str">
        <f>IFERROR(__xludf.DUMMYFUNCTION("""COMPUTED_VALUE"""),"RSC005585")</f>
        <v>RSC005585</v>
      </c>
      <c r="B5568" s="41" t="str">
        <f>IFERROR(__xludf.DUMMYFUNCTION("""COMPUTED_VALUE"""),"san.")</f>
        <v>san.</v>
      </c>
    </row>
    <row r="5569">
      <c r="A5569" s="41" t="str">
        <f>IFERROR(__xludf.DUMMYFUNCTION("""COMPUTED_VALUE"""),"RSC005586")</f>
        <v>RSC005586</v>
      </c>
      <c r="B5569" s="41" t="str">
        <f>IFERROR(__xludf.DUMMYFUNCTION("""COMPUTED_VALUE"""),"Crippledman_09")</f>
        <v>Crippledman_09</v>
      </c>
    </row>
    <row r="5570">
      <c r="A5570" s="41" t="str">
        <f>IFERROR(__xludf.DUMMYFUNCTION("""COMPUTED_VALUE"""),"RSC005587")</f>
        <v>RSC005587</v>
      </c>
      <c r="B5570" s="41" t="str">
        <f>IFERROR(__xludf.DUMMYFUNCTION("""COMPUTED_VALUE"""),"KobiTheKing")</f>
        <v>KobiTheKing</v>
      </c>
    </row>
    <row r="5571">
      <c r="A5571" s="41" t="str">
        <f>IFERROR(__xludf.DUMMYFUNCTION("""COMPUTED_VALUE"""),"RSC005588")</f>
        <v>RSC005588</v>
      </c>
      <c r="B5571" s="41" t="str">
        <f>IFERROR(__xludf.DUMMYFUNCTION("""COMPUTED_VALUE"""),"Nice Shot Shwio")</f>
        <v>Nice Shot Shwio</v>
      </c>
    </row>
    <row r="5572">
      <c r="A5572" s="41" t="str">
        <f>IFERROR(__xludf.DUMMYFUNCTION("""COMPUTED_VALUE"""),"RSC005589")</f>
        <v>RSC005589</v>
      </c>
      <c r="B5572" s="41" t="str">
        <f>IFERROR(__xludf.DUMMYFUNCTION("""COMPUTED_VALUE"""),"Okita Souji")</f>
        <v>Okita Souji</v>
      </c>
    </row>
    <row r="5573">
      <c r="A5573" s="41" t="str">
        <f>IFERROR(__xludf.DUMMYFUNCTION("""COMPUTED_VALUE"""),"RSC005590")</f>
        <v>RSC005590</v>
      </c>
      <c r="B5573" s="41" t="str">
        <f>IFERROR(__xludf.DUMMYFUNCTION("""COMPUTED_VALUE"""),"Grab")</f>
        <v>Grab</v>
      </c>
    </row>
    <row r="5574">
      <c r="A5574" s="41" t="str">
        <f>IFERROR(__xludf.DUMMYFUNCTION("""COMPUTED_VALUE"""),"RSC005591")</f>
        <v>RSC005591</v>
      </c>
      <c r="B5574" s="41" t="str">
        <f>IFERROR(__xludf.DUMMYFUNCTION("""COMPUTED_VALUE"""),"ARTY-_-RL")</f>
        <v>ARTY-_-RL</v>
      </c>
    </row>
    <row r="5575">
      <c r="A5575" s="41" t="str">
        <f>IFERROR(__xludf.DUMMYFUNCTION("""COMPUTED_VALUE"""),"RSC005592")</f>
        <v>RSC005592</v>
      </c>
      <c r="B5575" s="41" t="str">
        <f>IFERROR(__xludf.DUMMYFUNCTION("""COMPUTED_VALUE"""),"its Spookyy")</f>
        <v>its Spookyy</v>
      </c>
    </row>
    <row r="5576">
      <c r="A5576" s="41" t="str">
        <f>IFERROR(__xludf.DUMMYFUNCTION("""COMPUTED_VALUE"""),"RSC005593")</f>
        <v>RSC005593</v>
      </c>
      <c r="B5576" s="41" t="str">
        <f>IFERROR(__xludf.DUMMYFUNCTION("""COMPUTED_VALUE"""),"Alley 8")</f>
        <v>Alley 8</v>
      </c>
    </row>
    <row r="5577">
      <c r="A5577" s="41" t="str">
        <f>IFERROR(__xludf.DUMMYFUNCTION("""COMPUTED_VALUE"""),"RSC005594")</f>
        <v>RSC005594</v>
      </c>
      <c r="B5577" s="41" t="str">
        <f>IFERROR(__xludf.DUMMYFUNCTION("""COMPUTED_VALUE"""),"IMortalityI")</f>
        <v>IMortalityI</v>
      </c>
    </row>
    <row r="5578">
      <c r="A5578" s="41" t="str">
        <f>IFERROR(__xludf.DUMMYFUNCTION("""COMPUTED_VALUE"""),"RSC005595")</f>
        <v>RSC005595</v>
      </c>
      <c r="B5578" s="41" t="str">
        <f>IFERROR(__xludf.DUMMYFUNCTION("""COMPUTED_VALUE"""),"Maisie")</f>
        <v>Maisie</v>
      </c>
    </row>
    <row r="5579">
      <c r="A5579" s="41" t="str">
        <f>IFERROR(__xludf.DUMMYFUNCTION("""COMPUTED_VALUE"""),"RSC005596")</f>
        <v>RSC005596</v>
      </c>
      <c r="B5579" s="41" t="str">
        <f>IFERROR(__xludf.DUMMYFUNCTION("""COMPUTED_VALUE"""),"Azooluh")</f>
        <v>Azooluh</v>
      </c>
    </row>
    <row r="5580">
      <c r="A5580" s="41" t="str">
        <f>IFERROR(__xludf.DUMMYFUNCTION("""COMPUTED_VALUE"""),"RSC005597")</f>
        <v>RSC005597</v>
      </c>
      <c r="B5580" s="41" t="str">
        <f>IFERROR(__xludf.DUMMYFUNCTION("""COMPUTED_VALUE"""),"WilderLorde")</f>
        <v>WilderLorde</v>
      </c>
    </row>
    <row r="5581">
      <c r="A5581" s="41" t="str">
        <f>IFERROR(__xludf.DUMMYFUNCTION("""COMPUTED_VALUE"""),"RSC005598")</f>
        <v>RSC005598</v>
      </c>
      <c r="B5581" s="41" t="str">
        <f>IFERROR(__xludf.DUMMYFUNCTION("""COMPUTED_VALUE"""),"IRON.ape")</f>
        <v>IRON.ape</v>
      </c>
    </row>
    <row r="5582">
      <c r="A5582" s="41" t="str">
        <f>IFERROR(__xludf.DUMMYFUNCTION("""COMPUTED_VALUE"""),"RSC005599")</f>
        <v>RSC005599</v>
      </c>
      <c r="B5582" s="41" t="str">
        <f>IFERROR(__xludf.DUMMYFUNCTION("""COMPUTED_VALUE"""),"Trash Panda")</f>
        <v>Trash Panda</v>
      </c>
    </row>
    <row r="5583">
      <c r="A5583" s="41" t="str">
        <f>IFERROR(__xludf.DUMMYFUNCTION("""COMPUTED_VALUE"""),"RSC005600")</f>
        <v>RSC005600</v>
      </c>
      <c r="B5583" s="41" t="str">
        <f>IFERROR(__xludf.DUMMYFUNCTION("""COMPUTED_VALUE"""),"ank")</f>
        <v>ank</v>
      </c>
    </row>
    <row r="5584">
      <c r="A5584" s="41" t="str">
        <f>IFERROR(__xludf.DUMMYFUNCTION("""COMPUTED_VALUE"""),"RSC005601")</f>
        <v>RSC005601</v>
      </c>
      <c r="B5584" s="41" t="str">
        <f>IFERROR(__xludf.DUMMYFUNCTION("""COMPUTED_VALUE"""),"Reso")</f>
        <v>Reso</v>
      </c>
    </row>
    <row r="5585">
      <c r="A5585" s="41" t="str">
        <f>IFERROR(__xludf.DUMMYFUNCTION("""COMPUTED_VALUE"""),"RSC005602")</f>
        <v>RSC005602</v>
      </c>
      <c r="B5585" s="41" t="str">
        <f>IFERROR(__xludf.DUMMYFUNCTION("""COMPUTED_VALUE"""),"Ezjuri")</f>
        <v>Ezjuri</v>
      </c>
    </row>
    <row r="5586">
      <c r="A5586" s="41" t="str">
        <f>IFERROR(__xludf.DUMMYFUNCTION("""COMPUTED_VALUE"""),"RSC005603")</f>
        <v>RSC005603</v>
      </c>
      <c r="B5586" s="41" t="str">
        <f>IFERROR(__xludf.DUMMYFUNCTION("""COMPUTED_VALUE"""),"Meta.Rl-")</f>
        <v>Meta.Rl-</v>
      </c>
    </row>
    <row r="5587">
      <c r="A5587" s="41" t="str">
        <f>IFERROR(__xludf.DUMMYFUNCTION("""COMPUTED_VALUE"""),"RSC005604")</f>
        <v>RSC005604</v>
      </c>
      <c r="B5587" s="41" t="str">
        <f>IFERROR(__xludf.DUMMYFUNCTION("""COMPUTED_VALUE"""),"TyIer")</f>
        <v>TyIer</v>
      </c>
    </row>
    <row r="5588">
      <c r="A5588" s="41" t="str">
        <f>IFERROR(__xludf.DUMMYFUNCTION("""COMPUTED_VALUE"""),"RSC005605")</f>
        <v>RSC005605</v>
      </c>
      <c r="B5588" s="41" t="str">
        <f>IFERROR(__xludf.DUMMYFUNCTION("""COMPUTED_VALUE"""),"HexTechRL")</f>
        <v>HexTechRL</v>
      </c>
    </row>
    <row r="5589">
      <c r="A5589" s="41" t="str">
        <f>IFERROR(__xludf.DUMMYFUNCTION("""COMPUTED_VALUE"""),"RSC005606")</f>
        <v>RSC005606</v>
      </c>
      <c r="B5589" s="41" t="str">
        <f>IFERROR(__xludf.DUMMYFUNCTION("""COMPUTED_VALUE"""),"TurtBoi6824")</f>
        <v>TurtBoi6824</v>
      </c>
    </row>
    <row r="5590">
      <c r="A5590" s="41" t="str">
        <f>IFERROR(__xludf.DUMMYFUNCTION("""COMPUTED_VALUE"""),"RSC005607")</f>
        <v>RSC005607</v>
      </c>
      <c r="B5590" s="41" t="str">
        <f>IFERROR(__xludf.DUMMYFUNCTION("""COMPUTED_VALUE"""),"avJustin")</f>
        <v>avJustin</v>
      </c>
    </row>
    <row r="5591">
      <c r="A5591" s="41" t="str">
        <f>IFERROR(__xludf.DUMMYFUNCTION("""COMPUTED_VALUE"""),"RSC005608")</f>
        <v>RSC005608</v>
      </c>
      <c r="B5591" s="41" t="str">
        <f>IFERROR(__xludf.DUMMYFUNCTION("""COMPUTED_VALUE"""),"wolverine36535")</f>
        <v>wolverine36535</v>
      </c>
    </row>
    <row r="5592">
      <c r="A5592" s="41" t="str">
        <f>IFERROR(__xludf.DUMMYFUNCTION("""COMPUTED_VALUE"""),"RSC005609")</f>
        <v>RSC005609</v>
      </c>
      <c r="B5592" s="41" t="str">
        <f>IFERROR(__xludf.DUMMYFUNCTION("""COMPUTED_VALUE"""),"Krushandbash")</f>
        <v>Krushandbash</v>
      </c>
    </row>
    <row r="5593">
      <c r="A5593" s="41" t="str">
        <f>IFERROR(__xludf.DUMMYFUNCTION("""COMPUTED_VALUE"""),"RSC005610")</f>
        <v>RSC005610</v>
      </c>
      <c r="B5593" s="41" t="str">
        <f>IFERROR(__xludf.DUMMYFUNCTION("""COMPUTED_VALUE"""),"Squiddle")</f>
        <v>Squiddle</v>
      </c>
    </row>
    <row r="5594">
      <c r="A5594" s="41" t="str">
        <f>IFERROR(__xludf.DUMMYFUNCTION("""COMPUTED_VALUE"""),"RSC005611")</f>
        <v>RSC005611</v>
      </c>
      <c r="B5594" s="41" t="str">
        <f>IFERROR(__xludf.DUMMYFUNCTION("""COMPUTED_VALUE"""),"BigChebbz")</f>
        <v>BigChebbz</v>
      </c>
    </row>
    <row r="5595">
      <c r="A5595" s="41" t="str">
        <f>IFERROR(__xludf.DUMMYFUNCTION("""COMPUTED_VALUE"""),"RSC005612")</f>
        <v>RSC005612</v>
      </c>
      <c r="B5595" s="41" t="str">
        <f>IFERROR(__xludf.DUMMYFUNCTION("""COMPUTED_VALUE"""),"RK Viking")</f>
        <v>RK Viking</v>
      </c>
    </row>
    <row r="5596">
      <c r="A5596" s="41" t="str">
        <f>IFERROR(__xludf.DUMMYFUNCTION("""COMPUTED_VALUE"""),"RSC005613")</f>
        <v>RSC005613</v>
      </c>
      <c r="B5596" s="41" t="str">
        <f>IFERROR(__xludf.DUMMYFUNCTION("""COMPUTED_VALUE"""),"Wile_E_Quixote")</f>
        <v>Wile_E_Quixote</v>
      </c>
    </row>
    <row r="5597">
      <c r="A5597" s="41" t="str">
        <f>IFERROR(__xludf.DUMMYFUNCTION("""COMPUTED_VALUE"""),"RSC005614")</f>
        <v>RSC005614</v>
      </c>
      <c r="B5597" s="41" t="str">
        <f>IFERROR(__xludf.DUMMYFUNCTION("""COMPUTED_VALUE"""),"Zorilynne03")</f>
        <v>Zorilynne03</v>
      </c>
    </row>
    <row r="5598">
      <c r="A5598" s="41" t="str">
        <f>IFERROR(__xludf.DUMMYFUNCTION("""COMPUTED_VALUE"""),"RSC005615")</f>
        <v>RSC005615</v>
      </c>
      <c r="B5598" s="41" t="str">
        <f>IFERROR(__xludf.DUMMYFUNCTION("""COMPUTED_VALUE"""),"Plopwiththesave")</f>
        <v>Plopwiththesave</v>
      </c>
    </row>
    <row r="5599">
      <c r="A5599" s="41" t="str">
        <f>IFERROR(__xludf.DUMMYFUNCTION("""COMPUTED_VALUE"""),"RSC005616")</f>
        <v>RSC005616</v>
      </c>
      <c r="B5599" s="41" t="str">
        <f>IFERROR(__xludf.DUMMYFUNCTION("""COMPUTED_VALUE"""),"Tigerblood2798")</f>
        <v>Tigerblood2798</v>
      </c>
    </row>
    <row r="5600">
      <c r="A5600" s="41" t="str">
        <f>IFERROR(__xludf.DUMMYFUNCTION("""COMPUTED_VALUE"""),"RSC005617")</f>
        <v>RSC005617</v>
      </c>
      <c r="B5600" s="41" t="str">
        <f>IFERROR(__xludf.DUMMYFUNCTION("""COMPUTED_VALUE"""),"Lobsterface")</f>
        <v>Lobsterface</v>
      </c>
    </row>
    <row r="5601">
      <c r="A5601" s="41" t="str">
        <f>IFERROR(__xludf.DUMMYFUNCTION("""COMPUTED_VALUE"""),"RSC005618")</f>
        <v>RSC005618</v>
      </c>
      <c r="B5601" s="41" t="str">
        <f>IFERROR(__xludf.DUMMYFUNCTION("""COMPUTED_VALUE"""),"--null--")</f>
        <v>--null--</v>
      </c>
    </row>
    <row r="5602">
      <c r="A5602" s="41" t="str">
        <f>IFERROR(__xludf.DUMMYFUNCTION("""COMPUTED_VALUE"""),"RSC005619")</f>
        <v>RSC005619</v>
      </c>
      <c r="B5602" s="41" t="str">
        <f>IFERROR(__xludf.DUMMYFUNCTION("""COMPUTED_VALUE"""),"AYJAYMES")</f>
        <v>AYJAYMES</v>
      </c>
    </row>
    <row r="5603">
      <c r="A5603" s="41" t="str">
        <f>IFERROR(__xludf.DUMMYFUNCTION("""COMPUTED_VALUE"""),"RSC005620")</f>
        <v>RSC005620</v>
      </c>
      <c r="B5603" s="41" t="str">
        <f>IFERROR(__xludf.DUMMYFUNCTION("""COMPUTED_VALUE"""),"DeadlyOrphan72")</f>
        <v>DeadlyOrphan72</v>
      </c>
    </row>
    <row r="5604">
      <c r="A5604" s="41" t="str">
        <f>IFERROR(__xludf.DUMMYFUNCTION("""COMPUTED_VALUE"""),"RSC005621")</f>
        <v>RSC005621</v>
      </c>
      <c r="B5604" s="41" t="str">
        <f>IFERROR(__xludf.DUMMYFUNCTION("""COMPUTED_VALUE"""),"etwee")</f>
        <v>etwee</v>
      </c>
    </row>
    <row r="5605">
      <c r="A5605" s="41" t="str">
        <f>IFERROR(__xludf.DUMMYFUNCTION("""COMPUTED_VALUE"""),"RSC005622")</f>
        <v>RSC005622</v>
      </c>
      <c r="B5605" s="41" t="str">
        <f>IFERROR(__xludf.DUMMYFUNCTION("""COMPUTED_VALUE"""),"you_got_smacked1")</f>
        <v>you_got_smacked1</v>
      </c>
    </row>
    <row r="5606">
      <c r="A5606" s="41" t="str">
        <f>IFERROR(__xludf.DUMMYFUNCTION("""COMPUTED_VALUE"""),"RSC005623")</f>
        <v>RSC005623</v>
      </c>
      <c r="B5606" s="41" t="str">
        <f>IFERROR(__xludf.DUMMYFUNCTION("""COMPUTED_VALUE"""),"Ubfghki9442 (OLD)")</f>
        <v>Ubfghki9442 (OLD)</v>
      </c>
    </row>
    <row r="5607">
      <c r="A5607" s="41" t="str">
        <f>IFERROR(__xludf.DUMMYFUNCTION("""COMPUTED_VALUE"""),"RSC005624")</f>
        <v>RSC005624</v>
      </c>
      <c r="B5607" s="41" t="str">
        <f>IFERROR(__xludf.DUMMYFUNCTION("""COMPUTED_VALUE"""),"Samaels_Son1")</f>
        <v>Samaels_Son1</v>
      </c>
    </row>
    <row r="5608">
      <c r="A5608" s="41" t="str">
        <f>IFERROR(__xludf.DUMMYFUNCTION("""COMPUTED_VALUE"""),"RSC005625")</f>
        <v>RSC005625</v>
      </c>
      <c r="B5608" s="41" t="str">
        <f>IFERROR(__xludf.DUMMYFUNCTION("""COMPUTED_VALUE"""),"Aspect oF Nope")</f>
        <v>Aspect oF Nope</v>
      </c>
    </row>
    <row r="5609">
      <c r="A5609" s="41" t="str">
        <f>IFERROR(__xludf.DUMMYFUNCTION("""COMPUTED_VALUE"""),"RSC005626")</f>
        <v>RSC005626</v>
      </c>
      <c r="B5609" s="41" t="str">
        <f>IFERROR(__xludf.DUMMYFUNCTION("""COMPUTED_VALUE"""),"FrostyBoi")</f>
        <v>FrostyBoi</v>
      </c>
    </row>
    <row r="5610">
      <c r="A5610" s="41" t="str">
        <f>IFERROR(__xludf.DUMMYFUNCTION("""COMPUTED_VALUE"""),"RSC005627")</f>
        <v>RSC005627</v>
      </c>
      <c r="B5610" s="41" t="str">
        <f>IFERROR(__xludf.DUMMYFUNCTION("""COMPUTED_VALUE"""),"DrewCarry8919")</f>
        <v>DrewCarry8919</v>
      </c>
    </row>
    <row r="5611">
      <c r="A5611" s="41" t="str">
        <f>IFERROR(__xludf.DUMMYFUNCTION("""COMPUTED_VALUE"""),"RSC005628")</f>
        <v>RSC005628</v>
      </c>
      <c r="B5611" s="41" t="str">
        <f>IFERROR(__xludf.DUMMYFUNCTION("""COMPUTED_VALUE"""),"I love sand")</f>
        <v>I love sand</v>
      </c>
    </row>
    <row r="5612">
      <c r="A5612" s="41" t="str">
        <f>IFERROR(__xludf.DUMMYFUNCTION("""COMPUTED_VALUE"""),"RSC005629")</f>
        <v>RSC005629</v>
      </c>
      <c r="B5612" s="41" t="str">
        <f>IFERROR(__xludf.DUMMYFUNCTION("""COMPUTED_VALUE"""),"Primalsoul")</f>
        <v>Primalsoul</v>
      </c>
    </row>
    <row r="5613">
      <c r="A5613" s="41" t="str">
        <f>IFERROR(__xludf.DUMMYFUNCTION("""COMPUTED_VALUE"""),"RSC005630")</f>
        <v>RSC005630</v>
      </c>
      <c r="B5613" s="41" t="str">
        <f>IFERROR(__xludf.DUMMYFUNCTION("""COMPUTED_VALUE"""),"Taco3027")</f>
        <v>Taco3027</v>
      </c>
    </row>
    <row r="5614">
      <c r="A5614" s="41" t="str">
        <f>IFERROR(__xludf.DUMMYFUNCTION("""COMPUTED_VALUE"""),"RSC005631")</f>
        <v>RSC005631</v>
      </c>
      <c r="B5614" s="41" t="str">
        <f>IFERROR(__xludf.DUMMYFUNCTION("""COMPUTED_VALUE"""),"Zem Bacon")</f>
        <v>Zem Bacon</v>
      </c>
    </row>
    <row r="5615">
      <c r="A5615" s="41" t="str">
        <f>IFERROR(__xludf.DUMMYFUNCTION("""COMPUTED_VALUE"""),"RSC005632")</f>
        <v>RSC005632</v>
      </c>
      <c r="B5615" s="41" t="str">
        <f>IFERROR(__xludf.DUMMYFUNCTION("""COMPUTED_VALUE"""),"Teezeo3850")</f>
        <v>Teezeo3850</v>
      </c>
    </row>
    <row r="5616">
      <c r="A5616" s="41" t="str">
        <f>IFERROR(__xludf.DUMMYFUNCTION("""COMPUTED_VALUE"""),"RSC005634")</f>
        <v>RSC005634</v>
      </c>
      <c r="B5616" s="41" t="str">
        <f>IFERROR(__xludf.DUMMYFUNCTION("""COMPUTED_VALUE"""),"Zuleta")</f>
        <v>Zuleta</v>
      </c>
    </row>
    <row r="5617">
      <c r="A5617" s="41" t="str">
        <f>IFERROR(__xludf.DUMMYFUNCTION("""COMPUTED_VALUE"""),"RSC005635")</f>
        <v>RSC005635</v>
      </c>
      <c r="B5617" s="41" t="str">
        <f>IFERROR(__xludf.DUMMYFUNCTION("""COMPUTED_VALUE"""),"X__TOP_LEVEL__X")</f>
        <v>X__TOP_LEVEL__X</v>
      </c>
    </row>
    <row r="5618">
      <c r="A5618" s="41" t="str">
        <f>IFERROR(__xludf.DUMMYFUNCTION("""COMPUTED_VALUE"""),"RSC005636")</f>
        <v>RSC005636</v>
      </c>
      <c r="B5618" s="41" t="str">
        <f>IFERROR(__xludf.DUMMYFUNCTION("""COMPUTED_VALUE"""),"CreamCity6")</f>
        <v>CreamCity6</v>
      </c>
    </row>
    <row r="5619">
      <c r="A5619" s="41" t="str">
        <f>IFERROR(__xludf.DUMMYFUNCTION("""COMPUTED_VALUE"""),"RSC005637")</f>
        <v>RSC005637</v>
      </c>
      <c r="B5619" s="41" t="str">
        <f>IFERROR(__xludf.DUMMYFUNCTION("""COMPUTED_VALUE"""),"Huntu")</f>
        <v>Huntu</v>
      </c>
    </row>
    <row r="5620">
      <c r="A5620" s="41" t="str">
        <f>IFERROR(__xludf.DUMMYFUNCTION("""COMPUTED_VALUE"""),"RSC005638")</f>
        <v>RSC005638</v>
      </c>
      <c r="B5620" s="41" t="str">
        <f>IFERROR(__xludf.DUMMYFUNCTION("""COMPUTED_VALUE"""),"Buckystyle")</f>
        <v>Buckystyle</v>
      </c>
    </row>
    <row r="5621">
      <c r="A5621" s="41" t="str">
        <f>IFERROR(__xludf.DUMMYFUNCTION("""COMPUTED_VALUE"""),"RSC005639")</f>
        <v>RSC005639</v>
      </c>
      <c r="B5621" s="41" t="str">
        <f>IFERROR(__xludf.DUMMYFUNCTION("""COMPUTED_VALUE"""),"MihaelJKeehl")</f>
        <v>MihaelJKeehl</v>
      </c>
    </row>
    <row r="5622">
      <c r="A5622" s="41" t="str">
        <f>IFERROR(__xludf.DUMMYFUNCTION("""COMPUTED_VALUE"""),"RSC005640")</f>
        <v>RSC005640</v>
      </c>
      <c r="B5622" s="41" t="str">
        <f>IFERROR(__xludf.DUMMYFUNCTION("""COMPUTED_VALUE"""),"Nuggy")</f>
        <v>Nuggy</v>
      </c>
    </row>
    <row r="5623">
      <c r="A5623" s="41" t="str">
        <f>IFERROR(__xludf.DUMMYFUNCTION("""COMPUTED_VALUE"""),"RSC005641")</f>
        <v>RSC005641</v>
      </c>
      <c r="B5623" s="41" t="str">
        <f>IFERROR(__xludf.DUMMYFUNCTION("""COMPUTED_VALUE"""),"jerid.")</f>
        <v>jerid.</v>
      </c>
    </row>
    <row r="5624">
      <c r="A5624" s="41" t="str">
        <f>IFERROR(__xludf.DUMMYFUNCTION("""COMPUTED_VALUE"""),"RSC005642")</f>
        <v>RSC005642</v>
      </c>
      <c r="B5624" s="41" t="str">
        <f>IFERROR(__xludf.DUMMYFUNCTION("""COMPUTED_VALUE"""),"hockeyeli")</f>
        <v>hockeyeli</v>
      </c>
    </row>
    <row r="5625">
      <c r="A5625" s="41" t="str">
        <f>IFERROR(__xludf.DUMMYFUNCTION("""COMPUTED_VALUE"""),"RSC005643")</f>
        <v>RSC005643</v>
      </c>
      <c r="B5625" s="41" t="str">
        <f>IFERROR(__xludf.DUMMYFUNCTION("""COMPUTED_VALUE"""),"NOTSODAPPERDLANE")</f>
        <v>NOTSODAPPERDLANE</v>
      </c>
    </row>
    <row r="5626">
      <c r="A5626" s="41" t="str">
        <f>IFERROR(__xludf.DUMMYFUNCTION("""COMPUTED_VALUE"""),"RSC005644")</f>
        <v>RSC005644</v>
      </c>
      <c r="B5626" s="41" t="str">
        <f>IFERROR(__xludf.DUMMYFUNCTION("""COMPUTED_VALUE"""),"Chrystonite")</f>
        <v>Chrystonite</v>
      </c>
    </row>
    <row r="5627">
      <c r="A5627" s="41" t="str">
        <f>IFERROR(__xludf.DUMMYFUNCTION("""COMPUTED_VALUE"""),"RSC005645")</f>
        <v>RSC005645</v>
      </c>
      <c r="B5627" s="41" t="str">
        <f>IFERROR(__xludf.DUMMYFUNCTION("""COMPUTED_VALUE"""),"SpasModic")</f>
        <v>SpasModic</v>
      </c>
    </row>
    <row r="5628">
      <c r="A5628" s="41" t="str">
        <f>IFERROR(__xludf.DUMMYFUNCTION("""COMPUTED_VALUE"""),"RSC005646")</f>
        <v>RSC005646</v>
      </c>
      <c r="B5628" s="41" t="str">
        <f>IFERROR(__xludf.DUMMYFUNCTION("""COMPUTED_VALUE"""),"LmPN0Odle")</f>
        <v>LmPN0Odle</v>
      </c>
    </row>
    <row r="5629">
      <c r="A5629" s="41" t="str">
        <f>IFERROR(__xludf.DUMMYFUNCTION("""COMPUTED_VALUE"""),"RSC005647")</f>
        <v>RSC005647</v>
      </c>
      <c r="B5629" s="41" t="str">
        <f>IFERROR(__xludf.DUMMYFUNCTION("""COMPUTED_VALUE"""),"nawziy")</f>
        <v>nawziy</v>
      </c>
    </row>
    <row r="5630">
      <c r="A5630" s="41" t="str">
        <f>IFERROR(__xludf.DUMMYFUNCTION("""COMPUTED_VALUE"""),"RSC005648")</f>
        <v>RSC005648</v>
      </c>
      <c r="B5630" s="41" t="str">
        <f>IFERROR(__xludf.DUMMYFUNCTION("""COMPUTED_VALUE"""),"ChadGPT")</f>
        <v>ChadGPT</v>
      </c>
    </row>
    <row r="5631">
      <c r="A5631" s="41" t="str">
        <f>IFERROR(__xludf.DUMMYFUNCTION("""COMPUTED_VALUE"""),"RSC005649")</f>
        <v>RSC005649</v>
      </c>
      <c r="B5631" s="41" t="str">
        <f>IFERROR(__xludf.DUMMYFUNCTION("""COMPUTED_VALUE"""),"badfish9977")</f>
        <v>badfish9977</v>
      </c>
    </row>
    <row r="5632">
      <c r="A5632" s="41" t="str">
        <f>IFERROR(__xludf.DUMMYFUNCTION("""COMPUTED_VALUE"""),"RSC005650")</f>
        <v>RSC005650</v>
      </c>
      <c r="B5632" s="41" t="str">
        <f>IFERROR(__xludf.DUMMYFUNCTION("""COMPUTED_VALUE"""),"jaydonian_hehe")</f>
        <v>jaydonian_hehe</v>
      </c>
    </row>
    <row r="5633">
      <c r="A5633" s="41" t="str">
        <f>IFERROR(__xludf.DUMMYFUNCTION("""COMPUTED_VALUE"""),"RSC005651")</f>
        <v>RSC005651</v>
      </c>
      <c r="B5633" s="41" t="str">
        <f>IFERROR(__xludf.DUMMYFUNCTION("""COMPUTED_VALUE"""),".Alex")</f>
        <v>.Alex</v>
      </c>
    </row>
    <row r="5634">
      <c r="A5634" s="41" t="str">
        <f>IFERROR(__xludf.DUMMYFUNCTION("""COMPUTED_VALUE"""),"RSC005652")</f>
        <v>RSC005652</v>
      </c>
      <c r="B5634" s="41" t="str">
        <f>IFERROR(__xludf.DUMMYFUNCTION("""COMPUTED_VALUE"""),"PhillyDawg2003")</f>
        <v>PhillyDawg2003</v>
      </c>
    </row>
    <row r="5635">
      <c r="A5635" s="41" t="str">
        <f>IFERROR(__xludf.DUMMYFUNCTION("""COMPUTED_VALUE"""),"RSC005653")</f>
        <v>RSC005653</v>
      </c>
      <c r="B5635" s="41" t="str">
        <f>IFERROR(__xludf.DUMMYFUNCTION("""COMPUTED_VALUE"""),"xim")</f>
        <v>xim</v>
      </c>
    </row>
    <row r="5636">
      <c r="A5636" s="41" t="str">
        <f>IFERROR(__xludf.DUMMYFUNCTION("""COMPUTED_VALUE"""),"RSC005654")</f>
        <v>RSC005654</v>
      </c>
      <c r="B5636" s="41" t="str">
        <f>IFERROR(__xludf.DUMMYFUNCTION("""COMPUTED_VALUE"""),"mickfizle")</f>
        <v>mickfizle</v>
      </c>
    </row>
    <row r="5637">
      <c r="A5637" s="41" t="str">
        <f>IFERROR(__xludf.DUMMYFUNCTION("""COMPUTED_VALUE"""),"RSC005655")</f>
        <v>RSC005655</v>
      </c>
      <c r="B5637" s="41" t="str">
        <f>IFERROR(__xludf.DUMMYFUNCTION("""COMPUTED_VALUE"""),"Oneplayamaker")</f>
        <v>Oneplayamaker</v>
      </c>
    </row>
    <row r="5638">
      <c r="A5638" s="41" t="str">
        <f>IFERROR(__xludf.DUMMYFUNCTION("""COMPUTED_VALUE"""),"RSC005656")</f>
        <v>RSC005656</v>
      </c>
      <c r="B5638" s="41" t="str">
        <f>IFERROR(__xludf.DUMMYFUNCTION("""COMPUTED_VALUE"""),"TheReal Shmekzy")</f>
        <v>TheReal Shmekzy</v>
      </c>
    </row>
    <row r="5639">
      <c r="A5639" s="41" t="str">
        <f>IFERROR(__xludf.DUMMYFUNCTION("""COMPUTED_VALUE"""),"RSC005657")</f>
        <v>RSC005657</v>
      </c>
      <c r="B5639" s="41" t="str">
        <f>IFERROR(__xludf.DUMMYFUNCTION("""COMPUTED_VALUE"""),"TheReal.Potato")</f>
        <v>TheReal.Potato</v>
      </c>
    </row>
    <row r="5640">
      <c r="A5640" s="41" t="str">
        <f>IFERROR(__xludf.DUMMYFUNCTION("""COMPUTED_VALUE"""),"RSC005658")</f>
        <v>RSC005658</v>
      </c>
      <c r="B5640" s="41" t="str">
        <f>IFERROR(__xludf.DUMMYFUNCTION("""COMPUTED_VALUE"""),"Rayinator.")</f>
        <v>Rayinator.</v>
      </c>
    </row>
    <row r="5641">
      <c r="A5641" s="41" t="str">
        <f>IFERROR(__xludf.DUMMYFUNCTION("""COMPUTED_VALUE"""),"RSC005659")</f>
        <v>RSC005659</v>
      </c>
      <c r="B5641" s="41" t="str">
        <f>IFERROR(__xludf.DUMMYFUNCTION("""COMPUTED_VALUE"""),"TTV")</f>
        <v>TTV</v>
      </c>
    </row>
    <row r="5642">
      <c r="A5642" s="41" t="str">
        <f>IFERROR(__xludf.DUMMYFUNCTION("""COMPUTED_VALUE"""),"RSC005660")</f>
        <v>RSC005660</v>
      </c>
      <c r="B5642" s="41" t="str">
        <f>IFERROR(__xludf.DUMMYFUNCTION("""COMPUTED_VALUE"""),"Brain")</f>
        <v>Brain</v>
      </c>
    </row>
    <row r="5643">
      <c r="A5643" s="41" t="str">
        <f>IFERROR(__xludf.DUMMYFUNCTION("""COMPUTED_VALUE"""),"RSC005661")</f>
        <v>RSC005661</v>
      </c>
      <c r="B5643" s="41" t="str">
        <f>IFERROR(__xludf.DUMMYFUNCTION("""COMPUTED_VALUE"""),"Loonar2048")</f>
        <v>Loonar2048</v>
      </c>
    </row>
    <row r="5644">
      <c r="A5644" s="41" t="str">
        <f>IFERROR(__xludf.DUMMYFUNCTION("""COMPUTED_VALUE"""),"RSC005662")</f>
        <v>RSC005662</v>
      </c>
      <c r="B5644" s="41" t="str">
        <f>IFERROR(__xludf.DUMMYFUNCTION("""COMPUTED_VALUE"""),"saucey.")</f>
        <v>saucey.</v>
      </c>
    </row>
    <row r="5645">
      <c r="A5645" s="41" t="str">
        <f>IFERROR(__xludf.DUMMYFUNCTION("""COMPUTED_VALUE"""),"RSC005663")</f>
        <v>RSC005663</v>
      </c>
      <c r="B5645" s="41" t="str">
        <f>IFERROR(__xludf.DUMMYFUNCTION("""COMPUTED_VALUE"""),"Pure_Pusher")</f>
        <v>Pure_Pusher</v>
      </c>
    </row>
    <row r="5646">
      <c r="A5646" s="41" t="str">
        <f>IFERROR(__xludf.DUMMYFUNCTION("""COMPUTED_VALUE"""),"RSC005664")</f>
        <v>RSC005664</v>
      </c>
      <c r="B5646" s="41" t="str">
        <f>IFERROR(__xludf.DUMMYFUNCTION("""COMPUTED_VALUE"""),"Chillin")</f>
        <v>Chillin</v>
      </c>
    </row>
    <row r="5647">
      <c r="A5647" s="41" t="str">
        <f>IFERROR(__xludf.DUMMYFUNCTION("""COMPUTED_VALUE"""),"RSC005665")</f>
        <v>RSC005665</v>
      </c>
      <c r="B5647" s="41" t="str">
        <f>IFERROR(__xludf.DUMMYFUNCTION("""COMPUTED_VALUE"""),"Rebel (change)")</f>
        <v>Rebel (change)</v>
      </c>
    </row>
    <row r="5648">
      <c r="A5648" s="41" t="str">
        <f>IFERROR(__xludf.DUMMYFUNCTION("""COMPUTED_VALUE"""),"RSC005666")</f>
        <v>RSC005666</v>
      </c>
      <c r="B5648" s="41" t="str">
        <f>IFERROR(__xludf.DUMMYFUNCTION("""COMPUTED_VALUE"""),"Drenaline")</f>
        <v>Drenaline</v>
      </c>
    </row>
    <row r="5649">
      <c r="A5649" s="41" t="str">
        <f>IFERROR(__xludf.DUMMYFUNCTION("""COMPUTED_VALUE"""),"RSC005667")</f>
        <v>RSC005667</v>
      </c>
      <c r="B5649" s="41" t="str">
        <f>IFERROR(__xludf.DUMMYFUNCTION("""COMPUTED_VALUE"""),"Nautikl")</f>
        <v>Nautikl</v>
      </c>
    </row>
    <row r="5650">
      <c r="A5650" s="41" t="str">
        <f>IFERROR(__xludf.DUMMYFUNCTION("""COMPUTED_VALUE"""),"RSC005668")</f>
        <v>RSC005668</v>
      </c>
      <c r="B5650" s="41" t="str">
        <f>IFERROR(__xludf.DUMMYFUNCTION("""COMPUTED_VALUE"""),".Xero")</f>
        <v>.Xero</v>
      </c>
    </row>
    <row r="5651">
      <c r="A5651" s="41" t="str">
        <f>IFERROR(__xludf.DUMMYFUNCTION("""COMPUTED_VALUE"""),"RSC005669")</f>
        <v>RSC005669</v>
      </c>
      <c r="B5651" s="41" t="str">
        <f>IFERROR(__xludf.DUMMYFUNCTION("""COMPUTED_VALUE"""),"nyk")</f>
        <v>nyk</v>
      </c>
    </row>
    <row r="5652">
      <c r="A5652" s="41" t="str">
        <f>IFERROR(__xludf.DUMMYFUNCTION("""COMPUTED_VALUE"""),"RSC005670")</f>
        <v>RSC005670</v>
      </c>
      <c r="B5652" s="41" t="str">
        <f>IFERROR(__xludf.DUMMYFUNCTION("""COMPUTED_VALUE"""),"mesi")</f>
        <v>mesi</v>
      </c>
    </row>
    <row r="5653">
      <c r="A5653" s="41" t="str">
        <f>IFERROR(__xludf.DUMMYFUNCTION("""COMPUTED_VALUE"""),"RSC005671")</f>
        <v>RSC005671</v>
      </c>
      <c r="B5653" s="41" t="str">
        <f>IFERROR(__xludf.DUMMYFUNCTION("""COMPUTED_VALUE"""),"FeTiV")</f>
        <v>FeTiV</v>
      </c>
    </row>
    <row r="5654">
      <c r="A5654" s="41" t="str">
        <f>IFERROR(__xludf.DUMMYFUNCTION("""COMPUTED_VALUE"""),"RSC005672")</f>
        <v>RSC005672</v>
      </c>
      <c r="B5654" s="41" t="str">
        <f>IFERROR(__xludf.DUMMYFUNCTION("""COMPUTED_VALUE"""),"moxxiemoxxx")</f>
        <v>moxxiemoxxx</v>
      </c>
    </row>
    <row r="5655">
      <c r="A5655" s="41" t="str">
        <f>IFERROR(__xludf.DUMMYFUNCTION("""COMPUTED_VALUE"""),"RSC005673")</f>
        <v>RSC005673</v>
      </c>
      <c r="B5655" s="41" t="str">
        <f>IFERROR(__xludf.DUMMYFUNCTION("""COMPUTED_VALUE"""),"Packmeal")</f>
        <v>Packmeal</v>
      </c>
    </row>
    <row r="5656">
      <c r="A5656" s="41" t="str">
        <f>IFERROR(__xludf.DUMMYFUNCTION("""COMPUTED_VALUE"""),"RSC005674")</f>
        <v>RSC005674</v>
      </c>
      <c r="B5656" s="41" t="str">
        <f>IFERROR(__xludf.DUMMYFUNCTION("""COMPUTED_VALUE"""),"R4MP4GE1492")</f>
        <v>R4MP4GE1492</v>
      </c>
    </row>
    <row r="5657">
      <c r="A5657" s="41" t="str">
        <f>IFERROR(__xludf.DUMMYFUNCTION("""COMPUTED_VALUE"""),"RSC005675")</f>
        <v>RSC005675</v>
      </c>
      <c r="B5657" s="41" t="str">
        <f>IFERROR(__xludf.DUMMYFUNCTION("""COMPUTED_VALUE"""),"Lil Nasty")</f>
        <v>Lil Nasty</v>
      </c>
    </row>
    <row r="5658">
      <c r="A5658" s="41" t="str">
        <f>IFERROR(__xludf.DUMMYFUNCTION("""COMPUTED_VALUE"""),"RSC005676")</f>
        <v>RSC005676</v>
      </c>
      <c r="B5658" s="41" t="str">
        <f>IFERROR(__xludf.DUMMYFUNCTION("""COMPUTED_VALUE"""),"XBeastzYT")</f>
        <v>XBeastzYT</v>
      </c>
    </row>
    <row r="5659">
      <c r="A5659" s="41" t="str">
        <f>IFERROR(__xludf.DUMMYFUNCTION("""COMPUTED_VALUE"""),"RSC005677")</f>
        <v>RSC005677</v>
      </c>
      <c r="B5659" s="41" t="str">
        <f>IFERROR(__xludf.DUMMYFUNCTION("""COMPUTED_VALUE"""),"z2kay")</f>
        <v>z2kay</v>
      </c>
    </row>
    <row r="5660">
      <c r="A5660" s="41" t="str">
        <f>IFERROR(__xludf.DUMMYFUNCTION("""COMPUTED_VALUE"""),"RSC005678")</f>
        <v>RSC005678</v>
      </c>
      <c r="B5660" s="41" t="str">
        <f>IFERROR(__xludf.DUMMYFUNCTION("""COMPUTED_VALUE"""),"Pxrsonal.")</f>
        <v>Pxrsonal.</v>
      </c>
    </row>
    <row r="5661">
      <c r="A5661" s="41" t="str">
        <f>IFERROR(__xludf.DUMMYFUNCTION("""COMPUTED_VALUE"""),"RSC005679")</f>
        <v>RSC005679</v>
      </c>
      <c r="B5661" s="41" t="str">
        <f>IFERROR(__xludf.DUMMYFUNCTION("""COMPUTED_VALUE"""),"Mo13ility")</f>
        <v>Mo13ility</v>
      </c>
    </row>
    <row r="5662">
      <c r="A5662" s="41" t="str">
        <f>IFERROR(__xludf.DUMMYFUNCTION("""COMPUTED_VALUE"""),"RSC005680")</f>
        <v>RSC005680</v>
      </c>
      <c r="B5662" s="41" t="str">
        <f>IFERROR(__xludf.DUMMYFUNCTION("""COMPUTED_VALUE"""),"SKRT_Ripzz")</f>
        <v>SKRT_Ripzz</v>
      </c>
    </row>
    <row r="5663">
      <c r="A5663" s="41" t="str">
        <f>IFERROR(__xludf.DUMMYFUNCTION("""COMPUTED_VALUE"""),"RSC005681")</f>
        <v>RSC005681</v>
      </c>
      <c r="B5663" s="41" t="str">
        <f>IFERROR(__xludf.DUMMYFUNCTION("""COMPUTED_VALUE"""),"Aries Nmk")</f>
        <v>Aries Nmk</v>
      </c>
    </row>
    <row r="5664">
      <c r="A5664" s="41" t="str">
        <f>IFERROR(__xludf.DUMMYFUNCTION("""COMPUTED_VALUE"""),"RSC005682")</f>
        <v>RSC005682</v>
      </c>
      <c r="B5664" s="41" t="str">
        <f>IFERROR(__xludf.DUMMYFUNCTION("""COMPUTED_VALUE"""),"S_ckz")</f>
        <v>S_ckz</v>
      </c>
    </row>
    <row r="5665">
      <c r="A5665" s="41" t="str">
        <f>IFERROR(__xludf.DUMMYFUNCTION("""COMPUTED_VALUE"""),"RSC005683")</f>
        <v>RSC005683</v>
      </c>
      <c r="B5665" s="41" t="str">
        <f>IFERROR(__xludf.DUMMYFUNCTION("""COMPUTED_VALUE"""),"TtvEmmett711")</f>
        <v>TtvEmmett711</v>
      </c>
    </row>
    <row r="5666">
      <c r="A5666" s="41" t="str">
        <f>IFERROR(__xludf.DUMMYFUNCTION("""COMPUTED_VALUE"""),"RSC005684")</f>
        <v>RSC005684</v>
      </c>
      <c r="B5666" s="41" t="str">
        <f>IFERROR(__xludf.DUMMYFUNCTION("""COMPUTED_VALUE"""),"vyvants")</f>
        <v>vyvants</v>
      </c>
    </row>
    <row r="5667">
      <c r="A5667" s="41" t="str">
        <f>IFERROR(__xludf.DUMMYFUNCTION("""COMPUTED_VALUE"""),"RSC005685")</f>
        <v>RSC005685</v>
      </c>
      <c r="B5667" s="41" t="str">
        <f>IFERROR(__xludf.DUMMYFUNCTION("""COMPUTED_VALUE"""),"TouchRL")</f>
        <v>TouchRL</v>
      </c>
    </row>
    <row r="5668">
      <c r="A5668" s="41" t="str">
        <f>IFERROR(__xludf.DUMMYFUNCTION("""COMPUTED_VALUE"""),"RSC005686")</f>
        <v>RSC005686</v>
      </c>
      <c r="B5668" s="41" t="str">
        <f>IFERROR(__xludf.DUMMYFUNCTION("""COMPUTED_VALUE"""),"DanisH")</f>
        <v>DanisH</v>
      </c>
    </row>
    <row r="5669">
      <c r="A5669" s="41" t="str">
        <f>IFERROR(__xludf.DUMMYFUNCTION("""COMPUTED_VALUE"""),"RSC005687")</f>
        <v>RSC005687</v>
      </c>
      <c r="B5669" s="41" t="str">
        <f>IFERROR(__xludf.DUMMYFUNCTION("""COMPUTED_VALUE"""),"okaywoody")</f>
        <v>okaywoody</v>
      </c>
    </row>
    <row r="5670">
      <c r="A5670" s="41" t="str">
        <f>IFERROR(__xludf.DUMMYFUNCTION("""COMPUTED_VALUE"""),"RSC005688")</f>
        <v>RSC005688</v>
      </c>
      <c r="B5670" s="41" t="str">
        <f>IFERROR(__xludf.DUMMYFUNCTION("""COMPUTED_VALUE"""),"Rustytroll4420")</f>
        <v>Rustytroll4420</v>
      </c>
    </row>
    <row r="5671">
      <c r="A5671" s="41" t="str">
        <f>IFERROR(__xludf.DUMMYFUNCTION("""COMPUTED_VALUE"""),"RSC005689")</f>
        <v>RSC005689</v>
      </c>
      <c r="B5671" s="41" t="str">
        <f>IFERROR(__xludf.DUMMYFUNCTION("""COMPUTED_VALUE"""),"Wntr")</f>
        <v>Wntr</v>
      </c>
    </row>
    <row r="5672">
      <c r="A5672" s="41" t="str">
        <f>IFERROR(__xludf.DUMMYFUNCTION("""COMPUTED_VALUE"""),"RSC005690")</f>
        <v>RSC005690</v>
      </c>
      <c r="B5672" s="41" t="str">
        <f>IFERROR(__xludf.DUMMYFUNCTION("""COMPUTED_VALUE"""),"DQ.")</f>
        <v>DQ.</v>
      </c>
    </row>
    <row r="5673">
      <c r="A5673" s="41" t="str">
        <f>IFERROR(__xludf.DUMMYFUNCTION("""COMPUTED_VALUE"""),"RSC005691")</f>
        <v>RSC005691</v>
      </c>
      <c r="B5673" s="41" t="str">
        <f>IFERROR(__xludf.DUMMYFUNCTION("""COMPUTED_VALUE"""),"Dr.Ukulele")</f>
        <v>Dr.Ukulele</v>
      </c>
    </row>
    <row r="5674">
      <c r="A5674" s="41" t="str">
        <f>IFERROR(__xludf.DUMMYFUNCTION("""COMPUTED_VALUE"""),"RSC005692")</f>
        <v>RSC005692</v>
      </c>
      <c r="B5674" s="41" t="str">
        <f>IFERROR(__xludf.DUMMYFUNCTION("""COMPUTED_VALUE"""),"Hisen")</f>
        <v>Hisen</v>
      </c>
    </row>
    <row r="5675">
      <c r="A5675" s="41" t="str">
        <f>IFERROR(__xludf.DUMMYFUNCTION("""COMPUTED_VALUE"""),"RSC005693")</f>
        <v>RSC005693</v>
      </c>
      <c r="B5675" s="41" t="str">
        <f>IFERROR(__xludf.DUMMYFUNCTION("""COMPUTED_VALUE"""),"Goldencourt9")</f>
        <v>Goldencourt9</v>
      </c>
    </row>
    <row r="5676">
      <c r="A5676" s="41" t="str">
        <f>IFERROR(__xludf.DUMMYFUNCTION("""COMPUTED_VALUE"""),"RSC005694")</f>
        <v>RSC005694</v>
      </c>
      <c r="B5676" s="41" t="str">
        <f>IFERROR(__xludf.DUMMYFUNCTION("""COMPUTED_VALUE"""),"AFoxyPancake")</f>
        <v>AFoxyPancake</v>
      </c>
    </row>
    <row r="5677">
      <c r="A5677" s="41" t="str">
        <f>IFERROR(__xludf.DUMMYFUNCTION("""COMPUTED_VALUE"""),"RSC005695")</f>
        <v>RSC005695</v>
      </c>
      <c r="B5677" s="41" t="str">
        <f>IFERROR(__xludf.DUMMYFUNCTION("""COMPUTED_VALUE"""),"Kai")</f>
        <v>Kai</v>
      </c>
    </row>
    <row r="5678">
      <c r="A5678" s="41" t="str">
        <f>IFERROR(__xludf.DUMMYFUNCTION("""COMPUTED_VALUE"""),"RSC005696")</f>
        <v>RSC005696</v>
      </c>
      <c r="B5678" s="41" t="str">
        <f>IFERROR(__xludf.DUMMYFUNCTION("""COMPUTED_VALUE"""),"Jack.flv")</f>
        <v>Jack.flv</v>
      </c>
    </row>
    <row r="5679">
      <c r="A5679" s="41" t="str">
        <f>IFERROR(__xludf.DUMMYFUNCTION("""COMPUTED_VALUE"""),"RSC005697")</f>
        <v>RSC005697</v>
      </c>
      <c r="B5679" s="41" t="str">
        <f>IFERROR(__xludf.DUMMYFUNCTION("""COMPUTED_VALUE"""),"Starstruck_RL")</f>
        <v>Starstruck_RL</v>
      </c>
    </row>
    <row r="5680">
      <c r="A5680" s="41" t="str">
        <f>IFERROR(__xludf.DUMMYFUNCTION("""COMPUTED_VALUE"""),"RSC005698")</f>
        <v>RSC005698</v>
      </c>
      <c r="B5680" s="41" t="str">
        <f>IFERROR(__xludf.DUMMYFUNCTION("""COMPUTED_VALUE"""),"NotJo")</f>
        <v>NotJo</v>
      </c>
    </row>
    <row r="5681">
      <c r="A5681" s="41" t="str">
        <f>IFERROR(__xludf.DUMMYFUNCTION("""COMPUTED_VALUE"""),"RSC005699")</f>
        <v>RSC005699</v>
      </c>
      <c r="B5681" s="41" t="str">
        <f>IFERROR(__xludf.DUMMYFUNCTION("""COMPUTED_VALUE"""),"masdhapotatoes")</f>
        <v>masdhapotatoes</v>
      </c>
    </row>
    <row r="5682">
      <c r="A5682" s="41" t="str">
        <f>IFERROR(__xludf.DUMMYFUNCTION("""COMPUTED_VALUE"""),"RSC005700")</f>
        <v>RSC005700</v>
      </c>
      <c r="B5682" s="41" t="str">
        <f>IFERROR(__xludf.DUMMYFUNCTION("""COMPUTED_VALUE"""),"WtchDctr")</f>
        <v>WtchDctr</v>
      </c>
    </row>
    <row r="5683">
      <c r="A5683" s="41" t="str">
        <f>IFERROR(__xludf.DUMMYFUNCTION("""COMPUTED_VALUE"""),"RSC005701")</f>
        <v>RSC005701</v>
      </c>
      <c r="B5683" s="41" t="str">
        <f>IFERROR(__xludf.DUMMYFUNCTION("""COMPUTED_VALUE"""),"TTV/WowSneakyAstro")</f>
        <v>TTV/WowSneakyAstro</v>
      </c>
    </row>
    <row r="5684">
      <c r="A5684" s="41" t="str">
        <f>IFERROR(__xludf.DUMMYFUNCTION("""COMPUTED_VALUE"""),"RSC005702")</f>
        <v>RSC005702</v>
      </c>
      <c r="B5684" s="41" t="str">
        <f>IFERROR(__xludf.DUMMYFUNCTION("""COMPUTED_VALUE"""),"Jaegie")</f>
        <v>Jaegie</v>
      </c>
    </row>
    <row r="5685">
      <c r="A5685" s="41" t="str">
        <f>IFERROR(__xludf.DUMMYFUNCTION("""COMPUTED_VALUE"""),"RSC005703")</f>
        <v>RSC005703</v>
      </c>
      <c r="B5685" s="41" t="str">
        <f>IFERROR(__xludf.DUMMYFUNCTION("""COMPUTED_VALUE"""),"ShoddyWolfman")</f>
        <v>ShoddyWolfman</v>
      </c>
    </row>
    <row r="5686">
      <c r="A5686" s="41" t="str">
        <f>IFERROR(__xludf.DUMMYFUNCTION("""COMPUTED_VALUE"""),"RSC005704")</f>
        <v>RSC005704</v>
      </c>
      <c r="B5686" s="41" t="str">
        <f>IFERROR(__xludf.DUMMYFUNCTION("""COMPUTED_VALUE"""),"diZz023_")</f>
        <v>diZz023_</v>
      </c>
    </row>
    <row r="5687">
      <c r="A5687" s="41" t="str">
        <f>IFERROR(__xludf.DUMMYFUNCTION("""COMPUTED_VALUE"""),"RSC005705")</f>
        <v>RSC005705</v>
      </c>
      <c r="B5687" s="41" t="str">
        <f>IFERROR(__xludf.DUMMYFUNCTION("""COMPUTED_VALUE"""),"Rapidz (Goofy and Silly)")</f>
        <v>Rapidz (Goofy and Silly)</v>
      </c>
    </row>
    <row r="5688">
      <c r="A5688" s="41" t="str">
        <f>IFERROR(__xludf.DUMMYFUNCTION("""COMPUTED_VALUE"""),"RSC005706")</f>
        <v>RSC005706</v>
      </c>
      <c r="B5688" s="41" t="str">
        <f>IFERROR(__xludf.DUMMYFUNCTION("""COMPUTED_VALUE"""),"Relavord")</f>
        <v>Relavord</v>
      </c>
    </row>
    <row r="5689">
      <c r="A5689" s="41" t="str">
        <f>IFERROR(__xludf.DUMMYFUNCTION("""COMPUTED_VALUE"""),"RSC005707")</f>
        <v>RSC005707</v>
      </c>
      <c r="B5689" s="41" t="str">
        <f>IFERROR(__xludf.DUMMYFUNCTION("""COMPUTED_VALUE"""),"BlueCrimsonJR")</f>
        <v>BlueCrimsonJR</v>
      </c>
    </row>
    <row r="5690">
      <c r="A5690" s="41" t="str">
        <f>IFERROR(__xludf.DUMMYFUNCTION("""COMPUTED_VALUE"""),"RSC005708")</f>
        <v>RSC005708</v>
      </c>
      <c r="B5690" s="41" t="str">
        <f>IFERROR(__xludf.DUMMYFUNCTION("""COMPUTED_VALUE"""),"Nova The Archon")</f>
        <v>Nova The Archon</v>
      </c>
    </row>
    <row r="5691">
      <c r="A5691" s="41" t="str">
        <f>IFERROR(__xludf.DUMMYFUNCTION("""COMPUTED_VALUE"""),"RSC005709")</f>
        <v>RSC005709</v>
      </c>
      <c r="B5691" s="41" t="str">
        <f>IFERROR(__xludf.DUMMYFUNCTION("""COMPUTED_VALUE"""),"ZavaRL")</f>
        <v>ZavaRL</v>
      </c>
    </row>
    <row r="5692">
      <c r="A5692" s="41" t="str">
        <f>IFERROR(__xludf.DUMMYFUNCTION("""COMPUTED_VALUE"""),"RSC005710")</f>
        <v>RSC005710</v>
      </c>
      <c r="B5692" s="41" t="str">
        <f>IFERROR(__xludf.DUMMYFUNCTION("""COMPUTED_VALUE"""),"shiggy-folk")</f>
        <v>shiggy-folk</v>
      </c>
    </row>
    <row r="5693">
      <c r="A5693" s="41" t="str">
        <f>IFERROR(__xludf.DUMMYFUNCTION("""COMPUTED_VALUE"""),"RSC005711")</f>
        <v>RSC005711</v>
      </c>
      <c r="B5693" s="41" t="str">
        <f>IFERROR(__xludf.DUMMYFUNCTION("""COMPUTED_VALUE"""),"Finnn")</f>
        <v>Finnn</v>
      </c>
    </row>
    <row r="5694">
      <c r="A5694" s="41" t="str">
        <f>IFERROR(__xludf.DUMMYFUNCTION("""COMPUTED_VALUE"""),"RSC005712")</f>
        <v>RSC005712</v>
      </c>
      <c r="B5694" s="41" t="str">
        <f>IFERROR(__xludf.DUMMYFUNCTION("""COMPUTED_VALUE"""),"Vigil")</f>
        <v>Vigil</v>
      </c>
    </row>
    <row r="5695">
      <c r="A5695" s="41" t="str">
        <f>IFERROR(__xludf.DUMMYFUNCTION("""COMPUTED_VALUE"""),"RSC005713")</f>
        <v>RSC005713</v>
      </c>
      <c r="B5695" s="41" t="str">
        <f>IFERROR(__xludf.DUMMYFUNCTION("""COMPUTED_VALUE"""),"VC Dave")</f>
        <v>VC Dave</v>
      </c>
    </row>
    <row r="5696">
      <c r="A5696" s="41" t="str">
        <f>IFERROR(__xludf.DUMMYFUNCTION("""COMPUTED_VALUE"""),"RSC005714")</f>
        <v>RSC005714</v>
      </c>
      <c r="B5696" s="41" t="str">
        <f>IFERROR(__xludf.DUMMYFUNCTION("""COMPUTED_VALUE"""),"T_i_m_o_g")</f>
        <v>T_i_m_o_g</v>
      </c>
    </row>
    <row r="5697">
      <c r="A5697" s="41" t="str">
        <f>IFERROR(__xludf.DUMMYFUNCTION("""COMPUTED_VALUE"""),"RSC005715")</f>
        <v>RSC005715</v>
      </c>
      <c r="B5697" s="41" t="str">
        <f>IFERROR(__xludf.DUMMYFUNCTION("""COMPUTED_VALUE"""),"vixen")</f>
        <v>vixen</v>
      </c>
    </row>
    <row r="5698">
      <c r="A5698" s="41" t="str">
        <f>IFERROR(__xludf.DUMMYFUNCTION("""COMPUTED_VALUE"""),"RSC005716")</f>
        <v>RSC005716</v>
      </c>
      <c r="B5698" s="41" t="str">
        <f>IFERROR(__xludf.DUMMYFUNCTION("""COMPUTED_VALUE"""),"Justifyye")</f>
        <v>Justifyye</v>
      </c>
    </row>
    <row r="5699">
      <c r="A5699" s="41" t="str">
        <f>IFERROR(__xludf.DUMMYFUNCTION("""COMPUTED_VALUE"""),"RSC005717")</f>
        <v>RSC005717</v>
      </c>
      <c r="B5699" s="41" t="str">
        <f>IFERROR(__xludf.DUMMYFUNCTION("""COMPUTED_VALUE"""),"Nes343")</f>
        <v>Nes343</v>
      </c>
    </row>
    <row r="5700">
      <c r="A5700" s="41" t="str">
        <f>IFERROR(__xludf.DUMMYFUNCTION("""COMPUTED_VALUE"""),"RSC005718")</f>
        <v>RSC005718</v>
      </c>
      <c r="B5700" s="41" t="str">
        <f>IFERROR(__xludf.DUMMYFUNCTION("""COMPUTED_VALUE"""),"Baked Carrots")</f>
        <v>Baked Carrots</v>
      </c>
    </row>
    <row r="5701">
      <c r="A5701" s="41" t="str">
        <f>IFERROR(__xludf.DUMMYFUNCTION("""COMPUTED_VALUE"""),"RSC005719")</f>
        <v>RSC005719</v>
      </c>
      <c r="B5701" s="41" t="str">
        <f>IFERROR(__xludf.DUMMYFUNCTION("""COMPUTED_VALUE"""),"I am TNuts")</f>
        <v>I am TNuts</v>
      </c>
    </row>
    <row r="5702">
      <c r="A5702" s="41" t="str">
        <f>IFERROR(__xludf.DUMMYFUNCTION("""COMPUTED_VALUE"""),"RSC005720")</f>
        <v>RSC005720</v>
      </c>
      <c r="B5702" s="41" t="str">
        <f>IFERROR(__xludf.DUMMYFUNCTION("""COMPUTED_VALUE"""),"jaxn.05")</f>
        <v>jaxn.05</v>
      </c>
    </row>
    <row r="5703">
      <c r="A5703" s="41" t="str">
        <f>IFERROR(__xludf.DUMMYFUNCTION("""COMPUTED_VALUE"""),"RSC005721")</f>
        <v>RSC005721</v>
      </c>
      <c r="B5703" s="41" t="str">
        <f>IFERROR(__xludf.DUMMYFUNCTION("""COMPUTED_VALUE"""),"Sentinel")</f>
        <v>Sentinel</v>
      </c>
    </row>
    <row r="5704">
      <c r="A5704" s="41" t="str">
        <f>IFERROR(__xludf.DUMMYFUNCTION("""COMPUTED_VALUE"""),"RSC005722")</f>
        <v>RSC005722</v>
      </c>
      <c r="B5704" s="41" t="str">
        <f>IFERROR(__xludf.DUMMYFUNCTION("""COMPUTED_VALUE"""),"Rhyme")</f>
        <v>Rhyme</v>
      </c>
    </row>
    <row r="5705">
      <c r="A5705" s="41" t="str">
        <f>IFERROR(__xludf.DUMMYFUNCTION("""COMPUTED_VALUE"""),"RSC005723")</f>
        <v>RSC005723</v>
      </c>
      <c r="B5705" s="41" t="str">
        <f>IFERROR(__xludf.DUMMYFUNCTION("""COMPUTED_VALUE"""),"reserentflyer5")</f>
        <v>reserentflyer5</v>
      </c>
    </row>
    <row r="5706">
      <c r="A5706" s="41" t="str">
        <f>IFERROR(__xludf.DUMMYFUNCTION("""COMPUTED_VALUE"""),"RSC005724")</f>
        <v>RSC005724</v>
      </c>
      <c r="B5706" s="41" t="str">
        <f>IFERROR(__xludf.DUMMYFUNCTION("""COMPUTED_VALUE"""),"cetchii")</f>
        <v>cetchii</v>
      </c>
    </row>
    <row r="5707">
      <c r="A5707" s="41" t="str">
        <f>IFERROR(__xludf.DUMMYFUNCTION("""COMPUTED_VALUE"""),"RSC005725")</f>
        <v>RSC005725</v>
      </c>
      <c r="B5707" s="41" t="str">
        <f>IFERROR(__xludf.DUMMYFUNCTION("""COMPUTED_VALUE"""),"rwalls516r")</f>
        <v>rwalls516r</v>
      </c>
    </row>
    <row r="5708">
      <c r="A5708" s="41" t="str">
        <f>IFERROR(__xludf.DUMMYFUNCTION("""COMPUTED_VALUE"""),"RSC005726")</f>
        <v>RSC005726</v>
      </c>
      <c r="B5708" s="41" t="str">
        <f>IFERROR(__xludf.DUMMYFUNCTION("""COMPUTED_VALUE"""),"I am Shep")</f>
        <v>I am Shep</v>
      </c>
    </row>
    <row r="5709">
      <c r="A5709" s="41" t="str">
        <f>IFERROR(__xludf.DUMMYFUNCTION("""COMPUTED_VALUE"""),"RSC005727")</f>
        <v>RSC005727</v>
      </c>
      <c r="B5709" s="41" t="str">
        <f>IFERROR(__xludf.DUMMYFUNCTION("""COMPUTED_VALUE"""),"Tasty")</f>
        <v>Tasty</v>
      </c>
    </row>
    <row r="5710">
      <c r="A5710" s="41" t="str">
        <f>IFERROR(__xludf.DUMMYFUNCTION("""COMPUTED_VALUE"""),"RSC005728")</f>
        <v>RSC005728</v>
      </c>
      <c r="B5710" s="41" t="str">
        <f>IFERROR(__xludf.DUMMYFUNCTION("""COMPUTED_VALUE"""),"Frostino._")</f>
        <v>Frostino._</v>
      </c>
    </row>
    <row r="5711">
      <c r="A5711" s="41" t="str">
        <f>IFERROR(__xludf.DUMMYFUNCTION("""COMPUTED_VALUE"""),"RSC005729")</f>
        <v>RSC005729</v>
      </c>
      <c r="B5711" s="41" t="str">
        <f>IFERROR(__xludf.DUMMYFUNCTION("""COMPUTED_VALUE"""),"Cherry")</f>
        <v>Cherry</v>
      </c>
    </row>
    <row r="5712">
      <c r="A5712" s="41" t="str">
        <f>IFERROR(__xludf.DUMMYFUNCTION("""COMPUTED_VALUE"""),"RSC005730")</f>
        <v>RSC005730</v>
      </c>
      <c r="B5712" s="41" t="str">
        <f>IFERROR(__xludf.DUMMYFUNCTION("""COMPUTED_VALUE"""),"CLEM5ON3_")</f>
        <v>CLEM5ON3_</v>
      </c>
    </row>
    <row r="5713">
      <c r="A5713" s="41" t="str">
        <f>IFERROR(__xludf.DUMMYFUNCTION("""COMPUTED_VALUE"""),"RSC005731")</f>
        <v>RSC005731</v>
      </c>
      <c r="B5713" s="41" t="str">
        <f>IFERROR(__xludf.DUMMYFUNCTION("""COMPUTED_VALUE"""),"Dredgnought")</f>
        <v>Dredgnought</v>
      </c>
    </row>
    <row r="5714">
      <c r="A5714" s="41" t="str">
        <f>IFERROR(__xludf.DUMMYFUNCTION("""COMPUTED_VALUE"""),"RSC005732")</f>
        <v>RSC005732</v>
      </c>
      <c r="B5714" s="41" t="str">
        <f>IFERROR(__xludf.DUMMYFUNCTION("""COMPUTED_VALUE"""),"TheHogfather")</f>
        <v>TheHogfather</v>
      </c>
    </row>
    <row r="5715">
      <c r="A5715" s="41" t="str">
        <f>IFERROR(__xludf.DUMMYFUNCTION("""COMPUTED_VALUE"""),"RSC005733")</f>
        <v>RSC005733</v>
      </c>
      <c r="B5715" s="41" t="str">
        <f>IFERROR(__xludf.DUMMYFUNCTION("""COMPUTED_VALUE"""),"Apollo")</f>
        <v>Apollo</v>
      </c>
    </row>
    <row r="5716">
      <c r="A5716" s="41" t="str">
        <f>IFERROR(__xludf.DUMMYFUNCTION("""COMPUTED_VALUE"""),"RSC005734")</f>
        <v>RSC005734</v>
      </c>
      <c r="B5716" s="41" t="str">
        <f>IFERROR(__xludf.DUMMYFUNCTION("""COMPUTED_VALUE"""),"BasRadala")</f>
        <v>BasRadala</v>
      </c>
    </row>
    <row r="5717">
      <c r="A5717" s="41" t="str">
        <f>IFERROR(__xludf.DUMMYFUNCTION("""COMPUTED_VALUE"""),"RSC005735")</f>
        <v>RSC005735</v>
      </c>
      <c r="B5717" s="41" t="str">
        <f>IFERROR(__xludf.DUMMYFUNCTION("""COMPUTED_VALUE"""),"reece")</f>
        <v>reece</v>
      </c>
    </row>
    <row r="5718">
      <c r="A5718" s="41" t="str">
        <f>IFERROR(__xludf.DUMMYFUNCTION("""COMPUTED_VALUE"""),"RSC005736")</f>
        <v>RSC005736</v>
      </c>
      <c r="B5718" s="41" t="str">
        <f>IFERROR(__xludf.DUMMYFUNCTION("""COMPUTED_VALUE"""),"ZackV")</f>
        <v>ZackV</v>
      </c>
    </row>
    <row r="5719">
      <c r="A5719" s="41" t="str">
        <f>IFERROR(__xludf.DUMMYFUNCTION("""COMPUTED_VALUE"""),"RSC005737")</f>
        <v>RSC005737</v>
      </c>
      <c r="B5719" s="41" t="str">
        <f>IFERROR(__xludf.DUMMYFUNCTION("""COMPUTED_VALUE"""),"Tigger521")</f>
        <v>Tigger521</v>
      </c>
    </row>
    <row r="5720">
      <c r="A5720" s="41" t="str">
        <f>IFERROR(__xludf.DUMMYFUNCTION("""COMPUTED_VALUE"""),"RSC005738")</f>
        <v>RSC005738</v>
      </c>
      <c r="B5720" s="41" t="str">
        <f>IFERROR(__xludf.DUMMYFUNCTION("""COMPUTED_VALUE"""),"CAB-334S")</f>
        <v>CAB-334S</v>
      </c>
    </row>
    <row r="5721">
      <c r="A5721" s="41" t="str">
        <f>IFERROR(__xludf.DUMMYFUNCTION("""COMPUTED_VALUE"""),"RSC005739")</f>
        <v>RSC005739</v>
      </c>
      <c r="B5721" s="41" t="str">
        <f>IFERROR(__xludf.DUMMYFUNCTION("""COMPUTED_VALUE"""),"Galorers")</f>
        <v>Galorers</v>
      </c>
    </row>
    <row r="5722">
      <c r="A5722" s="41" t="str">
        <f>IFERROR(__xludf.DUMMYFUNCTION("""COMPUTED_VALUE"""),"RSC005740")</f>
        <v>RSC005740</v>
      </c>
      <c r="B5722" s="41" t="str">
        <f>IFERROR(__xludf.DUMMYFUNCTION("""COMPUTED_VALUE"""),"Jamez. Vibin")</f>
        <v>Jamez. Vibin</v>
      </c>
    </row>
    <row r="5723">
      <c r="A5723" s="41" t="str">
        <f>IFERROR(__xludf.DUMMYFUNCTION("""COMPUTED_VALUE"""),"RSC005741")</f>
        <v>RSC005741</v>
      </c>
      <c r="B5723" s="41" t="str">
        <f>IFERROR(__xludf.DUMMYFUNCTION("""COMPUTED_VALUE"""),"XCL Rin")</f>
        <v>XCL Rin</v>
      </c>
    </row>
    <row r="5724">
      <c r="A5724" s="41" t="str">
        <f>IFERROR(__xludf.DUMMYFUNCTION("""COMPUTED_VALUE"""),"RSC005742")</f>
        <v>RSC005742</v>
      </c>
      <c r="B5724" s="41" t="str">
        <f>IFERROR(__xludf.DUMMYFUNCTION("""COMPUTED_VALUE"""),"Misfitsmedia_")</f>
        <v>Misfitsmedia_</v>
      </c>
    </row>
    <row r="5725">
      <c r="A5725" s="41" t="str">
        <f>IFERROR(__xludf.DUMMYFUNCTION("""COMPUTED_VALUE"""),"RSC005743")</f>
        <v>RSC005743</v>
      </c>
      <c r="B5725" s="41" t="str">
        <f>IFERROR(__xludf.DUMMYFUNCTION("""COMPUTED_VALUE"""),"girds.")</f>
        <v>girds.</v>
      </c>
    </row>
    <row r="5726">
      <c r="A5726" s="41" t="str">
        <f>IFERROR(__xludf.DUMMYFUNCTION("""COMPUTED_VALUE"""),"RSC005744")</f>
        <v>RSC005744</v>
      </c>
      <c r="B5726" s="41" t="str">
        <f>IFERROR(__xludf.DUMMYFUNCTION("""COMPUTED_VALUE"""),"UnhingedPage9")</f>
        <v>UnhingedPage9</v>
      </c>
    </row>
    <row r="5727">
      <c r="A5727" s="41" t="str">
        <f>IFERROR(__xludf.DUMMYFUNCTION("""COMPUTED_VALUE"""),"RSC005745")</f>
        <v>RSC005745</v>
      </c>
      <c r="B5727" s="41" t="str">
        <f>IFERROR(__xludf.DUMMYFUNCTION("""COMPUTED_VALUE"""),"Doaity")</f>
        <v>Doaity</v>
      </c>
    </row>
    <row r="5728">
      <c r="A5728" s="41" t="str">
        <f>IFERROR(__xludf.DUMMYFUNCTION("""COMPUTED_VALUE"""),"RSC005746")</f>
        <v>RSC005746</v>
      </c>
      <c r="B5728" s="41" t="str">
        <f>IFERROR(__xludf.DUMMYFUNCTION("""COMPUTED_VALUE"""),"Stealthy_kid207_")</f>
        <v>Stealthy_kid207_</v>
      </c>
    </row>
    <row r="5729">
      <c r="A5729" s="41" t="str">
        <f>IFERROR(__xludf.DUMMYFUNCTION("""COMPUTED_VALUE"""),"RSC005747")</f>
        <v>RSC005747</v>
      </c>
      <c r="B5729" s="41" t="str">
        <f>IFERROR(__xludf.DUMMYFUNCTION("""COMPUTED_VALUE"""),"TxAggie")</f>
        <v>TxAggie</v>
      </c>
    </row>
    <row r="5730">
      <c r="A5730" s="41" t="str">
        <f>IFERROR(__xludf.DUMMYFUNCTION("""COMPUTED_VALUE"""),"RSC005748")</f>
        <v>RSC005748</v>
      </c>
      <c r="B5730" s="41" t="str">
        <f>IFERROR(__xludf.DUMMYFUNCTION("""COMPUTED_VALUE"""),"WillisSlays")</f>
        <v>WillisSlays</v>
      </c>
    </row>
    <row r="5731">
      <c r="A5731" s="41" t="str">
        <f>IFERROR(__xludf.DUMMYFUNCTION("""COMPUTED_VALUE"""),"RSC005749")</f>
        <v>RSC005749</v>
      </c>
      <c r="B5731" s="41" t="str">
        <f>IFERROR(__xludf.DUMMYFUNCTION("""COMPUTED_VALUE"""),"DrOttoDude")</f>
        <v>DrOttoDude</v>
      </c>
    </row>
    <row r="5732">
      <c r="A5732" s="41" t="str">
        <f>IFERROR(__xludf.DUMMYFUNCTION("""COMPUTED_VALUE"""),"RSC005750")</f>
        <v>RSC005750</v>
      </c>
      <c r="B5732" s="41" t="str">
        <f>IFERROR(__xludf.DUMMYFUNCTION("""COMPUTED_VALUE"""),"FreightTrain75x")</f>
        <v>FreightTrain75x</v>
      </c>
    </row>
    <row r="5733">
      <c r="A5733" s="41" t="str">
        <f>IFERROR(__xludf.DUMMYFUNCTION("""COMPUTED_VALUE"""),"RSC005751")</f>
        <v>RSC005751</v>
      </c>
      <c r="B5733" s="41" t="str">
        <f>IFERROR(__xludf.DUMMYFUNCTION("""COMPUTED_VALUE"""),"Barbie")</f>
        <v>Barbie</v>
      </c>
    </row>
    <row r="5734">
      <c r="A5734" s="41" t="str">
        <f>IFERROR(__xludf.DUMMYFUNCTION("""COMPUTED_VALUE"""),"RSC005752")</f>
        <v>RSC005752</v>
      </c>
      <c r="B5734" s="41" t="str">
        <f>IFERROR(__xludf.DUMMYFUNCTION("""COMPUTED_VALUE"""),"Surge85")</f>
        <v>Surge85</v>
      </c>
    </row>
    <row r="5735">
      <c r="A5735" s="41" t="str">
        <f>IFERROR(__xludf.DUMMYFUNCTION("""COMPUTED_VALUE"""),"RSC005753")</f>
        <v>RSC005753</v>
      </c>
      <c r="B5735" s="41" t="str">
        <f>IFERROR(__xludf.DUMMYFUNCTION("""COMPUTED_VALUE"""),"KovaKLIVE")</f>
        <v>KovaKLIVE</v>
      </c>
    </row>
    <row r="5736">
      <c r="A5736" s="41" t="str">
        <f>IFERROR(__xludf.DUMMYFUNCTION("""COMPUTED_VALUE"""),"RSC005754")</f>
        <v>RSC005754</v>
      </c>
      <c r="B5736" s="41" t="str">
        <f>IFERROR(__xludf.DUMMYFUNCTION("""COMPUTED_VALUE"""),"Monty.")</f>
        <v>Monty.</v>
      </c>
    </row>
    <row r="5737">
      <c r="A5737" s="41" t="str">
        <f>IFERROR(__xludf.DUMMYFUNCTION("""COMPUTED_VALUE"""),"RSC005755")</f>
        <v>RSC005755</v>
      </c>
      <c r="B5737" s="41" t="str">
        <f>IFERROR(__xludf.DUMMYFUNCTION("""COMPUTED_VALUE"""),"Dawn")</f>
        <v>Dawn</v>
      </c>
    </row>
    <row r="5738">
      <c r="A5738" s="41" t="str">
        <f>IFERROR(__xludf.DUMMYFUNCTION("""COMPUTED_VALUE"""),"RSC005756")</f>
        <v>RSC005756</v>
      </c>
      <c r="B5738" s="41" t="str">
        <f>IFERROR(__xludf.DUMMYFUNCTION("""COMPUTED_VALUE"""),"BlackSkunk794")</f>
        <v>BlackSkunk794</v>
      </c>
    </row>
    <row r="5739">
      <c r="A5739" s="41" t="str">
        <f>IFERROR(__xludf.DUMMYFUNCTION("""COMPUTED_VALUE"""),"RSC005757")</f>
        <v>RSC005757</v>
      </c>
      <c r="B5739" s="41" t="str">
        <f>IFERROR(__xludf.DUMMYFUNCTION("""COMPUTED_VALUE"""),"SJT-.")</f>
        <v>SJT-.</v>
      </c>
    </row>
    <row r="5740">
      <c r="A5740" s="41" t="str">
        <f>IFERROR(__xludf.DUMMYFUNCTION("""COMPUTED_VALUE"""),"RSC005758")</f>
        <v>RSC005758</v>
      </c>
      <c r="B5740" s="41" t="str">
        <f>IFERROR(__xludf.DUMMYFUNCTION("""COMPUTED_VALUE"""),"sYNXNZ.")</f>
        <v>sYNXNZ.</v>
      </c>
    </row>
    <row r="5741">
      <c r="A5741" s="41" t="str">
        <f>IFERROR(__xludf.DUMMYFUNCTION("""COMPUTED_VALUE"""),"RSC005759")</f>
        <v>RSC005759</v>
      </c>
      <c r="B5741" s="41" t="str">
        <f>IFERROR(__xludf.DUMMYFUNCTION("""COMPUTED_VALUE"""),"XerNaut")</f>
        <v>XerNaut</v>
      </c>
    </row>
    <row r="5742">
      <c r="A5742" s="41" t="str">
        <f>IFERROR(__xludf.DUMMYFUNCTION("""COMPUTED_VALUE"""),"RSC005760")</f>
        <v>RSC005760</v>
      </c>
      <c r="B5742" s="41" t="str">
        <f>IFERROR(__xludf.DUMMYFUNCTION("""COMPUTED_VALUE"""),"gregy.")</f>
        <v>gregy.</v>
      </c>
    </row>
    <row r="5743">
      <c r="A5743" s="41" t="str">
        <f>IFERROR(__xludf.DUMMYFUNCTION("""COMPUTED_VALUE"""),"RSC005761")</f>
        <v>RSC005761</v>
      </c>
      <c r="B5743" s="41" t="str">
        <f>IFERROR(__xludf.DUMMYFUNCTION("""COMPUTED_VALUE"""),"5/3rds Stupid")</f>
        <v>5/3rds Stupid</v>
      </c>
    </row>
    <row r="5744">
      <c r="A5744" s="41" t="str">
        <f>IFERROR(__xludf.DUMMYFUNCTION("""COMPUTED_VALUE"""),"RSC005762")</f>
        <v>RSC005762</v>
      </c>
      <c r="B5744" s="41" t="str">
        <f>IFERROR(__xludf.DUMMYFUNCTION("""COMPUTED_VALUE"""),"Erniokas")</f>
        <v>Erniokas</v>
      </c>
    </row>
    <row r="5745">
      <c r="A5745" s="41" t="str">
        <f>IFERROR(__xludf.DUMMYFUNCTION("""COMPUTED_VALUE"""),"RSC005763")</f>
        <v>RSC005763</v>
      </c>
      <c r="B5745" s="41" t="str">
        <f>IFERROR(__xludf.DUMMYFUNCTION("""COMPUTED_VALUE"""),"Tufguy")</f>
        <v>Tufguy</v>
      </c>
    </row>
    <row r="5746">
      <c r="A5746" s="41" t="str">
        <f>IFERROR(__xludf.DUMMYFUNCTION("""COMPUTED_VALUE"""),"RSC005764")</f>
        <v>RSC005764</v>
      </c>
      <c r="B5746" s="41" t="str">
        <f>IFERROR(__xludf.DUMMYFUNCTION("""COMPUTED_VALUE"""),"Paydenjb")</f>
        <v>Paydenjb</v>
      </c>
    </row>
    <row r="5747">
      <c r="A5747" s="41" t="str">
        <f>IFERROR(__xludf.DUMMYFUNCTION("""COMPUTED_VALUE"""),"RSC005765")</f>
        <v>RSC005765</v>
      </c>
      <c r="B5747" s="41" t="str">
        <f>IFERROR(__xludf.DUMMYFUNCTION("""COMPUTED_VALUE"""),"LethaL")</f>
        <v>LethaL</v>
      </c>
    </row>
    <row r="5748">
      <c r="A5748" s="41" t="str">
        <f>IFERROR(__xludf.DUMMYFUNCTION("""COMPUTED_VALUE"""),"RSC005766")</f>
        <v>RSC005766</v>
      </c>
      <c r="B5748" s="41" t="str">
        <f>IFERROR(__xludf.DUMMYFUNCTION("""COMPUTED_VALUE"""),"Wrychew")</f>
        <v>Wrychew</v>
      </c>
    </row>
    <row r="5749">
      <c r="A5749" s="41" t="str">
        <f>IFERROR(__xludf.DUMMYFUNCTION("""COMPUTED_VALUE"""),"RSC005767")</f>
        <v>RSC005767</v>
      </c>
      <c r="B5749" s="41" t="str">
        <f>IFERROR(__xludf.DUMMYFUNCTION("""COMPUTED_VALUE"""),"Dómaldr")</f>
        <v>Dómaldr</v>
      </c>
    </row>
    <row r="5750">
      <c r="A5750" s="41" t="str">
        <f>IFERROR(__xludf.DUMMYFUNCTION("""COMPUTED_VALUE"""),"RSC005768")</f>
        <v>RSC005768</v>
      </c>
      <c r="B5750" s="41" t="str">
        <f>IFERROR(__xludf.DUMMYFUNCTION("""COMPUTED_VALUE"""),"Naro")</f>
        <v>Naro</v>
      </c>
    </row>
    <row r="5751">
      <c r="A5751" s="41" t="str">
        <f>IFERROR(__xludf.DUMMYFUNCTION("""COMPUTED_VALUE"""),"RSC005769")</f>
        <v>RSC005769</v>
      </c>
      <c r="B5751" s="41" t="str">
        <f>IFERROR(__xludf.DUMMYFUNCTION("""COMPUTED_VALUE"""),"Taktical.")</f>
        <v>Taktical.</v>
      </c>
    </row>
    <row r="5752">
      <c r="A5752" s="41" t="str">
        <f>IFERROR(__xludf.DUMMYFUNCTION("""COMPUTED_VALUE"""),"RSC005770")</f>
        <v>RSC005770</v>
      </c>
      <c r="B5752" s="41" t="str">
        <f>IFERROR(__xludf.DUMMYFUNCTION("""COMPUTED_VALUE"""),"Aresncrdble")</f>
        <v>Aresncrdble</v>
      </c>
    </row>
    <row r="5753">
      <c r="A5753" s="41" t="str">
        <f>IFERROR(__xludf.DUMMYFUNCTION("""COMPUTED_VALUE"""),"RSC005771")</f>
        <v>RSC005771</v>
      </c>
      <c r="B5753" s="41" t="str">
        <f>IFERROR(__xludf.DUMMYFUNCTION("""COMPUTED_VALUE"""),"SleepyRay")</f>
        <v>SleepyRay</v>
      </c>
    </row>
    <row r="5754">
      <c r="A5754" s="41" t="str">
        <f>IFERROR(__xludf.DUMMYFUNCTION("""COMPUTED_VALUE"""),"RSC005772")</f>
        <v>RSC005772</v>
      </c>
      <c r="B5754" s="41" t="str">
        <f>IFERROR(__xludf.DUMMYFUNCTION("""COMPUTED_VALUE"""),"EndlessBias")</f>
        <v>EndlessBias</v>
      </c>
    </row>
    <row r="5755">
      <c r="A5755" s="41" t="str">
        <f>IFERROR(__xludf.DUMMYFUNCTION("""COMPUTED_VALUE"""),"RSC005773")</f>
        <v>RSC005773</v>
      </c>
      <c r="B5755" s="41" t="str">
        <f>IFERROR(__xludf.DUMMYFUNCTION("""COMPUTED_VALUE"""),"RatMan-5")</f>
        <v>RatMan-5</v>
      </c>
    </row>
    <row r="5756">
      <c r="A5756" s="41" t="str">
        <f>IFERROR(__xludf.DUMMYFUNCTION("""COMPUTED_VALUE"""),"RSC005774")</f>
        <v>RSC005774</v>
      </c>
      <c r="B5756" s="41" t="str">
        <f>IFERROR(__xludf.DUMMYFUNCTION("""COMPUTED_VALUE"""),"PillyKess81")</f>
        <v>PillyKess81</v>
      </c>
    </row>
    <row r="5757">
      <c r="A5757" s="41" t="str">
        <f>IFERROR(__xludf.DUMMYFUNCTION("""COMPUTED_VALUE"""),"RSC005775")</f>
        <v>RSC005775</v>
      </c>
      <c r="B5757" s="41" t="str">
        <f>IFERROR(__xludf.DUMMYFUNCTION("""COMPUTED_VALUE"""),"NeuzilG.-")</f>
        <v>NeuzilG.-</v>
      </c>
    </row>
    <row r="5758">
      <c r="A5758" s="41" t="str">
        <f>IFERROR(__xludf.DUMMYFUNCTION("""COMPUTED_VALUE"""),"RSC005776")</f>
        <v>RSC005776</v>
      </c>
      <c r="B5758" s="41" t="str">
        <f>IFERROR(__xludf.DUMMYFUNCTION("""COMPUTED_VALUE"""),"yuki.")</f>
        <v>yuki.</v>
      </c>
    </row>
    <row r="5759">
      <c r="A5759" s="41" t="str">
        <f>IFERROR(__xludf.DUMMYFUNCTION("""COMPUTED_VALUE"""),"RSC005777")</f>
        <v>RSC005777</v>
      </c>
      <c r="B5759" s="41" t="str">
        <f>IFERROR(__xludf.DUMMYFUNCTION("""COMPUTED_VALUE"""),"Aqua3129")</f>
        <v>Aqua3129</v>
      </c>
    </row>
    <row r="5760">
      <c r="A5760" s="41" t="str">
        <f>IFERROR(__xludf.DUMMYFUNCTION("""COMPUTED_VALUE"""),"RSC005778")</f>
        <v>RSC005778</v>
      </c>
      <c r="B5760" s="41" t="str">
        <f>IFERROR(__xludf.DUMMYFUNCTION("""COMPUTED_VALUE"""),"Kwispay")</f>
        <v>Kwispay</v>
      </c>
    </row>
    <row r="5761">
      <c r="A5761" s="41" t="str">
        <f>IFERROR(__xludf.DUMMYFUNCTION("""COMPUTED_VALUE"""),"RSC005779")</f>
        <v>RSC005779</v>
      </c>
      <c r="B5761" s="41" t="str">
        <f>IFERROR(__xludf.DUMMYFUNCTION("""COMPUTED_VALUE"""),"Nuzlockez")</f>
        <v>Nuzlockez</v>
      </c>
    </row>
    <row r="5762">
      <c r="A5762" s="41" t="str">
        <f>IFERROR(__xludf.DUMMYFUNCTION("""COMPUTED_VALUE"""),"RSC005780")</f>
        <v>RSC005780</v>
      </c>
      <c r="B5762" s="41" t="str">
        <f>IFERROR(__xludf.DUMMYFUNCTION("""COMPUTED_VALUE"""),"BANANAS")</f>
        <v>BANANAS</v>
      </c>
    </row>
    <row r="5763">
      <c r="A5763" s="41" t="str">
        <f>IFERROR(__xludf.DUMMYFUNCTION("""COMPUTED_VALUE"""),"RSC005781")</f>
        <v>RSC005781</v>
      </c>
      <c r="B5763" s="41" t="str">
        <f>IFERROR(__xludf.DUMMYFUNCTION("""COMPUTED_VALUE"""),"turbo.38mm")</f>
        <v>turbo.38mm</v>
      </c>
    </row>
    <row r="5764">
      <c r="A5764" s="41" t="str">
        <f>IFERROR(__xludf.DUMMYFUNCTION("""COMPUTED_VALUE"""),"RSC005782")</f>
        <v>RSC005782</v>
      </c>
      <c r="B5764" s="41" t="str">
        <f>IFERROR(__xludf.DUMMYFUNCTION("""COMPUTED_VALUE"""),"Caleb")</f>
        <v>Caleb</v>
      </c>
    </row>
    <row r="5765">
      <c r="A5765" s="41" t="str">
        <f>IFERROR(__xludf.DUMMYFUNCTION("""COMPUTED_VALUE"""),"RSC005783")</f>
        <v>RSC005783</v>
      </c>
      <c r="B5765" s="41" t="str">
        <f>IFERROR(__xludf.DUMMYFUNCTION("""COMPUTED_VALUE"""),"AbelBarreto")</f>
        <v>AbelBarreto</v>
      </c>
    </row>
    <row r="5766">
      <c r="A5766" s="41" t="str">
        <f>IFERROR(__xludf.DUMMYFUNCTION("""COMPUTED_VALUE"""),"RSC005784")</f>
        <v>RSC005784</v>
      </c>
      <c r="B5766" s="41" t="str">
        <f>IFERROR(__xludf.DUMMYFUNCTION("""COMPUTED_VALUE"""),"vFamouZv-")</f>
        <v>vFamouZv-</v>
      </c>
    </row>
    <row r="5767">
      <c r="A5767" s="41" t="str">
        <f>IFERROR(__xludf.DUMMYFUNCTION("""COMPUTED_VALUE"""),"RSC005785")</f>
        <v>RSC005785</v>
      </c>
      <c r="B5767" s="41" t="str">
        <f>IFERROR(__xludf.DUMMYFUNCTION("""COMPUTED_VALUE"""),"Merc4Hire")</f>
        <v>Merc4Hire</v>
      </c>
    </row>
    <row r="5768">
      <c r="A5768" s="41" t="str">
        <f>IFERROR(__xludf.DUMMYFUNCTION("""COMPUTED_VALUE"""),"RSC005786")</f>
        <v>RSC005786</v>
      </c>
      <c r="B5768" s="41" t="str">
        <f>IFERROR(__xludf.DUMMYFUNCTION("""COMPUTED_VALUE"""),"spricky.")</f>
        <v>spricky.</v>
      </c>
    </row>
    <row r="5769">
      <c r="A5769" s="41" t="str">
        <f>IFERROR(__xludf.DUMMYFUNCTION("""COMPUTED_VALUE"""),"RSC005787")</f>
        <v>RSC005787</v>
      </c>
      <c r="B5769" s="41" t="str">
        <f>IFERROR(__xludf.DUMMYFUNCTION("""COMPUTED_VALUE"""),"King Fury")</f>
        <v>King Fury</v>
      </c>
    </row>
    <row r="5770">
      <c r="A5770" s="41" t="str">
        <f>IFERROR(__xludf.DUMMYFUNCTION("""COMPUTED_VALUE"""),"RSC005788")</f>
        <v>RSC005788</v>
      </c>
      <c r="B5770" s="41" t="str">
        <f>IFERROR(__xludf.DUMMYFUNCTION("""COMPUTED_VALUE"""),"Ec1ipse")</f>
        <v>Ec1ipse</v>
      </c>
    </row>
    <row r="5771">
      <c r="A5771" s="41" t="str">
        <f>IFERROR(__xludf.DUMMYFUNCTION("""COMPUTED_VALUE"""),"RSC005789")</f>
        <v>RSC005789</v>
      </c>
      <c r="B5771" s="41" t="str">
        <f>IFERROR(__xludf.DUMMYFUNCTION("""COMPUTED_VALUE"""),"snm peep")</f>
        <v>snm peep</v>
      </c>
    </row>
    <row r="5772">
      <c r="A5772" s="41" t="str">
        <f>IFERROR(__xludf.DUMMYFUNCTION("""COMPUTED_VALUE"""),"RSC005791")</f>
        <v>RSC005791</v>
      </c>
      <c r="B5772" s="41" t="str">
        <f>IFERROR(__xludf.DUMMYFUNCTION("""COMPUTED_VALUE"""),"Daulton .")</f>
        <v>Daulton .</v>
      </c>
    </row>
    <row r="5773">
      <c r="A5773" s="41" t="str">
        <f>IFERROR(__xludf.DUMMYFUNCTION("""COMPUTED_VALUE"""),"RSC005792")</f>
        <v>RSC005792</v>
      </c>
      <c r="B5773" s="41" t="str">
        <f>IFERROR(__xludf.DUMMYFUNCTION("""COMPUTED_VALUE"""),"Nizzleメ")</f>
        <v>Nizzleメ</v>
      </c>
    </row>
    <row r="5774">
      <c r="A5774" s="41" t="str">
        <f>IFERROR(__xludf.DUMMYFUNCTION("""COMPUTED_VALUE"""),"RSC005793")</f>
        <v>RSC005793</v>
      </c>
      <c r="B5774" s="41" t="str">
        <f>IFERROR(__xludf.DUMMYFUNCTION("""COMPUTED_VALUE"""),"OD Meltt")</f>
        <v>OD Meltt</v>
      </c>
    </row>
    <row r="5775">
      <c r="A5775" s="41" t="str">
        <f>IFERROR(__xludf.DUMMYFUNCTION("""COMPUTED_VALUE"""),"RSC005794")</f>
        <v>RSC005794</v>
      </c>
      <c r="B5775" s="41" t="str">
        <f>IFERROR(__xludf.DUMMYFUNCTION("""COMPUTED_VALUE"""),"Pork")</f>
        <v>Pork</v>
      </c>
    </row>
    <row r="5776">
      <c r="A5776" s="41" t="str">
        <f>IFERROR(__xludf.DUMMYFUNCTION("""COMPUTED_VALUE"""),"RSC005795")</f>
        <v>RSC005795</v>
      </c>
      <c r="B5776" s="41" t="str">
        <f>IFERROR(__xludf.DUMMYFUNCTION("""COMPUTED_VALUE"""),"Ripptyde")</f>
        <v>Ripptyde</v>
      </c>
    </row>
    <row r="5777">
      <c r="A5777" s="41" t="str">
        <f>IFERROR(__xludf.DUMMYFUNCTION("""COMPUTED_VALUE"""),"RSC005796")</f>
        <v>RSC005796</v>
      </c>
      <c r="B5777" s="41" t="str">
        <f>IFERROR(__xludf.DUMMYFUNCTION("""COMPUTED_VALUE"""),"Vicious_Oreo")</f>
        <v>Vicious_Oreo</v>
      </c>
    </row>
    <row r="5778">
      <c r="A5778" s="41" t="str">
        <f>IFERROR(__xludf.DUMMYFUNCTION("""COMPUTED_VALUE"""),"RSC005797")</f>
        <v>RSC005797</v>
      </c>
      <c r="B5778" s="41" t="str">
        <f>IFERROR(__xludf.DUMMYFUNCTION("""COMPUTED_VALUE"""),"Yozu ツ")</f>
        <v>Yozu ツ</v>
      </c>
    </row>
    <row r="5779">
      <c r="A5779" s="41" t="str">
        <f>IFERROR(__xludf.DUMMYFUNCTION("""COMPUTED_VALUE"""),"RSC005798")</f>
        <v>RSC005798</v>
      </c>
      <c r="B5779" s="41" t="str">
        <f>IFERROR(__xludf.DUMMYFUNCTION("""COMPUTED_VALUE"""),"beNgr33dy")</f>
        <v>beNgr33dy</v>
      </c>
    </row>
    <row r="5780">
      <c r="A5780" s="41" t="str">
        <f>IFERROR(__xludf.DUMMYFUNCTION("""COMPUTED_VALUE"""),"RSC005799")</f>
        <v>RSC005799</v>
      </c>
      <c r="B5780" s="41" t="str">
        <f>IFERROR(__xludf.DUMMYFUNCTION("""COMPUTED_VALUE"""),"wohfu")</f>
        <v>wohfu</v>
      </c>
    </row>
    <row r="5781">
      <c r="A5781" s="41" t="str">
        <f>IFERROR(__xludf.DUMMYFUNCTION("""COMPUTED_VALUE"""),"RSC005800")</f>
        <v>RSC005800</v>
      </c>
      <c r="B5781" s="41" t="str">
        <f>IFERROR(__xludf.DUMMYFUNCTION("""COMPUTED_VALUE"""),"HE Ericcc")</f>
        <v>HE Ericcc</v>
      </c>
    </row>
    <row r="5782">
      <c r="A5782" s="41" t="str">
        <f>IFERROR(__xludf.DUMMYFUNCTION("""COMPUTED_VALUE"""),"RSC005801")</f>
        <v>RSC005801</v>
      </c>
      <c r="B5782" s="41" t="str">
        <f>IFERROR(__xludf.DUMMYFUNCTION("""COMPUTED_VALUE"""),"RAMBO")</f>
        <v>RAMBO</v>
      </c>
    </row>
    <row r="5783">
      <c r="A5783" s="41" t="str">
        <f>IFERROR(__xludf.DUMMYFUNCTION("""COMPUTED_VALUE"""),"RSC005802")</f>
        <v>RSC005802</v>
      </c>
      <c r="B5783" s="41" t="str">
        <f>IFERROR(__xludf.DUMMYFUNCTION("""COMPUTED_VALUE"""),"Dothegameing")</f>
        <v>Dothegameing</v>
      </c>
    </row>
    <row r="5784">
      <c r="A5784" s="41" t="str">
        <f>IFERROR(__xludf.DUMMYFUNCTION("""COMPUTED_VALUE"""),"RSC005803")</f>
        <v>RSC005803</v>
      </c>
      <c r="B5784" s="41" t="str">
        <f>IFERROR(__xludf.DUMMYFUNCTION("""COMPUTED_VALUE"""),"azumii.rl")</f>
        <v>azumii.rl</v>
      </c>
    </row>
    <row r="5785">
      <c r="A5785" s="41" t="str">
        <f>IFERROR(__xludf.DUMMYFUNCTION("""COMPUTED_VALUE"""),"RSC005804")</f>
        <v>RSC005804</v>
      </c>
      <c r="B5785" s="41" t="str">
        <f>IFERROR(__xludf.DUMMYFUNCTION("""COMPUTED_VALUE"""),"tokyo_may")</f>
        <v>tokyo_may</v>
      </c>
    </row>
    <row r="5786">
      <c r="A5786" s="41" t="str">
        <f>IFERROR(__xludf.DUMMYFUNCTION("""COMPUTED_VALUE"""),"RSC005805")</f>
        <v>RSC005805</v>
      </c>
      <c r="B5786" s="41" t="str">
        <f>IFERROR(__xludf.DUMMYFUNCTION("""COMPUTED_VALUE"""),"Party x Shark")</f>
        <v>Party x Shark</v>
      </c>
    </row>
    <row r="5787">
      <c r="A5787" s="41" t="str">
        <f>IFERROR(__xludf.DUMMYFUNCTION("""COMPUTED_VALUE"""),"RSC005806")</f>
        <v>RSC005806</v>
      </c>
      <c r="B5787" s="41" t="str">
        <f>IFERROR(__xludf.DUMMYFUNCTION("""COMPUTED_VALUE"""),"Jay.ﾂ")</f>
        <v>Jay.ﾂ</v>
      </c>
    </row>
    <row r="5788">
      <c r="A5788" s="41" t="str">
        <f>IFERROR(__xludf.DUMMYFUNCTION("""COMPUTED_VALUE"""),"RSC005807")</f>
        <v>RSC005807</v>
      </c>
      <c r="B5788" s="41" t="str">
        <f>IFERROR(__xludf.DUMMYFUNCTION("""COMPUTED_VALUE"""),"PeakingPineapple")</f>
        <v>PeakingPineapple</v>
      </c>
    </row>
    <row r="5789">
      <c r="A5789" s="41" t="str">
        <f>IFERROR(__xludf.DUMMYFUNCTION("""COMPUTED_VALUE"""),"RSC005808")</f>
        <v>RSC005808</v>
      </c>
      <c r="B5789" s="41" t="str">
        <f>IFERROR(__xludf.DUMMYFUNCTION("""COMPUTED_VALUE"""),"lejontand")</f>
        <v>lejontand</v>
      </c>
    </row>
    <row r="5790">
      <c r="A5790" s="41" t="str">
        <f>IFERROR(__xludf.DUMMYFUNCTION("""COMPUTED_VALUE"""),"RSC005809")</f>
        <v>RSC005809</v>
      </c>
      <c r="B5790" s="41" t="str">
        <f>IFERROR(__xludf.DUMMYFUNCTION("""COMPUTED_VALUE"""),"ninjaextrem0")</f>
        <v>ninjaextrem0</v>
      </c>
    </row>
    <row r="5791">
      <c r="A5791" s="41" t="str">
        <f>IFERROR(__xludf.DUMMYFUNCTION("""COMPUTED_VALUE"""),"RSC005810")</f>
        <v>RSC005810</v>
      </c>
      <c r="B5791" s="41" t="str">
        <f>IFERROR(__xludf.DUMMYFUNCTION("""COMPUTED_VALUE"""),"Fo Fo Fo")</f>
        <v>Fo Fo Fo</v>
      </c>
    </row>
    <row r="5792">
      <c r="A5792" s="41" t="str">
        <f>IFERROR(__xludf.DUMMYFUNCTION("""COMPUTED_VALUE"""),"RSC005811")</f>
        <v>RSC005811</v>
      </c>
      <c r="B5792" s="41" t="str">
        <f>IFERROR(__xludf.DUMMYFUNCTION("""COMPUTED_VALUE"""),"suitric")</f>
        <v>suitric</v>
      </c>
    </row>
    <row r="5793">
      <c r="A5793" s="41" t="str">
        <f>IFERROR(__xludf.DUMMYFUNCTION("""COMPUTED_VALUE"""),"RSC005812")</f>
        <v>RSC005812</v>
      </c>
      <c r="B5793" s="41" t="str">
        <f>IFERROR(__xludf.DUMMYFUNCTION("""COMPUTED_VALUE"""),"Cyber-07")</f>
        <v>Cyber-07</v>
      </c>
    </row>
    <row r="5794">
      <c r="A5794" s="41" t="str">
        <f>IFERROR(__xludf.DUMMYFUNCTION("""COMPUTED_VALUE"""),"RSC005813")</f>
        <v>RSC005813</v>
      </c>
      <c r="B5794" s="41" t="str">
        <f>IFERROR(__xludf.DUMMYFUNCTION("""COMPUTED_VALUE"""),"Kwiizm")</f>
        <v>Kwiizm</v>
      </c>
    </row>
    <row r="5795">
      <c r="A5795" s="41" t="str">
        <f>IFERROR(__xludf.DUMMYFUNCTION("""COMPUTED_VALUE"""),"RSC005814")</f>
        <v>RSC005814</v>
      </c>
      <c r="B5795" s="41" t="str">
        <f>IFERROR(__xludf.DUMMYFUNCTION("""COMPUTED_VALUE"""),"RedNovaUltimate")</f>
        <v>RedNovaUltimate</v>
      </c>
    </row>
    <row r="5796">
      <c r="A5796" s="41" t="str">
        <f>IFERROR(__xludf.DUMMYFUNCTION("""COMPUTED_VALUE"""),"RSC005815")</f>
        <v>RSC005815</v>
      </c>
      <c r="B5796" s="41" t="str">
        <f>IFERROR(__xludf.DUMMYFUNCTION("""COMPUTED_VALUE"""),"peemanelol")</f>
        <v>peemanelol</v>
      </c>
    </row>
    <row r="5797">
      <c r="A5797" s="41" t="str">
        <f>IFERROR(__xludf.DUMMYFUNCTION("""COMPUTED_VALUE"""),"RSC005816")</f>
        <v>RSC005816</v>
      </c>
      <c r="B5797" s="41" t="str">
        <f>IFERROR(__xludf.DUMMYFUNCTION("""COMPUTED_VALUE"""),"lXploitl")</f>
        <v>lXploitl</v>
      </c>
    </row>
    <row r="5798">
      <c r="A5798" s="41" t="str">
        <f>IFERROR(__xludf.DUMMYFUNCTION("""COMPUTED_VALUE"""),"RSC005817")</f>
        <v>RSC005817</v>
      </c>
      <c r="B5798" s="41" t="str">
        <f>IFERROR(__xludf.DUMMYFUNCTION("""COMPUTED_VALUE"""),"Sparky91207")</f>
        <v>Sparky91207</v>
      </c>
    </row>
    <row r="5799">
      <c r="A5799" s="41" t="str">
        <f>IFERROR(__xludf.DUMMYFUNCTION("""COMPUTED_VALUE"""),"RSC005818")</f>
        <v>RSC005818</v>
      </c>
      <c r="B5799" s="41" t="str">
        <f>IFERROR(__xludf.DUMMYFUNCTION("""COMPUTED_VALUE"""),"Trazie5552")</f>
        <v>Trazie5552</v>
      </c>
    </row>
    <row r="5800">
      <c r="A5800" s="41" t="str">
        <f>IFERROR(__xludf.DUMMYFUNCTION("""COMPUTED_VALUE"""),"RSC005819")</f>
        <v>RSC005819</v>
      </c>
      <c r="B5800" s="41" t="str">
        <f>IFERROR(__xludf.DUMMYFUNCTION("""COMPUTED_VALUE"""),"hxnk-")</f>
        <v>hxnk-</v>
      </c>
    </row>
    <row r="5801">
      <c r="A5801" s="41" t="str">
        <f>IFERROR(__xludf.DUMMYFUNCTION("""COMPUTED_VALUE"""),"RSC005820")</f>
        <v>RSC005820</v>
      </c>
      <c r="B5801" s="41" t="str">
        <f>IFERROR(__xludf.DUMMYFUNCTION("""COMPUTED_VALUE"""),"Zlata")</f>
        <v>Zlata</v>
      </c>
    </row>
    <row r="5802">
      <c r="A5802" s="41" t="str">
        <f>IFERROR(__xludf.DUMMYFUNCTION("""COMPUTED_VALUE"""),"RSC005821")</f>
        <v>RSC005821</v>
      </c>
      <c r="B5802" s="41" t="str">
        <f>IFERROR(__xludf.DUMMYFUNCTION("""COMPUTED_VALUE"""),"Joke.")</f>
        <v>Joke.</v>
      </c>
    </row>
    <row r="5803">
      <c r="A5803" s="41" t="str">
        <f>IFERROR(__xludf.DUMMYFUNCTION("""COMPUTED_VALUE"""),"RSC005822")</f>
        <v>RSC005822</v>
      </c>
      <c r="B5803" s="41" t="str">
        <f>IFERROR(__xludf.DUMMYFUNCTION("""COMPUTED_VALUE"""),"24kDevilishVxbes")</f>
        <v>24kDevilishVxbes</v>
      </c>
    </row>
    <row r="5804">
      <c r="A5804" s="41" t="str">
        <f>IFERROR(__xludf.DUMMYFUNCTION("""COMPUTED_VALUE"""),"RSC005823")</f>
        <v>RSC005823</v>
      </c>
      <c r="B5804" s="41" t="str">
        <f>IFERROR(__xludf.DUMMYFUNCTION("""COMPUTED_VALUE"""),"Big J The Playa")</f>
        <v>Big J The Playa</v>
      </c>
    </row>
    <row r="5805">
      <c r="A5805" s="41" t="str">
        <f>IFERROR(__xludf.DUMMYFUNCTION("""COMPUTED_VALUE"""),"RSC005824")</f>
        <v>RSC005824</v>
      </c>
      <c r="B5805" s="41" t="str">
        <f>IFERROR(__xludf.DUMMYFUNCTION("""COMPUTED_VALUE"""),"Bolts")</f>
        <v>Bolts</v>
      </c>
    </row>
    <row r="5806">
      <c r="A5806" s="41" t="str">
        <f>IFERROR(__xludf.DUMMYFUNCTION("""COMPUTED_VALUE"""),"RSC005825")</f>
        <v>RSC005825</v>
      </c>
      <c r="B5806" s="41" t="str">
        <f>IFERROR(__xludf.DUMMYFUNCTION("""COMPUTED_VALUE"""),"Zingaling")</f>
        <v>Zingaling</v>
      </c>
    </row>
    <row r="5807">
      <c r="A5807" s="41" t="str">
        <f>IFERROR(__xludf.DUMMYFUNCTION("""COMPUTED_VALUE"""),"RSC005826")</f>
        <v>RSC005826</v>
      </c>
      <c r="B5807" s="41" t="str">
        <f>IFERROR(__xludf.DUMMYFUNCTION("""COMPUTED_VALUE"""),"Ekulfx")</f>
        <v>Ekulfx</v>
      </c>
    </row>
    <row r="5808">
      <c r="A5808" s="41" t="str">
        <f>IFERROR(__xludf.DUMMYFUNCTION("""COMPUTED_VALUE"""),"RSC005827")</f>
        <v>RSC005827</v>
      </c>
      <c r="B5808" s="41" t="str">
        <f>IFERROR(__xludf.DUMMYFUNCTION("""COMPUTED_VALUE"""),"Machi")</f>
        <v>Machi</v>
      </c>
    </row>
    <row r="5809">
      <c r="A5809" s="41" t="str">
        <f>IFERROR(__xludf.DUMMYFUNCTION("""COMPUTED_VALUE"""),"RSC005828")</f>
        <v>RSC005828</v>
      </c>
      <c r="B5809" s="41" t="str">
        <f>IFERROR(__xludf.DUMMYFUNCTION("""COMPUTED_VALUE"""),"Creme")</f>
        <v>Creme</v>
      </c>
    </row>
    <row r="5810">
      <c r="A5810" s="41" t="str">
        <f>IFERROR(__xludf.DUMMYFUNCTION("""COMPUTED_VALUE"""),"RSC005829")</f>
        <v>RSC005829</v>
      </c>
      <c r="B5810" s="41" t="str">
        <f>IFERROR(__xludf.DUMMYFUNCTION("""COMPUTED_VALUE"""),"Yz")</f>
        <v>Yz</v>
      </c>
    </row>
    <row r="5811">
      <c r="A5811" s="41" t="str">
        <f>IFERROR(__xludf.DUMMYFUNCTION("""COMPUTED_VALUE"""),"RSC005830")</f>
        <v>RSC005830</v>
      </c>
      <c r="B5811" s="41" t="str">
        <f>IFERROR(__xludf.DUMMYFUNCTION("""COMPUTED_VALUE"""),"JohnBRL")</f>
        <v>JohnBRL</v>
      </c>
    </row>
    <row r="5812">
      <c r="A5812" s="41" t="str">
        <f>IFERROR(__xludf.DUMMYFUNCTION("""COMPUTED_VALUE"""),"RSC005831")</f>
        <v>RSC005831</v>
      </c>
      <c r="B5812" s="41" t="str">
        <f>IFERROR(__xludf.DUMMYFUNCTION("""COMPUTED_VALUE"""),"Bladedraptor")</f>
        <v>Bladedraptor</v>
      </c>
    </row>
    <row r="5813">
      <c r="A5813" s="41" t="str">
        <f>IFERROR(__xludf.DUMMYFUNCTION("""COMPUTED_VALUE"""),"RSC005832")</f>
        <v>RSC005832</v>
      </c>
      <c r="B5813" s="41" t="str">
        <f>IFERROR(__xludf.DUMMYFUNCTION("""COMPUTED_VALUE"""),"TH4NA70S")</f>
        <v>TH4NA70S</v>
      </c>
    </row>
    <row r="5814">
      <c r="A5814" s="41" t="str">
        <f>IFERROR(__xludf.DUMMYFUNCTION("""COMPUTED_VALUE"""),"RSC005833")</f>
        <v>RSC005833</v>
      </c>
      <c r="B5814" s="41" t="str">
        <f>IFERROR(__xludf.DUMMYFUNCTION("""COMPUTED_VALUE"""),"AC3KILL762")</f>
        <v>AC3KILL762</v>
      </c>
    </row>
    <row r="5815">
      <c r="A5815" s="41" t="str">
        <f>IFERROR(__xludf.DUMMYFUNCTION("""COMPUTED_VALUE"""),"RSC005834")</f>
        <v>RSC005834</v>
      </c>
      <c r="B5815" s="41" t="str">
        <f>IFERROR(__xludf.DUMMYFUNCTION("""COMPUTED_VALUE"""),"IIIYummyIII")</f>
        <v>IIIYummyIII</v>
      </c>
    </row>
    <row r="5816">
      <c r="A5816" s="41" t="str">
        <f>IFERROR(__xludf.DUMMYFUNCTION("""COMPUTED_VALUE"""),"RSC005835")</f>
        <v>RSC005835</v>
      </c>
      <c r="B5816" s="41" t="str">
        <f>IFERROR(__xludf.DUMMYFUNCTION("""COMPUTED_VALUE"""),"Kylau")</f>
        <v>Kylau</v>
      </c>
    </row>
    <row r="5817">
      <c r="A5817" s="41" t="str">
        <f>IFERROR(__xludf.DUMMYFUNCTION("""COMPUTED_VALUE"""),"RSC005836")</f>
        <v>RSC005836</v>
      </c>
      <c r="B5817" s="41" t="str">
        <f>IFERROR(__xludf.DUMMYFUNCTION("""COMPUTED_VALUE"""),"Fomay")</f>
        <v>Fomay</v>
      </c>
    </row>
    <row r="5818">
      <c r="A5818" s="41" t="str">
        <f>IFERROR(__xludf.DUMMYFUNCTION("""COMPUTED_VALUE"""),"RSC005837")</f>
        <v>RSC005837</v>
      </c>
      <c r="B5818" s="41" t="str">
        <f>IFERROR(__xludf.DUMMYFUNCTION("""COMPUTED_VALUE"""),"TTVFlynSwan")</f>
        <v>TTVFlynSwan</v>
      </c>
    </row>
    <row r="5819">
      <c r="A5819" s="41" t="str">
        <f>IFERROR(__xludf.DUMMYFUNCTION("""COMPUTED_VALUE"""),"RSC005838")</f>
        <v>RSC005838</v>
      </c>
      <c r="B5819" s="41" t="str">
        <f>IFERROR(__xludf.DUMMYFUNCTION("""COMPUTED_VALUE"""),"zaypeg")</f>
        <v>zaypeg</v>
      </c>
    </row>
    <row r="5820">
      <c r="A5820" s="41" t="str">
        <f>IFERROR(__xludf.DUMMYFUNCTION("""COMPUTED_VALUE"""),"RSC005839")</f>
        <v>RSC005839</v>
      </c>
      <c r="B5820" s="41" t="str">
        <f>IFERROR(__xludf.DUMMYFUNCTION("""COMPUTED_VALUE"""),"J2xExtra")</f>
        <v>J2xExtra</v>
      </c>
    </row>
    <row r="5821">
      <c r="A5821" s="41" t="str">
        <f>IFERROR(__xludf.DUMMYFUNCTION("""COMPUTED_VALUE"""),"RSC005840")</f>
        <v>RSC005840</v>
      </c>
      <c r="B5821" s="41" t="str">
        <f>IFERROR(__xludf.DUMMYFUNCTION("""COMPUTED_VALUE"""),"elH-E-X")</f>
        <v>elH-E-X</v>
      </c>
    </row>
    <row r="5822">
      <c r="A5822" s="41" t="str">
        <f>IFERROR(__xludf.DUMMYFUNCTION("""COMPUTED_VALUE"""),"RSC005841")</f>
        <v>RSC005841</v>
      </c>
      <c r="B5822" s="41" t="str">
        <f>IFERROR(__xludf.DUMMYFUNCTION("""COMPUTED_VALUE"""),"Kpfootball")</f>
        <v>Kpfootball</v>
      </c>
    </row>
    <row r="5823">
      <c r="A5823" s="41" t="str">
        <f>IFERROR(__xludf.DUMMYFUNCTION("""COMPUTED_VALUE"""),"RSC005842")</f>
        <v>RSC005842</v>
      </c>
      <c r="B5823" s="41" t="str">
        <f>IFERROR(__xludf.DUMMYFUNCTION("""COMPUTED_VALUE"""),"BloopYaki")</f>
        <v>BloopYaki</v>
      </c>
    </row>
    <row r="5824">
      <c r="A5824" s="41" t="str">
        <f>IFERROR(__xludf.DUMMYFUNCTION("""COMPUTED_VALUE"""),"RSC005843")</f>
        <v>RSC005843</v>
      </c>
      <c r="B5824" s="41" t="str">
        <f>IFERROR(__xludf.DUMMYFUNCTION("""COMPUTED_VALUE"""),"B1scuit_Murder")</f>
        <v>B1scuit_Murder</v>
      </c>
    </row>
    <row r="5825">
      <c r="A5825" s="41" t="str">
        <f>IFERROR(__xludf.DUMMYFUNCTION("""COMPUTED_VALUE"""),"RSC005844")</f>
        <v>RSC005844</v>
      </c>
      <c r="B5825" s="41" t="str">
        <f>IFERROR(__xludf.DUMMYFUNCTION("""COMPUTED_VALUE"""),"xr.")</f>
        <v>xr.</v>
      </c>
    </row>
    <row r="5826">
      <c r="A5826" s="41" t="str">
        <f>IFERROR(__xludf.DUMMYFUNCTION("""COMPUTED_VALUE"""),"RSC005845")</f>
        <v>RSC005845</v>
      </c>
      <c r="B5826" s="41" t="str">
        <f>IFERROR(__xludf.DUMMYFUNCTION("""COMPUTED_VALUE"""),"Milk_shakes.")</f>
        <v>Milk_shakes.</v>
      </c>
    </row>
    <row r="5827">
      <c r="A5827" s="41" t="str">
        <f>IFERROR(__xludf.DUMMYFUNCTION("""COMPUTED_VALUE"""),"RSC005846")</f>
        <v>RSC005846</v>
      </c>
      <c r="B5827" s="41" t="str">
        <f>IFERROR(__xludf.DUMMYFUNCTION("""COMPUTED_VALUE"""),"Aezriel.")</f>
        <v>Aezriel.</v>
      </c>
    </row>
    <row r="5828">
      <c r="A5828" s="41" t="str">
        <f>IFERROR(__xludf.DUMMYFUNCTION("""COMPUTED_VALUE"""),"RSC005847")</f>
        <v>RSC005847</v>
      </c>
      <c r="B5828" s="41" t="str">
        <f>IFERROR(__xludf.DUMMYFUNCTION("""COMPUTED_VALUE"""),"Agua.")</f>
        <v>Agua.</v>
      </c>
    </row>
    <row r="5829">
      <c r="A5829" s="41" t="str">
        <f>IFERROR(__xludf.DUMMYFUNCTION("""COMPUTED_VALUE"""),"RSC005848")</f>
        <v>RSC005848</v>
      </c>
      <c r="B5829" s="41" t="str">
        <f>IFERROR(__xludf.DUMMYFUNCTION("""COMPUTED_VALUE"""),"Turbo.")</f>
        <v>Turbo.</v>
      </c>
    </row>
    <row r="5830">
      <c r="A5830" s="41" t="str">
        <f>IFERROR(__xludf.DUMMYFUNCTION("""COMPUTED_VALUE"""),"RSC005849")</f>
        <v>RSC005849</v>
      </c>
      <c r="B5830" s="41" t="str">
        <f>IFERROR(__xludf.DUMMYFUNCTION("""COMPUTED_VALUE"""),"JMac HD")</f>
        <v>JMac HD</v>
      </c>
    </row>
    <row r="5831">
      <c r="A5831" s="41" t="str">
        <f>IFERROR(__xludf.DUMMYFUNCTION("""COMPUTED_VALUE"""),"RSC005850")</f>
        <v>RSC005850</v>
      </c>
      <c r="B5831" s="41" t="str">
        <f>IFERROR(__xludf.DUMMYFUNCTION("""COMPUTED_VALUE"""),"Kiwisterr")</f>
        <v>Kiwisterr</v>
      </c>
    </row>
    <row r="5832">
      <c r="A5832" s="41" t="str">
        <f>IFERROR(__xludf.DUMMYFUNCTION("""COMPUTED_VALUE"""),"RSC005851")</f>
        <v>RSC005851</v>
      </c>
      <c r="B5832" s="41" t="str">
        <f>IFERROR(__xludf.DUMMYFUNCTION("""COMPUTED_VALUE"""),"IKlutch all in TTV (LIVE)")</f>
        <v>IKlutch all in TTV (LIVE)</v>
      </c>
    </row>
    <row r="5833">
      <c r="A5833" s="41" t="str">
        <f>IFERROR(__xludf.DUMMYFUNCTION("""COMPUTED_VALUE"""),"RSC005852")</f>
        <v>RSC005852</v>
      </c>
      <c r="B5833" s="41" t="str">
        <f>IFERROR(__xludf.DUMMYFUNCTION("""COMPUTED_VALUE"""),"Knipster")</f>
        <v>Knipster</v>
      </c>
    </row>
    <row r="5834">
      <c r="A5834" s="41" t="str">
        <f>IFERROR(__xludf.DUMMYFUNCTION("""COMPUTED_VALUE"""),"RSC005853")</f>
        <v>RSC005853</v>
      </c>
      <c r="B5834" s="41" t="str">
        <f>IFERROR(__xludf.DUMMYFUNCTION("""COMPUTED_VALUE"""),"Twitch Xolty")</f>
        <v>Twitch Xolty</v>
      </c>
    </row>
    <row r="5835">
      <c r="A5835" s="41" t="str">
        <f>IFERROR(__xludf.DUMMYFUNCTION("""COMPUTED_VALUE"""),"RSC005854")</f>
        <v>RSC005854</v>
      </c>
      <c r="B5835" s="41" t="str">
        <f>IFERROR(__xludf.DUMMYFUNCTION("""COMPUTED_VALUE"""),"WillKie.")</f>
        <v>WillKie.</v>
      </c>
    </row>
    <row r="5836">
      <c r="A5836" s="41" t="str">
        <f>IFERROR(__xludf.DUMMYFUNCTION("""COMPUTED_VALUE"""),"RSC005855")</f>
        <v>RSC005855</v>
      </c>
      <c r="B5836" s="41" t="str">
        <f>IFERROR(__xludf.DUMMYFUNCTION("""COMPUTED_VALUE"""),"King habaroo")</f>
        <v>King habaroo</v>
      </c>
    </row>
    <row r="5837">
      <c r="A5837" s="41" t="str">
        <f>IFERROR(__xludf.DUMMYFUNCTION("""COMPUTED_VALUE"""),"RSC005856")</f>
        <v>RSC005856</v>
      </c>
      <c r="B5837" s="41" t="str">
        <f>IFERROR(__xludf.DUMMYFUNCTION("""COMPUTED_VALUE"""),"LTGbigbills")</f>
        <v>LTGbigbills</v>
      </c>
    </row>
    <row r="5838">
      <c r="A5838" s="41" t="str">
        <f>IFERROR(__xludf.DUMMYFUNCTION("""COMPUTED_VALUE"""),"RSC005857")</f>
        <v>RSC005857</v>
      </c>
      <c r="B5838" s="41" t="str">
        <f>IFERROR(__xludf.DUMMYFUNCTION("""COMPUTED_VALUE"""),"omenxlll")</f>
        <v>omenxlll</v>
      </c>
    </row>
    <row r="5839">
      <c r="A5839" s="41" t="str">
        <f>IFERROR(__xludf.DUMMYFUNCTION("""COMPUTED_VALUE"""),"RSC005858")</f>
        <v>RSC005858</v>
      </c>
      <c r="B5839" s="41" t="str">
        <f>IFERROR(__xludf.DUMMYFUNCTION("""COMPUTED_VALUE"""),"Markster")</f>
        <v>Markster</v>
      </c>
    </row>
    <row r="5840">
      <c r="A5840" s="41" t="str">
        <f>IFERROR(__xludf.DUMMYFUNCTION("""COMPUTED_VALUE"""),"RSC005859")</f>
        <v>RSC005859</v>
      </c>
      <c r="B5840" s="41" t="str">
        <f>IFERROR(__xludf.DUMMYFUNCTION("""COMPUTED_VALUE"""),"LedTasso")</f>
        <v>LedTasso</v>
      </c>
    </row>
    <row r="5841">
      <c r="A5841" s="41" t="str">
        <f>IFERROR(__xludf.DUMMYFUNCTION("""COMPUTED_VALUE"""),"RSC005860")</f>
        <v>RSC005860</v>
      </c>
      <c r="B5841" s="41" t="str">
        <f>IFERROR(__xludf.DUMMYFUNCTION("""COMPUTED_VALUE"""),"rmanzgbp")</f>
        <v>rmanzgbp</v>
      </c>
    </row>
    <row r="5842">
      <c r="A5842" s="41" t="str">
        <f>IFERROR(__xludf.DUMMYFUNCTION("""COMPUTED_VALUE"""),"RSC005861")</f>
        <v>RSC005861</v>
      </c>
      <c r="B5842" s="41" t="str">
        <f>IFERROR(__xludf.DUMMYFUNCTION("""COMPUTED_VALUE"""),"Frizz")</f>
        <v>Frizz</v>
      </c>
    </row>
    <row r="5843">
      <c r="A5843" s="41" t="str">
        <f>IFERROR(__xludf.DUMMYFUNCTION("""COMPUTED_VALUE"""),"RSC005862")</f>
        <v>RSC005862</v>
      </c>
      <c r="B5843" s="41" t="str">
        <f>IFERROR(__xludf.DUMMYFUNCTION("""COMPUTED_VALUE"""),"iHydro")</f>
        <v>iHydro</v>
      </c>
    </row>
    <row r="5844">
      <c r="A5844" s="41" t="str">
        <f>IFERROR(__xludf.DUMMYFUNCTION("""COMPUTED_VALUE"""),"RSC005863")</f>
        <v>RSC005863</v>
      </c>
      <c r="B5844" s="41" t="str">
        <f>IFERROR(__xludf.DUMMYFUNCTION("""COMPUTED_VALUE"""),"G_Ice11")</f>
        <v>G_Ice11</v>
      </c>
    </row>
    <row r="5845">
      <c r="A5845" s="41" t="str">
        <f>IFERROR(__xludf.DUMMYFUNCTION("""COMPUTED_VALUE"""),"RSC005864")</f>
        <v>RSC005864</v>
      </c>
      <c r="B5845" s="41" t="str">
        <f>IFERROR(__xludf.DUMMYFUNCTION("""COMPUTED_VALUE"""),"Prosperity2K")</f>
        <v>Prosperity2K</v>
      </c>
    </row>
    <row r="5846">
      <c r="A5846" s="41" t="str">
        <f>IFERROR(__xludf.DUMMYFUNCTION("""COMPUTED_VALUE"""),"RSC005865")</f>
        <v>RSC005865</v>
      </c>
      <c r="B5846" s="41" t="str">
        <f>IFERROR(__xludf.DUMMYFUNCTION("""COMPUTED_VALUE"""),"Rez")</f>
        <v>Rez</v>
      </c>
    </row>
    <row r="5847">
      <c r="A5847" s="41" t="str">
        <f>IFERROR(__xludf.DUMMYFUNCTION("""COMPUTED_VALUE"""),"RSC005866")</f>
        <v>RSC005866</v>
      </c>
      <c r="B5847" s="41" t="str">
        <f>IFERROR(__xludf.DUMMYFUNCTION("""COMPUTED_VALUE"""),"JameszRL")</f>
        <v>JameszRL</v>
      </c>
    </row>
    <row r="5848">
      <c r="A5848" s="41" t="str">
        <f>IFERROR(__xludf.DUMMYFUNCTION("""COMPUTED_VALUE"""),"RSC005867")</f>
        <v>RSC005867</v>
      </c>
      <c r="B5848" s="41" t="str">
        <f>IFERROR(__xludf.DUMMYFUNCTION("""COMPUTED_VALUE"""),"squashy-gram7")</f>
        <v>squashy-gram7</v>
      </c>
    </row>
    <row r="5849">
      <c r="A5849" s="41" t="str">
        <f>IFERROR(__xludf.DUMMYFUNCTION("""COMPUTED_VALUE"""),"RSC005868")</f>
        <v>RSC005868</v>
      </c>
      <c r="B5849" s="41" t="str">
        <f>IFERROR(__xludf.DUMMYFUNCTION("""COMPUTED_VALUE"""),"Drips_RL")</f>
        <v>Drips_RL</v>
      </c>
    </row>
    <row r="5850">
      <c r="A5850" s="41" t="str">
        <f>IFERROR(__xludf.DUMMYFUNCTION("""COMPUTED_VALUE"""),"RSC005869")</f>
        <v>RSC005869</v>
      </c>
      <c r="B5850" s="41" t="str">
        <f>IFERROR(__xludf.DUMMYFUNCTION("""COMPUTED_VALUE"""),"eazyhobbs")</f>
        <v>eazyhobbs</v>
      </c>
    </row>
    <row r="5851">
      <c r="A5851" s="41" t="str">
        <f>IFERROR(__xludf.DUMMYFUNCTION("""COMPUTED_VALUE"""),"RSC005870")</f>
        <v>RSC005870</v>
      </c>
      <c r="B5851" s="41" t="str">
        <f>IFERROR(__xludf.DUMMYFUNCTION("""COMPUTED_VALUE"""),"Evil twin")</f>
        <v>Evil twin</v>
      </c>
    </row>
    <row r="5852">
      <c r="A5852" s="41" t="str">
        <f>IFERROR(__xludf.DUMMYFUNCTION("""COMPUTED_VALUE"""),"RSC005871")</f>
        <v>RSC005871</v>
      </c>
      <c r="B5852" s="41" t="str">
        <f>IFERROR(__xludf.DUMMYFUNCTION("""COMPUTED_VALUE"""),"sebbastiian2")</f>
        <v>sebbastiian2</v>
      </c>
    </row>
    <row r="5853">
      <c r="A5853" s="41" t="str">
        <f>IFERROR(__xludf.DUMMYFUNCTION("""COMPUTED_VALUE"""),"RSC005872")</f>
        <v>RSC005872</v>
      </c>
      <c r="B5853" s="41" t="str">
        <f>IFERROR(__xludf.DUMMYFUNCTION("""COMPUTED_VALUE"""),"Ditto")</f>
        <v>Ditto</v>
      </c>
    </row>
    <row r="5854">
      <c r="A5854" s="41" t="str">
        <f>IFERROR(__xludf.DUMMYFUNCTION("""COMPUTED_VALUE"""),"RSC005873")</f>
        <v>RSC005873</v>
      </c>
      <c r="B5854" s="41" t="str">
        <f>IFERROR(__xludf.DUMMYFUNCTION("""COMPUTED_VALUE"""),"Gama The Dwarf")</f>
        <v>Gama The Dwarf</v>
      </c>
    </row>
    <row r="5855">
      <c r="A5855" s="41" t="str">
        <f>IFERROR(__xludf.DUMMYFUNCTION("""COMPUTED_VALUE"""),"RSC005874")</f>
        <v>RSC005874</v>
      </c>
      <c r="B5855" s="41" t="str">
        <f>IFERROR(__xludf.DUMMYFUNCTION("""COMPUTED_VALUE"""),"Abobedobe")</f>
        <v>Abobedobe</v>
      </c>
    </row>
    <row r="5856">
      <c r="A5856" s="41" t="str">
        <f>IFERROR(__xludf.DUMMYFUNCTION("""COMPUTED_VALUE"""),"RSC005875")</f>
        <v>RSC005875</v>
      </c>
      <c r="B5856" s="41" t="str">
        <f>IFERROR(__xludf.DUMMYFUNCTION("""COMPUTED_VALUE"""),"SAN x Finesse")</f>
        <v>SAN x Finesse</v>
      </c>
    </row>
    <row r="5857">
      <c r="A5857" s="41" t="str">
        <f>IFERROR(__xludf.DUMMYFUNCTION("""COMPUTED_VALUE"""),"RSC005876")</f>
        <v>RSC005876</v>
      </c>
      <c r="B5857" s="41" t="str">
        <f>IFERROR(__xludf.DUMMYFUNCTION("""COMPUTED_VALUE"""),"SkyLin3")</f>
        <v>SkyLin3</v>
      </c>
    </row>
    <row r="5858">
      <c r="A5858" s="41" t="str">
        <f>IFERROR(__xludf.DUMMYFUNCTION("""COMPUTED_VALUE"""),"RSC005877")</f>
        <v>RSC005877</v>
      </c>
      <c r="B5858" s="41" t="str">
        <f>IFERROR(__xludf.DUMMYFUNCTION("""COMPUTED_VALUE"""),"DeathMuffins_03")</f>
        <v>DeathMuffins_03</v>
      </c>
    </row>
    <row r="5859">
      <c r="A5859" s="41" t="str">
        <f>IFERROR(__xludf.DUMMYFUNCTION("""COMPUTED_VALUE"""),"RSC005878")</f>
        <v>RSC005878</v>
      </c>
      <c r="B5859" s="41" t="str">
        <f>IFERROR(__xludf.DUMMYFUNCTION("""COMPUTED_VALUE"""),"Light")</f>
        <v>Light</v>
      </c>
    </row>
    <row r="5860">
      <c r="A5860" s="41" t="str">
        <f>IFERROR(__xludf.DUMMYFUNCTION("""COMPUTED_VALUE"""),"RSC005879")</f>
        <v>RSC005879</v>
      </c>
      <c r="B5860" s="41" t="str">
        <f>IFERROR(__xludf.DUMMYFUNCTION("""COMPUTED_VALUE"""),"shortbutsexy")</f>
        <v>shortbutsexy</v>
      </c>
    </row>
    <row r="5861">
      <c r="A5861" s="41" t="str">
        <f>IFERROR(__xludf.DUMMYFUNCTION("""COMPUTED_VALUE"""),"RSC005880")</f>
        <v>RSC005880</v>
      </c>
      <c r="B5861" s="41" t="str">
        <f>IFERROR(__xludf.DUMMYFUNCTION("""COMPUTED_VALUE"""),"TOXICfeeds")</f>
        <v>TOXICfeeds</v>
      </c>
    </row>
    <row r="5862">
      <c r="A5862" s="41" t="str">
        <f>IFERROR(__xludf.DUMMYFUNCTION("""COMPUTED_VALUE"""),"RSC005881")</f>
        <v>RSC005881</v>
      </c>
      <c r="B5862" s="41" t="str">
        <f>IFERROR(__xludf.DUMMYFUNCTION("""COMPUTED_VALUE"""),"Jay-Dea")</f>
        <v>Jay-Dea</v>
      </c>
    </row>
    <row r="5863">
      <c r="A5863" s="41" t="str">
        <f>IFERROR(__xludf.DUMMYFUNCTION("""COMPUTED_VALUE"""),"RSC005882")</f>
        <v>RSC005882</v>
      </c>
      <c r="B5863" s="41" t="str">
        <f>IFERROR(__xludf.DUMMYFUNCTION("""COMPUTED_VALUE"""),"Gelo")</f>
        <v>Gelo</v>
      </c>
    </row>
    <row r="5864">
      <c r="A5864" s="41" t="str">
        <f>IFERROR(__xludf.DUMMYFUNCTION("""COMPUTED_VALUE"""),"RSC005883")</f>
        <v>RSC005883</v>
      </c>
      <c r="B5864" s="41" t="str">
        <f>IFERROR(__xludf.DUMMYFUNCTION("""COMPUTED_VALUE"""),"sipppin")</f>
        <v>sipppin</v>
      </c>
    </row>
    <row r="5865">
      <c r="A5865" s="41" t="str">
        <f>IFERROR(__xludf.DUMMYFUNCTION("""COMPUTED_VALUE"""),"RSC005884")</f>
        <v>RSC005884</v>
      </c>
      <c r="B5865" s="41" t="str">
        <f>IFERROR(__xludf.DUMMYFUNCTION("""COMPUTED_VALUE"""),"Zachthebull36")</f>
        <v>Zachthebull36</v>
      </c>
    </row>
    <row r="5866">
      <c r="A5866" s="41" t="str">
        <f>IFERROR(__xludf.DUMMYFUNCTION("""COMPUTED_VALUE"""),"RSC005885")</f>
        <v>RSC005885</v>
      </c>
      <c r="B5866" s="41" t="str">
        <f>IFERROR(__xludf.DUMMYFUNCTION("""COMPUTED_VALUE"""),"noot")</f>
        <v>noot</v>
      </c>
    </row>
    <row r="5867">
      <c r="A5867" s="41" t="str">
        <f>IFERROR(__xludf.DUMMYFUNCTION("""COMPUTED_VALUE"""),"RSC005886")</f>
        <v>RSC005886</v>
      </c>
      <c r="B5867" s="41" t="str">
        <f>IFERROR(__xludf.DUMMYFUNCTION("""COMPUTED_VALUE"""),"Ncake17")</f>
        <v>Ncake17</v>
      </c>
    </row>
    <row r="5868">
      <c r="A5868" s="41" t="str">
        <f>IFERROR(__xludf.DUMMYFUNCTION("""COMPUTED_VALUE"""),"RSC005887")</f>
        <v>RSC005887</v>
      </c>
      <c r="B5868" s="41" t="str">
        <f>IFERROR(__xludf.DUMMYFUNCTION("""COMPUTED_VALUE"""),"DaTr1ckz101")</f>
        <v>DaTr1ckz101</v>
      </c>
    </row>
    <row r="5869">
      <c r="A5869" s="41" t="str">
        <f>IFERROR(__xludf.DUMMYFUNCTION("""COMPUTED_VALUE"""),"RSC005888")</f>
        <v>RSC005888</v>
      </c>
      <c r="B5869" s="41" t="str">
        <f>IFERROR(__xludf.DUMMYFUNCTION("""COMPUTED_VALUE"""),"Tork612")</f>
        <v>Tork612</v>
      </c>
    </row>
    <row r="5870">
      <c r="A5870" s="41" t="str">
        <f>IFERROR(__xludf.DUMMYFUNCTION("""COMPUTED_VALUE"""),"RSC005889")</f>
        <v>RSC005889</v>
      </c>
      <c r="B5870" s="41" t="str">
        <f>IFERROR(__xludf.DUMMYFUNCTION("""COMPUTED_VALUE"""),"ZeaNo")</f>
        <v>ZeaNo</v>
      </c>
    </row>
    <row r="5871">
      <c r="A5871" s="41" t="str">
        <f>IFERROR(__xludf.DUMMYFUNCTION("""COMPUTED_VALUE"""),"RSC005890")</f>
        <v>RSC005890</v>
      </c>
      <c r="B5871" s="41" t="str">
        <f>IFERROR(__xludf.DUMMYFUNCTION("""COMPUTED_VALUE"""),"newly ツ")</f>
        <v>newly ツ</v>
      </c>
    </row>
    <row r="5872">
      <c r="A5872" s="41" t="str">
        <f>IFERROR(__xludf.DUMMYFUNCTION("""COMPUTED_VALUE"""),"RSC005891")</f>
        <v>RSC005891</v>
      </c>
      <c r="B5872" s="41" t="str">
        <f>IFERROR(__xludf.DUMMYFUNCTION("""COMPUTED_VALUE"""),"Fiddle4")</f>
        <v>Fiddle4</v>
      </c>
    </row>
    <row r="5873">
      <c r="A5873" s="41" t="str">
        <f>IFERROR(__xludf.DUMMYFUNCTION("""COMPUTED_VALUE"""),"RSC005892")</f>
        <v>RSC005892</v>
      </c>
      <c r="B5873" s="41" t="str">
        <f>IFERROR(__xludf.DUMMYFUNCTION("""COMPUTED_VALUE"""),"Quaza GS")</f>
        <v>Quaza GS</v>
      </c>
    </row>
    <row r="5874">
      <c r="A5874" s="41" t="str">
        <f>IFERROR(__xludf.DUMMYFUNCTION("""COMPUTED_VALUE"""),"RSC005893")</f>
        <v>RSC005893</v>
      </c>
      <c r="B5874" s="41" t="str">
        <f>IFERROR(__xludf.DUMMYFUNCTION("""COMPUTED_VALUE"""),"InZaneOP")</f>
        <v>InZaneOP</v>
      </c>
    </row>
    <row r="5875">
      <c r="A5875" s="41" t="str">
        <f>IFERROR(__xludf.DUMMYFUNCTION("""COMPUTED_VALUE"""),"RSC005894")</f>
        <v>RSC005894</v>
      </c>
      <c r="B5875" s="41" t="str">
        <f>IFERROR(__xludf.DUMMYFUNCTION("""COMPUTED_VALUE"""),"Trey11x3")</f>
        <v>Trey11x3</v>
      </c>
    </row>
    <row r="5876">
      <c r="A5876" s="41" t="str">
        <f>IFERROR(__xludf.DUMMYFUNCTION("""COMPUTED_VALUE"""),"RSC005895")</f>
        <v>RSC005895</v>
      </c>
      <c r="B5876" s="41" t="str">
        <f>IFERROR(__xludf.DUMMYFUNCTION("""COMPUTED_VALUE"""),"CJayyRL")</f>
        <v>CJayyRL</v>
      </c>
    </row>
    <row r="5877">
      <c r="A5877" s="41" t="str">
        <f>IFERROR(__xludf.DUMMYFUNCTION("""COMPUTED_VALUE"""),"RSC005896")</f>
        <v>RSC005896</v>
      </c>
      <c r="B5877" s="41" t="str">
        <f>IFERROR(__xludf.DUMMYFUNCTION("""COMPUTED_VALUE"""),"ChieferGod")</f>
        <v>ChieferGod</v>
      </c>
    </row>
    <row r="5878">
      <c r="A5878" s="41" t="str">
        <f>IFERROR(__xludf.DUMMYFUNCTION("""COMPUTED_VALUE"""),"RSC005897")</f>
        <v>RSC005897</v>
      </c>
      <c r="B5878" s="41" t="str">
        <f>IFERROR(__xludf.DUMMYFUNCTION("""COMPUTED_VALUE"""),"Cloudzz57")</f>
        <v>Cloudzz57</v>
      </c>
    </row>
    <row r="5879">
      <c r="A5879" s="41" t="str">
        <f>IFERROR(__xludf.DUMMYFUNCTION("""COMPUTED_VALUE"""),"RSC005898")</f>
        <v>RSC005898</v>
      </c>
      <c r="B5879" s="41" t="str">
        <f>IFERROR(__xludf.DUMMYFUNCTION("""COMPUTED_VALUE"""),"stove")</f>
        <v>stove</v>
      </c>
    </row>
    <row r="5880">
      <c r="A5880" s="41" t="str">
        <f>IFERROR(__xludf.DUMMYFUNCTION("""COMPUTED_VALUE"""),"RSC005899")</f>
        <v>RSC005899</v>
      </c>
      <c r="B5880" s="41" t="str">
        <f>IFERROR(__xludf.DUMMYFUNCTION("""COMPUTED_VALUE"""),"DJDancingDuckGif")</f>
        <v>DJDancingDuckGif</v>
      </c>
    </row>
    <row r="5881">
      <c r="A5881" s="41" t="str">
        <f>IFERROR(__xludf.DUMMYFUNCTION("""COMPUTED_VALUE"""),"RSC005900")</f>
        <v>RSC005900</v>
      </c>
      <c r="B5881" s="41" t="str">
        <f>IFERROR(__xludf.DUMMYFUNCTION("""COMPUTED_VALUE"""),"Withheldline7")</f>
        <v>Withheldline7</v>
      </c>
    </row>
    <row r="5882">
      <c r="A5882" s="41" t="str">
        <f>IFERROR(__xludf.DUMMYFUNCTION("""COMPUTED_VALUE"""),"RSC005901")</f>
        <v>RSC005901</v>
      </c>
      <c r="B5882" s="41" t="str">
        <f>IFERROR(__xludf.DUMMYFUNCTION("""COMPUTED_VALUE"""),"thatoneguyvoid")</f>
        <v>thatoneguyvoid</v>
      </c>
    </row>
    <row r="5883">
      <c r="A5883" s="41" t="str">
        <f>IFERROR(__xludf.DUMMYFUNCTION("""COMPUTED_VALUE"""),"RSC005902")</f>
        <v>RSC005902</v>
      </c>
      <c r="B5883" s="41" t="str">
        <f>IFERROR(__xludf.DUMMYFUNCTION("""COMPUTED_VALUE"""),"Monarch Teio")</f>
        <v>Monarch Teio</v>
      </c>
    </row>
    <row r="5884">
      <c r="A5884" s="41" t="str">
        <f>IFERROR(__xludf.DUMMYFUNCTION("""COMPUTED_VALUE"""),"RSC005903")</f>
        <v>RSC005903</v>
      </c>
      <c r="B5884" s="41" t="str">
        <f>IFERROR(__xludf.DUMMYFUNCTION("""COMPUTED_VALUE"""),"Qwn")</f>
        <v>Qwn</v>
      </c>
    </row>
    <row r="5885">
      <c r="A5885" s="41" t="str">
        <f>IFERROR(__xludf.DUMMYFUNCTION("""COMPUTED_VALUE"""),"RSC005904")</f>
        <v>RSC005904</v>
      </c>
      <c r="B5885" s="41" t="str">
        <f>IFERROR(__xludf.DUMMYFUNCTION("""COMPUTED_VALUE"""),"Razorclad")</f>
        <v>Razorclad</v>
      </c>
    </row>
    <row r="5886">
      <c r="A5886" s="41" t="str">
        <f>IFERROR(__xludf.DUMMYFUNCTION("""COMPUTED_VALUE"""),"RSC005905")</f>
        <v>RSC005905</v>
      </c>
      <c r="B5886" s="41" t="str">
        <f>IFERROR(__xludf.DUMMYFUNCTION("""COMPUTED_VALUE"""),"jo4206 9")</f>
        <v>jo4206 9</v>
      </c>
    </row>
    <row r="5887">
      <c r="A5887" s="41" t="str">
        <f>IFERROR(__xludf.DUMMYFUNCTION("""COMPUTED_VALUE"""),"RSC005906")</f>
        <v>RSC005906</v>
      </c>
      <c r="B5887" s="41" t="str">
        <f>IFERROR(__xludf.DUMMYFUNCTION("""COMPUTED_VALUE"""),"Frozenclaw")</f>
        <v>Frozenclaw</v>
      </c>
    </row>
    <row r="5888">
      <c r="A5888" s="41" t="str">
        <f>IFERROR(__xludf.DUMMYFUNCTION("""COMPUTED_VALUE"""),"RSC005907")</f>
        <v>RSC005907</v>
      </c>
      <c r="B5888" s="41" t="str">
        <f>IFERROR(__xludf.DUMMYFUNCTION("""COMPUTED_VALUE"""),"jochja")</f>
        <v>jochja</v>
      </c>
    </row>
    <row r="5889">
      <c r="A5889" s="41" t="str">
        <f>IFERROR(__xludf.DUMMYFUNCTION("""COMPUTED_VALUE"""),"RSC005908")</f>
        <v>RSC005908</v>
      </c>
      <c r="B5889" s="41" t="str">
        <f>IFERROR(__xludf.DUMMYFUNCTION("""COMPUTED_VALUE"""),"ItsXenonFN")</f>
        <v>ItsXenonFN</v>
      </c>
    </row>
    <row r="5890">
      <c r="A5890" s="41" t="str">
        <f>IFERROR(__xludf.DUMMYFUNCTION("""COMPUTED_VALUE"""),"RSC005909")</f>
        <v>RSC005909</v>
      </c>
      <c r="B5890" s="41" t="str">
        <f>IFERROR(__xludf.DUMMYFUNCTION("""COMPUTED_VALUE"""),"YadiCraft")</f>
        <v>YadiCraft</v>
      </c>
    </row>
    <row r="5891">
      <c r="A5891" s="41" t="str">
        <f>IFERROR(__xludf.DUMMYFUNCTION("""COMPUTED_VALUE"""),"RSC005910")</f>
        <v>RSC005910</v>
      </c>
      <c r="B5891" s="41" t="str">
        <f>IFERROR(__xludf.DUMMYFUNCTION("""COMPUTED_VALUE"""),"j5nhanna")</f>
        <v>j5nhanna</v>
      </c>
    </row>
    <row r="5892">
      <c r="A5892" s="41" t="str">
        <f>IFERROR(__xludf.DUMMYFUNCTION("""COMPUTED_VALUE"""),"RSC005911")</f>
        <v>RSC005911</v>
      </c>
      <c r="B5892" s="41" t="str">
        <f>IFERROR(__xludf.DUMMYFUNCTION("""COMPUTED_VALUE"""),"Vaxei")</f>
        <v>Vaxei</v>
      </c>
    </row>
    <row r="5893">
      <c r="A5893" s="41" t="str">
        <f>IFERROR(__xludf.DUMMYFUNCTION("""COMPUTED_VALUE"""),"RSC005912")</f>
        <v>RSC005912</v>
      </c>
      <c r="B5893" s="41" t="str">
        <f>IFERROR(__xludf.DUMMYFUNCTION("""COMPUTED_VALUE"""),"Xen Stix")</f>
        <v>Xen Stix</v>
      </c>
    </row>
    <row r="5894">
      <c r="A5894" s="41" t="str">
        <f>IFERROR(__xludf.DUMMYFUNCTION("""COMPUTED_VALUE"""),"RSC005913")</f>
        <v>RSC005913</v>
      </c>
      <c r="B5894" s="41" t="str">
        <f>IFERROR(__xludf.DUMMYFUNCTION("""COMPUTED_VALUE"""),"AJ")</f>
        <v>AJ</v>
      </c>
    </row>
    <row r="5895">
      <c r="A5895" s="41" t="str">
        <f>IFERROR(__xludf.DUMMYFUNCTION("""COMPUTED_VALUE"""),"RSC005914")</f>
        <v>RSC005914</v>
      </c>
      <c r="B5895" s="41" t="str">
        <f>IFERROR(__xludf.DUMMYFUNCTION("""COMPUTED_VALUE"""),"RIHANLV123")</f>
        <v>RIHANLV123</v>
      </c>
    </row>
    <row r="5896">
      <c r="A5896" s="41" t="str">
        <f>IFERROR(__xludf.DUMMYFUNCTION("""COMPUTED_VALUE"""),"RSC005915")</f>
        <v>RSC005915</v>
      </c>
      <c r="B5896" s="41" t="str">
        <f>IFERROR(__xludf.DUMMYFUNCTION("""COMPUTED_VALUE"""),"BromzaTheOldMan")</f>
        <v>BromzaTheOldMan</v>
      </c>
    </row>
    <row r="5897">
      <c r="A5897" s="41" t="str">
        <f>IFERROR(__xludf.DUMMYFUNCTION("""COMPUTED_VALUE"""),"RSC005916")</f>
        <v>RSC005916</v>
      </c>
      <c r="B5897" s="41" t="str">
        <f>IFERROR(__xludf.DUMMYFUNCTION("""COMPUTED_VALUE"""),"Olepetty")</f>
        <v>Olepetty</v>
      </c>
    </row>
    <row r="5898">
      <c r="A5898" s="41" t="str">
        <f>IFERROR(__xludf.DUMMYFUNCTION("""COMPUTED_VALUE"""),"RSC005917")</f>
        <v>RSC005917</v>
      </c>
      <c r="B5898" s="41" t="str">
        <f>IFERROR(__xludf.DUMMYFUNCTION("""COMPUTED_VALUE"""),"GAVALANCHE")</f>
        <v>GAVALANCHE</v>
      </c>
    </row>
    <row r="5899">
      <c r="A5899" s="41" t="str">
        <f>IFERROR(__xludf.DUMMYFUNCTION("""COMPUTED_VALUE"""),"RSC005918")</f>
        <v>RSC005918</v>
      </c>
      <c r="B5899" s="41" t="str">
        <f>IFERROR(__xludf.DUMMYFUNCTION("""COMPUTED_VALUE"""),"Sonder.")</f>
        <v>Sonder.</v>
      </c>
    </row>
    <row r="5900">
      <c r="A5900" s="41" t="str">
        <f>IFERROR(__xludf.DUMMYFUNCTION("""COMPUTED_VALUE"""),"RSC005919")</f>
        <v>RSC005919</v>
      </c>
      <c r="B5900" s="41" t="str">
        <f>IFERROR(__xludf.DUMMYFUNCTION("""COMPUTED_VALUE"""),"A Humble Potato")</f>
        <v>A Humble Potato</v>
      </c>
    </row>
    <row r="5901">
      <c r="A5901" s="41" t="str">
        <f>IFERROR(__xludf.DUMMYFUNCTION("""COMPUTED_VALUE"""),"RSC005920")</f>
        <v>RSC005920</v>
      </c>
      <c r="B5901" s="41" t="str">
        <f>IFERROR(__xludf.DUMMYFUNCTION("""COMPUTED_VALUE"""),"Roxy")</f>
        <v>Roxy</v>
      </c>
    </row>
    <row r="5902">
      <c r="A5902" s="41" t="str">
        <f>IFERROR(__xludf.DUMMYFUNCTION("""COMPUTED_VALUE"""),"RSC005921")</f>
        <v>RSC005921</v>
      </c>
      <c r="B5902" s="41" t="str">
        <f>IFERROR(__xludf.DUMMYFUNCTION("""COMPUTED_VALUE"""),"HandyRL")</f>
        <v>HandyRL</v>
      </c>
    </row>
    <row r="5903">
      <c r="A5903" s="41" t="str">
        <f>IFERROR(__xludf.DUMMYFUNCTION("""COMPUTED_VALUE"""),"RSC005922")</f>
        <v>RSC005922</v>
      </c>
      <c r="B5903" s="41" t="str">
        <f>IFERROR(__xludf.DUMMYFUNCTION("""COMPUTED_VALUE"""),"Jean_Christ")</f>
        <v>Jean_Christ</v>
      </c>
    </row>
    <row r="5904">
      <c r="A5904" s="41" t="str">
        <f>IFERROR(__xludf.DUMMYFUNCTION("""COMPUTED_VALUE"""),"RSC005923")</f>
        <v>RSC005923</v>
      </c>
      <c r="B5904" s="41" t="str">
        <f>IFERROR(__xludf.DUMMYFUNCTION("""COMPUTED_VALUE"""),"Korrupt")</f>
        <v>Korrupt</v>
      </c>
    </row>
    <row r="5905">
      <c r="A5905" s="41" t="str">
        <f>IFERROR(__xludf.DUMMYFUNCTION("""COMPUTED_VALUE"""),"RSC005924")</f>
        <v>RSC005924</v>
      </c>
      <c r="B5905" s="41" t="str">
        <f>IFERROR(__xludf.DUMMYFUNCTION("""COMPUTED_VALUE"""),"BmoneyRising72")</f>
        <v>BmoneyRising72</v>
      </c>
    </row>
    <row r="5906">
      <c r="A5906" s="41" t="str">
        <f>IFERROR(__xludf.DUMMYFUNCTION("""COMPUTED_VALUE"""),"RSC005925")</f>
        <v>RSC005925</v>
      </c>
      <c r="B5906" s="41" t="str">
        <f>IFERROR(__xludf.DUMMYFUNCTION("""COMPUTED_VALUE"""),"Emily26210")</f>
        <v>Emily26210</v>
      </c>
    </row>
    <row r="5907">
      <c r="A5907" s="41" t="str">
        <f>IFERROR(__xludf.DUMMYFUNCTION("""COMPUTED_VALUE"""),"RSC005926")</f>
        <v>RSC005926</v>
      </c>
      <c r="B5907" s="41" t="str">
        <f>IFERROR(__xludf.DUMMYFUNCTION("""COMPUTED_VALUE"""),"IGOR")</f>
        <v>IGOR</v>
      </c>
    </row>
    <row r="5908">
      <c r="A5908" s="41" t="str">
        <f>IFERROR(__xludf.DUMMYFUNCTION("""COMPUTED_VALUE"""),"RSC005927")</f>
        <v>RSC005927</v>
      </c>
      <c r="B5908" s="41" t="str">
        <f>IFERROR(__xludf.DUMMYFUNCTION("""COMPUTED_VALUE"""),"NotZestty")</f>
        <v>NotZestty</v>
      </c>
    </row>
    <row r="5909">
      <c r="A5909" s="41" t="str">
        <f>IFERROR(__xludf.DUMMYFUNCTION("""COMPUTED_VALUE"""),"RSC005928")</f>
        <v>RSC005928</v>
      </c>
      <c r="B5909" s="41" t="str">
        <f>IFERROR(__xludf.DUMMYFUNCTION("""COMPUTED_VALUE"""),"Sensei Toast")</f>
        <v>Sensei Toast</v>
      </c>
    </row>
    <row r="5910">
      <c r="A5910" s="41" t="str">
        <f>IFERROR(__xludf.DUMMYFUNCTION("""COMPUTED_VALUE"""),"RSC005929")</f>
        <v>RSC005929</v>
      </c>
      <c r="B5910" s="41" t="str">
        <f>IFERROR(__xludf.DUMMYFUNCTION("""COMPUTED_VALUE"""),"ッRxtro.")</f>
        <v>ッRxtro.</v>
      </c>
    </row>
    <row r="5911">
      <c r="A5911" s="41" t="str">
        <f>IFERROR(__xludf.DUMMYFUNCTION("""COMPUTED_VALUE"""),"RSC005930")</f>
        <v>RSC005930</v>
      </c>
      <c r="B5911" s="41" t="str">
        <f>IFERROR(__xludf.DUMMYFUNCTION("""COMPUTED_VALUE"""),"MF Method")</f>
        <v>MF Method</v>
      </c>
    </row>
    <row r="5912">
      <c r="A5912" s="41" t="str">
        <f>IFERROR(__xludf.DUMMYFUNCTION("""COMPUTED_VALUE"""),"RSC005931")</f>
        <v>RSC005931</v>
      </c>
      <c r="B5912" s="41" t="str">
        <f>IFERROR(__xludf.DUMMYFUNCTION("""COMPUTED_VALUE"""),"tdy ᵔᴥᵔ")</f>
        <v>tdy ᵔᴥᵔ</v>
      </c>
    </row>
    <row r="5913">
      <c r="A5913" s="41" t="str">
        <f>IFERROR(__xludf.DUMMYFUNCTION("""COMPUTED_VALUE"""),"RSC005932")</f>
        <v>RSC005932</v>
      </c>
      <c r="B5913" s="41" t="str">
        <f>IFERROR(__xludf.DUMMYFUNCTION("""COMPUTED_VALUE"""),"hvbuddy")</f>
        <v>hvbuddy</v>
      </c>
    </row>
    <row r="5914">
      <c r="A5914" s="41" t="str">
        <f>IFERROR(__xludf.DUMMYFUNCTION("""COMPUTED_VALUE"""),"RSC005933")</f>
        <v>RSC005933</v>
      </c>
      <c r="B5914" s="41" t="str">
        <f>IFERROR(__xludf.DUMMYFUNCTION("""COMPUTED_VALUE"""),"reezxnz")</f>
        <v>reezxnz</v>
      </c>
    </row>
    <row r="5915">
      <c r="A5915" s="41" t="str">
        <f>IFERROR(__xludf.DUMMYFUNCTION("""COMPUTED_VALUE"""),"RSC005934")</f>
        <v>RSC005934</v>
      </c>
      <c r="B5915" s="41" t="str">
        <f>IFERROR(__xludf.DUMMYFUNCTION("""COMPUTED_VALUE"""),"TheodoreThe2")</f>
        <v>TheodoreThe2</v>
      </c>
    </row>
    <row r="5916">
      <c r="A5916" s="41" t="str">
        <f>IFERROR(__xludf.DUMMYFUNCTION("""COMPUTED_VALUE"""),"RSC005935")</f>
        <v>RSC005935</v>
      </c>
      <c r="B5916" s="41" t="str">
        <f>IFERROR(__xludf.DUMMYFUNCTION("""COMPUTED_VALUE"""),"Fatdabslayer")</f>
        <v>Fatdabslayer</v>
      </c>
    </row>
    <row r="5917">
      <c r="A5917" s="41" t="str">
        <f>IFERROR(__xludf.DUMMYFUNCTION("""COMPUTED_VALUE"""),"RSC005936")</f>
        <v>RSC005936</v>
      </c>
      <c r="B5917" s="41" t="str">
        <f>IFERROR(__xludf.DUMMYFUNCTION("""COMPUTED_VALUE"""),"VexingVertigo")</f>
        <v>VexingVertigo</v>
      </c>
    </row>
    <row r="5918">
      <c r="A5918" s="41" t="str">
        <f>IFERROR(__xludf.DUMMYFUNCTION("""COMPUTED_VALUE"""),"RSC005937")</f>
        <v>RSC005937</v>
      </c>
      <c r="B5918" s="41" t="str">
        <f>IFERROR(__xludf.DUMMYFUNCTION("""COMPUTED_VALUE"""),"SlashFabo420")</f>
        <v>SlashFabo420</v>
      </c>
    </row>
    <row r="5919">
      <c r="A5919" s="41" t="str">
        <f>IFERROR(__xludf.DUMMYFUNCTION("""COMPUTED_VALUE"""),"RSC005938")</f>
        <v>RSC005938</v>
      </c>
      <c r="B5919" s="41" t="str">
        <f>IFERROR(__xludf.DUMMYFUNCTION("""COMPUTED_VALUE"""),"ItKozmo")</f>
        <v>ItKozmo</v>
      </c>
    </row>
    <row r="5920">
      <c r="A5920" s="41" t="str">
        <f>IFERROR(__xludf.DUMMYFUNCTION("""COMPUTED_VALUE"""),"RSC005939")</f>
        <v>RSC005939</v>
      </c>
      <c r="B5920" s="41" t="str">
        <f>IFERROR(__xludf.DUMMYFUNCTION("""COMPUTED_VALUE"""),"dinger936")</f>
        <v>dinger936</v>
      </c>
    </row>
    <row r="5921">
      <c r="A5921" s="41" t="str">
        <f>IFERROR(__xludf.DUMMYFUNCTION("""COMPUTED_VALUE"""),"RSC005940")</f>
        <v>RSC005940</v>
      </c>
      <c r="B5921" s="41" t="str">
        <f>IFERROR(__xludf.DUMMYFUNCTION("""COMPUTED_VALUE"""),"GhostZuri")</f>
        <v>GhostZuri</v>
      </c>
    </row>
    <row r="5922">
      <c r="A5922" s="41" t="str">
        <f>IFERROR(__xludf.DUMMYFUNCTION("""COMPUTED_VALUE"""),"RSC005941")</f>
        <v>RSC005941</v>
      </c>
      <c r="B5922" s="41" t="str">
        <f>IFERROR(__xludf.DUMMYFUNCTION("""COMPUTED_VALUE"""),"Shadow_wolf2125")</f>
        <v>Shadow_wolf2125</v>
      </c>
    </row>
    <row r="5923">
      <c r="A5923" s="41" t="str">
        <f>IFERROR(__xludf.DUMMYFUNCTION("""COMPUTED_VALUE"""),"RSC005942")</f>
        <v>RSC005942</v>
      </c>
      <c r="B5923" s="41" t="str">
        <f>IFERROR(__xludf.DUMMYFUNCTION("""COMPUTED_VALUE"""),"Washed AJ.")</f>
        <v>Washed AJ.</v>
      </c>
    </row>
    <row r="5924">
      <c r="A5924" s="41" t="str">
        <f>IFERROR(__xludf.DUMMYFUNCTION("""COMPUTED_VALUE"""),"RSC005943")</f>
        <v>RSC005943</v>
      </c>
      <c r="B5924" s="41" t="str">
        <f>IFERROR(__xludf.DUMMYFUNCTION("""COMPUTED_VALUE"""),"Rock Funk.")</f>
        <v>Rock Funk.</v>
      </c>
    </row>
    <row r="5925">
      <c r="A5925" s="41" t="str">
        <f>IFERROR(__xludf.DUMMYFUNCTION("""COMPUTED_VALUE"""),"RSC005944")</f>
        <v>RSC005944</v>
      </c>
      <c r="B5925" s="41" t="str">
        <f>IFERROR(__xludf.DUMMYFUNCTION("""COMPUTED_VALUE"""),"Heaaavy")</f>
        <v>Heaaavy</v>
      </c>
    </row>
    <row r="5926">
      <c r="A5926" s="41" t="str">
        <f>IFERROR(__xludf.DUMMYFUNCTION("""COMPUTED_VALUE"""),"RSC005945")</f>
        <v>RSC005945</v>
      </c>
      <c r="B5926" s="41" t="str">
        <f>IFERROR(__xludf.DUMMYFUNCTION("""COMPUTED_VALUE"""),"Kvasir_RL")</f>
        <v>Kvasir_RL</v>
      </c>
    </row>
    <row r="5927">
      <c r="A5927" s="41" t="str">
        <f>IFERROR(__xludf.DUMMYFUNCTION("""COMPUTED_VALUE"""),"RSC005946")</f>
        <v>RSC005946</v>
      </c>
      <c r="B5927" s="41" t="str">
        <f>IFERROR(__xludf.DUMMYFUNCTION("""COMPUTED_VALUE"""),"Sp1cyD0nut")</f>
        <v>Sp1cyD0nut</v>
      </c>
    </row>
    <row r="5928">
      <c r="A5928" s="41" t="str">
        <f>IFERROR(__xludf.DUMMYFUNCTION("""COMPUTED_VALUE"""),"RSC005947")</f>
        <v>RSC005947</v>
      </c>
      <c r="B5928" s="41" t="str">
        <f>IFERROR(__xludf.DUMMYFUNCTION("""COMPUTED_VALUE"""),"Kambino85")</f>
        <v>Kambino85</v>
      </c>
    </row>
    <row r="5929">
      <c r="A5929" s="41" t="str">
        <f>IFERROR(__xludf.DUMMYFUNCTION("""COMPUTED_VALUE"""),"RSC005948")</f>
        <v>RSC005948</v>
      </c>
      <c r="B5929" s="41" t="str">
        <f>IFERROR(__xludf.DUMMYFUNCTION("""COMPUTED_VALUE"""),"luximon.")</f>
        <v>luximon.</v>
      </c>
    </row>
    <row r="5930">
      <c r="A5930" s="41" t="str">
        <f>IFERROR(__xludf.DUMMYFUNCTION("""COMPUTED_VALUE"""),"RSC005949")</f>
        <v>RSC005949</v>
      </c>
      <c r="B5930" s="41" t="str">
        <f>IFERROR(__xludf.DUMMYFUNCTION("""COMPUTED_VALUE"""),"tempo.")</f>
        <v>tempo.</v>
      </c>
    </row>
    <row r="5931">
      <c r="A5931" s="41" t="str">
        <f>IFERROR(__xludf.DUMMYFUNCTION("""COMPUTED_VALUE"""),"RSC005950")</f>
        <v>RSC005950</v>
      </c>
      <c r="B5931" s="41" t="str">
        <f>IFERROR(__xludf.DUMMYFUNCTION("""COMPUTED_VALUE"""),"TTV MonkeDMellon")</f>
        <v>TTV MonkeDMellon</v>
      </c>
    </row>
    <row r="5932">
      <c r="A5932" s="41" t="str">
        <f>IFERROR(__xludf.DUMMYFUNCTION("""COMPUTED_VALUE"""),"RSC005951")</f>
        <v>RSC005951</v>
      </c>
      <c r="B5932" s="41" t="str">
        <f>IFERROR(__xludf.DUMMYFUNCTION("""COMPUTED_VALUE"""),"Joshwha")</f>
        <v>Joshwha</v>
      </c>
    </row>
    <row r="5933">
      <c r="A5933" s="41" t="str">
        <f>IFERROR(__xludf.DUMMYFUNCTION("""COMPUTED_VALUE"""),"RSC005952")</f>
        <v>RSC005952</v>
      </c>
      <c r="B5933" s="41" t="str">
        <f>IFERROR(__xludf.DUMMYFUNCTION("""COMPUTED_VALUE"""),"NC Ajax")</f>
        <v>NC Ajax</v>
      </c>
    </row>
    <row r="5934">
      <c r="A5934" s="41" t="str">
        <f>IFERROR(__xludf.DUMMYFUNCTION("""COMPUTED_VALUE"""),"RSC005953")</f>
        <v>RSC005953</v>
      </c>
      <c r="B5934" s="41" t="str">
        <f>IFERROR(__xludf.DUMMYFUNCTION("""COMPUTED_VALUE"""),"TTVKirilGamingMK")</f>
        <v>TTVKirilGamingMK</v>
      </c>
    </row>
    <row r="5935">
      <c r="A5935" s="41" t="str">
        <f>IFERROR(__xludf.DUMMYFUNCTION("""COMPUTED_VALUE"""),"RSC005954")</f>
        <v>RSC005954</v>
      </c>
      <c r="B5935" s="41" t="str">
        <f>IFERROR(__xludf.DUMMYFUNCTION("""COMPUTED_VALUE"""),"MapleSyrup爱")</f>
        <v>MapleSyrup爱</v>
      </c>
    </row>
    <row r="5936">
      <c r="A5936" s="41" t="str">
        <f>IFERROR(__xludf.DUMMYFUNCTION("""COMPUTED_VALUE"""),"RSC005955")</f>
        <v>RSC005955</v>
      </c>
      <c r="B5936" s="41" t="str">
        <f>IFERROR(__xludf.DUMMYFUNCTION("""COMPUTED_VALUE"""),"TrixJef")</f>
        <v>TrixJef</v>
      </c>
    </row>
    <row r="5937">
      <c r="A5937" s="41" t="str">
        <f>IFERROR(__xludf.DUMMYFUNCTION("""COMPUTED_VALUE"""),"RSC005956")</f>
        <v>RSC005956</v>
      </c>
      <c r="B5937" s="41" t="str">
        <f>IFERROR(__xludf.DUMMYFUNCTION("""COMPUTED_VALUE"""),"I.R.O.H.")</f>
        <v>I.R.O.H.</v>
      </c>
    </row>
    <row r="5938">
      <c r="A5938" s="41" t="str">
        <f>IFERROR(__xludf.DUMMYFUNCTION("""COMPUTED_VALUE"""),"RSC005957")</f>
        <v>RSC005957</v>
      </c>
      <c r="B5938" s="41" t="str">
        <f>IFERROR(__xludf.DUMMYFUNCTION("""COMPUTED_VALUE"""),"swizrl")</f>
        <v>swizrl</v>
      </c>
    </row>
    <row r="5939">
      <c r="A5939" s="41" t="str">
        <f>IFERROR(__xludf.DUMMYFUNCTION("""COMPUTED_VALUE"""),"RSC005958")</f>
        <v>RSC005958</v>
      </c>
      <c r="B5939" s="41" t="str">
        <f>IFERROR(__xludf.DUMMYFUNCTION("""COMPUTED_VALUE"""),"Toast420y")</f>
        <v>Toast420y</v>
      </c>
    </row>
    <row r="5940">
      <c r="A5940" s="41" t="str">
        <f>IFERROR(__xludf.DUMMYFUNCTION("""COMPUTED_VALUE"""),"RSC005959")</f>
        <v>RSC005959</v>
      </c>
      <c r="B5940" s="41" t="str">
        <f>IFERROR(__xludf.DUMMYFUNCTION("""COMPUTED_VALUE"""),"Yurrbo?")</f>
        <v>Yurrbo?</v>
      </c>
    </row>
    <row r="5941">
      <c r="A5941" s="41" t="str">
        <f>IFERROR(__xludf.DUMMYFUNCTION("""COMPUTED_VALUE"""),"RSC005960")</f>
        <v>RSC005960</v>
      </c>
      <c r="B5941" s="41" t="str">
        <f>IFERROR(__xludf.DUMMYFUNCTION("""COMPUTED_VALUE"""),"Hyper")</f>
        <v>Hyper</v>
      </c>
    </row>
    <row r="5942">
      <c r="A5942" s="41" t="str">
        <f>IFERROR(__xludf.DUMMYFUNCTION("""COMPUTED_VALUE"""),"RSC005961")</f>
        <v>RSC005961</v>
      </c>
      <c r="B5942" s="41" t="str">
        <f>IFERROR(__xludf.DUMMYFUNCTION("""COMPUTED_VALUE"""),"CL-X")</f>
        <v>CL-X</v>
      </c>
    </row>
    <row r="5943">
      <c r="A5943" s="41" t="str">
        <f>IFERROR(__xludf.DUMMYFUNCTION("""COMPUTED_VALUE"""),"RSC005962")</f>
        <v>RSC005962</v>
      </c>
      <c r="B5943" s="41" t="str">
        <f>IFERROR(__xludf.DUMMYFUNCTION("""COMPUTED_VALUE"""),"Holymo")</f>
        <v>Holymo</v>
      </c>
    </row>
    <row r="5944">
      <c r="A5944" s="41" t="str">
        <f>IFERROR(__xludf.DUMMYFUNCTION("""COMPUTED_VALUE"""),"RSC005963")</f>
        <v>RSC005963</v>
      </c>
      <c r="B5944" s="41" t="str">
        <f>IFERROR(__xludf.DUMMYFUNCTION("""COMPUTED_VALUE"""),"WeezyJake989")</f>
        <v>WeezyJake989</v>
      </c>
    </row>
    <row r="5945">
      <c r="A5945" s="41" t="str">
        <f>IFERROR(__xludf.DUMMYFUNCTION("""COMPUTED_VALUE"""),"RSC005964")</f>
        <v>RSC005964</v>
      </c>
      <c r="B5945" s="41" t="str">
        <f>IFERROR(__xludf.DUMMYFUNCTION("""COMPUTED_VALUE"""),"K4 McMaster")</f>
        <v>K4 McMaster</v>
      </c>
    </row>
    <row r="5946">
      <c r="A5946" s="41" t="str">
        <f>IFERROR(__xludf.DUMMYFUNCTION("""COMPUTED_VALUE"""),"RSC005965")</f>
        <v>RSC005965</v>
      </c>
      <c r="B5946" s="41" t="str">
        <f>IFERROR(__xludf.DUMMYFUNCTION("""COMPUTED_VALUE"""),"Insulin1njector")</f>
        <v>Insulin1njector</v>
      </c>
    </row>
    <row r="5947">
      <c r="A5947" s="41" t="str">
        <f>IFERROR(__xludf.DUMMYFUNCTION("""COMPUTED_VALUE"""),"RSC005966")</f>
        <v>RSC005966</v>
      </c>
      <c r="B5947" s="41" t="str">
        <f>IFERROR(__xludf.DUMMYFUNCTION("""COMPUTED_VALUE"""),"Drips")</f>
        <v>Drips</v>
      </c>
    </row>
    <row r="5948">
      <c r="A5948" s="41" t="str">
        <f>IFERROR(__xludf.DUMMYFUNCTION("""COMPUTED_VALUE"""),"RSC005967")</f>
        <v>RSC005967</v>
      </c>
      <c r="B5948" s="41" t="str">
        <f>IFERROR(__xludf.DUMMYFUNCTION("""COMPUTED_VALUE"""),"ImJahue")</f>
        <v>ImJahue</v>
      </c>
    </row>
    <row r="5949">
      <c r="A5949" s="41" t="str">
        <f>IFERROR(__xludf.DUMMYFUNCTION("""COMPUTED_VALUE"""),"RSC005968")</f>
        <v>RSC005968</v>
      </c>
      <c r="B5949" s="41" t="str">
        <f>IFERROR(__xludf.DUMMYFUNCTION("""COMPUTED_VALUE"""),"oh Frenzy")</f>
        <v>oh Frenzy</v>
      </c>
    </row>
    <row r="5950">
      <c r="A5950" s="41" t="str">
        <f>IFERROR(__xludf.DUMMYFUNCTION("""COMPUTED_VALUE"""),"RSC005969")</f>
        <v>RSC005969</v>
      </c>
      <c r="B5950" s="41" t="str">
        <f>IFERROR(__xludf.DUMMYFUNCTION("""COMPUTED_VALUE"""),"lukas.kekw")</f>
        <v>lukas.kekw</v>
      </c>
    </row>
    <row r="5951">
      <c r="A5951" s="41" t="str">
        <f>IFERROR(__xludf.DUMMYFUNCTION("""COMPUTED_VALUE"""),"RSC005970")</f>
        <v>RSC005970</v>
      </c>
      <c r="B5951" s="41" t="str">
        <f>IFERROR(__xludf.DUMMYFUNCTION("""COMPUTED_VALUE"""),"Dookie_Bandit")</f>
        <v>Dookie_Bandit</v>
      </c>
    </row>
    <row r="5952">
      <c r="A5952" s="41" t="str">
        <f>IFERROR(__xludf.DUMMYFUNCTION("""COMPUTED_VALUE"""),"RSC005971")</f>
        <v>RSC005971</v>
      </c>
      <c r="B5952" s="41" t="str">
        <f>IFERROR(__xludf.DUMMYFUNCTION("""COMPUTED_VALUE"""),"Bahula")</f>
        <v>Bahula</v>
      </c>
    </row>
    <row r="5953">
      <c r="A5953" s="41" t="str">
        <f>IFERROR(__xludf.DUMMYFUNCTION("""COMPUTED_VALUE"""),"RSC005972")</f>
        <v>RSC005972</v>
      </c>
      <c r="B5953" s="41" t="str">
        <f>IFERROR(__xludf.DUMMYFUNCTION("""COMPUTED_VALUE"""),"Schroga")</f>
        <v>Schroga</v>
      </c>
    </row>
    <row r="5954">
      <c r="A5954" s="41" t="str">
        <f>IFERROR(__xludf.DUMMYFUNCTION("""COMPUTED_VALUE"""),"RSC005973")</f>
        <v>RSC005973</v>
      </c>
      <c r="B5954" s="41" t="str">
        <f>IFERROR(__xludf.DUMMYFUNCTION("""COMPUTED_VALUE"""),"kolpe.")</f>
        <v>kolpe.</v>
      </c>
    </row>
    <row r="5955">
      <c r="A5955" s="41" t="str">
        <f>IFERROR(__xludf.DUMMYFUNCTION("""COMPUTED_VALUE"""),"RSC005974")</f>
        <v>RSC005974</v>
      </c>
      <c r="B5955" s="41" t="str">
        <f>IFERROR(__xludf.DUMMYFUNCTION("""COMPUTED_VALUE"""),"Angry-Hermit")</f>
        <v>Angry-Hermit</v>
      </c>
    </row>
    <row r="5956">
      <c r="A5956" s="41" t="str">
        <f>IFERROR(__xludf.DUMMYFUNCTION("""COMPUTED_VALUE"""),"RSC005975")</f>
        <v>RSC005975</v>
      </c>
      <c r="B5956" s="41" t="str">
        <f>IFERROR(__xludf.DUMMYFUNCTION("""COMPUTED_VALUE"""),"NEPTICSavvy21")</f>
        <v>NEPTICSavvy21</v>
      </c>
    </row>
    <row r="5957">
      <c r="A5957" s="41" t="str">
        <f>IFERROR(__xludf.DUMMYFUNCTION("""COMPUTED_VALUE"""),"RSC005976")</f>
        <v>RSC005976</v>
      </c>
      <c r="B5957" s="41" t="str">
        <f>IFERROR(__xludf.DUMMYFUNCTION("""COMPUTED_VALUE"""),"BaggyManny")</f>
        <v>BaggyManny</v>
      </c>
    </row>
    <row r="5958">
      <c r="A5958" s="41" t="str">
        <f>IFERROR(__xludf.DUMMYFUNCTION("""COMPUTED_VALUE"""),"RSC005977")</f>
        <v>RSC005977</v>
      </c>
      <c r="B5958" s="41" t="str">
        <f>IFERROR(__xludf.DUMMYFUNCTION("""COMPUTED_VALUE"""),"TwistedPreston.")</f>
        <v>TwistedPreston.</v>
      </c>
    </row>
    <row r="5959">
      <c r="A5959" s="41" t="str">
        <f>IFERROR(__xludf.DUMMYFUNCTION("""COMPUTED_VALUE"""),"RSC005978")</f>
        <v>RSC005978</v>
      </c>
      <c r="B5959" s="41" t="str">
        <f>IFERROR(__xludf.DUMMYFUNCTION("""COMPUTED_VALUE"""),"Xdraco0")</f>
        <v>Xdraco0</v>
      </c>
    </row>
    <row r="5960">
      <c r="A5960" s="41" t="str">
        <f>IFERROR(__xludf.DUMMYFUNCTION("""COMPUTED_VALUE"""),"RSC005979")</f>
        <v>RSC005979</v>
      </c>
      <c r="B5960" s="41" t="str">
        <f>IFERROR(__xludf.DUMMYFUNCTION("""COMPUTED_VALUE"""),"shade")</f>
        <v>shade</v>
      </c>
    </row>
    <row r="5961">
      <c r="A5961" s="41" t="str">
        <f>IFERROR(__xludf.DUMMYFUNCTION("""COMPUTED_VALUE"""),"RSC005980")</f>
        <v>RSC005980</v>
      </c>
      <c r="B5961" s="41" t="str">
        <f>IFERROR(__xludf.DUMMYFUNCTION("""COMPUTED_VALUE"""),"Omni")</f>
        <v>Omni</v>
      </c>
    </row>
    <row r="5962">
      <c r="A5962" s="41" t="str">
        <f>IFERROR(__xludf.DUMMYFUNCTION("""COMPUTED_VALUE"""),"RSC005981")</f>
        <v>RSC005981</v>
      </c>
      <c r="B5962" s="41" t="str">
        <f>IFERROR(__xludf.DUMMYFUNCTION("""COMPUTED_VALUE"""),"SoySauce")</f>
        <v>SoySauce</v>
      </c>
    </row>
    <row r="5963">
      <c r="A5963" s="41" t="str">
        <f>IFERROR(__xludf.DUMMYFUNCTION("""COMPUTED_VALUE"""),"RSC005982")</f>
        <v>RSC005982</v>
      </c>
      <c r="B5963" s="41" t="str">
        <f>IFERROR(__xludf.DUMMYFUNCTION("""COMPUTED_VALUE"""),"lGigaBallsl")</f>
        <v>lGigaBallsl</v>
      </c>
    </row>
    <row r="5964">
      <c r="A5964" s="41" t="str">
        <f>IFERROR(__xludf.DUMMYFUNCTION("""COMPUTED_VALUE"""),"RSC005983")</f>
        <v>RSC005983</v>
      </c>
      <c r="B5964" s="41" t="str">
        <f>IFERROR(__xludf.DUMMYFUNCTION("""COMPUTED_VALUE"""),"TTV_OREGON_99")</f>
        <v>TTV_OREGON_99</v>
      </c>
    </row>
    <row r="5965">
      <c r="A5965" s="41" t="str">
        <f>IFERROR(__xludf.DUMMYFUNCTION("""COMPUTED_VALUE"""),"RSC005984")</f>
        <v>RSC005984</v>
      </c>
      <c r="B5965" s="41" t="str">
        <f>IFERROR(__xludf.DUMMYFUNCTION("""COMPUTED_VALUE"""),"Spndl")</f>
        <v>Spndl</v>
      </c>
    </row>
    <row r="5966">
      <c r="A5966" s="41" t="str">
        <f>IFERROR(__xludf.DUMMYFUNCTION("""COMPUTED_VALUE"""),"RSC005985")</f>
        <v>RSC005985</v>
      </c>
      <c r="B5966" s="41" t="str">
        <f>IFERROR(__xludf.DUMMYFUNCTION("""COMPUTED_VALUE"""),"sspohc")</f>
        <v>sspohc</v>
      </c>
    </row>
    <row r="5967">
      <c r="A5967" s="41" t="str">
        <f>IFERROR(__xludf.DUMMYFUNCTION("""COMPUTED_VALUE"""),"RSC005986")</f>
        <v>RSC005986</v>
      </c>
      <c r="B5967" s="41" t="str">
        <f>IFERROR(__xludf.DUMMYFUNCTION("""COMPUTED_VALUE"""),"sticky || moon")</f>
        <v>sticky || moon</v>
      </c>
    </row>
    <row r="5968">
      <c r="A5968" s="41" t="str">
        <f>IFERROR(__xludf.DUMMYFUNCTION("""COMPUTED_VALUE"""),"RSC005987")</f>
        <v>RSC005987</v>
      </c>
      <c r="B5968" s="41" t="str">
        <f>IFERROR(__xludf.DUMMYFUNCTION("""COMPUTED_VALUE"""),"luq rl.")</f>
        <v>luq rl.</v>
      </c>
    </row>
    <row r="5969">
      <c r="A5969" s="41" t="str">
        <f>IFERROR(__xludf.DUMMYFUNCTION("""COMPUTED_VALUE"""),"RSC005988")</f>
        <v>RSC005988</v>
      </c>
      <c r="B5969" s="41" t="str">
        <f>IFERROR(__xludf.DUMMYFUNCTION("""COMPUTED_VALUE"""),"pengu")</f>
        <v>pengu</v>
      </c>
    </row>
    <row r="5970">
      <c r="A5970" s="41" t="str">
        <f>IFERROR(__xludf.DUMMYFUNCTION("""COMPUTED_VALUE"""),"RSC005989")</f>
        <v>RSC005989</v>
      </c>
      <c r="B5970" s="41" t="str">
        <f>IFERROR(__xludf.DUMMYFUNCTION("""COMPUTED_VALUE"""),"O-K-Tiny")</f>
        <v>O-K-Tiny</v>
      </c>
    </row>
    <row r="5971">
      <c r="A5971" s="41" t="str">
        <f>IFERROR(__xludf.DUMMYFUNCTION("""COMPUTED_VALUE"""),"RSC005990")</f>
        <v>RSC005990</v>
      </c>
      <c r="B5971" s="41" t="str">
        <f>IFERROR(__xludf.DUMMYFUNCTION("""COMPUTED_VALUE"""),"singh-shady.")</f>
        <v>singh-shady.</v>
      </c>
    </row>
    <row r="5972">
      <c r="A5972" s="41" t="str">
        <f>IFERROR(__xludf.DUMMYFUNCTION("""COMPUTED_VALUE"""),"RSC005991")</f>
        <v>RSC005991</v>
      </c>
      <c r="B5972" s="41" t="str">
        <f>IFERROR(__xludf.DUMMYFUNCTION("""COMPUTED_VALUE"""),"IV4N-IVAN-1VAN")</f>
        <v>IV4N-IVAN-1VAN</v>
      </c>
    </row>
    <row r="5973">
      <c r="A5973" s="41" t="str">
        <f>IFERROR(__xludf.DUMMYFUNCTION("""COMPUTED_VALUE"""),"RSC005992")</f>
        <v>RSC005992</v>
      </c>
      <c r="B5973" s="41" t="str">
        <f>IFERROR(__xludf.DUMMYFUNCTION("""COMPUTED_VALUE"""),"Rayven")</f>
        <v>Rayven</v>
      </c>
    </row>
    <row r="5974">
      <c r="A5974" s="41" t="str">
        <f>IFERROR(__xludf.DUMMYFUNCTION("""COMPUTED_VALUE"""),"RSC005993")</f>
        <v>RSC005993</v>
      </c>
      <c r="B5974" s="41" t="str">
        <f>IFERROR(__xludf.DUMMYFUNCTION("""COMPUTED_VALUE"""),"Spideyboy3509")</f>
        <v>Spideyboy3509</v>
      </c>
    </row>
    <row r="5975">
      <c r="A5975" s="41" t="str">
        <f>IFERROR(__xludf.DUMMYFUNCTION("""COMPUTED_VALUE"""),"RSC005994")</f>
        <v>RSC005994</v>
      </c>
      <c r="B5975" s="41" t="str">
        <f>IFERROR(__xludf.DUMMYFUNCTION("""COMPUTED_VALUE"""),"NinnaHatake")</f>
        <v>NinnaHatake</v>
      </c>
    </row>
    <row r="5976">
      <c r="A5976" s="41" t="str">
        <f>IFERROR(__xludf.DUMMYFUNCTION("""COMPUTED_VALUE"""),"RSC005995")</f>
        <v>RSC005995</v>
      </c>
      <c r="B5976" s="41" t="str">
        <f>IFERROR(__xludf.DUMMYFUNCTION("""COMPUTED_VALUE"""),"Cookies197")</f>
        <v>Cookies197</v>
      </c>
    </row>
    <row r="5977">
      <c r="A5977" s="41" t="str">
        <f>IFERROR(__xludf.DUMMYFUNCTION("""COMPUTED_VALUE"""),"RSC005996")</f>
        <v>RSC005996</v>
      </c>
      <c r="B5977" s="41" t="str">
        <f>IFERROR(__xludf.DUMMYFUNCTION("""COMPUTED_VALUE"""),"Rxy_RL")</f>
        <v>Rxy_RL</v>
      </c>
    </row>
    <row r="5978">
      <c r="A5978" s="41" t="str">
        <f>IFERROR(__xludf.DUMMYFUNCTION("""COMPUTED_VALUE"""),"RSC005997")</f>
        <v>RSC005997</v>
      </c>
      <c r="B5978" s="41" t="str">
        <f>IFERROR(__xludf.DUMMYFUNCTION("""COMPUTED_VALUE"""),"Bang")</f>
        <v>Bang</v>
      </c>
    </row>
    <row r="5979">
      <c r="A5979" s="41" t="str">
        <f>IFERROR(__xludf.DUMMYFUNCTION("""COMPUTED_VALUE"""),"RSC005998")</f>
        <v>RSC005998</v>
      </c>
      <c r="B5979" s="41" t="str">
        <f>IFERROR(__xludf.DUMMYFUNCTION("""COMPUTED_VALUE"""),"Duke")</f>
        <v>Duke</v>
      </c>
    </row>
    <row r="5980">
      <c r="A5980" s="41" t="str">
        <f>IFERROR(__xludf.DUMMYFUNCTION("""COMPUTED_VALUE"""),"RSC005999")</f>
        <v>RSC005999</v>
      </c>
      <c r="B5980" s="41" t="str">
        <f>IFERROR(__xludf.DUMMYFUNCTION("""COMPUTED_VALUE"""),"juicey_RL")</f>
        <v>juicey_RL</v>
      </c>
    </row>
    <row r="5981">
      <c r="A5981" s="41" t="str">
        <f>IFERROR(__xludf.DUMMYFUNCTION("""COMPUTED_VALUE"""),"RSC006000")</f>
        <v>RSC006000</v>
      </c>
      <c r="B5981" s="41" t="str">
        <f>IFERROR(__xludf.DUMMYFUNCTION("""COMPUTED_VALUE"""),"janixity.")</f>
        <v>janixity.</v>
      </c>
    </row>
    <row r="5982">
      <c r="A5982" s="41" t="str">
        <f>IFERROR(__xludf.DUMMYFUNCTION("""COMPUTED_VALUE"""),"RSC006001")</f>
        <v>RSC006001</v>
      </c>
      <c r="B5982" s="41" t="str">
        <f>IFERROR(__xludf.DUMMYFUNCTION("""COMPUTED_VALUE"""),"Asapbetty")</f>
        <v>Asapbetty</v>
      </c>
    </row>
    <row r="5983">
      <c r="A5983" s="41" t="str">
        <f>IFERROR(__xludf.DUMMYFUNCTION("""COMPUTED_VALUE"""),"RSC006002")</f>
        <v>RSC006002</v>
      </c>
      <c r="B5983" s="41" t="str">
        <f>IFERROR(__xludf.DUMMYFUNCTION("""COMPUTED_VALUE"""),"Ekko")</f>
        <v>Ekko</v>
      </c>
    </row>
    <row r="5984">
      <c r="A5984" s="41" t="str">
        <f>IFERROR(__xludf.DUMMYFUNCTION("""COMPUTED_VALUE"""),"RSC006003")</f>
        <v>RSC006003</v>
      </c>
      <c r="B5984" s="41" t="str">
        <f>IFERROR(__xludf.DUMMYFUNCTION("""COMPUTED_VALUE"""),"dephin3d")</f>
        <v>dephin3d</v>
      </c>
    </row>
    <row r="5985">
      <c r="A5985" s="41" t="str">
        <f>IFERROR(__xludf.DUMMYFUNCTION("""COMPUTED_VALUE"""),"RSC006004")</f>
        <v>RSC006004</v>
      </c>
      <c r="B5985" s="41" t="str">
        <f>IFERROR(__xludf.DUMMYFUNCTION("""COMPUTED_VALUE"""),"LargeKingWilly")</f>
        <v>LargeKingWilly</v>
      </c>
    </row>
    <row r="5986">
      <c r="A5986" s="41" t="str">
        <f>IFERROR(__xludf.DUMMYFUNCTION("""COMPUTED_VALUE"""),"RSC006005")</f>
        <v>RSC006005</v>
      </c>
      <c r="B5986" s="41" t="str">
        <f>IFERROR(__xludf.DUMMYFUNCTION("""COMPUTED_VALUE"""),"IShowNoSpeedSRB")</f>
        <v>IShowNoSpeedSRB</v>
      </c>
    </row>
    <row r="5987">
      <c r="A5987" s="41" t="str">
        <f>IFERROR(__xludf.DUMMYFUNCTION("""COMPUTED_VALUE"""),"RSC006006")</f>
        <v>RSC006006</v>
      </c>
      <c r="B5987" s="41" t="str">
        <f>IFERROR(__xludf.DUMMYFUNCTION("""COMPUTED_VALUE"""),"Balynce")</f>
        <v>Balynce</v>
      </c>
    </row>
    <row r="5988">
      <c r="A5988" s="41" t="str">
        <f>IFERROR(__xludf.DUMMYFUNCTION("""COMPUTED_VALUE"""),"RSC006007")</f>
        <v>RSC006007</v>
      </c>
      <c r="B5988" s="41" t="str">
        <f>IFERROR(__xludf.DUMMYFUNCTION("""COMPUTED_VALUE"""),"Lupito-")</f>
        <v>Lupito-</v>
      </c>
    </row>
    <row r="5989">
      <c r="A5989" s="41" t="str">
        <f>IFERROR(__xludf.DUMMYFUNCTION("""COMPUTED_VALUE"""),"RSC006008")</f>
        <v>RSC006008</v>
      </c>
      <c r="B5989" s="41" t="str">
        <f>IFERROR(__xludf.DUMMYFUNCTION("""COMPUTED_VALUE"""),"Croutqn")</f>
        <v>Croutqn</v>
      </c>
    </row>
    <row r="5990">
      <c r="A5990" s="41" t="str">
        <f>IFERROR(__xludf.DUMMYFUNCTION("""COMPUTED_VALUE"""),"RSC006009")</f>
        <v>RSC006009</v>
      </c>
      <c r="B5990" s="41" t="str">
        <f>IFERROR(__xludf.DUMMYFUNCTION("""COMPUTED_VALUE"""),"hdmi75hz")</f>
        <v>hdmi75hz</v>
      </c>
    </row>
    <row r="5991">
      <c r="A5991" s="41" t="str">
        <f>IFERROR(__xludf.DUMMYFUNCTION("""COMPUTED_VALUE"""),"RSC006010")</f>
        <v>RSC006010</v>
      </c>
      <c r="B5991" s="41" t="str">
        <f>IFERROR(__xludf.DUMMYFUNCTION("""COMPUTED_VALUE"""),"jiminyninja")</f>
        <v>jiminyninja</v>
      </c>
    </row>
    <row r="5992">
      <c r="A5992" s="41" t="str">
        <f>IFERROR(__xludf.DUMMYFUNCTION("""COMPUTED_VALUE"""),"RSC006011")</f>
        <v>RSC006011</v>
      </c>
      <c r="B5992" s="41" t="str">
        <f>IFERROR(__xludf.DUMMYFUNCTION("""COMPUTED_VALUE"""),"Zephrence")</f>
        <v>Zephrence</v>
      </c>
    </row>
    <row r="5993">
      <c r="A5993" s="41" t="str">
        <f>IFERROR(__xludf.DUMMYFUNCTION("""COMPUTED_VALUE"""),"RSC006012")</f>
        <v>RSC006012</v>
      </c>
      <c r="B5993" s="41" t="str">
        <f>IFERROR(__xludf.DUMMYFUNCTION("""COMPUTED_VALUE"""),"JPD.")</f>
        <v>JPD.</v>
      </c>
    </row>
    <row r="5994">
      <c r="A5994" s="41" t="str">
        <f>IFERROR(__xludf.DUMMYFUNCTION("""COMPUTED_VALUE"""),"RSC006013")</f>
        <v>RSC006013</v>
      </c>
      <c r="B5994" s="41" t="str">
        <f>IFERROR(__xludf.DUMMYFUNCTION("""COMPUTED_VALUE"""),"Ocean Chugger")</f>
        <v>Ocean Chugger</v>
      </c>
    </row>
    <row r="5995">
      <c r="A5995" s="41" t="str">
        <f>IFERROR(__xludf.DUMMYFUNCTION("""COMPUTED_VALUE"""),"RSC006014")</f>
        <v>RSC006014</v>
      </c>
      <c r="B5995" s="41" t="str">
        <f>IFERROR(__xludf.DUMMYFUNCTION("""COMPUTED_VALUE"""),"tan the man 1107")</f>
        <v>tan the man 1107</v>
      </c>
    </row>
    <row r="5996">
      <c r="A5996" s="41" t="str">
        <f>IFERROR(__xludf.DUMMYFUNCTION("""COMPUTED_VALUE"""),"RSC006015")</f>
        <v>RSC006015</v>
      </c>
      <c r="B5996" s="41" t="str">
        <f>IFERROR(__xludf.DUMMYFUNCTION("""COMPUTED_VALUE"""),"10k Kozr")</f>
        <v>10k Kozr</v>
      </c>
    </row>
    <row r="5997">
      <c r="A5997" s="41" t="str">
        <f>IFERROR(__xludf.DUMMYFUNCTION("""COMPUTED_VALUE"""),"RSC006016")</f>
        <v>RSC006016</v>
      </c>
      <c r="B5997" s="41" t="str">
        <f>IFERROR(__xludf.DUMMYFUNCTION("""COMPUTED_VALUE"""),"pacman")</f>
        <v>pacman</v>
      </c>
    </row>
    <row r="5998">
      <c r="A5998" s="41" t="str">
        <f>IFERROR(__xludf.DUMMYFUNCTION("""COMPUTED_VALUE"""),"RSC006017")</f>
        <v>RSC006017</v>
      </c>
      <c r="B5998" s="41" t="str">
        <f>IFERROR(__xludf.DUMMYFUNCTION("""COMPUTED_VALUE"""),"Dondo RF")</f>
        <v>Dondo RF</v>
      </c>
    </row>
    <row r="5999">
      <c r="A5999" s="41" t="str">
        <f>IFERROR(__xludf.DUMMYFUNCTION("""COMPUTED_VALUE"""),"RSC006018")</f>
        <v>RSC006018</v>
      </c>
      <c r="B5999" s="41" t="str">
        <f>IFERROR(__xludf.DUMMYFUNCTION("""COMPUTED_VALUE"""),"Braamse")</f>
        <v>Braamse</v>
      </c>
    </row>
    <row r="6000">
      <c r="A6000" s="41" t="str">
        <f>IFERROR(__xludf.DUMMYFUNCTION("""COMPUTED_VALUE"""),"RSC006019")</f>
        <v>RSC006019</v>
      </c>
      <c r="B6000" s="41" t="str">
        <f>IFERROR(__xludf.DUMMYFUNCTION("""COMPUTED_VALUE"""),"Swift (old)")</f>
        <v>Swift (old)</v>
      </c>
    </row>
    <row r="6001">
      <c r="A6001" s="41" t="str">
        <f>IFERROR(__xludf.DUMMYFUNCTION("""COMPUTED_VALUE"""),"RSC006020")</f>
        <v>RSC006020</v>
      </c>
      <c r="B6001" s="41" t="str">
        <f>IFERROR(__xludf.DUMMYFUNCTION("""COMPUTED_VALUE"""),"dissa")</f>
        <v>dissa</v>
      </c>
    </row>
    <row r="6002">
      <c r="A6002" s="41" t="str">
        <f>IFERROR(__xludf.DUMMYFUNCTION("""COMPUTED_VALUE"""),"RSC006021")</f>
        <v>RSC006021</v>
      </c>
      <c r="B6002" s="41" t="str">
        <f>IFERROR(__xludf.DUMMYFUNCTION("""COMPUTED_VALUE"""),"qtKouri")</f>
        <v>qtKouri</v>
      </c>
    </row>
    <row r="6003">
      <c r="A6003" s="41" t="str">
        <f>IFERROR(__xludf.DUMMYFUNCTION("""COMPUTED_VALUE"""),"RSC006022")</f>
        <v>RSC006022</v>
      </c>
      <c r="B6003" s="41" t="str">
        <f>IFERROR(__xludf.DUMMYFUNCTION("""COMPUTED_VALUE"""),"N0MrThomasMn")</f>
        <v>N0MrThomasMn</v>
      </c>
    </row>
    <row r="6004">
      <c r="A6004" s="41" t="str">
        <f>IFERROR(__xludf.DUMMYFUNCTION("""COMPUTED_VALUE"""),"RSC006023")</f>
        <v>RSC006023</v>
      </c>
      <c r="B6004" s="41" t="str">
        <f>IFERROR(__xludf.DUMMYFUNCTION("""COMPUTED_VALUE"""),"EpikTaha")</f>
        <v>EpikTaha</v>
      </c>
    </row>
    <row r="6005">
      <c r="A6005" s="41" t="str">
        <f>IFERROR(__xludf.DUMMYFUNCTION("""COMPUTED_VALUE"""),"RSC006024")</f>
        <v>RSC006024</v>
      </c>
      <c r="B6005" s="41" t="str">
        <f>IFERROR(__xludf.DUMMYFUNCTION("""COMPUTED_VALUE"""),"DrizzyDaDizzy")</f>
        <v>DrizzyDaDizzy</v>
      </c>
    </row>
    <row r="6006">
      <c r="A6006" s="41" t="str">
        <f>IFERROR(__xludf.DUMMYFUNCTION("""COMPUTED_VALUE"""),"RSC006025")</f>
        <v>RSC006025</v>
      </c>
      <c r="B6006" s="41" t="str">
        <f>IFERROR(__xludf.DUMMYFUNCTION("""COMPUTED_VALUE"""),"Flawless")</f>
        <v>Flawless</v>
      </c>
    </row>
    <row r="6007">
      <c r="A6007" s="41" t="str">
        <f>IFERROR(__xludf.DUMMYFUNCTION("""COMPUTED_VALUE"""),"RSC006026")</f>
        <v>RSC006026</v>
      </c>
      <c r="B6007" s="41" t="str">
        <f>IFERROR(__xludf.DUMMYFUNCTION("""COMPUTED_VALUE"""),"TonyOnefine69")</f>
        <v>TonyOnefine69</v>
      </c>
    </row>
    <row r="6008">
      <c r="A6008" s="41" t="str">
        <f>IFERROR(__xludf.DUMMYFUNCTION("""COMPUTED_VALUE"""),"RSC006027")</f>
        <v>RSC006027</v>
      </c>
      <c r="B6008" s="41" t="str">
        <f>IFERROR(__xludf.DUMMYFUNCTION("""COMPUTED_VALUE"""),"sageburner")</f>
        <v>sageburner</v>
      </c>
    </row>
    <row r="6009">
      <c r="A6009" s="41" t="str">
        <f>IFERROR(__xludf.DUMMYFUNCTION("""COMPUTED_VALUE"""),"RSC006028")</f>
        <v>RSC006028</v>
      </c>
      <c r="B6009" s="41" t="str">
        <f>IFERROR(__xludf.DUMMYFUNCTION("""COMPUTED_VALUE"""),"Pxtru")</f>
        <v>Pxtru</v>
      </c>
    </row>
    <row r="6010">
      <c r="A6010" s="41" t="str">
        <f>IFERROR(__xludf.DUMMYFUNCTION("""COMPUTED_VALUE"""),"RSC006029")</f>
        <v>RSC006029</v>
      </c>
      <c r="B6010" s="41" t="str">
        <f>IFERROR(__xludf.DUMMYFUNCTION("""COMPUTED_VALUE"""),"bman.")</f>
        <v>bman.</v>
      </c>
    </row>
    <row r="6011">
      <c r="A6011" s="41" t="str">
        <f>IFERROR(__xludf.DUMMYFUNCTION("""COMPUTED_VALUE"""),"RSC006030")</f>
        <v>RSC006030</v>
      </c>
      <c r="B6011" s="41" t="str">
        <f>IFERROR(__xludf.DUMMYFUNCTION("""COMPUTED_VALUE"""),"WTRDragon_")</f>
        <v>WTRDragon_</v>
      </c>
    </row>
    <row r="6012">
      <c r="A6012" s="41" t="str">
        <f>IFERROR(__xludf.DUMMYFUNCTION("""COMPUTED_VALUE"""),"RSC006031")</f>
        <v>RSC006031</v>
      </c>
      <c r="B6012" s="41" t="str">
        <f>IFERROR(__xludf.DUMMYFUNCTION("""COMPUTED_VALUE"""),"IAmTheMostHumble")</f>
        <v>IAmTheMostHumble</v>
      </c>
    </row>
    <row r="6013">
      <c r="A6013" s="41" t="str">
        <f>IFERROR(__xludf.DUMMYFUNCTION("""COMPUTED_VALUE"""),"RSC006032")</f>
        <v>RSC006032</v>
      </c>
      <c r="B6013" s="41" t="str">
        <f>IFERROR(__xludf.DUMMYFUNCTION("""COMPUTED_VALUE"""),"teejayyRL")</f>
        <v>teejayyRL</v>
      </c>
    </row>
    <row r="6014">
      <c r="A6014" s="41" t="str">
        <f>IFERROR(__xludf.DUMMYFUNCTION("""COMPUTED_VALUE"""),"RSC006033")</f>
        <v>RSC006033</v>
      </c>
      <c r="B6014" s="41" t="str">
        <f>IFERROR(__xludf.DUMMYFUNCTION("""COMPUTED_VALUE"""),"Gnash7")</f>
        <v>Gnash7</v>
      </c>
    </row>
    <row r="6015">
      <c r="A6015" s="41" t="str">
        <f>IFERROR(__xludf.DUMMYFUNCTION("""COMPUTED_VALUE"""),"RSC006034")</f>
        <v>RSC006034</v>
      </c>
      <c r="B6015" s="41" t="str">
        <f>IFERROR(__xludf.DUMMYFUNCTION("""COMPUTED_VALUE"""),"RoromeYT")</f>
        <v>RoromeYT</v>
      </c>
    </row>
    <row r="6016">
      <c r="A6016" s="41" t="str">
        <f>IFERROR(__xludf.DUMMYFUNCTION("""COMPUTED_VALUE"""),"RSC006035")</f>
        <v>RSC006035</v>
      </c>
      <c r="B6016" s="41" t="str">
        <f>IFERROR(__xludf.DUMMYFUNCTION("""COMPUTED_VALUE"""),"WashedTopher")</f>
        <v>WashedTopher</v>
      </c>
    </row>
    <row r="6017">
      <c r="A6017" s="41" t="str">
        <f>IFERROR(__xludf.DUMMYFUNCTION("""COMPUTED_VALUE"""),"RSC006036")</f>
        <v>RSC006036</v>
      </c>
      <c r="B6017" s="41" t="str">
        <f>IFERROR(__xludf.DUMMYFUNCTION("""COMPUTED_VALUE"""),"Ibuprofen02")</f>
        <v>Ibuprofen02</v>
      </c>
    </row>
    <row r="6018">
      <c r="A6018" s="41" t="str">
        <f>IFERROR(__xludf.DUMMYFUNCTION("""COMPUTED_VALUE"""),"RSC006037")</f>
        <v>RSC006037</v>
      </c>
      <c r="B6018" s="41" t="str">
        <f>IFERROR(__xludf.DUMMYFUNCTION("""COMPUTED_VALUE"""),"K1NGPOLLOCK")</f>
        <v>K1NGPOLLOCK</v>
      </c>
    </row>
    <row r="6019">
      <c r="A6019" s="41" t="str">
        <f>IFERROR(__xludf.DUMMYFUNCTION("""COMPUTED_VALUE"""),"RSC006038")</f>
        <v>RSC006038</v>
      </c>
      <c r="B6019" s="41" t="str">
        <f>IFERROR(__xludf.DUMMYFUNCTION("""COMPUTED_VALUE"""),"SirBlazing420")</f>
        <v>SirBlazing420</v>
      </c>
    </row>
    <row r="6020">
      <c r="A6020" s="41" t="str">
        <f>IFERROR(__xludf.DUMMYFUNCTION("""COMPUTED_VALUE"""),"RSC006039")</f>
        <v>RSC006039</v>
      </c>
      <c r="B6020" s="41" t="str">
        <f>IFERROR(__xludf.DUMMYFUNCTION("""COMPUTED_VALUE"""),"Dennnd")</f>
        <v>Dennnd</v>
      </c>
    </row>
    <row r="6021">
      <c r="A6021" s="41" t="str">
        <f>IFERROR(__xludf.DUMMYFUNCTION("""COMPUTED_VALUE"""),"RSC006040")</f>
        <v>RSC006040</v>
      </c>
      <c r="B6021" s="41" t="str">
        <f>IFERROR(__xludf.DUMMYFUNCTION("""COMPUTED_VALUE"""),"lukapih")</f>
        <v>lukapih</v>
      </c>
    </row>
    <row r="6022">
      <c r="A6022" s="41" t="str">
        <f>IFERROR(__xludf.DUMMYFUNCTION("""COMPUTED_VALUE"""),"RSC006041")</f>
        <v>RSC006041</v>
      </c>
      <c r="B6022" s="41" t="str">
        <f>IFERROR(__xludf.DUMMYFUNCTION("""COMPUTED_VALUE"""),"Fabtality")</f>
        <v>Fabtality</v>
      </c>
    </row>
    <row r="6023">
      <c r="A6023" s="41" t="str">
        <f>IFERROR(__xludf.DUMMYFUNCTION("""COMPUTED_VALUE"""),"RSC006042")</f>
        <v>RSC006042</v>
      </c>
      <c r="B6023" s="41" t="str">
        <f>IFERROR(__xludf.DUMMYFUNCTION("""COMPUTED_VALUE"""),"SuperThr33s")</f>
        <v>SuperThr33s</v>
      </c>
    </row>
    <row r="6024">
      <c r="A6024" s="41" t="str">
        <f>IFERROR(__xludf.DUMMYFUNCTION("""COMPUTED_VALUE"""),"RSC006043")</f>
        <v>RSC006043</v>
      </c>
      <c r="B6024" s="41" t="str">
        <f>IFERROR(__xludf.DUMMYFUNCTION("""COMPUTED_VALUE"""),".pass")</f>
        <v>.pass</v>
      </c>
    </row>
    <row r="6025">
      <c r="A6025" s="41" t="str">
        <f>IFERROR(__xludf.DUMMYFUNCTION("""COMPUTED_VALUE"""),"RSC006044")</f>
        <v>RSC006044</v>
      </c>
      <c r="B6025" s="41" t="str">
        <f>IFERROR(__xludf.DUMMYFUNCTION("""COMPUTED_VALUE"""),"HybridParagon")</f>
        <v>HybridParagon</v>
      </c>
    </row>
    <row r="6026">
      <c r="A6026" s="41" t="str">
        <f>IFERROR(__xludf.DUMMYFUNCTION("""COMPUTED_VALUE"""),"RSC006045")</f>
        <v>RSC006045</v>
      </c>
      <c r="B6026" s="41" t="str">
        <f>IFERROR(__xludf.DUMMYFUNCTION("""COMPUTED_VALUE"""),"dennis_feinstein")</f>
        <v>dennis_feinstein</v>
      </c>
    </row>
    <row r="6027">
      <c r="A6027" s="41" t="str">
        <f>IFERROR(__xludf.DUMMYFUNCTION("""COMPUTED_VALUE"""),"RSC006046")</f>
        <v>RSC006046</v>
      </c>
      <c r="B6027" s="41" t="str">
        <f>IFERROR(__xludf.DUMMYFUNCTION("""COMPUTED_VALUE"""),"tehsnarf")</f>
        <v>tehsnarf</v>
      </c>
    </row>
    <row r="6028">
      <c r="A6028" s="41" t="str">
        <f>IFERROR(__xludf.DUMMYFUNCTION("""COMPUTED_VALUE"""),"RSC006047")</f>
        <v>RSC006047</v>
      </c>
      <c r="B6028" s="41" t="str">
        <f>IFERROR(__xludf.DUMMYFUNCTION("""COMPUTED_VALUE"""),"ThirdWorldPowers")</f>
        <v>ThirdWorldPowers</v>
      </c>
    </row>
    <row r="6029">
      <c r="A6029" s="41" t="str">
        <f>IFERROR(__xludf.DUMMYFUNCTION("""COMPUTED_VALUE"""),"RSC006048")</f>
        <v>RSC006048</v>
      </c>
      <c r="B6029" s="41" t="str">
        <f>IFERROR(__xludf.DUMMYFUNCTION("""COMPUTED_VALUE"""),"callev0706")</f>
        <v>callev0706</v>
      </c>
    </row>
    <row r="6030">
      <c r="A6030" s="41" t="str">
        <f>IFERROR(__xludf.DUMMYFUNCTION("""COMPUTED_VALUE"""),"RSC006049")</f>
        <v>RSC006049</v>
      </c>
      <c r="B6030" s="41" t="str">
        <f>IFERROR(__xludf.DUMMYFUNCTION("""COMPUTED_VALUE"""),"IAmReaperr_-")</f>
        <v>IAmReaperr_-</v>
      </c>
    </row>
    <row r="6031">
      <c r="A6031" s="41" t="str">
        <f>IFERROR(__xludf.DUMMYFUNCTION("""COMPUTED_VALUE"""),"RSC006050")</f>
        <v>RSC006050</v>
      </c>
      <c r="B6031" s="41" t="str">
        <f>IFERROR(__xludf.DUMMYFUNCTION("""COMPUTED_VALUE"""),"Rhinocersaurus")</f>
        <v>Rhinocersaurus</v>
      </c>
    </row>
    <row r="6032">
      <c r="A6032" s="41" t="str">
        <f>IFERROR(__xludf.DUMMYFUNCTION("""COMPUTED_VALUE"""),"RSC006051")</f>
        <v>RSC006051</v>
      </c>
      <c r="B6032" s="41" t="str">
        <f>IFERROR(__xludf.DUMMYFUNCTION("""COMPUTED_VALUE"""),"altary 777")</f>
        <v>altary 777</v>
      </c>
    </row>
    <row r="6033">
      <c r="A6033" s="41" t="str">
        <f>IFERROR(__xludf.DUMMYFUNCTION("""COMPUTED_VALUE"""),"RSC006052")</f>
        <v>RSC006052</v>
      </c>
      <c r="B6033" s="41" t="str">
        <f>IFERROR(__xludf.DUMMYFUNCTION("""COMPUTED_VALUE"""),"Melly")</f>
        <v>Melly</v>
      </c>
    </row>
    <row r="6034">
      <c r="A6034" s="41" t="str">
        <f>IFERROR(__xludf.DUMMYFUNCTION("""COMPUTED_VALUE"""),"RSC006053")</f>
        <v>RSC006053</v>
      </c>
      <c r="B6034" s="41" t="str">
        <f>IFERROR(__xludf.DUMMYFUNCTION("""COMPUTED_VALUE"""),"Laser011907")</f>
        <v>Laser011907</v>
      </c>
    </row>
    <row r="6035">
      <c r="A6035" s="41" t="str">
        <f>IFERROR(__xludf.DUMMYFUNCTION("""COMPUTED_VALUE"""),"RSC006054")</f>
        <v>RSC006054</v>
      </c>
      <c r="B6035" s="41" t="str">
        <f>IFERROR(__xludf.DUMMYFUNCTION("""COMPUTED_VALUE"""),"cheez")</f>
        <v>cheez</v>
      </c>
    </row>
    <row r="6036">
      <c r="A6036" s="41" t="str">
        <f>IFERROR(__xludf.DUMMYFUNCTION("""COMPUTED_VALUE"""),"RSC006055")</f>
        <v>RSC006055</v>
      </c>
      <c r="B6036" s="41" t="str">
        <f>IFERROR(__xludf.DUMMYFUNCTION("""COMPUTED_VALUE"""),"Scifiey")</f>
        <v>Scifiey</v>
      </c>
    </row>
    <row r="6037">
      <c r="A6037" s="41" t="str">
        <f>IFERROR(__xludf.DUMMYFUNCTION("""COMPUTED_VALUE"""),"RSC006056")</f>
        <v>RSC006056</v>
      </c>
      <c r="B6037" s="41" t="str">
        <f>IFERROR(__xludf.DUMMYFUNCTION("""COMPUTED_VALUE"""),"redsteel43br")</f>
        <v>redsteel43br</v>
      </c>
    </row>
    <row r="6038">
      <c r="A6038" s="41" t="str">
        <f>IFERROR(__xludf.DUMMYFUNCTION("""COMPUTED_VALUE"""),"RSC006057")</f>
        <v>RSC006057</v>
      </c>
      <c r="B6038" s="41" t="str">
        <f>IFERROR(__xludf.DUMMYFUNCTION("""COMPUTED_VALUE"""),"Prey Eli")</f>
        <v>Prey Eli</v>
      </c>
    </row>
    <row r="6039">
      <c r="A6039" s="41" t="str">
        <f>IFERROR(__xludf.DUMMYFUNCTION("""COMPUTED_VALUE"""),"RSC006058")</f>
        <v>RSC006058</v>
      </c>
      <c r="B6039" s="41" t="str">
        <f>IFERROR(__xludf.DUMMYFUNCTION("""COMPUTED_VALUE"""),"PapaTurtle2slow")</f>
        <v>PapaTurtle2slow</v>
      </c>
    </row>
    <row r="6040">
      <c r="A6040" s="41" t="str">
        <f>IFERROR(__xludf.DUMMYFUNCTION("""COMPUTED_VALUE"""),"RSC006059")</f>
        <v>RSC006059</v>
      </c>
      <c r="B6040" s="41" t="str">
        <f>IFERROR(__xludf.DUMMYFUNCTION("""COMPUTED_VALUE"""),"sssvid")</f>
        <v>sssvid</v>
      </c>
    </row>
    <row r="6041">
      <c r="A6041" s="41" t="str">
        <f>IFERROR(__xludf.DUMMYFUNCTION("""COMPUTED_VALUE"""),"RSC006060")</f>
        <v>RSC006060</v>
      </c>
      <c r="B6041" s="41" t="str">
        <f>IFERROR(__xludf.DUMMYFUNCTION("""COMPUTED_VALUE"""),"WP_Merciless")</f>
        <v>WP_Merciless</v>
      </c>
    </row>
    <row r="6042">
      <c r="A6042" s="41" t="str">
        <f>IFERROR(__xludf.DUMMYFUNCTION("""COMPUTED_VALUE"""),"RSC006061")</f>
        <v>RSC006061</v>
      </c>
      <c r="B6042" s="41" t="str">
        <f>IFERROR(__xludf.DUMMYFUNCTION("""COMPUTED_VALUE"""),"SPINEBRE4KR29")</f>
        <v>SPINEBRE4KR29</v>
      </c>
    </row>
    <row r="6043">
      <c r="A6043" s="41" t="str">
        <f>IFERROR(__xludf.DUMMYFUNCTION("""COMPUTED_VALUE"""),"RSC006062")</f>
        <v>RSC006062</v>
      </c>
      <c r="B6043" s="41" t="str">
        <f>IFERROR(__xludf.DUMMYFUNCTION("""COMPUTED_VALUE"""),"tristann3")</f>
        <v>tristann3</v>
      </c>
    </row>
    <row r="6044">
      <c r="A6044" s="41" t="str">
        <f>IFERROR(__xludf.DUMMYFUNCTION("""COMPUTED_VALUE"""),"RSC006063")</f>
        <v>RSC006063</v>
      </c>
      <c r="B6044" s="41" t="str">
        <f>IFERROR(__xludf.DUMMYFUNCTION("""COMPUTED_VALUE"""),"CC JM122508")</f>
        <v>CC JM122508</v>
      </c>
    </row>
    <row r="6045">
      <c r="A6045" s="41" t="str">
        <f>IFERROR(__xludf.DUMMYFUNCTION("""COMPUTED_VALUE"""),"RSC006064")</f>
        <v>RSC006064</v>
      </c>
      <c r="B6045" s="41" t="str">
        <f>IFERROR(__xludf.DUMMYFUNCTION("""COMPUTED_VALUE"""),"BooG690")</f>
        <v>BooG690</v>
      </c>
    </row>
    <row r="6046">
      <c r="A6046" s="41" t="str">
        <f>IFERROR(__xludf.DUMMYFUNCTION("""COMPUTED_VALUE"""),"RSC006065")</f>
        <v>RSC006065</v>
      </c>
      <c r="B6046" s="41" t="str">
        <f>IFERROR(__xludf.DUMMYFUNCTION("""COMPUTED_VALUE"""),"Darkstorm77")</f>
        <v>Darkstorm77</v>
      </c>
    </row>
    <row r="6047">
      <c r="A6047" s="41" t="str">
        <f>IFERROR(__xludf.DUMMYFUNCTION("""COMPUTED_VALUE"""),"RSC006066")</f>
        <v>RSC006066</v>
      </c>
      <c r="B6047" s="41" t="str">
        <f>IFERROR(__xludf.DUMMYFUNCTION("""COMPUTED_VALUE"""),"GoldenTiger5")</f>
        <v>GoldenTiger5</v>
      </c>
    </row>
    <row r="6048">
      <c r="A6048" s="41" t="str">
        <f>IFERROR(__xludf.DUMMYFUNCTION("""COMPUTED_VALUE"""),"RSC006067")</f>
        <v>RSC006067</v>
      </c>
      <c r="B6048" s="41" t="str">
        <f>IFERROR(__xludf.DUMMYFUNCTION("""COMPUTED_VALUE"""),"ShinxX403")</f>
        <v>ShinxX403</v>
      </c>
    </row>
    <row r="6049">
      <c r="A6049" s="41" t="str">
        <f>IFERROR(__xludf.DUMMYFUNCTION("""COMPUTED_VALUE"""),"RSC006068")</f>
        <v>RSC006068</v>
      </c>
      <c r="B6049" s="41" t="str">
        <f>IFERROR(__xludf.DUMMYFUNCTION("""COMPUTED_VALUE"""),"brockin_out")</f>
        <v>brockin_out</v>
      </c>
    </row>
    <row r="6050">
      <c r="A6050" s="41" t="str">
        <f>IFERROR(__xludf.DUMMYFUNCTION("""COMPUTED_VALUE"""),"RSC006069")</f>
        <v>RSC006069</v>
      </c>
      <c r="B6050" s="41" t="str">
        <f>IFERROR(__xludf.DUMMYFUNCTION("""COMPUTED_VALUE"""),"PoupSoup")</f>
        <v>PoupSoup</v>
      </c>
    </row>
    <row r="6051">
      <c r="A6051" s="41" t="str">
        <f>IFERROR(__xludf.DUMMYFUNCTION("""COMPUTED_VALUE"""),"RSC006070")</f>
        <v>RSC006070</v>
      </c>
      <c r="B6051" s="41" t="str">
        <f>IFERROR(__xludf.DUMMYFUNCTION("""COMPUTED_VALUE"""),"EB_killa77")</f>
        <v>EB_killa77</v>
      </c>
    </row>
    <row r="6052">
      <c r="A6052" s="41" t="str">
        <f>IFERROR(__xludf.DUMMYFUNCTION("""COMPUTED_VALUE"""),"RSC006071")</f>
        <v>RSC006071</v>
      </c>
      <c r="B6052" s="41" t="str">
        <f>IFERROR(__xludf.DUMMYFUNCTION("""COMPUTED_VALUE"""),"Dougie")</f>
        <v>Dougie</v>
      </c>
    </row>
    <row r="6053">
      <c r="A6053" s="41" t="str">
        <f>IFERROR(__xludf.DUMMYFUNCTION("""COMPUTED_VALUE"""),"RSC006072")</f>
        <v>RSC006072</v>
      </c>
      <c r="B6053" s="41" t="str">
        <f>IFERROR(__xludf.DUMMYFUNCTION("""COMPUTED_VALUE"""),"AveX InceptionZ")</f>
        <v>AveX InceptionZ</v>
      </c>
    </row>
    <row r="6054">
      <c r="A6054" s="41" t="str">
        <f>IFERROR(__xludf.DUMMYFUNCTION("""COMPUTED_VALUE"""),"RSC006073")</f>
        <v>RSC006073</v>
      </c>
      <c r="B6054" s="41" t="str">
        <f>IFERROR(__xludf.DUMMYFUNCTION("""COMPUTED_VALUE"""),"Kyle.")</f>
        <v>Kyle.</v>
      </c>
    </row>
    <row r="6055">
      <c r="A6055" s="41" t="str">
        <f>IFERROR(__xludf.DUMMYFUNCTION("""COMPUTED_VALUE"""),"RSC006074")</f>
        <v>RSC006074</v>
      </c>
      <c r="B6055" s="41" t="str">
        <f>IFERROR(__xludf.DUMMYFUNCTION("""COMPUTED_VALUE"""),"fated-ramrod48")</f>
        <v>fated-ramrod48</v>
      </c>
    </row>
    <row r="6056">
      <c r="A6056" s="41" t="str">
        <f>IFERROR(__xludf.DUMMYFUNCTION("""COMPUTED_VALUE"""),"RSC006075")</f>
        <v>RSC006075</v>
      </c>
      <c r="B6056" s="41" t="str">
        <f>IFERROR(__xludf.DUMMYFUNCTION("""COMPUTED_VALUE"""),"MadMaddox25")</f>
        <v>MadMaddox25</v>
      </c>
    </row>
    <row r="6057">
      <c r="A6057" s="41" t="str">
        <f>IFERROR(__xludf.DUMMYFUNCTION("""COMPUTED_VALUE"""),"RSC006076")</f>
        <v>RSC006076</v>
      </c>
      <c r="B6057" s="41" t="str">
        <f>IFERROR(__xludf.DUMMYFUNCTION("""COMPUTED_VALUE"""),"StretchyIsss")</f>
        <v>StretchyIsss</v>
      </c>
    </row>
    <row r="6058">
      <c r="A6058" s="41" t="str">
        <f>IFERROR(__xludf.DUMMYFUNCTION("""COMPUTED_VALUE"""),"RSC006077")</f>
        <v>RSC006077</v>
      </c>
      <c r="B6058" s="41" t="str">
        <f>IFERROR(__xludf.DUMMYFUNCTION("""COMPUTED_VALUE"""),"iamnotacook")</f>
        <v>iamnotacook</v>
      </c>
    </row>
    <row r="6059">
      <c r="A6059" s="41" t="str">
        <f>IFERROR(__xludf.DUMMYFUNCTION("""COMPUTED_VALUE"""),"RSC006078")</f>
        <v>RSC006078</v>
      </c>
      <c r="B6059" s="41" t="str">
        <f>IFERROR(__xludf.DUMMYFUNCTION("""COMPUTED_VALUE"""),"Crimed0ge")</f>
        <v>Crimed0ge</v>
      </c>
    </row>
    <row r="6060">
      <c r="A6060" s="41" t="str">
        <f>IFERROR(__xludf.DUMMYFUNCTION("""COMPUTED_VALUE"""),"RSC006079")</f>
        <v>RSC006079</v>
      </c>
      <c r="B6060" s="41" t="str">
        <f>IFERROR(__xludf.DUMMYFUNCTION("""COMPUTED_VALUE"""),"Kevooo")</f>
        <v>Kevooo</v>
      </c>
    </row>
    <row r="6061">
      <c r="A6061" s="41" t="str">
        <f>IFERROR(__xludf.DUMMYFUNCTION("""COMPUTED_VALUE"""),"RSC006080")</f>
        <v>RSC006080</v>
      </c>
      <c r="B6061" s="41" t="str">
        <f>IFERROR(__xludf.DUMMYFUNCTION("""COMPUTED_VALUE"""),"Eligaming38")</f>
        <v>Eligaming38</v>
      </c>
    </row>
    <row r="6062">
      <c r="A6062" s="41" t="str">
        <f>IFERROR(__xludf.DUMMYFUNCTION("""COMPUTED_VALUE"""),"RSC006081")</f>
        <v>RSC006081</v>
      </c>
      <c r="B6062" s="41" t="str">
        <f>IFERROR(__xludf.DUMMYFUNCTION("""COMPUTED_VALUE"""),"cebula60hz")</f>
        <v>cebula60hz</v>
      </c>
    </row>
    <row r="6063">
      <c r="A6063" s="41" t="str">
        <f>IFERROR(__xludf.DUMMYFUNCTION("""COMPUTED_VALUE"""),"RSC006082")</f>
        <v>RSC006082</v>
      </c>
      <c r="B6063" s="41" t="str">
        <f>IFERROR(__xludf.DUMMYFUNCTION("""COMPUTED_VALUE"""),"BlueSky.")</f>
        <v>BlueSky.</v>
      </c>
    </row>
    <row r="6064">
      <c r="A6064" s="41" t="str">
        <f>IFERROR(__xludf.DUMMYFUNCTION("""COMPUTED_VALUE"""),"RSC006083")</f>
        <v>RSC006083</v>
      </c>
      <c r="B6064" s="41" t="str">
        <f>IFERROR(__xludf.DUMMYFUNCTION("""COMPUTED_VALUE"""),"Robbie405")</f>
        <v>Robbie405</v>
      </c>
    </row>
    <row r="6065">
      <c r="A6065" s="41" t="str">
        <f>IFERROR(__xludf.DUMMYFUNCTION("""COMPUTED_VALUE"""),"RSC006084")</f>
        <v>RSC006084</v>
      </c>
      <c r="B6065" s="41" t="str">
        <f>IFERROR(__xludf.DUMMYFUNCTION("""COMPUTED_VALUE"""),"Visxry")</f>
        <v>Visxry</v>
      </c>
    </row>
    <row r="6066">
      <c r="A6066" s="41" t="str">
        <f>IFERROR(__xludf.DUMMYFUNCTION("""COMPUTED_VALUE"""),"RSC006085")</f>
        <v>RSC006085</v>
      </c>
      <c r="B6066" s="41" t="str">
        <f>IFERROR(__xludf.DUMMYFUNCTION("""COMPUTED_VALUE"""),"River272")</f>
        <v>River272</v>
      </c>
    </row>
    <row r="6067">
      <c r="A6067" s="41" t="str">
        <f>IFERROR(__xludf.DUMMYFUNCTION("""COMPUTED_VALUE"""),"RSC006086")</f>
        <v>RSC006086</v>
      </c>
      <c r="B6067" s="41" t="str">
        <f>IFERROR(__xludf.DUMMYFUNCTION("""COMPUTED_VALUE"""),"13o0k")</f>
        <v>13o0k</v>
      </c>
    </row>
    <row r="6068">
      <c r="A6068" s="41" t="str">
        <f>IFERROR(__xludf.DUMMYFUNCTION("""COMPUTED_VALUE"""),"RSC006087")</f>
        <v>RSC006087</v>
      </c>
      <c r="B6068" s="41" t="str">
        <f>IFERROR(__xludf.DUMMYFUNCTION("""COMPUTED_VALUE"""),"DoorTK")</f>
        <v>DoorTK</v>
      </c>
    </row>
    <row r="6069">
      <c r="A6069" s="41" t="str">
        <f>IFERROR(__xludf.DUMMYFUNCTION("""COMPUTED_VALUE"""),"RSC006088")</f>
        <v>RSC006088</v>
      </c>
      <c r="B6069" s="41" t="str">
        <f>IFERROR(__xludf.DUMMYFUNCTION("""COMPUTED_VALUE"""),"CasualNudist")</f>
        <v>CasualNudist</v>
      </c>
    </row>
    <row r="6070">
      <c r="A6070" s="41" t="str">
        <f>IFERROR(__xludf.DUMMYFUNCTION("""COMPUTED_VALUE"""),"RSC006089")</f>
        <v>RSC006089</v>
      </c>
      <c r="B6070" s="41" t="str">
        <f>IFERROR(__xludf.DUMMYFUNCTION("""COMPUTED_VALUE"""),"ZeroPop11")</f>
        <v>ZeroPop11</v>
      </c>
    </row>
    <row r="6071">
      <c r="A6071" s="41" t="str">
        <f>IFERROR(__xludf.DUMMYFUNCTION("""COMPUTED_VALUE"""),"RSC006090")</f>
        <v>RSC006090</v>
      </c>
      <c r="B6071" s="41" t="str">
        <f>IFERROR(__xludf.DUMMYFUNCTION("""COMPUTED_VALUE"""),"parmeseanzo")</f>
        <v>parmeseanzo</v>
      </c>
    </row>
    <row r="6072">
      <c r="A6072" s="41" t="str">
        <f>IFERROR(__xludf.DUMMYFUNCTION("""COMPUTED_VALUE"""),"RSC006091")</f>
        <v>RSC006091</v>
      </c>
      <c r="B6072" s="41" t="str">
        <f>IFERROR(__xludf.DUMMYFUNCTION("""COMPUTED_VALUE"""),"Hazy_Powers98")</f>
        <v>Hazy_Powers98</v>
      </c>
    </row>
    <row r="6073">
      <c r="A6073" s="41" t="str">
        <f>IFERROR(__xludf.DUMMYFUNCTION("""COMPUTED_VALUE"""),"RSC006092")</f>
        <v>RSC006092</v>
      </c>
      <c r="B6073" s="41" t="str">
        <f>IFERROR(__xludf.DUMMYFUNCTION("""COMPUTED_VALUE"""),"Mick")</f>
        <v>Mick</v>
      </c>
    </row>
    <row r="6074">
      <c r="A6074" s="41" t="str">
        <f>IFERROR(__xludf.DUMMYFUNCTION("""COMPUTED_VALUE"""),"RSC006093")</f>
        <v>RSC006093</v>
      </c>
      <c r="B6074" s="41" t="str">
        <f>IFERROR(__xludf.DUMMYFUNCTION("""COMPUTED_VALUE"""),"warrai711")</f>
        <v>warrai711</v>
      </c>
    </row>
    <row r="6075">
      <c r="A6075" s="41" t="str">
        <f>IFERROR(__xludf.DUMMYFUNCTION("""COMPUTED_VALUE"""),"RSC006094")</f>
        <v>RSC006094</v>
      </c>
      <c r="B6075" s="41" t="str">
        <f>IFERROR(__xludf.DUMMYFUNCTION("""COMPUTED_VALUE"""),"Impavv")</f>
        <v>Impavv</v>
      </c>
    </row>
    <row r="6076">
      <c r="A6076" s="41" t="str">
        <f>IFERROR(__xludf.DUMMYFUNCTION("""COMPUTED_VALUE"""),"RSC006095")</f>
        <v>RSC006095</v>
      </c>
      <c r="B6076" s="41" t="str">
        <f>IFERROR(__xludf.DUMMYFUNCTION("""COMPUTED_VALUE"""),"pinkpepper13")</f>
        <v>pinkpepper13</v>
      </c>
    </row>
    <row r="6077">
      <c r="A6077" s="41" t="str">
        <f>IFERROR(__xludf.DUMMYFUNCTION("""COMPUTED_VALUE"""),"RSC006096")</f>
        <v>RSC006096</v>
      </c>
      <c r="B6077" s="41" t="str">
        <f>IFERROR(__xludf.DUMMYFUNCTION("""COMPUTED_VALUE"""),"MikesNoPro")</f>
        <v>MikesNoPro</v>
      </c>
    </row>
    <row r="6078">
      <c r="A6078" s="41" t="str">
        <f>IFERROR(__xludf.DUMMYFUNCTION("""COMPUTED_VALUE"""),"RSC006097")</f>
        <v>RSC006097</v>
      </c>
      <c r="B6078" s="41" t="str">
        <f>IFERROR(__xludf.DUMMYFUNCTION("""COMPUTED_VALUE"""),"Willy Doo")</f>
        <v>Willy Doo</v>
      </c>
    </row>
    <row r="6079">
      <c r="A6079" s="41" t="str">
        <f>IFERROR(__xludf.DUMMYFUNCTION("""COMPUTED_VALUE"""),"RSC006098")</f>
        <v>RSC006098</v>
      </c>
      <c r="B6079" s="41" t="str">
        <f>IFERROR(__xludf.DUMMYFUNCTION("""COMPUTED_VALUE"""),"Arrow.")</f>
        <v>Arrow.</v>
      </c>
    </row>
    <row r="6080">
      <c r="A6080" s="41" t="str">
        <f>IFERROR(__xludf.DUMMYFUNCTION("""COMPUTED_VALUE"""),"RSC006099")</f>
        <v>RSC006099</v>
      </c>
      <c r="B6080" s="41" t="str">
        <f>IFERROR(__xludf.DUMMYFUNCTION("""COMPUTED_VALUE"""),"IIBrocII")</f>
        <v>IIBrocII</v>
      </c>
    </row>
    <row r="6081">
      <c r="A6081" s="41" t="str">
        <f>IFERROR(__xludf.DUMMYFUNCTION("""COMPUTED_VALUE"""),"RSC006100")</f>
        <v>RSC006100</v>
      </c>
      <c r="B6081" s="41" t="str">
        <f>IFERROR(__xludf.DUMMYFUNCTION("""COMPUTED_VALUE"""),"coolkid438")</f>
        <v>coolkid438</v>
      </c>
    </row>
    <row r="6082">
      <c r="A6082" s="41" t="str">
        <f>IFERROR(__xludf.DUMMYFUNCTION("""COMPUTED_VALUE"""),"RSC006101")</f>
        <v>RSC006101</v>
      </c>
      <c r="B6082" s="41" t="str">
        <f>IFERROR(__xludf.DUMMYFUNCTION("""COMPUTED_VALUE"""),"Vikha")</f>
        <v>Vikha</v>
      </c>
    </row>
    <row r="6083">
      <c r="A6083" s="41" t="str">
        <f>IFERROR(__xludf.DUMMYFUNCTION("""COMPUTED_VALUE"""),"RSC006102")</f>
        <v>RSC006102</v>
      </c>
      <c r="B6083" s="41" t="str">
        <f>IFERROR(__xludf.DUMMYFUNCTION("""COMPUTED_VALUE"""),"vanquish_.")</f>
        <v>vanquish_.</v>
      </c>
    </row>
    <row r="6084">
      <c r="A6084" s="41" t="str">
        <f>IFERROR(__xludf.DUMMYFUNCTION("""COMPUTED_VALUE"""),"RSC006103")</f>
        <v>RSC006103</v>
      </c>
      <c r="B6084" s="41" t="str">
        <f>IFERROR(__xludf.DUMMYFUNCTION("""COMPUTED_VALUE"""),"BlackDawgg-_-")</f>
        <v>BlackDawgg-_-</v>
      </c>
    </row>
    <row r="6085">
      <c r="A6085" s="41" t="str">
        <f>IFERROR(__xludf.DUMMYFUNCTION("""COMPUTED_VALUE"""),"RSC006104")</f>
        <v>RSC006104</v>
      </c>
      <c r="B6085" s="41" t="str">
        <f>IFERROR(__xludf.DUMMYFUNCTION("""COMPUTED_VALUE"""),"Vasx7")</f>
        <v>Vasx7</v>
      </c>
    </row>
    <row r="6086">
      <c r="A6086" s="41" t="str">
        <f>IFERROR(__xludf.DUMMYFUNCTION("""COMPUTED_VALUE"""),"RSC006105")</f>
        <v>RSC006105</v>
      </c>
      <c r="B6086" s="41" t="str">
        <f>IFERROR(__xludf.DUMMYFUNCTION("""COMPUTED_VALUE"""),"twisted_tea_ras")</f>
        <v>twisted_tea_ras</v>
      </c>
    </row>
    <row r="6087">
      <c r="A6087" s="41" t="str">
        <f>IFERROR(__xludf.DUMMYFUNCTION("""COMPUTED_VALUE"""),"RSC006106")</f>
        <v>RSC006106</v>
      </c>
      <c r="B6087" s="41" t="str">
        <f>IFERROR(__xludf.DUMMYFUNCTION("""COMPUTED_VALUE"""),"Ryu")</f>
        <v>Ryu</v>
      </c>
    </row>
    <row r="6088">
      <c r="A6088" s="41" t="str">
        <f>IFERROR(__xludf.DUMMYFUNCTION("""COMPUTED_VALUE"""),"RSC006107")</f>
        <v>RSC006107</v>
      </c>
      <c r="B6088" s="41" t="str">
        <f>IFERROR(__xludf.DUMMYFUNCTION("""COMPUTED_VALUE"""),"I LOVE CUSE")</f>
        <v>I LOVE CUSE</v>
      </c>
    </row>
    <row r="6089">
      <c r="A6089" s="41" t="str">
        <f>IFERROR(__xludf.DUMMYFUNCTION("""COMPUTED_VALUE"""),"RSC006108")</f>
        <v>RSC006108</v>
      </c>
      <c r="B6089" s="41" t="str">
        <f>IFERROR(__xludf.DUMMYFUNCTION("""COMPUTED_VALUE"""),"austination123")</f>
        <v>austination123</v>
      </c>
    </row>
    <row r="6090">
      <c r="A6090" s="41" t="str">
        <f>IFERROR(__xludf.DUMMYFUNCTION("""COMPUTED_VALUE"""),"RSC006109")</f>
        <v>RSC006109</v>
      </c>
      <c r="B6090" s="41" t="str">
        <f>IFERROR(__xludf.DUMMYFUNCTION("""COMPUTED_VALUE"""),"thatBUGZBUNNY")</f>
        <v>thatBUGZBUNNY</v>
      </c>
    </row>
    <row r="6091">
      <c r="A6091" s="41" t="str">
        <f>IFERROR(__xludf.DUMMYFUNCTION("""COMPUTED_VALUE"""),"RSC006110")</f>
        <v>RSC006110</v>
      </c>
      <c r="B6091" s="41" t="str">
        <f>IFERROR(__xludf.DUMMYFUNCTION("""COMPUTED_VALUE"""),"MasterOogway9358")</f>
        <v>MasterOogway9358</v>
      </c>
    </row>
    <row r="6092">
      <c r="A6092" s="41" t="str">
        <f>IFERROR(__xludf.DUMMYFUNCTION("""COMPUTED_VALUE"""),"RSC006111")</f>
        <v>RSC006111</v>
      </c>
      <c r="B6092" s="41" t="str">
        <f>IFERROR(__xludf.DUMMYFUNCTION("""COMPUTED_VALUE"""),"SmoothOperator")</f>
        <v>SmoothOperator</v>
      </c>
    </row>
    <row r="6093">
      <c r="A6093" s="41" t="str">
        <f>IFERROR(__xludf.DUMMYFUNCTION("""COMPUTED_VALUE"""),"RSC006112")</f>
        <v>RSC006112</v>
      </c>
      <c r="B6093" s="41" t="str">
        <f>IFERROR(__xludf.DUMMYFUNCTION("""COMPUTED_VALUE"""),"XposedGamingYT")</f>
        <v>XposedGamingYT</v>
      </c>
    </row>
    <row r="6094">
      <c r="A6094" s="41" t="str">
        <f>IFERROR(__xludf.DUMMYFUNCTION("""COMPUTED_VALUE"""),"RSC006113")</f>
        <v>RSC006113</v>
      </c>
      <c r="B6094" s="41" t="str">
        <f>IFERROR(__xludf.DUMMYFUNCTION("""COMPUTED_VALUE"""),"aztk_")</f>
        <v>aztk_</v>
      </c>
    </row>
    <row r="6095">
      <c r="A6095" s="41" t="str">
        <f>IFERROR(__xludf.DUMMYFUNCTION("""COMPUTED_VALUE"""),"RSC006114")</f>
        <v>RSC006114</v>
      </c>
      <c r="B6095" s="41" t="str">
        <f>IFERROR(__xludf.DUMMYFUNCTION("""COMPUTED_VALUE"""),"EliteInkGamingYT")</f>
        <v>EliteInkGamingYT</v>
      </c>
    </row>
    <row r="6096">
      <c r="A6096" s="41" t="str">
        <f>IFERROR(__xludf.DUMMYFUNCTION("""COMPUTED_VALUE"""),"RSC006115")</f>
        <v>RSC006115</v>
      </c>
      <c r="B6096" s="41" t="str">
        <f>IFERROR(__xludf.DUMMYFUNCTION("""COMPUTED_VALUE"""),"Shame")</f>
        <v>Shame</v>
      </c>
    </row>
    <row r="6097">
      <c r="A6097" s="41" t="str">
        <f>IFERROR(__xludf.DUMMYFUNCTION("""COMPUTED_VALUE"""),"RSC006116")</f>
        <v>RSC006116</v>
      </c>
      <c r="B6097" s="41" t="str">
        <f>IFERROR(__xludf.DUMMYFUNCTION("""COMPUTED_VALUE"""),"VolumedFish9")</f>
        <v>VolumedFish9</v>
      </c>
    </row>
    <row r="6098">
      <c r="A6098" s="41" t="str">
        <f>IFERROR(__xludf.DUMMYFUNCTION("""COMPUTED_VALUE"""),"RSC006117")</f>
        <v>RSC006117</v>
      </c>
      <c r="B6098" s="41" t="str">
        <f>IFERROR(__xludf.DUMMYFUNCTION("""COMPUTED_VALUE"""),"Astn4")</f>
        <v>Astn4</v>
      </c>
    </row>
    <row r="6099">
      <c r="A6099" s="41" t="str">
        <f>IFERROR(__xludf.DUMMYFUNCTION("""COMPUTED_VALUE"""),"RSC006118")</f>
        <v>RSC006118</v>
      </c>
      <c r="B6099" s="41" t="str">
        <f>IFERROR(__xludf.DUMMYFUNCTION("""COMPUTED_VALUE"""),"Projectx850.")</f>
        <v>Projectx850.</v>
      </c>
    </row>
    <row r="6100">
      <c r="A6100" s="41" t="str">
        <f>IFERROR(__xludf.DUMMYFUNCTION("""COMPUTED_VALUE"""),"RSC006119")</f>
        <v>RSC006119</v>
      </c>
      <c r="B6100" s="41" t="str">
        <f>IFERROR(__xludf.DUMMYFUNCTION("""COMPUTED_VALUE"""),"grbdj")</f>
        <v>grbdj</v>
      </c>
    </row>
    <row r="6101">
      <c r="A6101" s="41" t="str">
        <f>IFERROR(__xludf.DUMMYFUNCTION("""COMPUTED_VALUE"""),"RSC006120")</f>
        <v>RSC006120</v>
      </c>
      <c r="B6101" s="41" t="str">
        <f>IFERROR(__xludf.DUMMYFUNCTION("""COMPUTED_VALUE"""),"Mr_TheDoor")</f>
        <v>Mr_TheDoor</v>
      </c>
    </row>
    <row r="6102">
      <c r="A6102" s="41" t="str">
        <f>IFERROR(__xludf.DUMMYFUNCTION("""COMPUTED_VALUE"""),"RSC006121")</f>
        <v>RSC006121</v>
      </c>
      <c r="B6102" s="41" t="str">
        <f>IFERROR(__xludf.DUMMYFUNCTION("""COMPUTED_VALUE"""),"kratozz")</f>
        <v>kratozz</v>
      </c>
    </row>
    <row r="6103">
      <c r="A6103" s="41" t="str">
        <f>IFERROR(__xludf.DUMMYFUNCTION("""COMPUTED_VALUE"""),"RSC006122")</f>
        <v>RSC006122</v>
      </c>
      <c r="B6103" s="41" t="str">
        <f>IFERROR(__xludf.DUMMYFUNCTION("""COMPUTED_VALUE"""),"Ally412_")</f>
        <v>Ally412_</v>
      </c>
    </row>
    <row r="6104">
      <c r="A6104" s="41" t="str">
        <f>IFERROR(__xludf.DUMMYFUNCTION("""COMPUTED_VALUE"""),"RSC006123")</f>
        <v>RSC006123</v>
      </c>
      <c r="B6104" s="41" t="str">
        <f>IFERROR(__xludf.DUMMYFUNCTION("""COMPUTED_VALUE"""),"MikeMac")</f>
        <v>MikeMac</v>
      </c>
    </row>
    <row r="6105">
      <c r="A6105" s="41" t="str">
        <f>IFERROR(__xludf.DUMMYFUNCTION("""COMPUTED_VALUE"""),"RSC006124")</f>
        <v>RSC006124</v>
      </c>
      <c r="B6105" s="41" t="str">
        <f>IFERROR(__xludf.DUMMYFUNCTION("""COMPUTED_VALUE"""),"BobMcJuicer")</f>
        <v>BobMcJuicer</v>
      </c>
    </row>
    <row r="6106">
      <c r="A6106" s="41" t="str">
        <f>IFERROR(__xludf.DUMMYFUNCTION("""COMPUTED_VALUE"""),"RSC006125")</f>
        <v>RSC006125</v>
      </c>
      <c r="B6106" s="41" t="str">
        <f>IFERROR(__xludf.DUMMYFUNCTION("""COMPUTED_VALUE"""),"obwazsj08")</f>
        <v>obwazsj08</v>
      </c>
    </row>
    <row r="6107">
      <c r="A6107" s="41" t="str">
        <f>IFERROR(__xludf.DUMMYFUNCTION("""COMPUTED_VALUE"""),"RSC006126")</f>
        <v>RSC006126</v>
      </c>
      <c r="B6107" s="41" t="str">
        <f>IFERROR(__xludf.DUMMYFUNCTION("""COMPUTED_VALUE"""),"tbr_tj")</f>
        <v>tbr_tj</v>
      </c>
    </row>
    <row r="6108">
      <c r="A6108" s="41" t="str">
        <f>IFERROR(__xludf.DUMMYFUNCTION("""COMPUTED_VALUE"""),"RSC006127")</f>
        <v>RSC006127</v>
      </c>
      <c r="B6108" s="41" t="str">
        <f>IFERROR(__xludf.DUMMYFUNCTION("""COMPUTED_VALUE"""),"theBudLightPanda")</f>
        <v>theBudLightPanda</v>
      </c>
    </row>
    <row r="6109">
      <c r="A6109" s="41" t="str">
        <f>IFERROR(__xludf.DUMMYFUNCTION("""COMPUTED_VALUE"""),"RSC006128")</f>
        <v>RSC006128</v>
      </c>
      <c r="B6109" s="41" t="str">
        <f>IFERROR(__xludf.DUMMYFUNCTION("""COMPUTED_VALUE"""),"anth0")</f>
        <v>anth0</v>
      </c>
    </row>
    <row r="6110">
      <c r="A6110" s="41" t="str">
        <f>IFERROR(__xludf.DUMMYFUNCTION("""COMPUTED_VALUE"""),"RSC006129")</f>
        <v>RSC006129</v>
      </c>
      <c r="B6110" s="41" t="str">
        <f>IFERROR(__xludf.DUMMYFUNCTION("""COMPUTED_VALUE"""),"Bliss")</f>
        <v>Bliss</v>
      </c>
    </row>
    <row r="6111">
      <c r="A6111" s="41" t="str">
        <f>IFERROR(__xludf.DUMMYFUNCTION("""COMPUTED_VALUE"""),"RSC006130")</f>
        <v>RSC006130</v>
      </c>
      <c r="B6111" s="41" t="str">
        <f>IFERROR(__xludf.DUMMYFUNCTION("""COMPUTED_VALUE"""),"MOXX_07")</f>
        <v>MOXX_07</v>
      </c>
    </row>
    <row r="6112">
      <c r="A6112" s="41" t="str">
        <f>IFERROR(__xludf.DUMMYFUNCTION("""COMPUTED_VALUE"""),"RSC006131")</f>
        <v>RSC006131</v>
      </c>
      <c r="B6112" s="41" t="str">
        <f>IFERROR(__xludf.DUMMYFUNCTION("""COMPUTED_VALUE"""),"BrieocheBread")</f>
        <v>BrieocheBread</v>
      </c>
    </row>
    <row r="6113">
      <c r="A6113" s="41" t="str">
        <f>IFERROR(__xludf.DUMMYFUNCTION("""COMPUTED_VALUE"""),"RSC006132")</f>
        <v>RSC006132</v>
      </c>
      <c r="B6113" s="41" t="str">
        <f>IFERROR(__xludf.DUMMYFUNCTION("""COMPUTED_VALUE"""),"Cryptic")</f>
        <v>Cryptic</v>
      </c>
    </row>
    <row r="6114">
      <c r="A6114" s="41" t="str">
        <f>IFERROR(__xludf.DUMMYFUNCTION("""COMPUTED_VALUE"""),"RSC006133")</f>
        <v>RSC006133</v>
      </c>
      <c r="B6114" s="41" t="str">
        <f>IFERROR(__xludf.DUMMYFUNCTION("""COMPUTED_VALUE"""),"Ur Fav | Caleb")</f>
        <v>Ur Fav | Caleb</v>
      </c>
    </row>
    <row r="6115">
      <c r="A6115" s="41" t="str">
        <f>IFERROR(__xludf.DUMMYFUNCTION("""COMPUTED_VALUE"""),"RSC006134")</f>
        <v>RSC006134</v>
      </c>
      <c r="B6115" s="41" t="str">
        <f>IFERROR(__xludf.DUMMYFUNCTION("""COMPUTED_VALUE"""),"Harveeh")</f>
        <v>Harveeh</v>
      </c>
    </row>
    <row r="6116">
      <c r="A6116" s="41" t="str">
        <f>IFERROR(__xludf.DUMMYFUNCTION("""COMPUTED_VALUE"""),"RSC006135")</f>
        <v>RSC006135</v>
      </c>
      <c r="B6116" s="41" t="str">
        <f>IFERROR(__xludf.DUMMYFUNCTION("""COMPUTED_VALUE"""),"Moon Cheese")</f>
        <v>Moon Cheese</v>
      </c>
    </row>
    <row r="6117">
      <c r="A6117" s="41" t="str">
        <f>IFERROR(__xludf.DUMMYFUNCTION("""COMPUTED_VALUE"""),"RSC006136")</f>
        <v>RSC006136</v>
      </c>
      <c r="B6117" s="41" t="str">
        <f>IFERROR(__xludf.DUMMYFUNCTION("""COMPUTED_VALUE"""),"Kirby -_-")</f>
        <v>Kirby -_-</v>
      </c>
    </row>
    <row r="6118">
      <c r="A6118" s="41" t="str">
        <f>IFERROR(__xludf.DUMMYFUNCTION("""COMPUTED_VALUE"""),"RSC006137")</f>
        <v>RSC006137</v>
      </c>
      <c r="B6118" s="41" t="str">
        <f>IFERROR(__xludf.DUMMYFUNCTION("""COMPUTED_VALUE"""),"FULLBL00DN8V")</f>
        <v>FULLBL00DN8V</v>
      </c>
    </row>
    <row r="6119">
      <c r="A6119" s="41" t="str">
        <f>IFERROR(__xludf.DUMMYFUNCTION("""COMPUTED_VALUE"""),"RSC006138")</f>
        <v>RSC006138</v>
      </c>
      <c r="B6119" s="41" t="str">
        <f>IFERROR(__xludf.DUMMYFUNCTION("""COMPUTED_VALUE"""),"NekomancerKoral")</f>
        <v>NekomancerKoral</v>
      </c>
    </row>
    <row r="6120">
      <c r="A6120" s="41" t="str">
        <f>IFERROR(__xludf.DUMMYFUNCTION("""COMPUTED_VALUE"""),"RSC006139")</f>
        <v>RSC006139</v>
      </c>
      <c r="B6120" s="41" t="str">
        <f>IFERROR(__xludf.DUMMYFUNCTION("""COMPUTED_VALUE"""),"kx")</f>
        <v>kx</v>
      </c>
    </row>
    <row r="6121">
      <c r="A6121" s="41" t="str">
        <f>IFERROR(__xludf.DUMMYFUNCTION("""COMPUTED_VALUE"""),"RSC006140")</f>
        <v>RSC006140</v>
      </c>
      <c r="B6121" s="41" t="str">
        <f>IFERROR(__xludf.DUMMYFUNCTION("""COMPUTED_VALUE"""),"Jay_Kay99")</f>
        <v>Jay_Kay99</v>
      </c>
    </row>
    <row r="6122">
      <c r="A6122" s="41" t="str">
        <f>IFERROR(__xludf.DUMMYFUNCTION("""COMPUTED_VALUE"""),"RSC006141")</f>
        <v>RSC006141</v>
      </c>
      <c r="B6122" s="41" t="str">
        <f>IFERROR(__xludf.DUMMYFUNCTION("""COMPUTED_VALUE"""),"SmityPncakes")</f>
        <v>SmityPncakes</v>
      </c>
    </row>
    <row r="6123">
      <c r="A6123" s="41" t="str">
        <f>IFERROR(__xludf.DUMMYFUNCTION("""COMPUTED_VALUE"""),"RSC006142")</f>
        <v>RSC006142</v>
      </c>
      <c r="B6123" s="41" t="str">
        <f>IFERROR(__xludf.DUMMYFUNCTION("""COMPUTED_VALUE"""),"KujoHimself TTV")</f>
        <v>KujoHimself TTV</v>
      </c>
    </row>
    <row r="6124">
      <c r="A6124" s="41" t="str">
        <f>IFERROR(__xludf.DUMMYFUNCTION("""COMPUTED_VALUE"""),"RSC006143")</f>
        <v>RSC006143</v>
      </c>
      <c r="B6124" s="41" t="str">
        <f>IFERROR(__xludf.DUMMYFUNCTION("""COMPUTED_VALUE"""),"NONAMESHHH")</f>
        <v>NONAMESHHH</v>
      </c>
    </row>
    <row r="6125">
      <c r="A6125" s="41" t="str">
        <f>IFERROR(__xludf.DUMMYFUNCTION("""COMPUTED_VALUE"""),"RSC006144")</f>
        <v>RSC006144</v>
      </c>
      <c r="B6125" s="41" t="str">
        <f>IFERROR(__xludf.DUMMYFUNCTION("""COMPUTED_VALUE"""),"Laughing")</f>
        <v>Laughing</v>
      </c>
    </row>
    <row r="6126">
      <c r="A6126" s="41" t="str">
        <f>IFERROR(__xludf.DUMMYFUNCTION("""COMPUTED_VALUE"""),"RSC006145")</f>
        <v>RSC006145</v>
      </c>
      <c r="B6126" s="41" t="str">
        <f>IFERROR(__xludf.DUMMYFUNCTION("""COMPUTED_VALUE"""),"caepio2")</f>
        <v>caepio2</v>
      </c>
    </row>
    <row r="6127">
      <c r="A6127" s="41" t="str">
        <f>IFERROR(__xludf.DUMMYFUNCTION("""COMPUTED_VALUE"""),"RSC006146")</f>
        <v>RSC006146</v>
      </c>
      <c r="B6127" s="41" t="str">
        <f>IFERROR(__xludf.DUMMYFUNCTION("""COMPUTED_VALUE"""),"Metricmiler")</f>
        <v>Metricmiler</v>
      </c>
    </row>
    <row r="6128">
      <c r="A6128" s="41" t="str">
        <f>IFERROR(__xludf.DUMMYFUNCTION("""COMPUTED_VALUE"""),"RSC006147")</f>
        <v>RSC006147</v>
      </c>
      <c r="B6128" s="41" t="str">
        <f>IFERROR(__xludf.DUMMYFUNCTION("""COMPUTED_VALUE"""),"Stolris")</f>
        <v>Stolris</v>
      </c>
    </row>
    <row r="6129">
      <c r="A6129" s="41" t="str">
        <f>IFERROR(__xludf.DUMMYFUNCTION("""COMPUTED_VALUE"""),"RSC006148")</f>
        <v>RSC006148</v>
      </c>
      <c r="B6129" s="41" t="str">
        <f>IFERROR(__xludf.DUMMYFUNCTION("""COMPUTED_VALUE"""),"keeman08")</f>
        <v>keeman08</v>
      </c>
    </row>
    <row r="6130">
      <c r="A6130" s="41" t="str">
        <f>IFERROR(__xludf.DUMMYFUNCTION("""COMPUTED_VALUE"""),"RSC006150")</f>
        <v>RSC006150</v>
      </c>
      <c r="B6130" s="41" t="str">
        <f>IFERROR(__xludf.DUMMYFUNCTION("""COMPUTED_VALUE"""),"GenZo")</f>
        <v>GenZo</v>
      </c>
    </row>
    <row r="6131">
      <c r="A6131" s="41" t="str">
        <f>IFERROR(__xludf.DUMMYFUNCTION("""COMPUTED_VALUE"""),"RSC006151")</f>
        <v>RSC006151</v>
      </c>
      <c r="B6131" s="41" t="str">
        <f>IFERROR(__xludf.DUMMYFUNCTION("""COMPUTED_VALUE"""),"Arshiee")</f>
        <v>Arshiee</v>
      </c>
    </row>
    <row r="6132">
      <c r="A6132" s="41" t="str">
        <f>IFERROR(__xludf.DUMMYFUNCTION("""COMPUTED_VALUE"""),"RSC006152")</f>
        <v>RSC006152</v>
      </c>
      <c r="B6132" s="41" t="str">
        <f>IFERROR(__xludf.DUMMYFUNCTION("""COMPUTED_VALUE"""),"^Eli^")</f>
        <v>^Eli^</v>
      </c>
    </row>
    <row r="6133">
      <c r="A6133" s="41" t="str">
        <f>IFERROR(__xludf.DUMMYFUNCTION("""COMPUTED_VALUE"""),"RSC006153")</f>
        <v>RSC006153</v>
      </c>
      <c r="B6133" s="41" t="str">
        <f>IFERROR(__xludf.DUMMYFUNCTION("""COMPUTED_VALUE"""),"s0ftguy")</f>
        <v>s0ftguy</v>
      </c>
    </row>
    <row r="6134">
      <c r="A6134" s="41" t="str">
        <f>IFERROR(__xludf.DUMMYFUNCTION("""COMPUTED_VALUE"""),"RSC006154")</f>
        <v>RSC006154</v>
      </c>
      <c r="B6134" s="41" t="str">
        <f>IFERROR(__xludf.DUMMYFUNCTION("""COMPUTED_VALUE"""),"Nigel Thornbrake")</f>
        <v>Nigel Thornbrake</v>
      </c>
    </row>
    <row r="6135">
      <c r="A6135" s="41" t="str">
        <f>IFERROR(__xludf.DUMMYFUNCTION("""COMPUTED_VALUE"""),"RSC006155")</f>
        <v>RSC006155</v>
      </c>
      <c r="B6135" s="41" t="str">
        <f>IFERROR(__xludf.DUMMYFUNCTION("""COMPUTED_VALUE"""),"DragonPlex")</f>
        <v>DragonPlex</v>
      </c>
    </row>
    <row r="6136">
      <c r="A6136" s="41" t="str">
        <f>IFERROR(__xludf.DUMMYFUNCTION("""COMPUTED_VALUE"""),"RSC006156")</f>
        <v>RSC006156</v>
      </c>
      <c r="B6136" s="41" t="str">
        <f>IFERROR(__xludf.DUMMYFUNCTION("""COMPUTED_VALUE"""),"ASMIR51")</f>
        <v>ASMIR51</v>
      </c>
    </row>
    <row r="6137">
      <c r="A6137" s="41" t="str">
        <f>IFERROR(__xludf.DUMMYFUNCTION("""COMPUTED_VALUE"""),"RSC006157")</f>
        <v>RSC006157</v>
      </c>
      <c r="B6137" s="41" t="str">
        <f>IFERROR(__xludf.DUMMYFUNCTION("""COMPUTED_VALUE"""),"SpiralThunder")</f>
        <v>SpiralThunder</v>
      </c>
    </row>
    <row r="6138">
      <c r="A6138" s="41" t="str">
        <f>IFERROR(__xludf.DUMMYFUNCTION("""COMPUTED_VALUE"""),"RSC006158")</f>
        <v>RSC006158</v>
      </c>
      <c r="B6138" s="41" t="str">
        <f>IFERROR(__xludf.DUMMYFUNCTION("""COMPUTED_VALUE"""),"pepper")</f>
        <v>pepper</v>
      </c>
    </row>
    <row r="6139">
      <c r="A6139" s="41" t="str">
        <f>IFERROR(__xludf.DUMMYFUNCTION("""COMPUTED_VALUE"""),"RSC006159")</f>
        <v>RSC006159</v>
      </c>
      <c r="B6139" s="41" t="str">
        <f>IFERROR(__xludf.DUMMYFUNCTION("""COMPUTED_VALUE"""),"courtesan")</f>
        <v>courtesan</v>
      </c>
    </row>
    <row r="6140">
      <c r="A6140" s="41" t="str">
        <f>IFERROR(__xludf.DUMMYFUNCTION("""COMPUTED_VALUE"""),"RSC006160")</f>
        <v>RSC006160</v>
      </c>
      <c r="B6140" s="41" t="str">
        <f>IFERROR(__xludf.DUMMYFUNCTION("""COMPUTED_VALUE"""),"Bubs")</f>
        <v>Bubs</v>
      </c>
    </row>
    <row r="6141">
      <c r="A6141" s="41" t="str">
        <f>IFERROR(__xludf.DUMMYFUNCTION("""COMPUTED_VALUE"""),"RSC006161")</f>
        <v>RSC006161</v>
      </c>
      <c r="B6141" s="41" t="str">
        <f>IFERROR(__xludf.DUMMYFUNCTION("""COMPUTED_VALUE"""),"Geck.")</f>
        <v>Geck.</v>
      </c>
    </row>
    <row r="6142">
      <c r="A6142" s="41" t="str">
        <f>IFERROR(__xludf.DUMMYFUNCTION("""COMPUTED_VALUE"""),"RSC006162")</f>
        <v>RSC006162</v>
      </c>
      <c r="B6142" s="41" t="str">
        <f>IFERROR(__xludf.DUMMYFUNCTION("""COMPUTED_VALUE"""),"Im_Replays")</f>
        <v>Im_Replays</v>
      </c>
    </row>
    <row r="6143">
      <c r="A6143" s="41" t="str">
        <f>IFERROR(__xludf.DUMMYFUNCTION("""COMPUTED_VALUE"""),"RSC006163")</f>
        <v>RSC006163</v>
      </c>
      <c r="B6143" s="41" t="str">
        <f>IFERROR(__xludf.DUMMYFUNCTION("""COMPUTED_VALUE"""),"Pulse PogFish")</f>
        <v>Pulse PogFish</v>
      </c>
    </row>
    <row r="6144">
      <c r="A6144" s="41" t="str">
        <f>IFERROR(__xludf.DUMMYFUNCTION("""COMPUTED_VALUE"""),"RSC006164")</f>
        <v>RSC006164</v>
      </c>
      <c r="B6144" s="41" t="str">
        <f>IFERROR(__xludf.DUMMYFUNCTION("""COMPUTED_VALUE"""),"Dem")</f>
        <v>Dem</v>
      </c>
    </row>
    <row r="6145">
      <c r="A6145" s="41" t="str">
        <f>IFERROR(__xludf.DUMMYFUNCTION("""COMPUTED_VALUE"""),"RSC006165")</f>
        <v>RSC006165</v>
      </c>
      <c r="B6145" s="41" t="str">
        <f>IFERROR(__xludf.DUMMYFUNCTION("""COMPUTED_VALUE"""),"Drummerboy2022")</f>
        <v>Drummerboy2022</v>
      </c>
    </row>
    <row r="6146">
      <c r="A6146" s="41" t="str">
        <f>IFERROR(__xludf.DUMMYFUNCTION("""COMPUTED_VALUE"""),"RSC006166")</f>
        <v>RSC006166</v>
      </c>
      <c r="B6146" s="41" t="str">
        <f>IFERROR(__xludf.DUMMYFUNCTION("""COMPUTED_VALUE"""),"Simppz")</f>
        <v>Simppz</v>
      </c>
    </row>
    <row r="6147">
      <c r="A6147" s="41" t="str">
        <f>IFERROR(__xludf.DUMMYFUNCTION("""COMPUTED_VALUE"""),"RSC006167")</f>
        <v>RSC006167</v>
      </c>
      <c r="B6147" s="41" t="str">
        <f>IFERROR(__xludf.DUMMYFUNCTION("""COMPUTED_VALUE"""),"MagesticEagle1")</f>
        <v>MagesticEagle1</v>
      </c>
    </row>
    <row r="6148">
      <c r="A6148" s="41" t="str">
        <f>IFERROR(__xludf.DUMMYFUNCTION("""COMPUTED_VALUE"""),"RSC006168")</f>
        <v>RSC006168</v>
      </c>
      <c r="B6148" s="41" t="str">
        <f>IFERROR(__xludf.DUMMYFUNCTION("""COMPUTED_VALUE"""),"envyxnz")</f>
        <v>envyxnz</v>
      </c>
    </row>
    <row r="6149">
      <c r="A6149" s="41" t="str">
        <f>IFERROR(__xludf.DUMMYFUNCTION("""COMPUTED_VALUE"""),"RSC006169")</f>
        <v>RSC006169</v>
      </c>
      <c r="B6149" s="41" t="str">
        <f>IFERROR(__xludf.DUMMYFUNCTION("""COMPUTED_VALUE"""),"ExyRL.")</f>
        <v>ExyRL.</v>
      </c>
    </row>
    <row r="6150">
      <c r="A6150" s="41" t="str">
        <f>IFERROR(__xludf.DUMMYFUNCTION("""COMPUTED_VALUE"""),"RSC006170")</f>
        <v>RSC006170</v>
      </c>
      <c r="B6150" s="41" t="str">
        <f>IFERROR(__xludf.DUMMYFUNCTION("""COMPUTED_VALUE"""),"The End Of You")</f>
        <v>The End Of You</v>
      </c>
    </row>
    <row r="6151">
      <c r="A6151" s="41" t="str">
        <f>IFERROR(__xludf.DUMMYFUNCTION("""COMPUTED_VALUE"""),"RSC006171")</f>
        <v>RSC006171</v>
      </c>
      <c r="B6151" s="41" t="str">
        <f>IFERROR(__xludf.DUMMYFUNCTION("""COMPUTED_VALUE"""),"RivDog2121")</f>
        <v>RivDog2121</v>
      </c>
    </row>
    <row r="6152">
      <c r="A6152" s="41" t="str">
        <f>IFERROR(__xludf.DUMMYFUNCTION("""COMPUTED_VALUE"""),"RSC006172")</f>
        <v>RSC006172</v>
      </c>
      <c r="B6152" s="41" t="str">
        <f>IFERROR(__xludf.DUMMYFUNCTION("""COMPUTED_VALUE"""),"bumposaurusrex")</f>
        <v>bumposaurusrex</v>
      </c>
    </row>
    <row r="6153">
      <c r="A6153" s="41" t="str">
        <f>IFERROR(__xludf.DUMMYFUNCTION("""COMPUTED_VALUE"""),"RSC006173")</f>
        <v>RSC006173</v>
      </c>
      <c r="B6153" s="41" t="str">
        <f>IFERROR(__xludf.DUMMYFUNCTION("""COMPUTED_VALUE"""),"Racer")</f>
        <v>Racer</v>
      </c>
    </row>
    <row r="6154">
      <c r="A6154" s="41" t="str">
        <f>IFERROR(__xludf.DUMMYFUNCTION("""COMPUTED_VALUE"""),"RSC006174")</f>
        <v>RSC006174</v>
      </c>
      <c r="B6154" s="41" t="str">
        <f>IFERROR(__xludf.DUMMYFUNCTION("""COMPUTED_VALUE"""),"I like bananas")</f>
        <v>I like bananas</v>
      </c>
    </row>
    <row r="6155">
      <c r="A6155" s="41" t="str">
        <f>IFERROR(__xludf.DUMMYFUNCTION("""COMPUTED_VALUE"""),"RSC006175")</f>
        <v>RSC006175</v>
      </c>
      <c r="B6155" s="41" t="str">
        <f>IFERROR(__xludf.DUMMYFUNCTION("""COMPUTED_VALUE"""),"Jeffsie")</f>
        <v>Jeffsie</v>
      </c>
    </row>
    <row r="6156">
      <c r="A6156" s="41" t="str">
        <f>IFERROR(__xludf.DUMMYFUNCTION("""COMPUTED_VALUE"""),"RSC006176")</f>
        <v>RSC006176</v>
      </c>
      <c r="B6156" s="41" t="str">
        <f>IFERROR(__xludf.DUMMYFUNCTION("""COMPUTED_VALUE"""),"TwistedHydro")</f>
        <v>TwistedHydro</v>
      </c>
    </row>
    <row r="6157">
      <c r="A6157" s="41" t="str">
        <f>IFERROR(__xludf.DUMMYFUNCTION("""COMPUTED_VALUE"""),"RSC006177")</f>
        <v>RSC006177</v>
      </c>
      <c r="B6157" s="41" t="str">
        <f>IFERROR(__xludf.DUMMYFUNCTION("""COMPUTED_VALUE"""),"Flyerrr85")</f>
        <v>Flyerrr85</v>
      </c>
    </row>
    <row r="6158">
      <c r="A6158" s="41" t="str">
        <f>IFERROR(__xludf.DUMMYFUNCTION("""COMPUTED_VALUE"""),"RSC006178")</f>
        <v>RSC006178</v>
      </c>
      <c r="B6158" s="41" t="str">
        <f>IFERROR(__xludf.DUMMYFUNCTION("""COMPUTED_VALUE"""),"Nags02")</f>
        <v>Nags02</v>
      </c>
    </row>
    <row r="6159">
      <c r="A6159" s="41" t="str">
        <f>IFERROR(__xludf.DUMMYFUNCTION("""COMPUTED_VALUE"""),"RSC006179")</f>
        <v>RSC006179</v>
      </c>
      <c r="B6159" s="41" t="str">
        <f>IFERROR(__xludf.DUMMYFUNCTION("""COMPUTED_VALUE"""),"thiieving")</f>
        <v>thiieving</v>
      </c>
    </row>
    <row r="6160">
      <c r="A6160" s="41" t="str">
        <f>IFERROR(__xludf.DUMMYFUNCTION("""COMPUTED_VALUE"""),"RSC006180")</f>
        <v>RSC006180</v>
      </c>
      <c r="B6160" s="41" t="str">
        <f>IFERROR(__xludf.DUMMYFUNCTION("""COMPUTED_VALUE"""),"Env1sion.")</f>
        <v>Env1sion.</v>
      </c>
    </row>
    <row r="6161">
      <c r="A6161" s="41" t="str">
        <f>IFERROR(__xludf.DUMMYFUNCTION("""COMPUTED_VALUE"""),"RSC006181")</f>
        <v>RSC006181</v>
      </c>
      <c r="B6161" s="41" t="str">
        <f>IFERROR(__xludf.DUMMYFUNCTION("""COMPUTED_VALUE"""),"sHaKe")</f>
        <v>sHaKe</v>
      </c>
    </row>
    <row r="6162">
      <c r="A6162" s="41" t="str">
        <f>IFERROR(__xludf.DUMMYFUNCTION("""COMPUTED_VALUE"""),"RSC006182")</f>
        <v>RSC006182</v>
      </c>
      <c r="B6162" s="41" t="str">
        <f>IFERROR(__xludf.DUMMYFUNCTION("""COMPUTED_VALUE"""),"pxraid")</f>
        <v>pxraid</v>
      </c>
    </row>
    <row r="6163">
      <c r="A6163" s="41" t="str">
        <f>IFERROR(__xludf.DUMMYFUNCTION("""COMPUTED_VALUE"""),"RSC006183")</f>
        <v>RSC006183</v>
      </c>
      <c r="B6163" s="41" t="str">
        <f>IFERROR(__xludf.DUMMYFUNCTION("""COMPUTED_VALUE"""),"uhtxbby")</f>
        <v>uhtxbby</v>
      </c>
    </row>
    <row r="6164">
      <c r="A6164" s="41" t="str">
        <f>IFERROR(__xludf.DUMMYFUNCTION("""COMPUTED_VALUE"""),"RSC006184")</f>
        <v>RSC006184</v>
      </c>
      <c r="B6164" s="41" t="str">
        <f>IFERROR(__xludf.DUMMYFUNCTION("""COMPUTED_VALUE"""),"wild.")</f>
        <v>wild.</v>
      </c>
    </row>
    <row r="6165">
      <c r="A6165" s="41" t="str">
        <f>IFERROR(__xludf.DUMMYFUNCTION("""COMPUTED_VALUE"""),"RSC006185")</f>
        <v>RSC006185</v>
      </c>
      <c r="B6165" s="41" t="str">
        <f>IFERROR(__xludf.DUMMYFUNCTION("""COMPUTED_VALUE"""),"sandro")</f>
        <v>sandro</v>
      </c>
    </row>
    <row r="6166">
      <c r="A6166" s="41" t="str">
        <f>IFERROR(__xludf.DUMMYFUNCTION("""COMPUTED_VALUE"""),"RSC006186")</f>
        <v>RSC006186</v>
      </c>
      <c r="B6166" s="41" t="str">
        <f>IFERROR(__xludf.DUMMYFUNCTION("""COMPUTED_VALUE"""),"h!")</f>
        <v>h!</v>
      </c>
    </row>
    <row r="6167">
      <c r="A6167" s="41" t="str">
        <f>IFERROR(__xludf.DUMMYFUNCTION("""COMPUTED_VALUE"""),"RSC006187")</f>
        <v>RSC006187</v>
      </c>
      <c r="B6167" s="41" t="str">
        <f>IFERROR(__xludf.DUMMYFUNCTION("""COMPUTED_VALUE"""),"1999 Toyota Camry")</f>
        <v>1999 Toyota Camry</v>
      </c>
    </row>
    <row r="6168">
      <c r="A6168" s="41" t="str">
        <f>IFERROR(__xludf.DUMMYFUNCTION("""COMPUTED_VALUE"""),"RSC006188")</f>
        <v>RSC006188</v>
      </c>
      <c r="B6168" s="41" t="str">
        <f>IFERROR(__xludf.DUMMYFUNCTION("""COMPUTED_VALUE"""),"Billy_Man_Fi3h")</f>
        <v>Billy_Man_Fi3h</v>
      </c>
    </row>
    <row r="6169">
      <c r="A6169" s="41" t="str">
        <f>IFERROR(__xludf.DUMMYFUNCTION("""COMPUTED_VALUE"""),"RSC006189")</f>
        <v>RSC006189</v>
      </c>
      <c r="B6169" s="41" t="str">
        <f>IFERROR(__xludf.DUMMYFUNCTION("""COMPUTED_VALUE"""),"yeffoca")</f>
        <v>yeffoca</v>
      </c>
    </row>
    <row r="6170">
      <c r="A6170" s="41" t="str">
        <f>IFERROR(__xludf.DUMMYFUNCTION("""COMPUTED_VALUE"""),"RSC006190")</f>
        <v>RSC006190</v>
      </c>
      <c r="B6170" s="41" t="str">
        <f>IFERROR(__xludf.DUMMYFUNCTION("""COMPUTED_VALUE"""),"Genta")</f>
        <v>Genta</v>
      </c>
    </row>
    <row r="6171">
      <c r="A6171" s="41" t="str">
        <f>IFERROR(__xludf.DUMMYFUNCTION("""COMPUTED_VALUE"""),"RSC006191")</f>
        <v>RSC006191</v>
      </c>
      <c r="B6171" s="41" t="str">
        <f>IFERROR(__xludf.DUMMYFUNCTION("""COMPUTED_VALUE"""),"Jacesus")</f>
        <v>Jacesus</v>
      </c>
    </row>
    <row r="6172">
      <c r="A6172" s="41" t="str">
        <f>IFERROR(__xludf.DUMMYFUNCTION("""COMPUTED_VALUE"""),"RSC006192")</f>
        <v>RSC006192</v>
      </c>
      <c r="B6172" s="41" t="str">
        <f>IFERROR(__xludf.DUMMYFUNCTION("""COMPUTED_VALUE"""),"Biscuitking18")</f>
        <v>Biscuitking18</v>
      </c>
    </row>
    <row r="6173">
      <c r="A6173" s="41" t="str">
        <f>IFERROR(__xludf.DUMMYFUNCTION("""COMPUTED_VALUE"""),"RSC006193")</f>
        <v>RSC006193</v>
      </c>
      <c r="B6173" s="41" t="str">
        <f>IFERROR(__xludf.DUMMYFUNCTION("""COMPUTED_VALUE"""),"Saucy Rexy")</f>
        <v>Saucy Rexy</v>
      </c>
    </row>
    <row r="6174">
      <c r="A6174" s="41" t="str">
        <f>IFERROR(__xludf.DUMMYFUNCTION("""COMPUTED_VALUE"""),"RSC006194")</f>
        <v>RSC006194</v>
      </c>
      <c r="B6174" s="41" t="str">
        <f>IFERROR(__xludf.DUMMYFUNCTION("""COMPUTED_VALUE"""),"NotoriousBPZ")</f>
        <v>NotoriousBPZ</v>
      </c>
    </row>
    <row r="6175">
      <c r="A6175" s="41" t="str">
        <f>IFERROR(__xludf.DUMMYFUNCTION("""COMPUTED_VALUE"""),"RSC006195")</f>
        <v>RSC006195</v>
      </c>
      <c r="B6175" s="41" t="str">
        <f>IFERROR(__xludf.DUMMYFUNCTION("""COMPUTED_VALUE"""),"Arixidia")</f>
        <v>Arixidia</v>
      </c>
    </row>
    <row r="6176">
      <c r="A6176" s="41" t="str">
        <f>IFERROR(__xludf.DUMMYFUNCTION("""COMPUTED_VALUE"""),"RSC006196")</f>
        <v>RSC006196</v>
      </c>
      <c r="B6176" s="41" t="str">
        <f>IFERROR(__xludf.DUMMYFUNCTION("""COMPUTED_VALUE"""),"Flufflz")</f>
        <v>Flufflz</v>
      </c>
    </row>
    <row r="6177">
      <c r="A6177" s="41" t="str">
        <f>IFERROR(__xludf.DUMMYFUNCTION("""COMPUTED_VALUE"""),"RSC006197")</f>
        <v>RSC006197</v>
      </c>
      <c r="B6177" s="41" t="str">
        <f>IFERROR(__xludf.DUMMYFUNCTION("""COMPUTED_VALUE"""),"Bullet")</f>
        <v>Bullet</v>
      </c>
    </row>
    <row r="6178">
      <c r="A6178" s="41" t="str">
        <f>IFERROR(__xludf.DUMMYFUNCTION("""COMPUTED_VALUE"""),"RSC006198")</f>
        <v>RSC006198</v>
      </c>
      <c r="B6178" s="41" t="str">
        <f>IFERROR(__xludf.DUMMYFUNCTION("""COMPUTED_VALUE"""),"CritiCole")</f>
        <v>CritiCole</v>
      </c>
    </row>
    <row r="6179">
      <c r="A6179" s="41" t="str">
        <f>IFERROR(__xludf.DUMMYFUNCTION("""COMPUTED_VALUE"""),"RSC006199")</f>
        <v>RSC006199</v>
      </c>
      <c r="B6179" s="41" t="str">
        <f>IFERROR(__xludf.DUMMYFUNCTION("""COMPUTED_VALUE"""),"Irozuh-")</f>
        <v>Irozuh-</v>
      </c>
    </row>
    <row r="6180">
      <c r="A6180" s="41" t="str">
        <f>IFERROR(__xludf.DUMMYFUNCTION("""COMPUTED_VALUE"""),"RSC006200")</f>
        <v>RSC006200</v>
      </c>
      <c r="B6180" s="41" t="str">
        <f>IFERROR(__xludf.DUMMYFUNCTION("""COMPUTED_VALUE"""),"DoppelBeretta")</f>
        <v>DoppelBeretta</v>
      </c>
    </row>
    <row r="6181">
      <c r="A6181" s="41" t="str">
        <f>IFERROR(__xludf.DUMMYFUNCTION("""COMPUTED_VALUE"""),"RSC006201")</f>
        <v>RSC006201</v>
      </c>
      <c r="B6181" s="41" t="str">
        <f>IFERROR(__xludf.DUMMYFUNCTION("""COMPUTED_VALUE"""),"McDonut.")</f>
        <v>McDonut.</v>
      </c>
    </row>
    <row r="6182">
      <c r="A6182" s="41" t="str">
        <f>IFERROR(__xludf.DUMMYFUNCTION("""COMPUTED_VALUE"""),"RSC006202")</f>
        <v>RSC006202</v>
      </c>
      <c r="B6182" s="41" t="str">
        <f>IFERROR(__xludf.DUMMYFUNCTION("""COMPUTED_VALUE"""),"gomi_rl")</f>
        <v>gomi_rl</v>
      </c>
    </row>
    <row r="6183">
      <c r="A6183" s="41" t="str">
        <f>IFERROR(__xludf.DUMMYFUNCTION("""COMPUTED_VALUE"""),"RSC006203")</f>
        <v>RSC006203</v>
      </c>
      <c r="B6183" s="41" t="str">
        <f>IFERROR(__xludf.DUMMYFUNCTION("""COMPUTED_VALUE"""),"Tartan")</f>
        <v>Tartan</v>
      </c>
    </row>
    <row r="6184">
      <c r="A6184" s="41" t="str">
        <f>IFERROR(__xludf.DUMMYFUNCTION("""COMPUTED_VALUE"""),"RSC006204")</f>
        <v>RSC006204</v>
      </c>
      <c r="B6184" s="41" t="str">
        <f>IFERROR(__xludf.DUMMYFUNCTION("""COMPUTED_VALUE"""),"Bogey")</f>
        <v>Bogey</v>
      </c>
    </row>
    <row r="6185">
      <c r="A6185" s="41" t="str">
        <f>IFERROR(__xludf.DUMMYFUNCTION("""COMPUTED_VALUE"""),"RSC006205")</f>
        <v>RSC006205</v>
      </c>
      <c r="B6185" s="41" t="str">
        <f>IFERROR(__xludf.DUMMYFUNCTION("""COMPUTED_VALUE"""),"oxys")</f>
        <v>oxys</v>
      </c>
    </row>
    <row r="6186">
      <c r="A6186" s="41" t="str">
        <f>IFERROR(__xludf.DUMMYFUNCTION("""COMPUTED_VALUE"""),"RSC006206")</f>
        <v>RSC006206</v>
      </c>
      <c r="B6186" s="41" t="str">
        <f>IFERROR(__xludf.DUMMYFUNCTION("""COMPUTED_VALUE"""),"ibonic")</f>
        <v>ibonic</v>
      </c>
    </row>
    <row r="6187">
      <c r="A6187" s="41" t="str">
        <f>IFERROR(__xludf.DUMMYFUNCTION("""COMPUTED_VALUE"""),"RSC006207")</f>
        <v>RSC006207</v>
      </c>
      <c r="B6187" s="41" t="str">
        <f>IFERROR(__xludf.DUMMYFUNCTION("""COMPUTED_VALUE"""),"DirtyDan1313")</f>
        <v>DirtyDan1313</v>
      </c>
    </row>
    <row r="6188">
      <c r="A6188" s="41" t="str">
        <f>IFERROR(__xludf.DUMMYFUNCTION("""COMPUTED_VALUE"""),"RSC006208")</f>
        <v>RSC006208</v>
      </c>
      <c r="B6188" s="41" t="str">
        <f>IFERROR(__xludf.DUMMYFUNCTION("""COMPUTED_VALUE"""),"slammermoth")</f>
        <v>slammermoth</v>
      </c>
    </row>
    <row r="6189">
      <c r="A6189" s="41" t="str">
        <f>IFERROR(__xludf.DUMMYFUNCTION("""COMPUTED_VALUE"""),"RSC006209")</f>
        <v>RSC006209</v>
      </c>
      <c r="B6189" s="41" t="str">
        <f>IFERROR(__xludf.DUMMYFUNCTION("""COMPUTED_VALUE"""),"Celiscy")</f>
        <v>Celiscy</v>
      </c>
    </row>
    <row r="6190">
      <c r="A6190" s="41" t="str">
        <f>IFERROR(__xludf.DUMMYFUNCTION("""COMPUTED_VALUE"""),"RSC006210")</f>
        <v>RSC006210</v>
      </c>
      <c r="B6190" s="41" t="str">
        <f>IFERROR(__xludf.DUMMYFUNCTION("""COMPUTED_VALUE"""),"ThuggyMaher")</f>
        <v>ThuggyMaher</v>
      </c>
    </row>
    <row r="6191">
      <c r="A6191" s="41" t="str">
        <f>IFERROR(__xludf.DUMMYFUNCTION("""COMPUTED_VALUE"""),"RSC006211")</f>
        <v>RSC006211</v>
      </c>
      <c r="B6191" s="41" t="str">
        <f>IFERROR(__xludf.DUMMYFUNCTION("""COMPUTED_VALUE"""),"Chase")</f>
        <v>Chase</v>
      </c>
    </row>
    <row r="6192">
      <c r="A6192" s="41" t="str">
        <f>IFERROR(__xludf.DUMMYFUNCTION("""COMPUTED_VALUE"""),"RSC006212")</f>
        <v>RSC006212</v>
      </c>
      <c r="B6192" s="41" t="str">
        <f>IFERROR(__xludf.DUMMYFUNCTION("""COMPUTED_VALUE"""),"Kingtutt97")</f>
        <v>Kingtutt97</v>
      </c>
    </row>
    <row r="6193">
      <c r="A6193" s="41" t="str">
        <f>IFERROR(__xludf.DUMMYFUNCTION("""COMPUTED_VALUE"""),"RSC006213")</f>
        <v>RSC006213</v>
      </c>
      <c r="B6193" s="41" t="str">
        <f>IFERROR(__xludf.DUMMYFUNCTION("""COMPUTED_VALUE"""),"HannaBanana")</f>
        <v>HannaBanana</v>
      </c>
    </row>
    <row r="6194">
      <c r="A6194" s="41" t="str">
        <f>IFERROR(__xludf.DUMMYFUNCTION("""COMPUTED_VALUE"""),"RSC006214")</f>
        <v>RSC006214</v>
      </c>
      <c r="B6194" s="41" t="str">
        <f>IFERROR(__xludf.DUMMYFUNCTION("""COMPUTED_VALUE"""),"med")</f>
        <v>med</v>
      </c>
    </row>
    <row r="6195">
      <c r="A6195" s="41" t="str">
        <f>IFERROR(__xludf.DUMMYFUNCTION("""COMPUTED_VALUE"""),"RSC006215")</f>
        <v>RSC006215</v>
      </c>
      <c r="B6195" s="41" t="str">
        <f>IFERROR(__xludf.DUMMYFUNCTION("""COMPUTED_VALUE"""),"banxzy")</f>
        <v>banxzy</v>
      </c>
    </row>
    <row r="6196">
      <c r="A6196" s="41" t="str">
        <f>IFERROR(__xludf.DUMMYFUNCTION("""COMPUTED_VALUE"""),"RSC006216")</f>
        <v>RSC006216</v>
      </c>
      <c r="B6196" s="41" t="str">
        <f>IFERROR(__xludf.DUMMYFUNCTION("""COMPUTED_VALUE"""),"Monkeybacon1123")</f>
        <v>Monkeybacon1123</v>
      </c>
    </row>
    <row r="6197">
      <c r="A6197" s="41" t="str">
        <f>IFERROR(__xludf.DUMMYFUNCTION("""COMPUTED_VALUE"""),"RSC006217")</f>
        <v>RSC006217</v>
      </c>
      <c r="B6197" s="41" t="str">
        <f>IFERROR(__xludf.DUMMYFUNCTION("""COMPUTED_VALUE"""),"Subj3ct_Teonligas")</f>
        <v>Subj3ct_Teonligas</v>
      </c>
    </row>
    <row r="6198">
      <c r="A6198" s="41" t="str">
        <f>IFERROR(__xludf.DUMMYFUNCTION("""COMPUTED_VALUE"""),"RSC006218")</f>
        <v>RSC006218</v>
      </c>
      <c r="B6198" s="41" t="str">
        <f>IFERROR(__xludf.DUMMYFUNCTION("""COMPUTED_VALUE"""),"Stingray")</f>
        <v>Stingray</v>
      </c>
    </row>
    <row r="6199">
      <c r="A6199" s="41" t="str">
        <f>IFERROR(__xludf.DUMMYFUNCTION("""COMPUTED_VALUE"""),"RSC006219")</f>
        <v>RSC006219</v>
      </c>
      <c r="B6199" s="41" t="str">
        <f>IFERROR(__xludf.DUMMYFUNCTION("""COMPUTED_VALUE"""),"maka")</f>
        <v>maka</v>
      </c>
    </row>
    <row r="6200">
      <c r="A6200" s="41" t="str">
        <f>IFERROR(__xludf.DUMMYFUNCTION("""COMPUTED_VALUE"""),"RSC006220")</f>
        <v>RSC006220</v>
      </c>
      <c r="B6200" s="41" t="str">
        <f>IFERROR(__xludf.DUMMYFUNCTION("""COMPUTED_VALUE"""),"KS_EYE")</f>
        <v>KS_EYE</v>
      </c>
    </row>
    <row r="6201">
      <c r="A6201" s="41" t="str">
        <f>IFERROR(__xludf.DUMMYFUNCTION("""COMPUTED_VALUE"""),"RSC006221")</f>
        <v>RSC006221</v>
      </c>
      <c r="B6201" s="41" t="str">
        <f>IFERROR(__xludf.DUMMYFUNCTION("""COMPUTED_VALUE"""),"EgoistBarou.10")</f>
        <v>EgoistBarou.10</v>
      </c>
    </row>
    <row r="6202">
      <c r="A6202" s="41" t="str">
        <f>IFERROR(__xludf.DUMMYFUNCTION("""COMPUTED_VALUE"""),"RSC006222")</f>
        <v>RSC006222</v>
      </c>
      <c r="B6202" s="41" t="str">
        <f>IFERROR(__xludf.DUMMYFUNCTION("""COMPUTED_VALUE"""),"Winter2078")</f>
        <v>Winter2078</v>
      </c>
    </row>
    <row r="6203">
      <c r="A6203" s="41" t="str">
        <f>IFERROR(__xludf.DUMMYFUNCTION("""COMPUTED_VALUE"""),"RSC006223")</f>
        <v>RSC006223</v>
      </c>
      <c r="B6203" s="41" t="str">
        <f>IFERROR(__xludf.DUMMYFUNCTION("""COMPUTED_VALUE"""),"sea pap")</f>
        <v>sea pap</v>
      </c>
    </row>
    <row r="6204">
      <c r="A6204" s="41" t="str">
        <f>IFERROR(__xludf.DUMMYFUNCTION("""COMPUTED_VALUE"""),"RSC006224")</f>
        <v>RSC006224</v>
      </c>
      <c r="B6204" s="41" t="str">
        <f>IFERROR(__xludf.DUMMYFUNCTION("""COMPUTED_VALUE"""),"RocketSpatula")</f>
        <v>RocketSpatula</v>
      </c>
    </row>
    <row r="6205">
      <c r="A6205" s="41" t="str">
        <f>IFERROR(__xludf.DUMMYFUNCTION("""COMPUTED_VALUE"""),"RSC006225")</f>
        <v>RSC006225</v>
      </c>
      <c r="B6205" s="41" t="str">
        <f>IFERROR(__xludf.DUMMYFUNCTION("""COMPUTED_VALUE"""),"renightly")</f>
        <v>renightly</v>
      </c>
    </row>
    <row r="6206">
      <c r="A6206" s="41" t="str">
        <f>IFERROR(__xludf.DUMMYFUNCTION("""COMPUTED_VALUE"""),"RSC006226")</f>
        <v>RSC006226</v>
      </c>
      <c r="B6206" s="41" t="str">
        <f>IFERROR(__xludf.DUMMYFUNCTION("""COMPUTED_VALUE"""),"OzzieRL")</f>
        <v>OzzieRL</v>
      </c>
    </row>
    <row r="6207">
      <c r="A6207" s="41" t="str">
        <f>IFERROR(__xludf.DUMMYFUNCTION("""COMPUTED_VALUE"""),"RSC006227")</f>
        <v>RSC006227</v>
      </c>
      <c r="B6207" s="41" t="str">
        <f>IFERROR(__xludf.DUMMYFUNCTION("""COMPUTED_VALUE"""),"MobileAimGG")</f>
        <v>MobileAimGG</v>
      </c>
    </row>
    <row r="6208">
      <c r="A6208" s="41" t="str">
        <f>IFERROR(__xludf.DUMMYFUNCTION("""COMPUTED_VALUE"""),"RSC006228")</f>
        <v>RSC006228</v>
      </c>
      <c r="B6208" s="41" t="str">
        <f>IFERROR(__xludf.DUMMYFUNCTION("""COMPUTED_VALUE"""),"Capone")</f>
        <v>Capone</v>
      </c>
    </row>
    <row r="6209">
      <c r="A6209" s="41" t="str">
        <f>IFERROR(__xludf.DUMMYFUNCTION("""COMPUTED_VALUE"""),"RSC006229")</f>
        <v>RSC006229</v>
      </c>
      <c r="B6209" s="41" t="str">
        <f>IFERROR(__xludf.DUMMYFUNCTION("""COMPUTED_VALUE"""),"Memory Foam")</f>
        <v>Memory Foam</v>
      </c>
    </row>
    <row r="6210">
      <c r="A6210" s="41" t="str">
        <f>IFERROR(__xludf.DUMMYFUNCTION("""COMPUTED_VALUE"""),"RSC006230")</f>
        <v>RSC006230</v>
      </c>
      <c r="B6210" s="41" t="str">
        <f>IFERROR(__xludf.DUMMYFUNCTION("""COMPUTED_VALUE"""),"Hydro")</f>
        <v>Hydro</v>
      </c>
    </row>
    <row r="6211">
      <c r="A6211" s="41" t="str">
        <f>IFERROR(__xludf.DUMMYFUNCTION("""COMPUTED_VALUE"""),"RSC006231")</f>
        <v>RSC006231</v>
      </c>
      <c r="B6211" s="41" t="str">
        <f>IFERROR(__xludf.DUMMYFUNCTION("""COMPUTED_VALUE"""),"Rain. ")</f>
        <v>Rain. </v>
      </c>
    </row>
    <row r="6212">
      <c r="A6212" s="41" t="str">
        <f>IFERROR(__xludf.DUMMYFUNCTION("""COMPUTED_VALUE"""),"RSC006232")</f>
        <v>RSC006232</v>
      </c>
      <c r="B6212" s="41" t="str">
        <f>IFERROR(__xludf.DUMMYFUNCTION("""COMPUTED_VALUE"""),"bestpickle")</f>
        <v>bestpickle</v>
      </c>
    </row>
    <row r="6213">
      <c r="A6213" s="41" t="str">
        <f>IFERROR(__xludf.DUMMYFUNCTION("""COMPUTED_VALUE"""),"RSC006233")</f>
        <v>RSC006233</v>
      </c>
      <c r="B6213" s="41" t="str">
        <f>IFERROR(__xludf.DUMMYFUNCTION("""COMPUTED_VALUE"""),"Kingbrison")</f>
        <v>Kingbrison</v>
      </c>
    </row>
    <row r="6214">
      <c r="A6214" s="41" t="str">
        <f>IFERROR(__xludf.DUMMYFUNCTION("""COMPUTED_VALUE"""),"RSC006234")</f>
        <v>RSC006234</v>
      </c>
      <c r="B6214" s="41" t="str">
        <f>IFERROR(__xludf.DUMMYFUNCTION("""COMPUTED_VALUE"""),"Mercenary1221")</f>
        <v>Mercenary1221</v>
      </c>
    </row>
    <row r="6215">
      <c r="A6215" s="41" t="str">
        <f>IFERROR(__xludf.DUMMYFUNCTION("""COMPUTED_VALUE"""),"RSC006235")</f>
        <v>RSC006235</v>
      </c>
      <c r="B6215" s="41" t="str">
        <f>IFERROR(__xludf.DUMMYFUNCTION("""COMPUTED_VALUE"""),".slim")</f>
        <v>.slim</v>
      </c>
    </row>
    <row r="6216">
      <c r="A6216" s="41" t="str">
        <f>IFERROR(__xludf.DUMMYFUNCTION("""COMPUTED_VALUE"""),"RSC006236")</f>
        <v>RSC006236</v>
      </c>
      <c r="B6216" s="41" t="str">
        <f>IFERROR(__xludf.DUMMYFUNCTION("""COMPUTED_VALUE"""),"febreeze rl ")</f>
        <v>febreeze rl </v>
      </c>
    </row>
    <row r="6217">
      <c r="A6217" s="41" t="str">
        <f>IFERROR(__xludf.DUMMYFUNCTION("""COMPUTED_VALUE"""),"RSC006237")</f>
        <v>RSC006237</v>
      </c>
      <c r="B6217" s="41" t="str">
        <f>IFERROR(__xludf.DUMMYFUNCTION("""COMPUTED_VALUE"""),"PEAKLEG3ND")</f>
        <v>PEAKLEG3ND</v>
      </c>
    </row>
    <row r="6218">
      <c r="A6218" s="41" t="str">
        <f>IFERROR(__xludf.DUMMYFUNCTION("""COMPUTED_VALUE"""),"RSC006238")</f>
        <v>RSC006238</v>
      </c>
      <c r="B6218" s="41" t="str">
        <f>IFERROR(__xludf.DUMMYFUNCTION("""COMPUTED_VALUE"""),"onfirer12")</f>
        <v>onfirer12</v>
      </c>
    </row>
    <row r="6219">
      <c r="A6219" s="41" t="str">
        <f>IFERROR(__xludf.DUMMYFUNCTION("""COMPUTED_VALUE"""),"RSC006239")</f>
        <v>RSC006239</v>
      </c>
      <c r="B6219" s="41" t="str">
        <f>IFERROR(__xludf.DUMMYFUNCTION("""COMPUTED_VALUE"""),"brazyyjj")</f>
        <v>brazyyjj</v>
      </c>
    </row>
    <row r="6220">
      <c r="A6220" s="41" t="str">
        <f>IFERROR(__xludf.DUMMYFUNCTION("""COMPUTED_VALUE"""),"RSC006240")</f>
        <v>RSC006240</v>
      </c>
      <c r="B6220" s="41" t="str">
        <f>IFERROR(__xludf.DUMMYFUNCTION("""COMPUTED_VALUE"""),"Canadian Gamer")</f>
        <v>Canadian Gamer</v>
      </c>
    </row>
    <row r="6221">
      <c r="A6221" s="41" t="str">
        <f>IFERROR(__xludf.DUMMYFUNCTION("""COMPUTED_VALUE"""),"RSC006241")</f>
        <v>RSC006241</v>
      </c>
      <c r="B6221" s="41" t="str">
        <f>IFERROR(__xludf.DUMMYFUNCTION("""COMPUTED_VALUE"""),"Grizz")</f>
        <v>Grizz</v>
      </c>
    </row>
    <row r="6222">
      <c r="A6222" s="41" t="str">
        <f>IFERROR(__xludf.DUMMYFUNCTION("""COMPUTED_VALUE"""),"RSC006242")</f>
        <v>RSC006242</v>
      </c>
      <c r="B6222" s="41" t="str">
        <f>IFERROR(__xludf.DUMMYFUNCTION("""COMPUTED_VALUE"""),"tik")</f>
        <v>tik</v>
      </c>
    </row>
    <row r="6223">
      <c r="A6223" s="41" t="str">
        <f>IFERROR(__xludf.DUMMYFUNCTION("""COMPUTED_VALUE"""),"RSC006243")</f>
        <v>RSC006243</v>
      </c>
      <c r="B6223" s="41" t="str">
        <f>IFERROR(__xludf.DUMMYFUNCTION("""COMPUTED_VALUE"""),"sloppyboi")</f>
        <v>sloppyboi</v>
      </c>
    </row>
    <row r="6224">
      <c r="A6224" s="41" t="str">
        <f>IFERROR(__xludf.DUMMYFUNCTION("""COMPUTED_VALUE"""),"RSC006244")</f>
        <v>RSC006244</v>
      </c>
      <c r="B6224" s="41" t="str">
        <f>IFERROR(__xludf.DUMMYFUNCTION("""COMPUTED_VALUE"""),"Whiite Bear")</f>
        <v>Whiite Bear</v>
      </c>
    </row>
    <row r="6225">
      <c r="A6225" s="41" t="str">
        <f>IFERROR(__xludf.DUMMYFUNCTION("""COMPUTED_VALUE"""),"RSC006245")</f>
        <v>RSC006245</v>
      </c>
      <c r="B6225" s="41" t="str">
        <f>IFERROR(__xludf.DUMMYFUNCTION("""COMPUTED_VALUE"""),"spite.")</f>
        <v>spite.</v>
      </c>
    </row>
    <row r="6226">
      <c r="A6226" s="41" t="str">
        <f>IFERROR(__xludf.DUMMYFUNCTION("""COMPUTED_VALUE"""),"RSC006246")</f>
        <v>RSC006246</v>
      </c>
      <c r="B6226" s="41" t="str">
        <f>IFERROR(__xludf.DUMMYFUNCTION("""COMPUTED_VALUE"""),"Fahhr")</f>
        <v>Fahhr</v>
      </c>
    </row>
    <row r="6227">
      <c r="A6227" s="41" t="str">
        <f>IFERROR(__xludf.DUMMYFUNCTION("""COMPUTED_VALUE"""),"RSC006247")</f>
        <v>RSC006247</v>
      </c>
      <c r="B6227" s="41" t="str">
        <f>IFERROR(__xludf.DUMMYFUNCTION("""COMPUTED_VALUE"""),"CzyirRL")</f>
        <v>CzyirRL</v>
      </c>
    </row>
    <row r="6228">
      <c r="A6228" s="41" t="str">
        <f>IFERROR(__xludf.DUMMYFUNCTION("""COMPUTED_VALUE"""),"RSC006248")</f>
        <v>RSC006248</v>
      </c>
      <c r="B6228" s="41" t="str">
        <f>IFERROR(__xludf.DUMMYFUNCTION("""COMPUTED_VALUE"""),"zetsubo-teki")</f>
        <v>zetsubo-teki</v>
      </c>
    </row>
    <row r="6229">
      <c r="A6229" s="41" t="str">
        <f>IFERROR(__xludf.DUMMYFUNCTION("""COMPUTED_VALUE"""),"RSC006249")</f>
        <v>RSC006249</v>
      </c>
      <c r="B6229" s="41" t="str">
        <f>IFERROR(__xludf.DUMMYFUNCTION("""COMPUTED_VALUE"""),"Trace")</f>
        <v>Trace</v>
      </c>
    </row>
    <row r="6230">
      <c r="A6230" s="41" t="str">
        <f>IFERROR(__xludf.DUMMYFUNCTION("""COMPUTED_VALUE"""),"RSC006250")</f>
        <v>RSC006250</v>
      </c>
      <c r="B6230" s="41" t="str">
        <f>IFERROR(__xludf.DUMMYFUNCTION("""COMPUTED_VALUE"""),"Flow. წ")</f>
        <v>Flow. წ</v>
      </c>
    </row>
    <row r="6231">
      <c r="A6231" s="41" t="str">
        <f>IFERROR(__xludf.DUMMYFUNCTION("""COMPUTED_VALUE"""),"RSC006251")</f>
        <v>RSC006251</v>
      </c>
      <c r="B6231" s="41" t="str">
        <f>IFERROR(__xludf.DUMMYFUNCTION("""COMPUTED_VALUE"""),"MiniTechniks")</f>
        <v>MiniTechniks</v>
      </c>
    </row>
    <row r="6232">
      <c r="A6232" s="41" t="str">
        <f>IFERROR(__xludf.DUMMYFUNCTION("""COMPUTED_VALUE"""),"RSC006252")</f>
        <v>RSC006252</v>
      </c>
      <c r="B6232" s="41" t="str">
        <f>IFERROR(__xludf.DUMMYFUNCTION("""COMPUTED_VALUE"""),"Ryzrr.")</f>
        <v>Ryzrr.</v>
      </c>
    </row>
    <row r="6233">
      <c r="A6233" s="41" t="str">
        <f>IFERROR(__xludf.DUMMYFUNCTION("""COMPUTED_VALUE"""),"RSC006253")</f>
        <v>RSC006253</v>
      </c>
      <c r="B6233" s="41" t="str">
        <f>IFERROR(__xludf.DUMMYFUNCTION("""COMPUTED_VALUE"""),"flyxr.")</f>
        <v>flyxr.</v>
      </c>
    </row>
    <row r="6234">
      <c r="A6234" s="41" t="str">
        <f>IFERROR(__xludf.DUMMYFUNCTION("""COMPUTED_VALUE"""),"RSC006254")</f>
        <v>RSC006254</v>
      </c>
      <c r="B6234" s="41" t="str">
        <f>IFERROR(__xludf.DUMMYFUNCTION("""COMPUTED_VALUE"""),"BHuffy03")</f>
        <v>BHuffy03</v>
      </c>
    </row>
    <row r="6235">
      <c r="A6235" s="41" t="str">
        <f>IFERROR(__xludf.DUMMYFUNCTION("""COMPUTED_VALUE"""),"RSC006255")</f>
        <v>RSC006255</v>
      </c>
      <c r="B6235" s="41" t="str">
        <f>IFERROR(__xludf.DUMMYFUNCTION("""COMPUTED_VALUE"""),"AceBourne4")</f>
        <v>AceBourne4</v>
      </c>
    </row>
    <row r="6236">
      <c r="A6236" s="41" t="str">
        <f>IFERROR(__xludf.DUMMYFUNCTION("""COMPUTED_VALUE"""),"RSC006256")</f>
        <v>RSC006256</v>
      </c>
      <c r="B6236" s="41" t="str">
        <f>IFERROR(__xludf.DUMMYFUNCTION("""COMPUTED_VALUE"""),"Casca .")</f>
        <v>Casca .</v>
      </c>
    </row>
    <row r="6237">
      <c r="A6237" s="41" t="str">
        <f>IFERROR(__xludf.DUMMYFUNCTION("""COMPUTED_VALUE"""),"RSC006257")</f>
        <v>RSC006257</v>
      </c>
      <c r="B6237" s="41" t="str">
        <f>IFERROR(__xludf.DUMMYFUNCTION("""COMPUTED_VALUE"""),"DJ..")</f>
        <v>DJ..</v>
      </c>
    </row>
    <row r="6238">
      <c r="A6238" s="41" t="str">
        <f>IFERROR(__xludf.DUMMYFUNCTION("""COMPUTED_VALUE"""),"RSC006258")</f>
        <v>RSC006258</v>
      </c>
      <c r="B6238" s="41" t="str">
        <f>IFERROR(__xludf.DUMMYFUNCTION("""COMPUTED_VALUE"""),"Halt37")</f>
        <v>Halt37</v>
      </c>
    </row>
    <row r="6239">
      <c r="A6239" s="41" t="str">
        <f>IFERROR(__xludf.DUMMYFUNCTION("""COMPUTED_VALUE"""),"RSC006259")</f>
        <v>RSC006259</v>
      </c>
      <c r="B6239" s="41" t="str">
        <f>IFERROR(__xludf.DUMMYFUNCTION("""COMPUTED_VALUE"""),"mojomo (Goofy and Silly)")</f>
        <v>mojomo (Goofy and Silly)</v>
      </c>
    </row>
    <row r="6240">
      <c r="A6240" s="41" t="str">
        <f>IFERROR(__xludf.DUMMYFUNCTION("""COMPUTED_VALUE"""),"RSC006260")</f>
        <v>RSC006260</v>
      </c>
      <c r="B6240" s="41" t="str">
        <f>IFERROR(__xludf.DUMMYFUNCTION("""COMPUTED_VALUE"""),"Okcrush")</f>
        <v>Okcrush</v>
      </c>
    </row>
    <row r="6241">
      <c r="A6241" s="41" t="str">
        <f>IFERROR(__xludf.DUMMYFUNCTION("""COMPUTED_VALUE"""),"RSC006261")</f>
        <v>RSC006261</v>
      </c>
      <c r="B6241" s="41" t="str">
        <f>IFERROR(__xludf.DUMMYFUNCTION("""COMPUTED_VALUE"""),"Football_873122")</f>
        <v>Football_873122</v>
      </c>
    </row>
    <row r="6242">
      <c r="A6242" s="41" t="str">
        <f>IFERROR(__xludf.DUMMYFUNCTION("""COMPUTED_VALUE"""),"RSC006262")</f>
        <v>RSC006262</v>
      </c>
      <c r="B6242" s="41" t="str">
        <f>IFERROR(__xludf.DUMMYFUNCTION("""COMPUTED_VALUE"""),"Illusionchaos")</f>
        <v>Illusionchaos</v>
      </c>
    </row>
    <row r="6243">
      <c r="A6243" s="41" t="str">
        <f>IFERROR(__xludf.DUMMYFUNCTION("""COMPUTED_VALUE"""),"RSC006263")</f>
        <v>RSC006263</v>
      </c>
      <c r="B6243" s="41" t="str">
        <f>IFERROR(__xludf.DUMMYFUNCTION("""COMPUTED_VALUE"""),"Jet")</f>
        <v>Jet</v>
      </c>
    </row>
    <row r="6244">
      <c r="A6244" s="41" t="str">
        <f>IFERROR(__xludf.DUMMYFUNCTION("""COMPUTED_VALUE"""),"RSC006264")</f>
        <v>RSC006264</v>
      </c>
      <c r="B6244" s="41" t="str">
        <f>IFERROR(__xludf.DUMMYFUNCTION("""COMPUTED_VALUE"""),"Pinilla")</f>
        <v>Pinilla</v>
      </c>
    </row>
    <row r="6245">
      <c r="A6245" s="41" t="str">
        <f>IFERROR(__xludf.DUMMYFUNCTION("""COMPUTED_VALUE"""),"RSC006265")</f>
        <v>RSC006265</v>
      </c>
      <c r="B6245" s="41" t="str">
        <f>IFERROR(__xludf.DUMMYFUNCTION("""COMPUTED_VALUE"""),"Tuxymelon")</f>
        <v>Tuxymelon</v>
      </c>
    </row>
    <row r="6246">
      <c r="A6246" s="41" t="str">
        <f>IFERROR(__xludf.DUMMYFUNCTION("""COMPUTED_VALUE"""),"RSC006266")</f>
        <v>RSC006266</v>
      </c>
      <c r="B6246" s="41" t="str">
        <f>IFERROR(__xludf.DUMMYFUNCTION("""COMPUTED_VALUE"""),"ItzBrandarn")</f>
        <v>ItzBrandarn</v>
      </c>
    </row>
    <row r="6247">
      <c r="A6247" s="41" t="str">
        <f>IFERROR(__xludf.DUMMYFUNCTION("""COMPUTED_VALUE"""),"RSC006267")</f>
        <v>RSC006267</v>
      </c>
      <c r="B6247" s="41" t="str">
        <f>IFERROR(__xludf.DUMMYFUNCTION("""COMPUTED_VALUE"""),"Tootie")</f>
        <v>Tootie</v>
      </c>
    </row>
    <row r="6248">
      <c r="A6248" s="41" t="str">
        <f>IFERROR(__xludf.DUMMYFUNCTION("""COMPUTED_VALUE"""),"RSC006268")</f>
        <v>RSC006268</v>
      </c>
      <c r="B6248" s="41" t="str">
        <f>IFERROR(__xludf.DUMMYFUNCTION("""COMPUTED_VALUE"""),"kizvy")</f>
        <v>kizvy</v>
      </c>
    </row>
    <row r="6249">
      <c r="A6249" s="41" t="str">
        <f>IFERROR(__xludf.DUMMYFUNCTION("""COMPUTED_VALUE"""),"RSC006269")</f>
        <v>RSC006269</v>
      </c>
      <c r="B6249" s="41" t="str">
        <f>IFERROR(__xludf.DUMMYFUNCTION("""COMPUTED_VALUE"""),"Gratzki")</f>
        <v>Gratzki</v>
      </c>
    </row>
    <row r="6250">
      <c r="A6250" s="41" t="str">
        <f>IFERROR(__xludf.DUMMYFUNCTION("""COMPUTED_VALUE"""),"RSC006270")</f>
        <v>RSC006270</v>
      </c>
      <c r="B6250" s="41" t="str">
        <f>IFERROR(__xludf.DUMMYFUNCTION("""COMPUTED_VALUE"""),"Jaquizl")</f>
        <v>Jaquizl</v>
      </c>
    </row>
    <row r="6251">
      <c r="A6251" s="41" t="str">
        <f>IFERROR(__xludf.DUMMYFUNCTION("""COMPUTED_VALUE"""),"RSC006271")</f>
        <v>RSC006271</v>
      </c>
      <c r="B6251" s="41" t="str">
        <f>IFERROR(__xludf.DUMMYFUNCTION("""COMPUTED_VALUE"""),"levophed")</f>
        <v>levophed</v>
      </c>
    </row>
    <row r="6252">
      <c r="A6252" s="41" t="str">
        <f>IFERROR(__xludf.DUMMYFUNCTION("""COMPUTED_VALUE"""),"RSC006272")</f>
        <v>RSC006272</v>
      </c>
      <c r="B6252" s="41" t="str">
        <f>IFERROR(__xludf.DUMMYFUNCTION("""COMPUTED_VALUE"""),"partypingu")</f>
        <v>partypingu</v>
      </c>
    </row>
    <row r="6253">
      <c r="A6253" s="41" t="str">
        <f>IFERROR(__xludf.DUMMYFUNCTION("""COMPUTED_VALUE"""),"RSC006273")</f>
        <v>RSC006273</v>
      </c>
      <c r="B6253" s="41" t="str">
        <f>IFERROR(__xludf.DUMMYFUNCTION("""COMPUTED_VALUE"""),"chawes.")</f>
        <v>chawes.</v>
      </c>
    </row>
    <row r="6254">
      <c r="A6254" s="41" t="str">
        <f>IFERROR(__xludf.DUMMYFUNCTION("""COMPUTED_VALUE"""),"RSC006274")</f>
        <v>RSC006274</v>
      </c>
      <c r="B6254" s="41" t="str">
        <f>IFERROR(__xludf.DUMMYFUNCTION("""COMPUTED_VALUE"""),"nnedajjj")</f>
        <v>nnedajjj</v>
      </c>
    </row>
    <row r="6255">
      <c r="A6255" s="41" t="str">
        <f>IFERROR(__xludf.DUMMYFUNCTION("""COMPUTED_VALUE"""),"RSC006275")</f>
        <v>RSC006275</v>
      </c>
      <c r="B6255" s="41" t="str">
        <f>IFERROR(__xludf.DUMMYFUNCTION("""COMPUTED_VALUE"""),"Ethan91006")</f>
        <v>Ethan91006</v>
      </c>
    </row>
    <row r="6256">
      <c r="A6256" s="41" t="str">
        <f>IFERROR(__xludf.DUMMYFUNCTION("""COMPUTED_VALUE"""),"RSC006276")</f>
        <v>RSC006276</v>
      </c>
      <c r="B6256" s="41" t="str">
        <f>IFERROR(__xludf.DUMMYFUNCTION("""COMPUTED_VALUE"""),"Vozifii")</f>
        <v>Vozifii</v>
      </c>
    </row>
    <row r="6257">
      <c r="A6257" s="41" t="str">
        <f>IFERROR(__xludf.DUMMYFUNCTION("""COMPUTED_VALUE"""),"RSC006277")</f>
        <v>RSC006277</v>
      </c>
      <c r="B6257" s="41" t="str">
        <f>IFERROR(__xludf.DUMMYFUNCTION("""COMPUTED_VALUE"""),"real")</f>
        <v>real</v>
      </c>
    </row>
    <row r="6258">
      <c r="A6258" s="41" t="str">
        <f>IFERROR(__xludf.DUMMYFUNCTION("""COMPUTED_VALUE"""),"RSC006278")</f>
        <v>RSC006278</v>
      </c>
      <c r="B6258" s="41" t="str">
        <f>IFERROR(__xludf.DUMMYFUNCTION("""COMPUTED_VALUE"""),"DribblingPenguin")</f>
        <v>DribblingPenguin</v>
      </c>
    </row>
    <row r="6259">
      <c r="A6259" s="41" t="str">
        <f>IFERROR(__xludf.DUMMYFUNCTION("""COMPUTED_VALUE"""),"RSC006279")</f>
        <v>RSC006279</v>
      </c>
      <c r="B6259" s="41" t="str">
        <f>IFERROR(__xludf.DUMMYFUNCTION("""COMPUTED_VALUE"""),"spookynoodles.")</f>
        <v>spookynoodles.</v>
      </c>
    </row>
    <row r="6260">
      <c r="A6260" s="41" t="str">
        <f>IFERROR(__xludf.DUMMYFUNCTION("""COMPUTED_VALUE"""),"RSC006280")</f>
        <v>RSC006280</v>
      </c>
      <c r="B6260" s="41" t="str">
        <f>IFERROR(__xludf.DUMMYFUNCTION("""COMPUTED_VALUE"""),"Evo")</f>
        <v>Evo</v>
      </c>
    </row>
    <row r="6261">
      <c r="A6261" s="41" t="str">
        <f>IFERROR(__xludf.DUMMYFUNCTION("""COMPUTED_VALUE"""),"RSC006281")</f>
        <v>RSC006281</v>
      </c>
      <c r="B6261" s="41" t="str">
        <f>IFERROR(__xludf.DUMMYFUNCTION("""COMPUTED_VALUE"""),"Keeper18")</f>
        <v>Keeper18</v>
      </c>
    </row>
    <row r="6262">
      <c r="A6262" s="41" t="str">
        <f>IFERROR(__xludf.DUMMYFUNCTION("""COMPUTED_VALUE"""),"RSC006282")</f>
        <v>RSC006282</v>
      </c>
      <c r="B6262" s="41" t="str">
        <f>IFERROR(__xludf.DUMMYFUNCTION("""COMPUTED_VALUE"""),"smevdoe")</f>
        <v>smevdoe</v>
      </c>
    </row>
    <row r="6263">
      <c r="A6263" s="41" t="str">
        <f>IFERROR(__xludf.DUMMYFUNCTION("""COMPUTED_VALUE"""),"RSC006283")</f>
        <v>RSC006283</v>
      </c>
      <c r="B6263" s="41" t="str">
        <f>IFERROR(__xludf.DUMMYFUNCTION("""COMPUTED_VALUE"""),"AblueRL")</f>
        <v>AblueRL</v>
      </c>
    </row>
    <row r="6264">
      <c r="A6264" s="41" t="str">
        <f>IFERROR(__xludf.DUMMYFUNCTION("""COMPUTED_VALUE"""),"RSC006284")</f>
        <v>RSC006284</v>
      </c>
      <c r="B6264" s="41" t="str">
        <f>IFERROR(__xludf.DUMMYFUNCTION("""COMPUTED_VALUE"""),"BurgerBoy70-1")</f>
        <v>BurgerBoy70-1</v>
      </c>
    </row>
    <row r="6265">
      <c r="A6265" s="41" t="str">
        <f>IFERROR(__xludf.DUMMYFUNCTION("""COMPUTED_VALUE"""),"RSC006285")</f>
        <v>RSC006285</v>
      </c>
      <c r="B6265" s="41" t="str">
        <f>IFERROR(__xludf.DUMMYFUNCTION("""COMPUTED_VALUE"""),"NearRampge")</f>
        <v>NearRampge</v>
      </c>
    </row>
    <row r="6266">
      <c r="A6266" s="41" t="str">
        <f>IFERROR(__xludf.DUMMYFUNCTION("""COMPUTED_VALUE"""),"RSC006286")</f>
        <v>RSC006286</v>
      </c>
      <c r="B6266" s="41" t="str">
        <f>IFERROR(__xludf.DUMMYFUNCTION("""COMPUTED_VALUE"""),"SYKE")</f>
        <v>SYKE</v>
      </c>
    </row>
    <row r="6267">
      <c r="A6267" s="41" t="str">
        <f>IFERROR(__xludf.DUMMYFUNCTION("""COMPUTED_VALUE"""),"RSC006287")</f>
        <v>RSC006287</v>
      </c>
      <c r="B6267" s="41" t="str">
        <f>IFERROR(__xludf.DUMMYFUNCTION("""COMPUTED_VALUE"""),"chase bank")</f>
        <v>chase bank</v>
      </c>
    </row>
    <row r="6268">
      <c r="A6268" s="41" t="str">
        <f>IFERROR(__xludf.DUMMYFUNCTION("""COMPUTED_VALUE"""),"RSC006288")</f>
        <v>RSC006288</v>
      </c>
      <c r="B6268" s="41" t="str">
        <f>IFERROR(__xludf.DUMMYFUNCTION("""COMPUTED_VALUE"""),"Z")</f>
        <v>Z</v>
      </c>
    </row>
    <row r="6269">
      <c r="A6269" s="41" t="str">
        <f>IFERROR(__xludf.DUMMYFUNCTION("""COMPUTED_VALUE"""),"RSC006289")</f>
        <v>RSC006289</v>
      </c>
      <c r="B6269" s="41" t="str">
        <f>IFERROR(__xludf.DUMMYFUNCTION("""COMPUTED_VALUE"""),"SayNova")</f>
        <v>SayNova</v>
      </c>
    </row>
    <row r="6270">
      <c r="A6270" s="41" t="str">
        <f>IFERROR(__xludf.DUMMYFUNCTION("""COMPUTED_VALUE"""),"RSC006290")</f>
        <v>RSC006290</v>
      </c>
      <c r="B6270" s="41" t="str">
        <f>IFERROR(__xludf.DUMMYFUNCTION("""COMPUTED_VALUE"""),"Dirt D Dan")</f>
        <v>Dirt D Dan</v>
      </c>
    </row>
    <row r="6271">
      <c r="A6271" s="41" t="str">
        <f>IFERROR(__xludf.DUMMYFUNCTION("""COMPUTED_VALUE"""),"RSC006291")</f>
        <v>RSC006291</v>
      </c>
      <c r="B6271" s="41" t="str">
        <f>IFERROR(__xludf.DUMMYFUNCTION("""COMPUTED_VALUE"""),"SkyWater")</f>
        <v>SkyWater</v>
      </c>
    </row>
    <row r="6272">
      <c r="A6272" s="41" t="str">
        <f>IFERROR(__xludf.DUMMYFUNCTION("""COMPUTED_VALUE"""),"RSC006292")</f>
        <v>RSC006292</v>
      </c>
      <c r="B6272" s="41" t="str">
        <f>IFERROR(__xludf.DUMMYFUNCTION("""COMPUTED_VALUE"""),"iluvnewjeans.")</f>
        <v>iluvnewjeans.</v>
      </c>
    </row>
    <row r="6273">
      <c r="A6273" s="41" t="str">
        <f>IFERROR(__xludf.DUMMYFUNCTION("""COMPUTED_VALUE"""),"RSC006293")</f>
        <v>RSC006293</v>
      </c>
      <c r="B6273" s="41" t="str">
        <f>IFERROR(__xludf.DUMMYFUNCTION("""COMPUTED_VALUE"""),"itz cheezus")</f>
        <v>itz cheezus</v>
      </c>
    </row>
    <row r="6274">
      <c r="A6274" s="41" t="str">
        <f>IFERROR(__xludf.DUMMYFUNCTION("""COMPUTED_VALUE"""),"RSC006294")</f>
        <v>RSC006294</v>
      </c>
      <c r="B6274" s="41" t="str">
        <f>IFERROR(__xludf.DUMMYFUNCTION("""COMPUTED_VALUE"""),"Paralysis_")</f>
        <v>Paralysis_</v>
      </c>
    </row>
    <row r="6275">
      <c r="A6275" s="41" t="str">
        <f>IFERROR(__xludf.DUMMYFUNCTION("""COMPUTED_VALUE"""),"RSC006295")</f>
        <v>RSC006295</v>
      </c>
      <c r="B6275" s="41" t="str">
        <f>IFERROR(__xludf.DUMMYFUNCTION("""COMPUTED_VALUE"""),"Busy!")</f>
        <v>Busy!</v>
      </c>
    </row>
    <row r="6276">
      <c r="A6276" s="41" t="str">
        <f>IFERROR(__xludf.DUMMYFUNCTION("""COMPUTED_VALUE"""),"RSC006296")</f>
        <v>RSC006296</v>
      </c>
      <c r="B6276" s="41" t="str">
        <f>IFERROR(__xludf.DUMMYFUNCTION("""COMPUTED_VALUE"""),"Hyperdrive8670")</f>
        <v>Hyperdrive8670</v>
      </c>
    </row>
    <row r="6277">
      <c r="A6277" s="41" t="str">
        <f>IFERROR(__xludf.DUMMYFUNCTION("""COMPUTED_VALUE"""),"RSC006297")</f>
        <v>RSC006297</v>
      </c>
      <c r="B6277" s="41" t="str">
        <f>IFERROR(__xludf.DUMMYFUNCTION("""COMPUTED_VALUE"""),"M00KiE.")</f>
        <v>M00KiE.</v>
      </c>
    </row>
    <row r="6278">
      <c r="A6278" s="41" t="str">
        <f>IFERROR(__xludf.DUMMYFUNCTION("""COMPUTED_VALUE"""),"RSC006298")</f>
        <v>RSC006298</v>
      </c>
      <c r="B6278" s="41" t="str">
        <f>IFERROR(__xludf.DUMMYFUNCTION("""COMPUTED_VALUE"""),"Antares.-")</f>
        <v>Antares.-</v>
      </c>
    </row>
    <row r="6279">
      <c r="A6279" s="41" t="str">
        <f>IFERROR(__xludf.DUMMYFUNCTION("""COMPUTED_VALUE"""),"RSC006299")</f>
        <v>RSC006299</v>
      </c>
      <c r="B6279" s="41" t="str">
        <f>IFERROR(__xludf.DUMMYFUNCTION("""COMPUTED_VALUE"""),"dr_zachattack")</f>
        <v>dr_zachattack</v>
      </c>
    </row>
    <row r="6280">
      <c r="A6280" s="41" t="str">
        <f>IFERROR(__xludf.DUMMYFUNCTION("""COMPUTED_VALUE"""),"RSC006300")</f>
        <v>RSC006300</v>
      </c>
      <c r="B6280" s="41" t="str">
        <f>IFERROR(__xludf.DUMMYFUNCTION("""COMPUTED_VALUE"""),"RudeBoiPyro")</f>
        <v>RudeBoiPyro</v>
      </c>
    </row>
    <row r="6281">
      <c r="A6281" s="41" t="str">
        <f>IFERROR(__xludf.DUMMYFUNCTION("""COMPUTED_VALUE"""),"RSC006302")</f>
        <v>RSC006302</v>
      </c>
      <c r="B6281" s="41" t="str">
        <f>IFERROR(__xludf.DUMMYFUNCTION("""COMPUTED_VALUE"""),"nawsi.")</f>
        <v>nawsi.</v>
      </c>
    </row>
    <row r="6282">
      <c r="A6282" s="41" t="str">
        <f>IFERROR(__xludf.DUMMYFUNCTION("""COMPUTED_VALUE"""),"RSC006303")</f>
        <v>RSC006303</v>
      </c>
      <c r="B6282" s="41" t="str">
        <f>IFERROR(__xludf.DUMMYFUNCTION("""COMPUTED_VALUE"""),"BasicNP")</f>
        <v>BasicNP</v>
      </c>
    </row>
    <row r="6283">
      <c r="A6283" s="41" t="str">
        <f>IFERROR(__xludf.DUMMYFUNCTION("""COMPUTED_VALUE"""),"RSC006304")</f>
        <v>RSC006304</v>
      </c>
      <c r="B6283" s="41" t="str">
        <f>IFERROR(__xludf.DUMMYFUNCTION("""COMPUTED_VALUE"""),"Addxrxlll")</f>
        <v>Addxrxlll</v>
      </c>
    </row>
    <row r="6284">
      <c r="A6284" s="41" t="str">
        <f>IFERROR(__xludf.DUMMYFUNCTION("""COMPUTED_VALUE"""),"RSC006305")</f>
        <v>RSC006305</v>
      </c>
      <c r="B6284" s="41" t="str">
        <f>IFERROR(__xludf.DUMMYFUNCTION("""COMPUTED_VALUE"""),"airguitar")</f>
        <v>airguitar</v>
      </c>
    </row>
    <row r="6285">
      <c r="A6285" s="41" t="str">
        <f>IFERROR(__xludf.DUMMYFUNCTION("""COMPUTED_VALUE"""),"RSC006306")</f>
        <v>RSC006306</v>
      </c>
      <c r="B6285" s="41" t="str">
        <f>IFERROR(__xludf.DUMMYFUNCTION("""COMPUTED_VALUE"""),"ॐOm")</f>
        <v>ॐOm</v>
      </c>
    </row>
    <row r="6286">
      <c r="A6286" s="41" t="str">
        <f>IFERROR(__xludf.DUMMYFUNCTION("""COMPUTED_VALUE"""),"RSC006307")</f>
        <v>RSC006307</v>
      </c>
      <c r="B6286" s="41" t="str">
        <f>IFERROR(__xludf.DUMMYFUNCTION("""COMPUTED_VALUE"""),"Niico Biico")</f>
        <v>Niico Biico</v>
      </c>
    </row>
    <row r="6287">
      <c r="A6287" s="41" t="str">
        <f>IFERROR(__xludf.DUMMYFUNCTION("""COMPUTED_VALUE"""),"RSC006308")</f>
        <v>RSC006308</v>
      </c>
      <c r="B6287" s="41" t="str">
        <f>IFERROR(__xludf.DUMMYFUNCTION("""COMPUTED_VALUE"""),"SqueezySponge.")</f>
        <v>SqueezySponge.</v>
      </c>
    </row>
    <row r="6288">
      <c r="A6288" s="41" t="str">
        <f>IFERROR(__xludf.DUMMYFUNCTION("""COMPUTED_VALUE"""),"RSC006309")</f>
        <v>RSC006309</v>
      </c>
      <c r="B6288" s="41" t="str">
        <f>IFERROR(__xludf.DUMMYFUNCTION("""COMPUTED_VALUE"""),"HeLzWright")</f>
        <v>HeLzWright</v>
      </c>
    </row>
    <row r="6289">
      <c r="A6289" s="41" t="str">
        <f>IFERROR(__xludf.DUMMYFUNCTION("""COMPUTED_VALUE"""),"RSC006310")</f>
        <v>RSC006310</v>
      </c>
      <c r="B6289" s="41" t="str">
        <f>IFERROR(__xludf.DUMMYFUNCTION("""COMPUTED_VALUE"""),"n_RL")</f>
        <v>n_RL</v>
      </c>
    </row>
    <row r="6290">
      <c r="A6290" s="41" t="str">
        <f>IFERROR(__xludf.DUMMYFUNCTION("""COMPUTED_VALUE"""),"RSC006311")</f>
        <v>RSC006311</v>
      </c>
      <c r="B6290" s="41" t="str">
        <f>IFERROR(__xludf.DUMMYFUNCTION("""COMPUTED_VALUE"""),"oinko_")</f>
        <v>oinko_</v>
      </c>
    </row>
    <row r="6291">
      <c r="A6291" s="41" t="str">
        <f>IFERROR(__xludf.DUMMYFUNCTION("""COMPUTED_VALUE"""),"RSC006312")</f>
        <v>RSC006312</v>
      </c>
      <c r="B6291" s="41" t="str">
        <f>IFERROR(__xludf.DUMMYFUNCTION("""COMPUTED_VALUE"""),"Cognitixn")</f>
        <v>Cognitixn</v>
      </c>
    </row>
    <row r="6292">
      <c r="A6292" s="41" t="str">
        <f>IFERROR(__xludf.DUMMYFUNCTION("""COMPUTED_VALUE"""),"RSC006313")</f>
        <v>RSC006313</v>
      </c>
      <c r="B6292" s="41" t="str">
        <f>IFERROR(__xludf.DUMMYFUNCTION("""COMPUTED_VALUE"""),"exod._.")</f>
        <v>exod._.</v>
      </c>
    </row>
    <row r="6293">
      <c r="A6293" s="41" t="str">
        <f>IFERROR(__xludf.DUMMYFUNCTION("""COMPUTED_VALUE"""),"RSC006314")</f>
        <v>RSC006314</v>
      </c>
      <c r="B6293" s="41" t="str">
        <f>IFERROR(__xludf.DUMMYFUNCTION("""COMPUTED_VALUE"""),"Mimetic")</f>
        <v>Mimetic</v>
      </c>
    </row>
    <row r="6294">
      <c r="A6294" s="41" t="str">
        <f>IFERROR(__xludf.DUMMYFUNCTION("""COMPUTED_VALUE"""),"RSC006315")</f>
        <v>RSC006315</v>
      </c>
      <c r="B6294" s="41" t="str">
        <f>IFERROR(__xludf.DUMMYFUNCTION("""COMPUTED_VALUE"""),"BIGbadBULLMAN13")</f>
        <v>BIGbadBULLMAN13</v>
      </c>
    </row>
    <row r="6295">
      <c r="A6295" s="41" t="str">
        <f>IFERROR(__xludf.DUMMYFUNCTION("""COMPUTED_VALUE"""),"RSC006316")</f>
        <v>RSC006316</v>
      </c>
      <c r="B6295" s="41" t="str">
        <f>IFERROR(__xludf.DUMMYFUNCTION("""COMPUTED_VALUE"""),"Bop.-.")</f>
        <v>Bop.-.</v>
      </c>
    </row>
    <row r="6296">
      <c r="A6296" s="41" t="str">
        <f>IFERROR(__xludf.DUMMYFUNCTION("""COMPUTED_VALUE"""),"RSC006317")</f>
        <v>RSC006317</v>
      </c>
      <c r="B6296" s="41" t="str">
        <f>IFERROR(__xludf.DUMMYFUNCTION("""COMPUTED_VALUE"""),"Hec")</f>
        <v>Hec</v>
      </c>
    </row>
    <row r="6297">
      <c r="A6297" s="41" t="str">
        <f>IFERROR(__xludf.DUMMYFUNCTION("""COMPUTED_VALUE"""),"RSC006318")</f>
        <v>RSC006318</v>
      </c>
      <c r="B6297" s="41" t="str">
        <f>IFERROR(__xludf.DUMMYFUNCTION("""COMPUTED_VALUE"""),"Natefrog02")</f>
        <v>Natefrog02</v>
      </c>
    </row>
    <row r="6298">
      <c r="A6298" s="41" t="str">
        <f>IFERROR(__xludf.DUMMYFUNCTION("""COMPUTED_VALUE"""),"RSC006319")</f>
        <v>RSC006319</v>
      </c>
      <c r="B6298" s="41" t="str">
        <f>IFERROR(__xludf.DUMMYFUNCTION("""COMPUTED_VALUE"""),"wntr!")</f>
        <v>wntr!</v>
      </c>
    </row>
    <row r="6299">
      <c r="A6299" s="41" t="str">
        <f>IFERROR(__xludf.DUMMYFUNCTION("""COMPUTED_VALUE"""),"RSC006320")</f>
        <v>RSC006320</v>
      </c>
      <c r="B6299" s="41" t="str">
        <f>IFERROR(__xludf.DUMMYFUNCTION("""COMPUTED_VALUE"""),"Escape_Plan1")</f>
        <v>Escape_Plan1</v>
      </c>
    </row>
    <row r="6300">
      <c r="A6300" s="41" t="str">
        <f>IFERROR(__xludf.DUMMYFUNCTION("""COMPUTED_VALUE"""),"RSC006321")</f>
        <v>RSC006321</v>
      </c>
      <c r="B6300" s="41" t="str">
        <f>IFERROR(__xludf.DUMMYFUNCTION("""COMPUTED_VALUE"""),"Big cusser")</f>
        <v>Big cusser</v>
      </c>
    </row>
    <row r="6301">
      <c r="A6301" s="41" t="str">
        <f>IFERROR(__xludf.DUMMYFUNCTION("""COMPUTED_VALUE"""),"RSC006322")</f>
        <v>RSC006322</v>
      </c>
      <c r="B6301" s="41" t="str">
        <f>IFERROR(__xludf.DUMMYFUNCTION("""COMPUTED_VALUE"""),"Lorak")</f>
        <v>Lorak</v>
      </c>
    </row>
    <row r="6302">
      <c r="A6302" s="41" t="str">
        <f>IFERROR(__xludf.DUMMYFUNCTION("""COMPUTED_VALUE"""),"RSC006323")</f>
        <v>RSC006323</v>
      </c>
      <c r="B6302" s="41" t="str">
        <f>IFERROR(__xludf.DUMMYFUNCTION("""COMPUTED_VALUE"""),"deneyed")</f>
        <v>deneyed</v>
      </c>
    </row>
    <row r="6303">
      <c r="A6303" s="41" t="str">
        <f>IFERROR(__xludf.DUMMYFUNCTION("""COMPUTED_VALUE"""),"RSC006324")</f>
        <v>RSC006324</v>
      </c>
      <c r="B6303" s="41" t="str">
        <f>IFERROR(__xludf.DUMMYFUNCTION("""COMPUTED_VALUE"""),"TTV_1738")</f>
        <v>TTV_1738</v>
      </c>
    </row>
    <row r="6304">
      <c r="A6304" s="41" t="str">
        <f>IFERROR(__xludf.DUMMYFUNCTION("""COMPUTED_VALUE"""),"RSC006325")</f>
        <v>RSC006325</v>
      </c>
      <c r="B6304" s="41" t="str">
        <f>IFERROR(__xludf.DUMMYFUNCTION("""COMPUTED_VALUE"""),"TTV.Dizz0lv")</f>
        <v>TTV.Dizz0lv</v>
      </c>
    </row>
    <row r="6305">
      <c r="A6305" s="41" t="str">
        <f>IFERROR(__xludf.DUMMYFUNCTION("""COMPUTED_VALUE"""),"RSC006326")</f>
        <v>RSC006326</v>
      </c>
      <c r="B6305" s="41" t="str">
        <f>IFERROR(__xludf.DUMMYFUNCTION("""COMPUTED_VALUE"""),"tubzttv")</f>
        <v>tubzttv</v>
      </c>
    </row>
    <row r="6306">
      <c r="A6306" s="41" t="str">
        <f>IFERROR(__xludf.DUMMYFUNCTION("""COMPUTED_VALUE"""),"RSC006327")</f>
        <v>RSC006327</v>
      </c>
      <c r="B6306" s="41" t="str">
        <f>IFERROR(__xludf.DUMMYFUNCTION("""COMPUTED_VALUE"""),"Zip")</f>
        <v>Zip</v>
      </c>
    </row>
    <row r="6307">
      <c r="A6307" s="41" t="str">
        <f>IFERROR(__xludf.DUMMYFUNCTION("""COMPUTED_VALUE"""),"RSC006328")</f>
        <v>RSC006328</v>
      </c>
      <c r="B6307" s="41" t="str">
        <f>IFERROR(__xludf.DUMMYFUNCTION("""COMPUTED_VALUE"""),"Danwad")</f>
        <v>Danwad</v>
      </c>
    </row>
    <row r="6308">
      <c r="A6308" s="41" t="str">
        <f>IFERROR(__xludf.DUMMYFUNCTION("""COMPUTED_VALUE"""),"RSC006329")</f>
        <v>RSC006329</v>
      </c>
      <c r="B6308" s="41" t="str">
        <f>IFERROR(__xludf.DUMMYFUNCTION("""COMPUTED_VALUE"""),"GetMcStuffed")</f>
        <v>GetMcStuffed</v>
      </c>
    </row>
    <row r="6309">
      <c r="A6309" s="41" t="str">
        <f>IFERROR(__xludf.DUMMYFUNCTION("""COMPUTED_VALUE"""),"RSC006330")</f>
        <v>RSC006330</v>
      </c>
      <c r="B6309" s="41" t="str">
        <f>IFERROR(__xludf.DUMMYFUNCTION("""COMPUTED_VALUE"""),"PotatoWrangler15")</f>
        <v>PotatoWrangler15</v>
      </c>
    </row>
    <row r="6310">
      <c r="A6310" s="41" t="str">
        <f>IFERROR(__xludf.DUMMYFUNCTION("""COMPUTED_VALUE"""),"RSC006331")</f>
        <v>RSC006331</v>
      </c>
      <c r="B6310" s="41" t="str">
        <f>IFERROR(__xludf.DUMMYFUNCTION("""COMPUTED_VALUE"""),"doubletapdonald")</f>
        <v>doubletapdonald</v>
      </c>
    </row>
    <row r="6311">
      <c r="A6311" s="41" t="str">
        <f>IFERROR(__xludf.DUMMYFUNCTION("""COMPUTED_VALUE"""),"RSC006332")</f>
        <v>RSC006332</v>
      </c>
      <c r="B6311" s="41" t="str">
        <f>IFERROR(__xludf.DUMMYFUNCTION("""COMPUTED_VALUE"""),"itssix.")</f>
        <v>itssix.</v>
      </c>
    </row>
    <row r="6312">
      <c r="A6312" s="41" t="str">
        <f>IFERROR(__xludf.DUMMYFUNCTION("""COMPUTED_VALUE"""),"RSC006333")</f>
        <v>RSC006333</v>
      </c>
      <c r="B6312" s="41" t="str">
        <f>IFERROR(__xludf.DUMMYFUNCTION("""COMPUTED_VALUE"""),"thatstrangesoul")</f>
        <v>thatstrangesoul</v>
      </c>
    </row>
    <row r="6313">
      <c r="A6313" s="41" t="str">
        <f>IFERROR(__xludf.DUMMYFUNCTION("""COMPUTED_VALUE"""),"RSC006334")</f>
        <v>RSC006334</v>
      </c>
      <c r="B6313" s="41" t="str">
        <f>IFERROR(__xludf.DUMMYFUNCTION("""COMPUTED_VALUE"""),"RedSavage")</f>
        <v>RedSavage</v>
      </c>
    </row>
    <row r="6314">
      <c r="A6314" s="41" t="str">
        <f>IFERROR(__xludf.DUMMYFUNCTION("""COMPUTED_VALUE"""),"RSC006335")</f>
        <v>RSC006335</v>
      </c>
      <c r="B6314" s="41" t="str">
        <f>IFERROR(__xludf.DUMMYFUNCTION("""COMPUTED_VALUE"""),"Saable.")</f>
        <v>Saable.</v>
      </c>
    </row>
    <row r="6315">
      <c r="A6315" s="41" t="str">
        <f>IFERROR(__xludf.DUMMYFUNCTION("""COMPUTED_VALUE"""),"RSC006336")</f>
        <v>RSC006336</v>
      </c>
      <c r="B6315" s="41" t="str">
        <f>IFERROR(__xludf.DUMMYFUNCTION("""COMPUTED_VALUE"""),"Slapshot506")</f>
        <v>Slapshot506</v>
      </c>
    </row>
    <row r="6316">
      <c r="A6316" s="41" t="str">
        <f>IFERROR(__xludf.DUMMYFUNCTION("""COMPUTED_VALUE"""),"RSC006337")</f>
        <v>RSC006337</v>
      </c>
      <c r="B6316" s="41" t="str">
        <f>IFERROR(__xludf.DUMMYFUNCTION("""COMPUTED_VALUE"""),"jhatty8")</f>
        <v>jhatty8</v>
      </c>
    </row>
    <row r="6317">
      <c r="A6317" s="41" t="str">
        <f>IFERROR(__xludf.DUMMYFUNCTION("""COMPUTED_VALUE"""),"RSC006338")</f>
        <v>RSC006338</v>
      </c>
      <c r="B6317" s="41" t="str">
        <f>IFERROR(__xludf.DUMMYFUNCTION("""COMPUTED_VALUE"""),"mykul.457")</f>
        <v>mykul.457</v>
      </c>
    </row>
    <row r="6318">
      <c r="A6318" s="41" t="str">
        <f>IFERROR(__xludf.DUMMYFUNCTION("""COMPUTED_VALUE"""),"RSC006339")</f>
        <v>RSC006339</v>
      </c>
      <c r="B6318" s="41" t="str">
        <f>IFERROR(__xludf.DUMMYFUNCTION("""COMPUTED_VALUE"""),"lxii .")</f>
        <v>lxii .</v>
      </c>
    </row>
    <row r="6319">
      <c r="A6319" s="41" t="str">
        <f>IFERROR(__xludf.DUMMYFUNCTION("""COMPUTED_VALUE"""),"RSC006340")</f>
        <v>RSC006340</v>
      </c>
      <c r="B6319" s="41" t="str">
        <f>IFERROR(__xludf.DUMMYFUNCTION("""COMPUTED_VALUE"""),"pickelboi7")</f>
        <v>pickelboi7</v>
      </c>
    </row>
    <row r="6320">
      <c r="A6320" s="41" t="str">
        <f>IFERROR(__xludf.DUMMYFUNCTION("""COMPUTED_VALUE"""),"RSC006341")</f>
        <v>RSC006341</v>
      </c>
      <c r="B6320" s="41" t="str">
        <f>IFERROR(__xludf.DUMMYFUNCTION("""COMPUTED_VALUE"""),"Mighty Fraser")</f>
        <v>Mighty Fraser</v>
      </c>
    </row>
    <row r="6321">
      <c r="A6321" s="41" t="str">
        <f>IFERROR(__xludf.DUMMYFUNCTION("""COMPUTED_VALUE"""),"RSC006342")</f>
        <v>RSC006342</v>
      </c>
      <c r="B6321" s="41" t="str">
        <f>IFERROR(__xludf.DUMMYFUNCTION("""COMPUTED_VALUE"""),"tlee2121")</f>
        <v>tlee2121</v>
      </c>
    </row>
    <row r="6322">
      <c r="A6322" s="41" t="str">
        <f>IFERROR(__xludf.DUMMYFUNCTION("""COMPUTED_VALUE"""),"RSC006343")</f>
        <v>RSC006343</v>
      </c>
      <c r="B6322" s="41" t="str">
        <f>IFERROR(__xludf.DUMMYFUNCTION("""COMPUTED_VALUE"""),"GlitchOut97")</f>
        <v>GlitchOut97</v>
      </c>
    </row>
    <row r="6323">
      <c r="A6323" s="41" t="str">
        <f>IFERROR(__xludf.DUMMYFUNCTION("""COMPUTED_VALUE"""),"RSC006344")</f>
        <v>RSC006344</v>
      </c>
      <c r="B6323" s="41" t="str">
        <f>IFERROR(__xludf.DUMMYFUNCTION("""COMPUTED_VALUE"""),"FerrisCrueller")</f>
        <v>FerrisCrueller</v>
      </c>
    </row>
    <row r="6324">
      <c r="A6324" s="41" t="str">
        <f>IFERROR(__xludf.DUMMYFUNCTION("""COMPUTED_VALUE"""),"RSC006345")</f>
        <v>RSC006345</v>
      </c>
      <c r="B6324" s="41" t="str">
        <f>IFERROR(__xludf.DUMMYFUNCTION("""COMPUTED_VALUE"""),"AwesomeBillFromDawsonville")</f>
        <v>AwesomeBillFromDawsonville</v>
      </c>
    </row>
    <row r="6325">
      <c r="A6325" s="41" t="str">
        <f>IFERROR(__xludf.DUMMYFUNCTION("""COMPUTED_VALUE"""),"RSC006346")</f>
        <v>RSC006346</v>
      </c>
      <c r="B6325" s="41" t="str">
        <f>IFERROR(__xludf.DUMMYFUNCTION("""COMPUTED_VALUE"""),"MobBossCitrus")</f>
        <v>MobBossCitrus</v>
      </c>
    </row>
    <row r="6326">
      <c r="A6326" s="41" t="str">
        <f>IFERROR(__xludf.DUMMYFUNCTION("""COMPUTED_VALUE"""),"RSC006347")</f>
        <v>RSC006347</v>
      </c>
      <c r="B6326" s="41" t="str">
        <f>IFERROR(__xludf.DUMMYFUNCTION("""COMPUTED_VALUE"""),"IAmPunk6957")</f>
        <v>IAmPunk6957</v>
      </c>
    </row>
    <row r="6327">
      <c r="A6327" s="41" t="str">
        <f>IFERROR(__xludf.DUMMYFUNCTION("""COMPUTED_VALUE"""),"RSC006348")</f>
        <v>RSC006348</v>
      </c>
      <c r="B6327" s="41" t="str">
        <f>IFERROR(__xludf.DUMMYFUNCTION("""COMPUTED_VALUE"""),"Shake")</f>
        <v>Shake</v>
      </c>
    </row>
    <row r="6328">
      <c r="A6328" s="41" t="str">
        <f>IFERROR(__xludf.DUMMYFUNCTION("""COMPUTED_VALUE"""),"RSC006349")</f>
        <v>RSC006349</v>
      </c>
      <c r="B6328" s="41" t="str">
        <f>IFERROR(__xludf.DUMMYFUNCTION("""COMPUTED_VALUE"""),"mhitRL")</f>
        <v>mhitRL</v>
      </c>
    </row>
    <row r="6329">
      <c r="A6329" s="41" t="str">
        <f>IFERROR(__xludf.DUMMYFUNCTION("""COMPUTED_VALUE"""),"RSC006350")</f>
        <v>RSC006350</v>
      </c>
      <c r="B6329" s="41" t="str">
        <f>IFERROR(__xludf.DUMMYFUNCTION("""COMPUTED_VALUE"""),"BosseLasse")</f>
        <v>BosseLasse</v>
      </c>
    </row>
    <row r="6330">
      <c r="A6330" s="41" t="str">
        <f>IFERROR(__xludf.DUMMYFUNCTION("""COMPUTED_VALUE"""),"RSC006351")</f>
        <v>RSC006351</v>
      </c>
      <c r="B6330" s="41" t="str">
        <f>IFERROR(__xludf.DUMMYFUNCTION("""COMPUTED_VALUE"""),"JPS")</f>
        <v>JPS</v>
      </c>
    </row>
    <row r="6331">
      <c r="A6331" s="41" t="str">
        <f>IFERROR(__xludf.DUMMYFUNCTION("""COMPUTED_VALUE"""),"RSC006352")</f>
        <v>RSC006352</v>
      </c>
      <c r="B6331" s="41" t="str">
        <f>IFERROR(__xludf.DUMMYFUNCTION("""COMPUTED_VALUE"""),"MrGekko-_-")</f>
        <v>MrGekko-_-</v>
      </c>
    </row>
    <row r="6332">
      <c r="A6332" s="41" t="str">
        <f>IFERROR(__xludf.DUMMYFUNCTION("""COMPUTED_VALUE"""),"RSC006353")</f>
        <v>RSC006353</v>
      </c>
      <c r="B6332" s="41" t="str">
        <f>IFERROR(__xludf.DUMMYFUNCTION("""COMPUTED_VALUE"""),"Novarchite")</f>
        <v>Novarchite</v>
      </c>
    </row>
    <row r="6333">
      <c r="A6333" s="41" t="str">
        <f>IFERROR(__xludf.DUMMYFUNCTION("""COMPUTED_VALUE"""),"RSC006354")</f>
        <v>RSC006354</v>
      </c>
      <c r="B6333" s="41" t="str">
        <f>IFERROR(__xludf.DUMMYFUNCTION("""COMPUTED_VALUE"""),"Vern Ohh")</f>
        <v>Vern Ohh</v>
      </c>
    </row>
    <row r="6334">
      <c r="A6334" s="41" t="str">
        <f>IFERROR(__xludf.DUMMYFUNCTION("""COMPUTED_VALUE"""),"RSC006355")</f>
        <v>RSC006355</v>
      </c>
      <c r="B6334" s="41" t="str">
        <f>IFERROR(__xludf.DUMMYFUNCTION("""COMPUTED_VALUE"""),"Heartlesswins")</f>
        <v>Heartlesswins</v>
      </c>
    </row>
    <row r="6335">
      <c r="A6335" s="41" t="str">
        <f>IFERROR(__xludf.DUMMYFUNCTION("""COMPUTED_VALUE"""),"RSC006356")</f>
        <v>RSC006356</v>
      </c>
      <c r="B6335" s="41" t="str">
        <f>IFERROR(__xludf.DUMMYFUNCTION("""COMPUTED_VALUE"""),"W0lf_tech")</f>
        <v>W0lf_tech</v>
      </c>
    </row>
    <row r="6336">
      <c r="A6336" s="41" t="str">
        <f>IFERROR(__xludf.DUMMYFUNCTION("""COMPUTED_VALUE"""),"RSC006357")</f>
        <v>RSC006357</v>
      </c>
      <c r="B6336" s="41" t="str">
        <f>IFERROR(__xludf.DUMMYFUNCTION("""COMPUTED_VALUE"""),"Syncopace")</f>
        <v>Syncopace</v>
      </c>
    </row>
    <row r="6337">
      <c r="A6337" s="41" t="str">
        <f>IFERROR(__xludf.DUMMYFUNCTION("""COMPUTED_VALUE"""),"RSC006358")</f>
        <v>RSC006358</v>
      </c>
      <c r="B6337" s="41" t="str">
        <f>IFERROR(__xludf.DUMMYFUNCTION("""COMPUTED_VALUE"""),"jumbo_wumbo")</f>
        <v>jumbo_wumbo</v>
      </c>
    </row>
    <row r="6338">
      <c r="A6338" s="41" t="str">
        <f>IFERROR(__xludf.DUMMYFUNCTION("""COMPUTED_VALUE"""),"RSC006359")</f>
        <v>RSC006359</v>
      </c>
      <c r="B6338" s="41" t="str">
        <f>IFERROR(__xludf.DUMMYFUNCTION("""COMPUTED_VALUE"""),"liongoat.")</f>
        <v>liongoat.</v>
      </c>
    </row>
    <row r="6339">
      <c r="A6339" s="41" t="str">
        <f>IFERROR(__xludf.DUMMYFUNCTION("""COMPUTED_VALUE"""),"RSC006360")</f>
        <v>RSC006360</v>
      </c>
      <c r="B6339" s="41" t="str">
        <f>IFERROR(__xludf.DUMMYFUNCTION("""COMPUTED_VALUE"""),"Matt")</f>
        <v>Matt</v>
      </c>
    </row>
    <row r="6340">
      <c r="A6340" s="41" t="str">
        <f>IFERROR(__xludf.DUMMYFUNCTION("""COMPUTED_VALUE"""),"RSC006361")</f>
        <v>RSC006361</v>
      </c>
      <c r="B6340" s="41" t="str">
        <f>IFERROR(__xludf.DUMMYFUNCTION("""COMPUTED_VALUE"""),"0Beta1")</f>
        <v>0Beta1</v>
      </c>
    </row>
    <row r="6341">
      <c r="A6341" s="41" t="str">
        <f>IFERROR(__xludf.DUMMYFUNCTION("""COMPUTED_VALUE"""),"RSC006362")</f>
        <v>RSC006362</v>
      </c>
      <c r="B6341" s="41" t="str">
        <f>IFERROR(__xludf.DUMMYFUNCTION("""COMPUTED_VALUE"""),"Dizzy")</f>
        <v>Dizzy</v>
      </c>
    </row>
    <row r="6342">
      <c r="A6342" s="41" t="str">
        <f>IFERROR(__xludf.DUMMYFUNCTION("""COMPUTED_VALUE"""),"RSC006363")</f>
        <v>RSC006363</v>
      </c>
      <c r="B6342" s="41" t="str">
        <f>IFERROR(__xludf.DUMMYFUNCTION("""COMPUTED_VALUE"""),"SirWillard")</f>
        <v>SirWillard</v>
      </c>
    </row>
    <row r="6343">
      <c r="A6343" s="41" t="str">
        <f>IFERROR(__xludf.DUMMYFUNCTION("""COMPUTED_VALUE"""),"RSC006364")</f>
        <v>RSC006364</v>
      </c>
      <c r="B6343" s="41" t="str">
        <f>IFERROR(__xludf.DUMMYFUNCTION("""COMPUTED_VALUE"""),"YT_rocketbrah")</f>
        <v>YT_rocketbrah</v>
      </c>
    </row>
    <row r="6344">
      <c r="A6344" s="41" t="str">
        <f>IFERROR(__xludf.DUMMYFUNCTION("""COMPUTED_VALUE"""),"RSC006365")</f>
        <v>RSC006365</v>
      </c>
      <c r="B6344" s="41" t="str">
        <f>IFERROR(__xludf.DUMMYFUNCTION("""COMPUTED_VALUE"""),"DuckyRL.")</f>
        <v>DuckyRL.</v>
      </c>
    </row>
    <row r="6345">
      <c r="A6345" s="41" t="str">
        <f>IFERROR(__xludf.DUMMYFUNCTION("""COMPUTED_VALUE"""),"RSC006366")</f>
        <v>RSC006366</v>
      </c>
      <c r="B6345" s="41" t="str">
        <f>IFERROR(__xludf.DUMMYFUNCTION("""COMPUTED_VALUE"""),"Scramble")</f>
        <v>Scramble</v>
      </c>
    </row>
    <row r="6346">
      <c r="A6346" s="41" t="str">
        <f>IFERROR(__xludf.DUMMYFUNCTION("""COMPUTED_VALUE"""),"RSC006367")</f>
        <v>RSC006367</v>
      </c>
      <c r="B6346" s="41" t="str">
        <f>IFERROR(__xludf.DUMMYFUNCTION("""COMPUTED_VALUE"""),"2kilG")</f>
        <v>2kilG</v>
      </c>
    </row>
    <row r="6347">
      <c r="A6347" s="41" t="str">
        <f>IFERROR(__xludf.DUMMYFUNCTION("""COMPUTED_VALUE"""),"RSC006368")</f>
        <v>RSC006368</v>
      </c>
      <c r="B6347" s="41" t="str">
        <f>IFERROR(__xludf.DUMMYFUNCTION("""COMPUTED_VALUE"""),"Zixcys")</f>
        <v>Zixcys</v>
      </c>
    </row>
    <row r="6348">
      <c r="A6348" s="41" t="str">
        <f>IFERROR(__xludf.DUMMYFUNCTION("""COMPUTED_VALUE"""),"RSC006369")</f>
        <v>RSC006369</v>
      </c>
      <c r="B6348" s="41" t="str">
        <f>IFERROR(__xludf.DUMMYFUNCTION("""COMPUTED_VALUE"""),"nate")</f>
        <v>nate</v>
      </c>
    </row>
    <row r="6349">
      <c r="A6349" s="41" t="str">
        <f>IFERROR(__xludf.DUMMYFUNCTION("""COMPUTED_VALUE"""),"RSC006370")</f>
        <v>RSC006370</v>
      </c>
      <c r="B6349" s="41" t="str">
        <f>IFERROR(__xludf.DUMMYFUNCTION("""COMPUTED_VALUE"""),"JugemuIsBallin")</f>
        <v>JugemuIsBallin</v>
      </c>
    </row>
    <row r="6350">
      <c r="A6350" s="41" t="str">
        <f>IFERROR(__xludf.DUMMYFUNCTION("""COMPUTED_VALUE"""),"RSC006371")</f>
        <v>RSC006371</v>
      </c>
      <c r="B6350" s="41" t="str">
        <f>IFERROR(__xludf.DUMMYFUNCTION("""COMPUTED_VALUE"""),"Fatt_Monke")</f>
        <v>Fatt_Monke</v>
      </c>
    </row>
    <row r="6351">
      <c r="A6351" s="41" t="str">
        <f>IFERROR(__xludf.DUMMYFUNCTION("""COMPUTED_VALUE"""),"RSC006372")</f>
        <v>RSC006372</v>
      </c>
      <c r="B6351" s="41" t="str">
        <f>IFERROR(__xludf.DUMMYFUNCTION("""COMPUTED_VALUE"""),"x ARC Fives x")</f>
        <v>x ARC Fives x</v>
      </c>
    </row>
    <row r="6352">
      <c r="A6352" s="41" t="str">
        <f>IFERROR(__xludf.DUMMYFUNCTION("""COMPUTED_VALUE"""),"RSC006373")</f>
        <v>RSC006373</v>
      </c>
      <c r="B6352" s="41" t="str">
        <f>IFERROR(__xludf.DUMMYFUNCTION("""COMPUTED_VALUE"""),"FlameZero.")</f>
        <v>FlameZero.</v>
      </c>
    </row>
    <row r="6353">
      <c r="A6353" s="41" t="str">
        <f>IFERROR(__xludf.DUMMYFUNCTION("""COMPUTED_VALUE"""),"RSC006374")</f>
        <v>RSC006374</v>
      </c>
      <c r="B6353" s="41" t="str">
        <f>IFERROR(__xludf.DUMMYFUNCTION("""COMPUTED_VALUE"""),"Saber_rol")</f>
        <v>Saber_rol</v>
      </c>
    </row>
    <row r="6354">
      <c r="A6354" s="41" t="str">
        <f>IFERROR(__xludf.DUMMYFUNCTION("""COMPUTED_VALUE"""),"RSC006375")</f>
        <v>RSC006375</v>
      </c>
      <c r="B6354" s="41" t="str">
        <f>IFERROR(__xludf.DUMMYFUNCTION("""COMPUTED_VALUE"""),"Rich-Rollin6060")</f>
        <v>Rich-Rollin6060</v>
      </c>
    </row>
    <row r="6355">
      <c r="A6355" s="41" t="str">
        <f>IFERROR(__xludf.DUMMYFUNCTION("""COMPUTED_VALUE"""),"RSC006376")</f>
        <v>RSC006376</v>
      </c>
      <c r="B6355" s="41" t="str">
        <f>IFERROR(__xludf.DUMMYFUNCTION("""COMPUTED_VALUE"""),"sophieism")</f>
        <v>sophieism</v>
      </c>
    </row>
    <row r="6356">
      <c r="A6356" s="41" t="str">
        <f>IFERROR(__xludf.DUMMYFUNCTION("""COMPUTED_VALUE"""),"RSC006377")</f>
        <v>RSC006377</v>
      </c>
      <c r="B6356" s="41" t="str">
        <f>IFERROR(__xludf.DUMMYFUNCTION("""COMPUTED_VALUE"""),"GoodDay")</f>
        <v>GoodDay</v>
      </c>
    </row>
    <row r="6357">
      <c r="A6357" s="41" t="str">
        <f>IFERROR(__xludf.DUMMYFUNCTION("""COMPUTED_VALUE"""),"RSC006378")</f>
        <v>RSC006378</v>
      </c>
      <c r="B6357" s="41" t="str">
        <f>IFERROR(__xludf.DUMMYFUNCTION("""COMPUTED_VALUE"""),"depressed vibez")</f>
        <v>depressed vibez</v>
      </c>
    </row>
    <row r="6358">
      <c r="A6358" s="41" t="str">
        <f>IFERROR(__xludf.DUMMYFUNCTION("""COMPUTED_VALUE"""),"RSC006379")</f>
        <v>RSC006379</v>
      </c>
      <c r="B6358" s="41" t="str">
        <f>IFERROR(__xludf.DUMMYFUNCTION("""COMPUTED_VALUE"""),"1_Krispy_1")</f>
        <v>1_Krispy_1</v>
      </c>
    </row>
    <row r="6359">
      <c r="A6359" s="41" t="str">
        <f>IFERROR(__xludf.DUMMYFUNCTION("""COMPUTED_VALUE"""),"RSC006380")</f>
        <v>RSC006380</v>
      </c>
      <c r="B6359" s="41" t="str">
        <f>IFERROR(__xludf.DUMMYFUNCTION("""COMPUTED_VALUE"""),"BoyWithBillions")</f>
        <v>BoyWithBillions</v>
      </c>
    </row>
    <row r="6360">
      <c r="A6360" s="41" t="str">
        <f>IFERROR(__xludf.DUMMYFUNCTION("""COMPUTED_VALUE"""),"RSC006381")</f>
        <v>RSC006381</v>
      </c>
      <c r="B6360" s="41" t="str">
        <f>IFERROR(__xludf.DUMMYFUNCTION("""COMPUTED_VALUE"""),"YERP_YERP02")</f>
        <v>YERP_YERP02</v>
      </c>
    </row>
    <row r="6361">
      <c r="A6361" s="41" t="str">
        <f>IFERROR(__xludf.DUMMYFUNCTION("""COMPUTED_VALUE"""),"RSC006382")</f>
        <v>RSC006382</v>
      </c>
      <c r="B6361" s="41" t="str">
        <f>IFERROR(__xludf.DUMMYFUNCTION("""COMPUTED_VALUE"""),"TIKTOK_TYRL")</f>
        <v>TIKTOK_TYRL</v>
      </c>
    </row>
    <row r="6362">
      <c r="A6362" s="41" t="str">
        <f>IFERROR(__xludf.DUMMYFUNCTION("""COMPUTED_VALUE"""),"RSC006383")</f>
        <v>RSC006383</v>
      </c>
      <c r="B6362" s="41" t="str">
        <f>IFERROR(__xludf.DUMMYFUNCTION("""COMPUTED_VALUE"""),"craigtheking2")</f>
        <v>craigtheking2</v>
      </c>
    </row>
    <row r="6363">
      <c r="A6363" s="41" t="str">
        <f>IFERROR(__xludf.DUMMYFUNCTION("""COMPUTED_VALUE"""),"RSC006384")</f>
        <v>RSC006384</v>
      </c>
      <c r="B6363" s="41" t="str">
        <f>IFERROR(__xludf.DUMMYFUNCTION("""COMPUTED_VALUE"""),"Itsnotaxtro")</f>
        <v>Itsnotaxtro</v>
      </c>
    </row>
    <row r="6364">
      <c r="A6364" s="41" t="str">
        <f>IFERROR(__xludf.DUMMYFUNCTION("""COMPUTED_VALUE"""),"RSC006385")</f>
        <v>RSC006385</v>
      </c>
      <c r="B6364" s="41" t="str">
        <f>IFERROR(__xludf.DUMMYFUNCTION("""COMPUTED_VALUE"""),"Pro_now123")</f>
        <v>Pro_now123</v>
      </c>
    </row>
    <row r="6365">
      <c r="A6365" s="41" t="str">
        <f>IFERROR(__xludf.DUMMYFUNCTION("""COMPUTED_VALUE"""),"RSC006386")</f>
        <v>RSC006386</v>
      </c>
      <c r="B6365" s="41" t="str">
        <f>IFERROR(__xludf.DUMMYFUNCTION("""COMPUTED_VALUE"""),"Shraggadon432")</f>
        <v>Shraggadon432</v>
      </c>
    </row>
    <row r="6366">
      <c r="A6366" s="41" t="str">
        <f>IFERROR(__xludf.DUMMYFUNCTION("""COMPUTED_VALUE"""),"RSC006387")</f>
        <v>RSC006387</v>
      </c>
      <c r="B6366" s="41" t="str">
        <f>IFERROR(__xludf.DUMMYFUNCTION("""COMPUTED_VALUE"""),"LGUPorkers")</f>
        <v>LGUPorkers</v>
      </c>
    </row>
    <row r="6367">
      <c r="A6367" s="41" t="str">
        <f>IFERROR(__xludf.DUMMYFUNCTION("""COMPUTED_VALUE"""),"RSC006388")</f>
        <v>RSC006388</v>
      </c>
      <c r="B6367" s="41" t="str">
        <f>IFERROR(__xludf.DUMMYFUNCTION("""COMPUTED_VALUE"""),"paullyng1")</f>
        <v>paullyng1</v>
      </c>
    </row>
    <row r="6368">
      <c r="A6368" s="41" t="str">
        <f>IFERROR(__xludf.DUMMYFUNCTION("""COMPUTED_VALUE"""),"RSC006389")</f>
        <v>RSC006389</v>
      </c>
      <c r="B6368" s="41" t="str">
        <f>IFERROR(__xludf.DUMMYFUNCTION("""COMPUTED_VALUE"""),"HUDDUH1")</f>
        <v>HUDDUH1</v>
      </c>
    </row>
    <row r="6369">
      <c r="A6369" s="41" t="str">
        <f>IFERROR(__xludf.DUMMYFUNCTION("""COMPUTED_VALUE"""),"RSC006390")</f>
        <v>RSC006390</v>
      </c>
      <c r="B6369" s="41" t="str">
        <f>IFERROR(__xludf.DUMMYFUNCTION("""COMPUTED_VALUE"""),"Mytixs")</f>
        <v>Mytixs</v>
      </c>
    </row>
    <row r="6370">
      <c r="A6370" s="41" t="str">
        <f>IFERROR(__xludf.DUMMYFUNCTION("""COMPUTED_VALUE"""),"RSC006391")</f>
        <v>RSC006391</v>
      </c>
      <c r="B6370" s="41" t="str">
        <f>IFERROR(__xludf.DUMMYFUNCTION("""COMPUTED_VALUE"""),"duk")</f>
        <v>duk</v>
      </c>
    </row>
    <row r="6371">
      <c r="A6371" s="41" t="str">
        <f>IFERROR(__xludf.DUMMYFUNCTION("""COMPUTED_VALUE"""),"RSC006392")</f>
        <v>RSC006392</v>
      </c>
      <c r="B6371" s="41" t="str">
        <f>IFERROR(__xludf.DUMMYFUNCTION("""COMPUTED_VALUE"""),"Astexツ")</f>
        <v>Astexツ</v>
      </c>
    </row>
    <row r="6372">
      <c r="A6372" s="41" t="str">
        <f>IFERROR(__xludf.DUMMYFUNCTION("""COMPUTED_VALUE"""),"RSC006394")</f>
        <v>RSC006394</v>
      </c>
      <c r="B6372" s="41" t="str">
        <f>IFERROR(__xludf.DUMMYFUNCTION("""COMPUTED_VALUE"""),"irox")</f>
        <v>irox</v>
      </c>
    </row>
    <row r="6373">
      <c r="A6373" s="41" t="str">
        <f>IFERROR(__xludf.DUMMYFUNCTION("""COMPUTED_VALUE"""),"RSC006395")</f>
        <v>RSC006395</v>
      </c>
      <c r="B6373" s="41" t="str">
        <f>IFERROR(__xludf.DUMMYFUNCTION("""COMPUTED_VALUE"""),"Gizmo")</f>
        <v>Gizmo</v>
      </c>
    </row>
    <row r="6374">
      <c r="A6374" s="41" t="str">
        <f>IFERROR(__xludf.DUMMYFUNCTION("""COMPUTED_VALUE"""),"RSC006396")</f>
        <v>RSC006396</v>
      </c>
      <c r="B6374" s="41" t="str">
        <f>IFERROR(__xludf.DUMMYFUNCTION("""COMPUTED_VALUE"""),"Phynr")</f>
        <v>Phynr</v>
      </c>
    </row>
    <row r="6375">
      <c r="A6375" s="41" t="str">
        <f>IFERROR(__xludf.DUMMYFUNCTION("""COMPUTED_VALUE"""),"RSC006397")</f>
        <v>RSC006397</v>
      </c>
      <c r="B6375" s="41" t="str">
        <f>IFERROR(__xludf.DUMMYFUNCTION("""COMPUTED_VALUE"""),"War Xeon")</f>
        <v>War Xeon</v>
      </c>
    </row>
    <row r="6376">
      <c r="A6376" s="41" t="str">
        <f>IFERROR(__xludf.DUMMYFUNCTION("""COMPUTED_VALUE"""),"RSC006398")</f>
        <v>RSC006398</v>
      </c>
      <c r="B6376" s="41" t="str">
        <f>IFERROR(__xludf.DUMMYFUNCTION("""COMPUTED_VALUE"""),"x swayzz x")</f>
        <v>x swayzz x</v>
      </c>
    </row>
    <row r="6377">
      <c r="A6377" s="41" t="str">
        <f>IFERROR(__xludf.DUMMYFUNCTION("""COMPUTED_VALUE"""),"RSC006399")</f>
        <v>RSC006399</v>
      </c>
      <c r="B6377" s="41" t="str">
        <f>IFERROR(__xludf.DUMMYFUNCTION("""COMPUTED_VALUE"""),"zodvik")</f>
        <v>zodvik</v>
      </c>
    </row>
    <row r="6378">
      <c r="A6378" s="41" t="str">
        <f>IFERROR(__xludf.DUMMYFUNCTION("""COMPUTED_VALUE"""),"RSC006400")</f>
        <v>RSC006400</v>
      </c>
      <c r="B6378" s="41" t="str">
        <f>IFERROR(__xludf.DUMMYFUNCTION("""COMPUTED_VALUE"""),"theOtherDave")</f>
        <v>theOtherDave</v>
      </c>
    </row>
    <row r="6379">
      <c r="A6379" s="41" t="str">
        <f>IFERROR(__xludf.DUMMYFUNCTION("""COMPUTED_VALUE"""),"RSC006401")</f>
        <v>RSC006401</v>
      </c>
      <c r="B6379" s="41" t="str">
        <f>IFERROR(__xludf.DUMMYFUNCTION("""COMPUTED_VALUE"""),"SHAdohwj_")</f>
        <v>SHAdohwj_</v>
      </c>
    </row>
    <row r="6380">
      <c r="A6380" s="41" t="str">
        <f>IFERROR(__xludf.DUMMYFUNCTION("""COMPUTED_VALUE"""),"RSC006402")</f>
        <v>RSC006402</v>
      </c>
      <c r="B6380" s="41" t="str">
        <f>IFERROR(__xludf.DUMMYFUNCTION("""COMPUTED_VALUE"""),"DEADLYFEET1001")</f>
        <v>DEADLYFEET1001</v>
      </c>
    </row>
    <row r="6381">
      <c r="A6381" s="41" t="str">
        <f>IFERROR(__xludf.DUMMYFUNCTION("""COMPUTED_VALUE"""),"RSC006403")</f>
        <v>RSC006403</v>
      </c>
      <c r="B6381" s="41" t="str">
        <f>IFERROR(__xludf.DUMMYFUNCTION("""COMPUTED_VALUE"""),"FuzzySquid.")</f>
        <v>FuzzySquid.</v>
      </c>
    </row>
    <row r="6382">
      <c r="A6382" s="41" t="str">
        <f>IFERROR(__xludf.DUMMYFUNCTION("""COMPUTED_VALUE"""),"RSC006404")</f>
        <v>RSC006404</v>
      </c>
      <c r="B6382" s="41" t="str">
        <f>IFERROR(__xludf.DUMMYFUNCTION("""COMPUTED_VALUE"""),"Protocol")</f>
        <v>Protocol</v>
      </c>
    </row>
    <row r="6383">
      <c r="A6383" s="41" t="str">
        <f>IFERROR(__xludf.DUMMYFUNCTION("""COMPUTED_VALUE"""),"RSC006405")</f>
        <v>RSC006405</v>
      </c>
      <c r="B6383" s="41" t="str">
        <f>IFERROR(__xludf.DUMMYFUNCTION("""COMPUTED_VALUE"""),"Lil Panda")</f>
        <v>Lil Panda</v>
      </c>
    </row>
    <row r="6384">
      <c r="A6384" s="41" t="str">
        <f>IFERROR(__xludf.DUMMYFUNCTION("""COMPUTED_VALUE"""),"RSC006406")</f>
        <v>RSC006406</v>
      </c>
      <c r="B6384" s="41" t="str">
        <f>IFERROR(__xludf.DUMMYFUNCTION("""COMPUTED_VALUE"""),"Drakrozz")</f>
        <v>Drakrozz</v>
      </c>
    </row>
    <row r="6385">
      <c r="A6385" s="41" t="str">
        <f>IFERROR(__xludf.DUMMYFUNCTION("""COMPUTED_VALUE"""),"RSC006407")</f>
        <v>RSC006407</v>
      </c>
      <c r="B6385" s="41" t="str">
        <f>IFERROR(__xludf.DUMMYFUNCTION("""COMPUTED_VALUE"""),"brendan")</f>
        <v>brendan</v>
      </c>
    </row>
    <row r="6386">
      <c r="A6386" s="41" t="str">
        <f>IFERROR(__xludf.DUMMYFUNCTION("""COMPUTED_VALUE"""),"RSC006408")</f>
        <v>RSC006408</v>
      </c>
      <c r="B6386" s="41" t="str">
        <f>IFERROR(__xludf.DUMMYFUNCTION("""COMPUTED_VALUE"""),"Met.")</f>
        <v>Met.</v>
      </c>
    </row>
    <row r="6387">
      <c r="A6387" s="41" t="str">
        <f>IFERROR(__xludf.DUMMYFUNCTION("""COMPUTED_VALUE"""),"RSC006409")</f>
        <v>RSC006409</v>
      </c>
      <c r="B6387" s="41" t="str">
        <f>IFERROR(__xludf.DUMMYFUNCTION("""COMPUTED_VALUE"""),"Reported.")</f>
        <v>Reported.</v>
      </c>
    </row>
    <row r="6388">
      <c r="A6388" s="41" t="str">
        <f>IFERROR(__xludf.DUMMYFUNCTION("""COMPUTED_VALUE"""),"RSC006410")</f>
        <v>RSC006410</v>
      </c>
      <c r="B6388" s="41" t="str">
        <f>IFERROR(__xludf.DUMMYFUNCTION("""COMPUTED_VALUE"""),"Jax")</f>
        <v>Jax</v>
      </c>
    </row>
    <row r="6389">
      <c r="A6389" s="41" t="str">
        <f>IFERROR(__xludf.DUMMYFUNCTION("""COMPUTED_VALUE"""),"RSC006411")</f>
        <v>RSC006411</v>
      </c>
      <c r="B6389" s="41" t="str">
        <f>IFERROR(__xludf.DUMMYFUNCTION("""COMPUTED_VALUE"""),"Mcd930")</f>
        <v>Mcd930</v>
      </c>
    </row>
    <row r="6390">
      <c r="A6390" s="41" t="str">
        <f>IFERROR(__xludf.DUMMYFUNCTION("""COMPUTED_VALUE"""),"RSC006412")</f>
        <v>RSC006412</v>
      </c>
      <c r="B6390" s="41" t="str">
        <f>IFERROR(__xludf.DUMMYFUNCTION("""COMPUTED_VALUE"""),"CoryDrav3n")</f>
        <v>CoryDrav3n</v>
      </c>
    </row>
    <row r="6391">
      <c r="A6391" s="41" t="str">
        <f>IFERROR(__xludf.DUMMYFUNCTION("""COMPUTED_VALUE"""),"RSC006413")</f>
        <v>RSC006413</v>
      </c>
      <c r="B6391" s="41" t="str">
        <f>IFERROR(__xludf.DUMMYFUNCTION("""COMPUTED_VALUE"""),"BlueFlre")</f>
        <v>BlueFlre</v>
      </c>
    </row>
    <row r="6392">
      <c r="A6392" s="41" t="str">
        <f>IFERROR(__xludf.DUMMYFUNCTION("""COMPUTED_VALUE"""),"RSC006414")</f>
        <v>RSC006414</v>
      </c>
      <c r="B6392" s="41" t="str">
        <f>IFERROR(__xludf.DUMMYFUNCTION("""COMPUTED_VALUE"""),"smith idk.")</f>
        <v>smith idk.</v>
      </c>
    </row>
    <row r="6393">
      <c r="A6393" s="41" t="str">
        <f>IFERROR(__xludf.DUMMYFUNCTION("""COMPUTED_VALUE"""),"RSC006415")</f>
        <v>RSC006415</v>
      </c>
      <c r="B6393" s="41" t="str">
        <f>IFERROR(__xludf.DUMMYFUNCTION("""COMPUTED_VALUE"""),"MrsBoogie95")</f>
        <v>MrsBoogie95</v>
      </c>
    </row>
    <row r="6394">
      <c r="A6394" s="41" t="str">
        <f>IFERROR(__xludf.DUMMYFUNCTION("""COMPUTED_VALUE"""),"RSC006416")</f>
        <v>RSC006416</v>
      </c>
      <c r="B6394" s="41" t="str">
        <f>IFERROR(__xludf.DUMMYFUNCTION("""COMPUTED_VALUE"""),"StaRazor")</f>
        <v>StaRazor</v>
      </c>
    </row>
    <row r="6395">
      <c r="A6395" s="41" t="str">
        <f>IFERROR(__xludf.DUMMYFUNCTION("""COMPUTED_VALUE"""),"RSC006417")</f>
        <v>RSC006417</v>
      </c>
      <c r="B6395" s="41" t="str">
        <f>IFERROR(__xludf.DUMMYFUNCTION("""COMPUTED_VALUE"""),"TangentOgive")</f>
        <v>TangentOgive</v>
      </c>
    </row>
    <row r="6396">
      <c r="A6396" s="41" t="str">
        <f>IFERROR(__xludf.DUMMYFUNCTION("""COMPUTED_VALUE"""),"RSC006418")</f>
        <v>RSC006418</v>
      </c>
      <c r="B6396" s="41" t="str">
        <f>IFERROR(__xludf.DUMMYFUNCTION("""COMPUTED_VALUE"""),"TheRealDaShadow")</f>
        <v>TheRealDaShadow</v>
      </c>
    </row>
    <row r="6397">
      <c r="A6397" s="41" t="str">
        <f>IFERROR(__xludf.DUMMYFUNCTION("""COMPUTED_VALUE"""),"RSC006419")</f>
        <v>RSC006419</v>
      </c>
      <c r="B6397" s="41" t="str">
        <f>IFERROR(__xludf.DUMMYFUNCTION("""COMPUTED_VALUE"""),"Yerrp-")</f>
        <v>Yerrp-</v>
      </c>
    </row>
    <row r="6398">
      <c r="A6398" s="41" t="str">
        <f>IFERROR(__xludf.DUMMYFUNCTION("""COMPUTED_VALUE"""),"RSC006420")</f>
        <v>RSC006420</v>
      </c>
      <c r="B6398" s="41" t="str">
        <f>IFERROR(__xludf.DUMMYFUNCTION("""COMPUTED_VALUE"""),"Pullis.")</f>
        <v>Pullis.</v>
      </c>
    </row>
    <row r="6399">
      <c r="A6399" s="41" t="str">
        <f>IFERROR(__xludf.DUMMYFUNCTION("""COMPUTED_VALUE"""),"RSC006421")</f>
        <v>RSC006421</v>
      </c>
      <c r="B6399" s="41" t="str">
        <f>IFERROR(__xludf.DUMMYFUNCTION("""COMPUTED_VALUE"""),"PolrBear &lt;3")</f>
        <v>PolrBear &lt;3</v>
      </c>
    </row>
    <row r="6400">
      <c r="A6400" s="41" t="str">
        <f>IFERROR(__xludf.DUMMYFUNCTION("""COMPUTED_VALUE"""),"RSC006422")</f>
        <v>RSC006422</v>
      </c>
      <c r="B6400" s="41" t="str">
        <f>IFERROR(__xludf.DUMMYFUNCTION("""COMPUTED_VALUE"""),"HuggingThor")</f>
        <v>HuggingThor</v>
      </c>
    </row>
    <row r="6401">
      <c r="A6401" s="41" t="str">
        <f>IFERROR(__xludf.DUMMYFUNCTION("""COMPUTED_VALUE"""),"RSC006423")</f>
        <v>RSC006423</v>
      </c>
      <c r="B6401" s="41" t="str">
        <f>IFERROR(__xludf.DUMMYFUNCTION("""COMPUTED_VALUE"""),"JimmJammRumHam")</f>
        <v>JimmJammRumHam</v>
      </c>
    </row>
    <row r="6402">
      <c r="A6402" s="41" t="str">
        <f>IFERROR(__xludf.DUMMYFUNCTION("""COMPUTED_VALUE"""),"RSC006424")</f>
        <v>RSC006424</v>
      </c>
      <c r="B6402" s="41" t="str">
        <f>IFERROR(__xludf.DUMMYFUNCTION("""COMPUTED_VALUE"""),"RSC Raven")</f>
        <v>RSC Raven</v>
      </c>
    </row>
    <row r="6403">
      <c r="A6403" s="41" t="str">
        <f>IFERROR(__xludf.DUMMYFUNCTION("""COMPUTED_VALUE"""),"RSC006425")</f>
        <v>RSC006425</v>
      </c>
      <c r="B6403" s="41" t="str">
        <f>IFERROR(__xludf.DUMMYFUNCTION("""COMPUTED_VALUE"""),"Isntthebeach")</f>
        <v>Isntthebeach</v>
      </c>
    </row>
    <row r="6404">
      <c r="A6404" s="41" t="str">
        <f>IFERROR(__xludf.DUMMYFUNCTION("""COMPUTED_VALUE"""),"RSC006426")</f>
        <v>RSC006426</v>
      </c>
      <c r="B6404" s="41" t="str">
        <f>IFERROR(__xludf.DUMMYFUNCTION("""COMPUTED_VALUE"""),"NoBo_ostNaGa")</f>
        <v>NoBo_ostNaGa</v>
      </c>
    </row>
    <row r="6405">
      <c r="A6405" s="41" t="str">
        <f>IFERROR(__xludf.DUMMYFUNCTION("""COMPUTED_VALUE"""),"RSC006427")</f>
        <v>RSC006427</v>
      </c>
      <c r="B6405" s="41" t="str">
        <f>IFERROR(__xludf.DUMMYFUNCTION("""COMPUTED_VALUE"""),"NukeTech96")</f>
        <v>NukeTech96</v>
      </c>
    </row>
    <row r="6406">
      <c r="A6406" s="41" t="str">
        <f>IFERROR(__xludf.DUMMYFUNCTION("""COMPUTED_VALUE"""),"RSC006428")</f>
        <v>RSC006428</v>
      </c>
      <c r="B6406" s="41" t="str">
        <f>IFERROR(__xludf.DUMMYFUNCTION("""COMPUTED_VALUE"""),"SniperWarrior007")</f>
        <v>SniperWarrior007</v>
      </c>
    </row>
    <row r="6407">
      <c r="A6407" s="41" t="str">
        <f>IFERROR(__xludf.DUMMYFUNCTION("""COMPUTED_VALUE"""),"RSC006429")</f>
        <v>RSC006429</v>
      </c>
      <c r="B6407" s="41" t="str">
        <f>IFERROR(__xludf.DUMMYFUNCTION("""COMPUTED_VALUE"""),"boone")</f>
        <v>boone</v>
      </c>
    </row>
    <row r="6408">
      <c r="A6408" s="41" t="str">
        <f>IFERROR(__xludf.DUMMYFUNCTION("""COMPUTED_VALUE"""),"RSC006430")</f>
        <v>RSC006430</v>
      </c>
      <c r="B6408" s="41" t="str">
        <f>IFERROR(__xludf.DUMMYFUNCTION("""COMPUTED_VALUE"""),"xxDaddysHerexx")</f>
        <v>xxDaddysHerexx</v>
      </c>
    </row>
    <row r="6409">
      <c r="A6409" s="41" t="str">
        <f>IFERROR(__xludf.DUMMYFUNCTION("""COMPUTED_VALUE"""),"RSC006431")</f>
        <v>RSC006431</v>
      </c>
      <c r="B6409" s="41" t="str">
        <f>IFERROR(__xludf.DUMMYFUNCTION("""COMPUTED_VALUE"""),"IAmAlyssaBee")</f>
        <v>IAmAlyssaBee</v>
      </c>
    </row>
    <row r="6410">
      <c r="A6410" s="41" t="str">
        <f>IFERROR(__xludf.DUMMYFUNCTION("""COMPUTED_VALUE"""),"RSC006432")</f>
        <v>RSC006432</v>
      </c>
      <c r="B6410" s="41" t="str">
        <f>IFERROR(__xludf.DUMMYFUNCTION("""COMPUTED_VALUE"""),"M7ko.")</f>
        <v>M7ko.</v>
      </c>
    </row>
    <row r="6411">
      <c r="A6411" s="41" t="str">
        <f>IFERROR(__xludf.DUMMYFUNCTION("""COMPUTED_VALUE"""),"RSC006433")</f>
        <v>RSC006433</v>
      </c>
      <c r="B6411" s="41" t="str">
        <f>IFERROR(__xludf.DUMMYFUNCTION("""COMPUTED_VALUE"""),"BeautifulDuck667")</f>
        <v>BeautifulDuck667</v>
      </c>
    </row>
    <row r="6412">
      <c r="A6412" s="41" t="str">
        <f>IFERROR(__xludf.DUMMYFUNCTION("""COMPUTED_VALUE"""),"RSC006434")</f>
        <v>RSC006434</v>
      </c>
      <c r="B6412" s="41" t="str">
        <f>IFERROR(__xludf.DUMMYFUNCTION("""COMPUTED_VALUE"""),"zaya")</f>
        <v>zaya</v>
      </c>
    </row>
    <row r="6413">
      <c r="A6413" s="41" t="str">
        <f>IFERROR(__xludf.DUMMYFUNCTION("""COMPUTED_VALUE"""),"RSC006435")</f>
        <v>RSC006435</v>
      </c>
      <c r="B6413" s="41" t="str">
        <f>IFERROR(__xludf.DUMMYFUNCTION("""COMPUTED_VALUE"""),"TW Desty")</f>
        <v>TW Desty</v>
      </c>
    </row>
    <row r="6414">
      <c r="A6414" s="41" t="str">
        <f>IFERROR(__xludf.DUMMYFUNCTION("""COMPUTED_VALUE"""),"RSC006436")</f>
        <v>RSC006436</v>
      </c>
      <c r="B6414" s="41" t="str">
        <f>IFERROR(__xludf.DUMMYFUNCTION("""COMPUTED_VALUE"""),"Furian")</f>
        <v>Furian</v>
      </c>
    </row>
    <row r="6415">
      <c r="A6415" s="41" t="str">
        <f>IFERROR(__xludf.DUMMYFUNCTION("""COMPUTED_VALUE"""),"RSC006437")</f>
        <v>RSC006437</v>
      </c>
      <c r="B6415" s="41" t="str">
        <f>IFERROR(__xludf.DUMMYFUNCTION("""COMPUTED_VALUE"""),"Timbo.")</f>
        <v>Timbo.</v>
      </c>
    </row>
    <row r="6416">
      <c r="A6416" s="41" t="str">
        <f>IFERROR(__xludf.DUMMYFUNCTION("""COMPUTED_VALUE"""),"RSC006438")</f>
        <v>RSC006438</v>
      </c>
      <c r="B6416" s="41" t="str">
        <f>IFERROR(__xludf.DUMMYFUNCTION("""COMPUTED_VALUE"""),"WestyzWorld")</f>
        <v>WestyzWorld</v>
      </c>
    </row>
    <row r="6417">
      <c r="A6417" s="41" t="str">
        <f>IFERROR(__xludf.DUMMYFUNCTION("""COMPUTED_VALUE"""),"RSC006439")</f>
        <v>RSC006439</v>
      </c>
      <c r="B6417" s="41" t="str">
        <f>IFERROR(__xludf.DUMMYFUNCTION("""COMPUTED_VALUE"""),"S E L.")</f>
        <v>S E L.</v>
      </c>
    </row>
    <row r="6418">
      <c r="A6418" s="41" t="str">
        <f>IFERROR(__xludf.DUMMYFUNCTION("""COMPUTED_VALUE"""),"RSC006440")</f>
        <v>RSC006440</v>
      </c>
      <c r="B6418" s="41" t="str">
        <f>IFERROR(__xludf.DUMMYFUNCTION("""COMPUTED_VALUE"""),"ylg_streaky")</f>
        <v>ylg_streaky</v>
      </c>
    </row>
    <row r="6419">
      <c r="A6419" s="41" t="str">
        <f>IFERROR(__xludf.DUMMYFUNCTION("""COMPUTED_VALUE"""),"RSC006441")</f>
        <v>RSC006441</v>
      </c>
      <c r="B6419" s="41" t="str">
        <f>IFERROR(__xludf.DUMMYFUNCTION("""COMPUTED_VALUE"""),"Itchyramrod420TV")</f>
        <v>Itchyramrod420TV</v>
      </c>
    </row>
    <row r="6420">
      <c r="A6420" s="41" t="str">
        <f>IFERROR(__xludf.DUMMYFUNCTION("""COMPUTED_VALUE"""),"RSC006442")</f>
        <v>RSC006442</v>
      </c>
      <c r="B6420" s="41" t="str">
        <f>IFERROR(__xludf.DUMMYFUNCTION("""COMPUTED_VALUE"""),"Zsynz")</f>
        <v>Zsynz</v>
      </c>
    </row>
    <row r="6421">
      <c r="A6421" s="41" t="str">
        <f>IFERROR(__xludf.DUMMYFUNCTION("""COMPUTED_VALUE"""),"RSC006443")</f>
        <v>RSC006443</v>
      </c>
      <c r="B6421" s="41" t="str">
        <f>IFERROR(__xludf.DUMMYFUNCTION("""COMPUTED_VALUE"""),"ONLYSLIM2198")</f>
        <v>ONLYSLIM2198</v>
      </c>
    </row>
    <row r="6422">
      <c r="A6422" s="41" t="str">
        <f>IFERROR(__xludf.DUMMYFUNCTION("""COMPUTED_VALUE"""),"RSC006444")</f>
        <v>RSC006444</v>
      </c>
      <c r="B6422" s="41" t="str">
        <f>IFERROR(__xludf.DUMMYFUNCTION("""COMPUTED_VALUE"""),"IWonAGoldTourney")</f>
        <v>IWonAGoldTourney</v>
      </c>
    </row>
    <row r="6423">
      <c r="A6423" s="41" t="str">
        <f>IFERROR(__xludf.DUMMYFUNCTION("""COMPUTED_VALUE"""),"RSC006445")</f>
        <v>RSC006445</v>
      </c>
      <c r="B6423" s="41" t="str">
        <f>IFERROR(__xludf.DUMMYFUNCTION("""COMPUTED_VALUE"""),"Freemak1")</f>
        <v>Freemak1</v>
      </c>
    </row>
    <row r="6424">
      <c r="A6424" s="41" t="str">
        <f>IFERROR(__xludf.DUMMYFUNCTION("""COMPUTED_VALUE"""),"RSC006446")</f>
        <v>RSC006446</v>
      </c>
      <c r="B6424" s="41" t="str">
        <f>IFERROR(__xludf.DUMMYFUNCTION("""COMPUTED_VALUE"""),"ACE_Cosplays.TTV")</f>
        <v>ACE_Cosplays.TTV</v>
      </c>
    </row>
    <row r="6425">
      <c r="A6425" s="41" t="str">
        <f>IFERROR(__xludf.DUMMYFUNCTION("""COMPUTED_VALUE"""),"RSC006447")</f>
        <v>RSC006447</v>
      </c>
      <c r="B6425" s="41" t="str">
        <f>IFERROR(__xludf.DUMMYFUNCTION("""COMPUTED_VALUE"""),"Swaveh")</f>
        <v>Swaveh</v>
      </c>
    </row>
    <row r="6426">
      <c r="A6426" s="41" t="str">
        <f>IFERROR(__xludf.DUMMYFUNCTION("""COMPUTED_VALUE"""),"RSC006448")</f>
        <v>RSC006448</v>
      </c>
      <c r="B6426" s="41" t="str">
        <f>IFERROR(__xludf.DUMMYFUNCTION("""COMPUTED_VALUE"""),"M1TNS")</f>
        <v>M1TNS</v>
      </c>
    </row>
    <row r="6427">
      <c r="A6427" s="41" t="str">
        <f>IFERROR(__xludf.DUMMYFUNCTION("""COMPUTED_VALUE"""),"RSC006449")</f>
        <v>RSC006449</v>
      </c>
      <c r="B6427" s="41" t="str">
        <f>IFERROR(__xludf.DUMMYFUNCTION("""COMPUTED_VALUE"""),"Slowly Dyingg")</f>
        <v>Slowly Dyingg</v>
      </c>
    </row>
    <row r="6428">
      <c r="A6428" s="41" t="str">
        <f>IFERROR(__xludf.DUMMYFUNCTION("""COMPUTED_VALUE"""),"RSC006450")</f>
        <v>RSC006450</v>
      </c>
      <c r="B6428" s="41" t="str">
        <f>IFERROR(__xludf.DUMMYFUNCTION("""COMPUTED_VALUE"""),"TheBestEverTo")</f>
        <v>TheBestEverTo</v>
      </c>
    </row>
    <row r="6429">
      <c r="A6429" s="41" t="str">
        <f>IFERROR(__xludf.DUMMYFUNCTION("""COMPUTED_VALUE"""),"RSC006451")</f>
        <v>RSC006451</v>
      </c>
      <c r="B6429" s="41" t="str">
        <f>IFERROR(__xludf.DUMMYFUNCTION("""COMPUTED_VALUE"""),"notgabe22")</f>
        <v>notgabe22</v>
      </c>
    </row>
    <row r="6430">
      <c r="A6430" s="41" t="str">
        <f>IFERROR(__xludf.DUMMYFUNCTION("""COMPUTED_VALUE"""),"RSC006452")</f>
        <v>RSC006452</v>
      </c>
      <c r="B6430" s="41" t="str">
        <f>IFERROR(__xludf.DUMMYFUNCTION("""COMPUTED_VALUE"""),"legolas.")</f>
        <v>legolas.</v>
      </c>
    </row>
    <row r="6431">
      <c r="A6431" s="41" t="str">
        <f>IFERROR(__xludf.DUMMYFUNCTION("""COMPUTED_VALUE"""),"RSC006453")</f>
        <v>RSC006453</v>
      </c>
      <c r="B6431" s="41" t="str">
        <f>IFERROR(__xludf.DUMMYFUNCTION("""COMPUTED_VALUE"""),"Swift")</f>
        <v>Swift</v>
      </c>
    </row>
    <row r="6432">
      <c r="A6432" s="41" t="str">
        <f>IFERROR(__xludf.DUMMYFUNCTION("""COMPUTED_VALUE"""),"RSC006454")</f>
        <v>RSC006454</v>
      </c>
      <c r="B6432" s="41" t="str">
        <f>IFERROR(__xludf.DUMMYFUNCTION("""COMPUTED_VALUE"""),"nyquil1x")</f>
        <v>nyquil1x</v>
      </c>
    </row>
    <row r="6433">
      <c r="A6433" s="41" t="str">
        <f>IFERROR(__xludf.DUMMYFUNCTION("""COMPUTED_VALUE"""),"RSC006455")</f>
        <v>RSC006455</v>
      </c>
      <c r="B6433" s="41" t="str">
        <f>IFERROR(__xludf.DUMMYFUNCTION("""COMPUTED_VALUE"""),"the_hound_530")</f>
        <v>the_hound_530</v>
      </c>
    </row>
    <row r="6434">
      <c r="A6434" s="41" t="str">
        <f>IFERROR(__xludf.DUMMYFUNCTION("""COMPUTED_VALUE"""),"RSC006456")</f>
        <v>RSC006456</v>
      </c>
      <c r="B6434" s="41" t="str">
        <f>IFERROR(__xludf.DUMMYFUNCTION("""COMPUTED_VALUE"""),"PhantomReko")</f>
        <v>PhantomReko</v>
      </c>
    </row>
    <row r="6435">
      <c r="A6435" s="41" t="str">
        <f>IFERROR(__xludf.DUMMYFUNCTION("""COMPUTED_VALUE"""),"RSC006457")</f>
        <v>RSC006457</v>
      </c>
      <c r="B6435" s="41" t="str">
        <f>IFERROR(__xludf.DUMMYFUNCTION("""COMPUTED_VALUE"""),"NFiniteRivals")</f>
        <v>NFiniteRivals</v>
      </c>
    </row>
    <row r="6436">
      <c r="A6436" s="41" t="str">
        <f>IFERROR(__xludf.DUMMYFUNCTION("""COMPUTED_VALUE"""),"RSC006458")</f>
        <v>RSC006458</v>
      </c>
      <c r="B6436" s="41" t="str">
        <f>IFERROR(__xludf.DUMMYFUNCTION("""COMPUTED_VALUE"""),"Butlight_guy")</f>
        <v>Butlight_guy</v>
      </c>
    </row>
    <row r="6437">
      <c r="A6437" s="41" t="str">
        <f>IFERROR(__xludf.DUMMYFUNCTION("""COMPUTED_VALUE"""),"RSC006459")</f>
        <v>RSC006459</v>
      </c>
      <c r="B6437" s="41" t="str">
        <f>IFERROR(__xludf.DUMMYFUNCTION("""COMPUTED_VALUE"""),"Daylon")</f>
        <v>Daylon</v>
      </c>
    </row>
    <row r="6438">
      <c r="A6438" s="41" t="str">
        <f>IFERROR(__xludf.DUMMYFUNCTION("""COMPUTED_VALUE"""),"RSC006460")</f>
        <v>RSC006460</v>
      </c>
      <c r="B6438" s="41" t="str">
        <f>IFERROR(__xludf.DUMMYFUNCTION("""COMPUTED_VALUE"""),"Arrow")</f>
        <v>Arrow</v>
      </c>
    </row>
    <row r="6439">
      <c r="A6439" s="41" t="str">
        <f>IFERROR(__xludf.DUMMYFUNCTION("""COMPUTED_VALUE"""),"RSC006461")</f>
        <v>RSC006461</v>
      </c>
      <c r="B6439" s="41" t="str">
        <f>IFERROR(__xludf.DUMMYFUNCTION("""COMPUTED_VALUE"""),"Cynical89")</f>
        <v>Cynical89</v>
      </c>
    </row>
    <row r="6440">
      <c r="A6440" s="41" t="str">
        <f>IFERROR(__xludf.DUMMYFUNCTION("""COMPUTED_VALUE"""),"RSC006462")</f>
        <v>RSC006462</v>
      </c>
      <c r="B6440" s="41" t="str">
        <f>IFERROR(__xludf.DUMMYFUNCTION("""COMPUTED_VALUE"""),"ous")</f>
        <v>ous</v>
      </c>
    </row>
    <row r="6441">
      <c r="A6441" s="41" t="str">
        <f>IFERROR(__xludf.DUMMYFUNCTION("""COMPUTED_VALUE"""),"RSC006463")</f>
        <v>RSC006463</v>
      </c>
      <c r="B6441" s="41" t="str">
        <f>IFERROR(__xludf.DUMMYFUNCTION("""COMPUTED_VALUE"""),"YumDisc")</f>
        <v>YumDisc</v>
      </c>
    </row>
    <row r="6442">
      <c r="A6442" s="41" t="str">
        <f>IFERROR(__xludf.DUMMYFUNCTION("""COMPUTED_VALUE"""),"RSC006464")</f>
        <v>RSC006464</v>
      </c>
      <c r="B6442" s="41" t="str">
        <f>IFERROR(__xludf.DUMMYFUNCTION("""COMPUTED_VALUE"""),"vAirwick")</f>
        <v>vAirwick</v>
      </c>
    </row>
    <row r="6443">
      <c r="A6443" s="41" t="str">
        <f>IFERROR(__xludf.DUMMYFUNCTION("""COMPUTED_VALUE"""),"RSC006465")</f>
        <v>RSC006465</v>
      </c>
      <c r="B6443" s="41" t="str">
        <f>IFERROR(__xludf.DUMMYFUNCTION("""COMPUTED_VALUE"""),"lilchris0921")</f>
        <v>lilchris0921</v>
      </c>
    </row>
    <row r="6444">
      <c r="A6444" s="41" t="str">
        <f>IFERROR(__xludf.DUMMYFUNCTION("""COMPUTED_VALUE"""),"RSC006466")</f>
        <v>RSC006466</v>
      </c>
      <c r="B6444" s="41" t="str">
        <f>IFERROR(__xludf.DUMMYFUNCTION("""COMPUTED_VALUE"""),"MAXIMUMBIGA")</f>
        <v>MAXIMUMBIGA</v>
      </c>
    </row>
    <row r="6445">
      <c r="A6445" s="41" t="str">
        <f>IFERROR(__xludf.DUMMYFUNCTION("""COMPUTED_VALUE"""),"RSC006467")</f>
        <v>RSC006467</v>
      </c>
      <c r="B6445" s="41" t="str">
        <f>IFERROR(__xludf.DUMMYFUNCTION("""COMPUTED_VALUE"""),"Rebel.")</f>
        <v>Rebel.</v>
      </c>
    </row>
    <row r="6446">
      <c r="A6446" s="41" t="str">
        <f>IFERROR(__xludf.DUMMYFUNCTION("""COMPUTED_VALUE"""),"RSC006468")</f>
        <v>RSC006468</v>
      </c>
      <c r="B6446" s="41" t="str">
        <f>IFERROR(__xludf.DUMMYFUNCTION("""COMPUTED_VALUE"""),"AlphaChuck")</f>
        <v>AlphaChuck</v>
      </c>
    </row>
    <row r="6447">
      <c r="A6447" s="41" t="str">
        <f>IFERROR(__xludf.DUMMYFUNCTION("""COMPUTED_VALUE"""),"RSC006469")</f>
        <v>RSC006469</v>
      </c>
      <c r="B6447" s="41" t="str">
        <f>IFERROR(__xludf.DUMMYFUNCTION("""COMPUTED_VALUE"""),"EXACTLYzer0")</f>
        <v>EXACTLYzer0</v>
      </c>
    </row>
    <row r="6448">
      <c r="A6448" s="41" t="str">
        <f>IFERROR(__xludf.DUMMYFUNCTION("""COMPUTED_VALUE"""),"RSC006470")</f>
        <v>RSC006470</v>
      </c>
      <c r="B6448" s="41" t="str">
        <f>IFERROR(__xludf.DUMMYFUNCTION("""COMPUTED_VALUE"""),"SensRL TWITCH")</f>
        <v>SensRL TWITCH</v>
      </c>
    </row>
    <row r="6449">
      <c r="A6449" s="41" t="str">
        <f>IFERROR(__xludf.DUMMYFUNCTION("""COMPUTED_VALUE"""),"RSC006471")</f>
        <v>RSC006471</v>
      </c>
      <c r="B6449" s="41" t="str">
        <f>IFERROR(__xludf.DUMMYFUNCTION("""COMPUTED_VALUE"""),"Ren Sako")</f>
        <v>Ren Sako</v>
      </c>
    </row>
    <row r="6450">
      <c r="A6450" s="41" t="str">
        <f>IFERROR(__xludf.DUMMYFUNCTION("""COMPUTED_VALUE"""),"RSC006472")</f>
        <v>RSC006472</v>
      </c>
      <c r="B6450" s="41" t="str">
        <f>IFERROR(__xludf.DUMMYFUNCTION("""COMPUTED_VALUE"""),"DommyHunny")</f>
        <v>DommyHunny</v>
      </c>
    </row>
    <row r="6451">
      <c r="A6451" s="41" t="str">
        <f>IFERROR(__xludf.DUMMYFUNCTION("""COMPUTED_VALUE"""),"RSC006473")</f>
        <v>RSC006473</v>
      </c>
      <c r="B6451" s="41" t="str">
        <f>IFERROR(__xludf.DUMMYFUNCTION("""COMPUTED_VALUE"""),"Roxxert")</f>
        <v>Roxxert</v>
      </c>
    </row>
    <row r="6452">
      <c r="A6452" s="41" t="str">
        <f>IFERROR(__xludf.DUMMYFUNCTION("""COMPUTED_VALUE"""),"RSC006474")</f>
        <v>RSC006474</v>
      </c>
      <c r="B6452" s="41" t="str">
        <f>IFERROR(__xludf.DUMMYFUNCTION("""COMPUTED_VALUE"""),"flashs")</f>
        <v>flashs</v>
      </c>
    </row>
    <row r="6453">
      <c r="A6453" s="41" t="str">
        <f>IFERROR(__xludf.DUMMYFUNCTION("""COMPUTED_VALUE"""),"RSC006475")</f>
        <v>RSC006475</v>
      </c>
      <c r="B6453" s="41" t="str">
        <f>IFERROR(__xludf.DUMMYFUNCTION("""COMPUTED_VALUE"""),"Coyote_Scat")</f>
        <v>Coyote_Scat</v>
      </c>
    </row>
    <row r="6454">
      <c r="A6454" s="41" t="str">
        <f>IFERROR(__xludf.DUMMYFUNCTION("""COMPUTED_VALUE"""),"RSC006476")</f>
        <v>RSC006476</v>
      </c>
      <c r="B6454" s="41" t="str">
        <f>IFERROR(__xludf.DUMMYFUNCTION("""COMPUTED_VALUE"""),"Dbomb00")</f>
        <v>Dbomb00</v>
      </c>
    </row>
    <row r="6455">
      <c r="A6455" s="41" t="str">
        <f>IFERROR(__xludf.DUMMYFUNCTION("""COMPUTED_VALUE"""),"RSC006477")</f>
        <v>RSC006477</v>
      </c>
      <c r="B6455" s="41" t="str">
        <f>IFERROR(__xludf.DUMMYFUNCTION("""COMPUTED_VALUE"""),"XtraCrispyRL")</f>
        <v>XtraCrispyRL</v>
      </c>
    </row>
    <row r="6456">
      <c r="A6456" s="41" t="str">
        <f>IFERROR(__xludf.DUMMYFUNCTION("""COMPUTED_VALUE"""),"RSC006478")</f>
        <v>RSC006478</v>
      </c>
      <c r="B6456" s="41" t="str">
        <f>IFERROR(__xludf.DUMMYFUNCTION("""COMPUTED_VALUE"""),"Wontay")</f>
        <v>Wontay</v>
      </c>
    </row>
    <row r="6457">
      <c r="A6457" s="41" t="str">
        <f>IFERROR(__xludf.DUMMYFUNCTION("""COMPUTED_VALUE"""),"RSC006479")</f>
        <v>RSC006479</v>
      </c>
      <c r="B6457" s="41" t="str">
        <f>IFERROR(__xludf.DUMMYFUNCTION("""COMPUTED_VALUE"""),"FermisPrime")</f>
        <v>FermisPrime</v>
      </c>
    </row>
    <row r="6458">
      <c r="A6458" s="41" t="str">
        <f>IFERROR(__xludf.DUMMYFUNCTION("""COMPUTED_VALUE"""),"RSC006480")</f>
        <v>RSC006480</v>
      </c>
      <c r="B6458" s="41" t="str">
        <f>IFERROR(__xludf.DUMMYFUNCTION("""COMPUTED_VALUE"""),"Lazyz.")</f>
        <v>Lazyz.</v>
      </c>
    </row>
    <row r="6459">
      <c r="A6459" s="41" t="str">
        <f>IFERROR(__xludf.DUMMYFUNCTION("""COMPUTED_VALUE"""),"RSC006481")</f>
        <v>RSC006481</v>
      </c>
      <c r="B6459" s="41" t="str">
        <f>IFERROR(__xludf.DUMMYFUNCTION("""COMPUTED_VALUE"""),"Mixsta.")</f>
        <v>Mixsta.</v>
      </c>
    </row>
    <row r="6460">
      <c r="A6460" s="41" t="str">
        <f>IFERROR(__xludf.DUMMYFUNCTION("""COMPUTED_VALUE"""),"RSC006482")</f>
        <v>RSC006482</v>
      </c>
      <c r="B6460" s="41" t="str">
        <f>IFERROR(__xludf.DUMMYFUNCTION("""COMPUTED_VALUE"""),"BigRonTon")</f>
        <v>BigRonTon</v>
      </c>
    </row>
    <row r="6461">
      <c r="A6461" s="41" t="str">
        <f>IFERROR(__xludf.DUMMYFUNCTION("""COMPUTED_VALUE"""),"RSC006483")</f>
        <v>RSC006483</v>
      </c>
      <c r="B6461" s="41" t="str">
        <f>IFERROR(__xludf.DUMMYFUNCTION("""COMPUTED_VALUE"""),"ttvmatcha")</f>
        <v>ttvmatcha</v>
      </c>
    </row>
    <row r="6462">
      <c r="A6462" s="41" t="str">
        <f>IFERROR(__xludf.DUMMYFUNCTION("""COMPUTED_VALUE"""),"RSC006484")</f>
        <v>RSC006484</v>
      </c>
      <c r="B6462" s="41" t="str">
        <f>IFERROR(__xludf.DUMMYFUNCTION("""COMPUTED_VALUE"""),"AhmedSa-")</f>
        <v>AhmedSa-</v>
      </c>
    </row>
    <row r="6463">
      <c r="A6463" s="41" t="str">
        <f>IFERROR(__xludf.DUMMYFUNCTION("""COMPUTED_VALUE"""),"RSC006485")</f>
        <v>RSC006485</v>
      </c>
      <c r="B6463" s="41" t="str">
        <f>IFERROR(__xludf.DUMMYFUNCTION("""COMPUTED_VALUE"""),"GorilllaDragon")</f>
        <v>GorilllaDragon</v>
      </c>
    </row>
    <row r="6464">
      <c r="A6464" s="41" t="str">
        <f>IFERROR(__xludf.DUMMYFUNCTION("""COMPUTED_VALUE"""),"RSC006487")</f>
        <v>RSC006487</v>
      </c>
      <c r="B6464" s="41" t="str">
        <f>IFERROR(__xludf.DUMMYFUNCTION("""COMPUTED_VALUE"""),"KorusRay")</f>
        <v>KorusRay</v>
      </c>
    </row>
    <row r="6465">
      <c r="A6465" s="41" t="str">
        <f>IFERROR(__xludf.DUMMYFUNCTION("""COMPUTED_VALUE"""),"RSC006488")</f>
        <v>RSC006488</v>
      </c>
      <c r="B6465" s="41" t="str">
        <f>IFERROR(__xludf.DUMMYFUNCTION("""COMPUTED_VALUE"""),"1800bxnds")</f>
        <v>1800bxnds</v>
      </c>
    </row>
    <row r="6466">
      <c r="A6466" s="41" t="str">
        <f>IFERROR(__xludf.DUMMYFUNCTION("""COMPUTED_VALUE"""),"RSC006489")</f>
        <v>RSC006489</v>
      </c>
      <c r="B6466" s="41" t="str">
        <f>IFERROR(__xludf.DUMMYFUNCTION("""COMPUTED_VALUE"""),"bayylock")</f>
        <v>bayylock</v>
      </c>
    </row>
    <row r="6467">
      <c r="A6467" s="41" t="str">
        <f>IFERROR(__xludf.DUMMYFUNCTION("""COMPUTED_VALUE"""),"RSC006490")</f>
        <v>RSC006490</v>
      </c>
      <c r="B6467" s="41" t="str">
        <f>IFERROR(__xludf.DUMMYFUNCTION("""COMPUTED_VALUE"""),"Dayz")</f>
        <v>Dayz</v>
      </c>
    </row>
    <row r="6468">
      <c r="A6468" s="41" t="str">
        <f>IFERROR(__xludf.DUMMYFUNCTION("""COMPUTED_VALUE"""),"RSC006491")</f>
        <v>RSC006491</v>
      </c>
      <c r="B6468" s="41" t="str">
        <f>IFERROR(__xludf.DUMMYFUNCTION("""COMPUTED_VALUE"""),"AMP")</f>
        <v>AMP</v>
      </c>
    </row>
    <row r="6469">
      <c r="A6469" s="41" t="str">
        <f>IFERROR(__xludf.DUMMYFUNCTION("""COMPUTED_VALUE"""),"RSC006492")</f>
        <v>RSC006492</v>
      </c>
      <c r="B6469" s="41" t="str">
        <f>IFERROR(__xludf.DUMMYFUNCTION("""COMPUTED_VALUE"""),"Pr0di9y.")</f>
        <v>Pr0di9y.</v>
      </c>
    </row>
    <row r="6470">
      <c r="A6470" s="41" t="str">
        <f>IFERROR(__xludf.DUMMYFUNCTION("""COMPUTED_VALUE"""),"RSC006493")</f>
        <v>RSC006493</v>
      </c>
      <c r="B6470" s="41" t="str">
        <f>IFERROR(__xludf.DUMMYFUNCTION("""COMPUTED_VALUE"""),"kalvinmoon")</f>
        <v>kalvinmoon</v>
      </c>
    </row>
    <row r="6471">
      <c r="A6471" s="41" t="str">
        <f>IFERROR(__xludf.DUMMYFUNCTION("""COMPUTED_VALUE"""),"RSC006494")</f>
        <v>RSC006494</v>
      </c>
      <c r="B6471" s="41" t="str">
        <f>IFERROR(__xludf.DUMMYFUNCTION("""COMPUTED_VALUE"""),"Jimmy")</f>
        <v>Jimmy</v>
      </c>
    </row>
    <row r="6472">
      <c r="A6472" s="41" t="str">
        <f>IFERROR(__xludf.DUMMYFUNCTION("""COMPUTED_VALUE"""),"RSC006495")</f>
        <v>RSC006495</v>
      </c>
      <c r="B6472" s="41" t="str">
        <f>IFERROR(__xludf.DUMMYFUNCTION("""COMPUTED_VALUE"""),"Hype.56")</f>
        <v>Hype.56</v>
      </c>
    </row>
    <row r="6473">
      <c r="A6473" s="41" t="str">
        <f>IFERROR(__xludf.DUMMYFUNCTION("""COMPUTED_VALUE"""),"RSC006496")</f>
        <v>RSC006496</v>
      </c>
      <c r="B6473" s="41" t="str">
        <f>IFERROR(__xludf.DUMMYFUNCTION("""COMPUTED_VALUE"""),"chaos")</f>
        <v>chaos</v>
      </c>
    </row>
    <row r="6474">
      <c r="A6474" s="41" t="str">
        <f>IFERROR(__xludf.DUMMYFUNCTION("""COMPUTED_VALUE"""),"RSC006497")</f>
        <v>RSC006497</v>
      </c>
      <c r="B6474" s="41" t="str">
        <f>IFERROR(__xludf.DUMMYFUNCTION("""COMPUTED_VALUE"""),"Slipknot212")</f>
        <v>Slipknot212</v>
      </c>
    </row>
    <row r="6475">
      <c r="A6475" s="41" t="str">
        <f>IFERROR(__xludf.DUMMYFUNCTION("""COMPUTED_VALUE"""),"RSC006498")</f>
        <v>RSC006498</v>
      </c>
      <c r="B6475" s="41" t="str">
        <f>IFERROR(__xludf.DUMMYFUNCTION("""COMPUTED_VALUE"""),"Snoww.")</f>
        <v>Snoww.</v>
      </c>
    </row>
    <row r="6476">
      <c r="A6476" s="41" t="str">
        <f>IFERROR(__xludf.DUMMYFUNCTION("""COMPUTED_VALUE"""),"RSC006499")</f>
        <v>RSC006499</v>
      </c>
      <c r="B6476" s="41" t="str">
        <f>IFERROR(__xludf.DUMMYFUNCTION("""COMPUTED_VALUE"""),"Void")</f>
        <v>Void</v>
      </c>
    </row>
    <row r="6477">
      <c r="A6477" s="41" t="str">
        <f>IFERROR(__xludf.DUMMYFUNCTION("""COMPUTED_VALUE"""),"RSC006500")</f>
        <v>RSC006500</v>
      </c>
      <c r="B6477" s="41" t="str">
        <f>IFERROR(__xludf.DUMMYFUNCTION("""COMPUTED_VALUE"""),"Mello92")</f>
        <v>Mello92</v>
      </c>
    </row>
    <row r="6478">
      <c r="A6478" s="41" t="str">
        <f>IFERROR(__xludf.DUMMYFUNCTION("""COMPUTED_VALUE"""),"RSC006501")</f>
        <v>RSC006501</v>
      </c>
      <c r="B6478" s="41" t="str">
        <f>IFERROR(__xludf.DUMMYFUNCTION("""COMPUTED_VALUE"""),"LaggyPuppyy")</f>
        <v>LaggyPuppyy</v>
      </c>
    </row>
    <row r="6479">
      <c r="A6479" s="41" t="str">
        <f>IFERROR(__xludf.DUMMYFUNCTION("""COMPUTED_VALUE"""),"RSC006502")</f>
        <v>RSC006502</v>
      </c>
      <c r="B6479" s="41" t="str">
        <f>IFERROR(__xludf.DUMMYFUNCTION("""COMPUTED_VALUE"""),"Ytzi")</f>
        <v>Ytzi</v>
      </c>
    </row>
    <row r="6480">
      <c r="A6480" s="41" t="str">
        <f>IFERROR(__xludf.DUMMYFUNCTION("""COMPUTED_VALUE"""),"RSC006503")</f>
        <v>RSC006503</v>
      </c>
      <c r="B6480" s="41" t="str">
        <f>IFERROR(__xludf.DUMMYFUNCTION("""COMPUTED_VALUE"""),"EchoNxT")</f>
        <v>EchoNxT</v>
      </c>
    </row>
    <row r="6481">
      <c r="A6481" s="41" t="str">
        <f>IFERROR(__xludf.DUMMYFUNCTION("""COMPUTED_VALUE"""),"RSC006504")</f>
        <v>RSC006504</v>
      </c>
      <c r="B6481" s="41" t="str">
        <f>IFERROR(__xludf.DUMMYFUNCTION("""COMPUTED_VALUE"""),"Forrestnathan2")</f>
        <v>Forrestnathan2</v>
      </c>
    </row>
    <row r="6482">
      <c r="A6482" s="41" t="str">
        <f>IFERROR(__xludf.DUMMYFUNCTION("""COMPUTED_VALUE"""),"RSC006505")</f>
        <v>RSC006505</v>
      </c>
      <c r="B6482" s="41" t="str">
        <f>IFERROR(__xludf.DUMMYFUNCTION("""COMPUTED_VALUE"""),"Vice")</f>
        <v>Vice</v>
      </c>
    </row>
    <row r="6483">
      <c r="A6483" s="41" t="str">
        <f>IFERROR(__xludf.DUMMYFUNCTION("""COMPUTED_VALUE"""),"RSC006506")</f>
        <v>RSC006506</v>
      </c>
      <c r="B6483" s="41" t="str">
        <f>IFERROR(__xludf.DUMMYFUNCTION("""COMPUTED_VALUE"""),"Colbob")</f>
        <v>Colbob</v>
      </c>
    </row>
    <row r="6484">
      <c r="A6484" s="41" t="str">
        <f>IFERROR(__xludf.DUMMYFUNCTION("""COMPUTED_VALUE"""),"RSC006507")</f>
        <v>RSC006507</v>
      </c>
      <c r="B6484" s="41" t="str">
        <f>IFERROR(__xludf.DUMMYFUNCTION("""COMPUTED_VALUE"""),"Grandepapi420ttv")</f>
        <v>Grandepapi420ttv</v>
      </c>
    </row>
    <row r="6485">
      <c r="A6485" s="41" t="str">
        <f>IFERROR(__xludf.DUMMYFUNCTION("""COMPUTED_VALUE"""),"RSC006508")</f>
        <v>RSC006508</v>
      </c>
      <c r="B6485" s="41" t="str">
        <f>IFERROR(__xludf.DUMMYFUNCTION("""COMPUTED_VALUE"""),"Prohunter RL")</f>
        <v>Prohunter RL</v>
      </c>
    </row>
    <row r="6486">
      <c r="A6486" s="41" t="str">
        <f>IFERROR(__xludf.DUMMYFUNCTION("""COMPUTED_VALUE"""),"RSC006509")</f>
        <v>RSC006509</v>
      </c>
      <c r="B6486" s="41" t="str">
        <f>IFERROR(__xludf.DUMMYFUNCTION("""COMPUTED_VALUE"""),"Juryef")</f>
        <v>Juryef</v>
      </c>
    </row>
    <row r="6487">
      <c r="A6487" s="41" t="str">
        <f>IFERROR(__xludf.DUMMYFUNCTION("""COMPUTED_VALUE"""),"RSC006510")</f>
        <v>RSC006510</v>
      </c>
      <c r="B6487" s="41" t="str">
        <f>IFERROR(__xludf.DUMMYFUNCTION("""COMPUTED_VALUE"""),"Armoured-Cahwk")</f>
        <v>Armoured-Cahwk</v>
      </c>
    </row>
    <row r="6488">
      <c r="A6488" s="41" t="str">
        <f>IFERROR(__xludf.DUMMYFUNCTION("""COMPUTED_VALUE"""),"RSC006511")</f>
        <v>RSC006511</v>
      </c>
      <c r="B6488" s="41" t="str">
        <f>IFERROR(__xludf.DUMMYFUNCTION("""COMPUTED_VALUE"""),"Peepzi.")</f>
        <v>Peepzi.</v>
      </c>
    </row>
    <row r="6489">
      <c r="A6489" s="41" t="str">
        <f>IFERROR(__xludf.DUMMYFUNCTION("""COMPUTED_VALUE"""),"RSC006512")</f>
        <v>RSC006512</v>
      </c>
      <c r="B6489" s="41" t="str">
        <f>IFERROR(__xludf.DUMMYFUNCTION("""COMPUTED_VALUE"""),"lilbuffalo80")</f>
        <v>lilbuffalo80</v>
      </c>
    </row>
    <row r="6490">
      <c r="A6490" s="41" t="str">
        <f>IFERROR(__xludf.DUMMYFUNCTION("""COMPUTED_VALUE"""),"RSC006513")</f>
        <v>RSC006513</v>
      </c>
      <c r="B6490" s="41" t="str">
        <f>IFERROR(__xludf.DUMMYFUNCTION("""COMPUTED_VALUE"""),"Bumbles_Nesly")</f>
        <v>Bumbles_Nesly</v>
      </c>
    </row>
    <row r="6491">
      <c r="A6491" s="41" t="str">
        <f>IFERROR(__xludf.DUMMYFUNCTION("""COMPUTED_VALUE"""),"RSC006514")</f>
        <v>RSC006514</v>
      </c>
      <c r="B6491" s="41" t="str">
        <f>IFERROR(__xludf.DUMMYFUNCTION("""COMPUTED_VALUE"""),"Havoc_Official_")</f>
        <v>Havoc_Official_</v>
      </c>
    </row>
    <row r="6492">
      <c r="A6492" s="41" t="str">
        <f>IFERROR(__xludf.DUMMYFUNCTION("""COMPUTED_VALUE"""),"RSC006515")</f>
        <v>RSC006515</v>
      </c>
      <c r="B6492" s="41" t="str">
        <f>IFERROR(__xludf.DUMMYFUNCTION("""COMPUTED_VALUE"""),"Brrki")</f>
        <v>Brrki</v>
      </c>
    </row>
    <row r="6493">
      <c r="A6493" s="41" t="str">
        <f>IFERROR(__xludf.DUMMYFUNCTION("""COMPUTED_VALUE"""),"RSC006516")</f>
        <v>RSC006516</v>
      </c>
      <c r="B6493" s="41" t="str">
        <f>IFERROR(__xludf.DUMMYFUNCTION("""COMPUTED_VALUE"""),"Frickin_Panda")</f>
        <v>Frickin_Panda</v>
      </c>
    </row>
    <row r="6494">
      <c r="A6494" s="41" t="str">
        <f>IFERROR(__xludf.DUMMYFUNCTION("""COMPUTED_VALUE"""),"RSC006517")</f>
        <v>RSC006517</v>
      </c>
      <c r="B6494" s="41" t="str">
        <f>IFERROR(__xludf.DUMMYFUNCTION("""COMPUTED_VALUE"""),"h2oh")</f>
        <v>h2oh</v>
      </c>
    </row>
    <row r="6495">
      <c r="A6495" s="41" t="str">
        <f>IFERROR(__xludf.DUMMYFUNCTION("""COMPUTED_VALUE"""),"RSC006518")</f>
        <v>RSC006518</v>
      </c>
      <c r="B6495" s="41" t="str">
        <f>IFERROR(__xludf.DUMMYFUNCTION("""COMPUTED_VALUE"""),"BOZO_BARREN")</f>
        <v>BOZO_BARREN</v>
      </c>
    </row>
    <row r="6496">
      <c r="A6496" s="41" t="str">
        <f>IFERROR(__xludf.DUMMYFUNCTION("""COMPUTED_VALUE"""),"RSC006519")</f>
        <v>RSC006519</v>
      </c>
      <c r="B6496" s="41" t="str">
        <f>IFERROR(__xludf.DUMMYFUNCTION("""COMPUTED_VALUE"""),"XimpulsekilrX")</f>
        <v>XimpulsekilrX</v>
      </c>
    </row>
    <row r="6497">
      <c r="A6497" s="41" t="str">
        <f>IFERROR(__xludf.DUMMYFUNCTION("""COMPUTED_VALUE"""),"RSC006520")</f>
        <v>RSC006520</v>
      </c>
      <c r="B6497" s="41" t="str">
        <f>IFERROR(__xludf.DUMMYFUNCTION("""COMPUTED_VALUE"""),"timed")</f>
        <v>timed</v>
      </c>
    </row>
    <row r="6498">
      <c r="A6498" s="41" t="str">
        <f>IFERROR(__xludf.DUMMYFUNCTION("""COMPUTED_VALUE"""),"RSC006521")</f>
        <v>RSC006521</v>
      </c>
      <c r="B6498" s="41" t="str">
        <f>IFERROR(__xludf.DUMMYFUNCTION("""COMPUTED_VALUE"""),"TGK-x-T")</f>
        <v>TGK-x-T</v>
      </c>
    </row>
    <row r="6499">
      <c r="A6499" s="41" t="str">
        <f>IFERROR(__xludf.DUMMYFUNCTION("""COMPUTED_VALUE"""),"RSC006522")</f>
        <v>RSC006522</v>
      </c>
      <c r="B6499" s="41" t="str">
        <f>IFERROR(__xludf.DUMMYFUNCTION("""COMPUTED_VALUE"""),"PuIse_Ninja")</f>
        <v>PuIse_Ninja</v>
      </c>
    </row>
    <row r="6500">
      <c r="A6500" s="41" t="str">
        <f>IFERROR(__xludf.DUMMYFUNCTION("""COMPUTED_VALUE"""),"RSC006523")</f>
        <v>RSC006523</v>
      </c>
      <c r="B6500" s="41" t="str">
        <f>IFERROR(__xludf.DUMMYFUNCTION("""COMPUTED_VALUE"""),"Shelbypirate")</f>
        <v>Shelbypirate</v>
      </c>
    </row>
    <row r="6501">
      <c r="A6501" s="41" t="str">
        <f>IFERROR(__xludf.DUMMYFUNCTION("""COMPUTED_VALUE"""),"RSC006524")</f>
        <v>RSC006524</v>
      </c>
      <c r="B6501" s="41" t="str">
        <f>IFERROR(__xludf.DUMMYFUNCTION("""COMPUTED_VALUE"""),"BWNitroGaming")</f>
        <v>BWNitroGaming</v>
      </c>
    </row>
    <row r="6502">
      <c r="A6502" s="41" t="str">
        <f>IFERROR(__xludf.DUMMYFUNCTION("""COMPUTED_VALUE"""),"RSC006525")</f>
        <v>RSC006525</v>
      </c>
      <c r="B6502" s="41" t="str">
        <f>IFERROR(__xludf.DUMMYFUNCTION("""COMPUTED_VALUE"""),"miliorl")</f>
        <v>miliorl</v>
      </c>
    </row>
    <row r="6503">
      <c r="A6503" s="41" t="str">
        <f>IFERROR(__xludf.DUMMYFUNCTION("""COMPUTED_VALUE"""),"RSC006526")</f>
        <v>RSC006526</v>
      </c>
      <c r="B6503" s="41" t="str">
        <f>IFERROR(__xludf.DUMMYFUNCTION("""COMPUTED_VALUE"""),"Edarti._.")</f>
        <v>Edarti._.</v>
      </c>
    </row>
    <row r="6504">
      <c r="A6504" s="41" t="str">
        <f>IFERROR(__xludf.DUMMYFUNCTION("""COMPUTED_VALUE"""),"RSC006527")</f>
        <v>RSC006527</v>
      </c>
      <c r="B6504" s="41" t="str">
        <f>IFERROR(__xludf.DUMMYFUNCTION("""COMPUTED_VALUE"""),"Maki -")</f>
        <v>Maki -</v>
      </c>
    </row>
    <row r="6505">
      <c r="A6505" s="41" t="str">
        <f>IFERROR(__xludf.DUMMYFUNCTION("""COMPUTED_VALUE"""),"RSC006528")</f>
        <v>RSC006528</v>
      </c>
      <c r="B6505" s="41" t="str">
        <f>IFERROR(__xludf.DUMMYFUNCTION("""COMPUTED_VALUE"""),"mxWEBBY")</f>
        <v>mxWEBBY</v>
      </c>
    </row>
    <row r="6506">
      <c r="A6506" s="41" t="str">
        <f>IFERROR(__xludf.DUMMYFUNCTION("""COMPUTED_VALUE"""),"RSC006529")</f>
        <v>RSC006529</v>
      </c>
      <c r="B6506" s="41" t="str">
        <f>IFERROR(__xludf.DUMMYFUNCTION("""COMPUTED_VALUE"""),"Tyler.")</f>
        <v>Tyler.</v>
      </c>
    </row>
    <row r="6507">
      <c r="A6507" s="41" t="str">
        <f>IFERROR(__xludf.DUMMYFUNCTION("""COMPUTED_VALUE"""),"RSC006530")</f>
        <v>RSC006530</v>
      </c>
      <c r="B6507" s="41" t="str">
        <f>IFERROR(__xludf.DUMMYFUNCTION("""COMPUTED_VALUE"""),"resonateRL")</f>
        <v>resonateRL</v>
      </c>
    </row>
    <row r="6508">
      <c r="A6508" s="41" t="str">
        <f>IFERROR(__xludf.DUMMYFUNCTION("""COMPUTED_VALUE"""),"RSC006531")</f>
        <v>RSC006531</v>
      </c>
      <c r="B6508" s="41" t="str">
        <f>IFERROR(__xludf.DUMMYFUNCTION("""COMPUTED_VALUE"""),"Corners-")</f>
        <v>Corners-</v>
      </c>
    </row>
    <row r="6509">
      <c r="A6509" s="41" t="str">
        <f>IFERROR(__xludf.DUMMYFUNCTION("""COMPUTED_VALUE"""),"RSC006532")</f>
        <v>RSC006532</v>
      </c>
      <c r="B6509" s="41" t="str">
        <f>IFERROR(__xludf.DUMMYFUNCTION("""COMPUTED_VALUE"""),"BBoys")</f>
        <v>BBoys</v>
      </c>
    </row>
    <row r="6510">
      <c r="A6510" s="41" t="str">
        <f>IFERROR(__xludf.DUMMYFUNCTION("""COMPUTED_VALUE"""),"RSC006533")</f>
        <v>RSC006533</v>
      </c>
      <c r="B6510" s="41" t="str">
        <f>IFERROR(__xludf.DUMMYFUNCTION("""COMPUTED_VALUE"""),"kalandor4")</f>
        <v>kalandor4</v>
      </c>
    </row>
    <row r="6511">
      <c r="A6511" s="41" t="str">
        <f>IFERROR(__xludf.DUMMYFUNCTION("""COMPUTED_VALUE"""),"RSC006534")</f>
        <v>RSC006534</v>
      </c>
      <c r="B6511" s="41" t="str">
        <f>IFERROR(__xludf.DUMMYFUNCTION("""COMPUTED_VALUE"""),"FIN0oo")</f>
        <v>FIN0oo</v>
      </c>
    </row>
    <row r="6512">
      <c r="A6512" s="41" t="str">
        <f>IFERROR(__xludf.DUMMYFUNCTION("""COMPUTED_VALUE"""),"RSC006535")</f>
        <v>RSC006535</v>
      </c>
      <c r="B6512" s="41" t="str">
        <f>IFERROR(__xludf.DUMMYFUNCTION("""COMPUTED_VALUE"""),"Westandalone0")</f>
        <v>Westandalone0</v>
      </c>
    </row>
    <row r="6513">
      <c r="A6513" s="41" t="str">
        <f>IFERROR(__xludf.DUMMYFUNCTION("""COMPUTED_VALUE"""),"RSC006536")</f>
        <v>RSC006536</v>
      </c>
      <c r="B6513" s="41" t="str">
        <f>IFERROR(__xludf.DUMMYFUNCTION("""COMPUTED_VALUE"""),"LegoLele")</f>
        <v>LegoLele</v>
      </c>
    </row>
    <row r="6514">
      <c r="A6514" s="41" t="str">
        <f>IFERROR(__xludf.DUMMYFUNCTION("""COMPUTED_VALUE"""),"RSC006537")</f>
        <v>RSC006537</v>
      </c>
      <c r="B6514" s="41" t="str">
        <f>IFERROR(__xludf.DUMMYFUNCTION("""COMPUTED_VALUE"""),"RainTheReaper")</f>
        <v>RainTheReaper</v>
      </c>
    </row>
    <row r="6515">
      <c r="A6515" s="41" t="str">
        <f>IFERROR(__xludf.DUMMYFUNCTION("""COMPUTED_VALUE"""),"RSC006538")</f>
        <v>RSC006538</v>
      </c>
      <c r="B6515" s="41" t="str">
        <f>IFERROR(__xludf.DUMMYFUNCTION("""COMPUTED_VALUE"""),"Wrecking jester")</f>
        <v>Wrecking jester</v>
      </c>
    </row>
    <row r="6516">
      <c r="A6516" s="41" t="str">
        <f>IFERROR(__xludf.DUMMYFUNCTION("""COMPUTED_VALUE"""),"RSC006539")</f>
        <v>RSC006539</v>
      </c>
      <c r="B6516" s="41" t="str">
        <f>IFERROR(__xludf.DUMMYFUNCTION("""COMPUTED_VALUE"""),"devilsdailydose")</f>
        <v>devilsdailydose</v>
      </c>
    </row>
    <row r="6517">
      <c r="A6517" s="41" t="str">
        <f>IFERROR(__xludf.DUMMYFUNCTION("""COMPUTED_VALUE"""),"RSC006540")</f>
        <v>RSC006540</v>
      </c>
      <c r="B6517" s="41" t="str">
        <f>IFERROR(__xludf.DUMMYFUNCTION("""COMPUTED_VALUE"""),"E-Girl jey")</f>
        <v>E-Girl jey</v>
      </c>
    </row>
    <row r="6518">
      <c r="A6518" s="41" t="str">
        <f>IFERROR(__xludf.DUMMYFUNCTION("""COMPUTED_VALUE"""),"RSC006541")</f>
        <v>RSC006541</v>
      </c>
      <c r="B6518" s="41" t="str">
        <f>IFERROR(__xludf.DUMMYFUNCTION("""COMPUTED_VALUE"""),"oopsi9942")</f>
        <v>oopsi9942</v>
      </c>
    </row>
    <row r="6519">
      <c r="A6519" s="41" t="str">
        <f>IFERROR(__xludf.DUMMYFUNCTION("""COMPUTED_VALUE"""),"RSC006542")</f>
        <v>RSC006542</v>
      </c>
      <c r="B6519" s="41" t="str">
        <f>IFERROR(__xludf.DUMMYFUNCTION("""COMPUTED_VALUE"""),"Bubblegoos")</f>
        <v>Bubblegoos</v>
      </c>
    </row>
    <row r="6520">
      <c r="A6520" s="41" t="str">
        <f>IFERROR(__xludf.DUMMYFUNCTION("""COMPUTED_VALUE"""),"RSC006543")</f>
        <v>RSC006543</v>
      </c>
      <c r="B6520" s="41" t="str">
        <f>IFERROR(__xludf.DUMMYFUNCTION("""COMPUTED_VALUE"""),"MasonJar")</f>
        <v>MasonJar</v>
      </c>
    </row>
    <row r="6521">
      <c r="A6521" s="41" t="str">
        <f>IFERROR(__xludf.DUMMYFUNCTION("""COMPUTED_VALUE"""),"RSC006544")</f>
        <v>RSC006544</v>
      </c>
      <c r="B6521" s="41" t="str">
        <f>IFERROR(__xludf.DUMMYFUNCTION("""COMPUTED_VALUE"""),"Zukunae")</f>
        <v>Zukunae</v>
      </c>
    </row>
    <row r="6522">
      <c r="A6522" s="41" t="str">
        <f>IFERROR(__xludf.DUMMYFUNCTION("""COMPUTED_VALUE"""),"RSC006545")</f>
        <v>RSC006545</v>
      </c>
      <c r="B6522" s="41" t="str">
        <f>IFERROR(__xludf.DUMMYFUNCTION("""COMPUTED_VALUE"""),"cheeks_rl")</f>
        <v>cheeks_rl</v>
      </c>
    </row>
    <row r="6523">
      <c r="A6523" s="41" t="str">
        <f>IFERROR(__xludf.DUMMYFUNCTION("""COMPUTED_VALUE"""),"RSC006546")</f>
        <v>RSC006546</v>
      </c>
      <c r="B6523" s="41" t="str">
        <f>IFERROR(__xludf.DUMMYFUNCTION("""COMPUTED_VALUE"""),"entrancedpoet")</f>
        <v>entrancedpoet</v>
      </c>
    </row>
    <row r="6524">
      <c r="A6524" s="41" t="str">
        <f>IFERROR(__xludf.DUMMYFUNCTION("""COMPUTED_VALUE"""),"RSC006547")</f>
        <v>RSC006547</v>
      </c>
      <c r="B6524" s="41" t="str">
        <f>IFERROR(__xludf.DUMMYFUNCTION("""COMPUTED_VALUE"""),"Sholonk")</f>
        <v>Sholonk</v>
      </c>
    </row>
    <row r="6525">
      <c r="A6525" s="41" t="str">
        <f>IFERROR(__xludf.DUMMYFUNCTION("""COMPUTED_VALUE"""),"RSC006548")</f>
        <v>RSC006548</v>
      </c>
      <c r="B6525" s="41" t="str">
        <f>IFERROR(__xludf.DUMMYFUNCTION("""COMPUTED_VALUE"""),"Masta")</f>
        <v>Masta</v>
      </c>
    </row>
    <row r="6526">
      <c r="A6526" s="41" t="str">
        <f>IFERROR(__xludf.DUMMYFUNCTION("""COMPUTED_VALUE"""),"RSC006549")</f>
        <v>RSC006549</v>
      </c>
      <c r="B6526" s="41" t="str">
        <f>IFERROR(__xludf.DUMMYFUNCTION("""COMPUTED_VALUE"""),"AffectedPotato")</f>
        <v>AffectedPotato</v>
      </c>
    </row>
    <row r="6527">
      <c r="A6527" s="41" t="str">
        <f>IFERROR(__xludf.DUMMYFUNCTION("""COMPUTED_VALUE"""),"RSC006550")</f>
        <v>RSC006550</v>
      </c>
      <c r="B6527" s="41" t="str">
        <f>IFERROR(__xludf.DUMMYFUNCTION("""COMPUTED_VALUE"""),"Orpid")</f>
        <v>Orpid</v>
      </c>
    </row>
    <row r="6528">
      <c r="A6528" s="41" t="str">
        <f>IFERROR(__xludf.DUMMYFUNCTION("""COMPUTED_VALUE"""),"RSC006551")</f>
        <v>RSC006551</v>
      </c>
      <c r="B6528" s="41" t="str">
        <f>IFERROR(__xludf.DUMMYFUNCTION("""COMPUTED_VALUE"""),"thequackens")</f>
        <v>thequackens</v>
      </c>
    </row>
    <row r="6529">
      <c r="A6529" s="41" t="str">
        <f>IFERROR(__xludf.DUMMYFUNCTION("""COMPUTED_VALUE"""),"RSC006552")</f>
        <v>RSC006552</v>
      </c>
      <c r="B6529" s="41" t="str">
        <f>IFERROR(__xludf.DUMMYFUNCTION("""COMPUTED_VALUE"""),"H34RT_BL33D")</f>
        <v>H34RT_BL33D</v>
      </c>
    </row>
    <row r="6530">
      <c r="A6530" s="41" t="str">
        <f>IFERROR(__xludf.DUMMYFUNCTION("""COMPUTED_VALUE"""),"RSC006553")</f>
        <v>RSC006553</v>
      </c>
      <c r="B6530" s="41" t="str">
        <f>IFERROR(__xludf.DUMMYFUNCTION("""COMPUTED_VALUE"""),"Coinked")</f>
        <v>Coinked</v>
      </c>
    </row>
    <row r="6531">
      <c r="A6531" s="41" t="str">
        <f>IFERROR(__xludf.DUMMYFUNCTION("""COMPUTED_VALUE"""),"RSC006554")</f>
        <v>RSC006554</v>
      </c>
      <c r="B6531" s="41" t="str">
        <f>IFERROR(__xludf.DUMMYFUNCTION("""COMPUTED_VALUE"""),"TONY2TILTED")</f>
        <v>TONY2TILTED</v>
      </c>
    </row>
    <row r="6532">
      <c r="A6532" s="41" t="str">
        <f>IFERROR(__xludf.DUMMYFUNCTION("""COMPUTED_VALUE"""),"RSC006555")</f>
        <v>RSC006555</v>
      </c>
      <c r="B6532" s="41" t="str">
        <f>IFERROR(__xludf.DUMMYFUNCTION("""COMPUTED_VALUE"""),"y0ungandro")</f>
        <v>y0ungandro</v>
      </c>
    </row>
    <row r="6533">
      <c r="A6533" s="41" t="str">
        <f>IFERROR(__xludf.DUMMYFUNCTION("""COMPUTED_VALUE"""),"RSC006556")</f>
        <v>RSC006556</v>
      </c>
      <c r="B6533" s="41" t="str">
        <f>IFERROR(__xludf.DUMMYFUNCTION("""COMPUTED_VALUE"""),"goozie")</f>
        <v>goozie</v>
      </c>
    </row>
    <row r="6534">
      <c r="A6534" s="41" t="str">
        <f>IFERROR(__xludf.DUMMYFUNCTION("""COMPUTED_VALUE"""),"RSC006557")</f>
        <v>RSC006557</v>
      </c>
      <c r="B6534" s="41" t="str">
        <f>IFERROR(__xludf.DUMMYFUNCTION("""COMPUTED_VALUE"""),"SilverBolt")</f>
        <v>SilverBolt</v>
      </c>
    </row>
    <row r="6535">
      <c r="A6535" s="41" t="str">
        <f>IFERROR(__xludf.DUMMYFUNCTION("""COMPUTED_VALUE"""),"RSC006558")</f>
        <v>RSC006558</v>
      </c>
      <c r="B6535" s="41" t="str">
        <f>IFERROR(__xludf.DUMMYFUNCTION("""COMPUTED_VALUE"""),"ΜαΓϘϘυετ Σ")</f>
        <v>ΜαΓϘϘυετ Σ</v>
      </c>
    </row>
    <row r="6536">
      <c r="A6536" s="41" t="str">
        <f>IFERROR(__xludf.DUMMYFUNCTION("""COMPUTED_VALUE"""),"RSC006559")</f>
        <v>RSC006559</v>
      </c>
      <c r="B6536" s="41" t="str">
        <f>IFERROR(__xludf.DUMMYFUNCTION("""COMPUTED_VALUE"""),"giga")</f>
        <v>giga</v>
      </c>
    </row>
    <row r="6537">
      <c r="A6537" s="41" t="str">
        <f>IFERROR(__xludf.DUMMYFUNCTION("""COMPUTED_VALUE"""),"RSC006560")</f>
        <v>RSC006560</v>
      </c>
      <c r="B6537" s="41" t="str">
        <f>IFERROR(__xludf.DUMMYFUNCTION("""COMPUTED_VALUE"""),"YRO")</f>
        <v>YRO</v>
      </c>
    </row>
    <row r="6538">
      <c r="A6538" s="41" t="str">
        <f>IFERROR(__xludf.DUMMYFUNCTION("""COMPUTED_VALUE"""),"RSC006561")</f>
        <v>RSC006561</v>
      </c>
      <c r="B6538" s="41" t="str">
        <f>IFERROR(__xludf.DUMMYFUNCTION("""COMPUTED_VALUE"""),"BDD82")</f>
        <v>BDD82</v>
      </c>
    </row>
    <row r="6539">
      <c r="A6539" s="41" t="str">
        <f>IFERROR(__xludf.DUMMYFUNCTION("""COMPUTED_VALUE"""),"RSC006562")</f>
        <v>RSC006562</v>
      </c>
      <c r="B6539" s="41" t="str">
        <f>IFERROR(__xludf.DUMMYFUNCTION("""COMPUTED_VALUE"""),"shmarris")</f>
        <v>shmarris</v>
      </c>
    </row>
    <row r="6540">
      <c r="A6540" s="41" t="str">
        <f>IFERROR(__xludf.DUMMYFUNCTION("""COMPUTED_VALUE"""),"RSC006563")</f>
        <v>RSC006563</v>
      </c>
      <c r="B6540" s="41" t="str">
        <f>IFERROR(__xludf.DUMMYFUNCTION("""COMPUTED_VALUE"""),".scrawwny")</f>
        <v>.scrawwny</v>
      </c>
    </row>
    <row r="6541">
      <c r="A6541" s="41" t="str">
        <f>IFERROR(__xludf.DUMMYFUNCTION("""COMPUTED_VALUE"""),"RSC006564")</f>
        <v>RSC006564</v>
      </c>
      <c r="B6541" s="41" t="str">
        <f>IFERROR(__xludf.DUMMYFUNCTION("""COMPUTED_VALUE"""),"Hanson")</f>
        <v>Hanson</v>
      </c>
    </row>
    <row r="6542">
      <c r="A6542" s="41" t="str">
        <f>IFERROR(__xludf.DUMMYFUNCTION("""COMPUTED_VALUE"""),"RSC006565")</f>
        <v>RSC006565</v>
      </c>
      <c r="B6542" s="41" t="str">
        <f>IFERROR(__xludf.DUMMYFUNCTION("""COMPUTED_VALUE"""),"nfcatlas")</f>
        <v>nfcatlas</v>
      </c>
    </row>
    <row r="6543">
      <c r="A6543" s="41" t="str">
        <f>IFERROR(__xludf.DUMMYFUNCTION("""COMPUTED_VALUE"""),"RSC006566")</f>
        <v>RSC006566</v>
      </c>
      <c r="B6543" s="41" t="str">
        <f>IFERROR(__xludf.DUMMYFUNCTION("""COMPUTED_VALUE"""),"battleboss314")</f>
        <v>battleboss314</v>
      </c>
    </row>
    <row r="6544">
      <c r="A6544" s="41" t="str">
        <f>IFERROR(__xludf.DUMMYFUNCTION("""COMPUTED_VALUE"""),"RSC006567")</f>
        <v>RSC006567</v>
      </c>
      <c r="B6544" s="41" t="str">
        <f>IFERROR(__xludf.DUMMYFUNCTION("""COMPUTED_VALUE"""),"halotw")</f>
        <v>halotw</v>
      </c>
    </row>
    <row r="6545">
      <c r="A6545" s="41" t="str">
        <f>IFERROR(__xludf.DUMMYFUNCTION("""COMPUTED_VALUE"""),"RSC006568")</f>
        <v>RSC006568</v>
      </c>
      <c r="B6545" s="41" t="str">
        <f>IFERROR(__xludf.DUMMYFUNCTION("""COMPUTED_VALUE"""),"Element")</f>
        <v>Element</v>
      </c>
    </row>
    <row r="6546">
      <c r="A6546" s="41" t="str">
        <f>IFERROR(__xludf.DUMMYFUNCTION("""COMPUTED_VALUE"""),"RSC006569")</f>
        <v>RSC006569</v>
      </c>
      <c r="B6546" s="41" t="str">
        <f>IFERROR(__xludf.DUMMYFUNCTION("""COMPUTED_VALUE"""),"mulliganisoup")</f>
        <v>mulliganisoup</v>
      </c>
    </row>
    <row r="6547">
      <c r="A6547" s="41" t="str">
        <f>IFERROR(__xludf.DUMMYFUNCTION("""COMPUTED_VALUE"""),"RSC006570")</f>
        <v>RSC006570</v>
      </c>
      <c r="B6547" s="41" t="str">
        <f>IFERROR(__xludf.DUMMYFUNCTION("""COMPUTED_VALUE"""),"Pie_Taster")</f>
        <v>Pie_Taster</v>
      </c>
    </row>
    <row r="6548">
      <c r="A6548" s="41" t="str">
        <f>IFERROR(__xludf.DUMMYFUNCTION("""COMPUTED_VALUE"""),"RSC006571")</f>
        <v>RSC006571</v>
      </c>
      <c r="B6548" s="41" t="str">
        <f>IFERROR(__xludf.DUMMYFUNCTION("""COMPUTED_VALUE"""),"d_tex")</f>
        <v>d_tex</v>
      </c>
    </row>
    <row r="6549">
      <c r="A6549" s="41" t="str">
        <f>IFERROR(__xludf.DUMMYFUNCTION("""COMPUTED_VALUE"""),"RSC006572")</f>
        <v>RSC006572</v>
      </c>
      <c r="B6549" s="41" t="str">
        <f>IFERROR(__xludf.DUMMYFUNCTION("""COMPUTED_VALUE"""),"cl4ym0re")</f>
        <v>cl4ym0re</v>
      </c>
    </row>
    <row r="6550">
      <c r="A6550" s="41" t="str">
        <f>IFERROR(__xludf.DUMMYFUNCTION("""COMPUTED_VALUE"""),"RSC006573")</f>
        <v>RSC006573</v>
      </c>
      <c r="B6550" s="41" t="str">
        <f>IFERROR(__xludf.DUMMYFUNCTION("""COMPUTED_VALUE"""),"shinyboot")</f>
        <v>shinyboot</v>
      </c>
    </row>
    <row r="6551">
      <c r="A6551" s="41" t="str">
        <f>IFERROR(__xludf.DUMMYFUNCTION("""COMPUTED_VALUE"""),"RSC006574")</f>
        <v>RSC006574</v>
      </c>
      <c r="B6551" s="41" t="str">
        <f>IFERROR(__xludf.DUMMYFUNCTION("""COMPUTED_VALUE"""),"khuriosity")</f>
        <v>khuriosity</v>
      </c>
    </row>
    <row r="6552">
      <c r="A6552" s="41" t="str">
        <f>IFERROR(__xludf.DUMMYFUNCTION("""COMPUTED_VALUE"""),"RSC006575")</f>
        <v>RSC006575</v>
      </c>
      <c r="B6552" s="41" t="str">
        <f>IFERROR(__xludf.DUMMYFUNCTION("""COMPUTED_VALUE"""),"Kleewein_")</f>
        <v>Kleewein_</v>
      </c>
    </row>
    <row r="6553">
      <c r="A6553" s="41" t="str">
        <f>IFERROR(__xludf.DUMMYFUNCTION("""COMPUTED_VALUE"""),"RSC006576")</f>
        <v>RSC006576</v>
      </c>
      <c r="B6553" s="41" t="str">
        <f>IFERROR(__xludf.DUMMYFUNCTION("""COMPUTED_VALUE"""),"PychoyKamii.")</f>
        <v>PychoyKamii.</v>
      </c>
    </row>
    <row r="6554">
      <c r="A6554" s="41" t="str">
        <f>IFERROR(__xludf.DUMMYFUNCTION("""COMPUTED_VALUE"""),"RSC006577")</f>
        <v>RSC006577</v>
      </c>
      <c r="B6554" s="41" t="str">
        <f>IFERROR(__xludf.DUMMYFUNCTION("""COMPUTED_VALUE"""),"Licious_RL")</f>
        <v>Licious_RL</v>
      </c>
    </row>
    <row r="6555">
      <c r="A6555" s="41" t="str">
        <f>IFERROR(__xludf.DUMMYFUNCTION("""COMPUTED_VALUE"""),"RSC006578")</f>
        <v>RSC006578</v>
      </c>
      <c r="B6555" s="41" t="str">
        <f>IFERROR(__xludf.DUMMYFUNCTION("""COMPUTED_VALUE"""),"mLegendw98")</f>
        <v>mLegendw98</v>
      </c>
    </row>
    <row r="6556">
      <c r="A6556" s="41" t="str">
        <f>IFERROR(__xludf.DUMMYFUNCTION("""COMPUTED_VALUE"""),"RSC006579")</f>
        <v>RSC006579</v>
      </c>
      <c r="B6556" s="41" t="str">
        <f>IFERROR(__xludf.DUMMYFUNCTION("""COMPUTED_VALUE"""),"vega_bore")</f>
        <v>vega_bore</v>
      </c>
    </row>
    <row r="6557">
      <c r="A6557" s="41" t="str">
        <f>IFERROR(__xludf.DUMMYFUNCTION("""COMPUTED_VALUE"""),"RSC006580")</f>
        <v>RSC006580</v>
      </c>
      <c r="B6557" s="41" t="str">
        <f>IFERROR(__xludf.DUMMYFUNCTION("""COMPUTED_VALUE"""),"Kirkers HTX")</f>
        <v>Kirkers HTX</v>
      </c>
    </row>
    <row r="6558">
      <c r="A6558" s="41" t="str">
        <f>IFERROR(__xludf.DUMMYFUNCTION("""COMPUTED_VALUE"""),"RSC006581")</f>
        <v>RSC006581</v>
      </c>
      <c r="B6558" s="41" t="str">
        <f>IFERROR(__xludf.DUMMYFUNCTION("""COMPUTED_VALUE"""),"Light_Wigglebean")</f>
        <v>Light_Wigglebean</v>
      </c>
    </row>
    <row r="6559">
      <c r="A6559" s="41" t="str">
        <f>IFERROR(__xludf.DUMMYFUNCTION("""COMPUTED_VALUE"""),"RSC006582")</f>
        <v>RSC006582</v>
      </c>
      <c r="B6559" s="41" t="str">
        <f>IFERROR(__xludf.DUMMYFUNCTION("""COMPUTED_VALUE"""),"speedyz")</f>
        <v>speedyz</v>
      </c>
    </row>
    <row r="6560">
      <c r="A6560" s="41" t="str">
        <f>IFERROR(__xludf.DUMMYFUNCTION("""COMPUTED_VALUE"""),"RSC006583")</f>
        <v>RSC006583</v>
      </c>
      <c r="B6560" s="41" t="str">
        <f>IFERROR(__xludf.DUMMYFUNCTION("""COMPUTED_VALUE"""),"DaScrappyDoo15")</f>
        <v>DaScrappyDoo15</v>
      </c>
    </row>
    <row r="6561">
      <c r="A6561" s="41" t="str">
        <f>IFERROR(__xludf.DUMMYFUNCTION("""COMPUTED_VALUE"""),"RSC006584")</f>
        <v>RSC006584</v>
      </c>
      <c r="B6561" s="41" t="str">
        <f>IFERROR(__xludf.DUMMYFUNCTION("""COMPUTED_VALUE"""),"noje.")</f>
        <v>noje.</v>
      </c>
    </row>
    <row r="6562">
      <c r="A6562" s="41" t="str">
        <f>IFERROR(__xludf.DUMMYFUNCTION("""COMPUTED_VALUE"""),"RSC006585")</f>
        <v>RSC006585</v>
      </c>
      <c r="B6562" s="41" t="str">
        <f>IFERROR(__xludf.DUMMYFUNCTION("""COMPUTED_VALUE"""),"dontwatch")</f>
        <v>dontwatch</v>
      </c>
    </row>
    <row r="6563">
      <c r="A6563" s="41" t="str">
        <f>IFERROR(__xludf.DUMMYFUNCTION("""COMPUTED_VALUE"""),"RSC006586")</f>
        <v>RSC006586</v>
      </c>
      <c r="B6563" s="41" t="str">
        <f>IFERROR(__xludf.DUMMYFUNCTION("""COMPUTED_VALUE"""),"dino_chick3n")</f>
        <v>dino_chick3n</v>
      </c>
    </row>
    <row r="6564">
      <c r="A6564" s="41" t="str">
        <f>IFERROR(__xludf.DUMMYFUNCTION("""COMPUTED_VALUE"""),"RSC006587")</f>
        <v>RSC006587</v>
      </c>
      <c r="B6564" s="41" t="str">
        <f>IFERROR(__xludf.DUMMYFUNCTION("""COMPUTED_VALUE"""),"Enterprise15")</f>
        <v>Enterprise15</v>
      </c>
    </row>
    <row r="6565">
      <c r="A6565" s="41" t="str">
        <f>IFERROR(__xludf.DUMMYFUNCTION("""COMPUTED_VALUE"""),"RSC006588")</f>
        <v>RSC006588</v>
      </c>
      <c r="B6565" s="41" t="str">
        <f>IFERROR(__xludf.DUMMYFUNCTION("""COMPUTED_VALUE"""),"energyt")</f>
        <v>energyt</v>
      </c>
    </row>
    <row r="6566">
      <c r="A6566" s="41" t="str">
        <f>IFERROR(__xludf.DUMMYFUNCTION("""COMPUTED_VALUE"""),"RSC006590")</f>
        <v>RSC006590</v>
      </c>
      <c r="B6566" s="41" t="str">
        <f>IFERROR(__xludf.DUMMYFUNCTION("""COMPUTED_VALUE"""),"linke._.")</f>
        <v>linke._.</v>
      </c>
    </row>
    <row r="6567">
      <c r="A6567" s="41" t="str">
        <f>IFERROR(__xludf.DUMMYFUNCTION("""COMPUTED_VALUE"""),"RSC006591")</f>
        <v>RSC006591</v>
      </c>
      <c r="B6567" s="41" t="str">
        <f>IFERROR(__xludf.DUMMYFUNCTION("""COMPUTED_VALUE"""),"Alpha44")</f>
        <v>Alpha44</v>
      </c>
    </row>
    <row r="6568">
      <c r="A6568" s="41" t="str">
        <f>IFERROR(__xludf.DUMMYFUNCTION("""COMPUTED_VALUE"""),"RSC006592")</f>
        <v>RSC006592</v>
      </c>
      <c r="B6568" s="41" t="str">
        <f>IFERROR(__xludf.DUMMYFUNCTION("""COMPUTED_VALUE"""),"solyogi")</f>
        <v>solyogi</v>
      </c>
    </row>
    <row r="6569">
      <c r="A6569" s="41" t="str">
        <f>IFERROR(__xludf.DUMMYFUNCTION("""COMPUTED_VALUE"""),"RSC006593")</f>
        <v>RSC006593</v>
      </c>
      <c r="B6569" s="41" t="str">
        <f>IFERROR(__xludf.DUMMYFUNCTION("""COMPUTED_VALUE"""),"SHELUVNACHO")</f>
        <v>SHELUVNACHO</v>
      </c>
    </row>
    <row r="6570">
      <c r="A6570" s="41" t="str">
        <f>IFERROR(__xludf.DUMMYFUNCTION("""COMPUTED_VALUE"""),"RSC006594")</f>
        <v>RSC006594</v>
      </c>
      <c r="B6570" s="41" t="str">
        <f>IFERROR(__xludf.DUMMYFUNCTION("""COMPUTED_VALUE"""),"Chip")</f>
        <v>Chip</v>
      </c>
    </row>
    <row r="6571">
      <c r="A6571" s="41" t="str">
        <f>IFERROR(__xludf.DUMMYFUNCTION("""COMPUTED_VALUE"""),"RSC006595")</f>
        <v>RSC006595</v>
      </c>
      <c r="B6571" s="41" t="str">
        <f>IFERROR(__xludf.DUMMYFUNCTION("""COMPUTED_VALUE"""),"haskiez")</f>
        <v>haskiez</v>
      </c>
    </row>
    <row r="6572">
      <c r="A6572" s="41" t="str">
        <f>IFERROR(__xludf.DUMMYFUNCTION("""COMPUTED_VALUE"""),"RSC006596")</f>
        <v>RSC006596</v>
      </c>
      <c r="B6572" s="41" t="str">
        <f>IFERROR(__xludf.DUMMYFUNCTION("""COMPUTED_VALUE"""),"itzjb.")</f>
        <v>itzjb.</v>
      </c>
    </row>
    <row r="6573">
      <c r="A6573" s="41" t="str">
        <f>IFERROR(__xludf.DUMMYFUNCTION("""COMPUTED_VALUE"""),"RSC006597")</f>
        <v>RSC006597</v>
      </c>
      <c r="B6573" s="41" t="str">
        <f>IFERROR(__xludf.DUMMYFUNCTION("""COMPUTED_VALUE"""),"stoofy.")</f>
        <v>stoofy.</v>
      </c>
    </row>
    <row r="6574">
      <c r="A6574" s="41" t="str">
        <f>IFERROR(__xludf.DUMMYFUNCTION("""COMPUTED_VALUE"""),"RSC006598")</f>
        <v>RSC006598</v>
      </c>
      <c r="B6574" s="41" t="str">
        <f>IFERROR(__xludf.DUMMYFUNCTION("""COMPUTED_VALUE"""),"s0xxqt")</f>
        <v>s0xxqt</v>
      </c>
    </row>
    <row r="6575">
      <c r="A6575" s="41" t="str">
        <f>IFERROR(__xludf.DUMMYFUNCTION("""COMPUTED_VALUE"""),"RSC006599")</f>
        <v>RSC006599</v>
      </c>
      <c r="B6575" s="41" t="str">
        <f>IFERROR(__xludf.DUMMYFUNCTION("""COMPUTED_VALUE"""),"Shawroom")</f>
        <v>Shawroom</v>
      </c>
    </row>
    <row r="6576">
      <c r="A6576" s="41" t="str">
        <f>IFERROR(__xludf.DUMMYFUNCTION("""COMPUTED_VALUE"""),"RSC006600")</f>
        <v>RSC006600</v>
      </c>
      <c r="B6576" s="41" t="str">
        <f>IFERROR(__xludf.DUMMYFUNCTION("""COMPUTED_VALUE"""),"paully.")</f>
        <v>paully.</v>
      </c>
    </row>
    <row r="6577">
      <c r="A6577" s="41" t="str">
        <f>IFERROR(__xludf.DUMMYFUNCTION("""COMPUTED_VALUE"""),"RSC006601")</f>
        <v>RSC006601</v>
      </c>
      <c r="B6577" s="41" t="str">
        <f>IFERROR(__xludf.DUMMYFUNCTION("""COMPUTED_VALUE"""),"KrowDrah.")</f>
        <v>KrowDrah.</v>
      </c>
    </row>
    <row r="6578">
      <c r="A6578" s="41" t="str">
        <f>IFERROR(__xludf.DUMMYFUNCTION("""COMPUTED_VALUE"""),"RSC006602")</f>
        <v>RSC006602</v>
      </c>
      <c r="B6578" s="41" t="str">
        <f>IFERROR(__xludf.DUMMYFUNCTION("""COMPUTED_VALUE"""),"Meshyyy")</f>
        <v>Meshyyy</v>
      </c>
    </row>
    <row r="6579">
      <c r="A6579" s="41" t="str">
        <f>IFERROR(__xludf.DUMMYFUNCTION("""COMPUTED_VALUE"""),"RSC006603")</f>
        <v>RSC006603</v>
      </c>
      <c r="B6579" s="41" t="str">
        <f>IFERROR(__xludf.DUMMYFUNCTION("""COMPUTED_VALUE"""),"SlixShadow")</f>
        <v>SlixShadow</v>
      </c>
    </row>
    <row r="6580">
      <c r="A6580" s="41" t="str">
        <f>IFERROR(__xludf.DUMMYFUNCTION("""COMPUTED_VALUE"""),"RSC006604")</f>
        <v>RSC006604</v>
      </c>
      <c r="B6580" s="41" t="str">
        <f>IFERROR(__xludf.DUMMYFUNCTION("""COMPUTED_VALUE"""),"K.")</f>
        <v>K.</v>
      </c>
    </row>
    <row r="6581">
      <c r="A6581" s="41" t="str">
        <f>IFERROR(__xludf.DUMMYFUNCTION("""COMPUTED_VALUE"""),"RSC006605")</f>
        <v>RSC006605</v>
      </c>
      <c r="B6581" s="41" t="str">
        <f>IFERROR(__xludf.DUMMYFUNCTION("""COMPUTED_VALUE"""),"mckiwi")</f>
        <v>mckiwi</v>
      </c>
    </row>
    <row r="6582">
      <c r="A6582" s="41" t="str">
        <f>IFERROR(__xludf.DUMMYFUNCTION("""COMPUTED_VALUE"""),"RSC006606")</f>
        <v>RSC006606</v>
      </c>
      <c r="B6582" s="41" t="str">
        <f>IFERROR(__xludf.DUMMYFUNCTION("""COMPUTED_VALUE"""),"enasni79")</f>
        <v>enasni79</v>
      </c>
    </row>
    <row r="6583">
      <c r="A6583" s="41" t="str">
        <f>IFERROR(__xludf.DUMMYFUNCTION("""COMPUTED_VALUE"""),"RSC006607")</f>
        <v>RSC006607</v>
      </c>
      <c r="B6583" s="41" t="str">
        <f>IFERROR(__xludf.DUMMYFUNCTION("""COMPUTED_VALUE"""),"icanhasbeard")</f>
        <v>icanhasbeard</v>
      </c>
    </row>
    <row r="6584">
      <c r="A6584" s="41" t="str">
        <f>IFERROR(__xludf.DUMMYFUNCTION("""COMPUTED_VALUE"""),"RSC006608")</f>
        <v>RSC006608</v>
      </c>
      <c r="B6584" s="41" t="str">
        <f>IFERROR(__xludf.DUMMYFUNCTION("""COMPUTED_VALUE"""),"BZD_Hate.")</f>
        <v>BZD_Hate.</v>
      </c>
    </row>
    <row r="6585">
      <c r="A6585" s="41" t="str">
        <f>IFERROR(__xludf.DUMMYFUNCTION("""COMPUTED_VALUE"""),"RSC006609")</f>
        <v>RSC006609</v>
      </c>
      <c r="B6585" s="41" t="str">
        <f>IFERROR(__xludf.DUMMYFUNCTION("""COMPUTED_VALUE"""),"RobertHT116")</f>
        <v>RobertHT116</v>
      </c>
    </row>
    <row r="6586">
      <c r="A6586" s="41" t="str">
        <f>IFERROR(__xludf.DUMMYFUNCTION("""COMPUTED_VALUE"""),"RSC006610")</f>
        <v>RSC006610</v>
      </c>
      <c r="B6586" s="41" t="str">
        <f>IFERROR(__xludf.DUMMYFUNCTION("""COMPUTED_VALUE"""),"XIII")</f>
        <v>XIII</v>
      </c>
    </row>
    <row r="6587">
      <c r="A6587" s="41" t="str">
        <f>IFERROR(__xludf.DUMMYFUNCTION("""COMPUTED_VALUE"""),"RSC006611")</f>
        <v>RSC006611</v>
      </c>
      <c r="B6587" s="41" t="str">
        <f>IFERROR(__xludf.DUMMYFUNCTION("""COMPUTED_VALUE"""),"TWiZ")</f>
        <v>TWiZ</v>
      </c>
    </row>
    <row r="6588">
      <c r="A6588" s="41" t="str">
        <f>IFERROR(__xludf.DUMMYFUNCTION("""COMPUTED_VALUE"""),"RSC006612")</f>
        <v>RSC006612</v>
      </c>
      <c r="B6588" s="41" t="str">
        <f>IFERROR(__xludf.DUMMYFUNCTION("""COMPUTED_VALUE"""),"eragonthomas")</f>
        <v>eragonthomas</v>
      </c>
    </row>
    <row r="6589">
      <c r="A6589" s="41" t="str">
        <f>IFERROR(__xludf.DUMMYFUNCTION("""COMPUTED_VALUE"""),"RSC006613")</f>
        <v>RSC006613</v>
      </c>
      <c r="B6589" s="41" t="str">
        <f>IFERROR(__xludf.DUMMYFUNCTION("""COMPUTED_VALUE"""),"cartman_-_")</f>
        <v>cartman_-_</v>
      </c>
    </row>
    <row r="6590">
      <c r="A6590" s="41" t="str">
        <f>IFERROR(__xludf.DUMMYFUNCTION("""COMPUTED_VALUE"""),"RSC006614")</f>
        <v>RSC006614</v>
      </c>
      <c r="B6590" s="41" t="str">
        <f>IFERROR(__xludf.DUMMYFUNCTION("""COMPUTED_VALUE"""),"Mimic")</f>
        <v>Mimic</v>
      </c>
    </row>
    <row r="6591">
      <c r="A6591" s="41" t="str">
        <f>IFERROR(__xludf.DUMMYFUNCTION("""COMPUTED_VALUE"""),"RSC006615")</f>
        <v>RSC006615</v>
      </c>
      <c r="B6591" s="41" t="str">
        <f>IFERROR(__xludf.DUMMYFUNCTION("""COMPUTED_VALUE"""),"percyµ")</f>
        <v>percyµ</v>
      </c>
    </row>
    <row r="6592">
      <c r="A6592" s="41" t="str">
        <f>IFERROR(__xludf.DUMMYFUNCTION("""COMPUTED_VALUE"""),"RSC006616")</f>
        <v>RSC006616</v>
      </c>
      <c r="B6592" s="41" t="str">
        <f>IFERROR(__xludf.DUMMYFUNCTION("""COMPUTED_VALUE"""),"CodeRedJack")</f>
        <v>CodeRedJack</v>
      </c>
    </row>
    <row r="6593">
      <c r="A6593" s="41" t="str">
        <f>IFERROR(__xludf.DUMMYFUNCTION("""COMPUTED_VALUE"""),"RSC006617")</f>
        <v>RSC006617</v>
      </c>
      <c r="B6593" s="41" t="str">
        <f>IFERROR(__xludf.DUMMYFUNCTION("""COMPUTED_VALUE"""),".hyperr")</f>
        <v>.hyperr</v>
      </c>
    </row>
    <row r="6594">
      <c r="A6594" s="41" t="str">
        <f>IFERROR(__xludf.DUMMYFUNCTION("""COMPUTED_VALUE"""),"RSC006618")</f>
        <v>RSC006618</v>
      </c>
      <c r="B6594" s="41" t="str">
        <f>IFERROR(__xludf.DUMMYFUNCTION("""COMPUTED_VALUE"""),"ChewzMonster")</f>
        <v>ChewzMonster</v>
      </c>
    </row>
    <row r="6595">
      <c r="A6595" s="41" t="str">
        <f>IFERROR(__xludf.DUMMYFUNCTION("""COMPUTED_VALUE"""),"RSC006619")</f>
        <v>RSC006619</v>
      </c>
      <c r="B6595" s="41" t="str">
        <f>IFERROR(__xludf.DUMMYFUNCTION("""COMPUTED_VALUE"""),"xOhStepBro")</f>
        <v>xOhStepBro</v>
      </c>
    </row>
    <row r="6596">
      <c r="A6596" s="41" t="str">
        <f>IFERROR(__xludf.DUMMYFUNCTION("""COMPUTED_VALUE"""),"RSC006620")</f>
        <v>RSC006620</v>
      </c>
      <c r="B6596" s="41" t="str">
        <f>IFERROR(__xludf.DUMMYFUNCTION("""COMPUTED_VALUE"""),"xOhsStepSis")</f>
        <v>xOhsStepSis</v>
      </c>
    </row>
    <row r="6597">
      <c r="A6597" s="41" t="str">
        <f>IFERROR(__xludf.DUMMYFUNCTION("""COMPUTED_VALUE"""),"RSC006622")</f>
        <v>RSC006622</v>
      </c>
      <c r="B6597" s="41" t="str">
        <f>IFERROR(__xludf.DUMMYFUNCTION("""COMPUTED_VALUE"""),"Zephicos")</f>
        <v>Zephicos</v>
      </c>
    </row>
    <row r="6598">
      <c r="A6598" s="41" t="str">
        <f>IFERROR(__xludf.DUMMYFUNCTION("""COMPUTED_VALUE"""),"RSC006623")</f>
        <v>RSC006623</v>
      </c>
      <c r="B6598" s="41" t="str">
        <f>IFERROR(__xludf.DUMMYFUNCTION("""COMPUTED_VALUE"""),"hazardxnz")</f>
        <v>hazardxnz</v>
      </c>
    </row>
    <row r="6599">
      <c r="A6599" s="41" t="str">
        <f>IFERROR(__xludf.DUMMYFUNCTION("""COMPUTED_VALUE"""),"RSC006624")</f>
        <v>RSC006624</v>
      </c>
      <c r="B6599" s="41" t="str">
        <f>IFERROR(__xludf.DUMMYFUNCTION("""COMPUTED_VALUE"""),"BallZeRusher")</f>
        <v>BallZeRusher</v>
      </c>
    </row>
    <row r="6600">
      <c r="A6600" s="41" t="str">
        <f>IFERROR(__xludf.DUMMYFUNCTION("""COMPUTED_VALUE"""),"RSC006625")</f>
        <v>RSC006625</v>
      </c>
      <c r="B6600" s="41" t="str">
        <f>IFERROR(__xludf.DUMMYFUNCTION("""COMPUTED_VALUE"""),"FrogDrivesCar")</f>
        <v>FrogDrivesCar</v>
      </c>
    </row>
    <row r="6601">
      <c r="A6601" s="41" t="str">
        <f>IFERROR(__xludf.DUMMYFUNCTION("""COMPUTED_VALUE"""),"RSC006626")</f>
        <v>RSC006626</v>
      </c>
      <c r="B6601" s="41" t="str">
        <f>IFERROR(__xludf.DUMMYFUNCTION("""COMPUTED_VALUE"""),"Ding")</f>
        <v>Ding</v>
      </c>
    </row>
    <row r="6602">
      <c r="A6602" s="41" t="str">
        <f>IFERROR(__xludf.DUMMYFUNCTION("""COMPUTED_VALUE"""),"RSC006627")</f>
        <v>RSC006627</v>
      </c>
      <c r="B6602" s="41" t="str">
        <f>IFERROR(__xludf.DUMMYFUNCTION("""COMPUTED_VALUE"""),"Remy")</f>
        <v>Remy</v>
      </c>
    </row>
    <row r="6603">
      <c r="A6603" s="41" t="str">
        <f>IFERROR(__xludf.DUMMYFUNCTION("""COMPUTED_VALUE"""),"RSC006628")</f>
        <v>RSC006628</v>
      </c>
      <c r="B6603" s="41" t="str">
        <f>IFERROR(__xludf.DUMMYFUNCTION("""COMPUTED_VALUE"""),"Gabe")</f>
        <v>Gabe</v>
      </c>
    </row>
    <row r="6604">
      <c r="A6604" s="41" t="str">
        <f>IFERROR(__xludf.DUMMYFUNCTION("""COMPUTED_VALUE"""),"RSC006629")</f>
        <v>RSC006629</v>
      </c>
      <c r="B6604" s="41" t="str">
        <f>IFERROR(__xludf.DUMMYFUNCTION("""COMPUTED_VALUE"""),"tauryn")</f>
        <v>tauryn</v>
      </c>
    </row>
    <row r="6605">
      <c r="A6605" s="41" t="str">
        <f>IFERROR(__xludf.DUMMYFUNCTION("""COMPUTED_VALUE"""),"RSC006630")</f>
        <v>RSC006630</v>
      </c>
      <c r="B6605" s="41" t="str">
        <f>IFERROR(__xludf.DUMMYFUNCTION("""COMPUTED_VALUE"""),"RemixT_T")</f>
        <v>RemixT_T</v>
      </c>
    </row>
    <row r="6606">
      <c r="A6606" s="41" t="str">
        <f>IFERROR(__xludf.DUMMYFUNCTION("""COMPUTED_VALUE"""),"RSC006631")</f>
        <v>RSC006631</v>
      </c>
      <c r="B6606" s="41" t="str">
        <f>IFERROR(__xludf.DUMMYFUNCTION("""COMPUTED_VALUE"""),"sly4647")</f>
        <v>sly4647</v>
      </c>
    </row>
    <row r="6607">
      <c r="A6607" s="41" t="str">
        <f>IFERROR(__xludf.DUMMYFUNCTION("""COMPUTED_VALUE"""),"RSC006632")</f>
        <v>RSC006632</v>
      </c>
      <c r="B6607" s="41" t="str">
        <f>IFERROR(__xludf.DUMMYFUNCTION("""COMPUTED_VALUE"""),"Vaan")</f>
        <v>Vaan</v>
      </c>
    </row>
    <row r="6608">
      <c r="A6608" s="41" t="str">
        <f>IFERROR(__xludf.DUMMYFUNCTION("""COMPUTED_VALUE"""),"RSC006633")</f>
        <v>RSC006633</v>
      </c>
      <c r="B6608" s="41" t="str">
        <f>IFERROR(__xludf.DUMMYFUNCTION("""COMPUTED_VALUE"""),"itsjusthunter.")</f>
        <v>itsjusthunter.</v>
      </c>
    </row>
    <row r="6609">
      <c r="A6609" s="41" t="str">
        <f>IFERROR(__xludf.DUMMYFUNCTION("""COMPUTED_VALUE"""),"RSC006634")</f>
        <v>RSC006634</v>
      </c>
      <c r="B6609" s="41" t="str">
        <f>IFERROR(__xludf.DUMMYFUNCTION("""COMPUTED_VALUE"""),"Lillmac")</f>
        <v>Lillmac</v>
      </c>
    </row>
    <row r="6610">
      <c r="A6610" s="41" t="str">
        <f>IFERROR(__xludf.DUMMYFUNCTION("""COMPUTED_VALUE"""),"RSC006635")</f>
        <v>RSC006635</v>
      </c>
      <c r="B6610" s="41" t="str">
        <f>IFERROR(__xludf.DUMMYFUNCTION("""COMPUTED_VALUE"""),"SlenderSolder")</f>
        <v>SlenderSolder</v>
      </c>
    </row>
    <row r="6611">
      <c r="A6611" s="41" t="str">
        <f>IFERROR(__xludf.DUMMYFUNCTION("""COMPUTED_VALUE"""),"RSC006636")</f>
        <v>RSC006636</v>
      </c>
      <c r="B6611" s="41" t="str">
        <f>IFERROR(__xludf.DUMMYFUNCTION("""COMPUTED_VALUE"""),"yGrizz.")</f>
        <v>yGrizz.</v>
      </c>
    </row>
    <row r="6612">
      <c r="A6612" s="41" t="str">
        <f>IFERROR(__xludf.DUMMYFUNCTION("""COMPUTED_VALUE"""),"RSC006637")</f>
        <v>RSC006637</v>
      </c>
      <c r="B6612" s="41" t="str">
        <f>IFERROR(__xludf.DUMMYFUNCTION("""COMPUTED_VALUE"""),"nekodah")</f>
        <v>nekodah</v>
      </c>
    </row>
    <row r="6613">
      <c r="A6613" s="41" t="str">
        <f>IFERROR(__xludf.DUMMYFUNCTION("""COMPUTED_VALUE"""),"RSC006638")</f>
        <v>RSC006638</v>
      </c>
      <c r="B6613" s="41" t="str">
        <f>IFERROR(__xludf.DUMMYFUNCTION("""COMPUTED_VALUE"""),"anonimouse")</f>
        <v>anonimouse</v>
      </c>
    </row>
    <row r="6614">
      <c r="A6614" s="41" t="str">
        <f>IFERROR(__xludf.DUMMYFUNCTION("""COMPUTED_VALUE"""),"RSC006639")</f>
        <v>RSC006639</v>
      </c>
      <c r="B6614" s="41" t="str">
        <f>IFERROR(__xludf.DUMMYFUNCTION("""COMPUTED_VALUE"""),"Zxphyr")</f>
        <v>Zxphyr</v>
      </c>
    </row>
    <row r="6615">
      <c r="A6615" s="41" t="str">
        <f>IFERROR(__xludf.DUMMYFUNCTION("""COMPUTED_VALUE"""),"RSC006640")</f>
        <v>RSC006640</v>
      </c>
      <c r="B6615" s="41" t="str">
        <f>IFERROR(__xludf.DUMMYFUNCTION("""COMPUTED_VALUE"""),"VeryBadKittyCat")</f>
        <v>VeryBadKittyCat</v>
      </c>
    </row>
    <row r="6616">
      <c r="A6616" s="41" t="str">
        <f>IFERROR(__xludf.DUMMYFUNCTION("""COMPUTED_VALUE"""),"RSC006641")</f>
        <v>RSC006641</v>
      </c>
      <c r="B6616" s="41" t="str">
        <f>IFERROR(__xludf.DUMMYFUNCTION("""COMPUTED_VALUE"""),"ynpsgb")</f>
        <v>ynpsgb</v>
      </c>
    </row>
    <row r="6617">
      <c r="A6617" s="41" t="str">
        <f>IFERROR(__xludf.DUMMYFUNCTION("""COMPUTED_VALUE"""),"RSC006642")</f>
        <v>RSC006642</v>
      </c>
      <c r="B6617" s="41" t="str">
        <f>IFERROR(__xludf.DUMMYFUNCTION("""COMPUTED_VALUE"""),"Zone Killa")</f>
        <v>Zone Killa</v>
      </c>
    </row>
    <row r="6618">
      <c r="A6618" s="41" t="str">
        <f>IFERROR(__xludf.DUMMYFUNCTION("""COMPUTED_VALUE"""),"RSC006643")</f>
        <v>RSC006643</v>
      </c>
      <c r="B6618" s="41" t="str">
        <f>IFERROR(__xludf.DUMMYFUNCTION("""COMPUTED_VALUE"""),"Napkhan")</f>
        <v>Napkhan</v>
      </c>
    </row>
    <row r="6619">
      <c r="A6619" s="41" t="str">
        <f>IFERROR(__xludf.DUMMYFUNCTION("""COMPUTED_VALUE"""),"RSC006644")</f>
        <v>RSC006644</v>
      </c>
      <c r="B6619" s="41" t="str">
        <f>IFERROR(__xludf.DUMMYFUNCTION("""COMPUTED_VALUE"""),"cjayrl.")</f>
        <v>cjayrl.</v>
      </c>
    </row>
    <row r="6620">
      <c r="A6620" s="41" t="str">
        <f>IFERROR(__xludf.DUMMYFUNCTION("""COMPUTED_VALUE"""),"RSC006645")</f>
        <v>RSC006645</v>
      </c>
      <c r="B6620" s="41" t="str">
        <f>IFERROR(__xludf.DUMMYFUNCTION("""COMPUTED_VALUE"""),"_v_")</f>
        <v>_v_</v>
      </c>
    </row>
    <row r="6621">
      <c r="A6621" s="41" t="str">
        <f>IFERROR(__xludf.DUMMYFUNCTION("""COMPUTED_VALUE"""),"RSC006646")</f>
        <v>RSC006646</v>
      </c>
      <c r="B6621" s="41" t="str">
        <f>IFERROR(__xludf.DUMMYFUNCTION("""COMPUTED_VALUE"""),"fvzee")</f>
        <v>fvzee</v>
      </c>
    </row>
    <row r="6622">
      <c r="A6622" s="41" t="str">
        <f>IFERROR(__xludf.DUMMYFUNCTION("""COMPUTED_VALUE"""),"RSC006647")</f>
        <v>RSC006647</v>
      </c>
      <c r="B6622" s="41" t="str">
        <f>IFERROR(__xludf.DUMMYFUNCTION("""COMPUTED_VALUE"""),"zø6")</f>
        <v>zø6</v>
      </c>
    </row>
    <row r="6623">
      <c r="A6623" s="41" t="str">
        <f>IFERROR(__xludf.DUMMYFUNCTION("""COMPUTED_VALUE"""),"RSC006648")</f>
        <v>RSC006648</v>
      </c>
      <c r="B6623" s="41" t="str">
        <f>IFERROR(__xludf.DUMMYFUNCTION("""COMPUTED_VALUE"""),"nisesh")</f>
        <v>nisesh</v>
      </c>
    </row>
    <row r="6624">
      <c r="A6624" s="41" t="str">
        <f>IFERROR(__xludf.DUMMYFUNCTION("""COMPUTED_VALUE"""),"RSC006649")</f>
        <v>RSC006649</v>
      </c>
      <c r="B6624" s="41" t="str">
        <f>IFERROR(__xludf.DUMMYFUNCTION("""COMPUTED_VALUE"""),"morgan")</f>
        <v>morgan</v>
      </c>
    </row>
    <row r="6625">
      <c r="A6625" s="41" t="str">
        <f>IFERROR(__xludf.DUMMYFUNCTION("""COMPUTED_VALUE"""),"RSC006650")</f>
        <v>RSC006650</v>
      </c>
      <c r="B6625" s="41" t="str">
        <f>IFERROR(__xludf.DUMMYFUNCTION("""COMPUTED_VALUE"""),"lostperson")</f>
        <v>lostperson</v>
      </c>
    </row>
    <row r="6626">
      <c r="A6626" s="41" t="str">
        <f>IFERROR(__xludf.DUMMYFUNCTION("""COMPUTED_VALUE"""),"RSC006651")</f>
        <v>RSC006651</v>
      </c>
      <c r="B6626" s="41" t="str">
        <f>IFERROR(__xludf.DUMMYFUNCTION("""COMPUTED_VALUE"""),"MikeSplifff")</f>
        <v>MikeSplifff</v>
      </c>
    </row>
    <row r="6627">
      <c r="A6627" s="41" t="str">
        <f>IFERROR(__xludf.DUMMYFUNCTION("""COMPUTED_VALUE"""),"RSC006652")</f>
        <v>RSC006652</v>
      </c>
      <c r="B6627" s="41" t="str">
        <f>IFERROR(__xludf.DUMMYFUNCTION("""COMPUTED_VALUE"""),"acezz2")</f>
        <v>acezz2</v>
      </c>
    </row>
    <row r="6628">
      <c r="A6628" s="41" t="str">
        <f>IFERROR(__xludf.DUMMYFUNCTION("""COMPUTED_VALUE"""),"RSC006653")</f>
        <v>RSC006653</v>
      </c>
      <c r="B6628" s="41" t="str">
        <f>IFERROR(__xludf.DUMMYFUNCTION("""COMPUTED_VALUE"""),"Dub")</f>
        <v>Dub</v>
      </c>
    </row>
    <row r="6629">
      <c r="A6629" s="41" t="str">
        <f>IFERROR(__xludf.DUMMYFUNCTION("""COMPUTED_VALUE"""),"RSC006654")</f>
        <v>RSC006654</v>
      </c>
      <c r="B6629" s="41" t="str">
        <f>IFERROR(__xludf.DUMMYFUNCTION("""COMPUTED_VALUE"""),"Chicken")</f>
        <v>Chicken</v>
      </c>
    </row>
    <row r="6630">
      <c r="A6630" s="41" t="str">
        <f>IFERROR(__xludf.DUMMYFUNCTION("""COMPUTED_VALUE"""),"RSC006655")</f>
        <v>RSC006655</v>
      </c>
      <c r="B6630" s="41" t="str">
        <f>IFERROR(__xludf.DUMMYFUNCTION("""COMPUTED_VALUE"""),"avatarmanz")</f>
        <v>avatarmanz</v>
      </c>
    </row>
    <row r="6631">
      <c r="A6631" s="41" t="str">
        <f>IFERROR(__xludf.DUMMYFUNCTION("""COMPUTED_VALUE"""),"RSC006656")</f>
        <v>RSC006656</v>
      </c>
      <c r="B6631" s="41" t="str">
        <f>IFERROR(__xludf.DUMMYFUNCTION("""COMPUTED_VALUE"""),"KillerBaird")</f>
        <v>KillerBaird</v>
      </c>
    </row>
    <row r="6632">
      <c r="A6632" s="41" t="str">
        <f>IFERROR(__xludf.DUMMYFUNCTION("""COMPUTED_VALUE"""),"RSC006658")</f>
        <v>RSC006658</v>
      </c>
      <c r="B6632" s="41" t="str">
        <f>IFERROR(__xludf.DUMMYFUNCTION("""COMPUTED_VALUE"""),"MrSilent_714")</f>
        <v>MrSilent_714</v>
      </c>
    </row>
    <row r="6633">
      <c r="A6633" s="41" t="str">
        <f>IFERROR(__xludf.DUMMYFUNCTION("""COMPUTED_VALUE"""),"RSC006659")</f>
        <v>RSC006659</v>
      </c>
      <c r="B6633" s="41" t="str">
        <f>IFERROR(__xludf.DUMMYFUNCTION("""COMPUTED_VALUE"""),"ImZalama")</f>
        <v>ImZalama</v>
      </c>
    </row>
    <row r="6634">
      <c r="A6634" s="41" t="str">
        <f>IFERROR(__xludf.DUMMYFUNCTION("""COMPUTED_VALUE"""),"RSC006660")</f>
        <v>RSC006660</v>
      </c>
      <c r="B6634" s="41" t="str">
        <f>IFERROR(__xludf.DUMMYFUNCTION("""COMPUTED_VALUE"""),"TWITCH_DIALSTOP")</f>
        <v>TWITCH_DIALSTOP</v>
      </c>
    </row>
    <row r="6635">
      <c r="A6635" s="41" t="str">
        <f>IFERROR(__xludf.DUMMYFUNCTION("""COMPUTED_VALUE"""),"RSC006661")</f>
        <v>RSC006661</v>
      </c>
      <c r="B6635" s="41" t="str">
        <f>IFERROR(__xludf.DUMMYFUNCTION("""COMPUTED_VALUE"""),"sharkhax")</f>
        <v>sharkhax</v>
      </c>
    </row>
    <row r="6636">
      <c r="A6636" s="41" t="str">
        <f>IFERROR(__xludf.DUMMYFUNCTION("""COMPUTED_VALUE"""),"RSC006662")</f>
        <v>RSC006662</v>
      </c>
      <c r="B6636" s="41" t="str">
        <f>IFERROR(__xludf.DUMMYFUNCTION("""COMPUTED_VALUE"""),"BiscuitsRL")</f>
        <v>BiscuitsRL</v>
      </c>
    </row>
    <row r="6637">
      <c r="A6637" s="41" t="str">
        <f>IFERROR(__xludf.DUMMYFUNCTION("""COMPUTED_VALUE"""),"RSC006663")</f>
        <v>RSC006663</v>
      </c>
      <c r="B6637" s="41" t="str">
        <f>IFERROR(__xludf.DUMMYFUNCTION("""COMPUTED_VALUE"""),"eeFDee")</f>
        <v>eeFDee</v>
      </c>
    </row>
    <row r="6638">
      <c r="A6638" s="41" t="str">
        <f>IFERROR(__xludf.DUMMYFUNCTION("""COMPUTED_VALUE"""),"RSC006664")</f>
        <v>RSC006664</v>
      </c>
      <c r="B6638" s="41" t="str">
        <f>IFERROR(__xludf.DUMMYFUNCTION("""COMPUTED_VALUE"""),"Godless")</f>
        <v>Godless</v>
      </c>
    </row>
    <row r="6639">
      <c r="A6639" s="41" t="str">
        <f>IFERROR(__xludf.DUMMYFUNCTION("""COMPUTED_VALUE"""),"RSC006665")</f>
        <v>RSC006665</v>
      </c>
      <c r="B6639" s="41" t="str">
        <f>IFERROR(__xludf.DUMMYFUNCTION("""COMPUTED_VALUE"""),"EsR.-")</f>
        <v>EsR.-</v>
      </c>
    </row>
    <row r="6640">
      <c r="A6640" s="41" t="str">
        <f>IFERROR(__xludf.DUMMYFUNCTION("""COMPUTED_VALUE"""),"RSC006666")</f>
        <v>RSC006666</v>
      </c>
      <c r="B6640" s="41" t="str">
        <f>IFERROR(__xludf.DUMMYFUNCTION("""COMPUTED_VALUE"""),"Absta")</f>
        <v>Absta</v>
      </c>
    </row>
    <row r="6641">
      <c r="A6641" s="41" t="str">
        <f>IFERROR(__xludf.DUMMYFUNCTION("""COMPUTED_VALUE"""),"RSC006667")</f>
        <v>RSC006667</v>
      </c>
      <c r="B6641" s="41" t="str">
        <f>IFERROR(__xludf.DUMMYFUNCTION("""COMPUTED_VALUE"""),"GET2DACHOPPA5")</f>
        <v>GET2DACHOPPA5</v>
      </c>
    </row>
    <row r="6642">
      <c r="A6642" s="41" t="str">
        <f>IFERROR(__xludf.DUMMYFUNCTION("""COMPUTED_VALUE"""),"RSC006668")</f>
        <v>RSC006668</v>
      </c>
      <c r="B6642" s="41" t="str">
        <f>IFERROR(__xludf.DUMMYFUNCTION("""COMPUTED_VALUE"""),"kamui")</f>
        <v>kamui</v>
      </c>
    </row>
    <row r="6643">
      <c r="A6643" s="41" t="str">
        <f>IFERROR(__xludf.DUMMYFUNCTION("""COMPUTED_VALUE"""),"RSC006669")</f>
        <v>RSC006669</v>
      </c>
      <c r="B6643" s="41" t="str">
        <f>IFERROR(__xludf.DUMMYFUNCTION("""COMPUTED_VALUE"""),"xypheron")</f>
        <v>xypheron</v>
      </c>
    </row>
    <row r="6644">
      <c r="A6644" s="41" t="str">
        <f>IFERROR(__xludf.DUMMYFUNCTION("""COMPUTED_VALUE"""),"RSC006670")</f>
        <v>RSC006670</v>
      </c>
      <c r="B6644" s="41" t="str">
        <f>IFERROR(__xludf.DUMMYFUNCTION("""COMPUTED_VALUE"""),"Sin")</f>
        <v>Sin</v>
      </c>
    </row>
    <row r="6645">
      <c r="A6645" s="41" t="str">
        <f>IFERROR(__xludf.DUMMYFUNCTION("""COMPUTED_VALUE"""),"RSC006671")</f>
        <v>RSC006671</v>
      </c>
      <c r="B6645" s="41" t="str">
        <f>IFERROR(__xludf.DUMMYFUNCTION("""COMPUTED_VALUE"""),"BattleSheep")</f>
        <v>BattleSheep</v>
      </c>
    </row>
    <row r="6646">
      <c r="A6646" s="41" t="str">
        <f>IFERROR(__xludf.DUMMYFUNCTION("""COMPUTED_VALUE"""),"RSC006672")</f>
        <v>RSC006672</v>
      </c>
      <c r="B6646" s="41" t="str">
        <f>IFERROR(__xludf.DUMMYFUNCTION("""COMPUTED_VALUE"""),"antcrdbl.")</f>
        <v>antcrdbl.</v>
      </c>
    </row>
    <row r="6647">
      <c r="A6647" s="41" t="str">
        <f>IFERROR(__xludf.DUMMYFUNCTION("""COMPUTED_VALUE"""),"RSC006673")</f>
        <v>RSC006673</v>
      </c>
      <c r="B6647" s="41" t="str">
        <f>IFERROR(__xludf.DUMMYFUNCTION("""COMPUTED_VALUE"""),"Sol")</f>
        <v>Sol</v>
      </c>
    </row>
    <row r="6648">
      <c r="A6648" s="41" t="str">
        <f>IFERROR(__xludf.DUMMYFUNCTION("""COMPUTED_VALUE"""),"RSC006674")</f>
        <v>RSC006674</v>
      </c>
      <c r="B6648" s="41" t="str">
        <f>IFERROR(__xludf.DUMMYFUNCTION("""COMPUTED_VALUE"""),"Kesu")</f>
        <v>Kesu</v>
      </c>
    </row>
    <row r="6649">
      <c r="A6649" s="41" t="str">
        <f>IFERROR(__xludf.DUMMYFUNCTION("""COMPUTED_VALUE"""),"RSC006675")</f>
        <v>RSC006675</v>
      </c>
      <c r="B6649" s="41" t="str">
        <f>IFERROR(__xludf.DUMMYFUNCTION("""COMPUTED_VALUE"""),"logicbrainz")</f>
        <v>logicbrainz</v>
      </c>
    </row>
    <row r="6650">
      <c r="A6650" s="41" t="str">
        <f>IFERROR(__xludf.DUMMYFUNCTION("""COMPUTED_VALUE"""),"RSC006676")</f>
        <v>RSC006676</v>
      </c>
      <c r="B6650" s="41" t="str">
        <f>IFERROR(__xludf.DUMMYFUNCTION("""COMPUTED_VALUE"""),"Willroch21")</f>
        <v>Willroch21</v>
      </c>
    </row>
    <row r="6651">
      <c r="A6651" s="41" t="str">
        <f>IFERROR(__xludf.DUMMYFUNCTION("""COMPUTED_VALUE"""),"RSC006677")</f>
        <v>RSC006677</v>
      </c>
      <c r="B6651" s="41" t="str">
        <f>IFERROR(__xludf.DUMMYFUNCTION("""COMPUTED_VALUE"""),"Luigi")</f>
        <v>Luigi</v>
      </c>
    </row>
    <row r="6652">
      <c r="A6652" s="41" t="str">
        <f>IFERROR(__xludf.DUMMYFUNCTION("""COMPUTED_VALUE"""),"RSC006678")</f>
        <v>RSC006678</v>
      </c>
      <c r="B6652" s="41" t="str">
        <f>IFERROR(__xludf.DUMMYFUNCTION("""COMPUTED_VALUE"""),"EyeSucka")</f>
        <v>EyeSucka</v>
      </c>
    </row>
    <row r="6653">
      <c r="A6653" s="41" t="str">
        <f>IFERROR(__xludf.DUMMYFUNCTION("""COMPUTED_VALUE"""),"RSC006679")</f>
        <v>RSC006679</v>
      </c>
      <c r="B6653" s="41" t="str">
        <f>IFERROR(__xludf.DUMMYFUNCTION("""COMPUTED_VALUE"""),"TRAGIC VisOn")</f>
        <v>TRAGIC VisOn</v>
      </c>
    </row>
    <row r="6654">
      <c r="A6654" s="41" t="str">
        <f>IFERROR(__xludf.DUMMYFUNCTION("""COMPUTED_VALUE"""),"RSC006680")</f>
        <v>RSC006680</v>
      </c>
      <c r="B6654" s="41" t="str">
        <f>IFERROR(__xludf.DUMMYFUNCTION("""COMPUTED_VALUE"""),"1Klenzi1")</f>
        <v>1Klenzi1</v>
      </c>
    </row>
    <row r="6655">
      <c r="A6655" s="41" t="str">
        <f>IFERROR(__xludf.DUMMYFUNCTION("""COMPUTED_VALUE"""),"RSC006681")</f>
        <v>RSC006681</v>
      </c>
      <c r="B6655" s="41" t="str">
        <f>IFERROR(__xludf.DUMMYFUNCTION("""COMPUTED_VALUE"""),"goojah")</f>
        <v>goojah</v>
      </c>
    </row>
    <row r="6656">
      <c r="A6656" s="41" t="str">
        <f>IFERROR(__xludf.DUMMYFUNCTION("""COMPUTED_VALUE"""),"RSC006682")</f>
        <v>RSC006682</v>
      </c>
      <c r="B6656" s="41" t="str">
        <f>IFERROR(__xludf.DUMMYFUNCTION("""COMPUTED_VALUE"""),"Its Akabeen")</f>
        <v>Its Akabeen</v>
      </c>
    </row>
    <row r="6657">
      <c r="A6657" s="41" t="str">
        <f>IFERROR(__xludf.DUMMYFUNCTION("""COMPUTED_VALUE"""),"RSC006683")</f>
        <v>RSC006683</v>
      </c>
      <c r="B6657" s="41" t="str">
        <f>IFERROR(__xludf.DUMMYFUNCTION("""COMPUTED_VALUE"""),"GiGi_Aiden")</f>
        <v>GiGi_Aiden</v>
      </c>
    </row>
    <row r="6658">
      <c r="A6658" s="41" t="str">
        <f>IFERROR(__xludf.DUMMYFUNCTION("""COMPUTED_VALUE"""),"RSC006684")</f>
        <v>RSC006684</v>
      </c>
      <c r="B6658" s="41" t="str">
        <f>IFERROR(__xludf.DUMMYFUNCTION("""COMPUTED_VALUE"""),"RLB802")</f>
        <v>RLB802</v>
      </c>
    </row>
    <row r="6659">
      <c r="A6659" s="41" t="str">
        <f>IFERROR(__xludf.DUMMYFUNCTION("""COMPUTED_VALUE"""),"RSC006685")</f>
        <v>RSC006685</v>
      </c>
      <c r="B6659" s="41" t="str">
        <f>IFERROR(__xludf.DUMMYFUNCTION("""COMPUTED_VALUE"""),"niceguybrady")</f>
        <v>niceguybrady</v>
      </c>
    </row>
    <row r="6660">
      <c r="A6660" s="41" t="str">
        <f>IFERROR(__xludf.DUMMYFUNCTION("""COMPUTED_VALUE"""),"RSC006686")</f>
        <v>RSC006686</v>
      </c>
      <c r="B6660" s="41" t="str">
        <f>IFERROR(__xludf.DUMMYFUNCTION("""COMPUTED_VALUE"""),"MyNameIs150")</f>
        <v>MyNameIs150</v>
      </c>
    </row>
    <row r="6661">
      <c r="A6661" s="41" t="str">
        <f>IFERROR(__xludf.DUMMYFUNCTION("""COMPUTED_VALUE"""),"RSC006687")</f>
        <v>RSC006687</v>
      </c>
      <c r="B6661" s="41" t="str">
        <f>IFERROR(__xludf.DUMMYFUNCTION("""COMPUTED_VALUE"""),"Dr. Kombat")</f>
        <v>Dr. Kombat</v>
      </c>
    </row>
    <row r="6662">
      <c r="A6662" s="41" t="str">
        <f>IFERROR(__xludf.DUMMYFUNCTION("""COMPUTED_VALUE"""),"RSC006688")</f>
        <v>RSC006688</v>
      </c>
      <c r="B6662" s="41" t="str">
        <f>IFERROR(__xludf.DUMMYFUNCTION("""COMPUTED_VALUE"""),"Yeee Honk")</f>
        <v>Yeee Honk</v>
      </c>
    </row>
    <row r="6663">
      <c r="A6663" s="41" t="str">
        <f>IFERROR(__xludf.DUMMYFUNCTION("""COMPUTED_VALUE"""),"RSC006689")</f>
        <v>RSC006689</v>
      </c>
      <c r="B6663" s="41" t="str">
        <f>IFERROR(__xludf.DUMMYFUNCTION("""COMPUTED_VALUE"""),"ohsosushi")</f>
        <v>ohsosushi</v>
      </c>
    </row>
    <row r="6664">
      <c r="A6664" s="41" t="str">
        <f>IFERROR(__xludf.DUMMYFUNCTION("""COMPUTED_VALUE"""),"RSC006690")</f>
        <v>RSC006690</v>
      </c>
      <c r="B6664" s="41" t="str">
        <f>IFERROR(__xludf.DUMMYFUNCTION("""COMPUTED_VALUE"""),"IceyxWraith")</f>
        <v>IceyxWraith</v>
      </c>
    </row>
    <row r="6665">
      <c r="A6665" s="41" t="str">
        <f>IFERROR(__xludf.DUMMYFUNCTION("""COMPUTED_VALUE"""),"RSC006691")</f>
        <v>RSC006691</v>
      </c>
      <c r="B6665" s="41" t="str">
        <f>IFERROR(__xludf.DUMMYFUNCTION("""COMPUTED_VALUE"""),"Jixer")</f>
        <v>Jixer</v>
      </c>
    </row>
    <row r="6666">
      <c r="A6666" s="41" t="str">
        <f>IFERROR(__xludf.DUMMYFUNCTION("""COMPUTED_VALUE"""),"RSC006692")</f>
        <v>RSC006692</v>
      </c>
      <c r="B6666" s="41" t="str">
        <f>IFERROR(__xludf.DUMMYFUNCTION("""COMPUTED_VALUE"""),"zxkr.")</f>
        <v>zxkr.</v>
      </c>
    </row>
    <row r="6667">
      <c r="A6667" s="41" t="str">
        <f>IFERROR(__xludf.DUMMYFUNCTION("""COMPUTED_VALUE"""),"RSC006693")</f>
        <v>RSC006693</v>
      </c>
      <c r="B6667" s="41" t="str">
        <f>IFERROR(__xludf.DUMMYFUNCTION("""COMPUTED_VALUE"""),"thumper")</f>
        <v>thumper</v>
      </c>
    </row>
    <row r="6668">
      <c r="A6668" s="41" t="str">
        <f>IFERROR(__xludf.DUMMYFUNCTION("""COMPUTED_VALUE"""),"RSC006694")</f>
        <v>RSC006694</v>
      </c>
      <c r="B6668" s="41" t="str">
        <f>IFERROR(__xludf.DUMMYFUNCTION("""COMPUTED_VALUE"""),"Celiaaaaah13")</f>
        <v>Celiaaaaah13</v>
      </c>
    </row>
    <row r="6669">
      <c r="A6669" s="41" t="str">
        <f>IFERROR(__xludf.DUMMYFUNCTION("""COMPUTED_VALUE"""),"RSC006695")</f>
        <v>RSC006695</v>
      </c>
      <c r="B6669" s="41" t="str">
        <f>IFERROR(__xludf.DUMMYFUNCTION("""COMPUTED_VALUE"""),"Koalstr")</f>
        <v>Koalstr</v>
      </c>
    </row>
    <row r="6670">
      <c r="A6670" s="41" t="str">
        <f>IFERROR(__xludf.DUMMYFUNCTION("""COMPUTED_VALUE"""),"RSC006696")</f>
        <v>RSC006696</v>
      </c>
      <c r="B6670" s="41" t="str">
        <f>IFERROR(__xludf.DUMMYFUNCTION("""COMPUTED_VALUE"""),"CFBEAR8831")</f>
        <v>CFBEAR8831</v>
      </c>
    </row>
    <row r="6671">
      <c r="A6671" s="41" t="str">
        <f>IFERROR(__xludf.DUMMYFUNCTION("""COMPUTED_VALUE"""),"RSC006697")</f>
        <v>RSC006697</v>
      </c>
      <c r="B6671" s="41" t="str">
        <f>IFERROR(__xludf.DUMMYFUNCTION("""COMPUTED_VALUE"""),"Fleegof")</f>
        <v>Fleegof</v>
      </c>
    </row>
    <row r="6672">
      <c r="A6672" s="41" t="str">
        <f>IFERROR(__xludf.DUMMYFUNCTION("""COMPUTED_VALUE"""),"RSC006698")</f>
        <v>RSC006698</v>
      </c>
      <c r="B6672" s="41" t="str">
        <f>IFERROR(__xludf.DUMMYFUNCTION("""COMPUTED_VALUE"""),"1TapStephen")</f>
        <v>1TapStephen</v>
      </c>
    </row>
    <row r="6673">
      <c r="A6673" s="41" t="str">
        <f>IFERROR(__xludf.DUMMYFUNCTION("""COMPUTED_VALUE"""),"RSC006699")</f>
        <v>RSC006699</v>
      </c>
      <c r="B6673" s="41" t="str">
        <f>IFERROR(__xludf.DUMMYFUNCTION("""COMPUTED_VALUE"""),"Skotos")</f>
        <v>Skotos</v>
      </c>
    </row>
    <row r="6674">
      <c r="A6674" s="41" t="str">
        <f>IFERROR(__xludf.DUMMYFUNCTION("""COMPUTED_VALUE"""),"RSC006700")</f>
        <v>RSC006700</v>
      </c>
      <c r="B6674" s="41" t="str">
        <f>IFERROR(__xludf.DUMMYFUNCTION("""COMPUTED_VALUE"""),"Terx")</f>
        <v>Terx</v>
      </c>
    </row>
    <row r="6675">
      <c r="A6675" s="41" t="str">
        <f>IFERROR(__xludf.DUMMYFUNCTION("""COMPUTED_VALUE"""),"RSC006701")</f>
        <v>RSC006701</v>
      </c>
      <c r="B6675" s="41" t="str">
        <f>IFERROR(__xludf.DUMMYFUNCTION("""COMPUTED_VALUE"""),"MD1Assasin3")</f>
        <v>MD1Assasin3</v>
      </c>
    </row>
    <row r="6676">
      <c r="A6676" s="41" t="str">
        <f>IFERROR(__xludf.DUMMYFUNCTION("""COMPUTED_VALUE"""),"RSC006702")</f>
        <v>RSC006702</v>
      </c>
      <c r="B6676" s="41" t="str">
        <f>IFERROR(__xludf.DUMMYFUNCTION("""COMPUTED_VALUE"""),"Krevict")</f>
        <v>Krevict</v>
      </c>
    </row>
    <row r="6677">
      <c r="A6677" s="41" t="str">
        <f>IFERROR(__xludf.DUMMYFUNCTION("""COMPUTED_VALUE"""),"RSC006703")</f>
        <v>RSC006703</v>
      </c>
      <c r="B6677" s="41" t="str">
        <f>IFERROR(__xludf.DUMMYFUNCTION("""COMPUTED_VALUE"""),"cav")</f>
        <v>cav</v>
      </c>
    </row>
    <row r="6678">
      <c r="A6678" s="41" t="str">
        <f>IFERROR(__xludf.DUMMYFUNCTION("""COMPUTED_VALUE"""),"RSC006704")</f>
        <v>RSC006704</v>
      </c>
      <c r="B6678" s="41" t="str">
        <f>IFERROR(__xludf.DUMMYFUNCTION("""COMPUTED_VALUE"""),"noah")</f>
        <v>noah</v>
      </c>
    </row>
    <row r="6679">
      <c r="A6679" s="41" t="str">
        <f>IFERROR(__xludf.DUMMYFUNCTION("""COMPUTED_VALUE"""),"RSC006705")</f>
        <v>RSC006705</v>
      </c>
      <c r="B6679" s="41" t="str">
        <f>IFERROR(__xludf.DUMMYFUNCTION("""COMPUTED_VALUE"""),"Rhys")</f>
        <v>Rhys</v>
      </c>
    </row>
    <row r="6680">
      <c r="A6680" s="41" t="str">
        <f>IFERROR(__xludf.DUMMYFUNCTION("""COMPUTED_VALUE"""),"RSC006706")</f>
        <v>RSC006706</v>
      </c>
      <c r="B6680" s="41" t="str">
        <f>IFERROR(__xludf.DUMMYFUNCTION("""COMPUTED_VALUE"""),"MiggySlayer")</f>
        <v>MiggySlayer</v>
      </c>
    </row>
    <row r="6681">
      <c r="A6681" s="41" t="str">
        <f>IFERROR(__xludf.DUMMYFUNCTION("""COMPUTED_VALUE"""),"RSC006707")</f>
        <v>RSC006707</v>
      </c>
      <c r="B6681" s="41" t="str">
        <f>IFERROR(__xludf.DUMMYFUNCTION("""COMPUTED_VALUE"""),"Trulux")</f>
        <v>Trulux</v>
      </c>
    </row>
    <row r="6682">
      <c r="A6682" s="41" t="str">
        <f>IFERROR(__xludf.DUMMYFUNCTION("""COMPUTED_VALUE"""),"RSC006708")</f>
        <v>RSC006708</v>
      </c>
      <c r="B6682" s="41" t="str">
        <f>IFERROR(__xludf.DUMMYFUNCTION("""COMPUTED_VALUE"""),"d6rrius")</f>
        <v>d6rrius</v>
      </c>
    </row>
    <row r="6683">
      <c r="A6683" s="41" t="str">
        <f>IFERROR(__xludf.DUMMYFUNCTION("""COMPUTED_VALUE"""),"RSC006709")</f>
        <v>RSC006709</v>
      </c>
      <c r="B6683" s="41" t="str">
        <f>IFERROR(__xludf.DUMMYFUNCTION("""COMPUTED_VALUE"""),"ngryn")</f>
        <v>ngryn</v>
      </c>
    </row>
    <row r="6684">
      <c r="A6684" s="41" t="str">
        <f>IFERROR(__xludf.DUMMYFUNCTION("""COMPUTED_VALUE"""),"RSC006710")</f>
        <v>RSC006710</v>
      </c>
      <c r="B6684" s="41" t="str">
        <f>IFERROR(__xludf.DUMMYFUNCTION("""COMPUTED_VALUE"""),"CrimsonLight262")</f>
        <v>CrimsonLight262</v>
      </c>
    </row>
    <row r="6685">
      <c r="A6685" s="41" t="str">
        <f>IFERROR(__xludf.DUMMYFUNCTION("""COMPUTED_VALUE"""),"RSC006711")</f>
        <v>RSC006711</v>
      </c>
      <c r="B6685" s="41" t="str">
        <f>IFERROR(__xludf.DUMMYFUNCTION("""COMPUTED_VALUE"""),"TonicRL")</f>
        <v>TonicRL</v>
      </c>
    </row>
    <row r="6686">
      <c r="A6686" s="41" t="str">
        <f>IFERROR(__xludf.DUMMYFUNCTION("""COMPUTED_VALUE"""),"RSC006712")</f>
        <v>RSC006712</v>
      </c>
      <c r="B6686" s="41" t="str">
        <f>IFERROR(__xludf.DUMMYFUNCTION("""COMPUTED_VALUE"""),"jeezyhowyoudoin")</f>
        <v>jeezyhowyoudoin</v>
      </c>
    </row>
    <row r="6687">
      <c r="A6687" s="41" t="str">
        <f>IFERROR(__xludf.DUMMYFUNCTION("""COMPUTED_VALUE"""),"RSC006713")</f>
        <v>RSC006713</v>
      </c>
      <c r="B6687" s="41" t="str">
        <f>IFERROR(__xludf.DUMMYFUNCTION("""COMPUTED_VALUE"""),"SGE Nemesis")</f>
        <v>SGE Nemesis</v>
      </c>
    </row>
    <row r="6688">
      <c r="A6688" s="41" t="str">
        <f>IFERROR(__xludf.DUMMYFUNCTION("""COMPUTED_VALUE"""),"RSC006714")</f>
        <v>RSC006714</v>
      </c>
      <c r="B6688" s="41" t="str">
        <f>IFERROR(__xludf.DUMMYFUNCTION("""COMPUTED_VALUE"""),"v2_zayyy")</f>
        <v>v2_zayyy</v>
      </c>
    </row>
    <row r="6689">
      <c r="A6689" s="41" t="str">
        <f>IFERROR(__xludf.DUMMYFUNCTION("""COMPUTED_VALUE"""),"RSC006715")</f>
        <v>RSC006715</v>
      </c>
      <c r="B6689" s="41" t="str">
        <f>IFERROR(__xludf.DUMMYFUNCTION("""COMPUTED_VALUE"""),"xd Asphalt")</f>
        <v>xd Asphalt</v>
      </c>
    </row>
    <row r="6690">
      <c r="A6690" s="41" t="str">
        <f>IFERROR(__xludf.DUMMYFUNCTION("""COMPUTED_VALUE"""),"RSC006716")</f>
        <v>RSC006716</v>
      </c>
      <c r="B6690" s="41" t="str">
        <f>IFERROR(__xludf.DUMMYFUNCTION("""COMPUTED_VALUE"""),"Effigy")</f>
        <v>Effigy</v>
      </c>
    </row>
    <row r="6691">
      <c r="A6691" s="41" t="str">
        <f>IFERROR(__xludf.DUMMYFUNCTION("""COMPUTED_VALUE"""),"RSC006717")</f>
        <v>RSC006717</v>
      </c>
      <c r="B6691" s="41" t="str">
        <f>IFERROR(__xludf.DUMMYFUNCTION("""COMPUTED_VALUE"""),"Kyoze4335")</f>
        <v>Kyoze4335</v>
      </c>
    </row>
    <row r="6692">
      <c r="A6692" s="41" t="str">
        <f>IFERROR(__xludf.DUMMYFUNCTION("""COMPUTED_VALUE"""),"RSC006718")</f>
        <v>RSC006718</v>
      </c>
      <c r="B6692" s="41" t="str">
        <f>IFERROR(__xludf.DUMMYFUNCTION("""COMPUTED_VALUE"""),"Musty_ALG")</f>
        <v>Musty_ALG</v>
      </c>
    </row>
    <row r="6693">
      <c r="A6693" s="41" t="str">
        <f>IFERROR(__xludf.DUMMYFUNCTION("""COMPUTED_VALUE"""),"RSC006719")</f>
        <v>RSC006719</v>
      </c>
      <c r="B6693" s="41" t="str">
        <f>IFERROR(__xludf.DUMMYFUNCTION("""COMPUTED_VALUE"""),"pman")</f>
        <v>pman</v>
      </c>
    </row>
    <row r="6694">
      <c r="A6694" s="41" t="str">
        <f>IFERROR(__xludf.DUMMYFUNCTION("""COMPUTED_VALUE"""),"RSC006720")</f>
        <v>RSC006720</v>
      </c>
      <c r="B6694" s="41" t="str">
        <f>IFERROR(__xludf.DUMMYFUNCTION("""COMPUTED_VALUE"""),"TecnoGalaxy")</f>
        <v>TecnoGalaxy</v>
      </c>
    </row>
    <row r="6695">
      <c r="A6695" s="41" t="str">
        <f>IFERROR(__xludf.DUMMYFUNCTION("""COMPUTED_VALUE"""),"RSC006721")</f>
        <v>RSC006721</v>
      </c>
      <c r="B6695" s="41" t="str">
        <f>IFERROR(__xludf.DUMMYFUNCTION("""COMPUTED_VALUE"""),"endaza")</f>
        <v>endaza</v>
      </c>
    </row>
    <row r="6696">
      <c r="A6696" s="41" t="str">
        <f>IFERROR(__xludf.DUMMYFUNCTION("""COMPUTED_VALUE"""),"RSC006722")</f>
        <v>RSC006722</v>
      </c>
      <c r="B6696" s="41" t="str">
        <f>IFERROR(__xludf.DUMMYFUNCTION("""COMPUTED_VALUE"""),"ksipower32")</f>
        <v>ksipower32</v>
      </c>
    </row>
    <row r="6697">
      <c r="A6697" s="41" t="str">
        <f>IFERROR(__xludf.DUMMYFUNCTION("""COMPUTED_VALUE"""),"RSC006723")</f>
        <v>RSC006723</v>
      </c>
      <c r="B6697" s="41" t="str">
        <f>IFERROR(__xludf.DUMMYFUNCTION("""COMPUTED_VALUE"""),"ROCK_Sause")</f>
        <v>ROCK_Sause</v>
      </c>
    </row>
    <row r="6698">
      <c r="A6698" s="41" t="str">
        <f>IFERROR(__xludf.DUMMYFUNCTION("""COMPUTED_VALUE"""),"RSC006724")</f>
        <v>RSC006724</v>
      </c>
      <c r="B6698" s="41" t="str">
        <f>IFERROR(__xludf.DUMMYFUNCTION("""COMPUTED_VALUE"""),"Spiral-ParaDoxx")</f>
        <v>Spiral-ParaDoxx</v>
      </c>
    </row>
    <row r="6699">
      <c r="A6699" s="41" t="str">
        <f>IFERROR(__xludf.DUMMYFUNCTION("""COMPUTED_VALUE"""),"RSC006725")</f>
        <v>RSC006725</v>
      </c>
      <c r="B6699" s="41" t="str">
        <f>IFERROR(__xludf.DUMMYFUNCTION("""COMPUTED_VALUE"""),"twistii kana")</f>
        <v>twistii kana</v>
      </c>
    </row>
    <row r="6700">
      <c r="A6700" s="41" t="str">
        <f>IFERROR(__xludf.DUMMYFUNCTION("""COMPUTED_VALUE"""),"RSC006726")</f>
        <v>RSC006726</v>
      </c>
      <c r="B6700" s="41" t="str">
        <f>IFERROR(__xludf.DUMMYFUNCTION("""COMPUTED_VALUE"""),"Evdog")</f>
        <v>Evdog</v>
      </c>
    </row>
    <row r="6701">
      <c r="A6701" s="41" t="str">
        <f>IFERROR(__xludf.DUMMYFUNCTION("""COMPUTED_VALUE"""),"RSC006727")</f>
        <v>RSC006727</v>
      </c>
      <c r="B6701" s="41" t="str">
        <f>IFERROR(__xludf.DUMMYFUNCTION("""COMPUTED_VALUE"""),"Vamp33r")</f>
        <v>Vamp33r</v>
      </c>
    </row>
    <row r="6702">
      <c r="A6702" s="41" t="str">
        <f>IFERROR(__xludf.DUMMYFUNCTION("""COMPUTED_VALUE"""),"RSC006728")</f>
        <v>RSC006728</v>
      </c>
      <c r="B6702" s="41" t="str">
        <f>IFERROR(__xludf.DUMMYFUNCTION("""COMPUTED_VALUE"""),"FarzyPlaysChess")</f>
        <v>FarzyPlaysChess</v>
      </c>
    </row>
    <row r="6703">
      <c r="A6703" s="41" t="str">
        <f>IFERROR(__xludf.DUMMYFUNCTION("""COMPUTED_VALUE"""),"RSC006729")</f>
        <v>RSC006729</v>
      </c>
      <c r="B6703" s="41" t="str">
        <f>IFERROR(__xludf.DUMMYFUNCTION("""COMPUTED_VALUE"""),"Klassian9")</f>
        <v>Klassian9</v>
      </c>
    </row>
    <row r="6704">
      <c r="A6704" s="41" t="str">
        <f>IFERROR(__xludf.DUMMYFUNCTION("""COMPUTED_VALUE"""),"RSC006730")</f>
        <v>RSC006730</v>
      </c>
      <c r="B6704" s="41" t="str">
        <f>IFERROR(__xludf.DUMMYFUNCTION("""COMPUTED_VALUE"""),"Nugs._")</f>
        <v>Nugs._</v>
      </c>
    </row>
    <row r="6705">
      <c r="A6705" s="41" t="str">
        <f>IFERROR(__xludf.DUMMYFUNCTION("""COMPUTED_VALUE"""),"RSC006731")</f>
        <v>RSC006731</v>
      </c>
      <c r="B6705" s="41" t="str">
        <f>IFERROR(__xludf.DUMMYFUNCTION("""COMPUTED_VALUE"""),"Aaandyyy2010")</f>
        <v>Aaandyyy2010</v>
      </c>
    </row>
    <row r="6706">
      <c r="A6706" s="41" t="str">
        <f>IFERROR(__xludf.DUMMYFUNCTION("""COMPUTED_VALUE"""),"RSC006732")</f>
        <v>RSC006732</v>
      </c>
      <c r="B6706" s="41" t="str">
        <f>IFERROR(__xludf.DUMMYFUNCTION("""COMPUTED_VALUE"""),"syxcsxx")</f>
        <v>syxcsxx</v>
      </c>
    </row>
    <row r="6707">
      <c r="A6707" s="41" t="str">
        <f>IFERROR(__xludf.DUMMYFUNCTION("""COMPUTED_VALUE"""),"RSC006733")</f>
        <v>RSC006733</v>
      </c>
      <c r="B6707" s="41" t="str">
        <f>IFERROR(__xludf.DUMMYFUNCTION("""COMPUTED_VALUE"""),"RL Rust")</f>
        <v>RL Rust</v>
      </c>
    </row>
    <row r="6708">
      <c r="A6708" s="41" t="str">
        <f>IFERROR(__xludf.DUMMYFUNCTION("""COMPUTED_VALUE"""),"RSC006734")</f>
        <v>RSC006734</v>
      </c>
      <c r="B6708" s="41" t="str">
        <f>IFERROR(__xludf.DUMMYFUNCTION("""COMPUTED_VALUE"""),"weathers75josh")</f>
        <v>weathers75josh</v>
      </c>
    </row>
    <row r="6709">
      <c r="A6709" s="41" t="str">
        <f>IFERROR(__xludf.DUMMYFUNCTION("""COMPUTED_VALUE"""),"RSC006735")</f>
        <v>RSC006735</v>
      </c>
      <c r="B6709" s="41" t="str">
        <f>IFERROR(__xludf.DUMMYFUNCTION("""COMPUTED_VALUE"""),"DnG cObeN xD")</f>
        <v>DnG cObeN xD</v>
      </c>
    </row>
    <row r="6710">
      <c r="A6710" s="41" t="str">
        <f>IFERROR(__xludf.DUMMYFUNCTION("""COMPUTED_VALUE"""),"RSC006736")</f>
        <v>RSC006736</v>
      </c>
      <c r="B6710" s="41" t="str">
        <f>IFERROR(__xludf.DUMMYFUNCTION("""COMPUTED_VALUE"""),"squibbly.")</f>
        <v>squibbly.</v>
      </c>
    </row>
    <row r="6711">
      <c r="A6711" s="41" t="str">
        <f>IFERROR(__xludf.DUMMYFUNCTION("""COMPUTED_VALUE"""),"RSC006737")</f>
        <v>RSC006737</v>
      </c>
      <c r="B6711" s="41" t="str">
        <f>IFERROR(__xludf.DUMMYFUNCTION("""COMPUTED_VALUE"""),"Nyx-Fool-")</f>
        <v>Nyx-Fool-</v>
      </c>
    </row>
    <row r="6712">
      <c r="A6712" s="41" t="str">
        <f>IFERROR(__xludf.DUMMYFUNCTION("""COMPUTED_VALUE"""),"RSC006738")</f>
        <v>RSC006738</v>
      </c>
      <c r="B6712" s="41" t="str">
        <f>IFERROR(__xludf.DUMMYFUNCTION("""COMPUTED_VALUE"""),"Missell_RL")</f>
        <v>Missell_RL</v>
      </c>
    </row>
    <row r="6713">
      <c r="A6713" s="41" t="str">
        <f>IFERROR(__xludf.DUMMYFUNCTION("""COMPUTED_VALUE"""),"RSC006739")</f>
        <v>RSC006739</v>
      </c>
      <c r="B6713" s="41" t="str">
        <f>IFERROR(__xludf.DUMMYFUNCTION("""COMPUTED_VALUE"""),"SquEdgy")</f>
        <v>SquEdgy</v>
      </c>
    </row>
    <row r="6714">
      <c r="A6714" s="41" t="str">
        <f>IFERROR(__xludf.DUMMYFUNCTION("""COMPUTED_VALUE"""),"RSC006740")</f>
        <v>RSC006740</v>
      </c>
      <c r="B6714" s="41" t="str">
        <f>IFERROR(__xludf.DUMMYFUNCTION("""COMPUTED_VALUE"""),"HU-ALTO")</f>
        <v>HU-ALTO</v>
      </c>
    </row>
    <row r="6715">
      <c r="A6715" s="41" t="str">
        <f>IFERROR(__xludf.DUMMYFUNCTION("""COMPUTED_VALUE"""),"RSC006741")</f>
        <v>RSC006741</v>
      </c>
      <c r="B6715" s="41" t="str">
        <f>IFERROR(__xludf.DUMMYFUNCTION("""COMPUTED_VALUE"""),"ttvSlendermanHG")</f>
        <v>ttvSlendermanHG</v>
      </c>
    </row>
    <row r="6716">
      <c r="A6716" s="41" t="str">
        <f>IFERROR(__xludf.DUMMYFUNCTION("""COMPUTED_VALUE"""),"RSC006742")</f>
        <v>RSC006742</v>
      </c>
      <c r="B6716" s="41" t="str">
        <f>IFERROR(__xludf.DUMMYFUNCTION("""COMPUTED_VALUE"""),"iDuzzy")</f>
        <v>iDuzzy</v>
      </c>
    </row>
    <row r="6717">
      <c r="A6717" s="41" t="str">
        <f>IFERROR(__xludf.DUMMYFUNCTION("""COMPUTED_VALUE"""),"RSC006743")</f>
        <v>RSC006743</v>
      </c>
      <c r="B6717" s="41" t="str">
        <f>IFERROR(__xludf.DUMMYFUNCTION("""COMPUTED_VALUE"""),"RyuG-")</f>
        <v>RyuG-</v>
      </c>
    </row>
    <row r="6718">
      <c r="A6718" s="41" t="str">
        <f>IFERROR(__xludf.DUMMYFUNCTION("""COMPUTED_VALUE"""),"RSC006744")</f>
        <v>RSC006744</v>
      </c>
      <c r="B6718" s="41" t="str">
        <f>IFERROR(__xludf.DUMMYFUNCTION("""COMPUTED_VALUE"""),"carbonoc")</f>
        <v>carbonoc</v>
      </c>
    </row>
    <row r="6719">
      <c r="A6719" s="41" t="str">
        <f>IFERROR(__xludf.DUMMYFUNCTION("""COMPUTED_VALUE"""),"RSC006745")</f>
        <v>RSC006745</v>
      </c>
      <c r="B6719" s="41" t="str">
        <f>IFERROR(__xludf.DUMMYFUNCTION("""COMPUTED_VALUE"""),"Angel &lt;3")</f>
        <v>Angel &lt;3</v>
      </c>
    </row>
    <row r="6720">
      <c r="A6720" s="41" t="str">
        <f>IFERROR(__xludf.DUMMYFUNCTION("""COMPUTED_VALUE"""),"RSC006746")</f>
        <v>RSC006746</v>
      </c>
      <c r="B6720" s="41" t="str">
        <f>IFERROR(__xludf.DUMMYFUNCTION("""COMPUTED_VALUE"""),"K0SM1CK1NG")</f>
        <v>K0SM1CK1NG</v>
      </c>
    </row>
    <row r="6721">
      <c r="A6721" s="41" t="str">
        <f>IFERROR(__xludf.DUMMYFUNCTION("""COMPUTED_VALUE"""),"RSC006747")</f>
        <v>RSC006747</v>
      </c>
      <c r="B6721" s="41" t="str">
        <f>IFERROR(__xludf.DUMMYFUNCTION("""COMPUTED_VALUE"""),"Panda")</f>
        <v>Panda</v>
      </c>
    </row>
    <row r="6722">
      <c r="A6722" s="41" t="str">
        <f>IFERROR(__xludf.DUMMYFUNCTION("""COMPUTED_VALUE"""),"RSC006748")</f>
        <v>RSC006748</v>
      </c>
      <c r="B6722" s="41" t="str">
        <f>IFERROR(__xludf.DUMMYFUNCTION("""COMPUTED_VALUE"""),"Llamaboy101")</f>
        <v>Llamaboy101</v>
      </c>
    </row>
    <row r="6723">
      <c r="A6723" s="41" t="str">
        <f>IFERROR(__xludf.DUMMYFUNCTION("""COMPUTED_VALUE"""),"RSC006749")</f>
        <v>RSC006749</v>
      </c>
      <c r="B6723" s="41" t="str">
        <f>IFERROR(__xludf.DUMMYFUNCTION("""COMPUTED_VALUE"""),"JIGGY -")</f>
        <v>JIGGY -</v>
      </c>
    </row>
    <row r="6724">
      <c r="A6724" s="41" t="str">
        <f>IFERROR(__xludf.DUMMYFUNCTION("""COMPUTED_VALUE"""),"RSC006750")</f>
        <v>RSC006750</v>
      </c>
      <c r="B6724" s="41" t="str">
        <f>IFERROR(__xludf.DUMMYFUNCTION("""COMPUTED_VALUE"""),"JKillerMiller")</f>
        <v>JKillerMiller</v>
      </c>
    </row>
    <row r="6725">
      <c r="A6725" s="41" t="str">
        <f>IFERROR(__xludf.DUMMYFUNCTION("""COMPUTED_VALUE"""),"RSC006751")</f>
        <v>RSC006751</v>
      </c>
      <c r="B6725" s="41" t="str">
        <f>IFERROR(__xludf.DUMMYFUNCTION("""COMPUTED_VALUE"""),"cl0wdy.")</f>
        <v>cl0wdy.</v>
      </c>
    </row>
    <row r="6726">
      <c r="A6726" s="41" t="str">
        <f>IFERROR(__xludf.DUMMYFUNCTION("""COMPUTED_VALUE"""),"RSC006752")</f>
        <v>RSC006752</v>
      </c>
      <c r="B6726" s="41" t="str">
        <f>IFERROR(__xludf.DUMMYFUNCTION("""COMPUTED_VALUE"""),"RedTaill")</f>
        <v>RedTaill</v>
      </c>
    </row>
    <row r="6727">
      <c r="A6727" s="41" t="str">
        <f>IFERROR(__xludf.DUMMYFUNCTION("""COMPUTED_VALUE"""),"RSC006753")</f>
        <v>RSC006753</v>
      </c>
      <c r="B6727" s="41" t="str">
        <f>IFERROR(__xludf.DUMMYFUNCTION("""COMPUTED_VALUE"""),"wakinguptomoney.")</f>
        <v>wakinguptomoney.</v>
      </c>
    </row>
    <row r="6728">
      <c r="A6728" s="41" t="str">
        <f>IFERROR(__xludf.DUMMYFUNCTION("""COMPUTED_VALUE"""),"RSC006754")</f>
        <v>RSC006754</v>
      </c>
      <c r="B6728" s="41" t="str">
        <f>IFERROR(__xludf.DUMMYFUNCTION("""COMPUTED_VALUE"""),"Razalgould")</f>
        <v>Razalgould</v>
      </c>
    </row>
    <row r="6729">
      <c r="A6729" s="41" t="str">
        <f>IFERROR(__xludf.DUMMYFUNCTION("""COMPUTED_VALUE"""),"RSC006755")</f>
        <v>RSC006755</v>
      </c>
      <c r="B6729" s="41" t="str">
        <f>IFERROR(__xludf.DUMMYFUNCTION("""COMPUTED_VALUE"""),"Fox_gt_400")</f>
        <v>Fox_gt_400</v>
      </c>
    </row>
    <row r="6730">
      <c r="A6730" s="41" t="str">
        <f>IFERROR(__xludf.DUMMYFUNCTION("""COMPUTED_VALUE"""),"RSC006756")</f>
        <v>RSC006756</v>
      </c>
      <c r="B6730" s="41" t="str">
        <f>IFERROR(__xludf.DUMMYFUNCTION("""COMPUTED_VALUE"""),"truez9")</f>
        <v>truez9</v>
      </c>
    </row>
    <row r="6731">
      <c r="A6731" s="41" t="str">
        <f>IFERROR(__xludf.DUMMYFUNCTION("""COMPUTED_VALUE"""),"RSC006757")</f>
        <v>RSC006757</v>
      </c>
      <c r="B6731" s="41" t="str">
        <f>IFERROR(__xludf.DUMMYFUNCTION("""COMPUTED_VALUE"""),"xhyperzzx")</f>
        <v>xhyperzzx</v>
      </c>
    </row>
    <row r="6732">
      <c r="A6732" s="41" t="str">
        <f>IFERROR(__xludf.DUMMYFUNCTION("""COMPUTED_VALUE"""),"RSC006758")</f>
        <v>RSC006758</v>
      </c>
      <c r="B6732" s="41" t="str">
        <f>IFERROR(__xludf.DUMMYFUNCTION("""COMPUTED_VALUE"""),"El Booger Sugar")</f>
        <v>El Booger Sugar</v>
      </c>
    </row>
    <row r="6733">
      <c r="A6733" s="41" t="str">
        <f>IFERROR(__xludf.DUMMYFUNCTION("""COMPUTED_VALUE"""),"RSC006759")</f>
        <v>RSC006759</v>
      </c>
      <c r="B6733" s="41" t="str">
        <f>IFERROR(__xludf.DUMMYFUNCTION("""COMPUTED_VALUE"""),"_waterboi")</f>
        <v>_waterboi</v>
      </c>
    </row>
    <row r="6734">
      <c r="A6734" s="41" t="str">
        <f>IFERROR(__xludf.DUMMYFUNCTION("""COMPUTED_VALUE"""),"RSC006760")</f>
        <v>RSC006760</v>
      </c>
      <c r="B6734" s="41" t="str">
        <f>IFERROR(__xludf.DUMMYFUNCTION("""COMPUTED_VALUE"""),"dreamy")</f>
        <v>dreamy</v>
      </c>
    </row>
    <row r="6735">
      <c r="A6735" s="41" t="str">
        <f>IFERROR(__xludf.DUMMYFUNCTION("""COMPUTED_VALUE"""),"RSC006761")</f>
        <v>RSC006761</v>
      </c>
      <c r="B6735" s="41" t="str">
        <f>IFERROR(__xludf.DUMMYFUNCTION("""COMPUTED_VALUE"""),"ITzTheKid87")</f>
        <v>ITzTheKid87</v>
      </c>
    </row>
    <row r="6736">
      <c r="A6736" s="41" t="str">
        <f>IFERROR(__xludf.DUMMYFUNCTION("""COMPUTED_VALUE"""),"RSC006762")</f>
        <v>RSC006762</v>
      </c>
      <c r="B6736" s="41" t="str">
        <f>IFERROR(__xludf.DUMMYFUNCTION("""COMPUTED_VALUE"""),"Dragoinism")</f>
        <v>Dragoinism</v>
      </c>
    </row>
    <row r="6737">
      <c r="A6737" s="41" t="str">
        <f>IFERROR(__xludf.DUMMYFUNCTION("""COMPUTED_VALUE"""),"RSC006763")</f>
        <v>RSC006763</v>
      </c>
      <c r="B6737" s="41" t="str">
        <f>IFERROR(__xludf.DUMMYFUNCTION("""COMPUTED_VALUE"""),"elevens1")</f>
        <v>elevens1</v>
      </c>
    </row>
    <row r="6738">
      <c r="A6738" s="41" t="str">
        <f>IFERROR(__xludf.DUMMYFUNCTION("""COMPUTED_VALUE"""),"RSC006764")</f>
        <v>RSC006764</v>
      </c>
      <c r="B6738" s="41" t="str">
        <f>IFERROR(__xludf.DUMMYFUNCTION("""COMPUTED_VALUE"""),"Redy")</f>
        <v>Redy</v>
      </c>
    </row>
    <row r="6739">
      <c r="A6739" s="41" t="str">
        <f>IFERROR(__xludf.DUMMYFUNCTION("""COMPUTED_VALUE"""),"RSC006765")</f>
        <v>RSC006765</v>
      </c>
      <c r="B6739" s="41" t="str">
        <f>IFERROR(__xludf.DUMMYFUNCTION("""COMPUTED_VALUE"""),"BobgdanGabriel")</f>
        <v>BobgdanGabriel</v>
      </c>
    </row>
    <row r="6740">
      <c r="A6740" s="41" t="str">
        <f>IFERROR(__xludf.DUMMYFUNCTION("""COMPUTED_VALUE"""),"RSC006766")</f>
        <v>RSC006766</v>
      </c>
      <c r="B6740" s="41" t="str">
        <f>IFERROR(__xludf.DUMMYFUNCTION("""COMPUTED_VALUE"""),"SomaSoju")</f>
        <v>SomaSoju</v>
      </c>
    </row>
    <row r="6741">
      <c r="A6741" s="41" t="str">
        <f>IFERROR(__xludf.DUMMYFUNCTION("""COMPUTED_VALUE"""),"RSC006768")</f>
        <v>RSC006768</v>
      </c>
      <c r="B6741" s="41" t="str">
        <f>IFERROR(__xludf.DUMMYFUNCTION("""COMPUTED_VALUE"""),"shocks")</f>
        <v>shocks</v>
      </c>
    </row>
    <row r="6742">
      <c r="A6742" s="41" t="str">
        <f>IFERROR(__xludf.DUMMYFUNCTION("""COMPUTED_VALUE"""),"RSC006769")</f>
        <v>RSC006769</v>
      </c>
      <c r="B6742" s="41" t="str">
        <f>IFERROR(__xludf.DUMMYFUNCTION("""COMPUTED_VALUE"""),"baltostorm")</f>
        <v>baltostorm</v>
      </c>
    </row>
    <row r="6743">
      <c r="A6743" s="41" t="str">
        <f>IFERROR(__xludf.DUMMYFUNCTION("""COMPUTED_VALUE"""),"RSC006770")</f>
        <v>RSC006770</v>
      </c>
      <c r="B6743" s="41" t="str">
        <f>IFERROR(__xludf.DUMMYFUNCTION("""COMPUTED_VALUE"""),"ExecutivePowers")</f>
        <v>ExecutivePowers</v>
      </c>
    </row>
    <row r="6744">
      <c r="A6744" s="41" t="str">
        <f>IFERROR(__xludf.DUMMYFUNCTION("""COMPUTED_VALUE"""),"RSC006771")</f>
        <v>RSC006771</v>
      </c>
      <c r="B6744" s="41" t="str">
        <f>IFERROR(__xludf.DUMMYFUNCTION("""COMPUTED_VALUE"""),"LooknForCatgirls")</f>
        <v>LooknForCatgirls</v>
      </c>
    </row>
    <row r="6745">
      <c r="A6745" s="41" t="str">
        <f>IFERROR(__xludf.DUMMYFUNCTION("""COMPUTED_VALUE"""),"RSC006772")</f>
        <v>RSC006772</v>
      </c>
      <c r="B6745" s="41" t="str">
        <f>IFERROR(__xludf.DUMMYFUNCTION("""COMPUTED_VALUE"""),"Dylb0t_")</f>
        <v>Dylb0t_</v>
      </c>
    </row>
    <row r="6746">
      <c r="A6746" s="41" t="str">
        <f>IFERROR(__xludf.DUMMYFUNCTION("""COMPUTED_VALUE"""),"RSC006773")</f>
        <v>RSC006773</v>
      </c>
      <c r="B6746" s="41" t="str">
        <f>IFERROR(__xludf.DUMMYFUNCTION("""COMPUTED_VALUE"""),"Peytoneli")</f>
        <v>Peytoneli</v>
      </c>
    </row>
    <row r="6747">
      <c r="A6747" s="41" t="str">
        <f>IFERROR(__xludf.DUMMYFUNCTION("""COMPUTED_VALUE"""),"RSC006774")</f>
        <v>RSC006774</v>
      </c>
      <c r="B6747" s="41" t="str">
        <f>IFERROR(__xludf.DUMMYFUNCTION("""COMPUTED_VALUE"""),"JazzMagic.")</f>
        <v>JazzMagic.</v>
      </c>
    </row>
    <row r="6748">
      <c r="A6748" s="41" t="str">
        <f>IFERROR(__xludf.DUMMYFUNCTION("""COMPUTED_VALUE"""),"RSC006775")</f>
        <v>RSC006775</v>
      </c>
      <c r="B6748" s="41" t="str">
        <f>IFERROR(__xludf.DUMMYFUNCTION("""COMPUTED_VALUE"""),"Storm Void")</f>
        <v>Storm Void</v>
      </c>
    </row>
    <row r="6749">
      <c r="A6749" s="41" t="str">
        <f>IFERROR(__xludf.DUMMYFUNCTION("""COMPUTED_VALUE"""),"RSC006776")</f>
        <v>RSC006776</v>
      </c>
      <c r="B6749" s="41" t="str">
        <f>IFERROR(__xludf.DUMMYFUNCTION("""COMPUTED_VALUE"""),"TwitchMezerks")</f>
        <v>TwitchMezerks</v>
      </c>
    </row>
    <row r="6750">
      <c r="A6750" s="41" t="str">
        <f>IFERROR(__xludf.DUMMYFUNCTION("""COMPUTED_VALUE"""),"RSC006777")</f>
        <v>RSC006777</v>
      </c>
      <c r="B6750" s="41" t="str">
        <f>IFERROR(__xludf.DUMMYFUNCTION("""COMPUTED_VALUE"""),"AlteredSp4rky")</f>
        <v>AlteredSp4rky</v>
      </c>
    </row>
    <row r="6751">
      <c r="A6751" s="41" t="str">
        <f>IFERROR(__xludf.DUMMYFUNCTION("""COMPUTED_VALUE"""),"RSC006778")</f>
        <v>RSC006778</v>
      </c>
      <c r="B6751" s="41" t="str">
        <f>IFERROR(__xludf.DUMMYFUNCTION("""COMPUTED_VALUE"""),"xXPokoDamuzXx")</f>
        <v>xXPokoDamuzXx</v>
      </c>
    </row>
    <row r="6752">
      <c r="A6752" s="41" t="str">
        <f>IFERROR(__xludf.DUMMYFUNCTION("""COMPUTED_VALUE"""),"RSC006779")</f>
        <v>RSC006779</v>
      </c>
      <c r="B6752" s="41" t="str">
        <f>IFERROR(__xludf.DUMMYFUNCTION("""COMPUTED_VALUE"""),"I am CANDYMAN")</f>
        <v>I am CANDYMAN</v>
      </c>
    </row>
    <row r="6753">
      <c r="A6753" s="41" t="str">
        <f>IFERROR(__xludf.DUMMYFUNCTION("""COMPUTED_VALUE"""),"RSC006780")</f>
        <v>RSC006780</v>
      </c>
      <c r="B6753" s="41" t="str">
        <f>IFERROR(__xludf.DUMMYFUNCTION("""COMPUTED_VALUE"""),"Dark_Angels.")</f>
        <v>Dark_Angels.</v>
      </c>
    </row>
    <row r="6754">
      <c r="A6754" s="41" t="str">
        <f>IFERROR(__xludf.DUMMYFUNCTION("""COMPUTED_VALUE"""),"RSC006781")</f>
        <v>RSC006781</v>
      </c>
      <c r="B6754" s="41" t="str">
        <f>IFERROR(__xludf.DUMMYFUNCTION("""COMPUTED_VALUE"""),"Yolag")</f>
        <v>Yolag</v>
      </c>
    </row>
    <row r="6755">
      <c r="A6755" s="41" t="str">
        <f>IFERROR(__xludf.DUMMYFUNCTION("""COMPUTED_VALUE"""),"RSC006782")</f>
        <v>RSC006782</v>
      </c>
      <c r="B6755" s="41" t="str">
        <f>IFERROR(__xludf.DUMMYFUNCTION("""COMPUTED_VALUE"""),"Cujo_SZN")</f>
        <v>Cujo_SZN</v>
      </c>
    </row>
    <row r="6756">
      <c r="A6756" s="41" t="str">
        <f>IFERROR(__xludf.DUMMYFUNCTION("""COMPUTED_VALUE"""),"RSC006783")</f>
        <v>RSC006783</v>
      </c>
      <c r="B6756" s="41" t="str">
        <f>IFERROR(__xludf.DUMMYFUNCTION("""COMPUTED_VALUE"""),"ImSouperGreat")</f>
        <v>ImSouperGreat</v>
      </c>
    </row>
    <row r="6757">
      <c r="A6757" s="41" t="str">
        <f>IFERROR(__xludf.DUMMYFUNCTION("""COMPUTED_VALUE"""),"RSC006784")</f>
        <v>RSC006784</v>
      </c>
      <c r="B6757" s="41" t="str">
        <f>IFERROR(__xludf.DUMMYFUNCTION("""COMPUTED_VALUE"""),"KittyMeowMeow360")</f>
        <v>KittyMeowMeow360</v>
      </c>
    </row>
    <row r="6758">
      <c r="A6758" s="41" t="str">
        <f>IFERROR(__xludf.DUMMYFUNCTION("""COMPUTED_VALUE"""),"RSC006785")</f>
        <v>RSC006785</v>
      </c>
      <c r="B6758" s="41" t="str">
        <f>IFERROR(__xludf.DUMMYFUNCTION("""COMPUTED_VALUE"""),"Plumato")</f>
        <v>Plumato</v>
      </c>
    </row>
    <row r="6759">
      <c r="A6759" s="41" t="str">
        <f>IFERROR(__xludf.DUMMYFUNCTION("""COMPUTED_VALUE"""),"RSC006786")</f>
        <v>RSC006786</v>
      </c>
      <c r="B6759" s="41" t="str">
        <f>IFERROR(__xludf.DUMMYFUNCTION("""COMPUTED_VALUE"""),"scoüt.")</f>
        <v>scoüt.</v>
      </c>
    </row>
    <row r="6760">
      <c r="A6760" s="41" t="str">
        <f>IFERROR(__xludf.DUMMYFUNCTION("""COMPUTED_VALUE"""),"RSC006787")</f>
        <v>RSC006787</v>
      </c>
      <c r="B6760" s="41" t="str">
        <f>IFERROR(__xludf.DUMMYFUNCTION("""COMPUTED_VALUE"""),"Sticks")</f>
        <v>Sticks</v>
      </c>
    </row>
    <row r="6761">
      <c r="A6761" s="41" t="str">
        <f>IFERROR(__xludf.DUMMYFUNCTION("""COMPUTED_VALUE"""),"RSC006788")</f>
        <v>RSC006788</v>
      </c>
      <c r="B6761" s="41" t="str">
        <f>IFERROR(__xludf.DUMMYFUNCTION("""COMPUTED_VALUE"""),"Knights_Splash")</f>
        <v>Knights_Splash</v>
      </c>
    </row>
    <row r="6762">
      <c r="A6762" s="41" t="str">
        <f>IFERROR(__xludf.DUMMYFUNCTION("""COMPUTED_VALUE"""),"RSC006789")</f>
        <v>RSC006789</v>
      </c>
      <c r="B6762" s="41" t="str">
        <f>IFERROR(__xludf.DUMMYFUNCTION("""COMPUTED_VALUE"""),"Danish.-")</f>
        <v>Danish.-</v>
      </c>
    </row>
    <row r="6763">
      <c r="A6763" s="41" t="str">
        <f>IFERROR(__xludf.DUMMYFUNCTION("""COMPUTED_VALUE"""),"RSC006790")</f>
        <v>RSC006790</v>
      </c>
      <c r="B6763" s="41" t="str">
        <f>IFERROR(__xludf.DUMMYFUNCTION("""COMPUTED_VALUE"""),"B_Fahe7")</f>
        <v>B_Fahe7</v>
      </c>
    </row>
    <row r="6764">
      <c r="A6764" s="41" t="str">
        <f>IFERROR(__xludf.DUMMYFUNCTION("""COMPUTED_VALUE"""),"RSC006791")</f>
        <v>RSC006791</v>
      </c>
      <c r="B6764" s="41" t="str">
        <f>IFERROR(__xludf.DUMMYFUNCTION("""COMPUTED_VALUE"""),"ItzaBoan")</f>
        <v>ItzaBoan</v>
      </c>
    </row>
    <row r="6765">
      <c r="A6765" s="41" t="str">
        <f>IFERROR(__xludf.DUMMYFUNCTION("""COMPUTED_VALUE"""),"RSC006792")</f>
        <v>RSC006792</v>
      </c>
      <c r="B6765" s="41" t="str">
        <f>IFERROR(__xludf.DUMMYFUNCTION("""COMPUTED_VALUE"""),"MetalHalo")</f>
        <v>MetalHalo</v>
      </c>
    </row>
    <row r="6766">
      <c r="A6766" s="41" t="str">
        <f>IFERROR(__xludf.DUMMYFUNCTION("""COMPUTED_VALUE"""),"RSC006793")</f>
        <v>RSC006793</v>
      </c>
      <c r="B6766" s="41" t="str">
        <f>IFERROR(__xludf.DUMMYFUNCTION("""COMPUTED_VALUE"""),"Yogibear8003")</f>
        <v>Yogibear8003</v>
      </c>
    </row>
    <row r="6767">
      <c r="A6767" s="41" t="str">
        <f>IFERROR(__xludf.DUMMYFUNCTION("""COMPUTED_VALUE"""),"RSC006794")</f>
        <v>RSC006794</v>
      </c>
      <c r="B6767" s="41" t="str">
        <f>IFERROR(__xludf.DUMMYFUNCTION("""COMPUTED_VALUE"""),"HI7MAN305")</f>
        <v>HI7MAN305</v>
      </c>
    </row>
    <row r="6768">
      <c r="A6768" s="41" t="str">
        <f>IFERROR(__xludf.DUMMYFUNCTION("""COMPUTED_VALUE"""),"RSC006795")</f>
        <v>RSC006795</v>
      </c>
      <c r="B6768" s="41" t="str">
        <f>IFERROR(__xludf.DUMMYFUNCTION("""COMPUTED_VALUE"""),"Rsty")</f>
        <v>Rsty</v>
      </c>
    </row>
    <row r="6769">
      <c r="A6769" s="41" t="str">
        <f>IFERROR(__xludf.DUMMYFUNCTION("""COMPUTED_VALUE"""),"RSC006796")</f>
        <v>RSC006796</v>
      </c>
      <c r="B6769" s="41" t="str">
        <f>IFERROR(__xludf.DUMMYFUNCTION("""COMPUTED_VALUE"""),"Ethanos")</f>
        <v>Ethanos</v>
      </c>
    </row>
    <row r="6770">
      <c r="A6770" s="41" t="str">
        <f>IFERROR(__xludf.DUMMYFUNCTION("""COMPUTED_VALUE"""),"RSC006797")</f>
        <v>RSC006797</v>
      </c>
      <c r="B6770" s="41" t="str">
        <f>IFERROR(__xludf.DUMMYFUNCTION("""COMPUTED_VALUE"""),"The-Manimal")</f>
        <v>The-Manimal</v>
      </c>
    </row>
    <row r="6771">
      <c r="A6771" s="41" t="str">
        <f>IFERROR(__xludf.DUMMYFUNCTION("""COMPUTED_VALUE"""),"RSC006798")</f>
        <v>RSC006798</v>
      </c>
      <c r="B6771" s="41" t="str">
        <f>IFERROR(__xludf.DUMMYFUNCTION("""COMPUTED_VALUE"""),"Ixy qt")</f>
        <v>Ixy qt</v>
      </c>
    </row>
    <row r="6772">
      <c r="A6772" s="41" t="str">
        <f>IFERROR(__xludf.DUMMYFUNCTION("""COMPUTED_VALUE"""),"RSC006799")</f>
        <v>RSC006799</v>
      </c>
      <c r="B6772" s="41" t="str">
        <f>IFERROR(__xludf.DUMMYFUNCTION("""COMPUTED_VALUE"""),"DRG LOR4")</f>
        <v>DRG LOR4</v>
      </c>
    </row>
    <row r="6773">
      <c r="A6773" s="41" t="str">
        <f>IFERROR(__xludf.DUMMYFUNCTION("""COMPUTED_VALUE"""),"RSC006800")</f>
        <v>RSC006800</v>
      </c>
      <c r="B6773" s="41" t="str">
        <f>IFERROR(__xludf.DUMMYFUNCTION("""COMPUTED_VALUE"""),"SHHHM3LLIT")</f>
        <v>SHHHM3LLIT</v>
      </c>
    </row>
    <row r="6774">
      <c r="A6774" s="41" t="str">
        <f>IFERROR(__xludf.DUMMYFUNCTION("""COMPUTED_VALUE"""),"RSC006801")</f>
        <v>RSC006801</v>
      </c>
      <c r="B6774" s="41" t="str">
        <f>IFERROR(__xludf.DUMMYFUNCTION("""COMPUTED_VALUE"""),"Shadow___Marco")</f>
        <v>Shadow___Marco</v>
      </c>
    </row>
    <row r="6775">
      <c r="A6775" s="41" t="str">
        <f>IFERROR(__xludf.DUMMYFUNCTION("""COMPUTED_VALUE"""),"RSC006802")</f>
        <v>RSC006802</v>
      </c>
      <c r="B6775" s="41" t="str">
        <f>IFERROR(__xludf.DUMMYFUNCTION("""COMPUTED_VALUE"""),"TSG ICY2587")</f>
        <v>TSG ICY2587</v>
      </c>
    </row>
    <row r="6776">
      <c r="A6776" s="41" t="str">
        <f>IFERROR(__xludf.DUMMYFUNCTION("""COMPUTED_VALUE"""),"RSC006803")</f>
        <v>RSC006803</v>
      </c>
      <c r="B6776" s="41" t="str">
        <f>IFERROR(__xludf.DUMMYFUNCTION("""COMPUTED_VALUE"""),"Dyster")</f>
        <v>Dyster</v>
      </c>
    </row>
    <row r="6777">
      <c r="A6777" s="41" t="str">
        <f>IFERROR(__xludf.DUMMYFUNCTION("""COMPUTED_VALUE"""),"RSC006804")</f>
        <v>RSC006804</v>
      </c>
      <c r="B6777" s="41" t="str">
        <f>IFERROR(__xludf.DUMMYFUNCTION("""COMPUTED_VALUE"""),"Dowski_")</f>
        <v>Dowski_</v>
      </c>
    </row>
    <row r="6778">
      <c r="A6778" s="41" t="str">
        <f>IFERROR(__xludf.DUMMYFUNCTION("""COMPUTED_VALUE"""),"RSC006805")</f>
        <v>RSC006805</v>
      </c>
      <c r="B6778" s="41" t="str">
        <f>IFERROR(__xludf.DUMMYFUNCTION("""COMPUTED_VALUE"""),"Vertigo.ENVY")</f>
        <v>Vertigo.ENVY</v>
      </c>
    </row>
    <row r="6779">
      <c r="A6779" s="41" t="str">
        <f>IFERROR(__xludf.DUMMYFUNCTION("""COMPUTED_VALUE"""),"RSC006806")</f>
        <v>RSC006806</v>
      </c>
      <c r="B6779" s="41" t="str">
        <f>IFERROR(__xludf.DUMMYFUNCTION("""COMPUTED_VALUE"""),"Kyro.-._.")</f>
        <v>Kyro.-._.</v>
      </c>
    </row>
    <row r="6780">
      <c r="A6780" s="41" t="str">
        <f>IFERROR(__xludf.DUMMYFUNCTION("""COMPUTED_VALUE"""),"RSC006807")</f>
        <v>RSC006807</v>
      </c>
      <c r="B6780" s="41" t="str">
        <f>IFERROR(__xludf.DUMMYFUNCTION("""COMPUTED_VALUE"""),"IM_JUST_BETTERrl")</f>
        <v>IM_JUST_BETTERrl</v>
      </c>
    </row>
    <row r="6781">
      <c r="A6781" s="41" t="str">
        <f>IFERROR(__xludf.DUMMYFUNCTION("""COMPUTED_VALUE"""),"RSC006808")</f>
        <v>RSC006808</v>
      </c>
      <c r="B6781" s="41" t="str">
        <f>IFERROR(__xludf.DUMMYFUNCTION("""COMPUTED_VALUE"""),"Garretts46")</f>
        <v>Garretts46</v>
      </c>
    </row>
    <row r="6782">
      <c r="A6782" s="41" t="str">
        <f>IFERROR(__xludf.DUMMYFUNCTION("""COMPUTED_VALUE"""),"RSC006809")</f>
        <v>RSC006809</v>
      </c>
      <c r="B6782" s="41" t="str">
        <f>IFERROR(__xludf.DUMMYFUNCTION("""COMPUTED_VALUE"""),"KJ (change)")</f>
        <v>KJ (change)</v>
      </c>
    </row>
    <row r="6783">
      <c r="A6783" s="41" t="str">
        <f>IFERROR(__xludf.DUMMYFUNCTION("""COMPUTED_VALUE"""),"RSC006810")</f>
        <v>RSC006810</v>
      </c>
      <c r="B6783" s="41" t="str">
        <f>IFERROR(__xludf.DUMMYFUNCTION("""COMPUTED_VALUE"""),"SynK Reaper")</f>
        <v>SynK Reaper</v>
      </c>
    </row>
    <row r="6784">
      <c r="A6784" s="41" t="str">
        <f>IFERROR(__xludf.DUMMYFUNCTION("""COMPUTED_VALUE"""),"RSC006811")</f>
        <v>RSC006811</v>
      </c>
      <c r="B6784" s="41" t="str">
        <f>IFERROR(__xludf.DUMMYFUNCTION("""COMPUTED_VALUE"""),"atomic-branch97")</f>
        <v>atomic-branch97</v>
      </c>
    </row>
    <row r="6785">
      <c r="A6785" s="41" t="str">
        <f>IFERROR(__xludf.DUMMYFUNCTION("""COMPUTED_VALUE"""),"RSC006812")</f>
        <v>RSC006812</v>
      </c>
      <c r="B6785" s="41" t="str">
        <f>IFERROR(__xludf.DUMMYFUNCTION("""COMPUTED_VALUE"""),"Bryce_XI")</f>
        <v>Bryce_XI</v>
      </c>
    </row>
    <row r="6786">
      <c r="A6786" s="41" t="str">
        <f>IFERROR(__xludf.DUMMYFUNCTION("""COMPUTED_VALUE"""),"RSC006813")</f>
        <v>RSC006813</v>
      </c>
      <c r="B6786" s="41" t="str">
        <f>IFERROR(__xludf.DUMMYFUNCTION("""COMPUTED_VALUE"""),"Nero")</f>
        <v>Nero</v>
      </c>
    </row>
    <row r="6787">
      <c r="A6787" s="41" t="str">
        <f>IFERROR(__xludf.DUMMYFUNCTION("""COMPUTED_VALUE"""),"RSC006814")</f>
        <v>RSC006814</v>
      </c>
      <c r="B6787" s="41" t="str">
        <f>IFERROR(__xludf.DUMMYFUNCTION("""COMPUTED_VALUE"""),"Oksano.-")</f>
        <v>Oksano.-</v>
      </c>
    </row>
    <row r="6788">
      <c r="A6788" s="41" t="str">
        <f>IFERROR(__xludf.DUMMYFUNCTION("""COMPUTED_VALUE"""),"RSC006815")</f>
        <v>RSC006815</v>
      </c>
      <c r="B6788" s="41" t="str">
        <f>IFERROR(__xludf.DUMMYFUNCTION("""COMPUTED_VALUE"""),"infinite gucci1")</f>
        <v>infinite gucci1</v>
      </c>
    </row>
    <row r="6789">
      <c r="A6789" s="41" t="str">
        <f>IFERROR(__xludf.DUMMYFUNCTION("""COMPUTED_VALUE"""),"RSC006816")</f>
        <v>RSC006816</v>
      </c>
      <c r="B6789" s="41" t="str">
        <f>IFERROR(__xludf.DUMMYFUNCTION("""COMPUTED_VALUE"""),"Skydiver5432")</f>
        <v>Skydiver5432</v>
      </c>
    </row>
    <row r="6790">
      <c r="A6790" s="41" t="str">
        <f>IFERROR(__xludf.DUMMYFUNCTION("""COMPUTED_VALUE"""),"RSC006817")</f>
        <v>RSC006817</v>
      </c>
      <c r="B6790" s="41" t="str">
        <f>IFERROR(__xludf.DUMMYFUNCTION("""COMPUTED_VALUE"""),"Froz3nSlack5r")</f>
        <v>Froz3nSlack5r</v>
      </c>
    </row>
    <row r="6791">
      <c r="A6791" s="41" t="str">
        <f>IFERROR(__xludf.DUMMYFUNCTION("""COMPUTED_VALUE"""),"RSC006818")</f>
        <v>RSC006818</v>
      </c>
      <c r="B6791" s="41" t="str">
        <f>IFERROR(__xludf.DUMMYFUNCTION("""COMPUTED_VALUE"""),"twistyexocore13")</f>
        <v>twistyexocore13</v>
      </c>
    </row>
    <row r="6792">
      <c r="A6792" s="41" t="str">
        <f>IFERROR(__xludf.DUMMYFUNCTION("""COMPUTED_VALUE"""),"RSC006819")</f>
        <v>RSC006819</v>
      </c>
      <c r="B6792" s="41" t="str">
        <f>IFERROR(__xludf.DUMMYFUNCTION("""COMPUTED_VALUE"""),"Sk33ter88")</f>
        <v>Sk33ter88</v>
      </c>
    </row>
    <row r="6793">
      <c r="A6793" s="41" t="str">
        <f>IFERROR(__xludf.DUMMYFUNCTION("""COMPUTED_VALUE"""),"RSC006820")</f>
        <v>RSC006820</v>
      </c>
      <c r="B6793" s="41" t="str">
        <f>IFERROR(__xludf.DUMMYFUNCTION("""COMPUTED_VALUE"""),"Just Zainnox")</f>
        <v>Just Zainnox</v>
      </c>
    </row>
    <row r="6794">
      <c r="A6794" s="41" t="str">
        <f>IFERROR(__xludf.DUMMYFUNCTION("""COMPUTED_VALUE"""),"RSC006821")</f>
        <v>RSC006821</v>
      </c>
      <c r="B6794" s="41" t="str">
        <f>IFERROR(__xludf.DUMMYFUNCTION("""COMPUTED_VALUE"""),"Ch3f Murry")</f>
        <v>Ch3f Murry</v>
      </c>
    </row>
    <row r="6795">
      <c r="A6795" s="41" t="str">
        <f>IFERROR(__xludf.DUMMYFUNCTION("""COMPUTED_VALUE"""),"RSC006822")</f>
        <v>RSC006822</v>
      </c>
      <c r="B6795" s="41" t="str">
        <f>IFERROR(__xludf.DUMMYFUNCTION("""COMPUTED_VALUE"""),"itsu_desu")</f>
        <v>itsu_desu</v>
      </c>
    </row>
    <row r="6796">
      <c r="A6796" s="41" t="str">
        <f>IFERROR(__xludf.DUMMYFUNCTION("""COMPUTED_VALUE"""),"RSC006823")</f>
        <v>RSC006823</v>
      </c>
      <c r="B6796" s="41" t="str">
        <f>IFERROR(__xludf.DUMMYFUNCTION("""COMPUTED_VALUE"""),"Onirltv")</f>
        <v>Onirltv</v>
      </c>
    </row>
    <row r="6797">
      <c r="A6797" s="41" t="str">
        <f>IFERROR(__xludf.DUMMYFUNCTION("""COMPUTED_VALUE"""),"RSC006824")</f>
        <v>RSC006824</v>
      </c>
      <c r="B6797" s="41" t="str">
        <f>IFERROR(__xludf.DUMMYFUNCTION("""COMPUTED_VALUE"""),"SirGyniThe69th")</f>
        <v>SirGyniThe69th</v>
      </c>
    </row>
    <row r="6798">
      <c r="A6798" s="41" t="str">
        <f>IFERROR(__xludf.DUMMYFUNCTION("""COMPUTED_VALUE"""),"RSC006825")</f>
        <v>RSC006825</v>
      </c>
      <c r="B6798" s="41" t="str">
        <f>IFERROR(__xludf.DUMMYFUNCTION("""COMPUTED_VALUE"""),"Jonahmn")</f>
        <v>Jonahmn</v>
      </c>
    </row>
    <row r="6799">
      <c r="A6799" s="41" t="str">
        <f>IFERROR(__xludf.DUMMYFUNCTION("""COMPUTED_VALUE"""),"RSC006826")</f>
        <v>RSC006826</v>
      </c>
      <c r="B6799" s="41" t="str">
        <f>IFERROR(__xludf.DUMMYFUNCTION("""COMPUTED_VALUE"""),"Rambles")</f>
        <v>Rambles</v>
      </c>
    </row>
    <row r="6800">
      <c r="A6800" s="41" t="str">
        <f>IFERROR(__xludf.DUMMYFUNCTION("""COMPUTED_VALUE"""),"RSC006827")</f>
        <v>RSC006827</v>
      </c>
      <c r="B6800" s="41" t="str">
        <f>IFERROR(__xludf.DUMMYFUNCTION("""COMPUTED_VALUE"""),"404bubu.")</f>
        <v>404bubu.</v>
      </c>
    </row>
    <row r="6801">
      <c r="A6801" s="41" t="str">
        <f>IFERROR(__xludf.DUMMYFUNCTION("""COMPUTED_VALUE"""),"RSC006828")</f>
        <v>RSC006828</v>
      </c>
      <c r="B6801" s="41" t="str">
        <f>IFERROR(__xludf.DUMMYFUNCTION("""COMPUTED_VALUE"""),"B00N_RL")</f>
        <v>B00N_RL</v>
      </c>
    </row>
    <row r="6802">
      <c r="A6802" s="41" t="str">
        <f>IFERROR(__xludf.DUMMYFUNCTION("""COMPUTED_VALUE"""),"RSC006829")</f>
        <v>RSC006829</v>
      </c>
      <c r="B6802" s="41" t="str">
        <f>IFERROR(__xludf.DUMMYFUNCTION("""COMPUTED_VALUE"""),"Pad1wanX")</f>
        <v>Pad1wanX</v>
      </c>
    </row>
    <row r="6803">
      <c r="A6803" s="41" t="str">
        <f>IFERROR(__xludf.DUMMYFUNCTION("""COMPUTED_VALUE"""),"RSC006830")</f>
        <v>RSC006830</v>
      </c>
      <c r="B6803" s="41" t="str">
        <f>IFERROR(__xludf.DUMMYFUNCTION("""COMPUTED_VALUE"""),"Jibaro_Kabron")</f>
        <v>Jibaro_Kabron</v>
      </c>
    </row>
    <row r="6804">
      <c r="A6804" s="41" t="str">
        <f>IFERROR(__xludf.DUMMYFUNCTION("""COMPUTED_VALUE"""),"RSC006831")</f>
        <v>RSC006831</v>
      </c>
      <c r="B6804" s="41" t="str">
        <f>IFERROR(__xludf.DUMMYFUNCTION("""COMPUTED_VALUE"""),"max.")</f>
        <v>max.</v>
      </c>
    </row>
    <row r="6805">
      <c r="A6805" s="41" t="str">
        <f>IFERROR(__xludf.DUMMYFUNCTION("""COMPUTED_VALUE"""),"RSC006832")</f>
        <v>RSC006832</v>
      </c>
      <c r="B6805" s="41" t="str">
        <f>IFERROR(__xludf.DUMMYFUNCTION("""COMPUTED_VALUE"""),"Pandaliciously")</f>
        <v>Pandaliciously</v>
      </c>
    </row>
    <row r="6806">
      <c r="A6806" s="41" t="str">
        <f>IFERROR(__xludf.DUMMYFUNCTION("""COMPUTED_VALUE"""),"RSC006833")</f>
        <v>RSC006833</v>
      </c>
      <c r="B6806" s="41" t="str">
        <f>IFERROR(__xludf.DUMMYFUNCTION("""COMPUTED_VALUE"""),"skateboard_pete")</f>
        <v>skateboard_pete</v>
      </c>
    </row>
    <row r="6807">
      <c r="A6807" s="41" t="str">
        <f>IFERROR(__xludf.DUMMYFUNCTION("""COMPUTED_VALUE"""),"RSC006834")</f>
        <v>RSC006834</v>
      </c>
      <c r="B6807" s="41" t="str">
        <f>IFERROR(__xludf.DUMMYFUNCTION("""COMPUTED_VALUE"""),"Str0ng")</f>
        <v>Str0ng</v>
      </c>
    </row>
    <row r="6808">
      <c r="A6808" s="41" t="str">
        <f>IFERROR(__xludf.DUMMYFUNCTION("""COMPUTED_VALUE"""),"RSC006835")</f>
        <v>RSC006835</v>
      </c>
      <c r="B6808" s="41" t="str">
        <f>IFERROR(__xludf.DUMMYFUNCTION("""COMPUTED_VALUE"""),"xTapsol")</f>
        <v>xTapsol</v>
      </c>
    </row>
    <row r="6809">
      <c r="A6809" s="41" t="str">
        <f>IFERROR(__xludf.DUMMYFUNCTION("""COMPUTED_VALUE"""),"RSC006836")</f>
        <v>RSC006836</v>
      </c>
      <c r="B6809" s="41" t="str">
        <f>IFERROR(__xludf.DUMMYFUNCTION("""COMPUTED_VALUE"""),"BawaRL")</f>
        <v>BawaRL</v>
      </c>
    </row>
    <row r="6810">
      <c r="A6810" s="41" t="str">
        <f>IFERROR(__xludf.DUMMYFUNCTION("""COMPUTED_VALUE"""),"RSC006837")</f>
        <v>RSC006837</v>
      </c>
      <c r="B6810" s="41" t="str">
        <f>IFERROR(__xludf.DUMMYFUNCTION("""COMPUTED_VALUE"""),"SkaiRebel")</f>
        <v>SkaiRebel</v>
      </c>
    </row>
    <row r="6811">
      <c r="A6811" s="41" t="str">
        <f>IFERROR(__xludf.DUMMYFUNCTION("""COMPUTED_VALUE"""),"RSC006838")</f>
        <v>RSC006838</v>
      </c>
      <c r="B6811" s="41" t="str">
        <f>IFERROR(__xludf.DUMMYFUNCTION("""COMPUTED_VALUE"""),"ZachOff")</f>
        <v>ZachOff</v>
      </c>
    </row>
    <row r="6812">
      <c r="A6812" s="41" t="str">
        <f>IFERROR(__xludf.DUMMYFUNCTION("""COMPUTED_VALUE"""),"RSC006839")</f>
        <v>RSC006839</v>
      </c>
      <c r="B6812" s="41" t="str">
        <f>IFERROR(__xludf.DUMMYFUNCTION("""COMPUTED_VALUE"""),"cloudcakey")</f>
        <v>cloudcakey</v>
      </c>
    </row>
    <row r="6813">
      <c r="A6813" s="41" t="str">
        <f>IFERROR(__xludf.DUMMYFUNCTION("""COMPUTED_VALUE"""),"RSC006840")</f>
        <v>RSC006840</v>
      </c>
      <c r="B6813" s="41" t="str">
        <f>IFERROR(__xludf.DUMMYFUNCTION("""COMPUTED_VALUE"""),"Arzenalµ")</f>
        <v>Arzenalµ</v>
      </c>
    </row>
    <row r="6814">
      <c r="A6814" s="41" t="str">
        <f>IFERROR(__xludf.DUMMYFUNCTION("""COMPUTED_VALUE"""),"RSC006841")</f>
        <v>RSC006841</v>
      </c>
      <c r="B6814" s="41" t="str">
        <f>IFERROR(__xludf.DUMMYFUNCTION("""COMPUTED_VALUE"""),"MJ")</f>
        <v>MJ</v>
      </c>
    </row>
    <row r="6815">
      <c r="A6815" s="41" t="str">
        <f>IFERROR(__xludf.DUMMYFUNCTION("""COMPUTED_VALUE"""),"RSC006842")</f>
        <v>RSC006842</v>
      </c>
      <c r="B6815" s="41" t="str">
        <f>IFERROR(__xludf.DUMMYFUNCTION("""COMPUTED_VALUE"""),"WRXtasy")</f>
        <v>WRXtasy</v>
      </c>
    </row>
    <row r="6816">
      <c r="A6816" s="41" t="str">
        <f>IFERROR(__xludf.DUMMYFUNCTION("""COMPUTED_VALUE"""),"RSC006843")</f>
        <v>RSC006843</v>
      </c>
      <c r="B6816" s="41" t="str">
        <f>IFERROR(__xludf.DUMMYFUNCTION("""COMPUTED_VALUE"""),"josielinkly")</f>
        <v>josielinkly</v>
      </c>
    </row>
    <row r="6817">
      <c r="A6817" s="41" t="str">
        <f>IFERROR(__xludf.DUMMYFUNCTION("""COMPUTED_VALUE"""),"RSC006844")</f>
        <v>RSC006844</v>
      </c>
      <c r="B6817" s="41" t="str">
        <f>IFERROR(__xludf.DUMMYFUNCTION("""COMPUTED_VALUE"""),"Papa FRANKUWU")</f>
        <v>Papa FRANKUWU</v>
      </c>
    </row>
    <row r="6818">
      <c r="A6818" s="41" t="str">
        <f>IFERROR(__xludf.DUMMYFUNCTION("""COMPUTED_VALUE"""),"RSC006845")</f>
        <v>RSC006845</v>
      </c>
      <c r="B6818" s="41" t="str">
        <f>IFERROR(__xludf.DUMMYFUNCTION("""COMPUTED_VALUE"""),"cjeske")</f>
        <v>cjeske</v>
      </c>
    </row>
    <row r="6819">
      <c r="A6819" s="41" t="str">
        <f>IFERROR(__xludf.DUMMYFUNCTION("""COMPUTED_VALUE"""),"RSC006846")</f>
        <v>RSC006846</v>
      </c>
      <c r="B6819" s="41" t="str">
        <f>IFERROR(__xludf.DUMMYFUNCTION("""COMPUTED_VALUE"""),"blitz0001")</f>
        <v>blitz0001</v>
      </c>
    </row>
    <row r="6820">
      <c r="A6820" s="41" t="str">
        <f>IFERROR(__xludf.DUMMYFUNCTION("""COMPUTED_VALUE"""),"RSC006847")</f>
        <v>RSC006847</v>
      </c>
      <c r="B6820" s="41" t="str">
        <f>IFERROR(__xludf.DUMMYFUNCTION("""COMPUTED_VALUE"""),"0lam")</f>
        <v>0lam</v>
      </c>
    </row>
    <row r="6821">
      <c r="A6821" s="41" t="str">
        <f>IFERROR(__xludf.DUMMYFUNCTION("""COMPUTED_VALUE"""),"RSC006848")</f>
        <v>RSC006848</v>
      </c>
      <c r="B6821" s="41" t="str">
        <f>IFERROR(__xludf.DUMMYFUNCTION("""COMPUTED_VALUE"""),"destinehater")</f>
        <v>destinehater</v>
      </c>
    </row>
    <row r="6822">
      <c r="A6822" s="41" t="str">
        <f>IFERROR(__xludf.DUMMYFUNCTION("""COMPUTED_VALUE"""),"RSC006849")</f>
        <v>RSC006849</v>
      </c>
      <c r="B6822" s="41" t="str">
        <f>IFERROR(__xludf.DUMMYFUNCTION("""COMPUTED_VALUE"""),"cmxnk")</f>
        <v>cmxnk</v>
      </c>
    </row>
    <row r="6823">
      <c r="A6823" s="41" t="str">
        <f>IFERROR(__xludf.DUMMYFUNCTION("""COMPUTED_VALUE"""),"RSC006850")</f>
        <v>RSC006850</v>
      </c>
      <c r="B6823" s="41" t="str">
        <f>IFERROR(__xludf.DUMMYFUNCTION("""COMPUTED_VALUE"""),"gonzo.56")</f>
        <v>gonzo.56</v>
      </c>
    </row>
    <row r="6824">
      <c r="A6824" s="41" t="str">
        <f>IFERROR(__xludf.DUMMYFUNCTION("""COMPUTED_VALUE"""),"RSC006851")</f>
        <v>RSC006851</v>
      </c>
      <c r="B6824" s="41" t="str">
        <f>IFERROR(__xludf.DUMMYFUNCTION("""COMPUTED_VALUE"""),"dragonking2192")</f>
        <v>dragonking2192</v>
      </c>
    </row>
    <row r="6825">
      <c r="A6825" s="41" t="str">
        <f>IFERROR(__xludf.DUMMYFUNCTION("""COMPUTED_VALUE"""),"RSC006852")</f>
        <v>RSC006852</v>
      </c>
      <c r="B6825" s="41" t="str">
        <f>IFERROR(__xludf.DUMMYFUNCTION("""COMPUTED_VALUE"""),"_.killua._")</f>
        <v>_.killua._</v>
      </c>
    </row>
    <row r="6826">
      <c r="A6826" s="41" t="str">
        <f>IFERROR(__xludf.DUMMYFUNCTION("""COMPUTED_VALUE"""),"RSC006853")</f>
        <v>RSC006853</v>
      </c>
      <c r="B6826" s="41" t="str">
        <f>IFERROR(__xludf.DUMMYFUNCTION("""COMPUTED_VALUE"""),"a_wolf1")</f>
        <v>a_wolf1</v>
      </c>
    </row>
    <row r="6827">
      <c r="A6827" s="41" t="str">
        <f>IFERROR(__xludf.DUMMYFUNCTION("""COMPUTED_VALUE"""),"RSC006854")</f>
        <v>RSC006854</v>
      </c>
      <c r="B6827" s="41" t="str">
        <f>IFERROR(__xludf.DUMMYFUNCTION("""COMPUTED_VALUE"""),"ericshunjr")</f>
        <v>ericshunjr</v>
      </c>
    </row>
    <row r="6828">
      <c r="A6828" s="41" t="str">
        <f>IFERROR(__xludf.DUMMYFUNCTION("""COMPUTED_VALUE"""),"RSC006855")</f>
        <v>RSC006855</v>
      </c>
      <c r="B6828" s="41" t="str">
        <f>IFERROR(__xludf.DUMMYFUNCTION("""COMPUTED_VALUE"""),"formercarebear.")</f>
        <v>formercarebear.</v>
      </c>
    </row>
    <row r="6829">
      <c r="A6829" s="41" t="str">
        <f>IFERROR(__xludf.DUMMYFUNCTION("""COMPUTED_VALUE"""),"RSC006856")</f>
        <v>RSC006856</v>
      </c>
      <c r="B6829" s="41" t="str">
        <f>IFERROR(__xludf.DUMMYFUNCTION("""COMPUTED_VALUE"""),"Toad_Boot")</f>
        <v>Toad_Boot</v>
      </c>
    </row>
    <row r="6830">
      <c r="A6830" s="41" t="str">
        <f>IFERROR(__xludf.DUMMYFUNCTION("""COMPUTED_VALUE"""),"RSC006857")</f>
        <v>RSC006857</v>
      </c>
      <c r="B6830" s="41" t="str">
        <f>IFERROR(__xludf.DUMMYFUNCTION("""COMPUTED_VALUE"""),".thatguyjerry")</f>
        <v>.thatguyjerry</v>
      </c>
    </row>
    <row r="6831">
      <c r="A6831" s="41" t="str">
        <f>IFERROR(__xludf.DUMMYFUNCTION("""COMPUTED_VALUE"""),"RSC006858")</f>
        <v>RSC006858</v>
      </c>
      <c r="B6831" s="41" t="str">
        <f>IFERROR(__xludf.DUMMYFUNCTION("""COMPUTED_VALUE"""),"bangie_")</f>
        <v>bangie_</v>
      </c>
    </row>
    <row r="6832">
      <c r="A6832" s="41" t="str">
        <f>IFERROR(__xludf.DUMMYFUNCTION("""COMPUTED_VALUE"""),"RSC006859")</f>
        <v>RSC006859</v>
      </c>
      <c r="B6832" s="41" t="str">
        <f>IFERROR(__xludf.DUMMYFUNCTION("""COMPUTED_VALUE"""),"PHS.mxstic")</f>
        <v>PHS.mxstic</v>
      </c>
    </row>
    <row r="6833">
      <c r="A6833" s="41" t="str">
        <f>IFERROR(__xludf.DUMMYFUNCTION("""COMPUTED_VALUE"""),"RSC006860")</f>
        <v>RSC006860</v>
      </c>
      <c r="B6833" s="41" t="str">
        <f>IFERROR(__xludf.DUMMYFUNCTION("""COMPUTED_VALUE"""),"RyAndGav")</f>
        <v>RyAndGav</v>
      </c>
    </row>
    <row r="6834">
      <c r="A6834" s="41" t="str">
        <f>IFERROR(__xludf.DUMMYFUNCTION("""COMPUTED_VALUE"""),"RSC006861")</f>
        <v>RSC006861</v>
      </c>
      <c r="B6834" s="41" t="str">
        <f>IFERROR(__xludf.DUMMYFUNCTION("""COMPUTED_VALUE"""),"Bangerang")</f>
        <v>Bangerang</v>
      </c>
    </row>
    <row r="6835">
      <c r="A6835" s="41" t="str">
        <f>IFERROR(__xludf.DUMMYFUNCTION("""COMPUTED_VALUE"""),"RSC006863")</f>
        <v>RSC006863</v>
      </c>
      <c r="B6835" s="41" t="str">
        <f>IFERROR(__xludf.DUMMYFUNCTION("""COMPUTED_VALUE"""),"Lt. Dan  Band")</f>
        <v>Lt. Dan  Band</v>
      </c>
    </row>
    <row r="6836">
      <c r="A6836" s="41" t="str">
        <f>IFERROR(__xludf.DUMMYFUNCTION("""COMPUTED_VALUE"""),"RSC006864")</f>
        <v>RSC006864</v>
      </c>
      <c r="B6836" s="41" t="str">
        <f>IFERROR(__xludf.DUMMYFUNCTION("""COMPUTED_VALUE"""),"Hydro (change)")</f>
        <v>Hydro (change)</v>
      </c>
    </row>
    <row r="6837">
      <c r="A6837" s="41" t="str">
        <f>IFERROR(__xludf.DUMMYFUNCTION("""COMPUTED_VALUE"""),"RSC006865")</f>
        <v>RSC006865</v>
      </c>
      <c r="B6837" s="41" t="str">
        <f>IFERROR(__xludf.DUMMYFUNCTION("""COMPUTED_VALUE"""),"The_boyjohn20")</f>
        <v>The_boyjohn20</v>
      </c>
    </row>
    <row r="6838">
      <c r="A6838" s="41" t="str">
        <f>IFERROR(__xludf.DUMMYFUNCTION("""COMPUTED_VALUE"""),"RSC006866")</f>
        <v>RSC006866</v>
      </c>
      <c r="B6838" s="41" t="str">
        <f>IFERROR(__xludf.DUMMYFUNCTION("""COMPUTED_VALUE"""),"Stray")</f>
        <v>Stray</v>
      </c>
    </row>
    <row r="6839">
      <c r="A6839" s="41" t="str">
        <f>IFERROR(__xludf.DUMMYFUNCTION("""COMPUTED_VALUE"""),"RSC006867")</f>
        <v>RSC006867</v>
      </c>
      <c r="B6839" s="41" t="str">
        <f>IFERROR(__xludf.DUMMYFUNCTION("""COMPUTED_VALUE"""),"galaxyblaze81")</f>
        <v>galaxyblaze81</v>
      </c>
    </row>
    <row r="6840">
      <c r="A6840" s="41" t="str">
        <f>IFERROR(__xludf.DUMMYFUNCTION("""COMPUTED_VALUE"""),"RSC006868")</f>
        <v>RSC006868</v>
      </c>
      <c r="B6840" s="41" t="str">
        <f>IFERROR(__xludf.DUMMYFUNCTION("""COMPUTED_VALUE"""),"TraxStar_19")</f>
        <v>TraxStar_19</v>
      </c>
    </row>
    <row r="6841">
      <c r="A6841" s="41" t="str">
        <f>IFERROR(__xludf.DUMMYFUNCTION("""COMPUTED_VALUE"""),"RSC006869")</f>
        <v>RSC006869</v>
      </c>
      <c r="B6841" s="41" t="str">
        <f>IFERROR(__xludf.DUMMYFUNCTION("""COMPUTED_VALUE"""),"Flurry ^-^")</f>
        <v>Flurry ^-^</v>
      </c>
    </row>
    <row r="6842">
      <c r="A6842" s="41" t="str">
        <f>IFERROR(__xludf.DUMMYFUNCTION("""COMPUTED_VALUE"""),"RSC006870")</f>
        <v>RSC006870</v>
      </c>
      <c r="B6842" s="41" t="str">
        <f>IFERROR(__xludf.DUMMYFUNCTION("""COMPUTED_VALUE"""),"vaFweshT")</f>
        <v>vaFweshT</v>
      </c>
    </row>
    <row r="6843">
      <c r="A6843" s="41" t="str">
        <f>IFERROR(__xludf.DUMMYFUNCTION("""COMPUTED_VALUE"""),"RSC006871")</f>
        <v>RSC006871</v>
      </c>
      <c r="B6843" s="41" t="str">
        <f>IFERROR(__xludf.DUMMYFUNCTION("""COMPUTED_VALUE"""),"UniFir3_YT")</f>
        <v>UniFir3_YT</v>
      </c>
    </row>
    <row r="6844">
      <c r="A6844" s="41" t="str">
        <f>IFERROR(__xludf.DUMMYFUNCTION("""COMPUTED_VALUE"""),"RSC006872")</f>
        <v>RSC006872</v>
      </c>
      <c r="B6844" s="41" t="str">
        <f>IFERROR(__xludf.DUMMYFUNCTION("""COMPUTED_VALUE"""),"ProphetKnows")</f>
        <v>ProphetKnows</v>
      </c>
    </row>
    <row r="6845">
      <c r="A6845" s="41" t="str">
        <f>IFERROR(__xludf.DUMMYFUNCTION("""COMPUTED_VALUE"""),"RSC006873")</f>
        <v>RSC006873</v>
      </c>
      <c r="B6845" s="41" t="str">
        <f>IFERROR(__xludf.DUMMYFUNCTION("""COMPUTED_VALUE"""),"Lil og Boy4457")</f>
        <v>Lil og Boy4457</v>
      </c>
    </row>
    <row r="6846">
      <c r="A6846" s="41" t="str">
        <f>IFERROR(__xludf.DUMMYFUNCTION("""COMPUTED_VALUE"""),"RSC006874")</f>
        <v>RSC006874</v>
      </c>
      <c r="B6846" s="41" t="str">
        <f>IFERROR(__xludf.DUMMYFUNCTION("""COMPUTED_VALUE"""),"xtygg")</f>
        <v>xtygg</v>
      </c>
    </row>
    <row r="6847">
      <c r="A6847" s="41" t="str">
        <f>IFERROR(__xludf.DUMMYFUNCTION("""COMPUTED_VALUE"""),"RSC006875")</f>
        <v>RSC006875</v>
      </c>
      <c r="B6847" s="41" t="str">
        <f>IFERROR(__xludf.DUMMYFUNCTION("""COMPUTED_VALUE"""),"Bohl3RL")</f>
        <v>Bohl3RL</v>
      </c>
    </row>
    <row r="6848">
      <c r="A6848" s="41" t="str">
        <f>IFERROR(__xludf.DUMMYFUNCTION("""COMPUTED_VALUE"""),"RSC006876")</f>
        <v>RSC006876</v>
      </c>
      <c r="B6848" s="41" t="str">
        <f>IFERROR(__xludf.DUMMYFUNCTION("""COMPUTED_VALUE"""),"explosiveburro")</f>
        <v>explosiveburro</v>
      </c>
    </row>
    <row r="6849">
      <c r="A6849" s="41" t="str">
        <f>IFERROR(__xludf.DUMMYFUNCTION("""COMPUTED_VALUE"""),"RSC006877")</f>
        <v>RSC006877</v>
      </c>
      <c r="B6849" s="41" t="str">
        <f>IFERROR(__xludf.DUMMYFUNCTION("""COMPUTED_VALUE"""),"Jolt")</f>
        <v>Jolt</v>
      </c>
    </row>
    <row r="6850">
      <c r="A6850" s="41" t="str">
        <f>IFERROR(__xludf.DUMMYFUNCTION("""COMPUTED_VALUE"""),"RSC006878")</f>
        <v>RSC006878</v>
      </c>
      <c r="B6850" s="41" t="str">
        <f>IFERROR(__xludf.DUMMYFUNCTION("""COMPUTED_VALUE"""),"ekwote")</f>
        <v>ekwote</v>
      </c>
    </row>
    <row r="6851">
      <c r="A6851" s="41" t="str">
        <f>IFERROR(__xludf.DUMMYFUNCTION("""COMPUTED_VALUE"""),"RSC006879")</f>
        <v>RSC006879</v>
      </c>
      <c r="B6851" s="41" t="str">
        <f>IFERROR(__xludf.DUMMYFUNCTION("""COMPUTED_VALUE"""),"xLegohCams TTV")</f>
        <v>xLegohCams TTV</v>
      </c>
    </row>
    <row r="6852">
      <c r="A6852" s="41" t="str">
        <f>IFERROR(__xludf.DUMMYFUNCTION("""COMPUTED_VALUE"""),"RSC006880")</f>
        <v>RSC006880</v>
      </c>
      <c r="B6852" s="41" t="str">
        <f>IFERROR(__xludf.DUMMYFUNCTION("""COMPUTED_VALUE"""),"Kenjicat17")</f>
        <v>Kenjicat17</v>
      </c>
    </row>
    <row r="6853">
      <c r="A6853" s="41" t="str">
        <f>IFERROR(__xludf.DUMMYFUNCTION("""COMPUTED_VALUE"""),"RSC006881")</f>
        <v>RSC006881</v>
      </c>
      <c r="B6853" s="41" t="str">
        <f>IFERROR(__xludf.DUMMYFUNCTION("""COMPUTED_VALUE"""),"Cyroic")</f>
        <v>Cyroic</v>
      </c>
    </row>
    <row r="6854">
      <c r="A6854" s="41" t="str">
        <f>IFERROR(__xludf.DUMMYFUNCTION("""COMPUTED_VALUE"""),"RSC006882")</f>
        <v>RSC006882</v>
      </c>
      <c r="B6854" s="41" t="str">
        <f>IFERROR(__xludf.DUMMYFUNCTION("""COMPUTED_VALUE"""),"Captain_soccer24")</f>
        <v>Captain_soccer24</v>
      </c>
    </row>
    <row r="6855">
      <c r="A6855" s="41" t="str">
        <f>IFERROR(__xludf.DUMMYFUNCTION("""COMPUTED_VALUE"""),"RSC006883")</f>
        <v>RSC006883</v>
      </c>
      <c r="B6855" s="41" t="str">
        <f>IFERROR(__xludf.DUMMYFUNCTION("""COMPUTED_VALUE"""),"Kit")</f>
        <v>Kit</v>
      </c>
    </row>
    <row r="6856">
      <c r="A6856" s="41" t="str">
        <f>IFERROR(__xludf.DUMMYFUNCTION("""COMPUTED_VALUE"""),"RSC006884")</f>
        <v>RSC006884</v>
      </c>
      <c r="B6856" s="41" t="str">
        <f>IFERROR(__xludf.DUMMYFUNCTION("""COMPUTED_VALUE"""),"quadar.")</f>
        <v>quadar.</v>
      </c>
    </row>
    <row r="6857">
      <c r="A6857" s="41" t="str">
        <f>IFERROR(__xludf.DUMMYFUNCTION("""COMPUTED_VALUE"""),"RSC006885")</f>
        <v>RSC006885</v>
      </c>
      <c r="B6857" s="41" t="str">
        <f>IFERROR(__xludf.DUMMYFUNCTION("""COMPUTED_VALUE"""),"ski")</f>
        <v>ski</v>
      </c>
    </row>
    <row r="6858">
      <c r="A6858" s="41" t="str">
        <f>IFERROR(__xludf.DUMMYFUNCTION("""COMPUTED_VALUE"""),"RSC006886")</f>
        <v>RSC006886</v>
      </c>
      <c r="B6858" s="41" t="str">
        <f>IFERROR(__xludf.DUMMYFUNCTION("""COMPUTED_VALUE"""),"Aphid Bohea")</f>
        <v>Aphid Bohea</v>
      </c>
    </row>
    <row r="6859">
      <c r="A6859" s="41" t="str">
        <f>IFERROR(__xludf.DUMMYFUNCTION("""COMPUTED_VALUE"""),"RSC006887")</f>
        <v>RSC006887</v>
      </c>
      <c r="B6859" s="41" t="str">
        <f>IFERROR(__xludf.DUMMYFUNCTION("""COMPUTED_VALUE"""),"mikeyv505")</f>
        <v>mikeyv505</v>
      </c>
    </row>
    <row r="6860">
      <c r="A6860" s="41" t="str">
        <f>IFERROR(__xludf.DUMMYFUNCTION("""COMPUTED_VALUE"""),"RSC006888")</f>
        <v>RSC006888</v>
      </c>
      <c r="B6860" s="41" t="str">
        <f>IFERROR(__xludf.DUMMYFUNCTION("""COMPUTED_VALUE"""),"Hocki.")</f>
        <v>Hocki.</v>
      </c>
    </row>
    <row r="6861">
      <c r="A6861" s="41" t="str">
        <f>IFERROR(__xludf.DUMMYFUNCTION("""COMPUTED_VALUE"""),"RSC006889")</f>
        <v>RSC006889</v>
      </c>
      <c r="B6861" s="41" t="str">
        <f>IFERROR(__xludf.DUMMYFUNCTION("""COMPUTED_VALUE"""),"Jay")</f>
        <v>Jay</v>
      </c>
    </row>
    <row r="6862">
      <c r="A6862" s="41" t="str">
        <f>IFERROR(__xludf.DUMMYFUNCTION("""COMPUTED_VALUE"""),"RSC006890")</f>
        <v>RSC006890</v>
      </c>
      <c r="B6862" s="41" t="str">
        <f>IFERROR(__xludf.DUMMYFUNCTION("""COMPUTED_VALUE"""),"Vipr RL")</f>
        <v>Vipr RL</v>
      </c>
    </row>
    <row r="6863">
      <c r="A6863" s="41" t="str">
        <f>IFERROR(__xludf.DUMMYFUNCTION("""COMPUTED_VALUE"""),"RSC006891")</f>
        <v>RSC006891</v>
      </c>
      <c r="B6863" s="41" t="str">
        <f>IFERROR(__xludf.DUMMYFUNCTION("""COMPUTED_VALUE"""),"CutieLogic.")</f>
        <v>CutieLogic.</v>
      </c>
    </row>
    <row r="6864">
      <c r="A6864" s="41" t="str">
        <f>IFERROR(__xludf.DUMMYFUNCTION("""COMPUTED_VALUE"""),"RSC006892")</f>
        <v>RSC006892</v>
      </c>
      <c r="B6864" s="41" t="str">
        <f>IFERROR(__xludf.DUMMYFUNCTION("""COMPUTED_VALUE"""),"Bungus Memes")</f>
        <v>Bungus Memes</v>
      </c>
    </row>
    <row r="6865">
      <c r="A6865" s="41" t="str">
        <f>IFERROR(__xludf.DUMMYFUNCTION("""COMPUTED_VALUE"""),"RSC006893")</f>
        <v>RSC006893</v>
      </c>
      <c r="B6865" s="41" t="str">
        <f>IFERROR(__xludf.DUMMYFUNCTION("""COMPUTED_VALUE"""),"ExNinja")</f>
        <v>ExNinja</v>
      </c>
    </row>
    <row r="6866">
      <c r="A6866" s="41" t="str">
        <f>IFERROR(__xludf.DUMMYFUNCTION("""COMPUTED_VALUE"""),"RSC006894")</f>
        <v>RSC006894</v>
      </c>
      <c r="B6866" s="41" t="str">
        <f>IFERROR(__xludf.DUMMYFUNCTION("""COMPUTED_VALUE"""),"Zeethhol")</f>
        <v>Zeethhol</v>
      </c>
    </row>
    <row r="6867">
      <c r="A6867" s="41" t="str">
        <f>IFERROR(__xludf.DUMMYFUNCTION("""COMPUTED_VALUE"""),"RSC006895")</f>
        <v>RSC006895</v>
      </c>
      <c r="B6867" s="41" t="str">
        <f>IFERROR(__xludf.DUMMYFUNCTION("""COMPUTED_VALUE"""),"Chromie BLACK")</f>
        <v>Chromie BLACK</v>
      </c>
    </row>
    <row r="6868">
      <c r="A6868" s="41" t="str">
        <f>IFERROR(__xludf.DUMMYFUNCTION("""COMPUTED_VALUE"""),"RSC006896")</f>
        <v>RSC006896</v>
      </c>
      <c r="B6868" s="41" t="str">
        <f>IFERROR(__xludf.DUMMYFUNCTION("""COMPUTED_VALUE"""),"8bitanomaly")</f>
        <v>8bitanomaly</v>
      </c>
    </row>
    <row r="6869">
      <c r="A6869" s="41" t="str">
        <f>IFERROR(__xludf.DUMMYFUNCTION("""COMPUTED_VALUE"""),"RSC006897")</f>
        <v>RSC006897</v>
      </c>
      <c r="B6869" s="41" t="str">
        <f>IFERROR(__xludf.DUMMYFUNCTION("""COMPUTED_VALUE"""),"Amex Offset")</f>
        <v>Amex Offset</v>
      </c>
    </row>
    <row r="6870">
      <c r="A6870" s="41" t="str">
        <f>IFERROR(__xludf.DUMMYFUNCTION("""COMPUTED_VALUE"""),"RSC006898")</f>
        <v>RSC006898</v>
      </c>
      <c r="B6870" s="41" t="str">
        <f>IFERROR(__xludf.DUMMYFUNCTION("""COMPUTED_VALUE"""),"xihir0")</f>
        <v>xihir0</v>
      </c>
    </row>
    <row r="6871">
      <c r="A6871" s="41" t="str">
        <f>IFERROR(__xludf.DUMMYFUNCTION("""COMPUTED_VALUE"""),"RSC006899")</f>
        <v>RSC006899</v>
      </c>
      <c r="B6871" s="41" t="str">
        <f>IFERROR(__xludf.DUMMYFUNCTION("""COMPUTED_VALUE"""),"CosmicFlames.")</f>
        <v>CosmicFlames.</v>
      </c>
    </row>
    <row r="6872">
      <c r="A6872" s="41" t="str">
        <f>IFERROR(__xludf.DUMMYFUNCTION("""COMPUTED_VALUE"""),"RSC006900")</f>
        <v>RSC006900</v>
      </c>
      <c r="B6872" s="41" t="str">
        <f>IFERROR(__xludf.DUMMYFUNCTION("""COMPUTED_VALUE"""),"VeloxcityX")</f>
        <v>VeloxcityX</v>
      </c>
    </row>
    <row r="6873">
      <c r="A6873" s="41" t="str">
        <f>IFERROR(__xludf.DUMMYFUNCTION("""COMPUTED_VALUE"""),"RSC006901")</f>
        <v>RSC006901</v>
      </c>
      <c r="B6873" s="41" t="str">
        <f>IFERROR(__xludf.DUMMYFUNCTION("""COMPUTED_VALUE"""),"Savij_Oni")</f>
        <v>Savij_Oni</v>
      </c>
    </row>
    <row r="6874">
      <c r="A6874" s="41" t="str">
        <f>IFERROR(__xludf.DUMMYFUNCTION("""COMPUTED_VALUE"""),"RSC006902")</f>
        <v>RSC006902</v>
      </c>
      <c r="B6874" s="41" t="str">
        <f>IFERROR(__xludf.DUMMYFUNCTION("""COMPUTED_VALUE"""),"Zyta")</f>
        <v>Zyta</v>
      </c>
    </row>
    <row r="6875">
      <c r="A6875" s="41" t="str">
        <f>IFERROR(__xludf.DUMMYFUNCTION("""COMPUTED_VALUE"""),"RSC006903")</f>
        <v>RSC006903</v>
      </c>
      <c r="B6875" s="41" t="str">
        <f>IFERROR(__xludf.DUMMYFUNCTION("""COMPUTED_VALUE"""),"BobbyWitDatT00L")</f>
        <v>BobbyWitDatT00L</v>
      </c>
    </row>
    <row r="6876">
      <c r="A6876" s="41" t="str">
        <f>IFERROR(__xludf.DUMMYFUNCTION("""COMPUTED_VALUE"""),"RSC006904")</f>
        <v>RSC006904</v>
      </c>
      <c r="B6876" s="41" t="str">
        <f>IFERROR(__xludf.DUMMYFUNCTION("""COMPUTED_VALUE"""),"lettuce")</f>
        <v>lettuce</v>
      </c>
    </row>
    <row r="6877">
      <c r="A6877" s="41" t="str">
        <f>IFERROR(__xludf.DUMMYFUNCTION("""COMPUTED_VALUE"""),"RSC006905")</f>
        <v>RSC006905</v>
      </c>
      <c r="B6877" s="41" t="str">
        <f>IFERROR(__xludf.DUMMYFUNCTION("""COMPUTED_VALUE"""),"sopazrl")</f>
        <v>sopazrl</v>
      </c>
    </row>
    <row r="6878">
      <c r="A6878" s="41" t="str">
        <f>IFERROR(__xludf.DUMMYFUNCTION("""COMPUTED_VALUE"""),"RSC006906")</f>
        <v>RSC006906</v>
      </c>
      <c r="B6878" s="41" t="str">
        <f>IFERROR(__xludf.DUMMYFUNCTION("""COMPUTED_VALUE"""),"rillo")</f>
        <v>rillo</v>
      </c>
    </row>
    <row r="6879">
      <c r="A6879" s="41" t="str">
        <f>IFERROR(__xludf.DUMMYFUNCTION("""COMPUTED_VALUE"""),"RSC006907")</f>
        <v>RSC006907</v>
      </c>
      <c r="B6879" s="41" t="str">
        <f>IFERROR(__xludf.DUMMYFUNCTION("""COMPUTED_VALUE"""),"Flux")</f>
        <v>Flux</v>
      </c>
    </row>
    <row r="6880">
      <c r="A6880" s="41" t="str">
        <f>IFERROR(__xludf.DUMMYFUNCTION("""COMPUTED_VALUE"""),"RSC006908")</f>
        <v>RSC006908</v>
      </c>
      <c r="B6880" s="41" t="str">
        <f>IFERROR(__xludf.DUMMYFUNCTION("""COMPUTED_VALUE"""),"OvrSizedFrog")</f>
        <v>OvrSizedFrog</v>
      </c>
    </row>
    <row r="6881">
      <c r="A6881" s="41" t="str">
        <f>IFERROR(__xludf.DUMMYFUNCTION("""COMPUTED_VALUE"""),"RSC006909")</f>
        <v>RSC006909</v>
      </c>
      <c r="B6881" s="41" t="str">
        <f>IFERROR(__xludf.DUMMYFUNCTION("""COMPUTED_VALUE"""),"Dewby")</f>
        <v>Dewby</v>
      </c>
    </row>
    <row r="6882">
      <c r="A6882" s="41" t="str">
        <f>IFERROR(__xludf.DUMMYFUNCTION("""COMPUTED_VALUE"""),"RSC006910")</f>
        <v>RSC006910</v>
      </c>
      <c r="B6882" s="41" t="str">
        <f>IFERROR(__xludf.DUMMYFUNCTION("""COMPUTED_VALUE"""),"Swanny2.0")</f>
        <v>Swanny2.0</v>
      </c>
    </row>
    <row r="6883">
      <c r="A6883" s="41" t="str">
        <f>IFERROR(__xludf.DUMMYFUNCTION("""COMPUTED_VALUE"""),"RSC006911")</f>
        <v>RSC006911</v>
      </c>
      <c r="B6883" s="41" t="str">
        <f>IFERROR(__xludf.DUMMYFUNCTION("""COMPUTED_VALUE"""),"SATRBLASTR")</f>
        <v>SATRBLASTR</v>
      </c>
    </row>
    <row r="6884">
      <c r="A6884" s="41" t="str">
        <f>IFERROR(__xludf.DUMMYFUNCTION("""COMPUTED_VALUE"""),"RSC006912")</f>
        <v>RSC006912</v>
      </c>
      <c r="B6884" s="41" t="str">
        <f>IFERROR(__xludf.DUMMYFUNCTION("""COMPUTED_VALUE"""),"franc_mr")</f>
        <v>franc_mr</v>
      </c>
    </row>
    <row r="6885">
      <c r="A6885" s="41" t="str">
        <f>IFERROR(__xludf.DUMMYFUNCTION("""COMPUTED_VALUE"""),"RSC006913")</f>
        <v>RSC006913</v>
      </c>
      <c r="B6885" s="41" t="str">
        <f>IFERROR(__xludf.DUMMYFUNCTION("""COMPUTED_VALUE"""),"Yung_almighty12")</f>
        <v>Yung_almighty12</v>
      </c>
    </row>
    <row r="6886">
      <c r="A6886" s="41" t="str">
        <f>IFERROR(__xludf.DUMMYFUNCTION("""COMPUTED_VALUE"""),"RSC006914")</f>
        <v>RSC006914</v>
      </c>
      <c r="B6886" s="41" t="str">
        <f>IFERROR(__xludf.DUMMYFUNCTION("""COMPUTED_VALUE"""),"bigdaddyjeff21")</f>
        <v>bigdaddyjeff21</v>
      </c>
    </row>
    <row r="6887">
      <c r="A6887" s="41" t="str">
        <f>IFERROR(__xludf.DUMMYFUNCTION("""COMPUTED_VALUE"""),"RSC006915")</f>
        <v>RSC006915</v>
      </c>
      <c r="B6887" s="41" t="str">
        <f>IFERROR(__xludf.DUMMYFUNCTION("""COMPUTED_VALUE"""),"RuebenSandwich")</f>
        <v>RuebenSandwich</v>
      </c>
    </row>
    <row r="6888">
      <c r="A6888" s="41" t="str">
        <f>IFERROR(__xludf.DUMMYFUNCTION("""COMPUTED_VALUE"""),"RSC006916")</f>
        <v>RSC006916</v>
      </c>
      <c r="B6888" s="41" t="str">
        <f>IFERROR(__xludf.DUMMYFUNCTION("""COMPUTED_VALUE"""),"Luim14")</f>
        <v>Luim14</v>
      </c>
    </row>
    <row r="6889">
      <c r="A6889" s="41" t="str">
        <f>IFERROR(__xludf.DUMMYFUNCTION("""COMPUTED_VALUE"""),"RSC006917")</f>
        <v>RSC006917</v>
      </c>
      <c r="B6889" s="41" t="str">
        <f>IFERROR(__xludf.DUMMYFUNCTION("""COMPUTED_VALUE"""),"abig_potato_")</f>
        <v>abig_potato_</v>
      </c>
    </row>
    <row r="6890">
      <c r="A6890" s="41" t="str">
        <f>IFERROR(__xludf.DUMMYFUNCTION("""COMPUTED_VALUE"""),"RSC006918")</f>
        <v>RSC006918</v>
      </c>
      <c r="B6890" s="41" t="str">
        <f>IFERROR(__xludf.DUMMYFUNCTION("""COMPUTED_VALUE"""),"Lamb2Lion")</f>
        <v>Lamb2Lion</v>
      </c>
    </row>
    <row r="6891">
      <c r="A6891" s="41" t="str">
        <f>IFERROR(__xludf.DUMMYFUNCTION("""COMPUTED_VALUE"""),"RSC006919")</f>
        <v>RSC006919</v>
      </c>
      <c r="B6891" s="41" t="str">
        <f>IFERROR(__xludf.DUMMYFUNCTION("""COMPUTED_VALUE"""),"rinny_b0y")</f>
        <v>rinny_b0y</v>
      </c>
    </row>
    <row r="6892">
      <c r="A6892" s="41" t="str">
        <f>IFERROR(__xludf.DUMMYFUNCTION("""COMPUTED_VALUE"""),"RSC006920")</f>
        <v>RSC006920</v>
      </c>
      <c r="B6892" s="41" t="str">
        <f>IFERROR(__xludf.DUMMYFUNCTION("""COMPUTED_VALUE"""),"samoan_thrax")</f>
        <v>samoan_thrax</v>
      </c>
    </row>
    <row r="6893">
      <c r="A6893" s="41" t="str">
        <f>IFERROR(__xludf.DUMMYFUNCTION("""COMPUTED_VALUE"""),"RSC006921")</f>
        <v>RSC006921</v>
      </c>
      <c r="B6893" s="41" t="str">
        <f>IFERROR(__xludf.DUMMYFUNCTION("""COMPUTED_VALUE"""),"Kryll_JesusLuvsU")</f>
        <v>Kryll_JesusLuvsU</v>
      </c>
    </row>
    <row r="6894">
      <c r="A6894" s="41" t="str">
        <f>IFERROR(__xludf.DUMMYFUNCTION("""COMPUTED_VALUE"""),"RSC006922")</f>
        <v>RSC006922</v>
      </c>
      <c r="B6894" s="41" t="str">
        <f>IFERROR(__xludf.DUMMYFUNCTION("""COMPUTED_VALUE"""),"Viza")</f>
        <v>Viza</v>
      </c>
    </row>
    <row r="6895">
      <c r="A6895" s="41" t="str">
        <f>IFERROR(__xludf.DUMMYFUNCTION("""COMPUTED_VALUE"""),"RSC006923")</f>
        <v>RSC006923</v>
      </c>
      <c r="B6895" s="41" t="str">
        <f>IFERROR(__xludf.DUMMYFUNCTION("""COMPUTED_VALUE"""),"LostZealous")</f>
        <v>LostZealous</v>
      </c>
    </row>
    <row r="6896">
      <c r="A6896" s="41" t="str">
        <f>IFERROR(__xludf.DUMMYFUNCTION("""COMPUTED_VALUE"""),"RSC006924")</f>
        <v>RSC006924</v>
      </c>
      <c r="B6896" s="41" t="str">
        <f>IFERROR(__xludf.DUMMYFUNCTION("""COMPUTED_VALUE"""),"xPsych99x")</f>
        <v>xPsych99x</v>
      </c>
    </row>
    <row r="6897">
      <c r="A6897" s="41" t="str">
        <f>IFERROR(__xludf.DUMMYFUNCTION("""COMPUTED_VALUE"""),"RSC006925")</f>
        <v>RSC006925</v>
      </c>
      <c r="B6897" s="41" t="str">
        <f>IFERROR(__xludf.DUMMYFUNCTION("""COMPUTED_VALUE"""),"woah_kalebb")</f>
        <v>woah_kalebb</v>
      </c>
    </row>
    <row r="6898">
      <c r="A6898" s="41" t="str">
        <f>IFERROR(__xludf.DUMMYFUNCTION("""COMPUTED_VALUE"""),"RSC006926")</f>
        <v>RSC006926</v>
      </c>
      <c r="B6898" s="41" t="str">
        <f>IFERROR(__xludf.DUMMYFUNCTION("""COMPUTED_VALUE"""),"Quimbee")</f>
        <v>Quimbee</v>
      </c>
    </row>
    <row r="6899">
      <c r="A6899" s="41" t="str">
        <f>IFERROR(__xludf.DUMMYFUNCTION("""COMPUTED_VALUE"""),"RSC006927")</f>
        <v>RSC006927</v>
      </c>
      <c r="B6899" s="41" t="str">
        <f>IFERROR(__xludf.DUMMYFUNCTION("""COMPUTED_VALUE"""),"Stepbro Oscar")</f>
        <v>Stepbro Oscar</v>
      </c>
    </row>
    <row r="6900">
      <c r="A6900" s="41" t="str">
        <f>IFERROR(__xludf.DUMMYFUNCTION("""COMPUTED_VALUE"""),"RSC006928")</f>
        <v>RSC006928</v>
      </c>
      <c r="B6900" s="41" t="str">
        <f>IFERROR(__xludf.DUMMYFUNCTION("""COMPUTED_VALUE"""),"Thunderbolt")</f>
        <v>Thunderbolt</v>
      </c>
    </row>
    <row r="6901">
      <c r="A6901" s="41" t="str">
        <f>IFERROR(__xludf.DUMMYFUNCTION("""COMPUTED_VALUE"""),"RSC006929")</f>
        <v>RSC006929</v>
      </c>
      <c r="B6901" s="41" t="str">
        <f>IFERROR(__xludf.DUMMYFUNCTION("""COMPUTED_VALUE"""),"SAMBO SWFC")</f>
        <v>SAMBO SWFC</v>
      </c>
    </row>
    <row r="6902">
      <c r="A6902" s="41" t="str">
        <f>IFERROR(__xludf.DUMMYFUNCTION("""COMPUTED_VALUE"""),"RSC006930")</f>
        <v>RSC006930</v>
      </c>
      <c r="B6902" s="41" t="str">
        <f>IFERROR(__xludf.DUMMYFUNCTION("""COMPUTED_VALUE"""),"parakeetshoes.")</f>
        <v>parakeetshoes.</v>
      </c>
    </row>
    <row r="6903">
      <c r="A6903" s="41" t="str">
        <f>IFERROR(__xludf.DUMMYFUNCTION("""COMPUTED_VALUE"""),"RSC006931")</f>
        <v>RSC006931</v>
      </c>
      <c r="B6903" s="41" t="str">
        <f>IFERROR(__xludf.DUMMYFUNCTION("""COMPUTED_VALUE"""),"ayemelv")</f>
        <v>ayemelv</v>
      </c>
    </row>
    <row r="6904">
      <c r="A6904" s="41" t="str">
        <f>IFERROR(__xludf.DUMMYFUNCTION("""COMPUTED_VALUE"""),"RSC006932")</f>
        <v>RSC006932</v>
      </c>
      <c r="B6904" s="41" t="str">
        <f>IFERROR(__xludf.DUMMYFUNCTION("""COMPUTED_VALUE"""),"meltt._")</f>
        <v>meltt._</v>
      </c>
    </row>
    <row r="6905">
      <c r="A6905" s="41" t="str">
        <f>IFERROR(__xludf.DUMMYFUNCTION("""COMPUTED_VALUE"""),"RSC006933")</f>
        <v>RSC006933</v>
      </c>
      <c r="B6905" s="41" t="str">
        <f>IFERROR(__xludf.DUMMYFUNCTION("""COMPUTED_VALUE"""),"Gamma")</f>
        <v>Gamma</v>
      </c>
    </row>
    <row r="6906">
      <c r="A6906" s="41" t="str">
        <f>IFERROR(__xludf.DUMMYFUNCTION("""COMPUTED_VALUE"""),"RSC006934")</f>
        <v>RSC006934</v>
      </c>
      <c r="B6906" s="41" t="str">
        <f>IFERROR(__xludf.DUMMYFUNCTION("""COMPUTED_VALUE"""),"TPM_CheezeTV")</f>
        <v>TPM_CheezeTV</v>
      </c>
    </row>
    <row r="6907">
      <c r="A6907" s="41" t="str">
        <f>IFERROR(__xludf.DUMMYFUNCTION("""COMPUTED_VALUE"""),"RSC006935")</f>
        <v>RSC006935</v>
      </c>
      <c r="B6907" s="41" t="str">
        <f>IFERROR(__xludf.DUMMYFUNCTION("""COMPUTED_VALUE"""),"Bazzinga")</f>
        <v>Bazzinga</v>
      </c>
    </row>
    <row r="6908">
      <c r="A6908" s="41" t="str">
        <f>IFERROR(__xludf.DUMMYFUNCTION("""COMPUTED_VALUE"""),"RSC006936")</f>
        <v>RSC006936</v>
      </c>
      <c r="B6908" s="41" t="str">
        <f>IFERROR(__xludf.DUMMYFUNCTION("""COMPUTED_VALUE"""),"Gozadonna")</f>
        <v>Gozadonna</v>
      </c>
    </row>
    <row r="6909">
      <c r="A6909" s="41" t="str">
        <f>IFERROR(__xludf.DUMMYFUNCTION("""COMPUTED_VALUE"""),"RSC006937")</f>
        <v>RSC006937</v>
      </c>
      <c r="B6909" s="41" t="str">
        <f>IFERROR(__xludf.DUMMYFUNCTION("""COMPUTED_VALUE"""),"BoogerBear5067")</f>
        <v>BoogerBear5067</v>
      </c>
    </row>
    <row r="6910">
      <c r="A6910" s="41" t="str">
        <f>IFERROR(__xludf.DUMMYFUNCTION("""COMPUTED_VALUE"""),"RSC006938")</f>
        <v>RSC006938</v>
      </c>
      <c r="B6910" s="41" t="str">
        <f>IFERROR(__xludf.DUMMYFUNCTION("""COMPUTED_VALUE"""),"Soda. .")</f>
        <v>Soda. .</v>
      </c>
    </row>
    <row r="6911">
      <c r="A6911" s="41" t="str">
        <f>IFERROR(__xludf.DUMMYFUNCTION("""COMPUTED_VALUE"""),"RSC006939")</f>
        <v>RSC006939</v>
      </c>
      <c r="B6911" s="41" t="str">
        <f>IFERROR(__xludf.DUMMYFUNCTION("""COMPUTED_VALUE"""),"Mrknightowl")</f>
        <v>Mrknightowl</v>
      </c>
    </row>
    <row r="6912">
      <c r="A6912" s="41" t="str">
        <f>IFERROR(__xludf.DUMMYFUNCTION("""COMPUTED_VALUE"""),"RSC006940")</f>
        <v>RSC006940</v>
      </c>
      <c r="B6912" s="41" t="str">
        <f>IFERROR(__xludf.DUMMYFUNCTION("""COMPUTED_VALUE"""),"uhhcypher")</f>
        <v>uhhcypher</v>
      </c>
    </row>
    <row r="6913">
      <c r="A6913" s="41" t="str">
        <f>IFERROR(__xludf.DUMMYFUNCTION("""COMPUTED_VALUE"""),"RSC006941")</f>
        <v>RSC006941</v>
      </c>
      <c r="B6913" s="41" t="str">
        <f>IFERROR(__xludf.DUMMYFUNCTION("""COMPUTED_VALUE"""),"xfazeghstx")</f>
        <v>xfazeghstx</v>
      </c>
    </row>
    <row r="6914">
      <c r="A6914" s="41" t="str">
        <f>IFERROR(__xludf.DUMMYFUNCTION("""COMPUTED_VALUE"""),"RSC006942")</f>
        <v>RSC006942</v>
      </c>
      <c r="B6914" s="41" t="str">
        <f>IFERROR(__xludf.DUMMYFUNCTION("""COMPUTED_VALUE"""),"ZakWagon")</f>
        <v>ZakWagon</v>
      </c>
    </row>
    <row r="6915">
      <c r="A6915" s="41" t="str">
        <f>IFERROR(__xludf.DUMMYFUNCTION("""COMPUTED_VALUE"""),"RSC006943")</f>
        <v>RSC006943</v>
      </c>
      <c r="B6915" s="41" t="str">
        <f>IFERROR(__xludf.DUMMYFUNCTION("""COMPUTED_VALUE"""),"Nighthings")</f>
        <v>Nighthings</v>
      </c>
    </row>
    <row r="6916">
      <c r="A6916" s="41" t="str">
        <f>IFERROR(__xludf.DUMMYFUNCTION("""COMPUTED_VALUE"""),"RSC006944")</f>
        <v>RSC006944</v>
      </c>
      <c r="B6916" s="41" t="str">
        <f>IFERROR(__xludf.DUMMYFUNCTION("""COMPUTED_VALUE"""),"Pr9xk")</f>
        <v>Pr9xk</v>
      </c>
    </row>
    <row r="6917">
      <c r="A6917" s="41" t="str">
        <f>IFERROR(__xludf.DUMMYFUNCTION("""COMPUTED_VALUE"""),"RSC006945")</f>
        <v>RSC006945</v>
      </c>
      <c r="B6917" s="41" t="str">
        <f>IFERROR(__xludf.DUMMYFUNCTION("""COMPUTED_VALUE"""),"nuummite")</f>
        <v>nuummite</v>
      </c>
    </row>
    <row r="6918">
      <c r="A6918" s="41" t="str">
        <f>IFERROR(__xludf.DUMMYFUNCTION("""COMPUTED_VALUE"""),"RSC006946")</f>
        <v>RSC006946</v>
      </c>
      <c r="B6918" s="41" t="str">
        <f>IFERROR(__xludf.DUMMYFUNCTION("""COMPUTED_VALUE"""),"PTL_Kel")</f>
        <v>PTL_Kel</v>
      </c>
    </row>
    <row r="6919">
      <c r="A6919" s="41" t="str">
        <f>IFERROR(__xludf.DUMMYFUNCTION("""COMPUTED_VALUE"""),"RSC006947")</f>
        <v>RSC006947</v>
      </c>
      <c r="B6919" s="41" t="str">
        <f>IFERROR(__xludf.DUMMYFUNCTION("""COMPUTED_VALUE"""),"HaZard")</f>
        <v>HaZard</v>
      </c>
    </row>
    <row r="6920">
      <c r="A6920" s="41" t="str">
        <f>IFERROR(__xludf.DUMMYFUNCTION("""COMPUTED_VALUE"""),"RSC006948")</f>
        <v>RSC006948</v>
      </c>
      <c r="B6920" s="41" t="str">
        <f>IFERROR(__xludf.DUMMYFUNCTION("""COMPUTED_VALUE"""),"MaxThatNinja")</f>
        <v>MaxThatNinja</v>
      </c>
    </row>
    <row r="6921">
      <c r="A6921" s="41" t="str">
        <f>IFERROR(__xludf.DUMMYFUNCTION("""COMPUTED_VALUE"""),"RSC006949")</f>
        <v>RSC006949</v>
      </c>
      <c r="B6921" s="41" t="str">
        <f>IFERROR(__xludf.DUMMYFUNCTION("""COMPUTED_VALUE"""),"oiNio")</f>
        <v>oiNio</v>
      </c>
    </row>
    <row r="6922">
      <c r="A6922" s="41" t="str">
        <f>IFERROR(__xludf.DUMMYFUNCTION("""COMPUTED_VALUE"""),"RSC006950")</f>
        <v>RSC006950</v>
      </c>
      <c r="B6922" s="41" t="str">
        <f>IFERROR(__xludf.DUMMYFUNCTION("""COMPUTED_VALUE"""),"Avvux")</f>
        <v>Avvux</v>
      </c>
    </row>
    <row r="6923">
      <c r="A6923" s="41" t="str">
        <f>IFERROR(__xludf.DUMMYFUNCTION("""COMPUTED_VALUE"""),"RSC006951")</f>
        <v>RSC006951</v>
      </c>
      <c r="B6923" s="41" t="str">
        <f>IFERROR(__xludf.DUMMYFUNCTION("""COMPUTED_VALUE"""),"bEn")</f>
        <v>bEn</v>
      </c>
    </row>
    <row r="6924">
      <c r="A6924" s="41" t="str">
        <f>IFERROR(__xludf.DUMMYFUNCTION("""COMPUTED_VALUE"""),"RSC006952")</f>
        <v>RSC006952</v>
      </c>
      <c r="B6924" s="41" t="str">
        <f>IFERROR(__xludf.DUMMYFUNCTION("""COMPUTED_VALUE"""),"end of navegelion")</f>
        <v>end of navegelion</v>
      </c>
    </row>
    <row r="6925">
      <c r="A6925" s="41" t="str">
        <f>IFERROR(__xludf.DUMMYFUNCTION("""COMPUTED_VALUE"""),"RSC006953")</f>
        <v>RSC006953</v>
      </c>
      <c r="B6925" s="41" t="str">
        <f>IFERROR(__xludf.DUMMYFUNCTION("""COMPUTED_VALUE"""),"CloudStrife")</f>
        <v>CloudStrife</v>
      </c>
    </row>
    <row r="6926">
      <c r="A6926" s="41" t="str">
        <f>IFERROR(__xludf.DUMMYFUNCTION("""COMPUTED_VALUE"""),"RSC006954")</f>
        <v>RSC006954</v>
      </c>
      <c r="B6926" s="41" t="str">
        <f>IFERROR(__xludf.DUMMYFUNCTION("""COMPUTED_VALUE"""),"AtomiikGuru")</f>
        <v>AtomiikGuru</v>
      </c>
    </row>
    <row r="6927">
      <c r="A6927" s="41" t="str">
        <f>IFERROR(__xludf.DUMMYFUNCTION("""COMPUTED_VALUE"""),"RSC006955")</f>
        <v>RSC006955</v>
      </c>
      <c r="B6927" s="41" t="str">
        <f>IFERROR(__xludf.DUMMYFUNCTION("""COMPUTED_VALUE"""),"OPHB_Bakaman")</f>
        <v>OPHB_Bakaman</v>
      </c>
    </row>
    <row r="6928">
      <c r="A6928" s="41" t="str">
        <f>IFERROR(__xludf.DUMMYFUNCTION("""COMPUTED_VALUE"""),"RSC006956")</f>
        <v>RSC006956</v>
      </c>
      <c r="B6928" s="41" t="str">
        <f>IFERROR(__xludf.DUMMYFUNCTION("""COMPUTED_VALUE"""),"neas.")</f>
        <v>neas.</v>
      </c>
    </row>
    <row r="6929">
      <c r="A6929" s="41" t="str">
        <f>IFERROR(__xludf.DUMMYFUNCTION("""COMPUTED_VALUE"""),"RSC006957")</f>
        <v>RSC006957</v>
      </c>
      <c r="B6929" s="41" t="str">
        <f>IFERROR(__xludf.DUMMYFUNCTION("""COMPUTED_VALUE"""),"Theyh3artalex")</f>
        <v>Theyh3artalex</v>
      </c>
    </row>
    <row r="6930">
      <c r="A6930" s="41" t="str">
        <f>IFERROR(__xludf.DUMMYFUNCTION("""COMPUTED_VALUE"""),"RSC006958")</f>
        <v>RSC006958</v>
      </c>
      <c r="B6930" s="41" t="str">
        <f>IFERROR(__xludf.DUMMYFUNCTION("""COMPUTED_VALUE"""),"easyxice42")</f>
        <v>easyxice42</v>
      </c>
    </row>
    <row r="6931">
      <c r="A6931" s="41" t="str">
        <f>IFERROR(__xludf.DUMMYFUNCTION("""COMPUTED_VALUE"""),"RSC006959")</f>
        <v>RSC006959</v>
      </c>
      <c r="B6931" s="41" t="str">
        <f>IFERROR(__xludf.DUMMYFUNCTION("""COMPUTED_VALUE"""),"8thrlhokage")</f>
        <v>8thrlhokage</v>
      </c>
    </row>
    <row r="6932">
      <c r="A6932" s="41" t="str">
        <f>IFERROR(__xludf.DUMMYFUNCTION("""COMPUTED_VALUE"""),"RSC006960")</f>
        <v>RSC006960</v>
      </c>
      <c r="B6932" s="41" t="str">
        <f>IFERROR(__xludf.DUMMYFUNCTION("""COMPUTED_VALUE"""),"tacless")</f>
        <v>tacless</v>
      </c>
    </row>
    <row r="6933">
      <c r="A6933" s="41" t="str">
        <f>IFERROR(__xludf.DUMMYFUNCTION("""COMPUTED_VALUE"""),"RSC006961")</f>
        <v>RSC006961</v>
      </c>
      <c r="B6933" s="41" t="str">
        <f>IFERROR(__xludf.DUMMYFUNCTION("""COMPUTED_VALUE"""),".Jaredactyl")</f>
        <v>.Jaredactyl</v>
      </c>
    </row>
    <row r="6934">
      <c r="A6934" s="41" t="str">
        <f>IFERROR(__xludf.DUMMYFUNCTION("""COMPUTED_VALUE"""),"RSC006962")</f>
        <v>RSC006962</v>
      </c>
      <c r="B6934" s="41" t="str">
        <f>IFERROR(__xludf.DUMMYFUNCTION("""COMPUTED_VALUE"""),"Skimix")</f>
        <v>Skimix</v>
      </c>
    </row>
    <row r="6935">
      <c r="A6935" s="41" t="str">
        <f>IFERROR(__xludf.DUMMYFUNCTION("""COMPUTED_VALUE"""),"RSC006963")</f>
        <v>RSC006963</v>
      </c>
      <c r="B6935" s="41" t="str">
        <f>IFERROR(__xludf.DUMMYFUNCTION("""COMPUTED_VALUE"""),"Mag2Grid")</f>
        <v>Mag2Grid</v>
      </c>
    </row>
    <row r="6936">
      <c r="A6936" s="41" t="str">
        <f>IFERROR(__xludf.DUMMYFUNCTION("""COMPUTED_VALUE"""),"RSC006964")</f>
        <v>RSC006964</v>
      </c>
      <c r="B6936" s="41" t="str">
        <f>IFERROR(__xludf.DUMMYFUNCTION("""COMPUTED_VALUE"""),"wigallworm")</f>
        <v>wigallworm</v>
      </c>
    </row>
    <row r="6937">
      <c r="A6937" s="41" t="str">
        <f>IFERROR(__xludf.DUMMYFUNCTION("""COMPUTED_VALUE"""),"RSC006965")</f>
        <v>RSC006965</v>
      </c>
      <c r="B6937" s="41" t="str">
        <f>IFERROR(__xludf.DUMMYFUNCTION("""COMPUTED_VALUE"""),"Blessed_20")</f>
        <v>Blessed_20</v>
      </c>
    </row>
    <row r="6938">
      <c r="A6938" s="41" t="str">
        <f>IFERROR(__xludf.DUMMYFUNCTION("""COMPUTED_VALUE"""),"RSC006966")</f>
        <v>RSC006966</v>
      </c>
      <c r="B6938" s="41" t="str">
        <f>IFERROR(__xludf.DUMMYFUNCTION("""COMPUTED_VALUE"""),"Pivot97")</f>
        <v>Pivot97</v>
      </c>
    </row>
    <row r="6939">
      <c r="A6939" s="41" t="str">
        <f>IFERROR(__xludf.DUMMYFUNCTION("""COMPUTED_VALUE"""),"RSC006967")</f>
        <v>RSC006967</v>
      </c>
      <c r="B6939" s="41" t="str">
        <f>IFERROR(__xludf.DUMMYFUNCTION("""COMPUTED_VALUE"""),"legendrl")</f>
        <v>legendrl</v>
      </c>
    </row>
    <row r="6940">
      <c r="A6940" s="41" t="str">
        <f>IFERROR(__xludf.DUMMYFUNCTION("""COMPUTED_VALUE"""),"RSC006968")</f>
        <v>RSC006968</v>
      </c>
      <c r="B6940" s="41" t="str">
        <f>IFERROR(__xludf.DUMMYFUNCTION("""COMPUTED_VALUE"""),"tankedmovie84")</f>
        <v>tankedmovie84</v>
      </c>
    </row>
    <row r="6941">
      <c r="A6941" s="41" t="str">
        <f>IFERROR(__xludf.DUMMYFUNCTION("""COMPUTED_VALUE"""),"RSC006969")</f>
        <v>RSC006969</v>
      </c>
      <c r="B6941" s="41" t="str">
        <f>IFERROR(__xludf.DUMMYFUNCTION("""COMPUTED_VALUE"""),"Durrlup")</f>
        <v>Durrlup</v>
      </c>
    </row>
    <row r="6942">
      <c r="A6942" s="41" t="str">
        <f>IFERROR(__xludf.DUMMYFUNCTION("""COMPUTED_VALUE"""),"RSC006970")</f>
        <v>RSC006970</v>
      </c>
      <c r="B6942" s="41" t="str">
        <f>IFERROR(__xludf.DUMMYFUNCTION("""COMPUTED_VALUE"""),"snizdrift")</f>
        <v>snizdrift</v>
      </c>
    </row>
    <row r="6943">
      <c r="A6943" s="41" t="str">
        <f>IFERROR(__xludf.DUMMYFUNCTION("""COMPUTED_VALUE"""),"RSC006971")</f>
        <v>RSC006971</v>
      </c>
      <c r="B6943" s="41" t="str">
        <f>IFERROR(__xludf.DUMMYFUNCTION("""COMPUTED_VALUE"""),"apparently.light")</f>
        <v>apparently.light</v>
      </c>
    </row>
    <row r="6944">
      <c r="A6944" s="41" t="str">
        <f>IFERROR(__xludf.DUMMYFUNCTION("""COMPUTED_VALUE"""),"RSC006972")</f>
        <v>RSC006972</v>
      </c>
      <c r="B6944" s="41" t="str">
        <f>IFERROR(__xludf.DUMMYFUNCTION("""COMPUTED_VALUE"""),"galaxiezz.")</f>
        <v>galaxiezz.</v>
      </c>
    </row>
    <row r="6945">
      <c r="A6945" s="41" t="str">
        <f>IFERROR(__xludf.DUMMYFUNCTION("""COMPUTED_VALUE"""),"RSC006973")</f>
        <v>RSC006973</v>
      </c>
      <c r="B6945" s="41" t="str">
        <f>IFERROR(__xludf.DUMMYFUNCTION("""COMPUTED_VALUE"""),"3xoticmoon")</f>
        <v>3xoticmoon</v>
      </c>
    </row>
    <row r="6946">
      <c r="A6946" s="41" t="str">
        <f>IFERROR(__xludf.DUMMYFUNCTION("""COMPUTED_VALUE"""),"RSC006974")</f>
        <v>RSC006974</v>
      </c>
      <c r="B6946" s="41" t="str">
        <f>IFERROR(__xludf.DUMMYFUNCTION("""COMPUTED_VALUE"""),"Vindhriko")</f>
        <v>Vindhriko</v>
      </c>
    </row>
    <row r="6947">
      <c r="A6947" s="41" t="str">
        <f>IFERROR(__xludf.DUMMYFUNCTION("""COMPUTED_VALUE"""),"RSC006975")</f>
        <v>RSC006975</v>
      </c>
      <c r="B6947" s="41" t="str">
        <f>IFERROR(__xludf.DUMMYFUNCTION("""COMPUTED_VALUE"""),"Rxckett")</f>
        <v>Rxckett</v>
      </c>
    </row>
    <row r="6948">
      <c r="A6948" s="41" t="str">
        <f>IFERROR(__xludf.DUMMYFUNCTION("""COMPUTED_VALUE"""),"RSC006976")</f>
        <v>RSC006976</v>
      </c>
      <c r="B6948" s="41" t="str">
        <f>IFERROR(__xludf.DUMMYFUNCTION("""COMPUTED_VALUE"""),"Slendda")</f>
        <v>Slendda</v>
      </c>
    </row>
    <row r="6949">
      <c r="A6949" s="41" t="str">
        <f>IFERROR(__xludf.DUMMYFUNCTION("""COMPUTED_VALUE"""),"RSC006978")</f>
        <v>RSC006978</v>
      </c>
      <c r="B6949" s="41" t="str">
        <f>IFERROR(__xludf.DUMMYFUNCTION("""COMPUTED_VALUE"""),"Tuhlur.")</f>
        <v>Tuhlur.</v>
      </c>
    </row>
    <row r="6950">
      <c r="A6950" s="41" t="str">
        <f>IFERROR(__xludf.DUMMYFUNCTION("""COMPUTED_VALUE"""),"RSC006979")</f>
        <v>RSC006979</v>
      </c>
      <c r="B6950" s="41" t="str">
        <f>IFERROR(__xludf.DUMMYFUNCTION("""COMPUTED_VALUE"""),"stephee39")</f>
        <v>stephee39</v>
      </c>
    </row>
    <row r="6951">
      <c r="A6951" s="41" t="str">
        <f>IFERROR(__xludf.DUMMYFUNCTION("""COMPUTED_VALUE"""),"RSC006980")</f>
        <v>RSC006980</v>
      </c>
      <c r="B6951" s="41" t="str">
        <f>IFERROR(__xludf.DUMMYFUNCTION("""COMPUTED_VALUE"""),"painfoee")</f>
        <v>painfoee</v>
      </c>
    </row>
    <row r="6952">
      <c r="A6952" s="41" t="str">
        <f>IFERROR(__xludf.DUMMYFUNCTION("""COMPUTED_VALUE"""),"RSC006981")</f>
        <v>RSC006981</v>
      </c>
      <c r="B6952" s="41" t="str">
        <f>IFERROR(__xludf.DUMMYFUNCTION("""COMPUTED_VALUE"""),"cloak")</f>
        <v>cloak</v>
      </c>
    </row>
    <row r="6953">
      <c r="A6953" s="41" t="str">
        <f>IFERROR(__xludf.DUMMYFUNCTION("""COMPUTED_VALUE"""),"RSC006982")</f>
        <v>RSC006982</v>
      </c>
      <c r="B6953" s="41" t="str">
        <f>IFERROR(__xludf.DUMMYFUNCTION("""COMPUTED_VALUE"""),"SmithRL.")</f>
        <v>SmithRL.</v>
      </c>
    </row>
    <row r="6954">
      <c r="A6954" s="41" t="str">
        <f>IFERROR(__xludf.DUMMYFUNCTION("""COMPUTED_VALUE"""),"RSC006983")</f>
        <v>RSC006983</v>
      </c>
      <c r="B6954" s="41" t="str">
        <f>IFERROR(__xludf.DUMMYFUNCTION("""COMPUTED_VALUE"""),"ctnivlac")</f>
        <v>ctnivlac</v>
      </c>
    </row>
    <row r="6955">
      <c r="A6955" s="41" t="str">
        <f>IFERROR(__xludf.DUMMYFUNCTION("""COMPUTED_VALUE"""),"RSC006984")</f>
        <v>RSC006984</v>
      </c>
      <c r="B6955" s="41" t="str">
        <f>IFERROR(__xludf.DUMMYFUNCTION("""COMPUTED_VALUE"""),"AK ._.")</f>
        <v>AK ._.</v>
      </c>
    </row>
    <row r="6956">
      <c r="A6956" s="41" t="str">
        <f>IFERROR(__xludf.DUMMYFUNCTION("""COMPUTED_VALUE"""),"RSC006985")</f>
        <v>RSC006985</v>
      </c>
      <c r="B6956" s="41" t="str">
        <f>IFERROR(__xludf.DUMMYFUNCTION("""COMPUTED_VALUE"""),"not so jucy skep")</f>
        <v>not so jucy skep</v>
      </c>
    </row>
    <row r="6957">
      <c r="A6957" s="41" t="str">
        <f>IFERROR(__xludf.DUMMYFUNCTION("""COMPUTED_VALUE"""),"RSC006986")</f>
        <v>RSC006986</v>
      </c>
      <c r="B6957" s="41" t="str">
        <f>IFERROR(__xludf.DUMMYFUNCTION("""COMPUTED_VALUE"""),"trashrl")</f>
        <v>trashrl</v>
      </c>
    </row>
    <row r="6958">
      <c r="A6958" s="41" t="str">
        <f>IFERROR(__xludf.DUMMYFUNCTION("""COMPUTED_VALUE"""),"RSC006987")</f>
        <v>RSC006987</v>
      </c>
      <c r="B6958" s="41" t="str">
        <f>IFERROR(__xludf.DUMMYFUNCTION("""COMPUTED_VALUE"""),"KFMan8")</f>
        <v>KFMan8</v>
      </c>
    </row>
    <row r="6959">
      <c r="A6959" s="41" t="str">
        <f>IFERROR(__xludf.DUMMYFUNCTION("""COMPUTED_VALUE"""),"RSC006988")</f>
        <v>RSC006988</v>
      </c>
      <c r="B6959" s="41" t="str">
        <f>IFERROR(__xludf.DUMMYFUNCTION("""COMPUTED_VALUE"""),"Drew P. Bewbs")</f>
        <v>Drew P. Bewbs</v>
      </c>
    </row>
    <row r="6960">
      <c r="A6960" s="41" t="str">
        <f>IFERROR(__xludf.DUMMYFUNCTION("""COMPUTED_VALUE"""),"RSC006989")</f>
        <v>RSC006989</v>
      </c>
      <c r="B6960" s="41" t="str">
        <f>IFERROR(__xludf.DUMMYFUNCTION("""COMPUTED_VALUE"""),"Flare 1109")</f>
        <v>Flare 1109</v>
      </c>
    </row>
    <row r="6961">
      <c r="A6961" s="41" t="str">
        <f>IFERROR(__xludf.DUMMYFUNCTION("""COMPUTED_VALUE"""),"RSC006990")</f>
        <v>RSC006990</v>
      </c>
      <c r="B6961" s="41" t="str">
        <f>IFERROR(__xludf.DUMMYFUNCTION("""COMPUTED_VALUE"""),"wacky_paste7")</f>
        <v>wacky_paste7</v>
      </c>
    </row>
    <row r="6962">
      <c r="A6962" s="41" t="str">
        <f>IFERROR(__xludf.DUMMYFUNCTION("""COMPUTED_VALUE"""),"RSC006991")</f>
        <v>RSC006991</v>
      </c>
      <c r="B6962" s="41" t="str">
        <f>IFERROR(__xludf.DUMMYFUNCTION("""COMPUTED_VALUE"""),"zaythin")</f>
        <v>zaythin</v>
      </c>
    </row>
    <row r="6963">
      <c r="A6963" s="41" t="str">
        <f>IFERROR(__xludf.DUMMYFUNCTION("""COMPUTED_VALUE"""),"RSC006992")</f>
        <v>RSC006992</v>
      </c>
      <c r="B6963" s="41" t="str">
        <f>IFERROR(__xludf.DUMMYFUNCTION("""COMPUTED_VALUE"""),"Deso")</f>
        <v>Deso</v>
      </c>
    </row>
    <row r="6964">
      <c r="A6964" s="41" t="str">
        <f>IFERROR(__xludf.DUMMYFUNCTION("""COMPUTED_VALUE"""),"RSC006993")</f>
        <v>RSC006993</v>
      </c>
      <c r="B6964" s="41" t="str">
        <f>IFERROR(__xludf.DUMMYFUNCTION("""COMPUTED_VALUE"""),"Gibbyy-")</f>
        <v>Gibbyy-</v>
      </c>
    </row>
    <row r="6965">
      <c r="A6965" s="41" t="str">
        <f>IFERROR(__xludf.DUMMYFUNCTION("""COMPUTED_VALUE"""),"RSC006994")</f>
        <v>RSC006994</v>
      </c>
      <c r="B6965" s="41" t="str">
        <f>IFERROR(__xludf.DUMMYFUNCTION("""COMPUTED_VALUE"""),"colebean")</f>
        <v>colebean</v>
      </c>
    </row>
    <row r="6966">
      <c r="A6966" s="41" t="str">
        <f>IFERROR(__xludf.DUMMYFUNCTION("""COMPUTED_VALUE"""),"RSC006995")</f>
        <v>RSC006995</v>
      </c>
      <c r="B6966" s="41" t="str">
        <f>IFERROR(__xludf.DUMMYFUNCTION("""COMPUTED_VALUE"""),"BrindyTheBlade25")</f>
        <v>BrindyTheBlade25</v>
      </c>
    </row>
    <row r="6967">
      <c r="A6967" s="41" t="str">
        <f>IFERROR(__xludf.DUMMYFUNCTION("""COMPUTED_VALUE"""),"RSC006996")</f>
        <v>RSC006996</v>
      </c>
      <c r="B6967" s="41" t="str">
        <f>IFERROR(__xludf.DUMMYFUNCTION("""COMPUTED_VALUE"""),"dj_thiccems")</f>
        <v>dj_thiccems</v>
      </c>
    </row>
    <row r="6968">
      <c r="A6968" s="41" t="str">
        <f>IFERROR(__xludf.DUMMYFUNCTION("""COMPUTED_VALUE"""),"RSC006997")</f>
        <v>RSC006997</v>
      </c>
      <c r="B6968" s="41" t="str">
        <f>IFERROR(__xludf.DUMMYFUNCTION("""COMPUTED_VALUE"""),"sleepysleepsheep")</f>
        <v>sleepysleepsheep</v>
      </c>
    </row>
    <row r="6969">
      <c r="A6969" s="41" t="str">
        <f>IFERROR(__xludf.DUMMYFUNCTION("""COMPUTED_VALUE"""),"RSC006998")</f>
        <v>RSC006998</v>
      </c>
      <c r="B6969" s="41" t="str">
        <f>IFERROR(__xludf.DUMMYFUNCTION("""COMPUTED_VALUE"""),"StoneHavenGames")</f>
        <v>StoneHavenGames</v>
      </c>
    </row>
    <row r="6970">
      <c r="A6970" s="41" t="str">
        <f>IFERROR(__xludf.DUMMYFUNCTION("""COMPUTED_VALUE"""),"RSC006999")</f>
        <v>RSC006999</v>
      </c>
      <c r="B6970" s="41" t="str">
        <f>IFERROR(__xludf.DUMMYFUNCTION("""COMPUTED_VALUE"""),"Prezmo_")</f>
        <v>Prezmo_</v>
      </c>
    </row>
    <row r="6971">
      <c r="A6971" s="41" t="str">
        <f>IFERROR(__xludf.DUMMYFUNCTION("""COMPUTED_VALUE"""),"RSC007000")</f>
        <v>RSC007000</v>
      </c>
      <c r="B6971" s="41" t="str">
        <f>IFERROR(__xludf.DUMMYFUNCTION("""COMPUTED_VALUE"""),"kLrbee")</f>
        <v>kLrbee</v>
      </c>
    </row>
    <row r="6972">
      <c r="A6972" s="41" t="str">
        <f>IFERROR(__xludf.DUMMYFUNCTION("""COMPUTED_VALUE"""),"RSC007001")</f>
        <v>RSC007001</v>
      </c>
      <c r="B6972" s="41" t="str">
        <f>IFERROR(__xludf.DUMMYFUNCTION("""COMPUTED_VALUE"""),"tankersrul")</f>
        <v>tankersrul</v>
      </c>
    </row>
    <row r="6973">
      <c r="A6973" s="41" t="str">
        <f>IFERROR(__xludf.DUMMYFUNCTION("""COMPUTED_VALUE"""),"RSC007002")</f>
        <v>RSC007002</v>
      </c>
      <c r="B6973" s="41" t="str">
        <f>IFERROR(__xludf.DUMMYFUNCTION("""COMPUTED_VALUE"""),"Ozzy")</f>
        <v>Ozzy</v>
      </c>
    </row>
    <row r="6974">
      <c r="A6974" s="41" t="str">
        <f>IFERROR(__xludf.DUMMYFUNCTION("""COMPUTED_VALUE"""),"RSC007003")</f>
        <v>RSC007003</v>
      </c>
      <c r="B6974" s="41" t="str">
        <f>IFERROR(__xludf.DUMMYFUNCTION("""COMPUTED_VALUE"""),"Tac0stains")</f>
        <v>Tac0stains</v>
      </c>
    </row>
    <row r="6975">
      <c r="A6975" s="41" t="str">
        <f>IFERROR(__xludf.DUMMYFUNCTION("""COMPUTED_VALUE"""),"RSC007004")</f>
        <v>RSC007004</v>
      </c>
      <c r="B6975" s="41" t="str">
        <f>IFERROR(__xludf.DUMMYFUNCTION("""COMPUTED_VALUE"""),"Aceholle ")</f>
        <v>Aceholle </v>
      </c>
    </row>
    <row r="6976">
      <c r="A6976" s="41" t="str">
        <f>IFERROR(__xludf.DUMMYFUNCTION("""COMPUTED_VALUE"""),"RSC007005")</f>
        <v>RSC007005</v>
      </c>
      <c r="B6976" s="41" t="str">
        <f>IFERROR(__xludf.DUMMYFUNCTION("""COMPUTED_VALUE"""),"mason!")</f>
        <v>mason!</v>
      </c>
    </row>
    <row r="6977">
      <c r="A6977" s="41" t="str">
        <f>IFERROR(__xludf.DUMMYFUNCTION("""COMPUTED_VALUE"""),"RSC007006")</f>
        <v>RSC007006</v>
      </c>
      <c r="B6977" s="41" t="str">
        <f>IFERROR(__xludf.DUMMYFUNCTION("""COMPUTED_VALUE"""),"Thoon")</f>
        <v>Thoon</v>
      </c>
    </row>
    <row r="6978">
      <c r="A6978" s="41" t="str">
        <f>IFERROR(__xludf.DUMMYFUNCTION("""COMPUTED_VALUE"""),"RSC007007")</f>
        <v>RSC007007</v>
      </c>
      <c r="B6978" s="41" t="str">
        <f>IFERROR(__xludf.DUMMYFUNCTION("""COMPUTED_VALUE"""),"lukemsnookems")</f>
        <v>lukemsnookems</v>
      </c>
    </row>
    <row r="6979">
      <c r="A6979" s="41" t="str">
        <f>IFERROR(__xludf.DUMMYFUNCTION("""COMPUTED_VALUE"""),"RSC007008")</f>
        <v>RSC007008</v>
      </c>
      <c r="B6979" s="41" t="str">
        <f>IFERROR(__xludf.DUMMYFUNCTION("""COMPUTED_VALUE"""),"Civilcarpet44")</f>
        <v>Civilcarpet44</v>
      </c>
    </row>
    <row r="6980">
      <c r="A6980" s="41" t="str">
        <f>IFERROR(__xludf.DUMMYFUNCTION("""COMPUTED_VALUE"""),"RSC007009")</f>
        <v>RSC007009</v>
      </c>
      <c r="B6980" s="41" t="str">
        <f>IFERROR(__xludf.DUMMYFUNCTION("""COMPUTED_VALUE"""),"Rather Be Fission")</f>
        <v>Rather Be Fission</v>
      </c>
    </row>
    <row r="6981">
      <c r="A6981" s="41" t="str">
        <f>IFERROR(__xludf.DUMMYFUNCTION("""COMPUTED_VALUE"""),"RSC007010")</f>
        <v>RSC007010</v>
      </c>
      <c r="B6981" s="41" t="str">
        <f>IFERROR(__xludf.DUMMYFUNCTION("""COMPUTED_VALUE"""),"Polaroid")</f>
        <v>Polaroid</v>
      </c>
    </row>
    <row r="6982">
      <c r="A6982" s="41" t="str">
        <f>IFERROR(__xludf.DUMMYFUNCTION("""COMPUTED_VALUE"""),"RSC007011")</f>
        <v>RSC007011</v>
      </c>
      <c r="B6982" s="41" t="str">
        <f>IFERROR(__xludf.DUMMYFUNCTION("""COMPUTED_VALUE"""),"Rieces")</f>
        <v>Rieces</v>
      </c>
    </row>
    <row r="6983">
      <c r="A6983" s="41" t="str">
        <f>IFERROR(__xludf.DUMMYFUNCTION("""COMPUTED_VALUE"""),"RSC007012")</f>
        <v>RSC007012</v>
      </c>
      <c r="B6983" s="41" t="str">
        <f>IFERROR(__xludf.DUMMYFUNCTION("""COMPUTED_VALUE"""),"Algae Bear")</f>
        <v>Algae Bear</v>
      </c>
    </row>
    <row r="6984">
      <c r="A6984" s="41" t="str">
        <f>IFERROR(__xludf.DUMMYFUNCTION("""COMPUTED_VALUE"""),"RSC007013")</f>
        <v>RSC007013</v>
      </c>
      <c r="B6984" s="41" t="str">
        <f>IFERROR(__xludf.DUMMYFUNCTION("""COMPUTED_VALUE"""),"Happy-ILLmore")</f>
        <v>Happy-ILLmore</v>
      </c>
    </row>
    <row r="6985">
      <c r="A6985" s="41" t="str">
        <f>IFERROR(__xludf.DUMMYFUNCTION("""COMPUTED_VALUE"""),"RSC007014")</f>
        <v>RSC007014</v>
      </c>
      <c r="B6985" s="41" t="str">
        <f>IFERROR(__xludf.DUMMYFUNCTION("""COMPUTED_VALUE"""),"sunline")</f>
        <v>sunline</v>
      </c>
    </row>
    <row r="6986">
      <c r="A6986" s="41" t="str">
        <f>IFERROR(__xludf.DUMMYFUNCTION("""COMPUTED_VALUE"""),"RSC007015")</f>
        <v>RSC007015</v>
      </c>
      <c r="B6986" s="41" t="str">
        <f>IFERROR(__xludf.DUMMYFUNCTION("""COMPUTED_VALUE"""),"Potter")</f>
        <v>Potter</v>
      </c>
    </row>
    <row r="6987">
      <c r="A6987" s="41" t="str">
        <f>IFERROR(__xludf.DUMMYFUNCTION("""COMPUTED_VALUE"""),"RSC007016")</f>
        <v>RSC007016</v>
      </c>
      <c r="B6987" s="41" t="str">
        <f>IFERROR(__xludf.DUMMYFUNCTION("""COMPUTED_VALUE"""),"DK Nyx")</f>
        <v>DK Nyx</v>
      </c>
    </row>
    <row r="6988">
      <c r="A6988" s="41" t="str">
        <f>IFERROR(__xludf.DUMMYFUNCTION("""COMPUTED_VALUE"""),"RSC007017")</f>
        <v>RSC007017</v>
      </c>
      <c r="B6988" s="41" t="str">
        <f>IFERROR(__xludf.DUMMYFUNCTION("""COMPUTED_VALUE"""),"speed_demon1215")</f>
        <v>speed_demon1215</v>
      </c>
    </row>
    <row r="6989">
      <c r="A6989" s="41" t="str">
        <f>IFERROR(__xludf.DUMMYFUNCTION("""COMPUTED_VALUE"""),"RSC007018")</f>
        <v>RSC007018</v>
      </c>
      <c r="B6989" s="41" t="str">
        <f>IFERROR(__xludf.DUMMYFUNCTION("""COMPUTED_VALUE"""),"vBoostedv")</f>
        <v>vBoostedv</v>
      </c>
    </row>
    <row r="6990">
      <c r="A6990" s="41" t="str">
        <f>IFERROR(__xludf.DUMMYFUNCTION("""COMPUTED_VALUE"""),"RSC007019")</f>
        <v>RSC007019</v>
      </c>
      <c r="B6990" s="41" t="str">
        <f>IFERROR(__xludf.DUMMYFUNCTION("""COMPUTED_VALUE"""),"SuperStupedlif")</f>
        <v>SuperStupedlif</v>
      </c>
    </row>
    <row r="6991">
      <c r="A6991" s="41" t="str">
        <f>IFERROR(__xludf.DUMMYFUNCTION("""COMPUTED_VALUE"""),"RSC007020")</f>
        <v>RSC007020</v>
      </c>
      <c r="B6991" s="41" t="str">
        <f>IFERROR(__xludf.DUMMYFUNCTION("""COMPUTED_VALUE"""),"UndrSizeFrog")</f>
        <v>UndrSizeFrog</v>
      </c>
    </row>
    <row r="6992">
      <c r="A6992" s="41" t="str">
        <f>IFERROR(__xludf.DUMMYFUNCTION("""COMPUTED_VALUE"""),"RSC007021")</f>
        <v>RSC007021</v>
      </c>
      <c r="B6992" s="41" t="str">
        <f>IFERROR(__xludf.DUMMYFUNCTION("""COMPUTED_VALUE"""),"Jomezus")</f>
        <v>Jomezus</v>
      </c>
    </row>
    <row r="6993">
      <c r="A6993" s="41" t="str">
        <f>IFERROR(__xludf.DUMMYFUNCTION("""COMPUTED_VALUE"""),"RSC007022")</f>
        <v>RSC007022</v>
      </c>
      <c r="B6993" s="41" t="str">
        <f>IFERROR(__xludf.DUMMYFUNCTION("""COMPUTED_VALUE"""),"Dbry.")</f>
        <v>Dbry.</v>
      </c>
    </row>
    <row r="6994">
      <c r="A6994" s="41" t="str">
        <f>IFERROR(__xludf.DUMMYFUNCTION("""COMPUTED_VALUE"""),"RSC007023")</f>
        <v>RSC007023</v>
      </c>
      <c r="B6994" s="41" t="str">
        <f>IFERROR(__xludf.DUMMYFUNCTION("""COMPUTED_VALUE"""),"Xenooo")</f>
        <v>Xenooo</v>
      </c>
    </row>
    <row r="6995">
      <c r="A6995" s="41" t="str">
        <f>IFERROR(__xludf.DUMMYFUNCTION("""COMPUTED_VALUE"""),"RSC007024")</f>
        <v>RSC007024</v>
      </c>
      <c r="B6995" s="41" t="str">
        <f>IFERROR(__xludf.DUMMYFUNCTION("""COMPUTED_VALUE"""),"Smyte")</f>
        <v>Smyte</v>
      </c>
    </row>
    <row r="6996">
      <c r="A6996" s="41" t="str">
        <f>IFERROR(__xludf.DUMMYFUNCTION("""COMPUTED_VALUE"""),"RSC007025")</f>
        <v>RSC007025</v>
      </c>
      <c r="B6996" s="41" t="str">
        <f>IFERROR(__xludf.DUMMYFUNCTION("""COMPUTED_VALUE"""),"OldManJify_PB")</f>
        <v>OldManJify_PB</v>
      </c>
    </row>
    <row r="6997">
      <c r="A6997" s="41" t="str">
        <f>IFERROR(__xludf.DUMMYFUNCTION("""COMPUTED_VALUE"""),"RSC007026")</f>
        <v>RSC007026</v>
      </c>
      <c r="B6997" s="41" t="str">
        <f>IFERROR(__xludf.DUMMYFUNCTION("""COMPUTED_VALUE"""),"Hey")</f>
        <v>Hey</v>
      </c>
    </row>
    <row r="6998">
      <c r="A6998" s="41" t="str">
        <f>IFERROR(__xludf.DUMMYFUNCTION("""COMPUTED_VALUE"""),"RSC007027")</f>
        <v>RSC007027</v>
      </c>
      <c r="B6998" s="41" t="str">
        <f>IFERROR(__xludf.DUMMYFUNCTION("""COMPUTED_VALUE"""),"Freak24")</f>
        <v>Freak24</v>
      </c>
    </row>
    <row r="6999">
      <c r="A6999" s="41" t="str">
        <f>IFERROR(__xludf.DUMMYFUNCTION("""COMPUTED_VALUE"""),"RSC007028")</f>
        <v>RSC007028</v>
      </c>
      <c r="B6999" s="41" t="str">
        <f>IFERROR(__xludf.DUMMYFUNCTION("""COMPUTED_VALUE"""),"ionic")</f>
        <v>ionic</v>
      </c>
    </row>
    <row r="7000">
      <c r="A7000" s="41" t="str">
        <f>IFERROR(__xludf.DUMMYFUNCTION("""COMPUTED_VALUE"""),"RSC007029")</f>
        <v>RSC007029</v>
      </c>
      <c r="B7000" s="41" t="str">
        <f>IFERROR(__xludf.DUMMYFUNCTION("""COMPUTED_VALUE"""),".Raging Zach")</f>
        <v>.Raging Zach</v>
      </c>
    </row>
    <row r="7001">
      <c r="A7001" s="41" t="str">
        <f>IFERROR(__xludf.DUMMYFUNCTION("""COMPUTED_VALUE"""),"RSC007030")</f>
        <v>RSC007030</v>
      </c>
      <c r="B7001" s="41" t="str">
        <f>IFERROR(__xludf.DUMMYFUNCTION("""COMPUTED_VALUE"""),"keemii")</f>
        <v>keemii</v>
      </c>
    </row>
    <row r="7002">
      <c r="A7002" s="41" t="str">
        <f>IFERROR(__xludf.DUMMYFUNCTION("""COMPUTED_VALUE"""),"RSC007031")</f>
        <v>RSC007031</v>
      </c>
      <c r="B7002" s="41" t="str">
        <f>IFERROR(__xludf.DUMMYFUNCTION("""COMPUTED_VALUE"""),"Soarz")</f>
        <v>Soarz</v>
      </c>
    </row>
    <row r="7003">
      <c r="A7003" s="41" t="str">
        <f>IFERROR(__xludf.DUMMYFUNCTION("""COMPUTED_VALUE"""),"RSC007032")</f>
        <v>RSC007032</v>
      </c>
      <c r="B7003" s="41" t="str">
        <f>IFERROR(__xludf.DUMMYFUNCTION("""COMPUTED_VALUE"""),"Sawyer")</f>
        <v>Sawyer</v>
      </c>
    </row>
    <row r="7004">
      <c r="A7004" s="41" t="str">
        <f>IFERROR(__xludf.DUMMYFUNCTION("""COMPUTED_VALUE"""),"RSC007033")</f>
        <v>RSC007033</v>
      </c>
      <c r="B7004" s="41" t="str">
        <f>IFERROR(__xludf.DUMMYFUNCTION("""COMPUTED_VALUE"""),"Burnset")</f>
        <v>Burnset</v>
      </c>
    </row>
    <row r="7005">
      <c r="A7005" s="41" t="str">
        <f>IFERROR(__xludf.DUMMYFUNCTION("""COMPUTED_VALUE"""),"RSC007034")</f>
        <v>RSC007034</v>
      </c>
      <c r="B7005" s="41" t="str">
        <f>IFERROR(__xludf.DUMMYFUNCTION("""COMPUTED_VALUE"""),"asumaRl")</f>
        <v>asumaRl</v>
      </c>
    </row>
    <row r="7006">
      <c r="A7006" s="41" t="str">
        <f>IFERROR(__xludf.DUMMYFUNCTION("""COMPUTED_VALUE"""),"RSC007035")</f>
        <v>RSC007035</v>
      </c>
      <c r="B7006" s="41" t="str">
        <f>IFERROR(__xludf.DUMMYFUNCTION("""COMPUTED_VALUE"""),"swah-")</f>
        <v>swah-</v>
      </c>
    </row>
    <row r="7007">
      <c r="A7007" s="41" t="str">
        <f>IFERROR(__xludf.DUMMYFUNCTION("""COMPUTED_VALUE"""),"RSC007036")</f>
        <v>RSC007036</v>
      </c>
      <c r="B7007" s="41" t="str">
        <f>IFERROR(__xludf.DUMMYFUNCTION("""COMPUTED_VALUE"""),"PoiisonDeath")</f>
        <v>PoiisonDeath</v>
      </c>
    </row>
    <row r="7008">
      <c r="A7008" s="41" t="str">
        <f>IFERROR(__xludf.DUMMYFUNCTION("""COMPUTED_VALUE"""),"RSC007037")</f>
        <v>RSC007037</v>
      </c>
      <c r="B7008" s="41" t="str">
        <f>IFERROR(__xludf.DUMMYFUNCTION("""COMPUTED_VALUE"""),"zoarnyrl")</f>
        <v>zoarnyrl</v>
      </c>
    </row>
    <row r="7009">
      <c r="A7009" s="41" t="str">
        <f>IFERROR(__xludf.DUMMYFUNCTION("""COMPUTED_VALUE"""),"RSC007038")</f>
        <v>RSC007038</v>
      </c>
      <c r="B7009" s="41" t="str">
        <f>IFERROR(__xludf.DUMMYFUNCTION("""COMPUTED_VALUE"""),"SaVaGe In WA")</f>
        <v>SaVaGe In WA</v>
      </c>
    </row>
    <row r="7010">
      <c r="A7010" s="41" t="str">
        <f>IFERROR(__xludf.DUMMYFUNCTION("""COMPUTED_VALUE"""),"RSC007039")</f>
        <v>RSC007039</v>
      </c>
      <c r="B7010" s="41" t="str">
        <f>IFERROR(__xludf.DUMMYFUNCTION("""COMPUTED_VALUE"""),"LaRuthlesss")</f>
        <v>LaRuthlesss</v>
      </c>
    </row>
    <row r="7011">
      <c r="A7011" s="41" t="str">
        <f>IFERROR(__xludf.DUMMYFUNCTION("""COMPUTED_VALUE"""),"RSC007040")</f>
        <v>RSC007040</v>
      </c>
      <c r="B7011" s="41" t="str">
        <f>IFERROR(__xludf.DUMMYFUNCTION("""COMPUTED_VALUE"""),"InfiniteMelodyy")</f>
        <v>InfiniteMelodyy</v>
      </c>
    </row>
    <row r="7012">
      <c r="A7012" s="41" t="str">
        <f>IFERROR(__xludf.DUMMYFUNCTION("""COMPUTED_VALUE"""),"RSC007041")</f>
        <v>RSC007041</v>
      </c>
      <c r="B7012" s="41" t="str">
        <f>IFERROR(__xludf.DUMMYFUNCTION("""COMPUTED_VALUE"""),"PitterPaddy")</f>
        <v>PitterPaddy</v>
      </c>
    </row>
    <row r="7013">
      <c r="A7013" s="41" t="str">
        <f>IFERROR(__xludf.DUMMYFUNCTION("""COMPUTED_VALUE"""),"RSC007042")</f>
        <v>RSC007042</v>
      </c>
      <c r="B7013" s="41" t="str">
        <f>IFERROR(__xludf.DUMMYFUNCTION("""COMPUTED_VALUE"""),"USMCSTRONG")</f>
        <v>USMCSTRONG</v>
      </c>
    </row>
    <row r="7014">
      <c r="A7014" s="41" t="str">
        <f>IFERROR(__xludf.DUMMYFUNCTION("""COMPUTED_VALUE"""),"RSC007043")</f>
        <v>RSC007043</v>
      </c>
      <c r="B7014" s="41" t="str">
        <f>IFERROR(__xludf.DUMMYFUNCTION("""COMPUTED_VALUE"""),"Skull")</f>
        <v>Skull</v>
      </c>
    </row>
    <row r="7015">
      <c r="A7015" s="41" t="str">
        <f>IFERROR(__xludf.DUMMYFUNCTION("""COMPUTED_VALUE"""),"RSC007044")</f>
        <v>RSC007044</v>
      </c>
      <c r="B7015" s="41" t="str">
        <f>IFERROR(__xludf.DUMMYFUNCTION("""COMPUTED_VALUE"""),"mink")</f>
        <v>mink</v>
      </c>
    </row>
    <row r="7016">
      <c r="A7016" s="41" t="str">
        <f>IFERROR(__xludf.DUMMYFUNCTION("""COMPUTED_VALUE"""),"RSC007045")</f>
        <v>RSC007045</v>
      </c>
      <c r="B7016" s="41" t="str">
        <f>IFERROR(__xludf.DUMMYFUNCTION("""COMPUTED_VALUE"""),"fetty_steve98")</f>
        <v>fetty_steve98</v>
      </c>
    </row>
    <row r="7017">
      <c r="A7017" s="41" t="str">
        <f>IFERROR(__xludf.DUMMYFUNCTION("""COMPUTED_VALUE"""),"RSC007046")</f>
        <v>RSC007046</v>
      </c>
      <c r="B7017" s="41" t="str">
        <f>IFERROR(__xludf.DUMMYFUNCTION("""COMPUTED_VALUE"""),"Juhstohh")</f>
        <v>Juhstohh</v>
      </c>
    </row>
    <row r="7018">
      <c r="A7018" s="41" t="str">
        <f>IFERROR(__xludf.DUMMYFUNCTION("""COMPUTED_VALUE"""),"RSC007047")</f>
        <v>RSC007047</v>
      </c>
      <c r="B7018" s="41" t="str">
        <f>IFERROR(__xludf.DUMMYFUNCTION("""COMPUTED_VALUE"""),"Korohime.")</f>
        <v>Korohime.</v>
      </c>
    </row>
    <row r="7019">
      <c r="A7019" s="41" t="str">
        <f>IFERROR(__xludf.DUMMYFUNCTION("""COMPUTED_VALUE"""),"RSC007048")</f>
        <v>RSC007048</v>
      </c>
      <c r="B7019" s="41" t="str">
        <f>IFERROR(__xludf.DUMMYFUNCTION("""COMPUTED_VALUE"""),"hephlex")</f>
        <v>hephlex</v>
      </c>
    </row>
    <row r="7020">
      <c r="A7020" s="41" t="str">
        <f>IFERROR(__xludf.DUMMYFUNCTION("""COMPUTED_VALUE"""),"RSC007049")</f>
        <v>RSC007049</v>
      </c>
      <c r="B7020" s="41" t="str">
        <f>IFERROR(__xludf.DUMMYFUNCTION("""COMPUTED_VALUE"""),"dillyn.")</f>
        <v>dillyn.</v>
      </c>
    </row>
    <row r="7021">
      <c r="A7021" s="41" t="str">
        <f>IFERROR(__xludf.DUMMYFUNCTION("""COMPUTED_VALUE"""),"RSC007050")</f>
        <v>RSC007050</v>
      </c>
      <c r="B7021" s="41" t="str">
        <f>IFERROR(__xludf.DUMMYFUNCTION("""COMPUTED_VALUE"""),"Claymore")</f>
        <v>Claymore</v>
      </c>
    </row>
    <row r="7022">
      <c r="A7022" s="41" t="str">
        <f>IFERROR(__xludf.DUMMYFUNCTION("""COMPUTED_VALUE"""),"RSC007051")</f>
        <v>RSC007051</v>
      </c>
      <c r="B7022" s="41" t="str">
        <f>IFERROR(__xludf.DUMMYFUNCTION("""COMPUTED_VALUE"""),"miguelangelo210")</f>
        <v>miguelangelo210</v>
      </c>
    </row>
    <row r="7023">
      <c r="A7023" s="41" t="str">
        <f>IFERROR(__xludf.DUMMYFUNCTION("""COMPUTED_VALUE"""),"RSC007052")</f>
        <v>RSC007052</v>
      </c>
      <c r="B7023" s="41" t="str">
        <f>IFERROR(__xludf.DUMMYFUNCTION("""COMPUTED_VALUE"""),"gav")</f>
        <v>gav</v>
      </c>
    </row>
    <row r="7024">
      <c r="A7024" s="41" t="str">
        <f>IFERROR(__xludf.DUMMYFUNCTION("""COMPUTED_VALUE"""),"RSC007053")</f>
        <v>RSC007053</v>
      </c>
      <c r="B7024" s="41" t="str">
        <f>IFERROR(__xludf.DUMMYFUNCTION("""COMPUTED_VALUE"""),"Michael")</f>
        <v>Michael</v>
      </c>
    </row>
    <row r="7025">
      <c r="A7025" s="41" t="str">
        <f>IFERROR(__xludf.DUMMYFUNCTION("""COMPUTED_VALUE"""),"RSC007054")</f>
        <v>RSC007054</v>
      </c>
      <c r="B7025" s="41" t="str">
        <f>IFERROR(__xludf.DUMMYFUNCTION("""COMPUTED_VALUE"""),"Saucy Bowen")</f>
        <v>Saucy Bowen</v>
      </c>
    </row>
    <row r="7026">
      <c r="A7026" s="41" t="str">
        <f>IFERROR(__xludf.DUMMYFUNCTION("""COMPUTED_VALUE"""),"RSC007055")</f>
        <v>RSC007055</v>
      </c>
      <c r="B7026" s="41" t="str">
        <f>IFERROR(__xludf.DUMMYFUNCTION("""COMPUTED_VALUE"""),"DFain")</f>
        <v>DFain</v>
      </c>
    </row>
    <row r="7027">
      <c r="A7027" s="41" t="str">
        <f>IFERROR(__xludf.DUMMYFUNCTION("""COMPUTED_VALUE"""),"RSC007056")</f>
        <v>RSC007056</v>
      </c>
      <c r="B7027" s="41" t="str">
        <f>IFERROR(__xludf.DUMMYFUNCTION("""COMPUTED_VALUE"""),"ChixulubFire")</f>
        <v>ChixulubFire</v>
      </c>
    </row>
    <row r="7028">
      <c r="A7028" s="41" t="str">
        <f>IFERROR(__xludf.DUMMYFUNCTION("""COMPUTED_VALUE"""),"RSC007057")</f>
        <v>RSC007057</v>
      </c>
      <c r="B7028" s="41" t="str">
        <f>IFERROR(__xludf.DUMMYFUNCTION("""COMPUTED_VALUE"""),"sinoda_20")</f>
        <v>sinoda_20</v>
      </c>
    </row>
    <row r="7029">
      <c r="A7029" s="41" t="str">
        <f>IFERROR(__xludf.DUMMYFUNCTION("""COMPUTED_VALUE"""),"RSC007058")</f>
        <v>RSC007058</v>
      </c>
      <c r="B7029" s="41" t="str">
        <f>IFERROR(__xludf.DUMMYFUNCTION("""COMPUTED_VALUE"""),"Maty!")</f>
        <v>Maty!</v>
      </c>
    </row>
    <row r="7030">
      <c r="A7030" s="41" t="str">
        <f>IFERROR(__xludf.DUMMYFUNCTION("""COMPUTED_VALUE"""),"RSC007059")</f>
        <v>RSC007059</v>
      </c>
      <c r="B7030" s="41" t="str">
        <f>IFERROR(__xludf.DUMMYFUNCTION("""COMPUTED_VALUE"""),"Mamba")</f>
        <v>Mamba</v>
      </c>
    </row>
    <row r="7031">
      <c r="A7031" s="41" t="str">
        <f>IFERROR(__xludf.DUMMYFUNCTION("""COMPUTED_VALUE"""),"RSC007060")</f>
        <v>RSC007060</v>
      </c>
      <c r="B7031" s="41" t="str">
        <f>IFERROR(__xludf.DUMMYFUNCTION("""COMPUTED_VALUE"""),"JKFrostyyyyy")</f>
        <v>JKFrostyyyyy</v>
      </c>
    </row>
    <row r="7032">
      <c r="A7032" s="41" t="str">
        <f>IFERROR(__xludf.DUMMYFUNCTION("""COMPUTED_VALUE"""),"RSC007061")</f>
        <v>RSC007061</v>
      </c>
      <c r="B7032" s="41" t="str">
        <f>IFERROR(__xludf.DUMMYFUNCTION("""COMPUTED_VALUE"""),"Tech Ty.")</f>
        <v>Tech Ty.</v>
      </c>
    </row>
    <row r="7033">
      <c r="A7033" s="41" t="str">
        <f>IFERROR(__xludf.DUMMYFUNCTION("""COMPUTED_VALUE"""),"RSC007062")</f>
        <v>RSC007062</v>
      </c>
      <c r="B7033" s="41" t="str">
        <f>IFERROR(__xludf.DUMMYFUNCTION("""COMPUTED_VALUE"""),"Ice Phoenix")</f>
        <v>Ice Phoenix</v>
      </c>
    </row>
    <row r="7034">
      <c r="A7034" s="41" t="str">
        <f>IFERROR(__xludf.DUMMYFUNCTION("""COMPUTED_VALUE"""),"RSC007063")</f>
        <v>RSC007063</v>
      </c>
      <c r="B7034" s="41" t="str">
        <f>IFERROR(__xludf.DUMMYFUNCTION("""COMPUTED_VALUE"""),"Galaphobic.")</f>
        <v>Galaphobic.</v>
      </c>
    </row>
    <row r="7035">
      <c r="A7035" s="41" t="str">
        <f>IFERROR(__xludf.DUMMYFUNCTION("""COMPUTED_VALUE"""),"RSC007064")</f>
        <v>RSC007064</v>
      </c>
      <c r="B7035" s="41" t="str">
        <f>IFERROR(__xludf.DUMMYFUNCTION("""COMPUTED_VALUE"""),"lostfatboy")</f>
        <v>lostfatboy</v>
      </c>
    </row>
    <row r="7036">
      <c r="A7036" s="41" t="str">
        <f>IFERROR(__xludf.DUMMYFUNCTION("""COMPUTED_VALUE"""),"RSC007065")</f>
        <v>RSC007065</v>
      </c>
      <c r="B7036" s="41" t="str">
        <f>IFERROR(__xludf.DUMMYFUNCTION("""COMPUTED_VALUE"""),"Rampage")</f>
        <v>Rampage</v>
      </c>
    </row>
    <row r="7037">
      <c r="A7037" s="41" t="str">
        <f>IFERROR(__xludf.DUMMYFUNCTION("""COMPUTED_VALUE"""),"RSC007066")</f>
        <v>RSC007066</v>
      </c>
      <c r="B7037" s="41" t="str">
        <f>IFERROR(__xludf.DUMMYFUNCTION("""COMPUTED_VALUE"""),"nyrome11")</f>
        <v>nyrome11</v>
      </c>
    </row>
    <row r="7038">
      <c r="A7038" s="41" t="str">
        <f>IFERROR(__xludf.DUMMYFUNCTION("""COMPUTED_VALUE"""),"RSC007067")</f>
        <v>RSC007067</v>
      </c>
      <c r="B7038" s="41" t="str">
        <f>IFERROR(__xludf.DUMMYFUNCTION("""COMPUTED_VALUE"""),"ThyChad_")</f>
        <v>ThyChad_</v>
      </c>
    </row>
    <row r="7039">
      <c r="A7039" s="41" t="str">
        <f>IFERROR(__xludf.DUMMYFUNCTION("""COMPUTED_VALUE"""),"RSC007068")</f>
        <v>RSC007068</v>
      </c>
      <c r="B7039" s="41" t="str">
        <f>IFERROR(__xludf.DUMMYFUNCTION("""COMPUTED_VALUE"""),"Kirit0 TTV")</f>
        <v>Kirit0 TTV</v>
      </c>
    </row>
    <row r="7040">
      <c r="A7040" s="41" t="str">
        <f>IFERROR(__xludf.DUMMYFUNCTION("""COMPUTED_VALUE"""),"RSC007069")</f>
        <v>RSC007069</v>
      </c>
      <c r="B7040" s="41" t="str">
        <f>IFERROR(__xludf.DUMMYFUNCTION("""COMPUTED_VALUE"""),"savage (Old)")</f>
        <v>savage (Old)</v>
      </c>
    </row>
    <row r="7041">
      <c r="A7041" s="41" t="str">
        <f>IFERROR(__xludf.DUMMYFUNCTION("""COMPUTED_VALUE"""),"RSC007070")</f>
        <v>RSC007070</v>
      </c>
      <c r="B7041" s="41" t="str">
        <f>IFERROR(__xludf.DUMMYFUNCTION("""COMPUTED_VALUE"""),"demha.")</f>
        <v>demha.</v>
      </c>
    </row>
    <row r="7042">
      <c r="A7042" s="41" t="str">
        <f>IFERROR(__xludf.DUMMYFUNCTION("""COMPUTED_VALUE"""),"RSC007071")</f>
        <v>RSC007071</v>
      </c>
      <c r="B7042" s="41" t="str">
        <f>IFERROR(__xludf.DUMMYFUNCTION("""COMPUTED_VALUE"""),"Ankur")</f>
        <v>Ankur</v>
      </c>
    </row>
    <row r="7043">
      <c r="A7043" s="41" t="str">
        <f>IFERROR(__xludf.DUMMYFUNCTION("""COMPUTED_VALUE"""),"RSC007072")</f>
        <v>RSC007072</v>
      </c>
      <c r="B7043" s="41" t="str">
        <f>IFERROR(__xludf.DUMMYFUNCTION("""COMPUTED_VALUE"""),"ResilienciaRL")</f>
        <v>ResilienciaRL</v>
      </c>
    </row>
    <row r="7044">
      <c r="A7044" s="41" t="str">
        <f>IFERROR(__xludf.DUMMYFUNCTION("""COMPUTED_VALUE"""),"RSC007073")</f>
        <v>RSC007073</v>
      </c>
      <c r="B7044" s="41" t="str">
        <f>IFERROR(__xludf.DUMMYFUNCTION("""COMPUTED_VALUE"""),"Staticpipee")</f>
        <v>Staticpipee</v>
      </c>
    </row>
    <row r="7045">
      <c r="A7045" s="41" t="str">
        <f>IFERROR(__xludf.DUMMYFUNCTION("""COMPUTED_VALUE"""),"RSC007074")</f>
        <v>RSC007074</v>
      </c>
      <c r="B7045" s="41" t="str">
        <f>IFERROR(__xludf.DUMMYFUNCTION("""COMPUTED_VALUE"""),"DrxShadowx")</f>
        <v>DrxShadowx</v>
      </c>
    </row>
    <row r="7046">
      <c r="A7046" s="41" t="str">
        <f>IFERROR(__xludf.DUMMYFUNCTION("""COMPUTED_VALUE"""),"RSC007075")</f>
        <v>RSC007075</v>
      </c>
      <c r="B7046" s="41" t="str">
        <f>IFERROR(__xludf.DUMMYFUNCTION("""COMPUTED_VALUE"""),"Ryu Gu")</f>
        <v>Ryu Gu</v>
      </c>
    </row>
    <row r="7047">
      <c r="A7047" s="41" t="str">
        <f>IFERROR(__xludf.DUMMYFUNCTION("""COMPUTED_VALUE"""),"RSC007076")</f>
        <v>RSC007076</v>
      </c>
      <c r="B7047" s="41" t="str">
        <f>IFERROR(__xludf.DUMMYFUNCTION("""COMPUTED_VALUE"""),"enigmatical")</f>
        <v>enigmatical</v>
      </c>
    </row>
    <row r="7048">
      <c r="A7048" s="41" t="str">
        <f>IFERROR(__xludf.DUMMYFUNCTION("""COMPUTED_VALUE"""),"RSC007077")</f>
        <v>RSC007077</v>
      </c>
      <c r="B7048" s="41" t="str">
        <f>IFERROR(__xludf.DUMMYFUNCTION("""COMPUTED_VALUE"""),"higsn")</f>
        <v>higsn</v>
      </c>
    </row>
    <row r="7049">
      <c r="A7049" s="41" t="str">
        <f>IFERROR(__xludf.DUMMYFUNCTION("""COMPUTED_VALUE"""),"RSC007078")</f>
        <v>RSC007078</v>
      </c>
      <c r="B7049" s="41" t="str">
        <f>IFERROR(__xludf.DUMMYFUNCTION("""COMPUTED_VALUE"""),"tac")</f>
        <v>tac</v>
      </c>
    </row>
    <row r="7050">
      <c r="A7050" s="41" t="str">
        <f>IFERROR(__xludf.DUMMYFUNCTION("""COMPUTED_VALUE"""),"RSC007079")</f>
        <v>RSC007079</v>
      </c>
      <c r="B7050" s="41" t="str">
        <f>IFERROR(__xludf.DUMMYFUNCTION("""COMPUTED_VALUE"""),"ITZxJP")</f>
        <v>ITZxJP</v>
      </c>
    </row>
    <row r="7051">
      <c r="A7051" s="41" t="str">
        <f>IFERROR(__xludf.DUMMYFUNCTION("""COMPUTED_VALUE"""),"RSC007080")</f>
        <v>RSC007080</v>
      </c>
      <c r="B7051" s="41" t="str">
        <f>IFERROR(__xludf.DUMMYFUNCTION("""COMPUTED_VALUE"""),"Kamkan999")</f>
        <v>Kamkan999</v>
      </c>
    </row>
    <row r="7052">
      <c r="A7052" s="41" t="str">
        <f>IFERROR(__xludf.DUMMYFUNCTION("""COMPUTED_VALUE"""),"RSC007081")</f>
        <v>RSC007081</v>
      </c>
      <c r="B7052" s="41" t="str">
        <f>IFERROR(__xludf.DUMMYFUNCTION("""COMPUTED_VALUE"""),"zushifs")</f>
        <v>zushifs</v>
      </c>
    </row>
    <row r="7053">
      <c r="A7053" s="41" t="str">
        <f>IFERROR(__xludf.DUMMYFUNCTION("""COMPUTED_VALUE"""),"RSC007082")</f>
        <v>RSC007082</v>
      </c>
      <c r="B7053" s="41" t="str">
        <f>IFERROR(__xludf.DUMMYFUNCTION("""COMPUTED_VALUE"""),"ZinoT")</f>
        <v>ZinoT</v>
      </c>
    </row>
    <row r="7054">
      <c r="A7054" s="41" t="str">
        <f>IFERROR(__xludf.DUMMYFUNCTION("""COMPUTED_VALUE"""),"RSC007083")</f>
        <v>RSC007083</v>
      </c>
      <c r="B7054" s="41" t="str">
        <f>IFERROR(__xludf.DUMMYFUNCTION("""COMPUTED_VALUE"""),"Bear")</f>
        <v>Bear</v>
      </c>
    </row>
    <row r="7055">
      <c r="A7055" s="41" t="str">
        <f>IFERROR(__xludf.DUMMYFUNCTION("""COMPUTED_VALUE"""),"RSC007084")</f>
        <v>RSC007084</v>
      </c>
      <c r="B7055" s="41" t="str">
        <f>IFERROR(__xludf.DUMMYFUNCTION("""COMPUTED_VALUE"""),"David")</f>
        <v>David</v>
      </c>
    </row>
    <row r="7056">
      <c r="A7056" s="41" t="str">
        <f>IFERROR(__xludf.DUMMYFUNCTION("""COMPUTED_VALUE"""),"RSC007085")</f>
        <v>RSC007085</v>
      </c>
      <c r="B7056" s="41" t="str">
        <f>IFERROR(__xludf.DUMMYFUNCTION("""COMPUTED_VALUE"""),"Raygozia")</f>
        <v>Raygozia</v>
      </c>
    </row>
    <row r="7057">
      <c r="A7057" s="41" t="str">
        <f>IFERROR(__xludf.DUMMYFUNCTION("""COMPUTED_VALUE"""),"RSC007086")</f>
        <v>RSC007086</v>
      </c>
      <c r="B7057" s="41" t="str">
        <f>IFERROR(__xludf.DUMMYFUNCTION("""COMPUTED_VALUE"""),"BobBahutski")</f>
        <v>BobBahutski</v>
      </c>
    </row>
    <row r="7058">
      <c r="A7058" s="41" t="str">
        <f>IFERROR(__xludf.DUMMYFUNCTION("""COMPUTED_VALUE"""),"RSC007087")</f>
        <v>RSC007087</v>
      </c>
      <c r="B7058" s="41" t="str">
        <f>IFERROR(__xludf.DUMMYFUNCTION("""COMPUTED_VALUE"""),"Grand Trashcan")</f>
        <v>Grand Trashcan</v>
      </c>
    </row>
    <row r="7059">
      <c r="A7059" s="41" t="str">
        <f>IFERROR(__xludf.DUMMYFUNCTION("""COMPUTED_VALUE"""),"RSC007088")</f>
        <v>RSC007088</v>
      </c>
      <c r="B7059" s="41" t="str">
        <f>IFERROR(__xludf.DUMMYFUNCTION("""COMPUTED_VALUE"""),"Evan'ol")</f>
        <v>Evan'ol</v>
      </c>
    </row>
    <row r="7060">
      <c r="A7060" s="41" t="str">
        <f>IFERROR(__xludf.DUMMYFUNCTION("""COMPUTED_VALUE"""),"RSC007089")</f>
        <v>RSC007089</v>
      </c>
      <c r="B7060" s="41" t="str">
        <f>IFERROR(__xludf.DUMMYFUNCTION("""COMPUTED_VALUE"""),"DB3rt11")</f>
        <v>DB3rt11</v>
      </c>
    </row>
    <row r="7061">
      <c r="A7061" s="41" t="str">
        <f>IFERROR(__xludf.DUMMYFUNCTION("""COMPUTED_VALUE"""),"RSC007090")</f>
        <v>RSC007090</v>
      </c>
      <c r="B7061" s="41" t="str">
        <f>IFERROR(__xludf.DUMMYFUNCTION("""COMPUTED_VALUE"""),"dweller_mist")</f>
        <v>dweller_mist</v>
      </c>
    </row>
    <row r="7062">
      <c r="A7062" s="41" t="str">
        <f>IFERROR(__xludf.DUMMYFUNCTION("""COMPUTED_VALUE"""),"RSC007091")</f>
        <v>RSC007091</v>
      </c>
      <c r="B7062" s="41" t="str">
        <f>IFERROR(__xludf.DUMMYFUNCTION("""COMPUTED_VALUE"""),"sansbar")</f>
        <v>sansbar</v>
      </c>
    </row>
    <row r="7063">
      <c r="A7063" s="41" t="str">
        <f>IFERROR(__xludf.DUMMYFUNCTION("""COMPUTED_VALUE"""),"RSC007092")</f>
        <v>RSC007092</v>
      </c>
      <c r="B7063" s="41" t="str">
        <f>IFERROR(__xludf.DUMMYFUNCTION("""COMPUTED_VALUE"""),"Minjaaa")</f>
        <v>Minjaaa</v>
      </c>
    </row>
    <row r="7064">
      <c r="A7064" s="41" t="str">
        <f>IFERROR(__xludf.DUMMYFUNCTION("""COMPUTED_VALUE"""),"RSC007093")</f>
        <v>RSC007093</v>
      </c>
      <c r="B7064" s="41" t="str">
        <f>IFERROR(__xludf.DUMMYFUNCTION("""COMPUTED_VALUE"""),"Mangy")</f>
        <v>Mangy</v>
      </c>
    </row>
    <row r="7065">
      <c r="A7065" s="41" t="str">
        <f>IFERROR(__xludf.DUMMYFUNCTION("""COMPUTED_VALUE"""),"RSC007094")</f>
        <v>RSC007094</v>
      </c>
      <c r="B7065" s="41" t="str">
        <f>IFERROR(__xludf.DUMMYFUNCTION("""COMPUTED_VALUE"""),"Craiger32")</f>
        <v>Craiger32</v>
      </c>
    </row>
    <row r="7066">
      <c r="A7066" s="41" t="str">
        <f>IFERROR(__xludf.DUMMYFUNCTION("""COMPUTED_VALUE"""),"RSC007095")</f>
        <v>RSC007095</v>
      </c>
      <c r="B7066" s="41" t="str">
        <f>IFERROR(__xludf.DUMMYFUNCTION("""COMPUTED_VALUE"""),"slaw")</f>
        <v>slaw</v>
      </c>
    </row>
    <row r="7067">
      <c r="A7067" s="41" t="str">
        <f>IFERROR(__xludf.DUMMYFUNCTION("""COMPUTED_VALUE"""),"RSC007096")</f>
        <v>RSC007096</v>
      </c>
      <c r="B7067" s="41" t="str">
        <f>IFERROR(__xludf.DUMMYFUNCTION("""COMPUTED_VALUE"""),"Nando")</f>
        <v>Nando</v>
      </c>
    </row>
    <row r="7068">
      <c r="A7068" s="41" t="str">
        <f>IFERROR(__xludf.DUMMYFUNCTION("""COMPUTED_VALUE"""),"RSC007097")</f>
        <v>RSC007097</v>
      </c>
      <c r="B7068" s="41" t="str">
        <f>IFERROR(__xludf.DUMMYFUNCTION("""COMPUTED_VALUE"""),"INEVERWIN657")</f>
        <v>INEVERWIN657</v>
      </c>
    </row>
    <row r="7069">
      <c r="A7069" s="41" t="str">
        <f>IFERROR(__xludf.DUMMYFUNCTION("""COMPUTED_VALUE"""),"RSC007098")</f>
        <v>RSC007098</v>
      </c>
      <c r="B7069" s="41" t="str">
        <f>IFERROR(__xludf.DUMMYFUNCTION("""COMPUTED_VALUE"""),"reis mcguire")</f>
        <v>reis mcguire</v>
      </c>
    </row>
    <row r="7070">
      <c r="A7070" s="41" t="str">
        <f>IFERROR(__xludf.DUMMYFUNCTION("""COMPUTED_VALUE"""),"RSC007099")</f>
        <v>RSC007099</v>
      </c>
      <c r="B7070" s="41" t="str">
        <f>IFERROR(__xludf.DUMMYFUNCTION("""COMPUTED_VALUE"""),"clankerh8er49")</f>
        <v>clankerh8er49</v>
      </c>
    </row>
    <row r="7071">
      <c r="A7071" s="41" t="str">
        <f>IFERROR(__xludf.DUMMYFUNCTION("""COMPUTED_VALUE"""),"RSC007100")</f>
        <v>RSC007100</v>
      </c>
      <c r="B7071" s="41" t="str">
        <f>IFERROR(__xludf.DUMMYFUNCTION("""COMPUTED_VALUE"""),"ltr rtx")</f>
        <v>ltr rtx</v>
      </c>
    </row>
    <row r="7072">
      <c r="A7072" s="41" t="str">
        <f>IFERROR(__xludf.DUMMYFUNCTION("""COMPUTED_VALUE"""),"RSC007101")</f>
        <v>RSC007101</v>
      </c>
      <c r="B7072" s="41" t="str">
        <f>IFERROR(__xludf.DUMMYFUNCTION("""COMPUTED_VALUE"""),"xwdri")</f>
        <v>xwdri</v>
      </c>
    </row>
    <row r="7073">
      <c r="A7073" s="41" t="str">
        <f>IFERROR(__xludf.DUMMYFUNCTION("""COMPUTED_VALUE"""),"RSC007102")</f>
        <v>RSC007102</v>
      </c>
      <c r="B7073" s="41" t="str">
        <f>IFERROR(__xludf.DUMMYFUNCTION("""COMPUTED_VALUE"""),"tepochtli_13")</f>
        <v>tepochtli_13</v>
      </c>
    </row>
    <row r="7074">
      <c r="A7074" s="41" t="str">
        <f>IFERROR(__xludf.DUMMYFUNCTION("""COMPUTED_VALUE"""),"RSC007103")</f>
        <v>RSC007103</v>
      </c>
      <c r="B7074" s="41" t="str">
        <f>IFERROR(__xludf.DUMMYFUNCTION("""COMPUTED_VALUE"""),"gxxvm")</f>
        <v>gxxvm</v>
      </c>
    </row>
    <row r="7075">
      <c r="A7075" s="41" t="str">
        <f>IFERROR(__xludf.DUMMYFUNCTION("""COMPUTED_VALUE"""),"RSC007104")</f>
        <v>RSC007104</v>
      </c>
      <c r="B7075" s="41" t="str">
        <f>IFERROR(__xludf.DUMMYFUNCTION("""COMPUTED_VALUE"""),"sttch.")</f>
        <v>sttch.</v>
      </c>
    </row>
    <row r="7076">
      <c r="A7076" s="41" t="str">
        <f>IFERROR(__xludf.DUMMYFUNCTION("""COMPUTED_VALUE"""),"RSC007105")</f>
        <v>RSC007105</v>
      </c>
      <c r="B7076" s="41" t="str">
        <f>IFERROR(__xludf.DUMMYFUNCTION("""COMPUTED_VALUE"""),"Thrifty 2 Sweet")</f>
        <v>Thrifty 2 Sweet</v>
      </c>
    </row>
    <row r="7077">
      <c r="A7077" s="41" t="str">
        <f>IFERROR(__xludf.DUMMYFUNCTION("""COMPUTED_VALUE"""),"RSC007106")</f>
        <v>RSC007106</v>
      </c>
      <c r="B7077" s="41" t="str">
        <f>IFERROR(__xludf.DUMMYFUNCTION("""COMPUTED_VALUE"""),"Sim")</f>
        <v>Sim</v>
      </c>
    </row>
    <row r="7078">
      <c r="A7078" s="41" t="str">
        <f>IFERROR(__xludf.DUMMYFUNCTION("""COMPUTED_VALUE"""),"RSC007107")</f>
        <v>RSC007107</v>
      </c>
      <c r="B7078" s="41" t="str">
        <f>IFERROR(__xludf.DUMMYFUNCTION("""COMPUTED_VALUE"""),"Komi")</f>
        <v>Komi</v>
      </c>
    </row>
    <row r="7079">
      <c r="A7079" s="41" t="str">
        <f>IFERROR(__xludf.DUMMYFUNCTION("""COMPUTED_VALUE"""),"RSC007108")</f>
        <v>RSC007108</v>
      </c>
      <c r="B7079" s="41" t="str">
        <f>IFERROR(__xludf.DUMMYFUNCTION("""COMPUTED_VALUE"""),"stinkydyl")</f>
        <v>stinkydyl</v>
      </c>
    </row>
    <row r="7080">
      <c r="A7080" s="41" t="str">
        <f>IFERROR(__xludf.DUMMYFUNCTION("""COMPUTED_VALUE"""),"RSC007109")</f>
        <v>RSC007109</v>
      </c>
      <c r="B7080" s="41" t="str">
        <f>IFERROR(__xludf.DUMMYFUNCTION("""COMPUTED_VALUE"""),"BoomyBaby")</f>
        <v>BoomyBaby</v>
      </c>
    </row>
    <row r="7081">
      <c r="A7081" s="41" t="str">
        <f>IFERROR(__xludf.DUMMYFUNCTION("""COMPUTED_VALUE"""),"RSC007110")</f>
        <v>RSC007110</v>
      </c>
      <c r="B7081" s="41" t="str">
        <f>IFERROR(__xludf.DUMMYFUNCTION("""COMPUTED_VALUE"""),"RomeoMims")</f>
        <v>RomeoMims</v>
      </c>
    </row>
    <row r="7082">
      <c r="A7082" s="41" t="str">
        <f>IFERROR(__xludf.DUMMYFUNCTION("""COMPUTED_VALUE"""),"RSC007111")</f>
        <v>RSC007111</v>
      </c>
      <c r="B7082" s="41" t="str">
        <f>IFERROR(__xludf.DUMMYFUNCTION("""COMPUTED_VALUE"""),"Volt")</f>
        <v>Volt</v>
      </c>
    </row>
    <row r="7083">
      <c r="A7083" s="41" t="str">
        <f>IFERROR(__xludf.DUMMYFUNCTION("""COMPUTED_VALUE"""),"RSC007112")</f>
        <v>RSC007112</v>
      </c>
      <c r="B7083" s="41" t="str">
        <f>IFERROR(__xludf.DUMMYFUNCTION("""COMPUTED_VALUE"""),"Zack4343")</f>
        <v>Zack4343</v>
      </c>
    </row>
    <row r="7084">
      <c r="A7084" s="41" t="str">
        <f>IFERROR(__xludf.DUMMYFUNCTION("""COMPUTED_VALUE"""),"RSC007113")</f>
        <v>RSC007113</v>
      </c>
      <c r="B7084" s="41" t="str">
        <f>IFERROR(__xludf.DUMMYFUNCTION("""COMPUTED_VALUE"""),"TRS_Rival")</f>
        <v>TRS_Rival</v>
      </c>
    </row>
    <row r="7085">
      <c r="A7085" s="41" t="str">
        <f>IFERROR(__xludf.DUMMYFUNCTION("""COMPUTED_VALUE"""),"RSC007114")</f>
        <v>RSC007114</v>
      </c>
      <c r="B7085" s="41" t="str">
        <f>IFERROR(__xludf.DUMMYFUNCTION("""COMPUTED_VALUE"""),"getwired1")</f>
        <v>getwired1</v>
      </c>
    </row>
    <row r="7086">
      <c r="A7086" s="41" t="str">
        <f>IFERROR(__xludf.DUMMYFUNCTION("""COMPUTED_VALUE"""),"RSC007115")</f>
        <v>RSC007115</v>
      </c>
      <c r="B7086" s="41" t="str">
        <f>IFERROR(__xludf.DUMMYFUNCTION("""COMPUTED_VALUE"""),"Zoomin")</f>
        <v>Zoomin</v>
      </c>
    </row>
    <row r="7087">
      <c r="A7087" s="41" t="str">
        <f>IFERROR(__xludf.DUMMYFUNCTION("""COMPUTED_VALUE"""),"RSC007116")</f>
        <v>RSC007116</v>
      </c>
      <c r="B7087" s="41" t="str">
        <f>IFERROR(__xludf.DUMMYFUNCTION("""COMPUTED_VALUE"""),"Soddy")</f>
        <v>Soddy</v>
      </c>
    </row>
    <row r="7088">
      <c r="A7088" s="41" t="str">
        <f>IFERROR(__xludf.DUMMYFUNCTION("""COMPUTED_VALUE"""),"RSC007117")</f>
        <v>RSC007117</v>
      </c>
      <c r="B7088" s="41" t="str">
        <f>IFERROR(__xludf.DUMMYFUNCTION("""COMPUTED_VALUE"""),"Septunes")</f>
        <v>Septunes</v>
      </c>
    </row>
    <row r="7089">
      <c r="A7089" s="41" t="str">
        <f>IFERROR(__xludf.DUMMYFUNCTION("""COMPUTED_VALUE"""),"RSC007118")</f>
        <v>RSC007118</v>
      </c>
      <c r="B7089" s="41" t="str">
        <f>IFERROR(__xludf.DUMMYFUNCTION("""COMPUTED_VALUE"""),"Vampress Maru")</f>
        <v>Vampress Maru</v>
      </c>
    </row>
    <row r="7090">
      <c r="A7090" s="41" t="str">
        <f>IFERROR(__xludf.DUMMYFUNCTION("""COMPUTED_VALUE"""),"RSC007119")</f>
        <v>RSC007119</v>
      </c>
      <c r="B7090" s="41" t="str">
        <f>IFERROR(__xludf.DUMMYFUNCTION("""COMPUTED_VALUE"""),"EvilSuperman_")</f>
        <v>EvilSuperman_</v>
      </c>
    </row>
    <row r="7091">
      <c r="A7091" s="41" t="str">
        <f>IFERROR(__xludf.DUMMYFUNCTION("""COMPUTED_VALUE"""),"RSC007120")</f>
        <v>RSC007120</v>
      </c>
      <c r="B7091" s="41" t="str">
        <f>IFERROR(__xludf.DUMMYFUNCTION("""COMPUTED_VALUE"""),"freedom")</f>
        <v>freedom</v>
      </c>
    </row>
    <row r="7092">
      <c r="A7092" s="41" t="str">
        <f>IFERROR(__xludf.DUMMYFUNCTION("""COMPUTED_VALUE"""),"RSC007121")</f>
        <v>RSC007121</v>
      </c>
      <c r="B7092" s="41" t="str">
        <f>IFERROR(__xludf.DUMMYFUNCTION("""COMPUTED_VALUE"""),"Starfall")</f>
        <v>Starfall</v>
      </c>
    </row>
    <row r="7093">
      <c r="A7093" s="41" t="str">
        <f>IFERROR(__xludf.DUMMYFUNCTION("""COMPUTED_VALUE"""),"RSC007122")</f>
        <v>RSC007122</v>
      </c>
      <c r="B7093" s="41" t="str">
        <f>IFERROR(__xludf.DUMMYFUNCTION("""COMPUTED_VALUE"""),"deshikaze")</f>
        <v>deshikaze</v>
      </c>
    </row>
    <row r="7094">
      <c r="A7094" s="41" t="str">
        <f>IFERROR(__xludf.DUMMYFUNCTION("""COMPUTED_VALUE"""),"RSC007123")</f>
        <v>RSC007123</v>
      </c>
      <c r="B7094" s="41" t="str">
        <f>IFERROR(__xludf.DUMMYFUNCTION("""COMPUTED_VALUE"""),"Borp")</f>
        <v>Borp</v>
      </c>
    </row>
    <row r="7095">
      <c r="A7095" s="41" t="str">
        <f>IFERROR(__xludf.DUMMYFUNCTION("""COMPUTED_VALUE"""),"RSC007124")</f>
        <v>RSC007124</v>
      </c>
      <c r="B7095" s="41" t="str">
        <f>IFERROR(__xludf.DUMMYFUNCTION("""COMPUTED_VALUE"""),"kole")</f>
        <v>kole</v>
      </c>
    </row>
    <row r="7096">
      <c r="A7096" s="41" t="str">
        <f>IFERROR(__xludf.DUMMYFUNCTION("""COMPUTED_VALUE"""),"RSC007125")</f>
        <v>RSC007125</v>
      </c>
      <c r="B7096" s="41" t="str">
        <f>IFERROR(__xludf.DUMMYFUNCTION("""COMPUTED_VALUE"""),"SceptreRL")</f>
        <v>SceptreRL</v>
      </c>
    </row>
    <row r="7097">
      <c r="A7097" s="41" t="str">
        <f>IFERROR(__xludf.DUMMYFUNCTION("""COMPUTED_VALUE"""),"RSC007126")</f>
        <v>RSC007126</v>
      </c>
      <c r="B7097" s="41" t="str">
        <f>IFERROR(__xludf.DUMMYFUNCTION("""COMPUTED_VALUE"""),"crimson7558")</f>
        <v>crimson7558</v>
      </c>
    </row>
    <row r="7098">
      <c r="A7098" s="41" t="str">
        <f>IFERROR(__xludf.DUMMYFUNCTION("""COMPUTED_VALUE"""),"RSC007127")</f>
        <v>RSC007127</v>
      </c>
      <c r="B7098" s="41" t="str">
        <f>IFERROR(__xludf.DUMMYFUNCTION("""COMPUTED_VALUE"""),"Jacquez")</f>
        <v>Jacquez</v>
      </c>
    </row>
    <row r="7099">
      <c r="A7099" s="41" t="str">
        <f>IFERROR(__xludf.DUMMYFUNCTION("""COMPUTED_VALUE"""),"RSC007128")</f>
        <v>RSC007128</v>
      </c>
      <c r="B7099" s="41" t="str">
        <f>IFERROR(__xludf.DUMMYFUNCTION("""COMPUTED_VALUE"""),"felleroff")</f>
        <v>felleroff</v>
      </c>
    </row>
    <row r="7100">
      <c r="A7100" s="41" t="str">
        <f>IFERROR(__xludf.DUMMYFUNCTION("""COMPUTED_VALUE"""),"RSC007129")</f>
        <v>RSC007129</v>
      </c>
      <c r="B7100" s="41" t="str">
        <f>IFERROR(__xludf.DUMMYFUNCTION("""COMPUTED_VALUE"""),"EKA Luminous")</f>
        <v>EKA Luminous</v>
      </c>
    </row>
    <row r="7101">
      <c r="A7101" s="41" t="str">
        <f>IFERROR(__xludf.DUMMYFUNCTION("""COMPUTED_VALUE"""),"RSC007130")</f>
        <v>RSC007130</v>
      </c>
      <c r="B7101" s="41" t="str">
        <f>IFERROR(__xludf.DUMMYFUNCTION("""COMPUTED_VALUE"""),"Saucy.")</f>
        <v>Saucy.</v>
      </c>
    </row>
    <row r="7102">
      <c r="A7102" s="41" t="str">
        <f>IFERROR(__xludf.DUMMYFUNCTION("""COMPUTED_VALUE"""),"RSC007131")</f>
        <v>RSC007131</v>
      </c>
      <c r="B7102" s="41" t="str">
        <f>IFERROR(__xludf.DUMMYFUNCTION("""COMPUTED_VALUE"""),"BankShark")</f>
        <v>BankShark</v>
      </c>
    </row>
    <row r="7103">
      <c r="A7103" s="41" t="str">
        <f>IFERROR(__xludf.DUMMYFUNCTION("""COMPUTED_VALUE"""),"RSC007132")</f>
        <v>RSC007132</v>
      </c>
      <c r="B7103" s="41" t="str">
        <f>IFERROR(__xludf.DUMMYFUNCTION("""COMPUTED_VALUE"""),"Yoyo")</f>
        <v>Yoyo</v>
      </c>
    </row>
    <row r="7104">
      <c r="A7104" s="41" t="str">
        <f>IFERROR(__xludf.DUMMYFUNCTION("""COMPUTED_VALUE"""),"RSC007133")</f>
        <v>RSC007133</v>
      </c>
      <c r="B7104" s="41" t="str">
        <f>IFERROR(__xludf.DUMMYFUNCTION("""COMPUTED_VALUE"""),"henrald.")</f>
        <v>henrald.</v>
      </c>
    </row>
    <row r="7105">
      <c r="A7105" s="41" t="str">
        <f>IFERROR(__xludf.DUMMYFUNCTION("""COMPUTED_VALUE"""),"RSC007134")</f>
        <v>RSC007134</v>
      </c>
      <c r="B7105" s="41" t="str">
        <f>IFERROR(__xludf.DUMMYFUNCTION("""COMPUTED_VALUE"""),"figgy")</f>
        <v>figgy</v>
      </c>
    </row>
    <row r="7106">
      <c r="A7106" s="41" t="str">
        <f>IFERROR(__xludf.DUMMYFUNCTION("""COMPUTED_VALUE"""),"RSC007135")</f>
        <v>RSC007135</v>
      </c>
      <c r="B7106" s="41" t="str">
        <f>IFERROR(__xludf.DUMMYFUNCTION("""COMPUTED_VALUE"""),"Bats")</f>
        <v>Bats</v>
      </c>
    </row>
    <row r="7107">
      <c r="A7107" s="41" t="str">
        <f>IFERROR(__xludf.DUMMYFUNCTION("""COMPUTED_VALUE"""),"RSC007136")</f>
        <v>RSC007136</v>
      </c>
      <c r="B7107" s="41" t="str">
        <f>IFERROR(__xludf.DUMMYFUNCTION("""COMPUTED_VALUE"""),"Zolt4nXD")</f>
        <v>Zolt4nXD</v>
      </c>
    </row>
    <row r="7108">
      <c r="A7108" s="41" t="str">
        <f>IFERROR(__xludf.DUMMYFUNCTION("""COMPUTED_VALUE"""),"RSC007137")</f>
        <v>RSC007137</v>
      </c>
      <c r="B7108" s="41" t="str">
        <f>IFERROR(__xludf.DUMMYFUNCTION("""COMPUTED_VALUE"""),"Kai.")</f>
        <v>Kai.</v>
      </c>
    </row>
    <row r="7109">
      <c r="A7109" s="41" t="str">
        <f>IFERROR(__xludf.DUMMYFUNCTION("""COMPUTED_VALUE"""),"RSC007138")</f>
        <v>RSC007138</v>
      </c>
      <c r="B7109" s="41" t="str">
        <f>IFERROR(__xludf.DUMMYFUNCTION("""COMPUTED_VALUE"""),"GFC-RAIDER")</f>
        <v>GFC-RAIDER</v>
      </c>
    </row>
    <row r="7110">
      <c r="A7110" s="41" t="str">
        <f>IFERROR(__xludf.DUMMYFUNCTION("""COMPUTED_VALUE"""),"RSC007139")</f>
        <v>RSC007139</v>
      </c>
      <c r="B7110" s="41" t="str">
        <f>IFERROR(__xludf.DUMMYFUNCTION("""COMPUTED_VALUE"""),"smurflss")</f>
        <v>smurflss</v>
      </c>
    </row>
    <row r="7111">
      <c r="A7111" s="41" t="str">
        <f>IFERROR(__xludf.DUMMYFUNCTION("""COMPUTED_VALUE"""),"RSC007140")</f>
        <v>RSC007140</v>
      </c>
      <c r="B7111" s="41" t="str">
        <f>IFERROR(__xludf.DUMMYFUNCTION("""COMPUTED_VALUE"""),"YoB1ACKSH33P")</f>
        <v>YoB1ACKSH33P</v>
      </c>
    </row>
    <row r="7112">
      <c r="A7112" s="41" t="str">
        <f>IFERROR(__xludf.DUMMYFUNCTION("""COMPUTED_VALUE"""),"RSC007141")</f>
        <v>RSC007141</v>
      </c>
      <c r="B7112" s="41" t="str">
        <f>IFERROR(__xludf.DUMMYFUNCTION("""COMPUTED_VALUE"""),"Cuddlingus")</f>
        <v>Cuddlingus</v>
      </c>
    </row>
    <row r="7113">
      <c r="A7113" s="41" t="str">
        <f>IFERROR(__xludf.DUMMYFUNCTION("""COMPUTED_VALUE"""),"RSC007142")</f>
        <v>RSC007142</v>
      </c>
      <c r="B7113" s="41" t="str">
        <f>IFERROR(__xludf.DUMMYFUNCTION("""COMPUTED_VALUE"""),"VolticVibes")</f>
        <v>VolticVibes</v>
      </c>
    </row>
    <row r="7114">
      <c r="A7114" s="41" t="str">
        <f>IFERROR(__xludf.DUMMYFUNCTION("""COMPUTED_VALUE"""),"RSC007143")</f>
        <v>RSC007143</v>
      </c>
      <c r="B7114" s="41" t="str">
        <f>IFERROR(__xludf.DUMMYFUNCTION("""COMPUTED_VALUE"""),"OmniMurders")</f>
        <v>OmniMurders</v>
      </c>
    </row>
    <row r="7115">
      <c r="A7115" s="41" t="str">
        <f>IFERROR(__xludf.DUMMYFUNCTION("""COMPUTED_VALUE"""),"RSC007144")</f>
        <v>RSC007144</v>
      </c>
      <c r="B7115" s="41" t="str">
        <f>IFERROR(__xludf.DUMMYFUNCTION("""COMPUTED_VALUE"""),"The_Killerwon")</f>
        <v>The_Killerwon</v>
      </c>
    </row>
    <row r="7116">
      <c r="A7116" s="41" t="str">
        <f>IFERROR(__xludf.DUMMYFUNCTION("""COMPUTED_VALUE"""),"RSC007145")</f>
        <v>RSC007145</v>
      </c>
      <c r="B7116" s="41" t="str">
        <f>IFERROR(__xludf.DUMMYFUNCTION("""COMPUTED_VALUE"""),"AMZNG_RL")</f>
        <v>AMZNG_RL</v>
      </c>
    </row>
    <row r="7117">
      <c r="A7117" s="41" t="str">
        <f>IFERROR(__xludf.DUMMYFUNCTION("""COMPUTED_VALUE"""),"RSC007146")</f>
        <v>RSC007146</v>
      </c>
      <c r="B7117" s="41" t="str">
        <f>IFERROR(__xludf.DUMMYFUNCTION("""COMPUTED_VALUE"""),"Steo")</f>
        <v>Steo</v>
      </c>
    </row>
    <row r="7118">
      <c r="A7118" s="41" t="str">
        <f>IFERROR(__xludf.DUMMYFUNCTION("""COMPUTED_VALUE"""),"RSC007147")</f>
        <v>RSC007147</v>
      </c>
      <c r="B7118" s="41" t="str">
        <f>IFERROR(__xludf.DUMMYFUNCTION("""COMPUTED_VALUE"""),"Blade.RL")</f>
        <v>Blade.RL</v>
      </c>
    </row>
    <row r="7119">
      <c r="A7119" s="41" t="str">
        <f>IFERROR(__xludf.DUMMYFUNCTION("""COMPUTED_VALUE"""),"RSC007148")</f>
        <v>RSC007148</v>
      </c>
      <c r="B7119" s="41" t="str">
        <f>IFERROR(__xludf.DUMMYFUNCTION("""COMPUTED_VALUE"""),"Noc_tRL")</f>
        <v>Noc_tRL</v>
      </c>
    </row>
    <row r="7120">
      <c r="A7120" s="41" t="str">
        <f>IFERROR(__xludf.DUMMYFUNCTION("""COMPUTED_VALUE"""),"RSC007149")</f>
        <v>RSC007149</v>
      </c>
      <c r="B7120" s="41" t="str">
        <f>IFERROR(__xludf.DUMMYFUNCTION("""COMPUTED_VALUE"""),"N8DOGG")</f>
        <v>N8DOGG</v>
      </c>
    </row>
    <row r="7121">
      <c r="A7121" s="41" t="str">
        <f>IFERROR(__xludf.DUMMYFUNCTION("""COMPUTED_VALUE"""),"RSC007150")</f>
        <v>RSC007150</v>
      </c>
      <c r="B7121" s="41" t="str">
        <f>IFERROR(__xludf.DUMMYFUNCTION("""COMPUTED_VALUE"""),"peach")</f>
        <v>peach</v>
      </c>
    </row>
    <row r="7122">
      <c r="A7122" s="41" t="str">
        <f>IFERROR(__xludf.DUMMYFUNCTION("""COMPUTED_VALUE"""),"RSC007151")</f>
        <v>RSC007151</v>
      </c>
      <c r="B7122" s="41" t="str">
        <f>IFERROR(__xludf.DUMMYFUNCTION("""COMPUTED_VALUE"""),"BuffaloBeast")</f>
        <v>BuffaloBeast</v>
      </c>
    </row>
    <row r="7123">
      <c r="A7123" s="41" t="str">
        <f>IFERROR(__xludf.DUMMYFUNCTION("""COMPUTED_VALUE"""),"RSC007152")</f>
        <v>RSC007152</v>
      </c>
      <c r="B7123" s="41" t="str">
        <f>IFERROR(__xludf.DUMMYFUNCTION("""COMPUTED_VALUE"""),"ItZSmalls")</f>
        <v>ItZSmalls</v>
      </c>
    </row>
    <row r="7124">
      <c r="A7124" s="41" t="str">
        <f>IFERROR(__xludf.DUMMYFUNCTION("""COMPUTED_VALUE"""),"RSC007153")</f>
        <v>RSC007153</v>
      </c>
      <c r="B7124" s="41" t="str">
        <f>IFERROR(__xludf.DUMMYFUNCTION("""COMPUTED_VALUE"""),"Washyymann")</f>
        <v>Washyymann</v>
      </c>
    </row>
    <row r="7125">
      <c r="A7125" s="41" t="str">
        <f>IFERROR(__xludf.DUMMYFUNCTION("""COMPUTED_VALUE"""),"RSC007154")</f>
        <v>RSC007154</v>
      </c>
      <c r="B7125" s="41" t="str">
        <f>IFERROR(__xludf.DUMMYFUNCTION("""COMPUTED_VALUE"""),"TheBannGG")</f>
        <v>TheBannGG</v>
      </c>
    </row>
    <row r="7126">
      <c r="A7126" s="41" t="str">
        <f>IFERROR(__xludf.DUMMYFUNCTION("""COMPUTED_VALUE"""),"RSC007155")</f>
        <v>RSC007155</v>
      </c>
      <c r="B7126" s="41" t="str">
        <f>IFERROR(__xludf.DUMMYFUNCTION("""COMPUTED_VALUE"""),"relioi")</f>
        <v>relioi</v>
      </c>
    </row>
    <row r="7127">
      <c r="A7127" s="41" t="str">
        <f>IFERROR(__xludf.DUMMYFUNCTION("""COMPUTED_VALUE"""),"RSC007156")</f>
        <v>RSC007156</v>
      </c>
      <c r="B7127" s="41" t="str">
        <f>IFERROR(__xludf.DUMMYFUNCTION("""COMPUTED_VALUE"""),"Ross Alex")</f>
        <v>Ross Alex</v>
      </c>
    </row>
    <row r="7128">
      <c r="A7128" s="41" t="str">
        <f>IFERROR(__xludf.DUMMYFUNCTION("""COMPUTED_VALUE"""),"RSC007157")</f>
        <v>RSC007157</v>
      </c>
      <c r="B7128" s="41" t="str">
        <f>IFERROR(__xludf.DUMMYFUNCTION("""COMPUTED_VALUE"""),"Adam")</f>
        <v>Adam</v>
      </c>
    </row>
    <row r="7129">
      <c r="A7129" s="41" t="str">
        <f>IFERROR(__xludf.DUMMYFUNCTION("""COMPUTED_VALUE"""),"RSC007158")</f>
        <v>RSC007158</v>
      </c>
      <c r="B7129" s="41" t="str">
        <f>IFERROR(__xludf.DUMMYFUNCTION("""COMPUTED_VALUE"""),"Lazarus")</f>
        <v>Lazarus</v>
      </c>
    </row>
    <row r="7130">
      <c r="A7130" s="41" t="str">
        <f>IFERROR(__xludf.DUMMYFUNCTION("""COMPUTED_VALUE"""),"RSC007159")</f>
        <v>RSC007159</v>
      </c>
      <c r="B7130" s="41" t="str">
        <f>IFERROR(__xludf.DUMMYFUNCTION("""COMPUTED_VALUE"""),"Essence.-_-")</f>
        <v>Essence.-_-</v>
      </c>
    </row>
    <row r="7131">
      <c r="A7131" s="41" t="str">
        <f>IFERROR(__xludf.DUMMYFUNCTION("""COMPUTED_VALUE"""),"RSC007160")</f>
        <v>RSC007160</v>
      </c>
      <c r="B7131" s="41" t="str">
        <f>IFERROR(__xludf.DUMMYFUNCTION("""COMPUTED_VALUE"""),"Ex6TenDZ")</f>
        <v>Ex6TenDZ</v>
      </c>
    </row>
    <row r="7132">
      <c r="A7132" s="41" t="str">
        <f>IFERROR(__xludf.DUMMYFUNCTION("""COMPUTED_VALUE"""),"RSC007161")</f>
        <v>RSC007161</v>
      </c>
      <c r="B7132" s="41" t="str">
        <f>IFERROR(__xludf.DUMMYFUNCTION("""COMPUTED_VALUE"""),"MrAnderpants")</f>
        <v>MrAnderpants</v>
      </c>
    </row>
    <row r="7133">
      <c r="A7133" s="41" t="str">
        <f>IFERROR(__xludf.DUMMYFUNCTION("""COMPUTED_VALUE"""),"RSC007162")</f>
        <v>RSC007162</v>
      </c>
      <c r="B7133" s="41" t="str">
        <f>IFERROR(__xludf.DUMMYFUNCTION("""COMPUTED_VALUE"""),"Kifo")</f>
        <v>Kifo</v>
      </c>
    </row>
    <row r="7134">
      <c r="A7134" s="41" t="str">
        <f>IFERROR(__xludf.DUMMYFUNCTION("""COMPUTED_VALUE"""),"RSC007163")</f>
        <v>RSC007163</v>
      </c>
      <c r="B7134" s="41" t="str">
        <f>IFERROR(__xludf.DUMMYFUNCTION("""COMPUTED_VALUE"""),"DJTJ")</f>
        <v>DJTJ</v>
      </c>
    </row>
    <row r="7135">
      <c r="A7135" s="41" t="str">
        <f>IFERROR(__xludf.DUMMYFUNCTION("""COMPUTED_VALUE"""),"RSC007164")</f>
        <v>RSC007164</v>
      </c>
      <c r="B7135" s="41" t="str">
        <f>IFERROR(__xludf.DUMMYFUNCTION("""COMPUTED_VALUE"""),"drubus")</f>
        <v>drubus</v>
      </c>
    </row>
    <row r="7136">
      <c r="A7136" s="41" t="str">
        <f>IFERROR(__xludf.DUMMYFUNCTION("""COMPUTED_VALUE"""),"RSC007165")</f>
        <v>RSC007165</v>
      </c>
      <c r="B7136" s="41" t="str">
        <f>IFERROR(__xludf.DUMMYFUNCTION("""COMPUTED_VALUE"""),"BRG")</f>
        <v>BRG</v>
      </c>
    </row>
    <row r="7137">
      <c r="A7137" s="41" t="str">
        <f>IFERROR(__xludf.DUMMYFUNCTION("""COMPUTED_VALUE"""),"RSC007166")</f>
        <v>RSC007166</v>
      </c>
      <c r="B7137" s="41" t="str">
        <f>IFERROR(__xludf.DUMMYFUNCTION("""COMPUTED_VALUE"""),"nelz")</f>
        <v>nelz</v>
      </c>
    </row>
    <row r="7138">
      <c r="A7138" s="41" t="str">
        <f>IFERROR(__xludf.DUMMYFUNCTION("""COMPUTED_VALUE"""),"RSC007167")</f>
        <v>RSC007167</v>
      </c>
      <c r="B7138" s="41" t="str">
        <f>IFERROR(__xludf.DUMMYFUNCTION("""COMPUTED_VALUE"""),"ax.")</f>
        <v>ax.</v>
      </c>
    </row>
    <row r="7139">
      <c r="A7139" s="41" t="str">
        <f>IFERROR(__xludf.DUMMYFUNCTION("""COMPUTED_VALUE"""),"RSC007168")</f>
        <v>RSC007168</v>
      </c>
      <c r="B7139" s="41" t="str">
        <f>IFERROR(__xludf.DUMMYFUNCTION("""COMPUTED_VALUE"""),"don tology")</f>
        <v>don tology</v>
      </c>
    </row>
    <row r="7140">
      <c r="A7140" s="41" t="str">
        <f>IFERROR(__xludf.DUMMYFUNCTION("""COMPUTED_VALUE"""),"RSC007169")</f>
        <v>RSC007169</v>
      </c>
      <c r="B7140" s="41" t="str">
        <f>IFERROR(__xludf.DUMMYFUNCTION("""COMPUTED_VALUE"""),"SP3ARッ")</f>
        <v>SP3ARッ</v>
      </c>
    </row>
    <row r="7141">
      <c r="A7141" s="41" t="str">
        <f>IFERROR(__xludf.DUMMYFUNCTION("""COMPUTED_VALUE"""),"RSC007170")</f>
        <v>RSC007170</v>
      </c>
      <c r="B7141" s="41" t="str">
        <f>IFERROR(__xludf.DUMMYFUNCTION("""COMPUTED_VALUE"""),"Adulbul")</f>
        <v>Adulbul</v>
      </c>
    </row>
    <row r="7142">
      <c r="A7142" s="41" t="str">
        <f>IFERROR(__xludf.DUMMYFUNCTION("""COMPUTED_VALUE"""),"RSC007171")</f>
        <v>RSC007171</v>
      </c>
      <c r="B7142" s="41" t="str">
        <f>IFERROR(__xludf.DUMMYFUNCTION("""COMPUTED_VALUE"""),"Its M80")</f>
        <v>Its M80</v>
      </c>
    </row>
    <row r="7143">
      <c r="A7143" s="41" t="str">
        <f>IFERROR(__xludf.DUMMYFUNCTION("""COMPUTED_VALUE"""),"RSC007172")</f>
        <v>RSC007172</v>
      </c>
      <c r="B7143" s="41" t="str">
        <f>IFERROR(__xludf.DUMMYFUNCTION("""COMPUTED_VALUE"""),"Slow")</f>
        <v>Slow</v>
      </c>
    </row>
    <row r="7144">
      <c r="A7144" s="41" t="str">
        <f>IFERROR(__xludf.DUMMYFUNCTION("""COMPUTED_VALUE"""),"RSC007173")</f>
        <v>RSC007173</v>
      </c>
      <c r="B7144" s="41" t="str">
        <f>IFERROR(__xludf.DUMMYFUNCTION("""COMPUTED_VALUE"""),"mr_marino_")</f>
        <v>mr_marino_</v>
      </c>
    </row>
    <row r="7145">
      <c r="A7145" s="41" t="str">
        <f>IFERROR(__xludf.DUMMYFUNCTION("""COMPUTED_VALUE"""),"RSC007174")</f>
        <v>RSC007174</v>
      </c>
      <c r="B7145" s="41" t="str">
        <f>IFERROR(__xludf.DUMMYFUNCTION("""COMPUTED_VALUE"""),"LMNS")</f>
        <v>LMNS</v>
      </c>
    </row>
    <row r="7146">
      <c r="A7146" s="41" t="str">
        <f>IFERROR(__xludf.DUMMYFUNCTION("""COMPUTED_VALUE"""),"RSC007175")</f>
        <v>RSC007175</v>
      </c>
      <c r="B7146" s="41" t="str">
        <f>IFERROR(__xludf.DUMMYFUNCTION("""COMPUTED_VALUE"""),"dobsie")</f>
        <v>dobsie</v>
      </c>
    </row>
    <row r="7147">
      <c r="A7147" s="41" t="str">
        <f>IFERROR(__xludf.DUMMYFUNCTION("""COMPUTED_VALUE"""),"RSC007176")</f>
        <v>RSC007176</v>
      </c>
      <c r="B7147" s="41" t="str">
        <f>IFERROR(__xludf.DUMMYFUNCTION("""COMPUTED_VALUE"""),"iDragon8a")</f>
        <v>iDragon8a</v>
      </c>
    </row>
    <row r="7148">
      <c r="A7148" s="41" t="str">
        <f>IFERROR(__xludf.DUMMYFUNCTION("""COMPUTED_VALUE"""),"RSC007177")</f>
        <v>RSC007177</v>
      </c>
      <c r="B7148" s="41" t="str">
        <f>IFERROR(__xludf.DUMMYFUNCTION("""COMPUTED_VALUE"""),"FLY_.87")</f>
        <v>FLY_.87</v>
      </c>
    </row>
    <row r="7149">
      <c r="A7149" s="41" t="str">
        <f>IFERROR(__xludf.DUMMYFUNCTION("""COMPUTED_VALUE"""),"RSC007178")</f>
        <v>RSC007178</v>
      </c>
      <c r="B7149" s="41" t="str">
        <f>IFERROR(__xludf.DUMMYFUNCTION("""COMPUTED_VALUE"""),"littygriddy65")</f>
        <v>littygriddy65</v>
      </c>
    </row>
    <row r="7150">
      <c r="A7150" s="41" t="str">
        <f>IFERROR(__xludf.DUMMYFUNCTION("""COMPUTED_VALUE"""),"RSC007179")</f>
        <v>RSC007179</v>
      </c>
      <c r="B7150" s="41" t="str">
        <f>IFERROR(__xludf.DUMMYFUNCTION("""COMPUTED_VALUE"""),"B0A._.")</f>
        <v>B0A._.</v>
      </c>
    </row>
    <row r="7151">
      <c r="A7151" s="41" t="str">
        <f>IFERROR(__xludf.DUMMYFUNCTION("""COMPUTED_VALUE"""),"RSC007180")</f>
        <v>RSC007180</v>
      </c>
      <c r="B7151" s="41" t="str">
        <f>IFERROR(__xludf.DUMMYFUNCTION("""COMPUTED_VALUE"""),"NoOneKnowsNova")</f>
        <v>NoOneKnowsNova</v>
      </c>
    </row>
    <row r="7152">
      <c r="A7152" s="41" t="str">
        <f>IFERROR(__xludf.DUMMYFUNCTION("""COMPUTED_VALUE"""),"RSC007181")</f>
        <v>RSC007181</v>
      </c>
      <c r="B7152" s="41" t="str">
        <f>IFERROR(__xludf.DUMMYFUNCTION("""COMPUTED_VALUE"""),"Mr.SoulBob")</f>
        <v>Mr.SoulBob</v>
      </c>
    </row>
    <row r="7153">
      <c r="A7153" s="41" t="str">
        <f>IFERROR(__xludf.DUMMYFUNCTION("""COMPUTED_VALUE"""),"RSC007182")</f>
        <v>RSC007182</v>
      </c>
      <c r="B7153" s="41" t="str">
        <f>IFERROR(__xludf.DUMMYFUNCTION("""COMPUTED_VALUE"""),"Lazy")</f>
        <v>Lazy</v>
      </c>
    </row>
    <row r="7154">
      <c r="A7154" s="41" t="str">
        <f>IFERROR(__xludf.DUMMYFUNCTION("""COMPUTED_VALUE"""),"RSC007183")</f>
        <v>RSC007183</v>
      </c>
      <c r="B7154" s="41" t="str">
        <f>IFERROR(__xludf.DUMMYFUNCTION("""COMPUTED_VALUE"""),"Frehgrunce")</f>
        <v>Frehgrunce</v>
      </c>
    </row>
    <row r="7155">
      <c r="A7155" s="41" t="str">
        <f>IFERROR(__xludf.DUMMYFUNCTION("""COMPUTED_VALUE"""),"RSC007184")</f>
        <v>RSC007184</v>
      </c>
      <c r="B7155" s="41" t="str">
        <f>IFERROR(__xludf.DUMMYFUNCTION("""COMPUTED_VALUE"""),"NatesOnWheels")</f>
        <v>NatesOnWheels</v>
      </c>
    </row>
    <row r="7156">
      <c r="A7156" s="41" t="str">
        <f>IFERROR(__xludf.DUMMYFUNCTION("""COMPUTED_VALUE"""),"RSC007185")</f>
        <v>RSC007185</v>
      </c>
      <c r="B7156" s="41" t="str">
        <f>IFERROR(__xludf.DUMMYFUNCTION("""COMPUTED_VALUE"""),"Legendary SSJG")</f>
        <v>Legendary SSJG</v>
      </c>
    </row>
    <row r="7157">
      <c r="A7157" s="41" t="str">
        <f>IFERROR(__xludf.DUMMYFUNCTION("""COMPUTED_VALUE"""),"RSC007186")</f>
        <v>RSC007186</v>
      </c>
      <c r="B7157" s="41" t="str">
        <f>IFERROR(__xludf.DUMMYFUNCTION("""COMPUTED_VALUE"""),"Bushier Brow")</f>
        <v>Bushier Brow</v>
      </c>
    </row>
    <row r="7158">
      <c r="A7158" s="41" t="str">
        <f>IFERROR(__xludf.DUMMYFUNCTION("""COMPUTED_VALUE"""),"RSC007187")</f>
        <v>RSC007187</v>
      </c>
      <c r="B7158" s="41" t="str">
        <f>IFERROR(__xludf.DUMMYFUNCTION("""COMPUTED_VALUE"""),"Evil Gooby")</f>
        <v>Evil Gooby</v>
      </c>
    </row>
    <row r="7159">
      <c r="A7159" s="41" t="str">
        <f>IFERROR(__xludf.DUMMYFUNCTION("""COMPUTED_VALUE"""),"RSC007188")</f>
        <v>RSC007188</v>
      </c>
      <c r="B7159" s="41" t="str">
        <f>IFERROR(__xludf.DUMMYFUNCTION("""COMPUTED_VALUE"""),"spoody")</f>
        <v>spoody</v>
      </c>
    </row>
    <row r="7160">
      <c r="A7160" s="41" t="str">
        <f>IFERROR(__xludf.DUMMYFUNCTION("""COMPUTED_VALUE"""),"RSC007189")</f>
        <v>RSC007189</v>
      </c>
      <c r="B7160" s="41" t="str">
        <f>IFERROR(__xludf.DUMMYFUNCTION("""COMPUTED_VALUE"""),"RU_Fluffy")</f>
        <v>RU_Fluffy</v>
      </c>
    </row>
    <row r="7161">
      <c r="A7161" s="41" t="str">
        <f>IFERROR(__xludf.DUMMYFUNCTION("""COMPUTED_VALUE"""),"RSC007190")</f>
        <v>RSC007190</v>
      </c>
      <c r="B7161" s="41" t="str">
        <f>IFERROR(__xludf.DUMMYFUNCTION("""COMPUTED_VALUE"""),"Cagiestsafe6")</f>
        <v>Cagiestsafe6</v>
      </c>
    </row>
    <row r="7162">
      <c r="A7162" s="41" t="str">
        <f>IFERROR(__xludf.DUMMYFUNCTION("""COMPUTED_VALUE"""),"RSC007191")</f>
        <v>RSC007191</v>
      </c>
      <c r="B7162" s="41" t="str">
        <f>IFERROR(__xludf.DUMMYFUNCTION("""COMPUTED_VALUE"""),"J ll W ll H")</f>
        <v>J ll W ll H</v>
      </c>
    </row>
    <row r="7163">
      <c r="A7163" s="41" t="str">
        <f>IFERROR(__xludf.DUMMYFUNCTION("""COMPUTED_VALUE"""),"RSC007192")</f>
        <v>RSC007192</v>
      </c>
      <c r="B7163" s="41" t="str">
        <f>IFERROR(__xludf.DUMMYFUNCTION("""COMPUTED_VALUE"""),"VertDaFerc")</f>
        <v>VertDaFerc</v>
      </c>
    </row>
    <row r="7164">
      <c r="A7164" s="41" t="str">
        <f>IFERROR(__xludf.DUMMYFUNCTION("""COMPUTED_VALUE"""),"RSC007193")</f>
        <v>RSC007193</v>
      </c>
      <c r="B7164" s="41" t="str">
        <f>IFERROR(__xludf.DUMMYFUNCTION("""COMPUTED_VALUE"""),"Gooningヤギ")</f>
        <v>Gooningヤギ</v>
      </c>
    </row>
    <row r="7165">
      <c r="A7165" s="41" t="str">
        <f>IFERROR(__xludf.DUMMYFUNCTION("""COMPUTED_VALUE"""),"RSC007194")</f>
        <v>RSC007194</v>
      </c>
      <c r="B7165" s="41" t="str">
        <f>IFERROR(__xludf.DUMMYFUNCTION("""COMPUTED_VALUE"""),"North")</f>
        <v>North</v>
      </c>
    </row>
    <row r="7166">
      <c r="A7166" s="41" t="str">
        <f>IFERROR(__xludf.DUMMYFUNCTION("""COMPUTED_VALUE"""),"RSC007195")</f>
        <v>RSC007195</v>
      </c>
      <c r="B7166" s="41" t="str">
        <f>IFERROR(__xludf.DUMMYFUNCTION("""COMPUTED_VALUE"""),"LA-ND-O")</f>
        <v>LA-ND-O</v>
      </c>
    </row>
    <row r="7167">
      <c r="A7167" s="41" t="str">
        <f>IFERROR(__xludf.DUMMYFUNCTION("""COMPUTED_VALUE"""),"RSC007196")</f>
        <v>RSC007196</v>
      </c>
      <c r="B7167" s="41" t="str">
        <f>IFERROR(__xludf.DUMMYFUNCTION("""COMPUTED_VALUE"""),"Blackjack")</f>
        <v>Blackjack</v>
      </c>
    </row>
    <row r="7168">
      <c r="A7168" s="41" t="str">
        <f>IFERROR(__xludf.DUMMYFUNCTION("""COMPUTED_VALUE"""),"RSC007197")</f>
        <v>RSC007197</v>
      </c>
      <c r="B7168" s="41" t="str">
        <f>IFERROR(__xludf.DUMMYFUNCTION("""COMPUTED_VALUE"""),"xMaster P")</f>
        <v>xMaster P</v>
      </c>
    </row>
    <row r="7169">
      <c r="A7169" s="41" t="str">
        <f>IFERROR(__xludf.DUMMYFUNCTION("""COMPUTED_VALUE"""),"RSC007198")</f>
        <v>RSC007198</v>
      </c>
      <c r="B7169" s="41" t="str">
        <f>IFERROR(__xludf.DUMMYFUNCTION("""COMPUTED_VALUE"""),"SunCeltic")</f>
        <v>SunCeltic</v>
      </c>
    </row>
    <row r="7170">
      <c r="A7170" s="41" t="str">
        <f>IFERROR(__xludf.DUMMYFUNCTION("""COMPUTED_VALUE"""),"RSC007199")</f>
        <v>RSC007199</v>
      </c>
      <c r="B7170" s="41" t="str">
        <f>IFERROR(__xludf.DUMMYFUNCTION("""COMPUTED_VALUE"""),"HefftySoul")</f>
        <v>HefftySoul</v>
      </c>
    </row>
    <row r="7171">
      <c r="A7171" s="41" t="str">
        <f>IFERROR(__xludf.DUMMYFUNCTION("""COMPUTED_VALUE"""),"RSC007200")</f>
        <v>RSC007200</v>
      </c>
      <c r="B7171" s="41" t="str">
        <f>IFERROR(__xludf.DUMMYFUNCTION("""COMPUTED_VALUE"""),"Siphrry")</f>
        <v>Siphrry</v>
      </c>
    </row>
    <row r="7172">
      <c r="A7172" s="41" t="str">
        <f>IFERROR(__xludf.DUMMYFUNCTION("""COMPUTED_VALUE"""),"RSC007201")</f>
        <v>RSC007201</v>
      </c>
      <c r="B7172" s="41" t="str">
        <f>IFERROR(__xludf.DUMMYFUNCTION("""COMPUTED_VALUE"""),"FallenAngel")</f>
        <v>FallenAngel</v>
      </c>
    </row>
    <row r="7173">
      <c r="A7173" s="41" t="str">
        <f>IFERROR(__xludf.DUMMYFUNCTION("""COMPUTED_VALUE"""),"RSC007202")</f>
        <v>RSC007202</v>
      </c>
      <c r="B7173" s="41" t="str">
        <f>IFERROR(__xludf.DUMMYFUNCTION("""COMPUTED_VALUE"""),"GreatHonda")</f>
        <v>GreatHonda</v>
      </c>
    </row>
    <row r="7174">
      <c r="A7174" s="41" t="str">
        <f>IFERROR(__xludf.DUMMYFUNCTION("""COMPUTED_VALUE"""),"RSC007203")</f>
        <v>RSC007203</v>
      </c>
      <c r="B7174" s="41" t="str">
        <f>IFERROR(__xludf.DUMMYFUNCTION("""COMPUTED_VALUE"""),"CoachJimmy_TECT")</f>
        <v>CoachJimmy_TECT</v>
      </c>
    </row>
    <row r="7175">
      <c r="A7175" s="41" t="str">
        <f>IFERROR(__xludf.DUMMYFUNCTION("""COMPUTED_VALUE"""),"RSC007204")</f>
        <v>RSC007204</v>
      </c>
      <c r="B7175" s="41" t="str">
        <f>IFERROR(__xludf.DUMMYFUNCTION("""COMPUTED_VALUE"""),"Alpha22")</f>
        <v>Alpha22</v>
      </c>
    </row>
    <row r="7176">
      <c r="A7176" s="41" t="str">
        <f>IFERROR(__xludf.DUMMYFUNCTION("""COMPUTED_VALUE"""),"RSC007205")</f>
        <v>RSC007205</v>
      </c>
      <c r="B7176" s="41" t="str">
        <f>IFERROR(__xludf.DUMMYFUNCTION("""COMPUTED_VALUE"""),"AudacciousEmu")</f>
        <v>AudacciousEmu</v>
      </c>
    </row>
    <row r="7177">
      <c r="A7177" s="41" t="str">
        <f>IFERROR(__xludf.DUMMYFUNCTION("""COMPUTED_VALUE"""),"RSC007206")</f>
        <v>RSC007206</v>
      </c>
      <c r="B7177" s="41" t="str">
        <f>IFERROR(__xludf.DUMMYFUNCTION("""COMPUTED_VALUE"""),"Flohkes")</f>
        <v>Flohkes</v>
      </c>
    </row>
    <row r="7178">
      <c r="A7178" s="41" t="str">
        <f>IFERROR(__xludf.DUMMYFUNCTION("""COMPUTED_VALUE"""),"RSC007207")</f>
        <v>RSC007207</v>
      </c>
      <c r="B7178" s="41" t="str">
        <f>IFERROR(__xludf.DUMMYFUNCTION("""COMPUTED_VALUE"""),".S")</f>
        <v>.S</v>
      </c>
    </row>
    <row r="7179">
      <c r="A7179" s="41" t="str">
        <f>IFERROR(__xludf.DUMMYFUNCTION("""COMPUTED_VALUE"""),"RSC007208")</f>
        <v>RSC007208</v>
      </c>
      <c r="B7179" s="41" t="str">
        <f>IFERROR(__xludf.DUMMYFUNCTION("""COMPUTED_VALUE"""),"alacattack")</f>
        <v>alacattack</v>
      </c>
    </row>
    <row r="7180">
      <c r="A7180" s="41" t="str">
        <f>IFERROR(__xludf.DUMMYFUNCTION("""COMPUTED_VALUE"""),"RSC007209")</f>
        <v>RSC007209</v>
      </c>
      <c r="B7180" s="41" t="str">
        <f>IFERROR(__xludf.DUMMYFUNCTION("""COMPUTED_VALUE"""),"1337H4X4D4Y5")</f>
        <v>1337H4X4D4Y5</v>
      </c>
    </row>
    <row r="7181">
      <c r="A7181" s="41" t="str">
        <f>IFERROR(__xludf.DUMMYFUNCTION("""COMPUTED_VALUE"""),"RSC007210")</f>
        <v>RSC007210</v>
      </c>
      <c r="B7181" s="41" t="str">
        <f>IFERROR(__xludf.DUMMYFUNCTION("""COMPUTED_VALUE"""),"iiZXAXii8977")</f>
        <v>iiZXAXii8977</v>
      </c>
    </row>
    <row r="7182">
      <c r="A7182" s="41" t="str">
        <f>IFERROR(__xludf.DUMMYFUNCTION("""COMPUTED_VALUE"""),"RSC007211")</f>
        <v>RSC007211</v>
      </c>
      <c r="B7182" s="41" t="str">
        <f>IFERROR(__xludf.DUMMYFUNCTION("""COMPUTED_VALUE"""),"DarthJT5")</f>
        <v>DarthJT5</v>
      </c>
    </row>
    <row r="7183">
      <c r="A7183" s="41" t="str">
        <f>IFERROR(__xludf.DUMMYFUNCTION("""COMPUTED_VALUE"""),"RSC007212")</f>
        <v>RSC007212</v>
      </c>
      <c r="B7183" s="41" t="str">
        <f>IFERROR(__xludf.DUMMYFUNCTION("""COMPUTED_VALUE"""),"pseudan !")</f>
        <v>pseudan !</v>
      </c>
    </row>
    <row r="7184">
      <c r="A7184" s="41" t="str">
        <f>IFERROR(__xludf.DUMMYFUNCTION("""COMPUTED_VALUE"""),"RSC007213")</f>
        <v>RSC007213</v>
      </c>
      <c r="B7184" s="41" t="str">
        <f>IFERROR(__xludf.DUMMYFUNCTION("""COMPUTED_VALUE"""),"Pythronex")</f>
        <v>Pythronex</v>
      </c>
    </row>
    <row r="7185">
      <c r="A7185" s="41" t="str">
        <f>IFERROR(__xludf.DUMMYFUNCTION("""COMPUTED_VALUE"""),"RSC007214")</f>
        <v>RSC007214</v>
      </c>
      <c r="B7185" s="41" t="str">
        <f>IFERROR(__xludf.DUMMYFUNCTION("""COMPUTED_VALUE"""),"bang")</f>
        <v>bang</v>
      </c>
    </row>
    <row r="7186">
      <c r="A7186" s="41" t="str">
        <f>IFERROR(__xludf.DUMMYFUNCTION("""COMPUTED_VALUE"""),"RSC007215")</f>
        <v>RSC007215</v>
      </c>
      <c r="B7186" s="41" t="str">
        <f>IFERROR(__xludf.DUMMYFUNCTION("""COMPUTED_VALUE"""),"Toxichawk21")</f>
        <v>Toxichawk21</v>
      </c>
    </row>
    <row r="7187">
      <c r="A7187" s="41" t="str">
        <f>IFERROR(__xludf.DUMMYFUNCTION("""COMPUTED_VALUE"""),"RSC007216")</f>
        <v>RSC007216</v>
      </c>
      <c r="B7187" s="41" t="str">
        <f>IFERROR(__xludf.DUMMYFUNCTION("""COMPUTED_VALUE"""),"ASAPxLEG")</f>
        <v>ASAPxLEG</v>
      </c>
    </row>
    <row r="7188">
      <c r="A7188" s="41" t="str">
        <f>IFERROR(__xludf.DUMMYFUNCTION("""COMPUTED_VALUE"""),"RSC007217")</f>
        <v>RSC007217</v>
      </c>
      <c r="B7188" s="41" t="str">
        <f>IFERROR(__xludf.DUMMYFUNCTION("""COMPUTED_VALUE"""),"Zero-Funds")</f>
        <v>Zero-Funds</v>
      </c>
    </row>
    <row r="7189">
      <c r="A7189" s="41" t="str">
        <f>IFERROR(__xludf.DUMMYFUNCTION("""COMPUTED_VALUE"""),"RSC007218")</f>
        <v>RSC007218</v>
      </c>
      <c r="B7189" s="41" t="str">
        <f>IFERROR(__xludf.DUMMYFUNCTION("""COMPUTED_VALUE"""),"LxlKermit")</f>
        <v>LxlKermit</v>
      </c>
    </row>
    <row r="7190">
      <c r="A7190" s="41" t="str">
        <f>IFERROR(__xludf.DUMMYFUNCTION("""COMPUTED_VALUE"""),"RSC007219")</f>
        <v>RSC007219</v>
      </c>
      <c r="B7190" s="41" t="str">
        <f>IFERROR(__xludf.DUMMYFUNCTION("""COMPUTED_VALUE"""),"Royaliee")</f>
        <v>Royaliee</v>
      </c>
    </row>
    <row r="7191">
      <c r="A7191" s="41" t="str">
        <f>IFERROR(__xludf.DUMMYFUNCTION("""COMPUTED_VALUE"""),"RSC007220")</f>
        <v>RSC007220</v>
      </c>
      <c r="B7191" s="41" t="str">
        <f>IFERROR(__xludf.DUMMYFUNCTION("""COMPUTED_VALUE"""),"maxf")</f>
        <v>maxf</v>
      </c>
    </row>
    <row r="7192">
      <c r="A7192" s="41" t="str">
        <f>IFERROR(__xludf.DUMMYFUNCTION("""COMPUTED_VALUE"""),"RSC007221")</f>
        <v>RSC007221</v>
      </c>
      <c r="B7192" s="41" t="str">
        <f>IFERROR(__xludf.DUMMYFUNCTION("""COMPUTED_VALUE"""),"Gimmezomgaming")</f>
        <v>Gimmezomgaming</v>
      </c>
    </row>
    <row r="7193">
      <c r="A7193" s="41" t="str">
        <f>IFERROR(__xludf.DUMMYFUNCTION("""COMPUTED_VALUE"""),"RSC007222")</f>
        <v>RSC007222</v>
      </c>
      <c r="B7193" s="41" t="str">
        <f>IFERROR(__xludf.DUMMYFUNCTION("""COMPUTED_VALUE"""),"S3EZ")</f>
        <v>S3EZ</v>
      </c>
    </row>
    <row r="7194">
      <c r="A7194" s="41" t="str">
        <f>IFERROR(__xludf.DUMMYFUNCTION("""COMPUTED_VALUE"""),"RSC007223")</f>
        <v>RSC007223</v>
      </c>
      <c r="B7194" s="41" t="str">
        <f>IFERROR(__xludf.DUMMYFUNCTION("""COMPUTED_VALUE"""),"mossiie")</f>
        <v>mossiie</v>
      </c>
    </row>
    <row r="7195">
      <c r="A7195" s="41" t="str">
        <f>IFERROR(__xludf.DUMMYFUNCTION("""COMPUTED_VALUE"""),"RSC007224")</f>
        <v>RSC007224</v>
      </c>
      <c r="B7195" s="41" t="str">
        <f>IFERROR(__xludf.DUMMYFUNCTION("""COMPUTED_VALUE"""),"CaptnFlufflepuff")</f>
        <v>CaptnFlufflepuff</v>
      </c>
    </row>
    <row r="7196">
      <c r="A7196" s="41" t="str">
        <f>IFERROR(__xludf.DUMMYFUNCTION("""COMPUTED_VALUE"""),"RSC007225")</f>
        <v>RSC007225</v>
      </c>
      <c r="B7196" s="41" t="str">
        <f>IFERROR(__xludf.DUMMYFUNCTION("""COMPUTED_VALUE"""),"Sykxz")</f>
        <v>Sykxz</v>
      </c>
    </row>
    <row r="7197">
      <c r="A7197" s="41" t="str">
        <f>IFERROR(__xludf.DUMMYFUNCTION("""COMPUTED_VALUE"""),"RSC007226")</f>
        <v>RSC007226</v>
      </c>
      <c r="B7197" s="41" t="str">
        <f>IFERROR(__xludf.DUMMYFUNCTION("""COMPUTED_VALUE"""),"Sheep")</f>
        <v>Sheep</v>
      </c>
    </row>
    <row r="7198">
      <c r="A7198" s="41" t="str">
        <f>IFERROR(__xludf.DUMMYFUNCTION("""COMPUTED_VALUE"""),"RSC007227")</f>
        <v>RSC007227</v>
      </c>
      <c r="B7198" s="41" t="str">
        <f>IFERROR(__xludf.DUMMYFUNCTION("""COMPUTED_VALUE"""),"Trickyzekie")</f>
        <v>Trickyzekie</v>
      </c>
    </row>
    <row r="7199">
      <c r="A7199" s="41" t="str">
        <f>IFERROR(__xludf.DUMMYFUNCTION("""COMPUTED_VALUE"""),"RSC007228")</f>
        <v>RSC007228</v>
      </c>
      <c r="B7199" s="41" t="str">
        <f>IFERROR(__xludf.DUMMYFUNCTION("""COMPUTED_VALUE"""),"coal.")</f>
        <v>coal.</v>
      </c>
    </row>
    <row r="7200">
      <c r="A7200" s="41" t="str">
        <f>IFERROR(__xludf.DUMMYFUNCTION("""COMPUTED_VALUE"""),"RSC007229")</f>
        <v>RSC007229</v>
      </c>
      <c r="B7200" s="41" t="str">
        <f>IFERROR(__xludf.DUMMYFUNCTION("""COMPUTED_VALUE"""),"yourboiblue")</f>
        <v>yourboiblue</v>
      </c>
    </row>
    <row r="7201">
      <c r="A7201" s="41" t="str">
        <f>IFERROR(__xludf.DUMMYFUNCTION("""COMPUTED_VALUE"""),"RSC007230")</f>
        <v>RSC007230</v>
      </c>
      <c r="B7201" s="41" t="str">
        <f>IFERROR(__xludf.DUMMYFUNCTION("""COMPUTED_VALUE"""),"Yintsmints")</f>
        <v>Yintsmints</v>
      </c>
    </row>
    <row r="7202">
      <c r="A7202" s="41" t="str">
        <f>IFERROR(__xludf.DUMMYFUNCTION("""COMPUTED_VALUE"""),"RSC007231")</f>
        <v>RSC007231</v>
      </c>
      <c r="B7202" s="41" t="str">
        <f>IFERROR(__xludf.DUMMYFUNCTION("""COMPUTED_VALUE"""),"BlitzzyG")</f>
        <v>BlitzzyG</v>
      </c>
    </row>
    <row r="7203">
      <c r="A7203" s="41" t="str">
        <f>IFERROR(__xludf.DUMMYFUNCTION("""COMPUTED_VALUE"""),"RSC007232")</f>
        <v>RSC007232</v>
      </c>
      <c r="B7203" s="41" t="str">
        <f>IFERROR(__xludf.DUMMYFUNCTION("""COMPUTED_VALUE"""),"Justforfun678")</f>
        <v>Justforfun678</v>
      </c>
    </row>
    <row r="7204">
      <c r="A7204" s="41" t="str">
        <f>IFERROR(__xludf.DUMMYFUNCTION("""COMPUTED_VALUE"""),"RSC007233")</f>
        <v>RSC007233</v>
      </c>
      <c r="B7204" s="41" t="str">
        <f>IFERROR(__xludf.DUMMYFUNCTION("""COMPUTED_VALUE"""),"Ambientwave")</f>
        <v>Ambientwave</v>
      </c>
    </row>
    <row r="7205">
      <c r="A7205" s="41" t="str">
        <f>IFERROR(__xludf.DUMMYFUNCTION("""COMPUTED_VALUE"""),"RSC007234")</f>
        <v>RSC007234</v>
      </c>
      <c r="B7205" s="41" t="str">
        <f>IFERROR(__xludf.DUMMYFUNCTION("""COMPUTED_VALUE"""),"Nuclear")</f>
        <v>Nuclear</v>
      </c>
    </row>
    <row r="7206">
      <c r="A7206" s="41" t="str">
        <f>IFERROR(__xludf.DUMMYFUNCTION("""COMPUTED_VALUE"""),"RSC007235")</f>
        <v>RSC007235</v>
      </c>
      <c r="B7206" s="41" t="str">
        <f>IFERROR(__xludf.DUMMYFUNCTION("""COMPUTED_VALUE"""),"Groovy")</f>
        <v>Groovy</v>
      </c>
    </row>
    <row r="7207">
      <c r="A7207" s="41" t="str">
        <f>IFERROR(__xludf.DUMMYFUNCTION("""COMPUTED_VALUE"""),"RSC007236")</f>
        <v>RSC007236</v>
      </c>
      <c r="B7207" s="41" t="str">
        <f>IFERROR(__xludf.DUMMYFUNCTION("""COMPUTED_VALUE"""),"Daniel")</f>
        <v>Daniel</v>
      </c>
    </row>
    <row r="7208">
      <c r="A7208" s="41" t="str">
        <f>IFERROR(__xludf.DUMMYFUNCTION("""COMPUTED_VALUE"""),"RSC007237")</f>
        <v>RSC007237</v>
      </c>
      <c r="B7208" s="41" t="str">
        <f>IFERROR(__xludf.DUMMYFUNCTION("""COMPUTED_VALUE"""),"FuDaah")</f>
        <v>FuDaah</v>
      </c>
    </row>
    <row r="7209">
      <c r="A7209" s="41" t="str">
        <f>IFERROR(__xludf.DUMMYFUNCTION("""COMPUTED_VALUE"""),"RSC007238")</f>
        <v>RSC007238</v>
      </c>
      <c r="B7209" s="41" t="str">
        <f>IFERROR(__xludf.DUMMYFUNCTION("""COMPUTED_VALUE"""),"xifrl")</f>
        <v>xifrl</v>
      </c>
    </row>
    <row r="7210">
      <c r="A7210" s="41" t="str">
        <f>IFERROR(__xludf.DUMMYFUNCTION("""COMPUTED_VALUE"""),"RSC007239")</f>
        <v>RSC007239</v>
      </c>
      <c r="B7210" s="41" t="str">
        <f>IFERROR(__xludf.DUMMYFUNCTION("""COMPUTED_VALUE"""),"Terminatorjef999")</f>
        <v>Terminatorjef999</v>
      </c>
    </row>
    <row r="7211">
      <c r="A7211" s="41" t="str">
        <f>IFERROR(__xludf.DUMMYFUNCTION("""COMPUTED_VALUE"""),"RSC007240")</f>
        <v>RSC007240</v>
      </c>
      <c r="B7211" s="41" t="str">
        <f>IFERROR(__xludf.DUMMYFUNCTION("""COMPUTED_VALUE"""),"Das drewble")</f>
        <v>Das drewble</v>
      </c>
    </row>
    <row r="7212">
      <c r="A7212" s="41" t="str">
        <f>IFERROR(__xludf.DUMMYFUNCTION("""COMPUTED_VALUE"""),"RSC007241")</f>
        <v>RSC007241</v>
      </c>
      <c r="B7212" s="41" t="str">
        <f>IFERROR(__xludf.DUMMYFUNCTION("""COMPUTED_VALUE"""),"NOTaTHinG420")</f>
        <v>NOTaTHinG420</v>
      </c>
    </row>
    <row r="7213">
      <c r="A7213" s="41" t="str">
        <f>IFERROR(__xludf.DUMMYFUNCTION("""COMPUTED_VALUE"""),"RSC007242")</f>
        <v>RSC007242</v>
      </c>
      <c r="B7213" s="41" t="str">
        <f>IFERROR(__xludf.DUMMYFUNCTION("""COMPUTED_VALUE"""),"Sym")</f>
        <v>Sym</v>
      </c>
    </row>
    <row r="7214">
      <c r="A7214" s="41" t="str">
        <f>IFERROR(__xludf.DUMMYFUNCTION("""COMPUTED_VALUE"""),"RSC007243")</f>
        <v>RSC007243</v>
      </c>
      <c r="B7214" s="41" t="str">
        <f>IFERROR(__xludf.DUMMYFUNCTION("""COMPUTED_VALUE"""),"thapriceiswrong")</f>
        <v>thapriceiswrong</v>
      </c>
    </row>
    <row r="7215">
      <c r="A7215" s="41" t="str">
        <f>IFERROR(__xludf.DUMMYFUNCTION("""COMPUTED_VALUE"""),"RSC007244")</f>
        <v>RSC007244</v>
      </c>
      <c r="B7215" s="41" t="str">
        <f>IFERROR(__xludf.DUMMYFUNCTION("""COMPUTED_VALUE"""),"Joxtrot")</f>
        <v>Joxtrot</v>
      </c>
    </row>
    <row r="7216">
      <c r="A7216" s="41" t="str">
        <f>IFERROR(__xludf.DUMMYFUNCTION("""COMPUTED_VALUE"""),"RSC007245")</f>
        <v>RSC007245</v>
      </c>
      <c r="B7216" s="41" t="str">
        <f>IFERROR(__xludf.DUMMYFUNCTION("""COMPUTED_VALUE"""),"MafiaShadowss")</f>
        <v>MafiaShadowss</v>
      </c>
    </row>
    <row r="7217">
      <c r="A7217" s="41" t="str">
        <f>IFERROR(__xludf.DUMMYFUNCTION("""COMPUTED_VALUE"""),"RSC007246")</f>
        <v>RSC007246</v>
      </c>
      <c r="B7217" s="41" t="str">
        <f>IFERROR(__xludf.DUMMYFUNCTION("""COMPUTED_VALUE"""),"Jokers_RL")</f>
        <v>Jokers_RL</v>
      </c>
    </row>
    <row r="7218">
      <c r="A7218" s="41" t="str">
        <f>IFERROR(__xludf.DUMMYFUNCTION("""COMPUTED_VALUE"""),"RSC007247")</f>
        <v>RSC007247</v>
      </c>
      <c r="B7218" s="41" t="str">
        <f>IFERROR(__xludf.DUMMYFUNCTION("""COMPUTED_VALUE"""),"BLT")</f>
        <v>BLT</v>
      </c>
    </row>
    <row r="7219">
      <c r="A7219" s="41" t="str">
        <f>IFERROR(__xludf.DUMMYFUNCTION("""COMPUTED_VALUE"""),"RSC007248")</f>
        <v>RSC007248</v>
      </c>
      <c r="B7219" s="41" t="str">
        <f>IFERROR(__xludf.DUMMYFUNCTION("""COMPUTED_VALUE"""),"TwoDadChad")</f>
        <v>TwoDadChad</v>
      </c>
    </row>
    <row r="7220">
      <c r="A7220" s="41" t="str">
        <f>IFERROR(__xludf.DUMMYFUNCTION("""COMPUTED_VALUE"""),"RSC007249")</f>
        <v>RSC007249</v>
      </c>
      <c r="B7220" s="41" t="str">
        <f>IFERROR(__xludf.DUMMYFUNCTION("""COMPUTED_VALUE"""),"BOLT-Phantom-_-")</f>
        <v>BOLT-Phantom-_-</v>
      </c>
    </row>
    <row r="7221">
      <c r="A7221" s="41" t="str">
        <f>IFERROR(__xludf.DUMMYFUNCTION("""COMPUTED_VALUE"""),"RSC007250")</f>
        <v>RSC007250</v>
      </c>
      <c r="B7221" s="41" t="str">
        <f>IFERROR(__xludf.DUMMYFUNCTION("""COMPUTED_VALUE"""),"theLS14")</f>
        <v>theLS14</v>
      </c>
    </row>
    <row r="7222">
      <c r="A7222" s="41" t="str">
        <f>IFERROR(__xludf.DUMMYFUNCTION("""COMPUTED_VALUE"""),"RSC007251")</f>
        <v>RSC007251</v>
      </c>
      <c r="B7222" s="41" t="str">
        <f>IFERROR(__xludf.DUMMYFUNCTION("""COMPUTED_VALUE"""),"Sora Kurumatani")</f>
        <v>Sora Kurumatani</v>
      </c>
    </row>
    <row r="7223">
      <c r="A7223" s="41" t="str">
        <f>IFERROR(__xludf.DUMMYFUNCTION("""COMPUTED_VALUE"""),"RSC007252")</f>
        <v>RSC007252</v>
      </c>
      <c r="B7223" s="41" t="str">
        <f>IFERROR(__xludf.DUMMYFUNCTION("""COMPUTED_VALUE"""),"mario.")</f>
        <v>mario.</v>
      </c>
    </row>
    <row r="7224">
      <c r="A7224" s="41" t="str">
        <f>IFERROR(__xludf.DUMMYFUNCTION("""COMPUTED_VALUE"""),"RSC007253")</f>
        <v>RSC007253</v>
      </c>
      <c r="B7224" s="41" t="str">
        <f>IFERROR(__xludf.DUMMYFUNCTION("""COMPUTED_VALUE"""),"Theexgrizz")</f>
        <v>Theexgrizz</v>
      </c>
    </row>
    <row r="7225">
      <c r="A7225" s="41" t="str">
        <f>IFERROR(__xludf.DUMMYFUNCTION("""COMPUTED_VALUE"""),"RSC007254")</f>
        <v>RSC007254</v>
      </c>
      <c r="B7225" s="41" t="str">
        <f>IFERROR(__xludf.DUMMYFUNCTION("""COMPUTED_VALUE"""),"jazzcabbage710")</f>
        <v>jazzcabbage710</v>
      </c>
    </row>
    <row r="7226">
      <c r="A7226" s="41" t="str">
        <f>IFERROR(__xludf.DUMMYFUNCTION("""COMPUTED_VALUE"""),"RSC007255")</f>
        <v>RSC007255</v>
      </c>
      <c r="B7226" s="41" t="str">
        <f>IFERROR(__xludf.DUMMYFUNCTION("""COMPUTED_VALUE"""),"BannanaHero")</f>
        <v>BannanaHero</v>
      </c>
    </row>
    <row r="7227">
      <c r="A7227" s="41" t="str">
        <f>IFERROR(__xludf.DUMMYFUNCTION("""COMPUTED_VALUE"""),"RSC007256")</f>
        <v>RSC007256</v>
      </c>
      <c r="B7227" s="41" t="str">
        <f>IFERROR(__xludf.DUMMYFUNCTION("""COMPUTED_VALUE"""),"Destined Odst666")</f>
        <v>Destined Odst666</v>
      </c>
    </row>
    <row r="7228">
      <c r="A7228" s="41" t="str">
        <f>IFERROR(__xludf.DUMMYFUNCTION("""COMPUTED_VALUE"""),"RSC007257")</f>
        <v>RSC007257</v>
      </c>
      <c r="B7228" s="41" t="str">
        <f>IFERROR(__xludf.DUMMYFUNCTION("""COMPUTED_VALUE"""),"DaItonJ")</f>
        <v>DaItonJ</v>
      </c>
    </row>
    <row r="7229">
      <c r="A7229" s="41" t="str">
        <f>IFERROR(__xludf.DUMMYFUNCTION("""COMPUTED_VALUE"""),"RSC007258")</f>
        <v>RSC007258</v>
      </c>
      <c r="B7229" s="41" t="str">
        <f>IFERROR(__xludf.DUMMYFUNCTION("""COMPUTED_VALUE"""),"Delta_Spams_L2")</f>
        <v>Delta_Spams_L2</v>
      </c>
    </row>
    <row r="7230">
      <c r="A7230" s="41" t="str">
        <f>IFERROR(__xludf.DUMMYFUNCTION("""COMPUTED_VALUE"""),"RSC007259")</f>
        <v>RSC007259</v>
      </c>
      <c r="B7230" s="41" t="str">
        <f>IFERROR(__xludf.DUMMYFUNCTION("""COMPUTED_VALUE"""),"Gojo.")</f>
        <v>Gojo.</v>
      </c>
    </row>
    <row r="7231">
      <c r="A7231" s="41" t="str">
        <f>IFERROR(__xludf.DUMMYFUNCTION("""COMPUTED_VALUE"""),"RSC007260")</f>
        <v>RSC007260</v>
      </c>
      <c r="B7231" s="41" t="str">
        <f>IFERROR(__xludf.DUMMYFUNCTION("""COMPUTED_VALUE"""),"FlopMode.")</f>
        <v>FlopMode.</v>
      </c>
    </row>
    <row r="7232">
      <c r="A7232" s="41" t="str">
        <f>IFERROR(__xludf.DUMMYFUNCTION("""COMPUTED_VALUE"""),"RSC007261")</f>
        <v>RSC007261</v>
      </c>
      <c r="B7232" s="41" t="str">
        <f>IFERROR(__xludf.DUMMYFUNCTION("""COMPUTED_VALUE"""),"hyrem")</f>
        <v>hyrem</v>
      </c>
    </row>
    <row r="7233">
      <c r="A7233" s="41" t="str">
        <f>IFERROR(__xludf.DUMMYFUNCTION("""COMPUTED_VALUE"""),"RSC007262")</f>
        <v>RSC007262</v>
      </c>
      <c r="B7233" s="41" t="str">
        <f>IFERROR(__xludf.DUMMYFUNCTION("""COMPUTED_VALUE"""),"Vvreze")</f>
        <v>Vvreze</v>
      </c>
    </row>
    <row r="7234">
      <c r="A7234" s="41" t="str">
        <f>IFERROR(__xludf.DUMMYFUNCTION("""COMPUTED_VALUE"""),"RSC007263")</f>
        <v>RSC007263</v>
      </c>
      <c r="B7234" s="41" t="str">
        <f>IFERROR(__xludf.DUMMYFUNCTION("""COMPUTED_VALUE"""),"HardPointy")</f>
        <v>HardPointy</v>
      </c>
    </row>
    <row r="7235">
      <c r="A7235" s="41" t="str">
        <f>IFERROR(__xludf.DUMMYFUNCTION("""COMPUTED_VALUE"""),"RSC007264")</f>
        <v>RSC007264</v>
      </c>
      <c r="B7235" s="41" t="str">
        <f>IFERROR(__xludf.DUMMYFUNCTION("""COMPUTED_VALUE"""),"Juxties")</f>
        <v>Juxties</v>
      </c>
    </row>
    <row r="7236">
      <c r="A7236" s="41" t="str">
        <f>IFERROR(__xludf.DUMMYFUNCTION("""COMPUTED_VALUE"""),"RSC007265")</f>
        <v>RSC007265</v>
      </c>
      <c r="B7236" s="41" t="str">
        <f>IFERROR(__xludf.DUMMYFUNCTION("""COMPUTED_VALUE"""),"MoistureMissle69")</f>
        <v>MoistureMissle69</v>
      </c>
    </row>
    <row r="7237">
      <c r="A7237" s="41" t="str">
        <f>IFERROR(__xludf.DUMMYFUNCTION("""COMPUTED_VALUE"""),"RSC007266")</f>
        <v>RSC007266</v>
      </c>
      <c r="B7237" s="41" t="str">
        <f>IFERROR(__xludf.DUMMYFUNCTION("""COMPUTED_VALUE"""),"matt")</f>
        <v>matt</v>
      </c>
    </row>
    <row r="7238">
      <c r="A7238" s="41" t="str">
        <f>IFERROR(__xludf.DUMMYFUNCTION("""COMPUTED_VALUE"""),"RSC007267")</f>
        <v>RSC007267</v>
      </c>
      <c r="B7238" s="41" t="str">
        <f>IFERROR(__xludf.DUMMYFUNCTION("""COMPUTED_VALUE"""),"Hered.")</f>
        <v>Hered.</v>
      </c>
    </row>
    <row r="7239">
      <c r="A7239" s="41" t="str">
        <f>IFERROR(__xludf.DUMMYFUNCTION("""COMPUTED_VALUE"""),"RSC007268")</f>
        <v>RSC007268</v>
      </c>
      <c r="B7239" s="41" t="str">
        <f>IFERROR(__xludf.DUMMYFUNCTION("""COMPUTED_VALUE"""),"Ryansis")</f>
        <v>Ryansis</v>
      </c>
    </row>
    <row r="7240">
      <c r="A7240" s="41" t="str">
        <f>IFERROR(__xludf.DUMMYFUNCTION("""COMPUTED_VALUE"""),"RSC007269")</f>
        <v>RSC007269</v>
      </c>
      <c r="B7240" s="41" t="str">
        <f>IFERROR(__xludf.DUMMYFUNCTION("""COMPUTED_VALUE"""),"Navik")</f>
        <v>Navik</v>
      </c>
    </row>
    <row r="7241">
      <c r="A7241" s="41" t="str">
        <f>IFERROR(__xludf.DUMMYFUNCTION("""COMPUTED_VALUE"""),"RSC007270")</f>
        <v>RSC007270</v>
      </c>
      <c r="B7241" s="41" t="str">
        <f>IFERROR(__xludf.DUMMYFUNCTION("""COMPUTED_VALUE"""),"D0pey killer")</f>
        <v>D0pey killer</v>
      </c>
    </row>
    <row r="7242">
      <c r="A7242" s="41" t="str">
        <f>IFERROR(__xludf.DUMMYFUNCTION("""COMPUTED_VALUE"""),"RSC007271")</f>
        <v>RSC007271</v>
      </c>
      <c r="B7242" s="41" t="str">
        <f>IFERROR(__xludf.DUMMYFUNCTION("""COMPUTED_VALUE"""),"Unc Darth")</f>
        <v>Unc Darth</v>
      </c>
    </row>
    <row r="7243">
      <c r="A7243" s="41" t="str">
        <f>IFERROR(__xludf.DUMMYFUNCTION("""COMPUTED_VALUE"""),"RSC007272")</f>
        <v>RSC007272</v>
      </c>
      <c r="B7243" s="41" t="str">
        <f>IFERROR(__xludf.DUMMYFUNCTION("""COMPUTED_VALUE"""),"HAPPYDOOMZDAY")</f>
        <v>HAPPYDOOMZDAY</v>
      </c>
    </row>
    <row r="7244">
      <c r="A7244" s="41" t="str">
        <f>IFERROR(__xludf.DUMMYFUNCTION("""COMPUTED_VALUE"""),"RSC007273")</f>
        <v>RSC007273</v>
      </c>
      <c r="B7244" s="41" t="str">
        <f>IFERROR(__xludf.DUMMYFUNCTION("""COMPUTED_VALUE"""),"Rockies9352")</f>
        <v>Rockies9352</v>
      </c>
    </row>
    <row r="7245">
      <c r="A7245" s="41" t="str">
        <f>IFERROR(__xludf.DUMMYFUNCTION("""COMPUTED_VALUE"""),"RSC007274")</f>
        <v>RSC007274</v>
      </c>
      <c r="B7245" s="41" t="str">
        <f>IFERROR(__xludf.DUMMYFUNCTION("""COMPUTED_VALUE"""),"Flicks_rl")</f>
        <v>Flicks_rl</v>
      </c>
    </row>
    <row r="7246">
      <c r="A7246" s="41" t="str">
        <f>IFERROR(__xludf.DUMMYFUNCTION("""COMPUTED_VALUE"""),"RSC007275")</f>
        <v>RSC007275</v>
      </c>
      <c r="B7246" s="41" t="str">
        <f>IFERROR(__xludf.DUMMYFUNCTION("""COMPUTED_VALUE"""),"ThickTaco")</f>
        <v>ThickTaco</v>
      </c>
    </row>
    <row r="7247">
      <c r="A7247" s="41" t="str">
        <f>IFERROR(__xludf.DUMMYFUNCTION("""COMPUTED_VALUE"""),"RSC007276")</f>
        <v>RSC007276</v>
      </c>
      <c r="B7247" s="41" t="str">
        <f>IFERROR(__xludf.DUMMYFUNCTION("""COMPUTED_VALUE"""),"Cloudgg")</f>
        <v>Cloudgg</v>
      </c>
    </row>
    <row r="7248">
      <c r="A7248" s="41" t="str">
        <f>IFERROR(__xludf.DUMMYFUNCTION("""COMPUTED_VALUE"""),"RSC007277")</f>
        <v>RSC007277</v>
      </c>
      <c r="B7248" s="41" t="str">
        <f>IFERROR(__xludf.DUMMYFUNCTION("""COMPUTED_VALUE"""),"FatherFireball")</f>
        <v>FatherFireball</v>
      </c>
    </row>
    <row r="7249">
      <c r="A7249" s="41" t="str">
        <f>IFERROR(__xludf.DUMMYFUNCTION("""COMPUTED_VALUE"""),"RSC007278")</f>
        <v>RSC007278</v>
      </c>
      <c r="B7249" s="41" t="str">
        <f>IFERROR(__xludf.DUMMYFUNCTION("""COMPUTED_VALUE"""),"Beef Cakesss")</f>
        <v>Beef Cakesss</v>
      </c>
    </row>
    <row r="7250">
      <c r="A7250" s="41" t="str">
        <f>IFERROR(__xludf.DUMMYFUNCTION("""COMPUTED_VALUE"""),"RSC007279")</f>
        <v>RSC007279</v>
      </c>
      <c r="B7250" s="41" t="str">
        <f>IFERROR(__xludf.DUMMYFUNCTION("""COMPUTED_VALUE"""),"AlvinKarmara")</f>
        <v>AlvinKarmara</v>
      </c>
    </row>
    <row r="7251">
      <c r="A7251" s="41" t="str">
        <f>IFERROR(__xludf.DUMMYFUNCTION("""COMPUTED_VALUE"""),"RSC007280")</f>
        <v>RSC007280</v>
      </c>
      <c r="B7251" s="41" t="str">
        <f>IFERROR(__xludf.DUMMYFUNCTION("""COMPUTED_VALUE"""),"BallChasinq")</f>
        <v>BallChasinq</v>
      </c>
    </row>
    <row r="7252">
      <c r="A7252" s="41" t="str">
        <f>IFERROR(__xludf.DUMMYFUNCTION("""COMPUTED_VALUE"""),"RSC007281")</f>
        <v>RSC007281</v>
      </c>
      <c r="B7252" s="41" t="str">
        <f>IFERROR(__xludf.DUMMYFUNCTION("""COMPUTED_VALUE"""),"ratii.")</f>
        <v>ratii.</v>
      </c>
    </row>
    <row r="7253">
      <c r="A7253" s="41" t="str">
        <f>IFERROR(__xludf.DUMMYFUNCTION("""COMPUTED_VALUE"""),"RSC007282")</f>
        <v>RSC007282</v>
      </c>
      <c r="B7253" s="41" t="str">
        <f>IFERROR(__xludf.DUMMYFUNCTION("""COMPUTED_VALUE"""),"kRs^^")</f>
        <v>kRs^^</v>
      </c>
    </row>
    <row r="7254">
      <c r="A7254" s="41" t="str">
        <f>IFERROR(__xludf.DUMMYFUNCTION("""COMPUTED_VALUE"""),"RSC007283")</f>
        <v>RSC007283</v>
      </c>
      <c r="B7254" s="41" t="str">
        <f>IFERROR(__xludf.DUMMYFUNCTION("""COMPUTED_VALUE"""),"Joey711")</f>
        <v>Joey711</v>
      </c>
    </row>
    <row r="7255">
      <c r="A7255" s="41" t="str">
        <f>IFERROR(__xludf.DUMMYFUNCTION("""COMPUTED_VALUE"""),"RSC007284")</f>
        <v>RSC007284</v>
      </c>
      <c r="B7255" s="41" t="str">
        <f>IFERROR(__xludf.DUMMYFUNCTION("""COMPUTED_VALUE"""),"7aco104")</f>
        <v>7aco104</v>
      </c>
    </row>
    <row r="7256">
      <c r="A7256" s="41" t="str">
        <f>IFERROR(__xludf.DUMMYFUNCTION("""COMPUTED_VALUE"""),"RSC007285")</f>
        <v>RSC007285</v>
      </c>
      <c r="B7256" s="41" t="str">
        <f>IFERROR(__xludf.DUMMYFUNCTION("""COMPUTED_VALUE"""),"Steal")</f>
        <v>Steal</v>
      </c>
    </row>
    <row r="7257">
      <c r="A7257" s="41" t="str">
        <f>IFERROR(__xludf.DUMMYFUNCTION("""COMPUTED_VALUE"""),"RSC007286")</f>
        <v>RSC007286</v>
      </c>
      <c r="B7257" s="41" t="str">
        <f>IFERROR(__xludf.DUMMYFUNCTION("""COMPUTED_VALUE"""),"SupermotoF00L")</f>
        <v>SupermotoF00L</v>
      </c>
    </row>
    <row r="7258">
      <c r="A7258" s="41" t="str">
        <f>IFERROR(__xludf.DUMMYFUNCTION("""COMPUTED_VALUE"""),"RSC007287")</f>
        <v>RSC007287</v>
      </c>
      <c r="B7258" s="41" t="str">
        <f>IFERROR(__xludf.DUMMYFUNCTION("""COMPUTED_VALUE"""),"signed.")</f>
        <v>signed.</v>
      </c>
    </row>
    <row r="7259">
      <c r="A7259" s="41" t="str">
        <f>IFERROR(__xludf.DUMMYFUNCTION("""COMPUTED_VALUE"""),"RSC007288")</f>
        <v>RSC007288</v>
      </c>
      <c r="B7259" s="41" t="str">
        <f>IFERROR(__xludf.DUMMYFUNCTION("""COMPUTED_VALUE"""),"vTheTankMan")</f>
        <v>vTheTankMan</v>
      </c>
    </row>
    <row r="7260">
      <c r="A7260" s="41" t="str">
        <f>IFERROR(__xludf.DUMMYFUNCTION("""COMPUTED_VALUE"""),"RSC007289")</f>
        <v>RSC007289</v>
      </c>
      <c r="B7260" s="41" t="str">
        <f>IFERROR(__xludf.DUMMYFUNCTION("""COMPUTED_VALUE"""),"Nikola.BMK")</f>
        <v>Nikola.BMK</v>
      </c>
    </row>
    <row r="7261">
      <c r="A7261" s="41" t="str">
        <f>IFERROR(__xludf.DUMMYFUNCTION("""COMPUTED_VALUE"""),"RSC007290")</f>
        <v>RSC007290</v>
      </c>
      <c r="B7261" s="41" t="str">
        <f>IFERROR(__xludf.DUMMYFUNCTION("""COMPUTED_VALUE"""),"rl_sheep")</f>
        <v>rl_sheep</v>
      </c>
    </row>
    <row r="7262">
      <c r="A7262" s="41" t="str">
        <f>IFERROR(__xludf.DUMMYFUNCTION("""COMPUTED_VALUE"""),"RSC007291")</f>
        <v>RSC007291</v>
      </c>
      <c r="B7262" s="41" t="str">
        <f>IFERROR(__xludf.DUMMYFUNCTION("""COMPUTED_VALUE"""),"brdtrd999")</f>
        <v>brdtrd999</v>
      </c>
    </row>
    <row r="7263">
      <c r="A7263" s="41" t="str">
        <f>IFERROR(__xludf.DUMMYFUNCTION("""COMPUTED_VALUE"""),"RSC007292")</f>
        <v>RSC007292</v>
      </c>
      <c r="B7263" s="41" t="str">
        <f>IFERROR(__xludf.DUMMYFUNCTION("""COMPUTED_VALUE"""),"Moonkey_._")</f>
        <v>Moonkey_._</v>
      </c>
    </row>
    <row r="7264">
      <c r="A7264" s="41" t="str">
        <f>IFERROR(__xludf.DUMMYFUNCTION("""COMPUTED_VALUE"""),"RSC007293")</f>
        <v>RSC007293</v>
      </c>
      <c r="B7264" s="41" t="str">
        <f>IFERROR(__xludf.DUMMYFUNCTION("""COMPUTED_VALUE"""),"YtExplixiit")</f>
        <v>YtExplixiit</v>
      </c>
    </row>
    <row r="7265">
      <c r="A7265" s="41" t="str">
        <f>IFERROR(__xludf.DUMMYFUNCTION("""COMPUTED_VALUE"""),"RSC007294")</f>
        <v>RSC007294</v>
      </c>
      <c r="B7265" s="41" t="str">
        <f>IFERROR(__xludf.DUMMYFUNCTION("""COMPUTED_VALUE"""),"CF0UR_")</f>
        <v>CF0UR_</v>
      </c>
    </row>
    <row r="7266">
      <c r="A7266" s="41" t="str">
        <f>IFERROR(__xludf.DUMMYFUNCTION("""COMPUTED_VALUE"""),"RSC007295")</f>
        <v>RSC007295</v>
      </c>
      <c r="B7266" s="41" t="str">
        <f>IFERROR(__xludf.DUMMYFUNCTION("""COMPUTED_VALUE"""),"TheLegendaryChance")</f>
        <v>TheLegendaryChance</v>
      </c>
    </row>
    <row r="7267">
      <c r="A7267" s="41" t="str">
        <f>IFERROR(__xludf.DUMMYFUNCTION("""COMPUTED_VALUE"""),"RSC007296")</f>
        <v>RSC007296</v>
      </c>
      <c r="B7267" s="41" t="str">
        <f>IFERROR(__xludf.DUMMYFUNCTION("""COMPUTED_VALUE"""),"ImJebediah")</f>
        <v>ImJebediah</v>
      </c>
    </row>
    <row r="7268">
      <c r="A7268" s="41" t="str">
        <f>IFERROR(__xludf.DUMMYFUNCTION("""COMPUTED_VALUE"""),"RSC007297")</f>
        <v>RSC007297</v>
      </c>
      <c r="B7268" s="41" t="str">
        <f>IFERROR(__xludf.DUMMYFUNCTION("""COMPUTED_VALUE"""),"St-_-Marc")</f>
        <v>St-_-Marc</v>
      </c>
    </row>
    <row r="7269">
      <c r="A7269" s="41" t="str">
        <f>IFERROR(__xludf.DUMMYFUNCTION("""COMPUTED_VALUE"""),"RSC007298")</f>
        <v>RSC007298</v>
      </c>
      <c r="B7269" s="41" t="str">
        <f>IFERROR(__xludf.DUMMYFUNCTION("""COMPUTED_VALUE"""),"Likeable-z_")</f>
        <v>Likeable-z_</v>
      </c>
    </row>
    <row r="7270">
      <c r="A7270" s="41" t="str">
        <f>IFERROR(__xludf.DUMMYFUNCTION("""COMPUTED_VALUE"""),"RSC007299")</f>
        <v>RSC007299</v>
      </c>
      <c r="B7270" s="41" t="str">
        <f>IFERROR(__xludf.DUMMYFUNCTION("""COMPUTED_VALUE"""),"SvG_kenzo")</f>
        <v>SvG_kenzo</v>
      </c>
    </row>
    <row r="7271">
      <c r="A7271" s="41" t="str">
        <f>IFERROR(__xludf.DUMMYFUNCTION("""COMPUTED_VALUE"""),"RSC007301")</f>
        <v>RSC007301</v>
      </c>
      <c r="B7271" s="41" t="str">
        <f>IFERROR(__xludf.DUMMYFUNCTION("""COMPUTED_VALUE"""),"DeathFletch")</f>
        <v>DeathFletch</v>
      </c>
    </row>
    <row r="7272">
      <c r="A7272" s="41" t="str">
        <f>IFERROR(__xludf.DUMMYFUNCTION("""COMPUTED_VALUE"""),"RSC007302")</f>
        <v>RSC007302</v>
      </c>
      <c r="B7272" s="41" t="str">
        <f>IFERROR(__xludf.DUMMYFUNCTION("""COMPUTED_VALUE"""),"wiieland")</f>
        <v>wiieland</v>
      </c>
    </row>
    <row r="7273">
      <c r="A7273" s="41" t="str">
        <f>IFERROR(__xludf.DUMMYFUNCTION("""COMPUTED_VALUE"""),"RSC007303")</f>
        <v>RSC007303</v>
      </c>
      <c r="B7273" s="41" t="str">
        <f>IFERROR(__xludf.DUMMYFUNCTION("""COMPUTED_VALUE"""),"Sky")</f>
        <v>Sky</v>
      </c>
    </row>
    <row r="7274">
      <c r="A7274" s="41" t="str">
        <f>IFERROR(__xludf.DUMMYFUNCTION("""COMPUTED_VALUE"""),"RSC007304")</f>
        <v>RSC007304</v>
      </c>
      <c r="B7274" s="41" t="str">
        <f>IFERROR(__xludf.DUMMYFUNCTION("""COMPUTED_VALUE"""),"Sgt.Rip08")</f>
        <v>Sgt.Rip08</v>
      </c>
    </row>
    <row r="7275">
      <c r="A7275" s="41" t="str">
        <f>IFERROR(__xludf.DUMMYFUNCTION("""COMPUTED_VALUE"""),"RSC007305")</f>
        <v>RSC007305</v>
      </c>
      <c r="B7275" s="41" t="str">
        <f>IFERROR(__xludf.DUMMYFUNCTION("""COMPUTED_VALUE"""),"Sea_Storm")</f>
        <v>Sea_Storm</v>
      </c>
    </row>
    <row r="7276">
      <c r="A7276" s="41" t="str">
        <f>IFERROR(__xludf.DUMMYFUNCTION("""COMPUTED_VALUE"""),"RSC007306")</f>
        <v>RSC007306</v>
      </c>
      <c r="B7276" s="41" t="str">
        <f>IFERROR(__xludf.DUMMYFUNCTION("""COMPUTED_VALUE"""),"SAMCRO-8640")</f>
        <v>SAMCRO-8640</v>
      </c>
    </row>
    <row r="7277">
      <c r="A7277" s="41" t="str">
        <f>IFERROR(__xludf.DUMMYFUNCTION("""COMPUTED_VALUE"""),"RSC007307")</f>
        <v>RSC007307</v>
      </c>
      <c r="B7277" s="41" t="str">
        <f>IFERROR(__xludf.DUMMYFUNCTION("""COMPUTED_VALUE"""),"Jmh187-")</f>
        <v>Jmh187-</v>
      </c>
    </row>
    <row r="7278">
      <c r="A7278" s="41" t="str">
        <f>IFERROR(__xludf.DUMMYFUNCTION("""COMPUTED_VALUE"""),"RSC007308")</f>
        <v>RSC007308</v>
      </c>
      <c r="B7278" s="41" t="str">
        <f>IFERROR(__xludf.DUMMYFUNCTION("""COMPUTED_VALUE"""),"Noobskin23")</f>
        <v>Noobskin23</v>
      </c>
    </row>
    <row r="7279">
      <c r="A7279" s="41" t="str">
        <f>IFERROR(__xludf.DUMMYFUNCTION("""COMPUTED_VALUE"""),"RSC007309")</f>
        <v>RSC007309</v>
      </c>
      <c r="B7279" s="41" t="str">
        <f>IFERROR(__xludf.DUMMYFUNCTION("""COMPUTED_VALUE"""),"uHorizon")</f>
        <v>uHorizon</v>
      </c>
    </row>
    <row r="7280">
      <c r="A7280" s="41" t="str">
        <f>IFERROR(__xludf.DUMMYFUNCTION("""COMPUTED_VALUE"""),"RSC007310")</f>
        <v>RSC007310</v>
      </c>
      <c r="B7280" s="41" t="str">
        <f>IFERROR(__xludf.DUMMYFUNCTION("""COMPUTED_VALUE"""),"OAK")</f>
        <v>OAK</v>
      </c>
    </row>
    <row r="7281">
      <c r="A7281" s="41" t="str">
        <f>IFERROR(__xludf.DUMMYFUNCTION("""COMPUTED_VALUE"""),"RSC007311")</f>
        <v>RSC007311</v>
      </c>
      <c r="B7281" s="41" t="str">
        <f>IFERROR(__xludf.DUMMYFUNCTION("""COMPUTED_VALUE"""),"Khyram")</f>
        <v>Khyram</v>
      </c>
    </row>
    <row r="7282">
      <c r="A7282" s="41" t="str">
        <f>IFERROR(__xludf.DUMMYFUNCTION("""COMPUTED_VALUE"""),"RSC007312")</f>
        <v>RSC007312</v>
      </c>
      <c r="B7282" s="41" t="str">
        <f>IFERROR(__xludf.DUMMYFUNCTION("""COMPUTED_VALUE"""),"Swordonator2048")</f>
        <v>Swordonator2048</v>
      </c>
    </row>
    <row r="7283">
      <c r="A7283" s="41" t="str">
        <f>IFERROR(__xludf.DUMMYFUNCTION("""COMPUTED_VALUE"""),"RSC007313")</f>
        <v>RSC007313</v>
      </c>
      <c r="B7283" s="41" t="str">
        <f>IFERROR(__xludf.DUMMYFUNCTION("""COMPUTED_VALUE"""),"xNunYaBidn3ss")</f>
        <v>xNunYaBidn3ss</v>
      </c>
    </row>
    <row r="7284">
      <c r="A7284" s="41" t="str">
        <f>IFERROR(__xludf.DUMMYFUNCTION("""COMPUTED_VALUE"""),"RSC007314")</f>
        <v>RSC007314</v>
      </c>
      <c r="B7284" s="41" t="str">
        <f>IFERROR(__xludf.DUMMYFUNCTION("""COMPUTED_VALUE"""),"wat")</f>
        <v>wat</v>
      </c>
    </row>
    <row r="7285">
      <c r="A7285" s="41" t="str">
        <f>IFERROR(__xludf.DUMMYFUNCTION("""COMPUTED_VALUE"""),"RSC007315")</f>
        <v>RSC007315</v>
      </c>
      <c r="B7285" s="41" t="str">
        <f>IFERROR(__xludf.DUMMYFUNCTION("""COMPUTED_VALUE"""),"IntimateYak829")</f>
        <v>IntimateYak829</v>
      </c>
    </row>
    <row r="7286">
      <c r="A7286" s="41" t="str">
        <f>IFERROR(__xludf.DUMMYFUNCTION("""COMPUTED_VALUE"""),"RSC007316")</f>
        <v>RSC007316</v>
      </c>
      <c r="B7286" s="41" t="str">
        <f>IFERROR(__xludf.DUMMYFUNCTION("""COMPUTED_VALUE"""),"ItsaMia")</f>
        <v>ItsaMia</v>
      </c>
    </row>
    <row r="7287">
      <c r="A7287" s="41" t="str">
        <f>IFERROR(__xludf.DUMMYFUNCTION("""COMPUTED_VALUE"""),"RSC007317")</f>
        <v>RSC007317</v>
      </c>
      <c r="B7287" s="41" t="str">
        <f>IFERROR(__xludf.DUMMYFUNCTION("""COMPUTED_VALUE"""),"TheDarkHero77")</f>
        <v>TheDarkHero77</v>
      </c>
    </row>
    <row r="7288">
      <c r="A7288" s="41" t="str">
        <f>IFERROR(__xludf.DUMMYFUNCTION("""COMPUTED_VALUE"""),"RSC007318")</f>
        <v>RSC007318</v>
      </c>
      <c r="B7288" s="41" t="str">
        <f>IFERROR(__xludf.DUMMYFUNCTION("""COMPUTED_VALUE"""),"xd Dylan591")</f>
        <v>xd Dylan591</v>
      </c>
    </row>
    <row r="7289">
      <c r="A7289" s="41" t="str">
        <f>IFERROR(__xludf.DUMMYFUNCTION("""COMPUTED_VALUE"""),"RSC007319")</f>
        <v>RSC007319</v>
      </c>
      <c r="B7289" s="41" t="str">
        <f>IFERROR(__xludf.DUMMYFUNCTION("""COMPUTED_VALUE"""),"SLICKVIC CD")</f>
        <v>SLICKVIC CD</v>
      </c>
    </row>
    <row r="7290">
      <c r="A7290" s="41" t="str">
        <f>IFERROR(__xludf.DUMMYFUNCTION("""COMPUTED_VALUE"""),"RSC007320")</f>
        <v>RSC007320</v>
      </c>
      <c r="B7290" s="41" t="str">
        <f>IFERROR(__xludf.DUMMYFUNCTION("""COMPUTED_VALUE"""),"XsLimited.")</f>
        <v>XsLimited.</v>
      </c>
    </row>
    <row r="7291">
      <c r="A7291" s="41" t="str">
        <f>IFERROR(__xludf.DUMMYFUNCTION("""COMPUTED_VALUE"""),"RSC007321")</f>
        <v>RSC007321</v>
      </c>
      <c r="B7291" s="41" t="str">
        <f>IFERROR(__xludf.DUMMYFUNCTION("""COMPUTED_VALUE"""),"The Postman")</f>
        <v>The Postman</v>
      </c>
    </row>
    <row r="7292">
      <c r="A7292" s="41" t="str">
        <f>IFERROR(__xludf.DUMMYFUNCTION("""COMPUTED_VALUE"""),"RSC007322")</f>
        <v>RSC007322</v>
      </c>
      <c r="B7292" s="41" t="str">
        <f>IFERROR(__xludf.DUMMYFUNCTION("""COMPUTED_VALUE"""),"Sakhuta")</f>
        <v>Sakhuta</v>
      </c>
    </row>
    <row r="7293">
      <c r="A7293" s="41" t="str">
        <f>IFERROR(__xludf.DUMMYFUNCTION("""COMPUTED_VALUE"""),"RSC007323")</f>
        <v>RSC007323</v>
      </c>
      <c r="B7293" s="41" t="str">
        <f>IFERROR(__xludf.DUMMYFUNCTION("""COMPUTED_VALUE"""),"McBaldBoy")</f>
        <v>McBaldBoy</v>
      </c>
    </row>
    <row r="7294">
      <c r="A7294" s="41" t="str">
        <f>IFERROR(__xludf.DUMMYFUNCTION("""COMPUTED_VALUE"""),"RSC007324")</f>
        <v>RSC007324</v>
      </c>
      <c r="B7294" s="41" t="str">
        <f>IFERROR(__xludf.DUMMYFUNCTION("""COMPUTED_VALUE"""),"Aura")</f>
        <v>Aura</v>
      </c>
    </row>
    <row r="7295">
      <c r="A7295" s="41" t="str">
        <f>IFERROR(__xludf.DUMMYFUNCTION("""COMPUTED_VALUE"""),"RSC007325")</f>
        <v>RSC007325</v>
      </c>
      <c r="B7295" s="41" t="str">
        <f>IFERROR(__xludf.DUMMYFUNCTION("""COMPUTED_VALUE"""),"SDMasked")</f>
        <v>SDMasked</v>
      </c>
    </row>
    <row r="7296">
      <c r="A7296" s="41" t="str">
        <f>IFERROR(__xludf.DUMMYFUNCTION("""COMPUTED_VALUE"""),"RSC007326")</f>
        <v>RSC007326</v>
      </c>
      <c r="B7296" s="41" t="str">
        <f>IFERROR(__xludf.DUMMYFUNCTION("""COMPUTED_VALUE"""),"ttv goolbie")</f>
        <v>ttv goolbie</v>
      </c>
    </row>
    <row r="7297">
      <c r="A7297" s="41" t="str">
        <f>IFERROR(__xludf.DUMMYFUNCTION("""COMPUTED_VALUE"""),"RSC007327")</f>
        <v>RSC007327</v>
      </c>
      <c r="B7297" s="41" t="str">
        <f>IFERROR(__xludf.DUMMYFUNCTION("""COMPUTED_VALUE"""),"User-0ca0854f3f")</f>
        <v>User-0ca0854f3f</v>
      </c>
    </row>
    <row r="7298">
      <c r="A7298" s="41" t="str">
        <f>IFERROR(__xludf.DUMMYFUNCTION("""COMPUTED_VALUE"""),"RSC007328")</f>
        <v>RSC007328</v>
      </c>
      <c r="B7298" s="41" t="str">
        <f>IFERROR(__xludf.DUMMYFUNCTION("""COMPUTED_VALUE"""),"Captain_CleanRL")</f>
        <v>Captain_CleanRL</v>
      </c>
    </row>
    <row r="7299">
      <c r="A7299" s="41" t="str">
        <f>IFERROR(__xludf.DUMMYFUNCTION("""COMPUTED_VALUE"""),"RSC007329")</f>
        <v>RSC007329</v>
      </c>
      <c r="B7299" s="41" t="str">
        <f>IFERROR(__xludf.DUMMYFUNCTION("""COMPUTED_VALUE"""),"JDM.vibe")</f>
        <v>JDM.vibe</v>
      </c>
    </row>
    <row r="7300">
      <c r="A7300" s="41" t="str">
        <f>IFERROR(__xludf.DUMMYFUNCTION("""COMPUTED_VALUE"""),"RSC007330")</f>
        <v>RSC007330</v>
      </c>
      <c r="B7300" s="41" t="str">
        <f>IFERROR(__xludf.DUMMYFUNCTION("""COMPUTED_VALUE"""),"Spooky")</f>
        <v>Spooky</v>
      </c>
    </row>
    <row r="7301">
      <c r="A7301" s="41" t="str">
        <f>IFERROR(__xludf.DUMMYFUNCTION("""COMPUTED_VALUE"""),"RSC007331")</f>
        <v>RSC007331</v>
      </c>
      <c r="B7301" s="41" t="str">
        <f>IFERROR(__xludf.DUMMYFUNCTION("""COMPUTED_VALUE"""),"Ikigai")</f>
        <v>Ikigai</v>
      </c>
    </row>
    <row r="7302">
      <c r="A7302" s="41" t="str">
        <f>IFERROR(__xludf.DUMMYFUNCTION("""COMPUTED_VALUE"""),"RSC007332")</f>
        <v>RSC007332</v>
      </c>
      <c r="B7302" s="41" t="str">
        <f>IFERROR(__xludf.DUMMYFUNCTION("""COMPUTED_VALUE"""),"DemonTime Ren")</f>
        <v>DemonTime Ren</v>
      </c>
    </row>
    <row r="7303">
      <c r="A7303" s="41" t="str">
        <f>IFERROR(__xludf.DUMMYFUNCTION("""COMPUTED_VALUE"""),"RSC007333")</f>
        <v>RSC007333</v>
      </c>
      <c r="B7303" s="41" t="str">
        <f>IFERROR(__xludf.DUMMYFUNCTION("""COMPUTED_VALUE"""),"Dracula__OG")</f>
        <v>Dracula__OG</v>
      </c>
    </row>
    <row r="7304">
      <c r="A7304" s="41" t="str">
        <f>IFERROR(__xludf.DUMMYFUNCTION("""COMPUTED_VALUE"""),"RSC007334")</f>
        <v>RSC007334</v>
      </c>
      <c r="B7304" s="41" t="str">
        <f>IFERROR(__xludf.DUMMYFUNCTION("""COMPUTED_VALUE"""),"TommyBoyooo")</f>
        <v>TommyBoyooo</v>
      </c>
    </row>
    <row r="7305">
      <c r="A7305" s="41" t="str">
        <f>IFERROR(__xludf.DUMMYFUNCTION("""COMPUTED_VALUE"""),"RSC007335")</f>
        <v>RSC007335</v>
      </c>
      <c r="B7305" s="41" t="str">
        <f>IFERROR(__xludf.DUMMYFUNCTION("""COMPUTED_VALUE"""),"Santos1926")</f>
        <v>Santos1926</v>
      </c>
    </row>
    <row r="7306">
      <c r="A7306" s="41" t="str">
        <f>IFERROR(__xludf.DUMMYFUNCTION("""COMPUTED_VALUE"""),"RSC007336")</f>
        <v>RSC007336</v>
      </c>
      <c r="B7306" s="41" t="str">
        <f>IFERROR(__xludf.DUMMYFUNCTION("""COMPUTED_VALUE"""),"LeSaucy157")</f>
        <v>LeSaucy157</v>
      </c>
    </row>
    <row r="7307">
      <c r="A7307" s="41" t="str">
        <f>IFERROR(__xludf.DUMMYFUNCTION("""COMPUTED_VALUE"""),"RSC007337")</f>
        <v>RSC007337</v>
      </c>
      <c r="B7307" s="41" t="str">
        <f>IFERROR(__xludf.DUMMYFUNCTION("""COMPUTED_VALUE"""),"IAmBrCe")</f>
        <v>IAmBrCe</v>
      </c>
    </row>
    <row r="7308">
      <c r="A7308" s="41" t="str">
        <f>IFERROR(__xludf.DUMMYFUNCTION("""COMPUTED_VALUE"""),"RSC007338")</f>
        <v>RSC007338</v>
      </c>
      <c r="B7308" s="41" t="str">
        <f>IFERROR(__xludf.DUMMYFUNCTION("""COMPUTED_VALUE"""),"Gilly")</f>
        <v>Gilly</v>
      </c>
    </row>
    <row r="7309">
      <c r="A7309" s="41" t="str">
        <f>IFERROR(__xludf.DUMMYFUNCTION("""COMPUTED_VALUE"""),"RSC007339")</f>
        <v>RSC007339</v>
      </c>
      <c r="B7309" s="41" t="str">
        <f>IFERROR(__xludf.DUMMYFUNCTION("""COMPUTED_VALUE"""),"sil")</f>
        <v>sil</v>
      </c>
    </row>
    <row r="7310">
      <c r="A7310" s="41" t="str">
        <f>IFERROR(__xludf.DUMMYFUNCTION("""COMPUTED_VALUE"""),"RSC007340")</f>
        <v>RSC007340</v>
      </c>
      <c r="B7310" s="41" t="str">
        <f>IFERROR(__xludf.DUMMYFUNCTION("""COMPUTED_VALUE"""),"perk")</f>
        <v>perk</v>
      </c>
    </row>
    <row r="7311">
      <c r="A7311" s="41" t="str">
        <f>IFERROR(__xludf.DUMMYFUNCTION("""COMPUTED_VALUE"""),"RSC007341")</f>
        <v>RSC007341</v>
      </c>
      <c r="B7311" s="41" t="str">
        <f>IFERROR(__xludf.DUMMYFUNCTION("""COMPUTED_VALUE"""),"Squashy")</f>
        <v>Squashy</v>
      </c>
    </row>
    <row r="7312">
      <c r="A7312" s="41" t="str">
        <f>IFERROR(__xludf.DUMMYFUNCTION("""COMPUTED_VALUE"""),"RSC007342")</f>
        <v>RSC007342</v>
      </c>
      <c r="B7312" s="41" t="str">
        <f>IFERROR(__xludf.DUMMYFUNCTION("""COMPUTED_VALUE"""),"malachib2")</f>
        <v>malachib2</v>
      </c>
    </row>
    <row r="7313">
      <c r="A7313" s="41" t="str">
        <f>IFERROR(__xludf.DUMMYFUNCTION("""COMPUTED_VALUE"""),"RSC007343")</f>
        <v>RSC007343</v>
      </c>
      <c r="B7313" s="41" t="str">
        <f>IFERROR(__xludf.DUMMYFUNCTION("""COMPUTED_VALUE"""),"Dapper_Plays")</f>
        <v>Dapper_Plays</v>
      </c>
    </row>
    <row r="7314">
      <c r="A7314" s="41" t="str">
        <f>IFERROR(__xludf.DUMMYFUNCTION("""COMPUTED_VALUE"""),"RSC007344")</f>
        <v>RSC007344</v>
      </c>
      <c r="B7314" s="41" t="str">
        <f>IFERROR(__xludf.DUMMYFUNCTION("""COMPUTED_VALUE"""),"OrbitZ")</f>
        <v>OrbitZ</v>
      </c>
    </row>
    <row r="7315">
      <c r="A7315" s="41" t="str">
        <f>IFERROR(__xludf.DUMMYFUNCTION("""COMPUTED_VALUE"""),"RSC007345")</f>
        <v>RSC007345</v>
      </c>
      <c r="B7315" s="41" t="str">
        <f>IFERROR(__xludf.DUMMYFUNCTION("""COMPUTED_VALUE"""),"HungiChungi031")</f>
        <v>HungiChungi031</v>
      </c>
    </row>
    <row r="7316">
      <c r="A7316" s="41" t="str">
        <f>IFERROR(__xludf.DUMMYFUNCTION("""COMPUTED_VALUE"""),"RSC007346")</f>
        <v>RSC007346</v>
      </c>
      <c r="B7316" s="41" t="str">
        <f>IFERROR(__xludf.DUMMYFUNCTION("""COMPUTED_VALUE"""),"OhMAIdripdrip")</f>
        <v>OhMAIdripdrip</v>
      </c>
    </row>
    <row r="7317">
      <c r="A7317" s="41" t="str">
        <f>IFERROR(__xludf.DUMMYFUNCTION("""COMPUTED_VALUE"""),"RSC007347")</f>
        <v>RSC007347</v>
      </c>
      <c r="B7317" s="41" t="str">
        <f>IFERROR(__xludf.DUMMYFUNCTION("""COMPUTED_VALUE"""),"rmh v.3")</f>
        <v>rmh v.3</v>
      </c>
    </row>
    <row r="7318">
      <c r="A7318" s="41" t="str">
        <f>IFERROR(__xludf.DUMMYFUNCTION("""COMPUTED_VALUE"""),"RSC007348")</f>
        <v>RSC007348</v>
      </c>
      <c r="B7318" s="41" t="str">
        <f>IFERROR(__xludf.DUMMYFUNCTION("""COMPUTED_VALUE"""),"Coley!")</f>
        <v>Coley!</v>
      </c>
    </row>
    <row r="7319">
      <c r="A7319" s="41" t="str">
        <f>IFERROR(__xludf.DUMMYFUNCTION("""COMPUTED_VALUE"""),"RSC007349")</f>
        <v>RSC007349</v>
      </c>
      <c r="B7319" s="41" t="str">
        <f>IFERROR(__xludf.DUMMYFUNCTION("""COMPUTED_VALUE"""),"Crim Reaper6269")</f>
        <v>Crim Reaper6269</v>
      </c>
    </row>
    <row r="7320">
      <c r="A7320" s="41" t="str">
        <f>IFERROR(__xludf.DUMMYFUNCTION("""COMPUTED_VALUE"""),"RSC007350")</f>
        <v>RSC007350</v>
      </c>
      <c r="B7320" s="41" t="str">
        <f>IFERROR(__xludf.DUMMYFUNCTION("""COMPUTED_VALUE"""),"T SteamID: 76561198885260961")</f>
        <v>T SteamID: 76561198885260961</v>
      </c>
    </row>
    <row r="7321">
      <c r="A7321" s="41" t="str">
        <f>IFERROR(__xludf.DUMMYFUNCTION("""COMPUTED_VALUE"""),"RSC007351")</f>
        <v>RSC007351</v>
      </c>
      <c r="B7321" s="41" t="str">
        <f>IFERROR(__xludf.DUMMYFUNCTION("""COMPUTED_VALUE"""),"Justchilldude111")</f>
        <v>Justchilldude111</v>
      </c>
    </row>
    <row r="7322">
      <c r="A7322" s="41" t="str">
        <f>IFERROR(__xludf.DUMMYFUNCTION("""COMPUTED_VALUE"""),"RSC007352")</f>
        <v>RSC007352</v>
      </c>
      <c r="B7322" s="41" t="str">
        <f>IFERROR(__xludf.DUMMYFUNCTION("""COMPUTED_VALUE"""),"Kaz.umi")</f>
        <v>Kaz.umi</v>
      </c>
    </row>
    <row r="7323">
      <c r="A7323" s="41" t="str">
        <f>IFERROR(__xludf.DUMMYFUNCTION("""COMPUTED_VALUE"""),"RSC007353")</f>
        <v>RSC007353</v>
      </c>
      <c r="B7323" s="41" t="str">
        <f>IFERROR(__xludf.DUMMYFUNCTION("""COMPUTED_VALUE"""),"Maindo")</f>
        <v>Maindo</v>
      </c>
    </row>
    <row r="7324">
      <c r="A7324" s="41" t="str">
        <f>IFERROR(__xludf.DUMMYFUNCTION("""COMPUTED_VALUE"""),"RSC007354")</f>
        <v>RSC007354</v>
      </c>
      <c r="B7324" s="41" t="str">
        <f>IFERROR(__xludf.DUMMYFUNCTION("""COMPUTED_VALUE"""),"Fanatic")</f>
        <v>Fanatic</v>
      </c>
    </row>
    <row r="7325">
      <c r="A7325" s="41" t="str">
        <f>IFERROR(__xludf.DUMMYFUNCTION("""COMPUTED_VALUE"""),"RSC007355")</f>
        <v>RSC007355</v>
      </c>
      <c r="B7325" s="41" t="str">
        <f>IFERROR(__xludf.DUMMYFUNCTION("""COMPUTED_VALUE"""),"plattypus.")</f>
        <v>plattypus.</v>
      </c>
    </row>
    <row r="7326">
      <c r="A7326" s="41" t="str">
        <f>IFERROR(__xludf.DUMMYFUNCTION("""COMPUTED_VALUE"""),"RSC007356")</f>
        <v>RSC007356</v>
      </c>
      <c r="B7326" s="41" t="str">
        <f>IFERROR(__xludf.DUMMYFUNCTION("""COMPUTED_VALUE"""),"glxw")</f>
        <v>glxw</v>
      </c>
    </row>
    <row r="7327">
      <c r="A7327" s="41" t="str">
        <f>IFERROR(__xludf.DUMMYFUNCTION("""COMPUTED_VALUE"""),"RSC007357")</f>
        <v>RSC007357</v>
      </c>
      <c r="B7327" s="41" t="str">
        <f>IFERROR(__xludf.DUMMYFUNCTION("""COMPUTED_VALUE"""),"Doohzy")</f>
        <v>Doohzy</v>
      </c>
    </row>
    <row r="7328">
      <c r="A7328" s="41" t="str">
        <f>IFERROR(__xludf.DUMMYFUNCTION("""COMPUTED_VALUE"""),"RSC007358")</f>
        <v>RSC007358</v>
      </c>
      <c r="B7328" s="41" t="str">
        <f>IFERROR(__xludf.DUMMYFUNCTION("""COMPUTED_VALUE"""),"Tropicalshortsba")</f>
        <v>Tropicalshortsba</v>
      </c>
    </row>
    <row r="7329">
      <c r="A7329" s="41" t="str">
        <f>IFERROR(__xludf.DUMMYFUNCTION("""COMPUTED_VALUE"""),"RSC007359")</f>
        <v>RSC007359</v>
      </c>
      <c r="B7329" s="41" t="str">
        <f>IFERROR(__xludf.DUMMYFUNCTION("""COMPUTED_VALUE"""),"Town.")</f>
        <v>Town.</v>
      </c>
    </row>
    <row r="7330">
      <c r="A7330" s="41" t="str">
        <f>IFERROR(__xludf.DUMMYFUNCTION("""COMPUTED_VALUE"""),"RSC007360")</f>
        <v>RSC007360</v>
      </c>
      <c r="B7330" s="41" t="str">
        <f>IFERROR(__xludf.DUMMYFUNCTION("""COMPUTED_VALUE"""),"MidnightJoker24")</f>
        <v>MidnightJoker24</v>
      </c>
    </row>
    <row r="7331">
      <c r="A7331" s="41" t="str">
        <f>IFERROR(__xludf.DUMMYFUNCTION("""COMPUTED_VALUE"""),"RSC007361")</f>
        <v>RSC007361</v>
      </c>
      <c r="B7331" s="41" t="str">
        <f>IFERROR(__xludf.DUMMYFUNCTION("""COMPUTED_VALUE"""),"Polashjl")</f>
        <v>Polashjl</v>
      </c>
    </row>
    <row r="7332">
      <c r="A7332" s="41" t="str">
        <f>IFERROR(__xludf.DUMMYFUNCTION("""COMPUTED_VALUE"""),"RSC007362")</f>
        <v>RSC007362</v>
      </c>
      <c r="B7332" s="41" t="str">
        <f>IFERROR(__xludf.DUMMYFUNCTION("""COMPUTED_VALUE"""),"imskrewed")</f>
        <v>imskrewed</v>
      </c>
    </row>
    <row r="7333">
      <c r="A7333" s="41" t="str">
        <f>IFERROR(__xludf.DUMMYFUNCTION("""COMPUTED_VALUE"""),"RSC007363")</f>
        <v>RSC007363</v>
      </c>
      <c r="B7333" s="41" t="str">
        <f>IFERROR(__xludf.DUMMYFUNCTION("""COMPUTED_VALUE"""),"ispartan24")</f>
        <v>ispartan24</v>
      </c>
    </row>
    <row r="7334">
      <c r="A7334" s="41" t="str">
        <f>IFERROR(__xludf.DUMMYFUNCTION("""COMPUTED_VALUE"""),"RSC007364")</f>
        <v>RSC007364</v>
      </c>
      <c r="B7334" s="41" t="str">
        <f>IFERROR(__xludf.DUMMYFUNCTION("""COMPUTED_VALUE"""),"Mango")</f>
        <v>Mango</v>
      </c>
    </row>
    <row r="7335">
      <c r="A7335" s="41" t="str">
        <f>IFERROR(__xludf.DUMMYFUNCTION("""COMPUTED_VALUE"""),"RSC007365")</f>
        <v>RSC007365</v>
      </c>
      <c r="B7335" s="41" t="str">
        <f>IFERROR(__xludf.DUMMYFUNCTION("""COMPUTED_VALUE"""),"Diogo_rl20")</f>
        <v>Diogo_rl20</v>
      </c>
    </row>
    <row r="7336">
      <c r="A7336" s="41" t="str">
        <f>IFERROR(__xludf.DUMMYFUNCTION("""COMPUTED_VALUE"""),"RSC007366")</f>
        <v>RSC007366</v>
      </c>
      <c r="B7336" s="41" t="str">
        <f>IFERROR(__xludf.DUMMYFUNCTION("""COMPUTED_VALUE"""),"Masked")</f>
        <v>Masked</v>
      </c>
    </row>
    <row r="7337">
      <c r="A7337" s="41" t="str">
        <f>IFERROR(__xludf.DUMMYFUNCTION("""COMPUTED_VALUE"""),"RSC007367")</f>
        <v>RSC007367</v>
      </c>
      <c r="B7337" s="41" t="str">
        <f>IFERROR(__xludf.DUMMYFUNCTION("""COMPUTED_VALUE"""),"avaliableseizure")</f>
        <v>avaliableseizure</v>
      </c>
    </row>
    <row r="7338">
      <c r="A7338" s="41" t="str">
        <f>IFERROR(__xludf.DUMMYFUNCTION("""COMPUTED_VALUE"""),"RSC007368")</f>
        <v>RSC007368</v>
      </c>
      <c r="B7338" s="41" t="str">
        <f>IFERROR(__xludf.DUMMYFUNCTION("""COMPUTED_VALUE"""),"Cyber_Cowboy_")</f>
        <v>Cyber_Cowboy_</v>
      </c>
    </row>
    <row r="7339">
      <c r="A7339" s="41" t="str">
        <f>IFERROR(__xludf.DUMMYFUNCTION("""COMPUTED_VALUE"""),"RSC007369")</f>
        <v>RSC007369</v>
      </c>
      <c r="B7339" s="41" t="str">
        <f>IFERROR(__xludf.DUMMYFUNCTION("""COMPUTED_VALUE"""),"Shawn 410")</f>
        <v>Shawn 410</v>
      </c>
    </row>
    <row r="7340">
      <c r="A7340" s="41" t="str">
        <f>IFERROR(__xludf.DUMMYFUNCTION("""COMPUTED_VALUE"""),"RSC007370")</f>
        <v>RSC007370</v>
      </c>
      <c r="B7340" s="41" t="str">
        <f>IFERROR(__xludf.DUMMYFUNCTION("""COMPUTED_VALUE"""),"Jarrod81535")</f>
        <v>Jarrod81535</v>
      </c>
    </row>
    <row r="7341">
      <c r="A7341" s="41" t="str">
        <f>IFERROR(__xludf.DUMMYFUNCTION("""COMPUTED_VALUE"""),"RSC007371")</f>
        <v>RSC007371</v>
      </c>
      <c r="B7341" s="41" t="str">
        <f>IFERROR(__xludf.DUMMYFUNCTION("""COMPUTED_VALUE"""),"wsly.")</f>
        <v>wsly.</v>
      </c>
    </row>
    <row r="7342">
      <c r="A7342" s="41" t="str">
        <f>IFERROR(__xludf.DUMMYFUNCTION("""COMPUTED_VALUE"""),"RSC007372")</f>
        <v>RSC007372</v>
      </c>
      <c r="B7342" s="41" t="str">
        <f>IFERROR(__xludf.DUMMYFUNCTION("""COMPUTED_VALUE"""),"Zirr_Grzzlr_onTT")</f>
        <v>Zirr_Grzzlr_onTT</v>
      </c>
    </row>
    <row r="7343">
      <c r="A7343" s="41" t="str">
        <f>IFERROR(__xludf.DUMMYFUNCTION("""COMPUTED_VALUE"""),"RSC007373")</f>
        <v>RSC007373</v>
      </c>
      <c r="B7343" s="41" t="str">
        <f>IFERROR(__xludf.DUMMYFUNCTION("""COMPUTED_VALUE"""),"pug")</f>
        <v>pug</v>
      </c>
    </row>
    <row r="7344">
      <c r="A7344" s="41" t="str">
        <f>IFERROR(__xludf.DUMMYFUNCTION("""COMPUTED_VALUE"""),"RSC007374")</f>
        <v>RSC007374</v>
      </c>
      <c r="B7344" s="41" t="str">
        <f>IFERROR(__xludf.DUMMYFUNCTION("""COMPUTED_VALUE"""),"HorseFlyBaller94")</f>
        <v>HorseFlyBaller94</v>
      </c>
    </row>
    <row r="7345">
      <c r="A7345" s="41" t="str">
        <f>IFERROR(__xludf.DUMMYFUNCTION("""COMPUTED_VALUE"""),"RSC007375")</f>
        <v>RSC007375</v>
      </c>
      <c r="B7345" s="41" t="str">
        <f>IFERROR(__xludf.DUMMYFUNCTION("""COMPUTED_VALUE"""),"Jostified.")</f>
        <v>Jostified.</v>
      </c>
    </row>
    <row r="7346">
      <c r="A7346" s="41" t="str">
        <f>IFERROR(__xludf.DUMMYFUNCTION("""COMPUTED_VALUE"""),"RSC007376")</f>
        <v>RSC007376</v>
      </c>
      <c r="B7346" s="41" t="str">
        <f>IFERROR(__xludf.DUMMYFUNCTION("""COMPUTED_VALUE"""),"Xcalibur9659")</f>
        <v>Xcalibur9659</v>
      </c>
    </row>
    <row r="7347">
      <c r="A7347" s="41" t="str">
        <f>IFERROR(__xludf.DUMMYFUNCTION("""COMPUTED_VALUE"""),"RSC007377")</f>
        <v>RSC007377</v>
      </c>
      <c r="B7347" s="41" t="str">
        <f>IFERROR(__xludf.DUMMYFUNCTION("""COMPUTED_VALUE"""),"76561198032600417")</f>
        <v>76561198032600417</v>
      </c>
    </row>
    <row r="7348">
      <c r="A7348" s="41" t="str">
        <f>IFERROR(__xludf.DUMMYFUNCTION("""COMPUTED_VALUE"""),"RSC007378")</f>
        <v>RSC007378</v>
      </c>
      <c r="B7348" s="41" t="str">
        <f>IFERROR(__xludf.DUMMYFUNCTION("""COMPUTED_VALUE"""),"B1GPA123")</f>
        <v>B1GPA123</v>
      </c>
    </row>
    <row r="7349">
      <c r="A7349" s="41" t="str">
        <f>IFERROR(__xludf.DUMMYFUNCTION("""COMPUTED_VALUE"""),"RSC007379")</f>
        <v>RSC007379</v>
      </c>
      <c r="B7349" s="41" t="str">
        <f>IFERROR(__xludf.DUMMYFUNCTION("""COMPUTED_VALUE"""),"slax")</f>
        <v>slax</v>
      </c>
    </row>
    <row r="7350">
      <c r="A7350" s="41" t="str">
        <f>IFERROR(__xludf.DUMMYFUNCTION("""COMPUTED_VALUE"""),"RSC007380")</f>
        <v>RSC007380</v>
      </c>
      <c r="B7350" s="41" t="str">
        <f>IFERROR(__xludf.DUMMYFUNCTION("""COMPUTED_VALUE"""),"Th3TruFatal")</f>
        <v>Th3TruFatal</v>
      </c>
    </row>
    <row r="7351">
      <c r="A7351" s="41" t="str">
        <f>IFERROR(__xludf.DUMMYFUNCTION("""COMPUTED_VALUE"""),"RSC007381")</f>
        <v>RSC007381</v>
      </c>
      <c r="B7351" s="41" t="str">
        <f>IFERROR(__xludf.DUMMYFUNCTION("""COMPUTED_VALUE"""),"cool-zone5")</f>
        <v>cool-zone5</v>
      </c>
    </row>
    <row r="7352">
      <c r="A7352" s="41" t="str">
        <f>IFERROR(__xludf.DUMMYFUNCTION("""COMPUTED_VALUE"""),"RSC007382")</f>
        <v>RSC007382</v>
      </c>
      <c r="B7352" s="41" t="str">
        <f>IFERROR(__xludf.DUMMYFUNCTION("""COMPUTED_VALUE"""),"takeeover")</f>
        <v>takeeover</v>
      </c>
    </row>
    <row r="7353">
      <c r="A7353" s="41" t="str">
        <f>IFERROR(__xludf.DUMMYFUNCTION("""COMPUTED_VALUE"""),"RSC007383")</f>
        <v>RSC007383</v>
      </c>
      <c r="B7353" s="41" t="str">
        <f>IFERROR(__xludf.DUMMYFUNCTION("""COMPUTED_VALUE"""),"ttv. blestbb")</f>
        <v>ttv. blestbb</v>
      </c>
    </row>
    <row r="7354">
      <c r="A7354" s="41" t="str">
        <f>IFERROR(__xludf.DUMMYFUNCTION("""COMPUTED_VALUE"""),"RSC007384")</f>
        <v>RSC007384</v>
      </c>
      <c r="B7354" s="41" t="str">
        <f>IFERROR(__xludf.DUMMYFUNCTION("""COMPUTED_VALUE"""),"Welendish")</f>
        <v>Welendish</v>
      </c>
    </row>
    <row r="7355">
      <c r="A7355" s="41" t="str">
        <f>IFERROR(__xludf.DUMMYFUNCTION("""COMPUTED_VALUE"""),"RSC007385")</f>
        <v>RSC007385</v>
      </c>
      <c r="B7355" s="41" t="str">
        <f>IFERROR(__xludf.DUMMYFUNCTION("""COMPUTED_VALUE"""),"I Will Key I")</f>
        <v>I Will Key I</v>
      </c>
    </row>
    <row r="7356">
      <c r="A7356" s="41" t="str">
        <f>IFERROR(__xludf.DUMMYFUNCTION("""COMPUTED_VALUE"""),"RSC007386")</f>
        <v>RSC007386</v>
      </c>
      <c r="B7356" s="41" t="str">
        <f>IFERROR(__xludf.DUMMYFUNCTION("""COMPUTED_VALUE"""),"oddtrip")</f>
        <v>oddtrip</v>
      </c>
    </row>
    <row r="7357">
      <c r="A7357" s="41" t="str">
        <f>IFERROR(__xludf.DUMMYFUNCTION("""COMPUTED_VALUE"""),"RSC007387")</f>
        <v>RSC007387</v>
      </c>
      <c r="B7357" s="41" t="str">
        <f>IFERROR(__xludf.DUMMYFUNCTION("""COMPUTED_VALUE"""),"Nut")</f>
        <v>Nut</v>
      </c>
    </row>
    <row r="7358">
      <c r="A7358" s="41" t="str">
        <f>IFERROR(__xludf.DUMMYFUNCTION("""COMPUTED_VALUE"""),"RSC007388")</f>
        <v>RSC007388</v>
      </c>
      <c r="B7358" s="41" t="str">
        <f>IFERROR(__xludf.DUMMYFUNCTION("""COMPUTED_VALUE"""),"Skyy o_o")</f>
        <v>Skyy o_o</v>
      </c>
    </row>
    <row r="7359">
      <c r="A7359" s="41" t="str">
        <f>IFERROR(__xludf.DUMMYFUNCTION("""COMPUTED_VALUE"""),"RSC007389")</f>
        <v>RSC007389</v>
      </c>
      <c r="B7359" s="41" t="str">
        <f>IFERROR(__xludf.DUMMYFUNCTION("""COMPUTED_VALUE"""),"austin")</f>
        <v>austin</v>
      </c>
    </row>
    <row r="7360">
      <c r="A7360" s="41" t="str">
        <f>IFERROR(__xludf.DUMMYFUNCTION("""COMPUTED_VALUE"""),"RSC007390")</f>
        <v>RSC007390</v>
      </c>
      <c r="B7360" s="41" t="str">
        <f>IFERROR(__xludf.DUMMYFUNCTION("""COMPUTED_VALUE"""),"KGTMR")</f>
        <v>KGTMR</v>
      </c>
    </row>
    <row r="7361">
      <c r="A7361" s="41" t="str">
        <f>IFERROR(__xludf.DUMMYFUNCTION("""COMPUTED_VALUE"""),"RSC007391")</f>
        <v>RSC007391</v>
      </c>
      <c r="B7361" s="41" t="str">
        <f>IFERROR(__xludf.DUMMYFUNCTION("""COMPUTED_VALUE"""),"wtm222000")</f>
        <v>wtm222000</v>
      </c>
    </row>
    <row r="7362">
      <c r="A7362" s="41" t="str">
        <f>IFERROR(__xludf.DUMMYFUNCTION("""COMPUTED_VALUE"""),"RSC007392")</f>
        <v>RSC007392</v>
      </c>
      <c r="B7362" s="41" t="str">
        <f>IFERROR(__xludf.DUMMYFUNCTION("""COMPUTED_VALUE"""),"seancheez")</f>
        <v>seancheez</v>
      </c>
    </row>
    <row r="7363">
      <c r="A7363" s="41" t="str">
        <f>IFERROR(__xludf.DUMMYFUNCTION("""COMPUTED_VALUE"""),"RSC007393")</f>
        <v>RSC007393</v>
      </c>
      <c r="B7363" s="41" t="str">
        <f>IFERROR(__xludf.DUMMYFUNCTION("""COMPUTED_VALUE"""),"Ubfghki9442")</f>
        <v>Ubfghki9442</v>
      </c>
    </row>
    <row r="7364">
      <c r="A7364" s="41" t="str">
        <f>IFERROR(__xludf.DUMMYFUNCTION("""COMPUTED_VALUE"""),"RSC007394")</f>
        <v>RSC007394</v>
      </c>
      <c r="B7364" s="41" t="str">
        <f>IFERROR(__xludf.DUMMYFUNCTION("""COMPUTED_VALUE"""),"Goneskiing2002")</f>
        <v>Goneskiing2002</v>
      </c>
    </row>
    <row r="7365">
      <c r="A7365" s="41" t="str">
        <f>IFERROR(__xludf.DUMMYFUNCTION("""COMPUTED_VALUE"""),"RSC007395")</f>
        <v>RSC007395</v>
      </c>
      <c r="B7365" s="41" t="str">
        <f>IFERROR(__xludf.DUMMYFUNCTION("""COMPUTED_VALUE"""),"Sіnja")</f>
        <v>Sіnja</v>
      </c>
    </row>
    <row r="7366">
      <c r="A7366" s="41" t="str">
        <f>IFERROR(__xludf.DUMMYFUNCTION("""COMPUTED_VALUE"""),"RSC007396")</f>
        <v>RSC007396</v>
      </c>
      <c r="B7366" s="41" t="str">
        <f>IFERROR(__xludf.DUMMYFUNCTION("""COMPUTED_VALUE"""),"sTuDs_")</f>
        <v>sTuDs_</v>
      </c>
    </row>
    <row r="7367">
      <c r="A7367" s="41" t="str">
        <f>IFERROR(__xludf.DUMMYFUNCTION("""COMPUTED_VALUE"""),"RSC007397")</f>
        <v>RSC007397</v>
      </c>
      <c r="B7367" s="41" t="str">
        <f>IFERROR(__xludf.DUMMYFUNCTION("""COMPUTED_VALUE"""),"pickled_pejamas")</f>
        <v>pickled_pejamas</v>
      </c>
    </row>
    <row r="7368">
      <c r="A7368" s="41" t="str">
        <f>IFERROR(__xludf.DUMMYFUNCTION("""COMPUTED_VALUE"""),"RSC007398")</f>
        <v>RSC007398</v>
      </c>
      <c r="B7368" s="41" t="str">
        <f>IFERROR(__xludf.DUMMYFUNCTION("""COMPUTED_VALUE"""),"BlueCh3w")</f>
        <v>BlueCh3w</v>
      </c>
    </row>
    <row r="7369">
      <c r="A7369" s="41" t="str">
        <f>IFERROR(__xludf.DUMMYFUNCTION("""COMPUTED_VALUE"""),"RSC007399")</f>
        <v>RSC007399</v>
      </c>
      <c r="B7369" s="41" t="str">
        <f>IFERROR(__xludf.DUMMYFUNCTION("""COMPUTED_VALUE"""),"Stick of Butter")</f>
        <v>Stick of Butter</v>
      </c>
    </row>
    <row r="7370">
      <c r="A7370" s="41" t="str">
        <f>IFERROR(__xludf.DUMMYFUNCTION("""COMPUTED_VALUE"""),"RSC007400")</f>
        <v>RSC007400</v>
      </c>
      <c r="B7370" s="41" t="str">
        <f>IFERROR(__xludf.DUMMYFUNCTION("""COMPUTED_VALUE"""),"BrazyxShy")</f>
        <v>BrazyxShy</v>
      </c>
    </row>
    <row r="7371">
      <c r="A7371" s="41" t="str">
        <f>IFERROR(__xludf.DUMMYFUNCTION("""COMPUTED_VALUE"""),"RSC007401")</f>
        <v>RSC007401</v>
      </c>
      <c r="B7371" s="41" t="str">
        <f>IFERROR(__xludf.DUMMYFUNCTION("""COMPUTED_VALUE"""),"Dorca")</f>
        <v>Dorca</v>
      </c>
    </row>
    <row r="7372">
      <c r="A7372" s="41" t="str">
        <f>IFERROR(__xludf.DUMMYFUNCTION("""COMPUTED_VALUE"""),"RSC007402")</f>
        <v>RSC007402</v>
      </c>
      <c r="B7372" s="41" t="str">
        <f>IFERROR(__xludf.DUMMYFUNCTION("""COMPUTED_VALUE"""),"L0_0ke")</f>
        <v>L0_0ke</v>
      </c>
    </row>
    <row r="7373">
      <c r="A7373" s="41" t="str">
        <f>IFERROR(__xludf.DUMMYFUNCTION("""COMPUTED_VALUE"""),"RSC007403")</f>
        <v>RSC007403</v>
      </c>
      <c r="B7373" s="41" t="str">
        <f>IFERROR(__xludf.DUMMYFUNCTION("""COMPUTED_VALUE"""),"JBuckets95")</f>
        <v>JBuckets95</v>
      </c>
    </row>
    <row r="7374">
      <c r="A7374" s="41" t="str">
        <f>IFERROR(__xludf.DUMMYFUNCTION("""COMPUTED_VALUE"""),"RSC007404")</f>
        <v>RSC007404</v>
      </c>
      <c r="B7374" s="41" t="str">
        <f>IFERROR(__xludf.DUMMYFUNCTION("""COMPUTED_VALUE"""),"bazinkss")</f>
        <v>bazinkss</v>
      </c>
    </row>
    <row r="7375">
      <c r="A7375" s="41" t="str">
        <f>IFERROR(__xludf.DUMMYFUNCTION("""COMPUTED_VALUE"""),"RSC007405")</f>
        <v>RSC007405</v>
      </c>
      <c r="B7375" s="41" t="str">
        <f>IFERROR(__xludf.DUMMYFUNCTION("""COMPUTED_VALUE"""),"NuKeJayWlf")</f>
        <v>NuKeJayWlf</v>
      </c>
    </row>
    <row r="7376">
      <c r="A7376" s="41" t="str">
        <f>IFERROR(__xludf.DUMMYFUNCTION("""COMPUTED_VALUE"""),"RSC007406")</f>
        <v>RSC007406</v>
      </c>
      <c r="B7376" s="41" t="str">
        <f>IFERROR(__xludf.DUMMYFUNCTION("""COMPUTED_VALUE"""),"junior1000gsxr")</f>
        <v>junior1000gsxr</v>
      </c>
    </row>
    <row r="7377">
      <c r="A7377" s="41" t="str">
        <f>IFERROR(__xludf.DUMMYFUNCTION("""COMPUTED_VALUE"""),"RSC007407")</f>
        <v>RSC007407</v>
      </c>
      <c r="B7377" s="41" t="str">
        <f>IFERROR(__xludf.DUMMYFUNCTION("""COMPUTED_VALUE"""),"Ayden")</f>
        <v>Ayden</v>
      </c>
    </row>
    <row r="7378">
      <c r="A7378" s="41" t="str">
        <f>IFERROR(__xludf.DUMMYFUNCTION("""COMPUTED_VALUE"""),"RSC007408")</f>
        <v>RSC007408</v>
      </c>
      <c r="B7378" s="41" t="str">
        <f>IFERROR(__xludf.DUMMYFUNCTION("""COMPUTED_VALUE"""),"ohsoryn0")</f>
        <v>ohsoryn0</v>
      </c>
    </row>
    <row r="7379">
      <c r="A7379" s="41" t="str">
        <f>IFERROR(__xludf.DUMMYFUNCTION("""COMPUTED_VALUE"""),"RSC007409")</f>
        <v>RSC007409</v>
      </c>
      <c r="B7379" s="41" t="str">
        <f>IFERROR(__xludf.DUMMYFUNCTION("""COMPUTED_VALUE"""),"Averded")</f>
        <v>Averded</v>
      </c>
    </row>
    <row r="7380">
      <c r="A7380" s="41" t="str">
        <f>IFERROR(__xludf.DUMMYFUNCTION("""COMPUTED_VALUE"""),"RSC007410")</f>
        <v>RSC007410</v>
      </c>
      <c r="B7380" s="41" t="str">
        <f>IFERROR(__xludf.DUMMYFUNCTION("""COMPUTED_VALUE"""),"ALPHAD0G22")</f>
        <v>ALPHAD0G22</v>
      </c>
    </row>
    <row r="7381">
      <c r="A7381" s="41" t="str">
        <f>IFERROR(__xludf.DUMMYFUNCTION("""COMPUTED_VALUE"""),"RSC007411")</f>
        <v>RSC007411</v>
      </c>
      <c r="B7381" s="41" t="str">
        <f>IFERROR(__xludf.DUMMYFUNCTION("""COMPUTED_VALUE"""),"nightwarrior5")</f>
        <v>nightwarrior5</v>
      </c>
    </row>
    <row r="7382">
      <c r="A7382" s="41" t="str">
        <f>IFERROR(__xludf.DUMMYFUNCTION("""COMPUTED_VALUE"""),"RSC007412")</f>
        <v>RSC007412</v>
      </c>
      <c r="B7382" s="41" t="str">
        <f>IFERROR(__xludf.DUMMYFUNCTION("""COMPUTED_VALUE"""),"spuf.")</f>
        <v>spuf.</v>
      </c>
    </row>
    <row r="7383">
      <c r="A7383" s="41" t="str">
        <f>IFERROR(__xludf.DUMMYFUNCTION("""COMPUTED_VALUE"""),"RSC007413")</f>
        <v>RSC007413</v>
      </c>
      <c r="B7383" s="41" t="str">
        <f>IFERROR(__xludf.DUMMYFUNCTION("""COMPUTED_VALUE"""),"C4RDIIN4L")</f>
        <v>C4RDIIN4L</v>
      </c>
    </row>
    <row r="7384">
      <c r="A7384" s="41" t="str">
        <f>IFERROR(__xludf.DUMMYFUNCTION("""COMPUTED_VALUE"""),"RSC007414")</f>
        <v>RSC007414</v>
      </c>
      <c r="B7384" s="41" t="str">
        <f>IFERROR(__xludf.DUMMYFUNCTION("""COMPUTED_VALUE"""),"EliTW22Playz")</f>
        <v>EliTW22Playz</v>
      </c>
    </row>
    <row r="7385">
      <c r="A7385" s="41" t="str">
        <f>IFERROR(__xludf.DUMMYFUNCTION("""COMPUTED_VALUE"""),"RSC007415")</f>
        <v>RSC007415</v>
      </c>
      <c r="B7385" s="41" t="str">
        <f>IFERROR(__xludf.DUMMYFUNCTION("""COMPUTED_VALUE"""),"The Sprinkler")</f>
        <v>The Sprinkler</v>
      </c>
    </row>
    <row r="7386">
      <c r="A7386" s="41" t="str">
        <f>IFERROR(__xludf.DUMMYFUNCTION("""COMPUTED_VALUE"""),"RSC007416")</f>
        <v>RSC007416</v>
      </c>
      <c r="B7386" s="41" t="str">
        <f>IFERROR(__xludf.DUMMYFUNCTION("""COMPUTED_VALUE"""),"""eIena.""")</f>
        <v>"eIena."</v>
      </c>
    </row>
    <row r="7387">
      <c r="A7387" s="41" t="str">
        <f>IFERROR(__xludf.DUMMYFUNCTION("""COMPUTED_VALUE"""),"RSC007417")</f>
        <v>RSC007417</v>
      </c>
      <c r="B7387" s="41" t="str">
        <f>IFERROR(__xludf.DUMMYFUNCTION("""COMPUTED_VALUE"""),"lucid")</f>
        <v>lucid</v>
      </c>
    </row>
    <row r="7388">
      <c r="A7388" s="41" t="str">
        <f>IFERROR(__xludf.DUMMYFUNCTION("""COMPUTED_VALUE"""),"RSC007418")</f>
        <v>RSC007418</v>
      </c>
      <c r="B7388" s="41" t="str">
        <f>IFERROR(__xludf.DUMMYFUNCTION("""COMPUTED_VALUE"""),"DELTA47MASTER2")</f>
        <v>DELTA47MASTER2</v>
      </c>
    </row>
    <row r="7389">
      <c r="A7389" s="41" t="str">
        <f>IFERROR(__xludf.DUMMYFUNCTION("""COMPUTED_VALUE"""),"RSC007419")</f>
        <v>RSC007419</v>
      </c>
      <c r="B7389" s="41" t="str">
        <f>IFERROR(__xludf.DUMMYFUNCTION("""COMPUTED_VALUE"""),"Thrash")</f>
        <v>Thrash</v>
      </c>
    </row>
    <row r="7390">
      <c r="A7390" s="41" t="str">
        <f>IFERROR(__xludf.DUMMYFUNCTION("""COMPUTED_VALUE"""),"RSC007420")</f>
        <v>RSC007420</v>
      </c>
      <c r="B7390" s="41" t="str">
        <f>IFERROR(__xludf.DUMMYFUNCTION("""COMPUTED_VALUE"""),"SeenShawn")</f>
        <v>SeenShawn</v>
      </c>
    </row>
    <row r="7391">
      <c r="A7391" s="41" t="str">
        <f>IFERROR(__xludf.DUMMYFUNCTION("""COMPUTED_VALUE"""),"RSC007421")</f>
        <v>RSC007421</v>
      </c>
      <c r="B7391" s="41" t="str">
        <f>IFERROR(__xludf.DUMMYFUNCTION("""COMPUTED_VALUE"""),"nzo!")</f>
        <v>nzo!</v>
      </c>
    </row>
    <row r="7392">
      <c r="A7392" s="41" t="str">
        <f>IFERROR(__xludf.DUMMYFUNCTION("""COMPUTED_VALUE"""),"RSC007422")</f>
        <v>RSC007422</v>
      </c>
      <c r="B7392" s="41" t="str">
        <f>IFERROR(__xludf.DUMMYFUNCTION("""COMPUTED_VALUE"""),"k1r1bat1")</f>
        <v>k1r1bat1</v>
      </c>
    </row>
    <row r="7393">
      <c r="A7393" s="41" t="str">
        <f>IFERROR(__xludf.DUMMYFUNCTION("""COMPUTED_VALUE"""),"RSC007423")</f>
        <v>RSC007423</v>
      </c>
      <c r="B7393" s="41" t="str">
        <f>IFERROR(__xludf.DUMMYFUNCTION("""COMPUTED_VALUE"""),"Valuedsquash465")</f>
        <v>Valuedsquash465</v>
      </c>
    </row>
    <row r="7394">
      <c r="A7394" s="41" t="str">
        <f>IFERROR(__xludf.DUMMYFUNCTION("""COMPUTED_VALUE"""),"RSC007424")</f>
        <v>RSC007424</v>
      </c>
      <c r="B7394" s="41" t="str">
        <f>IFERROR(__xludf.DUMMYFUNCTION("""COMPUTED_VALUE"""),"code")</f>
        <v>code</v>
      </c>
    </row>
    <row r="7395">
      <c r="A7395" s="41" t="str">
        <f>IFERROR(__xludf.DUMMYFUNCTION("""COMPUTED_VALUE"""),"RSC007425")</f>
        <v>RSC007425</v>
      </c>
      <c r="B7395" s="41" t="str">
        <f>IFERROR(__xludf.DUMMYFUNCTION("""COMPUTED_VALUE"""),"Jr Duck.")</f>
        <v>Jr Duck.</v>
      </c>
    </row>
    <row r="7396">
      <c r="A7396" s="41" t="str">
        <f>IFERROR(__xludf.DUMMYFUNCTION("""COMPUTED_VALUE"""),"RSC007426")</f>
        <v>RSC007426</v>
      </c>
      <c r="B7396" s="41" t="str">
        <f>IFERROR(__xludf.DUMMYFUNCTION("""COMPUTED_VALUE"""),"awkyiOS")</f>
        <v>awkyiOS</v>
      </c>
    </row>
    <row r="7397">
      <c r="A7397" s="41" t="str">
        <f>IFERROR(__xludf.DUMMYFUNCTION("""COMPUTED_VALUE"""),"RSC007427")</f>
        <v>RSC007427</v>
      </c>
      <c r="B7397" s="41" t="str">
        <f>IFERROR(__xludf.DUMMYFUNCTION("""COMPUTED_VALUE"""),"Godkitty")</f>
        <v>Godkitty</v>
      </c>
    </row>
    <row r="7398">
      <c r="A7398" s="41" t="str">
        <f>IFERROR(__xludf.DUMMYFUNCTION("""COMPUTED_VALUE"""),"RSC007428")</f>
        <v>RSC007428</v>
      </c>
      <c r="B7398" s="41" t="str">
        <f>IFERROR(__xludf.DUMMYFUNCTION("""COMPUTED_VALUE"""),"Bombboy54321")</f>
        <v>Bombboy54321</v>
      </c>
    </row>
    <row r="7399">
      <c r="A7399" s="41" t="str">
        <f>IFERROR(__xludf.DUMMYFUNCTION("""COMPUTED_VALUE"""),"RSC007429")</f>
        <v>RSC007429</v>
      </c>
      <c r="B7399" s="41" t="str">
        <f>IFERROR(__xludf.DUMMYFUNCTION("""COMPUTED_VALUE"""),"hntr.")</f>
        <v>hntr.</v>
      </c>
    </row>
    <row r="7400">
      <c r="A7400" s="41" t="str">
        <f>IFERROR(__xludf.DUMMYFUNCTION("""COMPUTED_VALUE"""),"RSC007430")</f>
        <v>RSC007430</v>
      </c>
      <c r="B7400" s="41" t="str">
        <f>IFERROR(__xludf.DUMMYFUNCTION("""COMPUTED_VALUE"""),"DieAl1")</f>
        <v>DieAl1</v>
      </c>
    </row>
    <row r="7401">
      <c r="A7401" s="41" t="str">
        <f>IFERROR(__xludf.DUMMYFUNCTION("""COMPUTED_VALUE"""),"RSC007431")</f>
        <v>RSC007431</v>
      </c>
      <c r="B7401" s="41" t="str">
        <f>IFERROR(__xludf.DUMMYFUNCTION("""COMPUTED_VALUE"""),"xPotatodactylx")</f>
        <v>xPotatodactylx</v>
      </c>
    </row>
    <row r="7402">
      <c r="A7402" s="41" t="str">
        <f>IFERROR(__xludf.DUMMYFUNCTION("""COMPUTED_VALUE"""),"RSC007432")</f>
        <v>RSC007432</v>
      </c>
      <c r="B7402" s="41" t="str">
        <f>IFERROR(__xludf.DUMMYFUNCTION("""COMPUTED_VALUE"""),"DeshelledTurtle")</f>
        <v>DeshelledTurtle</v>
      </c>
    </row>
    <row r="7403">
      <c r="A7403" s="41" t="str">
        <f>IFERROR(__xludf.DUMMYFUNCTION("""COMPUTED_VALUE"""),"RSC007433")</f>
        <v>RSC007433</v>
      </c>
      <c r="B7403" s="41" t="str">
        <f>IFERROR(__xludf.DUMMYFUNCTION("""COMPUTED_VALUE"""),"ttvbrandon_rl")</f>
        <v>ttvbrandon_rl</v>
      </c>
    </row>
    <row r="7404">
      <c r="A7404" s="41" t="str">
        <f>IFERROR(__xludf.DUMMYFUNCTION("""COMPUTED_VALUE"""),"RSC007434")</f>
        <v>RSC007434</v>
      </c>
      <c r="B7404" s="41" t="str">
        <f>IFERROR(__xludf.DUMMYFUNCTION("""COMPUTED_VALUE"""),"Aider Tizoff")</f>
        <v>Aider Tizoff</v>
      </c>
    </row>
    <row r="7405">
      <c r="A7405" s="41" t="str">
        <f>IFERROR(__xludf.DUMMYFUNCTION("""COMPUTED_VALUE"""),"RSC007436")</f>
        <v>RSC007436</v>
      </c>
      <c r="B7405" s="41" t="str">
        <f>IFERROR(__xludf.DUMMYFUNCTION("""COMPUTED_VALUE"""),"LukaXD73")</f>
        <v>LukaXD73</v>
      </c>
    </row>
    <row r="7406">
      <c r="A7406" s="41" t="str">
        <f>IFERROR(__xludf.DUMMYFUNCTION("""COMPUTED_VALUE"""),"RSC007437")</f>
        <v>RSC007437</v>
      </c>
      <c r="B7406" s="41" t="str">
        <f>IFERROR(__xludf.DUMMYFUNCTION("""COMPUTED_VALUE"""),"luckyy.12")</f>
        <v>luckyy.12</v>
      </c>
    </row>
    <row r="7407">
      <c r="A7407" s="41" t="str">
        <f>IFERROR(__xludf.DUMMYFUNCTION("""COMPUTED_VALUE"""),"RSC007438")</f>
        <v>RSC007438</v>
      </c>
      <c r="B7407" s="41" t="str">
        <f>IFERROR(__xludf.DUMMYFUNCTION("""COMPUTED_VALUE"""),"Jucomiboys")</f>
        <v>Jucomiboys</v>
      </c>
    </row>
    <row r="7408">
      <c r="A7408" s="41" t="str">
        <f>IFERROR(__xludf.DUMMYFUNCTION("""COMPUTED_VALUE"""),"RSC007439")</f>
        <v>RSC007439</v>
      </c>
      <c r="B7408" s="41" t="str">
        <f>IFERROR(__xludf.DUMMYFUNCTION("""COMPUTED_VALUE"""),"Dirt")</f>
        <v>Dirt</v>
      </c>
    </row>
    <row r="7409">
      <c r="A7409" s="41" t="str">
        <f>IFERROR(__xludf.DUMMYFUNCTION("""COMPUTED_VALUE"""),"RSC007440")</f>
        <v>RSC007440</v>
      </c>
      <c r="B7409" s="41" t="str">
        <f>IFERROR(__xludf.DUMMYFUNCTION("""COMPUTED_VALUE"""),"MeanBachine")</f>
        <v>MeanBachine</v>
      </c>
    </row>
    <row r="7410">
      <c r="A7410" s="41" t="str">
        <f>IFERROR(__xludf.DUMMYFUNCTION("""COMPUTED_VALUE"""),"RSC007441")</f>
        <v>RSC007441</v>
      </c>
      <c r="B7410" s="41" t="str">
        <f>IFERROR(__xludf.DUMMYFUNCTION("""COMPUTED_VALUE"""),"Simple Shark")</f>
        <v>Simple Shark</v>
      </c>
    </row>
    <row r="7411">
      <c r="A7411" s="41" t="str">
        <f>IFERROR(__xludf.DUMMYFUNCTION("""COMPUTED_VALUE"""),"RSC007442")</f>
        <v>RSC007442</v>
      </c>
      <c r="B7411" s="41" t="str">
        <f>IFERROR(__xludf.DUMMYFUNCTION("""COMPUTED_VALUE"""),"willbong")</f>
        <v>willbong</v>
      </c>
    </row>
    <row r="7412">
      <c r="A7412" s="41" t="str">
        <f>IFERROR(__xludf.DUMMYFUNCTION("""COMPUTED_VALUE"""),"RSC007443")</f>
        <v>RSC007443</v>
      </c>
      <c r="B7412" s="41" t="str">
        <f>IFERROR(__xludf.DUMMYFUNCTION("""COMPUTED_VALUE"""),"Allusion.-.")</f>
        <v>Allusion.-.</v>
      </c>
    </row>
    <row r="7413">
      <c r="A7413" s="41" t="str">
        <f>IFERROR(__xludf.DUMMYFUNCTION("""COMPUTED_VALUE"""),"RSC007444")</f>
        <v>RSC007444</v>
      </c>
      <c r="B7413" s="41" t="str">
        <f>IFERROR(__xludf.DUMMYFUNCTION("""COMPUTED_VALUE"""),"TheDropBox")</f>
        <v>TheDropBox</v>
      </c>
    </row>
    <row r="7414">
      <c r="A7414" s="41" t="str">
        <f>IFERROR(__xludf.DUMMYFUNCTION("""COMPUTED_VALUE"""),"RSC007445")</f>
        <v>RSC007445</v>
      </c>
      <c r="B7414" s="41" t="str">
        <f>IFERROR(__xludf.DUMMYFUNCTION("""COMPUTED_VALUE"""),"Kirkie")</f>
        <v>Kirkie</v>
      </c>
    </row>
    <row r="7415">
      <c r="A7415" s="41" t="str">
        <f>IFERROR(__xludf.DUMMYFUNCTION("""COMPUTED_VALUE"""),"RSC007446")</f>
        <v>RSC007446</v>
      </c>
      <c r="B7415" s="41" t="str">
        <f>IFERROR(__xludf.DUMMYFUNCTION("""COMPUTED_VALUE"""),"sombs")</f>
        <v>sombs</v>
      </c>
    </row>
    <row r="7416">
      <c r="A7416" s="41" t="str">
        <f>IFERROR(__xludf.DUMMYFUNCTION("""COMPUTED_VALUE"""),"RSC007447")</f>
        <v>RSC007447</v>
      </c>
      <c r="B7416" s="41" t="str">
        <f>IFERROR(__xludf.DUMMYFUNCTION("""COMPUTED_VALUE"""),"1R3IGN")</f>
        <v>1R3IGN</v>
      </c>
    </row>
    <row r="7417">
      <c r="A7417" s="41" t="str">
        <f>IFERROR(__xludf.DUMMYFUNCTION("""COMPUTED_VALUE"""),"RSC007448")</f>
        <v>RSC007448</v>
      </c>
      <c r="B7417" s="41" t="str">
        <f>IFERROR(__xludf.DUMMYFUNCTION("""COMPUTED_VALUE"""),"f.ishy")</f>
        <v>f.ishy</v>
      </c>
    </row>
    <row r="7418">
      <c r="A7418" s="41" t="str">
        <f>IFERROR(__xludf.DUMMYFUNCTION("""COMPUTED_VALUE"""),"RSC007449")</f>
        <v>RSC007449</v>
      </c>
      <c r="B7418" s="41" t="str">
        <f>IFERROR(__xludf.DUMMYFUNCTION("""COMPUTED_VALUE"""),"S5-Cosmic")</f>
        <v>S5-Cosmic</v>
      </c>
    </row>
    <row r="7419">
      <c r="A7419" s="41" t="str">
        <f>IFERROR(__xludf.DUMMYFUNCTION("""COMPUTED_VALUE"""),"RSC007450")</f>
        <v>RSC007450</v>
      </c>
      <c r="B7419" s="41" t="str">
        <f>IFERROR(__xludf.DUMMYFUNCTION("""COMPUTED_VALUE"""),"kev")</f>
        <v>kev</v>
      </c>
    </row>
    <row r="7420">
      <c r="A7420" s="41" t="str">
        <f>IFERROR(__xludf.DUMMYFUNCTION("""COMPUTED_VALUE"""),"RSC007451")</f>
        <v>RSC007451</v>
      </c>
      <c r="B7420" s="41" t="str">
        <f>IFERROR(__xludf.DUMMYFUNCTION("""COMPUTED_VALUE"""),"sasuke cuh")</f>
        <v>sasuke cuh</v>
      </c>
    </row>
    <row r="7421">
      <c r="A7421" s="41" t="str">
        <f>IFERROR(__xludf.DUMMYFUNCTION("""COMPUTED_VALUE"""),"RSC007452")</f>
        <v>RSC007452</v>
      </c>
      <c r="B7421" s="41" t="str">
        <f>IFERROR(__xludf.DUMMYFUNCTION("""COMPUTED_VALUE"""),"CHALUPA._._.")</f>
        <v>CHALUPA._._.</v>
      </c>
    </row>
    <row r="7422">
      <c r="A7422" s="41" t="str">
        <f>IFERROR(__xludf.DUMMYFUNCTION("""COMPUTED_VALUE"""),"RSC007453")</f>
        <v>RSC007453</v>
      </c>
      <c r="B7422" s="41" t="str">
        <f>IFERROR(__xludf.DUMMYFUNCTION("""COMPUTED_VALUE"""),"TheDoy420")</f>
        <v>TheDoy420</v>
      </c>
    </row>
    <row r="7423">
      <c r="A7423" s="41" t="str">
        <f>IFERROR(__xludf.DUMMYFUNCTION("""COMPUTED_VALUE"""),"RSC007454")</f>
        <v>RSC007454</v>
      </c>
      <c r="B7423" s="41" t="str">
        <f>IFERROR(__xludf.DUMMYFUNCTION("""COMPUTED_VALUE"""),"sly")</f>
        <v>sly</v>
      </c>
    </row>
    <row r="7424">
      <c r="A7424" s="41" t="str">
        <f>IFERROR(__xludf.DUMMYFUNCTION("""COMPUTED_VALUE"""),"RSC007455")</f>
        <v>RSC007455</v>
      </c>
      <c r="B7424" s="41" t="str">
        <f>IFERROR(__xludf.DUMMYFUNCTION("""COMPUTED_VALUE"""),"shlumpy")</f>
        <v>shlumpy</v>
      </c>
    </row>
    <row r="7425">
      <c r="A7425" s="41" t="str">
        <f>IFERROR(__xludf.DUMMYFUNCTION("""COMPUTED_VALUE"""),"RSC007456")</f>
        <v>RSC007456</v>
      </c>
      <c r="B7425" s="41" t="str">
        <f>IFERROR(__xludf.DUMMYFUNCTION("""COMPUTED_VALUE"""),"nerve bot")</f>
        <v>nerve bot</v>
      </c>
    </row>
    <row r="7426">
      <c r="A7426" s="41" t="str">
        <f>IFERROR(__xludf.DUMMYFUNCTION("""COMPUTED_VALUE"""),"RSC007457")</f>
        <v>RSC007457</v>
      </c>
      <c r="B7426" s="41" t="str">
        <f>IFERROR(__xludf.DUMMYFUNCTION("""COMPUTED_VALUE"""),"Fyooze")</f>
        <v>Fyooze</v>
      </c>
    </row>
    <row r="7427">
      <c r="A7427" s="41" t="str">
        <f>IFERROR(__xludf.DUMMYFUNCTION("""COMPUTED_VALUE"""),"RSC007458")</f>
        <v>RSC007458</v>
      </c>
      <c r="B7427" s="41" t="str">
        <f>IFERROR(__xludf.DUMMYFUNCTION("""COMPUTED_VALUE"""),"Gokugold9_YT")</f>
        <v>Gokugold9_YT</v>
      </c>
    </row>
    <row r="7428">
      <c r="A7428" s="41" t="str">
        <f>IFERROR(__xludf.DUMMYFUNCTION("""COMPUTED_VALUE"""),"RSC007459")</f>
        <v>RSC007459</v>
      </c>
      <c r="B7428" s="41" t="str">
        <f>IFERROR(__xludf.DUMMYFUNCTION("""COMPUTED_VALUE"""),"turbidd")</f>
        <v>turbidd</v>
      </c>
    </row>
    <row r="7429">
      <c r="A7429" s="41" t="str">
        <f>IFERROR(__xludf.DUMMYFUNCTION("""COMPUTED_VALUE"""),"RSC007460")</f>
        <v>RSC007460</v>
      </c>
      <c r="B7429" s="41" t="str">
        <f>IFERROR(__xludf.DUMMYFUNCTION("""COMPUTED_VALUE"""),"mogiiuh")</f>
        <v>mogiiuh</v>
      </c>
    </row>
    <row r="7430">
      <c r="A7430" s="41" t="str">
        <f>IFERROR(__xludf.DUMMYFUNCTION("""COMPUTED_VALUE"""),"RSC007461")</f>
        <v>RSC007461</v>
      </c>
      <c r="B7430" s="41" t="str">
        <f>IFERROR(__xludf.DUMMYFUNCTION("""COMPUTED_VALUE"""),"show.no.mxrcy")</f>
        <v>show.no.mxrcy</v>
      </c>
    </row>
    <row r="7431">
      <c r="A7431" s="41" t="str">
        <f>IFERROR(__xludf.DUMMYFUNCTION("""COMPUTED_VALUE"""),"RSC007462")</f>
        <v>RSC007462</v>
      </c>
      <c r="B7431" s="41" t="str">
        <f>IFERROR(__xludf.DUMMYFUNCTION("""COMPUTED_VALUE"""),"Lil DizNick")</f>
        <v>Lil DizNick</v>
      </c>
    </row>
    <row r="7432">
      <c r="A7432" s="41" t="str">
        <f>IFERROR(__xludf.DUMMYFUNCTION("""COMPUTED_VALUE"""),"RSC007463")</f>
        <v>RSC007463</v>
      </c>
      <c r="B7432" s="41" t="str">
        <f>IFERROR(__xludf.DUMMYFUNCTION("""COMPUTED_VALUE"""),"xproteusx05")</f>
        <v>xproteusx05</v>
      </c>
    </row>
    <row r="7433">
      <c r="A7433" s="41" t="str">
        <f>IFERROR(__xludf.DUMMYFUNCTION("""COMPUTED_VALUE"""),"RSC007464")</f>
        <v>RSC007464</v>
      </c>
      <c r="B7433" s="41" t="str">
        <f>IFERROR(__xludf.DUMMYFUNCTION("""COMPUTED_VALUE"""),"MoonKnight2")</f>
        <v>MoonKnight2</v>
      </c>
    </row>
    <row r="7434">
      <c r="A7434" s="41" t="str">
        <f>IFERROR(__xludf.DUMMYFUNCTION("""COMPUTED_VALUE"""),"RSC007465")</f>
        <v>RSC007465</v>
      </c>
      <c r="B7434" s="41" t="str">
        <f>IFERROR(__xludf.DUMMYFUNCTION("""COMPUTED_VALUE"""),"xReaperDenTTV")</f>
        <v>xReaperDenTTV</v>
      </c>
    </row>
    <row r="7435">
      <c r="A7435" s="41" t="str">
        <f>IFERROR(__xludf.DUMMYFUNCTION("""COMPUTED_VALUE"""),"RSC007466")</f>
        <v>RSC007466</v>
      </c>
      <c r="B7435" s="41" t="str">
        <f>IFERROR(__xludf.DUMMYFUNCTION("""COMPUTED_VALUE"""),"Viiper")</f>
        <v>Viiper</v>
      </c>
    </row>
    <row r="7436">
      <c r="A7436" s="41" t="str">
        <f>IFERROR(__xludf.DUMMYFUNCTION("""COMPUTED_VALUE"""),"RSC007467")</f>
        <v>RSC007467</v>
      </c>
      <c r="B7436" s="41" t="str">
        <f>IFERROR(__xludf.DUMMYFUNCTION("""COMPUTED_VALUE"""),"SwankyBacon3")</f>
        <v>SwankyBacon3</v>
      </c>
    </row>
    <row r="7437">
      <c r="A7437" s="41" t="str">
        <f>IFERROR(__xludf.DUMMYFUNCTION("""COMPUTED_VALUE"""),"RSC007468")</f>
        <v>RSC007468</v>
      </c>
      <c r="B7437" s="41" t="str">
        <f>IFERROR(__xludf.DUMMYFUNCTION("""COMPUTED_VALUE"""),"im_link42")</f>
        <v>im_link42</v>
      </c>
    </row>
    <row r="7438">
      <c r="A7438" s="41" t="str">
        <f>IFERROR(__xludf.DUMMYFUNCTION("""COMPUTED_VALUE"""),"RSC007469")</f>
        <v>RSC007469</v>
      </c>
      <c r="B7438" s="41" t="str">
        <f>IFERROR(__xludf.DUMMYFUNCTION("""COMPUTED_VALUE"""),"MrMonstras")</f>
        <v>MrMonstras</v>
      </c>
    </row>
    <row r="7439">
      <c r="A7439" s="41" t="str">
        <f>IFERROR(__xludf.DUMMYFUNCTION("""COMPUTED_VALUE"""),"RSC007470")</f>
        <v>RSC007470</v>
      </c>
      <c r="B7439" s="41" t="str">
        <f>IFERROR(__xludf.DUMMYFUNCTION("""COMPUTED_VALUE"""),"Fused Gavin")</f>
        <v>Fused Gavin</v>
      </c>
    </row>
    <row r="7440">
      <c r="A7440" s="41" t="str">
        <f>IFERROR(__xludf.DUMMYFUNCTION("""COMPUTED_VALUE"""),"RSC007471")</f>
        <v>RSC007471</v>
      </c>
      <c r="B7440" s="41" t="str">
        <f>IFERROR(__xludf.DUMMYFUNCTION("""COMPUTED_VALUE"""),"ha ha boo.")</f>
        <v>ha ha boo.</v>
      </c>
    </row>
    <row r="7441">
      <c r="A7441" s="41" t="str">
        <f>IFERROR(__xludf.DUMMYFUNCTION("""COMPUTED_VALUE"""),"RSC007472")</f>
        <v>RSC007472</v>
      </c>
      <c r="B7441" s="41" t="str">
        <f>IFERROR(__xludf.DUMMYFUNCTION("""COMPUTED_VALUE"""),"dmis")</f>
        <v>dmis</v>
      </c>
    </row>
    <row r="7442">
      <c r="A7442" s="41" t="str">
        <f>IFERROR(__xludf.DUMMYFUNCTION("""COMPUTED_VALUE"""),"RSC007473")</f>
        <v>RSC007473</v>
      </c>
      <c r="B7442" s="41" t="str">
        <f>IFERROR(__xludf.DUMMYFUNCTION("""COMPUTED_VALUE"""),"Herobear_gaymer88")</f>
        <v>Herobear_gaymer88</v>
      </c>
    </row>
    <row r="7443">
      <c r="A7443" s="41" t="str">
        <f>IFERROR(__xludf.DUMMYFUNCTION("""COMPUTED_VALUE"""),"RSC007474")</f>
        <v>RSC007474</v>
      </c>
      <c r="B7443" s="41" t="str">
        <f>IFERROR(__xludf.DUMMYFUNCTION("""COMPUTED_VALUE"""),"Its BIGWILL")</f>
        <v>Its BIGWILL</v>
      </c>
    </row>
    <row r="7444">
      <c r="A7444" s="41" t="str">
        <f>IFERROR(__xludf.DUMMYFUNCTION("""COMPUTED_VALUE"""),"RSC007475")</f>
        <v>RSC007475</v>
      </c>
      <c r="B7444" s="41" t="str">
        <f>IFERROR(__xludf.DUMMYFUNCTION("""COMPUTED_VALUE"""),"spposse")</f>
        <v>spposse</v>
      </c>
    </row>
    <row r="7445">
      <c r="A7445" s="41" t="str">
        <f>IFERROR(__xludf.DUMMYFUNCTION("""COMPUTED_VALUE"""),"RSC007476")</f>
        <v>RSC007476</v>
      </c>
      <c r="B7445" s="41" t="str">
        <f>IFERROR(__xludf.DUMMYFUNCTION("""COMPUTED_VALUE"""),"diazrl")</f>
        <v>diazrl</v>
      </c>
    </row>
    <row r="7446">
      <c r="A7446" s="41" t="str">
        <f>IFERROR(__xludf.DUMMYFUNCTION("""COMPUTED_VALUE"""),"RSC007477")</f>
        <v>RSC007477</v>
      </c>
      <c r="B7446" s="41" t="str">
        <f>IFERROR(__xludf.DUMMYFUNCTION("""COMPUTED_VALUE"""),"LETHALK1NG")</f>
        <v>LETHALK1NG</v>
      </c>
    </row>
    <row r="7447">
      <c r="A7447" s="41" t="str">
        <f>IFERROR(__xludf.DUMMYFUNCTION("""COMPUTED_VALUE"""),"RSC007479")</f>
        <v>RSC007479</v>
      </c>
      <c r="B7447" s="41" t="str">
        <f>IFERROR(__xludf.DUMMYFUNCTION("""COMPUTED_VALUE"""),"Metatonixz")</f>
        <v>Metatonixz</v>
      </c>
    </row>
    <row r="7448">
      <c r="A7448" s="41" t="str">
        <f>IFERROR(__xludf.DUMMYFUNCTION("""COMPUTED_VALUE"""),"RSC007480")</f>
        <v>RSC007480</v>
      </c>
      <c r="B7448" s="41" t="str">
        <f>IFERROR(__xludf.DUMMYFUNCTION("""COMPUTED_VALUE"""),"Arunos")</f>
        <v>Arunos</v>
      </c>
    </row>
    <row r="7449">
      <c r="A7449" s="41" t="str">
        <f>IFERROR(__xludf.DUMMYFUNCTION("""COMPUTED_VALUE"""),"RSC007481")</f>
        <v>RSC007481</v>
      </c>
      <c r="B7449" s="41" t="str">
        <f>IFERROR(__xludf.DUMMYFUNCTION("""COMPUTED_VALUE"""),"Darkkstar100")</f>
        <v>Darkkstar100</v>
      </c>
    </row>
    <row r="7450">
      <c r="A7450" s="41" t="str">
        <f>IFERROR(__xludf.DUMMYFUNCTION("""COMPUTED_VALUE"""),"RSC007482")</f>
        <v>RSC007482</v>
      </c>
      <c r="B7450" s="41" t="str">
        <f>IFERROR(__xludf.DUMMYFUNCTION("""COMPUTED_VALUE"""),"MyTyranosaur")</f>
        <v>MyTyranosaur</v>
      </c>
    </row>
    <row r="7451">
      <c r="A7451" s="41" t="str">
        <f>IFERROR(__xludf.DUMMYFUNCTION("""COMPUTED_VALUE"""),"RSC007483")</f>
        <v>RSC007483</v>
      </c>
      <c r="B7451" s="41" t="str">
        <f>IFERROR(__xludf.DUMMYFUNCTION("""COMPUTED_VALUE"""),"Vozii.")</f>
        <v>Vozii.</v>
      </c>
    </row>
    <row r="7452">
      <c r="A7452" s="41" t="str">
        <f>IFERROR(__xludf.DUMMYFUNCTION("""COMPUTED_VALUE"""),"RSC007484")</f>
        <v>RSC007484</v>
      </c>
      <c r="B7452" s="41" t="str">
        <f>IFERROR(__xludf.DUMMYFUNCTION("""COMPUTED_VALUE"""),"champ_tamer28")</f>
        <v>champ_tamer28</v>
      </c>
    </row>
    <row r="7453">
      <c r="A7453" s="41" t="str">
        <f>IFERROR(__xludf.DUMMYFUNCTION("""COMPUTED_VALUE"""),"RSC007485")</f>
        <v>RSC007485</v>
      </c>
      <c r="B7453" s="41" t="str">
        <f>IFERROR(__xludf.DUMMYFUNCTION("""COMPUTED_VALUE"""),"Schriztopher")</f>
        <v>Schriztopher</v>
      </c>
    </row>
    <row r="7454">
      <c r="A7454" s="41" t="str">
        <f>IFERROR(__xludf.DUMMYFUNCTION("""COMPUTED_VALUE"""),"RSC007486")</f>
        <v>RSC007486</v>
      </c>
      <c r="B7454" s="41" t="str">
        <f>IFERROR(__xludf.DUMMYFUNCTION("""COMPUTED_VALUE"""),"kj")</f>
        <v>kj</v>
      </c>
    </row>
    <row r="7455">
      <c r="A7455" s="41" t="str">
        <f>IFERROR(__xludf.DUMMYFUNCTION("""COMPUTED_VALUE"""),"RSC007487")</f>
        <v>RSC007487</v>
      </c>
      <c r="B7455" s="41" t="str">
        <f>IFERROR(__xludf.DUMMYFUNCTION("""COMPUTED_VALUE"""),"YoloOnTinder")</f>
        <v>YoloOnTinder</v>
      </c>
    </row>
    <row r="7456">
      <c r="A7456" s="41" t="str">
        <f>IFERROR(__xludf.DUMMYFUNCTION("""COMPUTED_VALUE"""),"RSC007488")</f>
        <v>RSC007488</v>
      </c>
      <c r="B7456" s="41" t="str">
        <f>IFERROR(__xludf.DUMMYFUNCTION("""COMPUTED_VALUE"""),"Jarenboss")</f>
        <v>Jarenboss</v>
      </c>
    </row>
    <row r="7457">
      <c r="A7457" s="41" t="str">
        <f>IFERROR(__xludf.DUMMYFUNCTION("""COMPUTED_VALUE"""),"RSC007489")</f>
        <v>RSC007489</v>
      </c>
      <c r="B7457" s="41" t="str">
        <f>IFERROR(__xludf.DUMMYFUNCTION("""COMPUTED_VALUE"""),"3PuttToSaveBogey")</f>
        <v>3PuttToSaveBogey</v>
      </c>
    </row>
    <row r="7458">
      <c r="A7458" s="41" t="str">
        <f>IFERROR(__xludf.DUMMYFUNCTION("""COMPUTED_VALUE"""),"RSC007490")</f>
        <v>RSC007490</v>
      </c>
      <c r="B7458" s="41" t="str">
        <f>IFERROR(__xludf.DUMMYFUNCTION("""COMPUTED_VALUE"""),"Beanie_92")</f>
        <v>Beanie_92</v>
      </c>
    </row>
    <row r="7459">
      <c r="A7459" s="41" t="str">
        <f>IFERROR(__xludf.DUMMYFUNCTION("""COMPUTED_VALUE"""),"RSC007491")</f>
        <v>RSC007491</v>
      </c>
      <c r="B7459" s="41" t="str">
        <f>IFERROR(__xludf.DUMMYFUNCTION("""COMPUTED_VALUE"""),"Orbit")</f>
        <v>Orbit</v>
      </c>
    </row>
    <row r="7460">
      <c r="A7460" s="41" t="str">
        <f>IFERROR(__xludf.DUMMYFUNCTION("""COMPUTED_VALUE"""),"RSC007492")</f>
        <v>RSC007492</v>
      </c>
      <c r="B7460" s="41" t="str">
        <f>IFERROR(__xludf.DUMMYFUNCTION("""COMPUTED_VALUE"""),"JerseyDevil8/ZannyDruid8")</f>
        <v>JerseyDevil8/ZannyDruid8</v>
      </c>
    </row>
    <row r="7461">
      <c r="A7461" s="41" t="str">
        <f>IFERROR(__xludf.DUMMYFUNCTION("""COMPUTED_VALUE"""),"RSC007493")</f>
        <v>RSC007493</v>
      </c>
      <c r="B7461" s="41" t="str">
        <f>IFERROR(__xludf.DUMMYFUNCTION("""COMPUTED_VALUE"""),"Petti")</f>
        <v>Petti</v>
      </c>
    </row>
    <row r="7462">
      <c r="A7462" s="41" t="str">
        <f>IFERROR(__xludf.DUMMYFUNCTION("""COMPUTED_VALUE"""),"RSC007494")</f>
        <v>RSC007494</v>
      </c>
      <c r="B7462" s="41" t="str">
        <f>IFERROR(__xludf.DUMMYFUNCTION("""COMPUTED_VALUE"""),"C-Loupe")</f>
        <v>C-Loupe</v>
      </c>
    </row>
    <row r="7463">
      <c r="A7463" s="41" t="str">
        <f>IFERROR(__xludf.DUMMYFUNCTION("""COMPUTED_VALUE"""),"RSC007495")</f>
        <v>RSC007495</v>
      </c>
      <c r="B7463" s="41" t="str">
        <f>IFERROR(__xludf.DUMMYFUNCTION("""COMPUTED_VALUE"""),"Wolfie")</f>
        <v>Wolfie</v>
      </c>
    </row>
    <row r="7464">
      <c r="A7464" s="41" t="str">
        <f>IFERROR(__xludf.DUMMYFUNCTION("""COMPUTED_VALUE"""),"RSC007496")</f>
        <v>RSC007496</v>
      </c>
      <c r="B7464" s="41" t="str">
        <f>IFERROR(__xludf.DUMMYFUNCTION("""COMPUTED_VALUE"""),"olita")</f>
        <v>olita</v>
      </c>
    </row>
    <row r="7465">
      <c r="A7465" s="41" t="str">
        <f>IFERROR(__xludf.DUMMYFUNCTION("""COMPUTED_VALUE"""),"RSC007497")</f>
        <v>RSC007497</v>
      </c>
      <c r="B7465" s="41" t="str">
        <f>IFERROR(__xludf.DUMMYFUNCTION("""COMPUTED_VALUE"""),"Hrls.")</f>
        <v>Hrls.</v>
      </c>
    </row>
    <row r="7466">
      <c r="A7466" s="41" t="str">
        <f>IFERROR(__xludf.DUMMYFUNCTION("""COMPUTED_VALUE"""),"RSC007498")</f>
        <v>RSC007498</v>
      </c>
      <c r="B7466" s="41" t="str">
        <f>IFERROR(__xludf.DUMMYFUNCTION("""COMPUTED_VALUE"""),"runsau123")</f>
        <v>runsau123</v>
      </c>
    </row>
    <row r="7467">
      <c r="A7467" s="41" t="str">
        <f>IFERROR(__xludf.DUMMYFUNCTION("""COMPUTED_VALUE"""),"RSC007499")</f>
        <v>RSC007499</v>
      </c>
      <c r="B7467" s="41" t="str">
        <f>IFERROR(__xludf.DUMMYFUNCTION("""COMPUTED_VALUE"""),"Jumpshot ATL")</f>
        <v>Jumpshot ATL</v>
      </c>
    </row>
    <row r="7468">
      <c r="A7468" s="41" t="str">
        <f>IFERROR(__xludf.DUMMYFUNCTION("""COMPUTED_VALUE"""),"RSC007500")</f>
        <v>RSC007500</v>
      </c>
      <c r="B7468" s="41" t="str">
        <f>IFERROR(__xludf.DUMMYFUNCTION("""COMPUTED_VALUE"""),"Lewwi2")</f>
        <v>Lewwi2</v>
      </c>
    </row>
    <row r="7469">
      <c r="A7469" s="41" t="str">
        <f>IFERROR(__xludf.DUMMYFUNCTION("""COMPUTED_VALUE"""),"RSC007501")</f>
        <v>RSC007501</v>
      </c>
      <c r="B7469" s="41" t="str">
        <f>IFERROR(__xludf.DUMMYFUNCTION("""COMPUTED_VALUE"""),"RAW MUSHROOMS")</f>
        <v>RAW MUSHROOMS</v>
      </c>
    </row>
    <row r="7470">
      <c r="A7470" s="41" t="str">
        <f>IFERROR(__xludf.DUMMYFUNCTION("""COMPUTED_VALUE"""),"RSC007502")</f>
        <v>RSC007502</v>
      </c>
      <c r="B7470" s="41" t="str">
        <f>IFERROR(__xludf.DUMMYFUNCTION("""COMPUTED_VALUE"""),"Cr1m5on_RL")</f>
        <v>Cr1m5on_RL</v>
      </c>
    </row>
    <row r="7471">
      <c r="A7471" s="41" t="str">
        <f>IFERROR(__xludf.DUMMYFUNCTION("""COMPUTED_VALUE"""),"RSC007503")</f>
        <v>RSC007503</v>
      </c>
      <c r="B7471" s="41" t="str">
        <f>IFERROR(__xludf.DUMMYFUNCTION("""COMPUTED_VALUE"""),"skyra")</f>
        <v>skyra</v>
      </c>
    </row>
    <row r="7472">
      <c r="A7472" s="41" t="str">
        <f>IFERROR(__xludf.DUMMYFUNCTION("""COMPUTED_VALUE"""),"RSC007504")</f>
        <v>RSC007504</v>
      </c>
      <c r="B7472" s="41" t="str">
        <f>IFERROR(__xludf.DUMMYFUNCTION("""COMPUTED_VALUE"""),"Percussive3260")</f>
        <v>Percussive3260</v>
      </c>
    </row>
    <row r="7473">
      <c r="A7473" s="41" t="str">
        <f>IFERROR(__xludf.DUMMYFUNCTION("""COMPUTED_VALUE"""),"RSC007505")</f>
        <v>RSC007505</v>
      </c>
      <c r="B7473" s="41" t="str">
        <f>IFERROR(__xludf.DUMMYFUNCTION("""COMPUTED_VALUE"""),"Detroeux")</f>
        <v>Detroeux</v>
      </c>
    </row>
    <row r="7474">
      <c r="A7474" s="41" t="str">
        <f>IFERROR(__xludf.DUMMYFUNCTION("""COMPUTED_VALUE"""),"RSC007506")</f>
        <v>RSC007506</v>
      </c>
      <c r="B7474" s="41" t="str">
        <f>IFERROR(__xludf.DUMMYFUNCTION("""COMPUTED_VALUE"""),"µµµ -_- µµµµ")</f>
        <v>µµµ -_- µµµµ</v>
      </c>
    </row>
    <row r="7475">
      <c r="A7475" s="41" t="str">
        <f>IFERROR(__xludf.DUMMYFUNCTION("""COMPUTED_VALUE"""),"RSC007507")</f>
        <v>RSC007507</v>
      </c>
      <c r="B7475" s="41" t="str">
        <f>IFERROR(__xludf.DUMMYFUNCTION("""COMPUTED_VALUE"""),"Nobeljaguar")</f>
        <v>Nobeljaguar</v>
      </c>
    </row>
    <row r="7476">
      <c r="A7476" s="41" t="str">
        <f>IFERROR(__xludf.DUMMYFUNCTION("""COMPUTED_VALUE"""),"RSC007508")</f>
        <v>RSC007508</v>
      </c>
      <c r="B7476" s="41" t="str">
        <f>IFERROR(__xludf.DUMMYFUNCTION("""COMPUTED_VALUE"""),"Grimmy2.0")</f>
        <v>Grimmy2.0</v>
      </c>
    </row>
    <row r="7477">
      <c r="A7477" s="41" t="str">
        <f>IFERROR(__xludf.DUMMYFUNCTION("""COMPUTED_VALUE"""),"RSC007509")</f>
        <v>RSC007509</v>
      </c>
      <c r="B7477" s="41" t="str">
        <f>IFERROR(__xludf.DUMMYFUNCTION("""COMPUTED_VALUE"""),"MrKlutchez")</f>
        <v>MrKlutchez</v>
      </c>
    </row>
    <row r="7478">
      <c r="A7478" s="41" t="str">
        <f>IFERROR(__xludf.DUMMYFUNCTION("""COMPUTED_VALUE"""),"RSC007510")</f>
        <v>RSC007510</v>
      </c>
      <c r="B7478" s="41" t="str">
        <f>IFERROR(__xludf.DUMMYFUNCTION("""COMPUTED_VALUE"""),"Faolaen")</f>
        <v>Faolaen</v>
      </c>
    </row>
    <row r="7479">
      <c r="A7479" s="41" t="str">
        <f>IFERROR(__xludf.DUMMYFUNCTION("""COMPUTED_VALUE"""),"RSC007511")</f>
        <v>RSC007511</v>
      </c>
      <c r="B7479" s="41" t="str">
        <f>IFERROR(__xludf.DUMMYFUNCTION("""COMPUTED_VALUE"""),"poupsmithe")</f>
        <v>poupsmithe</v>
      </c>
    </row>
    <row r="7480">
      <c r="A7480" s="41" t="str">
        <f>IFERROR(__xludf.DUMMYFUNCTION("""COMPUTED_VALUE"""),"RSC007512")</f>
        <v>RSC007512</v>
      </c>
      <c r="B7480" s="41" t="str">
        <f>IFERROR(__xludf.DUMMYFUNCTION("""COMPUTED_VALUE"""),"BigGreenRL")</f>
        <v>BigGreenRL</v>
      </c>
    </row>
    <row r="7481">
      <c r="A7481" s="41" t="str">
        <f>IFERROR(__xludf.DUMMYFUNCTION("""COMPUTED_VALUE"""),"RSC007513")</f>
        <v>RSC007513</v>
      </c>
      <c r="B7481" s="41" t="str">
        <f>IFERROR(__xludf.DUMMYFUNCTION("""COMPUTED_VALUE"""),"Russ")</f>
        <v>Russ</v>
      </c>
    </row>
    <row r="7482">
      <c r="A7482" s="41" t="str">
        <f>IFERROR(__xludf.DUMMYFUNCTION("""COMPUTED_VALUE"""),"RSC007514")</f>
        <v>RSC007514</v>
      </c>
      <c r="B7482" s="41" t="str">
        <f>IFERROR(__xludf.DUMMYFUNCTION("""COMPUTED_VALUE"""),"Sauce_Boss_36")</f>
        <v>Sauce_Boss_36</v>
      </c>
    </row>
    <row r="7483">
      <c r="A7483" s="41" t="str">
        <f>IFERROR(__xludf.DUMMYFUNCTION("""COMPUTED_VALUE"""),"RSC007515")</f>
        <v>RSC007515</v>
      </c>
      <c r="B7483" s="41" t="str">
        <f>IFERROR(__xludf.DUMMYFUNCTION("""COMPUTED_VALUE"""),"superstrikzz")</f>
        <v>superstrikzz</v>
      </c>
    </row>
    <row r="7484">
      <c r="A7484" s="41" t="str">
        <f>IFERROR(__xludf.DUMMYFUNCTION("""COMPUTED_VALUE"""),"RSC007516")</f>
        <v>RSC007516</v>
      </c>
      <c r="B7484" s="41" t="str">
        <f>IFERROR(__xludf.DUMMYFUNCTION("""COMPUTED_VALUE"""),"Legob0i5747")</f>
        <v>Legob0i5747</v>
      </c>
    </row>
    <row r="7485">
      <c r="A7485" s="41" t="str">
        <f>IFERROR(__xludf.DUMMYFUNCTION("""COMPUTED_VALUE"""),"RSC007517")</f>
        <v>RSC007517</v>
      </c>
      <c r="B7485" s="41" t="str">
        <f>IFERROR(__xludf.DUMMYFUNCTION("""COMPUTED_VALUE"""),"Pelex")</f>
        <v>Pelex</v>
      </c>
    </row>
    <row r="7486">
      <c r="A7486" s="41" t="str">
        <f>IFERROR(__xludf.DUMMYFUNCTION("""COMPUTED_VALUE"""),"RSC007518")</f>
        <v>RSC007518</v>
      </c>
      <c r="B7486" s="41" t="str">
        <f>IFERROR(__xludf.DUMMYFUNCTION("""COMPUTED_VALUE"""),"LoneDrifter.")</f>
        <v>LoneDrifter.</v>
      </c>
    </row>
    <row r="7487">
      <c r="A7487" s="41" t="str">
        <f>IFERROR(__xludf.DUMMYFUNCTION("""COMPUTED_VALUE"""),"RSC007519")</f>
        <v>RSC007519</v>
      </c>
      <c r="B7487" s="41" t="str">
        <f>IFERROR(__xludf.DUMMYFUNCTION("""COMPUTED_VALUE"""),"LLama999")</f>
        <v>LLama999</v>
      </c>
    </row>
    <row r="7488">
      <c r="A7488" s="41" t="str">
        <f>IFERROR(__xludf.DUMMYFUNCTION("""COMPUTED_VALUE"""),"RSC007520")</f>
        <v>RSC007520</v>
      </c>
      <c r="B7488" s="41" t="str">
        <f>IFERROR(__xludf.DUMMYFUNCTION("""COMPUTED_VALUE"""),"Blitzzzzz.")</f>
        <v>Blitzzzzz.</v>
      </c>
    </row>
    <row r="7489">
      <c r="A7489" s="41" t="str">
        <f>IFERROR(__xludf.DUMMYFUNCTION("""COMPUTED_VALUE"""),"RSC007521")</f>
        <v>RSC007521</v>
      </c>
      <c r="B7489" s="41" t="str">
        <f>IFERROR(__xludf.DUMMYFUNCTION("""COMPUTED_VALUE"""),"Clorgbane")</f>
        <v>Clorgbane</v>
      </c>
    </row>
    <row r="7490">
      <c r="A7490" s="41" t="str">
        <f>IFERROR(__xludf.DUMMYFUNCTION("""COMPUTED_VALUE"""),"RSC007522")</f>
        <v>RSC007522</v>
      </c>
      <c r="B7490" s="41" t="str">
        <f>IFERROR(__xludf.DUMMYFUNCTION("""COMPUTED_VALUE"""),"FennecFeen69420")</f>
        <v>FennecFeen69420</v>
      </c>
    </row>
    <row r="7491">
      <c r="A7491" s="41" t="str">
        <f>IFERROR(__xludf.DUMMYFUNCTION("""COMPUTED_VALUE"""),"RSC007523")</f>
        <v>RSC007523</v>
      </c>
      <c r="B7491" s="41" t="str">
        <f>IFERROR(__xludf.DUMMYFUNCTION("""COMPUTED_VALUE"""),"AirWiggle")</f>
        <v>AirWiggle</v>
      </c>
    </row>
    <row r="7492">
      <c r="A7492" s="41" t="str">
        <f>IFERROR(__xludf.DUMMYFUNCTION("""COMPUTED_VALUE"""),"RSC007524")</f>
        <v>RSC007524</v>
      </c>
      <c r="B7492" s="41" t="str">
        <f>IFERROR(__xludf.DUMMYFUNCTION("""COMPUTED_VALUE"""),"Gulleysann")</f>
        <v>Gulleysann</v>
      </c>
    </row>
    <row r="7493">
      <c r="A7493" s="41" t="str">
        <f>IFERROR(__xludf.DUMMYFUNCTION("""COMPUTED_VALUE"""),"RSC007525")</f>
        <v>RSC007525</v>
      </c>
      <c r="B7493" s="41" t="str">
        <f>IFERROR(__xludf.DUMMYFUNCTION("""COMPUTED_VALUE"""),"BulletNote")</f>
        <v>BulletNote</v>
      </c>
    </row>
    <row r="7494">
      <c r="A7494" s="41" t="str">
        <f>IFERROR(__xludf.DUMMYFUNCTION("""COMPUTED_VALUE"""),"RSC007526")</f>
        <v>RSC007526</v>
      </c>
      <c r="B7494" s="41" t="str">
        <f>IFERROR(__xludf.DUMMYFUNCTION("""COMPUTED_VALUE"""),"Bowls")</f>
        <v>Bowls</v>
      </c>
    </row>
    <row r="7495">
      <c r="A7495" s="41" t="str">
        <f>IFERROR(__xludf.DUMMYFUNCTION("""COMPUTED_VALUE"""),"RSC007527")</f>
        <v>RSC007527</v>
      </c>
      <c r="B7495" s="41" t="str">
        <f>IFERROR(__xludf.DUMMYFUNCTION("""COMPUTED_VALUE"""),"Yort")</f>
        <v>Yort</v>
      </c>
    </row>
    <row r="7496">
      <c r="A7496" s="41" t="str">
        <f>IFERROR(__xludf.DUMMYFUNCTION("""COMPUTED_VALUE"""),"RSC007528")</f>
        <v>RSC007528</v>
      </c>
      <c r="B7496" s="41" t="str">
        <f>IFERROR(__xludf.DUMMYFUNCTION("""COMPUTED_VALUE"""),"Matt")</f>
        <v>Matt</v>
      </c>
    </row>
    <row r="7497">
      <c r="A7497" s="41" t="str">
        <f>IFERROR(__xludf.DUMMYFUNCTION("""COMPUTED_VALUE"""),"RSC007529")</f>
        <v>RSC007529</v>
      </c>
      <c r="B7497" s="41" t="str">
        <f>IFERROR(__xludf.DUMMYFUNCTION("""COMPUTED_VALUE"""),"Loid Crismuss")</f>
        <v>Loid Crismuss</v>
      </c>
    </row>
    <row r="7498">
      <c r="A7498" s="41" t="str">
        <f>IFERROR(__xludf.DUMMYFUNCTION("""COMPUTED_VALUE"""),"RSC007530")</f>
        <v>RSC007530</v>
      </c>
      <c r="B7498" s="41" t="str">
        <f>IFERROR(__xludf.DUMMYFUNCTION("""COMPUTED_VALUE"""),"Arketypal, omgItsMrFields")</f>
        <v>Arketypal, omgItsMrFields</v>
      </c>
    </row>
    <row r="7499">
      <c r="A7499" s="41" t="str">
        <f>IFERROR(__xludf.DUMMYFUNCTION("""COMPUTED_VALUE"""),"RSC007531")</f>
        <v>RSC007531</v>
      </c>
      <c r="B7499" s="41" t="str">
        <f>IFERROR(__xludf.DUMMYFUNCTION("""COMPUTED_VALUE"""),"slamdunken1")</f>
        <v>slamdunken1</v>
      </c>
    </row>
    <row r="7500">
      <c r="A7500" s="41" t="str">
        <f>IFERROR(__xludf.DUMMYFUNCTION("""COMPUTED_VALUE"""),"RSC007532")</f>
        <v>RSC007532</v>
      </c>
      <c r="B7500" s="41" t="str">
        <f>IFERROR(__xludf.DUMMYFUNCTION("""COMPUTED_VALUE"""),"MaidenOP.")</f>
        <v>MaidenOP.</v>
      </c>
    </row>
    <row r="7501">
      <c r="A7501" s="41" t="str">
        <f>IFERROR(__xludf.DUMMYFUNCTION("""COMPUTED_VALUE"""),"RSC007533")</f>
        <v>RSC007533</v>
      </c>
      <c r="B7501" s="41" t="str">
        <f>IFERROR(__xludf.DUMMYFUNCTION("""COMPUTED_VALUE"""),"Mamakazzi")</f>
        <v>Mamakazzi</v>
      </c>
    </row>
    <row r="7502">
      <c r="A7502" s="41" t="str">
        <f>IFERROR(__xludf.DUMMYFUNCTION("""COMPUTED_VALUE"""),"RSC007534")</f>
        <v>RSC007534</v>
      </c>
      <c r="B7502" s="41" t="str">
        <f>IFERROR(__xludf.DUMMYFUNCTION("""COMPUTED_VALUE"""),"murphalayycious")</f>
        <v>murphalayycious</v>
      </c>
    </row>
    <row r="7503">
      <c r="A7503" s="41" t="str">
        <f>IFERROR(__xludf.DUMMYFUNCTION("""COMPUTED_VALUE"""),"RSC007535")</f>
        <v>RSC007535</v>
      </c>
      <c r="B7503" s="41" t="str">
        <f>IFERROR(__xludf.DUMMYFUNCTION("""COMPUTED_VALUE"""),"ChnKyMnky14")</f>
        <v>ChnKyMnky14</v>
      </c>
    </row>
    <row r="7504">
      <c r="A7504" s="41" t="str">
        <f>IFERROR(__xludf.DUMMYFUNCTION("""COMPUTED_VALUE"""),"RSC007536")</f>
        <v>RSC007536</v>
      </c>
      <c r="B7504" s="41" t="str">
        <f>IFERROR(__xludf.DUMMYFUNCTION("""COMPUTED_VALUE"""),"knz ._.")</f>
        <v>knz ._.</v>
      </c>
    </row>
    <row r="7505">
      <c r="A7505" s="41" t="str">
        <f>IFERROR(__xludf.DUMMYFUNCTION("""COMPUTED_VALUE"""),"RSC007537")</f>
        <v>RSC007537</v>
      </c>
      <c r="B7505" s="41" t="str">
        <f>IFERROR(__xludf.DUMMYFUNCTION("""COMPUTED_VALUE"""),"yoshawatt")</f>
        <v>yoshawatt</v>
      </c>
    </row>
    <row r="7506">
      <c r="A7506" s="41" t="str">
        <f>IFERROR(__xludf.DUMMYFUNCTION("""COMPUTED_VALUE"""),"RSC007538")</f>
        <v>RSC007538</v>
      </c>
      <c r="B7506" s="41" t="str">
        <f>IFERROR(__xludf.DUMMYFUNCTION("""COMPUTED_VALUE"""),"FattyMcChef04")</f>
        <v>FattyMcChef04</v>
      </c>
    </row>
    <row r="7507">
      <c r="A7507" s="41" t="str">
        <f>IFERROR(__xludf.DUMMYFUNCTION("""COMPUTED_VALUE"""),"RSC007539")</f>
        <v>RSC007539</v>
      </c>
      <c r="B7507" s="41" t="str">
        <f>IFERROR(__xludf.DUMMYFUNCTION("""COMPUTED_VALUE"""),"MooreVR")</f>
        <v>MooreVR</v>
      </c>
    </row>
    <row r="7508">
      <c r="A7508" s="41" t="str">
        <f>IFERROR(__xludf.DUMMYFUNCTION("""COMPUTED_VALUE"""),"RSC007540")</f>
        <v>RSC007540</v>
      </c>
      <c r="B7508" s="41" t="str">
        <f>IFERROR(__xludf.DUMMYFUNCTION("""COMPUTED_VALUE"""),"BHS_Hydro")</f>
        <v>BHS_Hydro</v>
      </c>
    </row>
    <row r="7509">
      <c r="A7509" s="41" t="str">
        <f>IFERROR(__xludf.DUMMYFUNCTION("""COMPUTED_VALUE"""),"RSC007541")</f>
        <v>RSC007541</v>
      </c>
      <c r="B7509" s="41" t="str">
        <f>IFERROR(__xludf.DUMMYFUNCTION("""COMPUTED_VALUE"""),"Water RL")</f>
        <v>Water RL</v>
      </c>
    </row>
    <row r="7510">
      <c r="A7510" s="41" t="str">
        <f>IFERROR(__xludf.DUMMYFUNCTION("""COMPUTED_VALUE"""),"RSC007542")</f>
        <v>RSC007542</v>
      </c>
      <c r="B7510" s="41" t="str">
        <f>IFERROR(__xludf.DUMMYFUNCTION("""COMPUTED_VALUE"""),"omoplatypus818")</f>
        <v>omoplatypus818</v>
      </c>
    </row>
    <row r="7511">
      <c r="A7511" s="41" t="str">
        <f>IFERROR(__xludf.DUMMYFUNCTION("""COMPUTED_VALUE"""),"RSC007543")</f>
        <v>RSC007543</v>
      </c>
      <c r="B7511" s="41" t="str">
        <f>IFERROR(__xludf.DUMMYFUNCTION("""COMPUTED_VALUE"""),"Maycey.")</f>
        <v>Maycey.</v>
      </c>
    </row>
    <row r="7512">
      <c r="A7512" s="41" t="str">
        <f>IFERROR(__xludf.DUMMYFUNCTION("""COMPUTED_VALUE"""),"RSC007544")</f>
        <v>RSC007544</v>
      </c>
      <c r="B7512" s="41" t="str">
        <f>IFERROR(__xludf.DUMMYFUNCTION("""COMPUTED_VALUE"""),"Haydes666")</f>
        <v>Haydes666</v>
      </c>
    </row>
    <row r="7513">
      <c r="A7513" s="41" t="str">
        <f>IFERROR(__xludf.DUMMYFUNCTION("""COMPUTED_VALUE"""),"RSC007545")</f>
        <v>RSC007545</v>
      </c>
      <c r="B7513" s="41" t="str">
        <f>IFERROR(__xludf.DUMMYFUNCTION("""COMPUTED_VALUE"""),"the big yak")</f>
        <v>the big yak</v>
      </c>
    </row>
    <row r="7514">
      <c r="A7514" s="41" t="str">
        <f>IFERROR(__xludf.DUMMYFUNCTION("""COMPUTED_VALUE"""),"RSC007546")</f>
        <v>RSC007546</v>
      </c>
      <c r="B7514" s="41" t="str">
        <f>IFERROR(__xludf.DUMMYFUNCTION("""COMPUTED_VALUE"""),"N0TTopmarx")</f>
        <v>N0TTopmarx</v>
      </c>
    </row>
    <row r="7515">
      <c r="A7515" s="41" t="str">
        <f>IFERROR(__xludf.DUMMYFUNCTION("""COMPUTED_VALUE"""),"RSC007547")</f>
        <v>RSC007547</v>
      </c>
      <c r="B7515" s="41" t="str">
        <f>IFERROR(__xludf.DUMMYFUNCTION("""COMPUTED_VALUE"""),"Flizz")</f>
        <v>Flizz</v>
      </c>
    </row>
    <row r="7516">
      <c r="A7516" s="41" t="str">
        <f>IFERROR(__xludf.DUMMYFUNCTION("""COMPUTED_VALUE"""),"RSC007548")</f>
        <v>RSC007548</v>
      </c>
      <c r="B7516" s="41" t="str">
        <f>IFERROR(__xludf.DUMMYFUNCTION("""COMPUTED_VALUE"""),"iLanky_")</f>
        <v>iLanky_</v>
      </c>
    </row>
    <row r="7517">
      <c r="A7517" s="41" t="str">
        <f>IFERROR(__xludf.DUMMYFUNCTION("""COMPUTED_VALUE"""),"RSC007549")</f>
        <v>RSC007549</v>
      </c>
      <c r="B7517" s="41" t="str">
        <f>IFERROR(__xludf.DUMMYFUNCTION("""COMPUTED_VALUE"""),"Whiffy_RL")</f>
        <v>Whiffy_RL</v>
      </c>
    </row>
    <row r="7518">
      <c r="A7518" s="41" t="str">
        <f>IFERROR(__xludf.DUMMYFUNCTION("""COMPUTED_VALUE"""),"RSC007550")</f>
        <v>RSC007550</v>
      </c>
      <c r="B7518" s="41" t="str">
        <f>IFERROR(__xludf.DUMMYFUNCTION("""COMPUTED_VALUE"""),"Shin7.")</f>
        <v>Shin7.</v>
      </c>
    </row>
    <row r="7519">
      <c r="A7519" s="41" t="str">
        <f>IFERROR(__xludf.DUMMYFUNCTION("""COMPUTED_VALUE"""),"RSC007551")</f>
        <v>RSC007551</v>
      </c>
      <c r="B7519" s="41" t="str">
        <f>IFERROR(__xludf.DUMMYFUNCTION("""COMPUTED_VALUE"""),"Aconn1876")</f>
        <v>Aconn1876</v>
      </c>
    </row>
    <row r="7520">
      <c r="A7520" s="41" t="str">
        <f>IFERROR(__xludf.DUMMYFUNCTION("""COMPUTED_VALUE"""),"RSC007552")</f>
        <v>RSC007552</v>
      </c>
      <c r="B7520" s="41" t="str">
        <f>IFERROR(__xludf.DUMMYFUNCTION("""COMPUTED_VALUE"""),"TipsyWillie")</f>
        <v>TipsyWillie</v>
      </c>
    </row>
    <row r="7521">
      <c r="A7521" s="41" t="str">
        <f>IFERROR(__xludf.DUMMYFUNCTION("""COMPUTED_VALUE"""),"RSC007553")</f>
        <v>RSC007553</v>
      </c>
      <c r="B7521" s="41" t="str">
        <f>IFERROR(__xludf.DUMMYFUNCTION("""COMPUTED_VALUE"""),"Sammy4000")</f>
        <v>Sammy4000</v>
      </c>
    </row>
    <row r="7522">
      <c r="A7522" s="41" t="str">
        <f>IFERROR(__xludf.DUMMYFUNCTION("""COMPUTED_VALUE"""),"RSC007554")</f>
        <v>RSC007554</v>
      </c>
      <c r="B7522" s="41" t="str">
        <f>IFERROR(__xludf.DUMMYFUNCTION("""COMPUTED_VALUE"""),"TheBipolarNuke")</f>
        <v>TheBipolarNuke</v>
      </c>
    </row>
    <row r="7523">
      <c r="A7523" s="41" t="str">
        <f>IFERROR(__xludf.DUMMYFUNCTION("""COMPUTED_VALUE"""),"RSC007555")</f>
        <v>RSC007555</v>
      </c>
      <c r="B7523" s="41" t="str">
        <f>IFERROR(__xludf.DUMMYFUNCTION("""COMPUTED_VALUE"""),"cjastr0-")</f>
        <v>cjastr0-</v>
      </c>
    </row>
    <row r="7524">
      <c r="A7524" s="41" t="str">
        <f>IFERROR(__xludf.DUMMYFUNCTION("""COMPUTED_VALUE"""),"RSC007556")</f>
        <v>RSC007556</v>
      </c>
      <c r="B7524" s="41" t="str">
        <f>IFERROR(__xludf.DUMMYFUNCTION("""COMPUTED_VALUE"""),"Santu11_")</f>
        <v>Santu11_</v>
      </c>
    </row>
    <row r="7525">
      <c r="A7525" s="41" t="str">
        <f>IFERROR(__xludf.DUMMYFUNCTION("""COMPUTED_VALUE"""),"RSC007557")</f>
        <v>RSC007557</v>
      </c>
      <c r="B7525" s="41" t="str">
        <f>IFERROR(__xludf.DUMMYFUNCTION("""COMPUTED_VALUE"""),"Pegasuslove41")</f>
        <v>Pegasuslove41</v>
      </c>
    </row>
    <row r="7526">
      <c r="A7526" s="41" t="str">
        <f>IFERROR(__xludf.DUMMYFUNCTION("""COMPUTED_VALUE"""),"RSC007558")</f>
        <v>RSC007558</v>
      </c>
      <c r="B7526" s="41" t="str">
        <f>IFERROR(__xludf.DUMMYFUNCTION("""COMPUTED_VALUE"""),"Frijole")</f>
        <v>Frijole</v>
      </c>
    </row>
    <row r="7527">
      <c r="A7527" s="41" t="str">
        <f>IFERROR(__xludf.DUMMYFUNCTION("""COMPUTED_VALUE"""),"RSC007559")</f>
        <v>RSC007559</v>
      </c>
      <c r="B7527" s="41" t="str">
        <f>IFERROR(__xludf.DUMMYFUNCTION("""COMPUTED_VALUE"""),"sean k.")</f>
        <v>sean k.</v>
      </c>
    </row>
    <row r="7528">
      <c r="A7528" s="41" t="str">
        <f>IFERROR(__xludf.DUMMYFUNCTION("""COMPUTED_VALUE"""),"RSC007560")</f>
        <v>RSC007560</v>
      </c>
      <c r="B7528" s="41" t="str">
        <f>IFERROR(__xludf.DUMMYFUNCTION("""COMPUTED_VALUE"""),"ObiWan_Can_O_Bee")</f>
        <v>ObiWan_Can_O_Bee</v>
      </c>
    </row>
    <row r="7529">
      <c r="A7529" s="41" t="str">
        <f>IFERROR(__xludf.DUMMYFUNCTION("""COMPUTED_VALUE"""),"RSC007561")</f>
        <v>RSC007561</v>
      </c>
      <c r="B7529" s="41" t="str">
        <f>IFERROR(__xludf.DUMMYFUNCTION("""COMPUTED_VALUE"""),"Grabbitzz")</f>
        <v>Grabbitzz</v>
      </c>
    </row>
    <row r="7530">
      <c r="A7530" s="41" t="str">
        <f>IFERROR(__xludf.DUMMYFUNCTION("""COMPUTED_VALUE"""),"RSC007562")</f>
        <v>RSC007562</v>
      </c>
      <c r="B7530" s="41" t="str">
        <f>IFERROR(__xludf.DUMMYFUNCTION("""COMPUTED_VALUE"""),"th3lofty")</f>
        <v>th3lofty</v>
      </c>
    </row>
    <row r="7531">
      <c r="A7531" s="41" t="str">
        <f>IFERROR(__xludf.DUMMYFUNCTION("""COMPUTED_VALUE"""),"RSC007563")</f>
        <v>RSC007563</v>
      </c>
      <c r="B7531" s="41" t="str">
        <f>IFERROR(__xludf.DUMMYFUNCTION("""COMPUTED_VALUE"""),"AC3Z3R0")</f>
        <v>AC3Z3R0</v>
      </c>
    </row>
    <row r="7532">
      <c r="A7532" s="41" t="str">
        <f>IFERROR(__xludf.DUMMYFUNCTION("""COMPUTED_VALUE"""),"RSC007564")</f>
        <v>RSC007564</v>
      </c>
      <c r="B7532" s="41" t="str">
        <f>IFERROR(__xludf.DUMMYFUNCTION("""COMPUTED_VALUE"""),"Bryant")</f>
        <v>Bryant</v>
      </c>
    </row>
    <row r="7533">
      <c r="A7533" s="41" t="str">
        <f>IFERROR(__xludf.DUMMYFUNCTION("""COMPUTED_VALUE"""),"RSC007565")</f>
        <v>RSC007565</v>
      </c>
      <c r="B7533" s="41" t="str">
        <f>IFERROR(__xludf.DUMMYFUNCTION("""COMPUTED_VALUE"""),"AcX")</f>
        <v>AcX</v>
      </c>
    </row>
    <row r="7534">
      <c r="A7534" s="41" t="str">
        <f>IFERROR(__xludf.DUMMYFUNCTION("""COMPUTED_VALUE"""),"RSC007566")</f>
        <v>RSC007566</v>
      </c>
      <c r="B7534" s="41" t="str">
        <f>IFERROR(__xludf.DUMMYFUNCTION("""COMPUTED_VALUE"""),"QuadifyyYT")</f>
        <v>QuadifyyYT</v>
      </c>
    </row>
    <row r="7535">
      <c r="A7535" s="41" t="str">
        <f>IFERROR(__xludf.DUMMYFUNCTION("""COMPUTED_VALUE"""),"RSC007567")</f>
        <v>RSC007567</v>
      </c>
      <c r="B7535" s="41" t="str">
        <f>IFERROR(__xludf.DUMMYFUNCTION("""COMPUTED_VALUE"""),"Jdogg")</f>
        <v>Jdogg</v>
      </c>
    </row>
    <row r="7536">
      <c r="A7536" s="41" t="str">
        <f>IFERROR(__xludf.DUMMYFUNCTION("""COMPUTED_VALUE"""),"RSC007568")</f>
        <v>RSC007568</v>
      </c>
      <c r="B7536" s="41" t="str">
        <f>IFERROR(__xludf.DUMMYFUNCTION("""COMPUTED_VALUE"""),"Chills1912")</f>
        <v>Chills1912</v>
      </c>
    </row>
    <row r="7537">
      <c r="A7537" s="41" t="str">
        <f>IFERROR(__xludf.DUMMYFUNCTION("""COMPUTED_VALUE"""),"RSC007569")</f>
        <v>RSC007569</v>
      </c>
      <c r="B7537" s="41" t="str">
        <f>IFERROR(__xludf.DUMMYFUNCTION("""COMPUTED_VALUE"""),"newo")</f>
        <v>newo</v>
      </c>
    </row>
    <row r="7538">
      <c r="A7538" s="41" t="str">
        <f>IFERROR(__xludf.DUMMYFUNCTION("""COMPUTED_VALUE"""),"RSC007570")</f>
        <v>RSC007570</v>
      </c>
      <c r="B7538" s="41" t="str">
        <f>IFERROR(__xludf.DUMMYFUNCTION("""COMPUTED_VALUE"""),"To4st01")</f>
        <v>To4st01</v>
      </c>
    </row>
    <row r="7539">
      <c r="A7539" s="41" t="str">
        <f>IFERROR(__xludf.DUMMYFUNCTION("""COMPUTED_VALUE"""),"RSC007571")</f>
        <v>RSC007571</v>
      </c>
      <c r="B7539" s="41" t="str">
        <f>IFERROR(__xludf.DUMMYFUNCTION("""COMPUTED_VALUE"""),"StephM2_")</f>
        <v>StephM2_</v>
      </c>
    </row>
    <row r="7540">
      <c r="A7540" s="41" t="str">
        <f>IFERROR(__xludf.DUMMYFUNCTION("""COMPUTED_VALUE"""),"RSC007572")</f>
        <v>RSC007572</v>
      </c>
      <c r="B7540" s="41" t="str">
        <f>IFERROR(__xludf.DUMMYFUNCTION("""COMPUTED_VALUE"""),"Mexalato")</f>
        <v>Mexalato</v>
      </c>
    </row>
    <row r="7541">
      <c r="A7541" s="41" t="str">
        <f>IFERROR(__xludf.DUMMYFUNCTION("""COMPUTED_VALUE"""),"RSC007573")</f>
        <v>RSC007573</v>
      </c>
      <c r="B7541" s="41" t="str">
        <f>IFERROR(__xludf.DUMMYFUNCTION("""COMPUTED_VALUE"""),"zag_42")</f>
        <v>zag_42</v>
      </c>
    </row>
    <row r="7542">
      <c r="A7542" s="41" t="str">
        <f>IFERROR(__xludf.DUMMYFUNCTION("""COMPUTED_VALUE"""),"RSC007574")</f>
        <v>RSC007574</v>
      </c>
      <c r="B7542" s="41" t="str">
        <f>IFERROR(__xludf.DUMMYFUNCTION("""COMPUTED_VALUE"""),"Memlo UwU")</f>
        <v>Memlo UwU</v>
      </c>
    </row>
    <row r="7543">
      <c r="A7543" s="41" t="str">
        <f>IFERROR(__xludf.DUMMYFUNCTION("""COMPUTED_VALUE"""),"RSC007575")</f>
        <v>RSC007575</v>
      </c>
      <c r="B7543" s="41" t="str">
        <f>IFERROR(__xludf.DUMMYFUNCTION("""COMPUTED_VALUE"""),"Chipp .")</f>
        <v>Chipp .</v>
      </c>
    </row>
    <row r="7544">
      <c r="A7544" s="41" t="str">
        <f>IFERROR(__xludf.DUMMYFUNCTION("""COMPUTED_VALUE"""),"RSC007576")</f>
        <v>RSC007576</v>
      </c>
      <c r="B7544" s="41" t="str">
        <f>IFERROR(__xludf.DUMMYFUNCTION("""COMPUTED_VALUE"""),"CxldHeartedJess")</f>
        <v>CxldHeartedJess</v>
      </c>
    </row>
    <row r="7545">
      <c r="A7545" s="41" t="str">
        <f>IFERROR(__xludf.DUMMYFUNCTION("""COMPUTED_VALUE"""),"RSC007577")</f>
        <v>RSC007577</v>
      </c>
      <c r="B7545" s="41" t="str">
        <f>IFERROR(__xludf.DUMMYFUNCTION("""COMPUTED_VALUE"""),"Goobbyで")</f>
        <v>Goobbyで</v>
      </c>
    </row>
    <row r="7546">
      <c r="A7546" s="41" t="str">
        <f>IFERROR(__xludf.DUMMYFUNCTION("""COMPUTED_VALUE"""),"RSC007578")</f>
        <v>RSC007578</v>
      </c>
      <c r="B7546" s="41" t="str">
        <f>IFERROR(__xludf.DUMMYFUNCTION("""COMPUTED_VALUE"""),"DTB_Bubbaa")</f>
        <v>DTB_Bubbaa</v>
      </c>
    </row>
    <row r="7547">
      <c r="A7547" s="41" t="str">
        <f>IFERROR(__xludf.DUMMYFUNCTION("""COMPUTED_VALUE"""),"RSC007579")</f>
        <v>RSC007579</v>
      </c>
      <c r="B7547" s="41" t="str">
        <f>IFERROR(__xludf.DUMMYFUNCTION("""COMPUTED_VALUE"""),"Not Nuuk")</f>
        <v>Not Nuuk</v>
      </c>
    </row>
    <row r="7548">
      <c r="A7548" s="41" t="str">
        <f>IFERROR(__xludf.DUMMYFUNCTION("""COMPUTED_VALUE"""),"RSC007580")</f>
        <v>RSC007580</v>
      </c>
      <c r="B7548" s="41" t="str">
        <f>IFERROR(__xludf.DUMMYFUNCTION("""COMPUTED_VALUE"""),"M4ttiusM4ximu5")</f>
        <v>M4ttiusM4ximu5</v>
      </c>
    </row>
    <row r="7549">
      <c r="A7549" s="41" t="str">
        <f>IFERROR(__xludf.DUMMYFUNCTION("""COMPUTED_VALUE"""),"RSC007581")</f>
        <v>RSC007581</v>
      </c>
      <c r="B7549" s="41" t="str">
        <f>IFERROR(__xludf.DUMMYFUNCTION("""COMPUTED_VALUE"""),"Wrecklessjay02")</f>
        <v>Wrecklessjay02</v>
      </c>
    </row>
    <row r="7550">
      <c r="A7550" s="41" t="str">
        <f>IFERROR(__xludf.DUMMYFUNCTION("""COMPUTED_VALUE"""),"RSC007582")</f>
        <v>RSC007582</v>
      </c>
      <c r="B7550" s="41" t="str">
        <f>IFERROR(__xludf.DUMMYFUNCTION("""COMPUTED_VALUE"""),"Wavy")</f>
        <v>Wavy</v>
      </c>
    </row>
    <row r="7551">
      <c r="A7551" s="41" t="str">
        <f>IFERROR(__xludf.DUMMYFUNCTION("""COMPUTED_VALUE"""),"RSC007583")</f>
        <v>RSC007583</v>
      </c>
      <c r="B7551" s="41" t="str">
        <f>IFERROR(__xludf.DUMMYFUNCTION("""COMPUTED_VALUE"""),"Robkelley")</f>
        <v>Robkelley</v>
      </c>
    </row>
    <row r="7552">
      <c r="A7552" s="41" t="str">
        <f>IFERROR(__xludf.DUMMYFUNCTION("""COMPUTED_VALUE"""),"RSC007584")</f>
        <v>RSC007584</v>
      </c>
      <c r="B7552" s="41" t="str">
        <f>IFERROR(__xludf.DUMMYFUNCTION("""COMPUTED_VALUE"""),"StartTheDart")</f>
        <v>StartTheDart</v>
      </c>
    </row>
    <row r="7553">
      <c r="A7553" s="41" t="str">
        <f>IFERROR(__xludf.DUMMYFUNCTION("""COMPUTED_VALUE"""),"RSC007585")</f>
        <v>RSC007585</v>
      </c>
      <c r="B7553" s="41" t="str">
        <f>IFERROR(__xludf.DUMMYFUNCTION("""COMPUTED_VALUE"""),"ki1lerboss")</f>
        <v>ki1lerboss</v>
      </c>
    </row>
    <row r="7554">
      <c r="A7554" s="41" t="str">
        <f>IFERROR(__xludf.DUMMYFUNCTION("""COMPUTED_VALUE"""),"RSC007586")</f>
        <v>RSC007586</v>
      </c>
      <c r="B7554" s="41" t="str">
        <f>IFERROR(__xludf.DUMMYFUNCTION("""COMPUTED_VALUE"""),"TEMPEST1416")</f>
        <v>TEMPEST1416</v>
      </c>
    </row>
    <row r="7555">
      <c r="A7555" s="41" t="str">
        <f>IFERROR(__xludf.DUMMYFUNCTION("""COMPUTED_VALUE"""),"RSC007587")</f>
        <v>RSC007587</v>
      </c>
      <c r="B7555" s="41" t="str">
        <f>IFERROR(__xludf.DUMMYFUNCTION("""COMPUTED_VALUE"""),"ShortyoShire")</f>
        <v>ShortyoShire</v>
      </c>
    </row>
    <row r="7556">
      <c r="A7556" s="41" t="str">
        <f>IFERROR(__xludf.DUMMYFUNCTION("""COMPUTED_VALUE"""),"RSC007588")</f>
        <v>RSC007588</v>
      </c>
      <c r="B7556" s="41" t="str">
        <f>IFERROR(__xludf.DUMMYFUNCTION("""COMPUTED_VALUE"""),"Anipip.")</f>
        <v>Anipip.</v>
      </c>
    </row>
    <row r="7557">
      <c r="A7557" s="41" t="str">
        <f>IFERROR(__xludf.DUMMYFUNCTION("""COMPUTED_VALUE"""),"RSC007589")</f>
        <v>RSC007589</v>
      </c>
      <c r="B7557" s="41" t="str">
        <f>IFERROR(__xludf.DUMMYFUNCTION("""COMPUTED_VALUE"""),"LilBoneSamaTTV")</f>
        <v>LilBoneSamaTTV</v>
      </c>
    </row>
    <row r="7558">
      <c r="A7558" s="41" t="str">
        <f>IFERROR(__xludf.DUMMYFUNCTION("""COMPUTED_VALUE"""),"RSC007590")</f>
        <v>RSC007590</v>
      </c>
      <c r="B7558" s="41" t="str">
        <f>IFERROR(__xludf.DUMMYFUNCTION("""COMPUTED_VALUE"""),"DonkeyPancakes2")</f>
        <v>DonkeyPancakes2</v>
      </c>
    </row>
    <row r="7559">
      <c r="A7559" s="41" t="str">
        <f>IFERROR(__xludf.DUMMYFUNCTION("""COMPUTED_VALUE"""),"RSC007591")</f>
        <v>RSC007591</v>
      </c>
      <c r="B7559" s="41" t="str">
        <f>IFERROR(__xludf.DUMMYFUNCTION("""COMPUTED_VALUE"""),"Twitch LuhTrulyy")</f>
        <v>Twitch LuhTrulyy</v>
      </c>
    </row>
    <row r="7560">
      <c r="A7560" s="41" t="str">
        <f>IFERROR(__xludf.DUMMYFUNCTION("""COMPUTED_VALUE"""),"RSC007592")</f>
        <v>RSC007592</v>
      </c>
      <c r="B7560" s="41" t="str">
        <f>IFERROR(__xludf.DUMMYFUNCTION("""COMPUTED_VALUE"""),"FrodoBaggins4912")</f>
        <v>FrodoBaggins4912</v>
      </c>
    </row>
    <row r="7561">
      <c r="A7561" s="41" t="str">
        <f>IFERROR(__xludf.DUMMYFUNCTION("""COMPUTED_VALUE"""),"RSC007593")</f>
        <v>RSC007593</v>
      </c>
      <c r="B7561" s="41" t="str">
        <f>IFERROR(__xludf.DUMMYFUNCTION("""COMPUTED_VALUE"""),"DJ L1T")</f>
        <v>DJ L1T</v>
      </c>
    </row>
    <row r="7562">
      <c r="A7562" s="41" t="str">
        <f>IFERROR(__xludf.DUMMYFUNCTION("""COMPUTED_VALUE"""),"RSC007594")</f>
        <v>RSC007594</v>
      </c>
      <c r="B7562" s="41" t="str">
        <f>IFERROR(__xludf.DUMMYFUNCTION("""COMPUTED_VALUE"""),"Notbeanrl")</f>
        <v>Notbeanrl</v>
      </c>
    </row>
    <row r="7563">
      <c r="A7563" s="41" t="str">
        <f>IFERROR(__xludf.DUMMYFUNCTION("""COMPUTED_VALUE"""),"RSC007595")</f>
        <v>RSC007595</v>
      </c>
      <c r="B7563" s="41" t="str">
        <f>IFERROR(__xludf.DUMMYFUNCTION("""COMPUTED_VALUE"""),"Lil Fella")</f>
        <v>Lil Fella</v>
      </c>
    </row>
    <row r="7564">
      <c r="A7564" s="41" t="str">
        <f>IFERROR(__xludf.DUMMYFUNCTION("""COMPUTED_VALUE"""),"RSC007596")</f>
        <v>RSC007596</v>
      </c>
      <c r="B7564" s="41" t="str">
        <f>IFERROR(__xludf.DUMMYFUNCTION("""COMPUTED_VALUE"""),"Sean")</f>
        <v>Sean</v>
      </c>
    </row>
    <row r="7565">
      <c r="A7565" s="41" t="str">
        <f>IFERROR(__xludf.DUMMYFUNCTION("""COMPUTED_VALUE"""),"RSC007597")</f>
        <v>RSC007597</v>
      </c>
      <c r="B7565" s="41" t="str">
        <f>IFERROR(__xludf.DUMMYFUNCTION("""COMPUTED_VALUE"""),"beeperton.")</f>
        <v>beeperton.</v>
      </c>
    </row>
    <row r="7566">
      <c r="A7566" s="41" t="str">
        <f>IFERROR(__xludf.DUMMYFUNCTION("""COMPUTED_VALUE"""),"RSC007598")</f>
        <v>RSC007598</v>
      </c>
      <c r="B7566" s="41" t="str">
        <f>IFERROR(__xludf.DUMMYFUNCTION("""COMPUTED_VALUE"""),"Scooter")</f>
        <v>Scooter</v>
      </c>
    </row>
    <row r="7567">
      <c r="A7567" s="41" t="str">
        <f>IFERROR(__xludf.DUMMYFUNCTION("""COMPUTED_VALUE"""),"RSC007599")</f>
        <v>RSC007599</v>
      </c>
      <c r="B7567" s="41" t="str">
        <f>IFERROR(__xludf.DUMMYFUNCTION("""COMPUTED_VALUE"""),"Precision (Change)")</f>
        <v>Precision (Change)</v>
      </c>
    </row>
    <row r="7568">
      <c r="A7568" s="41" t="str">
        <f>IFERROR(__xludf.DUMMYFUNCTION("""COMPUTED_VALUE"""),"RSC007600")</f>
        <v>RSC007600</v>
      </c>
      <c r="B7568" s="41" t="str">
        <f>IFERROR(__xludf.DUMMYFUNCTION("""COMPUTED_VALUE"""),"CN Tyson")</f>
        <v>CN Tyson</v>
      </c>
    </row>
    <row r="7569">
      <c r="A7569" s="41" t="str">
        <f>IFERROR(__xludf.DUMMYFUNCTION("""COMPUTED_VALUE"""),"RSC007601")</f>
        <v>RSC007601</v>
      </c>
      <c r="B7569" s="41" t="str">
        <f>IFERROR(__xludf.DUMMYFUNCTION("""COMPUTED_VALUE"""),"Bricked Up Barry")</f>
        <v>Bricked Up Barry</v>
      </c>
    </row>
    <row r="7570">
      <c r="A7570" s="41" t="str">
        <f>IFERROR(__xludf.DUMMYFUNCTION("""COMPUTED_VALUE"""),"RSC007602")</f>
        <v>RSC007602</v>
      </c>
      <c r="B7570" s="41" t="str">
        <f>IFERROR(__xludf.DUMMYFUNCTION("""COMPUTED_VALUE"""),"uteddy")</f>
        <v>uteddy</v>
      </c>
    </row>
    <row r="7571">
      <c r="A7571" s="41" t="str">
        <f>IFERROR(__xludf.DUMMYFUNCTION("""COMPUTED_VALUE"""),"RSC007603")</f>
        <v>RSC007603</v>
      </c>
      <c r="B7571" s="41" t="str">
        <f>IFERROR(__xludf.DUMMYFUNCTION("""COMPUTED_VALUE"""),"Nezyy")</f>
        <v>Nezyy</v>
      </c>
    </row>
    <row r="7572">
      <c r="A7572" s="41" t="str">
        <f>IFERROR(__xludf.DUMMYFUNCTION("""COMPUTED_VALUE"""),"RSC007604")</f>
        <v>RSC007604</v>
      </c>
      <c r="B7572" s="41" t="str">
        <f>IFERROR(__xludf.DUMMYFUNCTION("""COMPUTED_VALUE"""),"RiisenJT")</f>
        <v>RiisenJT</v>
      </c>
    </row>
    <row r="7573">
      <c r="A7573" s="41" t="str">
        <f>IFERROR(__xludf.DUMMYFUNCTION("""COMPUTED_VALUE"""),"RSC007605")</f>
        <v>RSC007605</v>
      </c>
      <c r="B7573" s="41" t="str">
        <f>IFERROR(__xludf.DUMMYFUNCTION("""COMPUTED_VALUE"""),"Afterburner3375")</f>
        <v>Afterburner3375</v>
      </c>
    </row>
    <row r="7574">
      <c r="A7574" s="41" t="str">
        <f>IFERROR(__xludf.DUMMYFUNCTION("""COMPUTED_VALUE"""),"RSC007606")</f>
        <v>RSC007606</v>
      </c>
      <c r="B7574" s="41" t="str">
        <f>IFERROR(__xludf.DUMMYFUNCTION("""COMPUTED_VALUE"""),"RealGameBuster")</f>
        <v>RealGameBuster</v>
      </c>
    </row>
    <row r="7575">
      <c r="A7575" s="41" t="str">
        <f>IFERROR(__xludf.DUMMYFUNCTION("""COMPUTED_VALUE"""),"RSC007607")</f>
        <v>RSC007607</v>
      </c>
      <c r="B7575" s="41" t="str">
        <f>IFERROR(__xludf.DUMMYFUNCTION("""COMPUTED_VALUE"""),"GameGang")</f>
        <v>GameGang</v>
      </c>
    </row>
    <row r="7576">
      <c r="A7576" s="41" t="str">
        <f>IFERROR(__xludf.DUMMYFUNCTION("""COMPUTED_VALUE"""),"RSC007608")</f>
        <v>RSC007608</v>
      </c>
      <c r="B7576" s="41" t="str">
        <f>IFERROR(__xludf.DUMMYFUNCTION("""COMPUTED_VALUE"""),"Dash")</f>
        <v>Dash</v>
      </c>
    </row>
    <row r="7577">
      <c r="A7577" s="41" t="str">
        <f>IFERROR(__xludf.DUMMYFUNCTION("""COMPUTED_VALUE"""),"RSC007609")</f>
        <v>RSC007609</v>
      </c>
      <c r="B7577" s="41" t="str">
        <f>IFERROR(__xludf.DUMMYFUNCTION("""COMPUTED_VALUE"""),"pandabear")</f>
        <v>pandabear</v>
      </c>
    </row>
    <row r="7578">
      <c r="A7578" s="41" t="str">
        <f>IFERROR(__xludf.DUMMYFUNCTION("""COMPUTED_VALUE"""),"RSC007610")</f>
        <v>RSC007610</v>
      </c>
      <c r="B7578" s="41" t="str">
        <f>IFERROR(__xludf.DUMMYFUNCTION("""COMPUTED_VALUE"""),"Halibut907")</f>
        <v>Halibut907</v>
      </c>
    </row>
    <row r="7579">
      <c r="A7579" s="41" t="str">
        <f>IFERROR(__xludf.DUMMYFUNCTION("""COMPUTED_VALUE"""),"RSC007611")</f>
        <v>RSC007611</v>
      </c>
      <c r="B7579" s="41" t="str">
        <f>IFERROR(__xludf.DUMMYFUNCTION("""COMPUTED_VALUE"""),"CaptinWoWFacto4")</f>
        <v>CaptinWoWFacto4</v>
      </c>
    </row>
    <row r="7580">
      <c r="A7580" s="41" t="str">
        <f>IFERROR(__xludf.DUMMYFUNCTION("""COMPUTED_VALUE"""),"RSC007612")</f>
        <v>RSC007612</v>
      </c>
      <c r="B7580" s="41" t="str">
        <f>IFERROR(__xludf.DUMMYFUNCTION("""COMPUTED_VALUE"""),"Simplicity RL")</f>
        <v>Simplicity RL</v>
      </c>
    </row>
    <row r="7581">
      <c r="A7581" s="41" t="str">
        <f>IFERROR(__xludf.DUMMYFUNCTION("""COMPUTED_VALUE"""),"RSC007613")</f>
        <v>RSC007613</v>
      </c>
      <c r="B7581" s="41" t="str">
        <f>IFERROR(__xludf.DUMMYFUNCTION("""COMPUTED_VALUE"""),"Squatch70")</f>
        <v>Squatch70</v>
      </c>
    </row>
    <row r="7582">
      <c r="A7582" s="41" t="str">
        <f>IFERROR(__xludf.DUMMYFUNCTION("""COMPUTED_VALUE"""),"RSC007614")</f>
        <v>RSC007614</v>
      </c>
      <c r="B7582" s="41" t="str">
        <f>IFERROR(__xludf.DUMMYFUNCTION("""COMPUTED_VALUE"""),"Lunchboxx")</f>
        <v>Lunchboxx</v>
      </c>
    </row>
    <row r="7583">
      <c r="A7583" s="41" t="str">
        <f>IFERROR(__xludf.DUMMYFUNCTION("""COMPUTED_VALUE"""),"RSC007616")</f>
        <v>RSC007616</v>
      </c>
      <c r="B7583" s="41" t="str">
        <f>IFERROR(__xludf.DUMMYFUNCTION("""COMPUTED_VALUE"""),"VforVenDEADa")</f>
        <v>VforVenDEADa</v>
      </c>
    </row>
    <row r="7584">
      <c r="A7584" s="41" t="str">
        <f>IFERROR(__xludf.DUMMYFUNCTION("""COMPUTED_VALUE"""),"RSC007617")</f>
        <v>RSC007617</v>
      </c>
      <c r="B7584" s="41" t="str">
        <f>IFERROR(__xludf.DUMMYFUNCTION("""COMPUTED_VALUE"""),"lahfi")</f>
        <v>lahfi</v>
      </c>
    </row>
    <row r="7585">
      <c r="A7585" s="41" t="str">
        <f>IFERROR(__xludf.DUMMYFUNCTION("""COMPUTED_VALUE"""),"RSC007618")</f>
        <v>RSC007618</v>
      </c>
      <c r="B7585" s="41" t="str">
        <f>IFERROR(__xludf.DUMMYFUNCTION("""COMPUTED_VALUE"""),"Robbie")</f>
        <v>Robbie</v>
      </c>
    </row>
    <row r="7586">
      <c r="A7586" s="41" t="str">
        <f>IFERROR(__xludf.DUMMYFUNCTION("""COMPUTED_VALUE"""),"RSC007619")</f>
        <v>RSC007619</v>
      </c>
      <c r="B7586" s="41" t="str">
        <f>IFERROR(__xludf.DUMMYFUNCTION("""COMPUTED_VALUE"""),"Collobir")</f>
        <v>Collobir</v>
      </c>
    </row>
    <row r="7587">
      <c r="A7587" s="41" t="str">
        <f>IFERROR(__xludf.DUMMYFUNCTION("""COMPUTED_VALUE"""),"RSC007620")</f>
        <v>RSC007620</v>
      </c>
      <c r="B7587" s="41" t="str">
        <f>IFERROR(__xludf.DUMMYFUNCTION("""COMPUTED_VALUE"""),"Chicago_Liights")</f>
        <v>Chicago_Liights</v>
      </c>
    </row>
    <row r="7588">
      <c r="A7588" s="41" t="str">
        <f>IFERROR(__xludf.DUMMYFUNCTION("""COMPUTED_VALUE"""),"RSC007621")</f>
        <v>RSC007621</v>
      </c>
      <c r="B7588" s="41" t="str">
        <f>IFERROR(__xludf.DUMMYFUNCTION("""COMPUTED_VALUE"""),"Classy-God57")</f>
        <v>Classy-God57</v>
      </c>
    </row>
    <row r="7589">
      <c r="A7589" s="41" t="str">
        <f>IFERROR(__xludf.DUMMYFUNCTION("""COMPUTED_VALUE"""),"RSC007622")</f>
        <v>RSC007622</v>
      </c>
      <c r="B7589" s="41" t="str">
        <f>IFERROR(__xludf.DUMMYFUNCTION("""COMPUTED_VALUE"""),"iikair")</f>
        <v>iikair</v>
      </c>
    </row>
    <row r="7590">
      <c r="A7590" s="41" t="str">
        <f>IFERROR(__xludf.DUMMYFUNCTION("""COMPUTED_VALUE"""),"RSC007623")</f>
        <v>RSC007623</v>
      </c>
      <c r="B7590" s="41" t="str">
        <f>IFERROR(__xludf.DUMMYFUNCTION("""COMPUTED_VALUE"""),"stedw")</f>
        <v>stedw</v>
      </c>
    </row>
    <row r="7591">
      <c r="A7591" s="41" t="str">
        <f>IFERROR(__xludf.DUMMYFUNCTION("""COMPUTED_VALUE"""),"RSC007624")</f>
        <v>RSC007624</v>
      </c>
      <c r="B7591" s="41" t="str">
        <f>IFERROR(__xludf.DUMMYFUNCTION("""COMPUTED_VALUE"""),"Extended")</f>
        <v>Extended</v>
      </c>
    </row>
    <row r="7592">
      <c r="A7592" s="41" t="str">
        <f>IFERROR(__xludf.DUMMYFUNCTION("""COMPUTED_VALUE"""),"RSC007625")</f>
        <v>RSC007625</v>
      </c>
      <c r="B7592" s="41" t="str">
        <f>IFERROR(__xludf.DUMMYFUNCTION("""COMPUTED_VALUE"""),"assassin_funny.")</f>
        <v>assassin_funny.</v>
      </c>
    </row>
    <row r="7593">
      <c r="A7593" s="41" t="str">
        <f>IFERROR(__xludf.DUMMYFUNCTION("""COMPUTED_VALUE"""),"RSC007626")</f>
        <v>RSC007626</v>
      </c>
      <c r="B7593" s="41" t="str">
        <f>IFERROR(__xludf.DUMMYFUNCTION("""COMPUTED_VALUE"""),"ACDye2")</f>
        <v>ACDye2</v>
      </c>
    </row>
    <row r="7594">
      <c r="A7594" s="41" t="str">
        <f>IFERROR(__xludf.DUMMYFUNCTION("""COMPUTED_VALUE"""),"RSC007627")</f>
        <v>RSC007627</v>
      </c>
      <c r="B7594" s="41" t="str">
        <f>IFERROR(__xludf.DUMMYFUNCTION("""COMPUTED_VALUE"""),"vrxvert")</f>
        <v>vrxvert</v>
      </c>
    </row>
    <row r="7595">
      <c r="A7595" s="41" t="str">
        <f>IFERROR(__xludf.DUMMYFUNCTION("""COMPUTED_VALUE"""),"RSC007628")</f>
        <v>RSC007628</v>
      </c>
      <c r="B7595" s="41" t="str">
        <f>IFERROR(__xludf.DUMMYFUNCTION("""COMPUTED_VALUE"""),"PappaSly420")</f>
        <v>PappaSly420</v>
      </c>
    </row>
    <row r="7596">
      <c r="A7596" s="41" t="str">
        <f>IFERROR(__xludf.DUMMYFUNCTION("""COMPUTED_VALUE"""),"RSC007629")</f>
        <v>RSC007629</v>
      </c>
      <c r="B7596" s="41" t="str">
        <f>IFERROR(__xludf.DUMMYFUNCTION("""COMPUTED_VALUE"""),"Mochi")</f>
        <v>Mochi</v>
      </c>
    </row>
    <row r="7597">
      <c r="A7597" s="41" t="str">
        <f>IFERROR(__xludf.DUMMYFUNCTION("""COMPUTED_VALUE"""),"RSC007630")</f>
        <v>RSC007630</v>
      </c>
      <c r="B7597" s="41" t="str">
        <f>IFERROR(__xludf.DUMMYFUNCTION("""COMPUTED_VALUE"""),"Grey")</f>
        <v>Grey</v>
      </c>
    </row>
    <row r="7598">
      <c r="A7598" s="41" t="str">
        <f>IFERROR(__xludf.DUMMYFUNCTION("""COMPUTED_VALUE"""),"RSC007631")</f>
        <v>RSC007631</v>
      </c>
      <c r="B7598" s="41" t="str">
        <f>IFERROR(__xludf.DUMMYFUNCTION("""COMPUTED_VALUE"""),"Folterung")</f>
        <v>Folterung</v>
      </c>
    </row>
    <row r="7599">
      <c r="A7599" s="41" t="str">
        <f>IFERROR(__xludf.DUMMYFUNCTION("""COMPUTED_VALUE"""),"RSC007632")</f>
        <v>RSC007632</v>
      </c>
      <c r="B7599" s="41" t="str">
        <f>IFERROR(__xludf.DUMMYFUNCTION("""COMPUTED_VALUE"""),"yournewSTEPDADDI")</f>
        <v>yournewSTEPDADDI</v>
      </c>
    </row>
    <row r="7600">
      <c r="A7600" s="41" t="str">
        <f>IFERROR(__xludf.DUMMYFUNCTION("""COMPUTED_VALUE"""),"RSC007633")</f>
        <v>RSC007633</v>
      </c>
      <c r="B7600" s="41" t="str">
        <f>IFERROR(__xludf.DUMMYFUNCTION("""COMPUTED_VALUE"""),"Biscuitboi.")</f>
        <v>Biscuitboi.</v>
      </c>
    </row>
    <row r="7601">
      <c r="A7601" s="41" t="str">
        <f>IFERROR(__xludf.DUMMYFUNCTION("""COMPUTED_VALUE"""),"RSC007634")</f>
        <v>RSC007634</v>
      </c>
      <c r="B7601" s="41" t="str">
        <f>IFERROR(__xludf.DUMMYFUNCTION("""COMPUTED_VALUE"""),"Aebyoo")</f>
        <v>Aebyoo</v>
      </c>
    </row>
    <row r="7602">
      <c r="A7602" s="41" t="str">
        <f>IFERROR(__xludf.DUMMYFUNCTION("""COMPUTED_VALUE"""),"RSC007635")</f>
        <v>RSC007635</v>
      </c>
      <c r="B7602" s="41" t="str">
        <f>IFERROR(__xludf.DUMMYFUNCTION("""COMPUTED_VALUE"""),"MungsApprentice")</f>
        <v>MungsApprentice</v>
      </c>
    </row>
    <row r="7603">
      <c r="A7603" s="41" t="str">
        <f>IFERROR(__xludf.DUMMYFUNCTION("""COMPUTED_VALUE"""),"RSC007636")</f>
        <v>RSC007636</v>
      </c>
      <c r="B7603" s="41" t="str">
        <f>IFERROR(__xludf.DUMMYFUNCTION("""COMPUTED_VALUE"""),"Aryba.")</f>
        <v>Aryba.</v>
      </c>
    </row>
    <row r="7604">
      <c r="A7604" s="41" t="str">
        <f>IFERROR(__xludf.DUMMYFUNCTION("""COMPUTED_VALUE"""),"RSC007637")</f>
        <v>RSC007637</v>
      </c>
      <c r="B7604" s="41" t="str">
        <f>IFERROR(__xludf.DUMMYFUNCTION("""COMPUTED_VALUE"""),"dino")</f>
        <v>dino</v>
      </c>
    </row>
    <row r="7605">
      <c r="A7605" s="41" t="str">
        <f>IFERROR(__xludf.DUMMYFUNCTION("""COMPUTED_VALUE"""),"RSC007638")</f>
        <v>RSC007638</v>
      </c>
      <c r="B7605" s="41" t="str">
        <f>IFERROR(__xludf.DUMMYFUNCTION("""COMPUTED_VALUE"""),"Kahlyde")</f>
        <v>Kahlyde</v>
      </c>
    </row>
    <row r="7606">
      <c r="A7606" s="41" t="str">
        <f>IFERROR(__xludf.DUMMYFUNCTION("""COMPUTED_VALUE"""),"RSC007639")</f>
        <v>RSC007639</v>
      </c>
      <c r="B7606" s="41" t="str">
        <f>IFERROR(__xludf.DUMMYFUNCTION("""COMPUTED_VALUE"""),"ttv.b3rnkilljoy")</f>
        <v>ttv.b3rnkilljoy</v>
      </c>
    </row>
    <row r="7607">
      <c r="A7607" s="41" t="str">
        <f>IFERROR(__xludf.DUMMYFUNCTION("""COMPUTED_VALUE"""),"RSC007640")</f>
        <v>RSC007640</v>
      </c>
      <c r="B7607" s="41" t="str">
        <f>IFERROR(__xludf.DUMMYFUNCTION("""COMPUTED_VALUE"""),"RLBadBunny")</f>
        <v>RLBadBunny</v>
      </c>
    </row>
    <row r="7608">
      <c r="A7608" s="41" t="str">
        <f>IFERROR(__xludf.DUMMYFUNCTION("""COMPUTED_VALUE"""),"RSC007641")</f>
        <v>RSC007641</v>
      </c>
      <c r="B7608" s="41" t="str">
        <f>IFERROR(__xludf.DUMMYFUNCTION("""COMPUTED_VALUE"""),"kaden")</f>
        <v>kaden</v>
      </c>
    </row>
    <row r="7609">
      <c r="A7609" s="41" t="str">
        <f>IFERROR(__xludf.DUMMYFUNCTION("""COMPUTED_VALUE"""),"RSC007642")</f>
        <v>RSC007642</v>
      </c>
      <c r="B7609" s="41" t="str">
        <f>IFERROR(__xludf.DUMMYFUNCTION("""COMPUTED_VALUE"""),"Luminati7")</f>
        <v>Luminati7</v>
      </c>
    </row>
    <row r="7610">
      <c r="A7610" s="41" t="str">
        <f>IFERROR(__xludf.DUMMYFUNCTION("""COMPUTED_VALUE"""),"RSC007643")</f>
        <v>RSC007643</v>
      </c>
      <c r="B7610" s="41" t="str">
        <f>IFERROR(__xludf.DUMMYFUNCTION("""COMPUTED_VALUE"""),"RoxasTKW")</f>
        <v>RoxasTKW</v>
      </c>
    </row>
    <row r="7611">
      <c r="A7611" s="41" t="str">
        <f>IFERROR(__xludf.DUMMYFUNCTION("""COMPUTED_VALUE"""),"RSC007644")</f>
        <v>RSC007644</v>
      </c>
      <c r="B7611" s="41" t="str">
        <f>IFERROR(__xludf.DUMMYFUNCTION("""COMPUTED_VALUE"""),"Silwoe")</f>
        <v>Silwoe</v>
      </c>
    </row>
    <row r="7612">
      <c r="A7612" s="41" t="str">
        <f>IFERROR(__xludf.DUMMYFUNCTION("""COMPUTED_VALUE"""),"RSC007645")</f>
        <v>RSC007645</v>
      </c>
      <c r="B7612" s="41" t="str">
        <f>IFERROR(__xludf.DUMMYFUNCTION("""COMPUTED_VALUE"""),"TALISHA")</f>
        <v>TALISHA</v>
      </c>
    </row>
    <row r="7613">
      <c r="A7613" s="41" t="str">
        <f>IFERROR(__xludf.DUMMYFUNCTION("""COMPUTED_VALUE"""),"RSC007646")</f>
        <v>RSC007646</v>
      </c>
      <c r="B7613" s="41" t="str">
        <f>IFERROR(__xludf.DUMMYFUNCTION("""COMPUTED_VALUE"""),"Jack_XCake")</f>
        <v>Jack_XCake</v>
      </c>
    </row>
    <row r="7614">
      <c r="A7614" s="41" t="str">
        <f>IFERROR(__xludf.DUMMYFUNCTION("""COMPUTED_VALUE"""),"RSC007647")</f>
        <v>RSC007647</v>
      </c>
      <c r="B7614" s="41" t="str">
        <f>IFERROR(__xludf.DUMMYFUNCTION("""COMPUTED_VALUE"""),"I'm Pale")</f>
        <v>I'm Pale</v>
      </c>
    </row>
    <row r="7615">
      <c r="A7615" s="41" t="str">
        <f>IFERROR(__xludf.DUMMYFUNCTION("""COMPUTED_VALUE"""),"RSC007648")</f>
        <v>RSC007648</v>
      </c>
      <c r="B7615" s="41" t="str">
        <f>IFERROR(__xludf.DUMMYFUNCTION("""COMPUTED_VALUE"""),"homey_assembly24")</f>
        <v>homey_assembly24</v>
      </c>
    </row>
    <row r="7616">
      <c r="A7616" s="41" t="str">
        <f>IFERROR(__xludf.DUMMYFUNCTION("""COMPUTED_VALUE"""),"RSC007649")</f>
        <v>RSC007649</v>
      </c>
      <c r="B7616" s="41" t="str">
        <f>IFERROR(__xludf.DUMMYFUNCTION("""COMPUTED_VALUE"""),"Rodeo_King1")</f>
        <v>Rodeo_King1</v>
      </c>
    </row>
    <row r="7617">
      <c r="A7617" s="41" t="str">
        <f>IFERROR(__xludf.DUMMYFUNCTION("""COMPUTED_VALUE"""),"RSC007650")</f>
        <v>RSC007650</v>
      </c>
      <c r="B7617" s="41" t="str">
        <f>IFERROR(__xludf.DUMMYFUNCTION("""COMPUTED_VALUE"""),"GhostyCNN.RL")</f>
        <v>GhostyCNN.RL</v>
      </c>
    </row>
    <row r="7618">
      <c r="A7618" s="41" t="str">
        <f>IFERROR(__xludf.DUMMYFUNCTION("""COMPUTED_VALUE"""),"RSC007651")</f>
        <v>RSC007651</v>
      </c>
      <c r="B7618" s="41" t="str">
        <f>IFERROR(__xludf.DUMMYFUNCTION("""COMPUTED_VALUE"""),"HellboyRL.")</f>
        <v>HellboyRL.</v>
      </c>
    </row>
    <row r="7619">
      <c r="A7619" s="41" t="str">
        <f>IFERROR(__xludf.DUMMYFUNCTION("""COMPUTED_VALUE"""),"RSC007652")</f>
        <v>RSC007652</v>
      </c>
      <c r="B7619" s="41" t="str">
        <f>IFERROR(__xludf.DUMMYFUNCTION("""COMPUTED_VALUE"""),"Tizzereed")</f>
        <v>Tizzereed</v>
      </c>
    </row>
    <row r="7620">
      <c r="A7620" s="41" t="str">
        <f>IFERROR(__xludf.DUMMYFUNCTION("""COMPUTED_VALUE"""),"RSC007653")</f>
        <v>RSC007653</v>
      </c>
      <c r="B7620" s="41" t="str">
        <f>IFERROR(__xludf.DUMMYFUNCTION("""COMPUTED_VALUE"""),"ITSHAMMYSZN")</f>
        <v>ITSHAMMYSZN</v>
      </c>
    </row>
    <row r="7621">
      <c r="A7621" s="41" t="str">
        <f>IFERROR(__xludf.DUMMYFUNCTION("""COMPUTED_VALUE"""),"RSC007654")</f>
        <v>RSC007654</v>
      </c>
      <c r="B7621" s="41" t="str">
        <f>IFERROR(__xludf.DUMMYFUNCTION("""COMPUTED_VALUE"""),"lostbxy")</f>
        <v>lostbxy</v>
      </c>
    </row>
    <row r="7622">
      <c r="A7622" s="41" t="str">
        <f>IFERROR(__xludf.DUMMYFUNCTION("""COMPUTED_VALUE"""),"RSC007655")</f>
        <v>RSC007655</v>
      </c>
      <c r="B7622" s="41" t="str">
        <f>IFERROR(__xludf.DUMMYFUNCTION("""COMPUTED_VALUE"""),"Geo")</f>
        <v>Geo</v>
      </c>
    </row>
    <row r="7623">
      <c r="A7623" s="41" t="str">
        <f>IFERROR(__xludf.DUMMYFUNCTION("""COMPUTED_VALUE"""),"RSC007656")</f>
        <v>RSC007656</v>
      </c>
      <c r="B7623" s="41" t="str">
        <f>IFERROR(__xludf.DUMMYFUNCTION("""COMPUTED_VALUE"""),"TR1P6-")</f>
        <v>TR1P6-</v>
      </c>
    </row>
    <row r="7624">
      <c r="A7624" s="41" t="str">
        <f>IFERROR(__xludf.DUMMYFUNCTION("""COMPUTED_VALUE"""),"RSC007657")</f>
        <v>RSC007657</v>
      </c>
      <c r="B7624" s="41" t="str">
        <f>IFERROR(__xludf.DUMMYFUNCTION("""COMPUTED_VALUE"""),"Zenzen0607")</f>
        <v>Zenzen0607</v>
      </c>
    </row>
    <row r="7625">
      <c r="A7625" s="41" t="str">
        <f>IFERROR(__xludf.DUMMYFUNCTION("""COMPUTED_VALUE"""),"RSC007658")</f>
        <v>RSC007658</v>
      </c>
      <c r="B7625" s="41" t="str">
        <f>IFERROR(__xludf.DUMMYFUNCTION("""COMPUTED_VALUE"""),"Ka_Astral")</f>
        <v>Ka_Astral</v>
      </c>
    </row>
    <row r="7626">
      <c r="A7626" s="41" t="str">
        <f>IFERROR(__xludf.DUMMYFUNCTION("""COMPUTED_VALUE"""),"RSC007659")</f>
        <v>RSC007659</v>
      </c>
      <c r="B7626" s="41" t="str">
        <f>IFERROR(__xludf.DUMMYFUNCTION("""COMPUTED_VALUE"""),"ItzAlow")</f>
        <v>ItzAlow</v>
      </c>
    </row>
    <row r="7627">
      <c r="A7627" s="41" t="str">
        <f>IFERROR(__xludf.DUMMYFUNCTION("""COMPUTED_VALUE"""),"RSC007660")</f>
        <v>RSC007660</v>
      </c>
      <c r="B7627" s="41" t="str">
        <f>IFERROR(__xludf.DUMMYFUNCTION("""COMPUTED_VALUE"""),"Shraxl")</f>
        <v>Shraxl</v>
      </c>
    </row>
    <row r="7628">
      <c r="A7628" s="41" t="str">
        <f>IFERROR(__xludf.DUMMYFUNCTION("""COMPUTED_VALUE"""),"RSC007661")</f>
        <v>RSC007661</v>
      </c>
      <c r="B7628" s="41" t="str">
        <f>IFERROR(__xludf.DUMMYFUNCTION("""COMPUTED_VALUE"""),"JAJ")</f>
        <v>JAJ</v>
      </c>
    </row>
    <row r="7629">
      <c r="A7629" s="41" t="str">
        <f>IFERROR(__xludf.DUMMYFUNCTION("""COMPUTED_VALUE"""),"RSC007662")</f>
        <v>RSC007662</v>
      </c>
      <c r="B7629" s="41" t="str">
        <f>IFERROR(__xludf.DUMMYFUNCTION("""COMPUTED_VALUE"""),"Zzz Kaz3658")</f>
        <v>Zzz Kaz3658</v>
      </c>
    </row>
    <row r="7630">
      <c r="A7630" s="41" t="str">
        <f>IFERROR(__xludf.DUMMYFUNCTION("""COMPUTED_VALUE"""),"RSC007663")</f>
        <v>RSC007663</v>
      </c>
      <c r="B7630" s="41" t="str">
        <f>IFERROR(__xludf.DUMMYFUNCTION("""COMPUTED_VALUE"""),"Dastardly")</f>
        <v>Dastardly</v>
      </c>
    </row>
    <row r="7631">
      <c r="A7631" s="41" t="str">
        <f>IFERROR(__xludf.DUMMYFUNCTION("""COMPUTED_VALUE"""),"RSC007664")</f>
        <v>RSC007664</v>
      </c>
      <c r="B7631" s="41" t="str">
        <f>IFERROR(__xludf.DUMMYFUNCTION("""COMPUTED_VALUE"""),"Jaymazinnnn")</f>
        <v>Jaymazinnnn</v>
      </c>
    </row>
    <row r="7632">
      <c r="A7632" s="41" t="str">
        <f>IFERROR(__xludf.DUMMYFUNCTION("""COMPUTED_VALUE"""),"RSC007665")</f>
        <v>RSC007665</v>
      </c>
      <c r="B7632" s="41" t="str">
        <f>IFERROR(__xludf.DUMMYFUNCTION("""COMPUTED_VALUE"""),"ŘŷâňĞ")</f>
        <v>ŘŷâňĞ</v>
      </c>
    </row>
    <row r="7633">
      <c r="A7633" s="41" t="str">
        <f>IFERROR(__xludf.DUMMYFUNCTION("""COMPUTED_VALUE"""),"RSC007666")</f>
        <v>RSC007666</v>
      </c>
      <c r="B7633" s="41" t="str">
        <f>IFERROR(__xludf.DUMMYFUNCTION("""COMPUTED_VALUE"""),"WeAreTheAliens13")</f>
        <v>WeAreTheAliens13</v>
      </c>
    </row>
    <row r="7634">
      <c r="A7634" s="41" t="str">
        <f>IFERROR(__xludf.DUMMYFUNCTION("""COMPUTED_VALUE"""),"RSC007667")</f>
        <v>RSC007667</v>
      </c>
      <c r="B7634" s="41" t="str">
        <f>IFERROR(__xludf.DUMMYFUNCTION("""COMPUTED_VALUE"""),"illest")</f>
        <v>illest</v>
      </c>
    </row>
    <row r="7635">
      <c r="A7635" s="41" t="str">
        <f>IFERROR(__xludf.DUMMYFUNCTION("""COMPUTED_VALUE"""),"RSC007668")</f>
        <v>RSC007668</v>
      </c>
      <c r="B7635" s="41" t="str">
        <f>IFERROR(__xludf.DUMMYFUNCTION("""COMPUTED_VALUE"""),"Depth. !")</f>
        <v>Depth. !</v>
      </c>
    </row>
    <row r="7636">
      <c r="A7636" s="41" t="str">
        <f>IFERROR(__xludf.DUMMYFUNCTION("""COMPUTED_VALUE"""),"RSC007669")</f>
        <v>RSC007669</v>
      </c>
      <c r="B7636" s="41" t="str">
        <f>IFERROR(__xludf.DUMMYFUNCTION("""COMPUTED_VALUE"""),"vxllan")</f>
        <v>vxllan</v>
      </c>
    </row>
    <row r="7637">
      <c r="A7637" s="41" t="str">
        <f>IFERROR(__xludf.DUMMYFUNCTION("""COMPUTED_VALUE"""),"RSC007670")</f>
        <v>RSC007670</v>
      </c>
      <c r="B7637" s="41" t="str">
        <f>IFERROR(__xludf.DUMMYFUNCTION("""COMPUTED_VALUE"""),"Ma7")</f>
        <v>Ma7</v>
      </c>
    </row>
    <row r="7638">
      <c r="A7638" s="41" t="str">
        <f>IFERROR(__xludf.DUMMYFUNCTION("""COMPUTED_VALUE"""),"RSC007671")</f>
        <v>RSC007671</v>
      </c>
      <c r="B7638" s="41" t="str">
        <f>IFERROR(__xludf.DUMMYFUNCTION("""COMPUTED_VALUE"""),"たなcarsongotcake")</f>
        <v>たなcarsongotcake</v>
      </c>
    </row>
    <row r="7639">
      <c r="A7639" s="41" t="str">
        <f>IFERROR(__xludf.DUMMYFUNCTION("""COMPUTED_VALUE"""),"RSC007672")</f>
        <v>RSC007672</v>
      </c>
      <c r="B7639" s="41" t="str">
        <f>IFERROR(__xludf.DUMMYFUNCTION("""COMPUTED_VALUE"""),"Choppatop_YT")</f>
        <v>Choppatop_YT</v>
      </c>
    </row>
    <row r="7640">
      <c r="A7640" s="41" t="str">
        <f>IFERROR(__xludf.DUMMYFUNCTION("""COMPUTED_VALUE"""),"RSC007673")</f>
        <v>RSC007673</v>
      </c>
      <c r="B7640" s="41" t="str">
        <f>IFERROR(__xludf.DUMMYFUNCTION("""COMPUTED_VALUE"""),"Remy.pi")</f>
        <v>Remy.pi</v>
      </c>
    </row>
    <row r="7641">
      <c r="A7641" s="41" t="str">
        <f>IFERROR(__xludf.DUMMYFUNCTION("""COMPUTED_VALUE"""),"RSC007674")</f>
        <v>RSC007674</v>
      </c>
      <c r="B7641" s="41" t="str">
        <f>IFERROR(__xludf.DUMMYFUNCTION("""COMPUTED_VALUE"""),"Batman")</f>
        <v>Batman</v>
      </c>
    </row>
    <row r="7642">
      <c r="A7642" s="41" t="str">
        <f>IFERROR(__xludf.DUMMYFUNCTION("""COMPUTED_VALUE"""),"RSC007675")</f>
        <v>RSC007675</v>
      </c>
      <c r="B7642" s="41" t="str">
        <f>IFERROR(__xludf.DUMMYFUNCTION("""COMPUTED_VALUE"""),"Paronym")</f>
        <v>Paronym</v>
      </c>
    </row>
    <row r="7643">
      <c r="A7643" s="41" t="str">
        <f>IFERROR(__xludf.DUMMYFUNCTION("""COMPUTED_VALUE"""),"RSC007676")</f>
        <v>RSC007676</v>
      </c>
      <c r="B7643" s="41" t="str">
        <f>IFERROR(__xludf.DUMMYFUNCTION("""COMPUTED_VALUE"""),"Hunter")</f>
        <v>Hunter</v>
      </c>
    </row>
    <row r="7644">
      <c r="A7644" s="41" t="str">
        <f>IFERROR(__xludf.DUMMYFUNCTION("""COMPUTED_VALUE"""),"RSC007677")</f>
        <v>RSC007677</v>
      </c>
      <c r="B7644" s="41" t="str">
        <f>IFERROR(__xludf.DUMMYFUNCTION("""COMPUTED_VALUE"""),"Eevee")</f>
        <v>Eevee</v>
      </c>
    </row>
    <row r="7645">
      <c r="A7645" s="41" t="str">
        <f>IFERROR(__xludf.DUMMYFUNCTION("""COMPUTED_VALUE"""),"RSC007678")</f>
        <v>RSC007678</v>
      </c>
      <c r="B7645" s="41" t="str">
        <f>IFERROR(__xludf.DUMMYFUNCTION("""COMPUTED_VALUE"""),"SavedHawk")</f>
        <v>SavedHawk</v>
      </c>
    </row>
    <row r="7646">
      <c r="A7646" s="41" t="str">
        <f>IFERROR(__xludf.DUMMYFUNCTION("""COMPUTED_VALUE"""),"RSC007679")</f>
        <v>RSC007679</v>
      </c>
      <c r="B7646" s="41" t="str">
        <f>IFERROR(__xludf.DUMMYFUNCTION("""COMPUTED_VALUE"""),"Arc")</f>
        <v>Arc</v>
      </c>
    </row>
    <row r="7647">
      <c r="A7647" s="41" t="str">
        <f>IFERROR(__xludf.DUMMYFUNCTION("""COMPUTED_VALUE"""),"RSC007680")</f>
        <v>RSC007680</v>
      </c>
      <c r="B7647" s="41" t="str">
        <f>IFERROR(__xludf.DUMMYFUNCTION("""COMPUTED_VALUE"""),"Welson")</f>
        <v>Welson</v>
      </c>
    </row>
    <row r="7648">
      <c r="A7648" s="41" t="str">
        <f>IFERROR(__xludf.DUMMYFUNCTION("""COMPUTED_VALUE"""),"RSC007681")</f>
        <v>RSC007681</v>
      </c>
      <c r="B7648" s="41" t="str">
        <f>IFERROR(__xludf.DUMMYFUNCTION("""COMPUTED_VALUE"""),"TEK")</f>
        <v>TEK</v>
      </c>
    </row>
    <row r="7649">
      <c r="A7649" s="41" t="str">
        <f>IFERROR(__xludf.DUMMYFUNCTION("""COMPUTED_VALUE"""),"RSC007682")</f>
        <v>RSC007682</v>
      </c>
      <c r="B7649" s="41" t="str">
        <f>IFERROR(__xludf.DUMMYFUNCTION("""COMPUTED_VALUE"""),"hjbh83")</f>
        <v>hjbh83</v>
      </c>
    </row>
    <row r="7650">
      <c r="A7650" s="41" t="str">
        <f>IFERROR(__xludf.DUMMYFUNCTION("""COMPUTED_VALUE"""),"RSC007683")</f>
        <v>RSC007683</v>
      </c>
      <c r="B7650" s="41" t="str">
        <f>IFERROR(__xludf.DUMMYFUNCTION("""COMPUTED_VALUE"""),"Web")</f>
        <v>Web</v>
      </c>
    </row>
    <row r="7651">
      <c r="A7651" s="41" t="str">
        <f>IFERROR(__xludf.DUMMYFUNCTION("""COMPUTED_VALUE"""),"RSC007684")</f>
        <v>RSC007684</v>
      </c>
      <c r="B7651" s="41" t="str">
        <f>IFERROR(__xludf.DUMMYFUNCTION("""COMPUTED_VALUE"""),"JALN")</f>
        <v>JALN</v>
      </c>
    </row>
    <row r="7652">
      <c r="A7652" s="41" t="str">
        <f>IFERROR(__xludf.DUMMYFUNCTION("""COMPUTED_VALUE"""),"RSC007685")</f>
        <v>RSC007685</v>
      </c>
      <c r="B7652" s="41" t="str">
        <f>IFERROR(__xludf.DUMMYFUNCTION("""COMPUTED_VALUE"""),"griffrl.")</f>
        <v>griffrl.</v>
      </c>
    </row>
    <row r="7653">
      <c r="A7653" s="41" t="str">
        <f>IFERROR(__xludf.DUMMYFUNCTION("""COMPUTED_VALUE"""),"RSC007686")</f>
        <v>RSC007686</v>
      </c>
      <c r="B7653" s="41" t="str">
        <f>IFERROR(__xludf.DUMMYFUNCTION("""COMPUTED_VALUE"""),"WallyHutJr")</f>
        <v>WallyHutJr</v>
      </c>
    </row>
    <row r="7654">
      <c r="A7654" s="41" t="str">
        <f>IFERROR(__xludf.DUMMYFUNCTION("""COMPUTED_VALUE"""),"RSC007687")</f>
        <v>RSC007687</v>
      </c>
      <c r="B7654" s="41" t="str">
        <f>IFERROR(__xludf.DUMMYFUNCTION("""COMPUTED_VALUE"""),"SixT")</f>
        <v>SixT</v>
      </c>
    </row>
    <row r="7655">
      <c r="A7655" s="41" t="str">
        <f>IFERROR(__xludf.DUMMYFUNCTION("""COMPUTED_VALUE"""),"RSC007688")</f>
        <v>RSC007688</v>
      </c>
      <c r="B7655" s="41" t="str">
        <f>IFERROR(__xludf.DUMMYFUNCTION("""COMPUTED_VALUE"""),"Yami ^^")</f>
        <v>Yami ^^</v>
      </c>
    </row>
    <row r="7656">
      <c r="A7656" s="41" t="str">
        <f>IFERROR(__xludf.DUMMYFUNCTION("""COMPUTED_VALUE"""),"RSC007689")</f>
        <v>RSC007689</v>
      </c>
      <c r="B7656" s="41" t="str">
        <f>IFERROR(__xludf.DUMMYFUNCTION("""COMPUTED_VALUE"""),"bagwrk arc j")</f>
        <v>bagwrk arc j</v>
      </c>
    </row>
    <row r="7657">
      <c r="A7657" s="41" t="str">
        <f>IFERROR(__xludf.DUMMYFUNCTION("""COMPUTED_VALUE"""),"RSC007690")</f>
        <v>RSC007690</v>
      </c>
      <c r="B7657" s="41" t="str">
        <f>IFERROR(__xludf.DUMMYFUNCTION("""COMPUTED_VALUE"""),"SigmaLord Apex")</f>
        <v>SigmaLord Apex</v>
      </c>
    </row>
    <row r="7658">
      <c r="A7658" s="41" t="str">
        <f>IFERROR(__xludf.DUMMYFUNCTION("""COMPUTED_VALUE"""),"RSC007691")</f>
        <v>RSC007691</v>
      </c>
      <c r="B7658" s="41" t="str">
        <f>IFERROR(__xludf.DUMMYFUNCTION("""COMPUTED_VALUE"""),"exy")</f>
        <v>exy</v>
      </c>
    </row>
    <row r="7659">
      <c r="A7659" s="41" t="str">
        <f>IFERROR(__xludf.DUMMYFUNCTION("""COMPUTED_VALUE"""),"RSC007692")</f>
        <v>RSC007692</v>
      </c>
      <c r="B7659" s="41" t="str">
        <f>IFERROR(__xludf.DUMMYFUNCTION("""COMPUTED_VALUE"""),"Unc_DyLon")</f>
        <v>Unc_DyLon</v>
      </c>
    </row>
    <row r="7660">
      <c r="A7660" s="41" t="str">
        <f>IFERROR(__xludf.DUMMYFUNCTION("""COMPUTED_VALUE"""),"RSC007693")</f>
        <v>RSC007693</v>
      </c>
      <c r="B7660" s="41" t="str">
        <f>IFERROR(__xludf.DUMMYFUNCTION("""COMPUTED_VALUE"""),"Basicalllyyy")</f>
        <v>Basicalllyyy</v>
      </c>
    </row>
    <row r="7661">
      <c r="A7661" s="41" t="str">
        <f>IFERROR(__xludf.DUMMYFUNCTION("""COMPUTED_VALUE"""),"RSC007694")</f>
        <v>RSC007694</v>
      </c>
      <c r="B7661" s="41" t="str">
        <f>IFERROR(__xludf.DUMMYFUNCTION("""COMPUTED_VALUE"""),"zSmol")</f>
        <v>zSmol</v>
      </c>
    </row>
    <row r="7662">
      <c r="A7662" s="41" t="str">
        <f>IFERROR(__xludf.DUMMYFUNCTION("""COMPUTED_VALUE"""),"RSC007695")</f>
        <v>RSC007695</v>
      </c>
      <c r="B7662" s="41" t="str">
        <f>IFERROR(__xludf.DUMMYFUNCTION("""COMPUTED_VALUE"""),"Joe Rogan7722")</f>
        <v>Joe Rogan7722</v>
      </c>
    </row>
    <row r="7663">
      <c r="A7663" s="41" t="str">
        <f>IFERROR(__xludf.DUMMYFUNCTION("""COMPUTED_VALUE"""),"RSC007696")</f>
        <v>RSC007696</v>
      </c>
      <c r="B7663" s="41" t="str">
        <f>IFERROR(__xludf.DUMMYFUNCTION("""COMPUTED_VALUE"""),"Ayrham3r")</f>
        <v>Ayrham3r</v>
      </c>
    </row>
    <row r="7664">
      <c r="A7664" s="41" t="str">
        <f>IFERROR(__xludf.DUMMYFUNCTION("""COMPUTED_VALUE"""),"RSC007697")</f>
        <v>RSC007697</v>
      </c>
      <c r="B7664" s="41" t="str">
        <f>IFERROR(__xludf.DUMMYFUNCTION("""COMPUTED_VALUE"""),"Commander Lucas")</f>
        <v>Commander Lucas</v>
      </c>
    </row>
    <row r="7665">
      <c r="A7665" s="41" t="str">
        <f>IFERROR(__xludf.DUMMYFUNCTION("""COMPUTED_VALUE"""),"RSC007698")</f>
        <v>RSC007698</v>
      </c>
      <c r="B7665" s="41" t="str">
        <f>IFERROR(__xludf.DUMMYFUNCTION("""COMPUTED_VALUE"""),"tolkiengasm")</f>
        <v>tolkiengasm</v>
      </c>
    </row>
    <row r="7666">
      <c r="A7666" s="41" t="str">
        <f>IFERROR(__xludf.DUMMYFUNCTION("""COMPUTED_VALUE"""),"RSC007699")</f>
        <v>RSC007699</v>
      </c>
      <c r="B7666" s="41" t="str">
        <f>IFERROR(__xludf.DUMMYFUNCTION("""COMPUTED_VALUE"""),"Calichin")</f>
        <v>Calichin</v>
      </c>
    </row>
    <row r="7667">
      <c r="A7667" s="41" t="str">
        <f>IFERROR(__xludf.DUMMYFUNCTION("""COMPUTED_VALUE"""),"RSC007700")</f>
        <v>RSC007700</v>
      </c>
      <c r="B7667" s="41" t="str">
        <f>IFERROR(__xludf.DUMMYFUNCTION("""COMPUTED_VALUE"""),"ttvThis_be_AlphaSPARTA")</f>
        <v>ttvThis_be_AlphaSPARTA</v>
      </c>
    </row>
    <row r="7668">
      <c r="A7668" s="41" t="str">
        <f>IFERROR(__xludf.DUMMYFUNCTION("""COMPUTED_VALUE"""),"RSC007701")</f>
        <v>RSC007701</v>
      </c>
      <c r="B7668" s="41" t="str">
        <f>IFERROR(__xludf.DUMMYFUNCTION("""COMPUTED_VALUE"""),"Sizrl")</f>
        <v>Sizrl</v>
      </c>
    </row>
    <row r="7669">
      <c r="A7669" s="41" t="str">
        <f>IFERROR(__xludf.DUMMYFUNCTION("""COMPUTED_VALUE"""),"RSC007702")</f>
        <v>RSC007702</v>
      </c>
      <c r="B7669" s="41" t="str">
        <f>IFERROR(__xludf.DUMMYFUNCTION("""COMPUTED_VALUE"""),"nathan")</f>
        <v>nathan</v>
      </c>
    </row>
    <row r="7670">
      <c r="A7670" s="41" t="str">
        <f>IFERROR(__xludf.DUMMYFUNCTION("""COMPUTED_VALUE"""),"RSC007703")</f>
        <v>RSC007703</v>
      </c>
      <c r="B7670" s="41" t="str">
        <f>IFERROR(__xludf.DUMMYFUNCTION("""COMPUTED_VALUE"""),"NoMorePoppy")</f>
        <v>NoMorePoppy</v>
      </c>
    </row>
    <row r="7671">
      <c r="A7671" s="41" t="str">
        <f>IFERROR(__xludf.DUMMYFUNCTION("""COMPUTED_VALUE"""),"RSC007704")</f>
        <v>RSC007704</v>
      </c>
      <c r="B7671" s="41" t="str">
        <f>IFERROR(__xludf.DUMMYFUNCTION("""COMPUTED_VALUE"""),"TJFRYS")</f>
        <v>TJFRYS</v>
      </c>
    </row>
    <row r="7672">
      <c r="A7672" s="41" t="str">
        <f>IFERROR(__xludf.DUMMYFUNCTION("""COMPUTED_VALUE"""),"RSC007705")</f>
        <v>RSC007705</v>
      </c>
      <c r="B7672" s="41" t="str">
        <f>IFERROR(__xludf.DUMMYFUNCTION("""COMPUTED_VALUE"""),"XxSqUiGgaxX")</f>
        <v>XxSqUiGgaxX</v>
      </c>
    </row>
    <row r="7673">
      <c r="A7673" s="41" t="str">
        <f>IFERROR(__xludf.DUMMYFUNCTION("""COMPUTED_VALUE"""),"RSC007706")</f>
        <v>RSC007706</v>
      </c>
      <c r="B7673" s="41" t="str">
        <f>IFERROR(__xludf.DUMMYFUNCTION("""COMPUTED_VALUE"""),"Niles21lol12")</f>
        <v>Niles21lol12</v>
      </c>
    </row>
    <row r="7674">
      <c r="A7674" s="41" t="str">
        <f>IFERROR(__xludf.DUMMYFUNCTION("""COMPUTED_VALUE"""),"RSC007707")</f>
        <v>RSC007707</v>
      </c>
      <c r="B7674" s="41" t="str">
        <f>IFERROR(__xludf.DUMMYFUNCTION("""COMPUTED_VALUE"""),"Tombur26")</f>
        <v>Tombur26</v>
      </c>
    </row>
    <row r="7675">
      <c r="A7675" s="41" t="str">
        <f>IFERROR(__xludf.DUMMYFUNCTION("""COMPUTED_VALUE"""),"RSC007708")</f>
        <v>RSC007708</v>
      </c>
      <c r="B7675" s="41" t="str">
        <f>IFERROR(__xludf.DUMMYFUNCTION("""COMPUTED_VALUE"""),"Quin mE")</f>
        <v>Quin mE</v>
      </c>
    </row>
    <row r="7676">
      <c r="A7676" s="41" t="str">
        <f>IFERROR(__xludf.DUMMYFUNCTION("""COMPUTED_VALUE"""),"RSC007709")</f>
        <v>RSC007709</v>
      </c>
      <c r="B7676" s="41" t="str">
        <f>IFERROR(__xludf.DUMMYFUNCTION("""COMPUTED_VALUE"""),"KilluaXrl")</f>
        <v>KilluaXrl</v>
      </c>
    </row>
    <row r="7677">
      <c r="A7677" s="41" t="str">
        <f>IFERROR(__xludf.DUMMYFUNCTION("""COMPUTED_VALUE"""),"RSC007710")</f>
        <v>RSC007710</v>
      </c>
      <c r="B7677" s="41" t="str">
        <f>IFERROR(__xludf.DUMMYFUNCTION("""COMPUTED_VALUE"""),"Hoagię")</f>
        <v>Hoagię</v>
      </c>
    </row>
    <row r="7678">
      <c r="A7678" s="41" t="str">
        <f>IFERROR(__xludf.DUMMYFUNCTION("""COMPUTED_VALUE"""),"RSC007711")</f>
        <v>RSC007711</v>
      </c>
      <c r="B7678" s="41" t="str">
        <f>IFERROR(__xludf.DUMMYFUNCTION("""COMPUTED_VALUE"""),"helloitsjoey")</f>
        <v>helloitsjoey</v>
      </c>
    </row>
    <row r="7679">
      <c r="A7679" s="41" t="str">
        <f>IFERROR(__xludf.DUMMYFUNCTION("""COMPUTED_VALUE"""),"RSC007712")</f>
        <v>RSC007712</v>
      </c>
      <c r="B7679" s="41" t="str">
        <f>IFERROR(__xludf.DUMMYFUNCTION("""COMPUTED_VALUE"""),"aNdyj")</f>
        <v>aNdyj</v>
      </c>
    </row>
    <row r="7680">
      <c r="A7680" s="41" t="str">
        <f>IFERROR(__xludf.DUMMYFUNCTION("""COMPUTED_VALUE"""),"RSC007713")</f>
        <v>RSC007713</v>
      </c>
      <c r="B7680" s="41" t="str">
        <f>IFERROR(__xludf.DUMMYFUNCTION("""COMPUTED_VALUE"""),"LaBombaDeluXxe")</f>
        <v>LaBombaDeluXxe</v>
      </c>
    </row>
    <row r="7681">
      <c r="A7681" s="41" t="str">
        <f>IFERROR(__xludf.DUMMYFUNCTION("""COMPUTED_VALUE"""),"RSC007714")</f>
        <v>RSC007714</v>
      </c>
      <c r="B7681" s="41" t="str">
        <f>IFERROR(__xludf.DUMMYFUNCTION("""COMPUTED_VALUE"""),"MarkyAli")</f>
        <v>MarkyAli</v>
      </c>
    </row>
    <row r="7682">
      <c r="A7682" s="41" t="str">
        <f>IFERROR(__xludf.DUMMYFUNCTION("""COMPUTED_VALUE"""),"RSC007715")</f>
        <v>RSC007715</v>
      </c>
      <c r="B7682" s="41" t="str">
        <f>IFERROR(__xludf.DUMMYFUNCTION("""COMPUTED_VALUE"""),"zoar5668")</f>
        <v>zoar5668</v>
      </c>
    </row>
    <row r="7683">
      <c r="A7683" s="41" t="str">
        <f>IFERROR(__xludf.DUMMYFUNCTION("""COMPUTED_VALUE"""),"RSC007716")</f>
        <v>RSC007716</v>
      </c>
      <c r="B7683" s="41" t="str">
        <f>IFERROR(__xludf.DUMMYFUNCTION("""COMPUTED_VALUE"""),"Boston RL")</f>
        <v>Boston RL</v>
      </c>
    </row>
    <row r="7684">
      <c r="A7684" s="41" t="str">
        <f>IFERROR(__xludf.DUMMYFUNCTION("""COMPUTED_VALUE"""),"RSC007717")</f>
        <v>RSC007717</v>
      </c>
      <c r="B7684" s="41" t="str">
        <f>IFERROR(__xludf.DUMMYFUNCTION("""COMPUTED_VALUE"""),"Misch_isthebest")</f>
        <v>Misch_isthebest</v>
      </c>
    </row>
    <row r="7685">
      <c r="A7685" s="41" t="str">
        <f>IFERROR(__xludf.DUMMYFUNCTION("""COMPUTED_VALUE"""),"RSC007718")</f>
        <v>RSC007718</v>
      </c>
      <c r="B7685" s="41" t="str">
        <f>IFERROR(__xludf.DUMMYFUNCTION("""COMPUTED_VALUE"""),"dxge")</f>
        <v>dxge</v>
      </c>
    </row>
    <row r="7686">
      <c r="A7686" s="41" t="str">
        <f>IFERROR(__xludf.DUMMYFUNCTION("""COMPUTED_VALUE"""),"RSC007719")</f>
        <v>RSC007719</v>
      </c>
      <c r="B7686" s="41" t="str">
        <f>IFERROR(__xludf.DUMMYFUNCTION("""COMPUTED_VALUE"""),"Wrenyx")</f>
        <v>Wrenyx</v>
      </c>
    </row>
    <row r="7687">
      <c r="A7687" s="41" t="str">
        <f>IFERROR(__xludf.DUMMYFUNCTION("""COMPUTED_VALUE"""),"RSC007720")</f>
        <v>RSC007720</v>
      </c>
      <c r="B7687" s="41" t="str">
        <f>IFERROR(__xludf.DUMMYFUNCTION("""COMPUTED_VALUE"""),"trock")</f>
        <v>trock</v>
      </c>
    </row>
    <row r="7688">
      <c r="A7688" s="41" t="str">
        <f>IFERROR(__xludf.DUMMYFUNCTION("""COMPUTED_VALUE"""),"RSC007721")</f>
        <v>RSC007721</v>
      </c>
      <c r="B7688" s="41" t="str">
        <f>IFERROR(__xludf.DUMMYFUNCTION("""COMPUTED_VALUE"""),"Ace!")</f>
        <v>Ace!</v>
      </c>
    </row>
    <row r="7689">
      <c r="A7689" s="41" t="str">
        <f>IFERROR(__xludf.DUMMYFUNCTION("""COMPUTED_VALUE"""),"RSC007722")</f>
        <v>RSC007722</v>
      </c>
      <c r="B7689" s="41" t="str">
        <f>IFERROR(__xludf.DUMMYFUNCTION("""COMPUTED_VALUE"""),"Sihnez")</f>
        <v>Sihnez</v>
      </c>
    </row>
    <row r="7690">
      <c r="A7690" s="41" t="str">
        <f>IFERROR(__xludf.DUMMYFUNCTION("""COMPUTED_VALUE"""),"RSC007723")</f>
        <v>RSC007723</v>
      </c>
      <c r="B7690" s="41" t="str">
        <f>IFERROR(__xludf.DUMMYFUNCTION("""COMPUTED_VALUE"""),"AlexnderXV")</f>
        <v>AlexnderXV</v>
      </c>
    </row>
    <row r="7691">
      <c r="A7691" s="41" t="str">
        <f>IFERROR(__xludf.DUMMYFUNCTION("""COMPUTED_VALUE"""),"RSC007724")</f>
        <v>RSC007724</v>
      </c>
      <c r="B7691" s="41" t="str">
        <f>IFERROR(__xludf.DUMMYFUNCTION("""COMPUTED_VALUE"""),"julesb_20")</f>
        <v>julesb_20</v>
      </c>
    </row>
    <row r="7692">
      <c r="A7692" s="41" t="str">
        <f>IFERROR(__xludf.DUMMYFUNCTION("""COMPUTED_VALUE"""),"RSC007725")</f>
        <v>RSC007725</v>
      </c>
      <c r="B7692" s="41" t="str">
        <f>IFERROR(__xludf.DUMMYFUNCTION("""COMPUTED_VALUE"""),"Oreth.")</f>
        <v>Oreth.</v>
      </c>
    </row>
    <row r="7693">
      <c r="A7693" s="41" t="str">
        <f>IFERROR(__xludf.DUMMYFUNCTION("""COMPUTED_VALUE"""),"RSC007726")</f>
        <v>RSC007726</v>
      </c>
      <c r="B7693" s="41" t="str">
        <f>IFERROR(__xludf.DUMMYFUNCTION("""COMPUTED_VALUE"""),"Niwze")</f>
        <v>Niwze</v>
      </c>
    </row>
    <row r="7694">
      <c r="A7694" s="41" t="str">
        <f>IFERROR(__xludf.DUMMYFUNCTION("""COMPUTED_VALUE"""),"RSC007727")</f>
        <v>RSC007727</v>
      </c>
      <c r="B7694" s="41" t="str">
        <f>IFERROR(__xludf.DUMMYFUNCTION("""COMPUTED_VALUE"""),"Leppo")</f>
        <v>Leppo</v>
      </c>
    </row>
    <row r="7695">
      <c r="A7695" s="41" t="str">
        <f>IFERROR(__xludf.DUMMYFUNCTION("""COMPUTED_VALUE"""),"RSC007728")</f>
        <v>RSC007728</v>
      </c>
      <c r="B7695" s="41" t="str">
        <f>IFERROR(__xludf.DUMMYFUNCTION("""COMPUTED_VALUE"""),"Hessay")</f>
        <v>Hessay</v>
      </c>
    </row>
    <row r="7696">
      <c r="A7696" s="41" t="str">
        <f>IFERROR(__xludf.DUMMYFUNCTION("""COMPUTED_VALUE"""),"RSC007729")</f>
        <v>RSC007729</v>
      </c>
      <c r="B7696" s="41" t="str">
        <f>IFERROR(__xludf.DUMMYFUNCTION("""COMPUTED_VALUE"""),"Alfred Chapman")</f>
        <v>Alfred Chapman</v>
      </c>
    </row>
    <row r="7697">
      <c r="A7697" s="41" t="str">
        <f>IFERROR(__xludf.DUMMYFUNCTION("""COMPUTED_VALUE"""),"RSC007730")</f>
        <v>RSC007730</v>
      </c>
      <c r="B7697" s="41" t="str">
        <f>IFERROR(__xludf.DUMMYFUNCTION("""COMPUTED_VALUE"""),"Happydude53")</f>
        <v>Happydude53</v>
      </c>
    </row>
    <row r="7698">
      <c r="A7698" s="41" t="str">
        <f>IFERROR(__xludf.DUMMYFUNCTION("""COMPUTED_VALUE"""),"RSC007731")</f>
        <v>RSC007731</v>
      </c>
      <c r="B7698" s="41" t="str">
        <f>IFERROR(__xludf.DUMMYFUNCTION("""COMPUTED_VALUE"""),"TTV_goldiiiloks")</f>
        <v>TTV_goldiiiloks</v>
      </c>
    </row>
    <row r="7699">
      <c r="A7699" s="41" t="str">
        <f>IFERROR(__xludf.DUMMYFUNCTION("""COMPUTED_VALUE"""),"RSC007732")</f>
        <v>RSC007732</v>
      </c>
      <c r="B7699" s="41" t="str">
        <f>IFERROR(__xludf.DUMMYFUNCTION("""COMPUTED_VALUE"""),"hockeybrawler10")</f>
        <v>hockeybrawler10</v>
      </c>
    </row>
    <row r="7700">
      <c r="A7700" s="41" t="str">
        <f>IFERROR(__xludf.DUMMYFUNCTION("""COMPUTED_VALUE"""),"RSC007733")</f>
        <v>RSC007733</v>
      </c>
      <c r="B7700" s="41" t="str">
        <f>IFERROR(__xludf.DUMMYFUNCTION("""COMPUTED_VALUE"""),"syzEnVy")</f>
        <v>syzEnVy</v>
      </c>
    </row>
    <row r="7701">
      <c r="A7701" s="41" t="str">
        <f>IFERROR(__xludf.DUMMYFUNCTION("""COMPUTED_VALUE"""),"RSC007734")</f>
        <v>RSC007734</v>
      </c>
      <c r="B7701" s="41" t="str">
        <f>IFERROR(__xludf.DUMMYFUNCTION("""COMPUTED_VALUE"""),"RentedCandle521")</f>
        <v>RentedCandle521</v>
      </c>
    </row>
    <row r="7702">
      <c r="A7702" s="41" t="str">
        <f>IFERROR(__xludf.DUMMYFUNCTION("""COMPUTED_VALUE"""),"RSC007735")</f>
        <v>RSC007735</v>
      </c>
      <c r="B7702" s="41" t="str">
        <f>IFERROR(__xludf.DUMMYFUNCTION("""COMPUTED_VALUE"""),"ballistic !!")</f>
        <v>ballistic !!</v>
      </c>
    </row>
    <row r="7703">
      <c r="A7703" s="41" t="str">
        <f>IFERROR(__xludf.DUMMYFUNCTION("""COMPUTED_VALUE"""),"RSC007736")</f>
        <v>RSC007736</v>
      </c>
      <c r="B7703" s="41" t="str">
        <f>IFERROR(__xludf.DUMMYFUNCTION("""COMPUTED_VALUE"""),"frostys lil bro")</f>
        <v>frostys lil bro</v>
      </c>
    </row>
    <row r="7704">
      <c r="A7704" s="41" t="str">
        <f>IFERROR(__xludf.DUMMYFUNCTION("""COMPUTED_VALUE"""),"RSC007737")</f>
        <v>RSC007737</v>
      </c>
      <c r="B7704" s="41" t="str">
        <f>IFERROR(__xludf.DUMMYFUNCTION("""COMPUTED_VALUE"""),"xTactician1")</f>
        <v>xTactician1</v>
      </c>
    </row>
    <row r="7705">
      <c r="A7705" s="41" t="str">
        <f>IFERROR(__xludf.DUMMYFUNCTION("""COMPUTED_VALUE"""),"RSC007738")</f>
        <v>RSC007738</v>
      </c>
      <c r="B7705" s="41" t="str">
        <f>IFERROR(__xludf.DUMMYFUNCTION("""COMPUTED_VALUE"""),"XBrainyX")</f>
        <v>XBrainyX</v>
      </c>
    </row>
    <row r="7706">
      <c r="A7706" s="41" t="str">
        <f>IFERROR(__xludf.DUMMYFUNCTION("""COMPUTED_VALUE"""),"RSC007739")</f>
        <v>RSC007739</v>
      </c>
      <c r="B7706" s="41" t="str">
        <f>IFERROR(__xludf.DUMMYFUNCTION("""COMPUTED_VALUE"""),"Nyx")</f>
        <v>Nyx</v>
      </c>
    </row>
    <row r="7707">
      <c r="A7707" s="41" t="str">
        <f>IFERROR(__xludf.DUMMYFUNCTION("""COMPUTED_VALUE"""),"RSC007740")</f>
        <v>RSC007740</v>
      </c>
      <c r="B7707" s="41" t="str">
        <f>IFERROR(__xludf.DUMMYFUNCTION("""COMPUTED_VALUE"""),"Gabb Sweats")</f>
        <v>Gabb Sweats</v>
      </c>
    </row>
    <row r="7708">
      <c r="A7708" s="41" t="str">
        <f>IFERROR(__xludf.DUMMYFUNCTION("""COMPUTED_VALUE"""),"RSC007741")</f>
        <v>RSC007741</v>
      </c>
      <c r="B7708" s="41" t="str">
        <f>IFERROR(__xludf.DUMMYFUNCTION("""COMPUTED_VALUE"""),"NuKEy")</f>
        <v>NuKEy</v>
      </c>
    </row>
    <row r="7709">
      <c r="A7709" s="41" t="str">
        <f>IFERROR(__xludf.DUMMYFUNCTION("""COMPUTED_VALUE"""),"RSC007742")</f>
        <v>RSC007742</v>
      </c>
      <c r="B7709" s="41" t="str">
        <f>IFERROR(__xludf.DUMMYFUNCTION("""COMPUTED_VALUE"""),"Geo_pc")</f>
        <v>Geo_pc</v>
      </c>
    </row>
    <row r="7710">
      <c r="A7710" s="41" t="str">
        <f>IFERROR(__xludf.DUMMYFUNCTION("""COMPUTED_VALUE"""),"RSC007743")</f>
        <v>RSC007743</v>
      </c>
      <c r="B7710" s="41" t="str">
        <f>IFERROR(__xludf.DUMMYFUNCTION("""COMPUTED_VALUE"""),"Tustern")</f>
        <v>Tustern</v>
      </c>
    </row>
    <row r="7711">
      <c r="A7711" s="41" t="str">
        <f>IFERROR(__xludf.DUMMYFUNCTION("""COMPUTED_VALUE"""),"RSC007744")</f>
        <v>RSC007744</v>
      </c>
      <c r="B7711" s="41" t="str">
        <f>IFERROR(__xludf.DUMMYFUNCTION("""COMPUTED_VALUE"""),"RedoxSZN")</f>
        <v>RedoxSZN</v>
      </c>
    </row>
    <row r="7712">
      <c r="A7712" s="41" t="str">
        <f>IFERROR(__xludf.DUMMYFUNCTION("""COMPUTED_VALUE"""),"RSC007745")</f>
        <v>RSC007745</v>
      </c>
      <c r="B7712" s="41" t="str">
        <f>IFERROR(__xludf.DUMMYFUNCTION("""COMPUTED_VALUE"""),"Oso Cinco")</f>
        <v>Oso Cinco</v>
      </c>
    </row>
    <row r="7713">
      <c r="A7713" s="41" t="str">
        <f>IFERROR(__xludf.DUMMYFUNCTION("""COMPUTED_VALUE"""),"RSC007746")</f>
        <v>RSC007746</v>
      </c>
      <c r="B7713" s="41" t="str">
        <f>IFERROR(__xludf.DUMMYFUNCTION("""COMPUTED_VALUE"""),"Flashasaurus")</f>
        <v>Flashasaurus</v>
      </c>
    </row>
    <row r="7714">
      <c r="A7714" s="41" t="str">
        <f>IFERROR(__xludf.DUMMYFUNCTION("""COMPUTED_VALUE"""),"RSC007747")</f>
        <v>RSC007747</v>
      </c>
      <c r="B7714" s="41" t="str">
        <f>IFERROR(__xludf.DUMMYFUNCTION("""COMPUTED_VALUE"""),"redemptionking1")</f>
        <v>redemptionking1</v>
      </c>
    </row>
    <row r="7715">
      <c r="A7715" s="41" t="str">
        <f>IFERROR(__xludf.DUMMYFUNCTION("""COMPUTED_VALUE"""),"RSC007748")</f>
        <v>RSC007748</v>
      </c>
      <c r="B7715" s="41" t="str">
        <f>IFERROR(__xludf.DUMMYFUNCTION("""COMPUTED_VALUE"""),"codykansas")</f>
        <v>codykansas</v>
      </c>
    </row>
    <row r="7716">
      <c r="A7716" s="41" t="str">
        <f>IFERROR(__xludf.DUMMYFUNCTION("""COMPUTED_VALUE"""),"RSC007749")</f>
        <v>RSC007749</v>
      </c>
      <c r="B7716" s="41" t="str">
        <f>IFERROR(__xludf.DUMMYFUNCTION("""COMPUTED_VALUE"""),"Shooter Magoo")</f>
        <v>Shooter Magoo</v>
      </c>
    </row>
    <row r="7717">
      <c r="A7717" s="41" t="str">
        <f>IFERROR(__xludf.DUMMYFUNCTION("""COMPUTED_VALUE"""),"RSC007750")</f>
        <v>RSC007750</v>
      </c>
      <c r="B7717" s="41" t="str">
        <f>IFERROR(__xludf.DUMMYFUNCTION("""COMPUTED_VALUE"""),"torva")</f>
        <v>torva</v>
      </c>
    </row>
    <row r="7718">
      <c r="A7718" s="41" t="str">
        <f>IFERROR(__xludf.DUMMYFUNCTION("""COMPUTED_VALUE"""),"RSC007751")</f>
        <v>RSC007751</v>
      </c>
      <c r="B7718" s="41" t="str">
        <f>IFERROR(__xludf.DUMMYFUNCTION("""COMPUTED_VALUE"""),"GingieAP")</f>
        <v>GingieAP</v>
      </c>
    </row>
    <row r="7719">
      <c r="A7719" s="41" t="str">
        <f>IFERROR(__xludf.DUMMYFUNCTION("""COMPUTED_VALUE"""),"RSC007752")</f>
        <v>RSC007752</v>
      </c>
      <c r="B7719" s="41" t="str">
        <f>IFERROR(__xludf.DUMMYFUNCTION("""COMPUTED_VALUE"""),"Papasweetmeat")</f>
        <v>Papasweetmeat</v>
      </c>
    </row>
    <row r="7720">
      <c r="A7720" s="41" t="str">
        <f>IFERROR(__xludf.DUMMYFUNCTION("""COMPUTED_VALUE"""),"RSC007753")</f>
        <v>RSC007753</v>
      </c>
      <c r="B7720" s="41" t="str">
        <f>IFERROR(__xludf.DUMMYFUNCTION("""COMPUTED_VALUE"""),"Chromebook")</f>
        <v>Chromebook</v>
      </c>
    </row>
    <row r="7721">
      <c r="A7721" s="41" t="str">
        <f>IFERROR(__xludf.DUMMYFUNCTION("""COMPUTED_VALUE"""),"RSC007754")</f>
        <v>RSC007754</v>
      </c>
      <c r="B7721" s="41" t="str">
        <f>IFERROR(__xludf.DUMMYFUNCTION("""COMPUTED_VALUE"""),"Jamozzz")</f>
        <v>Jamozzz</v>
      </c>
    </row>
    <row r="7722">
      <c r="A7722" s="41" t="str">
        <f>IFERROR(__xludf.DUMMYFUNCTION("""COMPUTED_VALUE"""),"RSC007756")</f>
        <v>RSC007756</v>
      </c>
      <c r="B7722" s="41" t="str">
        <f>IFERROR(__xludf.DUMMYFUNCTION("""COMPUTED_VALUE"""),"Taunt")</f>
        <v>Taunt</v>
      </c>
    </row>
    <row r="7723">
      <c r="A7723" s="41" t="str">
        <f>IFERROR(__xludf.DUMMYFUNCTION("""COMPUTED_VALUE"""),"RSC007757")</f>
        <v>RSC007757</v>
      </c>
      <c r="B7723" s="41" t="str">
        <f>IFERROR(__xludf.DUMMYFUNCTION("""COMPUTED_VALUE"""),"dottcomm.")</f>
        <v>dottcomm.</v>
      </c>
    </row>
    <row r="7724">
      <c r="A7724" s="41" t="str">
        <f>IFERROR(__xludf.DUMMYFUNCTION("""COMPUTED_VALUE"""),"RSC007758")</f>
        <v>RSC007758</v>
      </c>
      <c r="B7724" s="41" t="str">
        <f>IFERROR(__xludf.DUMMYFUNCTION("""COMPUTED_VALUE"""),"Ramen.numerals01")</f>
        <v>Ramen.numerals01</v>
      </c>
    </row>
    <row r="7725">
      <c r="A7725" s="41" t="str">
        <f>IFERROR(__xludf.DUMMYFUNCTION("""COMPUTED_VALUE"""),"RSC007759")</f>
        <v>RSC007759</v>
      </c>
      <c r="B7725" s="41" t="str">
        <f>IFERROR(__xludf.DUMMYFUNCTION("""COMPUTED_VALUE"""),"Ben Done Ya")</f>
        <v>Ben Done Ya</v>
      </c>
    </row>
    <row r="7726">
      <c r="A7726" s="41" t="str">
        <f>IFERROR(__xludf.DUMMYFUNCTION("""COMPUTED_VALUE"""),"RSC007760")</f>
        <v>RSC007760</v>
      </c>
      <c r="B7726" s="41" t="str">
        <f>IFERROR(__xludf.DUMMYFUNCTION("""COMPUTED_VALUE"""),"BossMan")</f>
        <v>BossMan</v>
      </c>
    </row>
    <row r="7727">
      <c r="A7727" s="41" t="str">
        <f>IFERROR(__xludf.DUMMYFUNCTION("""COMPUTED_VALUE"""),"RSC007761")</f>
        <v>RSC007761</v>
      </c>
      <c r="B7727" s="41" t="str">
        <f>IFERROR(__xludf.DUMMYFUNCTION("""COMPUTED_VALUE"""),"kyal-")</f>
        <v>kyal-</v>
      </c>
    </row>
    <row r="7728">
      <c r="A7728" s="41" t="str">
        <f>IFERROR(__xludf.DUMMYFUNCTION("""COMPUTED_VALUE"""),"RSC007762")</f>
        <v>RSC007762</v>
      </c>
      <c r="B7728" s="41" t="str">
        <f>IFERROR(__xludf.DUMMYFUNCTION("""COMPUTED_VALUE"""),"ッMYTHIC ッ")</f>
        <v>ッMYTHIC ッ</v>
      </c>
    </row>
    <row r="7729">
      <c r="A7729" s="41" t="str">
        <f>IFERROR(__xludf.DUMMYFUNCTION("""COMPUTED_VALUE"""),"RSC007763")</f>
        <v>RSC007763</v>
      </c>
      <c r="B7729" s="41" t="str">
        <f>IFERROR(__xludf.DUMMYFUNCTION("""COMPUTED_VALUE"""),"zKoot3")</f>
        <v>zKoot3</v>
      </c>
    </row>
    <row r="7730">
      <c r="A7730" s="41" t="str">
        <f>IFERROR(__xludf.DUMMYFUNCTION("""COMPUTED_VALUE"""),"RSC007764")</f>
        <v>RSC007764</v>
      </c>
      <c r="B7730" s="41" t="str">
        <f>IFERROR(__xludf.DUMMYFUNCTION("""COMPUTED_VALUE"""),"Flowstate Vibes")</f>
        <v>Flowstate Vibes</v>
      </c>
    </row>
    <row r="7731">
      <c r="A7731" s="41" t="str">
        <f>IFERROR(__xludf.DUMMYFUNCTION("""COMPUTED_VALUE"""),"RSC007765")</f>
        <v>RSC007765</v>
      </c>
      <c r="B7731" s="41" t="str">
        <f>IFERROR(__xludf.DUMMYFUNCTION("""COMPUTED_VALUE"""),"ImW0LFMAN")</f>
        <v>ImW0LFMAN</v>
      </c>
    </row>
    <row r="7732">
      <c r="A7732" s="41" t="str">
        <f>IFERROR(__xludf.DUMMYFUNCTION("""COMPUTED_VALUE"""),"RSC007766")</f>
        <v>RSC007766</v>
      </c>
      <c r="B7732" s="41" t="str">
        <f>IFERROR(__xludf.DUMMYFUNCTION("""COMPUTED_VALUE"""),"cayduh")</f>
        <v>cayduh</v>
      </c>
    </row>
    <row r="7733">
      <c r="A7733" s="41" t="str">
        <f>IFERROR(__xludf.DUMMYFUNCTION("""COMPUTED_VALUE"""),"RSC007767")</f>
        <v>RSC007767</v>
      </c>
      <c r="B7733" s="41" t="str">
        <f>IFERROR(__xludf.DUMMYFUNCTION("""COMPUTED_VALUE"""),"SNOWIS")</f>
        <v>SNOWIS</v>
      </c>
    </row>
    <row r="7734">
      <c r="A7734" s="41" t="str">
        <f>IFERROR(__xludf.DUMMYFUNCTION("""COMPUTED_VALUE"""),"RSC007768")</f>
        <v>RSC007768</v>
      </c>
      <c r="B7734" s="41" t="str">
        <f>IFERROR(__xludf.DUMMYFUNCTION("""COMPUTED_VALUE"""),"Sm0kEsOut")</f>
        <v>Sm0kEsOut</v>
      </c>
    </row>
    <row r="7735">
      <c r="A7735" s="41" t="str">
        <f>IFERROR(__xludf.DUMMYFUNCTION("""COMPUTED_VALUE"""),"RSC007769")</f>
        <v>RSC007769</v>
      </c>
      <c r="B7735" s="41" t="str">
        <f>IFERROR(__xludf.DUMMYFUNCTION("""COMPUTED_VALUE"""),"ariestar1")</f>
        <v>ariestar1</v>
      </c>
    </row>
    <row r="7736">
      <c r="A7736" s="41" t="str">
        <f>IFERROR(__xludf.DUMMYFUNCTION("""COMPUTED_VALUE"""),"RSC007770")</f>
        <v>RSC007770</v>
      </c>
      <c r="B7736" s="41" t="str">
        <f>IFERROR(__xludf.DUMMYFUNCTION("""COMPUTED_VALUE"""),"jxshi")</f>
        <v>jxshi</v>
      </c>
    </row>
    <row r="7737">
      <c r="A7737" s="41" t="str">
        <f>IFERROR(__xludf.DUMMYFUNCTION("""COMPUTED_VALUE"""),"RSC007771")</f>
        <v>RSC007771</v>
      </c>
      <c r="B7737" s="41" t="str">
        <f>IFERROR(__xludf.DUMMYFUNCTION("""COMPUTED_VALUE"""),"JDGipson")</f>
        <v>JDGipson</v>
      </c>
    </row>
    <row r="7738">
      <c r="A7738" s="41" t="str">
        <f>IFERROR(__xludf.DUMMYFUNCTION("""COMPUTED_VALUE"""),"RSC007772")</f>
        <v>RSC007772</v>
      </c>
      <c r="B7738" s="41" t="str">
        <f>IFERROR(__xludf.DUMMYFUNCTION("""COMPUTED_VALUE"""),"gothboiclique--")</f>
        <v>gothboiclique--</v>
      </c>
    </row>
    <row r="7739">
      <c r="A7739" s="41" t="str">
        <f>IFERROR(__xludf.DUMMYFUNCTION("""COMPUTED_VALUE"""),"RSC007773")</f>
        <v>RSC007773</v>
      </c>
      <c r="B7739" s="41" t="str">
        <f>IFERROR(__xludf.DUMMYFUNCTION("""COMPUTED_VALUE"""),"lNobodyI")</f>
        <v>lNobodyI</v>
      </c>
    </row>
    <row r="7740">
      <c r="A7740" s="41" t="str">
        <f>IFERROR(__xludf.DUMMYFUNCTION("""COMPUTED_VALUE"""),"RSC007774")</f>
        <v>RSC007774</v>
      </c>
      <c r="B7740" s="41" t="str">
        <f>IFERROR(__xludf.DUMMYFUNCTION("""COMPUTED_VALUE"""),"Il Rogue lI")</f>
        <v>Il Rogue lI</v>
      </c>
    </row>
    <row r="7741">
      <c r="A7741" s="41" t="str">
        <f>IFERROR(__xludf.DUMMYFUNCTION("""COMPUTED_VALUE"""),"RSC007775")</f>
        <v>RSC007775</v>
      </c>
      <c r="B7741" s="41" t="str">
        <f>IFERROR(__xludf.DUMMYFUNCTION("""COMPUTED_VALUE"""),"BigCountry")</f>
        <v>BigCountry</v>
      </c>
    </row>
    <row r="7742">
      <c r="A7742" s="41" t="str">
        <f>IFERROR(__xludf.DUMMYFUNCTION("""COMPUTED_VALUE"""),"RSC007776")</f>
        <v>RSC007776</v>
      </c>
      <c r="B7742" s="41" t="str">
        <f>IFERROR(__xludf.DUMMYFUNCTION("""COMPUTED_VALUE"""),"撒諾斯")</f>
        <v>撒諾斯</v>
      </c>
    </row>
    <row r="7743">
      <c r="A7743" s="41" t="str">
        <f>IFERROR(__xludf.DUMMYFUNCTION("""COMPUTED_VALUE"""),"RSC007777")</f>
        <v>RSC007777</v>
      </c>
      <c r="B7743" s="41" t="str">
        <f>IFERROR(__xludf.DUMMYFUNCTION("""COMPUTED_VALUE"""),"Neyonz シ")</f>
        <v>Neyonz シ</v>
      </c>
    </row>
    <row r="7744">
      <c r="A7744" s="41" t="str">
        <f>IFERROR(__xludf.DUMMYFUNCTION("""COMPUTED_VALUE"""),"RSC007778")</f>
        <v>RSC007778</v>
      </c>
      <c r="B7744" s="41" t="str">
        <f>IFERROR(__xludf.DUMMYFUNCTION("""COMPUTED_VALUE"""),"ヒャミ")</f>
        <v>ヒャミ</v>
      </c>
    </row>
    <row r="7745">
      <c r="A7745" s="41" t="str">
        <f>IFERROR(__xludf.DUMMYFUNCTION("""COMPUTED_VALUE"""),"RSC007779")</f>
        <v>RSC007779</v>
      </c>
      <c r="B7745" s="41" t="str">
        <f>IFERROR(__xludf.DUMMYFUNCTION("""COMPUTED_VALUE"""),"TTV_Awesome300")</f>
        <v>TTV_Awesome300</v>
      </c>
    </row>
    <row r="7746">
      <c r="A7746" s="41" t="str">
        <f>IFERROR(__xludf.DUMMYFUNCTION("""COMPUTED_VALUE"""),"RSC007780")</f>
        <v>RSC007780</v>
      </c>
      <c r="B7746" s="41" t="str">
        <f>IFERROR(__xludf.DUMMYFUNCTION("""COMPUTED_VALUE"""),"TG1")</f>
        <v>TG1</v>
      </c>
    </row>
    <row r="7747">
      <c r="A7747" s="41" t="str">
        <f>IFERROR(__xludf.DUMMYFUNCTION("""COMPUTED_VALUE"""),"RSC007781")</f>
        <v>RSC007781</v>
      </c>
      <c r="B7747" s="41" t="str">
        <f>IFERROR(__xludf.DUMMYFUNCTION("""COMPUTED_VALUE"""),"css08_")</f>
        <v>css08_</v>
      </c>
    </row>
    <row r="7748">
      <c r="A7748" s="41" t="str">
        <f>IFERROR(__xludf.DUMMYFUNCTION("""COMPUTED_VALUE"""),"RSC007782")</f>
        <v>RSC007782</v>
      </c>
      <c r="B7748" s="41" t="str">
        <f>IFERROR(__xludf.DUMMYFUNCTION("""COMPUTED_VALUE"""),"slaker45")</f>
        <v>slaker45</v>
      </c>
    </row>
    <row r="7749">
      <c r="A7749" s="41" t="str">
        <f>IFERROR(__xludf.DUMMYFUNCTION("""COMPUTED_VALUE"""),"RSC007783")</f>
        <v>RSC007783</v>
      </c>
      <c r="B7749" s="41" t="str">
        <f>IFERROR(__xludf.DUMMYFUNCTION("""COMPUTED_VALUE"""),"Eon .")</f>
        <v>Eon .</v>
      </c>
    </row>
    <row r="7750">
      <c r="A7750" s="41" t="str">
        <f>IFERROR(__xludf.DUMMYFUNCTION("""COMPUTED_VALUE"""),"RSC007784")</f>
        <v>RSC007784</v>
      </c>
      <c r="B7750" s="41" t="str">
        <f>IFERROR(__xludf.DUMMYFUNCTION("""COMPUTED_VALUE"""),"twitch RBTHEEG1")</f>
        <v>twitch RBTHEEG1</v>
      </c>
    </row>
    <row r="7751">
      <c r="A7751" s="41" t="str">
        <f>IFERROR(__xludf.DUMMYFUNCTION("""COMPUTED_VALUE"""),"RSC007785")</f>
        <v>RSC007785</v>
      </c>
      <c r="B7751" s="41" t="str">
        <f>IFERROR(__xludf.DUMMYFUNCTION("""COMPUTED_VALUE"""),"Akoski")</f>
        <v>Akoski</v>
      </c>
    </row>
    <row r="7752">
      <c r="A7752" s="41" t="str">
        <f>IFERROR(__xludf.DUMMYFUNCTION("""COMPUTED_VALUE"""),"RSC007786")</f>
        <v>RSC007786</v>
      </c>
      <c r="B7752" s="41" t="str">
        <f>IFERROR(__xludf.DUMMYFUNCTION("""COMPUTED_VALUE"""),"zee")</f>
        <v>zee</v>
      </c>
    </row>
    <row r="7753">
      <c r="A7753" s="41" t="str">
        <f>IFERROR(__xludf.DUMMYFUNCTION("""COMPUTED_VALUE"""),"RSC007787")</f>
        <v>RSC007787</v>
      </c>
      <c r="B7753" s="41" t="str">
        <f>IFERROR(__xludf.DUMMYFUNCTION("""COMPUTED_VALUE"""),"Enriko")</f>
        <v>Enriko</v>
      </c>
    </row>
    <row r="7754">
      <c r="A7754" s="41" t="str">
        <f>IFERROR(__xludf.DUMMYFUNCTION("""COMPUTED_VALUE"""),"RSC007788")</f>
        <v>RSC007788</v>
      </c>
      <c r="B7754" s="41" t="str">
        <f>IFERROR(__xludf.DUMMYFUNCTION("""COMPUTED_VALUE"""),"british_")</f>
        <v>british_</v>
      </c>
    </row>
    <row r="7755">
      <c r="A7755" s="41" t="str">
        <f>IFERROR(__xludf.DUMMYFUNCTION("""COMPUTED_VALUE"""),"RSC007789")</f>
        <v>RSC007789</v>
      </c>
      <c r="B7755" s="41" t="str">
        <f>IFERROR(__xludf.DUMMYFUNCTION("""COMPUTED_VALUE"""),"esprr der beste")</f>
        <v>esprr der beste</v>
      </c>
    </row>
    <row r="7756">
      <c r="A7756" s="41" t="str">
        <f>IFERROR(__xludf.DUMMYFUNCTION("""COMPUTED_VALUE"""),"RSC007790")</f>
        <v>RSC007790</v>
      </c>
      <c r="B7756" s="41" t="str">
        <f>IFERROR(__xludf.DUMMYFUNCTION("""COMPUTED_VALUE"""),"Älëxx.")</f>
        <v>Älëxx.</v>
      </c>
    </row>
    <row r="7757">
      <c r="A7757" s="41" t="str">
        <f>IFERROR(__xludf.DUMMYFUNCTION("""COMPUTED_VALUE"""),"RSC007791")</f>
        <v>RSC007791</v>
      </c>
      <c r="B7757" s="41" t="str">
        <f>IFERROR(__xludf.DUMMYFUNCTION("""COMPUTED_VALUE"""),"SloppySlamapus")</f>
        <v>SloppySlamapus</v>
      </c>
    </row>
    <row r="7758">
      <c r="A7758" s="41" t="str">
        <f>IFERROR(__xludf.DUMMYFUNCTION("""COMPUTED_VALUE"""),"RSC007792")</f>
        <v>RSC007792</v>
      </c>
      <c r="B7758" s="41" t="str">
        <f>IFERROR(__xludf.DUMMYFUNCTION("""COMPUTED_VALUE"""),"BuyFijiWater")</f>
        <v>BuyFijiWater</v>
      </c>
    </row>
    <row r="7759">
      <c r="A7759" s="41" t="str">
        <f>IFERROR(__xludf.DUMMYFUNCTION("""COMPUTED_VALUE"""),"RSC007793")</f>
        <v>RSC007793</v>
      </c>
      <c r="B7759" s="41" t="str">
        <f>IFERROR(__xludf.DUMMYFUNCTION("""COMPUTED_VALUE"""),"Ninja1029.")</f>
        <v>Ninja1029.</v>
      </c>
    </row>
    <row r="7760">
      <c r="A7760" s="41" t="str">
        <f>IFERROR(__xludf.DUMMYFUNCTION("""COMPUTED_VALUE"""),"RSC007794")</f>
        <v>RSC007794</v>
      </c>
      <c r="B7760" s="41" t="str">
        <f>IFERROR(__xludf.DUMMYFUNCTION("""COMPUTED_VALUE"""),"I_Am_Chainsaw")</f>
        <v>I_Am_Chainsaw</v>
      </c>
    </row>
    <row r="7761">
      <c r="A7761" s="41" t="str">
        <f>IFERROR(__xludf.DUMMYFUNCTION("""COMPUTED_VALUE"""),"RSC007795")</f>
        <v>RSC007795</v>
      </c>
      <c r="B7761" s="41" t="str">
        <f>IFERROR(__xludf.DUMMYFUNCTION("""COMPUTED_VALUE"""),"Gizmeaux")</f>
        <v>Gizmeaux</v>
      </c>
    </row>
    <row r="7762">
      <c r="A7762" s="41" t="str">
        <f>IFERROR(__xludf.DUMMYFUNCTION("""COMPUTED_VALUE"""),"RSC007796")</f>
        <v>RSC007796</v>
      </c>
      <c r="B7762" s="41" t="str">
        <f>IFERROR(__xludf.DUMMYFUNCTION("""COMPUTED_VALUE"""),"Asephos")</f>
        <v>Asephos</v>
      </c>
    </row>
    <row r="7763">
      <c r="A7763" s="41" t="str">
        <f>IFERROR(__xludf.DUMMYFUNCTION("""COMPUTED_VALUE"""),"RSC007797")</f>
        <v>RSC007797</v>
      </c>
      <c r="B7763" s="41" t="str">
        <f>IFERROR(__xludf.DUMMYFUNCTION("""COMPUTED_VALUE"""),"ON1")</f>
        <v>ON1</v>
      </c>
    </row>
    <row r="7764">
      <c r="A7764" s="41" t="str">
        <f>IFERROR(__xludf.DUMMYFUNCTION("""COMPUTED_VALUE"""),"RSC007798")</f>
        <v>RSC007798</v>
      </c>
      <c r="B7764" s="41" t="str">
        <f>IFERROR(__xludf.DUMMYFUNCTION("""COMPUTED_VALUE"""),"flaw_rl")</f>
        <v>flaw_rl</v>
      </c>
    </row>
    <row r="7765">
      <c r="A7765" s="41" t="str">
        <f>IFERROR(__xludf.DUMMYFUNCTION("""COMPUTED_VALUE"""),"RSC007799")</f>
        <v>RSC007799</v>
      </c>
      <c r="B7765" s="41" t="str">
        <f>IFERROR(__xludf.DUMMYFUNCTION("""COMPUTED_VALUE"""),"DJstriker211")</f>
        <v>DJstriker211</v>
      </c>
    </row>
    <row r="7766">
      <c r="A7766" s="41" t="str">
        <f>IFERROR(__xludf.DUMMYFUNCTION("""COMPUTED_VALUE"""),"RSC007800")</f>
        <v>RSC007800</v>
      </c>
      <c r="B7766" s="41" t="str">
        <f>IFERROR(__xludf.DUMMYFUNCTION("""COMPUTED_VALUE"""),"K9_49Bean")</f>
        <v>K9_49Bean</v>
      </c>
    </row>
    <row r="7767">
      <c r="A7767" s="41" t="str">
        <f>IFERROR(__xludf.DUMMYFUNCTION("""COMPUTED_VALUE"""),"RSC007801")</f>
        <v>RSC007801</v>
      </c>
      <c r="B7767" s="41" t="str">
        <f>IFERROR(__xludf.DUMMYFUNCTION("""COMPUTED_VALUE"""),"Farrowcs")</f>
        <v>Farrowcs</v>
      </c>
    </row>
    <row r="7768">
      <c r="A7768" s="41" t="str">
        <f>IFERROR(__xludf.DUMMYFUNCTION("""COMPUTED_VALUE"""),"RSC007802")</f>
        <v>RSC007802</v>
      </c>
      <c r="B7768" s="41" t="str">
        <f>IFERROR(__xludf.DUMMYFUNCTION("""COMPUTED_VALUE"""),"Tonka")</f>
        <v>Tonka</v>
      </c>
    </row>
    <row r="7769">
      <c r="A7769" s="41" t="str">
        <f>IFERROR(__xludf.DUMMYFUNCTION("""COMPUTED_VALUE"""),"RSC007803")</f>
        <v>RSC007803</v>
      </c>
      <c r="B7769" s="41" t="str">
        <f>IFERROR(__xludf.DUMMYFUNCTION("""COMPUTED_VALUE"""),"Mambo")</f>
        <v>Mambo</v>
      </c>
    </row>
    <row r="7770">
      <c r="A7770" s="41" t="str">
        <f>IFERROR(__xludf.DUMMYFUNCTION("""COMPUTED_VALUE"""),"RSC007804")</f>
        <v>RSC007804</v>
      </c>
      <c r="B7770" s="41" t="str">
        <f>IFERROR(__xludf.DUMMYFUNCTION("""COMPUTED_VALUE"""),"krryypto")</f>
        <v>krryypto</v>
      </c>
    </row>
    <row r="7771">
      <c r="A7771" s="41" t="str">
        <f>IFERROR(__xludf.DUMMYFUNCTION("""COMPUTED_VALUE"""),"RSC007805")</f>
        <v>RSC007805</v>
      </c>
      <c r="B7771" s="41" t="str">
        <f>IFERROR(__xludf.DUMMYFUNCTION("""COMPUTED_VALUE"""),"HOPPY15")</f>
        <v>HOPPY15</v>
      </c>
    </row>
    <row r="7772">
      <c r="A7772" s="41" t="str">
        <f>IFERROR(__xludf.DUMMYFUNCTION("""COMPUTED_VALUE"""),"RSC007806")</f>
        <v>RSC007806</v>
      </c>
      <c r="B7772" s="41" t="str">
        <f>IFERROR(__xludf.DUMMYFUNCTION("""COMPUTED_VALUE"""),"yughni")</f>
        <v>yughni</v>
      </c>
    </row>
    <row r="7773">
      <c r="A7773" s="41" t="str">
        <f>IFERROR(__xludf.DUMMYFUNCTION("""COMPUTED_VALUE"""),"RSC007807")</f>
        <v>RSC007807</v>
      </c>
      <c r="B7773" s="41" t="str">
        <f>IFERROR(__xludf.DUMMYFUNCTION("""COMPUTED_VALUE"""),"darci")</f>
        <v>darci</v>
      </c>
    </row>
    <row r="7774">
      <c r="A7774" s="41" t="str">
        <f>IFERROR(__xludf.DUMMYFUNCTION("""COMPUTED_VALUE"""),"RSC007808")</f>
        <v>RSC007808</v>
      </c>
      <c r="B7774" s="41" t="str">
        <f>IFERROR(__xludf.DUMMYFUNCTION("""COMPUTED_VALUE"""),"Navybrat44")</f>
        <v>Navybrat44</v>
      </c>
    </row>
    <row r="7775">
      <c r="A7775" s="41" t="str">
        <f>IFERROR(__xludf.DUMMYFUNCTION("""COMPUTED_VALUE"""),"RSC007809")</f>
        <v>RSC007809</v>
      </c>
      <c r="B7775" s="41" t="str">
        <f>IFERROR(__xludf.DUMMYFUNCTION("""COMPUTED_VALUE"""),"bwosa")</f>
        <v>bwosa</v>
      </c>
    </row>
    <row r="7776">
      <c r="A7776" s="41" t="str">
        <f>IFERROR(__xludf.DUMMYFUNCTION("""COMPUTED_VALUE"""),"RSC007810")</f>
        <v>RSC007810</v>
      </c>
      <c r="B7776" s="41" t="str">
        <f>IFERROR(__xludf.DUMMYFUNCTION("""COMPUTED_VALUE"""),"KnownProject")</f>
        <v>KnownProject</v>
      </c>
    </row>
    <row r="7777">
      <c r="A7777" s="41" t="str">
        <f>IFERROR(__xludf.DUMMYFUNCTION("""COMPUTED_VALUE"""),"RSC007811")</f>
        <v>RSC007811</v>
      </c>
      <c r="B7777" s="41" t="str">
        <f>IFERROR(__xludf.DUMMYFUNCTION("""COMPUTED_VALUE"""),"Gray")</f>
        <v>Gray</v>
      </c>
    </row>
    <row r="7778">
      <c r="A7778" s="41" t="str">
        <f>IFERROR(__xludf.DUMMYFUNCTION("""COMPUTED_VALUE"""),"RSC007812")</f>
        <v>RSC007812</v>
      </c>
      <c r="B7778" s="41" t="str">
        <f>IFERROR(__xludf.DUMMYFUNCTION("""COMPUTED_VALUE"""),"toxic_demon821")</f>
        <v>toxic_demon821</v>
      </c>
    </row>
    <row r="7779">
      <c r="A7779" s="41" t="str">
        <f>IFERROR(__xludf.DUMMYFUNCTION("""COMPUTED_VALUE"""),"RSC007813")</f>
        <v>RSC007813</v>
      </c>
      <c r="B7779" s="41" t="str">
        <f>IFERROR(__xludf.DUMMYFUNCTION("""COMPUTED_VALUE"""),"Moto.")</f>
        <v>Moto.</v>
      </c>
    </row>
    <row r="7780">
      <c r="A7780" s="41" t="str">
        <f>IFERROR(__xludf.DUMMYFUNCTION("""COMPUTED_VALUE"""),"RSC007814")</f>
        <v>RSC007814</v>
      </c>
      <c r="B7780" s="41" t="str">
        <f>IFERROR(__xludf.DUMMYFUNCTION("""COMPUTED_VALUE"""),"SpeedyGongo")</f>
        <v>SpeedyGongo</v>
      </c>
    </row>
    <row r="7781">
      <c r="A7781" s="41" t="str">
        <f>IFERROR(__xludf.DUMMYFUNCTION("""COMPUTED_VALUE"""),"RSC007815")</f>
        <v>RSC007815</v>
      </c>
      <c r="B7781" s="41" t="str">
        <f>IFERROR(__xludf.DUMMYFUNCTION("""COMPUTED_VALUE"""),"premierejoker82")</f>
        <v>premierejoker82</v>
      </c>
    </row>
    <row r="7782">
      <c r="A7782" s="41" t="str">
        <f>IFERROR(__xludf.DUMMYFUNCTION("""COMPUTED_VALUE"""),"RSC007816")</f>
        <v>RSC007816</v>
      </c>
      <c r="B7782" s="41" t="str">
        <f>IFERROR(__xludf.DUMMYFUNCTION("""COMPUTED_VALUE"""),"Auty RL")</f>
        <v>Auty RL</v>
      </c>
    </row>
    <row r="7783">
      <c r="A7783" s="41" t="str">
        <f>IFERROR(__xludf.DUMMYFUNCTION("""COMPUTED_VALUE"""),"RSC007817")</f>
        <v>RSC007817</v>
      </c>
      <c r="B7783" s="41" t="str">
        <f>IFERROR(__xludf.DUMMYFUNCTION("""COMPUTED_VALUE"""),"Hichew.RL")</f>
        <v>Hichew.RL</v>
      </c>
    </row>
    <row r="7784">
      <c r="A7784" s="41" t="str">
        <f>IFERROR(__xludf.DUMMYFUNCTION("""COMPUTED_VALUE"""),"RSC007818")</f>
        <v>RSC007818</v>
      </c>
      <c r="B7784" s="41" t="str">
        <f>IFERROR(__xludf.DUMMYFUNCTION("""COMPUTED_VALUE"""),"masuhn!")</f>
        <v>masuhn!</v>
      </c>
    </row>
    <row r="7785">
      <c r="A7785" s="41" t="str">
        <f>IFERROR(__xludf.DUMMYFUNCTION("""COMPUTED_VALUE"""),"RSC007819")</f>
        <v>RSC007819</v>
      </c>
      <c r="B7785" s="41" t="str">
        <f>IFERROR(__xludf.DUMMYFUNCTION("""COMPUTED_VALUE"""),"Divine")</f>
        <v>Divine</v>
      </c>
    </row>
    <row r="7786">
      <c r="A7786" s="41" t="str">
        <f>IFERROR(__xludf.DUMMYFUNCTION("""COMPUTED_VALUE"""),"RSC007820")</f>
        <v>RSC007820</v>
      </c>
      <c r="B7786" s="41" t="str">
        <f>IFERROR(__xludf.DUMMYFUNCTION("""COMPUTED_VALUE"""),"KuRupT")</f>
        <v>KuRupT</v>
      </c>
    </row>
    <row r="7787">
      <c r="A7787" s="41" t="str">
        <f>IFERROR(__xludf.DUMMYFUNCTION("""COMPUTED_VALUE"""),"RSC007821")</f>
        <v>RSC007821</v>
      </c>
      <c r="B7787" s="41" t="str">
        <f>IFERROR(__xludf.DUMMYFUNCTION("""COMPUTED_VALUE"""),"AyeBigRod")</f>
        <v>AyeBigRod</v>
      </c>
    </row>
    <row r="7788">
      <c r="A7788" s="41" t="str">
        <f>IFERROR(__xludf.DUMMYFUNCTION("""COMPUTED_VALUE"""),"RSC007822")</f>
        <v>RSC007822</v>
      </c>
      <c r="B7788" s="41" t="str">
        <f>IFERROR(__xludf.DUMMYFUNCTION("""COMPUTED_VALUE"""),"Zero")</f>
        <v>Zero</v>
      </c>
    </row>
    <row r="7789">
      <c r="A7789" s="41" t="str">
        <f>IFERROR(__xludf.DUMMYFUNCTION("""COMPUTED_VALUE"""),"RSC007823")</f>
        <v>RSC007823</v>
      </c>
      <c r="B7789" s="41" t="str">
        <f>IFERROR(__xludf.DUMMYFUNCTION("""COMPUTED_VALUE"""),"watz")</f>
        <v>watz</v>
      </c>
    </row>
    <row r="7790">
      <c r="A7790" s="41" t="str">
        <f>IFERROR(__xludf.DUMMYFUNCTION("""COMPUTED_VALUE"""),"RSC007824")</f>
        <v>RSC007824</v>
      </c>
      <c r="B7790" s="41" t="str">
        <f>IFERROR(__xludf.DUMMYFUNCTION("""COMPUTED_VALUE"""),"Akki402")</f>
        <v>Akki402</v>
      </c>
    </row>
    <row r="7791">
      <c r="A7791" s="41" t="str">
        <f>IFERROR(__xludf.DUMMYFUNCTION("""COMPUTED_VALUE"""),"RSC007825")</f>
        <v>RSC007825</v>
      </c>
      <c r="B7791" s="41" t="str">
        <f>IFERROR(__xludf.DUMMYFUNCTION("""COMPUTED_VALUE"""),"Acryonix")</f>
        <v>Acryonix</v>
      </c>
    </row>
    <row r="7792">
      <c r="A7792" s="41" t="str">
        <f>IFERROR(__xludf.DUMMYFUNCTION("""COMPUTED_VALUE"""),"RSC007826")</f>
        <v>RSC007826</v>
      </c>
      <c r="B7792" s="41" t="str">
        <f>IFERROR(__xludf.DUMMYFUNCTION("""COMPUTED_VALUE"""),"razeryanx")</f>
        <v>razeryanx</v>
      </c>
    </row>
    <row r="7793">
      <c r="A7793" s="41" t="str">
        <f>IFERROR(__xludf.DUMMYFUNCTION("""COMPUTED_VALUE"""),"RSC007827")</f>
        <v>RSC007827</v>
      </c>
      <c r="B7793" s="41" t="str">
        <f>IFERROR(__xludf.DUMMYFUNCTION("""COMPUTED_VALUE"""),"SBC Tomm")</f>
        <v>SBC Tomm</v>
      </c>
    </row>
    <row r="7794">
      <c r="A7794" s="41" t="str">
        <f>IFERROR(__xludf.DUMMYFUNCTION("""COMPUTED_VALUE"""),"RSC007828")</f>
        <v>RSC007828</v>
      </c>
      <c r="B7794" s="41" t="str">
        <f>IFERROR(__xludf.DUMMYFUNCTION("""COMPUTED_VALUE"""),"Foedoo-Main/Speedyfoedo-Alt")</f>
        <v>Foedoo-Main/Speedyfoedo-Alt</v>
      </c>
    </row>
    <row r="7795">
      <c r="A7795" s="41" t="str">
        <f>IFERROR(__xludf.DUMMYFUNCTION("""COMPUTED_VALUE"""),"RSC007829")</f>
        <v>RSC007829</v>
      </c>
      <c r="B7795" s="41" t="str">
        <f>IFERROR(__xludf.DUMMYFUNCTION("""COMPUTED_VALUE"""),"Huntee力量")</f>
        <v>Huntee力量</v>
      </c>
    </row>
    <row r="7796">
      <c r="A7796" s="41" t="str">
        <f>IFERROR(__xludf.DUMMYFUNCTION("""COMPUTED_VALUE"""),"RSC007830")</f>
        <v>RSC007830</v>
      </c>
      <c r="B7796" s="41" t="str">
        <f>IFERROR(__xludf.DUMMYFUNCTION("""COMPUTED_VALUE"""),"gho.sty")</f>
        <v>gho.sty</v>
      </c>
    </row>
    <row r="7797">
      <c r="A7797" s="41" t="str">
        <f>IFERROR(__xludf.DUMMYFUNCTION("""COMPUTED_VALUE"""),"RSC007831")</f>
        <v>RSC007831</v>
      </c>
      <c r="B7797" s="41" t="str">
        <f>IFERROR(__xludf.DUMMYFUNCTION("""COMPUTED_VALUE"""),"Havox.RL")</f>
        <v>Havox.RL</v>
      </c>
    </row>
    <row r="7798">
      <c r="A7798" s="41" t="str">
        <f>IFERROR(__xludf.DUMMYFUNCTION("""COMPUTED_VALUE"""),"RSC007832")</f>
        <v>RSC007832</v>
      </c>
      <c r="B7798" s="41" t="str">
        <f>IFERROR(__xludf.DUMMYFUNCTION("""COMPUTED_VALUE"""),"BabyAiken On TTK")</f>
        <v>BabyAiken On TTK</v>
      </c>
    </row>
    <row r="7799">
      <c r="A7799" s="41" t="str">
        <f>IFERROR(__xludf.DUMMYFUNCTION("""COMPUTED_VALUE"""),"RSC007833")</f>
        <v>RSC007833</v>
      </c>
      <c r="B7799" s="41" t="str">
        <f>IFERROR(__xludf.DUMMYFUNCTION("""COMPUTED_VALUE"""),"scope φ")</f>
        <v>scope φ</v>
      </c>
    </row>
    <row r="7800">
      <c r="A7800" s="41" t="str">
        <f>IFERROR(__xludf.DUMMYFUNCTION("""COMPUTED_VALUE"""),"RSC007834")</f>
        <v>RSC007834</v>
      </c>
      <c r="B7800" s="41" t="str">
        <f>IFERROR(__xludf.DUMMYFUNCTION("""COMPUTED_VALUE"""),"Kyyrbes")</f>
        <v>Kyyrbes</v>
      </c>
    </row>
    <row r="7801">
      <c r="A7801" s="41" t="str">
        <f>IFERROR(__xludf.DUMMYFUNCTION("""COMPUTED_VALUE"""),"RSC007835")</f>
        <v>RSC007835</v>
      </c>
      <c r="B7801" s="41" t="str">
        <f>IFERROR(__xludf.DUMMYFUNCTION("""COMPUTED_VALUE"""),"Jazspper")</f>
        <v>Jazspper</v>
      </c>
    </row>
    <row r="7802">
      <c r="A7802" s="41" t="str">
        <f>IFERROR(__xludf.DUMMYFUNCTION("""COMPUTED_VALUE"""),"RSC007836")</f>
        <v>RSC007836</v>
      </c>
      <c r="B7802" s="41" t="str">
        <f>IFERROR(__xludf.DUMMYFUNCTION("""COMPUTED_VALUE"""),"Eclipse")</f>
        <v>Eclipse</v>
      </c>
    </row>
    <row r="7803">
      <c r="A7803" s="41" t="str">
        <f>IFERROR(__xludf.DUMMYFUNCTION("""COMPUTED_VALUE"""),"RSC007837")</f>
        <v>RSC007837</v>
      </c>
      <c r="B7803" s="41" t="str">
        <f>IFERROR(__xludf.DUMMYFUNCTION("""COMPUTED_VALUE"""),"AJgotRizs")</f>
        <v>AJgotRizs</v>
      </c>
    </row>
    <row r="7804">
      <c r="A7804" s="41" t="str">
        <f>IFERROR(__xludf.DUMMYFUNCTION("""COMPUTED_VALUE"""),"RSC007838")</f>
        <v>RSC007838</v>
      </c>
      <c r="B7804" s="41" t="str">
        <f>IFERROR(__xludf.DUMMYFUNCTION("""COMPUTED_VALUE"""),"ッhezii")</f>
        <v>ッhezii</v>
      </c>
    </row>
    <row r="7805">
      <c r="A7805" s="41" t="str">
        <f>IFERROR(__xludf.DUMMYFUNCTION("""COMPUTED_VALUE"""),"RSC007839")</f>
        <v>RSC007839</v>
      </c>
      <c r="B7805" s="41" t="str">
        <f>IFERROR(__xludf.DUMMYFUNCTION("""COMPUTED_VALUE"""),"DoxxyWoxxyy")</f>
        <v>DoxxyWoxxyy</v>
      </c>
    </row>
    <row r="7806">
      <c r="A7806" s="41" t="str">
        <f>IFERROR(__xludf.DUMMYFUNCTION("""COMPUTED_VALUE"""),"RSC007840")</f>
        <v>RSC007840</v>
      </c>
      <c r="B7806" s="41" t="str">
        <f>IFERROR(__xludf.DUMMYFUNCTION("""COMPUTED_VALUE"""),"LaBarey")</f>
        <v>LaBarey</v>
      </c>
    </row>
    <row r="7807">
      <c r="A7807" s="41" t="str">
        <f>IFERROR(__xludf.DUMMYFUNCTION("""COMPUTED_VALUE"""),"RSC007841")</f>
        <v>RSC007841</v>
      </c>
      <c r="B7807" s="41" t="str">
        <f>IFERROR(__xludf.DUMMYFUNCTION("""COMPUTED_VALUE"""),"IiISpot")</f>
        <v>IiISpot</v>
      </c>
    </row>
    <row r="7808">
      <c r="A7808" s="41" t="str">
        <f>IFERROR(__xludf.DUMMYFUNCTION("""COMPUTED_VALUE"""),"RSC007842")</f>
        <v>RSC007842</v>
      </c>
      <c r="B7808" s="41" t="str">
        <f>IFERROR(__xludf.DUMMYFUNCTION("""COMPUTED_VALUE"""),"bob9193")</f>
        <v>bob9193</v>
      </c>
    </row>
    <row r="7809">
      <c r="A7809" s="41" t="str">
        <f>IFERROR(__xludf.DUMMYFUNCTION("""COMPUTED_VALUE"""),"RSC007843")</f>
        <v>RSC007843</v>
      </c>
      <c r="B7809" s="41" t="str">
        <f>IFERROR(__xludf.DUMMYFUNCTION("""COMPUTED_VALUE"""),"BLOO")</f>
        <v>BLOO</v>
      </c>
    </row>
    <row r="7810">
      <c r="A7810" s="41" t="str">
        <f>IFERROR(__xludf.DUMMYFUNCTION("""COMPUTED_VALUE"""),"RSC007844")</f>
        <v>RSC007844</v>
      </c>
      <c r="B7810" s="41" t="str">
        <f>IFERROR(__xludf.DUMMYFUNCTION("""COMPUTED_VALUE"""),"Skippy stubz")</f>
        <v>Skippy stubz</v>
      </c>
    </row>
    <row r="7811">
      <c r="A7811" s="41" t="str">
        <f>IFERROR(__xludf.DUMMYFUNCTION("""COMPUTED_VALUE"""),"RSC007845")</f>
        <v>RSC007845</v>
      </c>
      <c r="B7811" s="41" t="str">
        <f>IFERROR(__xludf.DUMMYFUNCTION("""COMPUTED_VALUE"""),"Enchanted")</f>
        <v>Enchanted</v>
      </c>
    </row>
    <row r="7812">
      <c r="A7812" s="41" t="str">
        <f>IFERROR(__xludf.DUMMYFUNCTION("""COMPUTED_VALUE"""),"RSC007846")</f>
        <v>RSC007846</v>
      </c>
      <c r="B7812" s="41" t="str">
        <f>IFERROR(__xludf.DUMMYFUNCTION("""COMPUTED_VALUE"""),"Lovegreyhounds")</f>
        <v>Lovegreyhounds</v>
      </c>
    </row>
    <row r="7813">
      <c r="A7813" s="41" t="str">
        <f>IFERROR(__xludf.DUMMYFUNCTION("""COMPUTED_VALUE"""),"RSC007847")</f>
        <v>RSC007847</v>
      </c>
      <c r="B7813" s="41" t="str">
        <f>IFERROR(__xludf.DUMMYFUNCTION("""COMPUTED_VALUE"""),"GoodGuyGlaz")</f>
        <v>GoodGuyGlaz</v>
      </c>
    </row>
    <row r="7814">
      <c r="A7814" s="41" t="str">
        <f>IFERROR(__xludf.DUMMYFUNCTION("""COMPUTED_VALUE"""),"RSC007848")</f>
        <v>RSC007848</v>
      </c>
      <c r="B7814" s="41" t="str">
        <f>IFERROR(__xludf.DUMMYFUNCTION("""COMPUTED_VALUE"""),"Ninji &lt;3")</f>
        <v>Ninji &lt;3</v>
      </c>
    </row>
    <row r="7815">
      <c r="A7815" s="41" t="str">
        <f>IFERROR(__xludf.DUMMYFUNCTION("""COMPUTED_VALUE"""),"RSC007849")</f>
        <v>RSC007849</v>
      </c>
      <c r="B7815" s="41" t="str">
        <f>IFERROR(__xludf.DUMMYFUNCTION("""COMPUTED_VALUE"""),"Ser Rainald")</f>
        <v>Ser Rainald</v>
      </c>
    </row>
    <row r="7816">
      <c r="A7816" s="41" t="str">
        <f>IFERROR(__xludf.DUMMYFUNCTION("""COMPUTED_VALUE"""),"RSC007850")</f>
        <v>RSC007850</v>
      </c>
      <c r="B7816" s="41" t="str">
        <f>IFERROR(__xludf.DUMMYFUNCTION("""COMPUTED_VALUE"""),"harp NO boost")</f>
        <v>harp NO boost</v>
      </c>
    </row>
    <row r="7817">
      <c r="A7817" s="41" t="str">
        <f>IFERROR(__xludf.DUMMYFUNCTION("""COMPUTED_VALUE"""),"RSC007851")</f>
        <v>RSC007851</v>
      </c>
      <c r="B7817" s="41" t="str">
        <f>IFERROR(__xludf.DUMMYFUNCTION("""COMPUTED_VALUE"""),"Carridripdrip")</f>
        <v>Carridripdrip</v>
      </c>
    </row>
    <row r="7818">
      <c r="A7818" s="41" t="str">
        <f>IFERROR(__xludf.DUMMYFUNCTION("""COMPUTED_VALUE"""),"RSC007852")</f>
        <v>RSC007852</v>
      </c>
      <c r="B7818" s="41" t="str">
        <f>IFERROR(__xludf.DUMMYFUNCTION("""COMPUTED_VALUE"""),"Medicmac121")</f>
        <v>Medicmac121</v>
      </c>
    </row>
    <row r="7819">
      <c r="A7819" s="41" t="str">
        <f>IFERROR(__xludf.DUMMYFUNCTION("""COMPUTED_VALUE"""),"RSC007853")</f>
        <v>RSC007853</v>
      </c>
      <c r="B7819" s="41" t="str">
        <f>IFERROR(__xludf.DUMMYFUNCTION("""COMPUTED_VALUE"""),"jun1o4.")</f>
        <v>jun1o4.</v>
      </c>
    </row>
    <row r="7820">
      <c r="A7820" s="41" t="str">
        <f>IFERROR(__xludf.DUMMYFUNCTION("""COMPUTED_VALUE"""),"RSC007854")</f>
        <v>RSC007854</v>
      </c>
      <c r="B7820" s="41" t="str">
        <f>IFERROR(__xludf.DUMMYFUNCTION("""COMPUTED_VALUE"""),"PHNXPlazma")</f>
        <v>PHNXPlazma</v>
      </c>
    </row>
    <row r="7821">
      <c r="A7821" s="41" t="str">
        <f>IFERROR(__xludf.DUMMYFUNCTION("""COMPUTED_VALUE"""),"RSC007855")</f>
        <v>RSC007855</v>
      </c>
      <c r="B7821" s="41" t="str">
        <f>IFERROR(__xludf.DUMMYFUNCTION("""COMPUTED_VALUE"""),"Dub_Dill")</f>
        <v>Dub_Dill</v>
      </c>
    </row>
    <row r="7822">
      <c r="A7822" s="41" t="str">
        <f>IFERROR(__xludf.DUMMYFUNCTION("""COMPUTED_VALUE"""),"RSC007856")</f>
        <v>RSC007856</v>
      </c>
      <c r="B7822" s="41" t="str">
        <f>IFERROR(__xludf.DUMMYFUNCTION("""COMPUTED_VALUE"""),"Captain Daddy")</f>
        <v>Captain Daddy</v>
      </c>
    </row>
    <row r="7823">
      <c r="A7823" s="41" t="str">
        <f>IFERROR(__xludf.DUMMYFUNCTION("""COMPUTED_VALUE"""),"RSC007857")</f>
        <v>RSC007857</v>
      </c>
      <c r="B7823" s="41" t="str">
        <f>IFERROR(__xludf.DUMMYFUNCTION("""COMPUTED_VALUE"""),"Southernsubcool")</f>
        <v>Southernsubcool</v>
      </c>
    </row>
    <row r="7824">
      <c r="A7824" s="41" t="str">
        <f>IFERROR(__xludf.DUMMYFUNCTION("""COMPUTED_VALUE"""),"RSC007858")</f>
        <v>RSC007858</v>
      </c>
      <c r="B7824" s="41" t="str">
        <f>IFERROR(__xludf.DUMMYFUNCTION("""COMPUTED_VALUE"""),"Patty")</f>
        <v>Patty</v>
      </c>
    </row>
    <row r="7825">
      <c r="A7825" s="41" t="str">
        <f>IFERROR(__xludf.DUMMYFUNCTION("""COMPUTED_VALUE"""),"RSC007859")</f>
        <v>RSC007859</v>
      </c>
      <c r="B7825" s="41" t="str">
        <f>IFERROR(__xludf.DUMMYFUNCTION("""COMPUTED_VALUE"""),"BayJones97")</f>
        <v>BayJones97</v>
      </c>
    </row>
    <row r="7826">
      <c r="A7826" s="41" t="str">
        <f>IFERROR(__xludf.DUMMYFUNCTION("""COMPUTED_VALUE"""),"RSC007860")</f>
        <v>RSC007860</v>
      </c>
      <c r="B7826" s="41" t="str">
        <f>IFERROR(__xludf.DUMMYFUNCTION("""COMPUTED_VALUE"""),"PsYcHo lRIsH")</f>
        <v>PsYcHo lRIsH</v>
      </c>
    </row>
    <row r="7827">
      <c r="A7827" s="41" t="str">
        <f>IFERROR(__xludf.DUMMYFUNCTION("""COMPUTED_VALUE"""),"RSC007861")</f>
        <v>RSC007861</v>
      </c>
      <c r="B7827" s="41" t="str">
        <f>IFERROR(__xludf.DUMMYFUNCTION("""COMPUTED_VALUE"""),"xmanyaknow")</f>
        <v>xmanyaknow</v>
      </c>
    </row>
    <row r="7828">
      <c r="A7828" s="41" t="str">
        <f>IFERROR(__xludf.DUMMYFUNCTION("""COMPUTED_VALUE"""),"RSC007862")</f>
        <v>RSC007862</v>
      </c>
      <c r="B7828" s="41" t="str">
        <f>IFERROR(__xludf.DUMMYFUNCTION("""COMPUTED_VALUE"""),"Clipzyns.")</f>
        <v>Clipzyns.</v>
      </c>
    </row>
    <row r="7829">
      <c r="A7829" s="41" t="str">
        <f>IFERROR(__xludf.DUMMYFUNCTION("""COMPUTED_VALUE"""),"RSC007863")</f>
        <v>RSC007863</v>
      </c>
      <c r="B7829" s="41" t="str">
        <f>IFERROR(__xludf.DUMMYFUNCTION("""COMPUTED_VALUE"""),"B.r.o.l.o.")</f>
        <v>B.r.o.l.o.</v>
      </c>
    </row>
    <row r="7830">
      <c r="A7830" s="41" t="str">
        <f>IFERROR(__xludf.DUMMYFUNCTION("""COMPUTED_VALUE"""),"RSC007864")</f>
        <v>RSC007864</v>
      </c>
      <c r="B7830" s="41" t="str">
        <f>IFERROR(__xludf.DUMMYFUNCTION("""COMPUTED_VALUE"""),"z . a . c")</f>
        <v>z . a . c</v>
      </c>
    </row>
    <row r="7831">
      <c r="A7831" s="41" t="str">
        <f>IFERROR(__xludf.DUMMYFUNCTION("""COMPUTED_VALUE"""),"RSC007865")</f>
        <v>RSC007865</v>
      </c>
      <c r="B7831" s="41" t="str">
        <f>IFERROR(__xludf.DUMMYFUNCTION("""COMPUTED_VALUE"""),"StoveMessiah")</f>
        <v>StoveMessiah</v>
      </c>
    </row>
    <row r="7832">
      <c r="A7832" s="41" t="str">
        <f>IFERROR(__xludf.DUMMYFUNCTION("""COMPUTED_VALUE"""),"RSC007866")</f>
        <v>RSC007866</v>
      </c>
      <c r="B7832" s="41" t="str">
        <f>IFERROR(__xludf.DUMMYFUNCTION("""COMPUTED_VALUE"""),"Swzyy GN")</f>
        <v>Swzyy GN</v>
      </c>
    </row>
    <row r="7833">
      <c r="A7833" s="41" t="str">
        <f>IFERROR(__xludf.DUMMYFUNCTION("""COMPUTED_VALUE"""),"RSC007867")</f>
        <v>RSC007867</v>
      </c>
      <c r="B7833" s="41" t="str">
        <f>IFERROR(__xludf.DUMMYFUNCTION("""COMPUTED_VALUE"""),"Inertia D.")</f>
        <v>Inertia D.</v>
      </c>
    </row>
    <row r="7834">
      <c r="A7834" s="41" t="str">
        <f>IFERROR(__xludf.DUMMYFUNCTION("""COMPUTED_VALUE"""),"RSC007868")</f>
        <v>RSC007868</v>
      </c>
      <c r="B7834" s="41" t="str">
        <f>IFERROR(__xludf.DUMMYFUNCTION("""COMPUTED_VALUE"""),"(Jay)")</f>
        <v>(Jay)</v>
      </c>
    </row>
    <row r="7835">
      <c r="A7835" s="41" t="str">
        <f>IFERROR(__xludf.DUMMYFUNCTION("""COMPUTED_VALUE"""),"RSC007869")</f>
        <v>RSC007869</v>
      </c>
      <c r="B7835" s="41" t="str">
        <f>IFERROR(__xludf.DUMMYFUNCTION("""COMPUTED_VALUE"""),"Sw.ish")</f>
        <v>Sw.ish</v>
      </c>
    </row>
    <row r="7836">
      <c r="A7836" s="41" t="str">
        <f>IFERROR(__xludf.DUMMYFUNCTION("""COMPUTED_VALUE"""),"RSC007870")</f>
        <v>RSC007870</v>
      </c>
      <c r="B7836" s="41" t="str">
        <f>IFERROR(__xludf.DUMMYFUNCTION("""COMPUTED_VALUE"""),"King_OaF")</f>
        <v>King_OaF</v>
      </c>
    </row>
    <row r="7837">
      <c r="A7837" s="41" t="str">
        <f>IFERROR(__xludf.DUMMYFUNCTION("""COMPUTED_VALUE"""),"RSC007871")</f>
        <v>RSC007871</v>
      </c>
      <c r="B7837" s="41" t="str">
        <f>IFERROR(__xludf.DUMMYFUNCTION("""COMPUTED_VALUE"""),"WorriedX")</f>
        <v>WorriedX</v>
      </c>
    </row>
    <row r="7838">
      <c r="A7838" s="41" t="str">
        <f>IFERROR(__xludf.DUMMYFUNCTION("""COMPUTED_VALUE"""),"RSC007872")</f>
        <v>RSC007872</v>
      </c>
      <c r="B7838" s="41" t="str">
        <f>IFERROR(__xludf.DUMMYFUNCTION("""COMPUTED_VALUE"""),"RedCrow81")</f>
        <v>RedCrow81</v>
      </c>
    </row>
    <row r="7839">
      <c r="A7839" s="41" t="str">
        <f>IFERROR(__xludf.DUMMYFUNCTION("""COMPUTED_VALUE"""),"RSC007873")</f>
        <v>RSC007873</v>
      </c>
      <c r="B7839" s="41" t="str">
        <f>IFERROR(__xludf.DUMMYFUNCTION("""COMPUTED_VALUE"""),"da tism.")</f>
        <v>da tism.</v>
      </c>
    </row>
    <row r="7840">
      <c r="A7840" s="41" t="str">
        <f>IFERROR(__xludf.DUMMYFUNCTION("""COMPUTED_VALUE"""),"RSC007874")</f>
        <v>RSC007874</v>
      </c>
      <c r="B7840" s="41" t="str">
        <f>IFERROR(__xludf.DUMMYFUNCTION("""COMPUTED_VALUE"""),"Salty Num Num")</f>
        <v>Salty Num Num</v>
      </c>
    </row>
    <row r="7841">
      <c r="A7841" s="41" t="str">
        <f>IFERROR(__xludf.DUMMYFUNCTION("""COMPUTED_VALUE"""),"RSC007875")</f>
        <v>RSC007875</v>
      </c>
      <c r="B7841" s="41" t="str">
        <f>IFERROR(__xludf.DUMMYFUNCTION("""COMPUTED_VALUE"""),"Flying__ferret")</f>
        <v>Flying__ferret</v>
      </c>
    </row>
    <row r="7842">
      <c r="A7842" s="41" t="str">
        <f>IFERROR(__xludf.DUMMYFUNCTION("""COMPUTED_VALUE"""),"RSC007876")</f>
        <v>RSC007876</v>
      </c>
      <c r="B7842" s="41" t="str">
        <f>IFERROR(__xludf.DUMMYFUNCTION("""COMPUTED_VALUE"""),"dwsn.")</f>
        <v>dwsn.</v>
      </c>
    </row>
    <row r="7843">
      <c r="A7843" s="41" t="str">
        <f>IFERROR(__xludf.DUMMYFUNCTION("""COMPUTED_VALUE"""),"RSC007877")</f>
        <v>RSC007877</v>
      </c>
      <c r="B7843" s="41" t="str">
        <f>IFERROR(__xludf.DUMMYFUNCTION("""COMPUTED_VALUE"""),"Torro")</f>
        <v>Torro</v>
      </c>
    </row>
    <row r="7844">
      <c r="A7844" s="41" t="str">
        <f>IFERROR(__xludf.DUMMYFUNCTION("""COMPUTED_VALUE"""),"RSC007878")</f>
        <v>RSC007878</v>
      </c>
      <c r="B7844" s="41" t="str">
        <f>IFERROR(__xludf.DUMMYFUNCTION("""COMPUTED_VALUE"""),"oneam")</f>
        <v>oneam</v>
      </c>
    </row>
    <row r="7845">
      <c r="A7845" s="41" t="str">
        <f>IFERROR(__xludf.DUMMYFUNCTION("""COMPUTED_VALUE"""),"RSC007879")</f>
        <v>RSC007879</v>
      </c>
      <c r="B7845" s="41" t="str">
        <f>IFERROR(__xludf.DUMMYFUNCTION("""COMPUTED_VALUE"""),"blixzy.ツ")</f>
        <v>blixzy.ツ</v>
      </c>
    </row>
    <row r="7846">
      <c r="A7846" s="41" t="str">
        <f>IFERROR(__xludf.DUMMYFUNCTION("""COMPUTED_VALUE"""),"RSC007880")</f>
        <v>RSC007880</v>
      </c>
      <c r="B7846" s="41" t="str">
        <f>IFERROR(__xludf.DUMMYFUNCTION("""COMPUTED_VALUE"""),"Jaybae")</f>
        <v>Jaybae</v>
      </c>
    </row>
    <row r="7847">
      <c r="A7847" s="41" t="str">
        <f>IFERROR(__xludf.DUMMYFUNCTION("""COMPUTED_VALUE"""),"RSC007881")</f>
        <v>RSC007881</v>
      </c>
      <c r="B7847" s="41" t="str">
        <f>IFERROR(__xludf.DUMMYFUNCTION("""COMPUTED_VALUE"""),"Wooftops")</f>
        <v>Wooftops</v>
      </c>
    </row>
    <row r="7848">
      <c r="A7848" s="41" t="str">
        <f>IFERROR(__xludf.DUMMYFUNCTION("""COMPUTED_VALUE"""),"RSC007882")</f>
        <v>RSC007882</v>
      </c>
      <c r="B7848" s="41" t="str">
        <f>IFERROR(__xludf.DUMMYFUNCTION("""COMPUTED_VALUE"""),"mirage")</f>
        <v>mirage</v>
      </c>
    </row>
    <row r="7849">
      <c r="A7849" s="41" t="str">
        <f>IFERROR(__xludf.DUMMYFUNCTION("""COMPUTED_VALUE"""),"RSC007883")</f>
        <v>RSC007883</v>
      </c>
      <c r="B7849" s="41" t="str">
        <f>IFERROR(__xludf.DUMMYFUNCTION("""COMPUTED_VALUE"""),"Calloway pear")</f>
        <v>Calloway pear</v>
      </c>
    </row>
    <row r="7850">
      <c r="A7850" s="41" t="str">
        <f>IFERROR(__xludf.DUMMYFUNCTION("""COMPUTED_VALUE"""),"RSC007884")</f>
        <v>RSC007884</v>
      </c>
      <c r="B7850" s="41" t="str">
        <f>IFERROR(__xludf.DUMMYFUNCTION("""COMPUTED_VALUE"""),"Luis.")</f>
        <v>Luis.</v>
      </c>
    </row>
    <row r="7851">
      <c r="A7851" s="41" t="str">
        <f>IFERROR(__xludf.DUMMYFUNCTION("""COMPUTED_VALUE"""),"RSC007885")</f>
        <v>RSC007885</v>
      </c>
      <c r="B7851" s="41" t="str">
        <f>IFERROR(__xludf.DUMMYFUNCTION("""COMPUTED_VALUE"""),"Larkspur")</f>
        <v>Larkspur</v>
      </c>
    </row>
    <row r="7852">
      <c r="A7852" s="41" t="str">
        <f>IFERROR(__xludf.DUMMYFUNCTION("""COMPUTED_VALUE"""),"RSC007886")</f>
        <v>RSC007886</v>
      </c>
      <c r="B7852" s="41" t="str">
        <f>IFERROR(__xludf.DUMMYFUNCTION("""COMPUTED_VALUE"""),"Dino incarnate")</f>
        <v>Dino incarnate</v>
      </c>
    </row>
    <row r="7853">
      <c r="A7853" s="41" t="str">
        <f>IFERROR(__xludf.DUMMYFUNCTION("""COMPUTED_VALUE"""),"RSC007887")</f>
        <v>RSC007887</v>
      </c>
      <c r="B7853" s="41" t="str">
        <f>IFERROR(__xludf.DUMMYFUNCTION("""COMPUTED_VALUE"""),"Complex1")</f>
        <v>Complex1</v>
      </c>
    </row>
    <row r="7854">
      <c r="A7854" s="41" t="str">
        <f>IFERROR(__xludf.DUMMYFUNCTION("""COMPUTED_VALUE"""),"RSC007888")</f>
        <v>RSC007888</v>
      </c>
      <c r="B7854" s="41" t="str">
        <f>IFERROR(__xludf.DUMMYFUNCTION("""COMPUTED_VALUE"""),"SejRL")</f>
        <v>SejRL</v>
      </c>
    </row>
    <row r="7855">
      <c r="A7855" s="41" t="str">
        <f>IFERROR(__xludf.DUMMYFUNCTION("""COMPUTED_VALUE"""),"RSC007889")</f>
        <v>RSC007889</v>
      </c>
      <c r="B7855" s="41" t="str">
        <f>IFERROR(__xludf.DUMMYFUNCTION("""COMPUTED_VALUE"""),"MrCook3d.")</f>
        <v>MrCook3d.</v>
      </c>
    </row>
    <row r="7856">
      <c r="A7856" s="41" t="str">
        <f>IFERROR(__xludf.DUMMYFUNCTION("""COMPUTED_VALUE"""),"RSC007890")</f>
        <v>RSC007890</v>
      </c>
      <c r="B7856" s="41" t="str">
        <f>IFERROR(__xludf.DUMMYFUNCTION("""COMPUTED_VALUE"""),"Ghost-Bacon")</f>
        <v>Ghost-Bacon</v>
      </c>
    </row>
    <row r="7857">
      <c r="A7857" s="41" t="str">
        <f>IFERROR(__xludf.DUMMYFUNCTION("""COMPUTED_VALUE"""),"RSC007891")</f>
        <v>RSC007891</v>
      </c>
      <c r="B7857" s="41" t="str">
        <f>IFERROR(__xludf.DUMMYFUNCTION("""COMPUTED_VALUE"""),"Spr1nklez")</f>
        <v>Spr1nklez</v>
      </c>
    </row>
    <row r="7858">
      <c r="A7858" s="41" t="str">
        <f>IFERROR(__xludf.DUMMYFUNCTION("""COMPUTED_VALUE"""),"RSC007892")</f>
        <v>RSC007892</v>
      </c>
      <c r="B7858" s="41" t="str">
        <f>IFERROR(__xludf.DUMMYFUNCTION("""COMPUTED_VALUE"""),"Heeyyyitsme")</f>
        <v>Heeyyyitsme</v>
      </c>
    </row>
    <row r="7859">
      <c r="A7859" s="41" t="str">
        <f>IFERROR(__xludf.DUMMYFUNCTION("""COMPUTED_VALUE"""),"RSC007893")</f>
        <v>RSC007893</v>
      </c>
      <c r="B7859" s="41" t="str">
        <f>IFERROR(__xludf.DUMMYFUNCTION("""COMPUTED_VALUE"""),"solar722")</f>
        <v>solar722</v>
      </c>
    </row>
    <row r="7860">
      <c r="A7860" s="41" t="str">
        <f>IFERROR(__xludf.DUMMYFUNCTION("""COMPUTED_VALUE"""),"RSC007894")</f>
        <v>RSC007894</v>
      </c>
      <c r="B7860" s="41" t="str">
        <f>IFERROR(__xludf.DUMMYFUNCTION("""COMPUTED_VALUE"""),"BlackCoop03")</f>
        <v>BlackCoop03</v>
      </c>
    </row>
    <row r="7861">
      <c r="A7861" s="41" t="str">
        <f>IFERROR(__xludf.DUMMYFUNCTION("""COMPUTED_VALUE"""),"RSC007895")</f>
        <v>RSC007895</v>
      </c>
      <c r="B7861" s="41" t="str">
        <f>IFERROR(__xludf.DUMMYFUNCTION("""COMPUTED_VALUE"""),"Lup")</f>
        <v>Lup</v>
      </c>
    </row>
    <row r="7862">
      <c r="A7862" s="41" t="str">
        <f>IFERROR(__xludf.DUMMYFUNCTION("""COMPUTED_VALUE"""),"RSC007896")</f>
        <v>RSC007896</v>
      </c>
      <c r="B7862" s="41" t="str">
        <f>IFERROR(__xludf.DUMMYFUNCTION("""COMPUTED_VALUE"""),"Notice")</f>
        <v>Notice</v>
      </c>
    </row>
    <row r="7863">
      <c r="A7863" s="41" t="str">
        <f>IFERROR(__xludf.DUMMYFUNCTION("""COMPUTED_VALUE"""),"RSC007897")</f>
        <v>RSC007897</v>
      </c>
      <c r="B7863" s="41" t="str">
        <f>IFERROR(__xludf.DUMMYFUNCTION("""COMPUTED_VALUE"""),"Synnicall")</f>
        <v>Synnicall</v>
      </c>
    </row>
    <row r="7864">
      <c r="A7864" s="41" t="str">
        <f>IFERROR(__xludf.DUMMYFUNCTION("""COMPUTED_VALUE"""),"RSC007898")</f>
        <v>RSC007898</v>
      </c>
      <c r="B7864" s="41" t="str">
        <f>IFERROR(__xludf.DUMMYFUNCTION("""COMPUTED_VALUE"""),"Lee")</f>
        <v>Lee</v>
      </c>
    </row>
    <row r="7865">
      <c r="A7865" s="41" t="str">
        <f>IFERROR(__xludf.DUMMYFUNCTION("""COMPUTED_VALUE"""),"RSC007899")</f>
        <v>RSC007899</v>
      </c>
      <c r="B7865" s="41" t="str">
        <f>IFERROR(__xludf.DUMMYFUNCTION("""COMPUTED_VALUE"""),"SeaSpay182009")</f>
        <v>SeaSpay182009</v>
      </c>
    </row>
    <row r="7866">
      <c r="A7866" s="41" t="str">
        <f>IFERROR(__xludf.DUMMYFUNCTION("""COMPUTED_VALUE"""),"RSC007900")</f>
        <v>RSC007900</v>
      </c>
      <c r="B7866" s="41" t="str">
        <f>IFERROR(__xludf.DUMMYFUNCTION("""COMPUTED_VALUE"""),"Car-.-")</f>
        <v>Car-.-</v>
      </c>
    </row>
    <row r="7867">
      <c r="A7867" s="41" t="str">
        <f>IFERROR(__xludf.DUMMYFUNCTION("""COMPUTED_VALUE"""),"RSC007901")</f>
        <v>RSC007901</v>
      </c>
      <c r="B7867" s="41" t="str">
        <f>IFERROR(__xludf.DUMMYFUNCTION("""COMPUTED_VALUE"""),"JUICY")</f>
        <v>JUICY</v>
      </c>
    </row>
    <row r="7868">
      <c r="A7868" s="41" t="str">
        <f>IFERROR(__xludf.DUMMYFUNCTION("""COMPUTED_VALUE"""),"RSC007902")</f>
        <v>RSC007902</v>
      </c>
      <c r="B7868" s="41" t="str">
        <f>IFERROR(__xludf.DUMMYFUNCTION("""COMPUTED_VALUE"""),"Epitaph")</f>
        <v>Epitaph</v>
      </c>
    </row>
    <row r="7869">
      <c r="A7869" s="41" t="str">
        <f>IFERROR(__xludf.DUMMYFUNCTION("""COMPUTED_VALUE"""),"RSC007903")</f>
        <v>RSC007903</v>
      </c>
      <c r="B7869" s="41" t="str">
        <f>IFERROR(__xludf.DUMMYFUNCTION("""COMPUTED_VALUE"""),"AverageMikey")</f>
        <v>AverageMikey</v>
      </c>
    </row>
    <row r="7870">
      <c r="A7870" s="41" t="str">
        <f>IFERROR(__xludf.DUMMYFUNCTION("""COMPUTED_VALUE"""),"RSC007904")</f>
        <v>RSC007904</v>
      </c>
      <c r="B7870" s="41" t="str">
        <f>IFERROR(__xludf.DUMMYFUNCTION("""COMPUTED_VALUE"""),"branthedan")</f>
        <v>branthedan</v>
      </c>
    </row>
    <row r="7871">
      <c r="A7871" s="41" t="str">
        <f>IFERROR(__xludf.DUMMYFUNCTION("""COMPUTED_VALUE"""),"RSC007905")</f>
        <v>RSC007905</v>
      </c>
      <c r="B7871" s="41" t="str">
        <f>IFERROR(__xludf.DUMMYFUNCTION("""COMPUTED_VALUE"""),"éthooo")</f>
        <v>éthooo</v>
      </c>
    </row>
    <row r="7872">
      <c r="A7872" s="41" t="str">
        <f>IFERROR(__xludf.DUMMYFUNCTION("""COMPUTED_VALUE"""),"RSC007906")</f>
        <v>RSC007906</v>
      </c>
      <c r="B7872" s="41" t="str">
        <f>IFERROR(__xludf.DUMMYFUNCTION("""COMPUTED_VALUE"""),"Vaz1fy.")</f>
        <v>Vaz1fy.</v>
      </c>
    </row>
    <row r="7873">
      <c r="A7873" s="41" t="str">
        <f>IFERROR(__xludf.DUMMYFUNCTION("""COMPUTED_VALUE"""),"RSC007907")</f>
        <v>RSC007907</v>
      </c>
      <c r="B7873" s="41" t="str">
        <f>IFERROR(__xludf.DUMMYFUNCTION("""COMPUTED_VALUE"""),"chazie.")</f>
        <v>chazie.</v>
      </c>
    </row>
    <row r="7874">
      <c r="A7874" s="41" t="str">
        <f>IFERROR(__xludf.DUMMYFUNCTION("""COMPUTED_VALUE"""),"RSC007908")</f>
        <v>RSC007908</v>
      </c>
      <c r="B7874" s="41" t="str">
        <f>IFERROR(__xludf.DUMMYFUNCTION("""COMPUTED_VALUE"""),"C01E01")</f>
        <v>C01E01</v>
      </c>
    </row>
    <row r="7875">
      <c r="A7875" s="41" t="str">
        <f>IFERROR(__xludf.DUMMYFUNCTION("""COMPUTED_VALUE"""),"RSC007909")</f>
        <v>RSC007909</v>
      </c>
      <c r="B7875" s="41" t="str">
        <f>IFERROR(__xludf.DUMMYFUNCTION("""COMPUTED_VALUE"""),"Revengeplayer666")</f>
        <v>Revengeplayer666</v>
      </c>
    </row>
    <row r="7876">
      <c r="A7876" s="41" t="str">
        <f>IFERROR(__xludf.DUMMYFUNCTION("""COMPUTED_VALUE"""),"RSC007910")</f>
        <v>RSC007910</v>
      </c>
      <c r="B7876" s="41" t="str">
        <f>IFERROR(__xludf.DUMMYFUNCTION("""COMPUTED_VALUE"""),"TTVCAPTAINDRC")</f>
        <v>TTVCAPTAINDRC</v>
      </c>
    </row>
    <row r="7877">
      <c r="A7877" s="41" t="str">
        <f>IFERROR(__xludf.DUMMYFUNCTION("""COMPUTED_VALUE"""),"RSC007911")</f>
        <v>RSC007911</v>
      </c>
      <c r="B7877" s="41" t="str">
        <f>IFERROR(__xludf.DUMMYFUNCTION("""COMPUTED_VALUE"""),"Redhood913011")</f>
        <v>Redhood913011</v>
      </c>
    </row>
    <row r="7878">
      <c r="A7878" s="41" t="str">
        <f>IFERROR(__xludf.DUMMYFUNCTION("""COMPUTED_VALUE"""),"RSC007912")</f>
        <v>RSC007912</v>
      </c>
      <c r="B7878" s="41" t="str">
        <f>IFERROR(__xludf.DUMMYFUNCTION("""COMPUTED_VALUE"""),"Zenith.")</f>
        <v>Zenith.</v>
      </c>
    </row>
    <row r="7879">
      <c r="A7879" s="41" t="str">
        <f>IFERROR(__xludf.DUMMYFUNCTION("""COMPUTED_VALUE"""),"RSC007913")</f>
        <v>RSC007913</v>
      </c>
      <c r="B7879" s="41" t="str">
        <f>IFERROR(__xludf.DUMMYFUNCTION("""COMPUTED_VALUE"""),"xV0id1essx")</f>
        <v>xV0id1essx</v>
      </c>
    </row>
    <row r="7880">
      <c r="A7880" s="41" t="str">
        <f>IFERROR(__xludf.DUMMYFUNCTION("""COMPUTED_VALUE"""),"RSC007914")</f>
        <v>RSC007914</v>
      </c>
      <c r="B7880" s="41" t="str">
        <f>IFERROR(__xludf.DUMMYFUNCTION("""COMPUTED_VALUE"""),"VectorKClutch")</f>
        <v>VectorKClutch</v>
      </c>
    </row>
    <row r="7881">
      <c r="A7881" s="41" t="str">
        <f>IFERROR(__xludf.DUMMYFUNCTION("""COMPUTED_VALUE"""),"RSC007915")</f>
        <v>RSC007915</v>
      </c>
      <c r="B7881" s="41" t="str">
        <f>IFERROR(__xludf.DUMMYFUNCTION("""COMPUTED_VALUE"""),"elfpractice")</f>
        <v>elfpractice</v>
      </c>
    </row>
    <row r="7882">
      <c r="A7882" s="41" t="str">
        <f>IFERROR(__xludf.DUMMYFUNCTION("""COMPUTED_VALUE"""),"RSC007916")</f>
        <v>RSC007916</v>
      </c>
      <c r="B7882" s="41" t="str">
        <f>IFERROR(__xludf.DUMMYFUNCTION("""COMPUTED_VALUE"""),"TechKnowViking")</f>
        <v>TechKnowViking</v>
      </c>
    </row>
    <row r="7883">
      <c r="A7883" s="41" t="str">
        <f>IFERROR(__xludf.DUMMYFUNCTION("""COMPUTED_VALUE"""),"RSC007917")</f>
        <v>RSC007917</v>
      </c>
      <c r="B7883" s="41" t="str">
        <f>IFERROR(__xludf.DUMMYFUNCTION("""COMPUTED_VALUE"""),"waful.")</f>
        <v>waful.</v>
      </c>
    </row>
    <row r="7884">
      <c r="A7884" s="41" t="str">
        <f>IFERROR(__xludf.DUMMYFUNCTION("""COMPUTED_VALUE"""),"RSC007918")</f>
        <v>RSC007918</v>
      </c>
      <c r="B7884" s="41" t="str">
        <f>IFERROR(__xludf.DUMMYFUNCTION("""COMPUTED_VALUE"""),"TheBLKBoy")</f>
        <v>TheBLKBoy</v>
      </c>
    </row>
    <row r="7885">
      <c r="A7885" s="41" t="str">
        <f>IFERROR(__xludf.DUMMYFUNCTION("""COMPUTED_VALUE"""),"RSC007919")</f>
        <v>RSC007919</v>
      </c>
      <c r="B7885" s="41" t="str">
        <f>IFERROR(__xludf.DUMMYFUNCTION("""COMPUTED_VALUE"""),"Fishy")</f>
        <v>Fishy</v>
      </c>
    </row>
    <row r="7886">
      <c r="A7886" s="41" t="str">
        <f>IFERROR(__xludf.DUMMYFUNCTION("""COMPUTED_VALUE"""),"RSC007920")</f>
        <v>RSC007920</v>
      </c>
      <c r="B7886" s="41" t="str">
        <f>IFERROR(__xludf.DUMMYFUNCTION("""COMPUTED_VALUE"""),"Ocular8")</f>
        <v>Ocular8</v>
      </c>
    </row>
    <row r="7887">
      <c r="A7887" s="41" t="str">
        <f>IFERROR(__xludf.DUMMYFUNCTION("""COMPUTED_VALUE"""),"RSC007921")</f>
        <v>RSC007921</v>
      </c>
      <c r="B7887" s="41" t="str">
        <f>IFERROR(__xludf.DUMMYFUNCTION("""COMPUTED_VALUE"""),"sXCyBeast")</f>
        <v>sXCyBeast</v>
      </c>
    </row>
    <row r="7888">
      <c r="A7888" s="41" t="str">
        <f>IFERROR(__xludf.DUMMYFUNCTION("""COMPUTED_VALUE"""),"RSC007922")</f>
        <v>RSC007922</v>
      </c>
      <c r="B7888" s="41" t="str">
        <f>IFERROR(__xludf.DUMMYFUNCTION("""COMPUTED_VALUE"""),"BadGirlBex")</f>
        <v>BadGirlBex</v>
      </c>
    </row>
    <row r="7889">
      <c r="A7889" s="41" t="str">
        <f>IFERROR(__xludf.DUMMYFUNCTION("""COMPUTED_VALUE"""),"RSC007923")</f>
        <v>RSC007923</v>
      </c>
      <c r="B7889" s="41" t="str">
        <f>IFERROR(__xludf.DUMMYFUNCTION("""COMPUTED_VALUE"""),"Sphhhinx")</f>
        <v>Sphhhinx</v>
      </c>
    </row>
    <row r="7890">
      <c r="A7890" s="41" t="str">
        <f>IFERROR(__xludf.DUMMYFUNCTION("""COMPUTED_VALUE"""),"RSC007924")</f>
        <v>RSC007924</v>
      </c>
      <c r="B7890" s="41" t="str">
        <f>IFERROR(__xludf.DUMMYFUNCTION("""COMPUTED_VALUE"""),"Kaorix")</f>
        <v>Kaorix</v>
      </c>
    </row>
    <row r="7891">
      <c r="A7891" s="41" t="str">
        <f>IFERROR(__xludf.DUMMYFUNCTION("""COMPUTED_VALUE"""),"RSC007925")</f>
        <v>RSC007925</v>
      </c>
      <c r="B7891" s="41" t="str">
        <f>IFERROR(__xludf.DUMMYFUNCTION("""COMPUTED_VALUE"""),"Monkey")</f>
        <v>Monkey</v>
      </c>
    </row>
    <row r="7892">
      <c r="A7892" s="41" t="str">
        <f>IFERROR(__xludf.DUMMYFUNCTION("""COMPUTED_VALUE"""),"RSC007926")</f>
        <v>RSC007926</v>
      </c>
      <c r="B7892" s="41" t="str">
        <f>IFERROR(__xludf.DUMMYFUNCTION("""COMPUTED_VALUE"""),"hatch_soft")</f>
        <v>hatch_soft</v>
      </c>
    </row>
    <row r="7893">
      <c r="A7893" s="41" t="str">
        <f>IFERROR(__xludf.DUMMYFUNCTION("""COMPUTED_VALUE"""),"RSC007927")</f>
        <v>RSC007927</v>
      </c>
      <c r="B7893" s="41" t="str">
        <f>IFERROR(__xludf.DUMMYFUNCTION("""COMPUTED_VALUE"""),"shwg.")</f>
        <v>shwg.</v>
      </c>
    </row>
    <row r="7894">
      <c r="A7894" s="41" t="str">
        <f>IFERROR(__xludf.DUMMYFUNCTION("""COMPUTED_VALUE"""),"RSC007928")</f>
        <v>RSC007928</v>
      </c>
      <c r="B7894" s="41" t="str">
        <f>IFERROR(__xludf.DUMMYFUNCTION("""COMPUTED_VALUE"""),"rob2swag")</f>
        <v>rob2swag</v>
      </c>
    </row>
    <row r="7895">
      <c r="A7895" s="41" t="str">
        <f>IFERROR(__xludf.DUMMYFUNCTION("""COMPUTED_VALUE"""),"RSC007929")</f>
        <v>RSC007929</v>
      </c>
      <c r="B7895" s="41" t="str">
        <f>IFERROR(__xludf.DUMMYFUNCTION("""COMPUTED_VALUE"""),"Leaux Mane")</f>
        <v>Leaux Mane</v>
      </c>
    </row>
    <row r="7896">
      <c r="A7896" s="41" t="str">
        <f>IFERROR(__xludf.DUMMYFUNCTION("""COMPUTED_VALUE"""),"RSC007930")</f>
        <v>RSC007930</v>
      </c>
      <c r="B7896" s="41" t="str">
        <f>IFERROR(__xludf.DUMMYFUNCTION("""COMPUTED_VALUE"""),"Ziffy")</f>
        <v>Ziffy</v>
      </c>
    </row>
    <row r="7897">
      <c r="A7897" s="41" t="str">
        <f>IFERROR(__xludf.DUMMYFUNCTION("""COMPUTED_VALUE"""),"RSC007931")</f>
        <v>RSC007931</v>
      </c>
      <c r="B7897" s="41" t="str">
        <f>IFERROR(__xludf.DUMMYFUNCTION("""COMPUTED_VALUE"""),"lotusboi")</f>
        <v>lotusboi</v>
      </c>
    </row>
    <row r="7898">
      <c r="A7898" s="41" t="str">
        <f>IFERROR(__xludf.DUMMYFUNCTION("""COMPUTED_VALUE"""),"RSC007932")</f>
        <v>RSC007932</v>
      </c>
      <c r="B7898" s="41" t="str">
        <f>IFERROR(__xludf.DUMMYFUNCTION("""COMPUTED_VALUE"""),"Retr0_M")</f>
        <v>Retr0_M</v>
      </c>
    </row>
    <row r="7899">
      <c r="A7899" s="41" t="str">
        <f>IFERROR(__xludf.DUMMYFUNCTION("""COMPUTED_VALUE"""),"RSC007933")</f>
        <v>RSC007933</v>
      </c>
      <c r="B7899" s="41" t="str">
        <f>IFERROR(__xludf.DUMMYFUNCTION("""COMPUTED_VALUE"""),"Eth ^-^")</f>
        <v>Eth ^-^</v>
      </c>
    </row>
    <row r="7900">
      <c r="A7900" s="41" t="str">
        <f>IFERROR(__xludf.DUMMYFUNCTION("""COMPUTED_VALUE"""),"RSC007934")</f>
        <v>RSC007934</v>
      </c>
      <c r="B7900" s="41" t="str">
        <f>IFERROR(__xludf.DUMMYFUNCTION("""COMPUTED_VALUE"""),"Chicknn.")</f>
        <v>Chicknn.</v>
      </c>
    </row>
    <row r="7901">
      <c r="A7901" s="41" t="str">
        <f>IFERROR(__xludf.DUMMYFUNCTION("""COMPUTED_VALUE"""),"RSC007935")</f>
        <v>RSC007935</v>
      </c>
      <c r="B7901" s="41" t="str">
        <f>IFERROR(__xludf.DUMMYFUNCTION("""COMPUTED_VALUE"""),"iso.")</f>
        <v>iso.</v>
      </c>
    </row>
    <row r="7902">
      <c r="A7902" s="41" t="str">
        <f>IFERROR(__xludf.DUMMYFUNCTION("""COMPUTED_VALUE"""),"RSC007936")</f>
        <v>RSC007936</v>
      </c>
      <c r="B7902" s="41" t="str">
        <f>IFERROR(__xludf.DUMMYFUNCTION("""COMPUTED_VALUE"""),"Crazics")</f>
        <v>Crazics</v>
      </c>
    </row>
    <row r="7903">
      <c r="A7903" s="41" t="str">
        <f>IFERROR(__xludf.DUMMYFUNCTION("""COMPUTED_VALUE"""),"RSC007937")</f>
        <v>RSC007937</v>
      </c>
      <c r="B7903" s="41" t="str">
        <f>IFERROR(__xludf.DUMMYFUNCTION("""COMPUTED_VALUE"""),"Spidey")</f>
        <v>Spidey</v>
      </c>
    </row>
    <row r="7904">
      <c r="A7904" s="41" t="str">
        <f>IFERROR(__xludf.DUMMYFUNCTION("""COMPUTED_VALUE"""),"RSC007938")</f>
        <v>RSC007938</v>
      </c>
      <c r="B7904" s="41" t="str">
        <f>IFERROR(__xludf.DUMMYFUNCTION("""COMPUTED_VALUE"""),"Mr_Wilson30")</f>
        <v>Mr_Wilson30</v>
      </c>
    </row>
    <row r="7905">
      <c r="A7905" s="41" t="str">
        <f>IFERROR(__xludf.DUMMYFUNCTION("""COMPUTED_VALUE"""),"RSC007939")</f>
        <v>RSC007939</v>
      </c>
      <c r="B7905" s="41" t="str">
        <f>IFERROR(__xludf.DUMMYFUNCTION("""COMPUTED_VALUE"""),"bryan_rown_")</f>
        <v>bryan_rown_</v>
      </c>
    </row>
    <row r="7906">
      <c r="A7906" s="41" t="str">
        <f>IFERROR(__xludf.DUMMYFUNCTION("""COMPUTED_VALUE"""),"RSC007940")</f>
        <v>RSC007940</v>
      </c>
      <c r="B7906" s="41" t="str">
        <f>IFERROR(__xludf.DUMMYFUNCTION("""COMPUTED_VALUE"""),"DadMcStuffins")</f>
        <v>DadMcStuffins</v>
      </c>
    </row>
    <row r="7907">
      <c r="A7907" s="41" t="str">
        <f>IFERROR(__xludf.DUMMYFUNCTION("""COMPUTED_VALUE"""),"RSC007941")</f>
        <v>RSC007941</v>
      </c>
      <c r="B7907" s="41" t="str">
        <f>IFERROR(__xludf.DUMMYFUNCTION("""COMPUTED_VALUE"""),"Shepherd")</f>
        <v>Shepherd</v>
      </c>
    </row>
    <row r="7908">
      <c r="A7908" s="41" t="str">
        <f>IFERROR(__xludf.DUMMYFUNCTION("""COMPUTED_VALUE"""),"RSC007942")</f>
        <v>RSC007942</v>
      </c>
      <c r="B7908" s="41" t="str">
        <f>IFERROR(__xludf.DUMMYFUNCTION("""COMPUTED_VALUE"""),"JkillsEmAll")</f>
        <v>JkillsEmAll</v>
      </c>
    </row>
    <row r="7909">
      <c r="A7909" s="41" t="str">
        <f>IFERROR(__xludf.DUMMYFUNCTION("""COMPUTED_VALUE"""),"RSC007943")</f>
        <v>RSC007943</v>
      </c>
      <c r="B7909" s="41" t="str">
        <f>IFERROR(__xludf.DUMMYFUNCTION("""COMPUTED_VALUE"""),"scrapsSZN-")</f>
        <v>scrapsSZN-</v>
      </c>
    </row>
    <row r="7910">
      <c r="A7910" s="41" t="str">
        <f>IFERROR(__xludf.DUMMYFUNCTION("""COMPUTED_VALUE"""),"RSC007944")</f>
        <v>RSC007944</v>
      </c>
      <c r="B7910" s="41" t="str">
        <f>IFERROR(__xludf.DUMMYFUNCTION("""COMPUTED_VALUE"""),"Chacaboom")</f>
        <v>Chacaboom</v>
      </c>
    </row>
    <row r="7911">
      <c r="A7911" s="41" t="str">
        <f>IFERROR(__xludf.DUMMYFUNCTION("""COMPUTED_VALUE"""),"RSC007945")</f>
        <v>RSC007945</v>
      </c>
      <c r="B7911" s="41" t="str">
        <f>IFERROR(__xludf.DUMMYFUNCTION("""COMPUTED_VALUE"""),"Dasstri")</f>
        <v>Dasstri</v>
      </c>
    </row>
    <row r="7912">
      <c r="A7912" s="41" t="str">
        <f>IFERROR(__xludf.DUMMYFUNCTION("""COMPUTED_VALUE"""),"RSC007946")</f>
        <v>RSC007946</v>
      </c>
      <c r="B7912" s="41" t="str">
        <f>IFERROR(__xludf.DUMMYFUNCTION("""COMPUTED_VALUE"""),"hagerity_tv")</f>
        <v>hagerity_tv</v>
      </c>
    </row>
    <row r="7913">
      <c r="A7913" s="41" t="str">
        <f>IFERROR(__xludf.DUMMYFUNCTION("""COMPUTED_VALUE"""),"RSC007947")</f>
        <v>RSC007947</v>
      </c>
      <c r="B7913" s="41" t="str">
        <f>IFERROR(__xludf.DUMMYFUNCTION("""COMPUTED_VALUE"""),"Gizzlah")</f>
        <v>Gizzlah</v>
      </c>
    </row>
    <row r="7914">
      <c r="A7914" s="41" t="str">
        <f>IFERROR(__xludf.DUMMYFUNCTION("""COMPUTED_VALUE"""),"RSC007948")</f>
        <v>RSC007948</v>
      </c>
      <c r="B7914" s="41" t="str">
        <f>IFERROR(__xludf.DUMMYFUNCTION("""COMPUTED_VALUE"""),"Bwezzy._.")</f>
        <v>Bwezzy._.</v>
      </c>
    </row>
    <row r="7915">
      <c r="A7915" s="41" t="str">
        <f>IFERROR(__xludf.DUMMYFUNCTION("""COMPUTED_VALUE"""),"RSC007949")</f>
        <v>RSC007949</v>
      </c>
      <c r="B7915" s="41" t="str">
        <f>IFERROR(__xludf.DUMMYFUNCTION("""COMPUTED_VALUE"""),"Tyyy.")</f>
        <v>Tyyy.</v>
      </c>
    </row>
    <row r="7916">
      <c r="A7916" s="41" t="str">
        <f>IFERROR(__xludf.DUMMYFUNCTION("""COMPUTED_VALUE"""),"RSC007950")</f>
        <v>RSC007950</v>
      </c>
      <c r="B7916" s="41" t="str">
        <f>IFERROR(__xludf.DUMMYFUNCTION("""COMPUTED_VALUE"""),"StrawHatMage")</f>
        <v>StrawHatMage</v>
      </c>
    </row>
    <row r="7917">
      <c r="A7917" s="41" t="str">
        <f>IFERROR(__xludf.DUMMYFUNCTION("""COMPUTED_VALUE"""),"RSC007951")</f>
        <v>RSC007951</v>
      </c>
      <c r="B7917" s="41" t="str">
        <f>IFERROR(__xludf.DUMMYFUNCTION("""COMPUTED_VALUE"""),"Phoenix2008")</f>
        <v>Phoenix2008</v>
      </c>
    </row>
    <row r="7918">
      <c r="A7918" s="41" t="str">
        <f>IFERROR(__xludf.DUMMYFUNCTION("""COMPUTED_VALUE"""),"RSC007952")</f>
        <v>RSC007952</v>
      </c>
      <c r="B7918" s="41" t="str">
        <f>IFERROR(__xludf.DUMMYFUNCTION("""COMPUTED_VALUE"""),"bog")</f>
        <v>bog</v>
      </c>
    </row>
    <row r="7919">
      <c r="A7919" s="41" t="str">
        <f>IFERROR(__xludf.DUMMYFUNCTION("""COMPUTED_VALUE"""),"RSC007953")</f>
        <v>RSC007953</v>
      </c>
      <c r="B7919" s="41" t="str">
        <f>IFERROR(__xludf.DUMMYFUNCTION("""COMPUTED_VALUE"""),"ANGELLLLLLL.")</f>
        <v>ANGELLLLLLL.</v>
      </c>
    </row>
    <row r="7920">
      <c r="A7920" s="41" t="str">
        <f>IFERROR(__xludf.DUMMYFUNCTION("""COMPUTED_VALUE"""),"RSC007954")</f>
        <v>RSC007954</v>
      </c>
      <c r="B7920" s="41" t="str">
        <f>IFERROR(__xludf.DUMMYFUNCTION("""COMPUTED_VALUE"""),"Killer")</f>
        <v>Killer</v>
      </c>
    </row>
    <row r="7921">
      <c r="A7921" s="41" t="str">
        <f>IFERROR(__xludf.DUMMYFUNCTION("""COMPUTED_VALUE"""),"RSC007955")</f>
        <v>RSC007955</v>
      </c>
      <c r="B7921" s="41" t="str">
        <f>IFERROR(__xludf.DUMMYFUNCTION("""COMPUTED_VALUE"""),"JonathanVanDyk")</f>
        <v>JonathanVanDyk</v>
      </c>
    </row>
    <row r="7922">
      <c r="A7922" s="41" t="str">
        <f>IFERROR(__xludf.DUMMYFUNCTION("""COMPUTED_VALUE"""),"RSC007956")</f>
        <v>RSC007956</v>
      </c>
      <c r="B7922" s="41" t="str">
        <f>IFERROR(__xludf.DUMMYFUNCTION("""COMPUTED_VALUE"""),"JxstTrail")</f>
        <v>JxstTrail</v>
      </c>
    </row>
    <row r="7923">
      <c r="A7923" s="41" t="str">
        <f>IFERROR(__xludf.DUMMYFUNCTION("""COMPUTED_VALUE"""),"RSC007957")</f>
        <v>RSC007957</v>
      </c>
      <c r="B7923" s="41" t="str">
        <f>IFERROR(__xludf.DUMMYFUNCTION("""COMPUTED_VALUE"""),"RealityXBX")</f>
        <v>RealityXBX</v>
      </c>
    </row>
    <row r="7924">
      <c r="A7924" s="41" t="str">
        <f>IFERROR(__xludf.DUMMYFUNCTION("""COMPUTED_VALUE"""),"RSC007958")</f>
        <v>RSC007958</v>
      </c>
      <c r="B7924" s="41" t="str">
        <f>IFERROR(__xludf.DUMMYFUNCTION("""COMPUTED_VALUE"""),"SE AT WORK")</f>
        <v>SE AT WORK</v>
      </c>
    </row>
    <row r="7925">
      <c r="A7925" s="41" t="str">
        <f>IFERROR(__xludf.DUMMYFUNCTION("""COMPUTED_VALUE"""),"RSC007959")</f>
        <v>RSC007959</v>
      </c>
      <c r="B7925" s="41" t="str">
        <f>IFERROR(__xludf.DUMMYFUNCTION("""COMPUTED_VALUE"""),"Cam")</f>
        <v>Cam</v>
      </c>
    </row>
    <row r="7926">
      <c r="A7926" s="41" t="str">
        <f>IFERROR(__xludf.DUMMYFUNCTION("""COMPUTED_VALUE"""),"RSC007960")</f>
        <v>RSC007960</v>
      </c>
      <c r="B7926" s="41" t="str">
        <f>IFERROR(__xludf.DUMMYFUNCTION("""COMPUTED_VALUE"""),"Kayo")</f>
        <v>Kayo</v>
      </c>
    </row>
    <row r="7927">
      <c r="A7927" s="41" t="str">
        <f>IFERROR(__xludf.DUMMYFUNCTION("""COMPUTED_VALUE"""),"RSC007961")</f>
        <v>RSC007961</v>
      </c>
      <c r="B7927" s="41" t="str">
        <f>IFERROR(__xludf.DUMMYFUNCTION("""COMPUTED_VALUE"""),"Skrilpp")</f>
        <v>Skrilpp</v>
      </c>
    </row>
    <row r="7928">
      <c r="A7928" s="41" t="str">
        <f>IFERROR(__xludf.DUMMYFUNCTION("""COMPUTED_VALUE"""),"RSC007962")</f>
        <v>RSC007962</v>
      </c>
      <c r="B7928" s="41" t="str">
        <f>IFERROR(__xludf.DUMMYFUNCTION("""COMPUTED_VALUE"""),"Kamikazi")</f>
        <v>Kamikazi</v>
      </c>
    </row>
    <row r="7929">
      <c r="A7929" s="41" t="str">
        <f>IFERROR(__xludf.DUMMYFUNCTION("""COMPUTED_VALUE"""),"RSC007963")</f>
        <v>RSC007963</v>
      </c>
      <c r="B7929" s="41" t="str">
        <f>IFERROR(__xludf.DUMMYFUNCTION("""COMPUTED_VALUE"""),"F1nny.")</f>
        <v>F1nny.</v>
      </c>
    </row>
    <row r="7930">
      <c r="A7930" s="41" t="str">
        <f>IFERROR(__xludf.DUMMYFUNCTION("""COMPUTED_VALUE"""),"RSC007964")</f>
        <v>RSC007964</v>
      </c>
      <c r="B7930" s="41" t="str">
        <f>IFERROR(__xludf.DUMMYFUNCTION("""COMPUTED_VALUE"""),"Buxter")</f>
        <v>Buxter</v>
      </c>
    </row>
    <row r="7931">
      <c r="A7931" s="41" t="str">
        <f>IFERROR(__xludf.DUMMYFUNCTION("""COMPUTED_VALUE"""),"RSC007965")</f>
        <v>RSC007965</v>
      </c>
      <c r="B7931" s="41" t="str">
        <f>IFERROR(__xludf.DUMMYFUNCTION("""COMPUTED_VALUE"""),"tbhzeno")</f>
        <v>tbhzeno</v>
      </c>
    </row>
    <row r="7932">
      <c r="A7932" s="41" t="str">
        <f>IFERROR(__xludf.DUMMYFUNCTION("""COMPUTED_VALUE"""),"RSC007966")</f>
        <v>RSC007966</v>
      </c>
      <c r="B7932" s="41" t="str">
        <f>IFERROR(__xludf.DUMMYFUNCTION("""COMPUTED_VALUE"""),"dren")</f>
        <v>dren</v>
      </c>
    </row>
    <row r="7933">
      <c r="A7933" s="41" t="str">
        <f>IFERROR(__xludf.DUMMYFUNCTION("""COMPUTED_VALUE"""),"RSC007967")</f>
        <v>RSC007967</v>
      </c>
      <c r="B7933" s="41" t="str">
        <f>IFERROR(__xludf.DUMMYFUNCTION("""COMPUTED_VALUE"""),"davisino1605")</f>
        <v>davisino1605</v>
      </c>
    </row>
    <row r="7934">
      <c r="A7934" s="41" t="str">
        <f>IFERROR(__xludf.DUMMYFUNCTION("""COMPUTED_VALUE"""),"RSC007968")</f>
        <v>RSC007968</v>
      </c>
      <c r="B7934" s="41" t="str">
        <f>IFERROR(__xludf.DUMMYFUNCTION("""COMPUTED_VALUE"""),"glow")</f>
        <v>glow</v>
      </c>
    </row>
    <row r="7935">
      <c r="A7935" s="41" t="str">
        <f>IFERROR(__xludf.DUMMYFUNCTION("""COMPUTED_VALUE"""),"RSC007969")</f>
        <v>RSC007969</v>
      </c>
      <c r="B7935" s="41" t="str">
        <f>IFERROR(__xludf.DUMMYFUNCTION("""COMPUTED_VALUE"""),"EcHo.rll")</f>
        <v>EcHo.rll</v>
      </c>
    </row>
    <row r="7936">
      <c r="A7936" s="41" t="str">
        <f>IFERROR(__xludf.DUMMYFUNCTION("""COMPUTED_VALUE"""),"RSC007970")</f>
        <v>RSC007970</v>
      </c>
      <c r="B7936" s="41" t="str">
        <f>IFERROR(__xludf.DUMMYFUNCTION("""COMPUTED_VALUE"""),"sKyLlGHTz")</f>
        <v>sKyLlGHTz</v>
      </c>
    </row>
    <row r="7937">
      <c r="A7937" s="41" t="str">
        <f>IFERROR(__xludf.DUMMYFUNCTION("""COMPUTED_VALUE"""),"RSC007971")</f>
        <v>RSC007971</v>
      </c>
      <c r="B7937" s="41" t="str">
        <f>IFERROR(__xludf.DUMMYFUNCTION("""COMPUTED_VALUE"""),"WILLMAxFINGERDO")</f>
        <v>WILLMAxFINGERDO</v>
      </c>
    </row>
    <row r="7938">
      <c r="A7938" s="41" t="str">
        <f>IFERROR(__xludf.DUMMYFUNCTION("""COMPUTED_VALUE"""),"RSC007972")</f>
        <v>RSC007972</v>
      </c>
      <c r="B7938" s="41" t="str">
        <f>IFERROR(__xludf.DUMMYFUNCTION("""COMPUTED_VALUE"""),"vKipy")</f>
        <v>vKipy</v>
      </c>
    </row>
    <row r="7939">
      <c r="A7939" s="41" t="str">
        <f>IFERROR(__xludf.DUMMYFUNCTION("""COMPUTED_VALUE"""),"RSC007973")</f>
        <v>RSC007973</v>
      </c>
      <c r="B7939" s="41" t="str">
        <f>IFERROR(__xludf.DUMMYFUNCTION("""COMPUTED_VALUE"""),"stuttterd")</f>
        <v>stuttterd</v>
      </c>
    </row>
    <row r="7940">
      <c r="A7940" s="41" t="str">
        <f>IFERROR(__xludf.DUMMYFUNCTION("""COMPUTED_VALUE"""),"RSC007974")</f>
        <v>RSC007974</v>
      </c>
      <c r="B7940" s="41" t="str">
        <f>IFERROR(__xludf.DUMMYFUNCTION("""COMPUTED_VALUE"""),"ChilloutGames")</f>
        <v>ChilloutGames</v>
      </c>
    </row>
    <row r="7941">
      <c r="A7941" s="41" t="str">
        <f>IFERROR(__xludf.DUMMYFUNCTION("""COMPUTED_VALUE"""),"RSC007975")</f>
        <v>RSC007975</v>
      </c>
      <c r="B7941" s="41" t="str">
        <f>IFERROR(__xludf.DUMMYFUNCTION("""COMPUTED_VALUE"""),"egor")</f>
        <v>egor</v>
      </c>
    </row>
    <row r="7942">
      <c r="A7942" s="41" t="str">
        <f>IFERROR(__xludf.DUMMYFUNCTION("""COMPUTED_VALUE"""),"RSC007976")</f>
        <v>RSC007976</v>
      </c>
      <c r="B7942" s="41" t="str">
        <f>IFERROR(__xludf.DUMMYFUNCTION("""COMPUTED_VALUE"""),"Just Kraze")</f>
        <v>Just Kraze</v>
      </c>
    </row>
    <row r="7943">
      <c r="A7943" s="41" t="str">
        <f>IFERROR(__xludf.DUMMYFUNCTION("""COMPUTED_VALUE"""),"RSC007977")</f>
        <v>RSC007977</v>
      </c>
      <c r="B7943" s="41" t="str">
        <f>IFERROR(__xludf.DUMMYFUNCTION("""COMPUTED_VALUE"""),"Woltaż ツ")</f>
        <v>Woltaż ツ</v>
      </c>
    </row>
    <row r="7944">
      <c r="A7944" s="41" t="str">
        <f>IFERROR(__xludf.DUMMYFUNCTION("""COMPUTED_VALUE"""),"RSC007978")</f>
        <v>RSC007978</v>
      </c>
      <c r="B7944" s="41" t="str">
        <f>IFERROR(__xludf.DUMMYFUNCTION("""COMPUTED_VALUE"""),"AwesomeSaucerArc")</f>
        <v>AwesomeSaucerArc</v>
      </c>
    </row>
    <row r="7945">
      <c r="A7945" s="41" t="str">
        <f>IFERROR(__xludf.DUMMYFUNCTION("""COMPUTED_VALUE"""),"RSC007979")</f>
        <v>RSC007979</v>
      </c>
      <c r="B7945" s="41" t="str">
        <f>IFERROR(__xludf.DUMMYFUNCTION("""COMPUTED_VALUE"""),"Xply Blaze")</f>
        <v>Xply Blaze</v>
      </c>
    </row>
    <row r="7946">
      <c r="A7946" s="41" t="str">
        <f>IFERROR(__xludf.DUMMYFUNCTION("""COMPUTED_VALUE"""),"RSC007980")</f>
        <v>RSC007980</v>
      </c>
      <c r="B7946" s="41" t="str">
        <f>IFERROR(__xludf.DUMMYFUNCTION("""COMPUTED_VALUE"""),"TTV_stickygympy")</f>
        <v>TTV_stickygympy</v>
      </c>
    </row>
    <row r="7947">
      <c r="A7947" s="41" t="str">
        <f>IFERROR(__xludf.DUMMYFUNCTION("""COMPUTED_VALUE"""),"RSC007981")</f>
        <v>RSC007981</v>
      </c>
      <c r="B7947" s="41" t="str">
        <f>IFERROR(__xludf.DUMMYFUNCTION("""COMPUTED_VALUE"""),"DoVa_GG")</f>
        <v>DoVa_GG</v>
      </c>
    </row>
    <row r="7948">
      <c r="A7948" s="41" t="str">
        <f>IFERROR(__xludf.DUMMYFUNCTION("""COMPUTED_VALUE"""),"RSC007982")</f>
        <v>RSC007982</v>
      </c>
      <c r="B7948" s="41" t="str">
        <f>IFERROR(__xludf.DUMMYFUNCTION("""COMPUTED_VALUE"""),"Cadomac")</f>
        <v>Cadomac</v>
      </c>
    </row>
    <row r="7949">
      <c r="A7949" s="41" t="str">
        <f>IFERROR(__xludf.DUMMYFUNCTION("""COMPUTED_VALUE"""),"RSC007983")</f>
        <v>RSC007983</v>
      </c>
      <c r="B7949" s="41" t="str">
        <f>IFERROR(__xludf.DUMMYFUNCTION("""COMPUTED_VALUE"""),"Bino.")</f>
        <v>Bino.</v>
      </c>
    </row>
    <row r="7950">
      <c r="A7950" s="41" t="str">
        <f>IFERROR(__xludf.DUMMYFUNCTION("""COMPUTED_VALUE"""),"RSC007984")</f>
        <v>RSC007984</v>
      </c>
      <c r="B7950" s="41" t="str">
        <f>IFERROR(__xludf.DUMMYFUNCTION("""COMPUTED_VALUE"""),"Chadzleyy")</f>
        <v>Chadzleyy</v>
      </c>
    </row>
    <row r="7951">
      <c r="A7951" s="41" t="str">
        <f>IFERROR(__xludf.DUMMYFUNCTION("""COMPUTED_VALUE"""),"RSC007985")</f>
        <v>RSC007985</v>
      </c>
      <c r="B7951" s="41" t="str">
        <f>IFERROR(__xludf.DUMMYFUNCTION("""COMPUTED_VALUE"""),"thegr8est34")</f>
        <v>thegr8est34</v>
      </c>
    </row>
    <row r="7952">
      <c r="A7952" s="41" t="str">
        <f>IFERROR(__xludf.DUMMYFUNCTION("""COMPUTED_VALUE"""),"RSC007986")</f>
        <v>RSC007986</v>
      </c>
      <c r="B7952" s="41" t="str">
        <f>IFERROR(__xludf.DUMMYFUNCTION("""COMPUTED_VALUE"""),"mrcrbass.")</f>
        <v>mrcrbass.</v>
      </c>
    </row>
    <row r="7953">
      <c r="A7953" s="41" t="str">
        <f>IFERROR(__xludf.DUMMYFUNCTION("""COMPUTED_VALUE"""),"RSC007987")</f>
        <v>RSC007987</v>
      </c>
      <c r="B7953" s="41" t="str">
        <f>IFERROR(__xludf.DUMMYFUNCTION("""COMPUTED_VALUE"""),"999gav")</f>
        <v>999gav</v>
      </c>
    </row>
    <row r="7954">
      <c r="A7954" s="41" t="str">
        <f>IFERROR(__xludf.DUMMYFUNCTION("""COMPUTED_VALUE"""),"RSC007988")</f>
        <v>RSC007988</v>
      </c>
      <c r="B7954" s="41" t="str">
        <f>IFERROR(__xludf.DUMMYFUNCTION("""COMPUTED_VALUE"""),"yukihara")</f>
        <v>yukihara</v>
      </c>
    </row>
    <row r="7955">
      <c r="A7955" s="41" t="str">
        <f>IFERROR(__xludf.DUMMYFUNCTION("""COMPUTED_VALUE"""),"RSC007989")</f>
        <v>RSC007989</v>
      </c>
      <c r="B7955" s="41" t="str">
        <f>IFERROR(__xludf.DUMMYFUNCTION("""COMPUTED_VALUE"""),"Timo")</f>
        <v>Timo</v>
      </c>
    </row>
    <row r="7956">
      <c r="A7956" s="41" t="str">
        <f>IFERROR(__xludf.DUMMYFUNCTION("""COMPUTED_VALUE"""),"RSC007990")</f>
        <v>RSC007990</v>
      </c>
      <c r="B7956" s="41" t="str">
        <f>IFERROR(__xludf.DUMMYFUNCTION("""COMPUTED_VALUE"""),"Vexamed")</f>
        <v>Vexamed</v>
      </c>
    </row>
    <row r="7957">
      <c r="A7957" s="41" t="str">
        <f>IFERROR(__xludf.DUMMYFUNCTION("""COMPUTED_VALUE"""),"RSC007991")</f>
        <v>RSC007991</v>
      </c>
      <c r="B7957" s="41" t="str">
        <f>IFERROR(__xludf.DUMMYFUNCTION("""COMPUTED_VALUE"""),"TTV 50D Drew")</f>
        <v>TTV 50D Drew</v>
      </c>
    </row>
    <row r="7958">
      <c r="A7958" s="41" t="str">
        <f>IFERROR(__xludf.DUMMYFUNCTION("""COMPUTED_VALUE"""),"RSC007992")</f>
        <v>RSC007992</v>
      </c>
      <c r="B7958" s="41" t="str">
        <f>IFERROR(__xludf.DUMMYFUNCTION("""COMPUTED_VALUE"""),"saint dub")</f>
        <v>saint dub</v>
      </c>
    </row>
    <row r="7959">
      <c r="A7959" s="41" t="str">
        <f>IFERROR(__xludf.DUMMYFUNCTION("""COMPUTED_VALUE"""),"RSC007993")</f>
        <v>RSC007993</v>
      </c>
      <c r="B7959" s="41" t="str">
        <f>IFERROR(__xludf.DUMMYFUNCTION("""COMPUTED_VALUE"""),"Origami Box")</f>
        <v>Origami Box</v>
      </c>
    </row>
    <row r="7960">
      <c r="A7960" s="41" t="str">
        <f>IFERROR(__xludf.DUMMYFUNCTION("""COMPUTED_VALUE"""),"RSC007994")</f>
        <v>RSC007994</v>
      </c>
      <c r="B7960" s="41" t="str">
        <f>IFERROR(__xludf.DUMMYFUNCTION("""COMPUTED_VALUE"""),"Khaelith")</f>
        <v>Khaelith</v>
      </c>
    </row>
    <row r="7961">
      <c r="A7961" s="41" t="str">
        <f>IFERROR(__xludf.DUMMYFUNCTION("""COMPUTED_VALUE"""),"RSC007995")</f>
        <v>RSC007995</v>
      </c>
      <c r="B7961" s="41" t="str">
        <f>IFERROR(__xludf.DUMMYFUNCTION("""COMPUTED_VALUE"""),"Tylanz")</f>
        <v>Tylanz</v>
      </c>
    </row>
    <row r="7962">
      <c r="A7962" s="41" t="str">
        <f>IFERROR(__xludf.DUMMYFUNCTION("""COMPUTED_VALUE"""),"RSC007996")</f>
        <v>RSC007996</v>
      </c>
      <c r="B7962" s="41" t="str">
        <f>IFERROR(__xludf.DUMMYFUNCTION("""COMPUTED_VALUE"""),"Messier 67")</f>
        <v>Messier 67</v>
      </c>
    </row>
    <row r="7963">
      <c r="A7963" s="41" t="str">
        <f>IFERROR(__xludf.DUMMYFUNCTION("""COMPUTED_VALUE"""),"RSC007997")</f>
        <v>RSC007997</v>
      </c>
      <c r="B7963" s="41" t="str">
        <f>IFERROR(__xludf.DUMMYFUNCTION("""COMPUTED_VALUE"""),"dreamyrll")</f>
        <v>dreamyrll</v>
      </c>
    </row>
    <row r="7964">
      <c r="A7964" s="41" t="str">
        <f>IFERROR(__xludf.DUMMYFUNCTION("""COMPUTED_VALUE"""),"RSC007998")</f>
        <v>RSC007998</v>
      </c>
      <c r="B7964" s="41" t="str">
        <f>IFERROR(__xludf.DUMMYFUNCTION("""COMPUTED_VALUE"""),"Moseidon")</f>
        <v>Moseidon</v>
      </c>
    </row>
    <row r="7965">
      <c r="A7965" s="41" t="str">
        <f>IFERROR(__xludf.DUMMYFUNCTION("""COMPUTED_VALUE"""),"RSC007999")</f>
        <v>RSC007999</v>
      </c>
      <c r="B7965" s="41" t="str">
        <f>IFERROR(__xludf.DUMMYFUNCTION("""COMPUTED_VALUE"""),"MerzR")</f>
        <v>MerzR</v>
      </c>
    </row>
    <row r="7966">
      <c r="A7966" s="41" t="str">
        <f>IFERROR(__xludf.DUMMYFUNCTION("""COMPUTED_VALUE"""),"RSC008000")</f>
        <v>RSC008000</v>
      </c>
      <c r="B7966" s="41" t="str">
        <f>IFERROR(__xludf.DUMMYFUNCTION("""COMPUTED_VALUE"""),"ChefHoffy")</f>
        <v>ChefHoffy</v>
      </c>
    </row>
    <row r="7967">
      <c r="A7967" s="41" t="str">
        <f>IFERROR(__xludf.DUMMYFUNCTION("""COMPUTED_VALUE"""),"RSC008001")</f>
        <v>RSC008001</v>
      </c>
      <c r="B7967" s="41" t="str">
        <f>IFERROR(__xludf.DUMMYFUNCTION("""COMPUTED_VALUE"""),"Zirr_Grzzlr")</f>
        <v>Zirr_Grzzlr</v>
      </c>
    </row>
    <row r="7968">
      <c r="A7968" s="41" t="str">
        <f>IFERROR(__xludf.DUMMYFUNCTION("""COMPUTED_VALUE"""),"RSC008002")</f>
        <v>RSC008002</v>
      </c>
      <c r="B7968" s="41" t="str">
        <f>IFERROR(__xludf.DUMMYFUNCTION("""COMPUTED_VALUE"""),"minipilots")</f>
        <v>minipilots</v>
      </c>
    </row>
    <row r="7969">
      <c r="A7969" s="41" t="str">
        <f>IFERROR(__xludf.DUMMYFUNCTION("""COMPUTED_VALUE"""),"RSC008003")</f>
        <v>RSC008003</v>
      </c>
      <c r="B7969" s="41" t="str">
        <f>IFERROR(__xludf.DUMMYFUNCTION("""COMPUTED_VALUE"""),"Bronzetpole")</f>
        <v>Bronzetpole</v>
      </c>
    </row>
    <row r="7970">
      <c r="A7970" s="41" t="str">
        <f>IFERROR(__xludf.DUMMYFUNCTION("""COMPUTED_VALUE"""),"RSC008004")</f>
        <v>RSC008004</v>
      </c>
      <c r="B7970" s="41" t="str">
        <f>IFERROR(__xludf.DUMMYFUNCTION("""COMPUTED_VALUE"""),"millywampwamp")</f>
        <v>millywampwamp</v>
      </c>
    </row>
    <row r="7971">
      <c r="A7971" s="41" t="str">
        <f>IFERROR(__xludf.DUMMYFUNCTION("""COMPUTED_VALUE"""),"RSC008005")</f>
        <v>RSC008005</v>
      </c>
      <c r="B7971" s="41" t="str">
        <f>IFERROR(__xludf.DUMMYFUNCTION("""COMPUTED_VALUE"""),"Groszy_")</f>
        <v>Groszy_</v>
      </c>
    </row>
    <row r="7972">
      <c r="A7972" s="41" t="str">
        <f>IFERROR(__xludf.DUMMYFUNCTION("""COMPUTED_VALUE"""),"RSC008006")</f>
        <v>RSC008006</v>
      </c>
      <c r="B7972" s="41" t="str">
        <f>IFERROR(__xludf.DUMMYFUNCTION("""COMPUTED_VALUE"""),"RXCKOMODE")</f>
        <v>RXCKOMODE</v>
      </c>
    </row>
    <row r="7973">
      <c r="A7973" s="41" t="str">
        <f>IFERROR(__xludf.DUMMYFUNCTION("""COMPUTED_VALUE"""),"RSC008007")</f>
        <v>RSC008007</v>
      </c>
      <c r="B7973" s="41" t="str">
        <f>IFERROR(__xludf.DUMMYFUNCTION("""COMPUTED_VALUE"""),"Frog_Boot")</f>
        <v>Frog_Boot</v>
      </c>
    </row>
    <row r="7974">
      <c r="A7974" s="41" t="str">
        <f>IFERROR(__xludf.DUMMYFUNCTION("""COMPUTED_VALUE"""),"RSC008008")</f>
        <v>RSC008008</v>
      </c>
      <c r="B7974" s="41" t="str">
        <f>IFERROR(__xludf.DUMMYFUNCTION("""COMPUTED_VALUE"""),"feel")</f>
        <v>feel</v>
      </c>
    </row>
    <row r="7975">
      <c r="A7975" s="41" t="str">
        <f>IFERROR(__xludf.DUMMYFUNCTION("""COMPUTED_VALUE"""),"RSC008009")</f>
        <v>RSC008009</v>
      </c>
      <c r="B7975" s="41" t="str">
        <f>IFERROR(__xludf.DUMMYFUNCTION("""COMPUTED_VALUE"""),"Drizd.")</f>
        <v>Drizd.</v>
      </c>
    </row>
    <row r="7976">
      <c r="A7976" s="41" t="str">
        <f>IFERROR(__xludf.DUMMYFUNCTION("""COMPUTED_VALUE"""),"RSC008010")</f>
        <v>RSC008010</v>
      </c>
      <c r="B7976" s="41" t="str">
        <f>IFERROR(__xludf.DUMMYFUNCTION("""COMPUTED_VALUE"""),"WamBamTYMan-")</f>
        <v>WamBamTYMan-</v>
      </c>
    </row>
    <row r="7977">
      <c r="A7977" s="41" t="str">
        <f>IFERROR(__xludf.DUMMYFUNCTION("""COMPUTED_VALUE"""),"RSC008011")</f>
        <v>RSC008011</v>
      </c>
      <c r="B7977" s="41" t="str">
        <f>IFERROR(__xludf.DUMMYFUNCTION("""COMPUTED_VALUE"""),"250lean")</f>
        <v>250lean</v>
      </c>
    </row>
    <row r="7978">
      <c r="A7978" s="41" t="str">
        <f>IFERROR(__xludf.DUMMYFUNCTION("""COMPUTED_VALUE"""),"RSC008012")</f>
        <v>RSC008012</v>
      </c>
      <c r="B7978" s="41" t="str">
        <f>IFERROR(__xludf.DUMMYFUNCTION("""COMPUTED_VALUE"""),"mushxie")</f>
        <v>mushxie</v>
      </c>
    </row>
    <row r="7979">
      <c r="A7979" s="41" t="str">
        <f>IFERROR(__xludf.DUMMYFUNCTION("""COMPUTED_VALUE"""),"RSC008013")</f>
        <v>RSC008013</v>
      </c>
      <c r="B7979" s="41" t="str">
        <f>IFERROR(__xludf.DUMMYFUNCTION("""COMPUTED_VALUE"""),"Faux Faking")</f>
        <v>Faux Faking</v>
      </c>
    </row>
    <row r="7980">
      <c r="A7980" s="41" t="str">
        <f>IFERROR(__xludf.DUMMYFUNCTION("""COMPUTED_VALUE"""),"RSC008014")</f>
        <v>RSC008014</v>
      </c>
      <c r="B7980" s="41" t="str">
        <f>IFERROR(__xludf.DUMMYFUNCTION("""COMPUTED_VALUE"""),"TweakingOut")</f>
        <v>TweakingOut</v>
      </c>
    </row>
    <row r="7981">
      <c r="A7981" s="41" t="str">
        <f>IFERROR(__xludf.DUMMYFUNCTION("""COMPUTED_VALUE"""),"RSC008015")</f>
        <v>RSC008015</v>
      </c>
      <c r="B7981" s="41" t="str">
        <f>IFERROR(__xludf.DUMMYFUNCTION("""COMPUTED_VALUE"""),"Fro | Cowboi")</f>
        <v>Fro | Cowboi</v>
      </c>
    </row>
    <row r="7982">
      <c r="A7982" s="41" t="str">
        <f>IFERROR(__xludf.DUMMYFUNCTION("""COMPUTED_VALUE"""),"RSC008016")</f>
        <v>RSC008016</v>
      </c>
      <c r="B7982" s="41" t="str">
        <f>IFERROR(__xludf.DUMMYFUNCTION("""COMPUTED_VALUE"""),"XD_ENDEAVOR_DX")</f>
        <v>XD_ENDEAVOR_DX</v>
      </c>
    </row>
    <row r="7983">
      <c r="A7983" s="41" t="str">
        <f>IFERROR(__xludf.DUMMYFUNCTION("""COMPUTED_VALUE"""),"RSC008017")</f>
        <v>RSC008017</v>
      </c>
      <c r="B7983" s="41" t="str">
        <f>IFERROR(__xludf.DUMMYFUNCTION("""COMPUTED_VALUE"""),"bango")</f>
        <v>bango</v>
      </c>
    </row>
    <row r="7984">
      <c r="A7984" s="41" t="str">
        <f>IFERROR(__xludf.DUMMYFUNCTION("""COMPUTED_VALUE"""),"RSC008018")</f>
        <v>RSC008018</v>
      </c>
      <c r="B7984" s="41" t="str">
        <f>IFERROR(__xludf.DUMMYFUNCTION("""COMPUTED_VALUE"""),"Apology")</f>
        <v>Apology</v>
      </c>
    </row>
    <row r="7985">
      <c r="A7985" s="41" t="str">
        <f>IFERROR(__xludf.DUMMYFUNCTION("""COMPUTED_VALUE"""),"RSC008019")</f>
        <v>RSC008019</v>
      </c>
      <c r="B7985" s="41" t="str">
        <f>IFERROR(__xludf.DUMMYFUNCTION("""COMPUTED_VALUE"""),"Smbra.")</f>
        <v>Smbra.</v>
      </c>
    </row>
    <row r="7986">
      <c r="A7986" s="41" t="str">
        <f>IFERROR(__xludf.DUMMYFUNCTION("""COMPUTED_VALUE"""),"RSC008020")</f>
        <v>RSC008020</v>
      </c>
      <c r="B7986" s="41" t="str">
        <f>IFERROR(__xludf.DUMMYFUNCTION("""COMPUTED_VALUE"""),"AudacityTVx")</f>
        <v>AudacityTVx</v>
      </c>
    </row>
    <row r="7987">
      <c r="A7987" s="41" t="str">
        <f>IFERROR(__xludf.DUMMYFUNCTION("""COMPUTED_VALUE"""),"RSC008021")</f>
        <v>RSC008021</v>
      </c>
      <c r="B7987" s="41" t="str">
        <f>IFERROR(__xludf.DUMMYFUNCTION("""COMPUTED_VALUE"""),"Reflex_Goated-")</f>
        <v>Reflex_Goated-</v>
      </c>
    </row>
    <row r="7988">
      <c r="A7988" s="41" t="str">
        <f>IFERROR(__xludf.DUMMYFUNCTION("""COMPUTED_VALUE"""),"RSC008022")</f>
        <v>RSC008022</v>
      </c>
      <c r="B7988" s="41" t="str">
        <f>IFERROR(__xludf.DUMMYFUNCTION("""COMPUTED_VALUE"""),"iK")</f>
        <v>iK</v>
      </c>
    </row>
    <row r="7989">
      <c r="A7989" s="41" t="str">
        <f>IFERROR(__xludf.DUMMYFUNCTION("""COMPUTED_VALUE"""),"RSC008023")</f>
        <v>RSC008023</v>
      </c>
      <c r="B7989" s="41" t="str">
        <f>IFERROR(__xludf.DUMMYFUNCTION("""COMPUTED_VALUE"""),"Loser matrix")</f>
        <v>Loser matrix</v>
      </c>
    </row>
    <row r="7990">
      <c r="A7990" s="41" t="str">
        <f>IFERROR(__xludf.DUMMYFUNCTION("""COMPUTED_VALUE"""),"RSC008024")</f>
        <v>RSC008024</v>
      </c>
      <c r="B7990" s="41" t="str">
        <f>IFERROR(__xludf.DUMMYFUNCTION("""COMPUTED_VALUE"""),"Grandejuevos45")</f>
        <v>Grandejuevos45</v>
      </c>
    </row>
    <row r="7991">
      <c r="A7991" s="41" t="str">
        <f>IFERROR(__xludf.DUMMYFUNCTION("""COMPUTED_VALUE"""),"RSC008025")</f>
        <v>RSC008025</v>
      </c>
      <c r="B7991" s="41" t="str">
        <f>IFERROR(__xludf.DUMMYFUNCTION("""COMPUTED_VALUE"""),"XuryRL")</f>
        <v>XuryRL</v>
      </c>
    </row>
    <row r="7992">
      <c r="A7992" s="41" t="str">
        <f>IFERROR(__xludf.DUMMYFUNCTION("""COMPUTED_VALUE"""),"RSC008026")</f>
        <v>RSC008026</v>
      </c>
      <c r="B7992" s="41" t="str">
        <f>IFERROR(__xludf.DUMMYFUNCTION("""COMPUTED_VALUE"""),"Kanashìmi")</f>
        <v>Kanashìmi</v>
      </c>
    </row>
    <row r="7993">
      <c r="A7993" s="41" t="str">
        <f>IFERROR(__xludf.DUMMYFUNCTION("""COMPUTED_VALUE"""),"RSC008027")</f>
        <v>RSC008027</v>
      </c>
      <c r="B7993" s="41" t="str">
        <f>IFERROR(__xludf.DUMMYFUNCTION("""COMPUTED_VALUE"""),"Sniff Maxwell")</f>
        <v>Sniff Maxwell</v>
      </c>
    </row>
    <row r="7994">
      <c r="A7994" s="41" t="str">
        <f>IFERROR(__xludf.DUMMYFUNCTION("""COMPUTED_VALUE"""),"RSC008028")</f>
        <v>RSC008028</v>
      </c>
      <c r="B7994" s="41" t="str">
        <f>IFERROR(__xludf.DUMMYFUNCTION("""COMPUTED_VALUE"""),"krozex.")</f>
        <v>krozex.</v>
      </c>
    </row>
    <row r="7995">
      <c r="A7995" s="41" t="str">
        <f>IFERROR(__xludf.DUMMYFUNCTION("""COMPUTED_VALUE"""),"RSC008029")</f>
        <v>RSC008029</v>
      </c>
      <c r="B7995" s="41" t="str">
        <f>IFERROR(__xludf.DUMMYFUNCTION("""COMPUTED_VALUE"""),"Bill Ripken")</f>
        <v>Bill Ripken</v>
      </c>
    </row>
    <row r="7996">
      <c r="A7996" s="41" t="str">
        <f>IFERROR(__xludf.DUMMYFUNCTION("""COMPUTED_VALUE"""),"RSC008030")</f>
        <v>RSC008030</v>
      </c>
      <c r="B7996" s="41" t="str">
        <f>IFERROR(__xludf.DUMMYFUNCTION("""COMPUTED_VALUE"""),"jayyrl")</f>
        <v>jayyrl</v>
      </c>
    </row>
    <row r="7997">
      <c r="A7997" s="41" t="str">
        <f>IFERROR(__xludf.DUMMYFUNCTION("""COMPUTED_VALUE"""),"RSC008031")</f>
        <v>RSC008031</v>
      </c>
      <c r="B7997" s="41" t="str">
        <f>IFERROR(__xludf.DUMMYFUNCTION("""COMPUTED_VALUE"""),"timthebigone")</f>
        <v>timthebigone</v>
      </c>
    </row>
    <row r="7998">
      <c r="A7998" s="41" t="str">
        <f>IFERROR(__xludf.DUMMYFUNCTION("""COMPUTED_VALUE"""),"RSC008032")</f>
        <v>RSC008032</v>
      </c>
      <c r="B7998" s="41" t="str">
        <f>IFERROR(__xludf.DUMMYFUNCTION("""COMPUTED_VALUE"""),"TomerC44")</f>
        <v>TomerC44</v>
      </c>
    </row>
    <row r="7999">
      <c r="A7999" s="41" t="str">
        <f>IFERROR(__xludf.DUMMYFUNCTION("""COMPUTED_VALUE"""),"RSC008033")</f>
        <v>RSC008033</v>
      </c>
      <c r="B7999" s="41" t="str">
        <f>IFERROR(__xludf.DUMMYFUNCTION("""COMPUTED_VALUE"""),"Ethanol akafrost")</f>
        <v>Ethanol akafrost</v>
      </c>
    </row>
    <row r="8000">
      <c r="A8000" s="41" t="str">
        <f>IFERROR(__xludf.DUMMYFUNCTION("""COMPUTED_VALUE"""),"RSC008034")</f>
        <v>RSC008034</v>
      </c>
      <c r="B8000" s="41" t="str">
        <f>IFERROR(__xludf.DUMMYFUNCTION("""COMPUTED_VALUE"""),"hardstyle")</f>
        <v>hardstyle</v>
      </c>
    </row>
    <row r="8001">
      <c r="A8001" s="41" t="str">
        <f>IFERROR(__xludf.DUMMYFUNCTION("""COMPUTED_VALUE"""),"RSC008035")</f>
        <v>RSC008035</v>
      </c>
      <c r="B8001" s="41" t="str">
        <f>IFERROR(__xludf.DUMMYFUNCTION("""COMPUTED_VALUE"""),"tjz.rl / the jazzler.")</f>
        <v>tjz.rl / the jazzler.</v>
      </c>
    </row>
    <row r="8002">
      <c r="A8002" s="41" t="str">
        <f>IFERROR(__xludf.DUMMYFUNCTION("""COMPUTED_VALUE"""),"RSC008036")</f>
        <v>RSC008036</v>
      </c>
      <c r="B8002" s="41" t="str">
        <f>IFERROR(__xludf.DUMMYFUNCTION("""COMPUTED_VALUE"""),"ERNxdd &lt;3")</f>
        <v>ERNxdd &lt;3</v>
      </c>
    </row>
    <row r="8003">
      <c r="A8003" s="41" t="str">
        <f>IFERROR(__xludf.DUMMYFUNCTION("""COMPUTED_VALUE"""),"RSC008037")</f>
        <v>RSC008037</v>
      </c>
      <c r="B8003" s="41" t="str">
        <f>IFERROR(__xludf.DUMMYFUNCTION("""COMPUTED_VALUE"""),"Reckless")</f>
        <v>Reckless</v>
      </c>
    </row>
    <row r="8004">
      <c r="A8004" s="41" t="str">
        <f>IFERROR(__xludf.DUMMYFUNCTION("""COMPUTED_VALUE"""),"RSC008038")</f>
        <v>RSC008038</v>
      </c>
      <c r="B8004" s="41" t="str">
        <f>IFERROR(__xludf.DUMMYFUNCTION("""COMPUTED_VALUE"""),"DAPP3R D3X")</f>
        <v>DAPP3R D3X</v>
      </c>
    </row>
    <row r="8005">
      <c r="A8005" s="41" t="str">
        <f>IFERROR(__xludf.DUMMYFUNCTION("""COMPUTED_VALUE"""),"RSC008039")</f>
        <v>RSC008039</v>
      </c>
      <c r="B8005" s="41" t="str">
        <f>IFERROR(__xludf.DUMMYFUNCTION("""COMPUTED_VALUE"""),"titan horse")</f>
        <v>titan horse</v>
      </c>
    </row>
    <row r="8006">
      <c r="A8006" s="41" t="str">
        <f>IFERROR(__xludf.DUMMYFUNCTION("""COMPUTED_VALUE"""),"RSC008041")</f>
        <v>RSC008041</v>
      </c>
      <c r="B8006" s="41" t="str">
        <f>IFERROR(__xludf.DUMMYFUNCTION("""COMPUTED_VALUE"""),"l3orrow")</f>
        <v>l3orrow</v>
      </c>
    </row>
    <row r="8007">
      <c r="A8007" s="41" t="str">
        <f>IFERROR(__xludf.DUMMYFUNCTION("""COMPUTED_VALUE"""),"RSC008042")</f>
        <v>RSC008042</v>
      </c>
      <c r="B8007" s="41" t="str">
        <f>IFERROR(__xludf.DUMMYFUNCTION("""COMPUTED_VALUE"""),"SunSetta")</f>
        <v>SunSetta</v>
      </c>
    </row>
    <row r="8008">
      <c r="A8008" s="41" t="str">
        <f>IFERROR(__xludf.DUMMYFUNCTION("""COMPUTED_VALUE"""),"RSC008043")</f>
        <v>RSC008043</v>
      </c>
      <c r="B8008" s="41" t="str">
        <f>IFERROR(__xludf.DUMMYFUNCTION("""COMPUTED_VALUE"""),"xionic2001")</f>
        <v>xionic2001</v>
      </c>
    </row>
    <row r="8009">
      <c r="A8009" s="41" t="str">
        <f>IFERROR(__xludf.DUMMYFUNCTION("""COMPUTED_VALUE"""),"RSC008044")</f>
        <v>RSC008044</v>
      </c>
      <c r="B8009" s="41" t="str">
        <f>IFERROR(__xludf.DUMMYFUNCTION("""COMPUTED_VALUE"""),"fender_bender2")</f>
        <v>fender_bender2</v>
      </c>
    </row>
    <row r="8010">
      <c r="A8010" s="41" t="str">
        <f>IFERROR(__xludf.DUMMYFUNCTION("""COMPUTED_VALUE"""),"RSC008045")</f>
        <v>RSC008045</v>
      </c>
      <c r="B8010" s="41" t="str">
        <f>IFERROR(__xludf.DUMMYFUNCTION("""COMPUTED_VALUE"""),"Uncaringfool230")</f>
        <v>Uncaringfool230</v>
      </c>
    </row>
    <row r="8011">
      <c r="A8011" s="41" t="str">
        <f>IFERROR(__xludf.DUMMYFUNCTION("""COMPUTED_VALUE"""),"RSC008046")</f>
        <v>RSC008046</v>
      </c>
      <c r="B8011" s="41" t="str">
        <f>IFERROR(__xludf.DUMMYFUNCTION("""COMPUTED_VALUE"""),"jose.")</f>
        <v>jose.</v>
      </c>
    </row>
    <row r="8012">
      <c r="A8012" s="41" t="str">
        <f>IFERROR(__xludf.DUMMYFUNCTION("""COMPUTED_VALUE"""),"RSC008047")</f>
        <v>RSC008047</v>
      </c>
      <c r="B8012" s="41" t="str">
        <f>IFERROR(__xludf.DUMMYFUNCTION("""COMPUTED_VALUE"""),"rayrandoms")</f>
        <v>rayrandoms</v>
      </c>
    </row>
    <row r="8013">
      <c r="A8013" s="41" t="str">
        <f>IFERROR(__xludf.DUMMYFUNCTION("""COMPUTED_VALUE"""),"RSC008048")</f>
        <v>RSC008048</v>
      </c>
      <c r="B8013" s="41" t="str">
        <f>IFERROR(__xludf.DUMMYFUNCTION("""COMPUTED_VALUE"""),"Terin1tUp")</f>
        <v>Terin1tUp</v>
      </c>
    </row>
    <row r="8014">
      <c r="A8014" s="41" t="str">
        <f>IFERROR(__xludf.DUMMYFUNCTION("""COMPUTED_VALUE"""),"RSC008049")</f>
        <v>RSC008049</v>
      </c>
      <c r="B8014" s="41" t="str">
        <f>IFERROR(__xludf.DUMMYFUNCTION("""COMPUTED_VALUE"""),"Aeslix.")</f>
        <v>Aeslix.</v>
      </c>
    </row>
    <row r="8015">
      <c r="A8015" s="41" t="str">
        <f>IFERROR(__xludf.DUMMYFUNCTION("""COMPUTED_VALUE"""),"RSC008050")</f>
        <v>RSC008050</v>
      </c>
      <c r="B8015" s="41" t="str">
        <f>IFERROR(__xludf.DUMMYFUNCTION("""COMPUTED_VALUE"""),"Lealix.")</f>
        <v>Lealix.</v>
      </c>
    </row>
    <row r="8016">
      <c r="A8016" s="41" t="str">
        <f>IFERROR(__xludf.DUMMYFUNCTION("""COMPUTED_VALUE"""),"RSC008052")</f>
        <v>RSC008052</v>
      </c>
      <c r="B8016" s="41" t="str">
        <f>IFERROR(__xludf.DUMMYFUNCTION("""COMPUTED_VALUE"""),"CrypticTide.")</f>
        <v>CrypticTide.</v>
      </c>
    </row>
    <row r="8017">
      <c r="A8017" s="41" t="str">
        <f>IFERROR(__xludf.DUMMYFUNCTION("""COMPUTED_VALUE"""),"RSC008053")</f>
        <v>RSC008053</v>
      </c>
      <c r="B8017" s="41" t="str">
        <f>IFERROR(__xludf.DUMMYFUNCTION("""COMPUTED_VALUE"""),"strauto")</f>
        <v>strauto</v>
      </c>
    </row>
    <row r="8018">
      <c r="A8018" s="41" t="str">
        <f>IFERROR(__xludf.DUMMYFUNCTION("""COMPUTED_VALUE"""),"RSC008054")</f>
        <v>RSC008054</v>
      </c>
      <c r="B8018" s="41" t="str">
        <f>IFERROR(__xludf.DUMMYFUNCTION("""COMPUTED_VALUE"""),"TTVdamon11")</f>
        <v>TTVdamon11</v>
      </c>
    </row>
    <row r="8019">
      <c r="A8019" s="41" t="str">
        <f>IFERROR(__xludf.DUMMYFUNCTION("""COMPUTED_VALUE"""),"RSC008055")</f>
        <v>RSC008055</v>
      </c>
      <c r="B8019" s="41" t="str">
        <f>IFERROR(__xludf.DUMMYFUNCTION("""COMPUTED_VALUE"""),"Latched-")</f>
        <v>Latched-</v>
      </c>
    </row>
    <row r="8020">
      <c r="A8020" s="41" t="str">
        <f>IFERROR(__xludf.DUMMYFUNCTION("""COMPUTED_VALUE"""),"RSC008056")</f>
        <v>RSC008056</v>
      </c>
      <c r="B8020" s="41" t="str">
        <f>IFERROR(__xludf.DUMMYFUNCTION("""COMPUTED_VALUE"""),"tmr.")</f>
        <v>tmr.</v>
      </c>
    </row>
    <row r="8021">
      <c r="A8021" s="41" t="str">
        <f>IFERROR(__xludf.DUMMYFUNCTION("""COMPUTED_VALUE"""),"RSC008057")</f>
        <v>RSC008057</v>
      </c>
      <c r="B8021" s="41" t="str">
        <f>IFERROR(__xludf.DUMMYFUNCTION("""COMPUTED_VALUE"""),"sxkii fvǃ")</f>
        <v>sxkii fvǃ</v>
      </c>
    </row>
    <row r="8022">
      <c r="A8022" s="41" t="str">
        <f>IFERROR(__xludf.DUMMYFUNCTION("""COMPUTED_VALUE"""),"RSC008058")</f>
        <v>RSC008058</v>
      </c>
      <c r="B8022" s="41" t="str">
        <f>IFERROR(__xludf.DUMMYFUNCTION("""COMPUTED_VALUE"""),"frankthebarber90")</f>
        <v>frankthebarber90</v>
      </c>
    </row>
    <row r="8023">
      <c r="A8023" s="41" t="str">
        <f>IFERROR(__xludf.DUMMYFUNCTION("""COMPUTED_VALUE"""),"RSC008059")</f>
        <v>RSC008059</v>
      </c>
      <c r="B8023" s="41" t="str">
        <f>IFERROR(__xludf.DUMMYFUNCTION("""COMPUTED_VALUE"""),"Rob.Jungle")</f>
        <v>Rob.Jungle</v>
      </c>
    </row>
    <row r="8024">
      <c r="A8024" s="41" t="str">
        <f>IFERROR(__xludf.DUMMYFUNCTION("""COMPUTED_VALUE"""),"RSC008060")</f>
        <v>RSC008060</v>
      </c>
      <c r="B8024" s="41" t="str">
        <f>IFERROR(__xludf.DUMMYFUNCTION("""COMPUTED_VALUE"""),"SheLuvsPrizma")</f>
        <v>SheLuvsPrizma</v>
      </c>
    </row>
    <row r="8025">
      <c r="A8025" s="41" t="str">
        <f>IFERROR(__xludf.DUMMYFUNCTION("""COMPUTED_VALUE"""),"RSC008061")</f>
        <v>RSC008061</v>
      </c>
      <c r="B8025" s="41" t="str">
        <f>IFERROR(__xludf.DUMMYFUNCTION("""COMPUTED_VALUE"""),"Light")</f>
        <v>Light</v>
      </c>
    </row>
    <row r="8026">
      <c r="A8026" s="41" t="str">
        <f>IFERROR(__xludf.DUMMYFUNCTION("""COMPUTED_VALUE"""),"RSC008062")</f>
        <v>RSC008062</v>
      </c>
      <c r="B8026" s="41" t="str">
        <f>IFERROR(__xludf.DUMMYFUNCTION("""COMPUTED_VALUE"""),"Siixze")</f>
        <v>Siixze</v>
      </c>
    </row>
    <row r="8027">
      <c r="A8027" s="41" t="str">
        <f>IFERROR(__xludf.DUMMYFUNCTION("""COMPUTED_VALUE"""),"RSC008063")</f>
        <v>RSC008063</v>
      </c>
      <c r="B8027" s="41" t="str">
        <f>IFERROR(__xludf.DUMMYFUNCTION("""COMPUTED_VALUE"""),"ZpArisY")</f>
        <v>ZpArisY</v>
      </c>
    </row>
    <row r="8028">
      <c r="A8028" s="41" t="str">
        <f>IFERROR(__xludf.DUMMYFUNCTION("""COMPUTED_VALUE"""),"RSC008064")</f>
        <v>RSC008064</v>
      </c>
      <c r="B8028" s="41" t="str">
        <f>IFERROR(__xludf.DUMMYFUNCTION("""COMPUTED_VALUE"""),"Capone77420")</f>
        <v>Capone77420</v>
      </c>
    </row>
    <row r="8029">
      <c r="A8029" s="41" t="str">
        <f>IFERROR(__xludf.DUMMYFUNCTION("""COMPUTED_VALUE"""),"RSC008065")</f>
        <v>RSC008065</v>
      </c>
      <c r="B8029" s="41" t="str">
        <f>IFERROR(__xludf.DUMMYFUNCTION("""COMPUTED_VALUE"""),"emma.")</f>
        <v>emma.</v>
      </c>
    </row>
    <row r="8030">
      <c r="A8030" s="41" t="str">
        <f>IFERROR(__xludf.DUMMYFUNCTION("""COMPUTED_VALUE"""),"RSC008066")</f>
        <v>RSC008066</v>
      </c>
      <c r="B8030" s="41" t="str">
        <f>IFERROR(__xludf.DUMMYFUNCTION("""COMPUTED_VALUE"""),"DARK ARIA.")</f>
        <v>DARK ARIA.</v>
      </c>
    </row>
    <row r="8031">
      <c r="A8031" s="41" t="str">
        <f>IFERROR(__xludf.DUMMYFUNCTION("""COMPUTED_VALUE"""),"RSC008067")</f>
        <v>RSC008067</v>
      </c>
      <c r="B8031" s="41" t="str">
        <f>IFERROR(__xludf.DUMMYFUNCTION("""COMPUTED_VALUE"""),"PH4NT0M_RL")</f>
        <v>PH4NT0M_RL</v>
      </c>
    </row>
    <row r="8032">
      <c r="A8032" s="41" t="str">
        <f>IFERROR(__xludf.DUMMYFUNCTION("""COMPUTED_VALUE"""),"RSC008068")</f>
        <v>RSC008068</v>
      </c>
      <c r="B8032" s="41" t="str">
        <f>IFERROR(__xludf.DUMMYFUNCTION("""COMPUTED_VALUE"""),"dread fv")</f>
        <v>dread fv</v>
      </c>
    </row>
    <row r="8033">
      <c r="A8033" s="41" t="str">
        <f>IFERROR(__xludf.DUMMYFUNCTION("""COMPUTED_VALUE"""),"RSC008069")</f>
        <v>RSC008069</v>
      </c>
      <c r="B8033" s="41" t="str">
        <f>IFERROR(__xludf.DUMMYFUNCTION("""COMPUTED_VALUE"""),"Light_lawyer")</f>
        <v>Light_lawyer</v>
      </c>
    </row>
    <row r="8034">
      <c r="A8034" s="41" t="str">
        <f>IFERROR(__xludf.DUMMYFUNCTION("""COMPUTED_VALUE"""),"RSC008070")</f>
        <v>RSC008070</v>
      </c>
      <c r="B8034" s="41" t="str">
        <f>IFERROR(__xludf.DUMMYFUNCTION("""COMPUTED_VALUE"""),"na0811te")</f>
        <v>na0811te</v>
      </c>
    </row>
    <row r="8035">
      <c r="A8035" s="41" t="str">
        <f>IFERROR(__xludf.DUMMYFUNCTION("""COMPUTED_VALUE"""),"RSC008071")</f>
        <v>RSC008071</v>
      </c>
      <c r="B8035" s="41" t="str">
        <f>IFERROR(__xludf.DUMMYFUNCTION("""COMPUTED_VALUE"""),"CleanRL.")</f>
        <v>CleanRL.</v>
      </c>
    </row>
    <row r="8036">
      <c r="A8036" s="41" t="str">
        <f>IFERROR(__xludf.DUMMYFUNCTION("""COMPUTED_VALUE"""),"RSC008072")</f>
        <v>RSC008072</v>
      </c>
      <c r="B8036" s="41" t="str">
        <f>IFERROR(__xludf.DUMMYFUNCTION("""COMPUTED_VALUE"""),"FrankWillcox")</f>
        <v>FrankWillcox</v>
      </c>
    </row>
    <row r="8037">
      <c r="A8037" s="41" t="str">
        <f>IFERROR(__xludf.DUMMYFUNCTION("""COMPUTED_VALUE"""),"RSC008073")</f>
        <v>RSC008073</v>
      </c>
      <c r="B8037" s="41" t="str">
        <f>IFERROR(__xludf.DUMMYFUNCTION("""COMPUTED_VALUE"""),"darken-.-")</f>
        <v>darken-.-</v>
      </c>
    </row>
    <row r="8038">
      <c r="A8038" s="41" t="str">
        <f>IFERROR(__xludf.DUMMYFUNCTION("""COMPUTED_VALUE"""),"RSC008075")</f>
        <v>RSC008075</v>
      </c>
      <c r="B8038" s="41" t="str">
        <f>IFERROR(__xludf.DUMMYFUNCTION("""COMPUTED_VALUE"""),"KarlBallTmrw")</f>
        <v>KarlBallTmrw</v>
      </c>
    </row>
    <row r="8039">
      <c r="A8039" s="41" t="str">
        <f>IFERROR(__xludf.DUMMYFUNCTION("""COMPUTED_VALUE"""),"RSC008076")</f>
        <v>RSC008076</v>
      </c>
      <c r="B8039" s="41" t="str">
        <f>IFERROR(__xludf.DUMMYFUNCTION("""COMPUTED_VALUE"""),"Voxmanns")</f>
        <v>Voxmanns</v>
      </c>
    </row>
    <row r="8040">
      <c r="A8040" s="41" t="str">
        <f>IFERROR(__xludf.DUMMYFUNCTION("""COMPUTED_VALUE"""),"RSC008077")</f>
        <v>RSC008077</v>
      </c>
      <c r="B8040" s="41" t="str">
        <f>IFERROR(__xludf.DUMMYFUNCTION("""COMPUTED_VALUE"""),"TannicPlot")</f>
        <v>TannicPlot</v>
      </c>
    </row>
    <row r="8041">
      <c r="A8041" s="41" t="str">
        <f>IFERROR(__xludf.DUMMYFUNCTION("""COMPUTED_VALUE"""),"RSC008078")</f>
        <v>RSC008078</v>
      </c>
      <c r="B8041" s="41" t="str">
        <f>IFERROR(__xludf.DUMMYFUNCTION("""COMPUTED_VALUE"""),"ADV3RSE.")</f>
        <v>ADV3RSE.</v>
      </c>
    </row>
    <row r="8042">
      <c r="A8042" s="41" t="str">
        <f>IFERROR(__xludf.DUMMYFUNCTION("""COMPUTED_VALUE"""),"RSC008079")</f>
        <v>RSC008079</v>
      </c>
      <c r="B8042" s="41" t="str">
        <f>IFERROR(__xludf.DUMMYFUNCTION("""COMPUTED_VALUE"""),"enrique swavey")</f>
        <v>enrique swavey</v>
      </c>
    </row>
    <row r="8043">
      <c r="A8043" s="41" t="str">
        <f>IFERROR(__xludf.DUMMYFUNCTION("""COMPUTED_VALUE"""),"RSC008080")</f>
        <v>RSC008080</v>
      </c>
      <c r="B8043" s="41" t="str">
        <f>IFERROR(__xludf.DUMMYFUNCTION("""COMPUTED_VALUE"""),"Zechariah2008")</f>
        <v>Zechariah2008</v>
      </c>
    </row>
    <row r="8044">
      <c r="A8044" s="41" t="str">
        <f>IFERROR(__xludf.DUMMYFUNCTION("""COMPUTED_VALUE"""),"RSC008081")</f>
        <v>RSC008081</v>
      </c>
      <c r="B8044" s="41" t="str">
        <f>IFERROR(__xludf.DUMMYFUNCTION("""COMPUTED_VALUE"""),"P3anut5132")</f>
        <v>P3anut5132</v>
      </c>
    </row>
    <row r="8045">
      <c r="A8045" s="41" t="str">
        <f>IFERROR(__xludf.DUMMYFUNCTION("""COMPUTED_VALUE"""),"RSC008082")</f>
        <v>RSC008082</v>
      </c>
      <c r="B8045" s="41" t="str">
        <f>IFERROR(__xludf.DUMMYFUNCTION("""COMPUTED_VALUE"""),"wzpig")</f>
        <v>wzpig</v>
      </c>
    </row>
    <row r="8046">
      <c r="A8046" s="41" t="str">
        <f>IFERROR(__xludf.DUMMYFUNCTION("""COMPUTED_VALUE"""),"RSC008083")</f>
        <v>RSC008083</v>
      </c>
      <c r="B8046" s="41" t="str">
        <f>IFERROR(__xludf.DUMMYFUNCTION("""COMPUTED_VALUE"""),"Rocketgirl_32")</f>
        <v>Rocketgirl_32</v>
      </c>
    </row>
    <row r="8047">
      <c r="A8047" s="41" t="str">
        <f>IFERROR(__xludf.DUMMYFUNCTION("""COMPUTED_VALUE"""),"RSC008085")</f>
        <v>RSC008085</v>
      </c>
      <c r="B8047" s="41" t="str">
        <f>IFERROR(__xludf.DUMMYFUNCTION("""COMPUTED_VALUE"""),"xXOZZY3609Xx")</f>
        <v>xXOZZY3609Xx</v>
      </c>
    </row>
    <row r="8048">
      <c r="A8048" s="41" t="str">
        <f>IFERROR(__xludf.DUMMYFUNCTION("""COMPUTED_VALUE"""),"RSC008086")</f>
        <v>RSC008086</v>
      </c>
      <c r="B8048" s="41" t="str">
        <f>IFERROR(__xludf.DUMMYFUNCTION("""COMPUTED_VALUE"""),"Jake")</f>
        <v>Jake</v>
      </c>
    </row>
    <row r="8049">
      <c r="A8049" s="41" t="str">
        <f>IFERROR(__xludf.DUMMYFUNCTION("""COMPUTED_VALUE"""),"RSC008087")</f>
        <v>RSC008087</v>
      </c>
      <c r="B8049" s="41" t="str">
        <f>IFERROR(__xludf.DUMMYFUNCTION("""COMPUTED_VALUE"""),"Enthalpy-H")</f>
        <v>Enthalpy-H</v>
      </c>
    </row>
    <row r="8050">
      <c r="A8050" s="41" t="str">
        <f>IFERROR(__xludf.DUMMYFUNCTION("""COMPUTED_VALUE"""),"RSC008088")</f>
        <v>RSC008088</v>
      </c>
      <c r="B8050" s="41" t="str">
        <f>IFERROR(__xludf.DUMMYFUNCTION("""COMPUTED_VALUE"""),"s1ri_rl")</f>
        <v>s1ri_rl</v>
      </c>
    </row>
    <row r="8051">
      <c r="A8051" s="41" t="str">
        <f>IFERROR(__xludf.DUMMYFUNCTION("""COMPUTED_VALUE"""),"RSC008089")</f>
        <v>RSC008089</v>
      </c>
      <c r="B8051" s="41" t="str">
        <f>IFERROR(__xludf.DUMMYFUNCTION("""COMPUTED_VALUE"""),"SyrupBloodz")</f>
        <v>SyrupBloodz</v>
      </c>
    </row>
    <row r="8052">
      <c r="A8052" s="41" t="str">
        <f>IFERROR(__xludf.DUMMYFUNCTION("""COMPUTED_VALUE"""),"RSC008090")</f>
        <v>RSC008090</v>
      </c>
      <c r="B8052" s="41" t="str">
        <f>IFERROR(__xludf.DUMMYFUNCTION("""COMPUTED_VALUE"""),"LOBSTERheat")</f>
        <v>LOBSTERheat</v>
      </c>
    </row>
    <row r="8053">
      <c r="A8053" s="41" t="str">
        <f>IFERROR(__xludf.DUMMYFUNCTION("""COMPUTED_VALUE"""),"RSC008091")</f>
        <v>RSC008091</v>
      </c>
      <c r="B8053" s="41" t="str">
        <f>IFERROR(__xludf.DUMMYFUNCTION("""COMPUTED_VALUE"""),"bronnyjames923")</f>
        <v>bronnyjames923</v>
      </c>
    </row>
    <row r="8054">
      <c r="A8054" s="41" t="str">
        <f>IFERROR(__xludf.DUMMYFUNCTION("""COMPUTED_VALUE"""),"RSC008092")</f>
        <v>RSC008092</v>
      </c>
      <c r="B8054" s="41" t="str">
        <f>IFERROR(__xludf.DUMMYFUNCTION("""COMPUTED_VALUE"""),"ImPodz")</f>
        <v>ImPodz</v>
      </c>
    </row>
    <row r="8055">
      <c r="A8055" s="41" t="str">
        <f>IFERROR(__xludf.DUMMYFUNCTION("""COMPUTED_VALUE"""),"RSC008093")</f>
        <v>RSC008093</v>
      </c>
      <c r="B8055" s="41" t="str">
        <f>IFERROR(__xludf.DUMMYFUNCTION("""COMPUTED_VALUE"""),"hawk skibidi tua")</f>
        <v>hawk skibidi tua</v>
      </c>
    </row>
    <row r="8056">
      <c r="A8056" s="41" t="str">
        <f>IFERROR(__xludf.DUMMYFUNCTION("""COMPUTED_VALUE"""),"RSC008094")</f>
        <v>RSC008094</v>
      </c>
      <c r="B8056" s="41" t="str">
        <f>IFERROR(__xludf.DUMMYFUNCTION("""COMPUTED_VALUE"""),"JoshuaNaoki")</f>
        <v>JoshuaNaoki</v>
      </c>
    </row>
    <row r="8057">
      <c r="A8057" s="41" t="str">
        <f>IFERROR(__xludf.DUMMYFUNCTION("""COMPUTED_VALUE"""),"RSC008095")</f>
        <v>RSC008095</v>
      </c>
      <c r="B8057" s="41" t="str">
        <f>IFERROR(__xludf.DUMMYFUNCTION("""COMPUTED_VALUE"""),"aide")</f>
        <v>aide</v>
      </c>
    </row>
    <row r="8058">
      <c r="A8058" s="41" t="str">
        <f>IFERROR(__xludf.DUMMYFUNCTION("""COMPUTED_VALUE"""),"RSC008096")</f>
        <v>RSC008096</v>
      </c>
      <c r="B8058" s="41" t="str">
        <f>IFERROR(__xludf.DUMMYFUNCTION("""COMPUTED_VALUE"""),"cmistweakinn")</f>
        <v>cmistweakinn</v>
      </c>
    </row>
    <row r="8059">
      <c r="A8059" s="41" t="str">
        <f>IFERROR(__xludf.DUMMYFUNCTION("""COMPUTED_VALUE"""),"RSC008097")</f>
        <v>RSC008097</v>
      </c>
      <c r="B8059" s="41" t="str">
        <f>IFERROR(__xludf.DUMMYFUNCTION("""COMPUTED_VALUE"""),"AverageChris")</f>
        <v>AverageChris</v>
      </c>
    </row>
    <row r="8060">
      <c r="A8060" s="41" t="str">
        <f>IFERROR(__xludf.DUMMYFUNCTION("""COMPUTED_VALUE"""),"RSC008098")</f>
        <v>RSC008098</v>
      </c>
      <c r="B8060" s="41" t="str">
        <f>IFERROR(__xludf.DUMMYFUNCTION("""COMPUTED_VALUE"""),"KIWI.-_.-")</f>
        <v>KIWI.-_.-</v>
      </c>
    </row>
    <row r="8061">
      <c r="A8061" s="41" t="str">
        <f>IFERROR(__xludf.DUMMYFUNCTION("""COMPUTED_VALUE"""),"RSC008099")</f>
        <v>RSC008099</v>
      </c>
      <c r="B8061" s="41" t="str">
        <f>IFERROR(__xludf.DUMMYFUNCTION("""COMPUTED_VALUE"""),"Masetonic_YT")</f>
        <v>Masetonic_YT</v>
      </c>
    </row>
    <row r="8062">
      <c r="A8062" s="41" t="str">
        <f>IFERROR(__xludf.DUMMYFUNCTION("""COMPUTED_VALUE"""),"RSC008100")</f>
        <v>RSC008100</v>
      </c>
      <c r="B8062" s="41" t="str">
        <f>IFERROR(__xludf.DUMMYFUNCTION("""COMPUTED_VALUE"""),"rainku")</f>
        <v>rainku</v>
      </c>
    </row>
    <row r="8063">
      <c r="A8063" s="41" t="str">
        <f>IFERROR(__xludf.DUMMYFUNCTION("""COMPUTED_VALUE"""),"RSC008101")</f>
        <v>RSC008101</v>
      </c>
      <c r="B8063" s="41" t="str">
        <f>IFERROR(__xludf.DUMMYFUNCTION("""COMPUTED_VALUE"""),"H1V3_7")</f>
        <v>H1V3_7</v>
      </c>
    </row>
    <row r="8064">
      <c r="A8064" s="41" t="str">
        <f>IFERROR(__xludf.DUMMYFUNCTION("""COMPUTED_VALUE"""),"RSC008102")</f>
        <v>RSC008102</v>
      </c>
      <c r="B8064" s="41" t="str">
        <f>IFERROR(__xludf.DUMMYFUNCTION("""COMPUTED_VALUE"""),"Talent?")</f>
        <v>Talent?</v>
      </c>
    </row>
    <row r="8065">
      <c r="A8065" s="41" t="str">
        <f>IFERROR(__xludf.DUMMYFUNCTION("""COMPUTED_VALUE"""),"RSC008103")</f>
        <v>RSC008103</v>
      </c>
      <c r="B8065" s="41" t="str">
        <f>IFERROR(__xludf.DUMMYFUNCTION("""COMPUTED_VALUE"""),"AkTION")</f>
        <v>AkTION</v>
      </c>
    </row>
    <row r="8066">
      <c r="A8066" s="41" t="str">
        <f>IFERROR(__xludf.DUMMYFUNCTION("""COMPUTED_VALUE"""),"RSC008104")</f>
        <v>RSC008104</v>
      </c>
      <c r="B8066" s="41" t="str">
        <f>IFERROR(__xludf.DUMMYFUNCTION("""COMPUTED_VALUE"""),"M0NKEE .")</f>
        <v>M0NKEE .</v>
      </c>
    </row>
    <row r="8067">
      <c r="A8067" s="41" t="str">
        <f>IFERROR(__xludf.DUMMYFUNCTION("""COMPUTED_VALUE"""),"RSC008105")</f>
        <v>RSC008105</v>
      </c>
      <c r="B8067" s="41" t="str">
        <f>IFERROR(__xludf.DUMMYFUNCTION("""COMPUTED_VALUE"""),"KufaV1")</f>
        <v>KufaV1</v>
      </c>
    </row>
    <row r="8068">
      <c r="A8068" s="41" t="str">
        <f>IFERROR(__xludf.DUMMYFUNCTION("""COMPUTED_VALUE"""),"RSC008106")</f>
        <v>RSC008106</v>
      </c>
      <c r="B8068" s="41" t="str">
        <f>IFERROR(__xludf.DUMMYFUNCTION("""COMPUTED_VALUE"""),"M0USE_1")</f>
        <v>M0USE_1</v>
      </c>
    </row>
    <row r="8069">
      <c r="A8069" s="41" t="str">
        <f>IFERROR(__xludf.DUMMYFUNCTION("""COMPUTED_VALUE"""),"RSC008107")</f>
        <v>RSC008107</v>
      </c>
      <c r="B8069" s="41" t="str">
        <f>IFERROR(__xludf.DUMMYFUNCTION("""COMPUTED_VALUE"""),"Kirbee")</f>
        <v>Kirbee</v>
      </c>
    </row>
    <row r="8070">
      <c r="A8070" s="41" t="str">
        <f>IFERROR(__xludf.DUMMYFUNCTION("""COMPUTED_VALUE"""),"RSC008108")</f>
        <v>RSC008108</v>
      </c>
      <c r="B8070" s="41" t="str">
        <f>IFERROR(__xludf.DUMMYFUNCTION("""COMPUTED_VALUE"""),"Ghumsi")</f>
        <v>Ghumsi</v>
      </c>
    </row>
    <row r="8071">
      <c r="A8071" s="41" t="str">
        <f>IFERROR(__xludf.DUMMYFUNCTION("""COMPUTED_VALUE"""),"RSC008109")</f>
        <v>RSC008109</v>
      </c>
      <c r="B8071" s="41" t="str">
        <f>IFERROR(__xludf.DUMMYFUNCTION("""COMPUTED_VALUE"""),"Tbrock")</f>
        <v>Tbrock</v>
      </c>
    </row>
    <row r="8072">
      <c r="A8072" s="41" t="str">
        <f>IFERROR(__xludf.DUMMYFUNCTION("""COMPUTED_VALUE"""),"RSC008110")</f>
        <v>RSC008110</v>
      </c>
      <c r="B8072" s="41" t="str">
        <f>IFERROR(__xludf.DUMMYFUNCTION("""COMPUTED_VALUE"""),"IrishHawk27")</f>
        <v>IrishHawk27</v>
      </c>
    </row>
    <row r="8073">
      <c r="A8073" s="41" t="str">
        <f>IFERROR(__xludf.DUMMYFUNCTION("""COMPUTED_VALUE"""),"RSC008111")</f>
        <v>RSC008111</v>
      </c>
      <c r="B8073" s="41" t="str">
        <f>IFERROR(__xludf.DUMMYFUNCTION("""COMPUTED_VALUE"""),"Shadow_11Bravo")</f>
        <v>Shadow_11Bravo</v>
      </c>
    </row>
    <row r="8074">
      <c r="A8074" s="41" t="str">
        <f>IFERROR(__xludf.DUMMYFUNCTION("""COMPUTED_VALUE"""),"RSC008112")</f>
        <v>RSC008112</v>
      </c>
      <c r="B8074" s="41" t="str">
        <f>IFERROR(__xludf.DUMMYFUNCTION("""COMPUTED_VALUE"""),"AKINZ.")</f>
        <v>AKINZ.</v>
      </c>
    </row>
    <row r="8075">
      <c r="A8075" s="41" t="str">
        <f>IFERROR(__xludf.DUMMYFUNCTION("""COMPUTED_VALUE"""),"RSC008113")</f>
        <v>RSC008113</v>
      </c>
      <c r="B8075" s="41" t="str">
        <f>IFERROR(__xludf.DUMMYFUNCTION("""COMPUTED_VALUE"""),"Karmakopia")</f>
        <v>Karmakopia</v>
      </c>
    </row>
    <row r="8076">
      <c r="A8076" s="41" t="str">
        <f>IFERROR(__xludf.DUMMYFUNCTION("""COMPUTED_VALUE"""),"RSC008114")</f>
        <v>RSC008114</v>
      </c>
      <c r="B8076" s="41" t="str">
        <f>IFERROR(__xludf.DUMMYFUNCTION("""COMPUTED_VALUE"""),"naddoe-")</f>
        <v>naddoe-</v>
      </c>
    </row>
    <row r="8077">
      <c r="A8077" s="41" t="str">
        <f>IFERROR(__xludf.DUMMYFUNCTION("""COMPUTED_VALUE"""),"RSC008115")</f>
        <v>RSC008115</v>
      </c>
      <c r="B8077" s="41" t="str">
        <f>IFERROR(__xludf.DUMMYFUNCTION("""COMPUTED_VALUE"""),"Glint")</f>
        <v>Glint</v>
      </c>
    </row>
    <row r="8078">
      <c r="A8078" s="41" t="str">
        <f>IFERROR(__xludf.DUMMYFUNCTION("""COMPUTED_VALUE"""),"RSC008116")</f>
        <v>RSC008116</v>
      </c>
      <c r="B8078" s="41" t="str">
        <f>IFERROR(__xludf.DUMMYFUNCTION("""COMPUTED_VALUE"""),"Jake")</f>
        <v>Jake</v>
      </c>
    </row>
    <row r="8079">
      <c r="A8079" s="41" t="str">
        <f>IFERROR(__xludf.DUMMYFUNCTION("""COMPUTED_VALUE"""),"RSC008117")</f>
        <v>RSC008117</v>
      </c>
      <c r="B8079" s="41" t="str">
        <f>IFERROR(__xludf.DUMMYFUNCTION("""COMPUTED_VALUE"""),"m4ple")</f>
        <v>m4ple</v>
      </c>
    </row>
    <row r="8080">
      <c r="A8080" s="41" t="str">
        <f>IFERROR(__xludf.DUMMYFUNCTION("""COMPUTED_VALUE"""),"RSC008118")</f>
        <v>RSC008118</v>
      </c>
      <c r="B8080" s="41" t="str">
        <f>IFERROR(__xludf.DUMMYFUNCTION("""COMPUTED_VALUE"""),"itz.grizz")</f>
        <v>itz.grizz</v>
      </c>
    </row>
    <row r="8081">
      <c r="A8081" s="41" t="str">
        <f>IFERROR(__xludf.DUMMYFUNCTION("""COMPUTED_VALUE"""),"RSC008119")</f>
        <v>RSC008119</v>
      </c>
      <c r="B8081" s="41" t="str">
        <f>IFERROR(__xludf.DUMMYFUNCTION("""COMPUTED_VALUE"""),"SlimmySlimReaper")</f>
        <v>SlimmySlimReaper</v>
      </c>
    </row>
    <row r="8082">
      <c r="A8082" s="41" t="str">
        <f>IFERROR(__xludf.DUMMYFUNCTION("""COMPUTED_VALUE"""),"RSC008120")</f>
        <v>RSC008120</v>
      </c>
      <c r="B8082" s="41" t="str">
        <f>IFERROR(__xludf.DUMMYFUNCTION("""COMPUTED_VALUE"""),"spul4k")</f>
        <v>spul4k</v>
      </c>
    </row>
    <row r="8083">
      <c r="A8083" s="41" t="str">
        <f>IFERROR(__xludf.DUMMYFUNCTION("""COMPUTED_VALUE"""),"RSC008121")</f>
        <v>RSC008121</v>
      </c>
      <c r="B8083" s="41" t="str">
        <f>IFERROR(__xludf.DUMMYFUNCTION("""COMPUTED_VALUE"""),"FlyDRCar")</f>
        <v>FlyDRCar</v>
      </c>
    </row>
    <row r="8084">
      <c r="A8084" s="41" t="str">
        <f>IFERROR(__xludf.DUMMYFUNCTION("""COMPUTED_VALUE"""),"RSC008122")</f>
        <v>RSC008122</v>
      </c>
      <c r="B8084" s="41" t="str">
        <f>IFERROR(__xludf.DUMMYFUNCTION("""COMPUTED_VALUE"""),"BroGott1")</f>
        <v>BroGott1</v>
      </c>
    </row>
    <row r="8085">
      <c r="A8085" s="41" t="str">
        <f>IFERROR(__xludf.DUMMYFUNCTION("""COMPUTED_VALUE"""),"RSC008123")</f>
        <v>RSC008123</v>
      </c>
      <c r="B8085" s="41" t="str">
        <f>IFERROR(__xludf.DUMMYFUNCTION("""COMPUTED_VALUE"""),"Penjamin Abuser")</f>
        <v>Penjamin Abuser</v>
      </c>
    </row>
    <row r="8086">
      <c r="A8086" s="41" t="str">
        <f>IFERROR(__xludf.DUMMYFUNCTION("""COMPUTED_VALUE"""),"RSC008124")</f>
        <v>RSC008124</v>
      </c>
      <c r="B8086" s="41" t="str">
        <f>IFERROR(__xludf.DUMMYFUNCTION("""COMPUTED_VALUE"""),"AwfulMusic")</f>
        <v>AwfulMusic</v>
      </c>
    </row>
    <row r="8087">
      <c r="A8087" s="41" t="str">
        <f>IFERROR(__xludf.DUMMYFUNCTION("""COMPUTED_VALUE"""),"RSC008125")</f>
        <v>RSC008125</v>
      </c>
      <c r="B8087" s="41" t="str">
        <f>IFERROR(__xludf.DUMMYFUNCTION("""COMPUTED_VALUE"""),"Fritzen")</f>
        <v>Fritzen</v>
      </c>
    </row>
    <row r="8088">
      <c r="A8088" s="41" t="str">
        <f>IFERROR(__xludf.DUMMYFUNCTION("""COMPUTED_VALUE"""),"RSC008126")</f>
        <v>RSC008126</v>
      </c>
      <c r="B8088" s="41" t="str">
        <f>IFERROR(__xludf.DUMMYFUNCTION("""COMPUTED_VALUE"""),"Zuuhan")</f>
        <v>Zuuhan</v>
      </c>
    </row>
    <row r="8089">
      <c r="A8089" s="41" t="str">
        <f>IFERROR(__xludf.DUMMYFUNCTION("""COMPUTED_VALUE"""),"RSC008127")</f>
        <v>RSC008127</v>
      </c>
      <c r="B8089" s="41" t="str">
        <f>IFERROR(__xludf.DUMMYFUNCTION("""COMPUTED_VALUE"""),"N3gative-Nancy")</f>
        <v>N3gative-Nancy</v>
      </c>
    </row>
    <row r="8090">
      <c r="A8090" s="41" t="str">
        <f>IFERROR(__xludf.DUMMYFUNCTION("""COMPUTED_VALUE"""),"RSC008128")</f>
        <v>RSC008128</v>
      </c>
      <c r="B8090" s="41" t="str">
        <f>IFERROR(__xludf.DUMMYFUNCTION("""COMPUTED_VALUE"""),"ThruStyler")</f>
        <v>ThruStyler</v>
      </c>
    </row>
    <row r="8091">
      <c r="A8091" s="41" t="str">
        <f>IFERROR(__xludf.DUMMYFUNCTION("""COMPUTED_VALUE"""),"RSC008129")</f>
        <v>RSC008129</v>
      </c>
      <c r="B8091" s="41" t="str">
        <f>IFERROR(__xludf.DUMMYFUNCTION("""COMPUTED_VALUE"""),"illuzhn")</f>
        <v>illuzhn</v>
      </c>
    </row>
    <row r="8092">
      <c r="A8092" s="41" t="str">
        <f>IFERROR(__xludf.DUMMYFUNCTION("""COMPUTED_VALUE"""),"RSC008130")</f>
        <v>RSC008130</v>
      </c>
      <c r="B8092" s="41" t="str">
        <f>IFERROR(__xludf.DUMMYFUNCTION("""COMPUTED_VALUE"""),"BeardedFrodo1")</f>
        <v>BeardedFrodo1</v>
      </c>
    </row>
    <row r="8093">
      <c r="A8093" s="41" t="str">
        <f>IFERROR(__xludf.DUMMYFUNCTION("""COMPUTED_VALUE"""),"RSC008131")</f>
        <v>RSC008131</v>
      </c>
      <c r="B8093" s="41" t="str">
        <f>IFERROR(__xludf.DUMMYFUNCTION("""COMPUTED_VALUE"""),"chrisofspades")</f>
        <v>chrisofspades</v>
      </c>
    </row>
    <row r="8094">
      <c r="A8094" s="41" t="str">
        <f>IFERROR(__xludf.DUMMYFUNCTION("""COMPUTED_VALUE"""),"RSC008132")</f>
        <v>RSC008132</v>
      </c>
      <c r="B8094" s="41" t="str">
        <f>IFERROR(__xludf.DUMMYFUNCTION("""COMPUTED_VALUE"""),"Paz")</f>
        <v>Paz</v>
      </c>
    </row>
    <row r="8095">
      <c r="A8095" s="41" t="str">
        <f>IFERROR(__xludf.DUMMYFUNCTION("""COMPUTED_VALUE"""),"RSC008133")</f>
        <v>RSC008133</v>
      </c>
      <c r="B8095" s="41" t="str">
        <f>IFERROR(__xludf.DUMMYFUNCTION("""COMPUTED_VALUE"""),"Lyle")</f>
        <v>Lyle</v>
      </c>
    </row>
    <row r="8096">
      <c r="A8096" s="41" t="str">
        <f>IFERROR(__xludf.DUMMYFUNCTION("""COMPUTED_VALUE"""),"RSC008134")</f>
        <v>RSC008134</v>
      </c>
      <c r="B8096" s="41" t="str">
        <f>IFERROR(__xludf.DUMMYFUNCTION("""COMPUTED_VALUE"""),"july")</f>
        <v>july</v>
      </c>
    </row>
    <row r="8097">
      <c r="A8097" s="41" t="str">
        <f>IFERROR(__xludf.DUMMYFUNCTION("""COMPUTED_VALUE"""),"RSC008135")</f>
        <v>RSC008135</v>
      </c>
      <c r="B8097" s="41" t="str">
        <f>IFERROR(__xludf.DUMMYFUNCTION("""COMPUTED_VALUE"""),"Ezio_256")</f>
        <v>Ezio_256</v>
      </c>
    </row>
    <row r="8098">
      <c r="A8098" s="41" t="str">
        <f>IFERROR(__xludf.DUMMYFUNCTION("""COMPUTED_VALUE"""),"RSC008136")</f>
        <v>RSC008136</v>
      </c>
      <c r="B8098" s="41" t="str">
        <f>IFERROR(__xludf.DUMMYFUNCTION("""COMPUTED_VALUE"""),"GeneralLeigh91")</f>
        <v>GeneralLeigh91</v>
      </c>
    </row>
    <row r="8099">
      <c r="A8099" s="41" t="str">
        <f>IFERROR(__xludf.DUMMYFUNCTION("""COMPUTED_VALUE"""),"RSC008137")</f>
        <v>RSC008137</v>
      </c>
      <c r="B8099" s="41" t="str">
        <f>IFERROR(__xludf.DUMMYFUNCTION("""COMPUTED_VALUE"""),"Ghost-Reaperz")</f>
        <v>Ghost-Reaperz</v>
      </c>
    </row>
    <row r="8100">
      <c r="A8100" s="41" t="str">
        <f>IFERROR(__xludf.DUMMYFUNCTION("""COMPUTED_VALUE"""),"RSC008138")</f>
        <v>RSC008138</v>
      </c>
      <c r="B8100" s="41" t="str">
        <f>IFERROR(__xludf.DUMMYFUNCTION("""COMPUTED_VALUE"""),"Skillz Issue")</f>
        <v>Skillz Issue</v>
      </c>
    </row>
    <row r="8101">
      <c r="A8101" s="41" t="str">
        <f>IFERROR(__xludf.DUMMYFUNCTION("""COMPUTED_VALUE"""),"RSC008139")</f>
        <v>RSC008139</v>
      </c>
      <c r="B8101" s="41" t="str">
        <f>IFERROR(__xludf.DUMMYFUNCTION("""COMPUTED_VALUE"""),"Oibu")</f>
        <v>Oibu</v>
      </c>
    </row>
    <row r="8102">
      <c r="A8102" s="41" t="str">
        <f>IFERROR(__xludf.DUMMYFUNCTION("""COMPUTED_VALUE"""),"RSC008140")</f>
        <v>RSC008140</v>
      </c>
      <c r="B8102" s="41" t="str">
        <f>IFERROR(__xludf.DUMMYFUNCTION("""COMPUTED_VALUE"""),"T1_Sm0kes69")</f>
        <v>T1_Sm0kes69</v>
      </c>
    </row>
    <row r="8103">
      <c r="A8103" s="41" t="str">
        <f>IFERROR(__xludf.DUMMYFUNCTION("""COMPUTED_VALUE"""),"RSC008141")</f>
        <v>RSC008141</v>
      </c>
      <c r="B8103" s="41" t="str">
        <f>IFERROR(__xludf.DUMMYFUNCTION("""COMPUTED_VALUE"""),"c_man.rl")</f>
        <v>c_man.rl</v>
      </c>
    </row>
    <row r="8104">
      <c r="A8104" s="41" t="str">
        <f>IFERROR(__xludf.DUMMYFUNCTION("""COMPUTED_VALUE"""),"RSC008142")</f>
        <v>RSC008142</v>
      </c>
      <c r="B8104" s="41" t="str">
        <f>IFERROR(__xludf.DUMMYFUNCTION("""COMPUTED_VALUE"""),"Willlm.")</f>
        <v>Willlm.</v>
      </c>
    </row>
    <row r="8105">
      <c r="A8105" s="41" t="str">
        <f>IFERROR(__xludf.DUMMYFUNCTION("""COMPUTED_VALUE"""),"RSC008143")</f>
        <v>RSC008143</v>
      </c>
      <c r="B8105" s="41" t="str">
        <f>IFERROR(__xludf.DUMMYFUNCTION("""COMPUTED_VALUE"""),"Retro.")</f>
        <v>Retro.</v>
      </c>
    </row>
    <row r="8106">
      <c r="A8106" s="41" t="str">
        <f>IFERROR(__xludf.DUMMYFUNCTION("""COMPUTED_VALUE"""),"RSC008144")</f>
        <v>RSC008144</v>
      </c>
      <c r="B8106" s="41" t="str">
        <f>IFERROR(__xludf.DUMMYFUNCTION("""COMPUTED_VALUE"""),"j4n301")</f>
        <v>j4n301</v>
      </c>
    </row>
    <row r="8107">
      <c r="A8107" s="41" t="str">
        <f>IFERROR(__xludf.DUMMYFUNCTION("""COMPUTED_VALUE"""),"RSC008145")</f>
        <v>RSC008145</v>
      </c>
      <c r="B8107" s="41" t="str">
        <f>IFERROR(__xludf.DUMMYFUNCTION("""COMPUTED_VALUE"""),"Faze Rice Packer")</f>
        <v>Faze Rice Packer</v>
      </c>
    </row>
    <row r="8108">
      <c r="A8108" s="41" t="str">
        <f>IFERROR(__xludf.DUMMYFUNCTION("""COMPUTED_VALUE"""),"RSC008146")</f>
        <v>RSC008146</v>
      </c>
      <c r="B8108" s="41" t="str">
        <f>IFERROR(__xludf.DUMMYFUNCTION("""COMPUTED_VALUE"""),"NoThanksImVegan")</f>
        <v>NoThanksImVegan</v>
      </c>
    </row>
    <row r="8109">
      <c r="A8109" s="41" t="str">
        <f>IFERROR(__xludf.DUMMYFUNCTION("""COMPUTED_VALUE"""),"RSC008147")</f>
        <v>RSC008147</v>
      </c>
      <c r="B8109" s="41" t="str">
        <f>IFERROR(__xludf.DUMMYFUNCTION("""COMPUTED_VALUE"""),"CrucialUrchin")</f>
        <v>CrucialUrchin</v>
      </c>
    </row>
    <row r="8110">
      <c r="A8110" s="41" t="str">
        <f>IFERROR(__xludf.DUMMYFUNCTION("""COMPUTED_VALUE"""),"RSC008148")</f>
        <v>RSC008148</v>
      </c>
      <c r="B8110" s="41" t="str">
        <f>IFERROR(__xludf.DUMMYFUNCTION("""COMPUTED_VALUE"""),"Silence4073")</f>
        <v>Silence4073</v>
      </c>
    </row>
    <row r="8111">
      <c r="A8111" s="41" t="str">
        <f>IFERROR(__xludf.DUMMYFUNCTION("""COMPUTED_VALUE"""),"RSC008149")</f>
        <v>RSC008149</v>
      </c>
      <c r="B8111" s="41" t="str">
        <f>IFERROR(__xludf.DUMMYFUNCTION("""COMPUTED_VALUE"""),"janpliar")</f>
        <v>janpliar</v>
      </c>
    </row>
    <row r="8112">
      <c r="A8112" s="41" t="str">
        <f>IFERROR(__xludf.DUMMYFUNCTION("""COMPUTED_VALUE"""),"RSC008150")</f>
        <v>RSC008150</v>
      </c>
      <c r="B8112" s="41" t="str">
        <f>IFERROR(__xludf.DUMMYFUNCTION("""COMPUTED_VALUE"""),"Bean.lot")</f>
        <v>Bean.lot</v>
      </c>
    </row>
    <row r="8113">
      <c r="A8113" s="41" t="str">
        <f>IFERROR(__xludf.DUMMYFUNCTION("""COMPUTED_VALUE"""),"RSC008151")</f>
        <v>RSC008151</v>
      </c>
      <c r="B8113" s="41" t="str">
        <f>IFERROR(__xludf.DUMMYFUNCTION("""COMPUTED_VALUE"""),"Extrakrispybecky")</f>
        <v>Extrakrispybecky</v>
      </c>
    </row>
    <row r="8114">
      <c r="A8114" s="41" t="str">
        <f>IFERROR(__xludf.DUMMYFUNCTION("""COMPUTED_VALUE"""),"RSC008152")</f>
        <v>RSC008152</v>
      </c>
      <c r="B8114" s="41" t="str">
        <f>IFERROR(__xludf.DUMMYFUNCTION("""COMPUTED_VALUE"""),"Its Brunoh")</f>
        <v>Its Brunoh</v>
      </c>
    </row>
    <row r="8115">
      <c r="A8115" s="41" t="str">
        <f>IFERROR(__xludf.DUMMYFUNCTION("""COMPUTED_VALUE"""),"RSC008153")</f>
        <v>RSC008153</v>
      </c>
      <c r="B8115" s="41" t="str">
        <f>IFERROR(__xludf.DUMMYFUNCTION("""COMPUTED_VALUE"""),"Tyson_WA")</f>
        <v>Tyson_WA</v>
      </c>
    </row>
    <row r="8116">
      <c r="A8116" s="41" t="str">
        <f>IFERROR(__xludf.DUMMYFUNCTION("""COMPUTED_VALUE"""),"RSC008154")</f>
        <v>RSC008154</v>
      </c>
      <c r="B8116" s="41" t="str">
        <f>IFERROR(__xludf.DUMMYFUNCTION("""COMPUTED_VALUE"""),"Blurrryy.")</f>
        <v>Blurrryy.</v>
      </c>
    </row>
    <row r="8117">
      <c r="A8117" s="41" t="str">
        <f>IFERROR(__xludf.DUMMYFUNCTION("""COMPUTED_VALUE"""),"RSC008155")</f>
        <v>RSC008155</v>
      </c>
      <c r="B8117" s="41" t="str">
        <f>IFERROR(__xludf.DUMMYFUNCTION("""COMPUTED_VALUE"""),"WinterMajorChamp")</f>
        <v>WinterMajorChamp</v>
      </c>
    </row>
    <row r="8118">
      <c r="A8118" s="41" t="str">
        <f>IFERROR(__xludf.DUMMYFUNCTION("""COMPUTED_VALUE"""),"RSC008156")</f>
        <v>RSC008156</v>
      </c>
      <c r="B8118" s="41" t="str">
        <f>IFERROR(__xludf.DUMMYFUNCTION("""COMPUTED_VALUE"""),"Machnetic")</f>
        <v>Machnetic</v>
      </c>
    </row>
    <row r="8119">
      <c r="A8119" s="41" t="str">
        <f>IFERROR(__xludf.DUMMYFUNCTION("""COMPUTED_VALUE"""),"RSC008157")</f>
        <v>RSC008157</v>
      </c>
      <c r="B8119" s="41" t="str">
        <f>IFERROR(__xludf.DUMMYFUNCTION("""COMPUTED_VALUE"""),"Glaze Anatomy")</f>
        <v>Glaze Anatomy</v>
      </c>
    </row>
    <row r="8120">
      <c r="A8120" s="41" t="str">
        <f>IFERROR(__xludf.DUMMYFUNCTION("""COMPUTED_VALUE"""),"RSC008158")</f>
        <v>RSC008158</v>
      </c>
      <c r="B8120" s="41" t="str">
        <f>IFERROR(__xludf.DUMMYFUNCTION("""COMPUTED_VALUE"""),"Twixxle_")</f>
        <v>Twixxle_</v>
      </c>
    </row>
    <row r="8121">
      <c r="A8121" s="41" t="str">
        <f>IFERROR(__xludf.DUMMYFUNCTION("""COMPUTED_VALUE"""),"RSC008159")</f>
        <v>RSC008159</v>
      </c>
      <c r="B8121" s="41" t="str">
        <f>IFERROR(__xludf.DUMMYFUNCTION("""COMPUTED_VALUE"""),"_Austin")</f>
        <v>_Austin</v>
      </c>
    </row>
    <row r="8122">
      <c r="A8122" s="41" t="str">
        <f>IFERROR(__xludf.DUMMYFUNCTION("""COMPUTED_VALUE"""),"RSC008160")</f>
        <v>RSC008160</v>
      </c>
      <c r="B8122" s="41" t="str">
        <f>IFERROR(__xludf.DUMMYFUNCTION("""COMPUTED_VALUE"""),"Mystik.19")</f>
        <v>Mystik.19</v>
      </c>
    </row>
    <row r="8123">
      <c r="A8123" s="41" t="str">
        <f>IFERROR(__xludf.DUMMYFUNCTION("""COMPUTED_VALUE"""),"RSC008161")</f>
        <v>RSC008161</v>
      </c>
      <c r="B8123" s="41" t="str">
        <f>IFERROR(__xludf.DUMMYFUNCTION("""COMPUTED_VALUE"""),"Vent")</f>
        <v>Vent</v>
      </c>
    </row>
    <row r="8124">
      <c r="A8124" s="41" t="str">
        <f>IFERROR(__xludf.DUMMYFUNCTION("""COMPUTED_VALUE"""),"RSC008162")</f>
        <v>RSC008162</v>
      </c>
      <c r="B8124" s="41" t="str">
        <f>IFERROR(__xludf.DUMMYFUNCTION("""COMPUTED_VALUE"""),"ThatHomieGageTTV")</f>
        <v>ThatHomieGageTTV</v>
      </c>
    </row>
    <row r="8125">
      <c r="A8125" s="41" t="str">
        <f>IFERROR(__xludf.DUMMYFUNCTION("""COMPUTED_VALUE"""),"RSC008163")</f>
        <v>RSC008163</v>
      </c>
      <c r="B8125" s="41" t="str">
        <f>IFERROR(__xludf.DUMMYFUNCTION("""COMPUTED_VALUE"""),"Mst.-")</f>
        <v>Mst.-</v>
      </c>
    </row>
    <row r="8126">
      <c r="A8126" s="41" t="str">
        <f>IFERROR(__xludf.DUMMYFUNCTION("""COMPUTED_VALUE"""),"RSC008164")</f>
        <v>RSC008164</v>
      </c>
      <c r="B8126" s="41" t="str">
        <f>IFERROR(__xludf.DUMMYFUNCTION("""COMPUTED_VALUE"""),"FirePanda511")</f>
        <v>FirePanda511</v>
      </c>
    </row>
    <row r="8127">
      <c r="A8127" s="41" t="str">
        <f>IFERROR(__xludf.DUMMYFUNCTION("""COMPUTED_VALUE"""),"RSC008165")</f>
        <v>RSC008165</v>
      </c>
      <c r="B8127" s="41" t="str">
        <f>IFERROR(__xludf.DUMMYFUNCTION("""COMPUTED_VALUE"""),"JoJo-sepy")</f>
        <v>JoJo-sepy</v>
      </c>
    </row>
    <row r="8128">
      <c r="A8128" s="41" t="str">
        <f>IFERROR(__xludf.DUMMYFUNCTION("""COMPUTED_VALUE"""),"RSC008166")</f>
        <v>RSC008166</v>
      </c>
      <c r="B8128" s="41" t="str">
        <f>IFERROR(__xludf.DUMMYFUNCTION("""COMPUTED_VALUE"""),"Ulltra11")</f>
        <v>Ulltra11</v>
      </c>
    </row>
    <row r="8129">
      <c r="A8129" s="41" t="str">
        <f>IFERROR(__xludf.DUMMYFUNCTION("""COMPUTED_VALUE"""),"RSC008167")</f>
        <v>RSC008167</v>
      </c>
      <c r="B8129" s="41" t="str">
        <f>IFERROR(__xludf.DUMMYFUNCTION("""COMPUTED_VALUE"""),"SleasyRat")</f>
        <v>SleasyRat</v>
      </c>
    </row>
    <row r="8130">
      <c r="A8130" s="41" t="str">
        <f>IFERROR(__xludf.DUMMYFUNCTION("""COMPUTED_VALUE"""),"RSC008168")</f>
        <v>RSC008168</v>
      </c>
      <c r="B8130" s="41" t="str">
        <f>IFERROR(__xludf.DUMMYFUNCTION("""COMPUTED_VALUE"""),"TheBananaManRL")</f>
        <v>TheBananaManRL</v>
      </c>
    </row>
    <row r="8131">
      <c r="A8131" s="41" t="str">
        <f>IFERROR(__xludf.DUMMYFUNCTION("""COMPUTED_VALUE"""),"RSC008169")</f>
        <v>RSC008169</v>
      </c>
      <c r="B8131" s="41" t="str">
        <f>IFERROR(__xludf.DUMMYFUNCTION("""COMPUTED_VALUE"""),"Trickter02")</f>
        <v>Trickter02</v>
      </c>
    </row>
    <row r="8132">
      <c r="A8132" s="41" t="str">
        <f>IFERROR(__xludf.DUMMYFUNCTION("""COMPUTED_VALUE"""),"RSC008170")</f>
        <v>RSC008170</v>
      </c>
      <c r="B8132" s="41" t="str">
        <f>IFERROR(__xludf.DUMMYFUNCTION("""COMPUTED_VALUE"""),"Hypernova")</f>
        <v>Hypernova</v>
      </c>
    </row>
    <row r="8133">
      <c r="A8133" s="41" t="str">
        <f>IFERROR(__xludf.DUMMYFUNCTION("""COMPUTED_VALUE"""),"RSC008171")</f>
        <v>RSC008171</v>
      </c>
      <c r="B8133" s="41" t="str">
        <f>IFERROR(__xludf.DUMMYFUNCTION("""COMPUTED_VALUE"""),"Shxde")</f>
        <v>Shxde</v>
      </c>
    </row>
    <row r="8134">
      <c r="A8134" s="41" t="str">
        <f>IFERROR(__xludf.DUMMYFUNCTION("""COMPUTED_VALUE"""),"RSC008172")</f>
        <v>RSC008172</v>
      </c>
      <c r="B8134" s="41" t="str">
        <f>IFERROR(__xludf.DUMMYFUNCTION("""COMPUTED_VALUE"""),"Vera")</f>
        <v>Vera</v>
      </c>
    </row>
    <row r="8135">
      <c r="A8135" s="41" t="str">
        <f>IFERROR(__xludf.DUMMYFUNCTION("""COMPUTED_VALUE"""),"RSC008173")</f>
        <v>RSC008173</v>
      </c>
      <c r="B8135" s="41" t="str">
        <f>IFERROR(__xludf.DUMMYFUNCTION("""COMPUTED_VALUE"""),"Wild Thing")</f>
        <v>Wild Thing</v>
      </c>
    </row>
    <row r="8136">
      <c r="A8136" s="41" t="str">
        <f>IFERROR(__xludf.DUMMYFUNCTION("""COMPUTED_VALUE"""),"RSC008174")</f>
        <v>RSC008174</v>
      </c>
      <c r="B8136" s="41" t="str">
        <f>IFERROR(__xludf.DUMMYFUNCTION("""COMPUTED_VALUE"""),"DJ")</f>
        <v>DJ</v>
      </c>
    </row>
    <row r="8137">
      <c r="A8137" s="41" t="str">
        <f>IFERROR(__xludf.DUMMYFUNCTION("""COMPUTED_VALUE"""),"RSC008175")</f>
        <v>RSC008175</v>
      </c>
      <c r="B8137" s="41" t="str">
        <f>IFERROR(__xludf.DUMMYFUNCTION("""COMPUTED_VALUE"""),"Kayo.")</f>
        <v>Kayo.</v>
      </c>
    </row>
    <row r="8138">
      <c r="A8138" s="41" t="str">
        <f>IFERROR(__xludf.DUMMYFUNCTION("""COMPUTED_VALUE"""),"RSC008176")</f>
        <v>RSC008176</v>
      </c>
      <c r="B8138" s="41" t="str">
        <f>IFERROR(__xludf.DUMMYFUNCTION("""COMPUTED_VALUE"""),"xLunarWolfx")</f>
        <v>xLunarWolfx</v>
      </c>
    </row>
    <row r="8139">
      <c r="A8139" s="41" t="str">
        <f>IFERROR(__xludf.DUMMYFUNCTION("""COMPUTED_VALUE"""),"RSC008177")</f>
        <v>RSC008177</v>
      </c>
      <c r="B8139" s="41" t="str">
        <f>IFERROR(__xludf.DUMMYFUNCTION("""COMPUTED_VALUE"""),"NC Extra")</f>
        <v>NC Extra</v>
      </c>
    </row>
    <row r="8140">
      <c r="A8140" s="41" t="str">
        <f>IFERROR(__xludf.DUMMYFUNCTION("""COMPUTED_VALUE"""),"RSC008178")</f>
        <v>RSC008178</v>
      </c>
      <c r="B8140" s="41" t="str">
        <f>IFERROR(__xludf.DUMMYFUNCTION("""COMPUTED_VALUE"""),"Bigwigglystylezz")</f>
        <v>Bigwigglystylezz</v>
      </c>
    </row>
    <row r="8141">
      <c r="A8141" s="41" t="str">
        <f>IFERROR(__xludf.DUMMYFUNCTION("""COMPUTED_VALUE"""),"RSC008180")</f>
        <v>RSC008180</v>
      </c>
      <c r="B8141" s="41" t="str">
        <f>IFERROR(__xludf.DUMMYFUNCTION("""COMPUTED_VALUE"""),"Seth")</f>
        <v>Seth</v>
      </c>
    </row>
    <row r="8142">
      <c r="A8142" s="41" t="str">
        <f>IFERROR(__xludf.DUMMYFUNCTION("""COMPUTED_VALUE"""),"RSC008181")</f>
        <v>RSC008181</v>
      </c>
      <c r="B8142" s="41" t="str">
        <f>IFERROR(__xludf.DUMMYFUNCTION("""COMPUTED_VALUE"""),"FuturaSSL")</f>
        <v>FuturaSSL</v>
      </c>
    </row>
    <row r="8143">
      <c r="A8143" s="41" t="str">
        <f>IFERROR(__xludf.DUMMYFUNCTION("""COMPUTED_VALUE"""),"RSC008182")</f>
        <v>RSC008182</v>
      </c>
      <c r="B8143" s="41" t="str">
        <f>IFERROR(__xludf.DUMMYFUNCTION("""COMPUTED_VALUE"""),"Snipe")</f>
        <v>Snipe</v>
      </c>
    </row>
    <row r="8144">
      <c r="A8144" s="41" t="str">
        <f>IFERROR(__xludf.DUMMYFUNCTION("""COMPUTED_VALUE"""),"RSC008183")</f>
        <v>RSC008183</v>
      </c>
      <c r="B8144" s="41" t="str">
        <f>IFERROR(__xludf.DUMMYFUNCTION("""COMPUTED_VALUE"""),"Nesh-")</f>
        <v>Nesh-</v>
      </c>
    </row>
    <row r="8145">
      <c r="A8145" s="41" t="str">
        <f>IFERROR(__xludf.DUMMYFUNCTION("""COMPUTED_VALUE"""),"RSC008184")</f>
        <v>RSC008184</v>
      </c>
      <c r="B8145" s="41" t="str">
        <f>IFERROR(__xludf.DUMMYFUNCTION("""COMPUTED_VALUE"""),"Dray")</f>
        <v>Dray</v>
      </c>
    </row>
    <row r="8146">
      <c r="A8146" s="41" t="str">
        <f>IFERROR(__xludf.DUMMYFUNCTION("""COMPUTED_VALUE"""),"RSC008185")</f>
        <v>RSC008185</v>
      </c>
      <c r="B8146" s="41" t="str">
        <f>IFERROR(__xludf.DUMMYFUNCTION("""COMPUTED_VALUE"""),"RizzyGring0")</f>
        <v>RizzyGring0</v>
      </c>
    </row>
    <row r="8147">
      <c r="A8147" s="41" t="str">
        <f>IFERROR(__xludf.DUMMYFUNCTION("""COMPUTED_VALUE"""),"RSC008186")</f>
        <v>RSC008186</v>
      </c>
      <c r="B8147" s="41" t="str">
        <f>IFERROR(__xludf.DUMMYFUNCTION("""COMPUTED_VALUE"""),"va3u")</f>
        <v>va3u</v>
      </c>
    </row>
    <row r="8148">
      <c r="A8148" s="41" t="str">
        <f>IFERROR(__xludf.DUMMYFUNCTION("""COMPUTED_VALUE"""),"RSC008187")</f>
        <v>RSC008187</v>
      </c>
      <c r="B8148" s="41" t="str">
        <f>IFERROR(__xludf.DUMMYFUNCTION("""COMPUTED_VALUE"""),"Tonini08")</f>
        <v>Tonini08</v>
      </c>
    </row>
    <row r="8149">
      <c r="A8149" s="41" t="str">
        <f>IFERROR(__xludf.DUMMYFUNCTION("""COMPUTED_VALUE"""),"RSC008188")</f>
        <v>RSC008188</v>
      </c>
      <c r="B8149" s="41" t="str">
        <f>IFERROR(__xludf.DUMMYFUNCTION("""COMPUTED_VALUE"""),"SludgeMixFuzz")</f>
        <v>SludgeMixFuzz</v>
      </c>
    </row>
    <row r="8150">
      <c r="A8150" s="41" t="str">
        <f>IFERROR(__xludf.DUMMYFUNCTION("""COMPUTED_VALUE"""),"RSC008189")</f>
        <v>RSC008189</v>
      </c>
      <c r="B8150" s="41" t="str">
        <f>IFERROR(__xludf.DUMMYFUNCTION("""COMPUTED_VALUE"""),"Irish")</f>
        <v>Irish</v>
      </c>
    </row>
    <row r="8151">
      <c r="A8151" s="41" t="str">
        <f>IFERROR(__xludf.DUMMYFUNCTION("""COMPUTED_VALUE"""),"RSC008190")</f>
        <v>RSC008190</v>
      </c>
      <c r="B8151" s="41" t="str">
        <f>IFERROR(__xludf.DUMMYFUNCTION("""COMPUTED_VALUE"""),"HalfmortalCo")</f>
        <v>HalfmortalCo</v>
      </c>
    </row>
    <row r="8152">
      <c r="A8152" s="41" t="str">
        <f>IFERROR(__xludf.DUMMYFUNCTION("""COMPUTED_VALUE"""),"RSC008191")</f>
        <v>RSC008191</v>
      </c>
      <c r="B8152" s="41" t="str">
        <f>IFERROR(__xludf.DUMMYFUNCTION("""COMPUTED_VALUE"""),"Crowbar7570")</f>
        <v>Crowbar7570</v>
      </c>
    </row>
    <row r="8153">
      <c r="A8153" s="41" t="str">
        <f>IFERROR(__xludf.DUMMYFUNCTION("""COMPUTED_VALUE"""),"RSC008192")</f>
        <v>RSC008192</v>
      </c>
      <c r="B8153" s="41" t="str">
        <f>IFERROR(__xludf.DUMMYFUNCTION("""COMPUTED_VALUE"""),"Alpha Dingo")</f>
        <v>Alpha Dingo</v>
      </c>
    </row>
    <row r="8154">
      <c r="A8154" s="41" t="str">
        <f>IFERROR(__xludf.DUMMYFUNCTION("""COMPUTED_VALUE"""),"RSC008193")</f>
        <v>RSC008193</v>
      </c>
      <c r="B8154" s="41" t="str">
        <f>IFERROR(__xludf.DUMMYFUNCTION("""COMPUTED_VALUE"""),"RL Camaro")</f>
        <v>RL Camaro</v>
      </c>
    </row>
    <row r="8155">
      <c r="A8155" s="41" t="str">
        <f>IFERROR(__xludf.DUMMYFUNCTION("""COMPUTED_VALUE"""),"RSC008194")</f>
        <v>RSC008194</v>
      </c>
      <c r="B8155" s="41" t="str">
        <f>IFERROR(__xludf.DUMMYFUNCTION("""COMPUTED_VALUE"""),"xpintobeansx")</f>
        <v>xpintobeansx</v>
      </c>
    </row>
    <row r="8156">
      <c r="A8156" s="41" t="str">
        <f>IFERROR(__xludf.DUMMYFUNCTION("""COMPUTED_VALUE"""),"RSC008195")</f>
        <v>RSC008195</v>
      </c>
      <c r="B8156" s="41" t="str">
        <f>IFERROR(__xludf.DUMMYFUNCTION("""COMPUTED_VALUE"""),"Preaux.")</f>
        <v>Preaux.</v>
      </c>
    </row>
    <row r="8157">
      <c r="A8157" s="41" t="str">
        <f>IFERROR(__xludf.DUMMYFUNCTION("""COMPUTED_VALUE"""),"RSC008196")</f>
        <v>RSC008196</v>
      </c>
      <c r="B8157" s="41" t="str">
        <f>IFERROR(__xludf.DUMMYFUNCTION("""COMPUTED_VALUE"""),"SHLDrip")</f>
        <v>SHLDrip</v>
      </c>
    </row>
    <row r="8158">
      <c r="A8158" s="41" t="str">
        <f>IFERROR(__xludf.DUMMYFUNCTION("""COMPUTED_VALUE"""),"RSC008197")</f>
        <v>RSC008197</v>
      </c>
      <c r="B8158" s="41" t="str">
        <f>IFERROR(__xludf.DUMMYFUNCTION("""COMPUTED_VALUE"""),"Sykohh")</f>
        <v>Sykohh</v>
      </c>
    </row>
    <row r="8159">
      <c r="A8159" s="41" t="str">
        <f>IFERROR(__xludf.DUMMYFUNCTION("""COMPUTED_VALUE"""),"RSC008198")</f>
        <v>RSC008198</v>
      </c>
      <c r="B8159" s="41" t="str">
        <f>IFERROR(__xludf.DUMMYFUNCTION("""COMPUTED_VALUE"""),"Taiyo")</f>
        <v>Taiyo</v>
      </c>
    </row>
    <row r="8160">
      <c r="A8160" s="41" t="str">
        <f>IFERROR(__xludf.DUMMYFUNCTION("""COMPUTED_VALUE"""),"RSC008199")</f>
        <v>RSC008199</v>
      </c>
      <c r="B8160" s="41" t="str">
        <f>IFERROR(__xludf.DUMMYFUNCTION("""COMPUTED_VALUE"""),"ingin!")</f>
        <v>ingin!</v>
      </c>
    </row>
    <row r="8161">
      <c r="A8161" s="41" t="str">
        <f>IFERROR(__xludf.DUMMYFUNCTION("""COMPUTED_VALUE"""),"RSC008200")</f>
        <v>RSC008200</v>
      </c>
      <c r="B8161" s="41" t="str">
        <f>IFERROR(__xludf.DUMMYFUNCTION("""COMPUTED_VALUE"""),"Cloudburst")</f>
        <v>Cloudburst</v>
      </c>
    </row>
    <row r="8162">
      <c r="A8162" s="41" t="str">
        <f>IFERROR(__xludf.DUMMYFUNCTION("""COMPUTED_VALUE"""),"RSC008201")</f>
        <v>RSC008201</v>
      </c>
      <c r="B8162" s="41" t="str">
        <f>IFERROR(__xludf.DUMMYFUNCTION("""COMPUTED_VALUE"""),"CatalystNEMO")</f>
        <v>CatalystNEMO</v>
      </c>
    </row>
    <row r="8163">
      <c r="A8163" s="41" t="str">
        <f>IFERROR(__xludf.DUMMYFUNCTION("""COMPUTED_VALUE"""),"RSC008202")</f>
        <v>RSC008202</v>
      </c>
      <c r="B8163" s="41" t="str">
        <f>IFERROR(__xludf.DUMMYFUNCTION("""COMPUTED_VALUE"""),"Frodoswaggin68")</f>
        <v>Frodoswaggin68</v>
      </c>
    </row>
    <row r="8164">
      <c r="A8164" s="41" t="str">
        <f>IFERROR(__xludf.DUMMYFUNCTION("""COMPUTED_VALUE"""),"RSC008203")</f>
        <v>RSC008203</v>
      </c>
      <c r="B8164" s="41" t="str">
        <f>IFERROR(__xludf.DUMMYFUNCTION("""COMPUTED_VALUE"""),"Oo Rezzyy")</f>
        <v>Oo Rezzyy</v>
      </c>
    </row>
    <row r="8165">
      <c r="A8165" s="41" t="str">
        <f>IFERROR(__xludf.DUMMYFUNCTION("""COMPUTED_VALUE"""),"RSC008204")</f>
        <v>RSC008204</v>
      </c>
      <c r="B8165" s="41" t="str">
        <f>IFERROR(__xludf.DUMMYFUNCTION("""COMPUTED_VALUE"""),"dandledamandle")</f>
        <v>dandledamandle</v>
      </c>
    </row>
    <row r="8166">
      <c r="A8166" s="41" t="str">
        <f>IFERROR(__xludf.DUMMYFUNCTION("""COMPUTED_VALUE"""),"RSC008205")</f>
        <v>RSC008205</v>
      </c>
      <c r="B8166" s="41" t="str">
        <f>IFERROR(__xludf.DUMMYFUNCTION("""COMPUTED_VALUE"""),"Jinskie54")</f>
        <v>Jinskie54</v>
      </c>
    </row>
    <row r="8167">
      <c r="A8167" s="41" t="str">
        <f>IFERROR(__xludf.DUMMYFUNCTION("""COMPUTED_VALUE"""),"RSC008206")</f>
        <v>RSC008206</v>
      </c>
      <c r="B8167" s="41" t="str">
        <f>IFERROR(__xludf.DUMMYFUNCTION("""COMPUTED_VALUE"""),"m")</f>
        <v>m</v>
      </c>
    </row>
    <row r="8168">
      <c r="A8168" s="41" t="str">
        <f>IFERROR(__xludf.DUMMYFUNCTION("""COMPUTED_VALUE"""),"RSC008207")</f>
        <v>RSC008207</v>
      </c>
      <c r="B8168" s="41" t="str">
        <f>IFERROR(__xludf.DUMMYFUNCTION("""COMPUTED_VALUE"""),"a1fork")</f>
        <v>a1fork</v>
      </c>
    </row>
    <row r="8169">
      <c r="A8169" s="41" t="str">
        <f>IFERROR(__xludf.DUMMYFUNCTION("""COMPUTED_VALUE"""),"RSC008208")</f>
        <v>RSC008208</v>
      </c>
      <c r="B8169" s="41" t="str">
        <f>IFERROR(__xludf.DUMMYFUNCTION("""COMPUTED_VALUE"""),"Snininja")</f>
        <v>Snininja</v>
      </c>
    </row>
    <row r="8170">
      <c r="A8170" s="41" t="str">
        <f>IFERROR(__xludf.DUMMYFUNCTION("""COMPUTED_VALUE"""),"RSC008209")</f>
        <v>RSC008209</v>
      </c>
      <c r="B8170" s="41" t="str">
        <f>IFERROR(__xludf.DUMMYFUNCTION("""COMPUTED_VALUE"""),"zoru MONEY")</f>
        <v>zoru MONEY</v>
      </c>
    </row>
    <row r="8171">
      <c r="A8171" s="41" t="str">
        <f>IFERROR(__xludf.DUMMYFUNCTION("""COMPUTED_VALUE"""),"RSC008210")</f>
        <v>RSC008210</v>
      </c>
      <c r="B8171" s="41" t="str">
        <f>IFERROR(__xludf.DUMMYFUNCTION("""COMPUTED_VALUE"""),"-!+""red*#%-")</f>
        <v>-!+"red*#%-</v>
      </c>
    </row>
    <row r="8172">
      <c r="A8172" s="41" t="str">
        <f>IFERROR(__xludf.DUMMYFUNCTION("""COMPUTED_VALUE"""),"RSC008211")</f>
        <v>RSC008211</v>
      </c>
      <c r="B8172" s="41" t="str">
        <f>IFERROR(__xludf.DUMMYFUNCTION("""COMPUTED_VALUE"""),"Astro-HxIIFire")</f>
        <v>Astro-HxIIFire</v>
      </c>
    </row>
    <row r="8173">
      <c r="A8173" s="41" t="str">
        <f>IFERROR(__xludf.DUMMYFUNCTION("""COMPUTED_VALUE"""),"RSC008212")</f>
        <v>RSC008212</v>
      </c>
      <c r="B8173" s="41" t="str">
        <f>IFERROR(__xludf.DUMMYFUNCTION("""COMPUTED_VALUE"""),"Zamps")</f>
        <v>Zamps</v>
      </c>
    </row>
    <row r="8174">
      <c r="A8174" s="41" t="str">
        <f>IFERROR(__xludf.DUMMYFUNCTION("""COMPUTED_VALUE"""),"RSC008213")</f>
        <v>RSC008213</v>
      </c>
      <c r="B8174" s="41" t="str">
        <f>IFERROR(__xludf.DUMMYFUNCTION("""COMPUTED_VALUE"""),"SeargD")</f>
        <v>SeargD</v>
      </c>
    </row>
    <row r="8175">
      <c r="A8175" s="41" t="str">
        <f>IFERROR(__xludf.DUMMYFUNCTION("""COMPUTED_VALUE"""),"RSC008214")</f>
        <v>RSC008214</v>
      </c>
      <c r="B8175" s="41" t="str">
        <f>IFERROR(__xludf.DUMMYFUNCTION("""COMPUTED_VALUE"""),"TrashVan")</f>
        <v>TrashVan</v>
      </c>
    </row>
    <row r="8176">
      <c r="A8176" s="41" t="str">
        <f>IFERROR(__xludf.DUMMYFUNCTION("""COMPUTED_VALUE"""),"RSC008215")</f>
        <v>RSC008215</v>
      </c>
      <c r="B8176" s="41" t="str">
        <f>IFERROR(__xludf.DUMMYFUNCTION("""COMPUTED_VALUE"""),"st3althyninja1")</f>
        <v>st3althyninja1</v>
      </c>
    </row>
    <row r="8177">
      <c r="A8177" s="41" t="str">
        <f>IFERROR(__xludf.DUMMYFUNCTION("""COMPUTED_VALUE"""),"RSC008216")</f>
        <v>RSC008216</v>
      </c>
      <c r="B8177" s="41" t="str">
        <f>IFERROR(__xludf.DUMMYFUNCTION("""COMPUTED_VALUE"""),"oBlueyRL")</f>
        <v>oBlueyRL</v>
      </c>
    </row>
    <row r="8178">
      <c r="A8178" s="41" t="str">
        <f>IFERROR(__xludf.DUMMYFUNCTION("""COMPUTED_VALUE"""),"RSC008217")</f>
        <v>RSC008217</v>
      </c>
      <c r="B8178" s="41" t="str">
        <f>IFERROR(__xludf.DUMMYFUNCTION("""COMPUTED_VALUE"""),"Legitmrmouse")</f>
        <v>Legitmrmouse</v>
      </c>
    </row>
    <row r="8179">
      <c r="A8179" s="41" t="str">
        <f>IFERROR(__xludf.DUMMYFUNCTION("""COMPUTED_VALUE"""),"RSC008218")</f>
        <v>RSC008218</v>
      </c>
      <c r="B8179" s="41" t="str">
        <f>IFERROR(__xludf.DUMMYFUNCTION("""COMPUTED_VALUE"""),"Korrello")</f>
        <v>Korrello</v>
      </c>
    </row>
    <row r="8180">
      <c r="A8180" s="41" t="str">
        <f>IFERROR(__xludf.DUMMYFUNCTION("""COMPUTED_VALUE"""),"RSC008219")</f>
        <v>RSC008219</v>
      </c>
      <c r="B8180" s="41" t="str">
        <f>IFERROR(__xludf.DUMMYFUNCTION("""COMPUTED_VALUE"""),"MrDebosHouse")</f>
        <v>MrDebosHouse</v>
      </c>
    </row>
    <row r="8181">
      <c r="A8181" s="41" t="str">
        <f>IFERROR(__xludf.DUMMYFUNCTION("""COMPUTED_VALUE"""),"RSC008220")</f>
        <v>RSC008220</v>
      </c>
      <c r="B8181" s="41" t="str">
        <f>IFERROR(__xludf.DUMMYFUNCTION("""COMPUTED_VALUE"""),"paul")</f>
        <v>paul</v>
      </c>
    </row>
    <row r="8182">
      <c r="A8182" s="41" t="str">
        <f>IFERROR(__xludf.DUMMYFUNCTION("""COMPUTED_VALUE"""),"RSC008221")</f>
        <v>RSC008221</v>
      </c>
      <c r="B8182" s="41" t="str">
        <f>IFERROR(__xludf.DUMMYFUNCTION("""COMPUTED_VALUE"""),"KamdenRL")</f>
        <v>KamdenRL</v>
      </c>
    </row>
    <row r="8183">
      <c r="A8183" s="41" t="str">
        <f>IFERROR(__xludf.DUMMYFUNCTION("""COMPUTED_VALUE"""),"RSC008222")</f>
        <v>RSC008222</v>
      </c>
      <c r="B8183" s="41" t="str">
        <f>IFERROR(__xludf.DUMMYFUNCTION("""COMPUTED_VALUE"""),"Alfredo")</f>
        <v>Alfredo</v>
      </c>
    </row>
    <row r="8184">
      <c r="A8184" s="41" t="str">
        <f>IFERROR(__xludf.DUMMYFUNCTION("""COMPUTED_VALUE"""),"RSC008223")</f>
        <v>RSC008223</v>
      </c>
      <c r="B8184" s="41" t="str">
        <f>IFERROR(__xludf.DUMMYFUNCTION("""COMPUTED_VALUE"""),"GoldFish")</f>
        <v>GoldFish</v>
      </c>
    </row>
    <row r="8185">
      <c r="A8185" s="41" t="str">
        <f>IFERROR(__xludf.DUMMYFUNCTION("""COMPUTED_VALUE"""),"RSC008224")</f>
        <v>RSC008224</v>
      </c>
      <c r="B8185" s="41" t="str">
        <f>IFERROR(__xludf.DUMMYFUNCTION("""COMPUTED_VALUE"""),"Gwolden")</f>
        <v>Gwolden</v>
      </c>
    </row>
    <row r="8186">
      <c r="A8186" s="41" t="str">
        <f>IFERROR(__xludf.DUMMYFUNCTION("""COMPUTED_VALUE"""),"RSC008225")</f>
        <v>RSC008225</v>
      </c>
      <c r="B8186" s="41" t="str">
        <f>IFERROR(__xludf.DUMMYFUNCTION("""COMPUTED_VALUE"""),"KSUWILDCATS249")</f>
        <v>KSUWILDCATS249</v>
      </c>
    </row>
    <row r="8187">
      <c r="A8187" s="41" t="str">
        <f>IFERROR(__xludf.DUMMYFUNCTION("""COMPUTED_VALUE"""),"RSC008226")</f>
        <v>RSC008226</v>
      </c>
      <c r="B8187" s="41" t="str">
        <f>IFERROR(__xludf.DUMMYFUNCTION("""COMPUTED_VALUE"""),"OurStevie")</f>
        <v>OurStevie</v>
      </c>
    </row>
    <row r="8188">
      <c r="A8188" s="41" t="str">
        <f>IFERROR(__xludf.DUMMYFUNCTION("""COMPUTED_VALUE"""),"RSC008227")</f>
        <v>RSC008227</v>
      </c>
      <c r="B8188" s="41" t="str">
        <f>IFERROR(__xludf.DUMMYFUNCTION("""COMPUTED_VALUE"""),"batman")</f>
        <v>batman</v>
      </c>
    </row>
    <row r="8189">
      <c r="A8189" s="41" t="str">
        <f>IFERROR(__xludf.DUMMYFUNCTION("""COMPUTED_VALUE"""),"RSC008228")</f>
        <v>RSC008228</v>
      </c>
      <c r="B8189" s="41" t="str">
        <f>IFERROR(__xludf.DUMMYFUNCTION("""COMPUTED_VALUE"""),"Sk1nnyLegend")</f>
        <v>Sk1nnyLegend</v>
      </c>
    </row>
    <row r="8190">
      <c r="A8190" s="41" t="str">
        <f>IFERROR(__xludf.DUMMYFUNCTION("""COMPUTED_VALUE"""),"RSC008229")</f>
        <v>RSC008229</v>
      </c>
      <c r="B8190" s="41" t="str">
        <f>IFERROR(__xludf.DUMMYFUNCTION("""COMPUTED_VALUE"""),"Drip")</f>
        <v>Drip</v>
      </c>
    </row>
    <row r="8191">
      <c r="A8191" s="41" t="str">
        <f>IFERROR(__xludf.DUMMYFUNCTION("""COMPUTED_VALUE"""),"RSC008230")</f>
        <v>RSC008230</v>
      </c>
      <c r="B8191" s="41" t="str">
        <f>IFERROR(__xludf.DUMMYFUNCTION("""COMPUTED_VALUE"""),"ShelbyCyan")</f>
        <v>ShelbyCyan</v>
      </c>
    </row>
    <row r="8192">
      <c r="A8192" s="41" t="str">
        <f>IFERROR(__xludf.DUMMYFUNCTION("""COMPUTED_VALUE"""),"RSC008231")</f>
        <v>RSC008231</v>
      </c>
      <c r="B8192" s="41" t="str">
        <f>IFERROR(__xludf.DUMMYFUNCTION("""COMPUTED_VALUE"""),"Afino")</f>
        <v>Afino</v>
      </c>
    </row>
    <row r="8193">
      <c r="A8193" s="41" t="str">
        <f>IFERROR(__xludf.DUMMYFUNCTION("""COMPUTED_VALUE"""),"RSC008232")</f>
        <v>RSC008232</v>
      </c>
      <c r="B8193" s="41" t="str">
        <f>IFERROR(__xludf.DUMMYFUNCTION("""COMPUTED_VALUE"""),"GreenLemon")</f>
        <v>GreenLemon</v>
      </c>
    </row>
    <row r="8194">
      <c r="A8194" s="41" t="str">
        <f>IFERROR(__xludf.DUMMYFUNCTION("""COMPUTED_VALUE"""),"RSC008233")</f>
        <v>RSC008233</v>
      </c>
      <c r="B8194" s="41" t="str">
        <f>IFERROR(__xludf.DUMMYFUNCTION("""COMPUTED_VALUE"""),"Conyep")</f>
        <v>Conyep</v>
      </c>
    </row>
    <row r="8195">
      <c r="A8195" s="41" t="str">
        <f>IFERROR(__xludf.DUMMYFUNCTION("""COMPUTED_VALUE"""),"RSC008234")</f>
        <v>RSC008234</v>
      </c>
      <c r="B8195" s="41" t="str">
        <f>IFERROR(__xludf.DUMMYFUNCTION("""COMPUTED_VALUE"""),"Its_Bran")</f>
        <v>Its_Bran</v>
      </c>
    </row>
    <row r="8196">
      <c r="A8196" s="41" t="str">
        <f>IFERROR(__xludf.DUMMYFUNCTION("""COMPUTED_VALUE"""),"RSC008235")</f>
        <v>RSC008235</v>
      </c>
      <c r="B8196" s="41" t="str">
        <f>IFERROR(__xludf.DUMMYFUNCTION("""COMPUTED_VALUE"""),"Sgt Blump")</f>
        <v>Sgt Blump</v>
      </c>
    </row>
    <row r="8197">
      <c r="A8197" s="41" t="str">
        <f>IFERROR(__xludf.DUMMYFUNCTION("""COMPUTED_VALUE"""),"RSC008236")</f>
        <v>RSC008236</v>
      </c>
      <c r="B8197" s="41" t="str">
        <f>IFERROR(__xludf.DUMMYFUNCTION("""COMPUTED_VALUE"""),"WiffinMcChicken")</f>
        <v>WiffinMcChicken</v>
      </c>
    </row>
    <row r="8198">
      <c r="A8198" s="41" t="str">
        <f>IFERROR(__xludf.DUMMYFUNCTION("""COMPUTED_VALUE"""),"RSC008237")</f>
        <v>RSC008237</v>
      </c>
      <c r="B8198" s="41" t="str">
        <f>IFERROR(__xludf.DUMMYFUNCTION("""COMPUTED_VALUE"""),"SardonicOx")</f>
        <v>SardonicOx</v>
      </c>
    </row>
    <row r="8199">
      <c r="A8199" s="41" t="str">
        <f>IFERROR(__xludf.DUMMYFUNCTION("""COMPUTED_VALUE"""),"RSC008238")</f>
        <v>RSC008238</v>
      </c>
      <c r="B8199" s="41" t="str">
        <f>IFERROR(__xludf.DUMMYFUNCTION("""COMPUTED_VALUE"""),"auto")</f>
        <v>auto</v>
      </c>
    </row>
    <row r="8200">
      <c r="A8200" s="41" t="str">
        <f>IFERROR(__xludf.DUMMYFUNCTION("""COMPUTED_VALUE"""),"RSC008239")</f>
        <v>RSC008239</v>
      </c>
      <c r="B8200" s="41" t="str">
        <f>IFERROR(__xludf.DUMMYFUNCTION("""COMPUTED_VALUE"""),"Duke_DanieIs")</f>
        <v>Duke_DanieIs</v>
      </c>
    </row>
    <row r="8201">
      <c r="A8201" s="41" t="str">
        <f>IFERROR(__xludf.DUMMYFUNCTION("""COMPUTED_VALUE"""),"RSC008240")</f>
        <v>RSC008240</v>
      </c>
      <c r="B8201" s="41" t="str">
        <f>IFERROR(__xludf.DUMMYFUNCTION("""COMPUTED_VALUE"""),"razzy.rl")</f>
        <v>razzy.rl</v>
      </c>
    </row>
    <row r="8202">
      <c r="A8202" s="41" t="str">
        <f>IFERROR(__xludf.DUMMYFUNCTION("""COMPUTED_VALUE"""),"RSC008241")</f>
        <v>RSC008241</v>
      </c>
      <c r="B8202" s="41" t="str">
        <f>IFERROR(__xludf.DUMMYFUNCTION("""COMPUTED_VALUE"""),"soulless")</f>
        <v>soulless</v>
      </c>
    </row>
    <row r="8203">
      <c r="A8203" s="41" t="str">
        <f>IFERROR(__xludf.DUMMYFUNCTION("""COMPUTED_VALUE"""),"RSC008242")</f>
        <v>RSC008242</v>
      </c>
      <c r="B8203" s="41" t="str">
        <f>IFERROR(__xludf.DUMMYFUNCTION("""COMPUTED_VALUE"""),"Snipes")</f>
        <v>Snipes</v>
      </c>
    </row>
    <row r="8204">
      <c r="A8204" s="41" t="str">
        <f>IFERROR(__xludf.DUMMYFUNCTION("""COMPUTED_VALUE"""),"RSC008243")</f>
        <v>RSC008243</v>
      </c>
      <c r="B8204" s="41" t="str">
        <f>IFERROR(__xludf.DUMMYFUNCTION("""COMPUTED_VALUE"""),"iceefox !")</f>
        <v>iceefox !</v>
      </c>
    </row>
    <row r="8205">
      <c r="A8205" s="41" t="str">
        <f>IFERROR(__xludf.DUMMYFUNCTION("""COMPUTED_VALUE"""),"RSC008244")</f>
        <v>RSC008244</v>
      </c>
      <c r="B8205" s="41" t="str">
        <f>IFERROR(__xludf.DUMMYFUNCTION("""COMPUTED_VALUE"""),"Oghma")</f>
        <v>Oghma</v>
      </c>
    </row>
    <row r="8206">
      <c r="A8206" s="41" t="str">
        <f>IFERROR(__xludf.DUMMYFUNCTION("""COMPUTED_VALUE"""),"RSC008245")</f>
        <v>RSC008245</v>
      </c>
      <c r="B8206" s="41" t="str">
        <f>IFERROR(__xludf.DUMMYFUNCTION("""COMPUTED_VALUE"""),"j_durv")</f>
        <v>j_durv</v>
      </c>
    </row>
    <row r="8207">
      <c r="A8207" s="41" t="str">
        <f>IFERROR(__xludf.DUMMYFUNCTION("""COMPUTED_VALUE"""),"RSC008246")</f>
        <v>RSC008246</v>
      </c>
      <c r="B8207" s="41" t="str">
        <f>IFERROR(__xludf.DUMMYFUNCTION("""COMPUTED_VALUE"""),"bio &lt;3")</f>
        <v>bio &lt;3</v>
      </c>
    </row>
    <row r="8208">
      <c r="A8208" s="41" t="str">
        <f>IFERROR(__xludf.DUMMYFUNCTION("""COMPUTED_VALUE"""),"RSC008247")</f>
        <v>RSC008247</v>
      </c>
      <c r="B8208" s="41" t="str">
        <f>IFERROR(__xludf.DUMMYFUNCTION("""COMPUTED_VALUE"""),"Quixy1467")</f>
        <v>Quixy1467</v>
      </c>
    </row>
    <row r="8209">
      <c r="A8209" s="41" t="str">
        <f>IFERROR(__xludf.DUMMYFUNCTION("""COMPUTED_VALUE"""),"RSC008248")</f>
        <v>RSC008248</v>
      </c>
      <c r="B8209" s="41" t="str">
        <f>IFERROR(__xludf.DUMMYFUNCTION("""COMPUTED_VALUE"""),"avatar")</f>
        <v>avatar</v>
      </c>
    </row>
    <row r="8210">
      <c r="A8210" s="41" t="str">
        <f>IFERROR(__xludf.DUMMYFUNCTION("""COMPUTED_VALUE"""),"RSC008249")</f>
        <v>RSC008249</v>
      </c>
      <c r="B8210" s="41" t="str">
        <f>IFERROR(__xludf.DUMMYFUNCTION("""COMPUTED_VALUE"""),"imtobad00")</f>
        <v>imtobad00</v>
      </c>
    </row>
    <row r="8211">
      <c r="A8211" s="41" t="str">
        <f>IFERROR(__xludf.DUMMYFUNCTION("""COMPUTED_VALUE"""),"RSC008250")</f>
        <v>RSC008250</v>
      </c>
      <c r="B8211" s="41" t="str">
        <f>IFERROR(__xludf.DUMMYFUNCTION("""COMPUTED_VALUE"""),"ConquerorsHaki21")</f>
        <v>ConquerorsHaki21</v>
      </c>
    </row>
    <row r="8212">
      <c r="A8212" s="41" t="str">
        <f>IFERROR(__xludf.DUMMYFUNCTION("""COMPUTED_VALUE"""),"RSC008251")</f>
        <v>RSC008251</v>
      </c>
      <c r="B8212" s="41" t="str">
        <f>IFERROR(__xludf.DUMMYFUNCTION("""COMPUTED_VALUE"""),"Honey x Badger3")</f>
        <v>Honey x Badger3</v>
      </c>
    </row>
    <row r="8213">
      <c r="A8213" s="41" t="str">
        <f>IFERROR(__xludf.DUMMYFUNCTION("""COMPUTED_VALUE"""),"RSC008252")</f>
        <v>RSC008252</v>
      </c>
      <c r="B8213" s="41" t="str">
        <f>IFERROR(__xludf.DUMMYFUNCTION("""COMPUTED_VALUE"""),"Cookiëz")</f>
        <v>Cookiëz</v>
      </c>
    </row>
    <row r="8214">
      <c r="A8214" s="41" t="str">
        <f>IFERROR(__xludf.DUMMYFUNCTION("""COMPUTED_VALUE"""),"RSC008253")</f>
        <v>RSC008253</v>
      </c>
      <c r="B8214" s="41" t="str">
        <f>IFERROR(__xludf.DUMMYFUNCTION("""COMPUTED_VALUE"""),"angelic_alexa203")</f>
        <v>angelic_alexa203</v>
      </c>
    </row>
    <row r="8215">
      <c r="A8215" s="41" t="str">
        <f>IFERROR(__xludf.DUMMYFUNCTION("""COMPUTED_VALUE"""),"RSC008254")</f>
        <v>RSC008254</v>
      </c>
      <c r="B8215" s="41" t="str">
        <f>IFERROR(__xludf.DUMMYFUNCTION("""COMPUTED_VALUE"""),"Frogbert Hoover")</f>
        <v>Frogbert Hoover</v>
      </c>
    </row>
    <row r="8216">
      <c r="A8216" s="41" t="str">
        <f>IFERROR(__xludf.DUMMYFUNCTION("""COMPUTED_VALUE"""),"RSC008255")</f>
        <v>RSC008255</v>
      </c>
      <c r="B8216" s="41" t="str">
        <f>IFERROR(__xludf.DUMMYFUNCTION("""COMPUTED_VALUE"""),"Knabit")</f>
        <v>Knabit</v>
      </c>
    </row>
    <row r="8217">
      <c r="A8217" s="41" t="str">
        <f>IFERROR(__xludf.DUMMYFUNCTION("""COMPUTED_VALUE"""),"RSC008256")</f>
        <v>RSC008256</v>
      </c>
      <c r="B8217" s="41" t="str">
        <f>IFERROR(__xludf.DUMMYFUNCTION("""COMPUTED_VALUE"""),"LIL B3AN B3AN")</f>
        <v>LIL B3AN B3AN</v>
      </c>
    </row>
    <row r="8218">
      <c r="A8218" s="41" t="str">
        <f>IFERROR(__xludf.DUMMYFUNCTION("""COMPUTED_VALUE"""),"RSC008257")</f>
        <v>RSC008257</v>
      </c>
      <c r="B8218" s="41" t="str">
        <f>IFERROR(__xludf.DUMMYFUNCTION("""COMPUTED_VALUE"""),"Arana6059")</f>
        <v>Arana6059</v>
      </c>
    </row>
    <row r="8219">
      <c r="A8219" s="41" t="str">
        <f>IFERROR(__xludf.DUMMYFUNCTION("""COMPUTED_VALUE"""),"RSC008258")</f>
        <v>RSC008258</v>
      </c>
      <c r="B8219" s="41" t="str">
        <f>IFERROR(__xludf.DUMMYFUNCTION("""COMPUTED_VALUE"""),"Maxtafs")</f>
        <v>Maxtafs</v>
      </c>
    </row>
    <row r="8220">
      <c r="A8220" s="41" t="str">
        <f>IFERROR(__xludf.DUMMYFUNCTION("""COMPUTED_VALUE"""),"RSC008259")</f>
        <v>RSC008259</v>
      </c>
      <c r="B8220" s="41" t="str">
        <f>IFERROR(__xludf.DUMMYFUNCTION("""COMPUTED_VALUE"""),"Puma")</f>
        <v>Puma</v>
      </c>
    </row>
    <row r="8221">
      <c r="A8221" s="41" t="str">
        <f>IFERROR(__xludf.DUMMYFUNCTION("""COMPUTED_VALUE"""),"RSC008260")</f>
        <v>RSC008260</v>
      </c>
      <c r="B8221" s="41" t="str">
        <f>IFERROR(__xludf.DUMMYFUNCTION("""COMPUTED_VALUE"""),"Crucified6856")</f>
        <v>Crucified6856</v>
      </c>
    </row>
    <row r="8222">
      <c r="A8222" s="41" t="str">
        <f>IFERROR(__xludf.DUMMYFUNCTION("""COMPUTED_VALUE"""),"RSC008261")</f>
        <v>RSC008261</v>
      </c>
      <c r="B8222" s="41" t="str">
        <f>IFERROR(__xludf.DUMMYFUNCTION("""COMPUTED_VALUE"""),"Forht")</f>
        <v>Forht</v>
      </c>
    </row>
    <row r="8223">
      <c r="A8223" s="41" t="str">
        <f>IFERROR(__xludf.DUMMYFUNCTION("""COMPUTED_VALUE"""),"RSC008262")</f>
        <v>RSC008262</v>
      </c>
      <c r="B8223" s="41" t="str">
        <f>IFERROR(__xludf.DUMMYFUNCTION("""COMPUTED_VALUE"""),"HeartOfBold")</f>
        <v>HeartOfBold</v>
      </c>
    </row>
    <row r="8224">
      <c r="A8224" s="41" t="str">
        <f>IFERROR(__xludf.DUMMYFUNCTION("""COMPUTED_VALUE"""),"RSC008263")</f>
        <v>RSC008263</v>
      </c>
      <c r="B8224" s="41" t="str">
        <f>IFERROR(__xludf.DUMMYFUNCTION("""COMPUTED_VALUE"""),"MKV .")</f>
        <v>MKV .</v>
      </c>
    </row>
    <row r="8225">
      <c r="A8225" s="41" t="str">
        <f>IFERROR(__xludf.DUMMYFUNCTION("""COMPUTED_VALUE"""),"RSC008264")</f>
        <v>RSC008264</v>
      </c>
      <c r="B8225" s="41" t="str">
        <f>IFERROR(__xludf.DUMMYFUNCTION("""COMPUTED_VALUE"""),"Pranga")</f>
        <v>Pranga</v>
      </c>
    </row>
    <row r="8226">
      <c r="A8226" s="41" t="str">
        <f>IFERROR(__xludf.DUMMYFUNCTION("""COMPUTED_VALUE"""),"RSC008265")</f>
        <v>RSC008265</v>
      </c>
      <c r="B8226" s="41" t="str">
        <f>IFERROR(__xludf.DUMMYFUNCTION("""COMPUTED_VALUE"""),"creed")</f>
        <v>creed</v>
      </c>
    </row>
    <row r="8227">
      <c r="A8227" s="41" t="str">
        <f>IFERROR(__xludf.DUMMYFUNCTION("""COMPUTED_VALUE"""),"RSC008266")</f>
        <v>RSC008266</v>
      </c>
      <c r="B8227" s="41" t="str">
        <f>IFERROR(__xludf.DUMMYFUNCTION("""COMPUTED_VALUE"""),"Beerwasmadeforme")</f>
        <v>Beerwasmadeforme</v>
      </c>
    </row>
    <row r="8228">
      <c r="A8228" s="41" t="str">
        <f>IFERROR(__xludf.DUMMYFUNCTION("""COMPUTED_VALUE"""),"RSC008267")</f>
        <v>RSC008267</v>
      </c>
      <c r="B8228" s="41" t="str">
        <f>IFERROR(__xludf.DUMMYFUNCTION("""COMPUTED_VALUE"""),"smallmyst")</f>
        <v>smallmyst</v>
      </c>
    </row>
    <row r="8229">
      <c r="A8229" s="41" t="str">
        <f>IFERROR(__xludf.DUMMYFUNCTION("""COMPUTED_VALUE"""),"RSC008268")</f>
        <v>RSC008268</v>
      </c>
      <c r="B8229" s="41" t="str">
        <f>IFERROR(__xludf.DUMMYFUNCTION("""COMPUTED_VALUE"""),"Masterus")</f>
        <v>Masterus</v>
      </c>
    </row>
    <row r="8230">
      <c r="A8230" s="41" t="str">
        <f>IFERROR(__xludf.DUMMYFUNCTION("""COMPUTED_VALUE"""),"RSC008269")</f>
        <v>RSC008269</v>
      </c>
      <c r="B8230" s="41" t="str">
        <f>IFERROR(__xludf.DUMMYFUNCTION("""COMPUTED_VALUE"""),"MikeyG.")</f>
        <v>MikeyG.</v>
      </c>
    </row>
    <row r="8231">
      <c r="A8231" s="41" t="str">
        <f>IFERROR(__xludf.DUMMYFUNCTION("""COMPUTED_VALUE"""),"RSC008270")</f>
        <v>RSC008270</v>
      </c>
      <c r="B8231" s="41" t="str">
        <f>IFERROR(__xludf.DUMMYFUNCTION("""COMPUTED_VALUE"""),"Krispy Donuts")</f>
        <v>Krispy Donuts</v>
      </c>
    </row>
    <row r="8232">
      <c r="A8232" s="41" t="str">
        <f>IFERROR(__xludf.DUMMYFUNCTION("""COMPUTED_VALUE"""),"RSC008271")</f>
        <v>RSC008271</v>
      </c>
      <c r="B8232" s="41" t="str">
        <f>IFERROR(__xludf.DUMMYFUNCTION("""COMPUTED_VALUE"""),"Zenitramx-_-")</f>
        <v>Zenitramx-_-</v>
      </c>
    </row>
    <row r="8233">
      <c r="A8233" s="41" t="str">
        <f>IFERROR(__xludf.DUMMYFUNCTION("""COMPUTED_VALUE"""),"RSC008272")</f>
        <v>RSC008272</v>
      </c>
      <c r="B8233" s="41" t="str">
        <f>IFERROR(__xludf.DUMMYFUNCTION("""COMPUTED_VALUE"""),"WarBean")</f>
        <v>WarBean</v>
      </c>
    </row>
    <row r="8234">
      <c r="A8234" s="41" t="str">
        <f>IFERROR(__xludf.DUMMYFUNCTION("""COMPUTED_VALUE"""),"RSC008273")</f>
        <v>RSC008273</v>
      </c>
      <c r="B8234" s="41" t="str">
        <f>IFERROR(__xludf.DUMMYFUNCTION("""COMPUTED_VALUE"""),"Ihpdacarae")</f>
        <v>Ihpdacarae</v>
      </c>
    </row>
    <row r="8235">
      <c r="A8235" s="41" t="str">
        <f>IFERROR(__xludf.DUMMYFUNCTION("""COMPUTED_VALUE"""),"RSC008274")</f>
        <v>RSC008274</v>
      </c>
      <c r="B8235" s="41" t="str">
        <f>IFERROR(__xludf.DUMMYFUNCTION("""COMPUTED_VALUE"""),"MrKankleMeat")</f>
        <v>MrKankleMeat</v>
      </c>
    </row>
    <row r="8236">
      <c r="A8236" s="41" t="str">
        <f>IFERROR(__xludf.DUMMYFUNCTION("""COMPUTED_VALUE"""),"RSC008275")</f>
        <v>RSC008275</v>
      </c>
      <c r="B8236" s="41" t="str">
        <f>IFERROR(__xludf.DUMMYFUNCTION("""COMPUTED_VALUE"""),"notsilver2")</f>
        <v>notsilver2</v>
      </c>
    </row>
    <row r="8237">
      <c r="A8237" s="41" t="str">
        <f>IFERROR(__xludf.DUMMYFUNCTION("""COMPUTED_VALUE"""),"RSC008276")</f>
        <v>RSC008276</v>
      </c>
      <c r="B8237" s="41" t="str">
        <f>IFERROR(__xludf.DUMMYFUNCTION("""COMPUTED_VALUE"""),"Katsuhito__")</f>
        <v>Katsuhito__</v>
      </c>
    </row>
    <row r="8238">
      <c r="A8238" s="41" t="str">
        <f>IFERROR(__xludf.DUMMYFUNCTION("""COMPUTED_VALUE"""),"RSC008277")</f>
        <v>RSC008277</v>
      </c>
      <c r="B8238" s="41" t="str">
        <f>IFERROR(__xludf.DUMMYFUNCTION("""COMPUTED_VALUE"""),"Desu")</f>
        <v>Desu</v>
      </c>
    </row>
    <row r="8239">
      <c r="A8239" s="41" t="str">
        <f>IFERROR(__xludf.DUMMYFUNCTION("""COMPUTED_VALUE"""),"RSC008278")</f>
        <v>RSC008278</v>
      </c>
      <c r="B8239" s="41" t="str">
        <f>IFERROR(__xludf.DUMMYFUNCTION("""COMPUTED_VALUE"""),"tacosbruh1299")</f>
        <v>tacosbruh1299</v>
      </c>
    </row>
    <row r="8240">
      <c r="A8240" s="41" t="str">
        <f>IFERROR(__xludf.DUMMYFUNCTION("""COMPUTED_VALUE"""),"RSC008279")</f>
        <v>RSC008279</v>
      </c>
      <c r="B8240" s="41" t="str">
        <f>IFERROR(__xludf.DUMMYFUNCTION("""COMPUTED_VALUE"""),"Carnivore")</f>
        <v>Carnivore</v>
      </c>
    </row>
    <row r="8241">
      <c r="A8241" s="41" t="str">
        <f>IFERROR(__xludf.DUMMYFUNCTION("""COMPUTED_VALUE"""),"RSC008280")</f>
        <v>RSC008280</v>
      </c>
      <c r="B8241" s="41" t="str">
        <f>IFERROR(__xludf.DUMMYFUNCTION("""COMPUTED_VALUE"""),"MightyMayonayz")</f>
        <v>MightyMayonayz</v>
      </c>
    </row>
    <row r="8242">
      <c r="A8242" s="41" t="str">
        <f>IFERROR(__xludf.DUMMYFUNCTION("""COMPUTED_VALUE"""),"RSC008281")</f>
        <v>RSC008281</v>
      </c>
      <c r="B8242" s="41" t="str">
        <f>IFERROR(__xludf.DUMMYFUNCTION("""COMPUTED_VALUE"""),"Kill^-^")</f>
        <v>Kill^-^</v>
      </c>
    </row>
    <row r="8243">
      <c r="A8243" s="41" t="str">
        <f>IFERROR(__xludf.DUMMYFUNCTION("""COMPUTED_VALUE"""),"RSC008282")</f>
        <v>RSC008282</v>
      </c>
      <c r="B8243" s="41" t="str">
        <f>IFERROR(__xludf.DUMMYFUNCTION("""COMPUTED_VALUE"""),"ofischial")</f>
        <v>ofischial</v>
      </c>
    </row>
    <row r="8244">
      <c r="A8244" s="41" t="str">
        <f>IFERROR(__xludf.DUMMYFUNCTION("""COMPUTED_VALUE"""),"RSC008283")</f>
        <v>RSC008283</v>
      </c>
      <c r="B8244" s="41" t="str">
        <f>IFERROR(__xludf.DUMMYFUNCTION("""COMPUTED_VALUE"""),"COFFEEKlNG")</f>
        <v>COFFEEKlNG</v>
      </c>
    </row>
    <row r="8245">
      <c r="A8245" s="41" t="str">
        <f>IFERROR(__xludf.DUMMYFUNCTION("""COMPUTED_VALUE"""),"RSC008284")</f>
        <v>RSC008284</v>
      </c>
      <c r="B8245" s="41" t="str">
        <f>IFERROR(__xludf.DUMMYFUNCTION("""COMPUTED_VALUE"""),"QuanSpaghettiYT")</f>
        <v>QuanSpaghettiYT</v>
      </c>
    </row>
    <row r="8246">
      <c r="A8246" s="41" t="str">
        <f>IFERROR(__xludf.DUMMYFUNCTION("""COMPUTED_VALUE"""),"RSC008285")</f>
        <v>RSC008285</v>
      </c>
      <c r="B8246" s="41" t="str">
        <f>IFERROR(__xludf.DUMMYFUNCTION("""COMPUTED_VALUE"""),"ChiRho_-")</f>
        <v>ChiRho_-</v>
      </c>
    </row>
    <row r="8247">
      <c r="A8247" s="41" t="str">
        <f>IFERROR(__xludf.DUMMYFUNCTION("""COMPUTED_VALUE"""),"RSC008286")</f>
        <v>RSC008286</v>
      </c>
      <c r="B8247" s="41" t="str">
        <f>IFERROR(__xludf.DUMMYFUNCTION("""COMPUTED_VALUE"""),"Anonamous_Puh")</f>
        <v>Anonamous_Puh</v>
      </c>
    </row>
    <row r="8248">
      <c r="A8248" s="41" t="str">
        <f>IFERROR(__xludf.DUMMYFUNCTION("""COMPUTED_VALUE"""),"RSC008287")</f>
        <v>RSC008287</v>
      </c>
      <c r="B8248" s="41" t="str">
        <f>IFERROR(__xludf.DUMMYFUNCTION("""COMPUTED_VALUE"""),"phyzixs.")</f>
        <v>phyzixs.</v>
      </c>
    </row>
    <row r="8249">
      <c r="A8249" s="41" t="str">
        <f>IFERROR(__xludf.DUMMYFUNCTION("""COMPUTED_VALUE"""),"RSC008288")</f>
        <v>RSC008288</v>
      </c>
      <c r="B8249" s="41" t="str">
        <f>IFERROR(__xludf.DUMMYFUNCTION("""COMPUTED_VALUE"""),"WifiWFB")</f>
        <v>WifiWFB</v>
      </c>
    </row>
    <row r="8250">
      <c r="A8250" s="41" t="str">
        <f>IFERROR(__xludf.DUMMYFUNCTION("""COMPUTED_VALUE"""),"RSC008289")</f>
        <v>RSC008289</v>
      </c>
      <c r="B8250" s="41" t="str">
        <f>IFERROR(__xludf.DUMMYFUNCTION("""COMPUTED_VALUE"""),"dogtoot")</f>
        <v>dogtoot</v>
      </c>
    </row>
    <row r="8251">
      <c r="A8251" s="41" t="str">
        <f>IFERROR(__xludf.DUMMYFUNCTION("""COMPUTED_VALUE"""),"RSC008290")</f>
        <v>RSC008290</v>
      </c>
      <c r="B8251" s="41" t="str">
        <f>IFERROR(__xludf.DUMMYFUNCTION("""COMPUTED_VALUE"""),"KrsOneTwoThree1")</f>
        <v>KrsOneTwoThree1</v>
      </c>
    </row>
    <row r="8252">
      <c r="A8252" s="41" t="str">
        <f>IFERROR(__xludf.DUMMYFUNCTION("""COMPUTED_VALUE"""),"RSC008291")</f>
        <v>RSC008291</v>
      </c>
      <c r="B8252" s="41" t="str">
        <f>IFERROR(__xludf.DUMMYFUNCTION("""COMPUTED_VALUE"""),"Zephyre")</f>
        <v>Zephyre</v>
      </c>
    </row>
    <row r="8253">
      <c r="A8253" s="41" t="str">
        <f>IFERROR(__xludf.DUMMYFUNCTION("""COMPUTED_VALUE"""),"RSC008292")</f>
        <v>RSC008292</v>
      </c>
      <c r="B8253" s="41" t="str">
        <f>IFERROR(__xludf.DUMMYFUNCTION("""COMPUTED_VALUE"""),"hurabuu")</f>
        <v>hurabuu</v>
      </c>
    </row>
    <row r="8254">
      <c r="A8254" s="41" t="str">
        <f>IFERROR(__xludf.DUMMYFUNCTION("""COMPUTED_VALUE"""),"RSC008293")</f>
        <v>RSC008293</v>
      </c>
      <c r="B8254" s="41" t="str">
        <f>IFERROR(__xludf.DUMMYFUNCTION("""COMPUTED_VALUE"""),"Tall_28")</f>
        <v>Tall_28</v>
      </c>
    </row>
    <row r="8255">
      <c r="A8255" s="41" t="str">
        <f>IFERROR(__xludf.DUMMYFUNCTION("""COMPUTED_VALUE"""),"RSC008294")</f>
        <v>RSC008294</v>
      </c>
      <c r="B8255" s="41" t="str">
        <f>IFERROR(__xludf.DUMMYFUNCTION("""COMPUTED_VALUE"""),"C.C Mechanic")</f>
        <v>C.C Mechanic</v>
      </c>
    </row>
    <row r="8256">
      <c r="A8256" s="41" t="str">
        <f>IFERROR(__xludf.DUMMYFUNCTION("""COMPUTED_VALUE"""),"RSC008295")</f>
        <v>RSC008295</v>
      </c>
      <c r="B8256" s="41" t="str">
        <f>IFERROR(__xludf.DUMMYFUNCTION("""COMPUTED_VALUE"""),"Toastiest Waffle")</f>
        <v>Toastiest Waffle</v>
      </c>
    </row>
    <row r="8257">
      <c r="A8257" s="41" t="str">
        <f>IFERROR(__xludf.DUMMYFUNCTION("""COMPUTED_VALUE"""),"RSC008296")</f>
        <v>RSC008296</v>
      </c>
      <c r="B8257" s="41" t="str">
        <f>IFERROR(__xludf.DUMMYFUNCTION("""COMPUTED_VALUE"""),"NBK honor")</f>
        <v>NBK honor</v>
      </c>
    </row>
    <row r="8258">
      <c r="A8258" s="41" t="str">
        <f>IFERROR(__xludf.DUMMYFUNCTION("""COMPUTED_VALUE"""),"RSC008297")</f>
        <v>RSC008297</v>
      </c>
      <c r="B8258" s="41" t="str">
        <f>IFERROR(__xludf.DUMMYFUNCTION("""COMPUTED_VALUE"""),"Allstar RL")</f>
        <v>Allstar RL</v>
      </c>
    </row>
    <row r="8259">
      <c r="A8259" s="41" t="str">
        <f>IFERROR(__xludf.DUMMYFUNCTION("""COMPUTED_VALUE"""),"RSC008298")</f>
        <v>RSC008298</v>
      </c>
      <c r="B8259" s="41" t="str">
        <f>IFERROR(__xludf.DUMMYFUNCTION("""COMPUTED_VALUE"""),"Lucky")</f>
        <v>Lucky</v>
      </c>
    </row>
    <row r="8260">
      <c r="A8260" s="41" t="str">
        <f>IFERROR(__xludf.DUMMYFUNCTION("""COMPUTED_VALUE"""),"RSC008299")</f>
        <v>RSC008299</v>
      </c>
      <c r="B8260" s="41" t="str">
        <f>IFERROR(__xludf.DUMMYFUNCTION("""COMPUTED_VALUE"""),"Historicblueball")</f>
        <v>Historicblueball</v>
      </c>
    </row>
    <row r="8261">
      <c r="A8261" s="41" t="str">
        <f>IFERROR(__xludf.DUMMYFUNCTION("""COMPUTED_VALUE"""),"RSC008301")</f>
        <v>RSC008301</v>
      </c>
      <c r="B8261" s="41" t="str">
        <f>IFERROR(__xludf.DUMMYFUNCTION("""COMPUTED_VALUE"""),"Oda Noboostnaga")</f>
        <v>Oda Noboostnaga</v>
      </c>
    </row>
    <row r="8262">
      <c r="A8262" s="41" t="str">
        <f>IFERROR(__xludf.DUMMYFUNCTION("""COMPUTED_VALUE"""),"RSC008302")</f>
        <v>RSC008302</v>
      </c>
      <c r="B8262" s="41" t="str">
        <f>IFERROR(__xludf.DUMMYFUNCTION("""COMPUTED_VALUE"""),"fdwz_")</f>
        <v>fdwz_</v>
      </c>
    </row>
    <row r="8263">
      <c r="A8263" s="41" t="str">
        <f>IFERROR(__xludf.DUMMYFUNCTION("""COMPUTED_VALUE"""),"RSC008303")</f>
        <v>RSC008303</v>
      </c>
      <c r="B8263" s="41" t="str">
        <f>IFERROR(__xludf.DUMMYFUNCTION("""COMPUTED_VALUE"""),"Pulse Nichole")</f>
        <v>Pulse Nichole</v>
      </c>
    </row>
    <row r="8264">
      <c r="A8264" s="41" t="str">
        <f>IFERROR(__xludf.DUMMYFUNCTION("""COMPUTED_VALUE"""),"RSC008304")</f>
        <v>RSC008304</v>
      </c>
      <c r="B8264" s="41" t="str">
        <f>IFERROR(__xludf.DUMMYFUNCTION("""COMPUTED_VALUE"""),"SkinnyV3V0")</f>
        <v>SkinnyV3V0</v>
      </c>
    </row>
    <row r="8265">
      <c r="A8265" s="41" t="str">
        <f>IFERROR(__xludf.DUMMYFUNCTION("""COMPUTED_VALUE"""),"RSC008305")</f>
        <v>RSC008305</v>
      </c>
      <c r="B8265" s="41" t="str">
        <f>IFERROR(__xludf.DUMMYFUNCTION("""COMPUTED_VALUE"""),"goldie-olu")</f>
        <v>goldie-olu</v>
      </c>
    </row>
    <row r="8266">
      <c r="A8266" s="41" t="str">
        <f>IFERROR(__xludf.DUMMYFUNCTION("""COMPUTED_VALUE"""),"RSC008306")</f>
        <v>RSC008306</v>
      </c>
      <c r="B8266" s="41" t="str">
        <f>IFERROR(__xludf.DUMMYFUNCTION("""COMPUTED_VALUE"""),"lDeLiiTe")</f>
        <v>lDeLiiTe</v>
      </c>
    </row>
    <row r="8267">
      <c r="A8267" s="41" t="str">
        <f>IFERROR(__xludf.DUMMYFUNCTION("""COMPUTED_VALUE"""),"RSC008307")</f>
        <v>RSC008307</v>
      </c>
      <c r="B8267" s="41" t="str">
        <f>IFERROR(__xludf.DUMMYFUNCTION("""COMPUTED_VALUE"""),"balriight")</f>
        <v>balriight</v>
      </c>
    </row>
    <row r="8268">
      <c r="A8268" s="41" t="str">
        <f>IFERROR(__xludf.DUMMYFUNCTION("""COMPUTED_VALUE"""),"RSC008308")</f>
        <v>RSC008308</v>
      </c>
      <c r="B8268" s="41" t="str">
        <f>IFERROR(__xludf.DUMMYFUNCTION("""COMPUTED_VALUE"""),"CCplays28")</f>
        <v>CCplays28</v>
      </c>
    </row>
    <row r="8269">
      <c r="A8269" s="41" t="str">
        <f>IFERROR(__xludf.DUMMYFUNCTION("""COMPUTED_VALUE"""),"RSC008309")</f>
        <v>RSC008309</v>
      </c>
      <c r="B8269" s="41" t="str">
        <f>IFERROR(__xludf.DUMMYFUNCTION("""COMPUTED_VALUE"""),"ksemaj")</f>
        <v>ksemaj</v>
      </c>
    </row>
    <row r="8270">
      <c r="A8270" s="41" t="str">
        <f>IFERROR(__xludf.DUMMYFUNCTION("""COMPUTED_VALUE"""),"RSC008310")</f>
        <v>RSC008310</v>
      </c>
      <c r="B8270" s="41" t="str">
        <f>IFERROR(__xludf.DUMMYFUNCTION("""COMPUTED_VALUE"""),"evn")</f>
        <v>evn</v>
      </c>
    </row>
    <row r="8271">
      <c r="A8271" s="41" t="str">
        <f>IFERROR(__xludf.DUMMYFUNCTION("""COMPUTED_VALUE"""),"RSC008311")</f>
        <v>RSC008311</v>
      </c>
      <c r="B8271" s="41" t="str">
        <f>IFERROR(__xludf.DUMMYFUNCTION("""COMPUTED_VALUE"""),"qTezo")</f>
        <v>qTezo</v>
      </c>
    </row>
    <row r="8272">
      <c r="A8272" s="41" t="str">
        <f>IFERROR(__xludf.DUMMYFUNCTION("""COMPUTED_VALUE"""),"RSC008312")</f>
        <v>RSC008312</v>
      </c>
      <c r="B8272" s="41" t="str">
        <f>IFERROR(__xludf.DUMMYFUNCTION("""COMPUTED_VALUE"""),"ranneday")</f>
        <v>ranneday</v>
      </c>
    </row>
    <row r="8273">
      <c r="A8273" s="41" t="str">
        <f>IFERROR(__xludf.DUMMYFUNCTION("""COMPUTED_VALUE"""),"RSC008313")</f>
        <v>RSC008313</v>
      </c>
      <c r="B8273" s="41" t="str">
        <f>IFERROR(__xludf.DUMMYFUNCTION("""COMPUTED_VALUE"""),"SNAKPAK_")</f>
        <v>SNAKPAK_</v>
      </c>
    </row>
    <row r="8274">
      <c r="A8274" s="41" t="str">
        <f>IFERROR(__xludf.DUMMYFUNCTION("""COMPUTED_VALUE"""),"RSC008314")</f>
        <v>RSC008314</v>
      </c>
      <c r="B8274" s="41" t="str">
        <f>IFERROR(__xludf.DUMMYFUNCTION("""COMPUTED_VALUE"""),"Jethana")</f>
        <v>Jethana</v>
      </c>
    </row>
    <row r="8275">
      <c r="A8275" s="41" t="str">
        <f>IFERROR(__xludf.DUMMYFUNCTION("""COMPUTED_VALUE"""),"RSC008315")</f>
        <v>RSC008315</v>
      </c>
      <c r="B8275" s="41" t="str">
        <f>IFERROR(__xludf.DUMMYFUNCTION("""COMPUTED_VALUE"""),"MK-Ultra")</f>
        <v>MK-Ultra</v>
      </c>
    </row>
    <row r="8276">
      <c r="A8276" s="41" t="str">
        <f>IFERROR(__xludf.DUMMYFUNCTION("""COMPUTED_VALUE"""),"RSC008316")</f>
        <v>RSC008316</v>
      </c>
      <c r="B8276" s="41" t="str">
        <f>IFERROR(__xludf.DUMMYFUNCTION("""COMPUTED_VALUE"""),"stytes.")</f>
        <v>stytes.</v>
      </c>
    </row>
    <row r="8277">
      <c r="A8277" s="41" t="str">
        <f>IFERROR(__xludf.DUMMYFUNCTION("""COMPUTED_VALUE"""),"RSC008317")</f>
        <v>RSC008317</v>
      </c>
      <c r="B8277" s="41" t="str">
        <f>IFERROR(__xludf.DUMMYFUNCTION("""COMPUTED_VALUE"""),"StormReaper")</f>
        <v>StormReaper</v>
      </c>
    </row>
    <row r="8278">
      <c r="A8278" s="41" t="str">
        <f>IFERROR(__xludf.DUMMYFUNCTION("""COMPUTED_VALUE"""),"RSC008318")</f>
        <v>RSC008318</v>
      </c>
      <c r="B8278" s="41" t="str">
        <f>IFERROR(__xludf.DUMMYFUNCTION("""COMPUTED_VALUE"""),"Saffyyy")</f>
        <v>Saffyyy</v>
      </c>
    </row>
    <row r="8279">
      <c r="A8279" s="41" t="str">
        <f>IFERROR(__xludf.DUMMYFUNCTION("""COMPUTED_VALUE"""),"RSC008319")</f>
        <v>RSC008319</v>
      </c>
      <c r="B8279" s="41" t="str">
        <f>IFERROR(__xludf.DUMMYFUNCTION("""COMPUTED_VALUE"""),"Otta")</f>
        <v>Otta</v>
      </c>
    </row>
    <row r="8280">
      <c r="A8280" s="41" t="str">
        <f>IFERROR(__xludf.DUMMYFUNCTION("""COMPUTED_VALUE"""),"RSC008320")</f>
        <v>RSC008320</v>
      </c>
      <c r="B8280" s="41" t="str">
        <f>IFERROR(__xludf.DUMMYFUNCTION("""COMPUTED_VALUE"""),"Jhammy.")</f>
        <v>Jhammy.</v>
      </c>
    </row>
    <row r="8281">
      <c r="A8281" s="41" t="str">
        <f>IFERROR(__xludf.DUMMYFUNCTION("""COMPUTED_VALUE"""),"RSC008321")</f>
        <v>RSC008321</v>
      </c>
      <c r="B8281" s="41" t="str">
        <f>IFERROR(__xludf.DUMMYFUNCTION("""COMPUTED_VALUE"""),"bonkz.")</f>
        <v>bonkz.</v>
      </c>
    </row>
    <row r="8282">
      <c r="A8282" s="41" t="str">
        <f>IFERROR(__xludf.DUMMYFUNCTION("""COMPUTED_VALUE"""),"RSC008322")</f>
        <v>RSC008322</v>
      </c>
      <c r="B8282" s="41" t="str">
        <f>IFERROR(__xludf.DUMMYFUNCTION("""COMPUTED_VALUE"""),"BU Weako")</f>
        <v>BU Weako</v>
      </c>
    </row>
    <row r="8283">
      <c r="A8283" s="41" t="str">
        <f>IFERROR(__xludf.DUMMYFUNCTION("""COMPUTED_VALUE"""),"RSC008323")</f>
        <v>RSC008323</v>
      </c>
      <c r="B8283" s="41" t="str">
        <f>IFERROR(__xludf.DUMMYFUNCTION("""COMPUTED_VALUE"""),"Fireburner.")</f>
        <v>Fireburner.</v>
      </c>
    </row>
    <row r="8284">
      <c r="A8284" s="41" t="str">
        <f>IFERROR(__xludf.DUMMYFUNCTION("""COMPUTED_VALUE"""),"RSC008324")</f>
        <v>RSC008324</v>
      </c>
      <c r="B8284" s="41" t="str">
        <f>IFERROR(__xludf.DUMMYFUNCTION("""COMPUTED_VALUE"""),"huday")</f>
        <v>huday</v>
      </c>
    </row>
    <row r="8285">
      <c r="A8285" s="41" t="str">
        <f>IFERROR(__xludf.DUMMYFUNCTION("""COMPUTED_VALUE"""),"RSC008325")</f>
        <v>RSC008325</v>
      </c>
      <c r="B8285" s="41" t="str">
        <f>IFERROR(__xludf.DUMMYFUNCTION("""COMPUTED_VALUE"""),"Jxc1zz")</f>
        <v>Jxc1zz</v>
      </c>
    </row>
    <row r="8286">
      <c r="A8286" s="41" t="str">
        <f>IFERROR(__xludf.DUMMYFUNCTION("""COMPUTED_VALUE"""),"RSC008327")</f>
        <v>RSC008327</v>
      </c>
      <c r="B8286" s="41" t="str">
        <f>IFERROR(__xludf.DUMMYFUNCTION("""COMPUTED_VALUE"""),"tempo_rl_ttv")</f>
        <v>tempo_rl_ttv</v>
      </c>
    </row>
    <row r="8287">
      <c r="A8287" s="41" t="str">
        <f>IFERROR(__xludf.DUMMYFUNCTION("""COMPUTED_VALUE"""),"RSC008328")</f>
        <v>RSC008328</v>
      </c>
      <c r="B8287" s="41" t="str">
        <f>IFERROR(__xludf.DUMMYFUNCTION("""COMPUTED_VALUE"""),"GreedInSpace")</f>
        <v>GreedInSpace</v>
      </c>
    </row>
    <row r="8288">
      <c r="A8288" s="41" t="str">
        <f>IFERROR(__xludf.DUMMYFUNCTION("""COMPUTED_VALUE"""),"RSC008329")</f>
        <v>RSC008329</v>
      </c>
      <c r="B8288" s="41" t="str">
        <f>IFERROR(__xludf.DUMMYFUNCTION("""COMPUTED_VALUE"""),"Flaniks")</f>
        <v>Flaniks</v>
      </c>
    </row>
    <row r="8289">
      <c r="A8289" s="41" t="str">
        <f>IFERROR(__xludf.DUMMYFUNCTION("""COMPUTED_VALUE"""),"RSC008330")</f>
        <v>RSC008330</v>
      </c>
      <c r="B8289" s="41" t="str">
        <f>IFERROR(__xludf.DUMMYFUNCTION("""COMPUTED_VALUE"""),"Jammin")</f>
        <v>Jammin</v>
      </c>
    </row>
    <row r="8290">
      <c r="A8290" s="41" t="str">
        <f>IFERROR(__xludf.DUMMYFUNCTION("""COMPUTED_VALUE"""),"RSC008331")</f>
        <v>RSC008331</v>
      </c>
      <c r="B8290" s="41" t="str">
        <f>IFERROR(__xludf.DUMMYFUNCTION("""COMPUTED_VALUE"""),"Hanz Simmer")</f>
        <v>Hanz Simmer</v>
      </c>
    </row>
    <row r="8291">
      <c r="A8291" s="41" t="str">
        <f>IFERROR(__xludf.DUMMYFUNCTION("""COMPUTED_VALUE"""),"RSC008332")</f>
        <v>RSC008332</v>
      </c>
      <c r="B8291" s="41" t="str">
        <f>IFERROR(__xludf.DUMMYFUNCTION("""COMPUTED_VALUE"""),"QuaviusProd")</f>
        <v>QuaviusProd</v>
      </c>
    </row>
    <row r="8292">
      <c r="A8292" s="41" t="str">
        <f>IFERROR(__xludf.DUMMYFUNCTION("""COMPUTED_VALUE"""),"RSC008333")</f>
        <v>RSC008333</v>
      </c>
      <c r="B8292" s="41" t="str">
        <f>IFERROR(__xludf.DUMMYFUNCTION("""COMPUTED_VALUE"""),"LykanFox")</f>
        <v>LykanFox</v>
      </c>
    </row>
    <row r="8293">
      <c r="A8293" s="41" t="str">
        <f>IFERROR(__xludf.DUMMYFUNCTION("""COMPUTED_VALUE"""),"RSC008334")</f>
        <v>RSC008334</v>
      </c>
      <c r="B8293" s="41" t="str">
        <f>IFERROR(__xludf.DUMMYFUNCTION("""COMPUTED_VALUE"""),"Nullµµ")</f>
        <v>Nullµµ</v>
      </c>
    </row>
    <row r="8294">
      <c r="A8294" s="41" t="str">
        <f>IFERROR(__xludf.DUMMYFUNCTION("""COMPUTED_VALUE"""),"RSC008335")</f>
        <v>RSC008335</v>
      </c>
      <c r="B8294" s="41" t="str">
        <f>IFERROR(__xludf.DUMMYFUNCTION("""COMPUTED_VALUE"""),"DLG_ToxicRatTrap")</f>
        <v>DLG_ToxicRatTrap</v>
      </c>
    </row>
    <row r="8295">
      <c r="A8295" s="41" t="str">
        <f>IFERROR(__xludf.DUMMYFUNCTION("""COMPUTED_VALUE"""),"RSC008336")</f>
        <v>RSC008336</v>
      </c>
      <c r="B8295" s="41" t="str">
        <f>IFERROR(__xludf.DUMMYFUNCTION("""COMPUTED_VALUE"""),"TT Cofi")</f>
        <v>TT Cofi</v>
      </c>
    </row>
    <row r="8296">
      <c r="A8296" s="41" t="str">
        <f>IFERROR(__xludf.DUMMYFUNCTION("""COMPUTED_VALUE"""),"RSC008337")</f>
        <v>RSC008337</v>
      </c>
      <c r="B8296" s="41" t="str">
        <f>IFERROR(__xludf.DUMMYFUNCTION("""COMPUTED_VALUE"""),"Bblaazee.")</f>
        <v>Bblaazee.</v>
      </c>
    </row>
    <row r="8297">
      <c r="A8297" s="41" t="str">
        <f>IFERROR(__xludf.DUMMYFUNCTION("""COMPUTED_VALUE"""),"RSC008338")</f>
        <v>RSC008338</v>
      </c>
      <c r="B8297" s="41" t="str">
        <f>IFERROR(__xludf.DUMMYFUNCTION("""COMPUTED_VALUE"""),"MrPoloMan32")</f>
        <v>MrPoloMan32</v>
      </c>
    </row>
    <row r="8298">
      <c r="A8298" s="41" t="str">
        <f>IFERROR(__xludf.DUMMYFUNCTION("""COMPUTED_VALUE"""),"RSC008339")</f>
        <v>RSC008339</v>
      </c>
      <c r="B8298" s="41" t="str">
        <f>IFERROR(__xludf.DUMMYFUNCTION("""COMPUTED_VALUE"""),"Colbz")</f>
        <v>Colbz</v>
      </c>
    </row>
    <row r="8299">
      <c r="A8299" s="41" t="str">
        <f>IFERROR(__xludf.DUMMYFUNCTION("""COMPUTED_VALUE"""),"RSC008340")</f>
        <v>RSC008340</v>
      </c>
      <c r="B8299" s="41" t="str">
        <f>IFERROR(__xludf.DUMMYFUNCTION("""COMPUTED_VALUE"""),"Slowsociety")</f>
        <v>Slowsociety</v>
      </c>
    </row>
    <row r="8300">
      <c r="A8300" s="41" t="str">
        <f>IFERROR(__xludf.DUMMYFUNCTION("""COMPUTED_VALUE"""),"RSC008341")</f>
        <v>RSC008341</v>
      </c>
      <c r="B8300" s="41" t="str">
        <f>IFERROR(__xludf.DUMMYFUNCTION("""COMPUTED_VALUE"""),"haileyset")</f>
        <v>haileyset</v>
      </c>
    </row>
    <row r="8301">
      <c r="A8301" s="41" t="str">
        <f>IFERROR(__xludf.DUMMYFUNCTION("""COMPUTED_VALUE"""),"RSC008342")</f>
        <v>RSC008342</v>
      </c>
      <c r="B8301" s="41" t="str">
        <f>IFERROR(__xludf.DUMMYFUNCTION("""COMPUTED_VALUE"""),"Joe")</f>
        <v>Joe</v>
      </c>
    </row>
    <row r="8302">
      <c r="A8302" s="41" t="str">
        <f>IFERROR(__xludf.DUMMYFUNCTION("""COMPUTED_VALUE"""),"RSC008343")</f>
        <v>RSC008343</v>
      </c>
      <c r="B8302" s="41" t="str">
        <f>IFERROR(__xludf.DUMMYFUNCTION("""COMPUTED_VALUE"""),"surreal")</f>
        <v>surreal</v>
      </c>
    </row>
    <row r="8303">
      <c r="A8303" s="41" t="str">
        <f>IFERROR(__xludf.DUMMYFUNCTION("""COMPUTED_VALUE"""),"RSC008344")</f>
        <v>RSC008344</v>
      </c>
      <c r="B8303" s="41" t="str">
        <f>IFERROR(__xludf.DUMMYFUNCTION("""COMPUTED_VALUE"""),"RealRoice_IsGetz")</f>
        <v>RealRoice_IsGetz</v>
      </c>
    </row>
    <row r="8304">
      <c r="A8304" s="41" t="str">
        <f>IFERROR(__xludf.DUMMYFUNCTION("""COMPUTED_VALUE"""),"RSC008345")</f>
        <v>RSC008345</v>
      </c>
      <c r="B8304" s="41" t="str">
        <f>IFERROR(__xludf.DUMMYFUNCTION("""COMPUTED_VALUE"""),"okay Eggy")</f>
        <v>okay Eggy</v>
      </c>
    </row>
    <row r="8305">
      <c r="A8305" s="41" t="str">
        <f>IFERROR(__xludf.DUMMYFUNCTION("""COMPUTED_VALUE"""),"RSC008346")</f>
        <v>RSC008346</v>
      </c>
      <c r="B8305" s="41" t="str">
        <f>IFERROR(__xludf.DUMMYFUNCTION("""COMPUTED_VALUE"""),"Fish33314")</f>
        <v>Fish33314</v>
      </c>
    </row>
    <row r="8306">
      <c r="A8306" s="41" t="str">
        <f>IFERROR(__xludf.DUMMYFUNCTION("""COMPUTED_VALUE"""),"RSC008347")</f>
        <v>RSC008347</v>
      </c>
      <c r="B8306" s="41" t="str">
        <f>IFERROR(__xludf.DUMMYFUNCTION("""COMPUTED_VALUE"""),"kor")</f>
        <v>kor</v>
      </c>
    </row>
    <row r="8307">
      <c r="A8307" s="41" t="str">
        <f>IFERROR(__xludf.DUMMYFUNCTION("""COMPUTED_VALUE"""),"RSC008348")</f>
        <v>RSC008348</v>
      </c>
      <c r="B8307" s="41" t="str">
        <f>IFERROR(__xludf.DUMMYFUNCTION("""COMPUTED_VALUE"""),"Shadows_ss")</f>
        <v>Shadows_ss</v>
      </c>
    </row>
    <row r="8308">
      <c r="A8308" s="41" t="str">
        <f>IFERROR(__xludf.DUMMYFUNCTION("""COMPUTED_VALUE"""),"RSC008349")</f>
        <v>RSC008349</v>
      </c>
      <c r="B8308" s="41" t="str">
        <f>IFERROR(__xludf.DUMMYFUNCTION("""COMPUTED_VALUE"""),"ZimVended")</f>
        <v>ZimVended</v>
      </c>
    </row>
    <row r="8309">
      <c r="A8309" s="41" t="str">
        <f>IFERROR(__xludf.DUMMYFUNCTION("""COMPUTED_VALUE"""),"RSC008350")</f>
        <v>RSC008350</v>
      </c>
      <c r="B8309" s="41" t="str">
        <f>IFERROR(__xludf.DUMMYFUNCTION("""COMPUTED_VALUE"""),"Himothy")</f>
        <v>Himothy</v>
      </c>
    </row>
    <row r="8310">
      <c r="A8310" s="41" t="str">
        <f>IFERROR(__xludf.DUMMYFUNCTION("""COMPUTED_VALUE"""),"RSC008351")</f>
        <v>RSC008351</v>
      </c>
      <c r="B8310" s="41" t="str">
        <f>IFERROR(__xludf.DUMMYFUNCTION("""COMPUTED_VALUE"""),"trendy &lt;3")</f>
        <v>trendy &lt;3</v>
      </c>
    </row>
    <row r="8311">
      <c r="A8311" s="41" t="str">
        <f>IFERROR(__xludf.DUMMYFUNCTION("""COMPUTED_VALUE"""),"RSC008352")</f>
        <v>RSC008352</v>
      </c>
      <c r="B8311" s="41" t="str">
        <f>IFERROR(__xludf.DUMMYFUNCTION("""COMPUTED_VALUE"""),"Fresh rl")</f>
        <v>Fresh rl</v>
      </c>
    </row>
    <row r="8312">
      <c r="A8312" s="41" t="str">
        <f>IFERROR(__xludf.DUMMYFUNCTION("""COMPUTED_VALUE"""),"RSC008353")</f>
        <v>RSC008353</v>
      </c>
      <c r="B8312" s="41" t="str">
        <f>IFERROR(__xludf.DUMMYFUNCTION("""COMPUTED_VALUE"""),"IcyWrenTTV")</f>
        <v>IcyWrenTTV</v>
      </c>
    </row>
    <row r="8313">
      <c r="A8313" s="41" t="str">
        <f>IFERROR(__xludf.DUMMYFUNCTION("""COMPUTED_VALUE"""),"RSC008354")</f>
        <v>RSC008354</v>
      </c>
      <c r="B8313" s="41" t="str">
        <f>IFERROR(__xludf.DUMMYFUNCTION("""COMPUTED_VALUE"""),"S3 TEK")</f>
        <v>S3 TEK</v>
      </c>
    </row>
    <row r="8314">
      <c r="A8314" s="41" t="str">
        <f>IFERROR(__xludf.DUMMYFUNCTION("""COMPUTED_VALUE"""),"RSC008355")</f>
        <v>RSC008355</v>
      </c>
      <c r="B8314" s="41" t="str">
        <f>IFERROR(__xludf.DUMMYFUNCTION("""COMPUTED_VALUE"""),"SmyrnaRL")</f>
        <v>SmyrnaRL</v>
      </c>
    </row>
    <row r="8315">
      <c r="A8315" s="41" t="str">
        <f>IFERROR(__xludf.DUMMYFUNCTION("""COMPUTED_VALUE"""),"RSC008356")</f>
        <v>RSC008356</v>
      </c>
      <c r="B8315" s="41" t="str">
        <f>IFERROR(__xludf.DUMMYFUNCTION("""COMPUTED_VALUE"""),"2Jar")</f>
        <v>2Jar</v>
      </c>
    </row>
    <row r="8316">
      <c r="A8316" s="41" t="str">
        <f>IFERROR(__xludf.DUMMYFUNCTION("""COMPUTED_VALUE"""),"RSC008357")</f>
        <v>RSC008357</v>
      </c>
      <c r="B8316" s="41" t="str">
        <f>IFERROR(__xludf.DUMMYFUNCTION("""COMPUTED_VALUE"""),"tiagosan _")</f>
        <v>tiagosan _</v>
      </c>
    </row>
    <row r="8317">
      <c r="A8317" s="41" t="str">
        <f>IFERROR(__xludf.DUMMYFUNCTION("""COMPUTED_VALUE"""),"RSC008358")</f>
        <v>RSC008358</v>
      </c>
      <c r="B8317" s="41" t="str">
        <f>IFERROR(__xludf.DUMMYFUNCTION("""COMPUTED_VALUE"""),"OvAudi")</f>
        <v>OvAudi</v>
      </c>
    </row>
    <row r="8318">
      <c r="A8318" s="41" t="str">
        <f>IFERROR(__xludf.DUMMYFUNCTION("""COMPUTED_VALUE"""),"RSC008359")</f>
        <v>RSC008359</v>
      </c>
      <c r="B8318" s="41" t="str">
        <f>IFERROR(__xludf.DUMMYFUNCTION("""COMPUTED_VALUE"""),"Red1rect")</f>
        <v>Red1rect</v>
      </c>
    </row>
    <row r="8319">
      <c r="A8319" s="41" t="str">
        <f>IFERROR(__xludf.DUMMYFUNCTION("""COMPUTED_VALUE"""),"RSC008360")</f>
        <v>RSC008360</v>
      </c>
      <c r="B8319" s="41" t="str">
        <f>IFERROR(__xludf.DUMMYFUNCTION("""COMPUTED_VALUE"""),"Merk890")</f>
        <v>Merk890</v>
      </c>
    </row>
    <row r="8320">
      <c r="A8320" s="41" t="str">
        <f>IFERROR(__xludf.DUMMYFUNCTION("""COMPUTED_VALUE"""),"RSC008361")</f>
        <v>RSC008361</v>
      </c>
      <c r="B8320" s="41" t="str">
        <f>IFERROR(__xludf.DUMMYFUNCTION("""COMPUTED_VALUE"""),"YouGotDougDimmaDomed")</f>
        <v>YouGotDougDimmaDomed</v>
      </c>
    </row>
    <row r="8321">
      <c r="A8321" s="41" t="str">
        <f>IFERROR(__xludf.DUMMYFUNCTION("""COMPUTED_VALUE"""),"RSC008362")</f>
        <v>RSC008362</v>
      </c>
      <c r="B8321" s="41" t="str">
        <f>IFERROR(__xludf.DUMMYFUNCTION("""COMPUTED_VALUE"""),"flash!")</f>
        <v>flash!</v>
      </c>
    </row>
    <row r="8322">
      <c r="A8322" s="41" t="str">
        <f>IFERROR(__xludf.DUMMYFUNCTION("""COMPUTED_VALUE"""),"RSC008363")</f>
        <v>RSC008363</v>
      </c>
      <c r="B8322" s="41" t="str">
        <f>IFERROR(__xludf.DUMMYFUNCTION("""COMPUTED_VALUE"""),"Jarrtsu")</f>
        <v>Jarrtsu</v>
      </c>
    </row>
    <row r="8323">
      <c r="A8323" s="41" t="str">
        <f>IFERROR(__xludf.DUMMYFUNCTION("""COMPUTED_VALUE"""),"RSC008364")</f>
        <v>RSC008364</v>
      </c>
      <c r="B8323" s="41" t="str">
        <f>IFERROR(__xludf.DUMMYFUNCTION("""COMPUTED_VALUE"""),"Ken Whiffey Jr.")</f>
        <v>Ken Whiffey Jr.</v>
      </c>
    </row>
    <row r="8324">
      <c r="A8324" s="41" t="str">
        <f>IFERROR(__xludf.DUMMYFUNCTION("""COMPUTED_VALUE"""),"RSC008365")</f>
        <v>RSC008365</v>
      </c>
      <c r="B8324" s="41" t="str">
        <f>IFERROR(__xludf.DUMMYFUNCTION("""COMPUTED_VALUE"""),"ZonaHOMI")</f>
        <v>ZonaHOMI</v>
      </c>
    </row>
    <row r="8325">
      <c r="A8325" s="41" t="str">
        <f>IFERROR(__xludf.DUMMYFUNCTION("""COMPUTED_VALUE"""),"RSC008366")</f>
        <v>RSC008366</v>
      </c>
      <c r="B8325" s="41" t="str">
        <f>IFERROR(__xludf.DUMMYFUNCTION("""COMPUTED_VALUE"""),"Mystican_RL")</f>
        <v>Mystican_RL</v>
      </c>
    </row>
    <row r="8326">
      <c r="A8326" s="41" t="str">
        <f>IFERROR(__xludf.DUMMYFUNCTION("""COMPUTED_VALUE"""),"RSC008367")</f>
        <v>RSC008367</v>
      </c>
      <c r="B8326" s="41" t="str">
        <f>IFERROR(__xludf.DUMMYFUNCTION("""COMPUTED_VALUE"""),"minecrafplayer69")</f>
        <v>minecrafplayer69</v>
      </c>
    </row>
    <row r="8327">
      <c r="A8327" s="41" t="str">
        <f>IFERROR(__xludf.DUMMYFUNCTION("""COMPUTED_VALUE"""),"RSC008368")</f>
        <v>RSC008368</v>
      </c>
      <c r="B8327" s="41" t="str">
        <f>IFERROR(__xludf.DUMMYFUNCTION("""COMPUTED_VALUE"""),"taLz.")</f>
        <v>taLz.</v>
      </c>
    </row>
    <row r="8328">
      <c r="A8328" s="41" t="str">
        <f>IFERROR(__xludf.DUMMYFUNCTION("""COMPUTED_VALUE"""),"RSC008369")</f>
        <v>RSC008369</v>
      </c>
      <c r="B8328" s="41" t="str">
        <f>IFERROR(__xludf.DUMMYFUNCTION("""COMPUTED_VALUE"""),"EternalJinx")</f>
        <v>EternalJinx</v>
      </c>
    </row>
    <row r="8329">
      <c r="A8329" s="41" t="str">
        <f>IFERROR(__xludf.DUMMYFUNCTION("""COMPUTED_VALUE"""),"RSC008370")</f>
        <v>RSC008370</v>
      </c>
      <c r="B8329" s="41" t="str">
        <f>IFERROR(__xludf.DUMMYFUNCTION("""COMPUTED_VALUE"""),"Precision")</f>
        <v>Precision</v>
      </c>
    </row>
    <row r="8330">
      <c r="A8330" s="41" t="str">
        <f>IFERROR(__xludf.DUMMYFUNCTION("""COMPUTED_VALUE"""),"RSC008372")</f>
        <v>RSC008372</v>
      </c>
      <c r="B8330" s="41" t="str">
        <f>IFERROR(__xludf.DUMMYFUNCTION("""COMPUTED_VALUE"""),"BlueAngel0713")</f>
        <v>BlueAngel0713</v>
      </c>
    </row>
    <row r="8331">
      <c r="A8331" s="41" t="str">
        <f>IFERROR(__xludf.DUMMYFUNCTION("""COMPUTED_VALUE"""),"RSC008373")</f>
        <v>RSC008373</v>
      </c>
      <c r="B8331" s="41" t="str">
        <f>IFERROR(__xludf.DUMMYFUNCTION("""COMPUTED_VALUE"""),"jhonko")</f>
        <v>jhonko</v>
      </c>
    </row>
    <row r="8332">
      <c r="A8332" s="41" t="str">
        <f>IFERROR(__xludf.DUMMYFUNCTION("""COMPUTED_VALUE"""),"RSC008375")</f>
        <v>RSC008375</v>
      </c>
      <c r="B8332" s="41" t="str">
        <f>IFERROR(__xludf.DUMMYFUNCTION("""COMPUTED_VALUE"""),"Waffleジ")</f>
        <v>Waffleジ</v>
      </c>
    </row>
    <row r="8333">
      <c r="A8333" s="41" t="str">
        <f>IFERROR(__xludf.DUMMYFUNCTION("""COMPUTED_VALUE"""),"RSC008376")</f>
        <v>RSC008376</v>
      </c>
      <c r="B8333" s="41" t="str">
        <f>IFERROR(__xludf.DUMMYFUNCTION("""COMPUTED_VALUE"""),"Storytime")</f>
        <v>Storytime</v>
      </c>
    </row>
    <row r="8334">
      <c r="A8334" s="41" t="str">
        <f>IFERROR(__xludf.DUMMYFUNCTION("""COMPUTED_VALUE"""),"RSC008377")</f>
        <v>RSC008377</v>
      </c>
      <c r="B8334" s="41" t="str">
        <f>IFERROR(__xludf.DUMMYFUNCTION("""COMPUTED_VALUE"""),"swityuh (:")</f>
        <v>swityuh (:</v>
      </c>
    </row>
    <row r="8335">
      <c r="A8335" s="41" t="str">
        <f>IFERROR(__xludf.DUMMYFUNCTION("""COMPUTED_VALUE"""),"RSC008378")</f>
        <v>RSC008378</v>
      </c>
      <c r="B8335" s="41" t="str">
        <f>IFERROR(__xludf.DUMMYFUNCTION("""COMPUTED_VALUE"""),"Ravage Botco")</f>
        <v>Ravage Botco</v>
      </c>
    </row>
    <row r="8336">
      <c r="A8336" s="41" t="str">
        <f>IFERROR(__xludf.DUMMYFUNCTION("""COMPUTED_VALUE"""),"RSC008379")</f>
        <v>RSC008379</v>
      </c>
      <c r="B8336" s="41" t="str">
        <f>IFERROR(__xludf.DUMMYFUNCTION("""COMPUTED_VALUE"""),"Caiman")</f>
        <v>Caiman</v>
      </c>
    </row>
    <row r="8337">
      <c r="A8337" s="41" t="str">
        <f>IFERROR(__xludf.DUMMYFUNCTION("""COMPUTED_VALUE"""),"RSC008380")</f>
        <v>RSC008380</v>
      </c>
      <c r="B8337" s="41" t="str">
        <f>IFERROR(__xludf.DUMMYFUNCTION("""COMPUTED_VALUE"""),"full hype zkeen")</f>
        <v>full hype zkeen</v>
      </c>
    </row>
    <row r="8338">
      <c r="A8338" s="41" t="str">
        <f>IFERROR(__xludf.DUMMYFUNCTION("""COMPUTED_VALUE"""),"RSC008381")</f>
        <v>RSC008381</v>
      </c>
      <c r="B8338" s="41" t="str">
        <f>IFERROR(__xludf.DUMMYFUNCTION("""COMPUTED_VALUE"""),"OriginalKaipo")</f>
        <v>OriginalKaipo</v>
      </c>
    </row>
    <row r="8339">
      <c r="A8339" s="41" t="str">
        <f>IFERROR(__xludf.DUMMYFUNCTION("""COMPUTED_VALUE"""),"RSC008382")</f>
        <v>RSC008382</v>
      </c>
      <c r="B8339" s="41" t="str">
        <f>IFERROR(__xludf.DUMMYFUNCTION("""COMPUTED_VALUE"""),"KiLo")</f>
        <v>KiLo</v>
      </c>
    </row>
    <row r="8340">
      <c r="A8340" s="41" t="str">
        <f>IFERROR(__xludf.DUMMYFUNCTION("""COMPUTED_VALUE"""),"RSC008383")</f>
        <v>RSC008383</v>
      </c>
      <c r="B8340" s="41" t="str">
        <f>IFERROR(__xludf.DUMMYFUNCTION("""COMPUTED_VALUE"""),"mechsᴳ")</f>
        <v>mechsᴳ</v>
      </c>
    </row>
    <row r="8341">
      <c r="A8341" s="41" t="str">
        <f>IFERROR(__xludf.DUMMYFUNCTION("""COMPUTED_VALUE"""),"RSC008384")</f>
        <v>RSC008384</v>
      </c>
      <c r="B8341" s="41" t="str">
        <f>IFERROR(__xludf.DUMMYFUNCTION("""COMPUTED_VALUE"""),"NotLuke9")</f>
        <v>NotLuke9</v>
      </c>
    </row>
    <row r="8342">
      <c r="A8342" s="41" t="str">
        <f>IFERROR(__xludf.DUMMYFUNCTION("""COMPUTED_VALUE"""),"RSC008385")</f>
        <v>RSC008385</v>
      </c>
      <c r="B8342" s="41" t="str">
        <f>IFERROR(__xludf.DUMMYFUNCTION("""COMPUTED_VALUE"""),"boomerbaberuth")</f>
        <v>boomerbaberuth</v>
      </c>
    </row>
    <row r="8343">
      <c r="A8343" s="41" t="str">
        <f>IFERROR(__xludf.DUMMYFUNCTION("""COMPUTED_VALUE"""),"RSC008386")</f>
        <v>RSC008386</v>
      </c>
      <c r="B8343" s="41" t="str">
        <f>IFERROR(__xludf.DUMMYFUNCTION("""COMPUTED_VALUE"""),"Chaddy")</f>
        <v>Chaddy</v>
      </c>
    </row>
    <row r="8344">
      <c r="A8344" s="41" t="str">
        <f>IFERROR(__xludf.DUMMYFUNCTION("""COMPUTED_VALUE"""),"RSC008387")</f>
        <v>RSC008387</v>
      </c>
      <c r="B8344" s="41" t="str">
        <f>IFERROR(__xludf.DUMMYFUNCTION("""COMPUTED_VALUE"""),"Sir stizzington")</f>
        <v>Sir stizzington</v>
      </c>
    </row>
    <row r="8345">
      <c r="A8345" s="41" t="str">
        <f>IFERROR(__xludf.DUMMYFUNCTION("""COMPUTED_VALUE"""),"RSC008388")</f>
        <v>RSC008388</v>
      </c>
      <c r="B8345" s="41" t="str">
        <f>IFERROR(__xludf.DUMMYFUNCTION("""COMPUTED_VALUE"""),"Matt McConaughey")</f>
        <v>Matt McConaughey</v>
      </c>
    </row>
    <row r="8346">
      <c r="A8346" s="41" t="str">
        <f>IFERROR(__xludf.DUMMYFUNCTION("""COMPUTED_VALUE"""),"RSC008389")</f>
        <v>RSC008389</v>
      </c>
      <c r="B8346" s="41" t="str">
        <f>IFERROR(__xludf.DUMMYFUNCTION("""COMPUTED_VALUE"""),"EDDY_der_TEDDY")</f>
        <v>EDDY_der_TEDDY</v>
      </c>
    </row>
    <row r="8347">
      <c r="A8347" s="41" t="str">
        <f>IFERROR(__xludf.DUMMYFUNCTION("""COMPUTED_VALUE"""),"RSC008390")</f>
        <v>RSC008390</v>
      </c>
      <c r="B8347" s="41" t="str">
        <f>IFERROR(__xludf.DUMMYFUNCTION("""COMPUTED_VALUE"""),"Cully")</f>
        <v>Cully</v>
      </c>
    </row>
    <row r="8348">
      <c r="A8348" s="41" t="str">
        <f>IFERROR(__xludf.DUMMYFUNCTION("""COMPUTED_VALUE"""),"RSC008391")</f>
        <v>RSC008391</v>
      </c>
      <c r="B8348" s="41" t="str">
        <f>IFERROR(__xludf.DUMMYFUNCTION("""COMPUTED_VALUE"""),"SirPeakzIV")</f>
        <v>SirPeakzIV</v>
      </c>
    </row>
    <row r="8349">
      <c r="A8349" s="41" t="str">
        <f>IFERROR(__xludf.DUMMYFUNCTION("""COMPUTED_VALUE"""),"RSC008392")</f>
        <v>RSC008392</v>
      </c>
      <c r="B8349" s="41" t="str">
        <f>IFERROR(__xludf.DUMMYFUNCTION("""COMPUTED_VALUE"""),"SSL")</f>
        <v>SSL</v>
      </c>
    </row>
    <row r="8350">
      <c r="A8350" s="41" t="str">
        <f>IFERROR(__xludf.DUMMYFUNCTION("""COMPUTED_VALUE"""),"RSC008393")</f>
        <v>RSC008393</v>
      </c>
      <c r="B8350" s="41" t="str">
        <f>IFERROR(__xludf.DUMMYFUNCTION("""COMPUTED_VALUE"""),"zerajule")</f>
        <v>zerajule</v>
      </c>
    </row>
    <row r="8351">
      <c r="A8351" s="41" t="str">
        <f>IFERROR(__xludf.DUMMYFUNCTION("""COMPUTED_VALUE"""),"RSC008394")</f>
        <v>RSC008394</v>
      </c>
      <c r="B8351" s="41" t="str">
        <f>IFERROR(__xludf.DUMMYFUNCTION("""COMPUTED_VALUE"""),"ShakenNutria990")</f>
        <v>ShakenNutria990</v>
      </c>
    </row>
    <row r="8352">
      <c r="A8352" s="41" t="str">
        <f>IFERROR(__xludf.DUMMYFUNCTION("""COMPUTED_VALUE"""),"RSC008395")</f>
        <v>RSC008395</v>
      </c>
      <c r="B8352" s="41" t="str">
        <f>IFERROR(__xludf.DUMMYFUNCTION("""COMPUTED_VALUE"""),"Ago Nyze")</f>
        <v>Ago Nyze</v>
      </c>
    </row>
    <row r="8353">
      <c r="A8353" s="41" t="str">
        <f>IFERROR(__xludf.DUMMYFUNCTION("""COMPUTED_VALUE"""),"RSC008396")</f>
        <v>RSC008396</v>
      </c>
      <c r="B8353" s="41" t="str">
        <f>IFERROR(__xludf.DUMMYFUNCTION("""COMPUTED_VALUE"""),"Great12345678")</f>
        <v>Great12345678</v>
      </c>
    </row>
    <row r="8354">
      <c r="A8354" s="41" t="str">
        <f>IFERROR(__xludf.DUMMYFUNCTION("""COMPUTED_VALUE"""),"RSC008397")</f>
        <v>RSC008397</v>
      </c>
      <c r="B8354" s="41" t="str">
        <f>IFERROR(__xludf.DUMMYFUNCTION("""COMPUTED_VALUE"""),"Jaymootz")</f>
        <v>Jaymootz</v>
      </c>
    </row>
    <row r="8355">
      <c r="A8355" s="41" t="str">
        <f>IFERROR(__xludf.DUMMYFUNCTION("""COMPUTED_VALUE"""),"RSC008398")</f>
        <v>RSC008398</v>
      </c>
      <c r="B8355" s="41" t="str">
        <f>IFERROR(__xludf.DUMMYFUNCTION("""COMPUTED_VALUE"""),"saoirse &lt;3")</f>
        <v>saoirse &lt;3</v>
      </c>
    </row>
    <row r="8356">
      <c r="A8356" s="41" t="str">
        <f>IFERROR(__xludf.DUMMYFUNCTION("""COMPUTED_VALUE"""),"RSC008399")</f>
        <v>RSC008399</v>
      </c>
      <c r="B8356" s="41" t="str">
        <f>IFERROR(__xludf.DUMMYFUNCTION("""COMPUTED_VALUE"""),"Tiz Samu")</f>
        <v>Tiz Samu</v>
      </c>
    </row>
    <row r="8357">
      <c r="A8357" s="41" t="str">
        <f>IFERROR(__xludf.DUMMYFUNCTION("""COMPUTED_VALUE"""),"RSC008400")</f>
        <v>RSC008400</v>
      </c>
      <c r="B8357" s="41" t="str">
        <f>IFERROR(__xludf.DUMMYFUNCTION("""COMPUTED_VALUE"""),"Itzmoose")</f>
        <v>Itzmoose</v>
      </c>
    </row>
    <row r="8358">
      <c r="A8358" s="41" t="str">
        <f>IFERROR(__xludf.DUMMYFUNCTION("""COMPUTED_VALUE"""),"RSC008401")</f>
        <v>RSC008401</v>
      </c>
      <c r="B8358" s="41" t="str">
        <f>IFERROR(__xludf.DUMMYFUNCTION("""COMPUTED_VALUE"""),"Hot Sauce")</f>
        <v>Hot Sauce</v>
      </c>
    </row>
    <row r="8359">
      <c r="A8359" s="41" t="str">
        <f>IFERROR(__xludf.DUMMYFUNCTION("""COMPUTED_VALUE"""),"RSC008402")</f>
        <v>RSC008402</v>
      </c>
      <c r="B8359" s="41" t="str">
        <f>IFERROR(__xludf.DUMMYFUNCTION("""COMPUTED_VALUE"""),"TTV/DucksNotKeys")</f>
        <v>TTV/DucksNotKeys</v>
      </c>
    </row>
    <row r="8360">
      <c r="A8360" s="41" t="str">
        <f>IFERROR(__xludf.DUMMYFUNCTION("""COMPUTED_VALUE"""),"RSC008403")</f>
        <v>RSC008403</v>
      </c>
      <c r="B8360" s="41" t="str">
        <f>IFERROR(__xludf.DUMMYFUNCTION("""COMPUTED_VALUE"""),"mightie31")</f>
        <v>mightie31</v>
      </c>
    </row>
    <row r="8361">
      <c r="A8361" s="41" t="str">
        <f>IFERROR(__xludf.DUMMYFUNCTION("""COMPUTED_VALUE"""),"RSC008404")</f>
        <v>RSC008404</v>
      </c>
      <c r="B8361" s="41" t="str">
        <f>IFERROR(__xludf.DUMMYFUNCTION("""COMPUTED_VALUE"""),"TTVYVNGVOU")</f>
        <v>TTVYVNGVOU</v>
      </c>
    </row>
    <row r="8362">
      <c r="A8362" s="41" t="str">
        <f>IFERROR(__xludf.DUMMYFUNCTION("""COMPUTED_VALUE"""),"RSC008405")</f>
        <v>RSC008405</v>
      </c>
      <c r="B8362" s="41" t="str">
        <f>IFERROR(__xludf.DUMMYFUNCTION("""COMPUTED_VALUE"""),"gxcid")</f>
        <v>gxcid</v>
      </c>
    </row>
    <row r="8363">
      <c r="A8363" s="41" t="str">
        <f>IFERROR(__xludf.DUMMYFUNCTION("""COMPUTED_VALUE"""),"RSC008406")</f>
        <v>RSC008406</v>
      </c>
      <c r="B8363" s="41" t="str">
        <f>IFERROR(__xludf.DUMMYFUNCTION("""COMPUTED_VALUE"""),"Diamond M16")</f>
        <v>Diamond M16</v>
      </c>
    </row>
    <row r="8364">
      <c r="A8364" s="41" t="str">
        <f>IFERROR(__xludf.DUMMYFUNCTION("""COMPUTED_VALUE"""),"RSC008407")</f>
        <v>RSC008407</v>
      </c>
      <c r="B8364" s="41" t="str">
        <f>IFERROR(__xludf.DUMMYFUNCTION("""COMPUTED_VALUE"""),"Gold 2 maybe 3")</f>
        <v>Gold 2 maybe 3</v>
      </c>
    </row>
    <row r="8365">
      <c r="A8365" s="41" t="str">
        <f>IFERROR(__xludf.DUMMYFUNCTION("""COMPUTED_VALUE"""),"RSC008408")</f>
        <v>RSC008408</v>
      </c>
      <c r="B8365" s="41" t="str">
        <f>IFERROR(__xludf.DUMMYFUNCTION("""COMPUTED_VALUE"""),"LoonaKami")</f>
        <v>LoonaKami</v>
      </c>
    </row>
    <row r="8366">
      <c r="A8366" s="41" t="str">
        <f>IFERROR(__xludf.DUMMYFUNCTION("""COMPUTED_VALUE"""),"RSC008409")</f>
        <v>RSC008409</v>
      </c>
      <c r="B8366" s="41" t="str">
        <f>IFERROR(__xludf.DUMMYFUNCTION("""COMPUTED_VALUE"""),"Faveredjarl45")</f>
        <v>Faveredjarl45</v>
      </c>
    </row>
    <row r="8367">
      <c r="A8367" s="41" t="str">
        <f>IFERROR(__xludf.DUMMYFUNCTION("""COMPUTED_VALUE"""),"RSC008410")</f>
        <v>RSC008410</v>
      </c>
      <c r="B8367" s="41" t="str">
        <f>IFERROR(__xludf.DUMMYFUNCTION("""COMPUTED_VALUE"""),"Mintymerc")</f>
        <v>Mintymerc</v>
      </c>
    </row>
    <row r="8368">
      <c r="A8368" s="41" t="str">
        <f>IFERROR(__xludf.DUMMYFUNCTION("""COMPUTED_VALUE"""),"RSC008411")</f>
        <v>RSC008411</v>
      </c>
      <c r="B8368" s="41" t="str">
        <f>IFERROR(__xludf.DUMMYFUNCTION("""COMPUTED_VALUE"""),"cosmo6430")</f>
        <v>cosmo6430</v>
      </c>
    </row>
    <row r="8369">
      <c r="A8369" s="41" t="str">
        <f>IFERROR(__xludf.DUMMYFUNCTION("""COMPUTED_VALUE"""),"RSC008412")</f>
        <v>RSC008412</v>
      </c>
      <c r="B8369" s="41" t="str">
        <f>IFERROR(__xludf.DUMMYFUNCTION("""COMPUTED_VALUE"""),"Envy!")</f>
        <v>Envy!</v>
      </c>
    </row>
    <row r="8370">
      <c r="A8370" s="41" t="str">
        <f>IFERROR(__xludf.DUMMYFUNCTION("""COMPUTED_VALUE"""),"RSC008413")</f>
        <v>RSC008413</v>
      </c>
      <c r="B8370" s="41" t="str">
        <f>IFERROR(__xludf.DUMMYFUNCTION("""COMPUTED_VALUE"""),"Duck")</f>
        <v>Duck</v>
      </c>
    </row>
    <row r="8371">
      <c r="A8371" s="41" t="str">
        <f>IFERROR(__xludf.DUMMYFUNCTION("""COMPUTED_VALUE"""),"RSC008414")</f>
        <v>RSC008414</v>
      </c>
      <c r="B8371" s="41" t="str">
        <f>IFERROR(__xludf.DUMMYFUNCTION("""COMPUTED_VALUE"""),"TitanTyler22")</f>
        <v>TitanTyler22</v>
      </c>
    </row>
    <row r="8372">
      <c r="A8372" s="41" t="str">
        <f>IFERROR(__xludf.DUMMYFUNCTION("""COMPUTED_VALUE"""),"RSC008415")</f>
        <v>RSC008415</v>
      </c>
      <c r="B8372" s="41" t="str">
        <f>IFERROR(__xludf.DUMMYFUNCTION("""COMPUTED_VALUE"""),"StorchBurn")</f>
        <v>StorchBurn</v>
      </c>
    </row>
    <row r="8373">
      <c r="A8373" s="41" t="str">
        <f>IFERROR(__xludf.DUMMYFUNCTION("""COMPUTED_VALUE"""),"RSC008416")</f>
        <v>RSC008416</v>
      </c>
      <c r="B8373" s="41" t="str">
        <f>IFERROR(__xludf.DUMMYFUNCTION("""COMPUTED_VALUE"""),"JustShmeeglyTV")</f>
        <v>JustShmeeglyTV</v>
      </c>
    </row>
    <row r="8374">
      <c r="A8374" s="41" t="str">
        <f>IFERROR(__xludf.DUMMYFUNCTION("""COMPUTED_VALUE"""),"RSC008417")</f>
        <v>RSC008417</v>
      </c>
      <c r="B8374" s="41" t="str">
        <f>IFERROR(__xludf.DUMMYFUNCTION("""COMPUTED_VALUE"""),"LC Spirit")</f>
        <v>LC Spirit</v>
      </c>
    </row>
    <row r="8375">
      <c r="A8375" s="41" t="str">
        <f>IFERROR(__xludf.DUMMYFUNCTION("""COMPUTED_VALUE"""),"RSC008418")</f>
        <v>RSC008418</v>
      </c>
      <c r="B8375" s="41" t="str">
        <f>IFERROR(__xludf.DUMMYFUNCTION("""COMPUTED_VALUE"""),"I _amDan")</f>
        <v>I _amDan</v>
      </c>
    </row>
    <row r="8376">
      <c r="A8376" s="41" t="str">
        <f>IFERROR(__xludf.DUMMYFUNCTION("""COMPUTED_VALUE"""),"RSC008419")</f>
        <v>RSC008419</v>
      </c>
      <c r="B8376" s="41" t="str">
        <f>IFERROR(__xludf.DUMMYFUNCTION("""COMPUTED_VALUE"""),"iSilently")</f>
        <v>iSilently</v>
      </c>
    </row>
    <row r="8377">
      <c r="A8377" s="41" t="str">
        <f>IFERROR(__xludf.DUMMYFUNCTION("""COMPUTED_VALUE"""),"RSC008420")</f>
        <v>RSC008420</v>
      </c>
      <c r="B8377" s="41" t="str">
        <f>IFERROR(__xludf.DUMMYFUNCTION("""COMPUTED_VALUE"""),"Volkner")</f>
        <v>Volkner</v>
      </c>
    </row>
    <row r="8378">
      <c r="A8378" s="41" t="str">
        <f>IFERROR(__xludf.DUMMYFUNCTION("""COMPUTED_VALUE"""),"RSC008421")</f>
        <v>RSC008421</v>
      </c>
      <c r="B8378" s="41" t="str">
        <f>IFERROR(__xludf.DUMMYFUNCTION("""COMPUTED_VALUE"""),"adderrl11")</f>
        <v>adderrl11</v>
      </c>
    </row>
    <row r="8379">
      <c r="A8379" s="41" t="str">
        <f>IFERROR(__xludf.DUMMYFUNCTION("""COMPUTED_VALUE"""),"RSC008422")</f>
        <v>RSC008422</v>
      </c>
      <c r="B8379" s="41" t="str">
        <f>IFERROR(__xludf.DUMMYFUNCTION("""COMPUTED_VALUE"""),"carszin")</f>
        <v>carszin</v>
      </c>
    </row>
    <row r="8380">
      <c r="A8380" s="41" t="str">
        <f>IFERROR(__xludf.DUMMYFUNCTION("""COMPUTED_VALUE"""),"RSC008423")</f>
        <v>RSC008423</v>
      </c>
      <c r="B8380" s="41" t="str">
        <f>IFERROR(__xludf.DUMMYFUNCTION("""COMPUTED_VALUE"""),"Yqcko")</f>
        <v>Yqcko</v>
      </c>
    </row>
    <row r="8381">
      <c r="A8381" s="41" t="str">
        <f>IFERROR(__xludf.DUMMYFUNCTION("""COMPUTED_VALUE"""),"RSC008424")</f>
        <v>RSC008424</v>
      </c>
      <c r="B8381" s="41" t="str">
        <f>IFERROR(__xludf.DUMMYFUNCTION("""COMPUTED_VALUE"""),"Kev.")</f>
        <v>Kev.</v>
      </c>
    </row>
    <row r="8382">
      <c r="A8382" s="41" t="str">
        <f>IFERROR(__xludf.DUMMYFUNCTION("""COMPUTED_VALUE"""),"RSC008425")</f>
        <v>RSC008425</v>
      </c>
      <c r="B8382" s="41" t="str">
        <f>IFERROR(__xludf.DUMMYFUNCTION("""COMPUTED_VALUE"""),"Siem")</f>
        <v>Siem</v>
      </c>
    </row>
    <row r="8383">
      <c r="A8383" s="41" t="str">
        <f>IFERROR(__xludf.DUMMYFUNCTION("""COMPUTED_VALUE"""),"RSC008426")</f>
        <v>RSC008426</v>
      </c>
      <c r="B8383" s="41" t="str">
        <f>IFERROR(__xludf.DUMMYFUNCTION("""COMPUTED_VALUE"""),"Midnight")</f>
        <v>Midnight</v>
      </c>
    </row>
    <row r="8384">
      <c r="A8384" s="41" t="str">
        <f>IFERROR(__xludf.DUMMYFUNCTION("""COMPUTED_VALUE"""),"RSC008427")</f>
        <v>RSC008427</v>
      </c>
      <c r="B8384" s="41" t="str">
        <f>IFERROR(__xludf.DUMMYFUNCTION("""COMPUTED_VALUE"""),"Plinx Ballin")</f>
        <v>Plinx Ballin</v>
      </c>
    </row>
    <row r="8385">
      <c r="A8385" s="41" t="str">
        <f>IFERROR(__xludf.DUMMYFUNCTION("""COMPUTED_VALUE"""),"RSC008428")</f>
        <v>RSC008428</v>
      </c>
      <c r="B8385" s="41" t="str">
        <f>IFERROR(__xludf.DUMMYFUNCTION("""COMPUTED_VALUE"""),"PG_THE3RD")</f>
        <v>PG_THE3RD</v>
      </c>
    </row>
    <row r="8386">
      <c r="A8386" s="41" t="str">
        <f>IFERROR(__xludf.DUMMYFUNCTION("""COMPUTED_VALUE"""),"RSC008429")</f>
        <v>RSC008429</v>
      </c>
      <c r="B8386" s="41" t="str">
        <f>IFERROR(__xludf.DUMMYFUNCTION("""COMPUTED_VALUE"""),"Weevil1")</f>
        <v>Weevil1</v>
      </c>
    </row>
    <row r="8387">
      <c r="A8387" s="41" t="str">
        <f>IFERROR(__xludf.DUMMYFUNCTION("""COMPUTED_VALUE"""),"RSC008430")</f>
        <v>RSC008430</v>
      </c>
      <c r="B8387" s="41" t="str">
        <f>IFERROR(__xludf.DUMMYFUNCTION("""COMPUTED_VALUE"""),"Mochii")</f>
        <v>Mochii</v>
      </c>
    </row>
    <row r="8388">
      <c r="A8388" s="41" t="str">
        <f>IFERROR(__xludf.DUMMYFUNCTION("""COMPUTED_VALUE"""),"RSC008431")</f>
        <v>RSC008431</v>
      </c>
      <c r="B8388" s="41" t="str">
        <f>IFERROR(__xludf.DUMMYFUNCTION("""COMPUTED_VALUE"""),"Wildragon112")</f>
        <v>Wildragon112</v>
      </c>
    </row>
    <row r="8389">
      <c r="A8389" s="41" t="str">
        <f>IFERROR(__xludf.DUMMYFUNCTION("""COMPUTED_VALUE"""),"RSC008432")</f>
        <v>RSC008432</v>
      </c>
      <c r="B8389" s="41" t="str">
        <f>IFERROR(__xludf.DUMMYFUNCTION("""COMPUTED_VALUE"""),"Doinkers.")</f>
        <v>Doinkers.</v>
      </c>
    </row>
    <row r="8390">
      <c r="A8390" s="41" t="str">
        <f>IFERROR(__xludf.DUMMYFUNCTION("""COMPUTED_VALUE"""),"RSC008433")</f>
        <v>RSC008433</v>
      </c>
      <c r="B8390" s="41" t="str">
        <f>IFERROR(__xludf.DUMMYFUNCTION("""COMPUTED_VALUE"""),"Headshotn")</f>
        <v>Headshotn</v>
      </c>
    </row>
    <row r="8391">
      <c r="A8391" s="41" t="str">
        <f>IFERROR(__xludf.DUMMYFUNCTION("""COMPUTED_VALUE"""),"RSC008434")</f>
        <v>RSC008434</v>
      </c>
      <c r="B8391" s="41" t="str">
        <f>IFERROR(__xludf.DUMMYFUNCTION("""COMPUTED_VALUE"""),"jk47531")</f>
        <v>jk47531</v>
      </c>
    </row>
    <row r="8392">
      <c r="A8392" s="41" t="str">
        <f>IFERROR(__xludf.DUMMYFUNCTION("""COMPUTED_VALUE"""),"RSC008435")</f>
        <v>RSC008435</v>
      </c>
      <c r="B8392" s="41" t="str">
        <f>IFERROR(__xludf.DUMMYFUNCTION("""COMPUTED_VALUE"""),"ReformedMike")</f>
        <v>ReformedMike</v>
      </c>
    </row>
    <row r="8393">
      <c r="A8393" s="41" t="str">
        <f>IFERROR(__xludf.DUMMYFUNCTION("""COMPUTED_VALUE"""),"RSC008436")</f>
        <v>RSC008436</v>
      </c>
      <c r="B8393" s="41" t="str">
        <f>IFERROR(__xludf.DUMMYFUNCTION("""COMPUTED_VALUE"""),"awyllie")</f>
        <v>awyllie</v>
      </c>
    </row>
    <row r="8394">
      <c r="A8394" s="41" t="str">
        <f>IFERROR(__xludf.DUMMYFUNCTION("""COMPUTED_VALUE"""),"RSC008437")</f>
        <v>RSC008437</v>
      </c>
      <c r="B8394" s="41" t="str">
        <f>IFERROR(__xludf.DUMMYFUNCTION("""COMPUTED_VALUE"""),"Raúl227")</f>
        <v>Raúl227</v>
      </c>
    </row>
    <row r="8395">
      <c r="A8395" s="41" t="str">
        <f>IFERROR(__xludf.DUMMYFUNCTION("""COMPUTED_VALUE"""),"RSC008438")</f>
        <v>RSC008438</v>
      </c>
      <c r="B8395" s="41" t="str">
        <f>IFERROR(__xludf.DUMMYFUNCTION("""COMPUTED_VALUE"""),"Zach")</f>
        <v>Zach</v>
      </c>
    </row>
    <row r="8396">
      <c r="A8396" s="41" t="str">
        <f>IFERROR(__xludf.DUMMYFUNCTION("""COMPUTED_VALUE"""),"RSC008439")</f>
        <v>RSC008439</v>
      </c>
      <c r="B8396" s="41" t="str">
        <f>IFERROR(__xludf.DUMMYFUNCTION("""COMPUTED_VALUE"""),"stund_mullet")</f>
        <v>stund_mullet</v>
      </c>
    </row>
    <row r="8397">
      <c r="A8397" s="41" t="str">
        <f>IFERROR(__xludf.DUMMYFUNCTION("""COMPUTED_VALUE"""),"RSC008440")</f>
        <v>RSC008440</v>
      </c>
      <c r="B8397" s="41" t="str">
        <f>IFERROR(__xludf.DUMMYFUNCTION("""COMPUTED_VALUE"""),"Keriel_Cereal")</f>
        <v>Keriel_Cereal</v>
      </c>
    </row>
    <row r="8398">
      <c r="A8398" s="41" t="str">
        <f>IFERROR(__xludf.DUMMYFUNCTION("""COMPUTED_VALUE"""),"RSC008441")</f>
        <v>RSC008441</v>
      </c>
      <c r="B8398" s="41" t="str">
        <f>IFERROR(__xludf.DUMMYFUNCTION("""COMPUTED_VALUE"""),"Izumi._._.")</f>
        <v>Izumi._._.</v>
      </c>
    </row>
    <row r="8399">
      <c r="A8399" s="41" t="str">
        <f>IFERROR(__xludf.DUMMYFUNCTION("""COMPUTED_VALUE"""),"RSC008442")</f>
        <v>RSC008442</v>
      </c>
      <c r="B8399" s="41" t="str">
        <f>IFERROR(__xludf.DUMMYFUNCTION("""COMPUTED_VALUE"""),"Billionninja")</f>
        <v>Billionninja</v>
      </c>
    </row>
    <row r="8400">
      <c r="A8400" s="41" t="str">
        <f>IFERROR(__xludf.DUMMYFUNCTION("""COMPUTED_VALUE"""),"RSC008443")</f>
        <v>RSC008443</v>
      </c>
      <c r="B8400" s="41" t="str">
        <f>IFERROR(__xludf.DUMMYFUNCTION("""COMPUTED_VALUE"""),"cow")</f>
        <v>cow</v>
      </c>
    </row>
    <row r="8401">
      <c r="A8401" s="41" t="str">
        <f>IFERROR(__xludf.DUMMYFUNCTION("""COMPUTED_VALUE"""),"RSC008444")</f>
        <v>RSC008444</v>
      </c>
      <c r="B8401" s="41" t="str">
        <f>IFERROR(__xludf.DUMMYFUNCTION("""COMPUTED_VALUE"""),"DaddysHome")</f>
        <v>DaddysHome</v>
      </c>
    </row>
    <row r="8402">
      <c r="A8402" s="41" t="str">
        <f>IFERROR(__xludf.DUMMYFUNCTION("""COMPUTED_VALUE"""),"RSC008445")</f>
        <v>RSC008445</v>
      </c>
      <c r="B8402" s="41" t="str">
        <f>IFERROR(__xludf.DUMMYFUNCTION("""COMPUTED_VALUE"""),"II Ricky I")</f>
        <v>II Ricky I</v>
      </c>
    </row>
    <row r="8403">
      <c r="A8403" s="41" t="str">
        <f>IFERROR(__xludf.DUMMYFUNCTION("""COMPUTED_VALUE"""),"RSC008446")</f>
        <v>RSC008446</v>
      </c>
      <c r="B8403" s="41" t="str">
        <f>IFERROR(__xludf.DUMMYFUNCTION("""COMPUTED_VALUE"""),"Rose_Havoc97")</f>
        <v>Rose_Havoc97</v>
      </c>
    </row>
    <row r="8404">
      <c r="A8404" s="41" t="str">
        <f>IFERROR(__xludf.DUMMYFUNCTION("""COMPUTED_VALUE"""),"RSC008447")</f>
        <v>RSC008447</v>
      </c>
      <c r="B8404" s="41" t="str">
        <f>IFERROR(__xludf.DUMMYFUNCTION("""COMPUTED_VALUE"""),"jim2jam")</f>
        <v>jim2jam</v>
      </c>
    </row>
    <row r="8405">
      <c r="A8405" s="41" t="str">
        <f>IFERROR(__xludf.DUMMYFUNCTION("""COMPUTED_VALUE"""),"RSC008448")</f>
        <v>RSC008448</v>
      </c>
      <c r="B8405" s="41" t="str">
        <f>IFERROR(__xludf.DUMMYFUNCTION("""COMPUTED_VALUE"""),"haz")</f>
        <v>haz</v>
      </c>
    </row>
    <row r="8406">
      <c r="A8406" s="41" t="str">
        <f>IFERROR(__xludf.DUMMYFUNCTION("""COMPUTED_VALUE"""),"RSC008449")</f>
        <v>RSC008449</v>
      </c>
      <c r="B8406" s="41" t="str">
        <f>IFERROR(__xludf.DUMMYFUNCTION("""COMPUTED_VALUE"""),"swingman009")</f>
        <v>swingman009</v>
      </c>
    </row>
    <row r="8407">
      <c r="A8407" s="41" t="str">
        <f>IFERROR(__xludf.DUMMYFUNCTION("""COMPUTED_VALUE"""),"RSC008450")</f>
        <v>RSC008450</v>
      </c>
      <c r="B8407" s="41" t="str">
        <f>IFERROR(__xludf.DUMMYFUNCTION("""COMPUTED_VALUE"""),"Hud")</f>
        <v>Hud</v>
      </c>
    </row>
    <row r="8408">
      <c r="A8408" s="41" t="str">
        <f>IFERROR(__xludf.DUMMYFUNCTION("""COMPUTED_VALUE"""),"RSC008451")</f>
        <v>RSC008451</v>
      </c>
      <c r="B8408" s="41" t="str">
        <f>IFERROR(__xludf.DUMMYFUNCTION("""COMPUTED_VALUE"""),"RyGuy2flie")</f>
        <v>RyGuy2flie</v>
      </c>
    </row>
    <row r="8409">
      <c r="A8409" s="41" t="str">
        <f>IFERROR(__xludf.DUMMYFUNCTION("""COMPUTED_VALUE"""),"RSC008452")</f>
        <v>RSC008452</v>
      </c>
      <c r="B8409" s="41" t="str">
        <f>IFERROR(__xludf.DUMMYFUNCTION("""COMPUTED_VALUE"""),"pxiruu")</f>
        <v>pxiruu</v>
      </c>
    </row>
    <row r="8410">
      <c r="A8410" s="41" t="str">
        <f>IFERROR(__xludf.DUMMYFUNCTION("""COMPUTED_VALUE"""),"RSC008453")</f>
        <v>RSC008453</v>
      </c>
      <c r="B8410" s="41" t="str">
        <f>IFERROR(__xludf.DUMMYFUNCTION("""COMPUTED_VALUE"""),"kryo!")</f>
        <v>kryo!</v>
      </c>
    </row>
    <row r="8411">
      <c r="A8411" s="41" t="str">
        <f>IFERROR(__xludf.DUMMYFUNCTION("""COMPUTED_VALUE"""),"RSC008454")</f>
        <v>RSC008454</v>
      </c>
      <c r="B8411" s="41" t="str">
        <f>IFERROR(__xludf.DUMMYFUNCTION("""COMPUTED_VALUE"""),"Worma")</f>
        <v>Worma</v>
      </c>
    </row>
    <row r="8412">
      <c r="A8412" s="41" t="str">
        <f>IFERROR(__xludf.DUMMYFUNCTION("""COMPUTED_VALUE"""),"RSC008455")</f>
        <v>RSC008455</v>
      </c>
      <c r="B8412" s="41" t="str">
        <f>IFERROR(__xludf.DUMMYFUNCTION("""COMPUTED_VALUE"""),"Craque")</f>
        <v>Craque</v>
      </c>
    </row>
    <row r="8413">
      <c r="A8413" s="41" t="str">
        <f>IFERROR(__xludf.DUMMYFUNCTION("""COMPUTED_VALUE"""),"RSC008456")</f>
        <v>RSC008456</v>
      </c>
      <c r="B8413" s="41" t="str">
        <f>IFERROR(__xludf.DUMMYFUNCTION("""COMPUTED_VALUE"""),"Sequoia")</f>
        <v>Sequoia</v>
      </c>
    </row>
    <row r="8414">
      <c r="A8414" s="41" t="str">
        <f>IFERROR(__xludf.DUMMYFUNCTION("""COMPUTED_VALUE"""),"RSC008457")</f>
        <v>RSC008457</v>
      </c>
      <c r="B8414" s="41" t="str">
        <f>IFERROR(__xludf.DUMMYFUNCTION("""COMPUTED_VALUE"""),"FISHT0PIA")</f>
        <v>FISHT0PIA</v>
      </c>
    </row>
    <row r="8415">
      <c r="A8415" s="41" t="str">
        <f>IFERROR(__xludf.DUMMYFUNCTION("""COMPUTED_VALUE"""),"RSC008458")</f>
        <v>RSC008458</v>
      </c>
      <c r="B8415" s="41" t="str">
        <f>IFERROR(__xludf.DUMMYFUNCTION("""COMPUTED_VALUE"""),"seth")</f>
        <v>seth</v>
      </c>
    </row>
    <row r="8416">
      <c r="A8416" s="41" t="str">
        <f>IFERROR(__xludf.DUMMYFUNCTION("""COMPUTED_VALUE"""),"RSC008459")</f>
        <v>RSC008459</v>
      </c>
      <c r="B8416" s="41" t="str">
        <f>IFERROR(__xludf.DUMMYFUNCTION("""COMPUTED_VALUE"""),"Miko")</f>
        <v>Miko</v>
      </c>
    </row>
    <row r="8417">
      <c r="A8417" s="41" t="str">
        <f>IFERROR(__xludf.DUMMYFUNCTION("""COMPUTED_VALUE"""),"RSC008460")</f>
        <v>RSC008460</v>
      </c>
      <c r="B8417" s="41" t="str">
        <f>IFERROR(__xludf.DUMMYFUNCTION("""COMPUTED_VALUE"""),"Murleaux")</f>
        <v>Murleaux</v>
      </c>
    </row>
    <row r="8418">
      <c r="A8418" s="41" t="str">
        <f>IFERROR(__xludf.DUMMYFUNCTION("""COMPUTED_VALUE"""),"RSC008461")</f>
        <v>RSC008461</v>
      </c>
      <c r="B8418" s="41" t="str">
        <f>IFERROR(__xludf.DUMMYFUNCTION("""COMPUTED_VALUE"""),"Kos")</f>
        <v>Kos</v>
      </c>
    </row>
    <row r="8419">
      <c r="A8419" s="41" t="str">
        <f>IFERROR(__xludf.DUMMYFUNCTION("""COMPUTED_VALUE"""),"RSC008462")</f>
        <v>RSC008462</v>
      </c>
      <c r="B8419" s="41" t="str">
        <f>IFERROR(__xludf.DUMMYFUNCTION("""COMPUTED_VALUE"""),"Dr Scrawny")</f>
        <v>Dr Scrawny</v>
      </c>
    </row>
    <row r="8420">
      <c r="A8420" s="41" t="str">
        <f>IFERROR(__xludf.DUMMYFUNCTION("""COMPUTED_VALUE"""),"RSC008463")</f>
        <v>RSC008463</v>
      </c>
      <c r="B8420" s="41" t="str">
        <f>IFERROR(__xludf.DUMMYFUNCTION("""COMPUTED_VALUE"""),"KryptWard")</f>
        <v>KryptWard</v>
      </c>
    </row>
    <row r="8421">
      <c r="A8421" s="41" t="str">
        <f>IFERROR(__xludf.DUMMYFUNCTION("""COMPUTED_VALUE"""),"RSC008464")</f>
        <v>RSC008464</v>
      </c>
      <c r="B8421" s="41" t="str">
        <f>IFERROR(__xludf.DUMMYFUNCTION("""COMPUTED_VALUE"""),"Aceviben")</f>
        <v>Aceviben</v>
      </c>
    </row>
    <row r="8422">
      <c r="A8422" s="41" t="str">
        <f>IFERROR(__xludf.DUMMYFUNCTION("""COMPUTED_VALUE"""),"RSC008465")</f>
        <v>RSC008465</v>
      </c>
      <c r="B8422" s="41" t="str">
        <f>IFERROR(__xludf.DUMMYFUNCTION("""COMPUTED_VALUE"""),"IncorrectTerror")</f>
        <v>IncorrectTerror</v>
      </c>
    </row>
    <row r="8423">
      <c r="A8423" s="41" t="str">
        <f>IFERROR(__xludf.DUMMYFUNCTION("""COMPUTED_VALUE"""),"RSC008466")</f>
        <v>RSC008466</v>
      </c>
      <c r="B8423" s="41" t="str">
        <f>IFERROR(__xludf.DUMMYFUNCTION("""COMPUTED_VALUE"""),"Cwuzzy")</f>
        <v>Cwuzzy</v>
      </c>
    </row>
    <row r="8424">
      <c r="A8424" s="41" t="str">
        <f>IFERROR(__xludf.DUMMYFUNCTION("""COMPUTED_VALUE"""),"RSC008467")</f>
        <v>RSC008467</v>
      </c>
      <c r="B8424" s="41" t="str">
        <f>IFERROR(__xludf.DUMMYFUNCTION("""COMPUTED_VALUE"""),"snipzz-.")</f>
        <v>snipzz-.</v>
      </c>
    </row>
    <row r="8425">
      <c r="A8425" s="41" t="str">
        <f>IFERROR(__xludf.DUMMYFUNCTION("""COMPUTED_VALUE"""),"RSC008468")</f>
        <v>RSC008468</v>
      </c>
      <c r="B8425" s="41" t="str">
        <f>IFERROR(__xludf.DUMMYFUNCTION("""COMPUTED_VALUE"""),"AsleepRn_")</f>
        <v>AsleepRn_</v>
      </c>
    </row>
    <row r="8426">
      <c r="A8426" s="41" t="str">
        <f>IFERROR(__xludf.DUMMYFUNCTION("""COMPUTED_VALUE"""),"RSC008469")</f>
        <v>RSC008469</v>
      </c>
      <c r="B8426" s="41" t="str">
        <f>IFERROR(__xludf.DUMMYFUNCTION("""COMPUTED_VALUE"""),"M7THIS.")</f>
        <v>M7THIS.</v>
      </c>
    </row>
    <row r="8427">
      <c r="A8427" s="41" t="str">
        <f>IFERROR(__xludf.DUMMYFUNCTION("""COMPUTED_VALUE"""),"RSC008470")</f>
        <v>RSC008470</v>
      </c>
      <c r="B8427" s="41" t="str">
        <f>IFERROR(__xludf.DUMMYFUNCTION("""COMPUTED_VALUE"""),"ReaperXD97")</f>
        <v>ReaperXD97</v>
      </c>
    </row>
    <row r="8428">
      <c r="A8428" s="41" t="str">
        <f>IFERROR(__xludf.DUMMYFUNCTION("""COMPUTED_VALUE"""),"RSC008471")</f>
        <v>RSC008471</v>
      </c>
      <c r="B8428" s="41" t="str">
        <f>IFERROR(__xludf.DUMMYFUNCTION("""COMPUTED_VALUE"""),"TrytonsShadow95")</f>
        <v>TrytonsShadow95</v>
      </c>
    </row>
    <row r="8429">
      <c r="A8429" s="41" t="str">
        <f>IFERROR(__xludf.DUMMYFUNCTION("""COMPUTED_VALUE"""),"RSC008472")</f>
        <v>RSC008472</v>
      </c>
      <c r="B8429" s="41" t="str">
        <f>IFERROR(__xludf.DUMMYFUNCTION("""COMPUTED_VALUE"""),"CrispSword56")</f>
        <v>CrispSword56</v>
      </c>
    </row>
    <row r="8430">
      <c r="A8430" s="41" t="str">
        <f>IFERROR(__xludf.DUMMYFUNCTION("""COMPUTED_VALUE"""),"RSC008473")</f>
        <v>RSC008473</v>
      </c>
      <c r="B8430" s="41" t="str">
        <f>IFERROR(__xludf.DUMMYFUNCTION("""COMPUTED_VALUE"""),"korndoguwu")</f>
        <v>korndoguwu</v>
      </c>
    </row>
    <row r="8431">
      <c r="A8431" s="41" t="str">
        <f>IFERROR(__xludf.DUMMYFUNCTION("""COMPUTED_VALUE"""),"RSC008474")</f>
        <v>RSC008474</v>
      </c>
      <c r="B8431" s="41" t="str">
        <f>IFERROR(__xludf.DUMMYFUNCTION("""COMPUTED_VALUE"""),"Drim")</f>
        <v>Drim</v>
      </c>
    </row>
    <row r="8432">
      <c r="A8432" s="41" t="str">
        <f>IFERROR(__xludf.DUMMYFUNCTION("""COMPUTED_VALUE"""),"RSC008475")</f>
        <v>RSC008475</v>
      </c>
      <c r="B8432" s="41" t="str">
        <f>IFERROR(__xludf.DUMMYFUNCTION("""COMPUTED_VALUE"""),"fast")</f>
        <v>fast</v>
      </c>
    </row>
    <row r="8433">
      <c r="A8433" s="41" t="str">
        <f>IFERROR(__xludf.DUMMYFUNCTION("""COMPUTED_VALUE"""),"RSC008476")</f>
        <v>RSC008476</v>
      </c>
      <c r="B8433" s="41" t="str">
        <f>IFERROR(__xludf.DUMMYFUNCTION("""COMPUTED_VALUE"""),"Dash")</f>
        <v>Dash</v>
      </c>
    </row>
    <row r="8434">
      <c r="A8434" s="41" t="str">
        <f>IFERROR(__xludf.DUMMYFUNCTION("""COMPUTED_VALUE"""),"RSC008477")</f>
        <v>RSC008477</v>
      </c>
      <c r="B8434" s="41" t="str">
        <f>IFERROR(__xludf.DUMMYFUNCTION("""COMPUTED_VALUE"""),"stim")</f>
        <v>stim</v>
      </c>
    </row>
    <row r="8435">
      <c r="A8435" s="41" t="str">
        <f>IFERROR(__xludf.DUMMYFUNCTION("""COMPUTED_VALUE"""),"RSC008478")</f>
        <v>RSC008478</v>
      </c>
      <c r="B8435" s="41" t="str">
        <f>IFERROR(__xludf.DUMMYFUNCTION("""COMPUTED_VALUE"""),"Inflict")</f>
        <v>Inflict</v>
      </c>
    </row>
    <row r="8436">
      <c r="A8436" s="41" t="str">
        <f>IFERROR(__xludf.DUMMYFUNCTION("""COMPUTED_VALUE"""),"RSC008479")</f>
        <v>RSC008479</v>
      </c>
      <c r="B8436" s="41" t="str">
        <f>IFERROR(__xludf.DUMMYFUNCTION("""COMPUTED_VALUE"""),"Yaki")</f>
        <v>Yaki</v>
      </c>
    </row>
    <row r="8437">
      <c r="A8437" s="41" t="str">
        <f>IFERROR(__xludf.DUMMYFUNCTION("""COMPUTED_VALUE"""),"RSC008480")</f>
        <v>RSC008480</v>
      </c>
      <c r="B8437" s="41" t="str">
        <f>IFERROR(__xludf.DUMMYFUNCTION("""COMPUTED_VALUE"""),"light")</f>
        <v>light</v>
      </c>
    </row>
    <row r="8438">
      <c r="A8438" s="41" t="str">
        <f>IFERROR(__xludf.DUMMYFUNCTION("""COMPUTED_VALUE"""),"RSC008481")</f>
        <v>RSC008481</v>
      </c>
      <c r="B8438" s="41" t="str">
        <f>IFERROR(__xludf.DUMMYFUNCTION("""COMPUTED_VALUE"""),"4k_sav")</f>
        <v>4k_sav</v>
      </c>
    </row>
    <row r="8439">
      <c r="A8439" s="41" t="str">
        <f>IFERROR(__xludf.DUMMYFUNCTION("""COMPUTED_VALUE"""),"RSC008482")</f>
        <v>RSC008482</v>
      </c>
      <c r="B8439" s="41" t="str">
        <f>IFERROR(__xludf.DUMMYFUNCTION("""COMPUTED_VALUE"""),"the coolest to ever do it")</f>
        <v>the coolest to ever do it</v>
      </c>
    </row>
    <row r="8440">
      <c r="A8440" s="41" t="str">
        <f>IFERROR(__xludf.DUMMYFUNCTION("""COMPUTED_VALUE"""),"RSC008483")</f>
        <v>RSC008483</v>
      </c>
      <c r="B8440" s="41" t="str">
        <f>IFERROR(__xludf.DUMMYFUNCTION("""COMPUTED_VALUE"""),"qwakzrl")</f>
        <v>qwakzrl</v>
      </c>
    </row>
    <row r="8441">
      <c r="A8441" s="41" t="str">
        <f>IFERROR(__xludf.DUMMYFUNCTION("""COMPUTED_VALUE"""),"RSC008484")</f>
        <v>RSC008484</v>
      </c>
      <c r="B8441" s="41" t="str">
        <f>IFERROR(__xludf.DUMMYFUNCTION("""COMPUTED_VALUE"""),"PshycoNot")</f>
        <v>PshycoNot</v>
      </c>
    </row>
    <row r="8442">
      <c r="A8442" s="41" t="str">
        <f>IFERROR(__xludf.DUMMYFUNCTION("""COMPUTED_VALUE"""),"RSC008485")</f>
        <v>RSC008485</v>
      </c>
      <c r="B8442" s="41" t="str">
        <f>IFERROR(__xludf.DUMMYFUNCTION("""COMPUTED_VALUE"""),"MechanicWizard")</f>
        <v>MechanicWizard</v>
      </c>
    </row>
    <row r="8443">
      <c r="A8443" s="41" t="str">
        <f>IFERROR(__xludf.DUMMYFUNCTION("""COMPUTED_VALUE"""),"RSC008486")</f>
        <v>RSC008486</v>
      </c>
      <c r="B8443" s="41" t="str">
        <f>IFERROR(__xludf.DUMMYFUNCTION("""COMPUTED_VALUE"""),"big_marv409")</f>
        <v>big_marv409</v>
      </c>
    </row>
    <row r="8444">
      <c r="A8444" s="41" t="str">
        <f>IFERROR(__xludf.DUMMYFUNCTION("""COMPUTED_VALUE"""),"RSC008487")</f>
        <v>RSC008487</v>
      </c>
      <c r="B8444" s="41" t="str">
        <f>IFERROR(__xludf.DUMMYFUNCTION("""COMPUTED_VALUE"""),"S3 UniQ")</f>
        <v>S3 UniQ</v>
      </c>
    </row>
    <row r="8445">
      <c r="A8445" s="41" t="str">
        <f>IFERROR(__xludf.DUMMYFUNCTION("""COMPUTED_VALUE"""),"RSC008488")</f>
        <v>RSC008488</v>
      </c>
      <c r="B8445" s="41" t="str">
        <f>IFERROR(__xludf.DUMMYFUNCTION("""COMPUTED_VALUE"""),"J.Boosted")</f>
        <v>J.Boosted</v>
      </c>
    </row>
    <row r="8446">
      <c r="A8446" s="41" t="str">
        <f>IFERROR(__xludf.DUMMYFUNCTION("""COMPUTED_VALUE"""),"RSC008489")</f>
        <v>RSC008489</v>
      </c>
      <c r="B8446" s="41" t="str">
        <f>IFERROR(__xludf.DUMMYFUNCTION("""COMPUTED_VALUE"""),"nacho_nachos2")</f>
        <v>nacho_nachos2</v>
      </c>
    </row>
    <row r="8447">
      <c r="A8447" s="41" t="str">
        <f>IFERROR(__xludf.DUMMYFUNCTION("""COMPUTED_VALUE"""),"RSC008490")</f>
        <v>RSC008490</v>
      </c>
      <c r="B8447" s="41" t="str">
        <f>IFERROR(__xludf.DUMMYFUNCTION("""COMPUTED_VALUE"""),"FrostBeard")</f>
        <v>FrostBeard</v>
      </c>
    </row>
    <row r="8448">
      <c r="A8448" s="41" t="str">
        <f>IFERROR(__xludf.DUMMYFUNCTION("""COMPUTED_VALUE"""),"RSC008491")</f>
        <v>RSC008491</v>
      </c>
      <c r="B8448" s="41" t="str">
        <f>IFERROR(__xludf.DUMMYFUNCTION("""COMPUTED_VALUE"""),"RSC Intent Account.")</f>
        <v>RSC Intent Account.</v>
      </c>
    </row>
    <row r="8449">
      <c r="A8449" s="41" t="str">
        <f>IFERROR(__xludf.DUMMYFUNCTION("""COMPUTED_VALUE"""),"RSC008492")</f>
        <v>RSC008492</v>
      </c>
      <c r="B8449" s="41" t="str">
        <f>IFERROR(__xludf.DUMMYFUNCTION("""COMPUTED_VALUE"""),"Unc_Rez")</f>
        <v>Unc_Rez</v>
      </c>
    </row>
    <row r="8450">
      <c r="A8450" s="41" t="str">
        <f>IFERROR(__xludf.DUMMYFUNCTION("""COMPUTED_VALUE"""),"RSC008493")</f>
        <v>RSC008493</v>
      </c>
      <c r="B8450" s="41" t="str">
        <f>IFERROR(__xludf.DUMMYFUNCTION("""COMPUTED_VALUE"""),"wntr.")</f>
        <v>wntr.</v>
      </c>
    </row>
    <row r="8451">
      <c r="A8451" s="41" t="str">
        <f>IFERROR(__xludf.DUMMYFUNCTION("""COMPUTED_VALUE"""),"RSC008494")</f>
        <v>RSC008494</v>
      </c>
      <c r="B8451" s="41" t="str">
        <f>IFERROR(__xludf.DUMMYFUNCTION("""COMPUTED_VALUE"""),"//Ronx")</f>
        <v>//Ronx</v>
      </c>
    </row>
    <row r="8452">
      <c r="A8452" s="41" t="str">
        <f>IFERROR(__xludf.DUMMYFUNCTION("""COMPUTED_VALUE"""),"RSC008495")</f>
        <v>RSC008495</v>
      </c>
      <c r="B8452" s="41" t="str">
        <f>IFERROR(__xludf.DUMMYFUNCTION("""COMPUTED_VALUE"""),".Kao")</f>
        <v>.Kao</v>
      </c>
    </row>
    <row r="8453">
      <c r="A8453" s="41" t="str">
        <f>IFERROR(__xludf.DUMMYFUNCTION("""COMPUTED_VALUE"""),"RSC008496")</f>
        <v>RSC008496</v>
      </c>
      <c r="B8453" s="41" t="str">
        <f>IFERROR(__xludf.DUMMYFUNCTION("""COMPUTED_VALUE"""),"GANGSTER.GOOSE")</f>
        <v>GANGSTER.GOOSE</v>
      </c>
    </row>
    <row r="8454">
      <c r="A8454" s="41" t="str">
        <f>IFERROR(__xludf.DUMMYFUNCTION("""COMPUTED_VALUE"""),"RSC008497")</f>
        <v>RSC008497</v>
      </c>
      <c r="B8454" s="41" t="str">
        <f>IFERROR(__xludf.DUMMYFUNCTION("""COMPUTED_VALUE"""),"sanzo*")</f>
        <v>sanzo*</v>
      </c>
    </row>
    <row r="8455">
      <c r="A8455" s="41" t="str">
        <f>IFERROR(__xludf.DUMMYFUNCTION("""COMPUTED_VALUE"""),"RSC008498")</f>
        <v>RSC008498</v>
      </c>
      <c r="B8455" s="41" t="str">
        <f>IFERROR(__xludf.DUMMYFUNCTION("""COMPUTED_VALUE"""),"plywood.")</f>
        <v>plywood.</v>
      </c>
    </row>
    <row r="8456">
      <c r="A8456" s="41" t="str">
        <f>IFERROR(__xludf.DUMMYFUNCTION("""COMPUTED_VALUE"""),"RSC008499")</f>
        <v>RSC008499</v>
      </c>
      <c r="B8456" s="41" t="str">
        <f>IFERROR(__xludf.DUMMYFUNCTION("""COMPUTED_VALUE"""),"ClipZZ is Here")</f>
        <v>ClipZZ is Here</v>
      </c>
    </row>
    <row r="8457">
      <c r="A8457" s="41" t="str">
        <f>IFERROR(__xludf.DUMMYFUNCTION("""COMPUTED_VALUE"""),"RSC008500")</f>
        <v>RSC008500</v>
      </c>
      <c r="B8457" s="41" t="str">
        <f>IFERROR(__xludf.DUMMYFUNCTION("""COMPUTED_VALUE"""),"Alejandro55")</f>
        <v>Alejandro55</v>
      </c>
    </row>
    <row r="8458">
      <c r="A8458" s="41" t="str">
        <f>IFERROR(__xludf.DUMMYFUNCTION("""COMPUTED_VALUE"""),"RSC008501")</f>
        <v>RSC008501</v>
      </c>
      <c r="B8458" s="41" t="str">
        <f>IFERROR(__xludf.DUMMYFUNCTION("""COMPUTED_VALUE"""),"Netoven1")</f>
        <v>Netoven1</v>
      </c>
    </row>
    <row r="8459">
      <c r="A8459" s="41" t="str">
        <f>IFERROR(__xludf.DUMMYFUNCTION("""COMPUTED_VALUE"""),"RSC008502")</f>
        <v>RSC008502</v>
      </c>
      <c r="B8459" s="41" t="str">
        <f>IFERROR(__xludf.DUMMYFUNCTION("""COMPUTED_VALUE"""),"Jetwind17")</f>
        <v>Jetwind17</v>
      </c>
    </row>
    <row r="8460">
      <c r="A8460" s="41" t="str">
        <f>IFERROR(__xludf.DUMMYFUNCTION("""COMPUTED_VALUE"""),"RSC008503")</f>
        <v>RSC008503</v>
      </c>
      <c r="B8460" s="41" t="str">
        <f>IFERROR(__xludf.DUMMYFUNCTION("""COMPUTED_VALUE"""),"Rick0810")</f>
        <v>Rick0810</v>
      </c>
    </row>
    <row r="8461">
      <c r="A8461" s="41" t="str">
        <f>IFERROR(__xludf.DUMMYFUNCTION("""COMPUTED_VALUE"""),"RSC008504")</f>
        <v>RSC008504</v>
      </c>
      <c r="B8461" s="41" t="str">
        <f>IFERROR(__xludf.DUMMYFUNCTION("""COMPUTED_VALUE"""),"Mozarv.")</f>
        <v>Mozarv.</v>
      </c>
    </row>
    <row r="8462">
      <c r="A8462" s="41" t="str">
        <f>IFERROR(__xludf.DUMMYFUNCTION("""COMPUTED_VALUE"""),"RSC008505")</f>
        <v>RSC008505</v>
      </c>
      <c r="B8462" s="41" t="str">
        <f>IFERROR(__xludf.DUMMYFUNCTION("""COMPUTED_VALUE"""),"SpicyShinobi")</f>
        <v>SpicyShinobi</v>
      </c>
    </row>
    <row r="8463">
      <c r="A8463" s="41" t="str">
        <f>IFERROR(__xludf.DUMMYFUNCTION("""COMPUTED_VALUE"""),"RSC008506")</f>
        <v>RSC008506</v>
      </c>
      <c r="B8463" s="41" t="str">
        <f>IFERROR(__xludf.DUMMYFUNCTION("""COMPUTED_VALUE"""),"YLVulcan")</f>
        <v>YLVulcan</v>
      </c>
    </row>
    <row r="8464">
      <c r="A8464" s="41" t="str">
        <f>IFERROR(__xludf.DUMMYFUNCTION("""COMPUTED_VALUE"""),"RSC008507")</f>
        <v>RSC008507</v>
      </c>
      <c r="B8464" s="41" t="str">
        <f>IFERROR(__xludf.DUMMYFUNCTION("""COMPUTED_VALUE"""),"Unc Jeebs")</f>
        <v>Unc Jeebs</v>
      </c>
    </row>
    <row r="8465">
      <c r="A8465" s="41" t="str">
        <f>IFERROR(__xludf.DUMMYFUNCTION("""COMPUTED_VALUE"""),"RSC008508")</f>
        <v>RSC008508</v>
      </c>
      <c r="B8465" s="41" t="str">
        <f>IFERROR(__xludf.DUMMYFUNCTION("""COMPUTED_VALUE"""),"Flame_RL10")</f>
        <v>Flame_RL10</v>
      </c>
    </row>
    <row r="8466">
      <c r="A8466" s="41" t="str">
        <f>IFERROR(__xludf.DUMMYFUNCTION("""COMPUTED_VALUE"""),"RSC008509")</f>
        <v>RSC008509</v>
      </c>
      <c r="B8466" s="41" t="str">
        <f>IFERROR(__xludf.DUMMYFUNCTION("""COMPUTED_VALUE"""),"Visoka")</f>
        <v>Visoka</v>
      </c>
    </row>
    <row r="8467">
      <c r="A8467" s="41" t="str">
        <f>IFERROR(__xludf.DUMMYFUNCTION("""COMPUTED_VALUE"""),"RSC008510")</f>
        <v>RSC008510</v>
      </c>
      <c r="B8467" s="41" t="str">
        <f>IFERROR(__xludf.DUMMYFUNCTION("""COMPUTED_VALUE"""),"ninja22000099")</f>
        <v>ninja22000099</v>
      </c>
    </row>
    <row r="8468">
      <c r="A8468" s="41" t="str">
        <f>IFERROR(__xludf.DUMMYFUNCTION("""COMPUTED_VALUE"""),"RSC008511")</f>
        <v>RSC008511</v>
      </c>
      <c r="B8468" s="41" t="str">
        <f>IFERROR(__xludf.DUMMYFUNCTION("""COMPUTED_VALUE"""),"Jennie")</f>
        <v>Jennie</v>
      </c>
    </row>
    <row r="8469">
      <c r="A8469" s="41" t="str">
        <f>IFERROR(__xludf.DUMMYFUNCTION("""COMPUTED_VALUE"""),"RSC008512")</f>
        <v>RSC008512</v>
      </c>
      <c r="B8469" s="41" t="str">
        <f>IFERROR(__xludf.DUMMYFUNCTION("""COMPUTED_VALUE"""),"ACatLegacy")</f>
        <v>ACatLegacy</v>
      </c>
    </row>
    <row r="8470">
      <c r="A8470" s="41" t="str">
        <f>IFERROR(__xludf.DUMMYFUNCTION("""COMPUTED_VALUE"""),"RSC008513")</f>
        <v>RSC008513</v>
      </c>
      <c r="B8470" s="41" t="str">
        <f>IFERROR(__xludf.DUMMYFUNCTION("""COMPUTED_VALUE"""),"sigms")</f>
        <v>sigms</v>
      </c>
    </row>
    <row r="8471">
      <c r="A8471" s="41" t="str">
        <f>IFERROR(__xludf.DUMMYFUNCTION("""COMPUTED_VALUE"""),"RSC008514")</f>
        <v>RSC008514</v>
      </c>
      <c r="B8471" s="41" t="str">
        <f>IFERROR(__xludf.DUMMYFUNCTION("""COMPUTED_VALUE"""),"DaReal_GeeQuavo")</f>
        <v>DaReal_GeeQuavo</v>
      </c>
    </row>
    <row r="8472">
      <c r="A8472" s="41" t="str">
        <f>IFERROR(__xludf.DUMMYFUNCTION("""COMPUTED_VALUE"""),"RSC008515")</f>
        <v>RSC008515</v>
      </c>
      <c r="B8472" s="41" t="str">
        <f>IFERROR(__xludf.DUMMYFUNCTION("""COMPUTED_VALUE"""),"Joeyloadingg")</f>
        <v>Joeyloadingg</v>
      </c>
    </row>
    <row r="8473">
      <c r="A8473" s="41" t="str">
        <f>IFERROR(__xludf.DUMMYFUNCTION("""COMPUTED_VALUE"""),"RSC008516")</f>
        <v>RSC008516</v>
      </c>
      <c r="B8473" s="41" t="str">
        <f>IFERROR(__xludf.DUMMYFUNCTION("""COMPUTED_VALUE"""),"arodjr06")</f>
        <v>arodjr06</v>
      </c>
    </row>
    <row r="8474">
      <c r="A8474" s="41" t="str">
        <f>IFERROR(__xludf.DUMMYFUNCTION("""COMPUTED_VALUE"""),"RSC008517")</f>
        <v>RSC008517</v>
      </c>
      <c r="B8474" s="41" t="str">
        <f>IFERROR(__xludf.DUMMYFUNCTION("""COMPUTED_VALUE"""),"MOX jori")</f>
        <v>MOX jori</v>
      </c>
    </row>
    <row r="8475">
      <c r="A8475" s="41" t="str">
        <f>IFERROR(__xludf.DUMMYFUNCTION("""COMPUTED_VALUE"""),"RSC008518")</f>
        <v>RSC008518</v>
      </c>
      <c r="B8475" s="41" t="str">
        <f>IFERROR(__xludf.DUMMYFUNCTION("""COMPUTED_VALUE"""),"luckyraizz")</f>
        <v>luckyraizz</v>
      </c>
    </row>
    <row r="8476">
      <c r="A8476" s="41" t="str">
        <f>IFERROR(__xludf.DUMMYFUNCTION("""COMPUTED_VALUE"""),"RSC008519")</f>
        <v>RSC008519</v>
      </c>
      <c r="B8476" s="41" t="str">
        <f>IFERROR(__xludf.DUMMYFUNCTION("""COMPUTED_VALUE"""),"Juice_loffi")</f>
        <v>Juice_loffi</v>
      </c>
    </row>
    <row r="8477">
      <c r="A8477" s="41" t="str">
        <f>IFERROR(__xludf.DUMMYFUNCTION("""COMPUTED_VALUE"""),"RSC008520")</f>
        <v>RSC008520</v>
      </c>
      <c r="B8477" s="41" t="str">
        <f>IFERROR(__xludf.DUMMYFUNCTION("""COMPUTED_VALUE"""),"GWSmith")</f>
        <v>GWSmith</v>
      </c>
    </row>
    <row r="8478">
      <c r="A8478" s="41" t="str">
        <f>IFERROR(__xludf.DUMMYFUNCTION("""COMPUTED_VALUE"""),"RSC008521")</f>
        <v>RSC008521</v>
      </c>
      <c r="B8478" s="41" t="str">
        <f>IFERROR(__xludf.DUMMYFUNCTION("""COMPUTED_VALUE"""),"Shmuffinman")</f>
        <v>Shmuffinman</v>
      </c>
    </row>
    <row r="8479">
      <c r="A8479" s="41" t="str">
        <f>IFERROR(__xludf.DUMMYFUNCTION("""COMPUTED_VALUE"""),"RSC008522")</f>
        <v>RSC008522</v>
      </c>
      <c r="B8479" s="41" t="str">
        <f>IFERROR(__xludf.DUMMYFUNCTION("""COMPUTED_VALUE"""),"tysonmaint")</f>
        <v>tysonmaint</v>
      </c>
    </row>
    <row r="8480">
      <c r="A8480" s="41" t="str">
        <f>IFERROR(__xludf.DUMMYFUNCTION("""COMPUTED_VALUE"""),"RSC008523")</f>
        <v>RSC008523</v>
      </c>
      <c r="B8480" s="41" t="str">
        <f>IFERROR(__xludf.DUMMYFUNCTION("""COMPUTED_VALUE"""),"badpeak")</f>
        <v>badpeak</v>
      </c>
    </row>
    <row r="8481">
      <c r="A8481" s="41" t="str">
        <f>IFERROR(__xludf.DUMMYFUNCTION("""COMPUTED_VALUE"""),"RSC008524")</f>
        <v>RSC008524</v>
      </c>
      <c r="B8481" s="41" t="str">
        <f>IFERROR(__xludf.DUMMYFUNCTION("""COMPUTED_VALUE"""),"ṽex")</f>
        <v>ṽex</v>
      </c>
    </row>
    <row r="8482">
      <c r="A8482" s="41" t="str">
        <f>IFERROR(__xludf.DUMMYFUNCTION("""COMPUTED_VALUE"""),"RSC008525")</f>
        <v>RSC008525</v>
      </c>
      <c r="B8482" s="41" t="str">
        <f>IFERROR(__xludf.DUMMYFUNCTION("""COMPUTED_VALUE"""),"tjdubya21")</f>
        <v>tjdubya21</v>
      </c>
    </row>
    <row r="8483">
      <c r="A8483" s="41" t="str">
        <f>IFERROR(__xludf.DUMMYFUNCTION("""COMPUTED_VALUE"""),"RSC008526")</f>
        <v>RSC008526</v>
      </c>
      <c r="B8483" s="41" t="str">
        <f>IFERROR(__xludf.DUMMYFUNCTION("""COMPUTED_VALUE"""),"Benny Toes")</f>
        <v>Benny Toes</v>
      </c>
    </row>
    <row r="8484">
      <c r="A8484" s="41" t="str">
        <f>IFERROR(__xludf.DUMMYFUNCTION("""COMPUTED_VALUE"""),"RSC008527")</f>
        <v>RSC008527</v>
      </c>
      <c r="B8484" s="41" t="str">
        <f>IFERROR(__xludf.DUMMYFUNCTION("""COMPUTED_VALUE"""),"HouseHoldNugg")</f>
        <v>HouseHoldNugg</v>
      </c>
    </row>
    <row r="8485">
      <c r="A8485" s="41" t="str">
        <f>IFERROR(__xludf.DUMMYFUNCTION("""COMPUTED_VALUE"""),"RSC008528")</f>
        <v>RSC008528</v>
      </c>
      <c r="B8485" s="41" t="str">
        <f>IFERROR(__xludf.DUMMYFUNCTION("""COMPUTED_VALUE"""),"Nonchalant Car")</f>
        <v>Nonchalant Car</v>
      </c>
    </row>
    <row r="8486">
      <c r="A8486" s="41" t="str">
        <f>IFERROR(__xludf.DUMMYFUNCTION("""COMPUTED_VALUE"""),"RSC008529")</f>
        <v>RSC008529</v>
      </c>
      <c r="B8486" s="41" t="str">
        <f>IFERROR(__xludf.DUMMYFUNCTION("""COMPUTED_VALUE"""),"chr1stian s")</f>
        <v>chr1stian s</v>
      </c>
    </row>
    <row r="8487">
      <c r="A8487" s="41" t="str">
        <f>IFERROR(__xludf.DUMMYFUNCTION("""COMPUTED_VALUE"""),"RSC008530")</f>
        <v>RSC008530</v>
      </c>
      <c r="B8487" s="41" t="str">
        <f>IFERROR(__xludf.DUMMYFUNCTION("""COMPUTED_VALUE"""),"Y-3 WEH")</f>
        <v>Y-3 WEH</v>
      </c>
    </row>
    <row r="8488">
      <c r="A8488" s="41" t="str">
        <f>IFERROR(__xludf.DUMMYFUNCTION("""COMPUTED_VALUE"""),"RSC008531")</f>
        <v>RSC008531</v>
      </c>
      <c r="B8488" s="41" t="str">
        <f>IFERROR(__xludf.DUMMYFUNCTION("""COMPUTED_VALUE"""),"drkmist")</f>
        <v>drkmist</v>
      </c>
    </row>
    <row r="8489">
      <c r="A8489" s="41" t="str">
        <f>IFERROR(__xludf.DUMMYFUNCTION("""COMPUTED_VALUE"""),"RSC008532")</f>
        <v>RSC008532</v>
      </c>
      <c r="B8489" s="41" t="str">
        <f>IFERROR(__xludf.DUMMYFUNCTION("""COMPUTED_VALUE"""),"Gimpyboy19946")</f>
        <v>Gimpyboy19946</v>
      </c>
    </row>
    <row r="8490">
      <c r="A8490" s="41" t="str">
        <f>IFERROR(__xludf.DUMMYFUNCTION("""COMPUTED_VALUE"""),"RSC008533")</f>
        <v>RSC008533</v>
      </c>
      <c r="B8490" s="41" t="str">
        <f>IFERROR(__xludf.DUMMYFUNCTION("""COMPUTED_VALUE"""),"Malik_P4")</f>
        <v>Malik_P4</v>
      </c>
    </row>
    <row r="8491">
      <c r="A8491" s="41" t="str">
        <f>IFERROR(__xludf.DUMMYFUNCTION("""COMPUTED_VALUE"""),"RSC008534")</f>
        <v>RSC008534</v>
      </c>
      <c r="B8491" s="41" t="str">
        <f>IFERROR(__xludf.DUMMYFUNCTION("""COMPUTED_VALUE"""),"antwxny")</f>
        <v>antwxny</v>
      </c>
    </row>
    <row r="8492">
      <c r="A8492" s="41" t="str">
        <f>IFERROR(__xludf.DUMMYFUNCTION("""COMPUTED_VALUE"""),"RSC008535")</f>
        <v>RSC008535</v>
      </c>
      <c r="B8492" s="41" t="str">
        <f>IFERROR(__xludf.DUMMYFUNCTION("""COMPUTED_VALUE"""),"recon21savege")</f>
        <v>recon21savege</v>
      </c>
    </row>
    <row r="8493">
      <c r="A8493" s="41" t="str">
        <f>IFERROR(__xludf.DUMMYFUNCTION("""COMPUTED_VALUE"""),"RSC008536")</f>
        <v>RSC008536</v>
      </c>
      <c r="B8493" s="41" t="str">
        <f>IFERROR(__xludf.DUMMYFUNCTION("""COMPUTED_VALUE"""),"Synbad-")</f>
        <v>Synbad-</v>
      </c>
    </row>
    <row r="8494">
      <c r="A8494" s="41" t="str">
        <f>IFERROR(__xludf.DUMMYFUNCTION("""COMPUTED_VALUE"""),"RSC008537")</f>
        <v>RSC008537</v>
      </c>
      <c r="B8494" s="41" t="str">
        <f>IFERROR(__xludf.DUMMYFUNCTION("""COMPUTED_VALUE"""),"SirSqwilly")</f>
        <v>SirSqwilly</v>
      </c>
    </row>
    <row r="8495">
      <c r="A8495" s="41" t="str">
        <f>IFERROR(__xludf.DUMMYFUNCTION("""COMPUTED_VALUE"""),"RSC008538")</f>
        <v>RSC008538</v>
      </c>
      <c r="B8495" s="41" t="str">
        <f>IFERROR(__xludf.DUMMYFUNCTION("""COMPUTED_VALUE"""),"Glitch2TUFF")</f>
        <v>Glitch2TUFF</v>
      </c>
    </row>
    <row r="8496">
      <c r="A8496" s="41" t="str">
        <f>IFERROR(__xludf.DUMMYFUNCTION("""COMPUTED_VALUE"""),"RSC008539")</f>
        <v>RSC008539</v>
      </c>
      <c r="B8496" s="41" t="str">
        <f>IFERROR(__xludf.DUMMYFUNCTION("""COMPUTED_VALUE"""),"Shune.")</f>
        <v>Shune.</v>
      </c>
    </row>
    <row r="8497">
      <c r="A8497" s="41" t="str">
        <f>IFERROR(__xludf.DUMMYFUNCTION("""COMPUTED_VALUE"""),"RSC008540")</f>
        <v>RSC008540</v>
      </c>
      <c r="B8497" s="41" t="str">
        <f>IFERROR(__xludf.DUMMYFUNCTION("""COMPUTED_VALUE"""),"GG K-9")</f>
        <v>GG K-9</v>
      </c>
    </row>
    <row r="8498">
      <c r="A8498" s="41" t="str">
        <f>IFERROR(__xludf.DUMMYFUNCTION("""COMPUTED_VALUE"""),"RSC008541")</f>
        <v>RSC008541</v>
      </c>
      <c r="B8498" s="41" t="str">
        <f>IFERROR(__xludf.DUMMYFUNCTION("""COMPUTED_VALUE"""),"Jito1017")</f>
        <v>Jito1017</v>
      </c>
    </row>
    <row r="8499">
      <c r="A8499" s="41" t="str">
        <f>IFERROR(__xludf.DUMMYFUNCTION("""COMPUTED_VALUE"""),"RSC008542")</f>
        <v>RSC008542</v>
      </c>
      <c r="B8499" s="41" t="str">
        <f>IFERROR(__xludf.DUMMYFUNCTION("""COMPUTED_VALUE"""),"sourµ")</f>
        <v>sourµ</v>
      </c>
    </row>
    <row r="8500">
      <c r="A8500" s="41" t="str">
        <f>IFERROR(__xludf.DUMMYFUNCTION("""COMPUTED_VALUE"""),"RSC008543")</f>
        <v>RSC008543</v>
      </c>
      <c r="B8500" s="41" t="str">
        <f>IFERROR(__xludf.DUMMYFUNCTION("""COMPUTED_VALUE"""),"T1Ta")</f>
        <v>T1Ta</v>
      </c>
    </row>
    <row r="8501">
      <c r="A8501" s="41" t="str">
        <f>IFERROR(__xludf.DUMMYFUNCTION("""COMPUTED_VALUE"""),"RSC008544")</f>
        <v>RSC008544</v>
      </c>
      <c r="B8501" s="41" t="str">
        <f>IFERROR(__xludf.DUMMYFUNCTION("""COMPUTED_VALUE"""),"Ɓola")</f>
        <v>Ɓola</v>
      </c>
    </row>
    <row r="8502">
      <c r="A8502" s="41" t="str">
        <f>IFERROR(__xludf.DUMMYFUNCTION("""COMPUTED_VALUE"""),"RSC008545")</f>
        <v>RSC008545</v>
      </c>
      <c r="B8502" s="41" t="str">
        <f>IFERROR(__xludf.DUMMYFUNCTION("""COMPUTED_VALUE"""),"Bubba_Lando")</f>
        <v>Bubba_Lando</v>
      </c>
    </row>
    <row r="8503">
      <c r="A8503" s="41" t="str">
        <f>IFERROR(__xludf.DUMMYFUNCTION("""COMPUTED_VALUE"""),"RSC008546")</f>
        <v>RSC008546</v>
      </c>
      <c r="B8503" s="41" t="str">
        <f>IFERROR(__xludf.DUMMYFUNCTION("""COMPUTED_VALUE"""),"ItzXoid")</f>
        <v>ItzXoid</v>
      </c>
    </row>
    <row r="8504">
      <c r="A8504" s="41" t="str">
        <f>IFERROR(__xludf.DUMMYFUNCTION("""COMPUTED_VALUE"""),"RSC008547")</f>
        <v>RSC008547</v>
      </c>
      <c r="B8504" s="41" t="str">
        <f>IFERROR(__xludf.DUMMYFUNCTION("""COMPUTED_VALUE"""),"Hypercube4")</f>
        <v>Hypercube4</v>
      </c>
    </row>
    <row r="8505">
      <c r="A8505" s="41" t="str">
        <f>IFERROR(__xludf.DUMMYFUNCTION("""COMPUTED_VALUE"""),"RSC008548")</f>
        <v>RSC008548</v>
      </c>
      <c r="B8505" s="41" t="str">
        <f>IFERROR(__xludf.DUMMYFUNCTION("""COMPUTED_VALUE"""),"Slinkxyz")</f>
        <v>Slinkxyz</v>
      </c>
    </row>
    <row r="8506">
      <c r="A8506" s="41" t="str">
        <f>IFERROR(__xludf.DUMMYFUNCTION("""COMPUTED_VALUE"""),"RSC008549")</f>
        <v>RSC008549</v>
      </c>
      <c r="B8506" s="41" t="str">
        <f>IFERROR(__xludf.DUMMYFUNCTION("""COMPUTED_VALUE"""),"Eat Tee")</f>
        <v>Eat Tee</v>
      </c>
    </row>
    <row r="8507">
      <c r="A8507" s="41" t="str">
        <f>IFERROR(__xludf.DUMMYFUNCTION("""COMPUTED_VALUE"""),"RSC008550")</f>
        <v>RSC008550</v>
      </c>
      <c r="B8507" s="41" t="str">
        <f>IFERROR(__xludf.DUMMYFUNCTION("""COMPUTED_VALUE"""),"ChromaToad")</f>
        <v>ChromaToad</v>
      </c>
    </row>
    <row r="8508">
      <c r="A8508" s="41" t="str">
        <f>IFERROR(__xludf.DUMMYFUNCTION("""COMPUTED_VALUE"""),"RSC008551")</f>
        <v>RSC008551</v>
      </c>
      <c r="B8508" s="41" t="str">
        <f>IFERROR(__xludf.DUMMYFUNCTION("""COMPUTED_VALUE"""),"saber8359")</f>
        <v>saber8359</v>
      </c>
    </row>
    <row r="8509">
      <c r="A8509" s="41" t="str">
        <f>IFERROR(__xludf.DUMMYFUNCTION("""COMPUTED_VALUE"""),"RSC008552")</f>
        <v>RSC008552</v>
      </c>
      <c r="B8509" s="41" t="str">
        <f>IFERROR(__xludf.DUMMYFUNCTION("""COMPUTED_VALUE"""),"S0UL09")</f>
        <v>S0UL09</v>
      </c>
    </row>
    <row r="8510">
      <c r="A8510" s="41" t="str">
        <f>IFERROR(__xludf.DUMMYFUNCTION("""COMPUTED_VALUE"""),"RSC008553")</f>
        <v>RSC008553</v>
      </c>
      <c r="B8510" s="41" t="str">
        <f>IFERROR(__xludf.DUMMYFUNCTION("""COMPUTED_VALUE"""),"Choco")</f>
        <v>Choco</v>
      </c>
    </row>
    <row r="8511">
      <c r="A8511" s="41" t="str">
        <f>IFERROR(__xludf.DUMMYFUNCTION("""COMPUTED_VALUE"""),"RSC008554")</f>
        <v>RSC008554</v>
      </c>
      <c r="B8511" s="41" t="str">
        <f>IFERROR(__xludf.DUMMYFUNCTION("""COMPUTED_VALUE"""),"golden4789")</f>
        <v>golden4789</v>
      </c>
    </row>
    <row r="8512">
      <c r="A8512" s="41" t="str">
        <f>IFERROR(__xludf.DUMMYFUNCTION("""COMPUTED_VALUE"""),"RSC008555")</f>
        <v>RSC008555</v>
      </c>
      <c r="B8512" s="41" t="str">
        <f>IFERROR(__xludf.DUMMYFUNCTION("""COMPUTED_VALUE"""),"ShyIsEepy")</f>
        <v>ShyIsEepy</v>
      </c>
    </row>
    <row r="8513">
      <c r="A8513" s="41" t="str">
        <f>IFERROR(__xludf.DUMMYFUNCTION("""COMPUTED_VALUE"""),"RSC008556")</f>
        <v>RSC008556</v>
      </c>
      <c r="B8513" s="41" t="str">
        <f>IFERROR(__xludf.DUMMYFUNCTION("""COMPUTED_VALUE"""),"jizko")</f>
        <v>jizko</v>
      </c>
    </row>
    <row r="8514">
      <c r="A8514" s="41" t="str">
        <f>IFERROR(__xludf.DUMMYFUNCTION("""COMPUTED_VALUE"""),"RSC008557")</f>
        <v>RSC008557</v>
      </c>
      <c r="B8514" s="41" t="str">
        <f>IFERROR(__xludf.DUMMYFUNCTION("""COMPUTED_VALUE"""),"lurx bad at rl")</f>
        <v>lurx bad at rl</v>
      </c>
    </row>
    <row r="8515">
      <c r="A8515" s="41" t="str">
        <f>IFERROR(__xludf.DUMMYFUNCTION("""COMPUTED_VALUE"""),"RSC008558")</f>
        <v>RSC008558</v>
      </c>
      <c r="B8515" s="41" t="str">
        <f>IFERROR(__xludf.DUMMYFUNCTION("""COMPUTED_VALUE"""),"itsmestevec29")</f>
        <v>itsmestevec29</v>
      </c>
    </row>
    <row r="8516">
      <c r="A8516" s="41" t="str">
        <f>IFERROR(__xludf.DUMMYFUNCTION("""COMPUTED_VALUE"""),"RSC008559")</f>
        <v>RSC008559</v>
      </c>
      <c r="B8516" s="41" t="str">
        <f>IFERROR(__xludf.DUMMYFUNCTION("""COMPUTED_VALUE"""),"FallenRealms")</f>
        <v>FallenRealms</v>
      </c>
    </row>
    <row r="8517">
      <c r="A8517" s="41" t="str">
        <f>IFERROR(__xludf.DUMMYFUNCTION("""COMPUTED_VALUE"""),"RSC008560")</f>
        <v>RSC008560</v>
      </c>
      <c r="B8517" s="41" t="str">
        <f>IFERROR(__xludf.DUMMYFUNCTION("""COMPUTED_VALUE"""),"ReaperofSouls962")</f>
        <v>ReaperofSouls962</v>
      </c>
    </row>
    <row r="8518">
      <c r="A8518" s="41" t="str">
        <f>IFERROR(__xludf.DUMMYFUNCTION("""COMPUTED_VALUE"""),"RSC008561")</f>
        <v>RSC008561</v>
      </c>
      <c r="B8518" s="41" t="str">
        <f>IFERROR(__xludf.DUMMYFUNCTION("""COMPUTED_VALUE"""),"Zanjo")</f>
        <v>Zanjo</v>
      </c>
    </row>
    <row r="8519">
      <c r="A8519" s="41" t="str">
        <f>IFERROR(__xludf.DUMMYFUNCTION("""COMPUTED_VALUE"""),"RSC008562")</f>
        <v>RSC008562</v>
      </c>
      <c r="B8519" s="41" t="str">
        <f>IFERROR(__xludf.DUMMYFUNCTION("""COMPUTED_VALUE"""),"lul za za")</f>
        <v>lul za za</v>
      </c>
    </row>
    <row r="8520">
      <c r="A8520" s="41" t="str">
        <f>IFERROR(__xludf.DUMMYFUNCTION("""COMPUTED_VALUE"""),"RSC008563")</f>
        <v>RSC008563</v>
      </c>
      <c r="B8520" s="41" t="str">
        <f>IFERROR(__xludf.DUMMYFUNCTION("""COMPUTED_VALUE"""),"Skaumpers")</f>
        <v>Skaumpers</v>
      </c>
    </row>
    <row r="8521">
      <c r="A8521" s="41" t="str">
        <f>IFERROR(__xludf.DUMMYFUNCTION("""COMPUTED_VALUE"""),"RSC008564")</f>
        <v>RSC008564</v>
      </c>
      <c r="B8521" s="41" t="str">
        <f>IFERROR(__xludf.DUMMYFUNCTION("""COMPUTED_VALUE"""),"BIack Korver")</f>
        <v>BIack Korver</v>
      </c>
    </row>
    <row r="8522">
      <c r="A8522" s="41" t="str">
        <f>IFERROR(__xludf.DUMMYFUNCTION("""COMPUTED_VALUE"""),"RSC008565")</f>
        <v>RSC008565</v>
      </c>
      <c r="B8522" s="41" t="str">
        <f>IFERROR(__xludf.DUMMYFUNCTION("""COMPUTED_VALUE"""),"buhbel")</f>
        <v>buhbel</v>
      </c>
    </row>
    <row r="8523">
      <c r="A8523" s="41" t="str">
        <f>IFERROR(__xludf.DUMMYFUNCTION("""COMPUTED_VALUE"""),"RSC008566")</f>
        <v>RSC008566</v>
      </c>
      <c r="B8523" s="41" t="str">
        <f>IFERROR(__xludf.DUMMYFUNCTION("""COMPUTED_VALUE"""),"jmcooke3")</f>
        <v>jmcooke3</v>
      </c>
    </row>
    <row r="8524">
      <c r="A8524" s="41" t="str">
        <f>IFERROR(__xludf.DUMMYFUNCTION("""COMPUTED_VALUE"""),"RSC008567")</f>
        <v>RSC008567</v>
      </c>
      <c r="B8524" s="41" t="str">
        <f>IFERROR(__xludf.DUMMYFUNCTION("""COMPUTED_VALUE"""),"heyy_17")</f>
        <v>heyy_17</v>
      </c>
    </row>
    <row r="8525">
      <c r="A8525" s="41" t="str">
        <f>IFERROR(__xludf.DUMMYFUNCTION("""COMPUTED_VALUE"""),"RSC008568")</f>
        <v>RSC008568</v>
      </c>
      <c r="B8525" s="41" t="str">
        <f>IFERROR(__xludf.DUMMYFUNCTION("""COMPUTED_VALUE"""),"Shlandynn")</f>
        <v>Shlandynn</v>
      </c>
    </row>
    <row r="8526">
      <c r="A8526" s="41" t="str">
        <f>IFERROR(__xludf.DUMMYFUNCTION("""COMPUTED_VALUE"""),"RSC008569")</f>
        <v>RSC008569</v>
      </c>
      <c r="B8526" s="41" t="str">
        <f>IFERROR(__xludf.DUMMYFUNCTION("""COMPUTED_VALUE"""),"BlackHoleX")</f>
        <v>BlackHoleX</v>
      </c>
    </row>
    <row r="8527">
      <c r="A8527" s="41" t="str">
        <f>IFERROR(__xludf.DUMMYFUNCTION("""COMPUTED_VALUE"""),"RSC008570")</f>
        <v>RSC008570</v>
      </c>
      <c r="B8527" s="41" t="str">
        <f>IFERROR(__xludf.DUMMYFUNCTION("""COMPUTED_VALUE"""),"ItzSnacc")</f>
        <v>ItzSnacc</v>
      </c>
    </row>
    <row r="8528">
      <c r="A8528" s="41" t="str">
        <f>IFERROR(__xludf.DUMMYFUNCTION("""COMPUTED_VALUE"""),"RSC008571")</f>
        <v>RSC008571</v>
      </c>
      <c r="B8528" s="41" t="str">
        <f>IFERROR(__xludf.DUMMYFUNCTION("""COMPUTED_VALUE"""),"Divine.")</f>
        <v>Divine.</v>
      </c>
    </row>
    <row r="8529">
      <c r="A8529" s="41" t="str">
        <f>IFERROR(__xludf.DUMMYFUNCTION("""COMPUTED_VALUE"""),"RSC008572")</f>
        <v>RSC008572</v>
      </c>
      <c r="B8529" s="41" t="str">
        <f>IFERROR(__xludf.DUMMYFUNCTION("""COMPUTED_VALUE"""),"MichaelGA10")</f>
        <v>MichaelGA10</v>
      </c>
    </row>
    <row r="8530">
      <c r="A8530" s="41" t="str">
        <f>IFERROR(__xludf.DUMMYFUNCTION("""COMPUTED_VALUE"""),"RSC008573")</f>
        <v>RSC008573</v>
      </c>
      <c r="B8530" s="41" t="str">
        <f>IFERROR(__xludf.DUMMYFUNCTION("""COMPUTED_VALUE"""),"Speacial")</f>
        <v>Speacial</v>
      </c>
    </row>
    <row r="8531">
      <c r="A8531" s="41" t="str">
        <f>IFERROR(__xludf.DUMMYFUNCTION("""COMPUTED_VALUE"""),"RSC008574")</f>
        <v>RSC008574</v>
      </c>
      <c r="B8531" s="41" t="str">
        <f>IFERROR(__xludf.DUMMYFUNCTION("""COMPUTED_VALUE"""),"Zay")</f>
        <v>Zay</v>
      </c>
    </row>
    <row r="8532">
      <c r="A8532" s="41" t="str">
        <f>IFERROR(__xludf.DUMMYFUNCTION("""COMPUTED_VALUE"""),"RSC008575")</f>
        <v>RSC008575</v>
      </c>
      <c r="B8532" s="41" t="str">
        <f>IFERROR(__xludf.DUMMYFUNCTION("""COMPUTED_VALUE"""),"Snatchimal")</f>
        <v>Snatchimal</v>
      </c>
    </row>
    <row r="8533">
      <c r="A8533" s="41" t="str">
        <f>IFERROR(__xludf.DUMMYFUNCTION("""COMPUTED_VALUE"""),"RSC008576")</f>
        <v>RSC008576</v>
      </c>
      <c r="B8533" s="41" t="str">
        <f>IFERROR(__xludf.DUMMYFUNCTION("""COMPUTED_VALUE"""),"Sangani")</f>
        <v>Sangani</v>
      </c>
    </row>
    <row r="8534">
      <c r="A8534" s="41" t="str">
        <f>IFERROR(__xludf.DUMMYFUNCTION("""COMPUTED_VALUE"""),"RSC008577")</f>
        <v>RSC008577</v>
      </c>
      <c r="B8534" s="41" t="str">
        <f>IFERROR(__xludf.DUMMYFUNCTION("""COMPUTED_VALUE"""),"MAKK! NoMic")</f>
        <v>MAKK! NoMic</v>
      </c>
    </row>
    <row r="8535">
      <c r="A8535" s="41" t="str">
        <f>IFERROR(__xludf.DUMMYFUNCTION("""COMPUTED_VALUE"""),"RSC008578")</f>
        <v>RSC008578</v>
      </c>
      <c r="B8535" s="41" t="str">
        <f>IFERROR(__xludf.DUMMYFUNCTION("""COMPUTED_VALUE"""),"BabyFxceLK")</f>
        <v>BabyFxceLK</v>
      </c>
    </row>
    <row r="8536">
      <c r="A8536" s="41" t="str">
        <f>IFERROR(__xludf.DUMMYFUNCTION("""COMPUTED_VALUE"""),"RSC008579")</f>
        <v>RSC008579</v>
      </c>
      <c r="B8536" s="41" t="str">
        <f>IFERROR(__xludf.DUMMYFUNCTION("""COMPUTED_VALUE"""),"Giraffahuff")</f>
        <v>Giraffahuff</v>
      </c>
    </row>
    <row r="8537">
      <c r="A8537" s="41" t="str">
        <f>IFERROR(__xludf.DUMMYFUNCTION("""COMPUTED_VALUE"""),"RSC008580")</f>
        <v>RSC008580</v>
      </c>
      <c r="B8537" s="41" t="str">
        <f>IFERROR(__xludf.DUMMYFUNCTION("""COMPUTED_VALUE"""),"Hippie 204")</f>
        <v>Hippie 204</v>
      </c>
    </row>
    <row r="8538">
      <c r="A8538" s="41" t="str">
        <f>IFERROR(__xludf.DUMMYFUNCTION("""COMPUTED_VALUE"""),"RSC008581")</f>
        <v>RSC008581</v>
      </c>
      <c r="B8538" s="41" t="str">
        <f>IFERROR(__xludf.DUMMYFUNCTION("""COMPUTED_VALUE"""),"duck-rl")</f>
        <v>duck-rl</v>
      </c>
    </row>
    <row r="8539">
      <c r="A8539" s="41" t="str">
        <f>IFERROR(__xludf.DUMMYFUNCTION("""COMPUTED_VALUE"""),"RSC008582")</f>
        <v>RSC008582</v>
      </c>
      <c r="B8539" s="41" t="str">
        <f>IFERROR(__xludf.DUMMYFUNCTION("""COMPUTED_VALUE"""),"ZeXeR-_-")</f>
        <v>ZeXeR-_-</v>
      </c>
    </row>
    <row r="8540">
      <c r="A8540" s="41" t="str">
        <f>IFERROR(__xludf.DUMMYFUNCTION("""COMPUTED_VALUE"""),"RSC008583")</f>
        <v>RSC008583</v>
      </c>
      <c r="B8540" s="41" t="str">
        <f>IFERROR(__xludf.DUMMYFUNCTION("""COMPUTED_VALUE"""),"Kianduck.")</f>
        <v>Kianduck.</v>
      </c>
    </row>
    <row r="8541">
      <c r="A8541" s="41" t="str">
        <f>IFERROR(__xludf.DUMMYFUNCTION("""COMPUTED_VALUE"""),"RSC008584")</f>
        <v>RSC008584</v>
      </c>
      <c r="B8541" s="41" t="str">
        <f>IFERROR(__xludf.DUMMYFUNCTION("""COMPUTED_VALUE"""),"Twizkii")</f>
        <v>Twizkii</v>
      </c>
    </row>
    <row r="8542">
      <c r="A8542" s="41" t="str">
        <f>IFERROR(__xludf.DUMMYFUNCTION("""COMPUTED_VALUE"""),"RSC008585")</f>
        <v>RSC008585</v>
      </c>
      <c r="B8542" s="41" t="str">
        <f>IFERROR(__xludf.DUMMYFUNCTION("""COMPUTED_VALUE"""),"Steezer")</f>
        <v>Steezer</v>
      </c>
    </row>
    <row r="8543">
      <c r="A8543" s="41" t="str">
        <f>IFERROR(__xludf.DUMMYFUNCTION("""COMPUTED_VALUE"""),"RSC008586")</f>
        <v>RSC008586</v>
      </c>
      <c r="B8543" s="41" t="str">
        <f>IFERROR(__xludf.DUMMYFUNCTION("""COMPUTED_VALUE"""),"mozzarticus")</f>
        <v>mozzarticus</v>
      </c>
    </row>
    <row r="8544">
      <c r="A8544" s="41" t="str">
        <f>IFERROR(__xludf.DUMMYFUNCTION("""COMPUTED_VALUE"""),"RSC008587")</f>
        <v>RSC008587</v>
      </c>
      <c r="B8544" s="41" t="str">
        <f>IFERROR(__xludf.DUMMYFUNCTION("""COMPUTED_VALUE"""),"Ted_Mundy")</f>
        <v>Ted_Mundy</v>
      </c>
    </row>
    <row r="8545">
      <c r="A8545" s="41" t="str">
        <f>IFERROR(__xludf.DUMMYFUNCTION("""COMPUTED_VALUE"""),"RSC008588")</f>
        <v>RSC008588</v>
      </c>
      <c r="B8545" s="41" t="str">
        <f>IFERROR(__xludf.DUMMYFUNCTION("""COMPUTED_VALUE"""),"Forgotten003")</f>
        <v>Forgotten003</v>
      </c>
    </row>
    <row r="8546">
      <c r="A8546" s="41" t="str">
        <f>IFERROR(__xludf.DUMMYFUNCTION("""COMPUTED_VALUE"""),"RSC008589")</f>
        <v>RSC008589</v>
      </c>
      <c r="B8546" s="41" t="str">
        <f>IFERROR(__xludf.DUMMYFUNCTION("""COMPUTED_VALUE"""),"crazymedic0630")</f>
        <v>crazymedic0630</v>
      </c>
    </row>
    <row r="8547">
      <c r="A8547" s="41" t="str">
        <f>IFERROR(__xludf.DUMMYFUNCTION("""COMPUTED_VALUE"""),"RSC008590")</f>
        <v>RSC008590</v>
      </c>
      <c r="B8547" s="41" t="str">
        <f>IFERROR(__xludf.DUMMYFUNCTION("""COMPUTED_VALUE"""),"Blackbear")</f>
        <v>Blackbear</v>
      </c>
    </row>
    <row r="8548">
      <c r="A8548" s="41" t="str">
        <f>IFERROR(__xludf.DUMMYFUNCTION("""COMPUTED_VALUE"""),"RSC008591")</f>
        <v>RSC008591</v>
      </c>
      <c r="B8548" s="41" t="str">
        <f>IFERROR(__xludf.DUMMYFUNCTION("""COMPUTED_VALUE"""),"efortlessly")</f>
        <v>efortlessly</v>
      </c>
    </row>
    <row r="8549">
      <c r="A8549" s="41" t="str">
        <f>IFERROR(__xludf.DUMMYFUNCTION("""COMPUTED_VALUE"""),"RSC008592")</f>
        <v>RSC008592</v>
      </c>
      <c r="B8549" s="41" t="str">
        <f>IFERROR(__xludf.DUMMYFUNCTION("""COMPUTED_VALUE"""),"Rezcoh")</f>
        <v>Rezcoh</v>
      </c>
    </row>
    <row r="8550">
      <c r="A8550" s="41" t="str">
        <f>IFERROR(__xludf.DUMMYFUNCTION("""COMPUTED_VALUE"""),"RSC008593")</f>
        <v>RSC008593</v>
      </c>
      <c r="B8550" s="41" t="str">
        <f>IFERROR(__xludf.DUMMYFUNCTION("""COMPUTED_VALUE"""),"Krazii -_-")</f>
        <v>Krazii -_-</v>
      </c>
    </row>
    <row r="8551">
      <c r="A8551" s="41" t="str">
        <f>IFERROR(__xludf.DUMMYFUNCTION("""COMPUTED_VALUE"""),"RSC008594")</f>
        <v>RSC008594</v>
      </c>
      <c r="B8551" s="41" t="str">
        <f>IFERROR(__xludf.DUMMYFUNCTION("""COMPUTED_VALUE"""),"ZombZombs")</f>
        <v>ZombZombs</v>
      </c>
    </row>
    <row r="8552">
      <c r="A8552" s="41" t="str">
        <f>IFERROR(__xludf.DUMMYFUNCTION("""COMPUTED_VALUE"""),"RSC008595")</f>
        <v>RSC008595</v>
      </c>
      <c r="B8552" s="41" t="str">
        <f>IFERROR(__xludf.DUMMYFUNCTION("""COMPUTED_VALUE"""),"Jify_2Times")</f>
        <v>Jify_2Times</v>
      </c>
    </row>
    <row r="8553">
      <c r="A8553" s="41" t="str">
        <f>IFERROR(__xludf.DUMMYFUNCTION("""COMPUTED_VALUE"""),"RSC008596")</f>
        <v>RSC008596</v>
      </c>
      <c r="B8553" s="41" t="str">
        <f>IFERROR(__xludf.DUMMYFUNCTION("""COMPUTED_VALUE"""),"TikTokChanse")</f>
        <v>TikTokChanse</v>
      </c>
    </row>
    <row r="8554">
      <c r="A8554" s="41" t="str">
        <f>IFERROR(__xludf.DUMMYFUNCTION("""COMPUTED_VALUE"""),"RSC008597")</f>
        <v>RSC008597</v>
      </c>
      <c r="B8554" s="41" t="str">
        <f>IFERROR(__xludf.DUMMYFUNCTION("""COMPUTED_VALUE"""),"PVPJTARACHTAMERE")</f>
        <v>PVPJTARACHTAMERE</v>
      </c>
    </row>
    <row r="8555">
      <c r="A8555" s="41" t="str">
        <f>IFERROR(__xludf.DUMMYFUNCTION("""COMPUTED_VALUE"""),"RSC008598")</f>
        <v>RSC008598</v>
      </c>
      <c r="B8555" s="41" t="str">
        <f>IFERROR(__xludf.DUMMYFUNCTION("""COMPUTED_VALUE"""),"jimmy(G)?")</f>
        <v>jimmy(G)?</v>
      </c>
    </row>
    <row r="8556">
      <c r="A8556" s="41" t="str">
        <f>IFERROR(__xludf.DUMMYFUNCTION("""COMPUTED_VALUE"""),"RSC008599")</f>
        <v>RSC008599</v>
      </c>
      <c r="B8556" s="41" t="str">
        <f>IFERROR(__xludf.DUMMYFUNCTION("""COMPUTED_VALUE"""),"p4rka.")</f>
        <v>p4rka.</v>
      </c>
    </row>
    <row r="8557">
      <c r="A8557" s="41" t="str">
        <f>IFERROR(__xludf.DUMMYFUNCTION("""COMPUTED_VALUE"""),"RSC008600")</f>
        <v>RSC008600</v>
      </c>
      <c r="B8557" s="41" t="str">
        <f>IFERROR(__xludf.DUMMYFUNCTION("""COMPUTED_VALUE"""),"Prizzm.")</f>
        <v>Prizzm.</v>
      </c>
    </row>
    <row r="8558">
      <c r="A8558" s="41" t="str">
        <f>IFERROR(__xludf.DUMMYFUNCTION("""COMPUTED_VALUE"""),"RSC008601")</f>
        <v>RSC008601</v>
      </c>
      <c r="B8558" s="41" t="str">
        <f>IFERROR(__xludf.DUMMYFUNCTION("""COMPUTED_VALUE"""),"Velocheerio")</f>
        <v>Velocheerio</v>
      </c>
    </row>
    <row r="8559">
      <c r="A8559" s="41" t="str">
        <f>IFERROR(__xludf.DUMMYFUNCTION("""COMPUTED_VALUE"""),"RSC008602")</f>
        <v>RSC008602</v>
      </c>
      <c r="B8559" s="41" t="str">
        <f>IFERROR(__xludf.DUMMYFUNCTION("""COMPUTED_VALUE"""),"elcarryratboy")</f>
        <v>elcarryratboy</v>
      </c>
    </row>
    <row r="8560">
      <c r="A8560" s="41" t="str">
        <f>IFERROR(__xludf.DUMMYFUNCTION("""COMPUTED_VALUE"""),"RSC008603")</f>
        <v>RSC008603</v>
      </c>
      <c r="B8560" s="41" t="str">
        <f>IFERROR(__xludf.DUMMYFUNCTION("""COMPUTED_VALUE"""),"garrydacarry")</f>
        <v>garrydacarry</v>
      </c>
    </row>
    <row r="8561">
      <c r="A8561" s="41" t="str">
        <f>IFERROR(__xludf.DUMMYFUNCTION("""COMPUTED_VALUE"""),"RSC008604")</f>
        <v>RSC008604</v>
      </c>
      <c r="B8561" s="41" t="str">
        <f>IFERROR(__xludf.DUMMYFUNCTION("""COMPUTED_VALUE"""),"grogǃ")</f>
        <v>grogǃ</v>
      </c>
    </row>
    <row r="8562">
      <c r="A8562" s="41" t="str">
        <f>IFERROR(__xludf.DUMMYFUNCTION("""COMPUTED_VALUE"""),"RSC008605")</f>
        <v>RSC008605</v>
      </c>
      <c r="B8562" s="41" t="str">
        <f>IFERROR(__xludf.DUMMYFUNCTION("""COMPUTED_VALUE"""),"Toon1e.")</f>
        <v>Toon1e.</v>
      </c>
    </row>
    <row r="8563">
      <c r="A8563" s="41" t="str">
        <f>IFERROR(__xludf.DUMMYFUNCTION("""COMPUTED_VALUE"""),"RSC008606")</f>
        <v>RSC008606</v>
      </c>
      <c r="B8563" s="41" t="str">
        <f>IFERROR(__xludf.DUMMYFUNCTION("""COMPUTED_VALUE"""),"SodumbY")</f>
        <v>SodumbY</v>
      </c>
    </row>
    <row r="8564">
      <c r="A8564" s="41" t="str">
        <f>IFERROR(__xludf.DUMMYFUNCTION("""COMPUTED_VALUE"""),"RSC008607")</f>
        <v>RSC008607</v>
      </c>
      <c r="B8564" s="41" t="str">
        <f>IFERROR(__xludf.DUMMYFUNCTION("""COMPUTED_VALUE"""),"ANGRY FENNEC")</f>
        <v>ANGRY FENNEC</v>
      </c>
    </row>
    <row r="8565">
      <c r="A8565" s="41" t="str">
        <f>IFERROR(__xludf.DUMMYFUNCTION("""COMPUTED_VALUE"""),"RSC008608")</f>
        <v>RSC008608</v>
      </c>
      <c r="B8565" s="41" t="str">
        <f>IFERROR(__xludf.DUMMYFUNCTION("""COMPUTED_VALUE"""),"xSquaadTL")</f>
        <v>xSquaadTL</v>
      </c>
    </row>
    <row r="8566">
      <c r="A8566" s="41" t="str">
        <f>IFERROR(__xludf.DUMMYFUNCTION("""COMPUTED_VALUE"""),"RSC008609")</f>
        <v>RSC008609</v>
      </c>
      <c r="B8566" s="41" t="str">
        <f>IFERROR(__xludf.DUMMYFUNCTION("""COMPUTED_VALUE"""),"Studog43")</f>
        <v>Studog43</v>
      </c>
    </row>
    <row r="8567">
      <c r="A8567" s="41" t="str">
        <f>IFERROR(__xludf.DUMMYFUNCTION("""COMPUTED_VALUE"""),"RSC008610")</f>
        <v>RSC008610</v>
      </c>
      <c r="B8567" s="41" t="str">
        <f>IFERROR(__xludf.DUMMYFUNCTION("""COMPUTED_VALUE"""),"ogtheassassin")</f>
        <v>ogtheassassin</v>
      </c>
    </row>
    <row r="8568">
      <c r="A8568" s="41" t="str">
        <f>IFERROR(__xludf.DUMMYFUNCTION("""COMPUTED_VALUE"""),"RSC008611")</f>
        <v>RSC008611</v>
      </c>
      <c r="B8568" s="41" t="str">
        <f>IFERROR(__xludf.DUMMYFUNCTION("""COMPUTED_VALUE"""),"gam †")</f>
        <v>gam †</v>
      </c>
    </row>
    <row r="8569">
      <c r="A8569" s="41" t="str">
        <f>IFERROR(__xludf.DUMMYFUNCTION("""COMPUTED_VALUE"""),"RSC008612")</f>
        <v>RSC008612</v>
      </c>
      <c r="B8569" s="41" t="str">
        <f>IFERROR(__xludf.DUMMYFUNCTION("""COMPUTED_VALUE"""),"scary ghsty")</f>
        <v>scary ghsty</v>
      </c>
    </row>
    <row r="8570">
      <c r="A8570" s="41" t="str">
        <f>IFERROR(__xludf.DUMMYFUNCTION("""COMPUTED_VALUE"""),"RSC008613")</f>
        <v>RSC008613</v>
      </c>
      <c r="B8570" s="41" t="str">
        <f>IFERROR(__xludf.DUMMYFUNCTION("""COMPUTED_VALUE"""),"TrippinHottiez")</f>
        <v>TrippinHottiez</v>
      </c>
    </row>
    <row r="8571">
      <c r="A8571" s="41" t="str">
        <f>IFERROR(__xludf.DUMMYFUNCTION("""COMPUTED_VALUE"""),"RSC008614")</f>
        <v>RSC008614</v>
      </c>
      <c r="B8571" s="41" t="str">
        <f>IFERROR(__xludf.DUMMYFUNCTION("""COMPUTED_VALUE"""),"Nabisco kid8751")</f>
        <v>Nabisco kid8751</v>
      </c>
    </row>
    <row r="8572">
      <c r="A8572" s="41" t="str">
        <f>IFERROR(__xludf.DUMMYFUNCTION("""COMPUTED_VALUE"""),"RSC008615")</f>
        <v>RSC008615</v>
      </c>
      <c r="B8572" s="41" t="str">
        <f>IFERROR(__xludf.DUMMYFUNCTION("""COMPUTED_VALUE"""),"M00NL1GHT777")</f>
        <v>M00NL1GHT777</v>
      </c>
    </row>
    <row r="8573">
      <c r="A8573" s="41" t="str">
        <f>IFERROR(__xludf.DUMMYFUNCTION("""COMPUTED_VALUE"""),"RSC008616")</f>
        <v>RSC008616</v>
      </c>
      <c r="B8573" s="41" t="str">
        <f>IFERROR(__xludf.DUMMYFUNCTION("""COMPUTED_VALUE"""),"mr_coogs")</f>
        <v>mr_coogs</v>
      </c>
    </row>
    <row r="8574">
      <c r="A8574" s="41" t="str">
        <f>IFERROR(__xludf.DUMMYFUNCTION("""COMPUTED_VALUE"""),"RSC008617")</f>
        <v>RSC008617</v>
      </c>
      <c r="B8574" s="41" t="str">
        <f>IFERROR(__xludf.DUMMYFUNCTION("""COMPUTED_VALUE"""),"n3x1 Galaxy")</f>
        <v>n3x1 Galaxy</v>
      </c>
    </row>
    <row r="8575">
      <c r="A8575" s="41" t="str">
        <f>IFERROR(__xludf.DUMMYFUNCTION("""COMPUTED_VALUE"""),"RSC008618")</f>
        <v>RSC008618</v>
      </c>
      <c r="B8575" s="41" t="str">
        <f>IFERROR(__xludf.DUMMYFUNCTION("""COMPUTED_VALUE"""),"MaduIaa")</f>
        <v>MaduIaa</v>
      </c>
    </row>
    <row r="8576">
      <c r="A8576" s="41" t="str">
        <f>IFERROR(__xludf.DUMMYFUNCTION("""COMPUTED_VALUE"""),"RSC008619")</f>
        <v>RSC008619</v>
      </c>
      <c r="B8576" s="41" t="str">
        <f>IFERROR(__xludf.DUMMYFUNCTION("""COMPUTED_VALUE"""),"Dillboss123yt")</f>
        <v>Dillboss123yt</v>
      </c>
    </row>
    <row r="8577">
      <c r="A8577" s="41" t="str">
        <f>IFERROR(__xludf.DUMMYFUNCTION("""COMPUTED_VALUE"""),"RSC008620")</f>
        <v>RSC008620</v>
      </c>
      <c r="B8577" s="41" t="str">
        <f>IFERROR(__xludf.DUMMYFUNCTION("""COMPUTED_VALUE"""),"RushOne")</f>
        <v>RushOne</v>
      </c>
    </row>
    <row r="8578">
      <c r="A8578" s="41" t="str">
        <f>IFERROR(__xludf.DUMMYFUNCTION("""COMPUTED_VALUE"""),"RSC008621")</f>
        <v>RSC008621</v>
      </c>
      <c r="B8578" s="41" t="str">
        <f>IFERROR(__xludf.DUMMYFUNCTION("""COMPUTED_VALUE"""),"Casinokid24")</f>
        <v>Casinokid24</v>
      </c>
    </row>
    <row r="8579">
      <c r="A8579" s="41" t="str">
        <f>IFERROR(__xludf.DUMMYFUNCTION("""COMPUTED_VALUE"""),"RSC008622")</f>
        <v>RSC008622</v>
      </c>
      <c r="B8579" s="41" t="str">
        <f>IFERROR(__xludf.DUMMYFUNCTION("""COMPUTED_VALUE"""),"Yoeky")</f>
        <v>Yoeky</v>
      </c>
    </row>
    <row r="8580">
      <c r="A8580" s="41" t="str">
        <f>IFERROR(__xludf.DUMMYFUNCTION("""COMPUTED_VALUE"""),"RSC008623")</f>
        <v>RSC008623</v>
      </c>
      <c r="B8580" s="41" t="str">
        <f>IFERROR(__xludf.DUMMYFUNCTION("""COMPUTED_VALUE"""),"EaglePlaysRL")</f>
        <v>EaglePlaysRL</v>
      </c>
    </row>
    <row r="8581">
      <c r="A8581" s="41" t="str">
        <f>IFERROR(__xludf.DUMMYFUNCTION("""COMPUTED_VALUE"""),"RSC008624")</f>
        <v>RSC008624</v>
      </c>
      <c r="B8581" s="41" t="str">
        <f>IFERROR(__xludf.DUMMYFUNCTION("""COMPUTED_VALUE"""),"DARK Phantom573")</f>
        <v>DARK Phantom573</v>
      </c>
    </row>
    <row r="8582">
      <c r="A8582" s="41" t="str">
        <f>IFERROR(__xludf.DUMMYFUNCTION("""COMPUTED_VALUE"""),"RSC008625")</f>
        <v>RSC008625</v>
      </c>
      <c r="B8582" s="41" t="str">
        <f>IFERROR(__xludf.DUMMYFUNCTION("""COMPUTED_VALUE"""),"Beserkerfan")</f>
        <v>Beserkerfan</v>
      </c>
    </row>
    <row r="8583">
      <c r="A8583" s="41" t="str">
        <f>IFERROR(__xludf.DUMMYFUNCTION("""COMPUTED_VALUE"""),"RSC008626")</f>
        <v>RSC008626</v>
      </c>
      <c r="B8583" s="41" t="str">
        <f>IFERROR(__xludf.DUMMYFUNCTION("""COMPUTED_VALUE"""),"Live Ttv.Tevikks")</f>
        <v>Live Ttv.Tevikks</v>
      </c>
    </row>
    <row r="8584">
      <c r="A8584" s="41" t="str">
        <f>IFERROR(__xludf.DUMMYFUNCTION("""COMPUTED_VALUE"""),"RSC008627")</f>
        <v>RSC008627</v>
      </c>
      <c r="B8584" s="41" t="str">
        <f>IFERROR(__xludf.DUMMYFUNCTION("""COMPUTED_VALUE"""),"tire")</f>
        <v>tire</v>
      </c>
    </row>
    <row r="8585">
      <c r="A8585" s="41" t="str">
        <f>IFERROR(__xludf.DUMMYFUNCTION("""COMPUTED_VALUE"""),"RSC008628")</f>
        <v>RSC008628</v>
      </c>
      <c r="B8585" s="41" t="str">
        <f>IFERROR(__xludf.DUMMYFUNCTION("""COMPUTED_VALUE"""),"CrownOfThornsJC")</f>
        <v>CrownOfThornsJC</v>
      </c>
    </row>
    <row r="8586">
      <c r="A8586" s="41" t="str">
        <f>IFERROR(__xludf.DUMMYFUNCTION("""COMPUTED_VALUE"""),"RSC008629")</f>
        <v>RSC008629</v>
      </c>
      <c r="B8586" s="41" t="str">
        <f>IFERROR(__xludf.DUMMYFUNCTION("""COMPUTED_VALUE"""),"KimJongGoon22")</f>
        <v>KimJongGoon22</v>
      </c>
    </row>
    <row r="8587">
      <c r="A8587" s="41" t="str">
        <f>IFERROR(__xludf.DUMMYFUNCTION("""COMPUTED_VALUE"""),"RSC008630")</f>
        <v>RSC008630</v>
      </c>
      <c r="B8587" s="41" t="str">
        <f>IFERROR(__xludf.DUMMYFUNCTION("""COMPUTED_VALUE"""),"ProllyLosinMMRrn")</f>
        <v>ProllyLosinMMRrn</v>
      </c>
    </row>
    <row r="8588">
      <c r="A8588" s="41" t="str">
        <f>IFERROR(__xludf.DUMMYFUNCTION("""COMPUTED_VALUE"""),"RSC008631")</f>
        <v>RSC008631</v>
      </c>
      <c r="B8588" s="41" t="str">
        <f>IFERROR(__xludf.DUMMYFUNCTION("""COMPUTED_VALUE"""),"jnthn rl")</f>
        <v>jnthn rl</v>
      </c>
    </row>
    <row r="8589">
      <c r="A8589" s="41" t="str">
        <f>IFERROR(__xludf.DUMMYFUNCTION("""COMPUTED_VALUE"""),"RSC008632")</f>
        <v>RSC008632</v>
      </c>
      <c r="B8589" s="41" t="str">
        <f>IFERROR(__xludf.DUMMYFUNCTION("""COMPUTED_VALUE"""),"crisis")</f>
        <v>crisis</v>
      </c>
    </row>
    <row r="8590">
      <c r="A8590" s="41" t="str">
        <f>IFERROR(__xludf.DUMMYFUNCTION("""COMPUTED_VALUE"""),"RSC008633")</f>
        <v>RSC008633</v>
      </c>
      <c r="B8590" s="41" t="str">
        <f>IFERROR(__xludf.DUMMYFUNCTION("""COMPUTED_VALUE"""),"Vejas.")</f>
        <v>Vejas.</v>
      </c>
    </row>
    <row r="8591">
      <c r="A8591" s="41" t="str">
        <f>IFERROR(__xludf.DUMMYFUNCTION("""COMPUTED_VALUE"""),"RSC008634")</f>
        <v>RSC008634</v>
      </c>
      <c r="B8591" s="41" t="str">
        <f>IFERROR(__xludf.DUMMYFUNCTION("""COMPUTED_VALUE"""),"LEUMYY")</f>
        <v>LEUMYY</v>
      </c>
    </row>
    <row r="8592">
      <c r="A8592" s="41" t="str">
        <f>IFERROR(__xludf.DUMMYFUNCTION("""COMPUTED_VALUE"""),"RSC008635")</f>
        <v>RSC008635</v>
      </c>
      <c r="B8592" s="41" t="str">
        <f>IFERROR(__xludf.DUMMYFUNCTION("""COMPUTED_VALUE"""),"Bpxn23")</f>
        <v>Bpxn23</v>
      </c>
    </row>
    <row r="8593">
      <c r="A8593" s="41" t="str">
        <f>IFERROR(__xludf.DUMMYFUNCTION("""COMPUTED_VALUE"""),"RSC008636")</f>
        <v>RSC008636</v>
      </c>
      <c r="B8593" s="41" t="str">
        <f>IFERROR(__xludf.DUMMYFUNCTION("""COMPUTED_VALUE"""),"St3wyッ")</f>
        <v>St3wyッ</v>
      </c>
    </row>
    <row r="8594">
      <c r="A8594" s="41" t="str">
        <f>IFERROR(__xludf.DUMMYFUNCTION("""COMPUTED_VALUE"""),"RSC008637")</f>
        <v>RSC008637</v>
      </c>
      <c r="B8594" s="41" t="str">
        <f>IFERROR(__xludf.DUMMYFUNCTION("""COMPUTED_VALUE"""),"Mintzy_")</f>
        <v>Mintzy_</v>
      </c>
    </row>
    <row r="8595">
      <c r="A8595" s="41" t="str">
        <f>IFERROR(__xludf.DUMMYFUNCTION("""COMPUTED_VALUE"""),"RSC008638")</f>
        <v>RSC008638</v>
      </c>
      <c r="B8595" s="41" t="str">
        <f>IFERROR(__xludf.DUMMYFUNCTION("""COMPUTED_VALUE"""),"precons")</f>
        <v>precons</v>
      </c>
    </row>
    <row r="8596">
      <c r="A8596" s="41" t="str">
        <f>IFERROR(__xludf.DUMMYFUNCTION("""COMPUTED_VALUE"""),"RSC008639")</f>
        <v>RSC008639</v>
      </c>
      <c r="B8596" s="41" t="str">
        <f>IFERROR(__xludf.DUMMYFUNCTION("""COMPUTED_VALUE"""),"Yabolicious")</f>
        <v>Yabolicious</v>
      </c>
    </row>
    <row r="8597">
      <c r="A8597" s="41" t="str">
        <f>IFERROR(__xludf.DUMMYFUNCTION("""COMPUTED_VALUE"""),"RSC008640")</f>
        <v>RSC008640</v>
      </c>
      <c r="B8597" s="41" t="str">
        <f>IFERROR(__xludf.DUMMYFUNCTION("""COMPUTED_VALUE"""),"Giltch3dd")</f>
        <v>Giltch3dd</v>
      </c>
    </row>
    <row r="8598">
      <c r="A8598" s="41" t="str">
        <f>IFERROR(__xludf.DUMMYFUNCTION("""COMPUTED_VALUE"""),"RSC008641")</f>
        <v>RSC008641</v>
      </c>
      <c r="B8598" s="41" t="str">
        <f>IFERROR(__xludf.DUMMYFUNCTION("""COMPUTED_VALUE"""),"BowlerBigT")</f>
        <v>BowlerBigT</v>
      </c>
    </row>
    <row r="8599">
      <c r="A8599" s="41" t="str">
        <f>IFERROR(__xludf.DUMMYFUNCTION("""COMPUTED_VALUE"""),"RSC008642")</f>
        <v>RSC008642</v>
      </c>
      <c r="B8599" s="41" t="str">
        <f>IFERROR(__xludf.DUMMYFUNCTION("""COMPUTED_VALUE"""),"Cletis45")</f>
        <v>Cletis45</v>
      </c>
    </row>
    <row r="8600">
      <c r="A8600" s="41" t="str">
        <f>IFERROR(__xludf.DUMMYFUNCTION("""COMPUTED_VALUE"""),"RSC008643")</f>
        <v>RSC008643</v>
      </c>
      <c r="B8600" s="41" t="str">
        <f>IFERROR(__xludf.DUMMYFUNCTION("""COMPUTED_VALUE"""),"Carbon.-")</f>
        <v>Carbon.-</v>
      </c>
    </row>
    <row r="8601">
      <c r="A8601" s="41" t="str">
        <f>IFERROR(__xludf.DUMMYFUNCTION("""COMPUTED_VALUE"""),"RSC008644")</f>
        <v>RSC008644</v>
      </c>
      <c r="B8601" s="41" t="str">
        <f>IFERROR(__xludf.DUMMYFUNCTION("""COMPUTED_VALUE"""),"bigbodybenss")</f>
        <v>bigbodybenss</v>
      </c>
    </row>
    <row r="8602">
      <c r="A8602" s="41" t="str">
        <f>IFERROR(__xludf.DUMMYFUNCTION("""COMPUTED_VALUE"""),"RSC008645")</f>
        <v>RSC008645</v>
      </c>
      <c r="B8602" s="41" t="str">
        <f>IFERROR(__xludf.DUMMYFUNCTION("""COMPUTED_VALUE"""),"Honey pPacket")</f>
        <v>Honey pPacket</v>
      </c>
    </row>
    <row r="8603">
      <c r="A8603" s="41" t="str">
        <f>IFERROR(__xludf.DUMMYFUNCTION("""COMPUTED_VALUE"""),"RSC008646")</f>
        <v>RSC008646</v>
      </c>
      <c r="B8603" s="41" t="str">
        <f>IFERROR(__xludf.DUMMYFUNCTION("""COMPUTED_VALUE"""),"LuckyMcPanda")</f>
        <v>LuckyMcPanda</v>
      </c>
    </row>
    <row r="8604">
      <c r="A8604" s="41" t="str">
        <f>IFERROR(__xludf.DUMMYFUNCTION("""COMPUTED_VALUE"""),"RSC008647")</f>
        <v>RSC008647</v>
      </c>
      <c r="B8604" s="41" t="str">
        <f>IFERROR(__xludf.DUMMYFUNCTION("""COMPUTED_VALUE"""),"BlackoutWulsey")</f>
        <v>BlackoutWulsey</v>
      </c>
    </row>
    <row r="8605">
      <c r="A8605" s="41" t="str">
        <f>IFERROR(__xludf.DUMMYFUNCTION("""COMPUTED_VALUE"""),"RSC008648")</f>
        <v>RSC008648</v>
      </c>
      <c r="B8605" s="41" t="str">
        <f>IFERROR(__xludf.DUMMYFUNCTION("""COMPUTED_VALUE"""),"xcami4")</f>
        <v>xcami4</v>
      </c>
    </row>
    <row r="8606">
      <c r="A8606" s="41" t="str">
        <f>IFERROR(__xludf.DUMMYFUNCTION("""COMPUTED_VALUE"""),"RSC008649")</f>
        <v>RSC008649</v>
      </c>
      <c r="B8606" s="41" t="str">
        <f>IFERROR(__xludf.DUMMYFUNCTION("""COMPUTED_VALUE"""),"Wettham0906")</f>
        <v>Wettham0906</v>
      </c>
    </row>
    <row r="8607">
      <c r="A8607" s="41" t="str">
        <f>IFERROR(__xludf.DUMMYFUNCTION("""COMPUTED_VALUE"""),"RSC008650")</f>
        <v>RSC008650</v>
      </c>
      <c r="B8607" s="41" t="str">
        <f>IFERROR(__xludf.DUMMYFUNCTION("""COMPUTED_VALUE"""),"Pizza Flavored")</f>
        <v>Pizza Flavored</v>
      </c>
    </row>
    <row r="8608">
      <c r="A8608" s="41" t="str">
        <f>IFERROR(__xludf.DUMMYFUNCTION("""COMPUTED_VALUE"""),"RSC008651")</f>
        <v>RSC008651</v>
      </c>
      <c r="B8608" s="41" t="str">
        <f>IFERROR(__xludf.DUMMYFUNCTION("""COMPUTED_VALUE"""),"DefDigit")</f>
        <v>DefDigit</v>
      </c>
    </row>
    <row r="8609">
      <c r="A8609" s="41" t="str">
        <f>IFERROR(__xludf.DUMMYFUNCTION("""COMPUTED_VALUE"""),"RSC008652")</f>
        <v>RSC008652</v>
      </c>
      <c r="B8609" s="41" t="str">
        <f>IFERROR(__xludf.DUMMYFUNCTION("""COMPUTED_VALUE"""),"TTv2twisteda")</f>
        <v>TTv2twisteda</v>
      </c>
    </row>
    <row r="8610">
      <c r="A8610" s="41" t="str">
        <f>IFERROR(__xludf.DUMMYFUNCTION("""COMPUTED_VALUE"""),"RSC008653")</f>
        <v>RSC008653</v>
      </c>
      <c r="B8610" s="41" t="str">
        <f>IFERROR(__xludf.DUMMYFUNCTION("""COMPUTED_VALUE"""),"Ko.")</f>
        <v>Ko.</v>
      </c>
    </row>
    <row r="8611">
      <c r="A8611" s="41"/>
      <c r="B8611" s="41"/>
    </row>
    <row r="8612">
      <c r="A8612" s="41"/>
      <c r="B8612" s="41"/>
    </row>
    <row r="8613">
      <c r="A8613" s="41"/>
      <c r="B8613" s="41"/>
    </row>
    <row r="8614">
      <c r="A8614" s="41"/>
      <c r="B8614" s="41"/>
    </row>
    <row r="8615">
      <c r="A8615" s="41"/>
      <c r="B8615" s="41"/>
    </row>
    <row r="8616">
      <c r="A8616" s="41"/>
      <c r="B8616" s="41"/>
    </row>
    <row r="8617">
      <c r="A8617" s="41"/>
      <c r="B8617" s="41"/>
    </row>
    <row r="8618">
      <c r="A8618" s="41"/>
      <c r="B8618" s="41"/>
    </row>
    <row r="8619">
      <c r="A8619" s="41"/>
      <c r="B8619" s="41"/>
    </row>
    <row r="8620">
      <c r="A8620" s="41"/>
      <c r="B8620" s="41"/>
    </row>
    <row r="8621">
      <c r="A8621" s="41"/>
      <c r="B8621" s="41"/>
    </row>
    <row r="8622">
      <c r="A8622" s="41"/>
      <c r="B8622" s="41"/>
    </row>
    <row r="8623">
      <c r="A8623" s="41"/>
      <c r="B8623" s="41"/>
    </row>
    <row r="8624">
      <c r="A8624" s="41"/>
      <c r="B8624" s="41"/>
    </row>
    <row r="8625">
      <c r="A8625" s="41"/>
      <c r="B8625" s="41"/>
    </row>
    <row r="8626">
      <c r="A8626" s="41"/>
      <c r="B8626" s="41"/>
    </row>
    <row r="8627">
      <c r="A8627" s="41"/>
      <c r="B8627" s="41"/>
    </row>
    <row r="8628">
      <c r="A8628" s="41"/>
      <c r="B8628" s="41"/>
    </row>
    <row r="8629">
      <c r="A8629" s="41"/>
      <c r="B8629" s="41"/>
    </row>
    <row r="8630">
      <c r="A8630" s="41"/>
      <c r="B8630" s="41"/>
    </row>
    <row r="8631">
      <c r="A8631" s="41"/>
      <c r="B8631" s="41"/>
    </row>
    <row r="8632">
      <c r="A8632" s="41"/>
      <c r="B8632" s="41"/>
    </row>
    <row r="8633">
      <c r="A8633" s="41"/>
      <c r="B8633" s="41"/>
    </row>
    <row r="8634">
      <c r="A8634" s="41"/>
      <c r="B8634" s="41"/>
    </row>
    <row r="8635">
      <c r="A8635" s="41"/>
      <c r="B8635" s="41"/>
    </row>
    <row r="8636">
      <c r="A8636" s="41"/>
      <c r="B8636" s="41"/>
    </row>
    <row r="8637">
      <c r="A8637" s="41"/>
      <c r="B8637" s="41"/>
    </row>
    <row r="8638">
      <c r="A8638" s="41"/>
      <c r="B8638" s="41"/>
    </row>
    <row r="8639">
      <c r="A8639" s="41"/>
      <c r="B8639" s="41"/>
    </row>
    <row r="8640">
      <c r="A8640" s="41"/>
      <c r="B8640" s="41"/>
    </row>
    <row r="8641">
      <c r="A8641" s="41"/>
      <c r="B8641" s="41"/>
    </row>
    <row r="8642">
      <c r="A8642" s="41"/>
      <c r="B8642" s="41"/>
    </row>
    <row r="8643">
      <c r="A8643" s="41"/>
      <c r="B8643" s="41"/>
    </row>
    <row r="8644">
      <c r="A8644" s="41"/>
      <c r="B8644" s="41"/>
    </row>
    <row r="8645">
      <c r="A8645" s="41"/>
      <c r="B8645" s="41"/>
    </row>
    <row r="8646">
      <c r="A8646" s="41"/>
      <c r="B8646" s="41"/>
    </row>
    <row r="8647">
      <c r="A8647" s="41"/>
      <c r="B8647" s="41"/>
    </row>
    <row r="8648">
      <c r="A8648" s="41"/>
      <c r="B8648" s="41"/>
    </row>
    <row r="8649">
      <c r="A8649" s="41"/>
      <c r="B8649" s="41"/>
    </row>
    <row r="8650">
      <c r="A8650" s="41"/>
      <c r="B8650" s="41"/>
    </row>
    <row r="8651">
      <c r="A8651" s="41"/>
      <c r="B8651" s="41"/>
    </row>
    <row r="8652">
      <c r="A8652" s="41"/>
      <c r="B8652" s="41"/>
    </row>
    <row r="8653">
      <c r="A8653" s="41"/>
      <c r="B8653" s="41"/>
    </row>
    <row r="8654">
      <c r="A8654" s="41"/>
      <c r="B8654" s="41"/>
    </row>
    <row r="8655">
      <c r="A8655" s="41"/>
      <c r="B8655" s="41"/>
    </row>
    <row r="8656">
      <c r="A8656" s="41"/>
      <c r="B8656" s="41"/>
    </row>
    <row r="8657">
      <c r="A8657" s="41"/>
      <c r="B8657" s="41"/>
    </row>
    <row r="8658">
      <c r="A8658" s="41"/>
      <c r="B8658" s="41"/>
    </row>
    <row r="8659">
      <c r="A8659" s="41"/>
      <c r="B8659" s="41"/>
    </row>
    <row r="8660">
      <c r="A8660" s="41"/>
      <c r="B8660" s="41"/>
    </row>
    <row r="8661">
      <c r="A8661" s="41"/>
      <c r="B8661" s="41"/>
    </row>
    <row r="8662">
      <c r="A8662" s="41"/>
      <c r="B8662" s="41"/>
    </row>
    <row r="8663">
      <c r="A8663" s="41"/>
      <c r="B8663" s="41"/>
    </row>
    <row r="8664">
      <c r="A8664" s="41"/>
      <c r="B8664" s="41"/>
    </row>
    <row r="8665">
      <c r="A8665" s="41"/>
      <c r="B8665" s="41"/>
    </row>
    <row r="8666">
      <c r="A8666" s="41"/>
      <c r="B8666" s="41"/>
    </row>
    <row r="8667">
      <c r="A8667" s="41"/>
      <c r="B8667" s="41"/>
    </row>
    <row r="8668">
      <c r="A8668" s="41"/>
      <c r="B8668" s="41"/>
    </row>
    <row r="8669">
      <c r="A8669" s="41"/>
      <c r="B8669" s="41"/>
    </row>
    <row r="8670">
      <c r="A8670" s="41"/>
      <c r="B8670" s="41"/>
    </row>
    <row r="8671">
      <c r="A8671" s="41"/>
      <c r="B8671" s="41"/>
    </row>
    <row r="8672">
      <c r="A8672" s="41"/>
      <c r="B8672" s="41"/>
    </row>
    <row r="8673">
      <c r="A8673" s="41"/>
      <c r="B8673" s="41"/>
    </row>
    <row r="8674">
      <c r="A8674" s="41"/>
      <c r="B8674" s="41"/>
    </row>
    <row r="8675">
      <c r="A8675" s="41"/>
      <c r="B8675" s="41"/>
    </row>
    <row r="8676">
      <c r="A8676" s="41"/>
      <c r="B8676" s="41"/>
    </row>
    <row r="8677">
      <c r="A8677" s="41"/>
      <c r="B8677" s="41"/>
    </row>
    <row r="8678">
      <c r="A8678" s="41"/>
      <c r="B8678" s="41"/>
    </row>
    <row r="8679">
      <c r="A8679" s="41"/>
      <c r="B8679" s="41"/>
    </row>
    <row r="8680">
      <c r="A8680" s="41"/>
      <c r="B8680" s="41"/>
    </row>
    <row r="8681">
      <c r="A8681" s="41"/>
      <c r="B8681" s="41"/>
    </row>
    <row r="8682">
      <c r="A8682" s="41"/>
      <c r="B8682" s="41"/>
    </row>
    <row r="8683">
      <c r="A8683" s="41"/>
      <c r="B8683" s="41"/>
    </row>
    <row r="8684">
      <c r="A8684" s="41"/>
      <c r="B8684" s="41"/>
    </row>
    <row r="8685">
      <c r="A8685" s="41"/>
      <c r="B8685" s="41"/>
    </row>
    <row r="8686">
      <c r="A8686" s="41"/>
      <c r="B8686" s="41"/>
    </row>
    <row r="8687">
      <c r="A8687" s="41"/>
      <c r="B8687" s="41"/>
    </row>
    <row r="8688">
      <c r="A8688" s="41"/>
      <c r="B8688" s="41"/>
    </row>
    <row r="8689">
      <c r="A8689" s="41"/>
      <c r="B8689" s="41"/>
    </row>
    <row r="8690">
      <c r="A8690" s="41"/>
      <c r="B8690" s="41"/>
    </row>
    <row r="8691">
      <c r="A8691" s="41"/>
      <c r="B8691" s="41"/>
    </row>
    <row r="8692">
      <c r="A8692" s="41"/>
      <c r="B8692" s="41"/>
    </row>
    <row r="8693">
      <c r="A8693" s="41"/>
      <c r="B8693" s="41"/>
    </row>
    <row r="8694">
      <c r="A8694" s="41"/>
      <c r="B8694" s="41"/>
    </row>
    <row r="8695">
      <c r="A8695" s="41"/>
      <c r="B8695" s="41"/>
    </row>
    <row r="8696">
      <c r="A8696" s="41"/>
      <c r="B8696" s="41"/>
    </row>
    <row r="8697">
      <c r="A8697" s="41"/>
      <c r="B8697" s="41"/>
    </row>
    <row r="8698">
      <c r="A8698" s="41"/>
      <c r="B8698" s="41"/>
    </row>
    <row r="8699">
      <c r="A8699" s="41"/>
      <c r="B8699" s="41"/>
    </row>
    <row r="8700">
      <c r="A8700" s="41"/>
      <c r="B8700" s="41"/>
    </row>
    <row r="8701">
      <c r="A8701" s="41"/>
      <c r="B8701" s="41"/>
    </row>
    <row r="8702">
      <c r="A8702" s="41"/>
      <c r="B8702" s="41"/>
    </row>
    <row r="8703">
      <c r="A8703" s="41"/>
      <c r="B8703" s="41"/>
    </row>
    <row r="8704">
      <c r="A8704" s="41"/>
      <c r="B8704" s="41"/>
    </row>
    <row r="8705">
      <c r="A8705" s="41"/>
      <c r="B8705" s="41"/>
    </row>
    <row r="8706">
      <c r="A8706" s="41"/>
      <c r="B8706" s="41"/>
    </row>
    <row r="8707">
      <c r="A8707" s="41"/>
      <c r="B8707" s="41"/>
    </row>
    <row r="8708">
      <c r="A8708" s="41"/>
      <c r="B8708" s="41"/>
    </row>
    <row r="8709">
      <c r="A8709" s="41"/>
      <c r="B8709" s="41"/>
    </row>
    <row r="8710">
      <c r="A8710" s="41"/>
      <c r="B8710" s="41"/>
    </row>
    <row r="8711">
      <c r="A8711" s="41"/>
      <c r="B8711" s="41"/>
    </row>
    <row r="8712">
      <c r="A8712" s="41"/>
      <c r="B8712" s="41"/>
    </row>
    <row r="8713">
      <c r="A8713" s="41"/>
      <c r="B8713" s="41"/>
    </row>
    <row r="8714">
      <c r="A8714" s="41"/>
      <c r="B8714" s="41"/>
    </row>
    <row r="8715">
      <c r="A8715" s="41"/>
      <c r="B8715" s="41"/>
    </row>
    <row r="8716">
      <c r="A8716" s="41"/>
      <c r="B8716" s="41"/>
    </row>
    <row r="8717">
      <c r="A8717" s="41"/>
      <c r="B8717" s="41"/>
    </row>
    <row r="8718">
      <c r="A8718" s="41"/>
      <c r="B8718" s="41"/>
    </row>
    <row r="8719">
      <c r="A8719" s="41"/>
      <c r="B8719" s="41"/>
    </row>
    <row r="8720">
      <c r="A8720" s="41"/>
      <c r="B8720" s="41"/>
    </row>
    <row r="8721">
      <c r="A8721" s="41"/>
      <c r="B8721" s="41"/>
    </row>
    <row r="8722">
      <c r="A8722" s="41"/>
      <c r="B8722" s="41"/>
    </row>
    <row r="8723">
      <c r="A8723" s="41"/>
      <c r="B8723" s="41"/>
    </row>
    <row r="8724">
      <c r="A8724" s="41"/>
      <c r="B8724" s="41"/>
    </row>
    <row r="8725">
      <c r="A8725" s="41"/>
      <c r="B8725" s="41"/>
    </row>
    <row r="8726">
      <c r="A8726" s="41"/>
      <c r="B8726" s="41"/>
    </row>
    <row r="8727">
      <c r="A8727" s="41"/>
      <c r="B8727" s="41"/>
    </row>
    <row r="8728">
      <c r="A8728" s="41"/>
      <c r="B8728" s="41"/>
    </row>
    <row r="8729">
      <c r="A8729" s="41"/>
      <c r="B8729" s="41"/>
    </row>
    <row r="8730">
      <c r="A8730" s="41"/>
      <c r="B8730" s="41"/>
    </row>
    <row r="8731">
      <c r="A8731" s="41"/>
      <c r="B8731" s="41"/>
    </row>
    <row r="8732">
      <c r="A8732" s="41"/>
      <c r="B8732" s="41"/>
    </row>
    <row r="8733">
      <c r="A8733" s="41"/>
      <c r="B8733" s="41"/>
    </row>
    <row r="8734">
      <c r="A8734" s="41"/>
      <c r="B8734" s="41"/>
    </row>
    <row r="8735">
      <c r="A8735" s="41"/>
      <c r="B8735" s="41"/>
    </row>
    <row r="8736">
      <c r="A8736" s="41"/>
      <c r="B8736" s="41"/>
    </row>
    <row r="8737">
      <c r="A8737" s="41"/>
      <c r="B8737" s="41"/>
    </row>
    <row r="8738">
      <c r="A8738" s="41"/>
      <c r="B8738" s="41"/>
    </row>
    <row r="8739">
      <c r="A8739" s="41"/>
      <c r="B8739" s="41"/>
    </row>
    <row r="8740">
      <c r="A8740" s="41"/>
      <c r="B8740" s="41"/>
    </row>
    <row r="8741">
      <c r="A8741" s="41"/>
      <c r="B8741" s="41"/>
    </row>
    <row r="8742">
      <c r="A8742" s="41"/>
      <c r="B8742" s="41"/>
    </row>
    <row r="8743">
      <c r="A8743" s="41"/>
      <c r="B8743" s="41"/>
    </row>
    <row r="8744">
      <c r="A8744" s="41"/>
      <c r="B8744" s="41"/>
    </row>
    <row r="8745">
      <c r="A8745" s="41"/>
      <c r="B8745" s="41"/>
    </row>
    <row r="8746">
      <c r="A8746" s="41"/>
      <c r="B8746" s="41"/>
    </row>
    <row r="8747">
      <c r="A8747" s="41"/>
      <c r="B8747" s="41"/>
    </row>
    <row r="8748">
      <c r="A8748" s="41"/>
      <c r="B8748" s="41"/>
    </row>
    <row r="8749">
      <c r="A8749" s="41"/>
      <c r="B8749" s="41"/>
    </row>
    <row r="8750">
      <c r="A8750" s="41"/>
      <c r="B8750" s="41"/>
    </row>
    <row r="8751">
      <c r="A8751" s="41"/>
      <c r="B8751" s="41"/>
    </row>
    <row r="8752">
      <c r="A8752" s="41"/>
      <c r="B8752" s="41"/>
    </row>
    <row r="8753">
      <c r="A8753" s="41"/>
      <c r="B8753" s="41"/>
    </row>
    <row r="8754">
      <c r="A8754" s="41"/>
      <c r="B8754" s="41"/>
    </row>
    <row r="8755">
      <c r="A8755" s="41"/>
      <c r="B8755" s="41"/>
    </row>
    <row r="8756">
      <c r="A8756" s="41"/>
      <c r="B8756" s="41"/>
    </row>
    <row r="8757">
      <c r="A8757" s="41"/>
      <c r="B8757" s="41"/>
    </row>
    <row r="8758">
      <c r="A8758" s="41"/>
      <c r="B8758" s="41"/>
    </row>
    <row r="8759">
      <c r="A8759" s="41"/>
      <c r="B8759" s="41"/>
    </row>
    <row r="8760">
      <c r="A8760" s="41"/>
      <c r="B8760" s="41"/>
    </row>
    <row r="8761">
      <c r="A8761" s="41"/>
      <c r="B8761" s="41"/>
    </row>
    <row r="8762">
      <c r="A8762" s="41"/>
      <c r="B8762" s="41"/>
    </row>
    <row r="8763">
      <c r="A8763" s="41"/>
      <c r="B8763" s="41"/>
    </row>
    <row r="8764">
      <c r="A8764" s="41"/>
      <c r="B8764" s="41"/>
    </row>
    <row r="8765">
      <c r="A8765" s="41"/>
      <c r="B8765" s="41"/>
    </row>
    <row r="8766">
      <c r="A8766" s="41"/>
      <c r="B8766" s="41"/>
    </row>
    <row r="8767">
      <c r="A8767" s="41"/>
      <c r="B8767" s="41"/>
    </row>
    <row r="8768">
      <c r="A8768" s="41"/>
      <c r="B8768" s="41"/>
    </row>
    <row r="8769">
      <c r="A8769" s="41"/>
      <c r="B8769" s="41"/>
    </row>
    <row r="8770">
      <c r="A8770" s="41"/>
      <c r="B8770" s="41"/>
    </row>
    <row r="8771">
      <c r="A8771" s="41"/>
      <c r="B8771" s="41"/>
    </row>
    <row r="8772">
      <c r="A8772" s="41"/>
      <c r="B8772" s="41"/>
    </row>
    <row r="8773">
      <c r="A8773" s="41"/>
      <c r="B8773" s="41"/>
    </row>
    <row r="8774">
      <c r="A8774" s="41"/>
      <c r="B8774" s="41"/>
    </row>
    <row r="8775">
      <c r="A8775" s="41"/>
      <c r="B8775" s="41"/>
    </row>
    <row r="8776">
      <c r="A8776" s="41"/>
      <c r="B8776" s="41"/>
    </row>
    <row r="8777">
      <c r="A8777" s="41"/>
      <c r="B8777" s="41"/>
    </row>
    <row r="8778">
      <c r="A8778" s="41"/>
      <c r="B8778" s="41"/>
    </row>
    <row r="8779">
      <c r="A8779" s="41"/>
      <c r="B8779" s="41"/>
    </row>
    <row r="8780">
      <c r="A8780" s="41"/>
      <c r="B8780" s="41"/>
    </row>
    <row r="8781">
      <c r="A8781" s="41"/>
      <c r="B8781" s="41"/>
    </row>
    <row r="8782">
      <c r="A8782" s="41"/>
      <c r="B8782" s="41"/>
    </row>
    <row r="8783">
      <c r="A8783" s="41"/>
      <c r="B8783" s="41"/>
    </row>
    <row r="8784">
      <c r="A8784" s="41"/>
      <c r="B8784" s="41"/>
    </row>
    <row r="8785">
      <c r="A8785" s="41"/>
      <c r="B8785" s="41"/>
    </row>
    <row r="8786">
      <c r="A8786" s="41"/>
      <c r="B8786" s="41"/>
    </row>
    <row r="8787">
      <c r="A8787" s="41"/>
      <c r="B8787" s="41"/>
    </row>
    <row r="8788">
      <c r="A8788" s="41"/>
      <c r="B8788" s="41"/>
    </row>
    <row r="8789">
      <c r="A8789" s="41"/>
      <c r="B8789" s="41"/>
    </row>
    <row r="8790">
      <c r="A8790" s="41"/>
      <c r="B8790" s="41"/>
    </row>
    <row r="8791">
      <c r="A8791" s="41"/>
      <c r="B8791" s="41"/>
    </row>
    <row r="8792">
      <c r="A8792" s="41"/>
      <c r="B8792" s="41"/>
    </row>
    <row r="8793">
      <c r="A8793" s="41"/>
      <c r="B8793" s="41"/>
    </row>
    <row r="8794">
      <c r="A8794" s="41"/>
      <c r="B8794" s="41"/>
    </row>
    <row r="8795">
      <c r="A8795" s="41"/>
      <c r="B8795" s="41"/>
    </row>
    <row r="8796">
      <c r="A8796" s="41"/>
      <c r="B8796" s="41"/>
    </row>
    <row r="8797">
      <c r="A8797" s="41"/>
      <c r="B8797" s="41"/>
    </row>
    <row r="8798">
      <c r="A8798" s="41"/>
      <c r="B8798" s="41"/>
    </row>
    <row r="8799">
      <c r="A8799" s="41"/>
      <c r="B8799" s="41"/>
    </row>
    <row r="8800">
      <c r="A8800" s="41"/>
      <c r="B8800" s="41"/>
    </row>
    <row r="8801">
      <c r="A8801" s="41"/>
      <c r="B8801" s="41"/>
    </row>
    <row r="8802">
      <c r="A8802" s="41"/>
      <c r="B8802" s="41"/>
    </row>
    <row r="8803">
      <c r="A8803" s="41"/>
      <c r="B8803" s="41"/>
    </row>
    <row r="8804">
      <c r="A8804" s="41"/>
      <c r="B8804" s="41"/>
    </row>
    <row r="8805">
      <c r="A8805" s="41"/>
      <c r="B8805" s="41"/>
    </row>
    <row r="8806">
      <c r="A8806" s="41"/>
      <c r="B8806" s="41"/>
    </row>
    <row r="8807">
      <c r="A8807" s="41"/>
      <c r="B8807" s="41"/>
    </row>
    <row r="8808">
      <c r="A8808" s="41"/>
      <c r="B8808" s="41"/>
    </row>
    <row r="8809">
      <c r="A8809" s="41"/>
      <c r="B8809" s="41"/>
    </row>
    <row r="8810">
      <c r="A8810" s="41"/>
      <c r="B8810" s="41"/>
    </row>
    <row r="8811">
      <c r="A8811" s="41"/>
      <c r="B8811" s="41"/>
    </row>
    <row r="8812">
      <c r="A8812" s="41"/>
      <c r="B8812" s="41"/>
    </row>
    <row r="8813">
      <c r="A8813" s="41"/>
      <c r="B8813" s="41"/>
    </row>
    <row r="8814">
      <c r="A8814" s="41"/>
      <c r="B8814" s="41"/>
    </row>
    <row r="8815">
      <c r="A8815" s="41"/>
      <c r="B8815" s="41"/>
    </row>
    <row r="8816">
      <c r="A8816" s="41"/>
      <c r="B8816" s="41"/>
    </row>
    <row r="8817">
      <c r="A8817" s="41"/>
      <c r="B8817" s="41"/>
    </row>
    <row r="8818">
      <c r="A8818" s="41"/>
      <c r="B8818" s="41"/>
    </row>
    <row r="8819">
      <c r="A8819" s="41"/>
      <c r="B8819" s="41"/>
    </row>
    <row r="8820">
      <c r="A8820" s="41"/>
      <c r="B8820" s="41"/>
    </row>
    <row r="8821">
      <c r="A8821" s="41"/>
      <c r="B8821" s="41"/>
    </row>
    <row r="8822">
      <c r="A8822" s="41"/>
      <c r="B8822" s="41"/>
    </row>
    <row r="8823">
      <c r="A8823" s="41"/>
      <c r="B8823" s="41"/>
    </row>
    <row r="8824">
      <c r="A8824" s="41"/>
      <c r="B8824" s="41"/>
    </row>
    <row r="8825">
      <c r="A8825" s="41"/>
      <c r="B8825" s="41"/>
    </row>
    <row r="8826">
      <c r="A8826" s="41"/>
      <c r="B8826" s="41"/>
    </row>
    <row r="8827">
      <c r="A8827" s="41"/>
      <c r="B8827" s="41"/>
    </row>
    <row r="8828">
      <c r="A8828" s="41"/>
      <c r="B8828" s="41"/>
    </row>
    <row r="8829">
      <c r="A8829" s="41"/>
      <c r="B8829" s="41"/>
    </row>
    <row r="8830">
      <c r="A8830" s="41"/>
      <c r="B8830" s="41"/>
    </row>
    <row r="8831">
      <c r="A8831" s="41"/>
      <c r="B8831" s="41"/>
    </row>
    <row r="8832">
      <c r="A8832" s="41"/>
      <c r="B8832" s="41"/>
    </row>
    <row r="8833">
      <c r="A8833" s="41"/>
      <c r="B8833" s="41"/>
    </row>
    <row r="8834">
      <c r="A8834" s="41"/>
      <c r="B8834" s="41"/>
    </row>
    <row r="8835">
      <c r="A8835" s="41"/>
      <c r="B8835" s="41"/>
    </row>
    <row r="8836">
      <c r="A8836" s="41"/>
      <c r="B8836" s="41"/>
    </row>
    <row r="8837">
      <c r="A8837" s="41"/>
      <c r="B8837" s="41"/>
    </row>
    <row r="8838">
      <c r="A8838" s="41"/>
      <c r="B8838" s="41"/>
    </row>
    <row r="8839">
      <c r="A8839" s="41"/>
      <c r="B8839" s="41"/>
    </row>
    <row r="8840">
      <c r="A8840" s="41"/>
      <c r="B8840" s="41"/>
    </row>
    <row r="8841">
      <c r="A8841" s="41"/>
      <c r="B8841" s="41"/>
    </row>
    <row r="8842">
      <c r="A8842" s="41"/>
      <c r="B8842" s="41"/>
    </row>
    <row r="8843">
      <c r="A8843" s="41"/>
      <c r="B8843" s="41"/>
    </row>
    <row r="8844">
      <c r="A8844" s="41"/>
      <c r="B8844" s="41"/>
    </row>
    <row r="8845">
      <c r="A8845" s="41"/>
      <c r="B8845" s="41"/>
    </row>
    <row r="8846">
      <c r="A8846" s="41"/>
      <c r="B8846" s="41"/>
    </row>
    <row r="8847">
      <c r="A8847" s="41"/>
      <c r="B8847" s="41"/>
    </row>
    <row r="8848">
      <c r="A8848" s="41"/>
      <c r="B8848" s="41"/>
    </row>
    <row r="8849">
      <c r="A8849" s="41"/>
      <c r="B8849" s="41"/>
    </row>
    <row r="8850">
      <c r="A8850" s="41"/>
      <c r="B8850" s="41"/>
    </row>
    <row r="8851">
      <c r="A8851" s="41"/>
      <c r="B8851" s="41"/>
    </row>
    <row r="8852">
      <c r="A8852" s="41"/>
      <c r="B8852" s="41"/>
    </row>
    <row r="8853">
      <c r="A8853" s="41"/>
      <c r="B8853" s="41"/>
    </row>
    <row r="8854">
      <c r="A8854" s="41"/>
      <c r="B8854" s="41"/>
    </row>
    <row r="8855">
      <c r="A8855" s="41"/>
      <c r="B8855" s="41"/>
    </row>
    <row r="8856">
      <c r="A8856" s="41"/>
      <c r="B8856" s="41"/>
    </row>
    <row r="8857">
      <c r="A8857" s="41"/>
      <c r="B8857" s="41"/>
    </row>
    <row r="8858">
      <c r="A8858" s="41"/>
      <c r="B8858" s="41"/>
    </row>
    <row r="8859">
      <c r="A8859" s="41"/>
      <c r="B8859" s="41"/>
    </row>
    <row r="8860">
      <c r="A8860" s="41"/>
      <c r="B8860" s="41"/>
    </row>
    <row r="8861">
      <c r="A8861" s="41"/>
      <c r="B8861" s="41"/>
    </row>
    <row r="8862">
      <c r="A8862" s="41"/>
      <c r="B8862" s="41"/>
    </row>
    <row r="8863">
      <c r="A8863" s="41"/>
      <c r="B8863" s="41"/>
    </row>
    <row r="8864">
      <c r="A8864" s="41"/>
      <c r="B8864" s="41"/>
    </row>
    <row r="8865">
      <c r="A8865" s="41"/>
      <c r="B8865" s="41"/>
    </row>
    <row r="8866">
      <c r="A8866" s="41"/>
      <c r="B8866" s="41"/>
    </row>
    <row r="8867">
      <c r="A8867" s="41"/>
      <c r="B8867" s="41"/>
    </row>
    <row r="8868">
      <c r="A8868" s="41"/>
      <c r="B8868" s="41"/>
    </row>
    <row r="8869">
      <c r="A8869" s="41"/>
      <c r="B8869" s="41"/>
    </row>
    <row r="8870">
      <c r="A8870" s="41"/>
      <c r="B8870" s="41"/>
    </row>
    <row r="8871">
      <c r="A8871" s="41"/>
      <c r="B8871" s="41"/>
    </row>
    <row r="8872">
      <c r="A8872" s="41"/>
      <c r="B8872" s="41"/>
    </row>
    <row r="8873">
      <c r="A8873" s="41"/>
      <c r="B8873" s="41"/>
    </row>
    <row r="8874">
      <c r="A8874" s="41"/>
      <c r="B8874" s="41"/>
    </row>
    <row r="8875">
      <c r="A8875" s="41"/>
      <c r="B8875" s="41"/>
    </row>
    <row r="8876">
      <c r="A8876" s="41"/>
      <c r="B8876" s="41"/>
    </row>
    <row r="8877">
      <c r="A8877" s="41"/>
      <c r="B8877" s="41"/>
    </row>
    <row r="8878">
      <c r="A8878" s="41"/>
      <c r="B8878" s="41"/>
    </row>
    <row r="8879">
      <c r="A8879" s="41"/>
      <c r="B8879" s="41"/>
    </row>
    <row r="8880">
      <c r="A8880" s="41"/>
      <c r="B8880" s="41"/>
    </row>
    <row r="8881">
      <c r="A8881" s="41"/>
      <c r="B8881" s="41"/>
    </row>
    <row r="8882">
      <c r="A8882" s="41"/>
      <c r="B8882" s="41"/>
    </row>
    <row r="8883">
      <c r="A8883" s="41"/>
      <c r="B8883" s="41"/>
    </row>
    <row r="8884">
      <c r="A8884" s="41"/>
      <c r="B8884" s="41"/>
    </row>
    <row r="8885">
      <c r="A8885" s="41"/>
      <c r="B8885" s="41"/>
    </row>
    <row r="8886">
      <c r="A8886" s="41"/>
      <c r="B8886" s="41"/>
    </row>
    <row r="8887">
      <c r="A8887" s="41"/>
      <c r="B8887" s="41"/>
    </row>
    <row r="8888">
      <c r="A8888" s="41"/>
      <c r="B8888" s="41"/>
    </row>
    <row r="8889">
      <c r="A8889" s="41"/>
      <c r="B8889" s="41"/>
    </row>
    <row r="8890">
      <c r="A8890" s="41"/>
      <c r="B8890" s="41"/>
    </row>
    <row r="8891">
      <c r="A8891" s="41"/>
      <c r="B8891" s="41"/>
    </row>
    <row r="8892">
      <c r="A8892" s="41"/>
      <c r="B8892" s="41"/>
    </row>
    <row r="8893">
      <c r="A8893" s="41"/>
      <c r="B8893" s="41"/>
    </row>
    <row r="8894">
      <c r="A8894" s="41"/>
      <c r="B8894" s="41"/>
    </row>
    <row r="8895">
      <c r="A8895" s="41"/>
      <c r="B8895" s="41"/>
    </row>
    <row r="8896">
      <c r="A8896" s="41"/>
      <c r="B8896" s="41"/>
    </row>
    <row r="8897">
      <c r="A8897" s="41"/>
      <c r="B8897" s="41"/>
    </row>
    <row r="8898">
      <c r="A8898" s="41"/>
      <c r="B8898" s="41"/>
    </row>
    <row r="8899">
      <c r="A8899" s="41"/>
      <c r="B8899" s="41"/>
    </row>
    <row r="8900">
      <c r="A8900" s="41"/>
      <c r="B8900" s="41"/>
    </row>
    <row r="8901">
      <c r="A8901" s="41"/>
      <c r="B8901" s="41"/>
    </row>
    <row r="8902">
      <c r="A8902" s="41"/>
      <c r="B8902" s="41"/>
    </row>
    <row r="8903">
      <c r="A8903" s="41"/>
      <c r="B8903" s="41"/>
    </row>
    <row r="8904">
      <c r="A8904" s="41"/>
      <c r="B8904" s="41"/>
    </row>
    <row r="8905">
      <c r="A8905" s="41"/>
      <c r="B8905" s="41"/>
    </row>
    <row r="8906">
      <c r="A8906" s="41"/>
      <c r="B8906" s="41"/>
    </row>
    <row r="8907">
      <c r="A8907" s="41"/>
      <c r="B8907" s="41"/>
    </row>
    <row r="8908">
      <c r="A8908" s="41"/>
      <c r="B8908" s="41"/>
    </row>
    <row r="8909">
      <c r="A8909" s="41"/>
      <c r="B8909" s="41"/>
    </row>
    <row r="8910">
      <c r="A8910" s="41"/>
      <c r="B8910" s="41"/>
    </row>
    <row r="8911">
      <c r="A8911" s="41"/>
      <c r="B8911" s="41"/>
    </row>
    <row r="8912">
      <c r="A8912" s="41"/>
      <c r="B8912" s="41"/>
    </row>
    <row r="8913">
      <c r="A8913" s="41"/>
      <c r="B8913" s="41"/>
    </row>
    <row r="8914">
      <c r="A8914" s="41"/>
      <c r="B8914" s="41"/>
    </row>
    <row r="8915">
      <c r="A8915" s="41"/>
      <c r="B8915" s="41"/>
    </row>
    <row r="8916">
      <c r="A8916" s="41"/>
      <c r="B8916" s="41"/>
    </row>
    <row r="8917">
      <c r="A8917" s="41"/>
      <c r="B8917" s="41"/>
    </row>
    <row r="8918">
      <c r="A8918" s="41"/>
      <c r="B8918" s="41"/>
    </row>
    <row r="8919">
      <c r="A8919" s="41"/>
      <c r="B8919" s="41"/>
    </row>
    <row r="8920">
      <c r="A8920" s="41"/>
      <c r="B8920" s="41"/>
    </row>
    <row r="8921">
      <c r="A8921" s="41"/>
      <c r="B8921" s="41"/>
    </row>
    <row r="8922">
      <c r="A8922" s="41"/>
      <c r="B8922" s="41"/>
    </row>
    <row r="8923">
      <c r="A8923" s="41"/>
      <c r="B8923" s="41"/>
    </row>
    <row r="8924">
      <c r="A8924" s="41"/>
      <c r="B8924" s="41"/>
    </row>
    <row r="8925">
      <c r="A8925" s="41"/>
      <c r="B8925" s="41"/>
    </row>
    <row r="8926">
      <c r="A8926" s="41"/>
      <c r="B8926" s="41"/>
    </row>
    <row r="8927">
      <c r="A8927" s="41"/>
      <c r="B8927" s="41"/>
    </row>
    <row r="8928">
      <c r="A8928" s="41"/>
      <c r="B8928" s="41"/>
    </row>
    <row r="8929">
      <c r="A8929" s="41"/>
      <c r="B8929" s="41"/>
    </row>
    <row r="8930">
      <c r="A8930" s="41"/>
      <c r="B8930" s="41"/>
    </row>
    <row r="8931">
      <c r="A8931" s="41"/>
      <c r="B8931" s="41"/>
    </row>
    <row r="8932">
      <c r="A8932" s="41"/>
      <c r="B8932" s="41"/>
    </row>
    <row r="8933">
      <c r="A8933" s="41"/>
      <c r="B8933" s="41"/>
    </row>
    <row r="8934">
      <c r="A8934" s="41"/>
      <c r="B8934" s="41"/>
    </row>
    <row r="8935">
      <c r="A8935" s="41"/>
      <c r="B8935" s="41"/>
    </row>
    <row r="8936">
      <c r="A8936" s="41"/>
      <c r="B8936" s="41"/>
    </row>
    <row r="8937">
      <c r="A8937" s="41"/>
      <c r="B8937" s="41"/>
    </row>
    <row r="8938">
      <c r="A8938" s="41"/>
      <c r="B8938" s="41"/>
    </row>
    <row r="8939">
      <c r="A8939" s="41"/>
      <c r="B8939" s="41"/>
    </row>
    <row r="8940">
      <c r="A8940" s="41"/>
      <c r="B8940" s="41"/>
    </row>
    <row r="8941">
      <c r="A8941" s="41"/>
      <c r="B8941" s="41"/>
    </row>
    <row r="8942">
      <c r="A8942" s="41"/>
      <c r="B8942" s="41"/>
    </row>
    <row r="8943">
      <c r="A8943" s="41"/>
      <c r="B8943" s="41"/>
    </row>
    <row r="8944">
      <c r="A8944" s="41"/>
      <c r="B8944" s="41"/>
    </row>
    <row r="8945">
      <c r="A8945" s="41"/>
      <c r="B8945" s="41"/>
    </row>
    <row r="8946">
      <c r="A8946" s="41"/>
      <c r="B8946" s="41"/>
    </row>
    <row r="8947">
      <c r="A8947" s="41"/>
      <c r="B8947" s="41"/>
    </row>
    <row r="8948">
      <c r="A8948" s="41"/>
      <c r="B8948" s="41"/>
    </row>
    <row r="8949">
      <c r="A8949" s="41"/>
      <c r="B8949" s="41"/>
    </row>
    <row r="8950">
      <c r="A8950" s="41"/>
      <c r="B8950" s="41"/>
    </row>
    <row r="8951">
      <c r="A8951" s="41"/>
      <c r="B8951" s="41"/>
    </row>
    <row r="8952">
      <c r="A8952" s="41"/>
      <c r="B8952" s="41"/>
    </row>
    <row r="8953">
      <c r="A8953" s="41"/>
      <c r="B8953" s="41"/>
    </row>
    <row r="8954">
      <c r="A8954" s="41"/>
      <c r="B8954" s="41"/>
    </row>
    <row r="8955">
      <c r="A8955" s="41"/>
      <c r="B8955" s="41"/>
    </row>
    <row r="8956">
      <c r="A8956" s="41"/>
      <c r="B8956" s="41"/>
    </row>
    <row r="8957">
      <c r="A8957" s="41"/>
      <c r="B8957" s="41"/>
    </row>
    <row r="8958">
      <c r="A8958" s="41"/>
      <c r="B8958" s="41"/>
    </row>
    <row r="8959">
      <c r="A8959" s="41"/>
      <c r="B8959" s="41"/>
    </row>
    <row r="8960">
      <c r="A8960" s="41"/>
      <c r="B8960" s="41"/>
    </row>
    <row r="8961">
      <c r="A8961" s="41"/>
      <c r="B8961" s="41"/>
    </row>
    <row r="8962">
      <c r="A8962" s="41"/>
      <c r="B8962" s="41"/>
    </row>
    <row r="8963">
      <c r="A8963" s="41"/>
      <c r="B8963" s="41"/>
    </row>
    <row r="8964">
      <c r="A8964" s="41"/>
      <c r="B8964" s="41"/>
    </row>
    <row r="8965">
      <c r="A8965" s="41"/>
      <c r="B8965" s="41"/>
    </row>
    <row r="8966">
      <c r="A8966" s="41"/>
      <c r="B8966" s="41"/>
    </row>
    <row r="8967">
      <c r="A8967" s="41"/>
      <c r="B8967" s="41"/>
    </row>
    <row r="8968">
      <c r="A8968" s="41"/>
      <c r="B8968" s="41"/>
    </row>
    <row r="8969">
      <c r="A8969" s="41"/>
      <c r="B8969" s="41"/>
    </row>
    <row r="8970">
      <c r="A8970" s="41"/>
      <c r="B8970" s="41"/>
    </row>
    <row r="8971">
      <c r="A8971" s="41"/>
      <c r="B8971" s="41"/>
    </row>
    <row r="8972">
      <c r="A8972" s="41"/>
      <c r="B8972" s="41"/>
    </row>
    <row r="8973">
      <c r="A8973" s="41"/>
      <c r="B8973" s="41"/>
    </row>
    <row r="8974">
      <c r="A8974" s="41"/>
      <c r="B8974" s="41"/>
    </row>
    <row r="8975">
      <c r="A8975" s="41"/>
      <c r="B8975" s="41"/>
    </row>
    <row r="8976">
      <c r="A8976" s="41"/>
      <c r="B8976" s="41"/>
    </row>
    <row r="8977">
      <c r="A8977" s="41"/>
      <c r="B8977" s="41"/>
    </row>
    <row r="8978">
      <c r="A8978" s="41"/>
      <c r="B8978" s="41"/>
    </row>
    <row r="8979">
      <c r="A8979" s="41"/>
      <c r="B8979" s="41"/>
    </row>
    <row r="8980">
      <c r="A8980" s="41"/>
      <c r="B8980" s="41"/>
    </row>
    <row r="8981">
      <c r="A8981" s="41"/>
      <c r="B8981" s="41"/>
    </row>
    <row r="8982">
      <c r="A8982" s="41"/>
      <c r="B8982" s="41"/>
    </row>
    <row r="8983">
      <c r="A8983" s="41"/>
      <c r="B8983" s="41"/>
    </row>
    <row r="8984">
      <c r="A8984" s="41"/>
      <c r="B8984" s="41"/>
    </row>
    <row r="8985">
      <c r="A8985" s="41"/>
      <c r="B8985" s="41"/>
    </row>
    <row r="8986">
      <c r="A8986" s="41"/>
      <c r="B8986" s="41"/>
    </row>
    <row r="8987">
      <c r="A8987" s="41"/>
      <c r="B8987" s="41"/>
    </row>
    <row r="8988">
      <c r="A8988" s="41"/>
      <c r="B8988" s="41"/>
    </row>
    <row r="8989">
      <c r="A8989" s="41"/>
      <c r="B8989" s="41"/>
    </row>
    <row r="8990">
      <c r="A8990" s="41"/>
      <c r="B8990" s="41"/>
    </row>
    <row r="8991">
      <c r="A8991" s="41"/>
      <c r="B8991" s="41"/>
    </row>
    <row r="8992">
      <c r="A8992" s="41"/>
      <c r="B8992" s="41"/>
    </row>
    <row r="8993">
      <c r="A8993" s="41"/>
      <c r="B8993" s="41"/>
    </row>
    <row r="8994">
      <c r="A8994" s="41"/>
      <c r="B8994" s="41"/>
    </row>
    <row r="8995">
      <c r="A8995" s="41"/>
      <c r="B8995" s="41"/>
    </row>
    <row r="8996">
      <c r="A8996" s="41"/>
      <c r="B8996" s="41"/>
    </row>
    <row r="8997">
      <c r="A8997" s="41"/>
      <c r="B8997" s="41"/>
    </row>
    <row r="8998">
      <c r="A8998" s="41"/>
      <c r="B8998" s="41"/>
    </row>
    <row r="8999">
      <c r="A8999" s="41"/>
      <c r="B8999" s="41"/>
    </row>
    <row r="9000">
      <c r="A9000" s="41"/>
      <c r="B9000" s="41"/>
    </row>
    <row r="9001">
      <c r="A9001" s="41"/>
      <c r="B9001" s="41"/>
    </row>
  </sheetData>
  <hyperlinks>
    <hyperlink r:id="rId1" ref="B2240"/>
    <hyperlink r:id="rId2" ref="B4185"/>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13"/>
    <col customWidth="1" min="2" max="2" width="8.63"/>
    <col customWidth="1" min="3" max="3" width="21.25"/>
    <col customWidth="1" min="4" max="4" width="10.13"/>
  </cols>
  <sheetData>
    <row r="1">
      <c r="A1" s="1" t="s">
        <v>62</v>
      </c>
      <c r="B1" s="1" t="s">
        <v>5</v>
      </c>
      <c r="C1" s="1" t="s">
        <v>2061</v>
      </c>
      <c r="D1" s="1" t="s">
        <v>10</v>
      </c>
    </row>
    <row r="2">
      <c r="A2" s="150" t="s">
        <v>987</v>
      </c>
      <c r="B2" s="150" t="s">
        <v>899</v>
      </c>
      <c r="C2" s="150" t="s">
        <v>2062</v>
      </c>
      <c r="D2" s="150" t="s">
        <v>2063</v>
      </c>
    </row>
    <row r="3">
      <c r="A3" s="150" t="s">
        <v>1004</v>
      </c>
      <c r="B3" s="150" t="s">
        <v>901</v>
      </c>
      <c r="C3" s="150" t="s">
        <v>2062</v>
      </c>
      <c r="D3" s="150" t="s">
        <v>2064</v>
      </c>
    </row>
    <row r="4">
      <c r="A4" s="150" t="s">
        <v>1290</v>
      </c>
      <c r="B4" s="150" t="s">
        <v>902</v>
      </c>
      <c r="C4" s="150" t="s">
        <v>2062</v>
      </c>
      <c r="D4" s="150" t="s">
        <v>2064</v>
      </c>
    </row>
    <row r="5">
      <c r="A5" s="150" t="s">
        <v>2065</v>
      </c>
      <c r="B5" s="150" t="s">
        <v>904</v>
      </c>
      <c r="C5" s="150" t="s">
        <v>2062</v>
      </c>
      <c r="D5" s="150" t="s">
        <v>2064</v>
      </c>
    </row>
    <row r="6">
      <c r="A6" s="150" t="s">
        <v>1210</v>
      </c>
      <c r="B6" s="150" t="s">
        <v>905</v>
      </c>
      <c r="C6" s="150" t="s">
        <v>2062</v>
      </c>
      <c r="D6" s="150" t="s">
        <v>2064</v>
      </c>
    </row>
    <row r="7">
      <c r="A7" s="150" t="s">
        <v>2066</v>
      </c>
      <c r="B7" s="150" t="s">
        <v>906</v>
      </c>
      <c r="C7" s="150" t="s">
        <v>2062</v>
      </c>
      <c r="D7" s="150" t="s">
        <v>2064</v>
      </c>
    </row>
    <row r="8">
      <c r="A8" s="150" t="s">
        <v>2067</v>
      </c>
      <c r="B8" s="150" t="s">
        <v>901</v>
      </c>
      <c r="C8" s="150" t="s">
        <v>2068</v>
      </c>
      <c r="D8" s="150" t="s">
        <v>2064</v>
      </c>
    </row>
    <row r="9">
      <c r="A9" s="150" t="s">
        <v>2069</v>
      </c>
      <c r="B9" s="150" t="s">
        <v>902</v>
      </c>
      <c r="C9" s="150" t="s">
        <v>2068</v>
      </c>
      <c r="D9" s="150" t="s">
        <v>2064</v>
      </c>
    </row>
    <row r="10">
      <c r="A10" s="150" t="s">
        <v>2070</v>
      </c>
      <c r="B10" s="150" t="s">
        <v>904</v>
      </c>
      <c r="C10" s="150" t="s">
        <v>2068</v>
      </c>
      <c r="D10" s="150" t="s">
        <v>2064</v>
      </c>
    </row>
    <row r="11">
      <c r="A11" s="150" t="s">
        <v>2071</v>
      </c>
      <c r="B11" s="150" t="s">
        <v>905</v>
      </c>
      <c r="C11" s="150" t="s">
        <v>2068</v>
      </c>
      <c r="D11" s="150" t="s">
        <v>2064</v>
      </c>
    </row>
    <row r="12">
      <c r="A12" s="150" t="s">
        <v>2072</v>
      </c>
      <c r="B12" s="150" t="s">
        <v>906</v>
      </c>
      <c r="C12" s="150" t="s">
        <v>2068</v>
      </c>
      <c r="D12" s="150" t="s">
        <v>2064</v>
      </c>
    </row>
    <row r="13">
      <c r="A13" s="150" t="s">
        <v>2073</v>
      </c>
      <c r="B13" s="150" t="s">
        <v>907</v>
      </c>
      <c r="C13" s="150" t="s">
        <v>2068</v>
      </c>
      <c r="D13" s="150" t="s">
        <v>2064</v>
      </c>
    </row>
    <row r="14">
      <c r="A14" s="150" t="s">
        <v>2074</v>
      </c>
      <c r="B14" s="150" t="s">
        <v>909</v>
      </c>
      <c r="C14" s="150" t="s">
        <v>2068</v>
      </c>
      <c r="D14" s="150" t="s">
        <v>2063</v>
      </c>
    </row>
    <row r="15">
      <c r="A15" s="150" t="s">
        <v>2075</v>
      </c>
      <c r="B15" s="150" t="s">
        <v>897</v>
      </c>
      <c r="C15" s="150" t="s">
        <v>2076</v>
      </c>
      <c r="D15" s="150" t="s">
        <v>2064</v>
      </c>
    </row>
    <row r="16">
      <c r="A16" s="150" t="s">
        <v>2077</v>
      </c>
      <c r="B16" s="150" t="s">
        <v>899</v>
      </c>
      <c r="C16" s="150" t="s">
        <v>2076</v>
      </c>
      <c r="D16" s="150" t="s">
        <v>2063</v>
      </c>
    </row>
    <row r="17">
      <c r="A17" s="150" t="s">
        <v>2078</v>
      </c>
      <c r="B17" s="150" t="s">
        <v>901</v>
      </c>
      <c r="C17" s="150" t="s">
        <v>2076</v>
      </c>
      <c r="D17" s="150" t="s">
        <v>2064</v>
      </c>
    </row>
    <row r="18">
      <c r="A18" s="150" t="s">
        <v>2079</v>
      </c>
      <c r="B18" s="150" t="s">
        <v>902</v>
      </c>
      <c r="C18" s="150" t="s">
        <v>2076</v>
      </c>
      <c r="D18" s="150" t="s">
        <v>2064</v>
      </c>
    </row>
    <row r="19">
      <c r="A19" s="150" t="s">
        <v>2080</v>
      </c>
      <c r="B19" s="150" t="s">
        <v>904</v>
      </c>
      <c r="C19" s="150" t="s">
        <v>2076</v>
      </c>
      <c r="D19" s="150" t="s">
        <v>2064</v>
      </c>
    </row>
    <row r="20">
      <c r="A20" s="150" t="s">
        <v>2081</v>
      </c>
      <c r="B20" s="150" t="s">
        <v>905</v>
      </c>
      <c r="C20" s="150" t="s">
        <v>2076</v>
      </c>
      <c r="D20" s="150" t="s">
        <v>2064</v>
      </c>
    </row>
    <row r="21">
      <c r="A21" s="150" t="s">
        <v>2082</v>
      </c>
      <c r="B21" s="150" t="s">
        <v>901</v>
      </c>
      <c r="C21" s="150" t="s">
        <v>2083</v>
      </c>
      <c r="D21" s="150" t="s">
        <v>2084</v>
      </c>
    </row>
    <row r="22">
      <c r="A22" s="150" t="s">
        <v>2085</v>
      </c>
      <c r="B22" s="150" t="s">
        <v>902</v>
      </c>
      <c r="C22" s="150" t="s">
        <v>2083</v>
      </c>
      <c r="D22" s="150" t="s">
        <v>2084</v>
      </c>
    </row>
    <row r="23">
      <c r="A23" s="150" t="s">
        <v>2086</v>
      </c>
      <c r="B23" s="150" t="s">
        <v>904</v>
      </c>
      <c r="C23" s="150" t="s">
        <v>2083</v>
      </c>
      <c r="D23" s="150" t="s">
        <v>2084</v>
      </c>
    </row>
    <row r="24">
      <c r="A24" s="150" t="s">
        <v>2087</v>
      </c>
      <c r="B24" s="150" t="s">
        <v>905</v>
      </c>
      <c r="C24" s="150" t="s">
        <v>2083</v>
      </c>
      <c r="D24" s="150" t="s">
        <v>2084</v>
      </c>
    </row>
    <row r="25">
      <c r="A25" s="150" t="s">
        <v>2088</v>
      </c>
      <c r="B25" s="150" t="s">
        <v>906</v>
      </c>
      <c r="C25" s="150" t="s">
        <v>2083</v>
      </c>
      <c r="D25" s="150" t="s">
        <v>2084</v>
      </c>
    </row>
    <row r="26">
      <c r="A26" s="151" t="s">
        <v>2089</v>
      </c>
      <c r="B26" s="150" t="s">
        <v>907</v>
      </c>
      <c r="C26" s="150" t="s">
        <v>2083</v>
      </c>
      <c r="D26" s="150" t="s">
        <v>2084</v>
      </c>
    </row>
    <row r="27">
      <c r="A27" s="150" t="s">
        <v>2090</v>
      </c>
      <c r="B27" s="150" t="s">
        <v>909</v>
      </c>
      <c r="C27" s="150" t="s">
        <v>2083</v>
      </c>
      <c r="D27" s="150" t="s">
        <v>2063</v>
      </c>
    </row>
    <row r="28">
      <c r="A28" s="150" t="s">
        <v>2091</v>
      </c>
      <c r="B28" s="150" t="s">
        <v>897</v>
      </c>
      <c r="C28" s="150" t="s">
        <v>2092</v>
      </c>
      <c r="D28" s="150" t="s">
        <v>2084</v>
      </c>
    </row>
    <row r="29">
      <c r="A29" s="150" t="s">
        <v>2093</v>
      </c>
      <c r="B29" s="150" t="s">
        <v>899</v>
      </c>
      <c r="C29" s="150" t="s">
        <v>2092</v>
      </c>
      <c r="D29" s="150" t="s">
        <v>2063</v>
      </c>
    </row>
    <row r="30">
      <c r="A30" s="150" t="s">
        <v>2094</v>
      </c>
      <c r="B30" s="150" t="s">
        <v>901</v>
      </c>
      <c r="C30" s="150" t="s">
        <v>2092</v>
      </c>
      <c r="D30" s="150" t="s">
        <v>2084</v>
      </c>
    </row>
    <row r="31">
      <c r="A31" s="150" t="s">
        <v>1086</v>
      </c>
      <c r="B31" s="150" t="s">
        <v>902</v>
      </c>
      <c r="C31" s="150" t="s">
        <v>2092</v>
      </c>
      <c r="D31" s="150" t="s">
        <v>2084</v>
      </c>
    </row>
    <row r="32">
      <c r="A32" s="150" t="s">
        <v>2095</v>
      </c>
      <c r="B32" s="150" t="s">
        <v>904</v>
      </c>
      <c r="C32" s="150" t="s">
        <v>2092</v>
      </c>
      <c r="D32" s="150" t="s">
        <v>2084</v>
      </c>
    </row>
    <row r="33">
      <c r="A33" s="150" t="s">
        <v>2096</v>
      </c>
      <c r="B33" s="150" t="s">
        <v>905</v>
      </c>
      <c r="C33" s="150" t="s">
        <v>2092</v>
      </c>
      <c r="D33" s="150" t="s">
        <v>2084</v>
      </c>
    </row>
    <row r="34">
      <c r="A34" s="150" t="s">
        <v>2097</v>
      </c>
      <c r="B34" s="150" t="s">
        <v>901</v>
      </c>
      <c r="C34" s="150" t="s">
        <v>2098</v>
      </c>
      <c r="D34" s="150" t="s">
        <v>2084</v>
      </c>
    </row>
    <row r="35">
      <c r="A35" s="150" t="s">
        <v>2099</v>
      </c>
      <c r="B35" s="150" t="s">
        <v>902</v>
      </c>
      <c r="C35" s="150" t="s">
        <v>2098</v>
      </c>
      <c r="D35" s="150" t="s">
        <v>2084</v>
      </c>
    </row>
    <row r="36">
      <c r="A36" s="150" t="s">
        <v>2100</v>
      </c>
      <c r="B36" s="150" t="s">
        <v>904</v>
      </c>
      <c r="C36" s="150" t="s">
        <v>2098</v>
      </c>
      <c r="D36" s="150" t="s">
        <v>2084</v>
      </c>
    </row>
    <row r="37">
      <c r="A37" s="150" t="s">
        <v>2101</v>
      </c>
      <c r="B37" s="150" t="s">
        <v>905</v>
      </c>
      <c r="C37" s="150" t="s">
        <v>2098</v>
      </c>
      <c r="D37" s="150" t="s">
        <v>2084</v>
      </c>
    </row>
    <row r="38">
      <c r="A38" s="150" t="s">
        <v>2102</v>
      </c>
      <c r="B38" s="150" t="s">
        <v>906</v>
      </c>
      <c r="C38" s="150" t="s">
        <v>2098</v>
      </c>
      <c r="D38" s="150" t="s">
        <v>2084</v>
      </c>
    </row>
    <row r="39">
      <c r="A39" s="150" t="s">
        <v>2103</v>
      </c>
      <c r="B39" s="150" t="s">
        <v>907</v>
      </c>
      <c r="C39" s="150" t="s">
        <v>2098</v>
      </c>
      <c r="D39" s="150" t="s">
        <v>2084</v>
      </c>
    </row>
    <row r="40">
      <c r="A40" s="150" t="s">
        <v>2104</v>
      </c>
      <c r="B40" s="150" t="s">
        <v>909</v>
      </c>
      <c r="C40" s="150" t="s">
        <v>2098</v>
      </c>
      <c r="D40" s="150" t="s">
        <v>2063</v>
      </c>
    </row>
    <row r="41">
      <c r="A41" s="150" t="s">
        <v>1093</v>
      </c>
      <c r="B41" s="150" t="s">
        <v>901</v>
      </c>
      <c r="C41" s="150" t="s">
        <v>2105</v>
      </c>
      <c r="D41" s="150" t="s">
        <v>2084</v>
      </c>
    </row>
    <row r="42">
      <c r="A42" s="150" t="s">
        <v>2106</v>
      </c>
      <c r="B42" s="150" t="s">
        <v>902</v>
      </c>
      <c r="C42" s="150" t="s">
        <v>2105</v>
      </c>
      <c r="D42" s="150" t="s">
        <v>2084</v>
      </c>
    </row>
    <row r="43">
      <c r="A43" s="150" t="s">
        <v>1303</v>
      </c>
      <c r="B43" s="150" t="s">
        <v>904</v>
      </c>
      <c r="C43" s="150" t="s">
        <v>2105</v>
      </c>
      <c r="D43" s="150" t="s">
        <v>2084</v>
      </c>
    </row>
    <row r="44">
      <c r="A44" s="150" t="s">
        <v>2107</v>
      </c>
      <c r="B44" s="150" t="s">
        <v>905</v>
      </c>
      <c r="C44" s="150" t="s">
        <v>2105</v>
      </c>
      <c r="D44" s="150" t="s">
        <v>2084</v>
      </c>
    </row>
    <row r="45">
      <c r="A45" s="150" t="s">
        <v>2108</v>
      </c>
      <c r="B45" s="150" t="s">
        <v>906</v>
      </c>
      <c r="C45" s="150" t="s">
        <v>2105</v>
      </c>
      <c r="D45" s="150" t="s">
        <v>2084</v>
      </c>
    </row>
    <row r="46">
      <c r="A46" s="150" t="s">
        <v>2109</v>
      </c>
      <c r="B46" s="150" t="s">
        <v>897</v>
      </c>
      <c r="C46" s="150" t="s">
        <v>2110</v>
      </c>
      <c r="D46" s="150" t="s">
        <v>2084</v>
      </c>
    </row>
    <row r="47">
      <c r="A47" s="150" t="s">
        <v>2111</v>
      </c>
      <c r="B47" s="150" t="s">
        <v>899</v>
      </c>
      <c r="C47" s="150" t="s">
        <v>2110</v>
      </c>
      <c r="D47" s="150" t="s">
        <v>2063</v>
      </c>
    </row>
    <row r="48">
      <c r="A48" s="150" t="s">
        <v>2112</v>
      </c>
      <c r="B48" s="150" t="s">
        <v>901</v>
      </c>
      <c r="C48" s="150" t="s">
        <v>2110</v>
      </c>
      <c r="D48" s="150" t="s">
        <v>2084</v>
      </c>
    </row>
    <row r="49">
      <c r="A49" s="150" t="s">
        <v>2113</v>
      </c>
      <c r="B49" s="150" t="s">
        <v>902</v>
      </c>
      <c r="C49" s="150" t="s">
        <v>2110</v>
      </c>
      <c r="D49" s="150" t="s">
        <v>2084</v>
      </c>
    </row>
    <row r="50">
      <c r="A50" s="150" t="s">
        <v>2114</v>
      </c>
      <c r="B50" s="150" t="s">
        <v>904</v>
      </c>
      <c r="C50" s="150" t="s">
        <v>2110</v>
      </c>
      <c r="D50" s="150" t="s">
        <v>2084</v>
      </c>
    </row>
    <row r="51">
      <c r="A51" s="150" t="s">
        <v>2115</v>
      </c>
      <c r="B51" s="150" t="s">
        <v>905</v>
      </c>
      <c r="C51" s="150" t="s">
        <v>2110</v>
      </c>
      <c r="D51" s="150" t="s">
        <v>2084</v>
      </c>
    </row>
    <row r="52">
      <c r="A52" s="150" t="s">
        <v>2116</v>
      </c>
      <c r="B52" s="150" t="s">
        <v>901</v>
      </c>
      <c r="C52" s="150" t="s">
        <v>1206</v>
      </c>
      <c r="D52" s="150" t="s">
        <v>2064</v>
      </c>
    </row>
    <row r="53">
      <c r="A53" s="150" t="s">
        <v>2117</v>
      </c>
      <c r="B53" s="150" t="s">
        <v>902</v>
      </c>
      <c r="C53" s="150" t="s">
        <v>1206</v>
      </c>
      <c r="D53" s="150" t="s">
        <v>2064</v>
      </c>
    </row>
    <row r="54">
      <c r="A54" s="150" t="s">
        <v>2118</v>
      </c>
      <c r="B54" s="150" t="s">
        <v>904</v>
      </c>
      <c r="C54" s="150" t="s">
        <v>1206</v>
      </c>
      <c r="D54" s="150" t="s">
        <v>2064</v>
      </c>
    </row>
    <row r="55">
      <c r="A55" s="150" t="s">
        <v>2119</v>
      </c>
      <c r="B55" s="150" t="s">
        <v>905</v>
      </c>
      <c r="C55" s="150" t="s">
        <v>1206</v>
      </c>
      <c r="D55" s="150" t="s">
        <v>2064</v>
      </c>
    </row>
    <row r="56">
      <c r="A56" s="150" t="s">
        <v>2120</v>
      </c>
      <c r="B56" s="150" t="s">
        <v>906</v>
      </c>
      <c r="C56" s="150" t="s">
        <v>1206</v>
      </c>
      <c r="D56" s="150" t="s">
        <v>2064</v>
      </c>
    </row>
    <row r="57">
      <c r="A57" s="150" t="s">
        <v>2121</v>
      </c>
      <c r="B57" s="150" t="s">
        <v>907</v>
      </c>
      <c r="C57" s="150" t="s">
        <v>1206</v>
      </c>
      <c r="D57" s="150" t="s">
        <v>2064</v>
      </c>
    </row>
    <row r="58">
      <c r="A58" s="150" t="s">
        <v>2122</v>
      </c>
      <c r="B58" s="150" t="s">
        <v>901</v>
      </c>
      <c r="C58" s="150" t="s">
        <v>2123</v>
      </c>
      <c r="D58" s="150" t="s">
        <v>2064</v>
      </c>
    </row>
    <row r="59">
      <c r="A59" s="150" t="s">
        <v>911</v>
      </c>
      <c r="B59" s="150" t="s">
        <v>902</v>
      </c>
      <c r="C59" s="150" t="s">
        <v>2123</v>
      </c>
      <c r="D59" s="150" t="s">
        <v>2064</v>
      </c>
    </row>
    <row r="60">
      <c r="A60" s="150" t="s">
        <v>1288</v>
      </c>
      <c r="B60" s="150" t="s">
        <v>904</v>
      </c>
      <c r="C60" s="150" t="s">
        <v>2123</v>
      </c>
      <c r="D60" s="150" t="s">
        <v>2064</v>
      </c>
    </row>
    <row r="61">
      <c r="A61" s="150" t="s">
        <v>1017</v>
      </c>
      <c r="B61" s="150" t="s">
        <v>905</v>
      </c>
      <c r="C61" s="150" t="s">
        <v>2123</v>
      </c>
      <c r="D61" s="150" t="s">
        <v>2064</v>
      </c>
    </row>
    <row r="62">
      <c r="A62" s="150" t="s">
        <v>1065</v>
      </c>
      <c r="B62" s="150" t="s">
        <v>906</v>
      </c>
      <c r="C62" s="150" t="s">
        <v>2123</v>
      </c>
      <c r="D62" s="150" t="s">
        <v>2064</v>
      </c>
    </row>
    <row r="63">
      <c r="A63" s="150" t="s">
        <v>1807</v>
      </c>
      <c r="B63" s="150" t="s">
        <v>907</v>
      </c>
      <c r="C63" s="150" t="s">
        <v>2123</v>
      </c>
      <c r="D63" s="150" t="s">
        <v>2064</v>
      </c>
    </row>
    <row r="64">
      <c r="A64" s="150" t="s">
        <v>1695</v>
      </c>
      <c r="B64" s="150" t="s">
        <v>909</v>
      </c>
      <c r="C64" s="150" t="s">
        <v>2123</v>
      </c>
      <c r="D64" s="150" t="s">
        <v>2063</v>
      </c>
    </row>
    <row r="65">
      <c r="A65" s="150" t="s">
        <v>2124</v>
      </c>
      <c r="B65" s="150" t="s">
        <v>901</v>
      </c>
      <c r="C65" s="150" t="s">
        <v>2125</v>
      </c>
      <c r="D65" s="150" t="s">
        <v>2084</v>
      </c>
    </row>
    <row r="66">
      <c r="A66" s="150" t="s">
        <v>2126</v>
      </c>
      <c r="B66" s="150" t="s">
        <v>902</v>
      </c>
      <c r="C66" s="150" t="s">
        <v>2125</v>
      </c>
      <c r="D66" s="150" t="s">
        <v>2084</v>
      </c>
    </row>
    <row r="67">
      <c r="A67" s="150" t="s">
        <v>2127</v>
      </c>
      <c r="B67" s="150" t="s">
        <v>904</v>
      </c>
      <c r="C67" s="150" t="s">
        <v>2125</v>
      </c>
      <c r="D67" s="150" t="s">
        <v>2084</v>
      </c>
    </row>
    <row r="68">
      <c r="A68" s="150" t="s">
        <v>2128</v>
      </c>
      <c r="B68" s="150" t="s">
        <v>905</v>
      </c>
      <c r="C68" s="150" t="s">
        <v>2125</v>
      </c>
      <c r="D68" s="150" t="s">
        <v>2084</v>
      </c>
    </row>
    <row r="69">
      <c r="A69" s="150" t="s">
        <v>2129</v>
      </c>
      <c r="B69" s="150" t="s">
        <v>906</v>
      </c>
      <c r="C69" s="150" t="s">
        <v>2125</v>
      </c>
      <c r="D69" s="150" t="s">
        <v>2084</v>
      </c>
    </row>
    <row r="70">
      <c r="A70" s="150" t="s">
        <v>2130</v>
      </c>
      <c r="B70" s="150" t="s">
        <v>907</v>
      </c>
      <c r="C70" s="150" t="s">
        <v>2125</v>
      </c>
      <c r="D70" s="150" t="s">
        <v>2084</v>
      </c>
    </row>
    <row r="71">
      <c r="A71" s="150" t="s">
        <v>2131</v>
      </c>
      <c r="B71" s="150" t="s">
        <v>909</v>
      </c>
      <c r="C71" s="150" t="s">
        <v>2125</v>
      </c>
      <c r="D71" s="150" t="s">
        <v>2063</v>
      </c>
    </row>
    <row r="72">
      <c r="A72" s="150" t="s">
        <v>2132</v>
      </c>
      <c r="B72" s="150" t="s">
        <v>901</v>
      </c>
      <c r="C72" s="150" t="s">
        <v>2133</v>
      </c>
      <c r="D72" s="150" t="s">
        <v>2064</v>
      </c>
    </row>
    <row r="73">
      <c r="A73" s="150" t="s">
        <v>2134</v>
      </c>
      <c r="B73" s="150" t="s">
        <v>902</v>
      </c>
      <c r="C73" s="150" t="s">
        <v>2133</v>
      </c>
      <c r="D73" s="150" t="s">
        <v>2064</v>
      </c>
    </row>
    <row r="74">
      <c r="A74" s="150" t="s">
        <v>2135</v>
      </c>
      <c r="B74" s="150" t="s">
        <v>904</v>
      </c>
      <c r="C74" s="150" t="s">
        <v>2133</v>
      </c>
      <c r="D74" s="150" t="s">
        <v>2064</v>
      </c>
    </row>
    <row r="75">
      <c r="A75" s="150" t="s">
        <v>2136</v>
      </c>
      <c r="B75" s="150" t="s">
        <v>905</v>
      </c>
      <c r="C75" s="150" t="s">
        <v>2133</v>
      </c>
      <c r="D75" s="150" t="s">
        <v>2064</v>
      </c>
    </row>
    <row r="76">
      <c r="A76" s="150" t="s">
        <v>2137</v>
      </c>
      <c r="B76" s="150" t="s">
        <v>906</v>
      </c>
      <c r="C76" s="150" t="s">
        <v>2133</v>
      </c>
      <c r="D76" s="150" t="s">
        <v>2064</v>
      </c>
    </row>
    <row r="77">
      <c r="A77" s="150" t="s">
        <v>1109</v>
      </c>
      <c r="B77" s="150" t="s">
        <v>901</v>
      </c>
      <c r="C77" s="150" t="s">
        <v>2138</v>
      </c>
      <c r="D77" s="150" t="s">
        <v>2064</v>
      </c>
    </row>
    <row r="78">
      <c r="A78" s="150" t="s">
        <v>2139</v>
      </c>
      <c r="B78" s="150" t="s">
        <v>902</v>
      </c>
      <c r="C78" s="150" t="s">
        <v>2138</v>
      </c>
      <c r="D78" s="150" t="s">
        <v>2064</v>
      </c>
    </row>
    <row r="79">
      <c r="A79" s="150" t="s">
        <v>2140</v>
      </c>
      <c r="B79" s="150" t="s">
        <v>904</v>
      </c>
      <c r="C79" s="150" t="s">
        <v>2138</v>
      </c>
      <c r="D79" s="150" t="s">
        <v>2064</v>
      </c>
    </row>
    <row r="80">
      <c r="A80" s="150" t="s">
        <v>2141</v>
      </c>
      <c r="B80" s="150" t="s">
        <v>905</v>
      </c>
      <c r="C80" s="150" t="s">
        <v>2138</v>
      </c>
      <c r="D80" s="150" t="s">
        <v>2064</v>
      </c>
    </row>
    <row r="81">
      <c r="A81" s="150" t="s">
        <v>2142</v>
      </c>
      <c r="B81" s="150" t="s">
        <v>906</v>
      </c>
      <c r="C81" s="150" t="s">
        <v>2138</v>
      </c>
      <c r="D81" s="150" t="s">
        <v>2064</v>
      </c>
    </row>
    <row r="82">
      <c r="A82" s="150" t="s">
        <v>2143</v>
      </c>
      <c r="B82" s="150" t="s">
        <v>897</v>
      </c>
      <c r="C82" s="150" t="s">
        <v>2144</v>
      </c>
      <c r="D82" s="150" t="s">
        <v>2084</v>
      </c>
    </row>
    <row r="83">
      <c r="A83" s="150" t="s">
        <v>1260</v>
      </c>
      <c r="B83" s="150" t="s">
        <v>899</v>
      </c>
      <c r="C83" s="150" t="s">
        <v>2144</v>
      </c>
      <c r="D83" s="150" t="s">
        <v>2063</v>
      </c>
    </row>
    <row r="84">
      <c r="A84" s="150" t="s">
        <v>981</v>
      </c>
      <c r="B84" s="150" t="s">
        <v>901</v>
      </c>
      <c r="C84" s="150" t="s">
        <v>2144</v>
      </c>
      <c r="D84" s="150" t="s">
        <v>2084</v>
      </c>
    </row>
    <row r="85">
      <c r="A85" s="150" t="s">
        <v>1091</v>
      </c>
      <c r="B85" s="150" t="s">
        <v>902</v>
      </c>
      <c r="C85" s="150" t="s">
        <v>2144</v>
      </c>
      <c r="D85" s="150" t="s">
        <v>2084</v>
      </c>
    </row>
    <row r="86">
      <c r="A86" s="150" t="s">
        <v>1530</v>
      </c>
      <c r="B86" s="150" t="s">
        <v>904</v>
      </c>
      <c r="C86" s="150" t="s">
        <v>2144</v>
      </c>
      <c r="D86" s="150" t="s">
        <v>2084</v>
      </c>
    </row>
    <row r="87">
      <c r="A87" s="150" t="s">
        <v>1295</v>
      </c>
      <c r="B87" s="150" t="s">
        <v>905</v>
      </c>
      <c r="C87" s="150" t="s">
        <v>2144</v>
      </c>
      <c r="D87" s="150" t="s">
        <v>2084</v>
      </c>
    </row>
    <row r="88">
      <c r="A88" s="150" t="s">
        <v>1071</v>
      </c>
      <c r="B88" s="150" t="s">
        <v>897</v>
      </c>
      <c r="C88" s="150" t="s">
        <v>2145</v>
      </c>
      <c r="D88" s="150" t="s">
        <v>2084</v>
      </c>
    </row>
    <row r="89">
      <c r="A89" s="150" t="s">
        <v>1150</v>
      </c>
      <c r="B89" s="150" t="s">
        <v>899</v>
      </c>
      <c r="C89" s="150" t="s">
        <v>2145</v>
      </c>
      <c r="D89" s="150" t="s">
        <v>2063</v>
      </c>
    </row>
    <row r="90">
      <c r="A90" s="150" t="s">
        <v>1248</v>
      </c>
      <c r="B90" s="150" t="s">
        <v>901</v>
      </c>
      <c r="C90" s="150" t="s">
        <v>2145</v>
      </c>
      <c r="D90" s="150" t="s">
        <v>2084</v>
      </c>
    </row>
    <row r="91">
      <c r="A91" s="150" t="s">
        <v>1006</v>
      </c>
      <c r="B91" s="150" t="s">
        <v>902</v>
      </c>
      <c r="C91" s="150" t="s">
        <v>2145</v>
      </c>
      <c r="D91" s="150" t="s">
        <v>2084</v>
      </c>
    </row>
    <row r="92">
      <c r="A92" s="150" t="s">
        <v>1554</v>
      </c>
      <c r="B92" s="150" t="s">
        <v>904</v>
      </c>
      <c r="C92" s="150" t="s">
        <v>2145</v>
      </c>
      <c r="D92" s="150" t="s">
        <v>2084</v>
      </c>
    </row>
    <row r="93">
      <c r="A93" s="150" t="s">
        <v>1434</v>
      </c>
      <c r="B93" s="150" t="s">
        <v>905</v>
      </c>
      <c r="C93" s="150" t="s">
        <v>2145</v>
      </c>
      <c r="D93" s="150" t="s">
        <v>2084</v>
      </c>
    </row>
    <row r="94">
      <c r="A94" s="150" t="s">
        <v>2146</v>
      </c>
      <c r="B94" s="150" t="s">
        <v>897</v>
      </c>
      <c r="C94" s="150" t="s">
        <v>2147</v>
      </c>
      <c r="D94" s="150" t="s">
        <v>2064</v>
      </c>
    </row>
    <row r="95">
      <c r="A95" s="150" t="s">
        <v>2148</v>
      </c>
      <c r="B95" s="150" t="s">
        <v>899</v>
      </c>
      <c r="C95" s="150" t="s">
        <v>2147</v>
      </c>
      <c r="D95" s="150" t="s">
        <v>2063</v>
      </c>
    </row>
    <row r="96">
      <c r="A96" s="150" t="s">
        <v>2149</v>
      </c>
      <c r="B96" s="150" t="s">
        <v>901</v>
      </c>
      <c r="C96" s="150" t="s">
        <v>2147</v>
      </c>
      <c r="D96" s="150" t="s">
        <v>2064</v>
      </c>
    </row>
    <row r="97">
      <c r="A97" s="150" t="s">
        <v>2150</v>
      </c>
      <c r="B97" s="150" t="s">
        <v>902</v>
      </c>
      <c r="C97" s="150" t="s">
        <v>2147</v>
      </c>
      <c r="D97" s="150" t="s">
        <v>2064</v>
      </c>
    </row>
    <row r="98">
      <c r="A98" s="150" t="s">
        <v>2151</v>
      </c>
      <c r="B98" s="150" t="s">
        <v>904</v>
      </c>
      <c r="C98" s="150" t="s">
        <v>2147</v>
      </c>
      <c r="D98" s="150" t="s">
        <v>2064</v>
      </c>
    </row>
    <row r="99">
      <c r="A99" s="150" t="s">
        <v>2152</v>
      </c>
      <c r="B99" s="150" t="s">
        <v>905</v>
      </c>
      <c r="C99" s="150" t="s">
        <v>2147</v>
      </c>
      <c r="D99" s="150" t="s">
        <v>2064</v>
      </c>
    </row>
    <row r="100">
      <c r="A100" s="150" t="s">
        <v>2153</v>
      </c>
      <c r="B100" s="150" t="s">
        <v>899</v>
      </c>
      <c r="C100" s="150" t="s">
        <v>2154</v>
      </c>
      <c r="D100" s="150" t="s">
        <v>2063</v>
      </c>
    </row>
    <row r="101">
      <c r="A101" s="150" t="s">
        <v>2155</v>
      </c>
      <c r="B101" s="150" t="s">
        <v>901</v>
      </c>
      <c r="C101" s="150" t="s">
        <v>2154</v>
      </c>
      <c r="D101" s="150" t="s">
        <v>2084</v>
      </c>
    </row>
    <row r="102">
      <c r="A102" s="150" t="s">
        <v>2156</v>
      </c>
      <c r="B102" s="150" t="s">
        <v>902</v>
      </c>
      <c r="C102" s="150" t="s">
        <v>2154</v>
      </c>
      <c r="D102" s="150" t="s">
        <v>2084</v>
      </c>
    </row>
    <row r="103">
      <c r="A103" s="150" t="s">
        <v>2157</v>
      </c>
      <c r="B103" s="150" t="s">
        <v>904</v>
      </c>
      <c r="C103" s="150" t="s">
        <v>2154</v>
      </c>
      <c r="D103" s="150" t="s">
        <v>2084</v>
      </c>
    </row>
    <row r="104">
      <c r="A104" s="150" t="s">
        <v>2158</v>
      </c>
      <c r="B104" s="150" t="s">
        <v>905</v>
      </c>
      <c r="C104" s="150" t="s">
        <v>2154</v>
      </c>
      <c r="D104" s="150" t="s">
        <v>2084</v>
      </c>
    </row>
    <row r="105">
      <c r="A105" s="150" t="s">
        <v>2159</v>
      </c>
      <c r="B105" s="150" t="s">
        <v>906</v>
      </c>
      <c r="C105" s="150" t="s">
        <v>2154</v>
      </c>
      <c r="D105" s="150" t="s">
        <v>2084</v>
      </c>
    </row>
    <row r="106">
      <c r="A106" s="150" t="s">
        <v>2160</v>
      </c>
      <c r="B106" s="150" t="s">
        <v>901</v>
      </c>
      <c r="C106" s="150" t="s">
        <v>2161</v>
      </c>
      <c r="D106" s="150" t="s">
        <v>2084</v>
      </c>
    </row>
    <row r="107">
      <c r="A107" s="150" t="s">
        <v>2162</v>
      </c>
      <c r="B107" s="150" t="s">
        <v>902</v>
      </c>
      <c r="C107" s="150" t="s">
        <v>2161</v>
      </c>
      <c r="D107" s="150" t="s">
        <v>2084</v>
      </c>
    </row>
    <row r="108">
      <c r="A108" s="150" t="s">
        <v>2163</v>
      </c>
      <c r="B108" s="150" t="s">
        <v>904</v>
      </c>
      <c r="C108" s="150" t="s">
        <v>2161</v>
      </c>
      <c r="D108" s="150" t="s">
        <v>2084</v>
      </c>
    </row>
    <row r="109">
      <c r="A109" s="150" t="s">
        <v>2164</v>
      </c>
      <c r="B109" s="150" t="s">
        <v>905</v>
      </c>
      <c r="C109" s="150" t="s">
        <v>2161</v>
      </c>
      <c r="D109" s="150" t="s">
        <v>2084</v>
      </c>
    </row>
    <row r="110">
      <c r="A110" s="150" t="s">
        <v>2165</v>
      </c>
      <c r="B110" s="150" t="s">
        <v>906</v>
      </c>
      <c r="C110" s="150" t="s">
        <v>2161</v>
      </c>
      <c r="D110" s="150" t="s">
        <v>2084</v>
      </c>
    </row>
    <row r="111">
      <c r="A111" s="150" t="s">
        <v>2166</v>
      </c>
      <c r="B111" s="150" t="s">
        <v>907</v>
      </c>
      <c r="C111" s="150" t="s">
        <v>2161</v>
      </c>
      <c r="D111" s="150" t="s">
        <v>2084</v>
      </c>
    </row>
    <row r="112">
      <c r="A112" s="150" t="s">
        <v>930</v>
      </c>
      <c r="B112" s="150" t="s">
        <v>897</v>
      </c>
      <c r="C112" s="150" t="s">
        <v>2167</v>
      </c>
      <c r="D112" s="150" t="s">
        <v>2084</v>
      </c>
    </row>
    <row r="113">
      <c r="A113" s="150" t="s">
        <v>1278</v>
      </c>
      <c r="B113" s="150" t="s">
        <v>899</v>
      </c>
      <c r="C113" s="150" t="s">
        <v>2167</v>
      </c>
      <c r="D113" s="150" t="s">
        <v>2063</v>
      </c>
    </row>
    <row r="114">
      <c r="A114" s="150" t="s">
        <v>1067</v>
      </c>
      <c r="B114" s="150" t="s">
        <v>901</v>
      </c>
      <c r="C114" s="150" t="s">
        <v>2167</v>
      </c>
      <c r="D114" s="150" t="s">
        <v>2084</v>
      </c>
    </row>
    <row r="115">
      <c r="A115" s="150" t="s">
        <v>1100</v>
      </c>
      <c r="B115" s="150" t="s">
        <v>902</v>
      </c>
      <c r="C115" s="150" t="s">
        <v>2167</v>
      </c>
      <c r="D115" s="150" t="s">
        <v>2084</v>
      </c>
    </row>
    <row r="116">
      <c r="A116" s="150" t="s">
        <v>1316</v>
      </c>
      <c r="B116" s="150" t="s">
        <v>904</v>
      </c>
      <c r="C116" s="150" t="s">
        <v>2167</v>
      </c>
      <c r="D116" s="150" t="s">
        <v>2084</v>
      </c>
    </row>
    <row r="117">
      <c r="A117" s="150" t="s">
        <v>1154</v>
      </c>
      <c r="B117" s="150" t="s">
        <v>905</v>
      </c>
      <c r="C117" s="150" t="s">
        <v>2167</v>
      </c>
      <c r="D117" s="150" t="s">
        <v>2084</v>
      </c>
    </row>
    <row r="118">
      <c r="A118" s="150" t="s">
        <v>1212</v>
      </c>
      <c r="B118" s="150" t="s">
        <v>901</v>
      </c>
      <c r="C118" s="150" t="s">
        <v>2168</v>
      </c>
      <c r="D118" s="150" t="s">
        <v>2084</v>
      </c>
    </row>
    <row r="119">
      <c r="A119" s="150" t="s">
        <v>1194</v>
      </c>
      <c r="B119" s="150" t="s">
        <v>902</v>
      </c>
      <c r="C119" s="150" t="s">
        <v>2168</v>
      </c>
      <c r="D119" s="150" t="s">
        <v>2084</v>
      </c>
    </row>
    <row r="120">
      <c r="A120" s="150" t="s">
        <v>2169</v>
      </c>
      <c r="B120" s="150" t="s">
        <v>904</v>
      </c>
      <c r="C120" s="150" t="s">
        <v>2168</v>
      </c>
      <c r="D120" s="150" t="s">
        <v>2084</v>
      </c>
    </row>
    <row r="121">
      <c r="A121" s="150" t="s">
        <v>2170</v>
      </c>
      <c r="B121" s="150" t="s">
        <v>905</v>
      </c>
      <c r="C121" s="150" t="s">
        <v>2168</v>
      </c>
      <c r="D121" s="150" t="s">
        <v>2084</v>
      </c>
    </row>
    <row r="122">
      <c r="A122" s="150" t="s">
        <v>2171</v>
      </c>
      <c r="B122" s="150" t="s">
        <v>906</v>
      </c>
      <c r="C122" s="150" t="s">
        <v>2168</v>
      </c>
      <c r="D122" s="150" t="s">
        <v>2084</v>
      </c>
    </row>
    <row r="123">
      <c r="A123" s="151" t="s">
        <v>2172</v>
      </c>
      <c r="B123" s="150" t="s">
        <v>907</v>
      </c>
      <c r="C123" s="150" t="s">
        <v>2168</v>
      </c>
      <c r="D123" s="150" t="s">
        <v>2084</v>
      </c>
    </row>
    <row r="124">
      <c r="A124" s="150" t="s">
        <v>2173</v>
      </c>
      <c r="B124" s="150" t="s">
        <v>909</v>
      </c>
      <c r="C124" s="150" t="s">
        <v>2168</v>
      </c>
      <c r="D124" s="150" t="s">
        <v>2063</v>
      </c>
    </row>
    <row r="125">
      <c r="A125" s="150" t="s">
        <v>1008</v>
      </c>
      <c r="B125" s="150" t="s">
        <v>901</v>
      </c>
      <c r="C125" s="150" t="s">
        <v>2174</v>
      </c>
      <c r="D125" s="150" t="s">
        <v>2064</v>
      </c>
    </row>
    <row r="126">
      <c r="A126" s="150" t="s">
        <v>1019</v>
      </c>
      <c r="B126" s="150" t="s">
        <v>902</v>
      </c>
      <c r="C126" s="150" t="s">
        <v>2174</v>
      </c>
      <c r="D126" s="150" t="s">
        <v>2064</v>
      </c>
    </row>
    <row r="127">
      <c r="A127" s="150" t="s">
        <v>1354</v>
      </c>
      <c r="B127" s="150" t="s">
        <v>904</v>
      </c>
      <c r="C127" s="150" t="s">
        <v>2174</v>
      </c>
      <c r="D127" s="150" t="s">
        <v>2064</v>
      </c>
    </row>
    <row r="128">
      <c r="A128" s="150" t="s">
        <v>1206</v>
      </c>
      <c r="B128" s="150" t="s">
        <v>905</v>
      </c>
      <c r="C128" s="150" t="s">
        <v>2174</v>
      </c>
      <c r="D128" s="150" t="s">
        <v>2064</v>
      </c>
    </row>
    <row r="129">
      <c r="A129" s="150" t="s">
        <v>1005</v>
      </c>
      <c r="B129" s="150" t="s">
        <v>906</v>
      </c>
      <c r="C129" s="150" t="s">
        <v>2174</v>
      </c>
      <c r="D129" s="150" t="s">
        <v>2064</v>
      </c>
    </row>
    <row r="130">
      <c r="A130" s="150" t="s">
        <v>2175</v>
      </c>
      <c r="B130" s="150" t="s">
        <v>907</v>
      </c>
      <c r="C130" s="150" t="s">
        <v>2174</v>
      </c>
      <c r="D130" s="150" t="s">
        <v>2064</v>
      </c>
    </row>
    <row r="131">
      <c r="A131" s="150" t="s">
        <v>2176</v>
      </c>
      <c r="B131" s="150" t="s">
        <v>909</v>
      </c>
      <c r="C131" s="150" t="s">
        <v>2174</v>
      </c>
      <c r="D131" s="150" t="s">
        <v>2063</v>
      </c>
    </row>
    <row r="132">
      <c r="A132" s="150" t="s">
        <v>2177</v>
      </c>
      <c r="B132" s="150" t="s">
        <v>897</v>
      </c>
      <c r="C132" s="150" t="s">
        <v>2178</v>
      </c>
      <c r="D132" s="150" t="s">
        <v>2064</v>
      </c>
    </row>
    <row r="133">
      <c r="A133" s="150" t="s">
        <v>2179</v>
      </c>
      <c r="B133" s="150" t="s">
        <v>899</v>
      </c>
      <c r="C133" s="150" t="s">
        <v>2178</v>
      </c>
      <c r="D133" s="150" t="s">
        <v>2063</v>
      </c>
    </row>
    <row r="134">
      <c r="A134" s="150" t="s">
        <v>2180</v>
      </c>
      <c r="B134" s="150" t="s">
        <v>901</v>
      </c>
      <c r="C134" s="150" t="s">
        <v>2178</v>
      </c>
      <c r="D134" s="150" t="s">
        <v>2064</v>
      </c>
    </row>
    <row r="135">
      <c r="A135" s="150" t="s">
        <v>2181</v>
      </c>
      <c r="B135" s="150" t="s">
        <v>902</v>
      </c>
      <c r="C135" s="150" t="s">
        <v>2178</v>
      </c>
      <c r="D135" s="150" t="s">
        <v>2064</v>
      </c>
    </row>
    <row r="136">
      <c r="A136" s="150" t="s">
        <v>2182</v>
      </c>
      <c r="B136" s="150" t="s">
        <v>904</v>
      </c>
      <c r="C136" s="150" t="s">
        <v>2178</v>
      </c>
      <c r="D136" s="150" t="s">
        <v>2064</v>
      </c>
    </row>
    <row r="137">
      <c r="A137" s="150" t="s">
        <v>2183</v>
      </c>
      <c r="B137" s="150" t="s">
        <v>905</v>
      </c>
      <c r="C137" s="150" t="s">
        <v>2178</v>
      </c>
      <c r="D137" s="150" t="s">
        <v>2064</v>
      </c>
    </row>
    <row r="138">
      <c r="A138" s="150" t="s">
        <v>2184</v>
      </c>
      <c r="B138" s="150" t="s">
        <v>901</v>
      </c>
      <c r="C138" s="150" t="s">
        <v>2185</v>
      </c>
      <c r="D138" s="150" t="s">
        <v>2064</v>
      </c>
    </row>
    <row r="139">
      <c r="A139" s="150" t="s">
        <v>2186</v>
      </c>
      <c r="B139" s="150" t="s">
        <v>902</v>
      </c>
      <c r="C139" s="150" t="s">
        <v>2185</v>
      </c>
      <c r="D139" s="150" t="s">
        <v>2064</v>
      </c>
    </row>
    <row r="140">
      <c r="A140" s="150" t="s">
        <v>2187</v>
      </c>
      <c r="B140" s="150" t="s">
        <v>904</v>
      </c>
      <c r="C140" s="150" t="s">
        <v>2185</v>
      </c>
      <c r="D140" s="150" t="s">
        <v>2064</v>
      </c>
    </row>
    <row r="141">
      <c r="A141" s="150" t="s">
        <v>2188</v>
      </c>
      <c r="B141" s="150" t="s">
        <v>905</v>
      </c>
      <c r="C141" s="150" t="s">
        <v>2185</v>
      </c>
      <c r="D141" s="150" t="s">
        <v>2064</v>
      </c>
    </row>
    <row r="142">
      <c r="A142" s="150" t="s">
        <v>2189</v>
      </c>
      <c r="B142" s="150" t="s">
        <v>906</v>
      </c>
      <c r="C142" s="150" t="s">
        <v>2185</v>
      </c>
      <c r="D142" s="150" t="s">
        <v>2064</v>
      </c>
    </row>
    <row r="143">
      <c r="A143" s="150" t="s">
        <v>2190</v>
      </c>
      <c r="B143" s="150" t="s">
        <v>907</v>
      </c>
      <c r="C143" s="150" t="s">
        <v>2185</v>
      </c>
      <c r="D143" s="150" t="s">
        <v>2064</v>
      </c>
    </row>
    <row r="144">
      <c r="A144" s="150" t="s">
        <v>2191</v>
      </c>
      <c r="B144" s="150" t="s">
        <v>909</v>
      </c>
      <c r="C144" s="150" t="s">
        <v>2185</v>
      </c>
      <c r="D144" s="150" t="s">
        <v>2063</v>
      </c>
    </row>
    <row r="145">
      <c r="A145" s="150" t="s">
        <v>2192</v>
      </c>
      <c r="B145" s="150" t="s">
        <v>899</v>
      </c>
      <c r="C145" s="150" t="s">
        <v>2193</v>
      </c>
      <c r="D145" s="150" t="s">
        <v>2063</v>
      </c>
    </row>
    <row r="146">
      <c r="A146" s="150" t="s">
        <v>2194</v>
      </c>
      <c r="B146" s="150" t="s">
        <v>901</v>
      </c>
      <c r="C146" s="150" t="s">
        <v>2193</v>
      </c>
      <c r="D146" s="150" t="s">
        <v>2084</v>
      </c>
    </row>
    <row r="147">
      <c r="A147" s="150" t="s">
        <v>2195</v>
      </c>
      <c r="B147" s="150" t="s">
        <v>902</v>
      </c>
      <c r="C147" s="150" t="s">
        <v>2193</v>
      </c>
      <c r="D147" s="150" t="s">
        <v>2084</v>
      </c>
    </row>
    <row r="148">
      <c r="A148" s="150" t="s">
        <v>2196</v>
      </c>
      <c r="B148" s="150" t="s">
        <v>904</v>
      </c>
      <c r="C148" s="150" t="s">
        <v>2193</v>
      </c>
      <c r="D148" s="150" t="s">
        <v>2084</v>
      </c>
    </row>
    <row r="149">
      <c r="A149" s="150" t="s">
        <v>2197</v>
      </c>
      <c r="B149" s="150" t="s">
        <v>905</v>
      </c>
      <c r="C149" s="150" t="s">
        <v>2193</v>
      </c>
      <c r="D149" s="150" t="s">
        <v>2084</v>
      </c>
    </row>
    <row r="150">
      <c r="A150" s="150" t="s">
        <v>2198</v>
      </c>
      <c r="B150" s="150" t="s">
        <v>906</v>
      </c>
      <c r="C150" s="150" t="s">
        <v>2193</v>
      </c>
      <c r="D150" s="150" t="s">
        <v>2084</v>
      </c>
    </row>
    <row r="151">
      <c r="A151" s="150" t="s">
        <v>977</v>
      </c>
      <c r="B151" s="150" t="s">
        <v>897</v>
      </c>
      <c r="C151" s="150" t="s">
        <v>2199</v>
      </c>
      <c r="D151" s="150" t="s">
        <v>2064</v>
      </c>
    </row>
    <row r="152">
      <c r="A152" s="150" t="s">
        <v>1056</v>
      </c>
      <c r="B152" s="150" t="s">
        <v>899</v>
      </c>
      <c r="C152" s="150" t="s">
        <v>2199</v>
      </c>
      <c r="D152" s="150" t="s">
        <v>2063</v>
      </c>
    </row>
    <row r="153">
      <c r="A153" s="150" t="s">
        <v>1122</v>
      </c>
      <c r="B153" s="150" t="s">
        <v>901</v>
      </c>
      <c r="C153" s="150" t="s">
        <v>2199</v>
      </c>
      <c r="D153" s="150" t="s">
        <v>2064</v>
      </c>
    </row>
    <row r="154">
      <c r="A154" s="150" t="s">
        <v>1363</v>
      </c>
      <c r="B154" s="150" t="s">
        <v>902</v>
      </c>
      <c r="C154" s="150" t="s">
        <v>2199</v>
      </c>
      <c r="D154" s="150" t="s">
        <v>2064</v>
      </c>
    </row>
    <row r="155">
      <c r="A155" s="150" t="s">
        <v>1431</v>
      </c>
      <c r="B155" s="150" t="s">
        <v>904</v>
      </c>
      <c r="C155" s="150" t="s">
        <v>2199</v>
      </c>
      <c r="D155" s="150" t="s">
        <v>2064</v>
      </c>
    </row>
    <row r="156">
      <c r="A156" s="150" t="s">
        <v>1507</v>
      </c>
      <c r="B156" s="150" t="s">
        <v>905</v>
      </c>
      <c r="C156" s="150" t="s">
        <v>2199</v>
      </c>
      <c r="D156" s="150" t="s">
        <v>2064</v>
      </c>
    </row>
    <row r="157">
      <c r="A157" s="151" t="s">
        <v>1012</v>
      </c>
      <c r="B157" s="150" t="s">
        <v>897</v>
      </c>
      <c r="C157" s="150" t="s">
        <v>2200</v>
      </c>
      <c r="D157" s="150" t="s">
        <v>2084</v>
      </c>
    </row>
    <row r="158">
      <c r="A158" s="150" t="s">
        <v>1201</v>
      </c>
      <c r="B158" s="150" t="s">
        <v>899</v>
      </c>
      <c r="C158" s="150" t="s">
        <v>2200</v>
      </c>
      <c r="D158" s="150" t="s">
        <v>2063</v>
      </c>
    </row>
    <row r="159">
      <c r="A159" s="150" t="s">
        <v>934</v>
      </c>
      <c r="B159" s="150" t="s">
        <v>901</v>
      </c>
      <c r="C159" s="150" t="s">
        <v>2200</v>
      </c>
      <c r="D159" s="150" t="s">
        <v>2084</v>
      </c>
    </row>
    <row r="160">
      <c r="A160" s="150" t="s">
        <v>932</v>
      </c>
      <c r="B160" s="150" t="s">
        <v>902</v>
      </c>
      <c r="C160" s="150" t="s">
        <v>2200</v>
      </c>
      <c r="D160" s="150" t="s">
        <v>2084</v>
      </c>
    </row>
    <row r="161">
      <c r="A161" s="150" t="s">
        <v>1379</v>
      </c>
      <c r="B161" s="150" t="s">
        <v>904</v>
      </c>
      <c r="C161" s="150" t="s">
        <v>2200</v>
      </c>
      <c r="D161" s="150" t="s">
        <v>2084</v>
      </c>
    </row>
    <row r="162">
      <c r="A162" s="150" t="s">
        <v>1141</v>
      </c>
      <c r="B162" s="150" t="s">
        <v>905</v>
      </c>
      <c r="C162" s="150" t="s">
        <v>2200</v>
      </c>
      <c r="D162" s="150" t="s">
        <v>2084</v>
      </c>
    </row>
    <row r="163">
      <c r="A163" s="150" t="s">
        <v>2201</v>
      </c>
      <c r="B163" s="150" t="s">
        <v>899</v>
      </c>
      <c r="C163" s="150" t="s">
        <v>2202</v>
      </c>
      <c r="D163" s="150" t="s">
        <v>2063</v>
      </c>
    </row>
    <row r="164">
      <c r="A164" s="150" t="s">
        <v>2203</v>
      </c>
      <c r="B164" s="150" t="s">
        <v>901</v>
      </c>
      <c r="C164" s="150" t="s">
        <v>2202</v>
      </c>
      <c r="D164" s="150" t="s">
        <v>2064</v>
      </c>
    </row>
    <row r="165">
      <c r="A165" s="150" t="s">
        <v>2204</v>
      </c>
      <c r="B165" s="150" t="s">
        <v>902</v>
      </c>
      <c r="C165" s="150" t="s">
        <v>2202</v>
      </c>
      <c r="D165" s="150" t="s">
        <v>2064</v>
      </c>
    </row>
    <row r="166">
      <c r="A166" s="150" t="s">
        <v>2205</v>
      </c>
      <c r="B166" s="150" t="s">
        <v>904</v>
      </c>
      <c r="C166" s="150" t="s">
        <v>2202</v>
      </c>
      <c r="D166" s="150" t="s">
        <v>2064</v>
      </c>
    </row>
    <row r="167">
      <c r="A167" s="150" t="s">
        <v>2206</v>
      </c>
      <c r="B167" s="150" t="s">
        <v>905</v>
      </c>
      <c r="C167" s="150" t="s">
        <v>2202</v>
      </c>
      <c r="D167" s="150" t="s">
        <v>2064</v>
      </c>
    </row>
    <row r="168">
      <c r="A168" s="150" t="s">
        <v>2207</v>
      </c>
      <c r="B168" s="150" t="s">
        <v>906</v>
      </c>
      <c r="C168" s="150" t="s">
        <v>2202</v>
      </c>
      <c r="D168" s="150" t="s">
        <v>2064</v>
      </c>
    </row>
    <row r="169">
      <c r="A169" s="150" t="s">
        <v>2208</v>
      </c>
      <c r="B169" s="150" t="s">
        <v>901</v>
      </c>
      <c r="C169" s="150" t="s">
        <v>2209</v>
      </c>
      <c r="D169" s="150" t="s">
        <v>2084</v>
      </c>
    </row>
    <row r="170">
      <c r="A170" s="150" t="s">
        <v>2210</v>
      </c>
      <c r="B170" s="150" t="s">
        <v>902</v>
      </c>
      <c r="C170" s="150" t="s">
        <v>2209</v>
      </c>
      <c r="D170" s="150" t="s">
        <v>2084</v>
      </c>
    </row>
    <row r="171">
      <c r="A171" s="150" t="s">
        <v>2211</v>
      </c>
      <c r="B171" s="150" t="s">
        <v>904</v>
      </c>
      <c r="C171" s="150" t="s">
        <v>2209</v>
      </c>
      <c r="D171" s="150" t="s">
        <v>2084</v>
      </c>
    </row>
    <row r="172">
      <c r="A172" s="150" t="s">
        <v>2212</v>
      </c>
      <c r="B172" s="150" t="s">
        <v>905</v>
      </c>
      <c r="C172" s="150" t="s">
        <v>2209</v>
      </c>
      <c r="D172" s="150" t="s">
        <v>2084</v>
      </c>
    </row>
    <row r="173">
      <c r="A173" s="150" t="s">
        <v>2213</v>
      </c>
      <c r="B173" s="150" t="s">
        <v>906</v>
      </c>
      <c r="C173" s="150" t="s">
        <v>2209</v>
      </c>
      <c r="D173" s="150" t="s">
        <v>2084</v>
      </c>
    </row>
    <row r="174">
      <c r="A174" s="150" t="s">
        <v>2214</v>
      </c>
      <c r="B174" s="150" t="s">
        <v>901</v>
      </c>
      <c r="C174" s="150" t="s">
        <v>2215</v>
      </c>
      <c r="D174" s="150" t="s">
        <v>2084</v>
      </c>
    </row>
    <row r="175">
      <c r="A175" s="150" t="s">
        <v>2216</v>
      </c>
      <c r="B175" s="150" t="s">
        <v>902</v>
      </c>
      <c r="C175" s="150" t="s">
        <v>2215</v>
      </c>
      <c r="D175" s="150" t="s">
        <v>2084</v>
      </c>
    </row>
    <row r="176">
      <c r="A176" s="150" t="s">
        <v>2217</v>
      </c>
      <c r="B176" s="150" t="s">
        <v>904</v>
      </c>
      <c r="C176" s="150" t="s">
        <v>2215</v>
      </c>
      <c r="D176" s="150" t="s">
        <v>2084</v>
      </c>
    </row>
    <row r="177">
      <c r="A177" s="150" t="s">
        <v>2218</v>
      </c>
      <c r="B177" s="150" t="s">
        <v>905</v>
      </c>
      <c r="C177" s="150" t="s">
        <v>2215</v>
      </c>
      <c r="D177" s="150" t="s">
        <v>2084</v>
      </c>
    </row>
    <row r="178">
      <c r="A178" s="150" t="s">
        <v>2219</v>
      </c>
      <c r="B178" s="150" t="s">
        <v>906</v>
      </c>
      <c r="C178" s="150" t="s">
        <v>2215</v>
      </c>
      <c r="D178" s="150" t="s">
        <v>2084</v>
      </c>
    </row>
    <row r="179">
      <c r="A179" s="150" t="s">
        <v>1305</v>
      </c>
      <c r="B179" s="150" t="s">
        <v>907</v>
      </c>
      <c r="C179" s="150" t="s">
        <v>2215</v>
      </c>
      <c r="D179" s="150" t="s">
        <v>2084</v>
      </c>
    </row>
    <row r="180">
      <c r="A180" s="150" t="s">
        <v>936</v>
      </c>
      <c r="B180" s="150" t="s">
        <v>897</v>
      </c>
      <c r="C180" s="150" t="s">
        <v>2220</v>
      </c>
      <c r="D180" s="150" t="s">
        <v>2064</v>
      </c>
    </row>
    <row r="181">
      <c r="A181" s="150" t="s">
        <v>1199</v>
      </c>
      <c r="B181" s="150" t="s">
        <v>899</v>
      </c>
      <c r="C181" s="150" t="s">
        <v>2220</v>
      </c>
      <c r="D181" s="150" t="s">
        <v>2063</v>
      </c>
    </row>
    <row r="182">
      <c r="A182" s="150" t="s">
        <v>2221</v>
      </c>
      <c r="B182" s="150" t="s">
        <v>901</v>
      </c>
      <c r="C182" s="150" t="s">
        <v>2220</v>
      </c>
      <c r="D182" s="150" t="s">
        <v>2064</v>
      </c>
    </row>
    <row r="183">
      <c r="A183" s="150" t="s">
        <v>937</v>
      </c>
      <c r="B183" s="150" t="s">
        <v>902</v>
      </c>
      <c r="C183" s="150" t="s">
        <v>2220</v>
      </c>
      <c r="D183" s="150" t="s">
        <v>2064</v>
      </c>
    </row>
    <row r="184">
      <c r="A184" s="150" t="s">
        <v>1602</v>
      </c>
      <c r="B184" s="150" t="s">
        <v>904</v>
      </c>
      <c r="C184" s="150" t="s">
        <v>2220</v>
      </c>
      <c r="D184" s="150" t="s">
        <v>2064</v>
      </c>
    </row>
    <row r="185">
      <c r="A185" s="150" t="s">
        <v>1532</v>
      </c>
      <c r="B185" s="150" t="s">
        <v>905</v>
      </c>
      <c r="C185" s="150" t="s">
        <v>2220</v>
      </c>
      <c r="D185" s="150" t="s">
        <v>2064</v>
      </c>
    </row>
    <row r="186">
      <c r="A186" s="150" t="s">
        <v>2222</v>
      </c>
      <c r="B186" s="150" t="s">
        <v>901</v>
      </c>
      <c r="C186" s="150" t="s">
        <v>2223</v>
      </c>
      <c r="D186" s="150" t="s">
        <v>2064</v>
      </c>
    </row>
    <row r="187">
      <c r="A187" s="150" t="s">
        <v>2224</v>
      </c>
      <c r="B187" s="150" t="s">
        <v>902</v>
      </c>
      <c r="C187" s="150" t="s">
        <v>2223</v>
      </c>
      <c r="D187" s="150" t="s">
        <v>2064</v>
      </c>
    </row>
    <row r="188">
      <c r="A188" s="150" t="s">
        <v>2225</v>
      </c>
      <c r="B188" s="150" t="s">
        <v>904</v>
      </c>
      <c r="C188" s="150" t="s">
        <v>2223</v>
      </c>
      <c r="D188" s="150" t="s">
        <v>2064</v>
      </c>
    </row>
    <row r="189">
      <c r="A189" s="150" t="s">
        <v>2226</v>
      </c>
      <c r="B189" s="150" t="s">
        <v>905</v>
      </c>
      <c r="C189" s="150" t="s">
        <v>2223</v>
      </c>
      <c r="D189" s="150" t="s">
        <v>2064</v>
      </c>
    </row>
    <row r="190">
      <c r="A190" s="150" t="s">
        <v>2227</v>
      </c>
      <c r="B190" s="150" t="s">
        <v>906</v>
      </c>
      <c r="C190" s="150" t="s">
        <v>2223</v>
      </c>
      <c r="D190" s="150" t="s">
        <v>2064</v>
      </c>
    </row>
    <row r="191">
      <c r="A191" s="150" t="s">
        <v>2228</v>
      </c>
      <c r="B191" s="150" t="s">
        <v>907</v>
      </c>
      <c r="C191" s="150" t="s">
        <v>2223</v>
      </c>
      <c r="D191" s="150" t="s">
        <v>2064</v>
      </c>
    </row>
    <row r="192">
      <c r="A192" s="150" t="s">
        <v>2229</v>
      </c>
      <c r="B192" s="150" t="s">
        <v>897</v>
      </c>
      <c r="C192" s="150" t="s">
        <v>2230</v>
      </c>
      <c r="D192" s="150" t="s">
        <v>2064</v>
      </c>
    </row>
    <row r="193">
      <c r="A193" s="150" t="s">
        <v>2231</v>
      </c>
      <c r="B193" s="150" t="s">
        <v>899</v>
      </c>
      <c r="C193" s="150" t="s">
        <v>2230</v>
      </c>
      <c r="D193" s="150" t="s">
        <v>2063</v>
      </c>
    </row>
    <row r="194">
      <c r="A194" s="150" t="s">
        <v>2232</v>
      </c>
      <c r="B194" s="150" t="s">
        <v>901</v>
      </c>
      <c r="C194" s="150" t="s">
        <v>2230</v>
      </c>
      <c r="D194" s="150" t="s">
        <v>2064</v>
      </c>
    </row>
    <row r="195">
      <c r="A195" s="150" t="s">
        <v>2233</v>
      </c>
      <c r="B195" s="150" t="s">
        <v>902</v>
      </c>
      <c r="C195" s="150" t="s">
        <v>2230</v>
      </c>
      <c r="D195" s="150" t="s">
        <v>2064</v>
      </c>
    </row>
    <row r="196">
      <c r="A196" s="150" t="s">
        <v>2234</v>
      </c>
      <c r="B196" s="150" t="s">
        <v>904</v>
      </c>
      <c r="C196" s="150" t="s">
        <v>2230</v>
      </c>
      <c r="D196" s="150" t="s">
        <v>2064</v>
      </c>
    </row>
    <row r="197">
      <c r="A197" s="150" t="s">
        <v>2235</v>
      </c>
      <c r="B197" s="150" t="s">
        <v>905</v>
      </c>
      <c r="C197" s="150" t="s">
        <v>2230</v>
      </c>
      <c r="D197" s="150" t="s">
        <v>2064</v>
      </c>
    </row>
  </sheetData>
  <autoFilter ref="$A$1:$D$197">
    <sortState ref="A1:D197">
      <sortCondition ref="C1:C197"/>
    </sortState>
  </autoFilter>
  <drawing r:id="rId1"/>
</worksheet>
</file>